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KleinGomes\Documents\Jornada\"/>
    </mc:Choice>
  </mc:AlternateContent>
  <xr:revisionPtr revIDLastSave="0" documentId="13_ncr:1_{67A0F25C-1796-498D-8254-0F928A541D1D}" xr6:coauthVersionLast="47" xr6:coauthVersionMax="47" xr10:uidLastSave="{00000000-0000-0000-0000-000000000000}"/>
  <bookViews>
    <workbookView xWindow="-108" yWindow="-108" windowWidth="23256" windowHeight="12456" xr2:uid="{399C0D4D-C6D5-4944-87D6-EFC1CC8E598C}"/>
  </bookViews>
  <sheets>
    <sheet name="Previsto x realizado" sheetId="1" r:id="rId1"/>
    <sheet name="Checklist" sheetId="7" r:id="rId2"/>
    <sheet name="Apuração" sheetId="2" r:id="rId3"/>
    <sheet name="PowerApps" sheetId="5" r:id="rId4"/>
    <sheet name="Planilha plan. estratégico Cris" sheetId="6" r:id="rId5"/>
  </sheets>
  <definedNames>
    <definedName name="_xlnm._FilterDatabase" localSheetId="3" hidden="1">PowerApps!$A$1:$P$572</definedName>
    <definedName name="_xlnm._FilterDatabase" localSheetId="0" hidden="1">'Previsto x realizado'!$A$1:$BS$2774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412" i="1" l="1"/>
  <c r="BA2411" i="1"/>
  <c r="BA2410" i="1"/>
  <c r="BA2415" i="1"/>
  <c r="BA2414" i="1"/>
  <c r="BA2413" i="1"/>
  <c r="AZ2415" i="1"/>
  <c r="AY2415" i="1"/>
  <c r="AX2415" i="1"/>
  <c r="AW2415" i="1"/>
  <c r="AZ2414" i="1"/>
  <c r="AY2414" i="1"/>
  <c r="AX2414" i="1"/>
  <c r="AW2414" i="1"/>
  <c r="AZ2413" i="1"/>
  <c r="AY2413" i="1"/>
  <c r="AX2413" i="1"/>
  <c r="AW2413" i="1"/>
  <c r="BA2409" i="1"/>
  <c r="BA2408" i="1"/>
  <c r="BA2028" i="1"/>
  <c r="BA2027" i="1"/>
  <c r="BA2026" i="1"/>
  <c r="BA2025" i="1"/>
  <c r="BA2024" i="1"/>
  <c r="BA2023" i="1"/>
  <c r="BA1204" i="1"/>
  <c r="BA1203" i="1"/>
  <c r="BA1202" i="1"/>
  <c r="BA1201" i="1"/>
  <c r="BA2442" i="1"/>
  <c r="BA2441" i="1"/>
  <c r="BA2440" i="1"/>
  <c r="BA2439" i="1"/>
  <c r="BA2438" i="1"/>
  <c r="BA2437" i="1"/>
  <c r="BA2436" i="1"/>
  <c r="BA2435" i="1"/>
  <c r="BA2434" i="1"/>
  <c r="BA2433" i="1"/>
  <c r="BA2432" i="1"/>
  <c r="BA2431" i="1"/>
  <c r="BA2069" i="1"/>
  <c r="BA2068" i="1"/>
  <c r="BA2067" i="1"/>
  <c r="BA2066" i="1"/>
  <c r="BA2065" i="1"/>
  <c r="BA2064" i="1"/>
  <c r="BA2063" i="1"/>
  <c r="BA2062" i="1"/>
  <c r="BA2061" i="1"/>
  <c r="BA2060" i="1"/>
  <c r="BA2059" i="1"/>
  <c r="BA2058" i="1"/>
  <c r="BA2057" i="1"/>
  <c r="BA2056" i="1"/>
  <c r="BA2055" i="1"/>
  <c r="BA2054" i="1"/>
  <c r="BA2053" i="1"/>
  <c r="BA2052" i="1"/>
  <c r="BA2051" i="1"/>
  <c r="BA2050" i="1"/>
  <c r="BA836" i="1"/>
  <c r="BA835" i="1"/>
  <c r="BA834" i="1"/>
  <c r="BA833" i="1"/>
  <c r="BA832" i="1"/>
  <c r="BA831" i="1"/>
  <c r="BA830" i="1"/>
  <c r="BA829" i="1"/>
  <c r="BA828" i="1"/>
  <c r="BA827" i="1"/>
  <c r="BA826" i="1"/>
  <c r="BA825" i="1"/>
  <c r="BA824" i="1"/>
  <c r="BA823" i="1"/>
  <c r="BA822" i="1"/>
  <c r="BA821" i="1"/>
  <c r="BA820" i="1"/>
  <c r="BA819" i="1"/>
  <c r="BA818" i="1"/>
  <c r="BA817" i="1"/>
  <c r="BA816" i="1"/>
  <c r="BA815" i="1"/>
  <c r="BA814" i="1"/>
  <c r="BA813" i="1"/>
  <c r="BA812" i="1"/>
  <c r="BA811" i="1"/>
  <c r="BA810" i="1"/>
  <c r="BA809" i="1"/>
  <c r="BA808" i="1"/>
  <c r="BA807" i="1"/>
  <c r="BA806" i="1"/>
  <c r="BA805" i="1"/>
  <c r="BA804" i="1"/>
  <c r="BA803" i="1"/>
  <c r="BA802" i="1"/>
  <c r="BA801" i="1"/>
  <c r="BA800" i="1"/>
  <c r="BA799" i="1"/>
  <c r="BA798" i="1"/>
  <c r="BA797" i="1"/>
  <c r="BA796" i="1"/>
  <c r="BA795" i="1"/>
  <c r="BA794" i="1"/>
  <c r="BA793" i="1"/>
  <c r="BA770" i="1"/>
  <c r="BA769" i="1"/>
  <c r="BA768" i="1"/>
  <c r="BA767" i="1"/>
  <c r="BA766" i="1"/>
  <c r="BA765" i="1"/>
  <c r="BA764" i="1"/>
  <c r="BA763" i="1"/>
  <c r="BA762" i="1"/>
  <c r="BA761" i="1"/>
  <c r="BA760" i="1"/>
  <c r="BA726" i="1"/>
  <c r="BA725" i="1"/>
  <c r="BA724" i="1"/>
  <c r="BA723" i="1"/>
  <c r="BA722" i="1"/>
  <c r="BA721" i="1"/>
  <c r="BA720" i="1"/>
  <c r="BA719" i="1"/>
  <c r="BA718" i="1"/>
  <c r="BA717" i="1"/>
  <c r="BA716" i="1"/>
  <c r="BA671" i="1"/>
  <c r="BA670" i="1"/>
  <c r="BA669" i="1"/>
  <c r="BA668" i="1"/>
  <c r="BA667" i="1"/>
  <c r="BA666" i="1"/>
  <c r="BA665" i="1"/>
  <c r="BA664" i="1"/>
  <c r="BA663" i="1"/>
  <c r="BA662" i="1"/>
  <c r="BA661" i="1"/>
  <c r="BA96" i="1"/>
  <c r="BA95" i="1"/>
  <c r="BA94" i="1"/>
  <c r="BA93" i="1"/>
  <c r="BA92" i="1"/>
  <c r="BA91" i="1"/>
  <c r="BA90" i="1"/>
  <c r="BA89" i="1"/>
  <c r="BA88" i="1"/>
  <c r="BA87" i="1"/>
  <c r="BA86" i="1"/>
  <c r="BA85" i="1"/>
  <c r="BA1286" i="1"/>
  <c r="BA1280" i="1"/>
  <c r="BA1274" i="1"/>
  <c r="AK1286" i="1"/>
  <c r="AK1274" i="1"/>
  <c r="M11" i="7"/>
  <c r="M3" i="7"/>
  <c r="M12" i="7"/>
  <c r="C4" i="7"/>
  <c r="BA2048" i="1"/>
  <c r="BA2047" i="1"/>
  <c r="BA2046" i="1"/>
  <c r="BA2045" i="1"/>
  <c r="BA2044" i="1"/>
  <c r="BA2043" i="1"/>
  <c r="BA2042" i="1"/>
  <c r="BA2041" i="1"/>
  <c r="BA2040" i="1"/>
  <c r="BA2039" i="1"/>
  <c r="BA1619" i="1"/>
  <c r="BA1618" i="1"/>
  <c r="BA1617" i="1"/>
  <c r="BA1616" i="1"/>
  <c r="BA1615" i="1"/>
  <c r="BA1614" i="1"/>
  <c r="BA1613" i="1"/>
  <c r="BA1612" i="1"/>
  <c r="BA1611" i="1"/>
  <c r="BA1610" i="1"/>
  <c r="BA1609" i="1"/>
  <c r="BA1608" i="1"/>
  <c r="BA1607" i="1"/>
  <c r="BA1606" i="1"/>
  <c r="BA1605" i="1"/>
  <c r="BA1604" i="1"/>
  <c r="BA1603" i="1"/>
  <c r="BA1602" i="1"/>
  <c r="BA1601" i="1"/>
  <c r="BA1600" i="1"/>
  <c r="BA1599" i="1"/>
  <c r="BA1598" i="1"/>
  <c r="BA539" i="1"/>
  <c r="BA538" i="1"/>
  <c r="BA537" i="1"/>
  <c r="BA536" i="1"/>
  <c r="BA535" i="1"/>
  <c r="BA534" i="1"/>
  <c r="BA533" i="1"/>
  <c r="BA532" i="1"/>
  <c r="BA531" i="1"/>
  <c r="BA530" i="1"/>
  <c r="BA529" i="1"/>
  <c r="BA528" i="1"/>
  <c r="BA715" i="1"/>
  <c r="BA714" i="1"/>
  <c r="BA713" i="1"/>
  <c r="BA712" i="1"/>
  <c r="BA711" i="1"/>
  <c r="BA710" i="1"/>
  <c r="BA709" i="1"/>
  <c r="BA708" i="1"/>
  <c r="BA707" i="1"/>
  <c r="BA706" i="1"/>
  <c r="BA705" i="1"/>
  <c r="BA704" i="1"/>
  <c r="BA703" i="1"/>
  <c r="BA702" i="1"/>
  <c r="BA701" i="1"/>
  <c r="BA700" i="1"/>
  <c r="BA699" i="1"/>
  <c r="BA698" i="1"/>
  <c r="BA697" i="1"/>
  <c r="BA696" i="1"/>
  <c r="BA695" i="1"/>
  <c r="BA694" i="1"/>
  <c r="BA1303" i="1"/>
  <c r="BA1302" i="1"/>
  <c r="BA1301" i="1"/>
  <c r="BA1300" i="1"/>
  <c r="BA1299" i="1"/>
  <c r="BA1298" i="1"/>
  <c r="BA1297" i="1"/>
  <c r="BA1296" i="1"/>
  <c r="BA1295" i="1"/>
  <c r="BA1294" i="1"/>
  <c r="BA1293" i="1"/>
  <c r="BA1292" i="1"/>
  <c r="BA2364" i="1"/>
  <c r="BA2363" i="1"/>
  <c r="BA2362" i="1"/>
  <c r="BA2361" i="1"/>
  <c r="BA2360" i="1"/>
  <c r="BA1631" i="1"/>
  <c r="BA1630" i="1"/>
  <c r="BA1629" i="1"/>
  <c r="BA1628" i="1"/>
  <c r="BA1627" i="1"/>
  <c r="BA1626" i="1"/>
  <c r="BA1625" i="1"/>
  <c r="BA1624" i="1"/>
  <c r="BA1623" i="1"/>
  <c r="BA1622" i="1"/>
  <c r="BA1621" i="1"/>
  <c r="BA1620" i="1"/>
  <c r="BA1176" i="1"/>
  <c r="BA1175" i="1"/>
  <c r="BA1174" i="1"/>
  <c r="BA1173" i="1"/>
  <c r="BA1172" i="1"/>
  <c r="BA1171" i="1"/>
  <c r="BA1170" i="1"/>
  <c r="R6" i="7"/>
  <c r="R5" i="7"/>
  <c r="R4" i="7"/>
  <c r="R3" i="7"/>
  <c r="M14" i="7"/>
  <c r="M13" i="7"/>
  <c r="M6" i="7"/>
  <c r="M5" i="7"/>
  <c r="M4" i="7"/>
  <c r="H14" i="7"/>
  <c r="H13" i="7"/>
  <c r="H12" i="7"/>
  <c r="H11" i="7"/>
  <c r="H5" i="7"/>
  <c r="H4" i="7"/>
  <c r="H3" i="7"/>
  <c r="C14" i="7"/>
  <c r="C13" i="7"/>
  <c r="C12" i="7"/>
  <c r="C11" i="7"/>
  <c r="C6" i="7"/>
  <c r="C5" i="7"/>
  <c r="C3" i="7"/>
  <c r="L4" i="7"/>
  <c r="BA502" i="1"/>
  <c r="BA501" i="1"/>
  <c r="BA500" i="1"/>
  <c r="BA499" i="1"/>
  <c r="BA498" i="1"/>
  <c r="BA497" i="1"/>
  <c r="BA496" i="1"/>
  <c r="BA495" i="1"/>
  <c r="BA494" i="1"/>
  <c r="BA493" i="1"/>
  <c r="BA492" i="1"/>
  <c r="BA480" i="1"/>
  <c r="BA479" i="1"/>
  <c r="BA478" i="1"/>
  <c r="BA477" i="1"/>
  <c r="BA476" i="1"/>
  <c r="BA475" i="1"/>
  <c r="BA474" i="1"/>
  <c r="BA473" i="1"/>
  <c r="BA472" i="1"/>
  <c r="BA471" i="1"/>
  <c r="BA470" i="1"/>
  <c r="BA458" i="1"/>
  <c r="BA457" i="1"/>
  <c r="BA456" i="1"/>
  <c r="BA455" i="1"/>
  <c r="BA454" i="1"/>
  <c r="BA453" i="1"/>
  <c r="BA452" i="1"/>
  <c r="BA451" i="1"/>
  <c r="BA450" i="1"/>
  <c r="BA449" i="1"/>
  <c r="BA436" i="1"/>
  <c r="BA435" i="1"/>
  <c r="BA434" i="1"/>
  <c r="BA433" i="1"/>
  <c r="BA432" i="1"/>
  <c r="BA431" i="1"/>
  <c r="BA430" i="1"/>
  <c r="BA429" i="1"/>
  <c r="BA428" i="1"/>
  <c r="BA427" i="1"/>
  <c r="BA426" i="1"/>
  <c r="BA414" i="1"/>
  <c r="BA413" i="1"/>
  <c r="BA412" i="1"/>
  <c r="BA411" i="1"/>
  <c r="BA410" i="1"/>
  <c r="BA409" i="1"/>
  <c r="BA408" i="1"/>
  <c r="BA407" i="1"/>
  <c r="BA406" i="1"/>
  <c r="BA405" i="1"/>
  <c r="BA404" i="1"/>
  <c r="BA392" i="1"/>
  <c r="BA391" i="1"/>
  <c r="BA390" i="1"/>
  <c r="BA389" i="1"/>
  <c r="BA388" i="1"/>
  <c r="BA387" i="1"/>
  <c r="BA386" i="1"/>
  <c r="BA385" i="1"/>
  <c r="BA384" i="1"/>
  <c r="BA383" i="1"/>
  <c r="BA382" i="1"/>
  <c r="BA370" i="1"/>
  <c r="BA369" i="1"/>
  <c r="BA368" i="1"/>
  <c r="BA367" i="1"/>
  <c r="BA366" i="1"/>
  <c r="BA365" i="1"/>
  <c r="BA364" i="1"/>
  <c r="BA363" i="1"/>
  <c r="BA362" i="1"/>
  <c r="BA361" i="1"/>
  <c r="BA360" i="1"/>
  <c r="BA348" i="1"/>
  <c r="BA347" i="1"/>
  <c r="BA346" i="1"/>
  <c r="BA345" i="1"/>
  <c r="BA344" i="1"/>
  <c r="BA343" i="1"/>
  <c r="BA342" i="1"/>
  <c r="BA341" i="1"/>
  <c r="BA340" i="1"/>
  <c r="BA339" i="1"/>
  <c r="BA338" i="1"/>
  <c r="BA491" i="1"/>
  <c r="BA490" i="1"/>
  <c r="BA489" i="1"/>
  <c r="BA488" i="1"/>
  <c r="BA487" i="1"/>
  <c r="BA486" i="1"/>
  <c r="BA485" i="1"/>
  <c r="BA484" i="1"/>
  <c r="BA483" i="1"/>
  <c r="BA482" i="1"/>
  <c r="BA481" i="1"/>
  <c r="BA469" i="1"/>
  <c r="BA468" i="1"/>
  <c r="BA467" i="1"/>
  <c r="BA466" i="1"/>
  <c r="BA465" i="1"/>
  <c r="BA464" i="1"/>
  <c r="BA463" i="1"/>
  <c r="BA462" i="1"/>
  <c r="BA461" i="1"/>
  <c r="BA460" i="1"/>
  <c r="BA459" i="1"/>
  <c r="BA447" i="1"/>
  <c r="BA446" i="1"/>
  <c r="BA445" i="1"/>
  <c r="BA444" i="1"/>
  <c r="BA443" i="1"/>
  <c r="BA442" i="1"/>
  <c r="BA441" i="1"/>
  <c r="BA440" i="1"/>
  <c r="BA439" i="1"/>
  <c r="BA438" i="1"/>
  <c r="BA437" i="1"/>
  <c r="BA425" i="1"/>
  <c r="BA424" i="1"/>
  <c r="BA423" i="1"/>
  <c r="BA422" i="1"/>
  <c r="BA421" i="1"/>
  <c r="BA420" i="1"/>
  <c r="BA419" i="1"/>
  <c r="BA418" i="1"/>
  <c r="BA417" i="1"/>
  <c r="BA416" i="1"/>
  <c r="BA415" i="1"/>
  <c r="BA403" i="1"/>
  <c r="BA402" i="1"/>
  <c r="BA401" i="1"/>
  <c r="BA400" i="1"/>
  <c r="BA399" i="1"/>
  <c r="BA398" i="1"/>
  <c r="BA397" i="1"/>
  <c r="BA396" i="1"/>
  <c r="BA395" i="1"/>
  <c r="BA394" i="1"/>
  <c r="BA393" i="1"/>
  <c r="BA381" i="1"/>
  <c r="BA380" i="1"/>
  <c r="BA379" i="1"/>
  <c r="BA378" i="1"/>
  <c r="BA377" i="1"/>
  <c r="BA376" i="1"/>
  <c r="BA375" i="1"/>
  <c r="BA374" i="1"/>
  <c r="BA373" i="1"/>
  <c r="BA372" i="1"/>
  <c r="BA371" i="1"/>
  <c r="BA359" i="1"/>
  <c r="BA358" i="1"/>
  <c r="BA357" i="1"/>
  <c r="BA356" i="1"/>
  <c r="BA355" i="1"/>
  <c r="BA354" i="1"/>
  <c r="BA353" i="1"/>
  <c r="BA352" i="1"/>
  <c r="BA351" i="1"/>
  <c r="BA350" i="1"/>
  <c r="BA349" i="1"/>
  <c r="BA337" i="1"/>
  <c r="BA336" i="1"/>
  <c r="BA335" i="1"/>
  <c r="BA334" i="1"/>
  <c r="BA333" i="1"/>
  <c r="BA332" i="1"/>
  <c r="BA331" i="1"/>
  <c r="BA330" i="1"/>
  <c r="BA329" i="1"/>
  <c r="BA328" i="1"/>
  <c r="BA327" i="1"/>
  <c r="AK448" i="1"/>
  <c r="AE2348" i="1"/>
  <c r="AD2348" i="1"/>
  <c r="AC2348" i="1"/>
  <c r="AB2348" i="1"/>
  <c r="AA2348" i="1"/>
  <c r="Z2348" i="1"/>
  <c r="Y2348" i="1"/>
  <c r="X2348" i="1"/>
  <c r="AE2347" i="1"/>
  <c r="AD2347" i="1"/>
  <c r="AC2347" i="1"/>
  <c r="AB2347" i="1"/>
  <c r="AA2347" i="1"/>
  <c r="Z2347" i="1"/>
  <c r="Y2347" i="1"/>
  <c r="X2347" i="1"/>
  <c r="AE2346" i="1"/>
  <c r="AD2346" i="1"/>
  <c r="AC2346" i="1"/>
  <c r="AB2346" i="1"/>
  <c r="AA2346" i="1"/>
  <c r="Z2346" i="1"/>
  <c r="Y2346" i="1"/>
  <c r="X2346" i="1"/>
  <c r="AE2345" i="1"/>
  <c r="AD2345" i="1"/>
  <c r="AC2345" i="1"/>
  <c r="AB2345" i="1"/>
  <c r="AA2345" i="1"/>
  <c r="Z2345" i="1"/>
  <c r="Y2345" i="1"/>
  <c r="X2345" i="1"/>
  <c r="AE2344" i="1"/>
  <c r="AD2344" i="1"/>
  <c r="AC2344" i="1"/>
  <c r="AB2344" i="1"/>
  <c r="AA2344" i="1"/>
  <c r="Z2344" i="1"/>
  <c r="Y2344" i="1"/>
  <c r="X2344" i="1"/>
  <c r="AE2343" i="1"/>
  <c r="AD2343" i="1"/>
  <c r="AC2343" i="1"/>
  <c r="AB2343" i="1"/>
  <c r="AA2343" i="1"/>
  <c r="Z2343" i="1"/>
  <c r="Y2343" i="1"/>
  <c r="X2343" i="1"/>
  <c r="AE2342" i="1"/>
  <c r="AD2342" i="1"/>
  <c r="AC2342" i="1"/>
  <c r="AB2342" i="1"/>
  <c r="AA2342" i="1"/>
  <c r="Z2342" i="1"/>
  <c r="Y2342" i="1"/>
  <c r="X2342" i="1"/>
  <c r="AE2341" i="1"/>
  <c r="AD2341" i="1"/>
  <c r="AC2341" i="1"/>
  <c r="AB2341" i="1"/>
  <c r="AA2341" i="1"/>
  <c r="Z2341" i="1"/>
  <c r="Y2341" i="1"/>
  <c r="X2341" i="1"/>
  <c r="AE2340" i="1"/>
  <c r="AD2340" i="1"/>
  <c r="AC2340" i="1"/>
  <c r="AB2340" i="1"/>
  <c r="AA2340" i="1"/>
  <c r="Z2340" i="1"/>
  <c r="Y2340" i="1"/>
  <c r="X2340" i="1"/>
  <c r="AE2339" i="1"/>
  <c r="AD2339" i="1"/>
  <c r="AC2339" i="1"/>
  <c r="AB2339" i="1"/>
  <c r="AA2339" i="1"/>
  <c r="Z2339" i="1"/>
  <c r="Y2339" i="1"/>
  <c r="X2339" i="1"/>
  <c r="W2343" i="1"/>
  <c r="W2348" i="1"/>
  <c r="W2347" i="1"/>
  <c r="W2346" i="1"/>
  <c r="W2345" i="1"/>
  <c r="W2344" i="1"/>
  <c r="W2342" i="1"/>
  <c r="W2341" i="1"/>
  <c r="W2340" i="1"/>
  <c r="W2339" i="1"/>
  <c r="BA2491" i="1"/>
  <c r="BA2490" i="1"/>
  <c r="BA2489" i="1"/>
  <c r="BA2488" i="1"/>
  <c r="BA2487" i="1"/>
  <c r="BA2486" i="1"/>
  <c r="BA2485" i="1"/>
  <c r="BA2484" i="1"/>
  <c r="BA2483" i="1"/>
  <c r="BA2482" i="1"/>
  <c r="BA2481" i="1"/>
  <c r="BA2480" i="1"/>
  <c r="BA2479" i="1"/>
  <c r="BA2478" i="1"/>
  <c r="BA2477" i="1"/>
  <c r="BA2476" i="1"/>
  <c r="BA2475" i="1"/>
  <c r="BA2474" i="1"/>
  <c r="BA2473" i="1"/>
  <c r="BA2472" i="1"/>
  <c r="BA2471" i="1"/>
  <c r="BA2470" i="1"/>
  <c r="BA2469" i="1"/>
  <c r="BA2468" i="1"/>
  <c r="BA2467" i="1"/>
  <c r="BA2466" i="1"/>
  <c r="BA2465" i="1"/>
  <c r="BA2464" i="1"/>
  <c r="BA2463" i="1"/>
  <c r="BA2462" i="1"/>
  <c r="BA2461" i="1"/>
  <c r="BA2460" i="1"/>
  <c r="BA2459" i="1"/>
  <c r="BA2458" i="1"/>
  <c r="BA2457" i="1"/>
  <c r="BA2456" i="1"/>
  <c r="BA2455" i="1"/>
  <c r="BA2454" i="1"/>
  <c r="BA2453" i="1"/>
  <c r="BA2452" i="1"/>
  <c r="BA2451" i="1"/>
  <c r="BA2450" i="1"/>
  <c r="BA2449" i="1"/>
  <c r="BA2448" i="1"/>
  <c r="BA2447" i="1"/>
  <c r="BA2446" i="1"/>
  <c r="BA2445" i="1"/>
  <c r="BA2444" i="1"/>
  <c r="BA2359" i="1"/>
  <c r="BA2358" i="1"/>
  <c r="BA2357" i="1"/>
  <c r="BA2356" i="1"/>
  <c r="BA2355" i="1"/>
  <c r="BA2354" i="1"/>
  <c r="BA2353" i="1"/>
  <c r="BA2352" i="1"/>
  <c r="BA2351" i="1"/>
  <c r="BA2350" i="1"/>
  <c r="BA2349" i="1"/>
  <c r="BA2348" i="1"/>
  <c r="BA2347" i="1"/>
  <c r="BA2346" i="1"/>
  <c r="BA2345" i="1"/>
  <c r="BA2344" i="1"/>
  <c r="BA2343" i="1"/>
  <c r="BA2342" i="1"/>
  <c r="BA2341" i="1"/>
  <c r="BA2340" i="1"/>
  <c r="BA2339" i="1"/>
  <c r="BA2049" i="1"/>
  <c r="BA57" i="1"/>
  <c r="BA56" i="1"/>
  <c r="BA55" i="1"/>
  <c r="BA2036" i="1"/>
  <c r="BA2035" i="1"/>
  <c r="BA2034" i="1"/>
  <c r="BA2033" i="1"/>
  <c r="BA2032" i="1"/>
  <c r="BA2031" i="1"/>
  <c r="BA2030" i="1"/>
  <c r="BA2029" i="1"/>
  <c r="BA1595" i="1"/>
  <c r="BA1594" i="1"/>
  <c r="BA1593" i="1"/>
  <c r="BA1207" i="1"/>
  <c r="BA1206" i="1"/>
  <c r="BA1205" i="1"/>
  <c r="BA515" i="1"/>
  <c r="BA514" i="1"/>
  <c r="BA513" i="1"/>
  <c r="BA512" i="1"/>
  <c r="BA511" i="1"/>
  <c r="BA510" i="1"/>
  <c r="BA58" i="1"/>
  <c r="BA54" i="1"/>
  <c r="BA53" i="1"/>
  <c r="BA52" i="1"/>
  <c r="AX2731" i="1"/>
  <c r="AY2731" i="1"/>
  <c r="AZ2731" i="1"/>
  <c r="AX2724" i="1"/>
  <c r="AY2724" i="1"/>
  <c r="AZ2724" i="1"/>
  <c r="AX2714" i="1"/>
  <c r="AY2714" i="1"/>
  <c r="AZ2714" i="1"/>
  <c r="AX2703" i="1"/>
  <c r="AY2703" i="1"/>
  <c r="AZ2703" i="1"/>
  <c r="AW2714" i="1"/>
  <c r="AZ2687" i="1"/>
  <c r="AX2676" i="1"/>
  <c r="AY2676" i="1"/>
  <c r="AZ2676" i="1"/>
  <c r="AX2673" i="1"/>
  <c r="AY2673" i="1"/>
  <c r="AZ2673" i="1"/>
  <c r="AX2669" i="1"/>
  <c r="AY2669" i="1"/>
  <c r="AZ2669" i="1"/>
  <c r="AX2666" i="1"/>
  <c r="AY2666" i="1"/>
  <c r="AZ2666" i="1"/>
  <c r="AX2661" i="1"/>
  <c r="AY2661" i="1"/>
  <c r="AZ2661" i="1"/>
  <c r="AX2655" i="1"/>
  <c r="AY2655" i="1"/>
  <c r="AZ2655" i="1"/>
  <c r="AZ2649" i="1"/>
  <c r="AX2638" i="1"/>
  <c r="AY2638" i="1"/>
  <c r="AZ2638" i="1"/>
  <c r="AX2637" i="1"/>
  <c r="AY2637" i="1"/>
  <c r="AZ2637" i="1"/>
  <c r="AZ2633" i="1"/>
  <c r="AZ2630" i="1"/>
  <c r="AZ2625" i="1"/>
  <c r="AZ2619" i="1"/>
  <c r="AX2613" i="1"/>
  <c r="AY2613" i="1"/>
  <c r="AZ2613" i="1"/>
  <c r="AZ2602" i="1"/>
  <c r="AZ2601" i="1"/>
  <c r="AZ2592" i="1"/>
  <c r="AZ2589" i="1"/>
  <c r="AZ2584" i="1"/>
  <c r="AZ2578" i="1"/>
  <c r="AZ2572" i="1"/>
  <c r="AZ2568" i="1"/>
  <c r="AZ2560" i="1"/>
  <c r="AZ2555" i="1"/>
  <c r="AZ2552" i="1"/>
  <c r="AX2549" i="1"/>
  <c r="AY2549" i="1"/>
  <c r="AZ2549" i="1"/>
  <c r="AZ2546" i="1"/>
  <c r="AZ2543" i="1"/>
  <c r="AZ2540" i="1"/>
  <c r="AZ2537" i="1"/>
  <c r="AY2540" i="1"/>
  <c r="AZ2290" i="1"/>
  <c r="AX2285" i="1"/>
  <c r="AY2285" i="1"/>
  <c r="AZ2285" i="1"/>
  <c r="AZ2280" i="1"/>
  <c r="AZ2275" i="1"/>
  <c r="AZ2270" i="1"/>
  <c r="AZ2265" i="1"/>
  <c r="AZ2260" i="1"/>
  <c r="AZ1932" i="1"/>
  <c r="AX1926" i="1"/>
  <c r="AY1926" i="1"/>
  <c r="AZ1926" i="1"/>
  <c r="AZ1920" i="1"/>
  <c r="AZ1914" i="1"/>
  <c r="AZ1908" i="1"/>
  <c r="AZ1902" i="1"/>
  <c r="AZ1896" i="1"/>
  <c r="AZ1496" i="1"/>
  <c r="AX1490" i="1"/>
  <c r="AY1490" i="1"/>
  <c r="AZ1490" i="1"/>
  <c r="AW1496" i="1"/>
  <c r="AZ1484" i="1"/>
  <c r="AZ1478" i="1"/>
  <c r="AZ1472" i="1"/>
  <c r="AZ1466" i="1"/>
  <c r="AZ1460" i="1"/>
  <c r="AZ1068" i="1"/>
  <c r="AZ1057" i="1"/>
  <c r="AX1046" i="1"/>
  <c r="AY1046" i="1"/>
  <c r="AZ1046" i="1"/>
  <c r="AZ1035" i="1"/>
  <c r="AZ1024" i="1"/>
  <c r="AZ1013" i="1"/>
  <c r="AX1002" i="1"/>
  <c r="AY1002" i="1"/>
  <c r="AZ1002" i="1"/>
  <c r="AZ326" i="1"/>
  <c r="AX325" i="1"/>
  <c r="AY325" i="1"/>
  <c r="AZ325" i="1"/>
  <c r="AZ324" i="1"/>
  <c r="AZ323" i="1"/>
  <c r="AZ322" i="1"/>
  <c r="AZ321" i="1"/>
  <c r="AZ320" i="1"/>
  <c r="AZ229" i="1"/>
  <c r="AX226" i="1"/>
  <c r="AY226" i="1"/>
  <c r="AZ226" i="1"/>
  <c r="AZ223" i="1"/>
  <c r="AZ220" i="1"/>
  <c r="AZ217" i="1"/>
  <c r="AZ214" i="1"/>
  <c r="AZ211" i="1"/>
  <c r="AY217" i="1"/>
  <c r="BA2038" i="1"/>
  <c r="BA2037" i="1"/>
  <c r="BA1597" i="1"/>
  <c r="BA1596" i="1"/>
  <c r="BA517" i="1"/>
  <c r="BA516" i="1"/>
  <c r="W1824" i="1"/>
  <c r="AW2768" i="1"/>
  <c r="BM2768" i="1" s="1" a="1"/>
  <c r="BM2768" i="1" s="1"/>
  <c r="BJ2768" i="1" s="1" a="1"/>
  <c r="BJ2768" i="1" s="1"/>
  <c r="F2768" i="1" a="1"/>
  <c r="F2768" i="1" s="1"/>
  <c r="AW2767" i="1"/>
  <c r="BN2767" i="1" s="1" a="1"/>
  <c r="BN2767" i="1" s="1"/>
  <c r="F2767" i="1" a="1"/>
  <c r="F2767" i="1" s="1"/>
  <c r="AZ2335" i="1"/>
  <c r="AY2335" i="1"/>
  <c r="AX2335" i="1"/>
  <c r="AW2335" i="1"/>
  <c r="AU2335" i="1"/>
  <c r="AS2335" i="1"/>
  <c r="K2335" i="1" a="1"/>
  <c r="K2335" i="1" s="1"/>
  <c r="J2335" i="1" a="1"/>
  <c r="J2335" i="1" s="1"/>
  <c r="F2335" i="1" a="1"/>
  <c r="F2335" i="1" s="1"/>
  <c r="AZ2334" i="1"/>
  <c r="AY2334" i="1"/>
  <c r="AX2334" i="1"/>
  <c r="AW2334" i="1"/>
  <c r="AU2334" i="1"/>
  <c r="AS2334" i="1"/>
  <c r="K2334" i="1" a="1"/>
  <c r="K2334" i="1" s="1"/>
  <c r="J2334" i="1" a="1"/>
  <c r="J2334" i="1" s="1"/>
  <c r="F2334" i="1" a="1"/>
  <c r="F2334" i="1" s="1"/>
  <c r="AZ2332" i="1"/>
  <c r="AY2332" i="1"/>
  <c r="AX2332" i="1"/>
  <c r="AW2332" i="1"/>
  <c r="AU2332" i="1"/>
  <c r="AT2332" i="1"/>
  <c r="AS2332" i="1"/>
  <c r="K2332" i="1" a="1"/>
  <c r="K2332" i="1" s="1"/>
  <c r="J2332" i="1" a="1"/>
  <c r="J2332" i="1" s="1"/>
  <c r="F2332" i="1" a="1"/>
  <c r="F2332" i="1" s="1"/>
  <c r="AZ2331" i="1"/>
  <c r="AY2331" i="1"/>
  <c r="AX2331" i="1"/>
  <c r="AW2331" i="1"/>
  <c r="AU2331" i="1"/>
  <c r="AT2331" i="1"/>
  <c r="AS2331" i="1"/>
  <c r="K2331" i="1" a="1"/>
  <c r="K2331" i="1" s="1"/>
  <c r="J2331" i="1" a="1"/>
  <c r="J2331" i="1" s="1"/>
  <c r="F2331" i="1" a="1"/>
  <c r="F2331" i="1" s="1"/>
  <c r="AZ2329" i="1"/>
  <c r="AY2329" i="1"/>
  <c r="AX2329" i="1"/>
  <c r="AW2329" i="1"/>
  <c r="AU2329" i="1"/>
  <c r="AS2329" i="1"/>
  <c r="K2329" i="1" a="1"/>
  <c r="K2329" i="1" s="1"/>
  <c r="J2329" i="1" a="1"/>
  <c r="J2329" i="1" s="1"/>
  <c r="F2329" i="1" a="1"/>
  <c r="F2329" i="1" s="1"/>
  <c r="AZ2328" i="1"/>
  <c r="AY2328" i="1"/>
  <c r="AX2328" i="1"/>
  <c r="AW2328" i="1"/>
  <c r="AU2328" i="1"/>
  <c r="AS2328" i="1"/>
  <c r="K2328" i="1" a="1"/>
  <c r="K2328" i="1" s="1"/>
  <c r="J2328" i="1" a="1"/>
  <c r="J2328" i="1" s="1"/>
  <c r="F2328" i="1" a="1"/>
  <c r="F2328" i="1" s="1"/>
  <c r="AZ2326" i="1"/>
  <c r="AY2326" i="1"/>
  <c r="AX2326" i="1"/>
  <c r="AW2326" i="1"/>
  <c r="AU2326" i="1"/>
  <c r="AT2326" i="1"/>
  <c r="AS2326" i="1"/>
  <c r="K2326" i="1" a="1"/>
  <c r="K2326" i="1" s="1"/>
  <c r="J2326" i="1" a="1"/>
  <c r="J2326" i="1" s="1"/>
  <c r="F2326" i="1" a="1"/>
  <c r="F2326" i="1" s="1"/>
  <c r="AZ2325" i="1"/>
  <c r="AY2325" i="1"/>
  <c r="AX2325" i="1"/>
  <c r="AW2325" i="1"/>
  <c r="AU2325" i="1"/>
  <c r="AT2325" i="1"/>
  <c r="AS2325" i="1"/>
  <c r="K2325" i="1" a="1"/>
  <c r="K2325" i="1" s="1"/>
  <c r="J2325" i="1" a="1"/>
  <c r="J2325" i="1" s="1"/>
  <c r="F2325" i="1" a="1"/>
  <c r="F2325" i="1" s="1"/>
  <c r="AZ2323" i="1"/>
  <c r="AY2323" i="1"/>
  <c r="AX2323" i="1"/>
  <c r="AW2323" i="1"/>
  <c r="AU2323" i="1"/>
  <c r="AS2323" i="1"/>
  <c r="K2323" i="1" a="1"/>
  <c r="K2323" i="1" s="1"/>
  <c r="J2323" i="1" a="1"/>
  <c r="J2323" i="1" s="1"/>
  <c r="F2323" i="1" a="1"/>
  <c r="F2323" i="1" s="1"/>
  <c r="AZ2322" i="1"/>
  <c r="AY2322" i="1"/>
  <c r="AX2322" i="1"/>
  <c r="AW2322" i="1"/>
  <c r="AU2322" i="1"/>
  <c r="AS2322" i="1"/>
  <c r="K2322" i="1" a="1"/>
  <c r="K2322" i="1" s="1"/>
  <c r="J2322" i="1" a="1"/>
  <c r="J2322" i="1" s="1"/>
  <c r="F2322" i="1" a="1"/>
  <c r="F2322" i="1" s="1"/>
  <c r="AZ2320" i="1"/>
  <c r="AY2320" i="1"/>
  <c r="AX2320" i="1"/>
  <c r="AW2320" i="1"/>
  <c r="AU2320" i="1"/>
  <c r="AT2320" i="1"/>
  <c r="AS2320" i="1"/>
  <c r="K2320" i="1" a="1"/>
  <c r="K2320" i="1" s="1"/>
  <c r="J2320" i="1" a="1"/>
  <c r="J2320" i="1" s="1"/>
  <c r="F2320" i="1" a="1"/>
  <c r="F2320" i="1" s="1"/>
  <c r="AZ2319" i="1"/>
  <c r="AY2319" i="1"/>
  <c r="AX2319" i="1"/>
  <c r="AW2319" i="1"/>
  <c r="AU2319" i="1"/>
  <c r="AT2319" i="1"/>
  <c r="AS2319" i="1"/>
  <c r="K2319" i="1" a="1"/>
  <c r="K2319" i="1" s="1"/>
  <c r="J2319" i="1" a="1"/>
  <c r="J2319" i="1" s="1"/>
  <c r="F2319" i="1" a="1"/>
  <c r="F2319" i="1" s="1"/>
  <c r="AZ2317" i="1"/>
  <c r="AY2317" i="1"/>
  <c r="AX2317" i="1"/>
  <c r="AW2317" i="1"/>
  <c r="AU2317" i="1"/>
  <c r="AS2317" i="1"/>
  <c r="K2317" i="1" a="1"/>
  <c r="K2317" i="1" s="1"/>
  <c r="J2317" i="1" a="1"/>
  <c r="J2317" i="1" s="1"/>
  <c r="F2317" i="1" a="1"/>
  <c r="F2317" i="1" s="1"/>
  <c r="AZ2316" i="1"/>
  <c r="AY2316" i="1"/>
  <c r="AX2316" i="1"/>
  <c r="AW2316" i="1"/>
  <c r="AU2316" i="1"/>
  <c r="AS2316" i="1"/>
  <c r="K2316" i="1" a="1"/>
  <c r="K2316" i="1" s="1"/>
  <c r="J2316" i="1" a="1"/>
  <c r="J2316" i="1" s="1"/>
  <c r="F2316" i="1" a="1"/>
  <c r="F2316" i="1" s="1"/>
  <c r="AZ2314" i="1"/>
  <c r="AY2314" i="1"/>
  <c r="AX2314" i="1"/>
  <c r="AW2314" i="1"/>
  <c r="AU2314" i="1"/>
  <c r="AT2314" i="1"/>
  <c r="AS2314" i="1"/>
  <c r="K2314" i="1" a="1"/>
  <c r="K2314" i="1" s="1"/>
  <c r="J2314" i="1" a="1"/>
  <c r="J2314" i="1" s="1"/>
  <c r="F2314" i="1" a="1"/>
  <c r="F2314" i="1" s="1"/>
  <c r="AZ2313" i="1"/>
  <c r="AY2313" i="1"/>
  <c r="AX2313" i="1"/>
  <c r="AW2313" i="1"/>
  <c r="AU2313" i="1"/>
  <c r="AT2313" i="1"/>
  <c r="AS2313" i="1"/>
  <c r="K2313" i="1" a="1"/>
  <c r="K2313" i="1" s="1"/>
  <c r="J2313" i="1" a="1"/>
  <c r="J2313" i="1" s="1"/>
  <c r="F2313" i="1" a="1"/>
  <c r="F2313" i="1" s="1"/>
  <c r="AZ2311" i="1"/>
  <c r="AY2311" i="1"/>
  <c r="AX2311" i="1"/>
  <c r="AW2311" i="1"/>
  <c r="AU2311" i="1"/>
  <c r="AS2311" i="1"/>
  <c r="K2311" i="1" a="1"/>
  <c r="K2311" i="1" s="1"/>
  <c r="J2311" i="1" a="1"/>
  <c r="J2311" i="1" s="1"/>
  <c r="F2311" i="1" a="1"/>
  <c r="F2311" i="1" s="1"/>
  <c r="AZ2310" i="1"/>
  <c r="AY2310" i="1"/>
  <c r="AX2310" i="1"/>
  <c r="AW2310" i="1"/>
  <c r="AU2310" i="1"/>
  <c r="AS2310" i="1"/>
  <c r="K2310" i="1" a="1"/>
  <c r="K2310" i="1" s="1"/>
  <c r="J2310" i="1" a="1"/>
  <c r="J2310" i="1" s="1"/>
  <c r="F2310" i="1" a="1"/>
  <c r="F2310" i="1" s="1"/>
  <c r="AZ2308" i="1"/>
  <c r="AY2308" i="1"/>
  <c r="AX2308" i="1"/>
  <c r="AW2308" i="1"/>
  <c r="AU2308" i="1"/>
  <c r="AT2308" i="1"/>
  <c r="AS2308" i="1"/>
  <c r="K2308" i="1" a="1"/>
  <c r="K2308" i="1" s="1"/>
  <c r="J2308" i="1" a="1"/>
  <c r="J2308" i="1" s="1"/>
  <c r="F2308" i="1" a="1"/>
  <c r="F2308" i="1" s="1"/>
  <c r="AZ2307" i="1"/>
  <c r="AY2307" i="1"/>
  <c r="AX2307" i="1"/>
  <c r="AW2307" i="1"/>
  <c r="AU2307" i="1"/>
  <c r="AT2307" i="1"/>
  <c r="AS2307" i="1"/>
  <c r="K2307" i="1" a="1"/>
  <c r="K2307" i="1" s="1"/>
  <c r="J2307" i="1" a="1"/>
  <c r="J2307" i="1" s="1"/>
  <c r="F2307" i="1" a="1"/>
  <c r="F2307" i="1" s="1"/>
  <c r="AZ2305" i="1"/>
  <c r="AY2305" i="1"/>
  <c r="AX2305" i="1"/>
  <c r="AW2305" i="1"/>
  <c r="AU2305" i="1"/>
  <c r="AS2305" i="1"/>
  <c r="K2305" i="1" a="1"/>
  <c r="K2305" i="1" s="1"/>
  <c r="J2305" i="1" a="1"/>
  <c r="J2305" i="1" s="1"/>
  <c r="F2305" i="1" a="1"/>
  <c r="F2305" i="1" s="1"/>
  <c r="AZ2304" i="1"/>
  <c r="AY2304" i="1"/>
  <c r="AX2304" i="1"/>
  <c r="AW2304" i="1"/>
  <c r="AU2304" i="1"/>
  <c r="AS2304" i="1"/>
  <c r="K2304" i="1" a="1"/>
  <c r="K2304" i="1" s="1"/>
  <c r="J2304" i="1" a="1"/>
  <c r="J2304" i="1" s="1"/>
  <c r="F2304" i="1" a="1"/>
  <c r="F2304" i="1" s="1"/>
  <c r="AZ2302" i="1"/>
  <c r="AY2302" i="1"/>
  <c r="AX2302" i="1"/>
  <c r="AW2302" i="1"/>
  <c r="AU2302" i="1"/>
  <c r="AT2302" i="1"/>
  <c r="AS2302" i="1"/>
  <c r="K2302" i="1" a="1"/>
  <c r="K2302" i="1" s="1"/>
  <c r="J2302" i="1" a="1"/>
  <c r="J2302" i="1" s="1"/>
  <c r="F2302" i="1" a="1"/>
  <c r="F2302" i="1" s="1"/>
  <c r="AZ2301" i="1"/>
  <c r="AY2301" i="1"/>
  <c r="AX2301" i="1"/>
  <c r="AW2301" i="1"/>
  <c r="AU2301" i="1"/>
  <c r="AT2301" i="1"/>
  <c r="AS2301" i="1"/>
  <c r="K2301" i="1" a="1"/>
  <c r="K2301" i="1" s="1"/>
  <c r="J2301" i="1" a="1"/>
  <c r="J2301" i="1" s="1"/>
  <c r="F2301" i="1" a="1"/>
  <c r="F2301" i="1" s="1"/>
  <c r="AZ2299" i="1"/>
  <c r="AY2299" i="1"/>
  <c r="AX2299" i="1"/>
  <c r="AW2299" i="1"/>
  <c r="AU2299" i="1"/>
  <c r="AS2299" i="1"/>
  <c r="K2299" i="1" a="1"/>
  <c r="K2299" i="1" s="1"/>
  <c r="J2299" i="1" a="1"/>
  <c r="J2299" i="1" s="1"/>
  <c r="F2299" i="1" a="1"/>
  <c r="F2299" i="1" s="1"/>
  <c r="AZ2298" i="1"/>
  <c r="AY2298" i="1"/>
  <c r="AX2298" i="1"/>
  <c r="AW2298" i="1"/>
  <c r="AU2298" i="1"/>
  <c r="AS2298" i="1"/>
  <c r="K2298" i="1" a="1"/>
  <c r="K2298" i="1" s="1"/>
  <c r="J2298" i="1" a="1"/>
  <c r="J2298" i="1" s="1"/>
  <c r="F2298" i="1" a="1"/>
  <c r="F2298" i="1" s="1"/>
  <c r="AZ2296" i="1"/>
  <c r="AY2296" i="1"/>
  <c r="AX2296" i="1"/>
  <c r="AW2296" i="1"/>
  <c r="AU2296" i="1"/>
  <c r="AT2296" i="1"/>
  <c r="AS2296" i="1"/>
  <c r="K2296" i="1" a="1"/>
  <c r="K2296" i="1" s="1"/>
  <c r="J2296" i="1" a="1"/>
  <c r="J2296" i="1" s="1"/>
  <c r="F2296" i="1" a="1"/>
  <c r="F2296" i="1" s="1"/>
  <c r="AZ2295" i="1"/>
  <c r="AY2295" i="1"/>
  <c r="AX2295" i="1"/>
  <c r="AW2295" i="1"/>
  <c r="AU2295" i="1"/>
  <c r="AT2295" i="1"/>
  <c r="AS2295" i="1"/>
  <c r="K2295" i="1" a="1"/>
  <c r="K2295" i="1" s="1"/>
  <c r="J2295" i="1" a="1"/>
  <c r="J2295" i="1" s="1"/>
  <c r="F2295" i="1" a="1"/>
  <c r="F2295" i="1" s="1"/>
  <c r="AZ2293" i="1"/>
  <c r="AY2293" i="1"/>
  <c r="AX2293" i="1"/>
  <c r="AW2293" i="1"/>
  <c r="AU2293" i="1"/>
  <c r="AS2293" i="1"/>
  <c r="K2293" i="1" a="1"/>
  <c r="K2293" i="1" s="1"/>
  <c r="J2293" i="1" a="1"/>
  <c r="J2293" i="1" s="1"/>
  <c r="F2293" i="1" a="1"/>
  <c r="F2293" i="1" s="1"/>
  <c r="AZ2292" i="1"/>
  <c r="AY2292" i="1"/>
  <c r="AX2292" i="1"/>
  <c r="AW2292" i="1"/>
  <c r="AU2292" i="1"/>
  <c r="AS2292" i="1"/>
  <c r="K2292" i="1" a="1"/>
  <c r="K2292" i="1" s="1"/>
  <c r="J2292" i="1" a="1"/>
  <c r="J2292" i="1" s="1"/>
  <c r="F2292" i="1" a="1"/>
  <c r="F2292" i="1" s="1"/>
  <c r="AZ2412" i="1"/>
  <c r="AY2412" i="1"/>
  <c r="AX2412" i="1"/>
  <c r="AW2412" i="1"/>
  <c r="AU2412" i="1"/>
  <c r="AS2412" i="1"/>
  <c r="K2412" i="1" a="1"/>
  <c r="K2412" i="1" s="1"/>
  <c r="J2412" i="1" a="1"/>
  <c r="J2412" i="1" s="1"/>
  <c r="F2412" i="1" a="1"/>
  <c r="F2412" i="1" s="1"/>
  <c r="AZ2411" i="1"/>
  <c r="AY2411" i="1"/>
  <c r="AX2411" i="1"/>
  <c r="AW2411" i="1"/>
  <c r="AU2411" i="1"/>
  <c r="AS2411" i="1"/>
  <c r="K2411" i="1" a="1"/>
  <c r="K2411" i="1" s="1"/>
  <c r="J2411" i="1" a="1"/>
  <c r="J2411" i="1" s="1"/>
  <c r="F2411" i="1" a="1"/>
  <c r="F2411" i="1" s="1"/>
  <c r="E2411" i="1" s="1" a="1"/>
  <c r="E2411" i="1" s="1"/>
  <c r="AZ2409" i="1"/>
  <c r="AY2409" i="1"/>
  <c r="AX2409" i="1"/>
  <c r="AW2409" i="1"/>
  <c r="AU2409" i="1"/>
  <c r="AT2409" i="1"/>
  <c r="AS2409" i="1"/>
  <c r="K2409" i="1" a="1"/>
  <c r="K2409" i="1" s="1"/>
  <c r="J2409" i="1" a="1"/>
  <c r="J2409" i="1" s="1"/>
  <c r="F2409" i="1" a="1"/>
  <c r="F2409" i="1" s="1"/>
  <c r="AZ2408" i="1"/>
  <c r="AY2408" i="1"/>
  <c r="AX2408" i="1"/>
  <c r="AW2408" i="1"/>
  <c r="AU2408" i="1"/>
  <c r="AT2408" i="1"/>
  <c r="AS2408" i="1"/>
  <c r="K2408" i="1" a="1"/>
  <c r="K2408" i="1" s="1"/>
  <c r="J2408" i="1" a="1"/>
  <c r="J2408" i="1" s="1"/>
  <c r="F2408" i="1" a="1"/>
  <c r="F2408" i="1" s="1"/>
  <c r="AZ2027" i="1"/>
  <c r="AY2027" i="1"/>
  <c r="AX2027" i="1"/>
  <c r="AW2027" i="1"/>
  <c r="AU2027" i="1"/>
  <c r="AS2027" i="1"/>
  <c r="K2027" i="1" a="1"/>
  <c r="K2027" i="1" s="1"/>
  <c r="J2027" i="1" a="1"/>
  <c r="J2027" i="1" s="1"/>
  <c r="F2027" i="1" a="1"/>
  <c r="F2027" i="1" s="1"/>
  <c r="AZ2026" i="1"/>
  <c r="AY2026" i="1"/>
  <c r="AX2026" i="1"/>
  <c r="AW2026" i="1"/>
  <c r="AU2026" i="1"/>
  <c r="AS2026" i="1"/>
  <c r="K2026" i="1" a="1"/>
  <c r="K2026" i="1" s="1"/>
  <c r="J2026" i="1" a="1"/>
  <c r="J2026" i="1" s="1"/>
  <c r="F2026" i="1" a="1"/>
  <c r="F2026" i="1" s="1"/>
  <c r="AZ2024" i="1"/>
  <c r="AY2024" i="1"/>
  <c r="AX2024" i="1"/>
  <c r="AW2024" i="1"/>
  <c r="AU2024" i="1"/>
  <c r="AT2024" i="1"/>
  <c r="AS2024" i="1"/>
  <c r="K2024" i="1" a="1"/>
  <c r="K2024" i="1" s="1"/>
  <c r="J2024" i="1" a="1"/>
  <c r="J2024" i="1" s="1"/>
  <c r="F2024" i="1" a="1"/>
  <c r="F2024" i="1" s="1"/>
  <c r="AZ2023" i="1"/>
  <c r="AY2023" i="1"/>
  <c r="AX2023" i="1"/>
  <c r="AW2023" i="1"/>
  <c r="AU2023" i="1"/>
  <c r="AT2023" i="1"/>
  <c r="AS2023" i="1"/>
  <c r="K2023" i="1" a="1"/>
  <c r="K2023" i="1" s="1"/>
  <c r="J2023" i="1" a="1"/>
  <c r="J2023" i="1" s="1"/>
  <c r="F2023" i="1" a="1"/>
  <c r="F2023" i="1" s="1"/>
  <c r="AZ1203" i="1"/>
  <c r="AY1203" i="1"/>
  <c r="AX1203" i="1"/>
  <c r="AW1203" i="1"/>
  <c r="AU1203" i="1"/>
  <c r="AS1203" i="1"/>
  <c r="K1203" i="1" a="1"/>
  <c r="K1203" i="1" s="1"/>
  <c r="J1203" i="1" a="1"/>
  <c r="J1203" i="1" s="1"/>
  <c r="F1203" i="1" a="1"/>
  <c r="F1203" i="1" s="1"/>
  <c r="AZ1202" i="1"/>
  <c r="AY1202" i="1"/>
  <c r="AX1202" i="1"/>
  <c r="AW1202" i="1"/>
  <c r="AU1202" i="1"/>
  <c r="AS1202" i="1"/>
  <c r="K1202" i="1" a="1"/>
  <c r="K1202" i="1" s="1"/>
  <c r="J1202" i="1" a="1"/>
  <c r="J1202" i="1" s="1"/>
  <c r="F1202" i="1" a="1"/>
  <c r="F1202" i="1" s="1"/>
  <c r="AZ1200" i="1"/>
  <c r="AY1200" i="1"/>
  <c r="AX1200" i="1"/>
  <c r="AW1200" i="1"/>
  <c r="AT1200" i="1" a="1"/>
  <c r="AT1200" i="1" s="1"/>
  <c r="AU1200" i="1" s="1"/>
  <c r="K1200" i="1" a="1"/>
  <c r="K1200" i="1" s="1"/>
  <c r="J1200" i="1" a="1"/>
  <c r="J1200" i="1" s="1"/>
  <c r="F1200" i="1" a="1"/>
  <c r="F1200" i="1" s="1"/>
  <c r="AZ1199" i="1"/>
  <c r="AY1199" i="1"/>
  <c r="AX1199" i="1"/>
  <c r="AW1199" i="1"/>
  <c r="AT1199" i="1" a="1"/>
  <c r="AT1199" i="1" s="1"/>
  <c r="AU1199" i="1" s="1"/>
  <c r="K1199" i="1" a="1"/>
  <c r="K1199" i="1" s="1"/>
  <c r="J1199" i="1" a="1"/>
  <c r="J1199" i="1" s="1"/>
  <c r="F1199" i="1" a="1"/>
  <c r="F1199" i="1" s="1"/>
  <c r="AZ508" i="1"/>
  <c r="AY508" i="1"/>
  <c r="AX508" i="1"/>
  <c r="AW508" i="1"/>
  <c r="AT508" i="1" a="1"/>
  <c r="AT508" i="1" s="1"/>
  <c r="AU508" i="1" s="1"/>
  <c r="K508" i="1" a="1"/>
  <c r="K508" i="1" s="1"/>
  <c r="J508" i="1" a="1"/>
  <c r="J508" i="1" s="1"/>
  <c r="F508" i="1" a="1"/>
  <c r="F508" i="1" s="1"/>
  <c r="AZ507" i="1"/>
  <c r="AY507" i="1"/>
  <c r="AX507" i="1"/>
  <c r="AW507" i="1"/>
  <c r="AT507" i="1" a="1"/>
  <c r="AT507" i="1" s="1"/>
  <c r="AU507" i="1" s="1"/>
  <c r="K507" i="1" a="1"/>
  <c r="K507" i="1" s="1"/>
  <c r="J507" i="1" a="1"/>
  <c r="J507" i="1" s="1"/>
  <c r="F507" i="1" a="1"/>
  <c r="F507" i="1" s="1"/>
  <c r="AZ505" i="1"/>
  <c r="AY505" i="1"/>
  <c r="AX505" i="1"/>
  <c r="AW505" i="1"/>
  <c r="AT505" i="1" a="1"/>
  <c r="AT505" i="1" s="1"/>
  <c r="AU505" i="1" s="1"/>
  <c r="K505" i="1" a="1"/>
  <c r="K505" i="1" s="1"/>
  <c r="J505" i="1" a="1"/>
  <c r="J505" i="1" s="1"/>
  <c r="F505" i="1" a="1"/>
  <c r="F505" i="1" s="1"/>
  <c r="AZ504" i="1"/>
  <c r="AY504" i="1"/>
  <c r="AX504" i="1"/>
  <c r="AW504" i="1"/>
  <c r="AT504" i="1" a="1"/>
  <c r="AT504" i="1" s="1"/>
  <c r="AU504" i="1" s="1"/>
  <c r="K504" i="1" a="1"/>
  <c r="K504" i="1" s="1"/>
  <c r="J504" i="1" a="1"/>
  <c r="J504" i="1" s="1"/>
  <c r="F504" i="1" a="1"/>
  <c r="F504" i="1" s="1"/>
  <c r="AZ2774" i="1"/>
  <c r="AY2774" i="1"/>
  <c r="AX2774" i="1"/>
  <c r="AW2774" i="1"/>
  <c r="K2774" i="1" a="1"/>
  <c r="K2774" i="1" s="1"/>
  <c r="J2774" i="1" a="1"/>
  <c r="J2774" i="1" s="1"/>
  <c r="F2774" i="1" a="1"/>
  <c r="F2774" i="1" s="1"/>
  <c r="AZ2773" i="1"/>
  <c r="AY2773" i="1"/>
  <c r="AX2773" i="1"/>
  <c r="AW2773" i="1"/>
  <c r="K2773" i="1" a="1"/>
  <c r="K2773" i="1" s="1"/>
  <c r="J2773" i="1" a="1"/>
  <c r="J2773" i="1" s="1"/>
  <c r="F2773" i="1" a="1"/>
  <c r="F2773" i="1" s="1"/>
  <c r="AZ2771" i="1"/>
  <c r="AY2771" i="1"/>
  <c r="AX2771" i="1"/>
  <c r="AW2771" i="1"/>
  <c r="K2771" i="1" a="1"/>
  <c r="K2771" i="1" s="1"/>
  <c r="J2771" i="1" a="1"/>
  <c r="J2771" i="1" s="1"/>
  <c r="F2771" i="1" a="1"/>
  <c r="F2771" i="1" s="1"/>
  <c r="AZ2770" i="1"/>
  <c r="AY2770" i="1"/>
  <c r="AX2770" i="1"/>
  <c r="AW2770" i="1"/>
  <c r="K2770" i="1" a="1"/>
  <c r="K2770" i="1" s="1"/>
  <c r="J2770" i="1" a="1"/>
  <c r="J2770" i="1" s="1"/>
  <c r="F2770" i="1" a="1"/>
  <c r="F2770" i="1" s="1"/>
  <c r="AZ2442" i="1"/>
  <c r="AY2442" i="1"/>
  <c r="AX2442" i="1"/>
  <c r="AW2442" i="1"/>
  <c r="AU2442" i="1"/>
  <c r="AS2442" i="1"/>
  <c r="K2442" i="1" a="1"/>
  <c r="K2442" i="1" s="1"/>
  <c r="J2442" i="1" a="1"/>
  <c r="J2442" i="1" s="1"/>
  <c r="F2442" i="1" a="1"/>
  <c r="F2442" i="1" s="1"/>
  <c r="AZ2441" i="1"/>
  <c r="AY2441" i="1"/>
  <c r="AX2441" i="1"/>
  <c r="AW2441" i="1"/>
  <c r="AU2441" i="1"/>
  <c r="AS2441" i="1"/>
  <c r="K2441" i="1" a="1"/>
  <c r="K2441" i="1" s="1"/>
  <c r="J2441" i="1" a="1"/>
  <c r="J2441" i="1" s="1"/>
  <c r="F2441" i="1" a="1"/>
  <c r="F2441" i="1" s="1"/>
  <c r="E2441" i="1" s="1" a="1"/>
  <c r="E2441" i="1" s="1"/>
  <c r="AZ2439" i="1"/>
  <c r="AY2439" i="1"/>
  <c r="AX2439" i="1"/>
  <c r="AW2439" i="1"/>
  <c r="AU2439" i="1"/>
  <c r="AT2439" i="1"/>
  <c r="AS2439" i="1"/>
  <c r="K2439" i="1" a="1"/>
  <c r="K2439" i="1" s="1"/>
  <c r="J2439" i="1" a="1"/>
  <c r="J2439" i="1" s="1"/>
  <c r="F2439" i="1" a="1"/>
  <c r="F2439" i="1" s="1"/>
  <c r="AZ2438" i="1"/>
  <c r="AY2438" i="1"/>
  <c r="AX2438" i="1"/>
  <c r="AW2438" i="1"/>
  <c r="AU2438" i="1"/>
  <c r="AT2438" i="1"/>
  <c r="AS2438" i="1"/>
  <c r="K2438" i="1" a="1"/>
  <c r="K2438" i="1" s="1"/>
  <c r="J2438" i="1" a="1"/>
  <c r="J2438" i="1" s="1"/>
  <c r="F2438" i="1" a="1"/>
  <c r="F2438" i="1" s="1"/>
  <c r="AZ2436" i="1"/>
  <c r="AY2436" i="1"/>
  <c r="AX2436" i="1"/>
  <c r="AW2436" i="1"/>
  <c r="K2436" i="1" a="1"/>
  <c r="K2436" i="1" s="1"/>
  <c r="J2436" i="1" a="1"/>
  <c r="J2436" i="1" s="1"/>
  <c r="F2436" i="1" a="1"/>
  <c r="F2436" i="1" s="1"/>
  <c r="AZ2435" i="1"/>
  <c r="AY2435" i="1"/>
  <c r="AX2435" i="1"/>
  <c r="AW2435" i="1"/>
  <c r="K2435" i="1" a="1"/>
  <c r="K2435" i="1" s="1"/>
  <c r="J2435" i="1" a="1"/>
  <c r="J2435" i="1" s="1"/>
  <c r="F2435" i="1" a="1"/>
  <c r="F2435" i="1" s="1"/>
  <c r="AZ2433" i="1"/>
  <c r="AY2433" i="1"/>
  <c r="AX2433" i="1"/>
  <c r="AW2433" i="1"/>
  <c r="K2433" i="1" a="1"/>
  <c r="K2433" i="1" s="1"/>
  <c r="J2433" i="1" a="1"/>
  <c r="J2433" i="1" s="1"/>
  <c r="F2433" i="1" a="1"/>
  <c r="F2433" i="1" s="1"/>
  <c r="AZ2432" i="1"/>
  <c r="AY2432" i="1"/>
  <c r="AX2432" i="1"/>
  <c r="AW2432" i="1"/>
  <c r="K2432" i="1" a="1"/>
  <c r="K2432" i="1" s="1"/>
  <c r="J2432" i="1" a="1"/>
  <c r="J2432" i="1" s="1"/>
  <c r="F2432" i="1" a="1"/>
  <c r="F2432" i="1" s="1"/>
  <c r="AZ2430" i="1"/>
  <c r="AY2430" i="1"/>
  <c r="AX2430" i="1"/>
  <c r="AW2430" i="1"/>
  <c r="K2430" i="1" a="1"/>
  <c r="K2430" i="1" s="1"/>
  <c r="J2430" i="1" a="1"/>
  <c r="J2430" i="1" s="1"/>
  <c r="F2430" i="1" a="1"/>
  <c r="F2430" i="1" s="1"/>
  <c r="AZ2429" i="1"/>
  <c r="AY2429" i="1"/>
  <c r="AX2429" i="1"/>
  <c r="AW2429" i="1"/>
  <c r="K2429" i="1" a="1"/>
  <c r="K2429" i="1" s="1"/>
  <c r="J2429" i="1" a="1"/>
  <c r="J2429" i="1" s="1"/>
  <c r="F2429" i="1" a="1"/>
  <c r="F2429" i="1" s="1"/>
  <c r="AZ2427" i="1"/>
  <c r="AY2427" i="1"/>
  <c r="AX2427" i="1"/>
  <c r="AW2427" i="1"/>
  <c r="K2427" i="1" a="1"/>
  <c r="K2427" i="1" s="1"/>
  <c r="J2427" i="1" a="1"/>
  <c r="J2427" i="1" s="1"/>
  <c r="F2427" i="1" a="1"/>
  <c r="F2427" i="1" s="1"/>
  <c r="AZ2426" i="1"/>
  <c r="AY2426" i="1"/>
  <c r="AX2426" i="1"/>
  <c r="AW2426" i="1"/>
  <c r="K2426" i="1" a="1"/>
  <c r="K2426" i="1" s="1"/>
  <c r="J2426" i="1" a="1"/>
  <c r="J2426" i="1" s="1"/>
  <c r="F2426" i="1" a="1"/>
  <c r="F2426" i="1" s="1"/>
  <c r="AZ2424" i="1"/>
  <c r="AY2424" i="1"/>
  <c r="AX2424" i="1"/>
  <c r="AW2424" i="1"/>
  <c r="K2424" i="1" a="1"/>
  <c r="K2424" i="1" s="1"/>
  <c r="J2424" i="1" a="1"/>
  <c r="J2424" i="1" s="1"/>
  <c r="F2424" i="1" a="1"/>
  <c r="F2424" i="1" s="1"/>
  <c r="AZ2423" i="1"/>
  <c r="AY2423" i="1"/>
  <c r="AX2423" i="1"/>
  <c r="AW2423" i="1"/>
  <c r="K2423" i="1" a="1"/>
  <c r="K2423" i="1" s="1"/>
  <c r="J2423" i="1" a="1"/>
  <c r="J2423" i="1" s="1"/>
  <c r="F2423" i="1" a="1"/>
  <c r="F2423" i="1" s="1"/>
  <c r="AZ2421" i="1"/>
  <c r="AY2421" i="1"/>
  <c r="AX2421" i="1"/>
  <c r="AW2421" i="1"/>
  <c r="K2421" i="1" a="1"/>
  <c r="K2421" i="1" s="1"/>
  <c r="J2421" i="1" a="1"/>
  <c r="J2421" i="1" s="1"/>
  <c r="F2421" i="1" a="1"/>
  <c r="F2421" i="1" s="1"/>
  <c r="AZ2420" i="1"/>
  <c r="AY2420" i="1"/>
  <c r="AX2420" i="1"/>
  <c r="AW2420" i="1"/>
  <c r="K2420" i="1" a="1"/>
  <c r="K2420" i="1" s="1"/>
  <c r="J2420" i="1" a="1"/>
  <c r="J2420" i="1" s="1"/>
  <c r="F2420" i="1" a="1"/>
  <c r="F2420" i="1" s="1"/>
  <c r="AZ2418" i="1"/>
  <c r="AY2418" i="1"/>
  <c r="AX2418" i="1"/>
  <c r="AW2418" i="1"/>
  <c r="K2418" i="1" a="1"/>
  <c r="K2418" i="1" s="1"/>
  <c r="J2418" i="1" a="1"/>
  <c r="J2418" i="1" s="1"/>
  <c r="F2418" i="1" a="1"/>
  <c r="F2418" i="1" s="1"/>
  <c r="AZ2417" i="1"/>
  <c r="AY2417" i="1"/>
  <c r="AX2417" i="1"/>
  <c r="AW2417" i="1"/>
  <c r="K2417" i="1" a="1"/>
  <c r="K2417" i="1" s="1"/>
  <c r="J2417" i="1" a="1"/>
  <c r="J2417" i="1" s="1"/>
  <c r="F2417" i="1" a="1"/>
  <c r="F2417" i="1" s="1"/>
  <c r="AZ2772" i="1"/>
  <c r="AY2772" i="1"/>
  <c r="AX2772" i="1"/>
  <c r="AW2772" i="1"/>
  <c r="K2772" i="1" a="1"/>
  <c r="K2772" i="1" s="1"/>
  <c r="J2772" i="1" a="1"/>
  <c r="J2772" i="1" s="1"/>
  <c r="F2772" i="1" a="1"/>
  <c r="F2772" i="1" s="1"/>
  <c r="AZ2491" i="1"/>
  <c r="AY2491" i="1"/>
  <c r="AX2491" i="1"/>
  <c r="AW2491" i="1"/>
  <c r="AU2491" i="1"/>
  <c r="AS2491" i="1"/>
  <c r="K2491" i="1" a="1"/>
  <c r="K2491" i="1" s="1"/>
  <c r="J2491" i="1" a="1"/>
  <c r="J2491" i="1" s="1"/>
  <c r="F2491" i="1" a="1"/>
  <c r="F2491" i="1" s="1"/>
  <c r="AZ2490" i="1"/>
  <c r="AY2490" i="1"/>
  <c r="AX2490" i="1"/>
  <c r="AW2490" i="1"/>
  <c r="AU2490" i="1"/>
  <c r="AS2490" i="1"/>
  <c r="K2490" i="1" a="1"/>
  <c r="K2490" i="1" s="1"/>
  <c r="J2490" i="1" a="1"/>
  <c r="J2490" i="1" s="1"/>
  <c r="F2490" i="1" a="1"/>
  <c r="F2490" i="1" s="1"/>
  <c r="AZ2488" i="1"/>
  <c r="AY2488" i="1"/>
  <c r="AX2488" i="1"/>
  <c r="AW2488" i="1"/>
  <c r="AU2488" i="1"/>
  <c r="AS2488" i="1"/>
  <c r="K2488" i="1" a="1"/>
  <c r="K2488" i="1" s="1"/>
  <c r="J2488" i="1" a="1"/>
  <c r="J2488" i="1" s="1"/>
  <c r="F2488" i="1" a="1"/>
  <c r="F2488" i="1" s="1"/>
  <c r="AZ2487" i="1"/>
  <c r="AY2487" i="1"/>
  <c r="AX2487" i="1"/>
  <c r="AW2487" i="1"/>
  <c r="AU2487" i="1"/>
  <c r="AS2487" i="1"/>
  <c r="K2487" i="1" a="1"/>
  <c r="K2487" i="1" s="1"/>
  <c r="J2487" i="1" a="1"/>
  <c r="J2487" i="1" s="1"/>
  <c r="F2487" i="1" a="1"/>
  <c r="F2487" i="1" s="1"/>
  <c r="AZ2485" i="1"/>
  <c r="AY2485" i="1"/>
  <c r="AX2485" i="1"/>
  <c r="AW2485" i="1"/>
  <c r="AU2485" i="1"/>
  <c r="AS2485" i="1"/>
  <c r="K2485" i="1" a="1"/>
  <c r="K2485" i="1" s="1"/>
  <c r="J2485" i="1" a="1"/>
  <c r="J2485" i="1" s="1"/>
  <c r="F2485" i="1" a="1"/>
  <c r="F2485" i="1" s="1"/>
  <c r="E2485" i="1" s="1" a="1"/>
  <c r="E2485" i="1" s="1"/>
  <c r="AZ2484" i="1"/>
  <c r="AY2484" i="1"/>
  <c r="AX2484" i="1"/>
  <c r="AW2484" i="1"/>
  <c r="AU2484" i="1"/>
  <c r="AS2484" i="1"/>
  <c r="K2484" i="1" a="1"/>
  <c r="K2484" i="1" s="1"/>
  <c r="J2484" i="1" a="1"/>
  <c r="J2484" i="1" s="1"/>
  <c r="F2484" i="1" a="1"/>
  <c r="F2484" i="1" s="1"/>
  <c r="AZ2482" i="1"/>
  <c r="AY2482" i="1"/>
  <c r="AX2482" i="1"/>
  <c r="AW2482" i="1"/>
  <c r="AU2482" i="1"/>
  <c r="AS2482" i="1"/>
  <c r="K2482" i="1" a="1"/>
  <c r="K2482" i="1" s="1"/>
  <c r="J2482" i="1" a="1"/>
  <c r="J2482" i="1" s="1"/>
  <c r="F2482" i="1" a="1"/>
  <c r="F2482" i="1" s="1"/>
  <c r="AZ2481" i="1"/>
  <c r="AY2481" i="1"/>
  <c r="AX2481" i="1"/>
  <c r="AW2481" i="1"/>
  <c r="AU2481" i="1"/>
  <c r="AS2481" i="1"/>
  <c r="K2481" i="1" a="1"/>
  <c r="K2481" i="1" s="1"/>
  <c r="J2481" i="1" a="1"/>
  <c r="J2481" i="1" s="1"/>
  <c r="F2481" i="1" a="1"/>
  <c r="F2481" i="1" s="1"/>
  <c r="AZ2479" i="1"/>
  <c r="AY2479" i="1"/>
  <c r="AX2479" i="1"/>
  <c r="AW2479" i="1"/>
  <c r="AU2479" i="1"/>
  <c r="AT2479" i="1"/>
  <c r="AS2479" i="1"/>
  <c r="K2479" i="1" a="1"/>
  <c r="K2479" i="1" s="1"/>
  <c r="J2479" i="1" a="1"/>
  <c r="J2479" i="1" s="1"/>
  <c r="F2479" i="1" a="1"/>
  <c r="F2479" i="1" s="1"/>
  <c r="AZ2478" i="1"/>
  <c r="AY2478" i="1"/>
  <c r="AX2478" i="1"/>
  <c r="AW2478" i="1"/>
  <c r="AU2478" i="1"/>
  <c r="AT2478" i="1"/>
  <c r="AS2478" i="1"/>
  <c r="K2478" i="1" a="1"/>
  <c r="K2478" i="1" s="1"/>
  <c r="J2478" i="1" a="1"/>
  <c r="J2478" i="1" s="1"/>
  <c r="F2478" i="1" a="1"/>
  <c r="F2478" i="1" s="1"/>
  <c r="AZ2476" i="1"/>
  <c r="AY2476" i="1"/>
  <c r="AX2476" i="1"/>
  <c r="AW2476" i="1"/>
  <c r="AU2476" i="1"/>
  <c r="AS2476" i="1"/>
  <c r="K2476" i="1" a="1"/>
  <c r="K2476" i="1" s="1"/>
  <c r="J2476" i="1" a="1"/>
  <c r="J2476" i="1" s="1"/>
  <c r="F2476" i="1" a="1"/>
  <c r="F2476" i="1" s="1"/>
  <c r="E2476" i="1" s="1" a="1"/>
  <c r="E2476" i="1" s="1"/>
  <c r="AZ2475" i="1"/>
  <c r="AY2475" i="1"/>
  <c r="AX2475" i="1"/>
  <c r="AW2475" i="1"/>
  <c r="AU2475" i="1"/>
  <c r="AS2475" i="1"/>
  <c r="K2475" i="1" a="1"/>
  <c r="K2475" i="1" s="1"/>
  <c r="J2475" i="1" a="1"/>
  <c r="J2475" i="1" s="1"/>
  <c r="F2475" i="1" a="1"/>
  <c r="F2475" i="1" s="1"/>
  <c r="AZ2473" i="1"/>
  <c r="AY2473" i="1"/>
  <c r="AX2473" i="1"/>
  <c r="AW2473" i="1"/>
  <c r="AU2473" i="1"/>
  <c r="AS2473" i="1"/>
  <c r="K2473" i="1" a="1"/>
  <c r="K2473" i="1" s="1"/>
  <c r="J2473" i="1" a="1"/>
  <c r="J2473" i="1" s="1"/>
  <c r="F2473" i="1" a="1"/>
  <c r="F2473" i="1" s="1"/>
  <c r="E2473" i="1" s="1" a="1"/>
  <c r="E2473" i="1" s="1"/>
  <c r="AZ2472" i="1"/>
  <c r="AY2472" i="1"/>
  <c r="AX2472" i="1"/>
  <c r="AW2472" i="1"/>
  <c r="AU2472" i="1"/>
  <c r="AS2472" i="1"/>
  <c r="K2472" i="1" a="1"/>
  <c r="K2472" i="1" s="1"/>
  <c r="J2472" i="1" a="1"/>
  <c r="J2472" i="1" s="1"/>
  <c r="F2472" i="1" a="1"/>
  <c r="F2472" i="1" s="1"/>
  <c r="AZ2470" i="1"/>
  <c r="AS2470" i="1"/>
  <c r="AY2470" i="1"/>
  <c r="AX2470" i="1"/>
  <c r="AW2470" i="1"/>
  <c r="K2470" i="1" a="1"/>
  <c r="K2470" i="1" s="1"/>
  <c r="J2470" i="1" a="1"/>
  <c r="J2470" i="1" s="1"/>
  <c r="AZ2469" i="1"/>
  <c r="AS2469" i="1"/>
  <c r="AY2469" i="1"/>
  <c r="AX2469" i="1"/>
  <c r="AW2469" i="1"/>
  <c r="K2469" i="1" a="1"/>
  <c r="K2469" i="1" s="1"/>
  <c r="J2469" i="1" a="1"/>
  <c r="J2469" i="1" s="1"/>
  <c r="AZ2467" i="1"/>
  <c r="AS2467" i="1"/>
  <c r="AY2467" i="1"/>
  <c r="AX2467" i="1"/>
  <c r="AW2467" i="1"/>
  <c r="K2467" i="1" a="1"/>
  <c r="K2467" i="1" s="1"/>
  <c r="J2467" i="1" a="1"/>
  <c r="J2467" i="1" s="1"/>
  <c r="AZ2466" i="1"/>
  <c r="AS2466" i="1"/>
  <c r="AY2466" i="1"/>
  <c r="AX2466" i="1"/>
  <c r="AW2466" i="1"/>
  <c r="K2466" i="1" a="1"/>
  <c r="K2466" i="1" s="1"/>
  <c r="J2466" i="1" a="1"/>
  <c r="J2466" i="1" s="1"/>
  <c r="AZ2464" i="1"/>
  <c r="AY2464" i="1"/>
  <c r="AX2464" i="1"/>
  <c r="AW2464" i="1"/>
  <c r="AU2464" i="1"/>
  <c r="AT2464" i="1"/>
  <c r="AS2464" i="1"/>
  <c r="K2464" i="1" a="1"/>
  <c r="K2464" i="1" s="1"/>
  <c r="J2464" i="1" a="1"/>
  <c r="J2464" i="1" s="1"/>
  <c r="F2464" i="1" a="1"/>
  <c r="F2464" i="1" s="1"/>
  <c r="AZ2463" i="1"/>
  <c r="AY2463" i="1"/>
  <c r="AX2463" i="1"/>
  <c r="AW2463" i="1"/>
  <c r="AU2463" i="1"/>
  <c r="AT2463" i="1"/>
  <c r="AS2463" i="1"/>
  <c r="K2463" i="1" a="1"/>
  <c r="K2463" i="1" s="1"/>
  <c r="J2463" i="1" a="1"/>
  <c r="J2463" i="1" s="1"/>
  <c r="F2463" i="1" a="1"/>
  <c r="F2463" i="1" s="1"/>
  <c r="AZ2461" i="1"/>
  <c r="AY2461" i="1"/>
  <c r="J2461" i="1" a="1"/>
  <c r="J2461" i="1" s="1"/>
  <c r="AZ2460" i="1"/>
  <c r="AY2460" i="1"/>
  <c r="J2460" i="1" a="1"/>
  <c r="J2460" i="1" s="1"/>
  <c r="AZ2458" i="1"/>
  <c r="AY2458" i="1"/>
  <c r="AX2458" i="1"/>
  <c r="AW2458" i="1"/>
  <c r="AU2458" i="1"/>
  <c r="AT2458" i="1"/>
  <c r="AS2458" i="1"/>
  <c r="K2458" i="1" a="1"/>
  <c r="K2458" i="1" s="1"/>
  <c r="J2458" i="1" a="1"/>
  <c r="J2458" i="1" s="1"/>
  <c r="F2458" i="1" a="1"/>
  <c r="F2458" i="1" s="1"/>
  <c r="AZ2457" i="1"/>
  <c r="AY2457" i="1"/>
  <c r="AX2457" i="1"/>
  <c r="AW2457" i="1"/>
  <c r="AU2457" i="1"/>
  <c r="AT2457" i="1"/>
  <c r="AS2457" i="1"/>
  <c r="K2457" i="1" a="1"/>
  <c r="K2457" i="1" s="1"/>
  <c r="J2457" i="1" a="1"/>
  <c r="J2457" i="1" s="1"/>
  <c r="F2457" i="1" a="1"/>
  <c r="F2457" i="1" s="1"/>
  <c r="AZ2455" i="1"/>
  <c r="AY2455" i="1"/>
  <c r="AX2455" i="1"/>
  <c r="AW2455" i="1"/>
  <c r="AU2455" i="1"/>
  <c r="AS2455" i="1"/>
  <c r="K2455" i="1" a="1"/>
  <c r="K2455" i="1" s="1"/>
  <c r="J2455" i="1" a="1"/>
  <c r="J2455" i="1" s="1"/>
  <c r="F2455" i="1" a="1"/>
  <c r="F2455" i="1" s="1"/>
  <c r="E2455" i="1" s="1" a="1"/>
  <c r="E2455" i="1" s="1"/>
  <c r="AZ2454" i="1"/>
  <c r="AY2454" i="1"/>
  <c r="AX2454" i="1"/>
  <c r="AW2454" i="1"/>
  <c r="AU2454" i="1"/>
  <c r="AS2454" i="1"/>
  <c r="K2454" i="1" a="1"/>
  <c r="K2454" i="1" s="1"/>
  <c r="J2454" i="1" a="1"/>
  <c r="J2454" i="1" s="1"/>
  <c r="F2454" i="1" a="1"/>
  <c r="F2454" i="1" s="1"/>
  <c r="AZ2452" i="1"/>
  <c r="AY2452" i="1"/>
  <c r="AX2452" i="1"/>
  <c r="AW2452" i="1"/>
  <c r="AU2452" i="1"/>
  <c r="AT2452" i="1"/>
  <c r="AS2452" i="1"/>
  <c r="K2452" i="1" a="1"/>
  <c r="K2452" i="1" s="1"/>
  <c r="J2452" i="1" a="1"/>
  <c r="J2452" i="1" s="1"/>
  <c r="F2452" i="1" a="1"/>
  <c r="F2452" i="1" s="1"/>
  <c r="AZ2451" i="1"/>
  <c r="AY2451" i="1"/>
  <c r="AX2451" i="1"/>
  <c r="AW2451" i="1"/>
  <c r="AU2451" i="1"/>
  <c r="AT2451" i="1"/>
  <c r="AS2451" i="1"/>
  <c r="K2451" i="1" a="1"/>
  <c r="K2451" i="1" s="1"/>
  <c r="J2451" i="1" a="1"/>
  <c r="J2451" i="1" s="1"/>
  <c r="F2451" i="1" a="1"/>
  <c r="F2451" i="1" s="1"/>
  <c r="E2451" i="1" s="1" a="1"/>
  <c r="E2451" i="1" s="1"/>
  <c r="AZ2449" i="1"/>
  <c r="AY2449" i="1"/>
  <c r="AX2449" i="1"/>
  <c r="AW2449" i="1"/>
  <c r="AU2449" i="1"/>
  <c r="AT2449" i="1"/>
  <c r="AS2449" i="1"/>
  <c r="K2449" i="1" a="1"/>
  <c r="K2449" i="1" s="1"/>
  <c r="J2449" i="1" a="1"/>
  <c r="J2449" i="1" s="1"/>
  <c r="F2449" i="1" a="1"/>
  <c r="F2449" i="1" s="1"/>
  <c r="E2449" i="1" s="1" a="1"/>
  <c r="E2449" i="1" s="1"/>
  <c r="AZ2448" i="1"/>
  <c r="AY2448" i="1"/>
  <c r="AX2448" i="1"/>
  <c r="AW2448" i="1"/>
  <c r="AU2448" i="1"/>
  <c r="AT2448" i="1"/>
  <c r="AS2448" i="1"/>
  <c r="K2448" i="1" a="1"/>
  <c r="K2448" i="1" s="1"/>
  <c r="J2448" i="1" a="1"/>
  <c r="J2448" i="1" s="1"/>
  <c r="F2448" i="1" a="1"/>
  <c r="F2448" i="1" s="1"/>
  <c r="AZ2446" i="1"/>
  <c r="AY2446" i="1"/>
  <c r="AX2446" i="1"/>
  <c r="AW2446" i="1"/>
  <c r="AU2446" i="1"/>
  <c r="AS2446" i="1"/>
  <c r="K2446" i="1"/>
  <c r="J2446" i="1" a="1"/>
  <c r="J2446" i="1" s="1"/>
  <c r="F2446" i="1" a="1"/>
  <c r="F2446" i="1" s="1"/>
  <c r="AZ2445" i="1"/>
  <c r="AY2445" i="1"/>
  <c r="AX2445" i="1"/>
  <c r="AW2445" i="1"/>
  <c r="AU2445" i="1"/>
  <c r="AS2445" i="1"/>
  <c r="K2445" i="1"/>
  <c r="J2445" i="1" a="1"/>
  <c r="J2445" i="1" s="1"/>
  <c r="F2445" i="1" a="1"/>
  <c r="F2445" i="1" s="1"/>
  <c r="AZ2489" i="1"/>
  <c r="AY2489" i="1"/>
  <c r="AX2489" i="1"/>
  <c r="AW2489" i="1"/>
  <c r="AU2489" i="1"/>
  <c r="AS2489" i="1"/>
  <c r="K2489" i="1" a="1"/>
  <c r="K2489" i="1" s="1"/>
  <c r="J2489" i="1" a="1"/>
  <c r="J2489" i="1" s="1"/>
  <c r="F2489" i="1" a="1"/>
  <c r="F2489" i="1" s="1"/>
  <c r="AW2536" i="1"/>
  <c r="BK2536" i="1" s="1" a="1"/>
  <c r="BK2536" i="1" s="1"/>
  <c r="AT2536" i="1" a="1"/>
  <c r="AT2536" i="1" s="1"/>
  <c r="AU2536" i="1" s="1"/>
  <c r="AS2536" i="1" a="1"/>
  <c r="AS2536" i="1" s="1"/>
  <c r="K2536" i="1" a="1"/>
  <c r="K2536" i="1" s="1"/>
  <c r="J2536" i="1" a="1"/>
  <c r="J2536" i="1" s="1"/>
  <c r="F2536" i="1" a="1"/>
  <c r="F2536" i="1" s="1"/>
  <c r="AW2535" i="1"/>
  <c r="BK2535" i="1" s="1" a="1"/>
  <c r="BK2535" i="1" s="1"/>
  <c r="AT2535" i="1" a="1"/>
  <c r="AT2535" i="1" s="1"/>
  <c r="AU2535" i="1" s="1"/>
  <c r="AS2535" i="1" a="1"/>
  <c r="AS2535" i="1" s="1"/>
  <c r="K2535" i="1" a="1"/>
  <c r="K2535" i="1" s="1"/>
  <c r="J2535" i="1" a="1"/>
  <c r="J2535" i="1" s="1"/>
  <c r="F2535" i="1" a="1"/>
  <c r="F2535" i="1" s="1"/>
  <c r="AW2533" i="1"/>
  <c r="BM2533" i="1" s="1" a="1"/>
  <c r="BM2533" i="1" s="1"/>
  <c r="BJ2533" i="1" s="1" a="1"/>
  <c r="BJ2533" i="1" s="1"/>
  <c r="AT2533" i="1" a="1"/>
  <c r="AT2533" i="1" s="1"/>
  <c r="AU2533" i="1" s="1"/>
  <c r="AS2533" i="1" a="1"/>
  <c r="AS2533" i="1" s="1"/>
  <c r="K2533" i="1" a="1"/>
  <c r="K2533" i="1" s="1"/>
  <c r="J2533" i="1" a="1"/>
  <c r="J2533" i="1" s="1"/>
  <c r="F2533" i="1" a="1"/>
  <c r="F2533" i="1" s="1"/>
  <c r="AW2532" i="1"/>
  <c r="BN2532" i="1" s="1" a="1"/>
  <c r="BN2532" i="1" s="1"/>
  <c r="AT2532" i="1" a="1"/>
  <c r="AT2532" i="1" s="1"/>
  <c r="AU2532" i="1" s="1"/>
  <c r="AS2532" i="1" a="1"/>
  <c r="AS2532" i="1" s="1"/>
  <c r="K2532" i="1" a="1"/>
  <c r="K2532" i="1" s="1"/>
  <c r="J2532" i="1" a="1"/>
  <c r="J2532" i="1" s="1"/>
  <c r="F2532" i="1" a="1"/>
  <c r="F2532" i="1" s="1"/>
  <c r="BN2530" i="1" a="1"/>
  <c r="BN2530" i="1" s="1"/>
  <c r="BM2530" i="1" a="1"/>
  <c r="BM2530" i="1" s="1"/>
  <c r="BJ2530" i="1" s="1" a="1"/>
  <c r="BJ2530" i="1" s="1"/>
  <c r="BL2530" i="1" a="1"/>
  <c r="BL2530" i="1" s="1"/>
  <c r="BK2530" i="1" a="1"/>
  <c r="BK2530" i="1" s="1"/>
  <c r="BI2530" i="1" a="1"/>
  <c r="BI2530" i="1" s="1"/>
  <c r="AT2530" i="1" a="1"/>
  <c r="AT2530" i="1" s="1"/>
  <c r="AU2530" i="1" s="1"/>
  <c r="AS2530" i="1" a="1"/>
  <c r="AS2530" i="1" s="1"/>
  <c r="K2530" i="1" a="1"/>
  <c r="K2530" i="1" s="1"/>
  <c r="J2530" i="1" a="1"/>
  <c r="J2530" i="1" s="1"/>
  <c r="F2530" i="1" a="1"/>
  <c r="F2530" i="1" s="1"/>
  <c r="BN2529" i="1" a="1"/>
  <c r="BN2529" i="1" s="1"/>
  <c r="BM2529" i="1" a="1"/>
  <c r="BM2529" i="1" s="1"/>
  <c r="BJ2529" i="1" s="1" a="1"/>
  <c r="BJ2529" i="1" s="1"/>
  <c r="BL2529" i="1" a="1"/>
  <c r="BL2529" i="1" s="1"/>
  <c r="BK2529" i="1" a="1"/>
  <c r="BK2529" i="1" s="1"/>
  <c r="BI2529" i="1" a="1"/>
  <c r="BI2529" i="1" s="1"/>
  <c r="AT2529" i="1" a="1"/>
  <c r="AT2529" i="1" s="1"/>
  <c r="AU2529" i="1" s="1"/>
  <c r="AS2529" i="1" a="1"/>
  <c r="AS2529" i="1" s="1"/>
  <c r="K2529" i="1" a="1"/>
  <c r="K2529" i="1" s="1"/>
  <c r="J2529" i="1" a="1"/>
  <c r="J2529" i="1" s="1"/>
  <c r="F2529" i="1" a="1"/>
  <c r="F2529" i="1" s="1"/>
  <c r="AW2527" i="1"/>
  <c r="BL2527" i="1" s="1" a="1"/>
  <c r="BL2527" i="1" s="1"/>
  <c r="AT2527" i="1" a="1"/>
  <c r="AT2527" i="1" s="1"/>
  <c r="AU2527" i="1" s="1"/>
  <c r="AS2527" i="1" a="1"/>
  <c r="AS2527" i="1" s="1"/>
  <c r="K2527" i="1" a="1"/>
  <c r="K2527" i="1" s="1"/>
  <c r="J2527" i="1" a="1"/>
  <c r="J2527" i="1" s="1"/>
  <c r="F2527" i="1" a="1"/>
  <c r="F2527" i="1" s="1"/>
  <c r="AW2526" i="1"/>
  <c r="BK2526" i="1" s="1" a="1"/>
  <c r="BK2526" i="1" s="1"/>
  <c r="AT2526" i="1" a="1"/>
  <c r="AT2526" i="1" s="1"/>
  <c r="AU2526" i="1" s="1"/>
  <c r="AS2526" i="1" a="1"/>
  <c r="AS2526" i="1" s="1"/>
  <c r="K2526" i="1" a="1"/>
  <c r="K2526" i="1" s="1"/>
  <c r="J2526" i="1" a="1"/>
  <c r="J2526" i="1" s="1"/>
  <c r="F2526" i="1" a="1"/>
  <c r="F2526" i="1" s="1"/>
  <c r="AW2524" i="1"/>
  <c r="BM2524" i="1" s="1" a="1"/>
  <c r="BM2524" i="1" s="1"/>
  <c r="BJ2524" i="1" s="1" a="1"/>
  <c r="BJ2524" i="1" s="1"/>
  <c r="AT2524" i="1" a="1"/>
  <c r="AT2524" i="1" s="1"/>
  <c r="AU2524" i="1" s="1"/>
  <c r="AS2524" i="1" a="1"/>
  <c r="AS2524" i="1" s="1"/>
  <c r="K2524" i="1" a="1"/>
  <c r="K2524" i="1" s="1"/>
  <c r="J2524" i="1" a="1"/>
  <c r="J2524" i="1" s="1"/>
  <c r="F2524" i="1" a="1"/>
  <c r="F2524" i="1" s="1"/>
  <c r="AW2523" i="1"/>
  <c r="BM2523" i="1" s="1" a="1"/>
  <c r="BM2523" i="1" s="1"/>
  <c r="BJ2523" i="1" s="1" a="1"/>
  <c r="BJ2523" i="1" s="1"/>
  <c r="AT2523" i="1" a="1"/>
  <c r="AT2523" i="1" s="1"/>
  <c r="AU2523" i="1" s="1"/>
  <c r="AS2523" i="1" a="1"/>
  <c r="AS2523" i="1" s="1"/>
  <c r="K2523" i="1" a="1"/>
  <c r="K2523" i="1" s="1"/>
  <c r="J2523" i="1" a="1"/>
  <c r="J2523" i="1" s="1"/>
  <c r="F2523" i="1" a="1"/>
  <c r="F2523" i="1" s="1"/>
  <c r="BN2521" i="1" a="1"/>
  <c r="BN2521" i="1" s="1"/>
  <c r="BM2521" i="1" a="1"/>
  <c r="BM2521" i="1" s="1"/>
  <c r="BJ2521" i="1" s="1" a="1"/>
  <c r="BJ2521" i="1" s="1"/>
  <c r="BL2521" i="1" a="1"/>
  <c r="BL2521" i="1" s="1"/>
  <c r="BK2521" i="1" a="1"/>
  <c r="BK2521" i="1" s="1"/>
  <c r="BI2521" i="1" a="1"/>
  <c r="BI2521" i="1" s="1"/>
  <c r="AT2521" i="1" a="1"/>
  <c r="AT2521" i="1" s="1"/>
  <c r="AU2521" i="1" s="1"/>
  <c r="AS2521" i="1" a="1"/>
  <c r="AS2521" i="1" s="1"/>
  <c r="K2521" i="1" a="1"/>
  <c r="K2521" i="1" s="1"/>
  <c r="J2521" i="1" a="1"/>
  <c r="J2521" i="1" s="1"/>
  <c r="F2521" i="1" a="1"/>
  <c r="F2521" i="1" s="1"/>
  <c r="BN2520" i="1" a="1"/>
  <c r="BN2520" i="1" s="1"/>
  <c r="BM2520" i="1" a="1"/>
  <c r="BM2520" i="1" s="1"/>
  <c r="BJ2520" i="1" s="1" a="1"/>
  <c r="BJ2520" i="1" s="1"/>
  <c r="BL2520" i="1" a="1"/>
  <c r="BL2520" i="1" s="1"/>
  <c r="BK2520" i="1" a="1"/>
  <c r="BK2520" i="1" s="1"/>
  <c r="BI2520" i="1" a="1"/>
  <c r="BI2520" i="1" s="1"/>
  <c r="AT2520" i="1" a="1"/>
  <c r="AT2520" i="1" s="1"/>
  <c r="AU2520" i="1" s="1"/>
  <c r="AS2520" i="1" a="1"/>
  <c r="AS2520" i="1" s="1"/>
  <c r="K2520" i="1" a="1"/>
  <c r="K2520" i="1" s="1"/>
  <c r="J2520" i="1" a="1"/>
  <c r="J2520" i="1" s="1"/>
  <c r="F2520" i="1" a="1"/>
  <c r="F2520" i="1" s="1"/>
  <c r="AW2518" i="1"/>
  <c r="BI2518" i="1" s="1" a="1"/>
  <c r="BI2518" i="1" s="1"/>
  <c r="AT2518" i="1"/>
  <c r="AU2518" i="1" s="1"/>
  <c r="AS2518" i="1" a="1"/>
  <c r="AS2518" i="1" s="1"/>
  <c r="K2518" i="1" a="1"/>
  <c r="K2518" i="1" s="1"/>
  <c r="J2518" i="1" a="1"/>
  <c r="J2518" i="1" s="1"/>
  <c r="F2518" i="1" a="1"/>
  <c r="F2518" i="1" s="1"/>
  <c r="AW2517" i="1"/>
  <c r="BN2517" i="1" s="1" a="1"/>
  <c r="BN2517" i="1" s="1"/>
  <c r="AT2517" i="1"/>
  <c r="AU2517" i="1" s="1"/>
  <c r="AS2517" i="1" a="1"/>
  <c r="AS2517" i="1" s="1"/>
  <c r="K2517" i="1" a="1"/>
  <c r="K2517" i="1" s="1"/>
  <c r="J2517" i="1" a="1"/>
  <c r="J2517" i="1" s="1"/>
  <c r="F2517" i="1" a="1"/>
  <c r="F2517" i="1" s="1"/>
  <c r="AW2515" i="1"/>
  <c r="BM2515" i="1" s="1" a="1"/>
  <c r="BM2515" i="1" s="1"/>
  <c r="BJ2515" i="1" s="1" a="1"/>
  <c r="BJ2515" i="1" s="1"/>
  <c r="AT2515" i="1"/>
  <c r="AU2515" i="1" s="1"/>
  <c r="AS2515" i="1" a="1"/>
  <c r="AS2515" i="1" s="1"/>
  <c r="K2515" i="1" a="1"/>
  <c r="K2515" i="1" s="1"/>
  <c r="J2515" i="1" a="1"/>
  <c r="J2515" i="1" s="1"/>
  <c r="F2515" i="1" a="1"/>
  <c r="F2515" i="1" s="1"/>
  <c r="AW2514" i="1"/>
  <c r="BN2514" i="1" s="1" a="1"/>
  <c r="BN2514" i="1" s="1"/>
  <c r="AT2514" i="1"/>
  <c r="AU2514" i="1" s="1"/>
  <c r="AS2514" i="1" a="1"/>
  <c r="AS2514" i="1" s="1"/>
  <c r="K2514" i="1" a="1"/>
  <c r="K2514" i="1" s="1"/>
  <c r="J2514" i="1" a="1"/>
  <c r="J2514" i="1" s="1"/>
  <c r="F2514" i="1" a="1"/>
  <c r="F2514" i="1" s="1"/>
  <c r="BN2512" i="1" a="1"/>
  <c r="BN2512" i="1" s="1"/>
  <c r="BM2512" i="1" a="1"/>
  <c r="BM2512" i="1" s="1"/>
  <c r="BJ2512" i="1" s="1" a="1"/>
  <c r="BJ2512" i="1" s="1"/>
  <c r="BK2512" i="1" a="1"/>
  <c r="BK2512" i="1" s="1"/>
  <c r="BI2512" i="1" a="1"/>
  <c r="BI2512" i="1" s="1"/>
  <c r="AT2512" i="1"/>
  <c r="AU2512" i="1" s="1"/>
  <c r="AS2512" i="1" a="1"/>
  <c r="AS2512" i="1" s="1"/>
  <c r="K2512" i="1" a="1"/>
  <c r="K2512" i="1" s="1"/>
  <c r="J2512" i="1" a="1"/>
  <c r="J2512" i="1" s="1"/>
  <c r="F2512" i="1" a="1"/>
  <c r="F2512" i="1" s="1"/>
  <c r="BN2511" i="1" a="1"/>
  <c r="BN2511" i="1" s="1"/>
  <c r="BM2511" i="1" a="1"/>
  <c r="BM2511" i="1" s="1"/>
  <c r="BJ2511" i="1" s="1" a="1"/>
  <c r="BJ2511" i="1" s="1"/>
  <c r="BK2511" i="1" a="1"/>
  <c r="BK2511" i="1" s="1"/>
  <c r="BI2511" i="1" a="1"/>
  <c r="BI2511" i="1" s="1"/>
  <c r="AT2511" i="1"/>
  <c r="AU2511" i="1" s="1"/>
  <c r="AS2511" i="1" a="1"/>
  <c r="AS2511" i="1" s="1"/>
  <c r="K2511" i="1" a="1"/>
  <c r="K2511" i="1" s="1"/>
  <c r="J2511" i="1" a="1"/>
  <c r="J2511" i="1" s="1"/>
  <c r="F2511" i="1" a="1"/>
  <c r="F2511" i="1" s="1"/>
  <c r="AZ2509" i="1"/>
  <c r="AY2509" i="1"/>
  <c r="AX2509" i="1"/>
  <c r="AW2509" i="1"/>
  <c r="AT2509" i="1" a="1"/>
  <c r="AT2509" i="1" s="1"/>
  <c r="AU2509" i="1" s="1"/>
  <c r="AS2509" i="1" a="1"/>
  <c r="AS2509" i="1" s="1"/>
  <c r="K2509" i="1" a="1"/>
  <c r="K2509" i="1" s="1"/>
  <c r="J2509" i="1" a="1"/>
  <c r="J2509" i="1" s="1"/>
  <c r="F2509" i="1" a="1"/>
  <c r="F2509" i="1" s="1"/>
  <c r="AZ2508" i="1"/>
  <c r="AY2508" i="1"/>
  <c r="AX2508" i="1"/>
  <c r="AW2508" i="1"/>
  <c r="AT2508" i="1" a="1"/>
  <c r="AT2508" i="1" s="1"/>
  <c r="AU2508" i="1" s="1"/>
  <c r="AS2508" i="1" a="1"/>
  <c r="AS2508" i="1" s="1"/>
  <c r="K2508" i="1" a="1"/>
  <c r="K2508" i="1" s="1"/>
  <c r="J2508" i="1" a="1"/>
  <c r="J2508" i="1" s="1"/>
  <c r="F2508" i="1" a="1"/>
  <c r="F2508" i="1" s="1"/>
  <c r="AZ2506" i="1"/>
  <c r="AY2506" i="1"/>
  <c r="AX2506" i="1"/>
  <c r="AW2506" i="1"/>
  <c r="AT2506" i="1" a="1"/>
  <c r="AT2506" i="1" s="1"/>
  <c r="AU2506" i="1" s="1"/>
  <c r="AS2506" i="1" a="1"/>
  <c r="AS2506" i="1" s="1"/>
  <c r="K2506" i="1" a="1"/>
  <c r="K2506" i="1" s="1"/>
  <c r="J2506" i="1" a="1"/>
  <c r="J2506" i="1" s="1"/>
  <c r="F2506" i="1" a="1"/>
  <c r="F2506" i="1" s="1"/>
  <c r="AZ2505" i="1"/>
  <c r="AY2505" i="1"/>
  <c r="AX2505" i="1"/>
  <c r="AW2505" i="1"/>
  <c r="AT2505" i="1" a="1"/>
  <c r="AT2505" i="1" s="1"/>
  <c r="AU2505" i="1" s="1"/>
  <c r="AS2505" i="1" a="1"/>
  <c r="AS2505" i="1" s="1"/>
  <c r="K2505" i="1" a="1"/>
  <c r="K2505" i="1" s="1"/>
  <c r="J2505" i="1" a="1"/>
  <c r="J2505" i="1" s="1"/>
  <c r="F2505" i="1" a="1"/>
  <c r="F2505" i="1" s="1"/>
  <c r="AZ2503" i="1"/>
  <c r="AY2503" i="1"/>
  <c r="AX2503" i="1"/>
  <c r="AW2503" i="1"/>
  <c r="AT2503" i="1" a="1"/>
  <c r="AT2503" i="1" s="1"/>
  <c r="AU2503" i="1" s="1"/>
  <c r="AS2503" i="1" a="1"/>
  <c r="AS2503" i="1" s="1"/>
  <c r="BO2503" i="1" a="1"/>
  <c r="BO2503" i="1" s="1"/>
  <c r="K2503" i="1"/>
  <c r="J2503" i="1" a="1"/>
  <c r="J2503" i="1" s="1"/>
  <c r="F2503" i="1" a="1"/>
  <c r="F2503" i="1" s="1"/>
  <c r="AZ2502" i="1"/>
  <c r="AY2502" i="1"/>
  <c r="AX2502" i="1"/>
  <c r="AW2502" i="1"/>
  <c r="AT2502" i="1" a="1"/>
  <c r="AT2502" i="1" s="1"/>
  <c r="AU2502" i="1" s="1"/>
  <c r="AS2502" i="1" a="1"/>
  <c r="AS2502" i="1" s="1"/>
  <c r="BO2502" i="1" a="1"/>
  <c r="BO2502" i="1" s="1"/>
  <c r="K2502" i="1"/>
  <c r="J2502" i="1" a="1"/>
  <c r="J2502" i="1" s="1"/>
  <c r="F2502" i="1" a="1"/>
  <c r="F2502" i="1" s="1"/>
  <c r="AZ2500" i="1"/>
  <c r="AY2500" i="1"/>
  <c r="AX2500" i="1"/>
  <c r="AW2500" i="1"/>
  <c r="AT2500" i="1" a="1"/>
  <c r="AT2500" i="1" s="1"/>
  <c r="AU2500" i="1" s="1"/>
  <c r="AS2500" i="1" a="1"/>
  <c r="AS2500" i="1" s="1"/>
  <c r="K2500" i="1" a="1"/>
  <c r="K2500" i="1" s="1"/>
  <c r="J2500" i="1" a="1"/>
  <c r="J2500" i="1" s="1"/>
  <c r="F2500" i="1" a="1"/>
  <c r="F2500" i="1" s="1"/>
  <c r="AZ2499" i="1"/>
  <c r="AY2499" i="1"/>
  <c r="AX2499" i="1"/>
  <c r="AW2499" i="1"/>
  <c r="AT2499" i="1" a="1"/>
  <c r="AT2499" i="1" s="1"/>
  <c r="AU2499" i="1" s="1"/>
  <c r="AS2499" i="1" a="1"/>
  <c r="AS2499" i="1" s="1"/>
  <c r="K2499" i="1" a="1"/>
  <c r="K2499" i="1" s="1"/>
  <c r="J2499" i="1" a="1"/>
  <c r="J2499" i="1" s="1"/>
  <c r="F2499" i="1" a="1"/>
  <c r="F2499" i="1" s="1"/>
  <c r="AZ2497" i="1"/>
  <c r="AY2497" i="1"/>
  <c r="AX2497" i="1"/>
  <c r="AW2497" i="1"/>
  <c r="AT2497" i="1" a="1"/>
  <c r="AT2497" i="1" s="1"/>
  <c r="AU2497" i="1" s="1"/>
  <c r="AS2497" i="1" a="1"/>
  <c r="AS2497" i="1" s="1"/>
  <c r="K2497" i="1" a="1"/>
  <c r="K2497" i="1" s="1"/>
  <c r="J2497" i="1" a="1"/>
  <c r="J2497" i="1" s="1"/>
  <c r="F2497" i="1" a="1"/>
  <c r="F2497" i="1" s="1"/>
  <c r="AZ2496" i="1"/>
  <c r="AY2496" i="1"/>
  <c r="AX2496" i="1"/>
  <c r="AW2496" i="1"/>
  <c r="AT2496" i="1" a="1"/>
  <c r="AT2496" i="1" s="1"/>
  <c r="AU2496" i="1" s="1"/>
  <c r="AS2496" i="1" a="1"/>
  <c r="AS2496" i="1" s="1"/>
  <c r="K2496" i="1" a="1"/>
  <c r="K2496" i="1" s="1"/>
  <c r="J2496" i="1" a="1"/>
  <c r="J2496" i="1" s="1"/>
  <c r="F2496" i="1" a="1"/>
  <c r="F2496" i="1" s="1"/>
  <c r="BO2494" i="1" a="1"/>
  <c r="BO2494" i="1" s="1"/>
  <c r="AZ2494" i="1"/>
  <c r="AY2494" i="1"/>
  <c r="AX2494" i="1"/>
  <c r="AW2494" i="1"/>
  <c r="AT2494" i="1" a="1"/>
  <c r="AT2494" i="1" s="1"/>
  <c r="AU2494" i="1" s="1"/>
  <c r="AS2494" i="1" a="1"/>
  <c r="AS2494" i="1" s="1"/>
  <c r="K2494" i="1"/>
  <c r="J2494" i="1" a="1"/>
  <c r="J2494" i="1" s="1"/>
  <c r="F2494" i="1" a="1"/>
  <c r="F2494" i="1" s="1"/>
  <c r="BO2493" i="1" a="1"/>
  <c r="BO2493" i="1" s="1"/>
  <c r="AZ2493" i="1"/>
  <c r="AY2493" i="1"/>
  <c r="AX2493" i="1"/>
  <c r="AW2493" i="1"/>
  <c r="AT2493" i="1" a="1"/>
  <c r="AT2493" i="1" s="1"/>
  <c r="AU2493" i="1" s="1"/>
  <c r="AS2493" i="1" a="1"/>
  <c r="AS2493" i="1" s="1"/>
  <c r="K2493" i="1"/>
  <c r="J2493" i="1" a="1"/>
  <c r="J2493" i="1" s="1"/>
  <c r="F2493" i="1" a="1"/>
  <c r="F2493" i="1" s="1"/>
  <c r="AW2534" i="1"/>
  <c r="BI2534" i="1" s="1" a="1"/>
  <c r="BI2534" i="1" s="1"/>
  <c r="AT2534" i="1" a="1"/>
  <c r="AT2534" i="1" s="1"/>
  <c r="AU2534" i="1" s="1"/>
  <c r="AS2534" i="1" a="1"/>
  <c r="AS2534" i="1" s="1"/>
  <c r="K2534" i="1" a="1"/>
  <c r="K2534" i="1" s="1"/>
  <c r="J2534" i="1" a="1"/>
  <c r="J2534" i="1" s="1"/>
  <c r="F2534" i="1" a="1"/>
  <c r="F2534" i="1" s="1"/>
  <c r="AW2733" i="1"/>
  <c r="BI2733" i="1" s="1" a="1"/>
  <c r="BI2733" i="1" s="1"/>
  <c r="F2733" i="1" a="1"/>
  <c r="F2733" i="1" s="1"/>
  <c r="AW2732" i="1"/>
  <c r="BN2732" i="1" s="1" a="1"/>
  <c r="BN2732" i="1" s="1"/>
  <c r="F2732" i="1" a="1"/>
  <c r="F2732" i="1" s="1"/>
  <c r="AW2730" i="1"/>
  <c r="BM2730" i="1" s="1" a="1"/>
  <c r="BM2730" i="1" s="1"/>
  <c r="F2730" i="1" a="1"/>
  <c r="F2730" i="1" s="1"/>
  <c r="AW2729" i="1"/>
  <c r="BK2729" i="1" s="1" a="1"/>
  <c r="BK2729" i="1" s="1"/>
  <c r="F2729" i="1" a="1"/>
  <c r="F2729" i="1" s="1"/>
  <c r="AY2668" i="1"/>
  <c r="BK2668" i="1" s="1" a="1"/>
  <c r="BK2668" i="1" s="1"/>
  <c r="AX2668" i="1"/>
  <c r="AW2668" i="1"/>
  <c r="F2668" i="1" a="1"/>
  <c r="F2668" i="1" s="1"/>
  <c r="AY2667" i="1"/>
  <c r="BK2667" i="1" s="1" a="1"/>
  <c r="BK2667" i="1" s="1"/>
  <c r="AX2667" i="1"/>
  <c r="AW2667" i="1"/>
  <c r="F2667" i="1" a="1"/>
  <c r="F2667" i="1" s="1"/>
  <c r="E2667" i="1" s="1" a="1"/>
  <c r="E2667" i="1" s="1"/>
  <c r="AY2632" i="1"/>
  <c r="BK2632" i="1" s="1" a="1"/>
  <c r="BK2632" i="1" s="1"/>
  <c r="AX2632" i="1"/>
  <c r="AW2632" i="1"/>
  <c r="F2632" i="1" a="1"/>
  <c r="F2632" i="1" s="1"/>
  <c r="AY2631" i="1"/>
  <c r="BK2631" i="1" s="1" a="1"/>
  <c r="BK2631" i="1" s="1"/>
  <c r="AX2631" i="1"/>
  <c r="AW2631" i="1"/>
  <c r="F2631" i="1" a="1"/>
  <c r="F2631" i="1" s="1"/>
  <c r="AY2591" i="1"/>
  <c r="AX2591" i="1"/>
  <c r="AW2591" i="1"/>
  <c r="F2591" i="1" a="1"/>
  <c r="F2591" i="1" s="1"/>
  <c r="AY2590" i="1"/>
  <c r="BI2590" i="1" s="1" a="1"/>
  <c r="BI2590" i="1" s="1"/>
  <c r="AX2590" i="1"/>
  <c r="AW2590" i="1"/>
  <c r="F2590" i="1" a="1"/>
  <c r="F2590" i="1" s="1"/>
  <c r="E2590" i="1" s="1" a="1"/>
  <c r="E2590" i="1" s="1"/>
  <c r="AY2554" i="1"/>
  <c r="BI2554" i="1" s="1" a="1"/>
  <c r="BI2554" i="1" s="1"/>
  <c r="AX2554" i="1"/>
  <c r="AW2554" i="1"/>
  <c r="F2554" i="1" a="1"/>
  <c r="F2554" i="1" s="1"/>
  <c r="AY2553" i="1"/>
  <c r="BI2553" i="1" s="1" a="1"/>
  <c r="BI2553" i="1" s="1"/>
  <c r="AX2553" i="1"/>
  <c r="AW2553" i="1"/>
  <c r="F2553" i="1" a="1"/>
  <c r="F2553" i="1" s="1"/>
  <c r="AW2551" i="1"/>
  <c r="BI2551" i="1" s="1" a="1"/>
  <c r="BI2551" i="1" s="1"/>
  <c r="F2551" i="1" a="1"/>
  <c r="F2551" i="1" s="1"/>
  <c r="AW2550" i="1"/>
  <c r="BK2550" i="1" s="1" a="1"/>
  <c r="BK2550" i="1" s="1"/>
  <c r="F2550" i="1" a="1"/>
  <c r="F2550" i="1" s="1"/>
  <c r="AY2548" i="1"/>
  <c r="BI2548" i="1" s="1" a="1"/>
  <c r="BI2548" i="1" s="1"/>
  <c r="AX2548" i="1"/>
  <c r="AW2548" i="1"/>
  <c r="F2548" i="1" a="1"/>
  <c r="F2548" i="1" s="1"/>
  <c r="AY2547" i="1"/>
  <c r="BI2547" i="1" s="1" a="1"/>
  <c r="BI2547" i="1" s="1"/>
  <c r="AX2547" i="1"/>
  <c r="AW2547" i="1"/>
  <c r="F2547" i="1" a="1"/>
  <c r="F2547" i="1" s="1"/>
  <c r="AY2545" i="1"/>
  <c r="BI2545" i="1" s="1" a="1"/>
  <c r="BI2545" i="1" s="1"/>
  <c r="AX2545" i="1"/>
  <c r="AW2545" i="1"/>
  <c r="F2545" i="1" a="1"/>
  <c r="F2545" i="1" s="1"/>
  <c r="AY2544" i="1"/>
  <c r="BK2544" i="1" s="1" a="1"/>
  <c r="BK2544" i="1" s="1"/>
  <c r="AX2544" i="1"/>
  <c r="AW2544" i="1"/>
  <c r="F2544" i="1" a="1"/>
  <c r="F2544" i="1" s="1"/>
  <c r="AY2542" i="1"/>
  <c r="AX2542" i="1"/>
  <c r="AW2542" i="1"/>
  <c r="F2542" i="1" a="1"/>
  <c r="F2542" i="1" s="1"/>
  <c r="AY2541" i="1"/>
  <c r="BK2541" i="1" s="1" a="1"/>
  <c r="BK2541" i="1" s="1"/>
  <c r="AX2541" i="1"/>
  <c r="AW2541" i="1"/>
  <c r="F2541" i="1" a="1"/>
  <c r="F2541" i="1" s="1"/>
  <c r="AY2539" i="1"/>
  <c r="BK2539" i="1" s="1" a="1"/>
  <c r="BK2539" i="1" s="1"/>
  <c r="AX2539" i="1"/>
  <c r="AW2539" i="1"/>
  <c r="F2539" i="1" a="1"/>
  <c r="F2539" i="1" s="1"/>
  <c r="AY2538" i="1"/>
  <c r="BK2538" i="1" s="1" a="1"/>
  <c r="BK2538" i="1" s="1"/>
  <c r="AX2538" i="1"/>
  <c r="AW2538" i="1"/>
  <c r="F2538" i="1" a="1"/>
  <c r="F2538" i="1" s="1"/>
  <c r="AW2731" i="1"/>
  <c r="BI2731" i="1" s="1" a="1"/>
  <c r="BI2731" i="1" s="1"/>
  <c r="F2731" i="1" a="1"/>
  <c r="F2731" i="1" s="1"/>
  <c r="BL2454" i="1" a="1"/>
  <c r="BL2304" i="1" a="1"/>
  <c r="BL2472" i="1" a="1"/>
  <c r="BL505" i="1" a="1"/>
  <c r="BL2027" i="1" a="1"/>
  <c r="BL2491" i="1" a="1"/>
  <c r="BL2026" i="1" a="1"/>
  <c r="BL2322" i="1" a="1"/>
  <c r="BL2442" i="1" a="1"/>
  <c r="BL2310" i="1" a="1"/>
  <c r="BL2771" i="1" a="1"/>
  <c r="BL2512" i="1" a="1"/>
  <c r="BL2335" i="1" a="1"/>
  <c r="BL1202" i="1" a="1"/>
  <c r="BL2328" i="1" a="1"/>
  <c r="BL2464" i="1" a="1"/>
  <c r="BL2293" i="1" a="1"/>
  <c r="BL2473" i="1" a="1"/>
  <c r="BL2305" i="1" a="1"/>
  <c r="BL1200" i="1" a="1"/>
  <c r="BL2446" i="1" a="1"/>
  <c r="BL2489" i="1" a="1"/>
  <c r="BL2299" i="1" a="1"/>
  <c r="BL2482" i="1" a="1"/>
  <c r="BL2485" i="1" a="1"/>
  <c r="BL1199" i="1" a="1"/>
  <c r="BL2412" i="1" a="1"/>
  <c r="BL2490" i="1" a="1"/>
  <c r="BL2316" i="1" a="1"/>
  <c r="BL1203" i="1" a="1"/>
  <c r="BL2445" i="1" a="1"/>
  <c r="BL2481" i="1" a="1"/>
  <c r="BL2455" i="1" a="1"/>
  <c r="BL2417" i="1" a="1"/>
  <c r="BL2307" i="1" a="1"/>
  <c r="BL2308" i="1" a="1"/>
  <c r="BL2488" i="1" a="1"/>
  <c r="BL2418" i="1" a="1"/>
  <c r="BL2511" i="1" a="1"/>
  <c r="BL2463" i="1" a="1"/>
  <c r="BL2411" i="1" a="1"/>
  <c r="BL2484" i="1" a="1"/>
  <c r="BL504" i="1" a="1"/>
  <c r="BL2441" i="1" a="1"/>
  <c r="BL2475" i="1" a="1"/>
  <c r="BL2329" i="1" a="1"/>
  <c r="BL2770" i="1" a="1"/>
  <c r="BL2317" i="1" a="1"/>
  <c r="BL2476" i="1" a="1"/>
  <c r="BL2334" i="1" a="1"/>
  <c r="BL2323" i="1" a="1"/>
  <c r="H6" i="7" l="1"/>
  <c r="BA448" i="1"/>
  <c r="N16" i="7"/>
  <c r="BI2326" i="1" a="1"/>
  <c r="BI2326" i="1" s="1"/>
  <c r="BI2767" i="1" a="1"/>
  <c r="BI2767" i="1" s="1"/>
  <c r="BN2331" i="1" a="1"/>
  <c r="BN2331" i="1" s="1"/>
  <c r="BI2768" i="1" a="1"/>
  <c r="BI2768" i="1" s="1"/>
  <c r="BN2313" i="1" a="1"/>
  <c r="BN2313" i="1" s="1"/>
  <c r="BN2768" i="1" a="1"/>
  <c r="BN2768" i="1" s="1"/>
  <c r="E2768" i="1" a="1"/>
  <c r="E2768" i="1" s="1"/>
  <c r="E2767" i="1" a="1"/>
  <c r="E2767" i="1" s="1"/>
  <c r="BM2767" i="1" a="1"/>
  <c r="BM2767" i="1" s="1"/>
  <c r="BJ2767" i="1" s="1" a="1"/>
  <c r="BJ2767" i="1" s="1"/>
  <c r="BN2320" i="1" a="1"/>
  <c r="BN2320" i="1" s="1"/>
  <c r="BN2293" i="1" a="1"/>
  <c r="BN2293" i="1" s="1"/>
  <c r="BN2332" i="1" a="1"/>
  <c r="BN2332" i="1" s="1"/>
  <c r="BN2299" i="1" a="1"/>
  <c r="BN2299" i="1" s="1"/>
  <c r="BI2334" i="1" a="1"/>
  <c r="BI2334" i="1" s="1"/>
  <c r="BM2308" i="1" a="1"/>
  <c r="BM2308" i="1" s="1"/>
  <c r="BJ2308" i="1" s="1" a="1"/>
  <c r="BJ2308" i="1" s="1"/>
  <c r="BK2295" i="1"/>
  <c r="BM2302" i="1" a="1"/>
  <c r="BM2302" i="1" s="1"/>
  <c r="BJ2302" i="1" s="1" a="1"/>
  <c r="BJ2302" i="1" s="1"/>
  <c r="BK2317" i="1"/>
  <c r="BN2329" i="1" a="1"/>
  <c r="BN2329" i="1" s="1"/>
  <c r="BI2307" i="1" a="1"/>
  <c r="BI2307" i="1" s="1"/>
  <c r="BM2316" i="1" a="1"/>
  <c r="BM2316" i="1" s="1"/>
  <c r="BJ2316" i="1" s="1" a="1"/>
  <c r="BJ2316" i="1" s="1"/>
  <c r="BM2320" i="1" a="1"/>
  <c r="BM2320" i="1" s="1"/>
  <c r="BJ2320" i="1" s="1" a="1"/>
  <c r="BJ2320" i="1" s="1"/>
  <c r="BM2326" i="1" a="1"/>
  <c r="BM2326" i="1" s="1"/>
  <c r="BJ2326" i="1" s="1" a="1"/>
  <c r="BJ2326" i="1" s="1"/>
  <c r="BK2332" i="1"/>
  <c r="BN2295" i="1" a="1"/>
  <c r="BN2295" i="1" s="1"/>
  <c r="BI2308" i="1" a="1"/>
  <c r="BI2308" i="1" s="1"/>
  <c r="BM2329" i="1" a="1"/>
  <c r="BM2329" i="1" s="1"/>
  <c r="BJ2329" i="1" s="1" a="1"/>
  <c r="BJ2329" i="1" s="1"/>
  <c r="BN2301" i="1" a="1"/>
  <c r="BN2301" i="1" s="1"/>
  <c r="BM2305" i="1" a="1"/>
  <c r="BM2305" i="1" s="1"/>
  <c r="BJ2305" i="1" s="1" a="1"/>
  <c r="BJ2305" i="1" s="1"/>
  <c r="BI2317" i="1" a="1"/>
  <c r="BI2317" i="1" s="1"/>
  <c r="BI2320" i="1" a="1"/>
  <c r="BI2320" i="1" s="1"/>
  <c r="BM2323" i="1" a="1"/>
  <c r="BM2323" i="1" s="1"/>
  <c r="BJ2323" i="1" s="1" a="1"/>
  <c r="BJ2323" i="1" s="1"/>
  <c r="BN2328" i="1" a="1"/>
  <c r="BN2328" i="1" s="1"/>
  <c r="BI2332" i="1" a="1"/>
  <c r="BI2332" i="1" s="1"/>
  <c r="BK2299" i="1"/>
  <c r="BK2313" i="1"/>
  <c r="BK2319" i="1"/>
  <c r="BK2331" i="1"/>
  <c r="BK2293" i="1"/>
  <c r="BI2296" i="1" a="1"/>
  <c r="BI2296" i="1" s="1"/>
  <c r="BI2305" i="1" a="1"/>
  <c r="BI2305" i="1" s="1"/>
  <c r="BN2317" i="1" a="1"/>
  <c r="BN2317" i="1" s="1"/>
  <c r="BN2323" i="1" a="1"/>
  <c r="BN2323" i="1" s="1"/>
  <c r="BN2335" i="1" a="1"/>
  <c r="BN2335" i="1" s="1"/>
  <c r="BI2314" i="1" a="1"/>
  <c r="BI2314" i="1" s="1"/>
  <c r="BM2319" i="1" a="1"/>
  <c r="BM2319" i="1" s="1"/>
  <c r="BJ2319" i="1" s="1" a="1"/>
  <c r="BJ2319" i="1" s="1"/>
  <c r="BL2331" i="1" a="1"/>
  <c r="BL2331" i="1" s="1"/>
  <c r="BK2322" i="1"/>
  <c r="BM2311" i="1" a="1"/>
  <c r="BM2311" i="1" s="1"/>
  <c r="BJ2311" i="1" s="1" a="1"/>
  <c r="BJ2311" i="1" s="1"/>
  <c r="BL2325" i="1" a="1"/>
  <c r="BL2325" i="1" s="1"/>
  <c r="BL2319" i="1" a="1"/>
  <c r="BL2319" i="1" s="1"/>
  <c r="BM2299" i="1" a="1"/>
  <c r="BM2299" i="1" s="1"/>
  <c r="BJ2299" i="1" s="1" a="1"/>
  <c r="BJ2299" i="1" s="1"/>
  <c r="BN2307" i="1" a="1"/>
  <c r="BN2307" i="1" s="1"/>
  <c r="BM2313" i="1" a="1"/>
  <c r="BM2313" i="1" s="1"/>
  <c r="BJ2313" i="1" s="1" a="1"/>
  <c r="BJ2313" i="1" s="1"/>
  <c r="AT2322" i="1"/>
  <c r="BL2302" i="1" a="1"/>
  <c r="BL2302" i="1" s="1"/>
  <c r="AT2292" i="1"/>
  <c r="BM2293" i="1" a="1"/>
  <c r="BM2293" i="1" s="1"/>
  <c r="BJ2293" i="1" s="1" a="1"/>
  <c r="BJ2293" i="1" s="1"/>
  <c r="BL2295" i="1" a="1"/>
  <c r="BL2295" i="1" s="1"/>
  <c r="BM2296" i="1" a="1"/>
  <c r="BM2296" i="1" s="1"/>
  <c r="BJ2296" i="1" s="1" a="1"/>
  <c r="BJ2296" i="1" s="1"/>
  <c r="BK2301" i="1"/>
  <c r="BK2304" i="1"/>
  <c r="BN2305" i="1" a="1"/>
  <c r="BN2305" i="1" s="1"/>
  <c r="BK2310" i="1"/>
  <c r="BI2313" i="1" a="1"/>
  <c r="BI2313" i="1" s="1"/>
  <c r="BK2314" i="1"/>
  <c r="BL2326" i="1" a="1"/>
  <c r="BL2326" i="1" s="1"/>
  <c r="BM2332" i="1" a="1"/>
  <c r="BM2332" i="1" s="1"/>
  <c r="BJ2332" i="1" s="1" a="1"/>
  <c r="BJ2332" i="1" s="1"/>
  <c r="BK2298" i="1"/>
  <c r="BN2296" i="1" a="1"/>
  <c r="BN2296" i="1" s="1"/>
  <c r="AT2298" i="1"/>
  <c r="BM2335" i="1" a="1"/>
  <c r="BM2335" i="1" s="1"/>
  <c r="BJ2335" i="1" s="1" a="1"/>
  <c r="BJ2335" i="1" s="1"/>
  <c r="BI2302" i="1" a="1"/>
  <c r="BI2302" i="1" s="1"/>
  <c r="AT2304" i="1"/>
  <c r="AT2305" i="1"/>
  <c r="BK2307" i="1"/>
  <c r="BI2323" i="1" a="1"/>
  <c r="BI2323" i="1" s="1"/>
  <c r="BK2328" i="1"/>
  <c r="BI2329" i="1" a="1"/>
  <c r="BI2329" i="1" s="1"/>
  <c r="BI2335" i="1" a="1"/>
  <c r="BI2335" i="1" s="1"/>
  <c r="BK2316" i="1"/>
  <c r="AT2334" i="1"/>
  <c r="BI2325" i="1" a="1"/>
  <c r="BI2325" i="1" s="1"/>
  <c r="BI2328" i="1" a="1"/>
  <c r="BI2328" i="1" s="1"/>
  <c r="BI2311" i="1" a="1"/>
  <c r="BI2311" i="1" s="1"/>
  <c r="BI2316" i="1" a="1"/>
  <c r="BI2316" i="1" s="1"/>
  <c r="BI2319" i="1" a="1"/>
  <c r="BI2319" i="1" s="1"/>
  <c r="BM2317" i="1" a="1"/>
  <c r="BM2317" i="1" s="1"/>
  <c r="BJ2317" i="1" s="1" a="1"/>
  <c r="BJ2317" i="1" s="1"/>
  <c r="BI2301" i="1" a="1"/>
  <c r="BI2301" i="1" s="1"/>
  <c r="BN2304" i="1" a="1"/>
  <c r="BN2304" i="1" s="1"/>
  <c r="BN2310" i="1" a="1"/>
  <c r="BN2310" i="1" s="1"/>
  <c r="BK2311" i="1"/>
  <c r="BM2314" i="1" a="1"/>
  <c r="BM2314" i="1" s="1"/>
  <c r="BJ2314" i="1" s="1" a="1"/>
  <c r="BJ2314" i="1" s="1"/>
  <c r="BK2325" i="1"/>
  <c r="AT2328" i="1"/>
  <c r="BL2335" i="1"/>
  <c r="BL2334" i="1"/>
  <c r="BK2335" i="1"/>
  <c r="BK2334" i="1"/>
  <c r="BM2334" i="1" a="1"/>
  <c r="BM2334" i="1" s="1"/>
  <c r="BJ2334" i="1" s="1" a="1"/>
  <c r="BJ2334" i="1" s="1"/>
  <c r="AT2335" i="1"/>
  <c r="BN2334" i="1" a="1"/>
  <c r="BN2334" i="1" s="1"/>
  <c r="BL2332" i="1" a="1"/>
  <c r="BL2332" i="1" s="1"/>
  <c r="BM2331" i="1" a="1"/>
  <c r="BM2331" i="1" s="1"/>
  <c r="BJ2331" i="1" s="1" a="1"/>
  <c r="BJ2331" i="1" s="1"/>
  <c r="BI2331" i="1" a="1"/>
  <c r="BI2331" i="1" s="1"/>
  <c r="BL2329" i="1"/>
  <c r="BL2328" i="1"/>
  <c r="BM2328" i="1" a="1"/>
  <c r="BM2328" i="1" s="1"/>
  <c r="BJ2328" i="1" s="1" a="1"/>
  <c r="BJ2328" i="1" s="1"/>
  <c r="AT2329" i="1"/>
  <c r="BK2329" i="1"/>
  <c r="E2326" i="1" a="1"/>
  <c r="E2326" i="1" s="1"/>
  <c r="BM2325" i="1" a="1"/>
  <c r="BM2325" i="1" s="1"/>
  <c r="BJ2325" i="1" s="1" a="1"/>
  <c r="BJ2325" i="1" s="1"/>
  <c r="BN2326" i="1" a="1"/>
  <c r="BN2326" i="1" s="1"/>
  <c r="E2325" i="1" a="1"/>
  <c r="E2325" i="1" s="1"/>
  <c r="BN2325" i="1" a="1"/>
  <c r="BN2325" i="1" s="1"/>
  <c r="BK2326" i="1"/>
  <c r="BL2323" i="1"/>
  <c r="BL2322" i="1"/>
  <c r="E2323" i="1" a="1"/>
  <c r="E2323" i="1" s="1"/>
  <c r="BI2322" i="1" a="1"/>
  <c r="BI2322" i="1" s="1"/>
  <c r="BM2322" i="1" a="1"/>
  <c r="BM2322" i="1" s="1"/>
  <c r="BJ2322" i="1" s="1" a="1"/>
  <c r="BJ2322" i="1" s="1"/>
  <c r="E2322" i="1" a="1"/>
  <c r="E2322" i="1" s="1"/>
  <c r="BN2322" i="1" a="1"/>
  <c r="BN2322" i="1" s="1"/>
  <c r="AT2323" i="1"/>
  <c r="BK2323" i="1"/>
  <c r="BL2320" i="1" a="1"/>
  <c r="BL2320" i="1" s="1"/>
  <c r="E2320" i="1" a="1"/>
  <c r="E2320" i="1" s="1"/>
  <c r="E2319" i="1" a="1"/>
  <c r="E2319" i="1" s="1"/>
  <c r="BN2319" i="1" a="1"/>
  <c r="BN2319" i="1" s="1"/>
  <c r="BK2320" i="1"/>
  <c r="BL2316" i="1"/>
  <c r="BL2317" i="1"/>
  <c r="E2317" i="1" a="1"/>
  <c r="E2317" i="1" s="1"/>
  <c r="E2316" i="1" a="1"/>
  <c r="E2316" i="1" s="1"/>
  <c r="BN2316" i="1" a="1"/>
  <c r="BN2316" i="1" s="1"/>
  <c r="AT2317" i="1"/>
  <c r="AT2316" i="1"/>
  <c r="BL2313" i="1" a="1"/>
  <c r="BL2313" i="1" s="1"/>
  <c r="BN2314" i="1" a="1"/>
  <c r="BN2314" i="1" s="1"/>
  <c r="BL2314" i="1" a="1"/>
  <c r="BL2314" i="1" s="1"/>
  <c r="BL2310" i="1"/>
  <c r="BN2311" i="1" a="1"/>
  <c r="BN2311" i="1" s="1"/>
  <c r="BM2310" i="1" a="1"/>
  <c r="BM2310" i="1" s="1"/>
  <c r="BJ2310" i="1" s="1" a="1"/>
  <c r="BJ2310" i="1" s="1"/>
  <c r="AT2311" i="1"/>
  <c r="BI2310" i="1" a="1"/>
  <c r="BI2310" i="1" s="1"/>
  <c r="AT2310" i="1"/>
  <c r="BL2308" i="1"/>
  <c r="BL2307" i="1"/>
  <c r="BN2308" i="1" a="1"/>
  <c r="BN2308" i="1" s="1"/>
  <c r="BM2307" i="1" a="1"/>
  <c r="BM2307" i="1" s="1"/>
  <c r="BJ2307" i="1" s="1" a="1"/>
  <c r="BJ2307" i="1" s="1"/>
  <c r="BK2308" i="1"/>
  <c r="BL2305" i="1"/>
  <c r="BL2304" i="1"/>
  <c r="BI2304" i="1" a="1"/>
  <c r="BI2304" i="1" s="1"/>
  <c r="BK2305" i="1"/>
  <c r="BM2304" i="1" a="1"/>
  <c r="BM2304" i="1" s="1"/>
  <c r="BJ2304" i="1" s="1" a="1"/>
  <c r="BJ2304" i="1" s="1"/>
  <c r="BL2301" i="1" a="1"/>
  <c r="BL2301" i="1" s="1"/>
  <c r="BN2302" i="1" a="1"/>
  <c r="BN2302" i="1" s="1"/>
  <c r="BM2301" i="1" a="1"/>
  <c r="BM2301" i="1" s="1"/>
  <c r="BJ2301" i="1" s="1" a="1"/>
  <c r="BJ2301" i="1" s="1"/>
  <c r="BK2302" i="1"/>
  <c r="BL2299" i="1"/>
  <c r="BI2299" i="1" a="1"/>
  <c r="BI2299" i="1" s="1"/>
  <c r="BM2298" i="1" a="1"/>
  <c r="BM2298" i="1" s="1"/>
  <c r="BJ2298" i="1" s="1" a="1"/>
  <c r="BJ2298" i="1" s="1"/>
  <c r="AT2299" i="1"/>
  <c r="BI2298" i="1" a="1"/>
  <c r="BI2298" i="1" s="1"/>
  <c r="BN2298" i="1" a="1"/>
  <c r="BN2298" i="1" s="1"/>
  <c r="BL2296" i="1" a="1"/>
  <c r="BL2296" i="1" s="1"/>
  <c r="BM2295" i="1" a="1"/>
  <c r="BM2295" i="1" s="1"/>
  <c r="BJ2295" i="1" s="1" a="1"/>
  <c r="BJ2295" i="1" s="1"/>
  <c r="BI2295" i="1" a="1"/>
  <c r="BI2295" i="1" s="1"/>
  <c r="BK2296" i="1"/>
  <c r="BL2293" i="1"/>
  <c r="BK2292" i="1"/>
  <c r="BI2293" i="1" a="1"/>
  <c r="BI2293" i="1" s="1"/>
  <c r="BM2292" i="1" a="1"/>
  <c r="BM2292" i="1" s="1"/>
  <c r="BJ2292" i="1" s="1" a="1"/>
  <c r="BJ2292" i="1" s="1"/>
  <c r="AT2293" i="1"/>
  <c r="BI2292" i="1" a="1"/>
  <c r="BI2292" i="1" s="1"/>
  <c r="BN2292" i="1" a="1"/>
  <c r="BN2292" i="1" s="1"/>
  <c r="BI2411" i="1" a="1"/>
  <c r="BI2411" i="1" s="1"/>
  <c r="BN2027" i="1" a="1"/>
  <c r="BN2027" i="1" s="1"/>
  <c r="BI2023" i="1" a="1"/>
  <c r="BI2023" i="1" s="1"/>
  <c r="BN2024" i="1" a="1"/>
  <c r="BN2024" i="1" s="1"/>
  <c r="BN508" i="1" a="1"/>
  <c r="BN508" i="1" s="1"/>
  <c r="BI1200" i="1" a="1"/>
  <c r="BI1200" i="1" s="1"/>
  <c r="BN1203" i="1" a="1"/>
  <c r="BN1203" i="1" s="1"/>
  <c r="BI508" i="1" a="1"/>
  <c r="BI508" i="1" s="1"/>
  <c r="BK2026" i="1"/>
  <c r="AT2412" i="1"/>
  <c r="BK507" i="1"/>
  <c r="BI1203" i="1" a="1"/>
  <c r="BI1203" i="1" s="1"/>
  <c r="BI2026" i="1" a="1"/>
  <c r="BI2026" i="1" s="1"/>
  <c r="BN505" i="1" a="1"/>
  <c r="BN505" i="1" s="1"/>
  <c r="BN2412" i="1" a="1"/>
  <c r="BN2412" i="1" s="1"/>
  <c r="BK2408" i="1"/>
  <c r="BM2024" i="1" a="1"/>
  <c r="BM2024" i="1" s="1"/>
  <c r="BJ2024" i="1" s="1" a="1"/>
  <c r="BJ2024" i="1" s="1"/>
  <c r="BM1200" i="1" a="1"/>
  <c r="BM1200" i="1" s="1"/>
  <c r="BJ1200" i="1" s="1" a="1"/>
  <c r="BJ1200" i="1" s="1"/>
  <c r="BL2024" i="1" a="1"/>
  <c r="BL2024" i="1" s="1"/>
  <c r="BM2411" i="1" a="1"/>
  <c r="BM2411" i="1" s="1"/>
  <c r="BJ2411" i="1" s="1" a="1"/>
  <c r="BJ2411" i="1" s="1"/>
  <c r="BI505" i="1" a="1"/>
  <c r="BI505" i="1" s="1"/>
  <c r="BL2408" i="1" a="1"/>
  <c r="BL2408" i="1" s="1"/>
  <c r="BK2409" i="1"/>
  <c r="BM2412" i="1" a="1"/>
  <c r="BM2412" i="1" s="1"/>
  <c r="BJ2412" i="1" s="1" a="1"/>
  <c r="BJ2412" i="1" s="1"/>
  <c r="BK508" i="1"/>
  <c r="BK1202" i="1"/>
  <c r="BK2023" i="1"/>
  <c r="BL507" i="1" a="1"/>
  <c r="BL507" i="1" s="1"/>
  <c r="BM508" i="1" a="1"/>
  <c r="BM508" i="1" s="1"/>
  <c r="BJ508" i="1" s="1" a="1"/>
  <c r="BJ508" i="1" s="1"/>
  <c r="BM2027" i="1" a="1"/>
  <c r="BM2027" i="1" s="1"/>
  <c r="BJ2027" i="1" s="1" a="1"/>
  <c r="BJ2027" i="1" s="1"/>
  <c r="BM507" i="1" a="1"/>
  <c r="BM507" i="1" s="1"/>
  <c r="BJ507" i="1" s="1" a="1"/>
  <c r="BJ507" i="1" s="1"/>
  <c r="BM1203" i="1" a="1"/>
  <c r="BM1203" i="1" s="1"/>
  <c r="BJ1203" i="1" s="1" a="1"/>
  <c r="BJ1203" i="1" s="1"/>
  <c r="BL2023" i="1" a="1"/>
  <c r="BL2023" i="1" s="1"/>
  <c r="BM2409" i="1" a="1"/>
  <c r="BM2409" i="1" s="1"/>
  <c r="BJ2409" i="1" s="1" a="1"/>
  <c r="BJ2409" i="1" s="1"/>
  <c r="BK2411" i="1"/>
  <c r="BI2412" i="1" a="1"/>
  <c r="BI2412" i="1" s="1"/>
  <c r="BK504" i="1"/>
  <c r="BM505" i="1" a="1"/>
  <c r="BM505" i="1" s="1"/>
  <c r="BJ505" i="1" s="1" a="1"/>
  <c r="BJ505" i="1" s="1"/>
  <c r="BI1202" i="1" a="1"/>
  <c r="BI1202" i="1" s="1"/>
  <c r="BK2024" i="1"/>
  <c r="BL2411" i="1"/>
  <c r="BL2412" i="1"/>
  <c r="BK2412" i="1"/>
  <c r="E2412" i="1" a="1"/>
  <c r="E2412" i="1" s="1"/>
  <c r="BN2411" i="1" a="1"/>
  <c r="BN2411" i="1" s="1"/>
  <c r="AT2411" i="1"/>
  <c r="E2409" i="1" a="1"/>
  <c r="E2409" i="1" s="1"/>
  <c r="BM2408" i="1" a="1"/>
  <c r="BM2408" i="1" s="1"/>
  <c r="BJ2408" i="1" s="1" a="1"/>
  <c r="BJ2408" i="1" s="1"/>
  <c r="BI2409" i="1" a="1"/>
  <c r="BI2409" i="1" s="1"/>
  <c r="BI2408" i="1" a="1"/>
  <c r="BI2408" i="1" s="1"/>
  <c r="BN2409" i="1" a="1"/>
  <c r="BN2409" i="1" s="1"/>
  <c r="E2408" i="1" a="1"/>
  <c r="E2408" i="1" s="1"/>
  <c r="BN2408" i="1" a="1"/>
  <c r="BN2408" i="1" s="1"/>
  <c r="BL2409" i="1" a="1"/>
  <c r="BL2409" i="1" s="1"/>
  <c r="BL2026" i="1"/>
  <c r="BL2027" i="1"/>
  <c r="E2027" i="1" a="1"/>
  <c r="E2027" i="1" s="1"/>
  <c r="BM2026" i="1" a="1"/>
  <c r="BM2026" i="1" s="1"/>
  <c r="BJ2026" i="1" s="1" a="1"/>
  <c r="BJ2026" i="1" s="1"/>
  <c r="BI2027" i="1" a="1"/>
  <c r="BI2027" i="1" s="1"/>
  <c r="E2026" i="1" a="1"/>
  <c r="E2026" i="1" s="1"/>
  <c r="BN2026" i="1" a="1"/>
  <c r="BN2026" i="1" s="1"/>
  <c r="AT2027" i="1"/>
  <c r="AT2026" i="1"/>
  <c r="BK2027" i="1"/>
  <c r="E2024" i="1" a="1"/>
  <c r="E2024" i="1" s="1"/>
  <c r="BM2023" i="1" a="1"/>
  <c r="BM2023" i="1" s="1"/>
  <c r="BJ2023" i="1" s="1" a="1"/>
  <c r="BJ2023" i="1" s="1"/>
  <c r="BI2024" i="1" a="1"/>
  <c r="BI2024" i="1" s="1"/>
  <c r="E2023" i="1" a="1"/>
  <c r="E2023" i="1" s="1"/>
  <c r="BN2023" i="1" a="1"/>
  <c r="BN2023" i="1" s="1"/>
  <c r="BL1202" i="1"/>
  <c r="BL1203" i="1"/>
  <c r="E1203" i="1" a="1"/>
  <c r="E1203" i="1" s="1"/>
  <c r="BM1202" i="1" a="1"/>
  <c r="BM1202" i="1" s="1"/>
  <c r="BJ1202" i="1" s="1" a="1"/>
  <c r="BJ1202" i="1" s="1"/>
  <c r="E1202" i="1" a="1"/>
  <c r="E1202" i="1" s="1"/>
  <c r="BN1202" i="1" a="1"/>
  <c r="BN1202" i="1" s="1"/>
  <c r="AT1203" i="1"/>
  <c r="AT1202" i="1"/>
  <c r="BK1203" i="1"/>
  <c r="BL1199" i="1"/>
  <c r="BL1200" i="1"/>
  <c r="BK1199" i="1"/>
  <c r="BK1200" i="1"/>
  <c r="BM1199" i="1" a="1"/>
  <c r="BM1199" i="1" s="1"/>
  <c r="BJ1199" i="1" s="1" a="1"/>
  <c r="BJ1199" i="1" s="1"/>
  <c r="BN1200" i="1" a="1"/>
  <c r="BN1200" i="1" s="1"/>
  <c r="BI1199" i="1" a="1"/>
  <c r="BI1199" i="1" s="1"/>
  <c r="BN1199" i="1" a="1"/>
  <c r="BN1199" i="1" s="1"/>
  <c r="BL508" i="1" a="1"/>
  <c r="BL508" i="1" s="1"/>
  <c r="BI507" i="1" a="1"/>
  <c r="BI507" i="1" s="1"/>
  <c r="BN507" i="1" a="1"/>
  <c r="BN507" i="1" s="1"/>
  <c r="BL504" i="1"/>
  <c r="BL505" i="1"/>
  <c r="BI504" i="1" a="1"/>
  <c r="BI504" i="1" s="1"/>
  <c r="BN504" i="1" a="1"/>
  <c r="BN504" i="1" s="1"/>
  <c r="BK505" i="1"/>
  <c r="BM504" i="1" a="1"/>
  <c r="BM504" i="1" s="1"/>
  <c r="BJ504" i="1" s="1" a="1"/>
  <c r="BJ504" i="1" s="1"/>
  <c r="BN2441" i="1" a="1"/>
  <c r="BN2441" i="1" s="1"/>
  <c r="BK2772" i="1"/>
  <c r="BK2429" i="1"/>
  <c r="AT2442" i="1"/>
  <c r="BK2420" i="1"/>
  <c r="BN2442" i="1" a="1"/>
  <c r="BN2442" i="1" s="1"/>
  <c r="BL2438" i="1" a="1"/>
  <c r="BL2438" i="1" s="1"/>
  <c r="BK2774" i="1"/>
  <c r="BL2426" i="1" a="1"/>
  <c r="BL2426" i="1" s="1"/>
  <c r="BL2439" i="1" a="1"/>
  <c r="BL2439" i="1" s="1"/>
  <c r="BK2442" i="1"/>
  <c r="BL2429" i="1" a="1"/>
  <c r="BL2429" i="1" s="1"/>
  <c r="BN2439" i="1" a="1"/>
  <c r="BN2439" i="1" s="1"/>
  <c r="BK2421" i="1"/>
  <c r="BI2438" i="1" a="1"/>
  <c r="BI2438" i="1" s="1"/>
  <c r="BK2441" i="1"/>
  <c r="BK2423" i="1"/>
  <c r="BM2438" i="1" a="1"/>
  <c r="BM2438" i="1" s="1"/>
  <c r="BJ2438" i="1" s="1" a="1"/>
  <c r="BJ2438" i="1" s="1"/>
  <c r="BK2439" i="1"/>
  <c r="BM2439" i="1" a="1"/>
  <c r="BM2439" i="1" s="1"/>
  <c r="BJ2439" i="1" s="1" a="1"/>
  <c r="BJ2439" i="1" s="1"/>
  <c r="BI2441" i="1" a="1"/>
  <c r="BI2441" i="1" s="1"/>
  <c r="BK2771" i="1"/>
  <c r="BL2773" i="1" a="1"/>
  <c r="BL2773" i="1" s="1"/>
  <c r="BK2430" i="1"/>
  <c r="BM2442" i="1" a="1"/>
  <c r="BM2442" i="1" s="1"/>
  <c r="BJ2442" i="1" s="1" a="1"/>
  <c r="BJ2442" i="1" s="1"/>
  <c r="BK2770" i="1"/>
  <c r="BK2426" i="1"/>
  <c r="BK2438" i="1"/>
  <c r="BI2439" i="1" a="1"/>
  <c r="BI2439" i="1" s="1"/>
  <c r="BL2774" i="1" a="1"/>
  <c r="BL2774" i="1" s="1"/>
  <c r="BK2773" i="1"/>
  <c r="BL2770" i="1"/>
  <c r="BL2771" i="1"/>
  <c r="BL2441" i="1"/>
  <c r="BL2442" i="1"/>
  <c r="E2442" i="1" a="1"/>
  <c r="E2442" i="1" s="1"/>
  <c r="BM2441" i="1" a="1"/>
  <c r="BM2441" i="1" s="1"/>
  <c r="BJ2441" i="1" s="1" a="1"/>
  <c r="BJ2441" i="1" s="1"/>
  <c r="BI2442" i="1" a="1"/>
  <c r="BI2442" i="1" s="1"/>
  <c r="AT2441" i="1"/>
  <c r="E2439" i="1" a="1"/>
  <c r="E2439" i="1" s="1"/>
  <c r="E2438" i="1" a="1"/>
  <c r="E2438" i="1" s="1"/>
  <c r="BN2438" i="1" a="1"/>
  <c r="BN2438" i="1" s="1"/>
  <c r="BL2430" i="1" a="1"/>
  <c r="BL2430" i="1" s="1"/>
  <c r="BK2424" i="1"/>
  <c r="BK2427" i="1"/>
  <c r="BL2427" i="1" a="1"/>
  <c r="BL2427" i="1" s="1"/>
  <c r="BL2424" i="1" a="1"/>
  <c r="BL2424" i="1" s="1"/>
  <c r="BL2423" i="1" a="1"/>
  <c r="BL2423" i="1" s="1"/>
  <c r="BL2420" i="1" a="1"/>
  <c r="BL2420" i="1" s="1"/>
  <c r="BL2421" i="1" a="1"/>
  <c r="BL2421" i="1" s="1"/>
  <c r="BL2418" i="1"/>
  <c r="BL2417" i="1"/>
  <c r="BK2418" i="1"/>
  <c r="BK2417" i="1"/>
  <c r="BL2772" i="1" a="1"/>
  <c r="BL2772" i="1" s="1"/>
  <c r="AS2461" i="1"/>
  <c r="AW2460" i="1"/>
  <c r="AX2461" i="1"/>
  <c r="BI2446" i="1" a="1"/>
  <c r="BI2446" i="1" s="1"/>
  <c r="AX2460" i="1"/>
  <c r="BN2479" i="1" a="1"/>
  <c r="BN2479" i="1" s="1"/>
  <c r="BI2481" i="1" a="1"/>
  <c r="BI2481" i="1" s="1"/>
  <c r="BK2452" i="1"/>
  <c r="BN2460" i="1" a="1"/>
  <c r="BN2460" i="1" s="1"/>
  <c r="BI2475" i="1" a="1"/>
  <c r="BI2475" i="1" s="1"/>
  <c r="BN2476" i="1" a="1"/>
  <c r="BN2476" i="1" s="1"/>
  <c r="BN2482" i="1" a="1"/>
  <c r="BN2482" i="1" s="1"/>
  <c r="AS2460" i="1"/>
  <c r="AT2469" i="1"/>
  <c r="F2461" i="1" a="1"/>
  <c r="F2461" i="1" s="1"/>
  <c r="F2466" i="1" a="1"/>
  <c r="F2466" i="1" s="1"/>
  <c r="BK2466" i="1" s="1"/>
  <c r="BI2451" i="1" a="1"/>
  <c r="BI2451" i="1" s="1"/>
  <c r="BI2458" i="1" a="1"/>
  <c r="BI2458" i="1" s="1"/>
  <c r="BI2473" i="1" a="1"/>
  <c r="BI2473" i="1" s="1"/>
  <c r="BN2461" i="1" a="1"/>
  <c r="BN2461" i="1" s="1"/>
  <c r="BI2479" i="1" a="1"/>
  <c r="BI2479" i="1" s="1"/>
  <c r="BI2454" i="1" a="1"/>
  <c r="BI2454" i="1" s="1"/>
  <c r="BI2455" i="1" a="1"/>
  <c r="BI2455" i="1" s="1"/>
  <c r="K2461" i="1" a="1"/>
  <c r="K2461" i="1" s="1"/>
  <c r="BN2488" i="1" a="1"/>
  <c r="BN2488" i="1" s="1"/>
  <c r="BI2464" i="1" a="1"/>
  <c r="BI2464" i="1" s="1"/>
  <c r="BN2467" i="1" a="1"/>
  <c r="BN2467" i="1" s="1"/>
  <c r="BN2491" i="1" a="1"/>
  <c r="BN2491" i="1" s="1"/>
  <c r="BN2451" i="1" a="1"/>
  <c r="BN2451" i="1" s="1"/>
  <c r="AU2466" i="1"/>
  <c r="BN2478" i="1" a="1"/>
  <c r="BN2478" i="1" s="1"/>
  <c r="BI2488" i="1" a="1"/>
  <c r="BI2488" i="1" s="1"/>
  <c r="BK2490" i="1"/>
  <c r="BL2448" i="1" a="1"/>
  <c r="BL2448" i="1" s="1"/>
  <c r="BM2472" i="1" a="1"/>
  <c r="BM2472" i="1" s="1"/>
  <c r="BJ2472" i="1" s="1" a="1"/>
  <c r="BJ2472" i="1" s="1"/>
  <c r="BI2489" i="1" a="1"/>
  <c r="BI2489" i="1" s="1"/>
  <c r="F2460" i="1" a="1"/>
  <c r="F2460" i="1" s="1"/>
  <c r="E2460" i="1" s="1" a="1"/>
  <c r="E2460" i="1" s="1"/>
  <c r="AT2466" i="1"/>
  <c r="BL2449" i="1" a="1"/>
  <c r="BL2449" i="1" s="1"/>
  <c r="AW2461" i="1"/>
  <c r="F2469" i="1" a="1"/>
  <c r="F2469" i="1" s="1"/>
  <c r="E2469" i="1" s="1" a="1"/>
  <c r="E2469" i="1" s="1"/>
  <c r="BI2491" i="1" a="1"/>
  <c r="BI2491" i="1" s="1"/>
  <c r="AT2488" i="1"/>
  <c r="BK2457" i="1"/>
  <c r="AU2470" i="1"/>
  <c r="BL2478" i="1" a="1"/>
  <c r="BL2478" i="1" s="1"/>
  <c r="BK2448" i="1"/>
  <c r="BL2458" i="1" a="1"/>
  <c r="BL2458" i="1" s="1"/>
  <c r="BM2482" i="1" a="1"/>
  <c r="BM2482" i="1" s="1"/>
  <c r="BJ2482" i="1" s="1" a="1"/>
  <c r="BJ2482" i="1" s="1"/>
  <c r="BK2487" i="1"/>
  <c r="BN2449" i="1" a="1"/>
  <c r="BN2449" i="1" s="1"/>
  <c r="BM2463" i="1" a="1"/>
  <c r="BM2463" i="1" s="1"/>
  <c r="BJ2463" i="1" s="1" a="1"/>
  <c r="BJ2463" i="1" s="1"/>
  <c r="BM2464" i="1" a="1"/>
  <c r="BM2464" i="1" s="1"/>
  <c r="BJ2464" i="1" s="1" a="1"/>
  <c r="BJ2464" i="1" s="1"/>
  <c r="BN2469" i="1" a="1"/>
  <c r="BN2469" i="1" s="1"/>
  <c r="BK2472" i="1"/>
  <c r="BM2479" i="1" a="1"/>
  <c r="BM2479" i="1" s="1"/>
  <c r="BJ2479" i="1" s="1" a="1"/>
  <c r="BJ2479" i="1" s="1"/>
  <c r="BM2485" i="1" a="1"/>
  <c r="BM2485" i="1" s="1"/>
  <c r="BJ2485" i="1" s="1" a="1"/>
  <c r="BJ2485" i="1" s="1"/>
  <c r="BN2490" i="1" a="1"/>
  <c r="BN2490" i="1" s="1"/>
  <c r="BK2491" i="1"/>
  <c r="BM2452" i="1" a="1"/>
  <c r="BM2452" i="1" s="1"/>
  <c r="BJ2452" i="1" s="1" a="1"/>
  <c r="BJ2452" i="1" s="1"/>
  <c r="BK2454" i="1"/>
  <c r="BK2475" i="1"/>
  <c r="AT2487" i="1"/>
  <c r="BK2446" i="1"/>
  <c r="BK2451" i="1"/>
  <c r="BN2452" i="1" a="1"/>
  <c r="BN2452" i="1" s="1"/>
  <c r="BK2478" i="1"/>
  <c r="BK2484" i="1"/>
  <c r="BM2488" i="1" a="1"/>
  <c r="BM2488" i="1" s="1"/>
  <c r="BJ2488" i="1" s="1" a="1"/>
  <c r="BJ2488" i="1" s="1"/>
  <c r="BM2446" i="1" a="1"/>
  <c r="BM2446" i="1" s="1"/>
  <c r="BJ2446" i="1" s="1" a="1"/>
  <c r="BJ2446" i="1" s="1"/>
  <c r="BI2448" i="1" a="1"/>
  <c r="BI2448" i="1" s="1"/>
  <c r="BN2457" i="1" a="1"/>
  <c r="BN2457" i="1" s="1"/>
  <c r="BI2460" i="1" a="1"/>
  <c r="BI2460" i="1" s="1"/>
  <c r="BI2472" i="1" a="1"/>
  <c r="BI2472" i="1" s="1"/>
  <c r="BL2479" i="1" a="1"/>
  <c r="BL2479" i="1" s="1"/>
  <c r="BM2491" i="1" a="1"/>
  <c r="BM2491" i="1" s="1"/>
  <c r="BJ2491" i="1" s="1" a="1"/>
  <c r="BJ2491" i="1" s="1"/>
  <c r="BM2449" i="1" a="1"/>
  <c r="BM2449" i="1" s="1"/>
  <c r="BJ2449" i="1" s="1" a="1"/>
  <c r="BJ2449" i="1" s="1"/>
  <c r="BL2451" i="1" a="1"/>
  <c r="BL2451" i="1" s="1"/>
  <c r="BL2457" i="1" a="1"/>
  <c r="BL2457" i="1" s="1"/>
  <c r="BI2478" i="1" a="1"/>
  <c r="BI2478" i="1" s="1"/>
  <c r="BM2455" i="1" a="1"/>
  <c r="BM2455" i="1" s="1"/>
  <c r="BJ2455" i="1" s="1" a="1"/>
  <c r="BJ2455" i="1" s="1"/>
  <c r="BM2458" i="1" a="1"/>
  <c r="BM2458" i="1" s="1"/>
  <c r="BJ2458" i="1" s="1" a="1"/>
  <c r="BJ2458" i="1" s="1"/>
  <c r="BK2463" i="1"/>
  <c r="BM2473" i="1" a="1"/>
  <c r="BM2473" i="1" s="1"/>
  <c r="BJ2473" i="1" s="1" a="1"/>
  <c r="BJ2473" i="1" s="1"/>
  <c r="BM2476" i="1" a="1"/>
  <c r="BM2476" i="1" s="1"/>
  <c r="BJ2476" i="1" s="1" a="1"/>
  <c r="BJ2476" i="1" s="1"/>
  <c r="BK2481" i="1"/>
  <c r="BK2485" i="1"/>
  <c r="BL2491" i="1"/>
  <c r="BL2490" i="1"/>
  <c r="BM2490" i="1" a="1"/>
  <c r="BM2490" i="1" s="1"/>
  <c r="BJ2490" i="1" s="1" a="1"/>
  <c r="BJ2490" i="1" s="1"/>
  <c r="AT2491" i="1"/>
  <c r="BI2490" i="1" a="1"/>
  <c r="BI2490" i="1" s="1"/>
  <c r="AT2490" i="1"/>
  <c r="BL2488" i="1"/>
  <c r="BM2487" i="1" a="1"/>
  <c r="BM2487" i="1" s="1"/>
  <c r="BJ2487" i="1" s="1" a="1"/>
  <c r="BJ2487" i="1" s="1"/>
  <c r="BI2487" i="1" a="1"/>
  <c r="BI2487" i="1" s="1"/>
  <c r="BN2487" i="1" a="1"/>
  <c r="BN2487" i="1" s="1"/>
  <c r="BK2488" i="1"/>
  <c r="BL2484" i="1"/>
  <c r="BL2485" i="1"/>
  <c r="BI2484" i="1" a="1"/>
  <c r="BI2484" i="1" s="1"/>
  <c r="BN2485" i="1" a="1"/>
  <c r="BN2485" i="1" s="1"/>
  <c r="E2484" i="1" a="1"/>
  <c r="E2484" i="1" s="1"/>
  <c r="BN2484" i="1" a="1"/>
  <c r="BN2484" i="1" s="1"/>
  <c r="AT2485" i="1"/>
  <c r="BM2484" i="1" a="1"/>
  <c r="BM2484" i="1" s="1"/>
  <c r="BJ2484" i="1" s="1" a="1"/>
  <c r="BJ2484" i="1" s="1"/>
  <c r="AT2484" i="1"/>
  <c r="BI2485" i="1" a="1"/>
  <c r="BI2485" i="1" s="1"/>
  <c r="BL2481" i="1"/>
  <c r="BL2482" i="1"/>
  <c r="E2482" i="1" a="1"/>
  <c r="E2482" i="1" s="1"/>
  <c r="BM2481" i="1" a="1"/>
  <c r="BM2481" i="1" s="1"/>
  <c r="BJ2481" i="1" s="1" a="1"/>
  <c r="BJ2481" i="1" s="1"/>
  <c r="BI2482" i="1" a="1"/>
  <c r="BI2482" i="1" s="1"/>
  <c r="E2481" i="1" a="1"/>
  <c r="E2481" i="1" s="1"/>
  <c r="BN2481" i="1" a="1"/>
  <c r="BN2481" i="1" s="1"/>
  <c r="AT2482" i="1"/>
  <c r="AT2481" i="1"/>
  <c r="BK2482" i="1"/>
  <c r="BM2478" i="1" a="1"/>
  <c r="BM2478" i="1" s="1"/>
  <c r="BJ2478" i="1" s="1" a="1"/>
  <c r="BJ2478" i="1" s="1"/>
  <c r="BK2479" i="1"/>
  <c r="BL2476" i="1"/>
  <c r="BL2475" i="1"/>
  <c r="BM2475" i="1" a="1"/>
  <c r="BM2475" i="1" s="1"/>
  <c r="BJ2475" i="1" s="1" a="1"/>
  <c r="BJ2475" i="1" s="1"/>
  <c r="BI2476" i="1" a="1"/>
  <c r="BI2476" i="1" s="1"/>
  <c r="E2475" i="1" a="1"/>
  <c r="E2475" i="1" s="1"/>
  <c r="BN2475" i="1" a="1"/>
  <c r="BN2475" i="1" s="1"/>
  <c r="AT2476" i="1"/>
  <c r="AT2475" i="1"/>
  <c r="BK2476" i="1"/>
  <c r="BL2473" i="1"/>
  <c r="BL2472" i="1"/>
  <c r="BN2473" i="1" a="1"/>
  <c r="BN2473" i="1" s="1"/>
  <c r="E2472" i="1" a="1"/>
  <c r="E2472" i="1" s="1"/>
  <c r="BN2472" i="1" a="1"/>
  <c r="BN2472" i="1" s="1"/>
  <c r="AT2473" i="1"/>
  <c r="AT2472" i="1"/>
  <c r="BK2473" i="1"/>
  <c r="BI2470" i="1" a="1"/>
  <c r="BI2470" i="1" s="1"/>
  <c r="BN2470" i="1" a="1"/>
  <c r="BN2470" i="1" s="1"/>
  <c r="BM2469" i="1" a="1"/>
  <c r="BM2469" i="1" s="1"/>
  <c r="BJ2469" i="1" s="1" a="1"/>
  <c r="BJ2469" i="1" s="1"/>
  <c r="BM2470" i="1" a="1"/>
  <c r="BM2470" i="1" s="1"/>
  <c r="BJ2470" i="1" s="1" a="1"/>
  <c r="BJ2470" i="1" s="1"/>
  <c r="F2470" i="1" a="1"/>
  <c r="F2470" i="1" s="1"/>
  <c r="BL2470" i="1" s="1" a="1"/>
  <c r="BL2470" i="1" s="1"/>
  <c r="AU2469" i="1"/>
  <c r="BK2469" i="1"/>
  <c r="AT2470" i="1"/>
  <c r="BK2470" i="1"/>
  <c r="BI2469" i="1" a="1"/>
  <c r="BI2469" i="1" s="1"/>
  <c r="BN2466" i="1" a="1"/>
  <c r="BN2466" i="1" s="1"/>
  <c r="BI2466" i="1" a="1"/>
  <c r="BI2466" i="1" s="1"/>
  <c r="BM2467" i="1" a="1"/>
  <c r="BM2467" i="1" s="1"/>
  <c r="BJ2467" i="1" s="1" a="1"/>
  <c r="BJ2467" i="1" s="1"/>
  <c r="BM2466" i="1" a="1"/>
  <c r="BM2466" i="1" s="1"/>
  <c r="BJ2466" i="1" s="1" a="1"/>
  <c r="BJ2466" i="1" s="1"/>
  <c r="F2467" i="1" a="1"/>
  <c r="F2467" i="1" s="1"/>
  <c r="BK2467" i="1" s="1"/>
  <c r="BI2467" i="1" a="1"/>
  <c r="BI2467" i="1" s="1"/>
  <c r="AT2467" i="1"/>
  <c r="AU2467" i="1"/>
  <c r="BL2463" i="1"/>
  <c r="BL2464" i="1"/>
  <c r="E2464" i="1" a="1"/>
  <c r="E2464" i="1" s="1"/>
  <c r="BI2463" i="1" a="1"/>
  <c r="BI2463" i="1" s="1"/>
  <c r="BN2464" i="1" a="1"/>
  <c r="BN2464" i="1" s="1"/>
  <c r="E2463" i="1" a="1"/>
  <c r="E2463" i="1" s="1"/>
  <c r="BN2463" i="1" a="1"/>
  <c r="BN2463" i="1" s="1"/>
  <c r="BK2464" i="1"/>
  <c r="K2460" i="1" a="1"/>
  <c r="K2460" i="1" s="1"/>
  <c r="AU2460" i="1"/>
  <c r="BI2461" i="1" a="1"/>
  <c r="BI2461" i="1" s="1"/>
  <c r="AU2461" i="1"/>
  <c r="BI2457" i="1" a="1"/>
  <c r="BI2457" i="1" s="1"/>
  <c r="E2458" i="1" a="1"/>
  <c r="E2458" i="1" s="1"/>
  <c r="BN2458" i="1" a="1"/>
  <c r="BN2458" i="1" s="1"/>
  <c r="BM2457" i="1" a="1"/>
  <c r="BM2457" i="1" s="1"/>
  <c r="BJ2457" i="1" s="1" a="1"/>
  <c r="BJ2457" i="1" s="1"/>
  <c r="E2457" i="1" a="1"/>
  <c r="E2457" i="1" s="1"/>
  <c r="BK2458" i="1"/>
  <c r="BL2454" i="1"/>
  <c r="BL2455" i="1"/>
  <c r="BM2454" i="1" a="1"/>
  <c r="BM2454" i="1" s="1"/>
  <c r="BJ2454" i="1" s="1" a="1"/>
  <c r="BJ2454" i="1" s="1"/>
  <c r="BN2455" i="1" a="1"/>
  <c r="BN2455" i="1" s="1"/>
  <c r="E2454" i="1" a="1"/>
  <c r="E2454" i="1" s="1"/>
  <c r="BN2454" i="1" a="1"/>
  <c r="BN2454" i="1" s="1"/>
  <c r="AT2455" i="1"/>
  <c r="AT2454" i="1"/>
  <c r="BK2455" i="1"/>
  <c r="E2452" i="1" a="1"/>
  <c r="E2452" i="1" s="1"/>
  <c r="BM2451" i="1" a="1"/>
  <c r="BM2451" i="1" s="1"/>
  <c r="BJ2451" i="1" s="1" a="1"/>
  <c r="BJ2451" i="1" s="1"/>
  <c r="BI2452" i="1" a="1"/>
  <c r="BI2452" i="1" s="1"/>
  <c r="BL2452" i="1" a="1"/>
  <c r="BL2452" i="1" s="1"/>
  <c r="BM2448" i="1" a="1"/>
  <c r="BM2448" i="1" s="1"/>
  <c r="BJ2448" i="1" s="1" a="1"/>
  <c r="BJ2448" i="1" s="1"/>
  <c r="BI2449" i="1" a="1"/>
  <c r="BI2449" i="1" s="1"/>
  <c r="E2448" i="1" a="1"/>
  <c r="E2448" i="1" s="1"/>
  <c r="BN2448" i="1" a="1"/>
  <c r="BN2448" i="1" s="1"/>
  <c r="BK2449" i="1"/>
  <c r="BL2445" i="1"/>
  <c r="BL2446" i="1"/>
  <c r="E2446" i="1" a="1"/>
  <c r="E2446" i="1" s="1"/>
  <c r="BK2445" i="1"/>
  <c r="E2445" i="1" a="1"/>
  <c r="E2445" i="1" s="1"/>
  <c r="BM2445" i="1" a="1"/>
  <c r="BM2445" i="1" s="1"/>
  <c r="BJ2445" i="1" s="1" a="1"/>
  <c r="BJ2445" i="1" s="1"/>
  <c r="BN2446" i="1" a="1"/>
  <c r="BN2446" i="1" s="1"/>
  <c r="BI2445" i="1" a="1"/>
  <c r="BI2445" i="1" s="1"/>
  <c r="AT2446" i="1"/>
  <c r="BN2445" i="1" a="1"/>
  <c r="BN2445" i="1" s="1"/>
  <c r="AT2445" i="1"/>
  <c r="BM2489" i="1" a="1"/>
  <c r="BM2489" i="1" s="1"/>
  <c r="BJ2489" i="1" s="1" a="1"/>
  <c r="BJ2489" i="1" s="1"/>
  <c r="BL2489" i="1"/>
  <c r="BN2489" i="1" a="1"/>
  <c r="BN2489" i="1" s="1"/>
  <c r="AT2489" i="1"/>
  <c r="BK2489" i="1"/>
  <c r="BL2532" i="1" a="1"/>
  <c r="BL2532" i="1" s="1"/>
  <c r="BL2523" i="1" a="1"/>
  <c r="BL2523" i="1" s="1"/>
  <c r="BI2494" i="1" a="1"/>
  <c r="BI2494" i="1" s="1"/>
  <c r="BN2506" i="1" a="1"/>
  <c r="BN2506" i="1" s="1"/>
  <c r="BL2508" i="1" a="1"/>
  <c r="BL2508" i="1" s="1"/>
  <c r="BI2496" i="1" a="1"/>
  <c r="BI2496" i="1" s="1"/>
  <c r="BI2503" i="1" a="1"/>
  <c r="BI2503" i="1" s="1"/>
  <c r="BI2532" i="1" a="1"/>
  <c r="BI2532" i="1" s="1"/>
  <c r="BI2523" i="1" a="1"/>
  <c r="BI2523" i="1" s="1"/>
  <c r="BI2509" i="1" a="1"/>
  <c r="BI2509" i="1" s="1"/>
  <c r="BK2523" i="1"/>
  <c r="BK2532" i="1"/>
  <c r="BN2533" i="1" a="1"/>
  <c r="BN2533" i="1" s="1"/>
  <c r="BN2497" i="1" a="1"/>
  <c r="BN2497" i="1" s="1"/>
  <c r="BN2527" i="1" a="1"/>
  <c r="BN2527" i="1" s="1"/>
  <c r="BN2503" i="1" a="1"/>
  <c r="BN2503" i="1" s="1"/>
  <c r="BI2500" i="1" a="1"/>
  <c r="BI2500" i="1" s="1"/>
  <c r="BI2536" i="1" a="1"/>
  <c r="BI2536" i="1" s="1"/>
  <c r="BM2536" i="1" a="1"/>
  <c r="BM2536" i="1" s="1"/>
  <c r="BJ2536" i="1" s="1" a="1"/>
  <c r="BJ2536" i="1" s="1"/>
  <c r="BI2493" i="1" a="1"/>
  <c r="BI2493" i="1" s="1"/>
  <c r="BL2514" i="1"/>
  <c r="BL2517" i="1"/>
  <c r="BI2508" i="1" a="1"/>
  <c r="BI2508" i="1" s="1"/>
  <c r="BM2527" i="1" a="1"/>
  <c r="BM2527" i="1" s="1"/>
  <c r="BJ2527" i="1" s="1" a="1"/>
  <c r="BJ2527" i="1" s="1"/>
  <c r="BL2500" i="1" a="1"/>
  <c r="BL2500" i="1" s="1"/>
  <c r="BN2508" i="1" a="1"/>
  <c r="BN2508" i="1" s="1"/>
  <c r="BL2505" i="1" a="1"/>
  <c r="BL2505" i="1" s="1"/>
  <c r="BM2493" i="1" a="1"/>
  <c r="BM2493" i="1" s="1"/>
  <c r="BJ2493" i="1" s="1" a="1"/>
  <c r="BJ2493" i="1" s="1"/>
  <c r="BK2497" i="1"/>
  <c r="BI2514" i="1" a="1"/>
  <c r="BI2514" i="1" s="1"/>
  <c r="BI2517" i="1" a="1"/>
  <c r="BI2517" i="1" s="1"/>
  <c r="BK2518" i="1"/>
  <c r="BN2523" i="1" a="1"/>
  <c r="BN2523" i="1" s="1"/>
  <c r="BN2536" i="1" a="1"/>
  <c r="BN2536" i="1" s="1"/>
  <c r="BM2497" i="1" a="1"/>
  <c r="BM2497" i="1" s="1"/>
  <c r="BJ2497" i="1" s="1" a="1"/>
  <c r="BJ2497" i="1" s="1"/>
  <c r="BI2505" i="1" a="1"/>
  <c r="BI2505" i="1" s="1"/>
  <c r="BL2506" i="1" a="1"/>
  <c r="BL2506" i="1" s="1"/>
  <c r="BM2509" i="1" a="1"/>
  <c r="BM2509" i="1" s="1"/>
  <c r="BJ2509" i="1" s="1" a="1"/>
  <c r="BJ2509" i="1" s="1"/>
  <c r="BL2518" i="1"/>
  <c r="BM2494" i="1" a="1"/>
  <c r="BM2494" i="1" s="1"/>
  <c r="BJ2494" i="1" s="1" a="1"/>
  <c r="BJ2494" i="1" s="1"/>
  <c r="BI2497" i="1" a="1"/>
  <c r="BI2497" i="1" s="1"/>
  <c r="BM2503" i="1" a="1"/>
  <c r="BM2503" i="1" s="1"/>
  <c r="BJ2503" i="1" s="1" a="1"/>
  <c r="BJ2503" i="1" s="1"/>
  <c r="BM2508" i="1" a="1"/>
  <c r="BM2508" i="1" s="1"/>
  <c r="BJ2508" i="1" s="1" a="1"/>
  <c r="BJ2508" i="1" s="1"/>
  <c r="BM2518" i="1" a="1"/>
  <c r="BM2518" i="1" s="1"/>
  <c r="BJ2518" i="1" s="1" a="1"/>
  <c r="BJ2518" i="1" s="1"/>
  <c r="BN2518" i="1" a="1"/>
  <c r="BN2518" i="1" s="1"/>
  <c r="BM2499" i="1" a="1"/>
  <c r="BM2499" i="1" s="1"/>
  <c r="BJ2499" i="1" s="1" a="1"/>
  <c r="BJ2499" i="1" s="1"/>
  <c r="BK2500" i="1" a="1"/>
  <c r="BK2500" i="1" s="1"/>
  <c r="BN2509" i="1" a="1"/>
  <c r="BN2509" i="1" s="1"/>
  <c r="BN2524" i="1" a="1"/>
  <c r="BN2524" i="1" s="1"/>
  <c r="BI2527" i="1" a="1"/>
  <c r="BI2527" i="1" s="1"/>
  <c r="BL2536" i="1" a="1"/>
  <c r="BL2536" i="1" s="1"/>
  <c r="BM2505" i="1" a="1"/>
  <c r="BM2505" i="1" s="1"/>
  <c r="BJ2505" i="1" s="1" a="1"/>
  <c r="BJ2505" i="1" s="1"/>
  <c r="BM2502" i="1" a="1"/>
  <c r="BM2502" i="1" s="1"/>
  <c r="BJ2502" i="1" s="1" a="1"/>
  <c r="BJ2502" i="1" s="1"/>
  <c r="BM2496" i="1" a="1"/>
  <c r="BM2496" i="1" s="1"/>
  <c r="BJ2496" i="1" s="1" a="1"/>
  <c r="BJ2496" i="1" s="1"/>
  <c r="BN2499" i="1" a="1"/>
  <c r="BN2499" i="1" s="1"/>
  <c r="BM2500" i="1" a="1"/>
  <c r="BM2500" i="1" s="1"/>
  <c r="BJ2500" i="1" s="1" a="1"/>
  <c r="BJ2500" i="1" s="1"/>
  <c r="BK2502" i="1" a="1"/>
  <c r="BK2502" i="1" s="1"/>
  <c r="BQ2502" i="1" s="1"/>
  <c r="BR2502" i="1" s="1"/>
  <c r="BM2506" i="1" a="1"/>
  <c r="BM2506" i="1" s="1"/>
  <c r="BJ2506" i="1" s="1" a="1"/>
  <c r="BJ2506" i="1" s="1"/>
  <c r="BK2508" i="1" a="1"/>
  <c r="BK2508" i="1" s="1"/>
  <c r="BL2535" i="1" a="1"/>
  <c r="BL2535" i="1" s="1"/>
  <c r="BN2535" i="1" a="1"/>
  <c r="BN2535" i="1" s="1"/>
  <c r="BI2535" i="1" a="1"/>
  <c r="BI2535" i="1" s="1"/>
  <c r="BM2535" i="1" a="1"/>
  <c r="BM2535" i="1" s="1"/>
  <c r="BJ2535" i="1" s="1" a="1"/>
  <c r="BJ2535" i="1" s="1"/>
  <c r="BI2533" i="1" a="1"/>
  <c r="BI2533" i="1" s="1"/>
  <c r="BM2532" i="1" a="1"/>
  <c r="BM2532" i="1" s="1"/>
  <c r="BJ2532" i="1" s="1" a="1"/>
  <c r="BJ2532" i="1" s="1"/>
  <c r="BK2533" i="1"/>
  <c r="BL2533" i="1" a="1"/>
  <c r="BL2533" i="1" s="1"/>
  <c r="BM2526" i="1" a="1"/>
  <c r="BM2526" i="1" s="1"/>
  <c r="BJ2526" i="1" s="1" a="1"/>
  <c r="BJ2526" i="1" s="1"/>
  <c r="BL2526" i="1" a="1"/>
  <c r="BL2526" i="1" s="1"/>
  <c r="BK2527" i="1" a="1"/>
  <c r="BK2527" i="1" s="1"/>
  <c r="BN2526" i="1" a="1"/>
  <c r="BN2526" i="1" s="1"/>
  <c r="BI2526" i="1" a="1"/>
  <c r="BI2526" i="1" s="1"/>
  <c r="BI2524" i="1" a="1"/>
  <c r="BI2524" i="1" s="1"/>
  <c r="BK2524" i="1"/>
  <c r="BL2524" i="1" a="1"/>
  <c r="BL2524" i="1" s="1"/>
  <c r="BK2517" i="1"/>
  <c r="BM2517" i="1" a="1"/>
  <c r="BM2517" i="1" s="1"/>
  <c r="BJ2517" i="1" s="1" a="1"/>
  <c r="BJ2517" i="1" s="1"/>
  <c r="BI2515" i="1" a="1"/>
  <c r="BI2515" i="1" s="1"/>
  <c r="BK2514" i="1"/>
  <c r="BN2515" i="1" a="1"/>
  <c r="BN2515" i="1" s="1"/>
  <c r="BM2514" i="1" a="1"/>
  <c r="BM2514" i="1" s="1"/>
  <c r="BJ2514" i="1" s="1" a="1"/>
  <c r="BJ2514" i="1" s="1"/>
  <c r="BK2515" i="1"/>
  <c r="BL2515" i="1"/>
  <c r="BL2511" i="1"/>
  <c r="BL2512" i="1"/>
  <c r="E2508" i="1" a="1"/>
  <c r="E2508" i="1" s="1"/>
  <c r="BK2509" i="1" a="1"/>
  <c r="BK2509" i="1" s="1"/>
  <c r="BL2509" i="1" a="1"/>
  <c r="BL2509" i="1" s="1"/>
  <c r="E2509" i="1" a="1"/>
  <c r="E2509" i="1" s="1"/>
  <c r="E2506" i="1" a="1"/>
  <c r="E2506" i="1" s="1"/>
  <c r="BN2505" i="1" a="1"/>
  <c r="BN2505" i="1" s="1"/>
  <c r="BI2506" i="1" a="1"/>
  <c r="BI2506" i="1" s="1"/>
  <c r="BK2505" i="1"/>
  <c r="BK2506" i="1"/>
  <c r="E2505" i="1" a="1"/>
  <c r="E2505" i="1" s="1"/>
  <c r="E2502" i="1" a="1"/>
  <c r="E2502" i="1" s="1"/>
  <c r="BL2502" i="1" a="1"/>
  <c r="BL2502" i="1" s="1"/>
  <c r="BK2503" i="1" a="1"/>
  <c r="BK2503" i="1" s="1"/>
  <c r="BQ2503" i="1" s="1"/>
  <c r="BR2503" i="1" s="1"/>
  <c r="BL2503" i="1" a="1"/>
  <c r="BL2503" i="1" s="1"/>
  <c r="BN2502" i="1" a="1"/>
  <c r="BN2502" i="1" s="1"/>
  <c r="E2503" i="1" a="1"/>
  <c r="E2503" i="1" s="1"/>
  <c r="BI2502" i="1" a="1"/>
  <c r="BI2502" i="1" s="1"/>
  <c r="E2500" i="1" a="1"/>
  <c r="E2500" i="1" s="1"/>
  <c r="E2499" i="1" a="1"/>
  <c r="E2499" i="1" s="1"/>
  <c r="BK2499" i="1" a="1"/>
  <c r="BK2499" i="1" s="1"/>
  <c r="BN2500" i="1" a="1"/>
  <c r="BN2500" i="1" s="1"/>
  <c r="BL2499" i="1" a="1"/>
  <c r="BL2499" i="1" s="1"/>
  <c r="BI2499" i="1" a="1"/>
  <c r="BI2499" i="1" s="1"/>
  <c r="E2497" i="1" a="1"/>
  <c r="E2497" i="1" s="1"/>
  <c r="BN2496" i="1" a="1"/>
  <c r="BN2496" i="1" s="1"/>
  <c r="BK2496" i="1"/>
  <c r="BL2496" i="1" a="1"/>
  <c r="BL2496" i="1" s="1"/>
  <c r="BL2497" i="1" a="1"/>
  <c r="BL2497" i="1" s="1"/>
  <c r="E2496" i="1" a="1"/>
  <c r="E2496" i="1" s="1"/>
  <c r="E2494" i="1" a="1"/>
  <c r="E2494" i="1" s="1"/>
  <c r="E2493" i="1" a="1"/>
  <c r="E2493" i="1" s="1"/>
  <c r="BK2493" i="1" a="1"/>
  <c r="BK2493" i="1" s="1"/>
  <c r="BQ2493" i="1" s="1"/>
  <c r="BR2493" i="1" s="1"/>
  <c r="BN2494" i="1" a="1"/>
  <c r="BN2494" i="1" s="1"/>
  <c r="BL2493" i="1" a="1"/>
  <c r="BL2493" i="1" s="1"/>
  <c r="BK2494" i="1" a="1"/>
  <c r="BK2494" i="1" s="1"/>
  <c r="BQ2494" i="1" s="1"/>
  <c r="BR2494" i="1" s="1"/>
  <c r="BL2494" i="1" a="1"/>
  <c r="BL2494" i="1" s="1"/>
  <c r="BN2493" i="1" a="1"/>
  <c r="BN2493" i="1" s="1"/>
  <c r="BM2534" i="1" a="1"/>
  <c r="BM2534" i="1" s="1"/>
  <c r="BJ2534" i="1" s="1" a="1"/>
  <c r="BJ2534" i="1" s="1"/>
  <c r="BN2534" i="1" a="1"/>
  <c r="BN2534" i="1" s="1"/>
  <c r="BK2534" i="1" a="1"/>
  <c r="BK2534" i="1" s="1"/>
  <c r="BL2534" i="1" a="1"/>
  <c r="BL2534" i="1" s="1"/>
  <c r="BM2539" i="1" a="1"/>
  <c r="BM2539" i="1" s="1"/>
  <c r="BL2539" i="1" s="1" a="1"/>
  <c r="BL2539" i="1" s="1"/>
  <c r="BM2548" i="1" a="1"/>
  <c r="BM2548" i="1" s="1"/>
  <c r="BL2548" i="1" s="1" a="1"/>
  <c r="BL2548" i="1" s="1"/>
  <c r="BM2632" i="1" a="1"/>
  <c r="BM2632" i="1" s="1"/>
  <c r="BL2632" i="1" s="1" a="1"/>
  <c r="BL2632" i="1" s="1"/>
  <c r="BM2591" i="1" a="1"/>
  <c r="BM2591" i="1" s="1"/>
  <c r="BL2591" i="1" s="1" a="1"/>
  <c r="BL2591" i="1" s="1"/>
  <c r="BM2545" i="1" a="1"/>
  <c r="BM2545" i="1" s="1"/>
  <c r="BJ2545" i="1" s="1" a="1"/>
  <c r="BJ2545" i="1" s="1"/>
  <c r="BM2668" i="1" a="1"/>
  <c r="BM2668" i="1" s="1"/>
  <c r="BJ2668" i="1" s="1" a="1"/>
  <c r="BJ2668" i="1" s="1"/>
  <c r="BI2732" i="1" a="1"/>
  <c r="BI2732" i="1" s="1"/>
  <c r="BM2542" i="1" a="1"/>
  <c r="BM2542" i="1" s="1"/>
  <c r="BL2542" i="1" s="1" a="1"/>
  <c r="BL2542" i="1" s="1"/>
  <c r="BK2732" i="1" a="1"/>
  <c r="BK2732" i="1" s="1"/>
  <c r="BM2732" i="1" a="1"/>
  <c r="BM2732" i="1" s="1"/>
  <c r="BL2732" i="1" s="1" a="1"/>
  <c r="BL2732" i="1" s="1"/>
  <c r="BM2554" i="1" a="1"/>
  <c r="BM2554" i="1" s="1"/>
  <c r="BL2554" i="1" s="1" a="1"/>
  <c r="BL2554" i="1" s="1"/>
  <c r="BM2547" i="1" a="1"/>
  <c r="BM2547" i="1" s="1"/>
  <c r="BL2547" i="1" s="1" a="1"/>
  <c r="BL2547" i="1" s="1"/>
  <c r="BM2544" i="1" a="1"/>
  <c r="BM2544" i="1" s="1"/>
  <c r="BL2544" i="1" s="1" a="1"/>
  <c r="BL2544" i="1" s="1"/>
  <c r="BM2667" i="1" a="1"/>
  <c r="BM2667" i="1" s="1"/>
  <c r="BL2667" i="1" s="1" a="1"/>
  <c r="BL2667" i="1" s="1"/>
  <c r="E2732" i="1" a="1"/>
  <c r="E2732" i="1" s="1"/>
  <c r="BM2733" i="1" a="1"/>
  <c r="BM2733" i="1" s="1"/>
  <c r="BN2733" i="1" a="1"/>
  <c r="BN2733" i="1" s="1"/>
  <c r="E2733" i="1" a="1"/>
  <c r="E2733" i="1" s="1"/>
  <c r="BK2733" i="1" a="1"/>
  <c r="BK2733" i="1" s="1"/>
  <c r="BL2730" i="1" a="1"/>
  <c r="BL2730" i="1" s="1"/>
  <c r="BJ2730" i="1" a="1"/>
  <c r="BJ2730" i="1" s="1"/>
  <c r="E2730" i="1" a="1"/>
  <c r="E2730" i="1" s="1"/>
  <c r="E2729" i="1" a="1"/>
  <c r="E2729" i="1" s="1"/>
  <c r="BM2729" i="1" a="1"/>
  <c r="BM2729" i="1" s="1"/>
  <c r="BN2730" i="1" a="1"/>
  <c r="BN2730" i="1" s="1"/>
  <c r="BI2729" i="1" a="1"/>
  <c r="BI2729" i="1" s="1"/>
  <c r="BN2729" i="1" a="1"/>
  <c r="BN2729" i="1" s="1"/>
  <c r="BK2730" i="1" a="1"/>
  <c r="BK2730" i="1" s="1"/>
  <c r="BI2730" i="1" a="1"/>
  <c r="BI2730" i="1" s="1"/>
  <c r="BL2668" i="1" a="1"/>
  <c r="BL2668" i="1" s="1"/>
  <c r="E2668" i="1" a="1"/>
  <c r="E2668" i="1" s="1"/>
  <c r="BN2667" i="1" a="1"/>
  <c r="BN2667" i="1" s="1"/>
  <c r="BN2668" i="1" a="1"/>
  <c r="BN2668" i="1" s="1"/>
  <c r="BI2668" i="1" a="1"/>
  <c r="BI2668" i="1" s="1"/>
  <c r="BI2667" i="1" a="1"/>
  <c r="BI2667" i="1" s="1"/>
  <c r="E2631" i="1" a="1"/>
  <c r="E2631" i="1" s="1"/>
  <c r="E2632" i="1" a="1"/>
  <c r="E2632" i="1" s="1"/>
  <c r="BI2632" i="1" a="1"/>
  <c r="BI2632" i="1" s="1"/>
  <c r="BN2631" i="1" a="1"/>
  <c r="BN2631" i="1" s="1"/>
  <c r="BN2632" i="1" a="1"/>
  <c r="BN2632" i="1" s="1"/>
  <c r="BI2631" i="1" a="1"/>
  <c r="BI2631" i="1" s="1"/>
  <c r="BM2631" i="1" a="1"/>
  <c r="BM2631" i="1" s="1"/>
  <c r="E2591" i="1" a="1"/>
  <c r="E2591" i="1" s="1"/>
  <c r="BN2590" i="1" a="1"/>
  <c r="BN2590" i="1" s="1"/>
  <c r="BN2591" i="1" a="1"/>
  <c r="BN2591" i="1" s="1"/>
  <c r="BI2591" i="1" a="1"/>
  <c r="BI2591" i="1" s="1"/>
  <c r="BM2590" i="1" a="1"/>
  <c r="BM2590" i="1" s="1"/>
  <c r="BK2590" i="1" a="1"/>
  <c r="BK2590" i="1" s="1"/>
  <c r="BK2591" i="1" a="1"/>
  <c r="BK2591" i="1" s="1"/>
  <c r="E2553" i="1" a="1"/>
  <c r="E2553" i="1" s="1"/>
  <c r="E2554" i="1" a="1"/>
  <c r="E2554" i="1" s="1"/>
  <c r="BM2553" i="1" a="1"/>
  <c r="BM2553" i="1" s="1"/>
  <c r="BN2553" i="1" a="1"/>
  <c r="BN2553" i="1" s="1"/>
  <c r="BK2553" i="1" a="1"/>
  <c r="BK2553" i="1" s="1"/>
  <c r="BK2554" i="1" a="1"/>
  <c r="BK2554" i="1" s="1"/>
  <c r="BN2554" i="1" a="1"/>
  <c r="BN2554" i="1" s="1"/>
  <c r="E2550" i="1" a="1"/>
  <c r="E2550" i="1" s="1"/>
  <c r="E2551" i="1" a="1"/>
  <c r="E2551" i="1" s="1"/>
  <c r="BM2551" i="1" a="1"/>
  <c r="BM2551" i="1" s="1"/>
  <c r="BM2550" i="1" a="1"/>
  <c r="BM2550" i="1" s="1"/>
  <c r="BN2551" i="1" a="1"/>
  <c r="BN2551" i="1" s="1"/>
  <c r="BI2550" i="1" a="1"/>
  <c r="BI2550" i="1" s="1"/>
  <c r="BN2550" i="1" a="1"/>
  <c r="BN2550" i="1" s="1"/>
  <c r="BK2551" i="1" a="1"/>
  <c r="BK2551" i="1" s="1"/>
  <c r="E2547" i="1" a="1"/>
  <c r="E2547" i="1" s="1"/>
  <c r="E2548" i="1" a="1"/>
  <c r="E2548" i="1" s="1"/>
  <c r="BN2548" i="1" a="1"/>
  <c r="BN2548" i="1" s="1"/>
  <c r="BK2547" i="1" a="1"/>
  <c r="BK2547" i="1" s="1"/>
  <c r="BK2548" i="1" a="1"/>
  <c r="BK2548" i="1" s="1"/>
  <c r="BN2547" i="1" a="1"/>
  <c r="BN2547" i="1" s="1"/>
  <c r="E2544" i="1" a="1"/>
  <c r="E2544" i="1" s="1"/>
  <c r="E2545" i="1" a="1"/>
  <c r="E2545" i="1" s="1"/>
  <c r="BI2544" i="1" a="1"/>
  <c r="BI2544" i="1" s="1"/>
  <c r="BK2545" i="1" a="1"/>
  <c r="BK2545" i="1" s="1"/>
  <c r="BN2544" i="1" a="1"/>
  <c r="BN2544" i="1" s="1"/>
  <c r="BN2545" i="1" a="1"/>
  <c r="BN2545" i="1" s="1"/>
  <c r="E2541" i="1" a="1"/>
  <c r="E2541" i="1" s="1"/>
  <c r="E2542" i="1" a="1"/>
  <c r="E2542" i="1" s="1"/>
  <c r="BM2541" i="1" a="1"/>
  <c r="BM2541" i="1" s="1"/>
  <c r="BN2541" i="1" a="1"/>
  <c r="BN2541" i="1" s="1"/>
  <c r="BN2542" i="1" a="1"/>
  <c r="BN2542" i="1" s="1"/>
  <c r="BI2541" i="1" a="1"/>
  <c r="BI2541" i="1" s="1"/>
  <c r="BI2542" i="1" a="1"/>
  <c r="BI2542" i="1" s="1"/>
  <c r="BK2542" i="1" a="1"/>
  <c r="BK2542" i="1" s="1"/>
  <c r="E2538" i="1" a="1"/>
  <c r="E2538" i="1" s="1"/>
  <c r="E2539" i="1" a="1"/>
  <c r="E2539" i="1" s="1"/>
  <c r="BI2539" i="1" a="1"/>
  <c r="BI2539" i="1" s="1"/>
  <c r="BN2538" i="1" a="1"/>
  <c r="BN2538" i="1" s="1"/>
  <c r="BN2539" i="1" a="1"/>
  <c r="BN2539" i="1" s="1"/>
  <c r="BI2538" i="1" a="1"/>
  <c r="BI2538" i="1" s="1"/>
  <c r="BM2538" i="1" a="1"/>
  <c r="BM2538" i="1" s="1"/>
  <c r="E2731" i="1" a="1"/>
  <c r="E2731" i="1" s="1"/>
  <c r="BM2731" i="1" a="1"/>
  <c r="BM2731" i="1" s="1"/>
  <c r="BN2731" i="1" a="1"/>
  <c r="BN2731" i="1" s="1"/>
  <c r="BK2731" i="1" a="1"/>
  <c r="BK2731" i="1" s="1"/>
  <c r="BN2765" i="1" a="1"/>
  <c r="BN2765" i="1" s="1"/>
  <c r="BM2765" i="1" a="1"/>
  <c r="BM2765" i="1" s="1"/>
  <c r="BJ2765" i="1" s="1" a="1"/>
  <c r="BJ2765" i="1" s="1"/>
  <c r="BI2765" i="1" a="1"/>
  <c r="BI2765" i="1" s="1"/>
  <c r="F2765" i="1" a="1"/>
  <c r="F2765" i="1" s="1"/>
  <c r="E2765" i="1" s="1" a="1"/>
  <c r="E2765" i="1" s="1"/>
  <c r="BN2764" i="1" a="1"/>
  <c r="BN2764" i="1" s="1"/>
  <c r="BM2764" i="1" a="1"/>
  <c r="BM2764" i="1" s="1"/>
  <c r="BJ2764" i="1" s="1" a="1"/>
  <c r="BJ2764" i="1" s="1"/>
  <c r="BI2764" i="1" a="1"/>
  <c r="BI2764" i="1" s="1"/>
  <c r="F2764" i="1" a="1"/>
  <c r="F2764" i="1" s="1"/>
  <c r="E2764" i="1" s="1" a="1"/>
  <c r="E2764" i="1" s="1"/>
  <c r="BN2763" i="1" a="1"/>
  <c r="BN2763" i="1" s="1"/>
  <c r="BM2763" i="1" a="1"/>
  <c r="BM2763" i="1" s="1"/>
  <c r="BJ2763" i="1" s="1" a="1"/>
  <c r="BJ2763" i="1" s="1"/>
  <c r="BI2763" i="1" a="1"/>
  <c r="BI2763" i="1" s="1"/>
  <c r="F2763" i="1" a="1"/>
  <c r="F2763" i="1" s="1"/>
  <c r="BN2762" i="1" a="1"/>
  <c r="BN2762" i="1" s="1"/>
  <c r="BM2762" i="1" a="1"/>
  <c r="BM2762" i="1" s="1"/>
  <c r="BJ2762" i="1" s="1" a="1"/>
  <c r="BJ2762" i="1" s="1"/>
  <c r="BI2762" i="1" a="1"/>
  <c r="BI2762" i="1" s="1"/>
  <c r="F2762" i="1" a="1"/>
  <c r="F2762" i="1" s="1"/>
  <c r="AZ2012" i="1"/>
  <c r="AY2012" i="1"/>
  <c r="AX2012" i="1"/>
  <c r="AW2012" i="1"/>
  <c r="AU2012" i="1"/>
  <c r="AT2012" i="1"/>
  <c r="AS2012" i="1"/>
  <c r="K2012" i="1" a="1"/>
  <c r="K2012" i="1" s="1"/>
  <c r="J2012" i="1" a="1"/>
  <c r="J2012" i="1" s="1"/>
  <c r="F2012" i="1" a="1"/>
  <c r="F2012" i="1" s="1"/>
  <c r="AZ2011" i="1"/>
  <c r="AY2011" i="1"/>
  <c r="AX2011" i="1"/>
  <c r="AW2011" i="1"/>
  <c r="AU2011" i="1"/>
  <c r="AT2011" i="1"/>
  <c r="AS2011" i="1"/>
  <c r="K2011" i="1" a="1"/>
  <c r="K2011" i="1" s="1"/>
  <c r="J2011" i="1" a="1"/>
  <c r="J2011" i="1" s="1"/>
  <c r="F2011" i="1" a="1"/>
  <c r="F2011" i="1" s="1"/>
  <c r="AZ2010" i="1"/>
  <c r="AY2010" i="1"/>
  <c r="AX2010" i="1"/>
  <c r="AW2010" i="1"/>
  <c r="AU2010" i="1"/>
  <c r="AT2010" i="1"/>
  <c r="AS2010" i="1"/>
  <c r="K2010" i="1" a="1"/>
  <c r="K2010" i="1" s="1"/>
  <c r="J2010" i="1" a="1"/>
  <c r="J2010" i="1" s="1"/>
  <c r="F2010" i="1" a="1"/>
  <c r="F2010" i="1" s="1"/>
  <c r="AZ2009" i="1"/>
  <c r="AY2009" i="1"/>
  <c r="AX2009" i="1"/>
  <c r="AW2009" i="1"/>
  <c r="AU2009" i="1"/>
  <c r="AT2009" i="1"/>
  <c r="AS2009" i="1"/>
  <c r="K2009" i="1" a="1"/>
  <c r="K2009" i="1" s="1"/>
  <c r="J2009" i="1" a="1"/>
  <c r="J2009" i="1" s="1"/>
  <c r="F2009" i="1" a="1"/>
  <c r="F2009" i="1" s="1"/>
  <c r="AZ2007" i="1"/>
  <c r="AY2007" i="1"/>
  <c r="AX2007" i="1"/>
  <c r="AW2007" i="1"/>
  <c r="AU2007" i="1"/>
  <c r="AS2007" i="1"/>
  <c r="K2007" i="1" a="1"/>
  <c r="K2007" i="1" s="1"/>
  <c r="J2007" i="1" a="1"/>
  <c r="J2007" i="1" s="1"/>
  <c r="F2007" i="1" a="1"/>
  <c r="F2007" i="1" s="1"/>
  <c r="AZ2006" i="1"/>
  <c r="AY2006" i="1"/>
  <c r="AX2006" i="1"/>
  <c r="AW2006" i="1"/>
  <c r="AU2006" i="1"/>
  <c r="AS2006" i="1"/>
  <c r="K2006" i="1" a="1"/>
  <c r="K2006" i="1" s="1"/>
  <c r="J2006" i="1" a="1"/>
  <c r="J2006" i="1" s="1"/>
  <c r="F2006" i="1" a="1"/>
  <c r="F2006" i="1" s="1"/>
  <c r="AZ2005" i="1"/>
  <c r="AY2005" i="1"/>
  <c r="AX2005" i="1"/>
  <c r="AW2005" i="1"/>
  <c r="AU2005" i="1"/>
  <c r="AS2005" i="1"/>
  <c r="K2005" i="1" a="1"/>
  <c r="K2005" i="1" s="1"/>
  <c r="J2005" i="1" a="1"/>
  <c r="J2005" i="1" s="1"/>
  <c r="F2005" i="1" a="1"/>
  <c r="F2005" i="1" s="1"/>
  <c r="AZ2004" i="1"/>
  <c r="AY2004" i="1"/>
  <c r="AX2004" i="1"/>
  <c r="AW2004" i="1"/>
  <c r="AU2004" i="1"/>
  <c r="AS2004" i="1"/>
  <c r="K2004" i="1" a="1"/>
  <c r="K2004" i="1" s="1"/>
  <c r="J2004" i="1" a="1"/>
  <c r="J2004" i="1" s="1"/>
  <c r="F2004" i="1" a="1"/>
  <c r="F2004" i="1" s="1"/>
  <c r="AZ2002" i="1"/>
  <c r="AY2002" i="1"/>
  <c r="AX2002" i="1"/>
  <c r="AW2002" i="1"/>
  <c r="AU2002" i="1"/>
  <c r="AT2002" i="1"/>
  <c r="AS2002" i="1"/>
  <c r="K2002" i="1" a="1"/>
  <c r="K2002" i="1" s="1"/>
  <c r="J2002" i="1" a="1"/>
  <c r="J2002" i="1" s="1"/>
  <c r="F2002" i="1" a="1"/>
  <c r="F2002" i="1" s="1"/>
  <c r="AZ2001" i="1"/>
  <c r="AY2001" i="1"/>
  <c r="AX2001" i="1"/>
  <c r="AW2001" i="1"/>
  <c r="AU2001" i="1"/>
  <c r="AT2001" i="1"/>
  <c r="AS2001" i="1"/>
  <c r="K2001" i="1" a="1"/>
  <c r="K2001" i="1" s="1"/>
  <c r="J2001" i="1" a="1"/>
  <c r="J2001" i="1" s="1"/>
  <c r="F2001" i="1" a="1"/>
  <c r="F2001" i="1" s="1"/>
  <c r="E2001" i="1" s="1" a="1"/>
  <c r="E2001" i="1" s="1"/>
  <c r="AZ2000" i="1"/>
  <c r="AY2000" i="1"/>
  <c r="AX2000" i="1"/>
  <c r="AW2000" i="1"/>
  <c r="AU2000" i="1"/>
  <c r="AT2000" i="1"/>
  <c r="AS2000" i="1"/>
  <c r="K2000" i="1" a="1"/>
  <c r="K2000" i="1" s="1"/>
  <c r="J2000" i="1" a="1"/>
  <c r="J2000" i="1" s="1"/>
  <c r="F2000" i="1" a="1"/>
  <c r="F2000" i="1" s="1"/>
  <c r="AZ1999" i="1"/>
  <c r="AY1999" i="1"/>
  <c r="AX1999" i="1"/>
  <c r="AW1999" i="1"/>
  <c r="AU1999" i="1"/>
  <c r="AT1999" i="1"/>
  <c r="AS1999" i="1"/>
  <c r="K1999" i="1" a="1"/>
  <c r="K1999" i="1" s="1"/>
  <c r="J1999" i="1" a="1"/>
  <c r="J1999" i="1" s="1"/>
  <c r="F1999" i="1" a="1"/>
  <c r="F1999" i="1" s="1"/>
  <c r="AZ1997" i="1"/>
  <c r="AY1997" i="1"/>
  <c r="AX1997" i="1"/>
  <c r="AW1997" i="1"/>
  <c r="AU1997" i="1"/>
  <c r="AS1997" i="1"/>
  <c r="K1997" i="1" a="1"/>
  <c r="K1997" i="1" s="1"/>
  <c r="J1997" i="1" a="1"/>
  <c r="J1997" i="1" s="1"/>
  <c r="F1997" i="1" a="1"/>
  <c r="F1997" i="1" s="1"/>
  <c r="E1997" i="1" s="1" a="1"/>
  <c r="E1997" i="1" s="1"/>
  <c r="AZ1996" i="1"/>
  <c r="AY1996" i="1"/>
  <c r="AX1996" i="1"/>
  <c r="AW1996" i="1"/>
  <c r="AU1996" i="1"/>
  <c r="AS1996" i="1"/>
  <c r="K1996" i="1" a="1"/>
  <c r="K1996" i="1" s="1"/>
  <c r="J1996" i="1" a="1"/>
  <c r="J1996" i="1" s="1"/>
  <c r="F1996" i="1" a="1"/>
  <c r="F1996" i="1" s="1"/>
  <c r="AZ1995" i="1"/>
  <c r="AY1995" i="1"/>
  <c r="AX1995" i="1"/>
  <c r="AW1995" i="1"/>
  <c r="AU1995" i="1"/>
  <c r="AS1995" i="1"/>
  <c r="K1995" i="1" a="1"/>
  <c r="K1995" i="1" s="1"/>
  <c r="J1995" i="1" a="1"/>
  <c r="J1995" i="1" s="1"/>
  <c r="F1995" i="1" a="1"/>
  <c r="F1995" i="1" s="1"/>
  <c r="AZ1994" i="1"/>
  <c r="AY1994" i="1"/>
  <c r="AX1994" i="1"/>
  <c r="AW1994" i="1"/>
  <c r="AU1994" i="1"/>
  <c r="AS1994" i="1"/>
  <c r="K1994" i="1" a="1"/>
  <c r="K1994" i="1" s="1"/>
  <c r="J1994" i="1" a="1"/>
  <c r="J1994" i="1" s="1"/>
  <c r="F1994" i="1" a="1"/>
  <c r="F1994" i="1" s="1"/>
  <c r="AZ1992" i="1"/>
  <c r="AY1992" i="1"/>
  <c r="AX1992" i="1"/>
  <c r="AW1992" i="1"/>
  <c r="AU1992" i="1"/>
  <c r="AT1992" i="1"/>
  <c r="AS1992" i="1"/>
  <c r="K1992" i="1" a="1"/>
  <c r="K1992" i="1" s="1"/>
  <c r="J1992" i="1" a="1"/>
  <c r="J1992" i="1" s="1"/>
  <c r="F1992" i="1" a="1"/>
  <c r="F1992" i="1" s="1"/>
  <c r="AZ1991" i="1"/>
  <c r="AY1991" i="1"/>
  <c r="AX1991" i="1"/>
  <c r="AW1991" i="1"/>
  <c r="AU1991" i="1"/>
  <c r="AT1991" i="1"/>
  <c r="AS1991" i="1"/>
  <c r="K1991" i="1" a="1"/>
  <c r="K1991" i="1" s="1"/>
  <c r="J1991" i="1" a="1"/>
  <c r="J1991" i="1" s="1"/>
  <c r="F1991" i="1" a="1"/>
  <c r="F1991" i="1" s="1"/>
  <c r="AZ1990" i="1"/>
  <c r="AY1990" i="1"/>
  <c r="AX1990" i="1"/>
  <c r="AW1990" i="1"/>
  <c r="AU1990" i="1"/>
  <c r="AT1990" i="1"/>
  <c r="AS1990" i="1"/>
  <c r="K1990" i="1" a="1"/>
  <c r="K1990" i="1" s="1"/>
  <c r="J1990" i="1" a="1"/>
  <c r="J1990" i="1" s="1"/>
  <c r="F1990" i="1" a="1"/>
  <c r="F1990" i="1" s="1"/>
  <c r="AZ1989" i="1"/>
  <c r="AY1989" i="1"/>
  <c r="AX1989" i="1"/>
  <c r="AW1989" i="1"/>
  <c r="AU1989" i="1"/>
  <c r="AT1989" i="1"/>
  <c r="AS1989" i="1"/>
  <c r="K1989" i="1" a="1"/>
  <c r="K1989" i="1" s="1"/>
  <c r="J1989" i="1" a="1"/>
  <c r="J1989" i="1" s="1"/>
  <c r="F1989" i="1" a="1"/>
  <c r="F1989" i="1" s="1"/>
  <c r="AZ1987" i="1"/>
  <c r="AY1987" i="1"/>
  <c r="AX1987" i="1"/>
  <c r="AW1987" i="1"/>
  <c r="AU1987" i="1"/>
  <c r="AS1987" i="1"/>
  <c r="K1987" i="1" a="1"/>
  <c r="K1987" i="1" s="1"/>
  <c r="J1987" i="1" a="1"/>
  <c r="J1987" i="1" s="1"/>
  <c r="F1987" i="1" a="1"/>
  <c r="F1987" i="1" s="1"/>
  <c r="AZ1986" i="1"/>
  <c r="AY1986" i="1"/>
  <c r="AX1986" i="1"/>
  <c r="AW1986" i="1"/>
  <c r="AU1986" i="1"/>
  <c r="AS1986" i="1"/>
  <c r="K1986" i="1" a="1"/>
  <c r="K1986" i="1" s="1"/>
  <c r="J1986" i="1" a="1"/>
  <c r="J1986" i="1" s="1"/>
  <c r="F1986" i="1" a="1"/>
  <c r="F1986" i="1" s="1"/>
  <c r="AZ1985" i="1"/>
  <c r="AY1985" i="1"/>
  <c r="AX1985" i="1"/>
  <c r="AW1985" i="1"/>
  <c r="AU1985" i="1"/>
  <c r="AS1985" i="1"/>
  <c r="K1985" i="1" a="1"/>
  <c r="K1985" i="1" s="1"/>
  <c r="J1985" i="1" a="1"/>
  <c r="J1985" i="1" s="1"/>
  <c r="F1985" i="1" a="1"/>
  <c r="F1985" i="1" s="1"/>
  <c r="AZ1984" i="1"/>
  <c r="AY1984" i="1"/>
  <c r="AX1984" i="1"/>
  <c r="AW1984" i="1"/>
  <c r="AU1984" i="1"/>
  <c r="AS1984" i="1"/>
  <c r="K1984" i="1" a="1"/>
  <c r="K1984" i="1" s="1"/>
  <c r="J1984" i="1" a="1"/>
  <c r="J1984" i="1" s="1"/>
  <c r="F1984" i="1" a="1"/>
  <c r="F1984" i="1" s="1"/>
  <c r="AZ1982" i="1"/>
  <c r="AY1982" i="1"/>
  <c r="AX1982" i="1"/>
  <c r="AW1982" i="1"/>
  <c r="AU1982" i="1"/>
  <c r="AT1982" i="1"/>
  <c r="AS1982" i="1"/>
  <c r="K1982" i="1" a="1"/>
  <c r="K1982" i="1" s="1"/>
  <c r="J1982" i="1" a="1"/>
  <c r="J1982" i="1" s="1"/>
  <c r="F1982" i="1" a="1"/>
  <c r="F1982" i="1" s="1"/>
  <c r="AZ1981" i="1"/>
  <c r="AY1981" i="1"/>
  <c r="AX1981" i="1"/>
  <c r="AW1981" i="1"/>
  <c r="AU1981" i="1"/>
  <c r="AT1981" i="1"/>
  <c r="AS1981" i="1"/>
  <c r="K1981" i="1" a="1"/>
  <c r="K1981" i="1" s="1"/>
  <c r="J1981" i="1" a="1"/>
  <c r="J1981" i="1" s="1"/>
  <c r="F1981" i="1" a="1"/>
  <c r="F1981" i="1" s="1"/>
  <c r="AZ1980" i="1"/>
  <c r="AY1980" i="1"/>
  <c r="AX1980" i="1"/>
  <c r="AW1980" i="1"/>
  <c r="AU1980" i="1"/>
  <c r="AT1980" i="1"/>
  <c r="AS1980" i="1"/>
  <c r="K1980" i="1" a="1"/>
  <c r="K1980" i="1" s="1"/>
  <c r="J1980" i="1" a="1"/>
  <c r="J1980" i="1" s="1"/>
  <c r="F1980" i="1" a="1"/>
  <c r="F1980" i="1" s="1"/>
  <c r="AZ1979" i="1"/>
  <c r="AY1979" i="1"/>
  <c r="AX1979" i="1"/>
  <c r="AW1979" i="1"/>
  <c r="AU1979" i="1"/>
  <c r="AT1979" i="1"/>
  <c r="AS1979" i="1"/>
  <c r="K1979" i="1" a="1"/>
  <c r="K1979" i="1" s="1"/>
  <c r="J1979" i="1" a="1"/>
  <c r="J1979" i="1" s="1"/>
  <c r="F1979" i="1" a="1"/>
  <c r="F1979" i="1" s="1"/>
  <c r="AZ1977" i="1"/>
  <c r="AY1977" i="1"/>
  <c r="AX1977" i="1"/>
  <c r="AW1977" i="1"/>
  <c r="AU1977" i="1"/>
  <c r="AS1977" i="1"/>
  <c r="K1977" i="1" a="1"/>
  <c r="K1977" i="1" s="1"/>
  <c r="J1977" i="1" a="1"/>
  <c r="J1977" i="1" s="1"/>
  <c r="F1977" i="1" a="1"/>
  <c r="F1977" i="1" s="1"/>
  <c r="AZ1976" i="1"/>
  <c r="AY1976" i="1"/>
  <c r="AX1976" i="1"/>
  <c r="AW1976" i="1"/>
  <c r="AU1976" i="1"/>
  <c r="AS1976" i="1"/>
  <c r="K1976" i="1" a="1"/>
  <c r="K1976" i="1" s="1"/>
  <c r="J1976" i="1" a="1"/>
  <c r="J1976" i="1" s="1"/>
  <c r="F1976" i="1" a="1"/>
  <c r="F1976" i="1" s="1"/>
  <c r="AZ1975" i="1"/>
  <c r="AY1975" i="1"/>
  <c r="AX1975" i="1"/>
  <c r="AW1975" i="1"/>
  <c r="AU1975" i="1"/>
  <c r="AS1975" i="1"/>
  <c r="K1975" i="1" a="1"/>
  <c r="K1975" i="1" s="1"/>
  <c r="J1975" i="1" a="1"/>
  <c r="J1975" i="1" s="1"/>
  <c r="F1975" i="1" a="1"/>
  <c r="F1975" i="1" s="1"/>
  <c r="AZ1974" i="1"/>
  <c r="AY1974" i="1"/>
  <c r="AX1974" i="1"/>
  <c r="AW1974" i="1"/>
  <c r="AU1974" i="1"/>
  <c r="AS1974" i="1"/>
  <c r="K1974" i="1" a="1"/>
  <c r="K1974" i="1" s="1"/>
  <c r="J1974" i="1" a="1"/>
  <c r="J1974" i="1" s="1"/>
  <c r="F1974" i="1" a="1"/>
  <c r="F1974" i="1" s="1"/>
  <c r="AZ1972" i="1"/>
  <c r="AY1972" i="1"/>
  <c r="AX1972" i="1"/>
  <c r="AW1972" i="1"/>
  <c r="AU1972" i="1"/>
  <c r="AT1972" i="1"/>
  <c r="AS1972" i="1"/>
  <c r="K1972" i="1" a="1"/>
  <c r="K1972" i="1" s="1"/>
  <c r="J1972" i="1" a="1"/>
  <c r="J1972" i="1" s="1"/>
  <c r="F1972" i="1" a="1"/>
  <c r="F1972" i="1" s="1"/>
  <c r="E1972" i="1" s="1" a="1"/>
  <c r="E1972" i="1" s="1"/>
  <c r="AZ1971" i="1"/>
  <c r="AY1971" i="1"/>
  <c r="AX1971" i="1"/>
  <c r="AW1971" i="1"/>
  <c r="AU1971" i="1"/>
  <c r="AT1971" i="1"/>
  <c r="AS1971" i="1"/>
  <c r="K1971" i="1" a="1"/>
  <c r="K1971" i="1" s="1"/>
  <c r="J1971" i="1" a="1"/>
  <c r="J1971" i="1" s="1"/>
  <c r="F1971" i="1" a="1"/>
  <c r="F1971" i="1" s="1"/>
  <c r="AZ1970" i="1"/>
  <c r="AY1970" i="1"/>
  <c r="AX1970" i="1"/>
  <c r="AW1970" i="1"/>
  <c r="AU1970" i="1"/>
  <c r="AT1970" i="1"/>
  <c r="AS1970" i="1"/>
  <c r="K1970" i="1" a="1"/>
  <c r="K1970" i="1" s="1"/>
  <c r="J1970" i="1" a="1"/>
  <c r="J1970" i="1" s="1"/>
  <c r="F1970" i="1" a="1"/>
  <c r="F1970" i="1" s="1"/>
  <c r="AZ1969" i="1"/>
  <c r="AY1969" i="1"/>
  <c r="AX1969" i="1"/>
  <c r="AW1969" i="1"/>
  <c r="AU1969" i="1"/>
  <c r="AT1969" i="1"/>
  <c r="AS1969" i="1"/>
  <c r="K1969" i="1" a="1"/>
  <c r="K1969" i="1" s="1"/>
  <c r="J1969" i="1" a="1"/>
  <c r="J1969" i="1" s="1"/>
  <c r="F1969" i="1" a="1"/>
  <c r="F1969" i="1" s="1"/>
  <c r="AZ1967" i="1"/>
  <c r="AY1967" i="1"/>
  <c r="AX1967" i="1"/>
  <c r="AW1967" i="1"/>
  <c r="AU1967" i="1"/>
  <c r="AS1967" i="1"/>
  <c r="K1967" i="1" a="1"/>
  <c r="K1967" i="1" s="1"/>
  <c r="J1967" i="1" a="1"/>
  <c r="J1967" i="1" s="1"/>
  <c r="F1967" i="1" a="1"/>
  <c r="F1967" i="1" s="1"/>
  <c r="AZ1966" i="1"/>
  <c r="AY1966" i="1"/>
  <c r="AX1966" i="1"/>
  <c r="AW1966" i="1"/>
  <c r="AU1966" i="1"/>
  <c r="AS1966" i="1"/>
  <c r="K1966" i="1" a="1"/>
  <c r="K1966" i="1" s="1"/>
  <c r="J1966" i="1" a="1"/>
  <c r="J1966" i="1" s="1"/>
  <c r="F1966" i="1" a="1"/>
  <c r="F1966" i="1" s="1"/>
  <c r="AZ1965" i="1"/>
  <c r="AY1965" i="1"/>
  <c r="AX1965" i="1"/>
  <c r="AW1965" i="1"/>
  <c r="AU1965" i="1"/>
  <c r="AS1965" i="1"/>
  <c r="K1965" i="1" a="1"/>
  <c r="K1965" i="1" s="1"/>
  <c r="J1965" i="1" a="1"/>
  <c r="J1965" i="1" s="1"/>
  <c r="F1965" i="1" a="1"/>
  <c r="F1965" i="1" s="1"/>
  <c r="AZ1964" i="1"/>
  <c r="AY1964" i="1"/>
  <c r="AX1964" i="1"/>
  <c r="AW1964" i="1"/>
  <c r="AU1964" i="1"/>
  <c r="AS1964" i="1"/>
  <c r="K1964" i="1" a="1"/>
  <c r="K1964" i="1" s="1"/>
  <c r="J1964" i="1" a="1"/>
  <c r="J1964" i="1" s="1"/>
  <c r="F1964" i="1" a="1"/>
  <c r="F1964" i="1" s="1"/>
  <c r="AZ1962" i="1"/>
  <c r="AY1962" i="1"/>
  <c r="AX1962" i="1"/>
  <c r="AW1962" i="1"/>
  <c r="AU1962" i="1"/>
  <c r="AT1962" i="1"/>
  <c r="AS1962" i="1"/>
  <c r="K1962" i="1" a="1"/>
  <c r="K1962" i="1" s="1"/>
  <c r="J1962" i="1" a="1"/>
  <c r="J1962" i="1" s="1"/>
  <c r="F1962" i="1" a="1"/>
  <c r="F1962" i="1" s="1"/>
  <c r="AZ1961" i="1"/>
  <c r="AY1961" i="1"/>
  <c r="AX1961" i="1"/>
  <c r="AW1961" i="1"/>
  <c r="AU1961" i="1"/>
  <c r="AT1961" i="1"/>
  <c r="AS1961" i="1"/>
  <c r="K1961" i="1" a="1"/>
  <c r="K1961" i="1" s="1"/>
  <c r="J1961" i="1" a="1"/>
  <c r="J1961" i="1" s="1"/>
  <c r="F1961" i="1" a="1"/>
  <c r="F1961" i="1" s="1"/>
  <c r="AZ1960" i="1"/>
  <c r="AY1960" i="1"/>
  <c r="AX1960" i="1"/>
  <c r="AW1960" i="1"/>
  <c r="AU1960" i="1"/>
  <c r="AT1960" i="1"/>
  <c r="AS1960" i="1"/>
  <c r="K1960" i="1" a="1"/>
  <c r="K1960" i="1" s="1"/>
  <c r="J1960" i="1" a="1"/>
  <c r="J1960" i="1" s="1"/>
  <c r="F1960" i="1" a="1"/>
  <c r="F1960" i="1" s="1"/>
  <c r="AZ1959" i="1"/>
  <c r="AY1959" i="1"/>
  <c r="AX1959" i="1"/>
  <c r="AW1959" i="1"/>
  <c r="AU1959" i="1"/>
  <c r="AT1959" i="1"/>
  <c r="AS1959" i="1"/>
  <c r="K1959" i="1" a="1"/>
  <c r="K1959" i="1" s="1"/>
  <c r="J1959" i="1" a="1"/>
  <c r="J1959" i="1" s="1"/>
  <c r="F1959" i="1" a="1"/>
  <c r="F1959" i="1" s="1"/>
  <c r="AZ1957" i="1"/>
  <c r="AY1957" i="1"/>
  <c r="AX1957" i="1"/>
  <c r="AW1957" i="1"/>
  <c r="AU1957" i="1"/>
  <c r="AS1957" i="1"/>
  <c r="K1957" i="1" a="1"/>
  <c r="K1957" i="1" s="1"/>
  <c r="J1957" i="1" a="1"/>
  <c r="J1957" i="1" s="1"/>
  <c r="F1957" i="1" a="1"/>
  <c r="F1957" i="1" s="1"/>
  <c r="AZ1956" i="1"/>
  <c r="AY1956" i="1"/>
  <c r="AX1956" i="1"/>
  <c r="AW1956" i="1"/>
  <c r="AU1956" i="1"/>
  <c r="AS1956" i="1"/>
  <c r="K1956" i="1" a="1"/>
  <c r="K1956" i="1" s="1"/>
  <c r="J1956" i="1" a="1"/>
  <c r="J1956" i="1" s="1"/>
  <c r="F1956" i="1" a="1"/>
  <c r="F1956" i="1" s="1"/>
  <c r="AZ1955" i="1"/>
  <c r="AY1955" i="1"/>
  <c r="AX1955" i="1"/>
  <c r="AW1955" i="1"/>
  <c r="AU1955" i="1"/>
  <c r="AS1955" i="1"/>
  <c r="K1955" i="1" a="1"/>
  <c r="K1955" i="1" s="1"/>
  <c r="J1955" i="1" a="1"/>
  <c r="J1955" i="1" s="1"/>
  <c r="F1955" i="1" a="1"/>
  <c r="F1955" i="1" s="1"/>
  <c r="AZ1954" i="1"/>
  <c r="AY1954" i="1"/>
  <c r="AX1954" i="1"/>
  <c r="AW1954" i="1"/>
  <c r="AU1954" i="1"/>
  <c r="AS1954" i="1"/>
  <c r="K1954" i="1" a="1"/>
  <c r="K1954" i="1" s="1"/>
  <c r="J1954" i="1" a="1"/>
  <c r="J1954" i="1" s="1"/>
  <c r="F1954" i="1" a="1"/>
  <c r="F1954" i="1" s="1"/>
  <c r="AZ1952" i="1"/>
  <c r="AY1952" i="1"/>
  <c r="AX1952" i="1"/>
  <c r="AW1952" i="1"/>
  <c r="AU1952" i="1"/>
  <c r="AT1952" i="1"/>
  <c r="AS1952" i="1"/>
  <c r="K1952" i="1" a="1"/>
  <c r="K1952" i="1" s="1"/>
  <c r="J1952" i="1" a="1"/>
  <c r="J1952" i="1" s="1"/>
  <c r="F1952" i="1" a="1"/>
  <c r="F1952" i="1" s="1"/>
  <c r="AZ1951" i="1"/>
  <c r="AY1951" i="1"/>
  <c r="AX1951" i="1"/>
  <c r="AW1951" i="1"/>
  <c r="AU1951" i="1"/>
  <c r="AT1951" i="1"/>
  <c r="AS1951" i="1"/>
  <c r="K1951" i="1" a="1"/>
  <c r="K1951" i="1" s="1"/>
  <c r="J1951" i="1" a="1"/>
  <c r="J1951" i="1" s="1"/>
  <c r="F1951" i="1" a="1"/>
  <c r="F1951" i="1" s="1"/>
  <c r="AZ1950" i="1"/>
  <c r="AY1950" i="1"/>
  <c r="AX1950" i="1"/>
  <c r="AW1950" i="1"/>
  <c r="AU1950" i="1"/>
  <c r="AT1950" i="1"/>
  <c r="AS1950" i="1"/>
  <c r="K1950" i="1" a="1"/>
  <c r="K1950" i="1" s="1"/>
  <c r="J1950" i="1" a="1"/>
  <c r="J1950" i="1" s="1"/>
  <c r="F1950" i="1" a="1"/>
  <c r="F1950" i="1" s="1"/>
  <c r="AZ1949" i="1"/>
  <c r="AY1949" i="1"/>
  <c r="AX1949" i="1"/>
  <c r="AW1949" i="1"/>
  <c r="AU1949" i="1"/>
  <c r="AT1949" i="1"/>
  <c r="AS1949" i="1"/>
  <c r="K1949" i="1" a="1"/>
  <c r="K1949" i="1" s="1"/>
  <c r="J1949" i="1" a="1"/>
  <c r="J1949" i="1" s="1"/>
  <c r="F1949" i="1" a="1"/>
  <c r="F1949" i="1" s="1"/>
  <c r="AZ1947" i="1"/>
  <c r="AY1947" i="1"/>
  <c r="AX1947" i="1"/>
  <c r="AW1947" i="1"/>
  <c r="AU1947" i="1"/>
  <c r="AS1947" i="1"/>
  <c r="K1947" i="1" a="1"/>
  <c r="K1947" i="1" s="1"/>
  <c r="J1947" i="1" a="1"/>
  <c r="J1947" i="1" s="1"/>
  <c r="F1947" i="1" a="1"/>
  <c r="F1947" i="1" s="1"/>
  <c r="AZ1946" i="1"/>
  <c r="AY1946" i="1"/>
  <c r="AX1946" i="1"/>
  <c r="AW1946" i="1"/>
  <c r="AU1946" i="1"/>
  <c r="AS1946" i="1"/>
  <c r="K1946" i="1" a="1"/>
  <c r="K1946" i="1" s="1"/>
  <c r="J1946" i="1" a="1"/>
  <c r="J1946" i="1" s="1"/>
  <c r="F1946" i="1" a="1"/>
  <c r="F1946" i="1" s="1"/>
  <c r="AZ1945" i="1"/>
  <c r="AY1945" i="1"/>
  <c r="AX1945" i="1"/>
  <c r="AW1945" i="1"/>
  <c r="AU1945" i="1"/>
  <c r="AS1945" i="1"/>
  <c r="K1945" i="1" a="1"/>
  <c r="K1945" i="1" s="1"/>
  <c r="J1945" i="1" a="1"/>
  <c r="J1945" i="1" s="1"/>
  <c r="F1945" i="1" a="1"/>
  <c r="F1945" i="1" s="1"/>
  <c r="AZ1944" i="1"/>
  <c r="AY1944" i="1"/>
  <c r="AX1944" i="1"/>
  <c r="AW1944" i="1"/>
  <c r="AU1944" i="1"/>
  <c r="AS1944" i="1"/>
  <c r="K1944" i="1" a="1"/>
  <c r="K1944" i="1" s="1"/>
  <c r="J1944" i="1" a="1"/>
  <c r="J1944" i="1" s="1"/>
  <c r="F1944" i="1" a="1"/>
  <c r="F1944" i="1" s="1"/>
  <c r="AZ1942" i="1"/>
  <c r="AY1942" i="1"/>
  <c r="AX1942" i="1"/>
  <c r="AW1942" i="1"/>
  <c r="AU1942" i="1"/>
  <c r="AT1942" i="1"/>
  <c r="AS1942" i="1"/>
  <c r="K1942" i="1" a="1"/>
  <c r="K1942" i="1" s="1"/>
  <c r="J1942" i="1" a="1"/>
  <c r="J1942" i="1" s="1"/>
  <c r="F1942" i="1" a="1"/>
  <c r="F1942" i="1" s="1"/>
  <c r="AZ1941" i="1"/>
  <c r="AY1941" i="1"/>
  <c r="AX1941" i="1"/>
  <c r="AW1941" i="1"/>
  <c r="AU1941" i="1"/>
  <c r="AT1941" i="1"/>
  <c r="AS1941" i="1"/>
  <c r="K1941" i="1" a="1"/>
  <c r="K1941" i="1" s="1"/>
  <c r="J1941" i="1" a="1"/>
  <c r="J1941" i="1" s="1"/>
  <c r="F1941" i="1" a="1"/>
  <c r="F1941" i="1" s="1"/>
  <c r="AZ1940" i="1"/>
  <c r="AY1940" i="1"/>
  <c r="AX1940" i="1"/>
  <c r="AW1940" i="1"/>
  <c r="AU1940" i="1"/>
  <c r="AT1940" i="1"/>
  <c r="AS1940" i="1"/>
  <c r="K1940" i="1" a="1"/>
  <c r="K1940" i="1" s="1"/>
  <c r="J1940" i="1" a="1"/>
  <c r="J1940" i="1" s="1"/>
  <c r="F1940" i="1" a="1"/>
  <c r="F1940" i="1" s="1"/>
  <c r="AZ1939" i="1"/>
  <c r="AY1939" i="1"/>
  <c r="AX1939" i="1"/>
  <c r="AW1939" i="1"/>
  <c r="AU1939" i="1"/>
  <c r="AT1939" i="1"/>
  <c r="AS1939" i="1"/>
  <c r="K1939" i="1" a="1"/>
  <c r="K1939" i="1" s="1"/>
  <c r="J1939" i="1" a="1"/>
  <c r="J1939" i="1" s="1"/>
  <c r="F1939" i="1" a="1"/>
  <c r="F1939" i="1" s="1"/>
  <c r="AZ1937" i="1"/>
  <c r="AY1937" i="1"/>
  <c r="AX1937" i="1"/>
  <c r="AW1937" i="1"/>
  <c r="AU1937" i="1"/>
  <c r="AS1937" i="1"/>
  <c r="K1937" i="1" a="1"/>
  <c r="K1937" i="1" s="1"/>
  <c r="J1937" i="1" a="1"/>
  <c r="J1937" i="1" s="1"/>
  <c r="F1937" i="1" a="1"/>
  <c r="F1937" i="1" s="1"/>
  <c r="AZ1936" i="1"/>
  <c r="AY1936" i="1"/>
  <c r="AX1936" i="1"/>
  <c r="AW1936" i="1"/>
  <c r="AU1936" i="1"/>
  <c r="AS1936" i="1"/>
  <c r="K1936" i="1" a="1"/>
  <c r="K1936" i="1" s="1"/>
  <c r="J1936" i="1" a="1"/>
  <c r="J1936" i="1" s="1"/>
  <c r="F1936" i="1" a="1"/>
  <c r="F1936" i="1" s="1"/>
  <c r="AZ1935" i="1"/>
  <c r="AY1935" i="1"/>
  <c r="AX1935" i="1"/>
  <c r="AW1935" i="1"/>
  <c r="AU1935" i="1"/>
  <c r="AS1935" i="1"/>
  <c r="K1935" i="1" a="1"/>
  <c r="K1935" i="1" s="1"/>
  <c r="J1935" i="1" a="1"/>
  <c r="J1935" i="1" s="1"/>
  <c r="F1935" i="1" a="1"/>
  <c r="F1935" i="1" s="1"/>
  <c r="AZ1934" i="1"/>
  <c r="AY1934" i="1"/>
  <c r="AX1934" i="1"/>
  <c r="AW1934" i="1"/>
  <c r="AU1934" i="1"/>
  <c r="AS1934" i="1"/>
  <c r="K1934" i="1" a="1"/>
  <c r="K1934" i="1" s="1"/>
  <c r="J1934" i="1" a="1"/>
  <c r="J1934" i="1" s="1"/>
  <c r="F1934" i="1" a="1"/>
  <c r="F1934" i="1" s="1"/>
  <c r="AZ2008" i="1"/>
  <c r="AY2008" i="1"/>
  <c r="AX2008" i="1"/>
  <c r="AW2008" i="1"/>
  <c r="AU2008" i="1"/>
  <c r="AT2008" i="1"/>
  <c r="AS2008" i="1"/>
  <c r="K2008" i="1" a="1"/>
  <c r="K2008" i="1" s="1"/>
  <c r="J2008" i="1" a="1"/>
  <c r="J2008" i="1" s="1"/>
  <c r="F2008" i="1" a="1"/>
  <c r="F2008" i="1" s="1"/>
  <c r="AZ2407" i="1"/>
  <c r="AY2407" i="1"/>
  <c r="AX2407" i="1"/>
  <c r="AW2407" i="1"/>
  <c r="AU2407" i="1"/>
  <c r="AT2407" i="1"/>
  <c r="AS2407" i="1"/>
  <c r="K2407" i="1" a="1"/>
  <c r="K2407" i="1" s="1"/>
  <c r="J2407" i="1" a="1"/>
  <c r="J2407" i="1" s="1"/>
  <c r="F2407" i="1" a="1"/>
  <c r="F2407" i="1" s="1"/>
  <c r="AZ2406" i="1"/>
  <c r="AY2406" i="1"/>
  <c r="AX2406" i="1"/>
  <c r="AW2406" i="1"/>
  <c r="AU2406" i="1"/>
  <c r="AT2406" i="1"/>
  <c r="AS2406" i="1"/>
  <c r="K2406" i="1" a="1"/>
  <c r="K2406" i="1" s="1"/>
  <c r="J2406" i="1" a="1"/>
  <c r="J2406" i="1" s="1"/>
  <c r="F2406" i="1" a="1"/>
  <c r="F2406" i="1" s="1"/>
  <c r="AZ2405" i="1"/>
  <c r="AY2405" i="1"/>
  <c r="AX2405" i="1"/>
  <c r="AW2405" i="1"/>
  <c r="AU2405" i="1"/>
  <c r="AT2405" i="1"/>
  <c r="AS2405" i="1"/>
  <c r="K2405" i="1" a="1"/>
  <c r="K2405" i="1" s="1"/>
  <c r="J2405" i="1" a="1"/>
  <c r="J2405" i="1" s="1"/>
  <c r="F2405" i="1" a="1"/>
  <c r="F2405" i="1" s="1"/>
  <c r="AZ2404" i="1"/>
  <c r="AY2404" i="1"/>
  <c r="AX2404" i="1"/>
  <c r="AW2404" i="1"/>
  <c r="AU2404" i="1"/>
  <c r="AT2404" i="1"/>
  <c r="AS2404" i="1"/>
  <c r="K2404" i="1" a="1"/>
  <c r="K2404" i="1" s="1"/>
  <c r="J2404" i="1" a="1"/>
  <c r="J2404" i="1" s="1"/>
  <c r="F2404" i="1" a="1"/>
  <c r="F2404" i="1" s="1"/>
  <c r="AZ2402" i="1"/>
  <c r="AY2402" i="1"/>
  <c r="AX2402" i="1"/>
  <c r="AW2402" i="1"/>
  <c r="AU2402" i="1"/>
  <c r="AS2402" i="1"/>
  <c r="K2402" i="1" a="1"/>
  <c r="K2402" i="1" s="1"/>
  <c r="J2402" i="1" a="1"/>
  <c r="J2402" i="1" s="1"/>
  <c r="F2402" i="1" a="1"/>
  <c r="F2402" i="1" s="1"/>
  <c r="AZ2401" i="1"/>
  <c r="AY2401" i="1"/>
  <c r="AX2401" i="1"/>
  <c r="AW2401" i="1"/>
  <c r="AU2401" i="1"/>
  <c r="AS2401" i="1"/>
  <c r="K2401" i="1" a="1"/>
  <c r="K2401" i="1" s="1"/>
  <c r="J2401" i="1" a="1"/>
  <c r="J2401" i="1" s="1"/>
  <c r="F2401" i="1" a="1"/>
  <c r="F2401" i="1" s="1"/>
  <c r="AZ2400" i="1"/>
  <c r="AY2400" i="1"/>
  <c r="AX2400" i="1"/>
  <c r="AW2400" i="1"/>
  <c r="AU2400" i="1"/>
  <c r="AS2400" i="1"/>
  <c r="K2400" i="1" a="1"/>
  <c r="K2400" i="1" s="1"/>
  <c r="J2400" i="1" a="1"/>
  <c r="J2400" i="1" s="1"/>
  <c r="F2400" i="1" a="1"/>
  <c r="F2400" i="1" s="1"/>
  <c r="AZ2399" i="1"/>
  <c r="AY2399" i="1"/>
  <c r="AX2399" i="1"/>
  <c r="AW2399" i="1"/>
  <c r="AU2399" i="1"/>
  <c r="AS2399" i="1"/>
  <c r="K2399" i="1" a="1"/>
  <c r="K2399" i="1" s="1"/>
  <c r="J2399" i="1" a="1"/>
  <c r="J2399" i="1" s="1"/>
  <c r="F2399" i="1" a="1"/>
  <c r="F2399" i="1" s="1"/>
  <c r="AZ2397" i="1"/>
  <c r="AY2397" i="1"/>
  <c r="AX2397" i="1"/>
  <c r="AW2397" i="1"/>
  <c r="AU2397" i="1"/>
  <c r="AT2397" i="1"/>
  <c r="AS2397" i="1"/>
  <c r="K2397" i="1" a="1"/>
  <c r="K2397" i="1" s="1"/>
  <c r="J2397" i="1" a="1"/>
  <c r="J2397" i="1" s="1"/>
  <c r="F2397" i="1" a="1"/>
  <c r="F2397" i="1" s="1"/>
  <c r="AZ2396" i="1"/>
  <c r="AY2396" i="1"/>
  <c r="AX2396" i="1"/>
  <c r="AW2396" i="1"/>
  <c r="AU2396" i="1"/>
  <c r="AT2396" i="1"/>
  <c r="AS2396" i="1"/>
  <c r="K2396" i="1" a="1"/>
  <c r="K2396" i="1" s="1"/>
  <c r="J2396" i="1" a="1"/>
  <c r="J2396" i="1" s="1"/>
  <c r="F2396" i="1" a="1"/>
  <c r="F2396" i="1" s="1"/>
  <c r="AZ2395" i="1"/>
  <c r="AY2395" i="1"/>
  <c r="AX2395" i="1"/>
  <c r="AW2395" i="1"/>
  <c r="AU2395" i="1"/>
  <c r="AT2395" i="1"/>
  <c r="AS2395" i="1"/>
  <c r="K2395" i="1" a="1"/>
  <c r="K2395" i="1" s="1"/>
  <c r="J2395" i="1" a="1"/>
  <c r="J2395" i="1" s="1"/>
  <c r="F2395" i="1" a="1"/>
  <c r="F2395" i="1" s="1"/>
  <c r="AZ2394" i="1"/>
  <c r="AY2394" i="1"/>
  <c r="AX2394" i="1"/>
  <c r="AW2394" i="1"/>
  <c r="AU2394" i="1"/>
  <c r="AT2394" i="1"/>
  <c r="AS2394" i="1"/>
  <c r="K2394" i="1" a="1"/>
  <c r="K2394" i="1" s="1"/>
  <c r="J2394" i="1" a="1"/>
  <c r="J2394" i="1" s="1"/>
  <c r="F2394" i="1" a="1"/>
  <c r="F2394" i="1" s="1"/>
  <c r="AZ2021" i="1"/>
  <c r="AY2021" i="1"/>
  <c r="AX2021" i="1"/>
  <c r="AW2021" i="1"/>
  <c r="AU2021" i="1"/>
  <c r="AS2021" i="1"/>
  <c r="K2021" i="1" a="1"/>
  <c r="K2021" i="1" s="1"/>
  <c r="J2021" i="1" a="1"/>
  <c r="J2021" i="1" s="1"/>
  <c r="F2021" i="1" a="1"/>
  <c r="F2021" i="1" s="1"/>
  <c r="AZ2020" i="1"/>
  <c r="AY2020" i="1"/>
  <c r="AX2020" i="1"/>
  <c r="AW2020" i="1"/>
  <c r="AU2020" i="1"/>
  <c r="AS2020" i="1"/>
  <c r="K2020" i="1" a="1"/>
  <c r="K2020" i="1" s="1"/>
  <c r="J2020" i="1" a="1"/>
  <c r="J2020" i="1" s="1"/>
  <c r="F2020" i="1" a="1"/>
  <c r="F2020" i="1" s="1"/>
  <c r="AZ2019" i="1"/>
  <c r="AY2019" i="1"/>
  <c r="AX2019" i="1"/>
  <c r="AW2019" i="1"/>
  <c r="AU2019" i="1"/>
  <c r="AS2019" i="1"/>
  <c r="K2019" i="1" a="1"/>
  <c r="K2019" i="1" s="1"/>
  <c r="J2019" i="1" a="1"/>
  <c r="J2019" i="1" s="1"/>
  <c r="F2019" i="1" a="1"/>
  <c r="F2019" i="1" s="1"/>
  <c r="AZ2018" i="1"/>
  <c r="AY2018" i="1"/>
  <c r="AX2018" i="1"/>
  <c r="AW2018" i="1"/>
  <c r="AU2018" i="1"/>
  <c r="AS2018" i="1"/>
  <c r="K2018" i="1" a="1"/>
  <c r="K2018" i="1" s="1"/>
  <c r="J2018" i="1" a="1"/>
  <c r="J2018" i="1" s="1"/>
  <c r="F2018" i="1" a="1"/>
  <c r="F2018" i="1" s="1"/>
  <c r="AZ2016" i="1"/>
  <c r="AY2016" i="1"/>
  <c r="AX2016" i="1"/>
  <c r="AW2016" i="1"/>
  <c r="AU2016" i="1"/>
  <c r="AT2016" i="1"/>
  <c r="AS2016" i="1"/>
  <c r="K2016" i="1" a="1"/>
  <c r="K2016" i="1" s="1"/>
  <c r="J2016" i="1" a="1"/>
  <c r="J2016" i="1" s="1"/>
  <c r="F2016" i="1" a="1"/>
  <c r="F2016" i="1" s="1"/>
  <c r="AZ2015" i="1"/>
  <c r="AY2015" i="1"/>
  <c r="AX2015" i="1"/>
  <c r="AW2015" i="1"/>
  <c r="AU2015" i="1"/>
  <c r="AT2015" i="1"/>
  <c r="AS2015" i="1"/>
  <c r="K2015" i="1" a="1"/>
  <c r="K2015" i="1" s="1"/>
  <c r="J2015" i="1" a="1"/>
  <c r="J2015" i="1" s="1"/>
  <c r="F2015" i="1" a="1"/>
  <c r="F2015" i="1" s="1"/>
  <c r="AZ2014" i="1"/>
  <c r="AY2014" i="1"/>
  <c r="AX2014" i="1"/>
  <c r="AW2014" i="1"/>
  <c r="AU2014" i="1"/>
  <c r="AT2014" i="1"/>
  <c r="AS2014" i="1"/>
  <c r="K2014" i="1" a="1"/>
  <c r="K2014" i="1" s="1"/>
  <c r="J2014" i="1" a="1"/>
  <c r="J2014" i="1" s="1"/>
  <c r="F2014" i="1" a="1"/>
  <c r="F2014" i="1" s="1"/>
  <c r="AZ2013" i="1"/>
  <c r="AY2013" i="1"/>
  <c r="AX2013" i="1"/>
  <c r="AW2013" i="1"/>
  <c r="AU2013" i="1"/>
  <c r="AT2013" i="1"/>
  <c r="AS2013" i="1"/>
  <c r="K2013" i="1" a="1"/>
  <c r="K2013" i="1" s="1"/>
  <c r="J2013" i="1" a="1"/>
  <c r="J2013" i="1" s="1"/>
  <c r="F2013" i="1" a="1"/>
  <c r="F2013" i="1" s="1"/>
  <c r="AZ1197" i="1"/>
  <c r="AY1197" i="1"/>
  <c r="AX1197" i="1"/>
  <c r="AW1197" i="1"/>
  <c r="AU1197" i="1"/>
  <c r="AS1197" i="1"/>
  <c r="K1197" i="1" a="1"/>
  <c r="K1197" i="1" s="1"/>
  <c r="J1197" i="1" a="1"/>
  <c r="J1197" i="1" s="1"/>
  <c r="F1197" i="1" a="1"/>
  <c r="F1197" i="1" s="1"/>
  <c r="AZ1196" i="1"/>
  <c r="AY1196" i="1"/>
  <c r="AX1196" i="1"/>
  <c r="AW1196" i="1"/>
  <c r="AU1196" i="1"/>
  <c r="AS1196" i="1"/>
  <c r="K1196" i="1" a="1"/>
  <c r="K1196" i="1" s="1"/>
  <c r="J1196" i="1" a="1"/>
  <c r="J1196" i="1" s="1"/>
  <c r="F1196" i="1" a="1"/>
  <c r="F1196" i="1" s="1"/>
  <c r="AZ1195" i="1"/>
  <c r="AY1195" i="1"/>
  <c r="AX1195" i="1"/>
  <c r="AW1195" i="1"/>
  <c r="AU1195" i="1"/>
  <c r="AS1195" i="1"/>
  <c r="K1195" i="1" a="1"/>
  <c r="K1195" i="1" s="1"/>
  <c r="J1195" i="1" a="1"/>
  <c r="J1195" i="1" s="1"/>
  <c r="F1195" i="1" a="1"/>
  <c r="F1195" i="1" s="1"/>
  <c r="AZ1194" i="1"/>
  <c r="AY1194" i="1"/>
  <c r="AX1194" i="1"/>
  <c r="AW1194" i="1"/>
  <c r="AU1194" i="1"/>
  <c r="AS1194" i="1"/>
  <c r="K1194" i="1" a="1"/>
  <c r="K1194" i="1" s="1"/>
  <c r="J1194" i="1" a="1"/>
  <c r="J1194" i="1" s="1"/>
  <c r="F1194" i="1" a="1"/>
  <c r="F1194" i="1" s="1"/>
  <c r="AZ1192" i="1"/>
  <c r="AY1192" i="1"/>
  <c r="AX1192" i="1"/>
  <c r="AW1192" i="1"/>
  <c r="AT1192" i="1" a="1"/>
  <c r="AT1192" i="1" s="1"/>
  <c r="AU1192" i="1" s="1"/>
  <c r="K1192" i="1" a="1"/>
  <c r="K1192" i="1" s="1"/>
  <c r="J1192" i="1" a="1"/>
  <c r="J1192" i="1" s="1"/>
  <c r="F1192" i="1" a="1"/>
  <c r="F1192" i="1" s="1"/>
  <c r="AZ1191" i="1"/>
  <c r="AY1191" i="1"/>
  <c r="AX1191" i="1"/>
  <c r="AW1191" i="1"/>
  <c r="AT1191" i="1" a="1"/>
  <c r="AT1191" i="1" s="1"/>
  <c r="AU1191" i="1" s="1"/>
  <c r="K1191" i="1" a="1"/>
  <c r="K1191" i="1" s="1"/>
  <c r="J1191" i="1" a="1"/>
  <c r="J1191" i="1" s="1"/>
  <c r="F1191" i="1" a="1"/>
  <c r="F1191" i="1" s="1"/>
  <c r="AZ1190" i="1"/>
  <c r="AY1190" i="1"/>
  <c r="AX1190" i="1"/>
  <c r="AW1190" i="1"/>
  <c r="AT1190" i="1" a="1"/>
  <c r="AT1190" i="1" s="1"/>
  <c r="AU1190" i="1" s="1"/>
  <c r="K1190" i="1" a="1"/>
  <c r="K1190" i="1" s="1"/>
  <c r="J1190" i="1" a="1"/>
  <c r="J1190" i="1" s="1"/>
  <c r="F1190" i="1" a="1"/>
  <c r="F1190" i="1" s="1"/>
  <c r="AZ1189" i="1"/>
  <c r="AY1189" i="1"/>
  <c r="AX1189" i="1"/>
  <c r="AW1189" i="1"/>
  <c r="AT1189" i="1" a="1"/>
  <c r="AT1189" i="1" s="1"/>
  <c r="AU1189" i="1" s="1"/>
  <c r="K1189" i="1" a="1"/>
  <c r="K1189" i="1" s="1"/>
  <c r="J1189" i="1" a="1"/>
  <c r="J1189" i="1" s="1"/>
  <c r="F1189" i="1" a="1"/>
  <c r="F1189" i="1" s="1"/>
  <c r="AZ276" i="1"/>
  <c r="AY276" i="1"/>
  <c r="AX276" i="1"/>
  <c r="AW276" i="1"/>
  <c r="AT276" i="1" a="1"/>
  <c r="AT276" i="1" s="1"/>
  <c r="AU276" i="1" s="1"/>
  <c r="K276" i="1" a="1"/>
  <c r="K276" i="1" s="1"/>
  <c r="J276" i="1" a="1"/>
  <c r="J276" i="1" s="1"/>
  <c r="F276" i="1" a="1"/>
  <c r="F276" i="1" s="1"/>
  <c r="AZ275" i="1"/>
  <c r="AY275" i="1"/>
  <c r="AX275" i="1"/>
  <c r="AW275" i="1"/>
  <c r="AT275" i="1" a="1"/>
  <c r="AT275" i="1" s="1"/>
  <c r="AU275" i="1" s="1"/>
  <c r="K275" i="1" a="1"/>
  <c r="K275" i="1" s="1"/>
  <c r="J275" i="1" a="1"/>
  <c r="J275" i="1" s="1"/>
  <c r="F275" i="1" a="1"/>
  <c r="F275" i="1" s="1"/>
  <c r="AZ274" i="1"/>
  <c r="AY274" i="1"/>
  <c r="AX274" i="1"/>
  <c r="AW274" i="1"/>
  <c r="AT274" i="1" a="1"/>
  <c r="AT274" i="1" s="1"/>
  <c r="AU274" i="1" s="1"/>
  <c r="K274" i="1" a="1"/>
  <c r="K274" i="1" s="1"/>
  <c r="J274" i="1" a="1"/>
  <c r="J274" i="1" s="1"/>
  <c r="F274" i="1" a="1"/>
  <c r="F274" i="1" s="1"/>
  <c r="AZ273" i="1"/>
  <c r="AY273" i="1"/>
  <c r="AX273" i="1"/>
  <c r="AW273" i="1"/>
  <c r="AT273" i="1" a="1"/>
  <c r="AT273" i="1" s="1"/>
  <c r="AU273" i="1" s="1"/>
  <c r="K273" i="1" a="1"/>
  <c r="K273" i="1" s="1"/>
  <c r="J273" i="1" a="1"/>
  <c r="J273" i="1" s="1"/>
  <c r="F273" i="1" a="1"/>
  <c r="F273" i="1" s="1"/>
  <c r="AZ2403" i="1"/>
  <c r="AY2403" i="1"/>
  <c r="AX2403" i="1"/>
  <c r="AW2403" i="1"/>
  <c r="AU2403" i="1"/>
  <c r="AT2403" i="1"/>
  <c r="AS2403" i="1"/>
  <c r="K2403" i="1" a="1"/>
  <c r="K2403" i="1" s="1"/>
  <c r="J2403" i="1" a="1"/>
  <c r="J2403" i="1" s="1"/>
  <c r="F2403" i="1" a="1"/>
  <c r="F2403" i="1" s="1"/>
  <c r="AZ2104" i="1"/>
  <c r="AY2104" i="1"/>
  <c r="AX2104" i="1"/>
  <c r="AW2104" i="1"/>
  <c r="K2104" i="1" a="1"/>
  <c r="K2104" i="1" s="1"/>
  <c r="J2104" i="1" a="1"/>
  <c r="J2104" i="1" s="1"/>
  <c r="F2104" i="1" a="1"/>
  <c r="F2104" i="1" s="1"/>
  <c r="AZ2103" i="1"/>
  <c r="AY2103" i="1"/>
  <c r="AX2103" i="1"/>
  <c r="AW2103" i="1"/>
  <c r="K2103" i="1" a="1"/>
  <c r="K2103" i="1" s="1"/>
  <c r="J2103" i="1" a="1"/>
  <c r="J2103" i="1" s="1"/>
  <c r="F2103" i="1" a="1"/>
  <c r="F2103" i="1" s="1"/>
  <c r="AZ2102" i="1"/>
  <c r="AY2102" i="1"/>
  <c r="AX2102" i="1"/>
  <c r="AW2102" i="1"/>
  <c r="K2102" i="1" a="1"/>
  <c r="K2102" i="1" s="1"/>
  <c r="J2102" i="1" a="1"/>
  <c r="J2102" i="1" s="1"/>
  <c r="F2102" i="1" a="1"/>
  <c r="F2102" i="1" s="1"/>
  <c r="AZ2101" i="1"/>
  <c r="AY2101" i="1"/>
  <c r="AX2101" i="1"/>
  <c r="AW2101" i="1"/>
  <c r="K2101" i="1" a="1"/>
  <c r="K2101" i="1" s="1"/>
  <c r="J2101" i="1" a="1"/>
  <c r="J2101" i="1" s="1"/>
  <c r="F2101" i="1" a="1"/>
  <c r="F2101" i="1" s="1"/>
  <c r="AZ2099" i="1"/>
  <c r="AY2099" i="1"/>
  <c r="AX2099" i="1"/>
  <c r="AW2099" i="1"/>
  <c r="K2099" i="1" a="1"/>
  <c r="K2099" i="1" s="1"/>
  <c r="J2099" i="1" a="1"/>
  <c r="J2099" i="1" s="1"/>
  <c r="F2099" i="1" a="1"/>
  <c r="F2099" i="1" s="1"/>
  <c r="AZ2098" i="1"/>
  <c r="AY2098" i="1"/>
  <c r="AX2098" i="1"/>
  <c r="AW2098" i="1"/>
  <c r="K2098" i="1" a="1"/>
  <c r="K2098" i="1" s="1"/>
  <c r="J2098" i="1" a="1"/>
  <c r="J2098" i="1" s="1"/>
  <c r="F2098" i="1" a="1"/>
  <c r="F2098" i="1" s="1"/>
  <c r="AZ2097" i="1"/>
  <c r="AY2097" i="1"/>
  <c r="AX2097" i="1"/>
  <c r="AW2097" i="1"/>
  <c r="K2097" i="1" a="1"/>
  <c r="K2097" i="1" s="1"/>
  <c r="J2097" i="1" a="1"/>
  <c r="J2097" i="1" s="1"/>
  <c r="F2097" i="1" a="1"/>
  <c r="F2097" i="1" s="1"/>
  <c r="AZ2096" i="1"/>
  <c r="AY2096" i="1"/>
  <c r="AX2096" i="1"/>
  <c r="AW2096" i="1"/>
  <c r="K2096" i="1" a="1"/>
  <c r="K2096" i="1" s="1"/>
  <c r="J2096" i="1" a="1"/>
  <c r="J2096" i="1" s="1"/>
  <c r="F2096" i="1" a="1"/>
  <c r="F2096" i="1" s="1"/>
  <c r="AZ2094" i="1"/>
  <c r="AY2094" i="1"/>
  <c r="AX2094" i="1"/>
  <c r="AW2094" i="1"/>
  <c r="K2094" i="1" a="1"/>
  <c r="K2094" i="1" s="1"/>
  <c r="J2094" i="1" a="1"/>
  <c r="J2094" i="1" s="1"/>
  <c r="F2094" i="1" a="1"/>
  <c r="F2094" i="1" s="1"/>
  <c r="AZ2093" i="1"/>
  <c r="AY2093" i="1"/>
  <c r="AX2093" i="1"/>
  <c r="AW2093" i="1"/>
  <c r="K2093" i="1" a="1"/>
  <c r="K2093" i="1" s="1"/>
  <c r="J2093" i="1" a="1"/>
  <c r="J2093" i="1" s="1"/>
  <c r="F2093" i="1" a="1"/>
  <c r="F2093" i="1" s="1"/>
  <c r="AZ2092" i="1"/>
  <c r="AY2092" i="1"/>
  <c r="AX2092" i="1"/>
  <c r="AW2092" i="1"/>
  <c r="K2092" i="1" a="1"/>
  <c r="K2092" i="1" s="1"/>
  <c r="J2092" i="1" a="1"/>
  <c r="J2092" i="1" s="1"/>
  <c r="F2092" i="1" a="1"/>
  <c r="F2092" i="1" s="1"/>
  <c r="AZ2091" i="1"/>
  <c r="AY2091" i="1"/>
  <c r="AX2091" i="1"/>
  <c r="AW2091" i="1"/>
  <c r="K2091" i="1" a="1"/>
  <c r="K2091" i="1" s="1"/>
  <c r="J2091" i="1" a="1"/>
  <c r="J2091" i="1" s="1"/>
  <c r="F2091" i="1" a="1"/>
  <c r="F2091" i="1" s="1"/>
  <c r="AZ2089" i="1"/>
  <c r="AY2089" i="1"/>
  <c r="AX2089" i="1"/>
  <c r="AW2089" i="1"/>
  <c r="K2089" i="1" a="1"/>
  <c r="K2089" i="1" s="1"/>
  <c r="J2089" i="1" a="1"/>
  <c r="J2089" i="1" s="1"/>
  <c r="F2089" i="1" a="1"/>
  <c r="F2089" i="1" s="1"/>
  <c r="AZ2088" i="1"/>
  <c r="AY2088" i="1"/>
  <c r="AX2088" i="1"/>
  <c r="AW2088" i="1"/>
  <c r="K2088" i="1" a="1"/>
  <c r="K2088" i="1" s="1"/>
  <c r="J2088" i="1" a="1"/>
  <c r="J2088" i="1" s="1"/>
  <c r="F2088" i="1" a="1"/>
  <c r="F2088" i="1" s="1"/>
  <c r="AZ2087" i="1"/>
  <c r="AY2087" i="1"/>
  <c r="AX2087" i="1"/>
  <c r="AW2087" i="1"/>
  <c r="K2087" i="1" a="1"/>
  <c r="K2087" i="1" s="1"/>
  <c r="J2087" i="1" a="1"/>
  <c r="J2087" i="1" s="1"/>
  <c r="F2087" i="1" a="1"/>
  <c r="F2087" i="1" s="1"/>
  <c r="AZ2086" i="1"/>
  <c r="AY2086" i="1"/>
  <c r="AX2086" i="1"/>
  <c r="AW2086" i="1"/>
  <c r="K2086" i="1" a="1"/>
  <c r="K2086" i="1" s="1"/>
  <c r="J2086" i="1" a="1"/>
  <c r="J2086" i="1" s="1"/>
  <c r="F2086" i="1" a="1"/>
  <c r="F2086" i="1" s="1"/>
  <c r="AZ2084" i="1"/>
  <c r="AY2084" i="1"/>
  <c r="AX2084" i="1"/>
  <c r="AW2084" i="1"/>
  <c r="K2084" i="1" a="1"/>
  <c r="K2084" i="1" s="1"/>
  <c r="J2084" i="1" a="1"/>
  <c r="J2084" i="1" s="1"/>
  <c r="F2084" i="1" a="1"/>
  <c r="F2084" i="1" s="1"/>
  <c r="AZ2083" i="1"/>
  <c r="AY2083" i="1"/>
  <c r="AX2083" i="1"/>
  <c r="AW2083" i="1"/>
  <c r="K2083" i="1" a="1"/>
  <c r="K2083" i="1" s="1"/>
  <c r="J2083" i="1" a="1"/>
  <c r="J2083" i="1" s="1"/>
  <c r="F2083" i="1" a="1"/>
  <c r="F2083" i="1" s="1"/>
  <c r="AZ2082" i="1"/>
  <c r="AY2082" i="1"/>
  <c r="AX2082" i="1"/>
  <c r="AW2082" i="1"/>
  <c r="K2082" i="1" a="1"/>
  <c r="K2082" i="1" s="1"/>
  <c r="J2082" i="1" a="1"/>
  <c r="J2082" i="1" s="1"/>
  <c r="F2082" i="1" a="1"/>
  <c r="F2082" i="1" s="1"/>
  <c r="AZ2081" i="1"/>
  <c r="AY2081" i="1"/>
  <c r="AX2081" i="1"/>
  <c r="AW2081" i="1"/>
  <c r="K2081" i="1" a="1"/>
  <c r="K2081" i="1" s="1"/>
  <c r="J2081" i="1" a="1"/>
  <c r="J2081" i="1" s="1"/>
  <c r="F2081" i="1" a="1"/>
  <c r="F2081" i="1" s="1"/>
  <c r="AZ2079" i="1"/>
  <c r="AY2079" i="1"/>
  <c r="AX2079" i="1"/>
  <c r="AW2079" i="1"/>
  <c r="K2079" i="1" a="1"/>
  <c r="K2079" i="1" s="1"/>
  <c r="J2079" i="1" a="1"/>
  <c r="J2079" i="1" s="1"/>
  <c r="F2079" i="1" a="1"/>
  <c r="F2079" i="1" s="1"/>
  <c r="AZ2078" i="1"/>
  <c r="AY2078" i="1"/>
  <c r="AX2078" i="1"/>
  <c r="AW2078" i="1"/>
  <c r="K2078" i="1" a="1"/>
  <c r="K2078" i="1" s="1"/>
  <c r="J2078" i="1" a="1"/>
  <c r="J2078" i="1" s="1"/>
  <c r="F2078" i="1" a="1"/>
  <c r="F2078" i="1" s="1"/>
  <c r="AZ2077" i="1"/>
  <c r="AY2077" i="1"/>
  <c r="AX2077" i="1"/>
  <c r="AW2077" i="1"/>
  <c r="K2077" i="1" a="1"/>
  <c r="K2077" i="1" s="1"/>
  <c r="J2077" i="1" a="1"/>
  <c r="J2077" i="1" s="1"/>
  <c r="F2077" i="1" a="1"/>
  <c r="F2077" i="1" s="1"/>
  <c r="AZ2076" i="1"/>
  <c r="AY2076" i="1"/>
  <c r="AX2076" i="1"/>
  <c r="AW2076" i="1"/>
  <c r="K2076" i="1" a="1"/>
  <c r="K2076" i="1" s="1"/>
  <c r="J2076" i="1" a="1"/>
  <c r="J2076" i="1" s="1"/>
  <c r="F2076" i="1" a="1"/>
  <c r="F2076" i="1" s="1"/>
  <c r="AZ2074" i="1"/>
  <c r="AY2074" i="1"/>
  <c r="AX2074" i="1"/>
  <c r="AW2074" i="1"/>
  <c r="K2074" i="1" a="1"/>
  <c r="K2074" i="1" s="1"/>
  <c r="J2074" i="1" a="1"/>
  <c r="J2074" i="1" s="1"/>
  <c r="F2074" i="1" a="1"/>
  <c r="F2074" i="1" s="1"/>
  <c r="AZ2073" i="1"/>
  <c r="AY2073" i="1"/>
  <c r="AX2073" i="1"/>
  <c r="AW2073" i="1"/>
  <c r="K2073" i="1" a="1"/>
  <c r="K2073" i="1" s="1"/>
  <c r="J2073" i="1" a="1"/>
  <c r="J2073" i="1" s="1"/>
  <c r="F2073" i="1" a="1"/>
  <c r="F2073" i="1" s="1"/>
  <c r="AZ2072" i="1"/>
  <c r="AY2072" i="1"/>
  <c r="AX2072" i="1"/>
  <c r="AW2072" i="1"/>
  <c r="K2072" i="1" a="1"/>
  <c r="K2072" i="1" s="1"/>
  <c r="J2072" i="1" a="1"/>
  <c r="J2072" i="1" s="1"/>
  <c r="F2072" i="1" a="1"/>
  <c r="F2072" i="1" s="1"/>
  <c r="AZ2071" i="1"/>
  <c r="AY2071" i="1"/>
  <c r="AX2071" i="1"/>
  <c r="AW2071" i="1"/>
  <c r="K2071" i="1" a="1"/>
  <c r="K2071" i="1" s="1"/>
  <c r="J2071" i="1" a="1"/>
  <c r="J2071" i="1" s="1"/>
  <c r="F2071" i="1" a="1"/>
  <c r="F2071" i="1" s="1"/>
  <c r="AZ2069" i="1"/>
  <c r="AY2069" i="1"/>
  <c r="AX2069" i="1"/>
  <c r="AW2069" i="1"/>
  <c r="AU2069" i="1"/>
  <c r="AS2069" i="1"/>
  <c r="K2069" i="1" a="1"/>
  <c r="K2069" i="1" s="1"/>
  <c r="J2069" i="1" a="1"/>
  <c r="J2069" i="1" s="1"/>
  <c r="F2069" i="1" a="1"/>
  <c r="F2069" i="1" s="1"/>
  <c r="AZ2068" i="1"/>
  <c r="AY2068" i="1"/>
  <c r="AX2068" i="1"/>
  <c r="AW2068" i="1"/>
  <c r="AU2068" i="1"/>
  <c r="AS2068" i="1"/>
  <c r="K2068" i="1" a="1"/>
  <c r="K2068" i="1" s="1"/>
  <c r="J2068" i="1" a="1"/>
  <c r="J2068" i="1" s="1"/>
  <c r="F2068" i="1" a="1"/>
  <c r="F2068" i="1" s="1"/>
  <c r="AZ2067" i="1"/>
  <c r="AY2067" i="1"/>
  <c r="AX2067" i="1"/>
  <c r="AW2067" i="1"/>
  <c r="AU2067" i="1"/>
  <c r="AS2067" i="1"/>
  <c r="K2067" i="1" a="1"/>
  <c r="K2067" i="1" s="1"/>
  <c r="J2067" i="1" a="1"/>
  <c r="J2067" i="1" s="1"/>
  <c r="F2067" i="1" a="1"/>
  <c r="F2067" i="1" s="1"/>
  <c r="AZ2066" i="1"/>
  <c r="AY2066" i="1"/>
  <c r="AX2066" i="1"/>
  <c r="AW2066" i="1"/>
  <c r="AU2066" i="1"/>
  <c r="AS2066" i="1"/>
  <c r="K2066" i="1" a="1"/>
  <c r="K2066" i="1" s="1"/>
  <c r="J2066" i="1" a="1"/>
  <c r="J2066" i="1" s="1"/>
  <c r="F2066" i="1" a="1"/>
  <c r="F2066" i="1" s="1"/>
  <c r="AZ2064" i="1"/>
  <c r="AY2064" i="1"/>
  <c r="AX2064" i="1"/>
  <c r="AW2064" i="1"/>
  <c r="AU2064" i="1"/>
  <c r="AT2064" i="1"/>
  <c r="AS2064" i="1"/>
  <c r="K2064" i="1" a="1"/>
  <c r="K2064" i="1" s="1"/>
  <c r="J2064" i="1" a="1"/>
  <c r="J2064" i="1" s="1"/>
  <c r="F2064" i="1" a="1"/>
  <c r="F2064" i="1" s="1"/>
  <c r="AZ2063" i="1"/>
  <c r="AY2063" i="1"/>
  <c r="AX2063" i="1"/>
  <c r="AW2063" i="1"/>
  <c r="AU2063" i="1"/>
  <c r="AT2063" i="1"/>
  <c r="AS2063" i="1"/>
  <c r="K2063" i="1" a="1"/>
  <c r="K2063" i="1" s="1"/>
  <c r="J2063" i="1" a="1"/>
  <c r="J2063" i="1" s="1"/>
  <c r="F2063" i="1" a="1"/>
  <c r="F2063" i="1" s="1"/>
  <c r="E2063" i="1" s="1" a="1"/>
  <c r="E2063" i="1" s="1"/>
  <c r="AZ2062" i="1"/>
  <c r="AY2062" i="1"/>
  <c r="AX2062" i="1"/>
  <c r="AW2062" i="1"/>
  <c r="AU2062" i="1"/>
  <c r="AT2062" i="1"/>
  <c r="AS2062" i="1"/>
  <c r="K2062" i="1" a="1"/>
  <c r="K2062" i="1" s="1"/>
  <c r="J2062" i="1" a="1"/>
  <c r="J2062" i="1" s="1"/>
  <c r="F2062" i="1" a="1"/>
  <c r="F2062" i="1" s="1"/>
  <c r="AZ2061" i="1"/>
  <c r="AY2061" i="1"/>
  <c r="AX2061" i="1"/>
  <c r="AW2061" i="1"/>
  <c r="AU2061" i="1"/>
  <c r="AT2061" i="1"/>
  <c r="AS2061" i="1"/>
  <c r="K2061" i="1" a="1"/>
  <c r="K2061" i="1" s="1"/>
  <c r="J2061" i="1" a="1"/>
  <c r="J2061" i="1" s="1"/>
  <c r="F2061" i="1" a="1"/>
  <c r="F2061" i="1" s="1"/>
  <c r="AZ2059" i="1"/>
  <c r="AY2059" i="1"/>
  <c r="AX2059" i="1"/>
  <c r="AW2059" i="1"/>
  <c r="K2059" i="1" a="1"/>
  <c r="K2059" i="1" s="1"/>
  <c r="J2059" i="1" a="1"/>
  <c r="J2059" i="1" s="1"/>
  <c r="F2059" i="1" a="1"/>
  <c r="F2059" i="1" s="1"/>
  <c r="AZ2058" i="1"/>
  <c r="AY2058" i="1"/>
  <c r="AX2058" i="1"/>
  <c r="AW2058" i="1"/>
  <c r="K2058" i="1" a="1"/>
  <c r="K2058" i="1" s="1"/>
  <c r="J2058" i="1" a="1"/>
  <c r="J2058" i="1" s="1"/>
  <c r="F2058" i="1" a="1"/>
  <c r="F2058" i="1" s="1"/>
  <c r="AZ2057" i="1"/>
  <c r="AY2057" i="1"/>
  <c r="AX2057" i="1"/>
  <c r="AW2057" i="1"/>
  <c r="K2057" i="1" a="1"/>
  <c r="K2057" i="1" s="1"/>
  <c r="J2057" i="1" a="1"/>
  <c r="J2057" i="1" s="1"/>
  <c r="F2057" i="1" a="1"/>
  <c r="F2057" i="1" s="1"/>
  <c r="AZ2056" i="1"/>
  <c r="AY2056" i="1"/>
  <c r="AX2056" i="1"/>
  <c r="AW2056" i="1"/>
  <c r="K2056" i="1" a="1"/>
  <c r="K2056" i="1" s="1"/>
  <c r="J2056" i="1" a="1"/>
  <c r="J2056" i="1" s="1"/>
  <c r="F2056" i="1" a="1"/>
  <c r="F2056" i="1" s="1"/>
  <c r="AZ2054" i="1"/>
  <c r="AY2054" i="1"/>
  <c r="AX2054" i="1"/>
  <c r="AW2054" i="1"/>
  <c r="K2054" i="1" a="1"/>
  <c r="K2054" i="1" s="1"/>
  <c r="J2054" i="1" a="1"/>
  <c r="J2054" i="1" s="1"/>
  <c r="F2054" i="1" a="1"/>
  <c r="F2054" i="1" s="1"/>
  <c r="AZ2053" i="1"/>
  <c r="AY2053" i="1"/>
  <c r="AX2053" i="1"/>
  <c r="AW2053" i="1"/>
  <c r="K2053" i="1" a="1"/>
  <c r="K2053" i="1" s="1"/>
  <c r="J2053" i="1" a="1"/>
  <c r="J2053" i="1" s="1"/>
  <c r="F2053" i="1" a="1"/>
  <c r="F2053" i="1" s="1"/>
  <c r="AZ2052" i="1"/>
  <c r="AY2052" i="1"/>
  <c r="AX2052" i="1"/>
  <c r="AW2052" i="1"/>
  <c r="K2052" i="1" a="1"/>
  <c r="K2052" i="1" s="1"/>
  <c r="J2052" i="1" a="1"/>
  <c r="J2052" i="1" s="1"/>
  <c r="F2052" i="1" a="1"/>
  <c r="F2052" i="1" s="1"/>
  <c r="AZ2051" i="1"/>
  <c r="AY2051" i="1"/>
  <c r="AX2051" i="1"/>
  <c r="AW2051" i="1"/>
  <c r="K2051" i="1" a="1"/>
  <c r="K2051" i="1" s="1"/>
  <c r="J2051" i="1" a="1"/>
  <c r="J2051" i="1" s="1"/>
  <c r="F2051" i="1" a="1"/>
  <c r="F2051" i="1" s="1"/>
  <c r="AZ2100" i="1"/>
  <c r="AY2100" i="1"/>
  <c r="AX2100" i="1"/>
  <c r="AW2100" i="1"/>
  <c r="K2100" i="1" a="1"/>
  <c r="K2100" i="1" s="1"/>
  <c r="J2100" i="1" a="1"/>
  <c r="J2100" i="1" s="1"/>
  <c r="F2100" i="1" a="1"/>
  <c r="F2100" i="1" s="1"/>
  <c r="AZ2184" i="1"/>
  <c r="AY2184" i="1"/>
  <c r="AX2184" i="1"/>
  <c r="AW2184" i="1"/>
  <c r="AU2184" i="1"/>
  <c r="AS2184" i="1"/>
  <c r="K2184" i="1" a="1"/>
  <c r="K2184" i="1" s="1"/>
  <c r="J2184" i="1" a="1"/>
  <c r="J2184" i="1" s="1"/>
  <c r="F2184" i="1" a="1"/>
  <c r="F2184" i="1" s="1"/>
  <c r="AZ2183" i="1"/>
  <c r="AY2183" i="1"/>
  <c r="AX2183" i="1"/>
  <c r="AW2183" i="1"/>
  <c r="AU2183" i="1"/>
  <c r="AS2183" i="1"/>
  <c r="K2183" i="1" a="1"/>
  <c r="K2183" i="1" s="1"/>
  <c r="J2183" i="1" a="1"/>
  <c r="J2183" i="1" s="1"/>
  <c r="F2183" i="1" a="1"/>
  <c r="F2183" i="1" s="1"/>
  <c r="AZ2182" i="1"/>
  <c r="AY2182" i="1"/>
  <c r="AX2182" i="1"/>
  <c r="AW2182" i="1"/>
  <c r="AU2182" i="1"/>
  <c r="AS2182" i="1"/>
  <c r="K2182" i="1" a="1"/>
  <c r="K2182" i="1" s="1"/>
  <c r="J2182" i="1" a="1"/>
  <c r="J2182" i="1" s="1"/>
  <c r="F2182" i="1" a="1"/>
  <c r="F2182" i="1" s="1"/>
  <c r="AZ2181" i="1"/>
  <c r="AY2181" i="1"/>
  <c r="AX2181" i="1"/>
  <c r="AW2181" i="1"/>
  <c r="AU2181" i="1"/>
  <c r="AS2181" i="1"/>
  <c r="K2181" i="1" a="1"/>
  <c r="K2181" i="1" s="1"/>
  <c r="J2181" i="1" a="1"/>
  <c r="J2181" i="1" s="1"/>
  <c r="F2181" i="1" a="1"/>
  <c r="F2181" i="1" s="1"/>
  <c r="AZ2179" i="1"/>
  <c r="AY2179" i="1"/>
  <c r="AX2179" i="1"/>
  <c r="AW2179" i="1"/>
  <c r="AU2179" i="1"/>
  <c r="AS2179" i="1"/>
  <c r="K2179" i="1" a="1"/>
  <c r="K2179" i="1" s="1"/>
  <c r="J2179" i="1" a="1"/>
  <c r="J2179" i="1" s="1"/>
  <c r="F2179" i="1" a="1"/>
  <c r="F2179" i="1" s="1"/>
  <c r="AZ2178" i="1"/>
  <c r="AY2178" i="1"/>
  <c r="AX2178" i="1"/>
  <c r="AW2178" i="1"/>
  <c r="AU2178" i="1"/>
  <c r="AS2178" i="1"/>
  <c r="K2178" i="1" a="1"/>
  <c r="K2178" i="1" s="1"/>
  <c r="J2178" i="1" a="1"/>
  <c r="J2178" i="1" s="1"/>
  <c r="F2178" i="1" a="1"/>
  <c r="F2178" i="1" s="1"/>
  <c r="AZ2177" i="1"/>
  <c r="AY2177" i="1"/>
  <c r="AX2177" i="1"/>
  <c r="AW2177" i="1"/>
  <c r="AU2177" i="1"/>
  <c r="AS2177" i="1"/>
  <c r="K2177" i="1" a="1"/>
  <c r="K2177" i="1" s="1"/>
  <c r="J2177" i="1" a="1"/>
  <c r="J2177" i="1" s="1"/>
  <c r="F2177" i="1" a="1"/>
  <c r="F2177" i="1" s="1"/>
  <c r="AZ2176" i="1"/>
  <c r="AY2176" i="1"/>
  <c r="AX2176" i="1"/>
  <c r="AW2176" i="1"/>
  <c r="AU2176" i="1"/>
  <c r="AS2176" i="1"/>
  <c r="K2176" i="1" a="1"/>
  <c r="K2176" i="1" s="1"/>
  <c r="J2176" i="1" a="1"/>
  <c r="J2176" i="1" s="1"/>
  <c r="F2176" i="1" a="1"/>
  <c r="F2176" i="1" s="1"/>
  <c r="AZ2174" i="1"/>
  <c r="AY2174" i="1"/>
  <c r="AX2174" i="1"/>
  <c r="AW2174" i="1"/>
  <c r="AU2174" i="1"/>
  <c r="AS2174" i="1"/>
  <c r="K2174" i="1" a="1"/>
  <c r="K2174" i="1" s="1"/>
  <c r="J2174" i="1" a="1"/>
  <c r="J2174" i="1" s="1"/>
  <c r="F2174" i="1" a="1"/>
  <c r="F2174" i="1" s="1"/>
  <c r="AZ2173" i="1"/>
  <c r="AY2173" i="1"/>
  <c r="AX2173" i="1"/>
  <c r="AW2173" i="1"/>
  <c r="AU2173" i="1"/>
  <c r="AS2173" i="1"/>
  <c r="K2173" i="1" a="1"/>
  <c r="K2173" i="1" s="1"/>
  <c r="J2173" i="1" a="1"/>
  <c r="J2173" i="1" s="1"/>
  <c r="F2173" i="1" a="1"/>
  <c r="F2173" i="1" s="1"/>
  <c r="AZ2172" i="1"/>
  <c r="AY2172" i="1"/>
  <c r="AX2172" i="1"/>
  <c r="AW2172" i="1"/>
  <c r="AU2172" i="1"/>
  <c r="AS2172" i="1"/>
  <c r="K2172" i="1" a="1"/>
  <c r="K2172" i="1" s="1"/>
  <c r="J2172" i="1" a="1"/>
  <c r="J2172" i="1" s="1"/>
  <c r="F2172" i="1" a="1"/>
  <c r="F2172" i="1" s="1"/>
  <c r="AZ2171" i="1"/>
  <c r="AY2171" i="1"/>
  <c r="AX2171" i="1"/>
  <c r="AW2171" i="1"/>
  <c r="AU2171" i="1"/>
  <c r="AS2171" i="1"/>
  <c r="K2171" i="1" a="1"/>
  <c r="K2171" i="1" s="1"/>
  <c r="J2171" i="1" a="1"/>
  <c r="J2171" i="1" s="1"/>
  <c r="F2171" i="1" a="1"/>
  <c r="F2171" i="1" s="1"/>
  <c r="AZ2169" i="1"/>
  <c r="AY2169" i="1"/>
  <c r="AX2169" i="1"/>
  <c r="AW2169" i="1"/>
  <c r="AU2169" i="1"/>
  <c r="AS2169" i="1"/>
  <c r="K2169" i="1" a="1"/>
  <c r="K2169" i="1" s="1"/>
  <c r="J2169" i="1" a="1"/>
  <c r="J2169" i="1" s="1"/>
  <c r="F2169" i="1" a="1"/>
  <c r="F2169" i="1" s="1"/>
  <c r="AZ2168" i="1"/>
  <c r="AY2168" i="1"/>
  <c r="AX2168" i="1"/>
  <c r="AW2168" i="1"/>
  <c r="AU2168" i="1"/>
  <c r="AS2168" i="1"/>
  <c r="K2168" i="1" a="1"/>
  <c r="K2168" i="1" s="1"/>
  <c r="J2168" i="1" a="1"/>
  <c r="J2168" i="1" s="1"/>
  <c r="F2168" i="1" a="1"/>
  <c r="F2168" i="1" s="1"/>
  <c r="AZ2167" i="1"/>
  <c r="AY2167" i="1"/>
  <c r="AX2167" i="1"/>
  <c r="AW2167" i="1"/>
  <c r="AU2167" i="1"/>
  <c r="AS2167" i="1"/>
  <c r="K2167" i="1" a="1"/>
  <c r="K2167" i="1" s="1"/>
  <c r="J2167" i="1" a="1"/>
  <c r="J2167" i="1" s="1"/>
  <c r="F2167" i="1" a="1"/>
  <c r="F2167" i="1" s="1"/>
  <c r="AZ2166" i="1"/>
  <c r="AY2166" i="1"/>
  <c r="AX2166" i="1"/>
  <c r="AW2166" i="1"/>
  <c r="AU2166" i="1"/>
  <c r="AS2166" i="1"/>
  <c r="K2166" i="1" a="1"/>
  <c r="K2166" i="1" s="1"/>
  <c r="J2166" i="1" a="1"/>
  <c r="J2166" i="1" s="1"/>
  <c r="F2166" i="1" a="1"/>
  <c r="F2166" i="1" s="1"/>
  <c r="AZ2164" i="1"/>
  <c r="AY2164" i="1"/>
  <c r="AX2164" i="1"/>
  <c r="AW2164" i="1"/>
  <c r="AU2164" i="1"/>
  <c r="AT2164" i="1"/>
  <c r="AS2164" i="1"/>
  <c r="K2164" i="1" a="1"/>
  <c r="K2164" i="1" s="1"/>
  <c r="J2164" i="1" a="1"/>
  <c r="J2164" i="1" s="1"/>
  <c r="F2164" i="1" a="1"/>
  <c r="F2164" i="1" s="1"/>
  <c r="AZ2163" i="1"/>
  <c r="AY2163" i="1"/>
  <c r="AX2163" i="1"/>
  <c r="AW2163" i="1"/>
  <c r="AU2163" i="1"/>
  <c r="AT2163" i="1"/>
  <c r="AS2163" i="1"/>
  <c r="K2163" i="1" a="1"/>
  <c r="K2163" i="1" s="1"/>
  <c r="J2163" i="1" a="1"/>
  <c r="J2163" i="1" s="1"/>
  <c r="F2163" i="1" a="1"/>
  <c r="F2163" i="1" s="1"/>
  <c r="AZ2162" i="1"/>
  <c r="AY2162" i="1"/>
  <c r="AX2162" i="1"/>
  <c r="AW2162" i="1"/>
  <c r="AU2162" i="1"/>
  <c r="AT2162" i="1"/>
  <c r="AS2162" i="1"/>
  <c r="K2162" i="1" a="1"/>
  <c r="K2162" i="1" s="1"/>
  <c r="J2162" i="1" a="1"/>
  <c r="J2162" i="1" s="1"/>
  <c r="F2162" i="1" a="1"/>
  <c r="F2162" i="1" s="1"/>
  <c r="AZ2161" i="1"/>
  <c r="AY2161" i="1"/>
  <c r="AX2161" i="1"/>
  <c r="AW2161" i="1"/>
  <c r="AU2161" i="1"/>
  <c r="AT2161" i="1"/>
  <c r="AS2161" i="1"/>
  <c r="K2161" i="1" a="1"/>
  <c r="K2161" i="1" s="1"/>
  <c r="J2161" i="1" a="1"/>
  <c r="J2161" i="1" s="1"/>
  <c r="F2161" i="1" a="1"/>
  <c r="F2161" i="1" s="1"/>
  <c r="AZ2159" i="1"/>
  <c r="AY2159" i="1"/>
  <c r="AX2159" i="1"/>
  <c r="AW2159" i="1"/>
  <c r="AU2159" i="1"/>
  <c r="AS2159" i="1"/>
  <c r="K2159" i="1" a="1"/>
  <c r="K2159" i="1" s="1"/>
  <c r="J2159" i="1" a="1"/>
  <c r="J2159" i="1" s="1"/>
  <c r="F2159" i="1" a="1"/>
  <c r="F2159" i="1" s="1"/>
  <c r="AZ2158" i="1"/>
  <c r="AY2158" i="1"/>
  <c r="AX2158" i="1"/>
  <c r="AW2158" i="1"/>
  <c r="AU2158" i="1"/>
  <c r="AS2158" i="1"/>
  <c r="K2158" i="1" a="1"/>
  <c r="K2158" i="1" s="1"/>
  <c r="J2158" i="1" a="1"/>
  <c r="J2158" i="1" s="1"/>
  <c r="F2158" i="1" a="1"/>
  <c r="F2158" i="1" s="1"/>
  <c r="AZ2157" i="1"/>
  <c r="AY2157" i="1"/>
  <c r="AX2157" i="1"/>
  <c r="AW2157" i="1"/>
  <c r="AU2157" i="1"/>
  <c r="AS2157" i="1"/>
  <c r="K2157" i="1" a="1"/>
  <c r="K2157" i="1" s="1"/>
  <c r="J2157" i="1" a="1"/>
  <c r="J2157" i="1" s="1"/>
  <c r="F2157" i="1" a="1"/>
  <c r="F2157" i="1" s="1"/>
  <c r="AZ2156" i="1"/>
  <c r="AY2156" i="1"/>
  <c r="AX2156" i="1"/>
  <c r="AW2156" i="1"/>
  <c r="AU2156" i="1"/>
  <c r="AS2156" i="1"/>
  <c r="K2156" i="1" a="1"/>
  <c r="K2156" i="1" s="1"/>
  <c r="J2156" i="1" a="1"/>
  <c r="J2156" i="1" s="1"/>
  <c r="F2156" i="1" a="1"/>
  <c r="F2156" i="1" s="1"/>
  <c r="AZ2154" i="1"/>
  <c r="AY2154" i="1"/>
  <c r="AX2154" i="1"/>
  <c r="AW2154" i="1"/>
  <c r="AU2154" i="1"/>
  <c r="AS2154" i="1"/>
  <c r="K2154" i="1" a="1"/>
  <c r="K2154" i="1" s="1"/>
  <c r="J2154" i="1" a="1"/>
  <c r="J2154" i="1" s="1"/>
  <c r="F2154" i="1" a="1"/>
  <c r="F2154" i="1" s="1"/>
  <c r="AZ2153" i="1"/>
  <c r="AY2153" i="1"/>
  <c r="AX2153" i="1"/>
  <c r="AW2153" i="1"/>
  <c r="AU2153" i="1"/>
  <c r="AS2153" i="1"/>
  <c r="K2153" i="1" a="1"/>
  <c r="K2153" i="1" s="1"/>
  <c r="J2153" i="1" a="1"/>
  <c r="J2153" i="1" s="1"/>
  <c r="F2153" i="1" a="1"/>
  <c r="F2153" i="1" s="1"/>
  <c r="AZ2152" i="1"/>
  <c r="AY2152" i="1"/>
  <c r="AX2152" i="1"/>
  <c r="AW2152" i="1"/>
  <c r="AU2152" i="1"/>
  <c r="AS2152" i="1"/>
  <c r="K2152" i="1" a="1"/>
  <c r="K2152" i="1" s="1"/>
  <c r="J2152" i="1" a="1"/>
  <c r="J2152" i="1" s="1"/>
  <c r="F2152" i="1" a="1"/>
  <c r="F2152" i="1" s="1"/>
  <c r="AZ2151" i="1"/>
  <c r="AY2151" i="1"/>
  <c r="AX2151" i="1"/>
  <c r="AW2151" i="1"/>
  <c r="AU2151" i="1"/>
  <c r="AS2151" i="1"/>
  <c r="K2151" i="1" a="1"/>
  <c r="K2151" i="1" s="1"/>
  <c r="J2151" i="1" a="1"/>
  <c r="J2151" i="1" s="1"/>
  <c r="F2151" i="1" a="1"/>
  <c r="F2151" i="1" s="1"/>
  <c r="E2151" i="1" s="1" a="1"/>
  <c r="E2151" i="1" s="1"/>
  <c r="AZ2149" i="1"/>
  <c r="AY2149" i="1"/>
  <c r="AX2149" i="1"/>
  <c r="AW2149" i="1"/>
  <c r="AU2149" i="1"/>
  <c r="AT2149" i="1"/>
  <c r="AS2149" i="1"/>
  <c r="K2149" i="1" a="1"/>
  <c r="K2149" i="1" s="1"/>
  <c r="J2149" i="1" a="1"/>
  <c r="J2149" i="1" s="1"/>
  <c r="F2149" i="1" a="1"/>
  <c r="F2149" i="1" s="1"/>
  <c r="AZ2148" i="1"/>
  <c r="AY2148" i="1"/>
  <c r="AX2148" i="1"/>
  <c r="AW2148" i="1"/>
  <c r="AU2148" i="1"/>
  <c r="AT2148" i="1"/>
  <c r="AS2148" i="1"/>
  <c r="K2148" i="1" a="1"/>
  <c r="K2148" i="1" s="1"/>
  <c r="J2148" i="1" a="1"/>
  <c r="J2148" i="1" s="1"/>
  <c r="F2148" i="1" a="1"/>
  <c r="F2148" i="1" s="1"/>
  <c r="AZ2147" i="1"/>
  <c r="AY2147" i="1"/>
  <c r="AX2147" i="1"/>
  <c r="AW2147" i="1"/>
  <c r="AU2147" i="1"/>
  <c r="AT2147" i="1"/>
  <c r="AS2147" i="1"/>
  <c r="K2147" i="1" a="1"/>
  <c r="K2147" i="1" s="1"/>
  <c r="J2147" i="1" a="1"/>
  <c r="J2147" i="1" s="1"/>
  <c r="F2147" i="1" a="1"/>
  <c r="F2147" i="1" s="1"/>
  <c r="AZ2146" i="1"/>
  <c r="AY2146" i="1"/>
  <c r="AX2146" i="1"/>
  <c r="AW2146" i="1"/>
  <c r="AU2146" i="1"/>
  <c r="AT2146" i="1"/>
  <c r="AS2146" i="1"/>
  <c r="K2146" i="1" a="1"/>
  <c r="K2146" i="1" s="1"/>
  <c r="J2146" i="1" a="1"/>
  <c r="J2146" i="1" s="1"/>
  <c r="F2146" i="1" a="1"/>
  <c r="F2146" i="1" s="1"/>
  <c r="AZ2144" i="1"/>
  <c r="AY2144" i="1"/>
  <c r="AX2144" i="1"/>
  <c r="AW2144" i="1"/>
  <c r="AU2144" i="1"/>
  <c r="AT2144" i="1"/>
  <c r="AS2144" i="1"/>
  <c r="K2144" i="1" a="1"/>
  <c r="K2144" i="1" s="1"/>
  <c r="J2144" i="1" a="1"/>
  <c r="J2144" i="1" s="1"/>
  <c r="F2144" i="1" a="1"/>
  <c r="F2144" i="1" s="1"/>
  <c r="E2144" i="1" s="1" a="1"/>
  <c r="E2144" i="1" s="1"/>
  <c r="AZ2143" i="1"/>
  <c r="AY2143" i="1"/>
  <c r="AX2143" i="1"/>
  <c r="AW2143" i="1"/>
  <c r="AU2143" i="1"/>
  <c r="AT2143" i="1"/>
  <c r="AS2143" i="1"/>
  <c r="K2143" i="1" a="1"/>
  <c r="K2143" i="1" s="1"/>
  <c r="J2143" i="1" a="1"/>
  <c r="J2143" i="1" s="1"/>
  <c r="F2143" i="1" a="1"/>
  <c r="F2143" i="1" s="1"/>
  <c r="AZ2142" i="1"/>
  <c r="AY2142" i="1"/>
  <c r="AX2142" i="1"/>
  <c r="AW2142" i="1"/>
  <c r="AU2142" i="1"/>
  <c r="AT2142" i="1"/>
  <c r="AS2142" i="1"/>
  <c r="K2142" i="1" a="1"/>
  <c r="K2142" i="1" s="1"/>
  <c r="J2142" i="1" a="1"/>
  <c r="J2142" i="1" s="1"/>
  <c r="F2142" i="1" a="1"/>
  <c r="F2142" i="1" s="1"/>
  <c r="AZ2141" i="1"/>
  <c r="AY2141" i="1"/>
  <c r="AX2141" i="1"/>
  <c r="AW2141" i="1"/>
  <c r="AU2141" i="1"/>
  <c r="AT2141" i="1"/>
  <c r="AS2141" i="1"/>
  <c r="K2141" i="1" a="1"/>
  <c r="K2141" i="1" s="1"/>
  <c r="J2141" i="1" a="1"/>
  <c r="J2141" i="1" s="1"/>
  <c r="F2141" i="1" a="1"/>
  <c r="F2141" i="1" s="1"/>
  <c r="AZ2139" i="1"/>
  <c r="AY2139" i="1"/>
  <c r="AX2139" i="1"/>
  <c r="AW2139" i="1"/>
  <c r="AU2139" i="1"/>
  <c r="AT2139" i="1"/>
  <c r="AS2139" i="1"/>
  <c r="K2139" i="1" a="1"/>
  <c r="K2139" i="1" s="1"/>
  <c r="J2139" i="1" a="1"/>
  <c r="J2139" i="1" s="1"/>
  <c r="F2139" i="1" a="1"/>
  <c r="F2139" i="1" s="1"/>
  <c r="AZ2138" i="1"/>
  <c r="AY2138" i="1"/>
  <c r="AX2138" i="1"/>
  <c r="AW2138" i="1"/>
  <c r="AU2138" i="1"/>
  <c r="AT2138" i="1"/>
  <c r="AS2138" i="1"/>
  <c r="K2138" i="1" a="1"/>
  <c r="K2138" i="1" s="1"/>
  <c r="J2138" i="1" a="1"/>
  <c r="J2138" i="1" s="1"/>
  <c r="F2138" i="1" a="1"/>
  <c r="F2138" i="1" s="1"/>
  <c r="AZ2137" i="1"/>
  <c r="AY2137" i="1"/>
  <c r="AX2137" i="1"/>
  <c r="AW2137" i="1"/>
  <c r="AU2137" i="1"/>
  <c r="AT2137" i="1"/>
  <c r="AS2137" i="1"/>
  <c r="K2137" i="1" a="1"/>
  <c r="K2137" i="1" s="1"/>
  <c r="J2137" i="1" a="1"/>
  <c r="J2137" i="1" s="1"/>
  <c r="F2137" i="1" a="1"/>
  <c r="F2137" i="1" s="1"/>
  <c r="AZ2136" i="1"/>
  <c r="AY2136" i="1"/>
  <c r="AX2136" i="1"/>
  <c r="AW2136" i="1"/>
  <c r="AU2136" i="1"/>
  <c r="AT2136" i="1"/>
  <c r="AS2136" i="1"/>
  <c r="K2136" i="1" a="1"/>
  <c r="K2136" i="1" s="1"/>
  <c r="J2136" i="1" a="1"/>
  <c r="J2136" i="1" s="1"/>
  <c r="F2136" i="1" a="1"/>
  <c r="F2136" i="1" s="1"/>
  <c r="AZ2134" i="1"/>
  <c r="AY2134" i="1"/>
  <c r="AX2134" i="1"/>
  <c r="AW2134" i="1"/>
  <c r="AU2134" i="1"/>
  <c r="AS2134" i="1"/>
  <c r="K2134" i="1" a="1"/>
  <c r="K2134" i="1" s="1"/>
  <c r="J2134" i="1" a="1"/>
  <c r="J2134" i="1" s="1"/>
  <c r="F2134" i="1" a="1"/>
  <c r="F2134" i="1" s="1"/>
  <c r="AZ2133" i="1"/>
  <c r="AY2133" i="1"/>
  <c r="AX2133" i="1"/>
  <c r="AW2133" i="1"/>
  <c r="AU2133" i="1"/>
  <c r="AS2133" i="1"/>
  <c r="K2133" i="1" a="1"/>
  <c r="K2133" i="1" s="1"/>
  <c r="J2133" i="1" a="1"/>
  <c r="J2133" i="1" s="1"/>
  <c r="F2133" i="1" a="1"/>
  <c r="F2133" i="1" s="1"/>
  <c r="AZ2132" i="1"/>
  <c r="AY2132" i="1"/>
  <c r="AX2132" i="1"/>
  <c r="AW2132" i="1"/>
  <c r="AU2132" i="1"/>
  <c r="AS2132" i="1"/>
  <c r="K2132" i="1" a="1"/>
  <c r="K2132" i="1" s="1"/>
  <c r="J2132" i="1" a="1"/>
  <c r="J2132" i="1" s="1"/>
  <c r="F2132" i="1" a="1"/>
  <c r="F2132" i="1" s="1"/>
  <c r="AZ2131" i="1"/>
  <c r="AY2131" i="1"/>
  <c r="AX2131" i="1"/>
  <c r="AW2131" i="1"/>
  <c r="AU2131" i="1"/>
  <c r="AS2131" i="1"/>
  <c r="K2131" i="1" a="1"/>
  <c r="K2131" i="1" s="1"/>
  <c r="J2131" i="1" a="1"/>
  <c r="J2131" i="1" s="1"/>
  <c r="F2131" i="1" a="1"/>
  <c r="F2131" i="1" s="1"/>
  <c r="AZ2129" i="1"/>
  <c r="AY2129" i="1"/>
  <c r="AX2129" i="1"/>
  <c r="AW2129" i="1"/>
  <c r="AU2129" i="1"/>
  <c r="AT2129" i="1"/>
  <c r="AS2129" i="1"/>
  <c r="K2129" i="1" a="1"/>
  <c r="K2129" i="1" s="1"/>
  <c r="J2129" i="1" a="1"/>
  <c r="J2129" i="1" s="1"/>
  <c r="F2129" i="1" a="1"/>
  <c r="F2129" i="1" s="1"/>
  <c r="AZ2128" i="1"/>
  <c r="AY2128" i="1"/>
  <c r="AX2128" i="1"/>
  <c r="AW2128" i="1"/>
  <c r="AU2128" i="1"/>
  <c r="AT2128" i="1"/>
  <c r="AS2128" i="1"/>
  <c r="K2128" i="1" a="1"/>
  <c r="K2128" i="1" s="1"/>
  <c r="J2128" i="1" a="1"/>
  <c r="J2128" i="1" s="1"/>
  <c r="F2128" i="1" a="1"/>
  <c r="F2128" i="1" s="1"/>
  <c r="AZ2127" i="1"/>
  <c r="AY2127" i="1"/>
  <c r="AX2127" i="1"/>
  <c r="AW2127" i="1"/>
  <c r="AU2127" i="1"/>
  <c r="AT2127" i="1"/>
  <c r="AS2127" i="1"/>
  <c r="K2127" i="1" a="1"/>
  <c r="K2127" i="1" s="1"/>
  <c r="J2127" i="1" a="1"/>
  <c r="J2127" i="1" s="1"/>
  <c r="F2127" i="1" a="1"/>
  <c r="F2127" i="1" s="1"/>
  <c r="AZ2126" i="1"/>
  <c r="AY2126" i="1"/>
  <c r="AX2126" i="1"/>
  <c r="AW2126" i="1"/>
  <c r="AU2126" i="1"/>
  <c r="AT2126" i="1"/>
  <c r="AS2126" i="1"/>
  <c r="K2126" i="1" a="1"/>
  <c r="K2126" i="1" s="1"/>
  <c r="J2126" i="1" a="1"/>
  <c r="J2126" i="1" s="1"/>
  <c r="F2126" i="1" a="1"/>
  <c r="F2126" i="1" s="1"/>
  <c r="AZ2124" i="1"/>
  <c r="AY2124" i="1"/>
  <c r="AX2124" i="1"/>
  <c r="AW2124" i="1"/>
  <c r="AU2124" i="1"/>
  <c r="AS2124" i="1"/>
  <c r="K2124" i="1" a="1"/>
  <c r="K2124" i="1" s="1"/>
  <c r="J2124" i="1" a="1"/>
  <c r="J2124" i="1" s="1"/>
  <c r="F2124" i="1" a="1"/>
  <c r="F2124" i="1" s="1"/>
  <c r="AZ2123" i="1"/>
  <c r="AY2123" i="1"/>
  <c r="AX2123" i="1"/>
  <c r="AW2123" i="1"/>
  <c r="AU2123" i="1"/>
  <c r="AS2123" i="1"/>
  <c r="K2123" i="1" a="1"/>
  <c r="K2123" i="1" s="1"/>
  <c r="J2123" i="1" a="1"/>
  <c r="J2123" i="1" s="1"/>
  <c r="F2123" i="1" a="1"/>
  <c r="F2123" i="1" s="1"/>
  <c r="E2123" i="1" s="1" a="1"/>
  <c r="E2123" i="1" s="1"/>
  <c r="AZ2122" i="1"/>
  <c r="AY2122" i="1"/>
  <c r="AX2122" i="1"/>
  <c r="AW2122" i="1"/>
  <c r="AU2122" i="1"/>
  <c r="AS2122" i="1"/>
  <c r="K2122" i="1" a="1"/>
  <c r="K2122" i="1" s="1"/>
  <c r="J2122" i="1" a="1"/>
  <c r="J2122" i="1" s="1"/>
  <c r="F2122" i="1" a="1"/>
  <c r="F2122" i="1" s="1"/>
  <c r="AZ2121" i="1"/>
  <c r="AY2121" i="1"/>
  <c r="AX2121" i="1"/>
  <c r="AW2121" i="1"/>
  <c r="AU2121" i="1"/>
  <c r="AS2121" i="1"/>
  <c r="K2121" i="1" a="1"/>
  <c r="K2121" i="1" s="1"/>
  <c r="J2121" i="1" a="1"/>
  <c r="J2121" i="1" s="1"/>
  <c r="F2121" i="1" a="1"/>
  <c r="F2121" i="1" s="1"/>
  <c r="AZ2119" i="1"/>
  <c r="AY2119" i="1"/>
  <c r="AX2119" i="1"/>
  <c r="AW2119" i="1"/>
  <c r="AU2119" i="1"/>
  <c r="AT2119" i="1"/>
  <c r="AS2119" i="1"/>
  <c r="K2119" i="1" a="1"/>
  <c r="K2119" i="1" s="1"/>
  <c r="J2119" i="1" a="1"/>
  <c r="J2119" i="1" s="1"/>
  <c r="F2119" i="1" a="1"/>
  <c r="F2119" i="1" s="1"/>
  <c r="AZ2118" i="1"/>
  <c r="AY2118" i="1"/>
  <c r="AX2118" i="1"/>
  <c r="AW2118" i="1"/>
  <c r="AU2118" i="1"/>
  <c r="AT2118" i="1"/>
  <c r="AS2118" i="1"/>
  <c r="K2118" i="1" a="1"/>
  <c r="K2118" i="1" s="1"/>
  <c r="J2118" i="1" a="1"/>
  <c r="J2118" i="1" s="1"/>
  <c r="F2118" i="1" a="1"/>
  <c r="F2118" i="1" s="1"/>
  <c r="AZ2117" i="1"/>
  <c r="AY2117" i="1"/>
  <c r="AX2117" i="1"/>
  <c r="AW2117" i="1"/>
  <c r="AU2117" i="1"/>
  <c r="AT2117" i="1"/>
  <c r="AS2117" i="1"/>
  <c r="K2117" i="1" a="1"/>
  <c r="K2117" i="1" s="1"/>
  <c r="J2117" i="1" a="1"/>
  <c r="J2117" i="1" s="1"/>
  <c r="F2117" i="1" a="1"/>
  <c r="F2117" i="1" s="1"/>
  <c r="AZ2116" i="1"/>
  <c r="AY2116" i="1"/>
  <c r="AX2116" i="1"/>
  <c r="AW2116" i="1"/>
  <c r="AU2116" i="1"/>
  <c r="AT2116" i="1"/>
  <c r="AS2116" i="1"/>
  <c r="K2116" i="1" a="1"/>
  <c r="K2116" i="1" s="1"/>
  <c r="J2116" i="1" a="1"/>
  <c r="J2116" i="1" s="1"/>
  <c r="F2116" i="1" a="1"/>
  <c r="F2116" i="1" s="1"/>
  <c r="AZ2114" i="1"/>
  <c r="AY2114" i="1"/>
  <c r="AX2114" i="1"/>
  <c r="AW2114" i="1"/>
  <c r="AU2114" i="1"/>
  <c r="AT2114" i="1"/>
  <c r="AS2114" i="1"/>
  <c r="K2114" i="1" a="1"/>
  <c r="K2114" i="1" s="1"/>
  <c r="J2114" i="1" a="1"/>
  <c r="J2114" i="1" s="1"/>
  <c r="F2114" i="1" a="1"/>
  <c r="F2114" i="1" s="1"/>
  <c r="AZ2113" i="1"/>
  <c r="AY2113" i="1"/>
  <c r="AX2113" i="1"/>
  <c r="AW2113" i="1"/>
  <c r="AU2113" i="1"/>
  <c r="AT2113" i="1"/>
  <c r="AS2113" i="1"/>
  <c r="K2113" i="1" a="1"/>
  <c r="K2113" i="1" s="1"/>
  <c r="J2113" i="1" a="1"/>
  <c r="J2113" i="1" s="1"/>
  <c r="F2113" i="1" a="1"/>
  <c r="F2113" i="1" s="1"/>
  <c r="AZ2112" i="1"/>
  <c r="AY2112" i="1"/>
  <c r="AX2112" i="1"/>
  <c r="AW2112" i="1"/>
  <c r="AU2112" i="1"/>
  <c r="AT2112" i="1"/>
  <c r="AS2112" i="1"/>
  <c r="K2112" i="1" a="1"/>
  <c r="K2112" i="1" s="1"/>
  <c r="J2112" i="1" a="1"/>
  <c r="J2112" i="1" s="1"/>
  <c r="F2112" i="1" a="1"/>
  <c r="F2112" i="1" s="1"/>
  <c r="AZ2111" i="1"/>
  <c r="AY2111" i="1"/>
  <c r="AX2111" i="1"/>
  <c r="AW2111" i="1"/>
  <c r="AU2111" i="1"/>
  <c r="AT2111" i="1"/>
  <c r="AS2111" i="1"/>
  <c r="K2111" i="1" a="1"/>
  <c r="K2111" i="1" s="1"/>
  <c r="J2111" i="1" a="1"/>
  <c r="J2111" i="1" s="1"/>
  <c r="F2111" i="1" a="1"/>
  <c r="F2111" i="1" s="1"/>
  <c r="AZ2109" i="1"/>
  <c r="AY2109" i="1"/>
  <c r="AX2109" i="1"/>
  <c r="AW2109" i="1"/>
  <c r="AU2109" i="1"/>
  <c r="AS2109" i="1"/>
  <c r="K2109" i="1" a="1"/>
  <c r="K2109" i="1" s="1"/>
  <c r="J2109" i="1" a="1"/>
  <c r="J2109" i="1" s="1"/>
  <c r="F2109" i="1" a="1"/>
  <c r="F2109" i="1" s="1"/>
  <c r="AZ2108" i="1"/>
  <c r="AY2108" i="1"/>
  <c r="AX2108" i="1"/>
  <c r="AW2108" i="1"/>
  <c r="AU2108" i="1"/>
  <c r="AS2108" i="1"/>
  <c r="K2108" i="1" a="1"/>
  <c r="K2108" i="1" s="1"/>
  <c r="J2108" i="1" a="1"/>
  <c r="J2108" i="1" s="1"/>
  <c r="F2108" i="1" a="1"/>
  <c r="F2108" i="1" s="1"/>
  <c r="AZ2107" i="1"/>
  <c r="AY2107" i="1"/>
  <c r="AX2107" i="1"/>
  <c r="AW2107" i="1"/>
  <c r="AU2107" i="1"/>
  <c r="AS2107" i="1"/>
  <c r="K2107" i="1" a="1"/>
  <c r="K2107" i="1" s="1"/>
  <c r="J2107" i="1" a="1"/>
  <c r="J2107" i="1" s="1"/>
  <c r="F2107" i="1" a="1"/>
  <c r="F2107" i="1" s="1"/>
  <c r="AZ2106" i="1"/>
  <c r="AY2106" i="1"/>
  <c r="AX2106" i="1"/>
  <c r="AW2106" i="1"/>
  <c r="AU2106" i="1"/>
  <c r="AS2106" i="1"/>
  <c r="K2106" i="1" a="1"/>
  <c r="K2106" i="1" s="1"/>
  <c r="J2106" i="1" a="1"/>
  <c r="J2106" i="1" s="1"/>
  <c r="F2106" i="1" a="1"/>
  <c r="F2106" i="1" s="1"/>
  <c r="AZ2180" i="1"/>
  <c r="AY2180" i="1"/>
  <c r="AX2180" i="1"/>
  <c r="AW2180" i="1"/>
  <c r="AU2180" i="1"/>
  <c r="AS2180" i="1"/>
  <c r="K2180" i="1" a="1"/>
  <c r="K2180" i="1" s="1"/>
  <c r="J2180" i="1" a="1"/>
  <c r="J2180" i="1" s="1"/>
  <c r="F2180" i="1" a="1"/>
  <c r="F2180" i="1" s="1"/>
  <c r="AW2259" i="1"/>
  <c r="BM2259" i="1" s="1" a="1"/>
  <c r="BM2259" i="1" s="1"/>
  <c r="BJ2259" i="1" s="1" a="1"/>
  <c r="BJ2259" i="1" s="1"/>
  <c r="AT2259" i="1" a="1"/>
  <c r="AT2259" i="1" s="1"/>
  <c r="AU2259" i="1" s="1"/>
  <c r="AS2259" i="1" a="1"/>
  <c r="AS2259" i="1" s="1"/>
  <c r="K2259" i="1" a="1"/>
  <c r="K2259" i="1" s="1"/>
  <c r="J2259" i="1" a="1"/>
  <c r="J2259" i="1" s="1"/>
  <c r="F2259" i="1" a="1"/>
  <c r="F2259" i="1" s="1"/>
  <c r="AW2258" i="1"/>
  <c r="BK2258" i="1" s="1" a="1"/>
  <c r="BK2258" i="1" s="1"/>
  <c r="AT2258" i="1" a="1"/>
  <c r="AT2258" i="1" s="1"/>
  <c r="AU2258" i="1" s="1"/>
  <c r="AS2258" i="1" a="1"/>
  <c r="AS2258" i="1" s="1"/>
  <c r="K2258" i="1" a="1"/>
  <c r="K2258" i="1" s="1"/>
  <c r="J2258" i="1" a="1"/>
  <c r="J2258" i="1" s="1"/>
  <c r="F2258" i="1" a="1"/>
  <c r="F2258" i="1" s="1"/>
  <c r="AW2257" i="1"/>
  <c r="BN2257" i="1" s="1" a="1"/>
  <c r="BN2257" i="1" s="1"/>
  <c r="AT2257" i="1" a="1"/>
  <c r="AT2257" i="1" s="1"/>
  <c r="AU2257" i="1" s="1"/>
  <c r="AS2257" i="1" a="1"/>
  <c r="AS2257" i="1" s="1"/>
  <c r="K2257" i="1" a="1"/>
  <c r="K2257" i="1" s="1"/>
  <c r="J2257" i="1" a="1"/>
  <c r="J2257" i="1" s="1"/>
  <c r="F2257" i="1" a="1"/>
  <c r="F2257" i="1" s="1"/>
  <c r="AW2256" i="1"/>
  <c r="BL2256" i="1" s="1" a="1"/>
  <c r="BL2256" i="1" s="1"/>
  <c r="AT2256" i="1" a="1"/>
  <c r="AT2256" i="1" s="1"/>
  <c r="AU2256" i="1" s="1"/>
  <c r="AS2256" i="1" a="1"/>
  <c r="AS2256" i="1" s="1"/>
  <c r="K2256" i="1" a="1"/>
  <c r="K2256" i="1" s="1"/>
  <c r="J2256" i="1" a="1"/>
  <c r="J2256" i="1" s="1"/>
  <c r="F2256" i="1" a="1"/>
  <c r="F2256" i="1" s="1"/>
  <c r="AW2254" i="1"/>
  <c r="BM2254" i="1" s="1" a="1"/>
  <c r="BM2254" i="1" s="1"/>
  <c r="BJ2254" i="1" s="1" a="1"/>
  <c r="BJ2254" i="1" s="1"/>
  <c r="AT2254" i="1" a="1"/>
  <c r="AT2254" i="1" s="1"/>
  <c r="AU2254" i="1" s="1"/>
  <c r="AS2254" i="1" a="1"/>
  <c r="AS2254" i="1" s="1"/>
  <c r="K2254" i="1" a="1"/>
  <c r="K2254" i="1" s="1"/>
  <c r="J2254" i="1" a="1"/>
  <c r="J2254" i="1" s="1"/>
  <c r="F2254" i="1" a="1"/>
  <c r="F2254" i="1" s="1"/>
  <c r="AW2253" i="1"/>
  <c r="BM2253" i="1" s="1" a="1"/>
  <c r="BM2253" i="1" s="1"/>
  <c r="BJ2253" i="1" s="1" a="1"/>
  <c r="BJ2253" i="1" s="1"/>
  <c r="AT2253" i="1" a="1"/>
  <c r="AT2253" i="1" s="1"/>
  <c r="AU2253" i="1" s="1"/>
  <c r="AS2253" i="1" a="1"/>
  <c r="AS2253" i="1" s="1"/>
  <c r="K2253" i="1" a="1"/>
  <c r="K2253" i="1" s="1"/>
  <c r="J2253" i="1" a="1"/>
  <c r="J2253" i="1" s="1"/>
  <c r="F2253" i="1" a="1"/>
  <c r="F2253" i="1" s="1"/>
  <c r="AW2252" i="1"/>
  <c r="BM2252" i="1" s="1" a="1"/>
  <c r="BM2252" i="1" s="1"/>
  <c r="BJ2252" i="1" s="1" a="1"/>
  <c r="BJ2252" i="1" s="1"/>
  <c r="AT2252" i="1" a="1"/>
  <c r="AT2252" i="1" s="1"/>
  <c r="AU2252" i="1" s="1"/>
  <c r="AS2252" i="1" a="1"/>
  <c r="AS2252" i="1" s="1"/>
  <c r="K2252" i="1" a="1"/>
  <c r="K2252" i="1" s="1"/>
  <c r="J2252" i="1" a="1"/>
  <c r="J2252" i="1" s="1"/>
  <c r="F2252" i="1" a="1"/>
  <c r="F2252" i="1" s="1"/>
  <c r="AW2251" i="1"/>
  <c r="BM2251" i="1" s="1" a="1"/>
  <c r="BM2251" i="1" s="1"/>
  <c r="BJ2251" i="1" s="1" a="1"/>
  <c r="BJ2251" i="1" s="1"/>
  <c r="AT2251" i="1" a="1"/>
  <c r="AT2251" i="1" s="1"/>
  <c r="AU2251" i="1" s="1"/>
  <c r="AS2251" i="1" a="1"/>
  <c r="AS2251" i="1" s="1"/>
  <c r="K2251" i="1" a="1"/>
  <c r="K2251" i="1" s="1"/>
  <c r="J2251" i="1" a="1"/>
  <c r="J2251" i="1" s="1"/>
  <c r="F2251" i="1" a="1"/>
  <c r="F2251" i="1" s="1"/>
  <c r="BN2249" i="1" a="1"/>
  <c r="BN2249" i="1" s="1"/>
  <c r="BM2249" i="1" a="1"/>
  <c r="BM2249" i="1" s="1"/>
  <c r="BJ2249" i="1" s="1" a="1"/>
  <c r="BJ2249" i="1" s="1"/>
  <c r="BL2249" i="1" a="1"/>
  <c r="BL2249" i="1" s="1"/>
  <c r="BK2249" i="1" a="1"/>
  <c r="BK2249" i="1" s="1"/>
  <c r="BI2249" i="1" a="1"/>
  <c r="BI2249" i="1" s="1"/>
  <c r="AT2249" i="1" a="1"/>
  <c r="AT2249" i="1" s="1"/>
  <c r="AU2249" i="1" s="1"/>
  <c r="AS2249" i="1" a="1"/>
  <c r="AS2249" i="1" s="1"/>
  <c r="K2249" i="1" a="1"/>
  <c r="K2249" i="1" s="1"/>
  <c r="J2249" i="1" a="1"/>
  <c r="J2249" i="1" s="1"/>
  <c r="F2249" i="1" a="1"/>
  <c r="F2249" i="1" s="1"/>
  <c r="BN2248" i="1" a="1"/>
  <c r="BN2248" i="1" s="1"/>
  <c r="BM2248" i="1" a="1"/>
  <c r="BM2248" i="1" s="1"/>
  <c r="BJ2248" i="1" s="1" a="1"/>
  <c r="BJ2248" i="1" s="1"/>
  <c r="BL2248" i="1" a="1"/>
  <c r="BL2248" i="1" s="1"/>
  <c r="BK2248" i="1" a="1"/>
  <c r="BK2248" i="1" s="1"/>
  <c r="BI2248" i="1" a="1"/>
  <c r="BI2248" i="1" s="1"/>
  <c r="AT2248" i="1" a="1"/>
  <c r="AT2248" i="1" s="1"/>
  <c r="AU2248" i="1" s="1"/>
  <c r="AS2248" i="1" a="1"/>
  <c r="AS2248" i="1" s="1"/>
  <c r="K2248" i="1" a="1"/>
  <c r="K2248" i="1" s="1"/>
  <c r="J2248" i="1" a="1"/>
  <c r="J2248" i="1" s="1"/>
  <c r="F2248" i="1" a="1"/>
  <c r="F2248" i="1" s="1"/>
  <c r="BN2247" i="1" a="1"/>
  <c r="BN2247" i="1" s="1"/>
  <c r="BM2247" i="1" a="1"/>
  <c r="BM2247" i="1" s="1"/>
  <c r="BJ2247" i="1" s="1" a="1"/>
  <c r="BJ2247" i="1" s="1"/>
  <c r="BL2247" i="1" a="1"/>
  <c r="BL2247" i="1" s="1"/>
  <c r="BK2247" i="1" a="1"/>
  <c r="BK2247" i="1" s="1"/>
  <c r="BI2247" i="1" a="1"/>
  <c r="BI2247" i="1" s="1"/>
  <c r="AT2247" i="1" a="1"/>
  <c r="AT2247" i="1" s="1"/>
  <c r="AU2247" i="1" s="1"/>
  <c r="AS2247" i="1" a="1"/>
  <c r="AS2247" i="1" s="1"/>
  <c r="K2247" i="1" a="1"/>
  <c r="K2247" i="1" s="1"/>
  <c r="J2247" i="1" a="1"/>
  <c r="J2247" i="1" s="1"/>
  <c r="F2247" i="1" a="1"/>
  <c r="F2247" i="1" s="1"/>
  <c r="BN2246" i="1" a="1"/>
  <c r="BN2246" i="1" s="1"/>
  <c r="BM2246" i="1" a="1"/>
  <c r="BM2246" i="1" s="1"/>
  <c r="BJ2246" i="1" s="1" a="1"/>
  <c r="BJ2246" i="1" s="1"/>
  <c r="BL2246" i="1" a="1"/>
  <c r="BL2246" i="1" s="1"/>
  <c r="BK2246" i="1" a="1"/>
  <c r="BK2246" i="1" s="1"/>
  <c r="BI2246" i="1" a="1"/>
  <c r="BI2246" i="1" s="1"/>
  <c r="AT2246" i="1" a="1"/>
  <c r="AT2246" i="1" s="1"/>
  <c r="AU2246" i="1" s="1"/>
  <c r="AS2246" i="1" a="1"/>
  <c r="AS2246" i="1" s="1"/>
  <c r="K2246" i="1" a="1"/>
  <c r="K2246" i="1" s="1"/>
  <c r="J2246" i="1" a="1"/>
  <c r="J2246" i="1" s="1"/>
  <c r="F2246" i="1" a="1"/>
  <c r="F2246" i="1" s="1"/>
  <c r="AW2244" i="1"/>
  <c r="BK2244" i="1" s="1" a="1"/>
  <c r="BK2244" i="1" s="1"/>
  <c r="AT2244" i="1" a="1"/>
  <c r="AT2244" i="1" s="1"/>
  <c r="AU2244" i="1" s="1"/>
  <c r="AS2244" i="1" a="1"/>
  <c r="AS2244" i="1" s="1"/>
  <c r="K2244" i="1" a="1"/>
  <c r="K2244" i="1" s="1"/>
  <c r="J2244" i="1" a="1"/>
  <c r="J2244" i="1" s="1"/>
  <c r="F2244" i="1" a="1"/>
  <c r="F2244" i="1" s="1"/>
  <c r="AW2243" i="1"/>
  <c r="BK2243" i="1" s="1" a="1"/>
  <c r="BK2243" i="1" s="1"/>
  <c r="AT2243" i="1" a="1"/>
  <c r="AT2243" i="1" s="1"/>
  <c r="AU2243" i="1" s="1"/>
  <c r="AS2243" i="1" a="1"/>
  <c r="AS2243" i="1" s="1"/>
  <c r="K2243" i="1" a="1"/>
  <c r="K2243" i="1" s="1"/>
  <c r="J2243" i="1" a="1"/>
  <c r="J2243" i="1" s="1"/>
  <c r="F2243" i="1" a="1"/>
  <c r="F2243" i="1" s="1"/>
  <c r="AW2242" i="1"/>
  <c r="BL2242" i="1" s="1" a="1"/>
  <c r="BL2242" i="1" s="1"/>
  <c r="AT2242" i="1" a="1"/>
  <c r="AT2242" i="1" s="1"/>
  <c r="AU2242" i="1" s="1"/>
  <c r="AS2242" i="1" a="1"/>
  <c r="AS2242" i="1" s="1"/>
  <c r="K2242" i="1" a="1"/>
  <c r="K2242" i="1" s="1"/>
  <c r="J2242" i="1" a="1"/>
  <c r="J2242" i="1" s="1"/>
  <c r="F2242" i="1" a="1"/>
  <c r="F2242" i="1" s="1"/>
  <c r="AW2241" i="1"/>
  <c r="BL2241" i="1" s="1" a="1"/>
  <c r="BL2241" i="1" s="1"/>
  <c r="AT2241" i="1" a="1"/>
  <c r="AT2241" i="1" s="1"/>
  <c r="AU2241" i="1" s="1"/>
  <c r="AS2241" i="1" a="1"/>
  <c r="AS2241" i="1" s="1"/>
  <c r="K2241" i="1" a="1"/>
  <c r="K2241" i="1" s="1"/>
  <c r="J2241" i="1" a="1"/>
  <c r="J2241" i="1" s="1"/>
  <c r="F2241" i="1" a="1"/>
  <c r="F2241" i="1" s="1"/>
  <c r="AW2239" i="1"/>
  <c r="BM2239" i="1" s="1" a="1"/>
  <c r="BM2239" i="1" s="1"/>
  <c r="BJ2239" i="1" s="1" a="1"/>
  <c r="BJ2239" i="1" s="1"/>
  <c r="AT2239" i="1" a="1"/>
  <c r="AT2239" i="1" s="1"/>
  <c r="AU2239" i="1" s="1"/>
  <c r="AS2239" i="1" a="1"/>
  <c r="AS2239" i="1" s="1"/>
  <c r="K2239" i="1" a="1"/>
  <c r="K2239" i="1" s="1"/>
  <c r="J2239" i="1" a="1"/>
  <c r="J2239" i="1" s="1"/>
  <c r="F2239" i="1" a="1"/>
  <c r="F2239" i="1" s="1"/>
  <c r="AW2238" i="1"/>
  <c r="BN2238" i="1" s="1" a="1"/>
  <c r="BN2238" i="1" s="1"/>
  <c r="AT2238" i="1" a="1"/>
  <c r="AT2238" i="1" s="1"/>
  <c r="AU2238" i="1" s="1"/>
  <c r="AS2238" i="1" a="1"/>
  <c r="AS2238" i="1" s="1"/>
  <c r="K2238" i="1" a="1"/>
  <c r="K2238" i="1" s="1"/>
  <c r="J2238" i="1" a="1"/>
  <c r="J2238" i="1" s="1"/>
  <c r="F2238" i="1" a="1"/>
  <c r="F2238" i="1" s="1"/>
  <c r="AW2237" i="1"/>
  <c r="BM2237" i="1" s="1" a="1"/>
  <c r="BM2237" i="1" s="1"/>
  <c r="BJ2237" i="1" s="1" a="1"/>
  <c r="BJ2237" i="1" s="1"/>
  <c r="AT2237" i="1" a="1"/>
  <c r="AT2237" i="1" s="1"/>
  <c r="AU2237" i="1" s="1"/>
  <c r="AS2237" i="1" a="1"/>
  <c r="AS2237" i="1" s="1"/>
  <c r="K2237" i="1" a="1"/>
  <c r="K2237" i="1" s="1"/>
  <c r="J2237" i="1" a="1"/>
  <c r="J2237" i="1" s="1"/>
  <c r="F2237" i="1" a="1"/>
  <c r="F2237" i="1" s="1"/>
  <c r="AW2236" i="1"/>
  <c r="BN2236" i="1" s="1" a="1"/>
  <c r="BN2236" i="1" s="1"/>
  <c r="AT2236" i="1" a="1"/>
  <c r="AT2236" i="1" s="1"/>
  <c r="AU2236" i="1" s="1"/>
  <c r="AS2236" i="1" a="1"/>
  <c r="AS2236" i="1" s="1"/>
  <c r="K2236" i="1" a="1"/>
  <c r="K2236" i="1" s="1"/>
  <c r="J2236" i="1" a="1"/>
  <c r="J2236" i="1" s="1"/>
  <c r="F2236" i="1" a="1"/>
  <c r="F2236" i="1" s="1"/>
  <c r="BN2234" i="1" a="1"/>
  <c r="BN2234" i="1" s="1"/>
  <c r="BM2234" i="1" a="1"/>
  <c r="BM2234" i="1" s="1"/>
  <c r="BJ2234" i="1" s="1" a="1"/>
  <c r="BJ2234" i="1" s="1"/>
  <c r="BL2234" i="1" a="1"/>
  <c r="BL2234" i="1" s="1"/>
  <c r="BK2234" i="1" a="1"/>
  <c r="BK2234" i="1" s="1"/>
  <c r="BI2234" i="1" a="1"/>
  <c r="BI2234" i="1" s="1"/>
  <c r="AT2234" i="1" a="1"/>
  <c r="AT2234" i="1" s="1"/>
  <c r="AU2234" i="1" s="1"/>
  <c r="AS2234" i="1" a="1"/>
  <c r="AS2234" i="1" s="1"/>
  <c r="K2234" i="1" a="1"/>
  <c r="K2234" i="1" s="1"/>
  <c r="J2234" i="1" a="1"/>
  <c r="J2234" i="1" s="1"/>
  <c r="F2234" i="1" a="1"/>
  <c r="F2234" i="1" s="1"/>
  <c r="BN2233" i="1" a="1"/>
  <c r="BN2233" i="1" s="1"/>
  <c r="BM2233" i="1" a="1"/>
  <c r="BM2233" i="1" s="1"/>
  <c r="BJ2233" i="1" s="1" a="1"/>
  <c r="BJ2233" i="1" s="1"/>
  <c r="BL2233" i="1" a="1"/>
  <c r="BL2233" i="1" s="1"/>
  <c r="BK2233" i="1" a="1"/>
  <c r="BK2233" i="1" s="1"/>
  <c r="BI2233" i="1" a="1"/>
  <c r="BI2233" i="1" s="1"/>
  <c r="AT2233" i="1" a="1"/>
  <c r="AT2233" i="1" s="1"/>
  <c r="AU2233" i="1" s="1"/>
  <c r="AS2233" i="1" a="1"/>
  <c r="AS2233" i="1" s="1"/>
  <c r="K2233" i="1" a="1"/>
  <c r="K2233" i="1" s="1"/>
  <c r="J2233" i="1" a="1"/>
  <c r="J2233" i="1" s="1"/>
  <c r="F2233" i="1" a="1"/>
  <c r="F2233" i="1" s="1"/>
  <c r="BN2232" i="1" a="1"/>
  <c r="BN2232" i="1" s="1"/>
  <c r="BM2232" i="1" a="1"/>
  <c r="BM2232" i="1" s="1"/>
  <c r="BJ2232" i="1" s="1" a="1"/>
  <c r="BJ2232" i="1" s="1"/>
  <c r="BL2232" i="1" a="1"/>
  <c r="BL2232" i="1" s="1"/>
  <c r="BK2232" i="1" a="1"/>
  <c r="BK2232" i="1" s="1"/>
  <c r="BI2232" i="1" a="1"/>
  <c r="BI2232" i="1" s="1"/>
  <c r="AT2232" i="1" a="1"/>
  <c r="AT2232" i="1" s="1"/>
  <c r="AU2232" i="1" s="1"/>
  <c r="AS2232" i="1" a="1"/>
  <c r="AS2232" i="1" s="1"/>
  <c r="K2232" i="1" a="1"/>
  <c r="K2232" i="1" s="1"/>
  <c r="J2232" i="1" a="1"/>
  <c r="J2232" i="1" s="1"/>
  <c r="F2232" i="1" a="1"/>
  <c r="F2232" i="1" s="1"/>
  <c r="BN2231" i="1" a="1"/>
  <c r="BN2231" i="1" s="1"/>
  <c r="BM2231" i="1" a="1"/>
  <c r="BM2231" i="1" s="1"/>
  <c r="BJ2231" i="1" s="1" a="1"/>
  <c r="BJ2231" i="1" s="1"/>
  <c r="BL2231" i="1" a="1"/>
  <c r="BL2231" i="1" s="1"/>
  <c r="BK2231" i="1" a="1"/>
  <c r="BK2231" i="1" s="1"/>
  <c r="BI2231" i="1" a="1"/>
  <c r="BI2231" i="1" s="1"/>
  <c r="AT2231" i="1" a="1"/>
  <c r="AT2231" i="1" s="1"/>
  <c r="AU2231" i="1" s="1"/>
  <c r="AS2231" i="1" a="1"/>
  <c r="AS2231" i="1" s="1"/>
  <c r="K2231" i="1" a="1"/>
  <c r="K2231" i="1" s="1"/>
  <c r="J2231" i="1" a="1"/>
  <c r="J2231" i="1" s="1"/>
  <c r="F2231" i="1" a="1"/>
  <c r="F2231" i="1" s="1"/>
  <c r="AW2229" i="1"/>
  <c r="BM2229" i="1" s="1" a="1"/>
  <c r="BM2229" i="1" s="1"/>
  <c r="BJ2229" i="1" s="1" a="1"/>
  <c r="BJ2229" i="1" s="1"/>
  <c r="AT2229" i="1"/>
  <c r="AU2229" i="1" s="1"/>
  <c r="AS2229" i="1" a="1"/>
  <c r="AS2229" i="1" s="1"/>
  <c r="K2229" i="1" a="1"/>
  <c r="K2229" i="1" s="1"/>
  <c r="J2229" i="1" a="1"/>
  <c r="J2229" i="1" s="1"/>
  <c r="F2229" i="1" a="1"/>
  <c r="F2229" i="1" s="1"/>
  <c r="AW2228" i="1"/>
  <c r="BN2228" i="1" s="1" a="1"/>
  <c r="BN2228" i="1" s="1"/>
  <c r="AT2228" i="1"/>
  <c r="AU2228" i="1" s="1"/>
  <c r="AS2228" i="1" a="1"/>
  <c r="AS2228" i="1" s="1"/>
  <c r="K2228" i="1" a="1"/>
  <c r="K2228" i="1" s="1"/>
  <c r="J2228" i="1" a="1"/>
  <c r="J2228" i="1" s="1"/>
  <c r="F2228" i="1" a="1"/>
  <c r="F2228" i="1" s="1"/>
  <c r="AW2227" i="1"/>
  <c r="BN2227" i="1" s="1" a="1"/>
  <c r="BN2227" i="1" s="1"/>
  <c r="AT2227" i="1"/>
  <c r="AU2227" i="1" s="1"/>
  <c r="AS2227" i="1" a="1"/>
  <c r="AS2227" i="1" s="1"/>
  <c r="K2227" i="1" a="1"/>
  <c r="K2227" i="1" s="1"/>
  <c r="J2227" i="1" a="1"/>
  <c r="J2227" i="1" s="1"/>
  <c r="F2227" i="1" a="1"/>
  <c r="F2227" i="1" s="1"/>
  <c r="AW2226" i="1"/>
  <c r="BN2226" i="1" s="1" a="1"/>
  <c r="BN2226" i="1" s="1"/>
  <c r="AT2226" i="1"/>
  <c r="AU2226" i="1" s="1"/>
  <c r="AS2226" i="1" a="1"/>
  <c r="AS2226" i="1" s="1"/>
  <c r="K2226" i="1" a="1"/>
  <c r="K2226" i="1" s="1"/>
  <c r="J2226" i="1" a="1"/>
  <c r="J2226" i="1" s="1"/>
  <c r="F2226" i="1" a="1"/>
  <c r="F2226" i="1" s="1"/>
  <c r="AW2224" i="1"/>
  <c r="BN2224" i="1" s="1" a="1"/>
  <c r="BN2224" i="1" s="1"/>
  <c r="AT2224" i="1"/>
  <c r="AU2224" i="1" s="1"/>
  <c r="AS2224" i="1" a="1"/>
  <c r="AS2224" i="1" s="1"/>
  <c r="K2224" i="1" a="1"/>
  <c r="K2224" i="1" s="1"/>
  <c r="J2224" i="1" a="1"/>
  <c r="J2224" i="1" s="1"/>
  <c r="F2224" i="1" a="1"/>
  <c r="F2224" i="1" s="1"/>
  <c r="AW2223" i="1"/>
  <c r="BM2223" i="1" s="1" a="1"/>
  <c r="BM2223" i="1" s="1"/>
  <c r="BJ2223" i="1" s="1" a="1"/>
  <c r="BJ2223" i="1" s="1"/>
  <c r="AT2223" i="1"/>
  <c r="AU2223" i="1" s="1"/>
  <c r="AS2223" i="1" a="1"/>
  <c r="AS2223" i="1" s="1"/>
  <c r="K2223" i="1" a="1"/>
  <c r="K2223" i="1" s="1"/>
  <c r="J2223" i="1" a="1"/>
  <c r="J2223" i="1" s="1"/>
  <c r="F2223" i="1" a="1"/>
  <c r="F2223" i="1" s="1"/>
  <c r="AW2222" i="1"/>
  <c r="BN2222" i="1" s="1" a="1"/>
  <c r="BN2222" i="1" s="1"/>
  <c r="AT2222" i="1"/>
  <c r="AU2222" i="1" s="1"/>
  <c r="AS2222" i="1" a="1"/>
  <c r="AS2222" i="1" s="1"/>
  <c r="K2222" i="1" a="1"/>
  <c r="K2222" i="1" s="1"/>
  <c r="J2222" i="1" a="1"/>
  <c r="J2222" i="1" s="1"/>
  <c r="F2222" i="1" a="1"/>
  <c r="F2222" i="1" s="1"/>
  <c r="AW2221" i="1"/>
  <c r="BN2221" i="1" s="1" a="1"/>
  <c r="BN2221" i="1" s="1"/>
  <c r="AT2221" i="1"/>
  <c r="AU2221" i="1" s="1"/>
  <c r="AS2221" i="1" a="1"/>
  <c r="AS2221" i="1" s="1"/>
  <c r="K2221" i="1" a="1"/>
  <c r="K2221" i="1" s="1"/>
  <c r="J2221" i="1" a="1"/>
  <c r="J2221" i="1" s="1"/>
  <c r="F2221" i="1" a="1"/>
  <c r="F2221" i="1" s="1"/>
  <c r="BN2219" i="1" a="1"/>
  <c r="BN2219" i="1" s="1"/>
  <c r="BM2219" i="1" a="1"/>
  <c r="BM2219" i="1" s="1"/>
  <c r="BJ2219" i="1" s="1" a="1"/>
  <c r="BJ2219" i="1" s="1"/>
  <c r="BK2219" i="1" a="1"/>
  <c r="BK2219" i="1" s="1"/>
  <c r="BI2219" i="1" a="1"/>
  <c r="BI2219" i="1" s="1"/>
  <c r="AT2219" i="1"/>
  <c r="AU2219" i="1" s="1"/>
  <c r="AS2219" i="1" a="1"/>
  <c r="AS2219" i="1" s="1"/>
  <c r="K2219" i="1" a="1"/>
  <c r="K2219" i="1" s="1"/>
  <c r="J2219" i="1" a="1"/>
  <c r="J2219" i="1" s="1"/>
  <c r="F2219" i="1" a="1"/>
  <c r="F2219" i="1" s="1"/>
  <c r="BN2218" i="1" a="1"/>
  <c r="BN2218" i="1" s="1"/>
  <c r="BM2218" i="1" a="1"/>
  <c r="BM2218" i="1" s="1"/>
  <c r="BJ2218" i="1" s="1" a="1"/>
  <c r="BJ2218" i="1" s="1"/>
  <c r="BK2218" i="1" a="1"/>
  <c r="BK2218" i="1" s="1"/>
  <c r="BI2218" i="1" a="1"/>
  <c r="BI2218" i="1" s="1"/>
  <c r="AT2218" i="1"/>
  <c r="AU2218" i="1" s="1"/>
  <c r="AS2218" i="1" a="1"/>
  <c r="AS2218" i="1" s="1"/>
  <c r="K2218" i="1" a="1"/>
  <c r="K2218" i="1" s="1"/>
  <c r="J2218" i="1" a="1"/>
  <c r="J2218" i="1" s="1"/>
  <c r="F2218" i="1" a="1"/>
  <c r="F2218" i="1" s="1"/>
  <c r="BN2217" i="1" a="1"/>
  <c r="BN2217" i="1" s="1"/>
  <c r="BM2217" i="1" a="1"/>
  <c r="BM2217" i="1" s="1"/>
  <c r="BJ2217" i="1" s="1" a="1"/>
  <c r="BJ2217" i="1" s="1"/>
  <c r="BK2217" i="1" a="1"/>
  <c r="BK2217" i="1" s="1"/>
  <c r="BI2217" i="1" a="1"/>
  <c r="BI2217" i="1" s="1"/>
  <c r="AT2217" i="1"/>
  <c r="AU2217" i="1" s="1"/>
  <c r="AS2217" i="1" a="1"/>
  <c r="AS2217" i="1" s="1"/>
  <c r="K2217" i="1" a="1"/>
  <c r="K2217" i="1" s="1"/>
  <c r="J2217" i="1" a="1"/>
  <c r="J2217" i="1" s="1"/>
  <c r="F2217" i="1" a="1"/>
  <c r="F2217" i="1" s="1"/>
  <c r="BN2216" i="1" a="1"/>
  <c r="BN2216" i="1" s="1"/>
  <c r="BM2216" i="1" a="1"/>
  <c r="BM2216" i="1" s="1"/>
  <c r="BJ2216" i="1" s="1" a="1"/>
  <c r="BJ2216" i="1" s="1"/>
  <c r="BK2216" i="1" a="1"/>
  <c r="BK2216" i="1" s="1"/>
  <c r="BI2216" i="1" a="1"/>
  <c r="BI2216" i="1" s="1"/>
  <c r="AT2216" i="1"/>
  <c r="AU2216" i="1" s="1"/>
  <c r="AS2216" i="1" a="1"/>
  <c r="AS2216" i="1" s="1"/>
  <c r="K2216" i="1" a="1"/>
  <c r="K2216" i="1" s="1"/>
  <c r="J2216" i="1" a="1"/>
  <c r="J2216" i="1" s="1"/>
  <c r="F2216" i="1" a="1"/>
  <c r="F2216" i="1" s="1"/>
  <c r="AZ2214" i="1"/>
  <c r="AY2214" i="1"/>
  <c r="AX2214" i="1"/>
  <c r="AW2214" i="1"/>
  <c r="AT2214" i="1" a="1"/>
  <c r="AT2214" i="1" s="1"/>
  <c r="AU2214" i="1" s="1"/>
  <c r="AS2214" i="1" a="1"/>
  <c r="AS2214" i="1" s="1"/>
  <c r="K2214" i="1" a="1"/>
  <c r="K2214" i="1" s="1"/>
  <c r="J2214" i="1" a="1"/>
  <c r="J2214" i="1" s="1"/>
  <c r="F2214" i="1" a="1"/>
  <c r="F2214" i="1" s="1"/>
  <c r="AZ2213" i="1"/>
  <c r="AY2213" i="1"/>
  <c r="AX2213" i="1"/>
  <c r="AW2213" i="1"/>
  <c r="AT2213" i="1" a="1"/>
  <c r="AT2213" i="1" s="1"/>
  <c r="AU2213" i="1" s="1"/>
  <c r="AS2213" i="1" a="1"/>
  <c r="AS2213" i="1" s="1"/>
  <c r="K2213" i="1" a="1"/>
  <c r="K2213" i="1" s="1"/>
  <c r="J2213" i="1" a="1"/>
  <c r="J2213" i="1" s="1"/>
  <c r="F2213" i="1" a="1"/>
  <c r="F2213" i="1" s="1"/>
  <c r="AZ2212" i="1"/>
  <c r="AY2212" i="1"/>
  <c r="AX2212" i="1"/>
  <c r="AW2212" i="1"/>
  <c r="AT2212" i="1" a="1"/>
  <c r="AT2212" i="1" s="1"/>
  <c r="AU2212" i="1" s="1"/>
  <c r="AS2212" i="1" a="1"/>
  <c r="AS2212" i="1" s="1"/>
  <c r="K2212" i="1" a="1"/>
  <c r="K2212" i="1" s="1"/>
  <c r="J2212" i="1" a="1"/>
  <c r="J2212" i="1" s="1"/>
  <c r="F2212" i="1" a="1"/>
  <c r="F2212" i="1" s="1"/>
  <c r="AZ2211" i="1"/>
  <c r="AY2211" i="1"/>
  <c r="AX2211" i="1"/>
  <c r="AW2211" i="1"/>
  <c r="AT2211" i="1" a="1"/>
  <c r="AT2211" i="1" s="1"/>
  <c r="AU2211" i="1" s="1"/>
  <c r="AS2211" i="1" a="1"/>
  <c r="AS2211" i="1" s="1"/>
  <c r="K2211" i="1" a="1"/>
  <c r="K2211" i="1" s="1"/>
  <c r="J2211" i="1" a="1"/>
  <c r="J2211" i="1" s="1"/>
  <c r="F2211" i="1" a="1"/>
  <c r="F2211" i="1" s="1"/>
  <c r="AZ2209" i="1"/>
  <c r="AY2209" i="1"/>
  <c r="AX2209" i="1"/>
  <c r="AW2209" i="1"/>
  <c r="AT2209" i="1" a="1"/>
  <c r="AT2209" i="1" s="1"/>
  <c r="AU2209" i="1" s="1"/>
  <c r="AS2209" i="1" a="1"/>
  <c r="AS2209" i="1" s="1"/>
  <c r="K2209" i="1" a="1"/>
  <c r="K2209" i="1" s="1"/>
  <c r="J2209" i="1" a="1"/>
  <c r="J2209" i="1" s="1"/>
  <c r="F2209" i="1" a="1"/>
  <c r="F2209" i="1" s="1"/>
  <c r="AZ2208" i="1"/>
  <c r="AY2208" i="1"/>
  <c r="AX2208" i="1"/>
  <c r="AW2208" i="1"/>
  <c r="AT2208" i="1" a="1"/>
  <c r="AT2208" i="1" s="1"/>
  <c r="AU2208" i="1" s="1"/>
  <c r="AS2208" i="1" a="1"/>
  <c r="AS2208" i="1" s="1"/>
  <c r="K2208" i="1" a="1"/>
  <c r="K2208" i="1" s="1"/>
  <c r="J2208" i="1" a="1"/>
  <c r="J2208" i="1" s="1"/>
  <c r="F2208" i="1" a="1"/>
  <c r="F2208" i="1" s="1"/>
  <c r="AZ2207" i="1"/>
  <c r="AY2207" i="1"/>
  <c r="AX2207" i="1"/>
  <c r="AW2207" i="1"/>
  <c r="AT2207" i="1" a="1"/>
  <c r="AT2207" i="1" s="1"/>
  <c r="AU2207" i="1" s="1"/>
  <c r="AS2207" i="1" a="1"/>
  <c r="AS2207" i="1" s="1"/>
  <c r="K2207" i="1" a="1"/>
  <c r="K2207" i="1" s="1"/>
  <c r="J2207" i="1" a="1"/>
  <c r="J2207" i="1" s="1"/>
  <c r="F2207" i="1" a="1"/>
  <c r="F2207" i="1" s="1"/>
  <c r="AZ2206" i="1"/>
  <c r="AY2206" i="1"/>
  <c r="AX2206" i="1"/>
  <c r="AW2206" i="1"/>
  <c r="AT2206" i="1" a="1"/>
  <c r="AT2206" i="1" s="1"/>
  <c r="AU2206" i="1" s="1"/>
  <c r="AS2206" i="1" a="1"/>
  <c r="AS2206" i="1" s="1"/>
  <c r="K2206" i="1" a="1"/>
  <c r="K2206" i="1" s="1"/>
  <c r="J2206" i="1" a="1"/>
  <c r="J2206" i="1" s="1"/>
  <c r="F2206" i="1" a="1"/>
  <c r="F2206" i="1" s="1"/>
  <c r="AZ2204" i="1"/>
  <c r="AY2204" i="1"/>
  <c r="AX2204" i="1"/>
  <c r="AW2204" i="1"/>
  <c r="AT2204" i="1" a="1"/>
  <c r="AT2204" i="1" s="1"/>
  <c r="AU2204" i="1" s="1"/>
  <c r="AS2204" i="1" a="1"/>
  <c r="AS2204" i="1" s="1"/>
  <c r="BO2204" i="1" a="1"/>
  <c r="BO2204" i="1" s="1"/>
  <c r="K2204" i="1"/>
  <c r="J2204" i="1" a="1"/>
  <c r="J2204" i="1" s="1"/>
  <c r="F2204" i="1" a="1"/>
  <c r="F2204" i="1" s="1"/>
  <c r="AZ2203" i="1"/>
  <c r="AY2203" i="1"/>
  <c r="AX2203" i="1"/>
  <c r="AW2203" i="1"/>
  <c r="AT2203" i="1" a="1"/>
  <c r="AT2203" i="1" s="1"/>
  <c r="AU2203" i="1" s="1"/>
  <c r="AS2203" i="1" a="1"/>
  <c r="AS2203" i="1" s="1"/>
  <c r="BO2203" i="1" a="1"/>
  <c r="BO2203" i="1" s="1"/>
  <c r="K2203" i="1"/>
  <c r="J2203" i="1" a="1"/>
  <c r="J2203" i="1" s="1"/>
  <c r="F2203" i="1" a="1"/>
  <c r="F2203" i="1" s="1"/>
  <c r="AZ2202" i="1"/>
  <c r="AY2202" i="1"/>
  <c r="AX2202" i="1"/>
  <c r="AW2202" i="1"/>
  <c r="AT2202" i="1" a="1"/>
  <c r="AT2202" i="1" s="1"/>
  <c r="AU2202" i="1" s="1"/>
  <c r="AS2202" i="1" a="1"/>
  <c r="AS2202" i="1" s="1"/>
  <c r="BO2202" i="1" a="1"/>
  <c r="BO2202" i="1" s="1"/>
  <c r="K2202" i="1"/>
  <c r="J2202" i="1" a="1"/>
  <c r="J2202" i="1" s="1"/>
  <c r="F2202" i="1" a="1"/>
  <c r="F2202" i="1" s="1"/>
  <c r="AZ2201" i="1"/>
  <c r="AY2201" i="1"/>
  <c r="AX2201" i="1"/>
  <c r="AW2201" i="1"/>
  <c r="AT2201" i="1" a="1"/>
  <c r="AT2201" i="1" s="1"/>
  <c r="AU2201" i="1" s="1"/>
  <c r="AS2201" i="1" a="1"/>
  <c r="AS2201" i="1" s="1"/>
  <c r="BO2201" i="1" a="1"/>
  <c r="BO2201" i="1" s="1"/>
  <c r="K2201" i="1"/>
  <c r="J2201" i="1" a="1"/>
  <c r="J2201" i="1" s="1"/>
  <c r="F2201" i="1" a="1"/>
  <c r="F2201" i="1" s="1"/>
  <c r="AZ2199" i="1"/>
  <c r="AY2199" i="1"/>
  <c r="AX2199" i="1"/>
  <c r="AW2199" i="1"/>
  <c r="AT2199" i="1" a="1"/>
  <c r="AT2199" i="1" s="1"/>
  <c r="AU2199" i="1" s="1"/>
  <c r="AS2199" i="1" a="1"/>
  <c r="AS2199" i="1" s="1"/>
  <c r="K2199" i="1" a="1"/>
  <c r="K2199" i="1" s="1"/>
  <c r="J2199" i="1" a="1"/>
  <c r="J2199" i="1" s="1"/>
  <c r="F2199" i="1" a="1"/>
  <c r="F2199" i="1" s="1"/>
  <c r="AZ2198" i="1"/>
  <c r="AY2198" i="1"/>
  <c r="AX2198" i="1"/>
  <c r="AW2198" i="1"/>
  <c r="AT2198" i="1" a="1"/>
  <c r="AT2198" i="1" s="1"/>
  <c r="AU2198" i="1" s="1"/>
  <c r="AS2198" i="1" a="1"/>
  <c r="AS2198" i="1" s="1"/>
  <c r="K2198" i="1" a="1"/>
  <c r="K2198" i="1" s="1"/>
  <c r="J2198" i="1" a="1"/>
  <c r="J2198" i="1" s="1"/>
  <c r="F2198" i="1" a="1"/>
  <c r="F2198" i="1" s="1"/>
  <c r="AZ2197" i="1"/>
  <c r="AY2197" i="1"/>
  <c r="AX2197" i="1"/>
  <c r="AW2197" i="1"/>
  <c r="AT2197" i="1" a="1"/>
  <c r="AT2197" i="1" s="1"/>
  <c r="AU2197" i="1" s="1"/>
  <c r="AS2197" i="1" a="1"/>
  <c r="AS2197" i="1" s="1"/>
  <c r="K2197" i="1" a="1"/>
  <c r="K2197" i="1" s="1"/>
  <c r="J2197" i="1" a="1"/>
  <c r="J2197" i="1" s="1"/>
  <c r="F2197" i="1" a="1"/>
  <c r="F2197" i="1" s="1"/>
  <c r="AZ2196" i="1"/>
  <c r="AY2196" i="1"/>
  <c r="AX2196" i="1"/>
  <c r="AW2196" i="1"/>
  <c r="AT2196" i="1" a="1"/>
  <c r="AT2196" i="1" s="1"/>
  <c r="AU2196" i="1" s="1"/>
  <c r="AS2196" i="1" a="1"/>
  <c r="AS2196" i="1" s="1"/>
  <c r="K2196" i="1" a="1"/>
  <c r="K2196" i="1" s="1"/>
  <c r="J2196" i="1" a="1"/>
  <c r="J2196" i="1" s="1"/>
  <c r="F2196" i="1" a="1"/>
  <c r="F2196" i="1" s="1"/>
  <c r="AZ2194" i="1"/>
  <c r="AY2194" i="1"/>
  <c r="AX2194" i="1"/>
  <c r="AW2194" i="1"/>
  <c r="AT2194" i="1" a="1"/>
  <c r="AT2194" i="1" s="1"/>
  <c r="AU2194" i="1" s="1"/>
  <c r="AS2194" i="1" a="1"/>
  <c r="AS2194" i="1" s="1"/>
  <c r="K2194" i="1" a="1"/>
  <c r="K2194" i="1" s="1"/>
  <c r="J2194" i="1" a="1"/>
  <c r="J2194" i="1" s="1"/>
  <c r="F2194" i="1" a="1"/>
  <c r="F2194" i="1" s="1"/>
  <c r="AZ2193" i="1"/>
  <c r="AY2193" i="1"/>
  <c r="AX2193" i="1"/>
  <c r="AW2193" i="1"/>
  <c r="AT2193" i="1" a="1"/>
  <c r="AT2193" i="1" s="1"/>
  <c r="AU2193" i="1" s="1"/>
  <c r="AS2193" i="1" a="1"/>
  <c r="AS2193" i="1" s="1"/>
  <c r="K2193" i="1" a="1"/>
  <c r="K2193" i="1" s="1"/>
  <c r="J2193" i="1" a="1"/>
  <c r="J2193" i="1" s="1"/>
  <c r="F2193" i="1" a="1"/>
  <c r="F2193" i="1" s="1"/>
  <c r="AZ2192" i="1"/>
  <c r="AY2192" i="1"/>
  <c r="AX2192" i="1"/>
  <c r="AW2192" i="1"/>
  <c r="AT2192" i="1" a="1"/>
  <c r="AT2192" i="1" s="1"/>
  <c r="AU2192" i="1" s="1"/>
  <c r="AS2192" i="1" a="1"/>
  <c r="AS2192" i="1" s="1"/>
  <c r="K2192" i="1" a="1"/>
  <c r="K2192" i="1" s="1"/>
  <c r="J2192" i="1" a="1"/>
  <c r="J2192" i="1" s="1"/>
  <c r="F2192" i="1" a="1"/>
  <c r="F2192" i="1" s="1"/>
  <c r="AZ2191" i="1"/>
  <c r="AY2191" i="1"/>
  <c r="AX2191" i="1"/>
  <c r="AW2191" i="1"/>
  <c r="AT2191" i="1" a="1"/>
  <c r="AT2191" i="1" s="1"/>
  <c r="AU2191" i="1" s="1"/>
  <c r="AS2191" i="1" a="1"/>
  <c r="AS2191" i="1" s="1"/>
  <c r="K2191" i="1" a="1"/>
  <c r="K2191" i="1" s="1"/>
  <c r="J2191" i="1" a="1"/>
  <c r="J2191" i="1" s="1"/>
  <c r="F2191" i="1" a="1"/>
  <c r="F2191" i="1" s="1"/>
  <c r="BO2189" i="1" a="1"/>
  <c r="BO2189" i="1" s="1"/>
  <c r="AZ2189" i="1"/>
  <c r="AY2189" i="1"/>
  <c r="AX2189" i="1"/>
  <c r="AW2189" i="1"/>
  <c r="AT2189" i="1" a="1"/>
  <c r="AT2189" i="1" s="1"/>
  <c r="AU2189" i="1" s="1"/>
  <c r="AS2189" i="1" a="1"/>
  <c r="AS2189" i="1" s="1"/>
  <c r="K2189" i="1"/>
  <c r="J2189" i="1" a="1"/>
  <c r="J2189" i="1" s="1"/>
  <c r="F2189" i="1" a="1"/>
  <c r="F2189" i="1" s="1"/>
  <c r="BO2188" i="1" a="1"/>
  <c r="BO2188" i="1" s="1"/>
  <c r="AZ2188" i="1"/>
  <c r="AY2188" i="1"/>
  <c r="AX2188" i="1"/>
  <c r="AW2188" i="1"/>
  <c r="AT2188" i="1" a="1"/>
  <c r="AT2188" i="1" s="1"/>
  <c r="AU2188" i="1" s="1"/>
  <c r="AS2188" i="1" a="1"/>
  <c r="AS2188" i="1" s="1"/>
  <c r="K2188" i="1"/>
  <c r="J2188" i="1" a="1"/>
  <c r="J2188" i="1" s="1"/>
  <c r="F2188" i="1" a="1"/>
  <c r="F2188" i="1" s="1"/>
  <c r="BO2187" i="1" a="1"/>
  <c r="BO2187" i="1" s="1"/>
  <c r="AZ2187" i="1"/>
  <c r="AY2187" i="1"/>
  <c r="AX2187" i="1"/>
  <c r="AW2187" i="1"/>
  <c r="AT2187" i="1" a="1"/>
  <c r="AT2187" i="1" s="1"/>
  <c r="AU2187" i="1" s="1"/>
  <c r="AS2187" i="1" a="1"/>
  <c r="AS2187" i="1" s="1"/>
  <c r="K2187" i="1"/>
  <c r="J2187" i="1" a="1"/>
  <c r="J2187" i="1" s="1"/>
  <c r="F2187" i="1" a="1"/>
  <c r="F2187" i="1" s="1"/>
  <c r="BO2186" i="1" a="1"/>
  <c r="BO2186" i="1" s="1"/>
  <c r="AZ2186" i="1"/>
  <c r="AY2186" i="1"/>
  <c r="AX2186" i="1"/>
  <c r="AW2186" i="1"/>
  <c r="AT2186" i="1" a="1"/>
  <c r="AT2186" i="1" s="1"/>
  <c r="AU2186" i="1" s="1"/>
  <c r="AS2186" i="1" a="1"/>
  <c r="AS2186" i="1" s="1"/>
  <c r="K2186" i="1"/>
  <c r="J2186" i="1" a="1"/>
  <c r="J2186" i="1" s="1"/>
  <c r="F2186" i="1" a="1"/>
  <c r="F2186" i="1" s="1"/>
  <c r="E2186" i="1" s="1" a="1"/>
  <c r="E2186" i="1" s="1"/>
  <c r="AW2255" i="1"/>
  <c r="BL2255" i="1" s="1" a="1"/>
  <c r="BL2255" i="1" s="1"/>
  <c r="AT2255" i="1" a="1"/>
  <c r="AT2255" i="1" s="1"/>
  <c r="AU2255" i="1" s="1"/>
  <c r="AS2255" i="1" a="1"/>
  <c r="AS2255" i="1" s="1"/>
  <c r="K2255" i="1" a="1"/>
  <c r="K2255" i="1" s="1"/>
  <c r="J2255" i="1" a="1"/>
  <c r="J2255" i="1" s="1"/>
  <c r="F2255" i="1" a="1"/>
  <c r="F2255" i="1" s="1"/>
  <c r="AW2723" i="1"/>
  <c r="BM2723" i="1" s="1" a="1"/>
  <c r="BM2723" i="1" s="1"/>
  <c r="F2723" i="1" a="1"/>
  <c r="F2723" i="1" s="1"/>
  <c r="AW2722" i="1"/>
  <c r="BI2722" i="1" s="1" a="1"/>
  <c r="BI2722" i="1" s="1"/>
  <c r="F2722" i="1" a="1"/>
  <c r="F2722" i="1" s="1"/>
  <c r="AW2721" i="1"/>
  <c r="BK2721" i="1" s="1" a="1"/>
  <c r="BK2721" i="1" s="1"/>
  <c r="F2721" i="1" a="1"/>
  <c r="F2721" i="1" s="1"/>
  <c r="AW2720" i="1"/>
  <c r="BN2720" i="1" s="1" a="1"/>
  <c r="BN2720" i="1" s="1"/>
  <c r="F2720" i="1" a="1"/>
  <c r="F2720" i="1" s="1"/>
  <c r="AY2665" i="1"/>
  <c r="BI2665" i="1" s="1" a="1"/>
  <c r="BI2665" i="1" s="1"/>
  <c r="AX2665" i="1"/>
  <c r="AW2665" i="1"/>
  <c r="F2665" i="1" a="1"/>
  <c r="F2665" i="1" s="1"/>
  <c r="AY2664" i="1"/>
  <c r="BK2664" i="1" s="1" a="1"/>
  <c r="BK2664" i="1" s="1"/>
  <c r="AX2664" i="1"/>
  <c r="AW2664" i="1"/>
  <c r="F2664" i="1" a="1"/>
  <c r="F2664" i="1" s="1"/>
  <c r="AY2663" i="1"/>
  <c r="BK2663" i="1" s="1" a="1"/>
  <c r="BK2663" i="1" s="1"/>
  <c r="AX2663" i="1"/>
  <c r="AW2663" i="1"/>
  <c r="F2663" i="1" a="1"/>
  <c r="F2663" i="1" s="1"/>
  <c r="AY2662" i="1"/>
  <c r="BK2662" i="1" s="1" a="1"/>
  <c r="BK2662" i="1" s="1"/>
  <c r="AX2662" i="1"/>
  <c r="AW2662" i="1"/>
  <c r="F2662" i="1" a="1"/>
  <c r="F2662" i="1" s="1"/>
  <c r="AY2629" i="1"/>
  <c r="BI2629" i="1" s="1" a="1"/>
  <c r="BI2629" i="1" s="1"/>
  <c r="AX2629" i="1"/>
  <c r="AW2629" i="1"/>
  <c r="F2629" i="1" a="1"/>
  <c r="F2629" i="1" s="1"/>
  <c r="E2629" i="1" s="1" a="1"/>
  <c r="E2629" i="1" s="1"/>
  <c r="AY2628" i="1"/>
  <c r="BK2628" i="1" s="1" a="1"/>
  <c r="BK2628" i="1" s="1"/>
  <c r="AX2628" i="1"/>
  <c r="AW2628" i="1"/>
  <c r="F2628" i="1" a="1"/>
  <c r="F2628" i="1" s="1"/>
  <c r="E2628" i="1" s="1" a="1"/>
  <c r="E2628" i="1" s="1"/>
  <c r="AY2627" i="1"/>
  <c r="BI2627" i="1" s="1" a="1"/>
  <c r="BI2627" i="1" s="1"/>
  <c r="AX2627" i="1"/>
  <c r="AW2627" i="1"/>
  <c r="F2627" i="1" a="1"/>
  <c r="F2627" i="1" s="1"/>
  <c r="E2627" i="1" s="1" a="1"/>
  <c r="E2627" i="1" s="1"/>
  <c r="AY2626" i="1"/>
  <c r="BK2626" i="1" s="1" a="1"/>
  <c r="BK2626" i="1" s="1"/>
  <c r="AX2626" i="1"/>
  <c r="AW2626" i="1"/>
  <c r="F2626" i="1" a="1"/>
  <c r="F2626" i="1" s="1"/>
  <c r="E2626" i="1" s="1" a="1"/>
  <c r="E2626" i="1" s="1"/>
  <c r="AY2588" i="1"/>
  <c r="BN2588" i="1" s="1" a="1"/>
  <c r="BN2588" i="1" s="1"/>
  <c r="AX2588" i="1"/>
  <c r="AW2588" i="1"/>
  <c r="F2588" i="1" a="1"/>
  <c r="F2588" i="1" s="1"/>
  <c r="E2588" i="1" s="1" a="1"/>
  <c r="E2588" i="1" s="1"/>
  <c r="AY2587" i="1"/>
  <c r="BN2587" i="1" s="1" a="1"/>
  <c r="BN2587" i="1" s="1"/>
  <c r="AX2587" i="1"/>
  <c r="AW2587" i="1"/>
  <c r="F2587" i="1" a="1"/>
  <c r="F2587" i="1" s="1"/>
  <c r="E2587" i="1" s="1" a="1"/>
  <c r="E2587" i="1" s="1"/>
  <c r="AY2586" i="1"/>
  <c r="BN2586" i="1" s="1" a="1"/>
  <c r="BN2586" i="1" s="1"/>
  <c r="AX2586" i="1"/>
  <c r="AW2586" i="1"/>
  <c r="F2586" i="1" a="1"/>
  <c r="F2586" i="1" s="1"/>
  <c r="E2586" i="1" s="1" a="1"/>
  <c r="E2586" i="1" s="1"/>
  <c r="AY2585" i="1"/>
  <c r="BN2585" i="1" s="1" a="1"/>
  <c r="BN2585" i="1" s="1"/>
  <c r="AX2585" i="1"/>
  <c r="AW2585" i="1"/>
  <c r="F2585" i="1" a="1"/>
  <c r="F2585" i="1" s="1"/>
  <c r="E2585" i="1" s="1" a="1"/>
  <c r="E2585" i="1" s="1"/>
  <c r="AW2289" i="1"/>
  <c r="BI2289" i="1" s="1" a="1"/>
  <c r="BI2289" i="1" s="1"/>
  <c r="F2289" i="1" a="1"/>
  <c r="F2289" i="1" s="1"/>
  <c r="AW2288" i="1"/>
  <c r="BK2288" i="1" s="1" a="1"/>
  <c r="BK2288" i="1" s="1"/>
  <c r="F2288" i="1" a="1"/>
  <c r="F2288" i="1" s="1"/>
  <c r="AW2287" i="1"/>
  <c r="BK2287" i="1" s="1" a="1"/>
  <c r="BK2287" i="1" s="1"/>
  <c r="F2287" i="1" a="1"/>
  <c r="F2287" i="1" s="1"/>
  <c r="AW2286" i="1"/>
  <c r="BN2286" i="1" s="1" a="1"/>
  <c r="BN2286" i="1" s="1"/>
  <c r="F2286" i="1" a="1"/>
  <c r="F2286" i="1" s="1"/>
  <c r="AY2284" i="1"/>
  <c r="BN2284" i="1" s="1" a="1"/>
  <c r="BN2284" i="1" s="1"/>
  <c r="AX2284" i="1"/>
  <c r="AW2284" i="1"/>
  <c r="F2284" i="1" a="1"/>
  <c r="F2284" i="1" s="1"/>
  <c r="AY2283" i="1"/>
  <c r="BI2283" i="1" s="1" a="1"/>
  <c r="BI2283" i="1" s="1"/>
  <c r="AX2283" i="1"/>
  <c r="AW2283" i="1"/>
  <c r="F2283" i="1" a="1"/>
  <c r="F2283" i="1" s="1"/>
  <c r="AY2282" i="1"/>
  <c r="BN2282" i="1" s="1" a="1"/>
  <c r="BN2282" i="1" s="1"/>
  <c r="AX2282" i="1"/>
  <c r="AW2282" i="1"/>
  <c r="F2282" i="1" a="1"/>
  <c r="F2282" i="1" s="1"/>
  <c r="AY2281" i="1"/>
  <c r="AX2281" i="1"/>
  <c r="AW2281" i="1"/>
  <c r="F2281" i="1" a="1"/>
  <c r="F2281" i="1" s="1"/>
  <c r="AY2279" i="1"/>
  <c r="BN2279" i="1" s="1" a="1"/>
  <c r="BN2279" i="1" s="1"/>
  <c r="AX2279" i="1"/>
  <c r="AW2279" i="1"/>
  <c r="F2279" i="1" a="1"/>
  <c r="F2279" i="1" s="1"/>
  <c r="E2279" i="1" s="1" a="1"/>
  <c r="E2279" i="1" s="1"/>
  <c r="AY2278" i="1"/>
  <c r="BI2278" i="1" s="1" a="1"/>
  <c r="BI2278" i="1" s="1"/>
  <c r="AX2278" i="1"/>
  <c r="AW2278" i="1"/>
  <c r="F2278" i="1" a="1"/>
  <c r="F2278" i="1" s="1"/>
  <c r="E2278" i="1" s="1" a="1"/>
  <c r="E2278" i="1" s="1"/>
  <c r="AY2277" i="1"/>
  <c r="BN2277" i="1" s="1" a="1"/>
  <c r="BN2277" i="1" s="1"/>
  <c r="AX2277" i="1"/>
  <c r="AW2277" i="1"/>
  <c r="F2277" i="1" a="1"/>
  <c r="F2277" i="1" s="1"/>
  <c r="E2277" i="1" s="1" a="1"/>
  <c r="E2277" i="1" s="1"/>
  <c r="AY2276" i="1"/>
  <c r="BI2276" i="1" s="1" a="1"/>
  <c r="BI2276" i="1" s="1"/>
  <c r="AX2276" i="1"/>
  <c r="AW2276" i="1"/>
  <c r="F2276" i="1" a="1"/>
  <c r="F2276" i="1" s="1"/>
  <c r="E2276" i="1" s="1" a="1"/>
  <c r="E2276" i="1" s="1"/>
  <c r="F2275" i="1" a="1"/>
  <c r="F2275" i="1" s="1"/>
  <c r="AW2275" i="1"/>
  <c r="AX2275" i="1"/>
  <c r="AY2275" i="1"/>
  <c r="BN2275" i="1" s="1" a="1"/>
  <c r="BN2275" i="1" s="1"/>
  <c r="AY2274" i="1"/>
  <c r="BK2274" i="1" s="1" a="1"/>
  <c r="BK2274" i="1" s="1"/>
  <c r="AX2274" i="1"/>
  <c r="AW2274" i="1"/>
  <c r="F2274" i="1" a="1"/>
  <c r="F2274" i="1" s="1"/>
  <c r="AY2273" i="1"/>
  <c r="BK2273" i="1" s="1" a="1"/>
  <c r="BK2273" i="1" s="1"/>
  <c r="AX2273" i="1"/>
  <c r="AW2273" i="1"/>
  <c r="F2273" i="1" a="1"/>
  <c r="F2273" i="1" s="1"/>
  <c r="AY2272" i="1"/>
  <c r="BK2272" i="1" s="1" a="1"/>
  <c r="BK2272" i="1" s="1"/>
  <c r="AX2272" i="1"/>
  <c r="AW2272" i="1"/>
  <c r="F2272" i="1" a="1"/>
  <c r="F2272" i="1" s="1"/>
  <c r="AY2271" i="1"/>
  <c r="BK2271" i="1" s="1" a="1"/>
  <c r="BK2271" i="1" s="1"/>
  <c r="AX2271" i="1"/>
  <c r="AW2271" i="1"/>
  <c r="F2271" i="1" a="1"/>
  <c r="F2271" i="1" s="1"/>
  <c r="E2271" i="1" s="1" a="1"/>
  <c r="E2271" i="1" s="1"/>
  <c r="AY2269" i="1"/>
  <c r="BI2269" i="1" s="1" a="1"/>
  <c r="BI2269" i="1" s="1"/>
  <c r="AX2269" i="1"/>
  <c r="AW2269" i="1"/>
  <c r="F2269" i="1" a="1"/>
  <c r="F2269" i="1" s="1"/>
  <c r="AY2268" i="1"/>
  <c r="BK2268" i="1" s="1" a="1"/>
  <c r="BK2268" i="1" s="1"/>
  <c r="AX2268" i="1"/>
  <c r="AW2268" i="1"/>
  <c r="F2268" i="1" a="1"/>
  <c r="F2268" i="1" s="1"/>
  <c r="AY2267" i="1"/>
  <c r="BK2267" i="1" s="1" a="1"/>
  <c r="BK2267" i="1" s="1"/>
  <c r="AX2267" i="1"/>
  <c r="AW2267" i="1"/>
  <c r="F2267" i="1" a="1"/>
  <c r="F2267" i="1" s="1"/>
  <c r="AY2266" i="1"/>
  <c r="BK2266" i="1" s="1" a="1"/>
  <c r="BK2266" i="1" s="1"/>
  <c r="AX2266" i="1"/>
  <c r="AW2266" i="1"/>
  <c r="F2266" i="1" a="1"/>
  <c r="F2266" i="1" s="1"/>
  <c r="AY2264" i="1"/>
  <c r="BI2264" i="1" s="1" a="1"/>
  <c r="BI2264" i="1" s="1"/>
  <c r="AX2264" i="1"/>
  <c r="AW2264" i="1"/>
  <c r="F2264" i="1" a="1"/>
  <c r="F2264" i="1" s="1"/>
  <c r="AY2263" i="1"/>
  <c r="BK2263" i="1" s="1" a="1"/>
  <c r="BK2263" i="1" s="1"/>
  <c r="AX2263" i="1"/>
  <c r="AW2263" i="1"/>
  <c r="F2263" i="1" a="1"/>
  <c r="F2263" i="1" s="1"/>
  <c r="AY2262" i="1"/>
  <c r="BK2262" i="1" s="1" a="1"/>
  <c r="BK2262" i="1" s="1"/>
  <c r="AX2262" i="1"/>
  <c r="AW2262" i="1"/>
  <c r="F2262" i="1" a="1"/>
  <c r="F2262" i="1" s="1"/>
  <c r="AY2261" i="1"/>
  <c r="BK2261" i="1" s="1" a="1"/>
  <c r="BK2261" i="1" s="1"/>
  <c r="AX2261" i="1"/>
  <c r="AW2261" i="1"/>
  <c r="F2261" i="1" a="1"/>
  <c r="F2261" i="1" s="1"/>
  <c r="AW2728" i="1"/>
  <c r="BK2728" i="1" s="1" a="1"/>
  <c r="BK2728" i="1" s="1"/>
  <c r="F2728" i="1" a="1"/>
  <c r="F2728" i="1" s="1"/>
  <c r="E2728" i="1" s="1" a="1"/>
  <c r="E2728" i="1" s="1"/>
  <c r="AW2727" i="1"/>
  <c r="BM2727" i="1" s="1" a="1"/>
  <c r="BM2727" i="1" s="1"/>
  <c r="F2727" i="1" a="1"/>
  <c r="F2727" i="1" s="1"/>
  <c r="AW2726" i="1"/>
  <c r="BN2726" i="1" s="1" a="1"/>
  <c r="BN2726" i="1" s="1"/>
  <c r="F2726" i="1" a="1"/>
  <c r="F2726" i="1" s="1"/>
  <c r="AW2725" i="1"/>
  <c r="BM2725" i="1" s="1" a="1"/>
  <c r="BM2725" i="1" s="1"/>
  <c r="F2725" i="1" a="1"/>
  <c r="F2725" i="1" s="1"/>
  <c r="AW2724" i="1"/>
  <c r="BM2724" i="1" s="1" a="1"/>
  <c r="BM2724" i="1" s="1"/>
  <c r="F2724" i="1" a="1"/>
  <c r="F2724" i="1" s="1"/>
  <c r="BN2761" i="1" a="1"/>
  <c r="BN2761" i="1" s="1"/>
  <c r="BM2761" i="1" a="1"/>
  <c r="BM2761" i="1" s="1"/>
  <c r="BJ2761" i="1" s="1" a="1"/>
  <c r="BJ2761" i="1" s="1"/>
  <c r="BI2761" i="1" a="1"/>
  <c r="BI2761" i="1" s="1"/>
  <c r="F2761" i="1" a="1"/>
  <c r="F2761" i="1" s="1"/>
  <c r="E2761" i="1" s="1" a="1"/>
  <c r="E2761" i="1" s="1"/>
  <c r="BN2760" i="1" a="1"/>
  <c r="BN2760" i="1" s="1"/>
  <c r="BM2760" i="1" a="1"/>
  <c r="BM2760" i="1" s="1"/>
  <c r="BJ2760" i="1" s="1" a="1"/>
  <c r="BJ2760" i="1" s="1"/>
  <c r="BI2760" i="1" a="1"/>
  <c r="BI2760" i="1" s="1"/>
  <c r="F2760" i="1" a="1"/>
  <c r="F2760" i="1" s="1"/>
  <c r="E2760" i="1" s="1" a="1"/>
  <c r="E2760" i="1" s="1"/>
  <c r="BN2759" i="1" a="1"/>
  <c r="BN2759" i="1" s="1"/>
  <c r="BM2759" i="1" a="1"/>
  <c r="BM2759" i="1" s="1"/>
  <c r="BJ2759" i="1" s="1" a="1"/>
  <c r="BJ2759" i="1" s="1"/>
  <c r="BI2759" i="1" a="1"/>
  <c r="BI2759" i="1" s="1"/>
  <c r="F2759" i="1" a="1"/>
  <c r="F2759" i="1" s="1"/>
  <c r="E2759" i="1" s="1" a="1"/>
  <c r="E2759" i="1" s="1"/>
  <c r="BN2758" i="1" a="1"/>
  <c r="BN2758" i="1" s="1"/>
  <c r="BM2758" i="1" a="1"/>
  <c r="BM2758" i="1" s="1"/>
  <c r="BJ2758" i="1" s="1" a="1"/>
  <c r="BJ2758" i="1" s="1"/>
  <c r="BI2758" i="1" a="1"/>
  <c r="BI2758" i="1" s="1"/>
  <c r="F2758" i="1" a="1"/>
  <c r="F2758" i="1" s="1"/>
  <c r="E2758" i="1" s="1" a="1"/>
  <c r="E2758" i="1" s="1"/>
  <c r="BN2757" i="1" a="1"/>
  <c r="BN2757" i="1" s="1"/>
  <c r="BM2757" i="1" a="1"/>
  <c r="BM2757" i="1" s="1"/>
  <c r="BJ2757" i="1" s="1" a="1"/>
  <c r="BJ2757" i="1" s="1"/>
  <c r="BI2757" i="1" a="1"/>
  <c r="BI2757" i="1" s="1"/>
  <c r="F2757" i="1" a="1"/>
  <c r="F2757" i="1" s="1"/>
  <c r="BN2756" i="1" a="1"/>
  <c r="BN2756" i="1" s="1"/>
  <c r="BM2756" i="1" a="1"/>
  <c r="BM2756" i="1" s="1"/>
  <c r="BJ2756" i="1" s="1" a="1"/>
  <c r="BJ2756" i="1" s="1"/>
  <c r="BI2756" i="1" a="1"/>
  <c r="BI2756" i="1" s="1"/>
  <c r="F2756" i="1" a="1"/>
  <c r="F2756" i="1" s="1"/>
  <c r="AZ1586" i="1"/>
  <c r="AY1586" i="1"/>
  <c r="AX1586" i="1"/>
  <c r="AW1586" i="1"/>
  <c r="AU1586" i="1"/>
  <c r="AS1586" i="1"/>
  <c r="K1586" i="1" a="1"/>
  <c r="K1586" i="1" s="1"/>
  <c r="J1586" i="1" a="1"/>
  <c r="J1586" i="1" s="1"/>
  <c r="F1586" i="1" a="1"/>
  <c r="F1586" i="1" s="1"/>
  <c r="AZ1585" i="1"/>
  <c r="AY1585" i="1"/>
  <c r="AX1585" i="1"/>
  <c r="AW1585" i="1"/>
  <c r="AU1585" i="1"/>
  <c r="AS1585" i="1"/>
  <c r="K1585" i="1" a="1"/>
  <c r="K1585" i="1" s="1"/>
  <c r="J1585" i="1" a="1"/>
  <c r="J1585" i="1" s="1"/>
  <c r="F1585" i="1" a="1"/>
  <c r="F1585" i="1" s="1"/>
  <c r="AZ1584" i="1"/>
  <c r="AY1584" i="1"/>
  <c r="AX1584" i="1"/>
  <c r="AW1584" i="1"/>
  <c r="AU1584" i="1"/>
  <c r="AS1584" i="1"/>
  <c r="K1584" i="1" a="1"/>
  <c r="K1584" i="1" s="1"/>
  <c r="J1584" i="1" a="1"/>
  <c r="J1584" i="1" s="1"/>
  <c r="F1584" i="1" a="1"/>
  <c r="F1584" i="1" s="1"/>
  <c r="AZ1583" i="1"/>
  <c r="AY1583" i="1"/>
  <c r="AX1583" i="1"/>
  <c r="AW1583" i="1"/>
  <c r="AU1583" i="1"/>
  <c r="AS1583" i="1"/>
  <c r="K1583" i="1" a="1"/>
  <c r="K1583" i="1" s="1"/>
  <c r="J1583" i="1" a="1"/>
  <c r="J1583" i="1" s="1"/>
  <c r="F1583" i="1" a="1"/>
  <c r="F1583" i="1" s="1"/>
  <c r="AZ1582" i="1"/>
  <c r="AY1582" i="1"/>
  <c r="AX1582" i="1"/>
  <c r="AW1582" i="1"/>
  <c r="AU1582" i="1"/>
  <c r="AS1582" i="1"/>
  <c r="K1582" i="1" a="1"/>
  <c r="K1582" i="1" s="1"/>
  <c r="J1582" i="1" a="1"/>
  <c r="J1582" i="1" s="1"/>
  <c r="F1582" i="1" a="1"/>
  <c r="F1582" i="1" s="1"/>
  <c r="AZ1580" i="1"/>
  <c r="AY1580" i="1"/>
  <c r="AX1580" i="1"/>
  <c r="AW1580" i="1"/>
  <c r="AU1580" i="1"/>
  <c r="AT1580" i="1"/>
  <c r="AS1580" i="1"/>
  <c r="K1580" i="1" a="1"/>
  <c r="K1580" i="1" s="1"/>
  <c r="J1580" i="1" a="1"/>
  <c r="J1580" i="1" s="1"/>
  <c r="F1580" i="1" a="1"/>
  <c r="F1580" i="1" s="1"/>
  <c r="AZ1579" i="1"/>
  <c r="AY1579" i="1"/>
  <c r="AX1579" i="1"/>
  <c r="AW1579" i="1"/>
  <c r="AU1579" i="1"/>
  <c r="AT1579" i="1"/>
  <c r="AS1579" i="1"/>
  <c r="K1579" i="1" a="1"/>
  <c r="K1579" i="1" s="1"/>
  <c r="J1579" i="1" a="1"/>
  <c r="J1579" i="1" s="1"/>
  <c r="F1579" i="1" a="1"/>
  <c r="F1579" i="1" s="1"/>
  <c r="AZ1578" i="1"/>
  <c r="AY1578" i="1"/>
  <c r="AX1578" i="1"/>
  <c r="AW1578" i="1"/>
  <c r="AU1578" i="1"/>
  <c r="AT1578" i="1"/>
  <c r="AS1578" i="1"/>
  <c r="K1578" i="1" a="1"/>
  <c r="K1578" i="1" s="1"/>
  <c r="J1578" i="1" a="1"/>
  <c r="J1578" i="1" s="1"/>
  <c r="F1578" i="1" a="1"/>
  <c r="F1578" i="1" s="1"/>
  <c r="AZ1577" i="1"/>
  <c r="AY1577" i="1"/>
  <c r="AX1577" i="1"/>
  <c r="AW1577" i="1"/>
  <c r="AU1577" i="1"/>
  <c r="AT1577" i="1"/>
  <c r="AS1577" i="1"/>
  <c r="K1577" i="1" a="1"/>
  <c r="K1577" i="1" s="1"/>
  <c r="J1577" i="1" a="1"/>
  <c r="J1577" i="1" s="1"/>
  <c r="F1577" i="1" a="1"/>
  <c r="F1577" i="1" s="1"/>
  <c r="AZ1576" i="1"/>
  <c r="AY1576" i="1"/>
  <c r="AX1576" i="1"/>
  <c r="AW1576" i="1"/>
  <c r="AU1576" i="1"/>
  <c r="AT1576" i="1"/>
  <c r="AS1576" i="1"/>
  <c r="K1576" i="1" a="1"/>
  <c r="K1576" i="1" s="1"/>
  <c r="J1576" i="1" a="1"/>
  <c r="J1576" i="1" s="1"/>
  <c r="F1576" i="1" a="1"/>
  <c r="F1576" i="1" s="1"/>
  <c r="AZ1574" i="1"/>
  <c r="AY1574" i="1"/>
  <c r="AX1574" i="1"/>
  <c r="AW1574" i="1"/>
  <c r="AU1574" i="1"/>
  <c r="AS1574" i="1"/>
  <c r="K1574" i="1" a="1"/>
  <c r="K1574" i="1" s="1"/>
  <c r="J1574" i="1" a="1"/>
  <c r="J1574" i="1" s="1"/>
  <c r="F1574" i="1" a="1"/>
  <c r="F1574" i="1" s="1"/>
  <c r="AZ1573" i="1"/>
  <c r="AY1573" i="1"/>
  <c r="AX1573" i="1"/>
  <c r="AW1573" i="1"/>
  <c r="AU1573" i="1"/>
  <c r="AS1573" i="1"/>
  <c r="K1573" i="1" a="1"/>
  <c r="K1573" i="1" s="1"/>
  <c r="J1573" i="1" a="1"/>
  <c r="J1573" i="1" s="1"/>
  <c r="F1573" i="1" a="1"/>
  <c r="F1573" i="1" s="1"/>
  <c r="AZ1572" i="1"/>
  <c r="AY1572" i="1"/>
  <c r="AX1572" i="1"/>
  <c r="AW1572" i="1"/>
  <c r="AU1572" i="1"/>
  <c r="AS1572" i="1"/>
  <c r="K1572" i="1" a="1"/>
  <c r="K1572" i="1" s="1"/>
  <c r="J1572" i="1" a="1"/>
  <c r="J1572" i="1" s="1"/>
  <c r="F1572" i="1" a="1"/>
  <c r="F1572" i="1" s="1"/>
  <c r="AZ1571" i="1"/>
  <c r="AY1571" i="1"/>
  <c r="AX1571" i="1"/>
  <c r="AW1571" i="1"/>
  <c r="AU1571" i="1"/>
  <c r="AS1571" i="1"/>
  <c r="K1571" i="1" a="1"/>
  <c r="K1571" i="1" s="1"/>
  <c r="J1571" i="1" a="1"/>
  <c r="J1571" i="1" s="1"/>
  <c r="F1571" i="1" a="1"/>
  <c r="F1571" i="1" s="1"/>
  <c r="AZ1570" i="1"/>
  <c r="AY1570" i="1"/>
  <c r="AX1570" i="1"/>
  <c r="AW1570" i="1"/>
  <c r="AU1570" i="1"/>
  <c r="AS1570" i="1"/>
  <c r="K1570" i="1" a="1"/>
  <c r="K1570" i="1" s="1"/>
  <c r="J1570" i="1" a="1"/>
  <c r="J1570" i="1" s="1"/>
  <c r="F1570" i="1" a="1"/>
  <c r="F1570" i="1" s="1"/>
  <c r="AZ1568" i="1"/>
  <c r="AY1568" i="1"/>
  <c r="AX1568" i="1"/>
  <c r="AW1568" i="1"/>
  <c r="AU1568" i="1"/>
  <c r="AT1568" i="1"/>
  <c r="AS1568" i="1"/>
  <c r="K1568" i="1" a="1"/>
  <c r="K1568" i="1" s="1"/>
  <c r="J1568" i="1" a="1"/>
  <c r="J1568" i="1" s="1"/>
  <c r="F1568" i="1" a="1"/>
  <c r="F1568" i="1" s="1"/>
  <c r="AZ1567" i="1"/>
  <c r="AY1567" i="1"/>
  <c r="AX1567" i="1"/>
  <c r="AW1567" i="1"/>
  <c r="AU1567" i="1"/>
  <c r="AT1567" i="1"/>
  <c r="AS1567" i="1"/>
  <c r="K1567" i="1" a="1"/>
  <c r="K1567" i="1" s="1"/>
  <c r="J1567" i="1" a="1"/>
  <c r="J1567" i="1" s="1"/>
  <c r="F1567" i="1" a="1"/>
  <c r="F1567" i="1" s="1"/>
  <c r="AZ1566" i="1"/>
  <c r="AY1566" i="1"/>
  <c r="AX1566" i="1"/>
  <c r="AW1566" i="1"/>
  <c r="AU1566" i="1"/>
  <c r="AT1566" i="1"/>
  <c r="AS1566" i="1"/>
  <c r="K1566" i="1" a="1"/>
  <c r="K1566" i="1" s="1"/>
  <c r="J1566" i="1" a="1"/>
  <c r="J1566" i="1" s="1"/>
  <c r="F1566" i="1" a="1"/>
  <c r="F1566" i="1" s="1"/>
  <c r="AZ1565" i="1"/>
  <c r="AY1565" i="1"/>
  <c r="AX1565" i="1"/>
  <c r="AW1565" i="1"/>
  <c r="AU1565" i="1"/>
  <c r="AT1565" i="1"/>
  <c r="AS1565" i="1"/>
  <c r="K1565" i="1" a="1"/>
  <c r="K1565" i="1" s="1"/>
  <c r="J1565" i="1" a="1"/>
  <c r="J1565" i="1" s="1"/>
  <c r="F1565" i="1" a="1"/>
  <c r="F1565" i="1" s="1"/>
  <c r="AZ1564" i="1"/>
  <c r="AY1564" i="1"/>
  <c r="AX1564" i="1"/>
  <c r="AW1564" i="1"/>
  <c r="AU1564" i="1"/>
  <c r="AT1564" i="1"/>
  <c r="AS1564" i="1"/>
  <c r="K1564" i="1" a="1"/>
  <c r="K1564" i="1" s="1"/>
  <c r="J1564" i="1" a="1"/>
  <c r="J1564" i="1" s="1"/>
  <c r="F1564" i="1" a="1"/>
  <c r="F1564" i="1" s="1"/>
  <c r="AZ1562" i="1"/>
  <c r="AY1562" i="1"/>
  <c r="AX1562" i="1"/>
  <c r="AW1562" i="1"/>
  <c r="AU1562" i="1"/>
  <c r="AS1562" i="1"/>
  <c r="K1562" i="1" a="1"/>
  <c r="K1562" i="1" s="1"/>
  <c r="J1562" i="1" a="1"/>
  <c r="J1562" i="1" s="1"/>
  <c r="F1562" i="1" a="1"/>
  <c r="F1562" i="1" s="1"/>
  <c r="AZ1561" i="1"/>
  <c r="AY1561" i="1"/>
  <c r="AX1561" i="1"/>
  <c r="AW1561" i="1"/>
  <c r="AU1561" i="1"/>
  <c r="AS1561" i="1"/>
  <c r="K1561" i="1" a="1"/>
  <c r="K1561" i="1" s="1"/>
  <c r="J1561" i="1" a="1"/>
  <c r="J1561" i="1" s="1"/>
  <c r="F1561" i="1" a="1"/>
  <c r="F1561" i="1" s="1"/>
  <c r="AZ1560" i="1"/>
  <c r="AY1560" i="1"/>
  <c r="AX1560" i="1"/>
  <c r="AW1560" i="1"/>
  <c r="AU1560" i="1"/>
  <c r="AS1560" i="1"/>
  <c r="K1560" i="1" a="1"/>
  <c r="K1560" i="1" s="1"/>
  <c r="J1560" i="1" a="1"/>
  <c r="J1560" i="1" s="1"/>
  <c r="F1560" i="1" a="1"/>
  <c r="F1560" i="1" s="1"/>
  <c r="AZ1559" i="1"/>
  <c r="AY1559" i="1"/>
  <c r="AX1559" i="1"/>
  <c r="AW1559" i="1"/>
  <c r="AU1559" i="1"/>
  <c r="AS1559" i="1"/>
  <c r="K1559" i="1" a="1"/>
  <c r="K1559" i="1" s="1"/>
  <c r="J1559" i="1" a="1"/>
  <c r="J1559" i="1" s="1"/>
  <c r="F1559" i="1" a="1"/>
  <c r="F1559" i="1" s="1"/>
  <c r="AZ1558" i="1"/>
  <c r="AY1558" i="1"/>
  <c r="AX1558" i="1"/>
  <c r="AW1558" i="1"/>
  <c r="AU1558" i="1"/>
  <c r="AS1558" i="1"/>
  <c r="K1558" i="1" a="1"/>
  <c r="K1558" i="1" s="1"/>
  <c r="J1558" i="1" a="1"/>
  <c r="J1558" i="1" s="1"/>
  <c r="F1558" i="1" a="1"/>
  <c r="F1558" i="1" s="1"/>
  <c r="AZ1556" i="1"/>
  <c r="AY1556" i="1"/>
  <c r="AX1556" i="1"/>
  <c r="AW1556" i="1"/>
  <c r="AU1556" i="1"/>
  <c r="AT1556" i="1"/>
  <c r="AS1556" i="1"/>
  <c r="K1556" i="1" a="1"/>
  <c r="K1556" i="1" s="1"/>
  <c r="J1556" i="1" a="1"/>
  <c r="J1556" i="1" s="1"/>
  <c r="F1556" i="1" a="1"/>
  <c r="F1556" i="1" s="1"/>
  <c r="E1556" i="1" s="1" a="1"/>
  <c r="E1556" i="1" s="1"/>
  <c r="AZ1555" i="1"/>
  <c r="AY1555" i="1"/>
  <c r="AX1555" i="1"/>
  <c r="AW1555" i="1"/>
  <c r="AU1555" i="1"/>
  <c r="AT1555" i="1"/>
  <c r="AS1555" i="1"/>
  <c r="K1555" i="1" a="1"/>
  <c r="K1555" i="1" s="1"/>
  <c r="J1555" i="1" a="1"/>
  <c r="J1555" i="1" s="1"/>
  <c r="F1555" i="1" a="1"/>
  <c r="F1555" i="1" s="1"/>
  <c r="AZ1554" i="1"/>
  <c r="AY1554" i="1"/>
  <c r="AX1554" i="1"/>
  <c r="AW1554" i="1"/>
  <c r="AU1554" i="1"/>
  <c r="AT1554" i="1"/>
  <c r="AS1554" i="1"/>
  <c r="K1554" i="1" a="1"/>
  <c r="K1554" i="1" s="1"/>
  <c r="J1554" i="1" a="1"/>
  <c r="J1554" i="1" s="1"/>
  <c r="F1554" i="1" a="1"/>
  <c r="F1554" i="1" s="1"/>
  <c r="AZ1553" i="1"/>
  <c r="AY1553" i="1"/>
  <c r="AX1553" i="1"/>
  <c r="AW1553" i="1"/>
  <c r="AU1553" i="1"/>
  <c r="AT1553" i="1"/>
  <c r="AS1553" i="1"/>
  <c r="K1553" i="1" a="1"/>
  <c r="K1553" i="1" s="1"/>
  <c r="J1553" i="1" a="1"/>
  <c r="J1553" i="1" s="1"/>
  <c r="F1553" i="1" a="1"/>
  <c r="F1553" i="1" s="1"/>
  <c r="AZ1552" i="1"/>
  <c r="AY1552" i="1"/>
  <c r="AX1552" i="1"/>
  <c r="AW1552" i="1"/>
  <c r="AU1552" i="1"/>
  <c r="AT1552" i="1"/>
  <c r="AS1552" i="1"/>
  <c r="K1552" i="1" a="1"/>
  <c r="K1552" i="1" s="1"/>
  <c r="J1552" i="1" a="1"/>
  <c r="J1552" i="1" s="1"/>
  <c r="F1552" i="1" a="1"/>
  <c r="F1552" i="1" s="1"/>
  <c r="AZ1550" i="1"/>
  <c r="AY1550" i="1"/>
  <c r="AX1550" i="1"/>
  <c r="AW1550" i="1"/>
  <c r="AU1550" i="1"/>
  <c r="AS1550" i="1"/>
  <c r="K1550" i="1" a="1"/>
  <c r="K1550" i="1" s="1"/>
  <c r="J1550" i="1" a="1"/>
  <c r="J1550" i="1" s="1"/>
  <c r="F1550" i="1" a="1"/>
  <c r="F1550" i="1" s="1"/>
  <c r="AZ1549" i="1"/>
  <c r="AY1549" i="1"/>
  <c r="AX1549" i="1"/>
  <c r="AW1549" i="1"/>
  <c r="AU1549" i="1"/>
  <c r="AS1549" i="1"/>
  <c r="K1549" i="1" a="1"/>
  <c r="K1549" i="1" s="1"/>
  <c r="J1549" i="1" a="1"/>
  <c r="J1549" i="1" s="1"/>
  <c r="F1549" i="1" a="1"/>
  <c r="F1549" i="1" s="1"/>
  <c r="E1549" i="1" s="1" a="1"/>
  <c r="E1549" i="1" s="1"/>
  <c r="AZ1548" i="1"/>
  <c r="AY1548" i="1"/>
  <c r="AX1548" i="1"/>
  <c r="AW1548" i="1"/>
  <c r="AU1548" i="1"/>
  <c r="AS1548" i="1"/>
  <c r="K1548" i="1" a="1"/>
  <c r="K1548" i="1" s="1"/>
  <c r="J1548" i="1" a="1"/>
  <c r="J1548" i="1" s="1"/>
  <c r="F1548" i="1" a="1"/>
  <c r="F1548" i="1" s="1"/>
  <c r="AZ1547" i="1"/>
  <c r="AY1547" i="1"/>
  <c r="AX1547" i="1"/>
  <c r="AW1547" i="1"/>
  <c r="AU1547" i="1"/>
  <c r="AS1547" i="1"/>
  <c r="K1547" i="1" a="1"/>
  <c r="K1547" i="1" s="1"/>
  <c r="J1547" i="1" a="1"/>
  <c r="J1547" i="1" s="1"/>
  <c r="F1547" i="1" a="1"/>
  <c r="F1547" i="1" s="1"/>
  <c r="AZ1546" i="1"/>
  <c r="AY1546" i="1"/>
  <c r="AX1546" i="1"/>
  <c r="AW1546" i="1"/>
  <c r="AU1546" i="1"/>
  <c r="AS1546" i="1"/>
  <c r="K1546" i="1" a="1"/>
  <c r="K1546" i="1" s="1"/>
  <c r="J1546" i="1" a="1"/>
  <c r="J1546" i="1" s="1"/>
  <c r="F1546" i="1" a="1"/>
  <c r="F1546" i="1" s="1"/>
  <c r="AZ1544" i="1"/>
  <c r="AY1544" i="1"/>
  <c r="AX1544" i="1"/>
  <c r="AW1544" i="1"/>
  <c r="AU1544" i="1"/>
  <c r="AT1544" i="1"/>
  <c r="AS1544" i="1"/>
  <c r="K1544" i="1" a="1"/>
  <c r="K1544" i="1" s="1"/>
  <c r="J1544" i="1" a="1"/>
  <c r="J1544" i="1" s="1"/>
  <c r="F1544" i="1" a="1"/>
  <c r="F1544" i="1" s="1"/>
  <c r="AZ1543" i="1"/>
  <c r="AY1543" i="1"/>
  <c r="AX1543" i="1"/>
  <c r="AW1543" i="1"/>
  <c r="AU1543" i="1"/>
  <c r="AT1543" i="1"/>
  <c r="AS1543" i="1"/>
  <c r="K1543" i="1" a="1"/>
  <c r="K1543" i="1" s="1"/>
  <c r="J1543" i="1" a="1"/>
  <c r="J1543" i="1" s="1"/>
  <c r="F1543" i="1" a="1"/>
  <c r="F1543" i="1" s="1"/>
  <c r="AZ1542" i="1"/>
  <c r="AY1542" i="1"/>
  <c r="AX1542" i="1"/>
  <c r="AW1542" i="1"/>
  <c r="AU1542" i="1"/>
  <c r="AT1542" i="1"/>
  <c r="AS1542" i="1"/>
  <c r="K1542" i="1" a="1"/>
  <c r="K1542" i="1" s="1"/>
  <c r="J1542" i="1" a="1"/>
  <c r="J1542" i="1" s="1"/>
  <c r="F1542" i="1" a="1"/>
  <c r="F1542" i="1" s="1"/>
  <c r="AZ1541" i="1"/>
  <c r="AY1541" i="1"/>
  <c r="AX1541" i="1"/>
  <c r="AW1541" i="1"/>
  <c r="AU1541" i="1"/>
  <c r="AT1541" i="1"/>
  <c r="AS1541" i="1"/>
  <c r="K1541" i="1" a="1"/>
  <c r="K1541" i="1" s="1"/>
  <c r="J1541" i="1" a="1"/>
  <c r="J1541" i="1" s="1"/>
  <c r="F1541" i="1" a="1"/>
  <c r="F1541" i="1" s="1"/>
  <c r="AZ1540" i="1"/>
  <c r="AY1540" i="1"/>
  <c r="AX1540" i="1"/>
  <c r="AW1540" i="1"/>
  <c r="AU1540" i="1"/>
  <c r="AT1540" i="1"/>
  <c r="AS1540" i="1"/>
  <c r="K1540" i="1" a="1"/>
  <c r="K1540" i="1" s="1"/>
  <c r="J1540" i="1" a="1"/>
  <c r="J1540" i="1" s="1"/>
  <c r="F1540" i="1" a="1"/>
  <c r="F1540" i="1" s="1"/>
  <c r="AZ1538" i="1"/>
  <c r="AY1538" i="1"/>
  <c r="AX1538" i="1"/>
  <c r="AW1538" i="1"/>
  <c r="AU1538" i="1"/>
  <c r="AS1538" i="1"/>
  <c r="K1538" i="1" a="1"/>
  <c r="K1538" i="1" s="1"/>
  <c r="J1538" i="1" a="1"/>
  <c r="J1538" i="1" s="1"/>
  <c r="F1538" i="1" a="1"/>
  <c r="F1538" i="1" s="1"/>
  <c r="AZ1537" i="1"/>
  <c r="AY1537" i="1"/>
  <c r="AX1537" i="1"/>
  <c r="AW1537" i="1"/>
  <c r="AU1537" i="1"/>
  <c r="AS1537" i="1"/>
  <c r="K1537" i="1" a="1"/>
  <c r="K1537" i="1" s="1"/>
  <c r="J1537" i="1" a="1"/>
  <c r="J1537" i="1" s="1"/>
  <c r="F1537" i="1" a="1"/>
  <c r="F1537" i="1" s="1"/>
  <c r="AZ1536" i="1"/>
  <c r="AY1536" i="1"/>
  <c r="AX1536" i="1"/>
  <c r="AW1536" i="1"/>
  <c r="AU1536" i="1"/>
  <c r="AS1536" i="1"/>
  <c r="K1536" i="1" a="1"/>
  <c r="K1536" i="1" s="1"/>
  <c r="J1536" i="1" a="1"/>
  <c r="J1536" i="1" s="1"/>
  <c r="F1536" i="1" a="1"/>
  <c r="F1536" i="1" s="1"/>
  <c r="AZ1535" i="1"/>
  <c r="AY1535" i="1"/>
  <c r="AX1535" i="1"/>
  <c r="AW1535" i="1"/>
  <c r="AU1535" i="1"/>
  <c r="AS1535" i="1"/>
  <c r="K1535" i="1" a="1"/>
  <c r="K1535" i="1" s="1"/>
  <c r="J1535" i="1" a="1"/>
  <c r="J1535" i="1" s="1"/>
  <c r="F1535" i="1" a="1"/>
  <c r="F1535" i="1" s="1"/>
  <c r="AZ1534" i="1"/>
  <c r="AY1534" i="1"/>
  <c r="AX1534" i="1"/>
  <c r="AW1534" i="1"/>
  <c r="AU1534" i="1"/>
  <c r="AS1534" i="1"/>
  <c r="K1534" i="1" a="1"/>
  <c r="K1534" i="1" s="1"/>
  <c r="J1534" i="1" a="1"/>
  <c r="J1534" i="1" s="1"/>
  <c r="F1534" i="1" a="1"/>
  <c r="F1534" i="1" s="1"/>
  <c r="AZ1532" i="1"/>
  <c r="AY1532" i="1"/>
  <c r="AX1532" i="1"/>
  <c r="AW1532" i="1"/>
  <c r="AU1532" i="1"/>
  <c r="AT1532" i="1"/>
  <c r="AS1532" i="1"/>
  <c r="K1532" i="1" a="1"/>
  <c r="K1532" i="1" s="1"/>
  <c r="J1532" i="1" a="1"/>
  <c r="J1532" i="1" s="1"/>
  <c r="F1532" i="1" a="1"/>
  <c r="F1532" i="1" s="1"/>
  <c r="AZ1531" i="1"/>
  <c r="AY1531" i="1"/>
  <c r="AX1531" i="1"/>
  <c r="AW1531" i="1"/>
  <c r="AU1531" i="1"/>
  <c r="AT1531" i="1"/>
  <c r="AS1531" i="1"/>
  <c r="K1531" i="1" a="1"/>
  <c r="K1531" i="1" s="1"/>
  <c r="J1531" i="1" a="1"/>
  <c r="J1531" i="1" s="1"/>
  <c r="F1531" i="1" a="1"/>
  <c r="F1531" i="1" s="1"/>
  <c r="AZ1530" i="1"/>
  <c r="AY1530" i="1"/>
  <c r="AX1530" i="1"/>
  <c r="AW1530" i="1"/>
  <c r="AU1530" i="1"/>
  <c r="AT1530" i="1"/>
  <c r="AS1530" i="1"/>
  <c r="K1530" i="1" a="1"/>
  <c r="K1530" i="1" s="1"/>
  <c r="J1530" i="1" a="1"/>
  <c r="J1530" i="1" s="1"/>
  <c r="F1530" i="1" a="1"/>
  <c r="F1530" i="1" s="1"/>
  <c r="AZ1529" i="1"/>
  <c r="AY1529" i="1"/>
  <c r="AX1529" i="1"/>
  <c r="AW1529" i="1"/>
  <c r="AU1529" i="1"/>
  <c r="AT1529" i="1"/>
  <c r="AS1529" i="1"/>
  <c r="K1529" i="1" a="1"/>
  <c r="K1529" i="1" s="1"/>
  <c r="J1529" i="1" a="1"/>
  <c r="J1529" i="1" s="1"/>
  <c r="F1529" i="1" a="1"/>
  <c r="F1529" i="1" s="1"/>
  <c r="AZ1528" i="1"/>
  <c r="AY1528" i="1"/>
  <c r="AX1528" i="1"/>
  <c r="AW1528" i="1"/>
  <c r="AU1528" i="1"/>
  <c r="AT1528" i="1"/>
  <c r="AS1528" i="1"/>
  <c r="K1528" i="1" a="1"/>
  <c r="K1528" i="1" s="1"/>
  <c r="J1528" i="1" a="1"/>
  <c r="J1528" i="1" s="1"/>
  <c r="F1528" i="1" a="1"/>
  <c r="F1528" i="1" s="1"/>
  <c r="AZ1526" i="1"/>
  <c r="AY1526" i="1"/>
  <c r="AX1526" i="1"/>
  <c r="AW1526" i="1"/>
  <c r="AU1526" i="1"/>
  <c r="AS1526" i="1"/>
  <c r="K1526" i="1" a="1"/>
  <c r="K1526" i="1" s="1"/>
  <c r="J1526" i="1" a="1"/>
  <c r="J1526" i="1" s="1"/>
  <c r="F1526" i="1" a="1"/>
  <c r="F1526" i="1" s="1"/>
  <c r="AZ1525" i="1"/>
  <c r="AY1525" i="1"/>
  <c r="AX1525" i="1"/>
  <c r="AW1525" i="1"/>
  <c r="AU1525" i="1"/>
  <c r="AS1525" i="1"/>
  <c r="K1525" i="1" a="1"/>
  <c r="K1525" i="1" s="1"/>
  <c r="J1525" i="1" a="1"/>
  <c r="J1525" i="1" s="1"/>
  <c r="F1525" i="1" a="1"/>
  <c r="F1525" i="1" s="1"/>
  <c r="AZ1524" i="1"/>
  <c r="AY1524" i="1"/>
  <c r="AX1524" i="1"/>
  <c r="AW1524" i="1"/>
  <c r="AU1524" i="1"/>
  <c r="AS1524" i="1"/>
  <c r="K1524" i="1" a="1"/>
  <c r="K1524" i="1" s="1"/>
  <c r="J1524" i="1" a="1"/>
  <c r="J1524" i="1" s="1"/>
  <c r="F1524" i="1" a="1"/>
  <c r="F1524" i="1" s="1"/>
  <c r="AZ1523" i="1"/>
  <c r="AY1523" i="1"/>
  <c r="AX1523" i="1"/>
  <c r="AW1523" i="1"/>
  <c r="AU1523" i="1"/>
  <c r="AS1523" i="1"/>
  <c r="K1523" i="1" a="1"/>
  <c r="K1523" i="1" s="1"/>
  <c r="J1523" i="1" a="1"/>
  <c r="J1523" i="1" s="1"/>
  <c r="F1523" i="1" a="1"/>
  <c r="F1523" i="1" s="1"/>
  <c r="AZ1522" i="1"/>
  <c r="AY1522" i="1"/>
  <c r="AX1522" i="1"/>
  <c r="AW1522" i="1"/>
  <c r="AU1522" i="1"/>
  <c r="AS1522" i="1"/>
  <c r="K1522" i="1" a="1"/>
  <c r="K1522" i="1" s="1"/>
  <c r="J1522" i="1" a="1"/>
  <c r="J1522" i="1" s="1"/>
  <c r="F1522" i="1" a="1"/>
  <c r="F1522" i="1" s="1"/>
  <c r="AZ1520" i="1"/>
  <c r="AY1520" i="1"/>
  <c r="AX1520" i="1"/>
  <c r="AW1520" i="1"/>
  <c r="AU1520" i="1"/>
  <c r="AT1520" i="1"/>
  <c r="AS1520" i="1"/>
  <c r="K1520" i="1" a="1"/>
  <c r="K1520" i="1" s="1"/>
  <c r="J1520" i="1" a="1"/>
  <c r="J1520" i="1" s="1"/>
  <c r="F1520" i="1" a="1"/>
  <c r="F1520" i="1" s="1"/>
  <c r="AZ1519" i="1"/>
  <c r="AY1519" i="1"/>
  <c r="AX1519" i="1"/>
  <c r="AW1519" i="1"/>
  <c r="AU1519" i="1"/>
  <c r="AT1519" i="1"/>
  <c r="AS1519" i="1"/>
  <c r="K1519" i="1" a="1"/>
  <c r="K1519" i="1" s="1"/>
  <c r="J1519" i="1" a="1"/>
  <c r="J1519" i="1" s="1"/>
  <c r="F1519" i="1" a="1"/>
  <c r="F1519" i="1" s="1"/>
  <c r="E1519" i="1" s="1" a="1"/>
  <c r="E1519" i="1" s="1"/>
  <c r="AZ1518" i="1"/>
  <c r="AY1518" i="1"/>
  <c r="AX1518" i="1"/>
  <c r="AW1518" i="1"/>
  <c r="AU1518" i="1"/>
  <c r="AT1518" i="1"/>
  <c r="AS1518" i="1"/>
  <c r="K1518" i="1" a="1"/>
  <c r="K1518" i="1" s="1"/>
  <c r="J1518" i="1" a="1"/>
  <c r="J1518" i="1" s="1"/>
  <c r="F1518" i="1" a="1"/>
  <c r="F1518" i="1" s="1"/>
  <c r="AZ1517" i="1"/>
  <c r="AY1517" i="1"/>
  <c r="AX1517" i="1"/>
  <c r="AW1517" i="1"/>
  <c r="AU1517" i="1"/>
  <c r="AT1517" i="1"/>
  <c r="AS1517" i="1"/>
  <c r="K1517" i="1" a="1"/>
  <c r="K1517" i="1" s="1"/>
  <c r="J1517" i="1" a="1"/>
  <c r="J1517" i="1" s="1"/>
  <c r="F1517" i="1" a="1"/>
  <c r="F1517" i="1" s="1"/>
  <c r="AZ1516" i="1"/>
  <c r="AY1516" i="1"/>
  <c r="AX1516" i="1"/>
  <c r="AW1516" i="1"/>
  <c r="AU1516" i="1"/>
  <c r="AT1516" i="1"/>
  <c r="AS1516" i="1"/>
  <c r="K1516" i="1" a="1"/>
  <c r="K1516" i="1" s="1"/>
  <c r="J1516" i="1" a="1"/>
  <c r="J1516" i="1" s="1"/>
  <c r="F1516" i="1" a="1"/>
  <c r="F1516" i="1" s="1"/>
  <c r="AZ1514" i="1"/>
  <c r="AY1514" i="1"/>
  <c r="AX1514" i="1"/>
  <c r="AW1514" i="1"/>
  <c r="AU1514" i="1"/>
  <c r="AS1514" i="1"/>
  <c r="K1514" i="1" a="1"/>
  <c r="K1514" i="1" s="1"/>
  <c r="J1514" i="1" a="1"/>
  <c r="J1514" i="1" s="1"/>
  <c r="F1514" i="1" a="1"/>
  <c r="F1514" i="1" s="1"/>
  <c r="AZ1513" i="1"/>
  <c r="AY1513" i="1"/>
  <c r="AX1513" i="1"/>
  <c r="AW1513" i="1"/>
  <c r="AU1513" i="1"/>
  <c r="AS1513" i="1"/>
  <c r="K1513" i="1" a="1"/>
  <c r="K1513" i="1" s="1"/>
  <c r="J1513" i="1" a="1"/>
  <c r="J1513" i="1" s="1"/>
  <c r="F1513" i="1" a="1"/>
  <c r="F1513" i="1" s="1"/>
  <c r="E1513" i="1" s="1" a="1"/>
  <c r="E1513" i="1" s="1"/>
  <c r="AZ1512" i="1"/>
  <c r="AY1512" i="1"/>
  <c r="AX1512" i="1"/>
  <c r="AW1512" i="1"/>
  <c r="AU1512" i="1"/>
  <c r="AS1512" i="1"/>
  <c r="K1512" i="1" a="1"/>
  <c r="K1512" i="1" s="1"/>
  <c r="J1512" i="1" a="1"/>
  <c r="J1512" i="1" s="1"/>
  <c r="F1512" i="1" a="1"/>
  <c r="F1512" i="1" s="1"/>
  <c r="AZ1511" i="1"/>
  <c r="AY1511" i="1"/>
  <c r="AX1511" i="1"/>
  <c r="AW1511" i="1"/>
  <c r="AU1511" i="1"/>
  <c r="AS1511" i="1"/>
  <c r="K1511" i="1" a="1"/>
  <c r="K1511" i="1" s="1"/>
  <c r="J1511" i="1" a="1"/>
  <c r="J1511" i="1" s="1"/>
  <c r="F1511" i="1" a="1"/>
  <c r="F1511" i="1" s="1"/>
  <c r="AZ1510" i="1"/>
  <c r="AY1510" i="1"/>
  <c r="AX1510" i="1"/>
  <c r="AW1510" i="1"/>
  <c r="AU1510" i="1"/>
  <c r="AS1510" i="1"/>
  <c r="K1510" i="1" a="1"/>
  <c r="K1510" i="1" s="1"/>
  <c r="J1510" i="1" a="1"/>
  <c r="J1510" i="1" s="1"/>
  <c r="F1510" i="1" a="1"/>
  <c r="F1510" i="1" s="1"/>
  <c r="AZ1508" i="1"/>
  <c r="AY1508" i="1"/>
  <c r="AX1508" i="1"/>
  <c r="AW1508" i="1"/>
  <c r="AU1508" i="1"/>
  <c r="AT1508" i="1"/>
  <c r="AS1508" i="1"/>
  <c r="K1508" i="1" a="1"/>
  <c r="K1508" i="1" s="1"/>
  <c r="J1508" i="1" a="1"/>
  <c r="J1508" i="1" s="1"/>
  <c r="F1508" i="1" a="1"/>
  <c r="F1508" i="1" s="1"/>
  <c r="AZ1507" i="1"/>
  <c r="AY1507" i="1"/>
  <c r="AX1507" i="1"/>
  <c r="AW1507" i="1"/>
  <c r="AU1507" i="1"/>
  <c r="AT1507" i="1"/>
  <c r="AS1507" i="1"/>
  <c r="K1507" i="1" a="1"/>
  <c r="K1507" i="1" s="1"/>
  <c r="J1507" i="1" a="1"/>
  <c r="J1507" i="1" s="1"/>
  <c r="F1507" i="1" a="1"/>
  <c r="F1507" i="1" s="1"/>
  <c r="AZ1506" i="1"/>
  <c r="AY1506" i="1"/>
  <c r="AX1506" i="1"/>
  <c r="AW1506" i="1"/>
  <c r="AU1506" i="1"/>
  <c r="AT1506" i="1"/>
  <c r="AS1506" i="1"/>
  <c r="K1506" i="1" a="1"/>
  <c r="K1506" i="1" s="1"/>
  <c r="J1506" i="1" a="1"/>
  <c r="J1506" i="1" s="1"/>
  <c r="F1506" i="1" a="1"/>
  <c r="F1506" i="1" s="1"/>
  <c r="AZ1505" i="1"/>
  <c r="AY1505" i="1"/>
  <c r="AX1505" i="1"/>
  <c r="AW1505" i="1"/>
  <c r="AU1505" i="1"/>
  <c r="AT1505" i="1"/>
  <c r="AS1505" i="1"/>
  <c r="K1505" i="1" a="1"/>
  <c r="K1505" i="1" s="1"/>
  <c r="J1505" i="1" a="1"/>
  <c r="J1505" i="1" s="1"/>
  <c r="F1505" i="1" a="1"/>
  <c r="F1505" i="1" s="1"/>
  <c r="AZ1504" i="1"/>
  <c r="AY1504" i="1"/>
  <c r="AX1504" i="1"/>
  <c r="AW1504" i="1"/>
  <c r="AU1504" i="1"/>
  <c r="AT1504" i="1"/>
  <c r="AS1504" i="1"/>
  <c r="K1504" i="1" a="1"/>
  <c r="K1504" i="1" s="1"/>
  <c r="J1504" i="1" a="1"/>
  <c r="J1504" i="1" s="1"/>
  <c r="F1504" i="1" a="1"/>
  <c r="F1504" i="1" s="1"/>
  <c r="AZ1502" i="1"/>
  <c r="AY1502" i="1"/>
  <c r="AX1502" i="1"/>
  <c r="AW1502" i="1"/>
  <c r="AU1502" i="1"/>
  <c r="AS1502" i="1"/>
  <c r="K1502" i="1" a="1"/>
  <c r="K1502" i="1" s="1"/>
  <c r="J1502" i="1" a="1"/>
  <c r="J1502" i="1" s="1"/>
  <c r="F1502" i="1" a="1"/>
  <c r="F1502" i="1" s="1"/>
  <c r="AZ1501" i="1"/>
  <c r="AY1501" i="1"/>
  <c r="AX1501" i="1"/>
  <c r="AW1501" i="1"/>
  <c r="AU1501" i="1"/>
  <c r="AS1501" i="1"/>
  <c r="K1501" i="1" a="1"/>
  <c r="K1501" i="1" s="1"/>
  <c r="J1501" i="1" a="1"/>
  <c r="J1501" i="1" s="1"/>
  <c r="F1501" i="1" a="1"/>
  <c r="F1501" i="1" s="1"/>
  <c r="AZ1500" i="1"/>
  <c r="AY1500" i="1"/>
  <c r="AX1500" i="1"/>
  <c r="AW1500" i="1"/>
  <c r="AU1500" i="1"/>
  <c r="AS1500" i="1"/>
  <c r="K1500" i="1" a="1"/>
  <c r="K1500" i="1" s="1"/>
  <c r="J1500" i="1" a="1"/>
  <c r="J1500" i="1" s="1"/>
  <c r="F1500" i="1" a="1"/>
  <c r="F1500" i="1" s="1"/>
  <c r="AZ1499" i="1"/>
  <c r="AY1499" i="1"/>
  <c r="AX1499" i="1"/>
  <c r="AW1499" i="1"/>
  <c r="AU1499" i="1"/>
  <c r="AS1499" i="1"/>
  <c r="K1499" i="1" a="1"/>
  <c r="K1499" i="1" s="1"/>
  <c r="J1499" i="1" a="1"/>
  <c r="J1499" i="1" s="1"/>
  <c r="F1499" i="1" a="1"/>
  <c r="F1499" i="1" s="1"/>
  <c r="AZ1498" i="1"/>
  <c r="AY1498" i="1"/>
  <c r="AX1498" i="1"/>
  <c r="AW1498" i="1"/>
  <c r="AU1498" i="1"/>
  <c r="AS1498" i="1"/>
  <c r="K1498" i="1" a="1"/>
  <c r="K1498" i="1" s="1"/>
  <c r="J1498" i="1" a="1"/>
  <c r="J1498" i="1" s="1"/>
  <c r="F1498" i="1" a="1"/>
  <c r="F1498" i="1" s="1"/>
  <c r="AZ1592" i="1"/>
  <c r="AY1592" i="1"/>
  <c r="AX1592" i="1"/>
  <c r="AW1592" i="1"/>
  <c r="AU1592" i="1"/>
  <c r="AT1592" i="1"/>
  <c r="AS1592" i="1"/>
  <c r="K1592" i="1" a="1"/>
  <c r="K1592" i="1" s="1"/>
  <c r="J1592" i="1" a="1"/>
  <c r="J1592" i="1" s="1"/>
  <c r="F1592" i="1" a="1"/>
  <c r="F1592" i="1" s="1"/>
  <c r="AZ1591" i="1"/>
  <c r="AY1591" i="1"/>
  <c r="AX1591" i="1"/>
  <c r="AW1591" i="1"/>
  <c r="AU1591" i="1"/>
  <c r="AT1591" i="1"/>
  <c r="AS1591" i="1"/>
  <c r="K1591" i="1" a="1"/>
  <c r="K1591" i="1" s="1"/>
  <c r="J1591" i="1" a="1"/>
  <c r="J1591" i="1" s="1"/>
  <c r="F1591" i="1" a="1"/>
  <c r="F1591" i="1" s="1"/>
  <c r="AZ1590" i="1"/>
  <c r="AY1590" i="1"/>
  <c r="AX1590" i="1"/>
  <c r="AW1590" i="1"/>
  <c r="AU1590" i="1"/>
  <c r="AT1590" i="1"/>
  <c r="AS1590" i="1"/>
  <c r="K1590" i="1" a="1"/>
  <c r="K1590" i="1" s="1"/>
  <c r="J1590" i="1" a="1"/>
  <c r="J1590" i="1" s="1"/>
  <c r="F1590" i="1" a="1"/>
  <c r="F1590" i="1" s="1"/>
  <c r="AZ1589" i="1"/>
  <c r="AY1589" i="1"/>
  <c r="AX1589" i="1"/>
  <c r="AW1589" i="1"/>
  <c r="AU1589" i="1"/>
  <c r="AT1589" i="1"/>
  <c r="AS1589" i="1"/>
  <c r="K1589" i="1" a="1"/>
  <c r="K1589" i="1" s="1"/>
  <c r="J1589" i="1" a="1"/>
  <c r="J1589" i="1" s="1"/>
  <c r="F1589" i="1" a="1"/>
  <c r="F1589" i="1" s="1"/>
  <c r="AZ1588" i="1"/>
  <c r="AY1588" i="1"/>
  <c r="AX1588" i="1"/>
  <c r="AW1588" i="1"/>
  <c r="AU1588" i="1"/>
  <c r="AT1588" i="1"/>
  <c r="AS1588" i="1"/>
  <c r="K1588" i="1" a="1"/>
  <c r="K1588" i="1" s="1"/>
  <c r="J1588" i="1" a="1"/>
  <c r="J1588" i="1" s="1"/>
  <c r="F1588" i="1" a="1"/>
  <c r="F1588" i="1" s="1"/>
  <c r="AZ1587" i="1"/>
  <c r="AY1587" i="1"/>
  <c r="AX1587" i="1"/>
  <c r="AW1587" i="1"/>
  <c r="AU1587" i="1"/>
  <c r="AT1587" i="1"/>
  <c r="AS1587" i="1"/>
  <c r="K1587" i="1" a="1"/>
  <c r="K1587" i="1" s="1"/>
  <c r="J1587" i="1" a="1"/>
  <c r="J1587" i="1" s="1"/>
  <c r="F1587" i="1" a="1"/>
  <c r="F1587" i="1" s="1"/>
  <c r="AY2387" i="1"/>
  <c r="AX2387" i="1"/>
  <c r="AW2387" i="1"/>
  <c r="AU2387" i="1"/>
  <c r="AZ2387" i="1"/>
  <c r="F2387" i="1" a="1"/>
  <c r="F2387" i="1" s="1"/>
  <c r="AY2386" i="1"/>
  <c r="AX2386" i="1"/>
  <c r="AW2386" i="1"/>
  <c r="AU2386" i="1"/>
  <c r="AZ2386" i="1"/>
  <c r="F2386" i="1" a="1"/>
  <c r="F2386" i="1" s="1"/>
  <c r="AY2385" i="1"/>
  <c r="AX2385" i="1"/>
  <c r="AW2385" i="1"/>
  <c r="AU2385" i="1"/>
  <c r="AZ2385" i="1"/>
  <c r="F2385" i="1" a="1"/>
  <c r="F2385" i="1" s="1"/>
  <c r="AY2384" i="1"/>
  <c r="AX2384" i="1"/>
  <c r="AW2384" i="1"/>
  <c r="AU2384" i="1"/>
  <c r="AZ2384" i="1"/>
  <c r="F2384" i="1" a="1"/>
  <c r="F2384" i="1" s="1"/>
  <c r="AY2383" i="1"/>
  <c r="AX2383" i="1"/>
  <c r="AW2383" i="1"/>
  <c r="AU2383" i="1"/>
  <c r="AZ2383" i="1"/>
  <c r="F2383" i="1" a="1"/>
  <c r="F2383" i="1" s="1"/>
  <c r="AZ2381" i="1"/>
  <c r="AY2381" i="1"/>
  <c r="AX2381" i="1"/>
  <c r="AW2381" i="1"/>
  <c r="AU2381" i="1"/>
  <c r="AT2381" i="1"/>
  <c r="AS2381" i="1"/>
  <c r="K2381" i="1" a="1"/>
  <c r="K2381" i="1" s="1"/>
  <c r="J2381" i="1" a="1"/>
  <c r="J2381" i="1" s="1"/>
  <c r="F2381" i="1" a="1"/>
  <c r="F2381" i="1" s="1"/>
  <c r="E2381" i="1" s="1" a="1"/>
  <c r="E2381" i="1" s="1"/>
  <c r="AZ2380" i="1"/>
  <c r="AY2380" i="1"/>
  <c r="AX2380" i="1"/>
  <c r="AW2380" i="1"/>
  <c r="AU2380" i="1"/>
  <c r="AT2380" i="1"/>
  <c r="AS2380" i="1"/>
  <c r="K2380" i="1" a="1"/>
  <c r="K2380" i="1" s="1"/>
  <c r="J2380" i="1" a="1"/>
  <c r="J2380" i="1" s="1"/>
  <c r="F2380" i="1" a="1"/>
  <c r="F2380" i="1" s="1"/>
  <c r="AZ2379" i="1"/>
  <c r="AY2379" i="1"/>
  <c r="AX2379" i="1"/>
  <c r="AW2379" i="1"/>
  <c r="AU2379" i="1"/>
  <c r="AT2379" i="1"/>
  <c r="AS2379" i="1"/>
  <c r="K2379" i="1" a="1"/>
  <c r="K2379" i="1" s="1"/>
  <c r="J2379" i="1" a="1"/>
  <c r="J2379" i="1" s="1"/>
  <c r="F2379" i="1" a="1"/>
  <c r="F2379" i="1" s="1"/>
  <c r="AZ2378" i="1"/>
  <c r="AY2378" i="1"/>
  <c r="AX2378" i="1"/>
  <c r="AW2378" i="1"/>
  <c r="AU2378" i="1"/>
  <c r="AT2378" i="1"/>
  <c r="AS2378" i="1"/>
  <c r="K2378" i="1" a="1"/>
  <c r="K2378" i="1" s="1"/>
  <c r="J2378" i="1" a="1"/>
  <c r="J2378" i="1" s="1"/>
  <c r="F2378" i="1" a="1"/>
  <c r="F2378" i="1" s="1"/>
  <c r="AZ2377" i="1"/>
  <c r="AY2377" i="1"/>
  <c r="AX2377" i="1"/>
  <c r="AW2377" i="1"/>
  <c r="AU2377" i="1"/>
  <c r="AT2377" i="1"/>
  <c r="AS2377" i="1"/>
  <c r="K2377" i="1" a="1"/>
  <c r="K2377" i="1" s="1"/>
  <c r="J2377" i="1" a="1"/>
  <c r="J2377" i="1" s="1"/>
  <c r="F2377" i="1" a="1"/>
  <c r="F2377" i="1" s="1"/>
  <c r="AZ1642" i="1"/>
  <c r="AY1642" i="1"/>
  <c r="AX1642" i="1"/>
  <c r="AW1642" i="1"/>
  <c r="AU1642" i="1"/>
  <c r="AS1642" i="1"/>
  <c r="K1642" i="1" a="1"/>
  <c r="K1642" i="1" s="1"/>
  <c r="J1642" i="1" a="1"/>
  <c r="J1642" i="1" s="1"/>
  <c r="F1642" i="1" a="1"/>
  <c r="F1642" i="1" s="1"/>
  <c r="AZ1641" i="1"/>
  <c r="AY1641" i="1"/>
  <c r="AX1641" i="1"/>
  <c r="AW1641" i="1"/>
  <c r="AU1641" i="1"/>
  <c r="AS1641" i="1"/>
  <c r="K1641" i="1" a="1"/>
  <c r="K1641" i="1" s="1"/>
  <c r="J1641" i="1" a="1"/>
  <c r="J1641" i="1" s="1"/>
  <c r="F1641" i="1" a="1"/>
  <c r="F1641" i="1" s="1"/>
  <c r="E1641" i="1" s="1" a="1"/>
  <c r="E1641" i="1" s="1"/>
  <c r="AZ1640" i="1"/>
  <c r="AY1640" i="1"/>
  <c r="AX1640" i="1"/>
  <c r="AW1640" i="1"/>
  <c r="AU1640" i="1"/>
  <c r="AS1640" i="1"/>
  <c r="K1640" i="1" a="1"/>
  <c r="K1640" i="1" s="1"/>
  <c r="J1640" i="1" a="1"/>
  <c r="J1640" i="1" s="1"/>
  <c r="F1640" i="1" a="1"/>
  <c r="F1640" i="1" s="1"/>
  <c r="AZ1639" i="1"/>
  <c r="AY1639" i="1"/>
  <c r="AX1639" i="1"/>
  <c r="AW1639" i="1"/>
  <c r="AU1639" i="1"/>
  <c r="AS1639" i="1"/>
  <c r="K1639" i="1" a="1"/>
  <c r="K1639" i="1" s="1"/>
  <c r="J1639" i="1" a="1"/>
  <c r="J1639" i="1" s="1"/>
  <c r="F1639" i="1" a="1"/>
  <c r="F1639" i="1" s="1"/>
  <c r="AZ1638" i="1"/>
  <c r="AY1638" i="1"/>
  <c r="AX1638" i="1"/>
  <c r="AW1638" i="1"/>
  <c r="AU1638" i="1"/>
  <c r="AS1638" i="1"/>
  <c r="K1638" i="1" a="1"/>
  <c r="K1638" i="1" s="1"/>
  <c r="J1638" i="1" a="1"/>
  <c r="J1638" i="1" s="1"/>
  <c r="F1638" i="1" a="1"/>
  <c r="F1638" i="1" s="1"/>
  <c r="AZ1636" i="1"/>
  <c r="AY1636" i="1"/>
  <c r="AX1636" i="1"/>
  <c r="AW1636" i="1"/>
  <c r="AU1636" i="1"/>
  <c r="AT1636" i="1"/>
  <c r="AS1636" i="1"/>
  <c r="K1636" i="1" a="1"/>
  <c r="K1636" i="1" s="1"/>
  <c r="J1636" i="1" a="1"/>
  <c r="J1636" i="1" s="1"/>
  <c r="F1636" i="1" a="1"/>
  <c r="F1636" i="1" s="1"/>
  <c r="AZ1635" i="1"/>
  <c r="AY1635" i="1"/>
  <c r="AX1635" i="1"/>
  <c r="AW1635" i="1"/>
  <c r="AU1635" i="1"/>
  <c r="AT1635" i="1"/>
  <c r="AS1635" i="1"/>
  <c r="K1635" i="1" a="1"/>
  <c r="K1635" i="1" s="1"/>
  <c r="J1635" i="1" a="1"/>
  <c r="J1635" i="1" s="1"/>
  <c r="F1635" i="1" a="1"/>
  <c r="F1635" i="1" s="1"/>
  <c r="E1635" i="1" s="1" a="1"/>
  <c r="E1635" i="1" s="1"/>
  <c r="AZ1634" i="1"/>
  <c r="AY1634" i="1"/>
  <c r="AX1634" i="1"/>
  <c r="AW1634" i="1"/>
  <c r="AU1634" i="1"/>
  <c r="AT1634" i="1"/>
  <c r="AS1634" i="1"/>
  <c r="K1634" i="1" a="1"/>
  <c r="K1634" i="1" s="1"/>
  <c r="J1634" i="1" a="1"/>
  <c r="J1634" i="1" s="1"/>
  <c r="F1634" i="1" a="1"/>
  <c r="F1634" i="1" s="1"/>
  <c r="AZ1633" i="1"/>
  <c r="AY1633" i="1"/>
  <c r="AX1633" i="1"/>
  <c r="AW1633" i="1"/>
  <c r="AU1633" i="1"/>
  <c r="AT1633" i="1"/>
  <c r="AS1633" i="1"/>
  <c r="K1633" i="1" a="1"/>
  <c r="K1633" i="1" s="1"/>
  <c r="J1633" i="1" a="1"/>
  <c r="J1633" i="1" s="1"/>
  <c r="F1633" i="1" a="1"/>
  <c r="F1633" i="1" s="1"/>
  <c r="AZ1632" i="1"/>
  <c r="AY1632" i="1"/>
  <c r="AX1632" i="1"/>
  <c r="AW1632" i="1"/>
  <c r="AU1632" i="1"/>
  <c r="AT1632" i="1"/>
  <c r="AS1632" i="1"/>
  <c r="K1632" i="1" a="1"/>
  <c r="K1632" i="1" s="1"/>
  <c r="J1632" i="1" a="1"/>
  <c r="J1632" i="1" s="1"/>
  <c r="F1632" i="1" a="1"/>
  <c r="F1632" i="1" s="1"/>
  <c r="E1632" i="1" s="1" a="1"/>
  <c r="E1632" i="1" s="1"/>
  <c r="AZ1187" i="1"/>
  <c r="AY1187" i="1"/>
  <c r="AX1187" i="1"/>
  <c r="AW1187" i="1"/>
  <c r="AU1187" i="1"/>
  <c r="AS1187" i="1"/>
  <c r="K1187" i="1" a="1"/>
  <c r="K1187" i="1" s="1"/>
  <c r="J1187" i="1" a="1"/>
  <c r="J1187" i="1" s="1"/>
  <c r="F1187" i="1" a="1"/>
  <c r="F1187" i="1" s="1"/>
  <c r="AZ1186" i="1"/>
  <c r="AY1186" i="1"/>
  <c r="AX1186" i="1"/>
  <c r="AW1186" i="1"/>
  <c r="AU1186" i="1"/>
  <c r="AS1186" i="1"/>
  <c r="K1186" i="1" a="1"/>
  <c r="K1186" i="1" s="1"/>
  <c r="J1186" i="1" a="1"/>
  <c r="J1186" i="1" s="1"/>
  <c r="F1186" i="1" a="1"/>
  <c r="F1186" i="1" s="1"/>
  <c r="AZ1185" i="1"/>
  <c r="AY1185" i="1"/>
  <c r="AX1185" i="1"/>
  <c r="AW1185" i="1"/>
  <c r="AU1185" i="1"/>
  <c r="AS1185" i="1"/>
  <c r="K1185" i="1" a="1"/>
  <c r="K1185" i="1" s="1"/>
  <c r="J1185" i="1" a="1"/>
  <c r="J1185" i="1" s="1"/>
  <c r="F1185" i="1" a="1"/>
  <c r="F1185" i="1" s="1"/>
  <c r="AZ1184" i="1"/>
  <c r="AY1184" i="1"/>
  <c r="AX1184" i="1"/>
  <c r="AW1184" i="1"/>
  <c r="AU1184" i="1"/>
  <c r="AS1184" i="1"/>
  <c r="K1184" i="1" a="1"/>
  <c r="K1184" i="1" s="1"/>
  <c r="J1184" i="1" a="1"/>
  <c r="J1184" i="1" s="1"/>
  <c r="F1184" i="1" a="1"/>
  <c r="F1184" i="1" s="1"/>
  <c r="AZ1183" i="1"/>
  <c r="AY1183" i="1"/>
  <c r="AX1183" i="1"/>
  <c r="AW1183" i="1"/>
  <c r="AU1183" i="1"/>
  <c r="AS1183" i="1"/>
  <c r="K1183" i="1" a="1"/>
  <c r="K1183" i="1" s="1"/>
  <c r="J1183" i="1" a="1"/>
  <c r="J1183" i="1" s="1"/>
  <c r="F1183" i="1" a="1"/>
  <c r="F1183" i="1" s="1"/>
  <c r="AZ1181" i="1"/>
  <c r="AY1181" i="1"/>
  <c r="AX1181" i="1"/>
  <c r="AW1181" i="1"/>
  <c r="AT1181" i="1" a="1"/>
  <c r="AT1181" i="1" s="1"/>
  <c r="AU1181" i="1" s="1"/>
  <c r="K1181" i="1" a="1"/>
  <c r="K1181" i="1" s="1"/>
  <c r="J1181" i="1" a="1"/>
  <c r="J1181" i="1" s="1"/>
  <c r="F1181" i="1" a="1"/>
  <c r="F1181" i="1" s="1"/>
  <c r="AZ1180" i="1"/>
  <c r="AY1180" i="1"/>
  <c r="AX1180" i="1"/>
  <c r="AW1180" i="1"/>
  <c r="AT1180" i="1" a="1"/>
  <c r="AT1180" i="1" s="1"/>
  <c r="AU1180" i="1" s="1"/>
  <c r="K1180" i="1" a="1"/>
  <c r="K1180" i="1" s="1"/>
  <c r="J1180" i="1" a="1"/>
  <c r="J1180" i="1" s="1"/>
  <c r="F1180" i="1" a="1"/>
  <c r="F1180" i="1" s="1"/>
  <c r="AZ1179" i="1"/>
  <c r="AY1179" i="1"/>
  <c r="AX1179" i="1"/>
  <c r="AW1179" i="1"/>
  <c r="AT1179" i="1" a="1"/>
  <c r="AT1179" i="1" s="1"/>
  <c r="AU1179" i="1" s="1"/>
  <c r="K1179" i="1" a="1"/>
  <c r="K1179" i="1" s="1"/>
  <c r="J1179" i="1" a="1"/>
  <c r="J1179" i="1" s="1"/>
  <c r="F1179" i="1" a="1"/>
  <c r="F1179" i="1" s="1"/>
  <c r="AZ1178" i="1"/>
  <c r="AY1178" i="1"/>
  <c r="AX1178" i="1"/>
  <c r="AW1178" i="1"/>
  <c r="AT1178" i="1" a="1"/>
  <c r="AT1178" i="1" s="1"/>
  <c r="AU1178" i="1" s="1"/>
  <c r="K1178" i="1" a="1"/>
  <c r="K1178" i="1" s="1"/>
  <c r="J1178" i="1" a="1"/>
  <c r="J1178" i="1" s="1"/>
  <c r="F1178" i="1" a="1"/>
  <c r="F1178" i="1" s="1"/>
  <c r="AZ1177" i="1"/>
  <c r="AY1177" i="1"/>
  <c r="AX1177" i="1"/>
  <c r="AW1177" i="1"/>
  <c r="AT1177" i="1" a="1"/>
  <c r="AT1177" i="1" s="1"/>
  <c r="AU1177" i="1" s="1"/>
  <c r="K1177" i="1" a="1"/>
  <c r="K1177" i="1" s="1"/>
  <c r="J1177" i="1" a="1"/>
  <c r="J1177" i="1" s="1"/>
  <c r="F1177" i="1" a="1"/>
  <c r="F1177" i="1" s="1"/>
  <c r="AZ270" i="1"/>
  <c r="AY270" i="1"/>
  <c r="AX270" i="1"/>
  <c r="AW270" i="1"/>
  <c r="AT270" i="1" a="1"/>
  <c r="AT270" i="1" s="1"/>
  <c r="AU270" i="1" s="1"/>
  <c r="K270" i="1" a="1"/>
  <c r="K270" i="1" s="1"/>
  <c r="J270" i="1" a="1"/>
  <c r="J270" i="1" s="1"/>
  <c r="F270" i="1" a="1"/>
  <c r="F270" i="1" s="1"/>
  <c r="AZ269" i="1"/>
  <c r="AY269" i="1"/>
  <c r="AX269" i="1"/>
  <c r="AW269" i="1"/>
  <c r="AT269" i="1" a="1"/>
  <c r="AT269" i="1" s="1"/>
  <c r="AU269" i="1" s="1"/>
  <c r="K269" i="1" a="1"/>
  <c r="K269" i="1" s="1"/>
  <c r="J269" i="1" a="1"/>
  <c r="J269" i="1" s="1"/>
  <c r="F269" i="1" a="1"/>
  <c r="F269" i="1" s="1"/>
  <c r="AZ268" i="1"/>
  <c r="AY268" i="1"/>
  <c r="AX268" i="1"/>
  <c r="AW268" i="1"/>
  <c r="AT268" i="1" a="1"/>
  <c r="AT268" i="1" s="1"/>
  <c r="AU268" i="1" s="1"/>
  <c r="K268" i="1" a="1"/>
  <c r="K268" i="1" s="1"/>
  <c r="J268" i="1" a="1"/>
  <c r="J268" i="1" s="1"/>
  <c r="F268" i="1" a="1"/>
  <c r="F268" i="1" s="1"/>
  <c r="AZ267" i="1"/>
  <c r="AY267" i="1"/>
  <c r="AX267" i="1"/>
  <c r="AW267" i="1"/>
  <c r="AT267" i="1" a="1"/>
  <c r="AT267" i="1" s="1"/>
  <c r="AU267" i="1" s="1"/>
  <c r="K267" i="1" a="1"/>
  <c r="K267" i="1" s="1"/>
  <c r="J267" i="1" a="1"/>
  <c r="J267" i="1" s="1"/>
  <c r="F267" i="1" a="1"/>
  <c r="F267" i="1" s="1"/>
  <c r="AZ266" i="1"/>
  <c r="AY266" i="1"/>
  <c r="AX266" i="1"/>
  <c r="AW266" i="1"/>
  <c r="AT266" i="1" a="1"/>
  <c r="AT266" i="1" s="1"/>
  <c r="AU266" i="1" s="1"/>
  <c r="K266" i="1" a="1"/>
  <c r="K266" i="1" s="1"/>
  <c r="J266" i="1" a="1"/>
  <c r="J266" i="1" s="1"/>
  <c r="F266" i="1" a="1"/>
  <c r="F266" i="1" s="1"/>
  <c r="AZ264" i="1"/>
  <c r="AY264" i="1"/>
  <c r="AX264" i="1"/>
  <c r="AW264" i="1"/>
  <c r="AT264" i="1" a="1"/>
  <c r="AT264" i="1" s="1"/>
  <c r="AU264" i="1" s="1"/>
  <c r="K264" i="1" a="1"/>
  <c r="K264" i="1" s="1"/>
  <c r="J264" i="1" a="1"/>
  <c r="J264" i="1" s="1"/>
  <c r="F264" i="1" a="1"/>
  <c r="F264" i="1" s="1"/>
  <c r="AZ263" i="1"/>
  <c r="AY263" i="1"/>
  <c r="AX263" i="1"/>
  <c r="AW263" i="1"/>
  <c r="AT263" i="1" a="1"/>
  <c r="AT263" i="1" s="1"/>
  <c r="AU263" i="1" s="1"/>
  <c r="K263" i="1" a="1"/>
  <c r="K263" i="1" s="1"/>
  <c r="J263" i="1" a="1"/>
  <c r="J263" i="1" s="1"/>
  <c r="F263" i="1" a="1"/>
  <c r="F263" i="1" s="1"/>
  <c r="AZ262" i="1"/>
  <c r="AY262" i="1"/>
  <c r="AX262" i="1"/>
  <c r="AW262" i="1"/>
  <c r="AT262" i="1" a="1"/>
  <c r="AT262" i="1" s="1"/>
  <c r="AU262" i="1" s="1"/>
  <c r="K262" i="1" a="1"/>
  <c r="K262" i="1" s="1"/>
  <c r="J262" i="1" a="1"/>
  <c r="J262" i="1" s="1"/>
  <c r="F262" i="1" a="1"/>
  <c r="F262" i="1" s="1"/>
  <c r="AZ261" i="1"/>
  <c r="AY261" i="1"/>
  <c r="AX261" i="1"/>
  <c r="AW261" i="1"/>
  <c r="AT261" i="1" a="1"/>
  <c r="AT261" i="1" s="1"/>
  <c r="AU261" i="1" s="1"/>
  <c r="K261" i="1" a="1"/>
  <c r="K261" i="1" s="1"/>
  <c r="J261" i="1" a="1"/>
  <c r="J261" i="1" s="1"/>
  <c r="F261" i="1" a="1"/>
  <c r="F261" i="1" s="1"/>
  <c r="AZ260" i="1"/>
  <c r="AY260" i="1"/>
  <c r="AX260" i="1"/>
  <c r="AW260" i="1"/>
  <c r="AT260" i="1" a="1"/>
  <c r="AT260" i="1" s="1"/>
  <c r="AU260" i="1" s="1"/>
  <c r="K260" i="1" a="1"/>
  <c r="K260" i="1" s="1"/>
  <c r="J260" i="1" a="1"/>
  <c r="J260" i="1" s="1"/>
  <c r="F260" i="1" a="1"/>
  <c r="F260" i="1" s="1"/>
  <c r="AZ2393" i="1"/>
  <c r="AY2393" i="1"/>
  <c r="AX2393" i="1"/>
  <c r="AW2393" i="1"/>
  <c r="AU2393" i="1"/>
  <c r="AT2393" i="1"/>
  <c r="AS2393" i="1"/>
  <c r="K2393" i="1" a="1"/>
  <c r="K2393" i="1" s="1"/>
  <c r="J2393" i="1" a="1"/>
  <c r="J2393" i="1" s="1"/>
  <c r="F2393" i="1" a="1"/>
  <c r="F2393" i="1" s="1"/>
  <c r="AZ2392" i="1"/>
  <c r="AY2392" i="1"/>
  <c r="AX2392" i="1"/>
  <c r="AW2392" i="1"/>
  <c r="AU2392" i="1"/>
  <c r="AT2392" i="1"/>
  <c r="AS2392" i="1"/>
  <c r="K2392" i="1" a="1"/>
  <c r="K2392" i="1" s="1"/>
  <c r="J2392" i="1" a="1"/>
  <c r="J2392" i="1" s="1"/>
  <c r="F2392" i="1" a="1"/>
  <c r="F2392" i="1" s="1"/>
  <c r="E2392" i="1" s="1" a="1"/>
  <c r="E2392" i="1" s="1"/>
  <c r="AZ2391" i="1"/>
  <c r="AY2391" i="1"/>
  <c r="AX2391" i="1"/>
  <c r="AW2391" i="1"/>
  <c r="AU2391" i="1"/>
  <c r="AT2391" i="1"/>
  <c r="AS2391" i="1"/>
  <c r="K2391" i="1" a="1"/>
  <c r="K2391" i="1" s="1"/>
  <c r="J2391" i="1" a="1"/>
  <c r="J2391" i="1" s="1"/>
  <c r="F2391" i="1" a="1"/>
  <c r="F2391" i="1" s="1"/>
  <c r="AZ2390" i="1"/>
  <c r="AY2390" i="1"/>
  <c r="AX2390" i="1"/>
  <c r="AW2390" i="1"/>
  <c r="AU2390" i="1"/>
  <c r="AT2390" i="1"/>
  <c r="AS2390" i="1"/>
  <c r="K2390" i="1" a="1"/>
  <c r="K2390" i="1" s="1"/>
  <c r="J2390" i="1" a="1"/>
  <c r="J2390" i="1" s="1"/>
  <c r="F2390" i="1" a="1"/>
  <c r="F2390" i="1" s="1"/>
  <c r="AZ2389" i="1"/>
  <c r="AY2389" i="1"/>
  <c r="AX2389" i="1"/>
  <c r="AW2389" i="1"/>
  <c r="AU2389" i="1"/>
  <c r="AT2389" i="1"/>
  <c r="AS2389" i="1"/>
  <c r="K2389" i="1" a="1"/>
  <c r="K2389" i="1" s="1"/>
  <c r="J2389" i="1" a="1"/>
  <c r="J2389" i="1" s="1"/>
  <c r="F2389" i="1" a="1"/>
  <c r="F2389" i="1" s="1"/>
  <c r="AZ2388" i="1"/>
  <c r="AY2388" i="1"/>
  <c r="AX2388" i="1"/>
  <c r="AW2388" i="1"/>
  <c r="AU2388" i="1"/>
  <c r="AT2388" i="1"/>
  <c r="AS2388" i="1"/>
  <c r="K2388" i="1" a="1"/>
  <c r="K2388" i="1" s="1"/>
  <c r="J2388" i="1" a="1"/>
  <c r="J2388" i="1" s="1"/>
  <c r="F2388" i="1" a="1"/>
  <c r="F2388" i="1" s="1"/>
  <c r="AZ1703" i="1"/>
  <c r="AY1703" i="1"/>
  <c r="AX1703" i="1"/>
  <c r="AW1703" i="1"/>
  <c r="K1703" i="1" a="1"/>
  <c r="K1703" i="1" s="1"/>
  <c r="J1703" i="1" a="1"/>
  <c r="J1703" i="1" s="1"/>
  <c r="F1703" i="1" a="1"/>
  <c r="F1703" i="1" s="1"/>
  <c r="AZ1702" i="1"/>
  <c r="AY1702" i="1"/>
  <c r="AX1702" i="1"/>
  <c r="AW1702" i="1"/>
  <c r="K1702" i="1" a="1"/>
  <c r="K1702" i="1" s="1"/>
  <c r="J1702" i="1" a="1"/>
  <c r="J1702" i="1" s="1"/>
  <c r="F1702" i="1" a="1"/>
  <c r="F1702" i="1" s="1"/>
  <c r="AZ1701" i="1"/>
  <c r="AY1701" i="1"/>
  <c r="AX1701" i="1"/>
  <c r="AW1701" i="1"/>
  <c r="K1701" i="1" a="1"/>
  <c r="K1701" i="1" s="1"/>
  <c r="J1701" i="1" a="1"/>
  <c r="J1701" i="1" s="1"/>
  <c r="F1701" i="1" a="1"/>
  <c r="F1701" i="1" s="1"/>
  <c r="AZ1700" i="1"/>
  <c r="AY1700" i="1"/>
  <c r="AX1700" i="1"/>
  <c r="AW1700" i="1"/>
  <c r="K1700" i="1" a="1"/>
  <c r="K1700" i="1" s="1"/>
  <c r="J1700" i="1" a="1"/>
  <c r="J1700" i="1" s="1"/>
  <c r="F1700" i="1" a="1"/>
  <c r="F1700" i="1" s="1"/>
  <c r="AZ1699" i="1"/>
  <c r="AY1699" i="1"/>
  <c r="AX1699" i="1"/>
  <c r="AW1699" i="1"/>
  <c r="K1699" i="1" a="1"/>
  <c r="K1699" i="1" s="1"/>
  <c r="J1699" i="1" a="1"/>
  <c r="J1699" i="1" s="1"/>
  <c r="F1699" i="1" a="1"/>
  <c r="F1699" i="1" s="1"/>
  <c r="AZ1697" i="1"/>
  <c r="AY1697" i="1"/>
  <c r="AX1697" i="1"/>
  <c r="AW1697" i="1"/>
  <c r="K1697" i="1" a="1"/>
  <c r="K1697" i="1" s="1"/>
  <c r="J1697" i="1" a="1"/>
  <c r="J1697" i="1" s="1"/>
  <c r="F1697" i="1" a="1"/>
  <c r="F1697" i="1" s="1"/>
  <c r="AZ1696" i="1"/>
  <c r="AY1696" i="1"/>
  <c r="AX1696" i="1"/>
  <c r="AW1696" i="1"/>
  <c r="K1696" i="1" a="1"/>
  <c r="K1696" i="1" s="1"/>
  <c r="J1696" i="1" a="1"/>
  <c r="J1696" i="1" s="1"/>
  <c r="F1696" i="1" a="1"/>
  <c r="F1696" i="1" s="1"/>
  <c r="AZ1695" i="1"/>
  <c r="AY1695" i="1"/>
  <c r="AX1695" i="1"/>
  <c r="AW1695" i="1"/>
  <c r="K1695" i="1" a="1"/>
  <c r="K1695" i="1" s="1"/>
  <c r="J1695" i="1" a="1"/>
  <c r="J1695" i="1" s="1"/>
  <c r="F1695" i="1" a="1"/>
  <c r="F1695" i="1" s="1"/>
  <c r="AZ1694" i="1"/>
  <c r="AY1694" i="1"/>
  <c r="AX1694" i="1"/>
  <c r="AW1694" i="1"/>
  <c r="K1694" i="1" a="1"/>
  <c r="K1694" i="1" s="1"/>
  <c r="J1694" i="1" a="1"/>
  <c r="J1694" i="1" s="1"/>
  <c r="F1694" i="1" a="1"/>
  <c r="F1694" i="1" s="1"/>
  <c r="AZ1693" i="1"/>
  <c r="AY1693" i="1"/>
  <c r="AX1693" i="1"/>
  <c r="AW1693" i="1"/>
  <c r="K1693" i="1" a="1"/>
  <c r="K1693" i="1" s="1"/>
  <c r="J1693" i="1" a="1"/>
  <c r="J1693" i="1" s="1"/>
  <c r="F1693" i="1" a="1"/>
  <c r="F1693" i="1" s="1"/>
  <c r="AZ1691" i="1"/>
  <c r="AY1691" i="1"/>
  <c r="AX1691" i="1"/>
  <c r="AW1691" i="1"/>
  <c r="K1691" i="1" a="1"/>
  <c r="K1691" i="1" s="1"/>
  <c r="J1691" i="1" a="1"/>
  <c r="J1691" i="1" s="1"/>
  <c r="F1691" i="1" a="1"/>
  <c r="F1691" i="1" s="1"/>
  <c r="AZ1690" i="1"/>
  <c r="AY1690" i="1"/>
  <c r="AX1690" i="1"/>
  <c r="AW1690" i="1"/>
  <c r="K1690" i="1" a="1"/>
  <c r="K1690" i="1" s="1"/>
  <c r="J1690" i="1" a="1"/>
  <c r="J1690" i="1" s="1"/>
  <c r="F1690" i="1" a="1"/>
  <c r="F1690" i="1" s="1"/>
  <c r="AZ1689" i="1"/>
  <c r="AY1689" i="1"/>
  <c r="AX1689" i="1"/>
  <c r="AW1689" i="1"/>
  <c r="K1689" i="1" a="1"/>
  <c r="K1689" i="1" s="1"/>
  <c r="J1689" i="1" a="1"/>
  <c r="J1689" i="1" s="1"/>
  <c r="F1689" i="1" a="1"/>
  <c r="F1689" i="1" s="1"/>
  <c r="AZ1688" i="1"/>
  <c r="AY1688" i="1"/>
  <c r="AX1688" i="1"/>
  <c r="AW1688" i="1"/>
  <c r="K1688" i="1" a="1"/>
  <c r="K1688" i="1" s="1"/>
  <c r="J1688" i="1" a="1"/>
  <c r="J1688" i="1" s="1"/>
  <c r="F1688" i="1" a="1"/>
  <c r="F1688" i="1" s="1"/>
  <c r="AZ1687" i="1"/>
  <c r="AY1687" i="1"/>
  <c r="AX1687" i="1"/>
  <c r="AW1687" i="1"/>
  <c r="K1687" i="1" a="1"/>
  <c r="K1687" i="1" s="1"/>
  <c r="J1687" i="1" a="1"/>
  <c r="J1687" i="1" s="1"/>
  <c r="F1687" i="1" a="1"/>
  <c r="F1687" i="1" s="1"/>
  <c r="AZ1685" i="1"/>
  <c r="AY1685" i="1"/>
  <c r="AX1685" i="1"/>
  <c r="AW1685" i="1"/>
  <c r="K1685" i="1" a="1"/>
  <c r="K1685" i="1" s="1"/>
  <c r="J1685" i="1" a="1"/>
  <c r="J1685" i="1" s="1"/>
  <c r="F1685" i="1" a="1"/>
  <c r="F1685" i="1" s="1"/>
  <c r="AZ1684" i="1"/>
  <c r="AY1684" i="1"/>
  <c r="AX1684" i="1"/>
  <c r="AW1684" i="1"/>
  <c r="K1684" i="1" a="1"/>
  <c r="K1684" i="1" s="1"/>
  <c r="J1684" i="1" a="1"/>
  <c r="J1684" i="1" s="1"/>
  <c r="F1684" i="1" a="1"/>
  <c r="F1684" i="1" s="1"/>
  <c r="AZ1683" i="1"/>
  <c r="AY1683" i="1"/>
  <c r="AX1683" i="1"/>
  <c r="AW1683" i="1"/>
  <c r="K1683" i="1" a="1"/>
  <c r="K1683" i="1" s="1"/>
  <c r="J1683" i="1" a="1"/>
  <c r="J1683" i="1" s="1"/>
  <c r="F1683" i="1" a="1"/>
  <c r="F1683" i="1" s="1"/>
  <c r="AZ1682" i="1"/>
  <c r="AY1682" i="1"/>
  <c r="AX1682" i="1"/>
  <c r="AW1682" i="1"/>
  <c r="K1682" i="1" a="1"/>
  <c r="K1682" i="1" s="1"/>
  <c r="J1682" i="1" a="1"/>
  <c r="J1682" i="1" s="1"/>
  <c r="F1682" i="1" a="1"/>
  <c r="F1682" i="1" s="1"/>
  <c r="AZ1681" i="1"/>
  <c r="AY1681" i="1"/>
  <c r="AX1681" i="1"/>
  <c r="AW1681" i="1"/>
  <c r="K1681" i="1" a="1"/>
  <c r="K1681" i="1" s="1"/>
  <c r="J1681" i="1" a="1"/>
  <c r="J1681" i="1" s="1"/>
  <c r="F1681" i="1" a="1"/>
  <c r="F1681" i="1" s="1"/>
  <c r="AZ1679" i="1"/>
  <c r="AY1679" i="1"/>
  <c r="AX1679" i="1"/>
  <c r="AW1679" i="1"/>
  <c r="K1679" i="1" a="1"/>
  <c r="K1679" i="1" s="1"/>
  <c r="J1679" i="1" a="1"/>
  <c r="J1679" i="1" s="1"/>
  <c r="F1679" i="1" a="1"/>
  <c r="F1679" i="1" s="1"/>
  <c r="AZ1678" i="1"/>
  <c r="AY1678" i="1"/>
  <c r="AX1678" i="1"/>
  <c r="AW1678" i="1"/>
  <c r="K1678" i="1" a="1"/>
  <c r="K1678" i="1" s="1"/>
  <c r="J1678" i="1" a="1"/>
  <c r="J1678" i="1" s="1"/>
  <c r="F1678" i="1" a="1"/>
  <c r="F1678" i="1" s="1"/>
  <c r="AZ1677" i="1"/>
  <c r="AY1677" i="1"/>
  <c r="AX1677" i="1"/>
  <c r="AW1677" i="1"/>
  <c r="K1677" i="1" a="1"/>
  <c r="K1677" i="1" s="1"/>
  <c r="J1677" i="1" a="1"/>
  <c r="J1677" i="1" s="1"/>
  <c r="F1677" i="1" a="1"/>
  <c r="F1677" i="1" s="1"/>
  <c r="AZ1676" i="1"/>
  <c r="AY1676" i="1"/>
  <c r="AX1676" i="1"/>
  <c r="AW1676" i="1"/>
  <c r="K1676" i="1" a="1"/>
  <c r="K1676" i="1" s="1"/>
  <c r="J1676" i="1" a="1"/>
  <c r="J1676" i="1" s="1"/>
  <c r="F1676" i="1" a="1"/>
  <c r="F1676" i="1" s="1"/>
  <c r="AZ1675" i="1"/>
  <c r="AY1675" i="1"/>
  <c r="AX1675" i="1"/>
  <c r="AW1675" i="1"/>
  <c r="K1675" i="1" a="1"/>
  <c r="K1675" i="1" s="1"/>
  <c r="J1675" i="1" a="1"/>
  <c r="J1675" i="1" s="1"/>
  <c r="F1675" i="1" a="1"/>
  <c r="F1675" i="1" s="1"/>
  <c r="AZ1673" i="1"/>
  <c r="AY1673" i="1"/>
  <c r="AX1673" i="1"/>
  <c r="AW1673" i="1"/>
  <c r="K1673" i="1" a="1"/>
  <c r="K1673" i="1" s="1"/>
  <c r="J1673" i="1" a="1"/>
  <c r="J1673" i="1" s="1"/>
  <c r="F1673" i="1" a="1"/>
  <c r="F1673" i="1" s="1"/>
  <c r="AZ1672" i="1"/>
  <c r="AY1672" i="1"/>
  <c r="AX1672" i="1"/>
  <c r="AW1672" i="1"/>
  <c r="K1672" i="1" a="1"/>
  <c r="K1672" i="1" s="1"/>
  <c r="J1672" i="1" a="1"/>
  <c r="J1672" i="1" s="1"/>
  <c r="F1672" i="1" a="1"/>
  <c r="F1672" i="1" s="1"/>
  <c r="AZ1671" i="1"/>
  <c r="AY1671" i="1"/>
  <c r="AX1671" i="1"/>
  <c r="AW1671" i="1"/>
  <c r="K1671" i="1" a="1"/>
  <c r="K1671" i="1" s="1"/>
  <c r="J1671" i="1" a="1"/>
  <c r="J1671" i="1" s="1"/>
  <c r="F1671" i="1" a="1"/>
  <c r="F1671" i="1" s="1"/>
  <c r="AZ1670" i="1"/>
  <c r="AY1670" i="1"/>
  <c r="AX1670" i="1"/>
  <c r="AW1670" i="1"/>
  <c r="K1670" i="1" a="1"/>
  <c r="K1670" i="1" s="1"/>
  <c r="J1670" i="1" a="1"/>
  <c r="J1670" i="1" s="1"/>
  <c r="F1670" i="1" a="1"/>
  <c r="F1670" i="1" s="1"/>
  <c r="AZ1669" i="1"/>
  <c r="AY1669" i="1"/>
  <c r="AX1669" i="1"/>
  <c r="AW1669" i="1"/>
  <c r="K1669" i="1" a="1"/>
  <c r="K1669" i="1" s="1"/>
  <c r="J1669" i="1" a="1"/>
  <c r="J1669" i="1" s="1"/>
  <c r="F1669" i="1" a="1"/>
  <c r="F1669" i="1" s="1"/>
  <c r="AZ1667" i="1"/>
  <c r="AY1667" i="1"/>
  <c r="AX1667" i="1"/>
  <c r="AW1667" i="1"/>
  <c r="AU1667" i="1"/>
  <c r="AS1667" i="1"/>
  <c r="K1667" i="1" a="1"/>
  <c r="K1667" i="1" s="1"/>
  <c r="J1667" i="1" a="1"/>
  <c r="J1667" i="1" s="1"/>
  <c r="F1667" i="1" a="1"/>
  <c r="F1667" i="1" s="1"/>
  <c r="AZ1666" i="1"/>
  <c r="AY1666" i="1"/>
  <c r="AX1666" i="1"/>
  <c r="AW1666" i="1"/>
  <c r="AU1666" i="1"/>
  <c r="AS1666" i="1"/>
  <c r="K1666" i="1" a="1"/>
  <c r="K1666" i="1" s="1"/>
  <c r="J1666" i="1" a="1"/>
  <c r="J1666" i="1" s="1"/>
  <c r="F1666" i="1" a="1"/>
  <c r="F1666" i="1" s="1"/>
  <c r="AZ1665" i="1"/>
  <c r="AY1665" i="1"/>
  <c r="AX1665" i="1"/>
  <c r="AW1665" i="1"/>
  <c r="AU1665" i="1"/>
  <c r="AS1665" i="1"/>
  <c r="K1665" i="1" a="1"/>
  <c r="K1665" i="1" s="1"/>
  <c r="J1665" i="1" a="1"/>
  <c r="J1665" i="1" s="1"/>
  <c r="F1665" i="1" a="1"/>
  <c r="F1665" i="1" s="1"/>
  <c r="AZ1664" i="1"/>
  <c r="AY1664" i="1"/>
  <c r="AX1664" i="1"/>
  <c r="AW1664" i="1"/>
  <c r="AU1664" i="1"/>
  <c r="AS1664" i="1"/>
  <c r="K1664" i="1" a="1"/>
  <c r="K1664" i="1" s="1"/>
  <c r="J1664" i="1" a="1"/>
  <c r="J1664" i="1" s="1"/>
  <c r="F1664" i="1" a="1"/>
  <c r="F1664" i="1" s="1"/>
  <c r="AZ1663" i="1"/>
  <c r="AY1663" i="1"/>
  <c r="AX1663" i="1"/>
  <c r="AW1663" i="1"/>
  <c r="AU1663" i="1"/>
  <c r="AS1663" i="1"/>
  <c r="K1663" i="1" a="1"/>
  <c r="K1663" i="1" s="1"/>
  <c r="J1663" i="1" a="1"/>
  <c r="J1663" i="1" s="1"/>
  <c r="F1663" i="1" a="1"/>
  <c r="F1663" i="1" s="1"/>
  <c r="AZ1661" i="1"/>
  <c r="AY1661" i="1"/>
  <c r="AX1661" i="1"/>
  <c r="AW1661" i="1"/>
  <c r="AU1661" i="1"/>
  <c r="AT1661" i="1"/>
  <c r="AS1661" i="1"/>
  <c r="K1661" i="1" a="1"/>
  <c r="K1661" i="1" s="1"/>
  <c r="J1661" i="1" a="1"/>
  <c r="J1661" i="1" s="1"/>
  <c r="F1661" i="1" a="1"/>
  <c r="F1661" i="1" s="1"/>
  <c r="AZ1660" i="1"/>
  <c r="AY1660" i="1"/>
  <c r="AX1660" i="1"/>
  <c r="AW1660" i="1"/>
  <c r="AU1660" i="1"/>
  <c r="AT1660" i="1"/>
  <c r="AS1660" i="1"/>
  <c r="K1660" i="1" a="1"/>
  <c r="K1660" i="1" s="1"/>
  <c r="J1660" i="1" a="1"/>
  <c r="J1660" i="1" s="1"/>
  <c r="F1660" i="1" a="1"/>
  <c r="F1660" i="1" s="1"/>
  <c r="AZ1659" i="1"/>
  <c r="AY1659" i="1"/>
  <c r="AX1659" i="1"/>
  <c r="AW1659" i="1"/>
  <c r="AU1659" i="1"/>
  <c r="AT1659" i="1"/>
  <c r="AS1659" i="1"/>
  <c r="K1659" i="1" a="1"/>
  <c r="K1659" i="1" s="1"/>
  <c r="J1659" i="1" a="1"/>
  <c r="J1659" i="1" s="1"/>
  <c r="F1659" i="1" a="1"/>
  <c r="F1659" i="1" s="1"/>
  <c r="AZ1658" i="1"/>
  <c r="AY1658" i="1"/>
  <c r="AX1658" i="1"/>
  <c r="AW1658" i="1"/>
  <c r="AU1658" i="1"/>
  <c r="AT1658" i="1"/>
  <c r="AS1658" i="1"/>
  <c r="K1658" i="1" a="1"/>
  <c r="K1658" i="1" s="1"/>
  <c r="J1658" i="1" a="1"/>
  <c r="J1658" i="1" s="1"/>
  <c r="F1658" i="1" a="1"/>
  <c r="F1658" i="1" s="1"/>
  <c r="AZ1657" i="1"/>
  <c r="AY1657" i="1"/>
  <c r="AX1657" i="1"/>
  <c r="AW1657" i="1"/>
  <c r="AU1657" i="1"/>
  <c r="AT1657" i="1"/>
  <c r="AS1657" i="1"/>
  <c r="K1657" i="1" a="1"/>
  <c r="K1657" i="1" s="1"/>
  <c r="J1657" i="1" a="1"/>
  <c r="J1657" i="1" s="1"/>
  <c r="F1657" i="1" a="1"/>
  <c r="F1657" i="1" s="1"/>
  <c r="AZ1655" i="1"/>
  <c r="AY1655" i="1"/>
  <c r="AX1655" i="1"/>
  <c r="AW1655" i="1"/>
  <c r="K1655" i="1" a="1"/>
  <c r="K1655" i="1" s="1"/>
  <c r="J1655" i="1" a="1"/>
  <c r="J1655" i="1" s="1"/>
  <c r="F1655" i="1" a="1"/>
  <c r="F1655" i="1" s="1"/>
  <c r="AZ1654" i="1"/>
  <c r="AY1654" i="1"/>
  <c r="AX1654" i="1"/>
  <c r="AW1654" i="1"/>
  <c r="K1654" i="1" a="1"/>
  <c r="K1654" i="1" s="1"/>
  <c r="J1654" i="1" a="1"/>
  <c r="J1654" i="1" s="1"/>
  <c r="F1654" i="1" a="1"/>
  <c r="F1654" i="1" s="1"/>
  <c r="AZ1653" i="1"/>
  <c r="AY1653" i="1"/>
  <c r="AX1653" i="1"/>
  <c r="AW1653" i="1"/>
  <c r="K1653" i="1" a="1"/>
  <c r="K1653" i="1" s="1"/>
  <c r="J1653" i="1" a="1"/>
  <c r="J1653" i="1" s="1"/>
  <c r="F1653" i="1" a="1"/>
  <c r="F1653" i="1" s="1"/>
  <c r="AZ1652" i="1"/>
  <c r="AY1652" i="1"/>
  <c r="AX1652" i="1"/>
  <c r="AW1652" i="1"/>
  <c r="K1652" i="1" a="1"/>
  <c r="K1652" i="1" s="1"/>
  <c r="J1652" i="1" a="1"/>
  <c r="J1652" i="1" s="1"/>
  <c r="F1652" i="1" a="1"/>
  <c r="F1652" i="1" s="1"/>
  <c r="AZ1651" i="1"/>
  <c r="AY1651" i="1"/>
  <c r="AX1651" i="1"/>
  <c r="AW1651" i="1"/>
  <c r="K1651" i="1" a="1"/>
  <c r="K1651" i="1" s="1"/>
  <c r="J1651" i="1" a="1"/>
  <c r="J1651" i="1" s="1"/>
  <c r="F1651" i="1" a="1"/>
  <c r="F1651" i="1" s="1"/>
  <c r="AZ1649" i="1"/>
  <c r="AY1649" i="1"/>
  <c r="AX1649" i="1"/>
  <c r="AW1649" i="1"/>
  <c r="K1649" i="1" a="1"/>
  <c r="K1649" i="1" s="1"/>
  <c r="J1649" i="1" a="1"/>
  <c r="J1649" i="1" s="1"/>
  <c r="F1649" i="1" a="1"/>
  <c r="F1649" i="1" s="1"/>
  <c r="AZ1648" i="1"/>
  <c r="AY1648" i="1"/>
  <c r="AX1648" i="1"/>
  <c r="AW1648" i="1"/>
  <c r="K1648" i="1" a="1"/>
  <c r="K1648" i="1" s="1"/>
  <c r="J1648" i="1" a="1"/>
  <c r="J1648" i="1" s="1"/>
  <c r="F1648" i="1" a="1"/>
  <c r="F1648" i="1" s="1"/>
  <c r="AZ1647" i="1"/>
  <c r="AY1647" i="1"/>
  <c r="AX1647" i="1"/>
  <c r="AW1647" i="1"/>
  <c r="K1647" i="1" a="1"/>
  <c r="K1647" i="1" s="1"/>
  <c r="J1647" i="1" a="1"/>
  <c r="J1647" i="1" s="1"/>
  <c r="F1647" i="1" a="1"/>
  <c r="F1647" i="1" s="1"/>
  <c r="AZ1646" i="1"/>
  <c r="AY1646" i="1"/>
  <c r="AX1646" i="1"/>
  <c r="AW1646" i="1"/>
  <c r="K1646" i="1" a="1"/>
  <c r="K1646" i="1" s="1"/>
  <c r="J1646" i="1" a="1"/>
  <c r="J1646" i="1" s="1"/>
  <c r="F1646" i="1" a="1"/>
  <c r="F1646" i="1" s="1"/>
  <c r="AZ1645" i="1"/>
  <c r="AY1645" i="1"/>
  <c r="AX1645" i="1"/>
  <c r="AW1645" i="1"/>
  <c r="K1645" i="1" a="1"/>
  <c r="K1645" i="1" s="1"/>
  <c r="J1645" i="1" a="1"/>
  <c r="J1645" i="1" s="1"/>
  <c r="F1645" i="1" a="1"/>
  <c r="F1645" i="1" s="1"/>
  <c r="AZ1709" i="1"/>
  <c r="AY1709" i="1"/>
  <c r="AX1709" i="1"/>
  <c r="AW1709" i="1"/>
  <c r="K1709" i="1" a="1"/>
  <c r="K1709" i="1" s="1"/>
  <c r="J1709" i="1" a="1"/>
  <c r="J1709" i="1" s="1"/>
  <c r="F1709" i="1" a="1"/>
  <c r="F1709" i="1" s="1"/>
  <c r="AZ1708" i="1"/>
  <c r="AY1708" i="1"/>
  <c r="AX1708" i="1"/>
  <c r="AW1708" i="1"/>
  <c r="K1708" i="1" a="1"/>
  <c r="K1708" i="1" s="1"/>
  <c r="J1708" i="1" a="1"/>
  <c r="J1708" i="1" s="1"/>
  <c r="F1708" i="1" a="1"/>
  <c r="F1708" i="1" s="1"/>
  <c r="AZ1707" i="1"/>
  <c r="AY1707" i="1"/>
  <c r="AX1707" i="1"/>
  <c r="AW1707" i="1"/>
  <c r="K1707" i="1" a="1"/>
  <c r="K1707" i="1" s="1"/>
  <c r="J1707" i="1" a="1"/>
  <c r="J1707" i="1" s="1"/>
  <c r="F1707" i="1" a="1"/>
  <c r="F1707" i="1" s="1"/>
  <c r="AZ1706" i="1"/>
  <c r="AY1706" i="1"/>
  <c r="AX1706" i="1"/>
  <c r="AW1706" i="1"/>
  <c r="K1706" i="1" a="1"/>
  <c r="K1706" i="1" s="1"/>
  <c r="J1706" i="1" a="1"/>
  <c r="J1706" i="1" s="1"/>
  <c r="F1706" i="1" a="1"/>
  <c r="F1706" i="1" s="1"/>
  <c r="AZ1705" i="1"/>
  <c r="AY1705" i="1"/>
  <c r="AX1705" i="1"/>
  <c r="AW1705" i="1"/>
  <c r="K1705" i="1" a="1"/>
  <c r="K1705" i="1" s="1"/>
  <c r="J1705" i="1" a="1"/>
  <c r="J1705" i="1" s="1"/>
  <c r="F1705" i="1" a="1"/>
  <c r="F1705" i="1" s="1"/>
  <c r="AZ1704" i="1"/>
  <c r="AY1704" i="1"/>
  <c r="AX1704" i="1"/>
  <c r="AW1704" i="1"/>
  <c r="K1704" i="1" a="1"/>
  <c r="K1704" i="1" s="1"/>
  <c r="J1704" i="1" a="1"/>
  <c r="J1704" i="1" s="1"/>
  <c r="F1704" i="1" a="1"/>
  <c r="F1704" i="1" s="1"/>
  <c r="AZ1804" i="1"/>
  <c r="AY1804" i="1"/>
  <c r="AX1804" i="1"/>
  <c r="AW1804" i="1"/>
  <c r="AU1804" i="1"/>
  <c r="AS1804" i="1"/>
  <c r="K1804" i="1" a="1"/>
  <c r="K1804" i="1" s="1"/>
  <c r="J1804" i="1" a="1"/>
  <c r="J1804" i="1" s="1"/>
  <c r="F1804" i="1" a="1"/>
  <c r="F1804" i="1" s="1"/>
  <c r="AZ1805" i="1"/>
  <c r="AY1805" i="1"/>
  <c r="AX1805" i="1"/>
  <c r="AW1805" i="1"/>
  <c r="AU1805" i="1"/>
  <c r="AS1805" i="1"/>
  <c r="K1805" i="1" a="1"/>
  <c r="K1805" i="1" s="1"/>
  <c r="J1805" i="1" a="1"/>
  <c r="J1805" i="1" s="1"/>
  <c r="F1805" i="1" a="1"/>
  <c r="F1805" i="1" s="1"/>
  <c r="AZ1803" i="1"/>
  <c r="AY1803" i="1"/>
  <c r="AX1803" i="1"/>
  <c r="AW1803" i="1"/>
  <c r="AU1803" i="1"/>
  <c r="AS1803" i="1"/>
  <c r="K1803" i="1" a="1"/>
  <c r="K1803" i="1" s="1"/>
  <c r="J1803" i="1" a="1"/>
  <c r="J1803" i="1" s="1"/>
  <c r="F1803" i="1" a="1"/>
  <c r="F1803" i="1" s="1"/>
  <c r="AZ1802" i="1"/>
  <c r="AY1802" i="1"/>
  <c r="AX1802" i="1"/>
  <c r="AW1802" i="1"/>
  <c r="AU1802" i="1"/>
  <c r="AS1802" i="1"/>
  <c r="K1802" i="1" a="1"/>
  <c r="K1802" i="1" s="1"/>
  <c r="J1802" i="1" a="1"/>
  <c r="J1802" i="1" s="1"/>
  <c r="F1802" i="1" a="1"/>
  <c r="F1802" i="1" s="1"/>
  <c r="AZ1801" i="1"/>
  <c r="AY1801" i="1"/>
  <c r="AX1801" i="1"/>
  <c r="AW1801" i="1"/>
  <c r="AU1801" i="1"/>
  <c r="AS1801" i="1"/>
  <c r="K1801" i="1" a="1"/>
  <c r="K1801" i="1" s="1"/>
  <c r="J1801" i="1" a="1"/>
  <c r="J1801" i="1" s="1"/>
  <c r="F1801" i="1" a="1"/>
  <c r="F1801" i="1" s="1"/>
  <c r="AZ1800" i="1"/>
  <c r="AY1800" i="1"/>
  <c r="AX1800" i="1"/>
  <c r="AW1800" i="1"/>
  <c r="AU1800" i="1"/>
  <c r="AS1800" i="1"/>
  <c r="K1800" i="1" a="1"/>
  <c r="K1800" i="1" s="1"/>
  <c r="J1800" i="1" a="1"/>
  <c r="J1800" i="1" s="1"/>
  <c r="F1800" i="1" a="1"/>
  <c r="F1800" i="1" s="1"/>
  <c r="AZ1798" i="1"/>
  <c r="AY1798" i="1"/>
  <c r="AX1798" i="1"/>
  <c r="AW1798" i="1"/>
  <c r="AU1798" i="1"/>
  <c r="AS1798" i="1"/>
  <c r="K1798" i="1" a="1"/>
  <c r="K1798" i="1" s="1"/>
  <c r="J1798" i="1" a="1"/>
  <c r="J1798" i="1" s="1"/>
  <c r="F1798" i="1" a="1"/>
  <c r="F1798" i="1" s="1"/>
  <c r="AZ1797" i="1"/>
  <c r="AY1797" i="1"/>
  <c r="AX1797" i="1"/>
  <c r="AW1797" i="1"/>
  <c r="AU1797" i="1"/>
  <c r="AS1797" i="1"/>
  <c r="K1797" i="1" a="1"/>
  <c r="K1797" i="1" s="1"/>
  <c r="J1797" i="1" a="1"/>
  <c r="J1797" i="1" s="1"/>
  <c r="F1797" i="1" a="1"/>
  <c r="F1797" i="1" s="1"/>
  <c r="AZ1796" i="1"/>
  <c r="AY1796" i="1"/>
  <c r="AX1796" i="1"/>
  <c r="AW1796" i="1"/>
  <c r="AU1796" i="1"/>
  <c r="AS1796" i="1"/>
  <c r="K1796" i="1" a="1"/>
  <c r="K1796" i="1" s="1"/>
  <c r="J1796" i="1" a="1"/>
  <c r="J1796" i="1" s="1"/>
  <c r="F1796" i="1" a="1"/>
  <c r="F1796" i="1" s="1"/>
  <c r="AZ1795" i="1"/>
  <c r="AY1795" i="1"/>
  <c r="AX1795" i="1"/>
  <c r="AW1795" i="1"/>
  <c r="AU1795" i="1"/>
  <c r="AS1795" i="1"/>
  <c r="K1795" i="1" a="1"/>
  <c r="K1795" i="1" s="1"/>
  <c r="J1795" i="1" a="1"/>
  <c r="J1795" i="1" s="1"/>
  <c r="F1795" i="1" a="1"/>
  <c r="F1795" i="1" s="1"/>
  <c r="AZ1793" i="1"/>
  <c r="AY1793" i="1"/>
  <c r="AX1793" i="1"/>
  <c r="AW1793" i="1"/>
  <c r="AU1793" i="1"/>
  <c r="AS1793" i="1"/>
  <c r="K1793" i="1" a="1"/>
  <c r="K1793" i="1" s="1"/>
  <c r="J1793" i="1" a="1"/>
  <c r="J1793" i="1" s="1"/>
  <c r="F1793" i="1" a="1"/>
  <c r="F1793" i="1" s="1"/>
  <c r="AZ1792" i="1"/>
  <c r="AY1792" i="1"/>
  <c r="AX1792" i="1"/>
  <c r="AW1792" i="1"/>
  <c r="AU1792" i="1"/>
  <c r="AS1792" i="1"/>
  <c r="K1792" i="1" a="1"/>
  <c r="K1792" i="1" s="1"/>
  <c r="J1792" i="1" a="1"/>
  <c r="J1792" i="1" s="1"/>
  <c r="F1792" i="1" a="1"/>
  <c r="F1792" i="1" s="1"/>
  <c r="AZ1791" i="1"/>
  <c r="AY1791" i="1"/>
  <c r="AX1791" i="1"/>
  <c r="AW1791" i="1"/>
  <c r="AU1791" i="1"/>
  <c r="AS1791" i="1"/>
  <c r="K1791" i="1" a="1"/>
  <c r="K1791" i="1" s="1"/>
  <c r="J1791" i="1" a="1"/>
  <c r="J1791" i="1" s="1"/>
  <c r="F1791" i="1" a="1"/>
  <c r="F1791" i="1" s="1"/>
  <c r="AZ1790" i="1"/>
  <c r="AY1790" i="1"/>
  <c r="AX1790" i="1"/>
  <c r="AW1790" i="1"/>
  <c r="AU1790" i="1"/>
  <c r="AS1790" i="1"/>
  <c r="K1790" i="1" a="1"/>
  <c r="K1790" i="1" s="1"/>
  <c r="J1790" i="1" a="1"/>
  <c r="J1790" i="1" s="1"/>
  <c r="F1790" i="1" a="1"/>
  <c r="F1790" i="1" s="1"/>
  <c r="AZ1789" i="1"/>
  <c r="AY1789" i="1"/>
  <c r="AX1789" i="1"/>
  <c r="AW1789" i="1"/>
  <c r="AU1789" i="1"/>
  <c r="AS1789" i="1"/>
  <c r="K1789" i="1" a="1"/>
  <c r="K1789" i="1" s="1"/>
  <c r="J1789" i="1" a="1"/>
  <c r="J1789" i="1" s="1"/>
  <c r="F1789" i="1" a="1"/>
  <c r="F1789" i="1" s="1"/>
  <c r="AZ1787" i="1"/>
  <c r="AY1787" i="1"/>
  <c r="AX1787" i="1"/>
  <c r="AW1787" i="1"/>
  <c r="AU1787" i="1"/>
  <c r="AS1787" i="1"/>
  <c r="K1787" i="1" a="1"/>
  <c r="K1787" i="1" s="1"/>
  <c r="J1787" i="1" a="1"/>
  <c r="J1787" i="1" s="1"/>
  <c r="F1787" i="1" a="1"/>
  <c r="F1787" i="1" s="1"/>
  <c r="AZ1786" i="1"/>
  <c r="AY1786" i="1"/>
  <c r="AX1786" i="1"/>
  <c r="AW1786" i="1"/>
  <c r="AU1786" i="1"/>
  <c r="AS1786" i="1"/>
  <c r="K1786" i="1" a="1"/>
  <c r="K1786" i="1" s="1"/>
  <c r="J1786" i="1" a="1"/>
  <c r="J1786" i="1" s="1"/>
  <c r="F1786" i="1" a="1"/>
  <c r="F1786" i="1" s="1"/>
  <c r="AZ1785" i="1"/>
  <c r="AY1785" i="1"/>
  <c r="AX1785" i="1"/>
  <c r="AW1785" i="1"/>
  <c r="AU1785" i="1"/>
  <c r="AS1785" i="1"/>
  <c r="K1785" i="1" a="1"/>
  <c r="K1785" i="1" s="1"/>
  <c r="J1785" i="1" a="1"/>
  <c r="J1785" i="1" s="1"/>
  <c r="F1785" i="1" a="1"/>
  <c r="F1785" i="1" s="1"/>
  <c r="AZ1784" i="1"/>
  <c r="AY1784" i="1"/>
  <c r="AX1784" i="1"/>
  <c r="AW1784" i="1"/>
  <c r="AU1784" i="1"/>
  <c r="AS1784" i="1"/>
  <c r="K1784" i="1" a="1"/>
  <c r="K1784" i="1" s="1"/>
  <c r="J1784" i="1" a="1"/>
  <c r="J1784" i="1" s="1"/>
  <c r="F1784" i="1" a="1"/>
  <c r="F1784" i="1" s="1"/>
  <c r="AZ1783" i="1"/>
  <c r="AY1783" i="1"/>
  <c r="AX1783" i="1"/>
  <c r="AW1783" i="1"/>
  <c r="AU1783" i="1"/>
  <c r="AS1783" i="1"/>
  <c r="K1783" i="1" a="1"/>
  <c r="K1783" i="1" s="1"/>
  <c r="J1783" i="1" a="1"/>
  <c r="J1783" i="1" s="1"/>
  <c r="F1783" i="1" a="1"/>
  <c r="F1783" i="1" s="1"/>
  <c r="AZ1781" i="1"/>
  <c r="AY1781" i="1"/>
  <c r="AX1781" i="1"/>
  <c r="AW1781" i="1"/>
  <c r="AU1781" i="1"/>
  <c r="AT1781" i="1"/>
  <c r="AS1781" i="1"/>
  <c r="K1781" i="1" a="1"/>
  <c r="K1781" i="1" s="1"/>
  <c r="J1781" i="1" a="1"/>
  <c r="J1781" i="1" s="1"/>
  <c r="F1781" i="1" a="1"/>
  <c r="F1781" i="1" s="1"/>
  <c r="AZ1780" i="1"/>
  <c r="AY1780" i="1"/>
  <c r="AX1780" i="1"/>
  <c r="AW1780" i="1"/>
  <c r="AU1780" i="1"/>
  <c r="AT1780" i="1"/>
  <c r="AS1780" i="1"/>
  <c r="K1780" i="1" a="1"/>
  <c r="K1780" i="1" s="1"/>
  <c r="J1780" i="1" a="1"/>
  <c r="J1780" i="1" s="1"/>
  <c r="F1780" i="1" a="1"/>
  <c r="F1780" i="1" s="1"/>
  <c r="AZ1779" i="1"/>
  <c r="AY1779" i="1"/>
  <c r="AX1779" i="1"/>
  <c r="AW1779" i="1"/>
  <c r="AU1779" i="1"/>
  <c r="AT1779" i="1"/>
  <c r="AS1779" i="1"/>
  <c r="K1779" i="1" a="1"/>
  <c r="K1779" i="1" s="1"/>
  <c r="J1779" i="1" a="1"/>
  <c r="J1779" i="1" s="1"/>
  <c r="F1779" i="1" a="1"/>
  <c r="F1779" i="1" s="1"/>
  <c r="AZ1778" i="1"/>
  <c r="AY1778" i="1"/>
  <c r="AX1778" i="1"/>
  <c r="AW1778" i="1"/>
  <c r="AU1778" i="1"/>
  <c r="AT1778" i="1"/>
  <c r="AS1778" i="1"/>
  <c r="K1778" i="1" a="1"/>
  <c r="K1778" i="1" s="1"/>
  <c r="J1778" i="1" a="1"/>
  <c r="J1778" i="1" s="1"/>
  <c r="F1778" i="1" a="1"/>
  <c r="F1778" i="1" s="1"/>
  <c r="AZ1777" i="1"/>
  <c r="AY1777" i="1"/>
  <c r="AX1777" i="1"/>
  <c r="AW1777" i="1"/>
  <c r="AU1777" i="1"/>
  <c r="AT1777" i="1"/>
  <c r="AS1777" i="1"/>
  <c r="K1777" i="1" a="1"/>
  <c r="K1777" i="1" s="1"/>
  <c r="J1777" i="1" a="1"/>
  <c r="J1777" i="1" s="1"/>
  <c r="F1777" i="1" a="1"/>
  <c r="F1777" i="1" s="1"/>
  <c r="AZ1775" i="1"/>
  <c r="AY1775" i="1"/>
  <c r="AX1775" i="1"/>
  <c r="AW1775" i="1"/>
  <c r="AU1775" i="1"/>
  <c r="AS1775" i="1"/>
  <c r="K1775" i="1" a="1"/>
  <c r="K1775" i="1" s="1"/>
  <c r="J1775" i="1" a="1"/>
  <c r="J1775" i="1" s="1"/>
  <c r="F1775" i="1" a="1"/>
  <c r="F1775" i="1" s="1"/>
  <c r="AZ1774" i="1"/>
  <c r="AY1774" i="1"/>
  <c r="AX1774" i="1"/>
  <c r="AW1774" i="1"/>
  <c r="AU1774" i="1"/>
  <c r="AS1774" i="1"/>
  <c r="K1774" i="1" a="1"/>
  <c r="K1774" i="1" s="1"/>
  <c r="J1774" i="1" a="1"/>
  <c r="J1774" i="1" s="1"/>
  <c r="F1774" i="1" a="1"/>
  <c r="F1774" i="1" s="1"/>
  <c r="E1774" i="1" s="1" a="1"/>
  <c r="E1774" i="1" s="1"/>
  <c r="AZ1773" i="1"/>
  <c r="AY1773" i="1"/>
  <c r="AX1773" i="1"/>
  <c r="AW1773" i="1"/>
  <c r="AU1773" i="1"/>
  <c r="AS1773" i="1"/>
  <c r="K1773" i="1" a="1"/>
  <c r="K1773" i="1" s="1"/>
  <c r="J1773" i="1" a="1"/>
  <c r="J1773" i="1" s="1"/>
  <c r="F1773" i="1" a="1"/>
  <c r="F1773" i="1" s="1"/>
  <c r="AZ1772" i="1"/>
  <c r="AY1772" i="1"/>
  <c r="AX1772" i="1"/>
  <c r="AW1772" i="1"/>
  <c r="AU1772" i="1"/>
  <c r="AS1772" i="1"/>
  <c r="K1772" i="1" a="1"/>
  <c r="K1772" i="1" s="1"/>
  <c r="J1772" i="1" a="1"/>
  <c r="J1772" i="1" s="1"/>
  <c r="F1772" i="1" a="1"/>
  <c r="F1772" i="1" s="1"/>
  <c r="AZ1771" i="1"/>
  <c r="AY1771" i="1"/>
  <c r="AX1771" i="1"/>
  <c r="AW1771" i="1"/>
  <c r="AU1771" i="1"/>
  <c r="AS1771" i="1"/>
  <c r="K1771" i="1" a="1"/>
  <c r="K1771" i="1" s="1"/>
  <c r="J1771" i="1" a="1"/>
  <c r="J1771" i="1" s="1"/>
  <c r="F1771" i="1" a="1"/>
  <c r="F1771" i="1" s="1"/>
  <c r="AZ1769" i="1"/>
  <c r="AY1769" i="1"/>
  <c r="AX1769" i="1"/>
  <c r="AW1769" i="1"/>
  <c r="AU1769" i="1"/>
  <c r="AS1769" i="1"/>
  <c r="K1769" i="1" a="1"/>
  <c r="K1769" i="1" s="1"/>
  <c r="J1769" i="1" a="1"/>
  <c r="J1769" i="1" s="1"/>
  <c r="F1769" i="1" a="1"/>
  <c r="F1769" i="1" s="1"/>
  <c r="AZ1768" i="1"/>
  <c r="AY1768" i="1"/>
  <c r="AX1768" i="1"/>
  <c r="AW1768" i="1"/>
  <c r="AU1768" i="1"/>
  <c r="AS1768" i="1"/>
  <c r="K1768" i="1" a="1"/>
  <c r="K1768" i="1" s="1"/>
  <c r="J1768" i="1" a="1"/>
  <c r="J1768" i="1" s="1"/>
  <c r="F1768" i="1" a="1"/>
  <c r="F1768" i="1" s="1"/>
  <c r="AZ1767" i="1"/>
  <c r="AY1767" i="1"/>
  <c r="AX1767" i="1"/>
  <c r="AW1767" i="1"/>
  <c r="AU1767" i="1"/>
  <c r="AS1767" i="1"/>
  <c r="K1767" i="1" a="1"/>
  <c r="K1767" i="1" s="1"/>
  <c r="J1767" i="1" a="1"/>
  <c r="J1767" i="1" s="1"/>
  <c r="F1767" i="1" a="1"/>
  <c r="F1767" i="1" s="1"/>
  <c r="AZ1766" i="1"/>
  <c r="AY1766" i="1"/>
  <c r="AX1766" i="1"/>
  <c r="AW1766" i="1"/>
  <c r="AU1766" i="1"/>
  <c r="AS1766" i="1"/>
  <c r="K1766" i="1" a="1"/>
  <c r="K1766" i="1" s="1"/>
  <c r="J1766" i="1" a="1"/>
  <c r="J1766" i="1" s="1"/>
  <c r="F1766" i="1" a="1"/>
  <c r="F1766" i="1" s="1"/>
  <c r="AZ1765" i="1"/>
  <c r="AY1765" i="1"/>
  <c r="AX1765" i="1"/>
  <c r="AW1765" i="1"/>
  <c r="AU1765" i="1"/>
  <c r="AS1765" i="1"/>
  <c r="K1765" i="1" a="1"/>
  <c r="K1765" i="1" s="1"/>
  <c r="J1765" i="1" a="1"/>
  <c r="J1765" i="1" s="1"/>
  <c r="F1765" i="1" a="1"/>
  <c r="F1765" i="1" s="1"/>
  <c r="AZ1763" i="1"/>
  <c r="AY1763" i="1"/>
  <c r="AX1763" i="1"/>
  <c r="AW1763" i="1"/>
  <c r="AU1763" i="1"/>
  <c r="AT1763" i="1"/>
  <c r="AS1763" i="1"/>
  <c r="K1763" i="1" a="1"/>
  <c r="K1763" i="1" s="1"/>
  <c r="J1763" i="1" a="1"/>
  <c r="J1763" i="1" s="1"/>
  <c r="F1763" i="1" a="1"/>
  <c r="F1763" i="1" s="1"/>
  <c r="AZ1762" i="1"/>
  <c r="AY1762" i="1"/>
  <c r="AX1762" i="1"/>
  <c r="AW1762" i="1"/>
  <c r="AU1762" i="1"/>
  <c r="AT1762" i="1"/>
  <c r="AS1762" i="1"/>
  <c r="K1762" i="1" a="1"/>
  <c r="K1762" i="1" s="1"/>
  <c r="J1762" i="1" a="1"/>
  <c r="J1762" i="1" s="1"/>
  <c r="F1762" i="1" a="1"/>
  <c r="F1762" i="1" s="1"/>
  <c r="AZ1761" i="1"/>
  <c r="AY1761" i="1"/>
  <c r="AX1761" i="1"/>
  <c r="AW1761" i="1"/>
  <c r="AU1761" i="1"/>
  <c r="AT1761" i="1"/>
  <c r="AS1761" i="1"/>
  <c r="K1761" i="1" a="1"/>
  <c r="K1761" i="1" s="1"/>
  <c r="J1761" i="1" a="1"/>
  <c r="J1761" i="1" s="1"/>
  <c r="F1761" i="1" a="1"/>
  <c r="F1761" i="1" s="1"/>
  <c r="AZ1760" i="1"/>
  <c r="AY1760" i="1"/>
  <c r="AX1760" i="1"/>
  <c r="AW1760" i="1"/>
  <c r="AU1760" i="1"/>
  <c r="AT1760" i="1"/>
  <c r="AS1760" i="1"/>
  <c r="K1760" i="1" a="1"/>
  <c r="K1760" i="1" s="1"/>
  <c r="J1760" i="1" a="1"/>
  <c r="J1760" i="1" s="1"/>
  <c r="F1760" i="1" a="1"/>
  <c r="F1760" i="1" s="1"/>
  <c r="AZ1759" i="1"/>
  <c r="AY1759" i="1"/>
  <c r="AX1759" i="1"/>
  <c r="AW1759" i="1"/>
  <c r="AU1759" i="1"/>
  <c r="AT1759" i="1"/>
  <c r="AS1759" i="1"/>
  <c r="K1759" i="1" a="1"/>
  <c r="K1759" i="1" s="1"/>
  <c r="J1759" i="1" a="1"/>
  <c r="J1759" i="1" s="1"/>
  <c r="F1759" i="1" a="1"/>
  <c r="F1759" i="1" s="1"/>
  <c r="AZ1757" i="1"/>
  <c r="AY1757" i="1"/>
  <c r="AX1757" i="1"/>
  <c r="AW1757" i="1"/>
  <c r="AU1757" i="1"/>
  <c r="AT1757" i="1"/>
  <c r="AS1757" i="1"/>
  <c r="K1757" i="1" a="1"/>
  <c r="K1757" i="1" s="1"/>
  <c r="J1757" i="1" a="1"/>
  <c r="J1757" i="1" s="1"/>
  <c r="F1757" i="1" a="1"/>
  <c r="F1757" i="1" s="1"/>
  <c r="AZ1756" i="1"/>
  <c r="AY1756" i="1"/>
  <c r="AX1756" i="1"/>
  <c r="AW1756" i="1"/>
  <c r="AU1756" i="1"/>
  <c r="AT1756" i="1"/>
  <c r="AS1756" i="1"/>
  <c r="K1756" i="1" a="1"/>
  <c r="K1756" i="1" s="1"/>
  <c r="J1756" i="1" a="1"/>
  <c r="J1756" i="1" s="1"/>
  <c r="F1756" i="1" a="1"/>
  <c r="F1756" i="1" s="1"/>
  <c r="AZ1755" i="1"/>
  <c r="AY1755" i="1"/>
  <c r="AX1755" i="1"/>
  <c r="AW1755" i="1"/>
  <c r="AU1755" i="1"/>
  <c r="AT1755" i="1"/>
  <c r="AS1755" i="1"/>
  <c r="K1755" i="1" a="1"/>
  <c r="K1755" i="1" s="1"/>
  <c r="J1755" i="1" a="1"/>
  <c r="J1755" i="1" s="1"/>
  <c r="F1755" i="1" a="1"/>
  <c r="F1755" i="1" s="1"/>
  <c r="AZ1754" i="1"/>
  <c r="AY1754" i="1"/>
  <c r="AX1754" i="1"/>
  <c r="AW1754" i="1"/>
  <c r="AU1754" i="1"/>
  <c r="AT1754" i="1"/>
  <c r="AS1754" i="1"/>
  <c r="K1754" i="1" a="1"/>
  <c r="K1754" i="1" s="1"/>
  <c r="J1754" i="1" a="1"/>
  <c r="J1754" i="1" s="1"/>
  <c r="F1754" i="1" a="1"/>
  <c r="F1754" i="1" s="1"/>
  <c r="AZ1753" i="1"/>
  <c r="AY1753" i="1"/>
  <c r="AX1753" i="1"/>
  <c r="AW1753" i="1"/>
  <c r="AU1753" i="1"/>
  <c r="AT1753" i="1"/>
  <c r="AS1753" i="1"/>
  <c r="K1753" i="1" a="1"/>
  <c r="K1753" i="1" s="1"/>
  <c r="J1753" i="1" a="1"/>
  <c r="J1753" i="1" s="1"/>
  <c r="F1753" i="1" a="1"/>
  <c r="F1753" i="1" s="1"/>
  <c r="AZ1751" i="1"/>
  <c r="AY1751" i="1"/>
  <c r="AX1751" i="1"/>
  <c r="AW1751" i="1"/>
  <c r="AU1751" i="1"/>
  <c r="AT1751" i="1"/>
  <c r="AS1751" i="1"/>
  <c r="K1751" i="1" a="1"/>
  <c r="K1751" i="1" s="1"/>
  <c r="J1751" i="1" a="1"/>
  <c r="J1751" i="1" s="1"/>
  <c r="F1751" i="1" a="1"/>
  <c r="F1751" i="1" s="1"/>
  <c r="AZ1750" i="1"/>
  <c r="AY1750" i="1"/>
  <c r="AX1750" i="1"/>
  <c r="AW1750" i="1"/>
  <c r="AU1750" i="1"/>
  <c r="AT1750" i="1"/>
  <c r="AS1750" i="1"/>
  <c r="K1750" i="1" a="1"/>
  <c r="K1750" i="1" s="1"/>
  <c r="J1750" i="1" a="1"/>
  <c r="J1750" i="1" s="1"/>
  <c r="F1750" i="1" a="1"/>
  <c r="F1750" i="1" s="1"/>
  <c r="AZ1749" i="1"/>
  <c r="AY1749" i="1"/>
  <c r="AX1749" i="1"/>
  <c r="AW1749" i="1"/>
  <c r="AU1749" i="1"/>
  <c r="AT1749" i="1"/>
  <c r="AS1749" i="1"/>
  <c r="K1749" i="1" a="1"/>
  <c r="K1749" i="1" s="1"/>
  <c r="J1749" i="1" a="1"/>
  <c r="J1749" i="1" s="1"/>
  <c r="F1749" i="1" a="1"/>
  <c r="F1749" i="1" s="1"/>
  <c r="AZ1748" i="1"/>
  <c r="AY1748" i="1"/>
  <c r="AX1748" i="1"/>
  <c r="AW1748" i="1"/>
  <c r="AU1748" i="1"/>
  <c r="AT1748" i="1"/>
  <c r="AS1748" i="1"/>
  <c r="K1748" i="1" a="1"/>
  <c r="K1748" i="1" s="1"/>
  <c r="J1748" i="1" a="1"/>
  <c r="J1748" i="1" s="1"/>
  <c r="F1748" i="1" a="1"/>
  <c r="F1748" i="1" s="1"/>
  <c r="AZ1747" i="1"/>
  <c r="AY1747" i="1"/>
  <c r="AX1747" i="1"/>
  <c r="AW1747" i="1"/>
  <c r="AU1747" i="1"/>
  <c r="AT1747" i="1"/>
  <c r="AS1747" i="1"/>
  <c r="K1747" i="1" a="1"/>
  <c r="K1747" i="1" s="1"/>
  <c r="J1747" i="1" a="1"/>
  <c r="J1747" i="1" s="1"/>
  <c r="F1747" i="1" a="1"/>
  <c r="F1747" i="1" s="1"/>
  <c r="AZ1745" i="1"/>
  <c r="AY1745" i="1"/>
  <c r="AX1745" i="1"/>
  <c r="AW1745" i="1"/>
  <c r="AU1745" i="1"/>
  <c r="AS1745" i="1"/>
  <c r="K1745" i="1" a="1"/>
  <c r="K1745" i="1" s="1"/>
  <c r="J1745" i="1" a="1"/>
  <c r="J1745" i="1" s="1"/>
  <c r="F1745" i="1" a="1"/>
  <c r="F1745" i="1" s="1"/>
  <c r="AZ1744" i="1"/>
  <c r="AY1744" i="1"/>
  <c r="AX1744" i="1"/>
  <c r="AW1744" i="1"/>
  <c r="AU1744" i="1"/>
  <c r="AS1744" i="1"/>
  <c r="K1744" i="1" a="1"/>
  <c r="K1744" i="1" s="1"/>
  <c r="J1744" i="1" a="1"/>
  <c r="J1744" i="1" s="1"/>
  <c r="F1744" i="1" a="1"/>
  <c r="F1744" i="1" s="1"/>
  <c r="AZ1743" i="1"/>
  <c r="AY1743" i="1"/>
  <c r="AX1743" i="1"/>
  <c r="AW1743" i="1"/>
  <c r="AU1743" i="1"/>
  <c r="AS1743" i="1"/>
  <c r="K1743" i="1" a="1"/>
  <c r="K1743" i="1" s="1"/>
  <c r="J1743" i="1" a="1"/>
  <c r="J1743" i="1" s="1"/>
  <c r="F1743" i="1" a="1"/>
  <c r="F1743" i="1" s="1"/>
  <c r="AZ1742" i="1"/>
  <c r="AY1742" i="1"/>
  <c r="AX1742" i="1"/>
  <c r="AW1742" i="1"/>
  <c r="AU1742" i="1"/>
  <c r="AS1742" i="1"/>
  <c r="K1742" i="1" a="1"/>
  <c r="K1742" i="1" s="1"/>
  <c r="J1742" i="1" a="1"/>
  <c r="J1742" i="1" s="1"/>
  <c r="F1742" i="1" a="1"/>
  <c r="F1742" i="1" s="1"/>
  <c r="AZ1741" i="1"/>
  <c r="AY1741" i="1"/>
  <c r="AX1741" i="1"/>
  <c r="AW1741" i="1"/>
  <c r="AU1741" i="1"/>
  <c r="AS1741" i="1"/>
  <c r="K1741" i="1" a="1"/>
  <c r="K1741" i="1" s="1"/>
  <c r="J1741" i="1" a="1"/>
  <c r="J1741" i="1" s="1"/>
  <c r="F1741" i="1" a="1"/>
  <c r="F1741" i="1" s="1"/>
  <c r="AZ1739" i="1"/>
  <c r="AY1739" i="1"/>
  <c r="AX1739" i="1"/>
  <c r="AW1739" i="1"/>
  <c r="AU1739" i="1"/>
  <c r="AT1739" i="1"/>
  <c r="AS1739" i="1"/>
  <c r="K1739" i="1" a="1"/>
  <c r="K1739" i="1" s="1"/>
  <c r="J1739" i="1" a="1"/>
  <c r="J1739" i="1" s="1"/>
  <c r="F1739" i="1" a="1"/>
  <c r="F1739" i="1" s="1"/>
  <c r="AZ1738" i="1"/>
  <c r="AY1738" i="1"/>
  <c r="AX1738" i="1"/>
  <c r="AW1738" i="1"/>
  <c r="AU1738" i="1"/>
  <c r="AT1738" i="1"/>
  <c r="AS1738" i="1"/>
  <c r="K1738" i="1" a="1"/>
  <c r="K1738" i="1" s="1"/>
  <c r="J1738" i="1" a="1"/>
  <c r="J1738" i="1" s="1"/>
  <c r="F1738" i="1" a="1"/>
  <c r="F1738" i="1" s="1"/>
  <c r="E1738" i="1" s="1" a="1"/>
  <c r="E1738" i="1" s="1"/>
  <c r="AZ1737" i="1"/>
  <c r="AY1737" i="1"/>
  <c r="AX1737" i="1"/>
  <c r="AW1737" i="1"/>
  <c r="AU1737" i="1"/>
  <c r="AT1737" i="1"/>
  <c r="AS1737" i="1"/>
  <c r="K1737" i="1" a="1"/>
  <c r="K1737" i="1" s="1"/>
  <c r="J1737" i="1" a="1"/>
  <c r="J1737" i="1" s="1"/>
  <c r="F1737" i="1" a="1"/>
  <c r="F1737" i="1" s="1"/>
  <c r="AZ1736" i="1"/>
  <c r="AY1736" i="1"/>
  <c r="AX1736" i="1"/>
  <c r="AW1736" i="1"/>
  <c r="AU1736" i="1"/>
  <c r="AT1736" i="1"/>
  <c r="AS1736" i="1"/>
  <c r="K1736" i="1" a="1"/>
  <c r="K1736" i="1" s="1"/>
  <c r="J1736" i="1" a="1"/>
  <c r="J1736" i="1" s="1"/>
  <c r="F1736" i="1" a="1"/>
  <c r="F1736" i="1" s="1"/>
  <c r="AZ1735" i="1"/>
  <c r="AY1735" i="1"/>
  <c r="AX1735" i="1"/>
  <c r="AW1735" i="1"/>
  <c r="AU1735" i="1"/>
  <c r="AT1735" i="1"/>
  <c r="AS1735" i="1"/>
  <c r="K1735" i="1" a="1"/>
  <c r="K1735" i="1" s="1"/>
  <c r="J1735" i="1" a="1"/>
  <c r="J1735" i="1" s="1"/>
  <c r="F1735" i="1" a="1"/>
  <c r="F1735" i="1" s="1"/>
  <c r="AZ1733" i="1"/>
  <c r="AY1733" i="1"/>
  <c r="AX1733" i="1"/>
  <c r="AW1733" i="1"/>
  <c r="AU1733" i="1"/>
  <c r="AS1733" i="1"/>
  <c r="K1733" i="1" a="1"/>
  <c r="K1733" i="1" s="1"/>
  <c r="J1733" i="1" a="1"/>
  <c r="J1733" i="1" s="1"/>
  <c r="F1733" i="1" a="1"/>
  <c r="F1733" i="1" s="1"/>
  <c r="AZ1732" i="1"/>
  <c r="AY1732" i="1"/>
  <c r="AX1732" i="1"/>
  <c r="AW1732" i="1"/>
  <c r="AU1732" i="1"/>
  <c r="AS1732" i="1"/>
  <c r="K1732" i="1" a="1"/>
  <c r="K1732" i="1" s="1"/>
  <c r="J1732" i="1" a="1"/>
  <c r="J1732" i="1" s="1"/>
  <c r="F1732" i="1" a="1"/>
  <c r="F1732" i="1" s="1"/>
  <c r="AZ1731" i="1"/>
  <c r="AY1731" i="1"/>
  <c r="AX1731" i="1"/>
  <c r="AW1731" i="1"/>
  <c r="AU1731" i="1"/>
  <c r="AS1731" i="1"/>
  <c r="K1731" i="1" a="1"/>
  <c r="K1731" i="1" s="1"/>
  <c r="J1731" i="1" a="1"/>
  <c r="J1731" i="1" s="1"/>
  <c r="F1731" i="1" a="1"/>
  <c r="F1731" i="1" s="1"/>
  <c r="AZ1730" i="1"/>
  <c r="AY1730" i="1"/>
  <c r="AX1730" i="1"/>
  <c r="AW1730" i="1"/>
  <c r="AU1730" i="1"/>
  <c r="AS1730" i="1"/>
  <c r="K1730" i="1" a="1"/>
  <c r="K1730" i="1" s="1"/>
  <c r="J1730" i="1" a="1"/>
  <c r="J1730" i="1" s="1"/>
  <c r="F1730" i="1" a="1"/>
  <c r="F1730" i="1" s="1"/>
  <c r="AZ1729" i="1"/>
  <c r="AY1729" i="1"/>
  <c r="AX1729" i="1"/>
  <c r="AW1729" i="1"/>
  <c r="AU1729" i="1"/>
  <c r="AS1729" i="1"/>
  <c r="K1729" i="1" a="1"/>
  <c r="K1729" i="1" s="1"/>
  <c r="J1729" i="1" a="1"/>
  <c r="J1729" i="1" s="1"/>
  <c r="F1729" i="1" a="1"/>
  <c r="F1729" i="1" s="1"/>
  <c r="AZ1727" i="1"/>
  <c r="AY1727" i="1"/>
  <c r="AX1727" i="1"/>
  <c r="AW1727" i="1"/>
  <c r="AU1727" i="1"/>
  <c r="AT1727" i="1"/>
  <c r="AS1727" i="1"/>
  <c r="K1727" i="1" a="1"/>
  <c r="K1727" i="1" s="1"/>
  <c r="J1727" i="1" a="1"/>
  <c r="J1727" i="1" s="1"/>
  <c r="F1727" i="1" a="1"/>
  <c r="F1727" i="1" s="1"/>
  <c r="AZ1726" i="1"/>
  <c r="AY1726" i="1"/>
  <c r="AX1726" i="1"/>
  <c r="AW1726" i="1"/>
  <c r="AU1726" i="1"/>
  <c r="AT1726" i="1"/>
  <c r="AS1726" i="1"/>
  <c r="K1726" i="1" a="1"/>
  <c r="K1726" i="1" s="1"/>
  <c r="J1726" i="1" a="1"/>
  <c r="J1726" i="1" s="1"/>
  <c r="F1726" i="1" a="1"/>
  <c r="F1726" i="1" s="1"/>
  <c r="AZ1725" i="1"/>
  <c r="AY1725" i="1"/>
  <c r="AX1725" i="1"/>
  <c r="AW1725" i="1"/>
  <c r="AU1725" i="1"/>
  <c r="AT1725" i="1"/>
  <c r="AS1725" i="1"/>
  <c r="K1725" i="1" a="1"/>
  <c r="K1725" i="1" s="1"/>
  <c r="J1725" i="1" a="1"/>
  <c r="J1725" i="1" s="1"/>
  <c r="F1725" i="1" a="1"/>
  <c r="F1725" i="1" s="1"/>
  <c r="AZ1724" i="1"/>
  <c r="AY1724" i="1"/>
  <c r="AX1724" i="1"/>
  <c r="AW1724" i="1"/>
  <c r="AU1724" i="1"/>
  <c r="AT1724" i="1"/>
  <c r="AS1724" i="1"/>
  <c r="K1724" i="1" a="1"/>
  <c r="K1724" i="1" s="1"/>
  <c r="J1724" i="1" a="1"/>
  <c r="J1724" i="1" s="1"/>
  <c r="F1724" i="1" a="1"/>
  <c r="F1724" i="1" s="1"/>
  <c r="AZ1723" i="1"/>
  <c r="AY1723" i="1"/>
  <c r="AX1723" i="1"/>
  <c r="AW1723" i="1"/>
  <c r="AU1723" i="1"/>
  <c r="AT1723" i="1"/>
  <c r="AS1723" i="1"/>
  <c r="K1723" i="1" a="1"/>
  <c r="K1723" i="1" s="1"/>
  <c r="J1723" i="1" a="1"/>
  <c r="J1723" i="1" s="1"/>
  <c r="F1723" i="1" a="1"/>
  <c r="F1723" i="1" s="1"/>
  <c r="AZ1721" i="1"/>
  <c r="AY1721" i="1"/>
  <c r="AX1721" i="1"/>
  <c r="AW1721" i="1"/>
  <c r="AU1721" i="1"/>
  <c r="AT1721" i="1"/>
  <c r="AS1721" i="1"/>
  <c r="K1721" i="1" a="1"/>
  <c r="K1721" i="1" s="1"/>
  <c r="J1721" i="1" a="1"/>
  <c r="J1721" i="1" s="1"/>
  <c r="F1721" i="1" a="1"/>
  <c r="F1721" i="1" s="1"/>
  <c r="AZ1720" i="1"/>
  <c r="AY1720" i="1"/>
  <c r="AX1720" i="1"/>
  <c r="AW1720" i="1"/>
  <c r="AU1720" i="1"/>
  <c r="AT1720" i="1"/>
  <c r="AS1720" i="1"/>
  <c r="K1720" i="1" a="1"/>
  <c r="K1720" i="1" s="1"/>
  <c r="J1720" i="1" a="1"/>
  <c r="J1720" i="1" s="1"/>
  <c r="F1720" i="1" a="1"/>
  <c r="F1720" i="1" s="1"/>
  <c r="AZ1719" i="1"/>
  <c r="AY1719" i="1"/>
  <c r="AX1719" i="1"/>
  <c r="AW1719" i="1"/>
  <c r="AU1719" i="1"/>
  <c r="AT1719" i="1"/>
  <c r="AS1719" i="1"/>
  <c r="K1719" i="1" a="1"/>
  <c r="K1719" i="1" s="1"/>
  <c r="J1719" i="1" a="1"/>
  <c r="J1719" i="1" s="1"/>
  <c r="F1719" i="1" a="1"/>
  <c r="F1719" i="1" s="1"/>
  <c r="AZ1718" i="1"/>
  <c r="AY1718" i="1"/>
  <c r="AX1718" i="1"/>
  <c r="AW1718" i="1"/>
  <c r="AU1718" i="1"/>
  <c r="AT1718" i="1"/>
  <c r="AS1718" i="1"/>
  <c r="K1718" i="1" a="1"/>
  <c r="K1718" i="1" s="1"/>
  <c r="J1718" i="1" a="1"/>
  <c r="J1718" i="1" s="1"/>
  <c r="F1718" i="1" a="1"/>
  <c r="F1718" i="1" s="1"/>
  <c r="AZ1717" i="1"/>
  <c r="AY1717" i="1"/>
  <c r="AX1717" i="1"/>
  <c r="AW1717" i="1"/>
  <c r="AU1717" i="1"/>
  <c r="AT1717" i="1"/>
  <c r="AS1717" i="1"/>
  <c r="K1717" i="1" a="1"/>
  <c r="K1717" i="1" s="1"/>
  <c r="J1717" i="1" a="1"/>
  <c r="J1717" i="1" s="1"/>
  <c r="F1717" i="1" a="1"/>
  <c r="F1717" i="1" s="1"/>
  <c r="AZ1715" i="1"/>
  <c r="AY1715" i="1"/>
  <c r="AX1715" i="1"/>
  <c r="AW1715" i="1"/>
  <c r="AU1715" i="1"/>
  <c r="AS1715" i="1"/>
  <c r="K1715" i="1" a="1"/>
  <c r="K1715" i="1" s="1"/>
  <c r="J1715" i="1" a="1"/>
  <c r="J1715" i="1" s="1"/>
  <c r="F1715" i="1" a="1"/>
  <c r="F1715" i="1" s="1"/>
  <c r="AZ1714" i="1"/>
  <c r="AY1714" i="1"/>
  <c r="AX1714" i="1"/>
  <c r="AW1714" i="1"/>
  <c r="AU1714" i="1"/>
  <c r="AS1714" i="1"/>
  <c r="K1714" i="1" a="1"/>
  <c r="K1714" i="1" s="1"/>
  <c r="J1714" i="1" a="1"/>
  <c r="J1714" i="1" s="1"/>
  <c r="F1714" i="1" a="1"/>
  <c r="F1714" i="1" s="1"/>
  <c r="AZ1713" i="1"/>
  <c r="AY1713" i="1"/>
  <c r="AX1713" i="1"/>
  <c r="AW1713" i="1"/>
  <c r="AU1713" i="1"/>
  <c r="AS1713" i="1"/>
  <c r="K1713" i="1" a="1"/>
  <c r="K1713" i="1" s="1"/>
  <c r="J1713" i="1" a="1"/>
  <c r="J1713" i="1" s="1"/>
  <c r="F1713" i="1" a="1"/>
  <c r="F1713" i="1" s="1"/>
  <c r="AZ1712" i="1"/>
  <c r="AY1712" i="1"/>
  <c r="AX1712" i="1"/>
  <c r="AW1712" i="1"/>
  <c r="AU1712" i="1"/>
  <c r="AS1712" i="1"/>
  <c r="K1712" i="1" a="1"/>
  <c r="K1712" i="1" s="1"/>
  <c r="J1712" i="1" a="1"/>
  <c r="J1712" i="1" s="1"/>
  <c r="F1712" i="1" a="1"/>
  <c r="F1712" i="1" s="1"/>
  <c r="AZ1711" i="1"/>
  <c r="AY1711" i="1"/>
  <c r="AX1711" i="1"/>
  <c r="AW1711" i="1"/>
  <c r="AU1711" i="1"/>
  <c r="AS1711" i="1"/>
  <c r="K1711" i="1" a="1"/>
  <c r="K1711" i="1" s="1"/>
  <c r="J1711" i="1" a="1"/>
  <c r="J1711" i="1" s="1"/>
  <c r="F1711" i="1" a="1"/>
  <c r="F1711" i="1" s="1"/>
  <c r="AZ1799" i="1"/>
  <c r="AY1799" i="1"/>
  <c r="AX1799" i="1"/>
  <c r="AW1799" i="1"/>
  <c r="AU1799" i="1"/>
  <c r="AS1799" i="1"/>
  <c r="K1799" i="1" a="1"/>
  <c r="K1799" i="1" s="1"/>
  <c r="J1799" i="1" a="1"/>
  <c r="J1799" i="1" s="1"/>
  <c r="F1799" i="1" a="1"/>
  <c r="F1799" i="1" s="1"/>
  <c r="AW1890" i="1"/>
  <c r="BM1890" i="1" s="1" a="1"/>
  <c r="BM1890" i="1" s="1"/>
  <c r="BJ1890" i="1" s="1" a="1"/>
  <c r="BJ1890" i="1" s="1"/>
  <c r="AT1890" i="1" a="1"/>
  <c r="AT1890" i="1" s="1"/>
  <c r="AU1890" i="1" s="1"/>
  <c r="AS1890" i="1" a="1"/>
  <c r="AS1890" i="1" s="1"/>
  <c r="K1890" i="1" a="1"/>
  <c r="K1890" i="1" s="1"/>
  <c r="J1890" i="1" a="1"/>
  <c r="J1890" i="1" s="1"/>
  <c r="F1890" i="1" a="1"/>
  <c r="F1890" i="1" s="1"/>
  <c r="AW1889" i="1"/>
  <c r="BM1889" i="1" s="1" a="1"/>
  <c r="BM1889" i="1" s="1"/>
  <c r="BJ1889" i="1" s="1" a="1"/>
  <c r="BJ1889" i="1" s="1"/>
  <c r="AT1889" i="1" a="1"/>
  <c r="AT1889" i="1" s="1"/>
  <c r="AU1889" i="1" s="1"/>
  <c r="AS1889" i="1" a="1"/>
  <c r="AS1889" i="1" s="1"/>
  <c r="K1889" i="1" a="1"/>
  <c r="K1889" i="1" s="1"/>
  <c r="J1889" i="1" a="1"/>
  <c r="J1889" i="1" s="1"/>
  <c r="F1889" i="1" a="1"/>
  <c r="F1889" i="1" s="1"/>
  <c r="AW1895" i="1"/>
  <c r="BL1895" i="1" s="1" a="1"/>
  <c r="BL1895" i="1" s="1"/>
  <c r="AT1895" i="1" a="1"/>
  <c r="AT1895" i="1" s="1"/>
  <c r="AU1895" i="1" s="1"/>
  <c r="AS1895" i="1" a="1"/>
  <c r="AS1895" i="1" s="1"/>
  <c r="K1895" i="1" a="1"/>
  <c r="K1895" i="1" s="1"/>
  <c r="J1895" i="1" a="1"/>
  <c r="J1895" i="1" s="1"/>
  <c r="F1895" i="1" a="1"/>
  <c r="F1895" i="1" s="1"/>
  <c r="AW1894" i="1"/>
  <c r="BK1894" i="1" s="1" a="1"/>
  <c r="BK1894" i="1" s="1"/>
  <c r="AT1894" i="1" a="1"/>
  <c r="AT1894" i="1" s="1"/>
  <c r="AU1894" i="1" s="1"/>
  <c r="AS1894" i="1" a="1"/>
  <c r="AS1894" i="1" s="1"/>
  <c r="K1894" i="1" a="1"/>
  <c r="K1894" i="1" s="1"/>
  <c r="J1894" i="1" a="1"/>
  <c r="J1894" i="1" s="1"/>
  <c r="F1894" i="1" a="1"/>
  <c r="F1894" i="1" s="1"/>
  <c r="AW1893" i="1"/>
  <c r="BM1893" i="1" s="1" a="1"/>
  <c r="BM1893" i="1" s="1"/>
  <c r="BJ1893" i="1" s="1" a="1"/>
  <c r="BJ1893" i="1" s="1"/>
  <c r="AT1893" i="1" a="1"/>
  <c r="AT1893" i="1" s="1"/>
  <c r="AU1893" i="1" s="1"/>
  <c r="AS1893" i="1" a="1"/>
  <c r="AS1893" i="1" s="1"/>
  <c r="K1893" i="1" a="1"/>
  <c r="K1893" i="1" s="1"/>
  <c r="J1893" i="1" a="1"/>
  <c r="J1893" i="1" s="1"/>
  <c r="F1893" i="1" a="1"/>
  <c r="F1893" i="1" s="1"/>
  <c r="AW1892" i="1"/>
  <c r="BL1892" i="1" s="1" a="1"/>
  <c r="BL1892" i="1" s="1"/>
  <c r="AT1892" i="1" a="1"/>
  <c r="AT1892" i="1" s="1"/>
  <c r="AU1892" i="1" s="1"/>
  <c r="AS1892" i="1" a="1"/>
  <c r="AS1892" i="1" s="1"/>
  <c r="K1892" i="1" a="1"/>
  <c r="K1892" i="1" s="1"/>
  <c r="J1892" i="1" a="1"/>
  <c r="J1892" i="1" s="1"/>
  <c r="F1892" i="1" a="1"/>
  <c r="F1892" i="1" s="1"/>
  <c r="AW1891" i="1"/>
  <c r="BK1891" i="1" s="1" a="1"/>
  <c r="BK1891" i="1" s="1"/>
  <c r="AT1891" i="1" a="1"/>
  <c r="AT1891" i="1" s="1"/>
  <c r="AU1891" i="1" s="1"/>
  <c r="AS1891" i="1" a="1"/>
  <c r="AS1891" i="1" s="1"/>
  <c r="K1891" i="1" a="1"/>
  <c r="K1891" i="1" s="1"/>
  <c r="J1891" i="1" a="1"/>
  <c r="J1891" i="1" s="1"/>
  <c r="F1891" i="1" a="1"/>
  <c r="F1891" i="1" s="1"/>
  <c r="AW1888" i="1"/>
  <c r="BM1888" i="1" s="1" a="1"/>
  <c r="BM1888" i="1" s="1"/>
  <c r="BJ1888" i="1" s="1" a="1"/>
  <c r="BJ1888" i="1" s="1"/>
  <c r="AT1888" i="1" a="1"/>
  <c r="AT1888" i="1" s="1"/>
  <c r="AU1888" i="1" s="1"/>
  <c r="AS1888" i="1" a="1"/>
  <c r="AS1888" i="1" s="1"/>
  <c r="K1888" i="1" a="1"/>
  <c r="K1888" i="1" s="1"/>
  <c r="J1888" i="1" a="1"/>
  <c r="J1888" i="1" s="1"/>
  <c r="F1888" i="1" a="1"/>
  <c r="F1888" i="1" s="1"/>
  <c r="AW1887" i="1"/>
  <c r="BN1887" i="1" s="1" a="1"/>
  <c r="BN1887" i="1" s="1"/>
  <c r="AT1887" i="1" a="1"/>
  <c r="AT1887" i="1" s="1"/>
  <c r="AU1887" i="1" s="1"/>
  <c r="AS1887" i="1" a="1"/>
  <c r="AS1887" i="1" s="1"/>
  <c r="K1887" i="1" a="1"/>
  <c r="K1887" i="1" s="1"/>
  <c r="J1887" i="1" a="1"/>
  <c r="J1887" i="1" s="1"/>
  <c r="F1887" i="1" a="1"/>
  <c r="F1887" i="1" s="1"/>
  <c r="AW1886" i="1"/>
  <c r="BM1886" i="1" s="1" a="1"/>
  <c r="BM1886" i="1" s="1"/>
  <c r="BJ1886" i="1" s="1" a="1"/>
  <c r="BJ1886" i="1" s="1"/>
  <c r="AT1886" i="1" a="1"/>
  <c r="AT1886" i="1" s="1"/>
  <c r="AU1886" i="1" s="1"/>
  <c r="AS1886" i="1" a="1"/>
  <c r="AS1886" i="1" s="1"/>
  <c r="K1886" i="1" a="1"/>
  <c r="K1886" i="1" s="1"/>
  <c r="J1886" i="1" a="1"/>
  <c r="J1886" i="1" s="1"/>
  <c r="F1886" i="1" a="1"/>
  <c r="F1886" i="1" s="1"/>
  <c r="AW1885" i="1"/>
  <c r="BN1885" i="1" s="1" a="1"/>
  <c r="BN1885" i="1" s="1"/>
  <c r="AT1885" i="1" a="1"/>
  <c r="AT1885" i="1" s="1"/>
  <c r="AU1885" i="1" s="1"/>
  <c r="AS1885" i="1" a="1"/>
  <c r="AS1885" i="1" s="1"/>
  <c r="K1885" i="1" a="1"/>
  <c r="K1885" i="1" s="1"/>
  <c r="J1885" i="1" a="1"/>
  <c r="J1885" i="1" s="1"/>
  <c r="F1885" i="1" a="1"/>
  <c r="F1885" i="1" s="1"/>
  <c r="BN1883" i="1" a="1"/>
  <c r="BN1883" i="1" s="1"/>
  <c r="BM1883" i="1" a="1"/>
  <c r="BM1883" i="1" s="1"/>
  <c r="BJ1883" i="1" s="1" a="1"/>
  <c r="BJ1883" i="1" s="1"/>
  <c r="BL1883" i="1" a="1"/>
  <c r="BL1883" i="1" s="1"/>
  <c r="BK1883" i="1" a="1"/>
  <c r="BK1883" i="1" s="1"/>
  <c r="BI1883" i="1" a="1"/>
  <c r="BI1883" i="1" s="1"/>
  <c r="AT1883" i="1" a="1"/>
  <c r="AT1883" i="1" s="1"/>
  <c r="AU1883" i="1" s="1"/>
  <c r="AS1883" i="1" a="1"/>
  <c r="AS1883" i="1" s="1"/>
  <c r="K1883" i="1" a="1"/>
  <c r="K1883" i="1" s="1"/>
  <c r="J1883" i="1" a="1"/>
  <c r="J1883" i="1" s="1"/>
  <c r="F1883" i="1" a="1"/>
  <c r="F1883" i="1" s="1"/>
  <c r="BN1882" i="1" a="1"/>
  <c r="BN1882" i="1" s="1"/>
  <c r="BM1882" i="1" a="1"/>
  <c r="BM1882" i="1" s="1"/>
  <c r="BJ1882" i="1" s="1" a="1"/>
  <c r="BJ1882" i="1" s="1"/>
  <c r="BL1882" i="1" a="1"/>
  <c r="BL1882" i="1" s="1"/>
  <c r="BK1882" i="1" a="1"/>
  <c r="BK1882" i="1" s="1"/>
  <c r="BI1882" i="1" a="1"/>
  <c r="BI1882" i="1" s="1"/>
  <c r="AT1882" i="1" a="1"/>
  <c r="AT1882" i="1" s="1"/>
  <c r="AU1882" i="1" s="1"/>
  <c r="AS1882" i="1" a="1"/>
  <c r="AS1882" i="1" s="1"/>
  <c r="K1882" i="1" a="1"/>
  <c r="K1882" i="1" s="1"/>
  <c r="J1882" i="1" a="1"/>
  <c r="J1882" i="1" s="1"/>
  <c r="F1882" i="1" a="1"/>
  <c r="F1882" i="1" s="1"/>
  <c r="BN1881" i="1" a="1"/>
  <c r="BN1881" i="1" s="1"/>
  <c r="BM1881" i="1" a="1"/>
  <c r="BM1881" i="1" s="1"/>
  <c r="BJ1881" i="1" s="1" a="1"/>
  <c r="BJ1881" i="1" s="1"/>
  <c r="BL1881" i="1" a="1"/>
  <c r="BL1881" i="1" s="1"/>
  <c r="BK1881" i="1" a="1"/>
  <c r="BK1881" i="1" s="1"/>
  <c r="BI1881" i="1" a="1"/>
  <c r="BI1881" i="1" s="1"/>
  <c r="AT1881" i="1" a="1"/>
  <c r="AT1881" i="1" s="1"/>
  <c r="AU1881" i="1" s="1"/>
  <c r="AS1881" i="1" a="1"/>
  <c r="AS1881" i="1" s="1"/>
  <c r="K1881" i="1" a="1"/>
  <c r="K1881" i="1" s="1"/>
  <c r="J1881" i="1" a="1"/>
  <c r="J1881" i="1" s="1"/>
  <c r="F1881" i="1" a="1"/>
  <c r="F1881" i="1" s="1"/>
  <c r="BN1880" i="1" a="1"/>
  <c r="BN1880" i="1" s="1"/>
  <c r="BM1880" i="1" a="1"/>
  <c r="BM1880" i="1" s="1"/>
  <c r="BJ1880" i="1" s="1" a="1"/>
  <c r="BJ1880" i="1" s="1"/>
  <c r="BL1880" i="1" a="1"/>
  <c r="BL1880" i="1" s="1"/>
  <c r="BK1880" i="1" a="1"/>
  <c r="BK1880" i="1" s="1"/>
  <c r="BI1880" i="1" a="1"/>
  <c r="BI1880" i="1" s="1"/>
  <c r="AT1880" i="1" a="1"/>
  <c r="AT1880" i="1" s="1"/>
  <c r="AU1880" i="1" s="1"/>
  <c r="AS1880" i="1" a="1"/>
  <c r="AS1880" i="1" s="1"/>
  <c r="K1880" i="1" a="1"/>
  <c r="K1880" i="1" s="1"/>
  <c r="J1880" i="1" a="1"/>
  <c r="J1880" i="1" s="1"/>
  <c r="F1880" i="1" a="1"/>
  <c r="F1880" i="1" s="1"/>
  <c r="BN1879" i="1" a="1"/>
  <c r="BN1879" i="1" s="1"/>
  <c r="BM1879" i="1" a="1"/>
  <c r="BM1879" i="1" s="1"/>
  <c r="BJ1879" i="1" s="1" a="1"/>
  <c r="BJ1879" i="1" s="1"/>
  <c r="BL1879" i="1" a="1"/>
  <c r="BL1879" i="1" s="1"/>
  <c r="BK1879" i="1" a="1"/>
  <c r="BK1879" i="1" s="1"/>
  <c r="BI1879" i="1" a="1"/>
  <c r="BI1879" i="1" s="1"/>
  <c r="AT1879" i="1" a="1"/>
  <c r="AT1879" i="1" s="1"/>
  <c r="AU1879" i="1" s="1"/>
  <c r="AS1879" i="1" a="1"/>
  <c r="AS1879" i="1" s="1"/>
  <c r="K1879" i="1" a="1"/>
  <c r="K1879" i="1" s="1"/>
  <c r="J1879" i="1" a="1"/>
  <c r="J1879" i="1" s="1"/>
  <c r="F1879" i="1" a="1"/>
  <c r="F1879" i="1" s="1"/>
  <c r="AW1877" i="1"/>
  <c r="BM1877" i="1" s="1" a="1"/>
  <c r="BM1877" i="1" s="1"/>
  <c r="BJ1877" i="1" s="1" a="1"/>
  <c r="BJ1877" i="1" s="1"/>
  <c r="AT1877" i="1" a="1"/>
  <c r="AT1877" i="1" s="1"/>
  <c r="AU1877" i="1" s="1"/>
  <c r="AS1877" i="1" a="1"/>
  <c r="AS1877" i="1" s="1"/>
  <c r="K1877" i="1" a="1"/>
  <c r="K1877" i="1" s="1"/>
  <c r="J1877" i="1" a="1"/>
  <c r="J1877" i="1" s="1"/>
  <c r="F1877" i="1" a="1"/>
  <c r="F1877" i="1" s="1"/>
  <c r="AW1876" i="1"/>
  <c r="BK1876" i="1" s="1" a="1"/>
  <c r="BK1876" i="1" s="1"/>
  <c r="AT1876" i="1" a="1"/>
  <c r="AT1876" i="1" s="1"/>
  <c r="AU1876" i="1" s="1"/>
  <c r="AS1876" i="1" a="1"/>
  <c r="AS1876" i="1" s="1"/>
  <c r="K1876" i="1" a="1"/>
  <c r="K1876" i="1" s="1"/>
  <c r="J1876" i="1" a="1"/>
  <c r="J1876" i="1" s="1"/>
  <c r="F1876" i="1" a="1"/>
  <c r="F1876" i="1" s="1"/>
  <c r="AW1875" i="1"/>
  <c r="BI1875" i="1" s="1" a="1"/>
  <c r="BI1875" i="1" s="1"/>
  <c r="AT1875" i="1" a="1"/>
  <c r="AT1875" i="1" s="1"/>
  <c r="AU1875" i="1" s="1"/>
  <c r="AS1875" i="1" a="1"/>
  <c r="AS1875" i="1" s="1"/>
  <c r="K1875" i="1" a="1"/>
  <c r="K1875" i="1" s="1"/>
  <c r="J1875" i="1" a="1"/>
  <c r="J1875" i="1" s="1"/>
  <c r="F1875" i="1" a="1"/>
  <c r="F1875" i="1" s="1"/>
  <c r="AW1874" i="1"/>
  <c r="BL1874" i="1" s="1" a="1"/>
  <c r="BL1874" i="1" s="1"/>
  <c r="AT1874" i="1" a="1"/>
  <c r="AT1874" i="1" s="1"/>
  <c r="AU1874" i="1" s="1"/>
  <c r="AS1874" i="1" a="1"/>
  <c r="AS1874" i="1" s="1"/>
  <c r="K1874" i="1" a="1"/>
  <c r="K1874" i="1" s="1"/>
  <c r="J1874" i="1" a="1"/>
  <c r="J1874" i="1" s="1"/>
  <c r="F1874" i="1" a="1"/>
  <c r="F1874" i="1" s="1"/>
  <c r="AW1873" i="1"/>
  <c r="BN1873" i="1" s="1" a="1"/>
  <c r="BN1873" i="1" s="1"/>
  <c r="AT1873" i="1" a="1"/>
  <c r="AT1873" i="1" s="1"/>
  <c r="AU1873" i="1" s="1"/>
  <c r="AS1873" i="1" a="1"/>
  <c r="AS1873" i="1" s="1"/>
  <c r="K1873" i="1" a="1"/>
  <c r="K1873" i="1" s="1"/>
  <c r="J1873" i="1" a="1"/>
  <c r="J1873" i="1" s="1"/>
  <c r="F1873" i="1" a="1"/>
  <c r="F1873" i="1" s="1"/>
  <c r="AW1871" i="1"/>
  <c r="BM1871" i="1" s="1" a="1"/>
  <c r="BM1871" i="1" s="1"/>
  <c r="BJ1871" i="1" s="1" a="1"/>
  <c r="BJ1871" i="1" s="1"/>
  <c r="AT1871" i="1" a="1"/>
  <c r="AT1871" i="1" s="1"/>
  <c r="AU1871" i="1" s="1"/>
  <c r="AS1871" i="1" a="1"/>
  <c r="AS1871" i="1" s="1"/>
  <c r="K1871" i="1" a="1"/>
  <c r="K1871" i="1" s="1"/>
  <c r="J1871" i="1" a="1"/>
  <c r="J1871" i="1" s="1"/>
  <c r="F1871" i="1" a="1"/>
  <c r="F1871" i="1" s="1"/>
  <c r="AW1870" i="1"/>
  <c r="BM1870" i="1" s="1" a="1"/>
  <c r="BM1870" i="1" s="1"/>
  <c r="BJ1870" i="1" s="1" a="1"/>
  <c r="BJ1870" i="1" s="1"/>
  <c r="AT1870" i="1" a="1"/>
  <c r="AT1870" i="1" s="1"/>
  <c r="AU1870" i="1" s="1"/>
  <c r="AS1870" i="1" a="1"/>
  <c r="AS1870" i="1" s="1"/>
  <c r="K1870" i="1" a="1"/>
  <c r="K1870" i="1" s="1"/>
  <c r="J1870" i="1" a="1"/>
  <c r="J1870" i="1" s="1"/>
  <c r="F1870" i="1" a="1"/>
  <c r="F1870" i="1" s="1"/>
  <c r="AW1869" i="1"/>
  <c r="BM1869" i="1" s="1" a="1"/>
  <c r="BM1869" i="1" s="1"/>
  <c r="BJ1869" i="1" s="1" a="1"/>
  <c r="BJ1869" i="1" s="1"/>
  <c r="AT1869" i="1" a="1"/>
  <c r="AT1869" i="1" s="1"/>
  <c r="AU1869" i="1" s="1"/>
  <c r="AS1869" i="1" a="1"/>
  <c r="AS1869" i="1" s="1"/>
  <c r="K1869" i="1" a="1"/>
  <c r="K1869" i="1" s="1"/>
  <c r="J1869" i="1" a="1"/>
  <c r="J1869" i="1" s="1"/>
  <c r="F1869" i="1" a="1"/>
  <c r="F1869" i="1" s="1"/>
  <c r="AW1868" i="1"/>
  <c r="BM1868" i="1" s="1" a="1"/>
  <c r="BM1868" i="1" s="1"/>
  <c r="BJ1868" i="1" s="1" a="1"/>
  <c r="BJ1868" i="1" s="1"/>
  <c r="AT1868" i="1" a="1"/>
  <c r="AT1868" i="1" s="1"/>
  <c r="AU1868" i="1" s="1"/>
  <c r="AS1868" i="1" a="1"/>
  <c r="AS1868" i="1" s="1"/>
  <c r="K1868" i="1" a="1"/>
  <c r="K1868" i="1" s="1"/>
  <c r="J1868" i="1" a="1"/>
  <c r="J1868" i="1" s="1"/>
  <c r="F1868" i="1" a="1"/>
  <c r="F1868" i="1" s="1"/>
  <c r="AW1867" i="1"/>
  <c r="BM1867" i="1" s="1" a="1"/>
  <c r="BM1867" i="1" s="1"/>
  <c r="BJ1867" i="1" s="1" a="1"/>
  <c r="BJ1867" i="1" s="1"/>
  <c r="AT1867" i="1" a="1"/>
  <c r="AT1867" i="1" s="1"/>
  <c r="AU1867" i="1" s="1"/>
  <c r="AS1867" i="1" a="1"/>
  <c r="AS1867" i="1" s="1"/>
  <c r="K1867" i="1" a="1"/>
  <c r="K1867" i="1" s="1"/>
  <c r="J1867" i="1" a="1"/>
  <c r="J1867" i="1" s="1"/>
  <c r="F1867" i="1" a="1"/>
  <c r="F1867" i="1" s="1"/>
  <c r="BN1865" i="1" a="1"/>
  <c r="BN1865" i="1" s="1"/>
  <c r="BM1865" i="1" a="1"/>
  <c r="BM1865" i="1" s="1"/>
  <c r="BJ1865" i="1" s="1" a="1"/>
  <c r="BJ1865" i="1" s="1"/>
  <c r="BL1865" i="1" a="1"/>
  <c r="BL1865" i="1" s="1"/>
  <c r="BK1865" i="1" a="1"/>
  <c r="BK1865" i="1" s="1"/>
  <c r="BI1865" i="1" a="1"/>
  <c r="BI1865" i="1" s="1"/>
  <c r="AT1865" i="1" a="1"/>
  <c r="AT1865" i="1" s="1"/>
  <c r="AU1865" i="1" s="1"/>
  <c r="AS1865" i="1" a="1"/>
  <c r="AS1865" i="1" s="1"/>
  <c r="K1865" i="1" a="1"/>
  <c r="K1865" i="1" s="1"/>
  <c r="J1865" i="1" a="1"/>
  <c r="J1865" i="1" s="1"/>
  <c r="F1865" i="1" a="1"/>
  <c r="F1865" i="1" s="1"/>
  <c r="BN1864" i="1" a="1"/>
  <c r="BN1864" i="1" s="1"/>
  <c r="BM1864" i="1" a="1"/>
  <c r="BM1864" i="1" s="1"/>
  <c r="BJ1864" i="1" s="1" a="1"/>
  <c r="BJ1864" i="1" s="1"/>
  <c r="BL1864" i="1" a="1"/>
  <c r="BL1864" i="1" s="1"/>
  <c r="BK1864" i="1" a="1"/>
  <c r="BK1864" i="1" s="1"/>
  <c r="BI1864" i="1" a="1"/>
  <c r="BI1864" i="1" s="1"/>
  <c r="AT1864" i="1" a="1"/>
  <c r="AT1864" i="1" s="1"/>
  <c r="AU1864" i="1" s="1"/>
  <c r="AS1864" i="1" a="1"/>
  <c r="AS1864" i="1" s="1"/>
  <c r="K1864" i="1" a="1"/>
  <c r="K1864" i="1" s="1"/>
  <c r="J1864" i="1" a="1"/>
  <c r="J1864" i="1" s="1"/>
  <c r="F1864" i="1" a="1"/>
  <c r="F1864" i="1" s="1"/>
  <c r="BN1863" i="1" a="1"/>
  <c r="BN1863" i="1" s="1"/>
  <c r="BM1863" i="1" a="1"/>
  <c r="BM1863" i="1" s="1"/>
  <c r="BJ1863" i="1" s="1" a="1"/>
  <c r="BJ1863" i="1" s="1"/>
  <c r="BL1863" i="1" a="1"/>
  <c r="BL1863" i="1" s="1"/>
  <c r="BK1863" i="1" a="1"/>
  <c r="BK1863" i="1" s="1"/>
  <c r="BI1863" i="1" a="1"/>
  <c r="BI1863" i="1" s="1"/>
  <c r="AT1863" i="1" a="1"/>
  <c r="AT1863" i="1" s="1"/>
  <c r="AU1863" i="1" s="1"/>
  <c r="AS1863" i="1" a="1"/>
  <c r="AS1863" i="1" s="1"/>
  <c r="K1863" i="1" a="1"/>
  <c r="K1863" i="1" s="1"/>
  <c r="J1863" i="1" a="1"/>
  <c r="J1863" i="1" s="1"/>
  <c r="F1863" i="1" a="1"/>
  <c r="F1863" i="1" s="1"/>
  <c r="BN1862" i="1" a="1"/>
  <c r="BN1862" i="1" s="1"/>
  <c r="BM1862" i="1" a="1"/>
  <c r="BM1862" i="1" s="1"/>
  <c r="BJ1862" i="1" s="1" a="1"/>
  <c r="BJ1862" i="1" s="1"/>
  <c r="BL1862" i="1" a="1"/>
  <c r="BL1862" i="1" s="1"/>
  <c r="BK1862" i="1" a="1"/>
  <c r="BK1862" i="1" s="1"/>
  <c r="BI1862" i="1" a="1"/>
  <c r="BI1862" i="1" s="1"/>
  <c r="AT1862" i="1" a="1"/>
  <c r="AT1862" i="1" s="1"/>
  <c r="AU1862" i="1" s="1"/>
  <c r="AS1862" i="1" a="1"/>
  <c r="AS1862" i="1" s="1"/>
  <c r="K1862" i="1" a="1"/>
  <c r="K1862" i="1" s="1"/>
  <c r="J1862" i="1" a="1"/>
  <c r="J1862" i="1" s="1"/>
  <c r="F1862" i="1" a="1"/>
  <c r="F1862" i="1" s="1"/>
  <c r="BN1861" i="1" a="1"/>
  <c r="BN1861" i="1" s="1"/>
  <c r="BM1861" i="1" a="1"/>
  <c r="BM1861" i="1" s="1"/>
  <c r="BJ1861" i="1" s="1" a="1"/>
  <c r="BJ1861" i="1" s="1"/>
  <c r="BL1861" i="1" a="1"/>
  <c r="BL1861" i="1" s="1"/>
  <c r="BK1861" i="1" a="1"/>
  <c r="BK1861" i="1" s="1"/>
  <c r="BI1861" i="1" a="1"/>
  <c r="BI1861" i="1" s="1"/>
  <c r="AT1861" i="1" a="1"/>
  <c r="AT1861" i="1" s="1"/>
  <c r="AU1861" i="1" s="1"/>
  <c r="AS1861" i="1" a="1"/>
  <c r="AS1861" i="1" s="1"/>
  <c r="K1861" i="1" a="1"/>
  <c r="K1861" i="1" s="1"/>
  <c r="J1861" i="1" a="1"/>
  <c r="J1861" i="1" s="1"/>
  <c r="F1861" i="1" a="1"/>
  <c r="F1861" i="1" s="1"/>
  <c r="AW1859" i="1"/>
  <c r="BM1859" i="1" s="1" a="1"/>
  <c r="BM1859" i="1" s="1"/>
  <c r="BJ1859" i="1" s="1" a="1"/>
  <c r="BJ1859" i="1" s="1"/>
  <c r="AT1859" i="1"/>
  <c r="AU1859" i="1" s="1"/>
  <c r="AS1859" i="1" a="1"/>
  <c r="AS1859" i="1" s="1"/>
  <c r="K1859" i="1" a="1"/>
  <c r="K1859" i="1" s="1"/>
  <c r="J1859" i="1" a="1"/>
  <c r="J1859" i="1" s="1"/>
  <c r="F1859" i="1" a="1"/>
  <c r="F1859" i="1" s="1"/>
  <c r="AW1858" i="1"/>
  <c r="BM1858" i="1" s="1" a="1"/>
  <c r="BM1858" i="1" s="1"/>
  <c r="BJ1858" i="1" s="1" a="1"/>
  <c r="BJ1858" i="1" s="1"/>
  <c r="AT1858" i="1"/>
  <c r="AU1858" i="1" s="1"/>
  <c r="AS1858" i="1" a="1"/>
  <c r="AS1858" i="1" s="1"/>
  <c r="K1858" i="1" a="1"/>
  <c r="K1858" i="1" s="1"/>
  <c r="J1858" i="1" a="1"/>
  <c r="J1858" i="1" s="1"/>
  <c r="F1858" i="1" a="1"/>
  <c r="F1858" i="1" s="1"/>
  <c r="AW1857" i="1"/>
  <c r="BN1857" i="1" s="1" a="1"/>
  <c r="BN1857" i="1" s="1"/>
  <c r="AT1857" i="1"/>
  <c r="AU1857" i="1" s="1"/>
  <c r="AS1857" i="1" a="1"/>
  <c r="AS1857" i="1" s="1"/>
  <c r="K1857" i="1" a="1"/>
  <c r="K1857" i="1" s="1"/>
  <c r="J1857" i="1" a="1"/>
  <c r="J1857" i="1" s="1"/>
  <c r="F1857" i="1" a="1"/>
  <c r="F1857" i="1" s="1"/>
  <c r="AW1856" i="1"/>
  <c r="BN1856" i="1" s="1" a="1"/>
  <c r="BN1856" i="1" s="1"/>
  <c r="AT1856" i="1"/>
  <c r="AU1856" i="1" s="1"/>
  <c r="AS1856" i="1" a="1"/>
  <c r="AS1856" i="1" s="1"/>
  <c r="K1856" i="1" a="1"/>
  <c r="K1856" i="1" s="1"/>
  <c r="J1856" i="1" a="1"/>
  <c r="J1856" i="1" s="1"/>
  <c r="F1856" i="1" a="1"/>
  <c r="F1856" i="1" s="1"/>
  <c r="AW1855" i="1"/>
  <c r="BM1855" i="1" s="1" a="1"/>
  <c r="BM1855" i="1" s="1"/>
  <c r="BJ1855" i="1" s="1" a="1"/>
  <c r="BJ1855" i="1" s="1"/>
  <c r="AT1855" i="1"/>
  <c r="AU1855" i="1" s="1"/>
  <c r="AS1855" i="1" a="1"/>
  <c r="AS1855" i="1" s="1"/>
  <c r="K1855" i="1" a="1"/>
  <c r="K1855" i="1" s="1"/>
  <c r="J1855" i="1" a="1"/>
  <c r="J1855" i="1" s="1"/>
  <c r="F1855" i="1" a="1"/>
  <c r="F1855" i="1" s="1"/>
  <c r="AW1853" i="1"/>
  <c r="BN1853" i="1" s="1" a="1"/>
  <c r="BN1853" i="1" s="1"/>
  <c r="AT1853" i="1"/>
  <c r="AU1853" i="1" s="1"/>
  <c r="AS1853" i="1" a="1"/>
  <c r="AS1853" i="1" s="1"/>
  <c r="K1853" i="1" a="1"/>
  <c r="K1853" i="1" s="1"/>
  <c r="J1853" i="1" a="1"/>
  <c r="J1853" i="1" s="1"/>
  <c r="F1853" i="1" a="1"/>
  <c r="F1853" i="1" s="1"/>
  <c r="AW1852" i="1"/>
  <c r="BN1852" i="1" s="1" a="1"/>
  <c r="BN1852" i="1" s="1"/>
  <c r="AT1852" i="1"/>
  <c r="AU1852" i="1" s="1"/>
  <c r="AS1852" i="1" a="1"/>
  <c r="AS1852" i="1" s="1"/>
  <c r="K1852" i="1" a="1"/>
  <c r="K1852" i="1" s="1"/>
  <c r="J1852" i="1" a="1"/>
  <c r="J1852" i="1" s="1"/>
  <c r="F1852" i="1" a="1"/>
  <c r="F1852" i="1" s="1"/>
  <c r="AW1851" i="1"/>
  <c r="BM1851" i="1" s="1" a="1"/>
  <c r="BM1851" i="1" s="1"/>
  <c r="BJ1851" i="1" s="1" a="1"/>
  <c r="BJ1851" i="1" s="1"/>
  <c r="AT1851" i="1"/>
  <c r="AU1851" i="1" s="1"/>
  <c r="AS1851" i="1" a="1"/>
  <c r="AS1851" i="1" s="1"/>
  <c r="K1851" i="1" a="1"/>
  <c r="K1851" i="1" s="1"/>
  <c r="J1851" i="1" a="1"/>
  <c r="J1851" i="1" s="1"/>
  <c r="F1851" i="1" a="1"/>
  <c r="F1851" i="1" s="1"/>
  <c r="AW1850" i="1"/>
  <c r="BN1850" i="1" s="1" a="1"/>
  <c r="BN1850" i="1" s="1"/>
  <c r="AT1850" i="1"/>
  <c r="AU1850" i="1" s="1"/>
  <c r="AS1850" i="1" a="1"/>
  <c r="AS1850" i="1" s="1"/>
  <c r="K1850" i="1" a="1"/>
  <c r="K1850" i="1" s="1"/>
  <c r="J1850" i="1" a="1"/>
  <c r="J1850" i="1" s="1"/>
  <c r="F1850" i="1" a="1"/>
  <c r="F1850" i="1" s="1"/>
  <c r="AW1849" i="1"/>
  <c r="BN1849" i="1" s="1" a="1"/>
  <c r="BN1849" i="1" s="1"/>
  <c r="AT1849" i="1"/>
  <c r="AU1849" i="1" s="1"/>
  <c r="AS1849" i="1" a="1"/>
  <c r="AS1849" i="1" s="1"/>
  <c r="K1849" i="1" a="1"/>
  <c r="K1849" i="1" s="1"/>
  <c r="J1849" i="1" a="1"/>
  <c r="J1849" i="1" s="1"/>
  <c r="F1849" i="1" a="1"/>
  <c r="F1849" i="1" s="1"/>
  <c r="BN1847" i="1" a="1"/>
  <c r="BN1847" i="1" s="1"/>
  <c r="BM1847" i="1" a="1"/>
  <c r="BM1847" i="1" s="1"/>
  <c r="BJ1847" i="1" s="1" a="1"/>
  <c r="BJ1847" i="1" s="1"/>
  <c r="BK1847" i="1" a="1"/>
  <c r="BK1847" i="1" s="1"/>
  <c r="BI1847" i="1" a="1"/>
  <c r="BI1847" i="1" s="1"/>
  <c r="AT1847" i="1"/>
  <c r="AU1847" i="1" s="1"/>
  <c r="AS1847" i="1" a="1"/>
  <c r="AS1847" i="1" s="1"/>
  <c r="K1847" i="1" a="1"/>
  <c r="K1847" i="1" s="1"/>
  <c r="J1847" i="1" a="1"/>
  <c r="J1847" i="1" s="1"/>
  <c r="F1847" i="1" a="1"/>
  <c r="F1847" i="1" s="1"/>
  <c r="BN1846" i="1" a="1"/>
  <c r="BN1846" i="1" s="1"/>
  <c r="BM1846" i="1" a="1"/>
  <c r="BM1846" i="1" s="1"/>
  <c r="BJ1846" i="1" s="1" a="1"/>
  <c r="BJ1846" i="1" s="1"/>
  <c r="BK1846" i="1" a="1"/>
  <c r="BK1846" i="1" s="1"/>
  <c r="BI1846" i="1" a="1"/>
  <c r="BI1846" i="1" s="1"/>
  <c r="AT1846" i="1"/>
  <c r="AU1846" i="1" s="1"/>
  <c r="AS1846" i="1" a="1"/>
  <c r="AS1846" i="1" s="1"/>
  <c r="K1846" i="1" a="1"/>
  <c r="K1846" i="1" s="1"/>
  <c r="J1846" i="1" a="1"/>
  <c r="J1846" i="1" s="1"/>
  <c r="F1846" i="1" a="1"/>
  <c r="F1846" i="1" s="1"/>
  <c r="BN1845" i="1" a="1"/>
  <c r="BN1845" i="1" s="1"/>
  <c r="BM1845" i="1" a="1"/>
  <c r="BM1845" i="1" s="1"/>
  <c r="BJ1845" i="1" s="1" a="1"/>
  <c r="BJ1845" i="1" s="1"/>
  <c r="BK1845" i="1" a="1"/>
  <c r="BK1845" i="1" s="1"/>
  <c r="BI1845" i="1" a="1"/>
  <c r="BI1845" i="1" s="1"/>
  <c r="AT1845" i="1"/>
  <c r="AU1845" i="1" s="1"/>
  <c r="AS1845" i="1" a="1"/>
  <c r="AS1845" i="1" s="1"/>
  <c r="K1845" i="1" a="1"/>
  <c r="K1845" i="1" s="1"/>
  <c r="J1845" i="1" a="1"/>
  <c r="J1845" i="1" s="1"/>
  <c r="F1845" i="1" a="1"/>
  <c r="F1845" i="1" s="1"/>
  <c r="BN1844" i="1" a="1"/>
  <c r="BN1844" i="1" s="1"/>
  <c r="BM1844" i="1" a="1"/>
  <c r="BM1844" i="1" s="1"/>
  <c r="BJ1844" i="1" s="1" a="1"/>
  <c r="BJ1844" i="1" s="1"/>
  <c r="BK1844" i="1" a="1"/>
  <c r="BK1844" i="1" s="1"/>
  <c r="BI1844" i="1" a="1"/>
  <c r="BI1844" i="1" s="1"/>
  <c r="AT1844" i="1"/>
  <c r="AU1844" i="1" s="1"/>
  <c r="AS1844" i="1" a="1"/>
  <c r="AS1844" i="1" s="1"/>
  <c r="K1844" i="1" a="1"/>
  <c r="K1844" i="1" s="1"/>
  <c r="J1844" i="1" a="1"/>
  <c r="J1844" i="1" s="1"/>
  <c r="F1844" i="1" a="1"/>
  <c r="F1844" i="1" s="1"/>
  <c r="BN1843" i="1" a="1"/>
  <c r="BN1843" i="1" s="1"/>
  <c r="BM1843" i="1" a="1"/>
  <c r="BM1843" i="1" s="1"/>
  <c r="BJ1843" i="1" s="1" a="1"/>
  <c r="BJ1843" i="1" s="1"/>
  <c r="BK1843" i="1" a="1"/>
  <c r="BK1843" i="1" s="1"/>
  <c r="BI1843" i="1" a="1"/>
  <c r="BI1843" i="1" s="1"/>
  <c r="AT1843" i="1"/>
  <c r="AU1843" i="1" s="1"/>
  <c r="AS1843" i="1" a="1"/>
  <c r="AS1843" i="1" s="1"/>
  <c r="K1843" i="1" a="1"/>
  <c r="K1843" i="1" s="1"/>
  <c r="J1843" i="1" a="1"/>
  <c r="J1843" i="1" s="1"/>
  <c r="F1843" i="1" a="1"/>
  <c r="F1843" i="1" s="1"/>
  <c r="AZ1841" i="1"/>
  <c r="AY1841" i="1"/>
  <c r="AX1841" i="1"/>
  <c r="AW1841" i="1"/>
  <c r="AT1841" i="1" a="1"/>
  <c r="AT1841" i="1" s="1"/>
  <c r="AU1841" i="1" s="1"/>
  <c r="AS1841" i="1" a="1"/>
  <c r="AS1841" i="1" s="1"/>
  <c r="K1841" i="1" a="1"/>
  <c r="K1841" i="1" s="1"/>
  <c r="J1841" i="1" a="1"/>
  <c r="J1841" i="1" s="1"/>
  <c r="F1841" i="1" a="1"/>
  <c r="F1841" i="1" s="1"/>
  <c r="AZ1840" i="1"/>
  <c r="AY1840" i="1"/>
  <c r="AX1840" i="1"/>
  <c r="AW1840" i="1"/>
  <c r="AT1840" i="1" a="1"/>
  <c r="AT1840" i="1" s="1"/>
  <c r="AU1840" i="1" s="1"/>
  <c r="AS1840" i="1" a="1"/>
  <c r="AS1840" i="1" s="1"/>
  <c r="K1840" i="1" a="1"/>
  <c r="K1840" i="1" s="1"/>
  <c r="J1840" i="1" a="1"/>
  <c r="J1840" i="1" s="1"/>
  <c r="F1840" i="1" a="1"/>
  <c r="F1840" i="1" s="1"/>
  <c r="AZ1839" i="1"/>
  <c r="AY1839" i="1"/>
  <c r="AX1839" i="1"/>
  <c r="AW1839" i="1"/>
  <c r="AT1839" i="1" a="1"/>
  <c r="AT1839" i="1" s="1"/>
  <c r="AU1839" i="1" s="1"/>
  <c r="AS1839" i="1" a="1"/>
  <c r="AS1839" i="1" s="1"/>
  <c r="K1839" i="1" a="1"/>
  <c r="K1839" i="1" s="1"/>
  <c r="J1839" i="1" a="1"/>
  <c r="J1839" i="1" s="1"/>
  <c r="F1839" i="1" a="1"/>
  <c r="F1839" i="1" s="1"/>
  <c r="AZ1838" i="1"/>
  <c r="AY1838" i="1"/>
  <c r="AX1838" i="1"/>
  <c r="AW1838" i="1"/>
  <c r="AT1838" i="1" a="1"/>
  <c r="AT1838" i="1" s="1"/>
  <c r="AU1838" i="1" s="1"/>
  <c r="AS1838" i="1" a="1"/>
  <c r="AS1838" i="1" s="1"/>
  <c r="K1838" i="1" a="1"/>
  <c r="K1838" i="1" s="1"/>
  <c r="J1838" i="1" a="1"/>
  <c r="J1838" i="1" s="1"/>
  <c r="F1838" i="1" a="1"/>
  <c r="F1838" i="1" s="1"/>
  <c r="AZ1837" i="1"/>
  <c r="AY1837" i="1"/>
  <c r="AX1837" i="1"/>
  <c r="AW1837" i="1"/>
  <c r="AT1837" i="1" a="1"/>
  <c r="AT1837" i="1" s="1"/>
  <c r="AU1837" i="1" s="1"/>
  <c r="AS1837" i="1" a="1"/>
  <c r="AS1837" i="1" s="1"/>
  <c r="K1837" i="1" a="1"/>
  <c r="K1837" i="1" s="1"/>
  <c r="J1837" i="1" a="1"/>
  <c r="J1837" i="1" s="1"/>
  <c r="F1837" i="1" a="1"/>
  <c r="F1837" i="1" s="1"/>
  <c r="AZ1835" i="1"/>
  <c r="AY1835" i="1"/>
  <c r="AX1835" i="1"/>
  <c r="AW1835" i="1"/>
  <c r="AT1835" i="1" a="1"/>
  <c r="AT1835" i="1" s="1"/>
  <c r="AU1835" i="1" s="1"/>
  <c r="AS1835" i="1" a="1"/>
  <c r="AS1835" i="1" s="1"/>
  <c r="K1835" i="1" a="1"/>
  <c r="K1835" i="1" s="1"/>
  <c r="J1835" i="1" a="1"/>
  <c r="J1835" i="1" s="1"/>
  <c r="F1835" i="1" a="1"/>
  <c r="F1835" i="1" s="1"/>
  <c r="AZ1834" i="1"/>
  <c r="AY1834" i="1"/>
  <c r="AX1834" i="1"/>
  <c r="AW1834" i="1"/>
  <c r="AT1834" i="1" a="1"/>
  <c r="AT1834" i="1" s="1"/>
  <c r="AU1834" i="1" s="1"/>
  <c r="AS1834" i="1" a="1"/>
  <c r="AS1834" i="1" s="1"/>
  <c r="K1834" i="1" a="1"/>
  <c r="K1834" i="1" s="1"/>
  <c r="J1834" i="1" a="1"/>
  <c r="J1834" i="1" s="1"/>
  <c r="F1834" i="1" a="1"/>
  <c r="F1834" i="1" s="1"/>
  <c r="AZ1833" i="1"/>
  <c r="AY1833" i="1"/>
  <c r="AX1833" i="1"/>
  <c r="AW1833" i="1"/>
  <c r="AT1833" i="1" a="1"/>
  <c r="AT1833" i="1" s="1"/>
  <c r="AU1833" i="1" s="1"/>
  <c r="AS1833" i="1" a="1"/>
  <c r="AS1833" i="1" s="1"/>
  <c r="K1833" i="1" a="1"/>
  <c r="K1833" i="1" s="1"/>
  <c r="J1833" i="1" a="1"/>
  <c r="J1833" i="1" s="1"/>
  <c r="F1833" i="1" a="1"/>
  <c r="F1833" i="1" s="1"/>
  <c r="AZ1832" i="1"/>
  <c r="AY1832" i="1"/>
  <c r="AX1832" i="1"/>
  <c r="AW1832" i="1"/>
  <c r="AT1832" i="1" a="1"/>
  <c r="AT1832" i="1" s="1"/>
  <c r="AU1832" i="1" s="1"/>
  <c r="AS1832" i="1" a="1"/>
  <c r="AS1832" i="1" s="1"/>
  <c r="K1832" i="1" a="1"/>
  <c r="K1832" i="1" s="1"/>
  <c r="J1832" i="1" a="1"/>
  <c r="J1832" i="1" s="1"/>
  <c r="F1832" i="1" a="1"/>
  <c r="F1832" i="1" s="1"/>
  <c r="AZ1831" i="1"/>
  <c r="AY1831" i="1"/>
  <c r="AX1831" i="1"/>
  <c r="AW1831" i="1"/>
  <c r="AT1831" i="1" a="1"/>
  <c r="AT1831" i="1" s="1"/>
  <c r="AU1831" i="1" s="1"/>
  <c r="AS1831" i="1" a="1"/>
  <c r="AS1831" i="1" s="1"/>
  <c r="K1831" i="1" a="1"/>
  <c r="K1831" i="1" s="1"/>
  <c r="J1831" i="1" a="1"/>
  <c r="J1831" i="1" s="1"/>
  <c r="F1831" i="1" a="1"/>
  <c r="F1831" i="1" s="1"/>
  <c r="AZ1829" i="1"/>
  <c r="AY1829" i="1"/>
  <c r="AX1829" i="1"/>
  <c r="AW1829" i="1"/>
  <c r="AT1829" i="1" a="1"/>
  <c r="AT1829" i="1" s="1"/>
  <c r="AU1829" i="1" s="1"/>
  <c r="AS1829" i="1" a="1"/>
  <c r="AS1829" i="1" s="1"/>
  <c r="BO1829" i="1" a="1"/>
  <c r="BO1829" i="1" s="1"/>
  <c r="K1829" i="1"/>
  <c r="J1829" i="1" a="1"/>
  <c r="J1829" i="1" s="1"/>
  <c r="F1829" i="1" a="1"/>
  <c r="F1829" i="1" s="1"/>
  <c r="AZ1828" i="1"/>
  <c r="AY1828" i="1"/>
  <c r="AX1828" i="1"/>
  <c r="AW1828" i="1"/>
  <c r="AT1828" i="1" a="1"/>
  <c r="AT1828" i="1" s="1"/>
  <c r="AU1828" i="1" s="1"/>
  <c r="AS1828" i="1" a="1"/>
  <c r="AS1828" i="1" s="1"/>
  <c r="BO1828" i="1" a="1"/>
  <c r="BO1828" i="1" s="1"/>
  <c r="K1828" i="1"/>
  <c r="J1828" i="1" a="1"/>
  <c r="J1828" i="1" s="1"/>
  <c r="F1828" i="1" a="1"/>
  <c r="F1828" i="1" s="1"/>
  <c r="AZ1827" i="1"/>
  <c r="AY1827" i="1"/>
  <c r="AX1827" i="1"/>
  <c r="AW1827" i="1"/>
  <c r="AT1827" i="1" a="1"/>
  <c r="AT1827" i="1" s="1"/>
  <c r="AU1827" i="1" s="1"/>
  <c r="AS1827" i="1" a="1"/>
  <c r="AS1827" i="1" s="1"/>
  <c r="BO1827" i="1" a="1"/>
  <c r="BO1827" i="1" s="1"/>
  <c r="K1827" i="1"/>
  <c r="J1827" i="1" a="1"/>
  <c r="J1827" i="1" s="1"/>
  <c r="F1827" i="1" a="1"/>
  <c r="F1827" i="1" s="1"/>
  <c r="AZ1826" i="1"/>
  <c r="AY1826" i="1"/>
  <c r="AX1826" i="1"/>
  <c r="AW1826" i="1"/>
  <c r="AT1826" i="1" a="1"/>
  <c r="AT1826" i="1" s="1"/>
  <c r="AU1826" i="1" s="1"/>
  <c r="AS1826" i="1" a="1"/>
  <c r="AS1826" i="1" s="1"/>
  <c r="BO1826" i="1" a="1"/>
  <c r="BO1826" i="1" s="1"/>
  <c r="K1826" i="1"/>
  <c r="J1826" i="1" a="1"/>
  <c r="J1826" i="1" s="1"/>
  <c r="F1826" i="1" a="1"/>
  <c r="F1826" i="1" s="1"/>
  <c r="AZ1825" i="1"/>
  <c r="AY1825" i="1"/>
  <c r="AX1825" i="1"/>
  <c r="AW1825" i="1"/>
  <c r="AT1825" i="1" a="1"/>
  <c r="AT1825" i="1" s="1"/>
  <c r="AU1825" i="1" s="1"/>
  <c r="AS1825" i="1" a="1"/>
  <c r="AS1825" i="1" s="1"/>
  <c r="BO1825" i="1" a="1"/>
  <c r="BO1825" i="1" s="1"/>
  <c r="K1825" i="1"/>
  <c r="J1825" i="1" a="1"/>
  <c r="J1825" i="1" s="1"/>
  <c r="F1825" i="1" a="1"/>
  <c r="F1825" i="1" s="1"/>
  <c r="AZ1823" i="1"/>
  <c r="AY1823" i="1"/>
  <c r="AX1823" i="1"/>
  <c r="AW1823" i="1"/>
  <c r="AT1823" i="1" a="1"/>
  <c r="AT1823" i="1" s="1"/>
  <c r="AU1823" i="1" s="1"/>
  <c r="AS1823" i="1" a="1"/>
  <c r="AS1823" i="1" s="1"/>
  <c r="K1823" i="1" a="1"/>
  <c r="K1823" i="1" s="1"/>
  <c r="J1823" i="1" a="1"/>
  <c r="J1823" i="1" s="1"/>
  <c r="F1823" i="1" a="1"/>
  <c r="F1823" i="1" s="1"/>
  <c r="AZ1822" i="1"/>
  <c r="AY1822" i="1"/>
  <c r="AX1822" i="1"/>
  <c r="AW1822" i="1"/>
  <c r="AT1822" i="1" a="1"/>
  <c r="AT1822" i="1" s="1"/>
  <c r="AU1822" i="1" s="1"/>
  <c r="AS1822" i="1" a="1"/>
  <c r="AS1822" i="1" s="1"/>
  <c r="K1822" i="1" a="1"/>
  <c r="K1822" i="1" s="1"/>
  <c r="J1822" i="1" a="1"/>
  <c r="J1822" i="1" s="1"/>
  <c r="F1822" i="1" a="1"/>
  <c r="F1822" i="1" s="1"/>
  <c r="E1822" i="1" s="1" a="1"/>
  <c r="E1822" i="1" s="1"/>
  <c r="AZ1821" i="1"/>
  <c r="AY1821" i="1"/>
  <c r="AX1821" i="1"/>
  <c r="AW1821" i="1"/>
  <c r="AT1821" i="1" a="1"/>
  <c r="AT1821" i="1" s="1"/>
  <c r="AU1821" i="1" s="1"/>
  <c r="AS1821" i="1" a="1"/>
  <c r="AS1821" i="1" s="1"/>
  <c r="K1821" i="1" a="1"/>
  <c r="K1821" i="1" s="1"/>
  <c r="J1821" i="1" a="1"/>
  <c r="J1821" i="1" s="1"/>
  <c r="F1821" i="1" a="1"/>
  <c r="F1821" i="1" s="1"/>
  <c r="AZ1820" i="1"/>
  <c r="AY1820" i="1"/>
  <c r="AX1820" i="1"/>
  <c r="AW1820" i="1"/>
  <c r="AT1820" i="1" a="1"/>
  <c r="AT1820" i="1" s="1"/>
  <c r="AU1820" i="1" s="1"/>
  <c r="AS1820" i="1" a="1"/>
  <c r="AS1820" i="1" s="1"/>
  <c r="K1820" i="1" a="1"/>
  <c r="K1820" i="1" s="1"/>
  <c r="J1820" i="1" a="1"/>
  <c r="J1820" i="1" s="1"/>
  <c r="F1820" i="1" a="1"/>
  <c r="F1820" i="1" s="1"/>
  <c r="AZ1819" i="1"/>
  <c r="AY1819" i="1"/>
  <c r="AX1819" i="1"/>
  <c r="AW1819" i="1"/>
  <c r="AT1819" i="1" a="1"/>
  <c r="AT1819" i="1" s="1"/>
  <c r="AU1819" i="1" s="1"/>
  <c r="AS1819" i="1" a="1"/>
  <c r="AS1819" i="1" s="1"/>
  <c r="K1819" i="1" a="1"/>
  <c r="K1819" i="1" s="1"/>
  <c r="J1819" i="1" a="1"/>
  <c r="J1819" i="1" s="1"/>
  <c r="F1819" i="1" a="1"/>
  <c r="F1819" i="1" s="1"/>
  <c r="AZ1817" i="1"/>
  <c r="AY1817" i="1"/>
  <c r="AX1817" i="1"/>
  <c r="AW1817" i="1"/>
  <c r="AT1817" i="1" a="1"/>
  <c r="AT1817" i="1" s="1"/>
  <c r="AU1817" i="1" s="1"/>
  <c r="AS1817" i="1" a="1"/>
  <c r="AS1817" i="1" s="1"/>
  <c r="K1817" i="1" a="1"/>
  <c r="K1817" i="1" s="1"/>
  <c r="J1817" i="1" a="1"/>
  <c r="J1817" i="1" s="1"/>
  <c r="F1817" i="1" a="1"/>
  <c r="F1817" i="1" s="1"/>
  <c r="AZ1816" i="1"/>
  <c r="AY1816" i="1"/>
  <c r="AX1816" i="1"/>
  <c r="AW1816" i="1"/>
  <c r="AT1816" i="1" a="1"/>
  <c r="AT1816" i="1" s="1"/>
  <c r="AU1816" i="1" s="1"/>
  <c r="AS1816" i="1" a="1"/>
  <c r="AS1816" i="1" s="1"/>
  <c r="K1816" i="1" a="1"/>
  <c r="K1816" i="1" s="1"/>
  <c r="J1816" i="1" a="1"/>
  <c r="J1816" i="1" s="1"/>
  <c r="F1816" i="1" a="1"/>
  <c r="F1816" i="1" s="1"/>
  <c r="AZ1815" i="1"/>
  <c r="AY1815" i="1"/>
  <c r="AX1815" i="1"/>
  <c r="AW1815" i="1"/>
  <c r="AT1815" i="1" a="1"/>
  <c r="AT1815" i="1" s="1"/>
  <c r="AU1815" i="1" s="1"/>
  <c r="AS1815" i="1" a="1"/>
  <c r="AS1815" i="1" s="1"/>
  <c r="K1815" i="1" a="1"/>
  <c r="K1815" i="1" s="1"/>
  <c r="J1815" i="1" a="1"/>
  <c r="J1815" i="1" s="1"/>
  <c r="F1815" i="1" a="1"/>
  <c r="F1815" i="1" s="1"/>
  <c r="AZ1814" i="1"/>
  <c r="AY1814" i="1"/>
  <c r="AX1814" i="1"/>
  <c r="AW1814" i="1"/>
  <c r="AT1814" i="1" a="1"/>
  <c r="AT1814" i="1" s="1"/>
  <c r="AU1814" i="1" s="1"/>
  <c r="AS1814" i="1" a="1"/>
  <c r="AS1814" i="1" s="1"/>
  <c r="K1814" i="1" a="1"/>
  <c r="K1814" i="1" s="1"/>
  <c r="J1814" i="1" a="1"/>
  <c r="J1814" i="1" s="1"/>
  <c r="F1814" i="1" a="1"/>
  <c r="F1814" i="1" s="1"/>
  <c r="AZ1813" i="1"/>
  <c r="AY1813" i="1"/>
  <c r="AX1813" i="1"/>
  <c r="AW1813" i="1"/>
  <c r="AT1813" i="1" a="1"/>
  <c r="AT1813" i="1" s="1"/>
  <c r="AU1813" i="1" s="1"/>
  <c r="AS1813" i="1" a="1"/>
  <c r="AS1813" i="1" s="1"/>
  <c r="K1813" i="1" a="1"/>
  <c r="K1813" i="1" s="1"/>
  <c r="J1813" i="1" a="1"/>
  <c r="J1813" i="1" s="1"/>
  <c r="F1813" i="1" a="1"/>
  <c r="F1813" i="1" s="1"/>
  <c r="BO1811" i="1" a="1"/>
  <c r="BO1811" i="1" s="1"/>
  <c r="AZ1811" i="1"/>
  <c r="AY1811" i="1"/>
  <c r="AX1811" i="1"/>
  <c r="AW1811" i="1"/>
  <c r="AT1811" i="1" a="1"/>
  <c r="AT1811" i="1" s="1"/>
  <c r="AU1811" i="1" s="1"/>
  <c r="AS1811" i="1" a="1"/>
  <c r="AS1811" i="1" s="1"/>
  <c r="K1811" i="1"/>
  <c r="J1811" i="1" a="1"/>
  <c r="J1811" i="1" s="1"/>
  <c r="F1811" i="1" a="1"/>
  <c r="F1811" i="1" s="1"/>
  <c r="BO1810" i="1" a="1"/>
  <c r="BO1810" i="1" s="1"/>
  <c r="AZ1810" i="1"/>
  <c r="AY1810" i="1"/>
  <c r="AX1810" i="1"/>
  <c r="AW1810" i="1"/>
  <c r="AT1810" i="1" a="1"/>
  <c r="AT1810" i="1" s="1"/>
  <c r="AU1810" i="1" s="1"/>
  <c r="AS1810" i="1" a="1"/>
  <c r="AS1810" i="1" s="1"/>
  <c r="K1810" i="1"/>
  <c r="J1810" i="1" a="1"/>
  <c r="J1810" i="1" s="1"/>
  <c r="F1810" i="1" a="1"/>
  <c r="F1810" i="1" s="1"/>
  <c r="BO1809" i="1" a="1"/>
  <c r="BO1809" i="1" s="1"/>
  <c r="AZ1809" i="1"/>
  <c r="AY1809" i="1"/>
  <c r="AX1809" i="1"/>
  <c r="AW1809" i="1"/>
  <c r="AT1809" i="1" a="1"/>
  <c r="AT1809" i="1" s="1"/>
  <c r="AU1809" i="1" s="1"/>
  <c r="AS1809" i="1" a="1"/>
  <c r="AS1809" i="1" s="1"/>
  <c r="K1809" i="1"/>
  <c r="J1809" i="1" a="1"/>
  <c r="J1809" i="1" s="1"/>
  <c r="F1809" i="1" a="1"/>
  <c r="F1809" i="1" s="1"/>
  <c r="BO1808" i="1" a="1"/>
  <c r="BO1808" i="1" s="1"/>
  <c r="AZ1808" i="1"/>
  <c r="AY1808" i="1"/>
  <c r="AX1808" i="1"/>
  <c r="AW1808" i="1"/>
  <c r="AT1808" i="1" a="1"/>
  <c r="AT1808" i="1" s="1"/>
  <c r="AU1808" i="1" s="1"/>
  <c r="AS1808" i="1" a="1"/>
  <c r="AS1808" i="1" s="1"/>
  <c r="K1808" i="1"/>
  <c r="J1808" i="1" a="1"/>
  <c r="J1808" i="1" s="1"/>
  <c r="F1808" i="1" a="1"/>
  <c r="F1808" i="1" s="1"/>
  <c r="BO1807" i="1" a="1"/>
  <c r="BO1807" i="1" s="1"/>
  <c r="AZ1807" i="1"/>
  <c r="AY1807" i="1"/>
  <c r="AX1807" i="1"/>
  <c r="AW1807" i="1"/>
  <c r="AT1807" i="1" a="1"/>
  <c r="AT1807" i="1" s="1"/>
  <c r="AU1807" i="1" s="1"/>
  <c r="AS1807" i="1" a="1"/>
  <c r="AS1807" i="1" s="1"/>
  <c r="K1807" i="1"/>
  <c r="J1807" i="1" a="1"/>
  <c r="J1807" i="1" s="1"/>
  <c r="F1807" i="1" a="1"/>
  <c r="F1807" i="1" s="1"/>
  <c r="AW2719" i="1"/>
  <c r="BM2719" i="1" s="1" a="1"/>
  <c r="BM2719" i="1" s="1"/>
  <c r="F2719" i="1" a="1"/>
  <c r="F2719" i="1" s="1"/>
  <c r="AW2718" i="1"/>
  <c r="BM2718" i="1" s="1" a="1"/>
  <c r="BM2718" i="1" s="1"/>
  <c r="F2718" i="1" a="1"/>
  <c r="F2718" i="1" s="1"/>
  <c r="AW2717" i="1"/>
  <c r="BN2717" i="1" s="1" a="1"/>
  <c r="BN2717" i="1" s="1"/>
  <c r="F2717" i="1" a="1"/>
  <c r="F2717" i="1" s="1"/>
  <c r="AW2716" i="1"/>
  <c r="BN2716" i="1" s="1" a="1"/>
  <c r="BN2716" i="1" s="1"/>
  <c r="F2716" i="1" a="1"/>
  <c r="F2716" i="1" s="1"/>
  <c r="AW2715" i="1"/>
  <c r="BN2715" i="1" s="1" a="1"/>
  <c r="BN2715" i="1" s="1"/>
  <c r="F2715" i="1" a="1"/>
  <c r="F2715" i="1" s="1"/>
  <c r="AW2713" i="1"/>
  <c r="BM2713" i="1" s="1" a="1"/>
  <c r="BM2713" i="1" s="1"/>
  <c r="F2713" i="1" a="1"/>
  <c r="F2713" i="1" s="1"/>
  <c r="AW2712" i="1"/>
  <c r="BM2712" i="1" s="1" a="1"/>
  <c r="BM2712" i="1" s="1"/>
  <c r="F2712" i="1" a="1"/>
  <c r="F2712" i="1" s="1"/>
  <c r="AW2711" i="1"/>
  <c r="BM2711" i="1" s="1" a="1"/>
  <c r="BM2711" i="1" s="1"/>
  <c r="F2711" i="1" a="1"/>
  <c r="F2711" i="1" s="1"/>
  <c r="AW2710" i="1"/>
  <c r="BN2710" i="1" s="1" a="1"/>
  <c r="BN2710" i="1" s="1"/>
  <c r="F2710" i="1" a="1"/>
  <c r="F2710" i="1" s="1"/>
  <c r="AW2709" i="1"/>
  <c r="BM2709" i="1" s="1" a="1"/>
  <c r="BM2709" i="1" s="1"/>
  <c r="F2709" i="1" a="1"/>
  <c r="F2709" i="1" s="1"/>
  <c r="AY2660" i="1"/>
  <c r="BI2660" i="1" s="1" a="1"/>
  <c r="BI2660" i="1" s="1"/>
  <c r="AX2660" i="1"/>
  <c r="AW2660" i="1"/>
  <c r="F2660" i="1" a="1"/>
  <c r="F2660" i="1" s="1"/>
  <c r="AY2659" i="1"/>
  <c r="BI2659" i="1" s="1" a="1"/>
  <c r="BI2659" i="1" s="1"/>
  <c r="AX2659" i="1"/>
  <c r="AW2659" i="1"/>
  <c r="F2659" i="1" a="1"/>
  <c r="F2659" i="1" s="1"/>
  <c r="AY2658" i="1"/>
  <c r="BK2658" i="1" s="1" a="1"/>
  <c r="BK2658" i="1" s="1"/>
  <c r="AX2658" i="1"/>
  <c r="AW2658" i="1"/>
  <c r="F2658" i="1" a="1"/>
  <c r="F2658" i="1" s="1"/>
  <c r="AY2657" i="1"/>
  <c r="BK2657" i="1" s="1" a="1"/>
  <c r="BK2657" i="1" s="1"/>
  <c r="AX2657" i="1"/>
  <c r="AW2657" i="1"/>
  <c r="F2657" i="1" a="1"/>
  <c r="F2657" i="1" s="1"/>
  <c r="AY2656" i="1"/>
  <c r="BK2656" i="1" s="1" a="1"/>
  <c r="BK2656" i="1" s="1"/>
  <c r="AX2656" i="1"/>
  <c r="AW2656" i="1"/>
  <c r="F2656" i="1" a="1"/>
  <c r="F2656" i="1" s="1"/>
  <c r="E2656" i="1" s="1" a="1"/>
  <c r="E2656" i="1" s="1"/>
  <c r="AY2624" i="1"/>
  <c r="BK2624" i="1" s="1" a="1"/>
  <c r="BK2624" i="1" s="1"/>
  <c r="AX2624" i="1"/>
  <c r="AW2624" i="1"/>
  <c r="F2624" i="1" a="1"/>
  <c r="F2624" i="1" s="1"/>
  <c r="AY2623" i="1"/>
  <c r="BI2623" i="1" s="1" a="1"/>
  <c r="BI2623" i="1" s="1"/>
  <c r="AX2623" i="1"/>
  <c r="AW2623" i="1"/>
  <c r="F2623" i="1" a="1"/>
  <c r="F2623" i="1" s="1"/>
  <c r="AY2622" i="1"/>
  <c r="BK2622" i="1" s="1" a="1"/>
  <c r="BK2622" i="1" s="1"/>
  <c r="AX2622" i="1"/>
  <c r="AW2622" i="1"/>
  <c r="F2622" i="1" a="1"/>
  <c r="F2622" i="1" s="1"/>
  <c r="AY2621" i="1"/>
  <c r="BN2621" i="1" s="1" a="1"/>
  <c r="BN2621" i="1" s="1"/>
  <c r="AX2621" i="1"/>
  <c r="AW2621" i="1"/>
  <c r="F2621" i="1" a="1"/>
  <c r="F2621" i="1" s="1"/>
  <c r="AY2620" i="1"/>
  <c r="BK2620" i="1" s="1" a="1"/>
  <c r="BK2620" i="1" s="1"/>
  <c r="AX2620" i="1"/>
  <c r="AW2620" i="1"/>
  <c r="F2620" i="1" a="1"/>
  <c r="F2620" i="1" s="1"/>
  <c r="AY2583" i="1"/>
  <c r="BN2583" i="1" s="1" a="1"/>
  <c r="BN2583" i="1" s="1"/>
  <c r="AX2583" i="1"/>
  <c r="AW2583" i="1"/>
  <c r="F2583" i="1" a="1"/>
  <c r="F2583" i="1" s="1"/>
  <c r="AY2582" i="1"/>
  <c r="BN2582" i="1" s="1" a="1"/>
  <c r="BN2582" i="1" s="1"/>
  <c r="AX2582" i="1"/>
  <c r="AW2582" i="1"/>
  <c r="F2582" i="1" a="1"/>
  <c r="F2582" i="1" s="1"/>
  <c r="AY2581" i="1"/>
  <c r="BN2581" i="1" s="1" a="1"/>
  <c r="BN2581" i="1" s="1"/>
  <c r="AX2581" i="1"/>
  <c r="AW2581" i="1"/>
  <c r="F2581" i="1" a="1"/>
  <c r="F2581" i="1" s="1"/>
  <c r="AY2580" i="1"/>
  <c r="BI2580" i="1" s="1" a="1"/>
  <c r="BI2580" i="1" s="1"/>
  <c r="AX2580" i="1"/>
  <c r="AW2580" i="1"/>
  <c r="F2580" i="1" a="1"/>
  <c r="F2580" i="1" s="1"/>
  <c r="AY2579" i="1"/>
  <c r="BK2579" i="1" s="1" a="1"/>
  <c r="BK2579" i="1" s="1"/>
  <c r="AX2579" i="1"/>
  <c r="AW2579" i="1"/>
  <c r="F2579" i="1" a="1"/>
  <c r="F2579" i="1" s="1"/>
  <c r="AW1931" i="1"/>
  <c r="BI1931" i="1" s="1" a="1"/>
  <c r="BI1931" i="1" s="1"/>
  <c r="F1931" i="1" a="1"/>
  <c r="F1931" i="1" s="1"/>
  <c r="AW1930" i="1"/>
  <c r="BK1930" i="1" s="1" a="1"/>
  <c r="BK1930" i="1" s="1"/>
  <c r="F1930" i="1" a="1"/>
  <c r="F1930" i="1" s="1"/>
  <c r="AW1929" i="1"/>
  <c r="BK1929" i="1" s="1" a="1"/>
  <c r="BK1929" i="1" s="1"/>
  <c r="F1929" i="1" a="1"/>
  <c r="F1929" i="1" s="1"/>
  <c r="AW1928" i="1"/>
  <c r="BM1928" i="1" s="1" a="1"/>
  <c r="BM1928" i="1" s="1"/>
  <c r="F1928" i="1" a="1"/>
  <c r="F1928" i="1" s="1"/>
  <c r="AW1927" i="1"/>
  <c r="BN1927" i="1" s="1" a="1"/>
  <c r="BN1927" i="1" s="1"/>
  <c r="F1927" i="1" a="1"/>
  <c r="F1927" i="1" s="1"/>
  <c r="E1927" i="1" s="1" a="1"/>
  <c r="E1927" i="1" s="1"/>
  <c r="AY1925" i="1"/>
  <c r="BK1925" i="1" s="1" a="1"/>
  <c r="BK1925" i="1" s="1"/>
  <c r="AX1925" i="1"/>
  <c r="AW1925" i="1"/>
  <c r="F1925" i="1" a="1"/>
  <c r="F1925" i="1" s="1"/>
  <c r="AY1924" i="1"/>
  <c r="BI1924" i="1" s="1" a="1"/>
  <c r="BI1924" i="1" s="1"/>
  <c r="AX1924" i="1"/>
  <c r="AW1924" i="1"/>
  <c r="F1924" i="1" a="1"/>
  <c r="F1924" i="1" s="1"/>
  <c r="AY1923" i="1"/>
  <c r="BK1923" i="1" s="1" a="1"/>
  <c r="BK1923" i="1" s="1"/>
  <c r="AX1923" i="1"/>
  <c r="AW1923" i="1"/>
  <c r="F1923" i="1" a="1"/>
  <c r="F1923" i="1" s="1"/>
  <c r="AY1922" i="1"/>
  <c r="BI1922" i="1" s="1" a="1"/>
  <c r="BI1922" i="1" s="1"/>
  <c r="AX1922" i="1"/>
  <c r="AW1922" i="1"/>
  <c r="F1922" i="1" a="1"/>
  <c r="F1922" i="1" s="1"/>
  <c r="AY1921" i="1"/>
  <c r="BK1921" i="1" s="1" a="1"/>
  <c r="BK1921" i="1" s="1"/>
  <c r="AX1921" i="1"/>
  <c r="AW1921" i="1"/>
  <c r="F1921" i="1" a="1"/>
  <c r="F1921" i="1" s="1"/>
  <c r="AY1919" i="1"/>
  <c r="BN1919" i="1" s="1" a="1"/>
  <c r="BN1919" i="1" s="1"/>
  <c r="AX1919" i="1"/>
  <c r="AW1919" i="1"/>
  <c r="F1919" i="1" a="1"/>
  <c r="F1919" i="1" s="1"/>
  <c r="E1919" i="1" s="1" a="1"/>
  <c r="E1919" i="1" s="1"/>
  <c r="AY1918" i="1"/>
  <c r="BN1918" i="1" s="1" a="1"/>
  <c r="BN1918" i="1" s="1"/>
  <c r="AX1918" i="1"/>
  <c r="AW1918" i="1"/>
  <c r="F1918" i="1" a="1"/>
  <c r="F1918" i="1" s="1"/>
  <c r="E1918" i="1" s="1" a="1"/>
  <c r="E1918" i="1" s="1"/>
  <c r="AY1917" i="1"/>
  <c r="BK1917" i="1" s="1" a="1"/>
  <c r="BK1917" i="1" s="1"/>
  <c r="AX1917" i="1"/>
  <c r="AW1917" i="1"/>
  <c r="F1917" i="1" a="1"/>
  <c r="F1917" i="1" s="1"/>
  <c r="E1917" i="1" s="1" a="1"/>
  <c r="E1917" i="1" s="1"/>
  <c r="AY1916" i="1"/>
  <c r="BN1916" i="1" s="1" a="1"/>
  <c r="BN1916" i="1" s="1"/>
  <c r="AX1916" i="1"/>
  <c r="AW1916" i="1"/>
  <c r="F1916" i="1" a="1"/>
  <c r="F1916" i="1" s="1"/>
  <c r="E1916" i="1" s="1" a="1"/>
  <c r="E1916" i="1" s="1"/>
  <c r="AY1915" i="1"/>
  <c r="BN1915" i="1" s="1" a="1"/>
  <c r="BN1915" i="1" s="1"/>
  <c r="AX1915" i="1"/>
  <c r="AW1915" i="1"/>
  <c r="F1915" i="1" a="1"/>
  <c r="F1915" i="1" s="1"/>
  <c r="E1915" i="1" s="1" a="1"/>
  <c r="E1915" i="1" s="1"/>
  <c r="AY1913" i="1"/>
  <c r="BI1913" i="1" s="1" a="1"/>
  <c r="BI1913" i="1" s="1"/>
  <c r="AX1913" i="1"/>
  <c r="AW1913" i="1"/>
  <c r="F1913" i="1" a="1"/>
  <c r="F1913" i="1" s="1"/>
  <c r="E1913" i="1" s="1" a="1"/>
  <c r="E1913" i="1" s="1"/>
  <c r="AY1912" i="1"/>
  <c r="BK1912" i="1" s="1" a="1"/>
  <c r="BK1912" i="1" s="1"/>
  <c r="AX1912" i="1"/>
  <c r="AW1912" i="1"/>
  <c r="F1912" i="1" a="1"/>
  <c r="F1912" i="1" s="1"/>
  <c r="E1912" i="1" s="1" a="1"/>
  <c r="E1912" i="1" s="1"/>
  <c r="AY1911" i="1"/>
  <c r="BK1911" i="1" s="1" a="1"/>
  <c r="BK1911" i="1" s="1"/>
  <c r="AX1911" i="1"/>
  <c r="AW1911" i="1"/>
  <c r="F1911" i="1" a="1"/>
  <c r="F1911" i="1" s="1"/>
  <c r="E1911" i="1" s="1" a="1"/>
  <c r="E1911" i="1" s="1"/>
  <c r="AY1910" i="1"/>
  <c r="BN1910" i="1" s="1" a="1"/>
  <c r="BN1910" i="1" s="1"/>
  <c r="AX1910" i="1"/>
  <c r="AW1910" i="1"/>
  <c r="F1910" i="1" a="1"/>
  <c r="F1910" i="1" s="1"/>
  <c r="E1910" i="1" s="1" a="1"/>
  <c r="E1910" i="1" s="1"/>
  <c r="AY1909" i="1"/>
  <c r="BN1909" i="1" s="1" a="1"/>
  <c r="BN1909" i="1" s="1"/>
  <c r="AX1909" i="1"/>
  <c r="AW1909" i="1"/>
  <c r="F1909" i="1" a="1"/>
  <c r="F1909" i="1" s="1"/>
  <c r="E1909" i="1" s="1" a="1"/>
  <c r="E1909" i="1" s="1"/>
  <c r="AY1907" i="1"/>
  <c r="BK1907" i="1" s="1" a="1"/>
  <c r="BK1907" i="1" s="1"/>
  <c r="AX1907" i="1"/>
  <c r="AW1907" i="1"/>
  <c r="F1907" i="1" a="1"/>
  <c r="F1907" i="1" s="1"/>
  <c r="AY1906" i="1"/>
  <c r="BK1906" i="1" s="1" a="1"/>
  <c r="BK1906" i="1" s="1"/>
  <c r="AX1906" i="1"/>
  <c r="AW1906" i="1"/>
  <c r="F1906" i="1" a="1"/>
  <c r="F1906" i="1" s="1"/>
  <c r="AY1905" i="1"/>
  <c r="BK1905" i="1" s="1" a="1"/>
  <c r="BK1905" i="1" s="1"/>
  <c r="AX1905" i="1"/>
  <c r="AW1905" i="1"/>
  <c r="F1905" i="1" a="1"/>
  <c r="F1905" i="1" s="1"/>
  <c r="AY1904" i="1"/>
  <c r="BN1904" i="1" s="1" a="1"/>
  <c r="BN1904" i="1" s="1"/>
  <c r="AX1904" i="1"/>
  <c r="AW1904" i="1"/>
  <c r="F1904" i="1" a="1"/>
  <c r="F1904" i="1" s="1"/>
  <c r="AY1903" i="1"/>
  <c r="BN1903" i="1" s="1" a="1"/>
  <c r="BN1903" i="1" s="1"/>
  <c r="AX1903" i="1"/>
  <c r="AW1903" i="1"/>
  <c r="F1903" i="1" a="1"/>
  <c r="F1903" i="1" s="1"/>
  <c r="AY1901" i="1"/>
  <c r="BN1901" i="1" s="1" a="1"/>
  <c r="BN1901" i="1" s="1"/>
  <c r="AX1901" i="1"/>
  <c r="AW1901" i="1"/>
  <c r="F1901" i="1" a="1"/>
  <c r="F1901" i="1" s="1"/>
  <c r="E1901" i="1" s="1" a="1"/>
  <c r="E1901" i="1" s="1"/>
  <c r="AY1900" i="1"/>
  <c r="BK1900" i="1" s="1" a="1"/>
  <c r="BK1900" i="1" s="1"/>
  <c r="AX1900" i="1"/>
  <c r="AW1900" i="1"/>
  <c r="F1900" i="1" a="1"/>
  <c r="F1900" i="1" s="1"/>
  <c r="E1900" i="1" s="1" a="1"/>
  <c r="E1900" i="1" s="1"/>
  <c r="AY1899" i="1"/>
  <c r="BN1899" i="1" s="1" a="1"/>
  <c r="BN1899" i="1" s="1"/>
  <c r="AX1899" i="1"/>
  <c r="AW1899" i="1"/>
  <c r="F1899" i="1" a="1"/>
  <c r="F1899" i="1" s="1"/>
  <c r="E1899" i="1" s="1" a="1"/>
  <c r="E1899" i="1" s="1"/>
  <c r="AY1898" i="1"/>
  <c r="BK1898" i="1" s="1" a="1"/>
  <c r="BK1898" i="1" s="1"/>
  <c r="AX1898" i="1"/>
  <c r="AW1898" i="1"/>
  <c r="F1898" i="1" a="1"/>
  <c r="F1898" i="1" s="1"/>
  <c r="E1898" i="1" s="1" a="1"/>
  <c r="E1898" i="1" s="1"/>
  <c r="AY1897" i="1"/>
  <c r="BN1897" i="1" s="1" a="1"/>
  <c r="BN1897" i="1" s="1"/>
  <c r="AX1897" i="1"/>
  <c r="AW1897" i="1"/>
  <c r="F1897" i="1" a="1"/>
  <c r="F1897" i="1" s="1"/>
  <c r="E1897" i="1" s="1" a="1"/>
  <c r="E1897" i="1" s="1"/>
  <c r="BM2714" i="1" a="1"/>
  <c r="BM2714" i="1" s="1"/>
  <c r="F2714" i="1" a="1"/>
  <c r="F2714" i="1" s="1"/>
  <c r="BN2754" i="1" a="1"/>
  <c r="BN2754" i="1" s="1"/>
  <c r="BM2754" i="1" a="1"/>
  <c r="BM2754" i="1" s="1"/>
  <c r="BJ2754" i="1" s="1" a="1"/>
  <c r="BJ2754" i="1" s="1"/>
  <c r="BI2754" i="1" a="1"/>
  <c r="BI2754" i="1" s="1"/>
  <c r="F2754" i="1" a="1"/>
  <c r="F2754" i="1" s="1"/>
  <c r="E2754" i="1" s="1" a="1"/>
  <c r="E2754" i="1" s="1"/>
  <c r="BN2753" i="1" a="1"/>
  <c r="BN2753" i="1" s="1"/>
  <c r="BM2753" i="1" a="1"/>
  <c r="BM2753" i="1" s="1"/>
  <c r="BJ2753" i="1" s="1" a="1"/>
  <c r="BJ2753" i="1" s="1"/>
  <c r="BI2753" i="1" a="1"/>
  <c r="BI2753" i="1" s="1"/>
  <c r="F2753" i="1" a="1"/>
  <c r="F2753" i="1" s="1"/>
  <c r="E2753" i="1" s="1" a="1"/>
  <c r="E2753" i="1" s="1"/>
  <c r="BN2752" i="1" a="1"/>
  <c r="BN2752" i="1" s="1"/>
  <c r="BM2752" i="1" a="1"/>
  <c r="BM2752" i="1" s="1"/>
  <c r="BJ2752" i="1" s="1" a="1"/>
  <c r="BJ2752" i="1" s="1"/>
  <c r="BI2752" i="1" a="1"/>
  <c r="BI2752" i="1" s="1"/>
  <c r="F2752" i="1" a="1"/>
  <c r="F2752" i="1" s="1"/>
  <c r="E2752" i="1" s="1" a="1"/>
  <c r="E2752" i="1" s="1"/>
  <c r="BN2751" i="1" a="1"/>
  <c r="BN2751" i="1" s="1"/>
  <c r="BM2751" i="1" a="1"/>
  <c r="BM2751" i="1" s="1"/>
  <c r="BJ2751" i="1" s="1" a="1"/>
  <c r="BJ2751" i="1" s="1"/>
  <c r="BI2751" i="1" a="1"/>
  <c r="BI2751" i="1" s="1"/>
  <c r="F2751" i="1" a="1"/>
  <c r="F2751" i="1" s="1"/>
  <c r="BN2750" i="1" a="1"/>
  <c r="BN2750" i="1" s="1"/>
  <c r="BM2750" i="1" a="1"/>
  <c r="BM2750" i="1" s="1"/>
  <c r="BJ2750" i="1" s="1" a="1"/>
  <c r="BJ2750" i="1" s="1"/>
  <c r="BI2750" i="1" a="1"/>
  <c r="BI2750" i="1" s="1"/>
  <c r="F2750" i="1" a="1"/>
  <c r="F2750" i="1" s="1"/>
  <c r="AZ1164" i="1"/>
  <c r="AY1164" i="1"/>
  <c r="AX1164" i="1"/>
  <c r="AW1164" i="1"/>
  <c r="AU1164" i="1"/>
  <c r="AT1164" i="1"/>
  <c r="AS1164" i="1"/>
  <c r="K1164" i="1" a="1"/>
  <c r="K1164" i="1" s="1"/>
  <c r="J1164" i="1" a="1"/>
  <c r="J1164" i="1" s="1"/>
  <c r="F1164" i="1" a="1"/>
  <c r="F1164" i="1" s="1"/>
  <c r="AZ1163" i="1"/>
  <c r="AY1163" i="1"/>
  <c r="AX1163" i="1"/>
  <c r="AW1163" i="1"/>
  <c r="AU1163" i="1"/>
  <c r="AT1163" i="1"/>
  <c r="AS1163" i="1"/>
  <c r="K1163" i="1" a="1"/>
  <c r="K1163" i="1" s="1"/>
  <c r="J1163" i="1" a="1"/>
  <c r="J1163" i="1" s="1"/>
  <c r="F1163" i="1" a="1"/>
  <c r="F1163" i="1" s="1"/>
  <c r="AZ1162" i="1"/>
  <c r="AY1162" i="1"/>
  <c r="AX1162" i="1"/>
  <c r="AW1162" i="1"/>
  <c r="AU1162" i="1"/>
  <c r="AT1162" i="1"/>
  <c r="AS1162" i="1"/>
  <c r="K1162" i="1" a="1"/>
  <c r="K1162" i="1" s="1"/>
  <c r="J1162" i="1" a="1"/>
  <c r="J1162" i="1" s="1"/>
  <c r="F1162" i="1" a="1"/>
  <c r="F1162" i="1" s="1"/>
  <c r="AZ1161" i="1"/>
  <c r="AY1161" i="1"/>
  <c r="AX1161" i="1"/>
  <c r="AW1161" i="1"/>
  <c r="AU1161" i="1"/>
  <c r="AT1161" i="1"/>
  <c r="AS1161" i="1"/>
  <c r="K1161" i="1" a="1"/>
  <c r="K1161" i="1" s="1"/>
  <c r="J1161" i="1" a="1"/>
  <c r="J1161" i="1" s="1"/>
  <c r="F1161" i="1" a="1"/>
  <c r="F1161" i="1" s="1"/>
  <c r="AZ1160" i="1"/>
  <c r="AY1160" i="1"/>
  <c r="AX1160" i="1"/>
  <c r="AW1160" i="1"/>
  <c r="AU1160" i="1"/>
  <c r="AT1160" i="1"/>
  <c r="AS1160" i="1"/>
  <c r="K1160" i="1" a="1"/>
  <c r="K1160" i="1" s="1"/>
  <c r="J1160" i="1" a="1"/>
  <c r="J1160" i="1" s="1"/>
  <c r="F1160" i="1" a="1"/>
  <c r="F1160" i="1" s="1"/>
  <c r="AZ1158" i="1"/>
  <c r="AY1158" i="1"/>
  <c r="AX1158" i="1"/>
  <c r="AW1158" i="1"/>
  <c r="AU1158" i="1"/>
  <c r="AS1158" i="1"/>
  <c r="K1158" i="1" a="1"/>
  <c r="K1158" i="1" s="1"/>
  <c r="J1158" i="1" a="1"/>
  <c r="J1158" i="1" s="1"/>
  <c r="F1158" i="1" a="1"/>
  <c r="F1158" i="1" s="1"/>
  <c r="AZ1157" i="1"/>
  <c r="AY1157" i="1"/>
  <c r="AX1157" i="1"/>
  <c r="AW1157" i="1"/>
  <c r="AU1157" i="1"/>
  <c r="AS1157" i="1"/>
  <c r="K1157" i="1" a="1"/>
  <c r="K1157" i="1" s="1"/>
  <c r="J1157" i="1" a="1"/>
  <c r="J1157" i="1" s="1"/>
  <c r="F1157" i="1" a="1"/>
  <c r="F1157" i="1" s="1"/>
  <c r="AZ1156" i="1"/>
  <c r="AY1156" i="1"/>
  <c r="AX1156" i="1"/>
  <c r="AW1156" i="1"/>
  <c r="AU1156" i="1"/>
  <c r="AS1156" i="1"/>
  <c r="K1156" i="1" a="1"/>
  <c r="K1156" i="1" s="1"/>
  <c r="J1156" i="1" a="1"/>
  <c r="J1156" i="1" s="1"/>
  <c r="F1156" i="1" a="1"/>
  <c r="F1156" i="1" s="1"/>
  <c r="AZ1155" i="1"/>
  <c r="AY1155" i="1"/>
  <c r="AX1155" i="1"/>
  <c r="AW1155" i="1"/>
  <c r="AU1155" i="1"/>
  <c r="AS1155" i="1"/>
  <c r="K1155" i="1" a="1"/>
  <c r="K1155" i="1" s="1"/>
  <c r="J1155" i="1" a="1"/>
  <c r="J1155" i="1" s="1"/>
  <c r="F1155" i="1" a="1"/>
  <c r="F1155" i="1" s="1"/>
  <c r="AZ1154" i="1"/>
  <c r="AY1154" i="1"/>
  <c r="AX1154" i="1"/>
  <c r="AW1154" i="1"/>
  <c r="AU1154" i="1"/>
  <c r="AS1154" i="1"/>
  <c r="K1154" i="1" a="1"/>
  <c r="K1154" i="1" s="1"/>
  <c r="J1154" i="1" a="1"/>
  <c r="J1154" i="1" s="1"/>
  <c r="F1154" i="1" a="1"/>
  <c r="F1154" i="1" s="1"/>
  <c r="AZ1152" i="1"/>
  <c r="AY1152" i="1"/>
  <c r="AX1152" i="1"/>
  <c r="AW1152" i="1"/>
  <c r="AU1152" i="1"/>
  <c r="AT1152" i="1"/>
  <c r="AS1152" i="1"/>
  <c r="K1152" i="1" a="1"/>
  <c r="K1152" i="1" s="1"/>
  <c r="J1152" i="1" a="1"/>
  <c r="J1152" i="1" s="1"/>
  <c r="F1152" i="1" a="1"/>
  <c r="F1152" i="1" s="1"/>
  <c r="AZ1151" i="1"/>
  <c r="AY1151" i="1"/>
  <c r="AX1151" i="1"/>
  <c r="AW1151" i="1"/>
  <c r="AU1151" i="1"/>
  <c r="AT1151" i="1"/>
  <c r="AS1151" i="1"/>
  <c r="K1151" i="1" a="1"/>
  <c r="K1151" i="1" s="1"/>
  <c r="J1151" i="1" a="1"/>
  <c r="J1151" i="1" s="1"/>
  <c r="F1151" i="1" a="1"/>
  <c r="F1151" i="1" s="1"/>
  <c r="AZ1150" i="1"/>
  <c r="AY1150" i="1"/>
  <c r="AX1150" i="1"/>
  <c r="AW1150" i="1"/>
  <c r="AU1150" i="1"/>
  <c r="AT1150" i="1"/>
  <c r="AS1150" i="1"/>
  <c r="K1150" i="1" a="1"/>
  <c r="K1150" i="1" s="1"/>
  <c r="J1150" i="1" a="1"/>
  <c r="J1150" i="1" s="1"/>
  <c r="F1150" i="1" a="1"/>
  <c r="F1150" i="1" s="1"/>
  <c r="AZ1149" i="1"/>
  <c r="AY1149" i="1"/>
  <c r="AX1149" i="1"/>
  <c r="AW1149" i="1"/>
  <c r="AU1149" i="1"/>
  <c r="AT1149" i="1"/>
  <c r="AS1149" i="1"/>
  <c r="K1149" i="1" a="1"/>
  <c r="K1149" i="1" s="1"/>
  <c r="J1149" i="1" a="1"/>
  <c r="J1149" i="1" s="1"/>
  <c r="F1149" i="1" a="1"/>
  <c r="F1149" i="1" s="1"/>
  <c r="AZ1148" i="1"/>
  <c r="AY1148" i="1"/>
  <c r="AX1148" i="1"/>
  <c r="AW1148" i="1"/>
  <c r="AU1148" i="1"/>
  <c r="AT1148" i="1"/>
  <c r="AS1148" i="1"/>
  <c r="K1148" i="1" a="1"/>
  <c r="K1148" i="1" s="1"/>
  <c r="J1148" i="1" a="1"/>
  <c r="J1148" i="1" s="1"/>
  <c r="F1148" i="1" a="1"/>
  <c r="F1148" i="1" s="1"/>
  <c r="AZ1146" i="1"/>
  <c r="AY1146" i="1"/>
  <c r="AX1146" i="1"/>
  <c r="AW1146" i="1"/>
  <c r="AU1146" i="1"/>
  <c r="AS1146" i="1"/>
  <c r="K1146" i="1" a="1"/>
  <c r="K1146" i="1" s="1"/>
  <c r="J1146" i="1" a="1"/>
  <c r="J1146" i="1" s="1"/>
  <c r="F1146" i="1" a="1"/>
  <c r="F1146" i="1" s="1"/>
  <c r="AZ1145" i="1"/>
  <c r="AY1145" i="1"/>
  <c r="AX1145" i="1"/>
  <c r="AW1145" i="1"/>
  <c r="AU1145" i="1"/>
  <c r="AS1145" i="1"/>
  <c r="K1145" i="1" a="1"/>
  <c r="K1145" i="1" s="1"/>
  <c r="J1145" i="1" a="1"/>
  <c r="J1145" i="1" s="1"/>
  <c r="F1145" i="1" a="1"/>
  <c r="F1145" i="1" s="1"/>
  <c r="E1145" i="1" s="1" a="1"/>
  <c r="E1145" i="1" s="1"/>
  <c r="AZ1144" i="1"/>
  <c r="AY1144" i="1"/>
  <c r="AX1144" i="1"/>
  <c r="AW1144" i="1"/>
  <c r="AU1144" i="1"/>
  <c r="AS1144" i="1"/>
  <c r="K1144" i="1" a="1"/>
  <c r="K1144" i="1" s="1"/>
  <c r="J1144" i="1" a="1"/>
  <c r="J1144" i="1" s="1"/>
  <c r="F1144" i="1" a="1"/>
  <c r="F1144" i="1" s="1"/>
  <c r="AZ1143" i="1"/>
  <c r="AY1143" i="1"/>
  <c r="AX1143" i="1"/>
  <c r="AW1143" i="1"/>
  <c r="AU1143" i="1"/>
  <c r="AS1143" i="1"/>
  <c r="K1143" i="1" a="1"/>
  <c r="K1143" i="1" s="1"/>
  <c r="J1143" i="1" a="1"/>
  <c r="J1143" i="1" s="1"/>
  <c r="F1143" i="1" a="1"/>
  <c r="F1143" i="1" s="1"/>
  <c r="AZ1142" i="1"/>
  <c r="AY1142" i="1"/>
  <c r="AX1142" i="1"/>
  <c r="AW1142" i="1"/>
  <c r="AU1142" i="1"/>
  <c r="AS1142" i="1"/>
  <c r="K1142" i="1" a="1"/>
  <c r="K1142" i="1" s="1"/>
  <c r="J1142" i="1" a="1"/>
  <c r="J1142" i="1" s="1"/>
  <c r="F1142" i="1" a="1"/>
  <c r="F1142" i="1" s="1"/>
  <c r="AZ1140" i="1"/>
  <c r="AY1140" i="1"/>
  <c r="AX1140" i="1"/>
  <c r="AW1140" i="1"/>
  <c r="AU1140" i="1"/>
  <c r="AT1140" i="1"/>
  <c r="AS1140" i="1"/>
  <c r="K1140" i="1" a="1"/>
  <c r="K1140" i="1" s="1"/>
  <c r="J1140" i="1" a="1"/>
  <c r="J1140" i="1" s="1"/>
  <c r="F1140" i="1" a="1"/>
  <c r="F1140" i="1" s="1"/>
  <c r="AZ1139" i="1"/>
  <c r="AY1139" i="1"/>
  <c r="AX1139" i="1"/>
  <c r="AW1139" i="1"/>
  <c r="AU1139" i="1"/>
  <c r="AT1139" i="1"/>
  <c r="AS1139" i="1"/>
  <c r="K1139" i="1" a="1"/>
  <c r="K1139" i="1" s="1"/>
  <c r="J1139" i="1" a="1"/>
  <c r="J1139" i="1" s="1"/>
  <c r="F1139" i="1" a="1"/>
  <c r="F1139" i="1" s="1"/>
  <c r="AZ1138" i="1"/>
  <c r="AY1138" i="1"/>
  <c r="AX1138" i="1"/>
  <c r="AW1138" i="1"/>
  <c r="AU1138" i="1"/>
  <c r="AT1138" i="1"/>
  <c r="AS1138" i="1"/>
  <c r="K1138" i="1" a="1"/>
  <c r="K1138" i="1" s="1"/>
  <c r="J1138" i="1" a="1"/>
  <c r="J1138" i="1" s="1"/>
  <c r="F1138" i="1" a="1"/>
  <c r="F1138" i="1" s="1"/>
  <c r="AZ1137" i="1"/>
  <c r="AY1137" i="1"/>
  <c r="AX1137" i="1"/>
  <c r="AW1137" i="1"/>
  <c r="AU1137" i="1"/>
  <c r="AT1137" i="1"/>
  <c r="AS1137" i="1"/>
  <c r="K1137" i="1" a="1"/>
  <c r="K1137" i="1" s="1"/>
  <c r="J1137" i="1" a="1"/>
  <c r="J1137" i="1" s="1"/>
  <c r="F1137" i="1" a="1"/>
  <c r="F1137" i="1" s="1"/>
  <c r="AZ1136" i="1"/>
  <c r="AY1136" i="1"/>
  <c r="AX1136" i="1"/>
  <c r="AW1136" i="1"/>
  <c r="AU1136" i="1"/>
  <c r="AT1136" i="1"/>
  <c r="AS1136" i="1"/>
  <c r="K1136" i="1" a="1"/>
  <c r="K1136" i="1" s="1"/>
  <c r="J1136" i="1" a="1"/>
  <c r="J1136" i="1" s="1"/>
  <c r="F1136" i="1" a="1"/>
  <c r="F1136" i="1" s="1"/>
  <c r="AZ1134" i="1"/>
  <c r="AY1134" i="1"/>
  <c r="AX1134" i="1"/>
  <c r="AW1134" i="1"/>
  <c r="AU1134" i="1"/>
  <c r="AS1134" i="1"/>
  <c r="K1134" i="1" a="1"/>
  <c r="K1134" i="1" s="1"/>
  <c r="J1134" i="1" a="1"/>
  <c r="J1134" i="1" s="1"/>
  <c r="F1134" i="1" a="1"/>
  <c r="F1134" i="1" s="1"/>
  <c r="AZ1133" i="1"/>
  <c r="AY1133" i="1"/>
  <c r="AX1133" i="1"/>
  <c r="AW1133" i="1"/>
  <c r="AU1133" i="1"/>
  <c r="AS1133" i="1"/>
  <c r="K1133" i="1" a="1"/>
  <c r="K1133" i="1" s="1"/>
  <c r="J1133" i="1" a="1"/>
  <c r="J1133" i="1" s="1"/>
  <c r="F1133" i="1" a="1"/>
  <c r="F1133" i="1" s="1"/>
  <c r="AZ1132" i="1"/>
  <c r="AY1132" i="1"/>
  <c r="AX1132" i="1"/>
  <c r="AW1132" i="1"/>
  <c r="AU1132" i="1"/>
  <c r="AS1132" i="1"/>
  <c r="K1132" i="1" a="1"/>
  <c r="K1132" i="1" s="1"/>
  <c r="J1132" i="1" a="1"/>
  <c r="J1132" i="1" s="1"/>
  <c r="F1132" i="1" a="1"/>
  <c r="F1132" i="1" s="1"/>
  <c r="AZ1131" i="1"/>
  <c r="AY1131" i="1"/>
  <c r="AX1131" i="1"/>
  <c r="AW1131" i="1"/>
  <c r="AU1131" i="1"/>
  <c r="AS1131" i="1"/>
  <c r="K1131" i="1" a="1"/>
  <c r="K1131" i="1" s="1"/>
  <c r="J1131" i="1" a="1"/>
  <c r="J1131" i="1" s="1"/>
  <c r="F1131" i="1" a="1"/>
  <c r="F1131" i="1" s="1"/>
  <c r="AZ1130" i="1"/>
  <c r="AY1130" i="1"/>
  <c r="AX1130" i="1"/>
  <c r="AW1130" i="1"/>
  <c r="AU1130" i="1"/>
  <c r="AS1130" i="1"/>
  <c r="K1130" i="1" a="1"/>
  <c r="K1130" i="1" s="1"/>
  <c r="J1130" i="1" a="1"/>
  <c r="J1130" i="1" s="1"/>
  <c r="F1130" i="1" a="1"/>
  <c r="F1130" i="1" s="1"/>
  <c r="AZ1128" i="1"/>
  <c r="AY1128" i="1"/>
  <c r="AX1128" i="1"/>
  <c r="AW1128" i="1"/>
  <c r="AU1128" i="1"/>
  <c r="AT1128" i="1"/>
  <c r="AS1128" i="1"/>
  <c r="K1128" i="1" a="1"/>
  <c r="K1128" i="1" s="1"/>
  <c r="J1128" i="1" a="1"/>
  <c r="J1128" i="1" s="1"/>
  <c r="F1128" i="1" a="1"/>
  <c r="F1128" i="1" s="1"/>
  <c r="AZ1127" i="1"/>
  <c r="AY1127" i="1"/>
  <c r="AX1127" i="1"/>
  <c r="AW1127" i="1"/>
  <c r="AU1127" i="1"/>
  <c r="AT1127" i="1"/>
  <c r="AS1127" i="1"/>
  <c r="K1127" i="1" a="1"/>
  <c r="K1127" i="1" s="1"/>
  <c r="J1127" i="1" a="1"/>
  <c r="J1127" i="1" s="1"/>
  <c r="F1127" i="1" a="1"/>
  <c r="F1127" i="1" s="1"/>
  <c r="AZ1126" i="1"/>
  <c r="AY1126" i="1"/>
  <c r="AX1126" i="1"/>
  <c r="AW1126" i="1"/>
  <c r="AU1126" i="1"/>
  <c r="AT1126" i="1"/>
  <c r="AS1126" i="1"/>
  <c r="K1126" i="1" a="1"/>
  <c r="K1126" i="1" s="1"/>
  <c r="J1126" i="1" a="1"/>
  <c r="J1126" i="1" s="1"/>
  <c r="F1126" i="1" a="1"/>
  <c r="F1126" i="1" s="1"/>
  <c r="AZ1125" i="1"/>
  <c r="AY1125" i="1"/>
  <c r="AX1125" i="1"/>
  <c r="AW1125" i="1"/>
  <c r="AU1125" i="1"/>
  <c r="AT1125" i="1"/>
  <c r="AS1125" i="1"/>
  <c r="K1125" i="1" a="1"/>
  <c r="K1125" i="1" s="1"/>
  <c r="J1125" i="1" a="1"/>
  <c r="J1125" i="1" s="1"/>
  <c r="F1125" i="1" a="1"/>
  <c r="F1125" i="1" s="1"/>
  <c r="AZ1124" i="1"/>
  <c r="AY1124" i="1"/>
  <c r="AX1124" i="1"/>
  <c r="AW1124" i="1"/>
  <c r="AU1124" i="1"/>
  <c r="AT1124" i="1"/>
  <c r="AS1124" i="1"/>
  <c r="K1124" i="1" a="1"/>
  <c r="K1124" i="1" s="1"/>
  <c r="J1124" i="1" a="1"/>
  <c r="J1124" i="1" s="1"/>
  <c r="F1124" i="1" a="1"/>
  <c r="F1124" i="1" s="1"/>
  <c r="AZ1122" i="1"/>
  <c r="AY1122" i="1"/>
  <c r="AX1122" i="1"/>
  <c r="AW1122" i="1"/>
  <c r="AU1122" i="1"/>
  <c r="AS1122" i="1"/>
  <c r="K1122" i="1" a="1"/>
  <c r="K1122" i="1" s="1"/>
  <c r="J1122" i="1" a="1"/>
  <c r="J1122" i="1" s="1"/>
  <c r="F1122" i="1" a="1"/>
  <c r="F1122" i="1" s="1"/>
  <c r="AZ1121" i="1"/>
  <c r="AY1121" i="1"/>
  <c r="AX1121" i="1"/>
  <c r="AW1121" i="1"/>
  <c r="AU1121" i="1"/>
  <c r="AS1121" i="1"/>
  <c r="K1121" i="1" a="1"/>
  <c r="K1121" i="1" s="1"/>
  <c r="J1121" i="1" a="1"/>
  <c r="J1121" i="1" s="1"/>
  <c r="F1121" i="1" a="1"/>
  <c r="F1121" i="1" s="1"/>
  <c r="E1121" i="1" s="1" a="1"/>
  <c r="E1121" i="1" s="1"/>
  <c r="AZ1120" i="1"/>
  <c r="AY1120" i="1"/>
  <c r="AX1120" i="1"/>
  <c r="AW1120" i="1"/>
  <c r="AU1120" i="1"/>
  <c r="AS1120" i="1"/>
  <c r="K1120" i="1" a="1"/>
  <c r="K1120" i="1" s="1"/>
  <c r="J1120" i="1" a="1"/>
  <c r="J1120" i="1" s="1"/>
  <c r="F1120" i="1" a="1"/>
  <c r="F1120" i="1" s="1"/>
  <c r="AZ1119" i="1"/>
  <c r="AY1119" i="1"/>
  <c r="AX1119" i="1"/>
  <c r="AW1119" i="1"/>
  <c r="AU1119" i="1"/>
  <c r="AS1119" i="1"/>
  <c r="K1119" i="1" a="1"/>
  <c r="K1119" i="1" s="1"/>
  <c r="J1119" i="1" a="1"/>
  <c r="J1119" i="1" s="1"/>
  <c r="F1119" i="1" a="1"/>
  <c r="F1119" i="1" s="1"/>
  <c r="AZ1118" i="1"/>
  <c r="AY1118" i="1"/>
  <c r="AX1118" i="1"/>
  <c r="AW1118" i="1"/>
  <c r="AU1118" i="1"/>
  <c r="AS1118" i="1"/>
  <c r="K1118" i="1" a="1"/>
  <c r="K1118" i="1" s="1"/>
  <c r="J1118" i="1" a="1"/>
  <c r="J1118" i="1" s="1"/>
  <c r="F1118" i="1" a="1"/>
  <c r="F1118" i="1" s="1"/>
  <c r="AZ1116" i="1"/>
  <c r="AY1116" i="1"/>
  <c r="AX1116" i="1"/>
  <c r="AW1116" i="1"/>
  <c r="AU1116" i="1"/>
  <c r="AT1116" i="1"/>
  <c r="AS1116" i="1"/>
  <c r="K1116" i="1" a="1"/>
  <c r="K1116" i="1" s="1"/>
  <c r="J1116" i="1" a="1"/>
  <c r="J1116" i="1" s="1"/>
  <c r="F1116" i="1" a="1"/>
  <c r="F1116" i="1" s="1"/>
  <c r="AZ1115" i="1"/>
  <c r="AY1115" i="1"/>
  <c r="AX1115" i="1"/>
  <c r="AW1115" i="1"/>
  <c r="AU1115" i="1"/>
  <c r="AT1115" i="1"/>
  <c r="AS1115" i="1"/>
  <c r="K1115" i="1" a="1"/>
  <c r="K1115" i="1" s="1"/>
  <c r="J1115" i="1" a="1"/>
  <c r="J1115" i="1" s="1"/>
  <c r="F1115" i="1" a="1"/>
  <c r="F1115" i="1" s="1"/>
  <c r="AZ1114" i="1"/>
  <c r="AY1114" i="1"/>
  <c r="AX1114" i="1"/>
  <c r="AW1114" i="1"/>
  <c r="AU1114" i="1"/>
  <c r="AT1114" i="1"/>
  <c r="AS1114" i="1"/>
  <c r="K1114" i="1" a="1"/>
  <c r="K1114" i="1" s="1"/>
  <c r="J1114" i="1" a="1"/>
  <c r="J1114" i="1" s="1"/>
  <c r="F1114" i="1" a="1"/>
  <c r="F1114" i="1" s="1"/>
  <c r="AZ1113" i="1"/>
  <c r="AY1113" i="1"/>
  <c r="AX1113" i="1"/>
  <c r="AW1113" i="1"/>
  <c r="AU1113" i="1"/>
  <c r="AT1113" i="1"/>
  <c r="AS1113" i="1"/>
  <c r="K1113" i="1" a="1"/>
  <c r="K1113" i="1" s="1"/>
  <c r="J1113" i="1" a="1"/>
  <c r="J1113" i="1" s="1"/>
  <c r="F1113" i="1" a="1"/>
  <c r="F1113" i="1" s="1"/>
  <c r="AZ1112" i="1"/>
  <c r="AY1112" i="1"/>
  <c r="AX1112" i="1"/>
  <c r="AW1112" i="1"/>
  <c r="AU1112" i="1"/>
  <c r="AT1112" i="1"/>
  <c r="AS1112" i="1"/>
  <c r="K1112" i="1" a="1"/>
  <c r="K1112" i="1" s="1"/>
  <c r="J1112" i="1" a="1"/>
  <c r="J1112" i="1" s="1"/>
  <c r="F1112" i="1" a="1"/>
  <c r="F1112" i="1" s="1"/>
  <c r="AZ1110" i="1"/>
  <c r="AY1110" i="1"/>
  <c r="AX1110" i="1"/>
  <c r="AW1110" i="1"/>
  <c r="AU1110" i="1"/>
  <c r="AS1110" i="1"/>
  <c r="K1110" i="1" a="1"/>
  <c r="K1110" i="1" s="1"/>
  <c r="J1110" i="1" a="1"/>
  <c r="J1110" i="1" s="1"/>
  <c r="F1110" i="1" a="1"/>
  <c r="F1110" i="1" s="1"/>
  <c r="AZ1109" i="1"/>
  <c r="AY1109" i="1"/>
  <c r="AX1109" i="1"/>
  <c r="AW1109" i="1"/>
  <c r="AU1109" i="1"/>
  <c r="AS1109" i="1"/>
  <c r="K1109" i="1" a="1"/>
  <c r="K1109" i="1" s="1"/>
  <c r="J1109" i="1" a="1"/>
  <c r="J1109" i="1" s="1"/>
  <c r="F1109" i="1" a="1"/>
  <c r="F1109" i="1" s="1"/>
  <c r="AZ1108" i="1"/>
  <c r="AY1108" i="1"/>
  <c r="AX1108" i="1"/>
  <c r="AW1108" i="1"/>
  <c r="AU1108" i="1"/>
  <c r="AS1108" i="1"/>
  <c r="K1108" i="1" a="1"/>
  <c r="K1108" i="1" s="1"/>
  <c r="J1108" i="1" a="1"/>
  <c r="J1108" i="1" s="1"/>
  <c r="F1108" i="1" a="1"/>
  <c r="F1108" i="1" s="1"/>
  <c r="AZ1107" i="1"/>
  <c r="AY1107" i="1"/>
  <c r="AX1107" i="1"/>
  <c r="AW1107" i="1"/>
  <c r="AU1107" i="1"/>
  <c r="AS1107" i="1"/>
  <c r="K1107" i="1" a="1"/>
  <c r="K1107" i="1" s="1"/>
  <c r="J1107" i="1" a="1"/>
  <c r="J1107" i="1" s="1"/>
  <c r="F1107" i="1" a="1"/>
  <c r="F1107" i="1" s="1"/>
  <c r="AZ1106" i="1"/>
  <c r="AY1106" i="1"/>
  <c r="AX1106" i="1"/>
  <c r="AW1106" i="1"/>
  <c r="AU1106" i="1"/>
  <c r="AS1106" i="1"/>
  <c r="K1106" i="1" a="1"/>
  <c r="K1106" i="1" s="1"/>
  <c r="J1106" i="1" a="1"/>
  <c r="J1106" i="1" s="1"/>
  <c r="F1106" i="1" a="1"/>
  <c r="F1106" i="1" s="1"/>
  <c r="AZ1104" i="1"/>
  <c r="AY1104" i="1"/>
  <c r="AX1104" i="1"/>
  <c r="AW1104" i="1"/>
  <c r="AU1104" i="1"/>
  <c r="AT1104" i="1"/>
  <c r="AS1104" i="1"/>
  <c r="K1104" i="1" a="1"/>
  <c r="K1104" i="1" s="1"/>
  <c r="J1104" i="1" a="1"/>
  <c r="J1104" i="1" s="1"/>
  <c r="F1104" i="1" a="1"/>
  <c r="F1104" i="1" s="1"/>
  <c r="AZ1103" i="1"/>
  <c r="AY1103" i="1"/>
  <c r="AX1103" i="1"/>
  <c r="AW1103" i="1"/>
  <c r="AU1103" i="1"/>
  <c r="AT1103" i="1"/>
  <c r="AS1103" i="1"/>
  <c r="K1103" i="1" a="1"/>
  <c r="K1103" i="1" s="1"/>
  <c r="J1103" i="1" a="1"/>
  <c r="J1103" i="1" s="1"/>
  <c r="F1103" i="1" a="1"/>
  <c r="F1103" i="1" s="1"/>
  <c r="E1103" i="1" s="1" a="1"/>
  <c r="E1103" i="1" s="1"/>
  <c r="AZ1102" i="1"/>
  <c r="AY1102" i="1"/>
  <c r="AX1102" i="1"/>
  <c r="AW1102" i="1"/>
  <c r="AU1102" i="1"/>
  <c r="AT1102" i="1"/>
  <c r="AS1102" i="1"/>
  <c r="K1102" i="1" a="1"/>
  <c r="K1102" i="1" s="1"/>
  <c r="J1102" i="1" a="1"/>
  <c r="J1102" i="1" s="1"/>
  <c r="F1102" i="1" a="1"/>
  <c r="F1102" i="1" s="1"/>
  <c r="AZ1101" i="1"/>
  <c r="AY1101" i="1"/>
  <c r="AX1101" i="1"/>
  <c r="AW1101" i="1"/>
  <c r="AU1101" i="1"/>
  <c r="AT1101" i="1"/>
  <c r="AS1101" i="1"/>
  <c r="K1101" i="1" a="1"/>
  <c r="K1101" i="1" s="1"/>
  <c r="J1101" i="1" a="1"/>
  <c r="J1101" i="1" s="1"/>
  <c r="F1101" i="1" a="1"/>
  <c r="F1101" i="1" s="1"/>
  <c r="AZ1100" i="1"/>
  <c r="AY1100" i="1"/>
  <c r="AX1100" i="1"/>
  <c r="AW1100" i="1"/>
  <c r="AU1100" i="1"/>
  <c r="AT1100" i="1"/>
  <c r="AS1100" i="1"/>
  <c r="K1100" i="1" a="1"/>
  <c r="K1100" i="1" s="1"/>
  <c r="J1100" i="1" a="1"/>
  <c r="J1100" i="1" s="1"/>
  <c r="F1100" i="1" a="1"/>
  <c r="F1100" i="1" s="1"/>
  <c r="E1100" i="1" s="1" a="1"/>
  <c r="E1100" i="1" s="1"/>
  <c r="AZ1098" i="1"/>
  <c r="AY1098" i="1"/>
  <c r="AX1098" i="1"/>
  <c r="AW1098" i="1"/>
  <c r="AU1098" i="1"/>
  <c r="AS1098" i="1"/>
  <c r="K1098" i="1" a="1"/>
  <c r="K1098" i="1" s="1"/>
  <c r="J1098" i="1" a="1"/>
  <c r="J1098" i="1" s="1"/>
  <c r="F1098" i="1" a="1"/>
  <c r="F1098" i="1" s="1"/>
  <c r="AZ1097" i="1"/>
  <c r="AY1097" i="1"/>
  <c r="AX1097" i="1"/>
  <c r="AW1097" i="1"/>
  <c r="AU1097" i="1"/>
  <c r="AS1097" i="1"/>
  <c r="K1097" i="1" a="1"/>
  <c r="K1097" i="1" s="1"/>
  <c r="J1097" i="1" a="1"/>
  <c r="J1097" i="1" s="1"/>
  <c r="F1097" i="1" a="1"/>
  <c r="F1097" i="1" s="1"/>
  <c r="AZ1096" i="1"/>
  <c r="AY1096" i="1"/>
  <c r="AX1096" i="1"/>
  <c r="AW1096" i="1"/>
  <c r="AU1096" i="1"/>
  <c r="AS1096" i="1"/>
  <c r="K1096" i="1" a="1"/>
  <c r="K1096" i="1" s="1"/>
  <c r="J1096" i="1" a="1"/>
  <c r="J1096" i="1" s="1"/>
  <c r="F1096" i="1" a="1"/>
  <c r="F1096" i="1" s="1"/>
  <c r="AZ1095" i="1"/>
  <c r="AY1095" i="1"/>
  <c r="AX1095" i="1"/>
  <c r="AW1095" i="1"/>
  <c r="AU1095" i="1"/>
  <c r="AS1095" i="1"/>
  <c r="K1095" i="1" a="1"/>
  <c r="K1095" i="1" s="1"/>
  <c r="J1095" i="1" a="1"/>
  <c r="J1095" i="1" s="1"/>
  <c r="F1095" i="1" a="1"/>
  <c r="F1095" i="1" s="1"/>
  <c r="AZ1094" i="1"/>
  <c r="AY1094" i="1"/>
  <c r="AX1094" i="1"/>
  <c r="AW1094" i="1"/>
  <c r="AU1094" i="1"/>
  <c r="AS1094" i="1"/>
  <c r="K1094" i="1" a="1"/>
  <c r="K1094" i="1" s="1"/>
  <c r="J1094" i="1" a="1"/>
  <c r="J1094" i="1" s="1"/>
  <c r="F1094" i="1" a="1"/>
  <c r="F1094" i="1" s="1"/>
  <c r="AZ1092" i="1"/>
  <c r="AY1092" i="1"/>
  <c r="AX1092" i="1"/>
  <c r="AW1092" i="1"/>
  <c r="AU1092" i="1"/>
  <c r="AT1092" i="1"/>
  <c r="AS1092" i="1"/>
  <c r="K1092" i="1" a="1"/>
  <c r="K1092" i="1" s="1"/>
  <c r="J1092" i="1" a="1"/>
  <c r="J1092" i="1" s="1"/>
  <c r="F1092" i="1" a="1"/>
  <c r="F1092" i="1" s="1"/>
  <c r="AZ1091" i="1"/>
  <c r="AY1091" i="1"/>
  <c r="AX1091" i="1"/>
  <c r="AW1091" i="1"/>
  <c r="AU1091" i="1"/>
  <c r="AT1091" i="1"/>
  <c r="AS1091" i="1"/>
  <c r="K1091" i="1" a="1"/>
  <c r="K1091" i="1" s="1"/>
  <c r="J1091" i="1" a="1"/>
  <c r="J1091" i="1" s="1"/>
  <c r="F1091" i="1" a="1"/>
  <c r="F1091" i="1" s="1"/>
  <c r="E1091" i="1" s="1" a="1"/>
  <c r="E1091" i="1" s="1"/>
  <c r="AZ1090" i="1"/>
  <c r="AY1090" i="1"/>
  <c r="AX1090" i="1"/>
  <c r="AW1090" i="1"/>
  <c r="AU1090" i="1"/>
  <c r="AT1090" i="1"/>
  <c r="AS1090" i="1"/>
  <c r="K1090" i="1" a="1"/>
  <c r="K1090" i="1" s="1"/>
  <c r="J1090" i="1" a="1"/>
  <c r="J1090" i="1" s="1"/>
  <c r="F1090" i="1" a="1"/>
  <c r="F1090" i="1" s="1"/>
  <c r="AZ1089" i="1"/>
  <c r="AY1089" i="1"/>
  <c r="AX1089" i="1"/>
  <c r="AW1089" i="1"/>
  <c r="AU1089" i="1"/>
  <c r="AT1089" i="1"/>
  <c r="AS1089" i="1"/>
  <c r="K1089" i="1" a="1"/>
  <c r="K1089" i="1" s="1"/>
  <c r="J1089" i="1" a="1"/>
  <c r="J1089" i="1" s="1"/>
  <c r="F1089" i="1" a="1"/>
  <c r="F1089" i="1" s="1"/>
  <c r="AZ1088" i="1"/>
  <c r="AY1088" i="1"/>
  <c r="AX1088" i="1"/>
  <c r="AW1088" i="1"/>
  <c r="AU1088" i="1"/>
  <c r="AT1088" i="1"/>
  <c r="AS1088" i="1"/>
  <c r="K1088" i="1" a="1"/>
  <c r="K1088" i="1" s="1"/>
  <c r="J1088" i="1" a="1"/>
  <c r="J1088" i="1" s="1"/>
  <c r="F1088" i="1" a="1"/>
  <c r="F1088" i="1" s="1"/>
  <c r="AZ1086" i="1"/>
  <c r="AY1086" i="1"/>
  <c r="AX1086" i="1"/>
  <c r="AW1086" i="1"/>
  <c r="AU1086" i="1"/>
  <c r="AS1086" i="1"/>
  <c r="K1086" i="1" a="1"/>
  <c r="K1086" i="1" s="1"/>
  <c r="J1086" i="1" a="1"/>
  <c r="J1086" i="1" s="1"/>
  <c r="F1086" i="1" a="1"/>
  <c r="F1086" i="1" s="1"/>
  <c r="AZ1085" i="1"/>
  <c r="AY1085" i="1"/>
  <c r="AX1085" i="1"/>
  <c r="AW1085" i="1"/>
  <c r="AU1085" i="1"/>
  <c r="AS1085" i="1"/>
  <c r="K1085" i="1" a="1"/>
  <c r="K1085" i="1" s="1"/>
  <c r="J1085" i="1" a="1"/>
  <c r="J1085" i="1" s="1"/>
  <c r="F1085" i="1" a="1"/>
  <c r="F1085" i="1" s="1"/>
  <c r="AZ1084" i="1"/>
  <c r="AY1084" i="1"/>
  <c r="AX1084" i="1"/>
  <c r="AW1084" i="1"/>
  <c r="AU1084" i="1"/>
  <c r="AS1084" i="1"/>
  <c r="K1084" i="1" a="1"/>
  <c r="K1084" i="1" s="1"/>
  <c r="J1084" i="1" a="1"/>
  <c r="J1084" i="1" s="1"/>
  <c r="F1084" i="1" a="1"/>
  <c r="F1084" i="1" s="1"/>
  <c r="AZ1083" i="1"/>
  <c r="AY1083" i="1"/>
  <c r="AX1083" i="1"/>
  <c r="AW1083" i="1"/>
  <c r="AU1083" i="1"/>
  <c r="AS1083" i="1"/>
  <c r="K1083" i="1" a="1"/>
  <c r="K1083" i="1" s="1"/>
  <c r="J1083" i="1" a="1"/>
  <c r="J1083" i="1" s="1"/>
  <c r="F1083" i="1" a="1"/>
  <c r="F1083" i="1" s="1"/>
  <c r="AZ1082" i="1"/>
  <c r="AY1082" i="1"/>
  <c r="AX1082" i="1"/>
  <c r="AW1082" i="1"/>
  <c r="AU1082" i="1"/>
  <c r="AS1082" i="1"/>
  <c r="K1082" i="1" a="1"/>
  <c r="K1082" i="1" s="1"/>
  <c r="J1082" i="1" a="1"/>
  <c r="J1082" i="1" s="1"/>
  <c r="F1082" i="1" a="1"/>
  <c r="F1082" i="1" s="1"/>
  <c r="AZ1080" i="1"/>
  <c r="AY1080" i="1"/>
  <c r="AX1080" i="1"/>
  <c r="AW1080" i="1"/>
  <c r="AU1080" i="1"/>
  <c r="AT1080" i="1"/>
  <c r="AS1080" i="1"/>
  <c r="K1080" i="1" a="1"/>
  <c r="K1080" i="1" s="1"/>
  <c r="J1080" i="1" a="1"/>
  <c r="J1080" i="1" s="1"/>
  <c r="F1080" i="1" a="1"/>
  <c r="F1080" i="1" s="1"/>
  <c r="AZ1079" i="1"/>
  <c r="AY1079" i="1"/>
  <c r="AX1079" i="1"/>
  <c r="AW1079" i="1"/>
  <c r="AU1079" i="1"/>
  <c r="AT1079" i="1"/>
  <c r="AS1079" i="1"/>
  <c r="K1079" i="1" a="1"/>
  <c r="K1079" i="1" s="1"/>
  <c r="J1079" i="1" a="1"/>
  <c r="J1079" i="1" s="1"/>
  <c r="F1079" i="1" a="1"/>
  <c r="F1079" i="1" s="1"/>
  <c r="AZ1078" i="1"/>
  <c r="AY1078" i="1"/>
  <c r="AX1078" i="1"/>
  <c r="AW1078" i="1"/>
  <c r="AU1078" i="1"/>
  <c r="AT1078" i="1"/>
  <c r="AS1078" i="1"/>
  <c r="K1078" i="1" a="1"/>
  <c r="K1078" i="1" s="1"/>
  <c r="J1078" i="1" a="1"/>
  <c r="J1078" i="1" s="1"/>
  <c r="F1078" i="1" a="1"/>
  <c r="F1078" i="1" s="1"/>
  <c r="AZ1077" i="1"/>
  <c r="AY1077" i="1"/>
  <c r="AX1077" i="1"/>
  <c r="AW1077" i="1"/>
  <c r="AU1077" i="1"/>
  <c r="AT1077" i="1"/>
  <c r="AS1077" i="1"/>
  <c r="K1077" i="1" a="1"/>
  <c r="K1077" i="1" s="1"/>
  <c r="J1077" i="1" a="1"/>
  <c r="J1077" i="1" s="1"/>
  <c r="F1077" i="1" a="1"/>
  <c r="F1077" i="1" s="1"/>
  <c r="AZ1076" i="1"/>
  <c r="AY1076" i="1"/>
  <c r="AX1076" i="1"/>
  <c r="AW1076" i="1"/>
  <c r="AU1076" i="1"/>
  <c r="AT1076" i="1"/>
  <c r="AS1076" i="1"/>
  <c r="K1076" i="1" a="1"/>
  <c r="K1076" i="1" s="1"/>
  <c r="J1076" i="1" a="1"/>
  <c r="J1076" i="1" s="1"/>
  <c r="F1076" i="1" a="1"/>
  <c r="F1076" i="1" s="1"/>
  <c r="AZ1074" i="1"/>
  <c r="AY1074" i="1"/>
  <c r="AX1074" i="1"/>
  <c r="AW1074" i="1"/>
  <c r="AU1074" i="1"/>
  <c r="AS1074" i="1"/>
  <c r="K1074" i="1" a="1"/>
  <c r="K1074" i="1" s="1"/>
  <c r="J1074" i="1" a="1"/>
  <c r="J1074" i="1" s="1"/>
  <c r="F1074" i="1" a="1"/>
  <c r="F1074" i="1" s="1"/>
  <c r="AZ1073" i="1"/>
  <c r="AY1073" i="1"/>
  <c r="AX1073" i="1"/>
  <c r="AW1073" i="1"/>
  <c r="AU1073" i="1"/>
  <c r="AS1073" i="1"/>
  <c r="K1073" i="1" a="1"/>
  <c r="K1073" i="1" s="1"/>
  <c r="J1073" i="1" a="1"/>
  <c r="J1073" i="1" s="1"/>
  <c r="F1073" i="1" a="1"/>
  <c r="F1073" i="1" s="1"/>
  <c r="AZ1072" i="1"/>
  <c r="AY1072" i="1"/>
  <c r="AX1072" i="1"/>
  <c r="AW1072" i="1"/>
  <c r="AU1072" i="1"/>
  <c r="AS1072" i="1"/>
  <c r="K1072" i="1" a="1"/>
  <c r="K1072" i="1" s="1"/>
  <c r="J1072" i="1" a="1"/>
  <c r="J1072" i="1" s="1"/>
  <c r="F1072" i="1" a="1"/>
  <c r="F1072" i="1" s="1"/>
  <c r="AZ1071" i="1"/>
  <c r="AY1071" i="1"/>
  <c r="AX1071" i="1"/>
  <c r="AW1071" i="1"/>
  <c r="AU1071" i="1"/>
  <c r="AS1071" i="1"/>
  <c r="K1071" i="1" a="1"/>
  <c r="K1071" i="1" s="1"/>
  <c r="J1071" i="1" a="1"/>
  <c r="J1071" i="1" s="1"/>
  <c r="F1071" i="1" a="1"/>
  <c r="F1071" i="1" s="1"/>
  <c r="AZ1070" i="1"/>
  <c r="AY1070" i="1"/>
  <c r="AX1070" i="1"/>
  <c r="AW1070" i="1"/>
  <c r="AU1070" i="1"/>
  <c r="AS1070" i="1"/>
  <c r="K1070" i="1" a="1"/>
  <c r="K1070" i="1" s="1"/>
  <c r="J1070" i="1" a="1"/>
  <c r="J1070" i="1" s="1"/>
  <c r="F1070" i="1" a="1"/>
  <c r="F1070" i="1" s="1"/>
  <c r="AZ1159" i="1"/>
  <c r="AY1159" i="1"/>
  <c r="AX1159" i="1"/>
  <c r="AW1159" i="1"/>
  <c r="AU1159" i="1"/>
  <c r="AT1159" i="1"/>
  <c r="AS1159" i="1"/>
  <c r="K1159" i="1" a="1"/>
  <c r="K1159" i="1" s="1"/>
  <c r="J1159" i="1" a="1"/>
  <c r="J1159" i="1" s="1"/>
  <c r="F1159" i="1" a="1"/>
  <c r="F1159" i="1" s="1"/>
  <c r="AZ2376" i="1"/>
  <c r="AY2376" i="1"/>
  <c r="AX2376" i="1"/>
  <c r="AW2376" i="1"/>
  <c r="AU2376" i="1"/>
  <c r="AT2376" i="1"/>
  <c r="AS2376" i="1"/>
  <c r="K2376" i="1" a="1"/>
  <c r="K2376" i="1" s="1"/>
  <c r="J2376" i="1" a="1"/>
  <c r="J2376" i="1" s="1"/>
  <c r="F2376" i="1" a="1"/>
  <c r="F2376" i="1" s="1"/>
  <c r="AZ2375" i="1"/>
  <c r="AY2375" i="1"/>
  <c r="AX2375" i="1"/>
  <c r="AW2375" i="1"/>
  <c r="AU2375" i="1"/>
  <c r="AT2375" i="1"/>
  <c r="AS2375" i="1"/>
  <c r="K2375" i="1" a="1"/>
  <c r="K2375" i="1" s="1"/>
  <c r="J2375" i="1" a="1"/>
  <c r="J2375" i="1" s="1"/>
  <c r="F2375" i="1" a="1"/>
  <c r="F2375" i="1" s="1"/>
  <c r="AZ2374" i="1"/>
  <c r="AY2374" i="1"/>
  <c r="AX2374" i="1"/>
  <c r="AW2374" i="1"/>
  <c r="AU2374" i="1"/>
  <c r="AT2374" i="1"/>
  <c r="AS2374" i="1"/>
  <c r="K2374" i="1" a="1"/>
  <c r="K2374" i="1" s="1"/>
  <c r="J2374" i="1" a="1"/>
  <c r="J2374" i="1" s="1"/>
  <c r="F2374" i="1" a="1"/>
  <c r="F2374" i="1" s="1"/>
  <c r="AZ2373" i="1"/>
  <c r="AY2373" i="1"/>
  <c r="AX2373" i="1"/>
  <c r="AW2373" i="1"/>
  <c r="AU2373" i="1"/>
  <c r="AT2373" i="1"/>
  <c r="AS2373" i="1"/>
  <c r="K2373" i="1" a="1"/>
  <c r="K2373" i="1" s="1"/>
  <c r="J2373" i="1" a="1"/>
  <c r="J2373" i="1" s="1"/>
  <c r="F2373" i="1" a="1"/>
  <c r="F2373" i="1" s="1"/>
  <c r="AZ2372" i="1"/>
  <c r="AY2372" i="1"/>
  <c r="AX2372" i="1"/>
  <c r="AW2372" i="1"/>
  <c r="AU2372" i="1"/>
  <c r="AT2372" i="1"/>
  <c r="AS2372" i="1"/>
  <c r="K2372" i="1" a="1"/>
  <c r="K2372" i="1" s="1"/>
  <c r="J2372" i="1" a="1"/>
  <c r="J2372" i="1" s="1"/>
  <c r="F2372" i="1" a="1"/>
  <c r="F2372" i="1" s="1"/>
  <c r="AY2370" i="1"/>
  <c r="AX2370" i="1"/>
  <c r="AW2370" i="1"/>
  <c r="AU2370" i="1"/>
  <c r="K2370" i="1" a="1"/>
  <c r="K2370" i="1" s="1"/>
  <c r="J2370" i="1" a="1"/>
  <c r="J2370" i="1" s="1"/>
  <c r="F2370" i="1" a="1"/>
  <c r="F2370" i="1" s="1"/>
  <c r="AY2369" i="1"/>
  <c r="AX2369" i="1"/>
  <c r="AW2369" i="1"/>
  <c r="AU2369" i="1"/>
  <c r="K2369" i="1" a="1"/>
  <c r="K2369" i="1" s="1"/>
  <c r="J2369" i="1" a="1"/>
  <c r="J2369" i="1" s="1"/>
  <c r="F2369" i="1" a="1"/>
  <c r="F2369" i="1" s="1"/>
  <c r="AY2368" i="1"/>
  <c r="AX2368" i="1"/>
  <c r="AW2368" i="1"/>
  <c r="AU2368" i="1"/>
  <c r="K2368" i="1" a="1"/>
  <c r="K2368" i="1" s="1"/>
  <c r="J2368" i="1" a="1"/>
  <c r="J2368" i="1" s="1"/>
  <c r="F2368" i="1" a="1"/>
  <c r="F2368" i="1" s="1"/>
  <c r="AY2367" i="1"/>
  <c r="AX2367" i="1"/>
  <c r="AW2367" i="1"/>
  <c r="AU2367" i="1"/>
  <c r="K2367" i="1" a="1"/>
  <c r="K2367" i="1" s="1"/>
  <c r="J2367" i="1" a="1"/>
  <c r="J2367" i="1" s="1"/>
  <c r="F2367" i="1" a="1"/>
  <c r="F2367" i="1" s="1"/>
  <c r="AY2366" i="1"/>
  <c r="AX2366" i="1"/>
  <c r="AW2366" i="1"/>
  <c r="AU2366" i="1"/>
  <c r="K2366" i="1" a="1"/>
  <c r="K2366" i="1" s="1"/>
  <c r="J2366" i="1" a="1"/>
  <c r="J2366" i="1" s="1"/>
  <c r="F2366" i="1" a="1"/>
  <c r="F2366" i="1" s="1"/>
  <c r="AZ2364" i="1"/>
  <c r="AY2364" i="1"/>
  <c r="AX2364" i="1"/>
  <c r="AW2364" i="1"/>
  <c r="AU2364" i="1"/>
  <c r="AT2364" i="1"/>
  <c r="AS2364" i="1"/>
  <c r="K2364" i="1" a="1"/>
  <c r="K2364" i="1" s="1"/>
  <c r="J2364" i="1" a="1"/>
  <c r="J2364" i="1" s="1"/>
  <c r="F2364" i="1" a="1"/>
  <c r="F2364" i="1" s="1"/>
  <c r="AZ2363" i="1"/>
  <c r="AY2363" i="1"/>
  <c r="AX2363" i="1"/>
  <c r="AW2363" i="1"/>
  <c r="AU2363" i="1"/>
  <c r="AT2363" i="1"/>
  <c r="AS2363" i="1"/>
  <c r="K2363" i="1" a="1"/>
  <c r="K2363" i="1" s="1"/>
  <c r="J2363" i="1" a="1"/>
  <c r="J2363" i="1" s="1"/>
  <c r="F2363" i="1" a="1"/>
  <c r="F2363" i="1" s="1"/>
  <c r="AZ2362" i="1"/>
  <c r="AY2362" i="1"/>
  <c r="AX2362" i="1"/>
  <c r="AW2362" i="1"/>
  <c r="AU2362" i="1"/>
  <c r="AT2362" i="1"/>
  <c r="AS2362" i="1"/>
  <c r="K2362" i="1" a="1"/>
  <c r="K2362" i="1" s="1"/>
  <c r="J2362" i="1" a="1"/>
  <c r="J2362" i="1" s="1"/>
  <c r="F2362" i="1" a="1"/>
  <c r="F2362" i="1" s="1"/>
  <c r="AZ2361" i="1"/>
  <c r="AY2361" i="1"/>
  <c r="AX2361" i="1"/>
  <c r="AW2361" i="1"/>
  <c r="AU2361" i="1"/>
  <c r="AT2361" i="1"/>
  <c r="AS2361" i="1"/>
  <c r="K2361" i="1" a="1"/>
  <c r="K2361" i="1" s="1"/>
  <c r="J2361" i="1" a="1"/>
  <c r="J2361" i="1" s="1"/>
  <c r="F2361" i="1" a="1"/>
  <c r="F2361" i="1" s="1"/>
  <c r="AZ2360" i="1"/>
  <c r="AY2360" i="1"/>
  <c r="AX2360" i="1"/>
  <c r="AW2360" i="1"/>
  <c r="AU2360" i="1"/>
  <c r="AT2360" i="1"/>
  <c r="AS2360" i="1"/>
  <c r="K2360" i="1" a="1"/>
  <c r="K2360" i="1" s="1"/>
  <c r="J2360" i="1" a="1"/>
  <c r="J2360" i="1" s="1"/>
  <c r="F2360" i="1" a="1"/>
  <c r="F2360" i="1" s="1"/>
  <c r="AZ1630" i="1"/>
  <c r="AY1630" i="1"/>
  <c r="AX1630" i="1"/>
  <c r="AW1630" i="1"/>
  <c r="AU1630" i="1"/>
  <c r="AS1630" i="1"/>
  <c r="K1630" i="1" a="1"/>
  <c r="K1630" i="1" s="1"/>
  <c r="J1630" i="1" a="1"/>
  <c r="J1630" i="1" s="1"/>
  <c r="F1630" i="1" a="1"/>
  <c r="F1630" i="1" s="1"/>
  <c r="E1630" i="1" s="1" a="1"/>
  <c r="E1630" i="1" s="1"/>
  <c r="AZ1629" i="1"/>
  <c r="AY1629" i="1"/>
  <c r="AX1629" i="1"/>
  <c r="AW1629" i="1"/>
  <c r="AU1629" i="1"/>
  <c r="AS1629" i="1"/>
  <c r="K1629" i="1" a="1"/>
  <c r="K1629" i="1" s="1"/>
  <c r="J1629" i="1" a="1"/>
  <c r="J1629" i="1" s="1"/>
  <c r="F1629" i="1" a="1"/>
  <c r="F1629" i="1" s="1"/>
  <c r="AZ1628" i="1"/>
  <c r="AY1628" i="1"/>
  <c r="AX1628" i="1"/>
  <c r="AW1628" i="1"/>
  <c r="AU1628" i="1"/>
  <c r="AS1628" i="1"/>
  <c r="K1628" i="1" a="1"/>
  <c r="K1628" i="1" s="1"/>
  <c r="J1628" i="1" a="1"/>
  <c r="J1628" i="1" s="1"/>
  <c r="F1628" i="1" a="1"/>
  <c r="F1628" i="1" s="1"/>
  <c r="AZ1627" i="1"/>
  <c r="AY1627" i="1"/>
  <c r="AX1627" i="1"/>
  <c r="AW1627" i="1"/>
  <c r="AU1627" i="1"/>
  <c r="AS1627" i="1"/>
  <c r="K1627" i="1" a="1"/>
  <c r="K1627" i="1" s="1"/>
  <c r="J1627" i="1" a="1"/>
  <c r="J1627" i="1" s="1"/>
  <c r="F1627" i="1" a="1"/>
  <c r="F1627" i="1" s="1"/>
  <c r="AZ1626" i="1"/>
  <c r="AY1626" i="1"/>
  <c r="AX1626" i="1"/>
  <c r="AW1626" i="1"/>
  <c r="AU1626" i="1"/>
  <c r="AS1626" i="1"/>
  <c r="K1626" i="1" a="1"/>
  <c r="K1626" i="1" s="1"/>
  <c r="J1626" i="1" a="1"/>
  <c r="J1626" i="1" s="1"/>
  <c r="F1626" i="1" a="1"/>
  <c r="F1626" i="1" s="1"/>
  <c r="AZ1624" i="1"/>
  <c r="AY1624" i="1"/>
  <c r="AX1624" i="1"/>
  <c r="AW1624" i="1"/>
  <c r="AU1624" i="1"/>
  <c r="AT1624" i="1"/>
  <c r="AS1624" i="1"/>
  <c r="K1624" i="1" a="1"/>
  <c r="K1624" i="1" s="1"/>
  <c r="J1624" i="1" a="1"/>
  <c r="J1624" i="1" s="1"/>
  <c r="F1624" i="1" a="1"/>
  <c r="F1624" i="1" s="1"/>
  <c r="AZ1623" i="1"/>
  <c r="AY1623" i="1"/>
  <c r="AX1623" i="1"/>
  <c r="AW1623" i="1"/>
  <c r="AU1623" i="1"/>
  <c r="AT1623" i="1"/>
  <c r="AS1623" i="1"/>
  <c r="K1623" i="1" a="1"/>
  <c r="K1623" i="1" s="1"/>
  <c r="J1623" i="1" a="1"/>
  <c r="J1623" i="1" s="1"/>
  <c r="F1623" i="1" a="1"/>
  <c r="F1623" i="1" s="1"/>
  <c r="E1623" i="1" s="1" a="1"/>
  <c r="E1623" i="1" s="1"/>
  <c r="AZ1622" i="1"/>
  <c r="AY1622" i="1"/>
  <c r="AX1622" i="1"/>
  <c r="AW1622" i="1"/>
  <c r="AU1622" i="1"/>
  <c r="AT1622" i="1"/>
  <c r="AS1622" i="1"/>
  <c r="K1622" i="1" a="1"/>
  <c r="K1622" i="1" s="1"/>
  <c r="J1622" i="1" a="1"/>
  <c r="J1622" i="1" s="1"/>
  <c r="F1622" i="1" a="1"/>
  <c r="F1622" i="1" s="1"/>
  <c r="AZ1621" i="1"/>
  <c r="AY1621" i="1"/>
  <c r="AX1621" i="1"/>
  <c r="AW1621" i="1"/>
  <c r="AU1621" i="1"/>
  <c r="AT1621" i="1"/>
  <c r="AS1621" i="1"/>
  <c r="K1621" i="1" a="1"/>
  <c r="K1621" i="1" s="1"/>
  <c r="J1621" i="1" a="1"/>
  <c r="J1621" i="1" s="1"/>
  <c r="F1621" i="1" a="1"/>
  <c r="F1621" i="1" s="1"/>
  <c r="AZ1620" i="1"/>
  <c r="AY1620" i="1"/>
  <c r="AX1620" i="1"/>
  <c r="AW1620" i="1"/>
  <c r="AU1620" i="1"/>
  <c r="AT1620" i="1"/>
  <c r="AS1620" i="1"/>
  <c r="K1620" i="1" a="1"/>
  <c r="K1620" i="1" s="1"/>
  <c r="J1620" i="1" a="1"/>
  <c r="J1620" i="1" s="1"/>
  <c r="F1620" i="1" a="1"/>
  <c r="F1620" i="1" s="1"/>
  <c r="AZ1175" i="1"/>
  <c r="AY1175" i="1"/>
  <c r="AX1175" i="1"/>
  <c r="AW1175" i="1"/>
  <c r="AU1175" i="1"/>
  <c r="AS1175" i="1"/>
  <c r="K1175" i="1" a="1"/>
  <c r="K1175" i="1" s="1"/>
  <c r="J1175" i="1" a="1"/>
  <c r="J1175" i="1" s="1"/>
  <c r="F1175" i="1" a="1"/>
  <c r="F1175" i="1" s="1"/>
  <c r="AZ1174" i="1"/>
  <c r="AY1174" i="1"/>
  <c r="AX1174" i="1"/>
  <c r="AW1174" i="1"/>
  <c r="AU1174" i="1"/>
  <c r="AS1174" i="1"/>
  <c r="K1174" i="1" a="1"/>
  <c r="K1174" i="1" s="1"/>
  <c r="J1174" i="1" a="1"/>
  <c r="J1174" i="1" s="1"/>
  <c r="F1174" i="1" a="1"/>
  <c r="F1174" i="1" s="1"/>
  <c r="AZ1173" i="1"/>
  <c r="AY1173" i="1"/>
  <c r="AX1173" i="1"/>
  <c r="AW1173" i="1"/>
  <c r="AU1173" i="1"/>
  <c r="AS1173" i="1"/>
  <c r="K1173" i="1" a="1"/>
  <c r="K1173" i="1" s="1"/>
  <c r="J1173" i="1" a="1"/>
  <c r="J1173" i="1" s="1"/>
  <c r="F1173" i="1" a="1"/>
  <c r="F1173" i="1" s="1"/>
  <c r="AZ1172" i="1"/>
  <c r="AY1172" i="1"/>
  <c r="AX1172" i="1"/>
  <c r="AW1172" i="1"/>
  <c r="AU1172" i="1"/>
  <c r="AS1172" i="1"/>
  <c r="K1172" i="1" a="1"/>
  <c r="K1172" i="1" s="1"/>
  <c r="J1172" i="1" a="1"/>
  <c r="J1172" i="1" s="1"/>
  <c r="F1172" i="1" a="1"/>
  <c r="F1172" i="1" s="1"/>
  <c r="AZ1171" i="1"/>
  <c r="AY1171" i="1"/>
  <c r="AX1171" i="1"/>
  <c r="AW1171" i="1"/>
  <c r="AU1171" i="1"/>
  <c r="AS1171" i="1"/>
  <c r="K1171" i="1" a="1"/>
  <c r="K1171" i="1" s="1"/>
  <c r="J1171" i="1" a="1"/>
  <c r="J1171" i="1" s="1"/>
  <c r="F1171" i="1" a="1"/>
  <c r="F1171" i="1" s="1"/>
  <c r="E1171" i="1" s="1" a="1"/>
  <c r="E1171" i="1" s="1"/>
  <c r="AZ1169" i="1"/>
  <c r="AY1169" i="1"/>
  <c r="AX1169" i="1"/>
  <c r="AW1169" i="1"/>
  <c r="AT1169" i="1" a="1"/>
  <c r="AT1169" i="1" s="1"/>
  <c r="AU1169" i="1" s="1"/>
  <c r="K1169" i="1" a="1"/>
  <c r="K1169" i="1" s="1"/>
  <c r="J1169" i="1" a="1"/>
  <c r="J1169" i="1" s="1"/>
  <c r="F1169" i="1" a="1"/>
  <c r="F1169" i="1" s="1"/>
  <c r="AZ1168" i="1"/>
  <c r="AY1168" i="1"/>
  <c r="AX1168" i="1"/>
  <c r="AW1168" i="1"/>
  <c r="AT1168" i="1" a="1"/>
  <c r="AT1168" i="1" s="1"/>
  <c r="AU1168" i="1" s="1"/>
  <c r="K1168" i="1" a="1"/>
  <c r="K1168" i="1" s="1"/>
  <c r="J1168" i="1" a="1"/>
  <c r="J1168" i="1" s="1"/>
  <c r="F1168" i="1" a="1"/>
  <c r="F1168" i="1" s="1"/>
  <c r="AZ1167" i="1"/>
  <c r="AY1167" i="1"/>
  <c r="AX1167" i="1"/>
  <c r="AW1167" i="1"/>
  <c r="AT1167" i="1" a="1"/>
  <c r="AT1167" i="1" s="1"/>
  <c r="AU1167" i="1" s="1"/>
  <c r="K1167" i="1" a="1"/>
  <c r="K1167" i="1" s="1"/>
  <c r="J1167" i="1" a="1"/>
  <c r="J1167" i="1" s="1"/>
  <c r="F1167" i="1" a="1"/>
  <c r="F1167" i="1" s="1"/>
  <c r="AZ1166" i="1"/>
  <c r="AY1166" i="1"/>
  <c r="AX1166" i="1"/>
  <c r="AW1166" i="1"/>
  <c r="AT1166" i="1" a="1"/>
  <c r="AT1166" i="1" s="1"/>
  <c r="AU1166" i="1" s="1"/>
  <c r="K1166" i="1" a="1"/>
  <c r="K1166" i="1" s="1"/>
  <c r="J1166" i="1" a="1"/>
  <c r="J1166" i="1" s="1"/>
  <c r="F1166" i="1" a="1"/>
  <c r="F1166" i="1" s="1"/>
  <c r="AZ1165" i="1"/>
  <c r="AY1165" i="1"/>
  <c r="AX1165" i="1"/>
  <c r="AW1165" i="1"/>
  <c r="AT1165" i="1" a="1"/>
  <c r="AT1165" i="1" s="1"/>
  <c r="AU1165" i="1" s="1"/>
  <c r="K1165" i="1" a="1"/>
  <c r="K1165" i="1" s="1"/>
  <c r="J1165" i="1" a="1"/>
  <c r="J1165" i="1" s="1"/>
  <c r="F1165" i="1" a="1"/>
  <c r="F1165" i="1" s="1"/>
  <c r="AZ257" i="1"/>
  <c r="AY257" i="1"/>
  <c r="AX257" i="1"/>
  <c r="AW257" i="1"/>
  <c r="AT257" i="1" a="1"/>
  <c r="AT257" i="1" s="1"/>
  <c r="AU257" i="1" s="1"/>
  <c r="K257" i="1" a="1"/>
  <c r="K257" i="1" s="1"/>
  <c r="J257" i="1" a="1"/>
  <c r="J257" i="1" s="1"/>
  <c r="F257" i="1" a="1"/>
  <c r="F257" i="1" s="1"/>
  <c r="AZ256" i="1"/>
  <c r="AY256" i="1"/>
  <c r="AX256" i="1"/>
  <c r="AW256" i="1"/>
  <c r="AT256" i="1" a="1"/>
  <c r="AT256" i="1" s="1"/>
  <c r="AU256" i="1" s="1"/>
  <c r="K256" i="1" a="1"/>
  <c r="K256" i="1" s="1"/>
  <c r="J256" i="1" a="1"/>
  <c r="J256" i="1" s="1"/>
  <c r="F256" i="1" a="1"/>
  <c r="F256" i="1" s="1"/>
  <c r="AZ255" i="1"/>
  <c r="AY255" i="1"/>
  <c r="AX255" i="1"/>
  <c r="AW255" i="1"/>
  <c r="AT255" i="1" a="1"/>
  <c r="AT255" i="1" s="1"/>
  <c r="AU255" i="1" s="1"/>
  <c r="K255" i="1" a="1"/>
  <c r="K255" i="1" s="1"/>
  <c r="J255" i="1" a="1"/>
  <c r="J255" i="1" s="1"/>
  <c r="F255" i="1" a="1"/>
  <c r="F255" i="1" s="1"/>
  <c r="AZ254" i="1"/>
  <c r="AY254" i="1"/>
  <c r="AX254" i="1"/>
  <c r="AW254" i="1"/>
  <c r="AT254" i="1" a="1"/>
  <c r="AT254" i="1" s="1"/>
  <c r="AU254" i="1" s="1"/>
  <c r="K254" i="1" a="1"/>
  <c r="K254" i="1" s="1"/>
  <c r="J254" i="1" a="1"/>
  <c r="J254" i="1" s="1"/>
  <c r="F254" i="1" a="1"/>
  <c r="F254" i="1" s="1"/>
  <c r="AZ253" i="1"/>
  <c r="AY253" i="1"/>
  <c r="AX253" i="1"/>
  <c r="AW253" i="1"/>
  <c r="AT253" i="1" a="1"/>
  <c r="AT253" i="1" s="1"/>
  <c r="AU253" i="1" s="1"/>
  <c r="K253" i="1" a="1"/>
  <c r="K253" i="1" s="1"/>
  <c r="J253" i="1" a="1"/>
  <c r="J253" i="1" s="1"/>
  <c r="F253" i="1" a="1"/>
  <c r="F253" i="1" s="1"/>
  <c r="AZ251" i="1"/>
  <c r="AY251" i="1"/>
  <c r="AX251" i="1"/>
  <c r="AW251" i="1"/>
  <c r="AT251" i="1" a="1"/>
  <c r="AT251" i="1" s="1"/>
  <c r="AU251" i="1" s="1"/>
  <c r="K251" i="1" a="1"/>
  <c r="K251" i="1" s="1"/>
  <c r="J251" i="1" a="1"/>
  <c r="J251" i="1" s="1"/>
  <c r="F251" i="1" a="1"/>
  <c r="F251" i="1" s="1"/>
  <c r="AZ250" i="1"/>
  <c r="AY250" i="1"/>
  <c r="AX250" i="1"/>
  <c r="AW250" i="1"/>
  <c r="AT250" i="1" a="1"/>
  <c r="AT250" i="1" s="1"/>
  <c r="AU250" i="1" s="1"/>
  <c r="K250" i="1" a="1"/>
  <c r="K250" i="1" s="1"/>
  <c r="J250" i="1" a="1"/>
  <c r="J250" i="1" s="1"/>
  <c r="F250" i="1" a="1"/>
  <c r="F250" i="1" s="1"/>
  <c r="AZ249" i="1"/>
  <c r="AY249" i="1"/>
  <c r="AX249" i="1"/>
  <c r="AW249" i="1"/>
  <c r="AT249" i="1" a="1"/>
  <c r="AT249" i="1" s="1"/>
  <c r="AU249" i="1" s="1"/>
  <c r="K249" i="1" a="1"/>
  <c r="K249" i="1" s="1"/>
  <c r="J249" i="1" a="1"/>
  <c r="J249" i="1" s="1"/>
  <c r="F249" i="1" a="1"/>
  <c r="F249" i="1" s="1"/>
  <c r="AZ248" i="1"/>
  <c r="AY248" i="1"/>
  <c r="AX248" i="1"/>
  <c r="AW248" i="1"/>
  <c r="AT248" i="1" a="1"/>
  <c r="AT248" i="1" s="1"/>
  <c r="AU248" i="1" s="1"/>
  <c r="K248" i="1" a="1"/>
  <c r="K248" i="1" s="1"/>
  <c r="J248" i="1" a="1"/>
  <c r="J248" i="1" s="1"/>
  <c r="F248" i="1" a="1"/>
  <c r="F248" i="1" s="1"/>
  <c r="AZ247" i="1"/>
  <c r="AY247" i="1"/>
  <c r="AX247" i="1"/>
  <c r="AW247" i="1"/>
  <c r="AT247" i="1" a="1"/>
  <c r="AT247" i="1" s="1"/>
  <c r="AU247" i="1" s="1"/>
  <c r="K247" i="1" a="1"/>
  <c r="K247" i="1" s="1"/>
  <c r="J247" i="1" a="1"/>
  <c r="J247" i="1" s="1"/>
  <c r="F247" i="1" a="1"/>
  <c r="F247" i="1" s="1"/>
  <c r="AZ2371" i="1"/>
  <c r="AY2371" i="1"/>
  <c r="AX2371" i="1"/>
  <c r="AW2371" i="1"/>
  <c r="AU2371" i="1"/>
  <c r="AT2371" i="1"/>
  <c r="AS2371" i="1"/>
  <c r="K2371" i="1" a="1"/>
  <c r="K2371" i="1" s="1"/>
  <c r="J2371" i="1" a="1"/>
  <c r="J2371" i="1" s="1"/>
  <c r="F2371" i="1" a="1"/>
  <c r="F2371" i="1" s="1"/>
  <c r="AZ1273" i="1"/>
  <c r="AY1273" i="1"/>
  <c r="AX1273" i="1"/>
  <c r="AW1273" i="1"/>
  <c r="K1273" i="1" a="1"/>
  <c r="K1273" i="1" s="1"/>
  <c r="J1273" i="1" a="1"/>
  <c r="J1273" i="1" s="1"/>
  <c r="F1273" i="1" a="1"/>
  <c r="F1273" i="1" s="1"/>
  <c r="AZ1272" i="1"/>
  <c r="AY1272" i="1"/>
  <c r="AX1272" i="1"/>
  <c r="AW1272" i="1"/>
  <c r="K1272" i="1" a="1"/>
  <c r="K1272" i="1" s="1"/>
  <c r="J1272" i="1" a="1"/>
  <c r="J1272" i="1" s="1"/>
  <c r="F1272" i="1" a="1"/>
  <c r="F1272" i="1" s="1"/>
  <c r="AZ1271" i="1"/>
  <c r="AY1271" i="1"/>
  <c r="AX1271" i="1"/>
  <c r="AW1271" i="1"/>
  <c r="K1271" i="1" a="1"/>
  <c r="K1271" i="1" s="1"/>
  <c r="J1271" i="1" a="1"/>
  <c r="J1271" i="1" s="1"/>
  <c r="F1271" i="1" a="1"/>
  <c r="F1271" i="1" s="1"/>
  <c r="AZ1270" i="1"/>
  <c r="AY1270" i="1"/>
  <c r="AX1270" i="1"/>
  <c r="AW1270" i="1"/>
  <c r="K1270" i="1" a="1"/>
  <c r="K1270" i="1" s="1"/>
  <c r="J1270" i="1" a="1"/>
  <c r="J1270" i="1" s="1"/>
  <c r="F1270" i="1" a="1"/>
  <c r="F1270" i="1" s="1"/>
  <c r="AZ1269" i="1"/>
  <c r="AY1269" i="1"/>
  <c r="AX1269" i="1"/>
  <c r="AW1269" i="1"/>
  <c r="K1269" i="1" a="1"/>
  <c r="K1269" i="1" s="1"/>
  <c r="J1269" i="1" a="1"/>
  <c r="J1269" i="1" s="1"/>
  <c r="F1269" i="1" a="1"/>
  <c r="F1269" i="1" s="1"/>
  <c r="AZ1267" i="1"/>
  <c r="AY1267" i="1"/>
  <c r="AX1267" i="1"/>
  <c r="AW1267" i="1"/>
  <c r="K1267" i="1" a="1"/>
  <c r="K1267" i="1" s="1"/>
  <c r="J1267" i="1" a="1"/>
  <c r="J1267" i="1" s="1"/>
  <c r="F1267" i="1" a="1"/>
  <c r="F1267" i="1" s="1"/>
  <c r="AZ1266" i="1"/>
  <c r="AY1266" i="1"/>
  <c r="AX1266" i="1"/>
  <c r="AW1266" i="1"/>
  <c r="K1266" i="1" a="1"/>
  <c r="K1266" i="1" s="1"/>
  <c r="J1266" i="1" a="1"/>
  <c r="J1266" i="1" s="1"/>
  <c r="F1266" i="1" a="1"/>
  <c r="F1266" i="1" s="1"/>
  <c r="AZ1265" i="1"/>
  <c r="AY1265" i="1"/>
  <c r="AX1265" i="1"/>
  <c r="AW1265" i="1"/>
  <c r="K1265" i="1" a="1"/>
  <c r="K1265" i="1" s="1"/>
  <c r="J1265" i="1" a="1"/>
  <c r="J1265" i="1" s="1"/>
  <c r="F1265" i="1" a="1"/>
  <c r="F1265" i="1" s="1"/>
  <c r="AZ1264" i="1"/>
  <c r="AY1264" i="1"/>
  <c r="AX1264" i="1"/>
  <c r="AW1264" i="1"/>
  <c r="K1264" i="1" a="1"/>
  <c r="K1264" i="1" s="1"/>
  <c r="J1264" i="1" a="1"/>
  <c r="J1264" i="1" s="1"/>
  <c r="F1264" i="1" a="1"/>
  <c r="F1264" i="1" s="1"/>
  <c r="AZ1263" i="1"/>
  <c r="AY1263" i="1"/>
  <c r="AX1263" i="1"/>
  <c r="AW1263" i="1"/>
  <c r="K1263" i="1" a="1"/>
  <c r="K1263" i="1" s="1"/>
  <c r="J1263" i="1" a="1"/>
  <c r="J1263" i="1" s="1"/>
  <c r="F1263" i="1" a="1"/>
  <c r="F1263" i="1" s="1"/>
  <c r="AZ1261" i="1"/>
  <c r="AY1261" i="1"/>
  <c r="AX1261" i="1"/>
  <c r="AW1261" i="1"/>
  <c r="K1261" i="1" a="1"/>
  <c r="K1261" i="1" s="1"/>
  <c r="J1261" i="1" a="1"/>
  <c r="J1261" i="1" s="1"/>
  <c r="F1261" i="1" a="1"/>
  <c r="F1261" i="1" s="1"/>
  <c r="AZ1260" i="1"/>
  <c r="AY1260" i="1"/>
  <c r="AX1260" i="1"/>
  <c r="AW1260" i="1"/>
  <c r="K1260" i="1" a="1"/>
  <c r="K1260" i="1" s="1"/>
  <c r="J1260" i="1" a="1"/>
  <c r="J1260" i="1" s="1"/>
  <c r="F1260" i="1" a="1"/>
  <c r="F1260" i="1" s="1"/>
  <c r="AZ1259" i="1"/>
  <c r="AY1259" i="1"/>
  <c r="AX1259" i="1"/>
  <c r="AW1259" i="1"/>
  <c r="K1259" i="1" a="1"/>
  <c r="K1259" i="1" s="1"/>
  <c r="J1259" i="1" a="1"/>
  <c r="J1259" i="1" s="1"/>
  <c r="F1259" i="1" a="1"/>
  <c r="F1259" i="1" s="1"/>
  <c r="AZ1258" i="1"/>
  <c r="AY1258" i="1"/>
  <c r="AX1258" i="1"/>
  <c r="AW1258" i="1"/>
  <c r="K1258" i="1" a="1"/>
  <c r="K1258" i="1" s="1"/>
  <c r="J1258" i="1" a="1"/>
  <c r="J1258" i="1" s="1"/>
  <c r="F1258" i="1" a="1"/>
  <c r="F1258" i="1" s="1"/>
  <c r="AZ1257" i="1"/>
  <c r="AY1257" i="1"/>
  <c r="AX1257" i="1"/>
  <c r="AW1257" i="1"/>
  <c r="K1257" i="1" a="1"/>
  <c r="K1257" i="1" s="1"/>
  <c r="J1257" i="1" a="1"/>
  <c r="J1257" i="1" s="1"/>
  <c r="F1257" i="1" a="1"/>
  <c r="F1257" i="1" s="1"/>
  <c r="AZ1255" i="1"/>
  <c r="AY1255" i="1"/>
  <c r="AX1255" i="1"/>
  <c r="AW1255" i="1"/>
  <c r="K1255" i="1" a="1"/>
  <c r="K1255" i="1" s="1"/>
  <c r="J1255" i="1" a="1"/>
  <c r="J1255" i="1" s="1"/>
  <c r="F1255" i="1" a="1"/>
  <c r="F1255" i="1" s="1"/>
  <c r="AZ1254" i="1"/>
  <c r="AY1254" i="1"/>
  <c r="AX1254" i="1"/>
  <c r="AW1254" i="1"/>
  <c r="K1254" i="1" a="1"/>
  <c r="K1254" i="1" s="1"/>
  <c r="J1254" i="1" a="1"/>
  <c r="J1254" i="1" s="1"/>
  <c r="F1254" i="1" a="1"/>
  <c r="F1254" i="1" s="1"/>
  <c r="AZ1253" i="1"/>
  <c r="AY1253" i="1"/>
  <c r="AX1253" i="1"/>
  <c r="AW1253" i="1"/>
  <c r="K1253" i="1" a="1"/>
  <c r="K1253" i="1" s="1"/>
  <c r="J1253" i="1" a="1"/>
  <c r="J1253" i="1" s="1"/>
  <c r="F1253" i="1" a="1"/>
  <c r="F1253" i="1" s="1"/>
  <c r="AZ1252" i="1"/>
  <c r="AY1252" i="1"/>
  <c r="AX1252" i="1"/>
  <c r="AW1252" i="1"/>
  <c r="K1252" i="1" a="1"/>
  <c r="K1252" i="1" s="1"/>
  <c r="J1252" i="1" a="1"/>
  <c r="J1252" i="1" s="1"/>
  <c r="F1252" i="1" a="1"/>
  <c r="F1252" i="1" s="1"/>
  <c r="AZ1251" i="1"/>
  <c r="AY1251" i="1"/>
  <c r="AX1251" i="1"/>
  <c r="AW1251" i="1"/>
  <c r="K1251" i="1" a="1"/>
  <c r="K1251" i="1" s="1"/>
  <c r="J1251" i="1" a="1"/>
  <c r="J1251" i="1" s="1"/>
  <c r="F1251" i="1" a="1"/>
  <c r="F1251" i="1" s="1"/>
  <c r="AZ1249" i="1"/>
  <c r="AY1249" i="1"/>
  <c r="AX1249" i="1"/>
  <c r="AW1249" i="1"/>
  <c r="K1249" i="1" a="1"/>
  <c r="K1249" i="1" s="1"/>
  <c r="J1249" i="1" a="1"/>
  <c r="J1249" i="1" s="1"/>
  <c r="F1249" i="1" a="1"/>
  <c r="F1249" i="1" s="1"/>
  <c r="AZ1248" i="1"/>
  <c r="AY1248" i="1"/>
  <c r="AX1248" i="1"/>
  <c r="AW1248" i="1"/>
  <c r="K1248" i="1" a="1"/>
  <c r="K1248" i="1" s="1"/>
  <c r="J1248" i="1" a="1"/>
  <c r="J1248" i="1" s="1"/>
  <c r="F1248" i="1" a="1"/>
  <c r="F1248" i="1" s="1"/>
  <c r="AZ1247" i="1"/>
  <c r="AY1247" i="1"/>
  <c r="AX1247" i="1"/>
  <c r="AW1247" i="1"/>
  <c r="K1247" i="1" a="1"/>
  <c r="K1247" i="1" s="1"/>
  <c r="J1247" i="1" a="1"/>
  <c r="J1247" i="1" s="1"/>
  <c r="F1247" i="1" a="1"/>
  <c r="F1247" i="1" s="1"/>
  <c r="AZ1246" i="1"/>
  <c r="AY1246" i="1"/>
  <c r="AX1246" i="1"/>
  <c r="AW1246" i="1"/>
  <c r="K1246" i="1" a="1"/>
  <c r="K1246" i="1" s="1"/>
  <c r="J1246" i="1" a="1"/>
  <c r="J1246" i="1" s="1"/>
  <c r="F1246" i="1" a="1"/>
  <c r="F1246" i="1" s="1"/>
  <c r="AZ1245" i="1"/>
  <c r="AY1245" i="1"/>
  <c r="AX1245" i="1"/>
  <c r="AW1245" i="1"/>
  <c r="K1245" i="1" a="1"/>
  <c r="K1245" i="1" s="1"/>
  <c r="J1245" i="1" a="1"/>
  <c r="J1245" i="1" s="1"/>
  <c r="F1245" i="1" a="1"/>
  <c r="F1245" i="1" s="1"/>
  <c r="AZ1243" i="1"/>
  <c r="AY1243" i="1"/>
  <c r="AX1243" i="1"/>
  <c r="AW1243" i="1"/>
  <c r="K1243" i="1" a="1"/>
  <c r="K1243" i="1" s="1"/>
  <c r="J1243" i="1" a="1"/>
  <c r="J1243" i="1" s="1"/>
  <c r="F1243" i="1" a="1"/>
  <c r="F1243" i="1" s="1"/>
  <c r="AZ1242" i="1"/>
  <c r="AY1242" i="1"/>
  <c r="AX1242" i="1"/>
  <c r="AW1242" i="1"/>
  <c r="K1242" i="1" a="1"/>
  <c r="K1242" i="1" s="1"/>
  <c r="J1242" i="1" a="1"/>
  <c r="J1242" i="1" s="1"/>
  <c r="F1242" i="1" a="1"/>
  <c r="F1242" i="1" s="1"/>
  <c r="AZ1241" i="1"/>
  <c r="AY1241" i="1"/>
  <c r="AX1241" i="1"/>
  <c r="AW1241" i="1"/>
  <c r="K1241" i="1" a="1"/>
  <c r="K1241" i="1" s="1"/>
  <c r="J1241" i="1" a="1"/>
  <c r="J1241" i="1" s="1"/>
  <c r="F1241" i="1" a="1"/>
  <c r="F1241" i="1" s="1"/>
  <c r="AZ1240" i="1"/>
  <c r="AY1240" i="1"/>
  <c r="AX1240" i="1"/>
  <c r="AW1240" i="1"/>
  <c r="K1240" i="1" a="1"/>
  <c r="K1240" i="1" s="1"/>
  <c r="J1240" i="1" a="1"/>
  <c r="J1240" i="1" s="1"/>
  <c r="F1240" i="1" a="1"/>
  <c r="F1240" i="1" s="1"/>
  <c r="AZ1239" i="1"/>
  <c r="AY1239" i="1"/>
  <c r="AX1239" i="1"/>
  <c r="AW1239" i="1"/>
  <c r="K1239" i="1" a="1"/>
  <c r="K1239" i="1" s="1"/>
  <c r="J1239" i="1" a="1"/>
  <c r="J1239" i="1" s="1"/>
  <c r="F1239" i="1" a="1"/>
  <c r="F1239" i="1" s="1"/>
  <c r="AZ1237" i="1"/>
  <c r="AY1237" i="1"/>
  <c r="AX1237" i="1"/>
  <c r="AW1237" i="1"/>
  <c r="K1237" i="1" a="1"/>
  <c r="K1237" i="1" s="1"/>
  <c r="J1237" i="1" a="1"/>
  <c r="J1237" i="1" s="1"/>
  <c r="F1237" i="1" a="1"/>
  <c r="F1237" i="1" s="1"/>
  <c r="AZ1236" i="1"/>
  <c r="AY1236" i="1"/>
  <c r="AX1236" i="1"/>
  <c r="AW1236" i="1"/>
  <c r="K1236" i="1" a="1"/>
  <c r="K1236" i="1" s="1"/>
  <c r="J1236" i="1" a="1"/>
  <c r="J1236" i="1" s="1"/>
  <c r="F1236" i="1" a="1"/>
  <c r="F1236" i="1" s="1"/>
  <c r="AZ1235" i="1"/>
  <c r="AY1235" i="1"/>
  <c r="AX1235" i="1"/>
  <c r="AW1235" i="1"/>
  <c r="K1235" i="1" a="1"/>
  <c r="K1235" i="1" s="1"/>
  <c r="J1235" i="1" a="1"/>
  <c r="J1235" i="1" s="1"/>
  <c r="F1235" i="1" a="1"/>
  <c r="F1235" i="1" s="1"/>
  <c r="AZ1234" i="1"/>
  <c r="AY1234" i="1"/>
  <c r="AX1234" i="1"/>
  <c r="AW1234" i="1"/>
  <c r="K1234" i="1" a="1"/>
  <c r="K1234" i="1" s="1"/>
  <c r="J1234" i="1" a="1"/>
  <c r="J1234" i="1" s="1"/>
  <c r="F1234" i="1" a="1"/>
  <c r="F1234" i="1" s="1"/>
  <c r="AZ1233" i="1"/>
  <c r="AY1233" i="1"/>
  <c r="AX1233" i="1"/>
  <c r="AW1233" i="1"/>
  <c r="K1233" i="1" a="1"/>
  <c r="K1233" i="1" s="1"/>
  <c r="J1233" i="1" a="1"/>
  <c r="J1233" i="1" s="1"/>
  <c r="F1233" i="1" a="1"/>
  <c r="F1233" i="1" s="1"/>
  <c r="AS1231" i="1"/>
  <c r="AZ1231" i="1"/>
  <c r="AY1231" i="1"/>
  <c r="AX1231" i="1"/>
  <c r="K1231" i="1" a="1"/>
  <c r="K1231" i="1" s="1"/>
  <c r="J1231" i="1" a="1"/>
  <c r="J1231" i="1" s="1"/>
  <c r="AS1230" i="1"/>
  <c r="AZ1230" i="1"/>
  <c r="AY1230" i="1"/>
  <c r="AX1230" i="1"/>
  <c r="AW1230" i="1"/>
  <c r="K1230" i="1" a="1"/>
  <c r="K1230" i="1" s="1"/>
  <c r="J1230" i="1" a="1"/>
  <c r="J1230" i="1" s="1"/>
  <c r="AS1229" i="1"/>
  <c r="AZ1229" i="1"/>
  <c r="AY1229" i="1"/>
  <c r="AX1229" i="1"/>
  <c r="AW1229" i="1"/>
  <c r="K1229" i="1" a="1"/>
  <c r="K1229" i="1" s="1"/>
  <c r="J1229" i="1" a="1"/>
  <c r="J1229" i="1" s="1"/>
  <c r="AS1228" i="1"/>
  <c r="AZ1228" i="1"/>
  <c r="AY1228" i="1"/>
  <c r="AX1228" i="1"/>
  <c r="K1228" i="1" a="1"/>
  <c r="K1228" i="1" s="1"/>
  <c r="J1228" i="1" a="1"/>
  <c r="J1228" i="1" s="1"/>
  <c r="AS1227" i="1"/>
  <c r="AZ1227" i="1"/>
  <c r="AY1227" i="1"/>
  <c r="AX1227" i="1"/>
  <c r="K1227" i="1" a="1"/>
  <c r="K1227" i="1" s="1"/>
  <c r="J1227" i="1" a="1"/>
  <c r="J1227" i="1" s="1"/>
  <c r="AZ1225" i="1"/>
  <c r="AY1225" i="1"/>
  <c r="AX1225" i="1"/>
  <c r="AW1225" i="1"/>
  <c r="AU1225" i="1"/>
  <c r="AT1225" i="1"/>
  <c r="AS1225" i="1"/>
  <c r="K1225" i="1" a="1"/>
  <c r="K1225" i="1" s="1"/>
  <c r="J1225" i="1" a="1"/>
  <c r="J1225" i="1" s="1"/>
  <c r="F1225" i="1" a="1"/>
  <c r="F1225" i="1" s="1"/>
  <c r="AZ1224" i="1"/>
  <c r="AY1224" i="1"/>
  <c r="AX1224" i="1"/>
  <c r="AW1224" i="1"/>
  <c r="AU1224" i="1"/>
  <c r="AT1224" i="1"/>
  <c r="AS1224" i="1"/>
  <c r="K1224" i="1" a="1"/>
  <c r="K1224" i="1" s="1"/>
  <c r="J1224" i="1" a="1"/>
  <c r="J1224" i="1" s="1"/>
  <c r="F1224" i="1" a="1"/>
  <c r="F1224" i="1" s="1"/>
  <c r="AZ1223" i="1"/>
  <c r="AY1223" i="1"/>
  <c r="AX1223" i="1"/>
  <c r="AW1223" i="1"/>
  <c r="AU1223" i="1"/>
  <c r="AT1223" i="1"/>
  <c r="AS1223" i="1"/>
  <c r="K1223" i="1" a="1"/>
  <c r="K1223" i="1" s="1"/>
  <c r="J1223" i="1" a="1"/>
  <c r="J1223" i="1" s="1"/>
  <c r="F1223" i="1" a="1"/>
  <c r="F1223" i="1" s="1"/>
  <c r="AZ1222" i="1"/>
  <c r="AY1222" i="1"/>
  <c r="AX1222" i="1"/>
  <c r="AW1222" i="1"/>
  <c r="AU1222" i="1"/>
  <c r="AT1222" i="1"/>
  <c r="AS1222" i="1"/>
  <c r="K1222" i="1" a="1"/>
  <c r="K1222" i="1" s="1"/>
  <c r="J1222" i="1" a="1"/>
  <c r="J1222" i="1" s="1"/>
  <c r="F1222" i="1" a="1"/>
  <c r="F1222" i="1" s="1"/>
  <c r="AZ1221" i="1"/>
  <c r="AY1221" i="1"/>
  <c r="AX1221" i="1"/>
  <c r="AW1221" i="1"/>
  <c r="AU1221" i="1"/>
  <c r="AT1221" i="1"/>
  <c r="AS1221" i="1"/>
  <c r="K1221" i="1" a="1"/>
  <c r="K1221" i="1" s="1"/>
  <c r="J1221" i="1" a="1"/>
  <c r="J1221" i="1" s="1"/>
  <c r="F1221" i="1" a="1"/>
  <c r="F1221" i="1" s="1"/>
  <c r="AZ1219" i="1"/>
  <c r="AY1219" i="1"/>
  <c r="AX1219" i="1"/>
  <c r="AW1219" i="1"/>
  <c r="K1219" i="1" a="1"/>
  <c r="K1219" i="1" s="1"/>
  <c r="J1219" i="1" a="1"/>
  <c r="J1219" i="1" s="1"/>
  <c r="F1219" i="1" a="1"/>
  <c r="F1219" i="1" s="1"/>
  <c r="AZ1218" i="1"/>
  <c r="AY1218" i="1"/>
  <c r="AX1218" i="1"/>
  <c r="AW1218" i="1"/>
  <c r="K1218" i="1" a="1"/>
  <c r="K1218" i="1" s="1"/>
  <c r="J1218" i="1" a="1"/>
  <c r="J1218" i="1" s="1"/>
  <c r="F1218" i="1" a="1"/>
  <c r="F1218" i="1" s="1"/>
  <c r="AZ1217" i="1"/>
  <c r="AY1217" i="1"/>
  <c r="AX1217" i="1"/>
  <c r="AW1217" i="1"/>
  <c r="K1217" i="1" a="1"/>
  <c r="K1217" i="1" s="1"/>
  <c r="J1217" i="1" a="1"/>
  <c r="J1217" i="1" s="1"/>
  <c r="F1217" i="1" a="1"/>
  <c r="F1217" i="1" s="1"/>
  <c r="AZ1216" i="1"/>
  <c r="AY1216" i="1"/>
  <c r="AX1216" i="1"/>
  <c r="AW1216" i="1"/>
  <c r="K1216" i="1" a="1"/>
  <c r="K1216" i="1" s="1"/>
  <c r="J1216" i="1" a="1"/>
  <c r="J1216" i="1" s="1"/>
  <c r="F1216" i="1" a="1"/>
  <c r="F1216" i="1" s="1"/>
  <c r="AZ1215" i="1"/>
  <c r="AY1215" i="1"/>
  <c r="AX1215" i="1"/>
  <c r="AW1215" i="1"/>
  <c r="K1215" i="1" a="1"/>
  <c r="K1215" i="1" s="1"/>
  <c r="J1215" i="1" a="1"/>
  <c r="J1215" i="1" s="1"/>
  <c r="F1215" i="1" a="1"/>
  <c r="F1215" i="1" s="1"/>
  <c r="AZ1213" i="1"/>
  <c r="AY1213" i="1"/>
  <c r="AX1213" i="1"/>
  <c r="AW1213" i="1"/>
  <c r="K1213" i="1" a="1"/>
  <c r="K1213" i="1" s="1"/>
  <c r="J1213" i="1" a="1"/>
  <c r="J1213" i="1" s="1"/>
  <c r="F1213" i="1" a="1"/>
  <c r="F1213" i="1" s="1"/>
  <c r="AZ1212" i="1"/>
  <c r="AY1212" i="1"/>
  <c r="AX1212" i="1"/>
  <c r="AW1212" i="1"/>
  <c r="K1212" i="1" a="1"/>
  <c r="K1212" i="1" s="1"/>
  <c r="J1212" i="1" a="1"/>
  <c r="J1212" i="1" s="1"/>
  <c r="F1212" i="1" a="1"/>
  <c r="F1212" i="1" s="1"/>
  <c r="AZ1211" i="1"/>
  <c r="AY1211" i="1"/>
  <c r="AX1211" i="1"/>
  <c r="AW1211" i="1"/>
  <c r="K1211" i="1" a="1"/>
  <c r="K1211" i="1" s="1"/>
  <c r="J1211" i="1" a="1"/>
  <c r="J1211" i="1" s="1"/>
  <c r="F1211" i="1" a="1"/>
  <c r="F1211" i="1" s="1"/>
  <c r="AZ1210" i="1"/>
  <c r="AY1210" i="1"/>
  <c r="AX1210" i="1"/>
  <c r="AW1210" i="1"/>
  <c r="K1210" i="1" a="1"/>
  <c r="K1210" i="1" s="1"/>
  <c r="J1210" i="1" a="1"/>
  <c r="J1210" i="1" s="1"/>
  <c r="F1210" i="1" a="1"/>
  <c r="F1210" i="1" s="1"/>
  <c r="AZ1209" i="1"/>
  <c r="AY1209" i="1"/>
  <c r="AX1209" i="1"/>
  <c r="AW1209" i="1"/>
  <c r="K1209" i="1" a="1"/>
  <c r="K1209" i="1" s="1"/>
  <c r="J1209" i="1" a="1"/>
  <c r="J1209" i="1" s="1"/>
  <c r="F1209" i="1" a="1"/>
  <c r="F1209" i="1" s="1"/>
  <c r="AZ1268" i="1"/>
  <c r="AY1268" i="1"/>
  <c r="AX1268" i="1"/>
  <c r="AW1268" i="1"/>
  <c r="K1268" i="1" a="1"/>
  <c r="K1268" i="1" s="1"/>
  <c r="J1268" i="1" a="1"/>
  <c r="J1268" i="1" s="1"/>
  <c r="F1268" i="1" a="1"/>
  <c r="F1268" i="1" s="1"/>
  <c r="AZ1369" i="1"/>
  <c r="AY1369" i="1"/>
  <c r="AX1369" i="1"/>
  <c r="AW1369" i="1"/>
  <c r="AU1369" i="1"/>
  <c r="AS1369" i="1"/>
  <c r="K1369" i="1" a="1"/>
  <c r="K1369" i="1" s="1"/>
  <c r="J1369" i="1" a="1"/>
  <c r="J1369" i="1" s="1"/>
  <c r="F1369" i="1" a="1"/>
  <c r="F1369" i="1" s="1"/>
  <c r="AZ1368" i="1"/>
  <c r="AY1368" i="1"/>
  <c r="AX1368" i="1"/>
  <c r="AW1368" i="1"/>
  <c r="AU1368" i="1"/>
  <c r="AS1368" i="1"/>
  <c r="K1368" i="1" a="1"/>
  <c r="K1368" i="1" s="1"/>
  <c r="J1368" i="1" a="1"/>
  <c r="J1368" i="1" s="1"/>
  <c r="F1368" i="1" a="1"/>
  <c r="F1368" i="1" s="1"/>
  <c r="AZ1367" i="1"/>
  <c r="AY1367" i="1"/>
  <c r="AX1367" i="1"/>
  <c r="AW1367" i="1"/>
  <c r="AU1367" i="1"/>
  <c r="AS1367" i="1"/>
  <c r="K1367" i="1" a="1"/>
  <c r="K1367" i="1" s="1"/>
  <c r="J1367" i="1" a="1"/>
  <c r="J1367" i="1" s="1"/>
  <c r="F1367" i="1" a="1"/>
  <c r="F1367" i="1" s="1"/>
  <c r="AZ1366" i="1"/>
  <c r="AY1366" i="1"/>
  <c r="AX1366" i="1"/>
  <c r="AW1366" i="1"/>
  <c r="AU1366" i="1"/>
  <c r="AS1366" i="1"/>
  <c r="K1366" i="1" a="1"/>
  <c r="K1366" i="1" s="1"/>
  <c r="J1366" i="1" a="1"/>
  <c r="J1366" i="1" s="1"/>
  <c r="F1366" i="1" a="1"/>
  <c r="F1366" i="1" s="1"/>
  <c r="AZ1365" i="1"/>
  <c r="AY1365" i="1"/>
  <c r="AX1365" i="1"/>
  <c r="AW1365" i="1"/>
  <c r="AU1365" i="1"/>
  <c r="AS1365" i="1"/>
  <c r="K1365" i="1" a="1"/>
  <c r="K1365" i="1" s="1"/>
  <c r="J1365" i="1" a="1"/>
  <c r="J1365" i="1" s="1"/>
  <c r="F1365" i="1" a="1"/>
  <c r="F1365" i="1" s="1"/>
  <c r="AZ1363" i="1"/>
  <c r="AY1363" i="1"/>
  <c r="AX1363" i="1"/>
  <c r="AW1363" i="1"/>
  <c r="AU1363" i="1"/>
  <c r="AS1363" i="1"/>
  <c r="K1363" i="1" a="1"/>
  <c r="K1363" i="1" s="1"/>
  <c r="J1363" i="1" a="1"/>
  <c r="J1363" i="1" s="1"/>
  <c r="F1363" i="1" a="1"/>
  <c r="F1363" i="1" s="1"/>
  <c r="AZ1362" i="1"/>
  <c r="AY1362" i="1"/>
  <c r="AX1362" i="1"/>
  <c r="AW1362" i="1"/>
  <c r="AU1362" i="1"/>
  <c r="AS1362" i="1"/>
  <c r="K1362" i="1" a="1"/>
  <c r="K1362" i="1" s="1"/>
  <c r="J1362" i="1" a="1"/>
  <c r="J1362" i="1" s="1"/>
  <c r="F1362" i="1" a="1"/>
  <c r="F1362" i="1" s="1"/>
  <c r="AZ1361" i="1"/>
  <c r="AY1361" i="1"/>
  <c r="AX1361" i="1"/>
  <c r="AW1361" i="1"/>
  <c r="AU1361" i="1"/>
  <c r="AS1361" i="1"/>
  <c r="K1361" i="1" a="1"/>
  <c r="K1361" i="1" s="1"/>
  <c r="J1361" i="1" a="1"/>
  <c r="J1361" i="1" s="1"/>
  <c r="F1361" i="1" a="1"/>
  <c r="F1361" i="1" s="1"/>
  <c r="AZ1360" i="1"/>
  <c r="AY1360" i="1"/>
  <c r="AX1360" i="1"/>
  <c r="AW1360" i="1"/>
  <c r="AU1360" i="1"/>
  <c r="AS1360" i="1"/>
  <c r="K1360" i="1" a="1"/>
  <c r="K1360" i="1" s="1"/>
  <c r="J1360" i="1" a="1"/>
  <c r="J1360" i="1" s="1"/>
  <c r="F1360" i="1" a="1"/>
  <c r="F1360" i="1" s="1"/>
  <c r="AZ1359" i="1"/>
  <c r="AY1359" i="1"/>
  <c r="AX1359" i="1"/>
  <c r="AW1359" i="1"/>
  <c r="AU1359" i="1"/>
  <c r="AS1359" i="1"/>
  <c r="K1359" i="1" a="1"/>
  <c r="K1359" i="1" s="1"/>
  <c r="J1359" i="1" a="1"/>
  <c r="J1359" i="1" s="1"/>
  <c r="F1359" i="1" a="1"/>
  <c r="F1359" i="1" s="1"/>
  <c r="AZ1357" i="1"/>
  <c r="AY1357" i="1"/>
  <c r="AX1357" i="1"/>
  <c r="AW1357" i="1"/>
  <c r="AU1357" i="1"/>
  <c r="AS1357" i="1"/>
  <c r="K1357" i="1" a="1"/>
  <c r="K1357" i="1" s="1"/>
  <c r="J1357" i="1" a="1"/>
  <c r="J1357" i="1" s="1"/>
  <c r="F1357" i="1" a="1"/>
  <c r="F1357" i="1" s="1"/>
  <c r="AZ1356" i="1"/>
  <c r="AY1356" i="1"/>
  <c r="AX1356" i="1"/>
  <c r="AW1356" i="1"/>
  <c r="AU1356" i="1"/>
  <c r="AS1356" i="1"/>
  <c r="K1356" i="1" a="1"/>
  <c r="K1356" i="1" s="1"/>
  <c r="J1356" i="1" a="1"/>
  <c r="J1356" i="1" s="1"/>
  <c r="F1356" i="1" a="1"/>
  <c r="F1356" i="1" s="1"/>
  <c r="AZ1355" i="1"/>
  <c r="AY1355" i="1"/>
  <c r="AX1355" i="1"/>
  <c r="AW1355" i="1"/>
  <c r="AU1355" i="1"/>
  <c r="AS1355" i="1"/>
  <c r="K1355" i="1" a="1"/>
  <c r="K1355" i="1" s="1"/>
  <c r="J1355" i="1" a="1"/>
  <c r="J1355" i="1" s="1"/>
  <c r="F1355" i="1" a="1"/>
  <c r="F1355" i="1" s="1"/>
  <c r="AZ1354" i="1"/>
  <c r="AY1354" i="1"/>
  <c r="AX1354" i="1"/>
  <c r="AW1354" i="1"/>
  <c r="AU1354" i="1"/>
  <c r="AS1354" i="1"/>
  <c r="K1354" i="1" a="1"/>
  <c r="K1354" i="1" s="1"/>
  <c r="J1354" i="1" a="1"/>
  <c r="J1354" i="1" s="1"/>
  <c r="F1354" i="1" a="1"/>
  <c r="F1354" i="1" s="1"/>
  <c r="AZ1353" i="1"/>
  <c r="AY1353" i="1"/>
  <c r="AX1353" i="1"/>
  <c r="AW1353" i="1"/>
  <c r="AU1353" i="1"/>
  <c r="AS1353" i="1"/>
  <c r="K1353" i="1" a="1"/>
  <c r="K1353" i="1" s="1"/>
  <c r="J1353" i="1" a="1"/>
  <c r="J1353" i="1" s="1"/>
  <c r="F1353" i="1" a="1"/>
  <c r="F1353" i="1" s="1"/>
  <c r="AZ1351" i="1"/>
  <c r="AY1351" i="1"/>
  <c r="AX1351" i="1"/>
  <c r="AW1351" i="1"/>
  <c r="AU1351" i="1"/>
  <c r="AS1351" i="1"/>
  <c r="K1351" i="1" a="1"/>
  <c r="K1351" i="1" s="1"/>
  <c r="J1351" i="1" a="1"/>
  <c r="J1351" i="1" s="1"/>
  <c r="F1351" i="1" a="1"/>
  <c r="F1351" i="1" s="1"/>
  <c r="AZ1350" i="1"/>
  <c r="AY1350" i="1"/>
  <c r="AX1350" i="1"/>
  <c r="AW1350" i="1"/>
  <c r="AU1350" i="1"/>
  <c r="AS1350" i="1"/>
  <c r="K1350" i="1" a="1"/>
  <c r="K1350" i="1" s="1"/>
  <c r="J1350" i="1" a="1"/>
  <c r="J1350" i="1" s="1"/>
  <c r="F1350" i="1" a="1"/>
  <c r="F1350" i="1" s="1"/>
  <c r="AZ1349" i="1"/>
  <c r="AY1349" i="1"/>
  <c r="AX1349" i="1"/>
  <c r="AW1349" i="1"/>
  <c r="AU1349" i="1"/>
  <c r="AS1349" i="1"/>
  <c r="K1349" i="1" a="1"/>
  <c r="K1349" i="1" s="1"/>
  <c r="J1349" i="1" a="1"/>
  <c r="J1349" i="1" s="1"/>
  <c r="F1349" i="1" a="1"/>
  <c r="F1349" i="1" s="1"/>
  <c r="AZ1348" i="1"/>
  <c r="AY1348" i="1"/>
  <c r="AX1348" i="1"/>
  <c r="AW1348" i="1"/>
  <c r="AU1348" i="1"/>
  <c r="AS1348" i="1"/>
  <c r="K1348" i="1" a="1"/>
  <c r="K1348" i="1" s="1"/>
  <c r="J1348" i="1" a="1"/>
  <c r="J1348" i="1" s="1"/>
  <c r="F1348" i="1" a="1"/>
  <c r="F1348" i="1" s="1"/>
  <c r="AZ1347" i="1"/>
  <c r="AY1347" i="1"/>
  <c r="AX1347" i="1"/>
  <c r="AW1347" i="1"/>
  <c r="AU1347" i="1"/>
  <c r="AS1347" i="1"/>
  <c r="K1347" i="1" a="1"/>
  <c r="K1347" i="1" s="1"/>
  <c r="J1347" i="1" a="1"/>
  <c r="J1347" i="1" s="1"/>
  <c r="F1347" i="1" a="1"/>
  <c r="F1347" i="1" s="1"/>
  <c r="AZ1345" i="1"/>
  <c r="AY1345" i="1"/>
  <c r="AX1345" i="1"/>
  <c r="AW1345" i="1"/>
  <c r="AU1345" i="1"/>
  <c r="AT1345" i="1"/>
  <c r="AS1345" i="1"/>
  <c r="K1345" i="1" a="1"/>
  <c r="K1345" i="1" s="1"/>
  <c r="J1345" i="1" a="1"/>
  <c r="J1345" i="1" s="1"/>
  <c r="F1345" i="1" a="1"/>
  <c r="F1345" i="1" s="1"/>
  <c r="AZ1344" i="1"/>
  <c r="AY1344" i="1"/>
  <c r="AX1344" i="1"/>
  <c r="AW1344" i="1"/>
  <c r="AU1344" i="1"/>
  <c r="AT1344" i="1"/>
  <c r="AS1344" i="1"/>
  <c r="K1344" i="1" a="1"/>
  <c r="K1344" i="1" s="1"/>
  <c r="J1344" i="1" a="1"/>
  <c r="J1344" i="1" s="1"/>
  <c r="F1344" i="1" a="1"/>
  <c r="F1344" i="1" s="1"/>
  <c r="AZ1343" i="1"/>
  <c r="AY1343" i="1"/>
  <c r="AX1343" i="1"/>
  <c r="AW1343" i="1"/>
  <c r="AU1343" i="1"/>
  <c r="AT1343" i="1"/>
  <c r="AS1343" i="1"/>
  <c r="K1343" i="1" a="1"/>
  <c r="K1343" i="1" s="1"/>
  <c r="J1343" i="1" a="1"/>
  <c r="J1343" i="1" s="1"/>
  <c r="F1343" i="1" a="1"/>
  <c r="F1343" i="1" s="1"/>
  <c r="AZ1342" i="1"/>
  <c r="AY1342" i="1"/>
  <c r="AX1342" i="1"/>
  <c r="AW1342" i="1"/>
  <c r="AU1342" i="1"/>
  <c r="AT1342" i="1"/>
  <c r="AS1342" i="1"/>
  <c r="K1342" i="1" a="1"/>
  <c r="K1342" i="1" s="1"/>
  <c r="J1342" i="1" a="1"/>
  <c r="J1342" i="1" s="1"/>
  <c r="F1342" i="1" a="1"/>
  <c r="F1342" i="1" s="1"/>
  <c r="AZ1341" i="1"/>
  <c r="AY1341" i="1"/>
  <c r="AX1341" i="1"/>
  <c r="AW1341" i="1"/>
  <c r="AU1341" i="1"/>
  <c r="AT1341" i="1"/>
  <c r="AS1341" i="1"/>
  <c r="K1341" i="1" a="1"/>
  <c r="K1341" i="1" s="1"/>
  <c r="J1341" i="1" a="1"/>
  <c r="J1341" i="1" s="1"/>
  <c r="F1341" i="1" a="1"/>
  <c r="F1341" i="1" s="1"/>
  <c r="AZ1339" i="1"/>
  <c r="AY1339" i="1"/>
  <c r="AX1339" i="1"/>
  <c r="AW1339" i="1"/>
  <c r="AU1339" i="1"/>
  <c r="AS1339" i="1"/>
  <c r="K1339" i="1" a="1"/>
  <c r="K1339" i="1" s="1"/>
  <c r="J1339" i="1" a="1"/>
  <c r="J1339" i="1" s="1"/>
  <c r="F1339" i="1" a="1"/>
  <c r="F1339" i="1" s="1"/>
  <c r="AZ1338" i="1"/>
  <c r="AY1338" i="1"/>
  <c r="AX1338" i="1"/>
  <c r="AW1338" i="1"/>
  <c r="AU1338" i="1"/>
  <c r="AS1338" i="1"/>
  <c r="K1338" i="1" a="1"/>
  <c r="K1338" i="1" s="1"/>
  <c r="J1338" i="1" a="1"/>
  <c r="J1338" i="1" s="1"/>
  <c r="F1338" i="1" a="1"/>
  <c r="F1338" i="1" s="1"/>
  <c r="AZ1337" i="1"/>
  <c r="AY1337" i="1"/>
  <c r="AX1337" i="1"/>
  <c r="AW1337" i="1"/>
  <c r="AU1337" i="1"/>
  <c r="AS1337" i="1"/>
  <c r="K1337" i="1" a="1"/>
  <c r="K1337" i="1" s="1"/>
  <c r="J1337" i="1" a="1"/>
  <c r="J1337" i="1" s="1"/>
  <c r="F1337" i="1" a="1"/>
  <c r="F1337" i="1" s="1"/>
  <c r="AZ1336" i="1"/>
  <c r="AY1336" i="1"/>
  <c r="AX1336" i="1"/>
  <c r="AW1336" i="1"/>
  <c r="AU1336" i="1"/>
  <c r="AS1336" i="1"/>
  <c r="K1336" i="1" a="1"/>
  <c r="K1336" i="1" s="1"/>
  <c r="J1336" i="1" a="1"/>
  <c r="J1336" i="1" s="1"/>
  <c r="F1336" i="1" a="1"/>
  <c r="F1336" i="1" s="1"/>
  <c r="AZ1335" i="1"/>
  <c r="AY1335" i="1"/>
  <c r="AX1335" i="1"/>
  <c r="AW1335" i="1"/>
  <c r="AU1335" i="1"/>
  <c r="AS1335" i="1"/>
  <c r="K1335" i="1" a="1"/>
  <c r="K1335" i="1" s="1"/>
  <c r="J1335" i="1" a="1"/>
  <c r="J1335" i="1" s="1"/>
  <c r="F1335" i="1" a="1"/>
  <c r="F1335" i="1" s="1"/>
  <c r="AZ1333" i="1"/>
  <c r="AY1333" i="1"/>
  <c r="AX1333" i="1"/>
  <c r="AW1333" i="1"/>
  <c r="AU1333" i="1"/>
  <c r="AS1333" i="1"/>
  <c r="K1333" i="1" a="1"/>
  <c r="K1333" i="1" s="1"/>
  <c r="J1333" i="1" a="1"/>
  <c r="J1333" i="1" s="1"/>
  <c r="F1333" i="1" a="1"/>
  <c r="F1333" i="1" s="1"/>
  <c r="AZ1332" i="1"/>
  <c r="AY1332" i="1"/>
  <c r="AX1332" i="1"/>
  <c r="AW1332" i="1"/>
  <c r="AU1332" i="1"/>
  <c r="AS1332" i="1"/>
  <c r="K1332" i="1" a="1"/>
  <c r="K1332" i="1" s="1"/>
  <c r="J1332" i="1" a="1"/>
  <c r="J1332" i="1" s="1"/>
  <c r="F1332" i="1" a="1"/>
  <c r="F1332" i="1" s="1"/>
  <c r="AZ1331" i="1"/>
  <c r="AY1331" i="1"/>
  <c r="AX1331" i="1"/>
  <c r="AW1331" i="1"/>
  <c r="AU1331" i="1"/>
  <c r="AS1331" i="1"/>
  <c r="K1331" i="1" a="1"/>
  <c r="K1331" i="1" s="1"/>
  <c r="J1331" i="1" a="1"/>
  <c r="J1331" i="1" s="1"/>
  <c r="F1331" i="1" a="1"/>
  <c r="F1331" i="1" s="1"/>
  <c r="AZ1330" i="1"/>
  <c r="AY1330" i="1"/>
  <c r="AX1330" i="1"/>
  <c r="AW1330" i="1"/>
  <c r="AU1330" i="1"/>
  <c r="AS1330" i="1"/>
  <c r="K1330" i="1" a="1"/>
  <c r="K1330" i="1" s="1"/>
  <c r="J1330" i="1" a="1"/>
  <c r="J1330" i="1" s="1"/>
  <c r="F1330" i="1" a="1"/>
  <c r="F1330" i="1" s="1"/>
  <c r="AZ1329" i="1"/>
  <c r="AY1329" i="1"/>
  <c r="AX1329" i="1"/>
  <c r="AW1329" i="1"/>
  <c r="AU1329" i="1"/>
  <c r="AS1329" i="1"/>
  <c r="K1329" i="1" a="1"/>
  <c r="K1329" i="1" s="1"/>
  <c r="J1329" i="1" a="1"/>
  <c r="J1329" i="1" s="1"/>
  <c r="F1329" i="1" a="1"/>
  <c r="F1329" i="1" s="1"/>
  <c r="AZ1327" i="1"/>
  <c r="AY1327" i="1"/>
  <c r="AX1327" i="1"/>
  <c r="AW1327" i="1"/>
  <c r="AU1327" i="1"/>
  <c r="AS1327" i="1"/>
  <c r="K1327" i="1" a="1"/>
  <c r="K1327" i="1" s="1"/>
  <c r="J1327" i="1" a="1"/>
  <c r="J1327" i="1" s="1"/>
  <c r="F1327" i="1" a="1"/>
  <c r="F1327" i="1" s="1"/>
  <c r="AZ1326" i="1"/>
  <c r="AY1326" i="1"/>
  <c r="AX1326" i="1"/>
  <c r="AW1326" i="1"/>
  <c r="AU1326" i="1"/>
  <c r="AS1326" i="1"/>
  <c r="K1326" i="1" a="1"/>
  <c r="K1326" i="1" s="1"/>
  <c r="J1326" i="1" a="1"/>
  <c r="J1326" i="1" s="1"/>
  <c r="F1326" i="1" a="1"/>
  <c r="F1326" i="1" s="1"/>
  <c r="E1326" i="1" s="1" a="1"/>
  <c r="E1326" i="1" s="1"/>
  <c r="AZ1325" i="1"/>
  <c r="AY1325" i="1"/>
  <c r="AX1325" i="1"/>
  <c r="AW1325" i="1"/>
  <c r="AU1325" i="1"/>
  <c r="AS1325" i="1"/>
  <c r="K1325" i="1" a="1"/>
  <c r="K1325" i="1" s="1"/>
  <c r="J1325" i="1" a="1"/>
  <c r="J1325" i="1" s="1"/>
  <c r="F1325" i="1" a="1"/>
  <c r="F1325" i="1" s="1"/>
  <c r="AZ1324" i="1"/>
  <c r="AY1324" i="1"/>
  <c r="AX1324" i="1"/>
  <c r="AW1324" i="1"/>
  <c r="AU1324" i="1"/>
  <c r="AS1324" i="1"/>
  <c r="K1324" i="1" a="1"/>
  <c r="K1324" i="1" s="1"/>
  <c r="J1324" i="1" a="1"/>
  <c r="J1324" i="1" s="1"/>
  <c r="F1324" i="1" a="1"/>
  <c r="F1324" i="1" s="1"/>
  <c r="AZ1323" i="1"/>
  <c r="AY1323" i="1"/>
  <c r="AX1323" i="1"/>
  <c r="AW1323" i="1"/>
  <c r="AU1323" i="1"/>
  <c r="AS1323" i="1"/>
  <c r="K1323" i="1" a="1"/>
  <c r="K1323" i="1" s="1"/>
  <c r="J1323" i="1" a="1"/>
  <c r="J1323" i="1" s="1"/>
  <c r="F1323" i="1" a="1"/>
  <c r="F1323" i="1" s="1"/>
  <c r="AZ1321" i="1"/>
  <c r="AY1321" i="1"/>
  <c r="AX1321" i="1"/>
  <c r="AW1321" i="1"/>
  <c r="AU1321" i="1"/>
  <c r="AT1321" i="1"/>
  <c r="AS1321" i="1"/>
  <c r="K1321" i="1" a="1"/>
  <c r="K1321" i="1" s="1"/>
  <c r="J1321" i="1" a="1"/>
  <c r="J1321" i="1" s="1"/>
  <c r="F1321" i="1" a="1"/>
  <c r="F1321" i="1" s="1"/>
  <c r="AZ1320" i="1"/>
  <c r="AY1320" i="1"/>
  <c r="AX1320" i="1"/>
  <c r="AW1320" i="1"/>
  <c r="AU1320" i="1"/>
  <c r="AT1320" i="1"/>
  <c r="AS1320" i="1"/>
  <c r="K1320" i="1" a="1"/>
  <c r="K1320" i="1" s="1"/>
  <c r="J1320" i="1" a="1"/>
  <c r="J1320" i="1" s="1"/>
  <c r="F1320" i="1" a="1"/>
  <c r="F1320" i="1" s="1"/>
  <c r="AZ1319" i="1"/>
  <c r="AY1319" i="1"/>
  <c r="AX1319" i="1"/>
  <c r="AW1319" i="1"/>
  <c r="AU1319" i="1"/>
  <c r="AT1319" i="1"/>
  <c r="AS1319" i="1"/>
  <c r="K1319" i="1" a="1"/>
  <c r="K1319" i="1" s="1"/>
  <c r="J1319" i="1" a="1"/>
  <c r="J1319" i="1" s="1"/>
  <c r="F1319" i="1" a="1"/>
  <c r="F1319" i="1" s="1"/>
  <c r="AZ1318" i="1"/>
  <c r="AY1318" i="1"/>
  <c r="AX1318" i="1"/>
  <c r="AW1318" i="1"/>
  <c r="AU1318" i="1"/>
  <c r="AT1318" i="1"/>
  <c r="AS1318" i="1"/>
  <c r="K1318" i="1" a="1"/>
  <c r="K1318" i="1" s="1"/>
  <c r="J1318" i="1" a="1"/>
  <c r="J1318" i="1" s="1"/>
  <c r="F1318" i="1" a="1"/>
  <c r="F1318" i="1" s="1"/>
  <c r="AZ1317" i="1"/>
  <c r="AY1317" i="1"/>
  <c r="AX1317" i="1"/>
  <c r="AW1317" i="1"/>
  <c r="AU1317" i="1"/>
  <c r="AT1317" i="1"/>
  <c r="AS1317" i="1"/>
  <c r="K1317" i="1" a="1"/>
  <c r="K1317" i="1" s="1"/>
  <c r="J1317" i="1" a="1"/>
  <c r="J1317" i="1" s="1"/>
  <c r="F1317" i="1" a="1"/>
  <c r="F1317" i="1" s="1"/>
  <c r="AZ1315" i="1"/>
  <c r="AY1315" i="1"/>
  <c r="AX1315" i="1"/>
  <c r="AW1315" i="1"/>
  <c r="AU1315" i="1"/>
  <c r="AT1315" i="1"/>
  <c r="AS1315" i="1"/>
  <c r="K1315" i="1" a="1"/>
  <c r="K1315" i="1" s="1"/>
  <c r="J1315" i="1" a="1"/>
  <c r="J1315" i="1" s="1"/>
  <c r="F1315" i="1" a="1"/>
  <c r="F1315" i="1" s="1"/>
  <c r="AZ1314" i="1"/>
  <c r="AY1314" i="1"/>
  <c r="AX1314" i="1"/>
  <c r="AW1314" i="1"/>
  <c r="AU1314" i="1"/>
  <c r="AT1314" i="1"/>
  <c r="AS1314" i="1"/>
  <c r="K1314" i="1" a="1"/>
  <c r="K1314" i="1" s="1"/>
  <c r="J1314" i="1" a="1"/>
  <c r="J1314" i="1" s="1"/>
  <c r="F1314" i="1" a="1"/>
  <c r="F1314" i="1" s="1"/>
  <c r="AZ1313" i="1"/>
  <c r="AY1313" i="1"/>
  <c r="AX1313" i="1"/>
  <c r="AW1313" i="1"/>
  <c r="AU1313" i="1"/>
  <c r="AT1313" i="1"/>
  <c r="AS1313" i="1"/>
  <c r="K1313" i="1" a="1"/>
  <c r="K1313" i="1" s="1"/>
  <c r="J1313" i="1" a="1"/>
  <c r="J1313" i="1" s="1"/>
  <c r="F1313" i="1" a="1"/>
  <c r="F1313" i="1" s="1"/>
  <c r="AZ1312" i="1"/>
  <c r="AY1312" i="1"/>
  <c r="AX1312" i="1"/>
  <c r="AW1312" i="1"/>
  <c r="AU1312" i="1"/>
  <c r="AT1312" i="1"/>
  <c r="AS1312" i="1"/>
  <c r="K1312" i="1" a="1"/>
  <c r="K1312" i="1" s="1"/>
  <c r="J1312" i="1" a="1"/>
  <c r="J1312" i="1" s="1"/>
  <c r="F1312" i="1" a="1"/>
  <c r="F1312" i="1" s="1"/>
  <c r="AZ1311" i="1"/>
  <c r="AY1311" i="1"/>
  <c r="AX1311" i="1"/>
  <c r="AW1311" i="1"/>
  <c r="AU1311" i="1"/>
  <c r="AT1311" i="1"/>
  <c r="AS1311" i="1"/>
  <c r="K1311" i="1" a="1"/>
  <c r="K1311" i="1" s="1"/>
  <c r="J1311" i="1" a="1"/>
  <c r="J1311" i="1" s="1"/>
  <c r="F1311" i="1" a="1"/>
  <c r="F1311" i="1" s="1"/>
  <c r="AZ1309" i="1"/>
  <c r="AY1309" i="1"/>
  <c r="AX1309" i="1"/>
  <c r="AW1309" i="1"/>
  <c r="AU1309" i="1"/>
  <c r="AS1309" i="1"/>
  <c r="K1309" i="1" a="1"/>
  <c r="K1309" i="1" s="1"/>
  <c r="J1309" i="1" a="1"/>
  <c r="J1309" i="1" s="1"/>
  <c r="F1309" i="1" a="1"/>
  <c r="F1309" i="1" s="1"/>
  <c r="AZ1308" i="1"/>
  <c r="AY1308" i="1"/>
  <c r="AX1308" i="1"/>
  <c r="AW1308" i="1"/>
  <c r="AU1308" i="1"/>
  <c r="AS1308" i="1"/>
  <c r="K1308" i="1" a="1"/>
  <c r="K1308" i="1" s="1"/>
  <c r="J1308" i="1" a="1"/>
  <c r="J1308" i="1" s="1"/>
  <c r="F1308" i="1" a="1"/>
  <c r="F1308" i="1" s="1"/>
  <c r="E1308" i="1" s="1" a="1"/>
  <c r="E1308" i="1" s="1"/>
  <c r="AZ1307" i="1"/>
  <c r="AY1307" i="1"/>
  <c r="AX1307" i="1"/>
  <c r="AW1307" i="1"/>
  <c r="AU1307" i="1"/>
  <c r="AS1307" i="1"/>
  <c r="K1307" i="1" a="1"/>
  <c r="K1307" i="1" s="1"/>
  <c r="J1307" i="1" a="1"/>
  <c r="J1307" i="1" s="1"/>
  <c r="F1307" i="1" a="1"/>
  <c r="F1307" i="1" s="1"/>
  <c r="AZ1306" i="1"/>
  <c r="AY1306" i="1"/>
  <c r="AX1306" i="1"/>
  <c r="AW1306" i="1"/>
  <c r="AU1306" i="1"/>
  <c r="AS1306" i="1"/>
  <c r="K1306" i="1" a="1"/>
  <c r="K1306" i="1" s="1"/>
  <c r="J1306" i="1" a="1"/>
  <c r="J1306" i="1" s="1"/>
  <c r="F1306" i="1" a="1"/>
  <c r="F1306" i="1" s="1"/>
  <c r="AZ1305" i="1"/>
  <c r="AY1305" i="1"/>
  <c r="AX1305" i="1"/>
  <c r="AW1305" i="1"/>
  <c r="AU1305" i="1"/>
  <c r="AS1305" i="1"/>
  <c r="K1305" i="1" a="1"/>
  <c r="K1305" i="1" s="1"/>
  <c r="J1305" i="1" a="1"/>
  <c r="J1305" i="1" s="1"/>
  <c r="F1305" i="1" a="1"/>
  <c r="F1305" i="1" s="1"/>
  <c r="AZ1303" i="1"/>
  <c r="AY1303" i="1"/>
  <c r="AX1303" i="1"/>
  <c r="AW1303" i="1"/>
  <c r="AU1303" i="1"/>
  <c r="AT1303" i="1"/>
  <c r="AS1303" i="1"/>
  <c r="K1303" i="1" a="1"/>
  <c r="K1303" i="1" s="1"/>
  <c r="J1303" i="1" a="1"/>
  <c r="J1303" i="1" s="1"/>
  <c r="F1303" i="1" a="1"/>
  <c r="F1303" i="1" s="1"/>
  <c r="AZ1302" i="1"/>
  <c r="AY1302" i="1"/>
  <c r="AX1302" i="1"/>
  <c r="AW1302" i="1"/>
  <c r="AU1302" i="1"/>
  <c r="AT1302" i="1"/>
  <c r="AS1302" i="1"/>
  <c r="K1302" i="1" a="1"/>
  <c r="K1302" i="1" s="1"/>
  <c r="J1302" i="1" a="1"/>
  <c r="J1302" i="1" s="1"/>
  <c r="F1302" i="1" a="1"/>
  <c r="F1302" i="1" s="1"/>
  <c r="AZ1301" i="1"/>
  <c r="AY1301" i="1"/>
  <c r="AX1301" i="1"/>
  <c r="AW1301" i="1"/>
  <c r="AU1301" i="1"/>
  <c r="AT1301" i="1"/>
  <c r="AS1301" i="1"/>
  <c r="K1301" i="1" a="1"/>
  <c r="K1301" i="1" s="1"/>
  <c r="J1301" i="1" a="1"/>
  <c r="J1301" i="1" s="1"/>
  <c r="F1301" i="1" a="1"/>
  <c r="F1301" i="1" s="1"/>
  <c r="AZ1300" i="1"/>
  <c r="AY1300" i="1"/>
  <c r="AX1300" i="1"/>
  <c r="AW1300" i="1"/>
  <c r="AU1300" i="1"/>
  <c r="AT1300" i="1"/>
  <c r="AS1300" i="1"/>
  <c r="K1300" i="1" a="1"/>
  <c r="K1300" i="1" s="1"/>
  <c r="J1300" i="1" a="1"/>
  <c r="J1300" i="1" s="1"/>
  <c r="F1300" i="1" a="1"/>
  <c r="F1300" i="1" s="1"/>
  <c r="AZ1299" i="1"/>
  <c r="AY1299" i="1"/>
  <c r="AX1299" i="1"/>
  <c r="AW1299" i="1"/>
  <c r="AU1299" i="1"/>
  <c r="AT1299" i="1"/>
  <c r="AS1299" i="1"/>
  <c r="K1299" i="1" a="1"/>
  <c r="K1299" i="1" s="1"/>
  <c r="J1299" i="1" a="1"/>
  <c r="J1299" i="1" s="1"/>
  <c r="F1299" i="1" a="1"/>
  <c r="F1299" i="1" s="1"/>
  <c r="AZ1297" i="1"/>
  <c r="AY1297" i="1"/>
  <c r="AX1297" i="1"/>
  <c r="AS1297" i="1"/>
  <c r="AW1297" i="1"/>
  <c r="K1297" i="1" a="1"/>
  <c r="K1297" i="1" s="1"/>
  <c r="J1297" i="1" a="1"/>
  <c r="J1297" i="1" s="1"/>
  <c r="AZ1296" i="1"/>
  <c r="AY1296" i="1"/>
  <c r="AX1296" i="1"/>
  <c r="AS1296" i="1"/>
  <c r="AW1296" i="1"/>
  <c r="K1296" i="1" a="1"/>
  <c r="K1296" i="1" s="1"/>
  <c r="J1296" i="1" a="1"/>
  <c r="J1296" i="1" s="1"/>
  <c r="AZ1295" i="1"/>
  <c r="AY1295" i="1"/>
  <c r="AX1295" i="1"/>
  <c r="AS1295" i="1"/>
  <c r="AW1295" i="1"/>
  <c r="K1295" i="1" a="1"/>
  <c r="K1295" i="1" s="1"/>
  <c r="J1295" i="1" a="1"/>
  <c r="J1295" i="1" s="1"/>
  <c r="AZ1294" i="1"/>
  <c r="AY1294" i="1"/>
  <c r="AX1294" i="1"/>
  <c r="AS1294" i="1"/>
  <c r="AW1294" i="1"/>
  <c r="K1294" i="1" a="1"/>
  <c r="K1294" i="1" s="1"/>
  <c r="J1294" i="1" a="1"/>
  <c r="J1294" i="1" s="1"/>
  <c r="AZ1293" i="1"/>
  <c r="AY1293" i="1"/>
  <c r="AX1293" i="1"/>
  <c r="AS1293" i="1"/>
  <c r="AW1293" i="1"/>
  <c r="K1293" i="1" a="1"/>
  <c r="K1293" i="1" s="1"/>
  <c r="J1293" i="1" a="1"/>
  <c r="J1293" i="1" s="1"/>
  <c r="AW1291" i="1"/>
  <c r="AS1291" i="1"/>
  <c r="AZ1291" i="1"/>
  <c r="AY1291" i="1"/>
  <c r="K1291" i="1" a="1"/>
  <c r="K1291" i="1" s="1"/>
  <c r="J1291" i="1" a="1"/>
  <c r="J1291" i="1" s="1"/>
  <c r="AW1290" i="1"/>
  <c r="AS1290" i="1"/>
  <c r="AZ1290" i="1"/>
  <c r="AY1290" i="1"/>
  <c r="K1290" i="1" a="1"/>
  <c r="K1290" i="1" s="1"/>
  <c r="J1290" i="1" a="1"/>
  <c r="J1290" i="1" s="1"/>
  <c r="AW1289" i="1"/>
  <c r="AS1289" i="1"/>
  <c r="AZ1289" i="1"/>
  <c r="AY1289" i="1"/>
  <c r="K1289" i="1" a="1"/>
  <c r="K1289" i="1" s="1"/>
  <c r="J1289" i="1" a="1"/>
  <c r="J1289" i="1" s="1"/>
  <c r="AW1288" i="1"/>
  <c r="AS1288" i="1"/>
  <c r="AZ1288" i="1"/>
  <c r="AY1288" i="1"/>
  <c r="K1288" i="1" a="1"/>
  <c r="K1288" i="1" s="1"/>
  <c r="J1288" i="1" a="1"/>
  <c r="J1288" i="1" s="1"/>
  <c r="AW1287" i="1"/>
  <c r="AS1287" i="1"/>
  <c r="AZ1287" i="1"/>
  <c r="AY1287" i="1"/>
  <c r="K1287" i="1" a="1"/>
  <c r="K1287" i="1" s="1"/>
  <c r="J1287" i="1" a="1"/>
  <c r="J1287" i="1" s="1"/>
  <c r="AZ1285" i="1"/>
  <c r="AY1285" i="1"/>
  <c r="AX1285" i="1"/>
  <c r="AW1285" i="1"/>
  <c r="AU1285" i="1"/>
  <c r="AT1285" i="1"/>
  <c r="AS1285" i="1"/>
  <c r="K1285" i="1" a="1"/>
  <c r="K1285" i="1" s="1"/>
  <c r="J1285" i="1" a="1"/>
  <c r="J1285" i="1" s="1"/>
  <c r="F1285" i="1" a="1"/>
  <c r="F1285" i="1" s="1"/>
  <c r="AZ1284" i="1"/>
  <c r="AY1284" i="1"/>
  <c r="AX1284" i="1"/>
  <c r="AW1284" i="1"/>
  <c r="AU1284" i="1"/>
  <c r="AT1284" i="1"/>
  <c r="AS1284" i="1"/>
  <c r="K1284" i="1" a="1"/>
  <c r="K1284" i="1" s="1"/>
  <c r="J1284" i="1" a="1"/>
  <c r="J1284" i="1" s="1"/>
  <c r="F1284" i="1" a="1"/>
  <c r="F1284" i="1" s="1"/>
  <c r="AZ1283" i="1"/>
  <c r="AY1283" i="1"/>
  <c r="AX1283" i="1"/>
  <c r="AW1283" i="1"/>
  <c r="AU1283" i="1"/>
  <c r="AT1283" i="1"/>
  <c r="AS1283" i="1"/>
  <c r="K1283" i="1" a="1"/>
  <c r="K1283" i="1" s="1"/>
  <c r="J1283" i="1" a="1"/>
  <c r="J1283" i="1" s="1"/>
  <c r="F1283" i="1" a="1"/>
  <c r="F1283" i="1" s="1"/>
  <c r="AZ1282" i="1"/>
  <c r="AY1282" i="1"/>
  <c r="AX1282" i="1"/>
  <c r="AW1282" i="1"/>
  <c r="AU1282" i="1"/>
  <c r="AT1282" i="1"/>
  <c r="AS1282" i="1"/>
  <c r="K1282" i="1" a="1"/>
  <c r="K1282" i="1" s="1"/>
  <c r="J1282" i="1" a="1"/>
  <c r="J1282" i="1" s="1"/>
  <c r="F1282" i="1" a="1"/>
  <c r="F1282" i="1" s="1"/>
  <c r="AZ1281" i="1"/>
  <c r="AY1281" i="1"/>
  <c r="AX1281" i="1"/>
  <c r="AW1281" i="1"/>
  <c r="AU1281" i="1"/>
  <c r="AT1281" i="1"/>
  <c r="AS1281" i="1"/>
  <c r="K1281" i="1" a="1"/>
  <c r="K1281" i="1" s="1"/>
  <c r="J1281" i="1" a="1"/>
  <c r="J1281" i="1" s="1"/>
  <c r="F1281" i="1" a="1"/>
  <c r="F1281" i="1" s="1"/>
  <c r="AW1279" i="1"/>
  <c r="AS1279" i="1"/>
  <c r="AZ1279" i="1"/>
  <c r="AY1279" i="1"/>
  <c r="AX1279" i="1"/>
  <c r="K1279" i="1" a="1"/>
  <c r="K1279" i="1" s="1"/>
  <c r="J1279" i="1" a="1"/>
  <c r="J1279" i="1" s="1"/>
  <c r="AW1278" i="1"/>
  <c r="AS1278" i="1"/>
  <c r="AZ1278" i="1"/>
  <c r="AY1278" i="1"/>
  <c r="K1278" i="1" a="1"/>
  <c r="K1278" i="1" s="1"/>
  <c r="J1278" i="1" a="1"/>
  <c r="J1278" i="1" s="1"/>
  <c r="AW1277" i="1"/>
  <c r="AS1277" i="1"/>
  <c r="AZ1277" i="1"/>
  <c r="AY1277" i="1"/>
  <c r="K1277" i="1" a="1"/>
  <c r="K1277" i="1" s="1"/>
  <c r="J1277" i="1" a="1"/>
  <c r="J1277" i="1" s="1"/>
  <c r="AW1276" i="1"/>
  <c r="AS1276" i="1"/>
  <c r="AZ1276" i="1"/>
  <c r="AX1276" i="1"/>
  <c r="K1276" i="1" a="1"/>
  <c r="K1276" i="1" s="1"/>
  <c r="J1276" i="1" a="1"/>
  <c r="J1276" i="1" s="1"/>
  <c r="AW1275" i="1"/>
  <c r="AS1275" i="1"/>
  <c r="AZ1275" i="1"/>
  <c r="AY1275" i="1"/>
  <c r="AX1275" i="1"/>
  <c r="K1275" i="1" a="1"/>
  <c r="K1275" i="1" s="1"/>
  <c r="J1275" i="1" a="1"/>
  <c r="J1275" i="1" s="1"/>
  <c r="AZ1364" i="1"/>
  <c r="AY1364" i="1"/>
  <c r="AX1364" i="1"/>
  <c r="AW1364" i="1"/>
  <c r="AU1364" i="1"/>
  <c r="AS1364" i="1"/>
  <c r="K1364" i="1" a="1"/>
  <c r="K1364" i="1" s="1"/>
  <c r="J1364" i="1" a="1"/>
  <c r="J1364" i="1" s="1"/>
  <c r="F1364" i="1" a="1"/>
  <c r="F1364" i="1" s="1"/>
  <c r="AW1459" i="1"/>
  <c r="BM1459" i="1" s="1" a="1"/>
  <c r="BM1459" i="1" s="1"/>
  <c r="BJ1459" i="1" s="1" a="1"/>
  <c r="BJ1459" i="1" s="1"/>
  <c r="AT1459" i="1" a="1"/>
  <c r="AT1459" i="1" s="1"/>
  <c r="AU1459" i="1" s="1"/>
  <c r="AS1459" i="1" a="1"/>
  <c r="AS1459" i="1" s="1"/>
  <c r="K1459" i="1" a="1"/>
  <c r="K1459" i="1" s="1"/>
  <c r="J1459" i="1" a="1"/>
  <c r="J1459" i="1" s="1"/>
  <c r="F1459" i="1" a="1"/>
  <c r="F1459" i="1" s="1"/>
  <c r="AW1458" i="1"/>
  <c r="BK1458" i="1" s="1" a="1"/>
  <c r="BK1458" i="1" s="1"/>
  <c r="AT1458" i="1" a="1"/>
  <c r="AT1458" i="1" s="1"/>
  <c r="AU1458" i="1" s="1"/>
  <c r="AS1458" i="1" a="1"/>
  <c r="AS1458" i="1" s="1"/>
  <c r="K1458" i="1" a="1"/>
  <c r="K1458" i="1" s="1"/>
  <c r="J1458" i="1" a="1"/>
  <c r="J1458" i="1" s="1"/>
  <c r="F1458" i="1" a="1"/>
  <c r="F1458" i="1" s="1"/>
  <c r="AW1457" i="1"/>
  <c r="BM1457" i="1" s="1" a="1"/>
  <c r="BM1457" i="1" s="1"/>
  <c r="BJ1457" i="1" s="1" a="1"/>
  <c r="BJ1457" i="1" s="1"/>
  <c r="AT1457" i="1" a="1"/>
  <c r="AT1457" i="1" s="1"/>
  <c r="AU1457" i="1" s="1"/>
  <c r="AS1457" i="1" a="1"/>
  <c r="AS1457" i="1" s="1"/>
  <c r="K1457" i="1" a="1"/>
  <c r="K1457" i="1" s="1"/>
  <c r="J1457" i="1" a="1"/>
  <c r="J1457" i="1" s="1"/>
  <c r="F1457" i="1" a="1"/>
  <c r="F1457" i="1" s="1"/>
  <c r="AW1456" i="1"/>
  <c r="BL1456" i="1" s="1" a="1"/>
  <c r="BL1456" i="1" s="1"/>
  <c r="AT1456" i="1" a="1"/>
  <c r="AT1456" i="1" s="1"/>
  <c r="AU1456" i="1" s="1"/>
  <c r="AS1456" i="1" a="1"/>
  <c r="AS1456" i="1" s="1"/>
  <c r="K1456" i="1" a="1"/>
  <c r="K1456" i="1" s="1"/>
  <c r="J1456" i="1" a="1"/>
  <c r="J1456" i="1" s="1"/>
  <c r="F1456" i="1" a="1"/>
  <c r="F1456" i="1" s="1"/>
  <c r="AW1455" i="1"/>
  <c r="BK1455" i="1" s="1" a="1"/>
  <c r="BK1455" i="1" s="1"/>
  <c r="AT1455" i="1" a="1"/>
  <c r="AT1455" i="1" s="1"/>
  <c r="AU1455" i="1" s="1"/>
  <c r="AS1455" i="1" a="1"/>
  <c r="AS1455" i="1" s="1"/>
  <c r="K1455" i="1" a="1"/>
  <c r="K1455" i="1" s="1"/>
  <c r="J1455" i="1" a="1"/>
  <c r="J1455" i="1" s="1"/>
  <c r="F1455" i="1" a="1"/>
  <c r="F1455" i="1" s="1"/>
  <c r="AW1453" i="1"/>
  <c r="BM1453" i="1" s="1" a="1"/>
  <c r="BM1453" i="1" s="1"/>
  <c r="BJ1453" i="1" s="1" a="1"/>
  <c r="BJ1453" i="1" s="1"/>
  <c r="AT1453" i="1" a="1"/>
  <c r="AT1453" i="1" s="1"/>
  <c r="AU1453" i="1" s="1"/>
  <c r="AS1453" i="1" a="1"/>
  <c r="AS1453" i="1" s="1"/>
  <c r="K1453" i="1" a="1"/>
  <c r="K1453" i="1" s="1"/>
  <c r="J1453" i="1" a="1"/>
  <c r="J1453" i="1" s="1"/>
  <c r="F1453" i="1" a="1"/>
  <c r="F1453" i="1" s="1"/>
  <c r="AW1452" i="1"/>
  <c r="BN1452" i="1" s="1" a="1"/>
  <c r="BN1452" i="1" s="1"/>
  <c r="AT1452" i="1" a="1"/>
  <c r="AT1452" i="1" s="1"/>
  <c r="AU1452" i="1" s="1"/>
  <c r="AS1452" i="1" a="1"/>
  <c r="AS1452" i="1" s="1"/>
  <c r="K1452" i="1" a="1"/>
  <c r="K1452" i="1" s="1"/>
  <c r="J1452" i="1" a="1"/>
  <c r="J1452" i="1" s="1"/>
  <c r="F1452" i="1" a="1"/>
  <c r="F1452" i="1" s="1"/>
  <c r="AW1451" i="1"/>
  <c r="BM1451" i="1" s="1" a="1"/>
  <c r="BM1451" i="1" s="1"/>
  <c r="BJ1451" i="1" s="1" a="1"/>
  <c r="BJ1451" i="1" s="1"/>
  <c r="AT1451" i="1" a="1"/>
  <c r="AT1451" i="1" s="1"/>
  <c r="AU1451" i="1" s="1"/>
  <c r="AS1451" i="1" a="1"/>
  <c r="AS1451" i="1" s="1"/>
  <c r="K1451" i="1" a="1"/>
  <c r="K1451" i="1" s="1"/>
  <c r="J1451" i="1" a="1"/>
  <c r="J1451" i="1" s="1"/>
  <c r="F1451" i="1" a="1"/>
  <c r="F1451" i="1" s="1"/>
  <c r="AW1450" i="1"/>
  <c r="BN1450" i="1" s="1" a="1"/>
  <c r="BN1450" i="1" s="1"/>
  <c r="AT1450" i="1" a="1"/>
  <c r="AT1450" i="1" s="1"/>
  <c r="AU1450" i="1" s="1"/>
  <c r="AS1450" i="1" a="1"/>
  <c r="AS1450" i="1" s="1"/>
  <c r="K1450" i="1" a="1"/>
  <c r="K1450" i="1" s="1"/>
  <c r="J1450" i="1" a="1"/>
  <c r="J1450" i="1" s="1"/>
  <c r="F1450" i="1" a="1"/>
  <c r="F1450" i="1" s="1"/>
  <c r="AW1449" i="1"/>
  <c r="BM1449" i="1" s="1" a="1"/>
  <c r="BM1449" i="1" s="1"/>
  <c r="BJ1449" i="1" s="1" a="1"/>
  <c r="BJ1449" i="1" s="1"/>
  <c r="AT1449" i="1" a="1"/>
  <c r="AT1449" i="1" s="1"/>
  <c r="AU1449" i="1" s="1"/>
  <c r="AS1449" i="1" a="1"/>
  <c r="AS1449" i="1" s="1"/>
  <c r="K1449" i="1" a="1"/>
  <c r="K1449" i="1" s="1"/>
  <c r="J1449" i="1" a="1"/>
  <c r="J1449" i="1" s="1"/>
  <c r="F1449" i="1" a="1"/>
  <c r="F1449" i="1" s="1"/>
  <c r="BN1447" i="1" a="1"/>
  <c r="BN1447" i="1" s="1"/>
  <c r="BM1447" i="1" a="1"/>
  <c r="BM1447" i="1" s="1"/>
  <c r="BJ1447" i="1" s="1" a="1"/>
  <c r="BJ1447" i="1" s="1"/>
  <c r="BL1447" i="1" a="1"/>
  <c r="BL1447" i="1" s="1"/>
  <c r="BK1447" i="1" a="1"/>
  <c r="BK1447" i="1" s="1"/>
  <c r="BI1447" i="1" a="1"/>
  <c r="BI1447" i="1" s="1"/>
  <c r="AT1447" i="1" a="1"/>
  <c r="AT1447" i="1" s="1"/>
  <c r="AU1447" i="1" s="1"/>
  <c r="AS1447" i="1" a="1"/>
  <c r="AS1447" i="1" s="1"/>
  <c r="K1447" i="1" a="1"/>
  <c r="K1447" i="1" s="1"/>
  <c r="J1447" i="1" a="1"/>
  <c r="J1447" i="1" s="1"/>
  <c r="F1447" i="1" a="1"/>
  <c r="F1447" i="1" s="1"/>
  <c r="BN1446" i="1" a="1"/>
  <c r="BN1446" i="1" s="1"/>
  <c r="BM1446" i="1" a="1"/>
  <c r="BM1446" i="1" s="1"/>
  <c r="BJ1446" i="1" s="1" a="1"/>
  <c r="BJ1446" i="1" s="1"/>
  <c r="BL1446" i="1" a="1"/>
  <c r="BL1446" i="1" s="1"/>
  <c r="BK1446" i="1" a="1"/>
  <c r="BK1446" i="1" s="1"/>
  <c r="BI1446" i="1" a="1"/>
  <c r="BI1446" i="1" s="1"/>
  <c r="AT1446" i="1" a="1"/>
  <c r="AT1446" i="1" s="1"/>
  <c r="AU1446" i="1" s="1"/>
  <c r="AS1446" i="1" a="1"/>
  <c r="AS1446" i="1" s="1"/>
  <c r="K1446" i="1" a="1"/>
  <c r="K1446" i="1" s="1"/>
  <c r="J1446" i="1" a="1"/>
  <c r="J1446" i="1" s="1"/>
  <c r="F1446" i="1" a="1"/>
  <c r="F1446" i="1" s="1"/>
  <c r="BN1445" i="1" a="1"/>
  <c r="BN1445" i="1" s="1"/>
  <c r="BM1445" i="1" a="1"/>
  <c r="BM1445" i="1" s="1"/>
  <c r="BJ1445" i="1" s="1" a="1"/>
  <c r="BJ1445" i="1" s="1"/>
  <c r="BL1445" i="1" a="1"/>
  <c r="BL1445" i="1" s="1"/>
  <c r="BK1445" i="1" a="1"/>
  <c r="BK1445" i="1" s="1"/>
  <c r="BI1445" i="1" a="1"/>
  <c r="BI1445" i="1" s="1"/>
  <c r="AT1445" i="1" a="1"/>
  <c r="AT1445" i="1" s="1"/>
  <c r="AU1445" i="1" s="1"/>
  <c r="AS1445" i="1" a="1"/>
  <c r="AS1445" i="1" s="1"/>
  <c r="K1445" i="1" a="1"/>
  <c r="K1445" i="1" s="1"/>
  <c r="J1445" i="1" a="1"/>
  <c r="J1445" i="1" s="1"/>
  <c r="F1445" i="1" a="1"/>
  <c r="F1445" i="1" s="1"/>
  <c r="BN1444" i="1" a="1"/>
  <c r="BN1444" i="1" s="1"/>
  <c r="BM1444" i="1" a="1"/>
  <c r="BM1444" i="1" s="1"/>
  <c r="BJ1444" i="1" s="1" a="1"/>
  <c r="BJ1444" i="1" s="1"/>
  <c r="BL1444" i="1" a="1"/>
  <c r="BL1444" i="1" s="1"/>
  <c r="BK1444" i="1" a="1"/>
  <c r="BK1444" i="1" s="1"/>
  <c r="BI1444" i="1" a="1"/>
  <c r="BI1444" i="1" s="1"/>
  <c r="AT1444" i="1" a="1"/>
  <c r="AT1444" i="1" s="1"/>
  <c r="AU1444" i="1" s="1"/>
  <c r="AS1444" i="1" a="1"/>
  <c r="AS1444" i="1" s="1"/>
  <c r="K1444" i="1" a="1"/>
  <c r="K1444" i="1" s="1"/>
  <c r="J1444" i="1" a="1"/>
  <c r="J1444" i="1" s="1"/>
  <c r="F1444" i="1" a="1"/>
  <c r="F1444" i="1" s="1"/>
  <c r="BN1443" i="1" a="1"/>
  <c r="BN1443" i="1" s="1"/>
  <c r="BM1443" i="1" a="1"/>
  <c r="BM1443" i="1" s="1"/>
  <c r="BJ1443" i="1" s="1" a="1"/>
  <c r="BJ1443" i="1" s="1"/>
  <c r="BL1443" i="1" a="1"/>
  <c r="BL1443" i="1" s="1"/>
  <c r="BK1443" i="1" a="1"/>
  <c r="BK1443" i="1" s="1"/>
  <c r="BI1443" i="1" a="1"/>
  <c r="BI1443" i="1" s="1"/>
  <c r="AT1443" i="1" a="1"/>
  <c r="AT1443" i="1" s="1"/>
  <c r="AU1443" i="1" s="1"/>
  <c r="AS1443" i="1" a="1"/>
  <c r="AS1443" i="1" s="1"/>
  <c r="K1443" i="1" a="1"/>
  <c r="K1443" i="1" s="1"/>
  <c r="J1443" i="1" a="1"/>
  <c r="J1443" i="1" s="1"/>
  <c r="F1443" i="1" a="1"/>
  <c r="F1443" i="1" s="1"/>
  <c r="AW1441" i="1"/>
  <c r="BK1441" i="1" s="1" a="1"/>
  <c r="BK1441" i="1" s="1"/>
  <c r="AT1441" i="1" a="1"/>
  <c r="AT1441" i="1" s="1"/>
  <c r="AU1441" i="1" s="1"/>
  <c r="AS1441" i="1" a="1"/>
  <c r="AS1441" i="1" s="1"/>
  <c r="K1441" i="1" a="1"/>
  <c r="K1441" i="1" s="1"/>
  <c r="J1441" i="1" a="1"/>
  <c r="J1441" i="1" s="1"/>
  <c r="F1441" i="1" a="1"/>
  <c r="F1441" i="1" s="1"/>
  <c r="AW1440" i="1"/>
  <c r="BK1440" i="1" s="1" a="1"/>
  <c r="BK1440" i="1" s="1"/>
  <c r="AT1440" i="1" a="1"/>
  <c r="AT1440" i="1" s="1"/>
  <c r="AU1440" i="1" s="1"/>
  <c r="AS1440" i="1" a="1"/>
  <c r="AS1440" i="1" s="1"/>
  <c r="K1440" i="1" a="1"/>
  <c r="K1440" i="1" s="1"/>
  <c r="J1440" i="1" a="1"/>
  <c r="J1440" i="1" s="1"/>
  <c r="F1440" i="1" a="1"/>
  <c r="F1440" i="1" s="1"/>
  <c r="AW1439" i="1"/>
  <c r="BI1439" i="1" s="1" a="1"/>
  <c r="BI1439" i="1" s="1"/>
  <c r="AT1439" i="1" a="1"/>
  <c r="AT1439" i="1" s="1"/>
  <c r="AU1439" i="1" s="1"/>
  <c r="AS1439" i="1" a="1"/>
  <c r="AS1439" i="1" s="1"/>
  <c r="K1439" i="1" a="1"/>
  <c r="K1439" i="1" s="1"/>
  <c r="J1439" i="1" a="1"/>
  <c r="J1439" i="1" s="1"/>
  <c r="F1439" i="1" a="1"/>
  <c r="F1439" i="1" s="1"/>
  <c r="AW1438" i="1"/>
  <c r="BL1438" i="1" s="1" a="1"/>
  <c r="BL1438" i="1" s="1"/>
  <c r="AT1438" i="1" a="1"/>
  <c r="AT1438" i="1" s="1"/>
  <c r="AU1438" i="1" s="1"/>
  <c r="AS1438" i="1" a="1"/>
  <c r="AS1438" i="1" s="1"/>
  <c r="K1438" i="1" a="1"/>
  <c r="K1438" i="1" s="1"/>
  <c r="J1438" i="1" a="1"/>
  <c r="J1438" i="1" s="1"/>
  <c r="F1438" i="1" a="1"/>
  <c r="F1438" i="1" s="1"/>
  <c r="AW1437" i="1"/>
  <c r="BM1437" i="1" s="1" a="1"/>
  <c r="BM1437" i="1" s="1"/>
  <c r="BJ1437" i="1" s="1" a="1"/>
  <c r="BJ1437" i="1" s="1"/>
  <c r="AT1437" i="1" a="1"/>
  <c r="AT1437" i="1" s="1"/>
  <c r="AU1437" i="1" s="1"/>
  <c r="AS1437" i="1" a="1"/>
  <c r="AS1437" i="1" s="1"/>
  <c r="K1437" i="1" a="1"/>
  <c r="K1437" i="1" s="1"/>
  <c r="J1437" i="1" a="1"/>
  <c r="J1437" i="1" s="1"/>
  <c r="F1437" i="1" a="1"/>
  <c r="F1437" i="1" s="1"/>
  <c r="AW1435" i="1"/>
  <c r="BM1435" i="1" s="1" a="1"/>
  <c r="BM1435" i="1" s="1"/>
  <c r="BJ1435" i="1" s="1" a="1"/>
  <c r="BJ1435" i="1" s="1"/>
  <c r="AT1435" i="1" a="1"/>
  <c r="AT1435" i="1" s="1"/>
  <c r="AU1435" i="1" s="1"/>
  <c r="AS1435" i="1" a="1"/>
  <c r="AS1435" i="1" s="1"/>
  <c r="K1435" i="1" a="1"/>
  <c r="K1435" i="1" s="1"/>
  <c r="J1435" i="1" a="1"/>
  <c r="J1435" i="1" s="1"/>
  <c r="F1435" i="1" a="1"/>
  <c r="F1435" i="1" s="1"/>
  <c r="AW1434" i="1"/>
  <c r="BN1434" i="1" s="1" a="1"/>
  <c r="BN1434" i="1" s="1"/>
  <c r="AT1434" i="1" a="1"/>
  <c r="AT1434" i="1" s="1"/>
  <c r="AU1434" i="1" s="1"/>
  <c r="AS1434" i="1" a="1"/>
  <c r="AS1434" i="1" s="1"/>
  <c r="K1434" i="1" a="1"/>
  <c r="K1434" i="1" s="1"/>
  <c r="J1434" i="1" a="1"/>
  <c r="J1434" i="1" s="1"/>
  <c r="F1434" i="1" a="1"/>
  <c r="F1434" i="1" s="1"/>
  <c r="AW1433" i="1"/>
  <c r="BM1433" i="1" s="1" a="1"/>
  <c r="BM1433" i="1" s="1"/>
  <c r="BJ1433" i="1" s="1" a="1"/>
  <c r="BJ1433" i="1" s="1"/>
  <c r="AT1433" i="1" a="1"/>
  <c r="AT1433" i="1" s="1"/>
  <c r="AU1433" i="1" s="1"/>
  <c r="AS1433" i="1" a="1"/>
  <c r="AS1433" i="1" s="1"/>
  <c r="K1433" i="1" a="1"/>
  <c r="K1433" i="1" s="1"/>
  <c r="J1433" i="1" a="1"/>
  <c r="J1433" i="1" s="1"/>
  <c r="F1433" i="1" a="1"/>
  <c r="F1433" i="1" s="1"/>
  <c r="AW1432" i="1"/>
  <c r="BN1432" i="1" s="1" a="1"/>
  <c r="BN1432" i="1" s="1"/>
  <c r="AT1432" i="1" a="1"/>
  <c r="AT1432" i="1" s="1"/>
  <c r="AU1432" i="1" s="1"/>
  <c r="AS1432" i="1" a="1"/>
  <c r="AS1432" i="1" s="1"/>
  <c r="K1432" i="1" a="1"/>
  <c r="K1432" i="1" s="1"/>
  <c r="J1432" i="1" a="1"/>
  <c r="J1432" i="1" s="1"/>
  <c r="F1432" i="1" a="1"/>
  <c r="F1432" i="1" s="1"/>
  <c r="AW1431" i="1"/>
  <c r="BM1431" i="1" s="1" a="1"/>
  <c r="BM1431" i="1" s="1"/>
  <c r="BJ1431" i="1" s="1" a="1"/>
  <c r="BJ1431" i="1" s="1"/>
  <c r="AT1431" i="1" a="1"/>
  <c r="AT1431" i="1" s="1"/>
  <c r="AU1431" i="1" s="1"/>
  <c r="AS1431" i="1" a="1"/>
  <c r="AS1431" i="1" s="1"/>
  <c r="K1431" i="1" a="1"/>
  <c r="K1431" i="1" s="1"/>
  <c r="J1431" i="1" a="1"/>
  <c r="J1431" i="1" s="1"/>
  <c r="F1431" i="1" a="1"/>
  <c r="F1431" i="1" s="1"/>
  <c r="BN1429" i="1" a="1"/>
  <c r="BN1429" i="1" s="1"/>
  <c r="BM1429" i="1" a="1"/>
  <c r="BM1429" i="1" s="1"/>
  <c r="BJ1429" i="1" s="1" a="1"/>
  <c r="BJ1429" i="1" s="1"/>
  <c r="BL1429" i="1" a="1"/>
  <c r="BL1429" i="1" s="1"/>
  <c r="BK1429" i="1" a="1"/>
  <c r="BK1429" i="1" s="1"/>
  <c r="BI1429" i="1" a="1"/>
  <c r="BI1429" i="1" s="1"/>
  <c r="AT1429" i="1" a="1"/>
  <c r="AT1429" i="1" s="1"/>
  <c r="AU1429" i="1" s="1"/>
  <c r="AS1429" i="1" a="1"/>
  <c r="AS1429" i="1" s="1"/>
  <c r="K1429" i="1" a="1"/>
  <c r="K1429" i="1" s="1"/>
  <c r="J1429" i="1" a="1"/>
  <c r="J1429" i="1" s="1"/>
  <c r="F1429" i="1" a="1"/>
  <c r="F1429" i="1" s="1"/>
  <c r="BN1428" i="1" a="1"/>
  <c r="BN1428" i="1" s="1"/>
  <c r="BM1428" i="1" a="1"/>
  <c r="BM1428" i="1" s="1"/>
  <c r="BJ1428" i="1" s="1" a="1"/>
  <c r="BJ1428" i="1" s="1"/>
  <c r="BL1428" i="1" a="1"/>
  <c r="BL1428" i="1" s="1"/>
  <c r="BK1428" i="1" a="1"/>
  <c r="BK1428" i="1" s="1"/>
  <c r="BI1428" i="1" a="1"/>
  <c r="BI1428" i="1" s="1"/>
  <c r="AT1428" i="1" a="1"/>
  <c r="AT1428" i="1" s="1"/>
  <c r="AU1428" i="1" s="1"/>
  <c r="AS1428" i="1" a="1"/>
  <c r="AS1428" i="1" s="1"/>
  <c r="K1428" i="1" a="1"/>
  <c r="K1428" i="1" s="1"/>
  <c r="J1428" i="1" a="1"/>
  <c r="J1428" i="1" s="1"/>
  <c r="F1428" i="1" a="1"/>
  <c r="F1428" i="1" s="1"/>
  <c r="BN1427" i="1" a="1"/>
  <c r="BN1427" i="1" s="1"/>
  <c r="BM1427" i="1" a="1"/>
  <c r="BM1427" i="1" s="1"/>
  <c r="BJ1427" i="1" s="1" a="1"/>
  <c r="BJ1427" i="1" s="1"/>
  <c r="BL1427" i="1" a="1"/>
  <c r="BL1427" i="1" s="1"/>
  <c r="BK1427" i="1" a="1"/>
  <c r="BK1427" i="1" s="1"/>
  <c r="BI1427" i="1" a="1"/>
  <c r="BI1427" i="1" s="1"/>
  <c r="AT1427" i="1" a="1"/>
  <c r="AT1427" i="1" s="1"/>
  <c r="AU1427" i="1" s="1"/>
  <c r="AS1427" i="1" a="1"/>
  <c r="AS1427" i="1" s="1"/>
  <c r="K1427" i="1" a="1"/>
  <c r="K1427" i="1" s="1"/>
  <c r="J1427" i="1" a="1"/>
  <c r="J1427" i="1" s="1"/>
  <c r="F1427" i="1" a="1"/>
  <c r="F1427" i="1" s="1"/>
  <c r="BN1426" i="1" a="1"/>
  <c r="BN1426" i="1" s="1"/>
  <c r="BM1426" i="1" a="1"/>
  <c r="BM1426" i="1" s="1"/>
  <c r="BJ1426" i="1" s="1" a="1"/>
  <c r="BJ1426" i="1" s="1"/>
  <c r="BL1426" i="1" a="1"/>
  <c r="BL1426" i="1" s="1"/>
  <c r="BK1426" i="1" a="1"/>
  <c r="BK1426" i="1" s="1"/>
  <c r="BI1426" i="1" a="1"/>
  <c r="BI1426" i="1" s="1"/>
  <c r="AT1426" i="1" a="1"/>
  <c r="AT1426" i="1" s="1"/>
  <c r="AU1426" i="1" s="1"/>
  <c r="AS1426" i="1" a="1"/>
  <c r="AS1426" i="1" s="1"/>
  <c r="K1426" i="1" a="1"/>
  <c r="K1426" i="1" s="1"/>
  <c r="J1426" i="1" a="1"/>
  <c r="J1426" i="1" s="1"/>
  <c r="F1426" i="1" a="1"/>
  <c r="F1426" i="1" s="1"/>
  <c r="BN1425" i="1" a="1"/>
  <c r="BN1425" i="1" s="1"/>
  <c r="BM1425" i="1" a="1"/>
  <c r="BM1425" i="1" s="1"/>
  <c r="BJ1425" i="1" s="1" a="1"/>
  <c r="BJ1425" i="1" s="1"/>
  <c r="BL1425" i="1" a="1"/>
  <c r="BL1425" i="1" s="1"/>
  <c r="BK1425" i="1" a="1"/>
  <c r="BK1425" i="1" s="1"/>
  <c r="BI1425" i="1" a="1"/>
  <c r="BI1425" i="1" s="1"/>
  <c r="AT1425" i="1" a="1"/>
  <c r="AT1425" i="1" s="1"/>
  <c r="AU1425" i="1" s="1"/>
  <c r="AS1425" i="1" a="1"/>
  <c r="AS1425" i="1" s="1"/>
  <c r="K1425" i="1" a="1"/>
  <c r="K1425" i="1" s="1"/>
  <c r="J1425" i="1" a="1"/>
  <c r="J1425" i="1" s="1"/>
  <c r="F1425" i="1" a="1"/>
  <c r="F1425" i="1" s="1"/>
  <c r="AW1423" i="1"/>
  <c r="BI1423" i="1" s="1" a="1"/>
  <c r="BI1423" i="1" s="1"/>
  <c r="AT1423" i="1"/>
  <c r="AU1423" i="1" s="1"/>
  <c r="AS1423" i="1" a="1"/>
  <c r="AS1423" i="1" s="1"/>
  <c r="K1423" i="1" a="1"/>
  <c r="K1423" i="1" s="1"/>
  <c r="J1423" i="1" a="1"/>
  <c r="J1423" i="1" s="1"/>
  <c r="F1423" i="1" a="1"/>
  <c r="F1423" i="1" s="1"/>
  <c r="AW1422" i="1"/>
  <c r="BN1422" i="1" s="1" a="1"/>
  <c r="BN1422" i="1" s="1"/>
  <c r="AT1422" i="1"/>
  <c r="AU1422" i="1" s="1"/>
  <c r="AS1422" i="1" a="1"/>
  <c r="AS1422" i="1" s="1"/>
  <c r="K1422" i="1" a="1"/>
  <c r="K1422" i="1" s="1"/>
  <c r="J1422" i="1" a="1"/>
  <c r="J1422" i="1" s="1"/>
  <c r="F1422" i="1" a="1"/>
  <c r="F1422" i="1" s="1"/>
  <c r="AW1421" i="1"/>
  <c r="BM1421" i="1" s="1" a="1"/>
  <c r="BM1421" i="1" s="1"/>
  <c r="BJ1421" i="1" s="1" a="1"/>
  <c r="BJ1421" i="1" s="1"/>
  <c r="AT1421" i="1"/>
  <c r="AU1421" i="1" s="1"/>
  <c r="AS1421" i="1" a="1"/>
  <c r="AS1421" i="1" s="1"/>
  <c r="K1421" i="1" a="1"/>
  <c r="K1421" i="1" s="1"/>
  <c r="J1421" i="1" a="1"/>
  <c r="J1421" i="1" s="1"/>
  <c r="F1421" i="1" a="1"/>
  <c r="F1421" i="1" s="1"/>
  <c r="AW1420" i="1"/>
  <c r="BK1420" i="1" s="1"/>
  <c r="AT1420" i="1"/>
  <c r="AU1420" i="1" s="1"/>
  <c r="AS1420" i="1" a="1"/>
  <c r="AS1420" i="1" s="1"/>
  <c r="K1420" i="1" a="1"/>
  <c r="K1420" i="1" s="1"/>
  <c r="J1420" i="1" a="1"/>
  <c r="J1420" i="1" s="1"/>
  <c r="F1420" i="1" a="1"/>
  <c r="F1420" i="1" s="1"/>
  <c r="AW1419" i="1"/>
  <c r="BM1419" i="1" s="1" a="1"/>
  <c r="BM1419" i="1" s="1"/>
  <c r="BJ1419" i="1" s="1" a="1"/>
  <c r="BJ1419" i="1" s="1"/>
  <c r="AT1419" i="1"/>
  <c r="AU1419" i="1" s="1"/>
  <c r="AS1419" i="1" a="1"/>
  <c r="AS1419" i="1" s="1"/>
  <c r="K1419" i="1" a="1"/>
  <c r="K1419" i="1" s="1"/>
  <c r="J1419" i="1" a="1"/>
  <c r="J1419" i="1" s="1"/>
  <c r="F1419" i="1" a="1"/>
  <c r="F1419" i="1" s="1"/>
  <c r="AW1417" i="1"/>
  <c r="BM1417" i="1" s="1" a="1"/>
  <c r="BM1417" i="1" s="1"/>
  <c r="BJ1417" i="1" s="1" a="1"/>
  <c r="BJ1417" i="1" s="1"/>
  <c r="AT1417" i="1"/>
  <c r="AU1417" i="1" s="1"/>
  <c r="AS1417" i="1" a="1"/>
  <c r="AS1417" i="1" s="1"/>
  <c r="K1417" i="1" a="1"/>
  <c r="K1417" i="1" s="1"/>
  <c r="J1417" i="1" a="1"/>
  <c r="J1417" i="1" s="1"/>
  <c r="F1417" i="1" a="1"/>
  <c r="F1417" i="1" s="1"/>
  <c r="AW1416" i="1"/>
  <c r="BM1416" i="1" s="1" a="1"/>
  <c r="BM1416" i="1" s="1"/>
  <c r="BJ1416" i="1" s="1" a="1"/>
  <c r="BJ1416" i="1" s="1"/>
  <c r="AT1416" i="1"/>
  <c r="AU1416" i="1" s="1"/>
  <c r="AS1416" i="1" a="1"/>
  <c r="AS1416" i="1" s="1"/>
  <c r="K1416" i="1" a="1"/>
  <c r="K1416" i="1" s="1"/>
  <c r="J1416" i="1" a="1"/>
  <c r="J1416" i="1" s="1"/>
  <c r="F1416" i="1" a="1"/>
  <c r="F1416" i="1" s="1"/>
  <c r="AW1415" i="1"/>
  <c r="BN1415" i="1" s="1" a="1"/>
  <c r="BN1415" i="1" s="1"/>
  <c r="AT1415" i="1"/>
  <c r="AU1415" i="1" s="1"/>
  <c r="AS1415" i="1" a="1"/>
  <c r="AS1415" i="1" s="1"/>
  <c r="K1415" i="1" a="1"/>
  <c r="K1415" i="1" s="1"/>
  <c r="J1415" i="1" a="1"/>
  <c r="J1415" i="1" s="1"/>
  <c r="F1415" i="1" a="1"/>
  <c r="F1415" i="1" s="1"/>
  <c r="AW1414" i="1"/>
  <c r="BN1414" i="1" s="1" a="1"/>
  <c r="BN1414" i="1" s="1"/>
  <c r="AT1414" i="1"/>
  <c r="AU1414" i="1" s="1"/>
  <c r="AS1414" i="1" a="1"/>
  <c r="AS1414" i="1" s="1"/>
  <c r="K1414" i="1" a="1"/>
  <c r="K1414" i="1" s="1"/>
  <c r="J1414" i="1" a="1"/>
  <c r="J1414" i="1" s="1"/>
  <c r="F1414" i="1" a="1"/>
  <c r="F1414" i="1" s="1"/>
  <c r="AW1413" i="1"/>
  <c r="BM1413" i="1" s="1" a="1"/>
  <c r="BM1413" i="1" s="1"/>
  <c r="BJ1413" i="1" s="1" a="1"/>
  <c r="BJ1413" i="1" s="1"/>
  <c r="AT1413" i="1"/>
  <c r="AU1413" i="1" s="1"/>
  <c r="AS1413" i="1" a="1"/>
  <c r="AS1413" i="1" s="1"/>
  <c r="K1413" i="1" a="1"/>
  <c r="K1413" i="1" s="1"/>
  <c r="J1413" i="1" a="1"/>
  <c r="J1413" i="1" s="1"/>
  <c r="F1413" i="1" a="1"/>
  <c r="F1413" i="1" s="1"/>
  <c r="BN1411" i="1" a="1"/>
  <c r="BN1411" i="1" s="1"/>
  <c r="BM1411" i="1" a="1"/>
  <c r="BM1411" i="1" s="1"/>
  <c r="BJ1411" i="1" s="1" a="1"/>
  <c r="BJ1411" i="1" s="1"/>
  <c r="BK1411" i="1" a="1"/>
  <c r="BK1411" i="1" s="1"/>
  <c r="BI1411" i="1" a="1"/>
  <c r="BI1411" i="1" s="1"/>
  <c r="AT1411" i="1"/>
  <c r="AU1411" i="1" s="1"/>
  <c r="AS1411" i="1" a="1"/>
  <c r="AS1411" i="1" s="1"/>
  <c r="K1411" i="1" a="1"/>
  <c r="K1411" i="1" s="1"/>
  <c r="J1411" i="1" a="1"/>
  <c r="J1411" i="1" s="1"/>
  <c r="F1411" i="1" a="1"/>
  <c r="F1411" i="1" s="1"/>
  <c r="BN1410" i="1" a="1"/>
  <c r="BN1410" i="1" s="1"/>
  <c r="BM1410" i="1" a="1"/>
  <c r="BM1410" i="1" s="1"/>
  <c r="BJ1410" i="1" s="1" a="1"/>
  <c r="BJ1410" i="1" s="1"/>
  <c r="BK1410" i="1" a="1"/>
  <c r="BK1410" i="1" s="1"/>
  <c r="BI1410" i="1" a="1"/>
  <c r="BI1410" i="1" s="1"/>
  <c r="AT1410" i="1"/>
  <c r="AU1410" i="1" s="1"/>
  <c r="AS1410" i="1" a="1"/>
  <c r="AS1410" i="1" s="1"/>
  <c r="K1410" i="1" a="1"/>
  <c r="K1410" i="1" s="1"/>
  <c r="J1410" i="1" a="1"/>
  <c r="J1410" i="1" s="1"/>
  <c r="F1410" i="1" a="1"/>
  <c r="F1410" i="1" s="1"/>
  <c r="BN1409" i="1" a="1"/>
  <c r="BN1409" i="1" s="1"/>
  <c r="BM1409" i="1" a="1"/>
  <c r="BM1409" i="1" s="1"/>
  <c r="BJ1409" i="1" s="1" a="1"/>
  <c r="BJ1409" i="1" s="1"/>
  <c r="BK1409" i="1" a="1"/>
  <c r="BK1409" i="1" s="1"/>
  <c r="BI1409" i="1" a="1"/>
  <c r="BI1409" i="1" s="1"/>
  <c r="AT1409" i="1"/>
  <c r="AU1409" i="1" s="1"/>
  <c r="AS1409" i="1" a="1"/>
  <c r="AS1409" i="1" s="1"/>
  <c r="K1409" i="1" a="1"/>
  <c r="K1409" i="1" s="1"/>
  <c r="J1409" i="1" a="1"/>
  <c r="J1409" i="1" s="1"/>
  <c r="F1409" i="1" a="1"/>
  <c r="F1409" i="1" s="1"/>
  <c r="BN1408" i="1" a="1"/>
  <c r="BN1408" i="1" s="1"/>
  <c r="BM1408" i="1" a="1"/>
  <c r="BM1408" i="1" s="1"/>
  <c r="BJ1408" i="1" s="1" a="1"/>
  <c r="BJ1408" i="1" s="1"/>
  <c r="BK1408" i="1" a="1"/>
  <c r="BK1408" i="1" s="1"/>
  <c r="BI1408" i="1" a="1"/>
  <c r="BI1408" i="1" s="1"/>
  <c r="AT1408" i="1"/>
  <c r="AU1408" i="1" s="1"/>
  <c r="AS1408" i="1" a="1"/>
  <c r="AS1408" i="1" s="1"/>
  <c r="K1408" i="1" a="1"/>
  <c r="K1408" i="1" s="1"/>
  <c r="J1408" i="1" a="1"/>
  <c r="J1408" i="1" s="1"/>
  <c r="F1408" i="1" a="1"/>
  <c r="F1408" i="1" s="1"/>
  <c r="BN1407" i="1" a="1"/>
  <c r="BN1407" i="1" s="1"/>
  <c r="BM1407" i="1" a="1"/>
  <c r="BM1407" i="1" s="1"/>
  <c r="BJ1407" i="1" s="1" a="1"/>
  <c r="BJ1407" i="1" s="1"/>
  <c r="BK1407" i="1" a="1"/>
  <c r="BK1407" i="1" s="1"/>
  <c r="BI1407" i="1" a="1"/>
  <c r="BI1407" i="1" s="1"/>
  <c r="AT1407" i="1"/>
  <c r="AU1407" i="1" s="1"/>
  <c r="AS1407" i="1" a="1"/>
  <c r="AS1407" i="1" s="1"/>
  <c r="K1407" i="1" a="1"/>
  <c r="K1407" i="1" s="1"/>
  <c r="J1407" i="1" a="1"/>
  <c r="J1407" i="1" s="1"/>
  <c r="F1407" i="1" a="1"/>
  <c r="F1407" i="1" s="1"/>
  <c r="AZ1405" i="1"/>
  <c r="AY1405" i="1"/>
  <c r="AX1405" i="1"/>
  <c r="AW1405" i="1"/>
  <c r="AT1405" i="1" a="1"/>
  <c r="AT1405" i="1" s="1"/>
  <c r="AU1405" i="1" s="1"/>
  <c r="AS1405" i="1" a="1"/>
  <c r="AS1405" i="1" s="1"/>
  <c r="K1405" i="1" a="1"/>
  <c r="K1405" i="1" s="1"/>
  <c r="J1405" i="1" a="1"/>
  <c r="J1405" i="1" s="1"/>
  <c r="F1405" i="1" a="1"/>
  <c r="F1405" i="1" s="1"/>
  <c r="AZ1404" i="1"/>
  <c r="AY1404" i="1"/>
  <c r="AX1404" i="1"/>
  <c r="AW1404" i="1"/>
  <c r="AT1404" i="1" a="1"/>
  <c r="AT1404" i="1" s="1"/>
  <c r="AU1404" i="1" s="1"/>
  <c r="AS1404" i="1" a="1"/>
  <c r="AS1404" i="1" s="1"/>
  <c r="K1404" i="1" a="1"/>
  <c r="K1404" i="1" s="1"/>
  <c r="J1404" i="1" a="1"/>
  <c r="J1404" i="1" s="1"/>
  <c r="F1404" i="1" a="1"/>
  <c r="F1404" i="1" s="1"/>
  <c r="AZ1403" i="1"/>
  <c r="AY1403" i="1"/>
  <c r="AX1403" i="1"/>
  <c r="AW1403" i="1"/>
  <c r="AT1403" i="1" a="1"/>
  <c r="AT1403" i="1" s="1"/>
  <c r="AU1403" i="1" s="1"/>
  <c r="AS1403" i="1" a="1"/>
  <c r="AS1403" i="1" s="1"/>
  <c r="K1403" i="1" a="1"/>
  <c r="K1403" i="1" s="1"/>
  <c r="J1403" i="1" a="1"/>
  <c r="J1403" i="1" s="1"/>
  <c r="F1403" i="1" a="1"/>
  <c r="F1403" i="1" s="1"/>
  <c r="AZ1402" i="1"/>
  <c r="AY1402" i="1"/>
  <c r="AX1402" i="1"/>
  <c r="AW1402" i="1"/>
  <c r="AT1402" i="1" a="1"/>
  <c r="AT1402" i="1" s="1"/>
  <c r="AU1402" i="1" s="1"/>
  <c r="AS1402" i="1" a="1"/>
  <c r="AS1402" i="1" s="1"/>
  <c r="K1402" i="1" a="1"/>
  <c r="K1402" i="1" s="1"/>
  <c r="J1402" i="1" a="1"/>
  <c r="J1402" i="1" s="1"/>
  <c r="F1402" i="1" a="1"/>
  <c r="F1402" i="1" s="1"/>
  <c r="AZ1401" i="1"/>
  <c r="AY1401" i="1"/>
  <c r="AX1401" i="1"/>
  <c r="AW1401" i="1"/>
  <c r="AT1401" i="1" a="1"/>
  <c r="AT1401" i="1" s="1"/>
  <c r="AU1401" i="1" s="1"/>
  <c r="AS1401" i="1" a="1"/>
  <c r="AS1401" i="1" s="1"/>
  <c r="K1401" i="1" a="1"/>
  <c r="K1401" i="1" s="1"/>
  <c r="J1401" i="1" a="1"/>
  <c r="J1401" i="1" s="1"/>
  <c r="F1401" i="1" a="1"/>
  <c r="F1401" i="1" s="1"/>
  <c r="AZ1399" i="1"/>
  <c r="AY1399" i="1"/>
  <c r="AX1399" i="1"/>
  <c r="AW1399" i="1"/>
  <c r="AT1399" i="1" a="1"/>
  <c r="AT1399" i="1" s="1"/>
  <c r="AU1399" i="1" s="1"/>
  <c r="AS1399" i="1" a="1"/>
  <c r="AS1399" i="1" s="1"/>
  <c r="K1399" i="1" a="1"/>
  <c r="K1399" i="1" s="1"/>
  <c r="J1399" i="1" a="1"/>
  <c r="J1399" i="1" s="1"/>
  <c r="F1399" i="1" a="1"/>
  <c r="F1399" i="1" s="1"/>
  <c r="AZ1398" i="1"/>
  <c r="AY1398" i="1"/>
  <c r="AX1398" i="1"/>
  <c r="AW1398" i="1"/>
  <c r="AT1398" i="1" a="1"/>
  <c r="AT1398" i="1" s="1"/>
  <c r="AU1398" i="1" s="1"/>
  <c r="AS1398" i="1" a="1"/>
  <c r="AS1398" i="1" s="1"/>
  <c r="K1398" i="1" a="1"/>
  <c r="K1398" i="1" s="1"/>
  <c r="J1398" i="1" a="1"/>
  <c r="J1398" i="1" s="1"/>
  <c r="F1398" i="1" a="1"/>
  <c r="F1398" i="1" s="1"/>
  <c r="AZ1397" i="1"/>
  <c r="AY1397" i="1"/>
  <c r="AX1397" i="1"/>
  <c r="AW1397" i="1"/>
  <c r="AT1397" i="1" a="1"/>
  <c r="AT1397" i="1" s="1"/>
  <c r="AU1397" i="1" s="1"/>
  <c r="AS1397" i="1" a="1"/>
  <c r="AS1397" i="1" s="1"/>
  <c r="K1397" i="1" a="1"/>
  <c r="K1397" i="1" s="1"/>
  <c r="J1397" i="1" a="1"/>
  <c r="J1397" i="1" s="1"/>
  <c r="F1397" i="1" a="1"/>
  <c r="F1397" i="1" s="1"/>
  <c r="AZ1396" i="1"/>
  <c r="AY1396" i="1"/>
  <c r="AX1396" i="1"/>
  <c r="AW1396" i="1"/>
  <c r="AT1396" i="1" a="1"/>
  <c r="AT1396" i="1" s="1"/>
  <c r="AU1396" i="1" s="1"/>
  <c r="AS1396" i="1" a="1"/>
  <c r="AS1396" i="1" s="1"/>
  <c r="K1396" i="1" a="1"/>
  <c r="K1396" i="1" s="1"/>
  <c r="J1396" i="1" a="1"/>
  <c r="J1396" i="1" s="1"/>
  <c r="F1396" i="1" a="1"/>
  <c r="F1396" i="1" s="1"/>
  <c r="AZ1395" i="1"/>
  <c r="AY1395" i="1"/>
  <c r="AX1395" i="1"/>
  <c r="AW1395" i="1"/>
  <c r="AT1395" i="1" a="1"/>
  <c r="AT1395" i="1" s="1"/>
  <c r="AU1395" i="1" s="1"/>
  <c r="AS1395" i="1" a="1"/>
  <c r="AS1395" i="1" s="1"/>
  <c r="K1395" i="1" a="1"/>
  <c r="K1395" i="1" s="1"/>
  <c r="J1395" i="1" a="1"/>
  <c r="J1395" i="1" s="1"/>
  <c r="F1395" i="1" a="1"/>
  <c r="F1395" i="1" s="1"/>
  <c r="AZ1393" i="1"/>
  <c r="AY1393" i="1"/>
  <c r="AX1393" i="1"/>
  <c r="AW1393" i="1"/>
  <c r="AT1393" i="1" a="1"/>
  <c r="AT1393" i="1" s="1"/>
  <c r="AU1393" i="1" s="1"/>
  <c r="AS1393" i="1" a="1"/>
  <c r="AS1393" i="1" s="1"/>
  <c r="BO1393" i="1" a="1"/>
  <c r="BO1393" i="1" s="1"/>
  <c r="K1393" i="1"/>
  <c r="J1393" i="1" a="1"/>
  <c r="J1393" i="1" s="1"/>
  <c r="F1393" i="1" a="1"/>
  <c r="F1393" i="1" s="1"/>
  <c r="AZ1392" i="1"/>
  <c r="AY1392" i="1"/>
  <c r="AX1392" i="1"/>
  <c r="AW1392" i="1"/>
  <c r="AT1392" i="1" a="1"/>
  <c r="AT1392" i="1" s="1"/>
  <c r="AU1392" i="1" s="1"/>
  <c r="AS1392" i="1" a="1"/>
  <c r="AS1392" i="1" s="1"/>
  <c r="BO1392" i="1" a="1"/>
  <c r="BO1392" i="1" s="1"/>
  <c r="K1392" i="1"/>
  <c r="J1392" i="1" a="1"/>
  <c r="J1392" i="1" s="1"/>
  <c r="F1392" i="1" a="1"/>
  <c r="F1392" i="1" s="1"/>
  <c r="AZ1391" i="1"/>
  <c r="AY1391" i="1"/>
  <c r="AX1391" i="1"/>
  <c r="AW1391" i="1"/>
  <c r="AT1391" i="1" a="1"/>
  <c r="AT1391" i="1" s="1"/>
  <c r="AU1391" i="1" s="1"/>
  <c r="AS1391" i="1" a="1"/>
  <c r="AS1391" i="1" s="1"/>
  <c r="BO1391" i="1" a="1"/>
  <c r="BO1391" i="1" s="1"/>
  <c r="K1391" i="1"/>
  <c r="J1391" i="1" a="1"/>
  <c r="J1391" i="1" s="1"/>
  <c r="F1391" i="1" a="1"/>
  <c r="F1391" i="1" s="1"/>
  <c r="AZ1390" i="1"/>
  <c r="AY1390" i="1"/>
  <c r="AX1390" i="1"/>
  <c r="AW1390" i="1"/>
  <c r="AT1390" i="1" a="1"/>
  <c r="AT1390" i="1" s="1"/>
  <c r="AU1390" i="1" s="1"/>
  <c r="AS1390" i="1" a="1"/>
  <c r="AS1390" i="1" s="1"/>
  <c r="BO1390" i="1" a="1"/>
  <c r="BO1390" i="1" s="1"/>
  <c r="K1390" i="1"/>
  <c r="J1390" i="1" a="1"/>
  <c r="J1390" i="1" s="1"/>
  <c r="F1390" i="1" a="1"/>
  <c r="F1390" i="1" s="1"/>
  <c r="AZ1389" i="1"/>
  <c r="AY1389" i="1"/>
  <c r="AX1389" i="1"/>
  <c r="AW1389" i="1"/>
  <c r="AT1389" i="1" a="1"/>
  <c r="AT1389" i="1" s="1"/>
  <c r="AU1389" i="1" s="1"/>
  <c r="AS1389" i="1" a="1"/>
  <c r="AS1389" i="1" s="1"/>
  <c r="BO1389" i="1" a="1"/>
  <c r="BO1389" i="1" s="1"/>
  <c r="K1389" i="1"/>
  <c r="J1389" i="1" a="1"/>
  <c r="J1389" i="1" s="1"/>
  <c r="F1389" i="1" a="1"/>
  <c r="F1389" i="1" s="1"/>
  <c r="E1389" i="1" s="1" a="1"/>
  <c r="E1389" i="1" s="1"/>
  <c r="AZ1387" i="1"/>
  <c r="AY1387" i="1"/>
  <c r="AX1387" i="1"/>
  <c r="AW1387" i="1"/>
  <c r="AT1387" i="1" a="1"/>
  <c r="AT1387" i="1" s="1"/>
  <c r="AU1387" i="1" s="1"/>
  <c r="AS1387" i="1" a="1"/>
  <c r="AS1387" i="1" s="1"/>
  <c r="K1387" i="1" a="1"/>
  <c r="K1387" i="1" s="1"/>
  <c r="J1387" i="1" a="1"/>
  <c r="J1387" i="1" s="1"/>
  <c r="F1387" i="1" a="1"/>
  <c r="F1387" i="1" s="1"/>
  <c r="AZ1386" i="1"/>
  <c r="AY1386" i="1"/>
  <c r="AX1386" i="1"/>
  <c r="AW1386" i="1"/>
  <c r="AT1386" i="1" a="1"/>
  <c r="AT1386" i="1" s="1"/>
  <c r="AU1386" i="1" s="1"/>
  <c r="AS1386" i="1" a="1"/>
  <c r="AS1386" i="1" s="1"/>
  <c r="K1386" i="1" a="1"/>
  <c r="K1386" i="1" s="1"/>
  <c r="J1386" i="1" a="1"/>
  <c r="J1386" i="1" s="1"/>
  <c r="F1386" i="1" a="1"/>
  <c r="F1386" i="1" s="1"/>
  <c r="AZ1385" i="1"/>
  <c r="AY1385" i="1"/>
  <c r="AX1385" i="1"/>
  <c r="AW1385" i="1"/>
  <c r="AT1385" i="1" a="1"/>
  <c r="AT1385" i="1" s="1"/>
  <c r="AU1385" i="1" s="1"/>
  <c r="AS1385" i="1" a="1"/>
  <c r="AS1385" i="1" s="1"/>
  <c r="K1385" i="1" a="1"/>
  <c r="K1385" i="1" s="1"/>
  <c r="J1385" i="1" a="1"/>
  <c r="J1385" i="1" s="1"/>
  <c r="F1385" i="1" a="1"/>
  <c r="F1385" i="1" s="1"/>
  <c r="E1385" i="1" s="1" a="1"/>
  <c r="E1385" i="1" s="1"/>
  <c r="AZ1384" i="1"/>
  <c r="AY1384" i="1"/>
  <c r="AX1384" i="1"/>
  <c r="AW1384" i="1"/>
  <c r="AT1384" i="1" a="1"/>
  <c r="AT1384" i="1" s="1"/>
  <c r="AU1384" i="1" s="1"/>
  <c r="AS1384" i="1" a="1"/>
  <c r="AS1384" i="1" s="1"/>
  <c r="K1384" i="1" a="1"/>
  <c r="K1384" i="1" s="1"/>
  <c r="J1384" i="1" a="1"/>
  <c r="J1384" i="1" s="1"/>
  <c r="F1384" i="1" a="1"/>
  <c r="F1384" i="1" s="1"/>
  <c r="AZ1383" i="1"/>
  <c r="AY1383" i="1"/>
  <c r="AX1383" i="1"/>
  <c r="AW1383" i="1"/>
  <c r="AT1383" i="1" a="1"/>
  <c r="AT1383" i="1" s="1"/>
  <c r="AU1383" i="1" s="1"/>
  <c r="AS1383" i="1" a="1"/>
  <c r="AS1383" i="1" s="1"/>
  <c r="K1383" i="1" a="1"/>
  <c r="K1383" i="1" s="1"/>
  <c r="J1383" i="1" a="1"/>
  <c r="J1383" i="1" s="1"/>
  <c r="F1383" i="1" a="1"/>
  <c r="F1383" i="1" s="1"/>
  <c r="AZ1381" i="1"/>
  <c r="AY1381" i="1"/>
  <c r="AX1381" i="1"/>
  <c r="AW1381" i="1"/>
  <c r="AT1381" i="1" a="1"/>
  <c r="AT1381" i="1" s="1"/>
  <c r="AU1381" i="1" s="1"/>
  <c r="AS1381" i="1" a="1"/>
  <c r="AS1381" i="1" s="1"/>
  <c r="K1381" i="1" a="1"/>
  <c r="K1381" i="1" s="1"/>
  <c r="J1381" i="1" a="1"/>
  <c r="J1381" i="1" s="1"/>
  <c r="F1381" i="1" a="1"/>
  <c r="F1381" i="1" s="1"/>
  <c r="AZ1380" i="1"/>
  <c r="AY1380" i="1"/>
  <c r="AX1380" i="1"/>
  <c r="AW1380" i="1"/>
  <c r="AT1380" i="1" a="1"/>
  <c r="AT1380" i="1" s="1"/>
  <c r="AU1380" i="1" s="1"/>
  <c r="AS1380" i="1" a="1"/>
  <c r="AS1380" i="1" s="1"/>
  <c r="K1380" i="1" a="1"/>
  <c r="K1380" i="1" s="1"/>
  <c r="J1380" i="1" a="1"/>
  <c r="J1380" i="1" s="1"/>
  <c r="F1380" i="1" a="1"/>
  <c r="F1380" i="1" s="1"/>
  <c r="AZ1379" i="1"/>
  <c r="AY1379" i="1"/>
  <c r="AX1379" i="1"/>
  <c r="AW1379" i="1"/>
  <c r="AT1379" i="1" a="1"/>
  <c r="AT1379" i="1" s="1"/>
  <c r="AU1379" i="1" s="1"/>
  <c r="AS1379" i="1" a="1"/>
  <c r="AS1379" i="1" s="1"/>
  <c r="K1379" i="1" a="1"/>
  <c r="K1379" i="1" s="1"/>
  <c r="J1379" i="1" a="1"/>
  <c r="J1379" i="1" s="1"/>
  <c r="F1379" i="1" a="1"/>
  <c r="F1379" i="1" s="1"/>
  <c r="AZ1378" i="1"/>
  <c r="AY1378" i="1"/>
  <c r="AX1378" i="1"/>
  <c r="AW1378" i="1"/>
  <c r="AT1378" i="1" a="1"/>
  <c r="AT1378" i="1" s="1"/>
  <c r="AU1378" i="1" s="1"/>
  <c r="AS1378" i="1" a="1"/>
  <c r="AS1378" i="1" s="1"/>
  <c r="K1378" i="1" a="1"/>
  <c r="K1378" i="1" s="1"/>
  <c r="J1378" i="1" a="1"/>
  <c r="J1378" i="1" s="1"/>
  <c r="F1378" i="1" a="1"/>
  <c r="F1378" i="1" s="1"/>
  <c r="AZ1377" i="1"/>
  <c r="AY1377" i="1"/>
  <c r="AX1377" i="1"/>
  <c r="AW1377" i="1"/>
  <c r="AT1377" i="1" a="1"/>
  <c r="AT1377" i="1" s="1"/>
  <c r="AU1377" i="1" s="1"/>
  <c r="AS1377" i="1" a="1"/>
  <c r="AS1377" i="1" s="1"/>
  <c r="K1377" i="1" a="1"/>
  <c r="K1377" i="1" s="1"/>
  <c r="J1377" i="1" a="1"/>
  <c r="J1377" i="1" s="1"/>
  <c r="F1377" i="1" a="1"/>
  <c r="F1377" i="1" s="1"/>
  <c r="BO1375" i="1" a="1"/>
  <c r="BO1375" i="1" s="1"/>
  <c r="AZ1375" i="1"/>
  <c r="AY1375" i="1"/>
  <c r="AX1375" i="1"/>
  <c r="AW1375" i="1"/>
  <c r="AT1375" i="1" a="1"/>
  <c r="AT1375" i="1" s="1"/>
  <c r="AU1375" i="1" s="1"/>
  <c r="AS1375" i="1" a="1"/>
  <c r="AS1375" i="1" s="1"/>
  <c r="K1375" i="1"/>
  <c r="J1375" i="1" a="1"/>
  <c r="J1375" i="1" s="1"/>
  <c r="F1375" i="1" a="1"/>
  <c r="F1375" i="1" s="1"/>
  <c r="BO1374" i="1" a="1"/>
  <c r="BO1374" i="1" s="1"/>
  <c r="AZ1374" i="1"/>
  <c r="AY1374" i="1"/>
  <c r="AX1374" i="1"/>
  <c r="AW1374" i="1"/>
  <c r="AT1374" i="1" a="1"/>
  <c r="AT1374" i="1" s="1"/>
  <c r="AU1374" i="1" s="1"/>
  <c r="AS1374" i="1" a="1"/>
  <c r="AS1374" i="1" s="1"/>
  <c r="K1374" i="1"/>
  <c r="J1374" i="1" a="1"/>
  <c r="J1374" i="1" s="1"/>
  <c r="F1374" i="1" a="1"/>
  <c r="F1374" i="1" s="1"/>
  <c r="BO1373" i="1" a="1"/>
  <c r="BO1373" i="1" s="1"/>
  <c r="AZ1373" i="1"/>
  <c r="AY1373" i="1"/>
  <c r="AX1373" i="1"/>
  <c r="AW1373" i="1"/>
  <c r="AT1373" i="1" a="1"/>
  <c r="AT1373" i="1" s="1"/>
  <c r="AU1373" i="1" s="1"/>
  <c r="AS1373" i="1" a="1"/>
  <c r="AS1373" i="1" s="1"/>
  <c r="K1373" i="1"/>
  <c r="J1373" i="1" a="1"/>
  <c r="J1373" i="1" s="1"/>
  <c r="F1373" i="1" a="1"/>
  <c r="F1373" i="1" s="1"/>
  <c r="BO1372" i="1" a="1"/>
  <c r="BO1372" i="1" s="1"/>
  <c r="AZ1372" i="1"/>
  <c r="AY1372" i="1"/>
  <c r="AX1372" i="1"/>
  <c r="AW1372" i="1"/>
  <c r="AT1372" i="1" a="1"/>
  <c r="AT1372" i="1" s="1"/>
  <c r="AU1372" i="1" s="1"/>
  <c r="AS1372" i="1" a="1"/>
  <c r="AS1372" i="1" s="1"/>
  <c r="K1372" i="1"/>
  <c r="J1372" i="1" a="1"/>
  <c r="J1372" i="1" s="1"/>
  <c r="F1372" i="1" a="1"/>
  <c r="F1372" i="1" s="1"/>
  <c r="BO1371" i="1" a="1"/>
  <c r="BO1371" i="1" s="1"/>
  <c r="AZ1371" i="1"/>
  <c r="AY1371" i="1"/>
  <c r="AX1371" i="1"/>
  <c r="AW1371" i="1"/>
  <c r="AT1371" i="1" a="1"/>
  <c r="AT1371" i="1" s="1"/>
  <c r="AU1371" i="1" s="1"/>
  <c r="AS1371" i="1" a="1"/>
  <c r="AS1371" i="1" s="1"/>
  <c r="K1371" i="1"/>
  <c r="J1371" i="1" a="1"/>
  <c r="J1371" i="1" s="1"/>
  <c r="F1371" i="1" a="1"/>
  <c r="F1371" i="1" s="1"/>
  <c r="AW1454" i="1"/>
  <c r="BM1454" i="1" s="1" a="1"/>
  <c r="BM1454" i="1" s="1"/>
  <c r="BJ1454" i="1" s="1" a="1"/>
  <c r="BJ1454" i="1" s="1"/>
  <c r="AT1454" i="1" a="1"/>
  <c r="AT1454" i="1" s="1"/>
  <c r="AU1454" i="1" s="1"/>
  <c r="AS1454" i="1" a="1"/>
  <c r="AS1454" i="1" s="1"/>
  <c r="K1454" i="1" a="1"/>
  <c r="K1454" i="1" s="1"/>
  <c r="J1454" i="1" a="1"/>
  <c r="J1454" i="1" s="1"/>
  <c r="F1454" i="1" a="1"/>
  <c r="F1454" i="1" s="1"/>
  <c r="AW2708" i="1"/>
  <c r="BM2708" i="1" s="1" a="1"/>
  <c r="BM2708" i="1" s="1"/>
  <c r="F2708" i="1" a="1"/>
  <c r="F2708" i="1" s="1"/>
  <c r="AW2707" i="1"/>
  <c r="BK2707" i="1" s="1" a="1"/>
  <c r="BK2707" i="1" s="1"/>
  <c r="F2707" i="1" a="1"/>
  <c r="F2707" i="1" s="1"/>
  <c r="AW2706" i="1"/>
  <c r="BM2706" i="1" s="1" a="1"/>
  <c r="BM2706" i="1" s="1"/>
  <c r="F2706" i="1" a="1"/>
  <c r="F2706" i="1" s="1"/>
  <c r="AW2705" i="1"/>
  <c r="BM2705" i="1" s="1" a="1"/>
  <c r="BM2705" i="1" s="1"/>
  <c r="F2705" i="1" a="1"/>
  <c r="F2705" i="1" s="1"/>
  <c r="E2705" i="1" s="1" a="1"/>
  <c r="E2705" i="1" s="1"/>
  <c r="AW2704" i="1"/>
  <c r="BN2704" i="1" s="1" a="1"/>
  <c r="BN2704" i="1" s="1"/>
  <c r="F2704" i="1" a="1"/>
  <c r="F2704" i="1" s="1"/>
  <c r="AW2702" i="1"/>
  <c r="BK2702" i="1" s="1" a="1"/>
  <c r="BK2702" i="1" s="1"/>
  <c r="F2702" i="1" a="1"/>
  <c r="F2702" i="1" s="1"/>
  <c r="AW2701" i="1"/>
  <c r="BK2701" i="1" s="1" a="1"/>
  <c r="BK2701" i="1" s="1"/>
  <c r="F2701" i="1" a="1"/>
  <c r="F2701" i="1" s="1"/>
  <c r="E2701" i="1" s="1" a="1"/>
  <c r="E2701" i="1" s="1"/>
  <c r="AW2700" i="1"/>
  <c r="BN2700" i="1" s="1" a="1"/>
  <c r="BN2700" i="1" s="1"/>
  <c r="F2700" i="1" a="1"/>
  <c r="F2700" i="1" s="1"/>
  <c r="AW2699" i="1"/>
  <c r="BN2699" i="1" s="1" a="1"/>
  <c r="BN2699" i="1" s="1"/>
  <c r="F2699" i="1" a="1"/>
  <c r="F2699" i="1" s="1"/>
  <c r="E2699" i="1" s="1" a="1"/>
  <c r="E2699" i="1" s="1"/>
  <c r="AW2698" i="1"/>
  <c r="BI2698" i="1" s="1" a="1"/>
  <c r="BI2698" i="1" s="1"/>
  <c r="F2698" i="1" a="1"/>
  <c r="F2698" i="1" s="1"/>
  <c r="AY2654" i="1"/>
  <c r="BN2654" i="1" s="1" a="1"/>
  <c r="BN2654" i="1" s="1"/>
  <c r="AX2654" i="1"/>
  <c r="AW2654" i="1"/>
  <c r="F2654" i="1" a="1"/>
  <c r="F2654" i="1" s="1"/>
  <c r="AY2653" i="1"/>
  <c r="BK2653" i="1" s="1" a="1"/>
  <c r="BK2653" i="1" s="1"/>
  <c r="AX2653" i="1"/>
  <c r="AW2653" i="1"/>
  <c r="F2653" i="1" a="1"/>
  <c r="F2653" i="1" s="1"/>
  <c r="AY2652" i="1"/>
  <c r="BN2652" i="1" s="1" a="1"/>
  <c r="BN2652" i="1" s="1"/>
  <c r="AX2652" i="1"/>
  <c r="AW2652" i="1"/>
  <c r="F2652" i="1" a="1"/>
  <c r="F2652" i="1" s="1"/>
  <c r="AY2651" i="1"/>
  <c r="BK2651" i="1" s="1" a="1"/>
  <c r="BK2651" i="1" s="1"/>
  <c r="AX2651" i="1"/>
  <c r="AW2651" i="1"/>
  <c r="F2651" i="1" a="1"/>
  <c r="F2651" i="1" s="1"/>
  <c r="AY2650" i="1"/>
  <c r="BK2650" i="1" s="1" a="1"/>
  <c r="BK2650" i="1" s="1"/>
  <c r="AX2650" i="1"/>
  <c r="AW2650" i="1"/>
  <c r="F2650" i="1" a="1"/>
  <c r="F2650" i="1" s="1"/>
  <c r="AY2618" i="1"/>
  <c r="BN2618" i="1" s="1" a="1"/>
  <c r="BN2618" i="1" s="1"/>
  <c r="AX2618" i="1"/>
  <c r="AW2618" i="1"/>
  <c r="F2618" i="1" a="1"/>
  <c r="F2618" i="1" s="1"/>
  <c r="E2618" i="1" s="1" a="1"/>
  <c r="E2618" i="1" s="1"/>
  <c r="AY2617" i="1"/>
  <c r="BI2617" i="1" s="1" a="1"/>
  <c r="BI2617" i="1" s="1"/>
  <c r="AX2617" i="1"/>
  <c r="AW2617" i="1"/>
  <c r="F2617" i="1" a="1"/>
  <c r="F2617" i="1" s="1"/>
  <c r="E2617" i="1" s="1" a="1"/>
  <c r="E2617" i="1" s="1"/>
  <c r="AY2616" i="1"/>
  <c r="BI2616" i="1" s="1" a="1"/>
  <c r="BI2616" i="1" s="1"/>
  <c r="AX2616" i="1"/>
  <c r="AW2616" i="1"/>
  <c r="F2616" i="1" a="1"/>
  <c r="F2616" i="1" s="1"/>
  <c r="E2616" i="1" s="1" a="1"/>
  <c r="E2616" i="1" s="1"/>
  <c r="AY2615" i="1"/>
  <c r="BI2615" i="1" s="1" a="1"/>
  <c r="BI2615" i="1" s="1"/>
  <c r="AX2615" i="1"/>
  <c r="AW2615" i="1"/>
  <c r="F2615" i="1" a="1"/>
  <c r="F2615" i="1" s="1"/>
  <c r="E2615" i="1" s="1" a="1"/>
  <c r="E2615" i="1" s="1"/>
  <c r="AY2614" i="1"/>
  <c r="BI2614" i="1" s="1" a="1"/>
  <c r="BI2614" i="1" s="1"/>
  <c r="AX2614" i="1"/>
  <c r="AW2614" i="1"/>
  <c r="F2614" i="1" a="1"/>
  <c r="F2614" i="1" s="1"/>
  <c r="E2614" i="1" s="1" a="1"/>
  <c r="E2614" i="1" s="1"/>
  <c r="AY2577" i="1"/>
  <c r="BN2577" i="1" s="1" a="1"/>
  <c r="BN2577" i="1" s="1"/>
  <c r="AX2577" i="1"/>
  <c r="AW2577" i="1"/>
  <c r="F2577" i="1" a="1"/>
  <c r="F2577" i="1" s="1"/>
  <c r="E2577" i="1" s="1" a="1"/>
  <c r="E2577" i="1" s="1"/>
  <c r="AY2576" i="1"/>
  <c r="AX2576" i="1"/>
  <c r="AW2576" i="1"/>
  <c r="F2576" i="1" a="1"/>
  <c r="F2576" i="1" s="1"/>
  <c r="E2576" i="1" s="1" a="1"/>
  <c r="E2576" i="1" s="1"/>
  <c r="AY2575" i="1"/>
  <c r="BK2575" i="1" s="1" a="1"/>
  <c r="BK2575" i="1" s="1"/>
  <c r="AX2575" i="1"/>
  <c r="AW2575" i="1"/>
  <c r="F2575" i="1" a="1"/>
  <c r="F2575" i="1" s="1"/>
  <c r="E2575" i="1" s="1" a="1"/>
  <c r="E2575" i="1" s="1"/>
  <c r="AY2574" i="1"/>
  <c r="BK2574" i="1" s="1" a="1"/>
  <c r="BK2574" i="1" s="1"/>
  <c r="AX2574" i="1"/>
  <c r="AW2574" i="1"/>
  <c r="F2574" i="1" a="1"/>
  <c r="F2574" i="1" s="1"/>
  <c r="E2574" i="1" s="1" a="1"/>
  <c r="E2574" i="1" s="1"/>
  <c r="AY2573" i="1"/>
  <c r="BK2573" i="1" s="1" a="1"/>
  <c r="BK2573" i="1" s="1"/>
  <c r="AX2573" i="1"/>
  <c r="AW2573" i="1"/>
  <c r="F2573" i="1" a="1"/>
  <c r="F2573" i="1" s="1"/>
  <c r="E2573" i="1" s="1" a="1"/>
  <c r="E2573" i="1" s="1"/>
  <c r="AW1495" i="1"/>
  <c r="BK1495" i="1" s="1" a="1"/>
  <c r="BK1495" i="1" s="1"/>
  <c r="F1495" i="1" a="1"/>
  <c r="F1495" i="1" s="1"/>
  <c r="AW1494" i="1"/>
  <c r="BN1494" i="1" s="1" a="1"/>
  <c r="BN1494" i="1" s="1"/>
  <c r="F1494" i="1" a="1"/>
  <c r="F1494" i="1" s="1"/>
  <c r="AW1493" i="1"/>
  <c r="BK1493" i="1" s="1" a="1"/>
  <c r="BK1493" i="1" s="1"/>
  <c r="F1493" i="1" a="1"/>
  <c r="F1493" i="1" s="1"/>
  <c r="AW1492" i="1"/>
  <c r="BN1492" i="1" s="1" a="1"/>
  <c r="BN1492" i="1" s="1"/>
  <c r="F1492" i="1" a="1"/>
  <c r="F1492" i="1" s="1"/>
  <c r="AW1491" i="1"/>
  <c r="BN1491" i="1" s="1" a="1"/>
  <c r="BN1491" i="1" s="1"/>
  <c r="F1491" i="1" a="1"/>
  <c r="F1491" i="1" s="1"/>
  <c r="E1491" i="1" s="1" a="1"/>
  <c r="E1491" i="1" s="1"/>
  <c r="AY1489" i="1"/>
  <c r="BI1489" i="1" s="1" a="1"/>
  <c r="BI1489" i="1" s="1"/>
  <c r="AX1489" i="1"/>
  <c r="AW1489" i="1"/>
  <c r="F1489" i="1" a="1"/>
  <c r="F1489" i="1" s="1"/>
  <c r="AY1488" i="1"/>
  <c r="BK1488" i="1" s="1" a="1"/>
  <c r="BK1488" i="1" s="1"/>
  <c r="AX1488" i="1"/>
  <c r="AW1488" i="1"/>
  <c r="F1488" i="1" a="1"/>
  <c r="F1488" i="1" s="1"/>
  <c r="AY1487" i="1"/>
  <c r="BN1487" i="1" s="1" a="1"/>
  <c r="BN1487" i="1" s="1"/>
  <c r="AX1487" i="1"/>
  <c r="AW1487" i="1"/>
  <c r="F1487" i="1" a="1"/>
  <c r="F1487" i="1" s="1"/>
  <c r="AY1486" i="1"/>
  <c r="BK1486" i="1" s="1" a="1"/>
  <c r="BK1486" i="1" s="1"/>
  <c r="AX1486" i="1"/>
  <c r="AW1486" i="1"/>
  <c r="F1486" i="1" a="1"/>
  <c r="F1486" i="1" s="1"/>
  <c r="AY1485" i="1"/>
  <c r="BI1485" i="1" s="1" a="1"/>
  <c r="BI1485" i="1" s="1"/>
  <c r="AX1485" i="1"/>
  <c r="AW1485" i="1"/>
  <c r="F1485" i="1" a="1"/>
  <c r="F1485" i="1" s="1"/>
  <c r="AY1483" i="1"/>
  <c r="BI1483" i="1" s="1" a="1"/>
  <c r="BI1483" i="1" s="1"/>
  <c r="AX1483" i="1"/>
  <c r="AW1483" i="1"/>
  <c r="F1483" i="1" a="1"/>
  <c r="F1483" i="1" s="1"/>
  <c r="AY1482" i="1"/>
  <c r="BK1482" i="1" s="1" a="1"/>
  <c r="BK1482" i="1" s="1"/>
  <c r="AX1482" i="1"/>
  <c r="AW1482" i="1"/>
  <c r="F1482" i="1" a="1"/>
  <c r="F1482" i="1" s="1"/>
  <c r="AY1481" i="1"/>
  <c r="BK1481" i="1" s="1" a="1"/>
  <c r="BK1481" i="1" s="1"/>
  <c r="AX1481" i="1"/>
  <c r="AW1481" i="1"/>
  <c r="F1481" i="1" a="1"/>
  <c r="F1481" i="1" s="1"/>
  <c r="AY1480" i="1"/>
  <c r="BK1480" i="1" s="1" a="1"/>
  <c r="BK1480" i="1" s="1"/>
  <c r="AX1480" i="1"/>
  <c r="AW1480" i="1"/>
  <c r="F1480" i="1" a="1"/>
  <c r="F1480" i="1" s="1"/>
  <c r="AY1479" i="1"/>
  <c r="BK1479" i="1" s="1" a="1"/>
  <c r="BK1479" i="1" s="1"/>
  <c r="AX1479" i="1"/>
  <c r="AW1479" i="1"/>
  <c r="F1479" i="1" a="1"/>
  <c r="F1479" i="1" s="1"/>
  <c r="AY1477" i="1"/>
  <c r="BI1477" i="1" s="1" a="1"/>
  <c r="BI1477" i="1" s="1"/>
  <c r="AX1477" i="1"/>
  <c r="AW1477" i="1"/>
  <c r="F1477" i="1" a="1"/>
  <c r="F1477" i="1" s="1"/>
  <c r="E1477" i="1" s="1" a="1"/>
  <c r="E1477" i="1" s="1"/>
  <c r="AY1476" i="1"/>
  <c r="BN1476" i="1" s="1" a="1"/>
  <c r="BN1476" i="1" s="1"/>
  <c r="AX1476" i="1"/>
  <c r="AW1476" i="1"/>
  <c r="F1476" i="1" a="1"/>
  <c r="F1476" i="1" s="1"/>
  <c r="E1476" i="1" s="1" a="1"/>
  <c r="E1476" i="1" s="1"/>
  <c r="AY1475" i="1"/>
  <c r="BI1475" i="1" s="1" a="1"/>
  <c r="BI1475" i="1" s="1"/>
  <c r="AX1475" i="1"/>
  <c r="AW1475" i="1"/>
  <c r="F1475" i="1" a="1"/>
  <c r="F1475" i="1" s="1"/>
  <c r="E1475" i="1" s="1" a="1"/>
  <c r="E1475" i="1" s="1"/>
  <c r="AY1474" i="1"/>
  <c r="BK1474" i="1" s="1" a="1"/>
  <c r="BK1474" i="1" s="1"/>
  <c r="AX1474" i="1"/>
  <c r="AW1474" i="1"/>
  <c r="F1474" i="1" a="1"/>
  <c r="F1474" i="1" s="1"/>
  <c r="E1474" i="1" s="1" a="1"/>
  <c r="E1474" i="1" s="1"/>
  <c r="AY1473" i="1"/>
  <c r="BI1473" i="1" s="1" a="1"/>
  <c r="BI1473" i="1" s="1"/>
  <c r="AX1473" i="1"/>
  <c r="AW1473" i="1"/>
  <c r="F1473" i="1" a="1"/>
  <c r="F1473" i="1" s="1"/>
  <c r="E1473" i="1" s="1" a="1"/>
  <c r="E1473" i="1" s="1"/>
  <c r="AY1471" i="1"/>
  <c r="BN1471" i="1" s="1" a="1"/>
  <c r="BN1471" i="1" s="1"/>
  <c r="AX1471" i="1"/>
  <c r="AW1471" i="1"/>
  <c r="F1471" i="1" a="1"/>
  <c r="F1471" i="1" s="1"/>
  <c r="AY1470" i="1"/>
  <c r="BN1470" i="1" s="1" a="1"/>
  <c r="BN1470" i="1" s="1"/>
  <c r="AX1470" i="1"/>
  <c r="AW1470" i="1"/>
  <c r="F1470" i="1" a="1"/>
  <c r="F1470" i="1" s="1"/>
  <c r="AY1469" i="1"/>
  <c r="BK1469" i="1" s="1" a="1"/>
  <c r="BK1469" i="1" s="1"/>
  <c r="AX1469" i="1"/>
  <c r="AW1469" i="1"/>
  <c r="F1469" i="1" a="1"/>
  <c r="F1469" i="1" s="1"/>
  <c r="AY1468" i="1"/>
  <c r="BN1468" i="1" s="1" a="1"/>
  <c r="BN1468" i="1" s="1"/>
  <c r="AX1468" i="1"/>
  <c r="AW1468" i="1"/>
  <c r="F1468" i="1" a="1"/>
  <c r="F1468" i="1" s="1"/>
  <c r="AY1467" i="1"/>
  <c r="BK1467" i="1" s="1" a="1"/>
  <c r="BK1467" i="1" s="1"/>
  <c r="AX1467" i="1"/>
  <c r="AW1467" i="1"/>
  <c r="F1467" i="1" a="1"/>
  <c r="F1467" i="1" s="1"/>
  <c r="AY1465" i="1"/>
  <c r="BI1465" i="1" s="1" a="1"/>
  <c r="BI1465" i="1" s="1"/>
  <c r="AX1465" i="1"/>
  <c r="AW1465" i="1"/>
  <c r="F1465" i="1" a="1"/>
  <c r="F1465" i="1" s="1"/>
  <c r="AY1464" i="1"/>
  <c r="BK1464" i="1" s="1" a="1"/>
  <c r="BK1464" i="1" s="1"/>
  <c r="AX1464" i="1"/>
  <c r="AW1464" i="1"/>
  <c r="F1464" i="1" a="1"/>
  <c r="F1464" i="1" s="1"/>
  <c r="AY1463" i="1"/>
  <c r="BK1463" i="1" s="1" a="1"/>
  <c r="BK1463" i="1" s="1"/>
  <c r="AX1463" i="1"/>
  <c r="AW1463" i="1"/>
  <c r="F1463" i="1" a="1"/>
  <c r="F1463" i="1" s="1"/>
  <c r="AY1462" i="1"/>
  <c r="BK1462" i="1" s="1" a="1"/>
  <c r="BK1462" i="1" s="1"/>
  <c r="AX1462" i="1"/>
  <c r="AW1462" i="1"/>
  <c r="F1462" i="1" a="1"/>
  <c r="F1462" i="1" s="1"/>
  <c r="AY1461" i="1"/>
  <c r="BK1461" i="1" s="1" a="1"/>
  <c r="BK1461" i="1" s="1"/>
  <c r="AX1461" i="1"/>
  <c r="AW1461" i="1"/>
  <c r="F1461" i="1" a="1"/>
  <c r="F1461" i="1" s="1"/>
  <c r="AW2703" i="1"/>
  <c r="BN2703" i="1" s="1" a="1"/>
  <c r="BN2703" i="1" s="1"/>
  <c r="F2703" i="1" a="1"/>
  <c r="F2703" i="1" s="1"/>
  <c r="BN2749" i="1" a="1"/>
  <c r="BN2749" i="1" s="1"/>
  <c r="BM2749" i="1" a="1"/>
  <c r="BM2749" i="1" s="1"/>
  <c r="BJ2749" i="1" s="1" a="1"/>
  <c r="BJ2749" i="1" s="1"/>
  <c r="BI2749" i="1" a="1"/>
  <c r="BI2749" i="1" s="1"/>
  <c r="F2749" i="1" a="1"/>
  <c r="F2749" i="1" s="1"/>
  <c r="E2749" i="1" s="1" a="1"/>
  <c r="E2749" i="1" s="1"/>
  <c r="BN2748" i="1" a="1"/>
  <c r="BN2748" i="1" s="1"/>
  <c r="BM2748" i="1" a="1"/>
  <c r="BM2748" i="1" s="1"/>
  <c r="BJ2748" i="1" s="1" a="1"/>
  <c r="BJ2748" i="1" s="1"/>
  <c r="BI2748" i="1" a="1"/>
  <c r="BI2748" i="1" s="1"/>
  <c r="F2748" i="1" a="1"/>
  <c r="F2748" i="1" s="1"/>
  <c r="E2748" i="1" s="1" a="1"/>
  <c r="E2748" i="1" s="1"/>
  <c r="BN2747" i="1" a="1"/>
  <c r="BN2747" i="1" s="1"/>
  <c r="BM2747" i="1" a="1"/>
  <c r="BM2747" i="1" s="1"/>
  <c r="BJ2747" i="1" s="1" a="1"/>
  <c r="BJ2747" i="1" s="1"/>
  <c r="BI2747" i="1" a="1"/>
  <c r="BI2747" i="1" s="1"/>
  <c r="F2747" i="1" a="1"/>
  <c r="F2747" i="1" s="1"/>
  <c r="E2747" i="1" s="1" a="1"/>
  <c r="E2747" i="1" s="1"/>
  <c r="BN2746" i="1" a="1"/>
  <c r="BN2746" i="1" s="1"/>
  <c r="BM2746" i="1" a="1"/>
  <c r="BM2746" i="1" s="1"/>
  <c r="BJ2746" i="1" s="1" a="1"/>
  <c r="BJ2746" i="1" s="1"/>
  <c r="BI2746" i="1" a="1"/>
  <c r="BI2746" i="1" s="1"/>
  <c r="F2746" i="1" a="1"/>
  <c r="F2746" i="1" s="1"/>
  <c r="E2746" i="1" s="1" a="1"/>
  <c r="E2746" i="1" s="1"/>
  <c r="BN2745" i="1" a="1"/>
  <c r="BN2745" i="1" s="1"/>
  <c r="BM2745" i="1" a="1"/>
  <c r="BM2745" i="1" s="1"/>
  <c r="BJ2745" i="1" s="1" a="1"/>
  <c r="BJ2745" i="1" s="1"/>
  <c r="BI2745" i="1" a="1"/>
  <c r="BI2745" i="1" s="1"/>
  <c r="F2745" i="1" a="1"/>
  <c r="F2745" i="1" s="1"/>
  <c r="E2745" i="1" s="1" a="1"/>
  <c r="E2745" i="1" s="1"/>
  <c r="BN2744" i="1" a="1"/>
  <c r="BN2744" i="1" s="1"/>
  <c r="BM2744" i="1" a="1"/>
  <c r="BM2744" i="1" s="1"/>
  <c r="BJ2744" i="1" s="1" a="1"/>
  <c r="BJ2744" i="1" s="1"/>
  <c r="BI2744" i="1" a="1"/>
  <c r="BI2744" i="1" s="1"/>
  <c r="F2744" i="1" a="1"/>
  <c r="F2744" i="1" s="1"/>
  <c r="E2744" i="1" s="1" a="1"/>
  <c r="E2744" i="1" s="1"/>
  <c r="BN2743" i="1" a="1"/>
  <c r="BN2743" i="1" s="1"/>
  <c r="BM2743" i="1" a="1"/>
  <c r="BM2743" i="1" s="1"/>
  <c r="BJ2743" i="1" s="1" a="1"/>
  <c r="BJ2743" i="1" s="1"/>
  <c r="BI2743" i="1" a="1"/>
  <c r="BI2743" i="1" s="1"/>
  <c r="F2743" i="1" a="1"/>
  <c r="F2743" i="1" s="1"/>
  <c r="E2743" i="1" s="1" a="1"/>
  <c r="E2743" i="1" s="1"/>
  <c r="BN2742" i="1" a="1"/>
  <c r="BN2742" i="1" s="1"/>
  <c r="BM2742" i="1" a="1"/>
  <c r="BM2742" i="1" s="1"/>
  <c r="BJ2742" i="1" s="1" a="1"/>
  <c r="BJ2742" i="1" s="1"/>
  <c r="BI2742" i="1" a="1"/>
  <c r="BI2742" i="1" s="1"/>
  <c r="F2742" i="1" a="1"/>
  <c r="F2742" i="1" s="1"/>
  <c r="E2742" i="1" s="1" a="1"/>
  <c r="E2742" i="1" s="1"/>
  <c r="BN2741" i="1" a="1"/>
  <c r="BN2741" i="1" s="1"/>
  <c r="BM2741" i="1" a="1"/>
  <c r="BM2741" i="1" s="1"/>
  <c r="BJ2741" i="1" s="1" a="1"/>
  <c r="BJ2741" i="1" s="1"/>
  <c r="BI2741" i="1" a="1"/>
  <c r="BI2741" i="1" s="1"/>
  <c r="F2741" i="1" a="1"/>
  <c r="F2741" i="1" s="1"/>
  <c r="E2741" i="1" s="1" a="1"/>
  <c r="E2741" i="1" s="1"/>
  <c r="BN2740" i="1" a="1"/>
  <c r="BN2740" i="1" s="1"/>
  <c r="BM2740" i="1" a="1"/>
  <c r="BM2740" i="1" s="1"/>
  <c r="BJ2740" i="1" s="1" a="1"/>
  <c r="BJ2740" i="1" s="1"/>
  <c r="BI2740" i="1" a="1"/>
  <c r="BI2740" i="1" s="1"/>
  <c r="F2740" i="1" a="1"/>
  <c r="F2740" i="1" s="1"/>
  <c r="BN2739" i="1" a="1"/>
  <c r="BN2739" i="1" s="1"/>
  <c r="BM2739" i="1" a="1"/>
  <c r="BM2739" i="1" s="1"/>
  <c r="BJ2739" i="1" s="1" a="1"/>
  <c r="BJ2739" i="1" s="1"/>
  <c r="BI2739" i="1" a="1"/>
  <c r="BI2739" i="1" s="1"/>
  <c r="F2739" i="1" a="1"/>
  <c r="F2739" i="1" s="1"/>
  <c r="AZ502" i="1"/>
  <c r="AY502" i="1"/>
  <c r="AX502" i="1"/>
  <c r="AW502" i="1"/>
  <c r="AU502" i="1"/>
  <c r="AT502" i="1"/>
  <c r="AS502" i="1"/>
  <c r="K502" i="1" a="1"/>
  <c r="K502" i="1" s="1"/>
  <c r="J502" i="1" a="1"/>
  <c r="J502" i="1" s="1"/>
  <c r="F502" i="1" a="1"/>
  <c r="F502" i="1" s="1"/>
  <c r="AZ501" i="1"/>
  <c r="AY501" i="1"/>
  <c r="AX501" i="1"/>
  <c r="AW501" i="1"/>
  <c r="AU501" i="1"/>
  <c r="AT501" i="1"/>
  <c r="AS501" i="1"/>
  <c r="K501" i="1" a="1"/>
  <c r="K501" i="1" s="1"/>
  <c r="J501" i="1" a="1"/>
  <c r="J501" i="1" s="1"/>
  <c r="F501" i="1" a="1"/>
  <c r="F501" i="1" s="1"/>
  <c r="AZ500" i="1"/>
  <c r="AY500" i="1"/>
  <c r="AX500" i="1"/>
  <c r="AW500" i="1"/>
  <c r="AU500" i="1"/>
  <c r="AT500" i="1"/>
  <c r="AS500" i="1"/>
  <c r="K500" i="1" a="1"/>
  <c r="K500" i="1" s="1"/>
  <c r="J500" i="1" a="1"/>
  <c r="J500" i="1" s="1"/>
  <c r="F500" i="1" a="1"/>
  <c r="F500" i="1" s="1"/>
  <c r="AZ499" i="1"/>
  <c r="AY499" i="1"/>
  <c r="AX499" i="1"/>
  <c r="AW499" i="1"/>
  <c r="AU499" i="1"/>
  <c r="AT499" i="1"/>
  <c r="AS499" i="1"/>
  <c r="K499" i="1" a="1"/>
  <c r="K499" i="1" s="1"/>
  <c r="J499" i="1" a="1"/>
  <c r="J499" i="1" s="1"/>
  <c r="F499" i="1" a="1"/>
  <c r="F499" i="1" s="1"/>
  <c r="AZ498" i="1"/>
  <c r="AY498" i="1"/>
  <c r="AX498" i="1"/>
  <c r="AW498" i="1"/>
  <c r="AU498" i="1"/>
  <c r="AT498" i="1"/>
  <c r="AS498" i="1"/>
  <c r="K498" i="1" a="1"/>
  <c r="K498" i="1" s="1"/>
  <c r="J498" i="1" a="1"/>
  <c r="J498" i="1" s="1"/>
  <c r="F498" i="1" a="1"/>
  <c r="F498" i="1" s="1"/>
  <c r="AZ497" i="1"/>
  <c r="AY497" i="1"/>
  <c r="AX497" i="1"/>
  <c r="AW497" i="1"/>
  <c r="AU497" i="1"/>
  <c r="AT497" i="1"/>
  <c r="AS497" i="1"/>
  <c r="K497" i="1" a="1"/>
  <c r="K497" i="1" s="1"/>
  <c r="J497" i="1" a="1"/>
  <c r="J497" i="1" s="1"/>
  <c r="F497" i="1" a="1"/>
  <c r="F497" i="1" s="1"/>
  <c r="AZ496" i="1"/>
  <c r="AY496" i="1"/>
  <c r="AX496" i="1"/>
  <c r="AW496" i="1"/>
  <c r="AU496" i="1"/>
  <c r="AT496" i="1"/>
  <c r="AS496" i="1"/>
  <c r="K496" i="1" a="1"/>
  <c r="K496" i="1" s="1"/>
  <c r="J496" i="1" a="1"/>
  <c r="J496" i="1" s="1"/>
  <c r="F496" i="1" a="1"/>
  <c r="F496" i="1" s="1"/>
  <c r="AZ495" i="1"/>
  <c r="AY495" i="1"/>
  <c r="AX495" i="1"/>
  <c r="AW495" i="1"/>
  <c r="AU495" i="1"/>
  <c r="AT495" i="1"/>
  <c r="AS495" i="1"/>
  <c r="K495" i="1" a="1"/>
  <c r="K495" i="1" s="1"/>
  <c r="J495" i="1" a="1"/>
  <c r="J495" i="1" s="1"/>
  <c r="F495" i="1" a="1"/>
  <c r="F495" i="1" s="1"/>
  <c r="AZ494" i="1"/>
  <c r="AY494" i="1"/>
  <c r="AX494" i="1"/>
  <c r="AW494" i="1"/>
  <c r="AU494" i="1"/>
  <c r="AT494" i="1"/>
  <c r="AS494" i="1"/>
  <c r="K494" i="1" a="1"/>
  <c r="K494" i="1" s="1"/>
  <c r="J494" i="1" a="1"/>
  <c r="J494" i="1" s="1"/>
  <c r="F494" i="1" a="1"/>
  <c r="F494" i="1" s="1"/>
  <c r="AZ493" i="1"/>
  <c r="AY493" i="1"/>
  <c r="AX493" i="1"/>
  <c r="AW493" i="1"/>
  <c r="AU493" i="1"/>
  <c r="AT493" i="1"/>
  <c r="AS493" i="1"/>
  <c r="K493" i="1" a="1"/>
  <c r="K493" i="1" s="1"/>
  <c r="J493" i="1" a="1"/>
  <c r="J493" i="1" s="1"/>
  <c r="F493" i="1" a="1"/>
  <c r="F493" i="1" s="1"/>
  <c r="AZ491" i="1"/>
  <c r="AY491" i="1"/>
  <c r="AX491" i="1"/>
  <c r="AW491" i="1"/>
  <c r="AU491" i="1"/>
  <c r="AS491" i="1"/>
  <c r="K491" i="1" a="1"/>
  <c r="K491" i="1" s="1"/>
  <c r="J491" i="1" a="1"/>
  <c r="J491" i="1" s="1"/>
  <c r="F491" i="1" a="1"/>
  <c r="F491" i="1" s="1"/>
  <c r="AZ490" i="1"/>
  <c r="AY490" i="1"/>
  <c r="AX490" i="1"/>
  <c r="AW490" i="1"/>
  <c r="AU490" i="1"/>
  <c r="AS490" i="1"/>
  <c r="K490" i="1" a="1"/>
  <c r="K490" i="1" s="1"/>
  <c r="J490" i="1" a="1"/>
  <c r="J490" i="1" s="1"/>
  <c r="F490" i="1" a="1"/>
  <c r="F490" i="1" s="1"/>
  <c r="AZ489" i="1"/>
  <c r="AY489" i="1"/>
  <c r="AX489" i="1"/>
  <c r="AW489" i="1"/>
  <c r="AU489" i="1"/>
  <c r="AS489" i="1"/>
  <c r="K489" i="1" a="1"/>
  <c r="K489" i="1" s="1"/>
  <c r="J489" i="1" a="1"/>
  <c r="J489" i="1" s="1"/>
  <c r="F489" i="1" a="1"/>
  <c r="F489" i="1" s="1"/>
  <c r="AZ488" i="1"/>
  <c r="AY488" i="1"/>
  <c r="AX488" i="1"/>
  <c r="AW488" i="1"/>
  <c r="AU488" i="1"/>
  <c r="AS488" i="1"/>
  <c r="K488" i="1" a="1"/>
  <c r="K488" i="1" s="1"/>
  <c r="J488" i="1" a="1"/>
  <c r="J488" i="1" s="1"/>
  <c r="F488" i="1" a="1"/>
  <c r="F488" i="1" s="1"/>
  <c r="AZ487" i="1"/>
  <c r="AY487" i="1"/>
  <c r="AX487" i="1"/>
  <c r="AW487" i="1"/>
  <c r="AU487" i="1"/>
  <c r="AS487" i="1"/>
  <c r="K487" i="1" a="1"/>
  <c r="K487" i="1" s="1"/>
  <c r="J487" i="1" a="1"/>
  <c r="J487" i="1" s="1"/>
  <c r="F487" i="1" a="1"/>
  <c r="F487" i="1" s="1"/>
  <c r="AZ486" i="1"/>
  <c r="AY486" i="1"/>
  <c r="AX486" i="1"/>
  <c r="AW486" i="1"/>
  <c r="AU486" i="1"/>
  <c r="AS486" i="1"/>
  <c r="K486" i="1" a="1"/>
  <c r="K486" i="1" s="1"/>
  <c r="J486" i="1" a="1"/>
  <c r="J486" i="1" s="1"/>
  <c r="F486" i="1" a="1"/>
  <c r="F486" i="1" s="1"/>
  <c r="AZ485" i="1"/>
  <c r="AY485" i="1"/>
  <c r="AX485" i="1"/>
  <c r="AW485" i="1"/>
  <c r="AU485" i="1"/>
  <c r="AS485" i="1"/>
  <c r="K485" i="1" a="1"/>
  <c r="K485" i="1" s="1"/>
  <c r="J485" i="1" a="1"/>
  <c r="J485" i="1" s="1"/>
  <c r="F485" i="1" a="1"/>
  <c r="F485" i="1" s="1"/>
  <c r="AZ484" i="1"/>
  <c r="AY484" i="1"/>
  <c r="AX484" i="1"/>
  <c r="AW484" i="1"/>
  <c r="AU484" i="1"/>
  <c r="AS484" i="1"/>
  <c r="K484" i="1" a="1"/>
  <c r="K484" i="1" s="1"/>
  <c r="J484" i="1" a="1"/>
  <c r="J484" i="1" s="1"/>
  <c r="F484" i="1" a="1"/>
  <c r="F484" i="1" s="1"/>
  <c r="AZ483" i="1"/>
  <c r="AY483" i="1"/>
  <c r="AX483" i="1"/>
  <c r="AW483" i="1"/>
  <c r="AU483" i="1"/>
  <c r="AS483" i="1"/>
  <c r="K483" i="1" a="1"/>
  <c r="K483" i="1" s="1"/>
  <c r="J483" i="1" a="1"/>
  <c r="J483" i="1" s="1"/>
  <c r="F483" i="1" a="1"/>
  <c r="F483" i="1" s="1"/>
  <c r="AZ482" i="1"/>
  <c r="AY482" i="1"/>
  <c r="AX482" i="1"/>
  <c r="AW482" i="1"/>
  <c r="AU482" i="1"/>
  <c r="AS482" i="1"/>
  <c r="K482" i="1" a="1"/>
  <c r="K482" i="1" s="1"/>
  <c r="J482" i="1" a="1"/>
  <c r="J482" i="1" s="1"/>
  <c r="F482" i="1" a="1"/>
  <c r="F482" i="1" s="1"/>
  <c r="AZ480" i="1"/>
  <c r="AY480" i="1"/>
  <c r="AX480" i="1"/>
  <c r="AW480" i="1"/>
  <c r="AU480" i="1"/>
  <c r="AT480" i="1"/>
  <c r="AS480" i="1"/>
  <c r="K480" i="1" a="1"/>
  <c r="K480" i="1" s="1"/>
  <c r="J480" i="1" a="1"/>
  <c r="J480" i="1" s="1"/>
  <c r="F480" i="1" a="1"/>
  <c r="F480" i="1" s="1"/>
  <c r="AZ479" i="1"/>
  <c r="AY479" i="1"/>
  <c r="AX479" i="1"/>
  <c r="AW479" i="1"/>
  <c r="AU479" i="1"/>
  <c r="AT479" i="1"/>
  <c r="AS479" i="1"/>
  <c r="K479" i="1" a="1"/>
  <c r="K479" i="1" s="1"/>
  <c r="J479" i="1" a="1"/>
  <c r="J479" i="1" s="1"/>
  <c r="F479" i="1" a="1"/>
  <c r="F479" i="1" s="1"/>
  <c r="E479" i="1" s="1" a="1"/>
  <c r="E479" i="1" s="1"/>
  <c r="AZ478" i="1"/>
  <c r="AY478" i="1"/>
  <c r="AX478" i="1"/>
  <c r="AW478" i="1"/>
  <c r="AU478" i="1"/>
  <c r="AT478" i="1"/>
  <c r="AS478" i="1"/>
  <c r="K478" i="1" a="1"/>
  <c r="K478" i="1" s="1"/>
  <c r="J478" i="1" a="1"/>
  <c r="J478" i="1" s="1"/>
  <c r="F478" i="1" a="1"/>
  <c r="F478" i="1" s="1"/>
  <c r="AZ477" i="1"/>
  <c r="AY477" i="1"/>
  <c r="AX477" i="1"/>
  <c r="AW477" i="1"/>
  <c r="AU477" i="1"/>
  <c r="AT477" i="1"/>
  <c r="AS477" i="1"/>
  <c r="K477" i="1" a="1"/>
  <c r="K477" i="1" s="1"/>
  <c r="J477" i="1" a="1"/>
  <c r="J477" i="1" s="1"/>
  <c r="F477" i="1" a="1"/>
  <c r="F477" i="1" s="1"/>
  <c r="AZ476" i="1"/>
  <c r="AY476" i="1"/>
  <c r="AX476" i="1"/>
  <c r="AW476" i="1"/>
  <c r="AU476" i="1"/>
  <c r="AT476" i="1"/>
  <c r="AS476" i="1"/>
  <c r="K476" i="1" a="1"/>
  <c r="K476" i="1" s="1"/>
  <c r="J476" i="1" a="1"/>
  <c r="J476" i="1" s="1"/>
  <c r="F476" i="1" a="1"/>
  <c r="F476" i="1" s="1"/>
  <c r="AZ475" i="1"/>
  <c r="AY475" i="1"/>
  <c r="AX475" i="1"/>
  <c r="AW475" i="1"/>
  <c r="AU475" i="1"/>
  <c r="AT475" i="1"/>
  <c r="AS475" i="1"/>
  <c r="K475" i="1" a="1"/>
  <c r="K475" i="1" s="1"/>
  <c r="J475" i="1" a="1"/>
  <c r="J475" i="1" s="1"/>
  <c r="F475" i="1" a="1"/>
  <c r="F475" i="1" s="1"/>
  <c r="AZ474" i="1"/>
  <c r="AY474" i="1"/>
  <c r="AX474" i="1"/>
  <c r="AW474" i="1"/>
  <c r="AU474" i="1"/>
  <c r="AT474" i="1"/>
  <c r="AS474" i="1"/>
  <c r="K474" i="1" a="1"/>
  <c r="K474" i="1" s="1"/>
  <c r="J474" i="1" a="1"/>
  <c r="J474" i="1" s="1"/>
  <c r="F474" i="1" a="1"/>
  <c r="F474" i="1" s="1"/>
  <c r="AZ473" i="1"/>
  <c r="AY473" i="1"/>
  <c r="AX473" i="1"/>
  <c r="AW473" i="1"/>
  <c r="AU473" i="1"/>
  <c r="AT473" i="1"/>
  <c r="AS473" i="1"/>
  <c r="K473" i="1" a="1"/>
  <c r="K473" i="1" s="1"/>
  <c r="J473" i="1" a="1"/>
  <c r="J473" i="1" s="1"/>
  <c r="F473" i="1" a="1"/>
  <c r="F473" i="1" s="1"/>
  <c r="AZ472" i="1"/>
  <c r="AY472" i="1"/>
  <c r="AX472" i="1"/>
  <c r="AW472" i="1"/>
  <c r="AU472" i="1"/>
  <c r="AT472" i="1"/>
  <c r="AS472" i="1"/>
  <c r="K472" i="1" a="1"/>
  <c r="K472" i="1" s="1"/>
  <c r="J472" i="1" a="1"/>
  <c r="J472" i="1" s="1"/>
  <c r="F472" i="1" a="1"/>
  <c r="F472" i="1" s="1"/>
  <c r="E472" i="1" s="1" a="1"/>
  <c r="E472" i="1" s="1"/>
  <c r="AZ471" i="1"/>
  <c r="AY471" i="1"/>
  <c r="AX471" i="1"/>
  <c r="AW471" i="1"/>
  <c r="AU471" i="1"/>
  <c r="AT471" i="1"/>
  <c r="AS471" i="1"/>
  <c r="K471" i="1" a="1"/>
  <c r="K471" i="1" s="1"/>
  <c r="J471" i="1" a="1"/>
  <c r="J471" i="1" s="1"/>
  <c r="F471" i="1" a="1"/>
  <c r="F471" i="1" s="1"/>
  <c r="E471" i="1" s="1" a="1"/>
  <c r="E471" i="1" s="1"/>
  <c r="AZ469" i="1"/>
  <c r="AY469" i="1"/>
  <c r="AX469" i="1"/>
  <c r="AW469" i="1"/>
  <c r="AU469" i="1"/>
  <c r="AS469" i="1"/>
  <c r="K469" i="1" a="1"/>
  <c r="K469" i="1" s="1"/>
  <c r="J469" i="1" a="1"/>
  <c r="J469" i="1" s="1"/>
  <c r="F469" i="1" a="1"/>
  <c r="F469" i="1" s="1"/>
  <c r="AZ468" i="1"/>
  <c r="AY468" i="1"/>
  <c r="AX468" i="1"/>
  <c r="AW468" i="1"/>
  <c r="AU468" i="1"/>
  <c r="AS468" i="1"/>
  <c r="K468" i="1" a="1"/>
  <c r="K468" i="1" s="1"/>
  <c r="J468" i="1" a="1"/>
  <c r="J468" i="1" s="1"/>
  <c r="F468" i="1" a="1"/>
  <c r="F468" i="1" s="1"/>
  <c r="E468" i="1" s="1" a="1"/>
  <c r="E468" i="1" s="1"/>
  <c r="AZ467" i="1"/>
  <c r="AY467" i="1"/>
  <c r="AX467" i="1"/>
  <c r="AW467" i="1"/>
  <c r="AU467" i="1"/>
  <c r="AS467" i="1"/>
  <c r="K467" i="1" a="1"/>
  <c r="K467" i="1" s="1"/>
  <c r="J467" i="1" a="1"/>
  <c r="J467" i="1" s="1"/>
  <c r="F467" i="1" a="1"/>
  <c r="F467" i="1" s="1"/>
  <c r="AZ466" i="1"/>
  <c r="AY466" i="1"/>
  <c r="AX466" i="1"/>
  <c r="AW466" i="1"/>
  <c r="AU466" i="1"/>
  <c r="AS466" i="1"/>
  <c r="K466" i="1" a="1"/>
  <c r="K466" i="1" s="1"/>
  <c r="J466" i="1" a="1"/>
  <c r="J466" i="1" s="1"/>
  <c r="F466" i="1" a="1"/>
  <c r="F466" i="1" s="1"/>
  <c r="AZ465" i="1"/>
  <c r="AY465" i="1"/>
  <c r="AX465" i="1"/>
  <c r="AW465" i="1"/>
  <c r="AU465" i="1"/>
  <c r="AS465" i="1"/>
  <c r="K465" i="1" a="1"/>
  <c r="K465" i="1" s="1"/>
  <c r="J465" i="1" a="1"/>
  <c r="J465" i="1" s="1"/>
  <c r="F465" i="1" a="1"/>
  <c r="F465" i="1" s="1"/>
  <c r="AZ464" i="1"/>
  <c r="AY464" i="1"/>
  <c r="AX464" i="1"/>
  <c r="AW464" i="1"/>
  <c r="AU464" i="1"/>
  <c r="AS464" i="1"/>
  <c r="K464" i="1" a="1"/>
  <c r="K464" i="1" s="1"/>
  <c r="J464" i="1" a="1"/>
  <c r="J464" i="1" s="1"/>
  <c r="F464" i="1" a="1"/>
  <c r="F464" i="1" s="1"/>
  <c r="AZ463" i="1"/>
  <c r="AY463" i="1"/>
  <c r="AX463" i="1"/>
  <c r="AW463" i="1"/>
  <c r="AU463" i="1"/>
  <c r="AS463" i="1"/>
  <c r="K463" i="1" a="1"/>
  <c r="K463" i="1" s="1"/>
  <c r="J463" i="1" a="1"/>
  <c r="J463" i="1" s="1"/>
  <c r="F463" i="1" a="1"/>
  <c r="F463" i="1" s="1"/>
  <c r="AZ462" i="1"/>
  <c r="AY462" i="1"/>
  <c r="AX462" i="1"/>
  <c r="AW462" i="1"/>
  <c r="AU462" i="1"/>
  <c r="AS462" i="1"/>
  <c r="K462" i="1" a="1"/>
  <c r="K462" i="1" s="1"/>
  <c r="J462" i="1" a="1"/>
  <c r="J462" i="1" s="1"/>
  <c r="F462" i="1" a="1"/>
  <c r="F462" i="1" s="1"/>
  <c r="AZ461" i="1"/>
  <c r="AY461" i="1"/>
  <c r="AX461" i="1"/>
  <c r="AW461" i="1"/>
  <c r="AU461" i="1"/>
  <c r="AS461" i="1"/>
  <c r="K461" i="1" a="1"/>
  <c r="K461" i="1" s="1"/>
  <c r="J461" i="1" a="1"/>
  <c r="J461" i="1" s="1"/>
  <c r="F461" i="1" a="1"/>
  <c r="F461" i="1" s="1"/>
  <c r="E461" i="1" s="1" a="1"/>
  <c r="E461" i="1" s="1"/>
  <c r="AZ460" i="1"/>
  <c r="AY460" i="1"/>
  <c r="AX460" i="1"/>
  <c r="AW460" i="1"/>
  <c r="AU460" i="1"/>
  <c r="AS460" i="1"/>
  <c r="K460" i="1" a="1"/>
  <c r="K460" i="1" s="1"/>
  <c r="J460" i="1" a="1"/>
  <c r="J460" i="1" s="1"/>
  <c r="F460" i="1" a="1"/>
  <c r="F460" i="1" s="1"/>
  <c r="E460" i="1" s="1" a="1"/>
  <c r="E460" i="1" s="1"/>
  <c r="AZ458" i="1"/>
  <c r="AY458" i="1"/>
  <c r="AX458" i="1"/>
  <c r="AW458" i="1"/>
  <c r="AU458" i="1"/>
  <c r="AT458" i="1"/>
  <c r="AS458" i="1"/>
  <c r="K458" i="1" a="1"/>
  <c r="K458" i="1" s="1"/>
  <c r="J458" i="1" a="1"/>
  <c r="J458" i="1" s="1"/>
  <c r="F458" i="1" a="1"/>
  <c r="F458" i="1" s="1"/>
  <c r="AZ457" i="1"/>
  <c r="AY457" i="1"/>
  <c r="AX457" i="1"/>
  <c r="AW457" i="1"/>
  <c r="AU457" i="1"/>
  <c r="AT457" i="1"/>
  <c r="AS457" i="1"/>
  <c r="K457" i="1" a="1"/>
  <c r="K457" i="1" s="1"/>
  <c r="J457" i="1" a="1"/>
  <c r="J457" i="1" s="1"/>
  <c r="F457" i="1" a="1"/>
  <c r="F457" i="1" s="1"/>
  <c r="AZ456" i="1"/>
  <c r="AY456" i="1"/>
  <c r="AX456" i="1"/>
  <c r="AW456" i="1"/>
  <c r="AU456" i="1"/>
  <c r="AT456" i="1"/>
  <c r="AS456" i="1"/>
  <c r="K456" i="1" a="1"/>
  <c r="K456" i="1" s="1"/>
  <c r="J456" i="1" a="1"/>
  <c r="J456" i="1" s="1"/>
  <c r="F456" i="1" a="1"/>
  <c r="F456" i="1" s="1"/>
  <c r="AZ455" i="1"/>
  <c r="AY455" i="1"/>
  <c r="AX455" i="1"/>
  <c r="AW455" i="1"/>
  <c r="AU455" i="1"/>
  <c r="AT455" i="1"/>
  <c r="AS455" i="1"/>
  <c r="K455" i="1" a="1"/>
  <c r="K455" i="1" s="1"/>
  <c r="J455" i="1" a="1"/>
  <c r="J455" i="1" s="1"/>
  <c r="F455" i="1" a="1"/>
  <c r="F455" i="1" s="1"/>
  <c r="AZ454" i="1"/>
  <c r="AY454" i="1"/>
  <c r="AX454" i="1"/>
  <c r="AW454" i="1"/>
  <c r="AU454" i="1"/>
  <c r="AT454" i="1"/>
  <c r="AS454" i="1"/>
  <c r="K454" i="1" a="1"/>
  <c r="K454" i="1" s="1"/>
  <c r="J454" i="1" a="1"/>
  <c r="J454" i="1" s="1"/>
  <c r="F454" i="1" a="1"/>
  <c r="F454" i="1" s="1"/>
  <c r="AZ453" i="1"/>
  <c r="AY453" i="1"/>
  <c r="AX453" i="1"/>
  <c r="AW453" i="1"/>
  <c r="AU453" i="1"/>
  <c r="AT453" i="1"/>
  <c r="AS453" i="1"/>
  <c r="K453" i="1" a="1"/>
  <c r="K453" i="1" s="1"/>
  <c r="J453" i="1" a="1"/>
  <c r="J453" i="1" s="1"/>
  <c r="F453" i="1" a="1"/>
  <c r="F453" i="1" s="1"/>
  <c r="AZ452" i="1"/>
  <c r="AY452" i="1"/>
  <c r="AX452" i="1"/>
  <c r="AW452" i="1"/>
  <c r="AU452" i="1"/>
  <c r="AT452" i="1"/>
  <c r="AS452" i="1"/>
  <c r="K452" i="1" a="1"/>
  <c r="K452" i="1" s="1"/>
  <c r="J452" i="1" a="1"/>
  <c r="J452" i="1" s="1"/>
  <c r="F452" i="1" a="1"/>
  <c r="F452" i="1" s="1"/>
  <c r="AZ451" i="1"/>
  <c r="AY451" i="1"/>
  <c r="AX451" i="1"/>
  <c r="AW451" i="1"/>
  <c r="AU451" i="1"/>
  <c r="AT451" i="1"/>
  <c r="AS451" i="1"/>
  <c r="K451" i="1" a="1"/>
  <c r="K451" i="1" s="1"/>
  <c r="J451" i="1" a="1"/>
  <c r="J451" i="1" s="1"/>
  <c r="F451" i="1" a="1"/>
  <c r="F451" i="1" s="1"/>
  <c r="AZ450" i="1"/>
  <c r="AY450" i="1"/>
  <c r="AX450" i="1"/>
  <c r="AW450" i="1"/>
  <c r="AU450" i="1"/>
  <c r="AT450" i="1"/>
  <c r="AS450" i="1"/>
  <c r="K450" i="1" a="1"/>
  <c r="K450" i="1" s="1"/>
  <c r="J450" i="1" a="1"/>
  <c r="J450" i="1" s="1"/>
  <c r="F450" i="1" a="1"/>
  <c r="F450" i="1" s="1"/>
  <c r="AZ449" i="1"/>
  <c r="AY449" i="1"/>
  <c r="AX449" i="1"/>
  <c r="AW449" i="1"/>
  <c r="AU449" i="1"/>
  <c r="AT449" i="1"/>
  <c r="AS449" i="1"/>
  <c r="K449" i="1" a="1"/>
  <c r="K449" i="1" s="1"/>
  <c r="J449" i="1" a="1"/>
  <c r="J449" i="1" s="1"/>
  <c r="F449" i="1" a="1"/>
  <c r="F449" i="1" s="1"/>
  <c r="AZ447" i="1"/>
  <c r="AY447" i="1"/>
  <c r="AX447" i="1"/>
  <c r="AW447" i="1"/>
  <c r="AU447" i="1"/>
  <c r="AS447" i="1"/>
  <c r="K447" i="1" a="1"/>
  <c r="K447" i="1" s="1"/>
  <c r="J447" i="1" a="1"/>
  <c r="J447" i="1" s="1"/>
  <c r="F447" i="1" a="1"/>
  <c r="F447" i="1" s="1"/>
  <c r="AZ446" i="1"/>
  <c r="AY446" i="1"/>
  <c r="AX446" i="1"/>
  <c r="AW446" i="1"/>
  <c r="AU446" i="1"/>
  <c r="AS446" i="1"/>
  <c r="K446" i="1" a="1"/>
  <c r="K446" i="1" s="1"/>
  <c r="J446" i="1" a="1"/>
  <c r="J446" i="1" s="1"/>
  <c r="F446" i="1" a="1"/>
  <c r="F446" i="1" s="1"/>
  <c r="AZ445" i="1"/>
  <c r="AY445" i="1"/>
  <c r="AX445" i="1"/>
  <c r="AW445" i="1"/>
  <c r="AU445" i="1"/>
  <c r="AS445" i="1"/>
  <c r="K445" i="1" a="1"/>
  <c r="K445" i="1" s="1"/>
  <c r="J445" i="1" a="1"/>
  <c r="J445" i="1" s="1"/>
  <c r="F445" i="1" a="1"/>
  <c r="F445" i="1" s="1"/>
  <c r="AZ444" i="1"/>
  <c r="AY444" i="1"/>
  <c r="AX444" i="1"/>
  <c r="AW444" i="1"/>
  <c r="AU444" i="1"/>
  <c r="AS444" i="1"/>
  <c r="K444" i="1" a="1"/>
  <c r="K444" i="1" s="1"/>
  <c r="J444" i="1" a="1"/>
  <c r="J444" i="1" s="1"/>
  <c r="F444" i="1" a="1"/>
  <c r="F444" i="1" s="1"/>
  <c r="AZ443" i="1"/>
  <c r="AY443" i="1"/>
  <c r="AX443" i="1"/>
  <c r="AW443" i="1"/>
  <c r="AU443" i="1"/>
  <c r="AS443" i="1"/>
  <c r="K443" i="1" a="1"/>
  <c r="K443" i="1" s="1"/>
  <c r="J443" i="1" a="1"/>
  <c r="J443" i="1" s="1"/>
  <c r="F443" i="1" a="1"/>
  <c r="F443" i="1" s="1"/>
  <c r="AZ442" i="1"/>
  <c r="AY442" i="1"/>
  <c r="AX442" i="1"/>
  <c r="AW442" i="1"/>
  <c r="AU442" i="1"/>
  <c r="AS442" i="1"/>
  <c r="K442" i="1" a="1"/>
  <c r="K442" i="1" s="1"/>
  <c r="J442" i="1" a="1"/>
  <c r="J442" i="1" s="1"/>
  <c r="F442" i="1" a="1"/>
  <c r="F442" i="1" s="1"/>
  <c r="AZ441" i="1"/>
  <c r="AY441" i="1"/>
  <c r="AX441" i="1"/>
  <c r="AW441" i="1"/>
  <c r="AU441" i="1"/>
  <c r="AS441" i="1"/>
  <c r="K441" i="1" a="1"/>
  <c r="K441" i="1" s="1"/>
  <c r="J441" i="1" a="1"/>
  <c r="J441" i="1" s="1"/>
  <c r="F441" i="1" a="1"/>
  <c r="F441" i="1" s="1"/>
  <c r="AZ440" i="1"/>
  <c r="AY440" i="1"/>
  <c r="AX440" i="1"/>
  <c r="AW440" i="1"/>
  <c r="AU440" i="1"/>
  <c r="AS440" i="1"/>
  <c r="K440" i="1" a="1"/>
  <c r="K440" i="1" s="1"/>
  <c r="J440" i="1" a="1"/>
  <c r="J440" i="1" s="1"/>
  <c r="F440" i="1" a="1"/>
  <c r="F440" i="1" s="1"/>
  <c r="E440" i="1" s="1" a="1"/>
  <c r="E440" i="1" s="1"/>
  <c r="AZ439" i="1"/>
  <c r="AY439" i="1"/>
  <c r="AX439" i="1"/>
  <c r="AW439" i="1"/>
  <c r="AU439" i="1"/>
  <c r="AS439" i="1"/>
  <c r="K439" i="1" a="1"/>
  <c r="K439" i="1" s="1"/>
  <c r="J439" i="1" a="1"/>
  <c r="J439" i="1" s="1"/>
  <c r="F439" i="1" a="1"/>
  <c r="F439" i="1" s="1"/>
  <c r="E439" i="1" s="1" a="1"/>
  <c r="E439" i="1" s="1"/>
  <c r="AZ438" i="1"/>
  <c r="AY438" i="1"/>
  <c r="AX438" i="1"/>
  <c r="AW438" i="1"/>
  <c r="AU438" i="1"/>
  <c r="AS438" i="1"/>
  <c r="K438" i="1" a="1"/>
  <c r="K438" i="1" s="1"/>
  <c r="J438" i="1" a="1"/>
  <c r="J438" i="1" s="1"/>
  <c r="F438" i="1" a="1"/>
  <c r="F438" i="1" s="1"/>
  <c r="AZ436" i="1"/>
  <c r="AY436" i="1"/>
  <c r="AX436" i="1"/>
  <c r="AW436" i="1"/>
  <c r="AU436" i="1"/>
  <c r="AT436" i="1"/>
  <c r="AS436" i="1"/>
  <c r="K436" i="1" a="1"/>
  <c r="K436" i="1" s="1"/>
  <c r="J436" i="1" a="1"/>
  <c r="J436" i="1" s="1"/>
  <c r="F436" i="1" a="1"/>
  <c r="F436" i="1" s="1"/>
  <c r="AZ435" i="1"/>
  <c r="AY435" i="1"/>
  <c r="AX435" i="1"/>
  <c r="AW435" i="1"/>
  <c r="AU435" i="1"/>
  <c r="AT435" i="1"/>
  <c r="AS435" i="1"/>
  <c r="K435" i="1" a="1"/>
  <c r="K435" i="1" s="1"/>
  <c r="J435" i="1" a="1"/>
  <c r="J435" i="1" s="1"/>
  <c r="F435" i="1" a="1"/>
  <c r="F435" i="1" s="1"/>
  <c r="AZ434" i="1"/>
  <c r="AY434" i="1"/>
  <c r="AX434" i="1"/>
  <c r="AW434" i="1"/>
  <c r="AU434" i="1"/>
  <c r="AT434" i="1"/>
  <c r="AS434" i="1"/>
  <c r="K434" i="1" a="1"/>
  <c r="K434" i="1" s="1"/>
  <c r="J434" i="1" a="1"/>
  <c r="J434" i="1" s="1"/>
  <c r="F434" i="1" a="1"/>
  <c r="F434" i="1" s="1"/>
  <c r="AZ433" i="1"/>
  <c r="AY433" i="1"/>
  <c r="AX433" i="1"/>
  <c r="AW433" i="1"/>
  <c r="AU433" i="1"/>
  <c r="AT433" i="1"/>
  <c r="AS433" i="1"/>
  <c r="K433" i="1" a="1"/>
  <c r="K433" i="1" s="1"/>
  <c r="J433" i="1" a="1"/>
  <c r="J433" i="1" s="1"/>
  <c r="F433" i="1" a="1"/>
  <c r="F433" i="1" s="1"/>
  <c r="AZ432" i="1"/>
  <c r="AY432" i="1"/>
  <c r="AX432" i="1"/>
  <c r="AW432" i="1"/>
  <c r="AU432" i="1"/>
  <c r="AT432" i="1"/>
  <c r="AS432" i="1"/>
  <c r="K432" i="1" a="1"/>
  <c r="K432" i="1" s="1"/>
  <c r="J432" i="1" a="1"/>
  <c r="J432" i="1" s="1"/>
  <c r="F432" i="1" a="1"/>
  <c r="F432" i="1" s="1"/>
  <c r="AZ431" i="1"/>
  <c r="AY431" i="1"/>
  <c r="AX431" i="1"/>
  <c r="AW431" i="1"/>
  <c r="AU431" i="1"/>
  <c r="AT431" i="1"/>
  <c r="AS431" i="1"/>
  <c r="K431" i="1" a="1"/>
  <c r="K431" i="1" s="1"/>
  <c r="J431" i="1" a="1"/>
  <c r="J431" i="1" s="1"/>
  <c r="F431" i="1" a="1"/>
  <c r="F431" i="1" s="1"/>
  <c r="AZ430" i="1"/>
  <c r="AY430" i="1"/>
  <c r="AX430" i="1"/>
  <c r="AW430" i="1"/>
  <c r="AU430" i="1"/>
  <c r="AT430" i="1"/>
  <c r="AS430" i="1"/>
  <c r="K430" i="1" a="1"/>
  <c r="K430" i="1" s="1"/>
  <c r="J430" i="1" a="1"/>
  <c r="J430" i="1" s="1"/>
  <c r="F430" i="1" a="1"/>
  <c r="F430" i="1" s="1"/>
  <c r="AZ429" i="1"/>
  <c r="AY429" i="1"/>
  <c r="AX429" i="1"/>
  <c r="AW429" i="1"/>
  <c r="AU429" i="1"/>
  <c r="AT429" i="1"/>
  <c r="AS429" i="1"/>
  <c r="K429" i="1" a="1"/>
  <c r="K429" i="1" s="1"/>
  <c r="J429" i="1" a="1"/>
  <c r="J429" i="1" s="1"/>
  <c r="F429" i="1" a="1"/>
  <c r="F429" i="1" s="1"/>
  <c r="AZ428" i="1"/>
  <c r="AY428" i="1"/>
  <c r="AX428" i="1"/>
  <c r="AW428" i="1"/>
  <c r="AU428" i="1"/>
  <c r="AT428" i="1"/>
  <c r="AS428" i="1"/>
  <c r="K428" i="1" a="1"/>
  <c r="K428" i="1" s="1"/>
  <c r="J428" i="1" a="1"/>
  <c r="J428" i="1" s="1"/>
  <c r="F428" i="1" a="1"/>
  <c r="F428" i="1" s="1"/>
  <c r="E428" i="1" s="1" a="1"/>
  <c r="E428" i="1" s="1"/>
  <c r="AZ427" i="1"/>
  <c r="AY427" i="1"/>
  <c r="AX427" i="1"/>
  <c r="AW427" i="1"/>
  <c r="AU427" i="1"/>
  <c r="AT427" i="1"/>
  <c r="AS427" i="1"/>
  <c r="K427" i="1" a="1"/>
  <c r="K427" i="1" s="1"/>
  <c r="J427" i="1" a="1"/>
  <c r="J427" i="1" s="1"/>
  <c r="F427" i="1" a="1"/>
  <c r="F427" i="1" s="1"/>
  <c r="AZ425" i="1"/>
  <c r="AY425" i="1"/>
  <c r="AX425" i="1"/>
  <c r="AW425" i="1"/>
  <c r="AU425" i="1"/>
  <c r="AS425" i="1"/>
  <c r="K425" i="1" a="1"/>
  <c r="K425" i="1" s="1"/>
  <c r="J425" i="1" a="1"/>
  <c r="J425" i="1" s="1"/>
  <c r="F425" i="1" a="1"/>
  <c r="F425" i="1" s="1"/>
  <c r="E425" i="1" s="1" a="1"/>
  <c r="E425" i="1" s="1"/>
  <c r="AZ424" i="1"/>
  <c r="AY424" i="1"/>
  <c r="AX424" i="1"/>
  <c r="AW424" i="1"/>
  <c r="AU424" i="1"/>
  <c r="AS424" i="1"/>
  <c r="K424" i="1" a="1"/>
  <c r="K424" i="1" s="1"/>
  <c r="J424" i="1" a="1"/>
  <c r="J424" i="1" s="1"/>
  <c r="F424" i="1" a="1"/>
  <c r="F424" i="1" s="1"/>
  <c r="AZ423" i="1"/>
  <c r="AY423" i="1"/>
  <c r="AX423" i="1"/>
  <c r="AW423" i="1"/>
  <c r="AU423" i="1"/>
  <c r="AS423" i="1"/>
  <c r="K423" i="1" a="1"/>
  <c r="K423" i="1" s="1"/>
  <c r="J423" i="1" a="1"/>
  <c r="J423" i="1" s="1"/>
  <c r="F423" i="1" a="1"/>
  <c r="F423" i="1" s="1"/>
  <c r="AZ422" i="1"/>
  <c r="AY422" i="1"/>
  <c r="AX422" i="1"/>
  <c r="AW422" i="1"/>
  <c r="AU422" i="1"/>
  <c r="AS422" i="1"/>
  <c r="K422" i="1" a="1"/>
  <c r="K422" i="1" s="1"/>
  <c r="J422" i="1" a="1"/>
  <c r="J422" i="1" s="1"/>
  <c r="F422" i="1" a="1"/>
  <c r="F422" i="1" s="1"/>
  <c r="AZ421" i="1"/>
  <c r="AY421" i="1"/>
  <c r="AX421" i="1"/>
  <c r="AW421" i="1"/>
  <c r="AU421" i="1"/>
  <c r="AS421" i="1"/>
  <c r="K421" i="1" a="1"/>
  <c r="K421" i="1" s="1"/>
  <c r="J421" i="1" a="1"/>
  <c r="J421" i="1" s="1"/>
  <c r="F421" i="1" a="1"/>
  <c r="F421" i="1" s="1"/>
  <c r="AZ420" i="1"/>
  <c r="AY420" i="1"/>
  <c r="AX420" i="1"/>
  <c r="AW420" i="1"/>
  <c r="AU420" i="1"/>
  <c r="AS420" i="1"/>
  <c r="K420" i="1" a="1"/>
  <c r="K420" i="1" s="1"/>
  <c r="J420" i="1" a="1"/>
  <c r="J420" i="1" s="1"/>
  <c r="F420" i="1" a="1"/>
  <c r="F420" i="1" s="1"/>
  <c r="AZ419" i="1"/>
  <c r="AY419" i="1"/>
  <c r="AX419" i="1"/>
  <c r="AW419" i="1"/>
  <c r="AU419" i="1"/>
  <c r="AS419" i="1"/>
  <c r="K419" i="1" a="1"/>
  <c r="K419" i="1" s="1"/>
  <c r="J419" i="1" a="1"/>
  <c r="J419" i="1" s="1"/>
  <c r="F419" i="1" a="1"/>
  <c r="F419" i="1" s="1"/>
  <c r="AZ418" i="1"/>
  <c r="AY418" i="1"/>
  <c r="AX418" i="1"/>
  <c r="AW418" i="1"/>
  <c r="AU418" i="1"/>
  <c r="AS418" i="1"/>
  <c r="K418" i="1" a="1"/>
  <c r="K418" i="1" s="1"/>
  <c r="J418" i="1" a="1"/>
  <c r="J418" i="1" s="1"/>
  <c r="F418" i="1" a="1"/>
  <c r="F418" i="1" s="1"/>
  <c r="E418" i="1" s="1" a="1"/>
  <c r="E418" i="1" s="1"/>
  <c r="AZ417" i="1"/>
  <c r="AY417" i="1"/>
  <c r="AX417" i="1"/>
  <c r="AW417" i="1"/>
  <c r="AU417" i="1"/>
  <c r="AS417" i="1"/>
  <c r="K417" i="1" a="1"/>
  <c r="K417" i="1" s="1"/>
  <c r="J417" i="1" a="1"/>
  <c r="J417" i="1" s="1"/>
  <c r="F417" i="1" a="1"/>
  <c r="F417" i="1" s="1"/>
  <c r="E417" i="1" s="1" a="1"/>
  <c r="E417" i="1" s="1"/>
  <c r="AZ416" i="1"/>
  <c r="AY416" i="1"/>
  <c r="AX416" i="1"/>
  <c r="AW416" i="1"/>
  <c r="AU416" i="1"/>
  <c r="AS416" i="1"/>
  <c r="K416" i="1" a="1"/>
  <c r="K416" i="1" s="1"/>
  <c r="J416" i="1" a="1"/>
  <c r="J416" i="1" s="1"/>
  <c r="F416" i="1" a="1"/>
  <c r="F416" i="1" s="1"/>
  <c r="AZ414" i="1"/>
  <c r="AY414" i="1"/>
  <c r="AX414" i="1"/>
  <c r="AW414" i="1"/>
  <c r="AU414" i="1"/>
  <c r="AT414" i="1"/>
  <c r="AS414" i="1"/>
  <c r="K414" i="1" a="1"/>
  <c r="K414" i="1" s="1"/>
  <c r="J414" i="1" a="1"/>
  <c r="J414" i="1" s="1"/>
  <c r="F414" i="1" a="1"/>
  <c r="F414" i="1" s="1"/>
  <c r="AZ413" i="1"/>
  <c r="AY413" i="1"/>
  <c r="AX413" i="1"/>
  <c r="AW413" i="1"/>
  <c r="AU413" i="1"/>
  <c r="AT413" i="1"/>
  <c r="AS413" i="1"/>
  <c r="K413" i="1" a="1"/>
  <c r="K413" i="1" s="1"/>
  <c r="J413" i="1" a="1"/>
  <c r="J413" i="1" s="1"/>
  <c r="F413" i="1" a="1"/>
  <c r="F413" i="1" s="1"/>
  <c r="E413" i="1" s="1" a="1"/>
  <c r="E413" i="1" s="1"/>
  <c r="AZ412" i="1"/>
  <c r="AY412" i="1"/>
  <c r="AX412" i="1"/>
  <c r="AW412" i="1"/>
  <c r="AU412" i="1"/>
  <c r="AT412" i="1"/>
  <c r="AS412" i="1"/>
  <c r="K412" i="1" a="1"/>
  <c r="K412" i="1" s="1"/>
  <c r="J412" i="1" a="1"/>
  <c r="J412" i="1" s="1"/>
  <c r="F412" i="1" a="1"/>
  <c r="F412" i="1" s="1"/>
  <c r="AZ411" i="1"/>
  <c r="AY411" i="1"/>
  <c r="AX411" i="1"/>
  <c r="AW411" i="1"/>
  <c r="AU411" i="1"/>
  <c r="AT411" i="1"/>
  <c r="AS411" i="1"/>
  <c r="K411" i="1" a="1"/>
  <c r="K411" i="1" s="1"/>
  <c r="J411" i="1" a="1"/>
  <c r="J411" i="1" s="1"/>
  <c r="F411" i="1" a="1"/>
  <c r="F411" i="1" s="1"/>
  <c r="AZ410" i="1"/>
  <c r="AY410" i="1"/>
  <c r="AX410" i="1"/>
  <c r="AW410" i="1"/>
  <c r="AU410" i="1"/>
  <c r="AT410" i="1"/>
  <c r="AS410" i="1"/>
  <c r="K410" i="1" a="1"/>
  <c r="K410" i="1" s="1"/>
  <c r="J410" i="1" a="1"/>
  <c r="J410" i="1" s="1"/>
  <c r="F410" i="1" a="1"/>
  <c r="F410" i="1" s="1"/>
  <c r="AZ409" i="1"/>
  <c r="AY409" i="1"/>
  <c r="AX409" i="1"/>
  <c r="AW409" i="1"/>
  <c r="AU409" i="1"/>
  <c r="AT409" i="1"/>
  <c r="AS409" i="1"/>
  <c r="K409" i="1" a="1"/>
  <c r="K409" i="1" s="1"/>
  <c r="J409" i="1" a="1"/>
  <c r="J409" i="1" s="1"/>
  <c r="F409" i="1" a="1"/>
  <c r="F409" i="1" s="1"/>
  <c r="E409" i="1" s="1" a="1"/>
  <c r="E409" i="1" s="1"/>
  <c r="AZ408" i="1"/>
  <c r="AY408" i="1"/>
  <c r="AX408" i="1"/>
  <c r="AW408" i="1"/>
  <c r="AU408" i="1"/>
  <c r="AT408" i="1"/>
  <c r="AS408" i="1"/>
  <c r="K408" i="1" a="1"/>
  <c r="K408" i="1" s="1"/>
  <c r="J408" i="1" a="1"/>
  <c r="J408" i="1" s="1"/>
  <c r="F408" i="1" a="1"/>
  <c r="F408" i="1" s="1"/>
  <c r="AZ407" i="1"/>
  <c r="AY407" i="1"/>
  <c r="AX407" i="1"/>
  <c r="AW407" i="1"/>
  <c r="AU407" i="1"/>
  <c r="AT407" i="1"/>
  <c r="AS407" i="1"/>
  <c r="K407" i="1" a="1"/>
  <c r="K407" i="1" s="1"/>
  <c r="J407" i="1" a="1"/>
  <c r="J407" i="1" s="1"/>
  <c r="F407" i="1" a="1"/>
  <c r="F407" i="1" s="1"/>
  <c r="AZ406" i="1"/>
  <c r="AY406" i="1"/>
  <c r="AX406" i="1"/>
  <c r="AW406" i="1"/>
  <c r="AU406" i="1"/>
  <c r="AT406" i="1"/>
  <c r="AS406" i="1"/>
  <c r="K406" i="1" a="1"/>
  <c r="K406" i="1" s="1"/>
  <c r="J406" i="1" a="1"/>
  <c r="J406" i="1" s="1"/>
  <c r="F406" i="1" a="1"/>
  <c r="F406" i="1" s="1"/>
  <c r="AZ405" i="1"/>
  <c r="AY405" i="1"/>
  <c r="AX405" i="1"/>
  <c r="AW405" i="1"/>
  <c r="AU405" i="1"/>
  <c r="AT405" i="1"/>
  <c r="AS405" i="1"/>
  <c r="K405" i="1" a="1"/>
  <c r="K405" i="1" s="1"/>
  <c r="J405" i="1" a="1"/>
  <c r="J405" i="1" s="1"/>
  <c r="F405" i="1" a="1"/>
  <c r="F405" i="1" s="1"/>
  <c r="E405" i="1" s="1" a="1"/>
  <c r="E405" i="1" s="1"/>
  <c r="AZ403" i="1"/>
  <c r="AY403" i="1"/>
  <c r="AX403" i="1"/>
  <c r="AW403" i="1"/>
  <c r="AU403" i="1"/>
  <c r="AS403" i="1"/>
  <c r="K403" i="1" a="1"/>
  <c r="K403" i="1" s="1"/>
  <c r="J403" i="1" a="1"/>
  <c r="J403" i="1" s="1"/>
  <c r="F403" i="1" a="1"/>
  <c r="F403" i="1" s="1"/>
  <c r="AZ402" i="1"/>
  <c r="AY402" i="1"/>
  <c r="AX402" i="1"/>
  <c r="AW402" i="1"/>
  <c r="AU402" i="1"/>
  <c r="AS402" i="1"/>
  <c r="K402" i="1" a="1"/>
  <c r="K402" i="1" s="1"/>
  <c r="J402" i="1" a="1"/>
  <c r="J402" i="1" s="1"/>
  <c r="F402" i="1" a="1"/>
  <c r="F402" i="1" s="1"/>
  <c r="E402" i="1" s="1" a="1"/>
  <c r="E402" i="1" s="1"/>
  <c r="AZ401" i="1"/>
  <c r="AY401" i="1"/>
  <c r="AX401" i="1"/>
  <c r="AW401" i="1"/>
  <c r="AU401" i="1"/>
  <c r="AS401" i="1"/>
  <c r="K401" i="1" a="1"/>
  <c r="K401" i="1" s="1"/>
  <c r="J401" i="1" a="1"/>
  <c r="J401" i="1" s="1"/>
  <c r="F401" i="1" a="1"/>
  <c r="F401" i="1" s="1"/>
  <c r="AZ400" i="1"/>
  <c r="AY400" i="1"/>
  <c r="AX400" i="1"/>
  <c r="AW400" i="1"/>
  <c r="AU400" i="1"/>
  <c r="AS400" i="1"/>
  <c r="K400" i="1" a="1"/>
  <c r="K400" i="1" s="1"/>
  <c r="J400" i="1" a="1"/>
  <c r="J400" i="1" s="1"/>
  <c r="F400" i="1" a="1"/>
  <c r="F400" i="1" s="1"/>
  <c r="AZ399" i="1"/>
  <c r="AY399" i="1"/>
  <c r="AX399" i="1"/>
  <c r="AW399" i="1"/>
  <c r="AU399" i="1"/>
  <c r="AS399" i="1"/>
  <c r="K399" i="1" a="1"/>
  <c r="K399" i="1" s="1"/>
  <c r="J399" i="1" a="1"/>
  <c r="J399" i="1" s="1"/>
  <c r="F399" i="1" a="1"/>
  <c r="F399" i="1" s="1"/>
  <c r="AZ398" i="1"/>
  <c r="AY398" i="1"/>
  <c r="AX398" i="1"/>
  <c r="AW398" i="1"/>
  <c r="AU398" i="1"/>
  <c r="AS398" i="1"/>
  <c r="K398" i="1" a="1"/>
  <c r="K398" i="1" s="1"/>
  <c r="J398" i="1" a="1"/>
  <c r="J398" i="1" s="1"/>
  <c r="F398" i="1" a="1"/>
  <c r="F398" i="1" s="1"/>
  <c r="AZ397" i="1"/>
  <c r="AY397" i="1"/>
  <c r="AX397" i="1"/>
  <c r="AW397" i="1"/>
  <c r="AU397" i="1"/>
  <c r="AS397" i="1"/>
  <c r="K397" i="1" a="1"/>
  <c r="K397" i="1" s="1"/>
  <c r="J397" i="1" a="1"/>
  <c r="J397" i="1" s="1"/>
  <c r="F397" i="1" a="1"/>
  <c r="F397" i="1" s="1"/>
  <c r="AZ396" i="1"/>
  <c r="AY396" i="1"/>
  <c r="AX396" i="1"/>
  <c r="AW396" i="1"/>
  <c r="AU396" i="1"/>
  <c r="AS396" i="1"/>
  <c r="K396" i="1" a="1"/>
  <c r="K396" i="1" s="1"/>
  <c r="J396" i="1" a="1"/>
  <c r="J396" i="1" s="1"/>
  <c r="F396" i="1" a="1"/>
  <c r="F396" i="1" s="1"/>
  <c r="AZ395" i="1"/>
  <c r="AY395" i="1"/>
  <c r="AX395" i="1"/>
  <c r="AW395" i="1"/>
  <c r="AU395" i="1"/>
  <c r="AS395" i="1"/>
  <c r="K395" i="1" a="1"/>
  <c r="K395" i="1" s="1"/>
  <c r="J395" i="1" a="1"/>
  <c r="J395" i="1" s="1"/>
  <c r="F395" i="1" a="1"/>
  <c r="F395" i="1" s="1"/>
  <c r="E395" i="1" s="1" a="1"/>
  <c r="E395" i="1" s="1"/>
  <c r="AZ394" i="1"/>
  <c r="AY394" i="1"/>
  <c r="AX394" i="1"/>
  <c r="AW394" i="1"/>
  <c r="AU394" i="1"/>
  <c r="AS394" i="1"/>
  <c r="K394" i="1" a="1"/>
  <c r="K394" i="1" s="1"/>
  <c r="J394" i="1" a="1"/>
  <c r="J394" i="1" s="1"/>
  <c r="F394" i="1" a="1"/>
  <c r="F394" i="1" s="1"/>
  <c r="E394" i="1" s="1" a="1"/>
  <c r="E394" i="1" s="1"/>
  <c r="AZ392" i="1"/>
  <c r="AY392" i="1"/>
  <c r="AX392" i="1"/>
  <c r="AW392" i="1"/>
  <c r="AU392" i="1"/>
  <c r="AT392" i="1"/>
  <c r="AS392" i="1"/>
  <c r="K392" i="1" a="1"/>
  <c r="K392" i="1" s="1"/>
  <c r="J392" i="1" a="1"/>
  <c r="J392" i="1" s="1"/>
  <c r="F392" i="1" a="1"/>
  <c r="F392" i="1" s="1"/>
  <c r="AZ391" i="1"/>
  <c r="AY391" i="1"/>
  <c r="AX391" i="1"/>
  <c r="AW391" i="1"/>
  <c r="AU391" i="1"/>
  <c r="AT391" i="1"/>
  <c r="AS391" i="1"/>
  <c r="K391" i="1" a="1"/>
  <c r="K391" i="1" s="1"/>
  <c r="J391" i="1" a="1"/>
  <c r="J391" i="1" s="1"/>
  <c r="F391" i="1" a="1"/>
  <c r="F391" i="1" s="1"/>
  <c r="AZ390" i="1"/>
  <c r="AY390" i="1"/>
  <c r="AX390" i="1"/>
  <c r="AW390" i="1"/>
  <c r="AU390" i="1"/>
  <c r="AT390" i="1"/>
  <c r="AS390" i="1"/>
  <c r="K390" i="1" a="1"/>
  <c r="K390" i="1" s="1"/>
  <c r="J390" i="1" a="1"/>
  <c r="J390" i="1" s="1"/>
  <c r="F390" i="1" a="1"/>
  <c r="F390" i="1" s="1"/>
  <c r="AZ389" i="1"/>
  <c r="AY389" i="1"/>
  <c r="AX389" i="1"/>
  <c r="AW389" i="1"/>
  <c r="AU389" i="1"/>
  <c r="AT389" i="1"/>
  <c r="AS389" i="1"/>
  <c r="K389" i="1" a="1"/>
  <c r="K389" i="1" s="1"/>
  <c r="J389" i="1" a="1"/>
  <c r="J389" i="1" s="1"/>
  <c r="F389" i="1" a="1"/>
  <c r="F389" i="1" s="1"/>
  <c r="AZ388" i="1"/>
  <c r="AY388" i="1"/>
  <c r="AX388" i="1"/>
  <c r="AW388" i="1"/>
  <c r="AU388" i="1"/>
  <c r="AT388" i="1"/>
  <c r="AS388" i="1"/>
  <c r="K388" i="1" a="1"/>
  <c r="K388" i="1" s="1"/>
  <c r="J388" i="1" a="1"/>
  <c r="J388" i="1" s="1"/>
  <c r="F388" i="1" a="1"/>
  <c r="F388" i="1" s="1"/>
  <c r="AZ387" i="1"/>
  <c r="AY387" i="1"/>
  <c r="AX387" i="1"/>
  <c r="AW387" i="1"/>
  <c r="AU387" i="1"/>
  <c r="AT387" i="1"/>
  <c r="AS387" i="1"/>
  <c r="K387" i="1" a="1"/>
  <c r="K387" i="1" s="1"/>
  <c r="J387" i="1" a="1"/>
  <c r="J387" i="1" s="1"/>
  <c r="F387" i="1" a="1"/>
  <c r="F387" i="1" s="1"/>
  <c r="AZ386" i="1"/>
  <c r="AY386" i="1"/>
  <c r="AX386" i="1"/>
  <c r="AW386" i="1"/>
  <c r="AU386" i="1"/>
  <c r="AT386" i="1"/>
  <c r="AS386" i="1"/>
  <c r="K386" i="1" a="1"/>
  <c r="K386" i="1" s="1"/>
  <c r="J386" i="1" a="1"/>
  <c r="J386" i="1" s="1"/>
  <c r="F386" i="1" a="1"/>
  <c r="F386" i="1" s="1"/>
  <c r="AZ385" i="1"/>
  <c r="AY385" i="1"/>
  <c r="AX385" i="1"/>
  <c r="AW385" i="1"/>
  <c r="AU385" i="1"/>
  <c r="AT385" i="1"/>
  <c r="AS385" i="1"/>
  <c r="K385" i="1" a="1"/>
  <c r="K385" i="1" s="1"/>
  <c r="J385" i="1" a="1"/>
  <c r="J385" i="1" s="1"/>
  <c r="F385" i="1" a="1"/>
  <c r="F385" i="1" s="1"/>
  <c r="E385" i="1" s="1" a="1"/>
  <c r="E385" i="1" s="1"/>
  <c r="AZ384" i="1"/>
  <c r="AY384" i="1"/>
  <c r="AX384" i="1"/>
  <c r="AW384" i="1"/>
  <c r="AU384" i="1"/>
  <c r="AT384" i="1"/>
  <c r="AS384" i="1"/>
  <c r="K384" i="1" a="1"/>
  <c r="K384" i="1" s="1"/>
  <c r="J384" i="1" a="1"/>
  <c r="J384" i="1" s="1"/>
  <c r="F384" i="1" a="1"/>
  <c r="F384" i="1" s="1"/>
  <c r="AZ383" i="1"/>
  <c r="AY383" i="1"/>
  <c r="AX383" i="1"/>
  <c r="AW383" i="1"/>
  <c r="AU383" i="1"/>
  <c r="AT383" i="1"/>
  <c r="AS383" i="1"/>
  <c r="K383" i="1" a="1"/>
  <c r="K383" i="1" s="1"/>
  <c r="J383" i="1" a="1"/>
  <c r="J383" i="1" s="1"/>
  <c r="F383" i="1" a="1"/>
  <c r="F383" i="1" s="1"/>
  <c r="AZ381" i="1"/>
  <c r="AY381" i="1"/>
  <c r="AX381" i="1"/>
  <c r="AW381" i="1"/>
  <c r="AU381" i="1"/>
  <c r="AS381" i="1"/>
  <c r="K381" i="1" a="1"/>
  <c r="K381" i="1" s="1"/>
  <c r="J381" i="1" a="1"/>
  <c r="J381" i="1" s="1"/>
  <c r="F381" i="1" a="1"/>
  <c r="F381" i="1" s="1"/>
  <c r="E381" i="1" s="1" a="1"/>
  <c r="E381" i="1" s="1"/>
  <c r="AZ380" i="1"/>
  <c r="AY380" i="1"/>
  <c r="AX380" i="1"/>
  <c r="AW380" i="1"/>
  <c r="AU380" i="1"/>
  <c r="AS380" i="1"/>
  <c r="K380" i="1" a="1"/>
  <c r="K380" i="1" s="1"/>
  <c r="J380" i="1" a="1"/>
  <c r="J380" i="1" s="1"/>
  <c r="F380" i="1" a="1"/>
  <c r="F380" i="1" s="1"/>
  <c r="AZ379" i="1"/>
  <c r="AY379" i="1"/>
  <c r="AX379" i="1"/>
  <c r="AW379" i="1"/>
  <c r="AU379" i="1"/>
  <c r="AS379" i="1"/>
  <c r="K379" i="1" a="1"/>
  <c r="K379" i="1" s="1"/>
  <c r="J379" i="1" a="1"/>
  <c r="J379" i="1" s="1"/>
  <c r="F379" i="1" a="1"/>
  <c r="F379" i="1" s="1"/>
  <c r="AZ378" i="1"/>
  <c r="AY378" i="1"/>
  <c r="AX378" i="1"/>
  <c r="AW378" i="1"/>
  <c r="AU378" i="1"/>
  <c r="AS378" i="1"/>
  <c r="K378" i="1" a="1"/>
  <c r="K378" i="1" s="1"/>
  <c r="J378" i="1" a="1"/>
  <c r="J378" i="1" s="1"/>
  <c r="F378" i="1" a="1"/>
  <c r="F378" i="1" s="1"/>
  <c r="AZ377" i="1"/>
  <c r="AY377" i="1"/>
  <c r="AX377" i="1"/>
  <c r="AW377" i="1"/>
  <c r="AU377" i="1"/>
  <c r="AS377" i="1"/>
  <c r="K377" i="1" a="1"/>
  <c r="K377" i="1" s="1"/>
  <c r="J377" i="1" a="1"/>
  <c r="J377" i="1" s="1"/>
  <c r="F377" i="1" a="1"/>
  <c r="F377" i="1" s="1"/>
  <c r="AZ376" i="1"/>
  <c r="AY376" i="1"/>
  <c r="AX376" i="1"/>
  <c r="AW376" i="1"/>
  <c r="AU376" i="1"/>
  <c r="AS376" i="1"/>
  <c r="K376" i="1" a="1"/>
  <c r="K376" i="1" s="1"/>
  <c r="J376" i="1" a="1"/>
  <c r="J376" i="1" s="1"/>
  <c r="F376" i="1" a="1"/>
  <c r="F376" i="1" s="1"/>
  <c r="AZ375" i="1"/>
  <c r="AY375" i="1"/>
  <c r="AX375" i="1"/>
  <c r="AW375" i="1"/>
  <c r="AU375" i="1"/>
  <c r="AS375" i="1"/>
  <c r="K375" i="1" a="1"/>
  <c r="K375" i="1" s="1"/>
  <c r="J375" i="1" a="1"/>
  <c r="J375" i="1" s="1"/>
  <c r="F375" i="1" a="1"/>
  <c r="F375" i="1" s="1"/>
  <c r="AZ374" i="1"/>
  <c r="AY374" i="1"/>
  <c r="AX374" i="1"/>
  <c r="AW374" i="1"/>
  <c r="AU374" i="1"/>
  <c r="AS374" i="1"/>
  <c r="K374" i="1" a="1"/>
  <c r="K374" i="1" s="1"/>
  <c r="J374" i="1" a="1"/>
  <c r="J374" i="1" s="1"/>
  <c r="F374" i="1" a="1"/>
  <c r="F374" i="1" s="1"/>
  <c r="AZ373" i="1"/>
  <c r="AY373" i="1"/>
  <c r="AX373" i="1"/>
  <c r="AW373" i="1"/>
  <c r="AU373" i="1"/>
  <c r="AS373" i="1"/>
  <c r="K373" i="1" a="1"/>
  <c r="K373" i="1" s="1"/>
  <c r="J373" i="1" a="1"/>
  <c r="J373" i="1" s="1"/>
  <c r="F373" i="1" a="1"/>
  <c r="F373" i="1" s="1"/>
  <c r="E373" i="1" s="1" a="1"/>
  <c r="E373" i="1" s="1"/>
  <c r="AZ372" i="1"/>
  <c r="AY372" i="1"/>
  <c r="AX372" i="1"/>
  <c r="AW372" i="1"/>
  <c r="AU372" i="1"/>
  <c r="AS372" i="1"/>
  <c r="K372" i="1" a="1"/>
  <c r="K372" i="1" s="1"/>
  <c r="J372" i="1" a="1"/>
  <c r="J372" i="1" s="1"/>
  <c r="F372" i="1" a="1"/>
  <c r="F372" i="1" s="1"/>
  <c r="AZ370" i="1"/>
  <c r="AY370" i="1"/>
  <c r="AX370" i="1"/>
  <c r="AW370" i="1"/>
  <c r="AU370" i="1"/>
  <c r="AT370" i="1"/>
  <c r="AS370" i="1"/>
  <c r="K370" i="1" a="1"/>
  <c r="K370" i="1" s="1"/>
  <c r="J370" i="1" a="1"/>
  <c r="J370" i="1" s="1"/>
  <c r="F370" i="1" a="1"/>
  <c r="F370" i="1" s="1"/>
  <c r="AZ369" i="1"/>
  <c r="AY369" i="1"/>
  <c r="AX369" i="1"/>
  <c r="AW369" i="1"/>
  <c r="AU369" i="1"/>
  <c r="AT369" i="1"/>
  <c r="AS369" i="1"/>
  <c r="K369" i="1" a="1"/>
  <c r="K369" i="1" s="1"/>
  <c r="J369" i="1" a="1"/>
  <c r="J369" i="1" s="1"/>
  <c r="F369" i="1" a="1"/>
  <c r="F369" i="1" s="1"/>
  <c r="AZ368" i="1"/>
  <c r="AY368" i="1"/>
  <c r="AX368" i="1"/>
  <c r="AW368" i="1"/>
  <c r="AU368" i="1"/>
  <c r="AT368" i="1"/>
  <c r="AS368" i="1"/>
  <c r="K368" i="1" a="1"/>
  <c r="K368" i="1" s="1"/>
  <c r="J368" i="1" a="1"/>
  <c r="J368" i="1" s="1"/>
  <c r="F368" i="1" a="1"/>
  <c r="F368" i="1" s="1"/>
  <c r="AZ367" i="1"/>
  <c r="AY367" i="1"/>
  <c r="AX367" i="1"/>
  <c r="AW367" i="1"/>
  <c r="AU367" i="1"/>
  <c r="AT367" i="1"/>
  <c r="AS367" i="1"/>
  <c r="K367" i="1" a="1"/>
  <c r="K367" i="1" s="1"/>
  <c r="J367" i="1" a="1"/>
  <c r="J367" i="1" s="1"/>
  <c r="F367" i="1" a="1"/>
  <c r="F367" i="1" s="1"/>
  <c r="AZ366" i="1"/>
  <c r="AY366" i="1"/>
  <c r="AX366" i="1"/>
  <c r="AW366" i="1"/>
  <c r="AU366" i="1"/>
  <c r="AT366" i="1"/>
  <c r="AS366" i="1"/>
  <c r="K366" i="1" a="1"/>
  <c r="K366" i="1" s="1"/>
  <c r="J366" i="1" a="1"/>
  <c r="J366" i="1" s="1"/>
  <c r="F366" i="1" a="1"/>
  <c r="F366" i="1" s="1"/>
  <c r="AZ365" i="1"/>
  <c r="AY365" i="1"/>
  <c r="AX365" i="1"/>
  <c r="AW365" i="1"/>
  <c r="AU365" i="1"/>
  <c r="AT365" i="1"/>
  <c r="AS365" i="1"/>
  <c r="K365" i="1" a="1"/>
  <c r="K365" i="1" s="1"/>
  <c r="J365" i="1" a="1"/>
  <c r="J365" i="1" s="1"/>
  <c r="F365" i="1" a="1"/>
  <c r="F365" i="1" s="1"/>
  <c r="AZ364" i="1"/>
  <c r="AY364" i="1"/>
  <c r="AX364" i="1"/>
  <c r="AW364" i="1"/>
  <c r="AU364" i="1"/>
  <c r="AT364" i="1"/>
  <c r="AS364" i="1"/>
  <c r="K364" i="1" a="1"/>
  <c r="K364" i="1" s="1"/>
  <c r="J364" i="1" a="1"/>
  <c r="J364" i="1" s="1"/>
  <c r="F364" i="1" a="1"/>
  <c r="F364" i="1" s="1"/>
  <c r="AZ363" i="1"/>
  <c r="AY363" i="1"/>
  <c r="AX363" i="1"/>
  <c r="AW363" i="1"/>
  <c r="AU363" i="1"/>
  <c r="AT363" i="1"/>
  <c r="AS363" i="1"/>
  <c r="K363" i="1" a="1"/>
  <c r="K363" i="1" s="1"/>
  <c r="J363" i="1" a="1"/>
  <c r="J363" i="1" s="1"/>
  <c r="F363" i="1" a="1"/>
  <c r="F363" i="1" s="1"/>
  <c r="E363" i="1" s="1" a="1"/>
  <c r="E363" i="1" s="1"/>
  <c r="AZ362" i="1"/>
  <c r="AY362" i="1"/>
  <c r="AX362" i="1"/>
  <c r="AW362" i="1"/>
  <c r="AU362" i="1"/>
  <c r="AT362" i="1"/>
  <c r="AS362" i="1"/>
  <c r="K362" i="1" a="1"/>
  <c r="K362" i="1" s="1"/>
  <c r="J362" i="1" a="1"/>
  <c r="J362" i="1" s="1"/>
  <c r="F362" i="1" a="1"/>
  <c r="F362" i="1" s="1"/>
  <c r="AZ361" i="1"/>
  <c r="AY361" i="1"/>
  <c r="AX361" i="1"/>
  <c r="AW361" i="1"/>
  <c r="AU361" i="1"/>
  <c r="AT361" i="1"/>
  <c r="AS361" i="1"/>
  <c r="K361" i="1" a="1"/>
  <c r="K361" i="1" s="1"/>
  <c r="J361" i="1" a="1"/>
  <c r="J361" i="1" s="1"/>
  <c r="F361" i="1" a="1"/>
  <c r="F361" i="1" s="1"/>
  <c r="AZ359" i="1"/>
  <c r="AY359" i="1"/>
  <c r="AX359" i="1"/>
  <c r="AW359" i="1"/>
  <c r="AU359" i="1"/>
  <c r="AS359" i="1"/>
  <c r="K359" i="1" a="1"/>
  <c r="K359" i="1" s="1"/>
  <c r="J359" i="1" a="1"/>
  <c r="J359" i="1" s="1"/>
  <c r="F359" i="1" a="1"/>
  <c r="F359" i="1" s="1"/>
  <c r="AZ358" i="1"/>
  <c r="AY358" i="1"/>
  <c r="AX358" i="1"/>
  <c r="AW358" i="1"/>
  <c r="AU358" i="1"/>
  <c r="AS358" i="1"/>
  <c r="K358" i="1" a="1"/>
  <c r="K358" i="1" s="1"/>
  <c r="J358" i="1" a="1"/>
  <c r="J358" i="1" s="1"/>
  <c r="F358" i="1" a="1"/>
  <c r="F358" i="1" s="1"/>
  <c r="E358" i="1" s="1" a="1"/>
  <c r="E358" i="1" s="1"/>
  <c r="AZ357" i="1"/>
  <c r="AY357" i="1"/>
  <c r="AX357" i="1"/>
  <c r="AW357" i="1"/>
  <c r="AU357" i="1"/>
  <c r="AS357" i="1"/>
  <c r="K357" i="1" a="1"/>
  <c r="K357" i="1" s="1"/>
  <c r="J357" i="1" a="1"/>
  <c r="J357" i="1" s="1"/>
  <c r="F357" i="1" a="1"/>
  <c r="F357" i="1" s="1"/>
  <c r="AZ356" i="1"/>
  <c r="AY356" i="1"/>
  <c r="AX356" i="1"/>
  <c r="AW356" i="1"/>
  <c r="AU356" i="1"/>
  <c r="AS356" i="1"/>
  <c r="K356" i="1" a="1"/>
  <c r="K356" i="1" s="1"/>
  <c r="J356" i="1" a="1"/>
  <c r="J356" i="1" s="1"/>
  <c r="F356" i="1" a="1"/>
  <c r="F356" i="1" s="1"/>
  <c r="AZ355" i="1"/>
  <c r="AY355" i="1"/>
  <c r="AX355" i="1"/>
  <c r="AW355" i="1"/>
  <c r="AU355" i="1"/>
  <c r="AS355" i="1"/>
  <c r="K355" i="1" a="1"/>
  <c r="K355" i="1" s="1"/>
  <c r="J355" i="1" a="1"/>
  <c r="J355" i="1" s="1"/>
  <c r="F355" i="1" a="1"/>
  <c r="F355" i="1" s="1"/>
  <c r="AZ354" i="1"/>
  <c r="AY354" i="1"/>
  <c r="AX354" i="1"/>
  <c r="AW354" i="1"/>
  <c r="AU354" i="1"/>
  <c r="AS354" i="1"/>
  <c r="K354" i="1" a="1"/>
  <c r="K354" i="1" s="1"/>
  <c r="J354" i="1" a="1"/>
  <c r="J354" i="1" s="1"/>
  <c r="F354" i="1" a="1"/>
  <c r="F354" i="1" s="1"/>
  <c r="E354" i="1" s="1" a="1"/>
  <c r="E354" i="1" s="1"/>
  <c r="AZ353" i="1"/>
  <c r="AY353" i="1"/>
  <c r="AX353" i="1"/>
  <c r="AW353" i="1"/>
  <c r="AU353" i="1"/>
  <c r="AS353" i="1"/>
  <c r="K353" i="1" a="1"/>
  <c r="K353" i="1" s="1"/>
  <c r="J353" i="1" a="1"/>
  <c r="J353" i="1" s="1"/>
  <c r="F353" i="1" a="1"/>
  <c r="F353" i="1" s="1"/>
  <c r="AZ352" i="1"/>
  <c r="AY352" i="1"/>
  <c r="AX352" i="1"/>
  <c r="AW352" i="1"/>
  <c r="AU352" i="1"/>
  <c r="AS352" i="1"/>
  <c r="K352" i="1" a="1"/>
  <c r="K352" i="1" s="1"/>
  <c r="J352" i="1" a="1"/>
  <c r="J352" i="1" s="1"/>
  <c r="F352" i="1" a="1"/>
  <c r="F352" i="1" s="1"/>
  <c r="AZ351" i="1"/>
  <c r="AY351" i="1"/>
  <c r="AX351" i="1"/>
  <c r="AW351" i="1"/>
  <c r="AU351" i="1"/>
  <c r="AS351" i="1"/>
  <c r="K351" i="1" a="1"/>
  <c r="K351" i="1" s="1"/>
  <c r="J351" i="1" a="1"/>
  <c r="J351" i="1" s="1"/>
  <c r="F351" i="1" a="1"/>
  <c r="F351" i="1" s="1"/>
  <c r="E351" i="1" s="1" a="1"/>
  <c r="E351" i="1" s="1"/>
  <c r="AZ350" i="1"/>
  <c r="AY350" i="1"/>
  <c r="AX350" i="1"/>
  <c r="AW350" i="1"/>
  <c r="AU350" i="1"/>
  <c r="AS350" i="1"/>
  <c r="K350" i="1" a="1"/>
  <c r="K350" i="1" s="1"/>
  <c r="J350" i="1" a="1"/>
  <c r="J350" i="1" s="1"/>
  <c r="F350" i="1" a="1"/>
  <c r="F350" i="1" s="1"/>
  <c r="E350" i="1" s="1" a="1"/>
  <c r="E350" i="1" s="1"/>
  <c r="AZ348" i="1"/>
  <c r="AY348" i="1"/>
  <c r="AX348" i="1"/>
  <c r="AW348" i="1"/>
  <c r="AU348" i="1"/>
  <c r="AT348" i="1"/>
  <c r="AS348" i="1"/>
  <c r="K348" i="1" a="1"/>
  <c r="K348" i="1" s="1"/>
  <c r="J348" i="1" a="1"/>
  <c r="J348" i="1" s="1"/>
  <c r="F348" i="1" a="1"/>
  <c r="F348" i="1" s="1"/>
  <c r="AZ347" i="1"/>
  <c r="AY347" i="1"/>
  <c r="AX347" i="1"/>
  <c r="AW347" i="1"/>
  <c r="AU347" i="1"/>
  <c r="AT347" i="1"/>
  <c r="AS347" i="1"/>
  <c r="K347" i="1" a="1"/>
  <c r="K347" i="1" s="1"/>
  <c r="J347" i="1" a="1"/>
  <c r="J347" i="1" s="1"/>
  <c r="F347" i="1" a="1"/>
  <c r="F347" i="1" s="1"/>
  <c r="E347" i="1" s="1" a="1"/>
  <c r="E347" i="1" s="1"/>
  <c r="AZ346" i="1"/>
  <c r="AY346" i="1"/>
  <c r="AX346" i="1"/>
  <c r="AW346" i="1"/>
  <c r="AU346" i="1"/>
  <c r="AT346" i="1"/>
  <c r="AS346" i="1"/>
  <c r="K346" i="1" a="1"/>
  <c r="K346" i="1" s="1"/>
  <c r="J346" i="1" a="1"/>
  <c r="J346" i="1" s="1"/>
  <c r="F346" i="1" a="1"/>
  <c r="F346" i="1" s="1"/>
  <c r="AZ345" i="1"/>
  <c r="AY345" i="1"/>
  <c r="AX345" i="1"/>
  <c r="AW345" i="1"/>
  <c r="AU345" i="1"/>
  <c r="AT345" i="1"/>
  <c r="AS345" i="1"/>
  <c r="K345" i="1" a="1"/>
  <c r="K345" i="1" s="1"/>
  <c r="J345" i="1" a="1"/>
  <c r="J345" i="1" s="1"/>
  <c r="F345" i="1" a="1"/>
  <c r="F345" i="1" s="1"/>
  <c r="AZ344" i="1"/>
  <c r="AY344" i="1"/>
  <c r="AX344" i="1"/>
  <c r="AW344" i="1"/>
  <c r="AU344" i="1"/>
  <c r="AT344" i="1"/>
  <c r="AS344" i="1"/>
  <c r="K344" i="1" a="1"/>
  <c r="K344" i="1" s="1"/>
  <c r="J344" i="1" a="1"/>
  <c r="J344" i="1" s="1"/>
  <c r="F344" i="1" a="1"/>
  <c r="F344" i="1" s="1"/>
  <c r="AZ343" i="1"/>
  <c r="AY343" i="1"/>
  <c r="AX343" i="1"/>
  <c r="AW343" i="1"/>
  <c r="AU343" i="1"/>
  <c r="AT343" i="1"/>
  <c r="AS343" i="1"/>
  <c r="K343" i="1" a="1"/>
  <c r="K343" i="1" s="1"/>
  <c r="J343" i="1" a="1"/>
  <c r="J343" i="1" s="1"/>
  <c r="F343" i="1" a="1"/>
  <c r="F343" i="1" s="1"/>
  <c r="AZ342" i="1"/>
  <c r="AY342" i="1"/>
  <c r="AX342" i="1"/>
  <c r="AW342" i="1"/>
  <c r="AU342" i="1"/>
  <c r="AT342" i="1"/>
  <c r="AS342" i="1"/>
  <c r="K342" i="1" a="1"/>
  <c r="K342" i="1" s="1"/>
  <c r="J342" i="1" a="1"/>
  <c r="J342" i="1" s="1"/>
  <c r="F342" i="1" a="1"/>
  <c r="F342" i="1" s="1"/>
  <c r="AZ341" i="1"/>
  <c r="AY341" i="1"/>
  <c r="AX341" i="1"/>
  <c r="AW341" i="1"/>
  <c r="AU341" i="1"/>
  <c r="AT341" i="1"/>
  <c r="AS341" i="1"/>
  <c r="K341" i="1" a="1"/>
  <c r="K341" i="1" s="1"/>
  <c r="J341" i="1" a="1"/>
  <c r="J341" i="1" s="1"/>
  <c r="F341" i="1" a="1"/>
  <c r="F341" i="1" s="1"/>
  <c r="E341" i="1" s="1" a="1"/>
  <c r="E341" i="1" s="1"/>
  <c r="AZ340" i="1"/>
  <c r="AY340" i="1"/>
  <c r="AX340" i="1"/>
  <c r="AW340" i="1"/>
  <c r="AU340" i="1"/>
  <c r="AT340" i="1"/>
  <c r="AS340" i="1"/>
  <c r="K340" i="1" a="1"/>
  <c r="K340" i="1" s="1"/>
  <c r="J340" i="1" a="1"/>
  <c r="J340" i="1" s="1"/>
  <c r="F340" i="1" a="1"/>
  <c r="F340" i="1" s="1"/>
  <c r="AZ339" i="1"/>
  <c r="AY339" i="1"/>
  <c r="AX339" i="1"/>
  <c r="AW339" i="1"/>
  <c r="AU339" i="1"/>
  <c r="AT339" i="1"/>
  <c r="AS339" i="1"/>
  <c r="K339" i="1" a="1"/>
  <c r="K339" i="1" s="1"/>
  <c r="J339" i="1" a="1"/>
  <c r="J339" i="1" s="1"/>
  <c r="F339" i="1" a="1"/>
  <c r="F339" i="1" s="1"/>
  <c r="AZ330" i="1"/>
  <c r="AY330" i="1"/>
  <c r="AX330" i="1"/>
  <c r="AW330" i="1"/>
  <c r="AU330" i="1"/>
  <c r="AS330" i="1"/>
  <c r="K330" i="1" a="1"/>
  <c r="K330" i="1" s="1"/>
  <c r="J330" i="1" a="1"/>
  <c r="J330" i="1" s="1"/>
  <c r="F330" i="1" a="1"/>
  <c r="F330" i="1" s="1"/>
  <c r="E330" i="1" s="1" a="1"/>
  <c r="E330" i="1" s="1"/>
  <c r="AZ337" i="1"/>
  <c r="AY337" i="1"/>
  <c r="AX337" i="1"/>
  <c r="AW337" i="1"/>
  <c r="AU337" i="1"/>
  <c r="AS337" i="1"/>
  <c r="K337" i="1" a="1"/>
  <c r="K337" i="1" s="1"/>
  <c r="J337" i="1" a="1"/>
  <c r="J337" i="1" s="1"/>
  <c r="F337" i="1" a="1"/>
  <c r="F337" i="1" s="1"/>
  <c r="AZ336" i="1"/>
  <c r="AY336" i="1"/>
  <c r="AX336" i="1"/>
  <c r="AW336" i="1"/>
  <c r="AU336" i="1"/>
  <c r="AS336" i="1"/>
  <c r="K336" i="1" a="1"/>
  <c r="K336" i="1" s="1"/>
  <c r="J336" i="1" a="1"/>
  <c r="J336" i="1" s="1"/>
  <c r="F336" i="1" a="1"/>
  <c r="F336" i="1" s="1"/>
  <c r="AZ335" i="1"/>
  <c r="AY335" i="1"/>
  <c r="AX335" i="1"/>
  <c r="AW335" i="1"/>
  <c r="AU335" i="1"/>
  <c r="AS335" i="1"/>
  <c r="K335" i="1" a="1"/>
  <c r="K335" i="1" s="1"/>
  <c r="J335" i="1" a="1"/>
  <c r="J335" i="1" s="1"/>
  <c r="F335" i="1" a="1"/>
  <c r="F335" i="1" s="1"/>
  <c r="AZ334" i="1"/>
  <c r="AY334" i="1"/>
  <c r="AX334" i="1"/>
  <c r="AW334" i="1"/>
  <c r="AU334" i="1"/>
  <c r="AS334" i="1"/>
  <c r="K334" i="1" a="1"/>
  <c r="K334" i="1" s="1"/>
  <c r="J334" i="1" a="1"/>
  <c r="J334" i="1" s="1"/>
  <c r="F334" i="1" a="1"/>
  <c r="F334" i="1" s="1"/>
  <c r="AZ333" i="1"/>
  <c r="AY333" i="1"/>
  <c r="AX333" i="1"/>
  <c r="AW333" i="1"/>
  <c r="AU333" i="1"/>
  <c r="AS333" i="1"/>
  <c r="K333" i="1" a="1"/>
  <c r="K333" i="1" s="1"/>
  <c r="J333" i="1" a="1"/>
  <c r="J333" i="1" s="1"/>
  <c r="F333" i="1" a="1"/>
  <c r="F333" i="1" s="1"/>
  <c r="E333" i="1" s="1" a="1"/>
  <c r="E333" i="1" s="1"/>
  <c r="AZ332" i="1"/>
  <c r="AY332" i="1"/>
  <c r="AX332" i="1"/>
  <c r="AW332" i="1"/>
  <c r="AU332" i="1"/>
  <c r="AS332" i="1"/>
  <c r="K332" i="1" a="1"/>
  <c r="K332" i="1" s="1"/>
  <c r="J332" i="1" a="1"/>
  <c r="J332" i="1" s="1"/>
  <c r="F332" i="1" a="1"/>
  <c r="F332" i="1" s="1"/>
  <c r="AZ331" i="1"/>
  <c r="AY331" i="1"/>
  <c r="AX331" i="1"/>
  <c r="AW331" i="1"/>
  <c r="AU331" i="1"/>
  <c r="AS331" i="1"/>
  <c r="K331" i="1" a="1"/>
  <c r="K331" i="1" s="1"/>
  <c r="J331" i="1" a="1"/>
  <c r="J331" i="1" s="1"/>
  <c r="F331" i="1" a="1"/>
  <c r="F331" i="1" s="1"/>
  <c r="AZ329" i="1"/>
  <c r="AY329" i="1"/>
  <c r="AX329" i="1"/>
  <c r="AW329" i="1"/>
  <c r="AU329" i="1"/>
  <c r="AS329" i="1"/>
  <c r="K329" i="1" a="1"/>
  <c r="K329" i="1" s="1"/>
  <c r="J329" i="1" a="1"/>
  <c r="J329" i="1" s="1"/>
  <c r="F329" i="1" a="1"/>
  <c r="F329" i="1" s="1"/>
  <c r="AZ328" i="1"/>
  <c r="AY328" i="1"/>
  <c r="AX328" i="1"/>
  <c r="AW328" i="1"/>
  <c r="AU328" i="1"/>
  <c r="AS328" i="1"/>
  <c r="K328" i="1" a="1"/>
  <c r="K328" i="1" s="1"/>
  <c r="J328" i="1" a="1"/>
  <c r="J328" i="1" s="1"/>
  <c r="F328" i="1" a="1"/>
  <c r="F328" i="1" s="1"/>
  <c r="AZ492" i="1"/>
  <c r="AY492" i="1"/>
  <c r="AX492" i="1"/>
  <c r="AW492" i="1"/>
  <c r="AU492" i="1"/>
  <c r="AT492" i="1"/>
  <c r="AS492" i="1"/>
  <c r="K492" i="1" a="1"/>
  <c r="K492" i="1" s="1"/>
  <c r="J492" i="1" a="1"/>
  <c r="J492" i="1" s="1"/>
  <c r="F492" i="1" a="1"/>
  <c r="F492" i="1" s="1"/>
  <c r="AZ2359" i="1"/>
  <c r="AY2359" i="1"/>
  <c r="AX2359" i="1"/>
  <c r="AW2359" i="1"/>
  <c r="AU2359" i="1"/>
  <c r="AT2359" i="1"/>
  <c r="AS2359" i="1"/>
  <c r="K2359" i="1" a="1"/>
  <c r="K2359" i="1" s="1"/>
  <c r="J2359" i="1" a="1"/>
  <c r="J2359" i="1" s="1"/>
  <c r="F2359" i="1" a="1"/>
  <c r="F2359" i="1" s="1"/>
  <c r="AZ2358" i="1"/>
  <c r="AY2358" i="1"/>
  <c r="AX2358" i="1"/>
  <c r="AW2358" i="1"/>
  <c r="AU2358" i="1"/>
  <c r="AT2358" i="1"/>
  <c r="AS2358" i="1"/>
  <c r="K2358" i="1" a="1"/>
  <c r="K2358" i="1" s="1"/>
  <c r="J2358" i="1" a="1"/>
  <c r="J2358" i="1" s="1"/>
  <c r="F2358" i="1" a="1"/>
  <c r="F2358" i="1" s="1"/>
  <c r="AZ2357" i="1"/>
  <c r="AY2357" i="1"/>
  <c r="AX2357" i="1"/>
  <c r="AW2357" i="1"/>
  <c r="AU2357" i="1"/>
  <c r="AT2357" i="1"/>
  <c r="AS2357" i="1"/>
  <c r="K2357" i="1" a="1"/>
  <c r="K2357" i="1" s="1"/>
  <c r="J2357" i="1" a="1"/>
  <c r="J2357" i="1" s="1"/>
  <c r="F2357" i="1" a="1"/>
  <c r="F2357" i="1" s="1"/>
  <c r="AZ2356" i="1"/>
  <c r="AY2356" i="1"/>
  <c r="AX2356" i="1"/>
  <c r="AW2356" i="1"/>
  <c r="AU2356" i="1"/>
  <c r="AT2356" i="1"/>
  <c r="AS2356" i="1"/>
  <c r="K2356" i="1" a="1"/>
  <c r="K2356" i="1" s="1"/>
  <c r="J2356" i="1" a="1"/>
  <c r="J2356" i="1" s="1"/>
  <c r="F2356" i="1" a="1"/>
  <c r="F2356" i="1" s="1"/>
  <c r="AZ2355" i="1"/>
  <c r="AY2355" i="1"/>
  <c r="AX2355" i="1"/>
  <c r="AW2355" i="1"/>
  <c r="AU2355" i="1"/>
  <c r="AT2355" i="1"/>
  <c r="AS2355" i="1"/>
  <c r="K2355" i="1" a="1"/>
  <c r="K2355" i="1" s="1"/>
  <c r="J2355" i="1" a="1"/>
  <c r="J2355" i="1" s="1"/>
  <c r="F2355" i="1" a="1"/>
  <c r="F2355" i="1" s="1"/>
  <c r="AZ2354" i="1"/>
  <c r="AY2354" i="1"/>
  <c r="AX2354" i="1"/>
  <c r="AW2354" i="1"/>
  <c r="AU2354" i="1"/>
  <c r="AT2354" i="1"/>
  <c r="AS2354" i="1"/>
  <c r="K2354" i="1" a="1"/>
  <c r="K2354" i="1" s="1"/>
  <c r="J2354" i="1" a="1"/>
  <c r="J2354" i="1" s="1"/>
  <c r="F2354" i="1" a="1"/>
  <c r="F2354" i="1" s="1"/>
  <c r="AZ2353" i="1"/>
  <c r="AY2353" i="1"/>
  <c r="AX2353" i="1"/>
  <c r="AW2353" i="1"/>
  <c r="AU2353" i="1"/>
  <c r="AT2353" i="1"/>
  <c r="AS2353" i="1"/>
  <c r="K2353" i="1" a="1"/>
  <c r="K2353" i="1" s="1"/>
  <c r="J2353" i="1" a="1"/>
  <c r="J2353" i="1" s="1"/>
  <c r="F2353" i="1" a="1"/>
  <c r="F2353" i="1" s="1"/>
  <c r="AZ2352" i="1"/>
  <c r="AY2352" i="1"/>
  <c r="AX2352" i="1"/>
  <c r="AW2352" i="1"/>
  <c r="AU2352" i="1"/>
  <c r="AT2352" i="1"/>
  <c r="AS2352" i="1"/>
  <c r="K2352" i="1" a="1"/>
  <c r="K2352" i="1" s="1"/>
  <c r="J2352" i="1" a="1"/>
  <c r="J2352" i="1" s="1"/>
  <c r="F2352" i="1" a="1"/>
  <c r="F2352" i="1" s="1"/>
  <c r="E2352" i="1" s="1" a="1"/>
  <c r="E2352" i="1" s="1"/>
  <c r="AZ2351" i="1"/>
  <c r="AY2351" i="1"/>
  <c r="AX2351" i="1"/>
  <c r="AW2351" i="1"/>
  <c r="AU2351" i="1"/>
  <c r="AT2351" i="1"/>
  <c r="AS2351" i="1"/>
  <c r="K2351" i="1" a="1"/>
  <c r="K2351" i="1" s="1"/>
  <c r="J2351" i="1" a="1"/>
  <c r="J2351" i="1" s="1"/>
  <c r="F2351" i="1" a="1"/>
  <c r="F2351" i="1" s="1"/>
  <c r="AZ2350" i="1"/>
  <c r="AY2350" i="1"/>
  <c r="AX2350" i="1"/>
  <c r="AW2350" i="1"/>
  <c r="AU2350" i="1"/>
  <c r="AT2350" i="1"/>
  <c r="AS2350" i="1"/>
  <c r="K2350" i="1" a="1"/>
  <c r="K2350" i="1" s="1"/>
  <c r="J2350" i="1" a="1"/>
  <c r="J2350" i="1" s="1"/>
  <c r="F2350" i="1" a="1"/>
  <c r="F2350" i="1" s="1"/>
  <c r="AZ2348" i="1"/>
  <c r="AY2348" i="1"/>
  <c r="AX2348" i="1"/>
  <c r="AW2348" i="1"/>
  <c r="AU2348" i="1"/>
  <c r="AS2348" i="1"/>
  <c r="K2348" i="1" a="1"/>
  <c r="K2348" i="1" s="1"/>
  <c r="J2348" i="1" a="1"/>
  <c r="J2348" i="1" s="1"/>
  <c r="F2348" i="1" a="1"/>
  <c r="F2348" i="1" s="1"/>
  <c r="AZ2347" i="1"/>
  <c r="AY2347" i="1"/>
  <c r="AX2347" i="1"/>
  <c r="AW2347" i="1"/>
  <c r="AU2347" i="1"/>
  <c r="AS2347" i="1"/>
  <c r="K2347" i="1" a="1"/>
  <c r="K2347" i="1" s="1"/>
  <c r="J2347" i="1" a="1"/>
  <c r="J2347" i="1" s="1"/>
  <c r="F2347" i="1" a="1"/>
  <c r="F2347" i="1" s="1"/>
  <c r="AZ2346" i="1"/>
  <c r="AY2346" i="1"/>
  <c r="AX2346" i="1"/>
  <c r="AW2346" i="1"/>
  <c r="AU2346" i="1"/>
  <c r="AS2346" i="1"/>
  <c r="K2346" i="1" a="1"/>
  <c r="K2346" i="1" s="1"/>
  <c r="J2346" i="1" a="1"/>
  <c r="J2346" i="1" s="1"/>
  <c r="F2346" i="1" a="1"/>
  <c r="F2346" i="1" s="1"/>
  <c r="AZ2345" i="1"/>
  <c r="AY2345" i="1"/>
  <c r="AX2345" i="1"/>
  <c r="AW2345" i="1"/>
  <c r="AU2345" i="1"/>
  <c r="AS2345" i="1"/>
  <c r="K2345" i="1" a="1"/>
  <c r="K2345" i="1" s="1"/>
  <c r="J2345" i="1" a="1"/>
  <c r="J2345" i="1" s="1"/>
  <c r="F2345" i="1" a="1"/>
  <c r="F2345" i="1" s="1"/>
  <c r="AZ2344" i="1"/>
  <c r="AY2344" i="1"/>
  <c r="AX2344" i="1"/>
  <c r="AW2344" i="1"/>
  <c r="AU2344" i="1"/>
  <c r="AS2344" i="1"/>
  <c r="K2344" i="1" a="1"/>
  <c r="K2344" i="1" s="1"/>
  <c r="J2344" i="1" a="1"/>
  <c r="J2344" i="1" s="1"/>
  <c r="F2344" i="1" a="1"/>
  <c r="F2344" i="1" s="1"/>
  <c r="AZ2343" i="1"/>
  <c r="AY2343" i="1"/>
  <c r="AX2343" i="1"/>
  <c r="AW2343" i="1"/>
  <c r="AU2343" i="1"/>
  <c r="AS2343" i="1"/>
  <c r="K2343" i="1" a="1"/>
  <c r="K2343" i="1" s="1"/>
  <c r="J2343" i="1" a="1"/>
  <c r="J2343" i="1" s="1"/>
  <c r="F2343" i="1" a="1"/>
  <c r="F2343" i="1" s="1"/>
  <c r="AZ2342" i="1"/>
  <c r="AY2342" i="1"/>
  <c r="AX2342" i="1"/>
  <c r="AW2342" i="1"/>
  <c r="AU2342" i="1"/>
  <c r="AS2342" i="1"/>
  <c r="K2342" i="1" a="1"/>
  <c r="K2342" i="1" s="1"/>
  <c r="J2342" i="1" a="1"/>
  <c r="J2342" i="1" s="1"/>
  <c r="F2342" i="1" a="1"/>
  <c r="F2342" i="1" s="1"/>
  <c r="AZ2341" i="1"/>
  <c r="AY2341" i="1"/>
  <c r="AX2341" i="1"/>
  <c r="AW2341" i="1"/>
  <c r="AU2341" i="1"/>
  <c r="AS2341" i="1"/>
  <c r="K2341" i="1" a="1"/>
  <c r="K2341" i="1" s="1"/>
  <c r="J2341" i="1" a="1"/>
  <c r="J2341" i="1" s="1"/>
  <c r="F2341" i="1" a="1"/>
  <c r="F2341" i="1" s="1"/>
  <c r="E2341" i="1" s="1" a="1"/>
  <c r="E2341" i="1" s="1"/>
  <c r="AZ2340" i="1"/>
  <c r="AY2340" i="1"/>
  <c r="AX2340" i="1"/>
  <c r="AW2340" i="1"/>
  <c r="AU2340" i="1"/>
  <c r="AS2340" i="1"/>
  <c r="K2340" i="1" a="1"/>
  <c r="K2340" i="1" s="1"/>
  <c r="J2340" i="1" a="1"/>
  <c r="J2340" i="1" s="1"/>
  <c r="F2340" i="1" a="1"/>
  <c r="F2340" i="1" s="1"/>
  <c r="AZ2339" i="1"/>
  <c r="AY2339" i="1"/>
  <c r="AX2339" i="1"/>
  <c r="AW2339" i="1"/>
  <c r="AU2339" i="1"/>
  <c r="AS2339" i="1"/>
  <c r="K2339" i="1" a="1"/>
  <c r="K2339" i="1" s="1"/>
  <c r="J2339" i="1" a="1"/>
  <c r="J2339" i="1" s="1"/>
  <c r="F2339" i="1" a="1"/>
  <c r="F2339" i="1" s="1"/>
  <c r="AZ2048" i="1"/>
  <c r="AY2048" i="1"/>
  <c r="AX2048" i="1"/>
  <c r="AW2048" i="1"/>
  <c r="AU2048" i="1"/>
  <c r="AT2048" i="1"/>
  <c r="AS2048" i="1"/>
  <c r="K2048" i="1" a="1"/>
  <c r="K2048" i="1" s="1"/>
  <c r="J2048" i="1" a="1"/>
  <c r="J2048" i="1" s="1"/>
  <c r="F2048" i="1" a="1"/>
  <c r="F2048" i="1" s="1"/>
  <c r="AZ2047" i="1"/>
  <c r="AY2047" i="1"/>
  <c r="AX2047" i="1"/>
  <c r="AW2047" i="1"/>
  <c r="AU2047" i="1"/>
  <c r="AT2047" i="1"/>
  <c r="AS2047" i="1"/>
  <c r="K2047" i="1" a="1"/>
  <c r="K2047" i="1" s="1"/>
  <c r="J2047" i="1" a="1"/>
  <c r="J2047" i="1" s="1"/>
  <c r="F2047" i="1" a="1"/>
  <c r="F2047" i="1" s="1"/>
  <c r="E2047" i="1" s="1" a="1"/>
  <c r="E2047" i="1" s="1"/>
  <c r="AZ2046" i="1"/>
  <c r="AY2046" i="1"/>
  <c r="AX2046" i="1"/>
  <c r="AW2046" i="1"/>
  <c r="AU2046" i="1"/>
  <c r="AT2046" i="1"/>
  <c r="AS2046" i="1"/>
  <c r="K2046" i="1" a="1"/>
  <c r="K2046" i="1" s="1"/>
  <c r="J2046" i="1" a="1"/>
  <c r="J2046" i="1" s="1"/>
  <c r="F2046" i="1" a="1"/>
  <c r="F2046" i="1" s="1"/>
  <c r="AZ2045" i="1"/>
  <c r="AY2045" i="1"/>
  <c r="AX2045" i="1"/>
  <c r="AW2045" i="1"/>
  <c r="AU2045" i="1"/>
  <c r="AT2045" i="1"/>
  <c r="AS2045" i="1"/>
  <c r="K2045" i="1" a="1"/>
  <c r="K2045" i="1" s="1"/>
  <c r="J2045" i="1" a="1"/>
  <c r="J2045" i="1" s="1"/>
  <c r="F2045" i="1" a="1"/>
  <c r="F2045" i="1" s="1"/>
  <c r="AZ2044" i="1"/>
  <c r="AY2044" i="1"/>
  <c r="AX2044" i="1"/>
  <c r="AW2044" i="1"/>
  <c r="AU2044" i="1"/>
  <c r="AT2044" i="1"/>
  <c r="AS2044" i="1"/>
  <c r="K2044" i="1" a="1"/>
  <c r="K2044" i="1" s="1"/>
  <c r="J2044" i="1" a="1"/>
  <c r="J2044" i="1" s="1"/>
  <c r="F2044" i="1" a="1"/>
  <c r="F2044" i="1" s="1"/>
  <c r="AZ2043" i="1"/>
  <c r="AY2043" i="1"/>
  <c r="AX2043" i="1"/>
  <c r="AW2043" i="1"/>
  <c r="AU2043" i="1"/>
  <c r="AT2043" i="1"/>
  <c r="AS2043" i="1"/>
  <c r="K2043" i="1" a="1"/>
  <c r="K2043" i="1" s="1"/>
  <c r="J2043" i="1" a="1"/>
  <c r="J2043" i="1" s="1"/>
  <c r="F2043" i="1" a="1"/>
  <c r="F2043" i="1" s="1"/>
  <c r="E2043" i="1" s="1" a="1"/>
  <c r="E2043" i="1" s="1"/>
  <c r="AZ2042" i="1"/>
  <c r="AY2042" i="1"/>
  <c r="AX2042" i="1"/>
  <c r="AW2042" i="1"/>
  <c r="AU2042" i="1"/>
  <c r="AT2042" i="1"/>
  <c r="AS2042" i="1"/>
  <c r="K2042" i="1" a="1"/>
  <c r="K2042" i="1" s="1"/>
  <c r="J2042" i="1" a="1"/>
  <c r="J2042" i="1" s="1"/>
  <c r="F2042" i="1" a="1"/>
  <c r="F2042" i="1" s="1"/>
  <c r="AZ2041" i="1"/>
  <c r="AY2041" i="1"/>
  <c r="AX2041" i="1"/>
  <c r="AW2041" i="1"/>
  <c r="AU2041" i="1"/>
  <c r="AT2041" i="1"/>
  <c r="AS2041" i="1"/>
  <c r="K2041" i="1" a="1"/>
  <c r="K2041" i="1" s="1"/>
  <c r="J2041" i="1" a="1"/>
  <c r="J2041" i="1" s="1"/>
  <c r="F2041" i="1" a="1"/>
  <c r="F2041" i="1" s="1"/>
  <c r="AZ2040" i="1"/>
  <c r="AY2040" i="1"/>
  <c r="AX2040" i="1"/>
  <c r="AW2040" i="1"/>
  <c r="AU2040" i="1"/>
  <c r="AT2040" i="1"/>
  <c r="AS2040" i="1"/>
  <c r="K2040" i="1" a="1"/>
  <c r="K2040" i="1" s="1"/>
  <c r="J2040" i="1" a="1"/>
  <c r="J2040" i="1" s="1"/>
  <c r="F2040" i="1" a="1"/>
  <c r="F2040" i="1" s="1"/>
  <c r="AZ2039" i="1"/>
  <c r="AY2039" i="1"/>
  <c r="AX2039" i="1"/>
  <c r="AW2039" i="1"/>
  <c r="AU2039" i="1"/>
  <c r="AT2039" i="1"/>
  <c r="AS2039" i="1"/>
  <c r="K2039" i="1" a="1"/>
  <c r="K2039" i="1" s="1"/>
  <c r="J2039" i="1" a="1"/>
  <c r="J2039" i="1" s="1"/>
  <c r="F2039" i="1" a="1"/>
  <c r="F2039" i="1" s="1"/>
  <c r="E2039" i="1" s="1" a="1"/>
  <c r="E2039" i="1" s="1"/>
  <c r="AZ1618" i="1"/>
  <c r="AY1618" i="1"/>
  <c r="AX1618" i="1"/>
  <c r="AW1618" i="1"/>
  <c r="AU1618" i="1"/>
  <c r="AS1618" i="1"/>
  <c r="K1618" i="1" a="1"/>
  <c r="K1618" i="1" s="1"/>
  <c r="J1618" i="1" a="1"/>
  <c r="J1618" i="1" s="1"/>
  <c r="F1618" i="1" a="1"/>
  <c r="F1618" i="1" s="1"/>
  <c r="AZ1617" i="1"/>
  <c r="AY1617" i="1"/>
  <c r="AX1617" i="1"/>
  <c r="AW1617" i="1"/>
  <c r="AU1617" i="1"/>
  <c r="AS1617" i="1"/>
  <c r="K1617" i="1" a="1"/>
  <c r="K1617" i="1" s="1"/>
  <c r="J1617" i="1" a="1"/>
  <c r="J1617" i="1" s="1"/>
  <c r="F1617" i="1" a="1"/>
  <c r="F1617" i="1" s="1"/>
  <c r="E1617" i="1" s="1" a="1"/>
  <c r="E1617" i="1" s="1"/>
  <c r="AZ1616" i="1"/>
  <c r="AY1616" i="1"/>
  <c r="AX1616" i="1"/>
  <c r="AW1616" i="1"/>
  <c r="AU1616" i="1"/>
  <c r="AS1616" i="1"/>
  <c r="K1616" i="1" a="1"/>
  <c r="K1616" i="1" s="1"/>
  <c r="J1616" i="1" a="1"/>
  <c r="J1616" i="1" s="1"/>
  <c r="F1616" i="1" a="1"/>
  <c r="F1616" i="1" s="1"/>
  <c r="AZ1615" i="1"/>
  <c r="AY1615" i="1"/>
  <c r="AX1615" i="1"/>
  <c r="AW1615" i="1"/>
  <c r="AU1615" i="1"/>
  <c r="AS1615" i="1"/>
  <c r="K1615" i="1" a="1"/>
  <c r="K1615" i="1" s="1"/>
  <c r="J1615" i="1" a="1"/>
  <c r="J1615" i="1" s="1"/>
  <c r="F1615" i="1" a="1"/>
  <c r="F1615" i="1" s="1"/>
  <c r="AZ1614" i="1"/>
  <c r="AY1614" i="1"/>
  <c r="AX1614" i="1"/>
  <c r="AW1614" i="1"/>
  <c r="AU1614" i="1"/>
  <c r="AS1614" i="1"/>
  <c r="K1614" i="1" a="1"/>
  <c r="K1614" i="1" s="1"/>
  <c r="J1614" i="1" a="1"/>
  <c r="J1614" i="1" s="1"/>
  <c r="F1614" i="1" a="1"/>
  <c r="F1614" i="1" s="1"/>
  <c r="AZ1613" i="1"/>
  <c r="AY1613" i="1"/>
  <c r="AX1613" i="1"/>
  <c r="AW1613" i="1"/>
  <c r="AU1613" i="1"/>
  <c r="AS1613" i="1"/>
  <c r="K1613" i="1" a="1"/>
  <c r="K1613" i="1" s="1"/>
  <c r="J1613" i="1" a="1"/>
  <c r="J1613" i="1" s="1"/>
  <c r="F1613" i="1" a="1"/>
  <c r="F1613" i="1" s="1"/>
  <c r="E1613" i="1" s="1" a="1"/>
  <c r="E1613" i="1" s="1"/>
  <c r="AZ1612" i="1"/>
  <c r="AY1612" i="1"/>
  <c r="AX1612" i="1"/>
  <c r="AW1612" i="1"/>
  <c r="AU1612" i="1"/>
  <c r="AS1612" i="1"/>
  <c r="K1612" i="1" a="1"/>
  <c r="K1612" i="1" s="1"/>
  <c r="J1612" i="1" a="1"/>
  <c r="J1612" i="1" s="1"/>
  <c r="F1612" i="1" a="1"/>
  <c r="F1612" i="1" s="1"/>
  <c r="AZ1611" i="1"/>
  <c r="AY1611" i="1"/>
  <c r="AX1611" i="1"/>
  <c r="AW1611" i="1"/>
  <c r="AU1611" i="1"/>
  <c r="AS1611" i="1"/>
  <c r="K1611" i="1" a="1"/>
  <c r="K1611" i="1" s="1"/>
  <c r="J1611" i="1" a="1"/>
  <c r="J1611" i="1" s="1"/>
  <c r="F1611" i="1" a="1"/>
  <c r="F1611" i="1" s="1"/>
  <c r="AZ1610" i="1"/>
  <c r="AY1610" i="1"/>
  <c r="AX1610" i="1"/>
  <c r="AW1610" i="1"/>
  <c r="AU1610" i="1"/>
  <c r="AS1610" i="1"/>
  <c r="K1610" i="1" a="1"/>
  <c r="K1610" i="1" s="1"/>
  <c r="J1610" i="1" a="1"/>
  <c r="J1610" i="1" s="1"/>
  <c r="F1610" i="1" a="1"/>
  <c r="F1610" i="1" s="1"/>
  <c r="AZ1609" i="1"/>
  <c r="AY1609" i="1"/>
  <c r="AX1609" i="1"/>
  <c r="AW1609" i="1"/>
  <c r="AU1609" i="1"/>
  <c r="AS1609" i="1"/>
  <c r="K1609" i="1" a="1"/>
  <c r="K1609" i="1" s="1"/>
  <c r="J1609" i="1" a="1"/>
  <c r="J1609" i="1" s="1"/>
  <c r="F1609" i="1" a="1"/>
  <c r="F1609" i="1" s="1"/>
  <c r="E1609" i="1" s="1" a="1"/>
  <c r="E1609" i="1" s="1"/>
  <c r="AZ1607" i="1"/>
  <c r="AY1607" i="1"/>
  <c r="AX1607" i="1"/>
  <c r="AW1607" i="1"/>
  <c r="AU1607" i="1"/>
  <c r="AT1607" i="1"/>
  <c r="AS1607" i="1"/>
  <c r="K1607" i="1" a="1"/>
  <c r="K1607" i="1" s="1"/>
  <c r="J1607" i="1" a="1"/>
  <c r="J1607" i="1" s="1"/>
  <c r="F1607" i="1" a="1"/>
  <c r="F1607" i="1" s="1"/>
  <c r="AZ1606" i="1"/>
  <c r="AY1606" i="1"/>
  <c r="AX1606" i="1"/>
  <c r="AW1606" i="1"/>
  <c r="AU1606" i="1"/>
  <c r="AT1606" i="1"/>
  <c r="AS1606" i="1"/>
  <c r="K1606" i="1" a="1"/>
  <c r="K1606" i="1" s="1"/>
  <c r="J1606" i="1" a="1"/>
  <c r="J1606" i="1" s="1"/>
  <c r="F1606" i="1" a="1"/>
  <c r="F1606" i="1" s="1"/>
  <c r="AZ1605" i="1"/>
  <c r="AY1605" i="1"/>
  <c r="AX1605" i="1"/>
  <c r="AW1605" i="1"/>
  <c r="AU1605" i="1"/>
  <c r="AT1605" i="1"/>
  <c r="AS1605" i="1"/>
  <c r="K1605" i="1" a="1"/>
  <c r="K1605" i="1" s="1"/>
  <c r="J1605" i="1" a="1"/>
  <c r="J1605" i="1" s="1"/>
  <c r="F1605" i="1" a="1"/>
  <c r="F1605" i="1" s="1"/>
  <c r="AZ1604" i="1"/>
  <c r="AY1604" i="1"/>
  <c r="AX1604" i="1"/>
  <c r="AW1604" i="1"/>
  <c r="AU1604" i="1"/>
  <c r="AT1604" i="1"/>
  <c r="AS1604" i="1"/>
  <c r="K1604" i="1" a="1"/>
  <c r="K1604" i="1" s="1"/>
  <c r="J1604" i="1" a="1"/>
  <c r="J1604" i="1" s="1"/>
  <c r="F1604" i="1" a="1"/>
  <c r="F1604" i="1" s="1"/>
  <c r="AZ1603" i="1"/>
  <c r="AY1603" i="1"/>
  <c r="AX1603" i="1"/>
  <c r="AW1603" i="1"/>
  <c r="AU1603" i="1"/>
  <c r="AT1603" i="1"/>
  <c r="AS1603" i="1"/>
  <c r="K1603" i="1" a="1"/>
  <c r="K1603" i="1" s="1"/>
  <c r="J1603" i="1" a="1"/>
  <c r="J1603" i="1" s="1"/>
  <c r="F1603" i="1" a="1"/>
  <c r="F1603" i="1" s="1"/>
  <c r="AZ1602" i="1"/>
  <c r="AY1602" i="1"/>
  <c r="AX1602" i="1"/>
  <c r="AW1602" i="1"/>
  <c r="AU1602" i="1"/>
  <c r="AT1602" i="1"/>
  <c r="AS1602" i="1"/>
  <c r="K1602" i="1" a="1"/>
  <c r="K1602" i="1" s="1"/>
  <c r="J1602" i="1" a="1"/>
  <c r="J1602" i="1" s="1"/>
  <c r="F1602" i="1" a="1"/>
  <c r="F1602" i="1" s="1"/>
  <c r="AZ1601" i="1"/>
  <c r="AY1601" i="1"/>
  <c r="AX1601" i="1"/>
  <c r="AW1601" i="1"/>
  <c r="AU1601" i="1"/>
  <c r="AT1601" i="1"/>
  <c r="AS1601" i="1"/>
  <c r="K1601" i="1" a="1"/>
  <c r="K1601" i="1" s="1"/>
  <c r="J1601" i="1" a="1"/>
  <c r="J1601" i="1" s="1"/>
  <c r="F1601" i="1" a="1"/>
  <c r="F1601" i="1" s="1"/>
  <c r="AZ1600" i="1"/>
  <c r="AY1600" i="1"/>
  <c r="AX1600" i="1"/>
  <c r="AW1600" i="1"/>
  <c r="AU1600" i="1"/>
  <c r="AT1600" i="1"/>
  <c r="AS1600" i="1"/>
  <c r="K1600" i="1" a="1"/>
  <c r="K1600" i="1" s="1"/>
  <c r="J1600" i="1" a="1"/>
  <c r="J1600" i="1" s="1"/>
  <c r="F1600" i="1" a="1"/>
  <c r="F1600" i="1" s="1"/>
  <c r="E1600" i="1" s="1" a="1"/>
  <c r="E1600" i="1" s="1"/>
  <c r="AZ1599" i="1"/>
  <c r="AY1599" i="1"/>
  <c r="AX1599" i="1"/>
  <c r="AW1599" i="1"/>
  <c r="AU1599" i="1"/>
  <c r="AT1599" i="1"/>
  <c r="AS1599" i="1"/>
  <c r="K1599" i="1" a="1"/>
  <c r="K1599" i="1" s="1"/>
  <c r="J1599" i="1" a="1"/>
  <c r="J1599" i="1" s="1"/>
  <c r="F1599" i="1" a="1"/>
  <c r="F1599" i="1" s="1"/>
  <c r="AZ1598" i="1"/>
  <c r="AY1598" i="1"/>
  <c r="AX1598" i="1"/>
  <c r="AW1598" i="1"/>
  <c r="AU1598" i="1"/>
  <c r="AT1598" i="1"/>
  <c r="AS1598" i="1"/>
  <c r="K1598" i="1" a="1"/>
  <c r="K1598" i="1" s="1"/>
  <c r="J1598" i="1" a="1"/>
  <c r="J1598" i="1" s="1"/>
  <c r="F1598" i="1" a="1"/>
  <c r="F1598" i="1" s="1"/>
  <c r="AZ538" i="1"/>
  <c r="AY538" i="1"/>
  <c r="AX538" i="1"/>
  <c r="AW538" i="1"/>
  <c r="AU538" i="1"/>
  <c r="AS538" i="1"/>
  <c r="K538" i="1" a="1"/>
  <c r="K538" i="1" s="1"/>
  <c r="J538" i="1" a="1"/>
  <c r="J538" i="1" s="1"/>
  <c r="F538" i="1" a="1"/>
  <c r="F538" i="1" s="1"/>
  <c r="AZ537" i="1"/>
  <c r="AY537" i="1"/>
  <c r="AX537" i="1"/>
  <c r="AW537" i="1"/>
  <c r="AU537" i="1"/>
  <c r="AS537" i="1"/>
  <c r="K537" i="1" a="1"/>
  <c r="K537" i="1" s="1"/>
  <c r="J537" i="1" a="1"/>
  <c r="J537" i="1" s="1"/>
  <c r="F537" i="1" a="1"/>
  <c r="F537" i="1" s="1"/>
  <c r="AZ536" i="1"/>
  <c r="AY536" i="1"/>
  <c r="AX536" i="1"/>
  <c r="AW536" i="1"/>
  <c r="AU536" i="1"/>
  <c r="AS536" i="1"/>
  <c r="K536" i="1" a="1"/>
  <c r="K536" i="1" s="1"/>
  <c r="J536" i="1" a="1"/>
  <c r="J536" i="1" s="1"/>
  <c r="F536" i="1" a="1"/>
  <c r="F536" i="1" s="1"/>
  <c r="AZ535" i="1"/>
  <c r="AY535" i="1"/>
  <c r="AX535" i="1"/>
  <c r="AW535" i="1"/>
  <c r="AU535" i="1"/>
  <c r="AS535" i="1"/>
  <c r="K535" i="1" a="1"/>
  <c r="K535" i="1" s="1"/>
  <c r="J535" i="1" a="1"/>
  <c r="J535" i="1" s="1"/>
  <c r="F535" i="1" a="1"/>
  <c r="F535" i="1" s="1"/>
  <c r="AZ534" i="1"/>
  <c r="AY534" i="1"/>
  <c r="AX534" i="1"/>
  <c r="AW534" i="1"/>
  <c r="AU534" i="1"/>
  <c r="AS534" i="1"/>
  <c r="K534" i="1" a="1"/>
  <c r="K534" i="1" s="1"/>
  <c r="J534" i="1" a="1"/>
  <c r="J534" i="1" s="1"/>
  <c r="F534" i="1" a="1"/>
  <c r="F534" i="1" s="1"/>
  <c r="E534" i="1" s="1" a="1"/>
  <c r="E534" i="1" s="1"/>
  <c r="AZ533" i="1"/>
  <c r="AY533" i="1"/>
  <c r="AX533" i="1"/>
  <c r="AW533" i="1"/>
  <c r="AU533" i="1"/>
  <c r="AS533" i="1"/>
  <c r="K533" i="1" a="1"/>
  <c r="K533" i="1" s="1"/>
  <c r="J533" i="1" a="1"/>
  <c r="J533" i="1" s="1"/>
  <c r="F533" i="1" a="1"/>
  <c r="F533" i="1" s="1"/>
  <c r="E533" i="1" s="1" a="1"/>
  <c r="E533" i="1" s="1"/>
  <c r="AZ532" i="1"/>
  <c r="AY532" i="1"/>
  <c r="AX532" i="1"/>
  <c r="AW532" i="1"/>
  <c r="AU532" i="1"/>
  <c r="AS532" i="1"/>
  <c r="K532" i="1" a="1"/>
  <c r="K532" i="1" s="1"/>
  <c r="J532" i="1" a="1"/>
  <c r="J532" i="1" s="1"/>
  <c r="F532" i="1" a="1"/>
  <c r="F532" i="1" s="1"/>
  <c r="AZ531" i="1"/>
  <c r="AY531" i="1"/>
  <c r="AX531" i="1"/>
  <c r="AW531" i="1"/>
  <c r="AU531" i="1"/>
  <c r="AS531" i="1"/>
  <c r="K531" i="1" a="1"/>
  <c r="K531" i="1" s="1"/>
  <c r="J531" i="1" a="1"/>
  <c r="J531" i="1" s="1"/>
  <c r="F531" i="1" a="1"/>
  <c r="F531" i="1" s="1"/>
  <c r="AZ530" i="1"/>
  <c r="AY530" i="1"/>
  <c r="AX530" i="1"/>
  <c r="AW530" i="1"/>
  <c r="AU530" i="1"/>
  <c r="AS530" i="1"/>
  <c r="K530" i="1" a="1"/>
  <c r="K530" i="1" s="1"/>
  <c r="J530" i="1" a="1"/>
  <c r="J530" i="1" s="1"/>
  <c r="F530" i="1" a="1"/>
  <c r="F530" i="1" s="1"/>
  <c r="E530" i="1" s="1" a="1"/>
  <c r="E530" i="1" s="1"/>
  <c r="AZ529" i="1"/>
  <c r="AY529" i="1"/>
  <c r="AX529" i="1"/>
  <c r="AW529" i="1"/>
  <c r="AU529" i="1"/>
  <c r="AS529" i="1"/>
  <c r="K529" i="1" a="1"/>
  <c r="K529" i="1" s="1"/>
  <c r="J529" i="1" a="1"/>
  <c r="J529" i="1" s="1"/>
  <c r="F529" i="1" a="1"/>
  <c r="F529" i="1" s="1"/>
  <c r="AZ527" i="1"/>
  <c r="AY527" i="1"/>
  <c r="AX527" i="1"/>
  <c r="AW527" i="1"/>
  <c r="AT527" i="1" a="1"/>
  <c r="AT527" i="1" s="1"/>
  <c r="AU527" i="1" s="1"/>
  <c r="K527" i="1" a="1"/>
  <c r="K527" i="1" s="1"/>
  <c r="J527" i="1" a="1"/>
  <c r="J527" i="1" s="1"/>
  <c r="F527" i="1" a="1"/>
  <c r="F527" i="1" s="1"/>
  <c r="AZ526" i="1"/>
  <c r="AY526" i="1"/>
  <c r="AX526" i="1"/>
  <c r="AW526" i="1"/>
  <c r="AT526" i="1" a="1"/>
  <c r="AT526" i="1" s="1"/>
  <c r="AU526" i="1" s="1"/>
  <c r="K526" i="1" a="1"/>
  <c r="K526" i="1" s="1"/>
  <c r="J526" i="1" a="1"/>
  <c r="J526" i="1" s="1"/>
  <c r="F526" i="1" a="1"/>
  <c r="F526" i="1" s="1"/>
  <c r="AZ525" i="1"/>
  <c r="AY525" i="1"/>
  <c r="AX525" i="1"/>
  <c r="AW525" i="1"/>
  <c r="AT525" i="1" a="1"/>
  <c r="AT525" i="1" s="1"/>
  <c r="AU525" i="1" s="1"/>
  <c r="K525" i="1" a="1"/>
  <c r="K525" i="1" s="1"/>
  <c r="J525" i="1" a="1"/>
  <c r="J525" i="1" s="1"/>
  <c r="F525" i="1" a="1"/>
  <c r="F525" i="1" s="1"/>
  <c r="AZ524" i="1"/>
  <c r="AY524" i="1"/>
  <c r="AX524" i="1"/>
  <c r="AW524" i="1"/>
  <c r="AT524" i="1" a="1"/>
  <c r="AT524" i="1" s="1"/>
  <c r="AU524" i="1" s="1"/>
  <c r="K524" i="1" a="1"/>
  <c r="K524" i="1" s="1"/>
  <c r="J524" i="1" a="1"/>
  <c r="J524" i="1" s="1"/>
  <c r="F524" i="1" a="1"/>
  <c r="F524" i="1" s="1"/>
  <c r="AZ523" i="1"/>
  <c r="AY523" i="1"/>
  <c r="AX523" i="1"/>
  <c r="AW523" i="1"/>
  <c r="AT523" i="1" a="1"/>
  <c r="AT523" i="1" s="1"/>
  <c r="AU523" i="1" s="1"/>
  <c r="K523" i="1" a="1"/>
  <c r="K523" i="1" s="1"/>
  <c r="J523" i="1" a="1"/>
  <c r="J523" i="1" s="1"/>
  <c r="F523" i="1" a="1"/>
  <c r="F523" i="1" s="1"/>
  <c r="AZ522" i="1"/>
  <c r="AY522" i="1"/>
  <c r="AX522" i="1"/>
  <c r="AW522" i="1"/>
  <c r="AT522" i="1" a="1"/>
  <c r="AT522" i="1" s="1"/>
  <c r="AU522" i="1" s="1"/>
  <c r="K522" i="1" a="1"/>
  <c r="K522" i="1" s="1"/>
  <c r="J522" i="1" a="1"/>
  <c r="J522" i="1" s="1"/>
  <c r="F522" i="1" a="1"/>
  <c r="F522" i="1" s="1"/>
  <c r="AZ521" i="1"/>
  <c r="AY521" i="1"/>
  <c r="AX521" i="1"/>
  <c r="AW521" i="1"/>
  <c r="AT521" i="1" a="1"/>
  <c r="AT521" i="1" s="1"/>
  <c r="AU521" i="1" s="1"/>
  <c r="K521" i="1" a="1"/>
  <c r="K521" i="1" s="1"/>
  <c r="J521" i="1" a="1"/>
  <c r="J521" i="1" s="1"/>
  <c r="F521" i="1" a="1"/>
  <c r="F521" i="1" s="1"/>
  <c r="AZ520" i="1"/>
  <c r="AY520" i="1"/>
  <c r="AX520" i="1"/>
  <c r="AW520" i="1"/>
  <c r="AT520" i="1" a="1"/>
  <c r="AT520" i="1" s="1"/>
  <c r="AU520" i="1" s="1"/>
  <c r="K520" i="1" a="1"/>
  <c r="K520" i="1" s="1"/>
  <c r="J520" i="1" a="1"/>
  <c r="J520" i="1" s="1"/>
  <c r="F520" i="1" a="1"/>
  <c r="F520" i="1" s="1"/>
  <c r="AZ519" i="1"/>
  <c r="AY519" i="1"/>
  <c r="AX519" i="1"/>
  <c r="AW519" i="1"/>
  <c r="AT519" i="1" a="1"/>
  <c r="AT519" i="1" s="1"/>
  <c r="AU519" i="1" s="1"/>
  <c r="K519" i="1" a="1"/>
  <c r="K519" i="1" s="1"/>
  <c r="J519" i="1" a="1"/>
  <c r="J519" i="1" s="1"/>
  <c r="F519" i="1" a="1"/>
  <c r="F519" i="1" s="1"/>
  <c r="AZ518" i="1"/>
  <c r="AY518" i="1"/>
  <c r="AX518" i="1"/>
  <c r="AW518" i="1"/>
  <c r="AT518" i="1" a="1"/>
  <c r="AT518" i="1" s="1"/>
  <c r="AU518" i="1" s="1"/>
  <c r="K518" i="1" a="1"/>
  <c r="K518" i="1" s="1"/>
  <c r="J518" i="1" a="1"/>
  <c r="J518" i="1" s="1"/>
  <c r="F518" i="1" a="1"/>
  <c r="F518" i="1" s="1"/>
  <c r="AZ83" i="1"/>
  <c r="AY83" i="1"/>
  <c r="AX83" i="1"/>
  <c r="AW83" i="1"/>
  <c r="AT83" i="1" a="1"/>
  <c r="AT83" i="1" s="1"/>
  <c r="AU83" i="1" s="1"/>
  <c r="K83" i="1" a="1"/>
  <c r="K83" i="1" s="1"/>
  <c r="J83" i="1" a="1"/>
  <c r="J83" i="1" s="1"/>
  <c r="F83" i="1" a="1"/>
  <c r="F83" i="1" s="1"/>
  <c r="AZ82" i="1"/>
  <c r="AY82" i="1"/>
  <c r="AX82" i="1"/>
  <c r="AW82" i="1"/>
  <c r="AT82" i="1" a="1"/>
  <c r="AT82" i="1" s="1"/>
  <c r="AU82" i="1" s="1"/>
  <c r="K82" i="1" a="1"/>
  <c r="K82" i="1" s="1"/>
  <c r="J82" i="1" a="1"/>
  <c r="J82" i="1" s="1"/>
  <c r="F82" i="1" a="1"/>
  <c r="F82" i="1" s="1"/>
  <c r="AZ81" i="1"/>
  <c r="AY81" i="1"/>
  <c r="AX81" i="1"/>
  <c r="AW81" i="1"/>
  <c r="AT81" i="1" a="1"/>
  <c r="AT81" i="1" s="1"/>
  <c r="AU81" i="1" s="1"/>
  <c r="K81" i="1" a="1"/>
  <c r="K81" i="1" s="1"/>
  <c r="J81" i="1" a="1"/>
  <c r="J81" i="1" s="1"/>
  <c r="F81" i="1" a="1"/>
  <c r="F81" i="1" s="1"/>
  <c r="AZ80" i="1"/>
  <c r="AY80" i="1"/>
  <c r="AX80" i="1"/>
  <c r="AW80" i="1"/>
  <c r="AT80" i="1" a="1"/>
  <c r="AT80" i="1" s="1"/>
  <c r="AU80" i="1" s="1"/>
  <c r="K80" i="1" a="1"/>
  <c r="K80" i="1" s="1"/>
  <c r="J80" i="1" a="1"/>
  <c r="J80" i="1" s="1"/>
  <c r="F80" i="1" a="1"/>
  <c r="F80" i="1" s="1"/>
  <c r="AZ79" i="1"/>
  <c r="AY79" i="1"/>
  <c r="AX79" i="1"/>
  <c r="AW79" i="1"/>
  <c r="AT79" i="1" a="1"/>
  <c r="AT79" i="1" s="1"/>
  <c r="AU79" i="1" s="1"/>
  <c r="K79" i="1" a="1"/>
  <c r="K79" i="1" s="1"/>
  <c r="J79" i="1" a="1"/>
  <c r="J79" i="1" s="1"/>
  <c r="F79" i="1" a="1"/>
  <c r="F79" i="1" s="1"/>
  <c r="AZ78" i="1"/>
  <c r="AY78" i="1"/>
  <c r="AX78" i="1"/>
  <c r="AW78" i="1"/>
  <c r="AT78" i="1" a="1"/>
  <c r="AT78" i="1" s="1"/>
  <c r="AU78" i="1" s="1"/>
  <c r="K78" i="1" a="1"/>
  <c r="K78" i="1" s="1"/>
  <c r="J78" i="1" a="1"/>
  <c r="J78" i="1" s="1"/>
  <c r="F78" i="1" a="1"/>
  <c r="F78" i="1" s="1"/>
  <c r="AZ77" i="1"/>
  <c r="AY77" i="1"/>
  <c r="AX77" i="1"/>
  <c r="AW77" i="1"/>
  <c r="AT77" i="1" a="1"/>
  <c r="AT77" i="1" s="1"/>
  <c r="AU77" i="1" s="1"/>
  <c r="K77" i="1" a="1"/>
  <c r="K77" i="1" s="1"/>
  <c r="J77" i="1" a="1"/>
  <c r="J77" i="1" s="1"/>
  <c r="F77" i="1" a="1"/>
  <c r="F77" i="1" s="1"/>
  <c r="AZ76" i="1"/>
  <c r="AY76" i="1"/>
  <c r="AX76" i="1"/>
  <c r="AW76" i="1"/>
  <c r="AT76" i="1" a="1"/>
  <c r="AT76" i="1" s="1"/>
  <c r="AU76" i="1" s="1"/>
  <c r="K76" i="1" a="1"/>
  <c r="K76" i="1" s="1"/>
  <c r="J76" i="1" a="1"/>
  <c r="J76" i="1" s="1"/>
  <c r="F76" i="1" a="1"/>
  <c r="F76" i="1" s="1"/>
  <c r="AZ75" i="1"/>
  <c r="AY75" i="1"/>
  <c r="AX75" i="1"/>
  <c r="AW75" i="1"/>
  <c r="AT75" i="1" a="1"/>
  <c r="AT75" i="1" s="1"/>
  <c r="AU75" i="1" s="1"/>
  <c r="K75" i="1" a="1"/>
  <c r="K75" i="1" s="1"/>
  <c r="J75" i="1" a="1"/>
  <c r="J75" i="1" s="1"/>
  <c r="F75" i="1" a="1"/>
  <c r="F75" i="1" s="1"/>
  <c r="AZ74" i="1"/>
  <c r="AY74" i="1"/>
  <c r="AX74" i="1"/>
  <c r="AW74" i="1"/>
  <c r="AT74" i="1" a="1"/>
  <c r="AT74" i="1" s="1"/>
  <c r="AU74" i="1" s="1"/>
  <c r="K74" i="1" a="1"/>
  <c r="K74" i="1" s="1"/>
  <c r="J74" i="1" a="1"/>
  <c r="J74" i="1" s="1"/>
  <c r="F74" i="1" a="1"/>
  <c r="F74" i="1" s="1"/>
  <c r="AZ72" i="1"/>
  <c r="AY72" i="1"/>
  <c r="AX72" i="1"/>
  <c r="AW72" i="1"/>
  <c r="AT72" i="1" a="1"/>
  <c r="AT72" i="1" s="1"/>
  <c r="AU72" i="1" s="1"/>
  <c r="K72" i="1" a="1"/>
  <c r="K72" i="1" s="1"/>
  <c r="J72" i="1" a="1"/>
  <c r="J72" i="1" s="1"/>
  <c r="F72" i="1" a="1"/>
  <c r="F72" i="1" s="1"/>
  <c r="AZ71" i="1"/>
  <c r="AY71" i="1"/>
  <c r="AX71" i="1"/>
  <c r="AW71" i="1"/>
  <c r="AT71" i="1" a="1"/>
  <c r="AT71" i="1" s="1"/>
  <c r="AU71" i="1" s="1"/>
  <c r="K71" i="1" a="1"/>
  <c r="K71" i="1" s="1"/>
  <c r="J71" i="1" a="1"/>
  <c r="J71" i="1" s="1"/>
  <c r="F71" i="1" a="1"/>
  <c r="F71" i="1" s="1"/>
  <c r="AZ70" i="1"/>
  <c r="AY70" i="1"/>
  <c r="AX70" i="1"/>
  <c r="AW70" i="1"/>
  <c r="AT70" i="1" a="1"/>
  <c r="AT70" i="1" s="1"/>
  <c r="AU70" i="1" s="1"/>
  <c r="K70" i="1" a="1"/>
  <c r="K70" i="1" s="1"/>
  <c r="J70" i="1" a="1"/>
  <c r="J70" i="1" s="1"/>
  <c r="F70" i="1" a="1"/>
  <c r="F70" i="1" s="1"/>
  <c r="AZ69" i="1"/>
  <c r="AY69" i="1"/>
  <c r="AX69" i="1"/>
  <c r="AW69" i="1"/>
  <c r="AT69" i="1" a="1"/>
  <c r="AT69" i="1" s="1"/>
  <c r="AU69" i="1" s="1"/>
  <c r="K69" i="1" a="1"/>
  <c r="K69" i="1" s="1"/>
  <c r="J69" i="1" a="1"/>
  <c r="J69" i="1" s="1"/>
  <c r="F69" i="1" a="1"/>
  <c r="F69" i="1" s="1"/>
  <c r="AZ68" i="1"/>
  <c r="AY68" i="1"/>
  <c r="AX68" i="1"/>
  <c r="AW68" i="1"/>
  <c r="AT68" i="1" a="1"/>
  <c r="AT68" i="1" s="1"/>
  <c r="AU68" i="1" s="1"/>
  <c r="K68" i="1" a="1"/>
  <c r="K68" i="1" s="1"/>
  <c r="J68" i="1" a="1"/>
  <c r="J68" i="1" s="1"/>
  <c r="F68" i="1" a="1"/>
  <c r="F68" i="1" s="1"/>
  <c r="AZ67" i="1"/>
  <c r="AY67" i="1"/>
  <c r="AX67" i="1"/>
  <c r="AW67" i="1"/>
  <c r="AT67" i="1" a="1"/>
  <c r="AT67" i="1" s="1"/>
  <c r="AU67" i="1" s="1"/>
  <c r="K67" i="1" a="1"/>
  <c r="K67" i="1" s="1"/>
  <c r="J67" i="1" a="1"/>
  <c r="J67" i="1" s="1"/>
  <c r="F67" i="1" a="1"/>
  <c r="F67" i="1" s="1"/>
  <c r="AZ66" i="1"/>
  <c r="AY66" i="1"/>
  <c r="AX66" i="1"/>
  <c r="AW66" i="1"/>
  <c r="AT66" i="1" a="1"/>
  <c r="AT66" i="1" s="1"/>
  <c r="AU66" i="1" s="1"/>
  <c r="K66" i="1" a="1"/>
  <c r="K66" i="1" s="1"/>
  <c r="J66" i="1" a="1"/>
  <c r="J66" i="1" s="1"/>
  <c r="F66" i="1" a="1"/>
  <c r="F66" i="1" s="1"/>
  <c r="AZ65" i="1"/>
  <c r="AY65" i="1"/>
  <c r="AX65" i="1"/>
  <c r="AW65" i="1"/>
  <c r="AT65" i="1" a="1"/>
  <c r="AT65" i="1" s="1"/>
  <c r="AU65" i="1" s="1"/>
  <c r="K65" i="1" a="1"/>
  <c r="K65" i="1" s="1"/>
  <c r="J65" i="1" a="1"/>
  <c r="J65" i="1" s="1"/>
  <c r="F65" i="1" a="1"/>
  <c r="F65" i="1" s="1"/>
  <c r="AZ64" i="1"/>
  <c r="AY64" i="1"/>
  <c r="AX64" i="1"/>
  <c r="AW64" i="1"/>
  <c r="AT64" i="1" a="1"/>
  <c r="AT64" i="1" s="1"/>
  <c r="AU64" i="1" s="1"/>
  <c r="K64" i="1" a="1"/>
  <c r="K64" i="1" s="1"/>
  <c r="J64" i="1" a="1"/>
  <c r="J64" i="1" s="1"/>
  <c r="F64" i="1" a="1"/>
  <c r="F64" i="1" s="1"/>
  <c r="AZ63" i="1"/>
  <c r="AY63" i="1"/>
  <c r="AX63" i="1"/>
  <c r="AW63" i="1"/>
  <c r="AT63" i="1" a="1"/>
  <c r="AT63" i="1" s="1"/>
  <c r="AU63" i="1" s="1"/>
  <c r="K63" i="1" a="1"/>
  <c r="K63" i="1" s="1"/>
  <c r="J63" i="1" a="1"/>
  <c r="J63" i="1" s="1"/>
  <c r="F63" i="1" a="1"/>
  <c r="F63" i="1" s="1"/>
  <c r="AZ2349" i="1"/>
  <c r="AY2349" i="1"/>
  <c r="AX2349" i="1"/>
  <c r="AW2349" i="1"/>
  <c r="AU2349" i="1"/>
  <c r="AT2349" i="1"/>
  <c r="AS2349" i="1"/>
  <c r="K2349" i="1" a="1"/>
  <c r="K2349" i="1" s="1"/>
  <c r="J2349" i="1" a="1"/>
  <c r="J2349" i="1" s="1"/>
  <c r="F2349" i="1" a="1"/>
  <c r="F2349" i="1" s="1"/>
  <c r="E2349" i="1" s="1" a="1"/>
  <c r="E2349" i="1" s="1"/>
  <c r="AZ660" i="1"/>
  <c r="AY660" i="1"/>
  <c r="AX660" i="1"/>
  <c r="AW660" i="1"/>
  <c r="K660" i="1" a="1"/>
  <c r="K660" i="1" s="1"/>
  <c r="J660" i="1" a="1"/>
  <c r="J660" i="1" s="1"/>
  <c r="F660" i="1" a="1"/>
  <c r="F660" i="1" s="1"/>
  <c r="AZ659" i="1"/>
  <c r="AY659" i="1"/>
  <c r="AX659" i="1"/>
  <c r="AW659" i="1"/>
  <c r="K659" i="1" a="1"/>
  <c r="K659" i="1" s="1"/>
  <c r="J659" i="1" a="1"/>
  <c r="J659" i="1" s="1"/>
  <c r="F659" i="1" a="1"/>
  <c r="F659" i="1" s="1"/>
  <c r="AZ658" i="1"/>
  <c r="AY658" i="1"/>
  <c r="AX658" i="1"/>
  <c r="AW658" i="1"/>
  <c r="K658" i="1" a="1"/>
  <c r="K658" i="1" s="1"/>
  <c r="J658" i="1" a="1"/>
  <c r="J658" i="1" s="1"/>
  <c r="F658" i="1" a="1"/>
  <c r="F658" i="1" s="1"/>
  <c r="AZ657" i="1"/>
  <c r="AY657" i="1"/>
  <c r="AX657" i="1"/>
  <c r="AW657" i="1"/>
  <c r="K657" i="1" a="1"/>
  <c r="K657" i="1" s="1"/>
  <c r="J657" i="1" a="1"/>
  <c r="J657" i="1" s="1"/>
  <c r="F657" i="1" a="1"/>
  <c r="F657" i="1" s="1"/>
  <c r="AZ656" i="1"/>
  <c r="AY656" i="1"/>
  <c r="AX656" i="1"/>
  <c r="AW656" i="1"/>
  <c r="K656" i="1" a="1"/>
  <c r="K656" i="1" s="1"/>
  <c r="J656" i="1" a="1"/>
  <c r="J656" i="1" s="1"/>
  <c r="F656" i="1" a="1"/>
  <c r="F656" i="1" s="1"/>
  <c r="AZ655" i="1"/>
  <c r="AY655" i="1"/>
  <c r="AX655" i="1"/>
  <c r="AW655" i="1"/>
  <c r="K655" i="1" a="1"/>
  <c r="K655" i="1" s="1"/>
  <c r="J655" i="1" a="1"/>
  <c r="J655" i="1" s="1"/>
  <c r="F655" i="1" a="1"/>
  <c r="F655" i="1" s="1"/>
  <c r="AZ654" i="1"/>
  <c r="AY654" i="1"/>
  <c r="AX654" i="1"/>
  <c r="AW654" i="1"/>
  <c r="K654" i="1" a="1"/>
  <c r="K654" i="1" s="1"/>
  <c r="J654" i="1" a="1"/>
  <c r="J654" i="1" s="1"/>
  <c r="F654" i="1" a="1"/>
  <c r="F654" i="1" s="1"/>
  <c r="AZ653" i="1"/>
  <c r="AY653" i="1"/>
  <c r="AX653" i="1"/>
  <c r="AW653" i="1"/>
  <c r="K653" i="1" a="1"/>
  <c r="K653" i="1" s="1"/>
  <c r="J653" i="1" a="1"/>
  <c r="J653" i="1" s="1"/>
  <c r="F653" i="1" a="1"/>
  <c r="F653" i="1" s="1"/>
  <c r="AZ652" i="1"/>
  <c r="AY652" i="1"/>
  <c r="AX652" i="1"/>
  <c r="AW652" i="1"/>
  <c r="K652" i="1" a="1"/>
  <c r="K652" i="1" s="1"/>
  <c r="J652" i="1" a="1"/>
  <c r="J652" i="1" s="1"/>
  <c r="F652" i="1" a="1"/>
  <c r="F652" i="1" s="1"/>
  <c r="AZ651" i="1"/>
  <c r="AY651" i="1"/>
  <c r="AX651" i="1"/>
  <c r="AW651" i="1"/>
  <c r="K651" i="1" a="1"/>
  <c r="K651" i="1" s="1"/>
  <c r="J651" i="1" a="1"/>
  <c r="J651" i="1" s="1"/>
  <c r="F651" i="1" a="1"/>
  <c r="F651" i="1" s="1"/>
  <c r="AZ649" i="1"/>
  <c r="AY649" i="1"/>
  <c r="AX649" i="1"/>
  <c r="AW649" i="1"/>
  <c r="K649" i="1" a="1"/>
  <c r="K649" i="1" s="1"/>
  <c r="J649" i="1" a="1"/>
  <c r="J649" i="1" s="1"/>
  <c r="F649" i="1" a="1"/>
  <c r="F649" i="1" s="1"/>
  <c r="AZ648" i="1"/>
  <c r="AY648" i="1"/>
  <c r="AX648" i="1"/>
  <c r="AW648" i="1"/>
  <c r="K648" i="1" a="1"/>
  <c r="K648" i="1" s="1"/>
  <c r="J648" i="1" a="1"/>
  <c r="J648" i="1" s="1"/>
  <c r="F648" i="1" a="1"/>
  <c r="F648" i="1" s="1"/>
  <c r="AZ647" i="1"/>
  <c r="AY647" i="1"/>
  <c r="AX647" i="1"/>
  <c r="AW647" i="1"/>
  <c r="K647" i="1" a="1"/>
  <c r="K647" i="1" s="1"/>
  <c r="J647" i="1" a="1"/>
  <c r="J647" i="1" s="1"/>
  <c r="F647" i="1" a="1"/>
  <c r="F647" i="1" s="1"/>
  <c r="AZ646" i="1"/>
  <c r="AY646" i="1"/>
  <c r="AX646" i="1"/>
  <c r="AW646" i="1"/>
  <c r="K646" i="1" a="1"/>
  <c r="K646" i="1" s="1"/>
  <c r="J646" i="1" a="1"/>
  <c r="J646" i="1" s="1"/>
  <c r="F646" i="1" a="1"/>
  <c r="F646" i="1" s="1"/>
  <c r="AZ645" i="1"/>
  <c r="AY645" i="1"/>
  <c r="AX645" i="1"/>
  <c r="AW645" i="1"/>
  <c r="K645" i="1" a="1"/>
  <c r="K645" i="1" s="1"/>
  <c r="J645" i="1" a="1"/>
  <c r="J645" i="1" s="1"/>
  <c r="F645" i="1" a="1"/>
  <c r="F645" i="1" s="1"/>
  <c r="AZ644" i="1"/>
  <c r="AY644" i="1"/>
  <c r="AX644" i="1"/>
  <c r="AW644" i="1"/>
  <c r="K644" i="1" a="1"/>
  <c r="K644" i="1" s="1"/>
  <c r="J644" i="1" a="1"/>
  <c r="J644" i="1" s="1"/>
  <c r="F644" i="1" a="1"/>
  <c r="F644" i="1" s="1"/>
  <c r="AZ643" i="1"/>
  <c r="AY643" i="1"/>
  <c r="AX643" i="1"/>
  <c r="AW643" i="1"/>
  <c r="K643" i="1" a="1"/>
  <c r="K643" i="1" s="1"/>
  <c r="J643" i="1" a="1"/>
  <c r="J643" i="1" s="1"/>
  <c r="F643" i="1" a="1"/>
  <c r="F643" i="1" s="1"/>
  <c r="AZ642" i="1"/>
  <c r="AY642" i="1"/>
  <c r="AX642" i="1"/>
  <c r="AW642" i="1"/>
  <c r="K642" i="1" a="1"/>
  <c r="K642" i="1" s="1"/>
  <c r="J642" i="1" a="1"/>
  <c r="J642" i="1" s="1"/>
  <c r="F642" i="1" a="1"/>
  <c r="F642" i="1" s="1"/>
  <c r="AZ641" i="1"/>
  <c r="AY641" i="1"/>
  <c r="AX641" i="1"/>
  <c r="AW641" i="1"/>
  <c r="K641" i="1" a="1"/>
  <c r="K641" i="1" s="1"/>
  <c r="J641" i="1" a="1"/>
  <c r="J641" i="1" s="1"/>
  <c r="F641" i="1" a="1"/>
  <c r="F641" i="1" s="1"/>
  <c r="AZ640" i="1"/>
  <c r="AY640" i="1"/>
  <c r="AX640" i="1"/>
  <c r="AW640" i="1"/>
  <c r="K640" i="1" a="1"/>
  <c r="K640" i="1" s="1"/>
  <c r="J640" i="1" a="1"/>
  <c r="J640" i="1" s="1"/>
  <c r="F640" i="1" a="1"/>
  <c r="F640" i="1" s="1"/>
  <c r="AZ638" i="1"/>
  <c r="AY638" i="1"/>
  <c r="AX638" i="1"/>
  <c r="AW638" i="1"/>
  <c r="K638" i="1" a="1"/>
  <c r="K638" i="1" s="1"/>
  <c r="J638" i="1" a="1"/>
  <c r="J638" i="1" s="1"/>
  <c r="F638" i="1" a="1"/>
  <c r="F638" i="1" s="1"/>
  <c r="AZ637" i="1"/>
  <c r="AY637" i="1"/>
  <c r="AX637" i="1"/>
  <c r="AW637" i="1"/>
  <c r="K637" i="1" a="1"/>
  <c r="K637" i="1" s="1"/>
  <c r="J637" i="1" a="1"/>
  <c r="J637" i="1" s="1"/>
  <c r="F637" i="1" a="1"/>
  <c r="F637" i="1" s="1"/>
  <c r="AZ636" i="1"/>
  <c r="AY636" i="1"/>
  <c r="AX636" i="1"/>
  <c r="AW636" i="1"/>
  <c r="K636" i="1" a="1"/>
  <c r="K636" i="1" s="1"/>
  <c r="J636" i="1" a="1"/>
  <c r="J636" i="1" s="1"/>
  <c r="F636" i="1" a="1"/>
  <c r="F636" i="1" s="1"/>
  <c r="AZ635" i="1"/>
  <c r="AY635" i="1"/>
  <c r="AX635" i="1"/>
  <c r="AW635" i="1"/>
  <c r="K635" i="1" a="1"/>
  <c r="K635" i="1" s="1"/>
  <c r="J635" i="1" a="1"/>
  <c r="J635" i="1" s="1"/>
  <c r="F635" i="1" a="1"/>
  <c r="F635" i="1" s="1"/>
  <c r="AZ634" i="1"/>
  <c r="AY634" i="1"/>
  <c r="AX634" i="1"/>
  <c r="AW634" i="1"/>
  <c r="K634" i="1" a="1"/>
  <c r="K634" i="1" s="1"/>
  <c r="J634" i="1" a="1"/>
  <c r="J634" i="1" s="1"/>
  <c r="F634" i="1" a="1"/>
  <c r="F634" i="1" s="1"/>
  <c r="AZ633" i="1"/>
  <c r="AY633" i="1"/>
  <c r="AX633" i="1"/>
  <c r="AW633" i="1"/>
  <c r="K633" i="1" a="1"/>
  <c r="K633" i="1" s="1"/>
  <c r="J633" i="1" a="1"/>
  <c r="J633" i="1" s="1"/>
  <c r="F633" i="1" a="1"/>
  <c r="F633" i="1" s="1"/>
  <c r="AZ632" i="1"/>
  <c r="AY632" i="1"/>
  <c r="AX632" i="1"/>
  <c r="AW632" i="1"/>
  <c r="K632" i="1" a="1"/>
  <c r="K632" i="1" s="1"/>
  <c r="J632" i="1" a="1"/>
  <c r="J632" i="1" s="1"/>
  <c r="F632" i="1" a="1"/>
  <c r="F632" i="1" s="1"/>
  <c r="AZ631" i="1"/>
  <c r="AY631" i="1"/>
  <c r="AX631" i="1"/>
  <c r="AW631" i="1"/>
  <c r="K631" i="1" a="1"/>
  <c r="K631" i="1" s="1"/>
  <c r="J631" i="1" a="1"/>
  <c r="J631" i="1" s="1"/>
  <c r="F631" i="1" a="1"/>
  <c r="F631" i="1" s="1"/>
  <c r="AZ630" i="1"/>
  <c r="AY630" i="1"/>
  <c r="AX630" i="1"/>
  <c r="AW630" i="1"/>
  <c r="K630" i="1" a="1"/>
  <c r="K630" i="1" s="1"/>
  <c r="J630" i="1" a="1"/>
  <c r="J630" i="1" s="1"/>
  <c r="F630" i="1" a="1"/>
  <c r="F630" i="1" s="1"/>
  <c r="AZ629" i="1"/>
  <c r="AY629" i="1"/>
  <c r="AX629" i="1"/>
  <c r="AW629" i="1"/>
  <c r="K629" i="1" a="1"/>
  <c r="K629" i="1" s="1"/>
  <c r="J629" i="1" a="1"/>
  <c r="J629" i="1" s="1"/>
  <c r="F629" i="1" a="1"/>
  <c r="F629" i="1" s="1"/>
  <c r="AZ627" i="1"/>
  <c r="AY627" i="1"/>
  <c r="AX627" i="1"/>
  <c r="AW627" i="1"/>
  <c r="K627" i="1" a="1"/>
  <c r="K627" i="1" s="1"/>
  <c r="J627" i="1" a="1"/>
  <c r="J627" i="1" s="1"/>
  <c r="F627" i="1" a="1"/>
  <c r="F627" i="1" s="1"/>
  <c r="AZ626" i="1"/>
  <c r="AY626" i="1"/>
  <c r="AX626" i="1"/>
  <c r="AW626" i="1"/>
  <c r="K626" i="1" a="1"/>
  <c r="K626" i="1" s="1"/>
  <c r="J626" i="1" a="1"/>
  <c r="J626" i="1" s="1"/>
  <c r="F626" i="1" a="1"/>
  <c r="F626" i="1" s="1"/>
  <c r="AZ625" i="1"/>
  <c r="AY625" i="1"/>
  <c r="AX625" i="1"/>
  <c r="AW625" i="1"/>
  <c r="K625" i="1" a="1"/>
  <c r="K625" i="1" s="1"/>
  <c r="J625" i="1" a="1"/>
  <c r="J625" i="1" s="1"/>
  <c r="F625" i="1" a="1"/>
  <c r="F625" i="1" s="1"/>
  <c r="AZ624" i="1"/>
  <c r="AY624" i="1"/>
  <c r="AX624" i="1"/>
  <c r="AW624" i="1"/>
  <c r="K624" i="1" a="1"/>
  <c r="K624" i="1" s="1"/>
  <c r="J624" i="1" a="1"/>
  <c r="J624" i="1" s="1"/>
  <c r="F624" i="1" a="1"/>
  <c r="F624" i="1" s="1"/>
  <c r="AZ623" i="1"/>
  <c r="AY623" i="1"/>
  <c r="AX623" i="1"/>
  <c r="AW623" i="1"/>
  <c r="K623" i="1" a="1"/>
  <c r="K623" i="1" s="1"/>
  <c r="J623" i="1" a="1"/>
  <c r="J623" i="1" s="1"/>
  <c r="F623" i="1" a="1"/>
  <c r="F623" i="1" s="1"/>
  <c r="AZ622" i="1"/>
  <c r="AY622" i="1"/>
  <c r="AX622" i="1"/>
  <c r="AW622" i="1"/>
  <c r="K622" i="1" a="1"/>
  <c r="K622" i="1" s="1"/>
  <c r="J622" i="1" a="1"/>
  <c r="J622" i="1" s="1"/>
  <c r="F622" i="1" a="1"/>
  <c r="F622" i="1" s="1"/>
  <c r="AZ621" i="1"/>
  <c r="AY621" i="1"/>
  <c r="AX621" i="1"/>
  <c r="AW621" i="1"/>
  <c r="K621" i="1" a="1"/>
  <c r="K621" i="1" s="1"/>
  <c r="J621" i="1" a="1"/>
  <c r="J621" i="1" s="1"/>
  <c r="F621" i="1" a="1"/>
  <c r="F621" i="1" s="1"/>
  <c r="AZ620" i="1"/>
  <c r="AY620" i="1"/>
  <c r="AX620" i="1"/>
  <c r="AW620" i="1"/>
  <c r="K620" i="1" a="1"/>
  <c r="K620" i="1" s="1"/>
  <c r="J620" i="1" a="1"/>
  <c r="J620" i="1" s="1"/>
  <c r="F620" i="1" a="1"/>
  <c r="F620" i="1" s="1"/>
  <c r="AZ619" i="1"/>
  <c r="AY619" i="1"/>
  <c r="AX619" i="1"/>
  <c r="AW619" i="1"/>
  <c r="K619" i="1" a="1"/>
  <c r="K619" i="1" s="1"/>
  <c r="J619" i="1" a="1"/>
  <c r="J619" i="1" s="1"/>
  <c r="F619" i="1" a="1"/>
  <c r="F619" i="1" s="1"/>
  <c r="AZ618" i="1"/>
  <c r="AY618" i="1"/>
  <c r="AX618" i="1"/>
  <c r="AW618" i="1"/>
  <c r="K618" i="1" a="1"/>
  <c r="K618" i="1" s="1"/>
  <c r="J618" i="1" a="1"/>
  <c r="J618" i="1" s="1"/>
  <c r="F618" i="1" a="1"/>
  <c r="F618" i="1" s="1"/>
  <c r="AZ616" i="1"/>
  <c r="AY616" i="1"/>
  <c r="AX616" i="1"/>
  <c r="AW616" i="1"/>
  <c r="K616" i="1" a="1"/>
  <c r="K616" i="1" s="1"/>
  <c r="J616" i="1" a="1"/>
  <c r="J616" i="1" s="1"/>
  <c r="F616" i="1" a="1"/>
  <c r="F616" i="1" s="1"/>
  <c r="AZ615" i="1"/>
  <c r="AY615" i="1"/>
  <c r="AX615" i="1"/>
  <c r="AW615" i="1"/>
  <c r="K615" i="1" a="1"/>
  <c r="K615" i="1" s="1"/>
  <c r="J615" i="1" a="1"/>
  <c r="J615" i="1" s="1"/>
  <c r="F615" i="1" a="1"/>
  <c r="F615" i="1" s="1"/>
  <c r="AZ614" i="1"/>
  <c r="AY614" i="1"/>
  <c r="AX614" i="1"/>
  <c r="AW614" i="1"/>
  <c r="K614" i="1" a="1"/>
  <c r="K614" i="1" s="1"/>
  <c r="J614" i="1" a="1"/>
  <c r="J614" i="1" s="1"/>
  <c r="F614" i="1" a="1"/>
  <c r="F614" i="1" s="1"/>
  <c r="AZ613" i="1"/>
  <c r="AY613" i="1"/>
  <c r="AX613" i="1"/>
  <c r="AW613" i="1"/>
  <c r="K613" i="1" a="1"/>
  <c r="K613" i="1" s="1"/>
  <c r="J613" i="1" a="1"/>
  <c r="J613" i="1" s="1"/>
  <c r="F613" i="1" a="1"/>
  <c r="F613" i="1" s="1"/>
  <c r="AZ612" i="1"/>
  <c r="AY612" i="1"/>
  <c r="AX612" i="1"/>
  <c r="AW612" i="1"/>
  <c r="K612" i="1" a="1"/>
  <c r="K612" i="1" s="1"/>
  <c r="J612" i="1" a="1"/>
  <c r="J612" i="1" s="1"/>
  <c r="F612" i="1" a="1"/>
  <c r="F612" i="1" s="1"/>
  <c r="AZ611" i="1"/>
  <c r="AY611" i="1"/>
  <c r="AX611" i="1"/>
  <c r="AW611" i="1"/>
  <c r="K611" i="1" a="1"/>
  <c r="K611" i="1" s="1"/>
  <c r="J611" i="1" a="1"/>
  <c r="J611" i="1" s="1"/>
  <c r="F611" i="1" a="1"/>
  <c r="F611" i="1" s="1"/>
  <c r="AZ610" i="1"/>
  <c r="AY610" i="1"/>
  <c r="AX610" i="1"/>
  <c r="AW610" i="1"/>
  <c r="K610" i="1" a="1"/>
  <c r="K610" i="1" s="1"/>
  <c r="J610" i="1" a="1"/>
  <c r="J610" i="1" s="1"/>
  <c r="F610" i="1" a="1"/>
  <c r="F610" i="1" s="1"/>
  <c r="AZ609" i="1"/>
  <c r="AY609" i="1"/>
  <c r="AX609" i="1"/>
  <c r="AW609" i="1"/>
  <c r="K609" i="1" a="1"/>
  <c r="K609" i="1" s="1"/>
  <c r="J609" i="1" a="1"/>
  <c r="J609" i="1" s="1"/>
  <c r="F609" i="1" a="1"/>
  <c r="F609" i="1" s="1"/>
  <c r="AZ608" i="1"/>
  <c r="AY608" i="1"/>
  <c r="AX608" i="1"/>
  <c r="AW608" i="1"/>
  <c r="K608" i="1" a="1"/>
  <c r="K608" i="1" s="1"/>
  <c r="J608" i="1" a="1"/>
  <c r="J608" i="1" s="1"/>
  <c r="F608" i="1" a="1"/>
  <c r="F608" i="1" s="1"/>
  <c r="AZ607" i="1"/>
  <c r="AY607" i="1"/>
  <c r="AX607" i="1"/>
  <c r="AW607" i="1"/>
  <c r="K607" i="1" a="1"/>
  <c r="K607" i="1" s="1"/>
  <c r="J607" i="1" a="1"/>
  <c r="J607" i="1" s="1"/>
  <c r="F607" i="1" a="1"/>
  <c r="F607" i="1" s="1"/>
  <c r="AZ605" i="1"/>
  <c r="AY605" i="1"/>
  <c r="AX605" i="1"/>
  <c r="AW605" i="1"/>
  <c r="K605" i="1" a="1"/>
  <c r="K605" i="1" s="1"/>
  <c r="J605" i="1" a="1"/>
  <c r="J605" i="1" s="1"/>
  <c r="F605" i="1" a="1"/>
  <c r="F605" i="1" s="1"/>
  <c r="AZ604" i="1"/>
  <c r="AY604" i="1"/>
  <c r="AX604" i="1"/>
  <c r="AW604" i="1"/>
  <c r="K604" i="1" a="1"/>
  <c r="K604" i="1" s="1"/>
  <c r="J604" i="1" a="1"/>
  <c r="J604" i="1" s="1"/>
  <c r="F604" i="1" a="1"/>
  <c r="F604" i="1" s="1"/>
  <c r="AZ603" i="1"/>
  <c r="AY603" i="1"/>
  <c r="AX603" i="1"/>
  <c r="AW603" i="1"/>
  <c r="K603" i="1" a="1"/>
  <c r="K603" i="1" s="1"/>
  <c r="J603" i="1" a="1"/>
  <c r="J603" i="1" s="1"/>
  <c r="F603" i="1" a="1"/>
  <c r="F603" i="1" s="1"/>
  <c r="AZ602" i="1"/>
  <c r="AY602" i="1"/>
  <c r="AX602" i="1"/>
  <c r="AW602" i="1"/>
  <c r="K602" i="1" a="1"/>
  <c r="K602" i="1" s="1"/>
  <c r="J602" i="1" a="1"/>
  <c r="J602" i="1" s="1"/>
  <c r="F602" i="1" a="1"/>
  <c r="F602" i="1" s="1"/>
  <c r="AZ601" i="1"/>
  <c r="AY601" i="1"/>
  <c r="AX601" i="1"/>
  <c r="AW601" i="1"/>
  <c r="K601" i="1" a="1"/>
  <c r="K601" i="1" s="1"/>
  <c r="J601" i="1" a="1"/>
  <c r="J601" i="1" s="1"/>
  <c r="F601" i="1" a="1"/>
  <c r="F601" i="1" s="1"/>
  <c r="AZ600" i="1"/>
  <c r="AY600" i="1"/>
  <c r="AX600" i="1"/>
  <c r="AW600" i="1"/>
  <c r="K600" i="1" a="1"/>
  <c r="K600" i="1" s="1"/>
  <c r="J600" i="1" a="1"/>
  <c r="J600" i="1" s="1"/>
  <c r="F600" i="1" a="1"/>
  <c r="F600" i="1" s="1"/>
  <c r="AZ599" i="1"/>
  <c r="AY599" i="1"/>
  <c r="AX599" i="1"/>
  <c r="AW599" i="1"/>
  <c r="K599" i="1" a="1"/>
  <c r="K599" i="1" s="1"/>
  <c r="J599" i="1" a="1"/>
  <c r="J599" i="1" s="1"/>
  <c r="F599" i="1" a="1"/>
  <c r="F599" i="1" s="1"/>
  <c r="AZ598" i="1"/>
  <c r="AY598" i="1"/>
  <c r="AX598" i="1"/>
  <c r="AW598" i="1"/>
  <c r="K598" i="1" a="1"/>
  <c r="K598" i="1" s="1"/>
  <c r="J598" i="1" a="1"/>
  <c r="J598" i="1" s="1"/>
  <c r="F598" i="1" a="1"/>
  <c r="F598" i="1" s="1"/>
  <c r="AZ597" i="1"/>
  <c r="AY597" i="1"/>
  <c r="AX597" i="1"/>
  <c r="AW597" i="1"/>
  <c r="K597" i="1" a="1"/>
  <c r="K597" i="1" s="1"/>
  <c r="J597" i="1" a="1"/>
  <c r="J597" i="1" s="1"/>
  <c r="F597" i="1" a="1"/>
  <c r="F597" i="1" s="1"/>
  <c r="AZ596" i="1"/>
  <c r="AY596" i="1"/>
  <c r="AX596" i="1"/>
  <c r="AW596" i="1"/>
  <c r="K596" i="1" a="1"/>
  <c r="K596" i="1" s="1"/>
  <c r="J596" i="1" a="1"/>
  <c r="J596" i="1" s="1"/>
  <c r="F596" i="1" a="1"/>
  <c r="F596" i="1" s="1"/>
  <c r="AZ594" i="1"/>
  <c r="AY594" i="1"/>
  <c r="AX594" i="1"/>
  <c r="AW594" i="1"/>
  <c r="K594" i="1" a="1"/>
  <c r="K594" i="1" s="1"/>
  <c r="J594" i="1" a="1"/>
  <c r="J594" i="1" s="1"/>
  <c r="F594" i="1" a="1"/>
  <c r="F594" i="1" s="1"/>
  <c r="AZ593" i="1"/>
  <c r="AY593" i="1"/>
  <c r="AX593" i="1"/>
  <c r="AW593" i="1"/>
  <c r="K593" i="1" a="1"/>
  <c r="K593" i="1" s="1"/>
  <c r="J593" i="1" a="1"/>
  <c r="J593" i="1" s="1"/>
  <c r="F593" i="1" a="1"/>
  <c r="F593" i="1" s="1"/>
  <c r="AZ592" i="1"/>
  <c r="AY592" i="1"/>
  <c r="AX592" i="1"/>
  <c r="AW592" i="1"/>
  <c r="K592" i="1" a="1"/>
  <c r="K592" i="1" s="1"/>
  <c r="J592" i="1" a="1"/>
  <c r="J592" i="1" s="1"/>
  <c r="F592" i="1" a="1"/>
  <c r="F592" i="1" s="1"/>
  <c r="AZ591" i="1"/>
  <c r="AY591" i="1"/>
  <c r="AX591" i="1"/>
  <c r="AW591" i="1"/>
  <c r="K591" i="1" a="1"/>
  <c r="K591" i="1" s="1"/>
  <c r="J591" i="1" a="1"/>
  <c r="J591" i="1" s="1"/>
  <c r="F591" i="1" a="1"/>
  <c r="F591" i="1" s="1"/>
  <c r="AZ590" i="1"/>
  <c r="AY590" i="1"/>
  <c r="AX590" i="1"/>
  <c r="AW590" i="1"/>
  <c r="K590" i="1" a="1"/>
  <c r="K590" i="1" s="1"/>
  <c r="J590" i="1" a="1"/>
  <c r="J590" i="1" s="1"/>
  <c r="F590" i="1" a="1"/>
  <c r="F590" i="1" s="1"/>
  <c r="AZ589" i="1"/>
  <c r="AY589" i="1"/>
  <c r="AX589" i="1"/>
  <c r="AW589" i="1"/>
  <c r="K589" i="1" a="1"/>
  <c r="K589" i="1" s="1"/>
  <c r="J589" i="1" a="1"/>
  <c r="J589" i="1" s="1"/>
  <c r="F589" i="1" a="1"/>
  <c r="F589" i="1" s="1"/>
  <c r="AZ588" i="1"/>
  <c r="AY588" i="1"/>
  <c r="AX588" i="1"/>
  <c r="AW588" i="1"/>
  <c r="K588" i="1" a="1"/>
  <c r="K588" i="1" s="1"/>
  <c r="J588" i="1" a="1"/>
  <c r="J588" i="1" s="1"/>
  <c r="F588" i="1" a="1"/>
  <c r="F588" i="1" s="1"/>
  <c r="AZ587" i="1"/>
  <c r="AY587" i="1"/>
  <c r="AX587" i="1"/>
  <c r="AW587" i="1"/>
  <c r="K587" i="1" a="1"/>
  <c r="K587" i="1" s="1"/>
  <c r="J587" i="1" a="1"/>
  <c r="J587" i="1" s="1"/>
  <c r="F587" i="1" a="1"/>
  <c r="F587" i="1" s="1"/>
  <c r="AZ586" i="1"/>
  <c r="AY586" i="1"/>
  <c r="AX586" i="1"/>
  <c r="AW586" i="1"/>
  <c r="K586" i="1" a="1"/>
  <c r="K586" i="1" s="1"/>
  <c r="J586" i="1" a="1"/>
  <c r="J586" i="1" s="1"/>
  <c r="F586" i="1" a="1"/>
  <c r="F586" i="1" s="1"/>
  <c r="AZ585" i="1"/>
  <c r="AY585" i="1"/>
  <c r="AX585" i="1"/>
  <c r="AW585" i="1"/>
  <c r="K585" i="1" a="1"/>
  <c r="K585" i="1" s="1"/>
  <c r="J585" i="1" a="1"/>
  <c r="J585" i="1" s="1"/>
  <c r="F585" i="1" a="1"/>
  <c r="F585" i="1" s="1"/>
  <c r="AZ583" i="1"/>
  <c r="AY583" i="1"/>
  <c r="AX583" i="1"/>
  <c r="AW583" i="1"/>
  <c r="AU583" i="1"/>
  <c r="AS583" i="1"/>
  <c r="K583" i="1" a="1"/>
  <c r="K583" i="1" s="1"/>
  <c r="J583" i="1" a="1"/>
  <c r="J583" i="1" s="1"/>
  <c r="F583" i="1" a="1"/>
  <c r="F583" i="1" s="1"/>
  <c r="AZ582" i="1"/>
  <c r="AY582" i="1"/>
  <c r="AX582" i="1"/>
  <c r="AW582" i="1"/>
  <c r="AU582" i="1"/>
  <c r="AS582" i="1"/>
  <c r="K582" i="1" a="1"/>
  <c r="K582" i="1" s="1"/>
  <c r="J582" i="1" a="1"/>
  <c r="J582" i="1" s="1"/>
  <c r="F582" i="1" a="1"/>
  <c r="F582" i="1" s="1"/>
  <c r="E582" i="1" s="1" a="1"/>
  <c r="E582" i="1" s="1"/>
  <c r="AZ581" i="1"/>
  <c r="AY581" i="1"/>
  <c r="AX581" i="1"/>
  <c r="AW581" i="1"/>
  <c r="AU581" i="1"/>
  <c r="AS581" i="1"/>
  <c r="K581" i="1" a="1"/>
  <c r="K581" i="1" s="1"/>
  <c r="J581" i="1" a="1"/>
  <c r="J581" i="1" s="1"/>
  <c r="F581" i="1" a="1"/>
  <c r="F581" i="1" s="1"/>
  <c r="AZ580" i="1"/>
  <c r="AY580" i="1"/>
  <c r="AX580" i="1"/>
  <c r="AW580" i="1"/>
  <c r="AU580" i="1"/>
  <c r="AS580" i="1"/>
  <c r="K580" i="1" a="1"/>
  <c r="K580" i="1" s="1"/>
  <c r="J580" i="1" a="1"/>
  <c r="J580" i="1" s="1"/>
  <c r="F580" i="1" a="1"/>
  <c r="F580" i="1" s="1"/>
  <c r="AZ579" i="1"/>
  <c r="AY579" i="1"/>
  <c r="AX579" i="1"/>
  <c r="AW579" i="1"/>
  <c r="AU579" i="1"/>
  <c r="AS579" i="1"/>
  <c r="K579" i="1" a="1"/>
  <c r="K579" i="1" s="1"/>
  <c r="J579" i="1" a="1"/>
  <c r="J579" i="1" s="1"/>
  <c r="F579" i="1" a="1"/>
  <c r="F579" i="1" s="1"/>
  <c r="AZ578" i="1"/>
  <c r="AY578" i="1"/>
  <c r="AX578" i="1"/>
  <c r="AW578" i="1"/>
  <c r="AU578" i="1"/>
  <c r="AS578" i="1"/>
  <c r="K578" i="1" a="1"/>
  <c r="K578" i="1" s="1"/>
  <c r="J578" i="1" a="1"/>
  <c r="J578" i="1" s="1"/>
  <c r="F578" i="1" a="1"/>
  <c r="F578" i="1" s="1"/>
  <c r="E578" i="1" s="1" a="1"/>
  <c r="E578" i="1" s="1"/>
  <c r="AZ577" i="1"/>
  <c r="AY577" i="1"/>
  <c r="AX577" i="1"/>
  <c r="AW577" i="1"/>
  <c r="AU577" i="1"/>
  <c r="AS577" i="1"/>
  <c r="K577" i="1" a="1"/>
  <c r="K577" i="1" s="1"/>
  <c r="J577" i="1" a="1"/>
  <c r="J577" i="1" s="1"/>
  <c r="F577" i="1" a="1"/>
  <c r="F577" i="1" s="1"/>
  <c r="AZ576" i="1"/>
  <c r="AY576" i="1"/>
  <c r="AX576" i="1"/>
  <c r="AW576" i="1"/>
  <c r="AU576" i="1"/>
  <c r="AS576" i="1"/>
  <c r="K576" i="1" a="1"/>
  <c r="K576" i="1" s="1"/>
  <c r="J576" i="1" a="1"/>
  <c r="J576" i="1" s="1"/>
  <c r="F576" i="1" a="1"/>
  <c r="F576" i="1" s="1"/>
  <c r="AZ575" i="1"/>
  <c r="AY575" i="1"/>
  <c r="AX575" i="1"/>
  <c r="AW575" i="1"/>
  <c r="AU575" i="1"/>
  <c r="AS575" i="1"/>
  <c r="K575" i="1" a="1"/>
  <c r="K575" i="1" s="1"/>
  <c r="J575" i="1" a="1"/>
  <c r="J575" i="1" s="1"/>
  <c r="F575" i="1" a="1"/>
  <c r="F575" i="1" s="1"/>
  <c r="AZ574" i="1"/>
  <c r="AY574" i="1"/>
  <c r="AX574" i="1"/>
  <c r="AW574" i="1"/>
  <c r="AU574" i="1"/>
  <c r="AS574" i="1"/>
  <c r="K574" i="1" a="1"/>
  <c r="K574" i="1" s="1"/>
  <c r="J574" i="1" a="1"/>
  <c r="J574" i="1" s="1"/>
  <c r="F574" i="1" a="1"/>
  <c r="F574" i="1" s="1"/>
  <c r="E574" i="1" s="1" a="1"/>
  <c r="E574" i="1" s="1"/>
  <c r="AZ572" i="1"/>
  <c r="AY572" i="1"/>
  <c r="AX572" i="1"/>
  <c r="AW572" i="1"/>
  <c r="AU572" i="1"/>
  <c r="AT572" i="1"/>
  <c r="AS572" i="1"/>
  <c r="K572" i="1" a="1"/>
  <c r="K572" i="1" s="1"/>
  <c r="J572" i="1" a="1"/>
  <c r="J572" i="1" s="1"/>
  <c r="F572" i="1" a="1"/>
  <c r="F572" i="1" s="1"/>
  <c r="E572" i="1" s="1" a="1"/>
  <c r="E572" i="1" s="1"/>
  <c r="AZ571" i="1"/>
  <c r="AY571" i="1"/>
  <c r="AX571" i="1"/>
  <c r="AW571" i="1"/>
  <c r="AU571" i="1"/>
  <c r="AT571" i="1"/>
  <c r="AS571" i="1"/>
  <c r="K571" i="1" a="1"/>
  <c r="K571" i="1" s="1"/>
  <c r="J571" i="1" a="1"/>
  <c r="J571" i="1" s="1"/>
  <c r="F571" i="1" a="1"/>
  <c r="F571" i="1" s="1"/>
  <c r="E571" i="1" s="1" a="1"/>
  <c r="E571" i="1" s="1"/>
  <c r="AZ570" i="1"/>
  <c r="AY570" i="1"/>
  <c r="AX570" i="1"/>
  <c r="AW570" i="1"/>
  <c r="AU570" i="1"/>
  <c r="AT570" i="1"/>
  <c r="AS570" i="1"/>
  <c r="K570" i="1" a="1"/>
  <c r="K570" i="1" s="1"/>
  <c r="J570" i="1" a="1"/>
  <c r="J570" i="1" s="1"/>
  <c r="F570" i="1" a="1"/>
  <c r="F570" i="1" s="1"/>
  <c r="AZ569" i="1"/>
  <c r="AY569" i="1"/>
  <c r="AX569" i="1"/>
  <c r="AW569" i="1"/>
  <c r="AU569" i="1"/>
  <c r="AT569" i="1"/>
  <c r="AS569" i="1"/>
  <c r="K569" i="1" a="1"/>
  <c r="K569" i="1" s="1"/>
  <c r="J569" i="1" a="1"/>
  <c r="J569" i="1" s="1"/>
  <c r="F569" i="1" a="1"/>
  <c r="F569" i="1" s="1"/>
  <c r="AZ568" i="1"/>
  <c r="AY568" i="1"/>
  <c r="AX568" i="1"/>
  <c r="AW568" i="1"/>
  <c r="AU568" i="1"/>
  <c r="AT568" i="1"/>
  <c r="AS568" i="1"/>
  <c r="K568" i="1" a="1"/>
  <c r="K568" i="1" s="1"/>
  <c r="J568" i="1" a="1"/>
  <c r="J568" i="1" s="1"/>
  <c r="F568" i="1" a="1"/>
  <c r="F568" i="1" s="1"/>
  <c r="AZ567" i="1"/>
  <c r="AY567" i="1"/>
  <c r="AX567" i="1"/>
  <c r="AW567" i="1"/>
  <c r="AU567" i="1"/>
  <c r="AT567" i="1"/>
  <c r="AS567" i="1"/>
  <c r="K567" i="1" a="1"/>
  <c r="K567" i="1" s="1"/>
  <c r="J567" i="1" a="1"/>
  <c r="J567" i="1" s="1"/>
  <c r="F567" i="1" a="1"/>
  <c r="F567" i="1" s="1"/>
  <c r="AZ566" i="1"/>
  <c r="AY566" i="1"/>
  <c r="AX566" i="1"/>
  <c r="AW566" i="1"/>
  <c r="AU566" i="1"/>
  <c r="AT566" i="1"/>
  <c r="AS566" i="1"/>
  <c r="K566" i="1" a="1"/>
  <c r="K566" i="1" s="1"/>
  <c r="J566" i="1" a="1"/>
  <c r="J566" i="1" s="1"/>
  <c r="F566" i="1" a="1"/>
  <c r="F566" i="1" s="1"/>
  <c r="AZ565" i="1"/>
  <c r="AY565" i="1"/>
  <c r="AX565" i="1"/>
  <c r="AW565" i="1"/>
  <c r="AU565" i="1"/>
  <c r="AT565" i="1"/>
  <c r="AS565" i="1"/>
  <c r="K565" i="1" a="1"/>
  <c r="K565" i="1" s="1"/>
  <c r="J565" i="1" a="1"/>
  <c r="J565" i="1" s="1"/>
  <c r="F565" i="1" a="1"/>
  <c r="F565" i="1" s="1"/>
  <c r="AZ564" i="1"/>
  <c r="AY564" i="1"/>
  <c r="AX564" i="1"/>
  <c r="AW564" i="1"/>
  <c r="AU564" i="1"/>
  <c r="AT564" i="1"/>
  <c r="AS564" i="1"/>
  <c r="K564" i="1" a="1"/>
  <c r="K564" i="1" s="1"/>
  <c r="J564" i="1" a="1"/>
  <c r="J564" i="1" s="1"/>
  <c r="F564" i="1" a="1"/>
  <c r="F564" i="1" s="1"/>
  <c r="E564" i="1" s="1" a="1"/>
  <c r="E564" i="1" s="1"/>
  <c r="AZ563" i="1"/>
  <c r="AY563" i="1"/>
  <c r="AX563" i="1"/>
  <c r="AW563" i="1"/>
  <c r="AU563" i="1"/>
  <c r="AT563" i="1"/>
  <c r="AS563" i="1"/>
  <c r="K563" i="1" a="1"/>
  <c r="K563" i="1" s="1"/>
  <c r="J563" i="1" a="1"/>
  <c r="J563" i="1" s="1"/>
  <c r="F563" i="1" a="1"/>
  <c r="F563" i="1" s="1"/>
  <c r="E563" i="1" s="1" a="1"/>
  <c r="E563" i="1" s="1"/>
  <c r="AZ561" i="1"/>
  <c r="AY561" i="1"/>
  <c r="AX561" i="1"/>
  <c r="AW561" i="1"/>
  <c r="K561" i="1" a="1"/>
  <c r="K561" i="1" s="1"/>
  <c r="J561" i="1" a="1"/>
  <c r="J561" i="1" s="1"/>
  <c r="F561" i="1" a="1"/>
  <c r="F561" i="1" s="1"/>
  <c r="AZ560" i="1"/>
  <c r="AY560" i="1"/>
  <c r="AX560" i="1"/>
  <c r="AW560" i="1"/>
  <c r="K560" i="1" a="1"/>
  <c r="K560" i="1" s="1"/>
  <c r="J560" i="1" a="1"/>
  <c r="J560" i="1" s="1"/>
  <c r="F560" i="1" a="1"/>
  <c r="F560" i="1" s="1"/>
  <c r="AZ559" i="1"/>
  <c r="AY559" i="1"/>
  <c r="AX559" i="1"/>
  <c r="AW559" i="1"/>
  <c r="K559" i="1" a="1"/>
  <c r="K559" i="1" s="1"/>
  <c r="J559" i="1" a="1"/>
  <c r="J559" i="1" s="1"/>
  <c r="F559" i="1" a="1"/>
  <c r="F559" i="1" s="1"/>
  <c r="AZ558" i="1"/>
  <c r="AY558" i="1"/>
  <c r="AX558" i="1"/>
  <c r="AW558" i="1"/>
  <c r="K558" i="1" a="1"/>
  <c r="K558" i="1" s="1"/>
  <c r="J558" i="1" a="1"/>
  <c r="J558" i="1" s="1"/>
  <c r="F558" i="1" a="1"/>
  <c r="F558" i="1" s="1"/>
  <c r="AZ557" i="1"/>
  <c r="AY557" i="1"/>
  <c r="AX557" i="1"/>
  <c r="AW557" i="1"/>
  <c r="K557" i="1" a="1"/>
  <c r="K557" i="1" s="1"/>
  <c r="J557" i="1" a="1"/>
  <c r="J557" i="1" s="1"/>
  <c r="F557" i="1" a="1"/>
  <c r="F557" i="1" s="1"/>
  <c r="AZ556" i="1"/>
  <c r="AY556" i="1"/>
  <c r="AX556" i="1"/>
  <c r="AW556" i="1"/>
  <c r="K556" i="1" a="1"/>
  <c r="K556" i="1" s="1"/>
  <c r="J556" i="1" a="1"/>
  <c r="J556" i="1" s="1"/>
  <c r="F556" i="1" a="1"/>
  <c r="F556" i="1" s="1"/>
  <c r="AZ555" i="1"/>
  <c r="AY555" i="1"/>
  <c r="AX555" i="1"/>
  <c r="AW555" i="1"/>
  <c r="K555" i="1" a="1"/>
  <c r="K555" i="1" s="1"/>
  <c r="J555" i="1" a="1"/>
  <c r="J555" i="1" s="1"/>
  <c r="F555" i="1" a="1"/>
  <c r="F555" i="1" s="1"/>
  <c r="AZ554" i="1"/>
  <c r="AY554" i="1"/>
  <c r="AX554" i="1"/>
  <c r="AW554" i="1"/>
  <c r="K554" i="1" a="1"/>
  <c r="K554" i="1" s="1"/>
  <c r="J554" i="1" a="1"/>
  <c r="J554" i="1" s="1"/>
  <c r="F554" i="1" a="1"/>
  <c r="F554" i="1" s="1"/>
  <c r="AZ553" i="1"/>
  <c r="AY553" i="1"/>
  <c r="AX553" i="1"/>
  <c r="AW553" i="1"/>
  <c r="K553" i="1" a="1"/>
  <c r="K553" i="1" s="1"/>
  <c r="J553" i="1" a="1"/>
  <c r="J553" i="1" s="1"/>
  <c r="F553" i="1" a="1"/>
  <c r="F553" i="1" s="1"/>
  <c r="AZ552" i="1"/>
  <c r="AY552" i="1"/>
  <c r="AX552" i="1"/>
  <c r="AW552" i="1"/>
  <c r="K552" i="1" a="1"/>
  <c r="K552" i="1" s="1"/>
  <c r="J552" i="1" a="1"/>
  <c r="J552" i="1" s="1"/>
  <c r="F552" i="1" a="1"/>
  <c r="F552" i="1" s="1"/>
  <c r="AZ550" i="1"/>
  <c r="AY550" i="1"/>
  <c r="AX550" i="1"/>
  <c r="AW550" i="1"/>
  <c r="K550" i="1" a="1"/>
  <c r="K550" i="1" s="1"/>
  <c r="J550" i="1" a="1"/>
  <c r="J550" i="1" s="1"/>
  <c r="F550" i="1" a="1"/>
  <c r="F550" i="1" s="1"/>
  <c r="AZ549" i="1"/>
  <c r="AY549" i="1"/>
  <c r="AX549" i="1"/>
  <c r="AW549" i="1"/>
  <c r="K549" i="1" a="1"/>
  <c r="K549" i="1" s="1"/>
  <c r="J549" i="1" a="1"/>
  <c r="J549" i="1" s="1"/>
  <c r="F549" i="1" a="1"/>
  <c r="F549" i="1" s="1"/>
  <c r="AZ548" i="1"/>
  <c r="AY548" i="1"/>
  <c r="AX548" i="1"/>
  <c r="AW548" i="1"/>
  <c r="K548" i="1" a="1"/>
  <c r="K548" i="1" s="1"/>
  <c r="J548" i="1" a="1"/>
  <c r="J548" i="1" s="1"/>
  <c r="F548" i="1" a="1"/>
  <c r="F548" i="1" s="1"/>
  <c r="AZ547" i="1"/>
  <c r="AY547" i="1"/>
  <c r="AX547" i="1"/>
  <c r="AW547" i="1"/>
  <c r="K547" i="1" a="1"/>
  <c r="K547" i="1" s="1"/>
  <c r="J547" i="1" a="1"/>
  <c r="J547" i="1" s="1"/>
  <c r="F547" i="1" a="1"/>
  <c r="F547" i="1" s="1"/>
  <c r="AZ546" i="1"/>
  <c r="AY546" i="1"/>
  <c r="AX546" i="1"/>
  <c r="AW546" i="1"/>
  <c r="K546" i="1" a="1"/>
  <c r="K546" i="1" s="1"/>
  <c r="J546" i="1" a="1"/>
  <c r="J546" i="1" s="1"/>
  <c r="F546" i="1" a="1"/>
  <c r="F546" i="1" s="1"/>
  <c r="AZ545" i="1"/>
  <c r="AY545" i="1"/>
  <c r="AX545" i="1"/>
  <c r="AW545" i="1"/>
  <c r="K545" i="1" a="1"/>
  <c r="K545" i="1" s="1"/>
  <c r="J545" i="1" a="1"/>
  <c r="J545" i="1" s="1"/>
  <c r="F545" i="1" a="1"/>
  <c r="F545" i="1" s="1"/>
  <c r="AZ544" i="1"/>
  <c r="AY544" i="1"/>
  <c r="AX544" i="1"/>
  <c r="AW544" i="1"/>
  <c r="K544" i="1" a="1"/>
  <c r="K544" i="1" s="1"/>
  <c r="J544" i="1" a="1"/>
  <c r="J544" i="1" s="1"/>
  <c r="F544" i="1" a="1"/>
  <c r="F544" i="1" s="1"/>
  <c r="AZ543" i="1"/>
  <c r="AY543" i="1"/>
  <c r="AX543" i="1"/>
  <c r="AW543" i="1"/>
  <c r="K543" i="1" a="1"/>
  <c r="K543" i="1" s="1"/>
  <c r="J543" i="1" a="1"/>
  <c r="J543" i="1" s="1"/>
  <c r="F543" i="1" a="1"/>
  <c r="F543" i="1" s="1"/>
  <c r="AZ542" i="1"/>
  <c r="AY542" i="1"/>
  <c r="AX542" i="1"/>
  <c r="AW542" i="1"/>
  <c r="K542" i="1" a="1"/>
  <c r="K542" i="1" s="1"/>
  <c r="J542" i="1" a="1"/>
  <c r="J542" i="1" s="1"/>
  <c r="F542" i="1" a="1"/>
  <c r="F542" i="1" s="1"/>
  <c r="AZ541" i="1"/>
  <c r="AY541" i="1"/>
  <c r="AX541" i="1"/>
  <c r="AW541" i="1"/>
  <c r="K541" i="1" a="1"/>
  <c r="K541" i="1" s="1"/>
  <c r="J541" i="1" a="1"/>
  <c r="J541" i="1" s="1"/>
  <c r="F541" i="1" a="1"/>
  <c r="F541" i="1" s="1"/>
  <c r="AZ650" i="1"/>
  <c r="AY650" i="1"/>
  <c r="AX650" i="1"/>
  <c r="AW650" i="1"/>
  <c r="K650" i="1" a="1"/>
  <c r="K650" i="1" s="1"/>
  <c r="J650" i="1" a="1"/>
  <c r="J650" i="1" s="1"/>
  <c r="F650" i="1" a="1"/>
  <c r="F650" i="1" s="1"/>
  <c r="AZ836" i="1"/>
  <c r="AY836" i="1"/>
  <c r="AX836" i="1"/>
  <c r="AW836" i="1"/>
  <c r="AU836" i="1"/>
  <c r="AS836" i="1"/>
  <c r="K836" i="1" a="1"/>
  <c r="K836" i="1" s="1"/>
  <c r="J836" i="1" a="1"/>
  <c r="J836" i="1" s="1"/>
  <c r="F836" i="1" a="1"/>
  <c r="F836" i="1" s="1"/>
  <c r="AZ835" i="1"/>
  <c r="AY835" i="1"/>
  <c r="AX835" i="1"/>
  <c r="AW835" i="1"/>
  <c r="AU835" i="1"/>
  <c r="AS835" i="1"/>
  <c r="K835" i="1" a="1"/>
  <c r="K835" i="1" s="1"/>
  <c r="J835" i="1" a="1"/>
  <c r="J835" i="1" s="1"/>
  <c r="F835" i="1" a="1"/>
  <c r="F835" i="1" s="1"/>
  <c r="AZ834" i="1"/>
  <c r="AY834" i="1"/>
  <c r="AX834" i="1"/>
  <c r="AW834" i="1"/>
  <c r="AU834" i="1"/>
  <c r="AS834" i="1"/>
  <c r="K834" i="1" a="1"/>
  <c r="K834" i="1" s="1"/>
  <c r="J834" i="1" a="1"/>
  <c r="J834" i="1" s="1"/>
  <c r="F834" i="1" a="1"/>
  <c r="F834" i="1" s="1"/>
  <c r="AZ833" i="1"/>
  <c r="AY833" i="1"/>
  <c r="AX833" i="1"/>
  <c r="AW833" i="1"/>
  <c r="AU833" i="1"/>
  <c r="AS833" i="1"/>
  <c r="K833" i="1" a="1"/>
  <c r="K833" i="1" s="1"/>
  <c r="J833" i="1" a="1"/>
  <c r="J833" i="1" s="1"/>
  <c r="F833" i="1" a="1"/>
  <c r="F833" i="1" s="1"/>
  <c r="AZ832" i="1"/>
  <c r="AY832" i="1"/>
  <c r="AX832" i="1"/>
  <c r="AW832" i="1"/>
  <c r="AU832" i="1"/>
  <c r="AS832" i="1"/>
  <c r="K832" i="1" a="1"/>
  <c r="K832" i="1" s="1"/>
  <c r="J832" i="1" a="1"/>
  <c r="J832" i="1" s="1"/>
  <c r="F832" i="1" a="1"/>
  <c r="F832" i="1" s="1"/>
  <c r="AZ831" i="1"/>
  <c r="AY831" i="1"/>
  <c r="AX831" i="1"/>
  <c r="AW831" i="1"/>
  <c r="AU831" i="1"/>
  <c r="AS831" i="1"/>
  <c r="K831" i="1" a="1"/>
  <c r="K831" i="1" s="1"/>
  <c r="J831" i="1" a="1"/>
  <c r="J831" i="1" s="1"/>
  <c r="F831" i="1" a="1"/>
  <c r="F831" i="1" s="1"/>
  <c r="AZ830" i="1"/>
  <c r="AY830" i="1"/>
  <c r="AX830" i="1"/>
  <c r="AW830" i="1"/>
  <c r="AU830" i="1"/>
  <c r="AS830" i="1"/>
  <c r="K830" i="1" a="1"/>
  <c r="K830" i="1" s="1"/>
  <c r="J830" i="1" a="1"/>
  <c r="J830" i="1" s="1"/>
  <c r="F830" i="1" a="1"/>
  <c r="F830" i="1" s="1"/>
  <c r="AZ829" i="1"/>
  <c r="AY829" i="1"/>
  <c r="AX829" i="1"/>
  <c r="AW829" i="1"/>
  <c r="AU829" i="1"/>
  <c r="AS829" i="1"/>
  <c r="K829" i="1" a="1"/>
  <c r="K829" i="1" s="1"/>
  <c r="J829" i="1" a="1"/>
  <c r="J829" i="1" s="1"/>
  <c r="F829" i="1" a="1"/>
  <c r="F829" i="1" s="1"/>
  <c r="AZ828" i="1"/>
  <c r="AY828" i="1"/>
  <c r="AX828" i="1"/>
  <c r="AW828" i="1"/>
  <c r="AU828" i="1"/>
  <c r="AS828" i="1"/>
  <c r="K828" i="1" a="1"/>
  <c r="K828" i="1" s="1"/>
  <c r="J828" i="1" a="1"/>
  <c r="J828" i="1" s="1"/>
  <c r="F828" i="1" a="1"/>
  <c r="F828" i="1" s="1"/>
  <c r="AZ827" i="1"/>
  <c r="AY827" i="1"/>
  <c r="AX827" i="1"/>
  <c r="AW827" i="1"/>
  <c r="AU827" i="1"/>
  <c r="AS827" i="1"/>
  <c r="K827" i="1" a="1"/>
  <c r="K827" i="1" s="1"/>
  <c r="J827" i="1" a="1"/>
  <c r="J827" i="1" s="1"/>
  <c r="F827" i="1" a="1"/>
  <c r="F827" i="1" s="1"/>
  <c r="AZ826" i="1"/>
  <c r="AY826" i="1"/>
  <c r="AX826" i="1"/>
  <c r="AW826" i="1"/>
  <c r="AU826" i="1"/>
  <c r="AS826" i="1"/>
  <c r="K826" i="1" a="1"/>
  <c r="K826" i="1" s="1"/>
  <c r="J826" i="1" a="1"/>
  <c r="J826" i="1" s="1"/>
  <c r="F826" i="1" a="1"/>
  <c r="F826" i="1" s="1"/>
  <c r="AZ825" i="1"/>
  <c r="AY825" i="1"/>
  <c r="AX825" i="1"/>
  <c r="AW825" i="1"/>
  <c r="AU825" i="1"/>
  <c r="AS825" i="1"/>
  <c r="K825" i="1" a="1"/>
  <c r="K825" i="1" s="1"/>
  <c r="J825" i="1" a="1"/>
  <c r="J825" i="1" s="1"/>
  <c r="F825" i="1" a="1"/>
  <c r="F825" i="1" s="1"/>
  <c r="AZ824" i="1"/>
  <c r="AY824" i="1"/>
  <c r="AX824" i="1"/>
  <c r="AW824" i="1"/>
  <c r="AU824" i="1"/>
  <c r="AS824" i="1"/>
  <c r="K824" i="1" a="1"/>
  <c r="K824" i="1" s="1"/>
  <c r="J824" i="1" a="1"/>
  <c r="J824" i="1" s="1"/>
  <c r="F824" i="1" a="1"/>
  <c r="F824" i="1" s="1"/>
  <c r="AZ823" i="1"/>
  <c r="AY823" i="1"/>
  <c r="AX823" i="1"/>
  <c r="AW823" i="1"/>
  <c r="AU823" i="1"/>
  <c r="AS823" i="1"/>
  <c r="K823" i="1" a="1"/>
  <c r="K823" i="1" s="1"/>
  <c r="J823" i="1" a="1"/>
  <c r="J823" i="1" s="1"/>
  <c r="F823" i="1" a="1"/>
  <c r="F823" i="1" s="1"/>
  <c r="AZ822" i="1"/>
  <c r="AY822" i="1"/>
  <c r="AX822" i="1"/>
  <c r="AW822" i="1"/>
  <c r="AU822" i="1"/>
  <c r="AS822" i="1"/>
  <c r="K822" i="1" a="1"/>
  <c r="K822" i="1" s="1"/>
  <c r="J822" i="1" a="1"/>
  <c r="J822" i="1" s="1"/>
  <c r="F822" i="1" a="1"/>
  <c r="F822" i="1" s="1"/>
  <c r="AZ821" i="1"/>
  <c r="AY821" i="1"/>
  <c r="AX821" i="1"/>
  <c r="AW821" i="1"/>
  <c r="AU821" i="1"/>
  <c r="AS821" i="1"/>
  <c r="K821" i="1" a="1"/>
  <c r="K821" i="1" s="1"/>
  <c r="J821" i="1" a="1"/>
  <c r="J821" i="1" s="1"/>
  <c r="F821" i="1" a="1"/>
  <c r="F821" i="1" s="1"/>
  <c r="AZ820" i="1"/>
  <c r="AY820" i="1"/>
  <c r="AX820" i="1"/>
  <c r="AW820" i="1"/>
  <c r="AU820" i="1"/>
  <c r="AS820" i="1"/>
  <c r="K820" i="1" a="1"/>
  <c r="K820" i="1" s="1"/>
  <c r="J820" i="1" a="1"/>
  <c r="J820" i="1" s="1"/>
  <c r="F820" i="1" a="1"/>
  <c r="F820" i="1" s="1"/>
  <c r="AZ819" i="1"/>
  <c r="AY819" i="1"/>
  <c r="AX819" i="1"/>
  <c r="AW819" i="1"/>
  <c r="AU819" i="1"/>
  <c r="AS819" i="1"/>
  <c r="K819" i="1" a="1"/>
  <c r="K819" i="1" s="1"/>
  <c r="J819" i="1" a="1"/>
  <c r="J819" i="1" s="1"/>
  <c r="F819" i="1" a="1"/>
  <c r="F819" i="1" s="1"/>
  <c r="AZ818" i="1"/>
  <c r="AY818" i="1"/>
  <c r="AX818" i="1"/>
  <c r="AW818" i="1"/>
  <c r="AU818" i="1"/>
  <c r="AS818" i="1"/>
  <c r="K818" i="1" a="1"/>
  <c r="K818" i="1" s="1"/>
  <c r="J818" i="1" a="1"/>
  <c r="J818" i="1" s="1"/>
  <c r="F818" i="1" a="1"/>
  <c r="F818" i="1" s="1"/>
  <c r="AZ817" i="1"/>
  <c r="AY817" i="1"/>
  <c r="AX817" i="1"/>
  <c r="AW817" i="1"/>
  <c r="AU817" i="1"/>
  <c r="AS817" i="1"/>
  <c r="K817" i="1" a="1"/>
  <c r="K817" i="1" s="1"/>
  <c r="J817" i="1" a="1"/>
  <c r="J817" i="1" s="1"/>
  <c r="F817" i="1" a="1"/>
  <c r="F817" i="1" s="1"/>
  <c r="AZ816" i="1"/>
  <c r="AY816" i="1"/>
  <c r="AX816" i="1"/>
  <c r="AW816" i="1"/>
  <c r="AU816" i="1"/>
  <c r="AS816" i="1"/>
  <c r="K816" i="1" a="1"/>
  <c r="K816" i="1" s="1"/>
  <c r="J816" i="1" a="1"/>
  <c r="J816" i="1" s="1"/>
  <c r="F816" i="1" a="1"/>
  <c r="F816" i="1" s="1"/>
  <c r="AY814" i="1"/>
  <c r="AX814" i="1"/>
  <c r="AW814" i="1"/>
  <c r="AU814" i="1"/>
  <c r="F814" i="1" a="1"/>
  <c r="F814" i="1" s="1"/>
  <c r="AY813" i="1"/>
  <c r="AX813" i="1"/>
  <c r="AW813" i="1"/>
  <c r="AU813" i="1"/>
  <c r="F813" i="1" a="1"/>
  <c r="F813" i="1" s="1"/>
  <c r="AY812" i="1"/>
  <c r="AX812" i="1"/>
  <c r="AW812" i="1"/>
  <c r="AU812" i="1"/>
  <c r="F812" i="1" a="1"/>
  <c r="F812" i="1" s="1"/>
  <c r="AY811" i="1"/>
  <c r="AX811" i="1"/>
  <c r="AW811" i="1"/>
  <c r="AU811" i="1"/>
  <c r="F811" i="1" a="1"/>
  <c r="F811" i="1" s="1"/>
  <c r="AY810" i="1"/>
  <c r="AX810" i="1"/>
  <c r="AW810" i="1"/>
  <c r="AU810" i="1"/>
  <c r="F810" i="1" a="1"/>
  <c r="F810" i="1" s="1"/>
  <c r="AY809" i="1"/>
  <c r="AX809" i="1"/>
  <c r="AW809" i="1"/>
  <c r="AU809" i="1"/>
  <c r="F809" i="1" a="1"/>
  <c r="F809" i="1" s="1"/>
  <c r="AY808" i="1"/>
  <c r="AX808" i="1"/>
  <c r="AW808" i="1"/>
  <c r="AU808" i="1"/>
  <c r="F808" i="1" a="1"/>
  <c r="F808" i="1" s="1"/>
  <c r="AY807" i="1"/>
  <c r="AX807" i="1"/>
  <c r="AW807" i="1"/>
  <c r="AU807" i="1"/>
  <c r="F807" i="1" a="1"/>
  <c r="F807" i="1" s="1"/>
  <c r="AY806" i="1"/>
  <c r="AX806" i="1"/>
  <c r="AW806" i="1"/>
  <c r="AU806" i="1"/>
  <c r="F806" i="1" a="1"/>
  <c r="F806" i="1" s="1"/>
  <c r="AY805" i="1"/>
  <c r="AX805" i="1"/>
  <c r="AW805" i="1"/>
  <c r="AU805" i="1"/>
  <c r="F805" i="1" a="1"/>
  <c r="F805" i="1" s="1"/>
  <c r="AZ803" i="1"/>
  <c r="AY803" i="1"/>
  <c r="AX803" i="1"/>
  <c r="AW803" i="1"/>
  <c r="AU803" i="1"/>
  <c r="AS803" i="1"/>
  <c r="K803" i="1" a="1"/>
  <c r="K803" i="1" s="1"/>
  <c r="J803" i="1" a="1"/>
  <c r="J803" i="1" s="1"/>
  <c r="F803" i="1" a="1"/>
  <c r="F803" i="1" s="1"/>
  <c r="AZ802" i="1"/>
  <c r="AY802" i="1"/>
  <c r="AX802" i="1"/>
  <c r="AW802" i="1"/>
  <c r="AU802" i="1"/>
  <c r="AS802" i="1"/>
  <c r="K802" i="1" a="1"/>
  <c r="K802" i="1" s="1"/>
  <c r="J802" i="1" a="1"/>
  <c r="J802" i="1" s="1"/>
  <c r="F802" i="1" a="1"/>
  <c r="F802" i="1" s="1"/>
  <c r="AZ801" i="1"/>
  <c r="AY801" i="1"/>
  <c r="AX801" i="1"/>
  <c r="AW801" i="1"/>
  <c r="AU801" i="1"/>
  <c r="AS801" i="1"/>
  <c r="K801" i="1" a="1"/>
  <c r="K801" i="1" s="1"/>
  <c r="J801" i="1" a="1"/>
  <c r="J801" i="1" s="1"/>
  <c r="F801" i="1" a="1"/>
  <c r="F801" i="1" s="1"/>
  <c r="AZ800" i="1"/>
  <c r="AY800" i="1"/>
  <c r="AX800" i="1"/>
  <c r="AW800" i="1"/>
  <c r="AU800" i="1"/>
  <c r="AS800" i="1"/>
  <c r="K800" i="1" a="1"/>
  <c r="K800" i="1" s="1"/>
  <c r="J800" i="1" a="1"/>
  <c r="J800" i="1" s="1"/>
  <c r="F800" i="1" a="1"/>
  <c r="F800" i="1" s="1"/>
  <c r="AZ799" i="1"/>
  <c r="AY799" i="1"/>
  <c r="AX799" i="1"/>
  <c r="AW799" i="1"/>
  <c r="AU799" i="1"/>
  <c r="AS799" i="1"/>
  <c r="K799" i="1" a="1"/>
  <c r="K799" i="1" s="1"/>
  <c r="J799" i="1" a="1"/>
  <c r="J799" i="1" s="1"/>
  <c r="F799" i="1" a="1"/>
  <c r="F799" i="1" s="1"/>
  <c r="AZ798" i="1"/>
  <c r="AY798" i="1"/>
  <c r="AX798" i="1"/>
  <c r="AW798" i="1"/>
  <c r="AU798" i="1"/>
  <c r="AS798" i="1"/>
  <c r="K798" i="1" a="1"/>
  <c r="K798" i="1" s="1"/>
  <c r="J798" i="1" a="1"/>
  <c r="J798" i="1" s="1"/>
  <c r="F798" i="1" a="1"/>
  <c r="F798" i="1" s="1"/>
  <c r="AZ797" i="1"/>
  <c r="AY797" i="1"/>
  <c r="AX797" i="1"/>
  <c r="AW797" i="1"/>
  <c r="AU797" i="1"/>
  <c r="AS797" i="1"/>
  <c r="K797" i="1" a="1"/>
  <c r="K797" i="1" s="1"/>
  <c r="J797" i="1" a="1"/>
  <c r="J797" i="1" s="1"/>
  <c r="F797" i="1" a="1"/>
  <c r="F797" i="1" s="1"/>
  <c r="AZ796" i="1"/>
  <c r="AY796" i="1"/>
  <c r="AX796" i="1"/>
  <c r="AW796" i="1"/>
  <c r="AU796" i="1"/>
  <c r="AS796" i="1"/>
  <c r="K796" i="1" a="1"/>
  <c r="K796" i="1" s="1"/>
  <c r="J796" i="1" a="1"/>
  <c r="J796" i="1" s="1"/>
  <c r="F796" i="1" a="1"/>
  <c r="F796" i="1" s="1"/>
  <c r="E796" i="1" s="1" a="1"/>
  <c r="E796" i="1" s="1"/>
  <c r="AZ795" i="1"/>
  <c r="AY795" i="1"/>
  <c r="AX795" i="1"/>
  <c r="AW795" i="1"/>
  <c r="AU795" i="1"/>
  <c r="AS795" i="1"/>
  <c r="K795" i="1" a="1"/>
  <c r="K795" i="1" s="1"/>
  <c r="J795" i="1" a="1"/>
  <c r="J795" i="1" s="1"/>
  <c r="F795" i="1" a="1"/>
  <c r="F795" i="1" s="1"/>
  <c r="AZ794" i="1"/>
  <c r="AY794" i="1"/>
  <c r="AX794" i="1"/>
  <c r="AW794" i="1"/>
  <c r="AU794" i="1"/>
  <c r="AS794" i="1"/>
  <c r="K794" i="1" a="1"/>
  <c r="K794" i="1" s="1"/>
  <c r="J794" i="1" a="1"/>
  <c r="J794" i="1" s="1"/>
  <c r="F794" i="1" a="1"/>
  <c r="F794" i="1" s="1"/>
  <c r="AZ792" i="1"/>
  <c r="AY792" i="1"/>
  <c r="AX792" i="1"/>
  <c r="AW792" i="1"/>
  <c r="AU792" i="1"/>
  <c r="AT792" i="1"/>
  <c r="AS792" i="1"/>
  <c r="K792" i="1" a="1"/>
  <c r="K792" i="1" s="1"/>
  <c r="J792" i="1" a="1"/>
  <c r="J792" i="1" s="1"/>
  <c r="F792" i="1" a="1"/>
  <c r="F792" i="1" s="1"/>
  <c r="AZ791" i="1"/>
  <c r="AY791" i="1"/>
  <c r="AX791" i="1"/>
  <c r="AW791" i="1"/>
  <c r="AU791" i="1"/>
  <c r="AT791" i="1"/>
  <c r="AS791" i="1"/>
  <c r="K791" i="1" a="1"/>
  <c r="K791" i="1" s="1"/>
  <c r="J791" i="1" a="1"/>
  <c r="J791" i="1" s="1"/>
  <c r="F791" i="1" a="1"/>
  <c r="F791" i="1" s="1"/>
  <c r="E791" i="1" s="1" a="1"/>
  <c r="E791" i="1" s="1"/>
  <c r="AZ790" i="1"/>
  <c r="AY790" i="1"/>
  <c r="AX790" i="1"/>
  <c r="AW790" i="1"/>
  <c r="AU790" i="1"/>
  <c r="AT790" i="1"/>
  <c r="AS790" i="1"/>
  <c r="K790" i="1" a="1"/>
  <c r="K790" i="1" s="1"/>
  <c r="J790" i="1" a="1"/>
  <c r="J790" i="1" s="1"/>
  <c r="F790" i="1" a="1"/>
  <c r="F790" i="1" s="1"/>
  <c r="AZ789" i="1"/>
  <c r="AY789" i="1"/>
  <c r="AX789" i="1"/>
  <c r="AW789" i="1"/>
  <c r="AU789" i="1"/>
  <c r="AT789" i="1"/>
  <c r="AS789" i="1"/>
  <c r="K789" i="1" a="1"/>
  <c r="K789" i="1" s="1"/>
  <c r="J789" i="1" a="1"/>
  <c r="J789" i="1" s="1"/>
  <c r="F789" i="1" a="1"/>
  <c r="F789" i="1" s="1"/>
  <c r="AZ788" i="1"/>
  <c r="AY788" i="1"/>
  <c r="AX788" i="1"/>
  <c r="AW788" i="1"/>
  <c r="AU788" i="1"/>
  <c r="AT788" i="1"/>
  <c r="AS788" i="1"/>
  <c r="K788" i="1" a="1"/>
  <c r="K788" i="1" s="1"/>
  <c r="J788" i="1" a="1"/>
  <c r="J788" i="1" s="1"/>
  <c r="F788" i="1" a="1"/>
  <c r="F788" i="1" s="1"/>
  <c r="AZ787" i="1"/>
  <c r="AY787" i="1"/>
  <c r="AX787" i="1"/>
  <c r="AW787" i="1"/>
  <c r="AU787" i="1"/>
  <c r="AT787" i="1"/>
  <c r="AS787" i="1"/>
  <c r="K787" i="1" a="1"/>
  <c r="K787" i="1" s="1"/>
  <c r="J787" i="1" a="1"/>
  <c r="J787" i="1" s="1"/>
  <c r="F787" i="1" a="1"/>
  <c r="F787" i="1" s="1"/>
  <c r="E787" i="1" s="1" a="1"/>
  <c r="E787" i="1" s="1"/>
  <c r="AZ786" i="1"/>
  <c r="AY786" i="1"/>
  <c r="AX786" i="1"/>
  <c r="AW786" i="1"/>
  <c r="AU786" i="1"/>
  <c r="AT786" i="1"/>
  <c r="AS786" i="1"/>
  <c r="K786" i="1" a="1"/>
  <c r="K786" i="1" s="1"/>
  <c r="J786" i="1" a="1"/>
  <c r="J786" i="1" s="1"/>
  <c r="F786" i="1" a="1"/>
  <c r="F786" i="1" s="1"/>
  <c r="AZ785" i="1"/>
  <c r="AY785" i="1"/>
  <c r="AX785" i="1"/>
  <c r="AW785" i="1"/>
  <c r="AU785" i="1"/>
  <c r="AT785" i="1"/>
  <c r="AS785" i="1"/>
  <c r="K785" i="1" a="1"/>
  <c r="K785" i="1" s="1"/>
  <c r="J785" i="1" a="1"/>
  <c r="J785" i="1" s="1"/>
  <c r="F785" i="1" a="1"/>
  <c r="F785" i="1" s="1"/>
  <c r="AZ784" i="1"/>
  <c r="AY784" i="1"/>
  <c r="AX784" i="1"/>
  <c r="AW784" i="1"/>
  <c r="AU784" i="1"/>
  <c r="AT784" i="1"/>
  <c r="AS784" i="1"/>
  <c r="K784" i="1" a="1"/>
  <c r="K784" i="1" s="1"/>
  <c r="J784" i="1" a="1"/>
  <c r="J784" i="1" s="1"/>
  <c r="F784" i="1" a="1"/>
  <c r="F784" i="1" s="1"/>
  <c r="E784" i="1" s="1" a="1"/>
  <c r="E784" i="1" s="1"/>
  <c r="AZ783" i="1"/>
  <c r="AY783" i="1"/>
  <c r="AX783" i="1"/>
  <c r="AW783" i="1"/>
  <c r="AU783" i="1"/>
  <c r="AT783" i="1"/>
  <c r="AS783" i="1"/>
  <c r="K783" i="1" a="1"/>
  <c r="K783" i="1" s="1"/>
  <c r="J783" i="1" a="1"/>
  <c r="J783" i="1" s="1"/>
  <c r="F783" i="1" a="1"/>
  <c r="F783" i="1" s="1"/>
  <c r="E783" i="1" s="1" a="1"/>
  <c r="E783" i="1" s="1"/>
  <c r="AZ781" i="1"/>
  <c r="AY781" i="1"/>
  <c r="AX781" i="1"/>
  <c r="AW781" i="1"/>
  <c r="AU781" i="1"/>
  <c r="AS781" i="1"/>
  <c r="K781" i="1" a="1"/>
  <c r="K781" i="1" s="1"/>
  <c r="J781" i="1" a="1"/>
  <c r="J781" i="1" s="1"/>
  <c r="F781" i="1" a="1"/>
  <c r="F781" i="1" s="1"/>
  <c r="AZ780" i="1"/>
  <c r="AY780" i="1"/>
  <c r="AX780" i="1"/>
  <c r="AW780" i="1"/>
  <c r="AU780" i="1"/>
  <c r="AS780" i="1"/>
  <c r="K780" i="1" a="1"/>
  <c r="K780" i="1" s="1"/>
  <c r="J780" i="1" a="1"/>
  <c r="J780" i="1" s="1"/>
  <c r="F780" i="1" a="1"/>
  <c r="F780" i="1" s="1"/>
  <c r="E780" i="1" s="1" a="1"/>
  <c r="E780" i="1" s="1"/>
  <c r="AZ779" i="1"/>
  <c r="AY779" i="1"/>
  <c r="AX779" i="1"/>
  <c r="AW779" i="1"/>
  <c r="AU779" i="1"/>
  <c r="AS779" i="1"/>
  <c r="K779" i="1" a="1"/>
  <c r="K779" i="1" s="1"/>
  <c r="J779" i="1" a="1"/>
  <c r="J779" i="1" s="1"/>
  <c r="F779" i="1" a="1"/>
  <c r="F779" i="1" s="1"/>
  <c r="AZ778" i="1"/>
  <c r="AY778" i="1"/>
  <c r="AX778" i="1"/>
  <c r="AW778" i="1"/>
  <c r="AU778" i="1"/>
  <c r="AS778" i="1"/>
  <c r="K778" i="1" a="1"/>
  <c r="K778" i="1" s="1"/>
  <c r="J778" i="1" a="1"/>
  <c r="J778" i="1" s="1"/>
  <c r="F778" i="1" a="1"/>
  <c r="F778" i="1" s="1"/>
  <c r="AZ777" i="1"/>
  <c r="AY777" i="1"/>
  <c r="AX777" i="1"/>
  <c r="AW777" i="1"/>
  <c r="AU777" i="1"/>
  <c r="AS777" i="1"/>
  <c r="K777" i="1" a="1"/>
  <c r="K777" i="1" s="1"/>
  <c r="J777" i="1" a="1"/>
  <c r="J777" i="1" s="1"/>
  <c r="F777" i="1" a="1"/>
  <c r="F777" i="1" s="1"/>
  <c r="AZ776" i="1"/>
  <c r="AY776" i="1"/>
  <c r="AX776" i="1"/>
  <c r="AW776" i="1"/>
  <c r="AU776" i="1"/>
  <c r="AS776" i="1"/>
  <c r="K776" i="1" a="1"/>
  <c r="K776" i="1" s="1"/>
  <c r="J776" i="1" a="1"/>
  <c r="J776" i="1" s="1"/>
  <c r="F776" i="1" a="1"/>
  <c r="F776" i="1" s="1"/>
  <c r="AZ775" i="1"/>
  <c r="AY775" i="1"/>
  <c r="AX775" i="1"/>
  <c r="AW775" i="1"/>
  <c r="AU775" i="1"/>
  <c r="AS775" i="1"/>
  <c r="K775" i="1" a="1"/>
  <c r="K775" i="1" s="1"/>
  <c r="J775" i="1" a="1"/>
  <c r="J775" i="1" s="1"/>
  <c r="F775" i="1" a="1"/>
  <c r="F775" i="1" s="1"/>
  <c r="AZ774" i="1"/>
  <c r="AY774" i="1"/>
  <c r="AX774" i="1"/>
  <c r="AW774" i="1"/>
  <c r="AU774" i="1"/>
  <c r="AS774" i="1"/>
  <c r="K774" i="1" a="1"/>
  <c r="K774" i="1" s="1"/>
  <c r="J774" i="1" a="1"/>
  <c r="J774" i="1" s="1"/>
  <c r="F774" i="1" a="1"/>
  <c r="F774" i="1" s="1"/>
  <c r="AZ773" i="1"/>
  <c r="AY773" i="1"/>
  <c r="AX773" i="1"/>
  <c r="AW773" i="1"/>
  <c r="AU773" i="1"/>
  <c r="AS773" i="1"/>
  <c r="K773" i="1" a="1"/>
  <c r="K773" i="1" s="1"/>
  <c r="J773" i="1" a="1"/>
  <c r="J773" i="1" s="1"/>
  <c r="F773" i="1" a="1"/>
  <c r="F773" i="1" s="1"/>
  <c r="AZ772" i="1"/>
  <c r="AY772" i="1"/>
  <c r="AX772" i="1"/>
  <c r="AW772" i="1"/>
  <c r="AU772" i="1"/>
  <c r="AS772" i="1"/>
  <c r="K772" i="1" a="1"/>
  <c r="K772" i="1" s="1"/>
  <c r="J772" i="1" a="1"/>
  <c r="J772" i="1" s="1"/>
  <c r="F772" i="1" a="1"/>
  <c r="F772" i="1" s="1"/>
  <c r="E772" i="1" s="1" a="1"/>
  <c r="E772" i="1" s="1"/>
  <c r="AY770" i="1"/>
  <c r="AX770" i="1"/>
  <c r="AW770" i="1"/>
  <c r="AU770" i="1"/>
  <c r="J770" i="1" a="1"/>
  <c r="J770" i="1" s="1"/>
  <c r="AZ814" i="1"/>
  <c r="F770" i="1" a="1"/>
  <c r="F770" i="1" s="1"/>
  <c r="AY769" i="1"/>
  <c r="AX769" i="1"/>
  <c r="AW769" i="1"/>
  <c r="AU769" i="1"/>
  <c r="J769" i="1" a="1"/>
  <c r="J769" i="1" s="1"/>
  <c r="AZ769" i="1"/>
  <c r="F769" i="1" a="1"/>
  <c r="F769" i="1" s="1"/>
  <c r="AY768" i="1"/>
  <c r="AX768" i="1"/>
  <c r="AW768" i="1"/>
  <c r="AU768" i="1"/>
  <c r="J768" i="1" a="1"/>
  <c r="J768" i="1" s="1"/>
  <c r="F768" i="1" a="1"/>
  <c r="F768" i="1" s="1"/>
  <c r="AY767" i="1"/>
  <c r="AX767" i="1"/>
  <c r="AW767" i="1"/>
  <c r="AU767" i="1"/>
  <c r="J767" i="1" a="1"/>
  <c r="J767" i="1" s="1"/>
  <c r="AS767" i="1"/>
  <c r="F767" i="1" a="1"/>
  <c r="F767" i="1" s="1"/>
  <c r="AY766" i="1"/>
  <c r="AX766" i="1"/>
  <c r="AW766" i="1"/>
  <c r="AU766" i="1"/>
  <c r="J766" i="1" a="1"/>
  <c r="J766" i="1" s="1"/>
  <c r="AZ810" i="1"/>
  <c r="F766" i="1" a="1"/>
  <c r="F766" i="1" s="1"/>
  <c r="AY765" i="1"/>
  <c r="AX765" i="1"/>
  <c r="AW765" i="1"/>
  <c r="AU765" i="1"/>
  <c r="J765" i="1" a="1"/>
  <c r="J765" i="1" s="1"/>
  <c r="AZ765" i="1"/>
  <c r="F765" i="1" a="1"/>
  <c r="F765" i="1" s="1"/>
  <c r="AY764" i="1"/>
  <c r="AX764" i="1"/>
  <c r="AW764" i="1"/>
  <c r="AU764" i="1"/>
  <c r="J764" i="1" a="1"/>
  <c r="J764" i="1" s="1"/>
  <c r="F764" i="1" a="1"/>
  <c r="F764" i="1" s="1"/>
  <c r="AY763" i="1"/>
  <c r="AX763" i="1"/>
  <c r="AW763" i="1"/>
  <c r="AU763" i="1"/>
  <c r="J763" i="1" a="1"/>
  <c r="J763" i="1" s="1"/>
  <c r="AZ763" i="1"/>
  <c r="F763" i="1" a="1"/>
  <c r="F763" i="1" s="1"/>
  <c r="AY762" i="1"/>
  <c r="AX762" i="1"/>
  <c r="AW762" i="1"/>
  <c r="AU762" i="1"/>
  <c r="J762" i="1" a="1"/>
  <c r="J762" i="1" s="1"/>
  <c r="AZ806" i="1"/>
  <c r="F762" i="1" a="1"/>
  <c r="F762" i="1" s="1"/>
  <c r="AY761" i="1"/>
  <c r="AX761" i="1"/>
  <c r="AW761" i="1"/>
  <c r="AU761" i="1"/>
  <c r="J761" i="1" a="1"/>
  <c r="J761" i="1" s="1"/>
  <c r="AZ761" i="1"/>
  <c r="F761" i="1" a="1"/>
  <c r="F761" i="1" s="1"/>
  <c r="AZ759" i="1"/>
  <c r="AY759" i="1"/>
  <c r="AX759" i="1"/>
  <c r="AW759" i="1"/>
  <c r="AU759" i="1"/>
  <c r="AT759" i="1"/>
  <c r="AS759" i="1"/>
  <c r="K759" i="1" a="1"/>
  <c r="K759" i="1" s="1"/>
  <c r="J759" i="1" a="1"/>
  <c r="J759" i="1" s="1"/>
  <c r="F759" i="1" a="1"/>
  <c r="F759" i="1" s="1"/>
  <c r="AZ758" i="1"/>
  <c r="AY758" i="1"/>
  <c r="AX758" i="1"/>
  <c r="AW758" i="1"/>
  <c r="AU758" i="1"/>
  <c r="AT758" i="1"/>
  <c r="AS758" i="1"/>
  <c r="K758" i="1" a="1"/>
  <c r="K758" i="1" s="1"/>
  <c r="J758" i="1" a="1"/>
  <c r="J758" i="1" s="1"/>
  <c r="F758" i="1" a="1"/>
  <c r="F758" i="1" s="1"/>
  <c r="E758" i="1" s="1" a="1"/>
  <c r="E758" i="1" s="1"/>
  <c r="AZ757" i="1"/>
  <c r="AY757" i="1"/>
  <c r="AX757" i="1"/>
  <c r="AW757" i="1"/>
  <c r="AU757" i="1"/>
  <c r="AT757" i="1"/>
  <c r="AS757" i="1"/>
  <c r="K757" i="1" a="1"/>
  <c r="K757" i="1" s="1"/>
  <c r="J757" i="1" a="1"/>
  <c r="J757" i="1" s="1"/>
  <c r="F757" i="1" a="1"/>
  <c r="F757" i="1" s="1"/>
  <c r="AZ756" i="1"/>
  <c r="AY756" i="1"/>
  <c r="AX756" i="1"/>
  <c r="AW756" i="1"/>
  <c r="AU756" i="1"/>
  <c r="AT756" i="1"/>
  <c r="AS756" i="1"/>
  <c r="K756" i="1" a="1"/>
  <c r="K756" i="1" s="1"/>
  <c r="J756" i="1" a="1"/>
  <c r="J756" i="1" s="1"/>
  <c r="F756" i="1" a="1"/>
  <c r="F756" i="1" s="1"/>
  <c r="AZ755" i="1"/>
  <c r="AY755" i="1"/>
  <c r="AX755" i="1"/>
  <c r="AW755" i="1"/>
  <c r="AU755" i="1"/>
  <c r="AT755" i="1"/>
  <c r="AS755" i="1"/>
  <c r="K755" i="1" a="1"/>
  <c r="K755" i="1" s="1"/>
  <c r="J755" i="1" a="1"/>
  <c r="J755" i="1" s="1"/>
  <c r="F755" i="1" a="1"/>
  <c r="F755" i="1" s="1"/>
  <c r="AZ754" i="1"/>
  <c r="AY754" i="1"/>
  <c r="AX754" i="1"/>
  <c r="AW754" i="1"/>
  <c r="AU754" i="1"/>
  <c r="AT754" i="1"/>
  <c r="AS754" i="1"/>
  <c r="K754" i="1" a="1"/>
  <c r="K754" i="1" s="1"/>
  <c r="J754" i="1" a="1"/>
  <c r="J754" i="1" s="1"/>
  <c r="F754" i="1" a="1"/>
  <c r="F754" i="1" s="1"/>
  <c r="E754" i="1" s="1" a="1"/>
  <c r="E754" i="1" s="1"/>
  <c r="AZ753" i="1"/>
  <c r="AY753" i="1"/>
  <c r="AX753" i="1"/>
  <c r="AW753" i="1"/>
  <c r="AU753" i="1"/>
  <c r="AT753" i="1"/>
  <c r="AS753" i="1"/>
  <c r="K753" i="1" a="1"/>
  <c r="K753" i="1" s="1"/>
  <c r="J753" i="1" a="1"/>
  <c r="J753" i="1" s="1"/>
  <c r="F753" i="1" a="1"/>
  <c r="F753" i="1" s="1"/>
  <c r="AZ752" i="1"/>
  <c r="AY752" i="1"/>
  <c r="AX752" i="1"/>
  <c r="AW752" i="1"/>
  <c r="AU752" i="1"/>
  <c r="AT752" i="1"/>
  <c r="AS752" i="1"/>
  <c r="K752" i="1" a="1"/>
  <c r="K752" i="1" s="1"/>
  <c r="J752" i="1" a="1"/>
  <c r="J752" i="1" s="1"/>
  <c r="F752" i="1" a="1"/>
  <c r="F752" i="1" s="1"/>
  <c r="AZ751" i="1"/>
  <c r="AY751" i="1"/>
  <c r="AX751" i="1"/>
  <c r="AW751" i="1"/>
  <c r="AU751" i="1"/>
  <c r="AT751" i="1"/>
  <c r="AS751" i="1"/>
  <c r="K751" i="1" a="1"/>
  <c r="K751" i="1" s="1"/>
  <c r="J751" i="1" a="1"/>
  <c r="J751" i="1" s="1"/>
  <c r="F751" i="1" a="1"/>
  <c r="F751" i="1" s="1"/>
  <c r="E751" i="1" s="1" a="1"/>
  <c r="E751" i="1" s="1"/>
  <c r="AZ750" i="1"/>
  <c r="AY750" i="1"/>
  <c r="AX750" i="1"/>
  <c r="AW750" i="1"/>
  <c r="AU750" i="1"/>
  <c r="AT750" i="1"/>
  <c r="AS750" i="1"/>
  <c r="K750" i="1" a="1"/>
  <c r="K750" i="1" s="1"/>
  <c r="J750" i="1" a="1"/>
  <c r="J750" i="1" s="1"/>
  <c r="F750" i="1" a="1"/>
  <c r="F750" i="1" s="1"/>
  <c r="E750" i="1" s="1" a="1"/>
  <c r="E750" i="1" s="1"/>
  <c r="AZ748" i="1"/>
  <c r="AY748" i="1"/>
  <c r="AX748" i="1"/>
  <c r="AW748" i="1"/>
  <c r="AU748" i="1"/>
  <c r="AT748" i="1"/>
  <c r="AS748" i="1"/>
  <c r="K748" i="1" a="1"/>
  <c r="K748" i="1" s="1"/>
  <c r="J748" i="1" a="1"/>
  <c r="J748" i="1" s="1"/>
  <c r="F748" i="1" a="1"/>
  <c r="F748" i="1" s="1"/>
  <c r="AZ747" i="1"/>
  <c r="AY747" i="1"/>
  <c r="AX747" i="1"/>
  <c r="AW747" i="1"/>
  <c r="AU747" i="1"/>
  <c r="AT747" i="1"/>
  <c r="AS747" i="1"/>
  <c r="K747" i="1" a="1"/>
  <c r="K747" i="1" s="1"/>
  <c r="J747" i="1" a="1"/>
  <c r="J747" i="1" s="1"/>
  <c r="F747" i="1" a="1"/>
  <c r="F747" i="1" s="1"/>
  <c r="E747" i="1" s="1" a="1"/>
  <c r="E747" i="1" s="1"/>
  <c r="AZ746" i="1"/>
  <c r="AY746" i="1"/>
  <c r="AX746" i="1"/>
  <c r="AW746" i="1"/>
  <c r="AU746" i="1"/>
  <c r="AT746" i="1"/>
  <c r="AS746" i="1"/>
  <c r="K746" i="1" a="1"/>
  <c r="K746" i="1" s="1"/>
  <c r="J746" i="1" a="1"/>
  <c r="J746" i="1" s="1"/>
  <c r="F746" i="1" a="1"/>
  <c r="F746" i="1" s="1"/>
  <c r="AZ745" i="1"/>
  <c r="AY745" i="1"/>
  <c r="AX745" i="1"/>
  <c r="AW745" i="1"/>
  <c r="AU745" i="1"/>
  <c r="AT745" i="1"/>
  <c r="AS745" i="1"/>
  <c r="K745" i="1" a="1"/>
  <c r="K745" i="1" s="1"/>
  <c r="J745" i="1" a="1"/>
  <c r="J745" i="1" s="1"/>
  <c r="F745" i="1" a="1"/>
  <c r="F745" i="1" s="1"/>
  <c r="AZ744" i="1"/>
  <c r="AY744" i="1"/>
  <c r="AX744" i="1"/>
  <c r="AW744" i="1"/>
  <c r="AU744" i="1"/>
  <c r="AT744" i="1"/>
  <c r="AS744" i="1"/>
  <c r="K744" i="1" a="1"/>
  <c r="K744" i="1" s="1"/>
  <c r="J744" i="1" a="1"/>
  <c r="J744" i="1" s="1"/>
  <c r="F744" i="1" a="1"/>
  <c r="F744" i="1" s="1"/>
  <c r="AZ743" i="1"/>
  <c r="AY743" i="1"/>
  <c r="AX743" i="1"/>
  <c r="AW743" i="1"/>
  <c r="AU743" i="1"/>
  <c r="AT743" i="1"/>
  <c r="AS743" i="1"/>
  <c r="K743" i="1" a="1"/>
  <c r="K743" i="1" s="1"/>
  <c r="J743" i="1" a="1"/>
  <c r="J743" i="1" s="1"/>
  <c r="F743" i="1" a="1"/>
  <c r="F743" i="1" s="1"/>
  <c r="E743" i="1" s="1" a="1"/>
  <c r="E743" i="1" s="1"/>
  <c r="AZ742" i="1"/>
  <c r="AY742" i="1"/>
  <c r="AX742" i="1"/>
  <c r="AW742" i="1"/>
  <c r="AU742" i="1"/>
  <c r="AT742" i="1"/>
  <c r="AS742" i="1"/>
  <c r="K742" i="1" a="1"/>
  <c r="K742" i="1" s="1"/>
  <c r="J742" i="1" a="1"/>
  <c r="J742" i="1" s="1"/>
  <c r="F742" i="1" a="1"/>
  <c r="F742" i="1" s="1"/>
  <c r="AZ741" i="1"/>
  <c r="AY741" i="1"/>
  <c r="AX741" i="1"/>
  <c r="AW741" i="1"/>
  <c r="AU741" i="1"/>
  <c r="AT741" i="1"/>
  <c r="AS741" i="1"/>
  <c r="K741" i="1" a="1"/>
  <c r="K741" i="1" s="1"/>
  <c r="J741" i="1" a="1"/>
  <c r="J741" i="1" s="1"/>
  <c r="F741" i="1" a="1"/>
  <c r="F741" i="1" s="1"/>
  <c r="AZ740" i="1"/>
  <c r="AY740" i="1"/>
  <c r="AX740" i="1"/>
  <c r="AW740" i="1"/>
  <c r="AU740" i="1"/>
  <c r="AT740" i="1"/>
  <c r="AS740" i="1"/>
  <c r="K740" i="1" a="1"/>
  <c r="K740" i="1" s="1"/>
  <c r="J740" i="1" a="1"/>
  <c r="J740" i="1" s="1"/>
  <c r="F740" i="1" a="1"/>
  <c r="F740" i="1" s="1"/>
  <c r="AZ739" i="1"/>
  <c r="AY739" i="1"/>
  <c r="AX739" i="1"/>
  <c r="AW739" i="1"/>
  <c r="AU739" i="1"/>
  <c r="AT739" i="1"/>
  <c r="AS739" i="1"/>
  <c r="K739" i="1" a="1"/>
  <c r="K739" i="1" s="1"/>
  <c r="J739" i="1" a="1"/>
  <c r="J739" i="1" s="1"/>
  <c r="F739" i="1" a="1"/>
  <c r="F739" i="1" s="1"/>
  <c r="E739" i="1" s="1" a="1"/>
  <c r="E739" i="1" s="1"/>
  <c r="AZ737" i="1"/>
  <c r="AY737" i="1"/>
  <c r="AX737" i="1"/>
  <c r="AW737" i="1"/>
  <c r="AU737" i="1"/>
  <c r="AT737" i="1"/>
  <c r="AS737" i="1"/>
  <c r="K737" i="1" a="1"/>
  <c r="K737" i="1" s="1"/>
  <c r="J737" i="1" a="1"/>
  <c r="J737" i="1" s="1"/>
  <c r="F737" i="1" a="1"/>
  <c r="F737" i="1" s="1"/>
  <c r="AZ736" i="1"/>
  <c r="AY736" i="1"/>
  <c r="AX736" i="1"/>
  <c r="AW736" i="1"/>
  <c r="AU736" i="1"/>
  <c r="AT736" i="1"/>
  <c r="AS736" i="1"/>
  <c r="K736" i="1" a="1"/>
  <c r="K736" i="1" s="1"/>
  <c r="J736" i="1" a="1"/>
  <c r="J736" i="1" s="1"/>
  <c r="F736" i="1" a="1"/>
  <c r="F736" i="1" s="1"/>
  <c r="AZ735" i="1"/>
  <c r="AY735" i="1"/>
  <c r="AX735" i="1"/>
  <c r="AW735" i="1"/>
  <c r="AU735" i="1"/>
  <c r="AT735" i="1"/>
  <c r="AS735" i="1"/>
  <c r="K735" i="1" a="1"/>
  <c r="K735" i="1" s="1"/>
  <c r="J735" i="1" a="1"/>
  <c r="J735" i="1" s="1"/>
  <c r="F735" i="1" a="1"/>
  <c r="F735" i="1" s="1"/>
  <c r="AZ734" i="1"/>
  <c r="AY734" i="1"/>
  <c r="AX734" i="1"/>
  <c r="AW734" i="1"/>
  <c r="AU734" i="1"/>
  <c r="AT734" i="1"/>
  <c r="AS734" i="1"/>
  <c r="K734" i="1" a="1"/>
  <c r="K734" i="1" s="1"/>
  <c r="J734" i="1" a="1"/>
  <c r="J734" i="1" s="1"/>
  <c r="F734" i="1" a="1"/>
  <c r="F734" i="1" s="1"/>
  <c r="AZ733" i="1"/>
  <c r="AY733" i="1"/>
  <c r="AX733" i="1"/>
  <c r="AW733" i="1"/>
  <c r="AU733" i="1"/>
  <c r="AT733" i="1"/>
  <c r="AS733" i="1"/>
  <c r="K733" i="1" a="1"/>
  <c r="K733" i="1" s="1"/>
  <c r="J733" i="1" a="1"/>
  <c r="J733" i="1" s="1"/>
  <c r="F733" i="1" a="1"/>
  <c r="F733" i="1" s="1"/>
  <c r="AZ732" i="1"/>
  <c r="AY732" i="1"/>
  <c r="AX732" i="1"/>
  <c r="AW732" i="1"/>
  <c r="AU732" i="1"/>
  <c r="AT732" i="1"/>
  <c r="AS732" i="1"/>
  <c r="K732" i="1" a="1"/>
  <c r="K732" i="1" s="1"/>
  <c r="J732" i="1" a="1"/>
  <c r="J732" i="1" s="1"/>
  <c r="F732" i="1" a="1"/>
  <c r="F732" i="1" s="1"/>
  <c r="AZ731" i="1"/>
  <c r="AY731" i="1"/>
  <c r="AX731" i="1"/>
  <c r="AW731" i="1"/>
  <c r="AU731" i="1"/>
  <c r="AT731" i="1"/>
  <c r="AS731" i="1"/>
  <c r="K731" i="1" a="1"/>
  <c r="K731" i="1" s="1"/>
  <c r="J731" i="1" a="1"/>
  <c r="J731" i="1" s="1"/>
  <c r="F731" i="1" a="1"/>
  <c r="F731" i="1" s="1"/>
  <c r="AZ730" i="1"/>
  <c r="AY730" i="1"/>
  <c r="AX730" i="1"/>
  <c r="AW730" i="1"/>
  <c r="AU730" i="1"/>
  <c r="AT730" i="1"/>
  <c r="AS730" i="1"/>
  <c r="K730" i="1" a="1"/>
  <c r="K730" i="1" s="1"/>
  <c r="J730" i="1" a="1"/>
  <c r="J730" i="1" s="1"/>
  <c r="F730" i="1" a="1"/>
  <c r="F730" i="1" s="1"/>
  <c r="E730" i="1" s="1" a="1"/>
  <c r="E730" i="1" s="1"/>
  <c r="AZ729" i="1"/>
  <c r="AY729" i="1"/>
  <c r="AX729" i="1"/>
  <c r="AW729" i="1"/>
  <c r="AU729" i="1"/>
  <c r="AT729" i="1"/>
  <c r="AS729" i="1"/>
  <c r="K729" i="1" a="1"/>
  <c r="K729" i="1" s="1"/>
  <c r="J729" i="1" a="1"/>
  <c r="J729" i="1" s="1"/>
  <c r="F729" i="1" a="1"/>
  <c r="F729" i="1" s="1"/>
  <c r="AZ728" i="1"/>
  <c r="AY728" i="1"/>
  <c r="AX728" i="1"/>
  <c r="AW728" i="1"/>
  <c r="AU728" i="1"/>
  <c r="AT728" i="1"/>
  <c r="AS728" i="1"/>
  <c r="K728" i="1" a="1"/>
  <c r="K728" i="1" s="1"/>
  <c r="J728" i="1" a="1"/>
  <c r="J728" i="1" s="1"/>
  <c r="F728" i="1" a="1"/>
  <c r="F728" i="1" s="1"/>
  <c r="E728" i="1" s="1" a="1"/>
  <c r="E728" i="1" s="1"/>
  <c r="AZ726" i="1"/>
  <c r="AY726" i="1"/>
  <c r="AX726" i="1"/>
  <c r="AW726" i="1"/>
  <c r="AU726" i="1"/>
  <c r="AS726" i="1"/>
  <c r="K726" i="1" a="1"/>
  <c r="K726" i="1" s="1"/>
  <c r="J726" i="1" a="1"/>
  <c r="J726" i="1" s="1"/>
  <c r="F726" i="1" a="1"/>
  <c r="F726" i="1" s="1"/>
  <c r="AZ725" i="1"/>
  <c r="AY725" i="1"/>
  <c r="AX725" i="1"/>
  <c r="AW725" i="1"/>
  <c r="AU725" i="1"/>
  <c r="AS725" i="1"/>
  <c r="K725" i="1" a="1"/>
  <c r="K725" i="1" s="1"/>
  <c r="J725" i="1" a="1"/>
  <c r="J725" i="1" s="1"/>
  <c r="F725" i="1" a="1"/>
  <c r="F725" i="1" s="1"/>
  <c r="AZ724" i="1"/>
  <c r="AY724" i="1"/>
  <c r="AX724" i="1"/>
  <c r="AW724" i="1"/>
  <c r="AU724" i="1"/>
  <c r="AS724" i="1"/>
  <c r="K724" i="1" a="1"/>
  <c r="K724" i="1" s="1"/>
  <c r="J724" i="1" a="1"/>
  <c r="J724" i="1" s="1"/>
  <c r="F724" i="1" a="1"/>
  <c r="F724" i="1" s="1"/>
  <c r="AZ723" i="1"/>
  <c r="AY723" i="1"/>
  <c r="AX723" i="1"/>
  <c r="AW723" i="1"/>
  <c r="AU723" i="1"/>
  <c r="AS723" i="1"/>
  <c r="K723" i="1" a="1"/>
  <c r="K723" i="1" s="1"/>
  <c r="J723" i="1" a="1"/>
  <c r="J723" i="1" s="1"/>
  <c r="F723" i="1" a="1"/>
  <c r="F723" i="1" s="1"/>
  <c r="AZ722" i="1"/>
  <c r="AY722" i="1"/>
  <c r="AX722" i="1"/>
  <c r="AW722" i="1"/>
  <c r="AU722" i="1"/>
  <c r="AS722" i="1"/>
  <c r="K722" i="1" a="1"/>
  <c r="K722" i="1" s="1"/>
  <c r="J722" i="1" a="1"/>
  <c r="J722" i="1" s="1"/>
  <c r="F722" i="1" a="1"/>
  <c r="F722" i="1" s="1"/>
  <c r="AZ721" i="1"/>
  <c r="AY721" i="1"/>
  <c r="AX721" i="1"/>
  <c r="AW721" i="1"/>
  <c r="AU721" i="1"/>
  <c r="AS721" i="1"/>
  <c r="K721" i="1" a="1"/>
  <c r="K721" i="1" s="1"/>
  <c r="J721" i="1" a="1"/>
  <c r="J721" i="1" s="1"/>
  <c r="F721" i="1" a="1"/>
  <c r="F721" i="1" s="1"/>
  <c r="E721" i="1" s="1" a="1"/>
  <c r="E721" i="1" s="1"/>
  <c r="AZ720" i="1"/>
  <c r="AY720" i="1"/>
  <c r="AX720" i="1"/>
  <c r="AW720" i="1"/>
  <c r="AU720" i="1"/>
  <c r="AS720" i="1"/>
  <c r="K720" i="1" a="1"/>
  <c r="K720" i="1" s="1"/>
  <c r="J720" i="1" a="1"/>
  <c r="J720" i="1" s="1"/>
  <c r="F720" i="1" a="1"/>
  <c r="F720" i="1" s="1"/>
  <c r="AZ719" i="1"/>
  <c r="AY719" i="1"/>
  <c r="AX719" i="1"/>
  <c r="AW719" i="1"/>
  <c r="AU719" i="1"/>
  <c r="AS719" i="1"/>
  <c r="K719" i="1" a="1"/>
  <c r="K719" i="1" s="1"/>
  <c r="J719" i="1" a="1"/>
  <c r="J719" i="1" s="1"/>
  <c r="F719" i="1" a="1"/>
  <c r="F719" i="1" s="1"/>
  <c r="AZ718" i="1"/>
  <c r="AY718" i="1"/>
  <c r="AX718" i="1"/>
  <c r="AW718" i="1"/>
  <c r="AU718" i="1"/>
  <c r="AS718" i="1"/>
  <c r="K718" i="1" a="1"/>
  <c r="K718" i="1" s="1"/>
  <c r="J718" i="1" a="1"/>
  <c r="J718" i="1" s="1"/>
  <c r="F718" i="1" a="1"/>
  <c r="F718" i="1" s="1"/>
  <c r="AZ717" i="1"/>
  <c r="AY717" i="1"/>
  <c r="AX717" i="1"/>
  <c r="AW717" i="1"/>
  <c r="AU717" i="1"/>
  <c r="AS717" i="1"/>
  <c r="K717" i="1" a="1"/>
  <c r="K717" i="1" s="1"/>
  <c r="J717" i="1" a="1"/>
  <c r="J717" i="1" s="1"/>
  <c r="F717" i="1" a="1"/>
  <c r="F717" i="1" s="1"/>
  <c r="AZ715" i="1"/>
  <c r="AY715" i="1"/>
  <c r="AX715" i="1"/>
  <c r="AW715" i="1"/>
  <c r="AU715" i="1"/>
  <c r="AT715" i="1"/>
  <c r="AS715" i="1"/>
  <c r="K715" i="1" a="1"/>
  <c r="K715" i="1" s="1"/>
  <c r="J715" i="1" a="1"/>
  <c r="J715" i="1" s="1"/>
  <c r="F715" i="1" a="1"/>
  <c r="F715" i="1" s="1"/>
  <c r="AZ714" i="1"/>
  <c r="AY714" i="1"/>
  <c r="AX714" i="1"/>
  <c r="AW714" i="1"/>
  <c r="AU714" i="1"/>
  <c r="AT714" i="1"/>
  <c r="AS714" i="1"/>
  <c r="K714" i="1" a="1"/>
  <c r="K714" i="1" s="1"/>
  <c r="J714" i="1" a="1"/>
  <c r="J714" i="1" s="1"/>
  <c r="F714" i="1" a="1"/>
  <c r="F714" i="1" s="1"/>
  <c r="E714" i="1" s="1" a="1"/>
  <c r="E714" i="1" s="1"/>
  <c r="AZ713" i="1"/>
  <c r="AY713" i="1"/>
  <c r="AX713" i="1"/>
  <c r="AW713" i="1"/>
  <c r="AU713" i="1"/>
  <c r="AT713" i="1"/>
  <c r="AS713" i="1"/>
  <c r="K713" i="1" a="1"/>
  <c r="K713" i="1" s="1"/>
  <c r="J713" i="1" a="1"/>
  <c r="J713" i="1" s="1"/>
  <c r="F713" i="1" a="1"/>
  <c r="F713" i="1" s="1"/>
  <c r="AZ712" i="1"/>
  <c r="AY712" i="1"/>
  <c r="AX712" i="1"/>
  <c r="AW712" i="1"/>
  <c r="AU712" i="1"/>
  <c r="AT712" i="1"/>
  <c r="AS712" i="1"/>
  <c r="K712" i="1" a="1"/>
  <c r="K712" i="1" s="1"/>
  <c r="J712" i="1" a="1"/>
  <c r="J712" i="1" s="1"/>
  <c r="F712" i="1" a="1"/>
  <c r="F712" i="1" s="1"/>
  <c r="AZ711" i="1"/>
  <c r="AY711" i="1"/>
  <c r="AX711" i="1"/>
  <c r="AW711" i="1"/>
  <c r="AU711" i="1"/>
  <c r="AT711" i="1"/>
  <c r="AS711" i="1"/>
  <c r="K711" i="1" a="1"/>
  <c r="K711" i="1" s="1"/>
  <c r="J711" i="1" a="1"/>
  <c r="J711" i="1" s="1"/>
  <c r="F711" i="1" a="1"/>
  <c r="F711" i="1" s="1"/>
  <c r="AZ710" i="1"/>
  <c r="AY710" i="1"/>
  <c r="AX710" i="1"/>
  <c r="AW710" i="1"/>
  <c r="AU710" i="1"/>
  <c r="AT710" i="1"/>
  <c r="AS710" i="1"/>
  <c r="K710" i="1" a="1"/>
  <c r="K710" i="1" s="1"/>
  <c r="J710" i="1" a="1"/>
  <c r="J710" i="1" s="1"/>
  <c r="F710" i="1" a="1"/>
  <c r="F710" i="1" s="1"/>
  <c r="E710" i="1" s="1" a="1"/>
  <c r="E710" i="1" s="1"/>
  <c r="AZ709" i="1"/>
  <c r="AY709" i="1"/>
  <c r="AX709" i="1"/>
  <c r="AW709" i="1"/>
  <c r="AU709" i="1"/>
  <c r="AT709" i="1"/>
  <c r="AS709" i="1"/>
  <c r="K709" i="1" a="1"/>
  <c r="K709" i="1" s="1"/>
  <c r="J709" i="1" a="1"/>
  <c r="J709" i="1" s="1"/>
  <c r="F709" i="1" a="1"/>
  <c r="F709" i="1" s="1"/>
  <c r="AZ708" i="1"/>
  <c r="AY708" i="1"/>
  <c r="AX708" i="1"/>
  <c r="AW708" i="1"/>
  <c r="AU708" i="1"/>
  <c r="AT708" i="1"/>
  <c r="AS708" i="1"/>
  <c r="K708" i="1" a="1"/>
  <c r="K708" i="1" s="1"/>
  <c r="J708" i="1" a="1"/>
  <c r="J708" i="1" s="1"/>
  <c r="F708" i="1" a="1"/>
  <c r="F708" i="1" s="1"/>
  <c r="AZ707" i="1"/>
  <c r="AY707" i="1"/>
  <c r="AX707" i="1"/>
  <c r="AW707" i="1"/>
  <c r="AU707" i="1"/>
  <c r="AT707" i="1"/>
  <c r="AS707" i="1"/>
  <c r="K707" i="1" a="1"/>
  <c r="K707" i="1" s="1"/>
  <c r="J707" i="1" a="1"/>
  <c r="J707" i="1" s="1"/>
  <c r="F707" i="1" a="1"/>
  <c r="F707" i="1" s="1"/>
  <c r="AZ706" i="1"/>
  <c r="AY706" i="1"/>
  <c r="AX706" i="1"/>
  <c r="AW706" i="1"/>
  <c r="AU706" i="1"/>
  <c r="AT706" i="1"/>
  <c r="AS706" i="1"/>
  <c r="K706" i="1" a="1"/>
  <c r="K706" i="1" s="1"/>
  <c r="J706" i="1" a="1"/>
  <c r="J706" i="1" s="1"/>
  <c r="F706" i="1" a="1"/>
  <c r="F706" i="1" s="1"/>
  <c r="E706" i="1" s="1" a="1"/>
  <c r="E706" i="1" s="1"/>
  <c r="AZ704" i="1"/>
  <c r="AY704" i="1"/>
  <c r="AX704" i="1"/>
  <c r="AW704" i="1"/>
  <c r="AU704" i="1"/>
  <c r="AS704" i="1"/>
  <c r="K704" i="1" a="1"/>
  <c r="K704" i="1" s="1"/>
  <c r="J704" i="1" a="1"/>
  <c r="J704" i="1" s="1"/>
  <c r="F704" i="1" a="1"/>
  <c r="F704" i="1" s="1"/>
  <c r="AZ703" i="1"/>
  <c r="AY703" i="1"/>
  <c r="AX703" i="1"/>
  <c r="AW703" i="1"/>
  <c r="AU703" i="1"/>
  <c r="AS703" i="1"/>
  <c r="K703" i="1" a="1"/>
  <c r="K703" i="1" s="1"/>
  <c r="J703" i="1" a="1"/>
  <c r="J703" i="1" s="1"/>
  <c r="F703" i="1" a="1"/>
  <c r="F703" i="1" s="1"/>
  <c r="E703" i="1" s="1" a="1"/>
  <c r="E703" i="1" s="1"/>
  <c r="AZ702" i="1"/>
  <c r="AY702" i="1"/>
  <c r="AX702" i="1"/>
  <c r="AW702" i="1"/>
  <c r="AU702" i="1"/>
  <c r="AS702" i="1"/>
  <c r="K702" i="1" a="1"/>
  <c r="K702" i="1" s="1"/>
  <c r="J702" i="1" a="1"/>
  <c r="J702" i="1" s="1"/>
  <c r="F702" i="1" a="1"/>
  <c r="F702" i="1" s="1"/>
  <c r="AZ701" i="1"/>
  <c r="AY701" i="1"/>
  <c r="AX701" i="1"/>
  <c r="AW701" i="1"/>
  <c r="AU701" i="1"/>
  <c r="AS701" i="1"/>
  <c r="K701" i="1" a="1"/>
  <c r="K701" i="1" s="1"/>
  <c r="J701" i="1" a="1"/>
  <c r="J701" i="1" s="1"/>
  <c r="F701" i="1" a="1"/>
  <c r="F701" i="1" s="1"/>
  <c r="AZ700" i="1"/>
  <c r="AY700" i="1"/>
  <c r="AX700" i="1"/>
  <c r="AW700" i="1"/>
  <c r="AU700" i="1"/>
  <c r="AS700" i="1"/>
  <c r="K700" i="1" a="1"/>
  <c r="K700" i="1" s="1"/>
  <c r="J700" i="1" a="1"/>
  <c r="J700" i="1" s="1"/>
  <c r="F700" i="1" a="1"/>
  <c r="F700" i="1" s="1"/>
  <c r="AZ699" i="1"/>
  <c r="AY699" i="1"/>
  <c r="AX699" i="1"/>
  <c r="AW699" i="1"/>
  <c r="AU699" i="1"/>
  <c r="AS699" i="1"/>
  <c r="K699" i="1" a="1"/>
  <c r="K699" i="1" s="1"/>
  <c r="J699" i="1" a="1"/>
  <c r="J699" i="1" s="1"/>
  <c r="F699" i="1" a="1"/>
  <c r="F699" i="1" s="1"/>
  <c r="E699" i="1" s="1" a="1"/>
  <c r="E699" i="1" s="1"/>
  <c r="AZ698" i="1"/>
  <c r="AY698" i="1"/>
  <c r="AX698" i="1"/>
  <c r="AW698" i="1"/>
  <c r="AU698" i="1"/>
  <c r="AS698" i="1"/>
  <c r="K698" i="1" a="1"/>
  <c r="K698" i="1" s="1"/>
  <c r="J698" i="1" a="1"/>
  <c r="J698" i="1" s="1"/>
  <c r="F698" i="1" a="1"/>
  <c r="F698" i="1" s="1"/>
  <c r="AZ697" i="1"/>
  <c r="AY697" i="1"/>
  <c r="AX697" i="1"/>
  <c r="AW697" i="1"/>
  <c r="AU697" i="1"/>
  <c r="AS697" i="1"/>
  <c r="K697" i="1" a="1"/>
  <c r="K697" i="1" s="1"/>
  <c r="J697" i="1" a="1"/>
  <c r="J697" i="1" s="1"/>
  <c r="F697" i="1" a="1"/>
  <c r="F697" i="1" s="1"/>
  <c r="AZ696" i="1"/>
  <c r="AY696" i="1"/>
  <c r="AX696" i="1"/>
  <c r="AW696" i="1"/>
  <c r="AU696" i="1"/>
  <c r="AS696" i="1"/>
  <c r="K696" i="1" a="1"/>
  <c r="K696" i="1" s="1"/>
  <c r="J696" i="1" a="1"/>
  <c r="J696" i="1" s="1"/>
  <c r="F696" i="1" a="1"/>
  <c r="F696" i="1" s="1"/>
  <c r="E696" i="1" s="1" a="1"/>
  <c r="E696" i="1" s="1"/>
  <c r="AZ695" i="1"/>
  <c r="AY695" i="1"/>
  <c r="AX695" i="1"/>
  <c r="AW695" i="1"/>
  <c r="AU695" i="1"/>
  <c r="AS695" i="1"/>
  <c r="K695" i="1" a="1"/>
  <c r="K695" i="1" s="1"/>
  <c r="J695" i="1" a="1"/>
  <c r="J695" i="1" s="1"/>
  <c r="F695" i="1" a="1"/>
  <c r="F695" i="1" s="1"/>
  <c r="E695" i="1" s="1" a="1"/>
  <c r="E695" i="1" s="1"/>
  <c r="AZ693" i="1"/>
  <c r="AY693" i="1"/>
  <c r="AX693" i="1"/>
  <c r="AW693" i="1"/>
  <c r="AU693" i="1"/>
  <c r="AT693" i="1"/>
  <c r="AS693" i="1"/>
  <c r="K693" i="1" a="1"/>
  <c r="K693" i="1" s="1"/>
  <c r="J693" i="1" a="1"/>
  <c r="J693" i="1" s="1"/>
  <c r="F693" i="1" a="1"/>
  <c r="F693" i="1" s="1"/>
  <c r="AZ692" i="1"/>
  <c r="AY692" i="1"/>
  <c r="AX692" i="1"/>
  <c r="AW692" i="1"/>
  <c r="AU692" i="1"/>
  <c r="AT692" i="1"/>
  <c r="AS692" i="1"/>
  <c r="K692" i="1" a="1"/>
  <c r="K692" i="1" s="1"/>
  <c r="J692" i="1" a="1"/>
  <c r="J692" i="1" s="1"/>
  <c r="F692" i="1" a="1"/>
  <c r="F692" i="1" s="1"/>
  <c r="AZ691" i="1"/>
  <c r="AY691" i="1"/>
  <c r="AX691" i="1"/>
  <c r="AW691" i="1"/>
  <c r="AU691" i="1"/>
  <c r="AT691" i="1"/>
  <c r="AS691" i="1"/>
  <c r="K691" i="1" a="1"/>
  <c r="K691" i="1" s="1"/>
  <c r="J691" i="1" a="1"/>
  <c r="J691" i="1" s="1"/>
  <c r="F691" i="1" a="1"/>
  <c r="F691" i="1" s="1"/>
  <c r="AZ690" i="1"/>
  <c r="AY690" i="1"/>
  <c r="AX690" i="1"/>
  <c r="AW690" i="1"/>
  <c r="AU690" i="1"/>
  <c r="AT690" i="1"/>
  <c r="AS690" i="1"/>
  <c r="K690" i="1" a="1"/>
  <c r="K690" i="1" s="1"/>
  <c r="J690" i="1" a="1"/>
  <c r="J690" i="1" s="1"/>
  <c r="F690" i="1" a="1"/>
  <c r="F690" i="1" s="1"/>
  <c r="AZ689" i="1"/>
  <c r="AY689" i="1"/>
  <c r="AX689" i="1"/>
  <c r="AW689" i="1"/>
  <c r="AU689" i="1"/>
  <c r="AT689" i="1"/>
  <c r="AS689" i="1"/>
  <c r="K689" i="1" a="1"/>
  <c r="K689" i="1" s="1"/>
  <c r="J689" i="1" a="1"/>
  <c r="J689" i="1" s="1"/>
  <c r="F689" i="1" a="1"/>
  <c r="F689" i="1" s="1"/>
  <c r="AZ688" i="1"/>
  <c r="AY688" i="1"/>
  <c r="AX688" i="1"/>
  <c r="AW688" i="1"/>
  <c r="AU688" i="1"/>
  <c r="AT688" i="1"/>
  <c r="AS688" i="1"/>
  <c r="K688" i="1" a="1"/>
  <c r="K688" i="1" s="1"/>
  <c r="J688" i="1" a="1"/>
  <c r="J688" i="1" s="1"/>
  <c r="F688" i="1" a="1"/>
  <c r="F688" i="1" s="1"/>
  <c r="AZ687" i="1"/>
  <c r="AY687" i="1"/>
  <c r="AX687" i="1"/>
  <c r="AW687" i="1"/>
  <c r="AU687" i="1"/>
  <c r="AT687" i="1"/>
  <c r="AS687" i="1"/>
  <c r="K687" i="1" a="1"/>
  <c r="K687" i="1" s="1"/>
  <c r="J687" i="1" a="1"/>
  <c r="J687" i="1" s="1"/>
  <c r="F687" i="1" a="1"/>
  <c r="F687" i="1" s="1"/>
  <c r="AZ686" i="1"/>
  <c r="AY686" i="1"/>
  <c r="AX686" i="1"/>
  <c r="AW686" i="1"/>
  <c r="AU686" i="1"/>
  <c r="AT686" i="1"/>
  <c r="AS686" i="1"/>
  <c r="K686" i="1" a="1"/>
  <c r="K686" i="1" s="1"/>
  <c r="J686" i="1" a="1"/>
  <c r="J686" i="1" s="1"/>
  <c r="F686" i="1" a="1"/>
  <c r="F686" i="1" s="1"/>
  <c r="E686" i="1" s="1" a="1"/>
  <c r="E686" i="1" s="1"/>
  <c r="AZ685" i="1"/>
  <c r="AY685" i="1"/>
  <c r="AX685" i="1"/>
  <c r="AW685" i="1"/>
  <c r="AU685" i="1"/>
  <c r="AT685" i="1"/>
  <c r="AS685" i="1"/>
  <c r="K685" i="1" a="1"/>
  <c r="K685" i="1" s="1"/>
  <c r="J685" i="1" a="1"/>
  <c r="J685" i="1" s="1"/>
  <c r="F685" i="1" a="1"/>
  <c r="F685" i="1" s="1"/>
  <c r="E685" i="1" s="1" a="1"/>
  <c r="E685" i="1" s="1"/>
  <c r="AZ684" i="1"/>
  <c r="AY684" i="1"/>
  <c r="AX684" i="1"/>
  <c r="AW684" i="1"/>
  <c r="AU684" i="1"/>
  <c r="AT684" i="1"/>
  <c r="AS684" i="1"/>
  <c r="K684" i="1" a="1"/>
  <c r="K684" i="1" s="1"/>
  <c r="J684" i="1" a="1"/>
  <c r="J684" i="1" s="1"/>
  <c r="F684" i="1" a="1"/>
  <c r="F684" i="1" s="1"/>
  <c r="AZ682" i="1"/>
  <c r="AY682" i="1"/>
  <c r="AX682" i="1"/>
  <c r="AW682" i="1"/>
  <c r="AU682" i="1"/>
  <c r="AT682" i="1"/>
  <c r="AS682" i="1"/>
  <c r="K682" i="1" a="1"/>
  <c r="K682" i="1" s="1"/>
  <c r="J682" i="1" a="1"/>
  <c r="J682" i="1" s="1"/>
  <c r="F682" i="1" a="1"/>
  <c r="F682" i="1" s="1"/>
  <c r="E682" i="1" s="1" a="1"/>
  <c r="E682" i="1" s="1"/>
  <c r="AZ681" i="1"/>
  <c r="AY681" i="1"/>
  <c r="AX681" i="1"/>
  <c r="AW681" i="1"/>
  <c r="AU681" i="1"/>
  <c r="AT681" i="1"/>
  <c r="AS681" i="1"/>
  <c r="K681" i="1" a="1"/>
  <c r="K681" i="1" s="1"/>
  <c r="J681" i="1" a="1"/>
  <c r="J681" i="1" s="1"/>
  <c r="F681" i="1" a="1"/>
  <c r="F681" i="1" s="1"/>
  <c r="AZ680" i="1"/>
  <c r="AY680" i="1"/>
  <c r="AX680" i="1"/>
  <c r="AW680" i="1"/>
  <c r="AU680" i="1"/>
  <c r="AT680" i="1"/>
  <c r="AS680" i="1"/>
  <c r="K680" i="1" a="1"/>
  <c r="K680" i="1" s="1"/>
  <c r="J680" i="1" a="1"/>
  <c r="J680" i="1" s="1"/>
  <c r="F680" i="1" a="1"/>
  <c r="F680" i="1" s="1"/>
  <c r="AZ679" i="1"/>
  <c r="AY679" i="1"/>
  <c r="AX679" i="1"/>
  <c r="AW679" i="1"/>
  <c r="AU679" i="1"/>
  <c r="AT679" i="1"/>
  <c r="AS679" i="1"/>
  <c r="K679" i="1" a="1"/>
  <c r="K679" i="1" s="1"/>
  <c r="J679" i="1" a="1"/>
  <c r="J679" i="1" s="1"/>
  <c r="F679" i="1" a="1"/>
  <c r="F679" i="1" s="1"/>
  <c r="AZ678" i="1"/>
  <c r="AY678" i="1"/>
  <c r="AX678" i="1"/>
  <c r="AW678" i="1"/>
  <c r="AU678" i="1"/>
  <c r="AT678" i="1"/>
  <c r="AS678" i="1"/>
  <c r="K678" i="1" a="1"/>
  <c r="K678" i="1" s="1"/>
  <c r="J678" i="1" a="1"/>
  <c r="J678" i="1" s="1"/>
  <c r="F678" i="1" a="1"/>
  <c r="F678" i="1" s="1"/>
  <c r="AZ677" i="1"/>
  <c r="AY677" i="1"/>
  <c r="AX677" i="1"/>
  <c r="AW677" i="1"/>
  <c r="AU677" i="1"/>
  <c r="AT677" i="1"/>
  <c r="AS677" i="1"/>
  <c r="K677" i="1" a="1"/>
  <c r="K677" i="1" s="1"/>
  <c r="J677" i="1" a="1"/>
  <c r="J677" i="1" s="1"/>
  <c r="F677" i="1" a="1"/>
  <c r="F677" i="1" s="1"/>
  <c r="AZ676" i="1"/>
  <c r="AY676" i="1"/>
  <c r="AX676" i="1"/>
  <c r="AW676" i="1"/>
  <c r="AU676" i="1"/>
  <c r="AT676" i="1"/>
  <c r="AS676" i="1"/>
  <c r="K676" i="1" a="1"/>
  <c r="K676" i="1" s="1"/>
  <c r="J676" i="1" a="1"/>
  <c r="J676" i="1" s="1"/>
  <c r="F676" i="1" a="1"/>
  <c r="F676" i="1" s="1"/>
  <c r="AZ675" i="1"/>
  <c r="AY675" i="1"/>
  <c r="AX675" i="1"/>
  <c r="AW675" i="1"/>
  <c r="AU675" i="1"/>
  <c r="AT675" i="1"/>
  <c r="AS675" i="1"/>
  <c r="K675" i="1" a="1"/>
  <c r="K675" i="1" s="1"/>
  <c r="J675" i="1" a="1"/>
  <c r="J675" i="1" s="1"/>
  <c r="F675" i="1" a="1"/>
  <c r="F675" i="1" s="1"/>
  <c r="E675" i="1" s="1" a="1"/>
  <c r="E675" i="1" s="1"/>
  <c r="AZ674" i="1"/>
  <c r="AY674" i="1"/>
  <c r="AX674" i="1"/>
  <c r="AW674" i="1"/>
  <c r="AU674" i="1"/>
  <c r="AT674" i="1"/>
  <c r="AS674" i="1"/>
  <c r="K674" i="1" a="1"/>
  <c r="K674" i="1" s="1"/>
  <c r="J674" i="1" a="1"/>
  <c r="J674" i="1" s="1"/>
  <c r="F674" i="1" a="1"/>
  <c r="F674" i="1" s="1"/>
  <c r="E674" i="1" s="1" a="1"/>
  <c r="E674" i="1" s="1"/>
  <c r="AZ673" i="1"/>
  <c r="AY673" i="1"/>
  <c r="AX673" i="1"/>
  <c r="AW673" i="1"/>
  <c r="AU673" i="1"/>
  <c r="AT673" i="1"/>
  <c r="AS673" i="1"/>
  <c r="K673" i="1" a="1"/>
  <c r="K673" i="1" s="1"/>
  <c r="J673" i="1" a="1"/>
  <c r="J673" i="1" s="1"/>
  <c r="F673" i="1" a="1"/>
  <c r="F673" i="1" s="1"/>
  <c r="AZ671" i="1"/>
  <c r="AY671" i="1"/>
  <c r="AX671" i="1"/>
  <c r="AW671" i="1"/>
  <c r="AU671" i="1"/>
  <c r="AS671" i="1"/>
  <c r="K671" i="1" a="1"/>
  <c r="K671" i="1" s="1"/>
  <c r="J671" i="1" a="1"/>
  <c r="J671" i="1" s="1"/>
  <c r="F671" i="1" a="1"/>
  <c r="F671" i="1" s="1"/>
  <c r="AZ670" i="1"/>
  <c r="AY670" i="1"/>
  <c r="AX670" i="1"/>
  <c r="AW670" i="1"/>
  <c r="AU670" i="1"/>
  <c r="AS670" i="1"/>
  <c r="K670" i="1" a="1"/>
  <c r="K670" i="1" s="1"/>
  <c r="J670" i="1" a="1"/>
  <c r="J670" i="1" s="1"/>
  <c r="F670" i="1" a="1"/>
  <c r="F670" i="1" s="1"/>
  <c r="AZ669" i="1"/>
  <c r="AY669" i="1"/>
  <c r="AX669" i="1"/>
  <c r="AW669" i="1"/>
  <c r="AU669" i="1"/>
  <c r="AS669" i="1"/>
  <c r="K669" i="1" a="1"/>
  <c r="K669" i="1" s="1"/>
  <c r="J669" i="1" a="1"/>
  <c r="J669" i="1" s="1"/>
  <c r="F669" i="1" a="1"/>
  <c r="F669" i="1" s="1"/>
  <c r="AZ668" i="1"/>
  <c r="AY668" i="1"/>
  <c r="AX668" i="1"/>
  <c r="AW668" i="1"/>
  <c r="AU668" i="1"/>
  <c r="AS668" i="1"/>
  <c r="K668" i="1" a="1"/>
  <c r="K668" i="1" s="1"/>
  <c r="J668" i="1" a="1"/>
  <c r="J668" i="1" s="1"/>
  <c r="F668" i="1" a="1"/>
  <c r="F668" i="1" s="1"/>
  <c r="AZ667" i="1"/>
  <c r="AY667" i="1"/>
  <c r="AX667" i="1"/>
  <c r="AW667" i="1"/>
  <c r="AU667" i="1"/>
  <c r="AS667" i="1"/>
  <c r="K667" i="1" a="1"/>
  <c r="K667" i="1" s="1"/>
  <c r="J667" i="1" a="1"/>
  <c r="J667" i="1" s="1"/>
  <c r="F667" i="1" a="1"/>
  <c r="F667" i="1" s="1"/>
  <c r="AZ666" i="1"/>
  <c r="AY666" i="1"/>
  <c r="AX666" i="1"/>
  <c r="AW666" i="1"/>
  <c r="AU666" i="1"/>
  <c r="AS666" i="1"/>
  <c r="K666" i="1" a="1"/>
  <c r="K666" i="1" s="1"/>
  <c r="J666" i="1" a="1"/>
  <c r="J666" i="1" s="1"/>
  <c r="F666" i="1" a="1"/>
  <c r="F666" i="1" s="1"/>
  <c r="AZ665" i="1"/>
  <c r="AY665" i="1"/>
  <c r="AX665" i="1"/>
  <c r="AW665" i="1"/>
  <c r="AU665" i="1"/>
  <c r="AS665" i="1"/>
  <c r="K665" i="1" a="1"/>
  <c r="K665" i="1" s="1"/>
  <c r="J665" i="1" a="1"/>
  <c r="J665" i="1" s="1"/>
  <c r="F665" i="1" a="1"/>
  <c r="F665" i="1" s="1"/>
  <c r="AZ664" i="1"/>
  <c r="AY664" i="1"/>
  <c r="AX664" i="1"/>
  <c r="AW664" i="1"/>
  <c r="AU664" i="1"/>
  <c r="AS664" i="1"/>
  <c r="K664" i="1" a="1"/>
  <c r="K664" i="1" s="1"/>
  <c r="J664" i="1" a="1"/>
  <c r="J664" i="1" s="1"/>
  <c r="F664" i="1" a="1"/>
  <c r="F664" i="1" s="1"/>
  <c r="E664" i="1" s="1" a="1"/>
  <c r="E664" i="1" s="1"/>
  <c r="AZ663" i="1"/>
  <c r="AY663" i="1"/>
  <c r="AX663" i="1"/>
  <c r="AW663" i="1"/>
  <c r="AU663" i="1"/>
  <c r="AS663" i="1"/>
  <c r="K663" i="1" a="1"/>
  <c r="K663" i="1" s="1"/>
  <c r="J663" i="1" a="1"/>
  <c r="J663" i="1" s="1"/>
  <c r="F663" i="1" a="1"/>
  <c r="F663" i="1" s="1"/>
  <c r="AZ662" i="1"/>
  <c r="AY662" i="1"/>
  <c r="AX662" i="1"/>
  <c r="AW662" i="1"/>
  <c r="AU662" i="1"/>
  <c r="AS662" i="1"/>
  <c r="K662" i="1" a="1"/>
  <c r="K662" i="1" s="1"/>
  <c r="J662" i="1" a="1"/>
  <c r="J662" i="1" s="1"/>
  <c r="F662" i="1" a="1"/>
  <c r="F662" i="1" s="1"/>
  <c r="AW1001" i="1"/>
  <c r="BK1001" i="1" s="1" a="1"/>
  <c r="BK1001" i="1" s="1"/>
  <c r="AT1001" i="1" a="1"/>
  <c r="AT1001" i="1" s="1"/>
  <c r="AU1001" i="1" s="1"/>
  <c r="AS1001" i="1" a="1"/>
  <c r="AS1001" i="1" s="1"/>
  <c r="K1001" i="1" a="1"/>
  <c r="K1001" i="1" s="1"/>
  <c r="J1001" i="1" a="1"/>
  <c r="J1001" i="1" s="1"/>
  <c r="F1001" i="1" a="1"/>
  <c r="F1001" i="1" s="1"/>
  <c r="AW1000" i="1"/>
  <c r="BN1000" i="1" s="1" a="1"/>
  <c r="BN1000" i="1" s="1"/>
  <c r="AT1000" i="1" a="1"/>
  <c r="AT1000" i="1" s="1"/>
  <c r="AU1000" i="1" s="1"/>
  <c r="AS1000" i="1" a="1"/>
  <c r="AS1000" i="1" s="1"/>
  <c r="K1000" i="1" a="1"/>
  <c r="K1000" i="1" s="1"/>
  <c r="J1000" i="1" a="1"/>
  <c r="J1000" i="1" s="1"/>
  <c r="F1000" i="1" a="1"/>
  <c r="F1000" i="1" s="1"/>
  <c r="AW999" i="1"/>
  <c r="BL999" i="1" s="1" a="1"/>
  <c r="BL999" i="1" s="1"/>
  <c r="AT999" i="1" a="1"/>
  <c r="AT999" i="1" s="1"/>
  <c r="AU999" i="1" s="1"/>
  <c r="AS999" i="1" a="1"/>
  <c r="AS999" i="1" s="1"/>
  <c r="K999" i="1" a="1"/>
  <c r="K999" i="1" s="1"/>
  <c r="J999" i="1" a="1"/>
  <c r="J999" i="1" s="1"/>
  <c r="F999" i="1" a="1"/>
  <c r="F999" i="1" s="1"/>
  <c r="AW998" i="1"/>
  <c r="BN998" i="1" s="1" a="1"/>
  <c r="BN998" i="1" s="1"/>
  <c r="AT998" i="1" a="1"/>
  <c r="AT998" i="1" s="1"/>
  <c r="AU998" i="1" s="1"/>
  <c r="AS998" i="1" a="1"/>
  <c r="AS998" i="1" s="1"/>
  <c r="K998" i="1" a="1"/>
  <c r="K998" i="1" s="1"/>
  <c r="J998" i="1" a="1"/>
  <c r="J998" i="1" s="1"/>
  <c r="F998" i="1" a="1"/>
  <c r="F998" i="1" s="1"/>
  <c r="AW997" i="1"/>
  <c r="BM997" i="1" s="1" a="1"/>
  <c r="BM997" i="1" s="1"/>
  <c r="BJ997" i="1" s="1" a="1"/>
  <c r="BJ997" i="1" s="1"/>
  <c r="AT997" i="1" a="1"/>
  <c r="AT997" i="1" s="1"/>
  <c r="AU997" i="1" s="1"/>
  <c r="AS997" i="1" a="1"/>
  <c r="AS997" i="1" s="1"/>
  <c r="K997" i="1" a="1"/>
  <c r="K997" i="1" s="1"/>
  <c r="J997" i="1" a="1"/>
  <c r="J997" i="1" s="1"/>
  <c r="F997" i="1" a="1"/>
  <c r="F997" i="1" s="1"/>
  <c r="AW996" i="1"/>
  <c r="BL996" i="1" s="1" a="1"/>
  <c r="BL996" i="1" s="1"/>
  <c r="AT996" i="1" a="1"/>
  <c r="AT996" i="1" s="1"/>
  <c r="AU996" i="1" s="1"/>
  <c r="AS996" i="1" a="1"/>
  <c r="AS996" i="1" s="1"/>
  <c r="K996" i="1" a="1"/>
  <c r="K996" i="1" s="1"/>
  <c r="J996" i="1" a="1"/>
  <c r="J996" i="1" s="1"/>
  <c r="F996" i="1" a="1"/>
  <c r="F996" i="1" s="1"/>
  <c r="AW995" i="1"/>
  <c r="BN995" i="1" s="1" a="1"/>
  <c r="BN995" i="1" s="1"/>
  <c r="AT995" i="1" a="1"/>
  <c r="AT995" i="1" s="1"/>
  <c r="AU995" i="1" s="1"/>
  <c r="AS995" i="1" a="1"/>
  <c r="AS995" i="1" s="1"/>
  <c r="K995" i="1" a="1"/>
  <c r="K995" i="1" s="1"/>
  <c r="J995" i="1" a="1"/>
  <c r="J995" i="1" s="1"/>
  <c r="F995" i="1" a="1"/>
  <c r="F995" i="1" s="1"/>
  <c r="AW994" i="1"/>
  <c r="BN994" i="1" s="1" a="1"/>
  <c r="BN994" i="1" s="1"/>
  <c r="AT994" i="1" a="1"/>
  <c r="AT994" i="1" s="1"/>
  <c r="AU994" i="1" s="1"/>
  <c r="AS994" i="1" a="1"/>
  <c r="AS994" i="1" s="1"/>
  <c r="K994" i="1" a="1"/>
  <c r="K994" i="1" s="1"/>
  <c r="J994" i="1" a="1"/>
  <c r="J994" i="1" s="1"/>
  <c r="F994" i="1" a="1"/>
  <c r="F994" i="1" s="1"/>
  <c r="AW993" i="1"/>
  <c r="BK993" i="1" s="1" a="1"/>
  <c r="BK993" i="1" s="1"/>
  <c r="AT993" i="1" a="1"/>
  <c r="AT993" i="1" s="1"/>
  <c r="AU993" i="1" s="1"/>
  <c r="AS993" i="1" a="1"/>
  <c r="AS993" i="1" s="1"/>
  <c r="K993" i="1" a="1"/>
  <c r="K993" i="1" s="1"/>
  <c r="J993" i="1" a="1"/>
  <c r="J993" i="1" s="1"/>
  <c r="F993" i="1" a="1"/>
  <c r="F993" i="1" s="1"/>
  <c r="AW992" i="1"/>
  <c r="BL992" i="1" s="1" a="1"/>
  <c r="BL992" i="1" s="1"/>
  <c r="AT992" i="1" a="1"/>
  <c r="AT992" i="1" s="1"/>
  <c r="AU992" i="1" s="1"/>
  <c r="AS992" i="1" a="1"/>
  <c r="AS992" i="1" s="1"/>
  <c r="K992" i="1" a="1"/>
  <c r="K992" i="1" s="1"/>
  <c r="J992" i="1" a="1"/>
  <c r="J992" i="1" s="1"/>
  <c r="F992" i="1" a="1"/>
  <c r="F992" i="1" s="1"/>
  <c r="AW990" i="1"/>
  <c r="BM990" i="1" s="1" a="1"/>
  <c r="BM990" i="1" s="1"/>
  <c r="BJ990" i="1" s="1" a="1"/>
  <c r="BJ990" i="1" s="1"/>
  <c r="AT990" i="1" a="1"/>
  <c r="AT990" i="1" s="1"/>
  <c r="AU990" i="1" s="1"/>
  <c r="AS990" i="1" a="1"/>
  <c r="AS990" i="1" s="1"/>
  <c r="K990" i="1" a="1"/>
  <c r="K990" i="1" s="1"/>
  <c r="J990" i="1" a="1"/>
  <c r="J990" i="1" s="1"/>
  <c r="F990" i="1" a="1"/>
  <c r="F990" i="1" s="1"/>
  <c r="AW989" i="1"/>
  <c r="BN989" i="1" s="1" a="1"/>
  <c r="BN989" i="1" s="1"/>
  <c r="AT989" i="1" a="1"/>
  <c r="AT989" i="1" s="1"/>
  <c r="AU989" i="1" s="1"/>
  <c r="AS989" i="1" a="1"/>
  <c r="AS989" i="1" s="1"/>
  <c r="K989" i="1" a="1"/>
  <c r="K989" i="1" s="1"/>
  <c r="J989" i="1" a="1"/>
  <c r="J989" i="1" s="1"/>
  <c r="F989" i="1" a="1"/>
  <c r="F989" i="1" s="1"/>
  <c r="AW988" i="1"/>
  <c r="BM988" i="1" s="1" a="1"/>
  <c r="BM988" i="1" s="1"/>
  <c r="BJ988" i="1" s="1" a="1"/>
  <c r="BJ988" i="1" s="1"/>
  <c r="AT988" i="1" a="1"/>
  <c r="AT988" i="1" s="1"/>
  <c r="AU988" i="1" s="1"/>
  <c r="AS988" i="1" a="1"/>
  <c r="AS988" i="1" s="1"/>
  <c r="K988" i="1" a="1"/>
  <c r="K988" i="1" s="1"/>
  <c r="J988" i="1" a="1"/>
  <c r="J988" i="1" s="1"/>
  <c r="F988" i="1" a="1"/>
  <c r="F988" i="1" s="1"/>
  <c r="AW987" i="1"/>
  <c r="BN987" i="1" s="1" a="1"/>
  <c r="BN987" i="1" s="1"/>
  <c r="AT987" i="1" a="1"/>
  <c r="AT987" i="1" s="1"/>
  <c r="AU987" i="1" s="1"/>
  <c r="AS987" i="1" a="1"/>
  <c r="AS987" i="1" s="1"/>
  <c r="K987" i="1" a="1"/>
  <c r="K987" i="1" s="1"/>
  <c r="J987" i="1" a="1"/>
  <c r="J987" i="1" s="1"/>
  <c r="F987" i="1" a="1"/>
  <c r="F987" i="1" s="1"/>
  <c r="AW986" i="1"/>
  <c r="BM986" i="1" s="1" a="1"/>
  <c r="BM986" i="1" s="1"/>
  <c r="BJ986" i="1" s="1" a="1"/>
  <c r="BJ986" i="1" s="1"/>
  <c r="AT986" i="1" a="1"/>
  <c r="AT986" i="1" s="1"/>
  <c r="AU986" i="1" s="1"/>
  <c r="AS986" i="1" a="1"/>
  <c r="AS986" i="1" s="1"/>
  <c r="K986" i="1" a="1"/>
  <c r="K986" i="1" s="1"/>
  <c r="J986" i="1" a="1"/>
  <c r="J986" i="1" s="1"/>
  <c r="F986" i="1" a="1"/>
  <c r="F986" i="1" s="1"/>
  <c r="AW985" i="1"/>
  <c r="BN985" i="1" s="1" a="1"/>
  <c r="BN985" i="1" s="1"/>
  <c r="AT985" i="1" a="1"/>
  <c r="AT985" i="1" s="1"/>
  <c r="AU985" i="1" s="1"/>
  <c r="AS985" i="1" a="1"/>
  <c r="AS985" i="1" s="1"/>
  <c r="K985" i="1" a="1"/>
  <c r="K985" i="1" s="1"/>
  <c r="J985" i="1" a="1"/>
  <c r="J985" i="1" s="1"/>
  <c r="F985" i="1" a="1"/>
  <c r="F985" i="1" s="1"/>
  <c r="AW984" i="1"/>
  <c r="BM984" i="1" s="1" a="1"/>
  <c r="BM984" i="1" s="1"/>
  <c r="BJ984" i="1" s="1" a="1"/>
  <c r="BJ984" i="1" s="1"/>
  <c r="AT984" i="1" a="1"/>
  <c r="AT984" i="1" s="1"/>
  <c r="AU984" i="1" s="1"/>
  <c r="AS984" i="1" a="1"/>
  <c r="AS984" i="1" s="1"/>
  <c r="K984" i="1" a="1"/>
  <c r="K984" i="1" s="1"/>
  <c r="J984" i="1" a="1"/>
  <c r="J984" i="1" s="1"/>
  <c r="F984" i="1" a="1"/>
  <c r="F984" i="1" s="1"/>
  <c r="AW983" i="1"/>
  <c r="BN983" i="1" s="1" a="1"/>
  <c r="BN983" i="1" s="1"/>
  <c r="AT983" i="1" a="1"/>
  <c r="AT983" i="1" s="1"/>
  <c r="AU983" i="1" s="1"/>
  <c r="AS983" i="1" a="1"/>
  <c r="AS983" i="1" s="1"/>
  <c r="K983" i="1" a="1"/>
  <c r="K983" i="1" s="1"/>
  <c r="J983" i="1" a="1"/>
  <c r="J983" i="1" s="1"/>
  <c r="F983" i="1" a="1"/>
  <c r="F983" i="1" s="1"/>
  <c r="AW982" i="1"/>
  <c r="BM982" i="1" s="1" a="1"/>
  <c r="BM982" i="1" s="1"/>
  <c r="BJ982" i="1" s="1" a="1"/>
  <c r="BJ982" i="1" s="1"/>
  <c r="AT982" i="1" a="1"/>
  <c r="AT982" i="1" s="1"/>
  <c r="AU982" i="1" s="1"/>
  <c r="AS982" i="1" a="1"/>
  <c r="AS982" i="1" s="1"/>
  <c r="K982" i="1" a="1"/>
  <c r="K982" i="1" s="1"/>
  <c r="J982" i="1" a="1"/>
  <c r="J982" i="1" s="1"/>
  <c r="F982" i="1" a="1"/>
  <c r="F982" i="1" s="1"/>
  <c r="AW981" i="1"/>
  <c r="BM981" i="1" s="1" a="1"/>
  <c r="BM981" i="1" s="1"/>
  <c r="BJ981" i="1" s="1" a="1"/>
  <c r="BJ981" i="1" s="1"/>
  <c r="AT981" i="1" a="1"/>
  <c r="AT981" i="1" s="1"/>
  <c r="AU981" i="1" s="1"/>
  <c r="AS981" i="1" a="1"/>
  <c r="AS981" i="1" s="1"/>
  <c r="K981" i="1" a="1"/>
  <c r="K981" i="1" s="1"/>
  <c r="J981" i="1" a="1"/>
  <c r="J981" i="1" s="1"/>
  <c r="F981" i="1" a="1"/>
  <c r="F981" i="1" s="1"/>
  <c r="BN979" i="1" a="1"/>
  <c r="BN979" i="1" s="1"/>
  <c r="BM979" i="1" a="1"/>
  <c r="BM979" i="1" s="1"/>
  <c r="BJ979" i="1" s="1" a="1"/>
  <c r="BJ979" i="1" s="1"/>
  <c r="BL979" i="1" a="1"/>
  <c r="BL979" i="1" s="1"/>
  <c r="BK979" i="1" a="1"/>
  <c r="BK979" i="1" s="1"/>
  <c r="BI979" i="1" a="1"/>
  <c r="BI979" i="1" s="1"/>
  <c r="AT979" i="1" a="1"/>
  <c r="AT979" i="1" s="1"/>
  <c r="AU979" i="1" s="1"/>
  <c r="AS979" i="1" a="1"/>
  <c r="AS979" i="1" s="1"/>
  <c r="K979" i="1" a="1"/>
  <c r="K979" i="1" s="1"/>
  <c r="J979" i="1" a="1"/>
  <c r="J979" i="1" s="1"/>
  <c r="F979" i="1" a="1"/>
  <c r="F979" i="1" s="1"/>
  <c r="BN978" i="1" a="1"/>
  <c r="BN978" i="1" s="1"/>
  <c r="BM978" i="1" a="1"/>
  <c r="BM978" i="1" s="1"/>
  <c r="BJ978" i="1" s="1" a="1"/>
  <c r="BJ978" i="1" s="1"/>
  <c r="BL978" i="1" a="1"/>
  <c r="BL978" i="1" s="1"/>
  <c r="BK978" i="1" a="1"/>
  <c r="BK978" i="1" s="1"/>
  <c r="BI978" i="1" a="1"/>
  <c r="BI978" i="1" s="1"/>
  <c r="AT978" i="1" a="1"/>
  <c r="AT978" i="1" s="1"/>
  <c r="AU978" i="1" s="1"/>
  <c r="AS978" i="1" a="1"/>
  <c r="AS978" i="1" s="1"/>
  <c r="K978" i="1" a="1"/>
  <c r="K978" i="1" s="1"/>
  <c r="J978" i="1" a="1"/>
  <c r="J978" i="1" s="1"/>
  <c r="F978" i="1" a="1"/>
  <c r="F978" i="1" s="1"/>
  <c r="BN977" i="1" a="1"/>
  <c r="BN977" i="1" s="1"/>
  <c r="BM977" i="1" a="1"/>
  <c r="BM977" i="1" s="1"/>
  <c r="BJ977" i="1" s="1" a="1"/>
  <c r="BJ977" i="1" s="1"/>
  <c r="BL977" i="1" a="1"/>
  <c r="BL977" i="1" s="1"/>
  <c r="BK977" i="1" a="1"/>
  <c r="BK977" i="1" s="1"/>
  <c r="BI977" i="1" a="1"/>
  <c r="BI977" i="1" s="1"/>
  <c r="AT977" i="1" a="1"/>
  <c r="AT977" i="1" s="1"/>
  <c r="AU977" i="1" s="1"/>
  <c r="AS977" i="1" a="1"/>
  <c r="AS977" i="1" s="1"/>
  <c r="K977" i="1" a="1"/>
  <c r="K977" i="1" s="1"/>
  <c r="J977" i="1" a="1"/>
  <c r="J977" i="1" s="1"/>
  <c r="F977" i="1" a="1"/>
  <c r="F977" i="1" s="1"/>
  <c r="BN976" i="1" a="1"/>
  <c r="BN976" i="1" s="1"/>
  <c r="BM976" i="1" a="1"/>
  <c r="BM976" i="1" s="1"/>
  <c r="BJ976" i="1" s="1" a="1"/>
  <c r="BJ976" i="1" s="1"/>
  <c r="BL976" i="1" a="1"/>
  <c r="BL976" i="1" s="1"/>
  <c r="BK976" i="1" a="1"/>
  <c r="BK976" i="1" s="1"/>
  <c r="BI976" i="1" a="1"/>
  <c r="BI976" i="1" s="1"/>
  <c r="AT976" i="1" a="1"/>
  <c r="AT976" i="1" s="1"/>
  <c r="AU976" i="1" s="1"/>
  <c r="AS976" i="1" a="1"/>
  <c r="AS976" i="1" s="1"/>
  <c r="K976" i="1" a="1"/>
  <c r="K976" i="1" s="1"/>
  <c r="J976" i="1" a="1"/>
  <c r="J976" i="1" s="1"/>
  <c r="F976" i="1" a="1"/>
  <c r="F976" i="1" s="1"/>
  <c r="BN975" i="1" a="1"/>
  <c r="BN975" i="1" s="1"/>
  <c r="BM975" i="1" a="1"/>
  <c r="BM975" i="1" s="1"/>
  <c r="BJ975" i="1" s="1" a="1"/>
  <c r="BJ975" i="1" s="1"/>
  <c r="BL975" i="1" a="1"/>
  <c r="BL975" i="1" s="1"/>
  <c r="BK975" i="1" a="1"/>
  <c r="BK975" i="1" s="1"/>
  <c r="BI975" i="1" a="1"/>
  <c r="BI975" i="1" s="1"/>
  <c r="AT975" i="1" a="1"/>
  <c r="AT975" i="1" s="1"/>
  <c r="AU975" i="1" s="1"/>
  <c r="AS975" i="1" a="1"/>
  <c r="AS975" i="1" s="1"/>
  <c r="K975" i="1" a="1"/>
  <c r="K975" i="1" s="1"/>
  <c r="J975" i="1" a="1"/>
  <c r="J975" i="1" s="1"/>
  <c r="F975" i="1" a="1"/>
  <c r="F975" i="1" s="1"/>
  <c r="BN974" i="1" a="1"/>
  <c r="BN974" i="1" s="1"/>
  <c r="BM974" i="1" a="1"/>
  <c r="BM974" i="1" s="1"/>
  <c r="BJ974" i="1" s="1" a="1"/>
  <c r="BJ974" i="1" s="1"/>
  <c r="BL974" i="1" a="1"/>
  <c r="BL974" i="1" s="1"/>
  <c r="BK974" i="1" a="1"/>
  <c r="BK974" i="1" s="1"/>
  <c r="BI974" i="1" a="1"/>
  <c r="BI974" i="1" s="1"/>
  <c r="AT974" i="1" a="1"/>
  <c r="AT974" i="1" s="1"/>
  <c r="AU974" i="1" s="1"/>
  <c r="AS974" i="1" a="1"/>
  <c r="AS974" i="1" s="1"/>
  <c r="K974" i="1" a="1"/>
  <c r="K974" i="1" s="1"/>
  <c r="J974" i="1" a="1"/>
  <c r="J974" i="1" s="1"/>
  <c r="F974" i="1" a="1"/>
  <c r="F974" i="1" s="1"/>
  <c r="BN973" i="1" a="1"/>
  <c r="BN973" i="1" s="1"/>
  <c r="BM973" i="1" a="1"/>
  <c r="BM973" i="1" s="1"/>
  <c r="BJ973" i="1" s="1" a="1"/>
  <c r="BJ973" i="1" s="1"/>
  <c r="BL973" i="1" a="1"/>
  <c r="BL973" i="1" s="1"/>
  <c r="BK973" i="1" a="1"/>
  <c r="BK973" i="1" s="1"/>
  <c r="BI973" i="1" a="1"/>
  <c r="BI973" i="1" s="1"/>
  <c r="AT973" i="1" a="1"/>
  <c r="AT973" i="1" s="1"/>
  <c r="AU973" i="1" s="1"/>
  <c r="AS973" i="1" a="1"/>
  <c r="AS973" i="1" s="1"/>
  <c r="K973" i="1" a="1"/>
  <c r="K973" i="1" s="1"/>
  <c r="J973" i="1" a="1"/>
  <c r="J973" i="1" s="1"/>
  <c r="F973" i="1" a="1"/>
  <c r="F973" i="1" s="1"/>
  <c r="BN972" i="1" a="1"/>
  <c r="BN972" i="1" s="1"/>
  <c r="BM972" i="1" a="1"/>
  <c r="BM972" i="1" s="1"/>
  <c r="BJ972" i="1" s="1" a="1"/>
  <c r="BJ972" i="1" s="1"/>
  <c r="BL972" i="1" a="1"/>
  <c r="BL972" i="1" s="1"/>
  <c r="BK972" i="1" a="1"/>
  <c r="BK972" i="1" s="1"/>
  <c r="BI972" i="1" a="1"/>
  <c r="BI972" i="1" s="1"/>
  <c r="AT972" i="1" a="1"/>
  <c r="AT972" i="1" s="1"/>
  <c r="AU972" i="1" s="1"/>
  <c r="AS972" i="1" a="1"/>
  <c r="AS972" i="1" s="1"/>
  <c r="K972" i="1" a="1"/>
  <c r="K972" i="1" s="1"/>
  <c r="J972" i="1" a="1"/>
  <c r="J972" i="1" s="1"/>
  <c r="F972" i="1" a="1"/>
  <c r="F972" i="1" s="1"/>
  <c r="BN971" i="1" a="1"/>
  <c r="BN971" i="1" s="1"/>
  <c r="BM971" i="1" a="1"/>
  <c r="BM971" i="1" s="1"/>
  <c r="BJ971" i="1" s="1" a="1"/>
  <c r="BJ971" i="1" s="1"/>
  <c r="BL971" i="1" a="1"/>
  <c r="BL971" i="1" s="1"/>
  <c r="BK971" i="1" a="1"/>
  <c r="BK971" i="1" s="1"/>
  <c r="BI971" i="1" a="1"/>
  <c r="BI971" i="1" s="1"/>
  <c r="AT971" i="1" a="1"/>
  <c r="AT971" i="1" s="1"/>
  <c r="AU971" i="1" s="1"/>
  <c r="AS971" i="1" a="1"/>
  <c r="AS971" i="1" s="1"/>
  <c r="K971" i="1" a="1"/>
  <c r="K971" i="1" s="1"/>
  <c r="J971" i="1" a="1"/>
  <c r="J971" i="1" s="1"/>
  <c r="F971" i="1" a="1"/>
  <c r="F971" i="1" s="1"/>
  <c r="BN970" i="1" a="1"/>
  <c r="BN970" i="1" s="1"/>
  <c r="BM970" i="1" a="1"/>
  <c r="BM970" i="1" s="1"/>
  <c r="BJ970" i="1" s="1" a="1"/>
  <c r="BJ970" i="1" s="1"/>
  <c r="BL970" i="1" a="1"/>
  <c r="BL970" i="1" s="1"/>
  <c r="BK970" i="1" a="1"/>
  <c r="BK970" i="1" s="1"/>
  <c r="BI970" i="1" a="1"/>
  <c r="BI970" i="1" s="1"/>
  <c r="AT970" i="1" a="1"/>
  <c r="AT970" i="1" s="1"/>
  <c r="AU970" i="1" s="1"/>
  <c r="AS970" i="1" a="1"/>
  <c r="AS970" i="1" s="1"/>
  <c r="K970" i="1" a="1"/>
  <c r="K970" i="1" s="1"/>
  <c r="J970" i="1" a="1"/>
  <c r="J970" i="1" s="1"/>
  <c r="F970" i="1" a="1"/>
  <c r="F970" i="1" s="1"/>
  <c r="AW968" i="1"/>
  <c r="BM968" i="1" s="1" a="1"/>
  <c r="BM968" i="1" s="1"/>
  <c r="BJ968" i="1" s="1" a="1"/>
  <c r="BJ968" i="1" s="1"/>
  <c r="AT968" i="1" a="1"/>
  <c r="AT968" i="1" s="1"/>
  <c r="AU968" i="1" s="1"/>
  <c r="AS968" i="1" a="1"/>
  <c r="AS968" i="1" s="1"/>
  <c r="K968" i="1" a="1"/>
  <c r="K968" i="1" s="1"/>
  <c r="J968" i="1" a="1"/>
  <c r="J968" i="1" s="1"/>
  <c r="F968" i="1" a="1"/>
  <c r="F968" i="1" s="1"/>
  <c r="AW967" i="1"/>
  <c r="BK967" i="1" s="1" a="1"/>
  <c r="BK967" i="1" s="1"/>
  <c r="AT967" i="1" a="1"/>
  <c r="AT967" i="1" s="1"/>
  <c r="AU967" i="1" s="1"/>
  <c r="AS967" i="1" a="1"/>
  <c r="AS967" i="1" s="1"/>
  <c r="K967" i="1" a="1"/>
  <c r="K967" i="1" s="1"/>
  <c r="J967" i="1" a="1"/>
  <c r="J967" i="1" s="1"/>
  <c r="F967" i="1" a="1"/>
  <c r="F967" i="1" s="1"/>
  <c r="AW966" i="1"/>
  <c r="BN966" i="1" s="1" a="1"/>
  <c r="BN966" i="1" s="1"/>
  <c r="AT966" i="1" a="1"/>
  <c r="AT966" i="1" s="1"/>
  <c r="AU966" i="1" s="1"/>
  <c r="AS966" i="1" a="1"/>
  <c r="AS966" i="1" s="1"/>
  <c r="K966" i="1" a="1"/>
  <c r="K966" i="1" s="1"/>
  <c r="J966" i="1" a="1"/>
  <c r="J966" i="1" s="1"/>
  <c r="F966" i="1" a="1"/>
  <c r="F966" i="1" s="1"/>
  <c r="AW965" i="1"/>
  <c r="BL965" i="1" s="1" a="1"/>
  <c r="BL965" i="1" s="1"/>
  <c r="AT965" i="1" a="1"/>
  <c r="AT965" i="1" s="1"/>
  <c r="AU965" i="1" s="1"/>
  <c r="AS965" i="1" a="1"/>
  <c r="AS965" i="1" s="1"/>
  <c r="K965" i="1" a="1"/>
  <c r="K965" i="1" s="1"/>
  <c r="J965" i="1" a="1"/>
  <c r="J965" i="1" s="1"/>
  <c r="F965" i="1" a="1"/>
  <c r="F965" i="1" s="1"/>
  <c r="AW964" i="1"/>
  <c r="BK964" i="1" s="1" a="1"/>
  <c r="BK964" i="1" s="1"/>
  <c r="AT964" i="1" a="1"/>
  <c r="AT964" i="1" s="1"/>
  <c r="AU964" i="1" s="1"/>
  <c r="AS964" i="1" a="1"/>
  <c r="AS964" i="1" s="1"/>
  <c r="K964" i="1" a="1"/>
  <c r="K964" i="1" s="1"/>
  <c r="J964" i="1" a="1"/>
  <c r="J964" i="1" s="1"/>
  <c r="F964" i="1" a="1"/>
  <c r="F964" i="1" s="1"/>
  <c r="AW963" i="1"/>
  <c r="BM963" i="1" s="1" a="1"/>
  <c r="BM963" i="1" s="1"/>
  <c r="BJ963" i="1" s="1" a="1"/>
  <c r="BJ963" i="1" s="1"/>
  <c r="AT963" i="1" a="1"/>
  <c r="AT963" i="1" s="1"/>
  <c r="AU963" i="1" s="1"/>
  <c r="AS963" i="1" a="1"/>
  <c r="AS963" i="1" s="1"/>
  <c r="K963" i="1" a="1"/>
  <c r="K963" i="1" s="1"/>
  <c r="J963" i="1" a="1"/>
  <c r="J963" i="1" s="1"/>
  <c r="F963" i="1" a="1"/>
  <c r="F963" i="1" s="1"/>
  <c r="AW962" i="1"/>
  <c r="BL962" i="1" s="1" a="1"/>
  <c r="BL962" i="1" s="1"/>
  <c r="AT962" i="1" a="1"/>
  <c r="AT962" i="1" s="1"/>
  <c r="AU962" i="1" s="1"/>
  <c r="AS962" i="1" a="1"/>
  <c r="AS962" i="1" s="1"/>
  <c r="K962" i="1" a="1"/>
  <c r="K962" i="1" s="1"/>
  <c r="J962" i="1" a="1"/>
  <c r="J962" i="1" s="1"/>
  <c r="F962" i="1" a="1"/>
  <c r="F962" i="1" s="1"/>
  <c r="AW961" i="1"/>
  <c r="BN961" i="1" s="1" a="1"/>
  <c r="BN961" i="1" s="1"/>
  <c r="AT961" i="1" a="1"/>
  <c r="AT961" i="1" s="1"/>
  <c r="AU961" i="1" s="1"/>
  <c r="AS961" i="1" a="1"/>
  <c r="AS961" i="1" s="1"/>
  <c r="K961" i="1" a="1"/>
  <c r="K961" i="1" s="1"/>
  <c r="J961" i="1" a="1"/>
  <c r="J961" i="1" s="1"/>
  <c r="F961" i="1" a="1"/>
  <c r="F961" i="1" s="1"/>
  <c r="AW960" i="1"/>
  <c r="BM960" i="1" s="1" a="1"/>
  <c r="BM960" i="1" s="1"/>
  <c r="BJ960" i="1" s="1" a="1"/>
  <c r="BJ960" i="1" s="1"/>
  <c r="AT960" i="1" a="1"/>
  <c r="AT960" i="1" s="1"/>
  <c r="AU960" i="1" s="1"/>
  <c r="AS960" i="1" a="1"/>
  <c r="AS960" i="1" s="1"/>
  <c r="K960" i="1" a="1"/>
  <c r="K960" i="1" s="1"/>
  <c r="J960" i="1" a="1"/>
  <c r="J960" i="1" s="1"/>
  <c r="F960" i="1" a="1"/>
  <c r="F960" i="1" s="1"/>
  <c r="AW959" i="1"/>
  <c r="BK959" i="1" s="1" a="1"/>
  <c r="BK959" i="1" s="1"/>
  <c r="AT959" i="1" a="1"/>
  <c r="AT959" i="1" s="1"/>
  <c r="AU959" i="1" s="1"/>
  <c r="AS959" i="1" a="1"/>
  <c r="AS959" i="1" s="1"/>
  <c r="K959" i="1" a="1"/>
  <c r="K959" i="1" s="1"/>
  <c r="J959" i="1" a="1"/>
  <c r="J959" i="1" s="1"/>
  <c r="F959" i="1" a="1"/>
  <c r="F959" i="1" s="1"/>
  <c r="AW957" i="1"/>
  <c r="BM957" i="1" s="1" a="1"/>
  <c r="BM957" i="1" s="1"/>
  <c r="BJ957" i="1" s="1" a="1"/>
  <c r="BJ957" i="1" s="1"/>
  <c r="AT957" i="1" a="1"/>
  <c r="AT957" i="1" s="1"/>
  <c r="AU957" i="1" s="1"/>
  <c r="AS957" i="1" a="1"/>
  <c r="AS957" i="1" s="1"/>
  <c r="K957" i="1" a="1"/>
  <c r="K957" i="1" s="1"/>
  <c r="J957" i="1" a="1"/>
  <c r="J957" i="1" s="1"/>
  <c r="F957" i="1" a="1"/>
  <c r="F957" i="1" s="1"/>
  <c r="AW956" i="1"/>
  <c r="BM956" i="1" s="1" a="1"/>
  <c r="BM956" i="1" s="1"/>
  <c r="BJ956" i="1" s="1" a="1"/>
  <c r="BJ956" i="1" s="1"/>
  <c r="AT956" i="1" a="1"/>
  <c r="AT956" i="1" s="1"/>
  <c r="AU956" i="1" s="1"/>
  <c r="AS956" i="1" a="1"/>
  <c r="AS956" i="1" s="1"/>
  <c r="K956" i="1" a="1"/>
  <c r="K956" i="1" s="1"/>
  <c r="J956" i="1" a="1"/>
  <c r="J956" i="1" s="1"/>
  <c r="F956" i="1" a="1"/>
  <c r="F956" i="1" s="1"/>
  <c r="AW955" i="1"/>
  <c r="BM955" i="1" s="1" a="1"/>
  <c r="BM955" i="1" s="1"/>
  <c r="BJ955" i="1" s="1" a="1"/>
  <c r="BJ955" i="1" s="1"/>
  <c r="AT955" i="1" a="1"/>
  <c r="AT955" i="1" s="1"/>
  <c r="AU955" i="1" s="1"/>
  <c r="AS955" i="1" a="1"/>
  <c r="AS955" i="1" s="1"/>
  <c r="K955" i="1" a="1"/>
  <c r="K955" i="1" s="1"/>
  <c r="J955" i="1" a="1"/>
  <c r="J955" i="1" s="1"/>
  <c r="F955" i="1" a="1"/>
  <c r="F955" i="1" s="1"/>
  <c r="AW954" i="1"/>
  <c r="BM954" i="1" s="1" a="1"/>
  <c r="BM954" i="1" s="1"/>
  <c r="BJ954" i="1" s="1" a="1"/>
  <c r="BJ954" i="1" s="1"/>
  <c r="AT954" i="1" a="1"/>
  <c r="AT954" i="1" s="1"/>
  <c r="AU954" i="1" s="1"/>
  <c r="AS954" i="1" a="1"/>
  <c r="AS954" i="1" s="1"/>
  <c r="K954" i="1" a="1"/>
  <c r="K954" i="1" s="1"/>
  <c r="J954" i="1" a="1"/>
  <c r="J954" i="1" s="1"/>
  <c r="F954" i="1" a="1"/>
  <c r="F954" i="1" s="1"/>
  <c r="AW953" i="1"/>
  <c r="BM953" i="1" s="1" a="1"/>
  <c r="BM953" i="1" s="1"/>
  <c r="BJ953" i="1" s="1" a="1"/>
  <c r="BJ953" i="1" s="1"/>
  <c r="AT953" i="1" a="1"/>
  <c r="AT953" i="1" s="1"/>
  <c r="AU953" i="1" s="1"/>
  <c r="AS953" i="1" a="1"/>
  <c r="AS953" i="1" s="1"/>
  <c r="K953" i="1" a="1"/>
  <c r="K953" i="1" s="1"/>
  <c r="J953" i="1" a="1"/>
  <c r="J953" i="1" s="1"/>
  <c r="F953" i="1" a="1"/>
  <c r="F953" i="1" s="1"/>
  <c r="AW952" i="1"/>
  <c r="BM952" i="1" s="1" a="1"/>
  <c r="BM952" i="1" s="1"/>
  <c r="BJ952" i="1" s="1" a="1"/>
  <c r="BJ952" i="1" s="1"/>
  <c r="AT952" i="1" a="1"/>
  <c r="AT952" i="1" s="1"/>
  <c r="AU952" i="1" s="1"/>
  <c r="AS952" i="1" a="1"/>
  <c r="AS952" i="1" s="1"/>
  <c r="K952" i="1" a="1"/>
  <c r="K952" i="1" s="1"/>
  <c r="J952" i="1" a="1"/>
  <c r="J952" i="1" s="1"/>
  <c r="F952" i="1" a="1"/>
  <c r="F952" i="1" s="1"/>
  <c r="AW951" i="1"/>
  <c r="BM951" i="1" s="1" a="1"/>
  <c r="BM951" i="1" s="1"/>
  <c r="BJ951" i="1" s="1" a="1"/>
  <c r="BJ951" i="1" s="1"/>
  <c r="AT951" i="1" a="1"/>
  <c r="AT951" i="1" s="1"/>
  <c r="AU951" i="1" s="1"/>
  <c r="AS951" i="1" a="1"/>
  <c r="AS951" i="1" s="1"/>
  <c r="K951" i="1" a="1"/>
  <c r="K951" i="1" s="1"/>
  <c r="J951" i="1" a="1"/>
  <c r="J951" i="1" s="1"/>
  <c r="F951" i="1" a="1"/>
  <c r="F951" i="1" s="1"/>
  <c r="AW950" i="1"/>
  <c r="BM950" i="1" s="1" a="1"/>
  <c r="BM950" i="1" s="1"/>
  <c r="BJ950" i="1" s="1" a="1"/>
  <c r="BJ950" i="1" s="1"/>
  <c r="AT950" i="1" a="1"/>
  <c r="AT950" i="1" s="1"/>
  <c r="AU950" i="1" s="1"/>
  <c r="AS950" i="1" a="1"/>
  <c r="AS950" i="1" s="1"/>
  <c r="K950" i="1" a="1"/>
  <c r="K950" i="1" s="1"/>
  <c r="J950" i="1" a="1"/>
  <c r="J950" i="1" s="1"/>
  <c r="F950" i="1" a="1"/>
  <c r="F950" i="1" s="1"/>
  <c r="AW949" i="1"/>
  <c r="BM949" i="1" s="1" a="1"/>
  <c r="BM949" i="1" s="1"/>
  <c r="BJ949" i="1" s="1" a="1"/>
  <c r="BJ949" i="1" s="1"/>
  <c r="AT949" i="1" a="1"/>
  <c r="AT949" i="1" s="1"/>
  <c r="AU949" i="1" s="1"/>
  <c r="AS949" i="1" a="1"/>
  <c r="AS949" i="1" s="1"/>
  <c r="K949" i="1" a="1"/>
  <c r="K949" i="1" s="1"/>
  <c r="J949" i="1" a="1"/>
  <c r="J949" i="1" s="1"/>
  <c r="F949" i="1" a="1"/>
  <c r="F949" i="1" s="1"/>
  <c r="AW948" i="1"/>
  <c r="BM948" i="1" s="1" a="1"/>
  <c r="BM948" i="1" s="1"/>
  <c r="BJ948" i="1" s="1" a="1"/>
  <c r="BJ948" i="1" s="1"/>
  <c r="AT948" i="1" a="1"/>
  <c r="AT948" i="1" s="1"/>
  <c r="AU948" i="1" s="1"/>
  <c r="AS948" i="1" a="1"/>
  <c r="AS948" i="1" s="1"/>
  <c r="K948" i="1" a="1"/>
  <c r="K948" i="1" s="1"/>
  <c r="J948" i="1" a="1"/>
  <c r="J948" i="1" s="1"/>
  <c r="F948" i="1" a="1"/>
  <c r="F948" i="1" s="1"/>
  <c r="BN946" i="1" a="1"/>
  <c r="BN946" i="1" s="1"/>
  <c r="BM946" i="1" a="1"/>
  <c r="BM946" i="1" s="1"/>
  <c r="BJ946" i="1" s="1" a="1"/>
  <c r="BJ946" i="1" s="1"/>
  <c r="BL946" i="1" a="1"/>
  <c r="BL946" i="1" s="1"/>
  <c r="BK946" i="1" a="1"/>
  <c r="BK946" i="1" s="1"/>
  <c r="BI946" i="1" a="1"/>
  <c r="BI946" i="1" s="1"/>
  <c r="AT946" i="1" a="1"/>
  <c r="AT946" i="1" s="1"/>
  <c r="AU946" i="1" s="1"/>
  <c r="AS946" i="1" a="1"/>
  <c r="AS946" i="1" s="1"/>
  <c r="K946" i="1" a="1"/>
  <c r="K946" i="1" s="1"/>
  <c r="J946" i="1" a="1"/>
  <c r="J946" i="1" s="1"/>
  <c r="F946" i="1" a="1"/>
  <c r="F946" i="1" s="1"/>
  <c r="BN945" i="1" a="1"/>
  <c r="BN945" i="1" s="1"/>
  <c r="BM945" i="1" a="1"/>
  <c r="BM945" i="1" s="1"/>
  <c r="BJ945" i="1" s="1" a="1"/>
  <c r="BJ945" i="1" s="1"/>
  <c r="BL945" i="1" a="1"/>
  <c r="BL945" i="1" s="1"/>
  <c r="BK945" i="1" a="1"/>
  <c r="BK945" i="1" s="1"/>
  <c r="BI945" i="1" a="1"/>
  <c r="BI945" i="1" s="1"/>
  <c r="AT945" i="1" a="1"/>
  <c r="AT945" i="1" s="1"/>
  <c r="AU945" i="1" s="1"/>
  <c r="AS945" i="1" a="1"/>
  <c r="AS945" i="1" s="1"/>
  <c r="K945" i="1" a="1"/>
  <c r="K945" i="1" s="1"/>
  <c r="J945" i="1" a="1"/>
  <c r="J945" i="1" s="1"/>
  <c r="F945" i="1" a="1"/>
  <c r="F945" i="1" s="1"/>
  <c r="BN944" i="1" a="1"/>
  <c r="BN944" i="1" s="1"/>
  <c r="BM944" i="1" a="1"/>
  <c r="BM944" i="1" s="1"/>
  <c r="BJ944" i="1" s="1" a="1"/>
  <c r="BJ944" i="1" s="1"/>
  <c r="BL944" i="1" a="1"/>
  <c r="BL944" i="1" s="1"/>
  <c r="BK944" i="1" a="1"/>
  <c r="BK944" i="1" s="1"/>
  <c r="BI944" i="1" a="1"/>
  <c r="BI944" i="1" s="1"/>
  <c r="AT944" i="1" a="1"/>
  <c r="AT944" i="1" s="1"/>
  <c r="AU944" i="1" s="1"/>
  <c r="AS944" i="1" a="1"/>
  <c r="AS944" i="1" s="1"/>
  <c r="K944" i="1" a="1"/>
  <c r="K944" i="1" s="1"/>
  <c r="J944" i="1" a="1"/>
  <c r="J944" i="1" s="1"/>
  <c r="F944" i="1" a="1"/>
  <c r="F944" i="1" s="1"/>
  <c r="BN943" i="1" a="1"/>
  <c r="BN943" i="1" s="1"/>
  <c r="BM943" i="1" a="1"/>
  <c r="BM943" i="1" s="1"/>
  <c r="BJ943" i="1" s="1" a="1"/>
  <c r="BJ943" i="1" s="1"/>
  <c r="BL943" i="1" a="1"/>
  <c r="BL943" i="1" s="1"/>
  <c r="BK943" i="1" a="1"/>
  <c r="BK943" i="1" s="1"/>
  <c r="BI943" i="1" a="1"/>
  <c r="BI943" i="1" s="1"/>
  <c r="AT943" i="1" a="1"/>
  <c r="AT943" i="1" s="1"/>
  <c r="AU943" i="1" s="1"/>
  <c r="AS943" i="1" a="1"/>
  <c r="AS943" i="1" s="1"/>
  <c r="K943" i="1" a="1"/>
  <c r="K943" i="1" s="1"/>
  <c r="J943" i="1" a="1"/>
  <c r="J943" i="1" s="1"/>
  <c r="F943" i="1" a="1"/>
  <c r="F943" i="1" s="1"/>
  <c r="BN942" i="1" a="1"/>
  <c r="BN942" i="1" s="1"/>
  <c r="BM942" i="1" a="1"/>
  <c r="BM942" i="1" s="1"/>
  <c r="BJ942" i="1" s="1" a="1"/>
  <c r="BJ942" i="1" s="1"/>
  <c r="BL942" i="1" a="1"/>
  <c r="BL942" i="1" s="1"/>
  <c r="BK942" i="1" a="1"/>
  <c r="BK942" i="1" s="1"/>
  <c r="BI942" i="1" a="1"/>
  <c r="BI942" i="1" s="1"/>
  <c r="AT942" i="1" a="1"/>
  <c r="AT942" i="1" s="1"/>
  <c r="AU942" i="1" s="1"/>
  <c r="AS942" i="1" a="1"/>
  <c r="AS942" i="1" s="1"/>
  <c r="K942" i="1" a="1"/>
  <c r="K942" i="1" s="1"/>
  <c r="J942" i="1" a="1"/>
  <c r="J942" i="1" s="1"/>
  <c r="F942" i="1" a="1"/>
  <c r="F942" i="1" s="1"/>
  <c r="BN941" i="1" a="1"/>
  <c r="BN941" i="1" s="1"/>
  <c r="BM941" i="1" a="1"/>
  <c r="BM941" i="1" s="1"/>
  <c r="BJ941" i="1" s="1" a="1"/>
  <c r="BJ941" i="1" s="1"/>
  <c r="BL941" i="1" a="1"/>
  <c r="BL941" i="1" s="1"/>
  <c r="BK941" i="1" a="1"/>
  <c r="BK941" i="1" s="1"/>
  <c r="BI941" i="1" a="1"/>
  <c r="BI941" i="1" s="1"/>
  <c r="AT941" i="1" a="1"/>
  <c r="AT941" i="1" s="1"/>
  <c r="AU941" i="1" s="1"/>
  <c r="AS941" i="1" a="1"/>
  <c r="AS941" i="1" s="1"/>
  <c r="K941" i="1" a="1"/>
  <c r="K941" i="1" s="1"/>
  <c r="J941" i="1" a="1"/>
  <c r="J941" i="1" s="1"/>
  <c r="F941" i="1" a="1"/>
  <c r="F941" i="1" s="1"/>
  <c r="BN940" i="1" a="1"/>
  <c r="BN940" i="1" s="1"/>
  <c r="BM940" i="1" a="1"/>
  <c r="BM940" i="1" s="1"/>
  <c r="BJ940" i="1" s="1" a="1"/>
  <c r="BJ940" i="1" s="1"/>
  <c r="BL940" i="1" a="1"/>
  <c r="BL940" i="1" s="1"/>
  <c r="BK940" i="1" a="1"/>
  <c r="BK940" i="1" s="1"/>
  <c r="BI940" i="1" a="1"/>
  <c r="BI940" i="1" s="1"/>
  <c r="AT940" i="1" a="1"/>
  <c r="AT940" i="1" s="1"/>
  <c r="AU940" i="1" s="1"/>
  <c r="AS940" i="1" a="1"/>
  <c r="AS940" i="1" s="1"/>
  <c r="K940" i="1" a="1"/>
  <c r="K940" i="1" s="1"/>
  <c r="J940" i="1" a="1"/>
  <c r="J940" i="1" s="1"/>
  <c r="F940" i="1" a="1"/>
  <c r="F940" i="1" s="1"/>
  <c r="BN939" i="1" a="1"/>
  <c r="BN939" i="1" s="1"/>
  <c r="BM939" i="1" a="1"/>
  <c r="BM939" i="1" s="1"/>
  <c r="BJ939" i="1" s="1" a="1"/>
  <c r="BJ939" i="1" s="1"/>
  <c r="BL939" i="1" a="1"/>
  <c r="BL939" i="1" s="1"/>
  <c r="BK939" i="1" a="1"/>
  <c r="BK939" i="1" s="1"/>
  <c r="BI939" i="1" a="1"/>
  <c r="BI939" i="1" s="1"/>
  <c r="AT939" i="1" a="1"/>
  <c r="AT939" i="1" s="1"/>
  <c r="AU939" i="1" s="1"/>
  <c r="AS939" i="1" a="1"/>
  <c r="AS939" i="1" s="1"/>
  <c r="K939" i="1" a="1"/>
  <c r="K939" i="1" s="1"/>
  <c r="J939" i="1" a="1"/>
  <c r="J939" i="1" s="1"/>
  <c r="F939" i="1" a="1"/>
  <c r="F939" i="1" s="1"/>
  <c r="BN938" i="1" a="1"/>
  <c r="BN938" i="1" s="1"/>
  <c r="BM938" i="1" a="1"/>
  <c r="BM938" i="1" s="1"/>
  <c r="BJ938" i="1" s="1" a="1"/>
  <c r="BJ938" i="1" s="1"/>
  <c r="BL938" i="1" a="1"/>
  <c r="BL938" i="1" s="1"/>
  <c r="BK938" i="1" a="1"/>
  <c r="BK938" i="1" s="1"/>
  <c r="BI938" i="1" a="1"/>
  <c r="BI938" i="1" s="1"/>
  <c r="AT938" i="1" a="1"/>
  <c r="AT938" i="1" s="1"/>
  <c r="AU938" i="1" s="1"/>
  <c r="AS938" i="1" a="1"/>
  <c r="AS938" i="1" s="1"/>
  <c r="K938" i="1" a="1"/>
  <c r="K938" i="1" s="1"/>
  <c r="J938" i="1" a="1"/>
  <c r="J938" i="1" s="1"/>
  <c r="F938" i="1" a="1"/>
  <c r="F938" i="1" s="1"/>
  <c r="BN937" i="1" a="1"/>
  <c r="BN937" i="1" s="1"/>
  <c r="BM937" i="1" a="1"/>
  <c r="BM937" i="1" s="1"/>
  <c r="BJ937" i="1" s="1" a="1"/>
  <c r="BJ937" i="1" s="1"/>
  <c r="BL937" i="1" a="1"/>
  <c r="BL937" i="1" s="1"/>
  <c r="BK937" i="1" a="1"/>
  <c r="BK937" i="1" s="1"/>
  <c r="BI937" i="1" a="1"/>
  <c r="BI937" i="1" s="1"/>
  <c r="AT937" i="1" a="1"/>
  <c r="AT937" i="1" s="1"/>
  <c r="AU937" i="1" s="1"/>
  <c r="AS937" i="1" a="1"/>
  <c r="AS937" i="1" s="1"/>
  <c r="K937" i="1" a="1"/>
  <c r="K937" i="1" s="1"/>
  <c r="J937" i="1" a="1"/>
  <c r="J937" i="1" s="1"/>
  <c r="F937" i="1" a="1"/>
  <c r="F937" i="1" s="1"/>
  <c r="AW935" i="1"/>
  <c r="BM935" i="1" s="1" a="1"/>
  <c r="BM935" i="1" s="1"/>
  <c r="BJ935" i="1" s="1" a="1"/>
  <c r="BJ935" i="1" s="1"/>
  <c r="AT935" i="1"/>
  <c r="AU935" i="1" s="1"/>
  <c r="AS935" i="1" a="1"/>
  <c r="AS935" i="1" s="1"/>
  <c r="K935" i="1" a="1"/>
  <c r="K935" i="1" s="1"/>
  <c r="J935" i="1" a="1"/>
  <c r="J935" i="1" s="1"/>
  <c r="F935" i="1" a="1"/>
  <c r="F935" i="1" s="1"/>
  <c r="AW934" i="1"/>
  <c r="BN934" i="1" s="1" a="1"/>
  <c r="BN934" i="1" s="1"/>
  <c r="AT934" i="1"/>
  <c r="AU934" i="1" s="1"/>
  <c r="AS934" i="1" a="1"/>
  <c r="AS934" i="1" s="1"/>
  <c r="K934" i="1" a="1"/>
  <c r="K934" i="1" s="1"/>
  <c r="J934" i="1" a="1"/>
  <c r="J934" i="1" s="1"/>
  <c r="F934" i="1" a="1"/>
  <c r="F934" i="1" s="1"/>
  <c r="AW933" i="1"/>
  <c r="BN933" i="1" s="1" a="1"/>
  <c r="BN933" i="1" s="1"/>
  <c r="AT933" i="1"/>
  <c r="AU933" i="1" s="1"/>
  <c r="AS933" i="1" a="1"/>
  <c r="AS933" i="1" s="1"/>
  <c r="K933" i="1" a="1"/>
  <c r="K933" i="1" s="1"/>
  <c r="J933" i="1" a="1"/>
  <c r="J933" i="1" s="1"/>
  <c r="F933" i="1" a="1"/>
  <c r="F933" i="1" s="1"/>
  <c r="AW932" i="1"/>
  <c r="BN932" i="1" s="1" a="1"/>
  <c r="BN932" i="1" s="1"/>
  <c r="AT932" i="1"/>
  <c r="AU932" i="1" s="1"/>
  <c r="AS932" i="1" a="1"/>
  <c r="AS932" i="1" s="1"/>
  <c r="K932" i="1" a="1"/>
  <c r="K932" i="1" s="1"/>
  <c r="J932" i="1" a="1"/>
  <c r="J932" i="1" s="1"/>
  <c r="F932" i="1" a="1"/>
  <c r="F932" i="1" s="1"/>
  <c r="AW931" i="1"/>
  <c r="BM931" i="1" s="1" a="1"/>
  <c r="BM931" i="1" s="1"/>
  <c r="BJ931" i="1" s="1" a="1"/>
  <c r="BJ931" i="1" s="1"/>
  <c r="AT931" i="1"/>
  <c r="AU931" i="1" s="1"/>
  <c r="AS931" i="1" a="1"/>
  <c r="AS931" i="1" s="1"/>
  <c r="K931" i="1" a="1"/>
  <c r="K931" i="1" s="1"/>
  <c r="J931" i="1" a="1"/>
  <c r="J931" i="1" s="1"/>
  <c r="F931" i="1" a="1"/>
  <c r="F931" i="1" s="1"/>
  <c r="AW930" i="1"/>
  <c r="BN930" i="1" s="1" a="1"/>
  <c r="BN930" i="1" s="1"/>
  <c r="AT930" i="1"/>
  <c r="AU930" i="1" s="1"/>
  <c r="AS930" i="1" a="1"/>
  <c r="AS930" i="1" s="1"/>
  <c r="K930" i="1" a="1"/>
  <c r="K930" i="1" s="1"/>
  <c r="J930" i="1" a="1"/>
  <c r="J930" i="1" s="1"/>
  <c r="F930" i="1" a="1"/>
  <c r="F930" i="1" s="1"/>
  <c r="AW929" i="1"/>
  <c r="BN929" i="1" s="1" a="1"/>
  <c r="BN929" i="1" s="1"/>
  <c r="AT929" i="1"/>
  <c r="AU929" i="1" s="1"/>
  <c r="AS929" i="1" a="1"/>
  <c r="AS929" i="1" s="1"/>
  <c r="K929" i="1" a="1"/>
  <c r="K929" i="1" s="1"/>
  <c r="J929" i="1" a="1"/>
  <c r="J929" i="1" s="1"/>
  <c r="F929" i="1" a="1"/>
  <c r="F929" i="1" s="1"/>
  <c r="AW928" i="1"/>
  <c r="BK928" i="1" s="1"/>
  <c r="AT928" i="1"/>
  <c r="AU928" i="1" s="1"/>
  <c r="AS928" i="1" a="1"/>
  <c r="AS928" i="1" s="1"/>
  <c r="K928" i="1" a="1"/>
  <c r="K928" i="1" s="1"/>
  <c r="J928" i="1" a="1"/>
  <c r="J928" i="1" s="1"/>
  <c r="F928" i="1" a="1"/>
  <c r="F928" i="1" s="1"/>
  <c r="AW927" i="1"/>
  <c r="BM927" i="1" s="1" a="1"/>
  <c r="BM927" i="1" s="1"/>
  <c r="BJ927" i="1" s="1" a="1"/>
  <c r="BJ927" i="1" s="1"/>
  <c r="AT927" i="1"/>
  <c r="AU927" i="1" s="1"/>
  <c r="AS927" i="1" a="1"/>
  <c r="AS927" i="1" s="1"/>
  <c r="K927" i="1" a="1"/>
  <c r="K927" i="1" s="1"/>
  <c r="J927" i="1" a="1"/>
  <c r="J927" i="1" s="1"/>
  <c r="F927" i="1" a="1"/>
  <c r="F927" i="1" s="1"/>
  <c r="AW926" i="1"/>
  <c r="BN926" i="1" s="1" a="1"/>
  <c r="BN926" i="1" s="1"/>
  <c r="AT926" i="1"/>
  <c r="AU926" i="1" s="1"/>
  <c r="AS926" i="1" a="1"/>
  <c r="AS926" i="1" s="1"/>
  <c r="K926" i="1" a="1"/>
  <c r="K926" i="1" s="1"/>
  <c r="J926" i="1" a="1"/>
  <c r="J926" i="1" s="1"/>
  <c r="F926" i="1" a="1"/>
  <c r="F926" i="1" s="1"/>
  <c r="AW924" i="1"/>
  <c r="BI924" i="1" s="1" a="1"/>
  <c r="BI924" i="1" s="1"/>
  <c r="AT924" i="1"/>
  <c r="AU924" i="1" s="1"/>
  <c r="AS924" i="1" a="1"/>
  <c r="AS924" i="1" s="1"/>
  <c r="K924" i="1" a="1"/>
  <c r="K924" i="1" s="1"/>
  <c r="J924" i="1" a="1"/>
  <c r="J924" i="1" s="1"/>
  <c r="F924" i="1" a="1"/>
  <c r="F924" i="1" s="1"/>
  <c r="AW923" i="1"/>
  <c r="BN923" i="1" s="1" a="1"/>
  <c r="BN923" i="1" s="1"/>
  <c r="AT923" i="1"/>
  <c r="AU923" i="1" s="1"/>
  <c r="AS923" i="1" a="1"/>
  <c r="AS923" i="1" s="1"/>
  <c r="K923" i="1" a="1"/>
  <c r="K923" i="1" s="1"/>
  <c r="J923" i="1" a="1"/>
  <c r="J923" i="1" s="1"/>
  <c r="F923" i="1" a="1"/>
  <c r="F923" i="1" s="1"/>
  <c r="AW922" i="1"/>
  <c r="BN922" i="1" s="1" a="1"/>
  <c r="BN922" i="1" s="1"/>
  <c r="AT922" i="1"/>
  <c r="AU922" i="1" s="1"/>
  <c r="AS922" i="1" a="1"/>
  <c r="AS922" i="1" s="1"/>
  <c r="K922" i="1" a="1"/>
  <c r="K922" i="1" s="1"/>
  <c r="J922" i="1" a="1"/>
  <c r="J922" i="1" s="1"/>
  <c r="F922" i="1" a="1"/>
  <c r="F922" i="1" s="1"/>
  <c r="AW921" i="1"/>
  <c r="BN921" i="1" s="1" a="1"/>
  <c r="BN921" i="1" s="1"/>
  <c r="AT921" i="1"/>
  <c r="AU921" i="1" s="1"/>
  <c r="AS921" i="1" a="1"/>
  <c r="AS921" i="1" s="1"/>
  <c r="K921" i="1" a="1"/>
  <c r="K921" i="1" s="1"/>
  <c r="J921" i="1" a="1"/>
  <c r="J921" i="1" s="1"/>
  <c r="F921" i="1" a="1"/>
  <c r="F921" i="1" s="1"/>
  <c r="AW920" i="1"/>
  <c r="BK920" i="1" s="1"/>
  <c r="AT920" i="1"/>
  <c r="AU920" i="1" s="1"/>
  <c r="AS920" i="1" a="1"/>
  <c r="AS920" i="1" s="1"/>
  <c r="K920" i="1" a="1"/>
  <c r="K920" i="1" s="1"/>
  <c r="J920" i="1" a="1"/>
  <c r="J920" i="1" s="1"/>
  <c r="F920" i="1" a="1"/>
  <c r="F920" i="1" s="1"/>
  <c r="AW919" i="1"/>
  <c r="BN919" i="1" s="1" a="1"/>
  <c r="BN919" i="1" s="1"/>
  <c r="AT919" i="1"/>
  <c r="AU919" i="1" s="1"/>
  <c r="AS919" i="1" a="1"/>
  <c r="AS919" i="1" s="1"/>
  <c r="K919" i="1" a="1"/>
  <c r="K919" i="1" s="1"/>
  <c r="J919" i="1" a="1"/>
  <c r="J919" i="1" s="1"/>
  <c r="F919" i="1" a="1"/>
  <c r="F919" i="1" s="1"/>
  <c r="AW918" i="1"/>
  <c r="BN918" i="1" s="1" a="1"/>
  <c r="BN918" i="1" s="1"/>
  <c r="AT918" i="1"/>
  <c r="AU918" i="1" s="1"/>
  <c r="AS918" i="1" a="1"/>
  <c r="AS918" i="1" s="1"/>
  <c r="K918" i="1" a="1"/>
  <c r="K918" i="1" s="1"/>
  <c r="J918" i="1" a="1"/>
  <c r="J918" i="1" s="1"/>
  <c r="F918" i="1" a="1"/>
  <c r="F918" i="1" s="1"/>
  <c r="AW917" i="1"/>
  <c r="BN917" i="1" s="1" a="1"/>
  <c r="BN917" i="1" s="1"/>
  <c r="AT917" i="1"/>
  <c r="AU917" i="1" s="1"/>
  <c r="AS917" i="1" a="1"/>
  <c r="AS917" i="1" s="1"/>
  <c r="K917" i="1" a="1"/>
  <c r="K917" i="1" s="1"/>
  <c r="J917" i="1" a="1"/>
  <c r="J917" i="1" s="1"/>
  <c r="F917" i="1" a="1"/>
  <c r="F917" i="1" s="1"/>
  <c r="AW916" i="1"/>
  <c r="BK916" i="1" s="1"/>
  <c r="AT916" i="1"/>
  <c r="AU916" i="1" s="1"/>
  <c r="AS916" i="1" a="1"/>
  <c r="AS916" i="1" s="1"/>
  <c r="K916" i="1" a="1"/>
  <c r="K916" i="1" s="1"/>
  <c r="J916" i="1" a="1"/>
  <c r="J916" i="1" s="1"/>
  <c r="F916" i="1" a="1"/>
  <c r="F916" i="1" s="1"/>
  <c r="AW915" i="1"/>
  <c r="BN915" i="1" s="1" a="1"/>
  <c r="BN915" i="1" s="1"/>
  <c r="AT915" i="1"/>
  <c r="AU915" i="1" s="1"/>
  <c r="AS915" i="1" a="1"/>
  <c r="AS915" i="1" s="1"/>
  <c r="K915" i="1" a="1"/>
  <c r="K915" i="1" s="1"/>
  <c r="J915" i="1" a="1"/>
  <c r="J915" i="1" s="1"/>
  <c r="F915" i="1" a="1"/>
  <c r="F915" i="1" s="1"/>
  <c r="BN913" i="1" a="1"/>
  <c r="BN913" i="1" s="1"/>
  <c r="BM913" i="1" a="1"/>
  <c r="BM913" i="1" s="1"/>
  <c r="BJ913" i="1" s="1" a="1"/>
  <c r="BJ913" i="1" s="1"/>
  <c r="BK913" i="1" a="1"/>
  <c r="BK913" i="1" s="1"/>
  <c r="BI913" i="1" a="1"/>
  <c r="BI913" i="1" s="1"/>
  <c r="AT913" i="1"/>
  <c r="AU913" i="1" s="1"/>
  <c r="AS913" i="1" a="1"/>
  <c r="AS913" i="1" s="1"/>
  <c r="K913" i="1" a="1"/>
  <c r="K913" i="1" s="1"/>
  <c r="J913" i="1" a="1"/>
  <c r="J913" i="1" s="1"/>
  <c r="F913" i="1" a="1"/>
  <c r="F913" i="1" s="1"/>
  <c r="BN912" i="1" a="1"/>
  <c r="BN912" i="1" s="1"/>
  <c r="BM912" i="1" a="1"/>
  <c r="BM912" i="1" s="1"/>
  <c r="BJ912" i="1" s="1" a="1"/>
  <c r="BJ912" i="1" s="1"/>
  <c r="BK912" i="1" a="1"/>
  <c r="BK912" i="1" s="1"/>
  <c r="BI912" i="1" a="1"/>
  <c r="BI912" i="1" s="1"/>
  <c r="AT912" i="1"/>
  <c r="AU912" i="1" s="1"/>
  <c r="AS912" i="1" a="1"/>
  <c r="AS912" i="1" s="1"/>
  <c r="K912" i="1" a="1"/>
  <c r="K912" i="1" s="1"/>
  <c r="J912" i="1" a="1"/>
  <c r="J912" i="1" s="1"/>
  <c r="F912" i="1" a="1"/>
  <c r="F912" i="1" s="1"/>
  <c r="BN911" i="1" a="1"/>
  <c r="BN911" i="1" s="1"/>
  <c r="BM911" i="1" a="1"/>
  <c r="BM911" i="1" s="1"/>
  <c r="BJ911" i="1" s="1" a="1"/>
  <c r="BJ911" i="1" s="1"/>
  <c r="BK911" i="1" a="1"/>
  <c r="BK911" i="1" s="1"/>
  <c r="BI911" i="1" a="1"/>
  <c r="BI911" i="1" s="1"/>
  <c r="AT911" i="1"/>
  <c r="AU911" i="1" s="1"/>
  <c r="AS911" i="1" a="1"/>
  <c r="AS911" i="1" s="1"/>
  <c r="K911" i="1" a="1"/>
  <c r="K911" i="1" s="1"/>
  <c r="J911" i="1" a="1"/>
  <c r="J911" i="1" s="1"/>
  <c r="F911" i="1" a="1"/>
  <c r="F911" i="1" s="1"/>
  <c r="BN910" i="1" a="1"/>
  <c r="BN910" i="1" s="1"/>
  <c r="BM910" i="1" a="1"/>
  <c r="BM910" i="1" s="1"/>
  <c r="BJ910" i="1" s="1" a="1"/>
  <c r="BJ910" i="1" s="1"/>
  <c r="BK910" i="1" a="1"/>
  <c r="BK910" i="1" s="1"/>
  <c r="BI910" i="1" a="1"/>
  <c r="BI910" i="1" s="1"/>
  <c r="AT910" i="1"/>
  <c r="AU910" i="1" s="1"/>
  <c r="AS910" i="1" a="1"/>
  <c r="AS910" i="1" s="1"/>
  <c r="K910" i="1" a="1"/>
  <c r="K910" i="1" s="1"/>
  <c r="J910" i="1" a="1"/>
  <c r="J910" i="1" s="1"/>
  <c r="F910" i="1" a="1"/>
  <c r="F910" i="1" s="1"/>
  <c r="BN909" i="1" a="1"/>
  <c r="BN909" i="1" s="1"/>
  <c r="BM909" i="1" a="1"/>
  <c r="BM909" i="1" s="1"/>
  <c r="BJ909" i="1" s="1" a="1"/>
  <c r="BJ909" i="1" s="1"/>
  <c r="BK909" i="1" a="1"/>
  <c r="BK909" i="1" s="1"/>
  <c r="BI909" i="1" a="1"/>
  <c r="BI909" i="1" s="1"/>
  <c r="AT909" i="1"/>
  <c r="AU909" i="1" s="1"/>
  <c r="AS909" i="1" a="1"/>
  <c r="AS909" i="1" s="1"/>
  <c r="K909" i="1" a="1"/>
  <c r="K909" i="1" s="1"/>
  <c r="J909" i="1" a="1"/>
  <c r="J909" i="1" s="1"/>
  <c r="F909" i="1" a="1"/>
  <c r="F909" i="1" s="1"/>
  <c r="BN908" i="1" a="1"/>
  <c r="BN908" i="1" s="1"/>
  <c r="BM908" i="1" a="1"/>
  <c r="BM908" i="1" s="1"/>
  <c r="BJ908" i="1" s="1" a="1"/>
  <c r="BJ908" i="1" s="1"/>
  <c r="BK908" i="1" a="1"/>
  <c r="BK908" i="1" s="1"/>
  <c r="BI908" i="1" a="1"/>
  <c r="BI908" i="1" s="1"/>
  <c r="AT908" i="1"/>
  <c r="AU908" i="1" s="1"/>
  <c r="AS908" i="1" a="1"/>
  <c r="AS908" i="1" s="1"/>
  <c r="K908" i="1" a="1"/>
  <c r="K908" i="1" s="1"/>
  <c r="J908" i="1" a="1"/>
  <c r="J908" i="1" s="1"/>
  <c r="F908" i="1" a="1"/>
  <c r="F908" i="1" s="1"/>
  <c r="BN907" i="1" a="1"/>
  <c r="BN907" i="1" s="1"/>
  <c r="BM907" i="1" a="1"/>
  <c r="BM907" i="1" s="1"/>
  <c r="BJ907" i="1" s="1" a="1"/>
  <c r="BJ907" i="1" s="1"/>
  <c r="BK907" i="1" a="1"/>
  <c r="BK907" i="1" s="1"/>
  <c r="BI907" i="1" a="1"/>
  <c r="BI907" i="1" s="1"/>
  <c r="AT907" i="1"/>
  <c r="AU907" i="1" s="1"/>
  <c r="AS907" i="1" a="1"/>
  <c r="AS907" i="1" s="1"/>
  <c r="K907" i="1" a="1"/>
  <c r="K907" i="1" s="1"/>
  <c r="J907" i="1" a="1"/>
  <c r="J907" i="1" s="1"/>
  <c r="F907" i="1" a="1"/>
  <c r="F907" i="1" s="1"/>
  <c r="BN906" i="1" a="1"/>
  <c r="BN906" i="1" s="1"/>
  <c r="BM906" i="1" a="1"/>
  <c r="BM906" i="1" s="1"/>
  <c r="BJ906" i="1" s="1" a="1"/>
  <c r="BJ906" i="1" s="1"/>
  <c r="BK906" i="1" a="1"/>
  <c r="BK906" i="1" s="1"/>
  <c r="BI906" i="1" a="1"/>
  <c r="BI906" i="1" s="1"/>
  <c r="AT906" i="1"/>
  <c r="AU906" i="1" s="1"/>
  <c r="AS906" i="1" a="1"/>
  <c r="AS906" i="1" s="1"/>
  <c r="K906" i="1" a="1"/>
  <c r="K906" i="1" s="1"/>
  <c r="J906" i="1" a="1"/>
  <c r="J906" i="1" s="1"/>
  <c r="F906" i="1" a="1"/>
  <c r="F906" i="1" s="1"/>
  <c r="BN905" i="1" a="1"/>
  <c r="BN905" i="1" s="1"/>
  <c r="BM905" i="1" a="1"/>
  <c r="BM905" i="1" s="1"/>
  <c r="BJ905" i="1" s="1" a="1"/>
  <c r="BJ905" i="1" s="1"/>
  <c r="BK905" i="1" a="1"/>
  <c r="BK905" i="1" s="1"/>
  <c r="BI905" i="1" a="1"/>
  <c r="BI905" i="1" s="1"/>
  <c r="AT905" i="1"/>
  <c r="AU905" i="1" s="1"/>
  <c r="AS905" i="1" a="1"/>
  <c r="AS905" i="1" s="1"/>
  <c r="K905" i="1" a="1"/>
  <c r="K905" i="1" s="1"/>
  <c r="J905" i="1" a="1"/>
  <c r="J905" i="1" s="1"/>
  <c r="F905" i="1" a="1"/>
  <c r="F905" i="1" s="1"/>
  <c r="BN904" i="1" a="1"/>
  <c r="BN904" i="1" s="1"/>
  <c r="BM904" i="1" a="1"/>
  <c r="BM904" i="1" s="1"/>
  <c r="BJ904" i="1" s="1" a="1"/>
  <c r="BJ904" i="1" s="1"/>
  <c r="BK904" i="1" a="1"/>
  <c r="BK904" i="1" s="1"/>
  <c r="BI904" i="1" a="1"/>
  <c r="BI904" i="1" s="1"/>
  <c r="AT904" i="1"/>
  <c r="AU904" i="1" s="1"/>
  <c r="AS904" i="1" a="1"/>
  <c r="AS904" i="1" s="1"/>
  <c r="K904" i="1" a="1"/>
  <c r="K904" i="1" s="1"/>
  <c r="J904" i="1" a="1"/>
  <c r="J904" i="1" s="1"/>
  <c r="F904" i="1" a="1"/>
  <c r="F904" i="1" s="1"/>
  <c r="AZ902" i="1"/>
  <c r="AY902" i="1"/>
  <c r="AX902" i="1"/>
  <c r="AW902" i="1"/>
  <c r="AT902" i="1" a="1"/>
  <c r="AT902" i="1" s="1"/>
  <c r="AU902" i="1" s="1"/>
  <c r="AS902" i="1" a="1"/>
  <c r="AS902" i="1" s="1"/>
  <c r="K902" i="1" a="1"/>
  <c r="K902" i="1" s="1"/>
  <c r="J902" i="1" a="1"/>
  <c r="J902" i="1" s="1"/>
  <c r="F902" i="1" a="1"/>
  <c r="F902" i="1" s="1"/>
  <c r="AZ901" i="1"/>
  <c r="AY901" i="1"/>
  <c r="AX901" i="1"/>
  <c r="AW901" i="1"/>
  <c r="AT901" i="1" a="1"/>
  <c r="AT901" i="1" s="1"/>
  <c r="AU901" i="1" s="1"/>
  <c r="AS901" i="1" a="1"/>
  <c r="AS901" i="1" s="1"/>
  <c r="K901" i="1" a="1"/>
  <c r="K901" i="1" s="1"/>
  <c r="J901" i="1" a="1"/>
  <c r="J901" i="1" s="1"/>
  <c r="F901" i="1" a="1"/>
  <c r="F901" i="1" s="1"/>
  <c r="AZ900" i="1"/>
  <c r="AY900" i="1"/>
  <c r="AX900" i="1"/>
  <c r="AW900" i="1"/>
  <c r="AT900" i="1" a="1"/>
  <c r="AT900" i="1" s="1"/>
  <c r="AU900" i="1" s="1"/>
  <c r="AS900" i="1" a="1"/>
  <c r="AS900" i="1" s="1"/>
  <c r="K900" i="1" a="1"/>
  <c r="K900" i="1" s="1"/>
  <c r="J900" i="1" a="1"/>
  <c r="J900" i="1" s="1"/>
  <c r="F900" i="1" a="1"/>
  <c r="F900" i="1" s="1"/>
  <c r="AZ899" i="1"/>
  <c r="AY899" i="1"/>
  <c r="AX899" i="1"/>
  <c r="AW899" i="1"/>
  <c r="AT899" i="1" a="1"/>
  <c r="AT899" i="1" s="1"/>
  <c r="AU899" i="1" s="1"/>
  <c r="AS899" i="1" a="1"/>
  <c r="AS899" i="1" s="1"/>
  <c r="K899" i="1" a="1"/>
  <c r="K899" i="1" s="1"/>
  <c r="J899" i="1" a="1"/>
  <c r="J899" i="1" s="1"/>
  <c r="F899" i="1" a="1"/>
  <c r="F899" i="1" s="1"/>
  <c r="AZ898" i="1"/>
  <c r="AY898" i="1"/>
  <c r="AX898" i="1"/>
  <c r="AW898" i="1"/>
  <c r="AT898" i="1" a="1"/>
  <c r="AT898" i="1" s="1"/>
  <c r="AU898" i="1" s="1"/>
  <c r="AS898" i="1" a="1"/>
  <c r="AS898" i="1" s="1"/>
  <c r="K898" i="1" a="1"/>
  <c r="K898" i="1" s="1"/>
  <c r="J898" i="1" a="1"/>
  <c r="J898" i="1" s="1"/>
  <c r="F898" i="1" a="1"/>
  <c r="F898" i="1" s="1"/>
  <c r="AZ897" i="1"/>
  <c r="AY897" i="1"/>
  <c r="AX897" i="1"/>
  <c r="AW897" i="1"/>
  <c r="AT897" i="1" a="1"/>
  <c r="AT897" i="1" s="1"/>
  <c r="AU897" i="1" s="1"/>
  <c r="AS897" i="1" a="1"/>
  <c r="AS897" i="1" s="1"/>
  <c r="K897" i="1" a="1"/>
  <c r="K897" i="1" s="1"/>
  <c r="J897" i="1" a="1"/>
  <c r="J897" i="1" s="1"/>
  <c r="F897" i="1" a="1"/>
  <c r="F897" i="1" s="1"/>
  <c r="AZ896" i="1"/>
  <c r="AY896" i="1"/>
  <c r="AX896" i="1"/>
  <c r="AW896" i="1"/>
  <c r="AT896" i="1" a="1"/>
  <c r="AT896" i="1" s="1"/>
  <c r="AU896" i="1" s="1"/>
  <c r="AS896" i="1" a="1"/>
  <c r="AS896" i="1" s="1"/>
  <c r="K896" i="1" a="1"/>
  <c r="K896" i="1" s="1"/>
  <c r="J896" i="1" a="1"/>
  <c r="J896" i="1" s="1"/>
  <c r="F896" i="1" a="1"/>
  <c r="F896" i="1" s="1"/>
  <c r="AZ895" i="1"/>
  <c r="AY895" i="1"/>
  <c r="AX895" i="1"/>
  <c r="AW895" i="1"/>
  <c r="AT895" i="1" a="1"/>
  <c r="AT895" i="1" s="1"/>
  <c r="AU895" i="1" s="1"/>
  <c r="AS895" i="1" a="1"/>
  <c r="AS895" i="1" s="1"/>
  <c r="K895" i="1" a="1"/>
  <c r="K895" i="1" s="1"/>
  <c r="J895" i="1" a="1"/>
  <c r="J895" i="1" s="1"/>
  <c r="F895" i="1" a="1"/>
  <c r="F895" i="1" s="1"/>
  <c r="AZ894" i="1"/>
  <c r="AY894" i="1"/>
  <c r="AX894" i="1"/>
  <c r="AW894" i="1"/>
  <c r="AT894" i="1" a="1"/>
  <c r="AT894" i="1" s="1"/>
  <c r="AU894" i="1" s="1"/>
  <c r="AS894" i="1" a="1"/>
  <c r="AS894" i="1" s="1"/>
  <c r="K894" i="1" a="1"/>
  <c r="K894" i="1" s="1"/>
  <c r="J894" i="1" a="1"/>
  <c r="J894" i="1" s="1"/>
  <c r="F894" i="1" a="1"/>
  <c r="F894" i="1" s="1"/>
  <c r="AZ893" i="1"/>
  <c r="AY893" i="1"/>
  <c r="AX893" i="1"/>
  <c r="AW893" i="1"/>
  <c r="AT893" i="1" a="1"/>
  <c r="AT893" i="1" s="1"/>
  <c r="AU893" i="1" s="1"/>
  <c r="AS893" i="1" a="1"/>
  <c r="AS893" i="1" s="1"/>
  <c r="K893" i="1" a="1"/>
  <c r="K893" i="1" s="1"/>
  <c r="J893" i="1" a="1"/>
  <c r="J893" i="1" s="1"/>
  <c r="F893" i="1" a="1"/>
  <c r="F893" i="1" s="1"/>
  <c r="AZ891" i="1"/>
  <c r="AY891" i="1"/>
  <c r="AX891" i="1"/>
  <c r="AW891" i="1"/>
  <c r="AT891" i="1" a="1"/>
  <c r="AT891" i="1" s="1"/>
  <c r="AU891" i="1" s="1"/>
  <c r="AS891" i="1" a="1"/>
  <c r="AS891" i="1" s="1"/>
  <c r="K891" i="1" a="1"/>
  <c r="K891" i="1" s="1"/>
  <c r="J891" i="1" a="1"/>
  <c r="J891" i="1" s="1"/>
  <c r="F891" i="1" a="1"/>
  <c r="F891" i="1" s="1"/>
  <c r="AZ890" i="1"/>
  <c r="AY890" i="1"/>
  <c r="AX890" i="1"/>
  <c r="AW890" i="1"/>
  <c r="AT890" i="1" a="1"/>
  <c r="AT890" i="1" s="1"/>
  <c r="AU890" i="1" s="1"/>
  <c r="AS890" i="1" a="1"/>
  <c r="AS890" i="1" s="1"/>
  <c r="K890" i="1" a="1"/>
  <c r="K890" i="1" s="1"/>
  <c r="J890" i="1" a="1"/>
  <c r="J890" i="1" s="1"/>
  <c r="F890" i="1" a="1"/>
  <c r="F890" i="1" s="1"/>
  <c r="AZ889" i="1"/>
  <c r="AY889" i="1"/>
  <c r="AX889" i="1"/>
  <c r="AW889" i="1"/>
  <c r="AT889" i="1" a="1"/>
  <c r="AT889" i="1" s="1"/>
  <c r="AU889" i="1" s="1"/>
  <c r="AS889" i="1" a="1"/>
  <c r="AS889" i="1" s="1"/>
  <c r="K889" i="1" a="1"/>
  <c r="K889" i="1" s="1"/>
  <c r="J889" i="1" a="1"/>
  <c r="J889" i="1" s="1"/>
  <c r="F889" i="1" a="1"/>
  <c r="F889" i="1" s="1"/>
  <c r="AZ888" i="1"/>
  <c r="AY888" i="1"/>
  <c r="AX888" i="1"/>
  <c r="AW888" i="1"/>
  <c r="AT888" i="1" a="1"/>
  <c r="AT888" i="1" s="1"/>
  <c r="AU888" i="1" s="1"/>
  <c r="AS888" i="1" a="1"/>
  <c r="AS888" i="1" s="1"/>
  <c r="K888" i="1" a="1"/>
  <c r="K888" i="1" s="1"/>
  <c r="J888" i="1" a="1"/>
  <c r="J888" i="1" s="1"/>
  <c r="F888" i="1" a="1"/>
  <c r="F888" i="1" s="1"/>
  <c r="AZ887" i="1"/>
  <c r="AY887" i="1"/>
  <c r="AX887" i="1"/>
  <c r="AW887" i="1"/>
  <c r="AT887" i="1" a="1"/>
  <c r="AT887" i="1" s="1"/>
  <c r="AU887" i="1" s="1"/>
  <c r="AS887" i="1" a="1"/>
  <c r="AS887" i="1" s="1"/>
  <c r="K887" i="1" a="1"/>
  <c r="K887" i="1" s="1"/>
  <c r="J887" i="1" a="1"/>
  <c r="J887" i="1" s="1"/>
  <c r="F887" i="1" a="1"/>
  <c r="F887" i="1" s="1"/>
  <c r="AZ886" i="1"/>
  <c r="AY886" i="1"/>
  <c r="AX886" i="1"/>
  <c r="AW886" i="1"/>
  <c r="AT886" i="1" a="1"/>
  <c r="AT886" i="1" s="1"/>
  <c r="AU886" i="1" s="1"/>
  <c r="AS886" i="1" a="1"/>
  <c r="AS886" i="1" s="1"/>
  <c r="K886" i="1" a="1"/>
  <c r="K886" i="1" s="1"/>
  <c r="J886" i="1" a="1"/>
  <c r="J886" i="1" s="1"/>
  <c r="F886" i="1" a="1"/>
  <c r="F886" i="1" s="1"/>
  <c r="AZ885" i="1"/>
  <c r="AY885" i="1"/>
  <c r="AX885" i="1"/>
  <c r="AW885" i="1"/>
  <c r="AT885" i="1" a="1"/>
  <c r="AT885" i="1" s="1"/>
  <c r="AU885" i="1" s="1"/>
  <c r="AS885" i="1" a="1"/>
  <c r="AS885" i="1" s="1"/>
  <c r="K885" i="1" a="1"/>
  <c r="K885" i="1" s="1"/>
  <c r="J885" i="1" a="1"/>
  <c r="J885" i="1" s="1"/>
  <c r="F885" i="1" a="1"/>
  <c r="F885" i="1" s="1"/>
  <c r="AZ884" i="1"/>
  <c r="AY884" i="1"/>
  <c r="AX884" i="1"/>
  <c r="AW884" i="1"/>
  <c r="AT884" i="1" a="1"/>
  <c r="AT884" i="1" s="1"/>
  <c r="AU884" i="1" s="1"/>
  <c r="AS884" i="1" a="1"/>
  <c r="AS884" i="1" s="1"/>
  <c r="K884" i="1" a="1"/>
  <c r="K884" i="1" s="1"/>
  <c r="J884" i="1" a="1"/>
  <c r="J884" i="1" s="1"/>
  <c r="F884" i="1" a="1"/>
  <c r="F884" i="1" s="1"/>
  <c r="E884" i="1" s="1" a="1"/>
  <c r="E884" i="1" s="1"/>
  <c r="AZ883" i="1"/>
  <c r="AY883" i="1"/>
  <c r="AX883" i="1"/>
  <c r="AW883" i="1"/>
  <c r="AT883" i="1" a="1"/>
  <c r="AT883" i="1" s="1"/>
  <c r="AU883" i="1" s="1"/>
  <c r="AS883" i="1" a="1"/>
  <c r="AS883" i="1" s="1"/>
  <c r="K883" i="1" a="1"/>
  <c r="K883" i="1" s="1"/>
  <c r="J883" i="1" a="1"/>
  <c r="J883" i="1" s="1"/>
  <c r="F883" i="1" a="1"/>
  <c r="F883" i="1" s="1"/>
  <c r="AZ882" i="1"/>
  <c r="AY882" i="1"/>
  <c r="AX882" i="1"/>
  <c r="AW882" i="1"/>
  <c r="AT882" i="1" a="1"/>
  <c r="AT882" i="1" s="1"/>
  <c r="AU882" i="1" s="1"/>
  <c r="AS882" i="1" a="1"/>
  <c r="AS882" i="1" s="1"/>
  <c r="K882" i="1" a="1"/>
  <c r="K882" i="1" s="1"/>
  <c r="J882" i="1" a="1"/>
  <c r="J882" i="1" s="1"/>
  <c r="F882" i="1" a="1"/>
  <c r="F882" i="1" s="1"/>
  <c r="AZ880" i="1"/>
  <c r="AY880" i="1"/>
  <c r="AX880" i="1"/>
  <c r="AW880" i="1"/>
  <c r="AT880" i="1" a="1"/>
  <c r="AT880" i="1" s="1"/>
  <c r="AU880" i="1" s="1"/>
  <c r="AS880" i="1" a="1"/>
  <c r="AS880" i="1" s="1"/>
  <c r="BO880" i="1" a="1"/>
  <c r="BO880" i="1" s="1"/>
  <c r="K880" i="1"/>
  <c r="J880" i="1" a="1"/>
  <c r="J880" i="1" s="1"/>
  <c r="F880" i="1" a="1"/>
  <c r="F880" i="1" s="1"/>
  <c r="AZ879" i="1"/>
  <c r="AY879" i="1"/>
  <c r="AX879" i="1"/>
  <c r="AW879" i="1"/>
  <c r="AT879" i="1" a="1"/>
  <c r="AT879" i="1" s="1"/>
  <c r="AU879" i="1" s="1"/>
  <c r="AS879" i="1" a="1"/>
  <c r="AS879" i="1" s="1"/>
  <c r="BO879" i="1" a="1"/>
  <c r="BO879" i="1" s="1"/>
  <c r="K879" i="1"/>
  <c r="J879" i="1" a="1"/>
  <c r="J879" i="1" s="1"/>
  <c r="F879" i="1" a="1"/>
  <c r="F879" i="1" s="1"/>
  <c r="E879" i="1" s="1" a="1"/>
  <c r="E879" i="1" s="1"/>
  <c r="AZ878" i="1"/>
  <c r="AY878" i="1"/>
  <c r="AX878" i="1"/>
  <c r="AW878" i="1"/>
  <c r="AT878" i="1" a="1"/>
  <c r="AT878" i="1" s="1"/>
  <c r="AU878" i="1" s="1"/>
  <c r="AS878" i="1" a="1"/>
  <c r="AS878" i="1" s="1"/>
  <c r="BO878" i="1" a="1"/>
  <c r="BO878" i="1" s="1"/>
  <c r="K878" i="1"/>
  <c r="J878" i="1" a="1"/>
  <c r="J878" i="1" s="1"/>
  <c r="F878" i="1" a="1"/>
  <c r="F878" i="1" s="1"/>
  <c r="AZ877" i="1"/>
  <c r="AY877" i="1"/>
  <c r="AX877" i="1"/>
  <c r="AW877" i="1"/>
  <c r="AT877" i="1" a="1"/>
  <c r="AT877" i="1" s="1"/>
  <c r="AU877" i="1" s="1"/>
  <c r="AS877" i="1" a="1"/>
  <c r="AS877" i="1" s="1"/>
  <c r="BO877" i="1" a="1"/>
  <c r="BO877" i="1" s="1"/>
  <c r="K877" i="1"/>
  <c r="J877" i="1" a="1"/>
  <c r="J877" i="1" s="1"/>
  <c r="F877" i="1" a="1"/>
  <c r="F877" i="1" s="1"/>
  <c r="AZ876" i="1"/>
  <c r="AY876" i="1"/>
  <c r="AX876" i="1"/>
  <c r="AW876" i="1"/>
  <c r="AT876" i="1" a="1"/>
  <c r="AT876" i="1" s="1"/>
  <c r="AU876" i="1" s="1"/>
  <c r="AS876" i="1" a="1"/>
  <c r="AS876" i="1" s="1"/>
  <c r="BO876" i="1" a="1"/>
  <c r="BO876" i="1" s="1"/>
  <c r="K876" i="1"/>
  <c r="J876" i="1" a="1"/>
  <c r="J876" i="1" s="1"/>
  <c r="F876" i="1" a="1"/>
  <c r="F876" i="1" s="1"/>
  <c r="AZ875" i="1"/>
  <c r="AY875" i="1"/>
  <c r="AX875" i="1"/>
  <c r="AW875" i="1"/>
  <c r="AT875" i="1" a="1"/>
  <c r="AT875" i="1" s="1"/>
  <c r="AU875" i="1" s="1"/>
  <c r="AS875" i="1" a="1"/>
  <c r="AS875" i="1" s="1"/>
  <c r="BO875" i="1" a="1"/>
  <c r="BO875" i="1" s="1"/>
  <c r="K875" i="1"/>
  <c r="J875" i="1" a="1"/>
  <c r="J875" i="1" s="1"/>
  <c r="F875" i="1" a="1"/>
  <c r="F875" i="1" s="1"/>
  <c r="AZ874" i="1"/>
  <c r="AY874" i="1"/>
  <c r="AX874" i="1"/>
  <c r="AW874" i="1"/>
  <c r="AT874" i="1" a="1"/>
  <c r="AT874" i="1" s="1"/>
  <c r="AU874" i="1" s="1"/>
  <c r="AS874" i="1" a="1"/>
  <c r="AS874" i="1" s="1"/>
  <c r="BO874" i="1" a="1"/>
  <c r="BO874" i="1" s="1"/>
  <c r="K874" i="1"/>
  <c r="J874" i="1" a="1"/>
  <c r="J874" i="1" s="1"/>
  <c r="F874" i="1" a="1"/>
  <c r="F874" i="1" s="1"/>
  <c r="AZ873" i="1"/>
  <c r="AY873" i="1"/>
  <c r="AX873" i="1"/>
  <c r="AW873" i="1"/>
  <c r="AT873" i="1" a="1"/>
  <c r="AT873" i="1" s="1"/>
  <c r="AU873" i="1" s="1"/>
  <c r="AS873" i="1" a="1"/>
  <c r="AS873" i="1" s="1"/>
  <c r="BO873" i="1" a="1"/>
  <c r="BO873" i="1" s="1"/>
  <c r="K873" i="1"/>
  <c r="J873" i="1" a="1"/>
  <c r="J873" i="1" s="1"/>
  <c r="F873" i="1" a="1"/>
  <c r="F873" i="1" s="1"/>
  <c r="E873" i="1" s="1" a="1"/>
  <c r="E873" i="1" s="1"/>
  <c r="AZ872" i="1"/>
  <c r="AY872" i="1"/>
  <c r="AX872" i="1"/>
  <c r="AW872" i="1"/>
  <c r="AT872" i="1" a="1"/>
  <c r="AT872" i="1" s="1"/>
  <c r="AU872" i="1" s="1"/>
  <c r="AS872" i="1" a="1"/>
  <c r="AS872" i="1" s="1"/>
  <c r="BO872" i="1" a="1"/>
  <c r="BO872" i="1" s="1"/>
  <c r="K872" i="1"/>
  <c r="J872" i="1" a="1"/>
  <c r="J872" i="1" s="1"/>
  <c r="F872" i="1" a="1"/>
  <c r="F872" i="1" s="1"/>
  <c r="AZ871" i="1"/>
  <c r="AY871" i="1"/>
  <c r="AX871" i="1"/>
  <c r="AW871" i="1"/>
  <c r="AT871" i="1" a="1"/>
  <c r="AT871" i="1" s="1"/>
  <c r="AU871" i="1" s="1"/>
  <c r="AS871" i="1" a="1"/>
  <c r="AS871" i="1" s="1"/>
  <c r="BO871" i="1" a="1"/>
  <c r="BO871" i="1" s="1"/>
  <c r="K871" i="1"/>
  <c r="J871" i="1" a="1"/>
  <c r="J871" i="1" s="1"/>
  <c r="F871" i="1" a="1"/>
  <c r="F871" i="1" s="1"/>
  <c r="AZ869" i="1"/>
  <c r="AY869" i="1"/>
  <c r="AX869" i="1"/>
  <c r="AW869" i="1"/>
  <c r="AT869" i="1" a="1"/>
  <c r="AT869" i="1" s="1"/>
  <c r="AU869" i="1" s="1"/>
  <c r="AS869" i="1" a="1"/>
  <c r="AS869" i="1" s="1"/>
  <c r="K869" i="1" a="1"/>
  <c r="K869" i="1" s="1"/>
  <c r="J869" i="1" a="1"/>
  <c r="J869" i="1" s="1"/>
  <c r="F869" i="1" a="1"/>
  <c r="F869" i="1" s="1"/>
  <c r="AZ868" i="1"/>
  <c r="AY868" i="1"/>
  <c r="AX868" i="1"/>
  <c r="AW868" i="1"/>
  <c r="AT868" i="1" a="1"/>
  <c r="AT868" i="1" s="1"/>
  <c r="AU868" i="1" s="1"/>
  <c r="AS868" i="1" a="1"/>
  <c r="AS868" i="1" s="1"/>
  <c r="K868" i="1" a="1"/>
  <c r="K868" i="1" s="1"/>
  <c r="J868" i="1" a="1"/>
  <c r="J868" i="1" s="1"/>
  <c r="F868" i="1" a="1"/>
  <c r="F868" i="1" s="1"/>
  <c r="AZ867" i="1"/>
  <c r="AY867" i="1"/>
  <c r="AX867" i="1"/>
  <c r="AW867" i="1"/>
  <c r="AT867" i="1" a="1"/>
  <c r="AT867" i="1" s="1"/>
  <c r="AU867" i="1" s="1"/>
  <c r="AS867" i="1" a="1"/>
  <c r="AS867" i="1" s="1"/>
  <c r="K867" i="1" a="1"/>
  <c r="K867" i="1" s="1"/>
  <c r="J867" i="1" a="1"/>
  <c r="J867" i="1" s="1"/>
  <c r="F867" i="1" a="1"/>
  <c r="F867" i="1" s="1"/>
  <c r="AZ866" i="1"/>
  <c r="AY866" i="1"/>
  <c r="AX866" i="1"/>
  <c r="AW866" i="1"/>
  <c r="AT866" i="1" a="1"/>
  <c r="AT866" i="1" s="1"/>
  <c r="AU866" i="1" s="1"/>
  <c r="AS866" i="1" a="1"/>
  <c r="AS866" i="1" s="1"/>
  <c r="K866" i="1" a="1"/>
  <c r="K866" i="1" s="1"/>
  <c r="J866" i="1" a="1"/>
  <c r="J866" i="1" s="1"/>
  <c r="F866" i="1" a="1"/>
  <c r="F866" i="1" s="1"/>
  <c r="E866" i="1" s="1" a="1"/>
  <c r="E866" i="1" s="1"/>
  <c r="AZ865" i="1"/>
  <c r="AY865" i="1"/>
  <c r="AX865" i="1"/>
  <c r="AW865" i="1"/>
  <c r="AT865" i="1" a="1"/>
  <c r="AT865" i="1" s="1"/>
  <c r="AU865" i="1" s="1"/>
  <c r="AS865" i="1" a="1"/>
  <c r="AS865" i="1" s="1"/>
  <c r="K865" i="1" a="1"/>
  <c r="K865" i="1" s="1"/>
  <c r="J865" i="1" a="1"/>
  <c r="J865" i="1" s="1"/>
  <c r="F865" i="1" a="1"/>
  <c r="F865" i="1" s="1"/>
  <c r="AZ864" i="1"/>
  <c r="AY864" i="1"/>
  <c r="AX864" i="1"/>
  <c r="AW864" i="1"/>
  <c r="AT864" i="1" a="1"/>
  <c r="AT864" i="1" s="1"/>
  <c r="AU864" i="1" s="1"/>
  <c r="AS864" i="1" a="1"/>
  <c r="AS864" i="1" s="1"/>
  <c r="K864" i="1" a="1"/>
  <c r="K864" i="1" s="1"/>
  <c r="J864" i="1" a="1"/>
  <c r="J864" i="1" s="1"/>
  <c r="F864" i="1" a="1"/>
  <c r="F864" i="1" s="1"/>
  <c r="AZ863" i="1"/>
  <c r="AY863" i="1"/>
  <c r="AX863" i="1"/>
  <c r="AW863" i="1"/>
  <c r="AT863" i="1" a="1"/>
  <c r="AT863" i="1" s="1"/>
  <c r="AU863" i="1" s="1"/>
  <c r="AS863" i="1" a="1"/>
  <c r="AS863" i="1" s="1"/>
  <c r="K863" i="1" a="1"/>
  <c r="K863" i="1" s="1"/>
  <c r="J863" i="1" a="1"/>
  <c r="J863" i="1" s="1"/>
  <c r="F863" i="1" a="1"/>
  <c r="F863" i="1" s="1"/>
  <c r="AZ862" i="1"/>
  <c r="AY862" i="1"/>
  <c r="AX862" i="1"/>
  <c r="AW862" i="1"/>
  <c r="AT862" i="1" a="1"/>
  <c r="AT862" i="1" s="1"/>
  <c r="AU862" i="1" s="1"/>
  <c r="AS862" i="1" a="1"/>
  <c r="AS862" i="1" s="1"/>
  <c r="K862" i="1" a="1"/>
  <c r="K862" i="1" s="1"/>
  <c r="J862" i="1" a="1"/>
  <c r="J862" i="1" s="1"/>
  <c r="F862" i="1" a="1"/>
  <c r="F862" i="1" s="1"/>
  <c r="E862" i="1" s="1" a="1"/>
  <c r="E862" i="1" s="1"/>
  <c r="AZ861" i="1"/>
  <c r="AY861" i="1"/>
  <c r="AX861" i="1"/>
  <c r="AW861" i="1"/>
  <c r="AT861" i="1" a="1"/>
  <c r="AT861" i="1" s="1"/>
  <c r="AU861" i="1" s="1"/>
  <c r="AS861" i="1" a="1"/>
  <c r="AS861" i="1" s="1"/>
  <c r="K861" i="1" a="1"/>
  <c r="K861" i="1" s="1"/>
  <c r="J861" i="1" a="1"/>
  <c r="J861" i="1" s="1"/>
  <c r="F861" i="1" a="1"/>
  <c r="F861" i="1" s="1"/>
  <c r="AZ860" i="1"/>
  <c r="AY860" i="1"/>
  <c r="AX860" i="1"/>
  <c r="AW860" i="1"/>
  <c r="AT860" i="1" a="1"/>
  <c r="AT860" i="1" s="1"/>
  <c r="AU860" i="1" s="1"/>
  <c r="AS860" i="1" a="1"/>
  <c r="AS860" i="1" s="1"/>
  <c r="K860" i="1" a="1"/>
  <c r="K860" i="1" s="1"/>
  <c r="J860" i="1" a="1"/>
  <c r="J860" i="1" s="1"/>
  <c r="F860" i="1" a="1"/>
  <c r="F860" i="1" s="1"/>
  <c r="AZ858" i="1"/>
  <c r="AY858" i="1"/>
  <c r="AX858" i="1"/>
  <c r="AW858" i="1"/>
  <c r="AT858" i="1" a="1"/>
  <c r="AT858" i="1" s="1"/>
  <c r="AU858" i="1" s="1"/>
  <c r="AS858" i="1" a="1"/>
  <c r="AS858" i="1" s="1"/>
  <c r="K858" i="1" a="1"/>
  <c r="K858" i="1" s="1"/>
  <c r="J858" i="1" a="1"/>
  <c r="J858" i="1" s="1"/>
  <c r="F858" i="1" a="1"/>
  <c r="F858" i="1" s="1"/>
  <c r="AZ857" i="1"/>
  <c r="AY857" i="1"/>
  <c r="AX857" i="1"/>
  <c r="AW857" i="1"/>
  <c r="AT857" i="1" a="1"/>
  <c r="AT857" i="1" s="1"/>
  <c r="AU857" i="1" s="1"/>
  <c r="AS857" i="1" a="1"/>
  <c r="AS857" i="1" s="1"/>
  <c r="K857" i="1" a="1"/>
  <c r="K857" i="1" s="1"/>
  <c r="J857" i="1" a="1"/>
  <c r="J857" i="1" s="1"/>
  <c r="F857" i="1" a="1"/>
  <c r="F857" i="1" s="1"/>
  <c r="AZ856" i="1"/>
  <c r="AY856" i="1"/>
  <c r="AX856" i="1"/>
  <c r="AW856" i="1"/>
  <c r="AT856" i="1" a="1"/>
  <c r="AT856" i="1" s="1"/>
  <c r="AU856" i="1" s="1"/>
  <c r="AS856" i="1" a="1"/>
  <c r="AS856" i="1" s="1"/>
  <c r="K856" i="1" a="1"/>
  <c r="K856" i="1" s="1"/>
  <c r="J856" i="1" a="1"/>
  <c r="J856" i="1" s="1"/>
  <c r="F856" i="1" a="1"/>
  <c r="F856" i="1" s="1"/>
  <c r="AZ855" i="1"/>
  <c r="AY855" i="1"/>
  <c r="AX855" i="1"/>
  <c r="AW855" i="1"/>
  <c r="AT855" i="1" a="1"/>
  <c r="AT855" i="1" s="1"/>
  <c r="AU855" i="1" s="1"/>
  <c r="AS855" i="1" a="1"/>
  <c r="AS855" i="1" s="1"/>
  <c r="K855" i="1" a="1"/>
  <c r="K855" i="1" s="1"/>
  <c r="J855" i="1" a="1"/>
  <c r="J855" i="1" s="1"/>
  <c r="F855" i="1" a="1"/>
  <c r="F855" i="1" s="1"/>
  <c r="AZ854" i="1"/>
  <c r="AY854" i="1"/>
  <c r="AX854" i="1"/>
  <c r="AW854" i="1"/>
  <c r="AT854" i="1" a="1"/>
  <c r="AT854" i="1" s="1"/>
  <c r="AU854" i="1" s="1"/>
  <c r="AS854" i="1" a="1"/>
  <c r="AS854" i="1" s="1"/>
  <c r="K854" i="1" a="1"/>
  <c r="K854" i="1" s="1"/>
  <c r="J854" i="1" a="1"/>
  <c r="J854" i="1" s="1"/>
  <c r="F854" i="1" a="1"/>
  <c r="F854" i="1" s="1"/>
  <c r="AZ853" i="1"/>
  <c r="AY853" i="1"/>
  <c r="AX853" i="1"/>
  <c r="AW853" i="1"/>
  <c r="AT853" i="1" a="1"/>
  <c r="AT853" i="1" s="1"/>
  <c r="AU853" i="1" s="1"/>
  <c r="AS853" i="1" a="1"/>
  <c r="AS853" i="1" s="1"/>
  <c r="K853" i="1" a="1"/>
  <c r="K853" i="1" s="1"/>
  <c r="J853" i="1" a="1"/>
  <c r="J853" i="1" s="1"/>
  <c r="F853" i="1" a="1"/>
  <c r="F853" i="1" s="1"/>
  <c r="AZ852" i="1"/>
  <c r="AY852" i="1"/>
  <c r="AX852" i="1"/>
  <c r="AW852" i="1"/>
  <c r="AT852" i="1" a="1"/>
  <c r="AT852" i="1" s="1"/>
  <c r="AU852" i="1" s="1"/>
  <c r="AS852" i="1" a="1"/>
  <c r="AS852" i="1" s="1"/>
  <c r="K852" i="1" a="1"/>
  <c r="K852" i="1" s="1"/>
  <c r="J852" i="1" a="1"/>
  <c r="J852" i="1" s="1"/>
  <c r="F852" i="1" a="1"/>
  <c r="F852" i="1" s="1"/>
  <c r="AZ851" i="1"/>
  <c r="AY851" i="1"/>
  <c r="AX851" i="1"/>
  <c r="AW851" i="1"/>
  <c r="AT851" i="1" a="1"/>
  <c r="AT851" i="1" s="1"/>
  <c r="AU851" i="1" s="1"/>
  <c r="AS851" i="1" a="1"/>
  <c r="AS851" i="1" s="1"/>
  <c r="K851" i="1" a="1"/>
  <c r="K851" i="1" s="1"/>
  <c r="J851" i="1" a="1"/>
  <c r="J851" i="1" s="1"/>
  <c r="F851" i="1" a="1"/>
  <c r="F851" i="1" s="1"/>
  <c r="E851" i="1" s="1" a="1"/>
  <c r="E851" i="1" s="1"/>
  <c r="AZ850" i="1"/>
  <c r="AY850" i="1"/>
  <c r="AX850" i="1"/>
  <c r="AW850" i="1"/>
  <c r="AT850" i="1" a="1"/>
  <c r="AT850" i="1" s="1"/>
  <c r="AU850" i="1" s="1"/>
  <c r="AS850" i="1" a="1"/>
  <c r="AS850" i="1" s="1"/>
  <c r="K850" i="1" a="1"/>
  <c r="K850" i="1" s="1"/>
  <c r="J850" i="1" a="1"/>
  <c r="J850" i="1" s="1"/>
  <c r="F850" i="1" a="1"/>
  <c r="F850" i="1" s="1"/>
  <c r="AZ849" i="1"/>
  <c r="AY849" i="1"/>
  <c r="AX849" i="1"/>
  <c r="AW849" i="1"/>
  <c r="AT849" i="1" a="1"/>
  <c r="AT849" i="1" s="1"/>
  <c r="AU849" i="1" s="1"/>
  <c r="AS849" i="1" a="1"/>
  <c r="AS849" i="1" s="1"/>
  <c r="K849" i="1" a="1"/>
  <c r="K849" i="1" s="1"/>
  <c r="J849" i="1" a="1"/>
  <c r="J849" i="1" s="1"/>
  <c r="F849" i="1" a="1"/>
  <c r="F849" i="1" s="1"/>
  <c r="BO847" i="1" a="1"/>
  <c r="BO847" i="1" s="1"/>
  <c r="AZ847" i="1"/>
  <c r="AY847" i="1"/>
  <c r="AX847" i="1"/>
  <c r="AW847" i="1"/>
  <c r="AT847" i="1" a="1"/>
  <c r="AT847" i="1" s="1"/>
  <c r="AU847" i="1" s="1"/>
  <c r="AS847" i="1" a="1"/>
  <c r="AS847" i="1" s="1"/>
  <c r="K847" i="1"/>
  <c r="J847" i="1" a="1"/>
  <c r="J847" i="1" s="1"/>
  <c r="F847" i="1" a="1"/>
  <c r="F847" i="1" s="1"/>
  <c r="BO846" i="1" a="1"/>
  <c r="BO846" i="1" s="1"/>
  <c r="AZ846" i="1"/>
  <c r="AY846" i="1"/>
  <c r="AX846" i="1"/>
  <c r="AW846" i="1"/>
  <c r="AT846" i="1" a="1"/>
  <c r="AT846" i="1" s="1"/>
  <c r="AU846" i="1" s="1"/>
  <c r="AS846" i="1" a="1"/>
  <c r="AS846" i="1" s="1"/>
  <c r="K846" i="1"/>
  <c r="J846" i="1" a="1"/>
  <c r="J846" i="1" s="1"/>
  <c r="F846" i="1" a="1"/>
  <c r="F846" i="1" s="1"/>
  <c r="BO845" i="1" a="1"/>
  <c r="BO845" i="1" s="1"/>
  <c r="AZ845" i="1"/>
  <c r="AY845" i="1"/>
  <c r="AX845" i="1"/>
  <c r="AW845" i="1"/>
  <c r="AT845" i="1" a="1"/>
  <c r="AT845" i="1" s="1"/>
  <c r="AU845" i="1" s="1"/>
  <c r="AS845" i="1" a="1"/>
  <c r="AS845" i="1" s="1"/>
  <c r="K845" i="1"/>
  <c r="J845" i="1" a="1"/>
  <c r="J845" i="1" s="1"/>
  <c r="F845" i="1" a="1"/>
  <c r="F845" i="1" s="1"/>
  <c r="BO844" i="1" a="1"/>
  <c r="BO844" i="1" s="1"/>
  <c r="AZ844" i="1"/>
  <c r="AY844" i="1"/>
  <c r="AX844" i="1"/>
  <c r="AW844" i="1"/>
  <c r="AT844" i="1" a="1"/>
  <c r="AT844" i="1" s="1"/>
  <c r="AU844" i="1" s="1"/>
  <c r="AS844" i="1" a="1"/>
  <c r="AS844" i="1" s="1"/>
  <c r="K844" i="1"/>
  <c r="J844" i="1" a="1"/>
  <c r="J844" i="1" s="1"/>
  <c r="F844" i="1" a="1"/>
  <c r="F844" i="1" s="1"/>
  <c r="BO843" i="1" a="1"/>
  <c r="BO843" i="1" s="1"/>
  <c r="AZ843" i="1"/>
  <c r="AY843" i="1"/>
  <c r="AX843" i="1"/>
  <c r="AW843" i="1"/>
  <c r="AT843" i="1" a="1"/>
  <c r="AT843" i="1" s="1"/>
  <c r="AU843" i="1" s="1"/>
  <c r="AS843" i="1" a="1"/>
  <c r="AS843" i="1" s="1"/>
  <c r="K843" i="1"/>
  <c r="J843" i="1" a="1"/>
  <c r="J843" i="1" s="1"/>
  <c r="F843" i="1" a="1"/>
  <c r="F843" i="1" s="1"/>
  <c r="BO842" i="1" a="1"/>
  <c r="BO842" i="1" s="1"/>
  <c r="AZ842" i="1"/>
  <c r="AY842" i="1"/>
  <c r="AX842" i="1"/>
  <c r="AW842" i="1"/>
  <c r="AT842" i="1" a="1"/>
  <c r="AT842" i="1" s="1"/>
  <c r="AU842" i="1" s="1"/>
  <c r="AS842" i="1" a="1"/>
  <c r="AS842" i="1" s="1"/>
  <c r="K842" i="1"/>
  <c r="J842" i="1" a="1"/>
  <c r="J842" i="1" s="1"/>
  <c r="F842" i="1" a="1"/>
  <c r="F842" i="1" s="1"/>
  <c r="BO841" i="1" a="1"/>
  <c r="BO841" i="1" s="1"/>
  <c r="AZ841" i="1"/>
  <c r="AY841" i="1"/>
  <c r="AX841" i="1"/>
  <c r="AW841" i="1"/>
  <c r="AT841" i="1" a="1"/>
  <c r="AT841" i="1" s="1"/>
  <c r="AU841" i="1" s="1"/>
  <c r="AS841" i="1" a="1"/>
  <c r="AS841" i="1" s="1"/>
  <c r="K841" i="1"/>
  <c r="J841" i="1" a="1"/>
  <c r="J841" i="1" s="1"/>
  <c r="F841" i="1" a="1"/>
  <c r="F841" i="1" s="1"/>
  <c r="BO840" i="1" a="1"/>
  <c r="BO840" i="1" s="1"/>
  <c r="AZ840" i="1"/>
  <c r="AY840" i="1"/>
  <c r="AX840" i="1"/>
  <c r="AW840" i="1"/>
  <c r="AT840" i="1" a="1"/>
  <c r="AT840" i="1" s="1"/>
  <c r="AU840" i="1" s="1"/>
  <c r="AS840" i="1" a="1"/>
  <c r="AS840" i="1" s="1"/>
  <c r="K840" i="1"/>
  <c r="J840" i="1" a="1"/>
  <c r="J840" i="1" s="1"/>
  <c r="F840" i="1" a="1"/>
  <c r="F840" i="1" s="1"/>
  <c r="BO839" i="1" a="1"/>
  <c r="BO839" i="1" s="1"/>
  <c r="AZ839" i="1"/>
  <c r="AY839" i="1"/>
  <c r="AX839" i="1"/>
  <c r="AW839" i="1"/>
  <c r="AT839" i="1" a="1"/>
  <c r="AT839" i="1" s="1"/>
  <c r="AU839" i="1" s="1"/>
  <c r="AS839" i="1" a="1"/>
  <c r="AS839" i="1" s="1"/>
  <c r="K839" i="1"/>
  <c r="J839" i="1" a="1"/>
  <c r="J839" i="1" s="1"/>
  <c r="F839" i="1" a="1"/>
  <c r="F839" i="1" s="1"/>
  <c r="BO838" i="1" a="1"/>
  <c r="BO838" i="1" s="1"/>
  <c r="AZ838" i="1"/>
  <c r="AY838" i="1"/>
  <c r="AX838" i="1"/>
  <c r="AW838" i="1"/>
  <c r="AT838" i="1" a="1"/>
  <c r="AT838" i="1" s="1"/>
  <c r="AU838" i="1" s="1"/>
  <c r="AS838" i="1" a="1"/>
  <c r="AS838" i="1" s="1"/>
  <c r="K838" i="1"/>
  <c r="J838" i="1" a="1"/>
  <c r="J838" i="1" s="1"/>
  <c r="F838" i="1" a="1"/>
  <c r="F838" i="1" s="1"/>
  <c r="AW991" i="1"/>
  <c r="BL991" i="1" s="1" a="1"/>
  <c r="BL991" i="1" s="1"/>
  <c r="AT991" i="1" a="1"/>
  <c r="AT991" i="1" s="1"/>
  <c r="AU991" i="1" s="1"/>
  <c r="AS991" i="1" a="1"/>
  <c r="AS991" i="1" s="1"/>
  <c r="K991" i="1" a="1"/>
  <c r="K991" i="1" s="1"/>
  <c r="J991" i="1" a="1"/>
  <c r="J991" i="1" s="1"/>
  <c r="F991" i="1" a="1"/>
  <c r="F991" i="1" s="1"/>
  <c r="AY2697" i="1"/>
  <c r="BK2697" i="1" s="1" a="1"/>
  <c r="BK2697" i="1" s="1"/>
  <c r="AX2697" i="1"/>
  <c r="AW2697" i="1"/>
  <c r="F2697" i="1" a="1"/>
  <c r="F2697" i="1" s="1"/>
  <c r="AY2696" i="1"/>
  <c r="BK2696" i="1" s="1" a="1"/>
  <c r="BK2696" i="1" s="1"/>
  <c r="AX2696" i="1"/>
  <c r="AW2696" i="1"/>
  <c r="F2696" i="1" a="1"/>
  <c r="F2696" i="1" s="1"/>
  <c r="AY2695" i="1"/>
  <c r="BK2695" i="1" s="1" a="1"/>
  <c r="BK2695" i="1" s="1"/>
  <c r="AX2695" i="1"/>
  <c r="AW2695" i="1"/>
  <c r="F2695" i="1" a="1"/>
  <c r="F2695" i="1" s="1"/>
  <c r="AY2694" i="1"/>
  <c r="BK2694" i="1" s="1" a="1"/>
  <c r="BK2694" i="1" s="1"/>
  <c r="AX2694" i="1"/>
  <c r="AW2694" i="1"/>
  <c r="F2694" i="1" a="1"/>
  <c r="F2694" i="1" s="1"/>
  <c r="AY2693" i="1"/>
  <c r="BN2693" i="1" s="1" a="1"/>
  <c r="BN2693" i="1" s="1"/>
  <c r="AX2693" i="1"/>
  <c r="AW2693" i="1"/>
  <c r="F2693" i="1" a="1"/>
  <c r="F2693" i="1" s="1"/>
  <c r="E2693" i="1" s="1" a="1"/>
  <c r="E2693" i="1" s="1"/>
  <c r="AY2692" i="1"/>
  <c r="BN2692" i="1" s="1" a="1"/>
  <c r="BN2692" i="1" s="1"/>
  <c r="AX2692" i="1"/>
  <c r="AW2692" i="1"/>
  <c r="F2692" i="1" a="1"/>
  <c r="F2692" i="1" s="1"/>
  <c r="E2692" i="1" s="1" a="1"/>
  <c r="E2692" i="1" s="1"/>
  <c r="AY2691" i="1"/>
  <c r="BK2691" i="1" s="1" a="1"/>
  <c r="BK2691" i="1" s="1"/>
  <c r="AX2691" i="1"/>
  <c r="AW2691" i="1"/>
  <c r="F2691" i="1" a="1"/>
  <c r="F2691" i="1" s="1"/>
  <c r="E2691" i="1" s="1" a="1"/>
  <c r="E2691" i="1" s="1"/>
  <c r="AY2690" i="1"/>
  <c r="BN2690" i="1" s="1" a="1"/>
  <c r="BN2690" i="1" s="1"/>
  <c r="AX2690" i="1"/>
  <c r="AW2690" i="1"/>
  <c r="F2690" i="1" a="1"/>
  <c r="F2690" i="1" s="1"/>
  <c r="E2690" i="1" s="1" a="1"/>
  <c r="E2690" i="1" s="1"/>
  <c r="AY2689" i="1"/>
  <c r="BI2689" i="1" s="1" a="1"/>
  <c r="BI2689" i="1" s="1"/>
  <c r="AX2689" i="1"/>
  <c r="AW2689" i="1"/>
  <c r="F2689" i="1" a="1"/>
  <c r="F2689" i="1" s="1"/>
  <c r="E2689" i="1" s="1" a="1"/>
  <c r="E2689" i="1" s="1"/>
  <c r="AY2688" i="1"/>
  <c r="BK2688" i="1" s="1" a="1"/>
  <c r="BK2688" i="1" s="1"/>
  <c r="AX2688" i="1"/>
  <c r="AW2688" i="1"/>
  <c r="F2688" i="1" a="1"/>
  <c r="F2688" i="1" s="1"/>
  <c r="E2688" i="1" s="1" a="1"/>
  <c r="E2688" i="1" s="1"/>
  <c r="AY2686" i="1"/>
  <c r="BI2686" i="1" s="1" a="1"/>
  <c r="BI2686" i="1" s="1"/>
  <c r="AX2686" i="1"/>
  <c r="AW2686" i="1"/>
  <c r="F2686" i="1" a="1"/>
  <c r="F2686" i="1" s="1"/>
  <c r="AY2685" i="1"/>
  <c r="BK2685" i="1" s="1" a="1"/>
  <c r="BK2685" i="1" s="1"/>
  <c r="AX2685" i="1"/>
  <c r="AW2685" i="1"/>
  <c r="F2685" i="1" a="1"/>
  <c r="F2685" i="1" s="1"/>
  <c r="AY2684" i="1"/>
  <c r="BK2684" i="1" s="1" a="1"/>
  <c r="BK2684" i="1" s="1"/>
  <c r="AX2684" i="1"/>
  <c r="AW2684" i="1"/>
  <c r="F2684" i="1" a="1"/>
  <c r="F2684" i="1" s="1"/>
  <c r="AY2683" i="1"/>
  <c r="BK2683" i="1" s="1" a="1"/>
  <c r="BK2683" i="1" s="1"/>
  <c r="AX2683" i="1"/>
  <c r="AW2683" i="1"/>
  <c r="F2683" i="1" a="1"/>
  <c r="F2683" i="1" s="1"/>
  <c r="AY2682" i="1"/>
  <c r="BK2682" i="1" s="1" a="1"/>
  <c r="BK2682" i="1" s="1"/>
  <c r="AX2682" i="1"/>
  <c r="AW2682" i="1"/>
  <c r="F2682" i="1" a="1"/>
  <c r="F2682" i="1" s="1"/>
  <c r="AY2681" i="1"/>
  <c r="BN2681" i="1" s="1" a="1"/>
  <c r="BN2681" i="1" s="1"/>
  <c r="AX2681" i="1"/>
  <c r="AW2681" i="1"/>
  <c r="F2681" i="1" a="1"/>
  <c r="F2681" i="1" s="1"/>
  <c r="AY2680" i="1"/>
  <c r="BK2680" i="1" s="1" a="1"/>
  <c r="BK2680" i="1" s="1"/>
  <c r="AX2680" i="1"/>
  <c r="AW2680" i="1"/>
  <c r="F2680" i="1" a="1"/>
  <c r="F2680" i="1" s="1"/>
  <c r="AY2679" i="1"/>
  <c r="BK2679" i="1" s="1" a="1"/>
  <c r="BK2679" i="1" s="1"/>
  <c r="AX2679" i="1"/>
  <c r="AW2679" i="1"/>
  <c r="F2679" i="1" a="1"/>
  <c r="F2679" i="1" s="1"/>
  <c r="AY2678" i="1"/>
  <c r="BI2678" i="1" s="1" a="1"/>
  <c r="BI2678" i="1" s="1"/>
  <c r="AX2678" i="1"/>
  <c r="AW2678" i="1"/>
  <c r="F2678" i="1" a="1"/>
  <c r="F2678" i="1" s="1"/>
  <c r="AY2677" i="1"/>
  <c r="BK2677" i="1" s="1" a="1"/>
  <c r="BK2677" i="1" s="1"/>
  <c r="AX2677" i="1"/>
  <c r="AW2677" i="1"/>
  <c r="F2677" i="1" a="1"/>
  <c r="F2677" i="1" s="1"/>
  <c r="AW2648" i="1"/>
  <c r="BM2648" i="1" s="1" a="1"/>
  <c r="BM2648" i="1" s="1"/>
  <c r="F2648" i="1" a="1"/>
  <c r="F2648" i="1" s="1"/>
  <c r="AW2647" i="1"/>
  <c r="BK2647" i="1" s="1" a="1"/>
  <c r="BK2647" i="1" s="1"/>
  <c r="F2647" i="1" a="1"/>
  <c r="F2647" i="1" s="1"/>
  <c r="AW2646" i="1"/>
  <c r="BN2646" i="1" s="1" a="1"/>
  <c r="BN2646" i="1" s="1"/>
  <c r="F2646" i="1" a="1"/>
  <c r="F2646" i="1" s="1"/>
  <c r="E2646" i="1" s="1" a="1"/>
  <c r="E2646" i="1" s="1"/>
  <c r="AW2645" i="1"/>
  <c r="BM2645" i="1" s="1" a="1"/>
  <c r="BM2645" i="1" s="1"/>
  <c r="BJ2645" i="1" s="1" a="1"/>
  <c r="BJ2645" i="1" s="1"/>
  <c r="F2645" i="1" a="1"/>
  <c r="F2645" i="1" s="1"/>
  <c r="AW2644" i="1"/>
  <c r="BM2644" i="1" s="1" a="1"/>
  <c r="BM2644" i="1" s="1"/>
  <c r="F2644" i="1" a="1"/>
  <c r="F2644" i="1" s="1"/>
  <c r="AW2643" i="1"/>
  <c r="BI2643" i="1" s="1" a="1"/>
  <c r="BI2643" i="1" s="1"/>
  <c r="F2643" i="1" a="1"/>
  <c r="F2643" i="1" s="1"/>
  <c r="AW2642" i="1"/>
  <c r="BN2642" i="1" s="1" a="1"/>
  <c r="BN2642" i="1" s="1"/>
  <c r="F2642" i="1" a="1"/>
  <c r="F2642" i="1" s="1"/>
  <c r="E2642" i="1" s="1" a="1"/>
  <c r="E2642" i="1" s="1"/>
  <c r="AW2641" i="1"/>
  <c r="BN2641" i="1" s="1" a="1"/>
  <c r="BN2641" i="1" s="1"/>
  <c r="F2641" i="1" a="1"/>
  <c r="F2641" i="1" s="1"/>
  <c r="AW2640" i="1"/>
  <c r="BM2640" i="1" s="1" a="1"/>
  <c r="BM2640" i="1" s="1"/>
  <c r="F2640" i="1" a="1"/>
  <c r="F2640" i="1" s="1"/>
  <c r="AW2639" i="1"/>
  <c r="BN2639" i="1" s="1" a="1"/>
  <c r="BN2639" i="1" s="1"/>
  <c r="F2639" i="1" a="1"/>
  <c r="F2639" i="1" s="1"/>
  <c r="AY2612" i="1"/>
  <c r="BK2612" i="1" s="1" a="1"/>
  <c r="BK2612" i="1" s="1"/>
  <c r="AX2612" i="1"/>
  <c r="AW2612" i="1"/>
  <c r="F2612" i="1" a="1"/>
  <c r="F2612" i="1" s="1"/>
  <c r="AY2611" i="1"/>
  <c r="BK2611" i="1" s="1" a="1"/>
  <c r="BK2611" i="1" s="1"/>
  <c r="AX2611" i="1"/>
  <c r="AW2611" i="1"/>
  <c r="F2611" i="1" a="1"/>
  <c r="F2611" i="1" s="1"/>
  <c r="AY2610" i="1"/>
  <c r="BK2610" i="1" s="1" a="1"/>
  <c r="BK2610" i="1" s="1"/>
  <c r="AX2610" i="1"/>
  <c r="AW2610" i="1"/>
  <c r="F2610" i="1" a="1"/>
  <c r="F2610" i="1" s="1"/>
  <c r="AY2609" i="1"/>
  <c r="BK2609" i="1" s="1" a="1"/>
  <c r="BK2609" i="1" s="1"/>
  <c r="AX2609" i="1"/>
  <c r="AW2609" i="1"/>
  <c r="F2609" i="1" a="1"/>
  <c r="F2609" i="1" s="1"/>
  <c r="E2609" i="1" s="1" a="1"/>
  <c r="E2609" i="1" s="1"/>
  <c r="AY2608" i="1"/>
  <c r="BK2608" i="1" s="1" a="1"/>
  <c r="BK2608" i="1" s="1"/>
  <c r="AX2608" i="1"/>
  <c r="AW2608" i="1"/>
  <c r="F2608" i="1" a="1"/>
  <c r="F2608" i="1" s="1"/>
  <c r="E2608" i="1" s="1" a="1"/>
  <c r="E2608" i="1" s="1"/>
  <c r="AY2607" i="1"/>
  <c r="BK2607" i="1" s="1" a="1"/>
  <c r="BK2607" i="1" s="1"/>
  <c r="AX2607" i="1"/>
  <c r="AW2607" i="1"/>
  <c r="F2607" i="1" a="1"/>
  <c r="F2607" i="1" s="1"/>
  <c r="E2607" i="1" s="1" a="1"/>
  <c r="E2607" i="1" s="1"/>
  <c r="AY2606" i="1"/>
  <c r="BK2606" i="1" s="1" a="1"/>
  <c r="BK2606" i="1" s="1"/>
  <c r="AX2606" i="1"/>
  <c r="AW2606" i="1"/>
  <c r="F2606" i="1" a="1"/>
  <c r="F2606" i="1" s="1"/>
  <c r="E2606" i="1" s="1" a="1"/>
  <c r="E2606" i="1" s="1"/>
  <c r="AY2605" i="1"/>
  <c r="BN2605" i="1" s="1" a="1"/>
  <c r="BN2605" i="1" s="1"/>
  <c r="AX2605" i="1"/>
  <c r="AW2605" i="1"/>
  <c r="F2605" i="1" a="1"/>
  <c r="F2605" i="1" s="1"/>
  <c r="E2605" i="1" s="1" a="1"/>
  <c r="E2605" i="1" s="1"/>
  <c r="AY2604" i="1"/>
  <c r="BN2604" i="1" s="1" a="1"/>
  <c r="BN2604" i="1" s="1"/>
  <c r="AX2604" i="1"/>
  <c r="AW2604" i="1"/>
  <c r="F2604" i="1" a="1"/>
  <c r="F2604" i="1" s="1"/>
  <c r="E2604" i="1" s="1" a="1"/>
  <c r="E2604" i="1" s="1"/>
  <c r="AY2603" i="1"/>
  <c r="BK2603" i="1" s="1" a="1"/>
  <c r="BK2603" i="1" s="1"/>
  <c r="AX2603" i="1"/>
  <c r="AW2603" i="1"/>
  <c r="F2603" i="1" a="1"/>
  <c r="F2603" i="1" s="1"/>
  <c r="E2603" i="1" s="1" a="1"/>
  <c r="E2603" i="1" s="1"/>
  <c r="AY2687" i="1"/>
  <c r="BI2687" i="1" s="1" a="1"/>
  <c r="BI2687" i="1" s="1"/>
  <c r="AX2687" i="1"/>
  <c r="AW2687" i="1"/>
  <c r="F2687" i="1" a="1"/>
  <c r="F2687" i="1" s="1"/>
  <c r="AY2571" i="1"/>
  <c r="BK2571" i="1" s="1" a="1"/>
  <c r="BK2571" i="1" s="1"/>
  <c r="AX2571" i="1"/>
  <c r="AW2571" i="1"/>
  <c r="F2571" i="1" a="1"/>
  <c r="F2571" i="1" s="1"/>
  <c r="AY2570" i="1"/>
  <c r="BK2570" i="1" s="1" a="1"/>
  <c r="BK2570" i="1" s="1"/>
  <c r="AX2570" i="1"/>
  <c r="AW2570" i="1"/>
  <c r="F2570" i="1" a="1"/>
  <c r="F2570" i="1" s="1"/>
  <c r="AY2569" i="1"/>
  <c r="BK2569" i="1" s="1" a="1"/>
  <c r="BK2569" i="1" s="1"/>
  <c r="AX2569" i="1"/>
  <c r="AW2569" i="1"/>
  <c r="F2569" i="1" a="1"/>
  <c r="F2569" i="1" s="1"/>
  <c r="AY2567" i="1"/>
  <c r="BK2567" i="1" s="1" a="1"/>
  <c r="BK2567" i="1" s="1"/>
  <c r="AX2567" i="1"/>
  <c r="AW2567" i="1"/>
  <c r="F2567" i="1" a="1"/>
  <c r="F2567" i="1" s="1"/>
  <c r="AY2566" i="1"/>
  <c r="BK2566" i="1" s="1" a="1"/>
  <c r="BK2566" i="1" s="1"/>
  <c r="AX2566" i="1"/>
  <c r="AW2566" i="1"/>
  <c r="F2566" i="1" a="1"/>
  <c r="F2566" i="1" s="1"/>
  <c r="AY2565" i="1"/>
  <c r="BK2565" i="1" s="1" a="1"/>
  <c r="BK2565" i="1" s="1"/>
  <c r="AX2565" i="1"/>
  <c r="AW2565" i="1"/>
  <c r="F2565" i="1" a="1"/>
  <c r="F2565" i="1" s="1"/>
  <c r="AY2564" i="1"/>
  <c r="BN2564" i="1" s="1" a="1"/>
  <c r="BN2564" i="1" s="1"/>
  <c r="AX2564" i="1"/>
  <c r="AW2564" i="1"/>
  <c r="F2564" i="1" a="1"/>
  <c r="F2564" i="1" s="1"/>
  <c r="AY2563" i="1"/>
  <c r="BI2563" i="1" s="1" a="1"/>
  <c r="BI2563" i="1" s="1"/>
  <c r="AX2563" i="1"/>
  <c r="AW2563" i="1"/>
  <c r="F2563" i="1" a="1"/>
  <c r="F2563" i="1" s="1"/>
  <c r="AY2562" i="1"/>
  <c r="BI2562" i="1" s="1" a="1"/>
  <c r="BI2562" i="1" s="1"/>
  <c r="AX2562" i="1"/>
  <c r="AW2562" i="1"/>
  <c r="F2562" i="1" a="1"/>
  <c r="F2562" i="1" s="1"/>
  <c r="AY2561" i="1"/>
  <c r="BN2561" i="1" s="1" a="1"/>
  <c r="BN2561" i="1" s="1"/>
  <c r="AX2561" i="1"/>
  <c r="AW2561" i="1"/>
  <c r="F2561" i="1" a="1"/>
  <c r="F2561" i="1" s="1"/>
  <c r="AY1067" i="1"/>
  <c r="BN1067" i="1" s="1" a="1"/>
  <c r="BN1067" i="1" s="1"/>
  <c r="AX1067" i="1"/>
  <c r="AW1067" i="1"/>
  <c r="F1067" i="1" a="1"/>
  <c r="F1067" i="1" s="1"/>
  <c r="E1067" i="1" s="1" a="1"/>
  <c r="E1067" i="1" s="1"/>
  <c r="AY1066" i="1"/>
  <c r="BI1066" i="1" s="1" a="1"/>
  <c r="BI1066" i="1" s="1"/>
  <c r="AX1066" i="1"/>
  <c r="AW1066" i="1"/>
  <c r="F1066" i="1" a="1"/>
  <c r="F1066" i="1" s="1"/>
  <c r="E1066" i="1" s="1" a="1"/>
  <c r="E1066" i="1" s="1"/>
  <c r="AY1065" i="1"/>
  <c r="BN1065" i="1" s="1" a="1"/>
  <c r="BN1065" i="1" s="1"/>
  <c r="AX1065" i="1"/>
  <c r="AW1065" i="1"/>
  <c r="F1065" i="1" a="1"/>
  <c r="F1065" i="1" s="1"/>
  <c r="E1065" i="1" s="1" a="1"/>
  <c r="E1065" i="1" s="1"/>
  <c r="AY1064" i="1"/>
  <c r="BI1064" i="1" s="1" a="1"/>
  <c r="BI1064" i="1" s="1"/>
  <c r="AX1064" i="1"/>
  <c r="AW1064" i="1"/>
  <c r="F1064" i="1" a="1"/>
  <c r="F1064" i="1" s="1"/>
  <c r="E1064" i="1" s="1" a="1"/>
  <c r="E1064" i="1" s="1"/>
  <c r="AY1063" i="1"/>
  <c r="BN1063" i="1" s="1" a="1"/>
  <c r="BN1063" i="1" s="1"/>
  <c r="AX1063" i="1"/>
  <c r="AW1063" i="1"/>
  <c r="F1063" i="1" a="1"/>
  <c r="F1063" i="1" s="1"/>
  <c r="E1063" i="1" s="1" a="1"/>
  <c r="E1063" i="1" s="1"/>
  <c r="AY1062" i="1"/>
  <c r="BI1062" i="1" s="1" a="1"/>
  <c r="BI1062" i="1" s="1"/>
  <c r="AX1062" i="1"/>
  <c r="AW1062" i="1"/>
  <c r="F1062" i="1" a="1"/>
  <c r="F1062" i="1" s="1"/>
  <c r="E1062" i="1" s="1" a="1"/>
  <c r="E1062" i="1" s="1"/>
  <c r="AY1061" i="1"/>
  <c r="BN1061" i="1" s="1" a="1"/>
  <c r="BN1061" i="1" s="1"/>
  <c r="AX1061" i="1"/>
  <c r="AW1061" i="1"/>
  <c r="F1061" i="1" a="1"/>
  <c r="F1061" i="1" s="1"/>
  <c r="E1061" i="1" s="1" a="1"/>
  <c r="E1061" i="1" s="1"/>
  <c r="AY1060" i="1"/>
  <c r="BI1060" i="1" s="1" a="1"/>
  <c r="BI1060" i="1" s="1"/>
  <c r="AX1060" i="1"/>
  <c r="AW1060" i="1"/>
  <c r="F1060" i="1" a="1"/>
  <c r="F1060" i="1" s="1"/>
  <c r="E1060" i="1" s="1" a="1"/>
  <c r="E1060" i="1" s="1"/>
  <c r="AY1059" i="1"/>
  <c r="BN1059" i="1" s="1" a="1"/>
  <c r="BN1059" i="1" s="1"/>
  <c r="AX1059" i="1"/>
  <c r="AW1059" i="1"/>
  <c r="F1059" i="1" a="1"/>
  <c r="F1059" i="1" s="1"/>
  <c r="E1059" i="1" s="1" a="1"/>
  <c r="E1059" i="1" s="1"/>
  <c r="AY1058" i="1"/>
  <c r="BI1058" i="1" s="1" a="1"/>
  <c r="BI1058" i="1" s="1"/>
  <c r="AX1058" i="1"/>
  <c r="AW1058" i="1"/>
  <c r="F1058" i="1" a="1"/>
  <c r="F1058" i="1" s="1"/>
  <c r="E1058" i="1" s="1" a="1"/>
  <c r="E1058" i="1" s="1"/>
  <c r="AW1056" i="1"/>
  <c r="BM1056" i="1" s="1" a="1"/>
  <c r="BM1056" i="1" s="1"/>
  <c r="F1056" i="1" a="1"/>
  <c r="F1056" i="1" s="1"/>
  <c r="AW1055" i="1"/>
  <c r="BI1055" i="1" s="1" a="1"/>
  <c r="BI1055" i="1" s="1"/>
  <c r="F1055" i="1" a="1"/>
  <c r="F1055" i="1" s="1"/>
  <c r="AW1054" i="1"/>
  <c r="BM1054" i="1" s="1" a="1"/>
  <c r="BM1054" i="1" s="1"/>
  <c r="F1054" i="1" a="1"/>
  <c r="F1054" i="1" s="1"/>
  <c r="AW1053" i="1"/>
  <c r="BM1053" i="1" s="1" a="1"/>
  <c r="BM1053" i="1" s="1"/>
  <c r="F1053" i="1" a="1"/>
  <c r="F1053" i="1" s="1"/>
  <c r="AW1052" i="1"/>
  <c r="BN1052" i="1" s="1" a="1"/>
  <c r="BN1052" i="1" s="1"/>
  <c r="F1052" i="1" a="1"/>
  <c r="F1052" i="1" s="1"/>
  <c r="AW1051" i="1"/>
  <c r="BK1051" i="1" s="1" a="1"/>
  <c r="BK1051" i="1" s="1"/>
  <c r="F1051" i="1" a="1"/>
  <c r="F1051" i="1" s="1"/>
  <c r="AW1050" i="1"/>
  <c r="BI1050" i="1" s="1" a="1"/>
  <c r="BI1050" i="1" s="1"/>
  <c r="F1050" i="1" a="1"/>
  <c r="F1050" i="1" s="1"/>
  <c r="AW1049" i="1"/>
  <c r="BK1049" i="1" s="1" a="1"/>
  <c r="BK1049" i="1" s="1"/>
  <c r="F1049" i="1" a="1"/>
  <c r="F1049" i="1" s="1"/>
  <c r="AW1048" i="1"/>
  <c r="BN1048" i="1" s="1" a="1"/>
  <c r="BN1048" i="1" s="1"/>
  <c r="F1048" i="1" a="1"/>
  <c r="F1048" i="1" s="1"/>
  <c r="AW1047" i="1"/>
  <c r="BM1047" i="1" s="1" a="1"/>
  <c r="BM1047" i="1" s="1"/>
  <c r="F1047" i="1" a="1"/>
  <c r="F1047" i="1" s="1"/>
  <c r="AY1023" i="1"/>
  <c r="BN1023" i="1" s="1" a="1"/>
  <c r="BN1023" i="1" s="1"/>
  <c r="AX1023" i="1"/>
  <c r="AW1023" i="1"/>
  <c r="F1023" i="1" a="1"/>
  <c r="F1023" i="1" s="1"/>
  <c r="AY1022" i="1"/>
  <c r="BK1022" i="1" s="1" a="1"/>
  <c r="BK1022" i="1" s="1"/>
  <c r="AX1022" i="1"/>
  <c r="AW1022" i="1"/>
  <c r="F1022" i="1" a="1"/>
  <c r="F1022" i="1" s="1"/>
  <c r="AY1021" i="1"/>
  <c r="BN1021" i="1" s="1" a="1"/>
  <c r="BN1021" i="1" s="1"/>
  <c r="AX1021" i="1"/>
  <c r="AW1021" i="1"/>
  <c r="F1021" i="1" a="1"/>
  <c r="F1021" i="1" s="1"/>
  <c r="AY1020" i="1"/>
  <c r="BN1020" i="1" s="1" a="1"/>
  <c r="BN1020" i="1" s="1"/>
  <c r="AX1020" i="1"/>
  <c r="AW1020" i="1"/>
  <c r="F1020" i="1" a="1"/>
  <c r="F1020" i="1" s="1"/>
  <c r="AY1019" i="1"/>
  <c r="BN1019" i="1" s="1" a="1"/>
  <c r="BN1019" i="1" s="1"/>
  <c r="AX1019" i="1"/>
  <c r="AW1019" i="1"/>
  <c r="F1019" i="1" a="1"/>
  <c r="F1019" i="1" s="1"/>
  <c r="AY1018" i="1"/>
  <c r="BN1018" i="1" s="1" a="1"/>
  <c r="BN1018" i="1" s="1"/>
  <c r="AX1018" i="1"/>
  <c r="AW1018" i="1"/>
  <c r="F1018" i="1" a="1"/>
  <c r="F1018" i="1" s="1"/>
  <c r="AY1017" i="1"/>
  <c r="BI1017" i="1" s="1" a="1"/>
  <c r="BI1017" i="1" s="1"/>
  <c r="AX1017" i="1"/>
  <c r="AW1017" i="1"/>
  <c r="F1017" i="1" a="1"/>
  <c r="F1017" i="1" s="1"/>
  <c r="AY1016" i="1"/>
  <c r="BK1016" i="1" s="1" a="1"/>
  <c r="BK1016" i="1" s="1"/>
  <c r="AX1016" i="1"/>
  <c r="AW1016" i="1"/>
  <c r="F1016" i="1" a="1"/>
  <c r="F1016" i="1" s="1"/>
  <c r="AY1015" i="1"/>
  <c r="BK1015" i="1" s="1" a="1"/>
  <c r="BK1015" i="1" s="1"/>
  <c r="AX1015" i="1"/>
  <c r="AW1015" i="1"/>
  <c r="F1015" i="1" a="1"/>
  <c r="F1015" i="1" s="1"/>
  <c r="AY1014" i="1"/>
  <c r="BN1014" i="1" s="1" a="1"/>
  <c r="BN1014" i="1" s="1"/>
  <c r="AX1014" i="1"/>
  <c r="AW1014" i="1"/>
  <c r="F1014" i="1" a="1"/>
  <c r="F1014" i="1" s="1"/>
  <c r="AW1012" i="1"/>
  <c r="BI1012" i="1" s="1" a="1"/>
  <c r="BI1012" i="1" s="1"/>
  <c r="F1012" i="1" a="1"/>
  <c r="F1012" i="1" s="1"/>
  <c r="AW1011" i="1"/>
  <c r="BK1011" i="1" s="1" a="1"/>
  <c r="BK1011" i="1" s="1"/>
  <c r="F1011" i="1" a="1"/>
  <c r="F1011" i="1" s="1"/>
  <c r="AW1010" i="1"/>
  <c r="BN1010" i="1" s="1" a="1"/>
  <c r="BN1010" i="1" s="1"/>
  <c r="F1010" i="1" a="1"/>
  <c r="F1010" i="1" s="1"/>
  <c r="AW1009" i="1"/>
  <c r="BN1009" i="1" s="1" a="1"/>
  <c r="BN1009" i="1" s="1"/>
  <c r="F1009" i="1" a="1"/>
  <c r="F1009" i="1" s="1"/>
  <c r="AW1008" i="1"/>
  <c r="BN1008" i="1" s="1" a="1"/>
  <c r="BN1008" i="1" s="1"/>
  <c r="F1008" i="1" a="1"/>
  <c r="F1008" i="1" s="1"/>
  <c r="AW1007" i="1"/>
  <c r="BK1007" i="1" s="1" a="1"/>
  <c r="BK1007" i="1" s="1"/>
  <c r="F1007" i="1" a="1"/>
  <c r="F1007" i="1" s="1"/>
  <c r="AW1006" i="1"/>
  <c r="BM1006" i="1" s="1" a="1"/>
  <c r="BM1006" i="1" s="1"/>
  <c r="F1006" i="1" a="1"/>
  <c r="F1006" i="1" s="1"/>
  <c r="AW1005" i="1"/>
  <c r="BN1005" i="1" s="1" a="1"/>
  <c r="BN1005" i="1" s="1"/>
  <c r="F1005" i="1" a="1"/>
  <c r="F1005" i="1" s="1"/>
  <c r="AW1004" i="1"/>
  <c r="BM1004" i="1" s="1" a="1"/>
  <c r="BM1004" i="1" s="1"/>
  <c r="BL1004" i="1" s="1" a="1"/>
  <c r="BL1004" i="1" s="1"/>
  <c r="F1004" i="1" a="1"/>
  <c r="F1004" i="1" s="1"/>
  <c r="AW1003" i="1"/>
  <c r="BK1003" i="1" s="1" a="1"/>
  <c r="BK1003" i="1" s="1"/>
  <c r="F1003" i="1" a="1"/>
  <c r="F1003" i="1" s="1"/>
  <c r="AY1045" i="1"/>
  <c r="BN1045" i="1" s="1" a="1"/>
  <c r="BN1045" i="1" s="1"/>
  <c r="AX1045" i="1"/>
  <c r="AW1045" i="1"/>
  <c r="F1045" i="1" a="1"/>
  <c r="F1045" i="1" s="1"/>
  <c r="AY1044" i="1"/>
  <c r="BN1044" i="1" s="1" a="1"/>
  <c r="BN1044" i="1" s="1"/>
  <c r="AX1044" i="1"/>
  <c r="AW1044" i="1"/>
  <c r="F1044" i="1" a="1"/>
  <c r="F1044" i="1" s="1"/>
  <c r="AY1043" i="1"/>
  <c r="BN1043" i="1" s="1" a="1"/>
  <c r="BN1043" i="1" s="1"/>
  <c r="AX1043" i="1"/>
  <c r="AW1043" i="1"/>
  <c r="F1043" i="1" a="1"/>
  <c r="F1043" i="1" s="1"/>
  <c r="AY1042" i="1"/>
  <c r="BN1042" i="1" s="1" a="1"/>
  <c r="BN1042" i="1" s="1"/>
  <c r="AX1042" i="1"/>
  <c r="AW1042" i="1"/>
  <c r="F1042" i="1" a="1"/>
  <c r="F1042" i="1" s="1"/>
  <c r="AY1041" i="1"/>
  <c r="BK1041" i="1" s="1" a="1"/>
  <c r="BK1041" i="1" s="1"/>
  <c r="AX1041" i="1"/>
  <c r="AW1041" i="1"/>
  <c r="F1041" i="1" a="1"/>
  <c r="F1041" i="1" s="1"/>
  <c r="AY1040" i="1"/>
  <c r="BK1040" i="1" s="1" a="1"/>
  <c r="BK1040" i="1" s="1"/>
  <c r="AX1040" i="1"/>
  <c r="AW1040" i="1"/>
  <c r="F1040" i="1" a="1"/>
  <c r="F1040" i="1" s="1"/>
  <c r="AY1039" i="1"/>
  <c r="BN1039" i="1" s="1" a="1"/>
  <c r="BN1039" i="1" s="1"/>
  <c r="AX1039" i="1"/>
  <c r="AW1039" i="1"/>
  <c r="F1039" i="1" a="1"/>
  <c r="F1039" i="1" s="1"/>
  <c r="AY1038" i="1"/>
  <c r="BN1038" i="1" s="1" a="1"/>
  <c r="BN1038" i="1" s="1"/>
  <c r="AX1038" i="1"/>
  <c r="AW1038" i="1"/>
  <c r="F1038" i="1" a="1"/>
  <c r="F1038" i="1" s="1"/>
  <c r="AY1037" i="1"/>
  <c r="BN1037" i="1" s="1" a="1"/>
  <c r="BN1037" i="1" s="1"/>
  <c r="AX1037" i="1"/>
  <c r="AW1037" i="1"/>
  <c r="F1037" i="1" a="1"/>
  <c r="F1037" i="1" s="1"/>
  <c r="AY1036" i="1"/>
  <c r="BK1036" i="1" s="1" a="1"/>
  <c r="BK1036" i="1" s="1"/>
  <c r="AX1036" i="1"/>
  <c r="AW1036" i="1"/>
  <c r="F1036" i="1" a="1"/>
  <c r="F1036" i="1" s="1"/>
  <c r="AY1034" i="1"/>
  <c r="BN1034" i="1" s="1" a="1"/>
  <c r="BN1034" i="1" s="1"/>
  <c r="AX1034" i="1"/>
  <c r="AW1034" i="1"/>
  <c r="F1034" i="1" a="1"/>
  <c r="F1034" i="1" s="1"/>
  <c r="AY1033" i="1"/>
  <c r="AX1033" i="1"/>
  <c r="AW1033" i="1"/>
  <c r="F1033" i="1" a="1"/>
  <c r="F1033" i="1" s="1"/>
  <c r="AY1032" i="1"/>
  <c r="BN1032" i="1" s="1" a="1"/>
  <c r="BN1032" i="1" s="1"/>
  <c r="AX1032" i="1"/>
  <c r="AW1032" i="1"/>
  <c r="F1032" i="1" a="1"/>
  <c r="F1032" i="1" s="1"/>
  <c r="AY1031" i="1"/>
  <c r="BN1031" i="1" s="1" a="1"/>
  <c r="BN1031" i="1" s="1"/>
  <c r="AX1031" i="1"/>
  <c r="AW1031" i="1"/>
  <c r="F1031" i="1" a="1"/>
  <c r="F1031" i="1" s="1"/>
  <c r="AY1030" i="1"/>
  <c r="AX1030" i="1"/>
  <c r="AW1030" i="1"/>
  <c r="F1030" i="1" a="1"/>
  <c r="F1030" i="1" s="1"/>
  <c r="AY1029" i="1"/>
  <c r="BN1029" i="1" s="1" a="1"/>
  <c r="BN1029" i="1" s="1"/>
  <c r="AX1029" i="1"/>
  <c r="AW1029" i="1"/>
  <c r="F1029" i="1" a="1"/>
  <c r="F1029" i="1" s="1"/>
  <c r="AY1028" i="1"/>
  <c r="BN1028" i="1" s="1" a="1"/>
  <c r="BN1028" i="1" s="1"/>
  <c r="AX1028" i="1"/>
  <c r="AW1028" i="1"/>
  <c r="F1028" i="1" a="1"/>
  <c r="F1028" i="1" s="1"/>
  <c r="AY1027" i="1"/>
  <c r="BN1027" i="1" s="1" a="1"/>
  <c r="BN1027" i="1" s="1"/>
  <c r="AX1027" i="1"/>
  <c r="AW1027" i="1"/>
  <c r="F1027" i="1" a="1"/>
  <c r="F1027" i="1" s="1"/>
  <c r="AY1026" i="1"/>
  <c r="AX1026" i="1"/>
  <c r="AW1026" i="1"/>
  <c r="F1026" i="1" a="1"/>
  <c r="F1026" i="1" s="1"/>
  <c r="AY1025" i="1"/>
  <c r="AX1025" i="1"/>
  <c r="AW1025" i="1"/>
  <c r="F1025" i="1" a="1"/>
  <c r="F1025" i="1" s="1"/>
  <c r="AZ143" i="1"/>
  <c r="AY143" i="1"/>
  <c r="AX143" i="1"/>
  <c r="AW143" i="1"/>
  <c r="AU143" i="1"/>
  <c r="AT143" i="1"/>
  <c r="AS143" i="1"/>
  <c r="K143" i="1" a="1"/>
  <c r="K143" i="1" s="1"/>
  <c r="J143" i="1" a="1"/>
  <c r="J143" i="1" s="1"/>
  <c r="F143" i="1" a="1"/>
  <c r="F143" i="1" s="1"/>
  <c r="AZ142" i="1"/>
  <c r="AY142" i="1"/>
  <c r="AX142" i="1"/>
  <c r="AW142" i="1"/>
  <c r="AU142" i="1"/>
  <c r="AT142" i="1"/>
  <c r="AS142" i="1"/>
  <c r="K142" i="1" a="1"/>
  <c r="K142" i="1" s="1"/>
  <c r="J142" i="1" a="1"/>
  <c r="J142" i="1" s="1"/>
  <c r="F142" i="1" a="1"/>
  <c r="F142" i="1" s="1"/>
  <c r="AZ24" i="1"/>
  <c r="AY24" i="1"/>
  <c r="AX24" i="1"/>
  <c r="AW24" i="1"/>
  <c r="AU24" i="1"/>
  <c r="AS24" i="1"/>
  <c r="K24" i="1" a="1"/>
  <c r="K24" i="1" s="1"/>
  <c r="J24" i="1" a="1"/>
  <c r="J24" i="1" s="1"/>
  <c r="F24" i="1" a="1"/>
  <c r="F24" i="1" s="1"/>
  <c r="AZ23" i="1"/>
  <c r="AY23" i="1"/>
  <c r="AX23" i="1"/>
  <c r="AW23" i="1"/>
  <c r="AU23" i="1"/>
  <c r="AS23" i="1"/>
  <c r="K23" i="1" a="1"/>
  <c r="K23" i="1" s="1"/>
  <c r="J23" i="1" a="1"/>
  <c r="J23" i="1" s="1"/>
  <c r="F23" i="1" a="1"/>
  <c r="F23" i="1" s="1"/>
  <c r="AZ18" i="1"/>
  <c r="AY18" i="1"/>
  <c r="AX18" i="1"/>
  <c r="AW18" i="1"/>
  <c r="AU18" i="1"/>
  <c r="AT18" i="1"/>
  <c r="AS18" i="1"/>
  <c r="K18" i="1" a="1"/>
  <c r="K18" i="1" s="1"/>
  <c r="J18" i="1" a="1"/>
  <c r="J18" i="1" s="1"/>
  <c r="F18" i="1" a="1"/>
  <c r="F18" i="1" s="1"/>
  <c r="AZ17" i="1"/>
  <c r="AY17" i="1"/>
  <c r="AX17" i="1"/>
  <c r="AW17" i="1"/>
  <c r="AU17" i="1"/>
  <c r="AT17" i="1"/>
  <c r="AS17" i="1"/>
  <c r="K17" i="1" a="1"/>
  <c r="K17" i="1" s="1"/>
  <c r="J17" i="1" a="1"/>
  <c r="J17" i="1" s="1"/>
  <c r="F17" i="1" a="1"/>
  <c r="F17" i="1" s="1"/>
  <c r="AW2674" i="1"/>
  <c r="BN2674" i="1" s="1" a="1"/>
  <c r="BN2674" i="1" s="1"/>
  <c r="F2674" i="1" a="1"/>
  <c r="F2674" i="1" s="1"/>
  <c r="AW2673" i="1"/>
  <c r="BK2673" i="1" s="1" a="1"/>
  <c r="BK2673" i="1" s="1"/>
  <c r="F2673" i="1" a="1"/>
  <c r="F2673" i="1" s="1"/>
  <c r="AW2672" i="1"/>
  <c r="BK2672" i="1" s="1" a="1"/>
  <c r="BK2672" i="1" s="1"/>
  <c r="F2672" i="1" a="1"/>
  <c r="F2672" i="1" s="1"/>
  <c r="E2672" i="1" s="1" a="1"/>
  <c r="E2672" i="1" s="1"/>
  <c r="AW2671" i="1"/>
  <c r="BK2671" i="1" s="1" a="1"/>
  <c r="BK2671" i="1" s="1"/>
  <c r="F2671" i="1" a="1"/>
  <c r="F2671" i="1" s="1"/>
  <c r="AY2636" i="1"/>
  <c r="BN2636" i="1" s="1" a="1"/>
  <c r="BN2636" i="1" s="1"/>
  <c r="AX2636" i="1"/>
  <c r="AW2636" i="1"/>
  <c r="F2636" i="1" a="1"/>
  <c r="F2636" i="1" s="1"/>
  <c r="E2636" i="1" s="1" a="1"/>
  <c r="E2636" i="1" s="1"/>
  <c r="AY2635" i="1"/>
  <c r="BI2635" i="1" s="1" a="1"/>
  <c r="BI2635" i="1" s="1"/>
  <c r="AX2635" i="1"/>
  <c r="AW2635" i="1"/>
  <c r="F2635" i="1" a="1"/>
  <c r="F2635" i="1" s="1"/>
  <c r="E2635" i="1" s="1" a="1"/>
  <c r="E2635" i="1" s="1"/>
  <c r="AY2600" i="1"/>
  <c r="BN2600" i="1" s="1" a="1"/>
  <c r="BN2600" i="1" s="1"/>
  <c r="AX2600" i="1"/>
  <c r="AW2600" i="1"/>
  <c r="F2600" i="1" a="1"/>
  <c r="F2600" i="1" s="1"/>
  <c r="E2600" i="1" s="1" a="1"/>
  <c r="E2600" i="1" s="1"/>
  <c r="AY2599" i="1"/>
  <c r="BN2599" i="1" s="1" a="1"/>
  <c r="BN2599" i="1" s="1"/>
  <c r="AX2599" i="1"/>
  <c r="AW2599" i="1"/>
  <c r="F2599" i="1" a="1"/>
  <c r="F2599" i="1" s="1"/>
  <c r="E2599" i="1" s="1" a="1"/>
  <c r="E2599" i="1" s="1"/>
  <c r="AY2559" i="1"/>
  <c r="BN2559" i="1" s="1" a="1"/>
  <c r="BN2559" i="1" s="1"/>
  <c r="AX2559" i="1"/>
  <c r="AW2559" i="1"/>
  <c r="F2559" i="1" a="1"/>
  <c r="F2559" i="1" s="1"/>
  <c r="E2559" i="1" s="1" a="1"/>
  <c r="E2559" i="1" s="1"/>
  <c r="AY2558" i="1"/>
  <c r="BN2558" i="1" s="1" a="1"/>
  <c r="BN2558" i="1" s="1"/>
  <c r="AX2558" i="1"/>
  <c r="AW2558" i="1"/>
  <c r="F2558" i="1" a="1"/>
  <c r="F2558" i="1" s="1"/>
  <c r="E2558" i="1" s="1" a="1"/>
  <c r="E2558" i="1" s="1"/>
  <c r="AW228" i="1"/>
  <c r="BN228" i="1" s="1" a="1"/>
  <c r="BN228" i="1" s="1"/>
  <c r="F228" i="1" a="1"/>
  <c r="F228" i="1" s="1"/>
  <c r="AW227" i="1"/>
  <c r="BI227" i="1" s="1" a="1"/>
  <c r="BI227" i="1" s="1"/>
  <c r="F227" i="1" a="1"/>
  <c r="F227" i="1" s="1"/>
  <c r="AY225" i="1"/>
  <c r="BK225" i="1" s="1" a="1"/>
  <c r="BK225" i="1" s="1"/>
  <c r="AX225" i="1"/>
  <c r="AW225" i="1"/>
  <c r="F225" i="1" a="1"/>
  <c r="F225" i="1" s="1"/>
  <c r="AY224" i="1"/>
  <c r="BK224" i="1" s="1" a="1"/>
  <c r="BK224" i="1" s="1"/>
  <c r="AX224" i="1"/>
  <c r="AW224" i="1"/>
  <c r="F224" i="1" a="1"/>
  <c r="F224" i="1" s="1"/>
  <c r="AY222" i="1"/>
  <c r="BK222" i="1" s="1" a="1"/>
  <c r="BK222" i="1" s="1"/>
  <c r="AX222" i="1"/>
  <c r="AW222" i="1"/>
  <c r="F222" i="1" a="1"/>
  <c r="F222" i="1" s="1"/>
  <c r="E222" i="1" s="1" a="1"/>
  <c r="E222" i="1" s="1"/>
  <c r="AY221" i="1"/>
  <c r="AX221" i="1"/>
  <c r="AW221" i="1"/>
  <c r="F221" i="1" a="1"/>
  <c r="F221" i="1" s="1"/>
  <c r="E221" i="1" s="1" a="1"/>
  <c r="E221" i="1" s="1"/>
  <c r="AY219" i="1"/>
  <c r="BI219" i="1" s="1" a="1"/>
  <c r="BI219" i="1" s="1"/>
  <c r="AX219" i="1"/>
  <c r="AW219" i="1"/>
  <c r="F219" i="1" a="1"/>
  <c r="F219" i="1" s="1"/>
  <c r="E219" i="1" s="1" a="1"/>
  <c r="E219" i="1" s="1"/>
  <c r="AY218" i="1"/>
  <c r="BK218" i="1" s="1" a="1"/>
  <c r="BK218" i="1" s="1"/>
  <c r="AX218" i="1"/>
  <c r="AW218" i="1"/>
  <c r="F218" i="1" a="1"/>
  <c r="F218" i="1" s="1"/>
  <c r="E218" i="1" s="1" a="1"/>
  <c r="E218" i="1" s="1"/>
  <c r="AY216" i="1"/>
  <c r="BN216" i="1" s="1" a="1"/>
  <c r="BN216" i="1" s="1"/>
  <c r="AX216" i="1"/>
  <c r="AW216" i="1"/>
  <c r="F216" i="1" a="1"/>
  <c r="F216" i="1" s="1"/>
  <c r="E216" i="1" s="1" a="1"/>
  <c r="E216" i="1" s="1"/>
  <c r="AY215" i="1"/>
  <c r="BI215" i="1" s="1" a="1"/>
  <c r="BI215" i="1" s="1"/>
  <c r="AX215" i="1"/>
  <c r="AW215" i="1"/>
  <c r="F215" i="1" a="1"/>
  <c r="F215" i="1" s="1"/>
  <c r="E215" i="1" s="1" a="1"/>
  <c r="E215" i="1" s="1"/>
  <c r="AY213" i="1"/>
  <c r="BK213" i="1" s="1" a="1"/>
  <c r="BK213" i="1" s="1"/>
  <c r="AX213" i="1"/>
  <c r="AW213" i="1"/>
  <c r="AT213" i="1" a="1"/>
  <c r="AT213" i="1" s="1"/>
  <c r="AU213" i="1" s="1"/>
  <c r="AS213" i="1" a="1"/>
  <c r="AS213" i="1" s="1"/>
  <c r="F213" i="1" a="1"/>
  <c r="F213" i="1" s="1"/>
  <c r="AY212" i="1"/>
  <c r="BK212" i="1" s="1" a="1"/>
  <c r="BK212" i="1" s="1"/>
  <c r="AX212" i="1"/>
  <c r="AW212" i="1"/>
  <c r="AT212" i="1" a="1"/>
  <c r="AT212" i="1" s="1"/>
  <c r="AU212" i="1" s="1"/>
  <c r="AS212" i="1" a="1"/>
  <c r="AS212" i="1" s="1"/>
  <c r="F212" i="1" a="1"/>
  <c r="F212" i="1" s="1"/>
  <c r="F2736" i="1" a="1"/>
  <c r="F2736" i="1" s="1"/>
  <c r="F2735" i="1" a="1"/>
  <c r="F2735" i="1" s="1"/>
  <c r="E2735" i="1" s="1" a="1"/>
  <c r="E2735" i="1" s="1"/>
  <c r="AZ2035" i="1"/>
  <c r="AY2035" i="1"/>
  <c r="AX2035" i="1"/>
  <c r="AW2035" i="1"/>
  <c r="AU2035" i="1"/>
  <c r="AT2035" i="1"/>
  <c r="AS2035" i="1"/>
  <c r="K2035" i="1" a="1"/>
  <c r="K2035" i="1" s="1"/>
  <c r="J2035" i="1" a="1"/>
  <c r="J2035" i="1" s="1"/>
  <c r="F2035" i="1" a="1"/>
  <c r="F2035" i="1" s="1"/>
  <c r="AZ2034" i="1"/>
  <c r="AY2034" i="1"/>
  <c r="AX2034" i="1"/>
  <c r="AW2034" i="1"/>
  <c r="AU2034" i="1"/>
  <c r="AT2034" i="1"/>
  <c r="AS2034" i="1"/>
  <c r="K2034" i="1" a="1"/>
  <c r="K2034" i="1" s="1"/>
  <c r="J2034" i="1" a="1"/>
  <c r="J2034" i="1" s="1"/>
  <c r="F2034" i="1" a="1"/>
  <c r="F2034" i="1" s="1"/>
  <c r="E2034" i="1" s="1" a="1"/>
  <c r="E2034" i="1" s="1"/>
  <c r="AZ2033" i="1"/>
  <c r="AY2033" i="1"/>
  <c r="AX2033" i="1"/>
  <c r="AW2033" i="1"/>
  <c r="AU2033" i="1"/>
  <c r="AS2033" i="1"/>
  <c r="K2033" i="1" a="1"/>
  <c r="K2033" i="1" s="1"/>
  <c r="J2033" i="1" a="1"/>
  <c r="J2033" i="1" s="1"/>
  <c r="F2033" i="1" a="1"/>
  <c r="F2033" i="1" s="1"/>
  <c r="AZ2032" i="1"/>
  <c r="AY2032" i="1"/>
  <c r="AX2032" i="1"/>
  <c r="AW2032" i="1"/>
  <c r="AU2032" i="1"/>
  <c r="AS2032" i="1"/>
  <c r="K2032" i="1" a="1"/>
  <c r="K2032" i="1" s="1"/>
  <c r="J2032" i="1" a="1"/>
  <c r="J2032" i="1" s="1"/>
  <c r="F2032" i="1" a="1"/>
  <c r="F2032" i="1" s="1"/>
  <c r="AZ2030" i="1"/>
  <c r="AY2030" i="1"/>
  <c r="AX2030" i="1"/>
  <c r="AW2030" i="1"/>
  <c r="AU2030" i="1"/>
  <c r="AT2030" i="1"/>
  <c r="AS2030" i="1"/>
  <c r="K2030" i="1" a="1"/>
  <c r="K2030" i="1" s="1"/>
  <c r="J2030" i="1" a="1"/>
  <c r="J2030" i="1" s="1"/>
  <c r="F2030" i="1" a="1"/>
  <c r="F2030" i="1" s="1"/>
  <c r="AZ2029" i="1"/>
  <c r="AY2029" i="1"/>
  <c r="AX2029" i="1"/>
  <c r="AW2029" i="1"/>
  <c r="AU2029" i="1"/>
  <c r="AT2029" i="1"/>
  <c r="AS2029" i="1"/>
  <c r="K2029" i="1" a="1"/>
  <c r="K2029" i="1" s="1"/>
  <c r="J2029" i="1" a="1"/>
  <c r="J2029" i="1" s="1"/>
  <c r="F2029" i="1" a="1"/>
  <c r="F2029" i="1" s="1"/>
  <c r="AZ1594" i="1"/>
  <c r="AY1594" i="1"/>
  <c r="AX1594" i="1"/>
  <c r="AW1594" i="1"/>
  <c r="AU1594" i="1"/>
  <c r="AS1594" i="1"/>
  <c r="K1594" i="1" a="1"/>
  <c r="K1594" i="1" s="1"/>
  <c r="J1594" i="1" a="1"/>
  <c r="J1594" i="1" s="1"/>
  <c r="F1594" i="1" a="1"/>
  <c r="F1594" i="1" s="1"/>
  <c r="AZ1593" i="1"/>
  <c r="AY1593" i="1"/>
  <c r="AX1593" i="1"/>
  <c r="AW1593" i="1"/>
  <c r="AU1593" i="1"/>
  <c r="AS1593" i="1"/>
  <c r="K1593" i="1" a="1"/>
  <c r="K1593" i="1" s="1"/>
  <c r="J1593" i="1" a="1"/>
  <c r="J1593" i="1" s="1"/>
  <c r="F1593" i="1" a="1"/>
  <c r="F1593" i="1" s="1"/>
  <c r="AZ1206" i="1"/>
  <c r="AY1206" i="1"/>
  <c r="AX1206" i="1"/>
  <c r="AW1206" i="1"/>
  <c r="AU1206" i="1"/>
  <c r="AT1206" i="1"/>
  <c r="AS1206" i="1"/>
  <c r="K1206" i="1" a="1"/>
  <c r="K1206" i="1" s="1"/>
  <c r="J1206" i="1" a="1"/>
  <c r="J1206" i="1" s="1"/>
  <c r="F1206" i="1" a="1"/>
  <c r="F1206" i="1" s="1"/>
  <c r="AZ1205" i="1"/>
  <c r="AY1205" i="1"/>
  <c r="AX1205" i="1"/>
  <c r="AW1205" i="1"/>
  <c r="AU1205" i="1"/>
  <c r="AT1205" i="1"/>
  <c r="AS1205" i="1"/>
  <c r="K1205" i="1" a="1"/>
  <c r="K1205" i="1" s="1"/>
  <c r="J1205" i="1" a="1"/>
  <c r="J1205" i="1" s="1"/>
  <c r="F1205" i="1" a="1"/>
  <c r="F1205" i="1" s="1"/>
  <c r="AZ514" i="1"/>
  <c r="AY514" i="1"/>
  <c r="AX514" i="1"/>
  <c r="AW514" i="1"/>
  <c r="AU514" i="1"/>
  <c r="AS514" i="1"/>
  <c r="K514" i="1" a="1"/>
  <c r="K514" i="1" s="1"/>
  <c r="J514" i="1" a="1"/>
  <c r="J514" i="1" s="1"/>
  <c r="F514" i="1" a="1"/>
  <c r="F514" i="1" s="1"/>
  <c r="AZ513" i="1"/>
  <c r="AY513" i="1"/>
  <c r="AX513" i="1"/>
  <c r="AW513" i="1"/>
  <c r="AU513" i="1"/>
  <c r="AS513" i="1"/>
  <c r="K513" i="1" a="1"/>
  <c r="K513" i="1" s="1"/>
  <c r="J513" i="1" a="1"/>
  <c r="J513" i="1" s="1"/>
  <c r="F513" i="1" a="1"/>
  <c r="F513" i="1" s="1"/>
  <c r="E513" i="1" s="1" a="1"/>
  <c r="E513" i="1" s="1"/>
  <c r="AZ511" i="1"/>
  <c r="AY511" i="1"/>
  <c r="AX511" i="1"/>
  <c r="AW511" i="1"/>
  <c r="AT511" i="1" a="1"/>
  <c r="AT511" i="1" s="1"/>
  <c r="AU511" i="1" s="1"/>
  <c r="K511" i="1" a="1"/>
  <c r="K511" i="1" s="1"/>
  <c r="J511" i="1" a="1"/>
  <c r="J511" i="1" s="1"/>
  <c r="F511" i="1" a="1"/>
  <c r="F511" i="1" s="1"/>
  <c r="AZ510" i="1"/>
  <c r="AY510" i="1"/>
  <c r="AX510" i="1"/>
  <c r="AW510" i="1"/>
  <c r="AT510" i="1" a="1"/>
  <c r="AT510" i="1" s="1"/>
  <c r="AU510" i="1" s="1"/>
  <c r="K510" i="1" a="1"/>
  <c r="K510" i="1" s="1"/>
  <c r="J510" i="1" a="1"/>
  <c r="J510" i="1" s="1"/>
  <c r="F510" i="1" a="1"/>
  <c r="F510" i="1" s="1"/>
  <c r="AZ57" i="1"/>
  <c r="AY57" i="1"/>
  <c r="AX57" i="1"/>
  <c r="AW57" i="1"/>
  <c r="AT57" i="1" a="1"/>
  <c r="AT57" i="1" s="1"/>
  <c r="AU57" i="1" s="1"/>
  <c r="K57" i="1" a="1"/>
  <c r="K57" i="1" s="1"/>
  <c r="J57" i="1" a="1"/>
  <c r="J57" i="1" s="1"/>
  <c r="F57" i="1" a="1"/>
  <c r="F57" i="1" s="1"/>
  <c r="AZ56" i="1"/>
  <c r="AY56" i="1"/>
  <c r="AX56" i="1"/>
  <c r="AW56" i="1"/>
  <c r="AT56" i="1" a="1"/>
  <c r="AT56" i="1" s="1"/>
  <c r="AU56" i="1" s="1"/>
  <c r="K56" i="1" a="1"/>
  <c r="K56" i="1" s="1"/>
  <c r="J56" i="1" a="1"/>
  <c r="J56" i="1" s="1"/>
  <c r="F56" i="1" a="1"/>
  <c r="F56" i="1" s="1"/>
  <c r="AZ54" i="1"/>
  <c r="AY54" i="1"/>
  <c r="AX54" i="1"/>
  <c r="AW54" i="1"/>
  <c r="AT54" i="1" a="1"/>
  <c r="AT54" i="1" s="1"/>
  <c r="AU54" i="1" s="1"/>
  <c r="K54" i="1" a="1"/>
  <c r="K54" i="1" s="1"/>
  <c r="J54" i="1" a="1"/>
  <c r="J54" i="1" s="1"/>
  <c r="F54" i="1" a="1"/>
  <c r="F54" i="1" s="1"/>
  <c r="AZ53" i="1"/>
  <c r="AY53" i="1"/>
  <c r="AX53" i="1"/>
  <c r="AW53" i="1"/>
  <c r="AT53" i="1" a="1"/>
  <c r="AT53" i="1" s="1"/>
  <c r="AU53" i="1" s="1"/>
  <c r="K53" i="1" a="1"/>
  <c r="K53" i="1" s="1"/>
  <c r="J53" i="1" a="1"/>
  <c r="J53" i="1" s="1"/>
  <c r="F53" i="1" a="1"/>
  <c r="F53" i="1" s="1"/>
  <c r="AZ116" i="1"/>
  <c r="AY116" i="1"/>
  <c r="AX116" i="1"/>
  <c r="AW116" i="1"/>
  <c r="K116" i="1" a="1"/>
  <c r="K116" i="1" s="1"/>
  <c r="J116" i="1" a="1"/>
  <c r="J116" i="1" s="1"/>
  <c r="F116" i="1" a="1"/>
  <c r="F116" i="1" s="1"/>
  <c r="AZ115" i="1"/>
  <c r="AY115" i="1"/>
  <c r="AX115" i="1"/>
  <c r="AW115" i="1"/>
  <c r="K115" i="1" a="1"/>
  <c r="K115" i="1" s="1"/>
  <c r="J115" i="1" a="1"/>
  <c r="J115" i="1" s="1"/>
  <c r="F115" i="1" a="1"/>
  <c r="F115" i="1" s="1"/>
  <c r="AZ114" i="1"/>
  <c r="AY114" i="1"/>
  <c r="AX114" i="1"/>
  <c r="AW114" i="1"/>
  <c r="K114" i="1" a="1"/>
  <c r="K114" i="1" s="1"/>
  <c r="J114" i="1" a="1"/>
  <c r="J114" i="1" s="1"/>
  <c r="F114" i="1" a="1"/>
  <c r="F114" i="1" s="1"/>
  <c r="AZ113" i="1"/>
  <c r="AY113" i="1"/>
  <c r="AX113" i="1"/>
  <c r="AW113" i="1"/>
  <c r="K113" i="1" a="1"/>
  <c r="K113" i="1" s="1"/>
  <c r="J113" i="1" a="1"/>
  <c r="J113" i="1" s="1"/>
  <c r="F113" i="1" a="1"/>
  <c r="F113" i="1" s="1"/>
  <c r="AZ111" i="1"/>
  <c r="AY111" i="1"/>
  <c r="AX111" i="1"/>
  <c r="AW111" i="1"/>
  <c r="K111" i="1" a="1"/>
  <c r="K111" i="1" s="1"/>
  <c r="J111" i="1" a="1"/>
  <c r="J111" i="1" s="1"/>
  <c r="F111" i="1" a="1"/>
  <c r="F111" i="1" s="1"/>
  <c r="AZ110" i="1"/>
  <c r="AY110" i="1"/>
  <c r="AX110" i="1"/>
  <c r="AW110" i="1"/>
  <c r="K110" i="1" a="1"/>
  <c r="K110" i="1" s="1"/>
  <c r="J110" i="1" a="1"/>
  <c r="J110" i="1" s="1"/>
  <c r="F110" i="1" a="1"/>
  <c r="F110" i="1" s="1"/>
  <c r="AZ108" i="1"/>
  <c r="AY108" i="1"/>
  <c r="AX108" i="1"/>
  <c r="AW108" i="1"/>
  <c r="K108" i="1" a="1"/>
  <c r="K108" i="1" s="1"/>
  <c r="J108" i="1" a="1"/>
  <c r="J108" i="1" s="1"/>
  <c r="F108" i="1" a="1"/>
  <c r="F108" i="1" s="1"/>
  <c r="AZ107" i="1"/>
  <c r="AY107" i="1"/>
  <c r="AX107" i="1"/>
  <c r="AW107" i="1"/>
  <c r="K107" i="1" a="1"/>
  <c r="K107" i="1" s="1"/>
  <c r="J107" i="1" a="1"/>
  <c r="J107" i="1" s="1"/>
  <c r="F107" i="1" a="1"/>
  <c r="F107" i="1" s="1"/>
  <c r="AZ105" i="1"/>
  <c r="AY105" i="1"/>
  <c r="AX105" i="1"/>
  <c r="AW105" i="1"/>
  <c r="K105" i="1" a="1"/>
  <c r="K105" i="1" s="1"/>
  <c r="J105" i="1" a="1"/>
  <c r="J105" i="1" s="1"/>
  <c r="F105" i="1" a="1"/>
  <c r="F105" i="1" s="1"/>
  <c r="AZ104" i="1"/>
  <c r="AY104" i="1"/>
  <c r="AX104" i="1"/>
  <c r="AW104" i="1"/>
  <c r="K104" i="1" a="1"/>
  <c r="K104" i="1" s="1"/>
  <c r="J104" i="1" a="1"/>
  <c r="J104" i="1" s="1"/>
  <c r="F104" i="1" a="1"/>
  <c r="F104" i="1" s="1"/>
  <c r="AZ102" i="1"/>
  <c r="AY102" i="1"/>
  <c r="AX102" i="1"/>
  <c r="AW102" i="1"/>
  <c r="K102" i="1" a="1"/>
  <c r="K102" i="1" s="1"/>
  <c r="J102" i="1" a="1"/>
  <c r="J102" i="1" s="1"/>
  <c r="F102" i="1" a="1"/>
  <c r="F102" i="1" s="1"/>
  <c r="AZ101" i="1"/>
  <c r="AY101" i="1"/>
  <c r="AX101" i="1"/>
  <c r="AW101" i="1"/>
  <c r="K101" i="1" a="1"/>
  <c r="K101" i="1" s="1"/>
  <c r="J101" i="1" a="1"/>
  <c r="J101" i="1" s="1"/>
  <c r="F101" i="1" a="1"/>
  <c r="F101" i="1" s="1"/>
  <c r="AZ99" i="1"/>
  <c r="AY99" i="1"/>
  <c r="AX99" i="1"/>
  <c r="AW99" i="1"/>
  <c r="K99" i="1" a="1"/>
  <c r="K99" i="1" s="1"/>
  <c r="J99" i="1" a="1"/>
  <c r="J99" i="1" s="1"/>
  <c r="F99" i="1" a="1"/>
  <c r="F99" i="1" s="1"/>
  <c r="AZ98" i="1"/>
  <c r="AY98" i="1"/>
  <c r="AX98" i="1"/>
  <c r="AW98" i="1"/>
  <c r="K98" i="1" a="1"/>
  <c r="K98" i="1" s="1"/>
  <c r="J98" i="1" a="1"/>
  <c r="J98" i="1" s="1"/>
  <c r="F98" i="1" a="1"/>
  <c r="F98" i="1" s="1"/>
  <c r="AZ96" i="1"/>
  <c r="AY96" i="1"/>
  <c r="AX96" i="1"/>
  <c r="AW96" i="1"/>
  <c r="AU96" i="1"/>
  <c r="AS96" i="1"/>
  <c r="K96" i="1" a="1"/>
  <c r="K96" i="1" s="1"/>
  <c r="J96" i="1" a="1"/>
  <c r="J96" i="1" s="1"/>
  <c r="F96" i="1" a="1"/>
  <c r="F96" i="1" s="1"/>
  <c r="AZ95" i="1"/>
  <c r="AY95" i="1"/>
  <c r="AX95" i="1"/>
  <c r="AW95" i="1"/>
  <c r="AU95" i="1"/>
  <c r="AS95" i="1"/>
  <c r="K95" i="1" a="1"/>
  <c r="K95" i="1" s="1"/>
  <c r="J95" i="1" a="1"/>
  <c r="J95" i="1" s="1"/>
  <c r="F95" i="1" a="1"/>
  <c r="F95" i="1" s="1"/>
  <c r="AZ93" i="1"/>
  <c r="AY93" i="1"/>
  <c r="AX93" i="1"/>
  <c r="AW93" i="1"/>
  <c r="AU93" i="1"/>
  <c r="AT93" i="1"/>
  <c r="AS93" i="1"/>
  <c r="K93" i="1" a="1"/>
  <c r="K93" i="1" s="1"/>
  <c r="J93" i="1" a="1"/>
  <c r="J93" i="1" s="1"/>
  <c r="F93" i="1" a="1"/>
  <c r="F93" i="1" s="1"/>
  <c r="AZ92" i="1"/>
  <c r="AY92" i="1"/>
  <c r="AX92" i="1"/>
  <c r="AW92" i="1"/>
  <c r="AU92" i="1"/>
  <c r="AT92" i="1"/>
  <c r="AS92" i="1"/>
  <c r="K92" i="1" a="1"/>
  <c r="K92" i="1" s="1"/>
  <c r="J92" i="1" a="1"/>
  <c r="J92" i="1" s="1"/>
  <c r="F92" i="1" a="1"/>
  <c r="F92" i="1" s="1"/>
  <c r="AZ90" i="1"/>
  <c r="AY90" i="1"/>
  <c r="AX90" i="1"/>
  <c r="AW90" i="1"/>
  <c r="AU90" i="1"/>
  <c r="AT90" i="1"/>
  <c r="AS90" i="1"/>
  <c r="K90" i="1" a="1"/>
  <c r="K90" i="1" s="1"/>
  <c r="J90" i="1" a="1"/>
  <c r="J90" i="1" s="1"/>
  <c r="F90" i="1" a="1"/>
  <c r="F90" i="1" s="1"/>
  <c r="AZ89" i="1"/>
  <c r="AY89" i="1"/>
  <c r="AX89" i="1"/>
  <c r="AW89" i="1"/>
  <c r="AU89" i="1"/>
  <c r="AT89" i="1"/>
  <c r="AS89" i="1"/>
  <c r="K89" i="1" a="1"/>
  <c r="K89" i="1" s="1"/>
  <c r="J89" i="1" a="1"/>
  <c r="J89" i="1" s="1"/>
  <c r="F89" i="1" a="1"/>
  <c r="F89" i="1" s="1"/>
  <c r="AZ87" i="1"/>
  <c r="AY87" i="1"/>
  <c r="AX87" i="1"/>
  <c r="AW87" i="1"/>
  <c r="AU87" i="1"/>
  <c r="AT87" i="1"/>
  <c r="AS87" i="1"/>
  <c r="K87" i="1" a="1"/>
  <c r="K87" i="1" s="1"/>
  <c r="J87" i="1" a="1"/>
  <c r="J87" i="1" s="1"/>
  <c r="F87" i="1" a="1"/>
  <c r="F87" i="1" s="1"/>
  <c r="AZ86" i="1"/>
  <c r="AY86" i="1"/>
  <c r="AX86" i="1"/>
  <c r="AW86" i="1"/>
  <c r="AU86" i="1"/>
  <c r="AT86" i="1"/>
  <c r="AS86" i="1"/>
  <c r="K86" i="1" a="1"/>
  <c r="K86" i="1" s="1"/>
  <c r="J86" i="1" a="1"/>
  <c r="J86" i="1" s="1"/>
  <c r="F86" i="1" a="1"/>
  <c r="F86" i="1" s="1"/>
  <c r="AZ164" i="1"/>
  <c r="AY164" i="1"/>
  <c r="AX164" i="1"/>
  <c r="AW164" i="1"/>
  <c r="AU164" i="1"/>
  <c r="AS164" i="1"/>
  <c r="K164" i="1" a="1"/>
  <c r="K164" i="1" s="1"/>
  <c r="J164" i="1" a="1"/>
  <c r="J164" i="1" s="1"/>
  <c r="F164" i="1" a="1"/>
  <c r="F164" i="1" s="1"/>
  <c r="AZ163" i="1"/>
  <c r="AY163" i="1"/>
  <c r="AX163" i="1"/>
  <c r="AW163" i="1"/>
  <c r="AU163" i="1"/>
  <c r="AS163" i="1"/>
  <c r="K163" i="1" a="1"/>
  <c r="K163" i="1" s="1"/>
  <c r="J163" i="1" a="1"/>
  <c r="J163" i="1" s="1"/>
  <c r="F163" i="1" a="1"/>
  <c r="F163" i="1" s="1"/>
  <c r="AZ161" i="1"/>
  <c r="AY161" i="1"/>
  <c r="AX161" i="1"/>
  <c r="AW161" i="1"/>
  <c r="AU161" i="1"/>
  <c r="AS161" i="1"/>
  <c r="K161" i="1" a="1"/>
  <c r="K161" i="1" s="1"/>
  <c r="J161" i="1" a="1"/>
  <c r="J161" i="1" s="1"/>
  <c r="F161" i="1" a="1"/>
  <c r="F161" i="1" s="1"/>
  <c r="AZ160" i="1"/>
  <c r="AY160" i="1"/>
  <c r="AX160" i="1"/>
  <c r="AW160" i="1"/>
  <c r="AU160" i="1"/>
  <c r="AS160" i="1"/>
  <c r="K160" i="1" a="1"/>
  <c r="K160" i="1" s="1"/>
  <c r="J160" i="1" a="1"/>
  <c r="J160" i="1" s="1"/>
  <c r="F160" i="1" a="1"/>
  <c r="F160" i="1" s="1"/>
  <c r="BM2460" i="1" l="1" a="1"/>
  <c r="BM2460" i="1" s="1"/>
  <c r="BJ2460" i="1" s="1" a="1"/>
  <c r="BJ2460" i="1" s="1"/>
  <c r="AT2461" i="1"/>
  <c r="E2466" i="1" a="1"/>
  <c r="E2466" i="1" s="1"/>
  <c r="BM2461" i="1" a="1"/>
  <c r="BM2461" i="1" s="1"/>
  <c r="BJ2461" i="1" s="1" a="1"/>
  <c r="BJ2461" i="1" s="1"/>
  <c r="AT2460" i="1"/>
  <c r="BK2460" i="1"/>
  <c r="BK2461" i="1"/>
  <c r="E2461" i="1" a="1"/>
  <c r="E2461" i="1" s="1"/>
  <c r="BL2469" i="1" a="1"/>
  <c r="BL2469" i="1" s="1"/>
  <c r="E2470" i="1" a="1"/>
  <c r="E2470" i="1" s="1"/>
  <c r="E2467" i="1" a="1"/>
  <c r="E2467" i="1" s="1"/>
  <c r="BJ2539" i="1" a="1"/>
  <c r="BJ2539" i="1" s="1"/>
  <c r="BJ2591" i="1" a="1"/>
  <c r="BJ2591" i="1" s="1"/>
  <c r="BJ2548" i="1" a="1"/>
  <c r="BJ2548" i="1" s="1"/>
  <c r="BJ2632" i="1" a="1"/>
  <c r="BJ2632" i="1" s="1"/>
  <c r="BJ2544" i="1" a="1"/>
  <c r="BJ2544" i="1" s="1"/>
  <c r="BJ2732" i="1" a="1"/>
  <c r="BJ2732" i="1" s="1"/>
  <c r="BL2545" i="1" a="1"/>
  <c r="BL2545" i="1" s="1"/>
  <c r="BJ2542" i="1" a="1"/>
  <c r="BJ2542" i="1" s="1"/>
  <c r="BJ2667" i="1" a="1"/>
  <c r="BJ2667" i="1" s="1"/>
  <c r="BJ2547" i="1" a="1"/>
  <c r="BJ2547" i="1" s="1"/>
  <c r="BJ2554" i="1" a="1"/>
  <c r="BJ2554" i="1" s="1"/>
  <c r="BL2733" i="1" a="1"/>
  <c r="BL2733" i="1" s="1"/>
  <c r="BJ2733" i="1" a="1"/>
  <c r="BJ2733" i="1" s="1"/>
  <c r="BJ2729" i="1" a="1"/>
  <c r="BJ2729" i="1" s="1"/>
  <c r="BL2729" i="1" a="1"/>
  <c r="BL2729" i="1" s="1"/>
  <c r="BL2631" i="1" a="1"/>
  <c r="BL2631" i="1" s="1"/>
  <c r="BJ2631" i="1" a="1"/>
  <c r="BJ2631" i="1" s="1"/>
  <c r="BL2590" i="1" a="1"/>
  <c r="BL2590" i="1" s="1"/>
  <c r="BJ2590" i="1" a="1"/>
  <c r="BJ2590" i="1" s="1"/>
  <c r="BL2553" i="1" a="1"/>
  <c r="BL2553" i="1" s="1"/>
  <c r="BJ2553" i="1" a="1"/>
  <c r="BJ2553" i="1" s="1"/>
  <c r="BJ2550" i="1" a="1"/>
  <c r="BJ2550" i="1" s="1"/>
  <c r="BL2550" i="1" a="1"/>
  <c r="BL2550" i="1" s="1"/>
  <c r="BL2551" i="1" a="1"/>
  <c r="BL2551" i="1" s="1"/>
  <c r="BJ2551" i="1" a="1"/>
  <c r="BJ2551" i="1" s="1"/>
  <c r="BL2541" i="1" a="1"/>
  <c r="BL2541" i="1" s="1"/>
  <c r="BJ2541" i="1" a="1"/>
  <c r="BJ2541" i="1" s="1"/>
  <c r="BL2538" i="1" a="1"/>
  <c r="BL2538" i="1" s="1"/>
  <c r="BJ2538" i="1" a="1"/>
  <c r="BJ2538" i="1" s="1"/>
  <c r="BL2731" i="1" a="1"/>
  <c r="BL2731" i="1" s="1"/>
  <c r="BJ2731" i="1" a="1"/>
  <c r="BJ2731" i="1" s="1"/>
  <c r="BN1992" i="1" a="1"/>
  <c r="BN1992" i="1" s="1"/>
  <c r="BN2002" i="1" a="1"/>
  <c r="BN2002" i="1" s="1"/>
  <c r="BN2012" i="1" a="1"/>
  <c r="BN2012" i="1" s="1"/>
  <c r="BN1980" i="1" a="1"/>
  <c r="BN1980" i="1" s="1"/>
  <c r="BN1949" i="1" a="1"/>
  <c r="BN1949" i="1" s="1"/>
  <c r="BI1981" i="1" a="1"/>
  <c r="BI1981" i="1" s="1"/>
  <c r="BI1942" i="1" a="1"/>
  <c r="BI1942" i="1" s="1"/>
  <c r="BI1959" i="1" a="1"/>
  <c r="BI1959" i="1" s="1"/>
  <c r="BI2009" i="1" a="1"/>
  <c r="BI2009" i="1" s="1"/>
  <c r="BI2012" i="1" a="1"/>
  <c r="BI2012" i="1" s="1"/>
  <c r="E2763" i="1" a="1"/>
  <c r="E2763" i="1" s="1"/>
  <c r="E2762" i="1" a="1"/>
  <c r="E2762" i="1" s="1"/>
  <c r="BN1944" i="1" a="1"/>
  <c r="BN1944" i="1" s="1"/>
  <c r="BI1957" i="1" a="1"/>
  <c r="BI1957" i="1" s="1"/>
  <c r="BI1962" i="1" a="1"/>
  <c r="BI1962" i="1" s="1"/>
  <c r="BN1991" i="1" a="1"/>
  <c r="BN1991" i="1" s="1"/>
  <c r="BN1999" i="1" a="1"/>
  <c r="BN1999" i="1" s="1"/>
  <c r="BN1945" i="1" a="1"/>
  <c r="BN1945" i="1" s="1"/>
  <c r="BI1947" i="1" a="1"/>
  <c r="BI1947" i="1" s="1"/>
  <c r="BM1954" i="1" a="1"/>
  <c r="BM1954" i="1" s="1"/>
  <c r="BJ1954" i="1" s="1" a="1"/>
  <c r="BJ1954" i="1" s="1"/>
  <c r="BI1967" i="1" a="1"/>
  <c r="BI1967" i="1" s="1"/>
  <c r="BN1984" i="1" a="1"/>
  <c r="BN1984" i="1" s="1"/>
  <c r="BM1945" i="1" a="1"/>
  <c r="BM1945" i="1" s="1"/>
  <c r="BJ1945" i="1" s="1" a="1"/>
  <c r="BJ1945" i="1" s="1"/>
  <c r="BN1987" i="1" a="1"/>
  <c r="BN1987" i="1" s="1"/>
  <c r="BM1942" i="1" a="1"/>
  <c r="BM1942" i="1" s="1"/>
  <c r="BJ1942" i="1" s="1" a="1"/>
  <c r="BJ1942" i="1" s="1"/>
  <c r="BM1947" i="1" a="1"/>
  <c r="BM1947" i="1" s="1"/>
  <c r="BJ1947" i="1" s="1" a="1"/>
  <c r="BJ1947" i="1" s="1"/>
  <c r="BI1951" i="1" a="1"/>
  <c r="BI1951" i="1" s="1"/>
  <c r="BN1995" i="1" a="1"/>
  <c r="BN1995" i="1" s="1"/>
  <c r="AT1935" i="1"/>
  <c r="BM1959" i="1" a="1"/>
  <c r="BM1959" i="1" s="1"/>
  <c r="BJ1959" i="1" s="1" a="1"/>
  <c r="BJ1959" i="1" s="1"/>
  <c r="BK1986" i="1"/>
  <c r="BM1937" i="1" a="1"/>
  <c r="BM1937" i="1" s="1"/>
  <c r="BJ1937" i="1" s="1" a="1"/>
  <c r="BJ1937" i="1" s="1"/>
  <c r="BN1947" i="1" a="1"/>
  <c r="BN1947" i="1" s="1"/>
  <c r="BI1952" i="1" a="1"/>
  <c r="BI1952" i="1" s="1"/>
  <c r="BK1979" i="1"/>
  <c r="BN1997" i="1" a="1"/>
  <c r="BN1997" i="1" s="1"/>
  <c r="BN1934" i="1" a="1"/>
  <c r="BN1934" i="1" s="1"/>
  <c r="BM1939" i="1" a="1"/>
  <c r="BM1939" i="1" s="1"/>
  <c r="BJ1939" i="1" s="1" a="1"/>
  <c r="BJ1939" i="1" s="1"/>
  <c r="BN1941" i="1" a="1"/>
  <c r="BN1941" i="1" s="1"/>
  <c r="AT1947" i="1"/>
  <c r="BM1955" i="1" a="1"/>
  <c r="BM1955" i="1" s="1"/>
  <c r="BJ1955" i="1" s="1" a="1"/>
  <c r="BJ1955" i="1" s="1"/>
  <c r="BK1965" i="1"/>
  <c r="BN1974" i="1" a="1"/>
  <c r="BN1974" i="1" s="1"/>
  <c r="BK1980" i="1"/>
  <c r="BM1982" i="1" a="1"/>
  <c r="BM1982" i="1" s="1"/>
  <c r="BJ1982" i="1" s="1" a="1"/>
  <c r="BJ1982" i="1" s="1"/>
  <c r="BN1996" i="1" a="1"/>
  <c r="BN1996" i="1" s="1"/>
  <c r="BI2004" i="1" a="1"/>
  <c r="BI2004" i="1" s="1"/>
  <c r="BI2010" i="1" a="1"/>
  <c r="BI2010" i="1" s="1"/>
  <c r="BI1941" i="1" a="1"/>
  <c r="BI1941" i="1" s="1"/>
  <c r="BM1967" i="1" a="1"/>
  <c r="BM1967" i="1" s="1"/>
  <c r="BJ1967" i="1" s="1" a="1"/>
  <c r="BJ1967" i="1" s="1"/>
  <c r="BM1992" i="1" a="1"/>
  <c r="BM1992" i="1" s="1"/>
  <c r="BJ1992" i="1" s="1" a="1"/>
  <c r="BJ1992" i="1" s="1"/>
  <c r="BM2007" i="1" a="1"/>
  <c r="BM2007" i="1" s="1"/>
  <c r="BJ2007" i="1" s="1" a="1"/>
  <c r="BJ2007" i="1" s="1"/>
  <c r="AT1936" i="1"/>
  <c r="BN1951" i="1" a="1"/>
  <c r="BN1951" i="1" s="1"/>
  <c r="AT1957" i="1"/>
  <c r="BN1960" i="1" a="1"/>
  <c r="BN1960" i="1" s="1"/>
  <c r="BM1977" i="1" a="1"/>
  <c r="BM1977" i="1" s="1"/>
  <c r="BJ1977" i="1" s="1" a="1"/>
  <c r="BJ1977" i="1" s="1"/>
  <c r="BK1990" i="1"/>
  <c r="BI1991" i="1" a="1"/>
  <c r="BI1991" i="1" s="1"/>
  <c r="BL2011" i="1" a="1"/>
  <c r="BL2011" i="1" s="1"/>
  <c r="BM1935" i="1" a="1"/>
  <c r="BM1935" i="1" s="1"/>
  <c r="BJ1935" i="1" s="1" a="1"/>
  <c r="BJ1935" i="1" s="1"/>
  <c r="BI1936" i="1" a="1"/>
  <c r="BI1936" i="1" s="1"/>
  <c r="BI1940" i="1" a="1"/>
  <c r="BI1940" i="1" s="1"/>
  <c r="BM1949" i="1" a="1"/>
  <c r="BM1949" i="1" s="1"/>
  <c r="BJ1949" i="1" s="1" a="1"/>
  <c r="BJ1949" i="1" s="1"/>
  <c r="BM1961" i="1" a="1"/>
  <c r="BM1961" i="1" s="1"/>
  <c r="BJ1961" i="1" s="1" a="1"/>
  <c r="BJ1961" i="1" s="1"/>
  <c r="BI1971" i="1" a="1"/>
  <c r="BI1971" i="1" s="1"/>
  <c r="BN1977" i="1" a="1"/>
  <c r="BN1977" i="1" s="1"/>
  <c r="BN2007" i="1" a="1"/>
  <c r="BN2007" i="1" s="1"/>
  <c r="BN1936" i="1" a="1"/>
  <c r="BN1936" i="1" s="1"/>
  <c r="BN1972" i="1" a="1"/>
  <c r="BN1972" i="1" s="1"/>
  <c r="BI1977" i="1" a="1"/>
  <c r="BI1977" i="1" s="1"/>
  <c r="BK2000" i="1"/>
  <c r="BN2008" i="1" a="1"/>
  <c r="BN2008" i="1" s="1"/>
  <c r="BI1944" i="1" a="1"/>
  <c r="BI1944" i="1" s="1"/>
  <c r="BM1987" i="1" a="1"/>
  <c r="BM1987" i="1" s="1"/>
  <c r="BJ1987" i="1" s="1" a="1"/>
  <c r="BJ1987" i="1" s="1"/>
  <c r="BM1934" i="1" a="1"/>
  <c r="BM1934" i="1" s="1"/>
  <c r="BJ1934" i="1" s="1" a="1"/>
  <c r="BJ1934" i="1" s="1"/>
  <c r="BM1940" i="1" a="1"/>
  <c r="BM1940" i="1" s="1"/>
  <c r="BJ1940" i="1" s="1" a="1"/>
  <c r="BJ1940" i="1" s="1"/>
  <c r="BK1949" i="1"/>
  <c r="BN1954" i="1" a="1"/>
  <c r="BN1954" i="1" s="1"/>
  <c r="BK1961" i="1"/>
  <c r="BN1962" i="1" a="1"/>
  <c r="BN1962" i="1" s="1"/>
  <c r="BI1964" i="1" a="1"/>
  <c r="BI1964" i="1" s="1"/>
  <c r="BK1969" i="1"/>
  <c r="BN1971" i="1" a="1"/>
  <c r="BN1971" i="1" s="1"/>
  <c r="BK1981" i="1"/>
  <c r="BN1985" i="1" a="1"/>
  <c r="BN1985" i="1" s="1"/>
  <c r="BN1989" i="1" a="1"/>
  <c r="BN1989" i="1" s="1"/>
  <c r="BK2009" i="1"/>
  <c r="BN2011" i="1" a="1"/>
  <c r="BN2011" i="1" s="1"/>
  <c r="BL1981" i="1" a="1"/>
  <c r="BL1981" i="1" s="1"/>
  <c r="BL2001" i="1" a="1"/>
  <c r="BL2001" i="1" s="1"/>
  <c r="BL1941" i="1" a="1"/>
  <c r="BL1941" i="1" s="1"/>
  <c r="BK1942" i="1"/>
  <c r="BM1952" i="1" a="1"/>
  <c r="BM1952" i="1" s="1"/>
  <c r="BJ1952" i="1" s="1" a="1"/>
  <c r="BJ1952" i="1" s="1"/>
  <c r="BK1959" i="1"/>
  <c r="BN1961" i="1" a="1"/>
  <c r="BN1961" i="1" s="1"/>
  <c r="BN1964" i="1" a="1"/>
  <c r="BN1964" i="1" s="1"/>
  <c r="BN1969" i="1" a="1"/>
  <c r="BN1969" i="1" s="1"/>
  <c r="BN1981" i="1" a="1"/>
  <c r="BN1981" i="1" s="1"/>
  <c r="BL2009" i="1" a="1"/>
  <c r="BL2009" i="1" s="1"/>
  <c r="BK2010" i="1"/>
  <c r="BK2012" i="1"/>
  <c r="BK1935" i="1"/>
  <c r="BN1940" i="1" a="1"/>
  <c r="BN1940" i="1" s="1"/>
  <c r="BI1945" i="1" a="1"/>
  <c r="BI1945" i="1" s="1"/>
  <c r="BK1946" i="1"/>
  <c r="BL1949" i="1" a="1"/>
  <c r="BL1949" i="1" s="1"/>
  <c r="BK1950" i="1"/>
  <c r="BN1955" i="1" a="1"/>
  <c r="BN1955" i="1" s="1"/>
  <c r="BK1956" i="1"/>
  <c r="BK1962" i="1"/>
  <c r="BM1970" i="1" a="1"/>
  <c r="BM1970" i="1" s="1"/>
  <c r="BJ1970" i="1" s="1" a="1"/>
  <c r="BJ1970" i="1" s="1"/>
  <c r="BM1972" i="1" a="1"/>
  <c r="BM1972" i="1" s="1"/>
  <c r="BJ1972" i="1" s="1" a="1"/>
  <c r="BJ1972" i="1" s="1"/>
  <c r="BI1974" i="1" a="1"/>
  <c r="BI1974" i="1" s="1"/>
  <c r="BK1976" i="1"/>
  <c r="BN1979" i="1" a="1"/>
  <c r="BN1979" i="1" s="1"/>
  <c r="BK1982" i="1"/>
  <c r="BN1986" i="1" a="1"/>
  <c r="BN1986" i="1" s="1"/>
  <c r="BL1990" i="1" a="1"/>
  <c r="BL1990" i="1" s="1"/>
  <c r="BL1992" i="1" a="1"/>
  <c r="BL1992" i="1" s="1"/>
  <c r="BI1996" i="1" a="1"/>
  <c r="BI1996" i="1" s="1"/>
  <c r="BM1997" i="1" a="1"/>
  <c r="BM1997" i="1" s="1"/>
  <c r="BJ1997" i="1" s="1" a="1"/>
  <c r="BJ1997" i="1" s="1"/>
  <c r="BN2000" i="1" a="1"/>
  <c r="BN2000" i="1" s="1"/>
  <c r="BI2001" i="1" a="1"/>
  <c r="BI2001" i="1" s="1"/>
  <c r="BK2002" i="1"/>
  <c r="BN2005" i="1" a="1"/>
  <c r="BN2005" i="1" s="1"/>
  <c r="BK2006" i="1"/>
  <c r="BM2010" i="1" a="1"/>
  <c r="BM2010" i="1" s="1"/>
  <c r="BJ2010" i="1" s="1" a="1"/>
  <c r="BJ2010" i="1" s="1"/>
  <c r="BK1939" i="1"/>
  <c r="BL1952" i="1" a="1"/>
  <c r="BL1952" i="1" s="1"/>
  <c r="AT1956" i="1"/>
  <c r="BM1962" i="1" a="1"/>
  <c r="BM1962" i="1" s="1"/>
  <c r="BJ1962" i="1" s="1" a="1"/>
  <c r="BJ1962" i="1" s="1"/>
  <c r="BN1966" i="1" a="1"/>
  <c r="BN1966" i="1" s="1"/>
  <c r="BM1990" i="1" a="1"/>
  <c r="BM1990" i="1" s="1"/>
  <c r="BJ1990" i="1" s="1" a="1"/>
  <c r="BJ1990" i="1" s="1"/>
  <c r="BN2001" i="1" a="1"/>
  <c r="BN2001" i="1" s="1"/>
  <c r="BM2005" i="1" a="1"/>
  <c r="BM2005" i="1" s="1"/>
  <c r="BJ2005" i="1" s="1" a="1"/>
  <c r="BJ2005" i="1" s="1"/>
  <c r="BK2008" i="1"/>
  <c r="BN1935" i="1" a="1"/>
  <c r="BN1935" i="1" s="1"/>
  <c r="BK1936" i="1"/>
  <c r="BK1941" i="1"/>
  <c r="AT1946" i="1"/>
  <c r="BN1950" i="1" a="1"/>
  <c r="BN1950" i="1" s="1"/>
  <c r="BK1951" i="1"/>
  <c r="BK1954" i="1"/>
  <c r="BN1956" i="1" a="1"/>
  <c r="BN1956" i="1" s="1"/>
  <c r="BM1960" i="1" a="1"/>
  <c r="BM1960" i="1" s="1"/>
  <c r="BJ1960" i="1" s="1" a="1"/>
  <c r="BJ1960" i="1" s="1"/>
  <c r="BN1970" i="1" a="1"/>
  <c r="BN1970" i="1" s="1"/>
  <c r="BL1972" i="1" a="1"/>
  <c r="BL1972" i="1" s="1"/>
  <c r="BI1986" i="1" a="1"/>
  <c r="BI1986" i="1" s="1"/>
  <c r="BK1991" i="1"/>
  <c r="BN1994" i="1" a="1"/>
  <c r="BN1994" i="1" s="1"/>
  <c r="BK1995" i="1"/>
  <c r="BM2000" i="1" a="1"/>
  <c r="BM2000" i="1" s="1"/>
  <c r="BJ2000" i="1" s="1" a="1"/>
  <c r="BJ2000" i="1" s="1"/>
  <c r="AT2006" i="1"/>
  <c r="BN2010" i="1" a="1"/>
  <c r="BN2010" i="1" s="1"/>
  <c r="BM2012" i="1" a="1"/>
  <c r="BM2012" i="1" s="1"/>
  <c r="BJ2012" i="1" s="1" a="1"/>
  <c r="BJ2012" i="1" s="1"/>
  <c r="BL1939" i="1" a="1"/>
  <c r="BL1939" i="1" s="1"/>
  <c r="BK1944" i="1"/>
  <c r="BK1964" i="1"/>
  <c r="BL1970" i="1" a="1"/>
  <c r="BL1970" i="1" s="1"/>
  <c r="BK1971" i="1"/>
  <c r="AT1976" i="1"/>
  <c r="BK1985" i="1"/>
  <c r="BK1989" i="1"/>
  <c r="BL1991" i="1" a="1"/>
  <c r="BL1991" i="1" s="1"/>
  <c r="BM2002" i="1" a="1"/>
  <c r="BM2002" i="1" s="1"/>
  <c r="BJ2002" i="1" s="1" a="1"/>
  <c r="BJ2002" i="1" s="1"/>
  <c r="BK2011" i="1"/>
  <c r="BK1934" i="1"/>
  <c r="BI1935" i="1" a="1"/>
  <c r="BI1935" i="1" s="1"/>
  <c r="BK1940" i="1"/>
  <c r="AT1955" i="1"/>
  <c r="BM1957" i="1" a="1"/>
  <c r="BM1957" i="1" s="1"/>
  <c r="BJ1957" i="1" s="1" a="1"/>
  <c r="BJ1957" i="1" s="1"/>
  <c r="BK1974" i="1"/>
  <c r="BL1980" i="1" a="1"/>
  <c r="BL1980" i="1" s="1"/>
  <c r="BK1999" i="1"/>
  <c r="BK2001" i="1"/>
  <c r="BK2004" i="1"/>
  <c r="BM2009" i="1" a="1"/>
  <c r="BM2009" i="1" s="1"/>
  <c r="BJ2009" i="1" s="1" a="1"/>
  <c r="BJ2009" i="1" s="1"/>
  <c r="BN2009" i="1" a="1"/>
  <c r="BN2009" i="1" s="1"/>
  <c r="BM2011" i="1" a="1"/>
  <c r="BM2011" i="1" s="1"/>
  <c r="BJ2011" i="1" s="1" a="1"/>
  <c r="BJ2011" i="1" s="1"/>
  <c r="BL2010" i="1" a="1"/>
  <c r="BL2010" i="1" s="1"/>
  <c r="BI2011" i="1" a="1"/>
  <c r="BI2011" i="1" s="1"/>
  <c r="BL2012" i="1" a="1"/>
  <c r="BL2012" i="1" s="1"/>
  <c r="BK2005" i="1"/>
  <c r="BM2004" i="1" a="1"/>
  <c r="BM2004" i="1" s="1"/>
  <c r="BJ2004" i="1" s="1" a="1"/>
  <c r="BJ2004" i="1" s="1"/>
  <c r="AT2005" i="1"/>
  <c r="BI2007" i="1" a="1"/>
  <c r="BI2007" i="1" s="1"/>
  <c r="BN2004" i="1" a="1"/>
  <c r="BN2004" i="1" s="1"/>
  <c r="BM2006" i="1" a="1"/>
  <c r="BM2006" i="1" s="1"/>
  <c r="BJ2006" i="1" s="1" a="1"/>
  <c r="BJ2006" i="1" s="1"/>
  <c r="AT2007" i="1"/>
  <c r="AT2004" i="1"/>
  <c r="BI2006" i="1" a="1"/>
  <c r="BI2006" i="1" s="1"/>
  <c r="BN2006" i="1" a="1"/>
  <c r="BN2006" i="1" s="1"/>
  <c r="BK2007" i="1"/>
  <c r="BI2005" i="1" a="1"/>
  <c r="BI2005" i="1" s="1"/>
  <c r="E2000" i="1" a="1"/>
  <c r="E2000" i="1" s="1"/>
  <c r="BL2000" i="1" a="1"/>
  <c r="BL2000" i="1" s="1"/>
  <c r="E2002" i="1" a="1"/>
  <c r="E2002" i="1" s="1"/>
  <c r="BL1999" i="1" a="1"/>
  <c r="BL1999" i="1" s="1"/>
  <c r="BM2001" i="1" a="1"/>
  <c r="BM2001" i="1" s="1"/>
  <c r="BJ2001" i="1" s="1" a="1"/>
  <c r="BJ2001" i="1" s="1"/>
  <c r="BI2002" i="1" a="1"/>
  <c r="BI2002" i="1" s="1"/>
  <c r="BM1999" i="1" a="1"/>
  <c r="BM1999" i="1" s="1"/>
  <c r="BJ1999" i="1" s="1" a="1"/>
  <c r="BJ1999" i="1" s="1"/>
  <c r="BI1999" i="1" a="1"/>
  <c r="BI1999" i="1" s="1"/>
  <c r="E1999" i="1" a="1"/>
  <c r="E1999" i="1" s="1"/>
  <c r="BL2002" i="1" a="1"/>
  <c r="BL2002" i="1" s="1"/>
  <c r="BI2000" i="1" a="1"/>
  <c r="BI2000" i="1" s="1"/>
  <c r="BK1994" i="1"/>
  <c r="E1996" i="1" a="1"/>
  <c r="E1996" i="1" s="1"/>
  <c r="E1994" i="1" a="1"/>
  <c r="E1994" i="1" s="1"/>
  <c r="BK1996" i="1"/>
  <c r="BM1996" i="1" a="1"/>
  <c r="BM1996" i="1" s="1"/>
  <c r="BJ1996" i="1" s="1" a="1"/>
  <c r="BJ1996" i="1" s="1"/>
  <c r="BI1997" i="1" a="1"/>
  <c r="BI1997" i="1" s="1"/>
  <c r="BM1994" i="1" a="1"/>
  <c r="BM1994" i="1" s="1"/>
  <c r="BJ1994" i="1" s="1" a="1"/>
  <c r="BJ1994" i="1" s="1"/>
  <c r="BI1995" i="1" a="1"/>
  <c r="BI1995" i="1" s="1"/>
  <c r="AT1997" i="1"/>
  <c r="BI1994" i="1" a="1"/>
  <c r="BI1994" i="1" s="1"/>
  <c r="E1995" i="1" a="1"/>
  <c r="E1995" i="1" s="1"/>
  <c r="AT1996" i="1"/>
  <c r="AT1995" i="1"/>
  <c r="BK1997" i="1"/>
  <c r="BM1995" i="1" a="1"/>
  <c r="BM1995" i="1" s="1"/>
  <c r="BJ1995" i="1" s="1" a="1"/>
  <c r="BJ1995" i="1" s="1"/>
  <c r="AT1994" i="1"/>
  <c r="E1992" i="1" a="1"/>
  <c r="E1992" i="1" s="1"/>
  <c r="E1989" i="1" a="1"/>
  <c r="E1989" i="1" s="1"/>
  <c r="BL1989" i="1" a="1"/>
  <c r="BL1989" i="1" s="1"/>
  <c r="BM1991" i="1" a="1"/>
  <c r="BM1991" i="1" s="1"/>
  <c r="BJ1991" i="1" s="1" a="1"/>
  <c r="BJ1991" i="1" s="1"/>
  <c r="BI1992" i="1" a="1"/>
  <c r="BI1992" i="1" s="1"/>
  <c r="BM1989" i="1" a="1"/>
  <c r="BM1989" i="1" s="1"/>
  <c r="BJ1989" i="1" s="1" a="1"/>
  <c r="BJ1989" i="1" s="1"/>
  <c r="BI1990" i="1" a="1"/>
  <c r="BI1990" i="1" s="1"/>
  <c r="E1991" i="1" a="1"/>
  <c r="E1991" i="1" s="1"/>
  <c r="BI1989" i="1" a="1"/>
  <c r="BI1989" i="1" s="1"/>
  <c r="E1990" i="1" a="1"/>
  <c r="E1990" i="1" s="1"/>
  <c r="BN1990" i="1" a="1"/>
  <c r="BN1990" i="1" s="1"/>
  <c r="BK1992" i="1"/>
  <c r="BK1984" i="1"/>
  <c r="BK1987" i="1"/>
  <c r="E1984" i="1" a="1"/>
  <c r="E1984" i="1" s="1"/>
  <c r="E1987" i="1" a="1"/>
  <c r="E1987" i="1" s="1"/>
  <c r="BM1986" i="1" a="1"/>
  <c r="BM1986" i="1" s="1"/>
  <c r="BJ1986" i="1" s="1" a="1"/>
  <c r="BJ1986" i="1" s="1"/>
  <c r="BI1987" i="1" a="1"/>
  <c r="BI1987" i="1" s="1"/>
  <c r="BM1984" i="1" a="1"/>
  <c r="BM1984" i="1" s="1"/>
  <c r="BJ1984" i="1" s="1" a="1"/>
  <c r="BJ1984" i="1" s="1"/>
  <c r="BI1985" i="1" a="1"/>
  <c r="BI1985" i="1" s="1"/>
  <c r="E1986" i="1" a="1"/>
  <c r="E1986" i="1" s="1"/>
  <c r="AT1987" i="1"/>
  <c r="BI1984" i="1" a="1"/>
  <c r="BI1984" i="1" s="1"/>
  <c r="E1985" i="1" a="1"/>
  <c r="E1985" i="1" s="1"/>
  <c r="AT1986" i="1"/>
  <c r="BM1985" i="1" a="1"/>
  <c r="BM1985" i="1" s="1"/>
  <c r="BJ1985" i="1" s="1" a="1"/>
  <c r="BJ1985" i="1" s="1"/>
  <c r="AT1985" i="1"/>
  <c r="AT1984" i="1"/>
  <c r="E1979" i="1" a="1"/>
  <c r="E1979" i="1" s="1"/>
  <c r="E1982" i="1" a="1"/>
  <c r="E1982" i="1" s="1"/>
  <c r="BL1982" i="1" a="1"/>
  <c r="BL1982" i="1" s="1"/>
  <c r="BL1979" i="1" a="1"/>
  <c r="BL1979" i="1" s="1"/>
  <c r="BM1981" i="1" a="1"/>
  <c r="BM1981" i="1" s="1"/>
  <c r="BJ1981" i="1" s="1" a="1"/>
  <c r="BJ1981" i="1" s="1"/>
  <c r="BI1982" i="1" a="1"/>
  <c r="BI1982" i="1" s="1"/>
  <c r="BM1980" i="1" a="1"/>
  <c r="BM1980" i="1" s="1"/>
  <c r="BJ1980" i="1" s="1" a="1"/>
  <c r="BJ1980" i="1" s="1"/>
  <c r="BN1982" i="1" a="1"/>
  <c r="BN1982" i="1" s="1"/>
  <c r="BM1979" i="1" a="1"/>
  <c r="BM1979" i="1" s="1"/>
  <c r="BJ1979" i="1" s="1" a="1"/>
  <c r="BJ1979" i="1" s="1"/>
  <c r="BI1980" i="1" a="1"/>
  <c r="BI1980" i="1" s="1"/>
  <c r="E1981" i="1" a="1"/>
  <c r="E1981" i="1" s="1"/>
  <c r="BI1979" i="1" a="1"/>
  <c r="BI1979" i="1" s="1"/>
  <c r="E1980" i="1" a="1"/>
  <c r="E1980" i="1" s="1"/>
  <c r="E1975" i="1" a="1"/>
  <c r="E1975" i="1" s="1"/>
  <c r="BK1977" i="1"/>
  <c r="E1977" i="1" a="1"/>
  <c r="E1977" i="1" s="1"/>
  <c r="BK1975" i="1"/>
  <c r="BM1976" i="1" a="1"/>
  <c r="BM1976" i="1" s="1"/>
  <c r="BJ1976" i="1" s="1" a="1"/>
  <c r="BJ1976" i="1" s="1"/>
  <c r="BM1975" i="1" a="1"/>
  <c r="BM1975" i="1" s="1"/>
  <c r="BJ1975" i="1" s="1" a="1"/>
  <c r="BJ1975" i="1" s="1"/>
  <c r="BI1976" i="1" a="1"/>
  <c r="BI1976" i="1" s="1"/>
  <c r="BM1974" i="1" a="1"/>
  <c r="BM1974" i="1" s="1"/>
  <c r="BJ1974" i="1" s="1" a="1"/>
  <c r="BJ1974" i="1" s="1"/>
  <c r="BI1975" i="1" a="1"/>
  <c r="BI1975" i="1" s="1"/>
  <c r="E1976" i="1" a="1"/>
  <c r="E1976" i="1" s="1"/>
  <c r="BN1976" i="1" a="1"/>
  <c r="BN1976" i="1" s="1"/>
  <c r="AT1977" i="1"/>
  <c r="E1974" i="1" a="1"/>
  <c r="E1974" i="1" s="1"/>
  <c r="AT1975" i="1"/>
  <c r="BN1975" i="1" a="1"/>
  <c r="BN1975" i="1" s="1"/>
  <c r="AT1974" i="1"/>
  <c r="E1969" i="1" a="1"/>
  <c r="E1969" i="1" s="1"/>
  <c r="BL1971" i="1" a="1"/>
  <c r="BL1971" i="1" s="1"/>
  <c r="E1971" i="1" a="1"/>
  <c r="E1971" i="1" s="1"/>
  <c r="BL1969" i="1" a="1"/>
  <c r="BL1969" i="1" s="1"/>
  <c r="BM1971" i="1" a="1"/>
  <c r="BM1971" i="1" s="1"/>
  <c r="BJ1971" i="1" s="1" a="1"/>
  <c r="BJ1971" i="1" s="1"/>
  <c r="BI1972" i="1" a="1"/>
  <c r="BI1972" i="1" s="1"/>
  <c r="BK1970" i="1"/>
  <c r="BM1969" i="1" a="1"/>
  <c r="BM1969" i="1" s="1"/>
  <c r="BJ1969" i="1" s="1" a="1"/>
  <c r="BJ1969" i="1" s="1"/>
  <c r="BI1970" i="1" a="1"/>
  <c r="BI1970" i="1" s="1"/>
  <c r="BI1969" i="1" a="1"/>
  <c r="BI1969" i="1" s="1"/>
  <c r="E1970" i="1" a="1"/>
  <c r="E1970" i="1" s="1"/>
  <c r="BK1972" i="1"/>
  <c r="BK1966" i="1"/>
  <c r="E1966" i="1" a="1"/>
  <c r="E1966" i="1" s="1"/>
  <c r="E1964" i="1" a="1"/>
  <c r="E1964" i="1" s="1"/>
  <c r="BM1965" i="1" a="1"/>
  <c r="BM1965" i="1" s="1"/>
  <c r="BJ1965" i="1" s="1" a="1"/>
  <c r="BJ1965" i="1" s="1"/>
  <c r="BI1966" i="1" a="1"/>
  <c r="BI1966" i="1" s="1"/>
  <c r="E1967" i="1" a="1"/>
  <c r="E1967" i="1" s="1"/>
  <c r="BN1967" i="1" a="1"/>
  <c r="BN1967" i="1" s="1"/>
  <c r="BM1964" i="1" a="1"/>
  <c r="BM1964" i="1" s="1"/>
  <c r="BJ1964" i="1" s="1" a="1"/>
  <c r="BJ1964" i="1" s="1"/>
  <c r="BI1965" i="1" a="1"/>
  <c r="BI1965" i="1" s="1"/>
  <c r="AT1967" i="1"/>
  <c r="E1965" i="1" a="1"/>
  <c r="E1965" i="1" s="1"/>
  <c r="BN1965" i="1" a="1"/>
  <c r="BN1965" i="1" s="1"/>
  <c r="AT1966" i="1"/>
  <c r="AT1965" i="1"/>
  <c r="BK1967" i="1"/>
  <c r="BM1966" i="1" a="1"/>
  <c r="BM1966" i="1" s="1"/>
  <c r="BJ1966" i="1" s="1" a="1"/>
  <c r="BJ1966" i="1" s="1"/>
  <c r="AT1964" i="1"/>
  <c r="BN1959" i="1" a="1"/>
  <c r="BN1959" i="1" s="1"/>
  <c r="BK1960" i="1"/>
  <c r="BI1961" i="1" a="1"/>
  <c r="BI1961" i="1" s="1"/>
  <c r="BI1960" i="1" a="1"/>
  <c r="BI1960" i="1" s="1"/>
  <c r="BK1957" i="1"/>
  <c r="BI1954" i="1" a="1"/>
  <c r="BI1954" i="1" s="1"/>
  <c r="BN1957" i="1" a="1"/>
  <c r="BN1957" i="1" s="1"/>
  <c r="BK1955" i="1"/>
  <c r="BM1956" i="1" a="1"/>
  <c r="BM1956" i="1" s="1"/>
  <c r="BJ1956" i="1" s="1" a="1"/>
  <c r="BJ1956" i="1" s="1"/>
  <c r="AT1954" i="1"/>
  <c r="BI1956" i="1" a="1"/>
  <c r="BI1956" i="1" s="1"/>
  <c r="BI1955" i="1" a="1"/>
  <c r="BI1955" i="1" s="1"/>
  <c r="BL1951" i="1" a="1"/>
  <c r="BL1951" i="1" s="1"/>
  <c r="BI1949" i="1" a="1"/>
  <c r="BI1949" i="1" s="1"/>
  <c r="BN1952" i="1" a="1"/>
  <c r="BN1952" i="1" s="1"/>
  <c r="BM1951" i="1" a="1"/>
  <c r="BM1951" i="1" s="1"/>
  <c r="BJ1951" i="1" s="1" a="1"/>
  <c r="BJ1951" i="1" s="1"/>
  <c r="BL1950" i="1" a="1"/>
  <c r="BL1950" i="1" s="1"/>
  <c r="BK1952" i="1"/>
  <c r="BM1950" i="1" a="1"/>
  <c r="BM1950" i="1" s="1"/>
  <c r="BJ1950" i="1" s="1" a="1"/>
  <c r="BJ1950" i="1" s="1"/>
  <c r="BI1950" i="1" a="1"/>
  <c r="BI1950" i="1" s="1"/>
  <c r="BK1947" i="1"/>
  <c r="BM1944" i="1" a="1"/>
  <c r="BM1944" i="1" s="1"/>
  <c r="BJ1944" i="1" s="1" a="1"/>
  <c r="BJ1944" i="1" s="1"/>
  <c r="AT1945" i="1"/>
  <c r="BK1945" i="1"/>
  <c r="BM1946" i="1" a="1"/>
  <c r="BM1946" i="1" s="1"/>
  <c r="BJ1946" i="1" s="1" a="1"/>
  <c r="BJ1946" i="1" s="1"/>
  <c r="AT1944" i="1"/>
  <c r="BI1946" i="1" a="1"/>
  <c r="BI1946" i="1" s="1"/>
  <c r="BN1946" i="1" a="1"/>
  <c r="BN1946" i="1" s="1"/>
  <c r="BL1940" i="1" a="1"/>
  <c r="BL1940" i="1" s="1"/>
  <c r="BI1939" i="1" a="1"/>
  <c r="BI1939" i="1" s="1"/>
  <c r="BN1942" i="1" a="1"/>
  <c r="BN1942" i="1" s="1"/>
  <c r="BN1939" i="1" a="1"/>
  <c r="BN1939" i="1" s="1"/>
  <c r="BM1941" i="1" a="1"/>
  <c r="BM1941" i="1" s="1"/>
  <c r="BJ1941" i="1" s="1" a="1"/>
  <c r="BJ1941" i="1" s="1"/>
  <c r="BL1942" i="1" a="1"/>
  <c r="BL1942" i="1" s="1"/>
  <c r="BI1934" i="1" a="1"/>
  <c r="BI1934" i="1" s="1"/>
  <c r="BN1937" i="1" a="1"/>
  <c r="BN1937" i="1" s="1"/>
  <c r="BI1937" i="1" a="1"/>
  <c r="BI1937" i="1" s="1"/>
  <c r="BM1936" i="1" a="1"/>
  <c r="BM1936" i="1" s="1"/>
  <c r="BJ1936" i="1" s="1" a="1"/>
  <c r="BJ1936" i="1" s="1"/>
  <c r="AT1937" i="1"/>
  <c r="AT1934" i="1"/>
  <c r="BK1937" i="1"/>
  <c r="BM2008" i="1" a="1"/>
  <c r="BM2008" i="1" s="1"/>
  <c r="BJ2008" i="1" s="1" a="1"/>
  <c r="BJ2008" i="1" s="1"/>
  <c r="BI2008" i="1" a="1"/>
  <c r="BI2008" i="1" s="1"/>
  <c r="BL2008" i="1" a="1"/>
  <c r="BL2008" i="1" s="1"/>
  <c r="BI2406" i="1" a="1"/>
  <c r="BI2406" i="1" s="1"/>
  <c r="BI1192" i="1" a="1"/>
  <c r="BI1192" i="1" s="1"/>
  <c r="BN2013" i="1" a="1"/>
  <c r="BN2013" i="1" s="1"/>
  <c r="BN2021" i="1" a="1"/>
  <c r="BN2021" i="1" s="1"/>
  <c r="BN2407" i="1" a="1"/>
  <c r="BN2407" i="1" s="1"/>
  <c r="BN1197" i="1" a="1"/>
  <c r="BN1197" i="1" s="1"/>
  <c r="BM2019" i="1" a="1"/>
  <c r="BM2019" i="1" s="1"/>
  <c r="BJ2019" i="1" s="1" a="1"/>
  <c r="BJ2019" i="1" s="1"/>
  <c r="BI1190" i="1" a="1"/>
  <c r="BI1190" i="1" s="1"/>
  <c r="BM2405" i="1" a="1"/>
  <c r="BM2405" i="1" s="1"/>
  <c r="BJ2405" i="1" s="1" a="1"/>
  <c r="BJ2405" i="1" s="1"/>
  <c r="BN2397" i="1" a="1"/>
  <c r="BN2397" i="1" s="1"/>
  <c r="BI2015" i="1" a="1"/>
  <c r="BI2015" i="1" s="1"/>
  <c r="BN276" i="1" a="1"/>
  <c r="BN276" i="1" s="1"/>
  <c r="BI1196" i="1" a="1"/>
  <c r="BI1196" i="1" s="1"/>
  <c r="BI2016" i="1" a="1"/>
  <c r="BI2016" i="1" s="1"/>
  <c r="BK2406" i="1"/>
  <c r="BK2021" i="1"/>
  <c r="BI2396" i="1" a="1"/>
  <c r="BI2396" i="1" s="1"/>
  <c r="BM2016" i="1" a="1"/>
  <c r="BM2016" i="1" s="1"/>
  <c r="BJ2016" i="1" s="1" a="1"/>
  <c r="BJ2016" i="1" s="1"/>
  <c r="BI2020" i="1" a="1"/>
  <c r="BI2020" i="1" s="1"/>
  <c r="BI2401" i="1" a="1"/>
  <c r="BI2401" i="1" s="1"/>
  <c r="BN2402" i="1" a="1"/>
  <c r="BN2402" i="1" s="1"/>
  <c r="BK2014" i="1"/>
  <c r="BI2021" i="1" a="1"/>
  <c r="BI2021" i="1" s="1"/>
  <c r="BI2397" i="1" a="1"/>
  <c r="BI2397" i="1" s="1"/>
  <c r="BN275" i="1" a="1"/>
  <c r="BN275" i="1" s="1"/>
  <c r="BM1190" i="1" a="1"/>
  <c r="BM1190" i="1" s="1"/>
  <c r="BJ1190" i="1" s="1" a="1"/>
  <c r="BJ1190" i="1" s="1"/>
  <c r="BK1196" i="1"/>
  <c r="BI276" i="1" a="1"/>
  <c r="BI276" i="1" s="1"/>
  <c r="BN1189" i="1" a="1"/>
  <c r="BN1189" i="1" s="1"/>
  <c r="BL2405" i="1" a="1"/>
  <c r="BL2405" i="1" s="1"/>
  <c r="BL2403" i="1" a="1"/>
  <c r="BL2403" i="1" s="1"/>
  <c r="BM273" i="1" a="1"/>
  <c r="BM273" i="1" s="1"/>
  <c r="BJ273" i="1" s="1" a="1"/>
  <c r="BJ273" i="1" s="1"/>
  <c r="BM274" i="1" a="1"/>
  <c r="BM274" i="1" s="1"/>
  <c r="BJ274" i="1" s="1" a="1"/>
  <c r="BJ274" i="1" s="1"/>
  <c r="BK1191" i="1"/>
  <c r="BK2018" i="1"/>
  <c r="BM2021" i="1" a="1"/>
  <c r="BM2021" i="1" s="1"/>
  <c r="BJ2021" i="1" s="1" a="1"/>
  <c r="BJ2021" i="1" s="1"/>
  <c r="BL2396" i="1" a="1"/>
  <c r="BL2396" i="1" s="1"/>
  <c r="BN2399" i="1" a="1"/>
  <c r="BN2399" i="1" s="1"/>
  <c r="BK2404" i="1"/>
  <c r="BN1190" i="1" a="1"/>
  <c r="BN1190" i="1" s="1"/>
  <c r="BK1192" i="1"/>
  <c r="BL2014" i="1" a="1"/>
  <c r="BL2014" i="1" s="1"/>
  <c r="BK2019" i="1"/>
  <c r="BL2406" i="1" a="1"/>
  <c r="BL2406" i="1" s="1"/>
  <c r="BN273" i="1" a="1"/>
  <c r="BN273" i="1" s="1"/>
  <c r="BN274" i="1" a="1"/>
  <c r="BN274" i="1" s="1"/>
  <c r="BM1192" i="1" a="1"/>
  <c r="BM1192" i="1" s="1"/>
  <c r="BJ1192" i="1" s="1" a="1"/>
  <c r="BJ1192" i="1" s="1"/>
  <c r="BK2015" i="1"/>
  <c r="AT2018" i="1"/>
  <c r="BK2394" i="1"/>
  <c r="BN2396" i="1" a="1"/>
  <c r="BN2396" i="1" s="1"/>
  <c r="BM2400" i="1" a="1"/>
  <c r="BM2400" i="1" s="1"/>
  <c r="BJ2400" i="1" s="1" a="1"/>
  <c r="BJ2400" i="1" s="1"/>
  <c r="BK2401" i="1"/>
  <c r="BN2404" i="1" a="1"/>
  <c r="BN2404" i="1" s="1"/>
  <c r="BK2405" i="1"/>
  <c r="BK2407" i="1"/>
  <c r="BM1196" i="1" a="1"/>
  <c r="BM1196" i="1" s="1"/>
  <c r="BJ1196" i="1" s="1" a="1"/>
  <c r="BJ1196" i="1" s="1"/>
  <c r="BM1197" i="1" a="1"/>
  <c r="BM1197" i="1" s="1"/>
  <c r="BJ1197" i="1" s="1" a="1"/>
  <c r="BJ1197" i="1" s="1"/>
  <c r="BK2397" i="1"/>
  <c r="BI274" i="1" a="1"/>
  <c r="BI274" i="1" s="1"/>
  <c r="BK276" i="1"/>
  <c r="BK1194" i="1"/>
  <c r="BL2015" i="1" a="1"/>
  <c r="BL2015" i="1" s="1"/>
  <c r="BN2394" i="1" a="1"/>
  <c r="BN2394" i="1" s="1"/>
  <c r="BK2395" i="1"/>
  <c r="BM2397" i="1" a="1"/>
  <c r="BM2397" i="1" s="1"/>
  <c r="BJ2397" i="1" s="1" a="1"/>
  <c r="BJ2397" i="1" s="1"/>
  <c r="BM2402" i="1" a="1"/>
  <c r="BM2402" i="1" s="1"/>
  <c r="BJ2402" i="1" s="1" a="1"/>
  <c r="BJ2402" i="1" s="1"/>
  <c r="BN2405" i="1" a="1"/>
  <c r="BN2405" i="1" s="1"/>
  <c r="BM276" i="1" a="1"/>
  <c r="BM276" i="1" s="1"/>
  <c r="BJ276" i="1" s="1" a="1"/>
  <c r="BJ276" i="1" s="1"/>
  <c r="BK2013" i="1"/>
  <c r="BK2020" i="1"/>
  <c r="BM2407" i="1" a="1"/>
  <c r="BM2407" i="1" s="1"/>
  <c r="BJ2407" i="1" s="1" a="1"/>
  <c r="BJ2407" i="1" s="1"/>
  <c r="BM2403" i="1" a="1"/>
  <c r="BM2403" i="1" s="1"/>
  <c r="BJ2403" i="1" s="1" a="1"/>
  <c r="BJ2403" i="1" s="1"/>
  <c r="BM1189" i="1" a="1"/>
  <c r="BM1189" i="1" s="1"/>
  <c r="BJ1189" i="1" s="1" a="1"/>
  <c r="BJ1189" i="1" s="1"/>
  <c r="BN1194" i="1" a="1"/>
  <c r="BN1194" i="1" s="1"/>
  <c r="BI1197" i="1" a="1"/>
  <c r="BI1197" i="1" s="1"/>
  <c r="BM2015" i="1" a="1"/>
  <c r="BM2015" i="1" s="1"/>
  <c r="BJ2015" i="1" s="1" a="1"/>
  <c r="BJ2015" i="1" s="1"/>
  <c r="BK2016" i="1"/>
  <c r="BN2395" i="1" a="1"/>
  <c r="BN2395" i="1" s="1"/>
  <c r="BK2399" i="1"/>
  <c r="E2405" i="1" a="1"/>
  <c r="E2405" i="1" s="1"/>
  <c r="E2407" i="1" a="1"/>
  <c r="E2407" i="1" s="1"/>
  <c r="BL2404" i="1" a="1"/>
  <c r="BL2404" i="1" s="1"/>
  <c r="BM2406" i="1" a="1"/>
  <c r="BM2406" i="1" s="1"/>
  <c r="BJ2406" i="1" s="1" a="1"/>
  <c r="BJ2406" i="1" s="1"/>
  <c r="BI2407" i="1" a="1"/>
  <c r="BI2407" i="1" s="1"/>
  <c r="BM2404" i="1" a="1"/>
  <c r="BM2404" i="1" s="1"/>
  <c r="BJ2404" i="1" s="1" a="1"/>
  <c r="BJ2404" i="1" s="1"/>
  <c r="BI2405" i="1" a="1"/>
  <c r="BI2405" i="1" s="1"/>
  <c r="E2406" i="1" a="1"/>
  <c r="E2406" i="1" s="1"/>
  <c r="BN2406" i="1" a="1"/>
  <c r="BN2406" i="1" s="1"/>
  <c r="BI2404" i="1" a="1"/>
  <c r="BI2404" i="1" s="1"/>
  <c r="E2404" i="1" a="1"/>
  <c r="E2404" i="1" s="1"/>
  <c r="BL2407" i="1" a="1"/>
  <c r="BL2407" i="1" s="1"/>
  <c r="E2400" i="1" a="1"/>
  <c r="E2400" i="1" s="1"/>
  <c r="BK2400" i="1"/>
  <c r="E2402" i="1" a="1"/>
  <c r="E2402" i="1" s="1"/>
  <c r="BM2401" i="1" a="1"/>
  <c r="BM2401" i="1" s="1"/>
  <c r="BJ2401" i="1" s="1" a="1"/>
  <c r="BJ2401" i="1" s="1"/>
  <c r="BI2402" i="1" a="1"/>
  <c r="BI2402" i="1" s="1"/>
  <c r="BM2399" i="1" a="1"/>
  <c r="BM2399" i="1" s="1"/>
  <c r="BJ2399" i="1" s="1" a="1"/>
  <c r="BJ2399" i="1" s="1"/>
  <c r="BI2400" i="1" a="1"/>
  <c r="BI2400" i="1" s="1"/>
  <c r="E2401" i="1" a="1"/>
  <c r="E2401" i="1" s="1"/>
  <c r="BN2401" i="1" a="1"/>
  <c r="BN2401" i="1" s="1"/>
  <c r="AT2402" i="1"/>
  <c r="BI2399" i="1" a="1"/>
  <c r="BI2399" i="1" s="1"/>
  <c r="BN2400" i="1" a="1"/>
  <c r="BN2400" i="1" s="1"/>
  <c r="AT2401" i="1"/>
  <c r="E2399" i="1" a="1"/>
  <c r="E2399" i="1" s="1"/>
  <c r="AT2400" i="1"/>
  <c r="BK2402" i="1"/>
  <c r="AT2399" i="1"/>
  <c r="E2394" i="1" a="1"/>
  <c r="E2394" i="1" s="1"/>
  <c r="E2397" i="1" a="1"/>
  <c r="E2397" i="1" s="1"/>
  <c r="E2395" i="1" a="1"/>
  <c r="E2395" i="1" s="1"/>
  <c r="BL2395" i="1" a="1"/>
  <c r="BL2395" i="1" s="1"/>
  <c r="BL2394" i="1" a="1"/>
  <c r="BL2394" i="1" s="1"/>
  <c r="BM2396" i="1" a="1"/>
  <c r="BM2396" i="1" s="1"/>
  <c r="BJ2396" i="1" s="1" a="1"/>
  <c r="BJ2396" i="1" s="1"/>
  <c r="BM2395" i="1" a="1"/>
  <c r="BM2395" i="1" s="1"/>
  <c r="BJ2395" i="1" s="1" a="1"/>
  <c r="BJ2395" i="1" s="1"/>
  <c r="BM2394" i="1" a="1"/>
  <c r="BM2394" i="1" s="1"/>
  <c r="BJ2394" i="1" s="1" a="1"/>
  <c r="BJ2394" i="1" s="1"/>
  <c r="BI2395" i="1" a="1"/>
  <c r="BI2395" i="1" s="1"/>
  <c r="E2396" i="1" a="1"/>
  <c r="E2396" i="1" s="1"/>
  <c r="BI2394" i="1" a="1"/>
  <c r="BI2394" i="1" s="1"/>
  <c r="BK2396" i="1"/>
  <c r="BL2397" i="1" a="1"/>
  <c r="BL2397" i="1" s="1"/>
  <c r="E2019" i="1" a="1"/>
  <c r="E2019" i="1" s="1"/>
  <c r="E2018" i="1" a="1"/>
  <c r="E2018" i="1" s="1"/>
  <c r="E2021" i="1" a="1"/>
  <c r="E2021" i="1" s="1"/>
  <c r="BM2020" i="1" a="1"/>
  <c r="BM2020" i="1" s="1"/>
  <c r="BJ2020" i="1" s="1" a="1"/>
  <c r="BJ2020" i="1" s="1"/>
  <c r="BM2018" i="1" a="1"/>
  <c r="BM2018" i="1" s="1"/>
  <c r="BJ2018" i="1" s="1" a="1"/>
  <c r="BJ2018" i="1" s="1"/>
  <c r="BI2019" i="1" a="1"/>
  <c r="BI2019" i="1" s="1"/>
  <c r="E2020" i="1" a="1"/>
  <c r="E2020" i="1" s="1"/>
  <c r="BN2020" i="1" a="1"/>
  <c r="BN2020" i="1" s="1"/>
  <c r="AT2021" i="1"/>
  <c r="BI2018" i="1" a="1"/>
  <c r="BI2018" i="1" s="1"/>
  <c r="BN2019" i="1" a="1"/>
  <c r="BN2019" i="1" s="1"/>
  <c r="AT2020" i="1"/>
  <c r="BN2018" i="1" a="1"/>
  <c r="BN2018" i="1" s="1"/>
  <c r="AT2019" i="1"/>
  <c r="E2013" i="1" a="1"/>
  <c r="E2013" i="1" s="1"/>
  <c r="BL2013" i="1" a="1"/>
  <c r="BL2013" i="1" s="1"/>
  <c r="E2016" i="1" a="1"/>
  <c r="E2016" i="1" s="1"/>
  <c r="E2014" i="1" a="1"/>
  <c r="E2014" i="1" s="1"/>
  <c r="BL2016" i="1" a="1"/>
  <c r="BL2016" i="1" s="1"/>
  <c r="BM2014" i="1" a="1"/>
  <c r="BM2014" i="1" s="1"/>
  <c r="BJ2014" i="1" s="1" a="1"/>
  <c r="BJ2014" i="1" s="1"/>
  <c r="BN2016" i="1" a="1"/>
  <c r="BN2016" i="1" s="1"/>
  <c r="BM2013" i="1" a="1"/>
  <c r="BM2013" i="1" s="1"/>
  <c r="BJ2013" i="1" s="1" a="1"/>
  <c r="BJ2013" i="1" s="1"/>
  <c r="BI2014" i="1" a="1"/>
  <c r="BI2014" i="1" s="1"/>
  <c r="E2015" i="1" a="1"/>
  <c r="E2015" i="1" s="1"/>
  <c r="BN2015" i="1" a="1"/>
  <c r="BN2015" i="1" s="1"/>
  <c r="BI2013" i="1" a="1"/>
  <c r="BI2013" i="1" s="1"/>
  <c r="BN2014" i="1" a="1"/>
  <c r="BN2014" i="1" s="1"/>
  <c r="E1195" i="1" a="1"/>
  <c r="E1195" i="1" s="1"/>
  <c r="BK1197" i="1"/>
  <c r="E1197" i="1" a="1"/>
  <c r="E1197" i="1" s="1"/>
  <c r="BK1195" i="1"/>
  <c r="BM1195" i="1" a="1"/>
  <c r="BM1195" i="1" s="1"/>
  <c r="BJ1195" i="1" s="1" a="1"/>
  <c r="BJ1195" i="1" s="1"/>
  <c r="BM1194" i="1" a="1"/>
  <c r="BM1194" i="1" s="1"/>
  <c r="BJ1194" i="1" s="1" a="1"/>
  <c r="BJ1194" i="1" s="1"/>
  <c r="BI1195" i="1" a="1"/>
  <c r="BI1195" i="1" s="1"/>
  <c r="E1196" i="1" a="1"/>
  <c r="E1196" i="1" s="1"/>
  <c r="BN1196" i="1" a="1"/>
  <c r="BN1196" i="1" s="1"/>
  <c r="AT1197" i="1"/>
  <c r="BI1194" i="1" a="1"/>
  <c r="BI1194" i="1" s="1"/>
  <c r="BN1195" i="1" a="1"/>
  <c r="BN1195" i="1" s="1"/>
  <c r="AT1196" i="1"/>
  <c r="E1194" i="1" a="1"/>
  <c r="E1194" i="1" s="1"/>
  <c r="AT1195" i="1"/>
  <c r="AT1194" i="1"/>
  <c r="BL1191" i="1" a="1"/>
  <c r="BL1191" i="1" s="1"/>
  <c r="BL1192" i="1" a="1"/>
  <c r="BL1192" i="1" s="1"/>
  <c r="BK1190" i="1"/>
  <c r="BL1190" i="1" a="1"/>
  <c r="BL1190" i="1" s="1"/>
  <c r="BM1191" i="1" a="1"/>
  <c r="BM1191" i="1" s="1"/>
  <c r="BJ1191" i="1" s="1" a="1"/>
  <c r="BJ1191" i="1" s="1"/>
  <c r="BN1192" i="1" a="1"/>
  <c r="BN1192" i="1" s="1"/>
  <c r="BK1189" i="1"/>
  <c r="BI1191" i="1" a="1"/>
  <c r="BI1191" i="1" s="1"/>
  <c r="BL1189" i="1" a="1"/>
  <c r="BL1189" i="1" s="1"/>
  <c r="BN1191" i="1" a="1"/>
  <c r="BN1191" i="1" s="1"/>
  <c r="BI1189" i="1" a="1"/>
  <c r="BI1189" i="1" s="1"/>
  <c r="BK275" i="1"/>
  <c r="BK274" i="1"/>
  <c r="BM275" i="1" a="1"/>
  <c r="BM275" i="1" s="1"/>
  <c r="BJ275" i="1" s="1" a="1"/>
  <c r="BJ275" i="1" s="1"/>
  <c r="BK273" i="1"/>
  <c r="BI275" i="1" a="1"/>
  <c r="BI275" i="1" s="1"/>
  <c r="BI273" i="1" a="1"/>
  <c r="BI273" i="1" s="1"/>
  <c r="BK2403" i="1"/>
  <c r="BN2403" i="1" a="1"/>
  <c r="BN2403" i="1" s="1"/>
  <c r="E2403" i="1" a="1"/>
  <c r="E2403" i="1" s="1"/>
  <c r="BI2403" i="1" a="1"/>
  <c r="BI2403" i="1" s="1"/>
  <c r="BL2104" i="1" a="1"/>
  <c r="BL2104" i="1" s="1"/>
  <c r="BN2069" i="1" a="1"/>
  <c r="BN2069" i="1" s="1"/>
  <c r="BK2089" i="1"/>
  <c r="BI2069" i="1" a="1"/>
  <c r="BI2069" i="1" s="1"/>
  <c r="BI2064" i="1" a="1"/>
  <c r="BI2064" i="1" s="1"/>
  <c r="BL2089" i="1" a="1"/>
  <c r="BL2089" i="1" s="1"/>
  <c r="BN2061" i="1" a="1"/>
  <c r="BN2061" i="1" s="1"/>
  <c r="BK2062" i="1"/>
  <c r="BK2094" i="1"/>
  <c r="BL2094" i="1" a="1"/>
  <c r="BL2094" i="1" s="1"/>
  <c r="BK2074" i="1"/>
  <c r="BL2079" i="1" a="1"/>
  <c r="BL2079" i="1" s="1"/>
  <c r="BK2093" i="1"/>
  <c r="BL2063" i="1" a="1"/>
  <c r="BL2063" i="1" s="1"/>
  <c r="BK2061" i="1"/>
  <c r="BM2064" i="1" a="1"/>
  <c r="BM2064" i="1" s="1"/>
  <c r="BJ2064" i="1" s="1" a="1"/>
  <c r="BJ2064" i="1" s="1"/>
  <c r="BK2086" i="1"/>
  <c r="BK2102" i="1"/>
  <c r="BK2104" i="1"/>
  <c r="BK2077" i="1"/>
  <c r="BN2064" i="1" a="1"/>
  <c r="BN2064" i="1" s="1"/>
  <c r="BL2071" i="1" a="1"/>
  <c r="BL2071" i="1" s="1"/>
  <c r="BL2072" i="1" a="1"/>
  <c r="BL2072" i="1" s="1"/>
  <c r="BM2061" i="1" a="1"/>
  <c r="BM2061" i="1" s="1"/>
  <c r="BJ2061" i="1" s="1" a="1"/>
  <c r="BJ2061" i="1" s="1"/>
  <c r="BI2063" i="1" a="1"/>
  <c r="BI2063" i="1" s="1"/>
  <c r="BK2068" i="1"/>
  <c r="BL2078" i="1" a="1"/>
  <c r="BL2078" i="1" s="1"/>
  <c r="BM2063" i="1" a="1"/>
  <c r="BM2063" i="1" s="1"/>
  <c r="BJ2063" i="1" s="1" a="1"/>
  <c r="BJ2063" i="1" s="1"/>
  <c r="BL2076" i="1" a="1"/>
  <c r="BL2076" i="1" s="1"/>
  <c r="BK2079" i="1"/>
  <c r="BK2100" i="1"/>
  <c r="BK2076" i="1"/>
  <c r="BK2082" i="1"/>
  <c r="BK2098" i="1"/>
  <c r="BL2103" i="1" a="1"/>
  <c r="BL2103" i="1" s="1"/>
  <c r="BL2062" i="1" a="1"/>
  <c r="BL2062" i="1" s="1"/>
  <c r="BI2068" i="1" a="1"/>
  <c r="BI2068" i="1" s="1"/>
  <c r="BK2083" i="1"/>
  <c r="BK2084" i="1"/>
  <c r="BK2087" i="1"/>
  <c r="BL2088" i="1" a="1"/>
  <c r="BL2088" i="1" s="1"/>
  <c r="BK2092" i="1"/>
  <c r="BK2097" i="1"/>
  <c r="BL2101" i="1" a="1"/>
  <c r="BL2101" i="1" s="1"/>
  <c r="BL2102" i="1" a="1"/>
  <c r="BL2102" i="1" s="1"/>
  <c r="BL2100" i="1" a="1"/>
  <c r="BL2100" i="1" s="1"/>
  <c r="BL2064" i="1" a="1"/>
  <c r="BL2064" i="1" s="1"/>
  <c r="BM2068" i="1" a="1"/>
  <c r="BM2068" i="1" s="1"/>
  <c r="BJ2068" i="1" s="1" a="1"/>
  <c r="BJ2068" i="1" s="1"/>
  <c r="BL2086" i="1" a="1"/>
  <c r="BL2086" i="1" s="1"/>
  <c r="BK2091" i="1"/>
  <c r="BK2096" i="1"/>
  <c r="BK2101" i="1"/>
  <c r="BK2063" i="1"/>
  <c r="BM2069" i="1" a="1"/>
  <c r="BM2069" i="1" s="1"/>
  <c r="BJ2069" i="1" s="1" a="1"/>
  <c r="BJ2069" i="1" s="1"/>
  <c r="BK2072" i="1"/>
  <c r="BL2073" i="1" a="1"/>
  <c r="BL2073" i="1" s="1"/>
  <c r="BK2081" i="1"/>
  <c r="BL2087" i="1" a="1"/>
  <c r="BL2087" i="1" s="1"/>
  <c r="BN2066" i="1" a="1"/>
  <c r="BN2066" i="1" s="1"/>
  <c r="BK2067" i="1"/>
  <c r="BL2091" i="1" a="1"/>
  <c r="BL2091" i="1" s="1"/>
  <c r="BK2103" i="1"/>
  <c r="BK2099" i="1"/>
  <c r="BL2092" i="1" a="1"/>
  <c r="BL2092" i="1" s="1"/>
  <c r="BL2093" i="1" a="1"/>
  <c r="BL2093" i="1" s="1"/>
  <c r="BK2088" i="1"/>
  <c r="BL2077" i="1" a="1"/>
  <c r="BL2077" i="1" s="1"/>
  <c r="BK2078" i="1"/>
  <c r="BL2074" i="1" a="1"/>
  <c r="BL2074" i="1" s="1"/>
  <c r="BK2071" i="1"/>
  <c r="BK2073" i="1"/>
  <c r="BK2066" i="1"/>
  <c r="BK2069" i="1"/>
  <c r="E2069" i="1" a="1"/>
  <c r="E2069" i="1" s="1"/>
  <c r="E2066" i="1" a="1"/>
  <c r="E2066" i="1" s="1"/>
  <c r="BM2066" i="1" a="1"/>
  <c r="BM2066" i="1" s="1"/>
  <c r="BJ2066" i="1" s="1" a="1"/>
  <c r="BJ2066" i="1" s="1"/>
  <c r="BI2067" i="1" a="1"/>
  <c r="BI2067" i="1" s="1"/>
  <c r="E2068" i="1" a="1"/>
  <c r="E2068" i="1" s="1"/>
  <c r="BN2068" i="1" a="1"/>
  <c r="BN2068" i="1" s="1"/>
  <c r="AT2069" i="1"/>
  <c r="BM2067" i="1" a="1"/>
  <c r="BM2067" i="1" s="1"/>
  <c r="BJ2067" i="1" s="1" a="1"/>
  <c r="BJ2067" i="1" s="1"/>
  <c r="BI2066" i="1" a="1"/>
  <c r="BI2066" i="1" s="1"/>
  <c r="E2067" i="1" a="1"/>
  <c r="E2067" i="1" s="1"/>
  <c r="BN2067" i="1" a="1"/>
  <c r="BN2067" i="1" s="1"/>
  <c r="AT2068" i="1"/>
  <c r="AT2067" i="1"/>
  <c r="AT2066" i="1"/>
  <c r="E2061" i="1" a="1"/>
  <c r="E2061" i="1" s="1"/>
  <c r="E2062" i="1" a="1"/>
  <c r="E2062" i="1" s="1"/>
  <c r="E2064" i="1" a="1"/>
  <c r="E2064" i="1" s="1"/>
  <c r="BL2061" i="1" a="1"/>
  <c r="BL2061" i="1" s="1"/>
  <c r="BI2062" i="1" a="1"/>
  <c r="BI2062" i="1" s="1"/>
  <c r="BN2063" i="1" a="1"/>
  <c r="BN2063" i="1" s="1"/>
  <c r="BI2061" i="1" a="1"/>
  <c r="BI2061" i="1" s="1"/>
  <c r="BN2062" i="1" a="1"/>
  <c r="BN2062" i="1" s="1"/>
  <c r="BK2064" i="1"/>
  <c r="BM2062" i="1" a="1"/>
  <c r="BM2062" i="1" s="1"/>
  <c r="BJ2062" i="1" s="1" a="1"/>
  <c r="BJ2062" i="1" s="1"/>
  <c r="BI2163" i="1" a="1"/>
  <c r="BI2163" i="1" s="1"/>
  <c r="BN2149" i="1" a="1"/>
  <c r="BN2149" i="1" s="1"/>
  <c r="BN2166" i="1" a="1"/>
  <c r="BN2166" i="1" s="1"/>
  <c r="BI2176" i="1" a="1"/>
  <c r="BI2176" i="1" s="1"/>
  <c r="BI2148" i="1" a="1"/>
  <c r="BI2148" i="1" s="1"/>
  <c r="BN2109" i="1" a="1"/>
  <c r="BN2109" i="1" s="1"/>
  <c r="BN2139" i="1" a="1"/>
  <c r="BN2139" i="1" s="1"/>
  <c r="BK2114" i="1"/>
  <c r="BN2124" i="1" a="1"/>
  <c r="BN2124" i="1" s="1"/>
  <c r="BN2127" i="1" a="1"/>
  <c r="BN2127" i="1" s="1"/>
  <c r="BI2143" i="1" a="1"/>
  <c r="BI2143" i="1" s="1"/>
  <c r="BI2144" i="1" a="1"/>
  <c r="BI2144" i="1" s="1"/>
  <c r="BK2124" i="1"/>
  <c r="BI2184" i="1" a="1"/>
  <c r="BI2184" i="1" s="1"/>
  <c r="BL2116" i="1" a="1"/>
  <c r="BL2116" i="1" s="1"/>
  <c r="BN2112" i="1" a="1"/>
  <c r="BN2112" i="1" s="1"/>
  <c r="BN2123" i="1" a="1"/>
  <c r="BN2123" i="1" s="1"/>
  <c r="BI2153" i="1" a="1"/>
  <c r="BI2153" i="1" s="1"/>
  <c r="BK2156" i="1"/>
  <c r="BI2173" i="1" a="1"/>
  <c r="BI2173" i="1" s="1"/>
  <c r="BI2139" i="1" a="1"/>
  <c r="BI2139" i="1" s="1"/>
  <c r="BN2182" i="1" a="1"/>
  <c r="BN2182" i="1" s="1"/>
  <c r="AT2183" i="1"/>
  <c r="BN2169" i="1" a="1"/>
  <c r="BN2169" i="1" s="1"/>
  <c r="BN2184" i="1" a="1"/>
  <c r="BN2184" i="1" s="1"/>
  <c r="BN2180" i="1" a="1"/>
  <c r="BN2180" i="1" s="1"/>
  <c r="BN2119" i="1" a="1"/>
  <c r="BN2119" i="1" s="1"/>
  <c r="BK2122" i="1"/>
  <c r="BN2159" i="1" a="1"/>
  <c r="BN2159" i="1" s="1"/>
  <c r="BN2164" i="1" a="1"/>
  <c r="BN2164" i="1" s="1"/>
  <c r="BM2173" i="1" a="1"/>
  <c r="BM2173" i="1" s="1"/>
  <c r="BJ2173" i="1" s="1" a="1"/>
  <c r="BJ2173" i="1" s="1"/>
  <c r="BI2106" i="1" a="1"/>
  <c r="BI2106" i="1" s="1"/>
  <c r="AT2131" i="1"/>
  <c r="BM2144" i="1" a="1"/>
  <c r="BM2144" i="1" s="1"/>
  <c r="BJ2144" i="1" s="1" a="1"/>
  <c r="BJ2144" i="1" s="1"/>
  <c r="BN2151" i="1" a="1"/>
  <c r="BN2151" i="1" s="1"/>
  <c r="BN2168" i="1" a="1"/>
  <c r="BN2168" i="1" s="1"/>
  <c r="BK2171" i="1"/>
  <c r="AT2177" i="1"/>
  <c r="AT2108" i="1"/>
  <c r="BL2113" i="1" a="1"/>
  <c r="BL2113" i="1" s="1"/>
  <c r="BN2121" i="1" a="1"/>
  <c r="BN2121" i="1" s="1"/>
  <c r="BN2171" i="1" a="1"/>
  <c r="BN2171" i="1" s="1"/>
  <c r="BM2176" i="1" a="1"/>
  <c r="BM2176" i="1" s="1"/>
  <c r="BJ2176" i="1" s="1" a="1"/>
  <c r="BJ2176" i="1" s="1"/>
  <c r="BN2177" i="1" a="1"/>
  <c r="BN2177" i="1" s="1"/>
  <c r="BI2138" i="1" a="1"/>
  <c r="BI2138" i="1" s="1"/>
  <c r="BN2154" i="1" a="1"/>
  <c r="BN2154" i="1" s="1"/>
  <c r="BK2167" i="1"/>
  <c r="BM2184" i="1" a="1"/>
  <c r="BM2184" i="1" s="1"/>
  <c r="BJ2184" i="1" s="1" a="1"/>
  <c r="BJ2184" i="1" s="1"/>
  <c r="BI2133" i="1" a="1"/>
  <c r="BI2133" i="1" s="1"/>
  <c r="BN2134" i="1" a="1"/>
  <c r="BN2134" i="1" s="1"/>
  <c r="BN2146" i="1" a="1"/>
  <c r="BN2146" i="1" s="1"/>
  <c r="BK2147" i="1"/>
  <c r="BN2156" i="1" a="1"/>
  <c r="BN2156" i="1" s="1"/>
  <c r="BL2111" i="1" a="1"/>
  <c r="BL2111" i="1" s="1"/>
  <c r="BK2112" i="1"/>
  <c r="BI2123" i="1" a="1"/>
  <c r="BI2123" i="1" s="1"/>
  <c r="BK2129" i="1"/>
  <c r="BN2174" i="1" a="1"/>
  <c r="BN2174" i="1" s="1"/>
  <c r="BM2143" i="1" a="1"/>
  <c r="BM2143" i="1" s="1"/>
  <c r="BJ2143" i="1" s="1" a="1"/>
  <c r="BJ2143" i="1" s="1"/>
  <c r="BK2169" i="1"/>
  <c r="BN2179" i="1" a="1"/>
  <c r="BN2179" i="1" s="1"/>
  <c r="BK2181" i="1"/>
  <c r="BN2118" i="1" a="1"/>
  <c r="BN2118" i="1" s="1"/>
  <c r="BK2119" i="1"/>
  <c r="BK2123" i="1"/>
  <c r="BK2126" i="1"/>
  <c r="BL2128" i="1" a="1"/>
  <c r="BL2128" i="1" s="1"/>
  <c r="BM2134" i="1" a="1"/>
  <c r="BM2134" i="1" s="1"/>
  <c r="BJ2134" i="1" s="1" a="1"/>
  <c r="BJ2134" i="1" s="1"/>
  <c r="BK2138" i="1"/>
  <c r="BM2149" i="1" a="1"/>
  <c r="BM2149" i="1" s="1"/>
  <c r="BJ2149" i="1" s="1" a="1"/>
  <c r="BJ2149" i="1" s="1"/>
  <c r="BN2161" i="1" a="1"/>
  <c r="BN2161" i="1" s="1"/>
  <c r="BK2162" i="1"/>
  <c r="BK2183" i="1"/>
  <c r="BK2251" i="1"/>
  <c r="BN2107" i="1" a="1"/>
  <c r="BN2107" i="1" s="1"/>
  <c r="BK2108" i="1"/>
  <c r="BM2111" i="1" a="1"/>
  <c r="BM2111" i="1" s="1"/>
  <c r="BJ2111" i="1" s="1" a="1"/>
  <c r="BJ2111" i="1" s="1"/>
  <c r="AT2124" i="1"/>
  <c r="BN2126" i="1" a="1"/>
  <c r="BN2126" i="1" s="1"/>
  <c r="BK2127" i="1"/>
  <c r="BI2128" i="1" a="1"/>
  <c r="BI2128" i="1" s="1"/>
  <c r="BM2129" i="1" a="1"/>
  <c r="BM2129" i="1" s="1"/>
  <c r="BJ2129" i="1" s="1" a="1"/>
  <c r="BJ2129" i="1" s="1"/>
  <c r="BN2141" i="1" a="1"/>
  <c r="BN2141" i="1" s="1"/>
  <c r="BM2154" i="1" a="1"/>
  <c r="BM2154" i="1" s="1"/>
  <c r="BJ2154" i="1" s="1" a="1"/>
  <c r="BJ2154" i="1" s="1"/>
  <c r="BI2158" i="1" a="1"/>
  <c r="BI2158" i="1" s="1"/>
  <c r="BM2159" i="1" a="1"/>
  <c r="BM2159" i="1" s="1"/>
  <c r="BJ2159" i="1" s="1" a="1"/>
  <c r="BJ2159" i="1" s="1"/>
  <c r="BM2164" i="1" a="1"/>
  <c r="BM2164" i="1" s="1"/>
  <c r="BJ2164" i="1" s="1" a="1"/>
  <c r="BJ2164" i="1" s="1"/>
  <c r="BK2166" i="1"/>
  <c r="BM2169" i="1" a="1"/>
  <c r="BM2169" i="1" s="1"/>
  <c r="BJ2169" i="1" s="1" a="1"/>
  <c r="BJ2169" i="1" s="1"/>
  <c r="BM2174" i="1" a="1"/>
  <c r="BM2174" i="1" s="1"/>
  <c r="BJ2174" i="1" s="1" a="1"/>
  <c r="BJ2174" i="1" s="1"/>
  <c r="BI2179" i="1" a="1"/>
  <c r="BI2179" i="1" s="1"/>
  <c r="BN2183" i="1" a="1"/>
  <c r="BN2183" i="1" s="1"/>
  <c r="BM2180" i="1" a="1"/>
  <c r="BM2180" i="1" s="1"/>
  <c r="BJ2180" i="1" s="1" a="1"/>
  <c r="BJ2180" i="1" s="1"/>
  <c r="BM2107" i="1" a="1"/>
  <c r="BM2107" i="1" s="1"/>
  <c r="BJ2107" i="1" s="1" a="1"/>
  <c r="BJ2107" i="1" s="1"/>
  <c r="BM2109" i="1" a="1"/>
  <c r="BM2109" i="1" s="1"/>
  <c r="BJ2109" i="1" s="1" a="1"/>
  <c r="BJ2109" i="1" s="1"/>
  <c r="BL2114" i="1" a="1"/>
  <c r="BL2114" i="1" s="1"/>
  <c r="BI2116" i="1" a="1"/>
  <c r="BI2116" i="1" s="1"/>
  <c r="BM2117" i="1" a="1"/>
  <c r="BM2117" i="1" s="1"/>
  <c r="BJ2117" i="1" s="1" a="1"/>
  <c r="BJ2117" i="1" s="1"/>
  <c r="BM2119" i="1" a="1"/>
  <c r="BM2119" i="1" s="1"/>
  <c r="BJ2119" i="1" s="1" a="1"/>
  <c r="BJ2119" i="1" s="1"/>
  <c r="BK2121" i="1"/>
  <c r="BI2129" i="1" a="1"/>
  <c r="BI2129" i="1" s="1"/>
  <c r="BK2136" i="1"/>
  <c r="BK2142" i="1"/>
  <c r="BK2163" i="1"/>
  <c r="BI2164" i="1" a="1"/>
  <c r="BI2164" i="1" s="1"/>
  <c r="BI2168" i="1" a="1"/>
  <c r="BI2168" i="1" s="1"/>
  <c r="AT2182" i="1"/>
  <c r="BL2251" i="1" a="1"/>
  <c r="BL2251" i="1" s="1"/>
  <c r="BM2114" i="1" a="1"/>
  <c r="BM2114" i="1" s="1"/>
  <c r="BJ2114" i="1" s="1" a="1"/>
  <c r="BJ2114" i="1" s="1"/>
  <c r="BN2116" i="1" a="1"/>
  <c r="BN2116" i="1" s="1"/>
  <c r="BM2138" i="1" a="1"/>
  <c r="BM2138" i="1" s="1"/>
  <c r="BJ2138" i="1" s="1" a="1"/>
  <c r="BJ2138" i="1" s="1"/>
  <c r="BM2147" i="1" a="1"/>
  <c r="BM2147" i="1" s="1"/>
  <c r="BJ2147" i="1" s="1" a="1"/>
  <c r="BJ2147" i="1" s="1"/>
  <c r="BK2151" i="1"/>
  <c r="AT2171" i="1"/>
  <c r="BM2177" i="1" a="1"/>
  <c r="BM2177" i="1" s="1"/>
  <c r="BJ2177" i="1" s="1" a="1"/>
  <c r="BJ2177" i="1" s="1"/>
  <c r="BK2178" i="1"/>
  <c r="BI2180" i="1" a="1"/>
  <c r="BI2180" i="1" s="1"/>
  <c r="BK2113" i="1"/>
  <c r="BI2114" i="1" a="1"/>
  <c r="BI2114" i="1" s="1"/>
  <c r="BM2124" i="1" a="1"/>
  <c r="BM2124" i="1" s="1"/>
  <c r="BJ2124" i="1" s="1" a="1"/>
  <c r="BJ2124" i="1" s="1"/>
  <c r="BL2127" i="1" a="1"/>
  <c r="BL2127" i="1" s="1"/>
  <c r="BN2129" i="1" a="1"/>
  <c r="BN2129" i="1" s="1"/>
  <c r="BN2131" i="1" a="1"/>
  <c r="BN2131" i="1" s="1"/>
  <c r="BN2136" i="1" a="1"/>
  <c r="BN2136" i="1" s="1"/>
  <c r="BM2139" i="1" a="1"/>
  <c r="BM2139" i="1" s="1"/>
  <c r="BJ2139" i="1" s="1" a="1"/>
  <c r="BJ2139" i="1" s="1"/>
  <c r="BK2148" i="1"/>
  <c r="AT2156" i="1"/>
  <c r="BI2159" i="1" a="1"/>
  <c r="BI2159" i="1" s="1"/>
  <c r="BI2174" i="1" a="1"/>
  <c r="BI2174" i="1" s="1"/>
  <c r="AT2178" i="1"/>
  <c r="BK2182" i="1"/>
  <c r="BK2106" i="1"/>
  <c r="BN2114" i="1" a="1"/>
  <c r="BN2114" i="1" s="1"/>
  <c r="BN2117" i="1" a="1"/>
  <c r="BN2117" i="1" s="1"/>
  <c r="BK2118" i="1"/>
  <c r="BK2128" i="1"/>
  <c r="BK2133" i="1"/>
  <c r="BK2143" i="1"/>
  <c r="BK2161" i="1"/>
  <c r="BN2167" i="1" a="1"/>
  <c r="BN2167" i="1" s="1"/>
  <c r="BK2173" i="1"/>
  <c r="BK2176" i="1"/>
  <c r="BN2178" i="1" a="1"/>
  <c r="BN2178" i="1" s="1"/>
  <c r="BK2179" i="1"/>
  <c r="BM2181" i="1" a="1"/>
  <c r="BM2181" i="1" s="1"/>
  <c r="BJ2181" i="1" s="1" a="1"/>
  <c r="BJ2181" i="1" s="1"/>
  <c r="BK2111" i="1"/>
  <c r="BN2113" i="1" a="1"/>
  <c r="BN2113" i="1" s="1"/>
  <c r="BK2116" i="1"/>
  <c r="BM2122" i="1" a="1"/>
  <c r="BM2122" i="1" s="1"/>
  <c r="BJ2122" i="1" s="1" a="1"/>
  <c r="BJ2122" i="1" s="1"/>
  <c r="BK2134" i="1"/>
  <c r="BK2146" i="1"/>
  <c r="BL2148" i="1" a="1"/>
  <c r="BL2148" i="1" s="1"/>
  <c r="BN2152" i="1" a="1"/>
  <c r="BN2152" i="1" s="1"/>
  <c r="BK2153" i="1"/>
  <c r="BK2158" i="1"/>
  <c r="BM2163" i="1" a="1"/>
  <c r="BM2163" i="1" s="1"/>
  <c r="BJ2163" i="1" s="1" a="1"/>
  <c r="BJ2163" i="1" s="1"/>
  <c r="BK2164" i="1"/>
  <c r="BK2168" i="1"/>
  <c r="BM2179" i="1" a="1"/>
  <c r="BM2179" i="1" s="1"/>
  <c r="BJ2179" i="1" s="1" a="1"/>
  <c r="BJ2179" i="1" s="1"/>
  <c r="BI2182" i="1" a="1"/>
  <c r="BI2182" i="1" s="1"/>
  <c r="BK2184" i="1"/>
  <c r="BI2181" i="1" a="1"/>
  <c r="BI2181" i="1" s="1"/>
  <c r="BN2181" i="1" a="1"/>
  <c r="BN2181" i="1" s="1"/>
  <c r="BM2183" i="1" a="1"/>
  <c r="BM2183" i="1" s="1"/>
  <c r="BJ2183" i="1" s="1" a="1"/>
  <c r="BJ2183" i="1" s="1"/>
  <c r="AT2184" i="1"/>
  <c r="AT2181" i="1"/>
  <c r="BI2183" i="1" a="1"/>
  <c r="BI2183" i="1" s="1"/>
  <c r="BM2182" i="1" a="1"/>
  <c r="BM2182" i="1" s="1"/>
  <c r="BJ2182" i="1" s="1" a="1"/>
  <c r="BJ2182" i="1" s="1"/>
  <c r="BK2177" i="1"/>
  <c r="BN2176" i="1" a="1"/>
  <c r="BN2176" i="1" s="1"/>
  <c r="BM2178" i="1" a="1"/>
  <c r="BM2178" i="1" s="1"/>
  <c r="BJ2178" i="1" s="1" a="1"/>
  <c r="BJ2178" i="1" s="1"/>
  <c r="AT2179" i="1"/>
  <c r="AT2176" i="1"/>
  <c r="BI2178" i="1" a="1"/>
  <c r="BI2178" i="1" s="1"/>
  <c r="BI2177" i="1" a="1"/>
  <c r="BI2177" i="1" s="1"/>
  <c r="BK2174" i="1"/>
  <c r="E2174" i="1" a="1"/>
  <c r="E2174" i="1" s="1"/>
  <c r="BK2172" i="1"/>
  <c r="E2171" i="1" a="1"/>
  <c r="E2171" i="1" s="1"/>
  <c r="E2172" i="1" a="1"/>
  <c r="E2172" i="1" s="1"/>
  <c r="BM2171" i="1" a="1"/>
  <c r="BM2171" i="1" s="1"/>
  <c r="BJ2171" i="1" s="1" a="1"/>
  <c r="BJ2171" i="1" s="1"/>
  <c r="BI2172" i="1" a="1"/>
  <c r="BI2172" i="1" s="1"/>
  <c r="E2173" i="1" a="1"/>
  <c r="E2173" i="1" s="1"/>
  <c r="BN2173" i="1" a="1"/>
  <c r="BN2173" i="1" s="1"/>
  <c r="AT2174" i="1"/>
  <c r="BI2171" i="1" a="1"/>
  <c r="BI2171" i="1" s="1"/>
  <c r="BN2172" i="1" a="1"/>
  <c r="BN2172" i="1" s="1"/>
  <c r="AT2173" i="1"/>
  <c r="AT2172" i="1"/>
  <c r="BM2172" i="1" a="1"/>
  <c r="BM2172" i="1" s="1"/>
  <c r="BJ2172" i="1" s="1" a="1"/>
  <c r="BJ2172" i="1" s="1"/>
  <c r="E2166" i="1" a="1"/>
  <c r="E2166" i="1" s="1"/>
  <c r="E2169" i="1" a="1"/>
  <c r="E2169" i="1" s="1"/>
  <c r="BM2168" i="1" a="1"/>
  <c r="BM2168" i="1" s="1"/>
  <c r="BJ2168" i="1" s="1" a="1"/>
  <c r="BJ2168" i="1" s="1"/>
  <c r="BI2169" i="1" a="1"/>
  <c r="BI2169" i="1" s="1"/>
  <c r="BM2166" i="1" a="1"/>
  <c r="BM2166" i="1" s="1"/>
  <c r="BJ2166" i="1" s="1" a="1"/>
  <c r="BJ2166" i="1" s="1"/>
  <c r="BI2167" i="1" a="1"/>
  <c r="BI2167" i="1" s="1"/>
  <c r="E2168" i="1" a="1"/>
  <c r="E2168" i="1" s="1"/>
  <c r="AT2169" i="1"/>
  <c r="BI2166" i="1" a="1"/>
  <c r="BI2166" i="1" s="1"/>
  <c r="E2167" i="1" a="1"/>
  <c r="E2167" i="1" s="1"/>
  <c r="AT2168" i="1"/>
  <c r="AT2167" i="1"/>
  <c r="AT2166" i="1"/>
  <c r="BM2167" i="1" a="1"/>
  <c r="BM2167" i="1" s="1"/>
  <c r="BJ2167" i="1" s="1" a="1"/>
  <c r="BJ2167" i="1" s="1"/>
  <c r="E2162" i="1" a="1"/>
  <c r="E2162" i="1" s="1"/>
  <c r="E2164" i="1" a="1"/>
  <c r="E2164" i="1" s="1"/>
  <c r="BM2162" i="1" a="1"/>
  <c r="BM2162" i="1" s="1"/>
  <c r="BJ2162" i="1" s="1" a="1"/>
  <c r="BJ2162" i="1" s="1"/>
  <c r="BM2161" i="1" a="1"/>
  <c r="BM2161" i="1" s="1"/>
  <c r="BJ2161" i="1" s="1" a="1"/>
  <c r="BJ2161" i="1" s="1"/>
  <c r="BI2162" i="1" a="1"/>
  <c r="BI2162" i="1" s="1"/>
  <c r="E2163" i="1" a="1"/>
  <c r="E2163" i="1" s="1"/>
  <c r="BN2163" i="1" a="1"/>
  <c r="BN2163" i="1" s="1"/>
  <c r="BI2161" i="1" a="1"/>
  <c r="BI2161" i="1" s="1"/>
  <c r="BN2162" i="1" a="1"/>
  <c r="BN2162" i="1" s="1"/>
  <c r="E2161" i="1" a="1"/>
  <c r="E2161" i="1" s="1"/>
  <c r="E2157" i="1" a="1"/>
  <c r="E2157" i="1" s="1"/>
  <c r="BK2159" i="1"/>
  <c r="E2159" i="1" a="1"/>
  <c r="E2159" i="1" s="1"/>
  <c r="BK2157" i="1"/>
  <c r="E2156" i="1" a="1"/>
  <c r="E2156" i="1" s="1"/>
  <c r="BM2156" i="1" a="1"/>
  <c r="BM2156" i="1" s="1"/>
  <c r="BJ2156" i="1" s="1" a="1"/>
  <c r="BJ2156" i="1" s="1"/>
  <c r="BI2157" i="1" a="1"/>
  <c r="BI2157" i="1" s="1"/>
  <c r="E2158" i="1" a="1"/>
  <c r="E2158" i="1" s="1"/>
  <c r="BN2158" i="1" a="1"/>
  <c r="BN2158" i="1" s="1"/>
  <c r="AT2159" i="1"/>
  <c r="BI2156" i="1" a="1"/>
  <c r="BI2156" i="1" s="1"/>
  <c r="BN2157" i="1" a="1"/>
  <c r="BN2157" i="1" s="1"/>
  <c r="AT2158" i="1"/>
  <c r="AT2157" i="1"/>
  <c r="BM2158" i="1" a="1"/>
  <c r="BM2158" i="1" s="1"/>
  <c r="BJ2158" i="1" s="1" a="1"/>
  <c r="BJ2158" i="1" s="1"/>
  <c r="BM2157" i="1" a="1"/>
  <c r="BM2157" i="1" s="1"/>
  <c r="BJ2157" i="1" s="1" a="1"/>
  <c r="BJ2157" i="1" s="1"/>
  <c r="E2152" i="1" a="1"/>
  <c r="E2152" i="1" s="1"/>
  <c r="E2153" i="1" a="1"/>
  <c r="E2153" i="1" s="1"/>
  <c r="BK2152" i="1"/>
  <c r="BM2153" i="1" a="1"/>
  <c r="BM2153" i="1" s="1"/>
  <c r="BJ2153" i="1" s="1" a="1"/>
  <c r="BJ2153" i="1" s="1"/>
  <c r="BI2154" i="1" a="1"/>
  <c r="BI2154" i="1" s="1"/>
  <c r="BM2152" i="1" a="1"/>
  <c r="BM2152" i="1" s="1"/>
  <c r="BJ2152" i="1" s="1" a="1"/>
  <c r="BJ2152" i="1" s="1"/>
  <c r="E2154" i="1" a="1"/>
  <c r="E2154" i="1" s="1"/>
  <c r="BM2151" i="1" a="1"/>
  <c r="BM2151" i="1" s="1"/>
  <c r="BJ2151" i="1" s="1" a="1"/>
  <c r="BJ2151" i="1" s="1"/>
  <c r="BI2152" i="1" a="1"/>
  <c r="BI2152" i="1" s="1"/>
  <c r="BN2153" i="1" a="1"/>
  <c r="BN2153" i="1" s="1"/>
  <c r="AT2154" i="1"/>
  <c r="BI2151" i="1" a="1"/>
  <c r="BI2151" i="1" s="1"/>
  <c r="AT2153" i="1"/>
  <c r="AT2152" i="1"/>
  <c r="AT2151" i="1"/>
  <c r="BK2154" i="1"/>
  <c r="E2146" i="1" a="1"/>
  <c r="E2146" i="1" s="1"/>
  <c r="E2149" i="1" a="1"/>
  <c r="E2149" i="1" s="1"/>
  <c r="BL2149" i="1" a="1"/>
  <c r="BL2149" i="1" s="1"/>
  <c r="E2147" i="1" a="1"/>
  <c r="E2147" i="1" s="1"/>
  <c r="BL2147" i="1" a="1"/>
  <c r="BL2147" i="1" s="1"/>
  <c r="BL2146" i="1" a="1"/>
  <c r="BL2146" i="1" s="1"/>
  <c r="BM2148" i="1" a="1"/>
  <c r="BM2148" i="1" s="1"/>
  <c r="BJ2148" i="1" s="1" a="1"/>
  <c r="BJ2148" i="1" s="1"/>
  <c r="BI2149" i="1" a="1"/>
  <c r="BI2149" i="1" s="1"/>
  <c r="BM2146" i="1" a="1"/>
  <c r="BM2146" i="1" s="1"/>
  <c r="BJ2146" i="1" s="1" a="1"/>
  <c r="BJ2146" i="1" s="1"/>
  <c r="BI2147" i="1" a="1"/>
  <c r="BI2147" i="1" s="1"/>
  <c r="E2148" i="1" a="1"/>
  <c r="E2148" i="1" s="1"/>
  <c r="BN2148" i="1" a="1"/>
  <c r="BN2148" i="1" s="1"/>
  <c r="BI2146" i="1" a="1"/>
  <c r="BI2146" i="1" s="1"/>
  <c r="BN2147" i="1" a="1"/>
  <c r="BN2147" i="1" s="1"/>
  <c r="BK2149" i="1"/>
  <c r="E2141" i="1" a="1"/>
  <c r="E2141" i="1" s="1"/>
  <c r="BK2141" i="1"/>
  <c r="BM2142" i="1" a="1"/>
  <c r="BM2142" i="1" s="1"/>
  <c r="BJ2142" i="1" s="1" a="1"/>
  <c r="BJ2142" i="1" s="1"/>
  <c r="BN2144" i="1" a="1"/>
  <c r="BN2144" i="1" s="1"/>
  <c r="BM2141" i="1" a="1"/>
  <c r="BM2141" i="1" s="1"/>
  <c r="BJ2141" i="1" s="1" a="1"/>
  <c r="BJ2141" i="1" s="1"/>
  <c r="BI2142" i="1" a="1"/>
  <c r="BI2142" i="1" s="1"/>
  <c r="E2143" i="1" a="1"/>
  <c r="E2143" i="1" s="1"/>
  <c r="BN2143" i="1" a="1"/>
  <c r="BN2143" i="1" s="1"/>
  <c r="BI2141" i="1" a="1"/>
  <c r="BI2141" i="1" s="1"/>
  <c r="E2142" i="1" a="1"/>
  <c r="E2142" i="1" s="1"/>
  <c r="BN2142" i="1" a="1"/>
  <c r="BN2142" i="1" s="1"/>
  <c r="BK2144" i="1"/>
  <c r="BK2137" i="1"/>
  <c r="BK2139" i="1"/>
  <c r="E2137" i="1" a="1"/>
  <c r="E2137" i="1" s="1"/>
  <c r="E2139" i="1" a="1"/>
  <c r="E2139" i="1" s="1"/>
  <c r="BM2137" i="1" a="1"/>
  <c r="BM2137" i="1" s="1"/>
  <c r="BJ2137" i="1" s="1" a="1"/>
  <c r="BJ2137" i="1" s="1"/>
  <c r="BM2136" i="1" a="1"/>
  <c r="BM2136" i="1" s="1"/>
  <c r="BJ2136" i="1" s="1" a="1"/>
  <c r="BJ2136" i="1" s="1"/>
  <c r="BI2137" i="1" a="1"/>
  <c r="BI2137" i="1" s="1"/>
  <c r="E2138" i="1" a="1"/>
  <c r="E2138" i="1" s="1"/>
  <c r="BN2138" i="1" a="1"/>
  <c r="BN2138" i="1" s="1"/>
  <c r="BI2136" i="1" a="1"/>
  <c r="BI2136" i="1" s="1"/>
  <c r="BN2137" i="1" a="1"/>
  <c r="BN2137" i="1" s="1"/>
  <c r="E2136" i="1" a="1"/>
  <c r="E2136" i="1" s="1"/>
  <c r="BK2132" i="1"/>
  <c r="E2131" i="1" a="1"/>
  <c r="E2131" i="1" s="1"/>
  <c r="BK2131" i="1"/>
  <c r="E2134" i="1" a="1"/>
  <c r="E2134" i="1" s="1"/>
  <c r="E2132" i="1" a="1"/>
  <c r="E2132" i="1" s="1"/>
  <c r="BM2133" i="1" a="1"/>
  <c r="BM2133" i="1" s="1"/>
  <c r="BJ2133" i="1" s="1" a="1"/>
  <c r="BJ2133" i="1" s="1"/>
  <c r="BI2134" i="1" a="1"/>
  <c r="BI2134" i="1" s="1"/>
  <c r="BM2131" i="1" a="1"/>
  <c r="BM2131" i="1" s="1"/>
  <c r="BJ2131" i="1" s="1" a="1"/>
  <c r="BJ2131" i="1" s="1"/>
  <c r="BI2132" i="1" a="1"/>
  <c r="BI2132" i="1" s="1"/>
  <c r="E2133" i="1" a="1"/>
  <c r="E2133" i="1" s="1"/>
  <c r="BN2133" i="1" a="1"/>
  <c r="BN2133" i="1" s="1"/>
  <c r="AT2134" i="1"/>
  <c r="BI2131" i="1" a="1"/>
  <c r="BI2131" i="1" s="1"/>
  <c r="BN2132" i="1" a="1"/>
  <c r="BN2132" i="1" s="1"/>
  <c r="AT2133" i="1"/>
  <c r="BM2132" i="1" a="1"/>
  <c r="BM2132" i="1" s="1"/>
  <c r="BJ2132" i="1" s="1" a="1"/>
  <c r="BJ2132" i="1" s="1"/>
  <c r="AT2132" i="1"/>
  <c r="E2126" i="1" a="1"/>
  <c r="E2126" i="1" s="1"/>
  <c r="E2129" i="1" a="1"/>
  <c r="E2129" i="1" s="1"/>
  <c r="E2127" i="1" a="1"/>
  <c r="E2127" i="1" s="1"/>
  <c r="BL2126" i="1" a="1"/>
  <c r="BL2126" i="1" s="1"/>
  <c r="BM2128" i="1" a="1"/>
  <c r="BM2128" i="1" s="1"/>
  <c r="BJ2128" i="1" s="1" a="1"/>
  <c r="BJ2128" i="1" s="1"/>
  <c r="BM2127" i="1" a="1"/>
  <c r="BM2127" i="1" s="1"/>
  <c r="BJ2127" i="1" s="1" a="1"/>
  <c r="BJ2127" i="1" s="1"/>
  <c r="BM2126" i="1" a="1"/>
  <c r="BM2126" i="1" s="1"/>
  <c r="BJ2126" i="1" s="1" a="1"/>
  <c r="BJ2126" i="1" s="1"/>
  <c r="BI2127" i="1" a="1"/>
  <c r="BI2127" i="1" s="1"/>
  <c r="E2128" i="1" a="1"/>
  <c r="E2128" i="1" s="1"/>
  <c r="BN2128" i="1" a="1"/>
  <c r="BN2128" i="1" s="1"/>
  <c r="BI2126" i="1" a="1"/>
  <c r="BI2126" i="1" s="1"/>
  <c r="BL2129" i="1" a="1"/>
  <c r="BL2129" i="1" s="1"/>
  <c r="E2122" i="1" a="1"/>
  <c r="E2122" i="1" s="1"/>
  <c r="E2124" i="1" a="1"/>
  <c r="E2124" i="1" s="1"/>
  <c r="BM2123" i="1" a="1"/>
  <c r="BM2123" i="1" s="1"/>
  <c r="BJ2123" i="1" s="1" a="1"/>
  <c r="BJ2123" i="1" s="1"/>
  <c r="BI2124" i="1" a="1"/>
  <c r="BI2124" i="1" s="1"/>
  <c r="BM2121" i="1" a="1"/>
  <c r="BM2121" i="1" s="1"/>
  <c r="BJ2121" i="1" s="1" a="1"/>
  <c r="BJ2121" i="1" s="1"/>
  <c r="BI2122" i="1" a="1"/>
  <c r="BI2122" i="1" s="1"/>
  <c r="BI2121" i="1" a="1"/>
  <c r="BI2121" i="1" s="1"/>
  <c r="BN2122" i="1" a="1"/>
  <c r="BN2122" i="1" s="1"/>
  <c r="AT2123" i="1"/>
  <c r="E2121" i="1" a="1"/>
  <c r="E2121" i="1" s="1"/>
  <c r="AT2122" i="1"/>
  <c r="AT2121" i="1"/>
  <c r="BL2119" i="1" a="1"/>
  <c r="BL2119" i="1" s="1"/>
  <c r="BL2117" i="1" a="1"/>
  <c r="BL2117" i="1" s="1"/>
  <c r="BM2116" i="1" a="1"/>
  <c r="BM2116" i="1" s="1"/>
  <c r="BJ2116" i="1" s="1" a="1"/>
  <c r="BJ2116" i="1" s="1"/>
  <c r="BL2118" i="1" a="1"/>
  <c r="BL2118" i="1" s="1"/>
  <c r="BI2119" i="1" a="1"/>
  <c r="BI2119" i="1" s="1"/>
  <c r="BK2117" i="1"/>
  <c r="BI2118" i="1" a="1"/>
  <c r="BI2118" i="1" s="1"/>
  <c r="BM2118" i="1" a="1"/>
  <c r="BM2118" i="1" s="1"/>
  <c r="BJ2118" i="1" s="1" a="1"/>
  <c r="BJ2118" i="1" s="1"/>
  <c r="BI2117" i="1" a="1"/>
  <c r="BI2117" i="1" s="1"/>
  <c r="BL2112" i="1" a="1"/>
  <c r="BL2112" i="1" s="1"/>
  <c r="BI2111" i="1" a="1"/>
  <c r="BI2111" i="1" s="1"/>
  <c r="BN2111" i="1" a="1"/>
  <c r="BN2111" i="1" s="1"/>
  <c r="BM2113" i="1" a="1"/>
  <c r="BM2113" i="1" s="1"/>
  <c r="BJ2113" i="1" s="1" a="1"/>
  <c r="BJ2113" i="1" s="1"/>
  <c r="BI2113" i="1" a="1"/>
  <c r="BI2113" i="1" s="1"/>
  <c r="BM2112" i="1" a="1"/>
  <c r="BM2112" i="1" s="1"/>
  <c r="BJ2112" i="1" s="1" a="1"/>
  <c r="BJ2112" i="1" s="1"/>
  <c r="BI2112" i="1" a="1"/>
  <c r="BI2112" i="1" s="1"/>
  <c r="BK2107" i="1"/>
  <c r="BM2106" i="1" a="1"/>
  <c r="BM2106" i="1" s="1"/>
  <c r="BJ2106" i="1" s="1" a="1"/>
  <c r="BJ2106" i="1" s="1"/>
  <c r="AT2107" i="1"/>
  <c r="BI2109" i="1" a="1"/>
  <c r="BI2109" i="1" s="1"/>
  <c r="BN2106" i="1" a="1"/>
  <c r="BN2106" i="1" s="1"/>
  <c r="BM2108" i="1" a="1"/>
  <c r="BM2108" i="1" s="1"/>
  <c r="BJ2108" i="1" s="1" a="1"/>
  <c r="BJ2108" i="1" s="1"/>
  <c r="AT2109" i="1"/>
  <c r="AT2106" i="1"/>
  <c r="BI2108" i="1" a="1"/>
  <c r="BI2108" i="1" s="1"/>
  <c r="BN2108" i="1" a="1"/>
  <c r="BN2108" i="1" s="1"/>
  <c r="BK2109" i="1"/>
  <c r="BI2107" i="1" a="1"/>
  <c r="BI2107" i="1" s="1"/>
  <c r="AT2180" i="1"/>
  <c r="BK2180" i="1"/>
  <c r="BI2189" i="1" a="1"/>
  <c r="BI2189" i="1" s="1"/>
  <c r="BK2213" i="1" a="1"/>
  <c r="BK2213" i="1" s="1"/>
  <c r="BN2261" i="1" a="1"/>
  <c r="BN2261" i="1" s="1"/>
  <c r="BL2238" i="1" a="1"/>
  <c r="BL2238" i="1" s="1"/>
  <c r="BL2223" i="1"/>
  <c r="BI2201" i="1" a="1"/>
  <c r="BI2201" i="1" s="1"/>
  <c r="BL2199" i="1" a="1"/>
  <c r="BL2199" i="1" s="1"/>
  <c r="BM2244" i="1" a="1"/>
  <c r="BM2244" i="1" s="1"/>
  <c r="BJ2244" i="1" s="1" a="1"/>
  <c r="BJ2244" i="1" s="1"/>
  <c r="BL2228" i="1"/>
  <c r="BK2189" i="1" a="1"/>
  <c r="BK2189" i="1" s="1"/>
  <c r="BQ2189" i="1" s="1"/>
  <c r="BR2189" i="1" s="1"/>
  <c r="BM2204" i="1" a="1"/>
  <c r="BM2204" i="1" s="1"/>
  <c r="BJ2204" i="1" s="1" a="1"/>
  <c r="BJ2204" i="1" s="1"/>
  <c r="BL2211" i="1" a="1"/>
  <c r="BL2211" i="1" s="1"/>
  <c r="BN2204" i="1" a="1"/>
  <c r="BN2204" i="1" s="1"/>
  <c r="BI2242" i="1" a="1"/>
  <c r="BI2242" i="1" s="1"/>
  <c r="BL2196" i="1" a="1"/>
  <c r="BL2196" i="1" s="1"/>
  <c r="BL2236" i="1" a="1"/>
  <c r="BL2236" i="1" s="1"/>
  <c r="BM2242" i="1" a="1"/>
  <c r="BM2242" i="1" s="1"/>
  <c r="BJ2242" i="1" s="1" a="1"/>
  <c r="BJ2242" i="1" s="1"/>
  <c r="BL2253" i="1" a="1"/>
  <c r="BL2253" i="1" s="1"/>
  <c r="BN2242" i="1" a="1"/>
  <c r="BN2242" i="1" s="1"/>
  <c r="BN2206" i="1" a="1"/>
  <c r="BN2206" i="1" s="1"/>
  <c r="BI2186" i="1" a="1"/>
  <c r="BI2186" i="1" s="1"/>
  <c r="BN2191" i="1" a="1"/>
  <c r="BN2191" i="1" s="1"/>
  <c r="BN2207" i="1" a="1"/>
  <c r="BN2207" i="1" s="1"/>
  <c r="BI2213" i="1" a="1"/>
  <c r="BI2213" i="1" s="1"/>
  <c r="BL2214" i="1" a="1"/>
  <c r="BL2214" i="1" s="1"/>
  <c r="BI2192" i="1" a="1"/>
  <c r="BI2192" i="1" s="1"/>
  <c r="BN2193" i="1" a="1"/>
  <c r="BN2193" i="1" s="1"/>
  <c r="BI2199" i="1" a="1"/>
  <c r="BI2199" i="1" s="1"/>
  <c r="BN2209" i="1" a="1"/>
  <c r="BN2209" i="1" s="1"/>
  <c r="BI2253" i="1" a="1"/>
  <c r="BI2253" i="1" s="1"/>
  <c r="BN2189" i="1" a="1"/>
  <c r="BN2189" i="1" s="1"/>
  <c r="BM2214" i="1" a="1"/>
  <c r="BM2214" i="1" s="1"/>
  <c r="BJ2214" i="1" s="1" a="1"/>
  <c r="BJ2214" i="1" s="1"/>
  <c r="BM2241" i="1" a="1"/>
  <c r="BM2241" i="1" s="1"/>
  <c r="BJ2241" i="1" s="1" a="1"/>
  <c r="BJ2241" i="1" s="1"/>
  <c r="BK2242" i="1" a="1"/>
  <c r="BK2242" i="1" s="1"/>
  <c r="BL2187" i="1" a="1"/>
  <c r="BL2187" i="1" s="1"/>
  <c r="BM2199" i="1" a="1"/>
  <c r="BM2199" i="1" s="1"/>
  <c r="BJ2199" i="1" s="1" a="1"/>
  <c r="BJ2199" i="1" s="1"/>
  <c r="BK2206" i="1"/>
  <c r="BL2257" i="1" a="1"/>
  <c r="BL2257" i="1" s="1"/>
  <c r="BN2192" i="1" a="1"/>
  <c r="BN2192" i="1" s="1"/>
  <c r="BL2198" i="1" a="1"/>
  <c r="BL2198" i="1" s="1"/>
  <c r="BM2202" i="1" a="1"/>
  <c r="BM2202" i="1" s="1"/>
  <c r="BJ2202" i="1" s="1" a="1"/>
  <c r="BJ2202" i="1" s="1"/>
  <c r="BK2207" i="1"/>
  <c r="BM2189" i="1" a="1"/>
  <c r="BM2189" i="1" s="1"/>
  <c r="BJ2189" i="1" s="1" a="1"/>
  <c r="BJ2189" i="1" s="1"/>
  <c r="BK2188" i="1" a="1"/>
  <c r="BK2188" i="1" s="1"/>
  <c r="BQ2188" i="1" s="1"/>
  <c r="BR2188" i="1" s="1"/>
  <c r="BK2202" i="1" a="1"/>
  <c r="BK2202" i="1" s="1"/>
  <c r="BQ2202" i="1" s="1"/>
  <c r="BR2202" i="1" s="1"/>
  <c r="BM2213" i="1" a="1"/>
  <c r="BM2213" i="1" s="1"/>
  <c r="BJ2213" i="1" s="1" a="1"/>
  <c r="BJ2213" i="1" s="1"/>
  <c r="BK2222" i="1"/>
  <c r="BI2223" i="1" a="1"/>
  <c r="BI2223" i="1" s="1"/>
  <c r="BK2253" i="1"/>
  <c r="BK2209" i="1"/>
  <c r="BN2253" i="1" a="1"/>
  <c r="BN2253" i="1" s="1"/>
  <c r="BL2186" i="1" a="1"/>
  <c r="BL2186" i="1" s="1"/>
  <c r="BL2203" i="1" a="1"/>
  <c r="BL2203" i="1" s="1"/>
  <c r="BL2208" i="1" a="1"/>
  <c r="BL2208" i="1" s="1"/>
  <c r="BL2213" i="1" a="1"/>
  <c r="BL2213" i="1" s="1"/>
  <c r="BN2223" i="1" a="1"/>
  <c r="BN2223" i="1" s="1"/>
  <c r="BK2224" i="1"/>
  <c r="BL2191" i="1" a="1"/>
  <c r="BL2191" i="1" s="1"/>
  <c r="BI2193" i="1" a="1"/>
  <c r="BI2193" i="1" s="1"/>
  <c r="BM2194" i="1" a="1"/>
  <c r="BM2194" i="1" s="1"/>
  <c r="BJ2194" i="1" s="1" a="1"/>
  <c r="BJ2194" i="1" s="1"/>
  <c r="BM2198" i="1" a="1"/>
  <c r="BM2198" i="1" s="1"/>
  <c r="BJ2198" i="1" s="1" a="1"/>
  <c r="BJ2198" i="1" s="1"/>
  <c r="BL2202" i="1" a="1"/>
  <c r="BL2202" i="1" s="1"/>
  <c r="BN2213" i="1" a="1"/>
  <c r="BN2213" i="1" s="1"/>
  <c r="BN2214" i="1" a="1"/>
  <c r="BN2214" i="1" s="1"/>
  <c r="BI2224" i="1" a="1"/>
  <c r="BI2224" i="1" s="1"/>
  <c r="BK2236" i="1"/>
  <c r="BI2239" i="1" a="1"/>
  <c r="BI2239" i="1" s="1"/>
  <c r="BL2244" i="1" a="1"/>
  <c r="BL2244" i="1" s="1"/>
  <c r="BI2251" i="1" a="1"/>
  <c r="BI2251" i="1" s="1"/>
  <c r="BM2256" i="1" a="1"/>
  <c r="BM2256" i="1" s="1"/>
  <c r="BJ2256" i="1" s="1" a="1"/>
  <c r="BJ2256" i="1" s="1"/>
  <c r="BK2257" i="1" a="1"/>
  <c r="BK2257" i="1" s="1"/>
  <c r="BM2186" i="1" a="1"/>
  <c r="BM2186" i="1" s="1"/>
  <c r="BJ2186" i="1" s="1" a="1"/>
  <c r="BJ2186" i="1" s="1"/>
  <c r="BL2194" i="1" a="1"/>
  <c r="BL2194" i="1" s="1"/>
  <c r="BI2202" i="1" a="1"/>
  <c r="BI2202" i="1" s="1"/>
  <c r="BM2209" i="1" a="1"/>
  <c r="BM2209" i="1" s="1"/>
  <c r="BJ2209" i="1" s="1" a="1"/>
  <c r="BJ2209" i="1" s="1"/>
  <c r="BL2224" i="1"/>
  <c r="BI2237" i="1" a="1"/>
  <c r="BI2237" i="1" s="1"/>
  <c r="BN2239" i="1" a="1"/>
  <c r="BN2239" i="1" s="1"/>
  <c r="BM2192" i="1" a="1"/>
  <c r="BM2192" i="1" s="1"/>
  <c r="BJ2192" i="1" s="1" a="1"/>
  <c r="BJ2192" i="1" s="1"/>
  <c r="BI2198" i="1" a="1"/>
  <c r="BI2198" i="1" s="1"/>
  <c r="BK2201" i="1" a="1"/>
  <c r="BK2201" i="1" s="1"/>
  <c r="BQ2201" i="1" s="1"/>
  <c r="BR2201" i="1" s="1"/>
  <c r="BI2206" i="1" a="1"/>
  <c r="BI2206" i="1" s="1"/>
  <c r="BI2208" i="1" a="1"/>
  <c r="BI2208" i="1" s="1"/>
  <c r="BK2221" i="1"/>
  <c r="BM2224" i="1" a="1"/>
  <c r="BM2224" i="1" s="1"/>
  <c r="BJ2224" i="1" s="1" a="1"/>
  <c r="BJ2224" i="1" s="1"/>
  <c r="BK2226" i="1"/>
  <c r="BN2244" i="1" a="1"/>
  <c r="BN2244" i="1" s="1"/>
  <c r="BN2251" i="1" a="1"/>
  <c r="BN2251" i="1" s="1"/>
  <c r="BI2252" i="1" a="1"/>
  <c r="BI2252" i="1" s="1"/>
  <c r="BI2254" i="1" a="1"/>
  <c r="BI2254" i="1" s="1"/>
  <c r="BM2255" i="1" a="1"/>
  <c r="BM2255" i="1" s="1"/>
  <c r="BJ2255" i="1" s="1" a="1"/>
  <c r="BJ2255" i="1" s="1"/>
  <c r="BM2188" i="1" a="1"/>
  <c r="BM2188" i="1" s="1"/>
  <c r="BJ2188" i="1" s="1" a="1"/>
  <c r="BJ2188" i="1" s="1"/>
  <c r="BI2194" i="1" a="1"/>
  <c r="BI2194" i="1" s="1"/>
  <c r="BM2197" i="1" a="1"/>
  <c r="BM2197" i="1" s="1"/>
  <c r="BJ2197" i="1" s="1" a="1"/>
  <c r="BJ2197" i="1" s="1"/>
  <c r="BK2198" i="1" a="1"/>
  <c r="BK2198" i="1" s="1"/>
  <c r="BN2201" i="1" a="1"/>
  <c r="BN2201" i="1" s="1"/>
  <c r="BM2203" i="1" a="1"/>
  <c r="BM2203" i="1" s="1"/>
  <c r="BJ2203" i="1" s="1" a="1"/>
  <c r="BJ2203" i="1" s="1"/>
  <c r="BI2204" i="1" a="1"/>
  <c r="BI2204" i="1" s="1"/>
  <c r="BM2212" i="1" a="1"/>
  <c r="BM2212" i="1" s="1"/>
  <c r="BJ2212" i="1" s="1" a="1"/>
  <c r="BJ2212" i="1" s="1"/>
  <c r="BI2214" i="1" a="1"/>
  <c r="BI2214" i="1" s="1"/>
  <c r="BL2221" i="1"/>
  <c r="BL2226" i="1"/>
  <c r="BK2237" i="1"/>
  <c r="BI2241" i="1" a="1"/>
  <c r="BI2241" i="1" s="1"/>
  <c r="BL2258" i="1" a="1"/>
  <c r="BL2258" i="1" s="1"/>
  <c r="BI2259" i="1" a="1"/>
  <c r="BI2259" i="1" s="1"/>
  <c r="BM2193" i="1" a="1"/>
  <c r="BM2193" i="1" s="1"/>
  <c r="BJ2193" i="1" s="1" a="1"/>
  <c r="BJ2193" i="1" s="1"/>
  <c r="BN2198" i="1" a="1"/>
  <c r="BN2198" i="1" s="1"/>
  <c r="BN2199" i="1" a="1"/>
  <c r="BN2199" i="1" s="1"/>
  <c r="BM2221" i="1" a="1"/>
  <c r="BM2221" i="1" s="1"/>
  <c r="BJ2221" i="1" s="1" a="1"/>
  <c r="BJ2221" i="1" s="1"/>
  <c r="BN2237" i="1" a="1"/>
  <c r="BN2237" i="1" s="1"/>
  <c r="BK2252" i="1"/>
  <c r="BK2254" i="1"/>
  <c r="BN2188" i="1" a="1"/>
  <c r="BN2188" i="1" s="1"/>
  <c r="BM2191" i="1" a="1"/>
  <c r="BM2191" i="1" s="1"/>
  <c r="BJ2191" i="1" s="1" a="1"/>
  <c r="BJ2191" i="1" s="1"/>
  <c r="BM2196" i="1" a="1"/>
  <c r="BM2196" i="1" s="1"/>
  <c r="BJ2196" i="1" s="1" a="1"/>
  <c r="BJ2196" i="1" s="1"/>
  <c r="BK2197" i="1" a="1"/>
  <c r="BK2197" i="1" s="1"/>
  <c r="BK2203" i="1" a="1"/>
  <c r="BK2203" i="1" s="1"/>
  <c r="BQ2203" i="1" s="1"/>
  <c r="BR2203" i="1" s="1"/>
  <c r="BM2211" i="1" a="1"/>
  <c r="BM2211" i="1" s="1"/>
  <c r="BJ2211" i="1" s="1" a="1"/>
  <c r="BJ2211" i="1" s="1"/>
  <c r="BK2212" i="1" a="1"/>
  <c r="BK2212" i="1" s="1"/>
  <c r="BK2238" i="1"/>
  <c r="BL2243" i="1" a="1"/>
  <c r="BL2243" i="1" s="1"/>
  <c r="BI2244" i="1" a="1"/>
  <c r="BI2244" i="1" s="1"/>
  <c r="BN2252" i="1" a="1"/>
  <c r="BN2252" i="1" s="1"/>
  <c r="BN2254" i="1" a="1"/>
  <c r="BN2254" i="1" s="1"/>
  <c r="BI2256" i="1" a="1"/>
  <c r="BI2256" i="1" s="1"/>
  <c r="BK2259" i="1" a="1"/>
  <c r="BK2259" i="1" s="1"/>
  <c r="BM2201" i="1" a="1"/>
  <c r="BM2201" i="1" s="1"/>
  <c r="BJ2201" i="1" s="1" a="1"/>
  <c r="BJ2201" i="1" s="1"/>
  <c r="BM2206" i="1" a="1"/>
  <c r="BM2206" i="1" s="1"/>
  <c r="BJ2206" i="1" s="1" a="1"/>
  <c r="BJ2206" i="1" s="1"/>
  <c r="BM2208" i="1" a="1"/>
  <c r="BM2208" i="1" s="1"/>
  <c r="BJ2208" i="1" s="1" a="1"/>
  <c r="BJ2208" i="1" s="1"/>
  <c r="BK2256" i="1" a="1"/>
  <c r="BK2256" i="1" s="1"/>
  <c r="BN2259" i="1" a="1"/>
  <c r="BN2259" i="1" s="1"/>
  <c r="BN2256" i="1" a="1"/>
  <c r="BN2256" i="1" s="1"/>
  <c r="BI2258" i="1" a="1"/>
  <c r="BI2258" i="1" s="1"/>
  <c r="BM2258" i="1" a="1"/>
  <c r="BM2258" i="1" s="1"/>
  <c r="BJ2258" i="1" s="1" a="1"/>
  <c r="BJ2258" i="1" s="1"/>
  <c r="BN2258" i="1" a="1"/>
  <c r="BN2258" i="1" s="1"/>
  <c r="BI2257" i="1" a="1"/>
  <c r="BI2257" i="1" s="1"/>
  <c r="BM2257" i="1" a="1"/>
  <c r="BM2257" i="1" s="1"/>
  <c r="BJ2257" i="1" s="1" a="1"/>
  <c r="BJ2257" i="1" s="1"/>
  <c r="BL2259" i="1" a="1"/>
  <c r="BL2259" i="1" s="1"/>
  <c r="BL2252" i="1" a="1"/>
  <c r="BL2252" i="1" s="1"/>
  <c r="BL2254" i="1" a="1"/>
  <c r="BL2254" i="1" s="1"/>
  <c r="BN2241" i="1" a="1"/>
  <c r="BN2241" i="1" s="1"/>
  <c r="BI2243" i="1" a="1"/>
  <c r="BI2243" i="1" s="1"/>
  <c r="BM2243" i="1" a="1"/>
  <c r="BM2243" i="1" s="1"/>
  <c r="BJ2243" i="1" s="1" a="1"/>
  <c r="BJ2243" i="1" s="1"/>
  <c r="BK2241" i="1" a="1"/>
  <c r="BK2241" i="1" s="1"/>
  <c r="BN2243" i="1" a="1"/>
  <c r="BN2243" i="1" s="1"/>
  <c r="BM2236" i="1" a="1"/>
  <c r="BM2236" i="1" s="1"/>
  <c r="BJ2236" i="1" s="1" a="1"/>
  <c r="BJ2236" i="1" s="1"/>
  <c r="BM2238" i="1" a="1"/>
  <c r="BM2238" i="1" s="1"/>
  <c r="BJ2238" i="1" s="1" a="1"/>
  <c r="BJ2238" i="1" s="1"/>
  <c r="BI2236" i="1" a="1"/>
  <c r="BI2236" i="1" s="1"/>
  <c r="BI2238" i="1" a="1"/>
  <c r="BI2238" i="1" s="1"/>
  <c r="BK2239" i="1"/>
  <c r="BL2237" i="1" a="1"/>
  <c r="BL2237" i="1" s="1"/>
  <c r="BL2239" i="1" a="1"/>
  <c r="BL2239" i="1" s="1"/>
  <c r="BM2226" i="1" a="1"/>
  <c r="BM2226" i="1" s="1"/>
  <c r="BJ2226" i="1" s="1" a="1"/>
  <c r="BJ2226" i="1" s="1"/>
  <c r="BK2227" i="1"/>
  <c r="BI2229" i="1" a="1"/>
  <c r="BI2229" i="1" s="1"/>
  <c r="BN2229" i="1" a="1"/>
  <c r="BN2229" i="1" s="1"/>
  <c r="BL2227" i="1"/>
  <c r="BI2226" i="1" a="1"/>
  <c r="BI2226" i="1" s="1"/>
  <c r="BM2227" i="1" a="1"/>
  <c r="BM2227" i="1" s="1"/>
  <c r="BJ2227" i="1" s="1" a="1"/>
  <c r="BJ2227" i="1" s="1"/>
  <c r="BK2228" i="1"/>
  <c r="BI2227" i="1" a="1"/>
  <c r="BI2227" i="1" s="1"/>
  <c r="BM2228" i="1" a="1"/>
  <c r="BM2228" i="1" s="1"/>
  <c r="BJ2228" i="1" s="1" a="1"/>
  <c r="BJ2228" i="1" s="1"/>
  <c r="BK2229" i="1"/>
  <c r="BL2229" i="1"/>
  <c r="BI2228" i="1" a="1"/>
  <c r="BI2228" i="1" s="1"/>
  <c r="BL2222" i="1"/>
  <c r="BI2221" i="1" a="1"/>
  <c r="BI2221" i="1" s="1"/>
  <c r="BM2222" i="1" a="1"/>
  <c r="BM2222" i="1" s="1"/>
  <c r="BJ2222" i="1" s="1" a="1"/>
  <c r="BJ2222" i="1" s="1"/>
  <c r="BK2223" i="1"/>
  <c r="BI2222" i="1" a="1"/>
  <c r="BI2222" i="1" s="1"/>
  <c r="E2214" i="1" a="1"/>
  <c r="E2214" i="1" s="1"/>
  <c r="E2211" i="1" a="1"/>
  <c r="E2211" i="1" s="1"/>
  <c r="E2212" i="1" a="1"/>
  <c r="E2212" i="1" s="1"/>
  <c r="BI2211" i="1" a="1"/>
  <c r="BI2211" i="1" s="1"/>
  <c r="BL2212" i="1" a="1"/>
  <c r="BL2212" i="1" s="1"/>
  <c r="BN2211" i="1" a="1"/>
  <c r="BN2211" i="1" s="1"/>
  <c r="BI2212" i="1" a="1"/>
  <c r="BI2212" i="1" s="1"/>
  <c r="BK2214" i="1" a="1"/>
  <c r="BK2214" i="1" s="1"/>
  <c r="E2213" i="1" a="1"/>
  <c r="E2213" i="1" s="1"/>
  <c r="BK2211" i="1" a="1"/>
  <c r="BK2211" i="1" s="1"/>
  <c r="BN2212" i="1" a="1"/>
  <c r="BN2212" i="1" s="1"/>
  <c r="E2209" i="1" a="1"/>
  <c r="E2209" i="1" s="1"/>
  <c r="BL2209" i="1" a="1"/>
  <c r="BL2209" i="1" s="1"/>
  <c r="E2207" i="1" a="1"/>
  <c r="E2207" i="1" s="1"/>
  <c r="BN2208" i="1" a="1"/>
  <c r="BN2208" i="1" s="1"/>
  <c r="BI2209" i="1" a="1"/>
  <c r="BI2209" i="1" s="1"/>
  <c r="BL2206" i="1" a="1"/>
  <c r="BL2206" i="1" s="1"/>
  <c r="BL2207" i="1" a="1"/>
  <c r="BL2207" i="1" s="1"/>
  <c r="BK2208" i="1"/>
  <c r="E2206" i="1" a="1"/>
  <c r="E2206" i="1" s="1"/>
  <c r="BM2207" i="1" a="1"/>
  <c r="BM2207" i="1" s="1"/>
  <c r="BJ2207" i="1" s="1" a="1"/>
  <c r="BJ2207" i="1" s="1"/>
  <c r="BI2207" i="1" a="1"/>
  <c r="BI2207" i="1" s="1"/>
  <c r="E2208" i="1" a="1"/>
  <c r="E2208" i="1" s="1"/>
  <c r="E2203" i="1" a="1"/>
  <c r="E2203" i="1" s="1"/>
  <c r="E2202" i="1" a="1"/>
  <c r="E2202" i="1" s="1"/>
  <c r="BN2202" i="1" a="1"/>
  <c r="BN2202" i="1" s="1"/>
  <c r="BK2204" i="1" a="1"/>
  <c r="BK2204" i="1" s="1"/>
  <c r="BQ2204" i="1" s="1"/>
  <c r="BR2204" i="1" s="1"/>
  <c r="BL2201" i="1" a="1"/>
  <c r="BL2201" i="1" s="1"/>
  <c r="BI2203" i="1" a="1"/>
  <c r="BI2203" i="1" s="1"/>
  <c r="E2201" i="1" a="1"/>
  <c r="E2201" i="1" s="1"/>
  <c r="BL2204" i="1" a="1"/>
  <c r="BL2204" i="1" s="1"/>
  <c r="BN2203" i="1" a="1"/>
  <c r="BN2203" i="1" s="1"/>
  <c r="E2204" i="1" a="1"/>
  <c r="E2204" i="1" s="1"/>
  <c r="E2199" i="1" a="1"/>
  <c r="E2199" i="1" s="1"/>
  <c r="E2197" i="1" a="1"/>
  <c r="E2197" i="1" s="1"/>
  <c r="E2196" i="1" a="1"/>
  <c r="E2196" i="1" s="1"/>
  <c r="BI2196" i="1" a="1"/>
  <c r="BI2196" i="1" s="1"/>
  <c r="BL2197" i="1" a="1"/>
  <c r="BL2197" i="1" s="1"/>
  <c r="BN2196" i="1" a="1"/>
  <c r="BN2196" i="1" s="1"/>
  <c r="BI2197" i="1" a="1"/>
  <c r="BI2197" i="1" s="1"/>
  <c r="BK2199" i="1" a="1"/>
  <c r="BK2199" i="1" s="1"/>
  <c r="E2198" i="1" a="1"/>
  <c r="E2198" i="1" s="1"/>
  <c r="BK2196" i="1" a="1"/>
  <c r="BK2196" i="1" s="1"/>
  <c r="BN2197" i="1" a="1"/>
  <c r="BN2197" i="1" s="1"/>
  <c r="E2193" i="1" a="1"/>
  <c r="E2193" i="1" s="1"/>
  <c r="E2191" i="1" a="1"/>
  <c r="E2191" i="1" s="1"/>
  <c r="E2194" i="1" a="1"/>
  <c r="E2194" i="1" s="1"/>
  <c r="BK2191" i="1"/>
  <c r="BN2194" i="1" a="1"/>
  <c r="BN2194" i="1" s="1"/>
  <c r="BK2192" i="1"/>
  <c r="BL2192" i="1" a="1"/>
  <c r="BL2192" i="1" s="1"/>
  <c r="BK2193" i="1"/>
  <c r="BL2193" i="1" a="1"/>
  <c r="BL2193" i="1" s="1"/>
  <c r="BK2194" i="1"/>
  <c r="BI2191" i="1" a="1"/>
  <c r="BI2191" i="1" s="1"/>
  <c r="E2192" i="1" a="1"/>
  <c r="E2192" i="1" s="1"/>
  <c r="E2187" i="1" a="1"/>
  <c r="E2187" i="1" s="1"/>
  <c r="E2188" i="1" a="1"/>
  <c r="E2188" i="1" s="1"/>
  <c r="E2189" i="1" a="1"/>
  <c r="E2189" i="1" s="1"/>
  <c r="BN2186" i="1" a="1"/>
  <c r="BN2186" i="1" s="1"/>
  <c r="BI2187" i="1" a="1"/>
  <c r="BI2187" i="1" s="1"/>
  <c r="BM2187" i="1" a="1"/>
  <c r="BM2187" i="1" s="1"/>
  <c r="BJ2187" i="1" s="1" a="1"/>
  <c r="BJ2187" i="1" s="1"/>
  <c r="BL2188" i="1" a="1"/>
  <c r="BL2188" i="1" s="1"/>
  <c r="BK2186" i="1" a="1"/>
  <c r="BK2186" i="1" s="1"/>
  <c r="BQ2186" i="1" s="1"/>
  <c r="BR2186" i="1" s="1"/>
  <c r="BN2187" i="1" a="1"/>
  <c r="BN2187" i="1" s="1"/>
  <c r="BI2188" i="1" a="1"/>
  <c r="BI2188" i="1" s="1"/>
  <c r="BL2189" i="1" a="1"/>
  <c r="BL2189" i="1" s="1"/>
  <c r="BK2187" i="1" a="1"/>
  <c r="BK2187" i="1" s="1"/>
  <c r="BQ2187" i="1" s="1"/>
  <c r="BR2187" i="1" s="1"/>
  <c r="BI2255" i="1" a="1"/>
  <c r="BI2255" i="1" s="1"/>
  <c r="BN2255" i="1" a="1"/>
  <c r="BN2255" i="1" s="1"/>
  <c r="BK2255" i="1" a="1"/>
  <c r="BK2255" i="1" s="1"/>
  <c r="BN2664" i="1" a="1"/>
  <c r="BN2664" i="1" s="1"/>
  <c r="BK2727" i="1" a="1"/>
  <c r="BK2727" i="1" s="1"/>
  <c r="BI2261" i="1" a="1"/>
  <c r="BI2261" i="1" s="1"/>
  <c r="BK2629" i="1" a="1"/>
  <c r="BK2629" i="1" s="1"/>
  <c r="BM2586" i="1" a="1"/>
  <c r="BM2586" i="1" s="1"/>
  <c r="BL2586" i="1" s="1" a="1"/>
  <c r="BL2586" i="1" s="1"/>
  <c r="BI2727" i="1" a="1"/>
  <c r="BI2727" i="1" s="1"/>
  <c r="BM2282" i="1" a="1"/>
  <c r="BM2282" i="1" s="1"/>
  <c r="BJ2282" i="1" s="1" a="1"/>
  <c r="BJ2282" i="1" s="1"/>
  <c r="BM2663" i="1" a="1"/>
  <c r="BM2663" i="1" s="1"/>
  <c r="BJ2663" i="1" s="1" a="1"/>
  <c r="BJ2663" i="1" s="1"/>
  <c r="BM2276" i="1" a="1"/>
  <c r="BM2276" i="1" s="1"/>
  <c r="BL2276" i="1" s="1" a="1"/>
  <c r="BL2276" i="1" s="1"/>
  <c r="BM2278" i="1" a="1"/>
  <c r="BM2278" i="1" s="1"/>
  <c r="BL2278" i="1" s="1" a="1"/>
  <c r="BL2278" i="1" s="1"/>
  <c r="BI2721" i="1" a="1"/>
  <c r="BI2721" i="1" s="1"/>
  <c r="BM2721" i="1" a="1"/>
  <c r="BM2721" i="1" s="1"/>
  <c r="BJ2721" i="1" s="1" a="1"/>
  <c r="BJ2721" i="1" s="1"/>
  <c r="BI2286" i="1" a="1"/>
  <c r="BI2286" i="1" s="1"/>
  <c r="BM2261" i="1" a="1"/>
  <c r="BM2261" i="1" s="1"/>
  <c r="BJ2261" i="1" s="1" a="1"/>
  <c r="BJ2261" i="1" s="1"/>
  <c r="BK2725" i="1" a="1"/>
  <c r="BK2725" i="1" s="1"/>
  <c r="BI2282" i="1" a="1"/>
  <c r="BI2282" i="1" s="1"/>
  <c r="BK2283" i="1" a="1"/>
  <c r="BK2283" i="1" s="1"/>
  <c r="BK2286" i="1" a="1"/>
  <c r="BK2286" i="1" s="1"/>
  <c r="BN2725" i="1" a="1"/>
  <c r="BN2725" i="1" s="1"/>
  <c r="BM2262" i="1" a="1"/>
  <c r="BM2262" i="1" s="1"/>
  <c r="BJ2262" i="1" s="1" a="1"/>
  <c r="BJ2262" i="1" s="1"/>
  <c r="BK2282" i="1" a="1"/>
  <c r="BK2282" i="1" s="1"/>
  <c r="BM2286" i="1" a="1"/>
  <c r="BM2286" i="1" s="1"/>
  <c r="BJ2286" i="1" s="1" a="1"/>
  <c r="BJ2286" i="1" s="1"/>
  <c r="BI2588" i="1" a="1"/>
  <c r="BI2588" i="1" s="1"/>
  <c r="BM2272" i="1" a="1"/>
  <c r="BM2272" i="1" s="1"/>
  <c r="BL2272" i="1" s="1" a="1"/>
  <c r="BL2272" i="1" s="1"/>
  <c r="BM2281" i="1" a="1"/>
  <c r="BM2281" i="1" s="1"/>
  <c r="BL2281" i="1" s="1" a="1"/>
  <c r="BL2281" i="1" s="1"/>
  <c r="BM2628" i="1" a="1"/>
  <c r="BM2628" i="1" s="1"/>
  <c r="BJ2628" i="1" s="1" a="1"/>
  <c r="BJ2628" i="1" s="1"/>
  <c r="BM2662" i="1" a="1"/>
  <c r="BM2662" i="1" s="1"/>
  <c r="BL2662" i="1" s="1" a="1"/>
  <c r="BL2662" i="1" s="1"/>
  <c r="BN2665" i="1" a="1"/>
  <c r="BN2665" i="1" s="1"/>
  <c r="BM2588" i="1" a="1"/>
  <c r="BM2588" i="1" s="1"/>
  <c r="BL2588" i="1" s="1" a="1"/>
  <c r="BL2588" i="1" s="1"/>
  <c r="BI2263" i="1" a="1"/>
  <c r="BI2263" i="1" s="1"/>
  <c r="BM2271" i="1" a="1"/>
  <c r="BM2271" i="1" s="1"/>
  <c r="BL2271" i="1" s="1" a="1"/>
  <c r="BL2271" i="1" s="1"/>
  <c r="BM2273" i="1" a="1"/>
  <c r="BM2273" i="1" s="1"/>
  <c r="BL2273" i="1" s="1" a="1"/>
  <c r="BL2273" i="1" s="1"/>
  <c r="BI2277" i="1" a="1"/>
  <c r="BI2277" i="1" s="1"/>
  <c r="BI2279" i="1" a="1"/>
  <c r="BI2279" i="1" s="1"/>
  <c r="BN2283" i="1" a="1"/>
  <c r="BN2283" i="1" s="1"/>
  <c r="BI2663" i="1" a="1"/>
  <c r="BI2663" i="1" s="1"/>
  <c r="BM2665" i="1" a="1"/>
  <c r="BM2665" i="1" s="1"/>
  <c r="BJ2665" i="1" s="1" a="1"/>
  <c r="BJ2665" i="1" s="1"/>
  <c r="BN2727" i="1" a="1"/>
  <c r="BN2727" i="1" s="1"/>
  <c r="BM2264" i="1" a="1"/>
  <c r="BM2264" i="1" s="1"/>
  <c r="BL2264" i="1" s="1" a="1"/>
  <c r="BL2264" i="1" s="1"/>
  <c r="BM2267" i="1" a="1"/>
  <c r="BM2267" i="1" s="1"/>
  <c r="BL2267" i="1" s="1" a="1"/>
  <c r="BL2267" i="1" s="1"/>
  <c r="BM2269" i="1" a="1"/>
  <c r="BM2269" i="1" s="1"/>
  <c r="BL2269" i="1" s="1" a="1"/>
  <c r="BL2269" i="1" s="1"/>
  <c r="BK2276" i="1" a="1"/>
  <c r="BK2276" i="1" s="1"/>
  <c r="BK2277" i="1" a="1"/>
  <c r="BK2277" i="1" s="1"/>
  <c r="BK2278" i="1" a="1"/>
  <c r="BK2278" i="1" s="1"/>
  <c r="BK2279" i="1" a="1"/>
  <c r="BK2279" i="1" s="1"/>
  <c r="BM2283" i="1" a="1"/>
  <c r="BM2283" i="1" s="1"/>
  <c r="BL2283" i="1" s="1" a="1"/>
  <c r="BL2283" i="1" s="1"/>
  <c r="BK2289" i="1" a="1"/>
  <c r="BK2289" i="1" s="1"/>
  <c r="BK2588" i="1" a="1"/>
  <c r="BK2588" i="1" s="1"/>
  <c r="BI2662" i="1" a="1"/>
  <c r="BI2662" i="1" s="1"/>
  <c r="BN2663" i="1" a="1"/>
  <c r="BN2663" i="1" s="1"/>
  <c r="BK2726" i="1" a="1"/>
  <c r="BK2726" i="1" s="1"/>
  <c r="BN2262" i="1" a="1"/>
  <c r="BN2262" i="1" s="1"/>
  <c r="BN2276" i="1" a="1"/>
  <c r="BN2276" i="1" s="1"/>
  <c r="BN2278" i="1" a="1"/>
  <c r="BN2278" i="1" s="1"/>
  <c r="BM2289" i="1" a="1"/>
  <c r="BM2289" i="1" s="1"/>
  <c r="BJ2289" i="1" s="1" a="1"/>
  <c r="BJ2289" i="1" s="1"/>
  <c r="BN2662" i="1" a="1"/>
  <c r="BN2662" i="1" s="1"/>
  <c r="BN2289" i="1" a="1"/>
  <c r="BN2289" i="1" s="1"/>
  <c r="BK2627" i="1" a="1"/>
  <c r="BK2627" i="1" s="1"/>
  <c r="BM2728" i="1" a="1"/>
  <c r="BM2728" i="1" s="1"/>
  <c r="BL2728" i="1" s="1" a="1"/>
  <c r="BL2728" i="1" s="1"/>
  <c r="BM2263" i="1" a="1"/>
  <c r="BM2263" i="1" s="1"/>
  <c r="BL2263" i="1" s="1" a="1"/>
  <c r="BL2263" i="1" s="1"/>
  <c r="BN2269" i="1" a="1"/>
  <c r="BN2269" i="1" s="1"/>
  <c r="BM2279" i="1" a="1"/>
  <c r="BM2279" i="1" s="1"/>
  <c r="BL2279" i="1" s="1" a="1"/>
  <c r="BL2279" i="1" s="1"/>
  <c r="BM2664" i="1" a="1"/>
  <c r="BM2664" i="1" s="1"/>
  <c r="BL2664" i="1" s="1" a="1"/>
  <c r="BL2664" i="1" s="1"/>
  <c r="BN2728" i="1" a="1"/>
  <c r="BN2728" i="1" s="1"/>
  <c r="BM2266" i="1" a="1"/>
  <c r="BM2266" i="1" s="1"/>
  <c r="BL2266" i="1" s="1" a="1"/>
  <c r="BL2266" i="1" s="1"/>
  <c r="BM2268" i="1" a="1"/>
  <c r="BM2268" i="1" s="1"/>
  <c r="BJ2268" i="1" s="1" a="1"/>
  <c r="BJ2268" i="1" s="1"/>
  <c r="BI2274" i="1" a="1"/>
  <c r="BI2274" i="1" s="1"/>
  <c r="BM2277" i="1" a="1"/>
  <c r="BM2277" i="1" s="1"/>
  <c r="BL2277" i="1" s="1" a="1"/>
  <c r="BL2277" i="1" s="1"/>
  <c r="BI2586" i="1" a="1"/>
  <c r="BI2586" i="1" s="1"/>
  <c r="BM2626" i="1" a="1"/>
  <c r="BM2626" i="1" s="1"/>
  <c r="BL2626" i="1" s="1" a="1"/>
  <c r="BL2626" i="1" s="1"/>
  <c r="BJ2727" i="1" a="1"/>
  <c r="BJ2727" i="1" s="1"/>
  <c r="BL2727" i="1" a="1"/>
  <c r="BL2727" i="1" s="1"/>
  <c r="BN2263" i="1" a="1"/>
  <c r="BN2263" i="1" s="1"/>
  <c r="BI2271" i="1" a="1"/>
  <c r="BI2271" i="1" s="1"/>
  <c r="BI2272" i="1" a="1"/>
  <c r="BI2272" i="1" s="1"/>
  <c r="BI2273" i="1" a="1"/>
  <c r="BI2273" i="1" s="1"/>
  <c r="BN2281" i="1" a="1"/>
  <c r="BN2281" i="1" s="1"/>
  <c r="BM2284" i="1" a="1"/>
  <c r="BM2284" i="1" s="1"/>
  <c r="BJ2284" i="1" s="1" a="1"/>
  <c r="BJ2284" i="1" s="1"/>
  <c r="BK2586" i="1" a="1"/>
  <c r="BK2586" i="1" s="1"/>
  <c r="BN2626" i="1" a="1"/>
  <c r="BN2626" i="1" s="1"/>
  <c r="BN2628" i="1" a="1"/>
  <c r="BN2628" i="1" s="1"/>
  <c r="BK2722" i="1" a="1"/>
  <c r="BK2722" i="1" s="1"/>
  <c r="BI2268" i="1" a="1"/>
  <c r="BI2268" i="1" s="1"/>
  <c r="BI2281" i="1" a="1"/>
  <c r="BI2281" i="1" s="1"/>
  <c r="BI2585" i="1" a="1"/>
  <c r="BI2585" i="1" s="1"/>
  <c r="BI2587" i="1" a="1"/>
  <c r="BI2587" i="1" s="1"/>
  <c r="BM2627" i="1" a="1"/>
  <c r="BM2627" i="1" s="1"/>
  <c r="BL2627" i="1" s="1" a="1"/>
  <c r="BL2627" i="1" s="1"/>
  <c r="BM2629" i="1" a="1"/>
  <c r="BM2629" i="1" s="1"/>
  <c r="BL2629" i="1" s="1" a="1"/>
  <c r="BL2629" i="1" s="1"/>
  <c r="BK2720" i="1" a="1"/>
  <c r="BK2720" i="1" s="1"/>
  <c r="BM2722" i="1" a="1"/>
  <c r="BM2722" i="1" s="1"/>
  <c r="BL2722" i="1" s="1" a="1"/>
  <c r="BL2722" i="1" s="1"/>
  <c r="BI2266" i="1" a="1"/>
  <c r="BI2266" i="1" s="1"/>
  <c r="BI2267" i="1" a="1"/>
  <c r="BI2267" i="1" s="1"/>
  <c r="BM2275" i="1" a="1"/>
  <c r="BM2275" i="1" s="1"/>
  <c r="BL2275" i="1" s="1" a="1"/>
  <c r="BL2275" i="1" s="1"/>
  <c r="BI2284" i="1" a="1"/>
  <c r="BI2284" i="1" s="1"/>
  <c r="BI2288" i="1" a="1"/>
  <c r="BI2288" i="1" s="1"/>
  <c r="BI2626" i="1" a="1"/>
  <c r="BI2626" i="1" s="1"/>
  <c r="BI2628" i="1" a="1"/>
  <c r="BI2628" i="1" s="1"/>
  <c r="BN2721" i="1" a="1"/>
  <c r="BN2721" i="1" s="1"/>
  <c r="BN2722" i="1" a="1"/>
  <c r="BN2722" i="1" s="1"/>
  <c r="BI2728" i="1" a="1"/>
  <c r="BI2728" i="1" s="1"/>
  <c r="BN2268" i="1" a="1"/>
  <c r="BN2268" i="1" s="1"/>
  <c r="BM2288" i="1" a="1"/>
  <c r="BM2288" i="1" s="1"/>
  <c r="BL2288" i="1" s="1" a="1"/>
  <c r="BL2288" i="1" s="1"/>
  <c r="BK2585" i="1" a="1"/>
  <c r="BK2585" i="1" s="1"/>
  <c r="BK2587" i="1" a="1"/>
  <c r="BK2587" i="1" s="1"/>
  <c r="BN2627" i="1" a="1"/>
  <c r="BN2627" i="1" s="1"/>
  <c r="BN2629" i="1" a="1"/>
  <c r="BN2629" i="1" s="1"/>
  <c r="BI2725" i="1" a="1"/>
  <c r="BI2725" i="1" s="1"/>
  <c r="BN2264" i="1" a="1"/>
  <c r="BN2264" i="1" s="1"/>
  <c r="BN2266" i="1" a="1"/>
  <c r="BN2266" i="1" s="1"/>
  <c r="BN2267" i="1" a="1"/>
  <c r="BN2267" i="1" s="1"/>
  <c r="BM2274" i="1" a="1"/>
  <c r="BM2274" i="1" s="1"/>
  <c r="BL2274" i="1" s="1" a="1"/>
  <c r="BL2274" i="1" s="1"/>
  <c r="BK2281" i="1" a="1"/>
  <c r="BK2281" i="1" s="1"/>
  <c r="BK2284" i="1" a="1"/>
  <c r="BK2284" i="1" s="1"/>
  <c r="BN2288" i="1" a="1"/>
  <c r="BN2288" i="1" s="1"/>
  <c r="BM2585" i="1" a="1"/>
  <c r="BM2585" i="1" s="1"/>
  <c r="BL2585" i="1" s="1" a="1"/>
  <c r="BL2585" i="1" s="1"/>
  <c r="BM2587" i="1" a="1"/>
  <c r="BM2587" i="1" s="1"/>
  <c r="BJ2587" i="1" s="1" a="1"/>
  <c r="BJ2587" i="1" s="1"/>
  <c r="BI2262" i="1" a="1"/>
  <c r="BI2262" i="1" s="1"/>
  <c r="BI2664" i="1" a="1"/>
  <c r="BI2664" i="1" s="1"/>
  <c r="BN2723" i="1" a="1"/>
  <c r="BN2723" i="1" s="1"/>
  <c r="E2722" i="1" a="1"/>
  <c r="E2722" i="1" s="1"/>
  <c r="E2723" i="1" a="1"/>
  <c r="E2723" i="1" s="1"/>
  <c r="BL2723" i="1" a="1"/>
  <c r="BL2723" i="1" s="1"/>
  <c r="BJ2723" i="1" a="1"/>
  <c r="BJ2723" i="1" s="1"/>
  <c r="E2720" i="1" a="1"/>
  <c r="E2720" i="1" s="1"/>
  <c r="BK2723" i="1" a="1"/>
  <c r="BK2723" i="1" s="1"/>
  <c r="BI2720" i="1" a="1"/>
  <c r="BI2720" i="1" s="1"/>
  <c r="BM2720" i="1" a="1"/>
  <c r="BM2720" i="1" s="1"/>
  <c r="E2721" i="1" a="1"/>
  <c r="E2721" i="1" s="1"/>
  <c r="BI2723" i="1" a="1"/>
  <c r="BI2723" i="1" s="1"/>
  <c r="E2665" i="1" a="1"/>
  <c r="E2665" i="1" s="1"/>
  <c r="E2664" i="1" a="1"/>
  <c r="E2664" i="1" s="1"/>
  <c r="E2663" i="1" a="1"/>
  <c r="E2663" i="1" s="1"/>
  <c r="E2662" i="1" a="1"/>
  <c r="E2662" i="1" s="1"/>
  <c r="BK2665" i="1" a="1"/>
  <c r="BK2665" i="1" s="1"/>
  <c r="E2289" i="1" a="1"/>
  <c r="E2289" i="1" s="1"/>
  <c r="E2286" i="1" a="1"/>
  <c r="E2286" i="1" s="1"/>
  <c r="BI2287" i="1" a="1"/>
  <c r="BI2287" i="1" s="1"/>
  <c r="BM2287" i="1" a="1"/>
  <c r="BM2287" i="1" s="1"/>
  <c r="E2288" i="1" a="1"/>
  <c r="E2288" i="1" s="1"/>
  <c r="BN2287" i="1" a="1"/>
  <c r="BN2287" i="1" s="1"/>
  <c r="E2287" i="1" a="1"/>
  <c r="E2287" i="1" s="1"/>
  <c r="E2284" i="1" a="1"/>
  <c r="E2284" i="1" s="1"/>
  <c r="E2282" i="1" a="1"/>
  <c r="E2282" i="1" s="1"/>
  <c r="E2283" i="1" a="1"/>
  <c r="E2283" i="1" s="1"/>
  <c r="E2281" i="1" a="1"/>
  <c r="E2281" i="1" s="1"/>
  <c r="E2275" i="1" a="1"/>
  <c r="E2275" i="1" s="1"/>
  <c r="BI2275" i="1" a="1"/>
  <c r="BI2275" i="1" s="1"/>
  <c r="BK2275" i="1" a="1"/>
  <c r="BK2275" i="1" s="1"/>
  <c r="E2272" i="1" a="1"/>
  <c r="E2272" i="1" s="1"/>
  <c r="E2273" i="1" a="1"/>
  <c r="E2273" i="1" s="1"/>
  <c r="E2274" i="1" a="1"/>
  <c r="E2274" i="1" s="1"/>
  <c r="BN2271" i="1" a="1"/>
  <c r="BN2271" i="1" s="1"/>
  <c r="BN2272" i="1" a="1"/>
  <c r="BN2272" i="1" s="1"/>
  <c r="BN2273" i="1" a="1"/>
  <c r="BN2273" i="1" s="1"/>
  <c r="BN2274" i="1" a="1"/>
  <c r="BN2274" i="1" s="1"/>
  <c r="E2269" i="1" a="1"/>
  <c r="E2269" i="1" s="1"/>
  <c r="E2268" i="1" a="1"/>
  <c r="E2268" i="1" s="1"/>
  <c r="E2266" i="1" a="1"/>
  <c r="E2266" i="1" s="1"/>
  <c r="E2267" i="1" a="1"/>
  <c r="E2267" i="1" s="1"/>
  <c r="BK2269" i="1" a="1"/>
  <c r="BK2269" i="1" s="1"/>
  <c r="E2264" i="1" a="1"/>
  <c r="E2264" i="1" s="1"/>
  <c r="E2263" i="1" a="1"/>
  <c r="E2263" i="1" s="1"/>
  <c r="E2261" i="1" a="1"/>
  <c r="E2261" i="1" s="1"/>
  <c r="E2262" i="1" a="1"/>
  <c r="E2262" i="1" s="1"/>
  <c r="BK2264" i="1" a="1"/>
  <c r="BK2264" i="1" s="1"/>
  <c r="BL2725" i="1" a="1"/>
  <c r="BL2725" i="1" s="1"/>
  <c r="BJ2725" i="1" a="1"/>
  <c r="BJ2725" i="1" s="1"/>
  <c r="E2725" i="1" a="1"/>
  <c r="E2725" i="1" s="1"/>
  <c r="E2726" i="1" a="1"/>
  <c r="E2726" i="1" s="1"/>
  <c r="BI2726" i="1" a="1"/>
  <c r="BI2726" i="1" s="1"/>
  <c r="BM2726" i="1" a="1"/>
  <c r="BM2726" i="1" s="1"/>
  <c r="E2727" i="1" a="1"/>
  <c r="E2727" i="1" s="1"/>
  <c r="BN1555" i="1" a="1"/>
  <c r="BN1555" i="1" s="1"/>
  <c r="E2724" i="1" a="1"/>
  <c r="E2724" i="1" s="1"/>
  <c r="BL2724" i="1" a="1"/>
  <c r="BL2724" i="1" s="1"/>
  <c r="BJ2724" i="1" a="1"/>
  <c r="BJ2724" i="1" s="1"/>
  <c r="BN2724" i="1" a="1"/>
  <c r="BN2724" i="1" s="1"/>
  <c r="BK2724" i="1" a="1"/>
  <c r="BK2724" i="1" s="1"/>
  <c r="BI2724" i="1" a="1"/>
  <c r="BI2724" i="1" s="1"/>
  <c r="BN1556" i="1" a="1"/>
  <c r="BN1556" i="1" s="1"/>
  <c r="BN1549" i="1" a="1"/>
  <c r="BN1549" i="1" s="1"/>
  <c r="E2757" i="1" a="1"/>
  <c r="E2757" i="1" s="1"/>
  <c r="BI1504" i="1" a="1"/>
  <c r="BI1504" i="1" s="1"/>
  <c r="BN1522" i="1" a="1"/>
  <c r="BN1522" i="1" s="1"/>
  <c r="BN1529" i="1" a="1"/>
  <c r="BN1529" i="1" s="1"/>
  <c r="BN1547" i="1" a="1"/>
  <c r="BN1547" i="1" s="1"/>
  <c r="BN1559" i="1" a="1"/>
  <c r="BN1559" i="1" s="1"/>
  <c r="E2756" i="1" a="1"/>
  <c r="E2756" i="1" s="1"/>
  <c r="BN1553" i="1" a="1"/>
  <c r="BN1553" i="1" s="1"/>
  <c r="BI1530" i="1" a="1"/>
  <c r="BI1530" i="1" s="1"/>
  <c r="BN1516" i="1" a="1"/>
  <c r="BN1516" i="1" s="1"/>
  <c r="BN1544" i="1" a="1"/>
  <c r="BN1544" i="1" s="1"/>
  <c r="BI1589" i="1" a="1"/>
  <c r="BI1589" i="1" s="1"/>
  <c r="BI1523" i="1" a="1"/>
  <c r="BI1523" i="1" s="1"/>
  <c r="BI1501" i="1" a="1"/>
  <c r="BI1501" i="1" s="1"/>
  <c r="BN1526" i="1" a="1"/>
  <c r="BN1526" i="1" s="1"/>
  <c r="BI1519" i="1" a="1"/>
  <c r="BI1519" i="1" s="1"/>
  <c r="BN1502" i="1" a="1"/>
  <c r="BN1502" i="1" s="1"/>
  <c r="BN1552" i="1" a="1"/>
  <c r="BN1552" i="1" s="1"/>
  <c r="BI1564" i="1" a="1"/>
  <c r="BI1564" i="1" s="1"/>
  <c r="AT1582" i="1"/>
  <c r="AT1514" i="1"/>
  <c r="BI1540" i="1" a="1"/>
  <c r="BI1540" i="1" s="1"/>
  <c r="BI1559" i="1" a="1"/>
  <c r="BI1559" i="1" s="1"/>
  <c r="BN1577" i="1" a="1"/>
  <c r="BN1577" i="1" s="1"/>
  <c r="BN1588" i="1" a="1"/>
  <c r="BN1588" i="1" s="1"/>
  <c r="BI1514" i="1" a="1"/>
  <c r="BI1514" i="1" s="1"/>
  <c r="BN1524" i="1" a="1"/>
  <c r="BN1524" i="1" s="1"/>
  <c r="BI1534" i="1" a="1"/>
  <c r="BI1534" i="1" s="1"/>
  <c r="BI1544" i="1" a="1"/>
  <c r="BI1544" i="1" s="1"/>
  <c r="BN1562" i="1" a="1"/>
  <c r="BN1562" i="1" s="1"/>
  <c r="BN1586" i="1" a="1"/>
  <c r="BN1586" i="1" s="1"/>
  <c r="BK1554" i="1"/>
  <c r="BN1590" i="1" a="1"/>
  <c r="BN1590" i="1" s="1"/>
  <c r="BN1518" i="1" a="1"/>
  <c r="BN1518" i="1" s="1"/>
  <c r="AT1522" i="1"/>
  <c r="BI1543" i="1" a="1"/>
  <c r="BI1543" i="1" s="1"/>
  <c r="BK1550" i="1"/>
  <c r="BK1573" i="1"/>
  <c r="BL1577" i="1" a="1"/>
  <c r="BL1577" i="1" s="1"/>
  <c r="BI1580" i="1" a="1"/>
  <c r="BI1580" i="1" s="1"/>
  <c r="BN1591" i="1" a="1"/>
  <c r="BN1591" i="1" s="1"/>
  <c r="BN1504" i="1" a="1"/>
  <c r="BN1504" i="1" s="1"/>
  <c r="BL1520" i="1" a="1"/>
  <c r="BL1520" i="1" s="1"/>
  <c r="BN1535" i="1" a="1"/>
  <c r="BN1535" i="1" s="1"/>
  <c r="BI1549" i="1" a="1"/>
  <c r="BI1549" i="1" s="1"/>
  <c r="BK1506" i="1"/>
  <c r="BN1508" i="1" a="1"/>
  <c r="BN1508" i="1" s="1"/>
  <c r="BL1541" i="1" a="1"/>
  <c r="BL1541" i="1" s="1"/>
  <c r="BN1582" i="1" a="1"/>
  <c r="BN1582" i="1" s="1"/>
  <c r="BI1522" i="1" a="1"/>
  <c r="BI1522" i="1" s="1"/>
  <c r="BN1541" i="1" a="1"/>
  <c r="BN1541" i="1" s="1"/>
  <c r="BN1550" i="1" a="1"/>
  <c r="BN1550" i="1" s="1"/>
  <c r="BI1555" i="1" a="1"/>
  <c r="BI1555" i="1" s="1"/>
  <c r="BN1564" i="1" a="1"/>
  <c r="BN1564" i="1" s="1"/>
  <c r="BL1568" i="1" a="1"/>
  <c r="BL1568" i="1" s="1"/>
  <c r="AT1585" i="1"/>
  <c r="BN1592" i="1" a="1"/>
  <c r="BN1592" i="1" s="1"/>
  <c r="BI1508" i="1" a="1"/>
  <c r="BI1508" i="1" s="1"/>
  <c r="BN1510" i="1" a="1"/>
  <c r="BN1510" i="1" s="1"/>
  <c r="BN1546" i="1" a="1"/>
  <c r="BN1546" i="1" s="1"/>
  <c r="BK1566" i="1"/>
  <c r="BI1574" i="1" a="1"/>
  <c r="BI1574" i="1" s="1"/>
  <c r="BM1584" i="1" a="1"/>
  <c r="BM1584" i="1" s="1"/>
  <c r="BJ1584" i="1" s="1" a="1"/>
  <c r="BJ1584" i="1" s="1"/>
  <c r="BN1585" i="1" a="1"/>
  <c r="BN1585" i="1" s="1"/>
  <c r="BM1507" i="1" a="1"/>
  <c r="BM1507" i="1" s="1"/>
  <c r="BJ1507" i="1" s="1" a="1"/>
  <c r="BJ1507" i="1" s="1"/>
  <c r="BL1519" i="1" a="1"/>
  <c r="BL1519" i="1" s="1"/>
  <c r="BK1525" i="1"/>
  <c r="BN1528" i="1" a="1"/>
  <c r="BN1528" i="1" s="1"/>
  <c r="BM1543" i="1" a="1"/>
  <c r="BM1543" i="1" s="1"/>
  <c r="BJ1543" i="1" s="1" a="1"/>
  <c r="BJ1543" i="1" s="1"/>
  <c r="BM1548" i="1" a="1"/>
  <c r="BM1548" i="1" s="1"/>
  <c r="BJ1548" i="1" s="1" a="1"/>
  <c r="BJ1548" i="1" s="1"/>
  <c r="BI1587" i="1" a="1"/>
  <c r="BI1587" i="1" s="1"/>
  <c r="BI1592" i="1" a="1"/>
  <c r="BI1592" i="1" s="1"/>
  <c r="BN1517" i="1" a="1"/>
  <c r="BN1517" i="1" s="1"/>
  <c r="BM1518" i="1" a="1"/>
  <c r="BM1518" i="1" s="1"/>
  <c r="BJ1518" i="1" s="1" a="1"/>
  <c r="BJ1518" i="1" s="1"/>
  <c r="BM1532" i="1" a="1"/>
  <c r="BM1532" i="1" s="1"/>
  <c r="BJ1532" i="1" s="1" a="1"/>
  <c r="BJ1532" i="1" s="1"/>
  <c r="BN1538" i="1" a="1"/>
  <c r="BN1538" i="1" s="1"/>
  <c r="BN1548" i="1" a="1"/>
  <c r="BN1548" i="1" s="1"/>
  <c r="BI1579" i="1" a="1"/>
  <c r="BI1579" i="1" s="1"/>
  <c r="BK1589" i="1"/>
  <c r="BN1498" i="1" a="1"/>
  <c r="BN1498" i="1" s="1"/>
  <c r="BK1499" i="1"/>
  <c r="BN1505" i="1" a="1"/>
  <c r="BN1505" i="1" s="1"/>
  <c r="BK1508" i="1"/>
  <c r="BN1511" i="1" a="1"/>
  <c r="BN1511" i="1" s="1"/>
  <c r="BN1514" i="1" a="1"/>
  <c r="BN1514" i="1" s="1"/>
  <c r="BI1528" i="1" a="1"/>
  <c r="BI1528" i="1" s="1"/>
  <c r="BI1529" i="1" a="1"/>
  <c r="BI1529" i="1" s="1"/>
  <c r="BM1537" i="1" a="1"/>
  <c r="BM1537" i="1" s="1"/>
  <c r="BJ1537" i="1" s="1" a="1"/>
  <c r="BJ1537" i="1" s="1"/>
  <c r="BM1538" i="1" a="1"/>
  <c r="BM1538" i="1" s="1"/>
  <c r="BJ1538" i="1" s="1" a="1"/>
  <c r="BJ1538" i="1" s="1"/>
  <c r="BN1540" i="1" a="1"/>
  <c r="BN1540" i="1" s="1"/>
  <c r="BK1541" i="1"/>
  <c r="BN1543" i="1" a="1"/>
  <c r="BN1543" i="1" s="1"/>
  <c r="BK1559" i="1"/>
  <c r="BN1565" i="1" a="1"/>
  <c r="BN1565" i="1" s="1"/>
  <c r="BN1571" i="1" a="1"/>
  <c r="BN1571" i="1" s="1"/>
  <c r="BM1576" i="1" a="1"/>
  <c r="BM1576" i="1" s="1"/>
  <c r="BJ1576" i="1" s="1" a="1"/>
  <c r="BJ1576" i="1" s="1"/>
  <c r="BI1577" i="1" a="1"/>
  <c r="BI1577" i="1" s="1"/>
  <c r="BK1578" i="1"/>
  <c r="BN1584" i="1" a="1"/>
  <c r="BN1584" i="1" s="1"/>
  <c r="BK1585" i="1"/>
  <c r="BL1589" i="1" a="1"/>
  <c r="BL1589" i="1" s="1"/>
  <c r="BK1592" i="1"/>
  <c r="AT1499" i="1"/>
  <c r="BK1504" i="1"/>
  <c r="BL1505" i="1" a="1"/>
  <c r="BL1505" i="1" s="1"/>
  <c r="BK1513" i="1"/>
  <c r="BK1517" i="1"/>
  <c r="BK1519" i="1"/>
  <c r="BN1520" i="1" a="1"/>
  <c r="BN1520" i="1" s="1"/>
  <c r="BM1524" i="1" a="1"/>
  <c r="BM1524" i="1" s="1"/>
  <c r="BJ1524" i="1" s="1" a="1"/>
  <c r="BJ1524" i="1" s="1"/>
  <c r="BK1526" i="1"/>
  <c r="BN1530" i="1" a="1"/>
  <c r="BN1530" i="1" s="1"/>
  <c r="BK1535" i="1"/>
  <c r="BK1544" i="1"/>
  <c r="BM1550" i="1" a="1"/>
  <c r="BM1550" i="1" s="1"/>
  <c r="BJ1550" i="1" s="1" a="1"/>
  <c r="BJ1550" i="1" s="1"/>
  <c r="BK1556" i="1"/>
  <c r="BI1562" i="1" a="1"/>
  <c r="BI1562" i="1" s="1"/>
  <c r="BL1564" i="1" a="1"/>
  <c r="BL1564" i="1" s="1"/>
  <c r="BL1565" i="1" a="1"/>
  <c r="BL1565" i="1" s="1"/>
  <c r="BM1568" i="1" a="1"/>
  <c r="BM1568" i="1" s="1"/>
  <c r="BJ1568" i="1" s="1" a="1"/>
  <c r="BJ1568" i="1" s="1"/>
  <c r="BN1587" i="1" a="1"/>
  <c r="BN1587" i="1" s="1"/>
  <c r="BM1588" i="1" a="1"/>
  <c r="BM1588" i="1" s="1"/>
  <c r="BJ1588" i="1" s="1" a="1"/>
  <c r="BJ1588" i="1" s="1"/>
  <c r="BM1589" i="1" a="1"/>
  <c r="BM1589" i="1" s="1"/>
  <c r="BJ1589" i="1" s="1" a="1"/>
  <c r="BJ1589" i="1" s="1"/>
  <c r="BK1590" i="1"/>
  <c r="BM1592" i="1" a="1"/>
  <c r="BM1592" i="1" s="1"/>
  <c r="BJ1592" i="1" s="1" a="1"/>
  <c r="BJ1592" i="1" s="1"/>
  <c r="BL1506" i="1" a="1"/>
  <c r="BL1506" i="1" s="1"/>
  <c r="BM1508" i="1" a="1"/>
  <c r="BM1508" i="1" s="1"/>
  <c r="BJ1508" i="1" s="1" a="1"/>
  <c r="BJ1508" i="1" s="1"/>
  <c r="AT1525" i="1"/>
  <c r="BM1526" i="1" a="1"/>
  <c r="BM1526" i="1" s="1"/>
  <c r="BJ1526" i="1" s="1" a="1"/>
  <c r="BJ1526" i="1" s="1"/>
  <c r="BM1530" i="1" a="1"/>
  <c r="BM1530" i="1" s="1"/>
  <c r="BJ1530" i="1" s="1" a="1"/>
  <c r="BJ1530" i="1" s="1"/>
  <c r="BK1531" i="1"/>
  <c r="BN1534" i="1" a="1"/>
  <c r="BN1534" i="1" s="1"/>
  <c r="BK1536" i="1"/>
  <c r="BI1538" i="1" a="1"/>
  <c r="BI1538" i="1" s="1"/>
  <c r="BK1542" i="1"/>
  <c r="BM1544" i="1" a="1"/>
  <c r="BM1544" i="1" s="1"/>
  <c r="BJ1544" i="1" s="1" a="1"/>
  <c r="BJ1544" i="1" s="1"/>
  <c r="BI1568" i="1" a="1"/>
  <c r="BI1568" i="1" s="1"/>
  <c r="AT1570" i="1"/>
  <c r="BN1576" i="1" a="1"/>
  <c r="BN1576" i="1" s="1"/>
  <c r="BK1579" i="1"/>
  <c r="BI1582" i="1" a="1"/>
  <c r="BI1582" i="1" s="1"/>
  <c r="BM1586" i="1" a="1"/>
  <c r="BM1586" i="1" s="1"/>
  <c r="BJ1586" i="1" s="1" a="1"/>
  <c r="BJ1586" i="1" s="1"/>
  <c r="BM1500" i="1" a="1"/>
  <c r="BM1500" i="1" s="1"/>
  <c r="BJ1500" i="1" s="1" a="1"/>
  <c r="BJ1500" i="1" s="1"/>
  <c r="BK1501" i="1"/>
  <c r="BK1507" i="1"/>
  <c r="AT1510" i="1"/>
  <c r="BK1514" i="1"/>
  <c r="BK1518" i="1"/>
  <c r="BK1529" i="1"/>
  <c r="BM1540" i="1" a="1"/>
  <c r="BM1540" i="1" s="1"/>
  <c r="BJ1540" i="1" s="1" a="1"/>
  <c r="BJ1540" i="1" s="1"/>
  <c r="BK1552" i="1"/>
  <c r="BL1554" i="1" a="1"/>
  <c r="BL1554" i="1" s="1"/>
  <c r="BK1555" i="1"/>
  <c r="BK1561" i="1"/>
  <c r="BK1567" i="1"/>
  <c r="BN1568" i="1" a="1"/>
  <c r="BN1568" i="1" s="1"/>
  <c r="BK1577" i="1"/>
  <c r="BK1583" i="1"/>
  <c r="AT1584" i="1"/>
  <c r="BI1590" i="1" a="1"/>
  <c r="BI1590" i="1" s="1"/>
  <c r="BL1592" i="1" a="1"/>
  <c r="BL1592" i="1" s="1"/>
  <c r="BI1513" i="1" a="1"/>
  <c r="BI1513" i="1" s="1"/>
  <c r="BM1514" i="1" a="1"/>
  <c r="BM1514" i="1" s="1"/>
  <c r="BJ1514" i="1" s="1" a="1"/>
  <c r="BJ1514" i="1" s="1"/>
  <c r="BK1523" i="1"/>
  <c r="BN1531" i="1" a="1"/>
  <c r="BN1531" i="1" s="1"/>
  <c r="BK1537" i="1"/>
  <c r="BL1542" i="1" a="1"/>
  <c r="BL1542" i="1" s="1"/>
  <c r="AT1546" i="1"/>
  <c r="BK1549" i="1"/>
  <c r="BM1552" i="1" a="1"/>
  <c r="BM1552" i="1" s="1"/>
  <c r="BJ1552" i="1" s="1" a="1"/>
  <c r="BJ1552" i="1" s="1"/>
  <c r="BM1556" i="1" a="1"/>
  <c r="BM1556" i="1" s="1"/>
  <c r="BJ1556" i="1" s="1" a="1"/>
  <c r="BJ1556" i="1" s="1"/>
  <c r="AT1558" i="1"/>
  <c r="BI1570" i="1" a="1"/>
  <c r="BI1570" i="1" s="1"/>
  <c r="BM1573" i="1" a="1"/>
  <c r="BM1573" i="1" s="1"/>
  <c r="BJ1573" i="1" s="1" a="1"/>
  <c r="BJ1573" i="1" s="1"/>
  <c r="BM1574" i="1" a="1"/>
  <c r="BM1574" i="1" s="1"/>
  <c r="BJ1574" i="1" s="1" a="1"/>
  <c r="BJ1574" i="1" s="1"/>
  <c r="BL1579" i="1" a="1"/>
  <c r="BL1579" i="1" s="1"/>
  <c r="AT1498" i="1"/>
  <c r="BK1502" i="1"/>
  <c r="BK1505" i="1"/>
  <c r="BL1507" i="1" a="1"/>
  <c r="BL1507" i="1" s="1"/>
  <c r="BK1511" i="1"/>
  <c r="BK1520" i="1"/>
  <c r="BM1528" i="1" a="1"/>
  <c r="BM1528" i="1" s="1"/>
  <c r="BJ1528" i="1" s="1" a="1"/>
  <c r="BJ1528" i="1" s="1"/>
  <c r="BK1543" i="1"/>
  <c r="BM1562" i="1" a="1"/>
  <c r="BM1562" i="1" s="1"/>
  <c r="BJ1562" i="1" s="1" a="1"/>
  <c r="BJ1562" i="1" s="1"/>
  <c r="BK1565" i="1"/>
  <c r="BL1567" i="1" a="1"/>
  <c r="BL1567" i="1" s="1"/>
  <c r="BK1571" i="1"/>
  <c r="BM1580" i="1" a="1"/>
  <c r="BM1580" i="1" s="1"/>
  <c r="BJ1580" i="1" s="1" a="1"/>
  <c r="BJ1580" i="1" s="1"/>
  <c r="BI1586" i="1" a="1"/>
  <c r="BI1586" i="1" s="1"/>
  <c r="BL1588" i="1" a="1"/>
  <c r="BL1588" i="1" s="1"/>
  <c r="BK1591" i="1"/>
  <c r="BM1502" i="1" a="1"/>
  <c r="BM1502" i="1" s="1"/>
  <c r="BJ1502" i="1" s="1" a="1"/>
  <c r="BJ1502" i="1" s="1"/>
  <c r="BI1507" i="1" a="1"/>
  <c r="BI1507" i="1" s="1"/>
  <c r="BM1511" i="1" a="1"/>
  <c r="BM1511" i="1" s="1"/>
  <c r="BJ1511" i="1" s="1" a="1"/>
  <c r="BJ1511" i="1" s="1"/>
  <c r="BM1516" i="1" a="1"/>
  <c r="BM1516" i="1" s="1"/>
  <c r="BJ1516" i="1" s="1" a="1"/>
  <c r="BJ1516" i="1" s="1"/>
  <c r="BL1518" i="1" a="1"/>
  <c r="BL1518" i="1" s="1"/>
  <c r="BN1519" i="1" a="1"/>
  <c r="BN1519" i="1" s="1"/>
  <c r="BM1520" i="1" a="1"/>
  <c r="BM1520" i="1" s="1"/>
  <c r="BJ1520" i="1" s="1" a="1"/>
  <c r="BJ1520" i="1" s="1"/>
  <c r="AT1534" i="1"/>
  <c r="BK1547" i="1"/>
  <c r="AT1550" i="1"/>
  <c r="BK1553" i="1"/>
  <c r="BN1558" i="1" a="1"/>
  <c r="BN1558" i="1" s="1"/>
  <c r="AT1561" i="1"/>
  <c r="BI1567" i="1" a="1"/>
  <c r="BI1567" i="1" s="1"/>
  <c r="BK1568" i="1"/>
  <c r="BN1570" i="1" a="1"/>
  <c r="BN1570" i="1" s="1"/>
  <c r="BI1583" i="1" a="1"/>
  <c r="BI1583" i="1" s="1"/>
  <c r="BK1586" i="1"/>
  <c r="BK1584" i="1"/>
  <c r="BM1583" i="1" a="1"/>
  <c r="BM1583" i="1" s="1"/>
  <c r="BJ1583" i="1" s="1" a="1"/>
  <c r="BJ1583" i="1" s="1"/>
  <c r="BN1583" i="1" a="1"/>
  <c r="BN1583" i="1" s="1"/>
  <c r="BM1585" i="1" a="1"/>
  <c r="BM1585" i="1" s="1"/>
  <c r="BJ1585" i="1" s="1" a="1"/>
  <c r="BJ1585" i="1" s="1"/>
  <c r="AT1586" i="1"/>
  <c r="BM1582" i="1" a="1"/>
  <c r="BM1582" i="1" s="1"/>
  <c r="BJ1582" i="1" s="1" a="1"/>
  <c r="BJ1582" i="1" s="1"/>
  <c r="AT1583" i="1"/>
  <c r="BI1585" i="1" a="1"/>
  <c r="BI1585" i="1" s="1"/>
  <c r="BK1582" i="1"/>
  <c r="BI1584" i="1" a="1"/>
  <c r="BI1584" i="1" s="1"/>
  <c r="E1580" i="1" a="1"/>
  <c r="E1580" i="1" s="1"/>
  <c r="E1578" i="1" a="1"/>
  <c r="E1578" i="1" s="1"/>
  <c r="BL1580" i="1" a="1"/>
  <c r="BL1580" i="1" s="1"/>
  <c r="BL1578" i="1" a="1"/>
  <c r="BL1578" i="1" s="1"/>
  <c r="BM1579" i="1" a="1"/>
  <c r="BM1579" i="1" s="1"/>
  <c r="BJ1579" i="1" s="1" a="1"/>
  <c r="BJ1579" i="1" s="1"/>
  <c r="BL1576" i="1" a="1"/>
  <c r="BL1576" i="1" s="1"/>
  <c r="BM1578" i="1" a="1"/>
  <c r="BM1578" i="1" s="1"/>
  <c r="BJ1578" i="1" s="1" a="1"/>
  <c r="BJ1578" i="1" s="1"/>
  <c r="BN1580" i="1" a="1"/>
  <c r="BN1580" i="1" s="1"/>
  <c r="BK1576" i="1"/>
  <c r="BM1577" i="1" a="1"/>
  <c r="BM1577" i="1" s="1"/>
  <c r="BJ1577" i="1" s="1" a="1"/>
  <c r="BJ1577" i="1" s="1"/>
  <c r="BI1578" i="1" a="1"/>
  <c r="BI1578" i="1" s="1"/>
  <c r="E1579" i="1" a="1"/>
  <c r="E1579" i="1" s="1"/>
  <c r="BN1579" i="1" a="1"/>
  <c r="BN1579" i="1" s="1"/>
  <c r="BN1578" i="1" a="1"/>
  <c r="BN1578" i="1" s="1"/>
  <c r="BI1576" i="1" a="1"/>
  <c r="BI1576" i="1" s="1"/>
  <c r="E1577" i="1" a="1"/>
  <c r="E1577" i="1" s="1"/>
  <c r="BK1580" i="1"/>
  <c r="E1576" i="1" a="1"/>
  <c r="E1576" i="1" s="1"/>
  <c r="BK1574" i="1"/>
  <c r="E1574" i="1" a="1"/>
  <c r="E1574" i="1" s="1"/>
  <c r="BK1572" i="1"/>
  <c r="E1572" i="1" a="1"/>
  <c r="E1572" i="1" s="1"/>
  <c r="BM1572" i="1" a="1"/>
  <c r="BM1572" i="1" s="1"/>
  <c r="BJ1572" i="1" s="1" a="1"/>
  <c r="BJ1572" i="1" s="1"/>
  <c r="BI1573" i="1" a="1"/>
  <c r="BI1573" i="1" s="1"/>
  <c r="BN1574" i="1" a="1"/>
  <c r="BN1574" i="1" s="1"/>
  <c r="BM1571" i="1" a="1"/>
  <c r="BM1571" i="1" s="1"/>
  <c r="BJ1571" i="1" s="1" a="1"/>
  <c r="BJ1571" i="1" s="1"/>
  <c r="BI1572" i="1" a="1"/>
  <c r="BI1572" i="1" s="1"/>
  <c r="E1573" i="1" a="1"/>
  <c r="E1573" i="1" s="1"/>
  <c r="BN1573" i="1" a="1"/>
  <c r="BN1573" i="1" s="1"/>
  <c r="AT1574" i="1"/>
  <c r="BM1570" i="1" a="1"/>
  <c r="BM1570" i="1" s="1"/>
  <c r="BJ1570" i="1" s="1" a="1"/>
  <c r="BJ1570" i="1" s="1"/>
  <c r="BI1571" i="1" a="1"/>
  <c r="BI1571" i="1" s="1"/>
  <c r="BN1572" i="1" a="1"/>
  <c r="BN1572" i="1" s="1"/>
  <c r="AT1573" i="1"/>
  <c r="E1571" i="1" a="1"/>
  <c r="E1571" i="1" s="1"/>
  <c r="AT1572" i="1"/>
  <c r="BK1570" i="1"/>
  <c r="E1570" i="1" a="1"/>
  <c r="E1570" i="1" s="1"/>
  <c r="AT1571" i="1"/>
  <c r="E1568" i="1" a="1"/>
  <c r="E1568" i="1" s="1"/>
  <c r="E1566" i="1" a="1"/>
  <c r="E1566" i="1" s="1"/>
  <c r="BL1566" i="1" a="1"/>
  <c r="BL1566" i="1" s="1"/>
  <c r="BK1564" i="1"/>
  <c r="BM1566" i="1" a="1"/>
  <c r="BM1566" i="1" s="1"/>
  <c r="BJ1566" i="1" s="1" a="1"/>
  <c r="BJ1566" i="1" s="1"/>
  <c r="BM1565" i="1" a="1"/>
  <c r="BM1565" i="1" s="1"/>
  <c r="BJ1565" i="1" s="1" a="1"/>
  <c r="BJ1565" i="1" s="1"/>
  <c r="BI1566" i="1" a="1"/>
  <c r="BI1566" i="1" s="1"/>
  <c r="E1567" i="1" a="1"/>
  <c r="E1567" i="1" s="1"/>
  <c r="BN1567" i="1" a="1"/>
  <c r="BN1567" i="1" s="1"/>
  <c r="BM1564" i="1" a="1"/>
  <c r="BM1564" i="1" s="1"/>
  <c r="BJ1564" i="1" s="1" a="1"/>
  <c r="BJ1564" i="1" s="1"/>
  <c r="BI1565" i="1" a="1"/>
  <c r="BI1565" i="1" s="1"/>
  <c r="BN1566" i="1" a="1"/>
  <c r="BN1566" i="1" s="1"/>
  <c r="BM1567" i="1" a="1"/>
  <c r="BM1567" i="1" s="1"/>
  <c r="BJ1567" i="1" s="1" a="1"/>
  <c r="BJ1567" i="1" s="1"/>
  <c r="E1565" i="1" a="1"/>
  <c r="E1565" i="1" s="1"/>
  <c r="E1564" i="1" a="1"/>
  <c r="E1564" i="1" s="1"/>
  <c r="E1560" i="1" a="1"/>
  <c r="E1560" i="1" s="1"/>
  <c r="E1562" i="1" a="1"/>
  <c r="E1562" i="1" s="1"/>
  <c r="BK1560" i="1"/>
  <c r="BM1560" i="1" a="1"/>
  <c r="BM1560" i="1" s="1"/>
  <c r="BJ1560" i="1" s="1" a="1"/>
  <c r="BJ1560" i="1" s="1"/>
  <c r="BI1561" i="1" a="1"/>
  <c r="BI1561" i="1" s="1"/>
  <c r="BK1558" i="1"/>
  <c r="BM1561" i="1" a="1"/>
  <c r="BM1561" i="1" s="1"/>
  <c r="BJ1561" i="1" s="1" a="1"/>
  <c r="BJ1561" i="1" s="1"/>
  <c r="BM1559" i="1" a="1"/>
  <c r="BM1559" i="1" s="1"/>
  <c r="BJ1559" i="1" s="1" a="1"/>
  <c r="BJ1559" i="1" s="1"/>
  <c r="BI1560" i="1" a="1"/>
  <c r="BI1560" i="1" s="1"/>
  <c r="E1561" i="1" a="1"/>
  <c r="E1561" i="1" s="1"/>
  <c r="BN1561" i="1" a="1"/>
  <c r="BN1561" i="1" s="1"/>
  <c r="AT1562" i="1"/>
  <c r="BI1558" i="1" a="1"/>
  <c r="BI1558" i="1" s="1"/>
  <c r="E1559" i="1" a="1"/>
  <c r="E1559" i="1" s="1"/>
  <c r="AT1560" i="1"/>
  <c r="BK1562" i="1"/>
  <c r="BM1558" i="1" a="1"/>
  <c r="BM1558" i="1" s="1"/>
  <c r="BJ1558" i="1" s="1" a="1"/>
  <c r="BJ1558" i="1" s="1"/>
  <c r="E1558" i="1" a="1"/>
  <c r="E1558" i="1" s="1"/>
  <c r="AT1559" i="1"/>
  <c r="BN1560" i="1" a="1"/>
  <c r="BN1560" i="1" s="1"/>
  <c r="E1554" i="1" a="1"/>
  <c r="E1554" i="1" s="1"/>
  <c r="E1552" i="1" a="1"/>
  <c r="E1552" i="1" s="1"/>
  <c r="BL1552" i="1" a="1"/>
  <c r="BL1552" i="1" s="1"/>
  <c r="E1555" i="1" a="1"/>
  <c r="E1555" i="1" s="1"/>
  <c r="BL1555" i="1" a="1"/>
  <c r="BL1555" i="1" s="1"/>
  <c r="BL1553" i="1" a="1"/>
  <c r="BL1553" i="1" s="1"/>
  <c r="BM1555" i="1" a="1"/>
  <c r="BM1555" i="1" s="1"/>
  <c r="BJ1555" i="1" s="1" a="1"/>
  <c r="BJ1555" i="1" s="1"/>
  <c r="BI1556" i="1" a="1"/>
  <c r="BI1556" i="1" s="1"/>
  <c r="BM1553" i="1" a="1"/>
  <c r="BM1553" i="1" s="1"/>
  <c r="BJ1553" i="1" s="1" a="1"/>
  <c r="BJ1553" i="1" s="1"/>
  <c r="BI1554" i="1" a="1"/>
  <c r="BI1554" i="1" s="1"/>
  <c r="BM1554" i="1" a="1"/>
  <c r="BM1554" i="1" s="1"/>
  <c r="BJ1554" i="1" s="1" a="1"/>
  <c r="BJ1554" i="1" s="1"/>
  <c r="BI1553" i="1" a="1"/>
  <c r="BI1553" i="1" s="1"/>
  <c r="BN1554" i="1" a="1"/>
  <c r="BN1554" i="1" s="1"/>
  <c r="BI1552" i="1" a="1"/>
  <c r="BI1552" i="1" s="1"/>
  <c r="E1553" i="1" a="1"/>
  <c r="E1553" i="1" s="1"/>
  <c r="BL1556" i="1" a="1"/>
  <c r="BL1556" i="1" s="1"/>
  <c r="BK1548" i="1"/>
  <c r="E1546" i="1" a="1"/>
  <c r="E1546" i="1" s="1"/>
  <c r="E1548" i="1" a="1"/>
  <c r="E1548" i="1" s="1"/>
  <c r="E1550" i="1" a="1"/>
  <c r="E1550" i="1" s="1"/>
  <c r="BK1546" i="1"/>
  <c r="BM1549" i="1" a="1"/>
  <c r="BM1549" i="1" s="1"/>
  <c r="BJ1549" i="1" s="1" a="1"/>
  <c r="BJ1549" i="1" s="1"/>
  <c r="BI1550" i="1" a="1"/>
  <c r="BI1550" i="1" s="1"/>
  <c r="BM1547" i="1" a="1"/>
  <c r="BM1547" i="1" s="1"/>
  <c r="BJ1547" i="1" s="1" a="1"/>
  <c r="BJ1547" i="1" s="1"/>
  <c r="BI1548" i="1" a="1"/>
  <c r="BI1548" i="1" s="1"/>
  <c r="BM1546" i="1" a="1"/>
  <c r="BM1546" i="1" s="1"/>
  <c r="BJ1546" i="1" s="1" a="1"/>
  <c r="BJ1546" i="1" s="1"/>
  <c r="BI1547" i="1" a="1"/>
  <c r="BI1547" i="1" s="1"/>
  <c r="AT1549" i="1"/>
  <c r="BI1546" i="1" a="1"/>
  <c r="BI1546" i="1" s="1"/>
  <c r="E1547" i="1" a="1"/>
  <c r="E1547" i="1" s="1"/>
  <c r="AT1548" i="1"/>
  <c r="AT1547" i="1"/>
  <c r="E1541" i="1" a="1"/>
  <c r="E1541" i="1" s="1"/>
  <c r="E1544" i="1" a="1"/>
  <c r="E1544" i="1" s="1"/>
  <c r="BL1544" i="1" a="1"/>
  <c r="BL1544" i="1" s="1"/>
  <c r="BL1540" i="1" a="1"/>
  <c r="BL1540" i="1" s="1"/>
  <c r="BM1542" i="1" a="1"/>
  <c r="BM1542" i="1" s="1"/>
  <c r="BJ1542" i="1" s="1" a="1"/>
  <c r="BJ1542" i="1" s="1"/>
  <c r="BM1541" i="1" a="1"/>
  <c r="BM1541" i="1" s="1"/>
  <c r="BJ1541" i="1" s="1" a="1"/>
  <c r="BJ1541" i="1" s="1"/>
  <c r="BI1542" i="1" a="1"/>
  <c r="BI1542" i="1" s="1"/>
  <c r="E1543" i="1" a="1"/>
  <c r="E1543" i="1" s="1"/>
  <c r="BK1540" i="1"/>
  <c r="BI1541" i="1" a="1"/>
  <c r="BI1541" i="1" s="1"/>
  <c r="E1542" i="1" a="1"/>
  <c r="E1542" i="1" s="1"/>
  <c r="BN1542" i="1" a="1"/>
  <c r="BN1542" i="1" s="1"/>
  <c r="E1540" i="1" a="1"/>
  <c r="E1540" i="1" s="1"/>
  <c r="BL1543" i="1" a="1"/>
  <c r="BL1543" i="1" s="1"/>
  <c r="BK1538" i="1"/>
  <c r="E1538" i="1" a="1"/>
  <c r="E1538" i="1" s="1"/>
  <c r="E1536" i="1" a="1"/>
  <c r="E1536" i="1" s="1"/>
  <c r="BM1536" i="1" a="1"/>
  <c r="BM1536" i="1" s="1"/>
  <c r="BJ1536" i="1" s="1" a="1"/>
  <c r="BJ1536" i="1" s="1"/>
  <c r="BI1537" i="1" a="1"/>
  <c r="BI1537" i="1" s="1"/>
  <c r="BM1535" i="1" a="1"/>
  <c r="BM1535" i="1" s="1"/>
  <c r="BJ1535" i="1" s="1" a="1"/>
  <c r="BJ1535" i="1" s="1"/>
  <c r="BI1536" i="1" a="1"/>
  <c r="BI1536" i="1" s="1"/>
  <c r="E1537" i="1" a="1"/>
  <c r="E1537" i="1" s="1"/>
  <c r="BN1537" i="1" a="1"/>
  <c r="BN1537" i="1" s="1"/>
  <c r="AT1538" i="1"/>
  <c r="BM1534" i="1" a="1"/>
  <c r="BM1534" i="1" s="1"/>
  <c r="BJ1534" i="1" s="1" a="1"/>
  <c r="BJ1534" i="1" s="1"/>
  <c r="BI1535" i="1" a="1"/>
  <c r="BI1535" i="1" s="1"/>
  <c r="BN1536" i="1" a="1"/>
  <c r="BN1536" i="1" s="1"/>
  <c r="AT1537" i="1"/>
  <c r="E1535" i="1" a="1"/>
  <c r="E1535" i="1" s="1"/>
  <c r="AT1536" i="1"/>
  <c r="BK1534" i="1"/>
  <c r="E1534" i="1" a="1"/>
  <c r="E1534" i="1" s="1"/>
  <c r="AT1535" i="1"/>
  <c r="BK1532" i="1"/>
  <c r="BK1530" i="1"/>
  <c r="BK1528" i="1"/>
  <c r="BM1529" i="1" a="1"/>
  <c r="BM1529" i="1" s="1"/>
  <c r="BJ1529" i="1" s="1" a="1"/>
  <c r="BJ1529" i="1" s="1"/>
  <c r="BI1532" i="1" a="1"/>
  <c r="BI1532" i="1" s="1"/>
  <c r="BN1532" i="1" a="1"/>
  <c r="BN1532" i="1" s="1"/>
  <c r="BM1531" i="1" a="1"/>
  <c r="BM1531" i="1" s="1"/>
  <c r="BJ1531" i="1" s="1" a="1"/>
  <c r="BJ1531" i="1" s="1"/>
  <c r="BI1531" i="1" a="1"/>
  <c r="BI1531" i="1" s="1"/>
  <c r="BK1524" i="1"/>
  <c r="BK1522" i="1"/>
  <c r="BM1523" i="1" a="1"/>
  <c r="BM1523" i="1" s="1"/>
  <c r="BJ1523" i="1" s="1" a="1"/>
  <c r="BJ1523" i="1" s="1"/>
  <c r="AT1524" i="1"/>
  <c r="BI1526" i="1" a="1"/>
  <c r="BI1526" i="1" s="1"/>
  <c r="BN1523" i="1" a="1"/>
  <c r="BN1523" i="1" s="1"/>
  <c r="BM1525" i="1" a="1"/>
  <c r="BM1525" i="1" s="1"/>
  <c r="BJ1525" i="1" s="1" a="1"/>
  <c r="BJ1525" i="1" s="1"/>
  <c r="AT1526" i="1"/>
  <c r="BM1522" i="1" a="1"/>
  <c r="BM1522" i="1" s="1"/>
  <c r="BJ1522" i="1" s="1" a="1"/>
  <c r="BJ1522" i="1" s="1"/>
  <c r="AT1523" i="1"/>
  <c r="BI1525" i="1" a="1"/>
  <c r="BI1525" i="1" s="1"/>
  <c r="BN1525" i="1" a="1"/>
  <c r="BN1525" i="1" s="1"/>
  <c r="BI1524" i="1" a="1"/>
  <c r="BI1524" i="1" s="1"/>
  <c r="E1518" i="1" a="1"/>
  <c r="E1518" i="1" s="1"/>
  <c r="BL1516" i="1" a="1"/>
  <c r="BL1516" i="1" s="1"/>
  <c r="E1516" i="1" a="1"/>
  <c r="E1516" i="1" s="1"/>
  <c r="E1520" i="1" a="1"/>
  <c r="E1520" i="1" s="1"/>
  <c r="BK1516" i="1"/>
  <c r="BL1517" i="1" a="1"/>
  <c r="BL1517" i="1" s="1"/>
  <c r="BM1519" i="1" a="1"/>
  <c r="BM1519" i="1" s="1"/>
  <c r="BJ1519" i="1" s="1" a="1"/>
  <c r="BJ1519" i="1" s="1"/>
  <c r="BI1520" i="1" a="1"/>
  <c r="BI1520" i="1" s="1"/>
  <c r="BM1517" i="1" a="1"/>
  <c r="BM1517" i="1" s="1"/>
  <c r="BJ1517" i="1" s="1" a="1"/>
  <c r="BJ1517" i="1" s="1"/>
  <c r="BI1518" i="1" a="1"/>
  <c r="BI1518" i="1" s="1"/>
  <c r="BI1517" i="1" a="1"/>
  <c r="BI1517" i="1" s="1"/>
  <c r="BI1516" i="1" a="1"/>
  <c r="BI1516" i="1" s="1"/>
  <c r="E1517" i="1" a="1"/>
  <c r="E1517" i="1" s="1"/>
  <c r="BK1512" i="1"/>
  <c r="E1514" i="1" a="1"/>
  <c r="E1514" i="1" s="1"/>
  <c r="E1512" i="1" a="1"/>
  <c r="E1512" i="1" s="1"/>
  <c r="BM1513" i="1" a="1"/>
  <c r="BM1513" i="1" s="1"/>
  <c r="BJ1513" i="1" s="1" a="1"/>
  <c r="BJ1513" i="1" s="1"/>
  <c r="BI1512" i="1" a="1"/>
  <c r="BI1512" i="1" s="1"/>
  <c r="BN1513" i="1" a="1"/>
  <c r="BN1513" i="1" s="1"/>
  <c r="BM1510" i="1" a="1"/>
  <c r="BM1510" i="1" s="1"/>
  <c r="BJ1510" i="1" s="1" a="1"/>
  <c r="BJ1510" i="1" s="1"/>
  <c r="BI1511" i="1" a="1"/>
  <c r="BI1511" i="1" s="1"/>
  <c r="BN1512" i="1" a="1"/>
  <c r="BN1512" i="1" s="1"/>
  <c r="AT1513" i="1"/>
  <c r="BI1510" i="1" a="1"/>
  <c r="BI1510" i="1" s="1"/>
  <c r="E1511" i="1" a="1"/>
  <c r="E1511" i="1" s="1"/>
  <c r="AT1512" i="1"/>
  <c r="BM1512" i="1" a="1"/>
  <c r="BM1512" i="1" s="1"/>
  <c r="BJ1512" i="1" s="1" a="1"/>
  <c r="BJ1512" i="1" s="1"/>
  <c r="E1510" i="1" a="1"/>
  <c r="E1510" i="1" s="1"/>
  <c r="AT1511" i="1"/>
  <c r="BK1510" i="1"/>
  <c r="E1506" i="1" a="1"/>
  <c r="E1506" i="1" s="1"/>
  <c r="BL1508" i="1" a="1"/>
  <c r="BL1508" i="1" s="1"/>
  <c r="E1508" i="1" a="1"/>
  <c r="E1508" i="1" s="1"/>
  <c r="BL1504" i="1" a="1"/>
  <c r="BL1504" i="1" s="1"/>
  <c r="BM1506" i="1" a="1"/>
  <c r="BM1506" i="1" s="1"/>
  <c r="BJ1506" i="1" s="1" a="1"/>
  <c r="BJ1506" i="1" s="1"/>
  <c r="BM1505" i="1" a="1"/>
  <c r="BM1505" i="1" s="1"/>
  <c r="BJ1505" i="1" s="1" a="1"/>
  <c r="BJ1505" i="1" s="1"/>
  <c r="BI1506" i="1" a="1"/>
  <c r="BI1506" i="1" s="1"/>
  <c r="E1507" i="1" a="1"/>
  <c r="E1507" i="1" s="1"/>
  <c r="BN1507" i="1" a="1"/>
  <c r="BN1507" i="1" s="1"/>
  <c r="BM1504" i="1" a="1"/>
  <c r="BM1504" i="1" s="1"/>
  <c r="BJ1504" i="1" s="1" a="1"/>
  <c r="BJ1504" i="1" s="1"/>
  <c r="BI1505" i="1" a="1"/>
  <c r="BI1505" i="1" s="1"/>
  <c r="BN1506" i="1" a="1"/>
  <c r="BN1506" i="1" s="1"/>
  <c r="E1505" i="1" a="1"/>
  <c r="E1505" i="1" s="1"/>
  <c r="E1504" i="1" a="1"/>
  <c r="E1504" i="1" s="1"/>
  <c r="E1500" i="1" a="1"/>
  <c r="E1500" i="1" s="1"/>
  <c r="E1498" i="1" a="1"/>
  <c r="E1498" i="1" s="1"/>
  <c r="BK1500" i="1"/>
  <c r="E1502" i="1" a="1"/>
  <c r="E1502" i="1" s="1"/>
  <c r="BK1498" i="1"/>
  <c r="BM1501" i="1" a="1"/>
  <c r="BM1501" i="1" s="1"/>
  <c r="BJ1501" i="1" s="1" a="1"/>
  <c r="BJ1501" i="1" s="1"/>
  <c r="BI1502" i="1" a="1"/>
  <c r="BI1502" i="1" s="1"/>
  <c r="BM1499" i="1" a="1"/>
  <c r="BM1499" i="1" s="1"/>
  <c r="BJ1499" i="1" s="1" a="1"/>
  <c r="BJ1499" i="1" s="1"/>
  <c r="BI1500" i="1" a="1"/>
  <c r="BI1500" i="1" s="1"/>
  <c r="E1501" i="1" a="1"/>
  <c r="E1501" i="1" s="1"/>
  <c r="BN1501" i="1" a="1"/>
  <c r="BN1501" i="1" s="1"/>
  <c r="AT1502" i="1"/>
  <c r="BM1498" i="1" a="1"/>
  <c r="BM1498" i="1" s="1"/>
  <c r="BJ1498" i="1" s="1" a="1"/>
  <c r="BJ1498" i="1" s="1"/>
  <c r="BI1499" i="1" a="1"/>
  <c r="BI1499" i="1" s="1"/>
  <c r="BN1500" i="1" a="1"/>
  <c r="BN1500" i="1" s="1"/>
  <c r="AT1501" i="1"/>
  <c r="BI1498" i="1" a="1"/>
  <c r="BI1498" i="1" s="1"/>
  <c r="E1499" i="1" a="1"/>
  <c r="E1499" i="1" s="1"/>
  <c r="BN1499" i="1" a="1"/>
  <c r="BN1499" i="1" s="1"/>
  <c r="AT1500" i="1"/>
  <c r="BK1588" i="1"/>
  <c r="BL1591" i="1" a="1"/>
  <c r="BL1591" i="1" s="1"/>
  <c r="BN1589" i="1" a="1"/>
  <c r="BN1589" i="1" s="1"/>
  <c r="BM1591" i="1" a="1"/>
  <c r="BM1591" i="1" s="1"/>
  <c r="BJ1591" i="1" s="1" a="1"/>
  <c r="BJ1591" i="1" s="1"/>
  <c r="BL1590" i="1" a="1"/>
  <c r="BL1590" i="1" s="1"/>
  <c r="BI1591" i="1" a="1"/>
  <c r="BI1591" i="1" s="1"/>
  <c r="BI1588" i="1" a="1"/>
  <c r="BI1588" i="1" s="1"/>
  <c r="BM1590" i="1" a="1"/>
  <c r="BM1590" i="1" s="1"/>
  <c r="BJ1590" i="1" s="1" a="1"/>
  <c r="BJ1590" i="1" s="1"/>
  <c r="BK1587" i="1"/>
  <c r="BM1587" i="1" a="1"/>
  <c r="BM1587" i="1" s="1"/>
  <c r="BJ1587" i="1" s="1" a="1"/>
  <c r="BJ1587" i="1" s="1"/>
  <c r="BL1587" i="1" a="1"/>
  <c r="BL1587" i="1" s="1"/>
  <c r="BN1641" i="1" a="1"/>
  <c r="BN1641" i="1" s="1"/>
  <c r="BN264" i="1" a="1"/>
  <c r="BN264" i="1" s="1"/>
  <c r="BN266" i="1" a="1"/>
  <c r="BN266" i="1" s="1"/>
  <c r="BN1187" i="1" a="1"/>
  <c r="BN1187" i="1" s="1"/>
  <c r="BN2377" i="1" a="1"/>
  <c r="BN2377" i="1" s="1"/>
  <c r="BI1186" i="1" a="1"/>
  <c r="BI1186" i="1" s="1"/>
  <c r="BK1632" i="1"/>
  <c r="BN1635" i="1" a="1"/>
  <c r="BN1635" i="1" s="1"/>
  <c r="BI266" i="1" a="1"/>
  <c r="BI266" i="1" s="1"/>
  <c r="BN1183" i="1" a="1"/>
  <c r="BN1183" i="1" s="1"/>
  <c r="BN2381" i="1" a="1"/>
  <c r="BN2381" i="1" s="1"/>
  <c r="BN267" i="1" a="1"/>
  <c r="BN267" i="1" s="1"/>
  <c r="BN270" i="1" a="1"/>
  <c r="BN270" i="1" s="1"/>
  <c r="BN1177" i="1" a="1"/>
  <c r="BN1177" i="1" s="1"/>
  <c r="BN1179" i="1" a="1"/>
  <c r="BN1179" i="1" s="1"/>
  <c r="BN1640" i="1" a="1"/>
  <c r="BN1640" i="1" s="1"/>
  <c r="BN1181" i="1" a="1"/>
  <c r="BN1181" i="1" s="1"/>
  <c r="BI1641" i="1" a="1"/>
  <c r="BI1641" i="1" s="1"/>
  <c r="BI1642" i="1" a="1"/>
  <c r="BI1642" i="1" s="1"/>
  <c r="BN2389" i="1" a="1"/>
  <c r="BN2389" i="1" s="1"/>
  <c r="BM263" i="1" a="1"/>
  <c r="BM263" i="1" s="1"/>
  <c r="BJ263" i="1" s="1" a="1"/>
  <c r="BJ263" i="1" s="1"/>
  <c r="BN1185" i="1" a="1"/>
  <c r="BN1185" i="1" s="1"/>
  <c r="BN1632" i="1" a="1"/>
  <c r="BN1632" i="1" s="1"/>
  <c r="BK2378" i="1"/>
  <c r="BM268" i="1" a="1"/>
  <c r="BM268" i="1" s="1"/>
  <c r="BJ268" i="1" s="1" a="1"/>
  <c r="BJ268" i="1" s="1"/>
  <c r="BK269" i="1"/>
  <c r="BN2387" i="1" a="1"/>
  <c r="BN2387" i="1" s="1"/>
  <c r="BI2377" i="1" a="1"/>
  <c r="BI2377" i="1" s="1"/>
  <c r="K2383" i="1" a="1"/>
  <c r="K2383" i="1" s="1"/>
  <c r="AS2383" i="1"/>
  <c r="K2384" i="1" a="1"/>
  <c r="K2384" i="1" s="1"/>
  <c r="AS2384" i="1"/>
  <c r="K2385" i="1" a="1"/>
  <c r="K2385" i="1" s="1"/>
  <c r="AS2385" i="1"/>
  <c r="K2386" i="1" a="1"/>
  <c r="K2386" i="1" s="1"/>
  <c r="AS2386" i="1"/>
  <c r="K2387" i="1" a="1"/>
  <c r="K2387" i="1" s="1"/>
  <c r="AS2387" i="1"/>
  <c r="BN268" i="1" a="1"/>
  <c r="BN268" i="1" s="1"/>
  <c r="BN1184" i="1" a="1"/>
  <c r="BN1184" i="1" s="1"/>
  <c r="BM2385" i="1" a="1"/>
  <c r="BM2385" i="1" s="1"/>
  <c r="BJ2385" i="1" s="1" a="1"/>
  <c r="BJ2385" i="1" s="1"/>
  <c r="BM2386" i="1" a="1"/>
  <c r="BM2386" i="1" s="1"/>
  <c r="BJ2386" i="1" s="1" a="1"/>
  <c r="BJ2386" i="1" s="1"/>
  <c r="BM262" i="1" a="1"/>
  <c r="BM262" i="1" s="1"/>
  <c r="BJ262" i="1" s="1" a="1"/>
  <c r="BJ262" i="1" s="1"/>
  <c r="BI270" i="1" a="1"/>
  <c r="BI270" i="1" s="1"/>
  <c r="BK1180" i="1"/>
  <c r="BI1635" i="1" a="1"/>
  <c r="BI1635" i="1" s="1"/>
  <c r="AT1642" i="1"/>
  <c r="BL2390" i="1" a="1"/>
  <c r="BL2390" i="1" s="1"/>
  <c r="BN260" i="1" a="1"/>
  <c r="BN260" i="1" s="1"/>
  <c r="BN1178" i="1" a="1"/>
  <c r="BN1178" i="1" s="1"/>
  <c r="BN1633" i="1" a="1"/>
  <c r="BN1633" i="1" s="1"/>
  <c r="BM1634" i="1" a="1"/>
  <c r="BM1634" i="1" s="1"/>
  <c r="BJ1634" i="1" s="1" a="1"/>
  <c r="BJ1634" i="1" s="1"/>
  <c r="BM1636" i="1" a="1"/>
  <c r="BM1636" i="1" s="1"/>
  <c r="BJ1636" i="1" s="1" a="1"/>
  <c r="BJ1636" i="1" s="1"/>
  <c r="BI2381" i="1" a="1"/>
  <c r="BI2381" i="1" s="1"/>
  <c r="BI2383" i="1" a="1"/>
  <c r="BI2383" i="1" s="1"/>
  <c r="BN2384" i="1" a="1"/>
  <c r="BN2384" i="1" s="1"/>
  <c r="BN2385" i="1" a="1"/>
  <c r="BN2385" i="1" s="1"/>
  <c r="BN2386" i="1" a="1"/>
  <c r="BN2386" i="1" s="1"/>
  <c r="BM1181" i="1" a="1"/>
  <c r="BM1181" i="1" s="1"/>
  <c r="BJ1181" i="1" s="1" a="1"/>
  <c r="BJ1181" i="1" s="1"/>
  <c r="BM2380" i="1" a="1"/>
  <c r="BM2380" i="1" s="1"/>
  <c r="BJ2380" i="1" s="1" a="1"/>
  <c r="BJ2380" i="1" s="1"/>
  <c r="BM267" i="1" a="1"/>
  <c r="BM267" i="1" s="1"/>
  <c r="BJ267" i="1" s="1" a="1"/>
  <c r="BJ267" i="1" s="1"/>
  <c r="BI1636" i="1" a="1"/>
  <c r="BI1636" i="1" s="1"/>
  <c r="BI2388" i="1" a="1"/>
  <c r="BI2388" i="1" s="1"/>
  <c r="BK267" i="1"/>
  <c r="BM1179" i="1" a="1"/>
  <c r="BM1179" i="1" s="1"/>
  <c r="BJ1179" i="1" s="1" a="1"/>
  <c r="BJ1179" i="1" s="1"/>
  <c r="BN1639" i="1" a="1"/>
  <c r="BN1639" i="1" s="1"/>
  <c r="BM1642" i="1" a="1"/>
  <c r="BM1642" i="1" s="1"/>
  <c r="BJ1642" i="1" s="1" a="1"/>
  <c r="BJ1642" i="1" s="1"/>
  <c r="BM2381" i="1" a="1"/>
  <c r="BM2381" i="1" s="1"/>
  <c r="BJ2381" i="1" s="1" a="1"/>
  <c r="BJ2381" i="1" s="1"/>
  <c r="BM2384" i="1" a="1"/>
  <c r="BM2384" i="1" s="1"/>
  <c r="BJ2384" i="1" s="1" a="1"/>
  <c r="BJ2384" i="1" s="1"/>
  <c r="BL2380" i="1" a="1"/>
  <c r="BL2380" i="1" s="1"/>
  <c r="BI1179" i="1" a="1"/>
  <c r="BI1179" i="1" s="1"/>
  <c r="BN1634" i="1" a="1"/>
  <c r="BN1634" i="1" s="1"/>
  <c r="BI2380" i="1" a="1"/>
  <c r="BI2380" i="1" s="1"/>
  <c r="BN2393" i="1" a="1"/>
  <c r="BN2393" i="1" s="1"/>
  <c r="BI1177" i="1" a="1"/>
  <c r="BI1177" i="1" s="1"/>
  <c r="BK1186" i="1"/>
  <c r="BM1632" i="1" a="1"/>
  <c r="BM1632" i="1" s="1"/>
  <c r="BJ1632" i="1" s="1" a="1"/>
  <c r="BJ1632" i="1" s="1"/>
  <c r="BK1641" i="1"/>
  <c r="BN1642" i="1" a="1"/>
  <c r="BN1642" i="1" s="1"/>
  <c r="BN2378" i="1" a="1"/>
  <c r="BN2378" i="1" s="1"/>
  <c r="BN2383" i="1" a="1"/>
  <c r="BN2383" i="1" s="1"/>
  <c r="BM2387" i="1" a="1"/>
  <c r="BM2387" i="1" s="1"/>
  <c r="BJ2387" i="1" s="1" a="1"/>
  <c r="BJ2387" i="1" s="1"/>
  <c r="AT1638" i="1"/>
  <c r="BK2377" i="1"/>
  <c r="BK2379" i="1"/>
  <c r="BN2390" i="1" a="1"/>
  <c r="BN2390" i="1" s="1"/>
  <c r="BM266" i="1" a="1"/>
  <c r="BM266" i="1" s="1"/>
  <c r="BJ266" i="1" s="1" a="1"/>
  <c r="BJ266" i="1" s="1"/>
  <c r="BM270" i="1" a="1"/>
  <c r="BM270" i="1" s="1"/>
  <c r="BJ270" i="1" s="1" a="1"/>
  <c r="BJ270" i="1" s="1"/>
  <c r="BK1178" i="1"/>
  <c r="BM1180" i="1" a="1"/>
  <c r="BM1180" i="1" s="1"/>
  <c r="BJ1180" i="1" s="1" a="1"/>
  <c r="BJ1180" i="1" s="1"/>
  <c r="AT1183" i="1"/>
  <c r="BK1187" i="1"/>
  <c r="BK1633" i="1"/>
  <c r="BL1635" i="1" a="1"/>
  <c r="BL1635" i="1" s="1"/>
  <c r="BL2378" i="1" a="1"/>
  <c r="BL2378" i="1" s="1"/>
  <c r="BK2381" i="1"/>
  <c r="BN263" i="1" a="1"/>
  <c r="BN263" i="1" s="1"/>
  <c r="BI268" i="1" a="1"/>
  <c r="BI268" i="1" s="1"/>
  <c r="BL269" i="1" a="1"/>
  <c r="BL269" i="1" s="1"/>
  <c r="BM1178" i="1" a="1"/>
  <c r="BM1178" i="1" s="1"/>
  <c r="BJ1178" i="1" s="1" a="1"/>
  <c r="BJ1178" i="1" s="1"/>
  <c r="BM1187" i="1" a="1"/>
  <c r="BM1187" i="1" s="1"/>
  <c r="BJ1187" i="1" s="1" a="1"/>
  <c r="BJ1187" i="1" s="1"/>
  <c r="BL1632" i="1" a="1"/>
  <c r="BL1632" i="1" s="1"/>
  <c r="BN1636" i="1" a="1"/>
  <c r="BN1636" i="1" s="1"/>
  <c r="BN1638" i="1" a="1"/>
  <c r="BN1638" i="1" s="1"/>
  <c r="BK1639" i="1"/>
  <c r="BM1177" i="1" a="1"/>
  <c r="BM1177" i="1" s="1"/>
  <c r="BJ1177" i="1" s="1" a="1"/>
  <c r="BJ1177" i="1" s="1"/>
  <c r="BK1184" i="1"/>
  <c r="BK1634" i="1"/>
  <c r="BK2380" i="1"/>
  <c r="BM2383" i="1" a="1"/>
  <c r="BM2383" i="1" s="1"/>
  <c r="BJ2383" i="1" s="1" a="1"/>
  <c r="BJ2383" i="1" s="1"/>
  <c r="E2383" i="1" a="1"/>
  <c r="E2383" i="1" s="1"/>
  <c r="E2384" i="1" a="1"/>
  <c r="E2384" i="1" s="1"/>
  <c r="E2385" i="1" a="1"/>
  <c r="E2385" i="1" s="1"/>
  <c r="E2386" i="1" a="1"/>
  <c r="E2386" i="1" s="1"/>
  <c r="E2387" i="1" a="1"/>
  <c r="E2387" i="1" s="1"/>
  <c r="BI2384" i="1" a="1"/>
  <c r="BI2384" i="1" s="1"/>
  <c r="BI2385" i="1" a="1"/>
  <c r="BI2385" i="1" s="1"/>
  <c r="BI2386" i="1" a="1"/>
  <c r="BI2386" i="1" s="1"/>
  <c r="BI2387" i="1" a="1"/>
  <c r="BI2387" i="1" s="1"/>
  <c r="AT2383" i="1"/>
  <c r="AT2384" i="1"/>
  <c r="AT2385" i="1"/>
  <c r="AT2386" i="1"/>
  <c r="AT2387" i="1"/>
  <c r="J2383" i="1" a="1"/>
  <c r="J2383" i="1" s="1"/>
  <c r="BK2383" i="1"/>
  <c r="J2384" i="1" a="1"/>
  <c r="J2384" i="1" s="1"/>
  <c r="BK2384" i="1"/>
  <c r="J2385" i="1" a="1"/>
  <c r="J2385" i="1" s="1"/>
  <c r="BK2385" i="1"/>
  <c r="J2386" i="1" a="1"/>
  <c r="J2386" i="1" s="1"/>
  <c r="BK2386" i="1"/>
  <c r="J2387" i="1" a="1"/>
  <c r="J2387" i="1" s="1"/>
  <c r="BK2387" i="1"/>
  <c r="E2379" i="1" a="1"/>
  <c r="E2379" i="1" s="1"/>
  <c r="BL2379" i="1" a="1"/>
  <c r="BL2379" i="1" s="1"/>
  <c r="BM2378" i="1" a="1"/>
  <c r="BM2378" i="1" s="1"/>
  <c r="BJ2378" i="1" s="1" a="1"/>
  <c r="BJ2378" i="1" s="1"/>
  <c r="BI2379" i="1" a="1"/>
  <c r="BI2379" i="1" s="1"/>
  <c r="E2380" i="1" a="1"/>
  <c r="E2380" i="1" s="1"/>
  <c r="BN2380" i="1" a="1"/>
  <c r="BN2380" i="1" s="1"/>
  <c r="BM2377" i="1" a="1"/>
  <c r="BM2377" i="1" s="1"/>
  <c r="BJ2377" i="1" s="1" a="1"/>
  <c r="BJ2377" i="1" s="1"/>
  <c r="BI2378" i="1" a="1"/>
  <c r="BI2378" i="1" s="1"/>
  <c r="BN2379" i="1" a="1"/>
  <c r="BN2379" i="1" s="1"/>
  <c r="BL2377" i="1" a="1"/>
  <c r="BL2377" i="1" s="1"/>
  <c r="E2378" i="1" a="1"/>
  <c r="E2378" i="1" s="1"/>
  <c r="E2377" i="1" a="1"/>
  <c r="E2377" i="1" s="1"/>
  <c r="BL2381" i="1" a="1"/>
  <c r="BL2381" i="1" s="1"/>
  <c r="BM2379" i="1" a="1"/>
  <c r="BM2379" i="1" s="1"/>
  <c r="BJ2379" i="1" s="1" a="1"/>
  <c r="BJ2379" i="1" s="1"/>
  <c r="E1638" i="1" a="1"/>
  <c r="E1638" i="1" s="1"/>
  <c r="BK1640" i="1"/>
  <c r="BK1642" i="1"/>
  <c r="E1642" i="1" a="1"/>
  <c r="E1642" i="1" s="1"/>
  <c r="E1640" i="1" a="1"/>
  <c r="E1640" i="1" s="1"/>
  <c r="BK1638" i="1"/>
  <c r="BM1641" i="1" a="1"/>
  <c r="BM1641" i="1" s="1"/>
  <c r="BJ1641" i="1" s="1" a="1"/>
  <c r="BJ1641" i="1" s="1"/>
  <c r="BM1638" i="1" a="1"/>
  <c r="BM1638" i="1" s="1"/>
  <c r="BJ1638" i="1" s="1" a="1"/>
  <c r="BJ1638" i="1" s="1"/>
  <c r="BI1639" i="1" a="1"/>
  <c r="BI1639" i="1" s="1"/>
  <c r="AT1641" i="1"/>
  <c r="BM1640" i="1" a="1"/>
  <c r="BM1640" i="1" s="1"/>
  <c r="BJ1640" i="1" s="1" a="1"/>
  <c r="BJ1640" i="1" s="1"/>
  <c r="BM1639" i="1" a="1"/>
  <c r="BM1639" i="1" s="1"/>
  <c r="BJ1639" i="1" s="1" a="1"/>
  <c r="BJ1639" i="1" s="1"/>
  <c r="BI1640" i="1" a="1"/>
  <c r="BI1640" i="1" s="1"/>
  <c r="BI1638" i="1" a="1"/>
  <c r="BI1638" i="1" s="1"/>
  <c r="E1639" i="1" a="1"/>
  <c r="E1639" i="1" s="1"/>
  <c r="AT1640" i="1"/>
  <c r="AT1639" i="1"/>
  <c r="E1634" i="1" a="1"/>
  <c r="E1634" i="1" s="1"/>
  <c r="BL1634" i="1" a="1"/>
  <c r="BL1634" i="1" s="1"/>
  <c r="E1636" i="1" a="1"/>
  <c r="E1636" i="1" s="1"/>
  <c r="BL1636" i="1" a="1"/>
  <c r="BL1636" i="1" s="1"/>
  <c r="E1633" i="1" a="1"/>
  <c r="E1633" i="1" s="1"/>
  <c r="BL1633" i="1" a="1"/>
  <c r="BL1633" i="1" s="1"/>
  <c r="BM1635" i="1" a="1"/>
  <c r="BM1635" i="1" s="1"/>
  <c r="BJ1635" i="1" s="1" a="1"/>
  <c r="BJ1635" i="1" s="1"/>
  <c r="BM1633" i="1" a="1"/>
  <c r="BM1633" i="1" s="1"/>
  <c r="BJ1633" i="1" s="1" a="1"/>
  <c r="BJ1633" i="1" s="1"/>
  <c r="BI1634" i="1" a="1"/>
  <c r="BI1634" i="1" s="1"/>
  <c r="BI1633" i="1" a="1"/>
  <c r="BI1633" i="1" s="1"/>
  <c r="BI1632" i="1" a="1"/>
  <c r="BI1632" i="1" s="1"/>
  <c r="BK1636" i="1"/>
  <c r="BK1635" i="1"/>
  <c r="E1185" i="1" a="1"/>
  <c r="E1185" i="1" s="1"/>
  <c r="E1183" i="1" a="1"/>
  <c r="E1183" i="1" s="1"/>
  <c r="BK1185" i="1"/>
  <c r="E1187" i="1" a="1"/>
  <c r="E1187" i="1" s="1"/>
  <c r="BK1183" i="1"/>
  <c r="BM1186" i="1" a="1"/>
  <c r="BM1186" i="1" s="1"/>
  <c r="BJ1186" i="1" s="1" a="1"/>
  <c r="BJ1186" i="1" s="1"/>
  <c r="BI1187" i="1" a="1"/>
  <c r="BI1187" i="1" s="1"/>
  <c r="BM1185" i="1" a="1"/>
  <c r="BM1185" i="1" s="1"/>
  <c r="BJ1185" i="1" s="1" a="1"/>
  <c r="BJ1185" i="1" s="1"/>
  <c r="BM1184" i="1" a="1"/>
  <c r="BM1184" i="1" s="1"/>
  <c r="BJ1184" i="1" s="1" a="1"/>
  <c r="BJ1184" i="1" s="1"/>
  <c r="BI1185" i="1" a="1"/>
  <c r="BI1185" i="1" s="1"/>
  <c r="E1186" i="1" a="1"/>
  <c r="E1186" i="1" s="1"/>
  <c r="BN1186" i="1" a="1"/>
  <c r="BN1186" i="1" s="1"/>
  <c r="AT1187" i="1"/>
  <c r="BM1183" i="1" a="1"/>
  <c r="BM1183" i="1" s="1"/>
  <c r="BJ1183" i="1" s="1" a="1"/>
  <c r="BJ1183" i="1" s="1"/>
  <c r="BI1184" i="1" a="1"/>
  <c r="BI1184" i="1" s="1"/>
  <c r="AT1186" i="1"/>
  <c r="BI1183" i="1" a="1"/>
  <c r="BI1183" i="1" s="1"/>
  <c r="E1184" i="1" a="1"/>
  <c r="E1184" i="1" s="1"/>
  <c r="AT1185" i="1"/>
  <c r="AT1184" i="1"/>
  <c r="BK1181" i="1"/>
  <c r="BK1179" i="1"/>
  <c r="BI1181" i="1" a="1"/>
  <c r="BI1181" i="1" s="1"/>
  <c r="BI1180" i="1" a="1"/>
  <c r="BI1180" i="1" s="1"/>
  <c r="BN1180" i="1" a="1"/>
  <c r="BN1180" i="1" s="1"/>
  <c r="BK1177" i="1"/>
  <c r="BI1178" i="1" a="1"/>
  <c r="BI1178" i="1" s="1"/>
  <c r="BL266" i="1" a="1"/>
  <c r="BL266" i="1" s="1"/>
  <c r="BL270" i="1" a="1"/>
  <c r="BL270" i="1" s="1"/>
  <c r="BK268" i="1"/>
  <c r="BL268" i="1" a="1"/>
  <c r="BL268" i="1" s="1"/>
  <c r="BM269" i="1" a="1"/>
  <c r="BM269" i="1" s="1"/>
  <c r="BJ269" i="1" s="1" a="1"/>
  <c r="BJ269" i="1" s="1"/>
  <c r="BI269" i="1" a="1"/>
  <c r="BI269" i="1" s="1"/>
  <c r="BL267" i="1" a="1"/>
  <c r="BL267" i="1" s="1"/>
  <c r="BN269" i="1" a="1"/>
  <c r="BN269" i="1" s="1"/>
  <c r="BK266" i="1"/>
  <c r="BK270" i="1"/>
  <c r="BI267" i="1" a="1"/>
  <c r="BI267" i="1" s="1"/>
  <c r="BL2391" i="1" a="1"/>
  <c r="BL2391" i="1" s="1"/>
  <c r="BM260" i="1" a="1"/>
  <c r="BM260" i="1" s="1"/>
  <c r="BJ260" i="1" s="1" a="1"/>
  <c r="BJ260" i="1" s="1"/>
  <c r="BN262" i="1" a="1"/>
  <c r="BN262" i="1" s="1"/>
  <c r="BK263" i="1"/>
  <c r="BL2389" i="1" a="1"/>
  <c r="BL2389" i="1" s="1"/>
  <c r="BM2393" i="1" a="1"/>
  <c r="BM2393" i="1" s="1"/>
  <c r="BJ2393" i="1" s="1" a="1"/>
  <c r="BJ2393" i="1" s="1"/>
  <c r="BK2390" i="1"/>
  <c r="BI2393" i="1" a="1"/>
  <c r="BI2393" i="1" s="1"/>
  <c r="BM264" i="1" a="1"/>
  <c r="BM264" i="1" s="1"/>
  <c r="BJ264" i="1" s="1" a="1"/>
  <c r="BJ264" i="1" s="1"/>
  <c r="BK2392" i="1"/>
  <c r="BM261" i="1" a="1"/>
  <c r="BM261" i="1" s="1"/>
  <c r="BJ261" i="1" s="1" a="1"/>
  <c r="BJ261" i="1" s="1"/>
  <c r="BL2392" i="1" a="1"/>
  <c r="BL2392" i="1" s="1"/>
  <c r="BN2388" i="1" a="1"/>
  <c r="BN2388" i="1" s="1"/>
  <c r="BM2389" i="1" a="1"/>
  <c r="BM2389" i="1" s="1"/>
  <c r="BJ2389" i="1" s="1" a="1"/>
  <c r="BJ2389" i="1" s="1"/>
  <c r="BI2390" i="1" a="1"/>
  <c r="BI2390" i="1" s="1"/>
  <c r="BK2391" i="1"/>
  <c r="BM2392" i="1" a="1"/>
  <c r="BM2392" i="1" s="1"/>
  <c r="BJ2392" i="1" s="1" a="1"/>
  <c r="BJ2392" i="1" s="1"/>
  <c r="BK2393" i="1"/>
  <c r="BN261" i="1" a="1"/>
  <c r="BN261" i="1" s="1"/>
  <c r="BK262" i="1"/>
  <c r="BI260" i="1" a="1"/>
  <c r="BI260" i="1" s="1"/>
  <c r="BI264" i="1" a="1"/>
  <c r="BI264" i="1" s="1"/>
  <c r="BK261" i="1"/>
  <c r="BI263" i="1" a="1"/>
  <c r="BI263" i="1" s="1"/>
  <c r="BK260" i="1"/>
  <c r="BI262" i="1" a="1"/>
  <c r="BI262" i="1" s="1"/>
  <c r="BK264" i="1"/>
  <c r="BI261" i="1" a="1"/>
  <c r="BI261" i="1" s="1"/>
  <c r="E2391" i="1" a="1"/>
  <c r="E2391" i="1" s="1"/>
  <c r="E2393" i="1" a="1"/>
  <c r="E2393" i="1" s="1"/>
  <c r="BK2389" i="1"/>
  <c r="BM2391" i="1" a="1"/>
  <c r="BM2391" i="1" s="1"/>
  <c r="BJ2391" i="1" s="1" a="1"/>
  <c r="BJ2391" i="1" s="1"/>
  <c r="BI2392" i="1" a="1"/>
  <c r="BI2392" i="1" s="1"/>
  <c r="BM2390" i="1" a="1"/>
  <c r="BM2390" i="1" s="1"/>
  <c r="BJ2390" i="1" s="1" a="1"/>
  <c r="BJ2390" i="1" s="1"/>
  <c r="BI2391" i="1" a="1"/>
  <c r="BI2391" i="1" s="1"/>
  <c r="BN2392" i="1" a="1"/>
  <c r="BN2392" i="1" s="1"/>
  <c r="BI2389" i="1" a="1"/>
  <c r="BI2389" i="1" s="1"/>
  <c r="E2390" i="1" a="1"/>
  <c r="E2390" i="1" s="1"/>
  <c r="E2389" i="1" a="1"/>
  <c r="E2389" i="1" s="1"/>
  <c r="BL2393" i="1" a="1"/>
  <c r="BL2393" i="1" s="1"/>
  <c r="BN2391" i="1" a="1"/>
  <c r="BN2391" i="1" s="1"/>
  <c r="BM2388" i="1" a="1"/>
  <c r="BM2388" i="1" s="1"/>
  <c r="BJ2388" i="1" s="1" a="1"/>
  <c r="BJ2388" i="1" s="1"/>
  <c r="E2388" i="1" a="1"/>
  <c r="E2388" i="1" s="1"/>
  <c r="BL2388" i="1" a="1"/>
  <c r="BL2388" i="1" s="1"/>
  <c r="BK2388" i="1"/>
  <c r="BK1697" i="1"/>
  <c r="BN1771" i="1" a="1"/>
  <c r="BN1771" i="1" s="1"/>
  <c r="BK1704" i="1"/>
  <c r="BK1693" i="1"/>
  <c r="BK1679" i="1"/>
  <c r="BK1671" i="1"/>
  <c r="BK1665" i="1"/>
  <c r="BN1657" i="1" a="1"/>
  <c r="BN1657" i="1" s="1"/>
  <c r="AT1663" i="1"/>
  <c r="BK1659" i="1"/>
  <c r="BL1672" i="1" a="1"/>
  <c r="BL1672" i="1" s="1"/>
  <c r="BK1660" i="1"/>
  <c r="BI1658" i="1" a="1"/>
  <c r="BI1658" i="1" s="1"/>
  <c r="BN1661" i="1" a="1"/>
  <c r="BN1661" i="1" s="1"/>
  <c r="BK1675" i="1"/>
  <c r="BL1677" i="1" a="1"/>
  <c r="BL1677" i="1" s="1"/>
  <c r="BK1687" i="1"/>
  <c r="BN1659" i="1" a="1"/>
  <c r="BN1659" i="1" s="1"/>
  <c r="BI1663" i="1" a="1"/>
  <c r="BI1663" i="1" s="1"/>
  <c r="BK1673" i="1"/>
  <c r="BK1684" i="1"/>
  <c r="BK1685" i="1"/>
  <c r="BK1700" i="1"/>
  <c r="BK1701" i="1"/>
  <c r="BK1703" i="1"/>
  <c r="BN1660" i="1" a="1"/>
  <c r="BN1660" i="1" s="1"/>
  <c r="BM1667" i="1" a="1"/>
  <c r="BM1667" i="1" s="1"/>
  <c r="BJ1667" i="1" s="1" a="1"/>
  <c r="BJ1667" i="1" s="1"/>
  <c r="BN1665" i="1" a="1"/>
  <c r="BN1665" i="1" s="1"/>
  <c r="BN1666" i="1" a="1"/>
  <c r="BN1666" i="1" s="1"/>
  <c r="BK1691" i="1"/>
  <c r="BK1699" i="1"/>
  <c r="BL1707" i="1" a="1"/>
  <c r="BL1707" i="1" s="1"/>
  <c r="BL1660" i="1" a="1"/>
  <c r="BL1660" i="1" s="1"/>
  <c r="BM1661" i="1" a="1"/>
  <c r="BM1661" i="1" s="1"/>
  <c r="BJ1661" i="1" s="1" a="1"/>
  <c r="BJ1661" i="1" s="1"/>
  <c r="BI1667" i="1" a="1"/>
  <c r="BI1667" i="1" s="1"/>
  <c r="BL1689" i="1" a="1"/>
  <c r="BL1689" i="1" s="1"/>
  <c r="BK1690" i="1"/>
  <c r="BK1702" i="1"/>
  <c r="BN1664" i="1" a="1"/>
  <c r="BN1664" i="1" s="1"/>
  <c r="BK1705" i="1"/>
  <c r="BM1658" i="1" a="1"/>
  <c r="BM1658" i="1" s="1"/>
  <c r="BJ1658" i="1" s="1" a="1"/>
  <c r="BJ1658" i="1" s="1"/>
  <c r="BM1659" i="1" a="1"/>
  <c r="BM1659" i="1" s="1"/>
  <c r="BJ1659" i="1" s="1" a="1"/>
  <c r="BJ1659" i="1" s="1"/>
  <c r="BL1706" i="1" a="1"/>
  <c r="BL1706" i="1" s="1"/>
  <c r="BM1665" i="1" a="1"/>
  <c r="BM1665" i="1" s="1"/>
  <c r="BJ1665" i="1" s="1" a="1"/>
  <c r="BJ1665" i="1" s="1"/>
  <c r="BI1666" i="1" a="1"/>
  <c r="BI1666" i="1" s="1"/>
  <c r="BL1657" i="1" a="1"/>
  <c r="BL1657" i="1" s="1"/>
  <c r="BL1661" i="1" a="1"/>
  <c r="BL1661" i="1" s="1"/>
  <c r="BK1669" i="1"/>
  <c r="BL1670" i="1" a="1"/>
  <c r="BL1670" i="1" s="1"/>
  <c r="BK1683" i="1"/>
  <c r="BK1688" i="1"/>
  <c r="BI1661" i="1" a="1"/>
  <c r="BI1661" i="1" s="1"/>
  <c r="BK1670" i="1"/>
  <c r="BK1694" i="1"/>
  <c r="BK1695" i="1"/>
  <c r="BK1658" i="1"/>
  <c r="BI1665" i="1" a="1"/>
  <c r="BI1665" i="1" s="1"/>
  <c r="BK1678" i="1"/>
  <c r="BL1690" i="1" a="1"/>
  <c r="BL1690" i="1" s="1"/>
  <c r="BK1707" i="1"/>
  <c r="BK1708" i="1"/>
  <c r="BK1664" i="1"/>
  <c r="BK1677" i="1"/>
  <c r="BL1694" i="1" a="1"/>
  <c r="BL1694" i="1" s="1"/>
  <c r="BL1695" i="1" a="1"/>
  <c r="BL1695" i="1" s="1"/>
  <c r="BK1709" i="1"/>
  <c r="BL1658" i="1" a="1"/>
  <c r="BL1658" i="1" s="1"/>
  <c r="BN1663" i="1" a="1"/>
  <c r="BN1663" i="1" s="1"/>
  <c r="AT1665" i="1"/>
  <c r="BK1676" i="1"/>
  <c r="BL1697" i="1" a="1"/>
  <c r="BL1697" i="1" s="1"/>
  <c r="BL1696" i="1" a="1"/>
  <c r="BL1696" i="1" s="1"/>
  <c r="BL1693" i="1" a="1"/>
  <c r="BL1693" i="1" s="1"/>
  <c r="BK1696" i="1"/>
  <c r="BL1691" i="1" a="1"/>
  <c r="BL1691" i="1" s="1"/>
  <c r="BL1688" i="1" a="1"/>
  <c r="BL1688" i="1" s="1"/>
  <c r="BL1687" i="1" a="1"/>
  <c r="BL1687" i="1" s="1"/>
  <c r="BK1689" i="1"/>
  <c r="BK1681" i="1"/>
  <c r="BK1682" i="1"/>
  <c r="BL1676" i="1" a="1"/>
  <c r="BL1676" i="1" s="1"/>
  <c r="BL1679" i="1" a="1"/>
  <c r="BL1679" i="1" s="1"/>
  <c r="BL1678" i="1" a="1"/>
  <c r="BL1678" i="1" s="1"/>
  <c r="BL1675" i="1" a="1"/>
  <c r="BL1675" i="1" s="1"/>
  <c r="BL1671" i="1" a="1"/>
  <c r="BL1671" i="1" s="1"/>
  <c r="BL1669" i="1" a="1"/>
  <c r="BL1669" i="1" s="1"/>
  <c r="BL1673" i="1" a="1"/>
  <c r="BL1673" i="1" s="1"/>
  <c r="BK1672" i="1"/>
  <c r="BK1666" i="1"/>
  <c r="BK1663" i="1"/>
  <c r="BM1664" i="1" a="1"/>
  <c r="BM1664" i="1" s="1"/>
  <c r="BJ1664" i="1" s="1" a="1"/>
  <c r="BJ1664" i="1" s="1"/>
  <c r="BI1664" i="1" a="1"/>
  <c r="BI1664" i="1" s="1"/>
  <c r="BN1667" i="1" a="1"/>
  <c r="BN1667" i="1" s="1"/>
  <c r="BM1666" i="1" a="1"/>
  <c r="BM1666" i="1" s="1"/>
  <c r="BJ1666" i="1" s="1" a="1"/>
  <c r="BJ1666" i="1" s="1"/>
  <c r="AT1667" i="1"/>
  <c r="BK1667" i="1"/>
  <c r="AT1666" i="1"/>
  <c r="BM1663" i="1" a="1"/>
  <c r="BM1663" i="1" s="1"/>
  <c r="BJ1663" i="1" s="1" a="1"/>
  <c r="BJ1663" i="1" s="1"/>
  <c r="AT1664" i="1"/>
  <c r="BN1658" i="1" a="1"/>
  <c r="BN1658" i="1" s="1"/>
  <c r="BM1660" i="1" a="1"/>
  <c r="BM1660" i="1" s="1"/>
  <c r="BJ1660" i="1" s="1" a="1"/>
  <c r="BJ1660" i="1" s="1"/>
  <c r="BK1657" i="1"/>
  <c r="BM1657" i="1" a="1"/>
  <c r="BM1657" i="1" s="1"/>
  <c r="BJ1657" i="1" s="1" a="1"/>
  <c r="BJ1657" i="1" s="1"/>
  <c r="BL1659" i="1" a="1"/>
  <c r="BL1659" i="1" s="1"/>
  <c r="BI1660" i="1" a="1"/>
  <c r="BI1660" i="1" s="1"/>
  <c r="BI1657" i="1" a="1"/>
  <c r="BI1657" i="1" s="1"/>
  <c r="BK1661" i="1"/>
  <c r="BI1659" i="1" a="1"/>
  <c r="BI1659" i="1" s="1"/>
  <c r="BL1709" i="1" a="1"/>
  <c r="BL1709" i="1" s="1"/>
  <c r="BL1705" i="1" a="1"/>
  <c r="BL1705" i="1" s="1"/>
  <c r="BL1708" i="1" a="1"/>
  <c r="BL1708" i="1" s="1"/>
  <c r="BK1706" i="1"/>
  <c r="BL1704" i="1" a="1"/>
  <c r="BL1704" i="1" s="1"/>
  <c r="BI1738" i="1" a="1"/>
  <c r="BI1738" i="1" s="1"/>
  <c r="BI1763" i="1" a="1"/>
  <c r="BI1763" i="1" s="1"/>
  <c r="AT1785" i="1"/>
  <c r="BN1802" i="1" a="1"/>
  <c r="BN1802" i="1" s="1"/>
  <c r="BI1803" i="1" a="1"/>
  <c r="BI1803" i="1" s="1"/>
  <c r="BN1735" i="1" a="1"/>
  <c r="BN1735" i="1" s="1"/>
  <c r="BI1729" i="1" a="1"/>
  <c r="BI1729" i="1" s="1"/>
  <c r="BI1757" i="1" a="1"/>
  <c r="BI1757" i="1" s="1"/>
  <c r="AT1801" i="1"/>
  <c r="BI1732" i="1" a="1"/>
  <c r="BI1732" i="1" s="1"/>
  <c r="BI1793" i="1" a="1"/>
  <c r="BI1793" i="1" s="1"/>
  <c r="BI1717" i="1" a="1"/>
  <c r="BI1717" i="1" s="1"/>
  <c r="BN1804" i="1" a="1"/>
  <c r="BN1804" i="1" s="1"/>
  <c r="BI1715" i="1" a="1"/>
  <c r="BI1715" i="1" s="1"/>
  <c r="BN1769" i="1" a="1"/>
  <c r="BN1769" i="1" s="1"/>
  <c r="BN1790" i="1" a="1"/>
  <c r="BN1790" i="1" s="1"/>
  <c r="BI1721" i="1" a="1"/>
  <c r="BI1721" i="1" s="1"/>
  <c r="BN1727" i="1" a="1"/>
  <c r="BN1727" i="1" s="1"/>
  <c r="BM1780" i="1" a="1"/>
  <c r="BM1780" i="1" s="1"/>
  <c r="BJ1780" i="1" s="1" a="1"/>
  <c r="BJ1780" i="1" s="1"/>
  <c r="BN1730" i="1" a="1"/>
  <c r="BN1730" i="1" s="1"/>
  <c r="BI1751" i="1" a="1"/>
  <c r="BI1751" i="1" s="1"/>
  <c r="BI1775" i="1" a="1"/>
  <c r="BI1775" i="1" s="1"/>
  <c r="AT1800" i="1"/>
  <c r="BI1804" i="1" a="1"/>
  <c r="BI1804" i="1" s="1"/>
  <c r="AT1791" i="1"/>
  <c r="BN1798" i="1" a="1"/>
  <c r="BN1798" i="1" s="1"/>
  <c r="BN1733" i="1" a="1"/>
  <c r="BN1733" i="1" s="1"/>
  <c r="BN1762" i="1" a="1"/>
  <c r="BN1762" i="1" s="1"/>
  <c r="AT1790" i="1"/>
  <c r="BM1763" i="1" a="1"/>
  <c r="BM1763" i="1" s="1"/>
  <c r="BJ1763" i="1" s="1" a="1"/>
  <c r="BJ1763" i="1" s="1"/>
  <c r="BN1745" i="1" a="1"/>
  <c r="BN1745" i="1" s="1"/>
  <c r="BK1761" i="1"/>
  <c r="BM1804" i="1" a="1"/>
  <c r="BM1804" i="1" s="1"/>
  <c r="BJ1804" i="1" s="1" a="1"/>
  <c r="BJ1804" i="1" s="1"/>
  <c r="BN1792" i="1" a="1"/>
  <c r="BN1792" i="1" s="1"/>
  <c r="BI1798" i="1" a="1"/>
  <c r="BI1798" i="1" s="1"/>
  <c r="BN1741" i="1" a="1"/>
  <c r="BN1741" i="1" s="1"/>
  <c r="BN1765" i="1" a="1"/>
  <c r="BN1765" i="1" s="1"/>
  <c r="BI1785" i="1" a="1"/>
  <c r="BI1785" i="1" s="1"/>
  <c r="BI1792" i="1" a="1"/>
  <c r="BI1792" i="1" s="1"/>
  <c r="BM1732" i="1" a="1"/>
  <c r="BM1732" i="1" s="1"/>
  <c r="BJ1732" i="1" s="1" a="1"/>
  <c r="BJ1732" i="1" s="1"/>
  <c r="BM1768" i="1" a="1"/>
  <c r="BM1768" i="1" s="1"/>
  <c r="BJ1768" i="1" s="1" a="1"/>
  <c r="BJ1768" i="1" s="1"/>
  <c r="BM1774" i="1" a="1"/>
  <c r="BM1774" i="1" s="1"/>
  <c r="BJ1774" i="1" s="1" a="1"/>
  <c r="BJ1774" i="1" s="1"/>
  <c r="BN1712" i="1" a="1"/>
  <c r="BN1712" i="1" s="1"/>
  <c r="BM1720" i="1" a="1"/>
  <c r="BM1720" i="1" s="1"/>
  <c r="BJ1720" i="1" s="1" a="1"/>
  <c r="BJ1720" i="1" s="1"/>
  <c r="BI1723" i="1" a="1"/>
  <c r="BI1723" i="1" s="1"/>
  <c r="BM1733" i="1" a="1"/>
  <c r="BM1733" i="1" s="1"/>
  <c r="BJ1733" i="1" s="1" a="1"/>
  <c r="BJ1733" i="1" s="1"/>
  <c r="BN1737" i="1" a="1"/>
  <c r="BN1737" i="1" s="1"/>
  <c r="BK1748" i="1"/>
  <c r="BN1754" i="1" a="1"/>
  <c r="BN1754" i="1" s="1"/>
  <c r="BN1766" i="1" a="1"/>
  <c r="BN1766" i="1" s="1"/>
  <c r="BN1783" i="1" a="1"/>
  <c r="BN1783" i="1" s="1"/>
  <c r="BM1805" i="1" a="1"/>
  <c r="BM1805" i="1" s="1"/>
  <c r="BJ1805" i="1" s="1" a="1"/>
  <c r="BJ1805" i="1" s="1"/>
  <c r="BI1712" i="1" a="1"/>
  <c r="BI1712" i="1" s="1"/>
  <c r="BN1723" i="1" a="1"/>
  <c r="BN1723" i="1" s="1"/>
  <c r="BM1753" i="1" a="1"/>
  <c r="BM1753" i="1" s="1"/>
  <c r="BJ1753" i="1" s="1" a="1"/>
  <c r="BJ1753" i="1" s="1"/>
  <c r="BI1754" i="1" a="1"/>
  <c r="BI1754" i="1" s="1"/>
  <c r="BI1759" i="1" a="1"/>
  <c r="BI1759" i="1" s="1"/>
  <c r="BN1789" i="1" a="1"/>
  <c r="BN1789" i="1" s="1"/>
  <c r="AT1796" i="1"/>
  <c r="BI1805" i="1" a="1"/>
  <c r="BI1805" i="1" s="1"/>
  <c r="BI1733" i="1" a="1"/>
  <c r="BI1733" i="1" s="1"/>
  <c r="BK1744" i="1"/>
  <c r="BN1751" i="1" a="1"/>
  <c r="BN1751" i="1" s="1"/>
  <c r="BK1777" i="1"/>
  <c r="AT1711" i="1"/>
  <c r="BM1772" i="1" a="1"/>
  <c r="BM1772" i="1" s="1"/>
  <c r="BJ1772" i="1" s="1" a="1"/>
  <c r="BJ1772" i="1" s="1"/>
  <c r="BM1791" i="1" a="1"/>
  <c r="BM1791" i="1" s="1"/>
  <c r="BJ1791" i="1" s="1" a="1"/>
  <c r="BJ1791" i="1" s="1"/>
  <c r="BI1795" i="1" a="1"/>
  <c r="BI1795" i="1" s="1"/>
  <c r="BI1800" i="1" a="1"/>
  <c r="BI1800" i="1" s="1"/>
  <c r="BM1801" i="1" a="1"/>
  <c r="BM1801" i="1" s="1"/>
  <c r="BJ1801" i="1" s="1" a="1"/>
  <c r="BJ1801" i="1" s="1"/>
  <c r="BK1726" i="1"/>
  <c r="BK1739" i="1"/>
  <c r="BN1753" i="1" a="1"/>
  <c r="BN1753" i="1" s="1"/>
  <c r="BN1772" i="1" a="1"/>
  <c r="BN1772" i="1" s="1"/>
  <c r="BN1785" i="1" a="1"/>
  <c r="BN1785" i="1" s="1"/>
  <c r="AT1797" i="1"/>
  <c r="BL1725" i="1" a="1"/>
  <c r="BL1725" i="1" s="1"/>
  <c r="BN1736" i="1" a="1"/>
  <c r="BN1736" i="1" s="1"/>
  <c r="BM1747" i="1" a="1"/>
  <c r="BM1747" i="1" s="1"/>
  <c r="BJ1747" i="1" s="1" a="1"/>
  <c r="BJ1747" i="1" s="1"/>
  <c r="BI1756" i="1" a="1"/>
  <c r="BI1756" i="1" s="1"/>
  <c r="AT1783" i="1"/>
  <c r="AT1798" i="1"/>
  <c r="AT1803" i="1"/>
  <c r="BK1727" i="1"/>
  <c r="BN1739" i="1" a="1"/>
  <c r="BN1739" i="1" s="1"/>
  <c r="BN1750" i="1" a="1"/>
  <c r="BN1750" i="1" s="1"/>
  <c r="BK1762" i="1"/>
  <c r="BN1778" i="1" a="1"/>
  <c r="BN1778" i="1" s="1"/>
  <c r="BN1781" i="1" a="1"/>
  <c r="BN1781" i="1" s="1"/>
  <c r="BK1784" i="1"/>
  <c r="BI1786" i="1" a="1"/>
  <c r="BI1786" i="1" s="1"/>
  <c r="BN1803" i="1" a="1"/>
  <c r="BN1803" i="1" s="1"/>
  <c r="BK1804" i="1"/>
  <c r="AT1804" i="1"/>
  <c r="BM1715" i="1" a="1"/>
  <c r="BM1715" i="1" s="1"/>
  <c r="BJ1715" i="1" s="1" a="1"/>
  <c r="BJ1715" i="1" s="1"/>
  <c r="BN1717" i="1" a="1"/>
  <c r="BN1717" i="1" s="1"/>
  <c r="BL1720" i="1" a="1"/>
  <c r="BL1720" i="1" s="1"/>
  <c r="BK1730" i="1"/>
  <c r="BK1737" i="1"/>
  <c r="BL1738" i="1" a="1"/>
  <c r="BL1738" i="1" s="1"/>
  <c r="AT1742" i="1"/>
  <c r="BK1750" i="1"/>
  <c r="BM1759" i="1" a="1"/>
  <c r="BM1759" i="1" s="1"/>
  <c r="BJ1759" i="1" s="1" a="1"/>
  <c r="BJ1759" i="1" s="1"/>
  <c r="BL1763" i="1" a="1"/>
  <c r="BL1763" i="1" s="1"/>
  <c r="BM1775" i="1" a="1"/>
  <c r="BM1775" i="1" s="1"/>
  <c r="BJ1775" i="1" s="1" a="1"/>
  <c r="BJ1775" i="1" s="1"/>
  <c r="BM1781" i="1" a="1"/>
  <c r="BM1781" i="1" s="1"/>
  <c r="BJ1781" i="1" s="1" a="1"/>
  <c r="BJ1781" i="1" s="1"/>
  <c r="BM1784" i="1" a="1"/>
  <c r="BM1784" i="1" s="1"/>
  <c r="BJ1784" i="1" s="1" a="1"/>
  <c r="BJ1784" i="1" s="1"/>
  <c r="BK1789" i="1"/>
  <c r="BM1795" i="1" a="1"/>
  <c r="BM1795" i="1" s="1"/>
  <c r="BJ1795" i="1" s="1" a="1"/>
  <c r="BJ1795" i="1" s="1"/>
  <c r="BN1711" i="1" a="1"/>
  <c r="BN1711" i="1" s="1"/>
  <c r="BM1714" i="1" a="1"/>
  <c r="BM1714" i="1" s="1"/>
  <c r="BJ1714" i="1" s="1" a="1"/>
  <c r="BJ1714" i="1" s="1"/>
  <c r="BK1718" i="1"/>
  <c r="BK1724" i="1"/>
  <c r="BL1726" i="1" a="1"/>
  <c r="BL1726" i="1" s="1"/>
  <c r="BN1729" i="1" a="1"/>
  <c r="BN1729" i="1" s="1"/>
  <c r="BN1743" i="1" a="1"/>
  <c r="BN1743" i="1" s="1"/>
  <c r="BI1747" i="1" a="1"/>
  <c r="BI1747" i="1" s="1"/>
  <c r="BI1753" i="1" a="1"/>
  <c r="BI1753" i="1" s="1"/>
  <c r="BK1756" i="1"/>
  <c r="BL1761" i="1" a="1"/>
  <c r="BL1761" i="1" s="1"/>
  <c r="AT1765" i="1"/>
  <c r="BI1768" i="1" a="1"/>
  <c r="BI1768" i="1" s="1"/>
  <c r="BK1773" i="1"/>
  <c r="BI1783" i="1" a="1"/>
  <c r="BI1783" i="1" s="1"/>
  <c r="BN1784" i="1" a="1"/>
  <c r="BN1784" i="1" s="1"/>
  <c r="BN1786" i="1" a="1"/>
  <c r="BN1786" i="1" s="1"/>
  <c r="BM1787" i="1" a="1"/>
  <c r="BM1787" i="1" s="1"/>
  <c r="BJ1787" i="1" s="1" a="1"/>
  <c r="BJ1787" i="1" s="1"/>
  <c r="BK1791" i="1"/>
  <c r="BM1793" i="1" a="1"/>
  <c r="BM1793" i="1" s="1"/>
  <c r="BJ1793" i="1" s="1" a="1"/>
  <c r="BJ1793" i="1" s="1"/>
  <c r="BN1796" i="1" a="1"/>
  <c r="BN1796" i="1" s="1"/>
  <c r="BK1797" i="1"/>
  <c r="BM1796" i="1" a="1"/>
  <c r="BM1796" i="1" s="1"/>
  <c r="BJ1796" i="1" s="1" a="1"/>
  <c r="BJ1796" i="1" s="1"/>
  <c r="BN1718" i="1" a="1"/>
  <c r="BN1718" i="1" s="1"/>
  <c r="BM1721" i="1" a="1"/>
  <c r="BM1721" i="1" s="1"/>
  <c r="BJ1721" i="1" s="1" a="1"/>
  <c r="BJ1721" i="1" s="1"/>
  <c r="BN1724" i="1" a="1"/>
  <c r="BN1724" i="1" s="1"/>
  <c r="BK1725" i="1"/>
  <c r="BI1726" i="1" a="1"/>
  <c r="BI1726" i="1" s="1"/>
  <c r="BM1727" i="1" a="1"/>
  <c r="BM1727" i="1" s="1"/>
  <c r="BJ1727" i="1" s="1" a="1"/>
  <c r="BJ1727" i="1" s="1"/>
  <c r="BK1732" i="1"/>
  <c r="BM1735" i="1" a="1"/>
  <c r="BM1735" i="1" s="1"/>
  <c r="BJ1735" i="1" s="1" a="1"/>
  <c r="BJ1735" i="1" s="1"/>
  <c r="BL1737" i="1" a="1"/>
  <c r="BL1737" i="1" s="1"/>
  <c r="BN1738" i="1" a="1"/>
  <c r="BN1738" i="1" s="1"/>
  <c r="BM1739" i="1" a="1"/>
  <c r="BM1739" i="1" s="1"/>
  <c r="BJ1739" i="1" s="1" a="1"/>
  <c r="BJ1739" i="1" s="1"/>
  <c r="BN1747" i="1" a="1"/>
  <c r="BN1747" i="1" s="1"/>
  <c r="BK1754" i="1"/>
  <c r="BI1765" i="1" a="1"/>
  <c r="BI1765" i="1" s="1"/>
  <c r="BK1766" i="1"/>
  <c r="BK1780" i="1"/>
  <c r="BI1781" i="1" a="1"/>
  <c r="BI1781" i="1" s="1"/>
  <c r="BM1785" i="1" a="1"/>
  <c r="BM1785" i="1" s="1"/>
  <c r="BJ1785" i="1" s="1" a="1"/>
  <c r="BJ1785" i="1" s="1"/>
  <c r="BN1791" i="1" a="1"/>
  <c r="BN1791" i="1" s="1"/>
  <c r="BK1792" i="1"/>
  <c r="BN1797" i="1" a="1"/>
  <c r="BN1797" i="1" s="1"/>
  <c r="BM1798" i="1" a="1"/>
  <c r="BM1798" i="1" s="1"/>
  <c r="BJ1798" i="1" s="1" a="1"/>
  <c r="BJ1798" i="1" s="1"/>
  <c r="BK1713" i="1"/>
  <c r="BK1719" i="1"/>
  <c r="BI1727" i="1" a="1"/>
  <c r="BI1727" i="1" s="1"/>
  <c r="BM1737" i="1" a="1"/>
  <c r="BM1737" i="1" s="1"/>
  <c r="BJ1737" i="1" s="1" a="1"/>
  <c r="BJ1737" i="1" s="1"/>
  <c r="BM1741" i="1" a="1"/>
  <c r="BM1741" i="1" s="1"/>
  <c r="BJ1741" i="1" s="1" a="1"/>
  <c r="BJ1741" i="1" s="1"/>
  <c r="BN1744" i="1" a="1"/>
  <c r="BN1744" i="1" s="1"/>
  <c r="BK1745" i="1"/>
  <c r="BN1748" i="1" a="1"/>
  <c r="BN1748" i="1" s="1"/>
  <c r="BK1749" i="1"/>
  <c r="BI1750" i="1" a="1"/>
  <c r="BI1750" i="1" s="1"/>
  <c r="BM1751" i="1" a="1"/>
  <c r="BM1751" i="1" s="1"/>
  <c r="BJ1751" i="1" s="1" a="1"/>
  <c r="BJ1751" i="1" s="1"/>
  <c r="BK1757" i="1"/>
  <c r="BN1759" i="1" a="1"/>
  <c r="BN1759" i="1" s="1"/>
  <c r="BK1760" i="1"/>
  <c r="BM1769" i="1" a="1"/>
  <c r="BM1769" i="1" s="1"/>
  <c r="BJ1769" i="1" s="1" a="1"/>
  <c r="BJ1769" i="1" s="1"/>
  <c r="BK1774" i="1"/>
  <c r="BI1777" i="1" a="1"/>
  <c r="BI1777" i="1" s="1"/>
  <c r="AT1789" i="1"/>
  <c r="AT1792" i="1"/>
  <c r="BK1795" i="1"/>
  <c r="BM1802" i="1" a="1"/>
  <c r="BM1802" i="1" s="1"/>
  <c r="BJ1802" i="1" s="1" a="1"/>
  <c r="BJ1802" i="1" s="1"/>
  <c r="BM1717" i="1" a="1"/>
  <c r="BM1717" i="1" s="1"/>
  <c r="BJ1717" i="1" s="1" a="1"/>
  <c r="BJ1717" i="1" s="1"/>
  <c r="BL1721" i="1" a="1"/>
  <c r="BL1721" i="1" s="1"/>
  <c r="BN1725" i="1" a="1"/>
  <c r="BN1725" i="1" s="1"/>
  <c r="AT1729" i="1"/>
  <c r="BL1739" i="1" a="1"/>
  <c r="BL1739" i="1" s="1"/>
  <c r="AT1741" i="1"/>
  <c r="BM1745" i="1" a="1"/>
  <c r="BM1745" i="1" s="1"/>
  <c r="BJ1745" i="1" s="1" a="1"/>
  <c r="BJ1745" i="1" s="1"/>
  <c r="BM1757" i="1" a="1"/>
  <c r="BM1757" i="1" s="1"/>
  <c r="BJ1757" i="1" s="1" a="1"/>
  <c r="BJ1757" i="1" s="1"/>
  <c r="BL1762" i="1" a="1"/>
  <c r="BL1762" i="1" s="1"/>
  <c r="BI1769" i="1" a="1"/>
  <c r="BI1769" i="1" s="1"/>
  <c r="AT1771" i="1"/>
  <c r="BK1783" i="1"/>
  <c r="BK1714" i="1"/>
  <c r="BL1719" i="1" a="1"/>
  <c r="BL1719" i="1" s="1"/>
  <c r="BK1720" i="1"/>
  <c r="BM1723" i="1" a="1"/>
  <c r="BM1723" i="1" s="1"/>
  <c r="BJ1723" i="1" s="1" a="1"/>
  <c r="BJ1723" i="1" s="1"/>
  <c r="BK1736" i="1"/>
  <c r="BK1738" i="1"/>
  <c r="BI1741" i="1" a="1"/>
  <c r="BI1741" i="1" s="1"/>
  <c r="BK1742" i="1"/>
  <c r="BI1744" i="1" a="1"/>
  <c r="BI1744" i="1" s="1"/>
  <c r="BN1749" i="1" a="1"/>
  <c r="BN1749" i="1" s="1"/>
  <c r="BN1760" i="1" a="1"/>
  <c r="BN1760" i="1" s="1"/>
  <c r="BM1762" i="1" a="1"/>
  <c r="BM1762" i="1" s="1"/>
  <c r="BJ1762" i="1" s="1" a="1"/>
  <c r="BJ1762" i="1" s="1"/>
  <c r="BK1763" i="1"/>
  <c r="BK1768" i="1"/>
  <c r="BK1775" i="1"/>
  <c r="BN1777" i="1" a="1"/>
  <c r="BN1777" i="1" s="1"/>
  <c r="BK1778" i="1"/>
  <c r="BI1780" i="1" a="1"/>
  <c r="BI1780" i="1" s="1"/>
  <c r="BK1803" i="1"/>
  <c r="BK1801" i="1"/>
  <c r="BK1802" i="1"/>
  <c r="AT1802" i="1"/>
  <c r="BI1801" i="1" a="1"/>
  <c r="BI1801" i="1" s="1"/>
  <c r="BN1805" i="1" a="1"/>
  <c r="BN1805" i="1" s="1"/>
  <c r="BM1800" i="1" a="1"/>
  <c r="BM1800" i="1" s="1"/>
  <c r="BJ1800" i="1" s="1" a="1"/>
  <c r="BJ1800" i="1" s="1"/>
  <c r="BK1800" i="1"/>
  <c r="BN1801" i="1" a="1"/>
  <c r="BN1801" i="1" s="1"/>
  <c r="BM1803" i="1" a="1"/>
  <c r="BM1803" i="1" s="1"/>
  <c r="BJ1803" i="1" s="1" a="1"/>
  <c r="BJ1803" i="1" s="1"/>
  <c r="AT1805" i="1"/>
  <c r="BK1805" i="1"/>
  <c r="BN1800" i="1" a="1"/>
  <c r="BN1800" i="1" s="1"/>
  <c r="BI1802" i="1" a="1"/>
  <c r="BI1802" i="1" s="1"/>
  <c r="BK1796" i="1"/>
  <c r="BN1795" i="1" a="1"/>
  <c r="BN1795" i="1" s="1"/>
  <c r="BM1797" i="1" a="1"/>
  <c r="BM1797" i="1" s="1"/>
  <c r="BJ1797" i="1" s="1" a="1"/>
  <c r="BJ1797" i="1" s="1"/>
  <c r="AT1795" i="1"/>
  <c r="BI1797" i="1" a="1"/>
  <c r="BI1797" i="1" s="1"/>
  <c r="BK1798" i="1"/>
  <c r="BI1796" i="1" a="1"/>
  <c r="BI1796" i="1" s="1"/>
  <c r="BK1790" i="1"/>
  <c r="BI1790" i="1" a="1"/>
  <c r="BI1790" i="1" s="1"/>
  <c r="BN1793" i="1" a="1"/>
  <c r="BN1793" i="1" s="1"/>
  <c r="BM1790" i="1" a="1"/>
  <c r="BM1790" i="1" s="1"/>
  <c r="BJ1790" i="1" s="1" a="1"/>
  <c r="BJ1790" i="1" s="1"/>
  <c r="BM1792" i="1" a="1"/>
  <c r="BM1792" i="1" s="1"/>
  <c r="BJ1792" i="1" s="1" a="1"/>
  <c r="BJ1792" i="1" s="1"/>
  <c r="AT1793" i="1"/>
  <c r="BM1789" i="1" a="1"/>
  <c r="BM1789" i="1" s="1"/>
  <c r="BJ1789" i="1" s="1" a="1"/>
  <c r="BJ1789" i="1" s="1"/>
  <c r="BI1789" i="1" a="1"/>
  <c r="BI1789" i="1" s="1"/>
  <c r="BK1793" i="1"/>
  <c r="BI1791" i="1" a="1"/>
  <c r="BI1791" i="1" s="1"/>
  <c r="BK1786" i="1"/>
  <c r="BI1784" i="1" a="1"/>
  <c r="BI1784" i="1" s="1"/>
  <c r="BN1787" i="1" a="1"/>
  <c r="BN1787" i="1" s="1"/>
  <c r="BI1787" i="1" a="1"/>
  <c r="BI1787" i="1" s="1"/>
  <c r="BK1785" i="1"/>
  <c r="BM1786" i="1" a="1"/>
  <c r="BM1786" i="1" s="1"/>
  <c r="BJ1786" i="1" s="1" a="1"/>
  <c r="BJ1786" i="1" s="1"/>
  <c r="AT1787" i="1"/>
  <c r="BM1783" i="1" a="1"/>
  <c r="BM1783" i="1" s="1"/>
  <c r="BJ1783" i="1" s="1" a="1"/>
  <c r="BJ1783" i="1" s="1"/>
  <c r="AT1784" i="1"/>
  <c r="BK1787" i="1"/>
  <c r="AT1786" i="1"/>
  <c r="BK1779" i="1"/>
  <c r="BK1781" i="1"/>
  <c r="E1779" i="1" a="1"/>
  <c r="E1779" i="1" s="1"/>
  <c r="E1781" i="1" a="1"/>
  <c r="E1781" i="1" s="1"/>
  <c r="BM1779" i="1" a="1"/>
  <c r="BM1779" i="1" s="1"/>
  <c r="BJ1779" i="1" s="1" a="1"/>
  <c r="BJ1779" i="1" s="1"/>
  <c r="BM1778" i="1" a="1"/>
  <c r="BM1778" i="1" s="1"/>
  <c r="BJ1778" i="1" s="1" a="1"/>
  <c r="BJ1778" i="1" s="1"/>
  <c r="BI1779" i="1" a="1"/>
  <c r="BI1779" i="1" s="1"/>
  <c r="E1780" i="1" a="1"/>
  <c r="E1780" i="1" s="1"/>
  <c r="BN1780" i="1" a="1"/>
  <c r="BN1780" i="1" s="1"/>
  <c r="BM1777" i="1" a="1"/>
  <c r="BM1777" i="1" s="1"/>
  <c r="BJ1777" i="1" s="1" a="1"/>
  <c r="BJ1777" i="1" s="1"/>
  <c r="BI1778" i="1" a="1"/>
  <c r="BI1778" i="1" s="1"/>
  <c r="BN1779" i="1" a="1"/>
  <c r="BN1779" i="1" s="1"/>
  <c r="E1778" i="1" a="1"/>
  <c r="E1778" i="1" s="1"/>
  <c r="E1777" i="1" a="1"/>
  <c r="E1777" i="1" s="1"/>
  <c r="BK1772" i="1"/>
  <c r="E1772" i="1" a="1"/>
  <c r="E1772" i="1" s="1"/>
  <c r="E1775" i="1" a="1"/>
  <c r="E1775" i="1" s="1"/>
  <c r="BK1771" i="1"/>
  <c r="BM1773" i="1" a="1"/>
  <c r="BM1773" i="1" s="1"/>
  <c r="BJ1773" i="1" s="1" a="1"/>
  <c r="BJ1773" i="1" s="1"/>
  <c r="BI1774" i="1" a="1"/>
  <c r="BI1774" i="1" s="1"/>
  <c r="BN1775" i="1" a="1"/>
  <c r="BN1775" i="1" s="1"/>
  <c r="BI1773" i="1" a="1"/>
  <c r="BI1773" i="1" s="1"/>
  <c r="BN1774" i="1" a="1"/>
  <c r="BN1774" i="1" s="1"/>
  <c r="AT1775" i="1"/>
  <c r="BM1771" i="1" a="1"/>
  <c r="BM1771" i="1" s="1"/>
  <c r="BJ1771" i="1" s="1" a="1"/>
  <c r="BJ1771" i="1" s="1"/>
  <c r="BI1772" i="1" a="1"/>
  <c r="BI1772" i="1" s="1"/>
  <c r="E1773" i="1" a="1"/>
  <c r="E1773" i="1" s="1"/>
  <c r="BN1773" i="1" a="1"/>
  <c r="BN1773" i="1" s="1"/>
  <c r="AT1774" i="1"/>
  <c r="BI1771" i="1" a="1"/>
  <c r="BI1771" i="1" s="1"/>
  <c r="AT1773" i="1"/>
  <c r="E1771" i="1" a="1"/>
  <c r="E1771" i="1" s="1"/>
  <c r="AT1772" i="1"/>
  <c r="BK1769" i="1"/>
  <c r="E1769" i="1" a="1"/>
  <c r="E1769" i="1" s="1"/>
  <c r="BK1767" i="1"/>
  <c r="E1767" i="1" a="1"/>
  <c r="E1767" i="1" s="1"/>
  <c r="BM1767" i="1" a="1"/>
  <c r="BM1767" i="1" s="1"/>
  <c r="BJ1767" i="1" s="1" a="1"/>
  <c r="BJ1767" i="1" s="1"/>
  <c r="BM1766" i="1" a="1"/>
  <c r="BM1766" i="1" s="1"/>
  <c r="BJ1766" i="1" s="1" a="1"/>
  <c r="BJ1766" i="1" s="1"/>
  <c r="BI1767" i="1" a="1"/>
  <c r="BI1767" i="1" s="1"/>
  <c r="E1768" i="1" a="1"/>
  <c r="E1768" i="1" s="1"/>
  <c r="BN1768" i="1" a="1"/>
  <c r="BN1768" i="1" s="1"/>
  <c r="AT1769" i="1"/>
  <c r="BM1765" i="1" a="1"/>
  <c r="BM1765" i="1" s="1"/>
  <c r="BJ1765" i="1" s="1" a="1"/>
  <c r="BJ1765" i="1" s="1"/>
  <c r="BI1766" i="1" a="1"/>
  <c r="BI1766" i="1" s="1"/>
  <c r="BN1767" i="1" a="1"/>
  <c r="BN1767" i="1" s="1"/>
  <c r="AT1768" i="1"/>
  <c r="E1766" i="1" a="1"/>
  <c r="E1766" i="1" s="1"/>
  <c r="AT1767" i="1"/>
  <c r="BK1765" i="1"/>
  <c r="E1765" i="1" a="1"/>
  <c r="E1765" i="1" s="1"/>
  <c r="AT1766" i="1"/>
  <c r="E1760" i="1" a="1"/>
  <c r="E1760" i="1" s="1"/>
  <c r="BL1760" i="1" a="1"/>
  <c r="BL1760" i="1" s="1"/>
  <c r="E1763" i="1" a="1"/>
  <c r="E1763" i="1" s="1"/>
  <c r="BL1759" i="1" a="1"/>
  <c r="BL1759" i="1" s="1"/>
  <c r="BM1761" i="1" a="1"/>
  <c r="BM1761" i="1" s="1"/>
  <c r="BJ1761" i="1" s="1" a="1"/>
  <c r="BJ1761" i="1" s="1"/>
  <c r="BI1762" i="1" a="1"/>
  <c r="BI1762" i="1" s="1"/>
  <c r="BN1763" i="1" a="1"/>
  <c r="BN1763" i="1" s="1"/>
  <c r="BM1760" i="1" a="1"/>
  <c r="BM1760" i="1" s="1"/>
  <c r="BJ1760" i="1" s="1" a="1"/>
  <c r="BJ1760" i="1" s="1"/>
  <c r="BI1761" i="1" a="1"/>
  <c r="BI1761" i="1" s="1"/>
  <c r="E1762" i="1" a="1"/>
  <c r="E1762" i="1" s="1"/>
  <c r="BK1759" i="1"/>
  <c r="BI1760" i="1" a="1"/>
  <c r="BI1760" i="1" s="1"/>
  <c r="E1761" i="1" a="1"/>
  <c r="E1761" i="1" s="1"/>
  <c r="BN1761" i="1" a="1"/>
  <c r="BN1761" i="1" s="1"/>
  <c r="E1759" i="1" a="1"/>
  <c r="E1759" i="1" s="1"/>
  <c r="BK1755" i="1"/>
  <c r="E1757" i="1" a="1"/>
  <c r="E1757" i="1" s="1"/>
  <c r="E1755" i="1" a="1"/>
  <c r="E1755" i="1" s="1"/>
  <c r="BK1753" i="1"/>
  <c r="BM1756" i="1" a="1"/>
  <c r="BM1756" i="1" s="1"/>
  <c r="BJ1756" i="1" s="1" a="1"/>
  <c r="BJ1756" i="1" s="1"/>
  <c r="BM1755" i="1" a="1"/>
  <c r="BM1755" i="1" s="1"/>
  <c r="BJ1755" i="1" s="1" a="1"/>
  <c r="BJ1755" i="1" s="1"/>
  <c r="BN1757" i="1" a="1"/>
  <c r="BN1757" i="1" s="1"/>
  <c r="BM1754" i="1" a="1"/>
  <c r="BM1754" i="1" s="1"/>
  <c r="BJ1754" i="1" s="1" a="1"/>
  <c r="BJ1754" i="1" s="1"/>
  <c r="BI1755" i="1" a="1"/>
  <c r="BI1755" i="1" s="1"/>
  <c r="E1756" i="1" a="1"/>
  <c r="E1756" i="1" s="1"/>
  <c r="BN1756" i="1" a="1"/>
  <c r="BN1756" i="1" s="1"/>
  <c r="BN1755" i="1" a="1"/>
  <c r="BN1755" i="1" s="1"/>
  <c r="E1754" i="1" a="1"/>
  <c r="E1754" i="1" s="1"/>
  <c r="E1753" i="1" a="1"/>
  <c r="E1753" i="1" s="1"/>
  <c r="E1747" i="1" a="1"/>
  <c r="E1747" i="1" s="1"/>
  <c r="E1748" i="1" a="1"/>
  <c r="E1748" i="1" s="1"/>
  <c r="BK1751" i="1"/>
  <c r="E1751" i="1" a="1"/>
  <c r="E1751" i="1" s="1"/>
  <c r="E1749" i="1" a="1"/>
  <c r="E1749" i="1" s="1"/>
  <c r="BK1747" i="1"/>
  <c r="BM1750" i="1" a="1"/>
  <c r="BM1750" i="1" s="1"/>
  <c r="BJ1750" i="1" s="1" a="1"/>
  <c r="BJ1750" i="1" s="1"/>
  <c r="BM1749" i="1" a="1"/>
  <c r="BM1749" i="1" s="1"/>
  <c r="BJ1749" i="1" s="1" a="1"/>
  <c r="BJ1749" i="1" s="1"/>
  <c r="BM1748" i="1" a="1"/>
  <c r="BM1748" i="1" s="1"/>
  <c r="BJ1748" i="1" s="1" a="1"/>
  <c r="BJ1748" i="1" s="1"/>
  <c r="BI1749" i="1" a="1"/>
  <c r="BI1749" i="1" s="1"/>
  <c r="E1750" i="1" a="1"/>
  <c r="E1750" i="1" s="1"/>
  <c r="BI1748" i="1" a="1"/>
  <c r="BI1748" i="1" s="1"/>
  <c r="E1741" i="1" a="1"/>
  <c r="E1741" i="1" s="1"/>
  <c r="E1743" i="1" a="1"/>
  <c r="E1743" i="1" s="1"/>
  <c r="BK1743" i="1"/>
  <c r="E1745" i="1" a="1"/>
  <c r="E1745" i="1" s="1"/>
  <c r="E1742" i="1" a="1"/>
  <c r="E1742" i="1" s="1"/>
  <c r="BK1741" i="1"/>
  <c r="BM1744" i="1" a="1"/>
  <c r="BM1744" i="1" s="1"/>
  <c r="BJ1744" i="1" s="1" a="1"/>
  <c r="BJ1744" i="1" s="1"/>
  <c r="BI1745" i="1" a="1"/>
  <c r="BI1745" i="1" s="1"/>
  <c r="BM1742" i="1" a="1"/>
  <c r="BM1742" i="1" s="1"/>
  <c r="BJ1742" i="1" s="1" a="1"/>
  <c r="BJ1742" i="1" s="1"/>
  <c r="BI1743" i="1" a="1"/>
  <c r="BI1743" i="1" s="1"/>
  <c r="E1744" i="1" a="1"/>
  <c r="E1744" i="1" s="1"/>
  <c r="AT1745" i="1"/>
  <c r="BM1743" i="1" a="1"/>
  <c r="BM1743" i="1" s="1"/>
  <c r="BJ1743" i="1" s="1" a="1"/>
  <c r="BJ1743" i="1" s="1"/>
  <c r="BI1742" i="1" a="1"/>
  <c r="BI1742" i="1" s="1"/>
  <c r="AT1744" i="1"/>
  <c r="BN1742" i="1" a="1"/>
  <c r="BN1742" i="1" s="1"/>
  <c r="AT1743" i="1"/>
  <c r="E1737" i="1" a="1"/>
  <c r="E1737" i="1" s="1"/>
  <c r="E1735" i="1" a="1"/>
  <c r="E1735" i="1" s="1"/>
  <c r="BL1735" i="1" a="1"/>
  <c r="BL1735" i="1" s="1"/>
  <c r="E1739" i="1" a="1"/>
  <c r="E1739" i="1" s="1"/>
  <c r="BK1735" i="1"/>
  <c r="BL1736" i="1" a="1"/>
  <c r="BL1736" i="1" s="1"/>
  <c r="BM1738" i="1" a="1"/>
  <c r="BM1738" i="1" s="1"/>
  <c r="BJ1738" i="1" s="1" a="1"/>
  <c r="BJ1738" i="1" s="1"/>
  <c r="BI1739" i="1" a="1"/>
  <c r="BI1739" i="1" s="1"/>
  <c r="BM1736" i="1" a="1"/>
  <c r="BM1736" i="1" s="1"/>
  <c r="BJ1736" i="1" s="1" a="1"/>
  <c r="BJ1736" i="1" s="1"/>
  <c r="BI1737" i="1" a="1"/>
  <c r="BI1737" i="1" s="1"/>
  <c r="BI1736" i="1" a="1"/>
  <c r="BI1736" i="1" s="1"/>
  <c r="BI1735" i="1" a="1"/>
  <c r="BI1735" i="1" s="1"/>
  <c r="E1736" i="1" a="1"/>
  <c r="E1736" i="1" s="1"/>
  <c r="BK1733" i="1"/>
  <c r="E1733" i="1" a="1"/>
  <c r="E1733" i="1" s="1"/>
  <c r="BK1731" i="1"/>
  <c r="E1731" i="1" a="1"/>
  <c r="E1731" i="1" s="1"/>
  <c r="BK1729" i="1"/>
  <c r="BM1731" i="1" a="1"/>
  <c r="BM1731" i="1" s="1"/>
  <c r="BJ1731" i="1" s="1" a="1"/>
  <c r="BJ1731" i="1" s="1"/>
  <c r="BM1730" i="1" a="1"/>
  <c r="BM1730" i="1" s="1"/>
  <c r="BJ1730" i="1" s="1" a="1"/>
  <c r="BJ1730" i="1" s="1"/>
  <c r="BI1731" i="1" a="1"/>
  <c r="BI1731" i="1" s="1"/>
  <c r="E1732" i="1" a="1"/>
  <c r="E1732" i="1" s="1"/>
  <c r="BN1732" i="1" a="1"/>
  <c r="BN1732" i="1" s="1"/>
  <c r="AT1733" i="1"/>
  <c r="BM1729" i="1" a="1"/>
  <c r="BM1729" i="1" s="1"/>
  <c r="BJ1729" i="1" s="1" a="1"/>
  <c r="BJ1729" i="1" s="1"/>
  <c r="BI1730" i="1" a="1"/>
  <c r="BI1730" i="1" s="1"/>
  <c r="BN1731" i="1" a="1"/>
  <c r="BN1731" i="1" s="1"/>
  <c r="AT1732" i="1"/>
  <c r="E1730" i="1" a="1"/>
  <c r="E1730" i="1" s="1"/>
  <c r="AT1731" i="1"/>
  <c r="E1729" i="1" a="1"/>
  <c r="E1729" i="1" s="1"/>
  <c r="AT1730" i="1"/>
  <c r="E1724" i="1" a="1"/>
  <c r="E1724" i="1" s="1"/>
  <c r="E1727" i="1" a="1"/>
  <c r="E1727" i="1" s="1"/>
  <c r="E1725" i="1" a="1"/>
  <c r="E1725" i="1" s="1"/>
  <c r="E1723" i="1" a="1"/>
  <c r="E1723" i="1" s="1"/>
  <c r="BL1723" i="1" a="1"/>
  <c r="BL1723" i="1" s="1"/>
  <c r="BK1723" i="1"/>
  <c r="BL1724" i="1" a="1"/>
  <c r="BL1724" i="1" s="1"/>
  <c r="BM1726" i="1" a="1"/>
  <c r="BM1726" i="1" s="1"/>
  <c r="BJ1726" i="1" s="1" a="1"/>
  <c r="BJ1726" i="1" s="1"/>
  <c r="BM1724" i="1" a="1"/>
  <c r="BM1724" i="1" s="1"/>
  <c r="BJ1724" i="1" s="1" a="1"/>
  <c r="BJ1724" i="1" s="1"/>
  <c r="BI1725" i="1" a="1"/>
  <c r="BI1725" i="1" s="1"/>
  <c r="E1726" i="1" a="1"/>
  <c r="E1726" i="1" s="1"/>
  <c r="BN1726" i="1" a="1"/>
  <c r="BN1726" i="1" s="1"/>
  <c r="BM1725" i="1" a="1"/>
  <c r="BM1725" i="1" s="1"/>
  <c r="BJ1725" i="1" s="1" a="1"/>
  <c r="BJ1725" i="1" s="1"/>
  <c r="BI1724" i="1" a="1"/>
  <c r="BI1724" i="1" s="1"/>
  <c r="BL1727" i="1" a="1"/>
  <c r="BL1727" i="1" s="1"/>
  <c r="E1718" i="1" a="1"/>
  <c r="E1718" i="1" s="1"/>
  <c r="BL1718" i="1" a="1"/>
  <c r="BL1718" i="1" s="1"/>
  <c r="E1720" i="1" a="1"/>
  <c r="E1720" i="1" s="1"/>
  <c r="BL1717" i="1" a="1"/>
  <c r="BL1717" i="1" s="1"/>
  <c r="BM1719" i="1" a="1"/>
  <c r="BM1719" i="1" s="1"/>
  <c r="BJ1719" i="1" s="1" a="1"/>
  <c r="BJ1719" i="1" s="1"/>
  <c r="BI1720" i="1" a="1"/>
  <c r="BI1720" i="1" s="1"/>
  <c r="E1721" i="1" a="1"/>
  <c r="E1721" i="1" s="1"/>
  <c r="BN1721" i="1" a="1"/>
  <c r="BN1721" i="1" s="1"/>
  <c r="BM1718" i="1" a="1"/>
  <c r="BM1718" i="1" s="1"/>
  <c r="BJ1718" i="1" s="1" a="1"/>
  <c r="BJ1718" i="1" s="1"/>
  <c r="BI1719" i="1" a="1"/>
  <c r="BI1719" i="1" s="1"/>
  <c r="BN1720" i="1" a="1"/>
  <c r="BN1720" i="1" s="1"/>
  <c r="BK1717" i="1"/>
  <c r="BI1718" i="1" a="1"/>
  <c r="BI1718" i="1" s="1"/>
  <c r="E1719" i="1" a="1"/>
  <c r="E1719" i="1" s="1"/>
  <c r="BN1719" i="1" a="1"/>
  <c r="BN1719" i="1" s="1"/>
  <c r="BK1721" i="1"/>
  <c r="E1717" i="1" a="1"/>
  <c r="E1717" i="1" s="1"/>
  <c r="BK1712" i="1"/>
  <c r="E1712" i="1" a="1"/>
  <c r="E1712" i="1" s="1"/>
  <c r="E1715" i="1" a="1"/>
  <c r="E1715" i="1" s="1"/>
  <c r="BM1713" i="1" a="1"/>
  <c r="BM1713" i="1" s="1"/>
  <c r="BJ1713" i="1" s="1" a="1"/>
  <c r="BJ1713" i="1" s="1"/>
  <c r="BI1714" i="1" a="1"/>
  <c r="BI1714" i="1" s="1"/>
  <c r="BN1715" i="1" a="1"/>
  <c r="BN1715" i="1" s="1"/>
  <c r="BM1712" i="1" a="1"/>
  <c r="BM1712" i="1" s="1"/>
  <c r="BJ1712" i="1" s="1" a="1"/>
  <c r="BJ1712" i="1" s="1"/>
  <c r="BI1713" i="1" a="1"/>
  <c r="BI1713" i="1" s="1"/>
  <c r="E1714" i="1" a="1"/>
  <c r="E1714" i="1" s="1"/>
  <c r="BN1714" i="1" a="1"/>
  <c r="BN1714" i="1" s="1"/>
  <c r="AT1715" i="1"/>
  <c r="BK1711" i="1"/>
  <c r="BM1711" i="1" a="1"/>
  <c r="BM1711" i="1" s="1"/>
  <c r="BJ1711" i="1" s="1" a="1"/>
  <c r="BJ1711" i="1" s="1"/>
  <c r="E1713" i="1" a="1"/>
  <c r="E1713" i="1" s="1"/>
  <c r="BN1713" i="1" a="1"/>
  <c r="BN1713" i="1" s="1"/>
  <c r="AT1714" i="1"/>
  <c r="BI1711" i="1" a="1"/>
  <c r="BI1711" i="1" s="1"/>
  <c r="AT1713" i="1"/>
  <c r="BK1715" i="1"/>
  <c r="E1711" i="1" a="1"/>
  <c r="E1711" i="1" s="1"/>
  <c r="AT1712" i="1"/>
  <c r="BK1799" i="1"/>
  <c r="BM1799" i="1" a="1"/>
  <c r="BM1799" i="1" s="1"/>
  <c r="BJ1799" i="1" s="1" a="1"/>
  <c r="BJ1799" i="1" s="1"/>
  <c r="BN1807" i="1" a="1"/>
  <c r="BN1807" i="1" s="1"/>
  <c r="BI1799" i="1" a="1"/>
  <c r="BI1799" i="1" s="1"/>
  <c r="BN1799" i="1" a="1"/>
  <c r="BN1799" i="1" s="1"/>
  <c r="AT1799" i="1"/>
  <c r="BK1870" i="1"/>
  <c r="BM1828" i="1" a="1"/>
  <c r="BM1828" i="1" s="1"/>
  <c r="BJ1828" i="1" s="1" a="1"/>
  <c r="BJ1828" i="1" s="1"/>
  <c r="BI1810" i="1" a="1"/>
  <c r="BI1810" i="1" s="1"/>
  <c r="BI1808" i="1" a="1"/>
  <c r="BI1808" i="1" s="1"/>
  <c r="BI1889" i="1" a="1"/>
  <c r="BI1889" i="1" s="1"/>
  <c r="BN1867" i="1" a="1"/>
  <c r="BN1867" i="1" s="1"/>
  <c r="BN1817" i="1" a="1"/>
  <c r="BN1817" i="1" s="1"/>
  <c r="BK1833" i="1"/>
  <c r="BN1832" i="1" a="1"/>
  <c r="BN1832" i="1" s="1"/>
  <c r="BN1841" i="1" a="1"/>
  <c r="BN1841" i="1" s="1"/>
  <c r="BM1810" i="1" a="1"/>
  <c r="BM1810" i="1" s="1"/>
  <c r="BJ1810" i="1" s="1" a="1"/>
  <c r="BJ1810" i="1" s="1"/>
  <c r="BM1895" i="1" a="1"/>
  <c r="BM1895" i="1" s="1"/>
  <c r="BJ1895" i="1" s="1" a="1"/>
  <c r="BJ1895" i="1" s="1"/>
  <c r="BK1825" i="1" a="1"/>
  <c r="BK1825" i="1" s="1"/>
  <c r="BQ1825" i="1" s="1"/>
  <c r="BR1825" i="1" s="1"/>
  <c r="BN1819" i="1" a="1"/>
  <c r="BN1819" i="1" s="1"/>
  <c r="BM1821" i="1" a="1"/>
  <c r="BM1821" i="1" s="1"/>
  <c r="BJ1821" i="1" s="1" a="1"/>
  <c r="BJ1821" i="1" s="1"/>
  <c r="BM1875" i="1" a="1"/>
  <c r="BM1875" i="1" s="1"/>
  <c r="BJ1875" i="1" s="1" a="1"/>
  <c r="BJ1875" i="1" s="1"/>
  <c r="BN1889" i="1" a="1"/>
  <c r="BN1889" i="1" s="1"/>
  <c r="BI1890" i="1" a="1"/>
  <c r="BI1890" i="1" s="1"/>
  <c r="BI1873" i="1" a="1"/>
  <c r="BI1873" i="1" s="1"/>
  <c r="BN1890" i="1" a="1"/>
  <c r="BN1890" i="1" s="1"/>
  <c r="BK1890" i="1" a="1"/>
  <c r="BK1890" i="1" s="1"/>
  <c r="BL1890" i="1" a="1"/>
  <c r="BL1890" i="1" s="1"/>
  <c r="BK1889" i="1"/>
  <c r="BL1889" i="1" a="1"/>
  <c r="BL1889" i="1" s="1"/>
  <c r="BN1823" i="1" a="1"/>
  <c r="BN1823" i="1" s="1"/>
  <c r="BI1837" i="1" a="1"/>
  <c r="BI1837" i="1" s="1"/>
  <c r="BK1873" i="1" a="1"/>
  <c r="BK1873" i="1" s="1"/>
  <c r="BL1893" i="1" a="1"/>
  <c r="BL1893" i="1" s="1"/>
  <c r="BI1868" i="1" a="1"/>
  <c r="BI1868" i="1" s="1"/>
  <c r="BI1870" i="1" a="1"/>
  <c r="BI1870" i="1" s="1"/>
  <c r="BL1873" i="1" a="1"/>
  <c r="BL1873" i="1" s="1"/>
  <c r="BM1892" i="1" a="1"/>
  <c r="BM1892" i="1" s="1"/>
  <c r="BJ1892" i="1" s="1" a="1"/>
  <c r="BJ1892" i="1" s="1"/>
  <c r="BI1819" i="1" a="1"/>
  <c r="BI1819" i="1" s="1"/>
  <c r="BL1868" i="1" a="1"/>
  <c r="BL1868" i="1" s="1"/>
  <c r="BN1814" i="1" a="1"/>
  <c r="BN1814" i="1" s="1"/>
  <c r="BL1850" i="1"/>
  <c r="BN1868" i="1" a="1"/>
  <c r="BN1868" i="1" s="1"/>
  <c r="BI1887" i="1" a="1"/>
  <c r="BI1887" i="1" s="1"/>
  <c r="BI1888" i="1" a="1"/>
  <c r="BI1888" i="1" s="1"/>
  <c r="BK1887" i="1"/>
  <c r="BN1888" i="1" a="1"/>
  <c r="BN1888" i="1" s="1"/>
  <c r="BN1815" i="1" a="1"/>
  <c r="BN1815" i="1" s="1"/>
  <c r="BK1822" i="1" a="1"/>
  <c r="BK1822" i="1" s="1"/>
  <c r="BN1833" i="1" a="1"/>
  <c r="BN1833" i="1" s="1"/>
  <c r="BN1895" i="1" a="1"/>
  <c r="BN1895" i="1" s="1"/>
  <c r="BN1816" i="1" a="1"/>
  <c r="BN1816" i="1" s="1"/>
  <c r="BM1826" i="1" a="1"/>
  <c r="BM1826" i="1" s="1"/>
  <c r="BJ1826" i="1" s="1" a="1"/>
  <c r="BJ1826" i="1" s="1"/>
  <c r="BN1837" i="1" a="1"/>
  <c r="BN1837" i="1" s="1"/>
  <c r="BM1838" i="1" a="1"/>
  <c r="BM1838" i="1" s="1"/>
  <c r="BJ1838" i="1" s="1" a="1"/>
  <c r="BJ1838" i="1" s="1"/>
  <c r="BK1868" i="1"/>
  <c r="BM1819" i="1" a="1"/>
  <c r="BM1819" i="1" s="1"/>
  <c r="BJ1819" i="1" s="1" a="1"/>
  <c r="BJ1819" i="1" s="1"/>
  <c r="BI1858" i="1" a="1"/>
  <c r="BI1858" i="1" s="1"/>
  <c r="BN1822" i="1" a="1"/>
  <c r="BN1822" i="1" s="1"/>
  <c r="BI1832" i="1" a="1"/>
  <c r="BI1832" i="1" s="1"/>
  <c r="BN1838" i="1" a="1"/>
  <c r="BN1838" i="1" s="1"/>
  <c r="BK1839" i="1" a="1"/>
  <c r="BK1839" i="1" s="1"/>
  <c r="BI1853" i="1" a="1"/>
  <c r="BI1853" i="1" s="1"/>
  <c r="BM1856" i="1" a="1"/>
  <c r="BM1856" i="1" s="1"/>
  <c r="BJ1856" i="1" s="1" a="1"/>
  <c r="BJ1856" i="1" s="1"/>
  <c r="BK1857" i="1"/>
  <c r="BN1869" i="1" a="1"/>
  <c r="BN1869" i="1" s="1"/>
  <c r="BK1809" i="1" a="1"/>
  <c r="BK1809" i="1" s="1"/>
  <c r="BQ1809" i="1" s="1"/>
  <c r="BR1809" i="1" s="1"/>
  <c r="BI1811" i="1" a="1"/>
  <c r="BI1811" i="1" s="1"/>
  <c r="BK1840" i="1" a="1"/>
  <c r="BK1840" i="1" s="1"/>
  <c r="BL1853" i="1"/>
  <c r="BL1858" i="1"/>
  <c r="BI1834" i="1" a="1"/>
  <c r="BI1834" i="1" s="1"/>
  <c r="BK1835" i="1"/>
  <c r="BM1853" i="1" a="1"/>
  <c r="BM1853" i="1" s="1"/>
  <c r="BJ1853" i="1" s="1" a="1"/>
  <c r="BJ1853" i="1" s="1"/>
  <c r="BN1858" i="1" a="1"/>
  <c r="BN1858" i="1" s="1"/>
  <c r="BK1875" i="1" a="1"/>
  <c r="BK1875" i="1" s="1"/>
  <c r="BK1893" i="1" a="1"/>
  <c r="BK1893" i="1" s="1"/>
  <c r="BM1808" i="1" a="1"/>
  <c r="BM1808" i="1" s="1"/>
  <c r="BJ1808" i="1" s="1" a="1"/>
  <c r="BJ1808" i="1" s="1"/>
  <c r="BN1827" i="1" a="1"/>
  <c r="BN1827" i="1" s="1"/>
  <c r="BK1810" i="1" a="1"/>
  <c r="BK1810" i="1" s="1"/>
  <c r="BQ1810" i="1" s="1"/>
  <c r="BR1810" i="1" s="1"/>
  <c r="BN1813" i="1" a="1"/>
  <c r="BN1813" i="1" s="1"/>
  <c r="BN1835" i="1" a="1"/>
  <c r="BN1835" i="1" s="1"/>
  <c r="BK1886" i="1"/>
  <c r="BL1808" i="1" a="1"/>
  <c r="BL1808" i="1" s="1"/>
  <c r="BM1811" i="1" a="1"/>
  <c r="BM1811" i="1" s="1"/>
  <c r="BJ1811" i="1" s="1" a="1"/>
  <c r="BJ1811" i="1" s="1"/>
  <c r="BM1814" i="1" a="1"/>
  <c r="BM1814" i="1" s="1"/>
  <c r="BJ1814" i="1" s="1" a="1"/>
  <c r="BJ1814" i="1" s="1"/>
  <c r="BM1816" i="1" a="1"/>
  <c r="BM1816" i="1" s="1"/>
  <c r="BJ1816" i="1" s="1" a="1"/>
  <c r="BJ1816" i="1" s="1"/>
  <c r="BM1817" i="1" a="1"/>
  <c r="BM1817" i="1" s="1"/>
  <c r="BJ1817" i="1" s="1" a="1"/>
  <c r="BJ1817" i="1" s="1"/>
  <c r="BL1820" i="1" a="1"/>
  <c r="BL1820" i="1" s="1"/>
  <c r="BM1823" i="1" a="1"/>
  <c r="BM1823" i="1" s="1"/>
  <c r="BJ1823" i="1" s="1" a="1"/>
  <c r="BJ1823" i="1" s="1"/>
  <c r="BN1831" i="1" a="1"/>
  <c r="BN1831" i="1" s="1"/>
  <c r="BM1833" i="1" a="1"/>
  <c r="BM1833" i="1" s="1"/>
  <c r="BJ1833" i="1" s="1" a="1"/>
  <c r="BJ1833" i="1" s="1"/>
  <c r="BN1834" i="1" a="1"/>
  <c r="BN1834" i="1" s="1"/>
  <c r="BM1835" i="1" a="1"/>
  <c r="BM1835" i="1" s="1"/>
  <c r="BJ1835" i="1" s="1" a="1"/>
  <c r="BJ1835" i="1" s="1"/>
  <c r="BI1849" i="1" a="1"/>
  <c r="BI1849" i="1" s="1"/>
  <c r="BM1850" i="1" a="1"/>
  <c r="BM1850" i="1" s="1"/>
  <c r="BJ1850" i="1" s="1" a="1"/>
  <c r="BJ1850" i="1" s="1"/>
  <c r="BI1851" i="1" a="1"/>
  <c r="BI1851" i="1" s="1"/>
  <c r="BK1853" i="1"/>
  <c r="BL1875" i="1" a="1"/>
  <c r="BL1875" i="1" s="1"/>
  <c r="BN1877" i="1" a="1"/>
  <c r="BN1877" i="1" s="1"/>
  <c r="BL1891" i="1" a="1"/>
  <c r="BL1891" i="1" s="1"/>
  <c r="BI1817" i="1" a="1"/>
  <c r="BI1817" i="1" s="1"/>
  <c r="BM1820" i="1" a="1"/>
  <c r="BM1820" i="1" s="1"/>
  <c r="BJ1820" i="1" s="1" a="1"/>
  <c r="BJ1820" i="1" s="1"/>
  <c r="BK1821" i="1" a="1"/>
  <c r="BK1821" i="1" s="1"/>
  <c r="BL1823" i="1" a="1"/>
  <c r="BL1823" i="1" s="1"/>
  <c r="BI1826" i="1" a="1"/>
  <c r="BI1826" i="1" s="1"/>
  <c r="BK1828" i="1" a="1"/>
  <c r="BK1828" i="1" s="1"/>
  <c r="BQ1828" i="1" s="1"/>
  <c r="BR1828" i="1" s="1"/>
  <c r="BI1833" i="1" a="1"/>
  <c r="BI1833" i="1" s="1"/>
  <c r="BL1838" i="1" a="1"/>
  <c r="BL1838" i="1" s="1"/>
  <c r="BM1841" i="1" a="1"/>
  <c r="BM1841" i="1" s="1"/>
  <c r="BJ1841" i="1" s="1" a="1"/>
  <c r="BJ1841" i="1" s="1"/>
  <c r="BK1849" i="1"/>
  <c r="BK1851" i="1"/>
  <c r="BM1891" i="1" a="1"/>
  <c r="BM1891" i="1" s="1"/>
  <c r="BJ1891" i="1" s="1" a="1"/>
  <c r="BJ1891" i="1" s="1"/>
  <c r="BL1894" i="1" a="1"/>
  <c r="BL1894" i="1" s="1"/>
  <c r="BI1895" i="1" a="1"/>
  <c r="BI1895" i="1" s="1"/>
  <c r="BM1813" i="1" a="1"/>
  <c r="BM1813" i="1" s="1"/>
  <c r="BJ1813" i="1" s="1" a="1"/>
  <c r="BJ1813" i="1" s="1"/>
  <c r="BM1829" i="1" a="1"/>
  <c r="BM1829" i="1" s="1"/>
  <c r="BJ1829" i="1" s="1" a="1"/>
  <c r="BJ1829" i="1" s="1"/>
  <c r="BM1834" i="1" a="1"/>
  <c r="BM1834" i="1" s="1"/>
  <c r="BJ1834" i="1" s="1" a="1"/>
  <c r="BJ1834" i="1" s="1"/>
  <c r="BL1835" i="1" a="1"/>
  <c r="BL1835" i="1" s="1"/>
  <c r="BL1849" i="1"/>
  <c r="BL1851" i="1"/>
  <c r="BL1870" i="1" a="1"/>
  <c r="BL1870" i="1" s="1"/>
  <c r="BM1873" i="1" a="1"/>
  <c r="BM1873" i="1" s="1"/>
  <c r="BJ1873" i="1" s="1" a="1"/>
  <c r="BJ1873" i="1" s="1"/>
  <c r="BN1875" i="1" a="1"/>
  <c r="BN1875" i="1" s="1"/>
  <c r="BI1885" i="1" a="1"/>
  <c r="BI1885" i="1" s="1"/>
  <c r="BI1886" i="1" a="1"/>
  <c r="BI1886" i="1" s="1"/>
  <c r="BN1891" i="1" a="1"/>
  <c r="BN1891" i="1" s="1"/>
  <c r="BI1892" i="1" a="1"/>
  <c r="BI1892" i="1" s="1"/>
  <c r="BK2583" i="1" a="1"/>
  <c r="BK2583" i="1" s="1"/>
  <c r="BM1807" i="1" a="1"/>
  <c r="BM1807" i="1" s="1"/>
  <c r="BJ1807" i="1" s="1" a="1"/>
  <c r="BJ1807" i="1" s="1"/>
  <c r="BK1808" i="1" a="1"/>
  <c r="BK1808" i="1" s="1"/>
  <c r="BQ1808" i="1" s="1"/>
  <c r="BR1808" i="1" s="1"/>
  <c r="BN1810" i="1" a="1"/>
  <c r="BN1810" i="1" s="1"/>
  <c r="BM1815" i="1" a="1"/>
  <c r="BM1815" i="1" s="1"/>
  <c r="BJ1815" i="1" s="1" a="1"/>
  <c r="BJ1815" i="1" s="1"/>
  <c r="BL1819" i="1" a="1"/>
  <c r="BL1819" i="1" s="1"/>
  <c r="BI1823" i="1" a="1"/>
  <c r="BI1823" i="1" s="1"/>
  <c r="BK1826" i="1" a="1"/>
  <c r="BK1826" i="1" s="1"/>
  <c r="BQ1826" i="1" s="1"/>
  <c r="BR1826" i="1" s="1"/>
  <c r="BM1832" i="1" a="1"/>
  <c r="BM1832" i="1" s="1"/>
  <c r="BJ1832" i="1" s="1" a="1"/>
  <c r="BJ1832" i="1" s="1"/>
  <c r="BI1835" i="1" a="1"/>
  <c r="BI1835" i="1" s="1"/>
  <c r="BI1838" i="1" a="1"/>
  <c r="BI1838" i="1" s="1"/>
  <c r="BM1839" i="1" a="1"/>
  <c r="BM1839" i="1" s="1"/>
  <c r="BJ1839" i="1" s="1" a="1"/>
  <c r="BJ1839" i="1" s="1"/>
  <c r="BI1841" i="1" a="1"/>
  <c r="BI1841" i="1" s="1"/>
  <c r="BM1849" i="1" a="1"/>
  <c r="BM1849" i="1" s="1"/>
  <c r="BJ1849" i="1" s="1" a="1"/>
  <c r="BJ1849" i="1" s="1"/>
  <c r="BN1851" i="1" a="1"/>
  <c r="BN1851" i="1" s="1"/>
  <c r="BK1856" i="1"/>
  <c r="BK1867" i="1"/>
  <c r="BN1870" i="1" a="1"/>
  <c r="BN1870" i="1" s="1"/>
  <c r="BK1885" i="1"/>
  <c r="BK1895" i="1" a="1"/>
  <c r="BK1895" i="1" s="1"/>
  <c r="BL1815" i="1" a="1"/>
  <c r="BL1815" i="1" s="1"/>
  <c r="BI1816" i="1" a="1"/>
  <c r="BI1816" i="1" s="1"/>
  <c r="BM1822" i="1" a="1"/>
  <c r="BM1822" i="1" s="1"/>
  <c r="BJ1822" i="1" s="1" a="1"/>
  <c r="BJ1822" i="1" s="1"/>
  <c r="BN1826" i="1" a="1"/>
  <c r="BN1826" i="1" s="1"/>
  <c r="BM1827" i="1" a="1"/>
  <c r="BM1827" i="1" s="1"/>
  <c r="BJ1827" i="1" s="1" a="1"/>
  <c r="BJ1827" i="1" s="1"/>
  <c r="BI1829" i="1" a="1"/>
  <c r="BI1829" i="1" s="1"/>
  <c r="BM1837" i="1" a="1"/>
  <c r="BM1837" i="1" s="1"/>
  <c r="BJ1837" i="1" s="1" a="1"/>
  <c r="BJ1837" i="1" s="1"/>
  <c r="BM1840" i="1" a="1"/>
  <c r="BM1840" i="1" s="1"/>
  <c r="BJ1840" i="1" s="1" a="1"/>
  <c r="BJ1840" i="1" s="1"/>
  <c r="BL1856" i="1"/>
  <c r="BN1886" i="1" a="1"/>
  <c r="BN1886" i="1" s="1"/>
  <c r="BM1809" i="1" a="1"/>
  <c r="BM1809" i="1" s="1"/>
  <c r="BJ1809" i="1" s="1" a="1"/>
  <c r="BJ1809" i="1" s="1"/>
  <c r="BK1817" i="1"/>
  <c r="BL1831" i="1" a="1"/>
  <c r="BL1831" i="1" s="1"/>
  <c r="BN1871" i="1" a="1"/>
  <c r="BN1871" i="1" s="1"/>
  <c r="BI1874" i="1" a="1"/>
  <c r="BI1874" i="1" s="1"/>
  <c r="BI1891" i="1" a="1"/>
  <c r="BI1891" i="1" s="1"/>
  <c r="BN1893" i="1" a="1"/>
  <c r="BN1893" i="1" s="1"/>
  <c r="BI1815" i="1" a="1"/>
  <c r="BI1815" i="1" s="1"/>
  <c r="BL1822" i="1" a="1"/>
  <c r="BL1822" i="1" s="1"/>
  <c r="BL1825" i="1" a="1"/>
  <c r="BL1825" i="1" s="1"/>
  <c r="BL1827" i="1" a="1"/>
  <c r="BL1827" i="1" s="1"/>
  <c r="BK1829" i="1" a="1"/>
  <c r="BK1829" i="1" s="1"/>
  <c r="BQ1829" i="1" s="1"/>
  <c r="BR1829" i="1" s="1"/>
  <c r="BL1837" i="1" a="1"/>
  <c r="BL1837" i="1" s="1"/>
  <c r="BN1840" i="1" a="1"/>
  <c r="BN1840" i="1" s="1"/>
  <c r="BK1850" i="1"/>
  <c r="BI1852" i="1" a="1"/>
  <c r="BI1852" i="1" s="1"/>
  <c r="BM1874" i="1" a="1"/>
  <c r="BM1874" i="1" s="1"/>
  <c r="BJ1874" i="1" s="1" a="1"/>
  <c r="BJ1874" i="1" s="1"/>
  <c r="BL1876" i="1" a="1"/>
  <c r="BL1876" i="1" s="1"/>
  <c r="BI1877" i="1" a="1"/>
  <c r="BI1877" i="1" s="1"/>
  <c r="BN1892" i="1" a="1"/>
  <c r="BN1892" i="1" s="1"/>
  <c r="BI1894" i="1" a="1"/>
  <c r="BI1894" i="1" s="1"/>
  <c r="BM1894" i="1" a="1"/>
  <c r="BM1894" i="1" s="1"/>
  <c r="BJ1894" i="1" s="1" a="1"/>
  <c r="BJ1894" i="1" s="1"/>
  <c r="BK1892" i="1" a="1"/>
  <c r="BK1892" i="1" s="1"/>
  <c r="BN1894" i="1" a="1"/>
  <c r="BN1894" i="1" s="1"/>
  <c r="BI1893" i="1" a="1"/>
  <c r="BI1893" i="1" s="1"/>
  <c r="BL1887" i="1" a="1"/>
  <c r="BL1887" i="1" s="1"/>
  <c r="BL1885" i="1" a="1"/>
  <c r="BL1885" i="1" s="1"/>
  <c r="BM1885" i="1" a="1"/>
  <c r="BM1885" i="1" s="1"/>
  <c r="BJ1885" i="1" s="1" a="1"/>
  <c r="BJ1885" i="1" s="1"/>
  <c r="BM1887" i="1" a="1"/>
  <c r="BM1887" i="1" s="1"/>
  <c r="BJ1887" i="1" s="1" a="1"/>
  <c r="BJ1887" i="1" s="1"/>
  <c r="BK1888" i="1"/>
  <c r="BL1886" i="1" a="1"/>
  <c r="BL1886" i="1" s="1"/>
  <c r="BL1888" i="1" a="1"/>
  <c r="BL1888" i="1" s="1"/>
  <c r="BN1874" i="1" a="1"/>
  <c r="BN1874" i="1" s="1"/>
  <c r="BI1876" i="1" a="1"/>
  <c r="BI1876" i="1" s="1"/>
  <c r="BM1876" i="1" a="1"/>
  <c r="BM1876" i="1" s="1"/>
  <c r="BJ1876" i="1" s="1" a="1"/>
  <c r="BJ1876" i="1" s="1"/>
  <c r="BK1877" i="1" a="1"/>
  <c r="BK1877" i="1" s="1"/>
  <c r="BK1874" i="1" a="1"/>
  <c r="BK1874" i="1" s="1"/>
  <c r="BN1876" i="1" a="1"/>
  <c r="BN1876" i="1" s="1"/>
  <c r="BL1877" i="1" a="1"/>
  <c r="BL1877" i="1" s="1"/>
  <c r="BI1867" i="1" a="1"/>
  <c r="BI1867" i="1" s="1"/>
  <c r="BI1869" i="1" a="1"/>
  <c r="BI1869" i="1" s="1"/>
  <c r="BI1871" i="1" a="1"/>
  <c r="BI1871" i="1" s="1"/>
  <c r="BK1869" i="1"/>
  <c r="BK1871" i="1"/>
  <c r="BL1867" i="1" a="1"/>
  <c r="BL1867" i="1" s="1"/>
  <c r="BL1869" i="1" a="1"/>
  <c r="BL1869" i="1" s="1"/>
  <c r="BL1871" i="1" a="1"/>
  <c r="BL1871" i="1" s="1"/>
  <c r="BI1855" i="1" a="1"/>
  <c r="BI1855" i="1" s="1"/>
  <c r="BN1855" i="1" a="1"/>
  <c r="BN1855" i="1" s="1"/>
  <c r="BI1859" i="1" a="1"/>
  <c r="BI1859" i="1" s="1"/>
  <c r="BN1859" i="1" a="1"/>
  <c r="BN1859" i="1" s="1"/>
  <c r="BL1857" i="1"/>
  <c r="BI1856" i="1" a="1"/>
  <c r="BI1856" i="1" s="1"/>
  <c r="BM1857" i="1" a="1"/>
  <c r="BM1857" i="1" s="1"/>
  <c r="BJ1857" i="1" s="1" a="1"/>
  <c r="BJ1857" i="1" s="1"/>
  <c r="BK1858" i="1"/>
  <c r="BK1855" i="1"/>
  <c r="BI1857" i="1" a="1"/>
  <c r="BI1857" i="1" s="1"/>
  <c r="BK1859" i="1"/>
  <c r="BL1855" i="1"/>
  <c r="BL1859" i="1"/>
  <c r="BI1850" i="1" a="1"/>
  <c r="BI1850" i="1" s="1"/>
  <c r="BK1852" i="1"/>
  <c r="BL1852" i="1"/>
  <c r="BM1852" i="1" a="1"/>
  <c r="BM1852" i="1" s="1"/>
  <c r="BJ1852" i="1" s="1" a="1"/>
  <c r="BJ1852" i="1" s="1"/>
  <c r="E1840" i="1" a="1"/>
  <c r="E1840" i="1" s="1"/>
  <c r="E1838" i="1" a="1"/>
  <c r="E1838" i="1" s="1"/>
  <c r="E1839" i="1" a="1"/>
  <c r="E1839" i="1" s="1"/>
  <c r="BK1837" i="1" a="1"/>
  <c r="BK1837" i="1" s="1"/>
  <c r="BI1839" i="1" a="1"/>
  <c r="BI1839" i="1" s="1"/>
  <c r="BL1840" i="1" a="1"/>
  <c r="BL1840" i="1" s="1"/>
  <c r="BK1841" i="1" a="1"/>
  <c r="BK1841" i="1" s="1"/>
  <c r="BK1838" i="1" a="1"/>
  <c r="BK1838" i="1" s="1"/>
  <c r="BN1839" i="1" a="1"/>
  <c r="BN1839" i="1" s="1"/>
  <c r="BI1840" i="1" a="1"/>
  <c r="BI1840" i="1" s="1"/>
  <c r="BL1841" i="1" a="1"/>
  <c r="BL1841" i="1" s="1"/>
  <c r="E1837" i="1" a="1"/>
  <c r="E1837" i="1" s="1"/>
  <c r="E1841" i="1" a="1"/>
  <c r="E1841" i="1" s="1"/>
  <c r="BL1839" i="1" a="1"/>
  <c r="BL1839" i="1" s="1"/>
  <c r="E1831" i="1" a="1"/>
  <c r="E1831" i="1" s="1"/>
  <c r="E1835" i="1" a="1"/>
  <c r="E1835" i="1" s="1"/>
  <c r="E1834" i="1" a="1"/>
  <c r="E1834" i="1" s="1"/>
  <c r="BL1834" i="1" a="1"/>
  <c r="BL1834" i="1" s="1"/>
  <c r="BK1832" i="1"/>
  <c r="BL1832" i="1" a="1"/>
  <c r="BL1832" i="1" s="1"/>
  <c r="BM1831" i="1" a="1"/>
  <c r="BM1831" i="1" s="1"/>
  <c r="BJ1831" i="1" s="1" a="1"/>
  <c r="BJ1831" i="1" s="1"/>
  <c r="BL1833" i="1" a="1"/>
  <c r="BL1833" i="1" s="1"/>
  <c r="BK1834" i="1"/>
  <c r="BI1831" i="1" a="1"/>
  <c r="BI1831" i="1" s="1"/>
  <c r="E1832" i="1" a="1"/>
  <c r="E1832" i="1" s="1"/>
  <c r="BK1831" i="1"/>
  <c r="E1833" i="1" a="1"/>
  <c r="E1833" i="1" s="1"/>
  <c r="E1828" i="1" a="1"/>
  <c r="E1828" i="1" s="1"/>
  <c r="E1825" i="1" a="1"/>
  <c r="E1825" i="1" s="1"/>
  <c r="E1829" i="1" a="1"/>
  <c r="E1829" i="1" s="1"/>
  <c r="E1827" i="1" a="1"/>
  <c r="E1827" i="1" s="1"/>
  <c r="E1826" i="1" a="1"/>
  <c r="E1826" i="1" s="1"/>
  <c r="BI1827" i="1" a="1"/>
  <c r="BI1827" i="1" s="1"/>
  <c r="BN1829" i="1" a="1"/>
  <c r="BN1829" i="1" s="1"/>
  <c r="BL1828" i="1" a="1"/>
  <c r="BL1828" i="1" s="1"/>
  <c r="BI1825" i="1" a="1"/>
  <c r="BI1825" i="1" s="1"/>
  <c r="BL1826" i="1" a="1"/>
  <c r="BL1826" i="1" s="1"/>
  <c r="BI1828" i="1" a="1"/>
  <c r="BI1828" i="1" s="1"/>
  <c r="BN1825" i="1" a="1"/>
  <c r="BN1825" i="1" s="1"/>
  <c r="BK1827" i="1" a="1"/>
  <c r="BK1827" i="1" s="1"/>
  <c r="BQ1827" i="1" s="1"/>
  <c r="BR1827" i="1" s="1"/>
  <c r="BL1829" i="1" a="1"/>
  <c r="BL1829" i="1" s="1"/>
  <c r="BN1828" i="1" a="1"/>
  <c r="BN1828" i="1" s="1"/>
  <c r="BM1825" i="1" a="1"/>
  <c r="BM1825" i="1" s="1"/>
  <c r="BJ1825" i="1" s="1" a="1"/>
  <c r="BJ1825" i="1" s="1"/>
  <c r="E1820" i="1" a="1"/>
  <c r="E1820" i="1" s="1"/>
  <c r="E1819" i="1" a="1"/>
  <c r="E1819" i="1" s="1"/>
  <c r="E1821" i="1" a="1"/>
  <c r="E1821" i="1" s="1"/>
  <c r="E1823" i="1" a="1"/>
  <c r="E1823" i="1" s="1"/>
  <c r="BI1820" i="1" a="1"/>
  <c r="BI1820" i="1" s="1"/>
  <c r="BL1821" i="1" a="1"/>
  <c r="BL1821" i="1" s="1"/>
  <c r="BK1819" i="1" a="1"/>
  <c r="BK1819" i="1" s="1"/>
  <c r="BN1820" i="1" a="1"/>
  <c r="BN1820" i="1" s="1"/>
  <c r="BI1821" i="1" a="1"/>
  <c r="BI1821" i="1" s="1"/>
  <c r="BK1823" i="1" a="1"/>
  <c r="BK1823" i="1" s="1"/>
  <c r="BK1820" i="1" a="1"/>
  <c r="BK1820" i="1" s="1"/>
  <c r="BN1821" i="1" a="1"/>
  <c r="BN1821" i="1" s="1"/>
  <c r="BI1822" i="1" a="1"/>
  <c r="BI1822" i="1" s="1"/>
  <c r="E1813" i="1" a="1"/>
  <c r="E1813" i="1" s="1"/>
  <c r="E1817" i="1" a="1"/>
  <c r="E1817" i="1" s="1"/>
  <c r="E1816" i="1" a="1"/>
  <c r="E1816" i="1" s="1"/>
  <c r="BL1816" i="1" a="1"/>
  <c r="BL1816" i="1" s="1"/>
  <c r="BK1813" i="1"/>
  <c r="BL1813" i="1" a="1"/>
  <c r="BL1813" i="1" s="1"/>
  <c r="BK1814" i="1"/>
  <c r="BL1814" i="1" a="1"/>
  <c r="BL1814" i="1" s="1"/>
  <c r="BK1815" i="1"/>
  <c r="BK1816" i="1"/>
  <c r="BI1813" i="1" a="1"/>
  <c r="BI1813" i="1" s="1"/>
  <c r="E1814" i="1" a="1"/>
  <c r="E1814" i="1" s="1"/>
  <c r="BI1814" i="1" a="1"/>
  <c r="BI1814" i="1" s="1"/>
  <c r="E1815" i="1" a="1"/>
  <c r="E1815" i="1" s="1"/>
  <c r="BL1817" i="1" a="1"/>
  <c r="BL1817" i="1" s="1"/>
  <c r="E1808" i="1" a="1"/>
  <c r="E1808" i="1" s="1"/>
  <c r="E1809" i="1" a="1"/>
  <c r="E1809" i="1" s="1"/>
  <c r="E1807" i="1" a="1"/>
  <c r="E1807" i="1" s="1"/>
  <c r="E1810" i="1" a="1"/>
  <c r="E1810" i="1" s="1"/>
  <c r="E1811" i="1" a="1"/>
  <c r="E1811" i="1" s="1"/>
  <c r="BL1809" i="1" a="1"/>
  <c r="BL1809" i="1" s="1"/>
  <c r="BN1811" i="1" a="1"/>
  <c r="BN1811" i="1" s="1"/>
  <c r="BK1807" i="1" a="1"/>
  <c r="BK1807" i="1" s="1"/>
  <c r="BQ1807" i="1" s="1"/>
  <c r="BR1807" i="1" s="1"/>
  <c r="BN1808" i="1" a="1"/>
  <c r="BN1808" i="1" s="1"/>
  <c r="BI1809" i="1" a="1"/>
  <c r="BI1809" i="1" s="1"/>
  <c r="BL1810" i="1" a="1"/>
  <c r="BL1810" i="1" s="1"/>
  <c r="BK1811" i="1" a="1"/>
  <c r="BK1811" i="1" s="1"/>
  <c r="BQ1811" i="1" s="1"/>
  <c r="BR1811" i="1" s="1"/>
  <c r="BL1807" i="1" a="1"/>
  <c r="BL1807" i="1" s="1"/>
  <c r="BN1809" i="1" a="1"/>
  <c r="BN1809" i="1" s="1"/>
  <c r="BL1811" i="1" a="1"/>
  <c r="BL1811" i="1" s="1"/>
  <c r="BI1807" i="1" a="1"/>
  <c r="BI1807" i="1" s="1"/>
  <c r="BI1916" i="1" a="1"/>
  <c r="BI1916" i="1" s="1"/>
  <c r="BN1164" i="1" a="1"/>
  <c r="BN1164" i="1" s="1"/>
  <c r="BM1901" i="1" a="1"/>
  <c r="BM1901" i="1" s="1"/>
  <c r="BL1901" i="1" s="1" a="1"/>
  <c r="BL1901" i="1" s="1"/>
  <c r="BN1905" i="1" a="1"/>
  <c r="BN1905" i="1" s="1"/>
  <c r="BI1927" i="1" a="1"/>
  <c r="BI1927" i="1" s="1"/>
  <c r="BK2712" i="1" a="1"/>
  <c r="BK2712" i="1" s="1"/>
  <c r="BM2622" i="1" a="1"/>
  <c r="BM2622" i="1" s="1"/>
  <c r="BL2622" i="1" s="1" a="1"/>
  <c r="BL2622" i="1" s="1"/>
  <c r="BN2712" i="1" a="1"/>
  <c r="BN2712" i="1" s="1"/>
  <c r="BM1898" i="1" a="1"/>
  <c r="BM1898" i="1" s="1"/>
  <c r="BL1898" i="1" s="1" a="1"/>
  <c r="BL1898" i="1" s="1"/>
  <c r="BI2582" i="1" a="1"/>
  <c r="BI2582" i="1" s="1"/>
  <c r="BM2581" i="1" a="1"/>
  <c r="BM2581" i="1" s="1"/>
  <c r="BJ2581" i="1" s="1" a="1"/>
  <c r="BJ2581" i="1" s="1"/>
  <c r="BM1897" i="1" a="1"/>
  <c r="BM1897" i="1" s="1"/>
  <c r="BL1897" i="1" s="1" a="1"/>
  <c r="BL1897" i="1" s="1"/>
  <c r="BM1899" i="1" a="1"/>
  <c r="BM1899" i="1" s="1"/>
  <c r="BL1899" i="1" s="1" a="1"/>
  <c r="BL1899" i="1" s="1"/>
  <c r="BK1924" i="1" a="1"/>
  <c r="BK1924" i="1" s="1"/>
  <c r="BK1927" i="1" a="1"/>
  <c r="BK1927" i="1" s="1"/>
  <c r="BM1930" i="1" a="1"/>
  <c r="BM1930" i="1" s="1"/>
  <c r="BL1930" i="1" s="1" a="1"/>
  <c r="BL1930" i="1" s="1"/>
  <c r="BN2579" i="1" a="1"/>
  <c r="BN2579" i="1" s="1"/>
  <c r="BM2657" i="1" a="1"/>
  <c r="BM2657" i="1" s="1"/>
  <c r="BL2657" i="1" s="1" a="1"/>
  <c r="BL2657" i="1" s="1"/>
  <c r="BM1921" i="1" a="1"/>
  <c r="BM1921" i="1" s="1"/>
  <c r="BJ1921" i="1" s="1" a="1"/>
  <c r="BJ1921" i="1" s="1"/>
  <c r="BI2581" i="1" a="1"/>
  <c r="BI2581" i="1" s="1"/>
  <c r="BN2620" i="1" a="1"/>
  <c r="BN2620" i="1" s="1"/>
  <c r="BM1912" i="1" a="1"/>
  <c r="BM1912" i="1" s="1"/>
  <c r="BL1912" i="1" s="1" a="1"/>
  <c r="BL1912" i="1" s="1"/>
  <c r="BI1901" i="1" a="1"/>
  <c r="BI1901" i="1" s="1"/>
  <c r="BM1904" i="1" a="1"/>
  <c r="BM1904" i="1" s="1"/>
  <c r="BL1904" i="1" s="1" a="1"/>
  <c r="BL1904" i="1" s="1"/>
  <c r="BM1931" i="1" a="1"/>
  <c r="BM1931" i="1" s="1"/>
  <c r="BL1931" i="1" s="1" a="1"/>
  <c r="BL1931" i="1" s="1"/>
  <c r="BI2583" i="1" a="1"/>
  <c r="BI2583" i="1" s="1"/>
  <c r="BM2621" i="1" a="1"/>
  <c r="BM2621" i="1" s="1"/>
  <c r="BJ2621" i="1" s="1" a="1"/>
  <c r="BJ2621" i="1" s="1"/>
  <c r="BM1922" i="1" a="1"/>
  <c r="BM1922" i="1" s="1"/>
  <c r="BJ1922" i="1" s="1" a="1"/>
  <c r="BJ1922" i="1" s="1"/>
  <c r="BM2656" i="1" a="1"/>
  <c r="BM2656" i="1" s="1"/>
  <c r="BL2656" i="1" s="1" a="1"/>
  <c r="BL2656" i="1" s="1"/>
  <c r="BM2658" i="1" a="1"/>
  <c r="BM2658" i="1" s="1"/>
  <c r="BL2658" i="1" s="1" a="1"/>
  <c r="BL2658" i="1" s="1"/>
  <c r="BN2719" i="1" a="1"/>
  <c r="BN2719" i="1" s="1"/>
  <c r="BM1903" i="1" a="1"/>
  <c r="BM1903" i="1" s="1"/>
  <c r="BL1903" i="1" s="1" a="1"/>
  <c r="BL1903" i="1" s="1"/>
  <c r="BK2581" i="1" a="1"/>
  <c r="BK2581" i="1" s="1"/>
  <c r="BK2582" i="1" a="1"/>
  <c r="BK2582" i="1" s="1"/>
  <c r="BM2623" i="1" a="1"/>
  <c r="BM2623" i="1" s="1"/>
  <c r="BL2623" i="1" s="1" a="1"/>
  <c r="BL2623" i="1" s="1"/>
  <c r="BI2658" i="1" a="1"/>
  <c r="BI2658" i="1" s="1"/>
  <c r="BN2713" i="1" a="1"/>
  <c r="BN2713" i="1" s="1"/>
  <c r="BN1923" i="1" a="1"/>
  <c r="BN1923" i="1" s="1"/>
  <c r="BI2657" i="1" a="1"/>
  <c r="BI2657" i="1" s="1"/>
  <c r="BI2711" i="1" a="1"/>
  <c r="BI2711" i="1" s="1"/>
  <c r="BI1897" i="1" a="1"/>
  <c r="BI1897" i="1" s="1"/>
  <c r="BI1903" i="1" a="1"/>
  <c r="BI1903" i="1" s="1"/>
  <c r="BM1911" i="1" a="1"/>
  <c r="BM1911" i="1" s="1"/>
  <c r="BL1911" i="1" s="1" a="1"/>
  <c r="BL1911" i="1" s="1"/>
  <c r="BM1916" i="1" a="1"/>
  <c r="BM1916" i="1" s="1"/>
  <c r="BL1916" i="1" s="1" a="1"/>
  <c r="BL1916" i="1" s="1"/>
  <c r="BN1917" i="1" a="1"/>
  <c r="BN1917" i="1" s="1"/>
  <c r="BK2715" i="1" a="1"/>
  <c r="BK2715" i="1" s="1"/>
  <c r="BM1910" i="1" a="1"/>
  <c r="BM1910" i="1" s="1"/>
  <c r="BL1910" i="1" s="1" a="1"/>
  <c r="BL1910" i="1" s="1"/>
  <c r="BM2582" i="1" a="1"/>
  <c r="BM2582" i="1" s="1"/>
  <c r="BL2582" i="1" s="1" a="1"/>
  <c r="BL2582" i="1" s="1"/>
  <c r="BI2656" i="1" a="1"/>
  <c r="BI2656" i="1" s="1"/>
  <c r="BM2715" i="1" a="1"/>
  <c r="BM2715" i="1" s="1"/>
  <c r="BL2715" i="1" s="1" a="1"/>
  <c r="BL2715" i="1" s="1"/>
  <c r="BM1900" i="1" a="1"/>
  <c r="BM1900" i="1" s="1"/>
  <c r="BL1900" i="1" s="1" a="1"/>
  <c r="BL1900" i="1" s="1"/>
  <c r="BM2580" i="1" a="1"/>
  <c r="BM2580" i="1" s="1"/>
  <c r="BL2580" i="1" s="1" a="1"/>
  <c r="BL2580" i="1" s="1"/>
  <c r="BM2624" i="1" a="1"/>
  <c r="BM2624" i="1" s="1"/>
  <c r="BL2624" i="1" s="1" a="1"/>
  <c r="BL2624" i="1" s="1"/>
  <c r="BK2580" i="1" a="1"/>
  <c r="BK2580" i="1" s="1"/>
  <c r="BK2711" i="1" a="1"/>
  <c r="BK2711" i="1" s="1"/>
  <c r="BI2718" i="1" a="1"/>
  <c r="BI2718" i="1" s="1"/>
  <c r="BI2714" i="1" a="1"/>
  <c r="BI2714" i="1" s="1"/>
  <c r="BM1924" i="1" a="1"/>
  <c r="BM1924" i="1" s="1"/>
  <c r="BL1924" i="1" s="1" a="1"/>
  <c r="BL1924" i="1" s="1"/>
  <c r="BI1925" i="1" a="1"/>
  <c r="BI1925" i="1" s="1"/>
  <c r="BM1927" i="1" a="1"/>
  <c r="BM1927" i="1" s="1"/>
  <c r="BJ1927" i="1" s="1" a="1"/>
  <c r="BJ1927" i="1" s="1"/>
  <c r="BM2579" i="1" a="1"/>
  <c r="BM2579" i="1" s="1"/>
  <c r="BJ2579" i="1" s="1" a="1"/>
  <c r="BJ2579" i="1" s="1"/>
  <c r="BN2580" i="1" a="1"/>
  <c r="BN2580" i="1" s="1"/>
  <c r="BM2620" i="1" a="1"/>
  <c r="BM2620" i="1" s="1"/>
  <c r="BJ2620" i="1" s="1" a="1"/>
  <c r="BJ2620" i="1" s="1"/>
  <c r="BN2624" i="1" a="1"/>
  <c r="BN2624" i="1" s="1"/>
  <c r="BM2659" i="1" a="1"/>
  <c r="BM2659" i="1" s="1"/>
  <c r="BL2659" i="1" s="1" a="1"/>
  <c r="BL2659" i="1" s="1"/>
  <c r="BN2711" i="1" a="1"/>
  <c r="BN2711" i="1" s="1"/>
  <c r="BK2718" i="1" a="1"/>
  <c r="BK2718" i="1" s="1"/>
  <c r="BN2714" i="1" a="1"/>
  <c r="BN2714" i="1" s="1"/>
  <c r="BI1899" i="1" a="1"/>
  <c r="BI1899" i="1" s="1"/>
  <c r="BM1906" i="1" a="1"/>
  <c r="BM1906" i="1" s="1"/>
  <c r="BL1906" i="1" s="1" a="1"/>
  <c r="BL1906" i="1" s="1"/>
  <c r="BM1909" i="1" a="1"/>
  <c r="BM1909" i="1" s="1"/>
  <c r="BL1909" i="1" s="1" a="1"/>
  <c r="BL1909" i="1" s="1"/>
  <c r="BK1910" i="1" a="1"/>
  <c r="BK1910" i="1" s="1"/>
  <c r="BI1917" i="1" a="1"/>
  <c r="BI1917" i="1" s="1"/>
  <c r="BK1918" i="1" a="1"/>
  <c r="BK1918" i="1" s="1"/>
  <c r="BN1925" i="1" a="1"/>
  <c r="BN1925" i="1" s="1"/>
  <c r="BI1930" i="1" a="1"/>
  <c r="BI1930" i="1" s="1"/>
  <c r="BM2583" i="1" a="1"/>
  <c r="BM2583" i="1" s="1"/>
  <c r="BJ2583" i="1" s="1" a="1"/>
  <c r="BJ2583" i="1" s="1"/>
  <c r="BN2709" i="1" a="1"/>
  <c r="BN2709" i="1" s="1"/>
  <c r="BK2716" i="1" a="1"/>
  <c r="BK2716" i="1" s="1"/>
  <c r="BN2718" i="1" a="1"/>
  <c r="BN2718" i="1" s="1"/>
  <c r="BK1903" i="1" a="1"/>
  <c r="BK1903" i="1" s="1"/>
  <c r="BK1916" i="1" a="1"/>
  <c r="BK1916" i="1" s="1"/>
  <c r="BM1923" i="1" a="1"/>
  <c r="BM1923" i="1" s="1"/>
  <c r="BJ1923" i="1" s="1" a="1"/>
  <c r="BJ1923" i="1" s="1"/>
  <c r="BN1924" i="1" a="1"/>
  <c r="BN1924" i="1" s="1"/>
  <c r="BI2620" i="1" a="1"/>
  <c r="BI2620" i="1" s="1"/>
  <c r="BI2712" i="1" a="1"/>
  <c r="BI2712" i="1" s="1"/>
  <c r="BI2715" i="1" a="1"/>
  <c r="BI2715" i="1" s="1"/>
  <c r="BM1905" i="1" a="1"/>
  <c r="BM1905" i="1" s="1"/>
  <c r="BL1905" i="1" s="1" a="1"/>
  <c r="BL1905" i="1" s="1"/>
  <c r="BM2660" i="1" a="1"/>
  <c r="BM2660" i="1" s="1"/>
  <c r="BL2660" i="1" s="1" a="1"/>
  <c r="BL2660" i="1" s="1"/>
  <c r="BN1898" i="1" a="1"/>
  <c r="BN1898" i="1" s="1"/>
  <c r="BN1900" i="1" a="1"/>
  <c r="BN1900" i="1" s="1"/>
  <c r="BM1907" i="1" a="1"/>
  <c r="BM1907" i="1" s="1"/>
  <c r="BJ1907" i="1" s="1" a="1"/>
  <c r="BJ1907" i="1" s="1"/>
  <c r="BM1915" i="1" a="1"/>
  <c r="BM1915" i="1" s="1"/>
  <c r="BL1915" i="1" s="1" a="1"/>
  <c r="BL1915" i="1" s="1"/>
  <c r="BM1919" i="1" a="1"/>
  <c r="BM1919" i="1" s="1"/>
  <c r="BL1919" i="1" s="1" a="1"/>
  <c r="BL1919" i="1" s="1"/>
  <c r="BI1928" i="1" a="1"/>
  <c r="BI1928" i="1" s="1"/>
  <c r="BI2621" i="1" a="1"/>
  <c r="BI2621" i="1" s="1"/>
  <c r="BI2717" i="1" a="1"/>
  <c r="BI2717" i="1" s="1"/>
  <c r="BK1897" i="1" a="1"/>
  <c r="BK1897" i="1" s="1"/>
  <c r="BK1899" i="1" a="1"/>
  <c r="BK1899" i="1" s="1"/>
  <c r="BK1901" i="1" a="1"/>
  <c r="BK1901" i="1" s="1"/>
  <c r="BI1911" i="1" a="1"/>
  <c r="BI1911" i="1" s="1"/>
  <c r="BI1918" i="1" a="1"/>
  <c r="BI1918" i="1" s="1"/>
  <c r="BN1921" i="1" a="1"/>
  <c r="BN1921" i="1" s="1"/>
  <c r="BK1922" i="1" a="1"/>
  <c r="BK1922" i="1" s="1"/>
  <c r="BI1923" i="1" a="1"/>
  <c r="BI1923" i="1" s="1"/>
  <c r="BK1928" i="1" a="1"/>
  <c r="BK1928" i="1" s="1"/>
  <c r="BK1931" i="1" a="1"/>
  <c r="BK1931" i="1" s="1"/>
  <c r="BI2579" i="1" a="1"/>
  <c r="BI2579" i="1" s="1"/>
  <c r="BN2622" i="1" a="1"/>
  <c r="BN2622" i="1" s="1"/>
  <c r="BK2623" i="1" a="1"/>
  <c r="BK2623" i="1" s="1"/>
  <c r="BI2624" i="1" a="1"/>
  <c r="BI2624" i="1" s="1"/>
  <c r="BI2716" i="1" a="1"/>
  <c r="BI2716" i="1" s="1"/>
  <c r="BK2717" i="1" a="1"/>
  <c r="BK2717" i="1" s="1"/>
  <c r="BM2717" i="1" a="1"/>
  <c r="BM2717" i="1" s="1"/>
  <c r="BJ2717" i="1" s="1" a="1"/>
  <c r="BJ2717" i="1" s="1"/>
  <c r="BI1898" i="1" a="1"/>
  <c r="BI1898" i="1" s="1"/>
  <c r="BI1900" i="1" a="1"/>
  <c r="BI1900" i="1" s="1"/>
  <c r="BI1904" i="1" a="1"/>
  <c r="BI1904" i="1" s="1"/>
  <c r="BI1907" i="1" a="1"/>
  <c r="BI1907" i="1" s="1"/>
  <c r="BI1909" i="1" a="1"/>
  <c r="BI1909" i="1" s="1"/>
  <c r="BI1912" i="1" a="1"/>
  <c r="BI1912" i="1" s="1"/>
  <c r="BM1913" i="1" a="1"/>
  <c r="BM1913" i="1" s="1"/>
  <c r="BL1913" i="1" s="1" a="1"/>
  <c r="BL1913" i="1" s="1"/>
  <c r="BI1915" i="1" a="1"/>
  <c r="BI1915" i="1" s="1"/>
  <c r="BI1919" i="1" a="1"/>
  <c r="BI1919" i="1" s="1"/>
  <c r="BI1921" i="1" a="1"/>
  <c r="BI1921" i="1" s="1"/>
  <c r="BK2621" i="1" a="1"/>
  <c r="BK2621" i="1" s="1"/>
  <c r="BI2622" i="1" a="1"/>
  <c r="BI2622" i="1" s="1"/>
  <c r="BK2710" i="1" a="1"/>
  <c r="BK2710" i="1" s="1"/>
  <c r="BM2716" i="1" a="1"/>
  <c r="BM2716" i="1" s="1"/>
  <c r="BL2716" i="1" s="1" a="1"/>
  <c r="BL2716" i="1" s="1"/>
  <c r="BK1904" i="1" a="1"/>
  <c r="BK1904" i="1" s="1"/>
  <c r="BI1905" i="1" a="1"/>
  <c r="BI1905" i="1" s="1"/>
  <c r="BI1906" i="1" a="1"/>
  <c r="BI1906" i="1" s="1"/>
  <c r="BN1907" i="1" a="1"/>
  <c r="BN1907" i="1" s="1"/>
  <c r="BM1917" i="1" a="1"/>
  <c r="BM1917" i="1" s="1"/>
  <c r="BJ1917" i="1" s="1" a="1"/>
  <c r="BJ1917" i="1" s="1"/>
  <c r="BN1922" i="1" a="1"/>
  <c r="BN1922" i="1" s="1"/>
  <c r="BM1925" i="1" a="1"/>
  <c r="BM1925" i="1" s="1"/>
  <c r="BJ1925" i="1" s="1" a="1"/>
  <c r="BJ1925" i="1" s="1"/>
  <c r="BN1931" i="1" a="1"/>
  <c r="BN1931" i="1" s="1"/>
  <c r="BN2623" i="1" a="1"/>
  <c r="BN2623" i="1" s="1"/>
  <c r="BI2709" i="1" a="1"/>
  <c r="BI2709" i="1" s="1"/>
  <c r="BN1928" i="1" a="1"/>
  <c r="BN1928" i="1" s="1"/>
  <c r="BK1909" i="1" a="1"/>
  <c r="BK1909" i="1" s="1"/>
  <c r="BK1915" i="1" a="1"/>
  <c r="BK1915" i="1" s="1"/>
  <c r="BK1919" i="1" a="1"/>
  <c r="BK1919" i="1" s="1"/>
  <c r="BK2709" i="1" a="1"/>
  <c r="BK2709" i="1" s="1"/>
  <c r="BI2719" i="1" a="1"/>
  <c r="BI2719" i="1" s="1"/>
  <c r="BN1906" i="1" a="1"/>
  <c r="BN1906" i="1" s="1"/>
  <c r="BI1910" i="1" a="1"/>
  <c r="BI1910" i="1" s="1"/>
  <c r="BM1918" i="1" a="1"/>
  <c r="BM1918" i="1" s="1"/>
  <c r="BJ1918" i="1" s="1" a="1"/>
  <c r="BJ1918" i="1" s="1"/>
  <c r="BL2718" i="1" a="1"/>
  <c r="BL2718" i="1" s="1"/>
  <c r="BJ2718" i="1" a="1"/>
  <c r="BJ2718" i="1" s="1"/>
  <c r="E2719" i="1" a="1"/>
  <c r="E2719" i="1" s="1"/>
  <c r="BL2719" i="1" a="1"/>
  <c r="BL2719" i="1" s="1"/>
  <c r="BJ2719" i="1" a="1"/>
  <c r="BJ2719" i="1" s="1"/>
  <c r="E2716" i="1" a="1"/>
  <c r="E2716" i="1" s="1"/>
  <c r="E2715" i="1" a="1"/>
  <c r="E2715" i="1" s="1"/>
  <c r="BK2719" i="1" a="1"/>
  <c r="BK2719" i="1" s="1"/>
  <c r="E2718" i="1" a="1"/>
  <c r="E2718" i="1" s="1"/>
  <c r="E2717" i="1" a="1"/>
  <c r="E2717" i="1" s="1"/>
  <c r="BL2712" i="1" a="1"/>
  <c r="BL2712" i="1" s="1"/>
  <c r="BJ2712" i="1" a="1"/>
  <c r="BJ2712" i="1" s="1"/>
  <c r="E2709" i="1" a="1"/>
  <c r="E2709" i="1" s="1"/>
  <c r="BJ2711" i="1" a="1"/>
  <c r="BJ2711" i="1" s="1"/>
  <c r="BL2711" i="1" a="1"/>
  <c r="BL2711" i="1" s="1"/>
  <c r="E2712" i="1" a="1"/>
  <c r="E2712" i="1" s="1"/>
  <c r="E2713" i="1" a="1"/>
  <c r="E2713" i="1" s="1"/>
  <c r="BL2713" i="1" a="1"/>
  <c r="BL2713" i="1" s="1"/>
  <c r="BJ2713" i="1" a="1"/>
  <c r="BJ2713" i="1" s="1"/>
  <c r="BL2709" i="1" a="1"/>
  <c r="BL2709" i="1" s="1"/>
  <c r="BJ2709" i="1" a="1"/>
  <c r="BJ2709" i="1" s="1"/>
  <c r="E2710" i="1" a="1"/>
  <c r="E2710" i="1" s="1"/>
  <c r="BK2713" i="1" a="1"/>
  <c r="BK2713" i="1" s="1"/>
  <c r="BI2710" i="1" a="1"/>
  <c r="BI2710" i="1" s="1"/>
  <c r="BM2710" i="1" a="1"/>
  <c r="BM2710" i="1" s="1"/>
  <c r="E2711" i="1" a="1"/>
  <c r="E2711" i="1" s="1"/>
  <c r="BI2713" i="1" a="1"/>
  <c r="BI2713" i="1" s="1"/>
  <c r="E2659" i="1" a="1"/>
  <c r="E2659" i="1" s="1"/>
  <c r="E2660" i="1" a="1"/>
  <c r="E2660" i="1" s="1"/>
  <c r="E2657" i="1" a="1"/>
  <c r="E2657" i="1" s="1"/>
  <c r="E2658" i="1" a="1"/>
  <c r="E2658" i="1" s="1"/>
  <c r="BN2656" i="1" a="1"/>
  <c r="BN2656" i="1" s="1"/>
  <c r="BN2657" i="1" a="1"/>
  <c r="BN2657" i="1" s="1"/>
  <c r="BN2658" i="1" a="1"/>
  <c r="BN2658" i="1" s="1"/>
  <c r="BN2659" i="1" a="1"/>
  <c r="BN2659" i="1" s="1"/>
  <c r="BN2660" i="1" a="1"/>
  <c r="BN2660" i="1" s="1"/>
  <c r="BK2659" i="1" a="1"/>
  <c r="BK2659" i="1" s="1"/>
  <c r="BK2660" i="1" a="1"/>
  <c r="BK2660" i="1" s="1"/>
  <c r="E2620" i="1" a="1"/>
  <c r="E2620" i="1" s="1"/>
  <c r="E2623" i="1" a="1"/>
  <c r="E2623" i="1" s="1"/>
  <c r="E2621" i="1" a="1"/>
  <c r="E2621" i="1" s="1"/>
  <c r="E2624" i="1" a="1"/>
  <c r="E2624" i="1" s="1"/>
  <c r="E2622" i="1" a="1"/>
  <c r="E2622" i="1" s="1"/>
  <c r="E2583" i="1" a="1"/>
  <c r="E2583" i="1" s="1"/>
  <c r="E2581" i="1" a="1"/>
  <c r="E2581" i="1" s="1"/>
  <c r="E2579" i="1" a="1"/>
  <c r="E2579" i="1" s="1"/>
  <c r="E2582" i="1" a="1"/>
  <c r="E2582" i="1" s="1"/>
  <c r="E2580" i="1" a="1"/>
  <c r="E2580" i="1" s="1"/>
  <c r="E1928" i="1" a="1"/>
  <c r="E1928" i="1" s="1"/>
  <c r="BJ1928" i="1" a="1"/>
  <c r="BJ1928" i="1" s="1"/>
  <c r="BL1928" i="1" a="1"/>
  <c r="BL1928" i="1" s="1"/>
  <c r="E1931" i="1" a="1"/>
  <c r="E1931" i="1" s="1"/>
  <c r="BI1929" i="1" a="1"/>
  <c r="BI1929" i="1" s="1"/>
  <c r="BM1929" i="1" a="1"/>
  <c r="BM1929" i="1" s="1"/>
  <c r="BN1930" i="1" a="1"/>
  <c r="BN1930" i="1" s="1"/>
  <c r="E1930" i="1" a="1"/>
  <c r="E1930" i="1" s="1"/>
  <c r="BN1929" i="1" a="1"/>
  <c r="BN1929" i="1" s="1"/>
  <c r="E1929" i="1" a="1"/>
  <c r="E1929" i="1" s="1"/>
  <c r="E1925" i="1" a="1"/>
  <c r="E1925" i="1" s="1"/>
  <c r="E1923" i="1" a="1"/>
  <c r="E1923" i="1" s="1"/>
  <c r="E1921" i="1" a="1"/>
  <c r="E1921" i="1" s="1"/>
  <c r="E1924" i="1" a="1"/>
  <c r="E1924" i="1" s="1"/>
  <c r="E1922" i="1" a="1"/>
  <c r="E1922" i="1" s="1"/>
  <c r="BN1911" i="1" a="1"/>
  <c r="BN1911" i="1" s="1"/>
  <c r="BN1912" i="1" a="1"/>
  <c r="BN1912" i="1" s="1"/>
  <c r="BN1913" i="1" a="1"/>
  <c r="BN1913" i="1" s="1"/>
  <c r="BK1913" i="1" a="1"/>
  <c r="BK1913" i="1" s="1"/>
  <c r="E1907" i="1" a="1"/>
  <c r="E1907" i="1" s="1"/>
  <c r="E1906" i="1" a="1"/>
  <c r="E1906" i="1" s="1"/>
  <c r="E1903" i="1" a="1"/>
  <c r="E1903" i="1" s="1"/>
  <c r="E1904" i="1" a="1"/>
  <c r="E1904" i="1" s="1"/>
  <c r="E1905" i="1" a="1"/>
  <c r="E1905" i="1" s="1"/>
  <c r="E2714" i="1" a="1"/>
  <c r="E2714" i="1" s="1"/>
  <c r="BL2714" i="1" a="1"/>
  <c r="BL2714" i="1" s="1"/>
  <c r="BJ2714" i="1" a="1"/>
  <c r="BJ2714" i="1" s="1"/>
  <c r="BK2714" i="1" a="1"/>
  <c r="BK2714" i="1" s="1"/>
  <c r="BN1095" i="1" a="1"/>
  <c r="BN1095" i="1" s="1"/>
  <c r="BN1154" i="1" a="1"/>
  <c r="BN1154" i="1" s="1"/>
  <c r="BN1100" i="1" a="1"/>
  <c r="BN1100" i="1" s="1"/>
  <c r="BN1104" i="1" a="1"/>
  <c r="BN1104" i="1" s="1"/>
  <c r="BN1071" i="1" a="1"/>
  <c r="BN1071" i="1" s="1"/>
  <c r="BN1136" i="1" a="1"/>
  <c r="BN1136" i="1" s="1"/>
  <c r="BN1098" i="1" a="1"/>
  <c r="BN1098" i="1" s="1"/>
  <c r="BN1130" i="1" a="1"/>
  <c r="BN1130" i="1" s="1"/>
  <c r="BN1143" i="1" a="1"/>
  <c r="BN1143" i="1" s="1"/>
  <c r="BN1132" i="1" a="1"/>
  <c r="BN1132" i="1" s="1"/>
  <c r="BI1155" i="1" a="1"/>
  <c r="BI1155" i="1" s="1"/>
  <c r="BN1162" i="1" a="1"/>
  <c r="BN1162" i="1" s="1"/>
  <c r="BN1101" i="1" a="1"/>
  <c r="BN1101" i="1" s="1"/>
  <c r="BN1107" i="1" a="1"/>
  <c r="BN1107" i="1" s="1"/>
  <c r="BI1080" i="1" a="1"/>
  <c r="BI1080" i="1" s="1"/>
  <c r="BN1077" i="1" a="1"/>
  <c r="BN1077" i="1" s="1"/>
  <c r="BN1094" i="1" a="1"/>
  <c r="BN1094" i="1" s="1"/>
  <c r="BM1122" i="1" a="1"/>
  <c r="BM1122" i="1" s="1"/>
  <c r="BJ1122" i="1" s="1" a="1"/>
  <c r="BJ1122" i="1" s="1"/>
  <c r="BN1134" i="1" a="1"/>
  <c r="BN1134" i="1" s="1"/>
  <c r="BN1078" i="1" a="1"/>
  <c r="BN1078" i="1" s="1"/>
  <c r="BN1122" i="1" a="1"/>
  <c r="BN1122" i="1" s="1"/>
  <c r="BI1160" i="1" a="1"/>
  <c r="BI1160" i="1" s="1"/>
  <c r="BM1100" i="1" a="1"/>
  <c r="BM1100" i="1" s="1"/>
  <c r="BJ1100" i="1" s="1" a="1"/>
  <c r="BJ1100" i="1" s="1"/>
  <c r="E2751" i="1" a="1"/>
  <c r="E2751" i="1" s="1"/>
  <c r="BN1103" i="1" a="1"/>
  <c r="BN1103" i="1" s="1"/>
  <c r="BN1128" i="1" a="1"/>
  <c r="BN1128" i="1" s="1"/>
  <c r="BI1148" i="1" a="1"/>
  <c r="BI1148" i="1" s="1"/>
  <c r="BN1121" i="1" a="1"/>
  <c r="BN1121" i="1" s="1"/>
  <c r="BN1125" i="1" a="1"/>
  <c r="BN1125" i="1" s="1"/>
  <c r="BM1150" i="1" a="1"/>
  <c r="BM1150" i="1" s="1"/>
  <c r="BJ1150" i="1" s="1" a="1"/>
  <c r="BJ1150" i="1" s="1"/>
  <c r="BN1092" i="1" a="1"/>
  <c r="BN1092" i="1" s="1"/>
  <c r="BI1094" i="1" a="1"/>
  <c r="BI1094" i="1" s="1"/>
  <c r="BI1137" i="1" a="1"/>
  <c r="BI1137" i="1" s="1"/>
  <c r="BM1155" i="1" a="1"/>
  <c r="BM1155" i="1" s="1"/>
  <c r="BJ1155" i="1" s="1" a="1"/>
  <c r="BJ1155" i="1" s="1"/>
  <c r="BM1102" i="1" a="1"/>
  <c r="BM1102" i="1" s="1"/>
  <c r="BJ1102" i="1" s="1" a="1"/>
  <c r="BJ1102" i="1" s="1"/>
  <c r="BI1112" i="1" a="1"/>
  <c r="BI1112" i="1" s="1"/>
  <c r="BK1124" i="1"/>
  <c r="BM1127" i="1" a="1"/>
  <c r="BM1127" i="1" s="1"/>
  <c r="BJ1127" i="1" s="1" a="1"/>
  <c r="BJ1127" i="1" s="1"/>
  <c r="BI1133" i="1" a="1"/>
  <c r="BI1133" i="1" s="1"/>
  <c r="BN1138" i="1" a="1"/>
  <c r="BN1138" i="1" s="1"/>
  <c r="AT1146" i="1"/>
  <c r="AT1156" i="1"/>
  <c r="BI1116" i="1" a="1"/>
  <c r="BI1116" i="1" s="1"/>
  <c r="BN1118" i="1" a="1"/>
  <c r="BN1118" i="1" s="1"/>
  <c r="BK1136" i="1"/>
  <c r="BK1163" i="1"/>
  <c r="BN1146" i="1" a="1"/>
  <c r="BN1146" i="1" s="1"/>
  <c r="BL1148" i="1" a="1"/>
  <c r="BL1148" i="1" s="1"/>
  <c r="E2750" i="1" a="1"/>
  <c r="E2750" i="1" s="1"/>
  <c r="AT1106" i="1"/>
  <c r="BL1125" i="1" a="1"/>
  <c r="BL1125" i="1" s="1"/>
  <c r="BI1085" i="1" a="1"/>
  <c r="BI1085" i="1" s="1"/>
  <c r="BM1112" i="1" a="1"/>
  <c r="BM1112" i="1" s="1"/>
  <c r="BJ1112" i="1" s="1" a="1"/>
  <c r="BJ1112" i="1" s="1"/>
  <c r="BM1120" i="1" a="1"/>
  <c r="BM1120" i="1" s="1"/>
  <c r="BJ1120" i="1" s="1" a="1"/>
  <c r="BJ1120" i="1" s="1"/>
  <c r="BM1146" i="1" a="1"/>
  <c r="BM1146" i="1" s="1"/>
  <c r="BJ1146" i="1" s="1" a="1"/>
  <c r="BJ1146" i="1" s="1"/>
  <c r="BN1152" i="1" a="1"/>
  <c r="BN1152" i="1" s="1"/>
  <c r="BN1086" i="1" a="1"/>
  <c r="BN1086" i="1" s="1"/>
  <c r="BN1110" i="1" a="1"/>
  <c r="BN1110" i="1" s="1"/>
  <c r="BN1131" i="1" a="1"/>
  <c r="BN1131" i="1" s="1"/>
  <c r="BK1137" i="1"/>
  <c r="BI1140" i="1" a="1"/>
  <c r="BI1140" i="1" s="1"/>
  <c r="AT1142" i="1"/>
  <c r="BN1158" i="1" a="1"/>
  <c r="BN1158" i="1" s="1"/>
  <c r="BK1083" i="1"/>
  <c r="BI1074" i="1" a="1"/>
  <c r="BI1074" i="1" s="1"/>
  <c r="BN1082" i="1" a="1"/>
  <c r="BN1082" i="1" s="1"/>
  <c r="BI1097" i="1" a="1"/>
  <c r="BI1097" i="1" s="1"/>
  <c r="BK1113" i="1"/>
  <c r="BM1143" i="1" a="1"/>
  <c r="BM1143" i="1" s="1"/>
  <c r="BJ1143" i="1" s="1" a="1"/>
  <c r="BJ1143" i="1" s="1"/>
  <c r="BI1146" i="1" a="1"/>
  <c r="BI1146" i="1" s="1"/>
  <c r="BK1161" i="1"/>
  <c r="BN1112" i="1" a="1"/>
  <c r="BN1112" i="1" s="1"/>
  <c r="BK1121" i="1"/>
  <c r="BM1145" i="1" a="1"/>
  <c r="BM1145" i="1" s="1"/>
  <c r="BJ1145" i="1" s="1" a="1"/>
  <c r="BJ1145" i="1" s="1"/>
  <c r="BI1159" i="1" a="1"/>
  <c r="BI1159" i="1" s="1"/>
  <c r="BK1077" i="1"/>
  <c r="BK1085" i="1"/>
  <c r="BK1090" i="1"/>
  <c r="BM1104" i="1" a="1"/>
  <c r="BM1104" i="1" s="1"/>
  <c r="BJ1104" i="1" s="1" a="1"/>
  <c r="BJ1104" i="1" s="1"/>
  <c r="BK1114" i="1"/>
  <c r="BN1124" i="1" a="1"/>
  <c r="BN1124" i="1" s="1"/>
  <c r="BI1127" i="1" a="1"/>
  <c r="BI1127" i="1" s="1"/>
  <c r="BI1070" i="1" a="1"/>
  <c r="BI1070" i="1" s="1"/>
  <c r="BM1076" i="1" a="1"/>
  <c r="BM1076" i="1" s="1"/>
  <c r="BJ1076" i="1" s="1" a="1"/>
  <c r="BJ1076" i="1" s="1"/>
  <c r="BK1096" i="1"/>
  <c r="BI1103" i="1" a="1"/>
  <c r="BI1103" i="1" s="1"/>
  <c r="BM1109" i="1" a="1"/>
  <c r="BM1109" i="1" s="1"/>
  <c r="BJ1109" i="1" s="1" a="1"/>
  <c r="BJ1109" i="1" s="1"/>
  <c r="BI1121" i="1" a="1"/>
  <c r="BI1121" i="1" s="1"/>
  <c r="BL1091" i="1" a="1"/>
  <c r="BL1091" i="1" s="1"/>
  <c r="BL1115" i="1" a="1"/>
  <c r="BL1115" i="1" s="1"/>
  <c r="AT1070" i="1"/>
  <c r="BK1074" i="1"/>
  <c r="BL1079" i="1" a="1"/>
  <c r="BL1079" i="1" s="1"/>
  <c r="AT1083" i="1"/>
  <c r="BI1102" i="1" a="1"/>
  <c r="BI1102" i="1" s="1"/>
  <c r="BI1110" i="1" a="1"/>
  <c r="BI1110" i="1" s="1"/>
  <c r="BM1115" i="1" a="1"/>
  <c r="BM1115" i="1" s="1"/>
  <c r="BJ1115" i="1" s="1" a="1"/>
  <c r="BJ1115" i="1" s="1"/>
  <c r="BI1120" i="1" a="1"/>
  <c r="BI1120" i="1" s="1"/>
  <c r="BM1128" i="1" a="1"/>
  <c r="BM1128" i="1" s="1"/>
  <c r="BJ1128" i="1" s="1" a="1"/>
  <c r="BJ1128" i="1" s="1"/>
  <c r="BI1145" i="1" a="1"/>
  <c r="BI1145" i="1" s="1"/>
  <c r="BK1151" i="1"/>
  <c r="BI1152" i="1" a="1"/>
  <c r="BI1152" i="1" s="1"/>
  <c r="BI1158" i="1" a="1"/>
  <c r="BI1158" i="1" s="1"/>
  <c r="BN1160" i="1" a="1"/>
  <c r="BN1160" i="1" s="1"/>
  <c r="BN1159" i="1" a="1"/>
  <c r="BN1159" i="1" s="1"/>
  <c r="BM1073" i="1" a="1"/>
  <c r="BM1073" i="1" s="1"/>
  <c r="BJ1073" i="1" s="1" a="1"/>
  <c r="BJ1073" i="1" s="1"/>
  <c r="BM1074" i="1" a="1"/>
  <c r="BM1074" i="1" s="1"/>
  <c r="BJ1074" i="1" s="1" a="1"/>
  <c r="BJ1074" i="1" s="1"/>
  <c r="BM1079" i="1" a="1"/>
  <c r="BM1079" i="1" s="1"/>
  <c r="BJ1079" i="1" s="1" a="1"/>
  <c r="BJ1079" i="1" s="1"/>
  <c r="BM1080" i="1" a="1"/>
  <c r="BM1080" i="1" s="1"/>
  <c r="BJ1080" i="1" s="1" a="1"/>
  <c r="BJ1080" i="1" s="1"/>
  <c r="BN1083" i="1" a="1"/>
  <c r="BN1083" i="1" s="1"/>
  <c r="BI1086" i="1" a="1"/>
  <c r="BI1086" i="1" s="1"/>
  <c r="BM1088" i="1" a="1"/>
  <c r="BM1088" i="1" s="1"/>
  <c r="BJ1088" i="1" s="1" a="1"/>
  <c r="BJ1088" i="1" s="1"/>
  <c r="BN1090" i="1" a="1"/>
  <c r="BN1090" i="1" s="1"/>
  <c r="BI1091" i="1" a="1"/>
  <c r="BI1091" i="1" s="1"/>
  <c r="BK1092" i="1"/>
  <c r="BN1096" i="1" a="1"/>
  <c r="BN1096" i="1" s="1"/>
  <c r="BK1100" i="1"/>
  <c r="BI1107" i="1" a="1"/>
  <c r="BI1107" i="1" s="1"/>
  <c r="BK1109" i="1"/>
  <c r="BN1113" i="1" a="1"/>
  <c r="BN1113" i="1" s="1"/>
  <c r="BM1116" i="1" a="1"/>
  <c r="BM1116" i="1" s="1"/>
  <c r="BJ1116" i="1" s="1" a="1"/>
  <c r="BJ1116" i="1" s="1"/>
  <c r="BK1126" i="1"/>
  <c r="BK1133" i="1"/>
  <c r="BI1136" i="1" a="1"/>
  <c r="BI1136" i="1" s="1"/>
  <c r="BK1139" i="1"/>
  <c r="BN1142" i="1" a="1"/>
  <c r="BN1142" i="1" s="1"/>
  <c r="BK1143" i="1"/>
  <c r="BN1148" i="1" a="1"/>
  <c r="BN1148" i="1" s="1"/>
  <c r="BK1149" i="1"/>
  <c r="AT1154" i="1"/>
  <c r="BN1156" i="1" a="1"/>
  <c r="BN1156" i="1" s="1"/>
  <c r="BN1163" i="1" a="1"/>
  <c r="BN1163" i="1" s="1"/>
  <c r="BL1090" i="1" a="1"/>
  <c r="BL1090" i="1" s="1"/>
  <c r="BN1091" i="1" a="1"/>
  <c r="BN1091" i="1" s="1"/>
  <c r="BK1097" i="1"/>
  <c r="BL1151" i="1" a="1"/>
  <c r="BL1151" i="1" s="1"/>
  <c r="BM1156" i="1" a="1"/>
  <c r="BM1156" i="1" s="1"/>
  <c r="BJ1156" i="1" s="1" a="1"/>
  <c r="BJ1156" i="1" s="1"/>
  <c r="BK1157" i="1"/>
  <c r="BM1160" i="1" a="1"/>
  <c r="BM1160" i="1" s="1"/>
  <c r="BJ1160" i="1" s="1" a="1"/>
  <c r="BJ1160" i="1" s="1"/>
  <c r="BM1164" i="1" a="1"/>
  <c r="BM1164" i="1" s="1"/>
  <c r="BJ1164" i="1" s="1" a="1"/>
  <c r="BJ1164" i="1" s="1"/>
  <c r="BK1071" i="1"/>
  <c r="BI1077" i="1" a="1"/>
  <c r="BI1077" i="1" s="1"/>
  <c r="BK1078" i="1"/>
  <c r="BN1088" i="1" a="1"/>
  <c r="BN1088" i="1" s="1"/>
  <c r="BM1090" i="1" a="1"/>
  <c r="BM1090" i="1" s="1"/>
  <c r="BJ1090" i="1" s="1" a="1"/>
  <c r="BJ1090" i="1" s="1"/>
  <c r="AT1094" i="1"/>
  <c r="BK1103" i="1"/>
  <c r="BL1116" i="1" a="1"/>
  <c r="BL1116" i="1" s="1"/>
  <c r="BM1118" i="1" a="1"/>
  <c r="BM1118" i="1" s="1"/>
  <c r="BJ1118" i="1" s="1" a="1"/>
  <c r="BJ1118" i="1" s="1"/>
  <c r="BL1126" i="1" a="1"/>
  <c r="BL1126" i="1" s="1"/>
  <c r="AT1130" i="1"/>
  <c r="BL1137" i="1" a="1"/>
  <c r="BL1137" i="1" s="1"/>
  <c r="BL1139" i="1" a="1"/>
  <c r="BL1139" i="1" s="1"/>
  <c r="BN1149" i="1" a="1"/>
  <c r="BN1149" i="1" s="1"/>
  <c r="BK1150" i="1"/>
  <c r="BM1151" i="1" a="1"/>
  <c r="BM1151" i="1" s="1"/>
  <c r="BJ1151" i="1" s="1" a="1"/>
  <c r="BJ1151" i="1" s="1"/>
  <c r="BI1154" i="1" a="1"/>
  <c r="BI1154" i="1" s="1"/>
  <c r="AT1157" i="1"/>
  <c r="BL1160" i="1" a="1"/>
  <c r="BL1160" i="1" s="1"/>
  <c r="BN1070" i="1" a="1"/>
  <c r="BN1070" i="1" s="1"/>
  <c r="BK1076" i="1"/>
  <c r="BL1080" i="1" a="1"/>
  <c r="BL1080" i="1" s="1"/>
  <c r="BK1082" i="1"/>
  <c r="BK1089" i="1"/>
  <c r="BM1092" i="1" a="1"/>
  <c r="BM1092" i="1" s="1"/>
  <c r="BJ1092" i="1" s="1" a="1"/>
  <c r="BJ1092" i="1" s="1"/>
  <c r="BN1106" i="1" a="1"/>
  <c r="BN1106" i="1" s="1"/>
  <c r="AT1109" i="1"/>
  <c r="BM1110" i="1" a="1"/>
  <c r="BM1110" i="1" s="1"/>
  <c r="BJ1110" i="1" s="1" a="1"/>
  <c r="BJ1110" i="1" s="1"/>
  <c r="BL1114" i="1" a="1"/>
  <c r="BL1114" i="1" s="1"/>
  <c r="AT1118" i="1"/>
  <c r="BK1119" i="1"/>
  <c r="AT1122" i="1"/>
  <c r="BI1124" i="1" a="1"/>
  <c r="BI1124" i="1" s="1"/>
  <c r="BK1127" i="1"/>
  <c r="BI1128" i="1" a="1"/>
  <c r="BI1128" i="1" s="1"/>
  <c r="BM1134" i="1" a="1"/>
  <c r="BM1134" i="1" s="1"/>
  <c r="BJ1134" i="1" s="1" a="1"/>
  <c r="BJ1134" i="1" s="1"/>
  <c r="BN1137" i="1" a="1"/>
  <c r="BN1137" i="1" s="1"/>
  <c r="BI1139" i="1" a="1"/>
  <c r="BI1139" i="1" s="1"/>
  <c r="BK1140" i="1"/>
  <c r="BI1151" i="1" a="1"/>
  <c r="BI1151" i="1" s="1"/>
  <c r="BM1152" i="1" a="1"/>
  <c r="BM1152" i="1" s="1"/>
  <c r="BJ1152" i="1" s="1" a="1"/>
  <c r="BJ1152" i="1" s="1"/>
  <c r="BK1155" i="1"/>
  <c r="BN1157" i="1" a="1"/>
  <c r="BN1157" i="1" s="1"/>
  <c r="BN1161" i="1" a="1"/>
  <c r="BN1161" i="1" s="1"/>
  <c r="BL1164" i="1" a="1"/>
  <c r="BL1164" i="1" s="1"/>
  <c r="BM1159" i="1" a="1"/>
  <c r="BM1159" i="1" s="1"/>
  <c r="BJ1159" i="1" s="1" a="1"/>
  <c r="BJ1159" i="1" s="1"/>
  <c r="BK1086" i="1"/>
  <c r="BK1091" i="1"/>
  <c r="BM1098" i="1" a="1"/>
  <c r="BM1098" i="1" s="1"/>
  <c r="BJ1098" i="1" s="1" a="1"/>
  <c r="BJ1098" i="1" s="1"/>
  <c r="BK1102" i="1"/>
  <c r="BK1107" i="1"/>
  <c r="BK1115" i="1"/>
  <c r="BK1131" i="1"/>
  <c r="BK1138" i="1"/>
  <c r="BM1140" i="1" a="1"/>
  <c r="BM1140" i="1" s="1"/>
  <c r="BJ1140" i="1" s="1" a="1"/>
  <c r="BJ1140" i="1" s="1"/>
  <c r="BK1145" i="1"/>
  <c r="BL1150" i="1" a="1"/>
  <c r="BL1150" i="1" s="1"/>
  <c r="BM1158" i="1" a="1"/>
  <c r="BM1158" i="1" s="1"/>
  <c r="BJ1158" i="1" s="1" a="1"/>
  <c r="BJ1158" i="1" s="1"/>
  <c r="BL1161" i="1" a="1"/>
  <c r="BL1161" i="1" s="1"/>
  <c r="BK1162" i="1"/>
  <c r="BK1073" i="1"/>
  <c r="BN1076" i="1" a="1"/>
  <c r="BN1076" i="1" s="1"/>
  <c r="BK1079" i="1"/>
  <c r="BI1082" i="1" a="1"/>
  <c r="BI1082" i="1" s="1"/>
  <c r="BM1085" i="1" a="1"/>
  <c r="BM1085" i="1" s="1"/>
  <c r="BJ1085" i="1" s="1" a="1"/>
  <c r="BJ1085" i="1" s="1"/>
  <c r="BM1086" i="1" a="1"/>
  <c r="BM1086" i="1" s="1"/>
  <c r="BJ1086" i="1" s="1" a="1"/>
  <c r="BJ1086" i="1" s="1"/>
  <c r="BM1089" i="1" a="1"/>
  <c r="BM1089" i="1" s="1"/>
  <c r="BJ1089" i="1" s="1" a="1"/>
  <c r="BJ1089" i="1" s="1"/>
  <c r="BK1095" i="1"/>
  <c r="AT1119" i="1"/>
  <c r="BK1122" i="1"/>
  <c r="BK1125" i="1"/>
  <c r="BL1127" i="1" a="1"/>
  <c r="BL1127" i="1" s="1"/>
  <c r="BM1148" i="1" a="1"/>
  <c r="BM1148" i="1" s="1"/>
  <c r="BJ1148" i="1" s="1" a="1"/>
  <c r="BJ1148" i="1" s="1"/>
  <c r="BI1161" i="1" a="1"/>
  <c r="BI1161" i="1" s="1"/>
  <c r="BK1160" i="1"/>
  <c r="BM1161" i="1" a="1"/>
  <c r="BM1161" i="1" s="1"/>
  <c r="BJ1161" i="1" s="1" a="1"/>
  <c r="BJ1161" i="1" s="1"/>
  <c r="BL1163" i="1" a="1"/>
  <c r="BL1163" i="1" s="1"/>
  <c r="BI1164" i="1" a="1"/>
  <c r="BI1164" i="1" s="1"/>
  <c r="BM1163" i="1" a="1"/>
  <c r="BM1163" i="1" s="1"/>
  <c r="BJ1163" i="1" s="1" a="1"/>
  <c r="BJ1163" i="1" s="1"/>
  <c r="BL1162" i="1" a="1"/>
  <c r="BL1162" i="1" s="1"/>
  <c r="BI1163" i="1" a="1"/>
  <c r="BI1163" i="1" s="1"/>
  <c r="BK1164" i="1"/>
  <c r="BM1162" i="1" a="1"/>
  <c r="BM1162" i="1" s="1"/>
  <c r="BJ1162" i="1" s="1" a="1"/>
  <c r="BJ1162" i="1" s="1"/>
  <c r="BI1162" i="1" a="1"/>
  <c r="BI1162" i="1" s="1"/>
  <c r="BK1158" i="1"/>
  <c r="BK1156" i="1"/>
  <c r="BK1154" i="1"/>
  <c r="BN1155" i="1" a="1"/>
  <c r="BN1155" i="1" s="1"/>
  <c r="BM1157" i="1" a="1"/>
  <c r="BM1157" i="1" s="1"/>
  <c r="BJ1157" i="1" s="1" a="1"/>
  <c r="BJ1157" i="1" s="1"/>
  <c r="AT1158" i="1"/>
  <c r="BM1154" i="1" a="1"/>
  <c r="BM1154" i="1" s="1"/>
  <c r="BJ1154" i="1" s="1" a="1"/>
  <c r="BJ1154" i="1" s="1"/>
  <c r="AT1155" i="1"/>
  <c r="BI1157" i="1" a="1"/>
  <c r="BI1157" i="1" s="1"/>
  <c r="BI1156" i="1" a="1"/>
  <c r="BI1156" i="1" s="1"/>
  <c r="E1150" i="1" a="1"/>
  <c r="E1150" i="1" s="1"/>
  <c r="E1152" i="1" a="1"/>
  <c r="E1152" i="1" s="1"/>
  <c r="BL1152" i="1" a="1"/>
  <c r="BL1152" i="1" s="1"/>
  <c r="E1149" i="1" a="1"/>
  <c r="E1149" i="1" s="1"/>
  <c r="BK1148" i="1"/>
  <c r="BL1149" i="1" a="1"/>
  <c r="BL1149" i="1" s="1"/>
  <c r="BM1149" i="1" a="1"/>
  <c r="BM1149" i="1" s="1"/>
  <c r="BJ1149" i="1" s="1" a="1"/>
  <c r="BJ1149" i="1" s="1"/>
  <c r="BI1150" i="1" a="1"/>
  <c r="BI1150" i="1" s="1"/>
  <c r="E1151" i="1" a="1"/>
  <c r="E1151" i="1" s="1"/>
  <c r="BN1151" i="1" a="1"/>
  <c r="BN1151" i="1" s="1"/>
  <c r="BI1149" i="1" a="1"/>
  <c r="BI1149" i="1" s="1"/>
  <c r="BN1150" i="1" a="1"/>
  <c r="BN1150" i="1" s="1"/>
  <c r="BK1152" i="1"/>
  <c r="E1148" i="1" a="1"/>
  <c r="E1148" i="1" s="1"/>
  <c r="BK1144" i="1"/>
  <c r="BK1146" i="1"/>
  <c r="E1146" i="1" a="1"/>
  <c r="E1146" i="1" s="1"/>
  <c r="E1144" i="1" a="1"/>
  <c r="E1144" i="1" s="1"/>
  <c r="BI1144" i="1" a="1"/>
  <c r="BI1144" i="1" s="1"/>
  <c r="BN1145" i="1" a="1"/>
  <c r="BN1145" i="1" s="1"/>
  <c r="BK1142" i="1"/>
  <c r="BM1144" i="1" a="1"/>
  <c r="BM1144" i="1" s="1"/>
  <c r="BJ1144" i="1" s="1" a="1"/>
  <c r="BJ1144" i="1" s="1"/>
  <c r="BM1142" i="1" a="1"/>
  <c r="BM1142" i="1" s="1"/>
  <c r="BJ1142" i="1" s="1" a="1"/>
  <c r="BJ1142" i="1" s="1"/>
  <c r="BI1143" i="1" a="1"/>
  <c r="BI1143" i="1" s="1"/>
  <c r="BN1144" i="1" a="1"/>
  <c r="BN1144" i="1" s="1"/>
  <c r="AT1145" i="1"/>
  <c r="BI1142" i="1" a="1"/>
  <c r="BI1142" i="1" s="1"/>
  <c r="E1143" i="1" a="1"/>
  <c r="E1143" i="1" s="1"/>
  <c r="AT1144" i="1"/>
  <c r="E1142" i="1" a="1"/>
  <c r="E1142" i="1" s="1"/>
  <c r="AT1143" i="1"/>
  <c r="E1137" i="1" a="1"/>
  <c r="E1137" i="1" s="1"/>
  <c r="E1140" i="1" a="1"/>
  <c r="E1140" i="1" s="1"/>
  <c r="E1138" i="1" a="1"/>
  <c r="E1138" i="1" s="1"/>
  <c r="BL1138" i="1" a="1"/>
  <c r="BL1138" i="1" s="1"/>
  <c r="BL1140" i="1" a="1"/>
  <c r="BL1140" i="1" s="1"/>
  <c r="BM1139" i="1" a="1"/>
  <c r="BM1139" i="1" s="1"/>
  <c r="BJ1139" i="1" s="1" a="1"/>
  <c r="BJ1139" i="1" s="1"/>
  <c r="BL1136" i="1" a="1"/>
  <c r="BL1136" i="1" s="1"/>
  <c r="BM1138" i="1" a="1"/>
  <c r="BM1138" i="1" s="1"/>
  <c r="BJ1138" i="1" s="1" a="1"/>
  <c r="BJ1138" i="1" s="1"/>
  <c r="BN1140" i="1" a="1"/>
  <c r="BN1140" i="1" s="1"/>
  <c r="BM1137" i="1" a="1"/>
  <c r="BM1137" i="1" s="1"/>
  <c r="BJ1137" i="1" s="1" a="1"/>
  <c r="BJ1137" i="1" s="1"/>
  <c r="BI1138" i="1" a="1"/>
  <c r="BI1138" i="1" s="1"/>
  <c r="E1139" i="1" a="1"/>
  <c r="E1139" i="1" s="1"/>
  <c r="BN1139" i="1" a="1"/>
  <c r="BN1139" i="1" s="1"/>
  <c r="BM1136" i="1" a="1"/>
  <c r="BM1136" i="1" s="1"/>
  <c r="BJ1136" i="1" s="1" a="1"/>
  <c r="BJ1136" i="1" s="1"/>
  <c r="E1136" i="1" a="1"/>
  <c r="E1136" i="1" s="1"/>
  <c r="BK1134" i="1"/>
  <c r="E1132" i="1" a="1"/>
  <c r="E1132" i="1" s="1"/>
  <c r="E1130" i="1" a="1"/>
  <c r="E1130" i="1" s="1"/>
  <c r="BK1132" i="1"/>
  <c r="E1134" i="1" a="1"/>
  <c r="E1134" i="1" s="1"/>
  <c r="BK1130" i="1"/>
  <c r="BM1133" i="1" a="1"/>
  <c r="BM1133" i="1" s="1"/>
  <c r="BJ1133" i="1" s="1" a="1"/>
  <c r="BJ1133" i="1" s="1"/>
  <c r="BI1134" i="1" a="1"/>
  <c r="BI1134" i="1" s="1"/>
  <c r="BM1131" i="1" a="1"/>
  <c r="BM1131" i="1" s="1"/>
  <c r="BJ1131" i="1" s="1" a="1"/>
  <c r="BJ1131" i="1" s="1"/>
  <c r="BI1132" i="1" a="1"/>
  <c r="BI1132" i="1" s="1"/>
  <c r="E1133" i="1" a="1"/>
  <c r="E1133" i="1" s="1"/>
  <c r="BN1133" i="1" a="1"/>
  <c r="BN1133" i="1" s="1"/>
  <c r="AT1134" i="1"/>
  <c r="BM1132" i="1" a="1"/>
  <c r="BM1132" i="1" s="1"/>
  <c r="BJ1132" i="1" s="1" a="1"/>
  <c r="BJ1132" i="1" s="1"/>
  <c r="BM1130" i="1" a="1"/>
  <c r="BM1130" i="1" s="1"/>
  <c r="BJ1130" i="1" s="1" a="1"/>
  <c r="BJ1130" i="1" s="1"/>
  <c r="BI1131" i="1" a="1"/>
  <c r="BI1131" i="1" s="1"/>
  <c r="AT1133" i="1"/>
  <c r="BI1130" i="1" a="1"/>
  <c r="BI1130" i="1" s="1"/>
  <c r="E1131" i="1" a="1"/>
  <c r="E1131" i="1" s="1"/>
  <c r="AT1132" i="1"/>
  <c r="AT1131" i="1"/>
  <c r="E1126" i="1" a="1"/>
  <c r="E1126" i="1" s="1"/>
  <c r="BL1128" i="1" a="1"/>
  <c r="BL1128" i="1" s="1"/>
  <c r="E1128" i="1" a="1"/>
  <c r="E1128" i="1" s="1"/>
  <c r="BL1124" i="1" a="1"/>
  <c r="BL1124" i="1" s="1"/>
  <c r="BM1126" i="1" a="1"/>
  <c r="BM1126" i="1" s="1"/>
  <c r="BJ1126" i="1" s="1" a="1"/>
  <c r="BJ1126" i="1" s="1"/>
  <c r="BM1125" i="1" a="1"/>
  <c r="BM1125" i="1" s="1"/>
  <c r="BJ1125" i="1" s="1" a="1"/>
  <c r="BJ1125" i="1" s="1"/>
  <c r="BI1126" i="1" a="1"/>
  <c r="BI1126" i="1" s="1"/>
  <c r="E1127" i="1" a="1"/>
  <c r="E1127" i="1" s="1"/>
  <c r="BN1127" i="1" a="1"/>
  <c r="BN1127" i="1" s="1"/>
  <c r="BM1124" i="1" a="1"/>
  <c r="BM1124" i="1" s="1"/>
  <c r="BJ1124" i="1" s="1" a="1"/>
  <c r="BJ1124" i="1" s="1"/>
  <c r="BI1125" i="1" a="1"/>
  <c r="BI1125" i="1" s="1"/>
  <c r="BN1126" i="1" a="1"/>
  <c r="BN1126" i="1" s="1"/>
  <c r="E1125" i="1" a="1"/>
  <c r="E1125" i="1" s="1"/>
  <c r="BK1128" i="1"/>
  <c r="E1124" i="1" a="1"/>
  <c r="E1124" i="1" s="1"/>
  <c r="E1118" i="1" a="1"/>
  <c r="E1118" i="1" s="1"/>
  <c r="BK1120" i="1"/>
  <c r="E1119" i="1" a="1"/>
  <c r="E1119" i="1" s="1"/>
  <c r="E1120" i="1" a="1"/>
  <c r="E1120" i="1" s="1"/>
  <c r="E1122" i="1" a="1"/>
  <c r="E1122" i="1" s="1"/>
  <c r="BK1118" i="1"/>
  <c r="BM1121" i="1" a="1"/>
  <c r="BM1121" i="1" s="1"/>
  <c r="BJ1121" i="1" s="1" a="1"/>
  <c r="BJ1121" i="1" s="1"/>
  <c r="BI1122" i="1" a="1"/>
  <c r="BI1122" i="1" s="1"/>
  <c r="BM1119" i="1" a="1"/>
  <c r="BM1119" i="1" s="1"/>
  <c r="BJ1119" i="1" s="1" a="1"/>
  <c r="BJ1119" i="1" s="1"/>
  <c r="BI1119" i="1" a="1"/>
  <c r="BI1119" i="1" s="1"/>
  <c r="BN1120" i="1" a="1"/>
  <c r="BN1120" i="1" s="1"/>
  <c r="AT1121" i="1"/>
  <c r="BI1118" i="1" a="1"/>
  <c r="BI1118" i="1" s="1"/>
  <c r="BN1119" i="1" a="1"/>
  <c r="BN1119" i="1" s="1"/>
  <c r="AT1120" i="1"/>
  <c r="E1113" i="1" a="1"/>
  <c r="E1113" i="1" s="1"/>
  <c r="BL1113" i="1" a="1"/>
  <c r="BL1113" i="1" s="1"/>
  <c r="BK1112" i="1"/>
  <c r="BL1112" i="1" a="1"/>
  <c r="BL1112" i="1" s="1"/>
  <c r="BM1114" i="1" a="1"/>
  <c r="BM1114" i="1" s="1"/>
  <c r="BJ1114" i="1" s="1" a="1"/>
  <c r="BJ1114" i="1" s="1"/>
  <c r="BI1115" i="1" a="1"/>
  <c r="BI1115" i="1" s="1"/>
  <c r="E1116" i="1" a="1"/>
  <c r="E1116" i="1" s="1"/>
  <c r="BN1116" i="1" a="1"/>
  <c r="BN1116" i="1" s="1"/>
  <c r="BM1113" i="1" a="1"/>
  <c r="BM1113" i="1" s="1"/>
  <c r="BJ1113" i="1" s="1" a="1"/>
  <c r="BJ1113" i="1" s="1"/>
  <c r="BI1114" i="1" a="1"/>
  <c r="BI1114" i="1" s="1"/>
  <c r="E1115" i="1" a="1"/>
  <c r="E1115" i="1" s="1"/>
  <c r="BN1115" i="1" a="1"/>
  <c r="BN1115" i="1" s="1"/>
  <c r="BI1113" i="1" a="1"/>
  <c r="BI1113" i="1" s="1"/>
  <c r="E1114" i="1" a="1"/>
  <c r="E1114" i="1" s="1"/>
  <c r="BN1114" i="1" a="1"/>
  <c r="BN1114" i="1" s="1"/>
  <c r="BK1116" i="1"/>
  <c r="E1112" i="1" a="1"/>
  <c r="E1112" i="1" s="1"/>
  <c r="E1110" i="1" a="1"/>
  <c r="E1110" i="1" s="1"/>
  <c r="BK1108" i="1"/>
  <c r="E1108" i="1" a="1"/>
  <c r="E1108" i="1" s="1"/>
  <c r="BK1106" i="1"/>
  <c r="BM1108" i="1" a="1"/>
  <c r="BM1108" i="1" s="1"/>
  <c r="BJ1108" i="1" s="1" a="1"/>
  <c r="BJ1108" i="1" s="1"/>
  <c r="BI1109" i="1" a="1"/>
  <c r="BI1109" i="1" s="1"/>
  <c r="BM1107" i="1" a="1"/>
  <c r="BM1107" i="1" s="1"/>
  <c r="BJ1107" i="1" s="1" a="1"/>
  <c r="BJ1107" i="1" s="1"/>
  <c r="BI1108" i="1" a="1"/>
  <c r="BI1108" i="1" s="1"/>
  <c r="E1109" i="1" a="1"/>
  <c r="E1109" i="1" s="1"/>
  <c r="BN1109" i="1" a="1"/>
  <c r="BN1109" i="1" s="1"/>
  <c r="AT1110" i="1"/>
  <c r="BM1106" i="1" a="1"/>
  <c r="BM1106" i="1" s="1"/>
  <c r="BJ1106" i="1" s="1" a="1"/>
  <c r="BJ1106" i="1" s="1"/>
  <c r="BN1108" i="1" a="1"/>
  <c r="BN1108" i="1" s="1"/>
  <c r="BI1106" i="1" a="1"/>
  <c r="BI1106" i="1" s="1"/>
  <c r="E1107" i="1" a="1"/>
  <c r="E1107" i="1" s="1"/>
  <c r="AT1108" i="1"/>
  <c r="BK1110" i="1"/>
  <c r="E1106" i="1" a="1"/>
  <c r="E1106" i="1" s="1"/>
  <c r="AT1107" i="1"/>
  <c r="E1101" i="1" a="1"/>
  <c r="E1101" i="1" s="1"/>
  <c r="E1102" i="1" a="1"/>
  <c r="E1102" i="1" s="1"/>
  <c r="E1104" i="1" a="1"/>
  <c r="E1104" i="1" s="1"/>
  <c r="BK1101" i="1"/>
  <c r="BM1103" i="1" a="1"/>
  <c r="BM1103" i="1" s="1"/>
  <c r="BJ1103" i="1" s="1" a="1"/>
  <c r="BJ1103" i="1" s="1"/>
  <c r="BI1104" i="1" a="1"/>
  <c r="BI1104" i="1" s="1"/>
  <c r="BM1101" i="1" a="1"/>
  <c r="BM1101" i="1" s="1"/>
  <c r="BJ1101" i="1" s="1" a="1"/>
  <c r="BJ1101" i="1" s="1"/>
  <c r="BI1101" i="1" a="1"/>
  <c r="BI1101" i="1" s="1"/>
  <c r="BN1102" i="1" a="1"/>
  <c r="BN1102" i="1" s="1"/>
  <c r="BI1100" i="1" a="1"/>
  <c r="BI1100" i="1" s="1"/>
  <c r="BK1104" i="1"/>
  <c r="E1096" i="1" a="1"/>
  <c r="E1096" i="1" s="1"/>
  <c r="E1094" i="1" a="1"/>
  <c r="E1094" i="1" s="1"/>
  <c r="BK1098" i="1"/>
  <c r="E1098" i="1" a="1"/>
  <c r="E1098" i="1" s="1"/>
  <c r="BK1094" i="1"/>
  <c r="BM1097" i="1" a="1"/>
  <c r="BM1097" i="1" s="1"/>
  <c r="BJ1097" i="1" s="1" a="1"/>
  <c r="BJ1097" i="1" s="1"/>
  <c r="BI1098" i="1" a="1"/>
  <c r="BI1098" i="1" s="1"/>
  <c r="BM1095" i="1" a="1"/>
  <c r="BM1095" i="1" s="1"/>
  <c r="BJ1095" i="1" s="1" a="1"/>
  <c r="BJ1095" i="1" s="1"/>
  <c r="BI1096" i="1" a="1"/>
  <c r="BI1096" i="1" s="1"/>
  <c r="E1097" i="1" a="1"/>
  <c r="E1097" i="1" s="1"/>
  <c r="BN1097" i="1" a="1"/>
  <c r="BN1097" i="1" s="1"/>
  <c r="AT1098" i="1"/>
  <c r="BM1094" i="1" a="1"/>
  <c r="BM1094" i="1" s="1"/>
  <c r="BJ1094" i="1" s="1" a="1"/>
  <c r="BJ1094" i="1" s="1"/>
  <c r="BI1095" i="1" a="1"/>
  <c r="BI1095" i="1" s="1"/>
  <c r="AT1097" i="1"/>
  <c r="BM1096" i="1" a="1"/>
  <c r="BM1096" i="1" s="1"/>
  <c r="BJ1096" i="1" s="1" a="1"/>
  <c r="BJ1096" i="1" s="1"/>
  <c r="E1095" i="1" a="1"/>
  <c r="E1095" i="1" s="1"/>
  <c r="AT1096" i="1"/>
  <c r="AT1095" i="1"/>
  <c r="BL1088" i="1" a="1"/>
  <c r="BL1088" i="1" s="1"/>
  <c r="E1088" i="1" a="1"/>
  <c r="E1088" i="1" s="1"/>
  <c r="E1092" i="1" a="1"/>
  <c r="E1092" i="1" s="1"/>
  <c r="BL1092" i="1" a="1"/>
  <c r="BL1092" i="1" s="1"/>
  <c r="BI1090" i="1" a="1"/>
  <c r="BI1090" i="1" s="1"/>
  <c r="BK1088" i="1"/>
  <c r="BL1089" i="1" a="1"/>
  <c r="BL1089" i="1" s="1"/>
  <c r="BM1091" i="1" a="1"/>
  <c r="BM1091" i="1" s="1"/>
  <c r="BJ1091" i="1" s="1" a="1"/>
  <c r="BJ1091" i="1" s="1"/>
  <c r="BI1092" i="1" a="1"/>
  <c r="BI1092" i="1" s="1"/>
  <c r="BI1089" i="1" a="1"/>
  <c r="BI1089" i="1" s="1"/>
  <c r="E1090" i="1" a="1"/>
  <c r="E1090" i="1" s="1"/>
  <c r="BI1088" i="1" a="1"/>
  <c r="BI1088" i="1" s="1"/>
  <c r="E1089" i="1" a="1"/>
  <c r="E1089" i="1" s="1"/>
  <c r="BN1089" i="1" a="1"/>
  <c r="BN1089" i="1" s="1"/>
  <c r="E1086" i="1" a="1"/>
  <c r="E1086" i="1" s="1"/>
  <c r="BK1084" i="1"/>
  <c r="E1084" i="1" a="1"/>
  <c r="E1084" i="1" s="1"/>
  <c r="BM1084" i="1" a="1"/>
  <c r="BM1084" i="1" s="1"/>
  <c r="BJ1084" i="1" s="1" a="1"/>
  <c r="BJ1084" i="1" s="1"/>
  <c r="BM1083" i="1" a="1"/>
  <c r="BM1083" i="1" s="1"/>
  <c r="BJ1083" i="1" s="1" a="1"/>
  <c r="BJ1083" i="1" s="1"/>
  <c r="BI1084" i="1" a="1"/>
  <c r="BI1084" i="1" s="1"/>
  <c r="E1085" i="1" a="1"/>
  <c r="E1085" i="1" s="1"/>
  <c r="BN1085" i="1" a="1"/>
  <c r="BN1085" i="1" s="1"/>
  <c r="AT1086" i="1"/>
  <c r="BM1082" i="1" a="1"/>
  <c r="BM1082" i="1" s="1"/>
  <c r="BJ1082" i="1" s="1" a="1"/>
  <c r="BJ1082" i="1" s="1"/>
  <c r="BI1083" i="1" a="1"/>
  <c r="BI1083" i="1" s="1"/>
  <c r="BN1084" i="1" a="1"/>
  <c r="BN1084" i="1" s="1"/>
  <c r="AT1085" i="1"/>
  <c r="E1083" i="1" a="1"/>
  <c r="E1083" i="1" s="1"/>
  <c r="AT1084" i="1"/>
  <c r="E1082" i="1" a="1"/>
  <c r="E1082" i="1" s="1"/>
  <c r="AT1082" i="1"/>
  <c r="E1077" i="1" a="1"/>
  <c r="E1077" i="1" s="1"/>
  <c r="BL1077" i="1" a="1"/>
  <c r="BL1077" i="1" s="1"/>
  <c r="E1080" i="1" a="1"/>
  <c r="E1080" i="1" s="1"/>
  <c r="E1079" i="1" a="1"/>
  <c r="E1079" i="1" s="1"/>
  <c r="E1078" i="1" a="1"/>
  <c r="E1078" i="1" s="1"/>
  <c r="BL1078" i="1" a="1"/>
  <c r="BL1078" i="1" s="1"/>
  <c r="BL1076" i="1" a="1"/>
  <c r="BL1076" i="1" s="1"/>
  <c r="BM1078" i="1" a="1"/>
  <c r="BM1078" i="1" s="1"/>
  <c r="BJ1078" i="1" s="1" a="1"/>
  <c r="BJ1078" i="1" s="1"/>
  <c r="BI1079" i="1" a="1"/>
  <c r="BI1079" i="1" s="1"/>
  <c r="BN1080" i="1" a="1"/>
  <c r="BN1080" i="1" s="1"/>
  <c r="BM1077" i="1" a="1"/>
  <c r="BM1077" i="1" s="1"/>
  <c r="BJ1077" i="1" s="1" a="1"/>
  <c r="BJ1077" i="1" s="1"/>
  <c r="BI1078" i="1" a="1"/>
  <c r="BI1078" i="1" s="1"/>
  <c r="BN1079" i="1" a="1"/>
  <c r="BN1079" i="1" s="1"/>
  <c r="BI1076" i="1" a="1"/>
  <c r="BI1076" i="1" s="1"/>
  <c r="BK1080" i="1"/>
  <c r="E1076" i="1" a="1"/>
  <c r="E1076" i="1" s="1"/>
  <c r="E1072" i="1" a="1"/>
  <c r="E1072" i="1" s="1"/>
  <c r="E1074" i="1" a="1"/>
  <c r="E1074" i="1" s="1"/>
  <c r="BK1072" i="1"/>
  <c r="BM1072" i="1" a="1"/>
  <c r="BM1072" i="1" s="1"/>
  <c r="BJ1072" i="1" s="1" a="1"/>
  <c r="BJ1072" i="1" s="1"/>
  <c r="BI1073" i="1" a="1"/>
  <c r="BI1073" i="1" s="1"/>
  <c r="BN1074" i="1" a="1"/>
  <c r="BN1074" i="1" s="1"/>
  <c r="BM1071" i="1" a="1"/>
  <c r="BM1071" i="1" s="1"/>
  <c r="BJ1071" i="1" s="1" a="1"/>
  <c r="BJ1071" i="1" s="1"/>
  <c r="BI1072" i="1" a="1"/>
  <c r="BI1072" i="1" s="1"/>
  <c r="E1073" i="1" a="1"/>
  <c r="E1073" i="1" s="1"/>
  <c r="BN1073" i="1" a="1"/>
  <c r="BN1073" i="1" s="1"/>
  <c r="AT1074" i="1"/>
  <c r="BM1070" i="1" a="1"/>
  <c r="BM1070" i="1" s="1"/>
  <c r="BJ1070" i="1" s="1" a="1"/>
  <c r="BJ1070" i="1" s="1"/>
  <c r="BI1071" i="1" a="1"/>
  <c r="BI1071" i="1" s="1"/>
  <c r="BN1072" i="1" a="1"/>
  <c r="BN1072" i="1" s="1"/>
  <c r="AT1073" i="1"/>
  <c r="BK1070" i="1"/>
  <c r="E1071" i="1" a="1"/>
  <c r="E1071" i="1" s="1"/>
  <c r="AT1072" i="1"/>
  <c r="E1070" i="1" a="1"/>
  <c r="E1070" i="1" s="1"/>
  <c r="AT1071" i="1"/>
  <c r="BL1159" i="1" a="1"/>
  <c r="BL1159" i="1" s="1"/>
  <c r="BK1159" i="1"/>
  <c r="BN2362" i="1" a="1"/>
  <c r="BN2362" i="1" s="1"/>
  <c r="BN1624" i="1" a="1"/>
  <c r="BN1624" i="1" s="1"/>
  <c r="BN2376" i="1" a="1"/>
  <c r="BN2376" i="1" s="1"/>
  <c r="BN1630" i="1" a="1"/>
  <c r="BN1630" i="1" s="1"/>
  <c r="BI2376" i="1" a="1"/>
  <c r="BI2376" i="1" s="1"/>
  <c r="BI1174" i="1" a="1"/>
  <c r="BI1174" i="1" s="1"/>
  <c r="BI1175" i="1" a="1"/>
  <c r="BI1175" i="1" s="1"/>
  <c r="BN249" i="1" a="1"/>
  <c r="BN249" i="1" s="1"/>
  <c r="BN257" i="1" a="1"/>
  <c r="BN257" i="1" s="1"/>
  <c r="BN1165" i="1" a="1"/>
  <c r="BN1165" i="1" s="1"/>
  <c r="BN1166" i="1" a="1"/>
  <c r="BN1166" i="1" s="1"/>
  <c r="BI2360" i="1" a="1"/>
  <c r="BI2360" i="1" s="1"/>
  <c r="BN1627" i="1" a="1"/>
  <c r="BN1627" i="1" s="1"/>
  <c r="BM1629" i="1" a="1"/>
  <c r="BM1629" i="1" s="1"/>
  <c r="BJ1629" i="1" s="1" a="1"/>
  <c r="BJ1629" i="1" s="1"/>
  <c r="AS2370" i="1"/>
  <c r="BN2361" i="1" a="1"/>
  <c r="BN2361" i="1" s="1"/>
  <c r="BI1626" i="1" a="1"/>
  <c r="BI1626" i="1" s="1"/>
  <c r="BM1173" i="1" a="1"/>
  <c r="BM1173" i="1" s="1"/>
  <c r="BJ1173" i="1" s="1" a="1"/>
  <c r="BJ1173" i="1" s="1"/>
  <c r="BN2364" i="1" a="1"/>
  <c r="BN2364" i="1" s="1"/>
  <c r="AZ2370" i="1"/>
  <c r="BK2370" i="1" s="1"/>
  <c r="AZ2366" i="1"/>
  <c r="AT2366" i="1" s="1"/>
  <c r="BI1165" i="1" a="1"/>
  <c r="BI1165" i="1" s="1"/>
  <c r="AS2366" i="1"/>
  <c r="AS2368" i="1"/>
  <c r="BN2371" i="1" a="1"/>
  <c r="BN2371" i="1" s="1"/>
  <c r="BI247" i="1" a="1"/>
  <c r="BI247" i="1" s="1"/>
  <c r="BK1168" i="1"/>
  <c r="BI1629" i="1" a="1"/>
  <c r="BI1629" i="1" s="1"/>
  <c r="AS2367" i="1"/>
  <c r="AZ2369" i="1"/>
  <c r="AT2369" i="1" s="1"/>
  <c r="BM1622" i="1" a="1"/>
  <c r="BM1622" i="1" s="1"/>
  <c r="BJ1622" i="1" s="1" a="1"/>
  <c r="BJ1622" i="1" s="1"/>
  <c r="BI2364" i="1" a="1"/>
  <c r="BI2364" i="1" s="1"/>
  <c r="BI249" i="1" a="1"/>
  <c r="BI249" i="1" s="1"/>
  <c r="BI251" i="1" a="1"/>
  <c r="BI251" i="1" s="1"/>
  <c r="BK256" i="1"/>
  <c r="BN1169" i="1" a="1"/>
  <c r="BN1169" i="1" s="1"/>
  <c r="BM1175" i="1" a="1"/>
  <c r="BM1175" i="1" s="1"/>
  <c r="BJ1175" i="1" s="1" a="1"/>
  <c r="BJ1175" i="1" s="1"/>
  <c r="BK1628" i="1"/>
  <c r="AS2369" i="1"/>
  <c r="BI2375" i="1" a="1"/>
  <c r="BI2375" i="1" s="1"/>
  <c r="BM2376" i="1" a="1"/>
  <c r="BM2376" i="1" s="1"/>
  <c r="BJ2376" i="1" s="1" a="1"/>
  <c r="BJ2376" i="1" s="1"/>
  <c r="BN1626" i="1" a="1"/>
  <c r="BN1626" i="1" s="1"/>
  <c r="BN2372" i="1" a="1"/>
  <c r="BN2372" i="1" s="1"/>
  <c r="BK2373" i="1"/>
  <c r="BI255" i="1" a="1"/>
  <c r="BI255" i="1" s="1"/>
  <c r="BI1169" i="1" a="1"/>
  <c r="BI1169" i="1" s="1"/>
  <c r="BI1171" i="1" a="1"/>
  <c r="BI1171" i="1" s="1"/>
  <c r="AZ2367" i="1"/>
  <c r="AT2367" i="1" s="1"/>
  <c r="BM247" i="1" a="1"/>
  <c r="BM247" i="1" s="1"/>
  <c r="BJ247" i="1" s="1" a="1"/>
  <c r="BJ247" i="1" s="1"/>
  <c r="BK1624" i="1"/>
  <c r="BM2364" i="1" a="1"/>
  <c r="BM2364" i="1" s="1"/>
  <c r="BJ2364" i="1" s="1" a="1"/>
  <c r="BJ2364" i="1" s="1"/>
  <c r="AT2370" i="1"/>
  <c r="BI2373" i="1" a="1"/>
  <c r="BI2373" i="1" s="1"/>
  <c r="BM1167" i="1" a="1"/>
  <c r="BM1167" i="1" s="1"/>
  <c r="BJ1167" i="1" s="1" a="1"/>
  <c r="BJ1167" i="1" s="1"/>
  <c r="BN1623" i="1" a="1"/>
  <c r="BN1623" i="1" s="1"/>
  <c r="AZ2368" i="1"/>
  <c r="AT2368" i="1" s="1"/>
  <c r="BM253" i="1" a="1"/>
  <c r="BM253" i="1" s="1"/>
  <c r="BJ253" i="1" s="1" a="1"/>
  <c r="BJ253" i="1" s="1"/>
  <c r="BN254" i="1" a="1"/>
  <c r="BN254" i="1" s="1"/>
  <c r="BN255" i="1" a="1"/>
  <c r="BN255" i="1" s="1"/>
  <c r="BM1166" i="1" a="1"/>
  <c r="BM1166" i="1" s="1"/>
  <c r="BJ1166" i="1" s="1" a="1"/>
  <c r="BJ1166" i="1" s="1"/>
  <c r="AT1171" i="1"/>
  <c r="BN1621" i="1" a="1"/>
  <c r="BN1621" i="1" s="1"/>
  <c r="BK1622" i="1"/>
  <c r="BL1623" i="1" a="1"/>
  <c r="BL1623" i="1" s="1"/>
  <c r="BK1627" i="1"/>
  <c r="BK1630" i="1"/>
  <c r="BN2360" i="1" a="1"/>
  <c r="BN2360" i="1" s="1"/>
  <c r="BK2361" i="1"/>
  <c r="BL2375" i="1" a="1"/>
  <c r="BL2375" i="1" s="1"/>
  <c r="BL2363" i="1" a="1"/>
  <c r="BL2363" i="1" s="1"/>
  <c r="BL253" i="1" a="1"/>
  <c r="BL253" i="1" s="1"/>
  <c r="AT1175" i="1"/>
  <c r="BI1623" i="1" a="1"/>
  <c r="BI1623" i="1" s="1"/>
  <c r="BI2363" i="1" a="1"/>
  <c r="BI2363" i="1" s="1"/>
  <c r="BK2372" i="1"/>
  <c r="BM2375" i="1" a="1"/>
  <c r="BM2375" i="1" s="1"/>
  <c r="BJ2375" i="1" s="1" a="1"/>
  <c r="BJ2375" i="1" s="1"/>
  <c r="BN256" i="1" a="1"/>
  <c r="BN256" i="1" s="1"/>
  <c r="BK257" i="1"/>
  <c r="BN1167" i="1" a="1"/>
  <c r="BN1167" i="1" s="1"/>
  <c r="BN1171" i="1" a="1"/>
  <c r="BN1171" i="1" s="1"/>
  <c r="BK1173" i="1"/>
  <c r="BI1622" i="1" a="1"/>
  <c r="BI1622" i="1" s="1"/>
  <c r="BM1624" i="1" a="1"/>
  <c r="BM1624" i="1" s="1"/>
  <c r="BJ1624" i="1" s="1" a="1"/>
  <c r="BJ1624" i="1" s="1"/>
  <c r="BK1629" i="1"/>
  <c r="BM1630" i="1" a="1"/>
  <c r="BM1630" i="1" s="1"/>
  <c r="BJ1630" i="1" s="1" a="1"/>
  <c r="BJ1630" i="1" s="1"/>
  <c r="BK2362" i="1"/>
  <c r="BI2371" i="1" a="1"/>
  <c r="BI2371" i="1" s="1"/>
  <c r="BM248" i="1" a="1"/>
  <c r="BM248" i="1" s="1"/>
  <c r="BJ248" i="1" s="1" a="1"/>
  <c r="BJ248" i="1" s="1"/>
  <c r="BI253" i="1" a="1"/>
  <c r="BI253" i="1" s="1"/>
  <c r="BL256" i="1" a="1"/>
  <c r="BL256" i="1" s="1"/>
  <c r="BM257" i="1" a="1"/>
  <c r="BM257" i="1" s="1"/>
  <c r="BJ257" i="1" s="1" a="1"/>
  <c r="BJ257" i="1" s="1"/>
  <c r="BM1169" i="1" a="1"/>
  <c r="BM1169" i="1" s="1"/>
  <c r="BJ1169" i="1" s="1" a="1"/>
  <c r="BJ1169" i="1" s="1"/>
  <c r="AT1172" i="1"/>
  <c r="BM1620" i="1" a="1"/>
  <c r="BM1620" i="1" s="1"/>
  <c r="BJ1620" i="1" s="1" a="1"/>
  <c r="BJ1620" i="1" s="1"/>
  <c r="BI1630" i="1" a="1"/>
  <c r="BI1630" i="1" s="1"/>
  <c r="BI2361" i="1" a="1"/>
  <c r="BI2361" i="1" s="1"/>
  <c r="BK2374" i="1"/>
  <c r="BM249" i="1" a="1"/>
  <c r="BM249" i="1" s="1"/>
  <c r="BJ249" i="1" s="1" a="1"/>
  <c r="BJ249" i="1" s="1"/>
  <c r="BM256" i="1" a="1"/>
  <c r="BM256" i="1" s="1"/>
  <c r="BJ256" i="1" s="1" a="1"/>
  <c r="BJ256" i="1" s="1"/>
  <c r="BM1165" i="1" a="1"/>
  <c r="BM1165" i="1" s="1"/>
  <c r="BJ1165" i="1" s="1" a="1"/>
  <c r="BJ1165" i="1" s="1"/>
  <c r="BN1175" i="1" a="1"/>
  <c r="BN1175" i="1" s="1"/>
  <c r="BL1624" i="1" a="1"/>
  <c r="BL1624" i="1" s="1"/>
  <c r="AT1626" i="1"/>
  <c r="BK2360" i="1"/>
  <c r="BL2362" i="1" a="1"/>
  <c r="BL2362" i="1" s="1"/>
  <c r="BL2364" i="1" a="1"/>
  <c r="BL2364" i="1" s="1"/>
  <c r="BN248" i="1" a="1"/>
  <c r="BN248" i="1" s="1"/>
  <c r="BN253" i="1" a="1"/>
  <c r="BN253" i="1" s="1"/>
  <c r="BM254" i="1" a="1"/>
  <c r="BM254" i="1" s="1"/>
  <c r="BJ254" i="1" s="1" a="1"/>
  <c r="BJ254" i="1" s="1"/>
  <c r="BK255" i="1"/>
  <c r="BN1620" i="1" a="1"/>
  <c r="BN1620" i="1" s="1"/>
  <c r="BK1621" i="1"/>
  <c r="BK1623" i="1"/>
  <c r="BM2372" i="1" a="1"/>
  <c r="BM2372" i="1" s="1"/>
  <c r="BJ2372" i="1" s="1" a="1"/>
  <c r="BJ2372" i="1" s="1"/>
  <c r="BL2374" i="1" a="1"/>
  <c r="BL2374" i="1" s="1"/>
  <c r="BK2375" i="1"/>
  <c r="BK250" i="1"/>
  <c r="BM251" i="1" a="1"/>
  <c r="BM251" i="1" s="1"/>
  <c r="BJ251" i="1" s="1" a="1"/>
  <c r="BJ251" i="1" s="1"/>
  <c r="BM255" i="1" a="1"/>
  <c r="BM255" i="1" s="1"/>
  <c r="BJ255" i="1" s="1" a="1"/>
  <c r="BJ255" i="1" s="1"/>
  <c r="BK1174" i="1"/>
  <c r="BK2363" i="1"/>
  <c r="E2373" i="1" a="1"/>
  <c r="E2373" i="1" s="1"/>
  <c r="BL2373" i="1" a="1"/>
  <c r="BL2373" i="1" s="1"/>
  <c r="E2375" i="1" a="1"/>
  <c r="E2375" i="1" s="1"/>
  <c r="E2376" i="1" a="1"/>
  <c r="E2376" i="1" s="1"/>
  <c r="E2374" i="1" a="1"/>
  <c r="E2374" i="1" s="1"/>
  <c r="BL2376" i="1" a="1"/>
  <c r="BL2376" i="1" s="1"/>
  <c r="BL2372" i="1" a="1"/>
  <c r="BL2372" i="1" s="1"/>
  <c r="BM2374" i="1" a="1"/>
  <c r="BM2374" i="1" s="1"/>
  <c r="BJ2374" i="1" s="1" a="1"/>
  <c r="BJ2374" i="1" s="1"/>
  <c r="BM2373" i="1" a="1"/>
  <c r="BM2373" i="1" s="1"/>
  <c r="BJ2373" i="1" s="1" a="1"/>
  <c r="BJ2373" i="1" s="1"/>
  <c r="BI2374" i="1" a="1"/>
  <c r="BI2374" i="1" s="1"/>
  <c r="BN2375" i="1" a="1"/>
  <c r="BN2375" i="1" s="1"/>
  <c r="BI2372" i="1" a="1"/>
  <c r="BI2372" i="1" s="1"/>
  <c r="BN2373" i="1" a="1"/>
  <c r="BN2373" i="1" s="1"/>
  <c r="BK2376" i="1"/>
  <c r="E2372" i="1" a="1"/>
  <c r="E2372" i="1" s="1"/>
  <c r="BN2374" i="1" a="1"/>
  <c r="BN2374" i="1" s="1"/>
  <c r="E2369" i="1" a="1"/>
  <c r="E2369" i="1" s="1"/>
  <c r="E2367" i="1" a="1"/>
  <c r="E2367" i="1" s="1"/>
  <c r="E2370" i="1" a="1"/>
  <c r="E2370" i="1" s="1"/>
  <c r="E2366" i="1" a="1"/>
  <c r="E2366" i="1" s="1"/>
  <c r="E2368" i="1" a="1"/>
  <c r="E2368" i="1" s="1"/>
  <c r="E2361" i="1" a="1"/>
  <c r="E2361" i="1" s="1"/>
  <c r="BL2361" i="1" a="1"/>
  <c r="BL2361" i="1" s="1"/>
  <c r="E2364" i="1" a="1"/>
  <c r="E2364" i="1" s="1"/>
  <c r="E2362" i="1" a="1"/>
  <c r="E2362" i="1" s="1"/>
  <c r="BM2363" i="1" a="1"/>
  <c r="BM2363" i="1" s="1"/>
  <c r="BJ2363" i="1" s="1" a="1"/>
  <c r="BJ2363" i="1" s="1"/>
  <c r="BL2360" i="1" a="1"/>
  <c r="BL2360" i="1" s="1"/>
  <c r="BM2362" i="1" a="1"/>
  <c r="BM2362" i="1" s="1"/>
  <c r="BJ2362" i="1" s="1" a="1"/>
  <c r="BJ2362" i="1" s="1"/>
  <c r="BM2361" i="1" a="1"/>
  <c r="BM2361" i="1" s="1"/>
  <c r="BJ2361" i="1" s="1" a="1"/>
  <c r="BJ2361" i="1" s="1"/>
  <c r="BI2362" i="1" a="1"/>
  <c r="BI2362" i="1" s="1"/>
  <c r="E2363" i="1" a="1"/>
  <c r="E2363" i="1" s="1"/>
  <c r="BN2363" i="1" a="1"/>
  <c r="BN2363" i="1" s="1"/>
  <c r="BM2360" i="1" a="1"/>
  <c r="BM2360" i="1" s="1"/>
  <c r="BJ2360" i="1" s="1" a="1"/>
  <c r="BJ2360" i="1" s="1"/>
  <c r="BK2364" i="1"/>
  <c r="E2360" i="1" a="1"/>
  <c r="E2360" i="1" s="1"/>
  <c r="E1628" i="1" a="1"/>
  <c r="E1628" i="1" s="1"/>
  <c r="BM1628" i="1" a="1"/>
  <c r="BM1628" i="1" s="1"/>
  <c r="BJ1628" i="1" s="1" a="1"/>
  <c r="BJ1628" i="1" s="1"/>
  <c r="BM1627" i="1" a="1"/>
  <c r="BM1627" i="1" s="1"/>
  <c r="BJ1627" i="1" s="1" a="1"/>
  <c r="BJ1627" i="1" s="1"/>
  <c r="BI1628" i="1" a="1"/>
  <c r="BI1628" i="1" s="1"/>
  <c r="E1629" i="1" a="1"/>
  <c r="E1629" i="1" s="1"/>
  <c r="BN1629" i="1" a="1"/>
  <c r="BN1629" i="1" s="1"/>
  <c r="AT1630" i="1"/>
  <c r="BM1626" i="1" a="1"/>
  <c r="BM1626" i="1" s="1"/>
  <c r="BJ1626" i="1" s="1" a="1"/>
  <c r="BJ1626" i="1" s="1"/>
  <c r="BI1627" i="1" a="1"/>
  <c r="BI1627" i="1" s="1"/>
  <c r="BN1628" i="1" a="1"/>
  <c r="BN1628" i="1" s="1"/>
  <c r="AT1629" i="1"/>
  <c r="E1627" i="1" a="1"/>
  <c r="E1627" i="1" s="1"/>
  <c r="AT1628" i="1"/>
  <c r="BK1626" i="1"/>
  <c r="E1626" i="1" a="1"/>
  <c r="E1626" i="1" s="1"/>
  <c r="AT1627" i="1"/>
  <c r="E1622" i="1" a="1"/>
  <c r="E1622" i="1" s="1"/>
  <c r="BL1622" i="1" a="1"/>
  <c r="BL1622" i="1" s="1"/>
  <c r="E1624" i="1" a="1"/>
  <c r="E1624" i="1" s="1"/>
  <c r="E1621" i="1" a="1"/>
  <c r="E1621" i="1" s="1"/>
  <c r="BL1620" i="1" a="1"/>
  <c r="BL1620" i="1" s="1"/>
  <c r="E1620" i="1" a="1"/>
  <c r="E1620" i="1" s="1"/>
  <c r="BK1620" i="1"/>
  <c r="BL1621" i="1" a="1"/>
  <c r="BL1621" i="1" s="1"/>
  <c r="BM1623" i="1" a="1"/>
  <c r="BM1623" i="1" s="1"/>
  <c r="BJ1623" i="1" s="1" a="1"/>
  <c r="BJ1623" i="1" s="1"/>
  <c r="BI1624" i="1" a="1"/>
  <c r="BI1624" i="1" s="1"/>
  <c r="BM1621" i="1" a="1"/>
  <c r="BM1621" i="1" s="1"/>
  <c r="BJ1621" i="1" s="1" a="1"/>
  <c r="BJ1621" i="1" s="1"/>
  <c r="BI1621" i="1" a="1"/>
  <c r="BI1621" i="1" s="1"/>
  <c r="BN1622" i="1" a="1"/>
  <c r="BN1622" i="1" s="1"/>
  <c r="BI1620" i="1" a="1"/>
  <c r="BI1620" i="1" s="1"/>
  <c r="E1173" i="1" a="1"/>
  <c r="E1173" i="1" s="1"/>
  <c r="BK1172" i="1"/>
  <c r="E1172" i="1" a="1"/>
  <c r="E1172" i="1" s="1"/>
  <c r="E1175" i="1" a="1"/>
  <c r="E1175" i="1" s="1"/>
  <c r="BK1171" i="1"/>
  <c r="BM1174" i="1" a="1"/>
  <c r="BM1174" i="1" s="1"/>
  <c r="BJ1174" i="1" s="1" a="1"/>
  <c r="BJ1174" i="1" s="1"/>
  <c r="BM1172" i="1" a="1"/>
  <c r="BM1172" i="1" s="1"/>
  <c r="BJ1172" i="1" s="1" a="1"/>
  <c r="BJ1172" i="1" s="1"/>
  <c r="BI1173" i="1" a="1"/>
  <c r="BI1173" i="1" s="1"/>
  <c r="E1174" i="1" a="1"/>
  <c r="E1174" i="1" s="1"/>
  <c r="BN1174" i="1" a="1"/>
  <c r="BN1174" i="1" s="1"/>
  <c r="BM1171" i="1" a="1"/>
  <c r="BM1171" i="1" s="1"/>
  <c r="BJ1171" i="1" s="1" a="1"/>
  <c r="BJ1171" i="1" s="1"/>
  <c r="BI1172" i="1" a="1"/>
  <c r="BI1172" i="1" s="1"/>
  <c r="BN1173" i="1" a="1"/>
  <c r="BN1173" i="1" s="1"/>
  <c r="AT1174" i="1"/>
  <c r="BN1172" i="1" a="1"/>
  <c r="BN1172" i="1" s="1"/>
  <c r="AT1173" i="1"/>
  <c r="BK1175" i="1"/>
  <c r="BK1169" i="1"/>
  <c r="BK1167" i="1"/>
  <c r="BM1168" i="1" a="1"/>
  <c r="BM1168" i="1" s="1"/>
  <c r="BJ1168" i="1" s="1" a="1"/>
  <c r="BJ1168" i="1" s="1"/>
  <c r="BK1166" i="1"/>
  <c r="BI1168" i="1" a="1"/>
  <c r="BI1168" i="1" s="1"/>
  <c r="BN1168" i="1" a="1"/>
  <c r="BN1168" i="1" s="1"/>
  <c r="BK1165" i="1"/>
  <c r="BI1167" i="1" a="1"/>
  <c r="BI1167" i="1" s="1"/>
  <c r="BI1166" i="1" a="1"/>
  <c r="BI1166" i="1" s="1"/>
  <c r="BL257" i="1" a="1"/>
  <c r="BL257" i="1" s="1"/>
  <c r="BL255" i="1" a="1"/>
  <c r="BL255" i="1" s="1"/>
  <c r="BI257" i="1" a="1"/>
  <c r="BI257" i="1" s="1"/>
  <c r="BK254" i="1"/>
  <c r="BI256" i="1" a="1"/>
  <c r="BI256" i="1" s="1"/>
  <c r="BL254" i="1" a="1"/>
  <c r="BL254" i="1" s="1"/>
  <c r="BK253" i="1"/>
  <c r="BI254" i="1" a="1"/>
  <c r="BI254" i="1" s="1"/>
  <c r="BK249" i="1"/>
  <c r="BN247" i="1" a="1"/>
  <c r="BN247" i="1" s="1"/>
  <c r="BM250" i="1" a="1"/>
  <c r="BM250" i="1" s="1"/>
  <c r="BJ250" i="1" s="1" a="1"/>
  <c r="BJ250" i="1" s="1"/>
  <c r="BN251" i="1" a="1"/>
  <c r="BN251" i="1" s="1"/>
  <c r="BK248" i="1"/>
  <c r="BI250" i="1" a="1"/>
  <c r="BI250" i="1" s="1"/>
  <c r="BN250" i="1" a="1"/>
  <c r="BN250" i="1" s="1"/>
  <c r="BK247" i="1"/>
  <c r="BK251" i="1"/>
  <c r="BI248" i="1" a="1"/>
  <c r="BI248" i="1" s="1"/>
  <c r="BM2371" i="1" a="1"/>
  <c r="BM2371" i="1" s="1"/>
  <c r="BJ2371" i="1" s="1" a="1"/>
  <c r="BJ2371" i="1" s="1"/>
  <c r="BK1272" i="1"/>
  <c r="E2371" i="1" a="1"/>
  <c r="E2371" i="1" s="1"/>
  <c r="BL2371" i="1" a="1"/>
  <c r="BL2371" i="1" s="1"/>
  <c r="BK2371" i="1"/>
  <c r="BN1227" i="1" a="1"/>
  <c r="BN1227" i="1" s="1"/>
  <c r="F1231" i="1" a="1"/>
  <c r="F1231" i="1" s="1"/>
  <c r="E1231" i="1" s="1" a="1"/>
  <c r="E1231" i="1" s="1"/>
  <c r="BK1234" i="1"/>
  <c r="BK1255" i="1"/>
  <c r="BK1269" i="1"/>
  <c r="AU1228" i="1"/>
  <c r="AU1227" i="1"/>
  <c r="BN1222" i="1" a="1"/>
  <c r="BN1222" i="1" s="1"/>
  <c r="AW1228" i="1"/>
  <c r="BM1228" i="1" s="1" a="1"/>
  <c r="BM1228" i="1" s="1"/>
  <c r="BJ1228" i="1" s="1" a="1"/>
  <c r="BJ1228" i="1" s="1"/>
  <c r="BK1237" i="1"/>
  <c r="AT1230" i="1"/>
  <c r="BK1233" i="1"/>
  <c r="BN1221" i="1" a="1"/>
  <c r="BN1221" i="1" s="1"/>
  <c r="BK1222" i="1"/>
  <c r="F1228" i="1" a="1"/>
  <c r="F1228" i="1" s="1"/>
  <c r="BL1224" i="1" a="1"/>
  <c r="BL1224" i="1" s="1"/>
  <c r="BK1257" i="1"/>
  <c r="F1229" i="1" a="1"/>
  <c r="F1229" i="1" s="1"/>
  <c r="E1229" i="1" s="1" a="1"/>
  <c r="E1229" i="1" s="1"/>
  <c r="BL1225" i="1" a="1"/>
  <c r="BL1225" i="1" s="1"/>
  <c r="BK1243" i="1"/>
  <c r="BK1267" i="1"/>
  <c r="BL1251" i="1" a="1"/>
  <c r="BL1251" i="1" s="1"/>
  <c r="BL1255" i="1" a="1"/>
  <c r="BL1255" i="1" s="1"/>
  <c r="BL1261" i="1" a="1"/>
  <c r="BL1261" i="1" s="1"/>
  <c r="BK1273" i="1"/>
  <c r="F1230" i="1" a="1"/>
  <c r="F1230" i="1" s="1"/>
  <c r="BK1230" i="1" s="1"/>
  <c r="BK1239" i="1"/>
  <c r="BL1259" i="1" a="1"/>
  <c r="BL1259" i="1" s="1"/>
  <c r="BN1225" i="1" a="1"/>
  <c r="BN1225" i="1" s="1"/>
  <c r="BK1235" i="1"/>
  <c r="BK1236" i="1"/>
  <c r="BK1258" i="1"/>
  <c r="BL1258" i="1" a="1"/>
  <c r="BL1258" i="1" s="1"/>
  <c r="BI1224" i="1" a="1"/>
  <c r="BI1224" i="1" s="1"/>
  <c r="BL1242" i="1" a="1"/>
  <c r="BL1242" i="1" s="1"/>
  <c r="BL1257" i="1" a="1"/>
  <c r="BL1257" i="1" s="1"/>
  <c r="BK1261" i="1"/>
  <c r="BM1224" i="1" a="1"/>
  <c r="BM1224" i="1" s="1"/>
  <c r="BJ1224" i="1" s="1" a="1"/>
  <c r="BJ1224" i="1" s="1"/>
  <c r="BK1225" i="1"/>
  <c r="BL1234" i="1" a="1"/>
  <c r="BL1234" i="1" s="1"/>
  <c r="BK1268" i="1"/>
  <c r="BK1223" i="1"/>
  <c r="BM1225" i="1" a="1"/>
  <c r="BM1225" i="1" s="1"/>
  <c r="BJ1225" i="1" s="1" a="1"/>
  <c r="BJ1225" i="1" s="1"/>
  <c r="BK1253" i="1"/>
  <c r="BK1271" i="1"/>
  <c r="BL1222" i="1" a="1"/>
  <c r="BL1222" i="1" s="1"/>
  <c r="BK1251" i="1"/>
  <c r="BL1254" i="1" a="1"/>
  <c r="BL1254" i="1" s="1"/>
  <c r="BK1270" i="1"/>
  <c r="BL1268" i="1" a="1"/>
  <c r="BL1268" i="1" s="1"/>
  <c r="BL1223" i="1" a="1"/>
  <c r="BL1223" i="1" s="1"/>
  <c r="BL1252" i="1" a="1"/>
  <c r="BL1252" i="1" s="1"/>
  <c r="BL1253" i="1" a="1"/>
  <c r="BL1253" i="1" s="1"/>
  <c r="BL1271" i="1" a="1"/>
  <c r="BL1271" i="1" s="1"/>
  <c r="BK1221" i="1"/>
  <c r="BK1224" i="1"/>
  <c r="BI1225" i="1" a="1"/>
  <c r="BI1225" i="1" s="1"/>
  <c r="BK1241" i="1"/>
  <c r="BK1242" i="1"/>
  <c r="BK1252" i="1"/>
  <c r="BK1259" i="1"/>
  <c r="BK1260" i="1"/>
  <c r="BL1272" i="1" a="1"/>
  <c r="BL1272" i="1" s="1"/>
  <c r="BL1273" i="1" a="1"/>
  <c r="BL1273" i="1" s="1"/>
  <c r="BL1269" i="1" a="1"/>
  <c r="BL1269" i="1" s="1"/>
  <c r="BL1270" i="1" a="1"/>
  <c r="BL1270" i="1" s="1"/>
  <c r="BK1263" i="1"/>
  <c r="BK1264" i="1"/>
  <c r="BK1265" i="1"/>
  <c r="BK1266" i="1"/>
  <c r="BL1260" i="1" a="1"/>
  <c r="BL1260" i="1" s="1"/>
  <c r="BK1254" i="1"/>
  <c r="BK1249" i="1"/>
  <c r="BK1245" i="1"/>
  <c r="BK1248" i="1"/>
  <c r="BK1247" i="1"/>
  <c r="BK1246" i="1"/>
  <c r="BL1239" i="1" a="1"/>
  <c r="BL1239" i="1" s="1"/>
  <c r="BL1243" i="1" a="1"/>
  <c r="BL1243" i="1" s="1"/>
  <c r="BL1240" i="1" a="1"/>
  <c r="BL1240" i="1" s="1"/>
  <c r="BL1241" i="1" a="1"/>
  <c r="BL1241" i="1" s="1"/>
  <c r="BK1240" i="1"/>
  <c r="BL1235" i="1" a="1"/>
  <c r="BL1235" i="1" s="1"/>
  <c r="BL1233" i="1" a="1"/>
  <c r="BL1233" i="1" s="1"/>
  <c r="BL1236" i="1" a="1"/>
  <c r="BL1236" i="1" s="1"/>
  <c r="BL1237" i="1" a="1"/>
  <c r="BL1237" i="1" s="1"/>
  <c r="BN1229" i="1" a="1"/>
  <c r="BN1229" i="1" s="1"/>
  <c r="BI1229" i="1" a="1"/>
  <c r="BI1229" i="1" s="1"/>
  <c r="BI1228" i="1" a="1"/>
  <c r="BI1228" i="1" s="1"/>
  <c r="BN1228" i="1" a="1"/>
  <c r="BN1228" i="1" s="1"/>
  <c r="BN1231" i="1" a="1"/>
  <c r="BN1231" i="1" s="1"/>
  <c r="BI1231" i="1" a="1"/>
  <c r="BI1231" i="1" s="1"/>
  <c r="BM1229" i="1" a="1"/>
  <c r="BM1229" i="1" s="1"/>
  <c r="BJ1229" i="1" s="1" a="1"/>
  <c r="BJ1229" i="1" s="1"/>
  <c r="BN1230" i="1" a="1"/>
  <c r="BN1230" i="1" s="1"/>
  <c r="AW1227" i="1"/>
  <c r="AU1230" i="1"/>
  <c r="F1227" i="1" a="1"/>
  <c r="F1227" i="1" s="1"/>
  <c r="AU1231" i="1"/>
  <c r="BI1227" i="1" a="1"/>
  <c r="BI1227" i="1" s="1"/>
  <c r="AT1229" i="1"/>
  <c r="BM1230" i="1" a="1"/>
  <c r="BM1230" i="1" s="1"/>
  <c r="BJ1230" i="1" s="1" a="1"/>
  <c r="BJ1230" i="1" s="1"/>
  <c r="AW1231" i="1"/>
  <c r="AU1229" i="1"/>
  <c r="BI1230" i="1" a="1"/>
  <c r="BI1230" i="1" s="1"/>
  <c r="E1222" i="1" a="1"/>
  <c r="E1222" i="1" s="1"/>
  <c r="E1225" i="1" a="1"/>
  <c r="E1225" i="1" s="1"/>
  <c r="E1223" i="1" a="1"/>
  <c r="E1223" i="1" s="1"/>
  <c r="BL1221" i="1" a="1"/>
  <c r="BL1221" i="1" s="1"/>
  <c r="BM1223" i="1" a="1"/>
  <c r="BM1223" i="1" s="1"/>
  <c r="BJ1223" i="1" s="1" a="1"/>
  <c r="BJ1223" i="1" s="1"/>
  <c r="BM1222" i="1" a="1"/>
  <c r="BM1222" i="1" s="1"/>
  <c r="BJ1222" i="1" s="1" a="1"/>
  <c r="BJ1222" i="1" s="1"/>
  <c r="BI1223" i="1" a="1"/>
  <c r="BI1223" i="1" s="1"/>
  <c r="E1224" i="1" a="1"/>
  <c r="E1224" i="1" s="1"/>
  <c r="BN1224" i="1" a="1"/>
  <c r="BN1224" i="1" s="1"/>
  <c r="BM1221" i="1" a="1"/>
  <c r="BM1221" i="1" s="1"/>
  <c r="BJ1221" i="1" s="1" a="1"/>
  <c r="BJ1221" i="1" s="1"/>
  <c r="BI1222" i="1" a="1"/>
  <c r="BI1222" i="1" s="1"/>
  <c r="BN1223" i="1" a="1"/>
  <c r="BN1223" i="1" s="1"/>
  <c r="BI1221" i="1" a="1"/>
  <c r="BI1221" i="1" s="1"/>
  <c r="E1221" i="1" a="1"/>
  <c r="E1221" i="1" s="1"/>
  <c r="BN1309" i="1" a="1"/>
  <c r="BN1309" i="1" s="1"/>
  <c r="BN1330" i="1" a="1"/>
  <c r="BN1330" i="1" s="1"/>
  <c r="BN1357" i="1" a="1"/>
  <c r="BN1357" i="1" s="1"/>
  <c r="AX1277" i="1"/>
  <c r="AT1277" i="1" s="1"/>
  <c r="BN1365" i="1" a="1"/>
  <c r="BN1365" i="1" s="1"/>
  <c r="BN1347" i="1" a="1"/>
  <c r="BN1347" i="1" s="1"/>
  <c r="AT1369" i="1"/>
  <c r="BN1282" i="1" a="1"/>
  <c r="BN1282" i="1" s="1"/>
  <c r="BI1293" i="1" a="1"/>
  <c r="BI1293" i="1" s="1"/>
  <c r="BN1318" i="1" a="1"/>
  <c r="BN1318" i="1" s="1"/>
  <c r="BI1333" i="1" a="1"/>
  <c r="BI1333" i="1" s="1"/>
  <c r="BI1354" i="1" a="1"/>
  <c r="BI1354" i="1" s="1"/>
  <c r="AT1305" i="1"/>
  <c r="AT1323" i="1" s="1"/>
  <c r="BI1320" i="1" a="1"/>
  <c r="BI1320" i="1" s="1"/>
  <c r="BI1348" i="1" a="1"/>
  <c r="BI1348" i="1" s="1"/>
  <c r="BI1338" i="1" a="1"/>
  <c r="BI1338" i="1" s="1"/>
  <c r="BN1335" i="1" a="1"/>
  <c r="BN1335" i="1" s="1"/>
  <c r="BN1285" i="1" a="1"/>
  <c r="BN1285" i="1" s="1"/>
  <c r="BI1327" i="1" a="1"/>
  <c r="BI1327" i="1" s="1"/>
  <c r="BI1360" i="1" a="1"/>
  <c r="BI1360" i="1" s="1"/>
  <c r="BN1363" i="1" a="1"/>
  <c r="BN1363" i="1" s="1"/>
  <c r="AT1289" i="1"/>
  <c r="BN1329" i="1" a="1"/>
  <c r="BN1329" i="1" s="1"/>
  <c r="BK1338" i="1"/>
  <c r="BN1312" i="1" a="1"/>
  <c r="BN1312" i="1" s="1"/>
  <c r="BN1321" i="1" a="1"/>
  <c r="BN1321" i="1" s="1"/>
  <c r="BN1349" i="1" a="1"/>
  <c r="BN1349" i="1" s="1"/>
  <c r="BI1308" i="1" a="1"/>
  <c r="BI1308" i="1" s="1"/>
  <c r="BI1339" i="1" a="1"/>
  <c r="BI1339" i="1" s="1"/>
  <c r="BI1361" i="1" a="1"/>
  <c r="BI1361" i="1" s="1"/>
  <c r="BN1369" i="1" a="1"/>
  <c r="BN1369" i="1" s="1"/>
  <c r="BK1283" i="1"/>
  <c r="BI1295" i="1" a="1"/>
  <c r="BI1295" i="1" s="1"/>
  <c r="BN1311" i="1" a="1"/>
  <c r="BN1311" i="1" s="1"/>
  <c r="BM1317" i="1" a="1"/>
  <c r="BM1317" i="1" s="1"/>
  <c r="BJ1317" i="1" s="1" a="1"/>
  <c r="BJ1317" i="1" s="1"/>
  <c r="BI1326" i="1" a="1"/>
  <c r="BI1326" i="1" s="1"/>
  <c r="BI1335" i="1" a="1"/>
  <c r="BI1335" i="1" s="1"/>
  <c r="BI1344" i="1" a="1"/>
  <c r="BI1344" i="1" s="1"/>
  <c r="BI1303" i="1" a="1"/>
  <c r="BI1303" i="1" s="1"/>
  <c r="BN1339" i="1" a="1"/>
  <c r="BN1339" i="1" s="1"/>
  <c r="BN1359" i="1" a="1"/>
  <c r="BN1359" i="1" s="1"/>
  <c r="AX1288" i="1"/>
  <c r="BK1288" i="1" s="1"/>
  <c r="BN1289" i="1" a="1"/>
  <c r="BN1289" i="1" s="1"/>
  <c r="BM1366" i="1" a="1"/>
  <c r="BM1366" i="1" s="1"/>
  <c r="BJ1366" i="1" s="1" a="1"/>
  <c r="BJ1366" i="1" s="1"/>
  <c r="AX1287" i="1"/>
  <c r="BM1287" i="1" s="1" a="1"/>
  <c r="BM1287" i="1" s="1"/>
  <c r="BJ1287" i="1" s="1" a="1"/>
  <c r="BJ1287" i="1" s="1"/>
  <c r="BN1317" i="1" a="1"/>
  <c r="BN1317" i="1" s="1"/>
  <c r="BN1367" i="1" a="1"/>
  <c r="BN1367" i="1" s="1"/>
  <c r="BM1368" i="1" a="1"/>
  <c r="BM1368" i="1" s="1"/>
  <c r="BJ1368" i="1" s="1" a="1"/>
  <c r="BJ1368" i="1" s="1"/>
  <c r="BI1307" i="1" a="1"/>
  <c r="BI1307" i="1" s="1"/>
  <c r="BI1284" i="1" a="1"/>
  <c r="BI1284" i="1" s="1"/>
  <c r="BN1281" i="1" a="1"/>
  <c r="BN1281" i="1" s="1"/>
  <c r="BI1297" i="1" a="1"/>
  <c r="BI1297" i="1" s="1"/>
  <c r="BI1302" i="1" a="1"/>
  <c r="BI1302" i="1" s="1"/>
  <c r="BM1339" i="1" a="1"/>
  <c r="BM1339" i="1" s="1"/>
  <c r="BJ1339" i="1" s="1" a="1"/>
  <c r="BJ1339" i="1" s="1"/>
  <c r="F1276" i="1" a="1"/>
  <c r="F1276" i="1" s="1"/>
  <c r="E1276" i="1" s="1" a="1"/>
  <c r="E1276" i="1" s="1"/>
  <c r="F1278" i="1" a="1"/>
  <c r="F1278" i="1" s="1"/>
  <c r="E1278" i="1" s="1" a="1"/>
  <c r="E1278" i="1" s="1"/>
  <c r="BL1281" i="1" a="1"/>
  <c r="BL1281" i="1" s="1"/>
  <c r="BN1315" i="1" a="1"/>
  <c r="BN1315" i="1" s="1"/>
  <c r="BK1350" i="1"/>
  <c r="BM1285" i="1" a="1"/>
  <c r="BM1285" i="1" s="1"/>
  <c r="BJ1285" i="1" s="1" a="1"/>
  <c r="BJ1285" i="1" s="1"/>
  <c r="BM1303" i="1" a="1"/>
  <c r="BM1303" i="1" s="1"/>
  <c r="BJ1303" i="1" s="1" a="1"/>
  <c r="BJ1303" i="1" s="1"/>
  <c r="BN1308" i="1" a="1"/>
  <c r="BN1308" i="1" s="1"/>
  <c r="BI1315" i="1" a="1"/>
  <c r="BI1315" i="1" s="1"/>
  <c r="BK1327" i="1"/>
  <c r="BK1333" i="1"/>
  <c r="AT1347" i="1"/>
  <c r="AT1357" i="1"/>
  <c r="F1290" i="1" a="1"/>
  <c r="F1290" i="1" s="1"/>
  <c r="E1290" i="1" s="1" a="1"/>
  <c r="E1290" i="1" s="1"/>
  <c r="BI1317" i="1" a="1"/>
  <c r="BI1317" i="1" s="1"/>
  <c r="BM1357" i="1" a="1"/>
  <c r="BM1357" i="1" s="1"/>
  <c r="BJ1357" i="1" s="1" a="1"/>
  <c r="BJ1357" i="1" s="1"/>
  <c r="F1275" i="1" a="1"/>
  <c r="F1275" i="1" s="1"/>
  <c r="BK1275" i="1" s="1"/>
  <c r="AU1278" i="1"/>
  <c r="AU1291" i="1"/>
  <c r="BN1351" i="1" a="1"/>
  <c r="BN1351" i="1" s="1"/>
  <c r="BI1285" i="1" a="1"/>
  <c r="BI1285" i="1" s="1"/>
  <c r="AU1289" i="1"/>
  <c r="BI1296" i="1" a="1"/>
  <c r="BI1296" i="1" s="1"/>
  <c r="BN1303" i="1" a="1"/>
  <c r="BN1303" i="1" s="1"/>
  <c r="BI1311" i="1" a="1"/>
  <c r="BI1311" i="1" s="1"/>
  <c r="BN1327" i="1" a="1"/>
  <c r="BN1327" i="1" s="1"/>
  <c r="AT1329" i="1"/>
  <c r="BI1347" i="1" a="1"/>
  <c r="BI1347" i="1" s="1"/>
  <c r="BK1348" i="1"/>
  <c r="BM1284" i="1" a="1"/>
  <c r="BM1284" i="1" s="1"/>
  <c r="BJ1284" i="1" s="1" a="1"/>
  <c r="BJ1284" i="1" s="1"/>
  <c r="BM1307" i="1" a="1"/>
  <c r="BM1307" i="1" s="1"/>
  <c r="BJ1307" i="1" s="1" a="1"/>
  <c r="BJ1307" i="1" s="1"/>
  <c r="BM1315" i="1" a="1"/>
  <c r="BM1315" i="1" s="1"/>
  <c r="BJ1315" i="1" s="1" a="1"/>
  <c r="BJ1315" i="1" s="1"/>
  <c r="BM1319" i="1" a="1"/>
  <c r="BM1319" i="1" s="1"/>
  <c r="BJ1319" i="1" s="1" a="1"/>
  <c r="BJ1319" i="1" s="1"/>
  <c r="BM1324" i="1" a="1"/>
  <c r="BM1324" i="1" s="1"/>
  <c r="BJ1324" i="1" s="1" a="1"/>
  <c r="BJ1324" i="1" s="1"/>
  <c r="BI1369" i="1" a="1"/>
  <c r="BI1369" i="1" s="1"/>
  <c r="AU1277" i="1"/>
  <c r="BN1293" i="1" a="1"/>
  <c r="BN1293" i="1" s="1"/>
  <c r="BN1294" i="1" a="1"/>
  <c r="BN1294" i="1" s="1"/>
  <c r="BN1299" i="1" a="1"/>
  <c r="BN1299" i="1" s="1"/>
  <c r="BN1306" i="1" a="1"/>
  <c r="BN1306" i="1" s="1"/>
  <c r="BN1324" i="1" a="1"/>
  <c r="BN1324" i="1" s="1"/>
  <c r="BN1354" i="1" a="1"/>
  <c r="BN1354" i="1" s="1"/>
  <c r="BK1314" i="1"/>
  <c r="BK1344" i="1"/>
  <c r="BN1364" i="1" a="1"/>
  <c r="BN1364" i="1" s="1"/>
  <c r="BL1284" i="1" a="1"/>
  <c r="BL1284" i="1" s="1"/>
  <c r="F1287" i="1" a="1"/>
  <c r="F1287" i="1" s="1"/>
  <c r="BL1287" i="1" s="1" a="1"/>
  <c r="BL1287" i="1" s="1"/>
  <c r="BI1294" i="1" a="1"/>
  <c r="BI1294" i="1" s="1"/>
  <c r="BL1301" i="1" a="1"/>
  <c r="BL1301" i="1" s="1"/>
  <c r="BM1309" i="1" a="1"/>
  <c r="BM1309" i="1" s="1"/>
  <c r="BJ1309" i="1" s="1" a="1"/>
  <c r="BJ1309" i="1" s="1"/>
  <c r="BK1323" i="1"/>
  <c r="BK1326" i="1"/>
  <c r="BM1332" i="1" a="1"/>
  <c r="BM1332" i="1" s="1"/>
  <c r="BJ1332" i="1" s="1" a="1"/>
  <c r="BJ1332" i="1" s="1"/>
  <c r="BN1341" i="1" a="1"/>
  <c r="BN1341" i="1" s="1"/>
  <c r="BK1342" i="1"/>
  <c r="BM1351" i="1" a="1"/>
  <c r="BM1351" i="1" s="1"/>
  <c r="BJ1351" i="1" s="1" a="1"/>
  <c r="BJ1351" i="1" s="1"/>
  <c r="AT1353" i="1"/>
  <c r="BN1355" i="1" a="1"/>
  <c r="BN1355" i="1" s="1"/>
  <c r="BK1356" i="1"/>
  <c r="BN1361" i="1" a="1"/>
  <c r="BN1361" i="1" s="1"/>
  <c r="BK1362" i="1"/>
  <c r="BK1366" i="1"/>
  <c r="BK1369" i="1"/>
  <c r="BM1275" i="1" a="1"/>
  <c r="BM1275" i="1" s="1"/>
  <c r="BJ1275" i="1" s="1" a="1"/>
  <c r="BJ1275" i="1" s="1"/>
  <c r="BK1282" i="1"/>
  <c r="BM1299" i="1" a="1"/>
  <c r="BM1299" i="1" s="1"/>
  <c r="BJ1299" i="1" s="1" a="1"/>
  <c r="BJ1299" i="1" s="1"/>
  <c r="BM1301" i="1" a="1"/>
  <c r="BM1301" i="1" s="1"/>
  <c r="BJ1301" i="1" s="1" a="1"/>
  <c r="BJ1301" i="1" s="1"/>
  <c r="BK1320" i="1"/>
  <c r="BI1329" i="1" a="1"/>
  <c r="BI1329" i="1" s="1"/>
  <c r="BN1344" i="1" a="1"/>
  <c r="BN1344" i="1" s="1"/>
  <c r="BI1359" i="1" a="1"/>
  <c r="BI1359" i="1" s="1"/>
  <c r="BM1369" i="1" a="1"/>
  <c r="BM1369" i="1" s="1"/>
  <c r="BJ1369" i="1" s="1" a="1"/>
  <c r="BJ1369" i="1" s="1"/>
  <c r="BK1285" i="1"/>
  <c r="BL1299" i="1" a="1"/>
  <c r="BL1299" i="1" s="1"/>
  <c r="BK1302" i="1"/>
  <c r="BK1312" i="1"/>
  <c r="BI1314" i="1" a="1"/>
  <c r="BI1314" i="1" s="1"/>
  <c r="BK1318" i="1"/>
  <c r="BN1323" i="1" a="1"/>
  <c r="BN1323" i="1" s="1"/>
  <c r="BK1324" i="1"/>
  <c r="BL1326" i="1" a="1"/>
  <c r="BL1326" i="1" s="1"/>
  <c r="BK1330" i="1"/>
  <c r="BM1333" i="1" a="1"/>
  <c r="BM1333" i="1" s="1"/>
  <c r="BJ1333" i="1" s="1" a="1"/>
  <c r="BJ1333" i="1" s="1"/>
  <c r="AT1335" i="1"/>
  <c r="BK1339" i="1"/>
  <c r="BN1342" i="1" a="1"/>
  <c r="BN1342" i="1" s="1"/>
  <c r="BK1345" i="1"/>
  <c r="BN1353" i="1" a="1"/>
  <c r="BN1353" i="1" s="1"/>
  <c r="AT1356" i="1"/>
  <c r="BK1357" i="1"/>
  <c r="BN1362" i="1" a="1"/>
  <c r="BN1362" i="1" s="1"/>
  <c r="BM1363" i="1" a="1"/>
  <c r="BM1363" i="1" s="1"/>
  <c r="BJ1363" i="1" s="1" a="1"/>
  <c r="BJ1363" i="1" s="1"/>
  <c r="BK1308" i="1"/>
  <c r="BM1314" i="1" a="1"/>
  <c r="BM1314" i="1" s="1"/>
  <c r="BJ1314" i="1" s="1" a="1"/>
  <c r="BJ1314" i="1" s="1"/>
  <c r="BM1338" i="1" a="1"/>
  <c r="BM1338" i="1" s="1"/>
  <c r="BJ1338" i="1" s="1" a="1"/>
  <c r="BJ1338" i="1" s="1"/>
  <c r="BK1343" i="1"/>
  <c r="BK1354" i="1"/>
  <c r="BK1360" i="1"/>
  <c r="BM1367" i="1" a="1"/>
  <c r="BM1367" i="1" s="1"/>
  <c r="BJ1367" i="1" s="1" a="1"/>
  <c r="BJ1367" i="1" s="1"/>
  <c r="BK1300" i="1"/>
  <c r="BL1302" i="1" a="1"/>
  <c r="BL1302" i="1" s="1"/>
  <c r="BI1309" i="1" a="1"/>
  <c r="BI1309" i="1" s="1"/>
  <c r="BK1313" i="1"/>
  <c r="BK1319" i="1"/>
  <c r="BK1321" i="1"/>
  <c r="BK1325" i="1"/>
  <c r="BM1327" i="1" a="1"/>
  <c r="BM1327" i="1" s="1"/>
  <c r="BJ1327" i="1" s="1" a="1"/>
  <c r="BJ1327" i="1" s="1"/>
  <c r="BM1345" i="1" a="1"/>
  <c r="BM1345" i="1" s="1"/>
  <c r="BJ1345" i="1" s="1" a="1"/>
  <c r="BJ1345" i="1" s="1"/>
  <c r="BM1349" i="1" a="1"/>
  <c r="BM1349" i="1" s="1"/>
  <c r="BJ1349" i="1" s="1" a="1"/>
  <c r="BJ1349" i="1" s="1"/>
  <c r="BI1366" i="1" a="1"/>
  <c r="BI1366" i="1" s="1"/>
  <c r="BK1364" i="1"/>
  <c r="AT1275" i="1"/>
  <c r="BN1278" i="1" a="1"/>
  <c r="BN1278" i="1" s="1"/>
  <c r="BL1283" i="1" a="1"/>
  <c r="BL1283" i="1" s="1"/>
  <c r="BM1302" i="1" a="1"/>
  <c r="BM1302" i="1" s="1"/>
  <c r="BJ1302" i="1" s="1" a="1"/>
  <c r="BJ1302" i="1" s="1"/>
  <c r="BN1305" i="1" a="1"/>
  <c r="BN1305" i="1" s="1"/>
  <c r="BK1306" i="1"/>
  <c r="BM1321" i="1" a="1"/>
  <c r="BM1321" i="1" s="1"/>
  <c r="BJ1321" i="1" s="1" a="1"/>
  <c r="BJ1321" i="1" s="1"/>
  <c r="BK1332" i="1"/>
  <c r="AT1336" i="1"/>
  <c r="BN1343" i="1" a="1"/>
  <c r="BN1343" i="1" s="1"/>
  <c r="AT1350" i="1"/>
  <c r="BK1351" i="1"/>
  <c r="AT1359" i="1"/>
  <c r="BK1361" i="1"/>
  <c r="BI1363" i="1" a="1"/>
  <c r="BI1363" i="1" s="1"/>
  <c r="AT1365" i="1"/>
  <c r="BN1366" i="1" a="1"/>
  <c r="BN1366" i="1" s="1"/>
  <c r="BI1367" i="1" a="1"/>
  <c r="BI1367" i="1" s="1"/>
  <c r="BK1368" i="1"/>
  <c r="BK1284" i="1"/>
  <c r="BN1300" i="1" a="1"/>
  <c r="BN1300" i="1" s="1"/>
  <c r="BK1301" i="1"/>
  <c r="BK1303" i="1"/>
  <c r="AT1309" i="1"/>
  <c r="AT1327" i="1" s="1"/>
  <c r="BM1311" i="1" a="1"/>
  <c r="BM1311" i="1" s="1"/>
  <c r="BJ1311" i="1" s="1" a="1"/>
  <c r="BJ1311" i="1" s="1"/>
  <c r="BN1319" i="1" a="1"/>
  <c r="BN1319" i="1" s="1"/>
  <c r="BI1321" i="1" a="1"/>
  <c r="BI1321" i="1" s="1"/>
  <c r="BL1325" i="1" a="1"/>
  <c r="BL1325" i="1" s="1"/>
  <c r="BL1327" i="1" a="1"/>
  <c r="BL1327" i="1" s="1"/>
  <c r="BN1336" i="1" a="1"/>
  <c r="BN1336" i="1" s="1"/>
  <c r="BM1341" i="1" a="1"/>
  <c r="BM1341" i="1" s="1"/>
  <c r="BJ1341" i="1" s="1" a="1"/>
  <c r="BJ1341" i="1" s="1"/>
  <c r="BM1355" i="1" a="1"/>
  <c r="BM1355" i="1" s="1"/>
  <c r="BJ1355" i="1" s="1" a="1"/>
  <c r="BJ1355" i="1" s="1"/>
  <c r="AT1368" i="1"/>
  <c r="BK1365" i="1"/>
  <c r="AT1367" i="1"/>
  <c r="BK1367" i="1"/>
  <c r="BM1365" i="1" a="1"/>
  <c r="BM1365" i="1" s="1"/>
  <c r="BJ1365" i="1" s="1" a="1"/>
  <c r="BJ1365" i="1" s="1"/>
  <c r="AT1366" i="1"/>
  <c r="BI1368" i="1" a="1"/>
  <c r="BI1368" i="1" s="1"/>
  <c r="BI1365" i="1" a="1"/>
  <c r="BI1365" i="1" s="1"/>
  <c r="BN1368" i="1" a="1"/>
  <c r="BN1368" i="1" s="1"/>
  <c r="BK1359" i="1"/>
  <c r="BM1360" i="1" a="1"/>
  <c r="BM1360" i="1" s="1"/>
  <c r="BJ1360" i="1" s="1" a="1"/>
  <c r="BJ1360" i="1" s="1"/>
  <c r="AT1361" i="1"/>
  <c r="BN1360" i="1" a="1"/>
  <c r="BN1360" i="1" s="1"/>
  <c r="BM1362" i="1" a="1"/>
  <c r="BM1362" i="1" s="1"/>
  <c r="BJ1362" i="1" s="1" a="1"/>
  <c r="BJ1362" i="1" s="1"/>
  <c r="AT1363" i="1"/>
  <c r="BM1359" i="1" a="1"/>
  <c r="BM1359" i="1" s="1"/>
  <c r="BJ1359" i="1" s="1" a="1"/>
  <c r="BJ1359" i="1" s="1"/>
  <c r="AT1360" i="1"/>
  <c r="BI1362" i="1" a="1"/>
  <c r="BI1362" i="1" s="1"/>
  <c r="BK1363" i="1"/>
  <c r="BM1361" i="1" a="1"/>
  <c r="BM1361" i="1" s="1"/>
  <c r="BJ1361" i="1" s="1" a="1"/>
  <c r="BJ1361" i="1" s="1"/>
  <c r="AT1362" i="1"/>
  <c r="BK1353" i="1"/>
  <c r="BM1354" i="1" a="1"/>
  <c r="BM1354" i="1" s="1"/>
  <c r="BJ1354" i="1" s="1" a="1"/>
  <c r="BJ1354" i="1" s="1"/>
  <c r="AT1355" i="1"/>
  <c r="BI1357" i="1" a="1"/>
  <c r="BI1357" i="1" s="1"/>
  <c r="BK1355" i="1"/>
  <c r="BM1356" i="1" a="1"/>
  <c r="BM1356" i="1" s="1"/>
  <c r="BJ1356" i="1" s="1" a="1"/>
  <c r="BJ1356" i="1" s="1"/>
  <c r="BM1353" i="1" a="1"/>
  <c r="BM1353" i="1" s="1"/>
  <c r="BJ1353" i="1" s="1" a="1"/>
  <c r="BJ1353" i="1" s="1"/>
  <c r="AT1354" i="1"/>
  <c r="BI1356" i="1" a="1"/>
  <c r="BI1356" i="1" s="1"/>
  <c r="BI1353" i="1" a="1"/>
  <c r="BI1353" i="1" s="1"/>
  <c r="BN1356" i="1" a="1"/>
  <c r="BN1356" i="1" s="1"/>
  <c r="BI1355" i="1" a="1"/>
  <c r="BI1355" i="1" s="1"/>
  <c r="BK1349" i="1"/>
  <c r="BK1347" i="1"/>
  <c r="BM1348" i="1" a="1"/>
  <c r="BM1348" i="1" s="1"/>
  <c r="BJ1348" i="1" s="1" a="1"/>
  <c r="BJ1348" i="1" s="1"/>
  <c r="AT1349" i="1"/>
  <c r="BI1351" i="1" a="1"/>
  <c r="BI1351" i="1" s="1"/>
  <c r="BN1348" i="1" a="1"/>
  <c r="BN1348" i="1" s="1"/>
  <c r="BM1350" i="1" a="1"/>
  <c r="BM1350" i="1" s="1"/>
  <c r="BJ1350" i="1" s="1" a="1"/>
  <c r="BJ1350" i="1" s="1"/>
  <c r="AT1351" i="1"/>
  <c r="BM1347" i="1" a="1"/>
  <c r="BM1347" i="1" s="1"/>
  <c r="BJ1347" i="1" s="1" a="1"/>
  <c r="BJ1347" i="1" s="1"/>
  <c r="AT1348" i="1"/>
  <c r="BI1350" i="1" a="1"/>
  <c r="BI1350" i="1" s="1"/>
  <c r="BN1350" i="1" a="1"/>
  <c r="BN1350" i="1" s="1"/>
  <c r="BI1349" i="1" a="1"/>
  <c r="BI1349" i="1" s="1"/>
  <c r="E1342" i="1" a="1"/>
  <c r="E1342" i="1" s="1"/>
  <c r="E1341" i="1" a="1"/>
  <c r="E1341" i="1" s="1"/>
  <c r="E1345" i="1" a="1"/>
  <c r="E1345" i="1" s="1"/>
  <c r="BK1341" i="1"/>
  <c r="BM1344" i="1" a="1"/>
  <c r="BM1344" i="1" s="1"/>
  <c r="BJ1344" i="1" s="1" a="1"/>
  <c r="BJ1344" i="1" s="1"/>
  <c r="BI1345" i="1" a="1"/>
  <c r="BI1345" i="1" s="1"/>
  <c r="BM1343" i="1" a="1"/>
  <c r="BM1343" i="1" s="1"/>
  <c r="BJ1343" i="1" s="1" a="1"/>
  <c r="BJ1343" i="1" s="1"/>
  <c r="BN1345" i="1" a="1"/>
  <c r="BN1345" i="1" s="1"/>
  <c r="BM1342" i="1" a="1"/>
  <c r="BM1342" i="1" s="1"/>
  <c r="BJ1342" i="1" s="1" a="1"/>
  <c r="BJ1342" i="1" s="1"/>
  <c r="BI1343" i="1" a="1"/>
  <c r="BI1343" i="1" s="1"/>
  <c r="E1344" i="1" a="1"/>
  <c r="E1344" i="1" s="1"/>
  <c r="BI1342" i="1" a="1"/>
  <c r="BI1342" i="1" s="1"/>
  <c r="E1343" i="1" a="1"/>
  <c r="E1343" i="1" s="1"/>
  <c r="BI1341" i="1" a="1"/>
  <c r="BI1341" i="1" s="1"/>
  <c r="BK1336" i="1"/>
  <c r="E1339" i="1" a="1"/>
  <c r="E1339" i="1" s="1"/>
  <c r="BK1337" i="1"/>
  <c r="E1336" i="1" a="1"/>
  <c r="E1336" i="1" s="1"/>
  <c r="E1337" i="1" a="1"/>
  <c r="E1337" i="1" s="1"/>
  <c r="BM1337" i="1" a="1"/>
  <c r="BM1337" i="1" s="1"/>
  <c r="BJ1337" i="1" s="1" a="1"/>
  <c r="BJ1337" i="1" s="1"/>
  <c r="BM1336" i="1" a="1"/>
  <c r="BM1336" i="1" s="1"/>
  <c r="BJ1336" i="1" s="1" a="1"/>
  <c r="BJ1336" i="1" s="1"/>
  <c r="BI1337" i="1" a="1"/>
  <c r="BI1337" i="1" s="1"/>
  <c r="E1338" i="1" a="1"/>
  <c r="E1338" i="1" s="1"/>
  <c r="BN1338" i="1" a="1"/>
  <c r="BN1338" i="1" s="1"/>
  <c r="AT1339" i="1"/>
  <c r="BK1335" i="1"/>
  <c r="BM1335" i="1" a="1"/>
  <c r="BM1335" i="1" s="1"/>
  <c r="BJ1335" i="1" s="1" a="1"/>
  <c r="BJ1335" i="1" s="1"/>
  <c r="BI1336" i="1" a="1"/>
  <c r="BI1336" i="1" s="1"/>
  <c r="BN1337" i="1" a="1"/>
  <c r="BN1337" i="1" s="1"/>
  <c r="AT1338" i="1"/>
  <c r="AT1337" i="1"/>
  <c r="E1335" i="1" a="1"/>
  <c r="E1335" i="1" s="1"/>
  <c r="E1331" i="1" a="1"/>
  <c r="E1331" i="1" s="1"/>
  <c r="E1333" i="1" a="1"/>
  <c r="E1333" i="1" s="1"/>
  <c r="BK1331" i="1"/>
  <c r="BK1329" i="1"/>
  <c r="BM1331" i="1" a="1"/>
  <c r="BM1331" i="1" s="1"/>
  <c r="BJ1331" i="1" s="1" a="1"/>
  <c r="BJ1331" i="1" s="1"/>
  <c r="BI1332" i="1" a="1"/>
  <c r="BI1332" i="1" s="1"/>
  <c r="BN1333" i="1" a="1"/>
  <c r="BN1333" i="1" s="1"/>
  <c r="BM1330" i="1" a="1"/>
  <c r="BM1330" i="1" s="1"/>
  <c r="BJ1330" i="1" s="1" a="1"/>
  <c r="BJ1330" i="1" s="1"/>
  <c r="BI1331" i="1" a="1"/>
  <c r="BI1331" i="1" s="1"/>
  <c r="E1332" i="1" a="1"/>
  <c r="E1332" i="1" s="1"/>
  <c r="BN1332" i="1" a="1"/>
  <c r="BN1332" i="1" s="1"/>
  <c r="AT1333" i="1"/>
  <c r="BM1329" i="1" a="1"/>
  <c r="BM1329" i="1" s="1"/>
  <c r="BJ1329" i="1" s="1" a="1"/>
  <c r="BJ1329" i="1" s="1"/>
  <c r="BI1330" i="1" a="1"/>
  <c r="BI1330" i="1" s="1"/>
  <c r="BN1331" i="1" a="1"/>
  <c r="BN1331" i="1" s="1"/>
  <c r="AT1332" i="1"/>
  <c r="E1330" i="1" a="1"/>
  <c r="E1330" i="1" s="1"/>
  <c r="AT1331" i="1"/>
  <c r="E1329" i="1" a="1"/>
  <c r="E1329" i="1" s="1"/>
  <c r="AT1330" i="1"/>
  <c r="E1324" i="1" a="1"/>
  <c r="E1324" i="1" s="1"/>
  <c r="BL1324" i="1" a="1"/>
  <c r="BL1324" i="1" s="1"/>
  <c r="E1327" i="1" a="1"/>
  <c r="E1327" i="1" s="1"/>
  <c r="E1325" i="1" a="1"/>
  <c r="E1325" i="1" s="1"/>
  <c r="BL1323" i="1" a="1"/>
  <c r="BL1323" i="1" s="1"/>
  <c r="BI1325" i="1" a="1"/>
  <c r="BI1325" i="1" s="1"/>
  <c r="BN1326" i="1" a="1"/>
  <c r="BN1326" i="1" s="1"/>
  <c r="BM1326" i="1" a="1"/>
  <c r="BM1326" i="1" s="1"/>
  <c r="BJ1326" i="1" s="1" a="1"/>
  <c r="BJ1326" i="1" s="1"/>
  <c r="BM1323" i="1" a="1"/>
  <c r="BM1323" i="1" s="1"/>
  <c r="BJ1323" i="1" s="1" a="1"/>
  <c r="BJ1323" i="1" s="1"/>
  <c r="BI1324" i="1" a="1"/>
  <c r="BI1324" i="1" s="1"/>
  <c r="BN1325" i="1" a="1"/>
  <c r="BN1325" i="1" s="1"/>
  <c r="BI1323" i="1" a="1"/>
  <c r="BI1323" i="1" s="1"/>
  <c r="E1323" i="1" a="1"/>
  <c r="E1323" i="1" s="1"/>
  <c r="BM1325" i="1" a="1"/>
  <c r="BM1325" i="1" s="1"/>
  <c r="BJ1325" i="1" s="1" a="1"/>
  <c r="BJ1325" i="1" s="1"/>
  <c r="E1318" i="1" a="1"/>
  <c r="E1318" i="1" s="1"/>
  <c r="E1319" i="1" a="1"/>
  <c r="E1319" i="1" s="1"/>
  <c r="E1321" i="1" a="1"/>
  <c r="E1321" i="1" s="1"/>
  <c r="E1317" i="1" a="1"/>
  <c r="E1317" i="1" s="1"/>
  <c r="BK1317" i="1"/>
  <c r="BM1320" i="1" a="1"/>
  <c r="BM1320" i="1" s="1"/>
  <c r="BJ1320" i="1" s="1" a="1"/>
  <c r="BJ1320" i="1" s="1"/>
  <c r="BM1318" i="1" a="1"/>
  <c r="BM1318" i="1" s="1"/>
  <c r="BJ1318" i="1" s="1" a="1"/>
  <c r="BJ1318" i="1" s="1"/>
  <c r="BI1319" i="1" a="1"/>
  <c r="BI1319" i="1" s="1"/>
  <c r="E1320" i="1" a="1"/>
  <c r="E1320" i="1" s="1"/>
  <c r="BN1320" i="1" a="1"/>
  <c r="BN1320" i="1" s="1"/>
  <c r="BI1318" i="1" a="1"/>
  <c r="BI1318" i="1" s="1"/>
  <c r="E1315" i="1" a="1"/>
  <c r="E1315" i="1" s="1"/>
  <c r="E1313" i="1" a="1"/>
  <c r="E1313" i="1" s="1"/>
  <c r="BM1313" i="1" a="1"/>
  <c r="BM1313" i="1" s="1"/>
  <c r="BJ1313" i="1" s="1" a="1"/>
  <c r="BJ1313" i="1" s="1"/>
  <c r="BK1311" i="1"/>
  <c r="BM1312" i="1" a="1"/>
  <c r="BM1312" i="1" s="1"/>
  <c r="BJ1312" i="1" s="1" a="1"/>
  <c r="BJ1312" i="1" s="1"/>
  <c r="BI1313" i="1" a="1"/>
  <c r="BI1313" i="1" s="1"/>
  <c r="E1314" i="1" a="1"/>
  <c r="E1314" i="1" s="1"/>
  <c r="BN1314" i="1" a="1"/>
  <c r="BN1314" i="1" s="1"/>
  <c r="BI1312" i="1" a="1"/>
  <c r="BI1312" i="1" s="1"/>
  <c r="BN1313" i="1" a="1"/>
  <c r="BN1313" i="1" s="1"/>
  <c r="E1312" i="1" a="1"/>
  <c r="E1312" i="1" s="1"/>
  <c r="BK1315" i="1"/>
  <c r="E1311" i="1" a="1"/>
  <c r="E1311" i="1" s="1"/>
  <c r="E1309" i="1" a="1"/>
  <c r="E1309" i="1" s="1"/>
  <c r="E1307" i="1" a="1"/>
  <c r="E1307" i="1" s="1"/>
  <c r="BK1307" i="1"/>
  <c r="BK1305" i="1"/>
  <c r="BM1308" i="1" a="1"/>
  <c r="BM1308" i="1" s="1"/>
  <c r="BJ1308" i="1" s="1" a="1"/>
  <c r="BJ1308" i="1" s="1"/>
  <c r="BM1306" i="1" a="1"/>
  <c r="BM1306" i="1" s="1"/>
  <c r="BJ1306" i="1" s="1" a="1"/>
  <c r="BJ1306" i="1" s="1"/>
  <c r="BM1305" i="1" a="1"/>
  <c r="BM1305" i="1" s="1"/>
  <c r="BJ1305" i="1" s="1" a="1"/>
  <c r="BJ1305" i="1" s="1"/>
  <c r="BI1306" i="1" a="1"/>
  <c r="BI1306" i="1" s="1"/>
  <c r="BN1307" i="1" a="1"/>
  <c r="BN1307" i="1" s="1"/>
  <c r="AT1308" i="1"/>
  <c r="AT1326" i="1" s="1"/>
  <c r="BI1305" i="1" a="1"/>
  <c r="BI1305" i="1" s="1"/>
  <c r="E1306" i="1" a="1"/>
  <c r="E1306" i="1" s="1"/>
  <c r="AT1307" i="1"/>
  <c r="AT1325" i="1" s="1"/>
  <c r="BK1309" i="1"/>
  <c r="E1305" i="1" a="1"/>
  <c r="E1305" i="1" s="1"/>
  <c r="AT1306" i="1"/>
  <c r="AT1324" i="1" s="1"/>
  <c r="E1301" i="1" a="1"/>
  <c r="E1301" i="1" s="1"/>
  <c r="E1303" i="1" a="1"/>
  <c r="E1303" i="1" s="1"/>
  <c r="BL1303" i="1" a="1"/>
  <c r="BL1303" i="1" s="1"/>
  <c r="BK1299" i="1"/>
  <c r="BL1300" i="1" a="1"/>
  <c r="BL1300" i="1" s="1"/>
  <c r="BM1300" i="1" a="1"/>
  <c r="BM1300" i="1" s="1"/>
  <c r="BJ1300" i="1" s="1" a="1"/>
  <c r="BJ1300" i="1" s="1"/>
  <c r="BI1301" i="1" a="1"/>
  <c r="BI1301" i="1" s="1"/>
  <c r="E1302" i="1" a="1"/>
  <c r="E1302" i="1" s="1"/>
  <c r="BN1302" i="1" a="1"/>
  <c r="BN1302" i="1" s="1"/>
  <c r="BI1300" i="1" a="1"/>
  <c r="BI1300" i="1" s="1"/>
  <c r="BN1301" i="1" a="1"/>
  <c r="BN1301" i="1" s="1"/>
  <c r="BI1299" i="1" a="1"/>
  <c r="BI1299" i="1" s="1"/>
  <c r="E1300" i="1" a="1"/>
  <c r="E1300" i="1" s="1"/>
  <c r="E1299" i="1" a="1"/>
  <c r="E1299" i="1" s="1"/>
  <c r="BM1293" i="1" a="1"/>
  <c r="BM1293" i="1" s="1"/>
  <c r="BJ1293" i="1" s="1" a="1"/>
  <c r="BJ1293" i="1" s="1"/>
  <c r="AT1293" i="1"/>
  <c r="BM1295" i="1" a="1"/>
  <c r="BM1295" i="1" s="1"/>
  <c r="BJ1295" i="1" s="1" a="1"/>
  <c r="BJ1295" i="1" s="1"/>
  <c r="AT1295" i="1"/>
  <c r="BM1296" i="1" a="1"/>
  <c r="BM1296" i="1" s="1"/>
  <c r="BJ1296" i="1" s="1" a="1"/>
  <c r="BJ1296" i="1" s="1"/>
  <c r="AT1296" i="1"/>
  <c r="BM1297" i="1" a="1"/>
  <c r="BM1297" i="1" s="1"/>
  <c r="BJ1297" i="1" s="1" a="1"/>
  <c r="BJ1297" i="1" s="1"/>
  <c r="AT1297" i="1"/>
  <c r="BM1294" i="1" a="1"/>
  <c r="BM1294" i="1" s="1"/>
  <c r="BJ1294" i="1" s="1" a="1"/>
  <c r="BJ1294" i="1" s="1"/>
  <c r="AT1294" i="1"/>
  <c r="BN1295" i="1" a="1"/>
  <c r="BN1295" i="1" s="1"/>
  <c r="BN1296" i="1" a="1"/>
  <c r="BN1296" i="1" s="1"/>
  <c r="BN1297" i="1" a="1"/>
  <c r="BN1297" i="1" s="1"/>
  <c r="F1293" i="1" a="1"/>
  <c r="F1293" i="1" s="1"/>
  <c r="F1294" i="1" a="1"/>
  <c r="F1294" i="1" s="1"/>
  <c r="BK1294" i="1" s="1"/>
  <c r="F1295" i="1" a="1"/>
  <c r="F1295" i="1" s="1"/>
  <c r="F1296" i="1" a="1"/>
  <c r="F1296" i="1" s="1"/>
  <c r="BK1296" i="1" s="1"/>
  <c r="F1297" i="1" a="1"/>
  <c r="F1297" i="1" s="1"/>
  <c r="AU1293" i="1"/>
  <c r="AU1294" i="1"/>
  <c r="AU1295" i="1"/>
  <c r="AU1296" i="1"/>
  <c r="AU1297" i="1"/>
  <c r="BN1291" i="1" a="1"/>
  <c r="BN1291" i="1" s="1"/>
  <c r="BI1291" i="1" a="1"/>
  <c r="BI1291" i="1" s="1"/>
  <c r="BN1287" i="1" a="1"/>
  <c r="BN1287" i="1" s="1"/>
  <c r="BI1287" i="1" a="1"/>
  <c r="BI1287" i="1" s="1"/>
  <c r="BN1290" i="1" a="1"/>
  <c r="BN1290" i="1" s="1"/>
  <c r="BI1290" i="1" a="1"/>
  <c r="BI1290" i="1" s="1"/>
  <c r="AX1289" i="1"/>
  <c r="BM1289" i="1" s="1" a="1"/>
  <c r="BM1289" i="1" s="1"/>
  <c r="BJ1289" i="1" s="1" a="1"/>
  <c r="BJ1289" i="1" s="1"/>
  <c r="BI1288" i="1" a="1"/>
  <c r="BI1288" i="1" s="1"/>
  <c r="BN1288" i="1" a="1"/>
  <c r="BN1288" i="1" s="1"/>
  <c r="F1289" i="1" a="1"/>
  <c r="F1289" i="1" s="1"/>
  <c r="BI1289" i="1" a="1"/>
  <c r="BI1289" i="1" s="1"/>
  <c r="E1285" i="1" a="1"/>
  <c r="E1285" i="1" s="1"/>
  <c r="E1283" i="1" a="1"/>
  <c r="E1283" i="1" s="1"/>
  <c r="BL1285" i="1" a="1"/>
  <c r="BL1285" i="1" s="1"/>
  <c r="E1282" i="1" a="1"/>
  <c r="E1282" i="1" s="1"/>
  <c r="BL1282" i="1" a="1"/>
  <c r="BL1282" i="1" s="1"/>
  <c r="BM1282" i="1" a="1"/>
  <c r="BM1282" i="1" s="1"/>
  <c r="BJ1282" i="1" s="1" a="1"/>
  <c r="BJ1282" i="1" s="1"/>
  <c r="BI1283" i="1" a="1"/>
  <c r="BI1283" i="1" s="1"/>
  <c r="E1284" i="1" a="1"/>
  <c r="E1284" i="1" s="1"/>
  <c r="BN1284" i="1" a="1"/>
  <c r="BN1284" i="1" s="1"/>
  <c r="BM1281" i="1" a="1"/>
  <c r="BM1281" i="1" s="1"/>
  <c r="BJ1281" i="1" s="1" a="1"/>
  <c r="BJ1281" i="1" s="1"/>
  <c r="BI1282" i="1" a="1"/>
  <c r="BI1282" i="1" s="1"/>
  <c r="BN1283" i="1" a="1"/>
  <c r="BN1283" i="1" s="1"/>
  <c r="BI1281" i="1" a="1"/>
  <c r="BI1281" i="1" s="1"/>
  <c r="E1281" i="1" a="1"/>
  <c r="E1281" i="1" s="1"/>
  <c r="BK1281" i="1"/>
  <c r="BM1283" i="1" a="1"/>
  <c r="BM1283" i="1" s="1"/>
  <c r="BJ1283" i="1" s="1" a="1"/>
  <c r="BJ1283" i="1" s="1"/>
  <c r="AT1279" i="1"/>
  <c r="BN1279" i="1" a="1"/>
  <c r="BN1279" i="1" s="1"/>
  <c r="BI1279" i="1" a="1"/>
  <c r="BI1279" i="1" s="1"/>
  <c r="BN1277" i="1" a="1"/>
  <c r="BN1277" i="1" s="1"/>
  <c r="BN1275" i="1" a="1"/>
  <c r="BN1275" i="1" s="1"/>
  <c r="BI1275" i="1" a="1"/>
  <c r="BI1275" i="1" s="1"/>
  <c r="BM1279" i="1" a="1"/>
  <c r="BM1279" i="1" s="1"/>
  <c r="BJ1279" i="1" s="1" a="1"/>
  <c r="BJ1279" i="1" s="1"/>
  <c r="AY1276" i="1"/>
  <c r="F1279" i="1" a="1"/>
  <c r="F1279" i="1" s="1"/>
  <c r="BK1279" i="1" s="1"/>
  <c r="AU1275" i="1"/>
  <c r="AX1278" i="1"/>
  <c r="AT1278" i="1" s="1"/>
  <c r="AU1279" i="1"/>
  <c r="F1277" i="1" a="1"/>
  <c r="F1277" i="1" s="1"/>
  <c r="BI1277" i="1" a="1"/>
  <c r="BI1277" i="1" s="1"/>
  <c r="AU1276" i="1"/>
  <c r="BI1278" i="1" a="1"/>
  <c r="BI1278" i="1" s="1"/>
  <c r="BM1455" i="1" a="1"/>
  <c r="BM1455" i="1" s="1"/>
  <c r="BJ1455" i="1" s="1" a="1"/>
  <c r="BJ1455" i="1" s="1"/>
  <c r="BM1364" i="1" a="1"/>
  <c r="BM1364" i="1" s="1"/>
  <c r="BJ1364" i="1" s="1" a="1"/>
  <c r="BJ1364" i="1" s="1"/>
  <c r="BI1364" i="1" a="1"/>
  <c r="BI1364" i="1" s="1"/>
  <c r="AT1364" i="1"/>
  <c r="BL1391" i="1" a="1"/>
  <c r="BL1391" i="1" s="1"/>
  <c r="BI1399" i="1" a="1"/>
  <c r="BI1399" i="1" s="1"/>
  <c r="BN1390" i="1" a="1"/>
  <c r="BN1390" i="1" s="1"/>
  <c r="BI1387" i="1" a="1"/>
  <c r="BI1387" i="1" s="1"/>
  <c r="BM1423" i="1" a="1"/>
  <c r="BM1423" i="1" s="1"/>
  <c r="BJ1423" i="1" s="1" a="1"/>
  <c r="BJ1423" i="1" s="1"/>
  <c r="BN1423" i="1" a="1"/>
  <c r="BN1423" i="1" s="1"/>
  <c r="BN1381" i="1" a="1"/>
  <c r="BN1381" i="1" s="1"/>
  <c r="BL1404" i="1" a="1"/>
  <c r="BL1404" i="1" s="1"/>
  <c r="BM1398" i="1" a="1"/>
  <c r="BM1398" i="1" s="1"/>
  <c r="BJ1398" i="1" s="1" a="1"/>
  <c r="BJ1398" i="1" s="1"/>
  <c r="BK1371" i="1" a="1"/>
  <c r="BK1371" i="1" s="1"/>
  <c r="BQ1371" i="1" s="1"/>
  <c r="BR1371" i="1" s="1"/>
  <c r="BK1403" i="1" a="1"/>
  <c r="BK1403" i="1" s="1"/>
  <c r="BL1384" i="1" a="1"/>
  <c r="BL1384" i="1" s="1"/>
  <c r="BN1371" i="1" a="1"/>
  <c r="BN1371" i="1" s="1"/>
  <c r="BM1392" i="1" a="1"/>
  <c r="BM1392" i="1" s="1"/>
  <c r="BJ1392" i="1" s="1" a="1"/>
  <c r="BJ1392" i="1" s="1"/>
  <c r="BL1372" i="1" a="1"/>
  <c r="BL1372" i="1" s="1"/>
  <c r="BN1377" i="1" a="1"/>
  <c r="BN1377" i="1" s="1"/>
  <c r="BM1389" i="1" a="1"/>
  <c r="BM1389" i="1" s="1"/>
  <c r="BJ1389" i="1" s="1" a="1"/>
  <c r="BJ1389" i="1" s="1"/>
  <c r="BN1379" i="1" a="1"/>
  <c r="BN1379" i="1" s="1"/>
  <c r="BM1373" i="1" a="1"/>
  <c r="BM1373" i="1" s="1"/>
  <c r="BJ1373" i="1" s="1" a="1"/>
  <c r="BJ1373" i="1" s="1"/>
  <c r="BM1379" i="1" a="1"/>
  <c r="BM1379" i="1" s="1"/>
  <c r="BJ1379" i="1" s="1" a="1"/>
  <c r="BJ1379" i="1" s="1"/>
  <c r="BM1402" i="1" a="1"/>
  <c r="BM1402" i="1" s="1"/>
  <c r="BJ1402" i="1" s="1" a="1"/>
  <c r="BJ1402" i="1" s="1"/>
  <c r="BK1415" i="1"/>
  <c r="BI1441" i="1" a="1"/>
  <c r="BI1441" i="1" s="1"/>
  <c r="BK1452" i="1"/>
  <c r="BN1378" i="1" a="1"/>
  <c r="BN1378" i="1" s="1"/>
  <c r="BI1396" i="1" a="1"/>
  <c r="BI1396" i="1" s="1"/>
  <c r="BL1402" i="1" a="1"/>
  <c r="BL1402" i="1" s="1"/>
  <c r="BK1414" i="1"/>
  <c r="BM1441" i="1" a="1"/>
  <c r="BM1441" i="1" s="1"/>
  <c r="BJ1441" i="1" s="1" a="1"/>
  <c r="BJ1441" i="1" s="1"/>
  <c r="BI1451" i="1" a="1"/>
  <c r="BI1451" i="1" s="1"/>
  <c r="BN1441" i="1" a="1"/>
  <c r="BN1441" i="1" s="1"/>
  <c r="BN1419" i="1" a="1"/>
  <c r="BN1419" i="1" s="1"/>
  <c r="BI1398" i="1" a="1"/>
  <c r="BI1398" i="1" s="1"/>
  <c r="BK1374" i="1" a="1"/>
  <c r="BK1374" i="1" s="1"/>
  <c r="BQ1374" i="1" s="1"/>
  <c r="BR1374" i="1" s="1"/>
  <c r="BM1375" i="1" a="1"/>
  <c r="BM1375" i="1" s="1"/>
  <c r="BJ1375" i="1" s="1" a="1"/>
  <c r="BJ1375" i="1" s="1"/>
  <c r="BL1405" i="1" a="1"/>
  <c r="BL1405" i="1" s="1"/>
  <c r="BI1405" i="1" a="1"/>
  <c r="BI1405" i="1" s="1"/>
  <c r="BI1433" i="1" a="1"/>
  <c r="BI1433" i="1" s="1"/>
  <c r="BN1457" i="1" a="1"/>
  <c r="BN1457" i="1" s="1"/>
  <c r="BK1373" i="1" a="1"/>
  <c r="BK1373" i="1" s="1"/>
  <c r="BQ1373" i="1" s="1"/>
  <c r="BR1373" i="1" s="1"/>
  <c r="BM1374" i="1" a="1"/>
  <c r="BM1374" i="1" s="1"/>
  <c r="BJ1374" i="1" s="1" a="1"/>
  <c r="BJ1374" i="1" s="1"/>
  <c r="BK1375" i="1" a="1"/>
  <c r="BK1375" i="1" s="1"/>
  <c r="BQ1375" i="1" s="1"/>
  <c r="BR1375" i="1" s="1"/>
  <c r="BI1383" i="1" a="1"/>
  <c r="BI1383" i="1" s="1"/>
  <c r="BM1385" i="1" a="1"/>
  <c r="BM1385" i="1" s="1"/>
  <c r="BJ1385" i="1" s="1" a="1"/>
  <c r="BJ1385" i="1" s="1"/>
  <c r="BI1389" i="1" a="1"/>
  <c r="BI1389" i="1" s="1"/>
  <c r="BK1399" i="1"/>
  <c r="BI1416" i="1" a="1"/>
  <c r="BI1416" i="1" s="1"/>
  <c r="BI1432" i="1" a="1"/>
  <c r="BI1432" i="1" s="1"/>
  <c r="BL1455" i="1" a="1"/>
  <c r="BL1455" i="1" s="1"/>
  <c r="BN1374" i="1" a="1"/>
  <c r="BN1374" i="1" s="1"/>
  <c r="BK1385" i="1" a="1"/>
  <c r="BK1385" i="1" s="1"/>
  <c r="BL1414" i="1"/>
  <c r="BN1437" i="1" a="1"/>
  <c r="BN1437" i="1" s="1"/>
  <c r="BK1396" i="1"/>
  <c r="BM1405" i="1" a="1"/>
  <c r="BM1405" i="1" s="1"/>
  <c r="BJ1405" i="1" s="1" a="1"/>
  <c r="BJ1405" i="1" s="1"/>
  <c r="BK1423" i="1"/>
  <c r="BM1372" i="1" a="1"/>
  <c r="BM1372" i="1" s="1"/>
  <c r="BJ1372" i="1" s="1" a="1"/>
  <c r="BJ1372" i="1" s="1"/>
  <c r="BK1381" i="1"/>
  <c r="BN1386" i="1" a="1"/>
  <c r="BN1386" i="1" s="1"/>
  <c r="BL1401" i="1" a="1"/>
  <c r="BL1401" i="1" s="1"/>
  <c r="BL1423" i="1"/>
  <c r="BM1420" i="1" a="1"/>
  <c r="BM1420" i="1" s="1"/>
  <c r="BJ1420" i="1" s="1" a="1"/>
  <c r="BJ1420" i="1" s="1"/>
  <c r="BM1378" i="1" a="1"/>
  <c r="BM1378" i="1" s="1"/>
  <c r="BJ1378" i="1" s="1" a="1"/>
  <c r="BJ1378" i="1" s="1"/>
  <c r="BM1380" i="1" a="1"/>
  <c r="BM1380" i="1" s="1"/>
  <c r="BJ1380" i="1" s="1" a="1"/>
  <c r="BJ1380" i="1" s="1"/>
  <c r="BN1383" i="1" a="1"/>
  <c r="BN1383" i="1" s="1"/>
  <c r="BI1386" i="1" a="1"/>
  <c r="BI1386" i="1" s="1"/>
  <c r="BM1387" i="1" a="1"/>
  <c r="BM1387" i="1" s="1"/>
  <c r="BJ1387" i="1" s="1" a="1"/>
  <c r="BJ1387" i="1" s="1"/>
  <c r="BM1399" i="1" a="1"/>
  <c r="BM1399" i="1" s="1"/>
  <c r="BJ1399" i="1" s="1" a="1"/>
  <c r="BJ1399" i="1" s="1"/>
  <c r="BI1401" i="1" a="1"/>
  <c r="BI1401" i="1" s="1"/>
  <c r="BM1404" i="1" a="1"/>
  <c r="BM1404" i="1" s="1"/>
  <c r="BJ1404" i="1" s="1" a="1"/>
  <c r="BJ1404" i="1" s="1"/>
  <c r="BI1431" i="1" a="1"/>
  <c r="BI1431" i="1" s="1"/>
  <c r="BK1439" i="1" a="1"/>
  <c r="BK1439" i="1" s="1"/>
  <c r="BI1449" i="1" a="1"/>
  <c r="BI1449" i="1" s="1"/>
  <c r="BK1450" i="1"/>
  <c r="BM1456" i="1" a="1"/>
  <c r="BM1456" i="1" s="1"/>
  <c r="BJ1456" i="1" s="1" a="1"/>
  <c r="BJ1456" i="1" s="1"/>
  <c r="BI1456" i="1" a="1"/>
  <c r="BI1456" i="1" s="1"/>
  <c r="BN1454" i="1" a="1"/>
  <c r="BN1454" i="1" s="1"/>
  <c r="BM1371" i="1" a="1"/>
  <c r="BM1371" i="1" s="1"/>
  <c r="BJ1371" i="1" s="1" a="1"/>
  <c r="BJ1371" i="1" s="1"/>
  <c r="BL1375" i="1" a="1"/>
  <c r="BL1375" i="1" s="1"/>
  <c r="BK1384" i="1" a="1"/>
  <c r="BK1384" i="1" s="1"/>
  <c r="BK1386" i="1" a="1"/>
  <c r="BK1386" i="1" s="1"/>
  <c r="BK1389" i="1" a="1"/>
  <c r="BK1389" i="1" s="1"/>
  <c r="BQ1389" i="1" s="1"/>
  <c r="BR1389" i="1" s="1"/>
  <c r="BM1390" i="1" a="1"/>
  <c r="BM1390" i="1" s="1"/>
  <c r="BJ1390" i="1" s="1" a="1"/>
  <c r="BJ1390" i="1" s="1"/>
  <c r="BK1392" i="1" a="1"/>
  <c r="BK1392" i="1" s="1"/>
  <c r="BQ1392" i="1" s="1"/>
  <c r="BR1392" i="1" s="1"/>
  <c r="BN1396" i="1" a="1"/>
  <c r="BN1396" i="1" s="1"/>
  <c r="BM1397" i="1" a="1"/>
  <c r="BM1397" i="1" s="1"/>
  <c r="BJ1397" i="1" s="1" a="1"/>
  <c r="BJ1397" i="1" s="1"/>
  <c r="BN1401" i="1" a="1"/>
  <c r="BN1401" i="1" s="1"/>
  <c r="BK1421" i="1"/>
  <c r="BK1431" i="1"/>
  <c r="BL1439" i="1" a="1"/>
  <c r="BL1439" i="1" s="1"/>
  <c r="BK1449" i="1"/>
  <c r="BM1450" i="1" a="1"/>
  <c r="BM1450" i="1" s="1"/>
  <c r="BJ1450" i="1" s="1" a="1"/>
  <c r="BJ1450" i="1" s="1"/>
  <c r="BN1456" i="1" a="1"/>
  <c r="BN1456" i="1" s="1"/>
  <c r="BL1380" i="1" a="1"/>
  <c r="BL1380" i="1" s="1"/>
  <c r="BL1421" i="1"/>
  <c r="BN1431" i="1" a="1"/>
  <c r="BN1431" i="1" s="1"/>
  <c r="BK1432" i="1"/>
  <c r="BK1433" i="1"/>
  <c r="BI1434" i="1" a="1"/>
  <c r="BI1434" i="1" s="1"/>
  <c r="BI1435" i="1" a="1"/>
  <c r="BI1435" i="1" s="1"/>
  <c r="BI1437" i="1" a="1"/>
  <c r="BI1437" i="1" s="1"/>
  <c r="BM1439" i="1" a="1"/>
  <c r="BM1439" i="1" s="1"/>
  <c r="BJ1439" i="1" s="1" a="1"/>
  <c r="BJ1439" i="1" s="1"/>
  <c r="BK1451" i="1"/>
  <c r="BM1452" i="1" a="1"/>
  <c r="BM1452" i="1" s="1"/>
  <c r="BJ1452" i="1" s="1" a="1"/>
  <c r="BJ1452" i="1" s="1"/>
  <c r="BI1453" i="1" a="1"/>
  <c r="BI1453" i="1" s="1"/>
  <c r="BI1457" i="1" a="1"/>
  <c r="BI1457" i="1" s="1"/>
  <c r="BL1458" i="1" a="1"/>
  <c r="BL1458" i="1" s="1"/>
  <c r="BI1459" i="1" a="1"/>
  <c r="BI1459" i="1" s="1"/>
  <c r="BL1371" i="1" a="1"/>
  <c r="BL1371" i="1" s="1"/>
  <c r="BI1375" i="1" a="1"/>
  <c r="BI1375" i="1" s="1"/>
  <c r="BM1381" i="1" a="1"/>
  <c r="BM1381" i="1" s="1"/>
  <c r="BJ1381" i="1" s="1" a="1"/>
  <c r="BJ1381" i="1" s="1"/>
  <c r="BM1395" i="1" a="1"/>
  <c r="BM1395" i="1" s="1"/>
  <c r="BJ1395" i="1" s="1" a="1"/>
  <c r="BJ1395" i="1" s="1"/>
  <c r="BN1399" i="1" a="1"/>
  <c r="BN1399" i="1" s="1"/>
  <c r="BI1404" i="1" a="1"/>
  <c r="BI1404" i="1" s="1"/>
  <c r="BM1414" i="1" a="1"/>
  <c r="BM1414" i="1" s="1"/>
  <c r="BJ1414" i="1" s="1" a="1"/>
  <c r="BJ1414" i="1" s="1"/>
  <c r="BL1416" i="1"/>
  <c r="BN1421" i="1" a="1"/>
  <c r="BN1421" i="1" s="1"/>
  <c r="BN1433" i="1" a="1"/>
  <c r="BN1433" i="1" s="1"/>
  <c r="BK1434" i="1"/>
  <c r="BN1435" i="1" a="1"/>
  <c r="BN1435" i="1" s="1"/>
  <c r="BK1437" i="1" a="1"/>
  <c r="BK1437" i="1" s="1"/>
  <c r="BN1439" i="1" a="1"/>
  <c r="BN1439" i="1" s="1"/>
  <c r="BI1455" i="1" a="1"/>
  <c r="BI1455" i="1" s="1"/>
  <c r="BK1457" i="1" a="1"/>
  <c r="BK1457" i="1" s="1"/>
  <c r="BI1372" i="1" a="1"/>
  <c r="BI1372" i="1" s="1"/>
  <c r="BM1377" i="1" a="1"/>
  <c r="BM1377" i="1" s="1"/>
  <c r="BJ1377" i="1" s="1" a="1"/>
  <c r="BJ1377" i="1" s="1"/>
  <c r="BI1378" i="1" a="1"/>
  <c r="BI1378" i="1" s="1"/>
  <c r="BI1380" i="1" a="1"/>
  <c r="BI1380" i="1" s="1"/>
  <c r="BM1383" i="1" a="1"/>
  <c r="BM1383" i="1" s="1"/>
  <c r="BJ1383" i="1" s="1" a="1"/>
  <c r="BJ1383" i="1" s="1"/>
  <c r="BM1386" i="1" a="1"/>
  <c r="BM1386" i="1" s="1"/>
  <c r="BJ1386" i="1" s="1" a="1"/>
  <c r="BJ1386" i="1" s="1"/>
  <c r="BN1387" i="1" a="1"/>
  <c r="BN1387" i="1" s="1"/>
  <c r="BM1393" i="1" a="1"/>
  <c r="BM1393" i="1" s="1"/>
  <c r="BJ1393" i="1" s="1" a="1"/>
  <c r="BJ1393" i="1" s="1"/>
  <c r="BN1397" i="1" a="1"/>
  <c r="BN1397" i="1" s="1"/>
  <c r="BK1404" i="1" a="1"/>
  <c r="BK1404" i="1" s="1"/>
  <c r="BN1405" i="1" a="1"/>
  <c r="BN1405" i="1" s="1"/>
  <c r="BN1416" i="1" a="1"/>
  <c r="BN1416" i="1" s="1"/>
  <c r="BI1419" i="1" a="1"/>
  <c r="BI1419" i="1" s="1"/>
  <c r="BL1437" i="1" a="1"/>
  <c r="BL1437" i="1" s="1"/>
  <c r="BL1457" i="1" a="1"/>
  <c r="BL1457" i="1" s="1"/>
  <c r="BK1459" i="1" a="1"/>
  <c r="BK1459" i="1" s="1"/>
  <c r="BI1421" i="1" a="1"/>
  <c r="BI1421" i="1" s="1"/>
  <c r="BI1371" i="1" a="1"/>
  <c r="BI1371" i="1" s="1"/>
  <c r="BN1375" i="1" a="1"/>
  <c r="BN1375" i="1" s="1"/>
  <c r="BI1379" i="1" a="1"/>
  <c r="BI1379" i="1" s="1"/>
  <c r="BK1390" i="1" a="1"/>
  <c r="BK1390" i="1" s="1"/>
  <c r="BQ1390" i="1" s="1"/>
  <c r="BR1390" i="1" s="1"/>
  <c r="BM1391" i="1" a="1"/>
  <c r="BM1391" i="1" s="1"/>
  <c r="BJ1391" i="1" s="1" a="1"/>
  <c r="BJ1391" i="1" s="1"/>
  <c r="BN1395" i="1" a="1"/>
  <c r="BN1395" i="1" s="1"/>
  <c r="BM1401" i="1" a="1"/>
  <c r="BM1401" i="1" s="1"/>
  <c r="BJ1401" i="1" s="1" a="1"/>
  <c r="BJ1401" i="1" s="1"/>
  <c r="BI1402" i="1" a="1"/>
  <c r="BI1402" i="1" s="1"/>
  <c r="BM1403" i="1" a="1"/>
  <c r="BM1403" i="1" s="1"/>
  <c r="BJ1403" i="1" s="1" a="1"/>
  <c r="BJ1403" i="1" s="1"/>
  <c r="BN1404" i="1" a="1"/>
  <c r="BN1404" i="1" s="1"/>
  <c r="BL1419" i="1"/>
  <c r="BL1441" i="1" a="1"/>
  <c r="BL1441" i="1" s="1"/>
  <c r="BN1459" i="1" a="1"/>
  <c r="BN1459" i="1" s="1"/>
  <c r="BI1458" i="1" a="1"/>
  <c r="BI1458" i="1" s="1"/>
  <c r="BM1458" i="1" a="1"/>
  <c r="BM1458" i="1" s="1"/>
  <c r="BJ1458" i="1" s="1" a="1"/>
  <c r="BJ1458" i="1" s="1"/>
  <c r="BK1456" i="1" a="1"/>
  <c r="BK1456" i="1" s="1"/>
  <c r="BN1458" i="1" a="1"/>
  <c r="BN1458" i="1" s="1"/>
  <c r="BN1455" i="1" a="1"/>
  <c r="BN1455" i="1" s="1"/>
  <c r="BL1459" i="1" a="1"/>
  <c r="BL1459" i="1" s="1"/>
  <c r="BN1449" i="1" a="1"/>
  <c r="BN1449" i="1" s="1"/>
  <c r="BL1450" i="1" a="1"/>
  <c r="BL1450" i="1" s="1"/>
  <c r="BN1451" i="1" a="1"/>
  <c r="BN1451" i="1" s="1"/>
  <c r="BL1452" i="1" a="1"/>
  <c r="BL1452" i="1" s="1"/>
  <c r="BN1453" i="1" a="1"/>
  <c r="BN1453" i="1" s="1"/>
  <c r="BI1450" i="1" a="1"/>
  <c r="BI1450" i="1" s="1"/>
  <c r="BI1452" i="1" a="1"/>
  <c r="BI1452" i="1" s="1"/>
  <c r="BK1453" i="1"/>
  <c r="BL1449" i="1" a="1"/>
  <c r="BL1449" i="1" s="1"/>
  <c r="BL1451" i="1" a="1"/>
  <c r="BL1451" i="1" s="1"/>
  <c r="BL1453" i="1" a="1"/>
  <c r="BL1453" i="1" s="1"/>
  <c r="BI1438" i="1" a="1"/>
  <c r="BI1438" i="1" s="1"/>
  <c r="BM1438" i="1" a="1"/>
  <c r="BM1438" i="1" s="1"/>
  <c r="BJ1438" i="1" s="1" a="1"/>
  <c r="BJ1438" i="1" s="1"/>
  <c r="BL1440" i="1" a="1"/>
  <c r="BL1440" i="1" s="1"/>
  <c r="BN1438" i="1" a="1"/>
  <c r="BN1438" i="1" s="1"/>
  <c r="BI1440" i="1" a="1"/>
  <c r="BI1440" i="1" s="1"/>
  <c r="BM1440" i="1" a="1"/>
  <c r="BM1440" i="1" s="1"/>
  <c r="BJ1440" i="1" s="1" a="1"/>
  <c r="BJ1440" i="1" s="1"/>
  <c r="BK1438" i="1" a="1"/>
  <c r="BK1438" i="1" s="1"/>
  <c r="BN1440" i="1" a="1"/>
  <c r="BN1440" i="1" s="1"/>
  <c r="BL1434" i="1" a="1"/>
  <c r="BL1434" i="1" s="1"/>
  <c r="BL1432" i="1" a="1"/>
  <c r="BL1432" i="1" s="1"/>
  <c r="BM1432" i="1" a="1"/>
  <c r="BM1432" i="1" s="1"/>
  <c r="BJ1432" i="1" s="1" a="1"/>
  <c r="BJ1432" i="1" s="1"/>
  <c r="BM1434" i="1" a="1"/>
  <c r="BM1434" i="1" s="1"/>
  <c r="BJ1434" i="1" s="1" a="1"/>
  <c r="BJ1434" i="1" s="1"/>
  <c r="BK1435" i="1"/>
  <c r="BL1431" i="1" a="1"/>
  <c r="BL1431" i="1" s="1"/>
  <c r="BL1433" i="1" a="1"/>
  <c r="BL1433" i="1" s="1"/>
  <c r="BL1435" i="1" a="1"/>
  <c r="BL1435" i="1" s="1"/>
  <c r="BL1420" i="1"/>
  <c r="BI1420" i="1" a="1"/>
  <c r="BI1420" i="1" s="1"/>
  <c r="BN1420" i="1" a="1"/>
  <c r="BN1420" i="1" s="1"/>
  <c r="BK1422" i="1"/>
  <c r="BL1422" i="1"/>
  <c r="BK1419" i="1"/>
  <c r="BM1422" i="1" a="1"/>
  <c r="BM1422" i="1" s="1"/>
  <c r="BJ1422" i="1" s="1" a="1"/>
  <c r="BJ1422" i="1" s="1"/>
  <c r="BI1422" i="1" a="1"/>
  <c r="BI1422" i="1" s="1"/>
  <c r="BI1413" i="1" a="1"/>
  <c r="BI1413" i="1" s="1"/>
  <c r="BN1413" i="1" a="1"/>
  <c r="BN1413" i="1" s="1"/>
  <c r="BI1417" i="1" a="1"/>
  <c r="BI1417" i="1" s="1"/>
  <c r="BN1417" i="1" a="1"/>
  <c r="BN1417" i="1" s="1"/>
  <c r="BL1415" i="1"/>
  <c r="BI1414" i="1" a="1"/>
  <c r="BI1414" i="1" s="1"/>
  <c r="BM1415" i="1" a="1"/>
  <c r="BM1415" i="1" s="1"/>
  <c r="BJ1415" i="1" s="1" a="1"/>
  <c r="BJ1415" i="1" s="1"/>
  <c r="BK1416" i="1"/>
  <c r="BK1413" i="1"/>
  <c r="BI1415" i="1" a="1"/>
  <c r="BI1415" i="1" s="1"/>
  <c r="BK1417" i="1"/>
  <c r="BL1413" i="1"/>
  <c r="BL1417" i="1"/>
  <c r="E1403" i="1" a="1"/>
  <c r="E1403" i="1" s="1"/>
  <c r="E1402" i="1" a="1"/>
  <c r="E1402" i="1" s="1"/>
  <c r="BL1403" i="1" a="1"/>
  <c r="BL1403" i="1" s="1"/>
  <c r="BK1401" i="1" a="1"/>
  <c r="BK1401" i="1" s="1"/>
  <c r="BN1402" i="1" a="1"/>
  <c r="BN1402" i="1" s="1"/>
  <c r="BI1403" i="1" a="1"/>
  <c r="BI1403" i="1" s="1"/>
  <c r="BK1405" i="1" a="1"/>
  <c r="BK1405" i="1" s="1"/>
  <c r="E1404" i="1" a="1"/>
  <c r="E1404" i="1" s="1"/>
  <c r="BK1402" i="1" a="1"/>
  <c r="BK1402" i="1" s="1"/>
  <c r="BN1403" i="1" a="1"/>
  <c r="BN1403" i="1" s="1"/>
  <c r="E1401" i="1" a="1"/>
  <c r="E1401" i="1" s="1"/>
  <c r="E1405" i="1" a="1"/>
  <c r="E1405" i="1" s="1"/>
  <c r="E1397" i="1" a="1"/>
  <c r="E1397" i="1" s="1"/>
  <c r="BL1395" i="1" a="1"/>
  <c r="BL1395" i="1" s="1"/>
  <c r="E1395" i="1" a="1"/>
  <c r="E1395" i="1" s="1"/>
  <c r="E1399" i="1" a="1"/>
  <c r="E1399" i="1" s="1"/>
  <c r="BK1395" i="1"/>
  <c r="BN1398" i="1" a="1"/>
  <c r="BN1398" i="1" s="1"/>
  <c r="BL1396" i="1" a="1"/>
  <c r="BL1396" i="1" s="1"/>
  <c r="BK1397" i="1"/>
  <c r="BL1397" i="1" a="1"/>
  <c r="BL1397" i="1" s="1"/>
  <c r="BK1398" i="1"/>
  <c r="BI1395" i="1" a="1"/>
  <c r="BI1395" i="1" s="1"/>
  <c r="E1396" i="1" a="1"/>
  <c r="E1396" i="1" s="1"/>
  <c r="BM1396" i="1" a="1"/>
  <c r="BM1396" i="1" s="1"/>
  <c r="BJ1396" i="1" s="1" a="1"/>
  <c r="BJ1396" i="1" s="1"/>
  <c r="BL1398" i="1" a="1"/>
  <c r="BL1398" i="1" s="1"/>
  <c r="BL1399" i="1" a="1"/>
  <c r="BL1399" i="1" s="1"/>
  <c r="BI1397" i="1" a="1"/>
  <c r="BI1397" i="1" s="1"/>
  <c r="E1398" i="1" a="1"/>
  <c r="E1398" i="1" s="1"/>
  <c r="E1390" i="1" a="1"/>
  <c r="E1390" i="1" s="1"/>
  <c r="E1392" i="1" a="1"/>
  <c r="E1392" i="1" s="1"/>
  <c r="E1393" i="1" a="1"/>
  <c r="E1393" i="1" s="1"/>
  <c r="E1391" i="1" a="1"/>
  <c r="E1391" i="1" s="1"/>
  <c r="BL1389" i="1" a="1"/>
  <c r="BL1389" i="1" s="1"/>
  <c r="BI1391" i="1" a="1"/>
  <c r="BI1391" i="1" s="1"/>
  <c r="BN1393" i="1" a="1"/>
  <c r="BN1393" i="1" s="1"/>
  <c r="BL1392" i="1" a="1"/>
  <c r="BL1392" i="1" s="1"/>
  <c r="BN1391" i="1" a="1"/>
  <c r="BN1391" i="1" s="1"/>
  <c r="BK1393" i="1" a="1"/>
  <c r="BK1393" i="1" s="1"/>
  <c r="BQ1393" i="1" s="1"/>
  <c r="BR1393" i="1" s="1"/>
  <c r="BL1390" i="1" a="1"/>
  <c r="BL1390" i="1" s="1"/>
  <c r="BI1392" i="1" a="1"/>
  <c r="BI1392" i="1" s="1"/>
  <c r="BN1389" i="1" a="1"/>
  <c r="BN1389" i="1" s="1"/>
  <c r="BK1391" i="1" a="1"/>
  <c r="BK1391" i="1" s="1"/>
  <c r="BQ1391" i="1" s="1"/>
  <c r="BR1391" i="1" s="1"/>
  <c r="BL1393" i="1" a="1"/>
  <c r="BL1393" i="1" s="1"/>
  <c r="BI1390" i="1" a="1"/>
  <c r="BI1390" i="1" s="1"/>
  <c r="BN1392" i="1" a="1"/>
  <c r="BN1392" i="1" s="1"/>
  <c r="BI1393" i="1" a="1"/>
  <c r="BI1393" i="1" s="1"/>
  <c r="E1386" i="1" a="1"/>
  <c r="E1386" i="1" s="1"/>
  <c r="E1383" i="1" a="1"/>
  <c r="E1383" i="1" s="1"/>
  <c r="E1384" i="1" a="1"/>
  <c r="E1384" i="1" s="1"/>
  <c r="E1387" i="1" a="1"/>
  <c r="E1387" i="1" s="1"/>
  <c r="BI1384" i="1" a="1"/>
  <c r="BI1384" i="1" s="1"/>
  <c r="BM1384" i="1" a="1"/>
  <c r="BM1384" i="1" s="1"/>
  <c r="BJ1384" i="1" s="1" a="1"/>
  <c r="BJ1384" i="1" s="1"/>
  <c r="BL1385" i="1" a="1"/>
  <c r="BL1385" i="1" s="1"/>
  <c r="BK1383" i="1" a="1"/>
  <c r="BK1383" i="1" s="1"/>
  <c r="BN1384" i="1" a="1"/>
  <c r="BN1384" i="1" s="1"/>
  <c r="BI1385" i="1" a="1"/>
  <c r="BI1385" i="1" s="1"/>
  <c r="BL1386" i="1" a="1"/>
  <c r="BL1386" i="1" s="1"/>
  <c r="BK1387" i="1" a="1"/>
  <c r="BK1387" i="1" s="1"/>
  <c r="BL1383" i="1" a="1"/>
  <c r="BL1383" i="1" s="1"/>
  <c r="BN1385" i="1" a="1"/>
  <c r="BN1385" i="1" s="1"/>
  <c r="BL1387" i="1" a="1"/>
  <c r="BL1387" i="1" s="1"/>
  <c r="E1379" i="1" a="1"/>
  <c r="E1379" i="1" s="1"/>
  <c r="E1381" i="1" a="1"/>
  <c r="E1381" i="1" s="1"/>
  <c r="BL1381" i="1" a="1"/>
  <c r="BL1381" i="1" s="1"/>
  <c r="BL1377" i="1" a="1"/>
  <c r="BL1377" i="1" s="1"/>
  <c r="E1377" i="1" a="1"/>
  <c r="E1377" i="1" s="1"/>
  <c r="BK1377" i="1"/>
  <c r="BN1380" i="1" a="1"/>
  <c r="BN1380" i="1" s="1"/>
  <c r="BI1381" i="1" a="1"/>
  <c r="BI1381" i="1" s="1"/>
  <c r="BL1378" i="1" a="1"/>
  <c r="BL1378" i="1" s="1"/>
  <c r="BK1379" i="1"/>
  <c r="BL1379" i="1" a="1"/>
  <c r="BL1379" i="1" s="1"/>
  <c r="BK1380" i="1"/>
  <c r="BK1378" i="1"/>
  <c r="BI1377" i="1" a="1"/>
  <c r="BI1377" i="1" s="1"/>
  <c r="E1378" i="1" a="1"/>
  <c r="E1378" i="1" s="1"/>
  <c r="E1380" i="1" a="1"/>
  <c r="E1380" i="1" s="1"/>
  <c r="E1372" i="1" a="1"/>
  <c r="E1372" i="1" s="1"/>
  <c r="E1371" i="1" a="1"/>
  <c r="E1371" i="1" s="1"/>
  <c r="E1374" i="1" a="1"/>
  <c r="E1374" i="1" s="1"/>
  <c r="E1373" i="1" a="1"/>
  <c r="E1373" i="1" s="1"/>
  <c r="E1375" i="1" a="1"/>
  <c r="E1375" i="1" s="1"/>
  <c r="BL1373" i="1" a="1"/>
  <c r="BL1373" i="1" s="1"/>
  <c r="BN1372" i="1" a="1"/>
  <c r="BN1372" i="1" s="1"/>
  <c r="BI1373" i="1" a="1"/>
  <c r="BI1373" i="1" s="1"/>
  <c r="BL1374" i="1" a="1"/>
  <c r="BL1374" i="1" s="1"/>
  <c r="BK1372" i="1" a="1"/>
  <c r="BK1372" i="1" s="1"/>
  <c r="BQ1372" i="1" s="1"/>
  <c r="BR1372" i="1" s="1"/>
  <c r="BN1373" i="1" a="1"/>
  <c r="BN1373" i="1" s="1"/>
  <c r="BI1374" i="1" a="1"/>
  <c r="BI1374" i="1" s="1"/>
  <c r="BK1454" i="1" a="1"/>
  <c r="BK1454" i="1" s="1"/>
  <c r="BL1454" i="1" a="1"/>
  <c r="BL1454" i="1" s="1"/>
  <c r="BI1454" i="1" a="1"/>
  <c r="BI1454" i="1" s="1"/>
  <c r="BN1467" i="1" a="1"/>
  <c r="BN1467" i="1" s="1"/>
  <c r="BM2704" i="1" a="1"/>
  <c r="BM2704" i="1" s="1"/>
  <c r="BL2704" i="1" s="1" a="1"/>
  <c r="BL2704" i="1" s="1"/>
  <c r="BI2652" i="1" a="1"/>
  <c r="BI2652" i="1" s="1"/>
  <c r="BI2704" i="1" a="1"/>
  <c r="BI2704" i="1" s="1"/>
  <c r="BN2705" i="1" a="1"/>
  <c r="BN2705" i="1" s="1"/>
  <c r="BK2618" i="1" a="1"/>
  <c r="BK2618" i="1" s="1"/>
  <c r="BI1469" i="1" a="1"/>
  <c r="BI1469" i="1" s="1"/>
  <c r="BN1486" i="1" a="1"/>
  <c r="BN1486" i="1" s="1"/>
  <c r="BM2573" i="1" a="1"/>
  <c r="BM2573" i="1" s="1"/>
  <c r="BL2573" i="1" s="1" a="1"/>
  <c r="BL2573" i="1" s="1"/>
  <c r="BM1475" i="1" a="1"/>
  <c r="BM1475" i="1" s="1"/>
  <c r="BL1475" i="1" s="1" a="1"/>
  <c r="BL1475" i="1" s="1"/>
  <c r="BM1467" i="1" a="1"/>
  <c r="BM1467" i="1" s="1"/>
  <c r="BL1467" i="1" s="1" a="1"/>
  <c r="BL1467" i="1" s="1"/>
  <c r="BI1463" i="1" a="1"/>
  <c r="BI1463" i="1" s="1"/>
  <c r="BN1469" i="1" a="1"/>
  <c r="BN1469" i="1" s="1"/>
  <c r="BK2615" i="1" a="1"/>
  <c r="BK2615" i="1" s="1"/>
  <c r="BI2653" i="1" a="1"/>
  <c r="BI2653" i="1" s="1"/>
  <c r="BI1486" i="1" a="1"/>
  <c r="BI1486" i="1" s="1"/>
  <c r="BI2650" i="1" a="1"/>
  <c r="BI2650" i="1" s="1"/>
  <c r="BM1482" i="1" a="1"/>
  <c r="BM1482" i="1" s="1"/>
  <c r="BL1482" i="1" s="1" a="1"/>
  <c r="BL1482" i="1" s="1"/>
  <c r="BM2576" i="1" a="1"/>
  <c r="BM2576" i="1" s="1"/>
  <c r="BL2576" i="1" s="1" a="1"/>
  <c r="BL2576" i="1" s="1"/>
  <c r="BN2650" i="1" a="1"/>
  <c r="BN2650" i="1" s="1"/>
  <c r="BM1468" i="1" a="1"/>
  <c r="BM1468" i="1" s="1"/>
  <c r="BL1468" i="1" s="1" a="1"/>
  <c r="BL1468" i="1" s="1"/>
  <c r="BK1477" i="1" a="1"/>
  <c r="BK1477" i="1" s="1"/>
  <c r="BM2651" i="1" a="1"/>
  <c r="BM2651" i="1" s="1"/>
  <c r="BL2651" i="1" s="1" a="1"/>
  <c r="BL2651" i="1" s="1"/>
  <c r="BM1476" i="1" a="1"/>
  <c r="BM1476" i="1" s="1"/>
  <c r="BL1476" i="1" s="1" a="1"/>
  <c r="BL1476" i="1" s="1"/>
  <c r="BI1492" i="1" a="1"/>
  <c r="BI1492" i="1" s="1"/>
  <c r="BI1495" i="1" a="1"/>
  <c r="BI1495" i="1" s="1"/>
  <c r="BM2574" i="1" a="1"/>
  <c r="BM2574" i="1" s="1"/>
  <c r="BL2574" i="1" s="1" a="1"/>
  <c r="BL2574" i="1" s="1"/>
  <c r="BK2652" i="1" a="1"/>
  <c r="BK2652" i="1" s="1"/>
  <c r="BN1474" i="1" a="1"/>
  <c r="BN1474" i="1" s="1"/>
  <c r="BM1481" i="1" a="1"/>
  <c r="BM1481" i="1" s="1"/>
  <c r="BL1481" i="1" s="1" a="1"/>
  <c r="BL1481" i="1" s="1"/>
  <c r="BK1492" i="1" a="1"/>
  <c r="BK1492" i="1" s="1"/>
  <c r="BM1495" i="1" a="1"/>
  <c r="BM1495" i="1" s="1"/>
  <c r="BJ1495" i="1" s="1" a="1"/>
  <c r="BJ1495" i="1" s="1"/>
  <c r="BM2614" i="1" a="1"/>
  <c r="BM2614" i="1" s="1"/>
  <c r="BL2614" i="1" s="1" a="1"/>
  <c r="BL2614" i="1" s="1"/>
  <c r="BM1473" i="1" a="1"/>
  <c r="BM1473" i="1" s="1"/>
  <c r="BL1473" i="1" s="1" a="1"/>
  <c r="BL1473" i="1" s="1"/>
  <c r="BM1486" i="1" a="1"/>
  <c r="BM1486" i="1" s="1"/>
  <c r="BJ1486" i="1" s="1" a="1"/>
  <c r="BJ1486" i="1" s="1"/>
  <c r="BM2653" i="1" a="1"/>
  <c r="BM2653" i="1" s="1"/>
  <c r="BL2653" i="1" s="1" a="1"/>
  <c r="BL2653" i="1" s="1"/>
  <c r="BI2700" i="1" a="1"/>
  <c r="BI2700" i="1" s="1"/>
  <c r="BK2704" i="1" a="1"/>
  <c r="BK2704" i="1" s="1"/>
  <c r="BI1461" i="1" a="1"/>
  <c r="BI1461" i="1" s="1"/>
  <c r="BM2577" i="1" a="1"/>
  <c r="BM2577" i="1" s="1"/>
  <c r="BL2577" i="1" s="1" a="1"/>
  <c r="BL2577" i="1" s="1"/>
  <c r="BI2618" i="1" a="1"/>
  <c r="BI2618" i="1" s="1"/>
  <c r="BM1480" i="1" a="1"/>
  <c r="BM1480" i="1" s="1"/>
  <c r="BL1480" i="1" s="1" a="1"/>
  <c r="BL1480" i="1" s="1"/>
  <c r="BM1488" i="1" a="1"/>
  <c r="BM1488" i="1" s="1"/>
  <c r="BL1488" i="1" s="1" a="1"/>
  <c r="BL1488" i="1" s="1"/>
  <c r="BM2617" i="1" a="1"/>
  <c r="BM2617" i="1" s="1"/>
  <c r="BL2617" i="1" s="1" a="1"/>
  <c r="BL2617" i="1" s="1"/>
  <c r="BN1465" i="1" a="1"/>
  <c r="BN1465" i="1" s="1"/>
  <c r="BM1471" i="1" a="1"/>
  <c r="BM1471" i="1" s="1"/>
  <c r="BL1471" i="1" s="1" a="1"/>
  <c r="BL1471" i="1" s="1"/>
  <c r="BI2708" i="1" a="1"/>
  <c r="BI2708" i="1" s="1"/>
  <c r="BM1479" i="1" a="1"/>
  <c r="BM1479" i="1" s="1"/>
  <c r="BL1479" i="1" s="1" a="1"/>
  <c r="BL1479" i="1" s="1"/>
  <c r="BK1485" i="1" a="1"/>
  <c r="BK1485" i="1" s="1"/>
  <c r="BK2699" i="1" a="1"/>
  <c r="BK2699" i="1" s="1"/>
  <c r="BM1461" i="1" a="1"/>
  <c r="BM1461" i="1" s="1"/>
  <c r="BL1461" i="1" s="1" a="1"/>
  <c r="BL1461" i="1" s="1"/>
  <c r="BI1476" i="1" a="1"/>
  <c r="BI1476" i="1" s="1"/>
  <c r="BN1485" i="1" a="1"/>
  <c r="BN1485" i="1" s="1"/>
  <c r="BI2575" i="1" a="1"/>
  <c r="BI2575" i="1" s="1"/>
  <c r="BK2614" i="1" a="1"/>
  <c r="BK2614" i="1" s="1"/>
  <c r="BN2706" i="1" a="1"/>
  <c r="BN2706" i="1" s="1"/>
  <c r="BM1463" i="1" a="1"/>
  <c r="BM1463" i="1" s="1"/>
  <c r="BL1463" i="1" s="1" a="1"/>
  <c r="BL1463" i="1" s="1"/>
  <c r="BN1464" i="1" a="1"/>
  <c r="BN1464" i="1" s="1"/>
  <c r="BM1469" i="1" a="1"/>
  <c r="BM1469" i="1" s="1"/>
  <c r="BL1469" i="1" s="1" a="1"/>
  <c r="BL1469" i="1" s="1"/>
  <c r="BM1470" i="1" a="1"/>
  <c r="BM1470" i="1" s="1"/>
  <c r="BJ1470" i="1" s="1" a="1"/>
  <c r="BJ1470" i="1" s="1"/>
  <c r="BI1471" i="1" a="1"/>
  <c r="BI1471" i="1" s="1"/>
  <c r="BK1473" i="1" a="1"/>
  <c r="BK1473" i="1" s="1"/>
  <c r="BM1487" i="1" a="1"/>
  <c r="BM1487" i="1" s="1"/>
  <c r="BJ1487" i="1" s="1" a="1"/>
  <c r="BJ1487" i="1" s="1"/>
  <c r="BI1488" i="1" a="1"/>
  <c r="BI1488" i="1" s="1"/>
  <c r="BN2575" i="1" a="1"/>
  <c r="BN2575" i="1" s="1"/>
  <c r="BN2614" i="1" a="1"/>
  <c r="BN2614" i="1" s="1"/>
  <c r="BM2616" i="1" a="1"/>
  <c r="BM2616" i="1" s="1"/>
  <c r="BL2616" i="1" s="1" a="1"/>
  <c r="BL2616" i="1" s="1"/>
  <c r="BK2617" i="1" a="1"/>
  <c r="BK2617" i="1" s="1"/>
  <c r="BM2652" i="1" a="1"/>
  <c r="BM2652" i="1" s="1"/>
  <c r="BL2652" i="1" s="1" a="1"/>
  <c r="BL2652" i="1" s="1"/>
  <c r="BI2702" i="1" a="1"/>
  <c r="BI2702" i="1" s="1"/>
  <c r="BK1471" i="1" a="1"/>
  <c r="BK1471" i="1" s="1"/>
  <c r="BK1476" i="1" a="1"/>
  <c r="BK1476" i="1" s="1"/>
  <c r="BM2702" i="1" a="1"/>
  <c r="BM2702" i="1" s="1"/>
  <c r="BL2702" i="1" s="1" a="1"/>
  <c r="BL2702" i="1" s="1"/>
  <c r="BN1461" i="1" a="1"/>
  <c r="BN1461" i="1" s="1"/>
  <c r="BI1467" i="1" a="1"/>
  <c r="BI1467" i="1" s="1"/>
  <c r="BI1468" i="1" a="1"/>
  <c r="BI1468" i="1" s="1"/>
  <c r="BK1475" i="1" a="1"/>
  <c r="BK1475" i="1" s="1"/>
  <c r="BM1489" i="1" a="1"/>
  <c r="BM1489" i="1" s="1"/>
  <c r="BL1489" i="1" s="1" a="1"/>
  <c r="BL1489" i="1" s="1"/>
  <c r="BI2573" i="1" a="1"/>
  <c r="BI2573" i="1" s="1"/>
  <c r="BI2577" i="1" a="1"/>
  <c r="BI2577" i="1" s="1"/>
  <c r="BM2615" i="1" a="1"/>
  <c r="BM2615" i="1" s="1"/>
  <c r="BL2615" i="1" s="1" a="1"/>
  <c r="BL2615" i="1" s="1"/>
  <c r="BK2616" i="1" a="1"/>
  <c r="BK2616" i="1" s="1"/>
  <c r="BM2618" i="1" a="1"/>
  <c r="BM2618" i="1" s="1"/>
  <c r="BL2618" i="1" s="1" a="1"/>
  <c r="BL2618" i="1" s="1"/>
  <c r="BN2653" i="1" a="1"/>
  <c r="BN2653" i="1" s="1"/>
  <c r="BN2698" i="1" a="1"/>
  <c r="BN2698" i="1" s="1"/>
  <c r="BK2700" i="1" a="1"/>
  <c r="BK2700" i="1" s="1"/>
  <c r="BN2702" i="1" a="1"/>
  <c r="BN2702" i="1" s="1"/>
  <c r="BK1468" i="1" a="1"/>
  <c r="BK1468" i="1" s="1"/>
  <c r="BM1474" i="1" a="1"/>
  <c r="BM1474" i="1" s="1"/>
  <c r="BL1474" i="1" s="1" a="1"/>
  <c r="BL1474" i="1" s="1"/>
  <c r="BM1485" i="1" a="1"/>
  <c r="BM1485" i="1" s="1"/>
  <c r="BL1485" i="1" s="1" a="1"/>
  <c r="BL1485" i="1" s="1"/>
  <c r="BI1487" i="1" a="1"/>
  <c r="BI1487" i="1" s="1"/>
  <c r="BN2573" i="1" a="1"/>
  <c r="BN2573" i="1" s="1"/>
  <c r="BN2616" i="1" a="1"/>
  <c r="BN2616" i="1" s="1"/>
  <c r="BM2650" i="1" a="1"/>
  <c r="BM2650" i="1" s="1"/>
  <c r="BL2650" i="1" s="1" a="1"/>
  <c r="BL2650" i="1" s="1"/>
  <c r="BM1462" i="1" a="1"/>
  <c r="BM1462" i="1" s="1"/>
  <c r="BJ1462" i="1" s="1" a="1"/>
  <c r="BJ1462" i="1" s="1"/>
  <c r="BM2575" i="1" a="1"/>
  <c r="BM2575" i="1" s="1"/>
  <c r="BL2575" i="1" s="1" a="1"/>
  <c r="BL2575" i="1" s="1"/>
  <c r="BI1462" i="1" a="1"/>
  <c r="BI1462" i="1" s="1"/>
  <c r="BI1470" i="1" a="1"/>
  <c r="BI1470" i="1" s="1"/>
  <c r="BN1477" i="1" a="1"/>
  <c r="BN1477" i="1" s="1"/>
  <c r="BN1488" i="1" a="1"/>
  <c r="BN1488" i="1" s="1"/>
  <c r="BK1489" i="1" a="1"/>
  <c r="BK1489" i="1" s="1"/>
  <c r="BI1491" i="1" a="1"/>
  <c r="BI1491" i="1" s="1"/>
  <c r="BM1492" i="1" a="1"/>
  <c r="BM1492" i="1" s="1"/>
  <c r="BL1492" i="1" s="1" a="1"/>
  <c r="BL1492" i="1" s="1"/>
  <c r="BI1494" i="1" a="1"/>
  <c r="BI1494" i="1" s="1"/>
  <c r="BN1495" i="1" a="1"/>
  <c r="BN1495" i="1" s="1"/>
  <c r="BN2574" i="1" a="1"/>
  <c r="BN2574" i="1" s="1"/>
  <c r="BN2576" i="1" a="1"/>
  <c r="BN2576" i="1" s="1"/>
  <c r="BN2651" i="1" a="1"/>
  <c r="BN2651" i="1" s="1"/>
  <c r="BI2654" i="1" a="1"/>
  <c r="BI2654" i="1" s="1"/>
  <c r="BK2698" i="1" a="1"/>
  <c r="BK2698" i="1" s="1"/>
  <c r="BN1463" i="1" a="1"/>
  <c r="BN1463" i="1" s="1"/>
  <c r="BM1465" i="1" a="1"/>
  <c r="BM1465" i="1" s="1"/>
  <c r="BJ1465" i="1" s="1" a="1"/>
  <c r="BJ1465" i="1" s="1"/>
  <c r="BK1470" i="1" a="1"/>
  <c r="BK1470" i="1" s="1"/>
  <c r="BI1474" i="1" a="1"/>
  <c r="BI1474" i="1" s="1"/>
  <c r="BK1491" i="1" a="1"/>
  <c r="BK1491" i="1" s="1"/>
  <c r="BK1494" i="1" a="1"/>
  <c r="BK1494" i="1" s="1"/>
  <c r="BK2577" i="1" a="1"/>
  <c r="BK2577" i="1" s="1"/>
  <c r="BK2654" i="1" a="1"/>
  <c r="BK2654" i="1" s="1"/>
  <c r="BM2700" i="1" a="1"/>
  <c r="BM2700" i="1" s="1"/>
  <c r="BN1462" i="1" a="1"/>
  <c r="BN1462" i="1" s="1"/>
  <c r="BN1473" i="1" a="1"/>
  <c r="BN1473" i="1" s="1"/>
  <c r="BN1475" i="1" a="1"/>
  <c r="BN1475" i="1" s="1"/>
  <c r="BM1483" i="1" a="1"/>
  <c r="BM1483" i="1" s="1"/>
  <c r="BL1483" i="1" s="1" a="1"/>
  <c r="BL1483" i="1" s="1"/>
  <c r="BK1487" i="1" a="1"/>
  <c r="BK1487" i="1" s="1"/>
  <c r="BM1491" i="1" a="1"/>
  <c r="BM1491" i="1" s="1"/>
  <c r="BJ1491" i="1" s="1" a="1"/>
  <c r="BJ1491" i="1" s="1"/>
  <c r="BM1494" i="1" a="1"/>
  <c r="BM1494" i="1" s="1"/>
  <c r="BL1494" i="1" s="1" a="1"/>
  <c r="BL1494" i="1" s="1"/>
  <c r="BN2615" i="1" a="1"/>
  <c r="BN2615" i="1" s="1"/>
  <c r="BN2617" i="1" a="1"/>
  <c r="BN2617" i="1" s="1"/>
  <c r="BM2654" i="1" a="1"/>
  <c r="BM2654" i="1" s="1"/>
  <c r="BJ2654" i="1" s="1" a="1"/>
  <c r="BJ2654" i="1" s="1"/>
  <c r="BM2698" i="1" a="1"/>
  <c r="BM2698" i="1" s="1"/>
  <c r="BL2698" i="1" s="1" a="1"/>
  <c r="BL2698" i="1" s="1"/>
  <c r="BM1464" i="1" a="1"/>
  <c r="BM1464" i="1" s="1"/>
  <c r="BL1464" i="1" s="1" a="1"/>
  <c r="BL1464" i="1" s="1"/>
  <c r="BM1477" i="1" a="1"/>
  <c r="BM1477" i="1" s="1"/>
  <c r="BJ1477" i="1" s="1" a="1"/>
  <c r="BJ1477" i="1" s="1"/>
  <c r="BN1489" i="1" a="1"/>
  <c r="BN1489" i="1" s="1"/>
  <c r="BI2574" i="1" a="1"/>
  <c r="BI2574" i="1" s="1"/>
  <c r="BI2576" i="1" a="1"/>
  <c r="BI2576" i="1" s="1"/>
  <c r="BI2706" i="1" a="1"/>
  <c r="BI2706" i="1" s="1"/>
  <c r="BI2705" i="1" a="1"/>
  <c r="BI2705" i="1" s="1"/>
  <c r="BK2706" i="1" a="1"/>
  <c r="BK2706" i="1" s="1"/>
  <c r="BI1479" i="1" a="1"/>
  <c r="BI1479" i="1" s="1"/>
  <c r="BI1480" i="1" a="1"/>
  <c r="BI1480" i="1" s="1"/>
  <c r="BI1481" i="1" a="1"/>
  <c r="BI1481" i="1" s="1"/>
  <c r="BI1482" i="1" a="1"/>
  <c r="BI1482" i="1" s="1"/>
  <c r="BK2576" i="1" a="1"/>
  <c r="BK2576" i="1" s="1"/>
  <c r="BI2651" i="1" a="1"/>
  <c r="BI2651" i="1" s="1"/>
  <c r="BK2705" i="1" a="1"/>
  <c r="BK2705" i="1" s="1"/>
  <c r="BI1464" i="1" a="1"/>
  <c r="BI1464" i="1" s="1"/>
  <c r="E2706" i="1" a="1"/>
  <c r="E2706" i="1" s="1"/>
  <c r="E2708" i="1" a="1"/>
  <c r="E2708" i="1" s="1"/>
  <c r="BJ2705" i="1" a="1"/>
  <c r="BJ2705" i="1" s="1"/>
  <c r="BL2705" i="1" a="1"/>
  <c r="BL2705" i="1" s="1"/>
  <c r="BL2708" i="1" a="1"/>
  <c r="BL2708" i="1" s="1"/>
  <c r="BJ2708" i="1" a="1"/>
  <c r="BJ2708" i="1" s="1"/>
  <c r="BJ2706" i="1" a="1"/>
  <c r="BJ2706" i="1" s="1"/>
  <c r="BL2706" i="1" a="1"/>
  <c r="BL2706" i="1" s="1"/>
  <c r="BI2707" i="1" a="1"/>
  <c r="BI2707" i="1" s="1"/>
  <c r="BM2707" i="1" a="1"/>
  <c r="BM2707" i="1" s="1"/>
  <c r="BN2708" i="1" a="1"/>
  <c r="BN2708" i="1" s="1"/>
  <c r="E2704" i="1" a="1"/>
  <c r="E2704" i="1" s="1"/>
  <c r="BN2707" i="1" a="1"/>
  <c r="BN2707" i="1" s="1"/>
  <c r="BK2708" i="1" a="1"/>
  <c r="BK2708" i="1" s="1"/>
  <c r="E2707" i="1" a="1"/>
  <c r="E2707" i="1" s="1"/>
  <c r="E2702" i="1" a="1"/>
  <c r="E2702" i="1" s="1"/>
  <c r="E2698" i="1" a="1"/>
  <c r="E2698" i="1" s="1"/>
  <c r="E2700" i="1" a="1"/>
  <c r="E2700" i="1" s="1"/>
  <c r="BI2701" i="1" a="1"/>
  <c r="BI2701" i="1" s="1"/>
  <c r="BM2701" i="1" a="1"/>
  <c r="BM2701" i="1" s="1"/>
  <c r="BN2701" i="1" a="1"/>
  <c r="BN2701" i="1" s="1"/>
  <c r="BI2699" i="1" a="1"/>
  <c r="BI2699" i="1" s="1"/>
  <c r="BM2699" i="1" a="1"/>
  <c r="BM2699" i="1" s="1"/>
  <c r="E2650" i="1" a="1"/>
  <c r="E2650" i="1" s="1"/>
  <c r="E2651" i="1" a="1"/>
  <c r="E2651" i="1" s="1"/>
  <c r="E2652" i="1" a="1"/>
  <c r="E2652" i="1" s="1"/>
  <c r="E2653" i="1" a="1"/>
  <c r="E2653" i="1" s="1"/>
  <c r="E2654" i="1" a="1"/>
  <c r="E2654" i="1" s="1"/>
  <c r="E1492" i="1" a="1"/>
  <c r="E1492" i="1" s="1"/>
  <c r="E1495" i="1" a="1"/>
  <c r="E1495" i="1" s="1"/>
  <c r="BI1493" i="1" a="1"/>
  <c r="BI1493" i="1" s="1"/>
  <c r="BM1493" i="1" a="1"/>
  <c r="BM1493" i="1" s="1"/>
  <c r="E1494" i="1" a="1"/>
  <c r="E1494" i="1" s="1"/>
  <c r="BN1493" i="1" a="1"/>
  <c r="BN1493" i="1" s="1"/>
  <c r="E1493" i="1" a="1"/>
  <c r="E1493" i="1" s="1"/>
  <c r="E1485" i="1" a="1"/>
  <c r="E1485" i="1" s="1"/>
  <c r="E1488" i="1" a="1"/>
  <c r="E1488" i="1" s="1"/>
  <c r="E1486" i="1" a="1"/>
  <c r="E1486" i="1" s="1"/>
  <c r="E1489" i="1" a="1"/>
  <c r="E1489" i="1" s="1"/>
  <c r="E1487" i="1" a="1"/>
  <c r="E1487" i="1" s="1"/>
  <c r="E1479" i="1" a="1"/>
  <c r="E1479" i="1" s="1"/>
  <c r="E1480" i="1" a="1"/>
  <c r="E1480" i="1" s="1"/>
  <c r="E1481" i="1" a="1"/>
  <c r="E1481" i="1" s="1"/>
  <c r="E1482" i="1" a="1"/>
  <c r="E1482" i="1" s="1"/>
  <c r="E1483" i="1" a="1"/>
  <c r="E1483" i="1" s="1"/>
  <c r="BN1479" i="1" a="1"/>
  <c r="BN1479" i="1" s="1"/>
  <c r="BN1480" i="1" a="1"/>
  <c r="BN1480" i="1" s="1"/>
  <c r="BN1481" i="1" a="1"/>
  <c r="BN1481" i="1" s="1"/>
  <c r="BN1482" i="1" a="1"/>
  <c r="BN1482" i="1" s="1"/>
  <c r="BN1483" i="1" a="1"/>
  <c r="BN1483" i="1" s="1"/>
  <c r="BK1483" i="1" a="1"/>
  <c r="BK1483" i="1" s="1"/>
  <c r="E1467" i="1" a="1"/>
  <c r="E1467" i="1" s="1"/>
  <c r="E1468" i="1" a="1"/>
  <c r="E1468" i="1" s="1"/>
  <c r="E1469" i="1" a="1"/>
  <c r="E1469" i="1" s="1"/>
  <c r="E1470" i="1" a="1"/>
  <c r="E1470" i="1" s="1"/>
  <c r="E1471" i="1" a="1"/>
  <c r="E1471" i="1" s="1"/>
  <c r="E1461" i="1" a="1"/>
  <c r="E1461" i="1" s="1"/>
  <c r="E1465" i="1" a="1"/>
  <c r="E1465" i="1" s="1"/>
  <c r="E1464" i="1" a="1"/>
  <c r="E1464" i="1" s="1"/>
  <c r="E1463" i="1" a="1"/>
  <c r="E1463" i="1" s="1"/>
  <c r="E1462" i="1" a="1"/>
  <c r="E1462" i="1" s="1"/>
  <c r="BK1465" i="1" a="1"/>
  <c r="BK1465" i="1" s="1"/>
  <c r="BI2703" i="1" a="1"/>
  <c r="BI2703" i="1" s="1"/>
  <c r="BK2703" i="1" a="1"/>
  <c r="BK2703" i="1" s="1"/>
  <c r="BM2703" i="1" a="1"/>
  <c r="BM2703" i="1" s="1"/>
  <c r="BL2703" i="1" s="1" a="1"/>
  <c r="BL2703" i="1" s="1"/>
  <c r="E2703" i="1" a="1"/>
  <c r="E2703" i="1" s="1"/>
  <c r="BN484" i="1" a="1"/>
  <c r="BN484" i="1" s="1"/>
  <c r="BN355" i="1" a="1"/>
  <c r="BN355" i="1" s="1"/>
  <c r="BI362" i="1" a="1"/>
  <c r="BI362" i="1" s="1"/>
  <c r="BN443" i="1" a="1"/>
  <c r="BN443" i="1" s="1"/>
  <c r="BN450" i="1" a="1"/>
  <c r="BN450" i="1" s="1"/>
  <c r="BN502" i="1" a="1"/>
  <c r="BN502" i="1" s="1"/>
  <c r="BN430" i="1" a="1"/>
  <c r="BN430" i="1" s="1"/>
  <c r="BN403" i="1" a="1"/>
  <c r="BN403" i="1" s="1"/>
  <c r="BI408" i="1" a="1"/>
  <c r="BI408" i="1" s="1"/>
  <c r="BN412" i="1" a="1"/>
  <c r="BN412" i="1" s="1"/>
  <c r="BN475" i="1" a="1"/>
  <c r="BN475" i="1" s="1"/>
  <c r="BI435" i="1" a="1"/>
  <c r="BI435" i="1" s="1"/>
  <c r="BN373" i="1" a="1"/>
  <c r="BN373" i="1" s="1"/>
  <c r="BN374" i="1" a="1"/>
  <c r="BN374" i="1" s="1"/>
  <c r="BN381" i="1" a="1"/>
  <c r="BN381" i="1" s="1"/>
  <c r="BN396" i="1" a="1"/>
  <c r="BN396" i="1" s="1"/>
  <c r="BI458" i="1" a="1"/>
  <c r="BI458" i="1" s="1"/>
  <c r="AT461" i="1"/>
  <c r="BN472" i="1" a="1"/>
  <c r="BN472" i="1" s="1"/>
  <c r="BM347" i="1" a="1"/>
  <c r="BM347" i="1" s="1"/>
  <c r="BJ347" i="1" s="1" a="1"/>
  <c r="BJ347" i="1" s="1"/>
  <c r="BI385" i="1" a="1"/>
  <c r="BI385" i="1" s="1"/>
  <c r="AT403" i="1"/>
  <c r="BN422" i="1" a="1"/>
  <c r="BN422" i="1" s="1"/>
  <c r="BI501" i="1" a="1"/>
  <c r="BI501" i="1" s="1"/>
  <c r="BM369" i="1" a="1"/>
  <c r="BM369" i="1" s="1"/>
  <c r="BJ369" i="1" s="1" a="1"/>
  <c r="BJ369" i="1" s="1"/>
  <c r="BN429" i="1" a="1"/>
  <c r="BN429" i="1" s="1"/>
  <c r="BN334" i="1" a="1"/>
  <c r="BN334" i="1" s="1"/>
  <c r="BN340" i="1" a="1"/>
  <c r="BN340" i="1" s="1"/>
  <c r="BN440" i="1" a="1"/>
  <c r="BN440" i="1" s="1"/>
  <c r="BI341" i="1" a="1"/>
  <c r="BI341" i="1" s="1"/>
  <c r="BN398" i="1" a="1"/>
  <c r="BN398" i="1" s="1"/>
  <c r="BN418" i="1" a="1"/>
  <c r="BN418" i="1" s="1"/>
  <c r="BI468" i="1" a="1"/>
  <c r="BI468" i="1" s="1"/>
  <c r="BI483" i="1" a="1"/>
  <c r="BI483" i="1" s="1"/>
  <c r="BN491" i="1" a="1"/>
  <c r="BN491" i="1" s="1"/>
  <c r="BI351" i="1" a="1"/>
  <c r="BI351" i="1" s="1"/>
  <c r="BN463" i="1" a="1"/>
  <c r="BN463" i="1" s="1"/>
  <c r="E2740" i="1" a="1"/>
  <c r="E2740" i="1" s="1"/>
  <c r="E2739" i="1" a="1"/>
  <c r="E2739" i="1" s="1"/>
  <c r="BI354" i="1" a="1"/>
  <c r="BI354" i="1" s="1"/>
  <c r="BN397" i="1" a="1"/>
  <c r="BN397" i="1" s="1"/>
  <c r="BN456" i="1" a="1"/>
  <c r="BN456" i="1" s="1"/>
  <c r="BI460" i="1" a="1"/>
  <c r="BI460" i="1" s="1"/>
  <c r="BI348" i="1" a="1"/>
  <c r="BI348" i="1" s="1"/>
  <c r="BI416" i="1" a="1"/>
  <c r="BI416" i="1" s="1"/>
  <c r="BN421" i="1" a="1"/>
  <c r="BN421" i="1" s="1"/>
  <c r="BN428" i="1" a="1"/>
  <c r="BN428" i="1" s="1"/>
  <c r="BI436" i="1" a="1"/>
  <c r="BI436" i="1" s="1"/>
  <c r="BN405" i="1" a="1"/>
  <c r="BN405" i="1" s="1"/>
  <c r="BN409" i="1" a="1"/>
  <c r="BN409" i="1" s="1"/>
  <c r="BN417" i="1" a="1"/>
  <c r="BN417" i="1" s="1"/>
  <c r="AT440" i="1"/>
  <c r="BN479" i="1" a="1"/>
  <c r="BN479" i="1" s="1"/>
  <c r="BK494" i="1"/>
  <c r="BI333" i="1" a="1"/>
  <c r="BI333" i="1" s="1"/>
  <c r="BK347" i="1"/>
  <c r="BI370" i="1" a="1"/>
  <c r="BI370" i="1" s="1"/>
  <c r="BN376" i="1" a="1"/>
  <c r="BN376" i="1" s="1"/>
  <c r="BN406" i="1" a="1"/>
  <c r="BN406" i="1" s="1"/>
  <c r="BK407" i="1"/>
  <c r="BN410" i="1" a="1"/>
  <c r="BN410" i="1" s="1"/>
  <c r="BM438" i="1" a="1"/>
  <c r="BM438" i="1" s="1"/>
  <c r="BJ438" i="1" s="1" a="1"/>
  <c r="BJ438" i="1" s="1"/>
  <c r="BN439" i="1" a="1"/>
  <c r="BN439" i="1" s="1"/>
  <c r="BI462" i="1" a="1"/>
  <c r="BI462" i="1" s="1"/>
  <c r="BN480" i="1" a="1"/>
  <c r="BN480" i="1" s="1"/>
  <c r="BN343" i="1" a="1"/>
  <c r="BN343" i="1" s="1"/>
  <c r="BN358" i="1" a="1"/>
  <c r="BN358" i="1" s="1"/>
  <c r="BI363" i="1" a="1"/>
  <c r="BI363" i="1" s="1"/>
  <c r="BN367" i="1" a="1"/>
  <c r="BN367" i="1" s="1"/>
  <c r="BI377" i="1" a="1"/>
  <c r="BI377" i="1" s="1"/>
  <c r="BN425" i="1" a="1"/>
  <c r="BN425" i="1" s="1"/>
  <c r="BN447" i="1" a="1"/>
  <c r="BN447" i="1" s="1"/>
  <c r="BI451" i="1" a="1"/>
  <c r="BI451" i="1" s="1"/>
  <c r="BM458" i="1" a="1"/>
  <c r="BM458" i="1" s="1"/>
  <c r="BJ458" i="1" s="1" a="1"/>
  <c r="BJ458" i="1" s="1"/>
  <c r="AT489" i="1"/>
  <c r="BM499" i="1" a="1"/>
  <c r="BM499" i="1" s="1"/>
  <c r="BJ499" i="1" s="1" a="1"/>
  <c r="BJ499" i="1" s="1"/>
  <c r="BM348" i="1" a="1"/>
  <c r="BM348" i="1" s="1"/>
  <c r="BJ348" i="1" s="1" a="1"/>
  <c r="BJ348" i="1" s="1"/>
  <c r="BI373" i="1" a="1"/>
  <c r="BI373" i="1" s="1"/>
  <c r="BN384" i="1" a="1"/>
  <c r="BN384" i="1" s="1"/>
  <c r="BI447" i="1" a="1"/>
  <c r="BI447" i="1" s="1"/>
  <c r="BN482" i="1" a="1"/>
  <c r="BN482" i="1" s="1"/>
  <c r="BN495" i="1" a="1"/>
  <c r="BN495" i="1" s="1"/>
  <c r="AT354" i="1"/>
  <c r="BM391" i="1" a="1"/>
  <c r="BM391" i="1" s="1"/>
  <c r="BJ391" i="1" s="1" a="1"/>
  <c r="BJ391" i="1" s="1"/>
  <c r="BM395" i="1" a="1"/>
  <c r="BM395" i="1" s="1"/>
  <c r="BJ395" i="1" s="1" a="1"/>
  <c r="BJ395" i="1" s="1"/>
  <c r="BN408" i="1" a="1"/>
  <c r="BN408" i="1" s="1"/>
  <c r="BM409" i="1" a="1"/>
  <c r="BM409" i="1" s="1"/>
  <c r="BJ409" i="1" s="1" a="1"/>
  <c r="BJ409" i="1" s="1"/>
  <c r="BL413" i="1" a="1"/>
  <c r="BL413" i="1" s="1"/>
  <c r="BM439" i="1" a="1"/>
  <c r="BM439" i="1" s="1"/>
  <c r="BJ439" i="1" s="1" a="1"/>
  <c r="BJ439" i="1" s="1"/>
  <c r="BN444" i="1" a="1"/>
  <c r="BN444" i="1" s="1"/>
  <c r="BK456" i="1"/>
  <c r="BN458" i="1" a="1"/>
  <c r="BN458" i="1" s="1"/>
  <c r="BI496" i="1" a="1"/>
  <c r="BI496" i="1" s="1"/>
  <c r="BL500" i="1" a="1"/>
  <c r="BL500" i="1" s="1"/>
  <c r="BI340" i="1" a="1"/>
  <c r="BI340" i="1" s="1"/>
  <c r="BN350" i="1" a="1"/>
  <c r="BN350" i="1" s="1"/>
  <c r="BN353" i="1" a="1"/>
  <c r="BN353" i="1" s="1"/>
  <c r="BM385" i="1" a="1"/>
  <c r="BM385" i="1" s="1"/>
  <c r="BJ385" i="1" s="1" a="1"/>
  <c r="BJ385" i="1" s="1"/>
  <c r="BN387" i="1" a="1"/>
  <c r="BN387" i="1" s="1"/>
  <c r="BK412" i="1"/>
  <c r="AT418" i="1"/>
  <c r="AT419" i="1"/>
  <c r="BM424" i="1" a="1"/>
  <c r="BM424" i="1" s="1"/>
  <c r="BJ424" i="1" s="1" a="1"/>
  <c r="BJ424" i="1" s="1"/>
  <c r="BI440" i="1" a="1"/>
  <c r="BI440" i="1" s="1"/>
  <c r="BN452" i="1" a="1"/>
  <c r="BN452" i="1" s="1"/>
  <c r="BI455" i="1" a="1"/>
  <c r="BI455" i="1" s="1"/>
  <c r="BN468" i="1" a="1"/>
  <c r="BN468" i="1" s="1"/>
  <c r="BK469" i="1"/>
  <c r="BI472" i="1" a="1"/>
  <c r="BI472" i="1" s="1"/>
  <c r="BN494" i="1" a="1"/>
  <c r="BN494" i="1" s="1"/>
  <c r="BN497" i="1" a="1"/>
  <c r="BN497" i="1" s="1"/>
  <c r="BI330" i="1" a="1"/>
  <c r="BI330" i="1" s="1"/>
  <c r="BK339" i="1"/>
  <c r="BN344" i="1" a="1"/>
  <c r="BN344" i="1" s="1"/>
  <c r="BK351" i="1"/>
  <c r="BN354" i="1" a="1"/>
  <c r="BN354" i="1" s="1"/>
  <c r="AT359" i="1"/>
  <c r="BN365" i="1" a="1"/>
  <c r="BN365" i="1" s="1"/>
  <c r="BK369" i="1"/>
  <c r="BI374" i="1" a="1"/>
  <c r="BI374" i="1" s="1"/>
  <c r="BN395" i="1" a="1"/>
  <c r="BN395" i="1" s="1"/>
  <c r="AT396" i="1"/>
  <c r="BN400" i="1" a="1"/>
  <c r="BN400" i="1" s="1"/>
  <c r="BM402" i="1" a="1"/>
  <c r="BM402" i="1" s="1"/>
  <c r="BJ402" i="1" s="1" a="1"/>
  <c r="BJ402" i="1" s="1"/>
  <c r="BN414" i="1" a="1"/>
  <c r="BN414" i="1" s="1"/>
  <c r="BI428" i="1" a="1"/>
  <c r="BI428" i="1" s="1"/>
  <c r="BI432" i="1" a="1"/>
  <c r="BI432" i="1" s="1"/>
  <c r="AT441" i="1"/>
  <c r="BN460" i="1" a="1"/>
  <c r="BN460" i="1" s="1"/>
  <c r="BM473" i="1" a="1"/>
  <c r="BM473" i="1" s="1"/>
  <c r="BJ473" i="1" s="1" a="1"/>
  <c r="BJ473" i="1" s="1"/>
  <c r="BN476" i="1" a="1"/>
  <c r="BN476" i="1" s="1"/>
  <c r="BM480" i="1" a="1"/>
  <c r="BM480" i="1" s="1"/>
  <c r="BJ480" i="1" s="1" a="1"/>
  <c r="BJ480" i="1" s="1"/>
  <c r="BI500" i="1" a="1"/>
  <c r="BI500" i="1" s="1"/>
  <c r="BK356" i="1"/>
  <c r="BM361" i="1" a="1"/>
  <c r="BM361" i="1" s="1"/>
  <c r="BJ361" i="1" s="1" a="1"/>
  <c r="BJ361" i="1" s="1"/>
  <c r="BK362" i="1"/>
  <c r="BK378" i="1"/>
  <c r="BN388" i="1" a="1"/>
  <c r="BN388" i="1" s="1"/>
  <c r="BI395" i="1" a="1"/>
  <c r="BI395" i="1" s="1"/>
  <c r="AT397" i="1"/>
  <c r="BI409" i="1" a="1"/>
  <c r="BI409" i="1" s="1"/>
  <c r="BM416" i="1" a="1"/>
  <c r="BM416" i="1" s="1"/>
  <c r="BJ416" i="1" s="1" a="1"/>
  <c r="BJ416" i="1" s="1"/>
  <c r="BN419" i="1" a="1"/>
  <c r="BN419" i="1" s="1"/>
  <c r="BN420" i="1" a="1"/>
  <c r="BN420" i="1" s="1"/>
  <c r="BK430" i="1"/>
  <c r="BN432" i="1" a="1"/>
  <c r="BN432" i="1" s="1"/>
  <c r="BN436" i="1" a="1"/>
  <c r="BN436" i="1" s="1"/>
  <c r="BN453" i="1" a="1"/>
  <c r="BN453" i="1" s="1"/>
  <c r="BI498" i="1" a="1"/>
  <c r="BI498" i="1" s="1"/>
  <c r="BM340" i="1" a="1"/>
  <c r="BM340" i="1" s="1"/>
  <c r="BJ340" i="1" s="1" a="1"/>
  <c r="BJ340" i="1" s="1"/>
  <c r="BM352" i="1" a="1"/>
  <c r="BM352" i="1" s="1"/>
  <c r="BJ352" i="1" s="1" a="1"/>
  <c r="BJ352" i="1" s="1"/>
  <c r="BM364" i="1" a="1"/>
  <c r="BM364" i="1" s="1"/>
  <c r="BJ364" i="1" s="1" a="1"/>
  <c r="BJ364" i="1" s="1"/>
  <c r="BN366" i="1" a="1"/>
  <c r="BN366" i="1" s="1"/>
  <c r="BN385" i="1" a="1"/>
  <c r="BN385" i="1" s="1"/>
  <c r="BM386" i="1" a="1"/>
  <c r="BM386" i="1" s="1"/>
  <c r="BJ386" i="1" s="1" a="1"/>
  <c r="BJ386" i="1" s="1"/>
  <c r="BN392" i="1" a="1"/>
  <c r="BN392" i="1" s="1"/>
  <c r="BM412" i="1" a="1"/>
  <c r="BM412" i="1" s="1"/>
  <c r="BJ412" i="1" s="1" a="1"/>
  <c r="BJ412" i="1" s="1"/>
  <c r="BI425" i="1" a="1"/>
  <c r="BI425" i="1" s="1"/>
  <c r="BN442" i="1" a="1"/>
  <c r="BN442" i="1" s="1"/>
  <c r="BI450" i="1" a="1"/>
  <c r="BI450" i="1" s="1"/>
  <c r="BK467" i="1"/>
  <c r="BM478" i="1" a="1"/>
  <c r="BM478" i="1" s="1"/>
  <c r="BJ478" i="1" s="1" a="1"/>
  <c r="BJ478" i="1" s="1"/>
  <c r="BN486" i="1" a="1"/>
  <c r="BN486" i="1" s="1"/>
  <c r="BI491" i="1" a="1"/>
  <c r="BI491" i="1" s="1"/>
  <c r="BM496" i="1" a="1"/>
  <c r="BM496" i="1" s="1"/>
  <c r="BJ496" i="1" s="1" a="1"/>
  <c r="BJ496" i="1" s="1"/>
  <c r="BN351" i="1" a="1"/>
  <c r="BN351" i="1" s="1"/>
  <c r="BM370" i="1" a="1"/>
  <c r="BM370" i="1" s="1"/>
  <c r="BJ370" i="1" s="1" a="1"/>
  <c r="BJ370" i="1" s="1"/>
  <c r="BM374" i="1" a="1"/>
  <c r="BM374" i="1" s="1"/>
  <c r="BJ374" i="1" s="1" a="1"/>
  <c r="BJ374" i="1" s="1"/>
  <c r="BI407" i="1" a="1"/>
  <c r="BI407" i="1" s="1"/>
  <c r="BK423" i="1"/>
  <c r="BK427" i="1"/>
  <c r="BI443" i="1" a="1"/>
  <c r="BI443" i="1" s="1"/>
  <c r="BK449" i="1"/>
  <c r="BI454" i="1" a="1"/>
  <c r="BI454" i="1" s="1"/>
  <c r="BM461" i="1" a="1"/>
  <c r="BM461" i="1" s="1"/>
  <c r="BJ461" i="1" s="1" a="1"/>
  <c r="BJ461" i="1" s="1"/>
  <c r="AT462" i="1"/>
  <c r="BM463" i="1" a="1"/>
  <c r="BM463" i="1" s="1"/>
  <c r="BJ463" i="1" s="1" a="1"/>
  <c r="BJ463" i="1" s="1"/>
  <c r="BK475" i="1"/>
  <c r="BN478" i="1" a="1"/>
  <c r="BN478" i="1" s="1"/>
  <c r="BK483" i="1"/>
  <c r="BI487" i="1" a="1"/>
  <c r="BI487" i="1" s="1"/>
  <c r="BK488" i="1"/>
  <c r="BN493" i="1" a="1"/>
  <c r="BN493" i="1" s="1"/>
  <c r="BL471" i="1" a="1"/>
  <c r="BL471" i="1" s="1"/>
  <c r="BK490" i="1"/>
  <c r="BL346" i="1" a="1"/>
  <c r="BL346" i="1" s="1"/>
  <c r="BM353" i="1" a="1"/>
  <c r="BM353" i="1" s="1"/>
  <c r="BJ353" i="1" s="1" a="1"/>
  <c r="BJ353" i="1" s="1"/>
  <c r="BI358" i="1" a="1"/>
  <c r="BI358" i="1" s="1"/>
  <c r="BK359" i="1"/>
  <c r="BL363" i="1" a="1"/>
  <c r="BL363" i="1" s="1"/>
  <c r="BK368" i="1"/>
  <c r="BM375" i="1" a="1"/>
  <c r="BM375" i="1" s="1"/>
  <c r="BJ375" i="1" s="1" a="1"/>
  <c r="BJ375" i="1" s="1"/>
  <c r="BK379" i="1"/>
  <c r="BM381" i="1" a="1"/>
  <c r="BM381" i="1" s="1"/>
  <c r="BJ381" i="1" s="1" a="1"/>
  <c r="BJ381" i="1" s="1"/>
  <c r="BN386" i="1" a="1"/>
  <c r="BN386" i="1" s="1"/>
  <c r="BK389" i="1"/>
  <c r="BI391" i="1" a="1"/>
  <c r="BI391" i="1" s="1"/>
  <c r="BI398" i="1" a="1"/>
  <c r="BI398" i="1" s="1"/>
  <c r="AT399" i="1"/>
  <c r="BN402" i="1" a="1"/>
  <c r="BN402" i="1" s="1"/>
  <c r="BK405" i="1"/>
  <c r="BK411" i="1"/>
  <c r="BM414" i="1" a="1"/>
  <c r="BM414" i="1" s="1"/>
  <c r="BJ414" i="1" s="1" a="1"/>
  <c r="BJ414" i="1" s="1"/>
  <c r="BK416" i="1"/>
  <c r="BM428" i="1" a="1"/>
  <c r="BM428" i="1" s="1"/>
  <c r="BJ428" i="1" s="1" a="1"/>
  <c r="BJ428" i="1" s="1"/>
  <c r="BK435" i="1"/>
  <c r="BK438" i="1"/>
  <c r="BI439" i="1" a="1"/>
  <c r="BI439" i="1" s="1"/>
  <c r="AT442" i="1"/>
  <c r="BM451" i="1" a="1"/>
  <c r="BM451" i="1" s="1"/>
  <c r="BJ451" i="1" s="1" a="1"/>
  <c r="BJ451" i="1" s="1"/>
  <c r="BN466" i="1" a="1"/>
  <c r="BN466" i="1" s="1"/>
  <c r="BM469" i="1" a="1"/>
  <c r="BM469" i="1" s="1"/>
  <c r="BJ469" i="1" s="1" a="1"/>
  <c r="BJ469" i="1" s="1"/>
  <c r="BI479" i="1" a="1"/>
  <c r="BI479" i="1" s="1"/>
  <c r="BM486" i="1" a="1"/>
  <c r="BM486" i="1" s="1"/>
  <c r="BJ486" i="1" s="1" a="1"/>
  <c r="BJ486" i="1" s="1"/>
  <c r="BN487" i="1" a="1"/>
  <c r="BN487" i="1" s="1"/>
  <c r="BN333" i="1" a="1"/>
  <c r="BN333" i="1" s="1"/>
  <c r="BI334" i="1" a="1"/>
  <c r="BI334" i="1" s="1"/>
  <c r="BM341" i="1" a="1"/>
  <c r="BM341" i="1" s="1"/>
  <c r="BJ341" i="1" s="1" a="1"/>
  <c r="BJ341" i="1" s="1"/>
  <c r="BK344" i="1"/>
  <c r="BI350" i="1" a="1"/>
  <c r="BI350" i="1" s="1"/>
  <c r="AT351" i="1"/>
  <c r="BI352" i="1" a="1"/>
  <c r="BI352" i="1" s="1"/>
  <c r="BN356" i="1" a="1"/>
  <c r="BN356" i="1" s="1"/>
  <c r="BM359" i="1" a="1"/>
  <c r="BM359" i="1" s="1"/>
  <c r="BJ359" i="1" s="1" a="1"/>
  <c r="BJ359" i="1" s="1"/>
  <c r="BK366" i="1"/>
  <c r="BL367" i="1" a="1"/>
  <c r="BL367" i="1" s="1"/>
  <c r="AT374" i="1"/>
  <c r="AT376" i="1"/>
  <c r="BN378" i="1" a="1"/>
  <c r="BN378" i="1" s="1"/>
  <c r="AT379" i="1"/>
  <c r="BI381" i="1" a="1"/>
  <c r="BI381" i="1" s="1"/>
  <c r="BI384" i="1" a="1"/>
  <c r="BI384" i="1" s="1"/>
  <c r="BM387" i="1" a="1"/>
  <c r="BM387" i="1" s="1"/>
  <c r="BJ387" i="1" s="1" a="1"/>
  <c r="BJ387" i="1" s="1"/>
  <c r="BM392" i="1" a="1"/>
  <c r="BM392" i="1" s="1"/>
  <c r="BJ392" i="1" s="1" a="1"/>
  <c r="BJ392" i="1" s="1"/>
  <c r="BM394" i="1" a="1"/>
  <c r="BM394" i="1" s="1"/>
  <c r="BJ394" i="1" s="1" a="1"/>
  <c r="BJ394" i="1" s="1"/>
  <c r="AT395" i="1"/>
  <c r="BI396" i="1" a="1"/>
  <c r="BI396" i="1" s="1"/>
  <c r="BK400" i="1"/>
  <c r="BL407" i="1" a="1"/>
  <c r="BL407" i="1" s="1"/>
  <c r="BK413" i="1"/>
  <c r="BI417" i="1" a="1"/>
  <c r="BI417" i="1" s="1"/>
  <c r="BI419" i="1" a="1"/>
  <c r="BI419" i="1" s="1"/>
  <c r="AT420" i="1"/>
  <c r="BK424" i="1"/>
  <c r="BM425" i="1" a="1"/>
  <c r="BM425" i="1" s="1"/>
  <c r="BJ425" i="1" s="1" a="1"/>
  <c r="BJ425" i="1" s="1"/>
  <c r="BL428" i="1" a="1"/>
  <c r="BL428" i="1" s="1"/>
  <c r="BN441" i="1" a="1"/>
  <c r="BN441" i="1" s="1"/>
  <c r="BK446" i="1"/>
  <c r="BK454" i="1"/>
  <c r="BL456" i="1" a="1"/>
  <c r="BL456" i="1" s="1"/>
  <c r="BL458" i="1" a="1"/>
  <c r="BL458" i="1" s="1"/>
  <c r="BN467" i="1" a="1"/>
  <c r="BN467" i="1" s="1"/>
  <c r="BI469" i="1" a="1"/>
  <c r="BI469" i="1" s="1"/>
  <c r="BI471" i="1" a="1"/>
  <c r="BI471" i="1" s="1"/>
  <c r="BI473" i="1" a="1"/>
  <c r="BI473" i="1" s="1"/>
  <c r="BM474" i="1" a="1"/>
  <c r="BM474" i="1" s="1"/>
  <c r="BJ474" i="1" s="1" a="1"/>
  <c r="BJ474" i="1" s="1"/>
  <c r="BI475" i="1" a="1"/>
  <c r="BI475" i="1" s="1"/>
  <c r="BM476" i="1" a="1"/>
  <c r="BM476" i="1" s="1"/>
  <c r="BJ476" i="1" s="1" a="1"/>
  <c r="BJ476" i="1" s="1"/>
  <c r="BK480" i="1"/>
  <c r="BN490" i="1" a="1"/>
  <c r="BN490" i="1" s="1"/>
  <c r="BK491" i="1"/>
  <c r="BN496" i="1" a="1"/>
  <c r="BN496" i="1" s="1"/>
  <c r="BK497" i="1"/>
  <c r="BI533" i="1" a="1"/>
  <c r="BI533" i="1" s="1"/>
  <c r="BL339" i="1" a="1"/>
  <c r="BL339" i="1" s="1"/>
  <c r="BL348" i="1" a="1"/>
  <c r="BL348" i="1" s="1"/>
  <c r="BN357" i="1" a="1"/>
  <c r="BN357" i="1" s="1"/>
  <c r="BI359" i="1" a="1"/>
  <c r="BI359" i="1" s="1"/>
  <c r="BM362" i="1" a="1"/>
  <c r="BM362" i="1" s="1"/>
  <c r="BJ362" i="1" s="1" a="1"/>
  <c r="BJ362" i="1" s="1"/>
  <c r="BL368" i="1" a="1"/>
  <c r="BL368" i="1" s="1"/>
  <c r="BL370" i="1" a="1"/>
  <c r="BL370" i="1" s="1"/>
  <c r="BK372" i="1"/>
  <c r="BN375" i="1" a="1"/>
  <c r="BN375" i="1" s="1"/>
  <c r="BK383" i="1"/>
  <c r="BN389" i="1" a="1"/>
  <c r="BN389" i="1" s="1"/>
  <c r="BK390" i="1"/>
  <c r="BM397" i="1" a="1"/>
  <c r="BM397" i="1" s="1"/>
  <c r="BJ397" i="1" s="1" a="1"/>
  <c r="BJ397" i="1" s="1"/>
  <c r="BN399" i="1" a="1"/>
  <c r="BN399" i="1" s="1"/>
  <c r="AT400" i="1"/>
  <c r="BK401" i="1"/>
  <c r="BM403" i="1" a="1"/>
  <c r="BM403" i="1" s="1"/>
  <c r="BJ403" i="1" s="1" a="1"/>
  <c r="BJ403" i="1" s="1"/>
  <c r="BL405" i="1" a="1"/>
  <c r="BL405" i="1" s="1"/>
  <c r="BM408" i="1" a="1"/>
  <c r="BM408" i="1" s="1"/>
  <c r="BJ408" i="1" s="1" a="1"/>
  <c r="BJ408" i="1" s="1"/>
  <c r="BN411" i="1" a="1"/>
  <c r="BN411" i="1" s="1"/>
  <c r="BM431" i="1" a="1"/>
  <c r="BM431" i="1" s="1"/>
  <c r="BJ431" i="1" s="1" a="1"/>
  <c r="BJ431" i="1" s="1"/>
  <c r="BK433" i="1"/>
  <c r="BL435" i="1" a="1"/>
  <c r="BL435" i="1" s="1"/>
  <c r="BL449" i="1" a="1"/>
  <c r="BL449" i="1" s="1"/>
  <c r="BK461" i="1"/>
  <c r="AT464" i="1"/>
  <c r="BN471" i="1" a="1"/>
  <c r="BN471" i="1" s="1"/>
  <c r="BM483" i="1" a="1"/>
  <c r="BM483" i="1" s="1"/>
  <c r="BJ483" i="1" s="1" a="1"/>
  <c r="BJ483" i="1" s="1"/>
  <c r="AT488" i="1"/>
  <c r="BN499" i="1" a="1"/>
  <c r="BN499" i="1" s="1"/>
  <c r="BN501" i="1" a="1"/>
  <c r="BN501" i="1" s="1"/>
  <c r="BM339" i="1" a="1"/>
  <c r="BM339" i="1" s="1"/>
  <c r="BJ339" i="1" s="1" a="1"/>
  <c r="BJ339" i="1" s="1"/>
  <c r="BM440" i="1" a="1"/>
  <c r="BM440" i="1" s="1"/>
  <c r="BJ440" i="1" s="1" a="1"/>
  <c r="BJ440" i="1" s="1"/>
  <c r="BK443" i="1"/>
  <c r="BK447" i="1"/>
  <c r="BI449" i="1" a="1"/>
  <c r="BI449" i="1" s="1"/>
  <c r="BM450" i="1" a="1"/>
  <c r="BM450" i="1" s="1"/>
  <c r="BJ450" i="1" s="1" a="1"/>
  <c r="BJ450" i="1" s="1"/>
  <c r="BK452" i="1"/>
  <c r="BK457" i="1"/>
  <c r="BK468" i="1"/>
  <c r="BN469" i="1" a="1"/>
  <c r="BN469" i="1" s="1"/>
  <c r="BM472" i="1" a="1"/>
  <c r="BM472" i="1" s="1"/>
  <c r="BJ472" i="1" s="1" a="1"/>
  <c r="BJ472" i="1" s="1"/>
  <c r="AT484" i="1"/>
  <c r="BM488" i="1" a="1"/>
  <c r="BM488" i="1" s="1"/>
  <c r="BJ488" i="1" s="1" a="1"/>
  <c r="BJ488" i="1" s="1"/>
  <c r="BM489" i="1" a="1"/>
  <c r="BM489" i="1" s="1"/>
  <c r="BJ489" i="1" s="1" a="1"/>
  <c r="BJ489" i="1" s="1"/>
  <c r="BM495" i="1" a="1"/>
  <c r="BM495" i="1" s="1"/>
  <c r="BJ495" i="1" s="1" a="1"/>
  <c r="BJ495" i="1" s="1"/>
  <c r="BK500" i="1"/>
  <c r="BK502" i="1"/>
  <c r="BM342" i="1" a="1"/>
  <c r="BM342" i="1" s="1"/>
  <c r="BJ342" i="1" s="1" a="1"/>
  <c r="BJ342" i="1" s="1"/>
  <c r="BL344" i="1" a="1"/>
  <c r="BL344" i="1" s="1"/>
  <c r="BK345" i="1"/>
  <c r="BN348" i="1" a="1"/>
  <c r="BN348" i="1" s="1"/>
  <c r="BM351" i="1" a="1"/>
  <c r="BM351" i="1" s="1"/>
  <c r="BJ351" i="1" s="1" a="1"/>
  <c r="BJ351" i="1" s="1"/>
  <c r="BK358" i="1"/>
  <c r="BN359" i="1" a="1"/>
  <c r="BN359" i="1" s="1"/>
  <c r="BK361" i="1"/>
  <c r="BN362" i="1" a="1"/>
  <c r="BN362" i="1" s="1"/>
  <c r="BN363" i="1" a="1"/>
  <c r="BN363" i="1" s="1"/>
  <c r="BL364" i="1" a="1"/>
  <c r="BL364" i="1" s="1"/>
  <c r="BN370" i="1" a="1"/>
  <c r="BN370" i="1" s="1"/>
  <c r="BI376" i="1" a="1"/>
  <c r="BI376" i="1" s="1"/>
  <c r="AT377" i="1"/>
  <c r="BM380" i="1" a="1"/>
  <c r="BM380" i="1" s="1"/>
  <c r="BJ380" i="1" s="1" a="1"/>
  <c r="BJ380" i="1" s="1"/>
  <c r="BK388" i="1"/>
  <c r="AT398" i="1"/>
  <c r="BI405" i="1" a="1"/>
  <c r="BI405" i="1" s="1"/>
  <c r="BK406" i="1"/>
  <c r="BM418" i="1" a="1"/>
  <c r="BM418" i="1" s="1"/>
  <c r="BJ418" i="1" s="1" a="1"/>
  <c r="BJ418" i="1" s="1"/>
  <c r="AT421" i="1"/>
  <c r="BI424" i="1" a="1"/>
  <c r="BI424" i="1" s="1"/>
  <c r="BM429" i="1" a="1"/>
  <c r="BM429" i="1" s="1"/>
  <c r="BJ429" i="1" s="1" a="1"/>
  <c r="BJ429" i="1" s="1"/>
  <c r="BN431" i="1" a="1"/>
  <c r="BN431" i="1" s="1"/>
  <c r="BN433" i="1" a="1"/>
  <c r="BN433" i="1" s="1"/>
  <c r="BM435" i="1" a="1"/>
  <c r="BM435" i="1" s="1"/>
  <c r="BJ435" i="1" s="1" a="1"/>
  <c r="BJ435" i="1" s="1"/>
  <c r="BK436" i="1"/>
  <c r="BK439" i="1"/>
  <c r="BI442" i="1" a="1"/>
  <c r="BI442" i="1" s="1"/>
  <c r="BM446" i="1" a="1"/>
  <c r="BM446" i="1" s="1"/>
  <c r="BJ446" i="1" s="1" a="1"/>
  <c r="BJ446" i="1" s="1"/>
  <c r="BM447" i="1" a="1"/>
  <c r="BM447" i="1" s="1"/>
  <c r="BJ447" i="1" s="1" a="1"/>
  <c r="BJ447" i="1" s="1"/>
  <c r="BN451" i="1" a="1"/>
  <c r="BN451" i="1" s="1"/>
  <c r="BM452" i="1" a="1"/>
  <c r="BM452" i="1" s="1"/>
  <c r="BJ452" i="1" s="1" a="1"/>
  <c r="BJ452" i="1" s="1"/>
  <c r="BN454" i="1" a="1"/>
  <c r="BN454" i="1" s="1"/>
  <c r="BK455" i="1"/>
  <c r="BK460" i="1"/>
  <c r="BI461" i="1" a="1"/>
  <c r="BI461" i="1" s="1"/>
  <c r="BN464" i="1" a="1"/>
  <c r="BN464" i="1" s="1"/>
  <c r="AT465" i="1"/>
  <c r="BL472" i="1" a="1"/>
  <c r="BL472" i="1" s="1"/>
  <c r="BN474" i="1" a="1"/>
  <c r="BN474" i="1" s="1"/>
  <c r="BK477" i="1"/>
  <c r="BK479" i="1"/>
  <c r="BL480" i="1" a="1"/>
  <c r="BL480" i="1" s="1"/>
  <c r="BN483" i="1" a="1"/>
  <c r="BN483" i="1" s="1"/>
  <c r="BI486" i="1" a="1"/>
  <c r="BI486" i="1" s="1"/>
  <c r="BI489" i="1" a="1"/>
  <c r="BI489" i="1" s="1"/>
  <c r="BM491" i="1" a="1"/>
  <c r="BM491" i="1" s="1"/>
  <c r="BJ491" i="1" s="1" a="1"/>
  <c r="BJ491" i="1" s="1"/>
  <c r="BM498" i="1" a="1"/>
  <c r="BM498" i="1" s="1"/>
  <c r="BJ498" i="1" s="1" a="1"/>
  <c r="BJ498" i="1" s="1"/>
  <c r="BN341" i="1" a="1"/>
  <c r="BN341" i="1" s="1"/>
  <c r="BL342" i="1" a="1"/>
  <c r="BL342" i="1" s="1"/>
  <c r="BM345" i="1" a="1"/>
  <c r="BM345" i="1" s="1"/>
  <c r="BJ345" i="1" s="1" a="1"/>
  <c r="BJ345" i="1" s="1"/>
  <c r="BL347" i="1" a="1"/>
  <c r="BL347" i="1" s="1"/>
  <c r="BK350" i="1"/>
  <c r="AT352" i="1"/>
  <c r="AT355" i="1"/>
  <c r="BK367" i="1"/>
  <c r="BL369" i="1" a="1"/>
  <c r="BL369" i="1" s="1"/>
  <c r="BM372" i="1" a="1"/>
  <c r="BM372" i="1" s="1"/>
  <c r="BJ372" i="1" s="1" a="1"/>
  <c r="BJ372" i="1" s="1"/>
  <c r="BK381" i="1"/>
  <c r="BM383" i="1" a="1"/>
  <c r="BM383" i="1" s="1"/>
  <c r="BJ383" i="1" s="1" a="1"/>
  <c r="BJ383" i="1" s="1"/>
  <c r="BM384" i="1" a="1"/>
  <c r="BM384" i="1" s="1"/>
  <c r="BJ384" i="1" s="1" a="1"/>
  <c r="BJ384" i="1" s="1"/>
  <c r="BK391" i="1"/>
  <c r="BI392" i="1" a="1"/>
  <c r="BI392" i="1" s="1"/>
  <c r="BK402" i="1"/>
  <c r="BI403" i="1" a="1"/>
  <c r="BI403" i="1" s="1"/>
  <c r="BK409" i="1"/>
  <c r="BM410" i="1" a="1"/>
  <c r="BM410" i="1" s="1"/>
  <c r="BJ410" i="1" s="1" a="1"/>
  <c r="BJ410" i="1" s="1"/>
  <c r="BI413" i="1" a="1"/>
  <c r="BI413" i="1" s="1"/>
  <c r="BK414" i="1"/>
  <c r="BM417" i="1" a="1"/>
  <c r="BM417" i="1" s="1"/>
  <c r="BJ417" i="1" s="1" a="1"/>
  <c r="BJ417" i="1" s="1"/>
  <c r="BI420" i="1" a="1"/>
  <c r="BI420" i="1" s="1"/>
  <c r="BL427" i="1" a="1"/>
  <c r="BL427" i="1" s="1"/>
  <c r="BK434" i="1"/>
  <c r="BM436" i="1" a="1"/>
  <c r="BM436" i="1" s="1"/>
  <c r="BJ436" i="1" s="1" a="1"/>
  <c r="BJ436" i="1" s="1"/>
  <c r="BL457" i="1" a="1"/>
  <c r="BL457" i="1" s="1"/>
  <c r="AT469" i="1"/>
  <c r="BK471" i="1"/>
  <c r="BL475" i="1" a="1"/>
  <c r="BL475" i="1" s="1"/>
  <c r="BK482" i="1"/>
  <c r="BK487" i="1"/>
  <c r="BM493" i="1" a="1"/>
  <c r="BM493" i="1" s="1"/>
  <c r="BJ493" i="1" s="1" a="1"/>
  <c r="BJ493" i="1" s="1"/>
  <c r="BN342" i="1" a="1"/>
  <c r="BN342" i="1" s="1"/>
  <c r="BM343" i="1" a="1"/>
  <c r="BM343" i="1" s="1"/>
  <c r="BJ343" i="1" s="1" a="1"/>
  <c r="BJ343" i="1" s="1"/>
  <c r="BN345" i="1" a="1"/>
  <c r="BN345" i="1" s="1"/>
  <c r="BK346" i="1"/>
  <c r="BN347" i="1" a="1"/>
  <c r="BN347" i="1" s="1"/>
  <c r="BL361" i="1" a="1"/>
  <c r="BL361" i="1" s="1"/>
  <c r="BM363" i="1" a="1"/>
  <c r="BM363" i="1" s="1"/>
  <c r="BJ363" i="1" s="1" a="1"/>
  <c r="BJ363" i="1" s="1"/>
  <c r="BN364" i="1" a="1"/>
  <c r="BN364" i="1" s="1"/>
  <c r="BM365" i="1" a="1"/>
  <c r="BM365" i="1" s="1"/>
  <c r="BJ365" i="1" s="1" a="1"/>
  <c r="BJ365" i="1" s="1"/>
  <c r="BI369" i="1" a="1"/>
  <c r="BI369" i="1" s="1"/>
  <c r="BM373" i="1" a="1"/>
  <c r="BM373" i="1" s="1"/>
  <c r="BJ373" i="1" s="1" a="1"/>
  <c r="BJ373" i="1" s="1"/>
  <c r="AT375" i="1"/>
  <c r="BN377" i="1" a="1"/>
  <c r="BN377" i="1" s="1"/>
  <c r="BK386" i="1"/>
  <c r="BI388" i="1" a="1"/>
  <c r="BI388" i="1" s="1"/>
  <c r="BK394" i="1"/>
  <c r="BM406" i="1" a="1"/>
  <c r="BM406" i="1" s="1"/>
  <c r="BJ406" i="1" s="1" a="1"/>
  <c r="BJ406" i="1" s="1"/>
  <c r="BL412" i="1" a="1"/>
  <c r="BL412" i="1" s="1"/>
  <c r="BN413" i="1" a="1"/>
  <c r="BN413" i="1" s="1"/>
  <c r="BI418" i="1" a="1"/>
  <c r="BI418" i="1" s="1"/>
  <c r="BI421" i="1" a="1"/>
  <c r="BI421" i="1" s="1"/>
  <c r="BK422" i="1"/>
  <c r="BK425" i="1"/>
  <c r="BM427" i="1" a="1"/>
  <c r="BM427" i="1" s="1"/>
  <c r="BJ427" i="1" s="1" a="1"/>
  <c r="BJ427" i="1" s="1"/>
  <c r="BI429" i="1" a="1"/>
  <c r="BI429" i="1" s="1"/>
  <c r="BI431" i="1" a="1"/>
  <c r="BI431" i="1" s="1"/>
  <c r="BK432" i="1"/>
  <c r="BL433" i="1" a="1"/>
  <c r="BL433" i="1" s="1"/>
  <c r="BK441" i="1"/>
  <c r="BK444" i="1"/>
  <c r="BI452" i="1" a="1"/>
  <c r="BI452" i="1" s="1"/>
  <c r="BM453" i="1" a="1"/>
  <c r="BM453" i="1" s="1"/>
  <c r="BJ453" i="1" s="1" a="1"/>
  <c r="BJ453" i="1" s="1"/>
  <c r="BN455" i="1" a="1"/>
  <c r="BN455" i="1" s="1"/>
  <c r="BI457" i="1" a="1"/>
  <c r="BI457" i="1" s="1"/>
  <c r="BK458" i="1"/>
  <c r="BN461" i="1" a="1"/>
  <c r="BN461" i="1" s="1"/>
  <c r="BM462" i="1" a="1"/>
  <c r="BM462" i="1" s="1"/>
  <c r="BJ462" i="1" s="1" a="1"/>
  <c r="BJ462" i="1" s="1"/>
  <c r="BI464" i="1" a="1"/>
  <c r="BI464" i="1" s="1"/>
  <c r="BN465" i="1" a="1"/>
  <c r="BN465" i="1" s="1"/>
  <c r="BK466" i="1"/>
  <c r="BN477" i="1" a="1"/>
  <c r="BN477" i="1" s="1"/>
  <c r="BK478" i="1"/>
  <c r="BL479" i="1" a="1"/>
  <c r="BL479" i="1" s="1"/>
  <c r="AT486" i="1"/>
  <c r="BN489" i="1" a="1"/>
  <c r="BN489" i="1" s="1"/>
  <c r="BL495" i="1" a="1"/>
  <c r="BL495" i="1" s="1"/>
  <c r="BN498" i="1" a="1"/>
  <c r="BN498" i="1" s="1"/>
  <c r="BM501" i="1" a="1"/>
  <c r="BM501" i="1" s="1"/>
  <c r="BJ501" i="1" s="1" a="1"/>
  <c r="BJ501" i="1" s="1"/>
  <c r="BL498" i="1" a="1"/>
  <c r="BL498" i="1" s="1"/>
  <c r="BL499" i="1" a="1"/>
  <c r="BL499" i="1" s="1"/>
  <c r="BL497" i="1" a="1"/>
  <c r="BL497" i="1" s="1"/>
  <c r="BL494" i="1" a="1"/>
  <c r="BL494" i="1" s="1"/>
  <c r="BI495" i="1" a="1"/>
  <c r="BI495" i="1" s="1"/>
  <c r="BK499" i="1"/>
  <c r="BM500" i="1" a="1"/>
  <c r="BM500" i="1" s="1"/>
  <c r="BJ500" i="1" s="1" a="1"/>
  <c r="BJ500" i="1" s="1"/>
  <c r="BL502" i="1" a="1"/>
  <c r="BL502" i="1" s="1"/>
  <c r="BK496" i="1"/>
  <c r="BM497" i="1" a="1"/>
  <c r="BM497" i="1" s="1"/>
  <c r="BJ497" i="1" s="1" a="1"/>
  <c r="BJ497" i="1" s="1"/>
  <c r="BK493" i="1"/>
  <c r="BM494" i="1" a="1"/>
  <c r="BM494" i="1" s="1"/>
  <c r="BJ494" i="1" s="1" a="1"/>
  <c r="BJ494" i="1" s="1"/>
  <c r="BL496" i="1" a="1"/>
  <c r="BL496" i="1" s="1"/>
  <c r="BI497" i="1" a="1"/>
  <c r="BI497" i="1" s="1"/>
  <c r="BN500" i="1" a="1"/>
  <c r="BN500" i="1" s="1"/>
  <c r="BK501" i="1"/>
  <c r="BM502" i="1" a="1"/>
  <c r="BM502" i="1" s="1"/>
  <c r="BJ502" i="1" s="1" a="1"/>
  <c r="BJ502" i="1" s="1"/>
  <c r="BL493" i="1" a="1"/>
  <c r="BL493" i="1" s="1"/>
  <c r="BI494" i="1" a="1"/>
  <c r="BI494" i="1" s="1"/>
  <c r="BK498" i="1"/>
  <c r="BL501" i="1" a="1"/>
  <c r="BL501" i="1" s="1"/>
  <c r="BI502" i="1" a="1"/>
  <c r="BI502" i="1" s="1"/>
  <c r="BK495" i="1"/>
  <c r="BI499" i="1" a="1"/>
  <c r="BI499" i="1" s="1"/>
  <c r="BI493" i="1" a="1"/>
  <c r="BI493" i="1" s="1"/>
  <c r="BK485" i="1"/>
  <c r="BK489" i="1"/>
  <c r="BK484" i="1"/>
  <c r="BM485" i="1" a="1"/>
  <c r="BM485" i="1" s="1"/>
  <c r="BJ485" i="1" s="1" a="1"/>
  <c r="BJ485" i="1" s="1"/>
  <c r="BI488" i="1" a="1"/>
  <c r="BI488" i="1" s="1"/>
  <c r="BM482" i="1" a="1"/>
  <c r="BM482" i="1" s="1"/>
  <c r="BJ482" i="1" s="1" a="1"/>
  <c r="BJ482" i="1" s="1"/>
  <c r="AT483" i="1"/>
  <c r="BI485" i="1" a="1"/>
  <c r="BI485" i="1" s="1"/>
  <c r="BN488" i="1" a="1"/>
  <c r="BN488" i="1" s="1"/>
  <c r="BM490" i="1" a="1"/>
  <c r="BM490" i="1" s="1"/>
  <c r="BJ490" i="1" s="1" a="1"/>
  <c r="BJ490" i="1" s="1"/>
  <c r="AT491" i="1"/>
  <c r="BI482" i="1" a="1"/>
  <c r="BI482" i="1" s="1"/>
  <c r="BN485" i="1" a="1"/>
  <c r="BN485" i="1" s="1"/>
  <c r="BK486" i="1"/>
  <c r="BM487" i="1" a="1"/>
  <c r="BM487" i="1" s="1"/>
  <c r="BJ487" i="1" s="1" a="1"/>
  <c r="BJ487" i="1" s="1"/>
  <c r="BI490" i="1" a="1"/>
  <c r="BI490" i="1" s="1"/>
  <c r="BM484" i="1" a="1"/>
  <c r="BM484" i="1" s="1"/>
  <c r="BJ484" i="1" s="1" a="1"/>
  <c r="BJ484" i="1" s="1"/>
  <c r="AT485" i="1"/>
  <c r="AT482" i="1"/>
  <c r="BI484" i="1" a="1"/>
  <c r="BI484" i="1" s="1"/>
  <c r="AT490" i="1"/>
  <c r="AT487" i="1"/>
  <c r="BL478" i="1" a="1"/>
  <c r="BL478" i="1" s="1"/>
  <c r="E473" i="1" a="1"/>
  <c r="E473" i="1" s="1"/>
  <c r="E474" i="1" a="1"/>
  <c r="E474" i="1" s="1"/>
  <c r="BL474" i="1" a="1"/>
  <c r="BL474" i="1" s="1"/>
  <c r="BL476" i="1" a="1"/>
  <c r="BL476" i="1" s="1"/>
  <c r="E476" i="1" a="1"/>
  <c r="E476" i="1" s="1"/>
  <c r="E478" i="1" a="1"/>
  <c r="E478" i="1" s="1"/>
  <c r="E480" i="1" a="1"/>
  <c r="E480" i="1" s="1"/>
  <c r="BK474" i="1"/>
  <c r="BM471" i="1" a="1"/>
  <c r="BM471" i="1" s="1"/>
  <c r="BJ471" i="1" s="1" a="1"/>
  <c r="BJ471" i="1" s="1"/>
  <c r="BN473" i="1" a="1"/>
  <c r="BN473" i="1" s="1"/>
  <c r="BK476" i="1"/>
  <c r="BL477" i="1" a="1"/>
  <c r="BL477" i="1" s="1"/>
  <c r="BM479" i="1" a="1"/>
  <c r="BM479" i="1" s="1"/>
  <c r="BJ479" i="1" s="1" a="1"/>
  <c r="BJ479" i="1" s="1"/>
  <c r="BI480" i="1" a="1"/>
  <c r="BI480" i="1" s="1"/>
  <c r="BM477" i="1" a="1"/>
  <c r="BM477" i="1" s="1"/>
  <c r="BJ477" i="1" s="1" a="1"/>
  <c r="BJ477" i="1" s="1"/>
  <c r="BK473" i="1"/>
  <c r="BI477" i="1" a="1"/>
  <c r="BI477" i="1" s="1"/>
  <c r="BK472" i="1"/>
  <c r="BL473" i="1" a="1"/>
  <c r="BL473" i="1" s="1"/>
  <c r="BM475" i="1" a="1"/>
  <c r="BM475" i="1" s="1"/>
  <c r="BJ475" i="1" s="1" a="1"/>
  <c r="BJ475" i="1" s="1"/>
  <c r="BI476" i="1" a="1"/>
  <c r="BI476" i="1" s="1"/>
  <c r="E477" i="1" a="1"/>
  <c r="E477" i="1" s="1"/>
  <c r="BI478" i="1" a="1"/>
  <c r="BI478" i="1" s="1"/>
  <c r="BI474" i="1" a="1"/>
  <c r="BI474" i="1" s="1"/>
  <c r="E475" i="1" a="1"/>
  <c r="E475" i="1" s="1"/>
  <c r="E462" i="1" a="1"/>
  <c r="E462" i="1" s="1"/>
  <c r="E465" i="1" a="1"/>
  <c r="E465" i="1" s="1"/>
  <c r="E463" i="1" a="1"/>
  <c r="E463" i="1" s="1"/>
  <c r="E467" i="1" a="1"/>
  <c r="E467" i="1" s="1"/>
  <c r="E469" i="1" a="1"/>
  <c r="E469" i="1" s="1"/>
  <c r="BM460" i="1" a="1"/>
  <c r="BM460" i="1" s="1"/>
  <c r="BJ460" i="1" s="1" a="1"/>
  <c r="BJ460" i="1" s="1"/>
  <c r="BN462" i="1" a="1"/>
  <c r="BN462" i="1" s="1"/>
  <c r="AT463" i="1"/>
  <c r="BK465" i="1"/>
  <c r="BM468" i="1" a="1"/>
  <c r="BM468" i="1" s="1"/>
  <c r="BJ468" i="1" s="1" a="1"/>
  <c r="BJ468" i="1" s="1"/>
  <c r="BK463" i="1"/>
  <c r="BM466" i="1" a="1"/>
  <c r="BM466" i="1" s="1"/>
  <c r="BJ466" i="1" s="1" a="1"/>
  <c r="BJ466" i="1" s="1"/>
  <c r="AT460" i="1"/>
  <c r="BK462" i="1"/>
  <c r="BM465" i="1" a="1"/>
  <c r="BM465" i="1" s="1"/>
  <c r="BJ465" i="1" s="1" a="1"/>
  <c r="BJ465" i="1" s="1"/>
  <c r="BI466" i="1" a="1"/>
  <c r="BI466" i="1" s="1"/>
  <c r="AT468" i="1"/>
  <c r="BI467" i="1" a="1"/>
  <c r="BI467" i="1" s="1"/>
  <c r="BM464" i="1" a="1"/>
  <c r="BM464" i="1" s="1"/>
  <c r="BJ464" i="1" s="1" a="1"/>
  <c r="BJ464" i="1" s="1"/>
  <c r="BI465" i="1" a="1"/>
  <c r="BI465" i="1" s="1"/>
  <c r="E466" i="1" a="1"/>
  <c r="E466" i="1" s="1"/>
  <c r="AT467" i="1"/>
  <c r="BK464" i="1"/>
  <c r="AT466" i="1"/>
  <c r="BI463" i="1" a="1"/>
  <c r="BI463" i="1" s="1"/>
  <c r="E464" i="1" a="1"/>
  <c r="E464" i="1" s="1"/>
  <c r="BM467" i="1" a="1"/>
  <c r="BM467" i="1" s="1"/>
  <c r="BJ467" i="1" s="1" a="1"/>
  <c r="BJ467" i="1" s="1"/>
  <c r="E455" i="1" a="1"/>
  <c r="E455" i="1" s="1"/>
  <c r="E458" i="1" a="1"/>
  <c r="E458" i="1" s="1"/>
  <c r="E453" i="1" a="1"/>
  <c r="E453" i="1" s="1"/>
  <c r="E456" i="1" a="1"/>
  <c r="E456" i="1" s="1"/>
  <c r="BL455" i="1" a="1"/>
  <c r="BL455" i="1" s="1"/>
  <c r="E450" i="1" a="1"/>
  <c r="E450" i="1" s="1"/>
  <c r="BL450" i="1" a="1"/>
  <c r="BL450" i="1" s="1"/>
  <c r="E452" i="1" a="1"/>
  <c r="E452" i="1" s="1"/>
  <c r="BL452" i="1" a="1"/>
  <c r="BL452" i="1" s="1"/>
  <c r="BM449" i="1" a="1"/>
  <c r="BM449" i="1" s="1"/>
  <c r="BJ449" i="1" s="1" a="1"/>
  <c r="BJ449" i="1" s="1"/>
  <c r="E451" i="1" a="1"/>
  <c r="E451" i="1" s="1"/>
  <c r="BM457" i="1" a="1"/>
  <c r="BM457" i="1" s="1"/>
  <c r="BJ457" i="1" s="1" a="1"/>
  <c r="BJ457" i="1" s="1"/>
  <c r="BK453" i="1"/>
  <c r="BL454" i="1" a="1"/>
  <c r="BL454" i="1" s="1"/>
  <c r="BM456" i="1" a="1"/>
  <c r="BM456" i="1" s="1"/>
  <c r="BJ456" i="1" s="1" a="1"/>
  <c r="BJ456" i="1" s="1"/>
  <c r="E449" i="1" a="1"/>
  <c r="E449" i="1" s="1"/>
  <c r="BN449" i="1" a="1"/>
  <c r="BN449" i="1" s="1"/>
  <c r="BL453" i="1" a="1"/>
  <c r="BL453" i="1" s="1"/>
  <c r="BM455" i="1" a="1"/>
  <c r="BM455" i="1" s="1"/>
  <c r="BJ455" i="1" s="1" a="1"/>
  <c r="BJ455" i="1" s="1"/>
  <c r="BI456" i="1" a="1"/>
  <c r="BI456" i="1" s="1"/>
  <c r="E457" i="1" a="1"/>
  <c r="E457" i="1" s="1"/>
  <c r="BN457" i="1" a="1"/>
  <c r="BN457" i="1" s="1"/>
  <c r="BK450" i="1"/>
  <c r="BL451" i="1" a="1"/>
  <c r="BL451" i="1" s="1"/>
  <c r="BK451" i="1"/>
  <c r="BM454" i="1" a="1"/>
  <c r="BM454" i="1" s="1"/>
  <c r="BJ454" i="1" s="1" a="1"/>
  <c r="BJ454" i="1" s="1"/>
  <c r="BI453" i="1" a="1"/>
  <c r="BI453" i="1" s="1"/>
  <c r="E454" i="1" a="1"/>
  <c r="E454" i="1" s="1"/>
  <c r="E447" i="1" a="1"/>
  <c r="E447" i="1" s="1"/>
  <c r="E441" i="1" a="1"/>
  <c r="E441" i="1" s="1"/>
  <c r="BK445" i="1"/>
  <c r="E442" i="1" a="1"/>
  <c r="E442" i="1" s="1"/>
  <c r="E445" i="1" a="1"/>
  <c r="E445" i="1" s="1"/>
  <c r="BI438" i="1" a="1"/>
  <c r="BI438" i="1" s="1"/>
  <c r="BK442" i="1"/>
  <c r="BM445" i="1" a="1"/>
  <c r="BM445" i="1" s="1"/>
  <c r="BJ445" i="1" s="1" a="1"/>
  <c r="BJ445" i="1" s="1"/>
  <c r="BI446" i="1" a="1"/>
  <c r="BI446" i="1" s="1"/>
  <c r="E438" i="1" a="1"/>
  <c r="E438" i="1" s="1"/>
  <c r="BN438" i="1" a="1"/>
  <c r="BN438" i="1" s="1"/>
  <c r="AT439" i="1"/>
  <c r="BM444" i="1" a="1"/>
  <c r="BM444" i="1" s="1"/>
  <c r="BJ444" i="1" s="1" a="1"/>
  <c r="BJ444" i="1" s="1"/>
  <c r="BI445" i="1" a="1"/>
  <c r="BI445" i="1" s="1"/>
  <c r="E446" i="1" a="1"/>
  <c r="E446" i="1" s="1"/>
  <c r="BN446" i="1" a="1"/>
  <c r="BN446" i="1" s="1"/>
  <c r="AT447" i="1"/>
  <c r="AT438" i="1"/>
  <c r="BK440" i="1"/>
  <c r="BM443" i="1" a="1"/>
  <c r="BM443" i="1" s="1"/>
  <c r="BJ443" i="1" s="1" a="1"/>
  <c r="BJ443" i="1" s="1"/>
  <c r="BI444" i="1" a="1"/>
  <c r="BI444" i="1" s="1"/>
  <c r="BN445" i="1" a="1"/>
  <c r="BN445" i="1" s="1"/>
  <c r="AT446" i="1"/>
  <c r="BM442" i="1" a="1"/>
  <c r="BM442" i="1" s="1"/>
  <c r="BJ442" i="1" s="1" a="1"/>
  <c r="BJ442" i="1" s="1"/>
  <c r="E444" i="1" a="1"/>
  <c r="E444" i="1" s="1"/>
  <c r="AT445" i="1"/>
  <c r="BM441" i="1" a="1"/>
  <c r="BM441" i="1" s="1"/>
  <c r="BJ441" i="1" s="1" a="1"/>
  <c r="BJ441" i="1" s="1"/>
  <c r="E443" i="1" a="1"/>
  <c r="E443" i="1" s="1"/>
  <c r="AT444" i="1"/>
  <c r="BI441" i="1" a="1"/>
  <c r="BI441" i="1" s="1"/>
  <c r="AT443" i="1"/>
  <c r="E431" i="1" a="1"/>
  <c r="E431" i="1" s="1"/>
  <c r="E436" i="1" a="1"/>
  <c r="E436" i="1" s="1"/>
  <c r="E434" i="1" a="1"/>
  <c r="E434" i="1" s="1"/>
  <c r="BL436" i="1" a="1"/>
  <c r="BL436" i="1" s="1"/>
  <c r="BL434" i="1" a="1"/>
  <c r="BL434" i="1" s="1"/>
  <c r="E429" i="1" a="1"/>
  <c r="E429" i="1" s="1"/>
  <c r="E430" i="1" a="1"/>
  <c r="E430" i="1" s="1"/>
  <c r="BL430" i="1" a="1"/>
  <c r="BL430" i="1" s="1"/>
  <c r="BK431" i="1"/>
  <c r="E427" i="1" a="1"/>
  <c r="E427" i="1" s="1"/>
  <c r="BN427" i="1" a="1"/>
  <c r="BN427" i="1" s="1"/>
  <c r="BL431" i="1" a="1"/>
  <c r="BL431" i="1" s="1"/>
  <c r="BM433" i="1" a="1"/>
  <c r="BM433" i="1" s="1"/>
  <c r="BJ433" i="1" s="1" a="1"/>
  <c r="BJ433" i="1" s="1"/>
  <c r="BI434" i="1" a="1"/>
  <c r="BI434" i="1" s="1"/>
  <c r="E435" i="1" a="1"/>
  <c r="E435" i="1" s="1"/>
  <c r="BN435" i="1" a="1"/>
  <c r="BN435" i="1" s="1"/>
  <c r="BI427" i="1" a="1"/>
  <c r="BI427" i="1" s="1"/>
  <c r="BK429" i="1"/>
  <c r="BM432" i="1" a="1"/>
  <c r="BM432" i="1" s="1"/>
  <c r="BJ432" i="1" s="1" a="1"/>
  <c r="BJ432" i="1" s="1"/>
  <c r="BI433" i="1" a="1"/>
  <c r="BI433" i="1" s="1"/>
  <c r="BN434" i="1" a="1"/>
  <c r="BN434" i="1" s="1"/>
  <c r="BL432" i="1" a="1"/>
  <c r="BL432" i="1" s="1"/>
  <c r="BK428" i="1"/>
  <c r="BL429" i="1" a="1"/>
  <c r="BL429" i="1" s="1"/>
  <c r="E433" i="1" a="1"/>
  <c r="E433" i="1" s="1"/>
  <c r="BM434" i="1" a="1"/>
  <c r="BM434" i="1" s="1"/>
  <c r="BJ434" i="1" s="1" a="1"/>
  <c r="BJ434" i="1" s="1"/>
  <c r="BM430" i="1" a="1"/>
  <c r="BM430" i="1" s="1"/>
  <c r="BJ430" i="1" s="1" a="1"/>
  <c r="BJ430" i="1" s="1"/>
  <c r="E432" i="1" a="1"/>
  <c r="E432" i="1" s="1"/>
  <c r="BI430" i="1" a="1"/>
  <c r="BI430" i="1" s="1"/>
  <c r="BK419" i="1"/>
  <c r="E423" i="1" a="1"/>
  <c r="E423" i="1" s="1"/>
  <c r="E420" i="1" a="1"/>
  <c r="E420" i="1" s="1"/>
  <c r="E419" i="1" a="1"/>
  <c r="E419" i="1" s="1"/>
  <c r="BK420" i="1"/>
  <c r="E416" i="1" a="1"/>
  <c r="E416" i="1" s="1"/>
  <c r="BN416" i="1" a="1"/>
  <c r="BN416" i="1" s="1"/>
  <c r="AT417" i="1"/>
  <c r="BM422" i="1" a="1"/>
  <c r="BM422" i="1" s="1"/>
  <c r="BJ422" i="1" s="1" a="1"/>
  <c r="BJ422" i="1" s="1"/>
  <c r="BI423" i="1" a="1"/>
  <c r="BI423" i="1" s="1"/>
  <c r="E424" i="1" a="1"/>
  <c r="E424" i="1" s="1"/>
  <c r="BN424" i="1" a="1"/>
  <c r="BN424" i="1" s="1"/>
  <c r="AT425" i="1"/>
  <c r="BK421" i="1"/>
  <c r="AT416" i="1"/>
  <c r="BK418" i="1"/>
  <c r="BM421" i="1" a="1"/>
  <c r="BM421" i="1" s="1"/>
  <c r="BJ421" i="1" s="1" a="1"/>
  <c r="BJ421" i="1" s="1"/>
  <c r="BI422" i="1" a="1"/>
  <c r="BI422" i="1" s="1"/>
  <c r="BN423" i="1" a="1"/>
  <c r="BN423" i="1" s="1"/>
  <c r="AT424" i="1"/>
  <c r="BK417" i="1"/>
  <c r="BM420" i="1" a="1"/>
  <c r="BM420" i="1" s="1"/>
  <c r="BJ420" i="1" s="1" a="1"/>
  <c r="BJ420" i="1" s="1"/>
  <c r="E422" i="1" a="1"/>
  <c r="E422" i="1" s="1"/>
  <c r="AT423" i="1"/>
  <c r="BM419" i="1" a="1"/>
  <c r="BM419" i="1" s="1"/>
  <c r="BJ419" i="1" s="1" a="1"/>
  <c r="BJ419" i="1" s="1"/>
  <c r="E421" i="1" a="1"/>
  <c r="E421" i="1" s="1"/>
  <c r="AT422" i="1"/>
  <c r="BM423" i="1" a="1"/>
  <c r="BM423" i="1" s="1"/>
  <c r="BJ423" i="1" s="1" a="1"/>
  <c r="BJ423" i="1" s="1"/>
  <c r="E406" i="1" a="1"/>
  <c r="E406" i="1" s="1"/>
  <c r="E408" i="1" a="1"/>
  <c r="E408" i="1" s="1"/>
  <c r="E410" i="1" a="1"/>
  <c r="E410" i="1" s="1"/>
  <c r="BL410" i="1" a="1"/>
  <c r="BL410" i="1" s="1"/>
  <c r="E407" i="1" a="1"/>
  <c r="E407" i="1" s="1"/>
  <c r="E414" i="1" a="1"/>
  <c r="E414" i="1" s="1"/>
  <c r="BL414" i="1" a="1"/>
  <c r="BL414" i="1" s="1"/>
  <c r="BM411" i="1" a="1"/>
  <c r="BM411" i="1" s="1"/>
  <c r="BJ411" i="1" s="1" a="1"/>
  <c r="BJ411" i="1" s="1"/>
  <c r="BM405" i="1" a="1"/>
  <c r="BM405" i="1" s="1"/>
  <c r="BJ405" i="1" s="1" a="1"/>
  <c r="BJ405" i="1" s="1"/>
  <c r="BI406" i="1" a="1"/>
  <c r="BI406" i="1" s="1"/>
  <c r="BN407" i="1" a="1"/>
  <c r="BN407" i="1" s="1"/>
  <c r="BK410" i="1"/>
  <c r="BL411" i="1" a="1"/>
  <c r="BL411" i="1" s="1"/>
  <c r="BM413" i="1" a="1"/>
  <c r="BM413" i="1" s="1"/>
  <c r="BJ413" i="1" s="1" a="1"/>
  <c r="BJ413" i="1" s="1"/>
  <c r="BI414" i="1" a="1"/>
  <c r="BI414" i="1" s="1"/>
  <c r="BL409" i="1" a="1"/>
  <c r="BL409" i="1" s="1"/>
  <c r="BI412" i="1" a="1"/>
  <c r="BI412" i="1" s="1"/>
  <c r="BL408" i="1" a="1"/>
  <c r="BL408" i="1" s="1"/>
  <c r="BI411" i="1" a="1"/>
  <c r="BI411" i="1" s="1"/>
  <c r="E412" i="1" a="1"/>
  <c r="E412" i="1" s="1"/>
  <c r="BI410" i="1" a="1"/>
  <c r="BI410" i="1" s="1"/>
  <c r="E411" i="1" a="1"/>
  <c r="E411" i="1" s="1"/>
  <c r="BK408" i="1"/>
  <c r="BL406" i="1" a="1"/>
  <c r="BL406" i="1" s="1"/>
  <c r="BM407" i="1" a="1"/>
  <c r="BM407" i="1" s="1"/>
  <c r="BJ407" i="1" s="1" a="1"/>
  <c r="BJ407" i="1" s="1"/>
  <c r="E396" i="1" a="1"/>
  <c r="E396" i="1" s="1"/>
  <c r="BK403" i="1"/>
  <c r="E403" i="1" a="1"/>
  <c r="E403" i="1" s="1"/>
  <c r="E400" i="1" a="1"/>
  <c r="E400" i="1" s="1"/>
  <c r="E397" i="1" a="1"/>
  <c r="E397" i="1" s="1"/>
  <c r="E401" i="1" a="1"/>
  <c r="E401" i="1" s="1"/>
  <c r="E398" i="1" a="1"/>
  <c r="E398" i="1" s="1"/>
  <c r="BK396" i="1"/>
  <c r="BK399" i="1"/>
  <c r="BI394" i="1" a="1"/>
  <c r="BI394" i="1" s="1"/>
  <c r="BK398" i="1"/>
  <c r="BM401" i="1" a="1"/>
  <c r="BM401" i="1" s="1"/>
  <c r="BJ401" i="1" s="1" a="1"/>
  <c r="BJ401" i="1" s="1"/>
  <c r="BI402" i="1" a="1"/>
  <c r="BI402" i="1" s="1"/>
  <c r="BN394" i="1" a="1"/>
  <c r="BN394" i="1" s="1"/>
  <c r="BK397" i="1"/>
  <c r="BM400" i="1" a="1"/>
  <c r="BM400" i="1" s="1"/>
  <c r="BJ400" i="1" s="1" a="1"/>
  <c r="BJ400" i="1" s="1"/>
  <c r="BI401" i="1" a="1"/>
  <c r="BI401" i="1" s="1"/>
  <c r="AT394" i="1"/>
  <c r="BM399" i="1" a="1"/>
  <c r="BM399" i="1" s="1"/>
  <c r="BJ399" i="1" s="1" a="1"/>
  <c r="BJ399" i="1" s="1"/>
  <c r="BI400" i="1" a="1"/>
  <c r="BI400" i="1" s="1"/>
  <c r="BN401" i="1" a="1"/>
  <c r="BN401" i="1" s="1"/>
  <c r="AT402" i="1"/>
  <c r="BK395" i="1"/>
  <c r="BM398" i="1" a="1"/>
  <c r="BM398" i="1" s="1"/>
  <c r="BJ398" i="1" s="1" a="1"/>
  <c r="BJ398" i="1" s="1"/>
  <c r="BI399" i="1" a="1"/>
  <c r="BI399" i="1" s="1"/>
  <c r="AT401" i="1"/>
  <c r="E399" i="1" a="1"/>
  <c r="E399" i="1" s="1"/>
  <c r="BM396" i="1" a="1"/>
  <c r="BM396" i="1" s="1"/>
  <c r="BJ396" i="1" s="1" a="1"/>
  <c r="BJ396" i="1" s="1"/>
  <c r="BI397" i="1" a="1"/>
  <c r="BI397" i="1" s="1"/>
  <c r="E392" i="1" a="1"/>
  <c r="E392" i="1" s="1"/>
  <c r="E384" i="1" a="1"/>
  <c r="E384" i="1" s="1"/>
  <c r="E390" i="1" a="1"/>
  <c r="E390" i="1" s="1"/>
  <c r="E387" i="1" a="1"/>
  <c r="E387" i="1" s="1"/>
  <c r="E386" i="1" a="1"/>
  <c r="E386" i="1" s="1"/>
  <c r="BI383" i="1" a="1"/>
  <c r="BI383" i="1" s="1"/>
  <c r="BK387" i="1"/>
  <c r="BM390" i="1" a="1"/>
  <c r="BM390" i="1" s="1"/>
  <c r="BJ390" i="1" s="1" a="1"/>
  <c r="BJ390" i="1" s="1"/>
  <c r="E383" i="1" a="1"/>
  <c r="E383" i="1" s="1"/>
  <c r="BN383" i="1" a="1"/>
  <c r="BN383" i="1" s="1"/>
  <c r="BM389" i="1" a="1"/>
  <c r="BM389" i="1" s="1"/>
  <c r="BJ389" i="1" s="1" a="1"/>
  <c r="BJ389" i="1" s="1"/>
  <c r="BI390" i="1" a="1"/>
  <c r="BI390" i="1" s="1"/>
  <c r="E391" i="1" a="1"/>
  <c r="E391" i="1" s="1"/>
  <c r="BN391" i="1" a="1"/>
  <c r="BN391" i="1" s="1"/>
  <c r="BK385" i="1"/>
  <c r="BM388" i="1" a="1"/>
  <c r="BM388" i="1" s="1"/>
  <c r="BJ388" i="1" s="1" a="1"/>
  <c r="BJ388" i="1" s="1"/>
  <c r="BI389" i="1" a="1"/>
  <c r="BI389" i="1" s="1"/>
  <c r="BN390" i="1" a="1"/>
  <c r="BN390" i="1" s="1"/>
  <c r="BK384" i="1"/>
  <c r="E389" i="1" a="1"/>
  <c r="E389" i="1" s="1"/>
  <c r="BK392" i="1"/>
  <c r="BI387" i="1" a="1"/>
  <c r="BI387" i="1" s="1"/>
  <c r="E388" i="1" a="1"/>
  <c r="E388" i="1" s="1"/>
  <c r="BI386" i="1" a="1"/>
  <c r="BI386" i="1" s="1"/>
  <c r="E380" i="1" a="1"/>
  <c r="E380" i="1" s="1"/>
  <c r="E375" i="1" a="1"/>
  <c r="E375" i="1" s="1"/>
  <c r="E372" i="1" a="1"/>
  <c r="E372" i="1" s="1"/>
  <c r="E374" i="1" a="1"/>
  <c r="E374" i="1" s="1"/>
  <c r="E379" i="1" a="1"/>
  <c r="E379" i="1" s="1"/>
  <c r="BK380" i="1"/>
  <c r="E376" i="1" a="1"/>
  <c r="E376" i="1" s="1"/>
  <c r="BM379" i="1" a="1"/>
  <c r="BM379" i="1" s="1"/>
  <c r="BJ379" i="1" s="1" a="1"/>
  <c r="BJ379" i="1" s="1"/>
  <c r="BN372" i="1" a="1"/>
  <c r="BN372" i="1" s="1"/>
  <c r="AT373" i="1"/>
  <c r="BK375" i="1"/>
  <c r="BM378" i="1" a="1"/>
  <c r="BM378" i="1" s="1"/>
  <c r="BJ378" i="1" s="1" a="1"/>
  <c r="BJ378" i="1" s="1"/>
  <c r="BI379" i="1" a="1"/>
  <c r="BI379" i="1" s="1"/>
  <c r="BN380" i="1" a="1"/>
  <c r="BN380" i="1" s="1"/>
  <c r="AT381" i="1"/>
  <c r="AT372" i="1"/>
  <c r="BK374" i="1"/>
  <c r="BM377" i="1" a="1"/>
  <c r="BM377" i="1" s="1"/>
  <c r="BJ377" i="1" s="1" a="1"/>
  <c r="BJ377" i="1" s="1"/>
  <c r="BI378" i="1" a="1"/>
  <c r="BI378" i="1" s="1"/>
  <c r="BN379" i="1" a="1"/>
  <c r="BN379" i="1" s="1"/>
  <c r="AT380" i="1"/>
  <c r="BK377" i="1"/>
  <c r="BI372" i="1" a="1"/>
  <c r="BI372" i="1" s="1"/>
  <c r="BK376" i="1"/>
  <c r="BK373" i="1"/>
  <c r="BM376" i="1" a="1"/>
  <c r="BM376" i="1" s="1"/>
  <c r="BJ376" i="1" s="1" a="1"/>
  <c r="BJ376" i="1" s="1"/>
  <c r="E378" i="1" a="1"/>
  <c r="E378" i="1" s="1"/>
  <c r="BI380" i="1" a="1"/>
  <c r="BI380" i="1" s="1"/>
  <c r="E377" i="1" a="1"/>
  <c r="E377" i="1" s="1"/>
  <c r="AT378" i="1"/>
  <c r="BI375" i="1" a="1"/>
  <c r="BI375" i="1" s="1"/>
  <c r="BL362" i="1" a="1"/>
  <c r="BL362" i="1" s="1"/>
  <c r="E370" i="1" a="1"/>
  <c r="E370" i="1" s="1"/>
  <c r="E368" i="1" a="1"/>
  <c r="E368" i="1" s="1"/>
  <c r="E362" i="1" a="1"/>
  <c r="E362" i="1" s="1"/>
  <c r="E365" i="1" a="1"/>
  <c r="E365" i="1" s="1"/>
  <c r="E364" i="1" a="1"/>
  <c r="E364" i="1" s="1"/>
  <c r="BI361" i="1" a="1"/>
  <c r="BI361" i="1" s="1"/>
  <c r="BK365" i="1"/>
  <c r="BL366" i="1" a="1"/>
  <c r="BL366" i="1" s="1"/>
  <c r="BM368" i="1" a="1"/>
  <c r="BM368" i="1" s="1"/>
  <c r="BJ368" i="1" s="1" a="1"/>
  <c r="BJ368" i="1" s="1"/>
  <c r="E361" i="1" a="1"/>
  <c r="E361" i="1" s="1"/>
  <c r="BN361" i="1" a="1"/>
  <c r="BN361" i="1" s="1"/>
  <c r="BK364" i="1"/>
  <c r="BL365" i="1" a="1"/>
  <c r="BL365" i="1" s="1"/>
  <c r="BM367" i="1" a="1"/>
  <c r="BM367" i="1" s="1"/>
  <c r="BJ367" i="1" s="1" a="1"/>
  <c r="BJ367" i="1" s="1"/>
  <c r="BI368" i="1" a="1"/>
  <c r="BI368" i="1" s="1"/>
  <c r="E369" i="1" a="1"/>
  <c r="E369" i="1" s="1"/>
  <c r="BN369" i="1" a="1"/>
  <c r="BN369" i="1" s="1"/>
  <c r="BK363" i="1"/>
  <c r="BM366" i="1" a="1"/>
  <c r="BM366" i="1" s="1"/>
  <c r="BJ366" i="1" s="1" a="1"/>
  <c r="BJ366" i="1" s="1"/>
  <c r="BI367" i="1" a="1"/>
  <c r="BI367" i="1" s="1"/>
  <c r="BN368" i="1" a="1"/>
  <c r="BN368" i="1" s="1"/>
  <c r="BI366" i="1" a="1"/>
  <c r="BI366" i="1" s="1"/>
  <c r="E367" i="1" a="1"/>
  <c r="E367" i="1" s="1"/>
  <c r="BK370" i="1"/>
  <c r="BI365" i="1" a="1"/>
  <c r="BI365" i="1" s="1"/>
  <c r="E366" i="1" a="1"/>
  <c r="E366" i="1" s="1"/>
  <c r="BI364" i="1" a="1"/>
  <c r="BI364" i="1" s="1"/>
  <c r="E352" i="1" a="1"/>
  <c r="E352" i="1" s="1"/>
  <c r="E355" i="1" a="1"/>
  <c r="E355" i="1" s="1"/>
  <c r="BK357" i="1"/>
  <c r="E357" i="1" a="1"/>
  <c r="E357" i="1" s="1"/>
  <c r="E359" i="1" a="1"/>
  <c r="E359" i="1" s="1"/>
  <c r="E353" i="1" a="1"/>
  <c r="E353" i="1" s="1"/>
  <c r="BK354" i="1"/>
  <c r="BM356" i="1" a="1"/>
  <c r="BM356" i="1" s="1"/>
  <c r="BJ356" i="1" s="1" a="1"/>
  <c r="BJ356" i="1" s="1"/>
  <c r="BM350" i="1" a="1"/>
  <c r="BM350" i="1" s="1"/>
  <c r="BJ350" i="1" s="1" a="1"/>
  <c r="BJ350" i="1" s="1"/>
  <c r="BN352" i="1" a="1"/>
  <c r="BN352" i="1" s="1"/>
  <c r="AT353" i="1"/>
  <c r="BK355" i="1"/>
  <c r="BM358" i="1" a="1"/>
  <c r="BM358" i="1" s="1"/>
  <c r="BJ358" i="1" s="1" a="1"/>
  <c r="BJ358" i="1" s="1"/>
  <c r="BK353" i="1"/>
  <c r="BI357" i="1" a="1"/>
  <c r="BI357" i="1" s="1"/>
  <c r="AT350" i="1"/>
  <c r="BK352" i="1"/>
  <c r="BM355" i="1" a="1"/>
  <c r="BM355" i="1" s="1"/>
  <c r="BJ355" i="1" s="1" a="1"/>
  <c r="BJ355" i="1" s="1"/>
  <c r="BI356" i="1" a="1"/>
  <c r="BI356" i="1" s="1"/>
  <c r="AT358" i="1"/>
  <c r="BM354" i="1" a="1"/>
  <c r="BM354" i="1" s="1"/>
  <c r="BJ354" i="1" s="1" a="1"/>
  <c r="BJ354" i="1" s="1"/>
  <c r="BI355" i="1" a="1"/>
  <c r="BI355" i="1" s="1"/>
  <c r="E356" i="1" a="1"/>
  <c r="E356" i="1" s="1"/>
  <c r="AT357" i="1"/>
  <c r="AT356" i="1"/>
  <c r="BI353" i="1" a="1"/>
  <c r="BI353" i="1" s="1"/>
  <c r="BM357" i="1" a="1"/>
  <c r="BM357" i="1" s="1"/>
  <c r="BJ357" i="1" s="1" a="1"/>
  <c r="BJ357" i="1" s="1"/>
  <c r="E343" i="1" a="1"/>
  <c r="E343" i="1" s="1"/>
  <c r="E339" i="1" a="1"/>
  <c r="E339" i="1" s="1"/>
  <c r="E346" i="1" a="1"/>
  <c r="E346" i="1" s="1"/>
  <c r="E348" i="1" a="1"/>
  <c r="E348" i="1" s="1"/>
  <c r="E340" i="1" a="1"/>
  <c r="E340" i="1" s="1"/>
  <c r="BL340" i="1" a="1"/>
  <c r="BL340" i="1" s="1"/>
  <c r="E342" i="1" a="1"/>
  <c r="E342" i="1" s="1"/>
  <c r="BL345" i="1" a="1"/>
  <c r="BL345" i="1" s="1"/>
  <c r="E345" i="1" a="1"/>
  <c r="E345" i="1" s="1"/>
  <c r="BI339" i="1" a="1"/>
  <c r="BI339" i="1" s="1"/>
  <c r="BK343" i="1"/>
  <c r="BM346" i="1" a="1"/>
  <c r="BM346" i="1" s="1"/>
  <c r="BJ346" i="1" s="1" a="1"/>
  <c r="BJ346" i="1" s="1"/>
  <c r="BI347" i="1" a="1"/>
  <c r="BI347" i="1" s="1"/>
  <c r="BN339" i="1" a="1"/>
  <c r="BN339" i="1" s="1"/>
  <c r="BK342" i="1"/>
  <c r="BL343" i="1" a="1"/>
  <c r="BL343" i="1" s="1"/>
  <c r="BI346" i="1" a="1"/>
  <c r="BI346" i="1" s="1"/>
  <c r="BK341" i="1"/>
  <c r="BM344" i="1" a="1"/>
  <c r="BM344" i="1" s="1"/>
  <c r="BJ344" i="1" s="1" a="1"/>
  <c r="BJ344" i="1" s="1"/>
  <c r="BI345" i="1" a="1"/>
  <c r="BI345" i="1" s="1"/>
  <c r="BN346" i="1" a="1"/>
  <c r="BN346" i="1" s="1"/>
  <c r="BK340" i="1"/>
  <c r="BL341" i="1" a="1"/>
  <c r="BL341" i="1" s="1"/>
  <c r="BI344" i="1" a="1"/>
  <c r="BI344" i="1" s="1"/>
  <c r="BK348" i="1"/>
  <c r="BI343" i="1" a="1"/>
  <c r="BI343" i="1" s="1"/>
  <c r="E344" i="1" a="1"/>
  <c r="E344" i="1" s="1"/>
  <c r="BI342" i="1" a="1"/>
  <c r="BI342" i="1" s="1"/>
  <c r="BN329" i="1" a="1"/>
  <c r="BN329" i="1" s="1"/>
  <c r="AT333" i="1"/>
  <c r="BN336" i="1" a="1"/>
  <c r="BN336" i="1" s="1"/>
  <c r="BN332" i="1" a="1"/>
  <c r="BN332" i="1" s="1"/>
  <c r="BI337" i="1" a="1"/>
  <c r="BI337" i="1" s="1"/>
  <c r="BM330" i="1" a="1"/>
  <c r="BM330" i="1" s="1"/>
  <c r="BJ330" i="1" s="1" a="1"/>
  <c r="BJ330" i="1" s="1"/>
  <c r="AT334" i="1"/>
  <c r="BN328" i="1" a="1"/>
  <c r="BN328" i="1" s="1"/>
  <c r="BK331" i="1"/>
  <c r="BN330" i="1" a="1"/>
  <c r="BN330" i="1" s="1"/>
  <c r="AT330" i="1"/>
  <c r="BK330" i="1"/>
  <c r="BK337" i="1"/>
  <c r="BI328" i="1" a="1"/>
  <c r="BI328" i="1" s="1"/>
  <c r="BM329" i="1" a="1"/>
  <c r="BM329" i="1" s="1"/>
  <c r="BJ329" i="1" s="1" a="1"/>
  <c r="BJ329" i="1" s="1"/>
  <c r="AT331" i="1"/>
  <c r="BI329" i="1" a="1"/>
  <c r="BI329" i="1" s="1"/>
  <c r="BM334" i="1" a="1"/>
  <c r="BM334" i="1" s="1"/>
  <c r="BJ334" i="1" s="1" a="1"/>
  <c r="BJ334" i="1" s="1"/>
  <c r="BM332" i="1" a="1"/>
  <c r="BM332" i="1" s="1"/>
  <c r="BJ332" i="1" s="1" a="1"/>
  <c r="BJ332" i="1" s="1"/>
  <c r="BM492" i="1" a="1"/>
  <c r="BM492" i="1" s="1"/>
  <c r="BJ492" i="1" s="1" a="1"/>
  <c r="BJ492" i="1" s="1"/>
  <c r="BK328" i="1"/>
  <c r="BI331" i="1" a="1"/>
  <c r="BI331" i="1" s="1"/>
  <c r="AT335" i="1"/>
  <c r="E336" i="1" a="1"/>
  <c r="E336" i="1" s="1"/>
  <c r="E329" i="1" a="1"/>
  <c r="E329" i="1" s="1"/>
  <c r="E331" i="1" a="1"/>
  <c r="E331" i="1" s="1"/>
  <c r="E334" i="1" a="1"/>
  <c r="E334" i="1" s="1"/>
  <c r="BK335" i="1"/>
  <c r="BK336" i="1"/>
  <c r="BK329" i="1"/>
  <c r="E332" i="1" a="1"/>
  <c r="E332" i="1" s="1"/>
  <c r="E335" i="1" a="1"/>
  <c r="E335" i="1" s="1"/>
  <c r="BM328" i="1" a="1"/>
  <c r="BM328" i="1" s="1"/>
  <c r="BJ328" i="1" s="1" a="1"/>
  <c r="BJ328" i="1" s="1"/>
  <c r="BN331" i="1" a="1"/>
  <c r="BN331" i="1" s="1"/>
  <c r="AT332" i="1"/>
  <c r="BK334" i="1"/>
  <c r="BM337" i="1" a="1"/>
  <c r="BM337" i="1" s="1"/>
  <c r="BJ337" i="1" s="1" a="1"/>
  <c r="BJ337" i="1" s="1"/>
  <c r="BK333" i="1"/>
  <c r="BM336" i="1" a="1"/>
  <c r="BM336" i="1" s="1"/>
  <c r="BJ336" i="1" s="1" a="1"/>
  <c r="BJ336" i="1" s="1"/>
  <c r="E328" i="1" a="1"/>
  <c r="E328" i="1" s="1"/>
  <c r="AT329" i="1"/>
  <c r="BK332" i="1"/>
  <c r="BM335" i="1" a="1"/>
  <c r="BM335" i="1" s="1"/>
  <c r="BJ335" i="1" s="1" a="1"/>
  <c r="BJ335" i="1" s="1"/>
  <c r="BI336" i="1" a="1"/>
  <c r="BI336" i="1" s="1"/>
  <c r="E337" i="1" a="1"/>
  <c r="E337" i="1" s="1"/>
  <c r="BN337" i="1" a="1"/>
  <c r="BN337" i="1" s="1"/>
  <c r="AT328" i="1"/>
  <c r="BI335" i="1" a="1"/>
  <c r="BI335" i="1" s="1"/>
  <c r="AT337" i="1"/>
  <c r="BM333" i="1" a="1"/>
  <c r="BM333" i="1" s="1"/>
  <c r="BJ333" i="1" s="1" a="1"/>
  <c r="BJ333" i="1" s="1"/>
  <c r="BN335" i="1" a="1"/>
  <c r="BN335" i="1" s="1"/>
  <c r="AT336" i="1"/>
  <c r="BM331" i="1" a="1"/>
  <c r="BM331" i="1" s="1"/>
  <c r="BJ331" i="1" s="1" a="1"/>
  <c r="BJ331" i="1" s="1"/>
  <c r="BI332" i="1" a="1"/>
  <c r="BI332" i="1" s="1"/>
  <c r="BK492" i="1"/>
  <c r="BL492" i="1" a="1"/>
  <c r="BL492" i="1" s="1"/>
  <c r="BN492" i="1" a="1"/>
  <c r="BN492" i="1" s="1"/>
  <c r="BI492" i="1" a="1"/>
  <c r="BI492" i="1" s="1"/>
  <c r="BN519" i="1" a="1"/>
  <c r="BN519" i="1" s="1"/>
  <c r="BN521" i="1" a="1"/>
  <c r="BN521" i="1" s="1"/>
  <c r="BN1609" i="1" a="1"/>
  <c r="BN1609" i="1" s="1"/>
  <c r="AT1611" i="1"/>
  <c r="BI2348" i="1" a="1"/>
  <c r="BI2348" i="1" s="1"/>
  <c r="BN523" i="1" a="1"/>
  <c r="BN523" i="1" s="1"/>
  <c r="BN524" i="1" a="1"/>
  <c r="BN524" i="1" s="1"/>
  <c r="BN527" i="1" a="1"/>
  <c r="BN527" i="1" s="1"/>
  <c r="BN1604" i="1" a="1"/>
  <c r="BN1604" i="1" s="1"/>
  <c r="BN2349" i="1" a="1"/>
  <c r="BN2349" i="1" s="1"/>
  <c r="BI64" i="1" a="1"/>
  <c r="BI64" i="1" s="1"/>
  <c r="BN1617" i="1" a="1"/>
  <c r="BN1617" i="1" s="1"/>
  <c r="BI1618" i="1" a="1"/>
  <c r="BI1618" i="1" s="1"/>
  <c r="BN2344" i="1" a="1"/>
  <c r="BN2344" i="1" s="1"/>
  <c r="BN1613" i="1" a="1"/>
  <c r="BN1613" i="1" s="1"/>
  <c r="BN72" i="1" a="1"/>
  <c r="BN72" i="1" s="1"/>
  <c r="BN534" i="1" a="1"/>
  <c r="BN534" i="1" s="1"/>
  <c r="BN2048" i="1" a="1"/>
  <c r="BN2048" i="1" s="1"/>
  <c r="BN2352" i="1" a="1"/>
  <c r="BN2352" i="1" s="1"/>
  <c r="BI531" i="1" a="1"/>
  <c r="BI531" i="1" s="1"/>
  <c r="BI2354" i="1" a="1"/>
  <c r="BI2354" i="1" s="1"/>
  <c r="BI2358" i="1" a="1"/>
  <c r="BI2358" i="1" s="1"/>
  <c r="BN2359" i="1" a="1"/>
  <c r="BN2359" i="1" s="1"/>
  <c r="BN68" i="1" a="1"/>
  <c r="BN68" i="1" s="1"/>
  <c r="BN2040" i="1" a="1"/>
  <c r="BN2040" i="1" s="1"/>
  <c r="BI65" i="1" a="1"/>
  <c r="BI65" i="1" s="1"/>
  <c r="AT531" i="1"/>
  <c r="BN1603" i="1" a="1"/>
  <c r="BN1603" i="1" s="1"/>
  <c r="AT1610" i="1"/>
  <c r="BN1615" i="1" a="1"/>
  <c r="BN1615" i="1" s="1"/>
  <c r="BN2343" i="1" a="1"/>
  <c r="BN2343" i="1" s="1"/>
  <c r="BI2043" i="1" a="1"/>
  <c r="BI2043" i="1" s="1"/>
  <c r="BI68" i="1" a="1"/>
  <c r="BI68" i="1" s="1"/>
  <c r="BN75" i="1" a="1"/>
  <c r="BN75" i="1" s="1"/>
  <c r="BN76" i="1" a="1"/>
  <c r="BN76" i="1" s="1"/>
  <c r="BN77" i="1" a="1"/>
  <c r="BN77" i="1" s="1"/>
  <c r="BN79" i="1" a="1"/>
  <c r="BN79" i="1" s="1"/>
  <c r="BN80" i="1" a="1"/>
  <c r="BN80" i="1" s="1"/>
  <c r="BN1610" i="1" a="1"/>
  <c r="BN1610" i="1" s="1"/>
  <c r="BI2040" i="1" a="1"/>
  <c r="BI2040" i="1" s="1"/>
  <c r="BN2351" i="1" a="1"/>
  <c r="BN2351" i="1" s="1"/>
  <c r="BM2349" i="1" a="1"/>
  <c r="BM2349" i="1" s="1"/>
  <c r="BJ2349" i="1" s="1" a="1"/>
  <c r="BJ2349" i="1" s="1"/>
  <c r="BI532" i="1" a="1"/>
  <c r="BI532" i="1" s="1"/>
  <c r="BI537" i="1" a="1"/>
  <c r="BI537" i="1" s="1"/>
  <c r="BI1617" i="1" a="1"/>
  <c r="BI1617" i="1" s="1"/>
  <c r="BM1606" i="1" a="1"/>
  <c r="BM1606" i="1" s="1"/>
  <c r="BJ1606" i="1" s="1" a="1"/>
  <c r="BJ1606" i="1" s="1"/>
  <c r="BI2355" i="1" a="1"/>
  <c r="BI2355" i="1" s="1"/>
  <c r="BI2039" i="1" a="1"/>
  <c r="BI2039" i="1" s="1"/>
  <c r="BM536" i="1" a="1"/>
  <c r="BM536" i="1" s="1"/>
  <c r="BJ536" i="1" s="1" a="1"/>
  <c r="BJ536" i="1" s="1"/>
  <c r="BM2040" i="1" a="1"/>
  <c r="BM2040" i="1" s="1"/>
  <c r="BJ2040" i="1" s="1" a="1"/>
  <c r="BJ2040" i="1" s="1"/>
  <c r="BI519" i="1" a="1"/>
  <c r="BI519" i="1" s="1"/>
  <c r="BN533" i="1" a="1"/>
  <c r="BN533" i="1" s="1"/>
  <c r="BN538" i="1" a="1"/>
  <c r="BN538" i="1" s="1"/>
  <c r="BN1600" i="1" a="1"/>
  <c r="BN1600" i="1" s="1"/>
  <c r="BK2048" i="1"/>
  <c r="BI2341" i="1" a="1"/>
  <c r="BI2341" i="1" s="1"/>
  <c r="AT2342" i="1"/>
  <c r="AT2343" i="1"/>
  <c r="BN2348" i="1" a="1"/>
  <c r="BN2348" i="1" s="1"/>
  <c r="BI2352" i="1" a="1"/>
  <c r="BI2352" i="1" s="1"/>
  <c r="BK74" i="1"/>
  <c r="BM521" i="1" a="1"/>
  <c r="BM521" i="1" s="1"/>
  <c r="BJ521" i="1" s="1" a="1"/>
  <c r="BJ521" i="1" s="1"/>
  <c r="BI527" i="1" a="1"/>
  <c r="BI527" i="1" s="1"/>
  <c r="BN1601" i="1" a="1"/>
  <c r="BN1601" i="1" s="1"/>
  <c r="BI1610" i="1" a="1"/>
  <c r="BI1610" i="1" s="1"/>
  <c r="BI1613" i="1" a="1"/>
  <c r="BI1613" i="1" s="1"/>
  <c r="BN1614" i="1" a="1"/>
  <c r="BN1614" i="1" s="1"/>
  <c r="BM1616" i="1" a="1"/>
  <c r="BM1616" i="1" s="1"/>
  <c r="BJ1616" i="1" s="1" a="1"/>
  <c r="BJ1616" i="1" s="1"/>
  <c r="BL2044" i="1" a="1"/>
  <c r="BL2044" i="1" s="1"/>
  <c r="BM2045" i="1" a="1"/>
  <c r="BM2045" i="1" s="1"/>
  <c r="BJ2045" i="1" s="1" a="1"/>
  <c r="BJ2045" i="1" s="1"/>
  <c r="BK2359" i="1"/>
  <c r="BI69" i="1" a="1"/>
  <c r="BI69" i="1" s="1"/>
  <c r="BI520" i="1" a="1"/>
  <c r="BI520" i="1" s="1"/>
  <c r="BI529" i="1" a="1"/>
  <c r="BI529" i="1" s="1"/>
  <c r="BK83" i="1"/>
  <c r="BK526" i="1"/>
  <c r="BI1606" i="1" a="1"/>
  <c r="BI1606" i="1" s="1"/>
  <c r="BI1611" i="1" a="1"/>
  <c r="BI1611" i="1" s="1"/>
  <c r="BN2042" i="1" a="1"/>
  <c r="BN2042" i="1" s="1"/>
  <c r="BI2048" i="1" a="1"/>
  <c r="BI2048" i="1" s="1"/>
  <c r="BM2340" i="1" a="1"/>
  <c r="BM2340" i="1" s="1"/>
  <c r="BJ2340" i="1" s="1" a="1"/>
  <c r="BJ2340" i="1" s="1"/>
  <c r="BI2350" i="1" a="1"/>
  <c r="BI2350" i="1" s="1"/>
  <c r="BN2353" i="1" a="1"/>
  <c r="BN2353" i="1" s="1"/>
  <c r="BM2354" i="1" a="1"/>
  <c r="BM2354" i="1" s="1"/>
  <c r="BJ2354" i="1" s="1" a="1"/>
  <c r="BJ2354" i="1" s="1"/>
  <c r="BN64" i="1" a="1"/>
  <c r="BN64" i="1" s="1"/>
  <c r="BI79" i="1" a="1"/>
  <c r="BI79" i="1" s="1"/>
  <c r="BN81" i="1" a="1"/>
  <c r="BN81" i="1" s="1"/>
  <c r="BK1604" i="1"/>
  <c r="BK1618" i="1"/>
  <c r="BI2351" i="1" a="1"/>
  <c r="BI2351" i="1" s="1"/>
  <c r="BI2359" i="1" a="1"/>
  <c r="BI2359" i="1" s="1"/>
  <c r="BK67" i="1"/>
  <c r="BM68" i="1" a="1"/>
  <c r="BM68" i="1" s="1"/>
  <c r="BJ68" i="1" s="1" a="1"/>
  <c r="BJ68" i="1" s="1"/>
  <c r="BN83" i="1" a="1"/>
  <c r="BN83" i="1" s="1"/>
  <c r="BI523" i="1" a="1"/>
  <c r="BI523" i="1" s="1"/>
  <c r="BN1599" i="1" a="1"/>
  <c r="BN1599" i="1" s="1"/>
  <c r="BN1612" i="1" a="1"/>
  <c r="BN1612" i="1" s="1"/>
  <c r="BN2340" i="1" a="1"/>
  <c r="BN2340" i="1" s="1"/>
  <c r="AT2341" i="1"/>
  <c r="BN2354" i="1" a="1"/>
  <c r="BN2354" i="1" s="1"/>
  <c r="BL2356" i="1" a="1"/>
  <c r="BL2356" i="1" s="1"/>
  <c r="BN66" i="1" a="1"/>
  <c r="BN66" i="1" s="1"/>
  <c r="BM75" i="1" a="1"/>
  <c r="BM75" i="1" s="1"/>
  <c r="BJ75" i="1" s="1" a="1"/>
  <c r="BJ75" i="1" s="1"/>
  <c r="BI77" i="1" a="1"/>
  <c r="BI77" i="1" s="1"/>
  <c r="BL79" i="1" a="1"/>
  <c r="BL79" i="1" s="1"/>
  <c r="BL83" i="1" a="1"/>
  <c r="BL83" i="1" s="1"/>
  <c r="BN520" i="1" a="1"/>
  <c r="BN520" i="1" s="1"/>
  <c r="BK522" i="1"/>
  <c r="BN525" i="1" a="1"/>
  <c r="BN525" i="1" s="1"/>
  <c r="BN529" i="1" a="1"/>
  <c r="BN529" i="1" s="1"/>
  <c r="BN532" i="1" a="1"/>
  <c r="BN532" i="1" s="1"/>
  <c r="AT535" i="1"/>
  <c r="BI1599" i="1" a="1"/>
  <c r="BI1599" i="1" s="1"/>
  <c r="BM1601" i="1" a="1"/>
  <c r="BM1601" i="1" s="1"/>
  <c r="BJ1601" i="1" s="1" a="1"/>
  <c r="BJ1601" i="1" s="1"/>
  <c r="BM1602" i="1" a="1"/>
  <c r="BM1602" i="1" s="1"/>
  <c r="BJ1602" i="1" s="1" a="1"/>
  <c r="BJ1602" i="1" s="1"/>
  <c r="BM1607" i="1" a="1"/>
  <c r="BM1607" i="1" s="1"/>
  <c r="BJ1607" i="1" s="1" a="1"/>
  <c r="BJ1607" i="1" s="1"/>
  <c r="BN1616" i="1" a="1"/>
  <c r="BN1616" i="1" s="1"/>
  <c r="BM1618" i="1" a="1"/>
  <c r="BM1618" i="1" s="1"/>
  <c r="BJ1618" i="1" s="1" a="1"/>
  <c r="BJ1618" i="1" s="1"/>
  <c r="BL2039" i="1" a="1"/>
  <c r="BL2039" i="1" s="1"/>
  <c r="BI2041" i="1" a="1"/>
  <c r="BI2041" i="1" s="1"/>
  <c r="BN2043" i="1" a="1"/>
  <c r="BN2043" i="1" s="1"/>
  <c r="BN2045" i="1" a="1"/>
  <c r="BN2045" i="1" s="1"/>
  <c r="BK2046" i="1"/>
  <c r="BN2047" i="1" a="1"/>
  <c r="BN2047" i="1" s="1"/>
  <c r="BM2339" i="1" a="1"/>
  <c r="BM2339" i="1" s="1"/>
  <c r="BJ2339" i="1" s="1" a="1"/>
  <c r="BJ2339" i="1" s="1"/>
  <c r="BM2342" i="1" a="1"/>
  <c r="BM2342" i="1" s="1"/>
  <c r="BJ2342" i="1" s="1" a="1"/>
  <c r="BJ2342" i="1" s="1"/>
  <c r="BN2345" i="1" a="1"/>
  <c r="BN2345" i="1" s="1"/>
  <c r="BK2350" i="1"/>
  <c r="BI2353" i="1" a="1"/>
  <c r="BI2353" i="1" s="1"/>
  <c r="BN2355" i="1" a="1"/>
  <c r="BN2355" i="1" s="1"/>
  <c r="BK2356" i="1"/>
  <c r="BL2358" i="1" a="1"/>
  <c r="BL2358" i="1" s="1"/>
  <c r="BL2047" i="1" a="1"/>
  <c r="BL2047" i="1" s="1"/>
  <c r="BM64" i="1" a="1"/>
  <c r="BM64" i="1" s="1"/>
  <c r="BJ64" i="1" s="1" a="1"/>
  <c r="BJ64" i="1" s="1"/>
  <c r="BI72" i="1" a="1"/>
  <c r="BI72" i="1" s="1"/>
  <c r="BL74" i="1" a="1"/>
  <c r="BL74" i="1" s="1"/>
  <c r="BK80" i="1"/>
  <c r="BI83" i="1" a="1"/>
  <c r="BI83" i="1" s="1"/>
  <c r="BK518" i="1"/>
  <c r="BM523" i="1" a="1"/>
  <c r="BM523" i="1" s="1"/>
  <c r="BJ523" i="1" s="1" a="1"/>
  <c r="BJ523" i="1" s="1"/>
  <c r="BK527" i="1"/>
  <c r="AT533" i="1"/>
  <c r="BK1598" i="1"/>
  <c r="BK1605" i="1"/>
  <c r="BI1609" i="1" a="1"/>
  <c r="BI1609" i="1" s="1"/>
  <c r="AT1613" i="1"/>
  <c r="BI2047" i="1" a="1"/>
  <c r="BI2047" i="1" s="1"/>
  <c r="BN2341" i="1" a="1"/>
  <c r="BN2341" i="1" s="1"/>
  <c r="BK2347" i="1"/>
  <c r="BM69" i="1" a="1"/>
  <c r="BM69" i="1" s="1"/>
  <c r="BJ69" i="1" s="1" a="1"/>
  <c r="BJ69" i="1" s="1"/>
  <c r="BL75" i="1" a="1"/>
  <c r="BL75" i="1" s="1"/>
  <c r="BM80" i="1" a="1"/>
  <c r="BM80" i="1" s="1"/>
  <c r="BJ80" i="1" s="1" a="1"/>
  <c r="BJ80" i="1" s="1"/>
  <c r="BK519" i="1"/>
  <c r="BM527" i="1" a="1"/>
  <c r="BM527" i="1" s="1"/>
  <c r="BJ527" i="1" s="1" a="1"/>
  <c r="BJ527" i="1" s="1"/>
  <c r="BM530" i="1" a="1"/>
  <c r="BM530" i="1" s="1"/>
  <c r="BJ530" i="1" s="1" a="1"/>
  <c r="BJ530" i="1" s="1"/>
  <c r="BM1600" i="1" a="1"/>
  <c r="BM1600" i="1" s="1"/>
  <c r="BJ1600" i="1" s="1" a="1"/>
  <c r="BJ1600" i="1" s="1"/>
  <c r="BN1602" i="1" a="1"/>
  <c r="BN1602" i="1" s="1"/>
  <c r="BL1607" i="1" a="1"/>
  <c r="BL1607" i="1" s="1"/>
  <c r="BM1610" i="1" a="1"/>
  <c r="BM1610" i="1" s="1"/>
  <c r="BJ1610" i="1" s="1" a="1"/>
  <c r="BJ1610" i="1" s="1"/>
  <c r="BN2041" i="1" a="1"/>
  <c r="BN2041" i="1" s="1"/>
  <c r="BM2042" i="1" a="1"/>
  <c r="BM2042" i="1" s="1"/>
  <c r="BJ2042" i="1" s="1" a="1"/>
  <c r="BJ2042" i="1" s="1"/>
  <c r="BM2044" i="1" a="1"/>
  <c r="BM2044" i="1" s="1"/>
  <c r="BJ2044" i="1" s="1" a="1"/>
  <c r="BJ2044" i="1" s="1"/>
  <c r="BM2048" i="1" a="1"/>
  <c r="BM2048" i="1" s="1"/>
  <c r="BJ2048" i="1" s="1" a="1"/>
  <c r="BJ2048" i="1" s="1"/>
  <c r="BN2342" i="1" a="1"/>
  <c r="BN2342" i="1" s="1"/>
  <c r="BL2350" i="1" a="1"/>
  <c r="BL2350" i="1" s="1"/>
  <c r="BN2356" i="1" a="1"/>
  <c r="BN2356" i="1" s="1"/>
  <c r="BM76" i="1" a="1"/>
  <c r="BM76" i="1" s="1"/>
  <c r="BJ76" i="1" s="1" a="1"/>
  <c r="BJ76" i="1" s="1"/>
  <c r="BM81" i="1" a="1"/>
  <c r="BM81" i="1" s="1"/>
  <c r="BJ81" i="1" s="1" a="1"/>
  <c r="BJ81" i="1" s="1"/>
  <c r="BK82" i="1"/>
  <c r="BM519" i="1" a="1"/>
  <c r="BM519" i="1" s="1"/>
  <c r="BJ519" i="1" s="1" a="1"/>
  <c r="BJ519" i="1" s="1"/>
  <c r="BK537" i="1"/>
  <c r="BL1598" i="1" a="1"/>
  <c r="BL1598" i="1" s="1"/>
  <c r="AT1614" i="1"/>
  <c r="BK1617" i="1"/>
  <c r="BN1618" i="1" a="1"/>
  <c r="BN1618" i="1" s="1"/>
  <c r="BM2046" i="1" a="1"/>
  <c r="BM2046" i="1" s="1"/>
  <c r="BJ2046" i="1" s="1" a="1"/>
  <c r="BJ2046" i="1" s="1"/>
  <c r="BI2340" i="1" a="1"/>
  <c r="BI2340" i="1" s="1"/>
  <c r="AT2344" i="1"/>
  <c r="BM2352" i="1" a="1"/>
  <c r="BM2352" i="1" s="1"/>
  <c r="BJ2352" i="1" s="1" a="1"/>
  <c r="BJ2352" i="1" s="1"/>
  <c r="BK2357" i="1"/>
  <c r="BI576" i="1" a="1"/>
  <c r="BI576" i="1" s="1"/>
  <c r="BM65" i="1" a="1"/>
  <c r="BM65" i="1" s="1"/>
  <c r="BJ65" i="1" s="1" a="1"/>
  <c r="BJ65" i="1" s="1"/>
  <c r="BN69" i="1" a="1"/>
  <c r="BN69" i="1" s="1"/>
  <c r="BK70" i="1"/>
  <c r="BI75" i="1" a="1"/>
  <c r="BI75" i="1" s="1"/>
  <c r="BI530" i="1" a="1"/>
  <c r="BI530" i="1" s="1"/>
  <c r="BM1598" i="1" a="1"/>
  <c r="BM1598" i="1" s="1"/>
  <c r="BJ1598" i="1" s="1" a="1"/>
  <c r="BJ1598" i="1" s="1"/>
  <c r="BM1599" i="1" a="1"/>
  <c r="BM1599" i="1" s="1"/>
  <c r="BJ1599" i="1" s="1" a="1"/>
  <c r="BJ1599" i="1" s="1"/>
  <c r="BI1600" i="1" a="1"/>
  <c r="BI1600" i="1" s="1"/>
  <c r="BI1602" i="1" a="1"/>
  <c r="BI1602" i="1" s="1"/>
  <c r="BM1603" i="1" a="1"/>
  <c r="BM1603" i="1" s="1"/>
  <c r="BJ1603" i="1" s="1" a="1"/>
  <c r="BJ1603" i="1" s="1"/>
  <c r="BK1606" i="1"/>
  <c r="BI1607" i="1" a="1"/>
  <c r="BI1607" i="1" s="1"/>
  <c r="BN2044" i="1" a="1"/>
  <c r="BN2044" i="1" s="1"/>
  <c r="BM2347" i="1" a="1"/>
  <c r="BM2347" i="1" s="1"/>
  <c r="BJ2347" i="1" s="1" a="1"/>
  <c r="BJ2347" i="1" s="1"/>
  <c r="BM2348" i="1" a="1"/>
  <c r="BM2348" i="1" s="1"/>
  <c r="BJ2348" i="1" s="1" a="1"/>
  <c r="BJ2348" i="1" s="1"/>
  <c r="BM2350" i="1" a="1"/>
  <c r="BM2350" i="1" s="1"/>
  <c r="BJ2350" i="1" s="1" a="1"/>
  <c r="BJ2350" i="1" s="1"/>
  <c r="BM2351" i="1" a="1"/>
  <c r="BM2351" i="1" s="1"/>
  <c r="BJ2351" i="1" s="1" a="1"/>
  <c r="BJ2351" i="1" s="1"/>
  <c r="BM2359" i="1" a="1"/>
  <c r="BM2359" i="1" s="1"/>
  <c r="BJ2359" i="1" s="1" a="1"/>
  <c r="BJ2359" i="1" s="1"/>
  <c r="BK71" i="1"/>
  <c r="BK72" i="1"/>
  <c r="BM77" i="1" a="1"/>
  <c r="BM77" i="1" s="1"/>
  <c r="BJ77" i="1" s="1" a="1"/>
  <c r="BJ77" i="1" s="1"/>
  <c r="BK78" i="1"/>
  <c r="BL82" i="1" a="1"/>
  <c r="BL82" i="1" s="1"/>
  <c r="BM83" i="1" a="1"/>
  <c r="BM83" i="1" s="1"/>
  <c r="BJ83" i="1" s="1" a="1"/>
  <c r="BJ83" i="1" s="1"/>
  <c r="BM524" i="1" a="1"/>
  <c r="BM524" i="1" s="1"/>
  <c r="BJ524" i="1" s="1" a="1"/>
  <c r="BJ524" i="1" s="1"/>
  <c r="BM531" i="1" a="1"/>
  <c r="BM531" i="1" s="1"/>
  <c r="BJ531" i="1" s="1" a="1"/>
  <c r="BJ531" i="1" s="1"/>
  <c r="AT534" i="1"/>
  <c r="BK1601" i="1"/>
  <c r="BK1609" i="1"/>
  <c r="BM1611" i="1" a="1"/>
  <c r="BM1611" i="1" s="1"/>
  <c r="BJ1611" i="1" s="1" a="1"/>
  <c r="BJ1611" i="1" s="1"/>
  <c r="BK1615" i="1"/>
  <c r="AT1618" i="1"/>
  <c r="BK2039" i="1"/>
  <c r="BK2047" i="1"/>
  <c r="BM2341" i="1" a="1"/>
  <c r="BM2341" i="1" s="1"/>
  <c r="BJ2341" i="1" s="1" a="1"/>
  <c r="BJ2341" i="1" s="1"/>
  <c r="BL2355" i="1" a="1"/>
  <c r="BL2355" i="1" s="1"/>
  <c r="BN65" i="1" a="1"/>
  <c r="BN65" i="1" s="1"/>
  <c r="BM66" i="1" a="1"/>
  <c r="BM66" i="1" s="1"/>
  <c r="BJ66" i="1" s="1" a="1"/>
  <c r="BJ66" i="1" s="1"/>
  <c r="BN70" i="1" a="1"/>
  <c r="BN70" i="1" s="1"/>
  <c r="BM72" i="1" a="1"/>
  <c r="BM72" i="1" s="1"/>
  <c r="BJ72" i="1" s="1" a="1"/>
  <c r="BJ72" i="1" s="1"/>
  <c r="BM79" i="1" a="1"/>
  <c r="BM79" i="1" s="1"/>
  <c r="BJ79" i="1" s="1" a="1"/>
  <c r="BJ79" i="1" s="1"/>
  <c r="BI81" i="1" a="1"/>
  <c r="BI81" i="1" s="1"/>
  <c r="BM520" i="1" a="1"/>
  <c r="BM520" i="1" s="1"/>
  <c r="BJ520" i="1" s="1" a="1"/>
  <c r="BJ520" i="1" s="1"/>
  <c r="BM525" i="1" a="1"/>
  <c r="BM525" i="1" s="1"/>
  <c r="BJ525" i="1" s="1" a="1"/>
  <c r="BJ525" i="1" s="1"/>
  <c r="BK529" i="1"/>
  <c r="BN530" i="1" a="1"/>
  <c r="BN530" i="1" s="1"/>
  <c r="BM538" i="1" a="1"/>
  <c r="BM538" i="1" s="1"/>
  <c r="BJ538" i="1" s="1" a="1"/>
  <c r="BJ538" i="1" s="1"/>
  <c r="BI1603" i="1" a="1"/>
  <c r="BI1603" i="1" s="1"/>
  <c r="BL1606" i="1" a="1"/>
  <c r="BL1606" i="1" s="1"/>
  <c r="BM1612" i="1" a="1"/>
  <c r="BM1612" i="1" s="1"/>
  <c r="BJ1612" i="1" s="1" a="1"/>
  <c r="BJ1612" i="1" s="1"/>
  <c r="BM2041" i="1" a="1"/>
  <c r="BM2041" i="1" s="1"/>
  <c r="BJ2041" i="1" s="1" a="1"/>
  <c r="BJ2041" i="1" s="1"/>
  <c r="BM2043" i="1" a="1"/>
  <c r="BM2043" i="1" s="1"/>
  <c r="BJ2043" i="1" s="1" a="1"/>
  <c r="BJ2043" i="1" s="1"/>
  <c r="BK2045" i="1"/>
  <c r="BK2345" i="1"/>
  <c r="BK2353" i="1"/>
  <c r="BK2358" i="1"/>
  <c r="E2354" i="1" a="1"/>
  <c r="E2354" i="1" s="1"/>
  <c r="E2353" i="1" a="1"/>
  <c r="E2353" i="1" s="1"/>
  <c r="E2359" i="1" a="1"/>
  <c r="E2359" i="1" s="1"/>
  <c r="E2351" i="1" a="1"/>
  <c r="E2351" i="1" s="1"/>
  <c r="BL2351" i="1" a="1"/>
  <c r="BL2351" i="1" s="1"/>
  <c r="E2357" i="1" a="1"/>
  <c r="E2357" i="1" s="1"/>
  <c r="BL2357" i="1" a="1"/>
  <c r="BL2357" i="1" s="1"/>
  <c r="BK2354" i="1"/>
  <c r="E2350" i="1" a="1"/>
  <c r="E2350" i="1" s="1"/>
  <c r="BN2350" i="1" a="1"/>
  <c r="BN2350" i="1" s="1"/>
  <c r="BL2354" i="1" a="1"/>
  <c r="BL2354" i="1" s="1"/>
  <c r="BM2356" i="1" a="1"/>
  <c r="BM2356" i="1" s="1"/>
  <c r="BJ2356" i="1" s="1" a="1"/>
  <c r="BJ2356" i="1" s="1"/>
  <c r="BI2357" i="1" a="1"/>
  <c r="BI2357" i="1" s="1"/>
  <c r="E2358" i="1" a="1"/>
  <c r="E2358" i="1" s="1"/>
  <c r="BN2358" i="1" a="1"/>
  <c r="BN2358" i="1" s="1"/>
  <c r="BK2355" i="1"/>
  <c r="BM2358" i="1" a="1"/>
  <c r="BM2358" i="1" s="1"/>
  <c r="BJ2358" i="1" s="1" a="1"/>
  <c r="BJ2358" i="1" s="1"/>
  <c r="BK2352" i="1"/>
  <c r="BL2353" i="1" a="1"/>
  <c r="BL2353" i="1" s="1"/>
  <c r="BM2355" i="1" a="1"/>
  <c r="BM2355" i="1" s="1"/>
  <c r="BJ2355" i="1" s="1" a="1"/>
  <c r="BJ2355" i="1" s="1"/>
  <c r="BI2356" i="1" a="1"/>
  <c r="BI2356" i="1" s="1"/>
  <c r="BN2357" i="1" a="1"/>
  <c r="BN2357" i="1" s="1"/>
  <c r="BK2351" i="1"/>
  <c r="BL2352" i="1" a="1"/>
  <c r="BL2352" i="1" s="1"/>
  <c r="E2356" i="1" a="1"/>
  <c r="E2356" i="1" s="1"/>
  <c r="BM2353" i="1" a="1"/>
  <c r="BM2353" i="1" s="1"/>
  <c r="BJ2353" i="1" s="1" a="1"/>
  <c r="BJ2353" i="1" s="1"/>
  <c r="E2355" i="1" a="1"/>
  <c r="E2355" i="1" s="1"/>
  <c r="BL2359" i="1" a="1"/>
  <c r="BL2359" i="1" s="1"/>
  <c r="BM2357" i="1" a="1"/>
  <c r="BM2357" i="1" s="1"/>
  <c r="BJ2357" i="1" s="1" a="1"/>
  <c r="BJ2357" i="1" s="1"/>
  <c r="E2346" i="1" a="1"/>
  <c r="E2346" i="1" s="1"/>
  <c r="BK2339" i="1"/>
  <c r="BK2348" i="1"/>
  <c r="E2348" i="1" a="1"/>
  <c r="E2348" i="1" s="1"/>
  <c r="E2343" i="1" a="1"/>
  <c r="E2343" i="1" s="1"/>
  <c r="E2339" i="1" a="1"/>
  <c r="E2339" i="1" s="1"/>
  <c r="E2340" i="1" a="1"/>
  <c r="E2340" i="1" s="1"/>
  <c r="BK2346" i="1"/>
  <c r="E2342" i="1" a="1"/>
  <c r="E2342" i="1" s="1"/>
  <c r="BI2339" i="1" a="1"/>
  <c r="BI2339" i="1" s="1"/>
  <c r="BK2343" i="1"/>
  <c r="BM2346" i="1" a="1"/>
  <c r="BM2346" i="1" s="1"/>
  <c r="BJ2346" i="1" s="1" a="1"/>
  <c r="BJ2346" i="1" s="1"/>
  <c r="BI2347" i="1" a="1"/>
  <c r="BI2347" i="1" s="1"/>
  <c r="BN2339" i="1" a="1"/>
  <c r="BN2339" i="1" s="1"/>
  <c r="AT2340" i="1"/>
  <c r="BK2342" i="1"/>
  <c r="BM2345" i="1" a="1"/>
  <c r="BM2345" i="1" s="1"/>
  <c r="BJ2345" i="1" s="1" a="1"/>
  <c r="BJ2345" i="1" s="1"/>
  <c r="BI2346" i="1" a="1"/>
  <c r="BI2346" i="1" s="1"/>
  <c r="E2347" i="1" a="1"/>
  <c r="E2347" i="1" s="1"/>
  <c r="BN2347" i="1" a="1"/>
  <c r="BN2347" i="1" s="1"/>
  <c r="AT2348" i="1"/>
  <c r="AT2339" i="1"/>
  <c r="BK2341" i="1"/>
  <c r="BM2344" i="1" a="1"/>
  <c r="BM2344" i="1" s="1"/>
  <c r="BJ2344" i="1" s="1" a="1"/>
  <c r="BJ2344" i="1" s="1"/>
  <c r="BI2345" i="1" a="1"/>
  <c r="BI2345" i="1" s="1"/>
  <c r="BN2346" i="1" a="1"/>
  <c r="BN2346" i="1" s="1"/>
  <c r="AT2347" i="1"/>
  <c r="BK2340" i="1"/>
  <c r="BM2343" i="1" a="1"/>
  <c r="BM2343" i="1" s="1"/>
  <c r="BJ2343" i="1" s="1" a="1"/>
  <c r="BJ2343" i="1" s="1"/>
  <c r="BI2344" i="1" a="1"/>
  <c r="BI2344" i="1" s="1"/>
  <c r="E2345" i="1" a="1"/>
  <c r="E2345" i="1" s="1"/>
  <c r="AT2346" i="1"/>
  <c r="BI2343" i="1" a="1"/>
  <c r="BI2343" i="1" s="1"/>
  <c r="E2344" i="1" a="1"/>
  <c r="E2344" i="1" s="1"/>
  <c r="AT2345" i="1"/>
  <c r="BK2344" i="1"/>
  <c r="BI2342" i="1" a="1"/>
  <c r="BI2342" i="1" s="1"/>
  <c r="BL2040" i="1" a="1"/>
  <c r="BL2040" i="1" s="1"/>
  <c r="E2042" i="1" a="1"/>
  <c r="E2042" i="1" s="1"/>
  <c r="BL2046" i="1" a="1"/>
  <c r="BL2046" i="1" s="1"/>
  <c r="E2048" i="1" a="1"/>
  <c r="E2048" i="1" s="1"/>
  <c r="BL2048" i="1" a="1"/>
  <c r="BL2048" i="1" s="1"/>
  <c r="E2041" i="1" a="1"/>
  <c r="E2041" i="1" s="1"/>
  <c r="E2046" i="1" a="1"/>
  <c r="E2046" i="1" s="1"/>
  <c r="E2040" i="1" a="1"/>
  <c r="E2040" i="1" s="1"/>
  <c r="BM2039" i="1" a="1"/>
  <c r="BM2039" i="1" s="1"/>
  <c r="BJ2039" i="1" s="1" a="1"/>
  <c r="BJ2039" i="1" s="1"/>
  <c r="BK2044" i="1"/>
  <c r="BL2045" i="1" a="1"/>
  <c r="BL2045" i="1" s="1"/>
  <c r="BM2047" i="1" a="1"/>
  <c r="BM2047" i="1" s="1"/>
  <c r="BJ2047" i="1" s="1" a="1"/>
  <c r="BJ2047" i="1" s="1"/>
  <c r="BK2043" i="1"/>
  <c r="BN2039" i="1" a="1"/>
  <c r="BN2039" i="1" s="1"/>
  <c r="BK2042" i="1"/>
  <c r="BL2043" i="1" a="1"/>
  <c r="BL2043" i="1" s="1"/>
  <c r="BI2046" i="1" a="1"/>
  <c r="BI2046" i="1" s="1"/>
  <c r="BK2041" i="1"/>
  <c r="BL2042" i="1" a="1"/>
  <c r="BL2042" i="1" s="1"/>
  <c r="BI2045" i="1" a="1"/>
  <c r="BI2045" i="1" s="1"/>
  <c r="BN2046" i="1" a="1"/>
  <c r="BN2046" i="1" s="1"/>
  <c r="BK2040" i="1"/>
  <c r="BL2041" i="1" a="1"/>
  <c r="BL2041" i="1" s="1"/>
  <c r="BI2044" i="1" a="1"/>
  <c r="BI2044" i="1" s="1"/>
  <c r="E2045" i="1" a="1"/>
  <c r="E2045" i="1" s="1"/>
  <c r="E2044" i="1" a="1"/>
  <c r="E2044" i="1" s="1"/>
  <c r="BI2042" i="1" a="1"/>
  <c r="BI2042" i="1" s="1"/>
  <c r="BK1616" i="1"/>
  <c r="E1614" i="1" a="1"/>
  <c r="E1614" i="1" s="1"/>
  <c r="BK1610" i="1"/>
  <c r="E1610" i="1" a="1"/>
  <c r="E1610" i="1" s="1"/>
  <c r="E1616" i="1" a="1"/>
  <c r="E1616" i="1" s="1"/>
  <c r="E1618" i="1" a="1"/>
  <c r="E1618" i="1" s="1"/>
  <c r="E1612" i="1" a="1"/>
  <c r="E1612" i="1" s="1"/>
  <c r="E1611" i="1" a="1"/>
  <c r="E1611" i="1" s="1"/>
  <c r="BK1612" i="1"/>
  <c r="BM1609" i="1" a="1"/>
  <c r="BM1609" i="1" s="1"/>
  <c r="BJ1609" i="1" s="1" a="1"/>
  <c r="BJ1609" i="1" s="1"/>
  <c r="BN1611" i="1" a="1"/>
  <c r="BN1611" i="1" s="1"/>
  <c r="AT1612" i="1"/>
  <c r="BK1614" i="1"/>
  <c r="BM1617" i="1" a="1"/>
  <c r="BM1617" i="1" s="1"/>
  <c r="BJ1617" i="1" s="1" a="1"/>
  <c r="BJ1617" i="1" s="1"/>
  <c r="AT1609" i="1"/>
  <c r="BK1611" i="1"/>
  <c r="BM1614" i="1" a="1"/>
  <c r="BM1614" i="1" s="1"/>
  <c r="BJ1614" i="1" s="1" a="1"/>
  <c r="BJ1614" i="1" s="1"/>
  <c r="BI1615" i="1" a="1"/>
  <c r="BI1615" i="1" s="1"/>
  <c r="AT1617" i="1"/>
  <c r="BM1615" i="1" a="1"/>
  <c r="BM1615" i="1" s="1"/>
  <c r="BJ1615" i="1" s="1" a="1"/>
  <c r="BJ1615" i="1" s="1"/>
  <c r="BM1613" i="1" a="1"/>
  <c r="BM1613" i="1" s="1"/>
  <c r="BJ1613" i="1" s="1" a="1"/>
  <c r="BJ1613" i="1" s="1"/>
  <c r="BI1614" i="1" a="1"/>
  <c r="BI1614" i="1" s="1"/>
  <c r="E1615" i="1" a="1"/>
  <c r="E1615" i="1" s="1"/>
  <c r="AT1616" i="1"/>
  <c r="BI1616" i="1" a="1"/>
  <c r="BI1616" i="1" s="1"/>
  <c r="AT1615" i="1"/>
  <c r="BK1613" i="1"/>
  <c r="BI1612" i="1" a="1"/>
  <c r="BI1612" i="1" s="1"/>
  <c r="E1602" i="1" a="1"/>
  <c r="E1602" i="1" s="1"/>
  <c r="E1604" i="1" a="1"/>
  <c r="E1604" i="1" s="1"/>
  <c r="BL1604" i="1" a="1"/>
  <c r="BL1604" i="1" s="1"/>
  <c r="E1607" i="1" a="1"/>
  <c r="E1607" i="1" s="1"/>
  <c r="E1601" i="1" a="1"/>
  <c r="E1601" i="1" s="1"/>
  <c r="E1605" i="1" a="1"/>
  <c r="E1605" i="1" s="1"/>
  <c r="E1599" i="1" a="1"/>
  <c r="E1599" i="1" s="1"/>
  <c r="BL1599" i="1" a="1"/>
  <c r="BL1599" i="1" s="1"/>
  <c r="BL1605" i="1" a="1"/>
  <c r="BL1605" i="1" s="1"/>
  <c r="BI1598" i="1" a="1"/>
  <c r="BI1598" i="1" s="1"/>
  <c r="BK1602" i="1"/>
  <c r="BL1603" i="1" a="1"/>
  <c r="BL1603" i="1" s="1"/>
  <c r="BM1605" i="1" a="1"/>
  <c r="BM1605" i="1" s="1"/>
  <c r="BJ1605" i="1" s="1" a="1"/>
  <c r="BJ1605" i="1" s="1"/>
  <c r="BN1607" i="1" a="1"/>
  <c r="BN1607" i="1" s="1"/>
  <c r="BK1603" i="1"/>
  <c r="E1598" i="1" a="1"/>
  <c r="E1598" i="1" s="1"/>
  <c r="BN1598" i="1" a="1"/>
  <c r="BN1598" i="1" s="1"/>
  <c r="BL1602" i="1" a="1"/>
  <c r="BL1602" i="1" s="1"/>
  <c r="BM1604" i="1" a="1"/>
  <c r="BM1604" i="1" s="1"/>
  <c r="BJ1604" i="1" s="1" a="1"/>
  <c r="BJ1604" i="1" s="1"/>
  <c r="BI1605" i="1" a="1"/>
  <c r="BI1605" i="1" s="1"/>
  <c r="E1606" i="1" a="1"/>
  <c r="E1606" i="1" s="1"/>
  <c r="BN1606" i="1" a="1"/>
  <c r="BN1606" i="1" s="1"/>
  <c r="BK1600" i="1"/>
  <c r="BL1601" i="1" a="1"/>
  <c r="BL1601" i="1" s="1"/>
  <c r="BI1604" i="1" a="1"/>
  <c r="BI1604" i="1" s="1"/>
  <c r="BN1605" i="1" a="1"/>
  <c r="BN1605" i="1" s="1"/>
  <c r="BK1599" i="1"/>
  <c r="BL1600" i="1" a="1"/>
  <c r="BL1600" i="1" s="1"/>
  <c r="BK1607" i="1"/>
  <c r="E1603" i="1" a="1"/>
  <c r="E1603" i="1" s="1"/>
  <c r="BI1601" i="1" a="1"/>
  <c r="BI1601" i="1" s="1"/>
  <c r="E532" i="1" a="1"/>
  <c r="E532" i="1" s="1"/>
  <c r="E535" i="1" a="1"/>
  <c r="E535" i="1" s="1"/>
  <c r="E538" i="1" a="1"/>
  <c r="E538" i="1" s="1"/>
  <c r="E536" i="1" a="1"/>
  <c r="E536" i="1" s="1"/>
  <c r="E531" i="1" a="1"/>
  <c r="E531" i="1" s="1"/>
  <c r="BK532" i="1"/>
  <c r="BK538" i="1"/>
  <c r="BK535" i="1"/>
  <c r="BK536" i="1"/>
  <c r="BM529" i="1" a="1"/>
  <c r="BM529" i="1" s="1"/>
  <c r="BJ529" i="1" s="1" a="1"/>
  <c r="BJ529" i="1" s="1"/>
  <c r="BN531" i="1" a="1"/>
  <c r="BN531" i="1" s="1"/>
  <c r="AT532" i="1"/>
  <c r="BK534" i="1"/>
  <c r="BM537" i="1" a="1"/>
  <c r="BM537" i="1" s="1"/>
  <c r="BJ537" i="1" s="1" a="1"/>
  <c r="BJ537" i="1" s="1"/>
  <c r="BI538" i="1" a="1"/>
  <c r="BI538" i="1" s="1"/>
  <c r="BK533" i="1"/>
  <c r="E529" i="1" a="1"/>
  <c r="E529" i="1" s="1"/>
  <c r="AT530" i="1"/>
  <c r="BM535" i="1" a="1"/>
  <c r="BM535" i="1" s="1"/>
  <c r="BJ535" i="1" s="1" a="1"/>
  <c r="BJ535" i="1" s="1"/>
  <c r="BI536" i="1" a="1"/>
  <c r="BI536" i="1" s="1"/>
  <c r="E537" i="1" a="1"/>
  <c r="E537" i="1" s="1"/>
  <c r="BN537" i="1" a="1"/>
  <c r="BN537" i="1" s="1"/>
  <c r="AT538" i="1"/>
  <c r="AT529" i="1"/>
  <c r="BK531" i="1"/>
  <c r="BM534" i="1" a="1"/>
  <c r="BM534" i="1" s="1"/>
  <c r="BJ534" i="1" s="1" a="1"/>
  <c r="BJ534" i="1" s="1"/>
  <c r="BI535" i="1" a="1"/>
  <c r="BI535" i="1" s="1"/>
  <c r="BN536" i="1" a="1"/>
  <c r="BN536" i="1" s="1"/>
  <c r="AT537" i="1"/>
  <c r="BK530" i="1"/>
  <c r="BM533" i="1" a="1"/>
  <c r="BM533" i="1" s="1"/>
  <c r="BJ533" i="1" s="1" a="1"/>
  <c r="BJ533" i="1" s="1"/>
  <c r="BI534" i="1" a="1"/>
  <c r="BI534" i="1" s="1"/>
  <c r="BN535" i="1" a="1"/>
  <c r="BN535" i="1" s="1"/>
  <c r="AT536" i="1"/>
  <c r="BM532" i="1" a="1"/>
  <c r="BM532" i="1" s="1"/>
  <c r="BJ532" i="1" s="1" a="1"/>
  <c r="BJ532" i="1" s="1"/>
  <c r="BM526" i="1" a="1"/>
  <c r="BM526" i="1" s="1"/>
  <c r="BJ526" i="1" s="1" a="1"/>
  <c r="BJ526" i="1" s="1"/>
  <c r="BI518" i="1" a="1"/>
  <c r="BI518" i="1" s="1"/>
  <c r="BK520" i="1"/>
  <c r="BI522" i="1" a="1"/>
  <c r="BI522" i="1" s="1"/>
  <c r="BK524" i="1"/>
  <c r="BI526" i="1" a="1"/>
  <c r="BI526" i="1" s="1"/>
  <c r="BK521" i="1"/>
  <c r="BK525" i="1"/>
  <c r="BI521" i="1" a="1"/>
  <c r="BI521" i="1" s="1"/>
  <c r="BK523" i="1"/>
  <c r="BI525" i="1" a="1"/>
  <c r="BI525" i="1" s="1"/>
  <c r="BN518" i="1" a="1"/>
  <c r="BN518" i="1" s="1"/>
  <c r="BM522" i="1" a="1"/>
  <c r="BM522" i="1" s="1"/>
  <c r="BJ522" i="1" s="1" a="1"/>
  <c r="BJ522" i="1" s="1"/>
  <c r="BN526" i="1" a="1"/>
  <c r="BN526" i="1" s="1"/>
  <c r="BI524" i="1" a="1"/>
  <c r="BI524" i="1" s="1"/>
  <c r="BM518" i="1" a="1"/>
  <c r="BM518" i="1" s="1"/>
  <c r="BJ518" i="1" s="1" a="1"/>
  <c r="BJ518" i="1" s="1"/>
  <c r="BN522" i="1" a="1"/>
  <c r="BN522" i="1" s="1"/>
  <c r="BL76" i="1" a="1"/>
  <c r="BL76" i="1" s="1"/>
  <c r="BL78" i="1" a="1"/>
  <c r="BL78" i="1" s="1"/>
  <c r="BL80" i="1" a="1"/>
  <c r="BL80" i="1" s="1"/>
  <c r="BK77" i="1"/>
  <c r="BM74" i="1" a="1"/>
  <c r="BM74" i="1" s="1"/>
  <c r="BJ74" i="1" s="1" a="1"/>
  <c r="BJ74" i="1" s="1"/>
  <c r="BL77" i="1" a="1"/>
  <c r="BL77" i="1" s="1"/>
  <c r="BM78" i="1" a="1"/>
  <c r="BM78" i="1" s="1"/>
  <c r="BJ78" i="1" s="1" a="1"/>
  <c r="BJ78" i="1" s="1"/>
  <c r="BL81" i="1" a="1"/>
  <c r="BL81" i="1" s="1"/>
  <c r="BM82" i="1" a="1"/>
  <c r="BM82" i="1" s="1"/>
  <c r="BJ82" i="1" s="1" a="1"/>
  <c r="BJ82" i="1" s="1"/>
  <c r="BI74" i="1" a="1"/>
  <c r="BI74" i="1" s="1"/>
  <c r="BK76" i="1"/>
  <c r="BI78" i="1" a="1"/>
  <c r="BI78" i="1" s="1"/>
  <c r="BI82" i="1" a="1"/>
  <c r="BI82" i="1" s="1"/>
  <c r="BN74" i="1" a="1"/>
  <c r="BN74" i="1" s="1"/>
  <c r="BK75" i="1"/>
  <c r="BK79" i="1"/>
  <c r="BK81" i="1"/>
  <c r="BN78" i="1" a="1"/>
  <c r="BN78" i="1" s="1"/>
  <c r="BN82" i="1" a="1"/>
  <c r="BN82" i="1" s="1"/>
  <c r="BI76" i="1" a="1"/>
  <c r="BI76" i="1" s="1"/>
  <c r="BI80" i="1" a="1"/>
  <c r="BI80" i="1" s="1"/>
  <c r="BK63" i="1"/>
  <c r="BK66" i="1"/>
  <c r="BM63" i="1" a="1"/>
  <c r="BM63" i="1" s="1"/>
  <c r="BJ63" i="1" s="1" a="1"/>
  <c r="BJ63" i="1" s="1"/>
  <c r="BM67" i="1" a="1"/>
  <c r="BM67" i="1" s="1"/>
  <c r="BJ67" i="1" s="1" a="1"/>
  <c r="BJ67" i="1" s="1"/>
  <c r="BM71" i="1" a="1"/>
  <c r="BM71" i="1" s="1"/>
  <c r="BJ71" i="1" s="1" a="1"/>
  <c r="BJ71" i="1" s="1"/>
  <c r="BI63" i="1" a="1"/>
  <c r="BI63" i="1" s="1"/>
  <c r="BK65" i="1"/>
  <c r="BI67" i="1" a="1"/>
  <c r="BI67" i="1" s="1"/>
  <c r="BK69" i="1"/>
  <c r="BI71" i="1" a="1"/>
  <c r="BI71" i="1" s="1"/>
  <c r="BN63" i="1" a="1"/>
  <c r="BN63" i="1" s="1"/>
  <c r="BN67" i="1" a="1"/>
  <c r="BN67" i="1" s="1"/>
  <c r="BM70" i="1" a="1"/>
  <c r="BM70" i="1" s="1"/>
  <c r="BJ70" i="1" s="1" a="1"/>
  <c r="BJ70" i="1" s="1"/>
  <c r="BN71" i="1" a="1"/>
  <c r="BN71" i="1" s="1"/>
  <c r="BK64" i="1"/>
  <c r="BI66" i="1" a="1"/>
  <c r="BI66" i="1" s="1"/>
  <c r="BK68" i="1"/>
  <c r="BI70" i="1" a="1"/>
  <c r="BI70" i="1" s="1"/>
  <c r="BL2349" i="1" a="1"/>
  <c r="BL2349" i="1" s="1"/>
  <c r="BI2349" i="1" a="1"/>
  <c r="BI2349" i="1" s="1"/>
  <c r="BK2349" i="1"/>
  <c r="BN582" i="1" a="1"/>
  <c r="BN582" i="1" s="1"/>
  <c r="BN578" i="1" a="1"/>
  <c r="BN578" i="1" s="1"/>
  <c r="BK627" i="1"/>
  <c r="BI668" i="1" a="1"/>
  <c r="BI668" i="1" s="1"/>
  <c r="BN575" i="1" a="1"/>
  <c r="BN575" i="1" s="1"/>
  <c r="BK656" i="1"/>
  <c r="BK590" i="1"/>
  <c r="BK597" i="1"/>
  <c r="BL563" i="1" a="1"/>
  <c r="BL563" i="1" s="1"/>
  <c r="BK589" i="1"/>
  <c r="BK623" i="1"/>
  <c r="BI571" i="1" a="1"/>
  <c r="BI571" i="1" s="1"/>
  <c r="BK586" i="1"/>
  <c r="BK603" i="1"/>
  <c r="BK632" i="1"/>
  <c r="BK633" i="1"/>
  <c r="BK659" i="1"/>
  <c r="BN572" i="1" a="1"/>
  <c r="BN572" i="1" s="1"/>
  <c r="BI565" i="1" a="1"/>
  <c r="BI565" i="1" s="1"/>
  <c r="BN574" i="1" a="1"/>
  <c r="BN574" i="1" s="1"/>
  <c r="BN567" i="1" a="1"/>
  <c r="BN567" i="1" s="1"/>
  <c r="BK571" i="1"/>
  <c r="BM577" i="1" a="1"/>
  <c r="BM577" i="1" s="1"/>
  <c r="BJ577" i="1" s="1" a="1"/>
  <c r="BJ577" i="1" s="1"/>
  <c r="BK598" i="1"/>
  <c r="BL600" i="1" a="1"/>
  <c r="BL600" i="1" s="1"/>
  <c r="BL620" i="1" a="1"/>
  <c r="BL620" i="1" s="1"/>
  <c r="BK629" i="1"/>
  <c r="BL619" i="1" a="1"/>
  <c r="BL619" i="1" s="1"/>
  <c r="BN564" i="1" a="1"/>
  <c r="BN564" i="1" s="1"/>
  <c r="BN581" i="1" a="1"/>
  <c r="BN581" i="1" s="1"/>
  <c r="BK585" i="1"/>
  <c r="BK605" i="1"/>
  <c r="BK637" i="1"/>
  <c r="BK655" i="1"/>
  <c r="BL627" i="1" a="1"/>
  <c r="BL627" i="1" s="1"/>
  <c r="BK622" i="1"/>
  <c r="BK660" i="1"/>
  <c r="BK575" i="1"/>
  <c r="AT583" i="1"/>
  <c r="BK593" i="1"/>
  <c r="BK601" i="1"/>
  <c r="BK652" i="1"/>
  <c r="BK570" i="1"/>
  <c r="BI578" i="1" a="1"/>
  <c r="BI578" i="1" s="1"/>
  <c r="AT579" i="1"/>
  <c r="BK591" i="1"/>
  <c r="BL623" i="1" a="1"/>
  <c r="BL623" i="1" s="1"/>
  <c r="BK631" i="1"/>
  <c r="BK651" i="1"/>
  <c r="BI574" i="1" a="1"/>
  <c r="BI574" i="1" s="1"/>
  <c r="AT576" i="1"/>
  <c r="BN579" i="1" a="1"/>
  <c r="BN579" i="1" s="1"/>
  <c r="BK619" i="1"/>
  <c r="BK630" i="1"/>
  <c r="BK648" i="1"/>
  <c r="BM566" i="1" a="1"/>
  <c r="BM566" i="1" s="1"/>
  <c r="BJ566" i="1" s="1" a="1"/>
  <c r="BJ566" i="1" s="1"/>
  <c r="BN568" i="1" a="1"/>
  <c r="BN568" i="1" s="1"/>
  <c r="BK569" i="1"/>
  <c r="BL572" i="1" a="1"/>
  <c r="BL572" i="1" s="1"/>
  <c r="BM575" i="1" a="1"/>
  <c r="BM575" i="1" s="1"/>
  <c r="BJ575" i="1" s="1" a="1"/>
  <c r="BJ575" i="1" s="1"/>
  <c r="BM583" i="1" a="1"/>
  <c r="BM583" i="1" s="1"/>
  <c r="BJ583" i="1" s="1" a="1"/>
  <c r="BJ583" i="1" s="1"/>
  <c r="BK596" i="1"/>
  <c r="BL599" i="1" a="1"/>
  <c r="BL599" i="1" s="1"/>
  <c r="BK609" i="1"/>
  <c r="BK610" i="1"/>
  <c r="BL635" i="1" a="1"/>
  <c r="BL635" i="1" s="1"/>
  <c r="BK641" i="1"/>
  <c r="BK642" i="1"/>
  <c r="BK645" i="1"/>
  <c r="BM564" i="1" a="1"/>
  <c r="BM564" i="1" s="1"/>
  <c r="BJ564" i="1" s="1" a="1"/>
  <c r="BJ564" i="1" s="1"/>
  <c r="BN565" i="1" a="1"/>
  <c r="BN565" i="1" s="1"/>
  <c r="BM569" i="1" a="1"/>
  <c r="BM569" i="1" s="1"/>
  <c r="BJ569" i="1" s="1" a="1"/>
  <c r="BJ569" i="1" s="1"/>
  <c r="BL571" i="1" a="1"/>
  <c r="BL571" i="1" s="1"/>
  <c r="BI572" i="1" a="1"/>
  <c r="BI572" i="1" s="1"/>
  <c r="BI575" i="1" a="1"/>
  <c r="BI575" i="1" s="1"/>
  <c r="BK582" i="1"/>
  <c r="BN583" i="1" a="1"/>
  <c r="BN583" i="1" s="1"/>
  <c r="BL631" i="1" a="1"/>
  <c r="BL631" i="1" s="1"/>
  <c r="BK646" i="1"/>
  <c r="BL564" i="1" a="1"/>
  <c r="BL564" i="1" s="1"/>
  <c r="BN566" i="1" a="1"/>
  <c r="BN566" i="1" s="1"/>
  <c r="BK567" i="1"/>
  <c r="BN569" i="1" a="1"/>
  <c r="BN569" i="1" s="1"/>
  <c r="BM579" i="1" a="1"/>
  <c r="BM579" i="1" s="1"/>
  <c r="BJ579" i="1" s="1" a="1"/>
  <c r="BJ579" i="1" s="1"/>
  <c r="BK592" i="1"/>
  <c r="BL596" i="1" a="1"/>
  <c r="BL596" i="1" s="1"/>
  <c r="BK604" i="1"/>
  <c r="BK607" i="1"/>
  <c r="BM571" i="1" a="1"/>
  <c r="BM571" i="1" s="1"/>
  <c r="BJ571" i="1" s="1" a="1"/>
  <c r="BJ571" i="1" s="1"/>
  <c r="BK574" i="1"/>
  <c r="BL658" i="1" a="1"/>
  <c r="BL658" i="1" s="1"/>
  <c r="BK563" i="1"/>
  <c r="BL569" i="1" a="1"/>
  <c r="BL569" i="1" s="1"/>
  <c r="BK580" i="1"/>
  <c r="BK588" i="1"/>
  <c r="BL592" i="1" a="1"/>
  <c r="BL592" i="1" s="1"/>
  <c r="BK602" i="1"/>
  <c r="BK618" i="1"/>
  <c r="BK657" i="1"/>
  <c r="BI564" i="1" a="1"/>
  <c r="BI564" i="1" s="1"/>
  <c r="BK565" i="1"/>
  <c r="BI567" i="1" a="1"/>
  <c r="BI567" i="1" s="1"/>
  <c r="BL570" i="1" a="1"/>
  <c r="BL570" i="1" s="1"/>
  <c r="BM572" i="1" a="1"/>
  <c r="BM572" i="1" s="1"/>
  <c r="BJ572" i="1" s="1" a="1"/>
  <c r="BJ572" i="1" s="1"/>
  <c r="AT575" i="1"/>
  <c r="BK581" i="1"/>
  <c r="BI582" i="1" a="1"/>
  <c r="BI582" i="1" s="1"/>
  <c r="BK583" i="1"/>
  <c r="BK587" i="1"/>
  <c r="BL589" i="1" a="1"/>
  <c r="BL589" i="1" s="1"/>
  <c r="BL590" i="1" a="1"/>
  <c r="BL590" i="1" s="1"/>
  <c r="BL591" i="1" a="1"/>
  <c r="BL591" i="1" s="1"/>
  <c r="BK600" i="1"/>
  <c r="BK620" i="1"/>
  <c r="BK621" i="1"/>
  <c r="BK626" i="1"/>
  <c r="BK638" i="1"/>
  <c r="BL654" i="1" a="1"/>
  <c r="BL654" i="1" s="1"/>
  <c r="BK649" i="1"/>
  <c r="BM565" i="1" a="1"/>
  <c r="BM565" i="1" s="1"/>
  <c r="BJ565" i="1" s="1" a="1"/>
  <c r="BJ565" i="1" s="1"/>
  <c r="BK568" i="1"/>
  <c r="BN577" i="1" a="1"/>
  <c r="BN577" i="1" s="1"/>
  <c r="AT578" i="1"/>
  <c r="BM580" i="1" a="1"/>
  <c r="BM580" i="1" s="1"/>
  <c r="BJ580" i="1" s="1" a="1"/>
  <c r="BJ580" i="1" s="1"/>
  <c r="BL588" i="1" a="1"/>
  <c r="BL588" i="1" s="1"/>
  <c r="BK599" i="1"/>
  <c r="BL602" i="1" a="1"/>
  <c r="BL602" i="1" s="1"/>
  <c r="BK613" i="1"/>
  <c r="BK614" i="1"/>
  <c r="BK624" i="1"/>
  <c r="BK625" i="1"/>
  <c r="BK634" i="1"/>
  <c r="BK635" i="1"/>
  <c r="BK636" i="1"/>
  <c r="BK647" i="1"/>
  <c r="BK653" i="1"/>
  <c r="BL655" i="1" a="1"/>
  <c r="BL655" i="1" s="1"/>
  <c r="BL656" i="1" a="1"/>
  <c r="BL656" i="1" s="1"/>
  <c r="BL657" i="1" a="1"/>
  <c r="BL657" i="1" s="1"/>
  <c r="BL651" i="1" a="1"/>
  <c r="BL651" i="1" s="1"/>
  <c r="BL652" i="1" a="1"/>
  <c r="BL652" i="1" s="1"/>
  <c r="BL653" i="1" a="1"/>
  <c r="BL653" i="1" s="1"/>
  <c r="BL659" i="1" a="1"/>
  <c r="BL659" i="1" s="1"/>
  <c r="BL660" i="1" a="1"/>
  <c r="BL660" i="1" s="1"/>
  <c r="BK654" i="1"/>
  <c r="BK658" i="1"/>
  <c r="BK640" i="1"/>
  <c r="BK643" i="1"/>
  <c r="BK644" i="1"/>
  <c r="BL638" i="1" a="1"/>
  <c r="BL638" i="1" s="1"/>
  <c r="BL629" i="1" a="1"/>
  <c r="BL629" i="1" s="1"/>
  <c r="BL632" i="1" a="1"/>
  <c r="BL632" i="1" s="1"/>
  <c r="BL633" i="1" a="1"/>
  <c r="BL633" i="1" s="1"/>
  <c r="BL636" i="1" a="1"/>
  <c r="BL636" i="1" s="1"/>
  <c r="BL637" i="1" a="1"/>
  <c r="BL637" i="1" s="1"/>
  <c r="BL630" i="1" a="1"/>
  <c r="BL630" i="1" s="1"/>
  <c r="BL634" i="1" a="1"/>
  <c r="BL634" i="1" s="1"/>
  <c r="BL621" i="1" a="1"/>
  <c r="BL621" i="1" s="1"/>
  <c r="BL618" i="1" a="1"/>
  <c r="BL618" i="1" s="1"/>
  <c r="BL622" i="1" a="1"/>
  <c r="BL622" i="1" s="1"/>
  <c r="BL624" i="1" a="1"/>
  <c r="BL624" i="1" s="1"/>
  <c r="BL625" i="1" a="1"/>
  <c r="BL625" i="1" s="1"/>
  <c r="BL626" i="1" a="1"/>
  <c r="BL626" i="1" s="1"/>
  <c r="BK612" i="1"/>
  <c r="BK616" i="1"/>
  <c r="BK608" i="1"/>
  <c r="BK615" i="1"/>
  <c r="BK611" i="1"/>
  <c r="BL605" i="1" a="1"/>
  <c r="BL605" i="1" s="1"/>
  <c r="BL598" i="1" a="1"/>
  <c r="BL598" i="1" s="1"/>
  <c r="BL601" i="1" a="1"/>
  <c r="BL601" i="1" s="1"/>
  <c r="BL604" i="1" a="1"/>
  <c r="BL604" i="1" s="1"/>
  <c r="BL597" i="1" a="1"/>
  <c r="BL597" i="1" s="1"/>
  <c r="BL603" i="1" a="1"/>
  <c r="BL603" i="1" s="1"/>
  <c r="BL585" i="1" a="1"/>
  <c r="BL585" i="1" s="1"/>
  <c r="BL586" i="1" a="1"/>
  <c r="BL586" i="1" s="1"/>
  <c r="BL587" i="1" a="1"/>
  <c r="BL587" i="1" s="1"/>
  <c r="BL593" i="1" a="1"/>
  <c r="BL593" i="1" s="1"/>
  <c r="BL594" i="1" a="1"/>
  <c r="BL594" i="1" s="1"/>
  <c r="BK594" i="1"/>
  <c r="E579" i="1" a="1"/>
  <c r="E579" i="1" s="1"/>
  <c r="E576" i="1" a="1"/>
  <c r="E576" i="1" s="1"/>
  <c r="E577" i="1" a="1"/>
  <c r="E577" i="1" s="1"/>
  <c r="E575" i="1" a="1"/>
  <c r="E575" i="1" s="1"/>
  <c r="E583" i="1" a="1"/>
  <c r="E583" i="1" s="1"/>
  <c r="E581" i="1" a="1"/>
  <c r="E581" i="1" s="1"/>
  <c r="BK576" i="1"/>
  <c r="BM581" i="1" a="1"/>
  <c r="BM581" i="1" s="1"/>
  <c r="BJ581" i="1" s="1" a="1"/>
  <c r="BJ581" i="1" s="1"/>
  <c r="BM574" i="1" a="1"/>
  <c r="BM574" i="1" s="1"/>
  <c r="BJ574" i="1" s="1" a="1"/>
  <c r="BJ574" i="1" s="1"/>
  <c r="BN576" i="1" a="1"/>
  <c r="BN576" i="1" s="1"/>
  <c r="AT577" i="1"/>
  <c r="BK579" i="1"/>
  <c r="BM582" i="1" a="1"/>
  <c r="BM582" i="1" s="1"/>
  <c r="BJ582" i="1" s="1" a="1"/>
  <c r="BJ582" i="1" s="1"/>
  <c r="BI583" i="1" a="1"/>
  <c r="BI583" i="1" s="1"/>
  <c r="BK577" i="1"/>
  <c r="BI581" i="1" a="1"/>
  <c r="BI581" i="1" s="1"/>
  <c r="AT574" i="1"/>
  <c r="BI580" i="1" a="1"/>
  <c r="BI580" i="1" s="1"/>
  <c r="AT582" i="1"/>
  <c r="BM578" i="1" a="1"/>
  <c r="BM578" i="1" s="1"/>
  <c r="BJ578" i="1" s="1" a="1"/>
  <c r="BJ578" i="1" s="1"/>
  <c r="BI579" i="1" a="1"/>
  <c r="BI579" i="1" s="1"/>
  <c r="E580" i="1" a="1"/>
  <c r="E580" i="1" s="1"/>
  <c r="BN580" i="1" a="1"/>
  <c r="BN580" i="1" s="1"/>
  <c r="AT581" i="1"/>
  <c r="AT580" i="1"/>
  <c r="BK578" i="1"/>
  <c r="BM576" i="1" a="1"/>
  <c r="BM576" i="1" s="1"/>
  <c r="BJ576" i="1" s="1" a="1"/>
  <c r="BJ576" i="1" s="1"/>
  <c r="BI577" i="1" a="1"/>
  <c r="BI577" i="1" s="1"/>
  <c r="E567" i="1" a="1"/>
  <c r="E567" i="1" s="1"/>
  <c r="E565" i="1" a="1"/>
  <c r="E565" i="1" s="1"/>
  <c r="E566" i="1" a="1"/>
  <c r="E566" i="1" s="1"/>
  <c r="E570" i="1" a="1"/>
  <c r="E570" i="1" s="1"/>
  <c r="E569" i="1" a="1"/>
  <c r="E569" i="1" s="1"/>
  <c r="BM563" i="1" a="1"/>
  <c r="BM563" i="1" s="1"/>
  <c r="BJ563" i="1" s="1" a="1"/>
  <c r="BJ563" i="1" s="1"/>
  <c r="BM570" i="1" a="1"/>
  <c r="BM570" i="1" s="1"/>
  <c r="BJ570" i="1" s="1" a="1"/>
  <c r="BJ570" i="1" s="1"/>
  <c r="BN563" i="1" a="1"/>
  <c r="BN563" i="1" s="1"/>
  <c r="BK566" i="1"/>
  <c r="BL567" i="1" a="1"/>
  <c r="BL567" i="1" s="1"/>
  <c r="BI570" i="1" a="1"/>
  <c r="BI570" i="1" s="1"/>
  <c r="BN571" i="1" a="1"/>
  <c r="BN571" i="1" s="1"/>
  <c r="BL566" i="1" a="1"/>
  <c r="BL566" i="1" s="1"/>
  <c r="BM568" i="1" a="1"/>
  <c r="BM568" i="1" s="1"/>
  <c r="BJ568" i="1" s="1" a="1"/>
  <c r="BJ568" i="1" s="1"/>
  <c r="BI569" i="1" a="1"/>
  <c r="BI569" i="1" s="1"/>
  <c r="BN570" i="1" a="1"/>
  <c r="BN570" i="1" s="1"/>
  <c r="BL568" i="1" a="1"/>
  <c r="BL568" i="1" s="1"/>
  <c r="BK564" i="1"/>
  <c r="BL565" i="1" a="1"/>
  <c r="BL565" i="1" s="1"/>
  <c r="BM567" i="1" a="1"/>
  <c r="BM567" i="1" s="1"/>
  <c r="BJ567" i="1" s="1" a="1"/>
  <c r="BJ567" i="1" s="1"/>
  <c r="BI568" i="1" a="1"/>
  <c r="BI568" i="1" s="1"/>
  <c r="BK572" i="1"/>
  <c r="E568" i="1" a="1"/>
  <c r="E568" i="1" s="1"/>
  <c r="BI563" i="1" a="1"/>
  <c r="BI563" i="1" s="1"/>
  <c r="BI566" i="1" a="1"/>
  <c r="BI566" i="1" s="1"/>
  <c r="BK650" i="1"/>
  <c r="BL650" i="1" a="1"/>
  <c r="BL650" i="1" s="1"/>
  <c r="AS765" i="1"/>
  <c r="AS769" i="1"/>
  <c r="BI743" i="1" a="1"/>
  <c r="BI743" i="1" s="1"/>
  <c r="BN747" i="1" a="1"/>
  <c r="BN747" i="1" s="1"/>
  <c r="BN667" i="1" a="1"/>
  <c r="BN667" i="1" s="1"/>
  <c r="BN893" i="1" a="1"/>
  <c r="BN893" i="1" s="1"/>
  <c r="BI833" i="1" a="1"/>
  <c r="BI833" i="1" s="1"/>
  <c r="BI834" i="1" a="1"/>
  <c r="BI834" i="1" s="1"/>
  <c r="BN790" i="1" a="1"/>
  <c r="BN790" i="1" s="1"/>
  <c r="BI802" i="1" a="1"/>
  <c r="BI802" i="1" s="1"/>
  <c r="BI685" i="1" a="1"/>
  <c r="BI685" i="1" s="1"/>
  <c r="BN795" i="1" a="1"/>
  <c r="BN795" i="1" s="1"/>
  <c r="BN682" i="1" a="1"/>
  <c r="BN682" i="1" s="1"/>
  <c r="BN722" i="1" a="1"/>
  <c r="BN722" i="1" s="1"/>
  <c r="BN830" i="1" a="1"/>
  <c r="BN830" i="1" s="1"/>
  <c r="BL844" i="1" a="1"/>
  <c r="BL844" i="1" s="1"/>
  <c r="BI692" i="1" a="1"/>
  <c r="BI692" i="1" s="1"/>
  <c r="BI682" i="1" a="1"/>
  <c r="BI682" i="1" s="1"/>
  <c r="BI750" i="1" a="1"/>
  <c r="BI750" i="1" s="1"/>
  <c r="BI754" i="1" a="1"/>
  <c r="BI754" i="1" s="1"/>
  <c r="BN829" i="1" a="1"/>
  <c r="BN829" i="1" s="1"/>
  <c r="BM831" i="1" a="1"/>
  <c r="BM831" i="1" s="1"/>
  <c r="BJ831" i="1" s="1" a="1"/>
  <c r="BJ831" i="1" s="1"/>
  <c r="BN759" i="1" a="1"/>
  <c r="BN759" i="1" s="1"/>
  <c r="BI797" i="1" a="1"/>
  <c r="BI797" i="1" s="1"/>
  <c r="AT832" i="1"/>
  <c r="AT836" i="1"/>
  <c r="BK834" i="1"/>
  <c r="BN784" i="1" a="1"/>
  <c r="BN784" i="1" s="1"/>
  <c r="BI710" i="1" a="1"/>
  <c r="BI710" i="1" s="1"/>
  <c r="BI721" i="1" a="1"/>
  <c r="BI721" i="1" s="1"/>
  <c r="BN745" i="1" a="1"/>
  <c r="BN745" i="1" s="1"/>
  <c r="BM746" i="1" a="1"/>
  <c r="BM746" i="1" s="1"/>
  <c r="BJ746" i="1" s="1" a="1"/>
  <c r="BJ746" i="1" s="1"/>
  <c r="BN833" i="1" a="1"/>
  <c r="BN833" i="1" s="1"/>
  <c r="BI758" i="1" a="1"/>
  <c r="BI758" i="1" s="1"/>
  <c r="BI826" i="1" a="1"/>
  <c r="BI826" i="1" s="1"/>
  <c r="BI737" i="1" a="1"/>
  <c r="BI737" i="1" s="1"/>
  <c r="BN746" i="1" a="1"/>
  <c r="BN746" i="1" s="1"/>
  <c r="BN751" i="1" a="1"/>
  <c r="BN751" i="1" s="1"/>
  <c r="BN773" i="1" a="1"/>
  <c r="BN773" i="1" s="1"/>
  <c r="BI830" i="1" a="1"/>
  <c r="BI830" i="1" s="1"/>
  <c r="BN664" i="1" a="1"/>
  <c r="BN664" i="1" s="1"/>
  <c r="BN679" i="1" a="1"/>
  <c r="BN679" i="1" s="1"/>
  <c r="BN769" i="1" a="1"/>
  <c r="BN769" i="1" s="1"/>
  <c r="BM827" i="1" a="1"/>
  <c r="BM827" i="1" s="1"/>
  <c r="BJ827" i="1" s="1" a="1"/>
  <c r="BJ827" i="1" s="1"/>
  <c r="BN835" i="1" a="1"/>
  <c r="BN835" i="1" s="1"/>
  <c r="BN743" i="1" a="1"/>
  <c r="BN743" i="1" s="1"/>
  <c r="BM829" i="1" a="1"/>
  <c r="BM829" i="1" s="1"/>
  <c r="BJ829" i="1" s="1" a="1"/>
  <c r="BJ829" i="1" s="1"/>
  <c r="BK688" i="1"/>
  <c r="BN726" i="1" a="1"/>
  <c r="BN726" i="1" s="1"/>
  <c r="BI775" i="1" a="1"/>
  <c r="BI775" i="1" s="1"/>
  <c r="BN776" i="1" a="1"/>
  <c r="BN776" i="1" s="1"/>
  <c r="BN787" i="1" a="1"/>
  <c r="BN787" i="1" s="1"/>
  <c r="BN791" i="1" a="1"/>
  <c r="BN791" i="1" s="1"/>
  <c r="BM823" i="1" a="1"/>
  <c r="BM823" i="1" s="1"/>
  <c r="BJ823" i="1" s="1" a="1"/>
  <c r="BJ823" i="1" s="1"/>
  <c r="AT828" i="1"/>
  <c r="BI832" i="1" a="1"/>
  <c r="BI832" i="1" s="1"/>
  <c r="AT697" i="1"/>
  <c r="BN730" i="1" a="1"/>
  <c r="BN730" i="1" s="1"/>
  <c r="AS766" i="1"/>
  <c r="AT775" i="1"/>
  <c r="BN781" i="1" a="1"/>
  <c r="BN781" i="1" s="1"/>
  <c r="BN799" i="1" a="1"/>
  <c r="BN799" i="1" s="1"/>
  <c r="BN823" i="1" a="1"/>
  <c r="BN823" i="1" s="1"/>
  <c r="BL757" i="1" a="1"/>
  <c r="BL757" i="1" s="1"/>
  <c r="AT797" i="1"/>
  <c r="BM825" i="1" a="1"/>
  <c r="BM825" i="1" s="1"/>
  <c r="BJ825" i="1" s="1" a="1"/>
  <c r="BJ825" i="1" s="1"/>
  <c r="BM832" i="1" a="1"/>
  <c r="BM832" i="1" s="1"/>
  <c r="BJ832" i="1" s="1" a="1"/>
  <c r="BJ832" i="1" s="1"/>
  <c r="BM671" i="1" a="1"/>
  <c r="BM671" i="1" s="1"/>
  <c r="BJ671" i="1" s="1" a="1"/>
  <c r="BJ671" i="1" s="1"/>
  <c r="BN675" i="1" a="1"/>
  <c r="BN675" i="1" s="1"/>
  <c r="BN687" i="1" a="1"/>
  <c r="BN687" i="1" s="1"/>
  <c r="BI697" i="1" a="1"/>
  <c r="BI697" i="1" s="1"/>
  <c r="BI703" i="1" a="1"/>
  <c r="BI703" i="1" s="1"/>
  <c r="BN715" i="1" a="1"/>
  <c r="BN715" i="1" s="1"/>
  <c r="BN739" i="1" a="1"/>
  <c r="BN739" i="1" s="1"/>
  <c r="AT777" i="1"/>
  <c r="BI796" i="1" a="1"/>
  <c r="BI796" i="1" s="1"/>
  <c r="BI817" i="1" a="1"/>
  <c r="BI817" i="1" s="1"/>
  <c r="BI824" i="1" a="1"/>
  <c r="BI824" i="1" s="1"/>
  <c r="BI825" i="1" a="1"/>
  <c r="BI825" i="1" s="1"/>
  <c r="BI829" i="1" a="1"/>
  <c r="BI829" i="1" s="1"/>
  <c r="BM713" i="1" a="1"/>
  <c r="BM713" i="1" s="1"/>
  <c r="BJ713" i="1" s="1" a="1"/>
  <c r="BJ713" i="1" s="1"/>
  <c r="BK792" i="1"/>
  <c r="AT830" i="1"/>
  <c r="AT833" i="1"/>
  <c r="BK836" i="1"/>
  <c r="BN666" i="1" a="1"/>
  <c r="BN666" i="1" s="1"/>
  <c r="BN698" i="1" a="1"/>
  <c r="BN698" i="1" s="1"/>
  <c r="BN709" i="1" a="1"/>
  <c r="BN709" i="1" s="1"/>
  <c r="BK756" i="1"/>
  <c r="BM772" i="1" a="1"/>
  <c r="BM772" i="1" s="1"/>
  <c r="BJ772" i="1" s="1" a="1"/>
  <c r="BJ772" i="1" s="1"/>
  <c r="BN788" i="1" a="1"/>
  <c r="BN788" i="1" s="1"/>
  <c r="AT821" i="1"/>
  <c r="BN827" i="1" a="1"/>
  <c r="BN827" i="1" s="1"/>
  <c r="BM835" i="1" a="1"/>
  <c r="BM835" i="1" s="1"/>
  <c r="BJ835" i="1" s="1" a="1"/>
  <c r="BJ835" i="1" s="1"/>
  <c r="BM684" i="1" a="1"/>
  <c r="BM684" i="1" s="1"/>
  <c r="BJ684" i="1" s="1" a="1"/>
  <c r="BJ684" i="1" s="1"/>
  <c r="BK828" i="1"/>
  <c r="BK831" i="1"/>
  <c r="BN677" i="1" a="1"/>
  <c r="BN677" i="1" s="1"/>
  <c r="BN684" i="1" a="1"/>
  <c r="BN684" i="1" s="1"/>
  <c r="BI693" i="1" a="1"/>
  <c r="BI693" i="1" s="1"/>
  <c r="BN748" i="1" a="1"/>
  <c r="BN748" i="1" s="1"/>
  <c r="BI752" i="1" a="1"/>
  <c r="BI752" i="1" s="1"/>
  <c r="AZ770" i="1"/>
  <c r="AT770" i="1" s="1"/>
  <c r="BN792" i="1" a="1"/>
  <c r="BN792" i="1" s="1"/>
  <c r="BI803" i="1" a="1"/>
  <c r="BI803" i="1" s="1"/>
  <c r="BK827" i="1"/>
  <c r="BK835" i="1"/>
  <c r="AT827" i="1"/>
  <c r="BN832" i="1" a="1"/>
  <c r="BN832" i="1" s="1"/>
  <c r="BK833" i="1"/>
  <c r="BM834" i="1" a="1"/>
  <c r="BM834" i="1" s="1"/>
  <c r="BJ834" i="1" s="1" a="1"/>
  <c r="BJ834" i="1" s="1"/>
  <c r="AT835" i="1"/>
  <c r="BK830" i="1"/>
  <c r="BM828" i="1" a="1"/>
  <c r="BM828" i="1" s="1"/>
  <c r="BJ828" i="1" s="1" a="1"/>
  <c r="BJ828" i="1" s="1"/>
  <c r="AT829" i="1"/>
  <c r="BI831" i="1" a="1"/>
  <c r="BI831" i="1" s="1"/>
  <c r="BN834" i="1" a="1"/>
  <c r="BN834" i="1" s="1"/>
  <c r="BM836" i="1" a="1"/>
  <c r="BM836" i="1" s="1"/>
  <c r="BJ836" i="1" s="1" a="1"/>
  <c r="BJ836" i="1" s="1"/>
  <c r="BI828" i="1" a="1"/>
  <c r="BI828" i="1" s="1"/>
  <c r="BN831" i="1" a="1"/>
  <c r="BN831" i="1" s="1"/>
  <c r="BK832" i="1"/>
  <c r="BM833" i="1" a="1"/>
  <c r="BM833" i="1" s="1"/>
  <c r="BJ833" i="1" s="1" a="1"/>
  <c r="BJ833" i="1" s="1"/>
  <c r="AT834" i="1"/>
  <c r="BI836" i="1" a="1"/>
  <c r="BI836" i="1" s="1"/>
  <c r="BN828" i="1" a="1"/>
  <c r="BN828" i="1" s="1"/>
  <c r="BK829" i="1"/>
  <c r="BM830" i="1" a="1"/>
  <c r="BM830" i="1" s="1"/>
  <c r="BJ830" i="1" s="1" a="1"/>
  <c r="BJ830" i="1" s="1"/>
  <c r="AT831" i="1"/>
  <c r="BN836" i="1" a="1"/>
  <c r="BN836" i="1" s="1"/>
  <c r="BI827" i="1" a="1"/>
  <c r="BI827" i="1" s="1"/>
  <c r="BI835" i="1" a="1"/>
  <c r="BI835" i="1" s="1"/>
  <c r="BN763" i="1" a="1"/>
  <c r="BN763" i="1" s="1"/>
  <c r="AT763" i="1"/>
  <c r="BN703" i="1" a="1"/>
  <c r="BN703" i="1" s="1"/>
  <c r="AT704" i="1"/>
  <c r="BI741" i="1" a="1"/>
  <c r="BI741" i="1" s="1"/>
  <c r="AS761" i="1"/>
  <c r="AS762" i="1"/>
  <c r="AS763" i="1"/>
  <c r="BI784" i="1" a="1"/>
  <c r="BI784" i="1" s="1"/>
  <c r="AT796" i="1"/>
  <c r="BN803" i="1" a="1"/>
  <c r="BN803" i="1" s="1"/>
  <c r="BN824" i="1" a="1"/>
  <c r="BN824" i="1" s="1"/>
  <c r="BM663" i="1" a="1"/>
  <c r="BM663" i="1" s="1"/>
  <c r="BJ663" i="1" s="1" a="1"/>
  <c r="BJ663" i="1" s="1"/>
  <c r="BI678" i="1" a="1"/>
  <c r="BI678" i="1" s="1"/>
  <c r="BN717" i="1" a="1"/>
  <c r="BN717" i="1" s="1"/>
  <c r="BN731" i="1" a="1"/>
  <c r="BN731" i="1" s="1"/>
  <c r="BN758" i="1" a="1"/>
  <c r="BN758" i="1" s="1"/>
  <c r="BM759" i="1" a="1"/>
  <c r="BM759" i="1" s="1"/>
  <c r="BJ759" i="1" s="1" a="1"/>
  <c r="BJ759" i="1" s="1"/>
  <c r="BM781" i="1" a="1"/>
  <c r="BM781" i="1" s="1"/>
  <c r="BJ781" i="1" s="1" a="1"/>
  <c r="BJ781" i="1" s="1"/>
  <c r="AT816" i="1"/>
  <c r="AT662" i="1"/>
  <c r="BI663" i="1" a="1"/>
  <c r="BI663" i="1" s="1"/>
  <c r="BI667" i="1" a="1"/>
  <c r="BI667" i="1" s="1"/>
  <c r="BN704" i="1" a="1"/>
  <c r="BN704" i="1" s="1"/>
  <c r="BM733" i="1" a="1"/>
  <c r="BM733" i="1" s="1"/>
  <c r="BJ733" i="1" s="1" a="1"/>
  <c r="BJ733" i="1" s="1"/>
  <c r="BK753" i="1"/>
  <c r="BN765" i="1" a="1"/>
  <c r="BN765" i="1" s="1"/>
  <c r="AT774" i="1"/>
  <c r="BI791" i="1" a="1"/>
  <c r="BI791" i="1" s="1"/>
  <c r="AT798" i="1"/>
  <c r="BN816" i="1" a="1"/>
  <c r="BN816" i="1" s="1"/>
  <c r="BN820" i="1" a="1"/>
  <c r="BN820" i="1" s="1"/>
  <c r="BM826" i="1" a="1"/>
  <c r="BM826" i="1" s="1"/>
  <c r="BJ826" i="1" s="1" a="1"/>
  <c r="BJ826" i="1" s="1"/>
  <c r="BK687" i="1"/>
  <c r="BI708" i="1" a="1"/>
  <c r="BI708" i="1" s="1"/>
  <c r="BM709" i="1" a="1"/>
  <c r="BM709" i="1" s="1"/>
  <c r="BJ709" i="1" s="1" a="1"/>
  <c r="BJ709" i="1" s="1"/>
  <c r="BI729" i="1" a="1"/>
  <c r="BI729" i="1" s="1"/>
  <c r="BI739" i="1" a="1"/>
  <c r="BI739" i="1" s="1"/>
  <c r="BL750" i="1" a="1"/>
  <c r="BL750" i="1" s="1"/>
  <c r="BN761" i="1" a="1"/>
  <c r="BN761" i="1" s="1"/>
  <c r="AZ766" i="1"/>
  <c r="BI766" i="1" s="1" a="1"/>
  <c r="BI766" i="1" s="1"/>
  <c r="AZ767" i="1"/>
  <c r="BK767" i="1" s="1"/>
  <c r="AS770" i="1"/>
  <c r="BM789" i="1" a="1"/>
  <c r="BM789" i="1" s="1"/>
  <c r="BJ789" i="1" s="1" a="1"/>
  <c r="BJ789" i="1" s="1"/>
  <c r="BM790" i="1" a="1"/>
  <c r="BM790" i="1" s="1"/>
  <c r="BJ790" i="1" s="1" a="1"/>
  <c r="BJ790" i="1" s="1"/>
  <c r="BK794" i="1"/>
  <c r="BI673" i="1" a="1"/>
  <c r="BI673" i="1" s="1"/>
  <c r="BN676" i="1" a="1"/>
  <c r="BN676" i="1" s="1"/>
  <c r="BM686" i="1" a="1"/>
  <c r="BM686" i="1" s="1"/>
  <c r="BJ686" i="1" s="1" a="1"/>
  <c r="BJ686" i="1" s="1"/>
  <c r="AZ762" i="1"/>
  <c r="BI762" i="1" s="1" a="1"/>
  <c r="BI762" i="1" s="1"/>
  <c r="BM780" i="1" a="1"/>
  <c r="BM780" i="1" s="1"/>
  <c r="BJ780" i="1" s="1" a="1"/>
  <c r="BJ780" i="1" s="1"/>
  <c r="AT781" i="1"/>
  <c r="BN783" i="1" a="1"/>
  <c r="BN783" i="1" s="1"/>
  <c r="BI816" i="1" a="1"/>
  <c r="BI816" i="1" s="1"/>
  <c r="BN821" i="1" a="1"/>
  <c r="BN821" i="1" s="1"/>
  <c r="AT823" i="1"/>
  <c r="BK670" i="1"/>
  <c r="BL679" i="1" a="1"/>
  <c r="BL679" i="1" s="1"/>
  <c r="BN693" i="1" a="1"/>
  <c r="BN693" i="1" s="1"/>
  <c r="BM698" i="1" a="1"/>
  <c r="BM698" i="1" s="1"/>
  <c r="BJ698" i="1" s="1" a="1"/>
  <c r="BJ698" i="1" s="1"/>
  <c r="BN714" i="1" a="1"/>
  <c r="BN714" i="1" s="1"/>
  <c r="BN740" i="1" a="1"/>
  <c r="BN740" i="1" s="1"/>
  <c r="BI747" i="1" a="1"/>
  <c r="BI747" i="1" s="1"/>
  <c r="BN753" i="1" a="1"/>
  <c r="BN753" i="1" s="1"/>
  <c r="BK758" i="1"/>
  <c r="BM678" i="1" a="1"/>
  <c r="BM678" i="1" s="1"/>
  <c r="BJ678" i="1" s="1" a="1"/>
  <c r="BJ678" i="1" s="1"/>
  <c r="BM737" i="1" a="1"/>
  <c r="BM737" i="1" s="1"/>
  <c r="BJ737" i="1" s="1" a="1"/>
  <c r="BJ737" i="1" s="1"/>
  <c r="BI783" i="1" a="1"/>
  <c r="BI783" i="1" s="1"/>
  <c r="BI794" i="1" a="1"/>
  <c r="BI794" i="1" s="1"/>
  <c r="AT822" i="1"/>
  <c r="AT824" i="1"/>
  <c r="BN826" i="1" a="1"/>
  <c r="BN826" i="1" s="1"/>
  <c r="AT826" i="1"/>
  <c r="BK826" i="1"/>
  <c r="BK663" i="1"/>
  <c r="BK665" i="1"/>
  <c r="BK674" i="1"/>
  <c r="BN699" i="1" a="1"/>
  <c r="BN699" i="1" s="1"/>
  <c r="BI699" i="1" a="1"/>
  <c r="BI699" i="1" s="1"/>
  <c r="BK721" i="1"/>
  <c r="BK773" i="1"/>
  <c r="AT773" i="1"/>
  <c r="BL674" i="1" a="1"/>
  <c r="BL674" i="1" s="1"/>
  <c r="BI674" i="1" a="1"/>
  <c r="BI674" i="1" s="1"/>
  <c r="BK802" i="1"/>
  <c r="BM802" i="1" a="1"/>
  <c r="BM802" i="1" s="1"/>
  <c r="BJ802" i="1" s="1" a="1"/>
  <c r="BJ802" i="1" s="1"/>
  <c r="BN665" i="1" a="1"/>
  <c r="BN665" i="1" s="1"/>
  <c r="BN725" i="1" a="1"/>
  <c r="BN725" i="1" s="1"/>
  <c r="BI725" i="1" a="1"/>
  <c r="BI725" i="1" s="1"/>
  <c r="BI696" i="1" a="1"/>
  <c r="BI696" i="1" s="1"/>
  <c r="BN696" i="1" a="1"/>
  <c r="BN696" i="1" s="1"/>
  <c r="AT670" i="1"/>
  <c r="BN674" i="1" a="1"/>
  <c r="BN674" i="1" s="1"/>
  <c r="BN690" i="1" a="1"/>
  <c r="BN690" i="1" s="1"/>
  <c r="BL690" i="1" a="1"/>
  <c r="BL690" i="1" s="1"/>
  <c r="BL706" i="1" a="1"/>
  <c r="BL706" i="1" s="1"/>
  <c r="BN706" i="1" a="1"/>
  <c r="BN706" i="1" s="1"/>
  <c r="BI706" i="1" a="1"/>
  <c r="BI706" i="1" s="1"/>
  <c r="K768" i="1" a="1"/>
  <c r="K768" i="1" s="1"/>
  <c r="AZ812" i="1"/>
  <c r="BM812" i="1" s="1" a="1"/>
  <c r="BM812" i="1" s="1"/>
  <c r="BJ812" i="1" s="1" a="1"/>
  <c r="BJ812" i="1" s="1"/>
  <c r="AS768" i="1"/>
  <c r="AZ768" i="1"/>
  <c r="BK768" i="1" s="1"/>
  <c r="BM787" i="1" a="1"/>
  <c r="BM787" i="1" s="1"/>
  <c r="BJ787" i="1" s="1" a="1"/>
  <c r="BJ787" i="1" s="1"/>
  <c r="BK787" i="1"/>
  <c r="BM664" i="1" a="1"/>
  <c r="BM664" i="1" s="1"/>
  <c r="BJ664" i="1" s="1" a="1"/>
  <c r="BJ664" i="1" s="1"/>
  <c r="BI671" i="1" a="1"/>
  <c r="BI671" i="1" s="1"/>
  <c r="BK673" i="1"/>
  <c r="BM673" i="1" a="1"/>
  <c r="BM673" i="1" s="1"/>
  <c r="BJ673" i="1" s="1" a="1"/>
  <c r="BJ673" i="1" s="1"/>
  <c r="BK695" i="1"/>
  <c r="BN734" i="1" a="1"/>
  <c r="BN734" i="1" s="1"/>
  <c r="BI734" i="1" a="1"/>
  <c r="BI734" i="1" s="1"/>
  <c r="K764" i="1" a="1"/>
  <c r="K764" i="1" s="1"/>
  <c r="AZ808" i="1"/>
  <c r="BM808" i="1" s="1" a="1"/>
  <c r="BM808" i="1" s="1"/>
  <c r="BJ808" i="1" s="1" a="1"/>
  <c r="BJ808" i="1" s="1"/>
  <c r="AS764" i="1"/>
  <c r="AZ764" i="1"/>
  <c r="BM764" i="1" s="1" a="1"/>
  <c r="BM764" i="1" s="1"/>
  <c r="BJ764" i="1" s="1" a="1"/>
  <c r="BJ764" i="1" s="1"/>
  <c r="BN774" i="1" a="1"/>
  <c r="BN774" i="1" s="1"/>
  <c r="BI774" i="1" a="1"/>
  <c r="BI774" i="1" s="1"/>
  <c r="BK662" i="1"/>
  <c r="AT665" i="1"/>
  <c r="BL688" i="1" a="1"/>
  <c r="BL688" i="1" s="1"/>
  <c r="BN688" i="1" a="1"/>
  <c r="BN688" i="1" s="1"/>
  <c r="BI688" i="1" a="1"/>
  <c r="BI688" i="1" s="1"/>
  <c r="BI717" i="1" a="1"/>
  <c r="BI717" i="1" s="1"/>
  <c r="BM719" i="1" a="1"/>
  <c r="BM719" i="1" s="1"/>
  <c r="BJ719" i="1" s="1" a="1"/>
  <c r="BJ719" i="1" s="1"/>
  <c r="AT719" i="1"/>
  <c r="BM732" i="1" a="1"/>
  <c r="BM732" i="1" s="1"/>
  <c r="BJ732" i="1" s="1" a="1"/>
  <c r="BJ732" i="1" s="1"/>
  <c r="AT769" i="1"/>
  <c r="BI664" i="1" a="1"/>
  <c r="BI664" i="1" s="1"/>
  <c r="BK686" i="1"/>
  <c r="BN695" i="1" a="1"/>
  <c r="BN695" i="1" s="1"/>
  <c r="AT696" i="1"/>
  <c r="AT700" i="1"/>
  <c r="AT761" i="1"/>
  <c r="AT765" i="1"/>
  <c r="AT666" i="1"/>
  <c r="BM676" i="1" a="1"/>
  <c r="BM676" i="1" s="1"/>
  <c r="BJ676" i="1" s="1" a="1"/>
  <c r="BJ676" i="1" s="1"/>
  <c r="BN678" i="1" a="1"/>
  <c r="BN678" i="1" s="1"/>
  <c r="BK681" i="1"/>
  <c r="BM682" i="1" a="1"/>
  <c r="BM682" i="1" s="1"/>
  <c r="BJ682" i="1" s="1" a="1"/>
  <c r="BJ682" i="1" s="1"/>
  <c r="BK685" i="1"/>
  <c r="BI686" i="1" a="1"/>
  <c r="BI686" i="1" s="1"/>
  <c r="BK693" i="1"/>
  <c r="BM697" i="1" a="1"/>
  <c r="BM697" i="1" s="1"/>
  <c r="BJ697" i="1" s="1" a="1"/>
  <c r="BJ697" i="1" s="1"/>
  <c r="BN700" i="1" a="1"/>
  <c r="BN700" i="1" s="1"/>
  <c r="BK701" i="1"/>
  <c r="BM711" i="1" a="1"/>
  <c r="BM711" i="1" s="1"/>
  <c r="BJ711" i="1" s="1" a="1"/>
  <c r="BJ711" i="1" s="1"/>
  <c r="BL713" i="1" a="1"/>
  <c r="BL713" i="1" s="1"/>
  <c r="BM715" i="1" a="1"/>
  <c r="BM715" i="1" s="1"/>
  <c r="BJ715" i="1" s="1" a="1"/>
  <c r="BJ715" i="1" s="1"/>
  <c r="BI718" i="1" a="1"/>
  <c r="BI718" i="1" s="1"/>
  <c r="AT722" i="1"/>
  <c r="BK728" i="1"/>
  <c r="BM730" i="1" a="1"/>
  <c r="BM730" i="1" s="1"/>
  <c r="BJ730" i="1" s="1" a="1"/>
  <c r="BJ730" i="1" s="1"/>
  <c r="BN732" i="1" a="1"/>
  <c r="BN732" i="1" s="1"/>
  <c r="BM740" i="1" a="1"/>
  <c r="BM740" i="1" s="1"/>
  <c r="BJ740" i="1" s="1" a="1"/>
  <c r="BJ740" i="1" s="1"/>
  <c r="BK743" i="1"/>
  <c r="BK745" i="1"/>
  <c r="BK747" i="1"/>
  <c r="BK751" i="1"/>
  <c r="BN755" i="1" a="1"/>
  <c r="BN755" i="1" s="1"/>
  <c r="BL759" i="1" a="1"/>
  <c r="BL759" i="1" s="1"/>
  <c r="BM761" i="1" a="1"/>
  <c r="BM761" i="1" s="1"/>
  <c r="BJ761" i="1" s="1" a="1"/>
  <c r="BJ761" i="1" s="1"/>
  <c r="BM765" i="1" a="1"/>
  <c r="BM765" i="1" s="1"/>
  <c r="BJ765" i="1" s="1" a="1"/>
  <c r="BJ765" i="1" s="1"/>
  <c r="BM769" i="1" a="1"/>
  <c r="BM769" i="1" s="1"/>
  <c r="BJ769" i="1" s="1" a="1"/>
  <c r="BJ769" i="1" s="1"/>
  <c r="BI772" i="1" a="1"/>
  <c r="BI772" i="1" s="1"/>
  <c r="BK784" i="1"/>
  <c r="BN786" i="1" a="1"/>
  <c r="BN786" i="1" s="1"/>
  <c r="BN796" i="1" a="1"/>
  <c r="BN796" i="1" s="1"/>
  <c r="BM797" i="1" a="1"/>
  <c r="BM797" i="1" s="1"/>
  <c r="BJ797" i="1" s="1" a="1"/>
  <c r="BJ797" i="1" s="1"/>
  <c r="BN800" i="1" a="1"/>
  <c r="BN800" i="1" s="1"/>
  <c r="J807" i="1" a="1"/>
  <c r="J807" i="1" s="1"/>
  <c r="J811" i="1" a="1"/>
  <c r="J811" i="1" s="1"/>
  <c r="BM817" i="1" a="1"/>
  <c r="BM817" i="1" s="1"/>
  <c r="BJ817" i="1" s="1" a="1"/>
  <c r="BJ817" i="1" s="1"/>
  <c r="BI820" i="1" a="1"/>
  <c r="BI820" i="1" s="1"/>
  <c r="BK824" i="1"/>
  <c r="AT667" i="1"/>
  <c r="BM677" i="1" a="1"/>
  <c r="BM677" i="1" s="1"/>
  <c r="BJ677" i="1" s="1" a="1"/>
  <c r="BJ677" i="1" s="1"/>
  <c r="BK679" i="1"/>
  <c r="BL681" i="1" a="1"/>
  <c r="BL681" i="1" s="1"/>
  <c r="BK684" i="1"/>
  <c r="BM685" i="1" a="1"/>
  <c r="BM685" i="1" s="1"/>
  <c r="BJ685" i="1" s="1" a="1"/>
  <c r="BJ685" i="1" s="1"/>
  <c r="BN686" i="1" a="1"/>
  <c r="BN686" i="1" s="1"/>
  <c r="BK691" i="1"/>
  <c r="BI695" i="1" a="1"/>
  <c r="BI695" i="1" s="1"/>
  <c r="BM701" i="1" a="1"/>
  <c r="BM701" i="1" s="1"/>
  <c r="BJ701" i="1" s="1" a="1"/>
  <c r="BJ701" i="1" s="1"/>
  <c r="BM704" i="1" a="1"/>
  <c r="BM704" i="1" s="1"/>
  <c r="BJ704" i="1" s="1" a="1"/>
  <c r="BJ704" i="1" s="1"/>
  <c r="BN711" i="1" a="1"/>
  <c r="BN711" i="1" s="1"/>
  <c r="BL715" i="1" a="1"/>
  <c r="BL715" i="1" s="1"/>
  <c r="BN718" i="1" a="1"/>
  <c r="BN718" i="1" s="1"/>
  <c r="BK720" i="1"/>
  <c r="BI722" i="1" a="1"/>
  <c r="BI722" i="1" s="1"/>
  <c r="BI730" i="1" a="1"/>
  <c r="BI730" i="1" s="1"/>
  <c r="BK736" i="1"/>
  <c r="BK746" i="1"/>
  <c r="BK750" i="1"/>
  <c r="BI751" i="1" a="1"/>
  <c r="BI751" i="1" s="1"/>
  <c r="AT780" i="1"/>
  <c r="BK783" i="1"/>
  <c r="BK789" i="1"/>
  <c r="BK791" i="1"/>
  <c r="BM796" i="1" a="1"/>
  <c r="BM796" i="1" s="1"/>
  <c r="BJ796" i="1" s="1" a="1"/>
  <c r="BJ796" i="1" s="1"/>
  <c r="BN797" i="1" a="1"/>
  <c r="BN797" i="1" s="1"/>
  <c r="J806" i="1" a="1"/>
  <c r="J806" i="1" s="1"/>
  <c r="J810" i="1" a="1"/>
  <c r="J810" i="1" s="1"/>
  <c r="J814" i="1" a="1"/>
  <c r="J814" i="1" s="1"/>
  <c r="BK671" i="1"/>
  <c r="BM675" i="1" a="1"/>
  <c r="BM675" i="1" s="1"/>
  <c r="BJ675" i="1" s="1" a="1"/>
  <c r="BJ675" i="1" s="1"/>
  <c r="BI681" i="1" a="1"/>
  <c r="BI681" i="1" s="1"/>
  <c r="BK689" i="1"/>
  <c r="BM693" i="1" a="1"/>
  <c r="BM693" i="1" s="1"/>
  <c r="BJ693" i="1" s="1" a="1"/>
  <c r="BJ693" i="1" s="1"/>
  <c r="BN702" i="1" a="1"/>
  <c r="BN702" i="1" s="1"/>
  <c r="BI704" i="1" a="1"/>
  <c r="BI704" i="1" s="1"/>
  <c r="BK707" i="1"/>
  <c r="BK712" i="1"/>
  <c r="BK714" i="1"/>
  <c r="AT717" i="1"/>
  <c r="BI719" i="1" a="1"/>
  <c r="BI719" i="1" s="1"/>
  <c r="BK723" i="1"/>
  <c r="BM726" i="1" a="1"/>
  <c r="BM726" i="1" s="1"/>
  <c r="BJ726" i="1" s="1" a="1"/>
  <c r="BJ726" i="1" s="1"/>
  <c r="BM728" i="1" a="1"/>
  <c r="BM728" i="1" s="1"/>
  <c r="BJ728" i="1" s="1" a="1"/>
  <c r="BJ728" i="1" s="1"/>
  <c r="BM729" i="1" a="1"/>
  <c r="BM729" i="1" s="1"/>
  <c r="BJ729" i="1" s="1" a="1"/>
  <c r="BJ729" i="1" s="1"/>
  <c r="BM731" i="1" a="1"/>
  <c r="BM731" i="1" s="1"/>
  <c r="BJ731" i="1" s="1" a="1"/>
  <c r="BJ731" i="1" s="1"/>
  <c r="BN733" i="1" a="1"/>
  <c r="BN733" i="1" s="1"/>
  <c r="BK739" i="1"/>
  <c r="BM751" i="1" a="1"/>
  <c r="BM751" i="1" s="1"/>
  <c r="BJ751" i="1" s="1" a="1"/>
  <c r="BJ751" i="1" s="1"/>
  <c r="BM754" i="1" a="1"/>
  <c r="BM754" i="1" s="1"/>
  <c r="BJ754" i="1" s="1" a="1"/>
  <c r="BJ754" i="1" s="1"/>
  <c r="BM756" i="1" a="1"/>
  <c r="BM756" i="1" s="1"/>
  <c r="BJ756" i="1" s="1" a="1"/>
  <c r="BJ756" i="1" s="1"/>
  <c r="BK757" i="1"/>
  <c r="BL758" i="1" a="1"/>
  <c r="BL758" i="1" s="1"/>
  <c r="K761" i="1" a="1"/>
  <c r="K761" i="1" s="1"/>
  <c r="K765" i="1" a="1"/>
  <c r="K765" i="1" s="1"/>
  <c r="K769" i="1" a="1"/>
  <c r="K769" i="1" s="1"/>
  <c r="BM775" i="1" a="1"/>
  <c r="BM775" i="1" s="1"/>
  <c r="BJ775" i="1" s="1" a="1"/>
  <c r="BJ775" i="1" s="1"/>
  <c r="BN777" i="1" a="1"/>
  <c r="BN777" i="1" s="1"/>
  <c r="BK778" i="1"/>
  <c r="BK781" i="1"/>
  <c r="BM784" i="1" a="1"/>
  <c r="BM784" i="1" s="1"/>
  <c r="BJ784" i="1" s="1" a="1"/>
  <c r="BJ784" i="1" s="1"/>
  <c r="BK795" i="1"/>
  <c r="BN798" i="1" a="1"/>
  <c r="BN798" i="1" s="1"/>
  <c r="BK799" i="1"/>
  <c r="AZ805" i="1"/>
  <c r="AT805" i="1" s="1"/>
  <c r="BM806" i="1" a="1"/>
  <c r="BM806" i="1" s="1"/>
  <c r="BJ806" i="1" s="1" a="1"/>
  <c r="BJ806" i="1" s="1"/>
  <c r="AZ809" i="1"/>
  <c r="BN809" i="1" s="1" a="1"/>
  <c r="BN809" i="1" s="1"/>
  <c r="BM810" i="1" a="1"/>
  <c r="BM810" i="1" s="1"/>
  <c r="BJ810" i="1" s="1" a="1"/>
  <c r="BJ810" i="1" s="1"/>
  <c r="AZ813" i="1"/>
  <c r="BI813" i="1" s="1" a="1"/>
  <c r="BI813" i="1" s="1"/>
  <c r="BM814" i="1" a="1"/>
  <c r="BM814" i="1" s="1"/>
  <c r="BJ814" i="1" s="1" a="1"/>
  <c r="BJ814" i="1" s="1"/>
  <c r="BN817" i="1" a="1"/>
  <c r="BN817" i="1" s="1"/>
  <c r="AT818" i="1"/>
  <c r="BK822" i="1"/>
  <c r="BM688" i="1" a="1"/>
  <c r="BM688" i="1" s="1"/>
  <c r="BJ688" i="1" s="1" a="1"/>
  <c r="BJ688" i="1" s="1"/>
  <c r="BK696" i="1"/>
  <c r="AT699" i="1"/>
  <c r="BM707" i="1" a="1"/>
  <c r="BM707" i="1" s="1"/>
  <c r="BJ707" i="1" s="1" a="1"/>
  <c r="BJ707" i="1" s="1"/>
  <c r="BM742" i="1" a="1"/>
  <c r="BM742" i="1" s="1"/>
  <c r="BJ742" i="1" s="1" a="1"/>
  <c r="BJ742" i="1" s="1"/>
  <c r="BK752" i="1"/>
  <c r="BM763" i="1" a="1"/>
  <c r="BM763" i="1" s="1"/>
  <c r="BJ763" i="1" s="1" a="1"/>
  <c r="BJ763" i="1" s="1"/>
  <c r="BM773" i="1" a="1"/>
  <c r="BM773" i="1" s="1"/>
  <c r="BJ773" i="1" s="1" a="1"/>
  <c r="BJ773" i="1" s="1"/>
  <c r="BM778" i="1" a="1"/>
  <c r="BM778" i="1" s="1"/>
  <c r="BJ778" i="1" s="1" a="1"/>
  <c r="BJ778" i="1" s="1"/>
  <c r="BK779" i="1"/>
  <c r="BK790" i="1"/>
  <c r="BK803" i="1"/>
  <c r="J805" i="1" a="1"/>
  <c r="J805" i="1" s="1"/>
  <c r="J809" i="1" a="1"/>
  <c r="J809" i="1" s="1"/>
  <c r="J813" i="1" a="1"/>
  <c r="J813" i="1" s="1"/>
  <c r="BK819" i="1"/>
  <c r="BK668" i="1"/>
  <c r="BL675" i="1" a="1"/>
  <c r="BL675" i="1" s="1"/>
  <c r="BI677" i="1" a="1"/>
  <c r="BI677" i="1" s="1"/>
  <c r="BK680" i="1"/>
  <c r="BK682" i="1"/>
  <c r="BL684" i="1" a="1"/>
  <c r="BL684" i="1" s="1"/>
  <c r="BN685" i="1" a="1"/>
  <c r="BN685" i="1" s="1"/>
  <c r="BI689" i="1" a="1"/>
  <c r="BI689" i="1" s="1"/>
  <c r="BK692" i="1"/>
  <c r="BK703" i="1"/>
  <c r="BI707" i="1" a="1"/>
  <c r="BI707" i="1" s="1"/>
  <c r="BL710" i="1" a="1"/>
  <c r="BL710" i="1" s="1"/>
  <c r="BN712" i="1" a="1"/>
  <c r="BN712" i="1" s="1"/>
  <c r="BK713" i="1"/>
  <c r="BL714" i="1" a="1"/>
  <c r="BL714" i="1" s="1"/>
  <c r="BN720" i="1" a="1"/>
  <c r="BN720" i="1" s="1"/>
  <c r="AT721" i="1"/>
  <c r="AT723" i="1"/>
  <c r="BI726" i="1" a="1"/>
  <c r="BI726" i="1" s="1"/>
  <c r="BM736" i="1" a="1"/>
  <c r="BM736" i="1" s="1"/>
  <c r="BJ736" i="1" s="1" a="1"/>
  <c r="BJ736" i="1" s="1"/>
  <c r="BK737" i="1"/>
  <c r="BM744" i="1" a="1"/>
  <c r="BM744" i="1" s="1"/>
  <c r="BJ744" i="1" s="1" a="1"/>
  <c r="BJ744" i="1" s="1"/>
  <c r="BM748" i="1" a="1"/>
  <c r="BM748" i="1" s="1"/>
  <c r="BJ748" i="1" s="1" a="1"/>
  <c r="BJ748" i="1" s="1"/>
  <c r="BN754" i="1" a="1"/>
  <c r="BN754" i="1" s="1"/>
  <c r="BN757" i="1" a="1"/>
  <c r="BN757" i="1" s="1"/>
  <c r="BK759" i="1"/>
  <c r="K762" i="1" a="1"/>
  <c r="K762" i="1" s="1"/>
  <c r="K766" i="1" a="1"/>
  <c r="K766" i="1" s="1"/>
  <c r="K770" i="1" a="1"/>
  <c r="K770" i="1" s="1"/>
  <c r="BK772" i="1"/>
  <c r="BI773" i="1" a="1"/>
  <c r="BI773" i="1" s="1"/>
  <c r="BN778" i="1" a="1"/>
  <c r="BN778" i="1" s="1"/>
  <c r="BI785" i="1" a="1"/>
  <c r="BI785" i="1" s="1"/>
  <c r="BM786" i="1" a="1"/>
  <c r="BM786" i="1" s="1"/>
  <c r="BJ786" i="1" s="1" a="1"/>
  <c r="BJ786" i="1" s="1"/>
  <c r="BI787" i="1" a="1"/>
  <c r="BI787" i="1" s="1"/>
  <c r="BI799" i="1" a="1"/>
  <c r="BI799" i="1" s="1"/>
  <c r="BK816" i="1"/>
  <c r="BN818" i="1" a="1"/>
  <c r="BN818" i="1" s="1"/>
  <c r="BM753" i="1" a="1"/>
  <c r="BM753" i="1" s="1"/>
  <c r="BJ753" i="1" s="1" a="1"/>
  <c r="BJ753" i="1" s="1"/>
  <c r="BM755" i="1" a="1"/>
  <c r="BM755" i="1" s="1"/>
  <c r="BJ755" i="1" s="1" a="1"/>
  <c r="BJ755" i="1" s="1"/>
  <c r="BM774" i="1" a="1"/>
  <c r="BM774" i="1" s="1"/>
  <c r="BJ774" i="1" s="1" a="1"/>
  <c r="BJ774" i="1" s="1"/>
  <c r="BM795" i="1" a="1"/>
  <c r="BM795" i="1" s="1"/>
  <c r="BJ795" i="1" s="1" a="1"/>
  <c r="BJ795" i="1" s="1"/>
  <c r="BK800" i="1"/>
  <c r="J808" i="1" a="1"/>
  <c r="J808" i="1" s="1"/>
  <c r="J812" i="1" a="1"/>
  <c r="J812" i="1" s="1"/>
  <c r="BM820" i="1" a="1"/>
  <c r="BM820" i="1" s="1"/>
  <c r="BJ820" i="1" s="1" a="1"/>
  <c r="BJ820" i="1" s="1"/>
  <c r="BM665" i="1" a="1"/>
  <c r="BM665" i="1" s="1"/>
  <c r="BJ665" i="1" s="1" a="1"/>
  <c r="BJ665" i="1" s="1"/>
  <c r="BN668" i="1" a="1"/>
  <c r="BN668" i="1" s="1"/>
  <c r="BM674" i="1" a="1"/>
  <c r="BM674" i="1" s="1"/>
  <c r="BJ674" i="1" s="1" a="1"/>
  <c r="BJ674" i="1" s="1"/>
  <c r="BI675" i="1" a="1"/>
  <c r="BI675" i="1" s="1"/>
  <c r="BN689" i="1" a="1"/>
  <c r="BN689" i="1" s="1"/>
  <c r="BK690" i="1"/>
  <c r="BL692" i="1" a="1"/>
  <c r="BL692" i="1" s="1"/>
  <c r="BM696" i="1" a="1"/>
  <c r="BM696" i="1" s="1"/>
  <c r="BJ696" i="1" s="1" a="1"/>
  <c r="BJ696" i="1" s="1"/>
  <c r="BK706" i="1"/>
  <c r="BN707" i="1" a="1"/>
  <c r="BN707" i="1" s="1"/>
  <c r="BM708" i="1" a="1"/>
  <c r="BM708" i="1" s="1"/>
  <c r="BJ708" i="1" s="1" a="1"/>
  <c r="BJ708" i="1" s="1"/>
  <c r="BN710" i="1" a="1"/>
  <c r="BN710" i="1" s="1"/>
  <c r="BN713" i="1" a="1"/>
  <c r="BN713" i="1" s="1"/>
  <c r="BI714" i="1" a="1"/>
  <c r="BI714" i="1" s="1"/>
  <c r="BK715" i="1"/>
  <c r="BM718" i="1" a="1"/>
  <c r="BM718" i="1" s="1"/>
  <c r="BJ718" i="1" s="1" a="1"/>
  <c r="BJ718" i="1" s="1"/>
  <c r="BN721" i="1" a="1"/>
  <c r="BN721" i="1" s="1"/>
  <c r="BM724" i="1" a="1"/>
  <c r="BM724" i="1" s="1"/>
  <c r="BJ724" i="1" s="1" a="1"/>
  <c r="BJ724" i="1" s="1"/>
  <c r="BK725" i="1"/>
  <c r="BN742" i="1" a="1"/>
  <c r="BN742" i="1" s="1"/>
  <c r="BN744" i="1" a="1"/>
  <c r="BN744" i="1" s="1"/>
  <c r="BN750" i="1" a="1"/>
  <c r="BN750" i="1" s="1"/>
  <c r="BM757" i="1" a="1"/>
  <c r="BM757" i="1" s="1"/>
  <c r="BJ757" i="1" s="1" a="1"/>
  <c r="BJ757" i="1" s="1"/>
  <c r="BK761" i="1"/>
  <c r="K763" i="1" a="1"/>
  <c r="K763" i="1" s="1"/>
  <c r="BK765" i="1"/>
  <c r="K767" i="1" a="1"/>
  <c r="K767" i="1" s="1"/>
  <c r="BK769" i="1"/>
  <c r="BN775" i="1" a="1"/>
  <c r="BN775" i="1" s="1"/>
  <c r="AT776" i="1"/>
  <c r="BK780" i="1"/>
  <c r="BI781" i="1" a="1"/>
  <c r="BI781" i="1" s="1"/>
  <c r="BM788" i="1" a="1"/>
  <c r="BM788" i="1" s="1"/>
  <c r="BJ788" i="1" s="1" a="1"/>
  <c r="BJ788" i="1" s="1"/>
  <c r="BM792" i="1" a="1"/>
  <c r="BM792" i="1" s="1"/>
  <c r="BJ792" i="1" s="1" a="1"/>
  <c r="BJ792" i="1" s="1"/>
  <c r="BI795" i="1" a="1"/>
  <c r="BI795" i="1" s="1"/>
  <c r="BK797" i="1"/>
  <c r="BM803" i="1" a="1"/>
  <c r="BM803" i="1" s="1"/>
  <c r="BJ803" i="1" s="1" a="1"/>
  <c r="BJ803" i="1" s="1"/>
  <c r="AZ807" i="1"/>
  <c r="BN807" i="1" s="1" a="1"/>
  <c r="BN807" i="1" s="1"/>
  <c r="AZ811" i="1"/>
  <c r="BM811" i="1" s="1" a="1"/>
  <c r="BM811" i="1" s="1"/>
  <c r="BJ811" i="1" s="1" a="1"/>
  <c r="BJ811" i="1" s="1"/>
  <c r="BK825" i="1"/>
  <c r="BK823" i="1"/>
  <c r="BK821" i="1"/>
  <c r="BM822" i="1" a="1"/>
  <c r="BM822" i="1" s="1"/>
  <c r="BJ822" i="1" s="1" a="1"/>
  <c r="BJ822" i="1" s="1"/>
  <c r="BK818" i="1"/>
  <c r="BM819" i="1" a="1"/>
  <c r="BM819" i="1" s="1"/>
  <c r="BJ819" i="1" s="1" a="1"/>
  <c r="BJ819" i="1" s="1"/>
  <c r="AT820" i="1"/>
  <c r="BI822" i="1" a="1"/>
  <c r="BI822" i="1" s="1"/>
  <c r="BN825" i="1" a="1"/>
  <c r="BN825" i="1" s="1"/>
  <c r="BM816" i="1" a="1"/>
  <c r="BM816" i="1" s="1"/>
  <c r="BJ816" i="1" s="1" a="1"/>
  <c r="BJ816" i="1" s="1"/>
  <c r="AT817" i="1"/>
  <c r="BI819" i="1" a="1"/>
  <c r="BI819" i="1" s="1"/>
  <c r="BN822" i="1" a="1"/>
  <c r="BN822" i="1" s="1"/>
  <c r="BM824" i="1" a="1"/>
  <c r="BM824" i="1" s="1"/>
  <c r="BJ824" i="1" s="1" a="1"/>
  <c r="BJ824" i="1" s="1"/>
  <c r="AT825" i="1"/>
  <c r="BN819" i="1" a="1"/>
  <c r="BN819" i="1" s="1"/>
  <c r="BK820" i="1"/>
  <c r="BM821" i="1" a="1"/>
  <c r="BM821" i="1" s="1"/>
  <c r="BJ821" i="1" s="1" a="1"/>
  <c r="BJ821" i="1" s="1"/>
  <c r="BK817" i="1"/>
  <c r="BM818" i="1" a="1"/>
  <c r="BM818" i="1" s="1"/>
  <c r="BJ818" i="1" s="1" a="1"/>
  <c r="BJ818" i="1" s="1"/>
  <c r="AT819" i="1"/>
  <c r="BI821" i="1" a="1"/>
  <c r="BI821" i="1" s="1"/>
  <c r="BI818" i="1" a="1"/>
  <c r="BI818" i="1" s="1"/>
  <c r="BI823" i="1" a="1"/>
  <c r="BI823" i="1" s="1"/>
  <c r="E807" i="1" a="1"/>
  <c r="E807" i="1" s="1"/>
  <c r="E811" i="1" a="1"/>
  <c r="E811" i="1" s="1"/>
  <c r="E806" i="1" a="1"/>
  <c r="E806" i="1" s="1"/>
  <c r="E810" i="1" a="1"/>
  <c r="E810" i="1" s="1"/>
  <c r="E814" i="1" a="1"/>
  <c r="E814" i="1" s="1"/>
  <c r="AT806" i="1"/>
  <c r="BI806" i="1" a="1"/>
  <c r="BI806" i="1" s="1"/>
  <c r="BN806" i="1" a="1"/>
  <c r="BN806" i="1" s="1"/>
  <c r="AT810" i="1"/>
  <c r="BI810" i="1" a="1"/>
  <c r="BI810" i="1" s="1"/>
  <c r="BN810" i="1" a="1"/>
  <c r="BN810" i="1" s="1"/>
  <c r="BN814" i="1" a="1"/>
  <c r="BN814" i="1" s="1"/>
  <c r="AT814" i="1"/>
  <c r="BI814" i="1" a="1"/>
  <c r="BI814" i="1" s="1"/>
  <c r="E805" i="1" a="1"/>
  <c r="E805" i="1" s="1"/>
  <c r="E809" i="1" a="1"/>
  <c r="E809" i="1" s="1"/>
  <c r="E813" i="1" a="1"/>
  <c r="E813" i="1" s="1"/>
  <c r="E808" i="1" a="1"/>
  <c r="E808" i="1" s="1"/>
  <c r="E812" i="1" a="1"/>
  <c r="E812" i="1" s="1"/>
  <c r="AS806" i="1"/>
  <c r="AS810" i="1"/>
  <c r="BK806" i="1"/>
  <c r="BK810" i="1"/>
  <c r="BK814" i="1"/>
  <c r="AS814" i="1"/>
  <c r="E797" i="1" a="1"/>
  <c r="E797" i="1" s="1"/>
  <c r="BK801" i="1"/>
  <c r="E803" i="1" a="1"/>
  <c r="E803" i="1" s="1"/>
  <c r="E798" i="1" a="1"/>
  <c r="E798" i="1" s="1"/>
  <c r="E801" i="1" a="1"/>
  <c r="E801" i="1" s="1"/>
  <c r="E795" i="1" a="1"/>
  <c r="E795" i="1" s="1"/>
  <c r="E794" i="1" a="1"/>
  <c r="E794" i="1" s="1"/>
  <c r="BN794" i="1" a="1"/>
  <c r="BN794" i="1" s="1"/>
  <c r="AT795" i="1"/>
  <c r="BM800" i="1" a="1"/>
  <c r="BM800" i="1" s="1"/>
  <c r="BJ800" i="1" s="1" a="1"/>
  <c r="BJ800" i="1" s="1"/>
  <c r="BI801" i="1" a="1"/>
  <c r="BI801" i="1" s="1"/>
  <c r="E802" i="1" a="1"/>
  <c r="E802" i="1" s="1"/>
  <c r="BN802" i="1" a="1"/>
  <c r="BN802" i="1" s="1"/>
  <c r="AT803" i="1"/>
  <c r="AT794" i="1"/>
  <c r="BK796" i="1"/>
  <c r="BM799" i="1" a="1"/>
  <c r="BM799" i="1" s="1"/>
  <c r="BJ799" i="1" s="1" a="1"/>
  <c r="BJ799" i="1" s="1"/>
  <c r="BI800" i="1" a="1"/>
  <c r="BI800" i="1" s="1"/>
  <c r="BN801" i="1" a="1"/>
  <c r="BN801" i="1" s="1"/>
  <c r="AT802" i="1"/>
  <c r="BM798" i="1" a="1"/>
  <c r="BM798" i="1" s="1"/>
  <c r="BJ798" i="1" s="1" a="1"/>
  <c r="BJ798" i="1" s="1"/>
  <c r="E800" i="1" a="1"/>
  <c r="E800" i="1" s="1"/>
  <c r="AT801" i="1"/>
  <c r="BI798" i="1" a="1"/>
  <c r="BI798" i="1" s="1"/>
  <c r="E799" i="1" a="1"/>
  <c r="E799" i="1" s="1"/>
  <c r="AT800" i="1"/>
  <c r="BM794" i="1" a="1"/>
  <c r="BM794" i="1" s="1"/>
  <c r="BJ794" i="1" s="1" a="1"/>
  <c r="BJ794" i="1" s="1"/>
  <c r="BK798" i="1"/>
  <c r="BM801" i="1" a="1"/>
  <c r="BM801" i="1" s="1"/>
  <c r="BJ801" i="1" s="1" a="1"/>
  <c r="BJ801" i="1" s="1"/>
  <c r="AT799" i="1"/>
  <c r="E786" i="1" a="1"/>
  <c r="E786" i="1" s="1"/>
  <c r="E790" i="1" a="1"/>
  <c r="E790" i="1" s="1"/>
  <c r="E788" i="1" a="1"/>
  <c r="E788" i="1" s="1"/>
  <c r="E792" i="1" a="1"/>
  <c r="E792" i="1" s="1"/>
  <c r="BK785" i="1"/>
  <c r="E785" i="1" a="1"/>
  <c r="E785" i="1" s="1"/>
  <c r="BM783" i="1" a="1"/>
  <c r="BM783" i="1" s="1"/>
  <c r="BJ783" i="1" s="1" a="1"/>
  <c r="BJ783" i="1" s="1"/>
  <c r="BN785" i="1" a="1"/>
  <c r="BN785" i="1" s="1"/>
  <c r="BK788" i="1"/>
  <c r="BM791" i="1" a="1"/>
  <c r="BM791" i="1" s="1"/>
  <c r="BJ791" i="1" s="1" a="1"/>
  <c r="BJ791" i="1" s="1"/>
  <c r="BI792" i="1" a="1"/>
  <c r="BI792" i="1" s="1"/>
  <c r="BI790" i="1" a="1"/>
  <c r="BI790" i="1" s="1"/>
  <c r="BI789" i="1" a="1"/>
  <c r="BI789" i="1" s="1"/>
  <c r="BK786" i="1"/>
  <c r="BI788" i="1" a="1"/>
  <c r="BI788" i="1" s="1"/>
  <c r="E789" i="1" a="1"/>
  <c r="E789" i="1" s="1"/>
  <c r="BN789" i="1" a="1"/>
  <c r="BN789" i="1" s="1"/>
  <c r="BM785" i="1" a="1"/>
  <c r="BM785" i="1" s="1"/>
  <c r="BJ785" i="1" s="1" a="1"/>
  <c r="BJ785" i="1" s="1"/>
  <c r="BI786" i="1" a="1"/>
  <c r="BI786" i="1" s="1"/>
  <c r="E775" i="1" a="1"/>
  <c r="E775" i="1" s="1"/>
  <c r="E781" i="1" a="1"/>
  <c r="E781" i="1" s="1"/>
  <c r="E774" i="1" a="1"/>
  <c r="E774" i="1" s="1"/>
  <c r="E779" i="1" a="1"/>
  <c r="E779" i="1" s="1"/>
  <c r="E776" i="1" a="1"/>
  <c r="E776" i="1" s="1"/>
  <c r="BK776" i="1"/>
  <c r="E773" i="1" a="1"/>
  <c r="E773" i="1" s="1"/>
  <c r="BI780" i="1" a="1"/>
  <c r="BI780" i="1" s="1"/>
  <c r="BK777" i="1"/>
  <c r="BN772" i="1" a="1"/>
  <c r="BN772" i="1" s="1"/>
  <c r="BK775" i="1"/>
  <c r="BI779" i="1" a="1"/>
  <c r="BI779" i="1" s="1"/>
  <c r="BN780" i="1" a="1"/>
  <c r="BN780" i="1" s="1"/>
  <c r="AT772" i="1"/>
  <c r="BK774" i="1"/>
  <c r="BM777" i="1" a="1"/>
  <c r="BM777" i="1" s="1"/>
  <c r="BJ777" i="1" s="1" a="1"/>
  <c r="BJ777" i="1" s="1"/>
  <c r="BI778" i="1" a="1"/>
  <c r="BI778" i="1" s="1"/>
  <c r="BN779" i="1" a="1"/>
  <c r="BN779" i="1" s="1"/>
  <c r="BM776" i="1" a="1"/>
  <c r="BM776" i="1" s="1"/>
  <c r="BJ776" i="1" s="1" a="1"/>
  <c r="BJ776" i="1" s="1"/>
  <c r="BI777" i="1" a="1"/>
  <c r="BI777" i="1" s="1"/>
  <c r="E778" i="1" a="1"/>
  <c r="E778" i="1" s="1"/>
  <c r="AT779" i="1"/>
  <c r="BM779" i="1" a="1"/>
  <c r="BM779" i="1" s="1"/>
  <c r="BJ779" i="1" s="1" a="1"/>
  <c r="BJ779" i="1" s="1"/>
  <c r="BI776" i="1" a="1"/>
  <c r="BI776" i="1" s="1"/>
  <c r="E777" i="1" a="1"/>
  <c r="E777" i="1" s="1"/>
  <c r="AT778" i="1"/>
  <c r="E764" i="1" a="1"/>
  <c r="E764" i="1" s="1"/>
  <c r="E768" i="1" a="1"/>
  <c r="E768" i="1" s="1"/>
  <c r="E761" i="1" a="1"/>
  <c r="E761" i="1" s="1"/>
  <c r="E765" i="1" a="1"/>
  <c r="E765" i="1" s="1"/>
  <c r="E769" i="1" a="1"/>
  <c r="E769" i="1" s="1"/>
  <c r="BK763" i="1"/>
  <c r="E763" i="1" a="1"/>
  <c r="E763" i="1" s="1"/>
  <c r="E767" i="1" a="1"/>
  <c r="E767" i="1" s="1"/>
  <c r="E762" i="1" a="1"/>
  <c r="E762" i="1" s="1"/>
  <c r="E766" i="1" a="1"/>
  <c r="E766" i="1" s="1"/>
  <c r="E770" i="1" a="1"/>
  <c r="E770" i="1" s="1"/>
  <c r="BI761" i="1" a="1"/>
  <c r="BI761" i="1" s="1"/>
  <c r="BI763" i="1" a="1"/>
  <c r="BI763" i="1" s="1"/>
  <c r="BI765" i="1" a="1"/>
  <c r="BI765" i="1" s="1"/>
  <c r="BI769" i="1" a="1"/>
  <c r="BI769" i="1" s="1"/>
  <c r="E757" i="1" a="1"/>
  <c r="E757" i="1" s="1"/>
  <c r="E753" i="1" a="1"/>
  <c r="E753" i="1" s="1"/>
  <c r="BL753" i="1" a="1"/>
  <c r="BL753" i="1" s="1"/>
  <c r="E755" i="1" a="1"/>
  <c r="E755" i="1" s="1"/>
  <c r="BL755" i="1" a="1"/>
  <c r="BL755" i="1" s="1"/>
  <c r="E759" i="1" a="1"/>
  <c r="E759" i="1" s="1"/>
  <c r="E752" i="1" a="1"/>
  <c r="E752" i="1" s="1"/>
  <c r="BK754" i="1"/>
  <c r="BM750" i="1" a="1"/>
  <c r="BM750" i="1" s="1"/>
  <c r="BJ750" i="1" s="1" a="1"/>
  <c r="BJ750" i="1" s="1"/>
  <c r="BN752" i="1" a="1"/>
  <c r="BN752" i="1" s="1"/>
  <c r="BK755" i="1"/>
  <c r="BL756" i="1" a="1"/>
  <c r="BL756" i="1" s="1"/>
  <c r="BM758" i="1" a="1"/>
  <c r="BM758" i="1" s="1"/>
  <c r="BJ758" i="1" s="1" a="1"/>
  <c r="BJ758" i="1" s="1"/>
  <c r="BI759" i="1" a="1"/>
  <c r="BI759" i="1" s="1"/>
  <c r="BL754" i="1" a="1"/>
  <c r="BL754" i="1" s="1"/>
  <c r="BI757" i="1" a="1"/>
  <c r="BI757" i="1" s="1"/>
  <c r="BI756" i="1" a="1"/>
  <c r="BI756" i="1" s="1"/>
  <c r="BL752" i="1" a="1"/>
  <c r="BL752" i="1" s="1"/>
  <c r="BI755" i="1" a="1"/>
  <c r="BI755" i="1" s="1"/>
  <c r="E756" i="1" a="1"/>
  <c r="E756" i="1" s="1"/>
  <c r="BN756" i="1" a="1"/>
  <c r="BN756" i="1" s="1"/>
  <c r="BL751" i="1" a="1"/>
  <c r="BL751" i="1" s="1"/>
  <c r="BM752" i="1" a="1"/>
  <c r="BM752" i="1" s="1"/>
  <c r="BJ752" i="1" s="1" a="1"/>
  <c r="BJ752" i="1" s="1"/>
  <c r="BI753" i="1" a="1"/>
  <c r="BI753" i="1" s="1"/>
  <c r="BK741" i="1"/>
  <c r="E741" i="1" a="1"/>
  <c r="E741" i="1" s="1"/>
  <c r="E746" i="1" a="1"/>
  <c r="E746" i="1" s="1"/>
  <c r="BK748" i="1"/>
  <c r="BK740" i="1"/>
  <c r="E742" i="1" a="1"/>
  <c r="E742" i="1" s="1"/>
  <c r="BK742" i="1"/>
  <c r="E744" i="1" a="1"/>
  <c r="E744" i="1" s="1"/>
  <c r="E748" i="1" a="1"/>
  <c r="E748" i="1" s="1"/>
  <c r="E740" i="1" a="1"/>
  <c r="E740" i="1" s="1"/>
  <c r="BM739" i="1" a="1"/>
  <c r="BM739" i="1" s="1"/>
  <c r="BJ739" i="1" s="1" a="1"/>
  <c r="BJ739" i="1" s="1"/>
  <c r="BI740" i="1" a="1"/>
  <c r="BI740" i="1" s="1"/>
  <c r="BN741" i="1" a="1"/>
  <c r="BN741" i="1" s="1"/>
  <c r="BK744" i="1"/>
  <c r="BM747" i="1" a="1"/>
  <c r="BM747" i="1" s="1"/>
  <c r="BJ747" i="1" s="1" a="1"/>
  <c r="BJ747" i="1" s="1"/>
  <c r="BI748" i="1" a="1"/>
  <c r="BI748" i="1" s="1"/>
  <c r="BI745" i="1" a="1"/>
  <c r="BI745" i="1" s="1"/>
  <c r="BM745" i="1" a="1"/>
  <c r="BM745" i="1" s="1"/>
  <c r="BJ745" i="1" s="1" a="1"/>
  <c r="BJ745" i="1" s="1"/>
  <c r="BM743" i="1" a="1"/>
  <c r="BM743" i="1" s="1"/>
  <c r="BJ743" i="1" s="1" a="1"/>
  <c r="BJ743" i="1" s="1"/>
  <c r="BI744" i="1" a="1"/>
  <c r="BI744" i="1" s="1"/>
  <c r="E745" i="1" a="1"/>
  <c r="E745" i="1" s="1"/>
  <c r="BI746" i="1" a="1"/>
  <c r="BI746" i="1" s="1"/>
  <c r="BM741" i="1" a="1"/>
  <c r="BM741" i="1" s="1"/>
  <c r="BJ741" i="1" s="1" a="1"/>
  <c r="BJ741" i="1" s="1"/>
  <c r="BI742" i="1" a="1"/>
  <c r="BI742" i="1" s="1"/>
  <c r="E731" i="1" a="1"/>
  <c r="E731" i="1" s="1"/>
  <c r="BK734" i="1"/>
  <c r="E734" i="1" a="1"/>
  <c r="E734" i="1" s="1"/>
  <c r="E737" i="1" a="1"/>
  <c r="E737" i="1" s="1"/>
  <c r="BK735" i="1"/>
  <c r="E732" i="1" a="1"/>
  <c r="E732" i="1" s="1"/>
  <c r="E735" i="1" a="1"/>
  <c r="E735" i="1" s="1"/>
  <c r="E729" i="1" a="1"/>
  <c r="E729" i="1" s="1"/>
  <c r="BI728" i="1" a="1"/>
  <c r="BI728" i="1" s="1"/>
  <c r="BN729" i="1" a="1"/>
  <c r="BN729" i="1" s="1"/>
  <c r="BK732" i="1"/>
  <c r="BM735" i="1" a="1"/>
  <c r="BM735" i="1" s="1"/>
  <c r="BJ735" i="1" s="1" a="1"/>
  <c r="BJ735" i="1" s="1"/>
  <c r="BI736" i="1" a="1"/>
  <c r="BI736" i="1" s="1"/>
  <c r="BN737" i="1" a="1"/>
  <c r="BN737" i="1" s="1"/>
  <c r="BK733" i="1"/>
  <c r="BN728" i="1" a="1"/>
  <c r="BN728" i="1" s="1"/>
  <c r="BK731" i="1"/>
  <c r="BM734" i="1" a="1"/>
  <c r="BM734" i="1" s="1"/>
  <c r="BJ734" i="1" s="1" a="1"/>
  <c r="BJ734" i="1" s="1"/>
  <c r="BI735" i="1" a="1"/>
  <c r="BI735" i="1" s="1"/>
  <c r="E736" i="1" a="1"/>
  <c r="E736" i="1" s="1"/>
  <c r="BN736" i="1" a="1"/>
  <c r="BN736" i="1" s="1"/>
  <c r="BN735" i="1" a="1"/>
  <c r="BN735" i="1" s="1"/>
  <c r="BK729" i="1"/>
  <c r="BI733" i="1" a="1"/>
  <c r="BI733" i="1" s="1"/>
  <c r="BK730" i="1"/>
  <c r="BI732" i="1" a="1"/>
  <c r="BI732" i="1" s="1"/>
  <c r="E733" i="1" a="1"/>
  <c r="E733" i="1" s="1"/>
  <c r="BI731" i="1" a="1"/>
  <c r="BI731" i="1" s="1"/>
  <c r="E718" i="1" a="1"/>
  <c r="E718" i="1" s="1"/>
  <c r="E724" i="1" a="1"/>
  <c r="E724" i="1" s="1"/>
  <c r="E722" i="1" a="1"/>
  <c r="E722" i="1" s="1"/>
  <c r="BK726" i="1"/>
  <c r="E719" i="1" a="1"/>
  <c r="E719" i="1" s="1"/>
  <c r="BK718" i="1"/>
  <c r="E720" i="1" a="1"/>
  <c r="E720" i="1" s="1"/>
  <c r="BK724" i="1"/>
  <c r="E726" i="1" a="1"/>
  <c r="E726" i="1" s="1"/>
  <c r="BK717" i="1"/>
  <c r="BM720" i="1" a="1"/>
  <c r="BM720" i="1" s="1"/>
  <c r="BJ720" i="1" s="1" a="1"/>
  <c r="BJ720" i="1" s="1"/>
  <c r="BM717" i="1" a="1"/>
  <c r="BM717" i="1" s="1"/>
  <c r="BJ717" i="1" s="1" a="1"/>
  <c r="BJ717" i="1" s="1"/>
  <c r="BN719" i="1" a="1"/>
  <c r="BN719" i="1" s="1"/>
  <c r="AT720" i="1"/>
  <c r="BK722" i="1"/>
  <c r="BM725" i="1" a="1"/>
  <c r="BM725" i="1" s="1"/>
  <c r="BJ725" i="1" s="1" a="1"/>
  <c r="BJ725" i="1" s="1"/>
  <c r="E717" i="1" a="1"/>
  <c r="E717" i="1" s="1"/>
  <c r="AT718" i="1"/>
  <c r="BI724" i="1" a="1"/>
  <c r="BI724" i="1" s="1"/>
  <c r="E725" i="1" a="1"/>
  <c r="E725" i="1" s="1"/>
  <c r="AT726" i="1"/>
  <c r="BK719" i="1"/>
  <c r="BM722" i="1" a="1"/>
  <c r="BM722" i="1" s="1"/>
  <c r="BJ722" i="1" s="1" a="1"/>
  <c r="BJ722" i="1" s="1"/>
  <c r="BI723" i="1" a="1"/>
  <c r="BI723" i="1" s="1"/>
  <c r="BN724" i="1" a="1"/>
  <c r="BN724" i="1" s="1"/>
  <c r="AT725" i="1"/>
  <c r="BM723" i="1" a="1"/>
  <c r="BM723" i="1" s="1"/>
  <c r="BJ723" i="1" s="1" a="1"/>
  <c r="BJ723" i="1" s="1"/>
  <c r="BM721" i="1" a="1"/>
  <c r="BM721" i="1" s="1"/>
  <c r="BJ721" i="1" s="1" a="1"/>
  <c r="BJ721" i="1" s="1"/>
  <c r="E723" i="1" a="1"/>
  <c r="E723" i="1" s="1"/>
  <c r="BN723" i="1" a="1"/>
  <c r="BN723" i="1" s="1"/>
  <c r="AT724" i="1"/>
  <c r="BI720" i="1" a="1"/>
  <c r="BI720" i="1" s="1"/>
  <c r="E713" i="1" a="1"/>
  <c r="E713" i="1" s="1"/>
  <c r="BL711" i="1" a="1"/>
  <c r="BL711" i="1" s="1"/>
  <c r="E711" i="1" a="1"/>
  <c r="E711" i="1" s="1"/>
  <c r="E709" i="1" a="1"/>
  <c r="E709" i="1" s="1"/>
  <c r="E715" i="1" a="1"/>
  <c r="E715" i="1" s="1"/>
  <c r="E708" i="1" a="1"/>
  <c r="E708" i="1" s="1"/>
  <c r="E707" i="1" a="1"/>
  <c r="E707" i="1" s="1"/>
  <c r="BM706" i="1" a="1"/>
  <c r="BM706" i="1" s="1"/>
  <c r="BJ706" i="1" s="1" a="1"/>
  <c r="BJ706" i="1" s="1"/>
  <c r="BN708" i="1" a="1"/>
  <c r="BN708" i="1" s="1"/>
  <c r="BK711" i="1"/>
  <c r="BL712" i="1" a="1"/>
  <c r="BL712" i="1" s="1"/>
  <c r="BM714" i="1" a="1"/>
  <c r="BM714" i="1" s="1"/>
  <c r="BJ714" i="1" s="1" a="1"/>
  <c r="BJ714" i="1" s="1"/>
  <c r="BI715" i="1" a="1"/>
  <c r="BI715" i="1" s="1"/>
  <c r="BK709" i="1"/>
  <c r="BM712" i="1" a="1"/>
  <c r="BM712" i="1" s="1"/>
  <c r="BJ712" i="1" s="1" a="1"/>
  <c r="BJ712" i="1" s="1"/>
  <c r="BK708" i="1"/>
  <c r="BL709" i="1" a="1"/>
  <c r="BL709" i="1" s="1"/>
  <c r="BI712" i="1" a="1"/>
  <c r="BI712" i="1" s="1"/>
  <c r="BI713" i="1" a="1"/>
  <c r="BI713" i="1" s="1"/>
  <c r="BL708" i="1" a="1"/>
  <c r="BL708" i="1" s="1"/>
  <c r="BM710" i="1" a="1"/>
  <c r="BM710" i="1" s="1"/>
  <c r="BJ710" i="1" s="1" a="1"/>
  <c r="BJ710" i="1" s="1"/>
  <c r="BI711" i="1" a="1"/>
  <c r="BI711" i="1" s="1"/>
  <c r="E712" i="1" a="1"/>
  <c r="E712" i="1" s="1"/>
  <c r="BL707" i="1" a="1"/>
  <c r="BL707" i="1" s="1"/>
  <c r="BK710" i="1"/>
  <c r="BI709" i="1" a="1"/>
  <c r="BI709" i="1" s="1"/>
  <c r="E697" i="1" a="1"/>
  <c r="E697" i="1" s="1"/>
  <c r="E700" i="1" a="1"/>
  <c r="E700" i="1" s="1"/>
  <c r="BK702" i="1"/>
  <c r="BK704" i="1"/>
  <c r="E698" i="1" a="1"/>
  <c r="E698" i="1" s="1"/>
  <c r="E702" i="1" a="1"/>
  <c r="E702" i="1" s="1"/>
  <c r="E704" i="1" a="1"/>
  <c r="E704" i="1" s="1"/>
  <c r="BM695" i="1" a="1"/>
  <c r="BM695" i="1" s="1"/>
  <c r="BJ695" i="1" s="1" a="1"/>
  <c r="BJ695" i="1" s="1"/>
  <c r="BN697" i="1" a="1"/>
  <c r="BN697" i="1" s="1"/>
  <c r="AT698" i="1"/>
  <c r="BK700" i="1"/>
  <c r="BM703" i="1" a="1"/>
  <c r="BM703" i="1" s="1"/>
  <c r="BJ703" i="1" s="1" a="1"/>
  <c r="BJ703" i="1" s="1"/>
  <c r="BK698" i="1"/>
  <c r="AT695" i="1"/>
  <c r="BK697" i="1"/>
  <c r="BM700" i="1" a="1"/>
  <c r="BM700" i="1" s="1"/>
  <c r="BJ700" i="1" s="1" a="1"/>
  <c r="BJ700" i="1" s="1"/>
  <c r="BI701" i="1" a="1"/>
  <c r="BI701" i="1" s="1"/>
  <c r="AT703" i="1"/>
  <c r="BK699" i="1"/>
  <c r="BI702" i="1" a="1"/>
  <c r="BI702" i="1" s="1"/>
  <c r="BM699" i="1" a="1"/>
  <c r="BM699" i="1" s="1"/>
  <c r="BJ699" i="1" s="1" a="1"/>
  <c r="BJ699" i="1" s="1"/>
  <c r="BI700" i="1" a="1"/>
  <c r="BI700" i="1" s="1"/>
  <c r="E701" i="1" a="1"/>
  <c r="E701" i="1" s="1"/>
  <c r="BN701" i="1" a="1"/>
  <c r="BN701" i="1" s="1"/>
  <c r="AT702" i="1"/>
  <c r="BM702" i="1" a="1"/>
  <c r="BM702" i="1" s="1"/>
  <c r="BJ702" i="1" s="1" a="1"/>
  <c r="BJ702" i="1" s="1"/>
  <c r="AT701" i="1"/>
  <c r="BI698" i="1" a="1"/>
  <c r="BI698" i="1" s="1"/>
  <c r="E693" i="1" a="1"/>
  <c r="E693" i="1" s="1"/>
  <c r="E687" i="1" a="1"/>
  <c r="E687" i="1" s="1"/>
  <c r="E691" i="1" a="1"/>
  <c r="E691" i="1" s="1"/>
  <c r="E688" i="1" a="1"/>
  <c r="E688" i="1" s="1"/>
  <c r="BL691" i="1" a="1"/>
  <c r="BL691" i="1" s="1"/>
  <c r="BM692" i="1" a="1"/>
  <c r="BM692" i="1" s="1"/>
  <c r="BJ692" i="1" s="1" a="1"/>
  <c r="BJ692" i="1" s="1"/>
  <c r="BI684" i="1" a="1"/>
  <c r="BI684" i="1" s="1"/>
  <c r="BL689" i="1" a="1"/>
  <c r="BL689" i="1" s="1"/>
  <c r="E684" i="1" a="1"/>
  <c r="E684" i="1" s="1"/>
  <c r="BM690" i="1" a="1"/>
  <c r="BM690" i="1" s="1"/>
  <c r="BJ690" i="1" s="1" a="1"/>
  <c r="BJ690" i="1" s="1"/>
  <c r="BI691" i="1" a="1"/>
  <c r="BI691" i="1" s="1"/>
  <c r="E692" i="1" a="1"/>
  <c r="E692" i="1" s="1"/>
  <c r="BN692" i="1" a="1"/>
  <c r="BN692" i="1" s="1"/>
  <c r="BL687" i="1" a="1"/>
  <c r="BL687" i="1" s="1"/>
  <c r="BM689" i="1" a="1"/>
  <c r="BM689" i="1" s="1"/>
  <c r="BJ689" i="1" s="1" a="1"/>
  <c r="BJ689" i="1" s="1"/>
  <c r="BI690" i="1" a="1"/>
  <c r="BI690" i="1" s="1"/>
  <c r="BN691" i="1" a="1"/>
  <c r="BN691" i="1" s="1"/>
  <c r="BL686" i="1" a="1"/>
  <c r="BL686" i="1" s="1"/>
  <c r="E690" i="1" a="1"/>
  <c r="E690" i="1" s="1"/>
  <c r="BM691" i="1" a="1"/>
  <c r="BM691" i="1" s="1"/>
  <c r="BJ691" i="1" s="1" a="1"/>
  <c r="BJ691" i="1" s="1"/>
  <c r="BL685" i="1" a="1"/>
  <c r="BL685" i="1" s="1"/>
  <c r="BM687" i="1" a="1"/>
  <c r="BM687" i="1" s="1"/>
  <c r="BJ687" i="1" s="1" a="1"/>
  <c r="BJ687" i="1" s="1"/>
  <c r="E689" i="1" a="1"/>
  <c r="E689" i="1" s="1"/>
  <c r="BL693" i="1" a="1"/>
  <c r="BL693" i="1" s="1"/>
  <c r="BI687" i="1" a="1"/>
  <c r="BI687" i="1" s="1"/>
  <c r="BL673" i="1" a="1"/>
  <c r="BL673" i="1" s="1"/>
  <c r="BL680" i="1" a="1"/>
  <c r="BL680" i="1" s="1"/>
  <c r="E676" i="1" a="1"/>
  <c r="E676" i="1" s="1"/>
  <c r="E673" i="1" a="1"/>
  <c r="E673" i="1" s="1"/>
  <c r="E680" i="1" a="1"/>
  <c r="E680" i="1" s="1"/>
  <c r="E677" i="1" a="1"/>
  <c r="E677" i="1" s="1"/>
  <c r="BL678" i="1" a="1"/>
  <c r="BL678" i="1" s="1"/>
  <c r="BM680" i="1" a="1"/>
  <c r="BM680" i="1" s="1"/>
  <c r="BJ680" i="1" s="1" a="1"/>
  <c r="BJ680" i="1" s="1"/>
  <c r="BN673" i="1" a="1"/>
  <c r="BN673" i="1" s="1"/>
  <c r="BK676" i="1"/>
  <c r="BL677" i="1" a="1"/>
  <c r="BL677" i="1" s="1"/>
  <c r="BM679" i="1" a="1"/>
  <c r="BM679" i="1" s="1"/>
  <c r="BJ679" i="1" s="1" a="1"/>
  <c r="BJ679" i="1" s="1"/>
  <c r="BI680" i="1" a="1"/>
  <c r="BI680" i="1" s="1"/>
  <c r="E681" i="1" a="1"/>
  <c r="E681" i="1" s="1"/>
  <c r="BN681" i="1" a="1"/>
  <c r="BN681" i="1" s="1"/>
  <c r="BK678" i="1"/>
  <c r="BK675" i="1"/>
  <c r="BL676" i="1" a="1"/>
  <c r="BL676" i="1" s="1"/>
  <c r="BI679" i="1" a="1"/>
  <c r="BI679" i="1" s="1"/>
  <c r="BN680" i="1" a="1"/>
  <c r="BN680" i="1" s="1"/>
  <c r="BK677" i="1"/>
  <c r="E679" i="1" a="1"/>
  <c r="E679" i="1" s="1"/>
  <c r="BM681" i="1" a="1"/>
  <c r="BM681" i="1" s="1"/>
  <c r="BJ681" i="1" s="1" a="1"/>
  <c r="BJ681" i="1" s="1"/>
  <c r="E678" i="1" a="1"/>
  <c r="E678" i="1" s="1"/>
  <c r="BL682" i="1" a="1"/>
  <c r="BL682" i="1" s="1"/>
  <c r="BI676" i="1" a="1"/>
  <c r="BI676" i="1" s="1"/>
  <c r="E669" i="1" a="1"/>
  <c r="E669" i="1" s="1"/>
  <c r="E663" i="1" a="1"/>
  <c r="E663" i="1" s="1"/>
  <c r="E665" i="1" a="1"/>
  <c r="E665" i="1" s="1"/>
  <c r="E671" i="1" a="1"/>
  <c r="E671" i="1" s="1"/>
  <c r="BK669" i="1"/>
  <c r="E666" i="1" a="1"/>
  <c r="E666" i="1" s="1"/>
  <c r="BM662" i="1" a="1"/>
  <c r="BM662" i="1" s="1"/>
  <c r="BJ662" i="1" s="1" a="1"/>
  <c r="BJ662" i="1" s="1"/>
  <c r="BM670" i="1" a="1"/>
  <c r="BM670" i="1" s="1"/>
  <c r="BJ670" i="1" s="1" a="1"/>
  <c r="BJ670" i="1" s="1"/>
  <c r="BI662" i="1" a="1"/>
  <c r="BI662" i="1" s="1"/>
  <c r="BN663" i="1" a="1"/>
  <c r="BN663" i="1" s="1"/>
  <c r="AT664" i="1"/>
  <c r="BK666" i="1"/>
  <c r="BM669" i="1" a="1"/>
  <c r="BM669" i="1" s="1"/>
  <c r="BJ669" i="1" s="1" a="1"/>
  <c r="BJ669" i="1" s="1"/>
  <c r="BI670" i="1" a="1"/>
  <c r="BI670" i="1" s="1"/>
  <c r="BN671" i="1" a="1"/>
  <c r="BN671" i="1" s="1"/>
  <c r="BK667" i="1"/>
  <c r="E662" i="1" a="1"/>
  <c r="E662" i="1" s="1"/>
  <c r="BN662" i="1" a="1"/>
  <c r="BN662" i="1" s="1"/>
  <c r="AT663" i="1"/>
  <c r="BM668" i="1" a="1"/>
  <c r="BM668" i="1" s="1"/>
  <c r="BJ668" i="1" s="1" a="1"/>
  <c r="BJ668" i="1" s="1"/>
  <c r="BI669" i="1" a="1"/>
  <c r="BI669" i="1" s="1"/>
  <c r="E670" i="1" a="1"/>
  <c r="E670" i="1" s="1"/>
  <c r="BN670" i="1" a="1"/>
  <c r="BN670" i="1" s="1"/>
  <c r="AT671" i="1"/>
  <c r="BK664" i="1"/>
  <c r="BN669" i="1" a="1"/>
  <c r="BN669" i="1" s="1"/>
  <c r="BM666" i="1" a="1"/>
  <c r="BM666" i="1" s="1"/>
  <c r="BJ666" i="1" s="1" a="1"/>
  <c r="BJ666" i="1" s="1"/>
  <c r="E668" i="1" a="1"/>
  <c r="E668" i="1" s="1"/>
  <c r="AT669" i="1"/>
  <c r="BI666" i="1" a="1"/>
  <c r="BI666" i="1" s="1"/>
  <c r="E667" i="1" a="1"/>
  <c r="E667" i="1" s="1"/>
  <c r="AT668" i="1"/>
  <c r="BM667" i="1" a="1"/>
  <c r="BM667" i="1" s="1"/>
  <c r="BJ667" i="1" s="1" a="1"/>
  <c r="BJ667" i="1" s="1"/>
  <c r="BI665" i="1" a="1"/>
  <c r="BI665" i="1" s="1"/>
  <c r="BI987" i="1" a="1"/>
  <c r="BI987" i="1" s="1"/>
  <c r="BK875" i="1" a="1"/>
  <c r="BK875" i="1" s="1"/>
  <c r="BQ875" i="1" s="1"/>
  <c r="BR875" i="1" s="1"/>
  <c r="BK879" i="1" a="1"/>
  <c r="BK879" i="1" s="1"/>
  <c r="BQ879" i="1" s="1"/>
  <c r="BR879" i="1" s="1"/>
  <c r="BI960" i="1" a="1"/>
  <c r="BI960" i="1" s="1"/>
  <c r="BL1000" i="1" a="1"/>
  <c r="BL1000" i="1" s="1"/>
  <c r="BN839" i="1" a="1"/>
  <c r="BN839" i="1" s="1"/>
  <c r="BK954" i="1"/>
  <c r="BI968" i="1" a="1"/>
  <c r="BI968" i="1" s="1"/>
  <c r="BK917" i="1"/>
  <c r="BK998" i="1" a="1"/>
  <c r="BK998" i="1" s="1"/>
  <c r="BN874" i="1" a="1"/>
  <c r="BN874" i="1" s="1"/>
  <c r="BL862" i="1" a="1"/>
  <c r="BL862" i="1" s="1"/>
  <c r="BN856" i="1" a="1"/>
  <c r="BN856" i="1" s="1"/>
  <c r="BL895" i="1" a="1"/>
  <c r="BL895" i="1" s="1"/>
  <c r="BN858" i="1" a="1"/>
  <c r="BN858" i="1" s="1"/>
  <c r="BI882" i="1" a="1"/>
  <c r="BI882" i="1" s="1"/>
  <c r="BN897" i="1" a="1"/>
  <c r="BN897" i="1" s="1"/>
  <c r="BK948" i="1"/>
  <c r="BK869" i="1" a="1"/>
  <c r="BK869" i="1" s="1"/>
  <c r="BL928" i="1"/>
  <c r="BM895" i="1" a="1"/>
  <c r="BM895" i="1" s="1"/>
  <c r="BJ895" i="1" s="1" a="1"/>
  <c r="BJ895" i="1" s="1"/>
  <c r="BN901" i="1" a="1"/>
  <c r="BN901" i="1" s="1"/>
  <c r="BM844" i="1" a="1"/>
  <c r="BM844" i="1" s="1"/>
  <c r="BJ844" i="1" s="1" a="1"/>
  <c r="BJ844" i="1" s="1"/>
  <c r="BI889" i="1" a="1"/>
  <c r="BI889" i="1" s="1"/>
  <c r="BI954" i="1" a="1"/>
  <c r="BI954" i="1" s="1"/>
  <c r="BI1000" i="1" a="1"/>
  <c r="BI1000" i="1" s="1"/>
  <c r="BK871" i="1" a="1"/>
  <c r="BK871" i="1" s="1"/>
  <c r="BQ871" i="1" s="1"/>
  <c r="BR871" i="1" s="1"/>
  <c r="BK900" i="1" a="1"/>
  <c r="BK900" i="1" s="1"/>
  <c r="BM924" i="1" a="1"/>
  <c r="BM924" i="1" s="1"/>
  <c r="BJ924" i="1" s="1" a="1"/>
  <c r="BJ924" i="1" s="1"/>
  <c r="BN960" i="1" a="1"/>
  <c r="BN960" i="1" s="1"/>
  <c r="BK841" i="1" a="1"/>
  <c r="BK841" i="1" s="1"/>
  <c r="BQ841" i="1" s="1"/>
  <c r="BR841" i="1" s="1"/>
  <c r="BK864" i="1" a="1"/>
  <c r="BK864" i="1" s="1"/>
  <c r="BN875" i="1" a="1"/>
  <c r="BN875" i="1" s="1"/>
  <c r="BK956" i="1"/>
  <c r="BN860" i="1" a="1"/>
  <c r="BN860" i="1" s="1"/>
  <c r="BM899" i="1" a="1"/>
  <c r="BM899" i="1" s="1"/>
  <c r="BJ899" i="1" s="1" a="1"/>
  <c r="BJ899" i="1" s="1"/>
  <c r="BI858" i="1" a="1"/>
  <c r="BI858" i="1" s="1"/>
  <c r="BM861" i="1" a="1"/>
  <c r="BM861" i="1" s="1"/>
  <c r="BJ861" i="1" s="1" a="1"/>
  <c r="BJ861" i="1" s="1"/>
  <c r="BN866" i="1" a="1"/>
  <c r="BN866" i="1" s="1"/>
  <c r="BM916" i="1" a="1"/>
  <c r="BM916" i="1" s="1"/>
  <c r="BJ916" i="1" s="1" a="1"/>
  <c r="BJ916" i="1" s="1"/>
  <c r="BK922" i="1"/>
  <c r="BI950" i="1" a="1"/>
  <c r="BI950" i="1" s="1"/>
  <c r="BK951" i="1"/>
  <c r="BK982" i="1"/>
  <c r="BM1000" i="1" a="1"/>
  <c r="BM1000" i="1" s="1"/>
  <c r="BJ1000" i="1" s="1" a="1"/>
  <c r="BJ1000" i="1" s="1"/>
  <c r="BL921" i="1"/>
  <c r="BN950" i="1" a="1"/>
  <c r="BN950" i="1" s="1"/>
  <c r="BN847" i="1" a="1"/>
  <c r="BN847" i="1" s="1"/>
  <c r="BL873" i="1" a="1"/>
  <c r="BL873" i="1" s="1"/>
  <c r="BK851" i="1"/>
  <c r="BM858" i="1" a="1"/>
  <c r="BM858" i="1" s="1"/>
  <c r="BJ858" i="1" s="1" a="1"/>
  <c r="BJ858" i="1" s="1"/>
  <c r="BI994" i="1" a="1"/>
  <c r="BI994" i="1" s="1"/>
  <c r="BM840" i="1" a="1"/>
  <c r="BM840" i="1" s="1"/>
  <c r="BJ840" i="1" s="1" a="1"/>
  <c r="BJ840" i="1" s="1"/>
  <c r="BM843" i="1" a="1"/>
  <c r="BM843" i="1" s="1"/>
  <c r="BJ843" i="1" s="1" a="1"/>
  <c r="BJ843" i="1" s="1"/>
  <c r="BN890" i="1" a="1"/>
  <c r="BN890" i="1" s="1"/>
  <c r="BM893" i="1" a="1"/>
  <c r="BM893" i="1" s="1"/>
  <c r="BJ893" i="1" s="1" a="1"/>
  <c r="BJ893" i="1" s="1"/>
  <c r="BN898" i="1" a="1"/>
  <c r="BN898" i="1" s="1"/>
  <c r="BK924" i="1"/>
  <c r="BK966" i="1" a="1"/>
  <c r="BK966" i="1" s="1"/>
  <c r="BL994" i="1" a="1"/>
  <c r="BL994" i="1" s="1"/>
  <c r="BN846" i="1" a="1"/>
  <c r="BN846" i="1" s="1"/>
  <c r="BI865" i="1" a="1"/>
  <c r="BI865" i="1" s="1"/>
  <c r="BI872" i="1" a="1"/>
  <c r="BI872" i="1" s="1"/>
  <c r="BL924" i="1"/>
  <c r="BM965" i="1" a="1"/>
  <c r="BM965" i="1" s="1"/>
  <c r="BJ965" i="1" s="1" a="1"/>
  <c r="BJ965" i="1" s="1"/>
  <c r="BM999" i="1" a="1"/>
  <c r="BM999" i="1" s="1"/>
  <c r="BJ999" i="1" s="1" a="1"/>
  <c r="BJ999" i="1" s="1"/>
  <c r="BK1000" i="1" a="1"/>
  <c r="BK1000" i="1" s="1"/>
  <c r="BN842" i="1" a="1"/>
  <c r="BN842" i="1" s="1"/>
  <c r="BK844" i="1" a="1"/>
  <c r="BK844" i="1" s="1"/>
  <c r="BQ844" i="1" s="1"/>
  <c r="BR844" i="1" s="1"/>
  <c r="BI847" i="1" a="1"/>
  <c r="BI847" i="1" s="1"/>
  <c r="BM860" i="1" a="1"/>
  <c r="BM860" i="1" s="1"/>
  <c r="BJ860" i="1" s="1" a="1"/>
  <c r="BJ860" i="1" s="1"/>
  <c r="BM876" i="1" a="1"/>
  <c r="BM876" i="1" s="1"/>
  <c r="BJ876" i="1" s="1" a="1"/>
  <c r="BJ876" i="1" s="1"/>
  <c r="BN882" i="1" a="1"/>
  <c r="BN882" i="1" s="1"/>
  <c r="BN883" i="1" a="1"/>
  <c r="BN883" i="1" s="1"/>
  <c r="BK884" i="1"/>
  <c r="BM889" i="1" a="1"/>
  <c r="BM889" i="1" s="1"/>
  <c r="BJ889" i="1" s="1" a="1"/>
  <c r="BJ889" i="1" s="1"/>
  <c r="BM890" i="1" a="1"/>
  <c r="BM890" i="1" s="1"/>
  <c r="BJ890" i="1" s="1" a="1"/>
  <c r="BJ890" i="1" s="1"/>
  <c r="BI894" i="1" a="1"/>
  <c r="BI894" i="1" s="1"/>
  <c r="BK921" i="1"/>
  <c r="BL923" i="1"/>
  <c r="BI948" i="1" a="1"/>
  <c r="BI948" i="1" s="1"/>
  <c r="BK949" i="1"/>
  <c r="BK950" i="1"/>
  <c r="BI951" i="1" a="1"/>
  <c r="BI951" i="1" s="1"/>
  <c r="BM966" i="1" a="1"/>
  <c r="BM966" i="1" s="1"/>
  <c r="BJ966" i="1" s="1" a="1"/>
  <c r="BJ966" i="1" s="1"/>
  <c r="BL967" i="1" a="1"/>
  <c r="BL967" i="1" s="1"/>
  <c r="BN992" i="1" a="1"/>
  <c r="BN992" i="1" s="1"/>
  <c r="BL993" i="1" a="1"/>
  <c r="BL993" i="1" s="1"/>
  <c r="BK994" i="1" a="1"/>
  <c r="BK994" i="1" s="1"/>
  <c r="BI998" i="1" a="1"/>
  <c r="BI998" i="1" s="1"/>
  <c r="BN844" i="1" a="1"/>
  <c r="BN844" i="1" s="1"/>
  <c r="BK849" i="1"/>
  <c r="BM850" i="1" a="1"/>
  <c r="BM850" i="1" s="1"/>
  <c r="BJ850" i="1" s="1" a="1"/>
  <c r="BJ850" i="1" s="1"/>
  <c r="BK854" i="1"/>
  <c r="BM855" i="1" a="1"/>
  <c r="BM855" i="1" s="1"/>
  <c r="BJ855" i="1" s="1" a="1"/>
  <c r="BJ855" i="1" s="1"/>
  <c r="BK885" i="1"/>
  <c r="BM896" i="1" a="1"/>
  <c r="BM896" i="1" s="1"/>
  <c r="BJ896" i="1" s="1" a="1"/>
  <c r="BJ896" i="1" s="1"/>
  <c r="BM921" i="1" a="1"/>
  <c r="BM921" i="1" s="1"/>
  <c r="BJ921" i="1" s="1" a="1"/>
  <c r="BJ921" i="1" s="1"/>
  <c r="BN924" i="1" a="1"/>
  <c r="BN924" i="1" s="1"/>
  <c r="BN951" i="1" a="1"/>
  <c r="BN951" i="1" s="1"/>
  <c r="BI957" i="1" a="1"/>
  <c r="BI957" i="1" s="1"/>
  <c r="BI981" i="1" a="1"/>
  <c r="BI981" i="1" s="1"/>
  <c r="BI988" i="1" a="1"/>
  <c r="BI988" i="1" s="1"/>
  <c r="BM994" i="1" a="1"/>
  <c r="BM994" i="1" s="1"/>
  <c r="BJ994" i="1" s="1" a="1"/>
  <c r="BJ994" i="1" s="1"/>
  <c r="BL840" i="1" a="1"/>
  <c r="BL840" i="1" s="1"/>
  <c r="BI843" i="1" a="1"/>
  <c r="BI843" i="1" s="1"/>
  <c r="BK845" i="1" a="1"/>
  <c r="BK845" i="1" s="1"/>
  <c r="BQ845" i="1" s="1"/>
  <c r="BR845" i="1" s="1"/>
  <c r="BI849" i="1" a="1"/>
  <c r="BI849" i="1" s="1"/>
  <c r="BI853" i="1" a="1"/>
  <c r="BI853" i="1" s="1"/>
  <c r="BI861" i="1" a="1"/>
  <c r="BI861" i="1" s="1"/>
  <c r="BM867" i="1" a="1"/>
  <c r="BM867" i="1" s="1"/>
  <c r="BJ867" i="1" s="1" a="1"/>
  <c r="BJ867" i="1" s="1"/>
  <c r="BM872" i="1" a="1"/>
  <c r="BM872" i="1" s="1"/>
  <c r="BJ872" i="1" s="1" a="1"/>
  <c r="BJ872" i="1" s="1"/>
  <c r="BM874" i="1" a="1"/>
  <c r="BM874" i="1" s="1"/>
  <c r="BJ874" i="1" s="1" a="1"/>
  <c r="BJ874" i="1" s="1"/>
  <c r="BM882" i="1" a="1"/>
  <c r="BM882" i="1" s="1"/>
  <c r="BJ882" i="1" s="1" a="1"/>
  <c r="BJ882" i="1" s="1"/>
  <c r="BM897" i="1" a="1"/>
  <c r="BM897" i="1" s="1"/>
  <c r="BJ897" i="1" s="1" a="1"/>
  <c r="BJ897" i="1" s="1"/>
  <c r="BI902" i="1" a="1"/>
  <c r="BI902" i="1" s="1"/>
  <c r="BI916" i="1" a="1"/>
  <c r="BI916" i="1" s="1"/>
  <c r="BN957" i="1" a="1"/>
  <c r="BN957" i="1" s="1"/>
  <c r="BK981" i="1"/>
  <c r="BI982" i="1" a="1"/>
  <c r="BI982" i="1" s="1"/>
  <c r="BK988" i="1"/>
  <c r="BL998" i="1" a="1"/>
  <c r="BL998" i="1" s="1"/>
  <c r="BI850" i="1" a="1"/>
  <c r="BI850" i="1" s="1"/>
  <c r="BM856" i="1" a="1"/>
  <c r="BM856" i="1" s="1"/>
  <c r="BJ856" i="1" s="1" a="1"/>
  <c r="BJ856" i="1" s="1"/>
  <c r="BM857" i="1" a="1"/>
  <c r="BM857" i="1" s="1"/>
  <c r="BJ857" i="1" s="1" a="1"/>
  <c r="BJ857" i="1" s="1"/>
  <c r="BK867" i="1" a="1"/>
  <c r="BK867" i="1" s="1"/>
  <c r="BM868" i="1" a="1"/>
  <c r="BM868" i="1" s="1"/>
  <c r="BJ868" i="1" s="1" a="1"/>
  <c r="BJ868" i="1" s="1"/>
  <c r="BM878" i="1" a="1"/>
  <c r="BM878" i="1" s="1"/>
  <c r="BJ878" i="1" s="1" a="1"/>
  <c r="BJ878" i="1" s="1"/>
  <c r="BI880" i="1" a="1"/>
  <c r="BI880" i="1" s="1"/>
  <c r="BI890" i="1" a="1"/>
  <c r="BI890" i="1" s="1"/>
  <c r="BM891" i="1" a="1"/>
  <c r="BM891" i="1" s="1"/>
  <c r="BJ891" i="1" s="1" a="1"/>
  <c r="BJ891" i="1" s="1"/>
  <c r="BL916" i="1"/>
  <c r="BL959" i="1" a="1"/>
  <c r="BL959" i="1" s="1"/>
  <c r="BL960" i="1" a="1"/>
  <c r="BL960" i="1" s="1"/>
  <c r="BN981" i="1" a="1"/>
  <c r="BN981" i="1" s="1"/>
  <c r="BM998" i="1" a="1"/>
  <c r="BM998" i="1" s="1"/>
  <c r="BJ998" i="1" s="1" a="1"/>
  <c r="BJ998" i="1" s="1"/>
  <c r="BN838" i="1" a="1"/>
  <c r="BN838" i="1" s="1"/>
  <c r="BM842" i="1" a="1"/>
  <c r="BM842" i="1" s="1"/>
  <c r="BJ842" i="1" s="1" a="1"/>
  <c r="BJ842" i="1" s="1"/>
  <c r="BM847" i="1" a="1"/>
  <c r="BM847" i="1" s="1"/>
  <c r="BJ847" i="1" s="1" a="1"/>
  <c r="BJ847" i="1" s="1"/>
  <c r="BN850" i="1" a="1"/>
  <c r="BN850" i="1" s="1"/>
  <c r="BI857" i="1" a="1"/>
  <c r="BI857" i="1" s="1"/>
  <c r="BL878" i="1" a="1"/>
  <c r="BL878" i="1" s="1"/>
  <c r="BK883" i="1"/>
  <c r="BK887" i="1"/>
  <c r="BN891" i="1" a="1"/>
  <c r="BN891" i="1" s="1"/>
  <c r="BN916" i="1" a="1"/>
  <c r="BN916" i="1" s="1"/>
  <c r="BL932" i="1"/>
  <c r="BI966" i="1" a="1"/>
  <c r="BI966" i="1" s="1"/>
  <c r="BK992" i="1" a="1"/>
  <c r="BK992" i="1" s="1"/>
  <c r="BI844" i="1" a="1"/>
  <c r="BI844" i="1" s="1"/>
  <c r="BN851" i="1" a="1"/>
  <c r="BN851" i="1" s="1"/>
  <c r="BK852" i="1"/>
  <c r="BK863" i="1" a="1"/>
  <c r="BK863" i="1" s="1"/>
  <c r="BK882" i="1"/>
  <c r="BM992" i="1" a="1"/>
  <c r="BM992" i="1" s="1"/>
  <c r="BJ992" i="1" s="1" a="1"/>
  <c r="BJ992" i="1" s="1"/>
  <c r="BN887" i="1" a="1"/>
  <c r="BN887" i="1" s="1"/>
  <c r="BI952" i="1" a="1"/>
  <c r="BI952" i="1" s="1"/>
  <c r="BN854" i="1" a="1"/>
  <c r="BN854" i="1" s="1"/>
  <c r="BL884" i="1" a="1"/>
  <c r="BL884" i="1" s="1"/>
  <c r="BK896" i="1" a="1"/>
  <c r="BK896" i="1" s="1"/>
  <c r="BL899" i="1" a="1"/>
  <c r="BL899" i="1" s="1"/>
  <c r="BI901" i="1" a="1"/>
  <c r="BI901" i="1" s="1"/>
  <c r="BM902" i="1" a="1"/>
  <c r="BM902" i="1" s="1"/>
  <c r="BJ902" i="1" s="1" a="1"/>
  <c r="BJ902" i="1" s="1"/>
  <c r="BI920" i="1" a="1"/>
  <c r="BI920" i="1" s="1"/>
  <c r="BK952" i="1"/>
  <c r="BI953" i="1" a="1"/>
  <c r="BI953" i="1" s="1"/>
  <c r="BK961" i="1" a="1"/>
  <c r="BK961" i="1" s="1"/>
  <c r="BI964" i="1" a="1"/>
  <c r="BI964" i="1" s="1"/>
  <c r="BL966" i="1" a="1"/>
  <c r="BL966" i="1" s="1"/>
  <c r="BN968" i="1" a="1"/>
  <c r="BN968" i="1" s="1"/>
  <c r="BN982" i="1" a="1"/>
  <c r="BN982" i="1" s="1"/>
  <c r="BK983" i="1"/>
  <c r="BK984" i="1"/>
  <c r="BI985" i="1" a="1"/>
  <c r="BI985" i="1" s="1"/>
  <c r="BI986" i="1" a="1"/>
  <c r="BI986" i="1" s="1"/>
  <c r="BN963" i="1" a="1"/>
  <c r="BN963" i="1" s="1"/>
  <c r="BI983" i="1" a="1"/>
  <c r="BI983" i="1" s="1"/>
  <c r="BN865" i="1" a="1"/>
  <c r="BN865" i="1" s="1"/>
  <c r="BN894" i="1" a="1"/>
  <c r="BN894" i="1" s="1"/>
  <c r="BN952" i="1" a="1"/>
  <c r="BN952" i="1" s="1"/>
  <c r="BN984" i="1" a="1"/>
  <c r="BN984" i="1" s="1"/>
  <c r="BM839" i="1" a="1"/>
  <c r="BM839" i="1" s="1"/>
  <c r="BJ839" i="1" s="1" a="1"/>
  <c r="BJ839" i="1" s="1"/>
  <c r="BI840" i="1" a="1"/>
  <c r="BI840" i="1" s="1"/>
  <c r="BN843" i="1" a="1"/>
  <c r="BN843" i="1" s="1"/>
  <c r="BN849" i="1" a="1"/>
  <c r="BN849" i="1" s="1"/>
  <c r="BL851" i="1" a="1"/>
  <c r="BL851" i="1" s="1"/>
  <c r="BK860" i="1" a="1"/>
  <c r="BK860" i="1" s="1"/>
  <c r="BM864" i="1" a="1"/>
  <c r="BM864" i="1" s="1"/>
  <c r="BJ864" i="1" s="1" a="1"/>
  <c r="BJ864" i="1" s="1"/>
  <c r="BN868" i="1" a="1"/>
  <c r="BN868" i="1" s="1"/>
  <c r="BM871" i="1" a="1"/>
  <c r="BM871" i="1" s="1"/>
  <c r="BJ871" i="1" s="1" a="1"/>
  <c r="BJ871" i="1" s="1"/>
  <c r="BN872" i="1" a="1"/>
  <c r="BN872" i="1" s="1"/>
  <c r="BK876" i="1" a="1"/>
  <c r="BK876" i="1" s="1"/>
  <c r="BQ876" i="1" s="1"/>
  <c r="BR876" i="1" s="1"/>
  <c r="BI878" i="1" a="1"/>
  <c r="BI878" i="1" s="1"/>
  <c r="BN880" i="1" a="1"/>
  <c r="BN880" i="1" s="1"/>
  <c r="BM883" i="1" a="1"/>
  <c r="BM883" i="1" s="1"/>
  <c r="BJ883" i="1" s="1" a="1"/>
  <c r="BJ883" i="1" s="1"/>
  <c r="BM884" i="1" a="1"/>
  <c r="BM884" i="1" s="1"/>
  <c r="BJ884" i="1" s="1" a="1"/>
  <c r="BJ884" i="1" s="1"/>
  <c r="BK888" i="1"/>
  <c r="BI891" i="1" a="1"/>
  <c r="BI891" i="1" s="1"/>
  <c r="BI897" i="1" a="1"/>
  <c r="BI897" i="1" s="1"/>
  <c r="BI899" i="1" a="1"/>
  <c r="BI899" i="1" s="1"/>
  <c r="BM917" i="1" a="1"/>
  <c r="BM917" i="1" s="1"/>
  <c r="BJ917" i="1" s="1" a="1"/>
  <c r="BJ917" i="1" s="1"/>
  <c r="BK918" i="1"/>
  <c r="BM920" i="1" a="1"/>
  <c r="BM920" i="1" s="1"/>
  <c r="BJ920" i="1" s="1" a="1"/>
  <c r="BJ920" i="1" s="1"/>
  <c r="BN953" i="1" a="1"/>
  <c r="BN953" i="1" s="1"/>
  <c r="BI955" i="1" a="1"/>
  <c r="BI955" i="1" s="1"/>
  <c r="BM964" i="1" a="1"/>
  <c r="BM964" i="1" s="1"/>
  <c r="BJ964" i="1" s="1" a="1"/>
  <c r="BJ964" i="1" s="1"/>
  <c r="BN986" i="1" a="1"/>
  <c r="BN986" i="1" s="1"/>
  <c r="BK987" i="1"/>
  <c r="BI989" i="1" a="1"/>
  <c r="BI989" i="1" s="1"/>
  <c r="BI990" i="1" a="1"/>
  <c r="BI990" i="1" s="1"/>
  <c r="BK846" i="1" a="1"/>
  <c r="BK846" i="1" s="1"/>
  <c r="BQ846" i="1" s="1"/>
  <c r="BR846" i="1" s="1"/>
  <c r="BK865" i="1" a="1"/>
  <c r="BK865" i="1" s="1"/>
  <c r="BN869" i="1" a="1"/>
  <c r="BN869" i="1" s="1"/>
  <c r="BK953" i="1"/>
  <c r="BK985" i="1"/>
  <c r="BK840" i="1" a="1"/>
  <c r="BK840" i="1" s="1"/>
  <c r="BQ840" i="1" s="1"/>
  <c r="BR840" i="1" s="1"/>
  <c r="BL852" i="1" a="1"/>
  <c r="BL852" i="1" s="1"/>
  <c r="BK853" i="1"/>
  <c r="BN857" i="1" a="1"/>
  <c r="BN857" i="1" s="1"/>
  <c r="BM869" i="1" a="1"/>
  <c r="BM869" i="1" s="1"/>
  <c r="BJ869" i="1" s="1" a="1"/>
  <c r="BJ869" i="1" s="1"/>
  <c r="BK874" i="1" a="1"/>
  <c r="BK874" i="1" s="1"/>
  <c r="BQ874" i="1" s="1"/>
  <c r="BR874" i="1" s="1"/>
  <c r="BM875" i="1" a="1"/>
  <c r="BM875" i="1" s="1"/>
  <c r="BJ875" i="1" s="1" a="1"/>
  <c r="BJ875" i="1" s="1"/>
  <c r="BM877" i="1" a="1"/>
  <c r="BM877" i="1" s="1"/>
  <c r="BJ877" i="1" s="1" a="1"/>
  <c r="BJ877" i="1" s="1"/>
  <c r="BI879" i="1" a="1"/>
  <c r="BI879" i="1" s="1"/>
  <c r="BI883" i="1" a="1"/>
  <c r="BI883" i="1" s="1"/>
  <c r="BL885" i="1" a="1"/>
  <c r="BL885" i="1" s="1"/>
  <c r="BK886" i="1"/>
  <c r="BK897" i="1" a="1"/>
  <c r="BK897" i="1" s="1"/>
  <c r="BM898" i="1" a="1"/>
  <c r="BM898" i="1" s="1"/>
  <c r="BJ898" i="1" s="1" a="1"/>
  <c r="BJ898" i="1" s="1"/>
  <c r="BK899" i="1" a="1"/>
  <c r="BK899" i="1" s="1"/>
  <c r="BN920" i="1" a="1"/>
  <c r="BN920" i="1" s="1"/>
  <c r="BL934" i="1"/>
  <c r="BN948" i="1" a="1"/>
  <c r="BN948" i="1" s="1"/>
  <c r="BI949" i="1" a="1"/>
  <c r="BI949" i="1" s="1"/>
  <c r="BN954" i="1" a="1"/>
  <c r="BN954" i="1" s="1"/>
  <c r="BK955" i="1"/>
  <c r="BI956" i="1" a="1"/>
  <c r="BI956" i="1" s="1"/>
  <c r="BK960" i="1" a="1"/>
  <c r="BK960" i="1" s="1"/>
  <c r="BN964" i="1" a="1"/>
  <c r="BN964" i="1" s="1"/>
  <c r="BN988" i="1" a="1"/>
  <c r="BN988" i="1" s="1"/>
  <c r="BK989" i="1"/>
  <c r="BN990" i="1" a="1"/>
  <c r="BN990" i="1" s="1"/>
  <c r="BI992" i="1" a="1"/>
  <c r="BI992" i="1" s="1"/>
  <c r="BK995" i="1" a="1"/>
  <c r="BK995" i="1" s="1"/>
  <c r="BN997" i="1" a="1"/>
  <c r="BN997" i="1" s="1"/>
  <c r="BI999" i="1" a="1"/>
  <c r="BI999" i="1" s="1"/>
  <c r="BI984" i="1" a="1"/>
  <c r="BI984" i="1" s="1"/>
  <c r="BK880" i="1" a="1"/>
  <c r="BK880" i="1" s="1"/>
  <c r="BQ880" i="1" s="1"/>
  <c r="BR880" i="1" s="1"/>
  <c r="BN862" i="1" a="1"/>
  <c r="BN862" i="1" s="1"/>
  <c r="BK986" i="1"/>
  <c r="BI839" i="1" a="1"/>
  <c r="BI839" i="1" s="1"/>
  <c r="BM846" i="1" a="1"/>
  <c r="BM846" i="1" s="1"/>
  <c r="BJ846" i="1" s="1" a="1"/>
  <c r="BJ846" i="1" s="1"/>
  <c r="BN855" i="1" a="1"/>
  <c r="BN855" i="1" s="1"/>
  <c r="BK861" i="1" a="1"/>
  <c r="BK861" i="1" s="1"/>
  <c r="BN864" i="1" a="1"/>
  <c r="BN864" i="1" s="1"/>
  <c r="BM865" i="1" a="1"/>
  <c r="BM865" i="1" s="1"/>
  <c r="BJ865" i="1" s="1" a="1"/>
  <c r="BJ865" i="1" s="1"/>
  <c r="BL866" i="1" a="1"/>
  <c r="BL866" i="1" s="1"/>
  <c r="BK868" i="1" a="1"/>
  <c r="BK868" i="1" s="1"/>
  <c r="BM880" i="1" a="1"/>
  <c r="BM880" i="1" s="1"/>
  <c r="BJ880" i="1" s="1" a="1"/>
  <c r="BJ880" i="1" s="1"/>
  <c r="BN888" i="1" a="1"/>
  <c r="BN888" i="1" s="1"/>
  <c r="BI893" i="1" a="1"/>
  <c r="BI893" i="1" s="1"/>
  <c r="BI895" i="1" a="1"/>
  <c r="BI895" i="1" s="1"/>
  <c r="BM900" i="1" a="1"/>
  <c r="BM900" i="1" s="1"/>
  <c r="BJ900" i="1" s="1" a="1"/>
  <c r="BJ900" i="1" s="1"/>
  <c r="BN902" i="1" a="1"/>
  <c r="BN902" i="1" s="1"/>
  <c r="BN955" i="1" a="1"/>
  <c r="BN955" i="1" s="1"/>
  <c r="BN873" i="1" a="1"/>
  <c r="BN873" i="1" s="1"/>
  <c r="BM879" i="1" a="1"/>
  <c r="BM879" i="1" s="1"/>
  <c r="BJ879" i="1" s="1" a="1"/>
  <c r="BJ879" i="1" s="1"/>
  <c r="BK838" i="1" a="1"/>
  <c r="BK838" i="1" s="1"/>
  <c r="BQ838" i="1" s="1"/>
  <c r="BR838" i="1" s="1"/>
  <c r="BM863" i="1" a="1"/>
  <c r="BM863" i="1" s="1"/>
  <c r="BJ863" i="1" s="1" a="1"/>
  <c r="BJ863" i="1" s="1"/>
  <c r="BI884" i="1" a="1"/>
  <c r="BI884" i="1" s="1"/>
  <c r="BN889" i="1" a="1"/>
  <c r="BN889" i="1" s="1"/>
  <c r="BL920" i="1"/>
  <c r="BL964" i="1" a="1"/>
  <c r="BL964" i="1" s="1"/>
  <c r="BM838" i="1" a="1"/>
  <c r="BM838" i="1" s="1"/>
  <c r="BJ838" i="1" s="1" a="1"/>
  <c r="BJ838" i="1" s="1"/>
  <c r="BN840" i="1" a="1"/>
  <c r="BN840" i="1" s="1"/>
  <c r="BK842" i="1" a="1"/>
  <c r="BK842" i="1" s="1"/>
  <c r="BQ842" i="1" s="1"/>
  <c r="BR842" i="1" s="1"/>
  <c r="BK847" i="1" a="1"/>
  <c r="BK847" i="1" s="1"/>
  <c r="BQ847" i="1" s="1"/>
  <c r="BR847" i="1" s="1"/>
  <c r="BM849" i="1" a="1"/>
  <c r="BM849" i="1" s="1"/>
  <c r="BJ849" i="1" s="1" a="1"/>
  <c r="BJ849" i="1" s="1"/>
  <c r="BN853" i="1" a="1"/>
  <c r="BN853" i="1" s="1"/>
  <c r="BM854" i="1" a="1"/>
  <c r="BM854" i="1" s="1"/>
  <c r="BJ854" i="1" s="1" a="1"/>
  <c r="BJ854" i="1" s="1"/>
  <c r="BK856" i="1"/>
  <c r="BN861" i="1" a="1"/>
  <c r="BN861" i="1" s="1"/>
  <c r="BI869" i="1" a="1"/>
  <c r="BI869" i="1" s="1"/>
  <c r="BI871" i="1" a="1"/>
  <c r="BI871" i="1" s="1"/>
  <c r="BI875" i="1" a="1"/>
  <c r="BI875" i="1" s="1"/>
  <c r="BN877" i="1" a="1"/>
  <c r="BN877" i="1" s="1"/>
  <c r="BI886" i="1" a="1"/>
  <c r="BI886" i="1" s="1"/>
  <c r="BK889" i="1"/>
  <c r="BK893" i="1" a="1"/>
  <c r="BK893" i="1" s="1"/>
  <c r="BM894" i="1" a="1"/>
  <c r="BM894" i="1" s="1"/>
  <c r="BJ894" i="1" s="1" a="1"/>
  <c r="BJ894" i="1" s="1"/>
  <c r="BK895" i="1" a="1"/>
  <c r="BK895" i="1" s="1"/>
  <c r="BI898" i="1" a="1"/>
  <c r="BI898" i="1" s="1"/>
  <c r="BM901" i="1" a="1"/>
  <c r="BM901" i="1" s="1"/>
  <c r="BJ901" i="1" s="1" a="1"/>
  <c r="BJ901" i="1" s="1"/>
  <c r="BK932" i="1"/>
  <c r="BN949" i="1" a="1"/>
  <c r="BN949" i="1" s="1"/>
  <c r="BN956" i="1" a="1"/>
  <c r="BN956" i="1" s="1"/>
  <c r="BI965" i="1" a="1"/>
  <c r="BI965" i="1" s="1"/>
  <c r="BL1001" i="1" a="1"/>
  <c r="BL1001" i="1" s="1"/>
  <c r="BI993" i="1" a="1"/>
  <c r="BI993" i="1" s="1"/>
  <c r="BM993" i="1" a="1"/>
  <c r="BM993" i="1" s="1"/>
  <c r="BJ993" i="1" s="1" a="1"/>
  <c r="BJ993" i="1" s="1"/>
  <c r="BL995" i="1" a="1"/>
  <c r="BL995" i="1" s="1"/>
  <c r="BK997" i="1" a="1"/>
  <c r="BK997" i="1" s="1"/>
  <c r="BN999" i="1" a="1"/>
  <c r="BN999" i="1" s="1"/>
  <c r="BI1001" i="1" a="1"/>
  <c r="BI1001" i="1" s="1"/>
  <c r="BM1001" i="1" a="1"/>
  <c r="BM1001" i="1" s="1"/>
  <c r="BJ1001" i="1" s="1" a="1"/>
  <c r="BJ1001" i="1" s="1"/>
  <c r="BN996" i="1" a="1"/>
  <c r="BN996" i="1" s="1"/>
  <c r="BM996" i="1" a="1"/>
  <c r="BM996" i="1" s="1"/>
  <c r="BJ996" i="1" s="1" a="1"/>
  <c r="BJ996" i="1" s="1"/>
  <c r="BN993" i="1" a="1"/>
  <c r="BN993" i="1" s="1"/>
  <c r="BI995" i="1" a="1"/>
  <c r="BI995" i="1" s="1"/>
  <c r="BM995" i="1" a="1"/>
  <c r="BM995" i="1" s="1"/>
  <c r="BJ995" i="1" s="1" a="1"/>
  <c r="BJ995" i="1" s="1"/>
  <c r="BL997" i="1" a="1"/>
  <c r="BL997" i="1" s="1"/>
  <c r="BK999" i="1" a="1"/>
  <c r="BK999" i="1" s="1"/>
  <c r="BN1001" i="1" a="1"/>
  <c r="BN1001" i="1" s="1"/>
  <c r="BI996" i="1" a="1"/>
  <c r="BI996" i="1" s="1"/>
  <c r="BK996" i="1" a="1"/>
  <c r="BK996" i="1" s="1"/>
  <c r="BI997" i="1" a="1"/>
  <c r="BI997" i="1" s="1"/>
  <c r="BL989" i="1" a="1"/>
  <c r="BL989" i="1" s="1"/>
  <c r="BL981" i="1" a="1"/>
  <c r="BL981" i="1" s="1"/>
  <c r="BL983" i="1" a="1"/>
  <c r="BL983" i="1" s="1"/>
  <c r="BL985" i="1" a="1"/>
  <c r="BL985" i="1" s="1"/>
  <c r="BL987" i="1" a="1"/>
  <c r="BL987" i="1" s="1"/>
  <c r="BM983" i="1" a="1"/>
  <c r="BM983" i="1" s="1"/>
  <c r="BJ983" i="1" s="1" a="1"/>
  <c r="BJ983" i="1" s="1"/>
  <c r="BM985" i="1" a="1"/>
  <c r="BM985" i="1" s="1"/>
  <c r="BJ985" i="1" s="1" a="1"/>
  <c r="BJ985" i="1" s="1"/>
  <c r="BM987" i="1" a="1"/>
  <c r="BM987" i="1" s="1"/>
  <c r="BJ987" i="1" s="1" a="1"/>
  <c r="BJ987" i="1" s="1"/>
  <c r="BM989" i="1" a="1"/>
  <c r="BM989" i="1" s="1"/>
  <c r="BJ989" i="1" s="1" a="1"/>
  <c r="BJ989" i="1" s="1"/>
  <c r="BK990" i="1"/>
  <c r="BL982" i="1" a="1"/>
  <c r="BL982" i="1" s="1"/>
  <c r="BL984" i="1" a="1"/>
  <c r="BL984" i="1" s="1"/>
  <c r="BL986" i="1" a="1"/>
  <c r="BL986" i="1" s="1"/>
  <c r="BL988" i="1" a="1"/>
  <c r="BL988" i="1" s="1"/>
  <c r="BL990" i="1" a="1"/>
  <c r="BL990" i="1" s="1"/>
  <c r="BI959" i="1" a="1"/>
  <c r="BI959" i="1" s="1"/>
  <c r="BM959" i="1" a="1"/>
  <c r="BM959" i="1" s="1"/>
  <c r="BJ959" i="1" s="1" a="1"/>
  <c r="BJ959" i="1" s="1"/>
  <c r="BL961" i="1" a="1"/>
  <c r="BL961" i="1" s="1"/>
  <c r="BK963" i="1" a="1"/>
  <c r="BK963" i="1" s="1"/>
  <c r="BN965" i="1" a="1"/>
  <c r="BN965" i="1" s="1"/>
  <c r="BI967" i="1" a="1"/>
  <c r="BI967" i="1" s="1"/>
  <c r="BM967" i="1" a="1"/>
  <c r="BM967" i="1" s="1"/>
  <c r="BJ967" i="1" s="1" a="1"/>
  <c r="BJ967" i="1" s="1"/>
  <c r="BM962" i="1" a="1"/>
  <c r="BM962" i="1" s="1"/>
  <c r="BJ962" i="1" s="1" a="1"/>
  <c r="BJ962" i="1" s="1"/>
  <c r="BN962" i="1" a="1"/>
  <c r="BN962" i="1" s="1"/>
  <c r="BK968" i="1" a="1"/>
  <c r="BK968" i="1" s="1"/>
  <c r="BN959" i="1" a="1"/>
  <c r="BN959" i="1" s="1"/>
  <c r="BI961" i="1" a="1"/>
  <c r="BI961" i="1" s="1"/>
  <c r="BM961" i="1" a="1"/>
  <c r="BM961" i="1" s="1"/>
  <c r="BJ961" i="1" s="1" a="1"/>
  <c r="BJ961" i="1" s="1"/>
  <c r="BL963" i="1" a="1"/>
  <c r="BL963" i="1" s="1"/>
  <c r="BK965" i="1" a="1"/>
  <c r="BK965" i="1" s="1"/>
  <c r="BN967" i="1" a="1"/>
  <c r="BN967" i="1" s="1"/>
  <c r="BI962" i="1" a="1"/>
  <c r="BI962" i="1" s="1"/>
  <c r="BK962" i="1" a="1"/>
  <c r="BK962" i="1" s="1"/>
  <c r="BL968" i="1" a="1"/>
  <c r="BL968" i="1" s="1"/>
  <c r="BI963" i="1" a="1"/>
  <c r="BI963" i="1" s="1"/>
  <c r="BL950" i="1" a="1"/>
  <c r="BL950" i="1" s="1"/>
  <c r="BL951" i="1" a="1"/>
  <c r="BL951" i="1" s="1"/>
  <c r="BL952" i="1" a="1"/>
  <c r="BL952" i="1" s="1"/>
  <c r="BL953" i="1" a="1"/>
  <c r="BL953" i="1" s="1"/>
  <c r="BL948" i="1" a="1"/>
  <c r="BL948" i="1" s="1"/>
  <c r="BL954" i="1" a="1"/>
  <c r="BL954" i="1" s="1"/>
  <c r="BL955" i="1" a="1"/>
  <c r="BL955" i="1" s="1"/>
  <c r="BL949" i="1" a="1"/>
  <c r="BL949" i="1" s="1"/>
  <c r="BL956" i="1" a="1"/>
  <c r="BL956" i="1" s="1"/>
  <c r="BK957" i="1"/>
  <c r="BL957" i="1" a="1"/>
  <c r="BL957" i="1" s="1"/>
  <c r="BI927" i="1" a="1"/>
  <c r="BI927" i="1" s="1"/>
  <c r="BN927" i="1" a="1"/>
  <c r="BN927" i="1" s="1"/>
  <c r="BM928" i="1" a="1"/>
  <c r="BM928" i="1" s="1"/>
  <c r="BJ928" i="1" s="1" a="1"/>
  <c r="BJ928" i="1" s="1"/>
  <c r="BK929" i="1"/>
  <c r="BI931" i="1" a="1"/>
  <c r="BI931" i="1" s="1"/>
  <c r="BN931" i="1" a="1"/>
  <c r="BN931" i="1" s="1"/>
  <c r="BM932" i="1" a="1"/>
  <c r="BM932" i="1" s="1"/>
  <c r="BJ932" i="1" s="1" a="1"/>
  <c r="BJ932" i="1" s="1"/>
  <c r="BK933" i="1"/>
  <c r="BI935" i="1" a="1"/>
  <c r="BI935" i="1" s="1"/>
  <c r="BN935" i="1" a="1"/>
  <c r="BN935" i="1" s="1"/>
  <c r="BL929" i="1"/>
  <c r="BL933" i="1"/>
  <c r="BK926" i="1"/>
  <c r="BI928" i="1" a="1"/>
  <c r="BI928" i="1" s="1"/>
  <c r="BN928" i="1" a="1"/>
  <c r="BN928" i="1" s="1"/>
  <c r="BM929" i="1" a="1"/>
  <c r="BM929" i="1" s="1"/>
  <c r="BJ929" i="1" s="1" a="1"/>
  <c r="BJ929" i="1" s="1"/>
  <c r="BK930" i="1"/>
  <c r="BI932" i="1" a="1"/>
  <c r="BI932" i="1" s="1"/>
  <c r="BM933" i="1" a="1"/>
  <c r="BM933" i="1" s="1"/>
  <c r="BJ933" i="1" s="1" a="1"/>
  <c r="BJ933" i="1" s="1"/>
  <c r="BK934" i="1"/>
  <c r="BL926" i="1"/>
  <c r="BL930" i="1"/>
  <c r="BM926" i="1" a="1"/>
  <c r="BM926" i="1" s="1"/>
  <c r="BJ926" i="1" s="1" a="1"/>
  <c r="BJ926" i="1" s="1"/>
  <c r="BK927" i="1"/>
  <c r="BI929" i="1" a="1"/>
  <c r="BI929" i="1" s="1"/>
  <c r="BM930" i="1" a="1"/>
  <c r="BM930" i="1" s="1"/>
  <c r="BJ930" i="1" s="1" a="1"/>
  <c r="BJ930" i="1" s="1"/>
  <c r="BK931" i="1"/>
  <c r="BI933" i="1" a="1"/>
  <c r="BI933" i="1" s="1"/>
  <c r="BM934" i="1" a="1"/>
  <c r="BM934" i="1" s="1"/>
  <c r="BJ934" i="1" s="1" a="1"/>
  <c r="BJ934" i="1" s="1"/>
  <c r="BK935" i="1"/>
  <c r="BL927" i="1"/>
  <c r="BL931" i="1"/>
  <c r="BL935" i="1"/>
  <c r="BI926" i="1" a="1"/>
  <c r="BI926" i="1" s="1"/>
  <c r="BI930" i="1" a="1"/>
  <c r="BI930" i="1" s="1"/>
  <c r="BI934" i="1" a="1"/>
  <c r="BI934" i="1" s="1"/>
  <c r="BL917" i="1"/>
  <c r="BL918" i="1"/>
  <c r="BL922" i="1"/>
  <c r="BK915" i="1"/>
  <c r="BI917" i="1" a="1"/>
  <c r="BI917" i="1" s="1"/>
  <c r="BM918" i="1" a="1"/>
  <c r="BM918" i="1" s="1"/>
  <c r="BJ918" i="1" s="1" a="1"/>
  <c r="BJ918" i="1" s="1"/>
  <c r="BK919" i="1"/>
  <c r="BI921" i="1" a="1"/>
  <c r="BI921" i="1" s="1"/>
  <c r="BM922" i="1" a="1"/>
  <c r="BM922" i="1" s="1"/>
  <c r="BJ922" i="1" s="1" a="1"/>
  <c r="BJ922" i="1" s="1"/>
  <c r="BK923" i="1"/>
  <c r="BL915" i="1"/>
  <c r="BL919" i="1"/>
  <c r="BM915" i="1" a="1"/>
  <c r="BM915" i="1" s="1"/>
  <c r="BJ915" i="1" s="1" a="1"/>
  <c r="BJ915" i="1" s="1"/>
  <c r="BI918" i="1" a="1"/>
  <c r="BI918" i="1" s="1"/>
  <c r="BM919" i="1" a="1"/>
  <c r="BM919" i="1" s="1"/>
  <c r="BJ919" i="1" s="1" a="1"/>
  <c r="BJ919" i="1" s="1"/>
  <c r="BI922" i="1" a="1"/>
  <c r="BI922" i="1" s="1"/>
  <c r="BM923" i="1" a="1"/>
  <c r="BM923" i="1" s="1"/>
  <c r="BJ923" i="1" s="1" a="1"/>
  <c r="BJ923" i="1" s="1"/>
  <c r="BI915" i="1" a="1"/>
  <c r="BI915" i="1" s="1"/>
  <c r="BI919" i="1" a="1"/>
  <c r="BI919" i="1" s="1"/>
  <c r="BI923" i="1" a="1"/>
  <c r="BI923" i="1" s="1"/>
  <c r="E900" i="1" a="1"/>
  <c r="E900" i="1" s="1"/>
  <c r="E895" i="1" a="1"/>
  <c r="E895" i="1" s="1"/>
  <c r="E897" i="1" a="1"/>
  <c r="E897" i="1" s="1"/>
  <c r="E899" i="1" a="1"/>
  <c r="E899" i="1" s="1"/>
  <c r="E901" i="1" a="1"/>
  <c r="E901" i="1" s="1"/>
  <c r="E893" i="1" a="1"/>
  <c r="E893" i="1" s="1"/>
  <c r="E896" i="1" a="1"/>
  <c r="E896" i="1" s="1"/>
  <c r="BL896" i="1" a="1"/>
  <c r="BL896" i="1" s="1"/>
  <c r="BL900" i="1" a="1"/>
  <c r="BL900" i="1" s="1"/>
  <c r="BK901" i="1" a="1"/>
  <c r="BK901" i="1" s="1"/>
  <c r="BL893" i="1" a="1"/>
  <c r="BL893" i="1" s="1"/>
  <c r="BK894" i="1" a="1"/>
  <c r="BK894" i="1" s="1"/>
  <c r="BN895" i="1" a="1"/>
  <c r="BN895" i="1" s="1"/>
  <c r="BI896" i="1" a="1"/>
  <c r="BI896" i="1" s="1"/>
  <c r="BL897" i="1" a="1"/>
  <c r="BL897" i="1" s="1"/>
  <c r="BK898" i="1" a="1"/>
  <c r="BK898" i="1" s="1"/>
  <c r="BN899" i="1" a="1"/>
  <c r="BN899" i="1" s="1"/>
  <c r="BI900" i="1" a="1"/>
  <c r="BI900" i="1" s="1"/>
  <c r="BL901" i="1" a="1"/>
  <c r="BL901" i="1" s="1"/>
  <c r="BK902" i="1" a="1"/>
  <c r="BK902" i="1" s="1"/>
  <c r="BL894" i="1" a="1"/>
  <c r="BL894" i="1" s="1"/>
  <c r="BN896" i="1" a="1"/>
  <c r="BN896" i="1" s="1"/>
  <c r="BL898" i="1" a="1"/>
  <c r="BL898" i="1" s="1"/>
  <c r="BN900" i="1" a="1"/>
  <c r="BN900" i="1" s="1"/>
  <c r="BL902" i="1" a="1"/>
  <c r="BL902" i="1" s="1"/>
  <c r="E894" i="1" a="1"/>
  <c r="E894" i="1" s="1"/>
  <c r="E898" i="1" a="1"/>
  <c r="E898" i="1" s="1"/>
  <c r="E902" i="1" a="1"/>
  <c r="E902" i="1" s="1"/>
  <c r="E887" i="1" a="1"/>
  <c r="E887" i="1" s="1"/>
  <c r="E883" i="1" a="1"/>
  <c r="E883" i="1" s="1"/>
  <c r="E882" i="1" a="1"/>
  <c r="E882" i="1" s="1"/>
  <c r="BL891" i="1" a="1"/>
  <c r="BL891" i="1" s="1"/>
  <c r="E885" i="1" a="1"/>
  <c r="E885" i="1" s="1"/>
  <c r="E891" i="1" a="1"/>
  <c r="E891" i="1" s="1"/>
  <c r="BL886" i="1" a="1"/>
  <c r="BL886" i="1" s="1"/>
  <c r="E886" i="1" a="1"/>
  <c r="E886" i="1" s="1"/>
  <c r="E890" i="1" a="1"/>
  <c r="E890" i="1" s="1"/>
  <c r="BL887" i="1" a="1"/>
  <c r="BL887" i="1" s="1"/>
  <c r="BN884" i="1" a="1"/>
  <c r="BN884" i="1" s="1"/>
  <c r="BI885" i="1" a="1"/>
  <c r="BI885" i="1" s="1"/>
  <c r="BM886" i="1" a="1"/>
  <c r="BM886" i="1" s="1"/>
  <c r="BJ886" i="1" s="1" a="1"/>
  <c r="BJ886" i="1" s="1"/>
  <c r="BL888" i="1" a="1"/>
  <c r="BL888" i="1" s="1"/>
  <c r="BM885" i="1" a="1"/>
  <c r="BM885" i="1" s="1"/>
  <c r="BJ885" i="1" s="1" a="1"/>
  <c r="BJ885" i="1" s="1"/>
  <c r="BN885" i="1" a="1"/>
  <c r="BN885" i="1" s="1"/>
  <c r="BM887" i="1" a="1"/>
  <c r="BM887" i="1" s="1"/>
  <c r="BJ887" i="1" s="1" a="1"/>
  <c r="BJ887" i="1" s="1"/>
  <c r="BL889" i="1" a="1"/>
  <c r="BL889" i="1" s="1"/>
  <c r="BK890" i="1"/>
  <c r="BL882" i="1" a="1"/>
  <c r="BL882" i="1" s="1"/>
  <c r="BN886" i="1" a="1"/>
  <c r="BN886" i="1" s="1"/>
  <c r="BI887" i="1" a="1"/>
  <c r="BI887" i="1" s="1"/>
  <c r="E888" i="1" a="1"/>
  <c r="E888" i="1" s="1"/>
  <c r="BM888" i="1" a="1"/>
  <c r="BM888" i="1" s="1"/>
  <c r="BJ888" i="1" s="1" a="1"/>
  <c r="BJ888" i="1" s="1"/>
  <c r="BL890" i="1" a="1"/>
  <c r="BL890" i="1" s="1"/>
  <c r="BK891" i="1"/>
  <c r="BL883" i="1" a="1"/>
  <c r="BL883" i="1" s="1"/>
  <c r="BI888" i="1" a="1"/>
  <c r="BI888" i="1" s="1"/>
  <c r="E889" i="1" a="1"/>
  <c r="E889" i="1" s="1"/>
  <c r="E871" i="1" a="1"/>
  <c r="E871" i="1" s="1"/>
  <c r="E874" i="1" a="1"/>
  <c r="E874" i="1" s="1"/>
  <c r="E878" i="1" a="1"/>
  <c r="E878" i="1" s="1"/>
  <c r="E876" i="1" a="1"/>
  <c r="E876" i="1" s="1"/>
  <c r="E877" i="1" a="1"/>
  <c r="E877" i="1" s="1"/>
  <c r="E875" i="1" a="1"/>
  <c r="E875" i="1" s="1"/>
  <c r="BL876" i="1" a="1"/>
  <c r="BL876" i="1" s="1"/>
  <c r="BL871" i="1" a="1"/>
  <c r="BL871" i="1" s="1"/>
  <c r="BI873" i="1" a="1"/>
  <c r="BI873" i="1" s="1"/>
  <c r="BM873" i="1" a="1"/>
  <c r="BM873" i="1" s="1"/>
  <c r="BJ873" i="1" s="1" a="1"/>
  <c r="BJ873" i="1" s="1"/>
  <c r="BK877" i="1" a="1"/>
  <c r="BK877" i="1" s="1"/>
  <c r="BQ877" i="1" s="1"/>
  <c r="BR877" i="1" s="1"/>
  <c r="BL879" i="1" a="1"/>
  <c r="BL879" i="1" s="1"/>
  <c r="BK872" i="1" a="1"/>
  <c r="BK872" i="1" s="1"/>
  <c r="BQ872" i="1" s="1"/>
  <c r="BR872" i="1" s="1"/>
  <c r="BL874" i="1" a="1"/>
  <c r="BL874" i="1" s="1"/>
  <c r="BI876" i="1" a="1"/>
  <c r="BI876" i="1" s="1"/>
  <c r="BN878" i="1" a="1"/>
  <c r="BN878" i="1" s="1"/>
  <c r="BL877" i="1" a="1"/>
  <c r="BL877" i="1" s="1"/>
  <c r="BL872" i="1" a="1"/>
  <c r="BL872" i="1" s="1"/>
  <c r="BI874" i="1" a="1"/>
  <c r="BI874" i="1" s="1"/>
  <c r="BN876" i="1" a="1"/>
  <c r="BN876" i="1" s="1"/>
  <c r="BK878" i="1" a="1"/>
  <c r="BK878" i="1" s="1"/>
  <c r="BQ878" i="1" s="1"/>
  <c r="BR878" i="1" s="1"/>
  <c r="BL880" i="1" a="1"/>
  <c r="BL880" i="1" s="1"/>
  <c r="BN871" i="1" a="1"/>
  <c r="BN871" i="1" s="1"/>
  <c r="E872" i="1" a="1"/>
  <c r="E872" i="1" s="1"/>
  <c r="BK873" i="1" a="1"/>
  <c r="BK873" i="1" s="1"/>
  <c r="BQ873" i="1" s="1"/>
  <c r="BR873" i="1" s="1"/>
  <c r="BL875" i="1" a="1"/>
  <c r="BL875" i="1" s="1"/>
  <c r="BI877" i="1" a="1"/>
  <c r="BI877" i="1" s="1"/>
  <c r="BN879" i="1" a="1"/>
  <c r="BN879" i="1" s="1"/>
  <c r="E880" i="1" a="1"/>
  <c r="E880" i="1" s="1"/>
  <c r="E864" i="1" a="1"/>
  <c r="E864" i="1" s="1"/>
  <c r="E869" i="1" a="1"/>
  <c r="E869" i="1" s="1"/>
  <c r="E865" i="1" a="1"/>
  <c r="E865" i="1" s="1"/>
  <c r="E867" i="1" a="1"/>
  <c r="E867" i="1" s="1"/>
  <c r="E860" i="1" a="1"/>
  <c r="E860" i="1" s="1"/>
  <c r="E861" i="1" a="1"/>
  <c r="E861" i="1" s="1"/>
  <c r="E863" i="1" a="1"/>
  <c r="E863" i="1" s="1"/>
  <c r="E868" i="1" a="1"/>
  <c r="E868" i="1" s="1"/>
  <c r="BL867" i="1" a="1"/>
  <c r="BL867" i="1" s="1"/>
  <c r="BI862" i="1" a="1"/>
  <c r="BI862" i="1" s="1"/>
  <c r="BM866" i="1" a="1"/>
  <c r="BM866" i="1" s="1"/>
  <c r="BJ866" i="1" s="1" a="1"/>
  <c r="BJ866" i="1" s="1"/>
  <c r="BL860" i="1" a="1"/>
  <c r="BL860" i="1" s="1"/>
  <c r="BI863" i="1" a="1"/>
  <c r="BI863" i="1" s="1"/>
  <c r="BL863" i="1" a="1"/>
  <c r="BL863" i="1" s="1"/>
  <c r="BI860" i="1" a="1"/>
  <c r="BI860" i="1" s="1"/>
  <c r="BL861" i="1" a="1"/>
  <c r="BL861" i="1" s="1"/>
  <c r="BK862" i="1" a="1"/>
  <c r="BK862" i="1" s="1"/>
  <c r="BN863" i="1" a="1"/>
  <c r="BN863" i="1" s="1"/>
  <c r="BI864" i="1" a="1"/>
  <c r="BI864" i="1" s="1"/>
  <c r="BL865" i="1" a="1"/>
  <c r="BL865" i="1" s="1"/>
  <c r="BK866" i="1" a="1"/>
  <c r="BK866" i="1" s="1"/>
  <c r="BN867" i="1" a="1"/>
  <c r="BN867" i="1" s="1"/>
  <c r="BI868" i="1" a="1"/>
  <c r="BI868" i="1" s="1"/>
  <c r="BL869" i="1" a="1"/>
  <c r="BL869" i="1" s="1"/>
  <c r="BM862" i="1" a="1"/>
  <c r="BM862" i="1" s="1"/>
  <c r="BJ862" i="1" s="1" a="1"/>
  <c r="BJ862" i="1" s="1"/>
  <c r="BI867" i="1" a="1"/>
  <c r="BI867" i="1" s="1"/>
  <c r="BI866" i="1" a="1"/>
  <c r="BI866" i="1" s="1"/>
  <c r="BL864" i="1" a="1"/>
  <c r="BL864" i="1" s="1"/>
  <c r="BL868" i="1" a="1"/>
  <c r="BL868" i="1" s="1"/>
  <c r="E857" i="1" a="1"/>
  <c r="E857" i="1" s="1"/>
  <c r="E850" i="1" a="1"/>
  <c r="E850" i="1" s="1"/>
  <c r="E852" i="1" a="1"/>
  <c r="E852" i="1" s="1"/>
  <c r="BL853" i="1" a="1"/>
  <c r="BL853" i="1" s="1"/>
  <c r="E853" i="1" a="1"/>
  <c r="E853" i="1" s="1"/>
  <c r="E858" i="1" a="1"/>
  <c r="E858" i="1" s="1"/>
  <c r="E849" i="1" a="1"/>
  <c r="E849" i="1" s="1"/>
  <c r="BL858" i="1" a="1"/>
  <c r="BL858" i="1" s="1"/>
  <c r="E854" i="1" a="1"/>
  <c r="E854" i="1" s="1"/>
  <c r="E855" i="1" a="1"/>
  <c r="E855" i="1" s="1"/>
  <c r="BM851" i="1" a="1"/>
  <c r="BM851" i="1" s="1"/>
  <c r="BJ851" i="1" s="1" a="1"/>
  <c r="BJ851" i="1" s="1"/>
  <c r="BI851" i="1" a="1"/>
  <c r="BI851" i="1" s="1"/>
  <c r="BM852" i="1" a="1"/>
  <c r="BM852" i="1" s="1"/>
  <c r="BJ852" i="1" s="1" a="1"/>
  <c r="BJ852" i="1" s="1"/>
  <c r="BL854" i="1" a="1"/>
  <c r="BL854" i="1" s="1"/>
  <c r="BK855" i="1"/>
  <c r="BI852" i="1" a="1"/>
  <c r="BI852" i="1" s="1"/>
  <c r="BM853" i="1" a="1"/>
  <c r="BM853" i="1" s="1"/>
  <c r="BJ853" i="1" s="1" a="1"/>
  <c r="BJ853" i="1" s="1"/>
  <c r="BL855" i="1" a="1"/>
  <c r="BL855" i="1" s="1"/>
  <c r="BL849" i="1" a="1"/>
  <c r="BL849" i="1" s="1"/>
  <c r="BK850" i="1"/>
  <c r="BI854" i="1" a="1"/>
  <c r="BI854" i="1" s="1"/>
  <c r="BL857" i="1" a="1"/>
  <c r="BL857" i="1" s="1"/>
  <c r="BK858" i="1"/>
  <c r="BL856" i="1" a="1"/>
  <c r="BL856" i="1" s="1"/>
  <c r="BK857" i="1"/>
  <c r="BL850" i="1" a="1"/>
  <c r="BL850" i="1" s="1"/>
  <c r="BI855" i="1" a="1"/>
  <c r="BI855" i="1" s="1"/>
  <c r="E856" i="1" a="1"/>
  <c r="E856" i="1" s="1"/>
  <c r="BI856" i="1" a="1"/>
  <c r="BI856" i="1" s="1"/>
  <c r="BN852" i="1" a="1"/>
  <c r="BN852" i="1" s="1"/>
  <c r="E847" i="1" a="1"/>
  <c r="E847" i="1" s="1"/>
  <c r="E841" i="1" a="1"/>
  <c r="E841" i="1" s="1"/>
  <c r="E840" i="1" a="1"/>
  <c r="E840" i="1" s="1"/>
  <c r="E845" i="1" a="1"/>
  <c r="E845" i="1" s="1"/>
  <c r="E844" i="1" a="1"/>
  <c r="E844" i="1" s="1"/>
  <c r="E842" i="1" a="1"/>
  <c r="E842" i="1" s="1"/>
  <c r="E839" i="1" a="1"/>
  <c r="E839" i="1" s="1"/>
  <c r="E838" i="1" a="1"/>
  <c r="E838" i="1" s="1"/>
  <c r="E846" i="1" a="1"/>
  <c r="E846" i="1" s="1"/>
  <c r="E843" i="1" a="1"/>
  <c r="E843" i="1" s="1"/>
  <c r="BL838" i="1" a="1"/>
  <c r="BL838" i="1" s="1"/>
  <c r="BK839" i="1" a="1"/>
  <c r="BK839" i="1" s="1"/>
  <c r="BQ839" i="1" s="1"/>
  <c r="BR839" i="1" s="1"/>
  <c r="BI841" i="1" a="1"/>
  <c r="BI841" i="1" s="1"/>
  <c r="BM841" i="1" a="1"/>
  <c r="BM841" i="1" s="1"/>
  <c r="BJ841" i="1" s="1" a="1"/>
  <c r="BJ841" i="1" s="1"/>
  <c r="BL842" i="1" a="1"/>
  <c r="BL842" i="1" s="1"/>
  <c r="BK843" i="1" a="1"/>
  <c r="BK843" i="1" s="1"/>
  <c r="BQ843" i="1" s="1"/>
  <c r="BR843" i="1" s="1"/>
  <c r="BI845" i="1" a="1"/>
  <c r="BI845" i="1" s="1"/>
  <c r="BM845" i="1" a="1"/>
  <c r="BM845" i="1" s="1"/>
  <c r="BJ845" i="1" s="1" a="1"/>
  <c r="BJ845" i="1" s="1"/>
  <c r="BL846" i="1" a="1"/>
  <c r="BL846" i="1" s="1"/>
  <c r="BL841" i="1" a="1"/>
  <c r="BL841" i="1" s="1"/>
  <c r="BI838" i="1" a="1"/>
  <c r="BI838" i="1" s="1"/>
  <c r="BL839" i="1" a="1"/>
  <c r="BL839" i="1" s="1"/>
  <c r="BN841" i="1" a="1"/>
  <c r="BN841" i="1" s="1"/>
  <c r="BI842" i="1" a="1"/>
  <c r="BI842" i="1" s="1"/>
  <c r="BL843" i="1" a="1"/>
  <c r="BL843" i="1" s="1"/>
  <c r="BN845" i="1" a="1"/>
  <c r="BN845" i="1" s="1"/>
  <c r="BI846" i="1" a="1"/>
  <c r="BI846" i="1" s="1"/>
  <c r="BL847" i="1" a="1"/>
  <c r="BL847" i="1" s="1"/>
  <c r="BL845" i="1" a="1"/>
  <c r="BL845" i="1" s="1"/>
  <c r="BI991" i="1" a="1"/>
  <c r="BI991" i="1" s="1"/>
  <c r="BM991" i="1" a="1"/>
  <c r="BM991" i="1" s="1"/>
  <c r="BJ991" i="1" s="1" a="1"/>
  <c r="BJ991" i="1" s="1"/>
  <c r="BN991" i="1" a="1"/>
  <c r="BN991" i="1" s="1"/>
  <c r="BK991" i="1" a="1"/>
  <c r="BK991" i="1" s="1"/>
  <c r="BI2683" i="1" a="1"/>
  <c r="BI2683" i="1" s="1"/>
  <c r="BI2690" i="1" a="1"/>
  <c r="BI2690" i="1" s="1"/>
  <c r="BM2689" i="1" a="1"/>
  <c r="BM2689" i="1" s="1"/>
  <c r="BL2689" i="1" s="1" a="1"/>
  <c r="BL2689" i="1" s="1"/>
  <c r="BM2693" i="1" a="1"/>
  <c r="BM2693" i="1" s="1"/>
  <c r="BL2693" i="1" s="1" a="1"/>
  <c r="BL2693" i="1" s="1"/>
  <c r="BK2681" i="1" a="1"/>
  <c r="BK2681" i="1" s="1"/>
  <c r="BI2697" i="1" a="1"/>
  <c r="BI2697" i="1" s="1"/>
  <c r="BN2688" i="1" a="1"/>
  <c r="BN2688" i="1" s="1"/>
  <c r="BM2691" i="1" a="1"/>
  <c r="BM2691" i="1" s="1"/>
  <c r="BL2691" i="1" s="1" a="1"/>
  <c r="BL2691" i="1" s="1"/>
  <c r="BM2695" i="1" a="1"/>
  <c r="BM2695" i="1" s="1"/>
  <c r="BL2695" i="1" s="1" a="1"/>
  <c r="BL2695" i="1" s="1"/>
  <c r="BM2697" i="1" a="1"/>
  <c r="BM2697" i="1" s="1"/>
  <c r="BL2697" i="1" s="1" a="1"/>
  <c r="BL2697" i="1" s="1"/>
  <c r="BI2688" i="1" a="1"/>
  <c r="BI2688" i="1" s="1"/>
  <c r="BM2677" i="1" a="1"/>
  <c r="BM2677" i="1" s="1"/>
  <c r="BJ2677" i="1" s="1" a="1"/>
  <c r="BJ2677" i="1" s="1"/>
  <c r="BI2680" i="1" a="1"/>
  <c r="BI2680" i="1" s="1"/>
  <c r="BI2694" i="1" a="1"/>
  <c r="BI2694" i="1" s="1"/>
  <c r="BI2692" i="1" a="1"/>
  <c r="BI2692" i="1" s="1"/>
  <c r="BI2696" i="1" a="1"/>
  <c r="BI2696" i="1" s="1"/>
  <c r="BN2677" i="1" a="1"/>
  <c r="BN2677" i="1" s="1"/>
  <c r="BM2690" i="1" a="1"/>
  <c r="BM2690" i="1" s="1"/>
  <c r="BL2690" i="1" s="1" a="1"/>
  <c r="BL2690" i="1" s="1"/>
  <c r="BI2691" i="1" a="1"/>
  <c r="BI2691" i="1" s="1"/>
  <c r="BK2692" i="1" a="1"/>
  <c r="BK2692" i="1" s="1"/>
  <c r="BN2691" i="1" a="1"/>
  <c r="BN2691" i="1" s="1"/>
  <c r="BI2681" i="1" a="1"/>
  <c r="BI2681" i="1" s="1"/>
  <c r="BM2694" i="1" a="1"/>
  <c r="BM2694" i="1" s="1"/>
  <c r="BL2694" i="1" s="1" a="1"/>
  <c r="BL2694" i="1" s="1"/>
  <c r="BI2695" i="1" a="1"/>
  <c r="BI2695" i="1" s="1"/>
  <c r="BM2688" i="1" a="1"/>
  <c r="BM2688" i="1" s="1"/>
  <c r="BL2688" i="1" s="1" a="1"/>
  <c r="BL2688" i="1" s="1"/>
  <c r="BM2692" i="1" a="1"/>
  <c r="BM2692" i="1" s="1"/>
  <c r="BL2692" i="1" s="1" a="1"/>
  <c r="BL2692" i="1" s="1"/>
  <c r="BM2696" i="1" a="1"/>
  <c r="BM2696" i="1" s="1"/>
  <c r="BL2696" i="1" s="1" a="1"/>
  <c r="BL2696" i="1" s="1"/>
  <c r="BM2685" i="1" a="1"/>
  <c r="BM2685" i="1" s="1"/>
  <c r="BL2685" i="1" s="1" a="1"/>
  <c r="BL2685" i="1" s="1"/>
  <c r="BK2689" i="1" a="1"/>
  <c r="BK2689" i="1" s="1"/>
  <c r="BK2693" i="1" a="1"/>
  <c r="BK2693" i="1" s="1"/>
  <c r="BK2639" i="1" a="1"/>
  <c r="BK2639" i="1" s="1"/>
  <c r="BI2679" i="1" a="1"/>
  <c r="BI2679" i="1" s="1"/>
  <c r="BN2683" i="1" a="1"/>
  <c r="BN2683" i="1" s="1"/>
  <c r="BN2689" i="1" a="1"/>
  <c r="BN2689" i="1" s="1"/>
  <c r="BK2690" i="1" a="1"/>
  <c r="BK2690" i="1" s="1"/>
  <c r="BM2678" i="1" a="1"/>
  <c r="BM2678" i="1" s="1"/>
  <c r="BL2678" i="1" s="1" a="1"/>
  <c r="BL2678" i="1" s="1"/>
  <c r="BN2679" i="1" a="1"/>
  <c r="BN2679" i="1" s="1"/>
  <c r="BI2682" i="1" a="1"/>
  <c r="BI2682" i="1" s="1"/>
  <c r="BM2684" i="1" a="1"/>
  <c r="BM2684" i="1" s="1"/>
  <c r="BJ2684" i="1" s="1" a="1"/>
  <c r="BJ2684" i="1" s="1"/>
  <c r="BI2693" i="1" a="1"/>
  <c r="BI2693" i="1" s="1"/>
  <c r="E2694" i="1" a="1"/>
  <c r="E2694" i="1" s="1"/>
  <c r="E2695" i="1" a="1"/>
  <c r="E2695" i="1" s="1"/>
  <c r="E2696" i="1" a="1"/>
  <c r="E2696" i="1" s="1"/>
  <c r="E2697" i="1" a="1"/>
  <c r="E2697" i="1" s="1"/>
  <c r="BN2694" i="1" a="1"/>
  <c r="BN2694" i="1" s="1"/>
  <c r="BN2695" i="1" a="1"/>
  <c r="BN2695" i="1" s="1"/>
  <c r="BN2696" i="1" a="1"/>
  <c r="BN2696" i="1" s="1"/>
  <c r="BN2697" i="1" a="1"/>
  <c r="BN2697" i="1" s="1"/>
  <c r="BN2680" i="1" a="1"/>
  <c r="BN2680" i="1" s="1"/>
  <c r="BN2682" i="1" a="1"/>
  <c r="BN2682" i="1" s="1"/>
  <c r="BM2683" i="1" a="1"/>
  <c r="BM2683" i="1" s="1"/>
  <c r="BJ2683" i="1" s="1" a="1"/>
  <c r="BJ2683" i="1" s="1"/>
  <c r="BM2681" i="1" a="1"/>
  <c r="BM2681" i="1" s="1"/>
  <c r="BL2681" i="1" s="1" a="1"/>
  <c r="BL2681" i="1" s="1"/>
  <c r="BI2677" i="1" a="1"/>
  <c r="BI2677" i="1" s="1"/>
  <c r="BM2682" i="1" a="1"/>
  <c r="BM2682" i="1" s="1"/>
  <c r="BJ2682" i="1" s="1" a="1"/>
  <c r="BJ2682" i="1" s="1"/>
  <c r="BI2684" i="1" a="1"/>
  <c r="BI2684" i="1" s="1"/>
  <c r="BM2680" i="1" a="1"/>
  <c r="BM2680" i="1" s="1"/>
  <c r="BL2680" i="1" s="1" a="1"/>
  <c r="BL2680" i="1" s="1"/>
  <c r="BN2684" i="1" a="1"/>
  <c r="BN2684" i="1" s="1"/>
  <c r="BM2679" i="1" a="1"/>
  <c r="BM2679" i="1" s="1"/>
  <c r="BJ2679" i="1" s="1" a="1"/>
  <c r="BJ2679" i="1" s="1"/>
  <c r="BK2678" i="1" a="1"/>
  <c r="BK2678" i="1" s="1"/>
  <c r="BI2685" i="1" a="1"/>
  <c r="BI2685" i="1" s="1"/>
  <c r="BN2685" i="1" a="1"/>
  <c r="BN2685" i="1" s="1"/>
  <c r="BN2678" i="1" a="1"/>
  <c r="BN2678" i="1" s="1"/>
  <c r="BM2686" i="1" a="1"/>
  <c r="BM2686" i="1" s="1"/>
  <c r="BL2686" i="1" s="1" a="1"/>
  <c r="BL2686" i="1" s="1"/>
  <c r="BN2686" i="1" a="1"/>
  <c r="BN2686" i="1" s="1"/>
  <c r="E2686" i="1" a="1"/>
  <c r="E2686" i="1" s="1"/>
  <c r="E2685" i="1" a="1"/>
  <c r="E2685" i="1" s="1"/>
  <c r="E2677" i="1" a="1"/>
  <c r="E2677" i="1" s="1"/>
  <c r="E2678" i="1" a="1"/>
  <c r="E2678" i="1" s="1"/>
  <c r="E2679" i="1" a="1"/>
  <c r="E2679" i="1" s="1"/>
  <c r="E2680" i="1" a="1"/>
  <c r="E2680" i="1" s="1"/>
  <c r="E2681" i="1" a="1"/>
  <c r="E2681" i="1" s="1"/>
  <c r="E2682" i="1" a="1"/>
  <c r="E2682" i="1" s="1"/>
  <c r="E2683" i="1" a="1"/>
  <c r="E2683" i="1" s="1"/>
  <c r="E2684" i="1" a="1"/>
  <c r="E2684" i="1" s="1"/>
  <c r="BK2686" i="1" a="1"/>
  <c r="BK2686" i="1" s="1"/>
  <c r="BI2606" i="1" a="1"/>
  <c r="BI2606" i="1" s="1"/>
  <c r="BM2606" i="1" a="1"/>
  <c r="BM2606" i="1" s="1"/>
  <c r="BL2606" i="1" s="1" a="1"/>
  <c r="BL2606" i="1" s="1"/>
  <c r="BI2646" i="1" a="1"/>
  <c r="BI2646" i="1" s="1"/>
  <c r="BI2641" i="1" a="1"/>
  <c r="BI2641" i="1" s="1"/>
  <c r="BM2647" i="1" a="1"/>
  <c r="BM2647" i="1" s="1"/>
  <c r="BL2647" i="1" s="1" a="1"/>
  <c r="BL2647" i="1" s="1"/>
  <c r="BI2642" i="1" a="1"/>
  <c r="BI2642" i="1" s="1"/>
  <c r="BI2612" i="1" a="1"/>
  <c r="BI2612" i="1" s="1"/>
  <c r="BI2645" i="1" a="1"/>
  <c r="BI2645" i="1" s="1"/>
  <c r="BK2645" i="1" a="1"/>
  <c r="BK2645" i="1" s="1"/>
  <c r="BK2641" i="1" a="1"/>
  <c r="BK2641" i="1" s="1"/>
  <c r="BK2643" i="1" a="1"/>
  <c r="BK2643" i="1" s="1"/>
  <c r="BN2645" i="1" a="1"/>
  <c r="BN2645" i="1" s="1"/>
  <c r="BI2647" i="1" a="1"/>
  <c r="BI2647" i="1" s="1"/>
  <c r="BM2641" i="1" a="1"/>
  <c r="BM2641" i="1" s="1"/>
  <c r="BJ2641" i="1" s="1" a="1"/>
  <c r="BJ2641" i="1" s="1"/>
  <c r="BK2642" i="1" a="1"/>
  <c r="BK2642" i="1" s="1"/>
  <c r="BM2642" i="1" a="1"/>
  <c r="BM2642" i="1" s="1"/>
  <c r="BL2642" i="1" s="1" a="1"/>
  <c r="BL2642" i="1" s="1"/>
  <c r="BM2643" i="1" a="1"/>
  <c r="BM2643" i="1" s="1"/>
  <c r="BJ2643" i="1" s="1" a="1"/>
  <c r="BJ2643" i="1" s="1"/>
  <c r="BI2639" i="1" a="1"/>
  <c r="BI2639" i="1" s="1"/>
  <c r="BN2643" i="1" a="1"/>
  <c r="BN2643" i="1" s="1"/>
  <c r="BK2646" i="1" a="1"/>
  <c r="BK2646" i="1" s="1"/>
  <c r="BN2647" i="1" a="1"/>
  <c r="BN2647" i="1" s="1"/>
  <c r="BM2639" i="1" a="1"/>
  <c r="BM2639" i="1" s="1"/>
  <c r="BL2639" i="1" s="1" a="1"/>
  <c r="BL2639" i="1" s="1"/>
  <c r="BM2646" i="1" a="1"/>
  <c r="BM2646" i="1" s="1"/>
  <c r="BJ2646" i="1" s="1" a="1"/>
  <c r="BJ2646" i="1" s="1"/>
  <c r="BL2640" i="1" a="1"/>
  <c r="BL2640" i="1" s="1"/>
  <c r="BJ2640" i="1" a="1"/>
  <c r="BJ2640" i="1" s="1"/>
  <c r="E2643" i="1" a="1"/>
  <c r="E2643" i="1" s="1"/>
  <c r="BL2644" i="1" a="1"/>
  <c r="BL2644" i="1" s="1"/>
  <c r="BJ2644" i="1" a="1"/>
  <c r="BJ2644" i="1" s="1"/>
  <c r="E2648" i="1" a="1"/>
  <c r="E2648" i="1" s="1"/>
  <c r="E2639" i="1" a="1"/>
  <c r="E2639" i="1" s="1"/>
  <c r="E2647" i="1" a="1"/>
  <c r="E2647" i="1" s="1"/>
  <c r="BL2648" i="1" a="1"/>
  <c r="BL2648" i="1" s="1"/>
  <c r="BJ2648" i="1" a="1"/>
  <c r="BJ2648" i="1" s="1"/>
  <c r="E2641" i="1" a="1"/>
  <c r="E2641" i="1" s="1"/>
  <c r="E2645" i="1" a="1"/>
  <c r="E2645" i="1" s="1"/>
  <c r="BN2640" i="1" a="1"/>
  <c r="BN2640" i="1" s="1"/>
  <c r="BN2644" i="1" a="1"/>
  <c r="BN2644" i="1" s="1"/>
  <c r="BN2648" i="1" a="1"/>
  <c r="BN2648" i="1" s="1"/>
  <c r="E2640" i="1" a="1"/>
  <c r="E2640" i="1" s="1"/>
  <c r="E2644" i="1" a="1"/>
  <c r="E2644" i="1" s="1"/>
  <c r="BK2640" i="1" a="1"/>
  <c r="BK2640" i="1" s="1"/>
  <c r="BK2644" i="1" a="1"/>
  <c r="BK2644" i="1" s="1"/>
  <c r="BL2645" i="1" a="1"/>
  <c r="BL2645" i="1" s="1"/>
  <c r="BK2648" i="1" a="1"/>
  <c r="BK2648" i="1" s="1"/>
  <c r="BI2640" i="1" a="1"/>
  <c r="BI2640" i="1" s="1"/>
  <c r="BI2644" i="1" a="1"/>
  <c r="BI2644" i="1" s="1"/>
  <c r="BI2648" i="1" a="1"/>
  <c r="BI2648" i="1" s="1"/>
  <c r="BM2611" i="1" a="1"/>
  <c r="BM2611" i="1" s="1"/>
  <c r="BL2611" i="1" s="1" a="1"/>
  <c r="BL2611" i="1" s="1"/>
  <c r="BM2612" i="1" a="1"/>
  <c r="BM2612" i="1" s="1"/>
  <c r="BL2612" i="1" s="1" a="1"/>
  <c r="BL2612" i="1" s="1"/>
  <c r="BM2605" i="1" a="1"/>
  <c r="BM2605" i="1" s="1"/>
  <c r="BJ2605" i="1" s="1" a="1"/>
  <c r="BJ2605" i="1" s="1"/>
  <c r="BI2604" i="1" a="1"/>
  <c r="BI2604" i="1" s="1"/>
  <c r="BM2610" i="1" a="1"/>
  <c r="BM2610" i="1" s="1"/>
  <c r="BL2610" i="1" s="1" a="1"/>
  <c r="BL2610" i="1" s="1"/>
  <c r="BN2603" i="1" a="1"/>
  <c r="BN2603" i="1" s="1"/>
  <c r="BM2609" i="1" a="1"/>
  <c r="BM2609" i="1" s="1"/>
  <c r="BL2609" i="1" s="1" a="1"/>
  <c r="BL2609" i="1" s="1"/>
  <c r="BI2605" i="1" a="1"/>
  <c r="BI2605" i="1" s="1"/>
  <c r="BI2603" i="1" a="1"/>
  <c r="BI2603" i="1" s="1"/>
  <c r="BK2604" i="1" a="1"/>
  <c r="BK2604" i="1" s="1"/>
  <c r="BN2606" i="1" a="1"/>
  <c r="BN2606" i="1" s="1"/>
  <c r="BI2611" i="1" a="1"/>
  <c r="BI2611" i="1" s="1"/>
  <c r="BM2608" i="1" a="1"/>
  <c r="BM2608" i="1" s="1"/>
  <c r="BL2608" i="1" s="1" a="1"/>
  <c r="BL2608" i="1" s="1"/>
  <c r="BI2610" i="1" a="1"/>
  <c r="BI2610" i="1" s="1"/>
  <c r="BM2607" i="1" a="1"/>
  <c r="BM2607" i="1" s="1"/>
  <c r="BL2607" i="1" s="1" a="1"/>
  <c r="BL2607" i="1" s="1"/>
  <c r="BI2608" i="1" a="1"/>
  <c r="BI2608" i="1" s="1"/>
  <c r="BI2609" i="1" a="1"/>
  <c r="BI2609" i="1" s="1"/>
  <c r="BM2604" i="1" a="1"/>
  <c r="BM2604" i="1" s="1"/>
  <c r="BL2604" i="1" s="1" a="1"/>
  <c r="BL2604" i="1" s="1"/>
  <c r="BM2603" i="1" a="1"/>
  <c r="BM2603" i="1" s="1"/>
  <c r="BL2603" i="1" s="1" a="1"/>
  <c r="BL2603" i="1" s="1"/>
  <c r="BI2607" i="1" a="1"/>
  <c r="BI2607" i="1" s="1"/>
  <c r="BK2605" i="1" a="1"/>
  <c r="BK2605" i="1" s="1"/>
  <c r="BM2687" i="1" a="1"/>
  <c r="BM2687" i="1" s="1"/>
  <c r="BJ2687" i="1" s="1" a="1"/>
  <c r="BJ2687" i="1" s="1"/>
  <c r="E2611" i="1" a="1"/>
  <c r="E2611" i="1" s="1"/>
  <c r="E2610" i="1" a="1"/>
  <c r="E2610" i="1" s="1"/>
  <c r="E2612" i="1" a="1"/>
  <c r="E2612" i="1" s="1"/>
  <c r="BN2607" i="1" a="1"/>
  <c r="BN2607" i="1" s="1"/>
  <c r="BN2608" i="1" a="1"/>
  <c r="BN2608" i="1" s="1"/>
  <c r="BN2609" i="1" a="1"/>
  <c r="BN2609" i="1" s="1"/>
  <c r="BN2610" i="1" a="1"/>
  <c r="BN2610" i="1" s="1"/>
  <c r="BN2611" i="1" a="1"/>
  <c r="BN2611" i="1" s="1"/>
  <c r="BN2612" i="1" a="1"/>
  <c r="BN2612" i="1" s="1"/>
  <c r="BN2571" i="1" a="1"/>
  <c r="BN2571" i="1" s="1"/>
  <c r="E2687" i="1" a="1"/>
  <c r="E2687" i="1" s="1"/>
  <c r="BN2687" i="1" a="1"/>
  <c r="BN2687" i="1" s="1"/>
  <c r="BK2687" i="1" a="1"/>
  <c r="BK2687" i="1" s="1"/>
  <c r="BI2571" i="1" a="1"/>
  <c r="BI2571" i="1" s="1"/>
  <c r="BN2565" i="1" a="1"/>
  <c r="BN2565" i="1" s="1"/>
  <c r="BM2561" i="1" a="1"/>
  <c r="BM2561" i="1" s="1"/>
  <c r="BJ2561" i="1" s="1" a="1"/>
  <c r="BJ2561" i="1" s="1"/>
  <c r="BK2562" i="1" a="1"/>
  <c r="BK2562" i="1" s="1"/>
  <c r="BN2570" i="1" a="1"/>
  <c r="BN2570" i="1" s="1"/>
  <c r="BN2562" i="1" a="1"/>
  <c r="BN2562" i="1" s="1"/>
  <c r="BK2564" i="1" a="1"/>
  <c r="BK2564" i="1" s="1"/>
  <c r="BM2562" i="1" a="1"/>
  <c r="BM2562" i="1" s="1"/>
  <c r="BJ2562" i="1" s="1" a="1"/>
  <c r="BJ2562" i="1" s="1"/>
  <c r="BN2567" i="1" a="1"/>
  <c r="BN2567" i="1" s="1"/>
  <c r="BK2563" i="1" a="1"/>
  <c r="BK2563" i="1" s="1"/>
  <c r="BI2566" i="1" a="1"/>
  <c r="BI2566" i="1" s="1"/>
  <c r="BN2563" i="1" a="1"/>
  <c r="BN2563" i="1" s="1"/>
  <c r="BM2564" i="1" a="1"/>
  <c r="BM2564" i="1" s="1"/>
  <c r="BL2564" i="1" s="1" a="1"/>
  <c r="BL2564" i="1" s="1"/>
  <c r="BI2567" i="1" a="1"/>
  <c r="BI2567" i="1" s="1"/>
  <c r="BM1060" i="1" a="1"/>
  <c r="BM1060" i="1" s="1"/>
  <c r="BL1060" i="1" s="1" a="1"/>
  <c r="BL1060" i="1" s="1"/>
  <c r="BM1064" i="1" a="1"/>
  <c r="BM1064" i="1" s="1"/>
  <c r="BL1064" i="1" s="1" a="1"/>
  <c r="BL1064" i="1" s="1"/>
  <c r="BM1066" i="1" a="1"/>
  <c r="BM1066" i="1" s="1"/>
  <c r="BL1066" i="1" s="1" a="1"/>
  <c r="BL1066" i="1" s="1"/>
  <c r="BI2564" i="1" a="1"/>
  <c r="BI2564" i="1" s="1"/>
  <c r="BI2565" i="1" a="1"/>
  <c r="BI2565" i="1" s="1"/>
  <c r="BI2570" i="1" a="1"/>
  <c r="BI2570" i="1" s="1"/>
  <c r="BI2569" i="1" a="1"/>
  <c r="BI2569" i="1" s="1"/>
  <c r="BN2569" i="1" a="1"/>
  <c r="BN2569" i="1" s="1"/>
  <c r="BM2571" i="1" a="1"/>
  <c r="BM2571" i="1" s="1"/>
  <c r="BJ2571" i="1" s="1" a="1"/>
  <c r="BJ2571" i="1" s="1"/>
  <c r="BM2563" i="1" a="1"/>
  <c r="BM2563" i="1" s="1"/>
  <c r="BL2563" i="1" s="1" a="1"/>
  <c r="BL2563" i="1" s="1"/>
  <c r="BN2566" i="1" a="1"/>
  <c r="BN2566" i="1" s="1"/>
  <c r="BI2561" i="1" a="1"/>
  <c r="BI2561" i="1" s="1"/>
  <c r="BK2561" i="1" a="1"/>
  <c r="BK2561" i="1" s="1"/>
  <c r="BM2565" i="1" a="1"/>
  <c r="BM2565" i="1" s="1"/>
  <c r="BJ2565" i="1" s="1" a="1"/>
  <c r="BJ2565" i="1" s="1"/>
  <c r="BM2566" i="1" a="1"/>
  <c r="BM2566" i="1" s="1"/>
  <c r="BJ2566" i="1" s="1" a="1"/>
  <c r="BJ2566" i="1" s="1"/>
  <c r="BM2567" i="1" a="1"/>
  <c r="BM2567" i="1" s="1"/>
  <c r="BJ2567" i="1" s="1" a="1"/>
  <c r="BJ2567" i="1" s="1"/>
  <c r="BM2569" i="1" a="1"/>
  <c r="BM2569" i="1" s="1"/>
  <c r="BL2569" i="1" s="1" a="1"/>
  <c r="BL2569" i="1" s="1"/>
  <c r="BM2570" i="1" a="1"/>
  <c r="BM2570" i="1" s="1"/>
  <c r="BJ2570" i="1" s="1" a="1"/>
  <c r="BJ2570" i="1" s="1"/>
  <c r="E2561" i="1" a="1"/>
  <c r="E2561" i="1" s="1"/>
  <c r="E2562" i="1" a="1"/>
  <c r="E2562" i="1" s="1"/>
  <c r="E2563" i="1" a="1"/>
  <c r="E2563" i="1" s="1"/>
  <c r="E2564" i="1" a="1"/>
  <c r="E2564" i="1" s="1"/>
  <c r="E2565" i="1" a="1"/>
  <c r="E2565" i="1" s="1"/>
  <c r="E2566" i="1" a="1"/>
  <c r="E2566" i="1" s="1"/>
  <c r="E2567" i="1" a="1"/>
  <c r="E2567" i="1" s="1"/>
  <c r="E2569" i="1" a="1"/>
  <c r="E2569" i="1" s="1"/>
  <c r="E2570" i="1" a="1"/>
  <c r="E2570" i="1" s="1"/>
  <c r="E2571" i="1" a="1"/>
  <c r="E2571" i="1" s="1"/>
  <c r="BN1049" i="1" a="1"/>
  <c r="BN1049" i="1" s="1"/>
  <c r="BM1058" i="1" a="1"/>
  <c r="BM1058" i="1" s="1"/>
  <c r="BL1058" i="1" s="1" a="1"/>
  <c r="BL1058" i="1" s="1"/>
  <c r="BM1062" i="1" a="1"/>
  <c r="BM1062" i="1" s="1"/>
  <c r="BL1062" i="1" s="1" a="1"/>
  <c r="BL1062" i="1" s="1"/>
  <c r="BM1067" i="1" a="1"/>
  <c r="BM1067" i="1" s="1"/>
  <c r="BL1067" i="1" s="1" a="1"/>
  <c r="BL1067" i="1" s="1"/>
  <c r="BK1058" i="1" a="1"/>
  <c r="BK1058" i="1" s="1"/>
  <c r="BK1060" i="1" a="1"/>
  <c r="BK1060" i="1" s="1"/>
  <c r="BK1062" i="1" a="1"/>
  <c r="BK1062" i="1" s="1"/>
  <c r="BK1064" i="1" a="1"/>
  <c r="BK1064" i="1" s="1"/>
  <c r="BK1066" i="1" a="1"/>
  <c r="BK1066" i="1" s="1"/>
  <c r="BI1059" i="1" a="1"/>
  <c r="BI1059" i="1" s="1"/>
  <c r="BI1061" i="1" a="1"/>
  <c r="BI1061" i="1" s="1"/>
  <c r="BI1063" i="1" a="1"/>
  <c r="BI1063" i="1" s="1"/>
  <c r="BI1065" i="1" a="1"/>
  <c r="BI1065" i="1" s="1"/>
  <c r="BI1067" i="1" a="1"/>
  <c r="BI1067" i="1" s="1"/>
  <c r="BN1058" i="1" a="1"/>
  <c r="BN1058" i="1" s="1"/>
  <c r="BN1060" i="1" a="1"/>
  <c r="BN1060" i="1" s="1"/>
  <c r="BN1062" i="1" a="1"/>
  <c r="BN1062" i="1" s="1"/>
  <c r="BN1064" i="1" a="1"/>
  <c r="BN1064" i="1" s="1"/>
  <c r="BN1066" i="1" a="1"/>
  <c r="BN1066" i="1" s="1"/>
  <c r="BK1059" i="1" a="1"/>
  <c r="BK1059" i="1" s="1"/>
  <c r="BK1061" i="1" a="1"/>
  <c r="BK1061" i="1" s="1"/>
  <c r="BK1063" i="1" a="1"/>
  <c r="BK1063" i="1" s="1"/>
  <c r="BK1065" i="1" a="1"/>
  <c r="BK1065" i="1" s="1"/>
  <c r="BK1067" i="1" a="1"/>
  <c r="BK1067" i="1" s="1"/>
  <c r="BM1059" i="1" a="1"/>
  <c r="BM1059" i="1" s="1"/>
  <c r="BL1059" i="1" s="1" a="1"/>
  <c r="BL1059" i="1" s="1"/>
  <c r="BM1061" i="1" a="1"/>
  <c r="BM1061" i="1" s="1"/>
  <c r="BL1061" i="1" s="1" a="1"/>
  <c r="BL1061" i="1" s="1"/>
  <c r="BM1063" i="1" a="1"/>
  <c r="BM1063" i="1" s="1"/>
  <c r="BL1063" i="1" s="1" a="1"/>
  <c r="BL1063" i="1" s="1"/>
  <c r="BM1065" i="1" a="1"/>
  <c r="BM1065" i="1" s="1"/>
  <c r="BL1065" i="1" s="1" a="1"/>
  <c r="BL1065" i="1" s="1"/>
  <c r="BK1019" i="1" a="1"/>
  <c r="BK1019" i="1" s="1"/>
  <c r="BN1050" i="1" a="1"/>
  <c r="BN1050" i="1" s="1"/>
  <c r="BK1053" i="1" a="1"/>
  <c r="BK1053" i="1" s="1"/>
  <c r="BM1051" i="1" a="1"/>
  <c r="BM1051" i="1" s="1"/>
  <c r="BL1051" i="1" s="1" a="1"/>
  <c r="BL1051" i="1" s="1"/>
  <c r="BN1054" i="1" a="1"/>
  <c r="BN1054" i="1" s="1"/>
  <c r="BK1047" i="1" a="1"/>
  <c r="BK1047" i="1" s="1"/>
  <c r="BK1050" i="1" a="1"/>
  <c r="BK1050" i="1" s="1"/>
  <c r="BK1055" i="1" a="1"/>
  <c r="BK1055" i="1" s="1"/>
  <c r="BN1055" i="1" a="1"/>
  <c r="BN1055" i="1" s="1"/>
  <c r="BI1049" i="1" a="1"/>
  <c r="BI1049" i="1" s="1"/>
  <c r="BI1022" i="1" a="1"/>
  <c r="BI1022" i="1" s="1"/>
  <c r="BI1047" i="1" a="1"/>
  <c r="BI1047" i="1" s="1"/>
  <c r="BM1049" i="1" a="1"/>
  <c r="BM1049" i="1" s="1"/>
  <c r="BL1049" i="1" s="1" a="1"/>
  <c r="BL1049" i="1" s="1"/>
  <c r="BM1021" i="1" a="1"/>
  <c r="BM1021" i="1" s="1"/>
  <c r="BJ1021" i="1" s="1" a="1"/>
  <c r="BJ1021" i="1" s="1"/>
  <c r="BN1047" i="1" a="1"/>
  <c r="BN1047" i="1" s="1"/>
  <c r="BI1054" i="1" a="1"/>
  <c r="BI1054" i="1" s="1"/>
  <c r="BN1056" i="1" a="1"/>
  <c r="BN1056" i="1" s="1"/>
  <c r="BI1048" i="1" a="1"/>
  <c r="BI1048" i="1" s="1"/>
  <c r="BM1050" i="1" a="1"/>
  <c r="BM1050" i="1" s="1"/>
  <c r="BJ1050" i="1" s="1" a="1"/>
  <c r="BJ1050" i="1" s="1"/>
  <c r="BN1051" i="1" a="1"/>
  <c r="BN1051" i="1" s="1"/>
  <c r="BK1054" i="1" a="1"/>
  <c r="BK1054" i="1" s="1"/>
  <c r="BK1048" i="1" a="1"/>
  <c r="BK1048" i="1" s="1"/>
  <c r="BM1055" i="1" a="1"/>
  <c r="BM1055" i="1" s="1"/>
  <c r="BL1055" i="1" s="1" a="1"/>
  <c r="BL1055" i="1" s="1"/>
  <c r="BM1048" i="1" a="1"/>
  <c r="BM1048" i="1" s="1"/>
  <c r="BJ1048" i="1" s="1" a="1"/>
  <c r="BJ1048" i="1" s="1"/>
  <c r="BI1052" i="1" a="1"/>
  <c r="BI1052" i="1" s="1"/>
  <c r="BN1053" i="1" a="1"/>
  <c r="BN1053" i="1" s="1"/>
  <c r="BK1052" i="1" a="1"/>
  <c r="BK1052" i="1" s="1"/>
  <c r="BI1051" i="1" a="1"/>
  <c r="BI1051" i="1" s="1"/>
  <c r="BM1052" i="1" a="1"/>
  <c r="BM1052" i="1" s="1"/>
  <c r="BJ1052" i="1" s="1" a="1"/>
  <c r="BJ1052" i="1" s="1"/>
  <c r="BJ1053" i="1" a="1"/>
  <c r="BJ1053" i="1" s="1"/>
  <c r="BL1053" i="1" a="1"/>
  <c r="BL1053" i="1" s="1"/>
  <c r="BJ1054" i="1" a="1"/>
  <c r="BJ1054" i="1" s="1"/>
  <c r="BL1054" i="1" a="1"/>
  <c r="BL1054" i="1" s="1"/>
  <c r="E1052" i="1" a="1"/>
  <c r="E1052" i="1" s="1"/>
  <c r="BJ1047" i="1" a="1"/>
  <c r="BJ1047" i="1" s="1"/>
  <c r="BL1047" i="1" a="1"/>
  <c r="BL1047" i="1" s="1"/>
  <c r="E1055" i="1" a="1"/>
  <c r="E1055" i="1" s="1"/>
  <c r="E1056" i="1" a="1"/>
  <c r="E1056" i="1" s="1"/>
  <c r="BL1056" i="1" a="1"/>
  <c r="BL1056" i="1" s="1"/>
  <c r="BJ1056" i="1" a="1"/>
  <c r="BJ1056" i="1" s="1"/>
  <c r="E1049" i="1" a="1"/>
  <c r="E1049" i="1" s="1"/>
  <c r="E1053" i="1" a="1"/>
  <c r="E1053" i="1" s="1"/>
  <c r="E1048" i="1" a="1"/>
  <c r="E1048" i="1" s="1"/>
  <c r="BK1056" i="1" a="1"/>
  <c r="BK1056" i="1" s="1"/>
  <c r="E1047" i="1" a="1"/>
  <c r="E1047" i="1" s="1"/>
  <c r="E1051" i="1" a="1"/>
  <c r="E1051" i="1" s="1"/>
  <c r="BI1053" i="1" a="1"/>
  <c r="BI1053" i="1" s="1"/>
  <c r="E1050" i="1" a="1"/>
  <c r="E1050" i="1" s="1"/>
  <c r="E1054" i="1" a="1"/>
  <c r="E1054" i="1" s="1"/>
  <c r="BI1056" i="1" a="1"/>
  <c r="BI1056" i="1" s="1"/>
  <c r="BM1019" i="1" a="1"/>
  <c r="BM1019" i="1" s="1"/>
  <c r="BL1019" i="1" s="1" a="1"/>
  <c r="BL1019" i="1" s="1"/>
  <c r="BI1015" i="1" a="1"/>
  <c r="BI1015" i="1" s="1"/>
  <c r="BN1015" i="1" a="1"/>
  <c r="BN1015" i="1" s="1"/>
  <c r="BM1016" i="1" a="1"/>
  <c r="BM1016" i="1" s="1"/>
  <c r="BJ1016" i="1" s="1" a="1"/>
  <c r="BJ1016" i="1" s="1"/>
  <c r="BK1023" i="1" a="1"/>
  <c r="BK1023" i="1" s="1"/>
  <c r="BI1014" i="1" a="1"/>
  <c r="BI1014" i="1" s="1"/>
  <c r="BK1014" i="1" a="1"/>
  <c r="BK1014" i="1" s="1"/>
  <c r="BN1017" i="1" a="1"/>
  <c r="BN1017" i="1" s="1"/>
  <c r="BM1023" i="1" a="1"/>
  <c r="BM1023" i="1" s="1"/>
  <c r="BL1023" i="1" s="1" a="1"/>
  <c r="BL1023" i="1" s="1"/>
  <c r="BM1018" i="1" a="1"/>
  <c r="BM1018" i="1" s="1"/>
  <c r="BL1018" i="1" s="1" a="1"/>
  <c r="BL1018" i="1" s="1"/>
  <c r="BM1015" i="1" a="1"/>
  <c r="BM1015" i="1" s="1"/>
  <c r="BL1015" i="1" s="1" a="1"/>
  <c r="BL1015" i="1" s="1"/>
  <c r="BI1023" i="1" a="1"/>
  <c r="BI1023" i="1" s="1"/>
  <c r="BK1017" i="1" a="1"/>
  <c r="BK1017" i="1" s="1"/>
  <c r="BN1022" i="1" a="1"/>
  <c r="BN1022" i="1" s="1"/>
  <c r="BI1020" i="1" a="1"/>
  <c r="BI1020" i="1" s="1"/>
  <c r="BM1014" i="1" a="1"/>
  <c r="BM1014" i="1" s="1"/>
  <c r="BJ1014" i="1" s="1" a="1"/>
  <c r="BJ1014" i="1" s="1"/>
  <c r="BK1020" i="1" a="1"/>
  <c r="BK1020" i="1" s="1"/>
  <c r="BM1022" i="1" a="1"/>
  <c r="BM1022" i="1" s="1"/>
  <c r="BJ1022" i="1" s="1" a="1"/>
  <c r="BJ1022" i="1" s="1"/>
  <c r="BM1017" i="1" a="1"/>
  <c r="BM1017" i="1" s="1"/>
  <c r="BL1017" i="1" s="1" a="1"/>
  <c r="BL1017" i="1" s="1"/>
  <c r="BI1018" i="1" a="1"/>
  <c r="BI1018" i="1" s="1"/>
  <c r="BM1020" i="1" a="1"/>
  <c r="BM1020" i="1" s="1"/>
  <c r="BL1020" i="1" s="1" a="1"/>
  <c r="BL1020" i="1" s="1"/>
  <c r="BN1016" i="1" a="1"/>
  <c r="BN1016" i="1" s="1"/>
  <c r="BK1018" i="1" a="1"/>
  <c r="BK1018" i="1" s="1"/>
  <c r="BI1019" i="1" a="1"/>
  <c r="BI1019" i="1" s="1"/>
  <c r="BI1021" i="1" a="1"/>
  <c r="BI1021" i="1" s="1"/>
  <c r="BK1021" i="1" a="1"/>
  <c r="BK1021" i="1" s="1"/>
  <c r="BI1016" i="1" a="1"/>
  <c r="BI1016" i="1" s="1"/>
  <c r="E1014" i="1" a="1"/>
  <c r="E1014" i="1" s="1"/>
  <c r="E1015" i="1" a="1"/>
  <c r="E1015" i="1" s="1"/>
  <c r="E1016" i="1" a="1"/>
  <c r="E1016" i="1" s="1"/>
  <c r="E1017" i="1" a="1"/>
  <c r="E1017" i="1" s="1"/>
  <c r="E1018" i="1" a="1"/>
  <c r="E1018" i="1" s="1"/>
  <c r="E1019" i="1" a="1"/>
  <c r="E1019" i="1" s="1"/>
  <c r="E1020" i="1" a="1"/>
  <c r="E1020" i="1" s="1"/>
  <c r="E1021" i="1" a="1"/>
  <c r="E1021" i="1" s="1"/>
  <c r="E1022" i="1" a="1"/>
  <c r="E1022" i="1" s="1"/>
  <c r="E1023" i="1" a="1"/>
  <c r="E1023" i="1" s="1"/>
  <c r="BI1008" i="1" a="1"/>
  <c r="BI1008" i="1" s="1"/>
  <c r="BK1005" i="1" a="1"/>
  <c r="BK1005" i="1" s="1"/>
  <c r="BK1012" i="1" a="1"/>
  <c r="BK1012" i="1" s="1"/>
  <c r="BN1012" i="1" a="1"/>
  <c r="BN1012" i="1" s="1"/>
  <c r="BI1005" i="1" a="1"/>
  <c r="BI1005" i="1" s="1"/>
  <c r="BM1008" i="1" a="1"/>
  <c r="BM1008" i="1" s="1"/>
  <c r="BL1008" i="1" s="1" a="1"/>
  <c r="BL1008" i="1" s="1"/>
  <c r="BN1006" i="1" a="1"/>
  <c r="BN1006" i="1" s="1"/>
  <c r="BN1003" i="1" a="1"/>
  <c r="BN1003" i="1" s="1"/>
  <c r="BM1005" i="1" a="1"/>
  <c r="BM1005" i="1" s="1"/>
  <c r="BJ1005" i="1" s="1" a="1"/>
  <c r="BJ1005" i="1" s="1"/>
  <c r="BI1010" i="1" a="1"/>
  <c r="BI1010" i="1" s="1"/>
  <c r="BM1012" i="1" a="1"/>
  <c r="BM1012" i="1" s="1"/>
  <c r="BL1012" i="1" s="1" a="1"/>
  <c r="BL1012" i="1" s="1"/>
  <c r="BM1010" i="1" a="1"/>
  <c r="BM1010" i="1" s="1"/>
  <c r="BJ1010" i="1" s="1" a="1"/>
  <c r="BJ1010" i="1" s="1"/>
  <c r="BN1004" i="1" a="1"/>
  <c r="BN1004" i="1" s="1"/>
  <c r="BI1009" i="1" a="1"/>
  <c r="BI1009" i="1" s="1"/>
  <c r="BK1010" i="1" a="1"/>
  <c r="BK1010" i="1" s="1"/>
  <c r="BK1008" i="1" a="1"/>
  <c r="BK1008" i="1" s="1"/>
  <c r="BK1009" i="1" a="1"/>
  <c r="BK1009" i="1" s="1"/>
  <c r="BM1009" i="1" a="1"/>
  <c r="BM1009" i="1" s="1"/>
  <c r="BL1009" i="1" s="1" a="1"/>
  <c r="BL1009" i="1" s="1"/>
  <c r="BI1004" i="1" a="1"/>
  <c r="BI1004" i="1" s="1"/>
  <c r="BI1006" i="1" a="1"/>
  <c r="BI1006" i="1" s="1"/>
  <c r="BN1007" i="1" a="1"/>
  <c r="BN1007" i="1" s="1"/>
  <c r="BK1006" i="1" a="1"/>
  <c r="BK1006" i="1" s="1"/>
  <c r="BK1004" i="1" a="1"/>
  <c r="BK1004" i="1" s="1"/>
  <c r="E1012" i="1" a="1"/>
  <c r="E1012" i="1" s="1"/>
  <c r="E1006" i="1" a="1"/>
  <c r="E1006" i="1" s="1"/>
  <c r="E1010" i="1" a="1"/>
  <c r="E1010" i="1" s="1"/>
  <c r="BJ1006" i="1" a="1"/>
  <c r="BJ1006" i="1" s="1"/>
  <c r="BL1006" i="1" a="1"/>
  <c r="BL1006" i="1" s="1"/>
  <c r="E1005" i="1" a="1"/>
  <c r="E1005" i="1" s="1"/>
  <c r="E1009" i="1" a="1"/>
  <c r="E1009" i="1" s="1"/>
  <c r="BI1003" i="1" a="1"/>
  <c r="BI1003" i="1" s="1"/>
  <c r="BM1003" i="1" a="1"/>
  <c r="BM1003" i="1" s="1"/>
  <c r="BJ1004" i="1" a="1"/>
  <c r="BJ1004" i="1" s="1"/>
  <c r="BI1007" i="1" a="1"/>
  <c r="BI1007" i="1" s="1"/>
  <c r="BM1007" i="1" a="1"/>
  <c r="BM1007" i="1" s="1"/>
  <c r="BI1011" i="1" a="1"/>
  <c r="BI1011" i="1" s="1"/>
  <c r="BM1011" i="1" a="1"/>
  <c r="BM1011" i="1" s="1"/>
  <c r="E1004" i="1" a="1"/>
  <c r="E1004" i="1" s="1"/>
  <c r="E1008" i="1" a="1"/>
  <c r="E1008" i="1" s="1"/>
  <c r="BN1011" i="1" a="1"/>
  <c r="BN1011" i="1" s="1"/>
  <c r="E1003" i="1" a="1"/>
  <c r="E1003" i="1" s="1"/>
  <c r="E1007" i="1" a="1"/>
  <c r="E1007" i="1" s="1"/>
  <c r="E1011" i="1" a="1"/>
  <c r="E1011" i="1" s="1"/>
  <c r="BN1041" i="1" a="1"/>
  <c r="BN1041" i="1" s="1"/>
  <c r="BI1038" i="1" a="1"/>
  <c r="BI1038" i="1" s="1"/>
  <c r="BK1038" i="1" a="1"/>
  <c r="BK1038" i="1" s="1"/>
  <c r="BM1037" i="1" a="1"/>
  <c r="BM1037" i="1" s="1"/>
  <c r="BL1037" i="1" s="1" a="1"/>
  <c r="BL1037" i="1" s="1"/>
  <c r="BM1042" i="1" a="1"/>
  <c r="BM1042" i="1" s="1"/>
  <c r="BL1042" i="1" s="1" a="1"/>
  <c r="BL1042" i="1" s="1"/>
  <c r="BM1038" i="1" a="1"/>
  <c r="BM1038" i="1" s="1"/>
  <c r="BL1038" i="1" s="1" a="1"/>
  <c r="BL1038" i="1" s="1"/>
  <c r="BI1041" i="1" a="1"/>
  <c r="BI1041" i="1" s="1"/>
  <c r="BM1041" i="1" a="1"/>
  <c r="BM1041" i="1" s="1"/>
  <c r="BL1041" i="1" s="1" a="1"/>
  <c r="BL1041" i="1" s="1"/>
  <c r="BK1039" i="1" a="1"/>
  <c r="BK1039" i="1" s="1"/>
  <c r="BI1042" i="1" a="1"/>
  <c r="BI1042" i="1" s="1"/>
  <c r="BI1037" i="1" a="1"/>
  <c r="BI1037" i="1" s="1"/>
  <c r="BM1040" i="1" a="1"/>
  <c r="BM1040" i="1" s="1"/>
  <c r="BJ1040" i="1" s="1" a="1"/>
  <c r="BJ1040" i="1" s="1"/>
  <c r="BM1036" i="1" a="1"/>
  <c r="BM1036" i="1" s="1"/>
  <c r="BJ1036" i="1" s="1" a="1"/>
  <c r="BJ1036" i="1" s="1"/>
  <c r="BK1037" i="1" a="1"/>
  <c r="BK1037" i="1" s="1"/>
  <c r="BM1043" i="1" a="1"/>
  <c r="BM1043" i="1" s="1"/>
  <c r="BJ1043" i="1" s="1" a="1"/>
  <c r="BJ1043" i="1" s="1"/>
  <c r="BM1039" i="1" a="1"/>
  <c r="BM1039" i="1" s="1"/>
  <c r="BL1039" i="1" s="1" a="1"/>
  <c r="BL1039" i="1" s="1"/>
  <c r="BN1036" i="1" a="1"/>
  <c r="BN1036" i="1" s="1"/>
  <c r="BN1040" i="1" a="1"/>
  <c r="BN1040" i="1" s="1"/>
  <c r="BM1044" i="1" a="1"/>
  <c r="BM1044" i="1" s="1"/>
  <c r="BL1044" i="1" s="1" a="1"/>
  <c r="BL1044" i="1" s="1"/>
  <c r="BM1045" i="1" a="1"/>
  <c r="BM1045" i="1" s="1"/>
  <c r="BJ1045" i="1" s="1" a="1"/>
  <c r="BJ1045" i="1" s="1"/>
  <c r="BI1039" i="1" a="1"/>
  <c r="BI1039" i="1" s="1"/>
  <c r="BK1042" i="1" a="1"/>
  <c r="BK1042" i="1" s="1"/>
  <c r="BI1043" i="1" a="1"/>
  <c r="BI1043" i="1" s="1"/>
  <c r="BI1036" i="1" a="1"/>
  <c r="BI1036" i="1" s="1"/>
  <c r="BI1040" i="1" a="1"/>
  <c r="BI1040" i="1" s="1"/>
  <c r="BK1043" i="1" a="1"/>
  <c r="BK1043" i="1" s="1"/>
  <c r="BI1044" i="1" a="1"/>
  <c r="BI1044" i="1" s="1"/>
  <c r="BI1045" i="1" a="1"/>
  <c r="BI1045" i="1" s="1"/>
  <c r="BK1044" i="1" a="1"/>
  <c r="BK1044" i="1" s="1"/>
  <c r="BK1045" i="1" a="1"/>
  <c r="BK1045" i="1" s="1"/>
  <c r="E1040" i="1" a="1"/>
  <c r="E1040" i="1" s="1"/>
  <c r="E1044" i="1" a="1"/>
  <c r="E1044" i="1" s="1"/>
  <c r="E1045" i="1" a="1"/>
  <c r="E1045" i="1" s="1"/>
  <c r="E1037" i="1" a="1"/>
  <c r="E1037" i="1" s="1"/>
  <c r="E1041" i="1" a="1"/>
  <c r="E1041" i="1" s="1"/>
  <c r="E1036" i="1" a="1"/>
  <c r="E1036" i="1" s="1"/>
  <c r="E1042" i="1" a="1"/>
  <c r="E1042" i="1" s="1"/>
  <c r="E1038" i="1" a="1"/>
  <c r="E1038" i="1" s="1"/>
  <c r="E1039" i="1" a="1"/>
  <c r="E1039" i="1" s="1"/>
  <c r="E1043" i="1" a="1"/>
  <c r="E1043" i="1" s="1"/>
  <c r="BM1025" i="1" a="1"/>
  <c r="BM1025" i="1" s="1"/>
  <c r="BJ1025" i="1" s="1" a="1"/>
  <c r="BJ1025" i="1" s="1"/>
  <c r="BM1026" i="1" a="1"/>
  <c r="BM1026" i="1" s="1"/>
  <c r="BJ1026" i="1" s="1" a="1"/>
  <c r="BJ1026" i="1" s="1"/>
  <c r="BM1033" i="1" a="1"/>
  <c r="BM1033" i="1" s="1"/>
  <c r="BL1033" i="1" s="1" a="1"/>
  <c r="BL1033" i="1" s="1"/>
  <c r="BM1034" i="1" a="1"/>
  <c r="BM1034" i="1" s="1"/>
  <c r="BL1034" i="1" s="1" a="1"/>
  <c r="BL1034" i="1" s="1"/>
  <c r="BM1028" i="1" a="1"/>
  <c r="BM1028" i="1" s="1"/>
  <c r="BL1028" i="1" s="1" a="1"/>
  <c r="BL1028" i="1" s="1"/>
  <c r="BN1025" i="1" a="1"/>
  <c r="BN1025" i="1" s="1"/>
  <c r="BM1030" i="1" a="1"/>
  <c r="BM1030" i="1" s="1"/>
  <c r="BJ1030" i="1" s="1" a="1"/>
  <c r="BJ1030" i="1" s="1"/>
  <c r="BN1033" i="1" a="1"/>
  <c r="BN1033" i="1" s="1"/>
  <c r="BM1027" i="1" a="1"/>
  <c r="BM1027" i="1" s="1"/>
  <c r="BL1027" i="1" s="1" a="1"/>
  <c r="BL1027" i="1" s="1"/>
  <c r="BN1030" i="1" a="1"/>
  <c r="BN1030" i="1" s="1"/>
  <c r="BM1032" i="1" a="1"/>
  <c r="BM1032" i="1" s="1"/>
  <c r="BL1032" i="1" s="1" a="1"/>
  <c r="BL1032" i="1" s="1"/>
  <c r="BM1029" i="1" a="1"/>
  <c r="BM1029" i="1" s="1"/>
  <c r="BL1029" i="1" s="1" a="1"/>
  <c r="BL1029" i="1" s="1"/>
  <c r="BN1026" i="1" a="1"/>
  <c r="BN1026" i="1" s="1"/>
  <c r="BM1031" i="1" a="1"/>
  <c r="BM1031" i="1" s="1"/>
  <c r="BJ1031" i="1" s="1" a="1"/>
  <c r="BJ1031" i="1" s="1"/>
  <c r="E1032" i="1" a="1"/>
  <c r="E1032" i="1" s="1"/>
  <c r="E1029" i="1" a="1"/>
  <c r="E1029" i="1" s="1"/>
  <c r="E1026" i="1" a="1"/>
  <c r="E1026" i="1" s="1"/>
  <c r="E1034" i="1" a="1"/>
  <c r="E1034" i="1" s="1"/>
  <c r="E1031" i="1" a="1"/>
  <c r="E1031" i="1" s="1"/>
  <c r="E1027" i="1" a="1"/>
  <c r="E1027" i="1" s="1"/>
  <c r="E1028" i="1" a="1"/>
  <c r="E1028" i="1" s="1"/>
  <c r="E1025" i="1" a="1"/>
  <c r="E1025" i="1" s="1"/>
  <c r="E1033" i="1" a="1"/>
  <c r="E1033" i="1" s="1"/>
  <c r="E1030" i="1" a="1"/>
  <c r="E1030" i="1" s="1"/>
  <c r="BK1025" i="1" a="1"/>
  <c r="BK1025" i="1" s="1"/>
  <c r="BK1026" i="1" a="1"/>
  <c r="BK1026" i="1" s="1"/>
  <c r="BK1027" i="1" a="1"/>
  <c r="BK1027" i="1" s="1"/>
  <c r="BK1028" i="1" a="1"/>
  <c r="BK1028" i="1" s="1"/>
  <c r="BK1029" i="1" a="1"/>
  <c r="BK1029" i="1" s="1"/>
  <c r="BK1030" i="1" a="1"/>
  <c r="BK1030" i="1" s="1"/>
  <c r="BK1031" i="1" a="1"/>
  <c r="BK1031" i="1" s="1"/>
  <c r="BK1032" i="1" a="1"/>
  <c r="BK1032" i="1" s="1"/>
  <c r="BK1033" i="1" a="1"/>
  <c r="BK1033" i="1" s="1"/>
  <c r="BK1034" i="1" a="1"/>
  <c r="BK1034" i="1" s="1"/>
  <c r="BI1025" i="1" a="1"/>
  <c r="BI1025" i="1" s="1"/>
  <c r="BI1026" i="1" a="1"/>
  <c r="BI1026" i="1" s="1"/>
  <c r="BI1027" i="1" a="1"/>
  <c r="BI1027" i="1" s="1"/>
  <c r="BI1028" i="1" a="1"/>
  <c r="BI1028" i="1" s="1"/>
  <c r="BI1029" i="1" a="1"/>
  <c r="BI1029" i="1" s="1"/>
  <c r="BI1030" i="1" a="1"/>
  <c r="BI1030" i="1" s="1"/>
  <c r="BI1031" i="1" a="1"/>
  <c r="BI1031" i="1" s="1"/>
  <c r="BI1032" i="1" a="1"/>
  <c r="BI1032" i="1" s="1"/>
  <c r="BI1033" i="1" a="1"/>
  <c r="BI1033" i="1" s="1"/>
  <c r="BI1034" i="1" a="1"/>
  <c r="BI1034" i="1" s="1"/>
  <c r="BL143" i="1" a="1"/>
  <c r="BL143" i="1" s="1"/>
  <c r="BK143" i="1"/>
  <c r="BK142" i="1"/>
  <c r="BL142" i="1" a="1"/>
  <c r="BL142" i="1" s="1"/>
  <c r="E143" i="1" a="1"/>
  <c r="E143" i="1" s="1"/>
  <c r="BM143" i="1" a="1"/>
  <c r="BM143" i="1" s="1"/>
  <c r="BJ143" i="1" s="1" a="1"/>
  <c r="BJ143" i="1" s="1"/>
  <c r="BM142" i="1" a="1"/>
  <c r="BM142" i="1" s="1"/>
  <c r="BJ142" i="1" s="1" a="1"/>
  <c r="BJ142" i="1" s="1"/>
  <c r="BI143" i="1" a="1"/>
  <c r="BI143" i="1" s="1"/>
  <c r="BI142" i="1" a="1"/>
  <c r="BI142" i="1" s="1"/>
  <c r="BN143" i="1" a="1"/>
  <c r="BN143" i="1" s="1"/>
  <c r="E142" i="1" a="1"/>
  <c r="E142" i="1" s="1"/>
  <c r="BN142" i="1" a="1"/>
  <c r="BN142" i="1" s="1"/>
  <c r="BI23" i="1" a="1"/>
  <c r="BI23" i="1" s="1"/>
  <c r="BN18" i="1" a="1"/>
  <c r="BN18" i="1" s="1"/>
  <c r="BM24" i="1" a="1"/>
  <c r="BM24" i="1" s="1"/>
  <c r="BJ24" i="1" s="1" a="1"/>
  <c r="BJ24" i="1" s="1"/>
  <c r="BN17" i="1" a="1"/>
  <c r="BN17" i="1" s="1"/>
  <c r="BK18" i="1"/>
  <c r="BI18" i="1" a="1"/>
  <c r="BI18" i="1" s="1"/>
  <c r="BN24" i="1" a="1"/>
  <c r="BN24" i="1" s="1"/>
  <c r="BK23" i="1"/>
  <c r="BK24" i="1"/>
  <c r="BM18" i="1" a="1"/>
  <c r="BM18" i="1" s="1"/>
  <c r="BJ18" i="1" s="1" a="1"/>
  <c r="BJ18" i="1" s="1"/>
  <c r="E24" i="1" a="1"/>
  <c r="E24" i="1" s="1"/>
  <c r="BM23" i="1" a="1"/>
  <c r="BM23" i="1" s="1"/>
  <c r="BJ23" i="1" s="1" a="1"/>
  <c r="BJ23" i="1" s="1"/>
  <c r="BI24" i="1" a="1"/>
  <c r="BI24" i="1" s="1"/>
  <c r="E23" i="1" a="1"/>
  <c r="E23" i="1" s="1"/>
  <c r="BN23" i="1" a="1"/>
  <c r="BN23" i="1" s="1"/>
  <c r="AT24" i="1"/>
  <c r="AT23" i="1"/>
  <c r="BL17" i="1" a="1"/>
  <c r="BL17" i="1" s="1"/>
  <c r="BL18" i="1" a="1"/>
  <c r="BL18" i="1" s="1"/>
  <c r="BK17" i="1"/>
  <c r="BM17" i="1" a="1"/>
  <c r="BM17" i="1" s="1"/>
  <c r="BJ17" i="1" s="1" a="1"/>
  <c r="BJ17" i="1" s="1"/>
  <c r="BI17" i="1" a="1"/>
  <c r="BI17" i="1" s="1"/>
  <c r="BN222" i="1" a="1"/>
  <c r="BN222" i="1" s="1"/>
  <c r="BM222" i="1" a="1"/>
  <c r="BM222" i="1" s="1"/>
  <c r="BL222" i="1" s="1" a="1"/>
  <c r="BL222" i="1" s="1"/>
  <c r="BI216" i="1" a="1"/>
  <c r="BI216" i="1" s="1"/>
  <c r="BM215" i="1" a="1"/>
  <c r="BM215" i="1" s="1"/>
  <c r="BL215" i="1" s="1" a="1"/>
  <c r="BL215" i="1" s="1"/>
  <c r="BK216" i="1" a="1"/>
  <c r="BK216" i="1" s="1"/>
  <c r="BI2674" i="1" a="1"/>
  <c r="BI2674" i="1" s="1"/>
  <c r="BK2674" i="1" a="1"/>
  <c r="BK2674" i="1" s="1"/>
  <c r="BM2674" i="1" a="1"/>
  <c r="BM2674" i="1" s="1"/>
  <c r="BL2674" i="1" s="1" a="1"/>
  <c r="BL2674" i="1" s="1"/>
  <c r="BM2559" i="1" a="1"/>
  <c r="BM2559" i="1" s="1"/>
  <c r="BL2559" i="1" s="1" a="1"/>
  <c r="BL2559" i="1" s="1"/>
  <c r="E2674" i="1" a="1"/>
  <c r="E2674" i="1" s="1"/>
  <c r="BI2673" i="1" a="1"/>
  <c r="BI2673" i="1" s="1"/>
  <c r="BM2673" i="1" a="1"/>
  <c r="BM2673" i="1" s="1"/>
  <c r="BN2673" i="1" a="1"/>
  <c r="BN2673" i="1" s="1"/>
  <c r="E2673" i="1" a="1"/>
  <c r="E2673" i="1" s="1"/>
  <c r="BM213" i="1" a="1"/>
  <c r="BM213" i="1" s="1"/>
  <c r="BL213" i="1" s="1" a="1"/>
  <c r="BL213" i="1" s="1"/>
  <c r="BK219" i="1" a="1"/>
  <c r="BK219" i="1" s="1"/>
  <c r="BM2558" i="1" a="1"/>
  <c r="BM2558" i="1" s="1"/>
  <c r="BJ2558" i="1" s="1" a="1"/>
  <c r="BJ2558" i="1" s="1"/>
  <c r="BM2635" i="1" a="1"/>
  <c r="BM2635" i="1" s="1"/>
  <c r="BL2635" i="1" s="1" a="1"/>
  <c r="BL2635" i="1" s="1"/>
  <c r="BM2600" i="1" a="1"/>
  <c r="BM2600" i="1" s="1"/>
  <c r="BJ2600" i="1" s="1" a="1"/>
  <c r="BJ2600" i="1" s="1"/>
  <c r="E2671" i="1" a="1"/>
  <c r="E2671" i="1" s="1"/>
  <c r="BI2671" i="1" a="1"/>
  <c r="BI2671" i="1" s="1"/>
  <c r="BN2672" i="1" a="1"/>
  <c r="BN2672" i="1" s="1"/>
  <c r="BI2672" i="1" a="1"/>
  <c r="BI2672" i="1" s="1"/>
  <c r="BM2672" i="1" a="1"/>
  <c r="BM2672" i="1" s="1"/>
  <c r="BM2671" i="1" a="1"/>
  <c r="BM2671" i="1" s="1"/>
  <c r="BN2671" i="1" a="1"/>
  <c r="BN2671" i="1" s="1"/>
  <c r="BM221" i="1" a="1"/>
  <c r="BM221" i="1" s="1"/>
  <c r="BJ221" i="1" s="1" a="1"/>
  <c r="BJ221" i="1" s="1"/>
  <c r="BN215" i="1" a="1"/>
  <c r="BN215" i="1" s="1"/>
  <c r="BI2600" i="1" a="1"/>
  <c r="BI2600" i="1" s="1"/>
  <c r="BN219" i="1" a="1"/>
  <c r="BN219" i="1" s="1"/>
  <c r="BM225" i="1" a="1"/>
  <c r="BM225" i="1" s="1"/>
  <c r="BL225" i="1" s="1" a="1"/>
  <c r="BL225" i="1" s="1"/>
  <c r="BI228" i="1" a="1"/>
  <c r="BI228" i="1" s="1"/>
  <c r="BM224" i="1" a="1"/>
  <c r="BM224" i="1" s="1"/>
  <c r="BJ224" i="1" s="1" a="1"/>
  <c r="BJ224" i="1" s="1"/>
  <c r="BM216" i="1" a="1"/>
  <c r="BM216" i="1" s="1"/>
  <c r="BJ216" i="1" s="1" a="1"/>
  <c r="BJ216" i="1" s="1"/>
  <c r="BM218" i="1" a="1"/>
  <c r="BM218" i="1" s="1"/>
  <c r="BL218" i="1" s="1" a="1"/>
  <c r="BL218" i="1" s="1"/>
  <c r="BM228" i="1" a="1"/>
  <c r="BM228" i="1" s="1"/>
  <c r="BL228" i="1" s="1" a="1"/>
  <c r="BL228" i="1" s="1"/>
  <c r="BK2600" i="1" a="1"/>
  <c r="BK2600" i="1" s="1"/>
  <c r="BM2636" i="1" a="1"/>
  <c r="BM2636" i="1" s="1"/>
  <c r="BL2636" i="1" s="1" a="1"/>
  <c r="BL2636" i="1" s="1"/>
  <c r="BI225" i="1" a="1"/>
  <c r="BI225" i="1" s="1"/>
  <c r="BI2559" i="1" a="1"/>
  <c r="BI2559" i="1" s="1"/>
  <c r="BN213" i="1" a="1"/>
  <c r="BN213" i="1" s="1"/>
  <c r="BK215" i="1" a="1"/>
  <c r="BK215" i="1" s="1"/>
  <c r="BN218" i="1" a="1"/>
  <c r="BN218" i="1" s="1"/>
  <c r="BN221" i="1" a="1"/>
  <c r="BN221" i="1" s="1"/>
  <c r="BI222" i="1" a="1"/>
  <c r="BI222" i="1" s="1"/>
  <c r="BN225" i="1" a="1"/>
  <c r="BN225" i="1" s="1"/>
  <c r="BK228" i="1" a="1"/>
  <c r="BK228" i="1" s="1"/>
  <c r="BK2559" i="1" a="1"/>
  <c r="BK2559" i="1" s="1"/>
  <c r="BM2599" i="1" a="1"/>
  <c r="BM2599" i="1" s="1"/>
  <c r="BL2599" i="1" s="1" a="1"/>
  <c r="BL2599" i="1" s="1"/>
  <c r="BK2635" i="1" a="1"/>
  <c r="BK2635" i="1" s="1"/>
  <c r="BI221" i="1" a="1"/>
  <c r="BI221" i="1" s="1"/>
  <c r="BI2558" i="1" a="1"/>
  <c r="BI2558" i="1" s="1"/>
  <c r="BI2599" i="1" a="1"/>
  <c r="BI2599" i="1" s="1"/>
  <c r="BI2636" i="1" a="1"/>
  <c r="BI2636" i="1" s="1"/>
  <c r="BM212" i="1" a="1"/>
  <c r="BM212" i="1" s="1"/>
  <c r="BL212" i="1" s="1" a="1"/>
  <c r="BL212" i="1" s="1"/>
  <c r="BI218" i="1" a="1"/>
  <c r="BI218" i="1" s="1"/>
  <c r="BI224" i="1" a="1"/>
  <c r="BI224" i="1" s="1"/>
  <c r="BN2635" i="1" a="1"/>
  <c r="BN2635" i="1" s="1"/>
  <c r="BM219" i="1" a="1"/>
  <c r="BM219" i="1" s="1"/>
  <c r="BJ219" i="1" s="1" a="1"/>
  <c r="BJ219" i="1" s="1"/>
  <c r="BK2558" i="1" a="1"/>
  <c r="BK2558" i="1" s="1"/>
  <c r="BK2599" i="1" a="1"/>
  <c r="BK2599" i="1" s="1"/>
  <c r="BK2636" i="1" a="1"/>
  <c r="BK2636" i="1" s="1"/>
  <c r="BI213" i="1" a="1"/>
  <c r="BI213" i="1" s="1"/>
  <c r="BK221" i="1" a="1"/>
  <c r="BK221" i="1" s="1"/>
  <c r="BN224" i="1" a="1"/>
  <c r="BN224" i="1" s="1"/>
  <c r="E228" i="1" a="1"/>
  <c r="E228" i="1" s="1"/>
  <c r="BN227" i="1" a="1"/>
  <c r="BN227" i="1" s="1"/>
  <c r="E227" i="1" a="1"/>
  <c r="E227" i="1" s="1"/>
  <c r="BM227" i="1" a="1"/>
  <c r="BM227" i="1" s="1"/>
  <c r="BK227" i="1" a="1"/>
  <c r="BK227" i="1" s="1"/>
  <c r="E224" i="1" a="1"/>
  <c r="E224" i="1" s="1"/>
  <c r="E225" i="1" a="1"/>
  <c r="E225" i="1" s="1"/>
  <c r="E213" i="1" a="1"/>
  <c r="E213" i="1" s="1"/>
  <c r="E212" i="1" a="1"/>
  <c r="E212" i="1" s="1"/>
  <c r="BI212" i="1" a="1"/>
  <c r="BI212" i="1" s="1"/>
  <c r="BN212" i="1" a="1"/>
  <c r="BN212" i="1" s="1"/>
  <c r="BN2035" i="1" a="1"/>
  <c r="BN2035" i="1" s="1"/>
  <c r="BI514" i="1" a="1"/>
  <c r="BI514" i="1" s="1"/>
  <c r="BN2029" i="1" a="1"/>
  <c r="BN2029" i="1" s="1"/>
  <c r="E2736" i="1" a="1"/>
  <c r="E2736" i="1" s="1"/>
  <c r="BI1206" i="1" a="1"/>
  <c r="BI1206" i="1" s="1"/>
  <c r="BI2034" i="1" a="1"/>
  <c r="BI2034" i="1" s="1"/>
  <c r="BM2035" i="1" a="1"/>
  <c r="BM2035" i="1" s="1"/>
  <c r="BJ2035" i="1" s="1" a="1"/>
  <c r="BJ2035" i="1" s="1"/>
  <c r="BL2034" i="1" a="1"/>
  <c r="BL2034" i="1" s="1"/>
  <c r="AT2032" i="1"/>
  <c r="BN2033" i="1" a="1"/>
  <c r="BN2033" i="1" s="1"/>
  <c r="BN2034" i="1" a="1"/>
  <c r="BN2034" i="1" s="1"/>
  <c r="BL2035" i="1" a="1"/>
  <c r="BL2035" i="1" s="1"/>
  <c r="BK2034" i="1"/>
  <c r="E2035" i="1" a="1"/>
  <c r="E2035" i="1" s="1"/>
  <c r="BM2034" i="1" a="1"/>
  <c r="BM2034" i="1" s="1"/>
  <c r="BJ2034" i="1" s="1" a="1"/>
  <c r="BJ2034" i="1" s="1"/>
  <c r="BI2035" i="1" a="1"/>
  <c r="BI2035" i="1" s="1"/>
  <c r="BK2035" i="1"/>
  <c r="BI2030" i="1" a="1"/>
  <c r="BI2030" i="1" s="1"/>
  <c r="BN54" i="1" a="1"/>
  <c r="BN54" i="1" s="1"/>
  <c r="BM2033" i="1" a="1"/>
  <c r="BM2033" i="1" s="1"/>
  <c r="BJ2033" i="1" s="1" a="1"/>
  <c r="BJ2033" i="1" s="1"/>
  <c r="BN513" i="1" a="1"/>
  <c r="BN513" i="1" s="1"/>
  <c r="BK2032" i="1"/>
  <c r="BM513" i="1" a="1"/>
  <c r="BM513" i="1" s="1"/>
  <c r="BJ513" i="1" s="1" a="1"/>
  <c r="BJ513" i="1" s="1"/>
  <c r="BM514" i="1" a="1"/>
  <c r="BM514" i="1" s="1"/>
  <c r="BJ514" i="1" s="1" a="1"/>
  <c r="BJ514" i="1" s="1"/>
  <c r="BK2033" i="1"/>
  <c r="BN514" i="1" a="1"/>
  <c r="BN514" i="1" s="1"/>
  <c r="BK2030" i="1"/>
  <c r="BI2033" i="1" a="1"/>
  <c r="BI2033" i="1" s="1"/>
  <c r="BI57" i="1" a="1"/>
  <c r="BI57" i="1" s="1"/>
  <c r="BI511" i="1" a="1"/>
  <c r="BI511" i="1" s="1"/>
  <c r="BM1206" i="1" a="1"/>
  <c r="BM1206" i="1" s="1"/>
  <c r="BJ1206" i="1" s="1" a="1"/>
  <c r="BJ1206" i="1" s="1"/>
  <c r="BM2030" i="1" a="1"/>
  <c r="BM2030" i="1" s="1"/>
  <c r="BJ2030" i="1" s="1" a="1"/>
  <c r="BJ2030" i="1" s="1"/>
  <c r="E2033" i="1" a="1"/>
  <c r="E2033" i="1" s="1"/>
  <c r="BI2032" i="1" a="1"/>
  <c r="BI2032" i="1" s="1"/>
  <c r="E2032" i="1" a="1"/>
  <c r="E2032" i="1" s="1"/>
  <c r="BN2032" i="1" a="1"/>
  <c r="BN2032" i="1" s="1"/>
  <c r="AT2033" i="1"/>
  <c r="BM2032" i="1" a="1"/>
  <c r="BM2032" i="1" s="1"/>
  <c r="BJ2032" i="1" s="1" a="1"/>
  <c r="BJ2032" i="1" s="1"/>
  <c r="BI54" i="1" a="1"/>
  <c r="BI54" i="1" s="1"/>
  <c r="BN1206" i="1" a="1"/>
  <c r="BN1206" i="1" s="1"/>
  <c r="BI2029" i="1" a="1"/>
  <c r="BI2029" i="1" s="1"/>
  <c r="BK1205" i="1"/>
  <c r="BI1594" i="1" a="1"/>
  <c r="BI1594" i="1" s="1"/>
  <c r="BL56" i="1" a="1"/>
  <c r="BL56" i="1" s="1"/>
  <c r="BM57" i="1" a="1"/>
  <c r="BM57" i="1" s="1"/>
  <c r="BJ57" i="1" s="1" a="1"/>
  <c r="BJ57" i="1" s="1"/>
  <c r="BK513" i="1"/>
  <c r="BK1593" i="1"/>
  <c r="BL2029" i="1" a="1"/>
  <c r="BL2029" i="1" s="1"/>
  <c r="AT514" i="1"/>
  <c r="BL57" i="1" a="1"/>
  <c r="BL57" i="1" s="1"/>
  <c r="BK510" i="1"/>
  <c r="BN1205" i="1" a="1"/>
  <c r="BN1205" i="1" s="1"/>
  <c r="BM1593" i="1" a="1"/>
  <c r="BM1593" i="1" s="1"/>
  <c r="BJ1593" i="1" s="1" a="1"/>
  <c r="BJ1593" i="1" s="1"/>
  <c r="BK1594" i="1"/>
  <c r="BK53" i="1"/>
  <c r="BL1205" i="1" a="1"/>
  <c r="BL1205" i="1" s="1"/>
  <c r="BN57" i="1" a="1"/>
  <c r="BN57" i="1" s="1"/>
  <c r="BM511" i="1" a="1"/>
  <c r="BM511" i="1" s="1"/>
  <c r="BJ511" i="1" s="1" a="1"/>
  <c r="BJ511" i="1" s="1"/>
  <c r="BN53" i="1" a="1"/>
  <c r="BN53" i="1" s="1"/>
  <c r="BM54" i="1" a="1"/>
  <c r="BM54" i="1" s="1"/>
  <c r="BJ54" i="1" s="1" a="1"/>
  <c r="BJ54" i="1" s="1"/>
  <c r="BK56" i="1"/>
  <c r="BM1594" i="1" a="1"/>
  <c r="BM1594" i="1" s="1"/>
  <c r="BJ1594" i="1" s="1" a="1"/>
  <c r="BJ1594" i="1" s="1"/>
  <c r="BL1206" i="1" a="1"/>
  <c r="BL1206" i="1" s="1"/>
  <c r="BN2030" i="1" a="1"/>
  <c r="BN2030" i="1" s="1"/>
  <c r="E2030" i="1" a="1"/>
  <c r="E2030" i="1" s="1"/>
  <c r="BM2029" i="1" a="1"/>
  <c r="BM2029" i="1" s="1"/>
  <c r="BJ2029" i="1" s="1" a="1"/>
  <c r="BJ2029" i="1" s="1"/>
  <c r="E2029" i="1" a="1"/>
  <c r="E2029" i="1" s="1"/>
  <c r="BK2029" i="1"/>
  <c r="BL2030" i="1" a="1"/>
  <c r="BL2030" i="1" s="1"/>
  <c r="BI1593" i="1" a="1"/>
  <c r="BI1593" i="1" s="1"/>
  <c r="E1594" i="1" a="1"/>
  <c r="E1594" i="1" s="1"/>
  <c r="BN1594" i="1" a="1"/>
  <c r="BN1594" i="1" s="1"/>
  <c r="E1593" i="1" a="1"/>
  <c r="E1593" i="1" s="1"/>
  <c r="BN1593" i="1" a="1"/>
  <c r="BN1593" i="1" s="1"/>
  <c r="AT1594" i="1"/>
  <c r="AT1593" i="1"/>
  <c r="E1206" i="1" a="1"/>
  <c r="E1206" i="1" s="1"/>
  <c r="BI1205" i="1" a="1"/>
  <c r="BI1205" i="1" s="1"/>
  <c r="E1205" i="1" a="1"/>
  <c r="E1205" i="1" s="1"/>
  <c r="BK1206" i="1"/>
  <c r="BM1205" i="1" a="1"/>
  <c r="BM1205" i="1" s="1"/>
  <c r="BJ1205" i="1" s="1" a="1"/>
  <c r="BJ1205" i="1" s="1"/>
  <c r="E514" i="1" a="1"/>
  <c r="E514" i="1" s="1"/>
  <c r="BI513" i="1" a="1"/>
  <c r="BI513" i="1" s="1"/>
  <c r="AT513" i="1"/>
  <c r="BK514" i="1"/>
  <c r="BK511" i="1"/>
  <c r="BM510" i="1" a="1"/>
  <c r="BM510" i="1" s="1"/>
  <c r="BJ510" i="1" s="1" a="1"/>
  <c r="BJ510" i="1" s="1"/>
  <c r="BN511" i="1" a="1"/>
  <c r="BN511" i="1" s="1"/>
  <c r="BI510" i="1" a="1"/>
  <c r="BI510" i="1" s="1"/>
  <c r="BN510" i="1" a="1"/>
  <c r="BN510" i="1" s="1"/>
  <c r="BM56" i="1" a="1"/>
  <c r="BM56" i="1" s="1"/>
  <c r="BJ56" i="1" s="1" a="1"/>
  <c r="BJ56" i="1" s="1"/>
  <c r="BI56" i="1" a="1"/>
  <c r="BI56" i="1" s="1"/>
  <c r="BK57" i="1"/>
  <c r="BN56" i="1" a="1"/>
  <c r="BN56" i="1" s="1"/>
  <c r="BK54" i="1"/>
  <c r="BM53" i="1" a="1"/>
  <c r="BM53" i="1" s="1"/>
  <c r="BJ53" i="1" s="1" a="1"/>
  <c r="BJ53" i="1" s="1"/>
  <c r="BI53" i="1" a="1"/>
  <c r="BI53" i="1" s="1"/>
  <c r="BI95" i="1" a="1"/>
  <c r="BI95" i="1" s="1"/>
  <c r="BK116" i="1"/>
  <c r="BK115" i="1"/>
  <c r="BL116" i="1" a="1"/>
  <c r="BL116" i="1" s="1"/>
  <c r="BL115" i="1" a="1"/>
  <c r="BL115" i="1" s="1"/>
  <c r="BK114" i="1"/>
  <c r="BK113" i="1"/>
  <c r="BN87" i="1" a="1"/>
  <c r="BN87" i="1" s="1"/>
  <c r="BN90" i="1" a="1"/>
  <c r="BN90" i="1" s="1"/>
  <c r="BK108" i="1"/>
  <c r="BI96" i="1" a="1"/>
  <c r="BI96" i="1" s="1"/>
  <c r="BM90" i="1" a="1"/>
  <c r="BM90" i="1" s="1"/>
  <c r="BJ90" i="1" s="1" a="1"/>
  <c r="BJ90" i="1" s="1"/>
  <c r="BN86" i="1" a="1"/>
  <c r="BN86" i="1" s="1"/>
  <c r="BK102" i="1"/>
  <c r="BK111" i="1"/>
  <c r="BK107" i="1"/>
  <c r="BN96" i="1" a="1"/>
  <c r="BN96" i="1" s="1"/>
  <c r="BK95" i="1"/>
  <c r="BL110" i="1" a="1"/>
  <c r="BL110" i="1" s="1"/>
  <c r="BM93" i="1" a="1"/>
  <c r="BM93" i="1" s="1"/>
  <c r="BJ93" i="1" s="1" a="1"/>
  <c r="BJ93" i="1" s="1"/>
  <c r="BK99" i="1"/>
  <c r="BK101" i="1"/>
  <c r="BL102" i="1" a="1"/>
  <c r="BL102" i="1" s="1"/>
  <c r="BL108" i="1" a="1"/>
  <c r="BL108" i="1" s="1"/>
  <c r="BL111" i="1" a="1"/>
  <c r="BL111" i="1" s="1"/>
  <c r="BK110" i="1"/>
  <c r="BL107" i="1" a="1"/>
  <c r="BL107" i="1" s="1"/>
  <c r="BK105" i="1"/>
  <c r="BK104" i="1"/>
  <c r="BL101" i="1" a="1"/>
  <c r="BL101" i="1" s="1"/>
  <c r="BK87" i="1"/>
  <c r="BM87" i="1" a="1"/>
  <c r="BM87" i="1" s="1"/>
  <c r="BJ87" i="1" s="1" a="1"/>
  <c r="BJ87" i="1" s="1"/>
  <c r="BL90" i="1" a="1"/>
  <c r="BL90" i="1" s="1"/>
  <c r="BK92" i="1"/>
  <c r="BM96" i="1" a="1"/>
  <c r="BM96" i="1" s="1"/>
  <c r="BJ96" i="1" s="1" a="1"/>
  <c r="BJ96" i="1" s="1"/>
  <c r="BI161" i="1" a="1"/>
  <c r="BI161" i="1" s="1"/>
  <c r="BL87" i="1" a="1"/>
  <c r="BL87" i="1" s="1"/>
  <c r="BN92" i="1" a="1"/>
  <c r="BN92" i="1" s="1"/>
  <c r="BK98" i="1"/>
  <c r="BK89" i="1"/>
  <c r="BL92" i="1" a="1"/>
  <c r="BL92" i="1" s="1"/>
  <c r="BK93" i="1"/>
  <c r="AT95" i="1"/>
  <c r="BK86" i="1"/>
  <c r="BN89" i="1" a="1"/>
  <c r="BN89" i="1" s="1"/>
  <c r="BK90" i="1"/>
  <c r="BL98" i="1" a="1"/>
  <c r="BL98" i="1" s="1"/>
  <c r="BL99" i="1" a="1"/>
  <c r="BL99" i="1" s="1"/>
  <c r="E95" i="1" a="1"/>
  <c r="E95" i="1" s="1"/>
  <c r="E96" i="1" a="1"/>
  <c r="E96" i="1" s="1"/>
  <c r="BM95" i="1" a="1"/>
  <c r="BM95" i="1" s="1"/>
  <c r="BJ95" i="1" s="1" a="1"/>
  <c r="BJ95" i="1" s="1"/>
  <c r="BN95" i="1" a="1"/>
  <c r="BN95" i="1" s="1"/>
  <c r="AT96" i="1"/>
  <c r="BK96" i="1"/>
  <c r="BI93" i="1" a="1"/>
  <c r="BI93" i="1" s="1"/>
  <c r="BN93" i="1" a="1"/>
  <c r="BN93" i="1" s="1"/>
  <c r="BM92" i="1" a="1"/>
  <c r="BM92" i="1" s="1"/>
  <c r="BJ92" i="1" s="1" a="1"/>
  <c r="BJ92" i="1" s="1"/>
  <c r="BI92" i="1" a="1"/>
  <c r="BI92" i="1" s="1"/>
  <c r="BL93" i="1" a="1"/>
  <c r="BL93" i="1" s="1"/>
  <c r="BL89" i="1" a="1"/>
  <c r="BL89" i="1" s="1"/>
  <c r="BI90" i="1" a="1"/>
  <c r="BI90" i="1" s="1"/>
  <c r="BM89" i="1" a="1"/>
  <c r="BM89" i="1" s="1"/>
  <c r="BJ89" i="1" s="1" a="1"/>
  <c r="BJ89" i="1" s="1"/>
  <c r="BI89" i="1" a="1"/>
  <c r="BI89" i="1" s="1"/>
  <c r="BL86" i="1" a="1"/>
  <c r="BL86" i="1" s="1"/>
  <c r="BI87" i="1" a="1"/>
  <c r="BI87" i="1" s="1"/>
  <c r="BM86" i="1" a="1"/>
  <c r="BM86" i="1" s="1"/>
  <c r="BJ86" i="1" s="1" a="1"/>
  <c r="BJ86" i="1" s="1"/>
  <c r="BI86" i="1" a="1"/>
  <c r="BI86" i="1" s="1"/>
  <c r="BN164" i="1" a="1"/>
  <c r="BN164" i="1" s="1"/>
  <c r="AT161" i="1"/>
  <c r="BN160" i="1" a="1"/>
  <c r="BN160" i="1" s="1"/>
  <c r="BK161" i="1"/>
  <c r="BN161" i="1" a="1"/>
  <c r="BN161" i="1" s="1"/>
  <c r="BK164" i="1"/>
  <c r="BN163" i="1" a="1"/>
  <c r="BN163" i="1" s="1"/>
  <c r="BM164" i="1" a="1"/>
  <c r="BM164" i="1" s="1"/>
  <c r="BJ164" i="1" s="1" a="1"/>
  <c r="BJ164" i="1" s="1"/>
  <c r="BK160" i="1"/>
  <c r="AT160" i="1"/>
  <c r="BM161" i="1" a="1"/>
  <c r="BM161" i="1" s="1"/>
  <c r="BJ161" i="1" s="1" a="1"/>
  <c r="BJ161" i="1" s="1"/>
  <c r="AT163" i="1"/>
  <c r="BK163" i="1"/>
  <c r="BI164" i="1" a="1"/>
  <c r="BI164" i="1" s="1"/>
  <c r="BM163" i="1" a="1"/>
  <c r="BM163" i="1" s="1"/>
  <c r="BJ163" i="1" s="1" a="1"/>
  <c r="BJ163" i="1" s="1"/>
  <c r="AT164" i="1"/>
  <c r="BI163" i="1" a="1"/>
  <c r="BI163" i="1" s="1"/>
  <c r="BI160" i="1" a="1"/>
  <c r="BI160" i="1" s="1"/>
  <c r="BM160" i="1" a="1"/>
  <c r="BM160" i="1" s="1"/>
  <c r="BJ160" i="1" s="1" a="1"/>
  <c r="BJ160" i="1" s="1"/>
  <c r="AZ159" i="1"/>
  <c r="AY159" i="1"/>
  <c r="AX159" i="1"/>
  <c r="AW159" i="1"/>
  <c r="AU159" i="1"/>
  <c r="AS159" i="1"/>
  <c r="K159" i="1" a="1"/>
  <c r="K159" i="1" s="1"/>
  <c r="J159" i="1" a="1"/>
  <c r="J159" i="1" s="1"/>
  <c r="F159" i="1" a="1"/>
  <c r="F159" i="1" s="1"/>
  <c r="AZ158" i="1"/>
  <c r="AY158" i="1"/>
  <c r="AX158" i="1"/>
  <c r="AW158" i="1"/>
  <c r="AU158" i="1"/>
  <c r="AS158" i="1"/>
  <c r="K158" i="1" a="1"/>
  <c r="K158" i="1" s="1"/>
  <c r="J158" i="1" a="1"/>
  <c r="J158" i="1" s="1"/>
  <c r="F158" i="1" a="1"/>
  <c r="F158" i="1" s="1"/>
  <c r="AZ156" i="1"/>
  <c r="AY156" i="1"/>
  <c r="AX156" i="1"/>
  <c r="AW156" i="1"/>
  <c r="AU156" i="1"/>
  <c r="AS156" i="1"/>
  <c r="K156" i="1" a="1"/>
  <c r="K156" i="1" s="1"/>
  <c r="J156" i="1" a="1"/>
  <c r="J156" i="1" s="1"/>
  <c r="F156" i="1" a="1"/>
  <c r="F156" i="1" s="1"/>
  <c r="AZ155" i="1"/>
  <c r="AY155" i="1"/>
  <c r="AX155" i="1"/>
  <c r="AW155" i="1"/>
  <c r="AU155" i="1"/>
  <c r="AS155" i="1"/>
  <c r="K155" i="1" a="1"/>
  <c r="K155" i="1" s="1"/>
  <c r="J155" i="1" a="1"/>
  <c r="J155" i="1" s="1"/>
  <c r="F155" i="1" a="1"/>
  <c r="F155" i="1" s="1"/>
  <c r="AZ153" i="1"/>
  <c r="AY153" i="1"/>
  <c r="AX153" i="1"/>
  <c r="AW153" i="1"/>
  <c r="AU153" i="1"/>
  <c r="AT153" i="1"/>
  <c r="AS153" i="1"/>
  <c r="K153" i="1" a="1"/>
  <c r="K153" i="1" s="1"/>
  <c r="J153" i="1" a="1"/>
  <c r="J153" i="1" s="1"/>
  <c r="F153" i="1" a="1"/>
  <c r="F153" i="1" s="1"/>
  <c r="AZ152" i="1"/>
  <c r="AY152" i="1"/>
  <c r="AX152" i="1"/>
  <c r="AW152" i="1"/>
  <c r="AU152" i="1"/>
  <c r="AT152" i="1"/>
  <c r="AS152" i="1"/>
  <c r="K152" i="1" a="1"/>
  <c r="K152" i="1" s="1"/>
  <c r="J152" i="1" a="1"/>
  <c r="J152" i="1" s="1"/>
  <c r="F152" i="1" a="1"/>
  <c r="F152" i="1" s="1"/>
  <c r="AZ150" i="1"/>
  <c r="AY150" i="1"/>
  <c r="AX150" i="1"/>
  <c r="AW150" i="1"/>
  <c r="AU150" i="1"/>
  <c r="AS150" i="1"/>
  <c r="K150" i="1" a="1"/>
  <c r="K150" i="1" s="1"/>
  <c r="J150" i="1" a="1"/>
  <c r="J150" i="1" s="1"/>
  <c r="F150" i="1" a="1"/>
  <c r="F150" i="1" s="1"/>
  <c r="AZ149" i="1"/>
  <c r="AY149" i="1"/>
  <c r="AX149" i="1"/>
  <c r="AW149" i="1"/>
  <c r="AU149" i="1"/>
  <c r="AS149" i="1"/>
  <c r="K149" i="1" a="1"/>
  <c r="K149" i="1" s="1"/>
  <c r="J149" i="1" a="1"/>
  <c r="J149" i="1" s="1"/>
  <c r="F149" i="1" a="1"/>
  <c r="F149" i="1" s="1"/>
  <c r="AZ147" i="1"/>
  <c r="AY147" i="1"/>
  <c r="AX147" i="1"/>
  <c r="AW147" i="1"/>
  <c r="AU147" i="1"/>
  <c r="AS147" i="1"/>
  <c r="K147" i="1" a="1"/>
  <c r="K147" i="1" s="1"/>
  <c r="J147" i="1" a="1"/>
  <c r="J147" i="1" s="1"/>
  <c r="F147" i="1" a="1"/>
  <c r="F147" i="1" s="1"/>
  <c r="AZ146" i="1"/>
  <c r="AY146" i="1"/>
  <c r="AX146" i="1"/>
  <c r="AW146" i="1"/>
  <c r="AU146" i="1"/>
  <c r="AS146" i="1"/>
  <c r="K146" i="1" a="1"/>
  <c r="K146" i="1" s="1"/>
  <c r="J146" i="1" a="1"/>
  <c r="J146" i="1" s="1"/>
  <c r="F146" i="1" a="1"/>
  <c r="F146" i="1" s="1"/>
  <c r="AZ141" i="1"/>
  <c r="AY141" i="1"/>
  <c r="AX141" i="1"/>
  <c r="AW141" i="1"/>
  <c r="AU141" i="1"/>
  <c r="AT141" i="1"/>
  <c r="AS141" i="1"/>
  <c r="K141" i="1" a="1"/>
  <c r="K141" i="1" s="1"/>
  <c r="J141" i="1" a="1"/>
  <c r="J141" i="1" s="1"/>
  <c r="F141" i="1" a="1"/>
  <c r="F141" i="1" s="1"/>
  <c r="AZ140" i="1"/>
  <c r="AY140" i="1"/>
  <c r="AX140" i="1"/>
  <c r="AW140" i="1"/>
  <c r="AU140" i="1"/>
  <c r="AT140" i="1"/>
  <c r="AS140" i="1"/>
  <c r="K140" i="1" a="1"/>
  <c r="K140" i="1" s="1"/>
  <c r="J140" i="1" a="1"/>
  <c r="J140" i="1" s="1"/>
  <c r="F140" i="1" a="1"/>
  <c r="F140" i="1" s="1"/>
  <c r="AZ138" i="1"/>
  <c r="AY138" i="1"/>
  <c r="AX138" i="1"/>
  <c r="AW138" i="1"/>
  <c r="AU138" i="1"/>
  <c r="AT138" i="1"/>
  <c r="AS138" i="1"/>
  <c r="K138" i="1" a="1"/>
  <c r="K138" i="1" s="1"/>
  <c r="J138" i="1" a="1"/>
  <c r="J138" i="1" s="1"/>
  <c r="F138" i="1" a="1"/>
  <c r="F138" i="1" s="1"/>
  <c r="AZ137" i="1"/>
  <c r="AY137" i="1"/>
  <c r="AX137" i="1"/>
  <c r="AW137" i="1"/>
  <c r="AU137" i="1"/>
  <c r="AT137" i="1"/>
  <c r="AS137" i="1"/>
  <c r="K137" i="1" a="1"/>
  <c r="K137" i="1" s="1"/>
  <c r="J137" i="1" a="1"/>
  <c r="J137" i="1" s="1"/>
  <c r="F137" i="1" a="1"/>
  <c r="F137" i="1" s="1"/>
  <c r="E137" i="1" s="1" a="1"/>
  <c r="E137" i="1" s="1"/>
  <c r="AZ135" i="1"/>
  <c r="AY135" i="1"/>
  <c r="AX135" i="1"/>
  <c r="AW135" i="1"/>
  <c r="AU135" i="1"/>
  <c r="AS135" i="1"/>
  <c r="K135" i="1" a="1"/>
  <c r="K135" i="1" s="1"/>
  <c r="J135" i="1" a="1"/>
  <c r="J135" i="1" s="1"/>
  <c r="F135" i="1" a="1"/>
  <c r="F135" i="1" s="1"/>
  <c r="AZ134" i="1"/>
  <c r="AY134" i="1"/>
  <c r="AX134" i="1"/>
  <c r="AW134" i="1"/>
  <c r="AU134" i="1"/>
  <c r="AS134" i="1"/>
  <c r="K134" i="1" a="1"/>
  <c r="K134" i="1" s="1"/>
  <c r="J134" i="1" a="1"/>
  <c r="J134" i="1" s="1"/>
  <c r="F134" i="1" a="1"/>
  <c r="F134" i="1" s="1"/>
  <c r="E134" i="1" s="1" a="1"/>
  <c r="E134" i="1" s="1"/>
  <c r="AZ132" i="1"/>
  <c r="AY132" i="1"/>
  <c r="AX132" i="1"/>
  <c r="AW132" i="1"/>
  <c r="AU132" i="1"/>
  <c r="AT132" i="1"/>
  <c r="AS132" i="1"/>
  <c r="K132" i="1" a="1"/>
  <c r="K132" i="1" s="1"/>
  <c r="J132" i="1" a="1"/>
  <c r="J132" i="1" s="1"/>
  <c r="F132" i="1" a="1"/>
  <c r="F132" i="1" s="1"/>
  <c r="AZ131" i="1"/>
  <c r="AY131" i="1"/>
  <c r="AX131" i="1"/>
  <c r="AW131" i="1"/>
  <c r="AU131" i="1"/>
  <c r="AT131" i="1"/>
  <c r="AS131" i="1"/>
  <c r="K131" i="1" a="1"/>
  <c r="K131" i="1" s="1"/>
  <c r="J131" i="1" a="1"/>
  <c r="J131" i="1" s="1"/>
  <c r="F131" i="1" a="1"/>
  <c r="F131" i="1" s="1"/>
  <c r="AZ129" i="1"/>
  <c r="AY129" i="1"/>
  <c r="AX129" i="1"/>
  <c r="AW129" i="1"/>
  <c r="AU129" i="1"/>
  <c r="AS129" i="1"/>
  <c r="K129" i="1" a="1"/>
  <c r="K129" i="1" s="1"/>
  <c r="J129" i="1" a="1"/>
  <c r="J129" i="1" s="1"/>
  <c r="F129" i="1" a="1"/>
  <c r="F129" i="1" s="1"/>
  <c r="AZ128" i="1"/>
  <c r="AY128" i="1"/>
  <c r="AX128" i="1"/>
  <c r="AW128" i="1"/>
  <c r="AU128" i="1"/>
  <c r="AS128" i="1"/>
  <c r="K128" i="1" a="1"/>
  <c r="K128" i="1" s="1"/>
  <c r="J128" i="1" a="1"/>
  <c r="J128" i="1" s="1"/>
  <c r="F128" i="1" a="1"/>
  <c r="F128" i="1" s="1"/>
  <c r="E128" i="1" s="1" a="1"/>
  <c r="E128" i="1" s="1"/>
  <c r="AZ126" i="1"/>
  <c r="AY126" i="1"/>
  <c r="AX126" i="1"/>
  <c r="AW126" i="1"/>
  <c r="AU126" i="1"/>
  <c r="AT126" i="1"/>
  <c r="AS126" i="1"/>
  <c r="K126" i="1" a="1"/>
  <c r="K126" i="1" s="1"/>
  <c r="J126" i="1" a="1"/>
  <c r="J126" i="1" s="1"/>
  <c r="F126" i="1" a="1"/>
  <c r="F126" i="1" s="1"/>
  <c r="AZ125" i="1"/>
  <c r="AY125" i="1"/>
  <c r="AX125" i="1"/>
  <c r="AW125" i="1"/>
  <c r="AU125" i="1"/>
  <c r="AT125" i="1"/>
  <c r="AS125" i="1"/>
  <c r="K125" i="1" a="1"/>
  <c r="K125" i="1" s="1"/>
  <c r="J125" i="1" a="1"/>
  <c r="J125" i="1" s="1"/>
  <c r="F125" i="1" a="1"/>
  <c r="F125" i="1" s="1"/>
  <c r="AZ123" i="1"/>
  <c r="AY123" i="1"/>
  <c r="AX123" i="1"/>
  <c r="AW123" i="1"/>
  <c r="AU123" i="1"/>
  <c r="AT123" i="1"/>
  <c r="AS123" i="1"/>
  <c r="K123" i="1" a="1"/>
  <c r="K123" i="1" s="1"/>
  <c r="J123" i="1" a="1"/>
  <c r="J123" i="1" s="1"/>
  <c r="F123" i="1" a="1"/>
  <c r="F123" i="1" s="1"/>
  <c r="AZ122" i="1"/>
  <c r="AY122" i="1"/>
  <c r="AX122" i="1"/>
  <c r="AW122" i="1"/>
  <c r="AU122" i="1"/>
  <c r="AT122" i="1"/>
  <c r="AS122" i="1"/>
  <c r="K122" i="1" a="1"/>
  <c r="K122" i="1" s="1"/>
  <c r="J122" i="1" a="1"/>
  <c r="J122" i="1" s="1"/>
  <c r="F122" i="1" a="1"/>
  <c r="F122" i="1" s="1"/>
  <c r="AZ120" i="1"/>
  <c r="AY120" i="1"/>
  <c r="AX120" i="1"/>
  <c r="AW120" i="1"/>
  <c r="AU120" i="1"/>
  <c r="AS120" i="1"/>
  <c r="K120" i="1" a="1"/>
  <c r="K120" i="1" s="1"/>
  <c r="J120" i="1" a="1"/>
  <c r="J120" i="1" s="1"/>
  <c r="F120" i="1" a="1"/>
  <c r="F120" i="1" s="1"/>
  <c r="AZ119" i="1"/>
  <c r="AY119" i="1"/>
  <c r="AX119" i="1"/>
  <c r="AW119" i="1"/>
  <c r="AU119" i="1"/>
  <c r="AS119" i="1"/>
  <c r="K119" i="1" a="1"/>
  <c r="K119" i="1" s="1"/>
  <c r="J119" i="1" a="1"/>
  <c r="J119" i="1" s="1"/>
  <c r="F119" i="1" a="1"/>
  <c r="F119" i="1" s="1"/>
  <c r="AW209" i="1"/>
  <c r="BM209" i="1" s="1" a="1"/>
  <c r="BM209" i="1" s="1"/>
  <c r="BJ209" i="1" s="1" a="1"/>
  <c r="BJ209" i="1" s="1"/>
  <c r="AT209" i="1" a="1"/>
  <c r="AT209" i="1" s="1"/>
  <c r="AU209" i="1" s="1"/>
  <c r="AS209" i="1" a="1"/>
  <c r="AS209" i="1" s="1"/>
  <c r="K209" i="1" a="1"/>
  <c r="K209" i="1" s="1"/>
  <c r="J209" i="1" a="1"/>
  <c r="J209" i="1" s="1"/>
  <c r="F209" i="1" a="1"/>
  <c r="F209" i="1" s="1"/>
  <c r="AW208" i="1"/>
  <c r="BK208" i="1" s="1" a="1"/>
  <c r="BK208" i="1" s="1"/>
  <c r="AT208" i="1" a="1"/>
  <c r="AT208" i="1" s="1"/>
  <c r="AU208" i="1" s="1"/>
  <c r="AS208" i="1" a="1"/>
  <c r="AS208" i="1" s="1"/>
  <c r="K208" i="1" a="1"/>
  <c r="K208" i="1" s="1"/>
  <c r="J208" i="1" a="1"/>
  <c r="J208" i="1" s="1"/>
  <c r="F208" i="1" a="1"/>
  <c r="F208" i="1" s="1"/>
  <c r="AW206" i="1"/>
  <c r="BM206" i="1" s="1" a="1"/>
  <c r="BM206" i="1" s="1"/>
  <c r="BJ206" i="1" s="1" a="1"/>
  <c r="BJ206" i="1" s="1"/>
  <c r="AT206" i="1" a="1"/>
  <c r="AT206" i="1" s="1"/>
  <c r="AU206" i="1" s="1"/>
  <c r="AS206" i="1" a="1"/>
  <c r="AS206" i="1" s="1"/>
  <c r="K206" i="1" a="1"/>
  <c r="K206" i="1" s="1"/>
  <c r="J206" i="1" a="1"/>
  <c r="J206" i="1" s="1"/>
  <c r="F206" i="1" a="1"/>
  <c r="F206" i="1" s="1"/>
  <c r="AW205" i="1"/>
  <c r="BN205" i="1" s="1" a="1"/>
  <c r="BN205" i="1" s="1"/>
  <c r="AT205" i="1" a="1"/>
  <c r="AT205" i="1" s="1"/>
  <c r="AU205" i="1" s="1"/>
  <c r="AS205" i="1" a="1"/>
  <c r="AS205" i="1" s="1"/>
  <c r="K205" i="1" a="1"/>
  <c r="K205" i="1" s="1"/>
  <c r="J205" i="1" a="1"/>
  <c r="J205" i="1" s="1"/>
  <c r="F205" i="1" a="1"/>
  <c r="F205" i="1" s="1"/>
  <c r="BN204" i="1" a="1"/>
  <c r="BN204" i="1" s="1"/>
  <c r="BM204" i="1" a="1"/>
  <c r="BM204" i="1" s="1"/>
  <c r="BJ204" i="1" s="1" a="1"/>
  <c r="BJ204" i="1" s="1"/>
  <c r="BL204" i="1" a="1"/>
  <c r="BL204" i="1" s="1"/>
  <c r="BK204" i="1" a="1"/>
  <c r="BK204" i="1" s="1"/>
  <c r="BI204" i="1" a="1"/>
  <c r="BI204" i="1" s="1"/>
  <c r="AT204" i="1" a="1"/>
  <c r="AT204" i="1" s="1"/>
  <c r="AU204" i="1" s="1"/>
  <c r="AS204" i="1" a="1"/>
  <c r="AS204" i="1" s="1"/>
  <c r="K204" i="1" a="1"/>
  <c r="K204" i="1" s="1"/>
  <c r="J204" i="1" a="1"/>
  <c r="J204" i="1" s="1"/>
  <c r="F204" i="1" a="1"/>
  <c r="F204" i="1" s="1"/>
  <c r="BN203" i="1" a="1"/>
  <c r="BN203" i="1" s="1"/>
  <c r="BM203" i="1" a="1"/>
  <c r="BM203" i="1" s="1"/>
  <c r="BJ203" i="1" s="1" a="1"/>
  <c r="BJ203" i="1" s="1"/>
  <c r="BL203" i="1" a="1"/>
  <c r="BL203" i="1" s="1"/>
  <c r="BK203" i="1" a="1"/>
  <c r="BK203" i="1" s="1"/>
  <c r="BI203" i="1" a="1"/>
  <c r="BI203" i="1" s="1"/>
  <c r="AT203" i="1" a="1"/>
  <c r="AT203" i="1" s="1"/>
  <c r="AU203" i="1" s="1"/>
  <c r="AS203" i="1" a="1"/>
  <c r="AS203" i="1" s="1"/>
  <c r="K203" i="1" a="1"/>
  <c r="K203" i="1" s="1"/>
  <c r="J203" i="1" a="1"/>
  <c r="J203" i="1" s="1"/>
  <c r="F203" i="1" a="1"/>
  <c r="F203" i="1" s="1"/>
  <c r="AW201" i="1"/>
  <c r="BK201" i="1" s="1" a="1"/>
  <c r="BK201" i="1" s="1"/>
  <c r="AT201" i="1" a="1"/>
  <c r="AT201" i="1" s="1"/>
  <c r="AU201" i="1" s="1"/>
  <c r="AS201" i="1" a="1"/>
  <c r="AS201" i="1" s="1"/>
  <c r="K201" i="1" a="1"/>
  <c r="K201" i="1" s="1"/>
  <c r="J201" i="1" a="1"/>
  <c r="J201" i="1" s="1"/>
  <c r="F201" i="1" a="1"/>
  <c r="F201" i="1" s="1"/>
  <c r="AW200" i="1"/>
  <c r="BK200" i="1" s="1" a="1"/>
  <c r="BK200" i="1" s="1"/>
  <c r="AT200" i="1" a="1"/>
  <c r="AT200" i="1" s="1"/>
  <c r="AU200" i="1" s="1"/>
  <c r="AS200" i="1" a="1"/>
  <c r="AS200" i="1" s="1"/>
  <c r="K200" i="1" a="1"/>
  <c r="K200" i="1" s="1"/>
  <c r="J200" i="1" a="1"/>
  <c r="J200" i="1" s="1"/>
  <c r="F200" i="1" a="1"/>
  <c r="F200" i="1" s="1"/>
  <c r="AW198" i="1"/>
  <c r="BM198" i="1" s="1" a="1"/>
  <c r="BM198" i="1" s="1"/>
  <c r="BJ198" i="1" s="1" a="1"/>
  <c r="BJ198" i="1" s="1"/>
  <c r="AT198" i="1" a="1"/>
  <c r="AT198" i="1" s="1"/>
  <c r="AU198" i="1" s="1"/>
  <c r="AS198" i="1" a="1"/>
  <c r="AS198" i="1" s="1"/>
  <c r="K198" i="1" a="1"/>
  <c r="K198" i="1" s="1"/>
  <c r="J198" i="1" a="1"/>
  <c r="J198" i="1" s="1"/>
  <c r="F198" i="1" a="1"/>
  <c r="F198" i="1" s="1"/>
  <c r="AW197" i="1"/>
  <c r="BN197" i="1" s="1" a="1"/>
  <c r="BN197" i="1" s="1"/>
  <c r="AT197" i="1" a="1"/>
  <c r="AT197" i="1" s="1"/>
  <c r="AU197" i="1" s="1"/>
  <c r="AS197" i="1" a="1"/>
  <c r="AS197" i="1" s="1"/>
  <c r="K197" i="1" a="1"/>
  <c r="K197" i="1" s="1"/>
  <c r="J197" i="1" a="1"/>
  <c r="J197" i="1" s="1"/>
  <c r="F197" i="1" a="1"/>
  <c r="F197" i="1" s="1"/>
  <c r="BN195" i="1" a="1"/>
  <c r="BN195" i="1" s="1"/>
  <c r="BM195" i="1" a="1"/>
  <c r="BM195" i="1" s="1"/>
  <c r="BJ195" i="1" s="1" a="1"/>
  <c r="BJ195" i="1" s="1"/>
  <c r="BL195" i="1" a="1"/>
  <c r="BL195" i="1" s="1"/>
  <c r="BK195" i="1" a="1"/>
  <c r="BK195" i="1" s="1"/>
  <c r="BI195" i="1" a="1"/>
  <c r="BI195" i="1" s="1"/>
  <c r="AT195" i="1" a="1"/>
  <c r="AT195" i="1" s="1"/>
  <c r="AU195" i="1" s="1"/>
  <c r="AS195" i="1" a="1"/>
  <c r="AS195" i="1" s="1"/>
  <c r="K195" i="1" a="1"/>
  <c r="K195" i="1" s="1"/>
  <c r="J195" i="1" a="1"/>
  <c r="J195" i="1" s="1"/>
  <c r="F195" i="1" a="1"/>
  <c r="F195" i="1" s="1"/>
  <c r="BN194" i="1" a="1"/>
  <c r="BN194" i="1" s="1"/>
  <c r="BM194" i="1" a="1"/>
  <c r="BM194" i="1" s="1"/>
  <c r="BJ194" i="1" s="1" a="1"/>
  <c r="BJ194" i="1" s="1"/>
  <c r="BL194" i="1" a="1"/>
  <c r="BL194" i="1" s="1"/>
  <c r="BK194" i="1" a="1"/>
  <c r="BK194" i="1" s="1"/>
  <c r="BI194" i="1" a="1"/>
  <c r="BI194" i="1" s="1"/>
  <c r="AT194" i="1" a="1"/>
  <c r="AT194" i="1" s="1"/>
  <c r="AU194" i="1" s="1"/>
  <c r="AS194" i="1" a="1"/>
  <c r="AS194" i="1" s="1"/>
  <c r="K194" i="1" a="1"/>
  <c r="K194" i="1" s="1"/>
  <c r="J194" i="1" a="1"/>
  <c r="J194" i="1" s="1"/>
  <c r="F194" i="1" a="1"/>
  <c r="F194" i="1" s="1"/>
  <c r="AY192" i="1"/>
  <c r="BN192" i="1" s="1" a="1"/>
  <c r="BN192" i="1" s="1"/>
  <c r="AX192" i="1"/>
  <c r="AW192" i="1"/>
  <c r="AT192" i="1"/>
  <c r="AU192" i="1" s="1"/>
  <c r="AS192" i="1" a="1"/>
  <c r="AS192" i="1" s="1"/>
  <c r="K192" i="1" a="1"/>
  <c r="K192" i="1" s="1"/>
  <c r="J192" i="1" a="1"/>
  <c r="J192" i="1" s="1"/>
  <c r="F192" i="1" a="1"/>
  <c r="F192" i="1" s="1"/>
  <c r="AY191" i="1"/>
  <c r="BN191" i="1" s="1" a="1"/>
  <c r="BN191" i="1" s="1"/>
  <c r="AX191" i="1"/>
  <c r="AW191" i="1"/>
  <c r="AT191" i="1"/>
  <c r="AU191" i="1" s="1"/>
  <c r="AS191" i="1" a="1"/>
  <c r="AS191" i="1" s="1"/>
  <c r="K191" i="1" a="1"/>
  <c r="K191" i="1" s="1"/>
  <c r="J191" i="1" a="1"/>
  <c r="J191" i="1" s="1"/>
  <c r="F191" i="1" a="1"/>
  <c r="F191" i="1" s="1"/>
  <c r="AY189" i="1"/>
  <c r="BI189" i="1" s="1" a="1"/>
  <c r="BI189" i="1" s="1"/>
  <c r="AX189" i="1"/>
  <c r="AW189" i="1"/>
  <c r="AT189" i="1"/>
  <c r="AU189" i="1" s="1"/>
  <c r="AS189" i="1" a="1"/>
  <c r="AS189" i="1" s="1"/>
  <c r="K189" i="1" a="1"/>
  <c r="K189" i="1" s="1"/>
  <c r="J189" i="1" a="1"/>
  <c r="J189" i="1" s="1"/>
  <c r="F189" i="1" a="1"/>
  <c r="F189" i="1" s="1"/>
  <c r="AY188" i="1"/>
  <c r="BN188" i="1" s="1" a="1"/>
  <c r="BN188" i="1" s="1"/>
  <c r="AX188" i="1"/>
  <c r="AW188" i="1"/>
  <c r="AT188" i="1"/>
  <c r="AU188" i="1" s="1"/>
  <c r="AS188" i="1" a="1"/>
  <c r="AS188" i="1" s="1"/>
  <c r="K188" i="1" a="1"/>
  <c r="K188" i="1" s="1"/>
  <c r="J188" i="1" a="1"/>
  <c r="J188" i="1" s="1"/>
  <c r="F188" i="1" a="1"/>
  <c r="F188" i="1" s="1"/>
  <c r="BN186" i="1" a="1"/>
  <c r="BN186" i="1" s="1"/>
  <c r="BM186" i="1" a="1"/>
  <c r="BM186" i="1" s="1"/>
  <c r="BJ186" i="1" s="1" a="1"/>
  <c r="BJ186" i="1" s="1"/>
  <c r="BK186" i="1" a="1"/>
  <c r="BK186" i="1" s="1"/>
  <c r="BI186" i="1" a="1"/>
  <c r="BI186" i="1" s="1"/>
  <c r="AT186" i="1"/>
  <c r="AU186" i="1" s="1"/>
  <c r="AS186" i="1" a="1"/>
  <c r="AS186" i="1" s="1"/>
  <c r="K186" i="1" a="1"/>
  <c r="K186" i="1" s="1"/>
  <c r="J186" i="1" a="1"/>
  <c r="J186" i="1" s="1"/>
  <c r="F186" i="1" a="1"/>
  <c r="F186" i="1" s="1"/>
  <c r="BN185" i="1" a="1"/>
  <c r="BN185" i="1" s="1"/>
  <c r="BM185" i="1" a="1"/>
  <c r="BM185" i="1" s="1"/>
  <c r="BJ185" i="1" s="1" a="1"/>
  <c r="BJ185" i="1" s="1"/>
  <c r="BK185" i="1" a="1"/>
  <c r="BK185" i="1" s="1"/>
  <c r="BI185" i="1" a="1"/>
  <c r="BI185" i="1" s="1"/>
  <c r="AT185" i="1"/>
  <c r="AU185" i="1" s="1"/>
  <c r="AS185" i="1" a="1"/>
  <c r="AS185" i="1" s="1"/>
  <c r="K185" i="1" a="1"/>
  <c r="K185" i="1" s="1"/>
  <c r="J185" i="1" a="1"/>
  <c r="J185" i="1" s="1"/>
  <c r="F185" i="1" a="1"/>
  <c r="F185" i="1" s="1"/>
  <c r="AZ183" i="1"/>
  <c r="AY183" i="1"/>
  <c r="AX183" i="1"/>
  <c r="AW183" i="1"/>
  <c r="AT183" i="1" a="1"/>
  <c r="AT183" i="1" s="1"/>
  <c r="AU183" i="1" s="1"/>
  <c r="AS183" i="1" a="1"/>
  <c r="AS183" i="1" s="1"/>
  <c r="K183" i="1" a="1"/>
  <c r="K183" i="1" s="1"/>
  <c r="J183" i="1" a="1"/>
  <c r="J183" i="1" s="1"/>
  <c r="F183" i="1" a="1"/>
  <c r="F183" i="1" s="1"/>
  <c r="AZ182" i="1"/>
  <c r="AY182" i="1"/>
  <c r="AX182" i="1"/>
  <c r="AW182" i="1"/>
  <c r="AT182" i="1" a="1"/>
  <c r="AT182" i="1" s="1"/>
  <c r="AU182" i="1" s="1"/>
  <c r="AS182" i="1" a="1"/>
  <c r="AS182" i="1" s="1"/>
  <c r="K182" i="1" a="1"/>
  <c r="K182" i="1" s="1"/>
  <c r="J182" i="1" a="1"/>
  <c r="J182" i="1" s="1"/>
  <c r="F182" i="1" a="1"/>
  <c r="F182" i="1" s="1"/>
  <c r="AZ180" i="1"/>
  <c r="AY180" i="1"/>
  <c r="AX180" i="1"/>
  <c r="AW180" i="1"/>
  <c r="AT180" i="1" a="1"/>
  <c r="AT180" i="1" s="1"/>
  <c r="AU180" i="1" s="1"/>
  <c r="AS180" i="1" a="1"/>
  <c r="AS180" i="1" s="1"/>
  <c r="K180" i="1" a="1"/>
  <c r="K180" i="1" s="1"/>
  <c r="J180" i="1" a="1"/>
  <c r="J180" i="1" s="1"/>
  <c r="F180" i="1" a="1"/>
  <c r="F180" i="1" s="1"/>
  <c r="AZ179" i="1"/>
  <c r="AY179" i="1"/>
  <c r="AX179" i="1"/>
  <c r="AW179" i="1"/>
  <c r="AT179" i="1" a="1"/>
  <c r="AT179" i="1" s="1"/>
  <c r="AU179" i="1" s="1"/>
  <c r="AS179" i="1" a="1"/>
  <c r="AS179" i="1" s="1"/>
  <c r="K179" i="1" a="1"/>
  <c r="K179" i="1" s="1"/>
  <c r="J179" i="1" a="1"/>
  <c r="J179" i="1" s="1"/>
  <c r="F179" i="1" a="1"/>
  <c r="F179" i="1" s="1"/>
  <c r="BO177" i="1" a="1"/>
  <c r="BO177" i="1" s="1"/>
  <c r="AZ177" i="1"/>
  <c r="AY177" i="1"/>
  <c r="AX177" i="1"/>
  <c r="AW177" i="1"/>
  <c r="AT177" i="1" a="1"/>
  <c r="AT177" i="1" s="1"/>
  <c r="AU177" i="1" s="1"/>
  <c r="AS177" i="1" a="1"/>
  <c r="AS177" i="1" s="1"/>
  <c r="K177" i="1"/>
  <c r="J177" i="1" a="1"/>
  <c r="J177" i="1" s="1"/>
  <c r="F177" i="1" a="1"/>
  <c r="F177" i="1" s="1"/>
  <c r="BO176" i="1" a="1"/>
  <c r="BO176" i="1" s="1"/>
  <c r="AZ176" i="1"/>
  <c r="AY176" i="1"/>
  <c r="AX176" i="1"/>
  <c r="AW176" i="1"/>
  <c r="AT176" i="1" a="1"/>
  <c r="AT176" i="1" s="1"/>
  <c r="AU176" i="1" s="1"/>
  <c r="AS176" i="1" a="1"/>
  <c r="AS176" i="1" s="1"/>
  <c r="K176" i="1"/>
  <c r="J176" i="1" a="1"/>
  <c r="J176" i="1" s="1"/>
  <c r="F176" i="1" a="1"/>
  <c r="F176" i="1" s="1"/>
  <c r="AZ174" i="1"/>
  <c r="AY174" i="1"/>
  <c r="AX174" i="1"/>
  <c r="AW174" i="1"/>
  <c r="AT174" i="1" a="1"/>
  <c r="AT174" i="1" s="1"/>
  <c r="AU174" i="1" s="1"/>
  <c r="AS174" i="1" a="1"/>
  <c r="AS174" i="1" s="1"/>
  <c r="K174" i="1" a="1"/>
  <c r="K174" i="1" s="1"/>
  <c r="J174" i="1" a="1"/>
  <c r="J174" i="1" s="1"/>
  <c r="F174" i="1" a="1"/>
  <c r="F174" i="1" s="1"/>
  <c r="AZ173" i="1"/>
  <c r="AY173" i="1"/>
  <c r="AX173" i="1"/>
  <c r="AW173" i="1"/>
  <c r="AT173" i="1" a="1"/>
  <c r="AT173" i="1" s="1"/>
  <c r="AU173" i="1" s="1"/>
  <c r="AS173" i="1" a="1"/>
  <c r="AS173" i="1" s="1"/>
  <c r="K173" i="1" a="1"/>
  <c r="K173" i="1" s="1"/>
  <c r="J173" i="1" a="1"/>
  <c r="J173" i="1" s="1"/>
  <c r="F173" i="1" a="1"/>
  <c r="F173" i="1" s="1"/>
  <c r="AZ171" i="1"/>
  <c r="AY171" i="1"/>
  <c r="AX171" i="1"/>
  <c r="AW171" i="1"/>
  <c r="AT171" i="1" a="1"/>
  <c r="AT171" i="1" s="1"/>
  <c r="AU171" i="1" s="1"/>
  <c r="AS171" i="1" a="1"/>
  <c r="AS171" i="1" s="1"/>
  <c r="K171" i="1" a="1"/>
  <c r="K171" i="1" s="1"/>
  <c r="J171" i="1" a="1"/>
  <c r="J171" i="1" s="1"/>
  <c r="F171" i="1" a="1"/>
  <c r="F171" i="1" s="1"/>
  <c r="AZ170" i="1"/>
  <c r="AY170" i="1"/>
  <c r="AX170" i="1"/>
  <c r="AW170" i="1"/>
  <c r="AT170" i="1" a="1"/>
  <c r="AT170" i="1" s="1"/>
  <c r="AU170" i="1" s="1"/>
  <c r="AS170" i="1" a="1"/>
  <c r="AS170" i="1" s="1"/>
  <c r="K170" i="1" a="1"/>
  <c r="K170" i="1" s="1"/>
  <c r="J170" i="1" a="1"/>
  <c r="J170" i="1" s="1"/>
  <c r="F170" i="1" a="1"/>
  <c r="F170" i="1" s="1"/>
  <c r="BO168" i="1" a="1"/>
  <c r="BO168" i="1" s="1"/>
  <c r="AZ168" i="1"/>
  <c r="AY168" i="1"/>
  <c r="AX168" i="1"/>
  <c r="AW168" i="1"/>
  <c r="AT168" i="1" a="1"/>
  <c r="AT168" i="1" s="1"/>
  <c r="AU168" i="1" s="1"/>
  <c r="AS168" i="1" a="1"/>
  <c r="AS168" i="1" s="1"/>
  <c r="K168" i="1"/>
  <c r="J168" i="1" a="1"/>
  <c r="J168" i="1" s="1"/>
  <c r="F168" i="1" a="1"/>
  <c r="F168" i="1" s="1"/>
  <c r="BO167" i="1" a="1"/>
  <c r="BO167" i="1" s="1"/>
  <c r="AZ167" i="1"/>
  <c r="AY167" i="1"/>
  <c r="AX167" i="1"/>
  <c r="AW167" i="1"/>
  <c r="AT167" i="1" a="1"/>
  <c r="AT167" i="1" s="1"/>
  <c r="AU167" i="1" s="1"/>
  <c r="AS167" i="1" a="1"/>
  <c r="AS167" i="1" s="1"/>
  <c r="K167" i="1"/>
  <c r="J167" i="1" a="1"/>
  <c r="J167" i="1" s="1"/>
  <c r="F167" i="1" a="1"/>
  <c r="F167" i="1" s="1"/>
  <c r="F166" i="1" a="1"/>
  <c r="F166" i="1" s="1"/>
  <c r="E166" i="1" s="1" a="1"/>
  <c r="E166" i="1" s="1"/>
  <c r="J166" i="1" a="1"/>
  <c r="J166" i="1" s="1"/>
  <c r="K166" i="1"/>
  <c r="AS166" i="1" a="1"/>
  <c r="AS166" i="1" s="1"/>
  <c r="AT166" i="1" a="1"/>
  <c r="AT166" i="1" s="1"/>
  <c r="AU166" i="1" s="1"/>
  <c r="AW166" i="1"/>
  <c r="AX166" i="1"/>
  <c r="AY166" i="1"/>
  <c r="AZ166" i="1"/>
  <c r="BO166" i="1" a="1"/>
  <c r="BO166" i="1" s="1"/>
  <c r="AZ50" i="1"/>
  <c r="AY50" i="1"/>
  <c r="AX50" i="1"/>
  <c r="AW50" i="1"/>
  <c r="AU50" i="1"/>
  <c r="AT50" i="1"/>
  <c r="AS50" i="1"/>
  <c r="K50" i="1" a="1"/>
  <c r="K50" i="1" s="1"/>
  <c r="J50" i="1" a="1"/>
  <c r="J50" i="1" s="1"/>
  <c r="F50" i="1" a="1"/>
  <c r="F50" i="1" s="1"/>
  <c r="AZ49" i="1"/>
  <c r="AY49" i="1"/>
  <c r="AX49" i="1"/>
  <c r="AW49" i="1"/>
  <c r="AU49" i="1"/>
  <c r="AT49" i="1"/>
  <c r="AS49" i="1"/>
  <c r="K49" i="1" a="1"/>
  <c r="K49" i="1" s="1"/>
  <c r="J49" i="1" a="1"/>
  <c r="J49" i="1" s="1"/>
  <c r="F49" i="1" a="1"/>
  <c r="F49" i="1" s="1"/>
  <c r="AZ48" i="1"/>
  <c r="AY48" i="1"/>
  <c r="AX48" i="1"/>
  <c r="AW48" i="1"/>
  <c r="AU48" i="1"/>
  <c r="AS48" i="1"/>
  <c r="K48" i="1" a="1"/>
  <c r="K48" i="1" s="1"/>
  <c r="J48" i="1" a="1"/>
  <c r="J48" i="1" s="1"/>
  <c r="F48" i="1" a="1"/>
  <c r="F48" i="1" s="1"/>
  <c r="AZ47" i="1"/>
  <c r="AY47" i="1"/>
  <c r="AX47" i="1"/>
  <c r="AW47" i="1"/>
  <c r="AU47" i="1"/>
  <c r="AS47" i="1"/>
  <c r="K47" i="1" a="1"/>
  <c r="K47" i="1" s="1"/>
  <c r="J47" i="1" a="1"/>
  <c r="J47" i="1" s="1"/>
  <c r="F47" i="1" a="1"/>
  <c r="F47" i="1" s="1"/>
  <c r="AZ45" i="1"/>
  <c r="AY45" i="1"/>
  <c r="AX45" i="1"/>
  <c r="AW45" i="1"/>
  <c r="AU45" i="1"/>
  <c r="AT45" i="1"/>
  <c r="AS45" i="1"/>
  <c r="K45" i="1" a="1"/>
  <c r="K45" i="1" s="1"/>
  <c r="J45" i="1" a="1"/>
  <c r="J45" i="1" s="1"/>
  <c r="F45" i="1" a="1"/>
  <c r="F45" i="1" s="1"/>
  <c r="E45" i="1" s="1" a="1"/>
  <c r="E45" i="1" s="1"/>
  <c r="AZ44" i="1"/>
  <c r="AY44" i="1"/>
  <c r="AX44" i="1"/>
  <c r="AW44" i="1"/>
  <c r="AU44" i="1"/>
  <c r="AT44" i="1"/>
  <c r="AS44" i="1"/>
  <c r="K44" i="1" a="1"/>
  <c r="K44" i="1" s="1"/>
  <c r="J44" i="1" a="1"/>
  <c r="J44" i="1" s="1"/>
  <c r="F44" i="1" a="1"/>
  <c r="F44" i="1" s="1"/>
  <c r="AZ42" i="1"/>
  <c r="AY42" i="1"/>
  <c r="AX42" i="1"/>
  <c r="AW42" i="1"/>
  <c r="AU42" i="1"/>
  <c r="AS42" i="1"/>
  <c r="K42" i="1" a="1"/>
  <c r="K42" i="1" s="1"/>
  <c r="J42" i="1" a="1"/>
  <c r="J42" i="1" s="1"/>
  <c r="F42" i="1" a="1"/>
  <c r="F42" i="1" s="1"/>
  <c r="AZ41" i="1"/>
  <c r="AY41" i="1"/>
  <c r="AX41" i="1"/>
  <c r="AW41" i="1"/>
  <c r="AU41" i="1"/>
  <c r="AS41" i="1"/>
  <c r="K41" i="1" a="1"/>
  <c r="K41" i="1" s="1"/>
  <c r="J41" i="1" a="1"/>
  <c r="J41" i="1" s="1"/>
  <c r="F41" i="1" a="1"/>
  <c r="F41" i="1" s="1"/>
  <c r="AZ39" i="1"/>
  <c r="AY39" i="1"/>
  <c r="AX39" i="1"/>
  <c r="AW39" i="1"/>
  <c r="AU39" i="1"/>
  <c r="AT39" i="1"/>
  <c r="AS39" i="1"/>
  <c r="K39" i="1" a="1"/>
  <c r="K39" i="1" s="1"/>
  <c r="J39" i="1" a="1"/>
  <c r="J39" i="1" s="1"/>
  <c r="F39" i="1" a="1"/>
  <c r="F39" i="1" s="1"/>
  <c r="AZ38" i="1"/>
  <c r="AY38" i="1"/>
  <c r="AX38" i="1"/>
  <c r="AW38" i="1"/>
  <c r="AU38" i="1"/>
  <c r="AT38" i="1"/>
  <c r="AS38" i="1"/>
  <c r="K38" i="1" a="1"/>
  <c r="K38" i="1" s="1"/>
  <c r="J38" i="1" a="1"/>
  <c r="J38" i="1" s="1"/>
  <c r="F38" i="1" a="1"/>
  <c r="F38" i="1" s="1"/>
  <c r="AZ36" i="1"/>
  <c r="AY36" i="1"/>
  <c r="AX36" i="1"/>
  <c r="AW36" i="1"/>
  <c r="AU36" i="1"/>
  <c r="AS36" i="1"/>
  <c r="K36" i="1" a="1"/>
  <c r="K36" i="1" s="1"/>
  <c r="J36" i="1" a="1"/>
  <c r="J36" i="1" s="1"/>
  <c r="F36" i="1" a="1"/>
  <c r="F36" i="1" s="1"/>
  <c r="AZ35" i="1"/>
  <c r="AY35" i="1"/>
  <c r="AX35" i="1"/>
  <c r="AW35" i="1"/>
  <c r="AU35" i="1"/>
  <c r="AS35" i="1"/>
  <c r="K35" i="1" a="1"/>
  <c r="K35" i="1" s="1"/>
  <c r="J35" i="1" a="1"/>
  <c r="J35" i="1" s="1"/>
  <c r="F35" i="1" a="1"/>
  <c r="F35" i="1" s="1"/>
  <c r="E35" i="1" s="1" a="1"/>
  <c r="E35" i="1" s="1"/>
  <c r="AZ33" i="1"/>
  <c r="AY33" i="1"/>
  <c r="AX33" i="1"/>
  <c r="AW33" i="1"/>
  <c r="AU33" i="1"/>
  <c r="AT33" i="1"/>
  <c r="AS33" i="1"/>
  <c r="K33" i="1" a="1"/>
  <c r="K33" i="1" s="1"/>
  <c r="J33" i="1" a="1"/>
  <c r="J33" i="1" s="1"/>
  <c r="F33" i="1" a="1"/>
  <c r="F33" i="1" s="1"/>
  <c r="AZ32" i="1"/>
  <c r="AY32" i="1"/>
  <c r="AX32" i="1"/>
  <c r="AW32" i="1"/>
  <c r="AU32" i="1"/>
  <c r="AT32" i="1"/>
  <c r="AS32" i="1"/>
  <c r="K32" i="1" a="1"/>
  <c r="K32" i="1" s="1"/>
  <c r="J32" i="1" a="1"/>
  <c r="J32" i="1" s="1"/>
  <c r="F32" i="1" a="1"/>
  <c r="F32" i="1" s="1"/>
  <c r="AZ30" i="1"/>
  <c r="AY30" i="1"/>
  <c r="AX30" i="1"/>
  <c r="AW30" i="1"/>
  <c r="AU30" i="1"/>
  <c r="AS30" i="1"/>
  <c r="K30" i="1" a="1"/>
  <c r="K30" i="1" s="1"/>
  <c r="J30" i="1" a="1"/>
  <c r="J30" i="1" s="1"/>
  <c r="F30" i="1" a="1"/>
  <c r="F30" i="1" s="1"/>
  <c r="AZ29" i="1"/>
  <c r="AY29" i="1"/>
  <c r="AX29" i="1"/>
  <c r="AW29" i="1"/>
  <c r="AU29" i="1"/>
  <c r="AS29" i="1"/>
  <c r="K29" i="1" a="1"/>
  <c r="K29" i="1" s="1"/>
  <c r="J29" i="1" a="1"/>
  <c r="J29" i="1" s="1"/>
  <c r="F29" i="1" a="1"/>
  <c r="F29" i="1" s="1"/>
  <c r="AZ27" i="1"/>
  <c r="AY27" i="1"/>
  <c r="AX27" i="1"/>
  <c r="AW27" i="1"/>
  <c r="AU27" i="1"/>
  <c r="AT27" i="1"/>
  <c r="AS27" i="1"/>
  <c r="K27" i="1" a="1"/>
  <c r="K27" i="1" s="1"/>
  <c r="J27" i="1" a="1"/>
  <c r="J27" i="1" s="1"/>
  <c r="F27" i="1" a="1"/>
  <c r="F27" i="1" s="1"/>
  <c r="AZ26" i="1"/>
  <c r="AY26" i="1"/>
  <c r="AX26" i="1"/>
  <c r="AW26" i="1"/>
  <c r="AU26" i="1"/>
  <c r="AT26" i="1"/>
  <c r="AS26" i="1"/>
  <c r="K26" i="1" a="1"/>
  <c r="K26" i="1" s="1"/>
  <c r="J26" i="1" a="1"/>
  <c r="J26" i="1" s="1"/>
  <c r="F26" i="1" a="1"/>
  <c r="F26" i="1" s="1"/>
  <c r="AZ21" i="1"/>
  <c r="AY21" i="1"/>
  <c r="AX21" i="1"/>
  <c r="AW21" i="1"/>
  <c r="AU21" i="1"/>
  <c r="AT21" i="1"/>
  <c r="AS21" i="1"/>
  <c r="K21" i="1" a="1"/>
  <c r="K21" i="1" s="1"/>
  <c r="J21" i="1" a="1"/>
  <c r="J21" i="1" s="1"/>
  <c r="F21" i="1" a="1"/>
  <c r="F21" i="1" s="1"/>
  <c r="AZ20" i="1"/>
  <c r="AY20" i="1"/>
  <c r="AX20" i="1"/>
  <c r="AW20" i="1"/>
  <c r="AU20" i="1"/>
  <c r="AT20" i="1"/>
  <c r="AS20" i="1"/>
  <c r="K20" i="1" a="1"/>
  <c r="K20" i="1" s="1"/>
  <c r="J20" i="1" a="1"/>
  <c r="J20" i="1" s="1"/>
  <c r="F20" i="1" a="1"/>
  <c r="F20" i="1" s="1"/>
  <c r="AZ16" i="1"/>
  <c r="AY16" i="1"/>
  <c r="AX16" i="1"/>
  <c r="AW16" i="1"/>
  <c r="AU16" i="1"/>
  <c r="AS16" i="1"/>
  <c r="K16" i="1" a="1"/>
  <c r="K16" i="1" s="1"/>
  <c r="J16" i="1" a="1"/>
  <c r="J16" i="1" s="1"/>
  <c r="F16" i="1" a="1"/>
  <c r="F16" i="1" s="1"/>
  <c r="AZ15" i="1"/>
  <c r="AY15" i="1"/>
  <c r="AX15" i="1"/>
  <c r="AW15" i="1"/>
  <c r="AU15" i="1"/>
  <c r="AS15" i="1"/>
  <c r="K15" i="1" a="1"/>
  <c r="K15" i="1" s="1"/>
  <c r="J15" i="1" a="1"/>
  <c r="J15" i="1" s="1"/>
  <c r="F15" i="1" a="1"/>
  <c r="F15" i="1" s="1"/>
  <c r="AZ13" i="1"/>
  <c r="AY13" i="1"/>
  <c r="AX13" i="1"/>
  <c r="AW13" i="1"/>
  <c r="AU13" i="1"/>
  <c r="AT13" i="1"/>
  <c r="AS13" i="1"/>
  <c r="K13" i="1" a="1"/>
  <c r="K13" i="1" s="1"/>
  <c r="J13" i="1" a="1"/>
  <c r="J13" i="1" s="1"/>
  <c r="F13" i="1" a="1"/>
  <c r="F13" i="1" s="1"/>
  <c r="AZ12" i="1"/>
  <c r="AY12" i="1"/>
  <c r="AX12" i="1"/>
  <c r="AW12" i="1"/>
  <c r="AU12" i="1"/>
  <c r="AT12" i="1"/>
  <c r="AS12" i="1"/>
  <c r="K12" i="1" a="1"/>
  <c r="K12" i="1" s="1"/>
  <c r="J12" i="1" a="1"/>
  <c r="J12" i="1" s="1"/>
  <c r="F12" i="1" a="1"/>
  <c r="F12" i="1" s="1"/>
  <c r="AZ9" i="1"/>
  <c r="AY9" i="1"/>
  <c r="AX9" i="1"/>
  <c r="AW9" i="1"/>
  <c r="AU9" i="1"/>
  <c r="AS9" i="1"/>
  <c r="K9" i="1" a="1"/>
  <c r="K9" i="1" s="1"/>
  <c r="J9" i="1" a="1"/>
  <c r="J9" i="1" s="1"/>
  <c r="F9" i="1" a="1"/>
  <c r="F9" i="1" s="1"/>
  <c r="E9" i="1" s="1" a="1"/>
  <c r="E9" i="1" s="1"/>
  <c r="AZ8" i="1"/>
  <c r="AY8" i="1"/>
  <c r="AX8" i="1"/>
  <c r="AW8" i="1"/>
  <c r="AU8" i="1"/>
  <c r="AS8" i="1"/>
  <c r="K8" i="1" a="1"/>
  <c r="K8" i="1" s="1"/>
  <c r="J8" i="1" a="1"/>
  <c r="J8" i="1" s="1"/>
  <c r="F8" i="1" a="1"/>
  <c r="F8" i="1" s="1"/>
  <c r="AZ6" i="1"/>
  <c r="AY6" i="1"/>
  <c r="AX6" i="1"/>
  <c r="AW6" i="1"/>
  <c r="AU6" i="1"/>
  <c r="AT6" i="1"/>
  <c r="AS6" i="1"/>
  <c r="K6" i="1" a="1"/>
  <c r="K6" i="1" s="1"/>
  <c r="J6" i="1" a="1"/>
  <c r="J6" i="1" s="1"/>
  <c r="F6" i="1" a="1"/>
  <c r="F6" i="1" s="1"/>
  <c r="AZ5" i="1"/>
  <c r="AY5" i="1"/>
  <c r="AX5" i="1"/>
  <c r="AW5" i="1"/>
  <c r="AU5" i="1"/>
  <c r="AT5" i="1"/>
  <c r="AS5" i="1"/>
  <c r="K5" i="1" a="1"/>
  <c r="K5" i="1" s="1"/>
  <c r="J5" i="1" a="1"/>
  <c r="J5" i="1" s="1"/>
  <c r="F5" i="1" a="1"/>
  <c r="F5" i="1" s="1"/>
  <c r="AZ3" i="1"/>
  <c r="AY3" i="1"/>
  <c r="AX3" i="1"/>
  <c r="AW3" i="1"/>
  <c r="AU3" i="1"/>
  <c r="AS3" i="1"/>
  <c r="K3" i="1" a="1"/>
  <c r="K3" i="1" s="1"/>
  <c r="J3" i="1" a="1"/>
  <c r="J3" i="1" s="1"/>
  <c r="F3" i="1" a="1"/>
  <c r="F3" i="1" s="1"/>
  <c r="AZ2" i="1"/>
  <c r="AY2" i="1"/>
  <c r="AX2" i="1"/>
  <c r="AW2" i="1"/>
  <c r="AU2" i="1"/>
  <c r="AS2" i="1"/>
  <c r="K2" i="1" a="1"/>
  <c r="K2" i="1" s="1"/>
  <c r="J2" i="1" a="1"/>
  <c r="J2" i="1" s="1"/>
  <c r="F2" i="1" a="1"/>
  <c r="F2" i="1" s="1"/>
  <c r="AZ2734" i="1"/>
  <c r="AZ2670" i="1"/>
  <c r="AZ2634" i="1"/>
  <c r="AZ2598" i="1"/>
  <c r="AZ2597" i="1"/>
  <c r="AZ2596" i="1"/>
  <c r="AZ2595" i="1"/>
  <c r="AZ2594" i="1"/>
  <c r="AZ2593" i="1"/>
  <c r="AZ2557" i="1"/>
  <c r="AZ2556" i="1"/>
  <c r="BO175" i="1" a="1"/>
  <c r="BO175" i="1" s="1"/>
  <c r="U2459" i="1"/>
  <c r="T2459" i="1"/>
  <c r="AI2468" i="1"/>
  <c r="AY2468" i="1" s="1"/>
  <c r="AH2468" i="1"/>
  <c r="AX2468" i="1" s="1"/>
  <c r="AG2468" i="1"/>
  <c r="AW2468" i="1" s="1"/>
  <c r="AI2465" i="1"/>
  <c r="AH2465" i="1"/>
  <c r="AX2465" i="1" s="1"/>
  <c r="AG2465" i="1"/>
  <c r="AW2465" i="1" s="1"/>
  <c r="AH2459" i="1"/>
  <c r="AG2459" i="1"/>
  <c r="W2501" i="1"/>
  <c r="BO2501" i="1" s="1" a="1"/>
  <c r="BO2501" i="1" s="1"/>
  <c r="W2200" i="1"/>
  <c r="BO2200" i="1" s="1" a="1"/>
  <c r="BO2200" i="1" s="1"/>
  <c r="BO1824" i="1" a="1"/>
  <c r="BO1824" i="1" s="1"/>
  <c r="W1388" i="1"/>
  <c r="BO1388" i="1" s="1" a="1"/>
  <c r="BO1388" i="1" s="1"/>
  <c r="W870" i="1"/>
  <c r="BO870" i="1" s="1" a="1"/>
  <c r="BO870" i="1" s="1"/>
  <c r="W308" i="1"/>
  <c r="BO308" i="1" s="1" a="1"/>
  <c r="BO308" i="1" s="1"/>
  <c r="AJ1286" i="1"/>
  <c r="AJ1274" i="1"/>
  <c r="AZ1274" i="1" s="1"/>
  <c r="AI1286" i="1"/>
  <c r="AY1286" i="1" s="1"/>
  <c r="AI1274" i="1"/>
  <c r="AY1274" i="1" s="1"/>
  <c r="AZ870" i="1"/>
  <c r="AY870" i="1"/>
  <c r="AJ1226" i="1"/>
  <c r="AY1226" i="1"/>
  <c r="W2365" i="1"/>
  <c r="AZ2365" i="1" s="1"/>
  <c r="AZ2501" i="1"/>
  <c r="AY2501" i="1"/>
  <c r="AZ1824" i="1"/>
  <c r="AY1824" i="1"/>
  <c r="AY1370" i="1"/>
  <c r="AZ308" i="1"/>
  <c r="AY308" i="1"/>
  <c r="AZ175" i="1"/>
  <c r="AY175" i="1"/>
  <c r="AX2501" i="1"/>
  <c r="AW2501" i="1"/>
  <c r="AZ2492" i="1"/>
  <c r="AY2492" i="1"/>
  <c r="AX2492" i="1"/>
  <c r="AW2492" i="1"/>
  <c r="AZ2200" i="1"/>
  <c r="AY2200" i="1"/>
  <c r="AX2200" i="1"/>
  <c r="AW2200" i="1"/>
  <c r="AZ2185" i="1"/>
  <c r="AY2185" i="1"/>
  <c r="AX2185" i="1"/>
  <c r="AW2185" i="1"/>
  <c r="AX1824" i="1"/>
  <c r="AW1824" i="1"/>
  <c r="AZ1806" i="1"/>
  <c r="AY1806" i="1"/>
  <c r="AX1806" i="1"/>
  <c r="AW1806" i="1"/>
  <c r="AZ1388" i="1"/>
  <c r="AY1388" i="1"/>
  <c r="AX1388" i="1"/>
  <c r="AW1388" i="1"/>
  <c r="AZ1370" i="1"/>
  <c r="AX1370" i="1"/>
  <c r="AW1370" i="1"/>
  <c r="AX870" i="1"/>
  <c r="AW870" i="1"/>
  <c r="AZ837" i="1"/>
  <c r="AY837" i="1"/>
  <c r="AX837" i="1"/>
  <c r="AW837" i="1"/>
  <c r="AX308" i="1"/>
  <c r="AW308" i="1"/>
  <c r="AZ305" i="1"/>
  <c r="AY305" i="1"/>
  <c r="AX305" i="1"/>
  <c r="AW305" i="1"/>
  <c r="AX175" i="1"/>
  <c r="AW175" i="1"/>
  <c r="AZ2486" i="1"/>
  <c r="AY2486" i="1"/>
  <c r="AX2486" i="1"/>
  <c r="AW2486" i="1"/>
  <c r="AZ2483" i="1"/>
  <c r="AY2483" i="1"/>
  <c r="AX2483" i="1"/>
  <c r="AW2483" i="1"/>
  <c r="AZ2480" i="1"/>
  <c r="AY2480" i="1"/>
  <c r="AX2480" i="1"/>
  <c r="AW2480" i="1"/>
  <c r="AZ2471" i="1"/>
  <c r="AY2471" i="1"/>
  <c r="AX2471" i="1"/>
  <c r="AW2471" i="1"/>
  <c r="AZ2459" i="1"/>
  <c r="AY2459" i="1"/>
  <c r="AZ2453" i="1"/>
  <c r="AY2453" i="1"/>
  <c r="AX2453" i="1"/>
  <c r="AW2453" i="1"/>
  <c r="AZ2444" i="1"/>
  <c r="AY2444" i="1"/>
  <c r="AX2444" i="1"/>
  <c r="AW2444" i="1"/>
  <c r="AZ2175" i="1"/>
  <c r="AY2175" i="1"/>
  <c r="AX2175" i="1"/>
  <c r="AW2175" i="1"/>
  <c r="AZ2170" i="1"/>
  <c r="AY2170" i="1"/>
  <c r="AX2170" i="1"/>
  <c r="AW2170" i="1"/>
  <c r="AZ2165" i="1"/>
  <c r="AY2165" i="1"/>
  <c r="AX2165" i="1"/>
  <c r="AW2165" i="1"/>
  <c r="AZ2150" i="1"/>
  <c r="AY2150" i="1"/>
  <c r="AX2150" i="1"/>
  <c r="AW2150" i="1"/>
  <c r="AZ2130" i="1"/>
  <c r="AY2130" i="1"/>
  <c r="AX2130" i="1"/>
  <c r="AW2130" i="1"/>
  <c r="AZ2120" i="1"/>
  <c r="AY2120" i="1"/>
  <c r="AX2120" i="1"/>
  <c r="AW2120" i="1"/>
  <c r="AZ2105" i="1"/>
  <c r="AY2105" i="1"/>
  <c r="AX2105" i="1"/>
  <c r="AW2105" i="1"/>
  <c r="AZ1794" i="1"/>
  <c r="AY1794" i="1"/>
  <c r="AX1794" i="1"/>
  <c r="AW1794" i="1"/>
  <c r="AZ1788" i="1"/>
  <c r="AY1788" i="1"/>
  <c r="AX1788" i="1"/>
  <c r="AW1788" i="1"/>
  <c r="AZ1782" i="1"/>
  <c r="AY1782" i="1"/>
  <c r="AX1782" i="1"/>
  <c r="AW1782" i="1"/>
  <c r="AZ1764" i="1"/>
  <c r="AY1764" i="1"/>
  <c r="AX1764" i="1"/>
  <c r="AW1764" i="1"/>
  <c r="AZ1740" i="1"/>
  <c r="AY1740" i="1"/>
  <c r="AX1740" i="1"/>
  <c r="AW1740" i="1"/>
  <c r="AZ1728" i="1"/>
  <c r="AY1728" i="1"/>
  <c r="AX1728" i="1"/>
  <c r="AW1728" i="1"/>
  <c r="AZ1710" i="1"/>
  <c r="AY1710" i="1"/>
  <c r="AX1710" i="1"/>
  <c r="AW1710" i="1"/>
  <c r="AZ1358" i="1"/>
  <c r="AY1358" i="1"/>
  <c r="AX1358" i="1"/>
  <c r="AW1358" i="1"/>
  <c r="AZ1352" i="1"/>
  <c r="AY1352" i="1"/>
  <c r="AX1352" i="1"/>
  <c r="AW1352" i="1"/>
  <c r="AZ1346" i="1"/>
  <c r="AY1346" i="1"/>
  <c r="AX1346" i="1"/>
  <c r="AW1346" i="1"/>
  <c r="AZ1328" i="1"/>
  <c r="AY1328" i="1"/>
  <c r="AX1328" i="1"/>
  <c r="AW1328" i="1"/>
  <c r="AZ1304" i="1"/>
  <c r="AY1304" i="1"/>
  <c r="AX1304" i="1"/>
  <c r="AW1304" i="1"/>
  <c r="AZ1292" i="1"/>
  <c r="AW1274" i="1"/>
  <c r="AZ815" i="1"/>
  <c r="AY815" i="1"/>
  <c r="AX815" i="1"/>
  <c r="AW815" i="1"/>
  <c r="AY804" i="1"/>
  <c r="AX804" i="1"/>
  <c r="AW804" i="1"/>
  <c r="AZ793" i="1"/>
  <c r="AY793" i="1"/>
  <c r="AX793" i="1"/>
  <c r="AW793" i="1"/>
  <c r="AY760" i="1"/>
  <c r="AX760" i="1"/>
  <c r="AW760" i="1"/>
  <c r="AZ716" i="1"/>
  <c r="AY716" i="1"/>
  <c r="AX716" i="1"/>
  <c r="AW716" i="1"/>
  <c r="AZ694" i="1"/>
  <c r="AY694" i="1"/>
  <c r="AX694" i="1"/>
  <c r="AW694" i="1"/>
  <c r="AZ661" i="1"/>
  <c r="AY661" i="1"/>
  <c r="AX661" i="1"/>
  <c r="AW661" i="1"/>
  <c r="AZ304" i="1"/>
  <c r="AY304" i="1"/>
  <c r="AX304" i="1"/>
  <c r="AW304" i="1"/>
  <c r="AZ303" i="1"/>
  <c r="AY303" i="1"/>
  <c r="AX303" i="1"/>
  <c r="AW303" i="1"/>
  <c r="AZ302" i="1"/>
  <c r="AY302" i="1"/>
  <c r="AX302" i="1"/>
  <c r="AW302" i="1"/>
  <c r="AZ301" i="1"/>
  <c r="AY301" i="1"/>
  <c r="AX301" i="1"/>
  <c r="AW301" i="1"/>
  <c r="AZ298" i="1"/>
  <c r="AY298" i="1"/>
  <c r="AX298" i="1"/>
  <c r="AW298" i="1"/>
  <c r="AZ294" i="1"/>
  <c r="AY294" i="1"/>
  <c r="AX294" i="1"/>
  <c r="AW294" i="1"/>
  <c r="AZ292" i="1"/>
  <c r="AY292" i="1"/>
  <c r="AX292" i="1"/>
  <c r="AW292" i="1"/>
  <c r="AZ289" i="1"/>
  <c r="AY289" i="1"/>
  <c r="AX289" i="1"/>
  <c r="AW289" i="1"/>
  <c r="AZ165" i="1"/>
  <c r="AY165" i="1"/>
  <c r="AX165" i="1"/>
  <c r="AW165" i="1"/>
  <c r="AZ162" i="1"/>
  <c r="AY162" i="1"/>
  <c r="AX162" i="1"/>
  <c r="AW162" i="1"/>
  <c r="AZ157" i="1"/>
  <c r="AY157" i="1"/>
  <c r="AX157" i="1"/>
  <c r="AW157" i="1"/>
  <c r="AZ154" i="1"/>
  <c r="AY154" i="1"/>
  <c r="AX154" i="1"/>
  <c r="AW154" i="1"/>
  <c r="AZ145" i="1"/>
  <c r="AY145" i="1"/>
  <c r="AX145" i="1"/>
  <c r="AW145" i="1"/>
  <c r="AZ133" i="1"/>
  <c r="AY133" i="1"/>
  <c r="AX133" i="1"/>
  <c r="AW133" i="1"/>
  <c r="AZ127" i="1"/>
  <c r="AY127" i="1"/>
  <c r="AX127" i="1"/>
  <c r="AW127" i="1"/>
  <c r="AX118" i="1"/>
  <c r="AY118" i="1"/>
  <c r="AZ118" i="1"/>
  <c r="AW118" i="1"/>
  <c r="AZ2410" i="1"/>
  <c r="AY2410" i="1"/>
  <c r="AX2410" i="1"/>
  <c r="AW2410" i="1"/>
  <c r="AZ2398" i="1"/>
  <c r="AY2398" i="1"/>
  <c r="AX2398" i="1"/>
  <c r="AW2398" i="1"/>
  <c r="AY2382" i="1"/>
  <c r="AX2382" i="1"/>
  <c r="AW2382" i="1"/>
  <c r="AY2365" i="1"/>
  <c r="AX2365" i="1"/>
  <c r="AW2365" i="1"/>
  <c r="AZ2049" i="1"/>
  <c r="AY2049" i="1"/>
  <c r="AX2049" i="1"/>
  <c r="AW2049" i="1"/>
  <c r="AZ2037" i="1"/>
  <c r="AY2037" i="1"/>
  <c r="AX2037" i="1"/>
  <c r="AW2037" i="1"/>
  <c r="AZ2031" i="1"/>
  <c r="AY2031" i="1"/>
  <c r="AX2031" i="1"/>
  <c r="AW2031" i="1"/>
  <c r="AZ2025" i="1"/>
  <c r="AY2025" i="1"/>
  <c r="AX2025" i="1"/>
  <c r="AW2025" i="1"/>
  <c r="AZ2017" i="1"/>
  <c r="AY2017" i="1"/>
  <c r="AX2017" i="1"/>
  <c r="AW2017" i="1"/>
  <c r="AZ1637" i="1"/>
  <c r="AY1637" i="1"/>
  <c r="AX1637" i="1"/>
  <c r="AW1637" i="1"/>
  <c r="AZ1625" i="1"/>
  <c r="AY1625" i="1"/>
  <c r="AX1625" i="1"/>
  <c r="AW1625" i="1"/>
  <c r="AZ1608" i="1"/>
  <c r="AY1608" i="1"/>
  <c r="AX1608" i="1"/>
  <c r="AW1608" i="1"/>
  <c r="AZ1596" i="1"/>
  <c r="AY1596" i="1"/>
  <c r="AX1596" i="1"/>
  <c r="AW1596" i="1"/>
  <c r="AZ1207" i="1"/>
  <c r="AY1207" i="1"/>
  <c r="AX1207" i="1"/>
  <c r="AW1207" i="1"/>
  <c r="AZ1201" i="1"/>
  <c r="AY1201" i="1"/>
  <c r="AX1201" i="1"/>
  <c r="AW1201" i="1"/>
  <c r="AZ1193" i="1"/>
  <c r="AY1193" i="1"/>
  <c r="AX1193" i="1"/>
  <c r="AW1193" i="1"/>
  <c r="AZ1182" i="1"/>
  <c r="AY1182" i="1"/>
  <c r="AX1182" i="1"/>
  <c r="AW1182" i="1"/>
  <c r="AZ1170" i="1"/>
  <c r="AY1170" i="1"/>
  <c r="AX1170" i="1"/>
  <c r="AW1170" i="1"/>
  <c r="AZ528" i="1"/>
  <c r="AY528" i="1"/>
  <c r="AX528" i="1"/>
  <c r="AW528" i="1"/>
  <c r="AZ516" i="1"/>
  <c r="AY516" i="1"/>
  <c r="AX516" i="1"/>
  <c r="AW516" i="1"/>
  <c r="AZ512" i="1"/>
  <c r="AY512" i="1"/>
  <c r="AX512" i="1"/>
  <c r="AW512" i="1"/>
  <c r="AZ503" i="1"/>
  <c r="AY503" i="1"/>
  <c r="AX503" i="1"/>
  <c r="AW503" i="1"/>
  <c r="AZ272" i="1"/>
  <c r="AY272" i="1"/>
  <c r="AX272" i="1"/>
  <c r="AW272" i="1"/>
  <c r="AZ259" i="1"/>
  <c r="AY259" i="1"/>
  <c r="AX259" i="1"/>
  <c r="AW259" i="1"/>
  <c r="AZ246" i="1"/>
  <c r="AY246" i="1"/>
  <c r="AX246" i="1"/>
  <c r="AW246" i="1"/>
  <c r="AZ62" i="1"/>
  <c r="AY62" i="1"/>
  <c r="AX62" i="1"/>
  <c r="AW62" i="1"/>
  <c r="AZ59" i="1"/>
  <c r="AY59" i="1"/>
  <c r="AX59" i="1"/>
  <c r="AW59" i="1"/>
  <c r="AX52" i="1"/>
  <c r="AY52" i="1"/>
  <c r="AZ52" i="1"/>
  <c r="AW52" i="1"/>
  <c r="AZ2443" i="1"/>
  <c r="AY2443" i="1"/>
  <c r="AX2443" i="1"/>
  <c r="AW2443" i="1"/>
  <c r="AZ2416" i="1"/>
  <c r="AY2416" i="1"/>
  <c r="AX2416" i="1"/>
  <c r="AW2416" i="1"/>
  <c r="AZ2095" i="1"/>
  <c r="AY2095" i="1"/>
  <c r="AX2095" i="1"/>
  <c r="AW2095" i="1"/>
  <c r="AZ2080" i="1"/>
  <c r="AY2080" i="1"/>
  <c r="AX2080" i="1"/>
  <c r="AW2080" i="1"/>
  <c r="AZ1698" i="1"/>
  <c r="AY1698" i="1"/>
  <c r="AX1698" i="1"/>
  <c r="AW1698" i="1"/>
  <c r="AZ1680" i="1"/>
  <c r="AY1680" i="1"/>
  <c r="AX1680" i="1"/>
  <c r="AW1680" i="1"/>
  <c r="AZ1262" i="1"/>
  <c r="AY1262" i="1"/>
  <c r="AX1262" i="1"/>
  <c r="AW1262" i="1"/>
  <c r="AZ1244" i="1"/>
  <c r="AY1244" i="1"/>
  <c r="AX1244" i="1"/>
  <c r="AW1244" i="1"/>
  <c r="AZ639" i="1"/>
  <c r="AY639" i="1"/>
  <c r="AX639" i="1"/>
  <c r="AW639" i="1"/>
  <c r="AZ606" i="1"/>
  <c r="AY606" i="1"/>
  <c r="AX606" i="1"/>
  <c r="AW606" i="1"/>
  <c r="AZ287" i="1"/>
  <c r="AY287" i="1"/>
  <c r="AX287" i="1"/>
  <c r="AW287" i="1"/>
  <c r="AZ284" i="1"/>
  <c r="AY284" i="1"/>
  <c r="AX284" i="1"/>
  <c r="AW284" i="1"/>
  <c r="AZ112" i="1"/>
  <c r="AY112" i="1"/>
  <c r="AX112" i="1"/>
  <c r="AW112" i="1"/>
  <c r="AX103" i="1"/>
  <c r="AY103" i="1"/>
  <c r="AZ103" i="1"/>
  <c r="AW103" i="1"/>
  <c r="AZ2333" i="1"/>
  <c r="AY2333" i="1"/>
  <c r="AX2333" i="1"/>
  <c r="AW2333" i="1"/>
  <c r="AZ2327" i="1"/>
  <c r="AY2327" i="1"/>
  <c r="AX2327" i="1"/>
  <c r="AW2327" i="1"/>
  <c r="AZ2321" i="1"/>
  <c r="AY2321" i="1"/>
  <c r="AX2321" i="1"/>
  <c r="AW2321" i="1"/>
  <c r="AZ2315" i="1"/>
  <c r="AY2315" i="1"/>
  <c r="AX2315" i="1"/>
  <c r="AW2315" i="1"/>
  <c r="AZ2309" i="1"/>
  <c r="AY2309" i="1"/>
  <c r="AX2309" i="1"/>
  <c r="AW2309" i="1"/>
  <c r="AZ2303" i="1"/>
  <c r="AY2303" i="1"/>
  <c r="AX2303" i="1"/>
  <c r="AW2303" i="1"/>
  <c r="AZ2297" i="1"/>
  <c r="AY2297" i="1"/>
  <c r="AX2297" i="1"/>
  <c r="AW2297" i="1"/>
  <c r="AZ2291" i="1"/>
  <c r="AY2291" i="1"/>
  <c r="AX2291" i="1"/>
  <c r="AW2291" i="1"/>
  <c r="AZ2003" i="1"/>
  <c r="AY2003" i="1"/>
  <c r="AX2003" i="1"/>
  <c r="AW2003" i="1"/>
  <c r="AZ1993" i="1"/>
  <c r="AY1993" i="1"/>
  <c r="AX1993" i="1"/>
  <c r="AW1993" i="1"/>
  <c r="AZ1983" i="1"/>
  <c r="AY1983" i="1"/>
  <c r="AX1983" i="1"/>
  <c r="AW1983" i="1"/>
  <c r="AZ1973" i="1"/>
  <c r="AY1973" i="1"/>
  <c r="AX1973" i="1"/>
  <c r="AW1973" i="1"/>
  <c r="AZ1963" i="1"/>
  <c r="AY1963" i="1"/>
  <c r="AX1963" i="1"/>
  <c r="AW1963" i="1"/>
  <c r="AZ1953" i="1"/>
  <c r="AY1953" i="1"/>
  <c r="AX1953" i="1"/>
  <c r="AW1953" i="1"/>
  <c r="AZ1943" i="1"/>
  <c r="AY1943" i="1"/>
  <c r="AX1943" i="1"/>
  <c r="AW1943" i="1"/>
  <c r="AZ1933" i="1"/>
  <c r="AY1933" i="1"/>
  <c r="AX1933" i="1"/>
  <c r="AW1933" i="1"/>
  <c r="AZ1581" i="1"/>
  <c r="AY1581" i="1"/>
  <c r="AX1581" i="1"/>
  <c r="AW1581" i="1"/>
  <c r="AZ1569" i="1"/>
  <c r="AY1569" i="1"/>
  <c r="AX1569" i="1"/>
  <c r="AW1569" i="1"/>
  <c r="AZ1557" i="1"/>
  <c r="AY1557" i="1"/>
  <c r="AX1557" i="1"/>
  <c r="AW1557" i="1"/>
  <c r="AZ1545" i="1"/>
  <c r="AY1545" i="1"/>
  <c r="AX1545" i="1"/>
  <c r="AW1545" i="1"/>
  <c r="AZ1533" i="1"/>
  <c r="AY1533" i="1"/>
  <c r="AX1533" i="1"/>
  <c r="AW1533" i="1"/>
  <c r="AZ1521" i="1"/>
  <c r="AY1521" i="1"/>
  <c r="AX1521" i="1"/>
  <c r="AW1521" i="1"/>
  <c r="AZ1509" i="1"/>
  <c r="AY1509" i="1"/>
  <c r="AX1509" i="1"/>
  <c r="AW1509" i="1"/>
  <c r="AZ1497" i="1"/>
  <c r="AY1497" i="1"/>
  <c r="AX1497" i="1"/>
  <c r="AW1497" i="1"/>
  <c r="AZ1153" i="1"/>
  <c r="AY1153" i="1"/>
  <c r="AX1153" i="1"/>
  <c r="AW1153" i="1"/>
  <c r="AZ1141" i="1"/>
  <c r="AY1141" i="1"/>
  <c r="AX1141" i="1"/>
  <c r="AW1141" i="1"/>
  <c r="AZ1129" i="1"/>
  <c r="AY1129" i="1"/>
  <c r="AX1129" i="1"/>
  <c r="AW1129" i="1"/>
  <c r="AZ1117" i="1"/>
  <c r="AY1117" i="1"/>
  <c r="AX1117" i="1"/>
  <c r="AW1117" i="1"/>
  <c r="AZ1105" i="1"/>
  <c r="AY1105" i="1"/>
  <c r="AX1105" i="1"/>
  <c r="AW1105" i="1"/>
  <c r="AZ1093" i="1"/>
  <c r="AY1093" i="1"/>
  <c r="AX1093" i="1"/>
  <c r="AW1093" i="1"/>
  <c r="AZ1081" i="1"/>
  <c r="AY1081" i="1"/>
  <c r="AX1081" i="1"/>
  <c r="AW1081" i="1"/>
  <c r="AZ1069" i="1"/>
  <c r="AY1069" i="1"/>
  <c r="AX1069" i="1"/>
  <c r="AW1069" i="1"/>
  <c r="AZ481" i="1"/>
  <c r="AY481" i="1"/>
  <c r="AX481" i="1"/>
  <c r="AW481" i="1"/>
  <c r="AZ459" i="1"/>
  <c r="AY459" i="1"/>
  <c r="AX459" i="1"/>
  <c r="AW459" i="1"/>
  <c r="AZ437" i="1"/>
  <c r="AY437" i="1"/>
  <c r="AX437" i="1"/>
  <c r="AW437" i="1"/>
  <c r="AZ415" i="1"/>
  <c r="AY415" i="1"/>
  <c r="AX415" i="1"/>
  <c r="AW415" i="1"/>
  <c r="AZ393" i="1"/>
  <c r="AY393" i="1"/>
  <c r="AX393" i="1"/>
  <c r="AW393" i="1"/>
  <c r="AZ371" i="1"/>
  <c r="AY371" i="1"/>
  <c r="AX371" i="1"/>
  <c r="AW371" i="1"/>
  <c r="AZ349" i="1"/>
  <c r="AY349" i="1"/>
  <c r="AX349" i="1"/>
  <c r="AW349" i="1"/>
  <c r="AZ327" i="1"/>
  <c r="AY327" i="1"/>
  <c r="AX327" i="1"/>
  <c r="AW327" i="1"/>
  <c r="AZ244" i="1"/>
  <c r="AY244" i="1"/>
  <c r="AX244" i="1"/>
  <c r="AW244" i="1"/>
  <c r="AZ242" i="1"/>
  <c r="AY242" i="1"/>
  <c r="AX242" i="1"/>
  <c r="AW242" i="1"/>
  <c r="AZ240" i="1"/>
  <c r="AY240" i="1"/>
  <c r="AX240" i="1"/>
  <c r="AW240" i="1"/>
  <c r="AZ238" i="1"/>
  <c r="AY238" i="1"/>
  <c r="AX238" i="1"/>
  <c r="AW238" i="1"/>
  <c r="AZ236" i="1"/>
  <c r="AY236" i="1"/>
  <c r="AX236" i="1"/>
  <c r="AW236" i="1"/>
  <c r="AZ234" i="1"/>
  <c r="AY234" i="1"/>
  <c r="AX234" i="1"/>
  <c r="AW234" i="1"/>
  <c r="AZ232" i="1"/>
  <c r="AY232" i="1"/>
  <c r="AX232" i="1"/>
  <c r="AW232" i="1"/>
  <c r="AZ230" i="1"/>
  <c r="AY230" i="1"/>
  <c r="AX230" i="1"/>
  <c r="AW230" i="1"/>
  <c r="AZ46" i="1"/>
  <c r="AY46" i="1"/>
  <c r="AX46" i="1"/>
  <c r="AW46" i="1"/>
  <c r="AZ40" i="1"/>
  <c r="AY40" i="1"/>
  <c r="AX40" i="1"/>
  <c r="AW40" i="1"/>
  <c r="AZ34" i="1"/>
  <c r="AY34" i="1"/>
  <c r="AX34" i="1"/>
  <c r="AW34" i="1"/>
  <c r="AZ28" i="1"/>
  <c r="AY28" i="1"/>
  <c r="AX28" i="1"/>
  <c r="AW28" i="1"/>
  <c r="AZ22" i="1"/>
  <c r="AY22" i="1"/>
  <c r="AX22" i="1"/>
  <c r="AW22" i="1"/>
  <c r="AZ14" i="1"/>
  <c r="AY14" i="1"/>
  <c r="AX14" i="1"/>
  <c r="AW14" i="1"/>
  <c r="AZ10" i="1"/>
  <c r="AY10" i="1"/>
  <c r="AX10" i="1"/>
  <c r="AW10" i="1"/>
  <c r="AZ4" i="1"/>
  <c r="AY4" i="1"/>
  <c r="AX4" i="1"/>
  <c r="AW4" i="1"/>
  <c r="F481" i="1" a="1"/>
  <c r="F481" i="1" s="1"/>
  <c r="F14" i="1" a="1"/>
  <c r="F14" i="1" s="1"/>
  <c r="F2769" i="1" a="1"/>
  <c r="F2769" i="1" s="1"/>
  <c r="E2769" i="1" s="1" a="1"/>
  <c r="E2769" i="1" s="1"/>
  <c r="F2766" i="1" a="1"/>
  <c r="F2766" i="1" s="1"/>
  <c r="E2766" i="1" s="1" a="1"/>
  <c r="E2766" i="1" s="1"/>
  <c r="F2755" i="1" a="1"/>
  <c r="F2755" i="1" s="1"/>
  <c r="E2755" i="1" s="1" a="1"/>
  <c r="E2755" i="1" s="1"/>
  <c r="F2738" i="1" a="1"/>
  <c r="F2738" i="1" s="1"/>
  <c r="E2738" i="1" s="1" a="1"/>
  <c r="E2738" i="1" s="1"/>
  <c r="F2737" i="1" a="1"/>
  <c r="F2737" i="1" s="1"/>
  <c r="E2737" i="1" s="1" a="1"/>
  <c r="E2737" i="1" s="1"/>
  <c r="F2734" i="1" a="1"/>
  <c r="F2734" i="1" s="1"/>
  <c r="E2734" i="1" s="1" a="1"/>
  <c r="E2734" i="1" s="1"/>
  <c r="F1002" i="1" a="1"/>
  <c r="F1002" i="1" s="1"/>
  <c r="E1002" i="1" s="1" a="1"/>
  <c r="E1002" i="1" s="1"/>
  <c r="F2676" i="1" a="1"/>
  <c r="F2676" i="1" s="1"/>
  <c r="E2676" i="1" s="1" a="1"/>
  <c r="E2676" i="1" s="1"/>
  <c r="F2675" i="1" a="1"/>
  <c r="F2675" i="1" s="1"/>
  <c r="E2675" i="1" s="1" a="1"/>
  <c r="E2675" i="1" s="1"/>
  <c r="F2670" i="1" a="1"/>
  <c r="F2670" i="1" s="1"/>
  <c r="E2670" i="1" s="1" a="1"/>
  <c r="E2670" i="1" s="1"/>
  <c r="F2669" i="1" a="1"/>
  <c r="F2669" i="1" s="1"/>
  <c r="E2669" i="1" s="1" a="1"/>
  <c r="E2669" i="1" s="1"/>
  <c r="F2666" i="1" a="1"/>
  <c r="F2666" i="1" s="1"/>
  <c r="E2666" i="1" s="1" a="1"/>
  <c r="E2666" i="1" s="1"/>
  <c r="F2661" i="1" a="1"/>
  <c r="F2661" i="1" s="1"/>
  <c r="E2661" i="1" s="1" a="1"/>
  <c r="E2661" i="1" s="1"/>
  <c r="F2655" i="1" a="1"/>
  <c r="F2655" i="1" s="1"/>
  <c r="E2655" i="1" s="1" a="1"/>
  <c r="E2655" i="1" s="1"/>
  <c r="F2613" i="1" a="1"/>
  <c r="F2613" i="1" s="1"/>
  <c r="E2613" i="1" s="1" a="1"/>
  <c r="E2613" i="1" s="1"/>
  <c r="F2638" i="1" a="1"/>
  <c r="F2638" i="1" s="1"/>
  <c r="E2638" i="1" s="1" a="1"/>
  <c r="E2638" i="1" s="1"/>
  <c r="F2637" i="1" a="1"/>
  <c r="F2637" i="1" s="1"/>
  <c r="E2637" i="1" s="1" a="1"/>
  <c r="E2637" i="1" s="1"/>
  <c r="F2634" i="1" a="1"/>
  <c r="F2634" i="1" s="1"/>
  <c r="E2634" i="1" s="1" a="1"/>
  <c r="E2634" i="1" s="1"/>
  <c r="F2633" i="1" a="1"/>
  <c r="F2633" i="1" s="1"/>
  <c r="E2633" i="1" s="1" a="1"/>
  <c r="E2633" i="1" s="1"/>
  <c r="F2630" i="1" a="1"/>
  <c r="F2630" i="1" s="1"/>
  <c r="E2630" i="1" s="1" a="1"/>
  <c r="E2630" i="1" s="1"/>
  <c r="F2625" i="1" a="1"/>
  <c r="F2625" i="1" s="1"/>
  <c r="E2625" i="1" s="1" a="1"/>
  <c r="E2625" i="1" s="1"/>
  <c r="F2619" i="1" a="1"/>
  <c r="F2619" i="1" s="1"/>
  <c r="E2619" i="1" s="1" a="1"/>
  <c r="E2619" i="1" s="1"/>
  <c r="F2602" i="1" a="1"/>
  <c r="F2602" i="1" s="1"/>
  <c r="E2602" i="1" s="1" a="1"/>
  <c r="E2602" i="1" s="1"/>
  <c r="F2601" i="1" a="1"/>
  <c r="F2601" i="1" s="1"/>
  <c r="E2601" i="1" s="1" a="1"/>
  <c r="E2601" i="1" s="1"/>
  <c r="F2598" i="1" a="1"/>
  <c r="F2598" i="1" s="1"/>
  <c r="E2598" i="1" s="1" a="1"/>
  <c r="E2598" i="1" s="1"/>
  <c r="F2597" i="1" a="1"/>
  <c r="F2597" i="1" s="1"/>
  <c r="E2597" i="1" s="1" a="1"/>
  <c r="E2597" i="1" s="1"/>
  <c r="F2596" i="1" a="1"/>
  <c r="F2596" i="1" s="1"/>
  <c r="E2596" i="1" s="1" a="1"/>
  <c r="E2596" i="1" s="1"/>
  <c r="F2595" i="1" a="1"/>
  <c r="F2595" i="1" s="1"/>
  <c r="E2595" i="1" s="1" a="1"/>
  <c r="E2595" i="1" s="1"/>
  <c r="F2594" i="1" a="1"/>
  <c r="F2594" i="1" s="1"/>
  <c r="E2594" i="1" s="1" a="1"/>
  <c r="E2594" i="1" s="1"/>
  <c r="F2593" i="1" a="1"/>
  <c r="F2593" i="1" s="1"/>
  <c r="E2593" i="1" s="1" a="1"/>
  <c r="E2593" i="1" s="1"/>
  <c r="F2592" i="1" a="1"/>
  <c r="F2592" i="1" s="1"/>
  <c r="E2592" i="1" s="1" a="1"/>
  <c r="E2592" i="1" s="1"/>
  <c r="F2589" i="1" a="1"/>
  <c r="F2589" i="1" s="1"/>
  <c r="E2589" i="1" s="1" a="1"/>
  <c r="E2589" i="1" s="1"/>
  <c r="F2584" i="1" a="1"/>
  <c r="F2584" i="1" s="1"/>
  <c r="E2584" i="1" s="1" a="1"/>
  <c r="E2584" i="1" s="1"/>
  <c r="F2578" i="1" a="1"/>
  <c r="F2578" i="1" s="1"/>
  <c r="E2578" i="1" s="1" a="1"/>
  <c r="E2578" i="1" s="1"/>
  <c r="F1013" i="1" a="1"/>
  <c r="F1013" i="1" s="1"/>
  <c r="E1013" i="1" s="1" a="1"/>
  <c r="E1013" i="1" s="1"/>
  <c r="F2568" i="1" a="1"/>
  <c r="F2568" i="1" s="1"/>
  <c r="E2568" i="1" s="1" a="1"/>
  <c r="E2568" i="1" s="1"/>
  <c r="F2560" i="1" a="1"/>
  <c r="F2560" i="1" s="1"/>
  <c r="E2560" i="1" s="1" a="1"/>
  <c r="E2560" i="1" s="1"/>
  <c r="F2557" i="1" a="1"/>
  <c r="F2557" i="1" s="1"/>
  <c r="E2557" i="1" s="1" a="1"/>
  <c r="E2557" i="1" s="1"/>
  <c r="F2556" i="1" a="1"/>
  <c r="F2556" i="1" s="1"/>
  <c r="E2556" i="1" s="1" a="1"/>
  <c r="E2556" i="1" s="1"/>
  <c r="F2555" i="1" a="1"/>
  <c r="F2555" i="1" s="1"/>
  <c r="E2555" i="1" s="1" a="1"/>
  <c r="E2555" i="1" s="1"/>
  <c r="F2552" i="1" a="1"/>
  <c r="F2552" i="1" s="1"/>
  <c r="E2552" i="1" s="1" a="1"/>
  <c r="E2552" i="1" s="1"/>
  <c r="F2549" i="1" a="1"/>
  <c r="F2549" i="1" s="1"/>
  <c r="E2549" i="1" s="1" a="1"/>
  <c r="E2549" i="1" s="1"/>
  <c r="F2546" i="1" a="1"/>
  <c r="F2546" i="1" s="1"/>
  <c r="E2546" i="1" s="1" a="1"/>
  <c r="E2546" i="1" s="1"/>
  <c r="F2543" i="1" a="1"/>
  <c r="F2543" i="1" s="1"/>
  <c r="E2543" i="1" s="1" a="1"/>
  <c r="E2543" i="1" s="1"/>
  <c r="F2540" i="1" a="1"/>
  <c r="F2540" i="1" s="1"/>
  <c r="E2540" i="1" s="1" a="1"/>
  <c r="E2540" i="1" s="1"/>
  <c r="F2537" i="1" a="1"/>
  <c r="F2537" i="1" s="1"/>
  <c r="E2537" i="1" s="1" a="1"/>
  <c r="E2537" i="1" s="1"/>
  <c r="F2531" i="1" a="1"/>
  <c r="F2531" i="1" s="1"/>
  <c r="F2528" i="1" a="1"/>
  <c r="F2528" i="1" s="1"/>
  <c r="F2525" i="1" a="1"/>
  <c r="F2525" i="1" s="1"/>
  <c r="F2522" i="1" a="1"/>
  <c r="F2522" i="1" s="1"/>
  <c r="F2519" i="1" a="1"/>
  <c r="F2519" i="1" s="1"/>
  <c r="F2516" i="1" a="1"/>
  <c r="F2516" i="1" s="1"/>
  <c r="F2513" i="1" a="1"/>
  <c r="F2513" i="1" s="1"/>
  <c r="F2510" i="1" a="1"/>
  <c r="F2510" i="1" s="1"/>
  <c r="F2507" i="1" a="1"/>
  <c r="F2507" i="1" s="1"/>
  <c r="E2507" i="1" s="1" a="1"/>
  <c r="E2507" i="1" s="1"/>
  <c r="F2504" i="1" a="1"/>
  <c r="F2504" i="1" s="1"/>
  <c r="E2504" i="1" s="1" a="1"/>
  <c r="E2504" i="1" s="1"/>
  <c r="F2501" i="1" a="1"/>
  <c r="F2501" i="1" s="1"/>
  <c r="E2501" i="1" s="1" a="1"/>
  <c r="E2501" i="1" s="1"/>
  <c r="F2498" i="1" a="1"/>
  <c r="F2498" i="1" s="1"/>
  <c r="E2498" i="1" s="1" a="1"/>
  <c r="E2498" i="1" s="1"/>
  <c r="F2495" i="1" a="1"/>
  <c r="F2495" i="1" s="1"/>
  <c r="E2495" i="1" s="1" a="1"/>
  <c r="E2495" i="1" s="1"/>
  <c r="F2492" i="1" a="1"/>
  <c r="F2492" i="1" s="1"/>
  <c r="E2492" i="1" s="1" a="1"/>
  <c r="E2492" i="1" s="1"/>
  <c r="F2486" i="1" a="1"/>
  <c r="F2486" i="1" s="1"/>
  <c r="F2483" i="1" a="1"/>
  <c r="F2483" i="1" s="1"/>
  <c r="E2483" i="1" s="1" a="1"/>
  <c r="E2483" i="1" s="1"/>
  <c r="F2480" i="1" a="1"/>
  <c r="F2480" i="1" s="1"/>
  <c r="E2480" i="1" s="1" a="1"/>
  <c r="E2480" i="1" s="1"/>
  <c r="F2477" i="1" a="1"/>
  <c r="F2477" i="1" s="1"/>
  <c r="F2474" i="1" a="1"/>
  <c r="F2474" i="1" s="1"/>
  <c r="E2474" i="1" s="1" a="1"/>
  <c r="E2474" i="1" s="1"/>
  <c r="F2471" i="1" a="1"/>
  <c r="F2471" i="1" s="1"/>
  <c r="F2462" i="1" a="1"/>
  <c r="F2462" i="1" s="1"/>
  <c r="E2462" i="1" s="1" a="1"/>
  <c r="E2462" i="1" s="1"/>
  <c r="F2456" i="1" a="1"/>
  <c r="F2456" i="1" s="1"/>
  <c r="E2456" i="1" s="1" a="1"/>
  <c r="E2456" i="1" s="1"/>
  <c r="F2453" i="1" a="1"/>
  <c r="F2453" i="1" s="1"/>
  <c r="E2453" i="1" s="1" a="1"/>
  <c r="E2453" i="1" s="1"/>
  <c r="F2450" i="1" a="1"/>
  <c r="F2450" i="1" s="1"/>
  <c r="E2450" i="1" s="1" a="1"/>
  <c r="E2450" i="1" s="1"/>
  <c r="F2447" i="1" a="1"/>
  <c r="F2447" i="1" s="1"/>
  <c r="E2447" i="1" s="1" a="1"/>
  <c r="E2447" i="1" s="1"/>
  <c r="F2444" i="1" a="1"/>
  <c r="F2444" i="1" s="1"/>
  <c r="F2443" i="1" a="1"/>
  <c r="F2443" i="1" s="1"/>
  <c r="F2440" i="1" a="1"/>
  <c r="F2440" i="1" s="1"/>
  <c r="E2440" i="1" s="1" a="1"/>
  <c r="E2440" i="1" s="1"/>
  <c r="F2437" i="1" a="1"/>
  <c r="F2437" i="1" s="1"/>
  <c r="F2434" i="1" a="1"/>
  <c r="F2434" i="1" s="1"/>
  <c r="F2431" i="1" a="1"/>
  <c r="F2431" i="1" s="1"/>
  <c r="F2428" i="1" a="1"/>
  <c r="F2428" i="1" s="1"/>
  <c r="F2425" i="1" a="1"/>
  <c r="F2425" i="1" s="1"/>
  <c r="F2422" i="1" a="1"/>
  <c r="F2422" i="1" s="1"/>
  <c r="F2419" i="1" a="1"/>
  <c r="F2419" i="1" s="1"/>
  <c r="F2416" i="1" a="1"/>
  <c r="F2416" i="1" s="1"/>
  <c r="F2410" i="1" a="1"/>
  <c r="F2410" i="1" s="1"/>
  <c r="E2410" i="1" s="1" a="1"/>
  <c r="E2410" i="1" s="1"/>
  <c r="F2398" i="1" a="1"/>
  <c r="F2398" i="1" s="1"/>
  <c r="E2398" i="1" s="1" a="1"/>
  <c r="E2398" i="1" s="1"/>
  <c r="F2382" i="1" a="1"/>
  <c r="F2382" i="1" s="1"/>
  <c r="E2382" i="1" s="1" a="1"/>
  <c r="E2382" i="1" s="1"/>
  <c r="F2365" i="1" a="1"/>
  <c r="F2365" i="1" s="1"/>
  <c r="E2365" i="1" s="1" a="1"/>
  <c r="E2365" i="1" s="1"/>
  <c r="F2333" i="1" a="1"/>
  <c r="F2333" i="1" s="1"/>
  <c r="F2330" i="1" a="1"/>
  <c r="F2330" i="1" s="1"/>
  <c r="F2327" i="1" a="1"/>
  <c r="F2327" i="1" s="1"/>
  <c r="F2324" i="1" a="1"/>
  <c r="F2324" i="1" s="1"/>
  <c r="E2324" i="1" s="1" a="1"/>
  <c r="E2324" i="1" s="1"/>
  <c r="F2321" i="1" a="1"/>
  <c r="F2321" i="1" s="1"/>
  <c r="F2318" i="1" a="1"/>
  <c r="F2318" i="1" s="1"/>
  <c r="E2318" i="1" s="1" a="1"/>
  <c r="E2318" i="1" s="1"/>
  <c r="F2315" i="1" a="1"/>
  <c r="F2315" i="1" s="1"/>
  <c r="F2312" i="1" a="1"/>
  <c r="F2312" i="1" s="1"/>
  <c r="F2309" i="1" a="1"/>
  <c r="F2309" i="1" s="1"/>
  <c r="F2306" i="1" a="1"/>
  <c r="F2306" i="1" s="1"/>
  <c r="F2303" i="1" a="1"/>
  <c r="F2303" i="1" s="1"/>
  <c r="F2300" i="1" a="1"/>
  <c r="F2300" i="1" s="1"/>
  <c r="F2297" i="1" a="1"/>
  <c r="F2297" i="1" s="1"/>
  <c r="F2294" i="1" a="1"/>
  <c r="F2294" i="1" s="1"/>
  <c r="F2291" i="1" a="1"/>
  <c r="F2291" i="1" s="1"/>
  <c r="F2290" i="1" a="1"/>
  <c r="F2290" i="1" s="1"/>
  <c r="E2290" i="1" s="1" a="1"/>
  <c r="E2290" i="1" s="1"/>
  <c r="F2285" i="1" a="1"/>
  <c r="F2285" i="1" s="1"/>
  <c r="E2285" i="1" s="1" a="1"/>
  <c r="E2285" i="1" s="1"/>
  <c r="F2280" i="1" a="1"/>
  <c r="F2280" i="1" s="1"/>
  <c r="E2280" i="1" s="1" a="1"/>
  <c r="E2280" i="1" s="1"/>
  <c r="F2270" i="1" a="1"/>
  <c r="F2270" i="1" s="1"/>
  <c r="E2270" i="1" s="1" a="1"/>
  <c r="E2270" i="1" s="1"/>
  <c r="F2265" i="1" a="1"/>
  <c r="F2265" i="1" s="1"/>
  <c r="E2265" i="1" s="1" a="1"/>
  <c r="E2265" i="1" s="1"/>
  <c r="F2260" i="1" a="1"/>
  <c r="F2260" i="1" s="1"/>
  <c r="E2260" i="1" s="1" a="1"/>
  <c r="E2260" i="1" s="1"/>
  <c r="F2250" i="1" a="1"/>
  <c r="F2250" i="1" s="1"/>
  <c r="F2245" i="1" a="1"/>
  <c r="F2245" i="1" s="1"/>
  <c r="F2240" i="1" a="1"/>
  <c r="F2240" i="1" s="1"/>
  <c r="F2235" i="1" a="1"/>
  <c r="F2235" i="1" s="1"/>
  <c r="F2230" i="1" a="1"/>
  <c r="F2230" i="1" s="1"/>
  <c r="F2225" i="1" a="1"/>
  <c r="F2225" i="1" s="1"/>
  <c r="F2220" i="1" a="1"/>
  <c r="F2220" i="1" s="1"/>
  <c r="F2215" i="1" a="1"/>
  <c r="F2215" i="1" s="1"/>
  <c r="F2210" i="1" a="1"/>
  <c r="F2210" i="1" s="1"/>
  <c r="E2210" i="1" s="1" a="1"/>
  <c r="E2210" i="1" s="1"/>
  <c r="F2205" i="1" a="1"/>
  <c r="F2205" i="1" s="1"/>
  <c r="E2205" i="1" s="1" a="1"/>
  <c r="E2205" i="1" s="1"/>
  <c r="F2200" i="1" a="1"/>
  <c r="F2200" i="1" s="1"/>
  <c r="E2200" i="1" s="1" a="1"/>
  <c r="E2200" i="1" s="1"/>
  <c r="F2195" i="1" a="1"/>
  <c r="F2195" i="1" s="1"/>
  <c r="E2195" i="1" s="1" a="1"/>
  <c r="E2195" i="1" s="1"/>
  <c r="F2190" i="1" a="1"/>
  <c r="F2190" i="1" s="1"/>
  <c r="E2190" i="1" s="1" a="1"/>
  <c r="E2190" i="1" s="1"/>
  <c r="F2185" i="1" a="1"/>
  <c r="F2185" i="1" s="1"/>
  <c r="E2185" i="1" s="1" a="1"/>
  <c r="E2185" i="1" s="1"/>
  <c r="F2175" i="1" a="1"/>
  <c r="F2175" i="1" s="1"/>
  <c r="F2170" i="1" a="1"/>
  <c r="F2170" i="1" s="1"/>
  <c r="E2170" i="1" s="1" a="1"/>
  <c r="E2170" i="1" s="1"/>
  <c r="F2165" i="1" a="1"/>
  <c r="F2165" i="1" s="1"/>
  <c r="E2165" i="1" s="1" a="1"/>
  <c r="E2165" i="1" s="1"/>
  <c r="F2160" i="1" a="1"/>
  <c r="F2160" i="1" s="1"/>
  <c r="E2160" i="1" s="1" a="1"/>
  <c r="E2160" i="1" s="1"/>
  <c r="F2155" i="1" a="1"/>
  <c r="F2155" i="1" s="1"/>
  <c r="E2155" i="1" s="1" a="1"/>
  <c r="E2155" i="1" s="1"/>
  <c r="F2150" i="1" a="1"/>
  <c r="F2150" i="1" s="1"/>
  <c r="E2150" i="1" s="1" a="1"/>
  <c r="E2150" i="1" s="1"/>
  <c r="F2145" i="1" a="1"/>
  <c r="F2145" i="1" s="1"/>
  <c r="E2145" i="1" s="1" a="1"/>
  <c r="E2145" i="1" s="1"/>
  <c r="F2140" i="1" a="1"/>
  <c r="F2140" i="1" s="1"/>
  <c r="E2140" i="1" s="1" a="1"/>
  <c r="E2140" i="1" s="1"/>
  <c r="F2135" i="1" a="1"/>
  <c r="F2135" i="1" s="1"/>
  <c r="E2135" i="1" s="1" a="1"/>
  <c r="E2135" i="1" s="1"/>
  <c r="F2130" i="1" a="1"/>
  <c r="F2130" i="1" s="1"/>
  <c r="E2130" i="1" s="1" a="1"/>
  <c r="E2130" i="1" s="1"/>
  <c r="F2125" i="1" a="1"/>
  <c r="F2125" i="1" s="1"/>
  <c r="E2125" i="1" s="1" a="1"/>
  <c r="E2125" i="1" s="1"/>
  <c r="F2120" i="1" a="1"/>
  <c r="F2120" i="1" s="1"/>
  <c r="F2115" i="1" a="1"/>
  <c r="F2115" i="1" s="1"/>
  <c r="F2110" i="1" a="1"/>
  <c r="F2110" i="1" s="1"/>
  <c r="F2105" i="1" a="1"/>
  <c r="F2105" i="1" s="1"/>
  <c r="F2095" i="1" a="1"/>
  <c r="F2095" i="1" s="1"/>
  <c r="F2090" i="1" a="1"/>
  <c r="F2090" i="1" s="1"/>
  <c r="F2085" i="1" a="1"/>
  <c r="F2085" i="1" s="1"/>
  <c r="F2080" i="1" a="1"/>
  <c r="F2080" i="1" s="1"/>
  <c r="F2075" i="1" a="1"/>
  <c r="F2075" i="1" s="1"/>
  <c r="F2070" i="1" a="1"/>
  <c r="F2070" i="1" s="1"/>
  <c r="F2065" i="1" a="1"/>
  <c r="F2065" i="1" s="1"/>
  <c r="F2060" i="1" a="1"/>
  <c r="F2060" i="1" s="1"/>
  <c r="E2060" i="1" s="1" a="1"/>
  <c r="E2060" i="1" s="1"/>
  <c r="F2055" i="1" a="1"/>
  <c r="F2055" i="1" s="1"/>
  <c r="E2055" i="1" s="1" a="1"/>
  <c r="E2055" i="1" s="1"/>
  <c r="F2050" i="1" a="1"/>
  <c r="F2050" i="1" s="1"/>
  <c r="E2050" i="1" s="1" a="1"/>
  <c r="E2050" i="1" s="1"/>
  <c r="F2049" i="1" a="1"/>
  <c r="F2049" i="1" s="1"/>
  <c r="E2049" i="1" s="1" a="1"/>
  <c r="E2049" i="1" s="1"/>
  <c r="F2038" i="1" a="1"/>
  <c r="F2038" i="1" s="1"/>
  <c r="E2038" i="1" s="1" a="1"/>
  <c r="E2038" i="1" s="1"/>
  <c r="F2037" i="1" a="1"/>
  <c r="F2037" i="1" s="1"/>
  <c r="E2037" i="1" s="1" a="1"/>
  <c r="E2037" i="1" s="1"/>
  <c r="F2036" i="1" a="1"/>
  <c r="F2036" i="1" s="1"/>
  <c r="E2036" i="1" s="1" a="1"/>
  <c r="E2036" i="1" s="1"/>
  <c r="F2031" i="1" a="1"/>
  <c r="F2031" i="1" s="1"/>
  <c r="E2031" i="1" s="1" a="1"/>
  <c r="E2031" i="1" s="1"/>
  <c r="F2028" i="1" a="1"/>
  <c r="F2028" i="1" s="1"/>
  <c r="E2028" i="1" s="1" a="1"/>
  <c r="E2028" i="1" s="1"/>
  <c r="F2025" i="1" a="1"/>
  <c r="F2025" i="1" s="1"/>
  <c r="E2025" i="1" s="1" a="1"/>
  <c r="E2025" i="1" s="1"/>
  <c r="F2022" i="1" a="1"/>
  <c r="F2022" i="1" s="1"/>
  <c r="E2022" i="1" s="1" a="1"/>
  <c r="E2022" i="1" s="1"/>
  <c r="F2017" i="1" a="1"/>
  <c r="F2017" i="1" s="1"/>
  <c r="E2017" i="1" s="1" a="1"/>
  <c r="E2017" i="1" s="1"/>
  <c r="F2003" i="1" a="1"/>
  <c r="F2003" i="1" s="1"/>
  <c r="F1998" i="1" a="1"/>
  <c r="F1998" i="1" s="1"/>
  <c r="E1998" i="1" s="1" a="1"/>
  <c r="E1998" i="1" s="1"/>
  <c r="F1993" i="1" a="1"/>
  <c r="F1993" i="1" s="1"/>
  <c r="E1993" i="1" s="1" a="1"/>
  <c r="E1993" i="1" s="1"/>
  <c r="F1988" i="1" a="1"/>
  <c r="F1988" i="1" s="1"/>
  <c r="E1988" i="1" s="1" a="1"/>
  <c r="E1988" i="1" s="1"/>
  <c r="F1983" i="1" a="1"/>
  <c r="F1983" i="1" s="1"/>
  <c r="E1983" i="1" s="1" a="1"/>
  <c r="E1983" i="1" s="1"/>
  <c r="F1978" i="1" a="1"/>
  <c r="F1978" i="1" s="1"/>
  <c r="E1978" i="1" s="1" a="1"/>
  <c r="E1978" i="1" s="1"/>
  <c r="F1973" i="1" a="1"/>
  <c r="F1973" i="1" s="1"/>
  <c r="E1973" i="1" s="1" a="1"/>
  <c r="E1973" i="1" s="1"/>
  <c r="F1968" i="1" a="1"/>
  <c r="F1968" i="1" s="1"/>
  <c r="E1968" i="1" s="1" a="1"/>
  <c r="E1968" i="1" s="1"/>
  <c r="F1963" i="1" a="1"/>
  <c r="F1963" i="1" s="1"/>
  <c r="E1963" i="1" s="1" a="1"/>
  <c r="E1963" i="1" s="1"/>
  <c r="F1958" i="1" a="1"/>
  <c r="F1958" i="1" s="1"/>
  <c r="F1953" i="1" a="1"/>
  <c r="F1953" i="1" s="1"/>
  <c r="F1948" i="1" a="1"/>
  <c r="F1948" i="1" s="1"/>
  <c r="F1943" i="1" a="1"/>
  <c r="F1943" i="1" s="1"/>
  <c r="F1938" i="1" a="1"/>
  <c r="F1938" i="1" s="1"/>
  <c r="F1933" i="1" a="1"/>
  <c r="F1933" i="1" s="1"/>
  <c r="F1932" i="1" a="1"/>
  <c r="F1932" i="1" s="1"/>
  <c r="E1932" i="1" s="1" a="1"/>
  <c r="E1932" i="1" s="1"/>
  <c r="F1926" i="1" a="1"/>
  <c r="F1926" i="1" s="1"/>
  <c r="E1926" i="1" s="1" a="1"/>
  <c r="E1926" i="1" s="1"/>
  <c r="F1920" i="1" a="1"/>
  <c r="F1920" i="1" s="1"/>
  <c r="E1920" i="1" s="1" a="1"/>
  <c r="E1920" i="1" s="1"/>
  <c r="F1914" i="1" a="1"/>
  <c r="F1914" i="1" s="1"/>
  <c r="E1914" i="1" s="1" a="1"/>
  <c r="E1914" i="1" s="1"/>
  <c r="F1908" i="1" a="1"/>
  <c r="F1908" i="1" s="1"/>
  <c r="E1908" i="1" s="1" a="1"/>
  <c r="E1908" i="1" s="1"/>
  <c r="F1902" i="1" a="1"/>
  <c r="F1902" i="1" s="1"/>
  <c r="E1902" i="1" s="1" a="1"/>
  <c r="E1902" i="1" s="1"/>
  <c r="F1896" i="1" a="1"/>
  <c r="F1896" i="1" s="1"/>
  <c r="E1896" i="1" s="1" a="1"/>
  <c r="E1896" i="1" s="1"/>
  <c r="F1884" i="1" a="1"/>
  <c r="F1884" i="1" s="1"/>
  <c r="F1878" i="1" a="1"/>
  <c r="F1878" i="1" s="1"/>
  <c r="F1872" i="1" a="1"/>
  <c r="F1872" i="1" s="1"/>
  <c r="F1866" i="1" a="1"/>
  <c r="F1866" i="1" s="1"/>
  <c r="F1860" i="1" a="1"/>
  <c r="F1860" i="1" s="1"/>
  <c r="F1854" i="1" a="1"/>
  <c r="F1854" i="1" s="1"/>
  <c r="F1848" i="1" a="1"/>
  <c r="F1848" i="1" s="1"/>
  <c r="F1842" i="1" a="1"/>
  <c r="F1842" i="1" s="1"/>
  <c r="F1836" i="1" a="1"/>
  <c r="F1836" i="1" s="1"/>
  <c r="E1836" i="1" s="1" a="1"/>
  <c r="E1836" i="1" s="1"/>
  <c r="F1830" i="1" a="1"/>
  <c r="F1830" i="1" s="1"/>
  <c r="E1830" i="1" s="1" a="1"/>
  <c r="E1830" i="1" s="1"/>
  <c r="F1824" i="1" a="1"/>
  <c r="F1824" i="1" s="1"/>
  <c r="E1824" i="1" s="1" a="1"/>
  <c r="E1824" i="1" s="1"/>
  <c r="F1818" i="1" a="1"/>
  <c r="F1818" i="1" s="1"/>
  <c r="E1818" i="1" s="1" a="1"/>
  <c r="E1818" i="1" s="1"/>
  <c r="F1812" i="1" a="1"/>
  <c r="F1812" i="1" s="1"/>
  <c r="E1812" i="1" s="1" a="1"/>
  <c r="E1812" i="1" s="1"/>
  <c r="F1806" i="1" a="1"/>
  <c r="F1806" i="1" s="1"/>
  <c r="E1806" i="1" s="1" a="1"/>
  <c r="E1806" i="1" s="1"/>
  <c r="F1794" i="1" a="1"/>
  <c r="F1794" i="1" s="1"/>
  <c r="F1788" i="1" a="1"/>
  <c r="F1788" i="1" s="1"/>
  <c r="F1782" i="1" a="1"/>
  <c r="F1782" i="1" s="1"/>
  <c r="F1776" i="1" a="1"/>
  <c r="F1776" i="1" s="1"/>
  <c r="E1776" i="1" s="1" a="1"/>
  <c r="E1776" i="1" s="1"/>
  <c r="F1770" i="1" a="1"/>
  <c r="F1770" i="1" s="1"/>
  <c r="E1770" i="1" s="1" a="1"/>
  <c r="E1770" i="1" s="1"/>
  <c r="F1764" i="1" a="1"/>
  <c r="F1764" i="1" s="1"/>
  <c r="E1764" i="1" s="1" a="1"/>
  <c r="E1764" i="1" s="1"/>
  <c r="F1758" i="1" a="1"/>
  <c r="F1758" i="1" s="1"/>
  <c r="E1758" i="1" s="1" a="1"/>
  <c r="E1758" i="1" s="1"/>
  <c r="F1752" i="1" a="1"/>
  <c r="F1752" i="1" s="1"/>
  <c r="E1752" i="1" s="1" a="1"/>
  <c r="E1752" i="1" s="1"/>
  <c r="F1746" i="1" a="1"/>
  <c r="F1746" i="1" s="1"/>
  <c r="E1746" i="1" s="1" a="1"/>
  <c r="E1746" i="1" s="1"/>
  <c r="F1740" i="1" a="1"/>
  <c r="F1740" i="1" s="1"/>
  <c r="E1740" i="1" s="1" a="1"/>
  <c r="E1740" i="1" s="1"/>
  <c r="F1734" i="1" a="1"/>
  <c r="F1734" i="1" s="1"/>
  <c r="E1734" i="1" s="1" a="1"/>
  <c r="E1734" i="1" s="1"/>
  <c r="F1728" i="1" a="1"/>
  <c r="F1728" i="1" s="1"/>
  <c r="E1728" i="1" s="1" a="1"/>
  <c r="E1728" i="1" s="1"/>
  <c r="F1722" i="1" a="1"/>
  <c r="F1722" i="1" s="1"/>
  <c r="E1722" i="1" s="1" a="1"/>
  <c r="E1722" i="1" s="1"/>
  <c r="F1716" i="1" a="1"/>
  <c r="F1716" i="1" s="1"/>
  <c r="E1716" i="1" s="1" a="1"/>
  <c r="E1716" i="1" s="1"/>
  <c r="F1710" i="1" a="1"/>
  <c r="F1710" i="1" s="1"/>
  <c r="F1698" i="1" a="1"/>
  <c r="F1698" i="1" s="1"/>
  <c r="F1692" i="1" a="1"/>
  <c r="F1692" i="1" s="1"/>
  <c r="F1686" i="1" a="1"/>
  <c r="F1686" i="1" s="1"/>
  <c r="F1680" i="1" a="1"/>
  <c r="F1680" i="1" s="1"/>
  <c r="F1674" i="1" a="1"/>
  <c r="F1674" i="1" s="1"/>
  <c r="F1668" i="1" a="1"/>
  <c r="F1668" i="1" s="1"/>
  <c r="F1662" i="1" a="1"/>
  <c r="F1662" i="1" s="1"/>
  <c r="F1656" i="1" a="1"/>
  <c r="F1656" i="1" s="1"/>
  <c r="F1650" i="1" a="1"/>
  <c r="F1650" i="1" s="1"/>
  <c r="F1644" i="1" a="1"/>
  <c r="F1644" i="1" s="1"/>
  <c r="F1643" i="1" a="1"/>
  <c r="F1643" i="1" s="1"/>
  <c r="E1643" i="1" s="1" a="1"/>
  <c r="E1643" i="1" s="1"/>
  <c r="F1637" i="1" a="1"/>
  <c r="F1637" i="1" s="1"/>
  <c r="E1637" i="1" s="1" a="1"/>
  <c r="E1637" i="1" s="1"/>
  <c r="F1631" i="1" a="1"/>
  <c r="F1631" i="1" s="1"/>
  <c r="E1631" i="1" s="1" a="1"/>
  <c r="E1631" i="1" s="1"/>
  <c r="F1625" i="1" a="1"/>
  <c r="F1625" i="1" s="1"/>
  <c r="E1625" i="1" s="1" a="1"/>
  <c r="E1625" i="1" s="1"/>
  <c r="F1619" i="1" a="1"/>
  <c r="F1619" i="1" s="1"/>
  <c r="E1619" i="1" s="1" a="1"/>
  <c r="E1619" i="1" s="1"/>
  <c r="F1608" i="1" a="1"/>
  <c r="F1608" i="1" s="1"/>
  <c r="E1608" i="1" s="1" a="1"/>
  <c r="E1608" i="1" s="1"/>
  <c r="F1597" i="1" a="1"/>
  <c r="F1597" i="1" s="1"/>
  <c r="E1597" i="1" s="1" a="1"/>
  <c r="E1597" i="1" s="1"/>
  <c r="F1596" i="1" a="1"/>
  <c r="F1596" i="1" s="1"/>
  <c r="E1596" i="1" s="1" a="1"/>
  <c r="E1596" i="1" s="1"/>
  <c r="F1595" i="1" a="1"/>
  <c r="F1595" i="1" s="1"/>
  <c r="E1595" i="1" s="1" a="1"/>
  <c r="E1595" i="1" s="1"/>
  <c r="F1581" i="1" a="1"/>
  <c r="F1581" i="1" s="1"/>
  <c r="F1575" i="1" a="1"/>
  <c r="F1575" i="1" s="1"/>
  <c r="E1575" i="1" s="1" a="1"/>
  <c r="E1575" i="1" s="1"/>
  <c r="F1569" i="1" a="1"/>
  <c r="F1569" i="1" s="1"/>
  <c r="E1569" i="1" s="1" a="1"/>
  <c r="E1569" i="1" s="1"/>
  <c r="F1563" i="1" a="1"/>
  <c r="F1563" i="1" s="1"/>
  <c r="E1563" i="1" s="1" a="1"/>
  <c r="E1563" i="1" s="1"/>
  <c r="F1557" i="1" a="1"/>
  <c r="F1557" i="1" s="1"/>
  <c r="E1557" i="1" s="1" a="1"/>
  <c r="E1557" i="1" s="1"/>
  <c r="F1551" i="1" a="1"/>
  <c r="F1551" i="1" s="1"/>
  <c r="E1551" i="1" s="1" a="1"/>
  <c r="E1551" i="1" s="1"/>
  <c r="F1545" i="1" a="1"/>
  <c r="F1545" i="1" s="1"/>
  <c r="E1545" i="1" s="1" a="1"/>
  <c r="E1545" i="1" s="1"/>
  <c r="F1539" i="1" a="1"/>
  <c r="F1539" i="1" s="1"/>
  <c r="E1539" i="1" s="1" a="1"/>
  <c r="E1539" i="1" s="1"/>
  <c r="F1533" i="1" a="1"/>
  <c r="F1533" i="1" s="1"/>
  <c r="E1533" i="1" s="1" a="1"/>
  <c r="E1533" i="1" s="1"/>
  <c r="F1527" i="1" a="1"/>
  <c r="F1527" i="1" s="1"/>
  <c r="F1521" i="1" a="1"/>
  <c r="F1521" i="1" s="1"/>
  <c r="F1515" i="1" a="1"/>
  <c r="F1515" i="1" s="1"/>
  <c r="E1515" i="1" s="1" a="1"/>
  <c r="E1515" i="1" s="1"/>
  <c r="F1509" i="1" a="1"/>
  <c r="F1509" i="1" s="1"/>
  <c r="E1509" i="1" s="1" a="1"/>
  <c r="E1509" i="1" s="1"/>
  <c r="F1503" i="1" a="1"/>
  <c r="F1503" i="1" s="1"/>
  <c r="E1503" i="1" s="1" a="1"/>
  <c r="E1503" i="1" s="1"/>
  <c r="F1497" i="1" a="1"/>
  <c r="F1497" i="1" s="1"/>
  <c r="F1496" i="1" a="1"/>
  <c r="F1496" i="1" s="1"/>
  <c r="E1496" i="1" s="1" a="1"/>
  <c r="E1496" i="1" s="1"/>
  <c r="F1490" i="1" a="1"/>
  <c r="F1490" i="1" s="1"/>
  <c r="E1490" i="1" s="1" a="1"/>
  <c r="E1490" i="1" s="1"/>
  <c r="F1484" i="1" a="1"/>
  <c r="F1484" i="1" s="1"/>
  <c r="E1484" i="1" s="1" a="1"/>
  <c r="E1484" i="1" s="1"/>
  <c r="F1478" i="1" a="1"/>
  <c r="F1478" i="1" s="1"/>
  <c r="E1478" i="1" s="1" a="1"/>
  <c r="E1478" i="1" s="1"/>
  <c r="F1472" i="1" a="1"/>
  <c r="F1472" i="1" s="1"/>
  <c r="E1472" i="1" s="1" a="1"/>
  <c r="E1472" i="1" s="1"/>
  <c r="F1466" i="1" a="1"/>
  <c r="F1466" i="1" s="1"/>
  <c r="E1466" i="1" s="1" a="1"/>
  <c r="E1466" i="1" s="1"/>
  <c r="F1460" i="1" a="1"/>
  <c r="F1460" i="1" s="1"/>
  <c r="E1460" i="1" s="1" a="1"/>
  <c r="E1460" i="1" s="1"/>
  <c r="F1448" i="1" a="1"/>
  <c r="F1448" i="1" s="1"/>
  <c r="F1442" i="1" a="1"/>
  <c r="F1442" i="1" s="1"/>
  <c r="F1436" i="1" a="1"/>
  <c r="F1436" i="1" s="1"/>
  <c r="F1430" i="1" a="1"/>
  <c r="F1430" i="1" s="1"/>
  <c r="F1424" i="1" a="1"/>
  <c r="F1424" i="1" s="1"/>
  <c r="F1418" i="1" a="1"/>
  <c r="F1418" i="1" s="1"/>
  <c r="F1412" i="1" a="1"/>
  <c r="F1412" i="1" s="1"/>
  <c r="F1406" i="1" a="1"/>
  <c r="F1406" i="1" s="1"/>
  <c r="F1400" i="1" a="1"/>
  <c r="F1400" i="1" s="1"/>
  <c r="E1400" i="1" s="1" a="1"/>
  <c r="E1400" i="1" s="1"/>
  <c r="F1394" i="1" a="1"/>
  <c r="F1394" i="1" s="1"/>
  <c r="E1394" i="1" s="1" a="1"/>
  <c r="E1394" i="1" s="1"/>
  <c r="F1388" i="1" a="1"/>
  <c r="F1388" i="1" s="1"/>
  <c r="E1388" i="1" s="1" a="1"/>
  <c r="E1388" i="1" s="1"/>
  <c r="F1382" i="1" a="1"/>
  <c r="F1382" i="1" s="1"/>
  <c r="E1382" i="1" s="1" a="1"/>
  <c r="E1382" i="1" s="1"/>
  <c r="F1376" i="1" a="1"/>
  <c r="F1376" i="1" s="1"/>
  <c r="E1376" i="1" s="1" a="1"/>
  <c r="E1376" i="1" s="1"/>
  <c r="F1370" i="1" a="1"/>
  <c r="F1370" i="1" s="1"/>
  <c r="E1370" i="1" s="1" a="1"/>
  <c r="E1370" i="1" s="1"/>
  <c r="F1358" i="1" a="1"/>
  <c r="F1358" i="1" s="1"/>
  <c r="F1352" i="1" a="1"/>
  <c r="F1352" i="1" s="1"/>
  <c r="F1346" i="1" a="1"/>
  <c r="F1346" i="1" s="1"/>
  <c r="F1340" i="1" a="1"/>
  <c r="F1340" i="1" s="1"/>
  <c r="E1340" i="1" s="1" a="1"/>
  <c r="E1340" i="1" s="1"/>
  <c r="F1334" i="1" a="1"/>
  <c r="F1334" i="1" s="1"/>
  <c r="E1334" i="1" s="1" a="1"/>
  <c r="E1334" i="1" s="1"/>
  <c r="F1328" i="1" a="1"/>
  <c r="F1328" i="1" s="1"/>
  <c r="E1328" i="1" s="1" a="1"/>
  <c r="E1328" i="1" s="1"/>
  <c r="F1322" i="1" a="1"/>
  <c r="F1322" i="1" s="1"/>
  <c r="E1322" i="1" s="1" a="1"/>
  <c r="E1322" i="1" s="1"/>
  <c r="F1316" i="1" a="1"/>
  <c r="F1316" i="1" s="1"/>
  <c r="E1316" i="1" s="1" a="1"/>
  <c r="E1316" i="1" s="1"/>
  <c r="F1310" i="1" a="1"/>
  <c r="F1310" i="1" s="1"/>
  <c r="E1310" i="1" s="1" a="1"/>
  <c r="E1310" i="1" s="1"/>
  <c r="F1304" i="1" a="1"/>
  <c r="F1304" i="1" s="1"/>
  <c r="E1304" i="1" s="1" a="1"/>
  <c r="E1304" i="1" s="1"/>
  <c r="F1298" i="1" a="1"/>
  <c r="F1298" i="1" s="1"/>
  <c r="E1298" i="1" s="1" a="1"/>
  <c r="E1298" i="1" s="1"/>
  <c r="F1280" i="1" a="1"/>
  <c r="F1280" i="1" s="1"/>
  <c r="E1280" i="1" s="1" a="1"/>
  <c r="E1280" i="1" s="1"/>
  <c r="F1262" i="1" a="1"/>
  <c r="F1262" i="1" s="1"/>
  <c r="F1256" i="1" a="1"/>
  <c r="F1256" i="1" s="1"/>
  <c r="F1250" i="1" a="1"/>
  <c r="F1250" i="1" s="1"/>
  <c r="F1244" i="1" a="1"/>
  <c r="F1244" i="1" s="1"/>
  <c r="F1238" i="1" a="1"/>
  <c r="F1238" i="1" s="1"/>
  <c r="F1232" i="1" a="1"/>
  <c r="F1232" i="1" s="1"/>
  <c r="F1220" i="1" a="1"/>
  <c r="F1220" i="1" s="1"/>
  <c r="F1214" i="1" a="1"/>
  <c r="F1214" i="1" s="1"/>
  <c r="F1208" i="1" a="1"/>
  <c r="F1208" i="1" s="1"/>
  <c r="F1207" i="1" a="1"/>
  <c r="F1207" i="1" s="1"/>
  <c r="E1207" i="1" s="1" a="1"/>
  <c r="E1207" i="1" s="1"/>
  <c r="F1204" i="1" a="1"/>
  <c r="F1204" i="1" s="1"/>
  <c r="E1204" i="1" s="1" a="1"/>
  <c r="E1204" i="1" s="1"/>
  <c r="F1201" i="1" a="1"/>
  <c r="F1201" i="1" s="1"/>
  <c r="F1198" i="1" a="1"/>
  <c r="F1198" i="1" s="1"/>
  <c r="E1198" i="1" s="1" a="1"/>
  <c r="E1198" i="1" s="1"/>
  <c r="F1193" i="1" a="1"/>
  <c r="F1193" i="1" s="1"/>
  <c r="F1188" i="1" a="1"/>
  <c r="F1188" i="1" s="1"/>
  <c r="E1188" i="1" s="1" a="1"/>
  <c r="E1188" i="1" s="1"/>
  <c r="F1182" i="1" a="1"/>
  <c r="F1182" i="1" s="1"/>
  <c r="F1176" i="1" a="1"/>
  <c r="F1176" i="1" s="1"/>
  <c r="E1176" i="1" s="1" a="1"/>
  <c r="E1176" i="1" s="1"/>
  <c r="F1170" i="1" a="1"/>
  <c r="F1170" i="1" s="1"/>
  <c r="F1153" i="1" a="1"/>
  <c r="F1153" i="1" s="1"/>
  <c r="F1147" i="1" a="1"/>
  <c r="F1147" i="1" s="1"/>
  <c r="E1147" i="1" s="1" a="1"/>
  <c r="E1147" i="1" s="1"/>
  <c r="F1141" i="1" a="1"/>
  <c r="F1141" i="1" s="1"/>
  <c r="E1141" i="1" s="1" a="1"/>
  <c r="E1141" i="1" s="1"/>
  <c r="F1135" i="1" a="1"/>
  <c r="F1135" i="1" s="1"/>
  <c r="E1135" i="1" s="1" a="1"/>
  <c r="E1135" i="1" s="1"/>
  <c r="F1129" i="1" a="1"/>
  <c r="F1129" i="1" s="1"/>
  <c r="E1129" i="1" s="1" a="1"/>
  <c r="E1129" i="1" s="1"/>
  <c r="F1123" i="1" a="1"/>
  <c r="F1123" i="1" s="1"/>
  <c r="E1123" i="1" s="1" a="1"/>
  <c r="E1123" i="1" s="1"/>
  <c r="F1117" i="1" a="1"/>
  <c r="F1117" i="1" s="1"/>
  <c r="E1117" i="1" s="1" a="1"/>
  <c r="E1117" i="1" s="1"/>
  <c r="F1111" i="1" a="1"/>
  <c r="F1111" i="1" s="1"/>
  <c r="E1111" i="1" s="1" a="1"/>
  <c r="E1111" i="1" s="1"/>
  <c r="F1105" i="1" a="1"/>
  <c r="F1105" i="1" s="1"/>
  <c r="E1105" i="1" s="1" a="1"/>
  <c r="E1105" i="1" s="1"/>
  <c r="F1099" i="1" a="1"/>
  <c r="F1099" i="1" s="1"/>
  <c r="E1099" i="1" s="1" a="1"/>
  <c r="E1099" i="1" s="1"/>
  <c r="F1093" i="1" a="1"/>
  <c r="F1093" i="1" s="1"/>
  <c r="E1093" i="1" s="1" a="1"/>
  <c r="E1093" i="1" s="1"/>
  <c r="F1087" i="1" a="1"/>
  <c r="F1087" i="1" s="1"/>
  <c r="E1087" i="1" s="1" a="1"/>
  <c r="E1087" i="1" s="1"/>
  <c r="F1081" i="1" a="1"/>
  <c r="F1081" i="1" s="1"/>
  <c r="F1075" i="1" a="1"/>
  <c r="F1075" i="1" s="1"/>
  <c r="F1069" i="1" a="1"/>
  <c r="F1069" i="1" s="1"/>
  <c r="F2572" i="1" a="1"/>
  <c r="F2572" i="1" s="1"/>
  <c r="E2572" i="1" s="1" a="1"/>
  <c r="E2572" i="1" s="1"/>
  <c r="F1046" i="1" a="1"/>
  <c r="F1046" i="1" s="1"/>
  <c r="E1046" i="1" s="1" a="1"/>
  <c r="E1046" i="1" s="1"/>
  <c r="F1068" i="1" a="1"/>
  <c r="F1068" i="1" s="1"/>
  <c r="E1068" i="1" s="1" a="1"/>
  <c r="E1068" i="1" s="1"/>
  <c r="F1057" i="1" a="1"/>
  <c r="F1057" i="1" s="1"/>
  <c r="E1057" i="1" s="1" a="1"/>
  <c r="E1057" i="1" s="1"/>
  <c r="F1035" i="1" a="1"/>
  <c r="F1035" i="1" s="1"/>
  <c r="E1035" i="1" s="1" a="1"/>
  <c r="E1035" i="1" s="1"/>
  <c r="F2649" i="1" a="1"/>
  <c r="F2649" i="1" s="1"/>
  <c r="E2649" i="1" s="1" a="1"/>
  <c r="E2649" i="1" s="1"/>
  <c r="F1024" i="1" a="1"/>
  <c r="F1024" i="1" s="1"/>
  <c r="E1024" i="1" s="1" a="1"/>
  <c r="E1024" i="1" s="1"/>
  <c r="F980" i="1" a="1"/>
  <c r="F980" i="1" s="1"/>
  <c r="F969" i="1" a="1"/>
  <c r="F969" i="1" s="1"/>
  <c r="F958" i="1" a="1"/>
  <c r="F958" i="1" s="1"/>
  <c r="F947" i="1" a="1"/>
  <c r="F947" i="1" s="1"/>
  <c r="F936" i="1" a="1"/>
  <c r="F936" i="1" s="1"/>
  <c r="F925" i="1" a="1"/>
  <c r="F925" i="1" s="1"/>
  <c r="F914" i="1" a="1"/>
  <c r="F914" i="1" s="1"/>
  <c r="F903" i="1" a="1"/>
  <c r="F903" i="1" s="1"/>
  <c r="F892" i="1" a="1"/>
  <c r="F892" i="1" s="1"/>
  <c r="E892" i="1" s="1" a="1"/>
  <c r="E892" i="1" s="1"/>
  <c r="F881" i="1" a="1"/>
  <c r="F881" i="1" s="1"/>
  <c r="E881" i="1" s="1" a="1"/>
  <c r="E881" i="1" s="1"/>
  <c r="F870" i="1" a="1"/>
  <c r="F870" i="1" s="1"/>
  <c r="E870" i="1" s="1" a="1"/>
  <c r="E870" i="1" s="1"/>
  <c r="F859" i="1" a="1"/>
  <c r="F859" i="1" s="1"/>
  <c r="E859" i="1" s="1" a="1"/>
  <c r="E859" i="1" s="1"/>
  <c r="F848" i="1" a="1"/>
  <c r="F848" i="1" s="1"/>
  <c r="E848" i="1" s="1" a="1"/>
  <c r="E848" i="1" s="1"/>
  <c r="F837" i="1" a="1"/>
  <c r="F837" i="1" s="1"/>
  <c r="E837" i="1" s="1" a="1"/>
  <c r="E837" i="1" s="1"/>
  <c r="F815" i="1" a="1"/>
  <c r="F815" i="1" s="1"/>
  <c r="F804" i="1" a="1"/>
  <c r="F804" i="1" s="1"/>
  <c r="E804" i="1" s="1" a="1"/>
  <c r="E804" i="1" s="1"/>
  <c r="F782" i="1" a="1"/>
  <c r="F782" i="1" s="1"/>
  <c r="E782" i="1" s="1" a="1"/>
  <c r="E782" i="1" s="1"/>
  <c r="F771" i="1" a="1"/>
  <c r="F771" i="1" s="1"/>
  <c r="E771" i="1" s="1" a="1"/>
  <c r="E771" i="1" s="1"/>
  <c r="F760" i="1" a="1"/>
  <c r="F760" i="1" s="1"/>
  <c r="E760" i="1" s="1" a="1"/>
  <c r="E760" i="1" s="1"/>
  <c r="F749" i="1" a="1"/>
  <c r="F749" i="1" s="1"/>
  <c r="E749" i="1" s="1" a="1"/>
  <c r="E749" i="1" s="1"/>
  <c r="F738" i="1" a="1"/>
  <c r="F738" i="1" s="1"/>
  <c r="E738" i="1" s="1" a="1"/>
  <c r="E738" i="1" s="1"/>
  <c r="F727" i="1" a="1"/>
  <c r="F727" i="1" s="1"/>
  <c r="E727" i="1" s="1" a="1"/>
  <c r="E727" i="1" s="1"/>
  <c r="F716" i="1" a="1"/>
  <c r="F716" i="1" s="1"/>
  <c r="E716" i="1" s="1" a="1"/>
  <c r="E716" i="1" s="1"/>
  <c r="F705" i="1" a="1"/>
  <c r="F705" i="1" s="1"/>
  <c r="E705" i="1" s="1" a="1"/>
  <c r="E705" i="1" s="1"/>
  <c r="F694" i="1" a="1"/>
  <c r="F694" i="1" s="1"/>
  <c r="E694" i="1" s="1" a="1"/>
  <c r="E694" i="1" s="1"/>
  <c r="F683" i="1" a="1"/>
  <c r="F683" i="1" s="1"/>
  <c r="E683" i="1" s="1" a="1"/>
  <c r="E683" i="1" s="1"/>
  <c r="F672" i="1" a="1"/>
  <c r="F672" i="1" s="1"/>
  <c r="E672" i="1" s="1" a="1"/>
  <c r="E672" i="1" s="1"/>
  <c r="F661" i="1" a="1"/>
  <c r="F661" i="1" s="1"/>
  <c r="F639" i="1" a="1"/>
  <c r="F639" i="1" s="1"/>
  <c r="F628" i="1" a="1"/>
  <c r="F628" i="1" s="1"/>
  <c r="F617" i="1" a="1"/>
  <c r="F617" i="1" s="1"/>
  <c r="F606" i="1" a="1"/>
  <c r="F606" i="1" s="1"/>
  <c r="F595" i="1" a="1"/>
  <c r="F595" i="1" s="1"/>
  <c r="F584" i="1" a="1"/>
  <c r="F584" i="1" s="1"/>
  <c r="F573" i="1" a="1"/>
  <c r="F573" i="1" s="1"/>
  <c r="F562" i="1" a="1"/>
  <c r="F562" i="1" s="1"/>
  <c r="F551" i="1" a="1"/>
  <c r="F551" i="1" s="1"/>
  <c r="F540" i="1" a="1"/>
  <c r="F540" i="1" s="1"/>
  <c r="F539" i="1" a="1"/>
  <c r="F539" i="1" s="1"/>
  <c r="E539" i="1" s="1" a="1"/>
  <c r="E539" i="1" s="1"/>
  <c r="F528" i="1" a="1"/>
  <c r="F528" i="1" s="1"/>
  <c r="E517" i="1" a="1"/>
  <c r="E517" i="1" s="1"/>
  <c r="F515" i="1" a="1"/>
  <c r="F515" i="1" s="1"/>
  <c r="E515" i="1" s="1" a="1"/>
  <c r="E515" i="1" s="1"/>
  <c r="F512" i="1" a="1"/>
  <c r="F512" i="1" s="1"/>
  <c r="F509" i="1" a="1"/>
  <c r="F509" i="1" s="1"/>
  <c r="F506" i="1" a="1"/>
  <c r="F506" i="1" s="1"/>
  <c r="F503" i="1" a="1"/>
  <c r="F503" i="1" s="1"/>
  <c r="F470" i="1" a="1"/>
  <c r="F470" i="1" s="1"/>
  <c r="E470" i="1" s="1" a="1"/>
  <c r="E470" i="1" s="1"/>
  <c r="F459" i="1" a="1"/>
  <c r="F459" i="1" s="1"/>
  <c r="E459" i="1" s="1" a="1"/>
  <c r="E459" i="1" s="1"/>
  <c r="F448" i="1" a="1"/>
  <c r="F448" i="1" s="1"/>
  <c r="E448" i="1" s="1" a="1"/>
  <c r="E448" i="1" s="1"/>
  <c r="F437" i="1" a="1"/>
  <c r="F437" i="1" s="1"/>
  <c r="E437" i="1" s="1" a="1"/>
  <c r="E437" i="1" s="1"/>
  <c r="F426" i="1" a="1"/>
  <c r="F426" i="1" s="1"/>
  <c r="E426" i="1" s="1" a="1"/>
  <c r="E426" i="1" s="1"/>
  <c r="F415" i="1" a="1"/>
  <c r="F415" i="1" s="1"/>
  <c r="E415" i="1" s="1" a="1"/>
  <c r="E415" i="1" s="1"/>
  <c r="F404" i="1" a="1"/>
  <c r="F404" i="1" s="1"/>
  <c r="E404" i="1" s="1" a="1"/>
  <c r="E404" i="1" s="1"/>
  <c r="F393" i="1" a="1"/>
  <c r="F393" i="1" s="1"/>
  <c r="E393" i="1" s="1" a="1"/>
  <c r="E393" i="1" s="1"/>
  <c r="F382" i="1" a="1"/>
  <c r="F382" i="1" s="1"/>
  <c r="E382" i="1" s="1" a="1"/>
  <c r="E382" i="1" s="1"/>
  <c r="F371" i="1" a="1"/>
  <c r="F371" i="1" s="1"/>
  <c r="E371" i="1" s="1" a="1"/>
  <c r="E371" i="1" s="1"/>
  <c r="F360" i="1" a="1"/>
  <c r="F360" i="1" s="1"/>
  <c r="E360" i="1" s="1" a="1"/>
  <c r="E360" i="1" s="1"/>
  <c r="F349" i="1" a="1"/>
  <c r="F349" i="1" s="1"/>
  <c r="E349" i="1" s="1" a="1"/>
  <c r="E349" i="1" s="1"/>
  <c r="F338" i="1" a="1"/>
  <c r="F338" i="1" s="1"/>
  <c r="E338" i="1" s="1" a="1"/>
  <c r="E338" i="1" s="1"/>
  <c r="F327" i="1" a="1"/>
  <c r="F327" i="1" s="1"/>
  <c r="F326" i="1" a="1"/>
  <c r="F326" i="1" s="1"/>
  <c r="E326" i="1" s="1" a="1"/>
  <c r="E326" i="1" s="1"/>
  <c r="F325" i="1" a="1"/>
  <c r="F325" i="1" s="1"/>
  <c r="E325" i="1" s="1" a="1"/>
  <c r="E325" i="1" s="1"/>
  <c r="F324" i="1" a="1"/>
  <c r="F324" i="1" s="1"/>
  <c r="E324" i="1" s="1" a="1"/>
  <c r="E324" i="1" s="1"/>
  <c r="F323" i="1" a="1"/>
  <c r="F323" i="1" s="1"/>
  <c r="E323" i="1" s="1" a="1"/>
  <c r="E323" i="1" s="1"/>
  <c r="F322" i="1" a="1"/>
  <c r="F322" i="1" s="1"/>
  <c r="E322" i="1" s="1" a="1"/>
  <c r="E322" i="1" s="1"/>
  <c r="F321" i="1" a="1"/>
  <c r="F321" i="1" s="1"/>
  <c r="E321" i="1" s="1" a="1"/>
  <c r="E321" i="1" s="1"/>
  <c r="F320" i="1" a="1"/>
  <c r="F320" i="1" s="1"/>
  <c r="E320" i="1" s="1" a="1"/>
  <c r="E320" i="1" s="1"/>
  <c r="F319" i="1" a="1"/>
  <c r="F319" i="1" s="1"/>
  <c r="F318" i="1" a="1"/>
  <c r="F318" i="1" s="1"/>
  <c r="F317" i="1" a="1"/>
  <c r="F317" i="1" s="1"/>
  <c r="F316" i="1" a="1"/>
  <c r="F316" i="1" s="1"/>
  <c r="F315" i="1" a="1"/>
  <c r="F315" i="1" s="1"/>
  <c r="F314" i="1" a="1"/>
  <c r="F314" i="1" s="1"/>
  <c r="F313" i="1" a="1"/>
  <c r="F313" i="1" s="1"/>
  <c r="F312" i="1" a="1"/>
  <c r="F312" i="1" s="1"/>
  <c r="F311" i="1" a="1"/>
  <c r="F311" i="1" s="1"/>
  <c r="F310" i="1" a="1"/>
  <c r="F310" i="1" s="1"/>
  <c r="E310" i="1" s="1" a="1"/>
  <c r="E310" i="1" s="1"/>
  <c r="F309" i="1" a="1"/>
  <c r="F309" i="1" s="1"/>
  <c r="E309" i="1" s="1" a="1"/>
  <c r="E309" i="1" s="1"/>
  <c r="F308" i="1" a="1"/>
  <c r="F308" i="1" s="1"/>
  <c r="E308" i="1" s="1" a="1"/>
  <c r="E308" i="1" s="1"/>
  <c r="F307" i="1" a="1"/>
  <c r="F307" i="1" s="1"/>
  <c r="E307" i="1" s="1" a="1"/>
  <c r="E307" i="1" s="1"/>
  <c r="F306" i="1" a="1"/>
  <c r="F306" i="1" s="1"/>
  <c r="E306" i="1" s="1" a="1"/>
  <c r="E306" i="1" s="1"/>
  <c r="F305" i="1" a="1"/>
  <c r="F305" i="1" s="1"/>
  <c r="E305" i="1" s="1" a="1"/>
  <c r="E305" i="1" s="1"/>
  <c r="F304" i="1" a="1"/>
  <c r="F304" i="1" s="1"/>
  <c r="F303" i="1" a="1"/>
  <c r="F303" i="1" s="1"/>
  <c r="F302" i="1" a="1"/>
  <c r="F302" i="1" s="1"/>
  <c r="E302" i="1" s="1" a="1"/>
  <c r="E302" i="1" s="1"/>
  <c r="F301" i="1" a="1"/>
  <c r="F301" i="1" s="1"/>
  <c r="E301" i="1" s="1" a="1"/>
  <c r="E301" i="1" s="1"/>
  <c r="F300" i="1" a="1"/>
  <c r="F300" i="1" s="1"/>
  <c r="E300" i="1" s="1" a="1"/>
  <c r="E300" i="1" s="1"/>
  <c r="F299" i="1" a="1"/>
  <c r="F299" i="1" s="1"/>
  <c r="E299" i="1" s="1" a="1"/>
  <c r="E299" i="1" s="1"/>
  <c r="F298" i="1" a="1"/>
  <c r="F298" i="1" s="1"/>
  <c r="E298" i="1" s="1" a="1"/>
  <c r="E298" i="1" s="1"/>
  <c r="F297" i="1" a="1"/>
  <c r="F297" i="1" s="1"/>
  <c r="E297" i="1" s="1" a="1"/>
  <c r="E297" i="1" s="1"/>
  <c r="F296" i="1" a="1"/>
  <c r="F296" i="1" s="1"/>
  <c r="E296" i="1" s="1" a="1"/>
  <c r="E296" i="1" s="1"/>
  <c r="F295" i="1" a="1"/>
  <c r="F295" i="1" s="1"/>
  <c r="E295" i="1" s="1" a="1"/>
  <c r="E295" i="1" s="1"/>
  <c r="F294" i="1" a="1"/>
  <c r="F294" i="1" s="1"/>
  <c r="E294" i="1" s="1" a="1"/>
  <c r="E294" i="1" s="1"/>
  <c r="F293" i="1" a="1"/>
  <c r="F293" i="1" s="1"/>
  <c r="E293" i="1" s="1" a="1"/>
  <c r="E293" i="1" s="1"/>
  <c r="F292" i="1" a="1"/>
  <c r="F292" i="1" s="1"/>
  <c r="E292" i="1" s="1" a="1"/>
  <c r="E292" i="1" s="1"/>
  <c r="F291" i="1" a="1"/>
  <c r="F291" i="1" s="1"/>
  <c r="E291" i="1" s="1" a="1"/>
  <c r="E291" i="1" s="1"/>
  <c r="F290" i="1" a="1"/>
  <c r="F290" i="1" s="1"/>
  <c r="E290" i="1" s="1" a="1"/>
  <c r="E290" i="1" s="1"/>
  <c r="F289" i="1" a="1"/>
  <c r="F289" i="1" s="1"/>
  <c r="F288" i="1" a="1"/>
  <c r="F288" i="1" s="1"/>
  <c r="F287" i="1" a="1"/>
  <c r="F287" i="1" s="1"/>
  <c r="F286" i="1" a="1"/>
  <c r="F286" i="1" s="1"/>
  <c r="F285" i="1" a="1"/>
  <c r="F285" i="1" s="1"/>
  <c r="F284" i="1" a="1"/>
  <c r="F284" i="1" s="1"/>
  <c r="F283" i="1" a="1"/>
  <c r="F283" i="1" s="1"/>
  <c r="F282" i="1" a="1"/>
  <c r="F282" i="1" s="1"/>
  <c r="F281" i="1" a="1"/>
  <c r="F281" i="1" s="1"/>
  <c r="F280" i="1" a="1"/>
  <c r="F280" i="1" s="1"/>
  <c r="F279" i="1" a="1"/>
  <c r="F279" i="1" s="1"/>
  <c r="E279" i="1" s="1" a="1"/>
  <c r="E279" i="1" s="1"/>
  <c r="F278" i="1" a="1"/>
  <c r="F278" i="1" s="1"/>
  <c r="E278" i="1" s="1" a="1"/>
  <c r="E278" i="1" s="1"/>
  <c r="F277" i="1" a="1"/>
  <c r="F277" i="1" s="1"/>
  <c r="F272" i="1" a="1"/>
  <c r="F272" i="1" s="1"/>
  <c r="F271" i="1" a="1"/>
  <c r="F271" i="1" s="1"/>
  <c r="F265" i="1" a="1"/>
  <c r="F265" i="1" s="1"/>
  <c r="F259" i="1" a="1"/>
  <c r="F259" i="1" s="1"/>
  <c r="F258" i="1" a="1"/>
  <c r="F258" i="1" s="1"/>
  <c r="F252" i="1" a="1"/>
  <c r="F252" i="1" s="1"/>
  <c r="F246" i="1" a="1"/>
  <c r="F246" i="1" s="1"/>
  <c r="F245" i="1" a="1"/>
  <c r="F245" i="1" s="1"/>
  <c r="F244" i="1" a="1"/>
  <c r="F244" i="1" s="1"/>
  <c r="F243" i="1" a="1"/>
  <c r="F243" i="1" s="1"/>
  <c r="E243" i="1" s="1" a="1"/>
  <c r="E243" i="1" s="1"/>
  <c r="F242" i="1" a="1"/>
  <c r="F242" i="1" s="1"/>
  <c r="E242" i="1" s="1" a="1"/>
  <c r="E242" i="1" s="1"/>
  <c r="F241" i="1" a="1"/>
  <c r="F241" i="1" s="1"/>
  <c r="E241" i="1" s="1" a="1"/>
  <c r="E241" i="1" s="1"/>
  <c r="F240" i="1" a="1"/>
  <c r="F240" i="1" s="1"/>
  <c r="E240" i="1" s="1" a="1"/>
  <c r="E240" i="1" s="1"/>
  <c r="F239" i="1" a="1"/>
  <c r="F239" i="1" s="1"/>
  <c r="E239" i="1" s="1" a="1"/>
  <c r="E239" i="1" s="1"/>
  <c r="F238" i="1" a="1"/>
  <c r="F238" i="1" s="1"/>
  <c r="E238" i="1" s="1" a="1"/>
  <c r="E238" i="1" s="1"/>
  <c r="F237" i="1" a="1"/>
  <c r="F237" i="1" s="1"/>
  <c r="E237" i="1" s="1" a="1"/>
  <c r="E237" i="1" s="1"/>
  <c r="F236" i="1" a="1"/>
  <c r="F236" i="1" s="1"/>
  <c r="E236" i="1" s="1" a="1"/>
  <c r="E236" i="1" s="1"/>
  <c r="F235" i="1" a="1"/>
  <c r="F235" i="1" s="1"/>
  <c r="F234" i="1" a="1"/>
  <c r="F234" i="1" s="1"/>
  <c r="F233" i="1" a="1"/>
  <c r="F233" i="1" s="1"/>
  <c r="E233" i="1" s="1" a="1"/>
  <c r="E233" i="1" s="1"/>
  <c r="F232" i="1" a="1"/>
  <c r="F232" i="1" s="1"/>
  <c r="E232" i="1" s="1" a="1"/>
  <c r="E232" i="1" s="1"/>
  <c r="F231" i="1" a="1"/>
  <c r="F231" i="1" s="1"/>
  <c r="E231" i="1" s="1" a="1"/>
  <c r="E231" i="1" s="1"/>
  <c r="F230" i="1" a="1"/>
  <c r="F230" i="1" s="1"/>
  <c r="F229" i="1" a="1"/>
  <c r="F229" i="1" s="1"/>
  <c r="E229" i="1" s="1" a="1"/>
  <c r="E229" i="1" s="1"/>
  <c r="F226" i="1" a="1"/>
  <c r="F226" i="1" s="1"/>
  <c r="E226" i="1" s="1" a="1"/>
  <c r="E226" i="1" s="1"/>
  <c r="F223" i="1" a="1"/>
  <c r="F223" i="1" s="1"/>
  <c r="E223" i="1" s="1" a="1"/>
  <c r="E223" i="1" s="1"/>
  <c r="F220" i="1" a="1"/>
  <c r="F220" i="1" s="1"/>
  <c r="E220" i="1" s="1" a="1"/>
  <c r="E220" i="1" s="1"/>
  <c r="F217" i="1" a="1"/>
  <c r="F217" i="1" s="1"/>
  <c r="E217" i="1" s="1" a="1"/>
  <c r="E217" i="1" s="1"/>
  <c r="F214" i="1" a="1"/>
  <c r="F214" i="1" s="1"/>
  <c r="E214" i="1" s="1" a="1"/>
  <c r="E214" i="1" s="1"/>
  <c r="F211" i="1" a="1"/>
  <c r="F211" i="1" s="1"/>
  <c r="E211" i="1" s="1" a="1"/>
  <c r="E211" i="1" s="1"/>
  <c r="F210" i="1" a="1"/>
  <c r="F210" i="1" s="1"/>
  <c r="F207" i="1" a="1"/>
  <c r="F207" i="1" s="1"/>
  <c r="F202" i="1" a="1"/>
  <c r="F202" i="1" s="1"/>
  <c r="F199" i="1" a="1"/>
  <c r="F199" i="1" s="1"/>
  <c r="F196" i="1" a="1"/>
  <c r="F196" i="1" s="1"/>
  <c r="F193" i="1" a="1"/>
  <c r="F193" i="1" s="1"/>
  <c r="F190" i="1" a="1"/>
  <c r="F190" i="1" s="1"/>
  <c r="F187" i="1" a="1"/>
  <c r="F187" i="1" s="1"/>
  <c r="F184" i="1" a="1"/>
  <c r="F184" i="1" s="1"/>
  <c r="F181" i="1" a="1"/>
  <c r="F181" i="1" s="1"/>
  <c r="E181" i="1" s="1" a="1"/>
  <c r="E181" i="1" s="1"/>
  <c r="F178" i="1" a="1"/>
  <c r="F178" i="1" s="1"/>
  <c r="E178" i="1" s="1" a="1"/>
  <c r="E178" i="1" s="1"/>
  <c r="F175" i="1" a="1"/>
  <c r="F175" i="1" s="1"/>
  <c r="E175" i="1" s="1" a="1"/>
  <c r="E175" i="1" s="1"/>
  <c r="F172" i="1" a="1"/>
  <c r="F172" i="1" s="1"/>
  <c r="E172" i="1" s="1" a="1"/>
  <c r="E172" i="1" s="1"/>
  <c r="F169" i="1" a="1"/>
  <c r="F169" i="1" s="1"/>
  <c r="E169" i="1" s="1" a="1"/>
  <c r="E169" i="1" s="1"/>
  <c r="F165" i="1" a="1"/>
  <c r="F165" i="1" s="1"/>
  <c r="F162" i="1" a="1"/>
  <c r="F162" i="1" s="1"/>
  <c r="F157" i="1" a="1"/>
  <c r="F157" i="1" s="1"/>
  <c r="E157" i="1" s="1" a="1"/>
  <c r="E157" i="1" s="1"/>
  <c r="F154" i="1" a="1"/>
  <c r="F154" i="1" s="1"/>
  <c r="E154" i="1" s="1" a="1"/>
  <c r="E154" i="1" s="1"/>
  <c r="F151" i="1" a="1"/>
  <c r="F151" i="1" s="1"/>
  <c r="E151" i="1" s="1" a="1"/>
  <c r="E151" i="1" s="1"/>
  <c r="F148" i="1" a="1"/>
  <c r="F148" i="1" s="1"/>
  <c r="E148" i="1" s="1" a="1"/>
  <c r="E148" i="1" s="1"/>
  <c r="F145" i="1" a="1"/>
  <c r="F145" i="1" s="1"/>
  <c r="E145" i="1" s="1" a="1"/>
  <c r="E145" i="1" s="1"/>
  <c r="F144" i="1" a="1"/>
  <c r="F144" i="1" s="1"/>
  <c r="E144" i="1" s="1" a="1"/>
  <c r="E144" i="1" s="1"/>
  <c r="F139" i="1" a="1"/>
  <c r="F139" i="1" s="1"/>
  <c r="E139" i="1" s="1" a="1"/>
  <c r="E139" i="1" s="1"/>
  <c r="F136" i="1" a="1"/>
  <c r="F136" i="1" s="1"/>
  <c r="E136" i="1" s="1" a="1"/>
  <c r="E136" i="1" s="1"/>
  <c r="F133" i="1" a="1"/>
  <c r="F133" i="1" s="1"/>
  <c r="E133" i="1" s="1" a="1"/>
  <c r="E133" i="1" s="1"/>
  <c r="F130" i="1" a="1"/>
  <c r="F130" i="1" s="1"/>
  <c r="E130" i="1" s="1" a="1"/>
  <c r="E130" i="1" s="1"/>
  <c r="F127" i="1" a="1"/>
  <c r="F127" i="1" s="1"/>
  <c r="F124" i="1" a="1"/>
  <c r="F124" i="1" s="1"/>
  <c r="F121" i="1" a="1"/>
  <c r="F121" i="1" s="1"/>
  <c r="F118" i="1" a="1"/>
  <c r="F118" i="1" s="1"/>
  <c r="F117" i="1" a="1"/>
  <c r="F117" i="1" s="1"/>
  <c r="F112" i="1" a="1"/>
  <c r="F112" i="1" s="1"/>
  <c r="F109" i="1" a="1"/>
  <c r="F109" i="1" s="1"/>
  <c r="F106" i="1" a="1"/>
  <c r="F106" i="1" s="1"/>
  <c r="F103" i="1" a="1"/>
  <c r="F103" i="1" s="1"/>
  <c r="F100" i="1" a="1"/>
  <c r="F100" i="1" s="1"/>
  <c r="F97" i="1" a="1"/>
  <c r="F97" i="1" s="1"/>
  <c r="F94" i="1" a="1"/>
  <c r="F94" i="1" s="1"/>
  <c r="F91" i="1" a="1"/>
  <c r="F91" i="1" s="1"/>
  <c r="F88" i="1" a="1"/>
  <c r="F88" i="1" s="1"/>
  <c r="F85" i="1" a="1"/>
  <c r="F85" i="1" s="1"/>
  <c r="F84" i="1" a="1"/>
  <c r="F84" i="1" s="1"/>
  <c r="F73" i="1" a="1"/>
  <c r="F73" i="1" s="1"/>
  <c r="F62" i="1" a="1"/>
  <c r="F62" i="1" s="1"/>
  <c r="F61" i="1" a="1"/>
  <c r="F61" i="1" s="1"/>
  <c r="F60" i="1" a="1"/>
  <c r="F60" i="1" s="1"/>
  <c r="F59" i="1" a="1"/>
  <c r="F59" i="1" s="1"/>
  <c r="F58" i="1" a="1"/>
  <c r="F58" i="1" s="1"/>
  <c r="F55" i="1" a="1"/>
  <c r="F55" i="1" s="1"/>
  <c r="F52" i="1" a="1"/>
  <c r="F52" i="1" s="1"/>
  <c r="F51" i="1" a="1"/>
  <c r="F51" i="1" s="1"/>
  <c r="F46" i="1" a="1"/>
  <c r="F46" i="1" s="1"/>
  <c r="F43" i="1" a="1"/>
  <c r="F43" i="1" s="1"/>
  <c r="F40" i="1" a="1"/>
  <c r="F40" i="1" s="1"/>
  <c r="E40" i="1" s="1" a="1"/>
  <c r="E40" i="1" s="1"/>
  <c r="F37" i="1" a="1"/>
  <c r="F37" i="1" s="1"/>
  <c r="F34" i="1" a="1"/>
  <c r="F34" i="1" s="1"/>
  <c r="E34" i="1" s="1" a="1"/>
  <c r="E34" i="1" s="1"/>
  <c r="F31" i="1" a="1"/>
  <c r="F31" i="1" s="1"/>
  <c r="E31" i="1" s="1" a="1"/>
  <c r="E31" i="1" s="1"/>
  <c r="F28" i="1" a="1"/>
  <c r="F28" i="1" s="1"/>
  <c r="E28" i="1" s="1" a="1"/>
  <c r="E28" i="1" s="1"/>
  <c r="F25" i="1" a="1"/>
  <c r="F25" i="1" s="1"/>
  <c r="E25" i="1" s="1" a="1"/>
  <c r="E25" i="1" s="1"/>
  <c r="F22" i="1" a="1"/>
  <c r="F22" i="1" s="1"/>
  <c r="E22" i="1" s="1" a="1"/>
  <c r="E22" i="1" s="1"/>
  <c r="F19" i="1" a="1"/>
  <c r="F19" i="1" s="1"/>
  <c r="F11" i="1" a="1"/>
  <c r="F11" i="1" s="1"/>
  <c r="F10" i="1" a="1"/>
  <c r="F10" i="1" s="1"/>
  <c r="F7" i="1" a="1"/>
  <c r="F7" i="1" s="1"/>
  <c r="F4" i="1" a="1"/>
  <c r="F4" i="1" s="1"/>
  <c r="F793" i="1" a="1"/>
  <c r="F793" i="1" s="1"/>
  <c r="E793" i="1" s="1" a="1"/>
  <c r="E793" i="1" s="1"/>
  <c r="AZ2477" i="1"/>
  <c r="AY2477" i="1"/>
  <c r="AX2477" i="1"/>
  <c r="AW2477" i="1"/>
  <c r="AZ2474" i="1"/>
  <c r="AY2474" i="1"/>
  <c r="AX2474" i="1"/>
  <c r="AW2474" i="1"/>
  <c r="AZ2468" i="1"/>
  <c r="AZ2465" i="1"/>
  <c r="AZ2462" i="1"/>
  <c r="AY2462" i="1"/>
  <c r="AX2462" i="1"/>
  <c r="AW2462" i="1"/>
  <c r="AZ2456" i="1"/>
  <c r="AY2456" i="1"/>
  <c r="AX2456" i="1"/>
  <c r="AW2456" i="1"/>
  <c r="AZ2450" i="1"/>
  <c r="AY2450" i="1"/>
  <c r="AX2450" i="1"/>
  <c r="AW2450" i="1"/>
  <c r="AZ2447" i="1"/>
  <c r="AY2447" i="1"/>
  <c r="AX2447" i="1"/>
  <c r="AW2447" i="1"/>
  <c r="AZ2437" i="1"/>
  <c r="AY2437" i="1"/>
  <c r="AX2437" i="1"/>
  <c r="AW2437" i="1"/>
  <c r="AZ2434" i="1"/>
  <c r="AY2434" i="1"/>
  <c r="AX2434" i="1"/>
  <c r="AW2434" i="1"/>
  <c r="AZ2431" i="1"/>
  <c r="AY2431" i="1"/>
  <c r="AX2431" i="1"/>
  <c r="AW2431" i="1"/>
  <c r="AZ2428" i="1"/>
  <c r="AY2428" i="1"/>
  <c r="AX2428" i="1"/>
  <c r="AW2428" i="1"/>
  <c r="AZ2425" i="1"/>
  <c r="AY2425" i="1"/>
  <c r="AX2425" i="1"/>
  <c r="AW2425" i="1"/>
  <c r="AZ2422" i="1"/>
  <c r="AY2422" i="1"/>
  <c r="AX2422" i="1"/>
  <c r="AW2422" i="1"/>
  <c r="AZ2419" i="1"/>
  <c r="AY2419" i="1"/>
  <c r="AX2419" i="1"/>
  <c r="AW2419" i="1"/>
  <c r="AZ2330" i="1"/>
  <c r="AY2330" i="1"/>
  <c r="AX2330" i="1"/>
  <c r="AW2330" i="1"/>
  <c r="AZ2324" i="1"/>
  <c r="AY2324" i="1"/>
  <c r="AX2324" i="1"/>
  <c r="AW2324" i="1"/>
  <c r="AZ2318" i="1"/>
  <c r="AY2318" i="1"/>
  <c r="AX2318" i="1"/>
  <c r="AW2318" i="1"/>
  <c r="AZ2312" i="1"/>
  <c r="AY2312" i="1"/>
  <c r="AX2312" i="1"/>
  <c r="AW2312" i="1"/>
  <c r="AZ2306" i="1"/>
  <c r="AY2306" i="1"/>
  <c r="AX2306" i="1"/>
  <c r="AW2306" i="1"/>
  <c r="AZ2300" i="1"/>
  <c r="AY2300" i="1"/>
  <c r="AX2300" i="1"/>
  <c r="AW2300" i="1"/>
  <c r="AZ2294" i="1"/>
  <c r="AY2294" i="1"/>
  <c r="AX2294" i="1"/>
  <c r="AW2294" i="1"/>
  <c r="AZ2160" i="1"/>
  <c r="AY2160" i="1"/>
  <c r="AX2160" i="1"/>
  <c r="AW2160" i="1"/>
  <c r="AZ2155" i="1"/>
  <c r="AY2155" i="1"/>
  <c r="AX2155" i="1"/>
  <c r="AW2155" i="1"/>
  <c r="AZ2145" i="1"/>
  <c r="AY2145" i="1"/>
  <c r="AX2145" i="1"/>
  <c r="AW2145" i="1"/>
  <c r="AZ2140" i="1"/>
  <c r="AY2140" i="1"/>
  <c r="AX2140" i="1"/>
  <c r="AW2140" i="1"/>
  <c r="AZ2135" i="1"/>
  <c r="AY2135" i="1"/>
  <c r="AX2135" i="1"/>
  <c r="AW2135" i="1"/>
  <c r="AZ2125" i="1"/>
  <c r="AY2125" i="1"/>
  <c r="AX2125" i="1"/>
  <c r="AW2125" i="1"/>
  <c r="AZ2115" i="1"/>
  <c r="AY2115" i="1"/>
  <c r="AX2115" i="1"/>
  <c r="AW2115" i="1"/>
  <c r="AZ2110" i="1"/>
  <c r="AY2110" i="1"/>
  <c r="AX2110" i="1"/>
  <c r="AW2110" i="1"/>
  <c r="AZ2090" i="1"/>
  <c r="AY2090" i="1"/>
  <c r="AX2090" i="1"/>
  <c r="AW2090" i="1"/>
  <c r="AZ2085" i="1"/>
  <c r="AY2085" i="1"/>
  <c r="AX2085" i="1"/>
  <c r="AW2085" i="1"/>
  <c r="AZ2075" i="1"/>
  <c r="AY2075" i="1"/>
  <c r="AX2075" i="1"/>
  <c r="AW2075" i="1"/>
  <c r="AZ2070" i="1"/>
  <c r="AY2070" i="1"/>
  <c r="AX2070" i="1"/>
  <c r="AW2070" i="1"/>
  <c r="AZ2060" i="1"/>
  <c r="AY2060" i="1"/>
  <c r="AX2060" i="1"/>
  <c r="AW2060" i="1"/>
  <c r="AZ2055" i="1"/>
  <c r="AY2055" i="1"/>
  <c r="AX2055" i="1"/>
  <c r="AW2055" i="1"/>
  <c r="AZ2050" i="1"/>
  <c r="AY2050" i="1"/>
  <c r="AX2050" i="1"/>
  <c r="AW2050" i="1"/>
  <c r="AZ2038" i="1"/>
  <c r="AY2038" i="1"/>
  <c r="AX2038" i="1"/>
  <c r="AW2038" i="1"/>
  <c r="AZ2036" i="1"/>
  <c r="AY2036" i="1"/>
  <c r="AX2036" i="1"/>
  <c r="AW2036" i="1"/>
  <c r="AZ2028" i="1"/>
  <c r="AY2028" i="1"/>
  <c r="AX2028" i="1"/>
  <c r="AW2028" i="1"/>
  <c r="AZ2022" i="1"/>
  <c r="AY2022" i="1"/>
  <c r="AX2022" i="1"/>
  <c r="AW2022" i="1"/>
  <c r="AZ1998" i="1"/>
  <c r="AY1998" i="1"/>
  <c r="AX1998" i="1"/>
  <c r="AW1998" i="1"/>
  <c r="AZ1988" i="1"/>
  <c r="AY1988" i="1"/>
  <c r="AX1988" i="1"/>
  <c r="AW1988" i="1"/>
  <c r="AZ1978" i="1"/>
  <c r="AY1978" i="1"/>
  <c r="AX1978" i="1"/>
  <c r="AW1978" i="1"/>
  <c r="AZ1968" i="1"/>
  <c r="AY1968" i="1"/>
  <c r="AX1968" i="1"/>
  <c r="AW1968" i="1"/>
  <c r="AZ1958" i="1"/>
  <c r="AY1958" i="1"/>
  <c r="AX1958" i="1"/>
  <c r="AW1958" i="1"/>
  <c r="AZ1948" i="1"/>
  <c r="AY1948" i="1"/>
  <c r="AX1948" i="1"/>
  <c r="AW1948" i="1"/>
  <c r="AZ1938" i="1"/>
  <c r="AY1938" i="1"/>
  <c r="AX1938" i="1"/>
  <c r="AW1938" i="1"/>
  <c r="AZ1776" i="1"/>
  <c r="AY1776" i="1"/>
  <c r="AX1776" i="1"/>
  <c r="AW1776" i="1"/>
  <c r="AZ1770" i="1"/>
  <c r="AY1770" i="1"/>
  <c r="AX1770" i="1"/>
  <c r="AW1770" i="1"/>
  <c r="AZ1758" i="1"/>
  <c r="AY1758" i="1"/>
  <c r="AX1758" i="1"/>
  <c r="AW1758" i="1"/>
  <c r="AZ1752" i="1"/>
  <c r="AY1752" i="1"/>
  <c r="AX1752" i="1"/>
  <c r="AW1752" i="1"/>
  <c r="AZ1746" i="1"/>
  <c r="AY1746" i="1"/>
  <c r="AX1746" i="1"/>
  <c r="AW1746" i="1"/>
  <c r="AZ1734" i="1"/>
  <c r="AY1734" i="1"/>
  <c r="AX1734" i="1"/>
  <c r="AW1734" i="1"/>
  <c r="AZ1722" i="1"/>
  <c r="AY1722" i="1"/>
  <c r="AX1722" i="1"/>
  <c r="AW1722" i="1"/>
  <c r="AZ1716" i="1"/>
  <c r="AY1716" i="1"/>
  <c r="AX1716" i="1"/>
  <c r="AW1716" i="1"/>
  <c r="AZ1692" i="1"/>
  <c r="AY1692" i="1"/>
  <c r="AX1692" i="1"/>
  <c r="AW1692" i="1"/>
  <c r="AZ1686" i="1"/>
  <c r="AY1686" i="1"/>
  <c r="AX1686" i="1"/>
  <c r="AW1686" i="1"/>
  <c r="AZ1674" i="1"/>
  <c r="AY1674" i="1"/>
  <c r="AX1674" i="1"/>
  <c r="AW1674" i="1"/>
  <c r="AZ1668" i="1"/>
  <c r="AY1668" i="1"/>
  <c r="AX1668" i="1"/>
  <c r="AW1668" i="1"/>
  <c r="AZ1656" i="1"/>
  <c r="AY1656" i="1"/>
  <c r="AX1656" i="1"/>
  <c r="AW1656" i="1"/>
  <c r="AZ1650" i="1"/>
  <c r="AY1650" i="1"/>
  <c r="AX1650" i="1"/>
  <c r="AW1650" i="1"/>
  <c r="AZ1644" i="1"/>
  <c r="AY1644" i="1"/>
  <c r="AX1644" i="1"/>
  <c r="AW1644" i="1"/>
  <c r="AZ1643" i="1"/>
  <c r="AY1643" i="1"/>
  <c r="AX1643" i="1"/>
  <c r="AW1643" i="1"/>
  <c r="AZ1631" i="1"/>
  <c r="AY1631" i="1"/>
  <c r="AX1631" i="1"/>
  <c r="AW1631" i="1"/>
  <c r="AZ1619" i="1"/>
  <c r="AY1619" i="1"/>
  <c r="AX1619" i="1"/>
  <c r="AW1619" i="1"/>
  <c r="AZ1597" i="1"/>
  <c r="AY1597" i="1"/>
  <c r="AX1597" i="1"/>
  <c r="AW1597" i="1"/>
  <c r="AZ1595" i="1"/>
  <c r="AY1595" i="1"/>
  <c r="AX1595" i="1"/>
  <c r="AW1595" i="1"/>
  <c r="AZ1575" i="1"/>
  <c r="AY1575" i="1"/>
  <c r="AX1575" i="1"/>
  <c r="AW1575" i="1"/>
  <c r="AZ1563" i="1"/>
  <c r="AY1563" i="1"/>
  <c r="AX1563" i="1"/>
  <c r="AW1563" i="1"/>
  <c r="AZ1551" i="1"/>
  <c r="AY1551" i="1"/>
  <c r="AX1551" i="1"/>
  <c r="AW1551" i="1"/>
  <c r="AZ1539" i="1"/>
  <c r="AY1539" i="1"/>
  <c r="AX1539" i="1"/>
  <c r="AW1539" i="1"/>
  <c r="AZ1527" i="1"/>
  <c r="AY1527" i="1"/>
  <c r="AX1527" i="1"/>
  <c r="AW1527" i="1"/>
  <c r="AZ1515" i="1"/>
  <c r="AY1515" i="1"/>
  <c r="AX1515" i="1"/>
  <c r="AW1515" i="1"/>
  <c r="AZ1503" i="1"/>
  <c r="AY1503" i="1"/>
  <c r="AX1503" i="1"/>
  <c r="AW1503" i="1"/>
  <c r="AZ1340" i="1"/>
  <c r="AY1340" i="1"/>
  <c r="AX1340" i="1"/>
  <c r="AW1340" i="1"/>
  <c r="AZ1334" i="1"/>
  <c r="AY1334" i="1"/>
  <c r="AX1334" i="1"/>
  <c r="AW1334" i="1"/>
  <c r="AZ1322" i="1"/>
  <c r="AY1322" i="1"/>
  <c r="AX1322" i="1"/>
  <c r="AW1322" i="1"/>
  <c r="AZ1316" i="1"/>
  <c r="AY1316" i="1"/>
  <c r="AX1316" i="1"/>
  <c r="AW1316" i="1"/>
  <c r="AZ1310" i="1"/>
  <c r="AY1310" i="1"/>
  <c r="AX1310" i="1"/>
  <c r="AW1310" i="1"/>
  <c r="AZ1298" i="1"/>
  <c r="AY1298" i="1"/>
  <c r="AX1298" i="1"/>
  <c r="AW1298" i="1"/>
  <c r="AW1286" i="1"/>
  <c r="AZ1280" i="1"/>
  <c r="AY1280" i="1"/>
  <c r="AX1280" i="1"/>
  <c r="AW1280" i="1"/>
  <c r="AZ1256" i="1"/>
  <c r="AY1256" i="1"/>
  <c r="AX1256" i="1"/>
  <c r="AW1256" i="1"/>
  <c r="AZ1250" i="1"/>
  <c r="AY1250" i="1"/>
  <c r="AX1250" i="1"/>
  <c r="AW1250" i="1"/>
  <c r="AZ1238" i="1"/>
  <c r="AY1238" i="1"/>
  <c r="AX1238" i="1"/>
  <c r="AW1238" i="1"/>
  <c r="AZ1232" i="1"/>
  <c r="AY1232" i="1"/>
  <c r="AX1232" i="1"/>
  <c r="AW1232" i="1"/>
  <c r="AZ1220" i="1"/>
  <c r="AY1220" i="1"/>
  <c r="AX1220" i="1"/>
  <c r="AW1220" i="1"/>
  <c r="AZ1214" i="1"/>
  <c r="AY1214" i="1"/>
  <c r="AX1214" i="1"/>
  <c r="AW1214" i="1"/>
  <c r="AZ1208" i="1"/>
  <c r="AY1208" i="1"/>
  <c r="AX1208" i="1"/>
  <c r="AW1208" i="1"/>
  <c r="AZ1204" i="1"/>
  <c r="AY1204" i="1"/>
  <c r="AX1204" i="1"/>
  <c r="AW1204" i="1"/>
  <c r="AZ1198" i="1"/>
  <c r="AY1198" i="1"/>
  <c r="AX1198" i="1"/>
  <c r="AW1198" i="1"/>
  <c r="AZ1188" i="1"/>
  <c r="AY1188" i="1"/>
  <c r="AX1188" i="1"/>
  <c r="AW1188" i="1"/>
  <c r="AZ1176" i="1"/>
  <c r="AY1176" i="1"/>
  <c r="AX1176" i="1"/>
  <c r="AW1176" i="1"/>
  <c r="AZ1147" i="1"/>
  <c r="AY1147" i="1"/>
  <c r="AX1147" i="1"/>
  <c r="AW1147" i="1"/>
  <c r="AZ1135" i="1"/>
  <c r="AY1135" i="1"/>
  <c r="AX1135" i="1"/>
  <c r="AW1135" i="1"/>
  <c r="AZ1123" i="1"/>
  <c r="AY1123" i="1"/>
  <c r="AX1123" i="1"/>
  <c r="AW1123" i="1"/>
  <c r="AZ1111" i="1"/>
  <c r="AY1111" i="1"/>
  <c r="AX1111" i="1"/>
  <c r="AW1111" i="1"/>
  <c r="AZ1099" i="1"/>
  <c r="AY1099" i="1"/>
  <c r="AX1099" i="1"/>
  <c r="AW1099" i="1"/>
  <c r="AZ1087" i="1"/>
  <c r="AY1087" i="1"/>
  <c r="AX1087" i="1"/>
  <c r="AW1087" i="1"/>
  <c r="AZ1075" i="1"/>
  <c r="AY1075" i="1"/>
  <c r="AX1075" i="1"/>
  <c r="AW1075" i="1"/>
  <c r="AZ782" i="1"/>
  <c r="AY782" i="1"/>
  <c r="AX782" i="1"/>
  <c r="AW782" i="1"/>
  <c r="AZ771" i="1"/>
  <c r="AY771" i="1"/>
  <c r="AX771" i="1"/>
  <c r="AW771" i="1"/>
  <c r="AZ749" i="1"/>
  <c r="AY749" i="1"/>
  <c r="AX749" i="1"/>
  <c r="AW749" i="1"/>
  <c r="AZ738" i="1"/>
  <c r="AY738" i="1"/>
  <c r="AX738" i="1"/>
  <c r="AW738" i="1"/>
  <c r="AZ727" i="1"/>
  <c r="AY727" i="1"/>
  <c r="AX727" i="1"/>
  <c r="AW727" i="1"/>
  <c r="AZ705" i="1"/>
  <c r="AY705" i="1"/>
  <c r="AX705" i="1"/>
  <c r="AW705" i="1"/>
  <c r="AZ683" i="1"/>
  <c r="AY683" i="1"/>
  <c r="AX683" i="1"/>
  <c r="AW683" i="1"/>
  <c r="AZ672" i="1"/>
  <c r="AY672" i="1"/>
  <c r="AX672" i="1"/>
  <c r="AW672" i="1"/>
  <c r="AZ628" i="1"/>
  <c r="AY628" i="1"/>
  <c r="AX628" i="1"/>
  <c r="AW628" i="1"/>
  <c r="AZ617" i="1"/>
  <c r="AY617" i="1"/>
  <c r="AX617" i="1"/>
  <c r="AW617" i="1"/>
  <c r="AZ595" i="1"/>
  <c r="AY595" i="1"/>
  <c r="AX595" i="1"/>
  <c r="AW595" i="1"/>
  <c r="AZ584" i="1"/>
  <c r="AY584" i="1"/>
  <c r="AX584" i="1"/>
  <c r="AW584" i="1"/>
  <c r="AZ562" i="1"/>
  <c r="AY562" i="1"/>
  <c r="AX562" i="1"/>
  <c r="AW562" i="1"/>
  <c r="AZ551" i="1"/>
  <c r="AY551" i="1"/>
  <c r="AX551" i="1"/>
  <c r="AW551" i="1"/>
  <c r="AZ540" i="1"/>
  <c r="AY540" i="1"/>
  <c r="AX540" i="1"/>
  <c r="AW540" i="1"/>
  <c r="AZ539" i="1"/>
  <c r="AY539" i="1"/>
  <c r="AX539" i="1"/>
  <c r="AW539" i="1"/>
  <c r="AZ517" i="1"/>
  <c r="AY517" i="1"/>
  <c r="AX517" i="1"/>
  <c r="AW517" i="1"/>
  <c r="AZ515" i="1"/>
  <c r="AY515" i="1"/>
  <c r="AX515" i="1"/>
  <c r="AW515" i="1"/>
  <c r="AZ509" i="1"/>
  <c r="AY509" i="1"/>
  <c r="AX509" i="1"/>
  <c r="AW509" i="1"/>
  <c r="AZ506" i="1"/>
  <c r="AY506" i="1"/>
  <c r="AX506" i="1"/>
  <c r="AW506" i="1"/>
  <c r="AZ470" i="1"/>
  <c r="AY470" i="1"/>
  <c r="AX470" i="1"/>
  <c r="AW470" i="1"/>
  <c r="AZ448" i="1"/>
  <c r="AY448" i="1"/>
  <c r="AX448" i="1"/>
  <c r="AW448" i="1"/>
  <c r="AZ426" i="1"/>
  <c r="AY426" i="1"/>
  <c r="AX426" i="1"/>
  <c r="AW426" i="1"/>
  <c r="AZ404" i="1"/>
  <c r="AY404" i="1"/>
  <c r="AX404" i="1"/>
  <c r="AW404" i="1"/>
  <c r="AZ382" i="1"/>
  <c r="AY382" i="1"/>
  <c r="AX382" i="1"/>
  <c r="AW382" i="1"/>
  <c r="AZ360" i="1"/>
  <c r="AY360" i="1"/>
  <c r="AX360" i="1"/>
  <c r="AW360" i="1"/>
  <c r="AZ338" i="1"/>
  <c r="AY338" i="1"/>
  <c r="AX338" i="1"/>
  <c r="AW338" i="1"/>
  <c r="AZ300" i="1"/>
  <c r="AY300" i="1"/>
  <c r="AX300" i="1"/>
  <c r="AW300" i="1"/>
  <c r="AZ299" i="1"/>
  <c r="AY299" i="1"/>
  <c r="AX299" i="1"/>
  <c r="AW299" i="1"/>
  <c r="AZ297" i="1"/>
  <c r="AY297" i="1"/>
  <c r="AX297" i="1"/>
  <c r="AW297" i="1"/>
  <c r="AZ296" i="1"/>
  <c r="AY296" i="1"/>
  <c r="AX296" i="1"/>
  <c r="AW296" i="1"/>
  <c r="AZ295" i="1"/>
  <c r="AY295" i="1"/>
  <c r="AX295" i="1"/>
  <c r="AW295" i="1"/>
  <c r="AZ293" i="1"/>
  <c r="AY293" i="1"/>
  <c r="AX293" i="1"/>
  <c r="AW293" i="1"/>
  <c r="AZ291" i="1"/>
  <c r="AY291" i="1"/>
  <c r="AX291" i="1"/>
  <c r="AW291" i="1"/>
  <c r="AZ290" i="1"/>
  <c r="AY290" i="1"/>
  <c r="AX290" i="1"/>
  <c r="AW290" i="1"/>
  <c r="AZ288" i="1"/>
  <c r="AY288" i="1"/>
  <c r="AX288" i="1"/>
  <c r="AW288" i="1"/>
  <c r="AZ286" i="1"/>
  <c r="AY286" i="1"/>
  <c r="AX286" i="1"/>
  <c r="AW286" i="1"/>
  <c r="AZ285" i="1"/>
  <c r="AY285" i="1"/>
  <c r="AX285" i="1"/>
  <c r="AW285" i="1"/>
  <c r="AZ283" i="1"/>
  <c r="AY283" i="1"/>
  <c r="AX283" i="1"/>
  <c r="AW283" i="1"/>
  <c r="AZ282" i="1"/>
  <c r="AY282" i="1"/>
  <c r="AX282" i="1"/>
  <c r="AW282" i="1"/>
  <c r="AZ280" i="1"/>
  <c r="AY280" i="1"/>
  <c r="AX280" i="1"/>
  <c r="AW280" i="1"/>
  <c r="AZ279" i="1"/>
  <c r="AY279" i="1"/>
  <c r="AX279" i="1"/>
  <c r="AW279" i="1"/>
  <c r="AZ278" i="1"/>
  <c r="AY278" i="1"/>
  <c r="AX278" i="1"/>
  <c r="AW278" i="1"/>
  <c r="AZ277" i="1"/>
  <c r="AY277" i="1"/>
  <c r="AX277" i="1"/>
  <c r="AW277" i="1"/>
  <c r="AZ271" i="1"/>
  <c r="AY271" i="1"/>
  <c r="AX271" i="1"/>
  <c r="AW271" i="1"/>
  <c r="AZ265" i="1"/>
  <c r="AY265" i="1"/>
  <c r="AX265" i="1"/>
  <c r="AW265" i="1"/>
  <c r="AZ258" i="1"/>
  <c r="AY258" i="1"/>
  <c r="AX258" i="1"/>
  <c r="AW258" i="1"/>
  <c r="AZ252" i="1"/>
  <c r="AY252" i="1"/>
  <c r="AX252" i="1"/>
  <c r="AW252" i="1"/>
  <c r="AZ245" i="1"/>
  <c r="AY245" i="1"/>
  <c r="AX245" i="1"/>
  <c r="AW245" i="1"/>
  <c r="AZ243" i="1"/>
  <c r="AY243" i="1"/>
  <c r="AX243" i="1"/>
  <c r="AW243" i="1"/>
  <c r="AZ241" i="1"/>
  <c r="AY241" i="1"/>
  <c r="AX241" i="1"/>
  <c r="AW241" i="1"/>
  <c r="AZ239" i="1"/>
  <c r="AY239" i="1"/>
  <c r="AX239" i="1"/>
  <c r="AW239" i="1"/>
  <c r="AZ237" i="1"/>
  <c r="AY237" i="1"/>
  <c r="AX237" i="1"/>
  <c r="AW237" i="1"/>
  <c r="AZ235" i="1"/>
  <c r="AY235" i="1"/>
  <c r="AX235" i="1"/>
  <c r="AW235" i="1"/>
  <c r="AZ233" i="1"/>
  <c r="AY233" i="1"/>
  <c r="AX233" i="1"/>
  <c r="AW233" i="1"/>
  <c r="AZ231" i="1"/>
  <c r="AY231" i="1"/>
  <c r="AX231" i="1"/>
  <c r="AW231" i="1"/>
  <c r="AZ151" i="1"/>
  <c r="AY151" i="1"/>
  <c r="AX151" i="1"/>
  <c r="AW151" i="1"/>
  <c r="AZ148" i="1"/>
  <c r="AY148" i="1"/>
  <c r="AX148" i="1"/>
  <c r="AW148" i="1"/>
  <c r="AZ144" i="1"/>
  <c r="AY144" i="1"/>
  <c r="AX144" i="1"/>
  <c r="AW144" i="1"/>
  <c r="AZ139" i="1"/>
  <c r="AY139" i="1"/>
  <c r="AX139" i="1"/>
  <c r="AW139" i="1"/>
  <c r="AZ136" i="1"/>
  <c r="AY136" i="1"/>
  <c r="AX136" i="1"/>
  <c r="AW136" i="1"/>
  <c r="AZ130" i="1"/>
  <c r="AY130" i="1"/>
  <c r="AX130" i="1"/>
  <c r="AW130" i="1"/>
  <c r="AZ124" i="1"/>
  <c r="AY124" i="1"/>
  <c r="AX124" i="1"/>
  <c r="AW124" i="1"/>
  <c r="AZ121" i="1"/>
  <c r="AY121" i="1"/>
  <c r="AX121" i="1"/>
  <c r="AW121" i="1"/>
  <c r="AZ117" i="1"/>
  <c r="AY117" i="1"/>
  <c r="AX117" i="1"/>
  <c r="AW117" i="1"/>
  <c r="AZ109" i="1"/>
  <c r="AY109" i="1"/>
  <c r="AX109" i="1"/>
  <c r="AW109" i="1"/>
  <c r="AZ106" i="1"/>
  <c r="AY106" i="1"/>
  <c r="AX106" i="1"/>
  <c r="AW106" i="1"/>
  <c r="AZ100" i="1"/>
  <c r="AY100" i="1"/>
  <c r="AX100" i="1"/>
  <c r="AW100" i="1"/>
  <c r="AZ91" i="1"/>
  <c r="AY91" i="1"/>
  <c r="AX91" i="1"/>
  <c r="AW91" i="1"/>
  <c r="AZ88" i="1"/>
  <c r="AY88" i="1"/>
  <c r="AX88" i="1"/>
  <c r="AW88" i="1"/>
  <c r="AZ85" i="1"/>
  <c r="AY85" i="1"/>
  <c r="AX85" i="1"/>
  <c r="AW85" i="1"/>
  <c r="AZ84" i="1"/>
  <c r="AY84" i="1"/>
  <c r="AX84" i="1"/>
  <c r="AW84" i="1"/>
  <c r="AZ73" i="1"/>
  <c r="AY73" i="1"/>
  <c r="AX73" i="1"/>
  <c r="AW73" i="1"/>
  <c r="AZ61" i="1"/>
  <c r="AY61" i="1"/>
  <c r="AX61" i="1"/>
  <c r="AW61" i="1"/>
  <c r="AZ60" i="1"/>
  <c r="AY60" i="1"/>
  <c r="AX60" i="1"/>
  <c r="AW60" i="1"/>
  <c r="AZ58" i="1"/>
  <c r="AY58" i="1"/>
  <c r="AX58" i="1"/>
  <c r="AW58" i="1"/>
  <c r="AZ55" i="1"/>
  <c r="AY55" i="1"/>
  <c r="AX55" i="1"/>
  <c r="AW55" i="1"/>
  <c r="AZ51" i="1"/>
  <c r="AY51" i="1"/>
  <c r="AX51" i="1"/>
  <c r="AW51" i="1"/>
  <c r="AZ43" i="1"/>
  <c r="AY43" i="1"/>
  <c r="AX43" i="1"/>
  <c r="AW43" i="1"/>
  <c r="AZ37" i="1"/>
  <c r="AY37" i="1"/>
  <c r="AX37" i="1"/>
  <c r="AW37" i="1"/>
  <c r="AZ31" i="1"/>
  <c r="AY31" i="1"/>
  <c r="AX31" i="1"/>
  <c r="AW31" i="1"/>
  <c r="AZ25" i="1"/>
  <c r="AY25" i="1"/>
  <c r="AX25" i="1"/>
  <c r="AW25" i="1"/>
  <c r="AZ19" i="1"/>
  <c r="AY19" i="1"/>
  <c r="AX19" i="1"/>
  <c r="AW19" i="1"/>
  <c r="AZ11" i="1"/>
  <c r="AY11" i="1"/>
  <c r="AX11" i="1"/>
  <c r="AW11" i="1"/>
  <c r="AZ7" i="1"/>
  <c r="AY7" i="1"/>
  <c r="AX7" i="1"/>
  <c r="AW7" i="1"/>
  <c r="AZ2440" i="1"/>
  <c r="AY2440" i="1"/>
  <c r="AX2440" i="1"/>
  <c r="AW2440" i="1"/>
  <c r="AZ2065" i="1"/>
  <c r="AY2065" i="1"/>
  <c r="AX2065" i="1"/>
  <c r="AW2065" i="1"/>
  <c r="AZ1662" i="1"/>
  <c r="AY1662" i="1"/>
  <c r="AX1662" i="1"/>
  <c r="AW1662" i="1"/>
  <c r="AZ573" i="1"/>
  <c r="AY573" i="1"/>
  <c r="AX573" i="1"/>
  <c r="AW573" i="1"/>
  <c r="AZ281" i="1"/>
  <c r="AY281" i="1"/>
  <c r="AX281" i="1"/>
  <c r="AW281" i="1"/>
  <c r="AZ94" i="1"/>
  <c r="AZ97" i="1"/>
  <c r="X760" i="1"/>
  <c r="J804" i="1" s="1" a="1"/>
  <c r="J804" i="1" s="1"/>
  <c r="Y760" i="1"/>
  <c r="Z760" i="1"/>
  <c r="AA760" i="1"/>
  <c r="AB760" i="1"/>
  <c r="AC760" i="1"/>
  <c r="AD760" i="1"/>
  <c r="AE760" i="1"/>
  <c r="W760" i="1"/>
  <c r="AZ760" i="1" s="1"/>
  <c r="AY2634" i="1"/>
  <c r="AX2634" i="1"/>
  <c r="AW2634" i="1"/>
  <c r="AY2633" i="1"/>
  <c r="AX2633" i="1"/>
  <c r="AW2633" i="1"/>
  <c r="AY2630" i="1"/>
  <c r="AX2630" i="1"/>
  <c r="AW2630" i="1"/>
  <c r="AY2625" i="1"/>
  <c r="AX2625" i="1"/>
  <c r="AW2625" i="1"/>
  <c r="AY2619" i="1"/>
  <c r="AX2619" i="1"/>
  <c r="AW2619" i="1"/>
  <c r="AY2602" i="1"/>
  <c r="AX2602" i="1"/>
  <c r="AW2602" i="1"/>
  <c r="AY2601" i="1"/>
  <c r="AX2601" i="1"/>
  <c r="AW2601" i="1"/>
  <c r="AY2598" i="1"/>
  <c r="AX2598" i="1"/>
  <c r="AW2598" i="1"/>
  <c r="AY2596" i="1"/>
  <c r="AX2596" i="1"/>
  <c r="AW2596" i="1"/>
  <c r="AY2595" i="1"/>
  <c r="AX2595" i="1"/>
  <c r="AW2595" i="1"/>
  <c r="AY2594" i="1"/>
  <c r="AX2594" i="1"/>
  <c r="AW2594" i="1"/>
  <c r="AY2593" i="1"/>
  <c r="AX2593" i="1"/>
  <c r="AW2593" i="1"/>
  <c r="AY2592" i="1"/>
  <c r="AX2592" i="1"/>
  <c r="AW2592" i="1"/>
  <c r="AY2589" i="1"/>
  <c r="AX2589" i="1"/>
  <c r="AW2589" i="1"/>
  <c r="AY2584" i="1"/>
  <c r="AX2584" i="1"/>
  <c r="AW2584" i="1"/>
  <c r="AY2578" i="1"/>
  <c r="AX2578" i="1"/>
  <c r="AW2578" i="1"/>
  <c r="AY1013" i="1"/>
  <c r="AX1013" i="1"/>
  <c r="AW1013" i="1"/>
  <c r="AY2568" i="1"/>
  <c r="AX2568" i="1"/>
  <c r="AW2568" i="1"/>
  <c r="AY2560" i="1"/>
  <c r="AX2560" i="1"/>
  <c r="AW2560" i="1"/>
  <c r="AY2557" i="1"/>
  <c r="AX2557" i="1"/>
  <c r="AW2557" i="1"/>
  <c r="AY2556" i="1"/>
  <c r="AX2556" i="1"/>
  <c r="AW2556" i="1"/>
  <c r="AY2555" i="1"/>
  <c r="AX2555" i="1"/>
  <c r="AW2555" i="1"/>
  <c r="AY2552" i="1"/>
  <c r="AX2552" i="1"/>
  <c r="AW2552" i="1"/>
  <c r="AY2546" i="1"/>
  <c r="AX2546" i="1"/>
  <c r="AW2546" i="1"/>
  <c r="AY2543" i="1"/>
  <c r="AX2543" i="1"/>
  <c r="AW2543" i="1"/>
  <c r="AX2540" i="1"/>
  <c r="AW2540" i="1"/>
  <c r="AY2537" i="1"/>
  <c r="AX2537" i="1"/>
  <c r="AW2537" i="1"/>
  <c r="AY2290" i="1"/>
  <c r="AX2290" i="1"/>
  <c r="AW2290" i="1"/>
  <c r="AY2280" i="1"/>
  <c r="AX2280" i="1"/>
  <c r="AW2280" i="1"/>
  <c r="AY2270" i="1"/>
  <c r="AX2270" i="1"/>
  <c r="AW2270" i="1"/>
  <c r="AY2265" i="1"/>
  <c r="AX2265" i="1"/>
  <c r="AW2265" i="1"/>
  <c r="AY2260" i="1"/>
  <c r="AX2260" i="1"/>
  <c r="AW2260" i="1"/>
  <c r="AY1932" i="1"/>
  <c r="AX1932" i="1"/>
  <c r="AW1932" i="1"/>
  <c r="AY1920" i="1"/>
  <c r="AX1920" i="1"/>
  <c r="AW1920" i="1"/>
  <c r="AY1914" i="1"/>
  <c r="AX1914" i="1"/>
  <c r="AW1914" i="1"/>
  <c r="AY1908" i="1"/>
  <c r="AX1908" i="1"/>
  <c r="AW1908" i="1"/>
  <c r="AY1902" i="1"/>
  <c r="AX1902" i="1"/>
  <c r="AW1902" i="1"/>
  <c r="AY1896" i="1"/>
  <c r="AX1896" i="1"/>
  <c r="AW1896" i="1"/>
  <c r="AY1496" i="1"/>
  <c r="AX1496" i="1"/>
  <c r="AY1484" i="1"/>
  <c r="AX1484" i="1"/>
  <c r="AW1484" i="1"/>
  <c r="AY1478" i="1"/>
  <c r="AX1478" i="1"/>
  <c r="AW1478" i="1"/>
  <c r="AY1472" i="1"/>
  <c r="AX1472" i="1"/>
  <c r="AW1472" i="1"/>
  <c r="AY1466" i="1"/>
  <c r="AX1466" i="1"/>
  <c r="AW1466" i="1"/>
  <c r="AY1460" i="1"/>
  <c r="AX1460" i="1"/>
  <c r="AW1460" i="1"/>
  <c r="AY2572" i="1"/>
  <c r="AX2572" i="1"/>
  <c r="AW2572" i="1"/>
  <c r="AY1068" i="1"/>
  <c r="AX1068" i="1"/>
  <c r="AW1068" i="1"/>
  <c r="AY1057" i="1"/>
  <c r="AX1057" i="1"/>
  <c r="AW1057" i="1"/>
  <c r="AY1035" i="1"/>
  <c r="AX1035" i="1"/>
  <c r="AW1035" i="1"/>
  <c r="AY2649" i="1"/>
  <c r="AX2649" i="1"/>
  <c r="AW2649" i="1"/>
  <c r="AY1024" i="1"/>
  <c r="AX1024" i="1"/>
  <c r="AW1024" i="1"/>
  <c r="AY326" i="1"/>
  <c r="AX326" i="1"/>
  <c r="AW326" i="1"/>
  <c r="AY324" i="1"/>
  <c r="AX324" i="1"/>
  <c r="AW324" i="1"/>
  <c r="AY323" i="1"/>
  <c r="AX323" i="1"/>
  <c r="AW323" i="1"/>
  <c r="AY322" i="1"/>
  <c r="AX322" i="1"/>
  <c r="AW322" i="1"/>
  <c r="AY321" i="1"/>
  <c r="AX321" i="1"/>
  <c r="AW321" i="1"/>
  <c r="AY320" i="1"/>
  <c r="AX320" i="1"/>
  <c r="AW320" i="1"/>
  <c r="AY229" i="1"/>
  <c r="AX229" i="1"/>
  <c r="AW229" i="1"/>
  <c r="AY223" i="1"/>
  <c r="AX223" i="1"/>
  <c r="AW223" i="1"/>
  <c r="AY220" i="1"/>
  <c r="AX220" i="1"/>
  <c r="AW220" i="1"/>
  <c r="AX217" i="1"/>
  <c r="AW217" i="1"/>
  <c r="AY214" i="1"/>
  <c r="AX214" i="1"/>
  <c r="AW214" i="1"/>
  <c r="AY211" i="1"/>
  <c r="AX211" i="1"/>
  <c r="AX97" i="1"/>
  <c r="AY97" i="1"/>
  <c r="AW97" i="1"/>
  <c r="AZ2507" i="1"/>
  <c r="AZ2504" i="1"/>
  <c r="AZ2498" i="1"/>
  <c r="AZ2495" i="1"/>
  <c r="AZ2210" i="1"/>
  <c r="AZ2205" i="1"/>
  <c r="AZ2195" i="1"/>
  <c r="AZ2190" i="1"/>
  <c r="AZ1836" i="1"/>
  <c r="AZ1830" i="1"/>
  <c r="AZ1818" i="1"/>
  <c r="AZ1812" i="1"/>
  <c r="AZ1400" i="1"/>
  <c r="AZ1394" i="1"/>
  <c r="AZ1382" i="1"/>
  <c r="AZ1376" i="1"/>
  <c r="AZ892" i="1"/>
  <c r="AZ881" i="1"/>
  <c r="AZ859" i="1"/>
  <c r="AZ848" i="1"/>
  <c r="AZ310" i="1"/>
  <c r="AZ309" i="1"/>
  <c r="AZ307" i="1"/>
  <c r="AZ306" i="1"/>
  <c r="AZ181" i="1"/>
  <c r="AZ178" i="1"/>
  <c r="AZ172" i="1"/>
  <c r="AZ169" i="1"/>
  <c r="K2444" i="1"/>
  <c r="K2483" i="1" a="1"/>
  <c r="K2483" i="1" s="1"/>
  <c r="K1176" i="1" a="1"/>
  <c r="K1176" i="1" s="1"/>
  <c r="K1170" i="1" a="1"/>
  <c r="K1170" i="1" s="1"/>
  <c r="J246" i="1" a="1"/>
  <c r="J246" i="1" s="1"/>
  <c r="K246" i="1" a="1"/>
  <c r="K246" i="1" s="1"/>
  <c r="C43" i="2"/>
  <c r="D43" i="2" s="1"/>
  <c r="AW94" i="1"/>
  <c r="K2492" i="1"/>
  <c r="K2185" i="1"/>
  <c r="K1806" i="1"/>
  <c r="K1370" i="1"/>
  <c r="K837" i="1"/>
  <c r="K305" i="1"/>
  <c r="K1388" i="1"/>
  <c r="K2501" i="1"/>
  <c r="K2200" i="1"/>
  <c r="K1824" i="1"/>
  <c r="K870" i="1"/>
  <c r="K308" i="1"/>
  <c r="K175" i="1"/>
  <c r="J2483" i="1" a="1"/>
  <c r="J2483" i="1" s="1"/>
  <c r="J2170" i="1" a="1"/>
  <c r="J2170" i="1" s="1"/>
  <c r="J1788" i="1" a="1"/>
  <c r="J1788" i="1" s="1"/>
  <c r="J1352" i="1" a="1"/>
  <c r="J1352" i="1" s="1"/>
  <c r="J302" i="1" a="1"/>
  <c r="J302" i="1" s="1"/>
  <c r="K2170" i="1" a="1"/>
  <c r="K2170" i="1" s="1"/>
  <c r="K1788" i="1" a="1"/>
  <c r="K1788" i="1" s="1"/>
  <c r="K1352" i="1" a="1"/>
  <c r="K1352" i="1" s="1"/>
  <c r="K302" i="1" a="1"/>
  <c r="K302" i="1" s="1"/>
  <c r="J157" i="1" a="1"/>
  <c r="J157" i="1" s="1"/>
  <c r="K157" i="1" a="1"/>
  <c r="K157" i="1" s="1"/>
  <c r="J2327" i="1" a="1"/>
  <c r="J2327" i="1" s="1"/>
  <c r="J1993" i="1" a="1"/>
  <c r="J1993" i="1" s="1"/>
  <c r="J1569" i="1" a="1"/>
  <c r="J1569" i="1" s="1"/>
  <c r="J1141" i="1" a="1"/>
  <c r="J1141" i="1" s="1"/>
  <c r="J459" i="1" a="1"/>
  <c r="J459" i="1" s="1"/>
  <c r="J242" i="1" a="1"/>
  <c r="J242" i="1" s="1"/>
  <c r="J40" i="1" a="1"/>
  <c r="J40" i="1" s="1"/>
  <c r="K2327" i="1" a="1"/>
  <c r="K2327" i="1" s="1"/>
  <c r="K1993" i="1" a="1"/>
  <c r="K1993" i="1" s="1"/>
  <c r="K1569" i="1" a="1"/>
  <c r="K1569" i="1" s="1"/>
  <c r="K1141" i="1" a="1"/>
  <c r="K1141" i="1" s="1"/>
  <c r="K459" i="1" a="1"/>
  <c r="K459" i="1" s="1"/>
  <c r="K242" i="1" a="1"/>
  <c r="K242" i="1" s="1"/>
  <c r="K40" i="1" a="1"/>
  <c r="K40" i="1" s="1"/>
  <c r="J2315" i="1" a="1"/>
  <c r="J2315" i="1" s="1"/>
  <c r="J1973" i="1" a="1"/>
  <c r="J1973" i="1" s="1"/>
  <c r="J1545" i="1" a="1"/>
  <c r="J1545" i="1" s="1"/>
  <c r="J1117" i="1" a="1"/>
  <c r="J1117" i="1" s="1"/>
  <c r="J415" i="1" a="1"/>
  <c r="J415" i="1" s="1"/>
  <c r="J238" i="1" a="1"/>
  <c r="J238" i="1" s="1"/>
  <c r="J28" i="1" a="1"/>
  <c r="J28" i="1" s="1"/>
  <c r="K2315" i="1" a="1"/>
  <c r="K2315" i="1" s="1"/>
  <c r="K1973" i="1" a="1"/>
  <c r="K1973" i="1" s="1"/>
  <c r="K1545" i="1" a="1"/>
  <c r="K1545" i="1" s="1"/>
  <c r="K1117" i="1" a="1"/>
  <c r="K1117" i="1" s="1"/>
  <c r="K415" i="1" a="1"/>
  <c r="K415" i="1" s="1"/>
  <c r="K238" i="1" a="1"/>
  <c r="K238" i="1" s="1"/>
  <c r="K28" i="1" a="1"/>
  <c r="K28" i="1" s="1"/>
  <c r="J2309" i="1" a="1"/>
  <c r="J2309" i="1" s="1"/>
  <c r="J1963" i="1" a="1"/>
  <c r="J1963" i="1" s="1"/>
  <c r="J1533" i="1" a="1"/>
  <c r="J1533" i="1" s="1"/>
  <c r="J1105" i="1" a="1"/>
  <c r="J1105" i="1" s="1"/>
  <c r="J393" i="1" a="1"/>
  <c r="J393" i="1" s="1"/>
  <c r="J236" i="1" a="1"/>
  <c r="J236" i="1" s="1"/>
  <c r="J22" i="1" a="1"/>
  <c r="J22" i="1" s="1"/>
  <c r="K2309" i="1" a="1"/>
  <c r="K2309" i="1" s="1"/>
  <c r="K1963" i="1" a="1"/>
  <c r="K1963" i="1" s="1"/>
  <c r="K1533" i="1" a="1"/>
  <c r="K1533" i="1" s="1"/>
  <c r="K1105" i="1" a="1"/>
  <c r="K1105" i="1" s="1"/>
  <c r="K393" i="1" a="1"/>
  <c r="K393" i="1" s="1"/>
  <c r="K236" i="1" a="1"/>
  <c r="K236" i="1" s="1"/>
  <c r="K22" i="1" a="1"/>
  <c r="K22" i="1" s="1"/>
  <c r="J2321" i="1" a="1"/>
  <c r="J2321" i="1" s="1"/>
  <c r="J1983" i="1" a="1"/>
  <c r="J1983" i="1" s="1"/>
  <c r="J1557" i="1" a="1"/>
  <c r="J1557" i="1" s="1"/>
  <c r="J1129" i="1" a="1"/>
  <c r="J1129" i="1" s="1"/>
  <c r="J437" i="1" a="1"/>
  <c r="J437" i="1" s="1"/>
  <c r="J240" i="1" a="1"/>
  <c r="J240" i="1" s="1"/>
  <c r="J34" i="1" a="1"/>
  <c r="J34" i="1" s="1"/>
  <c r="K2321" i="1" a="1"/>
  <c r="K2321" i="1" s="1"/>
  <c r="K1983" i="1" a="1"/>
  <c r="K1983" i="1" s="1"/>
  <c r="K1557" i="1" a="1"/>
  <c r="K1557" i="1" s="1"/>
  <c r="K1129" i="1" a="1"/>
  <c r="K1129" i="1" s="1"/>
  <c r="K437" i="1" a="1"/>
  <c r="K437" i="1" s="1"/>
  <c r="K240" i="1" a="1"/>
  <c r="K240" i="1" s="1"/>
  <c r="K34" i="1" a="1"/>
  <c r="K34" i="1" s="1"/>
  <c r="J2297" i="1" a="1"/>
  <c r="J2297" i="1" s="1"/>
  <c r="J1943" i="1" a="1"/>
  <c r="J1943" i="1" s="1"/>
  <c r="J1509" i="1" a="1"/>
  <c r="J1509" i="1" s="1"/>
  <c r="J1081" i="1" a="1"/>
  <c r="J1081" i="1" s="1"/>
  <c r="J349" i="1" a="1"/>
  <c r="J349" i="1" s="1"/>
  <c r="J232" i="1" a="1"/>
  <c r="J232" i="1" s="1"/>
  <c r="J10" i="1" a="1"/>
  <c r="J10" i="1" s="1"/>
  <c r="K2297" i="1" a="1"/>
  <c r="K2297" i="1" s="1"/>
  <c r="K1943" i="1" a="1"/>
  <c r="K1943" i="1" s="1"/>
  <c r="K1509" i="1" a="1"/>
  <c r="K1509" i="1" s="1"/>
  <c r="K1081" i="1" a="1"/>
  <c r="K1081" i="1" s="1"/>
  <c r="K349" i="1" a="1"/>
  <c r="K349" i="1" s="1"/>
  <c r="K232" i="1" a="1"/>
  <c r="K232" i="1" s="1"/>
  <c r="K10" i="1" a="1"/>
  <c r="K10" i="1" s="1"/>
  <c r="J2291" i="1" a="1"/>
  <c r="J2291" i="1" s="1"/>
  <c r="J1933" i="1" a="1"/>
  <c r="J1933" i="1" s="1"/>
  <c r="J1497" i="1" a="1"/>
  <c r="J1497" i="1" s="1"/>
  <c r="J1069" i="1" a="1"/>
  <c r="J1069" i="1" s="1"/>
  <c r="J327" i="1" a="1"/>
  <c r="J327" i="1" s="1"/>
  <c r="J230" i="1" a="1"/>
  <c r="J230" i="1" s="1"/>
  <c r="J4" i="1" a="1"/>
  <c r="J4" i="1" s="1"/>
  <c r="J2440" i="1" a="1"/>
  <c r="J2440" i="1" s="1"/>
  <c r="J2065" i="1" a="1"/>
  <c r="J2065" i="1" s="1"/>
  <c r="J1662" i="1" a="1"/>
  <c r="J1662" i="1" s="1"/>
  <c r="J1226" i="1" a="1"/>
  <c r="J1226" i="1" s="1"/>
  <c r="J573" i="1" a="1"/>
  <c r="J573" i="1" s="1"/>
  <c r="J281" i="1" a="1"/>
  <c r="J281" i="1" s="1"/>
  <c r="J94" i="1" a="1"/>
  <c r="J94" i="1" s="1"/>
  <c r="J2471" i="1" a="1"/>
  <c r="J2471" i="1" s="1"/>
  <c r="J2150" i="1" a="1"/>
  <c r="J2150" i="1" s="1"/>
  <c r="J1764" i="1" a="1"/>
  <c r="J1764" i="1" s="1"/>
  <c r="J1328" i="1" a="1"/>
  <c r="J1328" i="1" s="1"/>
  <c r="J298" i="1" a="1"/>
  <c r="J298" i="1" s="1"/>
  <c r="J145" i="1" a="1"/>
  <c r="J145" i="1" s="1"/>
  <c r="J2459" i="1" a="1"/>
  <c r="J2459" i="1" s="1"/>
  <c r="J2130" i="1" a="1"/>
  <c r="J2130" i="1" s="1"/>
  <c r="J1740" i="1" a="1"/>
  <c r="J1740" i="1" s="1"/>
  <c r="J1304" i="1" a="1"/>
  <c r="J1304" i="1" s="1"/>
  <c r="J716" i="1" a="1"/>
  <c r="J716" i="1" s="1"/>
  <c r="J294" i="1" a="1"/>
  <c r="J294" i="1" s="1"/>
  <c r="J133" i="1" a="1"/>
  <c r="J133" i="1" s="1"/>
  <c r="J2453" i="1" a="1"/>
  <c r="J2453" i="1" s="1"/>
  <c r="J2120" i="1" a="1"/>
  <c r="J2120" i="1" s="1"/>
  <c r="J1728" i="1" a="1"/>
  <c r="J1728" i="1" s="1"/>
  <c r="J1292" i="1" a="1"/>
  <c r="J1292" i="1" s="1"/>
  <c r="J694" i="1" a="1"/>
  <c r="J694" i="1" s="1"/>
  <c r="J292" i="1" a="1"/>
  <c r="J292" i="1" s="1"/>
  <c r="J127" i="1" a="1"/>
  <c r="J127" i="1" s="1"/>
  <c r="J2444" i="1" a="1"/>
  <c r="J2444" i="1" s="1"/>
  <c r="J2105" i="1" a="1"/>
  <c r="J2105" i="1" s="1"/>
  <c r="J1710" i="1" a="1"/>
  <c r="J1710" i="1" s="1"/>
  <c r="J1274" i="1" a="1"/>
  <c r="J1274" i="1" s="1"/>
  <c r="J661" i="1" a="1"/>
  <c r="J661" i="1" s="1"/>
  <c r="J289" i="1" a="1"/>
  <c r="J289" i="1" s="1"/>
  <c r="J118" i="1" a="1"/>
  <c r="J118" i="1" s="1"/>
  <c r="J2492" i="1" a="1"/>
  <c r="J2492" i="1" s="1"/>
  <c r="J2185" i="1" a="1"/>
  <c r="J2185" i="1" s="1"/>
  <c r="J1806" i="1" a="1"/>
  <c r="J1806" i="1" s="1"/>
  <c r="J1370" i="1" a="1"/>
  <c r="J1370" i="1" s="1"/>
  <c r="J837" i="1" a="1"/>
  <c r="J837" i="1" s="1"/>
  <c r="J305" i="1" a="1"/>
  <c r="J305" i="1" s="1"/>
  <c r="J2501" i="1" a="1"/>
  <c r="J2501" i="1" s="1"/>
  <c r="J2200" i="1" a="1"/>
  <c r="J2200" i="1" s="1"/>
  <c r="J1824" i="1" a="1"/>
  <c r="J1824" i="1" s="1"/>
  <c r="J1388" i="1" a="1"/>
  <c r="J1388" i="1" s="1"/>
  <c r="J870" i="1" a="1"/>
  <c r="J870" i="1" s="1"/>
  <c r="J308" i="1" a="1"/>
  <c r="J308" i="1" s="1"/>
  <c r="J175" i="1" a="1"/>
  <c r="J175" i="1" s="1"/>
  <c r="J2410" i="1" a="1"/>
  <c r="J2410" i="1" s="1"/>
  <c r="J2398" i="1" a="1"/>
  <c r="J2398" i="1" s="1"/>
  <c r="J2365" i="1" a="1"/>
  <c r="J2365" i="1" s="1"/>
  <c r="J2049" i="1" a="1"/>
  <c r="J2049" i="1" s="1"/>
  <c r="J2037" i="1" a="1"/>
  <c r="J2037" i="1" s="1"/>
  <c r="J2031" i="1" a="1"/>
  <c r="J2031" i="1" s="1"/>
  <c r="J1201" i="1" a="1"/>
  <c r="J1201" i="1" s="1"/>
  <c r="J1193" i="1" a="1"/>
  <c r="J1193" i="1" s="1"/>
  <c r="J1182" i="1" a="1"/>
  <c r="J1182" i="1" s="1"/>
  <c r="J1170" i="1" a="1"/>
  <c r="J1170" i="1" s="1"/>
  <c r="J528" i="1" a="1"/>
  <c r="J528" i="1" s="1"/>
  <c r="J516" i="1" a="1"/>
  <c r="J516" i="1" s="1"/>
  <c r="J512" i="1" a="1"/>
  <c r="J512" i="1" s="1"/>
  <c r="J2025" i="1" a="1"/>
  <c r="J2025" i="1" s="1"/>
  <c r="J2017" i="1" a="1"/>
  <c r="J2017" i="1" s="1"/>
  <c r="J1637" i="1" a="1"/>
  <c r="J1637" i="1" s="1"/>
  <c r="J1625" i="1" a="1"/>
  <c r="J1625" i="1" s="1"/>
  <c r="J1608" i="1" a="1"/>
  <c r="J1608" i="1" s="1"/>
  <c r="J1596" i="1" a="1"/>
  <c r="J1596" i="1" s="1"/>
  <c r="J1207" i="1" a="1"/>
  <c r="J1207" i="1" s="1"/>
  <c r="K2440" i="1" a="1"/>
  <c r="K2440" i="1" s="1"/>
  <c r="J2038" i="1" a="1"/>
  <c r="J2038" i="1" s="1"/>
  <c r="J2036" i="1" a="1"/>
  <c r="J2036" i="1" s="1"/>
  <c r="J2028" i="1" a="1"/>
  <c r="J2028" i="1" s="1"/>
  <c r="J2022" i="1" a="1"/>
  <c r="J2022" i="1" s="1"/>
  <c r="J1643" i="1" a="1"/>
  <c r="J1643" i="1" s="1"/>
  <c r="J1631" i="1" a="1"/>
  <c r="J1631" i="1" s="1"/>
  <c r="J1619" i="1" a="1"/>
  <c r="J1619" i="1" s="1"/>
  <c r="J1597" i="1" a="1"/>
  <c r="J1597" i="1" s="1"/>
  <c r="J1595" i="1" a="1"/>
  <c r="J1595" i="1" s="1"/>
  <c r="J1204" i="1" a="1"/>
  <c r="J1204" i="1" s="1"/>
  <c r="J1198" i="1" a="1"/>
  <c r="J1198" i="1" s="1"/>
  <c r="J1188" i="1" a="1"/>
  <c r="J1188" i="1" s="1"/>
  <c r="J1176" i="1" a="1"/>
  <c r="J1176" i="1" s="1"/>
  <c r="J539" i="1" a="1"/>
  <c r="J539" i="1" s="1"/>
  <c r="J517" i="1" a="1"/>
  <c r="J517" i="1" s="1"/>
  <c r="J515" i="1" a="1"/>
  <c r="J515" i="1" s="1"/>
  <c r="J509" i="1" a="1"/>
  <c r="J509" i="1" s="1"/>
  <c r="J506" i="1" a="1"/>
  <c r="J506" i="1" s="1"/>
  <c r="J503" i="1" a="1"/>
  <c r="J503" i="1" s="1"/>
  <c r="J277" i="1" a="1"/>
  <c r="J277" i="1" s="1"/>
  <c r="J272" i="1" a="1"/>
  <c r="J272" i="1" s="1"/>
  <c r="J271" i="1" a="1"/>
  <c r="J271" i="1" s="1"/>
  <c r="J265" i="1" a="1"/>
  <c r="J265" i="1" s="1"/>
  <c r="J259" i="1" a="1"/>
  <c r="J259" i="1" s="1"/>
  <c r="J258" i="1" a="1"/>
  <c r="J258" i="1" s="1"/>
  <c r="J252" i="1" a="1"/>
  <c r="J252" i="1" s="1"/>
  <c r="J84" i="1" a="1"/>
  <c r="J84" i="1" s="1"/>
  <c r="J73" i="1" a="1"/>
  <c r="J73" i="1" s="1"/>
  <c r="J62" i="1" a="1"/>
  <c r="J62" i="1" s="1"/>
  <c r="J61" i="1" a="1"/>
  <c r="J61" i="1" s="1"/>
  <c r="J60" i="1" a="1"/>
  <c r="J60" i="1" s="1"/>
  <c r="J59" i="1" a="1"/>
  <c r="J59" i="1" s="1"/>
  <c r="J58" i="1" a="1"/>
  <c r="J58" i="1" s="1"/>
  <c r="J55" i="1" a="1"/>
  <c r="J55" i="1" s="1"/>
  <c r="J52" i="1" a="1"/>
  <c r="J52" i="1" s="1"/>
  <c r="K509" i="1" a="1"/>
  <c r="K509" i="1" s="1"/>
  <c r="K506" i="1" a="1"/>
  <c r="K506" i="1" s="1"/>
  <c r="K503" i="1" a="1"/>
  <c r="K503" i="1" s="1"/>
  <c r="K277" i="1" a="1"/>
  <c r="K277" i="1" s="1"/>
  <c r="K272" i="1" a="1"/>
  <c r="K272" i="1" s="1"/>
  <c r="K271" i="1" a="1"/>
  <c r="K271" i="1" s="1"/>
  <c r="K265" i="1" a="1"/>
  <c r="K265" i="1" s="1"/>
  <c r="K259" i="1" a="1"/>
  <c r="K259" i="1" s="1"/>
  <c r="K258" i="1" a="1"/>
  <c r="K258" i="1" s="1"/>
  <c r="K252" i="1" a="1"/>
  <c r="K252" i="1" s="1"/>
  <c r="K84" i="1" a="1"/>
  <c r="K84" i="1" s="1"/>
  <c r="K73" i="1" a="1"/>
  <c r="K73" i="1" s="1"/>
  <c r="K62" i="1" a="1"/>
  <c r="K62" i="1" s="1"/>
  <c r="K61" i="1" a="1"/>
  <c r="K61" i="1" s="1"/>
  <c r="K60" i="1" a="1"/>
  <c r="K60" i="1" s="1"/>
  <c r="K59" i="1" a="1"/>
  <c r="K59" i="1" s="1"/>
  <c r="K58" i="1" a="1"/>
  <c r="K58" i="1" s="1"/>
  <c r="K55" i="1" a="1"/>
  <c r="K55" i="1" s="1"/>
  <c r="K52" i="1" a="1"/>
  <c r="K52" i="1" s="1"/>
  <c r="K2410" i="1" a="1"/>
  <c r="K2410" i="1" s="1"/>
  <c r="K2398" i="1" a="1"/>
  <c r="K2398" i="1" s="1"/>
  <c r="K2049" i="1" a="1"/>
  <c r="K2049" i="1" s="1"/>
  <c r="K2038" i="1" a="1"/>
  <c r="K2038" i="1" s="1"/>
  <c r="K2037" i="1" a="1"/>
  <c r="K2037" i="1" s="1"/>
  <c r="K2036" i="1" a="1"/>
  <c r="K2036" i="1" s="1"/>
  <c r="K2031" i="1" a="1"/>
  <c r="K2031" i="1" s="1"/>
  <c r="K2028" i="1" a="1"/>
  <c r="K2028" i="1" s="1"/>
  <c r="K2022" i="1" a="1"/>
  <c r="K2022" i="1" s="1"/>
  <c r="K1643" i="1" a="1"/>
  <c r="K1643" i="1" s="1"/>
  <c r="K1631" i="1" a="1"/>
  <c r="K1631" i="1" s="1"/>
  <c r="K1619" i="1" a="1"/>
  <c r="K1619" i="1" s="1"/>
  <c r="K1597" i="1" a="1"/>
  <c r="K1597" i="1" s="1"/>
  <c r="K1595" i="1" a="1"/>
  <c r="K1595" i="1" s="1"/>
  <c r="K2025" i="1" a="1"/>
  <c r="K2025" i="1" s="1"/>
  <c r="K2017" i="1" a="1"/>
  <c r="K2017" i="1" s="1"/>
  <c r="K1637" i="1" a="1"/>
  <c r="K1637" i="1" s="1"/>
  <c r="K1625" i="1" a="1"/>
  <c r="K1625" i="1" s="1"/>
  <c r="K1608" i="1" a="1"/>
  <c r="K1608" i="1" s="1"/>
  <c r="K1596" i="1" a="1"/>
  <c r="K1596" i="1" s="1"/>
  <c r="K539" i="1" a="1"/>
  <c r="K539" i="1" s="1"/>
  <c r="K517" i="1" a="1"/>
  <c r="K517" i="1" s="1"/>
  <c r="K515" i="1" a="1"/>
  <c r="K515" i="1" s="1"/>
  <c r="K528" i="1" a="1"/>
  <c r="K528" i="1" s="1"/>
  <c r="K516" i="1" a="1"/>
  <c r="K516" i="1" s="1"/>
  <c r="K512" i="1" a="1"/>
  <c r="K512" i="1" s="1"/>
  <c r="K1204" i="1" a="1"/>
  <c r="K1204" i="1" s="1"/>
  <c r="K1198" i="1" a="1"/>
  <c r="K1198" i="1" s="1"/>
  <c r="K1188" i="1" a="1"/>
  <c r="K1188" i="1" s="1"/>
  <c r="K1207" i="1" a="1"/>
  <c r="K1207" i="1" s="1"/>
  <c r="K1201" i="1" a="1"/>
  <c r="K1201" i="1" s="1"/>
  <c r="K1193" i="1" a="1"/>
  <c r="K1193" i="1" s="1"/>
  <c r="K1182" i="1" a="1"/>
  <c r="K1182" i="1" s="1"/>
  <c r="J2443" i="1" a="1"/>
  <c r="J2443" i="1" s="1"/>
  <c r="J2437" i="1" a="1"/>
  <c r="J2437" i="1" s="1"/>
  <c r="J2434" i="1" a="1"/>
  <c r="J2434" i="1" s="1"/>
  <c r="J2431" i="1" a="1"/>
  <c r="J2431" i="1" s="1"/>
  <c r="J2428" i="1" a="1"/>
  <c r="J2428" i="1" s="1"/>
  <c r="J2425" i="1" a="1"/>
  <c r="J2425" i="1" s="1"/>
  <c r="J2422" i="1" a="1"/>
  <c r="J2422" i="1" s="1"/>
  <c r="J2419" i="1" a="1"/>
  <c r="J2419" i="1" s="1"/>
  <c r="J2416" i="1" a="1"/>
  <c r="J2416" i="1" s="1"/>
  <c r="J2095" i="1" a="1"/>
  <c r="J2095" i="1" s="1"/>
  <c r="J2090" i="1" a="1"/>
  <c r="J2090" i="1" s="1"/>
  <c r="J2085" i="1" a="1"/>
  <c r="J2085" i="1" s="1"/>
  <c r="J2080" i="1" a="1"/>
  <c r="J2080" i="1" s="1"/>
  <c r="J2075" i="1" a="1"/>
  <c r="J2075" i="1" s="1"/>
  <c r="J2070" i="1" a="1"/>
  <c r="J2070" i="1" s="1"/>
  <c r="J2060" i="1" a="1"/>
  <c r="J2060" i="1" s="1"/>
  <c r="J2055" i="1" a="1"/>
  <c r="J2055" i="1" s="1"/>
  <c r="J2050" i="1" a="1"/>
  <c r="J2050" i="1" s="1"/>
  <c r="J1698" i="1" a="1"/>
  <c r="J1698" i="1" s="1"/>
  <c r="J1692" i="1" a="1"/>
  <c r="J1692" i="1" s="1"/>
  <c r="J1686" i="1" a="1"/>
  <c r="J1686" i="1" s="1"/>
  <c r="J1680" i="1" a="1"/>
  <c r="J1680" i="1" s="1"/>
  <c r="J1674" i="1" a="1"/>
  <c r="J1674" i="1" s="1"/>
  <c r="J1668" i="1" a="1"/>
  <c r="J1668" i="1" s="1"/>
  <c r="J1656" i="1" a="1"/>
  <c r="J1656" i="1" s="1"/>
  <c r="J1650" i="1" a="1"/>
  <c r="J1650" i="1" s="1"/>
  <c r="J1644" i="1" a="1"/>
  <c r="J1644" i="1" s="1"/>
  <c r="J1262" i="1" a="1"/>
  <c r="J1262" i="1" s="1"/>
  <c r="J1256" i="1" a="1"/>
  <c r="J1256" i="1" s="1"/>
  <c r="J1250" i="1" a="1"/>
  <c r="J1250" i="1" s="1"/>
  <c r="J1244" i="1" a="1"/>
  <c r="J1244" i="1" s="1"/>
  <c r="J1238" i="1" a="1"/>
  <c r="J1238" i="1" s="1"/>
  <c r="J1232" i="1" a="1"/>
  <c r="J1232" i="1" s="1"/>
  <c r="J1220" i="1" a="1"/>
  <c r="J1220" i="1" s="1"/>
  <c r="J1214" i="1" a="1"/>
  <c r="J1214" i="1" s="1"/>
  <c r="J1208" i="1" a="1"/>
  <c r="J1208" i="1" s="1"/>
  <c r="J639" i="1" a="1"/>
  <c r="J639" i="1" s="1"/>
  <c r="J628" i="1" a="1"/>
  <c r="J628" i="1" s="1"/>
  <c r="J617" i="1" a="1"/>
  <c r="J617" i="1" s="1"/>
  <c r="J606" i="1" a="1"/>
  <c r="J606" i="1" s="1"/>
  <c r="J595" i="1" a="1"/>
  <c r="J595" i="1" s="1"/>
  <c r="J584" i="1" a="1"/>
  <c r="J584" i="1" s="1"/>
  <c r="J562" i="1" a="1"/>
  <c r="J562" i="1" s="1"/>
  <c r="J551" i="1" a="1"/>
  <c r="J551" i="1" s="1"/>
  <c r="J540" i="1" a="1"/>
  <c r="J540" i="1" s="1"/>
  <c r="J288" i="1" a="1"/>
  <c r="J288" i="1" s="1"/>
  <c r="J287" i="1" a="1"/>
  <c r="J287" i="1" s="1"/>
  <c r="J286" i="1" a="1"/>
  <c r="J286" i="1" s="1"/>
  <c r="J285" i="1" a="1"/>
  <c r="J285" i="1" s="1"/>
  <c r="J284" i="1" a="1"/>
  <c r="J284" i="1" s="1"/>
  <c r="J283" i="1" a="1"/>
  <c r="J283" i="1" s="1"/>
  <c r="J282" i="1" a="1"/>
  <c r="J282" i="1" s="1"/>
  <c r="J280" i="1" a="1"/>
  <c r="J280" i="1" s="1"/>
  <c r="J279" i="1" a="1"/>
  <c r="J279" i="1" s="1"/>
  <c r="J278" i="1" a="1"/>
  <c r="J278" i="1" s="1"/>
  <c r="J117" i="1" a="1"/>
  <c r="J117" i="1" s="1"/>
  <c r="J112" i="1" a="1"/>
  <c r="J112" i="1" s="1"/>
  <c r="J109" i="1" a="1"/>
  <c r="J109" i="1" s="1"/>
  <c r="J106" i="1" a="1"/>
  <c r="J106" i="1" s="1"/>
  <c r="J103" i="1" a="1"/>
  <c r="J103" i="1" s="1"/>
  <c r="J100" i="1" a="1"/>
  <c r="J100" i="1" s="1"/>
  <c r="J97" i="1" a="1"/>
  <c r="J97" i="1" s="1"/>
  <c r="J91" i="1" a="1"/>
  <c r="J91" i="1" s="1"/>
  <c r="J88" i="1" a="1"/>
  <c r="J88" i="1" s="1"/>
  <c r="J85" i="1" a="1"/>
  <c r="J85" i="1" s="1"/>
  <c r="K2443" i="1" a="1"/>
  <c r="K2443" i="1" s="1"/>
  <c r="K2437" i="1" a="1"/>
  <c r="K2437" i="1" s="1"/>
  <c r="K2434" i="1" a="1"/>
  <c r="K2434" i="1" s="1"/>
  <c r="K2431" i="1" a="1"/>
  <c r="K2431" i="1" s="1"/>
  <c r="K2428" i="1" a="1"/>
  <c r="K2428" i="1" s="1"/>
  <c r="K2425" i="1" a="1"/>
  <c r="K2425" i="1" s="1"/>
  <c r="K2422" i="1" a="1"/>
  <c r="K2422" i="1" s="1"/>
  <c r="K2419" i="1" a="1"/>
  <c r="K2419" i="1" s="1"/>
  <c r="K2416" i="1" a="1"/>
  <c r="K2416" i="1" s="1"/>
  <c r="K2095" i="1" a="1"/>
  <c r="K2095" i="1" s="1"/>
  <c r="K2090" i="1" a="1"/>
  <c r="K2090" i="1" s="1"/>
  <c r="K2085" i="1" a="1"/>
  <c r="K2085" i="1" s="1"/>
  <c r="K2080" i="1" a="1"/>
  <c r="K2080" i="1" s="1"/>
  <c r="K2075" i="1" a="1"/>
  <c r="K2075" i="1" s="1"/>
  <c r="K2070" i="1" a="1"/>
  <c r="K2070" i="1" s="1"/>
  <c r="K2065" i="1" a="1"/>
  <c r="K2065" i="1" s="1"/>
  <c r="K2060" i="1" a="1"/>
  <c r="K2060" i="1" s="1"/>
  <c r="K2055" i="1" a="1"/>
  <c r="K2055" i="1" s="1"/>
  <c r="K2050" i="1" a="1"/>
  <c r="K2050" i="1" s="1"/>
  <c r="K1698" i="1" a="1"/>
  <c r="K1698" i="1" s="1"/>
  <c r="K1692" i="1" a="1"/>
  <c r="K1692" i="1" s="1"/>
  <c r="K1686" i="1" a="1"/>
  <c r="K1686" i="1" s="1"/>
  <c r="K1680" i="1" a="1"/>
  <c r="K1680" i="1" s="1"/>
  <c r="K1674" i="1" a="1"/>
  <c r="K1674" i="1" s="1"/>
  <c r="K1668" i="1" a="1"/>
  <c r="K1668" i="1" s="1"/>
  <c r="K1662" i="1" a="1"/>
  <c r="K1662" i="1" s="1"/>
  <c r="K1656" i="1" a="1"/>
  <c r="K1656" i="1" s="1"/>
  <c r="K1650" i="1" a="1"/>
  <c r="K1650" i="1" s="1"/>
  <c r="K1644" i="1" a="1"/>
  <c r="K1644" i="1" s="1"/>
  <c r="K1262" i="1" a="1"/>
  <c r="K1262" i="1" s="1"/>
  <c r="K1256" i="1" a="1"/>
  <c r="K1256" i="1" s="1"/>
  <c r="K1250" i="1" a="1"/>
  <c r="K1250" i="1" s="1"/>
  <c r="K1244" i="1" a="1"/>
  <c r="K1244" i="1" s="1"/>
  <c r="K1238" i="1" a="1"/>
  <c r="K1238" i="1" s="1"/>
  <c r="K1232" i="1" a="1"/>
  <c r="K1232" i="1" s="1"/>
  <c r="K1226" i="1" a="1"/>
  <c r="K1226" i="1" s="1"/>
  <c r="K1220" i="1" a="1"/>
  <c r="K1220" i="1" s="1"/>
  <c r="K1214" i="1" a="1"/>
  <c r="K1214" i="1" s="1"/>
  <c r="K1208" i="1" a="1"/>
  <c r="K1208" i="1" s="1"/>
  <c r="K639" i="1" a="1"/>
  <c r="K639" i="1" s="1"/>
  <c r="K628" i="1" a="1"/>
  <c r="K628" i="1" s="1"/>
  <c r="K617" i="1" a="1"/>
  <c r="K617" i="1" s="1"/>
  <c r="K606" i="1" a="1"/>
  <c r="K606" i="1" s="1"/>
  <c r="K595" i="1" a="1"/>
  <c r="K595" i="1" s="1"/>
  <c r="K584" i="1" a="1"/>
  <c r="K584" i="1" s="1"/>
  <c r="K573" i="1" a="1"/>
  <c r="K573" i="1" s="1"/>
  <c r="K562" i="1" a="1"/>
  <c r="K562" i="1" s="1"/>
  <c r="K551" i="1" a="1"/>
  <c r="K551" i="1" s="1"/>
  <c r="K540" i="1" a="1"/>
  <c r="K540" i="1" s="1"/>
  <c r="K288" i="1" a="1"/>
  <c r="K288" i="1" s="1"/>
  <c r="K287" i="1" a="1"/>
  <c r="K287" i="1" s="1"/>
  <c r="K286" i="1" a="1"/>
  <c r="K286" i="1" s="1"/>
  <c r="K285" i="1" a="1"/>
  <c r="K285" i="1" s="1"/>
  <c r="K284" i="1" a="1"/>
  <c r="K284" i="1" s="1"/>
  <c r="K283" i="1" a="1"/>
  <c r="K283" i="1" s="1"/>
  <c r="K282" i="1" a="1"/>
  <c r="K282" i="1" s="1"/>
  <c r="K281" i="1" a="1"/>
  <c r="K281" i="1" s="1"/>
  <c r="K280" i="1" a="1"/>
  <c r="K280" i="1" s="1"/>
  <c r="K279" i="1" a="1"/>
  <c r="K279" i="1" s="1"/>
  <c r="K278" i="1" a="1"/>
  <c r="K278" i="1" s="1"/>
  <c r="K117" i="1" a="1"/>
  <c r="K117" i="1" s="1"/>
  <c r="K112" i="1" a="1"/>
  <c r="K112" i="1" s="1"/>
  <c r="K109" i="1" a="1"/>
  <c r="K109" i="1" s="1"/>
  <c r="K106" i="1" a="1"/>
  <c r="K106" i="1" s="1"/>
  <c r="K103" i="1" a="1"/>
  <c r="K103" i="1" s="1"/>
  <c r="K100" i="1" a="1"/>
  <c r="K100" i="1" s="1"/>
  <c r="K97" i="1" a="1"/>
  <c r="K97" i="1" s="1"/>
  <c r="K94" i="1" a="1"/>
  <c r="K94" i="1" s="1"/>
  <c r="K91" i="1" a="1"/>
  <c r="K91" i="1" s="1"/>
  <c r="K88" i="1" a="1"/>
  <c r="K88" i="1" s="1"/>
  <c r="K85" i="1" a="1"/>
  <c r="K85" i="1" s="1"/>
  <c r="J2486" i="1" a="1"/>
  <c r="J2486" i="1" s="1"/>
  <c r="J2480" i="1" a="1"/>
  <c r="J2480" i="1" s="1"/>
  <c r="J2477" i="1" a="1"/>
  <c r="J2477" i="1" s="1"/>
  <c r="J2474" i="1" a="1"/>
  <c r="J2474" i="1" s="1"/>
  <c r="J2468" i="1" a="1"/>
  <c r="J2468" i="1" s="1"/>
  <c r="J2465" i="1" a="1"/>
  <c r="J2465" i="1" s="1"/>
  <c r="J2462" i="1" a="1"/>
  <c r="J2462" i="1" s="1"/>
  <c r="J2456" i="1" a="1"/>
  <c r="J2456" i="1" s="1"/>
  <c r="J2450" i="1" a="1"/>
  <c r="J2450" i="1" s="1"/>
  <c r="J2447" i="1" a="1"/>
  <c r="J2447" i="1" s="1"/>
  <c r="J2175" i="1" a="1"/>
  <c r="J2175" i="1" s="1"/>
  <c r="J2165" i="1" a="1"/>
  <c r="J2165" i="1" s="1"/>
  <c r="J2160" i="1" a="1"/>
  <c r="J2160" i="1" s="1"/>
  <c r="J2155" i="1" a="1"/>
  <c r="J2155" i="1" s="1"/>
  <c r="J2145" i="1" a="1"/>
  <c r="J2145" i="1" s="1"/>
  <c r="J2140" i="1" a="1"/>
  <c r="J2140" i="1" s="1"/>
  <c r="J2135" i="1" a="1"/>
  <c r="J2135" i="1" s="1"/>
  <c r="J2125" i="1" a="1"/>
  <c r="J2125" i="1" s="1"/>
  <c r="J2115" i="1" a="1"/>
  <c r="J2115" i="1" s="1"/>
  <c r="J2110" i="1" a="1"/>
  <c r="J2110" i="1" s="1"/>
  <c r="J1794" i="1" a="1"/>
  <c r="J1794" i="1" s="1"/>
  <c r="J1782" i="1" a="1"/>
  <c r="J1782" i="1" s="1"/>
  <c r="J1776" i="1" a="1"/>
  <c r="J1776" i="1" s="1"/>
  <c r="J1770" i="1" a="1"/>
  <c r="J1770" i="1" s="1"/>
  <c r="J1758" i="1" a="1"/>
  <c r="J1758" i="1" s="1"/>
  <c r="J1752" i="1" a="1"/>
  <c r="J1752" i="1" s="1"/>
  <c r="J1746" i="1" a="1"/>
  <c r="J1746" i="1" s="1"/>
  <c r="J1734" i="1" a="1"/>
  <c r="J1734" i="1" s="1"/>
  <c r="J1722" i="1" a="1"/>
  <c r="J1722" i="1" s="1"/>
  <c r="J1716" i="1" a="1"/>
  <c r="J1716" i="1" s="1"/>
  <c r="J1358" i="1" a="1"/>
  <c r="J1358" i="1" s="1"/>
  <c r="J1346" i="1" a="1"/>
  <c r="J1346" i="1" s="1"/>
  <c r="J1340" i="1" a="1"/>
  <c r="J1340" i="1" s="1"/>
  <c r="J1334" i="1" a="1"/>
  <c r="J1334" i="1" s="1"/>
  <c r="J1322" i="1" a="1"/>
  <c r="J1322" i="1" s="1"/>
  <c r="J1316" i="1" a="1"/>
  <c r="J1316" i="1" s="1"/>
  <c r="J1310" i="1" a="1"/>
  <c r="J1310" i="1" s="1"/>
  <c r="J1298" i="1" a="1"/>
  <c r="J1298" i="1" s="1"/>
  <c r="J1286" i="1" a="1"/>
  <c r="J1286" i="1" s="1"/>
  <c r="J1280" i="1" a="1"/>
  <c r="J1280" i="1" s="1"/>
  <c r="J815" i="1" a="1"/>
  <c r="J815" i="1" s="1"/>
  <c r="J793" i="1" a="1"/>
  <c r="J793" i="1" s="1"/>
  <c r="J782" i="1" a="1"/>
  <c r="J782" i="1" s="1"/>
  <c r="J771" i="1" a="1"/>
  <c r="J771" i="1" s="1"/>
  <c r="J749" i="1" a="1"/>
  <c r="J749" i="1" s="1"/>
  <c r="J738" i="1" a="1"/>
  <c r="J738" i="1" s="1"/>
  <c r="J727" i="1" a="1"/>
  <c r="J727" i="1" s="1"/>
  <c r="J705" i="1" a="1"/>
  <c r="J705" i="1" s="1"/>
  <c r="J683" i="1" a="1"/>
  <c r="J683" i="1" s="1"/>
  <c r="J672" i="1" a="1"/>
  <c r="J672" i="1" s="1"/>
  <c r="J304" i="1" a="1"/>
  <c r="J304" i="1" s="1"/>
  <c r="J303" i="1" a="1"/>
  <c r="J303" i="1" s="1"/>
  <c r="J301" i="1" a="1"/>
  <c r="J301" i="1" s="1"/>
  <c r="J300" i="1" a="1"/>
  <c r="J300" i="1" s="1"/>
  <c r="J299" i="1" a="1"/>
  <c r="J299" i="1" s="1"/>
  <c r="J297" i="1" a="1"/>
  <c r="J297" i="1" s="1"/>
  <c r="J296" i="1" a="1"/>
  <c r="J296" i="1" s="1"/>
  <c r="J295" i="1" a="1"/>
  <c r="J295" i="1" s="1"/>
  <c r="J293" i="1" a="1"/>
  <c r="J293" i="1" s="1"/>
  <c r="J291" i="1" a="1"/>
  <c r="J291" i="1" s="1"/>
  <c r="J290" i="1" a="1"/>
  <c r="J290" i="1" s="1"/>
  <c r="J165" i="1" a="1"/>
  <c r="J165" i="1" s="1"/>
  <c r="J162" i="1" a="1"/>
  <c r="J162" i="1" s="1"/>
  <c r="J154" i="1" a="1"/>
  <c r="J154" i="1" s="1"/>
  <c r="J151" i="1" a="1"/>
  <c r="J151" i="1" s="1"/>
  <c r="J148" i="1" a="1"/>
  <c r="J148" i="1" s="1"/>
  <c r="J144" i="1" a="1"/>
  <c r="J144" i="1" s="1"/>
  <c r="J139" i="1" a="1"/>
  <c r="J139" i="1" s="1"/>
  <c r="J136" i="1" a="1"/>
  <c r="J136" i="1" s="1"/>
  <c r="J130" i="1" a="1"/>
  <c r="J130" i="1" s="1"/>
  <c r="J124" i="1" a="1"/>
  <c r="J124" i="1" s="1"/>
  <c r="J121" i="1" a="1"/>
  <c r="J121" i="1" s="1"/>
  <c r="K2486" i="1" a="1"/>
  <c r="K2486" i="1" s="1"/>
  <c r="K2480" i="1" a="1"/>
  <c r="K2480" i="1" s="1"/>
  <c r="K2477" i="1" a="1"/>
  <c r="K2477" i="1" s="1"/>
  <c r="K2474" i="1" a="1"/>
  <c r="K2474" i="1" s="1"/>
  <c r="K2471" i="1" a="1"/>
  <c r="K2471" i="1" s="1"/>
  <c r="K2468" i="1" a="1"/>
  <c r="K2468" i="1" s="1"/>
  <c r="K2465" i="1" a="1"/>
  <c r="K2465" i="1" s="1"/>
  <c r="K2462" i="1" a="1"/>
  <c r="K2462" i="1" s="1"/>
  <c r="K2456" i="1" a="1"/>
  <c r="K2456" i="1" s="1"/>
  <c r="K2453" i="1" a="1"/>
  <c r="K2453" i="1" s="1"/>
  <c r="K2450" i="1" a="1"/>
  <c r="K2450" i="1" s="1"/>
  <c r="K2447" i="1" a="1"/>
  <c r="K2447" i="1" s="1"/>
  <c r="K2175" i="1" a="1"/>
  <c r="K2175" i="1" s="1"/>
  <c r="K2165" i="1" a="1"/>
  <c r="K2165" i="1" s="1"/>
  <c r="K2160" i="1" a="1"/>
  <c r="K2160" i="1" s="1"/>
  <c r="K2155" i="1" a="1"/>
  <c r="K2155" i="1" s="1"/>
  <c r="K2150" i="1" a="1"/>
  <c r="K2150" i="1" s="1"/>
  <c r="K2145" i="1" a="1"/>
  <c r="K2145" i="1" s="1"/>
  <c r="K2140" i="1" a="1"/>
  <c r="K2140" i="1" s="1"/>
  <c r="K2135" i="1" a="1"/>
  <c r="K2135" i="1" s="1"/>
  <c r="K2130" i="1" a="1"/>
  <c r="K2130" i="1" s="1"/>
  <c r="K2125" i="1" a="1"/>
  <c r="K2125" i="1" s="1"/>
  <c r="K2120" i="1" a="1"/>
  <c r="K2120" i="1" s="1"/>
  <c r="K2115" i="1" a="1"/>
  <c r="K2115" i="1" s="1"/>
  <c r="K2110" i="1" a="1"/>
  <c r="K2110" i="1" s="1"/>
  <c r="K2105" i="1" a="1"/>
  <c r="K2105" i="1" s="1"/>
  <c r="K1794" i="1" a="1"/>
  <c r="K1794" i="1" s="1"/>
  <c r="K1782" i="1" a="1"/>
  <c r="K1782" i="1" s="1"/>
  <c r="K1776" i="1" a="1"/>
  <c r="K1776" i="1" s="1"/>
  <c r="K1770" i="1" a="1"/>
  <c r="K1770" i="1" s="1"/>
  <c r="K1764" i="1" a="1"/>
  <c r="K1764" i="1" s="1"/>
  <c r="K1758" i="1" a="1"/>
  <c r="K1758" i="1" s="1"/>
  <c r="K1752" i="1" a="1"/>
  <c r="K1752" i="1" s="1"/>
  <c r="K1746" i="1" a="1"/>
  <c r="K1746" i="1" s="1"/>
  <c r="K1740" i="1" a="1"/>
  <c r="K1740" i="1" s="1"/>
  <c r="K1734" i="1" a="1"/>
  <c r="K1734" i="1" s="1"/>
  <c r="K1728" i="1" a="1"/>
  <c r="K1728" i="1" s="1"/>
  <c r="K1722" i="1" a="1"/>
  <c r="K1722" i="1" s="1"/>
  <c r="K1716" i="1" a="1"/>
  <c r="K1716" i="1" s="1"/>
  <c r="K1710" i="1" a="1"/>
  <c r="K1710" i="1" s="1"/>
  <c r="K1358" i="1" a="1"/>
  <c r="K1358" i="1" s="1"/>
  <c r="K1346" i="1" a="1"/>
  <c r="K1346" i="1" s="1"/>
  <c r="K1340" i="1" a="1"/>
  <c r="K1340" i="1" s="1"/>
  <c r="K1334" i="1" a="1"/>
  <c r="K1334" i="1" s="1"/>
  <c r="K1328" i="1" a="1"/>
  <c r="K1328" i="1" s="1"/>
  <c r="K1322" i="1" a="1"/>
  <c r="K1322" i="1" s="1"/>
  <c r="K1316" i="1" a="1"/>
  <c r="K1316" i="1" s="1"/>
  <c r="K1310" i="1" a="1"/>
  <c r="K1310" i="1" s="1"/>
  <c r="K1304" i="1" a="1"/>
  <c r="K1304" i="1" s="1"/>
  <c r="K1298" i="1" a="1"/>
  <c r="K1298" i="1" s="1"/>
  <c r="K1292" i="1" a="1"/>
  <c r="K1292" i="1" s="1"/>
  <c r="K1286" i="1" a="1"/>
  <c r="K1286" i="1" s="1"/>
  <c r="K1280" i="1" a="1"/>
  <c r="K1280" i="1" s="1"/>
  <c r="K1274" i="1" a="1"/>
  <c r="K1274" i="1" s="1"/>
  <c r="K815" i="1" a="1"/>
  <c r="K815" i="1" s="1"/>
  <c r="K793" i="1" a="1"/>
  <c r="K793" i="1" s="1"/>
  <c r="K782" i="1" a="1"/>
  <c r="K782" i="1" s="1"/>
  <c r="K771" i="1" a="1"/>
  <c r="K771" i="1" s="1"/>
  <c r="K749" i="1" a="1"/>
  <c r="K749" i="1" s="1"/>
  <c r="K738" i="1" a="1"/>
  <c r="K738" i="1" s="1"/>
  <c r="K727" i="1" a="1"/>
  <c r="K727" i="1" s="1"/>
  <c r="K716" i="1" a="1"/>
  <c r="K716" i="1" s="1"/>
  <c r="K705" i="1" a="1"/>
  <c r="K705" i="1" s="1"/>
  <c r="K694" i="1" a="1"/>
  <c r="K694" i="1" s="1"/>
  <c r="K683" i="1" a="1"/>
  <c r="K683" i="1" s="1"/>
  <c r="K672" i="1" a="1"/>
  <c r="K672" i="1" s="1"/>
  <c r="K661" i="1" a="1"/>
  <c r="K661" i="1" s="1"/>
  <c r="K304" i="1" a="1"/>
  <c r="K304" i="1" s="1"/>
  <c r="K303" i="1" a="1"/>
  <c r="K303" i="1" s="1"/>
  <c r="K301" i="1" a="1"/>
  <c r="K301" i="1" s="1"/>
  <c r="K300" i="1" a="1"/>
  <c r="K300" i="1" s="1"/>
  <c r="K299" i="1" a="1"/>
  <c r="K299" i="1" s="1"/>
  <c r="K298" i="1" a="1"/>
  <c r="K298" i="1" s="1"/>
  <c r="K297" i="1" a="1"/>
  <c r="K297" i="1" s="1"/>
  <c r="K296" i="1" a="1"/>
  <c r="K296" i="1" s="1"/>
  <c r="K295" i="1" a="1"/>
  <c r="K295" i="1" s="1"/>
  <c r="K294" i="1" a="1"/>
  <c r="K294" i="1" s="1"/>
  <c r="K293" i="1" a="1"/>
  <c r="K293" i="1" s="1"/>
  <c r="K292" i="1" a="1"/>
  <c r="K292" i="1" s="1"/>
  <c r="K291" i="1" a="1"/>
  <c r="K291" i="1" s="1"/>
  <c r="K290" i="1" a="1"/>
  <c r="K290" i="1" s="1"/>
  <c r="K289" i="1" a="1"/>
  <c r="K289" i="1" s="1"/>
  <c r="K165" i="1" a="1"/>
  <c r="K165" i="1" s="1"/>
  <c r="K162" i="1" a="1"/>
  <c r="K162" i="1" s="1"/>
  <c r="K154" i="1" a="1"/>
  <c r="K154" i="1" s="1"/>
  <c r="K151" i="1" a="1"/>
  <c r="K151" i="1" s="1"/>
  <c r="K148" i="1" a="1"/>
  <c r="K148" i="1" s="1"/>
  <c r="K145" i="1" a="1"/>
  <c r="K145" i="1" s="1"/>
  <c r="K144" i="1" a="1"/>
  <c r="K144" i="1" s="1"/>
  <c r="K139" i="1" a="1"/>
  <c r="K139" i="1" s="1"/>
  <c r="K136" i="1" a="1"/>
  <c r="K136" i="1" s="1"/>
  <c r="K133" i="1" a="1"/>
  <c r="K133" i="1" s="1"/>
  <c r="K130" i="1" a="1"/>
  <c r="K130" i="1" s="1"/>
  <c r="K127" i="1" a="1"/>
  <c r="K127" i="1" s="1"/>
  <c r="K124" i="1" a="1"/>
  <c r="K124" i="1" s="1"/>
  <c r="K121" i="1" a="1"/>
  <c r="K121" i="1" s="1"/>
  <c r="K118" i="1" a="1"/>
  <c r="K118" i="1" s="1"/>
  <c r="J2531" i="1" a="1"/>
  <c r="J2531" i="1" s="1"/>
  <c r="J2528" i="1" a="1"/>
  <c r="J2528" i="1" s="1"/>
  <c r="J2525" i="1" a="1"/>
  <c r="J2525" i="1" s="1"/>
  <c r="J2522" i="1" a="1"/>
  <c r="J2522" i="1" s="1"/>
  <c r="J2519" i="1" a="1"/>
  <c r="J2519" i="1" s="1"/>
  <c r="J2516" i="1" a="1"/>
  <c r="J2516" i="1" s="1"/>
  <c r="J2513" i="1" a="1"/>
  <c r="J2513" i="1" s="1"/>
  <c r="J2510" i="1" a="1"/>
  <c r="J2510" i="1" s="1"/>
  <c r="J2507" i="1" a="1"/>
  <c r="J2507" i="1" s="1"/>
  <c r="J2504" i="1" a="1"/>
  <c r="J2504" i="1" s="1"/>
  <c r="J2498" i="1" a="1"/>
  <c r="J2498" i="1" s="1"/>
  <c r="J2495" i="1" a="1"/>
  <c r="J2495" i="1" s="1"/>
  <c r="J2250" i="1" a="1"/>
  <c r="J2250" i="1" s="1"/>
  <c r="J2245" i="1" a="1"/>
  <c r="J2245" i="1" s="1"/>
  <c r="J2240" i="1" a="1"/>
  <c r="J2240" i="1" s="1"/>
  <c r="J2235" i="1" a="1"/>
  <c r="J2235" i="1" s="1"/>
  <c r="J2230" i="1" a="1"/>
  <c r="J2230" i="1" s="1"/>
  <c r="J2225" i="1" a="1"/>
  <c r="J2225" i="1" s="1"/>
  <c r="J2220" i="1" a="1"/>
  <c r="J2220" i="1" s="1"/>
  <c r="J2215" i="1" a="1"/>
  <c r="J2215" i="1" s="1"/>
  <c r="J2210" i="1" a="1"/>
  <c r="J2210" i="1" s="1"/>
  <c r="J2205" i="1" a="1"/>
  <c r="J2205" i="1" s="1"/>
  <c r="J2195" i="1" a="1"/>
  <c r="J2195" i="1" s="1"/>
  <c r="J2190" i="1" a="1"/>
  <c r="J2190" i="1" s="1"/>
  <c r="J1884" i="1" a="1"/>
  <c r="J1884" i="1" s="1"/>
  <c r="J1878" i="1" a="1"/>
  <c r="J1878" i="1" s="1"/>
  <c r="J1872" i="1" a="1"/>
  <c r="J1872" i="1" s="1"/>
  <c r="J1866" i="1" a="1"/>
  <c r="J1866" i="1" s="1"/>
  <c r="J1860" i="1" a="1"/>
  <c r="J1860" i="1" s="1"/>
  <c r="J1854" i="1" a="1"/>
  <c r="J1854" i="1" s="1"/>
  <c r="J1848" i="1" a="1"/>
  <c r="J1848" i="1" s="1"/>
  <c r="J1842" i="1" a="1"/>
  <c r="J1842" i="1" s="1"/>
  <c r="J1836" i="1" a="1"/>
  <c r="J1836" i="1" s="1"/>
  <c r="J1830" i="1" a="1"/>
  <c r="J1830" i="1" s="1"/>
  <c r="J1818" i="1" a="1"/>
  <c r="J1818" i="1" s="1"/>
  <c r="J1812" i="1" a="1"/>
  <c r="J1812" i="1" s="1"/>
  <c r="J1448" i="1" a="1"/>
  <c r="J1448" i="1" s="1"/>
  <c r="J1442" i="1" a="1"/>
  <c r="J1442" i="1" s="1"/>
  <c r="J1436" i="1" a="1"/>
  <c r="J1436" i="1" s="1"/>
  <c r="J1430" i="1" a="1"/>
  <c r="J1430" i="1" s="1"/>
  <c r="J1424" i="1" a="1"/>
  <c r="J1424" i="1" s="1"/>
  <c r="J1418" i="1" a="1"/>
  <c r="J1418" i="1" s="1"/>
  <c r="J1412" i="1" a="1"/>
  <c r="J1412" i="1" s="1"/>
  <c r="J1406" i="1" a="1"/>
  <c r="J1406" i="1" s="1"/>
  <c r="J1400" i="1" a="1"/>
  <c r="J1400" i="1" s="1"/>
  <c r="J1394" i="1" a="1"/>
  <c r="J1394" i="1" s="1"/>
  <c r="J1382" i="1" a="1"/>
  <c r="J1382" i="1" s="1"/>
  <c r="J1376" i="1" a="1"/>
  <c r="J1376" i="1" s="1"/>
  <c r="J980" i="1" a="1"/>
  <c r="J980" i="1" s="1"/>
  <c r="J969" i="1" a="1"/>
  <c r="J969" i="1" s="1"/>
  <c r="J958" i="1" a="1"/>
  <c r="J958" i="1" s="1"/>
  <c r="J947" i="1" a="1"/>
  <c r="J947" i="1" s="1"/>
  <c r="J936" i="1" a="1"/>
  <c r="J936" i="1" s="1"/>
  <c r="J925" i="1" a="1"/>
  <c r="J925" i="1" s="1"/>
  <c r="J914" i="1" a="1"/>
  <c r="J914" i="1" s="1"/>
  <c r="J903" i="1" a="1"/>
  <c r="J903" i="1" s="1"/>
  <c r="J892" i="1" a="1"/>
  <c r="J892" i="1" s="1"/>
  <c r="J881" i="1" a="1"/>
  <c r="J881" i="1" s="1"/>
  <c r="J859" i="1" a="1"/>
  <c r="J859" i="1" s="1"/>
  <c r="J848" i="1" a="1"/>
  <c r="J848" i="1" s="1"/>
  <c r="J319" i="1" a="1"/>
  <c r="J319" i="1" s="1"/>
  <c r="J318" i="1" a="1"/>
  <c r="J318" i="1" s="1"/>
  <c r="J317" i="1" a="1"/>
  <c r="J317" i="1" s="1"/>
  <c r="J316" i="1" a="1"/>
  <c r="J316" i="1" s="1"/>
  <c r="J315" i="1" a="1"/>
  <c r="J315" i="1" s="1"/>
  <c r="J314" i="1" a="1"/>
  <c r="J314" i="1" s="1"/>
  <c r="J313" i="1" a="1"/>
  <c r="J313" i="1" s="1"/>
  <c r="J312" i="1" a="1"/>
  <c r="J312" i="1" s="1"/>
  <c r="J311" i="1" a="1"/>
  <c r="J311" i="1" s="1"/>
  <c r="J310" i="1" a="1"/>
  <c r="J310" i="1" s="1"/>
  <c r="J309" i="1" a="1"/>
  <c r="J309" i="1" s="1"/>
  <c r="J307" i="1" a="1"/>
  <c r="J307" i="1" s="1"/>
  <c r="J306" i="1" a="1"/>
  <c r="J306" i="1" s="1"/>
  <c r="J169" i="1" a="1"/>
  <c r="J169" i="1" s="1"/>
  <c r="J172" i="1" a="1"/>
  <c r="J172" i="1" s="1"/>
  <c r="J178" i="1" a="1"/>
  <c r="J178" i="1" s="1"/>
  <c r="J181" i="1" a="1"/>
  <c r="J181" i="1" s="1"/>
  <c r="J184" i="1" a="1"/>
  <c r="J184" i="1" s="1"/>
  <c r="J187" i="1" a="1"/>
  <c r="J187" i="1" s="1"/>
  <c r="J190" i="1" a="1"/>
  <c r="J190" i="1" s="1"/>
  <c r="J193" i="1" a="1"/>
  <c r="J193" i="1" s="1"/>
  <c r="J196" i="1" a="1"/>
  <c r="J196" i="1" s="1"/>
  <c r="J199" i="1" a="1"/>
  <c r="J199" i="1" s="1"/>
  <c r="J202" i="1" a="1"/>
  <c r="J202" i="1" s="1"/>
  <c r="J207" i="1" a="1"/>
  <c r="J207" i="1" s="1"/>
  <c r="J210" i="1" a="1"/>
  <c r="J210" i="1" s="1"/>
  <c r="K2531" i="1" a="1"/>
  <c r="K2531" i="1" s="1"/>
  <c r="K2528" i="1" a="1"/>
  <c r="K2528" i="1" s="1"/>
  <c r="K2525" i="1" a="1"/>
  <c r="K2525" i="1" s="1"/>
  <c r="K2522" i="1" a="1"/>
  <c r="K2522" i="1" s="1"/>
  <c r="K2519" i="1" a="1"/>
  <c r="K2519" i="1" s="1"/>
  <c r="K2516" i="1" a="1"/>
  <c r="K2516" i="1" s="1"/>
  <c r="K2513" i="1" a="1"/>
  <c r="K2513" i="1" s="1"/>
  <c r="K2510" i="1" a="1"/>
  <c r="K2510" i="1" s="1"/>
  <c r="K2507" i="1" a="1"/>
  <c r="K2507" i="1" s="1"/>
  <c r="K2504" i="1" a="1"/>
  <c r="K2504" i="1" s="1"/>
  <c r="K2498" i="1" a="1"/>
  <c r="K2498" i="1" s="1"/>
  <c r="K2495" i="1" a="1"/>
  <c r="K2495" i="1" s="1"/>
  <c r="K2250" i="1" a="1"/>
  <c r="K2250" i="1" s="1"/>
  <c r="K2245" i="1" a="1"/>
  <c r="K2245" i="1" s="1"/>
  <c r="K2240" i="1" a="1"/>
  <c r="K2240" i="1" s="1"/>
  <c r="K2235" i="1" a="1"/>
  <c r="K2235" i="1" s="1"/>
  <c r="K2230" i="1" a="1"/>
  <c r="K2230" i="1" s="1"/>
  <c r="K2225" i="1" a="1"/>
  <c r="K2225" i="1" s="1"/>
  <c r="K2220" i="1" a="1"/>
  <c r="K2220" i="1" s="1"/>
  <c r="K2215" i="1" a="1"/>
  <c r="K2215" i="1" s="1"/>
  <c r="K2210" i="1" a="1"/>
  <c r="K2210" i="1" s="1"/>
  <c r="K2205" i="1" a="1"/>
  <c r="K2205" i="1" s="1"/>
  <c r="K2195" i="1" a="1"/>
  <c r="K2195" i="1" s="1"/>
  <c r="K2190" i="1" a="1"/>
  <c r="K2190" i="1" s="1"/>
  <c r="K1884" i="1" a="1"/>
  <c r="K1884" i="1" s="1"/>
  <c r="K1878" i="1" a="1"/>
  <c r="K1878" i="1" s="1"/>
  <c r="K1872" i="1" a="1"/>
  <c r="K1872" i="1" s="1"/>
  <c r="K1866" i="1" a="1"/>
  <c r="K1866" i="1" s="1"/>
  <c r="K1860" i="1" a="1"/>
  <c r="K1860" i="1" s="1"/>
  <c r="K1854" i="1" a="1"/>
  <c r="K1854" i="1" s="1"/>
  <c r="K1848" i="1" a="1"/>
  <c r="K1848" i="1" s="1"/>
  <c r="K1842" i="1" a="1"/>
  <c r="K1842" i="1" s="1"/>
  <c r="K1836" i="1" a="1"/>
  <c r="K1836" i="1" s="1"/>
  <c r="K1830" i="1" a="1"/>
  <c r="K1830" i="1" s="1"/>
  <c r="K1818" i="1" a="1"/>
  <c r="K1818" i="1" s="1"/>
  <c r="K1812" i="1" a="1"/>
  <c r="K1812" i="1" s="1"/>
  <c r="K1448" i="1" a="1"/>
  <c r="K1448" i="1" s="1"/>
  <c r="K1442" i="1" a="1"/>
  <c r="K1442" i="1" s="1"/>
  <c r="K1436" i="1" a="1"/>
  <c r="K1436" i="1" s="1"/>
  <c r="K1430" i="1" a="1"/>
  <c r="K1430" i="1" s="1"/>
  <c r="K1424" i="1" a="1"/>
  <c r="K1424" i="1" s="1"/>
  <c r="K1418" i="1" a="1"/>
  <c r="K1418" i="1" s="1"/>
  <c r="K1412" i="1" a="1"/>
  <c r="K1412" i="1" s="1"/>
  <c r="K1406" i="1" a="1"/>
  <c r="K1406" i="1" s="1"/>
  <c r="K1400" i="1" a="1"/>
  <c r="K1400" i="1" s="1"/>
  <c r="K1394" i="1" a="1"/>
  <c r="K1394" i="1" s="1"/>
  <c r="K1382" i="1" a="1"/>
  <c r="K1382" i="1" s="1"/>
  <c r="K1376" i="1" a="1"/>
  <c r="K1376" i="1" s="1"/>
  <c r="K980" i="1" a="1"/>
  <c r="K980" i="1" s="1"/>
  <c r="K969" i="1" a="1"/>
  <c r="K969" i="1" s="1"/>
  <c r="K958" i="1" a="1"/>
  <c r="K958" i="1" s="1"/>
  <c r="K947" i="1" a="1"/>
  <c r="K947" i="1" s="1"/>
  <c r="K936" i="1" a="1"/>
  <c r="K936" i="1" s="1"/>
  <c r="K925" i="1" a="1"/>
  <c r="K925" i="1" s="1"/>
  <c r="K914" i="1" a="1"/>
  <c r="K914" i="1" s="1"/>
  <c r="K903" i="1" a="1"/>
  <c r="K903" i="1" s="1"/>
  <c r="K892" i="1" a="1"/>
  <c r="K892" i="1" s="1"/>
  <c r="K881" i="1" a="1"/>
  <c r="K881" i="1" s="1"/>
  <c r="K859" i="1" a="1"/>
  <c r="K859" i="1" s="1"/>
  <c r="K848" i="1" a="1"/>
  <c r="K848" i="1" s="1"/>
  <c r="K319" i="1" a="1"/>
  <c r="K319" i="1" s="1"/>
  <c r="K318" i="1" a="1"/>
  <c r="K318" i="1" s="1"/>
  <c r="K317" i="1" a="1"/>
  <c r="K317" i="1" s="1"/>
  <c r="K316" i="1" a="1"/>
  <c r="K316" i="1" s="1"/>
  <c r="K315" i="1" a="1"/>
  <c r="K315" i="1" s="1"/>
  <c r="K314" i="1" a="1"/>
  <c r="K314" i="1" s="1"/>
  <c r="K313" i="1" a="1"/>
  <c r="K313" i="1" s="1"/>
  <c r="K312" i="1" a="1"/>
  <c r="K312" i="1" s="1"/>
  <c r="K311" i="1" a="1"/>
  <c r="K311" i="1" s="1"/>
  <c r="K310" i="1" a="1"/>
  <c r="K310" i="1" s="1"/>
  <c r="K309" i="1" a="1"/>
  <c r="K309" i="1" s="1"/>
  <c r="K307" i="1" a="1"/>
  <c r="K307" i="1" s="1"/>
  <c r="K306" i="1" a="1"/>
  <c r="K306" i="1" s="1"/>
  <c r="K210" i="1" a="1"/>
  <c r="K210" i="1" s="1"/>
  <c r="K207" i="1" a="1"/>
  <c r="K207" i="1" s="1"/>
  <c r="K202" i="1" a="1"/>
  <c r="K202" i="1" s="1"/>
  <c r="K199" i="1" a="1"/>
  <c r="K199" i="1" s="1"/>
  <c r="K196" i="1" a="1"/>
  <c r="K196" i="1" s="1"/>
  <c r="K193" i="1" a="1"/>
  <c r="K193" i="1" s="1"/>
  <c r="K190" i="1" a="1"/>
  <c r="K190" i="1" s="1"/>
  <c r="K187" i="1" a="1"/>
  <c r="K187" i="1" s="1"/>
  <c r="K184" i="1" a="1"/>
  <c r="K184" i="1" s="1"/>
  <c r="K181" i="1" a="1"/>
  <c r="K181" i="1" s="1"/>
  <c r="K178" i="1" a="1"/>
  <c r="K178" i="1" s="1"/>
  <c r="K172" i="1" a="1"/>
  <c r="K172" i="1" s="1"/>
  <c r="K169" i="1" a="1"/>
  <c r="K169" i="1" s="1"/>
  <c r="K4" i="1" a="1"/>
  <c r="K4" i="1" s="1"/>
  <c r="J2333" i="1" a="1"/>
  <c r="J2333" i="1" s="1"/>
  <c r="J2330" i="1" a="1"/>
  <c r="J2330" i="1" s="1"/>
  <c r="J2324" i="1" a="1"/>
  <c r="J2324" i="1" s="1"/>
  <c r="J2318" i="1" a="1"/>
  <c r="J2318" i="1" s="1"/>
  <c r="J2312" i="1" a="1"/>
  <c r="J2312" i="1" s="1"/>
  <c r="J2306" i="1" a="1"/>
  <c r="J2306" i="1" s="1"/>
  <c r="J2303" i="1" a="1"/>
  <c r="J2303" i="1" s="1"/>
  <c r="J2300" i="1" a="1"/>
  <c r="J2300" i="1" s="1"/>
  <c r="J2294" i="1" a="1"/>
  <c r="J2294" i="1" s="1"/>
  <c r="J2003" i="1" a="1"/>
  <c r="J2003" i="1" s="1"/>
  <c r="J1998" i="1" a="1"/>
  <c r="J1998" i="1" s="1"/>
  <c r="J1988" i="1" a="1"/>
  <c r="J1988" i="1" s="1"/>
  <c r="J1978" i="1" a="1"/>
  <c r="J1978" i="1" s="1"/>
  <c r="J1968" i="1" a="1"/>
  <c r="J1968" i="1" s="1"/>
  <c r="J1958" i="1" a="1"/>
  <c r="J1958" i="1" s="1"/>
  <c r="J1953" i="1" a="1"/>
  <c r="J1953" i="1" s="1"/>
  <c r="J1948" i="1" a="1"/>
  <c r="J1948" i="1" s="1"/>
  <c r="J1938" i="1" a="1"/>
  <c r="J1938" i="1" s="1"/>
  <c r="J1581" i="1" a="1"/>
  <c r="J1581" i="1" s="1"/>
  <c r="J1575" i="1" a="1"/>
  <c r="J1575" i="1" s="1"/>
  <c r="J1563" i="1" a="1"/>
  <c r="J1563" i="1" s="1"/>
  <c r="J1551" i="1" a="1"/>
  <c r="J1551" i="1" s="1"/>
  <c r="J1539" i="1" a="1"/>
  <c r="J1539" i="1" s="1"/>
  <c r="J1527" i="1" a="1"/>
  <c r="J1527" i="1" s="1"/>
  <c r="J1521" i="1" a="1"/>
  <c r="J1521" i="1" s="1"/>
  <c r="J1515" i="1" a="1"/>
  <c r="J1515" i="1" s="1"/>
  <c r="J1503" i="1" a="1"/>
  <c r="J1503" i="1" s="1"/>
  <c r="J1153" i="1" a="1"/>
  <c r="J1153" i="1" s="1"/>
  <c r="J1147" i="1" a="1"/>
  <c r="J1147" i="1" s="1"/>
  <c r="J1135" i="1" a="1"/>
  <c r="J1135" i="1" s="1"/>
  <c r="J1123" i="1" a="1"/>
  <c r="J1123" i="1" s="1"/>
  <c r="J1111" i="1" a="1"/>
  <c r="J1111" i="1" s="1"/>
  <c r="J1099" i="1" a="1"/>
  <c r="J1099" i="1" s="1"/>
  <c r="J1093" i="1" a="1"/>
  <c r="J1093" i="1" s="1"/>
  <c r="J1087" i="1" a="1"/>
  <c r="J1087" i="1" s="1"/>
  <c r="J1075" i="1" a="1"/>
  <c r="J1075" i="1" s="1"/>
  <c r="J481" i="1" a="1"/>
  <c r="J481" i="1" s="1"/>
  <c r="J470" i="1" a="1"/>
  <c r="J470" i="1" s="1"/>
  <c r="J448" i="1" a="1"/>
  <c r="J448" i="1" s="1"/>
  <c r="J426" i="1" a="1"/>
  <c r="J426" i="1" s="1"/>
  <c r="J404" i="1" a="1"/>
  <c r="J404" i="1" s="1"/>
  <c r="J382" i="1" a="1"/>
  <c r="J382" i="1" s="1"/>
  <c r="J371" i="1" a="1"/>
  <c r="J371" i="1" s="1"/>
  <c r="J360" i="1" a="1"/>
  <c r="J360" i="1" s="1"/>
  <c r="J338" i="1" a="1"/>
  <c r="J338" i="1" s="1"/>
  <c r="J245" i="1" a="1"/>
  <c r="J245" i="1" s="1"/>
  <c r="J244" i="1" a="1"/>
  <c r="J244" i="1" s="1"/>
  <c r="J243" i="1" a="1"/>
  <c r="J243" i="1" s="1"/>
  <c r="J241" i="1" a="1"/>
  <c r="J241" i="1" s="1"/>
  <c r="J239" i="1" a="1"/>
  <c r="J239" i="1" s="1"/>
  <c r="J237" i="1" a="1"/>
  <c r="J237" i="1" s="1"/>
  <c r="J235" i="1" a="1"/>
  <c r="J235" i="1" s="1"/>
  <c r="J234" i="1" a="1"/>
  <c r="J234" i="1" s="1"/>
  <c r="J233" i="1" a="1"/>
  <c r="J233" i="1" s="1"/>
  <c r="J231" i="1" a="1"/>
  <c r="J231" i="1" s="1"/>
  <c r="J7" i="1" a="1"/>
  <c r="J7" i="1" s="1"/>
  <c r="J11" i="1" a="1"/>
  <c r="J11" i="1" s="1"/>
  <c r="J14" i="1" a="1"/>
  <c r="J14" i="1" s="1"/>
  <c r="J19" i="1" a="1"/>
  <c r="J19" i="1" s="1"/>
  <c r="J25" i="1" a="1"/>
  <c r="J25" i="1" s="1"/>
  <c r="J31" i="1" a="1"/>
  <c r="J31" i="1" s="1"/>
  <c r="J37" i="1" a="1"/>
  <c r="J37" i="1" s="1"/>
  <c r="J43" i="1" a="1"/>
  <c r="J43" i="1" s="1"/>
  <c r="J46" i="1" a="1"/>
  <c r="J46" i="1" s="1"/>
  <c r="J51" i="1" a="1"/>
  <c r="J51" i="1" s="1"/>
  <c r="K2333" i="1" a="1"/>
  <c r="K2333" i="1" s="1"/>
  <c r="K2330" i="1" a="1"/>
  <c r="K2330" i="1" s="1"/>
  <c r="K2324" i="1" a="1"/>
  <c r="K2324" i="1" s="1"/>
  <c r="K2318" i="1" a="1"/>
  <c r="K2318" i="1" s="1"/>
  <c r="K2312" i="1" a="1"/>
  <c r="K2312" i="1" s="1"/>
  <c r="K2306" i="1" a="1"/>
  <c r="K2306" i="1" s="1"/>
  <c r="K2303" i="1" a="1"/>
  <c r="K2303" i="1" s="1"/>
  <c r="K2300" i="1" a="1"/>
  <c r="K2300" i="1" s="1"/>
  <c r="K2294" i="1" a="1"/>
  <c r="K2294" i="1" s="1"/>
  <c r="K2291" i="1" a="1"/>
  <c r="K2291" i="1" s="1"/>
  <c r="K2003" i="1" a="1"/>
  <c r="K2003" i="1" s="1"/>
  <c r="K1998" i="1" a="1"/>
  <c r="K1998" i="1" s="1"/>
  <c r="K1988" i="1" a="1"/>
  <c r="K1988" i="1" s="1"/>
  <c r="K1978" i="1" a="1"/>
  <c r="K1978" i="1" s="1"/>
  <c r="K1968" i="1" a="1"/>
  <c r="K1968" i="1" s="1"/>
  <c r="K1958" i="1" a="1"/>
  <c r="K1958" i="1" s="1"/>
  <c r="K1953" i="1" a="1"/>
  <c r="K1953" i="1" s="1"/>
  <c r="K1948" i="1" a="1"/>
  <c r="K1948" i="1" s="1"/>
  <c r="K1938" i="1" a="1"/>
  <c r="K1938" i="1" s="1"/>
  <c r="K1933" i="1" a="1"/>
  <c r="K1933" i="1" s="1"/>
  <c r="K1581" i="1" a="1"/>
  <c r="K1581" i="1" s="1"/>
  <c r="K1575" i="1" a="1"/>
  <c r="K1575" i="1" s="1"/>
  <c r="K1563" i="1" a="1"/>
  <c r="K1563" i="1" s="1"/>
  <c r="K1551" i="1" a="1"/>
  <c r="K1551" i="1" s="1"/>
  <c r="K1539" i="1" a="1"/>
  <c r="K1539" i="1" s="1"/>
  <c r="K1527" i="1" a="1"/>
  <c r="K1527" i="1" s="1"/>
  <c r="K1521" i="1" a="1"/>
  <c r="K1521" i="1" s="1"/>
  <c r="K1515" i="1" a="1"/>
  <c r="K1515" i="1" s="1"/>
  <c r="K1503" i="1" a="1"/>
  <c r="K1503" i="1" s="1"/>
  <c r="K1497" i="1" a="1"/>
  <c r="K1497" i="1" s="1"/>
  <c r="K1153" i="1" a="1"/>
  <c r="K1153" i="1" s="1"/>
  <c r="K1147" i="1" a="1"/>
  <c r="K1147" i="1" s="1"/>
  <c r="K1135" i="1" a="1"/>
  <c r="K1135" i="1" s="1"/>
  <c r="K1123" i="1" a="1"/>
  <c r="K1123" i="1" s="1"/>
  <c r="K1111" i="1" a="1"/>
  <c r="K1111" i="1" s="1"/>
  <c r="K1099" i="1" a="1"/>
  <c r="K1099" i="1" s="1"/>
  <c r="K1093" i="1" a="1"/>
  <c r="K1093" i="1" s="1"/>
  <c r="K1087" i="1" a="1"/>
  <c r="K1087" i="1" s="1"/>
  <c r="K1075" i="1" a="1"/>
  <c r="K1075" i="1" s="1"/>
  <c r="K1069" i="1" a="1"/>
  <c r="K1069" i="1" s="1"/>
  <c r="K481" i="1" a="1"/>
  <c r="K481" i="1" s="1"/>
  <c r="K470" i="1" a="1"/>
  <c r="K470" i="1" s="1"/>
  <c r="K448" i="1" a="1"/>
  <c r="K448" i="1" s="1"/>
  <c r="K426" i="1" a="1"/>
  <c r="K426" i="1" s="1"/>
  <c r="K404" i="1" a="1"/>
  <c r="K404" i="1" s="1"/>
  <c r="K382" i="1" a="1"/>
  <c r="K382" i="1" s="1"/>
  <c r="K371" i="1" a="1"/>
  <c r="K371" i="1" s="1"/>
  <c r="K360" i="1" a="1"/>
  <c r="K360" i="1" s="1"/>
  <c r="K338" i="1" a="1"/>
  <c r="K338" i="1" s="1"/>
  <c r="K327" i="1" a="1"/>
  <c r="K327" i="1" s="1"/>
  <c r="K245" i="1" a="1"/>
  <c r="K245" i="1" s="1"/>
  <c r="K244" i="1" a="1"/>
  <c r="K244" i="1" s="1"/>
  <c r="K243" i="1" a="1"/>
  <c r="K243" i="1" s="1"/>
  <c r="K241" i="1" a="1"/>
  <c r="K241" i="1" s="1"/>
  <c r="K239" i="1" a="1"/>
  <c r="K239" i="1" s="1"/>
  <c r="K237" i="1" a="1"/>
  <c r="K237" i="1" s="1"/>
  <c r="K235" i="1" a="1"/>
  <c r="K235" i="1" s="1"/>
  <c r="K234" i="1" a="1"/>
  <c r="K234" i="1" s="1"/>
  <c r="K233" i="1" a="1"/>
  <c r="K233" i="1" s="1"/>
  <c r="K231" i="1" a="1"/>
  <c r="K231" i="1" s="1"/>
  <c r="K230" i="1" a="1"/>
  <c r="K230" i="1" s="1"/>
  <c r="K51" i="1" a="1"/>
  <c r="K51" i="1" s="1"/>
  <c r="K43" i="1" a="1"/>
  <c r="K43" i="1" s="1"/>
  <c r="K37" i="1" a="1"/>
  <c r="K37" i="1" s="1"/>
  <c r="K31" i="1" a="1"/>
  <c r="K31" i="1" s="1"/>
  <c r="K25" i="1" a="1"/>
  <c r="K25" i="1" s="1"/>
  <c r="K19" i="1" a="1"/>
  <c r="K19" i="1" s="1"/>
  <c r="K11" i="1" a="1"/>
  <c r="K11" i="1" s="1"/>
  <c r="K7" i="1" a="1"/>
  <c r="K7" i="1" s="1"/>
  <c r="K46" i="1" a="1"/>
  <c r="K46" i="1" s="1"/>
  <c r="K14" i="1" a="1"/>
  <c r="K14" i="1" s="1"/>
  <c r="BO2492" i="1" a="1"/>
  <c r="BO2492" i="1" s="1"/>
  <c r="BO2185" i="1" a="1"/>
  <c r="BO2185" i="1" s="1"/>
  <c r="BO1806" i="1" a="1"/>
  <c r="BO1806" i="1" s="1"/>
  <c r="BO1370" i="1" a="1"/>
  <c r="BO1370" i="1" s="1"/>
  <c r="BO837" i="1" a="1"/>
  <c r="BO837" i="1" s="1"/>
  <c r="BO305" i="1" a="1"/>
  <c r="BO305" i="1" s="1"/>
  <c r="AY2210" i="1"/>
  <c r="AX2210" i="1"/>
  <c r="AW2210" i="1"/>
  <c r="AY2205" i="1"/>
  <c r="AX2205" i="1"/>
  <c r="AW2205" i="1"/>
  <c r="AY2195" i="1"/>
  <c r="AX2195" i="1"/>
  <c r="AW2195" i="1"/>
  <c r="AY2190" i="1"/>
  <c r="AX2190" i="1"/>
  <c r="AW2190" i="1"/>
  <c r="AY1836" i="1"/>
  <c r="AX1836" i="1"/>
  <c r="AW1836" i="1"/>
  <c r="AY1830" i="1"/>
  <c r="AX1830" i="1"/>
  <c r="AW1830" i="1"/>
  <c r="AY1818" i="1"/>
  <c r="AX1818" i="1"/>
  <c r="AW1818" i="1"/>
  <c r="AY1812" i="1"/>
  <c r="AX1812" i="1"/>
  <c r="AW1812" i="1"/>
  <c r="AY1400" i="1"/>
  <c r="AX1400" i="1"/>
  <c r="AW1400" i="1"/>
  <c r="AY1394" i="1"/>
  <c r="AX1394" i="1"/>
  <c r="AW1394" i="1"/>
  <c r="AY1382" i="1"/>
  <c r="AX1382" i="1"/>
  <c r="AW1382" i="1"/>
  <c r="AY1376" i="1"/>
  <c r="AX1376" i="1"/>
  <c r="AW1376" i="1"/>
  <c r="AY892" i="1"/>
  <c r="AX892" i="1"/>
  <c r="AW892" i="1"/>
  <c r="AY881" i="1"/>
  <c r="AX881" i="1"/>
  <c r="AW881" i="1"/>
  <c r="AY859" i="1"/>
  <c r="AX859" i="1"/>
  <c r="AW859" i="1"/>
  <c r="AY848" i="1"/>
  <c r="AX848" i="1"/>
  <c r="AW848" i="1"/>
  <c r="AY310" i="1"/>
  <c r="AX310" i="1"/>
  <c r="AW310" i="1"/>
  <c r="AY309" i="1"/>
  <c r="AX309" i="1"/>
  <c r="AW309" i="1"/>
  <c r="AY307" i="1"/>
  <c r="AX307" i="1"/>
  <c r="AW307" i="1"/>
  <c r="AY306" i="1"/>
  <c r="AX306" i="1"/>
  <c r="AW306" i="1"/>
  <c r="AY181" i="1"/>
  <c r="AX181" i="1"/>
  <c r="AW181" i="1"/>
  <c r="AY178" i="1"/>
  <c r="AX178" i="1"/>
  <c r="AW178" i="1"/>
  <c r="AY172" i="1"/>
  <c r="AX172" i="1"/>
  <c r="AW172" i="1"/>
  <c r="AY169" i="1"/>
  <c r="AX169" i="1"/>
  <c r="AW169" i="1"/>
  <c r="AY190" i="1"/>
  <c r="AX190" i="1"/>
  <c r="AW190" i="1"/>
  <c r="AY187" i="1"/>
  <c r="AX187" i="1"/>
  <c r="AW187" i="1"/>
  <c r="AY2498" i="1"/>
  <c r="AX2498" i="1"/>
  <c r="AW2498" i="1"/>
  <c r="AY2495" i="1"/>
  <c r="AX2495" i="1"/>
  <c r="AW2495" i="1"/>
  <c r="AW2504" i="1"/>
  <c r="AX2507" i="1"/>
  <c r="AY2507" i="1"/>
  <c r="AW2507" i="1"/>
  <c r="AX2504" i="1"/>
  <c r="AY2504" i="1"/>
  <c r="D6" i="5"/>
  <c r="D7" i="5"/>
  <c r="D8" i="5"/>
  <c r="AT2734" i="1" a="1"/>
  <c r="AT2734" i="1" s="1"/>
  <c r="AU2734" i="1" s="1"/>
  <c r="AT2670" i="1" a="1"/>
  <c r="AT2670" i="1" s="1"/>
  <c r="AU2670" i="1" s="1"/>
  <c r="AT2634" i="1" a="1"/>
  <c r="AT2634" i="1" s="1"/>
  <c r="AU2634" i="1" s="1"/>
  <c r="AT2598" i="1" a="1"/>
  <c r="AT2598" i="1" s="1"/>
  <c r="AU2598" i="1" s="1"/>
  <c r="AT2597" i="1" a="1"/>
  <c r="AT2597" i="1" s="1"/>
  <c r="AU2597" i="1" s="1"/>
  <c r="AT2596" i="1" a="1"/>
  <c r="AT2596" i="1" s="1"/>
  <c r="AU2596" i="1" s="1"/>
  <c r="AT2595" i="1" a="1"/>
  <c r="AT2595" i="1" s="1"/>
  <c r="AU2595" i="1" s="1"/>
  <c r="AT2594" i="1" a="1"/>
  <c r="AT2594" i="1" s="1"/>
  <c r="AU2594" i="1" s="1"/>
  <c r="AT2593" i="1" a="1"/>
  <c r="AT2593" i="1" s="1"/>
  <c r="AU2593" i="1" s="1"/>
  <c r="AT2557" i="1" a="1"/>
  <c r="AT2557" i="1" s="1"/>
  <c r="AU2557" i="1" s="1"/>
  <c r="AT2556" i="1" a="1"/>
  <c r="AT2556" i="1" s="1"/>
  <c r="AU2556" i="1" s="1"/>
  <c r="AS2734" i="1" a="1"/>
  <c r="AS2734" i="1" s="1"/>
  <c r="AS2670" i="1" a="1"/>
  <c r="AS2670" i="1" s="1"/>
  <c r="AS2634" i="1" a="1"/>
  <c r="AS2634" i="1" s="1"/>
  <c r="AS2598" i="1" a="1"/>
  <c r="AS2598" i="1" s="1"/>
  <c r="AS2597" i="1" a="1"/>
  <c r="AS2597" i="1" s="1"/>
  <c r="AS2596" i="1" a="1"/>
  <c r="AS2596" i="1" s="1"/>
  <c r="AS2595" i="1" a="1"/>
  <c r="AS2595" i="1" s="1"/>
  <c r="AS2594" i="1" a="1"/>
  <c r="AS2594" i="1" s="1"/>
  <c r="AS2593" i="1" a="1"/>
  <c r="AS2593" i="1" s="1"/>
  <c r="AS2557" i="1" a="1"/>
  <c r="AS2557" i="1" s="1"/>
  <c r="AS2556" i="1" a="1"/>
  <c r="AS2556" i="1" s="1"/>
  <c r="AT211" i="1" a="1"/>
  <c r="AT211" i="1" s="1"/>
  <c r="AU211" i="1" s="1"/>
  <c r="AS211" i="1" a="1"/>
  <c r="AS211" i="1" s="1"/>
  <c r="AX2734" i="1"/>
  <c r="AY2734" i="1"/>
  <c r="AX2670" i="1"/>
  <c r="AY2670" i="1"/>
  <c r="AY2597" i="1"/>
  <c r="AX2597" i="1"/>
  <c r="AU85" i="1"/>
  <c r="AT85" i="1"/>
  <c r="AS85" i="1"/>
  <c r="AU91" i="1"/>
  <c r="AT91" i="1"/>
  <c r="AS91" i="1"/>
  <c r="AY94" i="1"/>
  <c r="AX94" i="1"/>
  <c r="C2" i="2"/>
  <c r="D42" i="2"/>
  <c r="C10" i="2"/>
  <c r="AX1292" i="1"/>
  <c r="AW1292" i="1"/>
  <c r="AY1292" i="1"/>
  <c r="X2382" i="1"/>
  <c r="Y2382" i="1"/>
  <c r="Z2382" i="1"/>
  <c r="AA2382" i="1"/>
  <c r="AB2382" i="1"/>
  <c r="AC2382" i="1"/>
  <c r="AD2382" i="1"/>
  <c r="AE2382" i="1"/>
  <c r="W2382" i="1"/>
  <c r="AZ2382" i="1" s="1"/>
  <c r="L14" i="7" l="1"/>
  <c r="J2382" i="1" a="1"/>
  <c r="J2382" i="1" s="1"/>
  <c r="BK2764" i="1"/>
  <c r="BO2403" i="1"/>
  <c r="BQ2403" i="1" s="1"/>
  <c r="BR2403" i="1" s="1"/>
  <c r="BS2403" i="1"/>
  <c r="BL2665" i="1" a="1"/>
  <c r="BL2665" i="1" s="1"/>
  <c r="BL2261" i="1" a="1"/>
  <c r="BL2261" i="1" s="1"/>
  <c r="BL2286" i="1" a="1"/>
  <c r="BL2286" i="1" s="1"/>
  <c r="BL2262" i="1" a="1"/>
  <c r="BL2262" i="1" s="1"/>
  <c r="BJ2263" i="1" a="1"/>
  <c r="BJ2263" i="1" s="1"/>
  <c r="BJ2277" i="1" a="1"/>
  <c r="BJ2277" i="1" s="1"/>
  <c r="BJ2266" i="1" a="1"/>
  <c r="BJ2266" i="1" s="1"/>
  <c r="BJ2281" i="1" a="1"/>
  <c r="BJ2281" i="1" s="1"/>
  <c r="BJ2269" i="1" a="1"/>
  <c r="BJ2269" i="1" s="1"/>
  <c r="BJ2276" i="1" a="1"/>
  <c r="BJ2276" i="1" s="1"/>
  <c r="BJ2586" i="1" a="1"/>
  <c r="BJ2586" i="1" s="1"/>
  <c r="BJ2275" i="1" a="1"/>
  <c r="BJ2275" i="1" s="1"/>
  <c r="BL2628" i="1" a="1"/>
  <c r="BL2628" i="1" s="1"/>
  <c r="BL2268" i="1" a="1"/>
  <c r="BL2268" i="1" s="1"/>
  <c r="BJ2278" i="1" a="1"/>
  <c r="BJ2278" i="1" s="1"/>
  <c r="BL2284" i="1" a="1"/>
  <c r="BL2284" i="1" s="1"/>
  <c r="BJ2279" i="1" a="1"/>
  <c r="BJ2279" i="1" s="1"/>
  <c r="BL2663" i="1" a="1"/>
  <c r="BL2663" i="1" s="1"/>
  <c r="BJ2728" i="1" a="1"/>
  <c r="BJ2728" i="1" s="1"/>
  <c r="BJ2588" i="1" a="1"/>
  <c r="BJ2588" i="1" s="1"/>
  <c r="BJ2626" i="1" a="1"/>
  <c r="BJ2626" i="1" s="1"/>
  <c r="BJ2629" i="1" a="1"/>
  <c r="BJ2629" i="1" s="1"/>
  <c r="BL2721" i="1" a="1"/>
  <c r="BL2721" i="1" s="1"/>
  <c r="BJ2627" i="1" a="1"/>
  <c r="BJ2627" i="1" s="1"/>
  <c r="BJ2274" i="1" a="1"/>
  <c r="BJ2274" i="1" s="1"/>
  <c r="BL2289" i="1" a="1"/>
  <c r="BL2289" i="1" s="1"/>
  <c r="BL2282" i="1" a="1"/>
  <c r="BL2282" i="1" s="1"/>
  <c r="BJ2264" i="1" a="1"/>
  <c r="BJ2264" i="1" s="1"/>
  <c r="BJ2273" i="1" a="1"/>
  <c r="BJ2273" i="1" s="1"/>
  <c r="BJ2267" i="1" a="1"/>
  <c r="BJ2267" i="1" s="1"/>
  <c r="BJ2664" i="1" a="1"/>
  <c r="BJ2664" i="1" s="1"/>
  <c r="BJ2271" i="1" a="1"/>
  <c r="BJ2271" i="1" s="1"/>
  <c r="BJ2272" i="1" a="1"/>
  <c r="BJ2272" i="1" s="1"/>
  <c r="BJ2585" i="1" a="1"/>
  <c r="BJ2585" i="1" s="1"/>
  <c r="BJ2662" i="1" a="1"/>
  <c r="BJ2662" i="1" s="1"/>
  <c r="BJ2283" i="1" a="1"/>
  <c r="BJ2283" i="1" s="1"/>
  <c r="BL2587" i="1" a="1"/>
  <c r="BL2587" i="1" s="1"/>
  <c r="BJ2288" i="1" a="1"/>
  <c r="BJ2288" i="1" s="1"/>
  <c r="BJ2722" i="1" a="1"/>
  <c r="BJ2722" i="1" s="1"/>
  <c r="BJ2720" i="1" a="1"/>
  <c r="BJ2720" i="1" s="1"/>
  <c r="BL2720" i="1" a="1"/>
  <c r="BL2720" i="1" s="1"/>
  <c r="BL2287" i="1" a="1"/>
  <c r="BL2287" i="1" s="1"/>
  <c r="BJ2287" i="1" a="1"/>
  <c r="BJ2287" i="1" s="1"/>
  <c r="BS2275" i="1"/>
  <c r="BO2275" i="1"/>
  <c r="BQ2275" i="1" s="1"/>
  <c r="BR2275" i="1" s="1"/>
  <c r="BJ2726" i="1" a="1"/>
  <c r="BJ2726" i="1" s="1"/>
  <c r="BL2726" i="1" a="1"/>
  <c r="BL2726" i="1" s="1"/>
  <c r="BK2757" i="1"/>
  <c r="BK2756" i="1"/>
  <c r="BJ1930" i="1" a="1"/>
  <c r="BJ1930" i="1" s="1"/>
  <c r="BJ1903" i="1" a="1"/>
  <c r="BJ1903" i="1" s="1"/>
  <c r="BL1922" i="1" a="1"/>
  <c r="BL1922" i="1" s="1"/>
  <c r="BJ1897" i="1" a="1"/>
  <c r="BJ1897" i="1" s="1"/>
  <c r="BJ1916" i="1" a="1"/>
  <c r="BJ1916" i="1" s="1"/>
  <c r="BJ1898" i="1" a="1"/>
  <c r="BJ1898" i="1" s="1"/>
  <c r="BJ2659" i="1" a="1"/>
  <c r="BJ2659" i="1" s="1"/>
  <c r="BJ1910" i="1" a="1"/>
  <c r="BJ1910" i="1" s="1"/>
  <c r="BJ2715" i="1" a="1"/>
  <c r="BJ2715" i="1" s="1"/>
  <c r="BJ2657" i="1" a="1"/>
  <c r="BJ2657" i="1" s="1"/>
  <c r="BJ1906" i="1" a="1"/>
  <c r="BJ1906" i="1" s="1"/>
  <c r="BJ1915" i="1" a="1"/>
  <c r="BJ1915" i="1" s="1"/>
  <c r="BJ2658" i="1" a="1"/>
  <c r="BJ2658" i="1" s="1"/>
  <c r="BJ1912" i="1" a="1"/>
  <c r="BJ1912" i="1" s="1"/>
  <c r="BL2581" i="1" a="1"/>
  <c r="BL2581" i="1" s="1"/>
  <c r="BJ1901" i="1" a="1"/>
  <c r="BJ1901" i="1" s="1"/>
  <c r="BL1907" i="1" a="1"/>
  <c r="BL1907" i="1" s="1"/>
  <c r="BJ1900" i="1" a="1"/>
  <c r="BJ1900" i="1" s="1"/>
  <c r="BJ1911" i="1" a="1"/>
  <c r="BJ1911" i="1" s="1"/>
  <c r="BJ1909" i="1" a="1"/>
  <c r="BJ1909" i="1" s="1"/>
  <c r="BJ2656" i="1" a="1"/>
  <c r="BJ2656" i="1" s="1"/>
  <c r="BJ1931" i="1" a="1"/>
  <c r="BJ1931" i="1" s="1"/>
  <c r="BJ2660" i="1" a="1"/>
  <c r="BJ2660" i="1" s="1"/>
  <c r="BJ2622" i="1" a="1"/>
  <c r="BJ2622" i="1" s="1"/>
  <c r="BJ1899" i="1" a="1"/>
  <c r="BJ1899" i="1" s="1"/>
  <c r="BJ1924" i="1" a="1"/>
  <c r="BJ1924" i="1" s="1"/>
  <c r="BL1917" i="1" a="1"/>
  <c r="BL1917" i="1" s="1"/>
  <c r="BJ1919" i="1" a="1"/>
  <c r="BJ1919" i="1" s="1"/>
  <c r="BL1921" i="1" a="1"/>
  <c r="BL1921" i="1" s="1"/>
  <c r="BL2620" i="1" a="1"/>
  <c r="BL2620" i="1" s="1"/>
  <c r="BJ2623" i="1" a="1"/>
  <c r="BJ2623" i="1" s="1"/>
  <c r="BJ1904" i="1" a="1"/>
  <c r="BJ1904" i="1" s="1"/>
  <c r="BJ1905" i="1" a="1"/>
  <c r="BJ1905" i="1" s="1"/>
  <c r="BJ1913" i="1" a="1"/>
  <c r="BJ1913" i="1" s="1"/>
  <c r="BJ2582" i="1" a="1"/>
  <c r="BJ2582" i="1" s="1"/>
  <c r="BL2621" i="1" a="1"/>
  <c r="BL2621" i="1" s="1"/>
  <c r="BL1925" i="1" a="1"/>
  <c r="BL1925" i="1" s="1"/>
  <c r="BL1927" i="1" a="1"/>
  <c r="BL1927" i="1" s="1"/>
  <c r="BJ2716" i="1" a="1"/>
  <c r="BJ2716" i="1" s="1"/>
  <c r="BL1923" i="1" a="1"/>
  <c r="BL1923" i="1" s="1"/>
  <c r="BL2579" i="1" a="1"/>
  <c r="BL2579" i="1" s="1"/>
  <c r="BJ2580" i="1" a="1"/>
  <c r="BJ2580" i="1" s="1"/>
  <c r="BM2370" i="1" a="1"/>
  <c r="BM2370" i="1" s="1"/>
  <c r="BJ2370" i="1" s="1" a="1"/>
  <c r="BJ2370" i="1" s="1"/>
  <c r="BL1918" i="1" a="1"/>
  <c r="BL1918" i="1" s="1"/>
  <c r="BL2583" i="1" a="1"/>
  <c r="BL2583" i="1" s="1"/>
  <c r="BJ2624" i="1" a="1"/>
  <c r="BJ2624" i="1" s="1"/>
  <c r="BL2717" i="1" a="1"/>
  <c r="BL2717" i="1" s="1"/>
  <c r="BJ2710" i="1" a="1"/>
  <c r="BJ2710" i="1" s="1"/>
  <c r="BL2710" i="1" a="1"/>
  <c r="BL2710" i="1" s="1"/>
  <c r="BJ1929" i="1" a="1"/>
  <c r="BJ1929" i="1" s="1"/>
  <c r="BL1929" i="1" a="1"/>
  <c r="BL1929" i="1" s="1"/>
  <c r="BN2369" i="1" a="1"/>
  <c r="BN2369" i="1" s="1"/>
  <c r="BK2369" i="1"/>
  <c r="BI2369" i="1" a="1"/>
  <c r="BI2369" i="1" s="1"/>
  <c r="BK1287" i="1"/>
  <c r="AT1287" i="1"/>
  <c r="E1275" i="1" a="1"/>
  <c r="E1275" i="1" s="1"/>
  <c r="BK2368" i="1"/>
  <c r="BI2368" i="1" a="1"/>
  <c r="BI2368" i="1" s="1"/>
  <c r="BK2367" i="1"/>
  <c r="BI2367" i="1" a="1"/>
  <c r="BI2367" i="1" s="1"/>
  <c r="BM2368" i="1" a="1"/>
  <c r="BM2368" i="1" s="1"/>
  <c r="BJ2368" i="1" s="1" a="1"/>
  <c r="BJ2368" i="1" s="1"/>
  <c r="AT1291" i="1"/>
  <c r="E1230" i="1" a="1"/>
  <c r="E1230" i="1" s="1"/>
  <c r="BM1277" i="1" a="1"/>
  <c r="BM1277" i="1" s="1"/>
  <c r="BJ1277" i="1" s="1" a="1"/>
  <c r="BJ1277" i="1" s="1"/>
  <c r="AU1290" i="1"/>
  <c r="BI2370" i="1" a="1"/>
  <c r="BI2370" i="1" s="1"/>
  <c r="BK2366" i="1"/>
  <c r="BN2366" i="1" a="1"/>
  <c r="BN2366" i="1" s="1"/>
  <c r="BI2366" i="1" a="1"/>
  <c r="BI2366" i="1" s="1"/>
  <c r="BM2367" i="1" a="1"/>
  <c r="BM2367" i="1" s="1"/>
  <c r="BJ2367" i="1" s="1" a="1"/>
  <c r="BJ2367" i="1" s="1"/>
  <c r="BM2369" i="1" a="1"/>
  <c r="BM2369" i="1" s="1"/>
  <c r="BJ2369" i="1" s="1" a="1"/>
  <c r="BJ2369" i="1" s="1"/>
  <c r="BN2368" i="1" a="1"/>
  <c r="BN2368" i="1" s="1"/>
  <c r="BN2370" i="1" a="1"/>
  <c r="BN2370" i="1" s="1"/>
  <c r="BM2366" i="1" a="1"/>
  <c r="BM2366" i="1" s="1"/>
  <c r="BJ2366" i="1" s="1" a="1"/>
  <c r="BJ2366" i="1" s="1"/>
  <c r="BM1288" i="1" a="1"/>
  <c r="BM1288" i="1" s="1"/>
  <c r="BJ1288" i="1" s="1" a="1"/>
  <c r="BJ1288" i="1" s="1"/>
  <c r="BN2367" i="1" a="1"/>
  <c r="BN2367" i="1" s="1"/>
  <c r="AU1287" i="1"/>
  <c r="BK1229" i="1"/>
  <c r="BO2371" i="1"/>
  <c r="BQ2371" i="1" s="1"/>
  <c r="BR2371" i="1" s="1"/>
  <c r="BS2371" i="1"/>
  <c r="BK1228" i="1"/>
  <c r="AU1288" i="1"/>
  <c r="F1288" i="1" a="1"/>
  <c r="F1288" i="1" s="1"/>
  <c r="E1288" i="1" s="1" a="1"/>
  <c r="E1288" i="1" s="1"/>
  <c r="AT1288" i="1"/>
  <c r="E1228" i="1" a="1"/>
  <c r="E1228" i="1" s="1"/>
  <c r="AT1228" i="1"/>
  <c r="BM1231" i="1" a="1"/>
  <c r="BM1231" i="1" s="1"/>
  <c r="BJ1231" i="1" s="1" a="1"/>
  <c r="BJ1231" i="1" s="1"/>
  <c r="BK1231" i="1"/>
  <c r="AT1231" i="1"/>
  <c r="E1227" i="1" a="1"/>
  <c r="E1227" i="1" s="1"/>
  <c r="AT1227" i="1"/>
  <c r="BM1227" i="1" a="1"/>
  <c r="BM1227" i="1" s="1"/>
  <c r="BJ1227" i="1" s="1" a="1"/>
  <c r="BJ1227" i="1" s="1"/>
  <c r="BK1227" i="1"/>
  <c r="AT1290" i="1"/>
  <c r="AX1290" i="1"/>
  <c r="BL1290" i="1" s="1" a="1"/>
  <c r="BL1290" i="1" s="1"/>
  <c r="BJ2704" i="1" a="1"/>
  <c r="BJ2704" i="1" s="1"/>
  <c r="AS812" i="1"/>
  <c r="BI812" i="1" a="1"/>
  <c r="BI812" i="1" s="1"/>
  <c r="AT812" i="1"/>
  <c r="BN812" i="1" a="1"/>
  <c r="BN812" i="1" s="1"/>
  <c r="BK812" i="1"/>
  <c r="BJ1492" i="1" a="1"/>
  <c r="BJ1492" i="1" s="1"/>
  <c r="BJ2651" i="1" a="1"/>
  <c r="BJ2651" i="1" s="1"/>
  <c r="BL1462" i="1" a="1"/>
  <c r="BL1462" i="1" s="1"/>
  <c r="BJ1475" i="1" a="1"/>
  <c r="BJ1475" i="1" s="1"/>
  <c r="AX1291" i="1"/>
  <c r="F1291" i="1" a="1"/>
  <c r="F1291" i="1" s="1"/>
  <c r="E1291" i="1" s="1" a="1"/>
  <c r="E1291" i="1" s="1"/>
  <c r="E1287" i="1" a="1"/>
  <c r="E1287" i="1" s="1"/>
  <c r="E1297" i="1" a="1"/>
  <c r="E1297" i="1" s="1"/>
  <c r="E1296" i="1" a="1"/>
  <c r="E1296" i="1" s="1"/>
  <c r="E1295" i="1" a="1"/>
  <c r="E1295" i="1" s="1"/>
  <c r="BK1295" i="1"/>
  <c r="E1294" i="1" a="1"/>
  <c r="E1294" i="1" s="1"/>
  <c r="E1293" i="1" a="1"/>
  <c r="E1293" i="1" s="1"/>
  <c r="BK1297" i="1"/>
  <c r="BK1293" i="1"/>
  <c r="BK1289" i="1"/>
  <c r="E1289" i="1" a="1"/>
  <c r="E1289" i="1" s="1"/>
  <c r="BL1289" i="1" a="1"/>
  <c r="BL1289" i="1" s="1"/>
  <c r="BN1276" i="1" a="1"/>
  <c r="BN1276" i="1" s="1"/>
  <c r="BI1276" i="1" a="1"/>
  <c r="BI1276" i="1" s="1"/>
  <c r="E1277" i="1" a="1"/>
  <c r="E1277" i="1" s="1"/>
  <c r="BK1278" i="1"/>
  <c r="E1279" i="1" a="1"/>
  <c r="E1279" i="1" s="1"/>
  <c r="BM1278" i="1" a="1"/>
  <c r="BM1278" i="1" s="1"/>
  <c r="BJ1278" i="1" s="1" a="1"/>
  <c r="BJ1278" i="1" s="1"/>
  <c r="BM1276" i="1" a="1"/>
  <c r="BM1276" i="1" s="1"/>
  <c r="BJ1276" i="1" s="1" a="1"/>
  <c r="BJ1276" i="1" s="1"/>
  <c r="BK1276" i="1"/>
  <c r="BK1277" i="1"/>
  <c r="AT1276" i="1"/>
  <c r="BJ1473" i="1" a="1"/>
  <c r="BJ1473" i="1" s="1"/>
  <c r="BJ1480" i="1" a="1"/>
  <c r="BJ1480" i="1" s="1"/>
  <c r="BJ2650" i="1" a="1"/>
  <c r="BJ2650" i="1" s="1"/>
  <c r="BJ1481" i="1" a="1"/>
  <c r="BJ1481" i="1" s="1"/>
  <c r="BJ1471" i="1" a="1"/>
  <c r="BJ1471" i="1" s="1"/>
  <c r="BL1470" i="1" a="1"/>
  <c r="BL1470" i="1" s="1"/>
  <c r="BJ2653" i="1" a="1"/>
  <c r="BJ2653" i="1" s="1"/>
  <c r="BJ2617" i="1" a="1"/>
  <c r="BJ2617" i="1" s="1"/>
  <c r="BJ1482" i="1" a="1"/>
  <c r="BJ1482" i="1" s="1"/>
  <c r="BJ2576" i="1" a="1"/>
  <c r="BJ2576" i="1" s="1"/>
  <c r="BJ1461" i="1" a="1"/>
  <c r="BJ1461" i="1" s="1"/>
  <c r="BJ1469" i="1" a="1"/>
  <c r="BJ1469" i="1" s="1"/>
  <c r="BJ2574" i="1" a="1"/>
  <c r="BJ2574" i="1" s="1"/>
  <c r="BL1486" i="1" a="1"/>
  <c r="BL1486" i="1" s="1"/>
  <c r="BJ2618" i="1" a="1"/>
  <c r="BJ2618" i="1" s="1"/>
  <c r="BJ1488" i="1" a="1"/>
  <c r="BJ1488" i="1" s="1"/>
  <c r="BJ2616" i="1" a="1"/>
  <c r="BJ2616" i="1" s="1"/>
  <c r="BJ1467" i="1" a="1"/>
  <c r="BJ1467" i="1" s="1"/>
  <c r="BJ1494" i="1" a="1"/>
  <c r="BJ1494" i="1" s="1"/>
  <c r="BJ2652" i="1" a="1"/>
  <c r="BJ2652" i="1" s="1"/>
  <c r="BJ1489" i="1" a="1"/>
  <c r="BJ1489" i="1" s="1"/>
  <c r="BL1487" i="1" a="1"/>
  <c r="BL1487" i="1" s="1"/>
  <c r="BJ1468" i="1" a="1"/>
  <c r="BJ1468" i="1" s="1"/>
  <c r="BL1491" i="1" a="1"/>
  <c r="BL1491" i="1" s="1"/>
  <c r="BJ2577" i="1" a="1"/>
  <c r="BJ2577" i="1" s="1"/>
  <c r="BJ1476" i="1" a="1"/>
  <c r="BJ1476" i="1" s="1"/>
  <c r="BL1495" i="1" a="1"/>
  <c r="BL1495" i="1" s="1"/>
  <c r="BL1477" i="1" a="1"/>
  <c r="BL1477" i="1" s="1"/>
  <c r="BJ1479" i="1" a="1"/>
  <c r="BJ1479" i="1" s="1"/>
  <c r="BJ2575" i="1" a="1"/>
  <c r="BJ2575" i="1" s="1"/>
  <c r="BJ1474" i="1" a="1"/>
  <c r="BJ1474" i="1" s="1"/>
  <c r="BJ2615" i="1" a="1"/>
  <c r="BJ2615" i="1" s="1"/>
  <c r="BJ1464" i="1" a="1"/>
  <c r="BJ1464" i="1" s="1"/>
  <c r="BJ2614" i="1" a="1"/>
  <c r="BJ2614" i="1" s="1"/>
  <c r="BJ1463" i="1" a="1"/>
  <c r="BJ1463" i="1" s="1"/>
  <c r="BJ2573" i="1" a="1"/>
  <c r="BJ2573" i="1" s="1"/>
  <c r="BJ1483" i="1" a="1"/>
  <c r="BJ1483" i="1" s="1"/>
  <c r="BJ2702" i="1" a="1"/>
  <c r="BJ2702" i="1" s="1"/>
  <c r="BJ1485" i="1" a="1"/>
  <c r="BJ1485" i="1" s="1"/>
  <c r="BL2654" i="1" a="1"/>
  <c r="BL2654" i="1" s="1"/>
  <c r="BL1465" i="1" a="1"/>
  <c r="BL1465" i="1" s="1"/>
  <c r="BJ2698" i="1" a="1"/>
  <c r="BJ2698" i="1" s="1"/>
  <c r="BJ2700" i="1" a="1"/>
  <c r="BJ2700" i="1" s="1"/>
  <c r="BL2700" i="1" a="1"/>
  <c r="BL2700" i="1" s="1"/>
  <c r="BL2707" i="1" a="1"/>
  <c r="BL2707" i="1" s="1"/>
  <c r="BJ2707" i="1" a="1"/>
  <c r="BJ2707" i="1" s="1"/>
  <c r="BL2701" i="1" a="1"/>
  <c r="BL2701" i="1" s="1"/>
  <c r="BJ2701" i="1" a="1"/>
  <c r="BJ2701" i="1" s="1"/>
  <c r="BJ2699" i="1" a="1"/>
  <c r="BJ2699" i="1" s="1"/>
  <c r="BL2699" i="1" a="1"/>
  <c r="BL2699" i="1" s="1"/>
  <c r="BJ1493" i="1" a="1"/>
  <c r="BJ1493" i="1" s="1"/>
  <c r="BL1493" i="1" a="1"/>
  <c r="BL1493" i="1" s="1"/>
  <c r="BJ2703" i="1" a="1"/>
  <c r="BJ2703" i="1" s="1"/>
  <c r="BL2749" i="1"/>
  <c r="BK2739" i="1"/>
  <c r="BL2746" i="1"/>
  <c r="BK2740" i="1"/>
  <c r="BL2739" i="1"/>
  <c r="BK2741" i="1"/>
  <c r="BK2744" i="1"/>
  <c r="BK2747" i="1"/>
  <c r="BK2745" i="1"/>
  <c r="BK2748" i="1"/>
  <c r="BL2747" i="1"/>
  <c r="BK2749" i="1"/>
  <c r="BK2742" i="1"/>
  <c r="BK2743" i="1"/>
  <c r="BL2740" i="1"/>
  <c r="BK2746" i="1"/>
  <c r="BL2741" i="1"/>
  <c r="BL2744" i="1"/>
  <c r="BL2743" i="1"/>
  <c r="BL2745" i="1"/>
  <c r="BL2748" i="1"/>
  <c r="BL2742" i="1"/>
  <c r="BK805" i="1"/>
  <c r="BI805" i="1" a="1"/>
  <c r="BI805" i="1" s="1"/>
  <c r="BN805" i="1" a="1"/>
  <c r="BN805" i="1" s="1"/>
  <c r="BO2349" i="1"/>
  <c r="BQ2349" i="1" s="1"/>
  <c r="BR2349" i="1" s="1"/>
  <c r="BS2349" i="1"/>
  <c r="AS809" i="1"/>
  <c r="BM805" i="1" a="1"/>
  <c r="BM805" i="1" s="1"/>
  <c r="BJ805" i="1" s="1" a="1"/>
  <c r="BJ805" i="1" s="1"/>
  <c r="AS805" i="1"/>
  <c r="BK770" i="1"/>
  <c r="BI770" i="1" a="1"/>
  <c r="BI770" i="1" s="1"/>
  <c r="AT768" i="1"/>
  <c r="BM770" i="1" a="1"/>
  <c r="BM770" i="1" s="1"/>
  <c r="BJ770" i="1" s="1" a="1"/>
  <c r="BJ770" i="1" s="1"/>
  <c r="BI768" i="1" a="1"/>
  <c r="BI768" i="1" s="1"/>
  <c r="BM768" i="1" a="1"/>
  <c r="BM768" i="1" s="1"/>
  <c r="BJ768" i="1" s="1" a="1"/>
  <c r="BJ768" i="1" s="1"/>
  <c r="K805" i="1" a="1"/>
  <c r="K805" i="1" s="1"/>
  <c r="BM766" i="1" a="1"/>
  <c r="BM766" i="1" s="1"/>
  <c r="BJ766" i="1" s="1" a="1"/>
  <c r="BJ766" i="1" s="1"/>
  <c r="BK808" i="1"/>
  <c r="BI811" i="1" a="1"/>
  <c r="BI811" i="1" s="1"/>
  <c r="AT811" i="1"/>
  <c r="BI764" i="1" a="1"/>
  <c r="BI764" i="1" s="1"/>
  <c r="K812" i="1" a="1"/>
  <c r="K812" i="1" s="1"/>
  <c r="K811" i="1" a="1"/>
  <c r="K811" i="1" s="1"/>
  <c r="BK811" i="1"/>
  <c r="AT807" i="1"/>
  <c r="AT764" i="1"/>
  <c r="BK764" i="1"/>
  <c r="AS811" i="1"/>
  <c r="BN811" i="1" a="1"/>
  <c r="BN811" i="1" s="1"/>
  <c r="BI767" i="1" a="1"/>
  <c r="BI767" i="1" s="1"/>
  <c r="AS813" i="1"/>
  <c r="AS807" i="1"/>
  <c r="K813" i="1" a="1"/>
  <c r="K813" i="1" s="1"/>
  <c r="K810" i="1" a="1"/>
  <c r="K810" i="1" s="1"/>
  <c r="BI808" i="1" a="1"/>
  <c r="BI808" i="1" s="1"/>
  <c r="K808" i="1" a="1"/>
  <c r="K808" i="1" s="1"/>
  <c r="BN808" i="1" a="1"/>
  <c r="BN808" i="1" s="1"/>
  <c r="BM762" i="1" a="1"/>
  <c r="BM762" i="1" s="1"/>
  <c r="BJ762" i="1" s="1" a="1"/>
  <c r="BJ762" i="1" s="1"/>
  <c r="BK762" i="1"/>
  <c r="BK813" i="1"/>
  <c r="AS808" i="1"/>
  <c r="AT808" i="1"/>
  <c r="BN813" i="1" a="1"/>
  <c r="BN813" i="1" s="1"/>
  <c r="BM767" i="1" a="1"/>
  <c r="BM767" i="1" s="1"/>
  <c r="BJ767" i="1" s="1" a="1"/>
  <c r="BJ767" i="1" s="1"/>
  <c r="AT813" i="1"/>
  <c r="K814" i="1" a="1"/>
  <c r="K814" i="1" s="1"/>
  <c r="BM813" i="1" a="1"/>
  <c r="BM813" i="1" s="1"/>
  <c r="BJ813" i="1" s="1" a="1"/>
  <c r="BJ813" i="1" s="1"/>
  <c r="BK766" i="1"/>
  <c r="BK809" i="1"/>
  <c r="BN770" i="1" a="1"/>
  <c r="BN770" i="1" s="1"/>
  <c r="K809" i="1" a="1"/>
  <c r="K809" i="1" s="1"/>
  <c r="BI809" i="1" a="1"/>
  <c r="BI809" i="1" s="1"/>
  <c r="AT809" i="1"/>
  <c r="K806" i="1" a="1"/>
  <c r="K806" i="1" s="1"/>
  <c r="BM809" i="1" a="1"/>
  <c r="BM809" i="1" s="1"/>
  <c r="BJ809" i="1" s="1" a="1"/>
  <c r="BJ809" i="1" s="1"/>
  <c r="BN762" i="1" a="1"/>
  <c r="BN762" i="1" s="1"/>
  <c r="BN767" i="1" a="1"/>
  <c r="BN767" i="1" s="1"/>
  <c r="AT762" i="1"/>
  <c r="BN766" i="1" a="1"/>
  <c r="BN766" i="1" s="1"/>
  <c r="AT766" i="1"/>
  <c r="AT767" i="1"/>
  <c r="K807" i="1" a="1"/>
  <c r="K807" i="1" s="1"/>
  <c r="BK807" i="1"/>
  <c r="BM807" i="1" a="1"/>
  <c r="BM807" i="1" s="1"/>
  <c r="BJ807" i="1" s="1" a="1"/>
  <c r="BJ807" i="1" s="1"/>
  <c r="BN768" i="1" a="1"/>
  <c r="BN768" i="1" s="1"/>
  <c r="BI807" i="1" a="1"/>
  <c r="BI807" i="1" s="1"/>
  <c r="BN764" i="1" a="1"/>
  <c r="BN764" i="1" s="1"/>
  <c r="BL2677" i="1" a="1"/>
  <c r="BL2677" i="1" s="1"/>
  <c r="BJ2685" i="1" a="1"/>
  <c r="BJ2685" i="1" s="1"/>
  <c r="BL2605" i="1" a="1"/>
  <c r="BL2605" i="1" s="1"/>
  <c r="BJ2678" i="1" a="1"/>
  <c r="BJ2678" i="1" s="1"/>
  <c r="BJ2693" i="1" a="1"/>
  <c r="BJ2693" i="1" s="1"/>
  <c r="BJ2689" i="1" a="1"/>
  <c r="BJ2689" i="1" s="1"/>
  <c r="BL2643" i="1" a="1"/>
  <c r="BL2643" i="1" s="1"/>
  <c r="BJ2697" i="1" a="1"/>
  <c r="BJ2697" i="1" s="1"/>
  <c r="BJ2691" i="1" a="1"/>
  <c r="BJ2691" i="1" s="1"/>
  <c r="BL2684" i="1" a="1"/>
  <c r="BL2684" i="1" s="1"/>
  <c r="BJ2694" i="1" a="1"/>
  <c r="BJ2694" i="1" s="1"/>
  <c r="BJ2695" i="1" a="1"/>
  <c r="BJ2695" i="1" s="1"/>
  <c r="BJ2688" i="1" a="1"/>
  <c r="BJ2688" i="1" s="1"/>
  <c r="BL2682" i="1" a="1"/>
  <c r="BL2682" i="1" s="1"/>
  <c r="BL2683" i="1" a="1"/>
  <c r="BL2683" i="1" s="1"/>
  <c r="BJ2692" i="1" a="1"/>
  <c r="BJ2692" i="1" s="1"/>
  <c r="BL2679" i="1" a="1"/>
  <c r="BL2679" i="1" s="1"/>
  <c r="BJ2690" i="1" a="1"/>
  <c r="BJ2690" i="1" s="1"/>
  <c r="BJ2696" i="1" a="1"/>
  <c r="BJ2696" i="1" s="1"/>
  <c r="BJ2642" i="1" a="1"/>
  <c r="BJ2642" i="1" s="1"/>
  <c r="BJ2681" i="1" a="1"/>
  <c r="BJ2681" i="1" s="1"/>
  <c r="BJ2680" i="1" a="1"/>
  <c r="BJ2680" i="1" s="1"/>
  <c r="BJ2686" i="1" a="1"/>
  <c r="BJ2686" i="1" s="1"/>
  <c r="BJ2606" i="1" a="1"/>
  <c r="BJ2606" i="1" s="1"/>
  <c r="BJ2603" i="1" a="1"/>
  <c r="BJ2603" i="1" s="1"/>
  <c r="BJ2647" i="1" a="1"/>
  <c r="BJ2647" i="1" s="1"/>
  <c r="BJ2611" i="1" a="1"/>
  <c r="BJ2611" i="1" s="1"/>
  <c r="BJ2608" i="1" a="1"/>
  <c r="BJ2608" i="1" s="1"/>
  <c r="BL2646" i="1" a="1"/>
  <c r="BL2646" i="1" s="1"/>
  <c r="BL2641" i="1" a="1"/>
  <c r="BL2641" i="1" s="1"/>
  <c r="BJ2639" i="1" a="1"/>
  <c r="BJ2639" i="1" s="1"/>
  <c r="BJ2612" i="1" a="1"/>
  <c r="BJ2612" i="1" s="1"/>
  <c r="BJ2610" i="1" a="1"/>
  <c r="BJ2610" i="1" s="1"/>
  <c r="BL2687" i="1" a="1"/>
  <c r="BL2687" i="1" s="1"/>
  <c r="BJ2609" i="1" a="1"/>
  <c r="BJ2609" i="1" s="1"/>
  <c r="BJ2604" i="1" a="1"/>
  <c r="BJ2604" i="1" s="1"/>
  <c r="BJ2607" i="1" a="1"/>
  <c r="BJ2607" i="1" s="1"/>
  <c r="BL1050" i="1" a="1"/>
  <c r="BL1050" i="1" s="1"/>
  <c r="BL2561" i="1" a="1"/>
  <c r="BL2561" i="1" s="1"/>
  <c r="BJ2564" i="1" a="1"/>
  <c r="BJ2564" i="1" s="1"/>
  <c r="BL2571" i="1" a="1"/>
  <c r="BL2571" i="1" s="1"/>
  <c r="BJ1066" i="1" a="1"/>
  <c r="BJ1066" i="1" s="1"/>
  <c r="BL2562" i="1" a="1"/>
  <c r="BL2562" i="1" s="1"/>
  <c r="BJ1060" i="1" a="1"/>
  <c r="BJ1060" i="1" s="1"/>
  <c r="BJ1067" i="1" a="1"/>
  <c r="BJ1067" i="1" s="1"/>
  <c r="BJ2563" i="1" a="1"/>
  <c r="BJ2563" i="1" s="1"/>
  <c r="BJ1064" i="1" a="1"/>
  <c r="BJ1064" i="1" s="1"/>
  <c r="BL2570" i="1" a="1"/>
  <c r="BL2570" i="1" s="1"/>
  <c r="BJ2569" i="1" a="1"/>
  <c r="BJ2569" i="1" s="1"/>
  <c r="BL2565" i="1" a="1"/>
  <c r="BL2565" i="1" s="1"/>
  <c r="BL2567" i="1" a="1"/>
  <c r="BL2567" i="1" s="1"/>
  <c r="BL2566" i="1" a="1"/>
  <c r="BL2566" i="1" s="1"/>
  <c r="BJ1058" i="1" a="1"/>
  <c r="BJ1058" i="1" s="1"/>
  <c r="BJ1062" i="1" a="1"/>
  <c r="BJ1062" i="1" s="1"/>
  <c r="BJ1063" i="1" a="1"/>
  <c r="BJ1063" i="1" s="1"/>
  <c r="BJ1065" i="1" a="1"/>
  <c r="BJ1065" i="1" s="1"/>
  <c r="BJ1061" i="1" a="1"/>
  <c r="BJ1061" i="1" s="1"/>
  <c r="BJ1051" i="1" a="1"/>
  <c r="BJ1051" i="1" s="1"/>
  <c r="BJ1059" i="1" a="1"/>
  <c r="BJ1059" i="1" s="1"/>
  <c r="BJ1049" i="1" a="1"/>
  <c r="BJ1049" i="1" s="1"/>
  <c r="BJ1019" i="1" a="1"/>
  <c r="BJ1019" i="1" s="1"/>
  <c r="BL1021" i="1" a="1"/>
  <c r="BL1021" i="1" s="1"/>
  <c r="BJ1055" i="1" a="1"/>
  <c r="BJ1055" i="1" s="1"/>
  <c r="BJ1015" i="1" a="1"/>
  <c r="BJ1015" i="1" s="1"/>
  <c r="BL1052" i="1" a="1"/>
  <c r="BL1052" i="1" s="1"/>
  <c r="BL1016" i="1" a="1"/>
  <c r="BL1016" i="1" s="1"/>
  <c r="BL1048" i="1" a="1"/>
  <c r="BL1048" i="1" s="1"/>
  <c r="BJ1018" i="1" a="1"/>
  <c r="BJ1018" i="1" s="1"/>
  <c r="BL1022" i="1" a="1"/>
  <c r="BL1022" i="1" s="1"/>
  <c r="BL1014" i="1" a="1"/>
  <c r="BL1014" i="1" s="1"/>
  <c r="BJ1023" i="1" a="1"/>
  <c r="BJ1023" i="1" s="1"/>
  <c r="BJ1020" i="1" a="1"/>
  <c r="BJ1020" i="1" s="1"/>
  <c r="BJ1017" i="1" a="1"/>
  <c r="BJ1017" i="1" s="1"/>
  <c r="BL1005" i="1" a="1"/>
  <c r="BL1005" i="1" s="1"/>
  <c r="BO2558" i="1"/>
  <c r="BQ2558" i="1" s="1"/>
  <c r="BR2558" i="1" s="1"/>
  <c r="BJ1009" i="1" a="1"/>
  <c r="BJ1009" i="1" s="1"/>
  <c r="BL1010" i="1" a="1"/>
  <c r="BL1010" i="1" s="1"/>
  <c r="BJ1008" i="1" a="1"/>
  <c r="BJ1008" i="1" s="1"/>
  <c r="BJ1012" i="1" a="1"/>
  <c r="BJ1012" i="1" s="1"/>
  <c r="BL1007" i="1" a="1"/>
  <c r="BL1007" i="1" s="1"/>
  <c r="BJ1007" i="1" a="1"/>
  <c r="BJ1007" i="1" s="1"/>
  <c r="BL1011" i="1" a="1"/>
  <c r="BL1011" i="1" s="1"/>
  <c r="BJ1011" i="1" a="1"/>
  <c r="BJ1011" i="1" s="1"/>
  <c r="BL1003" i="1" a="1"/>
  <c r="BL1003" i="1" s="1"/>
  <c r="BJ1003" i="1" a="1"/>
  <c r="BJ1003" i="1" s="1"/>
  <c r="BJ1038" i="1" a="1"/>
  <c r="BJ1038" i="1" s="1"/>
  <c r="BL1040" i="1" a="1"/>
  <c r="BL1040" i="1" s="1"/>
  <c r="BL1036" i="1" a="1"/>
  <c r="BL1036" i="1" s="1"/>
  <c r="BL1043" i="1" a="1"/>
  <c r="BL1043" i="1" s="1"/>
  <c r="BJ1037" i="1" a="1"/>
  <c r="BJ1037" i="1" s="1"/>
  <c r="BJ1042" i="1" a="1"/>
  <c r="BJ1042" i="1" s="1"/>
  <c r="BL1045" i="1" a="1"/>
  <c r="BL1045" i="1" s="1"/>
  <c r="BJ1044" i="1" a="1"/>
  <c r="BJ1044" i="1" s="1"/>
  <c r="BJ1041" i="1" a="1"/>
  <c r="BJ1041" i="1" s="1"/>
  <c r="BJ1039" i="1" a="1"/>
  <c r="BJ1039" i="1" s="1"/>
  <c r="BL1026" i="1" a="1"/>
  <c r="BL1026" i="1" s="1"/>
  <c r="BL1025" i="1" a="1"/>
  <c r="BL1025" i="1" s="1"/>
  <c r="BJ1033" i="1" a="1"/>
  <c r="BJ1033" i="1" s="1"/>
  <c r="BL1031" i="1" a="1"/>
  <c r="BL1031" i="1" s="1"/>
  <c r="BL1030" i="1" a="1"/>
  <c r="BL1030" i="1" s="1"/>
  <c r="BJ1034" i="1" a="1"/>
  <c r="BJ1034" i="1" s="1"/>
  <c r="BJ1027" i="1" a="1"/>
  <c r="BJ1027" i="1" s="1"/>
  <c r="BJ1028" i="1" a="1"/>
  <c r="BJ1028" i="1" s="1"/>
  <c r="BJ1029" i="1" a="1"/>
  <c r="BJ1029" i="1" s="1"/>
  <c r="BJ1032" i="1" a="1"/>
  <c r="BJ1032" i="1" s="1"/>
  <c r="BO142" i="1"/>
  <c r="BQ142" i="1" s="1"/>
  <c r="BR142" i="1" s="1"/>
  <c r="BS142" i="1"/>
  <c r="BL221" i="1" a="1"/>
  <c r="BL221" i="1" s="1"/>
  <c r="BJ222" i="1" a="1"/>
  <c r="BJ222" i="1" s="1"/>
  <c r="BJ212" i="1" a="1"/>
  <c r="BJ212" i="1" s="1"/>
  <c r="BJ2635" i="1" a="1"/>
  <c r="BJ2635" i="1" s="1"/>
  <c r="BL2600" i="1" a="1"/>
  <c r="BL2600" i="1" s="1"/>
  <c r="BJ215" i="1" a="1"/>
  <c r="BJ215" i="1" s="1"/>
  <c r="BJ2636" i="1" a="1"/>
  <c r="BJ2636" i="1" s="1"/>
  <c r="BJ213" i="1" a="1"/>
  <c r="BJ213" i="1" s="1"/>
  <c r="BJ218" i="1" a="1"/>
  <c r="BJ218" i="1" s="1"/>
  <c r="BJ2559" i="1" a="1"/>
  <c r="BJ2559" i="1" s="1"/>
  <c r="BL216" i="1" a="1"/>
  <c r="BL216" i="1" s="1"/>
  <c r="BJ2674" i="1" a="1"/>
  <c r="BJ2674" i="1" s="1"/>
  <c r="BL2558" i="1" a="1"/>
  <c r="BL2558" i="1" s="1"/>
  <c r="BL2673" i="1" a="1"/>
  <c r="BL2673" i="1" s="1"/>
  <c r="BJ2673" i="1" a="1"/>
  <c r="BJ2673" i="1" s="1"/>
  <c r="BJ228" i="1" a="1"/>
  <c r="BJ228" i="1" s="1"/>
  <c r="BJ225" i="1" a="1"/>
  <c r="BJ225" i="1" s="1"/>
  <c r="BJ2671" i="1" a="1"/>
  <c r="BJ2671" i="1" s="1"/>
  <c r="BL2671" i="1" a="1"/>
  <c r="BL2671" i="1" s="1"/>
  <c r="BL2672" i="1" a="1"/>
  <c r="BL2672" i="1" s="1"/>
  <c r="BJ2672" i="1" a="1"/>
  <c r="BJ2672" i="1" s="1"/>
  <c r="BL224" i="1" a="1"/>
  <c r="BL224" i="1" s="1"/>
  <c r="BL219" i="1" a="1"/>
  <c r="BL219" i="1" s="1"/>
  <c r="BJ2599" i="1" a="1"/>
  <c r="BJ2599" i="1" s="1"/>
  <c r="BO2636" i="1"/>
  <c r="BQ2636" i="1" s="1"/>
  <c r="BR2636" i="1" s="1"/>
  <c r="BS2636" i="1"/>
  <c r="BO2635" i="1"/>
  <c r="BQ2635" i="1" s="1"/>
  <c r="BR2635" i="1" s="1"/>
  <c r="BS2635" i="1"/>
  <c r="BS2599" i="1"/>
  <c r="BS2600" i="1"/>
  <c r="BO2600" i="1"/>
  <c r="BQ2600" i="1" s="1"/>
  <c r="BR2600" i="1" s="1"/>
  <c r="BO2599" i="1"/>
  <c r="BQ2599" i="1" s="1"/>
  <c r="BR2599" i="1" s="1"/>
  <c r="BO2559" i="1"/>
  <c r="BQ2559" i="1" s="1"/>
  <c r="BR2559" i="1" s="1"/>
  <c r="BO225" i="1"/>
  <c r="BQ225" i="1" s="1"/>
  <c r="BR225" i="1" s="1"/>
  <c r="BS2559" i="1"/>
  <c r="BS2558" i="1"/>
  <c r="BL227" i="1" a="1"/>
  <c r="BL227" i="1" s="1"/>
  <c r="BJ227" i="1" a="1"/>
  <c r="BJ227" i="1" s="1"/>
  <c r="BS225" i="1"/>
  <c r="BO224" i="1"/>
  <c r="BQ224" i="1" s="1"/>
  <c r="BR224" i="1" s="1"/>
  <c r="BS224" i="1"/>
  <c r="BS218" i="1"/>
  <c r="BS221" i="1"/>
  <c r="BO222" i="1"/>
  <c r="BQ222" i="1" s="1"/>
  <c r="BR222" i="1" s="1"/>
  <c r="BO221" i="1"/>
  <c r="BQ221" i="1" s="1"/>
  <c r="BR221" i="1" s="1"/>
  <c r="BS222" i="1"/>
  <c r="BO219" i="1"/>
  <c r="BQ219" i="1" s="1"/>
  <c r="BR219" i="1" s="1"/>
  <c r="BO218" i="1"/>
  <c r="BQ218" i="1" s="1"/>
  <c r="BR218" i="1" s="1"/>
  <c r="BS219" i="1"/>
  <c r="BS216" i="1"/>
  <c r="BS215" i="1"/>
  <c r="BO216" i="1"/>
  <c r="BQ216" i="1" s="1"/>
  <c r="BR216" i="1" s="1"/>
  <c r="BO215" i="1"/>
  <c r="BQ215" i="1" s="1"/>
  <c r="BR215" i="1" s="1"/>
  <c r="BS213" i="1"/>
  <c r="BS212" i="1"/>
  <c r="BO212" i="1"/>
  <c r="BQ212" i="1" s="1"/>
  <c r="BR212" i="1" s="1"/>
  <c r="BO213" i="1"/>
  <c r="BQ213" i="1" s="1"/>
  <c r="BR213" i="1" s="1"/>
  <c r="AW2735" i="1"/>
  <c r="BN2735" i="1" s="1" a="1"/>
  <c r="BN2735" i="1" s="1"/>
  <c r="AW2736" i="1"/>
  <c r="BN2736" i="1" s="1" a="1"/>
  <c r="BN2736" i="1" s="1"/>
  <c r="AW2459" i="1"/>
  <c r="BS2034" i="1"/>
  <c r="BO2034" i="1"/>
  <c r="BQ2034" i="1" s="1"/>
  <c r="BR2034" i="1" s="1"/>
  <c r="AX2459" i="1"/>
  <c r="BS96" i="1"/>
  <c r="BS95" i="1"/>
  <c r="BO95" i="1"/>
  <c r="BQ95" i="1" s="1"/>
  <c r="BR95" i="1" s="1"/>
  <c r="BO96" i="1"/>
  <c r="BQ96" i="1" s="1"/>
  <c r="BR96" i="1" s="1"/>
  <c r="BN138" i="1" a="1"/>
  <c r="BN138" i="1" s="1"/>
  <c r="BN159" i="1" a="1"/>
  <c r="BN159" i="1" s="1"/>
  <c r="BM158" i="1" a="1"/>
  <c r="BM158" i="1" s="1"/>
  <c r="BJ158" i="1" s="1" a="1"/>
  <c r="BJ158" i="1" s="1"/>
  <c r="BI153" i="1" a="1"/>
  <c r="BI153" i="1" s="1"/>
  <c r="BN147" i="1" a="1"/>
  <c r="BN147" i="1" s="1"/>
  <c r="BI156" i="1" a="1"/>
  <c r="BI156" i="1" s="1"/>
  <c r="BM159" i="1" a="1"/>
  <c r="BM159" i="1" s="1"/>
  <c r="BJ159" i="1" s="1" a="1"/>
  <c r="BJ159" i="1" s="1"/>
  <c r="BI159" i="1" a="1"/>
  <c r="BI159" i="1" s="1"/>
  <c r="BN150" i="1" a="1"/>
  <c r="BN150" i="1" s="1"/>
  <c r="BK153" i="1"/>
  <c r="BI158" i="1" a="1"/>
  <c r="BI158" i="1" s="1"/>
  <c r="BK159" i="1"/>
  <c r="BN135" i="1" a="1"/>
  <c r="BN135" i="1" s="1"/>
  <c r="AT156" i="1"/>
  <c r="BS158" i="1"/>
  <c r="BM149" i="1" a="1"/>
  <c r="BM149" i="1" s="1"/>
  <c r="BJ149" i="1" s="1" a="1"/>
  <c r="BJ149" i="1" s="1"/>
  <c r="BN156" i="1" a="1"/>
  <c r="BN156" i="1" s="1"/>
  <c r="BK158" i="1"/>
  <c r="BS159" i="1"/>
  <c r="BO159" i="1"/>
  <c r="E159" i="1" a="1"/>
  <c r="E159" i="1" s="1"/>
  <c r="E158" i="1" a="1"/>
  <c r="E158" i="1" s="1"/>
  <c r="BN158" i="1" a="1"/>
  <c r="BN158" i="1" s="1"/>
  <c r="AT159" i="1"/>
  <c r="AT158" i="1"/>
  <c r="BO158" i="1"/>
  <c r="BI150" i="1" a="1"/>
  <c r="BI150" i="1" s="1"/>
  <c r="BN122" i="1" a="1"/>
  <c r="BN122" i="1" s="1"/>
  <c r="BI141" i="1" a="1"/>
  <c r="BI141" i="1" s="1"/>
  <c r="BK152" i="1"/>
  <c r="BM156" i="1" a="1"/>
  <c r="BM156" i="1" s="1"/>
  <c r="BJ156" i="1" s="1" a="1"/>
  <c r="BJ156" i="1" s="1"/>
  <c r="BN134" i="1" a="1"/>
  <c r="BN134" i="1" s="1"/>
  <c r="BM152" i="1" a="1"/>
  <c r="BM152" i="1" s="1"/>
  <c r="BJ152" i="1" s="1" a="1"/>
  <c r="BJ152" i="1" s="1"/>
  <c r="BM150" i="1" a="1"/>
  <c r="BM150" i="1" s="1"/>
  <c r="BJ150" i="1" s="1" a="1"/>
  <c r="BJ150" i="1" s="1"/>
  <c r="BM153" i="1" a="1"/>
  <c r="BM153" i="1" s="1"/>
  <c r="BJ153" i="1" s="1" a="1"/>
  <c r="BJ153" i="1" s="1"/>
  <c r="BI132" i="1" a="1"/>
  <c r="BI132" i="1" s="1"/>
  <c r="BI149" i="1" a="1"/>
  <c r="BI149" i="1" s="1"/>
  <c r="BS156" i="1"/>
  <c r="BO156" i="1"/>
  <c r="E156" i="1" a="1"/>
  <c r="E156" i="1" s="1"/>
  <c r="BS155" i="1"/>
  <c r="BO155" i="1"/>
  <c r="E155" i="1" a="1"/>
  <c r="E155" i="1" s="1"/>
  <c r="BK155" i="1"/>
  <c r="BN155" i="1" a="1"/>
  <c r="BN155" i="1" s="1"/>
  <c r="BM155" i="1" a="1"/>
  <c r="BM155" i="1" s="1"/>
  <c r="BJ155" i="1" s="1" a="1"/>
  <c r="BJ155" i="1" s="1"/>
  <c r="BI155" i="1" a="1"/>
  <c r="BI155" i="1" s="1"/>
  <c r="AT155" i="1"/>
  <c r="BK156" i="1"/>
  <c r="E153" i="1" a="1"/>
  <c r="E153" i="1" s="1"/>
  <c r="BI152" i="1" a="1"/>
  <c r="BI152" i="1" s="1"/>
  <c r="BN153" i="1" a="1"/>
  <c r="BN153" i="1" s="1"/>
  <c r="E152" i="1" a="1"/>
  <c r="E152" i="1" s="1"/>
  <c r="BN152" i="1" a="1"/>
  <c r="BN152" i="1" s="1"/>
  <c r="BN128" i="1" a="1"/>
  <c r="BN128" i="1" s="1"/>
  <c r="BI140" i="1" a="1"/>
  <c r="BI140" i="1" s="1"/>
  <c r="BM141" i="1" a="1"/>
  <c r="BM141" i="1" s="1"/>
  <c r="BJ141" i="1" s="1" a="1"/>
  <c r="BJ141" i="1" s="1"/>
  <c r="BK150" i="1"/>
  <c r="BI131" i="1" a="1"/>
  <c r="BI131" i="1" s="1"/>
  <c r="BM147" i="1" a="1"/>
  <c r="BM147" i="1" s="1"/>
  <c r="BJ147" i="1" s="1" a="1"/>
  <c r="BJ147" i="1" s="1"/>
  <c r="BI147" i="1" a="1"/>
  <c r="BI147" i="1" s="1"/>
  <c r="BK149" i="1"/>
  <c r="E150" i="1" a="1"/>
  <c r="E150" i="1" s="1"/>
  <c r="E149" i="1" a="1"/>
  <c r="E149" i="1" s="1"/>
  <c r="BN149" i="1" a="1"/>
  <c r="BN149" i="1" s="1"/>
  <c r="AT150" i="1"/>
  <c r="AT149" i="1"/>
  <c r="BK135" i="1"/>
  <c r="BI120" i="1" a="1"/>
  <c r="BI120" i="1" s="1"/>
  <c r="BK140" i="1"/>
  <c r="AT146" i="1"/>
  <c r="BM132" i="1" a="1"/>
  <c r="BM132" i="1" s="1"/>
  <c r="BJ132" i="1" s="1" a="1"/>
  <c r="BJ132" i="1" s="1"/>
  <c r="BN137" i="1" a="1"/>
  <c r="BN137" i="1" s="1"/>
  <c r="BK138" i="1"/>
  <c r="BM140" i="1" a="1"/>
  <c r="BM140" i="1" s="1"/>
  <c r="BJ140" i="1" s="1" a="1"/>
  <c r="BJ140" i="1" s="1"/>
  <c r="BK146" i="1"/>
  <c r="BS147" i="1"/>
  <c r="BO147" i="1"/>
  <c r="E147" i="1" a="1"/>
  <c r="E147" i="1" s="1"/>
  <c r="BO146" i="1"/>
  <c r="E146" i="1" a="1"/>
  <c r="E146" i="1" s="1"/>
  <c r="BS146" i="1"/>
  <c r="BI146" i="1" a="1"/>
  <c r="BI146" i="1" s="1"/>
  <c r="BM146" i="1" a="1"/>
  <c r="BM146" i="1" s="1"/>
  <c r="BJ146" i="1" s="1" a="1"/>
  <c r="BJ146" i="1" s="1"/>
  <c r="BN146" i="1" a="1"/>
  <c r="BN146" i="1" s="1"/>
  <c r="AT147" i="1"/>
  <c r="BK147" i="1"/>
  <c r="BK141" i="1"/>
  <c r="E141" i="1" a="1"/>
  <c r="E141" i="1" s="1"/>
  <c r="BN141" i="1" a="1"/>
  <c r="BN141" i="1" s="1"/>
  <c r="E140" i="1" a="1"/>
  <c r="E140" i="1" s="1"/>
  <c r="BN140" i="1" a="1"/>
  <c r="BN140" i="1" s="1"/>
  <c r="BI134" i="1" a="1"/>
  <c r="BI134" i="1" s="1"/>
  <c r="BM135" i="1" a="1"/>
  <c r="BM135" i="1" s="1"/>
  <c r="BJ135" i="1" s="1" a="1"/>
  <c r="BJ135" i="1" s="1"/>
  <c r="BI137" i="1" a="1"/>
  <c r="BI137" i="1" s="1"/>
  <c r="BM138" i="1" a="1"/>
  <c r="BM138" i="1" s="1"/>
  <c r="BJ138" i="1" s="1" a="1"/>
  <c r="BJ138" i="1" s="1"/>
  <c r="BK131" i="1"/>
  <c r="BK134" i="1"/>
  <c r="BI125" i="1" a="1"/>
  <c r="BI125" i="1" s="1"/>
  <c r="AT135" i="1"/>
  <c r="BK137" i="1"/>
  <c r="E138" i="1" a="1"/>
  <c r="E138" i="1" s="1"/>
  <c r="BM137" i="1" a="1"/>
  <c r="BM137" i="1" s="1"/>
  <c r="BJ137" i="1" s="1" a="1"/>
  <c r="BJ137" i="1" s="1"/>
  <c r="BI138" i="1" a="1"/>
  <c r="BI138" i="1" s="1"/>
  <c r="BS135" i="1"/>
  <c r="E135" i="1" a="1"/>
  <c r="E135" i="1" s="1"/>
  <c r="BO135" i="1"/>
  <c r="BM134" i="1" a="1"/>
  <c r="BM134" i="1" s="1"/>
  <c r="BJ134" i="1" s="1" a="1"/>
  <c r="BJ134" i="1" s="1"/>
  <c r="BS134" i="1"/>
  <c r="BI135" i="1" a="1"/>
  <c r="BI135" i="1" s="1"/>
  <c r="AT134" i="1"/>
  <c r="BO134" i="1"/>
  <c r="BL131" i="1" a="1"/>
  <c r="BL131" i="1" s="1"/>
  <c r="BL132" i="1" a="1"/>
  <c r="BL132" i="1" s="1"/>
  <c r="BI123" i="1" a="1"/>
  <c r="BI123" i="1" s="1"/>
  <c r="BI128" i="1" a="1"/>
  <c r="BI128" i="1" s="1"/>
  <c r="BM129" i="1" a="1"/>
  <c r="BM129" i="1" s="1"/>
  <c r="BJ129" i="1" s="1" a="1"/>
  <c r="BJ129" i="1" s="1"/>
  <c r="BN132" i="1" a="1"/>
  <c r="BN132" i="1" s="1"/>
  <c r="E132" i="1" a="1"/>
  <c r="E132" i="1" s="1"/>
  <c r="BM131" i="1" a="1"/>
  <c r="BM131" i="1" s="1"/>
  <c r="BJ131" i="1" s="1" a="1"/>
  <c r="BJ131" i="1" s="1"/>
  <c r="E131" i="1" a="1"/>
  <c r="E131" i="1" s="1"/>
  <c r="BN131" i="1" a="1"/>
  <c r="BN131" i="1" s="1"/>
  <c r="BK132" i="1"/>
  <c r="AT129" i="1"/>
  <c r="BN125" i="1" a="1"/>
  <c r="BN125" i="1" s="1"/>
  <c r="BM126" i="1" a="1"/>
  <c r="BM126" i="1" s="1"/>
  <c r="BJ126" i="1" s="1" a="1"/>
  <c r="BJ126" i="1" s="1"/>
  <c r="BK129" i="1"/>
  <c r="BL126" i="1" a="1"/>
  <c r="BL126" i="1" s="1"/>
  <c r="BI129" i="1" a="1"/>
  <c r="BI129" i="1" s="1"/>
  <c r="BK125" i="1"/>
  <c r="BK128" i="1"/>
  <c r="BN129" i="1" a="1"/>
  <c r="BN129" i="1" s="1"/>
  <c r="BS129" i="1"/>
  <c r="BO129" i="1"/>
  <c r="E129" i="1" a="1"/>
  <c r="E129" i="1" s="1"/>
  <c r="BM128" i="1" a="1"/>
  <c r="BM128" i="1" s="1"/>
  <c r="BJ128" i="1" s="1" a="1"/>
  <c r="BJ128" i="1" s="1"/>
  <c r="BS128" i="1"/>
  <c r="AT128" i="1"/>
  <c r="BO128" i="1"/>
  <c r="BL125" i="1" a="1"/>
  <c r="BL125" i="1" s="1"/>
  <c r="BI126" i="1" a="1"/>
  <c r="BI126" i="1" s="1"/>
  <c r="BN126" i="1" a="1"/>
  <c r="BN126" i="1" s="1"/>
  <c r="BM125" i="1" a="1"/>
  <c r="BM125" i="1" s="1"/>
  <c r="BJ125" i="1" s="1" a="1"/>
  <c r="BJ125" i="1" s="1"/>
  <c r="BK126" i="1"/>
  <c r="BL122" i="1" a="1"/>
  <c r="BL122" i="1" s="1"/>
  <c r="BK120" i="1"/>
  <c r="BI122" i="1" a="1"/>
  <c r="BI122" i="1" s="1"/>
  <c r="BK123" i="1"/>
  <c r="BM123" i="1" a="1"/>
  <c r="BM123" i="1" s="1"/>
  <c r="BJ123" i="1" s="1" a="1"/>
  <c r="BJ123" i="1" s="1"/>
  <c r="BN120" i="1" a="1"/>
  <c r="BN120" i="1" s="1"/>
  <c r="BK122" i="1"/>
  <c r="BL123" i="1" a="1"/>
  <c r="BL123" i="1" s="1"/>
  <c r="BN123" i="1" a="1"/>
  <c r="BN123" i="1" s="1"/>
  <c r="BM122" i="1" a="1"/>
  <c r="BM122" i="1" s="1"/>
  <c r="BJ122" i="1" s="1" a="1"/>
  <c r="BJ122" i="1" s="1"/>
  <c r="BN119" i="1" a="1"/>
  <c r="BN119" i="1" s="1"/>
  <c r="BM120" i="1" a="1"/>
  <c r="BM120" i="1" s="1"/>
  <c r="BJ120" i="1" s="1" a="1"/>
  <c r="BJ120" i="1" s="1"/>
  <c r="BK119" i="1"/>
  <c r="AT119" i="1"/>
  <c r="AT120" i="1"/>
  <c r="BM119" i="1" a="1"/>
  <c r="BM119" i="1" s="1"/>
  <c r="BJ119" i="1" s="1" a="1"/>
  <c r="BJ119" i="1" s="1"/>
  <c r="BI119" i="1" a="1"/>
  <c r="BI119" i="1" s="1"/>
  <c r="BL208" i="1" a="1"/>
  <c r="BL208" i="1" s="1"/>
  <c r="BI209" i="1" a="1"/>
  <c r="BI209" i="1" s="1"/>
  <c r="BN209" i="1" a="1"/>
  <c r="BN209" i="1" s="1"/>
  <c r="BI208" i="1" a="1"/>
  <c r="BI208" i="1" s="1"/>
  <c r="BM208" i="1" a="1"/>
  <c r="BM208" i="1" s="1"/>
  <c r="BJ208" i="1" s="1" a="1"/>
  <c r="BJ208" i="1" s="1"/>
  <c r="BK209" i="1" a="1"/>
  <c r="BK209" i="1" s="1"/>
  <c r="BN208" i="1" a="1"/>
  <c r="BN208" i="1" s="1"/>
  <c r="BL209" i="1" a="1"/>
  <c r="BL209" i="1" s="1"/>
  <c r="BN189" i="1" a="1"/>
  <c r="BN189" i="1" s="1"/>
  <c r="BL200" i="1" a="1"/>
  <c r="BL200" i="1" s="1"/>
  <c r="BI177" i="1" a="1"/>
  <c r="BI177" i="1" s="1"/>
  <c r="BL174" i="1" a="1"/>
  <c r="BL174" i="1" s="1"/>
  <c r="BK197" i="1"/>
  <c r="BK188" i="1"/>
  <c r="BN180" i="1" a="1"/>
  <c r="BN180" i="1" s="1"/>
  <c r="BL173" i="1" a="1"/>
  <c r="BL173" i="1" s="1"/>
  <c r="BN198" i="1" a="1"/>
  <c r="BN198" i="1" s="1"/>
  <c r="BI201" i="1" a="1"/>
  <c r="BI201" i="1" s="1"/>
  <c r="BN176" i="1" a="1"/>
  <c r="BN176" i="1" s="1"/>
  <c r="BI182" i="1" a="1"/>
  <c r="BI182" i="1" s="1"/>
  <c r="BI206" i="1" a="1"/>
  <c r="BI206" i="1" s="1"/>
  <c r="BN171" i="1" a="1"/>
  <c r="BN171" i="1" s="1"/>
  <c r="BK205" i="1"/>
  <c r="BN206" i="1" a="1"/>
  <c r="BN206" i="1" s="1"/>
  <c r="BL170" i="1" a="1"/>
  <c r="BL170" i="1" s="1"/>
  <c r="BI174" i="1" a="1"/>
  <c r="BI174" i="1" s="1"/>
  <c r="BI183" i="1" a="1"/>
  <c r="BI183" i="1" s="1"/>
  <c r="BN174" i="1" a="1"/>
  <c r="BN174" i="1" s="1"/>
  <c r="BI168" i="1" a="1"/>
  <c r="BI168" i="1" s="1"/>
  <c r="BI173" i="1" a="1"/>
  <c r="BI173" i="1" s="1"/>
  <c r="BM180" i="1" a="1"/>
  <c r="BM180" i="1" s="1"/>
  <c r="BJ180" i="1" s="1" a="1"/>
  <c r="BJ180" i="1" s="1"/>
  <c r="BK206" i="1"/>
  <c r="BN173" i="1" a="1"/>
  <c r="BN173" i="1" s="1"/>
  <c r="BL205" i="1" a="1"/>
  <c r="BL205" i="1" s="1"/>
  <c r="BM205" i="1" a="1"/>
  <c r="BM205" i="1" s="1"/>
  <c r="BJ205" i="1" s="1" a="1"/>
  <c r="BJ205" i="1" s="1"/>
  <c r="BI205" i="1" a="1"/>
  <c r="BI205" i="1" s="1"/>
  <c r="BL206" i="1" a="1"/>
  <c r="BL206" i="1" s="1"/>
  <c r="BM173" i="1" a="1"/>
  <c r="BM173" i="1" s="1"/>
  <c r="BJ173" i="1" s="1" a="1"/>
  <c r="BJ173" i="1" s="1"/>
  <c r="BM183" i="1" a="1"/>
  <c r="BM183" i="1" s="1"/>
  <c r="BJ183" i="1" s="1" a="1"/>
  <c r="BJ183" i="1" s="1"/>
  <c r="BK176" i="1" a="1"/>
  <c r="BK176" i="1" s="1"/>
  <c r="BQ176" i="1" s="1"/>
  <c r="BR176" i="1" s="1"/>
  <c r="BM179" i="1" a="1"/>
  <c r="BM179" i="1" s="1"/>
  <c r="BJ179" i="1" s="1" a="1"/>
  <c r="BJ179" i="1" s="1"/>
  <c r="BN182" i="1" a="1"/>
  <c r="BN182" i="1" s="1"/>
  <c r="BI188" i="1" a="1"/>
  <c r="BI188" i="1" s="1"/>
  <c r="BL201" i="1" a="1"/>
  <c r="BL201" i="1" s="1"/>
  <c r="BM170" i="1" a="1"/>
  <c r="BM170" i="1" s="1"/>
  <c r="BJ170" i="1" s="1" a="1"/>
  <c r="BJ170" i="1" s="1"/>
  <c r="BM177" i="1" a="1"/>
  <c r="BM177" i="1" s="1"/>
  <c r="BJ177" i="1" s="1" a="1"/>
  <c r="BJ177" i="1" s="1"/>
  <c r="BL183" i="1" a="1"/>
  <c r="BL183" i="1" s="1"/>
  <c r="BM201" i="1" a="1"/>
  <c r="BM201" i="1" s="1"/>
  <c r="BJ201" i="1" s="1" a="1"/>
  <c r="BJ201" i="1" s="1"/>
  <c r="BL179" i="1" a="1"/>
  <c r="BL179" i="1" s="1"/>
  <c r="BK180" i="1"/>
  <c r="BM189" i="1" a="1"/>
  <c r="BM189" i="1" s="1"/>
  <c r="BJ189" i="1" s="1" a="1"/>
  <c r="BJ189" i="1" s="1"/>
  <c r="BI198" i="1" a="1"/>
  <c r="BI198" i="1" s="1"/>
  <c r="BK171" i="1"/>
  <c r="BN201" i="1" a="1"/>
  <c r="BN201" i="1" s="1"/>
  <c r="BM171" i="1" a="1"/>
  <c r="BM171" i="1" s="1"/>
  <c r="BJ171" i="1" s="1" a="1"/>
  <c r="BJ171" i="1" s="1"/>
  <c r="BK173" i="1" a="1"/>
  <c r="BK173" i="1" s="1"/>
  <c r="BM176" i="1" a="1"/>
  <c r="BM176" i="1" s="1"/>
  <c r="BJ176" i="1" s="1" a="1"/>
  <c r="BJ176" i="1" s="1"/>
  <c r="BI179" i="1" a="1"/>
  <c r="BI179" i="1" s="1"/>
  <c r="BM182" i="1" a="1"/>
  <c r="BM182" i="1" s="1"/>
  <c r="BJ182" i="1" s="1" a="1"/>
  <c r="BJ182" i="1" s="1"/>
  <c r="BM191" i="1" a="1"/>
  <c r="BM191" i="1" s="1"/>
  <c r="BJ191" i="1" s="1" a="1"/>
  <c r="BJ191" i="1" s="1"/>
  <c r="BM192" i="1" a="1"/>
  <c r="BM192" i="1" s="1"/>
  <c r="BJ192" i="1" s="1" a="1"/>
  <c r="BJ192" i="1" s="1"/>
  <c r="BI170" i="1" a="1"/>
  <c r="BI170" i="1" s="1"/>
  <c r="BM174" i="1" a="1"/>
  <c r="BM174" i="1" s="1"/>
  <c r="BJ174" i="1" s="1" a="1"/>
  <c r="BJ174" i="1" s="1"/>
  <c r="BN177" i="1" a="1"/>
  <c r="BN177" i="1" s="1"/>
  <c r="BM188" i="1" a="1"/>
  <c r="BM188" i="1" s="1"/>
  <c r="BJ188" i="1" s="1" a="1"/>
  <c r="BJ188" i="1" s="1"/>
  <c r="BI200" i="1" a="1"/>
  <c r="BI200" i="1" s="1"/>
  <c r="BM200" i="1" a="1"/>
  <c r="BM200" i="1" s="1"/>
  <c r="BJ200" i="1" s="1" a="1"/>
  <c r="BJ200" i="1" s="1"/>
  <c r="BN200" i="1" a="1"/>
  <c r="BN200" i="1" s="1"/>
  <c r="BL197" i="1" a="1"/>
  <c r="BL197" i="1" s="1"/>
  <c r="BM197" i="1" a="1"/>
  <c r="BM197" i="1" s="1"/>
  <c r="BJ197" i="1" s="1" a="1"/>
  <c r="BJ197" i="1" s="1"/>
  <c r="BI197" i="1" a="1"/>
  <c r="BI197" i="1" s="1"/>
  <c r="BK198" i="1"/>
  <c r="BL198" i="1" a="1"/>
  <c r="BL198" i="1" s="1"/>
  <c r="BK191" i="1"/>
  <c r="BI192" i="1" a="1"/>
  <c r="BI192" i="1" s="1"/>
  <c r="BL191" i="1"/>
  <c r="BI191" i="1" a="1"/>
  <c r="BI191" i="1" s="1"/>
  <c r="BK192" i="1"/>
  <c r="BL192" i="1"/>
  <c r="BL188" i="1"/>
  <c r="BK189" i="1"/>
  <c r="BL189" i="1"/>
  <c r="E182" i="1" a="1"/>
  <c r="E182" i="1" s="1"/>
  <c r="E183" i="1" a="1"/>
  <c r="E183" i="1" s="1"/>
  <c r="BK182" i="1" a="1"/>
  <c r="BK182" i="1" s="1"/>
  <c r="BN183" i="1" a="1"/>
  <c r="BN183" i="1" s="1"/>
  <c r="BL182" i="1" a="1"/>
  <c r="BL182" i="1" s="1"/>
  <c r="BK183" i="1" a="1"/>
  <c r="BK183" i="1" s="1"/>
  <c r="E180" i="1" a="1"/>
  <c r="E180" i="1" s="1"/>
  <c r="BL180" i="1" a="1"/>
  <c r="BL180" i="1" s="1"/>
  <c r="BN179" i="1" a="1"/>
  <c r="BN179" i="1" s="1"/>
  <c r="BI180" i="1" a="1"/>
  <c r="BI180" i="1" s="1"/>
  <c r="BK179" i="1"/>
  <c r="E179" i="1" a="1"/>
  <c r="E179" i="1" s="1"/>
  <c r="E177" i="1" a="1"/>
  <c r="E177" i="1" s="1"/>
  <c r="E176" i="1" a="1"/>
  <c r="E176" i="1" s="1"/>
  <c r="BL176" i="1" a="1"/>
  <c r="BL176" i="1" s="1"/>
  <c r="BK177" i="1" a="1"/>
  <c r="BK177" i="1" s="1"/>
  <c r="BQ177" i="1" s="1"/>
  <c r="BR177" i="1" s="1"/>
  <c r="BI176" i="1" a="1"/>
  <c r="BI176" i="1" s="1"/>
  <c r="BL177" i="1" a="1"/>
  <c r="BL177" i="1" s="1"/>
  <c r="E173" i="1" a="1"/>
  <c r="E173" i="1" s="1"/>
  <c r="E174" i="1" a="1"/>
  <c r="E174" i="1" s="1"/>
  <c r="BK174" i="1" a="1"/>
  <c r="BK174" i="1" s="1"/>
  <c r="E171" i="1" a="1"/>
  <c r="E171" i="1" s="1"/>
  <c r="BL171" i="1" a="1"/>
  <c r="BL171" i="1" s="1"/>
  <c r="BN170" i="1" a="1"/>
  <c r="BN170" i="1" s="1"/>
  <c r="BI171" i="1" a="1"/>
  <c r="BI171" i="1" s="1"/>
  <c r="BK170" i="1"/>
  <c r="E170" i="1" a="1"/>
  <c r="E170" i="1" s="1"/>
  <c r="BM168" i="1" a="1"/>
  <c r="BM168" i="1" s="1"/>
  <c r="BJ168" i="1" s="1" a="1"/>
  <c r="BJ168" i="1" s="1"/>
  <c r="BM167" i="1" a="1"/>
  <c r="BM167" i="1" s="1"/>
  <c r="BJ167" i="1" s="1" a="1"/>
  <c r="BJ167" i="1" s="1"/>
  <c r="BK167" i="1" a="1"/>
  <c r="BK167" i="1" s="1"/>
  <c r="BQ167" i="1" s="1"/>
  <c r="BR167" i="1" s="1"/>
  <c r="BI50" i="1" a="1"/>
  <c r="BI50" i="1" s="1"/>
  <c r="BI27" i="1" a="1"/>
  <c r="BI27" i="1" s="1"/>
  <c r="BL168" i="1" a="1"/>
  <c r="BL168" i="1" s="1"/>
  <c r="BN167" i="1" a="1"/>
  <c r="BN167" i="1" s="1"/>
  <c r="BK168" i="1" a="1"/>
  <c r="BK168" i="1" s="1"/>
  <c r="BQ168" i="1" s="1"/>
  <c r="BR168" i="1" s="1"/>
  <c r="BN168" i="1" a="1"/>
  <c r="BN168" i="1" s="1"/>
  <c r="E167" i="1" a="1"/>
  <c r="E167" i="1" s="1"/>
  <c r="E168" i="1" a="1"/>
  <c r="E168" i="1" s="1"/>
  <c r="BL167" i="1" a="1"/>
  <c r="BL167" i="1" s="1"/>
  <c r="BI167" i="1" a="1"/>
  <c r="BI167" i="1" s="1"/>
  <c r="BL166" i="1" a="1"/>
  <c r="BL166" i="1" s="1"/>
  <c r="BM166" i="1" a="1"/>
  <c r="BM166" i="1" s="1"/>
  <c r="BJ166" i="1" s="1" a="1"/>
  <c r="BJ166" i="1" s="1"/>
  <c r="BK166" i="1" a="1"/>
  <c r="BK166" i="1" s="1"/>
  <c r="BQ166" i="1" s="1"/>
  <c r="BR166" i="1" s="1"/>
  <c r="BN166" i="1" a="1"/>
  <c r="BN166" i="1" s="1"/>
  <c r="BI35" i="1" a="1"/>
  <c r="BI35" i="1" s="1"/>
  <c r="BI166" i="1" a="1"/>
  <c r="BI166" i="1" s="1"/>
  <c r="BM21" i="1" a="1"/>
  <c r="BM21" i="1" s="1"/>
  <c r="BJ21" i="1" s="1" a="1"/>
  <c r="BJ21" i="1" s="1"/>
  <c r="BI12" i="1" a="1"/>
  <c r="BI12" i="1" s="1"/>
  <c r="BN35" i="1" a="1"/>
  <c r="BN35" i="1" s="1"/>
  <c r="BM50" i="1" a="1"/>
  <c r="BM50" i="1" s="1"/>
  <c r="BJ50" i="1" s="1" a="1"/>
  <c r="BJ50" i="1" s="1"/>
  <c r="BI29" i="1" a="1"/>
  <c r="BI29" i="1" s="1"/>
  <c r="BI49" i="1" a="1"/>
  <c r="BI49" i="1" s="1"/>
  <c r="BN49" i="1" a="1"/>
  <c r="BN49" i="1" s="1"/>
  <c r="BI45" i="1" a="1"/>
  <c r="BI45" i="1" s="1"/>
  <c r="BL50" i="1" a="1"/>
  <c r="BL50" i="1" s="1"/>
  <c r="BN30" i="1" a="1"/>
  <c r="BN30" i="1" s="1"/>
  <c r="BN27" i="1" a="1"/>
  <c r="BN27" i="1" s="1"/>
  <c r="BN48" i="1" a="1"/>
  <c r="BN48" i="1" s="1"/>
  <c r="BK49" i="1"/>
  <c r="BL49" i="1" a="1"/>
  <c r="BL49" i="1" s="1"/>
  <c r="BN50" i="1" a="1"/>
  <c r="BN50" i="1" s="1"/>
  <c r="BM49" i="1" a="1"/>
  <c r="BM49" i="1" s="1"/>
  <c r="BJ49" i="1" s="1" a="1"/>
  <c r="BJ49" i="1" s="1"/>
  <c r="BK50" i="1"/>
  <c r="BI16" i="1" a="1"/>
  <c r="BI16" i="1" s="1"/>
  <c r="BN36" i="1" a="1"/>
  <c r="BN36" i="1" s="1"/>
  <c r="BL38" i="1" a="1"/>
  <c r="BL38" i="1" s="1"/>
  <c r="BI39" i="1" a="1"/>
  <c r="BI39" i="1" s="1"/>
  <c r="BI41" i="1" a="1"/>
  <c r="BI41" i="1" s="1"/>
  <c r="BN42" i="1" a="1"/>
  <c r="BN42" i="1" s="1"/>
  <c r="BM13" i="1" a="1"/>
  <c r="BM13" i="1" s="1"/>
  <c r="BJ13" i="1" s="1" a="1"/>
  <c r="BJ13" i="1" s="1"/>
  <c r="BI13" i="1" a="1"/>
  <c r="BI13" i="1" s="1"/>
  <c r="BI21" i="1" a="1"/>
  <c r="BI21" i="1" s="1"/>
  <c r="BK27" i="1"/>
  <c r="BN15" i="1" a="1"/>
  <c r="BN15" i="1" s="1"/>
  <c r="BI33" i="1" a="1"/>
  <c r="BI33" i="1" s="1"/>
  <c r="AT47" i="1"/>
  <c r="BK39" i="1"/>
  <c r="BM30" i="1" a="1"/>
  <c r="BM30" i="1" s="1"/>
  <c r="BJ30" i="1" s="1" a="1"/>
  <c r="BJ30" i="1" s="1"/>
  <c r="BN33" i="1" a="1"/>
  <c r="BN33" i="1" s="1"/>
  <c r="BN20" i="1" a="1"/>
  <c r="BN20" i="1" s="1"/>
  <c r="BK21" i="1"/>
  <c r="BK26" i="1"/>
  <c r="AT36" i="1"/>
  <c r="BK29" i="1"/>
  <c r="BL32" i="1" a="1"/>
  <c r="BL32" i="1" s="1"/>
  <c r="BI36" i="1" a="1"/>
  <c r="BI36" i="1" s="1"/>
  <c r="BM39" i="1" a="1"/>
  <c r="BM39" i="1" s="1"/>
  <c r="BJ39" i="1" s="1" a="1"/>
  <c r="BJ39" i="1" s="1"/>
  <c r="BL45" i="1" a="1"/>
  <c r="BL45" i="1" s="1"/>
  <c r="AT15" i="1"/>
  <c r="BL20" i="1" a="1"/>
  <c r="BL20" i="1" s="1"/>
  <c r="BL26" i="1" a="1"/>
  <c r="BL26" i="1" s="1"/>
  <c r="BM32" i="1" a="1"/>
  <c r="BM32" i="1" s="1"/>
  <c r="BJ32" i="1" s="1" a="1"/>
  <c r="BJ32" i="1" s="1"/>
  <c r="BK33" i="1"/>
  <c r="BK44" i="1"/>
  <c r="BK47" i="1"/>
  <c r="BK35" i="1"/>
  <c r="BN13" i="1" a="1"/>
  <c r="BN13" i="1" s="1"/>
  <c r="BI15" i="1" a="1"/>
  <c r="BI15" i="1" s="1"/>
  <c r="BI26" i="1" a="1"/>
  <c r="BI26" i="1" s="1"/>
  <c r="BK30" i="1"/>
  <c r="BM33" i="1" a="1"/>
  <c r="BM33" i="1" s="1"/>
  <c r="BJ33" i="1" s="1" a="1"/>
  <c r="BJ33" i="1" s="1"/>
  <c r="BM48" i="1" a="1"/>
  <c r="BM48" i="1" s="1"/>
  <c r="BJ48" i="1" s="1" a="1"/>
  <c r="BJ48" i="1" s="1"/>
  <c r="BS32" i="1"/>
  <c r="BL12" i="1" a="1"/>
  <c r="BL12" i="1" s="1"/>
  <c r="BM26" i="1" a="1"/>
  <c r="BM26" i="1" s="1"/>
  <c r="BJ26" i="1" s="1" a="1"/>
  <c r="BJ26" i="1" s="1"/>
  <c r="BK38" i="1"/>
  <c r="BK41" i="1"/>
  <c r="BL44" i="1" a="1"/>
  <c r="BL44" i="1" s="1"/>
  <c r="BM16" i="1" a="1"/>
  <c r="BM16" i="1" s="1"/>
  <c r="BJ16" i="1" s="1" a="1"/>
  <c r="BJ16" i="1" s="1"/>
  <c r="BM27" i="1" a="1"/>
  <c r="BM27" i="1" s="1"/>
  <c r="BJ27" i="1" s="1" a="1"/>
  <c r="BJ27" i="1" s="1"/>
  <c r="BM36" i="1" a="1"/>
  <c r="BM36" i="1" s="1"/>
  <c r="BJ36" i="1" s="1" a="1"/>
  <c r="BJ36" i="1" s="1"/>
  <c r="BI44" i="1" a="1"/>
  <c r="BI44" i="1" s="1"/>
  <c r="BN12" i="1" a="1"/>
  <c r="BN12" i="1" s="1"/>
  <c r="BN38" i="1" a="1"/>
  <c r="BN38" i="1" s="1"/>
  <c r="BK42" i="1"/>
  <c r="BK13" i="1"/>
  <c r="BK32" i="1"/>
  <c r="BM42" i="1" a="1"/>
  <c r="BM42" i="1" s="1"/>
  <c r="BJ42" i="1" s="1" a="1"/>
  <c r="BJ42" i="1" s="1"/>
  <c r="BM45" i="1" a="1"/>
  <c r="BM45" i="1" s="1"/>
  <c r="BJ45" i="1" s="1" a="1"/>
  <c r="BJ45" i="1" s="1"/>
  <c r="BI48" i="1" a="1"/>
  <c r="BI48" i="1" s="1"/>
  <c r="BM47" i="1" a="1"/>
  <c r="BM47" i="1" s="1"/>
  <c r="BJ47" i="1" s="1" a="1"/>
  <c r="BJ47" i="1" s="1"/>
  <c r="AT48" i="1"/>
  <c r="BI47" i="1" a="1"/>
  <c r="BI47" i="1" s="1"/>
  <c r="BN47" i="1" a="1"/>
  <c r="BN47" i="1" s="1"/>
  <c r="BK48" i="1"/>
  <c r="BM44" i="1" a="1"/>
  <c r="BM44" i="1" s="1"/>
  <c r="BJ44" i="1" s="1" a="1"/>
  <c r="BJ44" i="1" s="1"/>
  <c r="BN45" i="1" a="1"/>
  <c r="BN45" i="1" s="1"/>
  <c r="E44" i="1" a="1"/>
  <c r="E44" i="1" s="1"/>
  <c r="BN44" i="1" a="1"/>
  <c r="BN44" i="1" s="1"/>
  <c r="BK45" i="1"/>
  <c r="E42" i="1" a="1"/>
  <c r="E42" i="1" s="1"/>
  <c r="BM41" i="1" a="1"/>
  <c r="BM41" i="1" s="1"/>
  <c r="BJ41" i="1" s="1" a="1"/>
  <c r="BJ41" i="1" s="1"/>
  <c r="BI42" i="1" a="1"/>
  <c r="BI42" i="1" s="1"/>
  <c r="E41" i="1" a="1"/>
  <c r="E41" i="1" s="1"/>
  <c r="BN41" i="1" a="1"/>
  <c r="BN41" i="1" s="1"/>
  <c r="AT42" i="1"/>
  <c r="AT41" i="1"/>
  <c r="BL39" i="1" a="1"/>
  <c r="BL39" i="1" s="1"/>
  <c r="BN39" i="1" a="1"/>
  <c r="BN39" i="1" s="1"/>
  <c r="BM38" i="1" a="1"/>
  <c r="BM38" i="1" s="1"/>
  <c r="BJ38" i="1" s="1" a="1"/>
  <c r="BJ38" i="1" s="1"/>
  <c r="BI38" i="1" a="1"/>
  <c r="BI38" i="1" s="1"/>
  <c r="E36" i="1" a="1"/>
  <c r="E36" i="1" s="1"/>
  <c r="BM35" i="1" a="1"/>
  <c r="BM35" i="1" s="1"/>
  <c r="BJ35" i="1" s="1" a="1"/>
  <c r="BJ35" i="1" s="1"/>
  <c r="AT35" i="1"/>
  <c r="BK36" i="1"/>
  <c r="BS33" i="1"/>
  <c r="BO33" i="1"/>
  <c r="E33" i="1" a="1"/>
  <c r="E33" i="1" s="1"/>
  <c r="BL33" i="1" a="1"/>
  <c r="BL33" i="1" s="1"/>
  <c r="E32" i="1" a="1"/>
  <c r="E32" i="1" s="1"/>
  <c r="BN32" i="1" a="1"/>
  <c r="BN32" i="1" s="1"/>
  <c r="BI32" i="1" a="1"/>
  <c r="BI32" i="1" s="1"/>
  <c r="BO32" i="1"/>
  <c r="E30" i="1" a="1"/>
  <c r="E30" i="1" s="1"/>
  <c r="BM29" i="1" a="1"/>
  <c r="BM29" i="1" s="1"/>
  <c r="BJ29" i="1" s="1" a="1"/>
  <c r="BJ29" i="1" s="1"/>
  <c r="BI30" i="1" a="1"/>
  <c r="BI30" i="1" s="1"/>
  <c r="E29" i="1" a="1"/>
  <c r="E29" i="1" s="1"/>
  <c r="BN29" i="1" a="1"/>
  <c r="BN29" i="1" s="1"/>
  <c r="AT30" i="1"/>
  <c r="AT29" i="1"/>
  <c r="E27" i="1" a="1"/>
  <c r="E27" i="1" s="1"/>
  <c r="BL27" i="1" a="1"/>
  <c r="BL27" i="1" s="1"/>
  <c r="E26" i="1" a="1"/>
  <c r="E26" i="1" s="1"/>
  <c r="BN26" i="1" a="1"/>
  <c r="BN26" i="1" s="1"/>
  <c r="BK20" i="1"/>
  <c r="BN21" i="1" a="1"/>
  <c r="BN21" i="1" s="1"/>
  <c r="BM20" i="1" a="1"/>
  <c r="BM20" i="1" s="1"/>
  <c r="BJ20" i="1" s="1" a="1"/>
  <c r="BJ20" i="1" s="1"/>
  <c r="BI20" i="1" a="1"/>
  <c r="BI20" i="1" s="1"/>
  <c r="BL21" i="1" a="1"/>
  <c r="BL21" i="1" s="1"/>
  <c r="BK15" i="1"/>
  <c r="BN16" i="1" a="1"/>
  <c r="BN16" i="1" s="1"/>
  <c r="BM15" i="1" a="1"/>
  <c r="BM15" i="1" s="1"/>
  <c r="BJ15" i="1" s="1" a="1"/>
  <c r="BJ15" i="1" s="1"/>
  <c r="AT16" i="1"/>
  <c r="BK16" i="1"/>
  <c r="E13" i="1" a="1"/>
  <c r="E13" i="1" s="1"/>
  <c r="BM12" i="1" a="1"/>
  <c r="BM12" i="1" s="1"/>
  <c r="BJ12" i="1" s="1" a="1"/>
  <c r="BJ12" i="1" s="1"/>
  <c r="E12" i="1" a="1"/>
  <c r="E12" i="1" s="1"/>
  <c r="BK12" i="1"/>
  <c r="BL13" i="1" a="1"/>
  <c r="BL13" i="1" s="1"/>
  <c r="BN6" i="1" a="1"/>
  <c r="BN6" i="1" s="1"/>
  <c r="BI9" i="1" a="1"/>
  <c r="BI9" i="1" s="1"/>
  <c r="BM9" i="1" a="1"/>
  <c r="BM9" i="1" s="1"/>
  <c r="BJ9" i="1" s="1" a="1"/>
  <c r="BJ9" i="1" s="1"/>
  <c r="K2459" i="1" a="1"/>
  <c r="K2459" i="1" s="1"/>
  <c r="F2465" i="1" a="1"/>
  <c r="F2465" i="1" s="1"/>
  <c r="E2465" i="1" s="1" a="1"/>
  <c r="E2465" i="1" s="1"/>
  <c r="H15" i="7"/>
  <c r="BI5" i="1" a="1"/>
  <c r="BI5" i="1" s="1"/>
  <c r="BM8" i="1" a="1"/>
  <c r="BM8" i="1" s="1"/>
  <c r="BJ8" i="1" s="1" a="1"/>
  <c r="BJ8" i="1" s="1"/>
  <c r="AY2465" i="1"/>
  <c r="BI8" i="1" a="1"/>
  <c r="BI8" i="1" s="1"/>
  <c r="BN9" i="1" a="1"/>
  <c r="BN9" i="1" s="1"/>
  <c r="AT9" i="1"/>
  <c r="BK9" i="1"/>
  <c r="BM6" i="1" a="1"/>
  <c r="BM6" i="1" s="1"/>
  <c r="BJ6" i="1" s="1" a="1"/>
  <c r="BJ6" i="1" s="1"/>
  <c r="BK8" i="1"/>
  <c r="E8" i="1" a="1"/>
  <c r="E8" i="1" s="1"/>
  <c r="BI3" i="1" a="1"/>
  <c r="BI3" i="1" s="1"/>
  <c r="BN8" i="1" a="1"/>
  <c r="BN8" i="1" s="1"/>
  <c r="AT8" i="1"/>
  <c r="BK6" i="1"/>
  <c r="BS6" i="1"/>
  <c r="BO6" i="1"/>
  <c r="E6" i="1" a="1"/>
  <c r="E6" i="1" s="1"/>
  <c r="BL6" i="1" a="1"/>
  <c r="BL6" i="1" s="1"/>
  <c r="BI6" i="1" a="1"/>
  <c r="BI6" i="1" s="1"/>
  <c r="BM5" i="1" a="1"/>
  <c r="BM5" i="1" s="1"/>
  <c r="BJ5" i="1" s="1" a="1"/>
  <c r="BJ5" i="1" s="1"/>
  <c r="BL5" i="1" a="1"/>
  <c r="BL5" i="1" s="1"/>
  <c r="E5" i="1" a="1"/>
  <c r="E5" i="1" s="1"/>
  <c r="BN5" i="1" a="1"/>
  <c r="BN5" i="1" s="1"/>
  <c r="BK5" i="1"/>
  <c r="BM3" i="1" a="1"/>
  <c r="BM3" i="1" s="1"/>
  <c r="BJ3" i="1" s="1" a="1"/>
  <c r="BJ3" i="1" s="1"/>
  <c r="BK3" i="1"/>
  <c r="E3" i="1" a="1"/>
  <c r="E3" i="1" s="1"/>
  <c r="BN3" i="1" a="1"/>
  <c r="BN3" i="1" s="1"/>
  <c r="AT3" i="1"/>
  <c r="BM2" i="1" a="1"/>
  <c r="BM2" i="1" s="1"/>
  <c r="BJ2" i="1" s="1" a="1"/>
  <c r="BJ2" i="1" s="1"/>
  <c r="BI2" i="1" a="1"/>
  <c r="BI2" i="1" s="1"/>
  <c r="BS2" i="1"/>
  <c r="E2" i="1" a="1"/>
  <c r="E2" i="1" s="1"/>
  <c r="BN2" i="1" a="1"/>
  <c r="BN2" i="1" s="1"/>
  <c r="AT2" i="1"/>
  <c r="BO2" i="1"/>
  <c r="BK2593" i="1" a="1"/>
  <c r="BK2593" i="1" s="1"/>
  <c r="BK2" i="1"/>
  <c r="K2365" i="1" a="1"/>
  <c r="K2365" i="1" s="1"/>
  <c r="F2459" i="1" a="1"/>
  <c r="F2459" i="1" s="1"/>
  <c r="E2459" i="1" s="1" a="1"/>
  <c r="E2459" i="1" s="1"/>
  <c r="BI2504" i="1" a="1"/>
  <c r="BI2504" i="1" s="1"/>
  <c r="AZ1286" i="1"/>
  <c r="K760" i="1" a="1"/>
  <c r="K760" i="1" s="1"/>
  <c r="F2468" i="1" a="1"/>
  <c r="F2468" i="1" s="1"/>
  <c r="E2468" i="1" s="1" a="1"/>
  <c r="E2468" i="1" s="1"/>
  <c r="AZ1226" i="1"/>
  <c r="J760" i="1" a="1"/>
  <c r="J760" i="1" s="1"/>
  <c r="AW2737" i="1"/>
  <c r="F1292" i="1" a="1"/>
  <c r="F1292" i="1" s="1"/>
  <c r="AZ804" i="1"/>
  <c r="R7" i="7"/>
  <c r="M15" i="7"/>
  <c r="M7" i="7"/>
  <c r="H7" i="7"/>
  <c r="C15" i="7"/>
  <c r="BN4" i="1" a="1"/>
  <c r="BN4" i="1" s="1"/>
  <c r="BN91" i="1" a="1"/>
  <c r="BN91" i="1" s="1"/>
  <c r="C7" i="7"/>
  <c r="E43" i="1" a="1"/>
  <c r="E43" i="1" s="1"/>
  <c r="E2471" i="1" a="1"/>
  <c r="E2471" i="1" s="1"/>
  <c r="K2382" i="1" a="1"/>
  <c r="K2382" i="1" s="1"/>
  <c r="E280" i="1" a="1"/>
  <c r="E280" i="1" s="1"/>
  <c r="E512" i="1" a="1"/>
  <c r="E512" i="1" s="1"/>
  <c r="E127" i="1" a="1"/>
  <c r="E127" i="1" s="1"/>
  <c r="B3" i="7" s="1"/>
  <c r="E516" i="1" a="1"/>
  <c r="E516" i="1" s="1"/>
  <c r="B13" i="7" s="1"/>
  <c r="D13" i="7" s="1"/>
  <c r="E528" i="1" a="1"/>
  <c r="E528" i="1" s="1"/>
  <c r="E562" i="1" a="1"/>
  <c r="E562" i="1" s="1"/>
  <c r="E1081" i="1" a="1"/>
  <c r="E1081" i="1" s="1"/>
  <c r="G14" i="7" s="1"/>
  <c r="I14" i="7" s="1"/>
  <c r="E1170" i="1" a="1"/>
  <c r="E1170" i="1" s="1"/>
  <c r="E1220" i="1" a="1"/>
  <c r="E1220" i="1" s="1"/>
  <c r="E1182" i="1" a="1"/>
  <c r="E1182" i="1" s="1"/>
  <c r="N14" i="7"/>
  <c r="E1193" i="1" a="1"/>
  <c r="E1193" i="1" s="1"/>
  <c r="E2120" i="1" a="1"/>
  <c r="E2120" i="1" s="1"/>
  <c r="L11" i="7" s="1"/>
  <c r="N11" i="7" s="1"/>
  <c r="E2315" i="1" a="1"/>
  <c r="E2315" i="1" s="1"/>
  <c r="E2321" i="1" a="1"/>
  <c r="E2321" i="1" s="1"/>
  <c r="E1201" i="1" a="1"/>
  <c r="E1201" i="1" s="1"/>
  <c r="E2437" i="1" a="1"/>
  <c r="E2437" i="1" s="1"/>
  <c r="E7" i="1" a="1"/>
  <c r="E7" i="1" s="1"/>
  <c r="D3" i="5"/>
  <c r="E10" i="1" a="1"/>
  <c r="E10" i="1" s="1"/>
  <c r="D4" i="5"/>
  <c r="E11" i="1" a="1"/>
  <c r="E11" i="1" s="1"/>
  <c r="D5" i="5"/>
  <c r="E94" i="1" a="1"/>
  <c r="E94" i="1" s="1"/>
  <c r="B4" i="7" s="1"/>
  <c r="E230" i="1" a="1"/>
  <c r="E230" i="1" s="1"/>
  <c r="B14" i="7" s="1"/>
  <c r="D14" i="7" s="1"/>
  <c r="E281" i="1" a="1"/>
  <c r="E281" i="1" s="1"/>
  <c r="E289" i="1" a="1"/>
  <c r="E289" i="1" s="1"/>
  <c r="E327" i="1" a="1"/>
  <c r="E327" i="1" s="1"/>
  <c r="E573" i="1" a="1"/>
  <c r="E573" i="1" s="1"/>
  <c r="E661" i="1" a="1"/>
  <c r="E661" i="1" s="1"/>
  <c r="G3" i="7" s="1"/>
  <c r="E1497" i="1" a="1"/>
  <c r="E1497" i="1" s="1"/>
  <c r="N4" i="7"/>
  <c r="E1710" i="1" a="1"/>
  <c r="E1710" i="1" s="1"/>
  <c r="L3" i="7" s="1"/>
  <c r="E2065" i="1" a="1"/>
  <c r="E2065" i="1" s="1"/>
  <c r="E2444" i="1" a="1"/>
  <c r="E2444" i="1" s="1"/>
  <c r="E4" i="1" a="1"/>
  <c r="E4" i="1" s="1"/>
  <c r="D2" i="5"/>
  <c r="BL85" i="1" a="1"/>
  <c r="BL85" i="1" s="1"/>
  <c r="BK85" i="1"/>
  <c r="BN85" i="1" a="1"/>
  <c r="BN85" i="1" s="1"/>
  <c r="BM91" i="1" a="1"/>
  <c r="BM91" i="1" s="1"/>
  <c r="BJ91" i="1" s="1" a="1"/>
  <c r="BJ91" i="1" s="1"/>
  <c r="BM85" i="1" a="1"/>
  <c r="BM85" i="1" s="1"/>
  <c r="BJ85" i="1" s="1" a="1"/>
  <c r="BJ85" i="1" s="1"/>
  <c r="BI85" i="1" a="1"/>
  <c r="BI85" i="1" s="1"/>
  <c r="BL91" i="1" a="1"/>
  <c r="BL91" i="1" s="1"/>
  <c r="BK91" i="1"/>
  <c r="BI91" i="1" a="1"/>
  <c r="BI91" i="1" s="1"/>
  <c r="BK22" i="1"/>
  <c r="BK118" i="1"/>
  <c r="BK2440" i="1"/>
  <c r="AS2531" i="1" a="1"/>
  <c r="AS2531" i="1" s="1"/>
  <c r="AS2528" i="1" a="1"/>
  <c r="AS2528" i="1" s="1"/>
  <c r="AS2525" i="1" a="1"/>
  <c r="AS2525" i="1" s="1"/>
  <c r="AS2522" i="1" a="1"/>
  <c r="AS2522" i="1" s="1"/>
  <c r="AS2519" i="1" a="1"/>
  <c r="AS2519" i="1" s="1"/>
  <c r="AS2516" i="1" a="1"/>
  <c r="AS2516" i="1" s="1"/>
  <c r="AS2513" i="1" a="1"/>
  <c r="AS2513" i="1" s="1"/>
  <c r="AS2510" i="1" a="1"/>
  <c r="AS2510" i="1" s="1"/>
  <c r="AS2507" i="1" a="1"/>
  <c r="AS2507" i="1" s="1"/>
  <c r="AS2504" i="1" a="1"/>
  <c r="AS2504" i="1" s="1"/>
  <c r="AS2501" i="1" a="1"/>
  <c r="AS2501" i="1" s="1"/>
  <c r="AS2498" i="1" a="1"/>
  <c r="AS2498" i="1" s="1"/>
  <c r="AS2495" i="1" a="1"/>
  <c r="AS2495" i="1" s="1"/>
  <c r="AS2492" i="1" a="1"/>
  <c r="AS2492" i="1" s="1"/>
  <c r="AS2250" i="1" a="1"/>
  <c r="AS2250" i="1" s="1"/>
  <c r="AS2245" i="1" a="1"/>
  <c r="AS2245" i="1" s="1"/>
  <c r="AS2240" i="1" a="1"/>
  <c r="AS2240" i="1" s="1"/>
  <c r="AS2235" i="1" a="1"/>
  <c r="AS2235" i="1" s="1"/>
  <c r="AS2230" i="1" a="1"/>
  <c r="AS2230" i="1" s="1"/>
  <c r="AS2225" i="1" a="1"/>
  <c r="AS2225" i="1" s="1"/>
  <c r="AS2220" i="1" a="1"/>
  <c r="AS2220" i="1" s="1"/>
  <c r="AS2215" i="1" a="1"/>
  <c r="AS2215" i="1" s="1"/>
  <c r="AS2210" i="1" a="1"/>
  <c r="AS2210" i="1" s="1"/>
  <c r="AS2205" i="1" a="1"/>
  <c r="AS2205" i="1" s="1"/>
  <c r="AS2200" i="1" a="1"/>
  <c r="AS2200" i="1" s="1"/>
  <c r="AS2195" i="1" a="1"/>
  <c r="AS2195" i="1" s="1"/>
  <c r="AS2190" i="1" a="1"/>
  <c r="AS2190" i="1" s="1"/>
  <c r="AS2185" i="1" a="1"/>
  <c r="AS2185" i="1" s="1"/>
  <c r="AS1884" i="1" a="1"/>
  <c r="AS1884" i="1" s="1"/>
  <c r="AS1878" i="1" a="1"/>
  <c r="AS1878" i="1" s="1"/>
  <c r="AS1872" i="1" a="1"/>
  <c r="AS1872" i="1" s="1"/>
  <c r="AS1866" i="1" a="1"/>
  <c r="AS1866" i="1" s="1"/>
  <c r="AS1860" i="1" a="1"/>
  <c r="AS1860" i="1" s="1"/>
  <c r="AS1854" i="1" a="1"/>
  <c r="AS1854" i="1" s="1"/>
  <c r="AS1848" i="1" a="1"/>
  <c r="AS1848" i="1" s="1"/>
  <c r="AS1842" i="1" a="1"/>
  <c r="AS1842" i="1" s="1"/>
  <c r="AS1836" i="1" a="1"/>
  <c r="AS1836" i="1" s="1"/>
  <c r="AS1830" i="1" a="1"/>
  <c r="AS1830" i="1" s="1"/>
  <c r="AS1824" i="1" a="1"/>
  <c r="AS1824" i="1" s="1"/>
  <c r="AS1818" i="1" a="1"/>
  <c r="AS1818" i="1" s="1"/>
  <c r="AS1812" i="1" a="1"/>
  <c r="AS1812" i="1" s="1"/>
  <c r="AS1806" i="1" a="1"/>
  <c r="AS1806" i="1" s="1"/>
  <c r="AS1448" i="1" a="1"/>
  <c r="AS1448" i="1" s="1"/>
  <c r="AS1442" i="1" a="1"/>
  <c r="AS1442" i="1" s="1"/>
  <c r="AS1436" i="1" a="1"/>
  <c r="AS1436" i="1" s="1"/>
  <c r="AS1430" i="1" a="1"/>
  <c r="AS1430" i="1" s="1"/>
  <c r="AS1424" i="1" a="1"/>
  <c r="AS1424" i="1" s="1"/>
  <c r="AS1418" i="1" a="1"/>
  <c r="AS1418" i="1" s="1"/>
  <c r="AS1412" i="1" a="1"/>
  <c r="AS1412" i="1" s="1"/>
  <c r="AS1406" i="1" a="1"/>
  <c r="AS1406" i="1" s="1"/>
  <c r="AS1400" i="1" a="1"/>
  <c r="AS1400" i="1" s="1"/>
  <c r="AS1394" i="1" a="1"/>
  <c r="AS1394" i="1" s="1"/>
  <c r="AS1388" i="1" a="1"/>
  <c r="AS1388" i="1" s="1"/>
  <c r="AS1382" i="1" a="1"/>
  <c r="AS1382" i="1" s="1"/>
  <c r="AS1376" i="1" a="1"/>
  <c r="AS1376" i="1" s="1"/>
  <c r="AS1370" i="1" a="1"/>
  <c r="AS1370" i="1" s="1"/>
  <c r="AS980" i="1" a="1"/>
  <c r="AS980" i="1" s="1"/>
  <c r="AS969" i="1" a="1"/>
  <c r="AS969" i="1" s="1"/>
  <c r="AS958" i="1" a="1"/>
  <c r="AS958" i="1" s="1"/>
  <c r="AS947" i="1" a="1"/>
  <c r="AS947" i="1" s="1"/>
  <c r="AS936" i="1" a="1"/>
  <c r="AS936" i="1" s="1"/>
  <c r="AS925" i="1" a="1"/>
  <c r="AS925" i="1" s="1"/>
  <c r="AS914" i="1" a="1"/>
  <c r="AS914" i="1" s="1"/>
  <c r="AS903" i="1" a="1"/>
  <c r="AS903" i="1" s="1"/>
  <c r="AS892" i="1" a="1"/>
  <c r="AS892" i="1" s="1"/>
  <c r="AS881" i="1" a="1"/>
  <c r="AS881" i="1" s="1"/>
  <c r="AS870" i="1" a="1"/>
  <c r="AS870" i="1" s="1"/>
  <c r="AS859" i="1" a="1"/>
  <c r="AS859" i="1" s="1"/>
  <c r="AS848" i="1" a="1"/>
  <c r="AS848" i="1" s="1"/>
  <c r="AS837" i="1" a="1"/>
  <c r="AS837" i="1" s="1"/>
  <c r="AS319" i="1" a="1"/>
  <c r="AS319" i="1" s="1"/>
  <c r="AS318" i="1" a="1"/>
  <c r="AS318" i="1" s="1"/>
  <c r="AS317" i="1" a="1"/>
  <c r="AS317" i="1" s="1"/>
  <c r="AS316" i="1" a="1"/>
  <c r="AS316" i="1" s="1"/>
  <c r="AS315" i="1" a="1"/>
  <c r="AS315" i="1" s="1"/>
  <c r="AS314" i="1" a="1"/>
  <c r="AS314" i="1" s="1"/>
  <c r="AS313" i="1" a="1"/>
  <c r="AS313" i="1" s="1"/>
  <c r="AS312" i="1" a="1"/>
  <c r="AS312" i="1" s="1"/>
  <c r="AS311" i="1" a="1"/>
  <c r="AS311" i="1" s="1"/>
  <c r="AS310" i="1" a="1"/>
  <c r="AS310" i="1" s="1"/>
  <c r="AS309" i="1" a="1"/>
  <c r="AS309" i="1" s="1"/>
  <c r="AS308" i="1" a="1"/>
  <c r="AS308" i="1" s="1"/>
  <c r="AS307" i="1" a="1"/>
  <c r="AS307" i="1" s="1"/>
  <c r="AS306" i="1" a="1"/>
  <c r="AS306" i="1" s="1"/>
  <c r="AS305" i="1" a="1"/>
  <c r="AS305" i="1" s="1"/>
  <c r="AS210" i="1" a="1"/>
  <c r="AS210" i="1" s="1"/>
  <c r="AS207" i="1" a="1"/>
  <c r="AS207" i="1" s="1"/>
  <c r="AS202" i="1" a="1"/>
  <c r="AS202" i="1" s="1"/>
  <c r="AS199" i="1" a="1"/>
  <c r="AS199" i="1" s="1"/>
  <c r="AS196" i="1" a="1"/>
  <c r="AS196" i="1" s="1"/>
  <c r="AS193" i="1" a="1"/>
  <c r="AS193" i="1" s="1"/>
  <c r="AS190" i="1" a="1"/>
  <c r="AS190" i="1" s="1"/>
  <c r="AS187" i="1" a="1"/>
  <c r="AS187" i="1" s="1"/>
  <c r="AS184" i="1" a="1"/>
  <c r="AS184" i="1" s="1"/>
  <c r="AS181" i="1" a="1"/>
  <c r="AS181" i="1" s="1"/>
  <c r="AS178" i="1" a="1"/>
  <c r="AS178" i="1" s="1"/>
  <c r="AS175" i="1" a="1"/>
  <c r="AS175" i="1" s="1"/>
  <c r="AS172" i="1" a="1"/>
  <c r="AS172" i="1" s="1"/>
  <c r="AS169" i="1" a="1"/>
  <c r="AS169" i="1" s="1"/>
  <c r="Q3" i="7" l="1"/>
  <c r="L12" i="7"/>
  <c r="N12" i="7" s="1"/>
  <c r="L6" i="7"/>
  <c r="N6" i="7" s="1"/>
  <c r="G6" i="7"/>
  <c r="I6" i="7" s="1"/>
  <c r="B11" i="7"/>
  <c r="D11" i="7" s="1"/>
  <c r="Q4" i="7"/>
  <c r="S4" i="7" s="1"/>
  <c r="Q5" i="7"/>
  <c r="S5" i="7" s="1"/>
  <c r="Q6" i="7"/>
  <c r="L13" i="7"/>
  <c r="N13" i="7" s="1"/>
  <c r="L5" i="7"/>
  <c r="N5" i="7" s="1"/>
  <c r="G13" i="7"/>
  <c r="I13" i="7" s="1"/>
  <c r="G4" i="7"/>
  <c r="G5" i="7"/>
  <c r="I5" i="7" s="1"/>
  <c r="B5" i="7"/>
  <c r="D5" i="7" s="1"/>
  <c r="B6" i="7"/>
  <c r="BL2767" i="1"/>
  <c r="BK2768" i="1"/>
  <c r="BL2768" i="1"/>
  <c r="BK2767" i="1"/>
  <c r="BL1288" i="1" a="1"/>
  <c r="BL1288" i="1" s="1"/>
  <c r="BM1290" i="1" a="1"/>
  <c r="BM1290" i="1" s="1"/>
  <c r="BJ1290" i="1" s="1" a="1"/>
  <c r="BJ1290" i="1" s="1"/>
  <c r="BK1290" i="1"/>
  <c r="BM1291" i="1" a="1"/>
  <c r="BM1291" i="1" s="1"/>
  <c r="BJ1291" i="1" s="1" a="1"/>
  <c r="BJ1291" i="1" s="1"/>
  <c r="BL1291" i="1" a="1"/>
  <c r="BL1291" i="1" s="1"/>
  <c r="BK1291" i="1"/>
  <c r="BM2735" i="1" a="1"/>
  <c r="BM2735" i="1" s="1"/>
  <c r="BJ2735" i="1" s="1" a="1"/>
  <c r="BJ2735" i="1" s="1"/>
  <c r="BI2735" i="1" a="1"/>
  <c r="BI2735" i="1" s="1"/>
  <c r="BI2736" i="1" a="1"/>
  <c r="BI2736" i="1" s="1"/>
  <c r="BM2736" i="1" a="1"/>
  <c r="BM2736" i="1" s="1"/>
  <c r="BJ2736" i="1" s="1" a="1"/>
  <c r="BJ2736" i="1" s="1"/>
  <c r="BQ135" i="1"/>
  <c r="BR135" i="1" s="1"/>
  <c r="BQ159" i="1"/>
  <c r="BR159" i="1" s="1"/>
  <c r="BQ158" i="1"/>
  <c r="BR158" i="1" s="1"/>
  <c r="BQ156" i="1"/>
  <c r="BR156" i="1" s="1"/>
  <c r="BQ155" i="1"/>
  <c r="BR155" i="1" s="1"/>
  <c r="BQ147" i="1"/>
  <c r="BR147" i="1" s="1"/>
  <c r="BQ146" i="1"/>
  <c r="BR146" i="1" s="1"/>
  <c r="BQ134" i="1"/>
  <c r="BR134" i="1" s="1"/>
  <c r="BQ129" i="1"/>
  <c r="BR129" i="1" s="1"/>
  <c r="BQ128" i="1"/>
  <c r="BR128" i="1" s="1"/>
  <c r="D3" i="7"/>
  <c r="BQ33" i="1"/>
  <c r="BR33" i="1" s="1"/>
  <c r="BQ32" i="1"/>
  <c r="BR32" i="1" s="1"/>
  <c r="BQ6" i="1"/>
  <c r="BR6" i="1" s="1"/>
  <c r="S3" i="7"/>
  <c r="BQ2" i="1"/>
  <c r="BR2" i="1" s="1"/>
  <c r="K804" i="1" a="1"/>
  <c r="K804" i="1" s="1"/>
  <c r="N3" i="7"/>
  <c r="I3" i="7"/>
  <c r="B12" i="7"/>
  <c r="B15" i="7" s="1"/>
  <c r="D15" i="7" s="1"/>
  <c r="D6" i="7"/>
  <c r="D4" i="7"/>
  <c r="E1292" i="1" a="1"/>
  <c r="E1292" i="1" s="1"/>
  <c r="P572" i="5"/>
  <c r="O572" i="5"/>
  <c r="N572" i="5"/>
  <c r="M572" i="5"/>
  <c r="L572" i="5"/>
  <c r="K572" i="5"/>
  <c r="J572" i="5"/>
  <c r="I572" i="5"/>
  <c r="H572" i="5"/>
  <c r="G572" i="5"/>
  <c r="F572" i="5"/>
  <c r="E572" i="5"/>
  <c r="P571" i="5"/>
  <c r="O571" i="5"/>
  <c r="N571" i="5"/>
  <c r="M571" i="5"/>
  <c r="L571" i="5"/>
  <c r="K571" i="5"/>
  <c r="J571" i="5"/>
  <c r="I571" i="5"/>
  <c r="H571" i="5"/>
  <c r="G571" i="5"/>
  <c r="F571" i="5"/>
  <c r="E571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P565" i="5"/>
  <c r="O565" i="5"/>
  <c r="N565" i="5"/>
  <c r="M565" i="5"/>
  <c r="L565" i="5"/>
  <c r="K565" i="5"/>
  <c r="J565" i="5"/>
  <c r="I565" i="5"/>
  <c r="H565" i="5"/>
  <c r="G565" i="5"/>
  <c r="F565" i="5"/>
  <c r="E565" i="5"/>
  <c r="P564" i="5"/>
  <c r="O564" i="5"/>
  <c r="N564" i="5"/>
  <c r="M564" i="5"/>
  <c r="L564" i="5"/>
  <c r="K564" i="5"/>
  <c r="J564" i="5"/>
  <c r="I564" i="5"/>
  <c r="H564" i="5"/>
  <c r="G564" i="5"/>
  <c r="F564" i="5"/>
  <c r="E564" i="5"/>
  <c r="P563" i="5"/>
  <c r="O563" i="5"/>
  <c r="N563" i="5"/>
  <c r="M563" i="5"/>
  <c r="L563" i="5"/>
  <c r="K563" i="5"/>
  <c r="J563" i="5"/>
  <c r="I563" i="5"/>
  <c r="H563" i="5"/>
  <c r="G563" i="5"/>
  <c r="F563" i="5"/>
  <c r="E563" i="5"/>
  <c r="P562" i="5"/>
  <c r="O562" i="5"/>
  <c r="N562" i="5"/>
  <c r="M562" i="5"/>
  <c r="L562" i="5"/>
  <c r="K562" i="5"/>
  <c r="J562" i="5"/>
  <c r="I562" i="5"/>
  <c r="H562" i="5"/>
  <c r="G562" i="5"/>
  <c r="F562" i="5"/>
  <c r="E562" i="5"/>
  <c r="P561" i="5"/>
  <c r="O561" i="5"/>
  <c r="N561" i="5"/>
  <c r="M561" i="5"/>
  <c r="L561" i="5"/>
  <c r="K561" i="5"/>
  <c r="J561" i="5"/>
  <c r="I561" i="5"/>
  <c r="H561" i="5"/>
  <c r="G561" i="5"/>
  <c r="F561" i="5"/>
  <c r="E561" i="5"/>
  <c r="P560" i="5"/>
  <c r="O560" i="5"/>
  <c r="N560" i="5"/>
  <c r="M560" i="5"/>
  <c r="L560" i="5"/>
  <c r="K560" i="5"/>
  <c r="J560" i="5"/>
  <c r="I560" i="5"/>
  <c r="H560" i="5"/>
  <c r="G560" i="5"/>
  <c r="F560" i="5"/>
  <c r="E560" i="5"/>
  <c r="P559" i="5"/>
  <c r="O559" i="5"/>
  <c r="N559" i="5"/>
  <c r="M559" i="5"/>
  <c r="L559" i="5"/>
  <c r="K559" i="5"/>
  <c r="J559" i="5"/>
  <c r="I559" i="5"/>
  <c r="H559" i="5"/>
  <c r="G559" i="5"/>
  <c r="F559" i="5"/>
  <c r="E559" i="5"/>
  <c r="P558" i="5"/>
  <c r="O558" i="5"/>
  <c r="N558" i="5"/>
  <c r="M558" i="5"/>
  <c r="L558" i="5"/>
  <c r="K558" i="5"/>
  <c r="J558" i="5"/>
  <c r="I558" i="5"/>
  <c r="H558" i="5"/>
  <c r="G558" i="5"/>
  <c r="F558" i="5"/>
  <c r="E558" i="5"/>
  <c r="P557" i="5"/>
  <c r="O557" i="5"/>
  <c r="N557" i="5"/>
  <c r="M557" i="5"/>
  <c r="L557" i="5"/>
  <c r="K557" i="5"/>
  <c r="J557" i="5"/>
  <c r="I557" i="5"/>
  <c r="H557" i="5"/>
  <c r="G557" i="5"/>
  <c r="F557" i="5"/>
  <c r="E557" i="5"/>
  <c r="P556" i="5"/>
  <c r="O556" i="5"/>
  <c r="N556" i="5"/>
  <c r="M556" i="5"/>
  <c r="L556" i="5"/>
  <c r="K556" i="5"/>
  <c r="J556" i="5"/>
  <c r="I556" i="5"/>
  <c r="H556" i="5"/>
  <c r="G556" i="5"/>
  <c r="F556" i="5"/>
  <c r="E556" i="5"/>
  <c r="P555" i="5"/>
  <c r="O555" i="5"/>
  <c r="N555" i="5"/>
  <c r="M555" i="5"/>
  <c r="L555" i="5"/>
  <c r="K555" i="5"/>
  <c r="J555" i="5"/>
  <c r="I555" i="5"/>
  <c r="H555" i="5"/>
  <c r="G555" i="5"/>
  <c r="F555" i="5"/>
  <c r="E555" i="5"/>
  <c r="P554" i="5"/>
  <c r="O554" i="5"/>
  <c r="N554" i="5"/>
  <c r="M554" i="5"/>
  <c r="L554" i="5"/>
  <c r="K554" i="5"/>
  <c r="J554" i="5"/>
  <c r="I554" i="5"/>
  <c r="H554" i="5"/>
  <c r="G554" i="5"/>
  <c r="F554" i="5"/>
  <c r="E554" i="5"/>
  <c r="P553" i="5"/>
  <c r="O553" i="5"/>
  <c r="N553" i="5"/>
  <c r="M553" i="5"/>
  <c r="L553" i="5"/>
  <c r="K553" i="5"/>
  <c r="J553" i="5"/>
  <c r="I553" i="5"/>
  <c r="H553" i="5"/>
  <c r="G553" i="5"/>
  <c r="F553" i="5"/>
  <c r="E553" i="5"/>
  <c r="P552" i="5"/>
  <c r="O552" i="5"/>
  <c r="N552" i="5"/>
  <c r="M552" i="5"/>
  <c r="L552" i="5"/>
  <c r="K552" i="5"/>
  <c r="J552" i="5"/>
  <c r="I552" i="5"/>
  <c r="H552" i="5"/>
  <c r="G552" i="5"/>
  <c r="F552" i="5"/>
  <c r="E552" i="5"/>
  <c r="P551" i="5"/>
  <c r="O551" i="5"/>
  <c r="N551" i="5"/>
  <c r="M551" i="5"/>
  <c r="L551" i="5"/>
  <c r="K551" i="5"/>
  <c r="J551" i="5"/>
  <c r="I551" i="5"/>
  <c r="H551" i="5"/>
  <c r="G551" i="5"/>
  <c r="F551" i="5"/>
  <c r="E551" i="5"/>
  <c r="P550" i="5"/>
  <c r="O550" i="5"/>
  <c r="N550" i="5"/>
  <c r="M550" i="5"/>
  <c r="L550" i="5"/>
  <c r="K550" i="5"/>
  <c r="J550" i="5"/>
  <c r="I550" i="5"/>
  <c r="H550" i="5"/>
  <c r="G550" i="5"/>
  <c r="F550" i="5"/>
  <c r="E550" i="5"/>
  <c r="P549" i="5"/>
  <c r="O549" i="5"/>
  <c r="N549" i="5"/>
  <c r="M549" i="5"/>
  <c r="L549" i="5"/>
  <c r="K549" i="5"/>
  <c r="J549" i="5"/>
  <c r="I549" i="5"/>
  <c r="H549" i="5"/>
  <c r="G549" i="5"/>
  <c r="F549" i="5"/>
  <c r="E549" i="5"/>
  <c r="P548" i="5"/>
  <c r="O548" i="5"/>
  <c r="N548" i="5"/>
  <c r="M548" i="5"/>
  <c r="L548" i="5"/>
  <c r="K548" i="5"/>
  <c r="J548" i="5"/>
  <c r="I548" i="5"/>
  <c r="H548" i="5"/>
  <c r="G548" i="5"/>
  <c r="F548" i="5"/>
  <c r="E548" i="5"/>
  <c r="P547" i="5"/>
  <c r="O547" i="5"/>
  <c r="N547" i="5"/>
  <c r="M547" i="5"/>
  <c r="L547" i="5"/>
  <c r="K547" i="5"/>
  <c r="J547" i="5"/>
  <c r="I547" i="5"/>
  <c r="H547" i="5"/>
  <c r="G547" i="5"/>
  <c r="F547" i="5"/>
  <c r="E547" i="5"/>
  <c r="P546" i="5"/>
  <c r="O546" i="5"/>
  <c r="N546" i="5"/>
  <c r="M546" i="5"/>
  <c r="L546" i="5"/>
  <c r="K546" i="5"/>
  <c r="J546" i="5"/>
  <c r="I546" i="5"/>
  <c r="H546" i="5"/>
  <c r="G546" i="5"/>
  <c r="F546" i="5"/>
  <c r="E546" i="5"/>
  <c r="P545" i="5"/>
  <c r="O545" i="5"/>
  <c r="N545" i="5"/>
  <c r="M545" i="5"/>
  <c r="L545" i="5"/>
  <c r="K545" i="5"/>
  <c r="J545" i="5"/>
  <c r="I545" i="5"/>
  <c r="H545" i="5"/>
  <c r="G545" i="5"/>
  <c r="F545" i="5"/>
  <c r="E545" i="5"/>
  <c r="P544" i="5"/>
  <c r="O544" i="5"/>
  <c r="N544" i="5"/>
  <c r="M544" i="5"/>
  <c r="L544" i="5"/>
  <c r="K544" i="5"/>
  <c r="J544" i="5"/>
  <c r="I544" i="5"/>
  <c r="H544" i="5"/>
  <c r="G544" i="5"/>
  <c r="F544" i="5"/>
  <c r="E544" i="5"/>
  <c r="P543" i="5"/>
  <c r="O543" i="5"/>
  <c r="N543" i="5"/>
  <c r="M543" i="5"/>
  <c r="L543" i="5"/>
  <c r="K543" i="5"/>
  <c r="J543" i="5"/>
  <c r="I543" i="5"/>
  <c r="H543" i="5"/>
  <c r="G543" i="5"/>
  <c r="F543" i="5"/>
  <c r="E543" i="5"/>
  <c r="P542" i="5"/>
  <c r="O542" i="5"/>
  <c r="N542" i="5"/>
  <c r="M542" i="5"/>
  <c r="L542" i="5"/>
  <c r="K542" i="5"/>
  <c r="J542" i="5"/>
  <c r="I542" i="5"/>
  <c r="H542" i="5"/>
  <c r="G542" i="5"/>
  <c r="F542" i="5"/>
  <c r="E542" i="5"/>
  <c r="P541" i="5"/>
  <c r="O541" i="5"/>
  <c r="N541" i="5"/>
  <c r="M541" i="5"/>
  <c r="L541" i="5"/>
  <c r="K541" i="5"/>
  <c r="J541" i="5"/>
  <c r="I541" i="5"/>
  <c r="H541" i="5"/>
  <c r="G541" i="5"/>
  <c r="F541" i="5"/>
  <c r="E541" i="5"/>
  <c r="P540" i="5"/>
  <c r="O540" i="5"/>
  <c r="N540" i="5"/>
  <c r="M540" i="5"/>
  <c r="L540" i="5"/>
  <c r="K540" i="5"/>
  <c r="J540" i="5"/>
  <c r="I540" i="5"/>
  <c r="H540" i="5"/>
  <c r="G540" i="5"/>
  <c r="F540" i="5"/>
  <c r="E540" i="5"/>
  <c r="P539" i="5"/>
  <c r="O539" i="5"/>
  <c r="N539" i="5"/>
  <c r="M539" i="5"/>
  <c r="L539" i="5"/>
  <c r="K539" i="5"/>
  <c r="J539" i="5"/>
  <c r="I539" i="5"/>
  <c r="H539" i="5"/>
  <c r="G539" i="5"/>
  <c r="F539" i="5"/>
  <c r="E539" i="5"/>
  <c r="P538" i="5"/>
  <c r="O538" i="5"/>
  <c r="N538" i="5"/>
  <c r="M538" i="5"/>
  <c r="L538" i="5"/>
  <c r="K538" i="5"/>
  <c r="J538" i="5"/>
  <c r="I538" i="5"/>
  <c r="H538" i="5"/>
  <c r="G538" i="5"/>
  <c r="F538" i="5"/>
  <c r="E538" i="5"/>
  <c r="P537" i="5"/>
  <c r="O537" i="5"/>
  <c r="N537" i="5"/>
  <c r="M537" i="5"/>
  <c r="L537" i="5"/>
  <c r="K537" i="5"/>
  <c r="J537" i="5"/>
  <c r="I537" i="5"/>
  <c r="H537" i="5"/>
  <c r="G537" i="5"/>
  <c r="F537" i="5"/>
  <c r="E537" i="5"/>
  <c r="P536" i="5"/>
  <c r="O536" i="5"/>
  <c r="N536" i="5"/>
  <c r="M536" i="5"/>
  <c r="L536" i="5"/>
  <c r="K536" i="5"/>
  <c r="J536" i="5"/>
  <c r="I536" i="5"/>
  <c r="H536" i="5"/>
  <c r="G536" i="5"/>
  <c r="F536" i="5"/>
  <c r="E536" i="5"/>
  <c r="P535" i="5"/>
  <c r="O535" i="5"/>
  <c r="N535" i="5"/>
  <c r="M535" i="5"/>
  <c r="L535" i="5"/>
  <c r="K535" i="5"/>
  <c r="J535" i="5"/>
  <c r="I535" i="5"/>
  <c r="H535" i="5"/>
  <c r="G535" i="5"/>
  <c r="F535" i="5"/>
  <c r="E535" i="5"/>
  <c r="P534" i="5"/>
  <c r="O534" i="5"/>
  <c r="N534" i="5"/>
  <c r="M534" i="5"/>
  <c r="L534" i="5"/>
  <c r="K534" i="5"/>
  <c r="J534" i="5"/>
  <c r="I534" i="5"/>
  <c r="H534" i="5"/>
  <c r="G534" i="5"/>
  <c r="F534" i="5"/>
  <c r="E534" i="5"/>
  <c r="P533" i="5"/>
  <c r="O533" i="5"/>
  <c r="N533" i="5"/>
  <c r="M533" i="5"/>
  <c r="L533" i="5"/>
  <c r="K533" i="5"/>
  <c r="J533" i="5"/>
  <c r="I533" i="5"/>
  <c r="H533" i="5"/>
  <c r="G533" i="5"/>
  <c r="F533" i="5"/>
  <c r="E533" i="5"/>
  <c r="P532" i="5"/>
  <c r="O532" i="5"/>
  <c r="N532" i="5"/>
  <c r="M532" i="5"/>
  <c r="L532" i="5"/>
  <c r="K532" i="5"/>
  <c r="J532" i="5"/>
  <c r="I532" i="5"/>
  <c r="H532" i="5"/>
  <c r="G532" i="5"/>
  <c r="F532" i="5"/>
  <c r="E532" i="5"/>
  <c r="P531" i="5"/>
  <c r="O531" i="5"/>
  <c r="N531" i="5"/>
  <c r="M531" i="5"/>
  <c r="L531" i="5"/>
  <c r="K531" i="5"/>
  <c r="J531" i="5"/>
  <c r="I531" i="5"/>
  <c r="H531" i="5"/>
  <c r="G531" i="5"/>
  <c r="F531" i="5"/>
  <c r="E531" i="5"/>
  <c r="P530" i="5"/>
  <c r="O530" i="5"/>
  <c r="N530" i="5"/>
  <c r="M530" i="5"/>
  <c r="L530" i="5"/>
  <c r="K530" i="5"/>
  <c r="J530" i="5"/>
  <c r="I530" i="5"/>
  <c r="H530" i="5"/>
  <c r="G530" i="5"/>
  <c r="F530" i="5"/>
  <c r="E530" i="5"/>
  <c r="P529" i="5"/>
  <c r="O529" i="5"/>
  <c r="N529" i="5"/>
  <c r="M529" i="5"/>
  <c r="L529" i="5"/>
  <c r="K529" i="5"/>
  <c r="J529" i="5"/>
  <c r="I529" i="5"/>
  <c r="H529" i="5"/>
  <c r="G529" i="5"/>
  <c r="F529" i="5"/>
  <c r="E529" i="5"/>
  <c r="P528" i="5"/>
  <c r="O528" i="5"/>
  <c r="N528" i="5"/>
  <c r="M528" i="5"/>
  <c r="L528" i="5"/>
  <c r="K528" i="5"/>
  <c r="J528" i="5"/>
  <c r="I528" i="5"/>
  <c r="H528" i="5"/>
  <c r="G528" i="5"/>
  <c r="F528" i="5"/>
  <c r="E528" i="5"/>
  <c r="P527" i="5"/>
  <c r="O527" i="5"/>
  <c r="N527" i="5"/>
  <c r="M527" i="5"/>
  <c r="L527" i="5"/>
  <c r="K527" i="5"/>
  <c r="J527" i="5"/>
  <c r="I527" i="5"/>
  <c r="H527" i="5"/>
  <c r="G527" i="5"/>
  <c r="F527" i="5"/>
  <c r="E527" i="5"/>
  <c r="P526" i="5"/>
  <c r="O526" i="5"/>
  <c r="N526" i="5"/>
  <c r="M526" i="5"/>
  <c r="L526" i="5"/>
  <c r="K526" i="5"/>
  <c r="J526" i="5"/>
  <c r="I526" i="5"/>
  <c r="H526" i="5"/>
  <c r="G526" i="5"/>
  <c r="F526" i="5"/>
  <c r="E526" i="5"/>
  <c r="P525" i="5"/>
  <c r="O525" i="5"/>
  <c r="N525" i="5"/>
  <c r="M525" i="5"/>
  <c r="L525" i="5"/>
  <c r="K525" i="5"/>
  <c r="J525" i="5"/>
  <c r="I525" i="5"/>
  <c r="H525" i="5"/>
  <c r="G525" i="5"/>
  <c r="F525" i="5"/>
  <c r="E525" i="5"/>
  <c r="P524" i="5"/>
  <c r="O524" i="5"/>
  <c r="N524" i="5"/>
  <c r="M524" i="5"/>
  <c r="L524" i="5"/>
  <c r="K524" i="5"/>
  <c r="J524" i="5"/>
  <c r="I524" i="5"/>
  <c r="H524" i="5"/>
  <c r="G524" i="5"/>
  <c r="F524" i="5"/>
  <c r="E524" i="5"/>
  <c r="P523" i="5"/>
  <c r="O523" i="5"/>
  <c r="N523" i="5"/>
  <c r="M523" i="5"/>
  <c r="L523" i="5"/>
  <c r="K523" i="5"/>
  <c r="J523" i="5"/>
  <c r="I523" i="5"/>
  <c r="H523" i="5"/>
  <c r="G523" i="5"/>
  <c r="F523" i="5"/>
  <c r="E523" i="5"/>
  <c r="P522" i="5"/>
  <c r="O522" i="5"/>
  <c r="N522" i="5"/>
  <c r="M522" i="5"/>
  <c r="L522" i="5"/>
  <c r="K522" i="5"/>
  <c r="J522" i="5"/>
  <c r="I522" i="5"/>
  <c r="H522" i="5"/>
  <c r="G522" i="5"/>
  <c r="F522" i="5"/>
  <c r="E522" i="5"/>
  <c r="P521" i="5"/>
  <c r="O521" i="5"/>
  <c r="N521" i="5"/>
  <c r="M521" i="5"/>
  <c r="L521" i="5"/>
  <c r="K521" i="5"/>
  <c r="J521" i="5"/>
  <c r="I521" i="5"/>
  <c r="H521" i="5"/>
  <c r="G521" i="5"/>
  <c r="F521" i="5"/>
  <c r="E521" i="5"/>
  <c r="P520" i="5"/>
  <c r="O520" i="5"/>
  <c r="N520" i="5"/>
  <c r="M520" i="5"/>
  <c r="L520" i="5"/>
  <c r="K520" i="5"/>
  <c r="J520" i="5"/>
  <c r="I520" i="5"/>
  <c r="H520" i="5"/>
  <c r="G520" i="5"/>
  <c r="F520" i="5"/>
  <c r="E520" i="5"/>
  <c r="P519" i="5"/>
  <c r="O519" i="5"/>
  <c r="N519" i="5"/>
  <c r="M519" i="5"/>
  <c r="L519" i="5"/>
  <c r="K519" i="5"/>
  <c r="J519" i="5"/>
  <c r="I519" i="5"/>
  <c r="H519" i="5"/>
  <c r="G519" i="5"/>
  <c r="F519" i="5"/>
  <c r="E519" i="5"/>
  <c r="P518" i="5"/>
  <c r="O518" i="5"/>
  <c r="N518" i="5"/>
  <c r="M518" i="5"/>
  <c r="L518" i="5"/>
  <c r="K518" i="5"/>
  <c r="J518" i="5"/>
  <c r="I518" i="5"/>
  <c r="H518" i="5"/>
  <c r="G518" i="5"/>
  <c r="F518" i="5"/>
  <c r="E518" i="5"/>
  <c r="P517" i="5"/>
  <c r="O517" i="5"/>
  <c r="N517" i="5"/>
  <c r="M517" i="5"/>
  <c r="L517" i="5"/>
  <c r="K517" i="5"/>
  <c r="J517" i="5"/>
  <c r="I517" i="5"/>
  <c r="H517" i="5"/>
  <c r="G517" i="5"/>
  <c r="F517" i="5"/>
  <c r="E517" i="5"/>
  <c r="P516" i="5"/>
  <c r="O516" i="5"/>
  <c r="N516" i="5"/>
  <c r="M516" i="5"/>
  <c r="L516" i="5"/>
  <c r="K516" i="5"/>
  <c r="J516" i="5"/>
  <c r="I516" i="5"/>
  <c r="H516" i="5"/>
  <c r="G516" i="5"/>
  <c r="F516" i="5"/>
  <c r="E516" i="5"/>
  <c r="P515" i="5"/>
  <c r="O515" i="5"/>
  <c r="N515" i="5"/>
  <c r="M515" i="5"/>
  <c r="L515" i="5"/>
  <c r="K515" i="5"/>
  <c r="J515" i="5"/>
  <c r="I515" i="5"/>
  <c r="H515" i="5"/>
  <c r="G515" i="5"/>
  <c r="F515" i="5"/>
  <c r="E515" i="5"/>
  <c r="P514" i="5"/>
  <c r="O514" i="5"/>
  <c r="N514" i="5"/>
  <c r="M514" i="5"/>
  <c r="L514" i="5"/>
  <c r="K514" i="5"/>
  <c r="J514" i="5"/>
  <c r="I514" i="5"/>
  <c r="H514" i="5"/>
  <c r="G514" i="5"/>
  <c r="F514" i="5"/>
  <c r="E514" i="5"/>
  <c r="P513" i="5"/>
  <c r="O513" i="5"/>
  <c r="N513" i="5"/>
  <c r="M513" i="5"/>
  <c r="L513" i="5"/>
  <c r="K513" i="5"/>
  <c r="J513" i="5"/>
  <c r="I513" i="5"/>
  <c r="H513" i="5"/>
  <c r="G513" i="5"/>
  <c r="F513" i="5"/>
  <c r="E513" i="5"/>
  <c r="P512" i="5"/>
  <c r="O512" i="5"/>
  <c r="N512" i="5"/>
  <c r="M512" i="5"/>
  <c r="L512" i="5"/>
  <c r="K512" i="5"/>
  <c r="J512" i="5"/>
  <c r="I512" i="5"/>
  <c r="H512" i="5"/>
  <c r="G512" i="5"/>
  <c r="F512" i="5"/>
  <c r="E512" i="5"/>
  <c r="P511" i="5"/>
  <c r="O511" i="5"/>
  <c r="N511" i="5"/>
  <c r="M511" i="5"/>
  <c r="L511" i="5"/>
  <c r="K511" i="5"/>
  <c r="J511" i="5"/>
  <c r="I511" i="5"/>
  <c r="H511" i="5"/>
  <c r="G511" i="5"/>
  <c r="F511" i="5"/>
  <c r="E511" i="5"/>
  <c r="P510" i="5"/>
  <c r="O510" i="5"/>
  <c r="N510" i="5"/>
  <c r="M510" i="5"/>
  <c r="L510" i="5"/>
  <c r="K510" i="5"/>
  <c r="J510" i="5"/>
  <c r="I510" i="5"/>
  <c r="H510" i="5"/>
  <c r="G510" i="5"/>
  <c r="F510" i="5"/>
  <c r="E510" i="5"/>
  <c r="P509" i="5"/>
  <c r="O509" i="5"/>
  <c r="N509" i="5"/>
  <c r="M509" i="5"/>
  <c r="L509" i="5"/>
  <c r="K509" i="5"/>
  <c r="J509" i="5"/>
  <c r="I509" i="5"/>
  <c r="H509" i="5"/>
  <c r="G509" i="5"/>
  <c r="F509" i="5"/>
  <c r="E509" i="5"/>
  <c r="P508" i="5"/>
  <c r="O508" i="5"/>
  <c r="N508" i="5"/>
  <c r="M508" i="5"/>
  <c r="L508" i="5"/>
  <c r="K508" i="5"/>
  <c r="J508" i="5"/>
  <c r="I508" i="5"/>
  <c r="H508" i="5"/>
  <c r="G508" i="5"/>
  <c r="F508" i="5"/>
  <c r="E508" i="5"/>
  <c r="P507" i="5"/>
  <c r="O507" i="5"/>
  <c r="N507" i="5"/>
  <c r="M507" i="5"/>
  <c r="L507" i="5"/>
  <c r="K507" i="5"/>
  <c r="J507" i="5"/>
  <c r="I507" i="5"/>
  <c r="H507" i="5"/>
  <c r="G507" i="5"/>
  <c r="F507" i="5"/>
  <c r="E507" i="5"/>
  <c r="P506" i="5"/>
  <c r="O506" i="5"/>
  <c r="N506" i="5"/>
  <c r="M506" i="5"/>
  <c r="L506" i="5"/>
  <c r="K506" i="5"/>
  <c r="J506" i="5"/>
  <c r="I506" i="5"/>
  <c r="H506" i="5"/>
  <c r="G506" i="5"/>
  <c r="F506" i="5"/>
  <c r="E506" i="5"/>
  <c r="P505" i="5"/>
  <c r="O505" i="5"/>
  <c r="N505" i="5"/>
  <c r="M505" i="5"/>
  <c r="L505" i="5"/>
  <c r="K505" i="5"/>
  <c r="J505" i="5"/>
  <c r="I505" i="5"/>
  <c r="H505" i="5"/>
  <c r="G505" i="5"/>
  <c r="F505" i="5"/>
  <c r="E505" i="5"/>
  <c r="P504" i="5"/>
  <c r="O504" i="5"/>
  <c r="N504" i="5"/>
  <c r="M504" i="5"/>
  <c r="L504" i="5"/>
  <c r="K504" i="5"/>
  <c r="J504" i="5"/>
  <c r="I504" i="5"/>
  <c r="H504" i="5"/>
  <c r="G504" i="5"/>
  <c r="F504" i="5"/>
  <c r="E504" i="5"/>
  <c r="P503" i="5"/>
  <c r="O503" i="5"/>
  <c r="N503" i="5"/>
  <c r="M503" i="5"/>
  <c r="L503" i="5"/>
  <c r="K503" i="5"/>
  <c r="J503" i="5"/>
  <c r="I503" i="5"/>
  <c r="H503" i="5"/>
  <c r="G503" i="5"/>
  <c r="F503" i="5"/>
  <c r="E503" i="5"/>
  <c r="P502" i="5"/>
  <c r="O502" i="5"/>
  <c r="N502" i="5"/>
  <c r="M502" i="5"/>
  <c r="L502" i="5"/>
  <c r="K502" i="5"/>
  <c r="J502" i="5"/>
  <c r="I502" i="5"/>
  <c r="H502" i="5"/>
  <c r="G502" i="5"/>
  <c r="F502" i="5"/>
  <c r="E502" i="5"/>
  <c r="P501" i="5"/>
  <c r="O501" i="5"/>
  <c r="N501" i="5"/>
  <c r="M501" i="5"/>
  <c r="L501" i="5"/>
  <c r="K501" i="5"/>
  <c r="J501" i="5"/>
  <c r="I501" i="5"/>
  <c r="H501" i="5"/>
  <c r="G501" i="5"/>
  <c r="F501" i="5"/>
  <c r="E501" i="5"/>
  <c r="P500" i="5"/>
  <c r="O500" i="5"/>
  <c r="N500" i="5"/>
  <c r="M500" i="5"/>
  <c r="L500" i="5"/>
  <c r="K500" i="5"/>
  <c r="J500" i="5"/>
  <c r="I500" i="5"/>
  <c r="H500" i="5"/>
  <c r="G500" i="5"/>
  <c r="F500" i="5"/>
  <c r="E500" i="5"/>
  <c r="P499" i="5"/>
  <c r="O499" i="5"/>
  <c r="N499" i="5"/>
  <c r="M499" i="5"/>
  <c r="L499" i="5"/>
  <c r="K499" i="5"/>
  <c r="J499" i="5"/>
  <c r="I499" i="5"/>
  <c r="H499" i="5"/>
  <c r="G499" i="5"/>
  <c r="F499" i="5"/>
  <c r="E499" i="5"/>
  <c r="P498" i="5"/>
  <c r="O498" i="5"/>
  <c r="N498" i="5"/>
  <c r="M498" i="5"/>
  <c r="L498" i="5"/>
  <c r="K498" i="5"/>
  <c r="J498" i="5"/>
  <c r="I498" i="5"/>
  <c r="H498" i="5"/>
  <c r="G498" i="5"/>
  <c r="F498" i="5"/>
  <c r="E498" i="5"/>
  <c r="P497" i="5"/>
  <c r="O497" i="5"/>
  <c r="N497" i="5"/>
  <c r="M497" i="5"/>
  <c r="L497" i="5"/>
  <c r="K497" i="5"/>
  <c r="J497" i="5"/>
  <c r="I497" i="5"/>
  <c r="H497" i="5"/>
  <c r="G497" i="5"/>
  <c r="F497" i="5"/>
  <c r="E497" i="5"/>
  <c r="P496" i="5"/>
  <c r="O496" i="5"/>
  <c r="N496" i="5"/>
  <c r="M496" i="5"/>
  <c r="L496" i="5"/>
  <c r="K496" i="5"/>
  <c r="J496" i="5"/>
  <c r="I496" i="5"/>
  <c r="H496" i="5"/>
  <c r="G496" i="5"/>
  <c r="F496" i="5"/>
  <c r="E496" i="5"/>
  <c r="P495" i="5"/>
  <c r="O495" i="5"/>
  <c r="N495" i="5"/>
  <c r="M495" i="5"/>
  <c r="L495" i="5"/>
  <c r="K495" i="5"/>
  <c r="J495" i="5"/>
  <c r="I495" i="5"/>
  <c r="H495" i="5"/>
  <c r="G495" i="5"/>
  <c r="F495" i="5"/>
  <c r="E495" i="5"/>
  <c r="P494" i="5"/>
  <c r="O494" i="5"/>
  <c r="N494" i="5"/>
  <c r="M494" i="5"/>
  <c r="L494" i="5"/>
  <c r="K494" i="5"/>
  <c r="J494" i="5"/>
  <c r="I494" i="5"/>
  <c r="H494" i="5"/>
  <c r="G494" i="5"/>
  <c r="F494" i="5"/>
  <c r="E494" i="5"/>
  <c r="P493" i="5"/>
  <c r="O493" i="5"/>
  <c r="N493" i="5"/>
  <c r="M493" i="5"/>
  <c r="L493" i="5"/>
  <c r="K493" i="5"/>
  <c r="J493" i="5"/>
  <c r="I493" i="5"/>
  <c r="H493" i="5"/>
  <c r="G493" i="5"/>
  <c r="F493" i="5"/>
  <c r="E493" i="5"/>
  <c r="P492" i="5"/>
  <c r="O492" i="5"/>
  <c r="N492" i="5"/>
  <c r="M492" i="5"/>
  <c r="L492" i="5"/>
  <c r="K492" i="5"/>
  <c r="J492" i="5"/>
  <c r="I492" i="5"/>
  <c r="H492" i="5"/>
  <c r="G492" i="5"/>
  <c r="F492" i="5"/>
  <c r="E492" i="5"/>
  <c r="P491" i="5"/>
  <c r="O491" i="5"/>
  <c r="N491" i="5"/>
  <c r="M491" i="5"/>
  <c r="L491" i="5"/>
  <c r="K491" i="5"/>
  <c r="J491" i="5"/>
  <c r="I491" i="5"/>
  <c r="H491" i="5"/>
  <c r="G491" i="5"/>
  <c r="F491" i="5"/>
  <c r="E491" i="5"/>
  <c r="P490" i="5"/>
  <c r="O490" i="5"/>
  <c r="N490" i="5"/>
  <c r="M490" i="5"/>
  <c r="L490" i="5"/>
  <c r="K490" i="5"/>
  <c r="J490" i="5"/>
  <c r="I490" i="5"/>
  <c r="H490" i="5"/>
  <c r="G490" i="5"/>
  <c r="F490" i="5"/>
  <c r="E490" i="5"/>
  <c r="P489" i="5"/>
  <c r="O489" i="5"/>
  <c r="N489" i="5"/>
  <c r="M489" i="5"/>
  <c r="L489" i="5"/>
  <c r="K489" i="5"/>
  <c r="J489" i="5"/>
  <c r="I489" i="5"/>
  <c r="H489" i="5"/>
  <c r="G489" i="5"/>
  <c r="F489" i="5"/>
  <c r="E489" i="5"/>
  <c r="P488" i="5"/>
  <c r="O488" i="5"/>
  <c r="N488" i="5"/>
  <c r="M488" i="5"/>
  <c r="L488" i="5"/>
  <c r="K488" i="5"/>
  <c r="J488" i="5"/>
  <c r="I488" i="5"/>
  <c r="H488" i="5"/>
  <c r="G488" i="5"/>
  <c r="F488" i="5"/>
  <c r="E488" i="5"/>
  <c r="P487" i="5"/>
  <c r="O487" i="5"/>
  <c r="N487" i="5"/>
  <c r="M487" i="5"/>
  <c r="L487" i="5"/>
  <c r="K487" i="5"/>
  <c r="J487" i="5"/>
  <c r="I487" i="5"/>
  <c r="H487" i="5"/>
  <c r="G487" i="5"/>
  <c r="F487" i="5"/>
  <c r="E487" i="5"/>
  <c r="P486" i="5"/>
  <c r="O486" i="5"/>
  <c r="N486" i="5"/>
  <c r="M486" i="5"/>
  <c r="L486" i="5"/>
  <c r="K486" i="5"/>
  <c r="J486" i="5"/>
  <c r="I486" i="5"/>
  <c r="H486" i="5"/>
  <c r="G486" i="5"/>
  <c r="F486" i="5"/>
  <c r="E486" i="5"/>
  <c r="P485" i="5"/>
  <c r="O485" i="5"/>
  <c r="N485" i="5"/>
  <c r="M485" i="5"/>
  <c r="L485" i="5"/>
  <c r="K485" i="5"/>
  <c r="J485" i="5"/>
  <c r="I485" i="5"/>
  <c r="H485" i="5"/>
  <c r="G485" i="5"/>
  <c r="F485" i="5"/>
  <c r="E485" i="5"/>
  <c r="P484" i="5"/>
  <c r="O484" i="5"/>
  <c r="N484" i="5"/>
  <c r="M484" i="5"/>
  <c r="L484" i="5"/>
  <c r="K484" i="5"/>
  <c r="J484" i="5"/>
  <c r="I484" i="5"/>
  <c r="H484" i="5"/>
  <c r="G484" i="5"/>
  <c r="F484" i="5"/>
  <c r="E484" i="5"/>
  <c r="P483" i="5"/>
  <c r="O483" i="5"/>
  <c r="N483" i="5"/>
  <c r="M483" i="5"/>
  <c r="L483" i="5"/>
  <c r="K483" i="5"/>
  <c r="J483" i="5"/>
  <c r="I483" i="5"/>
  <c r="H483" i="5"/>
  <c r="G483" i="5"/>
  <c r="F483" i="5"/>
  <c r="E483" i="5"/>
  <c r="P482" i="5"/>
  <c r="O482" i="5"/>
  <c r="N482" i="5"/>
  <c r="M482" i="5"/>
  <c r="L482" i="5"/>
  <c r="K482" i="5"/>
  <c r="J482" i="5"/>
  <c r="I482" i="5"/>
  <c r="H482" i="5"/>
  <c r="G482" i="5"/>
  <c r="F482" i="5"/>
  <c r="E482" i="5"/>
  <c r="P481" i="5"/>
  <c r="O481" i="5"/>
  <c r="N481" i="5"/>
  <c r="M481" i="5"/>
  <c r="L481" i="5"/>
  <c r="K481" i="5"/>
  <c r="J481" i="5"/>
  <c r="I481" i="5"/>
  <c r="H481" i="5"/>
  <c r="G481" i="5"/>
  <c r="F481" i="5"/>
  <c r="E481" i="5"/>
  <c r="P480" i="5"/>
  <c r="O480" i="5"/>
  <c r="N480" i="5"/>
  <c r="M480" i="5"/>
  <c r="L480" i="5"/>
  <c r="K480" i="5"/>
  <c r="J480" i="5"/>
  <c r="I480" i="5"/>
  <c r="H480" i="5"/>
  <c r="G480" i="5"/>
  <c r="F480" i="5"/>
  <c r="E480" i="5"/>
  <c r="P479" i="5"/>
  <c r="O479" i="5"/>
  <c r="N479" i="5"/>
  <c r="M479" i="5"/>
  <c r="L479" i="5"/>
  <c r="K479" i="5"/>
  <c r="J479" i="5"/>
  <c r="I479" i="5"/>
  <c r="H479" i="5"/>
  <c r="G479" i="5"/>
  <c r="F479" i="5"/>
  <c r="E479" i="5"/>
  <c r="P478" i="5"/>
  <c r="O478" i="5"/>
  <c r="N478" i="5"/>
  <c r="M478" i="5"/>
  <c r="L478" i="5"/>
  <c r="K478" i="5"/>
  <c r="J478" i="5"/>
  <c r="I478" i="5"/>
  <c r="H478" i="5"/>
  <c r="G478" i="5"/>
  <c r="F478" i="5"/>
  <c r="E478" i="5"/>
  <c r="P477" i="5"/>
  <c r="O477" i="5"/>
  <c r="N477" i="5"/>
  <c r="M477" i="5"/>
  <c r="L477" i="5"/>
  <c r="K477" i="5"/>
  <c r="J477" i="5"/>
  <c r="I477" i="5"/>
  <c r="H477" i="5"/>
  <c r="G477" i="5"/>
  <c r="F477" i="5"/>
  <c r="E477" i="5"/>
  <c r="P476" i="5"/>
  <c r="O476" i="5"/>
  <c r="N476" i="5"/>
  <c r="M476" i="5"/>
  <c r="L476" i="5"/>
  <c r="K476" i="5"/>
  <c r="J476" i="5"/>
  <c r="I476" i="5"/>
  <c r="H476" i="5"/>
  <c r="G476" i="5"/>
  <c r="F476" i="5"/>
  <c r="E476" i="5"/>
  <c r="P475" i="5"/>
  <c r="O475" i="5"/>
  <c r="N475" i="5"/>
  <c r="M475" i="5"/>
  <c r="L475" i="5"/>
  <c r="K475" i="5"/>
  <c r="J475" i="5"/>
  <c r="I475" i="5"/>
  <c r="H475" i="5"/>
  <c r="G475" i="5"/>
  <c r="F475" i="5"/>
  <c r="E475" i="5"/>
  <c r="P474" i="5"/>
  <c r="O474" i="5"/>
  <c r="N474" i="5"/>
  <c r="M474" i="5"/>
  <c r="L474" i="5"/>
  <c r="K474" i="5"/>
  <c r="J474" i="5"/>
  <c r="I474" i="5"/>
  <c r="H474" i="5"/>
  <c r="G474" i="5"/>
  <c r="F474" i="5"/>
  <c r="E474" i="5"/>
  <c r="P473" i="5"/>
  <c r="O473" i="5"/>
  <c r="N473" i="5"/>
  <c r="M473" i="5"/>
  <c r="L473" i="5"/>
  <c r="K473" i="5"/>
  <c r="J473" i="5"/>
  <c r="I473" i="5"/>
  <c r="H473" i="5"/>
  <c r="G473" i="5"/>
  <c r="F473" i="5"/>
  <c r="E473" i="5"/>
  <c r="P472" i="5"/>
  <c r="O472" i="5"/>
  <c r="N472" i="5"/>
  <c r="M472" i="5"/>
  <c r="L472" i="5"/>
  <c r="K472" i="5"/>
  <c r="J472" i="5"/>
  <c r="I472" i="5"/>
  <c r="H472" i="5"/>
  <c r="G472" i="5"/>
  <c r="F472" i="5"/>
  <c r="E472" i="5"/>
  <c r="P471" i="5"/>
  <c r="O471" i="5"/>
  <c r="N471" i="5"/>
  <c r="M471" i="5"/>
  <c r="L471" i="5"/>
  <c r="K471" i="5"/>
  <c r="J471" i="5"/>
  <c r="I471" i="5"/>
  <c r="H471" i="5"/>
  <c r="G471" i="5"/>
  <c r="F471" i="5"/>
  <c r="E471" i="5"/>
  <c r="P470" i="5"/>
  <c r="O470" i="5"/>
  <c r="N470" i="5"/>
  <c r="M470" i="5"/>
  <c r="L470" i="5"/>
  <c r="K470" i="5"/>
  <c r="J470" i="5"/>
  <c r="I470" i="5"/>
  <c r="H470" i="5"/>
  <c r="G470" i="5"/>
  <c r="F470" i="5"/>
  <c r="E470" i="5"/>
  <c r="P469" i="5"/>
  <c r="O469" i="5"/>
  <c r="N469" i="5"/>
  <c r="M469" i="5"/>
  <c r="L469" i="5"/>
  <c r="K469" i="5"/>
  <c r="J469" i="5"/>
  <c r="I469" i="5"/>
  <c r="H469" i="5"/>
  <c r="G469" i="5"/>
  <c r="F469" i="5"/>
  <c r="E469" i="5"/>
  <c r="P468" i="5"/>
  <c r="O468" i="5"/>
  <c r="N468" i="5"/>
  <c r="M468" i="5"/>
  <c r="L468" i="5"/>
  <c r="K468" i="5"/>
  <c r="J468" i="5"/>
  <c r="I468" i="5"/>
  <c r="H468" i="5"/>
  <c r="G468" i="5"/>
  <c r="F468" i="5"/>
  <c r="E468" i="5"/>
  <c r="P467" i="5"/>
  <c r="O467" i="5"/>
  <c r="N467" i="5"/>
  <c r="M467" i="5"/>
  <c r="L467" i="5"/>
  <c r="K467" i="5"/>
  <c r="J467" i="5"/>
  <c r="I467" i="5"/>
  <c r="H467" i="5"/>
  <c r="G467" i="5"/>
  <c r="F467" i="5"/>
  <c r="E467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P465" i="5"/>
  <c r="O465" i="5"/>
  <c r="N465" i="5"/>
  <c r="M465" i="5"/>
  <c r="L465" i="5"/>
  <c r="K465" i="5"/>
  <c r="J465" i="5"/>
  <c r="I465" i="5"/>
  <c r="H465" i="5"/>
  <c r="G465" i="5"/>
  <c r="F465" i="5"/>
  <c r="E465" i="5"/>
  <c r="P464" i="5"/>
  <c r="O464" i="5"/>
  <c r="N464" i="5"/>
  <c r="M464" i="5"/>
  <c r="L464" i="5"/>
  <c r="K464" i="5"/>
  <c r="J464" i="5"/>
  <c r="I464" i="5"/>
  <c r="H464" i="5"/>
  <c r="G464" i="5"/>
  <c r="F464" i="5"/>
  <c r="E464" i="5"/>
  <c r="P463" i="5"/>
  <c r="O463" i="5"/>
  <c r="N463" i="5"/>
  <c r="M463" i="5"/>
  <c r="L463" i="5"/>
  <c r="K463" i="5"/>
  <c r="J463" i="5"/>
  <c r="I463" i="5"/>
  <c r="H463" i="5"/>
  <c r="G463" i="5"/>
  <c r="F463" i="5"/>
  <c r="E463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P461" i="5"/>
  <c r="O461" i="5"/>
  <c r="N461" i="5"/>
  <c r="M461" i="5"/>
  <c r="L461" i="5"/>
  <c r="K461" i="5"/>
  <c r="J461" i="5"/>
  <c r="I461" i="5"/>
  <c r="H461" i="5"/>
  <c r="G461" i="5"/>
  <c r="F461" i="5"/>
  <c r="E461" i="5"/>
  <c r="P460" i="5"/>
  <c r="O460" i="5"/>
  <c r="N460" i="5"/>
  <c r="M460" i="5"/>
  <c r="L460" i="5"/>
  <c r="K460" i="5"/>
  <c r="J460" i="5"/>
  <c r="I460" i="5"/>
  <c r="H460" i="5"/>
  <c r="G460" i="5"/>
  <c r="F460" i="5"/>
  <c r="E460" i="5"/>
  <c r="P459" i="5"/>
  <c r="O459" i="5"/>
  <c r="N459" i="5"/>
  <c r="M459" i="5"/>
  <c r="L459" i="5"/>
  <c r="K459" i="5"/>
  <c r="J459" i="5"/>
  <c r="I459" i="5"/>
  <c r="H459" i="5"/>
  <c r="G459" i="5"/>
  <c r="F459" i="5"/>
  <c r="E459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P457" i="5"/>
  <c r="O457" i="5"/>
  <c r="N457" i="5"/>
  <c r="M457" i="5"/>
  <c r="L457" i="5"/>
  <c r="K457" i="5"/>
  <c r="J457" i="5"/>
  <c r="I457" i="5"/>
  <c r="H457" i="5"/>
  <c r="G457" i="5"/>
  <c r="F457" i="5"/>
  <c r="E457" i="5"/>
  <c r="P456" i="5"/>
  <c r="O456" i="5"/>
  <c r="N456" i="5"/>
  <c r="M456" i="5"/>
  <c r="L456" i="5"/>
  <c r="K456" i="5"/>
  <c r="J456" i="5"/>
  <c r="I456" i="5"/>
  <c r="H456" i="5"/>
  <c r="G456" i="5"/>
  <c r="F456" i="5"/>
  <c r="E456" i="5"/>
  <c r="P455" i="5"/>
  <c r="O455" i="5"/>
  <c r="N455" i="5"/>
  <c r="M455" i="5"/>
  <c r="L455" i="5"/>
  <c r="K455" i="5"/>
  <c r="J455" i="5"/>
  <c r="I455" i="5"/>
  <c r="H455" i="5"/>
  <c r="G455" i="5"/>
  <c r="F455" i="5"/>
  <c r="E455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P453" i="5"/>
  <c r="O453" i="5"/>
  <c r="N453" i="5"/>
  <c r="M453" i="5"/>
  <c r="L453" i="5"/>
  <c r="K453" i="5"/>
  <c r="J453" i="5"/>
  <c r="I453" i="5"/>
  <c r="H453" i="5"/>
  <c r="G453" i="5"/>
  <c r="F453" i="5"/>
  <c r="E453" i="5"/>
  <c r="P452" i="5"/>
  <c r="O452" i="5"/>
  <c r="N452" i="5"/>
  <c r="M452" i="5"/>
  <c r="L452" i="5"/>
  <c r="K452" i="5"/>
  <c r="J452" i="5"/>
  <c r="I452" i="5"/>
  <c r="H452" i="5"/>
  <c r="G452" i="5"/>
  <c r="F452" i="5"/>
  <c r="E452" i="5"/>
  <c r="P451" i="5"/>
  <c r="O451" i="5"/>
  <c r="N451" i="5"/>
  <c r="M451" i="5"/>
  <c r="L451" i="5"/>
  <c r="K451" i="5"/>
  <c r="J451" i="5"/>
  <c r="I451" i="5"/>
  <c r="H451" i="5"/>
  <c r="G451" i="5"/>
  <c r="F451" i="5"/>
  <c r="E451" i="5"/>
  <c r="P450" i="5"/>
  <c r="O450" i="5"/>
  <c r="N450" i="5"/>
  <c r="M450" i="5"/>
  <c r="L450" i="5"/>
  <c r="K450" i="5"/>
  <c r="J450" i="5"/>
  <c r="I450" i="5"/>
  <c r="H450" i="5"/>
  <c r="G450" i="5"/>
  <c r="F450" i="5"/>
  <c r="E450" i="5"/>
  <c r="P449" i="5"/>
  <c r="O449" i="5"/>
  <c r="N449" i="5"/>
  <c r="M449" i="5"/>
  <c r="L449" i="5"/>
  <c r="K449" i="5"/>
  <c r="J449" i="5"/>
  <c r="I449" i="5"/>
  <c r="H449" i="5"/>
  <c r="G449" i="5"/>
  <c r="F449" i="5"/>
  <c r="E449" i="5"/>
  <c r="P448" i="5"/>
  <c r="O448" i="5"/>
  <c r="N448" i="5"/>
  <c r="M448" i="5"/>
  <c r="L448" i="5"/>
  <c r="K448" i="5"/>
  <c r="J448" i="5"/>
  <c r="I448" i="5"/>
  <c r="H448" i="5"/>
  <c r="G448" i="5"/>
  <c r="F448" i="5"/>
  <c r="E448" i="5"/>
  <c r="P447" i="5"/>
  <c r="O447" i="5"/>
  <c r="N447" i="5"/>
  <c r="M447" i="5"/>
  <c r="L447" i="5"/>
  <c r="K447" i="5"/>
  <c r="J447" i="5"/>
  <c r="I447" i="5"/>
  <c r="H447" i="5"/>
  <c r="G447" i="5"/>
  <c r="F447" i="5"/>
  <c r="E447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P445" i="5"/>
  <c r="O445" i="5"/>
  <c r="N445" i="5"/>
  <c r="M445" i="5"/>
  <c r="L445" i="5"/>
  <c r="K445" i="5"/>
  <c r="J445" i="5"/>
  <c r="I445" i="5"/>
  <c r="H445" i="5"/>
  <c r="G445" i="5"/>
  <c r="F445" i="5"/>
  <c r="E445" i="5"/>
  <c r="P444" i="5"/>
  <c r="O444" i="5"/>
  <c r="N444" i="5"/>
  <c r="M444" i="5"/>
  <c r="L444" i="5"/>
  <c r="K444" i="5"/>
  <c r="J444" i="5"/>
  <c r="I444" i="5"/>
  <c r="H444" i="5"/>
  <c r="G444" i="5"/>
  <c r="F444" i="5"/>
  <c r="E444" i="5"/>
  <c r="P443" i="5"/>
  <c r="O443" i="5"/>
  <c r="N443" i="5"/>
  <c r="M443" i="5"/>
  <c r="L443" i="5"/>
  <c r="K443" i="5"/>
  <c r="J443" i="5"/>
  <c r="I443" i="5"/>
  <c r="H443" i="5"/>
  <c r="G443" i="5"/>
  <c r="F443" i="5"/>
  <c r="E443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P441" i="5"/>
  <c r="O441" i="5"/>
  <c r="N441" i="5"/>
  <c r="M441" i="5"/>
  <c r="L441" i="5"/>
  <c r="K441" i="5"/>
  <c r="J441" i="5"/>
  <c r="I441" i="5"/>
  <c r="H441" i="5"/>
  <c r="G441" i="5"/>
  <c r="F441" i="5"/>
  <c r="E441" i="5"/>
  <c r="P440" i="5"/>
  <c r="O440" i="5"/>
  <c r="N440" i="5"/>
  <c r="M440" i="5"/>
  <c r="L440" i="5"/>
  <c r="K440" i="5"/>
  <c r="J440" i="5"/>
  <c r="I440" i="5"/>
  <c r="H440" i="5"/>
  <c r="G440" i="5"/>
  <c r="F440" i="5"/>
  <c r="E440" i="5"/>
  <c r="P439" i="5"/>
  <c r="O439" i="5"/>
  <c r="N439" i="5"/>
  <c r="M439" i="5"/>
  <c r="L439" i="5"/>
  <c r="K439" i="5"/>
  <c r="J439" i="5"/>
  <c r="I439" i="5"/>
  <c r="H439" i="5"/>
  <c r="G439" i="5"/>
  <c r="F439" i="5"/>
  <c r="E439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P437" i="5"/>
  <c r="O437" i="5"/>
  <c r="N437" i="5"/>
  <c r="M437" i="5"/>
  <c r="L437" i="5"/>
  <c r="K437" i="5"/>
  <c r="J437" i="5"/>
  <c r="I437" i="5"/>
  <c r="H437" i="5"/>
  <c r="G437" i="5"/>
  <c r="F437" i="5"/>
  <c r="E437" i="5"/>
  <c r="P436" i="5"/>
  <c r="O436" i="5"/>
  <c r="N436" i="5"/>
  <c r="M436" i="5"/>
  <c r="L436" i="5"/>
  <c r="K436" i="5"/>
  <c r="J436" i="5"/>
  <c r="I436" i="5"/>
  <c r="H436" i="5"/>
  <c r="G436" i="5"/>
  <c r="F436" i="5"/>
  <c r="E436" i="5"/>
  <c r="P435" i="5"/>
  <c r="O435" i="5"/>
  <c r="N435" i="5"/>
  <c r="M435" i="5"/>
  <c r="L435" i="5"/>
  <c r="K435" i="5"/>
  <c r="J435" i="5"/>
  <c r="I435" i="5"/>
  <c r="H435" i="5"/>
  <c r="G435" i="5"/>
  <c r="F435" i="5"/>
  <c r="E435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P432" i="5"/>
  <c r="O432" i="5"/>
  <c r="N432" i="5"/>
  <c r="M432" i="5"/>
  <c r="L432" i="5"/>
  <c r="K432" i="5"/>
  <c r="J432" i="5"/>
  <c r="I432" i="5"/>
  <c r="H432" i="5"/>
  <c r="G432" i="5"/>
  <c r="F432" i="5"/>
  <c r="E432" i="5"/>
  <c r="P431" i="5"/>
  <c r="O431" i="5"/>
  <c r="N431" i="5"/>
  <c r="M431" i="5"/>
  <c r="L431" i="5"/>
  <c r="K431" i="5"/>
  <c r="J431" i="5"/>
  <c r="I431" i="5"/>
  <c r="H431" i="5"/>
  <c r="G431" i="5"/>
  <c r="F431" i="5"/>
  <c r="E431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P429" i="5"/>
  <c r="O429" i="5"/>
  <c r="N429" i="5"/>
  <c r="M429" i="5"/>
  <c r="L429" i="5"/>
  <c r="K429" i="5"/>
  <c r="J429" i="5"/>
  <c r="I429" i="5"/>
  <c r="H429" i="5"/>
  <c r="G429" i="5"/>
  <c r="F429" i="5"/>
  <c r="E429" i="5"/>
  <c r="P428" i="5"/>
  <c r="O428" i="5"/>
  <c r="N428" i="5"/>
  <c r="M428" i="5"/>
  <c r="L428" i="5"/>
  <c r="K428" i="5"/>
  <c r="J428" i="5"/>
  <c r="I428" i="5"/>
  <c r="H428" i="5"/>
  <c r="G428" i="5"/>
  <c r="F428" i="5"/>
  <c r="E428" i="5"/>
  <c r="P427" i="5"/>
  <c r="O427" i="5"/>
  <c r="N427" i="5"/>
  <c r="M427" i="5"/>
  <c r="L427" i="5"/>
  <c r="K427" i="5"/>
  <c r="J427" i="5"/>
  <c r="I427" i="5"/>
  <c r="H427" i="5"/>
  <c r="G427" i="5"/>
  <c r="F427" i="5"/>
  <c r="E427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P425" i="5"/>
  <c r="O425" i="5"/>
  <c r="N425" i="5"/>
  <c r="M425" i="5"/>
  <c r="L425" i="5"/>
  <c r="K425" i="5"/>
  <c r="J425" i="5"/>
  <c r="I425" i="5"/>
  <c r="H425" i="5"/>
  <c r="G425" i="5"/>
  <c r="F425" i="5"/>
  <c r="E425" i="5"/>
  <c r="P424" i="5"/>
  <c r="O424" i="5"/>
  <c r="N424" i="5"/>
  <c r="M424" i="5"/>
  <c r="L424" i="5"/>
  <c r="K424" i="5"/>
  <c r="J424" i="5"/>
  <c r="I424" i="5"/>
  <c r="H424" i="5"/>
  <c r="G424" i="5"/>
  <c r="F424" i="5"/>
  <c r="E424" i="5"/>
  <c r="P423" i="5"/>
  <c r="O423" i="5"/>
  <c r="N423" i="5"/>
  <c r="M423" i="5"/>
  <c r="L423" i="5"/>
  <c r="K423" i="5"/>
  <c r="J423" i="5"/>
  <c r="I423" i="5"/>
  <c r="H423" i="5"/>
  <c r="G423" i="5"/>
  <c r="F423" i="5"/>
  <c r="E423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P421" i="5"/>
  <c r="O421" i="5"/>
  <c r="N421" i="5"/>
  <c r="M421" i="5"/>
  <c r="L421" i="5"/>
  <c r="K421" i="5"/>
  <c r="J421" i="5"/>
  <c r="I421" i="5"/>
  <c r="H421" i="5"/>
  <c r="G421" i="5"/>
  <c r="F421" i="5"/>
  <c r="E421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P419" i="5"/>
  <c r="O419" i="5"/>
  <c r="N419" i="5"/>
  <c r="M419" i="5"/>
  <c r="L419" i="5"/>
  <c r="K419" i="5"/>
  <c r="J419" i="5"/>
  <c r="I419" i="5"/>
  <c r="H419" i="5"/>
  <c r="G419" i="5"/>
  <c r="F419" i="5"/>
  <c r="E419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P417" i="5"/>
  <c r="O417" i="5"/>
  <c r="N417" i="5"/>
  <c r="M417" i="5"/>
  <c r="L417" i="5"/>
  <c r="K417" i="5"/>
  <c r="J417" i="5"/>
  <c r="I417" i="5"/>
  <c r="H417" i="5"/>
  <c r="G417" i="5"/>
  <c r="F417" i="5"/>
  <c r="E417" i="5"/>
  <c r="P416" i="5"/>
  <c r="O416" i="5"/>
  <c r="N416" i="5"/>
  <c r="M416" i="5"/>
  <c r="L416" i="5"/>
  <c r="K416" i="5"/>
  <c r="J416" i="5"/>
  <c r="I416" i="5"/>
  <c r="H416" i="5"/>
  <c r="G416" i="5"/>
  <c r="F416" i="5"/>
  <c r="E416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P414" i="5"/>
  <c r="O414" i="5"/>
  <c r="N414" i="5"/>
  <c r="M414" i="5"/>
  <c r="L414" i="5"/>
  <c r="K414" i="5"/>
  <c r="J414" i="5"/>
  <c r="I414" i="5"/>
  <c r="H414" i="5"/>
  <c r="G414" i="5"/>
  <c r="F414" i="5"/>
  <c r="E414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P407" i="5"/>
  <c r="O407" i="5"/>
  <c r="N407" i="5"/>
  <c r="M407" i="5"/>
  <c r="L407" i="5"/>
  <c r="K407" i="5"/>
  <c r="J407" i="5"/>
  <c r="I407" i="5"/>
  <c r="H407" i="5"/>
  <c r="G407" i="5"/>
  <c r="F407" i="5"/>
  <c r="E407" i="5"/>
  <c r="P406" i="5"/>
  <c r="O406" i="5"/>
  <c r="N406" i="5"/>
  <c r="M406" i="5"/>
  <c r="L406" i="5"/>
  <c r="K406" i="5"/>
  <c r="J406" i="5"/>
  <c r="I406" i="5"/>
  <c r="H406" i="5"/>
  <c r="G406" i="5"/>
  <c r="F406" i="5"/>
  <c r="E406" i="5"/>
  <c r="P405" i="5"/>
  <c r="O405" i="5"/>
  <c r="N405" i="5"/>
  <c r="M405" i="5"/>
  <c r="L405" i="5"/>
  <c r="K405" i="5"/>
  <c r="J405" i="5"/>
  <c r="I405" i="5"/>
  <c r="H405" i="5"/>
  <c r="G405" i="5"/>
  <c r="F405" i="5"/>
  <c r="E405" i="5"/>
  <c r="P404" i="5"/>
  <c r="O404" i="5"/>
  <c r="N404" i="5"/>
  <c r="M404" i="5"/>
  <c r="L404" i="5"/>
  <c r="K404" i="5"/>
  <c r="J404" i="5"/>
  <c r="I404" i="5"/>
  <c r="H404" i="5"/>
  <c r="G404" i="5"/>
  <c r="F404" i="5"/>
  <c r="E404" i="5"/>
  <c r="P403" i="5"/>
  <c r="O403" i="5"/>
  <c r="N403" i="5"/>
  <c r="M403" i="5"/>
  <c r="L403" i="5"/>
  <c r="K403" i="5"/>
  <c r="J403" i="5"/>
  <c r="I403" i="5"/>
  <c r="H403" i="5"/>
  <c r="G403" i="5"/>
  <c r="F403" i="5"/>
  <c r="E403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P398" i="5"/>
  <c r="O398" i="5"/>
  <c r="N398" i="5"/>
  <c r="M398" i="5"/>
  <c r="L398" i="5"/>
  <c r="K398" i="5"/>
  <c r="J398" i="5"/>
  <c r="I398" i="5"/>
  <c r="H398" i="5"/>
  <c r="G398" i="5"/>
  <c r="F398" i="5"/>
  <c r="E398" i="5"/>
  <c r="P397" i="5"/>
  <c r="O397" i="5"/>
  <c r="N397" i="5"/>
  <c r="M397" i="5"/>
  <c r="L397" i="5"/>
  <c r="K397" i="5"/>
  <c r="J397" i="5"/>
  <c r="I397" i="5"/>
  <c r="H397" i="5"/>
  <c r="G397" i="5"/>
  <c r="F397" i="5"/>
  <c r="E397" i="5"/>
  <c r="P396" i="5"/>
  <c r="O396" i="5"/>
  <c r="N396" i="5"/>
  <c r="M396" i="5"/>
  <c r="L396" i="5"/>
  <c r="K396" i="5"/>
  <c r="J396" i="5"/>
  <c r="I396" i="5"/>
  <c r="H396" i="5"/>
  <c r="G396" i="5"/>
  <c r="F396" i="5"/>
  <c r="E396" i="5"/>
  <c r="P395" i="5"/>
  <c r="O395" i="5"/>
  <c r="N395" i="5"/>
  <c r="M395" i="5"/>
  <c r="L395" i="5"/>
  <c r="K395" i="5"/>
  <c r="J395" i="5"/>
  <c r="I395" i="5"/>
  <c r="H395" i="5"/>
  <c r="G395" i="5"/>
  <c r="F395" i="5"/>
  <c r="E395" i="5"/>
  <c r="P394" i="5"/>
  <c r="O394" i="5"/>
  <c r="N394" i="5"/>
  <c r="M394" i="5"/>
  <c r="L394" i="5"/>
  <c r="K394" i="5"/>
  <c r="J394" i="5"/>
  <c r="I394" i="5"/>
  <c r="H394" i="5"/>
  <c r="G394" i="5"/>
  <c r="F394" i="5"/>
  <c r="E394" i="5"/>
  <c r="P393" i="5"/>
  <c r="O393" i="5"/>
  <c r="N393" i="5"/>
  <c r="M393" i="5"/>
  <c r="L393" i="5"/>
  <c r="K393" i="5"/>
  <c r="J393" i="5"/>
  <c r="I393" i="5"/>
  <c r="H393" i="5"/>
  <c r="G393" i="5"/>
  <c r="F393" i="5"/>
  <c r="E393" i="5"/>
  <c r="P392" i="5"/>
  <c r="O392" i="5"/>
  <c r="N392" i="5"/>
  <c r="M392" i="5"/>
  <c r="L392" i="5"/>
  <c r="K392" i="5"/>
  <c r="J392" i="5"/>
  <c r="I392" i="5"/>
  <c r="H392" i="5"/>
  <c r="G392" i="5"/>
  <c r="F392" i="5"/>
  <c r="E392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P390" i="5"/>
  <c r="O390" i="5"/>
  <c r="N390" i="5"/>
  <c r="M390" i="5"/>
  <c r="L390" i="5"/>
  <c r="K390" i="5"/>
  <c r="J390" i="5"/>
  <c r="I390" i="5"/>
  <c r="H390" i="5"/>
  <c r="G390" i="5"/>
  <c r="F390" i="5"/>
  <c r="E390" i="5"/>
  <c r="P389" i="5"/>
  <c r="O389" i="5"/>
  <c r="N389" i="5"/>
  <c r="M389" i="5"/>
  <c r="L389" i="5"/>
  <c r="K389" i="5"/>
  <c r="J389" i="5"/>
  <c r="I389" i="5"/>
  <c r="H389" i="5"/>
  <c r="G389" i="5"/>
  <c r="F389" i="5"/>
  <c r="E389" i="5"/>
  <c r="P388" i="5"/>
  <c r="O388" i="5"/>
  <c r="N388" i="5"/>
  <c r="M388" i="5"/>
  <c r="L388" i="5"/>
  <c r="K388" i="5"/>
  <c r="J388" i="5"/>
  <c r="I388" i="5"/>
  <c r="H388" i="5"/>
  <c r="G388" i="5"/>
  <c r="F388" i="5"/>
  <c r="E388" i="5"/>
  <c r="P387" i="5"/>
  <c r="O387" i="5"/>
  <c r="N387" i="5"/>
  <c r="M387" i="5"/>
  <c r="L387" i="5"/>
  <c r="K387" i="5"/>
  <c r="J387" i="5"/>
  <c r="I387" i="5"/>
  <c r="H387" i="5"/>
  <c r="G387" i="5"/>
  <c r="F387" i="5"/>
  <c r="E387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P385" i="5"/>
  <c r="O385" i="5"/>
  <c r="N385" i="5"/>
  <c r="M385" i="5"/>
  <c r="L385" i="5"/>
  <c r="K385" i="5"/>
  <c r="J385" i="5"/>
  <c r="I385" i="5"/>
  <c r="H385" i="5"/>
  <c r="G385" i="5"/>
  <c r="F385" i="5"/>
  <c r="E385" i="5"/>
  <c r="P384" i="5"/>
  <c r="O384" i="5"/>
  <c r="N384" i="5"/>
  <c r="M384" i="5"/>
  <c r="L384" i="5"/>
  <c r="K384" i="5"/>
  <c r="J384" i="5"/>
  <c r="I384" i="5"/>
  <c r="H384" i="5"/>
  <c r="G384" i="5"/>
  <c r="F384" i="5"/>
  <c r="E384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P382" i="5"/>
  <c r="O382" i="5"/>
  <c r="N382" i="5"/>
  <c r="M382" i="5"/>
  <c r="L382" i="5"/>
  <c r="K382" i="5"/>
  <c r="J382" i="5"/>
  <c r="I382" i="5"/>
  <c r="H382" i="5"/>
  <c r="G382" i="5"/>
  <c r="F382" i="5"/>
  <c r="E382" i="5"/>
  <c r="P381" i="5"/>
  <c r="O381" i="5"/>
  <c r="N381" i="5"/>
  <c r="M381" i="5"/>
  <c r="L381" i="5"/>
  <c r="K381" i="5"/>
  <c r="J381" i="5"/>
  <c r="I381" i="5"/>
  <c r="H381" i="5"/>
  <c r="G381" i="5"/>
  <c r="F381" i="5"/>
  <c r="E381" i="5"/>
  <c r="P380" i="5"/>
  <c r="O380" i="5"/>
  <c r="N380" i="5"/>
  <c r="M380" i="5"/>
  <c r="L380" i="5"/>
  <c r="K380" i="5"/>
  <c r="J380" i="5"/>
  <c r="I380" i="5"/>
  <c r="H380" i="5"/>
  <c r="G380" i="5"/>
  <c r="F380" i="5"/>
  <c r="E380" i="5"/>
  <c r="P379" i="5"/>
  <c r="O379" i="5"/>
  <c r="N379" i="5"/>
  <c r="M379" i="5"/>
  <c r="L379" i="5"/>
  <c r="K379" i="5"/>
  <c r="J379" i="5"/>
  <c r="I379" i="5"/>
  <c r="H379" i="5"/>
  <c r="G379" i="5"/>
  <c r="F379" i="5"/>
  <c r="E379" i="5"/>
  <c r="P378" i="5"/>
  <c r="O378" i="5"/>
  <c r="N378" i="5"/>
  <c r="M378" i="5"/>
  <c r="L378" i="5"/>
  <c r="K378" i="5"/>
  <c r="J378" i="5"/>
  <c r="I378" i="5"/>
  <c r="H378" i="5"/>
  <c r="G378" i="5"/>
  <c r="F378" i="5"/>
  <c r="E378" i="5"/>
  <c r="P377" i="5"/>
  <c r="O377" i="5"/>
  <c r="N377" i="5"/>
  <c r="M377" i="5"/>
  <c r="L377" i="5"/>
  <c r="K377" i="5"/>
  <c r="J377" i="5"/>
  <c r="I377" i="5"/>
  <c r="H377" i="5"/>
  <c r="G377" i="5"/>
  <c r="F377" i="5"/>
  <c r="E377" i="5"/>
  <c r="P376" i="5"/>
  <c r="O376" i="5"/>
  <c r="N376" i="5"/>
  <c r="M376" i="5"/>
  <c r="L376" i="5"/>
  <c r="K376" i="5"/>
  <c r="J376" i="5"/>
  <c r="I376" i="5"/>
  <c r="H376" i="5"/>
  <c r="G376" i="5"/>
  <c r="F376" i="5"/>
  <c r="E376" i="5"/>
  <c r="P375" i="5"/>
  <c r="O375" i="5"/>
  <c r="N375" i="5"/>
  <c r="M375" i="5"/>
  <c r="L375" i="5"/>
  <c r="K375" i="5"/>
  <c r="J375" i="5"/>
  <c r="I375" i="5"/>
  <c r="H375" i="5"/>
  <c r="G375" i="5"/>
  <c r="F375" i="5"/>
  <c r="E375" i="5"/>
  <c r="P374" i="5"/>
  <c r="O374" i="5"/>
  <c r="N374" i="5"/>
  <c r="M374" i="5"/>
  <c r="L374" i="5"/>
  <c r="K374" i="5"/>
  <c r="J374" i="5"/>
  <c r="I374" i="5"/>
  <c r="H374" i="5"/>
  <c r="G374" i="5"/>
  <c r="F374" i="5"/>
  <c r="E374" i="5"/>
  <c r="P373" i="5"/>
  <c r="O373" i="5"/>
  <c r="N373" i="5"/>
  <c r="M373" i="5"/>
  <c r="L373" i="5"/>
  <c r="K373" i="5"/>
  <c r="J373" i="5"/>
  <c r="I373" i="5"/>
  <c r="H373" i="5"/>
  <c r="G373" i="5"/>
  <c r="F373" i="5"/>
  <c r="E373" i="5"/>
  <c r="P372" i="5"/>
  <c r="O372" i="5"/>
  <c r="N372" i="5"/>
  <c r="M372" i="5"/>
  <c r="L372" i="5"/>
  <c r="K372" i="5"/>
  <c r="J372" i="5"/>
  <c r="I372" i="5"/>
  <c r="H372" i="5"/>
  <c r="G372" i="5"/>
  <c r="F372" i="5"/>
  <c r="E372" i="5"/>
  <c r="P371" i="5"/>
  <c r="O371" i="5"/>
  <c r="N371" i="5"/>
  <c r="M371" i="5"/>
  <c r="L371" i="5"/>
  <c r="K371" i="5"/>
  <c r="J371" i="5"/>
  <c r="I371" i="5"/>
  <c r="H371" i="5"/>
  <c r="G371" i="5"/>
  <c r="F371" i="5"/>
  <c r="E371" i="5"/>
  <c r="P370" i="5"/>
  <c r="O370" i="5"/>
  <c r="N370" i="5"/>
  <c r="M370" i="5"/>
  <c r="L370" i="5"/>
  <c r="K370" i="5"/>
  <c r="J370" i="5"/>
  <c r="I370" i="5"/>
  <c r="H370" i="5"/>
  <c r="G370" i="5"/>
  <c r="F370" i="5"/>
  <c r="E370" i="5"/>
  <c r="P369" i="5"/>
  <c r="O369" i="5"/>
  <c r="N369" i="5"/>
  <c r="M369" i="5"/>
  <c r="L369" i="5"/>
  <c r="K369" i="5"/>
  <c r="J369" i="5"/>
  <c r="I369" i="5"/>
  <c r="H369" i="5"/>
  <c r="G369" i="5"/>
  <c r="F369" i="5"/>
  <c r="E369" i="5"/>
  <c r="P368" i="5"/>
  <c r="O368" i="5"/>
  <c r="N368" i="5"/>
  <c r="M368" i="5"/>
  <c r="L368" i="5"/>
  <c r="K368" i="5"/>
  <c r="J368" i="5"/>
  <c r="I368" i="5"/>
  <c r="H368" i="5"/>
  <c r="G368" i="5"/>
  <c r="F368" i="5"/>
  <c r="E368" i="5"/>
  <c r="P367" i="5"/>
  <c r="O367" i="5"/>
  <c r="N367" i="5"/>
  <c r="M367" i="5"/>
  <c r="L367" i="5"/>
  <c r="K367" i="5"/>
  <c r="J367" i="5"/>
  <c r="I367" i="5"/>
  <c r="H367" i="5"/>
  <c r="G367" i="5"/>
  <c r="F367" i="5"/>
  <c r="E367" i="5"/>
  <c r="P366" i="5"/>
  <c r="O366" i="5"/>
  <c r="N366" i="5"/>
  <c r="M366" i="5"/>
  <c r="L366" i="5"/>
  <c r="K366" i="5"/>
  <c r="J366" i="5"/>
  <c r="I366" i="5"/>
  <c r="H366" i="5"/>
  <c r="G366" i="5"/>
  <c r="F366" i="5"/>
  <c r="E366" i="5"/>
  <c r="P365" i="5"/>
  <c r="O365" i="5"/>
  <c r="N365" i="5"/>
  <c r="M365" i="5"/>
  <c r="L365" i="5"/>
  <c r="K365" i="5"/>
  <c r="J365" i="5"/>
  <c r="I365" i="5"/>
  <c r="H365" i="5"/>
  <c r="G365" i="5"/>
  <c r="F365" i="5"/>
  <c r="E365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P359" i="5"/>
  <c r="O359" i="5"/>
  <c r="N359" i="5"/>
  <c r="M359" i="5"/>
  <c r="L359" i="5"/>
  <c r="K359" i="5"/>
  <c r="J359" i="5"/>
  <c r="I359" i="5"/>
  <c r="H359" i="5"/>
  <c r="G359" i="5"/>
  <c r="F359" i="5"/>
  <c r="E359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P356" i="5"/>
  <c r="O356" i="5"/>
  <c r="N356" i="5"/>
  <c r="M356" i="5"/>
  <c r="L356" i="5"/>
  <c r="K356" i="5"/>
  <c r="J356" i="5"/>
  <c r="I356" i="5"/>
  <c r="H356" i="5"/>
  <c r="G356" i="5"/>
  <c r="F356" i="5"/>
  <c r="E356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P353" i="5"/>
  <c r="O353" i="5"/>
  <c r="N353" i="5"/>
  <c r="M353" i="5"/>
  <c r="L353" i="5"/>
  <c r="K353" i="5"/>
  <c r="J353" i="5"/>
  <c r="I353" i="5"/>
  <c r="H353" i="5"/>
  <c r="G353" i="5"/>
  <c r="F353" i="5"/>
  <c r="E353" i="5"/>
  <c r="P352" i="5"/>
  <c r="O352" i="5"/>
  <c r="N352" i="5"/>
  <c r="M352" i="5"/>
  <c r="L352" i="5"/>
  <c r="K352" i="5"/>
  <c r="J352" i="5"/>
  <c r="I352" i="5"/>
  <c r="H352" i="5"/>
  <c r="G352" i="5"/>
  <c r="F352" i="5"/>
  <c r="E352" i="5"/>
  <c r="P351" i="5"/>
  <c r="O351" i="5"/>
  <c r="N351" i="5"/>
  <c r="M351" i="5"/>
  <c r="L351" i="5"/>
  <c r="K351" i="5"/>
  <c r="J351" i="5"/>
  <c r="I351" i="5"/>
  <c r="H351" i="5"/>
  <c r="G351" i="5"/>
  <c r="F351" i="5"/>
  <c r="E351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P348" i="5"/>
  <c r="O348" i="5"/>
  <c r="N348" i="5"/>
  <c r="M348" i="5"/>
  <c r="L348" i="5"/>
  <c r="K348" i="5"/>
  <c r="J348" i="5"/>
  <c r="I348" i="5"/>
  <c r="H348" i="5"/>
  <c r="G348" i="5"/>
  <c r="F348" i="5"/>
  <c r="E348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P343" i="5"/>
  <c r="O343" i="5"/>
  <c r="N343" i="5"/>
  <c r="M343" i="5"/>
  <c r="L343" i="5"/>
  <c r="K343" i="5"/>
  <c r="J343" i="5"/>
  <c r="I343" i="5"/>
  <c r="H343" i="5"/>
  <c r="G343" i="5"/>
  <c r="F343" i="5"/>
  <c r="E343" i="5"/>
  <c r="P342" i="5"/>
  <c r="O342" i="5"/>
  <c r="N342" i="5"/>
  <c r="M342" i="5"/>
  <c r="L342" i="5"/>
  <c r="K342" i="5"/>
  <c r="J342" i="5"/>
  <c r="I342" i="5"/>
  <c r="H342" i="5"/>
  <c r="G342" i="5"/>
  <c r="F342" i="5"/>
  <c r="E342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P335" i="5"/>
  <c r="O335" i="5"/>
  <c r="N335" i="5"/>
  <c r="M335" i="5"/>
  <c r="L335" i="5"/>
  <c r="K335" i="5"/>
  <c r="J335" i="5"/>
  <c r="I335" i="5"/>
  <c r="H335" i="5"/>
  <c r="G335" i="5"/>
  <c r="F335" i="5"/>
  <c r="E335" i="5"/>
  <c r="P334" i="5"/>
  <c r="O334" i="5"/>
  <c r="N334" i="5"/>
  <c r="M334" i="5"/>
  <c r="L334" i="5"/>
  <c r="K334" i="5"/>
  <c r="J334" i="5"/>
  <c r="I334" i="5"/>
  <c r="H334" i="5"/>
  <c r="G334" i="5"/>
  <c r="F334" i="5"/>
  <c r="E334" i="5"/>
  <c r="P333" i="5"/>
  <c r="O333" i="5"/>
  <c r="N333" i="5"/>
  <c r="M333" i="5"/>
  <c r="L333" i="5"/>
  <c r="K333" i="5"/>
  <c r="J333" i="5"/>
  <c r="I333" i="5"/>
  <c r="H333" i="5"/>
  <c r="G333" i="5"/>
  <c r="F333" i="5"/>
  <c r="E333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P329" i="5"/>
  <c r="O329" i="5"/>
  <c r="N329" i="5"/>
  <c r="M329" i="5"/>
  <c r="L329" i="5"/>
  <c r="K329" i="5"/>
  <c r="J329" i="5"/>
  <c r="I329" i="5"/>
  <c r="H329" i="5"/>
  <c r="G329" i="5"/>
  <c r="F329" i="5"/>
  <c r="E329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P325" i="5"/>
  <c r="O325" i="5"/>
  <c r="N325" i="5"/>
  <c r="M325" i="5"/>
  <c r="L325" i="5"/>
  <c r="K325" i="5"/>
  <c r="J325" i="5"/>
  <c r="I325" i="5"/>
  <c r="H325" i="5"/>
  <c r="G325" i="5"/>
  <c r="F325" i="5"/>
  <c r="E325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P311" i="5"/>
  <c r="O311" i="5"/>
  <c r="N311" i="5"/>
  <c r="M311" i="5"/>
  <c r="L311" i="5"/>
  <c r="K311" i="5"/>
  <c r="J311" i="5"/>
  <c r="I311" i="5"/>
  <c r="H311" i="5"/>
  <c r="G311" i="5"/>
  <c r="F311" i="5"/>
  <c r="E311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P291" i="5"/>
  <c r="O291" i="5"/>
  <c r="N291" i="5"/>
  <c r="M291" i="5"/>
  <c r="L291" i="5"/>
  <c r="K291" i="5"/>
  <c r="J291" i="5"/>
  <c r="I291" i="5"/>
  <c r="H291" i="5"/>
  <c r="G291" i="5"/>
  <c r="F291" i="5"/>
  <c r="E291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P99" i="5"/>
  <c r="O99" i="5"/>
  <c r="N99" i="5"/>
  <c r="M99" i="5"/>
  <c r="L99" i="5"/>
  <c r="K99" i="5"/>
  <c r="J99" i="5"/>
  <c r="I99" i="5"/>
  <c r="H99" i="5"/>
  <c r="G99" i="5"/>
  <c r="F99" i="5"/>
  <c r="E99" i="5"/>
  <c r="P98" i="5"/>
  <c r="O98" i="5"/>
  <c r="N98" i="5"/>
  <c r="M98" i="5"/>
  <c r="L98" i="5"/>
  <c r="K98" i="5"/>
  <c r="J98" i="5"/>
  <c r="I98" i="5"/>
  <c r="H98" i="5"/>
  <c r="G98" i="5"/>
  <c r="F98" i="5"/>
  <c r="E98" i="5"/>
  <c r="P97" i="5"/>
  <c r="O97" i="5"/>
  <c r="N97" i="5"/>
  <c r="M97" i="5"/>
  <c r="L97" i="5"/>
  <c r="K97" i="5"/>
  <c r="J97" i="5"/>
  <c r="I97" i="5"/>
  <c r="H97" i="5"/>
  <c r="G97" i="5"/>
  <c r="F97" i="5"/>
  <c r="E97" i="5"/>
  <c r="P96" i="5"/>
  <c r="O96" i="5"/>
  <c r="N96" i="5"/>
  <c r="M96" i="5"/>
  <c r="L96" i="5"/>
  <c r="K96" i="5"/>
  <c r="J96" i="5"/>
  <c r="I96" i="5"/>
  <c r="H96" i="5"/>
  <c r="G96" i="5"/>
  <c r="F96" i="5"/>
  <c r="E96" i="5"/>
  <c r="P95" i="5"/>
  <c r="O95" i="5"/>
  <c r="N95" i="5"/>
  <c r="M95" i="5"/>
  <c r="L95" i="5"/>
  <c r="K95" i="5"/>
  <c r="J95" i="5"/>
  <c r="I95" i="5"/>
  <c r="H95" i="5"/>
  <c r="G95" i="5"/>
  <c r="F95" i="5"/>
  <c r="E95" i="5"/>
  <c r="P94" i="5"/>
  <c r="O94" i="5"/>
  <c r="N94" i="5"/>
  <c r="M94" i="5"/>
  <c r="L94" i="5"/>
  <c r="K94" i="5"/>
  <c r="J94" i="5"/>
  <c r="I94" i="5"/>
  <c r="H94" i="5"/>
  <c r="G94" i="5"/>
  <c r="F94" i="5"/>
  <c r="E94" i="5"/>
  <c r="P93" i="5"/>
  <c r="O93" i="5"/>
  <c r="N93" i="5"/>
  <c r="M93" i="5"/>
  <c r="L93" i="5"/>
  <c r="K93" i="5"/>
  <c r="J93" i="5"/>
  <c r="I93" i="5"/>
  <c r="H93" i="5"/>
  <c r="G93" i="5"/>
  <c r="F93" i="5"/>
  <c r="E93" i="5"/>
  <c r="P92" i="5"/>
  <c r="O92" i="5"/>
  <c r="N92" i="5"/>
  <c r="M92" i="5"/>
  <c r="L92" i="5"/>
  <c r="K92" i="5"/>
  <c r="J92" i="5"/>
  <c r="I92" i="5"/>
  <c r="H92" i="5"/>
  <c r="G92" i="5"/>
  <c r="F92" i="5"/>
  <c r="E92" i="5"/>
  <c r="P91" i="5"/>
  <c r="O91" i="5"/>
  <c r="N91" i="5"/>
  <c r="M91" i="5"/>
  <c r="L91" i="5"/>
  <c r="K91" i="5"/>
  <c r="J91" i="5"/>
  <c r="I91" i="5"/>
  <c r="H91" i="5"/>
  <c r="G91" i="5"/>
  <c r="F91" i="5"/>
  <c r="E91" i="5"/>
  <c r="P90" i="5"/>
  <c r="O90" i="5"/>
  <c r="N90" i="5"/>
  <c r="M90" i="5"/>
  <c r="L90" i="5"/>
  <c r="K90" i="5"/>
  <c r="J90" i="5"/>
  <c r="I90" i="5"/>
  <c r="H90" i="5"/>
  <c r="G90" i="5"/>
  <c r="F90" i="5"/>
  <c r="E90" i="5"/>
  <c r="P89" i="5"/>
  <c r="O89" i="5"/>
  <c r="N89" i="5"/>
  <c r="M89" i="5"/>
  <c r="L89" i="5"/>
  <c r="K89" i="5"/>
  <c r="J89" i="5"/>
  <c r="I89" i="5"/>
  <c r="H89" i="5"/>
  <c r="G89" i="5"/>
  <c r="F89" i="5"/>
  <c r="E89" i="5"/>
  <c r="P88" i="5"/>
  <c r="O88" i="5"/>
  <c r="N88" i="5"/>
  <c r="M88" i="5"/>
  <c r="L88" i="5"/>
  <c r="K88" i="5"/>
  <c r="J88" i="5"/>
  <c r="I88" i="5"/>
  <c r="H88" i="5"/>
  <c r="G88" i="5"/>
  <c r="F88" i="5"/>
  <c r="E88" i="5"/>
  <c r="P87" i="5"/>
  <c r="O87" i="5"/>
  <c r="N87" i="5"/>
  <c r="M87" i="5"/>
  <c r="L87" i="5"/>
  <c r="K87" i="5"/>
  <c r="J87" i="5"/>
  <c r="I87" i="5"/>
  <c r="H87" i="5"/>
  <c r="G87" i="5"/>
  <c r="F87" i="5"/>
  <c r="E87" i="5"/>
  <c r="P86" i="5"/>
  <c r="O86" i="5"/>
  <c r="N86" i="5"/>
  <c r="M86" i="5"/>
  <c r="L86" i="5"/>
  <c r="K86" i="5"/>
  <c r="J86" i="5"/>
  <c r="I86" i="5"/>
  <c r="H86" i="5"/>
  <c r="G86" i="5"/>
  <c r="F86" i="5"/>
  <c r="E86" i="5"/>
  <c r="P85" i="5"/>
  <c r="O85" i="5"/>
  <c r="N85" i="5"/>
  <c r="M85" i="5"/>
  <c r="L85" i="5"/>
  <c r="K85" i="5"/>
  <c r="J85" i="5"/>
  <c r="I85" i="5"/>
  <c r="H85" i="5"/>
  <c r="G85" i="5"/>
  <c r="F85" i="5"/>
  <c r="E85" i="5"/>
  <c r="P84" i="5"/>
  <c r="O84" i="5"/>
  <c r="N84" i="5"/>
  <c r="M84" i="5"/>
  <c r="L84" i="5"/>
  <c r="K84" i="5"/>
  <c r="J84" i="5"/>
  <c r="I84" i="5"/>
  <c r="H84" i="5"/>
  <c r="G84" i="5"/>
  <c r="F84" i="5"/>
  <c r="E84" i="5"/>
  <c r="P83" i="5"/>
  <c r="O83" i="5"/>
  <c r="N83" i="5"/>
  <c r="M83" i="5"/>
  <c r="L83" i="5"/>
  <c r="K83" i="5"/>
  <c r="J83" i="5"/>
  <c r="I83" i="5"/>
  <c r="H83" i="5"/>
  <c r="G83" i="5"/>
  <c r="F83" i="5"/>
  <c r="E83" i="5"/>
  <c r="P82" i="5"/>
  <c r="O82" i="5"/>
  <c r="N82" i="5"/>
  <c r="M82" i="5"/>
  <c r="L82" i="5"/>
  <c r="K82" i="5"/>
  <c r="J82" i="5"/>
  <c r="I82" i="5"/>
  <c r="H82" i="5"/>
  <c r="G82" i="5"/>
  <c r="F82" i="5"/>
  <c r="E82" i="5"/>
  <c r="P81" i="5"/>
  <c r="O81" i="5"/>
  <c r="N81" i="5"/>
  <c r="M81" i="5"/>
  <c r="L81" i="5"/>
  <c r="K81" i="5"/>
  <c r="J81" i="5"/>
  <c r="I81" i="5"/>
  <c r="H81" i="5"/>
  <c r="G81" i="5"/>
  <c r="F81" i="5"/>
  <c r="E81" i="5"/>
  <c r="P80" i="5"/>
  <c r="O80" i="5"/>
  <c r="N80" i="5"/>
  <c r="M80" i="5"/>
  <c r="L80" i="5"/>
  <c r="K80" i="5"/>
  <c r="J80" i="5"/>
  <c r="I80" i="5"/>
  <c r="H80" i="5"/>
  <c r="G80" i="5"/>
  <c r="F80" i="5"/>
  <c r="E80" i="5"/>
  <c r="P79" i="5"/>
  <c r="O79" i="5"/>
  <c r="N79" i="5"/>
  <c r="M79" i="5"/>
  <c r="L79" i="5"/>
  <c r="K79" i="5"/>
  <c r="J79" i="5"/>
  <c r="I79" i="5"/>
  <c r="H79" i="5"/>
  <c r="G79" i="5"/>
  <c r="F79" i="5"/>
  <c r="E79" i="5"/>
  <c r="P78" i="5"/>
  <c r="O78" i="5"/>
  <c r="N78" i="5"/>
  <c r="M78" i="5"/>
  <c r="L78" i="5"/>
  <c r="K78" i="5"/>
  <c r="J78" i="5"/>
  <c r="I78" i="5"/>
  <c r="H78" i="5"/>
  <c r="G78" i="5"/>
  <c r="F78" i="5"/>
  <c r="E78" i="5"/>
  <c r="P77" i="5"/>
  <c r="O77" i="5"/>
  <c r="N77" i="5"/>
  <c r="M77" i="5"/>
  <c r="L77" i="5"/>
  <c r="K77" i="5"/>
  <c r="J77" i="5"/>
  <c r="I77" i="5"/>
  <c r="H77" i="5"/>
  <c r="G77" i="5"/>
  <c r="F77" i="5"/>
  <c r="E77" i="5"/>
  <c r="P76" i="5"/>
  <c r="O76" i="5"/>
  <c r="N76" i="5"/>
  <c r="M76" i="5"/>
  <c r="L76" i="5"/>
  <c r="K76" i="5"/>
  <c r="J76" i="5"/>
  <c r="I76" i="5"/>
  <c r="H76" i="5"/>
  <c r="G76" i="5"/>
  <c r="F76" i="5"/>
  <c r="E76" i="5"/>
  <c r="P75" i="5"/>
  <c r="O75" i="5"/>
  <c r="N75" i="5"/>
  <c r="M75" i="5"/>
  <c r="L75" i="5"/>
  <c r="K75" i="5"/>
  <c r="J75" i="5"/>
  <c r="I75" i="5"/>
  <c r="H75" i="5"/>
  <c r="G75" i="5"/>
  <c r="F75" i="5"/>
  <c r="E75" i="5"/>
  <c r="P74" i="5"/>
  <c r="O74" i="5"/>
  <c r="N74" i="5"/>
  <c r="M74" i="5"/>
  <c r="L74" i="5"/>
  <c r="K74" i="5"/>
  <c r="J74" i="5"/>
  <c r="I74" i="5"/>
  <c r="H74" i="5"/>
  <c r="G74" i="5"/>
  <c r="F74" i="5"/>
  <c r="E74" i="5"/>
  <c r="P73" i="5"/>
  <c r="O73" i="5"/>
  <c r="N73" i="5"/>
  <c r="M73" i="5"/>
  <c r="L73" i="5"/>
  <c r="K73" i="5"/>
  <c r="J73" i="5"/>
  <c r="I73" i="5"/>
  <c r="H73" i="5"/>
  <c r="G73" i="5"/>
  <c r="F73" i="5"/>
  <c r="E73" i="5"/>
  <c r="P72" i="5"/>
  <c r="O72" i="5"/>
  <c r="N72" i="5"/>
  <c r="M72" i="5"/>
  <c r="L72" i="5"/>
  <c r="K72" i="5"/>
  <c r="J72" i="5"/>
  <c r="I72" i="5"/>
  <c r="H72" i="5"/>
  <c r="G72" i="5"/>
  <c r="F72" i="5"/>
  <c r="E72" i="5"/>
  <c r="P71" i="5"/>
  <c r="O71" i="5"/>
  <c r="N71" i="5"/>
  <c r="M71" i="5"/>
  <c r="L71" i="5"/>
  <c r="K71" i="5"/>
  <c r="J71" i="5"/>
  <c r="I71" i="5"/>
  <c r="H71" i="5"/>
  <c r="G71" i="5"/>
  <c r="F71" i="5"/>
  <c r="E71" i="5"/>
  <c r="P70" i="5"/>
  <c r="O70" i="5"/>
  <c r="N70" i="5"/>
  <c r="M70" i="5"/>
  <c r="L70" i="5"/>
  <c r="K70" i="5"/>
  <c r="J70" i="5"/>
  <c r="I70" i="5"/>
  <c r="H70" i="5"/>
  <c r="G70" i="5"/>
  <c r="F70" i="5"/>
  <c r="E70" i="5"/>
  <c r="P69" i="5"/>
  <c r="O69" i="5"/>
  <c r="N69" i="5"/>
  <c r="M69" i="5"/>
  <c r="L69" i="5"/>
  <c r="K69" i="5"/>
  <c r="J69" i="5"/>
  <c r="I69" i="5"/>
  <c r="H69" i="5"/>
  <c r="G69" i="5"/>
  <c r="F69" i="5"/>
  <c r="E69" i="5"/>
  <c r="P68" i="5"/>
  <c r="O68" i="5"/>
  <c r="N68" i="5"/>
  <c r="M68" i="5"/>
  <c r="L68" i="5"/>
  <c r="K68" i="5"/>
  <c r="J68" i="5"/>
  <c r="I68" i="5"/>
  <c r="H68" i="5"/>
  <c r="G68" i="5"/>
  <c r="F68" i="5"/>
  <c r="E68" i="5"/>
  <c r="P67" i="5"/>
  <c r="O67" i="5"/>
  <c r="N67" i="5"/>
  <c r="M67" i="5"/>
  <c r="L67" i="5"/>
  <c r="K67" i="5"/>
  <c r="J67" i="5"/>
  <c r="I67" i="5"/>
  <c r="H67" i="5"/>
  <c r="G67" i="5"/>
  <c r="F67" i="5"/>
  <c r="E67" i="5"/>
  <c r="P66" i="5"/>
  <c r="O66" i="5"/>
  <c r="N66" i="5"/>
  <c r="M66" i="5"/>
  <c r="L66" i="5"/>
  <c r="K66" i="5"/>
  <c r="J66" i="5"/>
  <c r="I66" i="5"/>
  <c r="H66" i="5"/>
  <c r="G66" i="5"/>
  <c r="F66" i="5"/>
  <c r="E66" i="5"/>
  <c r="P65" i="5"/>
  <c r="O65" i="5"/>
  <c r="N65" i="5"/>
  <c r="M65" i="5"/>
  <c r="L65" i="5"/>
  <c r="K65" i="5"/>
  <c r="J65" i="5"/>
  <c r="I65" i="5"/>
  <c r="H65" i="5"/>
  <c r="G65" i="5"/>
  <c r="F65" i="5"/>
  <c r="E65" i="5"/>
  <c r="P64" i="5"/>
  <c r="O64" i="5"/>
  <c r="N64" i="5"/>
  <c r="M64" i="5"/>
  <c r="L64" i="5"/>
  <c r="K64" i="5"/>
  <c r="J64" i="5"/>
  <c r="I64" i="5"/>
  <c r="H64" i="5"/>
  <c r="G64" i="5"/>
  <c r="F64" i="5"/>
  <c r="E64" i="5"/>
  <c r="P63" i="5"/>
  <c r="O63" i="5"/>
  <c r="N63" i="5"/>
  <c r="M63" i="5"/>
  <c r="L63" i="5"/>
  <c r="K63" i="5"/>
  <c r="J63" i="5"/>
  <c r="I63" i="5"/>
  <c r="H63" i="5"/>
  <c r="G63" i="5"/>
  <c r="F63" i="5"/>
  <c r="E63" i="5"/>
  <c r="P62" i="5"/>
  <c r="O62" i="5"/>
  <c r="N62" i="5"/>
  <c r="M62" i="5"/>
  <c r="L62" i="5"/>
  <c r="K62" i="5"/>
  <c r="J62" i="5"/>
  <c r="I62" i="5"/>
  <c r="H62" i="5"/>
  <c r="G62" i="5"/>
  <c r="F62" i="5"/>
  <c r="E62" i="5"/>
  <c r="P61" i="5"/>
  <c r="O61" i="5"/>
  <c r="N61" i="5"/>
  <c r="M61" i="5"/>
  <c r="L61" i="5"/>
  <c r="K61" i="5"/>
  <c r="J61" i="5"/>
  <c r="I61" i="5"/>
  <c r="H61" i="5"/>
  <c r="G61" i="5"/>
  <c r="F61" i="5"/>
  <c r="E61" i="5"/>
  <c r="P60" i="5"/>
  <c r="O60" i="5"/>
  <c r="N60" i="5"/>
  <c r="M60" i="5"/>
  <c r="L60" i="5"/>
  <c r="K60" i="5"/>
  <c r="J60" i="5"/>
  <c r="I60" i="5"/>
  <c r="H60" i="5"/>
  <c r="G60" i="5"/>
  <c r="F60" i="5"/>
  <c r="E60" i="5"/>
  <c r="P59" i="5"/>
  <c r="O59" i="5"/>
  <c r="N59" i="5"/>
  <c r="M59" i="5"/>
  <c r="L59" i="5"/>
  <c r="K59" i="5"/>
  <c r="J59" i="5"/>
  <c r="I59" i="5"/>
  <c r="H59" i="5"/>
  <c r="G59" i="5"/>
  <c r="F59" i="5"/>
  <c r="E59" i="5"/>
  <c r="P58" i="5"/>
  <c r="O58" i="5"/>
  <c r="N58" i="5"/>
  <c r="M58" i="5"/>
  <c r="L58" i="5"/>
  <c r="K58" i="5"/>
  <c r="J58" i="5"/>
  <c r="I58" i="5"/>
  <c r="H58" i="5"/>
  <c r="G58" i="5"/>
  <c r="F58" i="5"/>
  <c r="E58" i="5"/>
  <c r="P57" i="5"/>
  <c r="O57" i="5"/>
  <c r="N57" i="5"/>
  <c r="M57" i="5"/>
  <c r="L57" i="5"/>
  <c r="K57" i="5"/>
  <c r="J57" i="5"/>
  <c r="I57" i="5"/>
  <c r="H57" i="5"/>
  <c r="G57" i="5"/>
  <c r="F57" i="5"/>
  <c r="E57" i="5"/>
  <c r="P56" i="5"/>
  <c r="O56" i="5"/>
  <c r="N56" i="5"/>
  <c r="M56" i="5"/>
  <c r="L56" i="5"/>
  <c r="K56" i="5"/>
  <c r="J56" i="5"/>
  <c r="I56" i="5"/>
  <c r="H56" i="5"/>
  <c r="G56" i="5"/>
  <c r="F56" i="5"/>
  <c r="E56" i="5"/>
  <c r="P55" i="5"/>
  <c r="O55" i="5"/>
  <c r="N55" i="5"/>
  <c r="M55" i="5"/>
  <c r="L55" i="5"/>
  <c r="K55" i="5"/>
  <c r="J55" i="5"/>
  <c r="I55" i="5"/>
  <c r="H55" i="5"/>
  <c r="G55" i="5"/>
  <c r="F55" i="5"/>
  <c r="E55" i="5"/>
  <c r="P54" i="5"/>
  <c r="O54" i="5"/>
  <c r="N54" i="5"/>
  <c r="M54" i="5"/>
  <c r="L54" i="5"/>
  <c r="K54" i="5"/>
  <c r="J54" i="5"/>
  <c r="I54" i="5"/>
  <c r="H54" i="5"/>
  <c r="G54" i="5"/>
  <c r="F54" i="5"/>
  <c r="E54" i="5"/>
  <c r="P53" i="5"/>
  <c r="O53" i="5"/>
  <c r="N53" i="5"/>
  <c r="M53" i="5"/>
  <c r="L53" i="5"/>
  <c r="K53" i="5"/>
  <c r="J53" i="5"/>
  <c r="I53" i="5"/>
  <c r="H53" i="5"/>
  <c r="G53" i="5"/>
  <c r="F53" i="5"/>
  <c r="E53" i="5"/>
  <c r="P52" i="5"/>
  <c r="O52" i="5"/>
  <c r="N52" i="5"/>
  <c r="M52" i="5"/>
  <c r="L52" i="5"/>
  <c r="K52" i="5"/>
  <c r="J52" i="5"/>
  <c r="I52" i="5"/>
  <c r="H52" i="5"/>
  <c r="G52" i="5"/>
  <c r="F52" i="5"/>
  <c r="E52" i="5"/>
  <c r="P51" i="5"/>
  <c r="O51" i="5"/>
  <c r="N51" i="5"/>
  <c r="M51" i="5"/>
  <c r="L51" i="5"/>
  <c r="K51" i="5"/>
  <c r="J51" i="5"/>
  <c r="I51" i="5"/>
  <c r="H51" i="5"/>
  <c r="G51" i="5"/>
  <c r="F51" i="5"/>
  <c r="E51" i="5"/>
  <c r="P50" i="5"/>
  <c r="O50" i="5"/>
  <c r="N50" i="5"/>
  <c r="M50" i="5"/>
  <c r="L50" i="5"/>
  <c r="K50" i="5"/>
  <c r="J50" i="5"/>
  <c r="I50" i="5"/>
  <c r="H50" i="5"/>
  <c r="G50" i="5"/>
  <c r="F50" i="5"/>
  <c r="E50" i="5"/>
  <c r="P49" i="5"/>
  <c r="O49" i="5"/>
  <c r="N49" i="5"/>
  <c r="M49" i="5"/>
  <c r="L49" i="5"/>
  <c r="K49" i="5"/>
  <c r="J49" i="5"/>
  <c r="I49" i="5"/>
  <c r="H49" i="5"/>
  <c r="G49" i="5"/>
  <c r="F49" i="5"/>
  <c r="E49" i="5"/>
  <c r="P48" i="5"/>
  <c r="O48" i="5"/>
  <c r="N48" i="5"/>
  <c r="M48" i="5"/>
  <c r="L48" i="5"/>
  <c r="K48" i="5"/>
  <c r="J48" i="5"/>
  <c r="I48" i="5"/>
  <c r="H48" i="5"/>
  <c r="G48" i="5"/>
  <c r="F48" i="5"/>
  <c r="E48" i="5"/>
  <c r="P47" i="5"/>
  <c r="O47" i="5"/>
  <c r="N47" i="5"/>
  <c r="M47" i="5"/>
  <c r="L47" i="5"/>
  <c r="K47" i="5"/>
  <c r="J47" i="5"/>
  <c r="I47" i="5"/>
  <c r="H47" i="5"/>
  <c r="G47" i="5"/>
  <c r="F47" i="5"/>
  <c r="E47" i="5"/>
  <c r="P46" i="5"/>
  <c r="O46" i="5"/>
  <c r="N46" i="5"/>
  <c r="M46" i="5"/>
  <c r="L46" i="5"/>
  <c r="K46" i="5"/>
  <c r="J46" i="5"/>
  <c r="I46" i="5"/>
  <c r="H46" i="5"/>
  <c r="G46" i="5"/>
  <c r="F46" i="5"/>
  <c r="E46" i="5"/>
  <c r="P45" i="5"/>
  <c r="O45" i="5"/>
  <c r="N45" i="5"/>
  <c r="M45" i="5"/>
  <c r="L45" i="5"/>
  <c r="K45" i="5"/>
  <c r="J45" i="5"/>
  <c r="I45" i="5"/>
  <c r="H45" i="5"/>
  <c r="G45" i="5"/>
  <c r="F45" i="5"/>
  <c r="E45" i="5"/>
  <c r="P44" i="5"/>
  <c r="O44" i="5"/>
  <c r="N44" i="5"/>
  <c r="M44" i="5"/>
  <c r="L44" i="5"/>
  <c r="K44" i="5"/>
  <c r="J44" i="5"/>
  <c r="I44" i="5"/>
  <c r="H44" i="5"/>
  <c r="G44" i="5"/>
  <c r="F44" i="5"/>
  <c r="E44" i="5"/>
  <c r="P43" i="5"/>
  <c r="O43" i="5"/>
  <c r="N43" i="5"/>
  <c r="M43" i="5"/>
  <c r="L43" i="5"/>
  <c r="K43" i="5"/>
  <c r="J43" i="5"/>
  <c r="I43" i="5"/>
  <c r="H43" i="5"/>
  <c r="G43" i="5"/>
  <c r="F43" i="5"/>
  <c r="E43" i="5"/>
  <c r="P42" i="5"/>
  <c r="O42" i="5"/>
  <c r="N42" i="5"/>
  <c r="M42" i="5"/>
  <c r="L42" i="5"/>
  <c r="K42" i="5"/>
  <c r="J42" i="5"/>
  <c r="I42" i="5"/>
  <c r="H42" i="5"/>
  <c r="G42" i="5"/>
  <c r="F42" i="5"/>
  <c r="E42" i="5"/>
  <c r="P41" i="5"/>
  <c r="O41" i="5"/>
  <c r="N41" i="5"/>
  <c r="M41" i="5"/>
  <c r="L41" i="5"/>
  <c r="K41" i="5"/>
  <c r="J41" i="5"/>
  <c r="I41" i="5"/>
  <c r="H41" i="5"/>
  <c r="G41" i="5"/>
  <c r="F41" i="5"/>
  <c r="E41" i="5"/>
  <c r="P40" i="5"/>
  <c r="O40" i="5"/>
  <c r="N40" i="5"/>
  <c r="M40" i="5"/>
  <c r="L40" i="5"/>
  <c r="K40" i="5"/>
  <c r="J40" i="5"/>
  <c r="I40" i="5"/>
  <c r="H40" i="5"/>
  <c r="G40" i="5"/>
  <c r="F40" i="5"/>
  <c r="E40" i="5"/>
  <c r="P39" i="5"/>
  <c r="O39" i="5"/>
  <c r="N39" i="5"/>
  <c r="M39" i="5"/>
  <c r="L39" i="5"/>
  <c r="K39" i="5"/>
  <c r="J39" i="5"/>
  <c r="I39" i="5"/>
  <c r="H39" i="5"/>
  <c r="G39" i="5"/>
  <c r="F39" i="5"/>
  <c r="E39" i="5"/>
  <c r="P38" i="5"/>
  <c r="O38" i="5"/>
  <c r="N38" i="5"/>
  <c r="M38" i="5"/>
  <c r="L38" i="5"/>
  <c r="K38" i="5"/>
  <c r="J38" i="5"/>
  <c r="I38" i="5"/>
  <c r="H38" i="5"/>
  <c r="G38" i="5"/>
  <c r="F38" i="5"/>
  <c r="E38" i="5"/>
  <c r="P37" i="5"/>
  <c r="O37" i="5"/>
  <c r="N37" i="5"/>
  <c r="M37" i="5"/>
  <c r="L37" i="5"/>
  <c r="K37" i="5"/>
  <c r="J37" i="5"/>
  <c r="I37" i="5"/>
  <c r="H37" i="5"/>
  <c r="G37" i="5"/>
  <c r="F37" i="5"/>
  <c r="E37" i="5"/>
  <c r="P36" i="5"/>
  <c r="O36" i="5"/>
  <c r="N36" i="5"/>
  <c r="M36" i="5"/>
  <c r="L36" i="5"/>
  <c r="K36" i="5"/>
  <c r="J36" i="5"/>
  <c r="I36" i="5"/>
  <c r="H36" i="5"/>
  <c r="G36" i="5"/>
  <c r="F36" i="5"/>
  <c r="E36" i="5"/>
  <c r="P35" i="5"/>
  <c r="O35" i="5"/>
  <c r="N35" i="5"/>
  <c r="M35" i="5"/>
  <c r="L35" i="5"/>
  <c r="K35" i="5"/>
  <c r="J35" i="5"/>
  <c r="I35" i="5"/>
  <c r="H35" i="5"/>
  <c r="G35" i="5"/>
  <c r="F35" i="5"/>
  <c r="E35" i="5"/>
  <c r="P34" i="5"/>
  <c r="O34" i="5"/>
  <c r="N34" i="5"/>
  <c r="M34" i="5"/>
  <c r="L34" i="5"/>
  <c r="K34" i="5"/>
  <c r="J34" i="5"/>
  <c r="I34" i="5"/>
  <c r="H34" i="5"/>
  <c r="G34" i="5"/>
  <c r="F34" i="5"/>
  <c r="E34" i="5"/>
  <c r="P33" i="5"/>
  <c r="O33" i="5"/>
  <c r="N33" i="5"/>
  <c r="M33" i="5"/>
  <c r="L33" i="5"/>
  <c r="K33" i="5"/>
  <c r="J33" i="5"/>
  <c r="I33" i="5"/>
  <c r="H33" i="5"/>
  <c r="G33" i="5"/>
  <c r="F33" i="5"/>
  <c r="E33" i="5"/>
  <c r="P32" i="5"/>
  <c r="O32" i="5"/>
  <c r="N32" i="5"/>
  <c r="M32" i="5"/>
  <c r="L32" i="5"/>
  <c r="K32" i="5"/>
  <c r="J32" i="5"/>
  <c r="I32" i="5"/>
  <c r="H32" i="5"/>
  <c r="G32" i="5"/>
  <c r="F32" i="5"/>
  <c r="E32" i="5"/>
  <c r="P31" i="5"/>
  <c r="O31" i="5"/>
  <c r="N31" i="5"/>
  <c r="M31" i="5"/>
  <c r="L31" i="5"/>
  <c r="K31" i="5"/>
  <c r="J31" i="5"/>
  <c r="I31" i="5"/>
  <c r="H31" i="5"/>
  <c r="G31" i="5"/>
  <c r="F31" i="5"/>
  <c r="E31" i="5"/>
  <c r="P30" i="5"/>
  <c r="O30" i="5"/>
  <c r="N30" i="5"/>
  <c r="M30" i="5"/>
  <c r="L30" i="5"/>
  <c r="K30" i="5"/>
  <c r="J30" i="5"/>
  <c r="I30" i="5"/>
  <c r="H30" i="5"/>
  <c r="G30" i="5"/>
  <c r="F30" i="5"/>
  <c r="E30" i="5"/>
  <c r="P29" i="5"/>
  <c r="O29" i="5"/>
  <c r="N29" i="5"/>
  <c r="M29" i="5"/>
  <c r="L29" i="5"/>
  <c r="K29" i="5"/>
  <c r="J29" i="5"/>
  <c r="I29" i="5"/>
  <c r="H29" i="5"/>
  <c r="G29" i="5"/>
  <c r="F29" i="5"/>
  <c r="E29" i="5"/>
  <c r="P28" i="5"/>
  <c r="O28" i="5"/>
  <c r="N28" i="5"/>
  <c r="M28" i="5"/>
  <c r="L28" i="5"/>
  <c r="K28" i="5"/>
  <c r="J28" i="5"/>
  <c r="I28" i="5"/>
  <c r="H28" i="5"/>
  <c r="G28" i="5"/>
  <c r="F28" i="5"/>
  <c r="E28" i="5"/>
  <c r="P27" i="5"/>
  <c r="O27" i="5"/>
  <c r="N27" i="5"/>
  <c r="M27" i="5"/>
  <c r="L27" i="5"/>
  <c r="K27" i="5"/>
  <c r="J27" i="5"/>
  <c r="I27" i="5"/>
  <c r="H27" i="5"/>
  <c r="G27" i="5"/>
  <c r="F27" i="5"/>
  <c r="E27" i="5"/>
  <c r="P26" i="5"/>
  <c r="O26" i="5"/>
  <c r="N26" i="5"/>
  <c r="M26" i="5"/>
  <c r="L26" i="5"/>
  <c r="K26" i="5"/>
  <c r="J26" i="5"/>
  <c r="I26" i="5"/>
  <c r="H26" i="5"/>
  <c r="G26" i="5"/>
  <c r="F26" i="5"/>
  <c r="E26" i="5"/>
  <c r="P25" i="5"/>
  <c r="O25" i="5"/>
  <c r="N25" i="5"/>
  <c r="M25" i="5"/>
  <c r="L25" i="5"/>
  <c r="K25" i="5"/>
  <c r="J25" i="5"/>
  <c r="I25" i="5"/>
  <c r="H25" i="5"/>
  <c r="G25" i="5"/>
  <c r="F25" i="5"/>
  <c r="E25" i="5"/>
  <c r="P24" i="5"/>
  <c r="O24" i="5"/>
  <c r="N24" i="5"/>
  <c r="M24" i="5"/>
  <c r="L24" i="5"/>
  <c r="K24" i="5"/>
  <c r="J24" i="5"/>
  <c r="I24" i="5"/>
  <c r="H24" i="5"/>
  <c r="G24" i="5"/>
  <c r="F24" i="5"/>
  <c r="E24" i="5"/>
  <c r="P23" i="5"/>
  <c r="O23" i="5"/>
  <c r="N23" i="5"/>
  <c r="M23" i="5"/>
  <c r="L23" i="5"/>
  <c r="K23" i="5"/>
  <c r="J23" i="5"/>
  <c r="I23" i="5"/>
  <c r="H23" i="5"/>
  <c r="G23" i="5"/>
  <c r="F23" i="5"/>
  <c r="E23" i="5"/>
  <c r="P22" i="5"/>
  <c r="O22" i="5"/>
  <c r="N22" i="5"/>
  <c r="M22" i="5"/>
  <c r="L22" i="5"/>
  <c r="K22" i="5"/>
  <c r="J22" i="5"/>
  <c r="I22" i="5"/>
  <c r="H22" i="5"/>
  <c r="G22" i="5"/>
  <c r="F22" i="5"/>
  <c r="E22" i="5"/>
  <c r="P21" i="5"/>
  <c r="O21" i="5"/>
  <c r="N21" i="5"/>
  <c r="M21" i="5"/>
  <c r="L21" i="5"/>
  <c r="K21" i="5"/>
  <c r="J21" i="5"/>
  <c r="I21" i="5"/>
  <c r="H21" i="5"/>
  <c r="G21" i="5"/>
  <c r="F21" i="5"/>
  <c r="E21" i="5"/>
  <c r="P20" i="5"/>
  <c r="O20" i="5"/>
  <c r="N20" i="5"/>
  <c r="M20" i="5"/>
  <c r="L20" i="5"/>
  <c r="K20" i="5"/>
  <c r="J20" i="5"/>
  <c r="I20" i="5"/>
  <c r="H20" i="5"/>
  <c r="G20" i="5"/>
  <c r="F20" i="5"/>
  <c r="E20" i="5"/>
  <c r="P19" i="5"/>
  <c r="O19" i="5"/>
  <c r="N19" i="5"/>
  <c r="M19" i="5"/>
  <c r="L19" i="5"/>
  <c r="K19" i="5"/>
  <c r="J19" i="5"/>
  <c r="I19" i="5"/>
  <c r="H19" i="5"/>
  <c r="G19" i="5"/>
  <c r="F19" i="5"/>
  <c r="E19" i="5"/>
  <c r="P18" i="5"/>
  <c r="O18" i="5"/>
  <c r="N18" i="5"/>
  <c r="M18" i="5"/>
  <c r="L18" i="5"/>
  <c r="K18" i="5"/>
  <c r="J18" i="5"/>
  <c r="I18" i="5"/>
  <c r="H18" i="5"/>
  <c r="G18" i="5"/>
  <c r="F18" i="5"/>
  <c r="E18" i="5"/>
  <c r="P17" i="5"/>
  <c r="O17" i="5"/>
  <c r="N17" i="5"/>
  <c r="M17" i="5"/>
  <c r="L17" i="5"/>
  <c r="K17" i="5"/>
  <c r="J17" i="5"/>
  <c r="I17" i="5"/>
  <c r="H17" i="5"/>
  <c r="G17" i="5"/>
  <c r="F17" i="5"/>
  <c r="E17" i="5"/>
  <c r="P16" i="5"/>
  <c r="O16" i="5"/>
  <c r="N16" i="5"/>
  <c r="M16" i="5"/>
  <c r="L16" i="5"/>
  <c r="K16" i="5"/>
  <c r="J16" i="5"/>
  <c r="I16" i="5"/>
  <c r="H16" i="5"/>
  <c r="G16" i="5"/>
  <c r="F16" i="5"/>
  <c r="E16" i="5"/>
  <c r="P15" i="5"/>
  <c r="O15" i="5"/>
  <c r="N15" i="5"/>
  <c r="M15" i="5"/>
  <c r="L15" i="5"/>
  <c r="K15" i="5"/>
  <c r="J15" i="5"/>
  <c r="I15" i="5"/>
  <c r="H15" i="5"/>
  <c r="G15" i="5"/>
  <c r="F15" i="5"/>
  <c r="E15" i="5"/>
  <c r="P14" i="5"/>
  <c r="O14" i="5"/>
  <c r="N14" i="5"/>
  <c r="M14" i="5"/>
  <c r="L14" i="5"/>
  <c r="K14" i="5"/>
  <c r="J14" i="5"/>
  <c r="I14" i="5"/>
  <c r="H14" i="5"/>
  <c r="G14" i="5"/>
  <c r="F14" i="5"/>
  <c r="E14" i="5"/>
  <c r="P13" i="5"/>
  <c r="O13" i="5"/>
  <c r="N13" i="5"/>
  <c r="M13" i="5"/>
  <c r="L13" i="5"/>
  <c r="K13" i="5"/>
  <c r="J13" i="5"/>
  <c r="I13" i="5"/>
  <c r="H13" i="5"/>
  <c r="G13" i="5"/>
  <c r="F13" i="5"/>
  <c r="E13" i="5"/>
  <c r="P12" i="5"/>
  <c r="O12" i="5"/>
  <c r="N12" i="5"/>
  <c r="M12" i="5"/>
  <c r="L12" i="5"/>
  <c r="K12" i="5"/>
  <c r="J12" i="5"/>
  <c r="I12" i="5"/>
  <c r="H12" i="5"/>
  <c r="G12" i="5"/>
  <c r="F12" i="5"/>
  <c r="E12" i="5"/>
  <c r="P11" i="5"/>
  <c r="O11" i="5"/>
  <c r="N11" i="5"/>
  <c r="M11" i="5"/>
  <c r="L11" i="5"/>
  <c r="K11" i="5"/>
  <c r="J11" i="5"/>
  <c r="I11" i="5"/>
  <c r="H11" i="5"/>
  <c r="G11" i="5"/>
  <c r="F11" i="5"/>
  <c r="E11" i="5"/>
  <c r="P10" i="5"/>
  <c r="O10" i="5"/>
  <c r="N10" i="5"/>
  <c r="M10" i="5"/>
  <c r="L10" i="5"/>
  <c r="K10" i="5"/>
  <c r="J10" i="5"/>
  <c r="I10" i="5"/>
  <c r="H10" i="5"/>
  <c r="G10" i="5"/>
  <c r="F10" i="5"/>
  <c r="E10" i="5"/>
  <c r="P9" i="5"/>
  <c r="O9" i="5"/>
  <c r="N9" i="5"/>
  <c r="M9" i="5"/>
  <c r="L9" i="5"/>
  <c r="K9" i="5"/>
  <c r="J9" i="5"/>
  <c r="I9" i="5"/>
  <c r="H9" i="5"/>
  <c r="G9" i="5"/>
  <c r="F9" i="5"/>
  <c r="E9" i="5"/>
  <c r="P8" i="5"/>
  <c r="O8" i="5"/>
  <c r="N8" i="5"/>
  <c r="M8" i="5"/>
  <c r="L8" i="5"/>
  <c r="K8" i="5"/>
  <c r="J8" i="5"/>
  <c r="I8" i="5"/>
  <c r="H8" i="5"/>
  <c r="G8" i="5"/>
  <c r="F8" i="5"/>
  <c r="E8" i="5"/>
  <c r="P7" i="5"/>
  <c r="O7" i="5"/>
  <c r="N7" i="5"/>
  <c r="M7" i="5"/>
  <c r="L7" i="5"/>
  <c r="K7" i="5"/>
  <c r="J7" i="5"/>
  <c r="I7" i="5"/>
  <c r="H7" i="5"/>
  <c r="G7" i="5"/>
  <c r="F7" i="5"/>
  <c r="E7" i="5"/>
  <c r="P6" i="5"/>
  <c r="O6" i="5"/>
  <c r="N6" i="5"/>
  <c r="M6" i="5"/>
  <c r="L6" i="5"/>
  <c r="K6" i="5"/>
  <c r="J6" i="5"/>
  <c r="I6" i="5"/>
  <c r="H6" i="5"/>
  <c r="G6" i="5"/>
  <c r="F6" i="5"/>
  <c r="E6" i="5"/>
  <c r="P5" i="5"/>
  <c r="O5" i="5"/>
  <c r="N5" i="5"/>
  <c r="M5" i="5"/>
  <c r="L5" i="5"/>
  <c r="K5" i="5"/>
  <c r="J5" i="5"/>
  <c r="I5" i="5"/>
  <c r="H5" i="5"/>
  <c r="G5" i="5"/>
  <c r="F5" i="5"/>
  <c r="E5" i="5"/>
  <c r="P4" i="5"/>
  <c r="O4" i="5"/>
  <c r="N4" i="5"/>
  <c r="M4" i="5"/>
  <c r="L4" i="5"/>
  <c r="K4" i="5"/>
  <c r="J4" i="5"/>
  <c r="I4" i="5"/>
  <c r="H4" i="5"/>
  <c r="G4" i="5"/>
  <c r="F4" i="5"/>
  <c r="E4" i="5"/>
  <c r="P3" i="5"/>
  <c r="O3" i="5"/>
  <c r="N3" i="5"/>
  <c r="M3" i="5"/>
  <c r="L3" i="5"/>
  <c r="K3" i="5"/>
  <c r="J3" i="5"/>
  <c r="I3" i="5"/>
  <c r="H3" i="5"/>
  <c r="G3" i="5"/>
  <c r="F3" i="5"/>
  <c r="E3" i="5"/>
  <c r="P2" i="5"/>
  <c r="O2" i="5"/>
  <c r="N2" i="5"/>
  <c r="M2" i="5"/>
  <c r="L2" i="5"/>
  <c r="K2" i="5"/>
  <c r="J2" i="5"/>
  <c r="I2" i="5"/>
  <c r="H2" i="5"/>
  <c r="G2" i="5"/>
  <c r="F2" i="5"/>
  <c r="L7" i="7" l="1"/>
  <c r="N7" i="7" s="1"/>
  <c r="L15" i="7"/>
  <c r="N15" i="7" s="1"/>
  <c r="I4" i="7"/>
  <c r="G7" i="7"/>
  <c r="I7" i="7" s="1"/>
  <c r="S6" i="7"/>
  <c r="Q7" i="7"/>
  <c r="S7" i="7" s="1"/>
  <c r="D12" i="7"/>
  <c r="B7" i="7"/>
  <c r="D7" i="7" s="1"/>
  <c r="S2" i="5"/>
  <c r="W2" i="5"/>
  <c r="U2" i="5"/>
  <c r="T2" i="5"/>
  <c r="T3" i="5"/>
  <c r="T4" i="5"/>
  <c r="T5" i="5"/>
  <c r="T6" i="5"/>
  <c r="T7" i="5"/>
  <c r="T8" i="5"/>
  <c r="BL388" i="1" a="1"/>
  <c r="BL912" i="1" a="1"/>
  <c r="BL1500" i="1" a="1"/>
  <c r="BL519" i="1" a="1"/>
  <c r="BL1098" i="1" a="1"/>
  <c r="BL731" i="1" a="1"/>
  <c r="BL830" i="1" a="1"/>
  <c r="BL140" i="1" a="1"/>
  <c r="BL1513" i="1" a="1"/>
  <c r="BL1714" i="1" a="1"/>
  <c r="BL1181" i="1" a="1"/>
  <c r="BL813" i="1" a="1"/>
  <c r="BL805" i="1" a="1"/>
  <c r="BL1279" i="1" a="1"/>
  <c r="BL419" i="1" a="1"/>
  <c r="BL1531" i="1" a="1"/>
  <c r="BL1511" i="1" a="1"/>
  <c r="BL2169" i="1" a="1"/>
  <c r="BL525" i="1" a="1"/>
  <c r="BL1559" i="1" a="1"/>
  <c r="BL1618" i="1" a="1"/>
  <c r="BL1663" i="1" a="1"/>
  <c r="BL1699" i="1" a="1"/>
  <c r="BL2107" i="1" a="1"/>
  <c r="BL1967" i="1" a="1"/>
  <c r="BL311" i="1" a="1"/>
  <c r="BL2171" i="1" a="1"/>
  <c r="BL1335" i="1" a="1"/>
  <c r="BL372" i="1" a="1"/>
  <c r="BL649" i="1" a="1"/>
  <c r="BL762" i="1" a="1"/>
  <c r="BL1331" i="1" a="1"/>
  <c r="BL71" i="1" a="1"/>
  <c r="BL910" i="1" a="1"/>
  <c r="BL1247" i="1" a="1"/>
  <c r="BL1143" i="1" a="1"/>
  <c r="BL1683" i="1" a="1"/>
  <c r="BL1843" i="1" a="1"/>
  <c r="BL422" i="1" a="1"/>
  <c r="BL1626" i="1" a="1"/>
  <c r="BL1348" i="1" a="1"/>
  <c r="BL1699" i="1" l="1"/>
  <c r="BL1500" i="1"/>
  <c r="BL372" i="1"/>
  <c r="BL422" i="1"/>
  <c r="BL2171" i="1"/>
  <c r="BL1181" i="1"/>
  <c r="BL71" i="1"/>
  <c r="BL1279" i="1"/>
  <c r="BL519" i="1"/>
  <c r="BL1626" i="1"/>
  <c r="BL140" i="1"/>
  <c r="BL1511" i="1"/>
  <c r="BL2107" i="1"/>
  <c r="BL1335" i="1"/>
  <c r="BL1331" i="1"/>
  <c r="BL813" i="1"/>
  <c r="BL649" i="1"/>
  <c r="BL1348" i="1"/>
  <c r="BL1714" i="1"/>
  <c r="BL2169" i="1"/>
  <c r="BL762" i="1"/>
  <c r="BL419" i="1"/>
  <c r="BL805" i="1"/>
  <c r="BL1098" i="1"/>
  <c r="BL1843" i="1"/>
  <c r="BL1531" i="1"/>
  <c r="BL830" i="1"/>
  <c r="BL388" i="1"/>
  <c r="BL912" i="1"/>
  <c r="BL1967" i="1"/>
  <c r="BL1247" i="1"/>
  <c r="BL910" i="1"/>
  <c r="BL525" i="1"/>
  <c r="BL1683" i="1"/>
  <c r="BL1618" i="1"/>
  <c r="BL1559" i="1"/>
  <c r="BL731" i="1"/>
  <c r="BL311" i="1"/>
  <c r="BL1663" i="1"/>
  <c r="BL1513" i="1"/>
  <c r="BL1143" i="1"/>
  <c r="BM2737" i="1" a="1"/>
  <c r="BM2737" i="1" s="1"/>
  <c r="BJ2737" i="1" s="1" a="1"/>
  <c r="BJ2737" i="1" s="1"/>
  <c r="BL2437" i="1" a="1"/>
  <c r="BL2437" i="1" s="1"/>
  <c r="BL1656" i="1" a="1"/>
  <c r="BL1656" i="1" s="1"/>
  <c r="BL280" i="1" a="1"/>
  <c r="BL280" i="1" s="1"/>
  <c r="AW2531" i="1"/>
  <c r="BI2531" i="1" s="1" a="1"/>
  <c r="BI2531" i="1" s="1"/>
  <c r="AT2531" i="1" a="1"/>
  <c r="AT2531" i="1" s="1"/>
  <c r="AU2531" i="1" s="1"/>
  <c r="BL2528" i="1" a="1"/>
  <c r="BL2528" i="1" s="1"/>
  <c r="AT2528" i="1" a="1"/>
  <c r="AT2528" i="1" s="1"/>
  <c r="AU2528" i="1" s="1"/>
  <c r="AW2525" i="1"/>
  <c r="BN2525" i="1" s="1" a="1"/>
  <c r="BN2525" i="1" s="1"/>
  <c r="AT2525" i="1" a="1"/>
  <c r="AT2525" i="1" s="1"/>
  <c r="AU2525" i="1" s="1"/>
  <c r="AW2522" i="1"/>
  <c r="BK2522" i="1" s="1"/>
  <c r="AT2522" i="1" a="1"/>
  <c r="AT2522" i="1" s="1"/>
  <c r="AU2522" i="1" s="1"/>
  <c r="BN2519" i="1" a="1"/>
  <c r="BN2519" i="1" s="1"/>
  <c r="AT2519" i="1" a="1"/>
  <c r="AT2519" i="1" s="1"/>
  <c r="AU2519" i="1" s="1"/>
  <c r="AW2250" i="1"/>
  <c r="BL2250" i="1" s="1" a="1"/>
  <c r="BL2250" i="1" s="1"/>
  <c r="AT2250" i="1" a="1"/>
  <c r="AT2250" i="1" s="1"/>
  <c r="AU2250" i="1" s="1"/>
  <c r="BM2245" i="1" a="1"/>
  <c r="BM2245" i="1" s="1"/>
  <c r="BJ2245" i="1" s="1" a="1"/>
  <c r="BJ2245" i="1" s="1"/>
  <c r="AT2245" i="1" a="1"/>
  <c r="AT2245" i="1" s="1"/>
  <c r="AU2245" i="1" s="1"/>
  <c r="AW2240" i="1"/>
  <c r="BL2240" i="1" s="1" a="1"/>
  <c r="BL2240" i="1" s="1"/>
  <c r="AT2240" i="1" a="1"/>
  <c r="AT2240" i="1" s="1"/>
  <c r="AU2240" i="1" s="1"/>
  <c r="AW2235" i="1"/>
  <c r="BK2235" i="1" s="1"/>
  <c r="AT2235" i="1" a="1"/>
  <c r="AT2235" i="1" s="1"/>
  <c r="AU2235" i="1" s="1"/>
  <c r="BN2230" i="1" a="1"/>
  <c r="BN2230" i="1" s="1"/>
  <c r="AT2230" i="1" a="1"/>
  <c r="AT2230" i="1" s="1"/>
  <c r="AU2230" i="1" s="1"/>
  <c r="AW1884" i="1"/>
  <c r="BL1884" i="1" s="1" a="1"/>
  <c r="BL1884" i="1" s="1"/>
  <c r="AT1884" i="1" a="1"/>
  <c r="AT1884" i="1" s="1"/>
  <c r="AU1884" i="1" s="1"/>
  <c r="BM1878" i="1" a="1"/>
  <c r="BM1878" i="1" s="1"/>
  <c r="BJ1878" i="1" s="1" a="1"/>
  <c r="BJ1878" i="1" s="1"/>
  <c r="AT1878" i="1" a="1"/>
  <c r="AT1878" i="1" s="1"/>
  <c r="AU1878" i="1" s="1"/>
  <c r="AW1872" i="1"/>
  <c r="BN1872" i="1" s="1" a="1"/>
  <c r="BN1872" i="1" s="1"/>
  <c r="AT1872" i="1" a="1"/>
  <c r="AT1872" i="1" s="1"/>
  <c r="AU1872" i="1" s="1"/>
  <c r="AW1866" i="1"/>
  <c r="BK1866" i="1" s="1"/>
  <c r="AT1866" i="1" a="1"/>
  <c r="AT1866" i="1" s="1"/>
  <c r="AU1866" i="1" s="1"/>
  <c r="BK1860" i="1" a="1"/>
  <c r="BK1860" i="1" s="1"/>
  <c r="AT1860" i="1" a="1"/>
  <c r="AT1860" i="1" s="1"/>
  <c r="AU1860" i="1" s="1"/>
  <c r="AW1448" i="1"/>
  <c r="BL1448" i="1" s="1" a="1"/>
  <c r="BL1448" i="1" s="1"/>
  <c r="AT1448" i="1" a="1"/>
  <c r="AT1448" i="1" s="1"/>
  <c r="AU1448" i="1" s="1"/>
  <c r="BN1442" i="1" a="1"/>
  <c r="BN1442" i="1" s="1"/>
  <c r="AT1442" i="1" a="1"/>
  <c r="AT1442" i="1" s="1"/>
  <c r="AU1442" i="1" s="1"/>
  <c r="AW1436" i="1"/>
  <c r="BN1436" i="1" s="1" a="1"/>
  <c r="BN1436" i="1" s="1"/>
  <c r="AT1436" i="1" a="1"/>
  <c r="AT1436" i="1" s="1"/>
  <c r="AU1436" i="1" s="1"/>
  <c r="AW1430" i="1"/>
  <c r="BK1430" i="1" s="1"/>
  <c r="AT1430" i="1" a="1"/>
  <c r="AT1430" i="1" s="1"/>
  <c r="AU1430" i="1" s="1"/>
  <c r="BI1424" i="1" a="1"/>
  <c r="BI1424" i="1" s="1"/>
  <c r="AT1424" i="1" a="1"/>
  <c r="AT1424" i="1" s="1"/>
  <c r="AU1424" i="1" s="1"/>
  <c r="AW980" i="1"/>
  <c r="BK980" i="1" s="1"/>
  <c r="AT980" i="1" a="1"/>
  <c r="AT980" i="1" s="1"/>
  <c r="AU980" i="1" s="1"/>
  <c r="BN969" i="1" a="1"/>
  <c r="BN969" i="1" s="1"/>
  <c r="AT969" i="1" a="1"/>
  <c r="AT969" i="1" s="1"/>
  <c r="AU969" i="1" s="1"/>
  <c r="AW958" i="1"/>
  <c r="BM958" i="1" s="1" a="1"/>
  <c r="BM958" i="1" s="1"/>
  <c r="BJ958" i="1" s="1" a="1"/>
  <c r="BJ958" i="1" s="1"/>
  <c r="AT958" i="1" a="1"/>
  <c r="AT958" i="1" s="1"/>
  <c r="AU958" i="1" s="1"/>
  <c r="AW947" i="1"/>
  <c r="BL947" i="1" s="1" a="1"/>
  <c r="BL947" i="1" s="1"/>
  <c r="AT947" i="1" a="1"/>
  <c r="AT947" i="1" s="1"/>
  <c r="AU947" i="1" s="1"/>
  <c r="BN936" i="1" a="1"/>
  <c r="BN936" i="1" s="1"/>
  <c r="AT936" i="1" a="1"/>
  <c r="AT936" i="1" s="1"/>
  <c r="AU936" i="1" s="1"/>
  <c r="AW319" i="1"/>
  <c r="BL319" i="1" s="1" a="1"/>
  <c r="BL319" i="1" s="1"/>
  <c r="AT319" i="1" a="1"/>
  <c r="AT319" i="1" s="1"/>
  <c r="AU319" i="1" s="1"/>
  <c r="AW318" i="1"/>
  <c r="BL318" i="1" s="1" a="1"/>
  <c r="BL318" i="1" s="1"/>
  <c r="AT318" i="1" a="1"/>
  <c r="AT318" i="1" s="1"/>
  <c r="AU318" i="1" s="1"/>
  <c r="BN317" i="1" a="1"/>
  <c r="BN317" i="1" s="1"/>
  <c r="AT317" i="1" a="1"/>
  <c r="AT317" i="1" s="1"/>
  <c r="AU317" i="1" s="1"/>
  <c r="AW316" i="1"/>
  <c r="BK316" i="1" s="1" a="1"/>
  <c r="BK316" i="1" s="1"/>
  <c r="AT316" i="1" a="1"/>
  <c r="AT316" i="1" s="1"/>
  <c r="AU316" i="1" s="1"/>
  <c r="AW315" i="1"/>
  <c r="BL315" i="1" s="1" a="1"/>
  <c r="BL315" i="1" s="1"/>
  <c r="AT315" i="1" a="1"/>
  <c r="AT315" i="1" s="1"/>
  <c r="AU315" i="1" s="1"/>
  <c r="BK314" i="1" a="1"/>
  <c r="BK314" i="1" s="1"/>
  <c r="AT314" i="1" a="1"/>
  <c r="AT314" i="1" s="1"/>
  <c r="AU314" i="1" s="1"/>
  <c r="AW210" i="1"/>
  <c r="BL210" i="1" s="1" a="1"/>
  <c r="BL210" i="1" s="1"/>
  <c r="AT210" i="1" a="1"/>
  <c r="AT210" i="1" s="1"/>
  <c r="AU210" i="1" s="1"/>
  <c r="AW207" i="1"/>
  <c r="BL207" i="1" s="1" a="1"/>
  <c r="BL207" i="1" s="1"/>
  <c r="AT207" i="1" a="1"/>
  <c r="AT207" i="1" s="1"/>
  <c r="AU207" i="1" s="1"/>
  <c r="BN202" i="1" a="1"/>
  <c r="BN202" i="1" s="1"/>
  <c r="AT202" i="1" a="1"/>
  <c r="AT202" i="1" s="1"/>
  <c r="AU202" i="1" s="1"/>
  <c r="AW199" i="1"/>
  <c r="BN199" i="1" s="1" a="1"/>
  <c r="BN199" i="1" s="1"/>
  <c r="AT199" i="1" a="1"/>
  <c r="AT199" i="1" s="1"/>
  <c r="AU199" i="1" s="1"/>
  <c r="AW196" i="1"/>
  <c r="BI196" i="1" s="1" a="1"/>
  <c r="BI196" i="1" s="1"/>
  <c r="AT196" i="1" a="1"/>
  <c r="AT196" i="1" s="1"/>
  <c r="AU196" i="1" s="1"/>
  <c r="BK193" i="1" a="1"/>
  <c r="BK193" i="1" s="1"/>
  <c r="AT193" i="1" a="1"/>
  <c r="AT193" i="1" s="1"/>
  <c r="AU193" i="1" s="1"/>
  <c r="BK2443" i="1"/>
  <c r="BL2422" i="1" a="1"/>
  <c r="BL2422" i="1" s="1"/>
  <c r="BK2422" i="1"/>
  <c r="BL2419" i="1" a="1"/>
  <c r="BL2419" i="1" s="1"/>
  <c r="BK2419" i="1"/>
  <c r="BK2416" i="1"/>
  <c r="BL2428" i="1" a="1"/>
  <c r="BL2428" i="1" s="1"/>
  <c r="BK2428" i="1"/>
  <c r="BL2425" i="1" a="1"/>
  <c r="BL2425" i="1" s="1"/>
  <c r="BK2425" i="1"/>
  <c r="BK2095" i="1"/>
  <c r="BL2090" i="1" a="1"/>
  <c r="BL2090" i="1" s="1"/>
  <c r="BK2090" i="1"/>
  <c r="BL2085" i="1" a="1"/>
  <c r="BL2085" i="1" s="1"/>
  <c r="BK2085" i="1"/>
  <c r="BK2080" i="1"/>
  <c r="BL2075" i="1" a="1"/>
  <c r="BL2075" i="1" s="1"/>
  <c r="BK2075" i="1"/>
  <c r="BL2070" i="1" a="1"/>
  <c r="BL2070" i="1" s="1"/>
  <c r="BK2070" i="1"/>
  <c r="BK1698" i="1"/>
  <c r="BL1692" i="1" a="1"/>
  <c r="BL1692" i="1" s="1"/>
  <c r="BK1692" i="1"/>
  <c r="BL1686" i="1" a="1"/>
  <c r="BL1686" i="1" s="1"/>
  <c r="BK1686" i="1"/>
  <c r="BK1680" i="1"/>
  <c r="BL1674" i="1" a="1"/>
  <c r="BL1674" i="1" s="1"/>
  <c r="BK1674" i="1"/>
  <c r="BL1668" i="1" a="1"/>
  <c r="BL1668" i="1" s="1"/>
  <c r="BK1668" i="1"/>
  <c r="BK1262" i="1"/>
  <c r="BL1256" i="1" a="1"/>
  <c r="BL1256" i="1" s="1"/>
  <c r="BK1256" i="1"/>
  <c r="BL1250" i="1" a="1"/>
  <c r="BL1250" i="1" s="1"/>
  <c r="BK1250" i="1"/>
  <c r="BK1244" i="1"/>
  <c r="BL1238" i="1" a="1"/>
  <c r="BL1238" i="1" s="1"/>
  <c r="BK1238" i="1"/>
  <c r="BL1232" i="1" a="1"/>
  <c r="BL1232" i="1" s="1"/>
  <c r="BK1232" i="1"/>
  <c r="BK639" i="1"/>
  <c r="BL628" i="1" a="1"/>
  <c r="BL628" i="1" s="1"/>
  <c r="BK628" i="1"/>
  <c r="BL617" i="1" a="1"/>
  <c r="BL617" i="1" s="1"/>
  <c r="BK617" i="1"/>
  <c r="BK606" i="1"/>
  <c r="BL595" i="1" a="1"/>
  <c r="BL595" i="1" s="1"/>
  <c r="BK595" i="1"/>
  <c r="BL584" i="1" a="1"/>
  <c r="BL584" i="1" s="1"/>
  <c r="BK584" i="1"/>
  <c r="BL288" i="1" a="1"/>
  <c r="BL288" i="1" s="1"/>
  <c r="BK288" i="1"/>
  <c r="BK287" i="1"/>
  <c r="BL286" i="1" a="1"/>
  <c r="BL286" i="1" s="1"/>
  <c r="BK286" i="1"/>
  <c r="BL285" i="1" a="1"/>
  <c r="BL285" i="1" s="1"/>
  <c r="BK285" i="1"/>
  <c r="BK284" i="1"/>
  <c r="BL283" i="1" a="1"/>
  <c r="BL283" i="1" s="1"/>
  <c r="BK283" i="1"/>
  <c r="BL282" i="1" a="1"/>
  <c r="BL282" i="1" s="1"/>
  <c r="BK282" i="1"/>
  <c r="BL117" i="1" a="1"/>
  <c r="BL117" i="1" s="1"/>
  <c r="BK117" i="1"/>
  <c r="BL109" i="1" a="1"/>
  <c r="BL109" i="1" s="1"/>
  <c r="BK109" i="1"/>
  <c r="BL106" i="1" a="1"/>
  <c r="BL106" i="1" s="1"/>
  <c r="BK106" i="1"/>
  <c r="BL100" i="1" a="1"/>
  <c r="BL100" i="1" s="1"/>
  <c r="BK100" i="1"/>
  <c r="BL97" i="1" a="1"/>
  <c r="BL97" i="1" s="1"/>
  <c r="BK97" i="1"/>
  <c r="BK112" i="1"/>
  <c r="BK103" i="1"/>
  <c r="BN2333" i="1" a="1"/>
  <c r="BN2333" i="1" s="1"/>
  <c r="BM2333" i="1" a="1"/>
  <c r="BM2333" i="1" s="1"/>
  <c r="BJ2333" i="1" s="1" a="1"/>
  <c r="BJ2333" i="1" s="1"/>
  <c r="BK2333" i="1"/>
  <c r="BI2333" i="1" a="1"/>
  <c r="BI2333" i="1" s="1"/>
  <c r="AU2333" i="1"/>
  <c r="AT2333" i="1"/>
  <c r="AS2333" i="1"/>
  <c r="BN2003" i="1" a="1"/>
  <c r="BN2003" i="1" s="1"/>
  <c r="BM2003" i="1" a="1"/>
  <c r="BM2003" i="1" s="1"/>
  <c r="BJ2003" i="1" s="1" a="1"/>
  <c r="BJ2003" i="1" s="1"/>
  <c r="BK2003" i="1"/>
  <c r="BI2003" i="1" a="1"/>
  <c r="BI2003" i="1" s="1"/>
  <c r="AU2003" i="1"/>
  <c r="AT2003" i="1"/>
  <c r="AS2003" i="1"/>
  <c r="BN1581" i="1" a="1"/>
  <c r="BN1581" i="1" s="1"/>
  <c r="BM1581" i="1" a="1"/>
  <c r="BM1581" i="1" s="1"/>
  <c r="BJ1581" i="1" s="1" a="1"/>
  <c r="BJ1581" i="1" s="1"/>
  <c r="BK1581" i="1"/>
  <c r="BI1581" i="1" a="1"/>
  <c r="BI1581" i="1" s="1"/>
  <c r="AU1581" i="1"/>
  <c r="AT1581" i="1"/>
  <c r="AS1581" i="1"/>
  <c r="BN1153" i="1" a="1"/>
  <c r="BN1153" i="1" s="1"/>
  <c r="BM1153" i="1" a="1"/>
  <c r="BM1153" i="1" s="1"/>
  <c r="BJ1153" i="1" s="1" a="1"/>
  <c r="BJ1153" i="1" s="1"/>
  <c r="BK1153" i="1"/>
  <c r="BI1153" i="1" a="1"/>
  <c r="BI1153" i="1" s="1"/>
  <c r="AU1153" i="1"/>
  <c r="AT1153" i="1"/>
  <c r="AS1153" i="1"/>
  <c r="BN481" i="1" a="1"/>
  <c r="BN481" i="1" s="1"/>
  <c r="BM481" i="1" a="1"/>
  <c r="BM481" i="1" s="1"/>
  <c r="BJ481" i="1" s="1" a="1"/>
  <c r="BJ481" i="1" s="1"/>
  <c r="BK481" i="1"/>
  <c r="BI481" i="1" a="1"/>
  <c r="BI481" i="1" s="1"/>
  <c r="AU481" i="1"/>
  <c r="AT481" i="1"/>
  <c r="AS481" i="1"/>
  <c r="BN245" i="1" a="1"/>
  <c r="BN245" i="1" s="1"/>
  <c r="BM245" i="1" a="1"/>
  <c r="BM245" i="1" s="1"/>
  <c r="BJ245" i="1" s="1" a="1"/>
  <c r="BJ245" i="1" s="1"/>
  <c r="BL245" i="1" a="1"/>
  <c r="BL245" i="1" s="1"/>
  <c r="BK245" i="1"/>
  <c r="BI245" i="1" a="1"/>
  <c r="BI245" i="1" s="1"/>
  <c r="AU245" i="1"/>
  <c r="AT245" i="1"/>
  <c r="AS245" i="1"/>
  <c r="BN244" i="1" a="1"/>
  <c r="BN244" i="1" s="1"/>
  <c r="BM244" i="1" a="1"/>
  <c r="BM244" i="1" s="1"/>
  <c r="BJ244" i="1" s="1" a="1"/>
  <c r="BJ244" i="1" s="1"/>
  <c r="BK244" i="1"/>
  <c r="BI244" i="1" a="1"/>
  <c r="BI244" i="1" s="1"/>
  <c r="AU244" i="1"/>
  <c r="AT244" i="1"/>
  <c r="AS244" i="1"/>
  <c r="BN51" i="1" a="1"/>
  <c r="BN51" i="1" s="1"/>
  <c r="BM51" i="1" a="1"/>
  <c r="BM51" i="1" s="1"/>
  <c r="BJ51" i="1" s="1" a="1"/>
  <c r="BJ51" i="1" s="1"/>
  <c r="BL51" i="1" a="1"/>
  <c r="BL51" i="1" s="1"/>
  <c r="BK51" i="1"/>
  <c r="BI51" i="1" a="1"/>
  <c r="BI51" i="1" s="1"/>
  <c r="AU51" i="1"/>
  <c r="AT51" i="1"/>
  <c r="AS51" i="1"/>
  <c r="BN46" i="1" a="1"/>
  <c r="BN46" i="1" s="1"/>
  <c r="BM46" i="1" a="1"/>
  <c r="BM46" i="1" s="1"/>
  <c r="BJ46" i="1" s="1" a="1"/>
  <c r="BJ46" i="1" s="1"/>
  <c r="BK46" i="1"/>
  <c r="BI46" i="1" a="1"/>
  <c r="BI46" i="1" s="1"/>
  <c r="AU46" i="1"/>
  <c r="AT46" i="1"/>
  <c r="AS46" i="1"/>
  <c r="BN2486" i="1" a="1"/>
  <c r="BN2486" i="1" s="1"/>
  <c r="BM2486" i="1" a="1"/>
  <c r="BM2486" i="1" s="1"/>
  <c r="BJ2486" i="1" s="1" a="1"/>
  <c r="BJ2486" i="1" s="1"/>
  <c r="BK2486" i="1"/>
  <c r="BI2486" i="1" a="1"/>
  <c r="BI2486" i="1" s="1"/>
  <c r="AU2486" i="1"/>
  <c r="AT2486" i="1"/>
  <c r="AS2486" i="1"/>
  <c r="BN2175" i="1" a="1"/>
  <c r="BN2175" i="1" s="1"/>
  <c r="BM2175" i="1" a="1"/>
  <c r="BM2175" i="1" s="1"/>
  <c r="BJ2175" i="1" s="1" a="1"/>
  <c r="BJ2175" i="1" s="1"/>
  <c r="BK2175" i="1"/>
  <c r="BI2175" i="1" a="1"/>
  <c r="BI2175" i="1" s="1"/>
  <c r="AU2175" i="1"/>
  <c r="AT2175" i="1"/>
  <c r="AS2175" i="1"/>
  <c r="BN1794" i="1" a="1"/>
  <c r="BN1794" i="1" s="1"/>
  <c r="BM1794" i="1" a="1"/>
  <c r="BM1794" i="1" s="1"/>
  <c r="BJ1794" i="1" s="1" a="1"/>
  <c r="BJ1794" i="1" s="1"/>
  <c r="BK1794" i="1"/>
  <c r="BI1794" i="1" a="1"/>
  <c r="BI1794" i="1" s="1"/>
  <c r="AU1794" i="1"/>
  <c r="AT1794" i="1"/>
  <c r="AS1794" i="1"/>
  <c r="BN1358" i="1" a="1"/>
  <c r="BN1358" i="1" s="1"/>
  <c r="BM1358" i="1" a="1"/>
  <c r="BM1358" i="1" s="1"/>
  <c r="BJ1358" i="1" s="1" a="1"/>
  <c r="BJ1358" i="1" s="1"/>
  <c r="BK1358" i="1"/>
  <c r="BI1358" i="1" a="1"/>
  <c r="BI1358" i="1" s="1"/>
  <c r="AU1358" i="1"/>
  <c r="AT1358" i="1"/>
  <c r="AS1358" i="1"/>
  <c r="BN815" i="1" a="1"/>
  <c r="BN815" i="1" s="1"/>
  <c r="BM815" i="1" a="1"/>
  <c r="BM815" i="1" s="1"/>
  <c r="BJ815" i="1" s="1" a="1"/>
  <c r="BJ815" i="1" s="1"/>
  <c r="BK815" i="1"/>
  <c r="BI815" i="1" a="1"/>
  <c r="BI815" i="1" s="1"/>
  <c r="AU815" i="1"/>
  <c r="AT815" i="1"/>
  <c r="AS815" i="1"/>
  <c r="BN304" i="1" a="1"/>
  <c r="BN304" i="1" s="1"/>
  <c r="BM304" i="1" a="1"/>
  <c r="BM304" i="1" s="1"/>
  <c r="BJ304" i="1" s="1" a="1"/>
  <c r="BJ304" i="1" s="1"/>
  <c r="BK304" i="1"/>
  <c r="BI304" i="1" a="1"/>
  <c r="BI304" i="1" s="1"/>
  <c r="AU304" i="1"/>
  <c r="AT304" i="1"/>
  <c r="AS304" i="1"/>
  <c r="BN303" i="1" a="1"/>
  <c r="BN303" i="1" s="1"/>
  <c r="BM303" i="1" a="1"/>
  <c r="BM303" i="1" s="1"/>
  <c r="BJ303" i="1" s="1" a="1"/>
  <c r="BJ303" i="1" s="1"/>
  <c r="BK303" i="1"/>
  <c r="BI303" i="1" a="1"/>
  <c r="BI303" i="1" s="1"/>
  <c r="AU303" i="1"/>
  <c r="AT303" i="1"/>
  <c r="AS303" i="1"/>
  <c r="BN165" i="1" a="1"/>
  <c r="BN165" i="1" s="1"/>
  <c r="BM165" i="1" a="1"/>
  <c r="BM165" i="1" s="1"/>
  <c r="BJ165" i="1" s="1" a="1"/>
  <c r="BJ165" i="1" s="1"/>
  <c r="BK165" i="1"/>
  <c r="BI165" i="1" a="1"/>
  <c r="BI165" i="1" s="1"/>
  <c r="AU165" i="1"/>
  <c r="AT165" i="1"/>
  <c r="AS165" i="1"/>
  <c r="BN162" i="1" a="1"/>
  <c r="BN162" i="1" s="1"/>
  <c r="BM162" i="1" a="1"/>
  <c r="BM162" i="1" s="1"/>
  <c r="BJ162" i="1" s="1" a="1"/>
  <c r="BJ162" i="1" s="1"/>
  <c r="BK162" i="1"/>
  <c r="BI162" i="1" a="1"/>
  <c r="BI162" i="1" s="1"/>
  <c r="AU162" i="1"/>
  <c r="AT162" i="1"/>
  <c r="AS162" i="1"/>
  <c r="AT58" i="1" a="1"/>
  <c r="AT58" i="1" s="1"/>
  <c r="AU58" i="1" s="1"/>
  <c r="AT55" i="1" a="1"/>
  <c r="AT55" i="1" s="1"/>
  <c r="AU55" i="1" s="1"/>
  <c r="AT52" i="1" a="1"/>
  <c r="AT52" i="1" s="1"/>
  <c r="AU52" i="1" s="1"/>
  <c r="AT61" i="1" a="1"/>
  <c r="AT61" i="1" s="1"/>
  <c r="AU61" i="1" s="1"/>
  <c r="AT60" i="1" a="1"/>
  <c r="AT60" i="1" s="1"/>
  <c r="AU60" i="1" s="1"/>
  <c r="AT59" i="1" a="1"/>
  <c r="AT59" i="1" s="1"/>
  <c r="AU59" i="1" s="1"/>
  <c r="AT84" i="1" a="1"/>
  <c r="AT84" i="1" s="1"/>
  <c r="AU84" i="1" s="1"/>
  <c r="AT73" i="1" a="1"/>
  <c r="AT73" i="1" s="1"/>
  <c r="AU73" i="1" s="1"/>
  <c r="AT62" i="1" a="1"/>
  <c r="AT62" i="1" s="1"/>
  <c r="AU62" i="1" s="1"/>
  <c r="AT258" i="1" a="1"/>
  <c r="AT258" i="1" s="1"/>
  <c r="AU258" i="1" s="1"/>
  <c r="AT252" i="1" a="1"/>
  <c r="AT252" i="1" s="1"/>
  <c r="AU252" i="1" s="1"/>
  <c r="AT246" i="1" a="1"/>
  <c r="AT246" i="1" s="1"/>
  <c r="AU246" i="1" s="1"/>
  <c r="AT271" i="1" a="1"/>
  <c r="AT271" i="1" s="1"/>
  <c r="AU271" i="1" s="1"/>
  <c r="AT265" i="1" a="1"/>
  <c r="AT265" i="1" s="1"/>
  <c r="AU265" i="1" s="1"/>
  <c r="AT259" i="1" a="1"/>
  <c r="AT259" i="1" s="1"/>
  <c r="AU259" i="1" s="1"/>
  <c r="AT277" i="1" a="1"/>
  <c r="AT277" i="1" s="1"/>
  <c r="AU277" i="1" s="1"/>
  <c r="AT272" i="1" a="1"/>
  <c r="AT272" i="1" s="1"/>
  <c r="AU272" i="1" s="1"/>
  <c r="AT509" i="1" a="1"/>
  <c r="AT509" i="1" s="1"/>
  <c r="AU509" i="1" s="1"/>
  <c r="AT506" i="1" a="1"/>
  <c r="AT506" i="1" s="1"/>
  <c r="AU506" i="1" s="1"/>
  <c r="AT503" i="1" a="1"/>
  <c r="AT503" i="1" s="1"/>
  <c r="AU503" i="1" s="1"/>
  <c r="BN509" i="1" a="1"/>
  <c r="BN509" i="1" s="1"/>
  <c r="BM509" i="1" a="1"/>
  <c r="BM509" i="1" s="1"/>
  <c r="BJ509" i="1" s="1" a="1"/>
  <c r="BJ509" i="1" s="1"/>
  <c r="BK509" i="1"/>
  <c r="BI509" i="1" a="1"/>
  <c r="BI509" i="1" s="1"/>
  <c r="BN506" i="1" a="1"/>
  <c r="BN506" i="1" s="1"/>
  <c r="BM506" i="1" a="1"/>
  <c r="BM506" i="1" s="1"/>
  <c r="BJ506" i="1" s="1" a="1"/>
  <c r="BJ506" i="1" s="1"/>
  <c r="BL506" i="1" a="1"/>
  <c r="BL506" i="1" s="1"/>
  <c r="BK506" i="1"/>
  <c r="BI506" i="1" a="1"/>
  <c r="BI506" i="1" s="1"/>
  <c r="BN503" i="1" a="1"/>
  <c r="BN503" i="1" s="1"/>
  <c r="BM503" i="1" a="1"/>
  <c r="BM503" i="1" s="1"/>
  <c r="BJ503" i="1" s="1" a="1"/>
  <c r="BJ503" i="1" s="1"/>
  <c r="BK503" i="1"/>
  <c r="BI503" i="1" a="1"/>
  <c r="BI503" i="1" s="1"/>
  <c r="BN277" i="1" a="1"/>
  <c r="BN277" i="1" s="1"/>
  <c r="BM277" i="1" a="1"/>
  <c r="BM277" i="1" s="1"/>
  <c r="BJ277" i="1" s="1" a="1"/>
  <c r="BJ277" i="1" s="1"/>
  <c r="BL277" i="1" a="1"/>
  <c r="BL277" i="1" s="1"/>
  <c r="BK277" i="1"/>
  <c r="BI277" i="1" a="1"/>
  <c r="BI277" i="1" s="1"/>
  <c r="BN272" i="1" a="1"/>
  <c r="BN272" i="1" s="1"/>
  <c r="BM272" i="1" a="1"/>
  <c r="BM272" i="1" s="1"/>
  <c r="BJ272" i="1" s="1" a="1"/>
  <c r="BJ272" i="1" s="1"/>
  <c r="BK272" i="1"/>
  <c r="BI272" i="1" a="1"/>
  <c r="BI272" i="1" s="1"/>
  <c r="BN271" i="1" a="1"/>
  <c r="BN271" i="1" s="1"/>
  <c r="BM271" i="1" a="1"/>
  <c r="BM271" i="1" s="1"/>
  <c r="BJ271" i="1" s="1" a="1"/>
  <c r="BJ271" i="1" s="1"/>
  <c r="BK271" i="1"/>
  <c r="BI271" i="1" a="1"/>
  <c r="BI271" i="1" s="1"/>
  <c r="BN265" i="1" a="1"/>
  <c r="BN265" i="1" s="1"/>
  <c r="BM265" i="1" a="1"/>
  <c r="BM265" i="1" s="1"/>
  <c r="BJ265" i="1" s="1" a="1"/>
  <c r="BJ265" i="1" s="1"/>
  <c r="BL265" i="1" a="1"/>
  <c r="BL265" i="1" s="1"/>
  <c r="BK265" i="1"/>
  <c r="BI265" i="1" a="1"/>
  <c r="BI265" i="1" s="1"/>
  <c r="BN259" i="1" a="1"/>
  <c r="BN259" i="1" s="1"/>
  <c r="BM259" i="1" a="1"/>
  <c r="BM259" i="1" s="1"/>
  <c r="BJ259" i="1" s="1" a="1"/>
  <c r="BJ259" i="1" s="1"/>
  <c r="BK259" i="1"/>
  <c r="BI259" i="1" a="1"/>
  <c r="BI259" i="1" s="1"/>
  <c r="BN258" i="1" a="1"/>
  <c r="BN258" i="1" s="1"/>
  <c r="BM258" i="1" a="1"/>
  <c r="BM258" i="1" s="1"/>
  <c r="BJ258" i="1" s="1" a="1"/>
  <c r="BJ258" i="1" s="1"/>
  <c r="BK258" i="1"/>
  <c r="BI258" i="1" a="1"/>
  <c r="BI258" i="1" s="1"/>
  <c r="BN252" i="1" a="1"/>
  <c r="BN252" i="1" s="1"/>
  <c r="BM252" i="1" a="1"/>
  <c r="BM252" i="1" s="1"/>
  <c r="BJ252" i="1" s="1" a="1"/>
  <c r="BJ252" i="1" s="1"/>
  <c r="BL252" i="1" a="1"/>
  <c r="BL252" i="1" s="1"/>
  <c r="BK252" i="1"/>
  <c r="BI252" i="1" a="1"/>
  <c r="BI252" i="1" s="1"/>
  <c r="BN246" i="1" a="1"/>
  <c r="BN246" i="1" s="1"/>
  <c r="BM246" i="1" a="1"/>
  <c r="BM246" i="1" s="1"/>
  <c r="BJ246" i="1" s="1" a="1"/>
  <c r="BJ246" i="1" s="1"/>
  <c r="BK246" i="1"/>
  <c r="BI246" i="1" a="1"/>
  <c r="BI246" i="1" s="1"/>
  <c r="BN84" i="1" a="1"/>
  <c r="BN84" i="1" s="1"/>
  <c r="BM84" i="1" a="1"/>
  <c r="BM84" i="1" s="1"/>
  <c r="BJ84" i="1" s="1" a="1"/>
  <c r="BJ84" i="1" s="1"/>
  <c r="BK84" i="1"/>
  <c r="BI84" i="1" a="1"/>
  <c r="BI84" i="1" s="1"/>
  <c r="BN73" i="1" a="1"/>
  <c r="BN73" i="1" s="1"/>
  <c r="BM73" i="1" a="1"/>
  <c r="BM73" i="1" s="1"/>
  <c r="BJ73" i="1" s="1" a="1"/>
  <c r="BJ73" i="1" s="1"/>
  <c r="BL73" i="1" a="1"/>
  <c r="BL73" i="1" s="1"/>
  <c r="BK73" i="1"/>
  <c r="BI73" i="1" a="1"/>
  <c r="BI73" i="1" s="1"/>
  <c r="BN62" i="1" a="1"/>
  <c r="BN62" i="1" s="1"/>
  <c r="BM62" i="1" a="1"/>
  <c r="BM62" i="1" s="1"/>
  <c r="BJ62" i="1" s="1" a="1"/>
  <c r="BJ62" i="1" s="1"/>
  <c r="BK62" i="1"/>
  <c r="BI62" i="1" a="1"/>
  <c r="BI62" i="1" s="1"/>
  <c r="BN61" i="1" a="1"/>
  <c r="BN61" i="1" s="1"/>
  <c r="BM61" i="1" a="1"/>
  <c r="BM61" i="1" s="1"/>
  <c r="BJ61" i="1" s="1" a="1"/>
  <c r="BJ61" i="1" s="1"/>
  <c r="BK61" i="1"/>
  <c r="BI61" i="1" a="1"/>
  <c r="BI61" i="1" s="1"/>
  <c r="BN60" i="1" a="1"/>
  <c r="BN60" i="1" s="1"/>
  <c r="BM60" i="1" a="1"/>
  <c r="BM60" i="1" s="1"/>
  <c r="BJ60" i="1" s="1" a="1"/>
  <c r="BJ60" i="1" s="1"/>
  <c r="BL60" i="1" a="1"/>
  <c r="BL60" i="1" s="1"/>
  <c r="BK60" i="1"/>
  <c r="BI60" i="1" a="1"/>
  <c r="BI60" i="1" s="1"/>
  <c r="BN59" i="1" a="1"/>
  <c r="BN59" i="1" s="1"/>
  <c r="BM59" i="1" a="1"/>
  <c r="BM59" i="1" s="1"/>
  <c r="BJ59" i="1" s="1" a="1"/>
  <c r="BJ59" i="1" s="1"/>
  <c r="BK59" i="1"/>
  <c r="BI59" i="1" a="1"/>
  <c r="BI59" i="1" s="1"/>
  <c r="BN58" i="1" a="1"/>
  <c r="BN58" i="1" s="1"/>
  <c r="BM58" i="1" a="1"/>
  <c r="BM58" i="1" s="1"/>
  <c r="BJ58" i="1" s="1" a="1"/>
  <c r="BJ58" i="1" s="1"/>
  <c r="BK58" i="1"/>
  <c r="BI58" i="1" a="1"/>
  <c r="BI58" i="1" s="1"/>
  <c r="BN55" i="1" a="1"/>
  <c r="BN55" i="1" s="1"/>
  <c r="BM55" i="1" a="1"/>
  <c r="BM55" i="1" s="1"/>
  <c r="BJ55" i="1" s="1" a="1"/>
  <c r="BJ55" i="1" s="1"/>
  <c r="BL55" i="1" a="1"/>
  <c r="BL55" i="1" s="1"/>
  <c r="BK55" i="1"/>
  <c r="BI55" i="1" a="1"/>
  <c r="BI55" i="1" s="1"/>
  <c r="BN52" i="1" a="1"/>
  <c r="BN52" i="1" s="1"/>
  <c r="BM52" i="1" a="1"/>
  <c r="BM52" i="1" s="1"/>
  <c r="BJ52" i="1" s="1" a="1"/>
  <c r="BJ52" i="1" s="1"/>
  <c r="BK52" i="1"/>
  <c r="BI52" i="1" a="1"/>
  <c r="BI52" i="1" s="1"/>
  <c r="AX1226" i="1"/>
  <c r="AG1226" i="1"/>
  <c r="AH1274" i="1"/>
  <c r="AX1274" i="1" s="1"/>
  <c r="BL88" i="1" a="1"/>
  <c r="BL88" i="1" s="1"/>
  <c r="D23" i="2"/>
  <c r="C23" i="2"/>
  <c r="D22" i="2"/>
  <c r="D21" i="2"/>
  <c r="C21" i="2"/>
  <c r="D34" i="2"/>
  <c r="D29" i="2"/>
  <c r="C34" i="2"/>
  <c r="D33" i="2"/>
  <c r="C33" i="2"/>
  <c r="D32" i="2"/>
  <c r="C32" i="2"/>
  <c r="C29" i="2"/>
  <c r="D25" i="2"/>
  <c r="C25" i="2"/>
  <c r="AS2483" i="1"/>
  <c r="AS2480" i="1"/>
  <c r="AS2477" i="1"/>
  <c r="AS2474" i="1"/>
  <c r="AS2471" i="1"/>
  <c r="AS2468" i="1"/>
  <c r="AS2465" i="1"/>
  <c r="AS2462" i="1"/>
  <c r="AS2459" i="1"/>
  <c r="AS2456" i="1"/>
  <c r="AS2453" i="1"/>
  <c r="AS2450" i="1"/>
  <c r="AS2447" i="1"/>
  <c r="AS2444" i="1"/>
  <c r="AS2440" i="1"/>
  <c r="AS2437" i="1"/>
  <c r="AS2410" i="1"/>
  <c r="AS2028" i="1"/>
  <c r="AS2025" i="1"/>
  <c r="AS1204" i="1"/>
  <c r="AS1201" i="1"/>
  <c r="AS2330" i="1"/>
  <c r="AS2327" i="1"/>
  <c r="AS2324" i="1"/>
  <c r="AS2321" i="1"/>
  <c r="AS2318" i="1"/>
  <c r="AS2315" i="1"/>
  <c r="AS2312" i="1"/>
  <c r="AS2309" i="1"/>
  <c r="AS2306" i="1"/>
  <c r="AS2303" i="1"/>
  <c r="AS2300" i="1"/>
  <c r="AS2297" i="1"/>
  <c r="AS2294" i="1"/>
  <c r="AS2291" i="1"/>
  <c r="AS2170" i="1"/>
  <c r="AS2165" i="1"/>
  <c r="AS2160" i="1"/>
  <c r="AS2155" i="1"/>
  <c r="AS2150" i="1"/>
  <c r="AS2145" i="1"/>
  <c r="AS2140" i="1"/>
  <c r="AS2135" i="1"/>
  <c r="AS2130" i="1"/>
  <c r="AS2125" i="1"/>
  <c r="AS2120" i="1"/>
  <c r="AS2115" i="1"/>
  <c r="AS2110" i="1"/>
  <c r="AS2105" i="1"/>
  <c r="AS2065" i="1"/>
  <c r="AS2060" i="1"/>
  <c r="AS2398" i="1"/>
  <c r="AS2022" i="1"/>
  <c r="AS2017" i="1"/>
  <c r="AS1198" i="1"/>
  <c r="AS1193" i="1"/>
  <c r="AS1998" i="1"/>
  <c r="AS1993" i="1"/>
  <c r="AS1988" i="1"/>
  <c r="AS1983" i="1"/>
  <c r="AS1978" i="1"/>
  <c r="AS1973" i="1"/>
  <c r="AS1968" i="1"/>
  <c r="AS1963" i="1"/>
  <c r="AS1958" i="1"/>
  <c r="AS1953" i="1"/>
  <c r="AS1948" i="1"/>
  <c r="AS1943" i="1"/>
  <c r="AS1938" i="1"/>
  <c r="AS1933" i="1"/>
  <c r="AS1788" i="1"/>
  <c r="AS1782" i="1"/>
  <c r="AS1776" i="1"/>
  <c r="AS1770" i="1"/>
  <c r="AS1764" i="1"/>
  <c r="AS1758" i="1"/>
  <c r="AS1752" i="1"/>
  <c r="AS1746" i="1"/>
  <c r="AS1740" i="1"/>
  <c r="AS1734" i="1"/>
  <c r="AS1728" i="1"/>
  <c r="AS1722" i="1"/>
  <c r="AS1716" i="1"/>
  <c r="AS1710" i="1"/>
  <c r="AS1662" i="1"/>
  <c r="AS1656" i="1"/>
  <c r="AS2382" i="1"/>
  <c r="AS1643" i="1"/>
  <c r="AS1637" i="1"/>
  <c r="AS1188" i="1"/>
  <c r="AS1182" i="1"/>
  <c r="AS1575" i="1"/>
  <c r="AS1569" i="1"/>
  <c r="AS1563" i="1"/>
  <c r="AS1557" i="1"/>
  <c r="AS1551" i="1"/>
  <c r="AS1545" i="1"/>
  <c r="AS1539" i="1"/>
  <c r="AS1533" i="1"/>
  <c r="AS1527" i="1"/>
  <c r="AS1521" i="1"/>
  <c r="AS1515" i="1"/>
  <c r="AS1509" i="1"/>
  <c r="AS1503" i="1"/>
  <c r="AS1497" i="1"/>
  <c r="AS1352" i="1"/>
  <c r="AS1346" i="1"/>
  <c r="AS1340" i="1"/>
  <c r="AS1334" i="1"/>
  <c r="AS1328" i="1"/>
  <c r="AS1322" i="1"/>
  <c r="AS1316" i="1"/>
  <c r="AS1310" i="1"/>
  <c r="AS1304" i="1"/>
  <c r="AS1298" i="1"/>
  <c r="AS1292" i="1"/>
  <c r="AS1286" i="1"/>
  <c r="AS1280" i="1"/>
  <c r="AS1274" i="1"/>
  <c r="AS1226" i="1"/>
  <c r="AS1220" i="1"/>
  <c r="AS2365" i="1"/>
  <c r="AS1631" i="1"/>
  <c r="AS1625" i="1"/>
  <c r="AS1176" i="1"/>
  <c r="AS1170" i="1"/>
  <c r="AS1147" i="1"/>
  <c r="AS1141" i="1"/>
  <c r="AS1135" i="1"/>
  <c r="AS1129" i="1"/>
  <c r="AS1123" i="1"/>
  <c r="AS1117" i="1"/>
  <c r="AS1111" i="1"/>
  <c r="AS1105" i="1"/>
  <c r="AS1099" i="1"/>
  <c r="AS1093" i="1"/>
  <c r="AS1087" i="1"/>
  <c r="AS1081" i="1"/>
  <c r="AS1075" i="1"/>
  <c r="AS1069" i="1"/>
  <c r="AS804" i="1"/>
  <c r="AS793" i="1"/>
  <c r="AS782" i="1"/>
  <c r="AS771" i="1"/>
  <c r="AS760" i="1"/>
  <c r="AS749" i="1"/>
  <c r="AS738" i="1"/>
  <c r="AS727" i="1"/>
  <c r="AS716" i="1"/>
  <c r="AS705" i="1"/>
  <c r="AS694" i="1"/>
  <c r="AS683" i="1"/>
  <c r="AS672" i="1"/>
  <c r="AS661" i="1"/>
  <c r="AS573" i="1"/>
  <c r="AS562" i="1"/>
  <c r="AS2049" i="1"/>
  <c r="AS1619" i="1"/>
  <c r="AS1608" i="1"/>
  <c r="AS539" i="1"/>
  <c r="AS528" i="1"/>
  <c r="AS470" i="1"/>
  <c r="AS459" i="1"/>
  <c r="AS448" i="1"/>
  <c r="AS437" i="1"/>
  <c r="AS426" i="1"/>
  <c r="AS415" i="1"/>
  <c r="AS404" i="1"/>
  <c r="AS393" i="1"/>
  <c r="AS382" i="1"/>
  <c r="AS371" i="1"/>
  <c r="AS360" i="1"/>
  <c r="AS349" i="1"/>
  <c r="AS338" i="1"/>
  <c r="AS327" i="1"/>
  <c r="AS302" i="1"/>
  <c r="AS301" i="1"/>
  <c r="AS300" i="1"/>
  <c r="AS299" i="1"/>
  <c r="AS298" i="1"/>
  <c r="AS297" i="1"/>
  <c r="AS296" i="1"/>
  <c r="AS295" i="1"/>
  <c r="AS294" i="1"/>
  <c r="AS293" i="1"/>
  <c r="AS292" i="1"/>
  <c r="AS291" i="1"/>
  <c r="AS290" i="1"/>
  <c r="AS289" i="1"/>
  <c r="AS281" i="1"/>
  <c r="AS280" i="1"/>
  <c r="AS2038" i="1"/>
  <c r="AS2037" i="1"/>
  <c r="AS1597" i="1"/>
  <c r="AS1596" i="1"/>
  <c r="AS517" i="1"/>
  <c r="AS516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157" i="1"/>
  <c r="AS154" i="1"/>
  <c r="AS151" i="1"/>
  <c r="AS148" i="1"/>
  <c r="AS145" i="1"/>
  <c r="AS144" i="1"/>
  <c r="AS139" i="1"/>
  <c r="AS136" i="1"/>
  <c r="AS133" i="1"/>
  <c r="AS130" i="1"/>
  <c r="AS127" i="1"/>
  <c r="AS124" i="1"/>
  <c r="AS121" i="1"/>
  <c r="AS118" i="1"/>
  <c r="AS94" i="1"/>
  <c r="AS88" i="1"/>
  <c r="AS2036" i="1"/>
  <c r="AS2031" i="1"/>
  <c r="AS1595" i="1"/>
  <c r="AS1207" i="1"/>
  <c r="AS515" i="1"/>
  <c r="AS512" i="1"/>
  <c r="AS43" i="1"/>
  <c r="AS40" i="1"/>
  <c r="AS37" i="1"/>
  <c r="AS34" i="1"/>
  <c r="AS31" i="1"/>
  <c r="AS28" i="1"/>
  <c r="AS25" i="1"/>
  <c r="AS22" i="1"/>
  <c r="AS19" i="1"/>
  <c r="AS14" i="1"/>
  <c r="AS11" i="1"/>
  <c r="AS10" i="1"/>
  <c r="AS7" i="1"/>
  <c r="AS4" i="1"/>
  <c r="BL562" i="1" a="1"/>
  <c r="BL562" i="1" s="1"/>
  <c r="AT2477" i="1"/>
  <c r="AT2468" i="1"/>
  <c r="AT2465" i="1"/>
  <c r="AT2462" i="1"/>
  <c r="AT2456" i="1"/>
  <c r="AT2450" i="1"/>
  <c r="AT2447" i="1"/>
  <c r="AT2437" i="1"/>
  <c r="AT2028" i="1"/>
  <c r="AT1204" i="1"/>
  <c r="AT2330" i="1"/>
  <c r="AT2324" i="1"/>
  <c r="AT2318" i="1"/>
  <c r="AT2312" i="1"/>
  <c r="AT2306" i="1"/>
  <c r="AT2300" i="1"/>
  <c r="AT2294" i="1"/>
  <c r="AT2160" i="1"/>
  <c r="AT2145" i="1"/>
  <c r="AT2140" i="1"/>
  <c r="AT2135" i="1"/>
  <c r="AT2125" i="1"/>
  <c r="AT2115" i="1"/>
  <c r="AT2110" i="1"/>
  <c r="AT2060" i="1"/>
  <c r="AT2022" i="1"/>
  <c r="AT1198" i="1"/>
  <c r="AT1998" i="1"/>
  <c r="AT1988" i="1"/>
  <c r="AT1978" i="1"/>
  <c r="AT1968" i="1"/>
  <c r="AT1958" i="1"/>
  <c r="AT1948" i="1"/>
  <c r="AT1938" i="1"/>
  <c r="AT1776" i="1"/>
  <c r="AT1758" i="1"/>
  <c r="AT1752" i="1"/>
  <c r="AT1746" i="1"/>
  <c r="AT1734" i="1"/>
  <c r="AT1722" i="1"/>
  <c r="AT1716" i="1"/>
  <c r="AT1656" i="1"/>
  <c r="AT1643" i="1"/>
  <c r="AT1188" i="1"/>
  <c r="AT1575" i="1"/>
  <c r="AT1563" i="1"/>
  <c r="AT1551" i="1"/>
  <c r="AT1539" i="1"/>
  <c r="AT1527" i="1"/>
  <c r="AT1515" i="1"/>
  <c r="AT1503" i="1"/>
  <c r="AT1340" i="1"/>
  <c r="AT1316" i="1"/>
  <c r="AT1310" i="1"/>
  <c r="AT1298" i="1"/>
  <c r="AT1280" i="1"/>
  <c r="AT1220" i="1"/>
  <c r="AT1631" i="1"/>
  <c r="AT1176" i="1"/>
  <c r="AT1147" i="1"/>
  <c r="AT1135" i="1"/>
  <c r="AT1123" i="1"/>
  <c r="AT1111" i="1"/>
  <c r="AT1099" i="1"/>
  <c r="AT1087" i="1"/>
  <c r="AT1075" i="1"/>
  <c r="AT782" i="1"/>
  <c r="AT749" i="1"/>
  <c r="AT738" i="1"/>
  <c r="AT727" i="1"/>
  <c r="AT705" i="1"/>
  <c r="AT683" i="1"/>
  <c r="AT672" i="1"/>
  <c r="AT562" i="1"/>
  <c r="AT1619" i="1"/>
  <c r="AT539" i="1"/>
  <c r="AT470" i="1"/>
  <c r="AT448" i="1"/>
  <c r="AT426" i="1"/>
  <c r="AT404" i="1"/>
  <c r="AT382" i="1"/>
  <c r="AT360" i="1"/>
  <c r="AT338" i="1"/>
  <c r="AT300" i="1"/>
  <c r="AT297" i="1"/>
  <c r="AT296" i="1"/>
  <c r="AT295" i="1"/>
  <c r="AT293" i="1"/>
  <c r="AT291" i="1"/>
  <c r="AT290" i="1"/>
  <c r="AT280" i="1"/>
  <c r="AT2038" i="1"/>
  <c r="AT1597" i="1"/>
  <c r="AT517" i="1"/>
  <c r="AT243" i="1"/>
  <c r="AT241" i="1"/>
  <c r="AT239" i="1"/>
  <c r="AT237" i="1"/>
  <c r="AT235" i="1"/>
  <c r="AT233" i="1"/>
  <c r="AT231" i="1"/>
  <c r="AT151" i="1"/>
  <c r="AT144" i="1"/>
  <c r="AT139" i="1"/>
  <c r="AT136" i="1"/>
  <c r="AT130" i="1"/>
  <c r="AT124" i="1"/>
  <c r="AT121" i="1"/>
  <c r="AT88" i="1"/>
  <c r="AT2036" i="1"/>
  <c r="AT1595" i="1"/>
  <c r="AT515" i="1"/>
  <c r="AT43" i="1"/>
  <c r="AT37" i="1"/>
  <c r="AT31" i="1"/>
  <c r="AT25" i="1"/>
  <c r="AT19" i="1"/>
  <c r="AT11" i="1"/>
  <c r="AT7" i="1"/>
  <c r="AT10" i="1"/>
  <c r="AT14" i="1"/>
  <c r="AT22" i="1"/>
  <c r="AT28" i="1"/>
  <c r="AT34" i="1"/>
  <c r="AT40" i="1"/>
  <c r="AT512" i="1"/>
  <c r="AT1207" i="1"/>
  <c r="BN2766" i="1" a="1"/>
  <c r="BN2766" i="1" s="1"/>
  <c r="BM2766" i="1" a="1"/>
  <c r="BM2766" i="1" s="1"/>
  <c r="BJ2766" i="1" s="1" a="1"/>
  <c r="BJ2766" i="1" s="1"/>
  <c r="BN2755" i="1" a="1"/>
  <c r="BN2755" i="1" s="1"/>
  <c r="BM2755" i="1" a="1"/>
  <c r="BM2755" i="1" s="1"/>
  <c r="BJ2755" i="1" s="1" a="1"/>
  <c r="BJ2755" i="1" s="1"/>
  <c r="BN2738" i="1" a="1"/>
  <c r="BN2738" i="1" s="1"/>
  <c r="BM2738" i="1" a="1"/>
  <c r="BM2738" i="1" s="1"/>
  <c r="AW2769" i="1"/>
  <c r="BI2755" i="1" a="1"/>
  <c r="BI2755" i="1" s="1"/>
  <c r="BL1767" i="1" a="1"/>
  <c r="BL1186" i="1" a="1"/>
  <c r="BL1074" i="1" a="1"/>
  <c r="BL1293" i="1" a="1"/>
  <c r="BL776" i="1" a="1"/>
  <c r="BL1329" i="1" a="1"/>
  <c r="BL1944" i="1" a="1"/>
  <c r="BL2033" i="1" a="1"/>
  <c r="BL274" i="1" a="1"/>
  <c r="BL699" i="1" a="1"/>
  <c r="BL2311" i="1" a="1"/>
  <c r="BL787" i="1" a="1"/>
  <c r="BL612" i="1" a="1"/>
  <c r="BL1628" i="1" a="1"/>
  <c r="BL158" i="1" a="1"/>
  <c r="BL2133" i="1" a="1"/>
  <c r="BL1712" i="1" a="1"/>
  <c r="BL251" i="1" a="1"/>
  <c r="BL138" i="1" a="1"/>
  <c r="BL2292" i="1" a="1"/>
  <c r="BL1142" i="1" a="1"/>
  <c r="BL2178" i="1" a="1"/>
  <c r="BL1157" i="1" a="1"/>
  <c r="BL1177" i="1" a="1"/>
  <c r="BL2106" i="1" a="1"/>
  <c r="BL1333" i="1" a="1"/>
  <c r="BL443" i="1" a="1"/>
  <c r="BL726" i="1" a="1"/>
  <c r="BL1780" i="1" a="1"/>
  <c r="BL1364" i="1" a="1"/>
  <c r="BL2131" i="1" a="1"/>
  <c r="BL1638" i="1" a="1"/>
  <c r="BL1594" i="1" a="1"/>
  <c r="BL380" i="1" a="1"/>
  <c r="BL1408" i="1" a="1"/>
  <c r="BL1700" i="1" a="1"/>
  <c r="BL1306" i="1" a="1"/>
  <c r="BL807" i="1" a="1"/>
  <c r="BL1158" i="1" a="1"/>
  <c r="BL2369" i="1" a="1"/>
  <c r="BL1411" i="1" a="1"/>
  <c r="BL155" i="1" a="1"/>
  <c r="BL579" i="1" a="1"/>
  <c r="BL396" i="1" a="1"/>
  <c r="BL2132" i="1" a="1"/>
  <c r="BL1946" i="1" a="1"/>
  <c r="BL95" i="1" a="1"/>
  <c r="BL2066" i="1" a="1"/>
  <c r="BL185" i="1" a="1"/>
  <c r="BL1104" i="1" a="1"/>
  <c r="BL790" i="1" a="1"/>
  <c r="BL1339" i="1" a="1"/>
  <c r="BL357" i="1" a="1"/>
  <c r="BL1755" i="1" a="1"/>
  <c r="BL836" i="1" a="1"/>
  <c r="BL354" i="1" a="1"/>
  <c r="BL1154" i="1" a="1"/>
  <c r="BL2168" i="1" a="1"/>
  <c r="BL905" i="1" a="1"/>
  <c r="BL1295" i="1" a="1"/>
  <c r="BL1640" i="1" a="1"/>
  <c r="BL1975" i="1" a="1"/>
  <c r="BL1593" i="1" a="1"/>
  <c r="BL1731" i="1" a="1"/>
  <c r="BL724" i="1" a="1"/>
  <c r="BL464" i="1" a="1"/>
  <c r="BL612" i="1" l="1"/>
  <c r="BL787" i="1"/>
  <c r="BL1712" i="1"/>
  <c r="BL2133" i="1"/>
  <c r="BL1157" i="1"/>
  <c r="BL158" i="1"/>
  <c r="BL274" i="1"/>
  <c r="BL2292" i="1"/>
  <c r="BL1293" i="1"/>
  <c r="BL1074" i="1"/>
  <c r="BL2311" i="1"/>
  <c r="BL699" i="1"/>
  <c r="BL2066" i="1"/>
  <c r="BL1944" i="1"/>
  <c r="BL1329" i="1"/>
  <c r="BL1628" i="1"/>
  <c r="BL1640" i="1"/>
  <c r="BL1295" i="1"/>
  <c r="BL1186" i="1"/>
  <c r="BL1767" i="1"/>
  <c r="BL2033" i="1"/>
  <c r="BL1731" i="1"/>
  <c r="BL1593" i="1"/>
  <c r="BL776" i="1"/>
  <c r="BL1339" i="1"/>
  <c r="BL790" i="1"/>
  <c r="BL905" i="1"/>
  <c r="BL2168" i="1"/>
  <c r="BL724" i="1"/>
  <c r="BL836" i="1"/>
  <c r="BL1755" i="1"/>
  <c r="BL1975" i="1"/>
  <c r="BL396" i="1"/>
  <c r="BL579" i="1"/>
  <c r="BL1104" i="1"/>
  <c r="BL185" i="1"/>
  <c r="BL354" i="1"/>
  <c r="BL95" i="1"/>
  <c r="BL380" i="1"/>
  <c r="BL155" i="1"/>
  <c r="BL1158" i="1"/>
  <c r="BL443" i="1"/>
  <c r="BL251" i="1"/>
  <c r="BL2131" i="1"/>
  <c r="BL2132" i="1"/>
  <c r="BL1408" i="1"/>
  <c r="BL1411" i="1"/>
  <c r="BL726" i="1"/>
  <c r="BL1780" i="1"/>
  <c r="BL807" i="1"/>
  <c r="BL464" i="1"/>
  <c r="BL2106" i="1"/>
  <c r="BL2178" i="1"/>
  <c r="BL1700" i="1"/>
  <c r="BL1154" i="1"/>
  <c r="BL1946" i="1"/>
  <c r="BL1364" i="1"/>
  <c r="BL1638" i="1"/>
  <c r="BL1306" i="1"/>
  <c r="BL138" i="1"/>
  <c r="BL1177" i="1"/>
  <c r="BL1142" i="1"/>
  <c r="BL1333" i="1"/>
  <c r="BL2369" i="1"/>
  <c r="BL357" i="1"/>
  <c r="BL1594" i="1"/>
  <c r="BK2735" i="1"/>
  <c r="F1274" i="1" a="1"/>
  <c r="F1274" i="1" s="1"/>
  <c r="F1226" i="1" a="1"/>
  <c r="F1226" i="1" s="1"/>
  <c r="AW1226" i="1"/>
  <c r="BN2737" i="1" a="1"/>
  <c r="BN2737" i="1" s="1"/>
  <c r="AH1286" i="1"/>
  <c r="F1286" i="1" s="1" a="1"/>
  <c r="F1286" i="1" s="1"/>
  <c r="BL2060" i="1" a="1"/>
  <c r="BL2060" i="1" s="1"/>
  <c r="BL1220" i="1" a="1"/>
  <c r="BL1220" i="1" s="1"/>
  <c r="BK2531" i="1"/>
  <c r="BM2250" i="1" a="1"/>
  <c r="BM2250" i="1" s="1"/>
  <c r="BJ2250" i="1" s="1" a="1"/>
  <c r="BJ2250" i="1" s="1"/>
  <c r="BL1866" i="1" a="1"/>
  <c r="BL1866" i="1" s="1"/>
  <c r="BM314" i="1" a="1"/>
  <c r="BM314" i="1" s="1"/>
  <c r="BJ314" i="1" s="1" a="1"/>
  <c r="BJ314" i="1" s="1"/>
  <c r="BK1872" i="1" a="1"/>
  <c r="BK1872" i="1" s="1"/>
  <c r="BL314" i="1" a="1"/>
  <c r="BL314" i="1" s="1"/>
  <c r="BL1872" i="1" a="1"/>
  <c r="BL1872" i="1" s="1"/>
  <c r="BN314" i="1" a="1"/>
  <c r="BN314" i="1" s="1"/>
  <c r="BM1424" i="1" a="1"/>
  <c r="BM1424" i="1" s="1"/>
  <c r="BJ1424" i="1" s="1" a="1"/>
  <c r="BJ1424" i="1" s="1"/>
  <c r="BL2525" i="1" a="1"/>
  <c r="BL2525" i="1" s="1"/>
  <c r="BN1424" i="1" a="1"/>
  <c r="BN1424" i="1" s="1"/>
  <c r="BM318" i="1" a="1"/>
  <c r="BM318" i="1" s="1"/>
  <c r="BJ318" i="1" s="1" a="1"/>
  <c r="BJ318" i="1" s="1"/>
  <c r="BN2531" i="1" a="1"/>
  <c r="BN2531" i="1" s="1"/>
  <c r="BI2525" i="1" a="1"/>
  <c r="BI2525" i="1" s="1"/>
  <c r="BN1878" i="1" a="1"/>
  <c r="BN1878" i="1" s="1"/>
  <c r="BI314" i="1" a="1"/>
  <c r="BI314" i="1" s="1"/>
  <c r="BK1424" i="1" a="1"/>
  <c r="BK1424" i="1" s="1"/>
  <c r="BN2235" i="1" a="1"/>
  <c r="BN2235" i="1" s="1"/>
  <c r="BK969" i="1" a="1"/>
  <c r="BK969" i="1" s="1"/>
  <c r="BL980" i="1" a="1"/>
  <c r="BL980" i="1" s="1"/>
  <c r="BL1424" i="1" a="1"/>
  <c r="BL1424" i="1" s="1"/>
  <c r="BI1436" i="1" a="1"/>
  <c r="BI1436" i="1" s="1"/>
  <c r="BL1860" i="1" a="1"/>
  <c r="BL1860" i="1" s="1"/>
  <c r="BM1872" i="1" a="1"/>
  <c r="BM1872" i="1" s="1"/>
  <c r="BJ1872" i="1" s="1" a="1"/>
  <c r="BJ1872" i="1" s="1"/>
  <c r="BK2519" i="1" a="1"/>
  <c r="BK2519" i="1" s="1"/>
  <c r="BK2525" i="1" a="1"/>
  <c r="BK2525" i="1" s="1"/>
  <c r="BK1436" i="1" a="1"/>
  <c r="BK1436" i="1" s="1"/>
  <c r="BI936" i="1" a="1"/>
  <c r="BI936" i="1" s="1"/>
  <c r="BL1436" i="1" a="1"/>
  <c r="BL1436" i="1" s="1"/>
  <c r="BI2230" i="1" a="1"/>
  <c r="BI2230" i="1" s="1"/>
  <c r="BM2519" i="1" a="1"/>
  <c r="BM2519" i="1" s="1"/>
  <c r="BJ2519" i="1" s="1" a="1"/>
  <c r="BJ2519" i="1" s="1"/>
  <c r="BK936" i="1" a="1"/>
  <c r="BK936" i="1" s="1"/>
  <c r="BM1436" i="1" a="1"/>
  <c r="BM1436" i="1" s="1"/>
  <c r="BJ1436" i="1" s="1" a="1"/>
  <c r="BJ1436" i="1" s="1"/>
  <c r="BK2230" i="1" a="1"/>
  <c r="BK2230" i="1" s="1"/>
  <c r="BL2230" i="1" a="1"/>
  <c r="BL2230" i="1" s="1"/>
  <c r="BI2235" i="1" a="1"/>
  <c r="BI2235" i="1" s="1"/>
  <c r="BM936" i="1" a="1"/>
  <c r="BM936" i="1" s="1"/>
  <c r="BJ936" i="1" s="1" a="1"/>
  <c r="BJ936" i="1" s="1"/>
  <c r="BI1872" i="1" a="1"/>
  <c r="BI1872" i="1" s="1"/>
  <c r="BM1884" i="1" a="1"/>
  <c r="BM1884" i="1" s="1"/>
  <c r="BJ1884" i="1" s="1" a="1"/>
  <c r="BJ1884" i="1" s="1"/>
  <c r="BL2235" i="1" a="1"/>
  <c r="BL2235" i="1" s="1"/>
  <c r="BI2240" i="1" a="1"/>
  <c r="BI2240" i="1" s="1"/>
  <c r="BI316" i="1" a="1"/>
  <c r="BI316" i="1" s="1"/>
  <c r="BI319" i="1" a="1"/>
  <c r="BI319" i="1" s="1"/>
  <c r="BM947" i="1" a="1"/>
  <c r="BM947" i="1" s="1"/>
  <c r="BJ947" i="1" s="1" a="1"/>
  <c r="BJ947" i="1" s="1"/>
  <c r="BI958" i="1" a="1"/>
  <c r="BI958" i="1" s="1"/>
  <c r="BN958" i="1" a="1"/>
  <c r="BN958" i="1" s="1"/>
  <c r="BK2240" i="1" a="1"/>
  <c r="BK2240" i="1" s="1"/>
  <c r="BL2522" i="1" a="1"/>
  <c r="BL2522" i="1" s="1"/>
  <c r="BI2528" i="1" a="1"/>
  <c r="BI2528" i="1" s="1"/>
  <c r="BL316" i="1" a="1"/>
  <c r="BL316" i="1" s="1"/>
  <c r="BK317" i="1" a="1"/>
  <c r="BK317" i="1" s="1"/>
  <c r="BN980" i="1" a="1"/>
  <c r="BN980" i="1" s="1"/>
  <c r="BI1430" i="1" a="1"/>
  <c r="BI1430" i="1" s="1"/>
  <c r="BI1442" i="1" a="1"/>
  <c r="BI1442" i="1" s="1"/>
  <c r="BM1448" i="1" a="1"/>
  <c r="BM1448" i="1" s="1"/>
  <c r="BJ1448" i="1" s="1" a="1"/>
  <c r="BJ1448" i="1" s="1"/>
  <c r="BM2240" i="1" a="1"/>
  <c r="BM2240" i="1" s="1"/>
  <c r="BJ2240" i="1" s="1" a="1"/>
  <c r="BJ2240" i="1" s="1"/>
  <c r="BN2245" i="1" a="1"/>
  <c r="BN2245" i="1" s="1"/>
  <c r="BM2525" i="1" a="1"/>
  <c r="BM2525" i="1" s="1"/>
  <c r="BJ2525" i="1" s="1" a="1"/>
  <c r="BJ2525" i="1" s="1"/>
  <c r="BK2528" i="1" a="1"/>
  <c r="BK2528" i="1" s="1"/>
  <c r="BM316" i="1" a="1"/>
  <c r="BM316" i="1" s="1"/>
  <c r="BJ316" i="1" s="1" a="1"/>
  <c r="BJ316" i="1" s="1"/>
  <c r="BK319" i="1" a="1"/>
  <c r="BK319" i="1" s="1"/>
  <c r="BL1430" i="1" a="1"/>
  <c r="BL1430" i="1" s="1"/>
  <c r="BM2528" i="1" a="1"/>
  <c r="BM2528" i="1" s="1"/>
  <c r="BJ2528" i="1" s="1" a="1"/>
  <c r="BJ2528" i="1" s="1"/>
  <c r="BN316" i="1" a="1"/>
  <c r="BN316" i="1" s="1"/>
  <c r="BM319" i="1" a="1"/>
  <c r="BM319" i="1" s="1"/>
  <c r="BJ319" i="1" s="1" a="1"/>
  <c r="BJ319" i="1" s="1"/>
  <c r="BK958" i="1" a="1"/>
  <c r="BK958" i="1" s="1"/>
  <c r="BI1866" i="1" a="1"/>
  <c r="BI1866" i="1" s="1"/>
  <c r="BI2519" i="1" a="1"/>
  <c r="BI2519" i="1" s="1"/>
  <c r="BN2528" i="1" a="1"/>
  <c r="BN2528" i="1" s="1"/>
  <c r="BL2531" i="1" a="1"/>
  <c r="BL2531" i="1" s="1"/>
  <c r="BN319" i="1" a="1"/>
  <c r="BN319" i="1" s="1"/>
  <c r="BL958" i="1" a="1"/>
  <c r="BL958" i="1" s="1"/>
  <c r="BM2522" i="1" a="1"/>
  <c r="BM2522" i="1" s="1"/>
  <c r="BJ2522" i="1" s="1" a="1"/>
  <c r="BJ2522" i="1" s="1"/>
  <c r="BL2519" i="1" a="1"/>
  <c r="BL2519" i="1" s="1"/>
  <c r="BI2522" i="1" a="1"/>
  <c r="BI2522" i="1" s="1"/>
  <c r="BM2531" i="1" a="1"/>
  <c r="BM2531" i="1" s="1"/>
  <c r="BJ2531" i="1" s="1" a="1"/>
  <c r="BJ2531" i="1" s="1"/>
  <c r="BN2522" i="1" a="1"/>
  <c r="BN2522" i="1" s="1"/>
  <c r="BM2235" i="1" a="1"/>
  <c r="BM2235" i="1" s="1"/>
  <c r="BJ2235" i="1" s="1" a="1"/>
  <c r="BJ2235" i="1" s="1"/>
  <c r="BN2240" i="1" a="1"/>
  <c r="BN2240" i="1" s="1"/>
  <c r="BK2245" i="1" a="1"/>
  <c r="BK2245" i="1" s="1"/>
  <c r="BL2245" i="1" a="1"/>
  <c r="BL2245" i="1" s="1"/>
  <c r="BI2250" i="1" a="1"/>
  <c r="BI2250" i="1" s="1"/>
  <c r="BM2230" i="1" a="1"/>
  <c r="BM2230" i="1" s="1"/>
  <c r="BJ2230" i="1" s="1" a="1"/>
  <c r="BJ2230" i="1" s="1"/>
  <c r="BN2250" i="1" a="1"/>
  <c r="BN2250" i="1" s="1"/>
  <c r="BI2245" i="1" a="1"/>
  <c r="BI2245" i="1" s="1"/>
  <c r="BK2250" i="1"/>
  <c r="BM1866" i="1" a="1"/>
  <c r="BM1866" i="1" s="1"/>
  <c r="BJ1866" i="1" s="1" a="1"/>
  <c r="BJ1866" i="1" s="1"/>
  <c r="BK1878" i="1" a="1"/>
  <c r="BK1878" i="1" s="1"/>
  <c r="BN1866" i="1" a="1"/>
  <c r="BN1866" i="1" s="1"/>
  <c r="BL1878" i="1" a="1"/>
  <c r="BL1878" i="1" s="1"/>
  <c r="BI1884" i="1" a="1"/>
  <c r="BI1884" i="1" s="1"/>
  <c r="BI1860" i="1" a="1"/>
  <c r="BI1860" i="1" s="1"/>
  <c r="BM1860" i="1" a="1"/>
  <c r="BM1860" i="1" s="1"/>
  <c r="BJ1860" i="1" s="1" a="1"/>
  <c r="BJ1860" i="1" s="1"/>
  <c r="BN1884" i="1" a="1"/>
  <c r="BN1884" i="1" s="1"/>
  <c r="BI1878" i="1" a="1"/>
  <c r="BI1878" i="1" s="1"/>
  <c r="BN1860" i="1" a="1"/>
  <c r="BN1860" i="1" s="1"/>
  <c r="BK1884" i="1"/>
  <c r="BM1430" i="1" a="1"/>
  <c r="BM1430" i="1" s="1"/>
  <c r="BJ1430" i="1" s="1" a="1"/>
  <c r="BJ1430" i="1" s="1"/>
  <c r="BK1442" i="1" a="1"/>
  <c r="BK1442" i="1" s="1"/>
  <c r="BN1430" i="1" a="1"/>
  <c r="BN1430" i="1" s="1"/>
  <c r="BL1442" i="1" a="1"/>
  <c r="BL1442" i="1" s="1"/>
  <c r="BI1448" i="1" a="1"/>
  <c r="BI1448" i="1" s="1"/>
  <c r="BN1448" i="1" a="1"/>
  <c r="BN1448" i="1" s="1"/>
  <c r="BM1442" i="1" a="1"/>
  <c r="BM1442" i="1" s="1"/>
  <c r="BJ1442" i="1" s="1" a="1"/>
  <c r="BJ1442" i="1" s="1"/>
  <c r="BK1448" i="1"/>
  <c r="BL936" i="1" a="1"/>
  <c r="BL936" i="1" s="1"/>
  <c r="BI947" i="1" a="1"/>
  <c r="BI947" i="1" s="1"/>
  <c r="BM980" i="1" a="1"/>
  <c r="BM980" i="1" s="1"/>
  <c r="BJ980" i="1" s="1" a="1"/>
  <c r="BJ980" i="1" s="1"/>
  <c r="BN947" i="1" a="1"/>
  <c r="BN947" i="1" s="1"/>
  <c r="BL969" i="1" a="1"/>
  <c r="BL969" i="1" s="1"/>
  <c r="BI980" i="1" a="1"/>
  <c r="BI980" i="1" s="1"/>
  <c r="BI969" i="1" a="1"/>
  <c r="BI969" i="1" s="1"/>
  <c r="BM969" i="1" a="1"/>
  <c r="BM969" i="1" s="1"/>
  <c r="BJ969" i="1" s="1" a="1"/>
  <c r="BJ969" i="1" s="1"/>
  <c r="BK947" i="1"/>
  <c r="BN315" i="1" a="1"/>
  <c r="BN315" i="1" s="1"/>
  <c r="BL317" i="1" a="1"/>
  <c r="BL317" i="1" s="1"/>
  <c r="BI318" i="1" a="1"/>
  <c r="BI318" i="1" s="1"/>
  <c r="BN318" i="1" a="1"/>
  <c r="BN318" i="1" s="1"/>
  <c r="BI317" i="1" a="1"/>
  <c r="BI317" i="1" s="1"/>
  <c r="BM317" i="1" a="1"/>
  <c r="BM317" i="1" s="1"/>
  <c r="BJ317" i="1" s="1" a="1"/>
  <c r="BJ317" i="1" s="1"/>
  <c r="BK315" i="1"/>
  <c r="BM315" i="1" a="1"/>
  <c r="BM315" i="1" s="1"/>
  <c r="BJ315" i="1" s="1" a="1"/>
  <c r="BJ315" i="1" s="1"/>
  <c r="BI315" i="1" a="1"/>
  <c r="BI315" i="1" s="1"/>
  <c r="BK318" i="1"/>
  <c r="BM207" i="1" a="1"/>
  <c r="BM207" i="1" s="1"/>
  <c r="BJ207" i="1" s="1" a="1"/>
  <c r="BJ207" i="1" s="1"/>
  <c r="BM199" i="1" a="1"/>
  <c r="BM199" i="1" s="1"/>
  <c r="BJ199" i="1" s="1" a="1"/>
  <c r="BJ199" i="1" s="1"/>
  <c r="BM193" i="1" a="1"/>
  <c r="BM193" i="1" s="1"/>
  <c r="BJ193" i="1" s="1" a="1"/>
  <c r="BJ193" i="1" s="1"/>
  <c r="BI210" i="1" a="1"/>
  <c r="BI210" i="1" s="1"/>
  <c r="BL193" i="1" a="1"/>
  <c r="BL193" i="1" s="1"/>
  <c r="BN193" i="1" a="1"/>
  <c r="BN193" i="1" s="1"/>
  <c r="BK210" i="1" a="1"/>
  <c r="BK210" i="1" s="1"/>
  <c r="BL196" i="1" a="1"/>
  <c r="BL196" i="1" s="1"/>
  <c r="BI199" i="1" a="1"/>
  <c r="BI199" i="1" s="1"/>
  <c r="BM210" i="1" a="1"/>
  <c r="BM210" i="1" s="1"/>
  <c r="BJ210" i="1" s="1" a="1"/>
  <c r="BJ210" i="1" s="1"/>
  <c r="BN210" i="1" a="1"/>
  <c r="BN210" i="1" s="1"/>
  <c r="BI193" i="1" a="1"/>
  <c r="BI193" i="1" s="1"/>
  <c r="BK202" i="1" a="1"/>
  <c r="BK202" i="1" s="1"/>
  <c r="BL202" i="1" a="1"/>
  <c r="BL202" i="1" s="1"/>
  <c r="BI207" i="1" a="1"/>
  <c r="BI207" i="1" s="1"/>
  <c r="BN207" i="1" a="1"/>
  <c r="BN207" i="1" s="1"/>
  <c r="BI202" i="1" a="1"/>
  <c r="BI202" i="1" s="1"/>
  <c r="BM202" i="1" a="1"/>
  <c r="BM202" i="1" s="1"/>
  <c r="BJ202" i="1" s="1" a="1"/>
  <c r="BJ202" i="1" s="1"/>
  <c r="BK207" i="1"/>
  <c r="BN196" i="1" a="1"/>
  <c r="BN196" i="1" s="1"/>
  <c r="BK199" i="1" a="1"/>
  <c r="BK199" i="1" s="1"/>
  <c r="BL199" i="1" a="1"/>
  <c r="BL199" i="1" s="1"/>
  <c r="BK196" i="1"/>
  <c r="BM196" i="1" a="1"/>
  <c r="BM196" i="1" s="1"/>
  <c r="BJ196" i="1" s="1" a="1"/>
  <c r="BJ196" i="1" s="1"/>
  <c r="BM2769" i="1" a="1"/>
  <c r="BM2769" i="1" s="1"/>
  <c r="BJ2769" i="1" s="1" a="1"/>
  <c r="BJ2769" i="1" s="1"/>
  <c r="BN2769" i="1" a="1"/>
  <c r="BN2769" i="1" s="1"/>
  <c r="BI2769" i="1" a="1"/>
  <c r="BI2769" i="1" s="1"/>
  <c r="BI2766" i="1" a="1"/>
  <c r="BI2766" i="1" s="1"/>
  <c r="BI2738" i="1" a="1"/>
  <c r="BI2738" i="1" s="1"/>
  <c r="BJ2738" i="1" a="1"/>
  <c r="BJ2738" i="1" s="1"/>
  <c r="BI2737" i="1" a="1"/>
  <c r="BI2737" i="1" s="1"/>
  <c r="BL1742" i="1" a="1"/>
  <c r="BL1319" i="1" a="1"/>
  <c r="BL801" i="1" a="1"/>
  <c r="BL119" i="1" a="1"/>
  <c r="BL577" i="1" a="1"/>
  <c r="BL2123" i="1" a="1"/>
  <c r="BL735" i="1" a="1"/>
  <c r="BL482" i="1" a="1"/>
  <c r="BL2068" i="1" a="1"/>
  <c r="BL1748" i="1" a="1"/>
  <c r="BL1267" i="1" a="1"/>
  <c r="BL104" i="1" a="1"/>
  <c r="BL1132" i="1" a="1"/>
  <c r="BL2162" i="1" a="1"/>
  <c r="BL381" i="1" a="1"/>
  <c r="BL1795" i="1" a="1"/>
  <c r="BL523" i="1" a="1"/>
  <c r="BL1781" i="1" a="1"/>
  <c r="BL490" i="1" a="1"/>
  <c r="BL1110" i="1" a="1"/>
  <c r="BL1313" i="1" a="1"/>
  <c r="BL645" i="1" a="1"/>
  <c r="BL1791" i="1" a="1"/>
  <c r="BL908" i="1" a="1"/>
  <c r="BL2144" i="1" a="1"/>
  <c r="BL387" i="1" a="1"/>
  <c r="BL2019" i="1" a="1"/>
  <c r="BL1741" i="1" a="1"/>
  <c r="BL1754" i="1" a="1"/>
  <c r="BL1961" i="1" a="1"/>
  <c r="BL2348" i="1" a="1"/>
  <c r="BL521" i="1" a="1"/>
  <c r="BL444" i="1" a="1"/>
  <c r="BL1775" i="1" a="1"/>
  <c r="BL375" i="1" a="1"/>
  <c r="BL1805" i="1" a="1"/>
  <c r="BL485" i="1" a="1"/>
  <c r="BL484" i="1" a="1"/>
  <c r="BL1361" i="1" a="1"/>
  <c r="BL445" i="1" a="1"/>
  <c r="BL1530" i="1" a="1"/>
  <c r="BL1613" i="1" a="1"/>
  <c r="BL1529" i="1" a="1"/>
  <c r="BL800" i="1" a="1"/>
  <c r="BL262" i="1" a="1"/>
  <c r="BL644" i="1" a="1"/>
  <c r="BL141" i="1" a="1"/>
  <c r="BL1086" i="1" a="1"/>
  <c r="BL1195" i="1" a="1"/>
  <c r="BL2138" i="1" a="1"/>
  <c r="BL1248" i="1" a="1"/>
  <c r="BL1120" i="1" a="1"/>
  <c r="BL1747" i="1" a="1"/>
  <c r="BL2137" i="1" a="1"/>
  <c r="BL1773" i="1" a="1"/>
  <c r="BL263" i="1" a="1"/>
  <c r="BL152" i="1" a="1"/>
  <c r="BL781" i="1" a="1"/>
  <c r="BL1751" i="1" a="1"/>
  <c r="BL1964" i="1" a="1"/>
  <c r="BL1230" i="1" a="1"/>
  <c r="BL642" i="1" a="1"/>
  <c r="BL1330" i="1" a="1"/>
  <c r="BL1804" i="1" a="1"/>
  <c r="BL1133" i="1" a="1"/>
  <c r="BL1749" i="1" a="1"/>
  <c r="BL65" i="1" a="1"/>
  <c r="BL129" i="1" a="1"/>
  <c r="BL400" i="1" a="1"/>
  <c r="BL1786" i="1" a="1"/>
  <c r="BL722" i="1" a="1"/>
  <c r="BL1173" i="1" a="1"/>
  <c r="BL2156" i="1" a="1"/>
  <c r="BL1743" i="1" a="1"/>
  <c r="BL72" i="1" a="1"/>
  <c r="BL1095" i="1" a="1"/>
  <c r="BL770" i="1" a="1"/>
  <c r="BL1407" i="1" a="1"/>
  <c r="BL2174" i="1" a="1"/>
  <c r="BL1985" i="1" a="1"/>
  <c r="BL1337" i="1" a="1"/>
  <c r="BL697" i="1" a="1"/>
  <c r="BL909" i="1" a="1"/>
  <c r="BL3" i="1" a="1"/>
  <c r="BL1343" i="1" a="1"/>
  <c r="BL717" i="1" a="1"/>
  <c r="BL163" i="1" a="1"/>
  <c r="BL1778" i="1" a="1"/>
  <c r="BL695" i="1" a="1"/>
  <c r="BL1642" i="1" a="1"/>
  <c r="BL383" i="1" a="1"/>
  <c r="BL1945" i="1" a="1"/>
  <c r="BL356" i="1" a="1"/>
  <c r="BL1070" i="1" a="1"/>
  <c r="BL463" i="1" a="1"/>
  <c r="BL184" i="1" a="1"/>
  <c r="BL402" i="1" a="1"/>
  <c r="BL336" i="1" a="1"/>
  <c r="BL518" i="1" a="1"/>
  <c r="BL2164" i="1" a="1"/>
  <c r="BL1532" i="1" a="1"/>
  <c r="BL1109" i="1" a="1"/>
  <c r="BL913" i="1" a="1"/>
  <c r="BL1729" i="1" a="1"/>
  <c r="BL2467" i="1" a="1"/>
  <c r="BL783" i="1" a="1"/>
  <c r="BL2183" i="1" a="1"/>
  <c r="BL1312" i="1" a="1"/>
  <c r="BL2067" i="1" a="1"/>
  <c r="BL164" i="1" a="1"/>
  <c r="BL359" i="1" a="1"/>
  <c r="BL1730" i="1" a="1"/>
  <c r="BL1498" i="1" a="1"/>
  <c r="BL442" i="1" a="1"/>
  <c r="BL821" i="1" a="1"/>
  <c r="BL729" i="1" a="1"/>
  <c r="BL1179" i="1" a="1"/>
  <c r="BL1801" i="1" a="1"/>
  <c r="BL1169" i="1" a="1"/>
  <c r="BL663" i="1" a="1"/>
  <c r="BL264" i="1" a="1"/>
  <c r="BL351" i="1" a="1"/>
  <c r="BL1766" i="1" a="1"/>
  <c r="BL1769" i="1" a="1"/>
  <c r="BL534" i="1" a="1"/>
  <c r="BL15" i="1" a="1"/>
  <c r="BL580" i="1" a="1"/>
  <c r="BL1616" i="1" a="1"/>
  <c r="BL610" i="1" a="1"/>
  <c r="BL1264" i="1" a="1"/>
  <c r="BL147" i="1" a="1"/>
  <c r="BL671" i="1" a="1"/>
  <c r="BL1639" i="1" a="1"/>
  <c r="BL700" i="1" a="1"/>
  <c r="BL2176" i="1" a="1"/>
  <c r="BL698" i="1" a="1"/>
  <c r="BL581" i="1" a="1"/>
  <c r="BL1187" i="1" a="1"/>
  <c r="BL648" i="1" a="1"/>
  <c r="BL149" i="1" a="1"/>
  <c r="BL1797" i="1" a="1"/>
  <c r="BL35" i="1" a="1"/>
  <c r="BL1977" i="1" a="1"/>
  <c r="BL1984" i="1" a="1"/>
  <c r="BL908" i="1" l="1"/>
  <c r="BL577" i="1"/>
  <c r="BL1169" i="1"/>
  <c r="BL581" i="1"/>
  <c r="BL1173" i="1"/>
  <c r="BL695" i="1"/>
  <c r="BL1773" i="1"/>
  <c r="BL262" i="1"/>
  <c r="BL1312" i="1"/>
  <c r="BL1361" i="1"/>
  <c r="BL717" i="1"/>
  <c r="BL1730" i="1"/>
  <c r="BL2067" i="1"/>
  <c r="BL1319" i="1"/>
  <c r="BL1086" i="1"/>
  <c r="BL1179" i="1"/>
  <c r="BL1337" i="1"/>
  <c r="BL2123" i="1"/>
  <c r="BL1754" i="1"/>
  <c r="BL264" i="1"/>
  <c r="BL351" i="1"/>
  <c r="BL442" i="1"/>
  <c r="BL184" i="1"/>
  <c r="BL1801" i="1"/>
  <c r="BL104" i="1"/>
  <c r="BL1248" i="1"/>
  <c r="BL1195" i="1"/>
  <c r="BL1984" i="1"/>
  <c r="BL698" i="1"/>
  <c r="BL722" i="1"/>
  <c r="BL485" i="1"/>
  <c r="BL1613" i="1"/>
  <c r="BL1795" i="1"/>
  <c r="BL1749" i="1"/>
  <c r="BL129" i="1"/>
  <c r="BL1748" i="1"/>
  <c r="BL3" i="1"/>
  <c r="BL1529" i="1"/>
  <c r="BL15" i="1"/>
  <c r="BL1786" i="1"/>
  <c r="BL359" i="1"/>
  <c r="BL2183" i="1"/>
  <c r="BL671" i="1"/>
  <c r="BL356" i="1"/>
  <c r="BL1343" i="1"/>
  <c r="BL521" i="1"/>
  <c r="BL2138" i="1"/>
  <c r="BL444" i="1"/>
  <c r="BL1133" i="1"/>
  <c r="BL1120" i="1"/>
  <c r="BL445" i="1"/>
  <c r="BL141" i="1"/>
  <c r="BL800" i="1"/>
  <c r="BL400" i="1"/>
  <c r="BL1267" i="1"/>
  <c r="BL72" i="1"/>
  <c r="BL163" i="1"/>
  <c r="BL463" i="1"/>
  <c r="BL580" i="1"/>
  <c r="BL697" i="1"/>
  <c r="BL1109" i="1"/>
  <c r="BL1498" i="1"/>
  <c r="BL735" i="1"/>
  <c r="BL2176" i="1"/>
  <c r="BL1532" i="1"/>
  <c r="BL149" i="1"/>
  <c r="BL770" i="1"/>
  <c r="BL1791" i="1"/>
  <c r="BL1330" i="1"/>
  <c r="BL2164" i="1"/>
  <c r="BL1095" i="1"/>
  <c r="BL1775" i="1"/>
  <c r="BL1743" i="1"/>
  <c r="BL1639" i="1"/>
  <c r="BL484" i="1"/>
  <c r="BL534" i="1"/>
  <c r="BL381" i="1"/>
  <c r="BL909" i="1"/>
  <c r="BL1778" i="1"/>
  <c r="BL65" i="1"/>
  <c r="BL648" i="1"/>
  <c r="BL263" i="1"/>
  <c r="BL1642" i="1"/>
  <c r="BL482" i="1"/>
  <c r="BL2137" i="1"/>
  <c r="BL1977" i="1"/>
  <c r="BL336" i="1"/>
  <c r="BL1961" i="1"/>
  <c r="BL2174" i="1"/>
  <c r="BL1729" i="1"/>
  <c r="BL729" i="1"/>
  <c r="BL1132" i="1"/>
  <c r="BL663" i="1"/>
  <c r="BL1110" i="1"/>
  <c r="BL1797" i="1"/>
  <c r="BL1751" i="1"/>
  <c r="BL645" i="1"/>
  <c r="BL35" i="1"/>
  <c r="BL490" i="1"/>
  <c r="BL152" i="1"/>
  <c r="BL387" i="1"/>
  <c r="BL644" i="1"/>
  <c r="BL383" i="1"/>
  <c r="BL642" i="1"/>
  <c r="BL1407" i="1"/>
  <c r="BL783" i="1"/>
  <c r="BL1747" i="1"/>
  <c r="BL2144" i="1"/>
  <c r="BL913" i="1"/>
  <c r="BL2348" i="1"/>
  <c r="BL1742" i="1"/>
  <c r="BL2467" i="1"/>
  <c r="BL164" i="1"/>
  <c r="BL1769" i="1"/>
  <c r="BL2019" i="1"/>
  <c r="BL1781" i="1"/>
  <c r="BL1187" i="1"/>
  <c r="BL1964" i="1"/>
  <c r="BL1766" i="1"/>
  <c r="BL2068" i="1"/>
  <c r="BL700" i="1"/>
  <c r="BL1530" i="1"/>
  <c r="BL1313" i="1"/>
  <c r="BL375" i="1"/>
  <c r="BL610" i="1"/>
  <c r="BL1264" i="1"/>
  <c r="BL1945" i="1"/>
  <c r="BL1805" i="1"/>
  <c r="BL1230" i="1"/>
  <c r="BL1616" i="1"/>
  <c r="BL821" i="1"/>
  <c r="BL1804" i="1"/>
  <c r="BL147" i="1"/>
  <c r="BL1741" i="1"/>
  <c r="BL523" i="1"/>
  <c r="BL119" i="1"/>
  <c r="BL1070" i="1"/>
  <c r="BL801" i="1"/>
  <c r="BL402" i="1"/>
  <c r="BL518" i="1"/>
  <c r="BL781" i="1"/>
  <c r="BL1985" i="1"/>
  <c r="BL2162" i="1"/>
  <c r="BL2156" i="1"/>
  <c r="AT1286" i="1"/>
  <c r="AX1286" i="1"/>
  <c r="E1226" i="1" a="1"/>
  <c r="E1226" i="1" s="1"/>
  <c r="E1274" i="1" a="1"/>
  <c r="E1274" i="1" s="1"/>
  <c r="AU2483" i="1"/>
  <c r="AU2480" i="1"/>
  <c r="AU2477" i="1"/>
  <c r="AU2474" i="1"/>
  <c r="AU2471" i="1"/>
  <c r="AU2468" i="1"/>
  <c r="AU2465" i="1"/>
  <c r="AU2462" i="1"/>
  <c r="AU2459" i="1"/>
  <c r="AU2456" i="1"/>
  <c r="AU2453" i="1"/>
  <c r="AU2450" i="1"/>
  <c r="AU2447" i="1"/>
  <c r="AU2444" i="1"/>
  <c r="AU2440" i="1"/>
  <c r="AU2437" i="1"/>
  <c r="AU2410" i="1"/>
  <c r="AU2028" i="1"/>
  <c r="AU2025" i="1"/>
  <c r="AU1204" i="1"/>
  <c r="AU1201" i="1"/>
  <c r="AU2330" i="1"/>
  <c r="AU2327" i="1"/>
  <c r="AU2324" i="1"/>
  <c r="AU2321" i="1"/>
  <c r="AU2318" i="1"/>
  <c r="AU2315" i="1"/>
  <c r="AU2312" i="1"/>
  <c r="AU2309" i="1"/>
  <c r="AU2306" i="1"/>
  <c r="AU2303" i="1"/>
  <c r="AU2300" i="1"/>
  <c r="AU2297" i="1"/>
  <c r="AU2294" i="1"/>
  <c r="AU2291" i="1"/>
  <c r="AU2170" i="1"/>
  <c r="AU2165" i="1"/>
  <c r="AU2160" i="1"/>
  <c r="AU2155" i="1"/>
  <c r="AU2150" i="1"/>
  <c r="AU2145" i="1"/>
  <c r="AU2140" i="1"/>
  <c r="AU2135" i="1"/>
  <c r="AU2130" i="1"/>
  <c r="AU2125" i="1"/>
  <c r="AU2120" i="1"/>
  <c r="AU2115" i="1"/>
  <c r="AU2110" i="1"/>
  <c r="AU2105" i="1"/>
  <c r="AU2065" i="1"/>
  <c r="AU2060" i="1"/>
  <c r="AU2398" i="1"/>
  <c r="AU2022" i="1"/>
  <c r="AU2017" i="1"/>
  <c r="AU1198" i="1"/>
  <c r="AU1193" i="1"/>
  <c r="AU1998" i="1"/>
  <c r="AU1993" i="1"/>
  <c r="AU1988" i="1"/>
  <c r="AU1983" i="1"/>
  <c r="AU1978" i="1"/>
  <c r="AU1973" i="1"/>
  <c r="AU1968" i="1"/>
  <c r="AU1963" i="1"/>
  <c r="AU1958" i="1"/>
  <c r="AU1953" i="1"/>
  <c r="AU1948" i="1"/>
  <c r="AU1943" i="1"/>
  <c r="AU1938" i="1"/>
  <c r="AU1933" i="1"/>
  <c r="AU1788" i="1"/>
  <c r="AU1782" i="1"/>
  <c r="AU1776" i="1"/>
  <c r="AU1770" i="1"/>
  <c r="AU1764" i="1"/>
  <c r="AU1758" i="1"/>
  <c r="AU1752" i="1"/>
  <c r="AU1746" i="1"/>
  <c r="AU1740" i="1"/>
  <c r="AU1734" i="1"/>
  <c r="AU1728" i="1"/>
  <c r="AU1722" i="1"/>
  <c r="AU1716" i="1"/>
  <c r="AU1710" i="1"/>
  <c r="AU1662" i="1"/>
  <c r="AU1656" i="1"/>
  <c r="AU2382" i="1"/>
  <c r="AU1643" i="1"/>
  <c r="AU1637" i="1"/>
  <c r="AU1188" i="1"/>
  <c r="AU1182" i="1"/>
  <c r="AU1575" i="1"/>
  <c r="AU1569" i="1"/>
  <c r="AU1563" i="1"/>
  <c r="AU1557" i="1"/>
  <c r="AU1551" i="1"/>
  <c r="AU1545" i="1"/>
  <c r="AU1539" i="1"/>
  <c r="AU1533" i="1"/>
  <c r="AU1527" i="1"/>
  <c r="AU1521" i="1"/>
  <c r="AU1515" i="1"/>
  <c r="AU1509" i="1"/>
  <c r="AU1503" i="1"/>
  <c r="AU1497" i="1"/>
  <c r="AU1352" i="1"/>
  <c r="AU1346" i="1"/>
  <c r="AU1340" i="1"/>
  <c r="AU1334" i="1"/>
  <c r="AU1328" i="1"/>
  <c r="AU1322" i="1"/>
  <c r="AU1316" i="1"/>
  <c r="AU1310" i="1"/>
  <c r="AU1304" i="1"/>
  <c r="AU1298" i="1"/>
  <c r="AU1292" i="1"/>
  <c r="AU1286" i="1"/>
  <c r="AU1280" i="1"/>
  <c r="AU1274" i="1"/>
  <c r="AU1226" i="1"/>
  <c r="AU1220" i="1"/>
  <c r="AU2365" i="1"/>
  <c r="AU1631" i="1"/>
  <c r="AU1625" i="1"/>
  <c r="AU1176" i="1"/>
  <c r="AU1170" i="1"/>
  <c r="AU1147" i="1"/>
  <c r="AU1141" i="1"/>
  <c r="AU1135" i="1"/>
  <c r="AU1129" i="1"/>
  <c r="AU1123" i="1"/>
  <c r="AU1117" i="1"/>
  <c r="AU1111" i="1"/>
  <c r="AU1105" i="1"/>
  <c r="AU1099" i="1"/>
  <c r="AU1093" i="1"/>
  <c r="AU1087" i="1"/>
  <c r="AU1081" i="1"/>
  <c r="AU1075" i="1"/>
  <c r="AU1069" i="1"/>
  <c r="AU804" i="1"/>
  <c r="AU793" i="1"/>
  <c r="AU782" i="1"/>
  <c r="AU771" i="1"/>
  <c r="AU760" i="1"/>
  <c r="AU749" i="1"/>
  <c r="AU738" i="1"/>
  <c r="AU727" i="1"/>
  <c r="AU716" i="1"/>
  <c r="AU705" i="1"/>
  <c r="AU694" i="1"/>
  <c r="AU683" i="1"/>
  <c r="AU672" i="1"/>
  <c r="AU661" i="1"/>
  <c r="AU573" i="1"/>
  <c r="AU562" i="1"/>
  <c r="AU2049" i="1"/>
  <c r="AU1619" i="1"/>
  <c r="AU1608" i="1"/>
  <c r="AU539" i="1"/>
  <c r="AU528" i="1"/>
  <c r="AU470" i="1"/>
  <c r="AU459" i="1"/>
  <c r="AU448" i="1"/>
  <c r="AU437" i="1"/>
  <c r="AU426" i="1"/>
  <c r="AU415" i="1"/>
  <c r="AU404" i="1"/>
  <c r="AU393" i="1"/>
  <c r="AU382" i="1"/>
  <c r="AU371" i="1"/>
  <c r="AU360" i="1"/>
  <c r="AU349" i="1"/>
  <c r="AU338" i="1"/>
  <c r="AU327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1" i="1"/>
  <c r="AU280" i="1"/>
  <c r="AU2038" i="1"/>
  <c r="AU2037" i="1"/>
  <c r="AU1597" i="1"/>
  <c r="AU1596" i="1"/>
  <c r="AU517" i="1"/>
  <c r="AU516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157" i="1"/>
  <c r="AU154" i="1"/>
  <c r="AU151" i="1"/>
  <c r="AU148" i="1"/>
  <c r="AU145" i="1"/>
  <c r="AU144" i="1"/>
  <c r="AU139" i="1"/>
  <c r="AU136" i="1"/>
  <c r="AU133" i="1"/>
  <c r="AU130" i="1"/>
  <c r="AU127" i="1"/>
  <c r="AU124" i="1"/>
  <c r="AU121" i="1"/>
  <c r="AU118" i="1"/>
  <c r="AU94" i="1"/>
  <c r="AU88" i="1"/>
  <c r="AU2036" i="1"/>
  <c r="AU2031" i="1"/>
  <c r="AU1595" i="1"/>
  <c r="AU1207" i="1"/>
  <c r="AU515" i="1"/>
  <c r="AU512" i="1"/>
  <c r="AU43" i="1"/>
  <c r="AU40" i="1"/>
  <c r="AU37" i="1"/>
  <c r="AU34" i="1"/>
  <c r="AU31" i="1"/>
  <c r="AU28" i="1"/>
  <c r="AU25" i="1"/>
  <c r="AU22" i="1"/>
  <c r="AU19" i="1"/>
  <c r="AU14" i="1"/>
  <c r="AU11" i="1"/>
  <c r="AU10" i="1"/>
  <c r="AU7" i="1"/>
  <c r="AU4" i="1"/>
  <c r="AT2516" i="1"/>
  <c r="AU2516" i="1" s="1"/>
  <c r="AT2513" i="1"/>
  <c r="AU2513" i="1" s="1"/>
  <c r="AT2510" i="1"/>
  <c r="AU2510" i="1" s="1"/>
  <c r="AT2225" i="1"/>
  <c r="AU2225" i="1" s="1"/>
  <c r="AT2220" i="1"/>
  <c r="AU2220" i="1" s="1"/>
  <c r="AT2215" i="1"/>
  <c r="AU2215" i="1" s="1"/>
  <c r="AT1854" i="1"/>
  <c r="AU1854" i="1" s="1"/>
  <c r="AT1848" i="1"/>
  <c r="AU1848" i="1" s="1"/>
  <c r="AT1842" i="1"/>
  <c r="AU1842" i="1" s="1"/>
  <c r="AT1418" i="1"/>
  <c r="AU1418" i="1" s="1"/>
  <c r="AT1412" i="1"/>
  <c r="AU1412" i="1" s="1"/>
  <c r="AT1406" i="1"/>
  <c r="AU1406" i="1" s="1"/>
  <c r="AT925" i="1"/>
  <c r="AU925" i="1" s="1"/>
  <c r="AT914" i="1"/>
  <c r="AU914" i="1" s="1"/>
  <c r="AT903" i="1"/>
  <c r="AU903" i="1" s="1"/>
  <c r="AT313" i="1"/>
  <c r="AU313" i="1" s="1"/>
  <c r="AT312" i="1"/>
  <c r="AU312" i="1" s="1"/>
  <c r="AT311" i="1"/>
  <c r="AU311" i="1" s="1"/>
  <c r="AT190" i="1"/>
  <c r="AU190" i="1" s="1"/>
  <c r="AT187" i="1"/>
  <c r="AU187" i="1" s="1"/>
  <c r="AT184" i="1"/>
  <c r="AU184" i="1" s="1"/>
  <c r="AT2507" i="1" a="1"/>
  <c r="AT2507" i="1" s="1"/>
  <c r="AU2507" i="1" s="1"/>
  <c r="AT2504" i="1" a="1"/>
  <c r="AT2504" i="1" s="1"/>
  <c r="AU2504" i="1" s="1"/>
  <c r="AT2501" i="1" a="1"/>
  <c r="AT2501" i="1" s="1"/>
  <c r="AU2501" i="1" s="1"/>
  <c r="AT2498" i="1" a="1"/>
  <c r="AT2498" i="1" s="1"/>
  <c r="AU2498" i="1" s="1"/>
  <c r="AT2495" i="1" a="1"/>
  <c r="AT2495" i="1" s="1"/>
  <c r="AU2495" i="1" s="1"/>
  <c r="AT2492" i="1" a="1"/>
  <c r="AT2492" i="1" s="1"/>
  <c r="AU2492" i="1" s="1"/>
  <c r="AT2210" i="1" a="1"/>
  <c r="AT2210" i="1" s="1"/>
  <c r="AU2210" i="1" s="1"/>
  <c r="AT2205" i="1" a="1"/>
  <c r="AT2205" i="1" s="1"/>
  <c r="AU2205" i="1" s="1"/>
  <c r="AT2200" i="1" a="1"/>
  <c r="AT2200" i="1" s="1"/>
  <c r="AU2200" i="1" s="1"/>
  <c r="AT2195" i="1" a="1"/>
  <c r="AT2195" i="1" s="1"/>
  <c r="AU2195" i="1" s="1"/>
  <c r="AT2190" i="1" a="1"/>
  <c r="AT2190" i="1" s="1"/>
  <c r="AU2190" i="1" s="1"/>
  <c r="AT2185" i="1" a="1"/>
  <c r="AT2185" i="1" s="1"/>
  <c r="AU2185" i="1" s="1"/>
  <c r="AT1836" i="1" a="1"/>
  <c r="AT1836" i="1" s="1"/>
  <c r="AU1836" i="1" s="1"/>
  <c r="AT1830" i="1" a="1"/>
  <c r="AT1830" i="1" s="1"/>
  <c r="AU1830" i="1" s="1"/>
  <c r="AT1824" i="1" a="1"/>
  <c r="AT1824" i="1" s="1"/>
  <c r="AU1824" i="1" s="1"/>
  <c r="AT1818" i="1" a="1"/>
  <c r="AT1818" i="1" s="1"/>
  <c r="AU1818" i="1" s="1"/>
  <c r="AT1812" i="1" a="1"/>
  <c r="AT1812" i="1" s="1"/>
  <c r="AU1812" i="1" s="1"/>
  <c r="AT1806" i="1" a="1"/>
  <c r="AT1806" i="1" s="1"/>
  <c r="AU1806" i="1" s="1"/>
  <c r="AT1400" i="1" a="1"/>
  <c r="AT1400" i="1" s="1"/>
  <c r="AU1400" i="1" s="1"/>
  <c r="AT1394" i="1" a="1"/>
  <c r="AT1394" i="1" s="1"/>
  <c r="AU1394" i="1" s="1"/>
  <c r="AT1388" i="1" a="1"/>
  <c r="AT1388" i="1" s="1"/>
  <c r="AU1388" i="1" s="1"/>
  <c r="AT1382" i="1" a="1"/>
  <c r="AT1382" i="1" s="1"/>
  <c r="AU1382" i="1" s="1"/>
  <c r="AT1376" i="1" a="1"/>
  <c r="AT1376" i="1" s="1"/>
  <c r="AU1376" i="1" s="1"/>
  <c r="AT1370" i="1" a="1"/>
  <c r="AT1370" i="1" s="1"/>
  <c r="AU1370" i="1" s="1"/>
  <c r="AT892" i="1" a="1"/>
  <c r="AT892" i="1" s="1"/>
  <c r="AU892" i="1" s="1"/>
  <c r="AT881" i="1" a="1"/>
  <c r="AT881" i="1" s="1"/>
  <c r="AU881" i="1" s="1"/>
  <c r="AT870" i="1" a="1"/>
  <c r="AT870" i="1" s="1"/>
  <c r="AU870" i="1" s="1"/>
  <c r="AT859" i="1" a="1"/>
  <c r="AT859" i="1" s="1"/>
  <c r="AU859" i="1" s="1"/>
  <c r="AT848" i="1" a="1"/>
  <c r="AT848" i="1" s="1"/>
  <c r="AU848" i="1" s="1"/>
  <c r="AT837" i="1" a="1"/>
  <c r="AT837" i="1" s="1"/>
  <c r="AU837" i="1" s="1"/>
  <c r="AT310" i="1" a="1"/>
  <c r="AT310" i="1" s="1"/>
  <c r="AU310" i="1" s="1"/>
  <c r="AT309" i="1" a="1"/>
  <c r="AT309" i="1" s="1"/>
  <c r="AU309" i="1" s="1"/>
  <c r="AT308" i="1" a="1"/>
  <c r="AT308" i="1" s="1"/>
  <c r="AU308" i="1" s="1"/>
  <c r="AT307" i="1" a="1"/>
  <c r="AT307" i="1" s="1"/>
  <c r="AU307" i="1" s="1"/>
  <c r="AT306" i="1" a="1"/>
  <c r="AT306" i="1" s="1"/>
  <c r="AU306" i="1" s="1"/>
  <c r="AT305" i="1" a="1"/>
  <c r="AT305" i="1" s="1"/>
  <c r="AU305" i="1" s="1"/>
  <c r="AT181" i="1" a="1"/>
  <c r="AT181" i="1" s="1"/>
  <c r="AU181" i="1" s="1"/>
  <c r="AT178" i="1" a="1"/>
  <c r="AT178" i="1" s="1"/>
  <c r="AU178" i="1" s="1"/>
  <c r="AT175" i="1" a="1"/>
  <c r="AT175" i="1" s="1"/>
  <c r="AU175" i="1" s="1"/>
  <c r="AT172" i="1" a="1"/>
  <c r="AT172" i="1" s="1"/>
  <c r="AU172" i="1" s="1"/>
  <c r="AT169" i="1" a="1"/>
  <c r="AT169" i="1" s="1"/>
  <c r="AU169" i="1" s="1"/>
  <c r="BL2099" i="1" a="1"/>
  <c r="BL2383" i="1" a="1"/>
  <c r="BL1085" i="1" a="1"/>
  <c r="BL424" i="1" a="1"/>
  <c r="BL379" i="1" a="1"/>
  <c r="BL30" i="1" a="1"/>
  <c r="BL1155" i="1" a="1"/>
  <c r="BL16" i="1" a="1"/>
  <c r="BL1144" i="1" a="1"/>
  <c r="BL1119" i="1" a="1"/>
  <c r="BL777" i="1" a="1"/>
  <c r="BL118" i="1" a="1"/>
  <c r="BL520" i="1" a="1"/>
  <c r="BL723" i="1" a="1"/>
  <c r="BL1166" i="1" a="1"/>
  <c r="G12" i="7" l="1"/>
  <c r="I12" i="7" s="1"/>
  <c r="BL424" i="1"/>
  <c r="BL2383" i="1"/>
  <c r="BL1144" i="1"/>
  <c r="BL1155" i="1"/>
  <c r="BL30" i="1"/>
  <c r="BL723" i="1"/>
  <c r="BL1166" i="1"/>
  <c r="BL16" i="1"/>
  <c r="BL118" i="1"/>
  <c r="BL379" i="1"/>
  <c r="BL520" i="1"/>
  <c r="BL1119" i="1"/>
  <c r="BL777" i="1"/>
  <c r="BL2099" i="1"/>
  <c r="BL1085" i="1"/>
  <c r="E1286" i="1" a="1"/>
  <c r="E1286" i="1" s="1"/>
  <c r="G11" i="7" s="1"/>
  <c r="C36" i="2"/>
  <c r="C35" i="2"/>
  <c r="C20" i="2"/>
  <c r="C19" i="2"/>
  <c r="C18" i="2"/>
  <c r="AT2440" i="1"/>
  <c r="AT1226" i="1"/>
  <c r="AT573" i="1"/>
  <c r="AT281" i="1"/>
  <c r="AT94" i="1"/>
  <c r="BM2306" i="1" a="1"/>
  <c r="BM2306" i="1" s="1"/>
  <c r="BJ2306" i="1" s="1" a="1"/>
  <c r="BJ2306" i="1" s="1"/>
  <c r="BM1958" i="1" a="1"/>
  <c r="BM1958" i="1" s="1"/>
  <c r="BJ1958" i="1" s="1" a="1"/>
  <c r="BJ1958" i="1" s="1"/>
  <c r="BM11" i="1" a="1"/>
  <c r="BM11" i="1" s="1"/>
  <c r="BJ11" i="1" s="1" a="1"/>
  <c r="BJ11" i="1" s="1"/>
  <c r="BL814" i="1" a="1"/>
  <c r="BL2298" i="1" a="1"/>
  <c r="BL150" i="1" a="1"/>
  <c r="BL1082" i="1" a="1"/>
  <c r="BL135" i="1" a="1"/>
  <c r="BL809" i="1" a="1"/>
  <c r="BL1145" i="1" a="1"/>
  <c r="BL834" i="1" a="1"/>
  <c r="BL1108" i="1" a="1"/>
  <c r="BL2487" i="1" a="1"/>
  <c r="BL1229" i="1" a="1"/>
  <c r="BL1611" i="1" a="1"/>
  <c r="BL1525" i="1" a="1"/>
  <c r="BL1245" i="1" a="1"/>
  <c r="BL835" i="1" a="1"/>
  <c r="BL1535" i="1" a="1"/>
  <c r="BL832" i="1" a="1"/>
  <c r="BL159" i="1" a="1"/>
  <c r="BL1409" i="1" a="1"/>
  <c r="BL767" i="1" a="1"/>
  <c r="BL1305" i="1" a="1"/>
  <c r="BL275" i="1" a="1"/>
  <c r="BL390" i="1" a="1"/>
  <c r="BL1524" i="1" a="1"/>
  <c r="BL1523" i="1" a="1"/>
  <c r="BL2152" i="1" a="1"/>
  <c r="BL831" i="1" a="1"/>
  <c r="BL1175" i="1" a="1"/>
  <c r="BL1732" i="1" a="1"/>
  <c r="BL1627" i="1" a="1"/>
  <c r="BL2341" i="1" a="1"/>
  <c r="BL2387" i="1" a="1"/>
  <c r="BL826" i="1" a="1"/>
  <c r="BL1084" i="1" a="1"/>
  <c r="BL1771" i="1" a="1"/>
  <c r="BL2134" i="1" a="1"/>
  <c r="BL2217" i="1" a="1"/>
  <c r="BL465" i="1" a="1"/>
  <c r="BL745" i="1" a="1"/>
  <c r="BL811" i="1" a="1"/>
  <c r="BL833" i="1" a="1"/>
  <c r="BL2006" i="1" a="1"/>
  <c r="BL2151" i="1" a="1"/>
  <c r="BL737" i="1" a="1"/>
  <c r="BL1172" i="1" a="1"/>
  <c r="BL1799" i="1" a="1"/>
  <c r="BL462" i="1" a="1"/>
  <c r="BL416" i="1" a="1"/>
  <c r="BL1354" i="1" a="1"/>
  <c r="BL1799" i="1" l="1"/>
  <c r="BL465" i="1"/>
  <c r="BL1611" i="1"/>
  <c r="BL2341" i="1"/>
  <c r="BL737" i="1"/>
  <c r="BL832" i="1"/>
  <c r="BL814" i="1"/>
  <c r="BL416" i="1"/>
  <c r="BL462" i="1"/>
  <c r="BL2387" i="1"/>
  <c r="BL1535" i="1"/>
  <c r="BL2151" i="1"/>
  <c r="BL275" i="1"/>
  <c r="BL835" i="1"/>
  <c r="BL2006" i="1"/>
  <c r="BL1175" i="1"/>
  <c r="BL2487" i="1"/>
  <c r="BL826" i="1"/>
  <c r="BL1245" i="1"/>
  <c r="BL150" i="1"/>
  <c r="BL1084" i="1"/>
  <c r="BL1145" i="1"/>
  <c r="BL831" i="1"/>
  <c r="BL1523" i="1"/>
  <c r="BL745" i="1"/>
  <c r="BL1732" i="1"/>
  <c r="BL2298" i="1"/>
  <c r="BL1172" i="1"/>
  <c r="BL2217" i="1"/>
  <c r="BL1229" i="1"/>
  <c r="BL1771" i="1"/>
  <c r="BL1354" i="1"/>
  <c r="BL2134" i="1"/>
  <c r="BL767" i="1"/>
  <c r="BL809" i="1"/>
  <c r="BL1524" i="1"/>
  <c r="BL1409" i="1"/>
  <c r="BL135" i="1"/>
  <c r="BL834" i="1"/>
  <c r="BL833" i="1"/>
  <c r="BL1108" i="1"/>
  <c r="BL1082" i="1"/>
  <c r="BL1627" i="1"/>
  <c r="BL159" i="1"/>
  <c r="BL1525" i="1"/>
  <c r="BL811" i="1"/>
  <c r="BL1305" i="1"/>
  <c r="BL390" i="1"/>
  <c r="BL2152" i="1"/>
  <c r="I11" i="7"/>
  <c r="G15" i="7"/>
  <c r="I15" i="7" s="1"/>
  <c r="BM1662" i="1" a="1"/>
  <c r="BM1662" i="1" s="1"/>
  <c r="BJ1662" i="1" s="1" a="1"/>
  <c r="BJ1662" i="1" s="1"/>
  <c r="AT1662" i="1"/>
  <c r="BM2065" i="1" a="1"/>
  <c r="BM2065" i="1" s="1"/>
  <c r="BJ2065" i="1" s="1" a="1"/>
  <c r="BJ2065" i="1" s="1"/>
  <c r="AT2065" i="1"/>
  <c r="BM4" i="1" a="1"/>
  <c r="BM4" i="1" s="1"/>
  <c r="BJ4" i="1" s="1" a="1"/>
  <c r="BJ4" i="1" s="1"/>
  <c r="AT4" i="1"/>
  <c r="C42" i="2"/>
  <c r="C41" i="2"/>
  <c r="D41" i="2" s="1"/>
  <c r="AW2734" i="1"/>
  <c r="BK2734" i="1" s="1" a="1"/>
  <c r="BK2734" i="1" s="1"/>
  <c r="AW1002" i="1"/>
  <c r="BK1002" i="1" s="1" a="1"/>
  <c r="BK1002" i="1" s="1"/>
  <c r="AW2676" i="1"/>
  <c r="BK2676" i="1" s="1" a="1"/>
  <c r="BK2676" i="1" s="1"/>
  <c r="AW2675" i="1"/>
  <c r="BK2675" i="1" s="1" a="1"/>
  <c r="BK2675" i="1" s="1"/>
  <c r="BL1800" i="1" a="1"/>
  <c r="BL36" i="1" a="1"/>
  <c r="BL1266" i="1" a="1"/>
  <c r="BL733" i="1" a="1"/>
  <c r="BL743" i="1" a="1"/>
  <c r="BL331" i="1" a="1"/>
  <c r="BL423" i="1" a="1"/>
  <c r="BL2" i="1" a="1"/>
  <c r="BL2177" i="1" a="1"/>
  <c r="BL2020" i="1" a="1"/>
  <c r="BL725" i="1" a="1"/>
  <c r="BL481" i="1" a="1"/>
  <c r="BL2401" i="1" a="1"/>
  <c r="BL1336" i="1" a="1"/>
  <c r="BL2385" i="1" a="1"/>
  <c r="BL792" i="1" a="1"/>
  <c r="BL2179" i="1" a="1"/>
  <c r="BL696" i="1" a="1"/>
  <c r="BL1582" i="1" a="1"/>
  <c r="BL1278" i="1" a="1"/>
  <c r="BL1345" i="1" a="1"/>
  <c r="BL1227" i="1" a="1"/>
  <c r="BL469" i="1" a="1"/>
  <c r="BL1641" i="1" a="1"/>
  <c r="BL775" i="1" a="1"/>
  <c r="BL1410" i="1" a="1"/>
  <c r="BL2141" i="1" a="1"/>
  <c r="BL794" i="1" a="1"/>
  <c r="BL334" i="1" a="1"/>
  <c r="BL2084" i="1" a="1"/>
  <c r="BL2083" i="1" a="1"/>
  <c r="BL1183" i="1" a="1"/>
  <c r="BL261" i="1" a="1"/>
  <c r="BL1353" i="1" a="1"/>
  <c r="BL641" i="1" a="1"/>
  <c r="BL1536" i="1" a="1"/>
  <c r="BL646" i="1" a="1"/>
  <c r="BL2004" i="1" a="1"/>
  <c r="BL399" i="1" a="1"/>
  <c r="BL377" i="1" a="1"/>
  <c r="BL535" i="1" a="1"/>
  <c r="BL904" i="1" a="1"/>
  <c r="BL397" i="1" a="1"/>
  <c r="BL736" i="1" a="1"/>
  <c r="BL719" i="1" a="1"/>
  <c r="BL662" i="1" a="1"/>
  <c r="BL2347" i="1" a="1"/>
  <c r="BL161" i="1" a="1"/>
  <c r="BL249" i="1" a="1"/>
  <c r="BL640" i="1" a="1"/>
  <c r="BL1227" i="1" l="1"/>
  <c r="BL36" i="1"/>
  <c r="BL2020" i="1"/>
  <c r="BL2004" i="1"/>
  <c r="BL249" i="1"/>
  <c r="BL2" i="1"/>
  <c r="BL725" i="1"/>
  <c r="BL2385" i="1"/>
  <c r="BL1278" i="1"/>
  <c r="BL646" i="1"/>
  <c r="BL1183" i="1"/>
  <c r="BL2347" i="1"/>
  <c r="BL641" i="1"/>
  <c r="BL399" i="1"/>
  <c r="BL733" i="1"/>
  <c r="BL2177" i="1"/>
  <c r="BL2083" i="1"/>
  <c r="BL1410" i="1"/>
  <c r="BL719" i="1"/>
  <c r="BL2179" i="1"/>
  <c r="BL696" i="1"/>
  <c r="BL161" i="1"/>
  <c r="BL662" i="1"/>
  <c r="BL1536" i="1"/>
  <c r="BL2084" i="1"/>
  <c r="BL1800" i="1"/>
  <c r="BL2401" i="1"/>
  <c r="BL261" i="1"/>
  <c r="BL423" i="1"/>
  <c r="BL334" i="1"/>
  <c r="BL904" i="1"/>
  <c r="BL397" i="1"/>
  <c r="BL469" i="1"/>
  <c r="BL1336" i="1"/>
  <c r="BL1266" i="1"/>
  <c r="BL640" i="1"/>
  <c r="BL331" i="1"/>
  <c r="BL775" i="1"/>
  <c r="BL2141" i="1"/>
  <c r="BL792" i="1"/>
  <c r="BL743" i="1"/>
  <c r="BL481" i="1"/>
  <c r="BL1582" i="1"/>
  <c r="BL1345" i="1"/>
  <c r="BL1353" i="1"/>
  <c r="BL377" i="1"/>
  <c r="BL794" i="1"/>
  <c r="BL1641" i="1"/>
  <c r="BL736" i="1"/>
  <c r="BL535" i="1"/>
  <c r="BM2734" i="1" a="1"/>
  <c r="BM2734" i="1" s="1"/>
  <c r="BM2675" i="1" a="1"/>
  <c r="BM2675" i="1" s="1"/>
  <c r="BM2676" i="1" a="1"/>
  <c r="BM2676" i="1" s="1"/>
  <c r="BM1002" i="1" a="1"/>
  <c r="BM1002" i="1" s="1"/>
  <c r="BI2734" i="1" a="1"/>
  <c r="BI2734" i="1" s="1"/>
  <c r="BN2734" i="1" a="1"/>
  <c r="BN2734" i="1" s="1"/>
  <c r="BN1002" i="1" a="1"/>
  <c r="BN1002" i="1" s="1"/>
  <c r="BI2675" i="1" a="1"/>
  <c r="BI2675" i="1" s="1"/>
  <c r="BI2676" i="1" a="1"/>
  <c r="BI2676" i="1" s="1"/>
  <c r="BN2675" i="1" a="1"/>
  <c r="BN2675" i="1" s="1"/>
  <c r="BI1002" i="1" a="1"/>
  <c r="BI1002" i="1" s="1"/>
  <c r="BN2676" i="1" a="1"/>
  <c r="BN2676" i="1" s="1"/>
  <c r="AW2670" i="1"/>
  <c r="BK2670" i="1" s="1" a="1"/>
  <c r="BK2670" i="1" s="1"/>
  <c r="BK2634" i="1" a="1"/>
  <c r="BK2634" i="1" s="1"/>
  <c r="BK2598" i="1" a="1"/>
  <c r="BK2598" i="1" s="1"/>
  <c r="AW2597" i="1"/>
  <c r="BK2597" i="1" s="1" a="1"/>
  <c r="BK2597" i="1" s="1"/>
  <c r="BK2596" i="1" a="1"/>
  <c r="BK2596" i="1" s="1"/>
  <c r="BK2595" i="1" a="1"/>
  <c r="BK2595" i="1" s="1"/>
  <c r="BK2594" i="1" a="1"/>
  <c r="BK2594" i="1" s="1"/>
  <c r="BK2557" i="1" a="1"/>
  <c r="BK2557" i="1" s="1"/>
  <c r="BL1367" i="1" a="1"/>
  <c r="BL1844" i="1" a="1"/>
  <c r="BL1349" i="1" a="1"/>
  <c r="BL128" i="1" a="1"/>
  <c r="BL827" i="1" a="1"/>
  <c r="BL29" i="1" a="1"/>
  <c r="BL68" i="1" a="1"/>
  <c r="BL789" i="1" a="1"/>
  <c r="BL734" i="1" a="1"/>
  <c r="BL1777" i="1" a="1"/>
  <c r="BL1165" i="1" a="1"/>
  <c r="BL53" i="1" a="1"/>
  <c r="BL1617" i="1" a="1"/>
  <c r="BL420" i="1" a="1"/>
  <c r="BL665" i="1" a="1"/>
  <c r="BL1585" i="1" a="1"/>
  <c r="BL1796" i="1" a="1"/>
  <c r="BL153" i="1" a="1"/>
  <c r="BL527" i="1" a="1"/>
  <c r="BL1772" i="1" a="1"/>
  <c r="BL1711" i="1" a="1"/>
  <c r="BL796" i="1" a="1"/>
  <c r="BL1793" i="1" a="1"/>
  <c r="BL1502" i="1" a="1"/>
  <c r="BL160" i="1" a="1"/>
  <c r="BL1314" i="1" a="1"/>
  <c r="BL2367" i="1" a="1"/>
  <c r="BL769" i="1" a="1"/>
  <c r="BL1318" i="1" a="1"/>
  <c r="BL582" i="1" a="1"/>
  <c r="BL1934" i="1" a="1"/>
  <c r="BL1614" i="1" a="1"/>
  <c r="BL803" i="1" a="1"/>
  <c r="BL2157" i="1" a="1"/>
  <c r="BL818" i="1" a="1"/>
  <c r="BL536" i="1" a="1"/>
  <c r="BL1365" i="1" a="1"/>
  <c r="BL1265" i="1" a="1"/>
  <c r="BL1363" i="1" a="1"/>
  <c r="BL1277" i="1" a="1"/>
  <c r="BL2098" i="1" a="1"/>
  <c r="BL1630" i="1" a="1"/>
  <c r="BL1317" i="1" a="1"/>
  <c r="BL538" i="1" a="1"/>
  <c r="BL1534" i="1" a="1"/>
  <c r="BL1102" i="1" a="1"/>
  <c r="BL421" i="1" a="1"/>
  <c r="BL447" i="1" a="1"/>
  <c r="BL1547" i="1" a="1"/>
  <c r="BL778" i="1" a="1"/>
  <c r="BL575" i="1" a="1"/>
  <c r="BL284" i="1" a="1"/>
  <c r="BL1510" i="1" a="1"/>
  <c r="BL1522" i="1" a="1"/>
  <c r="BL788" i="1" a="1"/>
  <c r="BL461" i="1" a="1"/>
  <c r="BL1320" i="1" a="1"/>
  <c r="BL1798" i="1" a="1"/>
  <c r="BL799" i="1" a="1"/>
  <c r="BL1785" i="1" a="1"/>
  <c r="BL1342" i="1" a="1"/>
  <c r="BL906" i="1" a="1"/>
  <c r="BL774" i="1" a="1"/>
  <c r="BL720" i="1" a="1"/>
  <c r="BL186" i="1" a="1"/>
  <c r="BL59" i="1" a="1"/>
  <c r="BL772" i="1" a="1"/>
  <c r="BL2021" i="1" a="1"/>
  <c r="BL1360" i="1" a="1"/>
  <c r="BL2159" i="1" a="1"/>
  <c r="BL120" i="1" a="1"/>
  <c r="BL732" i="1" a="1"/>
  <c r="BL417" i="1" a="1"/>
  <c r="BL773" i="1" a="1"/>
  <c r="BL1538" i="1" a="1"/>
  <c r="BL1100" i="1" a="1"/>
  <c r="BL1499" i="1" a="1"/>
  <c r="BL522" i="1" a="1"/>
  <c r="BL1096" i="1" a="1"/>
  <c r="BL1783" i="1" a="1"/>
  <c r="BL1936" i="1" a="1"/>
  <c r="BL1753" i="1" a="1"/>
  <c r="BL376" i="1" a="1"/>
  <c r="BL1615" i="1" a="1"/>
  <c r="BL466" i="1" a="1"/>
  <c r="BL1262" i="1" a="1"/>
  <c r="BL2342" i="1" a="1"/>
  <c r="BL330" i="1" a="1"/>
  <c r="BL1974" i="1" a="1"/>
  <c r="BL1629" i="1" a="1"/>
  <c r="BL1947" i="1" a="1"/>
  <c r="BL355" i="1" a="1"/>
  <c r="BL825" i="1" a="1"/>
  <c r="BL487" i="1" a="1"/>
  <c r="BL48" i="1" a="1"/>
  <c r="BL1184" i="1" a="1"/>
  <c r="BL2386" i="1" a="1"/>
  <c r="BL1846" i="1" a="1"/>
  <c r="BL2182" i="1" a="1"/>
  <c r="BL353" i="1" a="1"/>
  <c r="BL134" i="1" a="1"/>
  <c r="BL1976" i="1" a="1"/>
  <c r="BL797" i="1" a="1"/>
  <c r="BL114" i="1" a="1"/>
  <c r="BL1094" i="1" a="1"/>
  <c r="BL1684" i="1" a="1"/>
  <c r="BL1356" i="1" a="1"/>
  <c r="BL1549" i="1" a="1"/>
  <c r="BL1528" i="1" a="1"/>
  <c r="BL1966" i="1" a="1"/>
  <c r="BL54" i="1" a="1"/>
  <c r="BL1548" i="1" a="1"/>
  <c r="BL2143" i="1" a="1"/>
  <c r="BL63" i="1" a="1"/>
  <c r="BL2219" i="1" a="1"/>
  <c r="BL1097" i="1" a="1"/>
  <c r="BL1118" i="1" a="1"/>
  <c r="BL784" i="1" a="1"/>
  <c r="BL1784" i="1" a="1"/>
  <c r="BL2081" i="1" a="1"/>
  <c r="BL1296" i="1" a="1"/>
  <c r="BL2139" i="1" a="1"/>
  <c r="BL513" i="1" a="1"/>
  <c r="BL162" i="1" a="1"/>
  <c r="BL1680" i="1" a="1"/>
  <c r="BL532" i="1" a="1"/>
  <c r="BL667" i="1" a="1"/>
  <c r="BL467" i="1" a="1"/>
  <c r="BL2460" i="1" a="1"/>
  <c r="BL1715" i="1" a="1"/>
  <c r="BL514" i="1" a="1"/>
  <c r="BL394" i="1" a="1"/>
  <c r="BL666" i="1" a="1"/>
  <c r="BL48" i="1" l="1"/>
  <c r="BL1342" i="1"/>
  <c r="BL1777" i="1"/>
  <c r="BL1349" i="1"/>
  <c r="BL1277" i="1"/>
  <c r="BL720" i="1"/>
  <c r="BL1367" i="1"/>
  <c r="BL417" i="1"/>
  <c r="BL1753" i="1"/>
  <c r="BL665" i="1"/>
  <c r="BL1947" i="1"/>
  <c r="BL2182" i="1"/>
  <c r="BL803" i="1"/>
  <c r="BL1974" i="1"/>
  <c r="BL2386" i="1"/>
  <c r="BL1934" i="1"/>
  <c r="BL2342" i="1"/>
  <c r="BL773" i="1"/>
  <c r="BL421" i="1"/>
  <c r="BL789" i="1"/>
  <c r="BL667" i="1"/>
  <c r="BL1976" i="1"/>
  <c r="BL1314" i="1"/>
  <c r="BL1680" i="1"/>
  <c r="BL784" i="1"/>
  <c r="BL1630" i="1"/>
  <c r="BL1365" i="1"/>
  <c r="BL461" i="1"/>
  <c r="BL1265" i="1"/>
  <c r="BL1534" i="1"/>
  <c r="BL54" i="1"/>
  <c r="BL1522" i="1"/>
  <c r="BL906" i="1"/>
  <c r="BL1772" i="1"/>
  <c r="BL120" i="1"/>
  <c r="BL1783" i="1"/>
  <c r="BL1617" i="1"/>
  <c r="BL1360" i="1"/>
  <c r="BL522" i="1"/>
  <c r="BL1165" i="1"/>
  <c r="BL466" i="1"/>
  <c r="BL355" i="1"/>
  <c r="BL1318" i="1"/>
  <c r="BL527" i="1"/>
  <c r="BL1528" i="1"/>
  <c r="BL376" i="1"/>
  <c r="BL29" i="1"/>
  <c r="BL1356" i="1"/>
  <c r="BL353" i="1"/>
  <c r="BL1502" i="1"/>
  <c r="BL513" i="1"/>
  <c r="BL1097" i="1"/>
  <c r="BL796" i="1"/>
  <c r="BL2367" i="1"/>
  <c r="BL63" i="1"/>
  <c r="BL153" i="1"/>
  <c r="BL1317" i="1"/>
  <c r="BL467" i="1"/>
  <c r="BL284" i="1"/>
  <c r="BL1785" i="1"/>
  <c r="BL2143" i="1"/>
  <c r="BL778" i="1"/>
  <c r="BL1798" i="1"/>
  <c r="BL825" i="1"/>
  <c r="BL827" i="1"/>
  <c r="BL134" i="1"/>
  <c r="BL1548" i="1"/>
  <c r="BL1100" i="1"/>
  <c r="BL1585" i="1"/>
  <c r="BL1629" i="1"/>
  <c r="BL1262" i="1"/>
  <c r="BL1094" i="1"/>
  <c r="BL582" i="1"/>
  <c r="BL1102" i="1"/>
  <c r="BL2460" i="1"/>
  <c r="BL2157" i="1"/>
  <c r="BL1684" i="1"/>
  <c r="BL538" i="1"/>
  <c r="BL68" i="1"/>
  <c r="BL162" i="1"/>
  <c r="BL1320" i="1"/>
  <c r="BL734" i="1"/>
  <c r="BL2219" i="1"/>
  <c r="BL186" i="1"/>
  <c r="BL330" i="1"/>
  <c r="BL797" i="1"/>
  <c r="BL487" i="1"/>
  <c r="BL2139" i="1"/>
  <c r="BL1711" i="1"/>
  <c r="BL59" i="1"/>
  <c r="BL1549" i="1"/>
  <c r="BL1510" i="1"/>
  <c r="BL666" i="1"/>
  <c r="BL1363" i="1"/>
  <c r="BL788" i="1"/>
  <c r="BL818" i="1"/>
  <c r="BL532" i="1"/>
  <c r="BL1796" i="1"/>
  <c r="BL1296" i="1"/>
  <c r="BL769" i="1"/>
  <c r="BL420" i="1"/>
  <c r="BL732" i="1"/>
  <c r="BL514" i="1"/>
  <c r="BL2098" i="1"/>
  <c r="BL1846" i="1"/>
  <c r="BL772" i="1"/>
  <c r="BL575" i="1"/>
  <c r="BL1715" i="1"/>
  <c r="BL53" i="1"/>
  <c r="BL160" i="1"/>
  <c r="BL1547" i="1"/>
  <c r="BL1118" i="1"/>
  <c r="BL2081" i="1"/>
  <c r="BL536" i="1"/>
  <c r="BL1784" i="1"/>
  <c r="BL128" i="1"/>
  <c r="BL2021" i="1"/>
  <c r="BL1936" i="1"/>
  <c r="BL774" i="1"/>
  <c r="BL1184" i="1"/>
  <c r="BL1538" i="1"/>
  <c r="BL447" i="1"/>
  <c r="BL1499" i="1"/>
  <c r="BL1844" i="1"/>
  <c r="BL1793" i="1"/>
  <c r="BL799" i="1"/>
  <c r="BL394" i="1"/>
  <c r="BL1615" i="1"/>
  <c r="BL1614" i="1"/>
  <c r="BL114" i="1"/>
  <c r="BL2159" i="1"/>
  <c r="BL1096" i="1"/>
  <c r="BL1966" i="1"/>
  <c r="BJ2675" i="1" a="1"/>
  <c r="BJ2675" i="1" s="1"/>
  <c r="BL2675" i="1" a="1"/>
  <c r="BL2675" i="1" s="1"/>
  <c r="BM2595" i="1" a="1"/>
  <c r="BM2595" i="1" s="1"/>
  <c r="BM2593" i="1" a="1"/>
  <c r="BM2593" i="1" s="1"/>
  <c r="BM2596" i="1" a="1"/>
  <c r="BM2596" i="1" s="1"/>
  <c r="BJ2734" i="1" a="1"/>
  <c r="BJ2734" i="1" s="1"/>
  <c r="BL2734" i="1" a="1"/>
  <c r="BL2734" i="1" s="1"/>
  <c r="BM2597" i="1" a="1"/>
  <c r="BM2597" i="1" s="1"/>
  <c r="BM2594" i="1" a="1"/>
  <c r="BM2594" i="1" s="1"/>
  <c r="BM2598" i="1" a="1"/>
  <c r="BM2598" i="1" s="1"/>
  <c r="BJ1002" i="1" a="1"/>
  <c r="BJ1002" i="1" s="1"/>
  <c r="BL1002" i="1" a="1"/>
  <c r="BL1002" i="1" s="1"/>
  <c r="BM2634" i="1" a="1"/>
  <c r="BM2634" i="1" s="1"/>
  <c r="BM2557" i="1" a="1"/>
  <c r="BM2557" i="1" s="1"/>
  <c r="BM2670" i="1" a="1"/>
  <c r="BM2670" i="1" s="1"/>
  <c r="BJ2676" i="1" a="1"/>
  <c r="BJ2676" i="1" s="1"/>
  <c r="BL2676" i="1" a="1"/>
  <c r="BL2676" i="1" s="1"/>
  <c r="AW2669" i="1"/>
  <c r="BK2669" i="1" s="1" a="1"/>
  <c r="BK2669" i="1" s="1"/>
  <c r="BK2633" i="1" a="1"/>
  <c r="BK2633" i="1" s="1"/>
  <c r="BK2592" i="1" a="1"/>
  <c r="BK2592" i="1" s="1"/>
  <c r="BK2555" i="1" a="1"/>
  <c r="BK2555" i="1" s="1"/>
  <c r="AW2549" i="1"/>
  <c r="BK2549" i="1" s="1" a="1"/>
  <c r="BK2549" i="1" s="1"/>
  <c r="BK2552" i="1" a="1"/>
  <c r="BK2552" i="1" s="1"/>
  <c r="BK2546" i="1" a="1"/>
  <c r="BK2546" i="1" s="1"/>
  <c r="BK2543" i="1" a="1"/>
  <c r="BK2543" i="1" s="1"/>
  <c r="BK2540" i="1" a="1"/>
  <c r="BK2540" i="1" s="1"/>
  <c r="BL271" i="1" a="1"/>
  <c r="BL1321" i="1" a="1"/>
  <c r="BL2175" i="1" a="1"/>
  <c r="BL718" i="1" a="1"/>
  <c r="BL2167" i="1" a="1"/>
  <c r="BL613" i="1" a="1"/>
  <c r="BL1194" i="1" a="1"/>
  <c r="BL468" i="1" a="1"/>
  <c r="BL2180" i="1" a="1"/>
  <c r="BL763" i="1" a="1"/>
  <c r="BL1350" i="1" a="1"/>
  <c r="BL1171" i="1" a="1"/>
  <c r="BL1369" i="1" a="1"/>
  <c r="BL1332" i="1" a="1"/>
  <c r="BL41" i="1" a="1"/>
  <c r="BL2339" i="1" a="1"/>
  <c r="BL1101" i="1" a="1"/>
  <c r="BL639" i="1" a="1"/>
  <c r="BL1685" i="1" a="1"/>
  <c r="BL1308" i="1" a="1"/>
  <c r="BL1698" i="1" a="1"/>
  <c r="BL785" i="1" a="1"/>
  <c r="BL806" i="1" a="1"/>
  <c r="BL2399" i="1" a="1"/>
  <c r="BL766" i="1" a="1"/>
  <c r="BL1311" i="1" a="1"/>
  <c r="BL1962" i="1" a="1"/>
  <c r="BL613" i="1" l="1"/>
  <c r="BL2180" i="1"/>
  <c r="BL1350" i="1"/>
  <c r="BL785" i="1"/>
  <c r="BL1101" i="1"/>
  <c r="BL718" i="1"/>
  <c r="BL41" i="1"/>
  <c r="BL1332" i="1"/>
  <c r="BL1685" i="1"/>
  <c r="BL271" i="1"/>
  <c r="BL2339" i="1"/>
  <c r="BL1962" i="1"/>
  <c r="BL1321" i="1"/>
  <c r="BL1171" i="1"/>
  <c r="BL1308" i="1"/>
  <c r="BL1311" i="1"/>
  <c r="BL766" i="1"/>
  <c r="BL2399" i="1"/>
  <c r="BL2175" i="1"/>
  <c r="BL2167" i="1"/>
  <c r="BL468" i="1"/>
  <c r="BL1369" i="1"/>
  <c r="BL1194" i="1"/>
  <c r="BL639" i="1"/>
  <c r="BL806" i="1"/>
  <c r="BL763" i="1"/>
  <c r="BL1698" i="1"/>
  <c r="BJ2598" i="1" a="1"/>
  <c r="BJ2598" i="1" s="1"/>
  <c r="BL2598" i="1" a="1"/>
  <c r="BL2598" i="1" s="1"/>
  <c r="BM2552" i="1" a="1"/>
  <c r="BM2552" i="1" s="1"/>
  <c r="BJ2634" i="1" a="1"/>
  <c r="BJ2634" i="1" s="1"/>
  <c r="BL2634" i="1" a="1"/>
  <c r="BL2634" i="1" s="1"/>
  <c r="BJ2596" i="1" a="1"/>
  <c r="BJ2596" i="1" s="1"/>
  <c r="BL2596" i="1" a="1"/>
  <c r="BL2596" i="1" s="1"/>
  <c r="BM2555" i="1" a="1"/>
  <c r="BM2555" i="1" s="1"/>
  <c r="BJ2670" i="1" a="1"/>
  <c r="BJ2670" i="1" s="1"/>
  <c r="BL2670" i="1" a="1"/>
  <c r="BL2670" i="1" s="1"/>
  <c r="BJ2597" i="1" a="1"/>
  <c r="BJ2597" i="1" s="1"/>
  <c r="BL2597" i="1" a="1"/>
  <c r="BL2597" i="1" s="1"/>
  <c r="BJ2593" i="1" a="1"/>
  <c r="BJ2593" i="1" s="1"/>
  <c r="BL2593" i="1" a="1"/>
  <c r="BL2593" i="1" s="1"/>
  <c r="BJ2594" i="1" a="1"/>
  <c r="BJ2594" i="1" s="1"/>
  <c r="BL2594" i="1" a="1"/>
  <c r="BL2594" i="1" s="1"/>
  <c r="BM2592" i="1" a="1"/>
  <c r="BM2592" i="1" s="1"/>
  <c r="BM2633" i="1" a="1"/>
  <c r="BM2633" i="1" s="1"/>
  <c r="BJ2557" i="1" a="1"/>
  <c r="BJ2557" i="1" s="1"/>
  <c r="BL2557" i="1" a="1"/>
  <c r="BL2557" i="1" s="1"/>
  <c r="BJ2595" i="1" a="1"/>
  <c r="BJ2595" i="1" s="1"/>
  <c r="BL2595" i="1" a="1"/>
  <c r="BL2595" i="1" s="1"/>
  <c r="BM2546" i="1" a="1"/>
  <c r="BM2546" i="1" s="1"/>
  <c r="BM2549" i="1" a="1"/>
  <c r="BM2549" i="1" s="1"/>
  <c r="BM2540" i="1" a="1"/>
  <c r="BM2540" i="1" s="1"/>
  <c r="BM2669" i="1" a="1"/>
  <c r="BM2669" i="1" s="1"/>
  <c r="BM2543" i="1" a="1"/>
  <c r="BM2543" i="1" s="1"/>
  <c r="AW2666" i="1"/>
  <c r="BK2666" i="1" s="1" a="1"/>
  <c r="BK2666" i="1" s="1"/>
  <c r="BK2630" i="1" a="1"/>
  <c r="BK2630" i="1" s="1"/>
  <c r="BK2589" i="1" a="1"/>
  <c r="BK2589" i="1" s="1"/>
  <c r="BK2290" i="1" a="1"/>
  <c r="BK2290" i="1" s="1"/>
  <c r="AW2285" i="1"/>
  <c r="BK2285" i="1" s="1" a="1"/>
  <c r="BK2285" i="1" s="1"/>
  <c r="BK2280" i="1" a="1"/>
  <c r="BK2280" i="1" s="1"/>
  <c r="BK2270" i="1" a="1"/>
  <c r="BK2270" i="1" s="1"/>
  <c r="BK2265" i="1" a="1"/>
  <c r="BK2265" i="1" s="1"/>
  <c r="BL1803" i="1" a="1"/>
  <c r="BL1156" i="1" a="1"/>
  <c r="BL1297" i="1" a="1"/>
  <c r="BL112" i="1" a="1"/>
  <c r="BL2158" i="1" a="1"/>
  <c r="BL486" i="1" a="1"/>
  <c r="BL744" i="1" a="1"/>
  <c r="BL509" i="1" a="1"/>
  <c r="BL1083" i="1" a="1"/>
  <c r="BL531" i="1" a="1"/>
  <c r="BL259" i="1" a="1"/>
  <c r="BL156" i="1" a="1"/>
  <c r="BL829" i="1" a="1"/>
  <c r="BL1351" i="1" a="1"/>
  <c r="BL669" i="1" a="1"/>
  <c r="BL740" i="1" a="1"/>
  <c r="BL2486" i="1" a="1"/>
  <c r="BL746" i="1" a="1"/>
  <c r="BL374" i="1" a="1"/>
  <c r="BL808" i="1" a="1"/>
  <c r="BL1765" i="1" a="1"/>
  <c r="BL607" i="1" a="1"/>
  <c r="BL1957" i="1" a="1"/>
  <c r="BL607" i="1" l="1"/>
  <c r="BL531" i="1"/>
  <c r="BL669" i="1"/>
  <c r="BL829" i="1"/>
  <c r="BL1765" i="1"/>
  <c r="BL509" i="1"/>
  <c r="BL2486" i="1"/>
  <c r="BL259" i="1"/>
  <c r="BL808" i="1"/>
  <c r="BL1156" i="1"/>
  <c r="BL486" i="1"/>
  <c r="BL374" i="1"/>
  <c r="BL1351" i="1"/>
  <c r="BL1083" i="1"/>
  <c r="BL1297" i="1"/>
  <c r="BL744" i="1"/>
  <c r="BL740" i="1"/>
  <c r="BL2158" i="1"/>
  <c r="BL112" i="1"/>
  <c r="BL156" i="1"/>
  <c r="BL1957" i="1"/>
  <c r="BL746" i="1"/>
  <c r="BL1803" i="1"/>
  <c r="BM2270" i="1" a="1"/>
  <c r="BM2270" i="1" s="1"/>
  <c r="BJ2543" i="1" a="1"/>
  <c r="BJ2543" i="1" s="1"/>
  <c r="BL2543" i="1" a="1"/>
  <c r="BL2543" i="1" s="1"/>
  <c r="BM2285" i="1" a="1"/>
  <c r="BM2285" i="1" s="1"/>
  <c r="BJ2555" i="1" a="1"/>
  <c r="BJ2555" i="1" s="1"/>
  <c r="BL2555" i="1" a="1"/>
  <c r="BL2555" i="1" s="1"/>
  <c r="BM2290" i="1" a="1"/>
  <c r="BM2290" i="1" s="1"/>
  <c r="BJ2592" i="1" a="1"/>
  <c r="BJ2592" i="1" s="1"/>
  <c r="BL2592" i="1" a="1"/>
  <c r="BL2592" i="1" s="1"/>
  <c r="BM2280" i="1" a="1"/>
  <c r="BM2280" i="1" s="1"/>
  <c r="BJ2540" i="1" a="1"/>
  <c r="BJ2540" i="1" s="1"/>
  <c r="BL2540" i="1" a="1"/>
  <c r="BL2540" i="1" s="1"/>
  <c r="BM2630" i="1" a="1"/>
  <c r="BM2630" i="1" s="1"/>
  <c r="BJ2552" i="1" a="1"/>
  <c r="BJ2552" i="1" s="1"/>
  <c r="BL2552" i="1" a="1"/>
  <c r="BL2552" i="1" s="1"/>
  <c r="BJ2669" i="1" a="1"/>
  <c r="BJ2669" i="1" s="1"/>
  <c r="BL2669" i="1" a="1"/>
  <c r="BL2669" i="1" s="1"/>
  <c r="BM2589" i="1" a="1"/>
  <c r="BM2589" i="1" s="1"/>
  <c r="BM2265" i="1" a="1"/>
  <c r="BM2265" i="1" s="1"/>
  <c r="BM2666" i="1" a="1"/>
  <c r="BM2666" i="1" s="1"/>
  <c r="BJ2549" i="1" a="1"/>
  <c r="BJ2549" i="1" s="1"/>
  <c r="BL2549" i="1" a="1"/>
  <c r="BL2549" i="1" s="1"/>
  <c r="BJ2633" i="1" a="1"/>
  <c r="BJ2633" i="1" s="1"/>
  <c r="BL2633" i="1" a="1"/>
  <c r="BL2633" i="1" s="1"/>
  <c r="BJ2546" i="1" a="1"/>
  <c r="BJ2546" i="1" s="1"/>
  <c r="BL2546" i="1" a="1"/>
  <c r="BL2546" i="1" s="1"/>
  <c r="AW2661" i="1"/>
  <c r="BK2661" i="1" s="1" a="1"/>
  <c r="BK2661" i="1" s="1"/>
  <c r="BK2625" i="1" a="1"/>
  <c r="BK2625" i="1" s="1"/>
  <c r="BK2584" i="1" a="1"/>
  <c r="BK2584" i="1" s="1"/>
  <c r="BK1932" i="1" a="1"/>
  <c r="BK1932" i="1" s="1"/>
  <c r="AW1926" i="1"/>
  <c r="BK1926" i="1" s="1" a="1"/>
  <c r="BK1926" i="1" s="1"/>
  <c r="BK1920" i="1" a="1"/>
  <c r="BK1920" i="1" s="1"/>
  <c r="BK1914" i="1" a="1"/>
  <c r="BK1914" i="1" s="1"/>
  <c r="BK1908" i="1" a="1"/>
  <c r="BK1908" i="1" s="1"/>
  <c r="BK1902" i="1" a="1"/>
  <c r="BK1902" i="1" s="1"/>
  <c r="BL828" i="1" a="1"/>
  <c r="BL276" i="1" a="1"/>
  <c r="BL2333" i="1" a="1"/>
  <c r="BL574" i="1" a="1"/>
  <c r="BL2343" i="1" a="1"/>
  <c r="BL2333" i="1" l="1"/>
  <c r="BL276" i="1"/>
  <c r="BL574" i="1"/>
  <c r="BL2343" i="1"/>
  <c r="BL828" i="1"/>
  <c r="BM1908" i="1" a="1"/>
  <c r="BM1908" i="1" s="1"/>
  <c r="BM1920" i="1" a="1"/>
  <c r="BM1920" i="1" s="1"/>
  <c r="BM1926" i="1" a="1"/>
  <c r="BM1926" i="1" s="1"/>
  <c r="BM1932" i="1" a="1"/>
  <c r="BM1932" i="1" s="1"/>
  <c r="BJ2589" i="1" a="1"/>
  <c r="BJ2589" i="1" s="1"/>
  <c r="BL2589" i="1" a="1"/>
  <c r="BL2589" i="1" s="1"/>
  <c r="BM2625" i="1" a="1"/>
  <c r="BM2625" i="1" s="1"/>
  <c r="BM2584" i="1" a="1"/>
  <c r="BM2584" i="1" s="1"/>
  <c r="BM1902" i="1" a="1"/>
  <c r="BM1902" i="1" s="1"/>
  <c r="BM2661" i="1" a="1"/>
  <c r="BM2661" i="1" s="1"/>
  <c r="BJ2280" i="1" a="1"/>
  <c r="BJ2280" i="1" s="1"/>
  <c r="BL2280" i="1" a="1"/>
  <c r="BL2280" i="1" s="1"/>
  <c r="BJ2285" i="1" a="1"/>
  <c r="BJ2285" i="1" s="1"/>
  <c r="BL2285" i="1" a="1"/>
  <c r="BL2285" i="1" s="1"/>
  <c r="BM1914" i="1" a="1"/>
  <c r="BM1914" i="1" s="1"/>
  <c r="BJ2666" i="1" a="1"/>
  <c r="BJ2666" i="1" s="1"/>
  <c r="BL2666" i="1" a="1"/>
  <c r="BL2666" i="1" s="1"/>
  <c r="BJ2265" i="1" a="1"/>
  <c r="BJ2265" i="1" s="1"/>
  <c r="BL2265" i="1" a="1"/>
  <c r="BL2265" i="1" s="1"/>
  <c r="BJ2630" i="1" a="1"/>
  <c r="BJ2630" i="1" s="1"/>
  <c r="BL2630" i="1" a="1"/>
  <c r="BL2630" i="1" s="1"/>
  <c r="BJ2290" i="1" a="1"/>
  <c r="BJ2290" i="1" s="1"/>
  <c r="BL2290" i="1" a="1"/>
  <c r="BL2290" i="1" s="1"/>
  <c r="BJ2270" i="1" a="1"/>
  <c r="BJ2270" i="1" s="1"/>
  <c r="BL2270" i="1" a="1"/>
  <c r="BL2270" i="1" s="1"/>
  <c r="AW2655" i="1"/>
  <c r="BK2655" i="1" s="1" a="1"/>
  <c r="BK2655" i="1" s="1"/>
  <c r="BK2619" i="1" a="1"/>
  <c r="BK2619" i="1" s="1"/>
  <c r="BK2578" i="1" a="1"/>
  <c r="BK2578" i="1" s="1"/>
  <c r="BK1496" i="1" a="1"/>
  <c r="BK1496" i="1" s="1"/>
  <c r="AW1490" i="1"/>
  <c r="BK1490" i="1" s="1" a="1"/>
  <c r="BK1490" i="1" s="1"/>
  <c r="BK1484" i="1" a="1"/>
  <c r="BK1484" i="1" s="1"/>
  <c r="BK1478" i="1" a="1"/>
  <c r="BK1478" i="1" s="1"/>
  <c r="BK1472" i="1" a="1"/>
  <c r="BK1472" i="1" s="1"/>
  <c r="BK1466" i="1" a="1"/>
  <c r="BK1466" i="1" s="1"/>
  <c r="BL1526" i="1" a="1"/>
  <c r="BL741" i="1" a="1"/>
  <c r="BL1103" i="1" a="1"/>
  <c r="BL510" i="1" a="1"/>
  <c r="BL1789" i="1" a="1"/>
  <c r="BL537" i="1" a="1"/>
  <c r="BL103" i="1" a="1"/>
  <c r="BL1106" i="1" a="1"/>
  <c r="BL1562" i="1" a="1"/>
  <c r="BL2136" i="1" a="1"/>
  <c r="BL332" i="1" a="1"/>
  <c r="BL822" i="1" a="1"/>
  <c r="BL23" i="1" a="1"/>
  <c r="BL1703" i="1" a="1"/>
  <c r="BL2400" i="1" a="1"/>
  <c r="BL386" i="1" a="1"/>
  <c r="BL798" i="1" a="1"/>
  <c r="BL358" i="1" a="1"/>
  <c r="BL1263" i="1" a="1"/>
  <c r="BL1362" i="1" a="1"/>
  <c r="BL1954" i="1" a="1"/>
  <c r="BL1768" i="1" a="1"/>
  <c r="BL1246" i="1" a="1"/>
  <c r="BL1955" i="1" a="1"/>
  <c r="BL64" i="1" a="1"/>
  <c r="BL258" i="1" a="1"/>
  <c r="BL1995" i="1" a="1"/>
  <c r="BL817" i="1" a="1"/>
  <c r="BL742" i="1" a="1"/>
  <c r="BL137" i="1" a="1"/>
  <c r="BL823" i="1" a="1"/>
  <c r="BL1802" i="1" a="1"/>
  <c r="BL1965" i="1" a="1"/>
  <c r="BL2003" i="1" a="1"/>
  <c r="BL747" i="1" a="1"/>
  <c r="BL9" i="1" a="1"/>
  <c r="BL576" i="1" a="1"/>
  <c r="BL337" i="1" a="1"/>
  <c r="BL1134" i="1" a="1"/>
  <c r="BL2097" i="1" a="1"/>
  <c r="BL1073" i="1" a="1"/>
  <c r="BL701" i="1" a="1"/>
  <c r="BL1366" i="1" a="1"/>
  <c r="BL2345" i="1" a="1"/>
  <c r="BL1368" i="1" a="1"/>
  <c r="BL1666" i="1" a="1"/>
  <c r="BL1550" i="1" a="1"/>
  <c r="BL1121" i="1" a="1"/>
  <c r="BL329" i="1" a="1"/>
  <c r="BL2032" i="1" a="1"/>
  <c r="BL418" i="1" a="1"/>
  <c r="BL583" i="1" a="1"/>
  <c r="BL2095" i="1" a="1"/>
  <c r="BL352" i="1" a="1"/>
  <c r="BL761" i="1" a="1"/>
  <c r="BL165" i="1" a="1"/>
  <c r="BL491" i="1" a="1"/>
  <c r="BL615" i="1" a="1"/>
  <c r="BL1750" i="1" a="1"/>
  <c r="BL1537" i="1" a="1"/>
  <c r="BL1174" i="1" a="1"/>
  <c r="BL62" i="1" a="1"/>
  <c r="BL1071" i="1" a="1"/>
  <c r="BL1581" i="1" a="1"/>
  <c r="BL392" i="1" a="1"/>
  <c r="BL1935" i="1" a="1"/>
  <c r="BL2340" i="1" a="1"/>
  <c r="BL246" i="1" a="1"/>
  <c r="BL398" i="1" a="1"/>
  <c r="BL1231" i="1" a="1"/>
  <c r="BL1344" i="1" a="1"/>
  <c r="BL24" i="1" a="1"/>
  <c r="BL1682" i="1" a="1"/>
  <c r="BL1586" i="1" a="1"/>
  <c r="BL391" i="1" a="1"/>
  <c r="BL2005" i="1" a="1"/>
  <c r="BL489" i="1" a="1"/>
  <c r="BL820" i="1" a="1"/>
  <c r="BL1560" i="1" a="1"/>
  <c r="BL248" i="1" a="1"/>
  <c r="BL2018" i="1" a="1"/>
  <c r="BL441" i="1" a="1"/>
  <c r="BL2368" i="1" a="1"/>
  <c r="BL1228" i="1" a="1"/>
  <c r="BL385" i="1" a="1"/>
  <c r="BL69" i="1" a="1"/>
  <c r="BL439" i="1" a="1"/>
  <c r="BL1276" i="1" a="1"/>
  <c r="BL2184" i="1" a="1"/>
  <c r="BL2124" i="1" a="1"/>
  <c r="BL2466" i="1" a="1"/>
  <c r="BL2007" i="1" a="1"/>
  <c r="BL1307" i="1" a="1"/>
  <c r="BL721" i="1" a="1"/>
  <c r="BL511" i="1" a="1"/>
  <c r="BL2161" i="1" a="1"/>
  <c r="BL1792" i="1" a="1"/>
  <c r="BL1338" i="1" a="1"/>
  <c r="BL2366" i="1" a="1"/>
  <c r="BL1185" i="1" a="1"/>
  <c r="BL2402" i="1" a="1"/>
  <c r="BL703" i="1" a="1"/>
  <c r="BL260" i="1" a="1"/>
  <c r="BL67" i="1" a="1"/>
  <c r="BL1987" i="1" a="1"/>
  <c r="BL1180" i="1" a="1"/>
  <c r="BL730" i="1" a="1"/>
  <c r="BL1937" i="1" a="1"/>
  <c r="BL907" i="1" a="1"/>
  <c r="BL2096" i="1" a="1"/>
  <c r="BL42" i="1" a="1"/>
  <c r="BL335" i="1" a="1"/>
  <c r="BL378" i="1" a="1"/>
  <c r="BL2122" i="1" a="1"/>
  <c r="BL389" i="1" a="1"/>
  <c r="BL2216" i="1" a="1"/>
  <c r="BL2443" i="1" a="1"/>
  <c r="BL2218" i="1" a="1"/>
  <c r="BL272" i="1" a="1"/>
  <c r="BL614" i="1" a="1"/>
  <c r="BL1122" i="1" a="1"/>
  <c r="BL2142" i="1" a="1"/>
  <c r="BL96" i="1" a="1"/>
  <c r="BL1072" i="1" a="1"/>
  <c r="BL384" i="1" a="1"/>
  <c r="BL2069" i="1" a="1"/>
  <c r="BL780" i="1" a="1"/>
  <c r="BL1196" i="1" a="1"/>
  <c r="BL24" i="1" l="1"/>
  <c r="BL2366" i="1"/>
  <c r="BL258" i="1"/>
  <c r="BL1955" i="1"/>
  <c r="BL418" i="1"/>
  <c r="BL2007" i="1"/>
  <c r="BL510" i="1"/>
  <c r="BL741" i="1"/>
  <c r="BL2400" i="1"/>
  <c r="BL1228" i="1"/>
  <c r="BL332" i="1"/>
  <c r="BL1562" i="1"/>
  <c r="BL576" i="1"/>
  <c r="BL489" i="1"/>
  <c r="BL42" i="1"/>
  <c r="BL907" i="1"/>
  <c r="BL1366" i="1"/>
  <c r="BL398" i="1"/>
  <c r="BL2218" i="1"/>
  <c r="BL2216" i="1"/>
  <c r="BL1768" i="1"/>
  <c r="BL62" i="1"/>
  <c r="BL2124" i="1"/>
  <c r="BL1276" i="1"/>
  <c r="BL817" i="1"/>
  <c r="BL165" i="1"/>
  <c r="BL1792" i="1"/>
  <c r="BL511" i="1"/>
  <c r="BL103" i="1"/>
  <c r="BL329" i="1"/>
  <c r="BL391" i="1"/>
  <c r="BL1682" i="1"/>
  <c r="BL384" i="1"/>
  <c r="BL701" i="1"/>
  <c r="BL441" i="1"/>
  <c r="BL248" i="1"/>
  <c r="BL2122" i="1"/>
  <c r="BL747" i="1"/>
  <c r="BL1537" i="1"/>
  <c r="BL615" i="1"/>
  <c r="BL2142" i="1"/>
  <c r="BL1995" i="1"/>
  <c r="BL2340" i="1"/>
  <c r="BL392" i="1"/>
  <c r="BL1307" i="1"/>
  <c r="BL1362" i="1"/>
  <c r="BL1550" i="1"/>
  <c r="BL1368" i="1"/>
  <c r="BL2402" i="1"/>
  <c r="BL1072" i="1"/>
  <c r="BL352" i="1"/>
  <c r="BL583" i="1"/>
  <c r="BL820" i="1"/>
  <c r="BL1789" i="1"/>
  <c r="BL1965" i="1"/>
  <c r="BL823" i="1"/>
  <c r="BL69" i="1"/>
  <c r="BL272" i="1"/>
  <c r="BL2097" i="1"/>
  <c r="BL337" i="1"/>
  <c r="BL1071" i="1"/>
  <c r="BL335" i="1"/>
  <c r="BL358" i="1"/>
  <c r="BL386" i="1"/>
  <c r="BL1344" i="1"/>
  <c r="BL1338" i="1"/>
  <c r="BL64" i="1"/>
  <c r="BL1246" i="1"/>
  <c r="BL2032" i="1"/>
  <c r="BL2466" i="1"/>
  <c r="BL1103" i="1"/>
  <c r="BL1526" i="1"/>
  <c r="BL1196" i="1"/>
  <c r="BL2368" i="1"/>
  <c r="BL2136" i="1"/>
  <c r="BL1106" i="1"/>
  <c r="BL9" i="1"/>
  <c r="BL2005" i="1"/>
  <c r="BL2096" i="1"/>
  <c r="BL1937" i="1"/>
  <c r="BL1703" i="1"/>
  <c r="BL730" i="1"/>
  <c r="BL2018" i="1"/>
  <c r="BL1560" i="1"/>
  <c r="BL1231" i="1"/>
  <c r="BL2095" i="1"/>
  <c r="BL614" i="1"/>
  <c r="BL2184" i="1"/>
  <c r="BL439" i="1"/>
  <c r="BL1954" i="1"/>
  <c r="BL721" i="1"/>
  <c r="BL96" i="1"/>
  <c r="BL2443" i="1"/>
  <c r="BL23" i="1"/>
  <c r="BL1581" i="1"/>
  <c r="BL1180" i="1"/>
  <c r="BL385" i="1"/>
  <c r="BL761" i="1"/>
  <c r="BL703" i="1"/>
  <c r="BL1134" i="1"/>
  <c r="BL742" i="1"/>
  <c r="BL1750" i="1"/>
  <c r="BL2003" i="1"/>
  <c r="BL2161" i="1"/>
  <c r="BL1935" i="1"/>
  <c r="BL1185" i="1"/>
  <c r="BL389" i="1"/>
  <c r="BL798" i="1"/>
  <c r="BL491" i="1"/>
  <c r="BL260" i="1"/>
  <c r="BL1174" i="1"/>
  <c r="BL137" i="1"/>
  <c r="BL1987" i="1"/>
  <c r="BL780" i="1"/>
  <c r="BL1121" i="1"/>
  <c r="BL1666" i="1"/>
  <c r="BL1122" i="1"/>
  <c r="BL67" i="1"/>
  <c r="BL1802" i="1"/>
  <c r="BL1073" i="1"/>
  <c r="BL2345" i="1"/>
  <c r="BL1586" i="1"/>
  <c r="BL822" i="1"/>
  <c r="BL2069" i="1"/>
  <c r="BL246" i="1"/>
  <c r="BL537" i="1"/>
  <c r="BL378" i="1"/>
  <c r="BL1263" i="1"/>
  <c r="BM1496" i="1" a="1"/>
  <c r="BM1496" i="1" s="1"/>
  <c r="BM1484" i="1" a="1"/>
  <c r="BM1484" i="1" s="1"/>
  <c r="BM2578" i="1" a="1"/>
  <c r="BM2578" i="1" s="1"/>
  <c r="BJ1932" i="1" a="1"/>
  <c r="BJ1932" i="1" s="1"/>
  <c r="BL1932" i="1" a="1"/>
  <c r="BL1932" i="1" s="1"/>
  <c r="BM2619" i="1" a="1"/>
  <c r="BM2619" i="1" s="1"/>
  <c r="BJ1902" i="1" a="1"/>
  <c r="BJ1902" i="1" s="1"/>
  <c r="BL1902" i="1" a="1"/>
  <c r="BL1902" i="1" s="1"/>
  <c r="BM1466" i="1" a="1"/>
  <c r="BM1466" i="1" s="1"/>
  <c r="BM2655" i="1" a="1"/>
  <c r="BM2655" i="1" s="1"/>
  <c r="BJ2584" i="1" a="1"/>
  <c r="BJ2584" i="1" s="1"/>
  <c r="BL2584" i="1" a="1"/>
  <c r="BL2584" i="1" s="1"/>
  <c r="BJ1926" i="1" a="1"/>
  <c r="BJ1926" i="1" s="1"/>
  <c r="BL1926" i="1" a="1"/>
  <c r="BL1926" i="1" s="1"/>
  <c r="BJ1914" i="1" a="1"/>
  <c r="BJ1914" i="1" s="1"/>
  <c r="BL1914" i="1" a="1"/>
  <c r="BL1914" i="1" s="1"/>
  <c r="BM1472" i="1" a="1"/>
  <c r="BM1472" i="1" s="1"/>
  <c r="BM1478" i="1" a="1"/>
  <c r="BM1478" i="1" s="1"/>
  <c r="BJ2625" i="1" a="1"/>
  <c r="BJ2625" i="1" s="1"/>
  <c r="BL2625" i="1" a="1"/>
  <c r="BL2625" i="1" s="1"/>
  <c r="BJ1920" i="1" a="1"/>
  <c r="BJ1920" i="1" s="1"/>
  <c r="BL1920" i="1" a="1"/>
  <c r="BL1920" i="1" s="1"/>
  <c r="BM1490" i="1" a="1"/>
  <c r="BM1490" i="1" s="1"/>
  <c r="BJ2661" i="1" a="1"/>
  <c r="BJ2661" i="1" s="1"/>
  <c r="BL2661" i="1" a="1"/>
  <c r="BL2661" i="1" s="1"/>
  <c r="BJ1908" i="1" a="1"/>
  <c r="BJ1908" i="1" s="1"/>
  <c r="BL1908" i="1" a="1"/>
  <c r="BL1908" i="1" s="1"/>
  <c r="AW2613" i="1"/>
  <c r="BK2613" i="1" s="1" a="1"/>
  <c r="BK2613" i="1" s="1"/>
  <c r="BK1013" i="1" a="1"/>
  <c r="BK1013" i="1" s="1"/>
  <c r="AW1046" i="1"/>
  <c r="BK1046" i="1" s="1" a="1"/>
  <c r="BK1046" i="1" s="1"/>
  <c r="BK1068" i="1" a="1"/>
  <c r="BK1068" i="1" s="1"/>
  <c r="BK1057" i="1" a="1"/>
  <c r="BK1057" i="1" s="1"/>
  <c r="BK1035" i="1" a="1"/>
  <c r="BK1035" i="1" s="1"/>
  <c r="BK2649" i="1" a="1"/>
  <c r="BK2649" i="1" s="1"/>
  <c r="AW2638" i="1"/>
  <c r="BK2638" i="1" s="1" a="1"/>
  <c r="BK2638" i="1" s="1"/>
  <c r="BK2602" i="1" a="1"/>
  <c r="BK2602" i="1" s="1"/>
  <c r="BK2568" i="1" a="1"/>
  <c r="BK2568" i="1" s="1"/>
  <c r="BK326" i="1" a="1"/>
  <c r="BK326" i="1" s="1"/>
  <c r="AW325" i="1"/>
  <c r="BK325" i="1" s="1" a="1"/>
  <c r="BK325" i="1" s="1"/>
  <c r="BK324" i="1" a="1"/>
  <c r="BK324" i="1" s="1"/>
  <c r="BK323" i="1" a="1"/>
  <c r="BK323" i="1" s="1"/>
  <c r="BK322" i="1" a="1"/>
  <c r="BK322" i="1" s="1"/>
  <c r="BK321" i="1" a="1"/>
  <c r="BK321" i="1" s="1"/>
  <c r="BL1845" i="1" a="1"/>
  <c r="BL606" i="1" a="1"/>
  <c r="BL1358" i="1" a="1"/>
  <c r="BL1745" i="1" a="1"/>
  <c r="BL373" i="1" a="1"/>
  <c r="BL1197" i="1" a="1"/>
  <c r="BL52" i="1" a="1"/>
  <c r="BL611" i="1" a="1"/>
  <c r="BL2121" i="1" a="1"/>
  <c r="BL1959" i="1" a="1"/>
  <c r="BL2181" i="1" a="1"/>
  <c r="BL608" i="1" a="1"/>
  <c r="BL333" i="1" a="1"/>
  <c r="BL668" i="1" a="1"/>
  <c r="BL728" i="1" a="1"/>
  <c r="BL1790" i="1" a="1"/>
  <c r="BL46" i="1" a="1"/>
  <c r="BL2163" i="1" a="1"/>
  <c r="BL1146" i="1" a="1"/>
  <c r="BL1571" i="1" a="1"/>
  <c r="BL303" i="1" a="1"/>
  <c r="BL1667" i="1" a="1"/>
  <c r="BL47" i="1" a="1"/>
  <c r="BL2344" i="1" a="1"/>
  <c r="BL643" i="1" a="1"/>
  <c r="BL1574" i="1" a="1"/>
  <c r="BL2173" i="1" a="1"/>
  <c r="BL1514" i="1" a="1"/>
  <c r="BL1994" i="1" a="1"/>
  <c r="BL1131" i="1" a="1"/>
  <c r="BL328" i="1" a="1"/>
  <c r="BL1794" i="1" a="1"/>
  <c r="BL287" i="1" a="1"/>
  <c r="BL250" i="1" a="1"/>
  <c r="BL530" i="1" a="1"/>
  <c r="BL1612" i="1" a="1"/>
  <c r="BL1341" i="1" a="1"/>
  <c r="BL401" i="1" a="1"/>
  <c r="BL616" i="1" a="1"/>
  <c r="BL113" i="1" a="1"/>
  <c r="BL1583" i="1" a="1"/>
  <c r="BL704" i="1" a="1"/>
  <c r="BL66" i="1" a="1"/>
  <c r="BL488" i="1" a="1"/>
  <c r="BL1275" i="1" a="1"/>
  <c r="BL810" i="1" a="1"/>
  <c r="BL1756" i="1" a="1"/>
  <c r="BL1733" i="1" a="1"/>
  <c r="BL1573" i="1" a="1"/>
  <c r="BL1178" i="1" a="1"/>
  <c r="BL105" i="1" a="1"/>
  <c r="BL2108" i="1" a="1"/>
  <c r="BL664" i="1" a="1"/>
  <c r="BL609" i="1" a="1"/>
  <c r="BL1546" i="1" a="1"/>
  <c r="BL1359" i="1" a="1"/>
  <c r="BL1956" i="1" a="1"/>
  <c r="BL2109" i="1" a="1"/>
  <c r="BL647" i="1" a="1"/>
  <c r="BL812" i="1" a="1"/>
  <c r="BL1702" i="1" a="1"/>
  <c r="BL1294" i="1" a="1"/>
  <c r="BL8" i="1" a="1"/>
  <c r="BL401" i="1" l="1"/>
  <c r="BL668" i="1"/>
  <c r="BL1546" i="1"/>
  <c r="BL2121" i="1"/>
  <c r="BL1573" i="1"/>
  <c r="BL606" i="1"/>
  <c r="BL373" i="1"/>
  <c r="BL1733" i="1"/>
  <c r="BL1514" i="1"/>
  <c r="BL1745" i="1"/>
  <c r="BL1358" i="1"/>
  <c r="BL287" i="1"/>
  <c r="BL2109" i="1"/>
  <c r="BL1790" i="1"/>
  <c r="BL2756" i="1" s="1"/>
  <c r="BL1178" i="1"/>
  <c r="BL1994" i="1"/>
  <c r="BL1574" i="1"/>
  <c r="BL333" i="1"/>
  <c r="BL611" i="1"/>
  <c r="BL113" i="1"/>
  <c r="BL2163" i="1"/>
  <c r="BL1702" i="1"/>
  <c r="BL8" i="1"/>
  <c r="BL46" i="1"/>
  <c r="BL303" i="1"/>
  <c r="BL1146" i="1"/>
  <c r="BL1756" i="1"/>
  <c r="BL1571" i="1"/>
  <c r="BL1341" i="1"/>
  <c r="BL1294" i="1"/>
  <c r="BL643" i="1"/>
  <c r="BL1612" i="1"/>
  <c r="BL728" i="1"/>
  <c r="BL66" i="1"/>
  <c r="BL105" i="1"/>
  <c r="BL2173" i="1"/>
  <c r="BL488" i="1"/>
  <c r="BL1959" i="1"/>
  <c r="BL616" i="1"/>
  <c r="BL1956" i="1"/>
  <c r="BL2344" i="1"/>
  <c r="BL609" i="1"/>
  <c r="BL250" i="1"/>
  <c r="BL47" i="1"/>
  <c r="BL1794" i="1"/>
  <c r="BL812" i="1"/>
  <c r="BL1845" i="1"/>
  <c r="BL810" i="1"/>
  <c r="BL1275" i="1"/>
  <c r="BL1583" i="1"/>
  <c r="BL608" i="1"/>
  <c r="BL328" i="1"/>
  <c r="BL704" i="1"/>
  <c r="BL664" i="1"/>
  <c r="BL647" i="1"/>
  <c r="BL1131" i="1"/>
  <c r="BL2181" i="1"/>
  <c r="BL1359" i="1"/>
  <c r="BL2108" i="1"/>
  <c r="BL52" i="1"/>
  <c r="BL1197" i="1"/>
  <c r="BL1667" i="1"/>
  <c r="BL530" i="1"/>
  <c r="BJ1478" i="1" a="1"/>
  <c r="BJ1478" i="1" s="1"/>
  <c r="BL1478" i="1" a="1"/>
  <c r="BL1478" i="1" s="1"/>
  <c r="BJ2619" i="1" a="1"/>
  <c r="BJ2619" i="1" s="1"/>
  <c r="BL2619" i="1" a="1"/>
  <c r="BL2619" i="1" s="1"/>
  <c r="BJ1496" i="1" a="1"/>
  <c r="BJ1496" i="1" s="1"/>
  <c r="BL1496" i="1" a="1"/>
  <c r="BL1496" i="1" s="1"/>
  <c r="BM1046" i="1" a="1"/>
  <c r="BM1046" i="1" s="1"/>
  <c r="BM1068" i="1" a="1"/>
  <c r="BM1068" i="1" s="1"/>
  <c r="BM2568" i="1" a="1"/>
  <c r="BM2568" i="1" s="1"/>
  <c r="BM1013" i="1" a="1"/>
  <c r="BM1013" i="1" s="1"/>
  <c r="BJ1472" i="1" a="1"/>
  <c r="BJ1472" i="1" s="1"/>
  <c r="BL1472" i="1" a="1"/>
  <c r="BL1472" i="1" s="1"/>
  <c r="BM2602" i="1" a="1"/>
  <c r="BM2602" i="1" s="1"/>
  <c r="BM2613" i="1" a="1"/>
  <c r="BM2613" i="1" s="1"/>
  <c r="BJ1466" i="1" a="1"/>
  <c r="BJ1466" i="1" s="1"/>
  <c r="BL1466" i="1" a="1"/>
  <c r="BL1466" i="1" s="1"/>
  <c r="BJ2578" i="1" a="1"/>
  <c r="BJ2578" i="1" s="1"/>
  <c r="BL2578" i="1" a="1"/>
  <c r="BL2578" i="1" s="1"/>
  <c r="BJ1490" i="1" a="1"/>
  <c r="BJ1490" i="1" s="1"/>
  <c r="BL1490" i="1" a="1"/>
  <c r="BL1490" i="1" s="1"/>
  <c r="BJ2655" i="1" a="1"/>
  <c r="BJ2655" i="1" s="1"/>
  <c r="BL2655" i="1" a="1"/>
  <c r="BL2655" i="1" s="1"/>
  <c r="BM2638" i="1" a="1"/>
  <c r="BM2638" i="1" s="1"/>
  <c r="BM2649" i="1" a="1"/>
  <c r="BM2649" i="1" s="1"/>
  <c r="BJ1484" i="1" a="1"/>
  <c r="BJ1484" i="1" s="1"/>
  <c r="BL1484" i="1" a="1"/>
  <c r="BL1484" i="1" s="1"/>
  <c r="BM1035" i="1" a="1"/>
  <c r="BM1035" i="1" s="1"/>
  <c r="BM1057" i="1" a="1"/>
  <c r="BM1057" i="1" s="1"/>
  <c r="BM321" i="1" a="1"/>
  <c r="BM321" i="1" s="1"/>
  <c r="BM323" i="1" a="1"/>
  <c r="BM323" i="1" s="1"/>
  <c r="BM324" i="1" a="1"/>
  <c r="BM324" i="1" s="1"/>
  <c r="BM322" i="1" a="1"/>
  <c r="BM322" i="1" s="1"/>
  <c r="BM325" i="1" a="1"/>
  <c r="BM325" i="1" s="1"/>
  <c r="BM326" i="1" a="1"/>
  <c r="BM326" i="1" s="1"/>
  <c r="AW2637" i="1"/>
  <c r="BK2637" i="1" s="1" a="1"/>
  <c r="BK2637" i="1" s="1"/>
  <c r="BK2601" i="1" a="1"/>
  <c r="BK2601" i="1" s="1"/>
  <c r="BK229" i="1" a="1"/>
  <c r="BK229" i="1" s="1"/>
  <c r="AW226" i="1"/>
  <c r="BK226" i="1" s="1" a="1"/>
  <c r="BK226" i="1" s="1"/>
  <c r="BK223" i="1" a="1"/>
  <c r="BK223" i="1" s="1"/>
  <c r="BS2669" i="1"/>
  <c r="BO2669" i="1"/>
  <c r="BS2634" i="1"/>
  <c r="BO2634" i="1"/>
  <c r="BS2633" i="1"/>
  <c r="BO2633" i="1"/>
  <c r="BS2630" i="1"/>
  <c r="BO2630" i="1"/>
  <c r="BS2625" i="1"/>
  <c r="BO2625" i="1"/>
  <c r="BS2619" i="1"/>
  <c r="BO2619" i="1"/>
  <c r="BS2602" i="1"/>
  <c r="BO2602" i="1"/>
  <c r="BS2601" i="1"/>
  <c r="BO2601" i="1"/>
  <c r="BS2598" i="1"/>
  <c r="BO2598" i="1"/>
  <c r="BS2596" i="1"/>
  <c r="BO2596" i="1"/>
  <c r="BS2595" i="1"/>
  <c r="BO2595" i="1"/>
  <c r="BS2594" i="1"/>
  <c r="BO2594" i="1"/>
  <c r="BL70" i="1" a="1"/>
  <c r="BL802" i="1" a="1"/>
  <c r="BL2384" i="1" a="1"/>
  <c r="BL533" i="1" a="1"/>
  <c r="BL1309" i="1" a="1"/>
  <c r="BL84" i="1" a="1"/>
  <c r="BL1713" i="1" a="1"/>
  <c r="BL739" i="1" a="1"/>
  <c r="BL1757" i="1" a="1"/>
  <c r="BL1107" i="1" a="1"/>
  <c r="BL58" i="1" a="1"/>
  <c r="BL824" i="1" a="1"/>
  <c r="BL273" i="1" a="1"/>
  <c r="BL503" i="1" a="1"/>
  <c r="BL819" i="1" a="1"/>
  <c r="BL1347" i="1" a="1"/>
  <c r="BL1960" i="1" a="1"/>
  <c r="BL768" i="1" a="1"/>
  <c r="BL795" i="1" a="1"/>
  <c r="BL1249" i="1" a="1"/>
  <c r="BL1744" i="1" a="1"/>
  <c r="BL415" i="1" a="1"/>
  <c r="BL2346" i="1" a="1"/>
  <c r="BL2082" i="1" a="1"/>
  <c r="BL440" i="1" a="1"/>
  <c r="BL1609" i="1" a="1"/>
  <c r="BL2166" i="1" a="1"/>
  <c r="BL304" i="1" a="1"/>
  <c r="BL1501" i="1" a="1"/>
  <c r="BL526" i="1" a="1"/>
  <c r="BL403" i="1" a="1"/>
  <c r="BL425" i="1" a="1"/>
  <c r="BL1787" i="1" a="1"/>
  <c r="BL1996" i="1" a="1"/>
  <c r="BL1244" i="1" a="1"/>
  <c r="BL2154" i="1" a="1"/>
  <c r="BL815" i="1" a="1"/>
  <c r="BL786" i="1" a="1"/>
  <c r="BL1315" i="1" a="1"/>
  <c r="BL61" i="1" a="1"/>
  <c r="BL2172" i="1" a="1"/>
  <c r="BL146" i="1" a="1"/>
  <c r="BL1774" i="1" a="1"/>
  <c r="BL438" i="1" a="1"/>
  <c r="BL247" i="1" a="1"/>
  <c r="BL765" i="1" a="1"/>
  <c r="BL764" i="1" a="1"/>
  <c r="BL1167" i="1" a="1"/>
  <c r="BL2080" i="1" a="1"/>
  <c r="BL1561" i="1" a="1"/>
  <c r="BL529" i="1" a="1"/>
  <c r="BL1153" i="1" a="1"/>
  <c r="BL395" i="1" a="1"/>
  <c r="BL1130" i="1" a="1"/>
  <c r="BL2153" i="1" a="1"/>
  <c r="BL702" i="1" a="1"/>
  <c r="BL1572" i="1" a="1"/>
  <c r="BL1610" i="1" a="1"/>
  <c r="BL1701" i="1" a="1"/>
  <c r="BL1681" i="1" a="1"/>
  <c r="BL816" i="1" a="1"/>
  <c r="BL483" i="1" a="1"/>
  <c r="BL1997" i="1" a="1"/>
  <c r="BL2461" i="1" a="1"/>
  <c r="BL779" i="1" a="1"/>
  <c r="BL1512" i="1" a="1"/>
  <c r="BL524" i="1" a="1"/>
  <c r="BL791" i="1" a="1"/>
  <c r="BL1584" i="1" a="1"/>
  <c r="BL1570" i="1" a="1"/>
  <c r="BL1357" i="1" a="1"/>
  <c r="BL1664" i="1" a="1"/>
  <c r="BL1168" i="1" a="1"/>
  <c r="BL1779" i="1" a="1"/>
  <c r="BL1355" i="1" a="1"/>
  <c r="BL350" i="1" a="1"/>
  <c r="BL1986" i="1" a="1"/>
  <c r="BL1665" i="1" a="1"/>
  <c r="BL911" i="1" a="1"/>
  <c r="BL748" i="1" a="1"/>
  <c r="BL460" i="1" a="1"/>
  <c r="BL578" i="1" a="1"/>
  <c r="BL244" i="1" a="1"/>
  <c r="BL1558" i="1" a="1"/>
  <c r="BL446" i="1" a="1"/>
  <c r="BL670" i="1" a="1"/>
  <c r="BL2370" i="1" a="1"/>
  <c r="BL2416" i="1" a="1"/>
  <c r="BL1847" i="1" a="1"/>
  <c r="BL2416" i="1" l="1"/>
  <c r="BL1572" i="1"/>
  <c r="BL670" i="1"/>
  <c r="BL524" i="1"/>
  <c r="BL786" i="1"/>
  <c r="BL824" i="1"/>
  <c r="BL2384" i="1"/>
  <c r="BL1997" i="1"/>
  <c r="BL2370" i="1"/>
  <c r="BL146" i="1"/>
  <c r="BL1986" i="1"/>
  <c r="BL1665" i="1"/>
  <c r="BL304" i="1"/>
  <c r="BL1357" i="1"/>
  <c r="BL1561" i="1"/>
  <c r="BL1610" i="1"/>
  <c r="BL739" i="1"/>
  <c r="BL1107" i="1"/>
  <c r="BL84" i="1"/>
  <c r="BL2080" i="1"/>
  <c r="BL1960" i="1"/>
  <c r="BL533" i="1"/>
  <c r="BL816" i="1"/>
  <c r="BL1701" i="1"/>
  <c r="BL578" i="1"/>
  <c r="BL1757" i="1"/>
  <c r="BL1558" i="1"/>
  <c r="BL791" i="1"/>
  <c r="BL1309" i="1"/>
  <c r="BL1168" i="1"/>
  <c r="BL1779" i="1"/>
  <c r="BL2757" i="1" s="1"/>
  <c r="BL438" i="1"/>
  <c r="BL2346" i="1"/>
  <c r="BL1713" i="1"/>
  <c r="BL911" i="1"/>
  <c r="BL2153" i="1"/>
  <c r="BL2764" i="1" s="1"/>
  <c r="BL350" i="1"/>
  <c r="BL1355" i="1"/>
  <c r="BL2461" i="1"/>
  <c r="BL529" i="1"/>
  <c r="BL1787" i="1"/>
  <c r="BL748" i="1"/>
  <c r="BL1584" i="1"/>
  <c r="BL415" i="1"/>
  <c r="BL1512" i="1"/>
  <c r="BL779" i="1"/>
  <c r="BL1167" i="1"/>
  <c r="BL1996" i="1"/>
  <c r="BL764" i="1"/>
  <c r="BL1570" i="1"/>
  <c r="BL58" i="1"/>
  <c r="BL247" i="1"/>
  <c r="BL425" i="1"/>
  <c r="BL1681" i="1"/>
  <c r="BL1153" i="1"/>
  <c r="BL2082" i="1"/>
  <c r="BL1774" i="1"/>
  <c r="BL1847" i="1"/>
  <c r="BL702" i="1"/>
  <c r="BL1315" i="1"/>
  <c r="BL1130" i="1"/>
  <c r="BL395" i="1"/>
  <c r="BL1244" i="1"/>
  <c r="BL273" i="1"/>
  <c r="BL1744" i="1"/>
  <c r="BL765" i="1"/>
  <c r="BL61" i="1"/>
  <c r="BL1501" i="1"/>
  <c r="BL815" i="1"/>
  <c r="BL2154" i="1"/>
  <c r="BL440" i="1"/>
  <c r="BL70" i="1"/>
  <c r="BL1249" i="1"/>
  <c r="BL2172" i="1"/>
  <c r="BL526" i="1"/>
  <c r="BL768" i="1"/>
  <c r="BL2166" i="1"/>
  <c r="BL1609" i="1"/>
  <c r="BL503" i="1"/>
  <c r="BL1664" i="1"/>
  <c r="BL446" i="1"/>
  <c r="BL403" i="1"/>
  <c r="BL795" i="1"/>
  <c r="BL244" i="1"/>
  <c r="BL1347" i="1"/>
  <c r="BL819" i="1"/>
  <c r="BL802" i="1"/>
  <c r="BL483" i="1"/>
  <c r="BL460" i="1"/>
  <c r="BJ322" i="1" a="1"/>
  <c r="BJ322" i="1" s="1"/>
  <c r="BL322" i="1" a="1"/>
  <c r="BL322" i="1" s="1"/>
  <c r="BJ1057" i="1" a="1"/>
  <c r="BJ1057" i="1" s="1"/>
  <c r="BL1057" i="1" a="1"/>
  <c r="BL1057" i="1" s="1"/>
  <c r="BJ2638" i="1" a="1"/>
  <c r="BJ2638" i="1" s="1"/>
  <c r="BL2638" i="1" a="1"/>
  <c r="BL2638" i="1" s="1"/>
  <c r="BJ1046" i="1" a="1"/>
  <c r="BJ1046" i="1" s="1"/>
  <c r="BL1046" i="1" a="1"/>
  <c r="BL1046" i="1" s="1"/>
  <c r="BM2601" i="1" a="1"/>
  <c r="BM2601" i="1" s="1"/>
  <c r="BM2637" i="1" a="1"/>
  <c r="BM2637" i="1" s="1"/>
  <c r="BJ324" i="1" a="1"/>
  <c r="BJ324" i="1" s="1"/>
  <c r="BL324" i="1" a="1"/>
  <c r="BL324" i="1" s="1"/>
  <c r="BJ1035" i="1" a="1"/>
  <c r="BJ1035" i="1" s="1"/>
  <c r="BL1035" i="1" a="1"/>
  <c r="BL1035" i="1" s="1"/>
  <c r="BJ2613" i="1" a="1"/>
  <c r="BJ2613" i="1" s="1"/>
  <c r="BL2613" i="1" a="1"/>
  <c r="BL2613" i="1" s="1"/>
  <c r="BJ1013" i="1" a="1"/>
  <c r="BJ1013" i="1" s="1"/>
  <c r="BL1013" i="1" a="1"/>
  <c r="BL1013" i="1" s="1"/>
  <c r="BJ326" i="1" a="1"/>
  <c r="BJ326" i="1" s="1"/>
  <c r="BL326" i="1" a="1"/>
  <c r="BL326" i="1" s="1"/>
  <c r="BJ323" i="1" a="1"/>
  <c r="BJ323" i="1" s="1"/>
  <c r="BL323" i="1" a="1"/>
  <c r="BL323" i="1" s="1"/>
  <c r="BJ2568" i="1" a="1"/>
  <c r="BJ2568" i="1" s="1"/>
  <c r="BL2568" i="1" a="1"/>
  <c r="BL2568" i="1" s="1"/>
  <c r="BJ325" i="1" a="1"/>
  <c r="BJ325" i="1" s="1"/>
  <c r="BL325" i="1" a="1"/>
  <c r="BL325" i="1" s="1"/>
  <c r="BJ321" i="1" a="1"/>
  <c r="BJ321" i="1" s="1"/>
  <c r="BL321" i="1" a="1"/>
  <c r="BL321" i="1" s="1"/>
  <c r="BJ2649" i="1" a="1"/>
  <c r="BJ2649" i="1" s="1"/>
  <c r="BL2649" i="1" a="1"/>
  <c r="BL2649" i="1" s="1"/>
  <c r="BJ2602" i="1" a="1"/>
  <c r="BJ2602" i="1" s="1"/>
  <c r="BL2602" i="1" a="1"/>
  <c r="BL2602" i="1" s="1"/>
  <c r="BJ1068" i="1" a="1"/>
  <c r="BJ1068" i="1" s="1"/>
  <c r="BL1068" i="1" a="1"/>
  <c r="BL1068" i="1" s="1"/>
  <c r="BM223" i="1" a="1"/>
  <c r="BM223" i="1" s="1"/>
  <c r="BM226" i="1" a="1"/>
  <c r="BM226" i="1" s="1"/>
  <c r="BM229" i="1" a="1"/>
  <c r="BM229" i="1" s="1"/>
  <c r="BQ2601" i="1"/>
  <c r="BR2601" i="1" s="1"/>
  <c r="BI2666" i="1" a="1"/>
  <c r="BI2666" i="1" s="1"/>
  <c r="BN2601" i="1" a="1"/>
  <c r="BN2601" i="1" s="1"/>
  <c r="BN2596" i="1" a="1"/>
  <c r="BN2596" i="1" s="1"/>
  <c r="BQ2634" i="1"/>
  <c r="BR2634" i="1" s="1"/>
  <c r="BN2594" i="1" a="1"/>
  <c r="BN2594" i="1" s="1"/>
  <c r="BN2669" i="1" a="1"/>
  <c r="BN2669" i="1" s="1"/>
  <c r="BI2633" i="1" a="1"/>
  <c r="BI2633" i="1" s="1"/>
  <c r="BI2619" i="1" a="1"/>
  <c r="BI2619" i="1" s="1"/>
  <c r="BN2634" i="1" a="1"/>
  <c r="BN2634" i="1" s="1"/>
  <c r="BN2637" i="1" a="1"/>
  <c r="BN2637" i="1" s="1"/>
  <c r="BI2613" i="1" a="1"/>
  <c r="BI2613" i="1" s="1"/>
  <c r="BN2666" i="1" a="1"/>
  <c r="BN2666" i="1" s="1"/>
  <c r="BN2597" i="1" a="1"/>
  <c r="BN2597" i="1" s="1"/>
  <c r="BI2634" i="1" a="1"/>
  <c r="BI2634" i="1" s="1"/>
  <c r="BQ2602" i="1"/>
  <c r="BR2602" i="1" s="1"/>
  <c r="BI2630" i="1" a="1"/>
  <c r="BI2630" i="1" s="1"/>
  <c r="BQ2669" i="1"/>
  <c r="BR2669" i="1" s="1"/>
  <c r="BI2670" i="1" a="1"/>
  <c r="BI2670" i="1" s="1"/>
  <c r="BN2633" i="1" a="1"/>
  <c r="BN2633" i="1" s="1"/>
  <c r="BI2638" i="1" a="1"/>
  <c r="BI2638" i="1" s="1"/>
  <c r="BI2669" i="1" a="1"/>
  <c r="BI2669" i="1" s="1"/>
  <c r="BQ2594" i="1"/>
  <c r="BR2594" i="1" s="1"/>
  <c r="BQ2619" i="1"/>
  <c r="BR2619" i="1" s="1"/>
  <c r="BN2638" i="1" a="1"/>
  <c r="BN2638" i="1" s="1"/>
  <c r="BI2594" i="1" a="1"/>
  <c r="BI2594" i="1" s="1"/>
  <c r="BN2602" i="1" a="1"/>
  <c r="BN2602" i="1" s="1"/>
  <c r="BN2630" i="1" a="1"/>
  <c r="BN2630" i="1" s="1"/>
  <c r="BN2670" i="1" a="1"/>
  <c r="BN2670" i="1" s="1"/>
  <c r="BI2661" i="1" a="1"/>
  <c r="BI2661" i="1" s="1"/>
  <c r="BN2661" i="1" a="1"/>
  <c r="BN2661" i="1" s="1"/>
  <c r="BN2613" i="1" a="1"/>
  <c r="BN2613" i="1" s="1"/>
  <c r="BI2655" i="1" a="1"/>
  <c r="BI2655" i="1" s="1"/>
  <c r="BN2655" i="1" a="1"/>
  <c r="BN2655" i="1" s="1"/>
  <c r="BI2637" i="1" a="1"/>
  <c r="BI2637" i="1" s="1"/>
  <c r="BN2625" i="1" a="1"/>
  <c r="BN2625" i="1" s="1"/>
  <c r="BQ2633" i="1"/>
  <c r="BR2633" i="1" s="1"/>
  <c r="BQ2625" i="1"/>
  <c r="BR2625" i="1" s="1"/>
  <c r="BN2619" i="1" a="1"/>
  <c r="BN2619" i="1" s="1"/>
  <c r="BQ2630" i="1"/>
  <c r="BR2630" i="1" s="1"/>
  <c r="BI2601" i="1" a="1"/>
  <c r="BI2601" i="1" s="1"/>
  <c r="BI2602" i="1" a="1"/>
  <c r="BI2602" i="1" s="1"/>
  <c r="BI2625" i="1" a="1"/>
  <c r="BI2625" i="1" s="1"/>
  <c r="BI2598" i="1" a="1"/>
  <c r="BI2598" i="1" s="1"/>
  <c r="BI2596" i="1" a="1"/>
  <c r="BI2596" i="1" s="1"/>
  <c r="BQ2598" i="1"/>
  <c r="BR2598" i="1" s="1"/>
  <c r="BN2598" i="1" a="1"/>
  <c r="BN2598" i="1" s="1"/>
  <c r="BN2595" i="1" a="1"/>
  <c r="BN2595" i="1" s="1"/>
  <c r="BQ2595" i="1"/>
  <c r="BR2595" i="1" s="1"/>
  <c r="BQ2596" i="1"/>
  <c r="BR2596" i="1" s="1"/>
  <c r="BI2597" i="1" a="1"/>
  <c r="BI2597" i="1" s="1"/>
  <c r="BI2595" i="1" a="1"/>
  <c r="BI2595" i="1" s="1"/>
  <c r="BL2735" i="1" l="1"/>
  <c r="BJ226" i="1" a="1"/>
  <c r="BJ226" i="1" s="1"/>
  <c r="BL226" i="1" a="1"/>
  <c r="BL226" i="1" s="1"/>
  <c r="BJ223" i="1" a="1"/>
  <c r="BJ223" i="1" s="1"/>
  <c r="BL223" i="1" a="1"/>
  <c r="BL223" i="1" s="1"/>
  <c r="BJ2637" i="1" a="1"/>
  <c r="BJ2637" i="1" s="1"/>
  <c r="BL2637" i="1" a="1"/>
  <c r="BL2637" i="1" s="1"/>
  <c r="BJ229" i="1" a="1"/>
  <c r="BJ229" i="1" s="1"/>
  <c r="BL229" i="1" a="1"/>
  <c r="BL229" i="1" s="1"/>
  <c r="BJ2601" i="1" a="1"/>
  <c r="BJ2601" i="1" s="1"/>
  <c r="BL2601" i="1" a="1"/>
  <c r="BL2601" i="1" s="1"/>
  <c r="C40" i="2" l="1"/>
  <c r="BS2593" i="1"/>
  <c r="BO2593" i="1"/>
  <c r="BI2593" i="1" a="1"/>
  <c r="BI2593" i="1" s="1"/>
  <c r="BN2593" i="1" a="1"/>
  <c r="BN2593" i="1" s="1"/>
  <c r="BS2592" i="1"/>
  <c r="BO2592" i="1"/>
  <c r="BS2589" i="1"/>
  <c r="BO2589" i="1"/>
  <c r="BS2584" i="1"/>
  <c r="BO2584" i="1"/>
  <c r="BI2584" i="1" a="1"/>
  <c r="BI2584" i="1" s="1"/>
  <c r="BS2578" i="1"/>
  <c r="BO2578" i="1"/>
  <c r="BN2578" i="1" a="1"/>
  <c r="BN2578" i="1" s="1"/>
  <c r="BN1013" i="1" a="1"/>
  <c r="BN1013" i="1" s="1"/>
  <c r="BS2568" i="1"/>
  <c r="BO2568" i="1"/>
  <c r="BN2568" i="1" a="1"/>
  <c r="BN2568" i="1" s="1"/>
  <c r="BS2560" i="1"/>
  <c r="BO2560" i="1"/>
  <c r="BK2560" i="1" a="1"/>
  <c r="BK2560" i="1" s="1"/>
  <c r="D40" i="2" l="1"/>
  <c r="BM2560" i="1" a="1"/>
  <c r="BM2560" i="1" s="1"/>
  <c r="BQ2584" i="1"/>
  <c r="BR2584" i="1" s="1"/>
  <c r="BQ2589" i="1"/>
  <c r="BR2589" i="1" s="1"/>
  <c r="BQ2593" i="1"/>
  <c r="BR2593" i="1" s="1"/>
  <c r="BN2592" i="1" a="1"/>
  <c r="BN2592" i="1" s="1"/>
  <c r="BQ2568" i="1"/>
  <c r="BR2568" i="1" s="1"/>
  <c r="BI2592" i="1" a="1"/>
  <c r="BI2592" i="1" s="1"/>
  <c r="BI1013" i="1" a="1"/>
  <c r="BI1013" i="1" s="1"/>
  <c r="BQ2578" i="1"/>
  <c r="BR2578" i="1" s="1"/>
  <c r="BN2584" i="1" a="1"/>
  <c r="BN2584" i="1" s="1"/>
  <c r="BQ2592" i="1"/>
  <c r="BR2592" i="1" s="1"/>
  <c r="BI2578" i="1" a="1"/>
  <c r="BI2578" i="1" s="1"/>
  <c r="BI2568" i="1" a="1"/>
  <c r="BI2568" i="1" s="1"/>
  <c r="BI2589" i="1" a="1"/>
  <c r="BI2589" i="1" s="1"/>
  <c r="BN2589" i="1" a="1"/>
  <c r="BN2589" i="1" s="1"/>
  <c r="BQ2560" i="1"/>
  <c r="BR2560" i="1" s="1"/>
  <c r="BI2560" i="1" a="1"/>
  <c r="BI2560" i="1" s="1"/>
  <c r="BN2560" i="1" a="1"/>
  <c r="BN2560" i="1" s="1"/>
  <c r="BJ2560" i="1" l="1" a="1"/>
  <c r="BJ2560" i="1" s="1"/>
  <c r="BL2560" i="1" a="1"/>
  <c r="BL2560" i="1" s="1"/>
  <c r="BS2557" i="1"/>
  <c r="BS2555" i="1"/>
  <c r="BS2552" i="1"/>
  <c r="BS2546" i="1"/>
  <c r="BS2543" i="1"/>
  <c r="BS2540" i="1"/>
  <c r="BS2537" i="1"/>
  <c r="BS2290" i="1"/>
  <c r="BS2280" i="1"/>
  <c r="BS2270" i="1"/>
  <c r="BS2265" i="1"/>
  <c r="BS2260" i="1"/>
  <c r="BS1932" i="1"/>
  <c r="BS1920" i="1"/>
  <c r="BS1914" i="1"/>
  <c r="BS1908" i="1"/>
  <c r="BS1902" i="1"/>
  <c r="BS1896" i="1"/>
  <c r="BS1496" i="1"/>
  <c r="BS1484" i="1"/>
  <c r="BS1478" i="1"/>
  <c r="BS1472" i="1"/>
  <c r="BS1466" i="1"/>
  <c r="BS1460" i="1"/>
  <c r="BS326" i="1"/>
  <c r="BS324" i="1"/>
  <c r="BS323" i="1"/>
  <c r="BS322" i="1"/>
  <c r="BS321" i="1"/>
  <c r="BS320" i="1"/>
  <c r="BS229" i="1"/>
  <c r="BS223" i="1"/>
  <c r="BS220" i="1"/>
  <c r="BS217" i="1"/>
  <c r="BS214" i="1"/>
  <c r="BS211" i="1"/>
  <c r="BM2315" i="1" l="1" a="1"/>
  <c r="BM2315" i="1" s="1"/>
  <c r="BJ2315" i="1" s="1" a="1"/>
  <c r="BJ2315" i="1" s="1"/>
  <c r="AT2315" i="1"/>
  <c r="BM2294" i="1" a="1"/>
  <c r="BM2294" i="1" s="1"/>
  <c r="BJ2294" i="1" s="1" a="1"/>
  <c r="BJ2294" i="1" s="1"/>
  <c r="BM2300" i="1" a="1"/>
  <c r="BM2300" i="1" s="1"/>
  <c r="BJ2300" i="1" s="1" a="1"/>
  <c r="BJ2300" i="1" s="1"/>
  <c r="BM2312" i="1" a="1"/>
  <c r="BM2312" i="1" s="1"/>
  <c r="BJ2312" i="1" s="1" a="1"/>
  <c r="BJ2312" i="1" s="1"/>
  <c r="BM2297" i="1" a="1"/>
  <c r="BM2297" i="1" s="1"/>
  <c r="BJ2297" i="1" s="1" a="1"/>
  <c r="BJ2297" i="1" s="1"/>
  <c r="AT2297" i="1"/>
  <c r="BM2303" i="1" a="1"/>
  <c r="BM2303" i="1" s="1"/>
  <c r="BJ2303" i="1" s="1" a="1"/>
  <c r="BJ2303" i="1" s="1"/>
  <c r="AT2303" i="1"/>
  <c r="BM2330" i="1" a="1"/>
  <c r="BM2330" i="1" s="1"/>
  <c r="BJ2330" i="1" s="1" a="1"/>
  <c r="BJ2330" i="1" s="1"/>
  <c r="BM2291" i="1" a="1"/>
  <c r="BM2291" i="1" s="1"/>
  <c r="BJ2291" i="1" s="1" a="1"/>
  <c r="BJ2291" i="1" s="1"/>
  <c r="AT2291" i="1"/>
  <c r="BM2318" i="1" a="1"/>
  <c r="BM2318" i="1" s="1"/>
  <c r="BJ2318" i="1" s="1" a="1"/>
  <c r="BJ2318" i="1" s="1"/>
  <c r="BM2321" i="1" a="1"/>
  <c r="BM2321" i="1" s="1"/>
  <c r="BJ2321" i="1" s="1" a="1"/>
  <c r="BJ2321" i="1" s="1"/>
  <c r="AT2321" i="1"/>
  <c r="BM2324" i="1" a="1"/>
  <c r="BM2324" i="1" s="1"/>
  <c r="BJ2324" i="1" s="1" a="1"/>
  <c r="BJ2324" i="1" s="1"/>
  <c r="BM2327" i="1" a="1"/>
  <c r="BM2327" i="1" s="1"/>
  <c r="BJ2327" i="1" s="1" a="1"/>
  <c r="BJ2327" i="1" s="1"/>
  <c r="AT2327" i="1"/>
  <c r="BM2309" i="1" a="1"/>
  <c r="BM2309" i="1" s="1"/>
  <c r="BJ2309" i="1" s="1" a="1"/>
  <c r="BJ2309" i="1" s="1"/>
  <c r="AT2309" i="1"/>
  <c r="BK2315" i="1"/>
  <c r="BK2297" i="1"/>
  <c r="BK2321" i="1"/>
  <c r="AT2410" i="1" l="1"/>
  <c r="BK2410" i="1" l="1"/>
  <c r="BM2410" i="1" a="1"/>
  <c r="BM2410" i="1" s="1"/>
  <c r="BJ2410" i="1" s="1" a="1"/>
  <c r="BJ2410" i="1" s="1"/>
  <c r="BM2440" i="1" l="1" a="1"/>
  <c r="BM2440" i="1" s="1"/>
  <c r="BJ2440" i="1" s="1" a="1"/>
  <c r="BJ2440" i="1" s="1"/>
  <c r="BM2447" i="1" l="1" a="1"/>
  <c r="BM2447" i="1" s="1"/>
  <c r="BJ2447" i="1" s="1" a="1"/>
  <c r="BJ2447" i="1" s="1"/>
  <c r="BM2471" i="1" a="1"/>
  <c r="BM2471" i="1" s="1"/>
  <c r="BJ2471" i="1" s="1" a="1"/>
  <c r="BJ2471" i="1" s="1"/>
  <c r="AT2471" i="1"/>
  <c r="BM2450" i="1" a="1"/>
  <c r="BM2450" i="1" s="1"/>
  <c r="BJ2450" i="1" s="1" a="1"/>
  <c r="BJ2450" i="1" s="1"/>
  <c r="BM2474" i="1" a="1"/>
  <c r="BM2474" i="1" s="1"/>
  <c r="BJ2474" i="1" s="1" a="1"/>
  <c r="BJ2474" i="1" s="1"/>
  <c r="AT2474" i="1"/>
  <c r="BM2477" i="1" a="1"/>
  <c r="BM2477" i="1" s="1"/>
  <c r="BJ2477" i="1" s="1" a="1"/>
  <c r="BJ2477" i="1" s="1"/>
  <c r="BM2456" i="1" a="1"/>
  <c r="BM2456" i="1" s="1"/>
  <c r="BJ2456" i="1" s="1" a="1"/>
  <c r="BJ2456" i="1" s="1"/>
  <c r="BM2459" i="1" a="1"/>
  <c r="BM2459" i="1" s="1"/>
  <c r="BJ2459" i="1" s="1" a="1"/>
  <c r="BJ2459" i="1" s="1"/>
  <c r="AT2459" i="1"/>
  <c r="BM2483" i="1" a="1"/>
  <c r="BM2483" i="1" s="1"/>
  <c r="BJ2483" i="1" s="1" a="1"/>
  <c r="BJ2483" i="1" s="1"/>
  <c r="AT2483" i="1"/>
  <c r="BM2468" i="1" a="1"/>
  <c r="BM2468" i="1" s="1"/>
  <c r="BJ2468" i="1" s="1" a="1"/>
  <c r="BJ2468" i="1" s="1"/>
  <c r="BM2453" i="1" a="1"/>
  <c r="BM2453" i="1" s="1"/>
  <c r="BJ2453" i="1" s="1" a="1"/>
  <c r="BJ2453" i="1" s="1"/>
  <c r="AT2453" i="1"/>
  <c r="BM2480" i="1" a="1"/>
  <c r="BM2480" i="1" s="1"/>
  <c r="BJ2480" i="1" s="1" a="1"/>
  <c r="BJ2480" i="1" s="1"/>
  <c r="AT2480" i="1"/>
  <c r="BM2437" i="1" a="1"/>
  <c r="BM2437" i="1" s="1"/>
  <c r="BJ2437" i="1" s="1" a="1"/>
  <c r="BJ2437" i="1" s="1"/>
  <c r="BM2462" i="1" a="1"/>
  <c r="BM2462" i="1" s="1"/>
  <c r="BJ2462" i="1" s="1" a="1"/>
  <c r="BJ2462" i="1" s="1"/>
  <c r="BM2444" i="1" a="1"/>
  <c r="BM2444" i="1" s="1"/>
  <c r="BJ2444" i="1" s="1" a="1"/>
  <c r="BJ2444" i="1" s="1"/>
  <c r="AT2444" i="1"/>
  <c r="BM2465" i="1" a="1"/>
  <c r="BM2465" i="1" s="1"/>
  <c r="BJ2465" i="1" s="1" a="1"/>
  <c r="BJ2465" i="1" s="1"/>
  <c r="BK2453" i="1"/>
  <c r="BK2480" i="1"/>
  <c r="BK2483" i="1"/>
  <c r="BK2477" i="1"/>
  <c r="BL2477" i="1" a="1"/>
  <c r="BL2477" i="1" s="1"/>
  <c r="BK2471" i="1"/>
  <c r="BK2474" i="1"/>
  <c r="BK217" i="1" a="1"/>
  <c r="BK217" i="1" s="1"/>
  <c r="BM217" i="1" l="1" a="1"/>
  <c r="BM217" i="1" s="1"/>
  <c r="BJ217" i="1" l="1" a="1"/>
  <c r="BJ217" i="1" s="1"/>
  <c r="BL217" i="1" a="1"/>
  <c r="BL217" i="1" s="1"/>
  <c r="BM281" i="1" a="1"/>
  <c r="BM281" i="1" s="1"/>
  <c r="BJ281" i="1" s="1" a="1"/>
  <c r="BJ281" i="1" s="1"/>
  <c r="BM280" i="1" l="1" a="1"/>
  <c r="BM280" i="1" s="1"/>
  <c r="BJ280" i="1" s="1" a="1"/>
  <c r="BJ280" i="1" s="1"/>
  <c r="BM1226" i="1" a="1"/>
  <c r="BM1226" i="1" s="1"/>
  <c r="BJ1226" i="1" s="1" a="1"/>
  <c r="BJ1226" i="1" s="1"/>
  <c r="BM573" i="1" a="1"/>
  <c r="BM573" i="1" s="1"/>
  <c r="BJ573" i="1" s="1" a="1"/>
  <c r="BJ573" i="1" s="1"/>
  <c r="BM94" i="1" a="1"/>
  <c r="BM94" i="1" s="1"/>
  <c r="BJ94" i="1" s="1" a="1"/>
  <c r="BJ94" i="1" s="1"/>
  <c r="BK2065" i="1" l="1"/>
  <c r="C39" i="2" l="1"/>
  <c r="D39" i="2" l="1"/>
  <c r="AT2025" i="1" l="1"/>
  <c r="BS1093" i="1" l="1"/>
  <c r="BS1099" i="1"/>
  <c r="BS1551" i="1"/>
  <c r="BS1545" i="1"/>
  <c r="BS382" i="1"/>
  <c r="BS371" i="1"/>
  <c r="BO2017" i="1"/>
  <c r="BM1973" i="1" a="1"/>
  <c r="BM1973" i="1" s="1"/>
  <c r="BJ1973" i="1" s="1" a="1"/>
  <c r="BJ1973" i="1" s="1"/>
  <c r="AT1973" i="1"/>
  <c r="BM40" i="1" a="1"/>
  <c r="BM40" i="1" s="1"/>
  <c r="BJ40" i="1" s="1" a="1"/>
  <c r="BJ40" i="1" s="1"/>
  <c r="BM25" i="1" a="1"/>
  <c r="BM25" i="1" s="1"/>
  <c r="BJ25" i="1" s="1" a="1"/>
  <c r="BJ25" i="1" s="1"/>
  <c r="BM1938" i="1" a="1"/>
  <c r="BM1938" i="1" s="1"/>
  <c r="BJ1938" i="1" s="1" a="1"/>
  <c r="BJ1938" i="1" s="1"/>
  <c r="BM1988" i="1" a="1"/>
  <c r="BM1988" i="1" s="1"/>
  <c r="BJ1988" i="1" s="1" a="1"/>
  <c r="BJ1988" i="1" s="1"/>
  <c r="BM1352" i="1" a="1"/>
  <c r="BM1352" i="1" s="1"/>
  <c r="BJ1352" i="1" s="1" a="1"/>
  <c r="BJ1352" i="1" s="1"/>
  <c r="AT1352" i="1"/>
  <c r="BM1933" i="1" a="1"/>
  <c r="BM1933" i="1" s="1"/>
  <c r="BJ1933" i="1" s="1" a="1"/>
  <c r="BJ1933" i="1" s="1"/>
  <c r="AT1933" i="1"/>
  <c r="BM1998" i="1" a="1"/>
  <c r="BM1998" i="1" s="1"/>
  <c r="BJ1998" i="1" s="1" a="1"/>
  <c r="BJ1998" i="1" s="1"/>
  <c r="BM31" i="1" a="1"/>
  <c r="BM31" i="1" s="1"/>
  <c r="BJ31" i="1" s="1" a="1"/>
  <c r="BJ31" i="1" s="1"/>
  <c r="BM28" i="1" a="1"/>
  <c r="BM28" i="1" s="1"/>
  <c r="BJ28" i="1" s="1" a="1"/>
  <c r="BJ28" i="1" s="1"/>
  <c r="BM1953" i="1" a="1"/>
  <c r="BM1953" i="1" s="1"/>
  <c r="BJ1953" i="1" s="1" a="1"/>
  <c r="BJ1953" i="1" s="1"/>
  <c r="AT1953" i="1"/>
  <c r="BM1983" i="1" a="1"/>
  <c r="BM1983" i="1" s="1"/>
  <c r="BJ1983" i="1" s="1" a="1"/>
  <c r="BJ1983" i="1" s="1"/>
  <c r="AT1983" i="1"/>
  <c r="BM37" i="1" a="1"/>
  <c r="BM37" i="1" s="1"/>
  <c r="BJ37" i="1" s="1" a="1"/>
  <c r="BJ37" i="1" s="1"/>
  <c r="BM1968" i="1" a="1"/>
  <c r="BM1968" i="1" s="1"/>
  <c r="BJ1968" i="1" s="1" a="1"/>
  <c r="BJ1968" i="1" s="1"/>
  <c r="BM10" i="1" a="1"/>
  <c r="BM10" i="1" s="1"/>
  <c r="BJ10" i="1" s="1" a="1"/>
  <c r="BJ10" i="1" s="1"/>
  <c r="BM1201" i="1" a="1"/>
  <c r="BM1201" i="1" s="1"/>
  <c r="BJ1201" i="1" s="1" a="1"/>
  <c r="BJ1201" i="1" s="1"/>
  <c r="AT1201" i="1"/>
  <c r="BM22" i="1" a="1"/>
  <c r="BM22" i="1" s="1"/>
  <c r="BJ22" i="1" s="1" a="1"/>
  <c r="BJ22" i="1" s="1"/>
  <c r="BM1204" i="1" a="1"/>
  <c r="BM1204" i="1" s="1"/>
  <c r="BJ1204" i="1" s="1" a="1"/>
  <c r="BJ1204" i="1" s="1"/>
  <c r="BM1993" i="1" a="1"/>
  <c r="BM1993" i="1" s="1"/>
  <c r="BJ1993" i="1" s="1" a="1"/>
  <c r="BJ1993" i="1" s="1"/>
  <c r="AT1993" i="1"/>
  <c r="BM2028" i="1" a="1"/>
  <c r="BM2028" i="1" s="1"/>
  <c r="BJ2028" i="1" s="1" a="1"/>
  <c r="BJ2028" i="1" s="1"/>
  <c r="BM34" i="1" a="1"/>
  <c r="BM34" i="1" s="1"/>
  <c r="BJ34" i="1" s="1" a="1"/>
  <c r="BJ34" i="1" s="1"/>
  <c r="BM1963" i="1" a="1"/>
  <c r="BM1963" i="1" s="1"/>
  <c r="BJ1963" i="1" s="1" a="1"/>
  <c r="BJ1963" i="1" s="1"/>
  <c r="AT1963" i="1"/>
  <c r="BM1346" i="1" a="1"/>
  <c r="BM1346" i="1" s="1"/>
  <c r="BJ1346" i="1" s="1" a="1"/>
  <c r="BJ1346" i="1" s="1"/>
  <c r="AT1346" i="1"/>
  <c r="BM43" i="1" a="1"/>
  <c r="BM43" i="1" s="1"/>
  <c r="BJ43" i="1" s="1" a="1"/>
  <c r="BJ43" i="1" s="1"/>
  <c r="BM1978" i="1" a="1"/>
  <c r="BM1978" i="1" s="1"/>
  <c r="BJ1978" i="1" s="1" a="1"/>
  <c r="BJ1978" i="1" s="1"/>
  <c r="BK2025" i="1"/>
  <c r="BK2762" i="1" s="1"/>
  <c r="BM2025" i="1" a="1"/>
  <c r="BM2025" i="1" s="1"/>
  <c r="BJ2025" i="1" s="1" a="1"/>
  <c r="BJ2025" i="1" s="1"/>
  <c r="BK10" i="1"/>
  <c r="BK40" i="1"/>
  <c r="BO2049" i="1"/>
  <c r="D2" i="2"/>
  <c r="BS2440" i="1"/>
  <c r="BS1204" i="1"/>
  <c r="BS2456" i="1"/>
  <c r="BS2437" i="1"/>
  <c r="BS1201" i="1"/>
  <c r="BS2453" i="1"/>
  <c r="BS2321" i="1"/>
  <c r="BS2474" i="1"/>
  <c r="BS2410" i="1"/>
  <c r="BS2471" i="1"/>
  <c r="BS2450" i="1"/>
  <c r="BS2028" i="1"/>
  <c r="BS2130" i="1"/>
  <c r="BS1198" i="1"/>
  <c r="BS1770" i="1"/>
  <c r="BS1509" i="1"/>
  <c r="BS1316" i="1"/>
  <c r="BS1274" i="1"/>
  <c r="BS1105" i="1"/>
  <c r="BS705" i="1"/>
  <c r="BS528" i="1"/>
  <c r="BS448" i="1"/>
  <c r="BS298" i="1"/>
  <c r="BS291" i="1"/>
  <c r="BS154" i="1"/>
  <c r="BS136" i="1"/>
  <c r="BS1207" i="1"/>
  <c r="BS2125" i="1"/>
  <c r="BS1193" i="1"/>
  <c r="BS1988" i="1"/>
  <c r="BS1764" i="1"/>
  <c r="BS1722" i="1"/>
  <c r="BS1503" i="1"/>
  <c r="BS1310" i="1"/>
  <c r="BS1625" i="1"/>
  <c r="BS1147" i="1"/>
  <c r="BS782" i="1"/>
  <c r="BS694" i="1"/>
  <c r="BS437" i="1"/>
  <c r="BS360" i="1"/>
  <c r="BS297" i="1"/>
  <c r="BS290" i="1"/>
  <c r="BS1597" i="1"/>
  <c r="BS237" i="1"/>
  <c r="BS133" i="1"/>
  <c r="BS94" i="1"/>
  <c r="BS515" i="1"/>
  <c r="BS2480" i="1"/>
  <c r="BS2025" i="1"/>
  <c r="BS2160" i="1"/>
  <c r="BS2120" i="1"/>
  <c r="BS1983" i="1"/>
  <c r="BS2483" i="1"/>
  <c r="BS2444" i="1"/>
  <c r="BS2145" i="1"/>
  <c r="BS2398" i="1"/>
  <c r="BS2140" i="1"/>
  <c r="BS2165" i="1"/>
  <c r="BS1758" i="1"/>
  <c r="BS1182" i="1"/>
  <c r="BS1563" i="1"/>
  <c r="BS1497" i="1"/>
  <c r="BS1286" i="1"/>
  <c r="BS1176" i="1"/>
  <c r="BS716" i="1"/>
  <c r="BS301" i="1"/>
  <c r="BS293" i="1"/>
  <c r="BS2037" i="1"/>
  <c r="BS1752" i="1"/>
  <c r="BS1557" i="1"/>
  <c r="BS1334" i="1"/>
  <c r="BS1280" i="1"/>
  <c r="BS1170" i="1"/>
  <c r="BS1619" i="1"/>
  <c r="BS470" i="1"/>
  <c r="BS292" i="1"/>
  <c r="BS139" i="1"/>
  <c r="BS1746" i="1"/>
  <c r="BS1539" i="1"/>
  <c r="BS1328" i="1"/>
  <c r="BS1226" i="1"/>
  <c r="BS683" i="1"/>
  <c r="BS459" i="1"/>
  <c r="BS349" i="1"/>
  <c r="BS1596" i="1"/>
  <c r="BS157" i="1"/>
  <c r="BS130" i="1"/>
  <c r="BS2031" i="1"/>
  <c r="BS2155" i="1"/>
  <c r="BS1740" i="1"/>
  <c r="BS1533" i="1"/>
  <c r="BS1322" i="1"/>
  <c r="BS771" i="1"/>
  <c r="BS672" i="1"/>
  <c r="BS1608" i="1"/>
  <c r="BS338" i="1"/>
  <c r="BS289" i="1"/>
  <c r="BS517" i="1"/>
  <c r="BS127" i="1"/>
  <c r="BS2150" i="1"/>
  <c r="BS1734" i="1"/>
  <c r="BS1643" i="1"/>
  <c r="BS1304" i="1"/>
  <c r="BS1111" i="1"/>
  <c r="BS760" i="1"/>
  <c r="BS661" i="1"/>
  <c r="BS539" i="1"/>
  <c r="BS327" i="1"/>
  <c r="BS299" i="1"/>
  <c r="BS516" i="1"/>
  <c r="BS241" i="1"/>
  <c r="BS1595" i="1"/>
  <c r="BS1728" i="1"/>
  <c r="BS1298" i="1"/>
  <c r="BS2365" i="1"/>
  <c r="BS749" i="1"/>
  <c r="BS404" i="1"/>
  <c r="BS296" i="1"/>
  <c r="BS281" i="1"/>
  <c r="BS240" i="1"/>
  <c r="BS151" i="1"/>
  <c r="BS34" i="1"/>
  <c r="BS11" i="1"/>
  <c r="BS1716" i="1"/>
  <c r="BS1637" i="1"/>
  <c r="BS1575" i="1"/>
  <c r="BS1292" i="1"/>
  <c r="BS738" i="1"/>
  <c r="BS573" i="1"/>
  <c r="BS393" i="1"/>
  <c r="BS295" i="1"/>
  <c r="BS280" i="1"/>
  <c r="BS148" i="1"/>
  <c r="BS512" i="1"/>
  <c r="BS2170" i="1"/>
  <c r="BS2135" i="1"/>
  <c r="BS2022" i="1"/>
  <c r="BS1776" i="1"/>
  <c r="BS2017" i="1"/>
  <c r="BS1569" i="1"/>
  <c r="BS1631" i="1"/>
  <c r="BS294" i="1"/>
  <c r="BS1710" i="1"/>
  <c r="BS1188" i="1"/>
  <c r="BS145" i="1"/>
  <c r="BS1515" i="1"/>
  <c r="BS1141" i="1"/>
  <c r="BS302" i="1"/>
  <c r="BS236" i="1"/>
  <c r="BS727" i="1"/>
  <c r="BS2049" i="1"/>
  <c r="BS2038" i="1"/>
  <c r="BS2065" i="1"/>
  <c r="BS1123" i="1"/>
  <c r="BS1117" i="1"/>
  <c r="BS426" i="1"/>
  <c r="BS415" i="1"/>
  <c r="BS31" i="1"/>
  <c r="BS28" i="1"/>
  <c r="D10" i="2"/>
  <c r="BK34" i="1"/>
  <c r="BK1226" i="1"/>
  <c r="BK94" i="1"/>
  <c r="BK573" i="1"/>
  <c r="BO2557" i="1"/>
  <c r="BK2556" i="1" a="1"/>
  <c r="BK2556" i="1" s="1"/>
  <c r="BK2537" i="1" a="1"/>
  <c r="BK2537" i="1" s="1"/>
  <c r="BK2260" i="1" a="1"/>
  <c r="BK2260" i="1" s="1"/>
  <c r="BK1896" i="1" a="1"/>
  <c r="BK1896" i="1" s="1"/>
  <c r="BK1460" i="1" a="1"/>
  <c r="BK1460" i="1" s="1"/>
  <c r="BK2572" i="1" a="1"/>
  <c r="BK2572" i="1" s="1"/>
  <c r="BK1024" i="1" a="1"/>
  <c r="BK1024" i="1" s="1"/>
  <c r="BK320" i="1" a="1"/>
  <c r="BK320" i="1" s="1"/>
  <c r="BK220" i="1" a="1"/>
  <c r="BK220" i="1" s="1"/>
  <c r="BK214" i="1" a="1"/>
  <c r="BK214" i="1" s="1"/>
  <c r="AW211" i="1"/>
  <c r="BK211" i="1" s="1" a="1"/>
  <c r="BK211" i="1" s="1"/>
  <c r="BK2459" i="1"/>
  <c r="BK2444" i="1"/>
  <c r="BK1201" i="1"/>
  <c r="BK2327" i="1"/>
  <c r="BK2309" i="1"/>
  <c r="BK2303" i="1"/>
  <c r="BK2291" i="1"/>
  <c r="BK1993" i="1"/>
  <c r="BK1983" i="1"/>
  <c r="BK1963" i="1"/>
  <c r="BK1953" i="1"/>
  <c r="BK1933" i="1"/>
  <c r="BK1352" i="1"/>
  <c r="BK1346" i="1"/>
  <c r="BK281" i="1"/>
  <c r="BK28" i="1"/>
  <c r="AT1569" i="1"/>
  <c r="AT1557" i="1"/>
  <c r="AT1545" i="1"/>
  <c r="AT1533" i="1"/>
  <c r="AT1497" i="1"/>
  <c r="AT459" i="1"/>
  <c r="AT415" i="1"/>
  <c r="AT2120" i="1"/>
  <c r="AT2017" i="1"/>
  <c r="AT1193" i="1"/>
  <c r="BK2200" i="1" a="1"/>
  <c r="BK2200" i="1" s="1"/>
  <c r="BK2210" i="1" a="1"/>
  <c r="BK2210" i="1" s="1"/>
  <c r="BK1818" i="1" a="1"/>
  <c r="BK1818" i="1" s="1"/>
  <c r="BK1836" i="1" a="1"/>
  <c r="BK1836" i="1" s="1"/>
  <c r="BM187" i="1" a="1"/>
  <c r="BM187" i="1" s="1"/>
  <c r="BJ187" i="1" s="1" a="1"/>
  <c r="BJ187" i="1" s="1"/>
  <c r="AT2049" i="1"/>
  <c r="AT127" i="1"/>
  <c r="AT2031" i="1"/>
  <c r="BK172" i="1" a="1"/>
  <c r="BK172" i="1" s="1"/>
  <c r="BK181" i="1" a="1"/>
  <c r="BK181" i="1" s="1"/>
  <c r="BK859" i="1" a="1"/>
  <c r="BK859" i="1" s="1"/>
  <c r="BK892" i="1" a="1"/>
  <c r="BK892" i="1" s="1"/>
  <c r="BK1400" i="1" a="1"/>
  <c r="BK1400" i="1" s="1"/>
  <c r="BK1382" i="1" a="1"/>
  <c r="BK1382" i="1" s="1"/>
  <c r="BK2498" i="1" a="1"/>
  <c r="BK2498" i="1" s="1"/>
  <c r="BK2507" i="1" a="1"/>
  <c r="BK2507" i="1" s="1"/>
  <c r="BK307" i="1" a="1"/>
  <c r="BK307" i="1" s="1"/>
  <c r="BK310" i="1" a="1"/>
  <c r="BK310" i="1" s="1"/>
  <c r="AT298" i="1"/>
  <c r="AT289" i="1"/>
  <c r="AT242" i="1"/>
  <c r="AT240" i="1"/>
  <c r="AT238" i="1"/>
  <c r="AT236" i="1"/>
  <c r="AT232" i="1"/>
  <c r="AT2105" i="1"/>
  <c r="AT804" i="1"/>
  <c r="AT793" i="1"/>
  <c r="AT694" i="1"/>
  <c r="AT661" i="1"/>
  <c r="AT1292" i="1"/>
  <c r="AT1170" i="1"/>
  <c r="AT528" i="1"/>
  <c r="BK2492" i="1" a="1"/>
  <c r="BK2492" i="1" s="1"/>
  <c r="BM2495" i="1" a="1"/>
  <c r="BM2495" i="1" s="1"/>
  <c r="BJ2495" i="1" s="1" a="1"/>
  <c r="BJ2495" i="1" s="1"/>
  <c r="BK2501" i="1" a="1"/>
  <c r="BK2501" i="1" s="1"/>
  <c r="BM2504" i="1" a="1"/>
  <c r="BM2504" i="1" s="1"/>
  <c r="BJ2504" i="1" s="1" a="1"/>
  <c r="BJ2504" i="1" s="1"/>
  <c r="AW2513" i="1"/>
  <c r="BM2513" i="1" s="1" a="1"/>
  <c r="BM2513" i="1" s="1"/>
  <c r="BJ2513" i="1" s="1" a="1"/>
  <c r="BJ2513" i="1" s="1"/>
  <c r="AW2516" i="1"/>
  <c r="BM2205" i="1" a="1"/>
  <c r="BM2205" i="1" s="1"/>
  <c r="BJ2205" i="1" s="1" a="1"/>
  <c r="BJ2205" i="1" s="1"/>
  <c r="AW2220" i="1"/>
  <c r="BM2220" i="1" s="1" a="1"/>
  <c r="BM2220" i="1" s="1"/>
  <c r="BJ2220" i="1" s="1" a="1"/>
  <c r="BJ2220" i="1" s="1"/>
  <c r="AW2225" i="1"/>
  <c r="BK1806" i="1" a="1"/>
  <c r="BK1806" i="1" s="1"/>
  <c r="BM1812" i="1" a="1"/>
  <c r="BM1812" i="1" s="1"/>
  <c r="BJ1812" i="1" s="1" a="1"/>
  <c r="BJ1812" i="1" s="1"/>
  <c r="BK1824" i="1" a="1"/>
  <c r="BK1824" i="1" s="1"/>
  <c r="BM1830" i="1" a="1"/>
  <c r="BM1830" i="1" s="1"/>
  <c r="BJ1830" i="1" s="1" a="1"/>
  <c r="BJ1830" i="1" s="1"/>
  <c r="AW1848" i="1"/>
  <c r="BM1848" i="1" s="1" a="1"/>
  <c r="BM1848" i="1" s="1"/>
  <c r="BJ1848" i="1" s="1" a="1"/>
  <c r="BJ1848" i="1" s="1"/>
  <c r="AW1854" i="1"/>
  <c r="BK1370" i="1" a="1"/>
  <c r="BK1370" i="1" s="1"/>
  <c r="BM1376" i="1" a="1"/>
  <c r="BM1376" i="1" s="1"/>
  <c r="BJ1376" i="1" s="1" a="1"/>
  <c r="BJ1376" i="1" s="1"/>
  <c r="BK1388" i="1" a="1"/>
  <c r="BK1388" i="1" s="1"/>
  <c r="BM1394" i="1" a="1"/>
  <c r="BM1394" i="1" s="1"/>
  <c r="BJ1394" i="1" s="1" a="1"/>
  <c r="BJ1394" i="1" s="1"/>
  <c r="AW1412" i="1"/>
  <c r="BM1412" i="1" s="1" a="1"/>
  <c r="BM1412" i="1" s="1"/>
  <c r="BJ1412" i="1" s="1" a="1"/>
  <c r="BJ1412" i="1" s="1"/>
  <c r="AW1418" i="1"/>
  <c r="BK837" i="1" a="1"/>
  <c r="BK837" i="1" s="1"/>
  <c r="BM848" i="1" a="1"/>
  <c r="BM848" i="1" s="1"/>
  <c r="BJ848" i="1" s="1" a="1"/>
  <c r="BJ848" i="1" s="1"/>
  <c r="BK870" i="1" a="1"/>
  <c r="BK870" i="1" s="1"/>
  <c r="BM881" i="1" a="1"/>
  <c r="BM881" i="1" s="1"/>
  <c r="BJ881" i="1" s="1" a="1"/>
  <c r="BJ881" i="1" s="1"/>
  <c r="AW914" i="1"/>
  <c r="BM914" i="1" s="1" a="1"/>
  <c r="BM914" i="1" s="1"/>
  <c r="BJ914" i="1" s="1" a="1"/>
  <c r="BJ914" i="1" s="1"/>
  <c r="AW925" i="1"/>
  <c r="BM169" i="1" a="1"/>
  <c r="BM169" i="1" s="1"/>
  <c r="BJ169" i="1" s="1" a="1"/>
  <c r="BJ169" i="1" s="1"/>
  <c r="BK175" i="1" a="1"/>
  <c r="BK175" i="1" s="1"/>
  <c r="BM178" i="1" a="1"/>
  <c r="BM178" i="1" s="1"/>
  <c r="BJ178" i="1" s="1" a="1"/>
  <c r="BJ178" i="1" s="1"/>
  <c r="BK308" i="1" a="1"/>
  <c r="BK308" i="1" s="1"/>
  <c r="BK305" i="1" a="1"/>
  <c r="BK305" i="1" s="1"/>
  <c r="AW313" i="1"/>
  <c r="AW312" i="1"/>
  <c r="BM312" i="1" s="1" a="1"/>
  <c r="BM312" i="1" s="1"/>
  <c r="BJ312" i="1" s="1" a="1"/>
  <c r="BJ312" i="1" s="1"/>
  <c r="BM309" i="1" a="1"/>
  <c r="BM309" i="1" s="1"/>
  <c r="BJ309" i="1" s="1" a="1"/>
  <c r="BJ309" i="1" s="1"/>
  <c r="BM306" i="1" a="1"/>
  <c r="BM306" i="1" s="1"/>
  <c r="BJ306" i="1" s="1" a="1"/>
  <c r="BJ306" i="1" s="1"/>
  <c r="BN2444" i="1" a="1"/>
  <c r="BN2444" i="1" s="1"/>
  <c r="BI2025" i="1" a="1"/>
  <c r="BI2025" i="1" s="1"/>
  <c r="BN1201" i="1" a="1"/>
  <c r="BN1201" i="1" s="1"/>
  <c r="BI2468" i="1" a="1"/>
  <c r="BI2468" i="1" s="1"/>
  <c r="BK2465" i="1"/>
  <c r="BK2462" i="1"/>
  <c r="BK2456" i="1"/>
  <c r="BN2450" i="1" a="1"/>
  <c r="BN2450" i="1" s="1"/>
  <c r="BL2447" i="1" a="1"/>
  <c r="BL2447" i="1" s="1"/>
  <c r="BI2437" i="1" a="1"/>
  <c r="BI2437" i="1" s="1"/>
  <c r="BI2028" i="1" a="1"/>
  <c r="BI2028" i="1" s="1"/>
  <c r="BI1204" i="1" a="1"/>
  <c r="BI1204" i="1" s="1"/>
  <c r="BI2330" i="1" a="1"/>
  <c r="BI2330" i="1" s="1"/>
  <c r="BI2324" i="1" a="1"/>
  <c r="BI2324" i="1" s="1"/>
  <c r="BI2318" i="1" a="1"/>
  <c r="BI2318" i="1" s="1"/>
  <c r="BN2312" i="1" a="1"/>
  <c r="BN2312" i="1" s="1"/>
  <c r="BI2300" i="1" a="1"/>
  <c r="BI2300" i="1" s="1"/>
  <c r="BI2294" i="1" a="1"/>
  <c r="BI2294" i="1" s="1"/>
  <c r="BI1998" i="1" a="1"/>
  <c r="BI1998" i="1" s="1"/>
  <c r="BI1968" i="1" a="1"/>
  <c r="BI1968" i="1" s="1"/>
  <c r="BK1958" i="1"/>
  <c r="BI1938" i="1" a="1"/>
  <c r="BI1938" i="1" s="1"/>
  <c r="BI280" i="1" a="1"/>
  <c r="BI280" i="1" s="1"/>
  <c r="BI43" i="1" a="1"/>
  <c r="BI43" i="1" s="1"/>
  <c r="BI37" i="1" a="1"/>
  <c r="BI37" i="1" s="1"/>
  <c r="BI31" i="1" a="1"/>
  <c r="BI31" i="1" s="1"/>
  <c r="BI25" i="1" a="1"/>
  <c r="BI25" i="1" s="1"/>
  <c r="BI11" i="1" a="1"/>
  <c r="BI11" i="1" s="1"/>
  <c r="E2" i="5"/>
  <c r="BO2555" i="1"/>
  <c r="BO2552" i="1"/>
  <c r="BO2546" i="1"/>
  <c r="BO2543" i="1"/>
  <c r="BO2540" i="1"/>
  <c r="BO2537" i="1"/>
  <c r="BI2480" i="1" a="1"/>
  <c r="BI2480" i="1" s="1"/>
  <c r="BN2474" i="1" a="1"/>
  <c r="BN2474" i="1" s="1"/>
  <c r="BI2474" i="1" a="1"/>
  <c r="BI2474" i="1" s="1"/>
  <c r="BN2471" i="1" a="1"/>
  <c r="BN2471" i="1" s="1"/>
  <c r="BI2471" i="1" a="1"/>
  <c r="BI2471" i="1" s="1"/>
  <c r="BN2468" i="1" a="1"/>
  <c r="BN2468" i="1" s="1"/>
  <c r="BL2468" i="1" a="1"/>
  <c r="BL2468" i="1" s="1"/>
  <c r="BN2459" i="1" a="1"/>
  <c r="BN2459" i="1" s="1"/>
  <c r="BI2459" i="1" a="1"/>
  <c r="BI2459" i="1" s="1"/>
  <c r="BL2456" i="1" a="1"/>
  <c r="BL2456" i="1" s="1"/>
  <c r="BN2453" i="1" a="1"/>
  <c r="BN2453" i="1" s="1"/>
  <c r="BI2453" i="1" a="1"/>
  <c r="BI2453" i="1" s="1"/>
  <c r="BN2447" i="1" a="1"/>
  <c r="BN2447" i="1" s="1"/>
  <c r="BN2440" i="1" a="1"/>
  <c r="BN2440" i="1" s="1"/>
  <c r="BI2440" i="1" a="1"/>
  <c r="BI2440" i="1" s="1"/>
  <c r="BK2437" i="1"/>
  <c r="BN2410" i="1" a="1"/>
  <c r="BN2410" i="1" s="1"/>
  <c r="BI2410" i="1" a="1"/>
  <c r="BI2410" i="1" s="1"/>
  <c r="BN2028" i="1" a="1"/>
  <c r="BN2028" i="1" s="1"/>
  <c r="BK1204" i="1"/>
  <c r="BN2330" i="1" a="1"/>
  <c r="BN2330" i="1" s="1"/>
  <c r="BL2330" i="1" a="1"/>
  <c r="BL2330" i="1" s="1"/>
  <c r="BK2330" i="1"/>
  <c r="BN2327" i="1" a="1"/>
  <c r="BN2327" i="1" s="1"/>
  <c r="BI2327" i="1" a="1"/>
  <c r="BI2327" i="1" s="1"/>
  <c r="BK2324" i="1"/>
  <c r="BN2321" i="1" a="1"/>
  <c r="BN2321" i="1" s="1"/>
  <c r="BI2321" i="1" a="1"/>
  <c r="BI2321" i="1" s="1"/>
  <c r="BL2318" i="1" a="1"/>
  <c r="BL2318" i="1" s="1"/>
  <c r="BN2315" i="1" a="1"/>
  <c r="BN2315" i="1" s="1"/>
  <c r="BN2309" i="1" a="1"/>
  <c r="BN2309" i="1" s="1"/>
  <c r="BI2309" i="1" a="1"/>
  <c r="BI2309" i="1" s="1"/>
  <c r="BN2303" i="1" a="1"/>
  <c r="BN2303" i="1" s="1"/>
  <c r="BI2303" i="1" a="1"/>
  <c r="BI2303" i="1" s="1"/>
  <c r="BL2300" i="1" a="1"/>
  <c r="BL2300" i="1" s="1"/>
  <c r="BN2297" i="1" a="1"/>
  <c r="BN2297" i="1" s="1"/>
  <c r="BI2297" i="1" a="1"/>
  <c r="BI2297" i="1" s="1"/>
  <c r="BL2294" i="1" a="1"/>
  <c r="BL2294" i="1" s="1"/>
  <c r="BK2294" i="1"/>
  <c r="BO2290" i="1"/>
  <c r="BO2280" i="1"/>
  <c r="BO2270" i="1"/>
  <c r="BN2270" i="1" a="1"/>
  <c r="BN2270" i="1" s="1"/>
  <c r="BO2265" i="1"/>
  <c r="BO2260" i="1"/>
  <c r="BN1998" i="1" a="1"/>
  <c r="BN1998" i="1" s="1"/>
  <c r="BL1998" i="1" a="1"/>
  <c r="BL1998" i="1" s="1"/>
  <c r="BK1998" i="1"/>
  <c r="BN1993" i="1" a="1"/>
  <c r="BN1993" i="1" s="1"/>
  <c r="BI1993" i="1" a="1"/>
  <c r="BI1993" i="1" s="1"/>
  <c r="BN1983" i="1" a="1"/>
  <c r="BN1983" i="1" s="1"/>
  <c r="BI1983" i="1" a="1"/>
  <c r="BI1983" i="1" s="1"/>
  <c r="BN1968" i="1" a="1"/>
  <c r="BN1968" i="1" s="1"/>
  <c r="BL1968" i="1" a="1"/>
  <c r="BL1968" i="1" s="1"/>
  <c r="BK1968" i="1"/>
  <c r="BN1963" i="1" a="1"/>
  <c r="BN1963" i="1" s="1"/>
  <c r="BI1963" i="1" a="1"/>
  <c r="BI1963" i="1" s="1"/>
  <c r="BN1958" i="1" a="1"/>
  <c r="BN1958" i="1" s="1"/>
  <c r="BN1953" i="1" a="1"/>
  <c r="BN1953" i="1" s="1"/>
  <c r="BI1953" i="1" a="1"/>
  <c r="BI1953" i="1" s="1"/>
  <c r="BN1933" i="1" a="1"/>
  <c r="BN1933" i="1" s="1"/>
  <c r="BI1933" i="1" a="1"/>
  <c r="BI1933" i="1" s="1"/>
  <c r="BP2403" i="1" l="1"/>
  <c r="BP2275" i="1"/>
  <c r="BP2371" i="1"/>
  <c r="BP2349" i="1"/>
  <c r="BP142" i="1"/>
  <c r="BP2636" i="1"/>
  <c r="BP2635" i="1"/>
  <c r="BP2599" i="1"/>
  <c r="BP2600" i="1"/>
  <c r="BP2558" i="1"/>
  <c r="BP2559" i="1"/>
  <c r="BP224" i="1"/>
  <c r="BP225" i="1"/>
  <c r="BP221" i="1"/>
  <c r="BP222" i="1"/>
  <c r="BP218" i="1"/>
  <c r="BP219" i="1"/>
  <c r="BP216" i="1"/>
  <c r="BP215" i="1"/>
  <c r="BP212" i="1"/>
  <c r="BP213" i="1"/>
  <c r="BP2034" i="1"/>
  <c r="BP96" i="1"/>
  <c r="BP95" i="1"/>
  <c r="BP159" i="1"/>
  <c r="BP158" i="1"/>
  <c r="BP156" i="1"/>
  <c r="BP155" i="1"/>
  <c r="BP147" i="1"/>
  <c r="BP146" i="1"/>
  <c r="BP134" i="1"/>
  <c r="BP135" i="1"/>
  <c r="BP128" i="1"/>
  <c r="BP129" i="1"/>
  <c r="BP32" i="1"/>
  <c r="BP33" i="1"/>
  <c r="BP6" i="1"/>
  <c r="BP2592" i="1"/>
  <c r="BP2" i="1"/>
  <c r="BP2552" i="1"/>
  <c r="BP2260" i="1"/>
  <c r="BP2557" i="1"/>
  <c r="BP2546" i="1"/>
  <c r="BP2290" i="1"/>
  <c r="BP2265" i="1"/>
  <c r="BP2270" i="1"/>
  <c r="BP2280" i="1"/>
  <c r="BP2540" i="1"/>
  <c r="BP2537" i="1"/>
  <c r="BP2555" i="1"/>
  <c r="BP2543" i="1"/>
  <c r="BP2633" i="1"/>
  <c r="BP2669" i="1"/>
  <c r="BP2589" i="1"/>
  <c r="BP2630" i="1"/>
  <c r="BP2584" i="1"/>
  <c r="BP2625" i="1"/>
  <c r="BP2578" i="1"/>
  <c r="BP2619" i="1"/>
  <c r="BP2568" i="1"/>
  <c r="BP2602" i="1"/>
  <c r="BP2560" i="1"/>
  <c r="BP2601" i="1"/>
  <c r="BP2596" i="1"/>
  <c r="BP2634" i="1"/>
  <c r="BP2594" i="1"/>
  <c r="BP2595" i="1"/>
  <c r="BP2598" i="1"/>
  <c r="BP2593" i="1"/>
  <c r="BM311" i="1" a="1"/>
  <c r="BM311" i="1" s="1"/>
  <c r="BJ311" i="1" s="1" a="1"/>
  <c r="BJ311" i="1" s="1"/>
  <c r="BK311" i="1" a="1"/>
  <c r="BK311" i="1" s="1"/>
  <c r="BM2510" i="1" a="1"/>
  <c r="BM2510" i="1" s="1"/>
  <c r="BJ2510" i="1" s="1" a="1"/>
  <c r="BJ2510" i="1" s="1"/>
  <c r="BK2510" i="1" a="1"/>
  <c r="BK2510" i="1" s="1"/>
  <c r="BM903" i="1" a="1"/>
  <c r="BM903" i="1" s="1"/>
  <c r="BJ903" i="1" s="1" a="1"/>
  <c r="BJ903" i="1" s="1"/>
  <c r="BK903" i="1" a="1"/>
  <c r="BK903" i="1" s="1"/>
  <c r="BM1842" i="1" a="1"/>
  <c r="BM1842" i="1" s="1"/>
  <c r="BJ1842" i="1" s="1" a="1"/>
  <c r="BJ1842" i="1" s="1"/>
  <c r="BK1842" i="1" a="1"/>
  <c r="BK1842" i="1" s="1"/>
  <c r="BM1406" i="1" a="1"/>
  <c r="BM1406" i="1" s="1"/>
  <c r="BJ1406" i="1" s="1" a="1"/>
  <c r="BJ1406" i="1" s="1"/>
  <c r="BK1406" i="1" a="1"/>
  <c r="BK1406" i="1" s="1"/>
  <c r="BM2215" i="1" a="1"/>
  <c r="BM2215" i="1" s="1"/>
  <c r="BJ2215" i="1" s="1" a="1"/>
  <c r="BJ2215" i="1" s="1"/>
  <c r="BK2215" i="1" a="1"/>
  <c r="BK2215" i="1" s="1"/>
  <c r="BM184" i="1" a="1"/>
  <c r="BM184" i="1" s="1"/>
  <c r="BJ184" i="1" s="1" a="1"/>
  <c r="BJ184" i="1" s="1"/>
  <c r="BK184" i="1" a="1"/>
  <c r="BK184" i="1" s="1"/>
  <c r="BN2260" i="1" a="1"/>
  <c r="BN2260" i="1" s="1"/>
  <c r="BM1596" i="1" a="1"/>
  <c r="BM1596" i="1" s="1"/>
  <c r="BJ1596" i="1" s="1" a="1"/>
  <c r="BJ1596" i="1" s="1"/>
  <c r="AT1596" i="1"/>
  <c r="BM1608" i="1" a="1"/>
  <c r="BM1608" i="1" s="1"/>
  <c r="BJ1608" i="1" s="1" a="1"/>
  <c r="BJ1608" i="1" s="1"/>
  <c r="AT1608" i="1"/>
  <c r="BM1764" i="1" a="1"/>
  <c r="BM1764" i="1" s="1"/>
  <c r="BJ1764" i="1" s="1" a="1"/>
  <c r="BJ1764" i="1" s="1"/>
  <c r="AT1764" i="1"/>
  <c r="BM1752" i="1" a="1"/>
  <c r="BM1752" i="1" s="1"/>
  <c r="BJ1752" i="1" s="1" a="1"/>
  <c r="BJ1752" i="1" s="1"/>
  <c r="BM231" i="1" a="1"/>
  <c r="BM231" i="1" s="1"/>
  <c r="BJ231" i="1" s="1" a="1"/>
  <c r="BJ231" i="1" s="1"/>
  <c r="BM291" i="1" a="1"/>
  <c r="BM291" i="1" s="1"/>
  <c r="BJ291" i="1" s="1" a="1"/>
  <c r="BJ291" i="1" s="1"/>
  <c r="BM292" i="1" a="1"/>
  <c r="BM292" i="1" s="1"/>
  <c r="BJ292" i="1" s="1" a="1"/>
  <c r="BJ292" i="1" s="1"/>
  <c r="AT292" i="1"/>
  <c r="BM1595" i="1" a="1"/>
  <c r="BM1595" i="1" s="1"/>
  <c r="BJ1595" i="1" s="1" a="1"/>
  <c r="BJ1595" i="1" s="1"/>
  <c r="BM1141" i="1" a="1"/>
  <c r="BM1141" i="1" s="1"/>
  <c r="BJ1141" i="1" s="1" a="1"/>
  <c r="BJ1141" i="1" s="1"/>
  <c r="AT1141" i="1"/>
  <c r="BM121" i="1" a="1"/>
  <c r="BM121" i="1" s="1"/>
  <c r="BJ121" i="1" s="1" a="1"/>
  <c r="BJ121" i="1" s="1"/>
  <c r="BM144" i="1" a="1"/>
  <c r="BM144" i="1" s="1"/>
  <c r="BJ144" i="1" s="1" a="1"/>
  <c r="BJ144" i="1" s="1"/>
  <c r="BM2022" i="1" a="1"/>
  <c r="BM2022" i="1" s="1"/>
  <c r="BJ2022" i="1" s="1" a="1"/>
  <c r="BJ2022" i="1" s="1"/>
  <c r="BM2135" i="1" a="1"/>
  <c r="BM2135" i="1" s="1"/>
  <c r="BJ2135" i="1" s="1" a="1"/>
  <c r="BJ2135" i="1" s="1"/>
  <c r="BM360" i="1" a="1"/>
  <c r="BM360" i="1" s="1"/>
  <c r="BJ360" i="1" s="1" a="1"/>
  <c r="BJ360" i="1" s="1"/>
  <c r="BM437" i="1" a="1"/>
  <c r="BM437" i="1" s="1"/>
  <c r="BJ437" i="1" s="1" a="1"/>
  <c r="BJ437" i="1" s="1"/>
  <c r="AT437" i="1"/>
  <c r="BM1334" i="1" a="1"/>
  <c r="BM1334" i="1" s="1"/>
  <c r="BJ1334" i="1" s="1" a="1"/>
  <c r="BJ1334" i="1" s="1"/>
  <c r="AT1334" i="1"/>
  <c r="BM1575" i="1" a="1"/>
  <c r="BM1575" i="1" s="1"/>
  <c r="BJ1575" i="1" s="1" a="1"/>
  <c r="BJ1575" i="1" s="1"/>
  <c r="BM672" i="1" a="1"/>
  <c r="BM672" i="1" s="1"/>
  <c r="BJ672" i="1" s="1" a="1"/>
  <c r="BJ672" i="1" s="1"/>
  <c r="BM1176" i="1" a="1"/>
  <c r="BM1176" i="1" s="1"/>
  <c r="BJ1176" i="1" s="1" a="1"/>
  <c r="BJ1176" i="1" s="1"/>
  <c r="BM2382" i="1" a="1"/>
  <c r="BM2382" i="1" s="1"/>
  <c r="BJ2382" i="1" s="1" a="1"/>
  <c r="BJ2382" i="1" s="1"/>
  <c r="AT2382" i="1"/>
  <c r="BM1770" i="1" a="1"/>
  <c r="BM1770" i="1" s="1"/>
  <c r="BJ1770" i="1" s="1" a="1"/>
  <c r="BJ1770" i="1" s="1"/>
  <c r="AT1770" i="1"/>
  <c r="BM1758" i="1" a="1"/>
  <c r="BM1758" i="1" s="1"/>
  <c r="BJ1758" i="1" s="1" a="1"/>
  <c r="BJ1758" i="1" s="1"/>
  <c r="BM239" i="1" a="1"/>
  <c r="BM239" i="1" s="1"/>
  <c r="BJ239" i="1" s="1" a="1"/>
  <c r="BJ239" i="1" s="1"/>
  <c r="BM293" i="1" a="1"/>
  <c r="BM293" i="1" s="1"/>
  <c r="BJ293" i="1" s="1" a="1"/>
  <c r="BJ293" i="1" s="1"/>
  <c r="BM294" i="1" a="1"/>
  <c r="BM294" i="1" s="1"/>
  <c r="BJ294" i="1" s="1" a="1"/>
  <c r="BJ294" i="1" s="1"/>
  <c r="AT294" i="1"/>
  <c r="BM2036" i="1" a="1"/>
  <c r="BM2036" i="1" s="1"/>
  <c r="BJ2036" i="1" s="1" a="1"/>
  <c r="BJ2036" i="1" s="1"/>
  <c r="BM1069" i="1" a="1"/>
  <c r="BM1069" i="1" s="1"/>
  <c r="BJ1069" i="1" s="1" a="1"/>
  <c r="BJ1069" i="1" s="1"/>
  <c r="AT1069" i="1"/>
  <c r="BM1087" i="1" a="1"/>
  <c r="BM1087" i="1" s="1"/>
  <c r="BJ1087" i="1" s="1" a="1"/>
  <c r="BJ1087" i="1" s="1"/>
  <c r="BM124" i="1" a="1"/>
  <c r="BM124" i="1" s="1"/>
  <c r="BJ124" i="1" s="1" a="1"/>
  <c r="BJ124" i="1" s="1"/>
  <c r="BM145" i="1" a="1"/>
  <c r="BM145" i="1" s="1"/>
  <c r="BJ145" i="1" s="1" a="1"/>
  <c r="BJ145" i="1" s="1"/>
  <c r="AT145" i="1"/>
  <c r="BM19" i="1" a="1"/>
  <c r="BM19" i="1" s="1"/>
  <c r="BJ19" i="1" s="1" a="1"/>
  <c r="BJ19" i="1" s="1"/>
  <c r="BM2130" i="1" a="1"/>
  <c r="BM2130" i="1" s="1"/>
  <c r="BJ2130" i="1" s="1" a="1"/>
  <c r="BJ2130" i="1" s="1"/>
  <c r="AT2130" i="1"/>
  <c r="BM2140" i="1" a="1"/>
  <c r="BM2140" i="1" s="1"/>
  <c r="BJ2140" i="1" s="1" a="1"/>
  <c r="BJ2140" i="1" s="1"/>
  <c r="BM371" i="1" a="1"/>
  <c r="BM371" i="1" s="1"/>
  <c r="BJ371" i="1" s="1" a="1"/>
  <c r="BJ371" i="1" s="1"/>
  <c r="AT371" i="1"/>
  <c r="BM448" i="1" a="1"/>
  <c r="BM448" i="1" s="1"/>
  <c r="BJ448" i="1" s="1" a="1"/>
  <c r="BJ448" i="1" s="1"/>
  <c r="BM1304" i="1" a="1"/>
  <c r="BM1304" i="1" s="1"/>
  <c r="BJ1304" i="1" s="1" a="1"/>
  <c r="BJ1304" i="1" s="1"/>
  <c r="AT1304" i="1"/>
  <c r="AT1322" i="1" s="1"/>
  <c r="BM1619" i="1" a="1"/>
  <c r="BM1619" i="1" s="1"/>
  <c r="BJ1619" i="1" s="1" a="1"/>
  <c r="BJ1619" i="1" s="1"/>
  <c r="BM683" i="1" a="1"/>
  <c r="BM683" i="1" s="1"/>
  <c r="BJ683" i="1" s="1" a="1"/>
  <c r="BJ683" i="1" s="1"/>
  <c r="BM1776" i="1" a="1"/>
  <c r="BM1776" i="1" s="1"/>
  <c r="BJ1776" i="1" s="1" a="1"/>
  <c r="BJ1776" i="1" s="1"/>
  <c r="BM233" i="1" a="1"/>
  <c r="BM233" i="1" s="1"/>
  <c r="BJ233" i="1" s="1" a="1"/>
  <c r="BJ233" i="1" s="1"/>
  <c r="BM295" i="1" a="1"/>
  <c r="BM295" i="1" s="1"/>
  <c r="BJ295" i="1" s="1" a="1"/>
  <c r="BJ295" i="1" s="1"/>
  <c r="BM512" i="1" a="1"/>
  <c r="BM512" i="1" s="1"/>
  <c r="BJ512" i="1" s="1" a="1"/>
  <c r="BJ512" i="1" s="1"/>
  <c r="BM1075" i="1" a="1"/>
  <c r="BM1075" i="1" s="1"/>
  <c r="BJ1075" i="1" s="1" a="1"/>
  <c r="BJ1075" i="1" s="1"/>
  <c r="BM148" i="1" a="1"/>
  <c r="BM148" i="1" s="1"/>
  <c r="BJ148" i="1" s="1" a="1"/>
  <c r="BJ148" i="1" s="1"/>
  <c r="AT148" i="1"/>
  <c r="BM2398" i="1" a="1"/>
  <c r="BM2398" i="1" s="1"/>
  <c r="BJ2398" i="1" s="1" a="1"/>
  <c r="BJ2398" i="1" s="1"/>
  <c r="AT2398" i="1"/>
  <c r="BM2150" i="1" a="1"/>
  <c r="BM2150" i="1" s="1"/>
  <c r="BJ2150" i="1" s="1" a="1"/>
  <c r="BJ2150" i="1" s="1"/>
  <c r="AT2150" i="1"/>
  <c r="BM2145" i="1" a="1"/>
  <c r="BM2145" i="1" s="1"/>
  <c r="BJ2145" i="1" s="1" a="1"/>
  <c r="BJ2145" i="1" s="1"/>
  <c r="BM1310" i="1" a="1"/>
  <c r="BM1310" i="1" s="1"/>
  <c r="BJ1310" i="1" s="1" a="1"/>
  <c r="BJ1310" i="1" s="1"/>
  <c r="BM1328" i="1" a="1"/>
  <c r="BM1328" i="1" s="1"/>
  <c r="BJ1328" i="1" s="1" a="1"/>
  <c r="BJ1328" i="1" s="1"/>
  <c r="AT1328" i="1"/>
  <c r="BM1539" i="1" a="1"/>
  <c r="BM1539" i="1" s="1"/>
  <c r="BJ1539" i="1" s="1" a="1"/>
  <c r="BJ1539" i="1" s="1"/>
  <c r="BM517" i="1" a="1"/>
  <c r="BM517" i="1" s="1"/>
  <c r="BJ517" i="1" s="1" a="1"/>
  <c r="BJ517" i="1" s="1"/>
  <c r="BM2037" i="1" a="1"/>
  <c r="BM2037" i="1" s="1"/>
  <c r="BJ2037" i="1" s="1" a="1"/>
  <c r="BJ2037" i="1" s="1"/>
  <c r="AT2037" i="1"/>
  <c r="BM539" i="1" a="1"/>
  <c r="BM539" i="1" s="1"/>
  <c r="BJ539" i="1" s="1" a="1"/>
  <c r="BJ539" i="1" s="1"/>
  <c r="BM1298" i="1" a="1"/>
  <c r="BM1298" i="1" s="1"/>
  <c r="BJ1298" i="1" s="1" a="1"/>
  <c r="BJ1298" i="1" s="1"/>
  <c r="BM705" i="1" a="1"/>
  <c r="BM705" i="1" s="1"/>
  <c r="BJ705" i="1" s="1" a="1"/>
  <c r="BJ705" i="1" s="1"/>
  <c r="BM716" i="1" a="1"/>
  <c r="BM716" i="1" s="1"/>
  <c r="BJ716" i="1" s="1" a="1"/>
  <c r="BJ716" i="1" s="1"/>
  <c r="AT716" i="1"/>
  <c r="BM1182" i="1" a="1"/>
  <c r="BM1182" i="1" s="1"/>
  <c r="BJ1182" i="1" s="1" a="1"/>
  <c r="BJ1182" i="1" s="1"/>
  <c r="AT1182" i="1"/>
  <c r="BM1710" i="1" a="1"/>
  <c r="BM1710" i="1" s="1"/>
  <c r="BJ1710" i="1" s="1" a="1"/>
  <c r="BJ1710" i="1" s="1"/>
  <c r="AT1710" i="1"/>
  <c r="BM1782" i="1" a="1"/>
  <c r="BM1782" i="1" s="1"/>
  <c r="BJ1782" i="1" s="1" a="1"/>
  <c r="BJ1782" i="1" s="1"/>
  <c r="AT1782" i="1"/>
  <c r="BM234" i="1" a="1"/>
  <c r="BM234" i="1" s="1"/>
  <c r="BJ234" i="1" s="1" a="1"/>
  <c r="BJ234" i="1" s="1"/>
  <c r="AT234" i="1"/>
  <c r="BM241" i="1" a="1"/>
  <c r="BM241" i="1" s="1"/>
  <c r="BJ241" i="1" s="1" a="1"/>
  <c r="BJ241" i="1" s="1"/>
  <c r="BM296" i="1" a="1"/>
  <c r="BM296" i="1" s="1"/>
  <c r="BJ296" i="1" s="1" a="1"/>
  <c r="BJ296" i="1" s="1"/>
  <c r="BM299" i="1" a="1"/>
  <c r="BM299" i="1" s="1"/>
  <c r="BJ299" i="1" s="1" a="1"/>
  <c r="BJ299" i="1" s="1"/>
  <c r="AT299" i="1"/>
  <c r="BM1207" i="1" a="1"/>
  <c r="BM1207" i="1" s="1"/>
  <c r="BJ1207" i="1" s="1" a="1"/>
  <c r="BJ1207" i="1" s="1"/>
  <c r="BM1081" i="1" a="1"/>
  <c r="BM1081" i="1" s="1"/>
  <c r="BJ1081" i="1" s="1" a="1"/>
  <c r="BJ1081" i="1" s="1"/>
  <c r="AT1081" i="1"/>
  <c r="BM1099" i="1" a="1"/>
  <c r="BM1099" i="1" s="1"/>
  <c r="BJ1099" i="1" s="1" a="1"/>
  <c r="BJ1099" i="1" s="1"/>
  <c r="BM151" i="1" a="1"/>
  <c r="BM151" i="1" s="1"/>
  <c r="BJ151" i="1" s="1" a="1"/>
  <c r="BJ151" i="1" s="1"/>
  <c r="BM2155" i="1" a="1"/>
  <c r="BM2155" i="1" s="1"/>
  <c r="BJ2155" i="1" s="1" a="1"/>
  <c r="BJ2155" i="1" s="1"/>
  <c r="AT2155" i="1"/>
  <c r="BM2160" i="1" a="1"/>
  <c r="BM2160" i="1" s="1"/>
  <c r="BJ2160" i="1" s="1" a="1"/>
  <c r="BJ2160" i="1" s="1"/>
  <c r="BM382" i="1" a="1"/>
  <c r="BM382" i="1" s="1"/>
  <c r="BJ382" i="1" s="1" a="1"/>
  <c r="BJ382" i="1" s="1"/>
  <c r="BM470" i="1" a="1"/>
  <c r="BM470" i="1" s="1"/>
  <c r="BJ470" i="1" s="1" a="1"/>
  <c r="BJ470" i="1" s="1"/>
  <c r="BM1316" i="1" a="1"/>
  <c r="BM1316" i="1" s="1"/>
  <c r="BJ1316" i="1" s="1" a="1"/>
  <c r="BJ1316" i="1" s="1"/>
  <c r="BM1597" i="1" a="1"/>
  <c r="BM1597" i="1" s="1"/>
  <c r="BJ1597" i="1" s="1" a="1"/>
  <c r="BJ1597" i="1" s="1"/>
  <c r="BM1631" i="1" a="1"/>
  <c r="BM1631" i="1" s="1"/>
  <c r="BJ1631" i="1" s="1" a="1"/>
  <c r="BJ1631" i="1" s="1"/>
  <c r="BM727" i="1" a="1"/>
  <c r="BM727" i="1" s="1"/>
  <c r="BJ727" i="1" s="1" a="1"/>
  <c r="BJ727" i="1" s="1"/>
  <c r="BM760" i="1" a="1"/>
  <c r="BM760" i="1" s="1"/>
  <c r="BJ760" i="1" s="1" a="1"/>
  <c r="BJ760" i="1" s="1"/>
  <c r="AT760" i="1"/>
  <c r="BM1188" i="1" a="1"/>
  <c r="BM1188" i="1" s="1"/>
  <c r="BJ1188" i="1" s="1" a="1"/>
  <c r="BJ1188" i="1" s="1"/>
  <c r="BM1716" i="1" a="1"/>
  <c r="BM1716" i="1" s="1"/>
  <c r="BJ1716" i="1" s="1" a="1"/>
  <c r="BJ1716" i="1" s="1"/>
  <c r="BM1788" i="1" a="1"/>
  <c r="BM1788" i="1" s="1"/>
  <c r="BJ1788" i="1" s="1" a="1"/>
  <c r="BJ1788" i="1" s="1"/>
  <c r="AT1788" i="1"/>
  <c r="BM297" i="1" a="1"/>
  <c r="BM297" i="1" s="1"/>
  <c r="BJ297" i="1" s="1" a="1"/>
  <c r="BJ297" i="1" s="1"/>
  <c r="BM1093" i="1" a="1"/>
  <c r="BM1093" i="1" s="1"/>
  <c r="BJ1093" i="1" s="1" a="1"/>
  <c r="BJ1093" i="1" s="1"/>
  <c r="AT1093" i="1"/>
  <c r="BM1111" i="1" a="1"/>
  <c r="BM1111" i="1" s="1"/>
  <c r="BJ1111" i="1" s="1" a="1"/>
  <c r="BJ1111" i="1" s="1"/>
  <c r="BM130" i="1" a="1"/>
  <c r="BM130" i="1" s="1"/>
  <c r="BJ130" i="1" s="1" a="1"/>
  <c r="BJ130" i="1" s="1"/>
  <c r="BM154" i="1" a="1"/>
  <c r="BM154" i="1" s="1"/>
  <c r="BJ154" i="1" s="1" a="1"/>
  <c r="BJ154" i="1" s="1"/>
  <c r="AT154" i="1"/>
  <c r="BM2060" i="1" a="1"/>
  <c r="BM2060" i="1" s="1"/>
  <c r="BJ2060" i="1" s="1" a="1"/>
  <c r="BJ2060" i="1" s="1"/>
  <c r="BM393" i="1" a="1"/>
  <c r="BM393" i="1" s="1"/>
  <c r="BJ393" i="1" s="1" a="1"/>
  <c r="BJ393" i="1" s="1"/>
  <c r="AT393" i="1"/>
  <c r="BM1274" i="1" a="1"/>
  <c r="BM1274" i="1" s="1"/>
  <c r="BJ1274" i="1" s="1" a="1"/>
  <c r="BJ1274" i="1" s="1"/>
  <c r="AT1274" i="1"/>
  <c r="BM1322" i="1" a="1"/>
  <c r="BM1322" i="1" s="1"/>
  <c r="BJ1322" i="1" s="1" a="1"/>
  <c r="BJ1322" i="1" s="1"/>
  <c r="BM1503" i="1" a="1"/>
  <c r="BM1503" i="1" s="1"/>
  <c r="BJ1503" i="1" s="1" a="1"/>
  <c r="BJ1503" i="1" s="1"/>
  <c r="BM1551" i="1" a="1"/>
  <c r="BM1551" i="1" s="1"/>
  <c r="BJ1551" i="1" s="1" a="1"/>
  <c r="BJ1551" i="1" s="1"/>
  <c r="BM2038" i="1" a="1"/>
  <c r="BM2038" i="1" s="1"/>
  <c r="BJ2038" i="1" s="1" a="1"/>
  <c r="BJ2038" i="1" s="1"/>
  <c r="BM749" i="1" a="1"/>
  <c r="BM749" i="1" s="1"/>
  <c r="BJ749" i="1" s="1" a="1"/>
  <c r="BJ749" i="1" s="1"/>
  <c r="BM771" i="1" a="1"/>
  <c r="BM771" i="1" s="1"/>
  <c r="BJ771" i="1" s="1" a="1"/>
  <c r="BJ771" i="1" s="1"/>
  <c r="AT771" i="1"/>
  <c r="BM1637" i="1" a="1"/>
  <c r="BM1637" i="1" s="1"/>
  <c r="BJ1637" i="1" s="1" a="1"/>
  <c r="BJ1637" i="1" s="1"/>
  <c r="AT1637" i="1"/>
  <c r="BM1722" i="1" a="1"/>
  <c r="BM1722" i="1" s="1"/>
  <c r="BJ1722" i="1" s="1" a="1"/>
  <c r="BJ1722" i="1" s="1"/>
  <c r="BM2110" i="1" a="1"/>
  <c r="BM2110" i="1" s="1"/>
  <c r="BJ2110" i="1" s="1" a="1"/>
  <c r="BJ2110" i="1" s="1"/>
  <c r="BM235" i="1" a="1"/>
  <c r="BM235" i="1" s="1"/>
  <c r="BJ235" i="1" s="1" a="1"/>
  <c r="BJ235" i="1" s="1"/>
  <c r="BM243" i="1" a="1"/>
  <c r="BM243" i="1" s="1"/>
  <c r="BJ243" i="1" s="1" a="1"/>
  <c r="BJ243" i="1" s="1"/>
  <c r="BM300" i="1" a="1"/>
  <c r="BM300" i="1" s="1"/>
  <c r="BJ300" i="1" s="1" a="1"/>
  <c r="BJ300" i="1" s="1"/>
  <c r="BM301" i="1" a="1"/>
  <c r="BM301" i="1" s="1"/>
  <c r="BJ301" i="1" s="1" a="1"/>
  <c r="BJ301" i="1" s="1"/>
  <c r="AT301" i="1"/>
  <c r="BM1105" i="1" a="1"/>
  <c r="BM1105" i="1" s="1"/>
  <c r="BJ1105" i="1" s="1" a="1"/>
  <c r="BJ1105" i="1" s="1"/>
  <c r="AT1105" i="1"/>
  <c r="BM1123" i="1" a="1"/>
  <c r="BM1123" i="1" s="1"/>
  <c r="BJ1123" i="1" s="1" a="1"/>
  <c r="BJ1123" i="1" s="1"/>
  <c r="BM133" i="1" a="1"/>
  <c r="BM133" i="1" s="1"/>
  <c r="BJ133" i="1" s="1" a="1"/>
  <c r="BJ133" i="1" s="1"/>
  <c r="AT133" i="1"/>
  <c r="BM157" i="1" a="1"/>
  <c r="BM157" i="1" s="1"/>
  <c r="BJ157" i="1" s="1" a="1"/>
  <c r="BJ157" i="1" s="1"/>
  <c r="AT157" i="1"/>
  <c r="BM1198" i="1" a="1"/>
  <c r="BM1198" i="1" s="1"/>
  <c r="BJ1198" i="1" s="1" a="1"/>
  <c r="BJ1198" i="1" s="1"/>
  <c r="BM1656" i="1" a="1"/>
  <c r="BM1656" i="1" s="1"/>
  <c r="BJ1656" i="1" s="1" a="1"/>
  <c r="BJ1656" i="1" s="1"/>
  <c r="BM2165" i="1" a="1"/>
  <c r="BM2165" i="1" s="1"/>
  <c r="BJ2165" i="1" s="1" a="1"/>
  <c r="BJ2165" i="1" s="1"/>
  <c r="AT2165" i="1"/>
  <c r="BM327" i="1" a="1"/>
  <c r="BM327" i="1" s="1"/>
  <c r="BJ327" i="1" s="1" a="1"/>
  <c r="BJ327" i="1" s="1"/>
  <c r="AT327" i="1"/>
  <c r="BM404" i="1" a="1"/>
  <c r="BM404" i="1" s="1"/>
  <c r="BJ404" i="1" s="1" a="1"/>
  <c r="BJ404" i="1" s="1"/>
  <c r="BM1280" i="1" a="1"/>
  <c r="BM1280" i="1" s="1"/>
  <c r="BJ1280" i="1" s="1" a="1"/>
  <c r="BJ1280" i="1" s="1"/>
  <c r="BM1509" i="1" a="1"/>
  <c r="BM1509" i="1" s="1"/>
  <c r="BJ1509" i="1" s="1" a="1"/>
  <c r="BJ1509" i="1" s="1"/>
  <c r="AT1509" i="1"/>
  <c r="BM1527" i="1" a="1"/>
  <c r="BM1527" i="1" s="1"/>
  <c r="BJ1527" i="1" s="1" a="1"/>
  <c r="BJ1527" i="1" s="1"/>
  <c r="BM1625" i="1" a="1"/>
  <c r="BM1625" i="1" s="1"/>
  <c r="BJ1625" i="1" s="1" a="1"/>
  <c r="BJ1625" i="1" s="1"/>
  <c r="AT1625" i="1"/>
  <c r="BM738" i="1" a="1"/>
  <c r="BM738" i="1" s="1"/>
  <c r="BJ738" i="1" s="1" a="1"/>
  <c r="BJ738" i="1" s="1"/>
  <c r="BM1728" i="1" a="1"/>
  <c r="BM1728" i="1" s="1"/>
  <c r="BJ1728" i="1" s="1" a="1"/>
  <c r="BJ1728" i="1" s="1"/>
  <c r="AT1728" i="1"/>
  <c r="BM1734" i="1" a="1"/>
  <c r="BM1734" i="1" s="1"/>
  <c r="BJ1734" i="1" s="1" a="1"/>
  <c r="BJ1734" i="1" s="1"/>
  <c r="BM2115" i="1" a="1"/>
  <c r="BM2115" i="1" s="1"/>
  <c r="BJ2115" i="1" s="1" a="1"/>
  <c r="BJ2115" i="1" s="1"/>
  <c r="BM302" i="1" a="1"/>
  <c r="BM302" i="1" s="1"/>
  <c r="BJ302" i="1" s="1" a="1"/>
  <c r="BJ302" i="1" s="1"/>
  <c r="AT302" i="1"/>
  <c r="BM1117" i="1" a="1"/>
  <c r="BM1117" i="1" s="1"/>
  <c r="BJ1117" i="1" s="1" a="1"/>
  <c r="BJ1117" i="1" s="1"/>
  <c r="AT1117" i="1"/>
  <c r="BM1135" i="1" a="1"/>
  <c r="BM1135" i="1" s="1"/>
  <c r="BJ1135" i="1" s="1" a="1"/>
  <c r="BJ1135" i="1" s="1"/>
  <c r="BM136" i="1" a="1"/>
  <c r="BM136" i="1" s="1"/>
  <c r="BJ136" i="1" s="1" a="1"/>
  <c r="BJ136" i="1" s="1"/>
  <c r="BM118" i="1" a="1"/>
  <c r="BM118" i="1" s="1"/>
  <c r="BJ118" i="1" s="1" a="1"/>
  <c r="BJ118" i="1" s="1"/>
  <c r="AT118" i="1"/>
  <c r="BM7" i="1" a="1"/>
  <c r="BM7" i="1" s="1"/>
  <c r="BJ7" i="1" s="1" a="1"/>
  <c r="BJ7" i="1" s="1"/>
  <c r="BM88" i="1" a="1"/>
  <c r="BM88" i="1" s="1"/>
  <c r="BJ88" i="1" s="1" a="1"/>
  <c r="BJ88" i="1" s="1"/>
  <c r="BM2170" i="1" a="1"/>
  <c r="BM2170" i="1" s="1"/>
  <c r="BJ2170" i="1" s="1" a="1"/>
  <c r="BJ2170" i="1" s="1"/>
  <c r="AT2170" i="1"/>
  <c r="BM338" i="1" a="1"/>
  <c r="BM338" i="1" s="1"/>
  <c r="BJ338" i="1" s="1" a="1"/>
  <c r="BJ338" i="1" s="1"/>
  <c r="BM1286" i="1" a="1"/>
  <c r="BM1286" i="1" s="1"/>
  <c r="BJ1286" i="1" s="1" a="1"/>
  <c r="BJ1286" i="1" s="1"/>
  <c r="BM2365" i="1" a="1"/>
  <c r="BM2365" i="1" s="1"/>
  <c r="BJ2365" i="1" s="1" a="1"/>
  <c r="BJ2365" i="1" s="1"/>
  <c r="AT2365" i="1"/>
  <c r="BM1515" i="1" a="1"/>
  <c r="BM1515" i="1" s="1"/>
  <c r="BJ1515" i="1" s="1" a="1"/>
  <c r="BJ1515" i="1" s="1"/>
  <c r="BM1563" i="1" a="1"/>
  <c r="BM1563" i="1" s="1"/>
  <c r="BJ1563" i="1" s="1" a="1"/>
  <c r="BJ1563" i="1" s="1"/>
  <c r="BM1948" i="1" a="1"/>
  <c r="BM1948" i="1" s="1"/>
  <c r="BJ1948" i="1" s="1" a="1"/>
  <c r="BJ1948" i="1" s="1"/>
  <c r="BM562" i="1" a="1"/>
  <c r="BM562" i="1" s="1"/>
  <c r="BJ562" i="1" s="1" a="1"/>
  <c r="BJ562" i="1" s="1"/>
  <c r="BM516" i="1" a="1"/>
  <c r="BM516" i="1" s="1"/>
  <c r="BJ516" i="1" s="1" a="1"/>
  <c r="BJ516" i="1" s="1"/>
  <c r="AT516" i="1"/>
  <c r="BM782" i="1" a="1"/>
  <c r="BM782" i="1" s="1"/>
  <c r="BJ782" i="1" s="1" a="1"/>
  <c r="BJ782" i="1" s="1"/>
  <c r="BM1643" i="1" a="1"/>
  <c r="BM1643" i="1" s="1"/>
  <c r="BJ1643" i="1" s="1" a="1"/>
  <c r="BJ1643" i="1" s="1"/>
  <c r="BM1740" i="1" a="1"/>
  <c r="BM1740" i="1" s="1"/>
  <c r="BJ1740" i="1" s="1" a="1"/>
  <c r="BJ1740" i="1" s="1"/>
  <c r="AT1740" i="1"/>
  <c r="BM1746" i="1" a="1"/>
  <c r="BM1746" i="1" s="1"/>
  <c r="BJ1746" i="1" s="1" a="1"/>
  <c r="BJ1746" i="1" s="1"/>
  <c r="BM230" i="1" a="1"/>
  <c r="BM230" i="1" s="1"/>
  <c r="BJ230" i="1" s="1" a="1"/>
  <c r="BJ230" i="1" s="1"/>
  <c r="AT230" i="1"/>
  <c r="BM237" i="1" a="1"/>
  <c r="BM237" i="1" s="1"/>
  <c r="BJ237" i="1" s="1" a="1"/>
  <c r="BJ237" i="1" s="1"/>
  <c r="BM290" i="1" a="1"/>
  <c r="BM290" i="1" s="1"/>
  <c r="BJ290" i="1" s="1" a="1"/>
  <c r="BJ290" i="1" s="1"/>
  <c r="BM515" i="1" a="1"/>
  <c r="BM515" i="1" s="1"/>
  <c r="BJ515" i="1" s="1" a="1"/>
  <c r="BJ515" i="1" s="1"/>
  <c r="BM1129" i="1" a="1"/>
  <c r="BM1129" i="1" s="1"/>
  <c r="BJ1129" i="1" s="1" a="1"/>
  <c r="BJ1129" i="1" s="1"/>
  <c r="AT1129" i="1"/>
  <c r="BM1147" i="1" a="1"/>
  <c r="BM1147" i="1" s="1"/>
  <c r="BJ1147" i="1" s="1" a="1"/>
  <c r="BJ1147" i="1" s="1"/>
  <c r="BM139" i="1" a="1"/>
  <c r="BM139" i="1" s="1"/>
  <c r="BJ139" i="1" s="1" a="1"/>
  <c r="BJ139" i="1" s="1"/>
  <c r="BM14" i="1" a="1"/>
  <c r="BM14" i="1" s="1"/>
  <c r="BJ14" i="1" s="1" a="1"/>
  <c r="BJ14" i="1" s="1"/>
  <c r="BM2125" i="1" a="1"/>
  <c r="BM2125" i="1" s="1"/>
  <c r="BJ2125" i="1" s="1" a="1"/>
  <c r="BJ2125" i="1" s="1"/>
  <c r="BM349" i="1" a="1"/>
  <c r="BM349" i="1" s="1"/>
  <c r="BJ349" i="1" s="1" a="1"/>
  <c r="BJ349" i="1" s="1"/>
  <c r="AT349" i="1"/>
  <c r="BM426" i="1" a="1"/>
  <c r="BM426" i="1" s="1"/>
  <c r="BJ426" i="1" s="1" a="1"/>
  <c r="BJ426" i="1" s="1"/>
  <c r="BM1521" i="1" a="1"/>
  <c r="BM1521" i="1" s="1"/>
  <c r="BJ1521" i="1" s="1" a="1"/>
  <c r="BJ1521" i="1" s="1"/>
  <c r="AT1521" i="1"/>
  <c r="BM1943" i="1" a="1"/>
  <c r="BM1943" i="1" s="1"/>
  <c r="BJ1943" i="1" s="1" a="1"/>
  <c r="BJ1943" i="1" s="1"/>
  <c r="AT1943" i="1"/>
  <c r="BL313" i="1"/>
  <c r="BM313" i="1" a="1"/>
  <c r="BM313" i="1" s="1"/>
  <c r="BJ313" i="1" s="1" a="1"/>
  <c r="BJ313" i="1" s="1"/>
  <c r="BM2501" i="1" a="1"/>
  <c r="BM2501" i="1" s="1"/>
  <c r="BJ2501" i="1" s="1" a="1"/>
  <c r="BJ2501" i="1" s="1"/>
  <c r="BL2501" i="1" a="1"/>
  <c r="BL2501" i="1" s="1"/>
  <c r="BK694" i="1"/>
  <c r="BM694" i="1" a="1"/>
  <c r="BM694" i="1" s="1"/>
  <c r="BJ694" i="1" s="1" a="1"/>
  <c r="BJ694" i="1" s="1"/>
  <c r="BK240" i="1"/>
  <c r="BM240" i="1" a="1"/>
  <c r="BM240" i="1" s="1"/>
  <c r="BJ240" i="1" s="1" a="1"/>
  <c r="BJ240" i="1" s="1"/>
  <c r="BK298" i="1"/>
  <c r="BM298" i="1" a="1"/>
  <c r="BM298" i="1" s="1"/>
  <c r="BJ298" i="1" s="1" a="1"/>
  <c r="BJ298" i="1" s="1"/>
  <c r="BM2498" i="1" a="1"/>
  <c r="BM2498" i="1" s="1"/>
  <c r="BJ2498" i="1" s="1" a="1"/>
  <c r="BJ2498" i="1" s="1"/>
  <c r="BL2498" i="1" a="1"/>
  <c r="BL2498" i="1" s="1"/>
  <c r="BM2200" i="1" a="1"/>
  <c r="BM2200" i="1" s="1"/>
  <c r="BJ2200" i="1" s="1" a="1"/>
  <c r="BJ2200" i="1" s="1"/>
  <c r="BL2200" i="1" a="1"/>
  <c r="BL2200" i="1" s="1"/>
  <c r="BK459" i="1"/>
  <c r="BM459" i="1" a="1"/>
  <c r="BM459" i="1" s="1"/>
  <c r="BJ459" i="1" s="1" a="1"/>
  <c r="BJ459" i="1" s="1"/>
  <c r="BM220" i="1" a="1"/>
  <c r="BM220" i="1" s="1"/>
  <c r="BM2556" i="1" a="1"/>
  <c r="BM2556" i="1" s="1"/>
  <c r="BM837" i="1" a="1"/>
  <c r="BM837" i="1" s="1"/>
  <c r="BJ837" i="1" s="1" a="1"/>
  <c r="BJ837" i="1" s="1"/>
  <c r="BL837" i="1" a="1"/>
  <c r="BL837" i="1" s="1"/>
  <c r="BL1854" i="1"/>
  <c r="BM1854" i="1" a="1"/>
  <c r="BM1854" i="1" s="1"/>
  <c r="BJ1854" i="1" s="1" a="1"/>
  <c r="BJ1854" i="1" s="1"/>
  <c r="BK528" i="1"/>
  <c r="BM528" i="1" a="1"/>
  <c r="BM528" i="1" s="1"/>
  <c r="BJ528" i="1" s="1" a="1"/>
  <c r="BJ528" i="1" s="1"/>
  <c r="BK1170" i="1"/>
  <c r="BM1170" i="1" a="1"/>
  <c r="BM1170" i="1" s="1"/>
  <c r="BJ1170" i="1" s="1" a="1"/>
  <c r="BJ1170" i="1" s="1"/>
  <c r="BM1382" i="1" a="1"/>
  <c r="BM1382" i="1" s="1"/>
  <c r="BJ1382" i="1" s="1" a="1"/>
  <c r="BJ1382" i="1" s="1"/>
  <c r="BL1382" i="1" a="1"/>
  <c r="BL1382" i="1" s="1"/>
  <c r="BK127" i="1"/>
  <c r="BM127" i="1" a="1"/>
  <c r="BM127" i="1" s="1"/>
  <c r="BJ127" i="1" s="1" a="1"/>
  <c r="BJ127" i="1" s="1"/>
  <c r="BK1497" i="1"/>
  <c r="BM1497" i="1" a="1"/>
  <c r="BM1497" i="1" s="1"/>
  <c r="BJ1497" i="1" s="1" a="1"/>
  <c r="BJ1497" i="1" s="1"/>
  <c r="BK1545" i="1"/>
  <c r="BM1545" i="1" a="1"/>
  <c r="BM1545" i="1" s="1"/>
  <c r="BJ1545" i="1" s="1" a="1"/>
  <c r="BJ1545" i="1" s="1"/>
  <c r="BM320" i="1" a="1"/>
  <c r="BM320" i="1" s="1"/>
  <c r="BK2105" i="1"/>
  <c r="BM2105" i="1" a="1"/>
  <c r="BM2105" i="1" s="1"/>
  <c r="BJ2105" i="1" s="1" a="1"/>
  <c r="BJ2105" i="1" s="1"/>
  <c r="BK242" i="1"/>
  <c r="BM242" i="1" a="1"/>
  <c r="BM242" i="1" s="1"/>
  <c r="BJ242" i="1" s="1" a="1"/>
  <c r="BJ242" i="1" s="1"/>
  <c r="BM1400" i="1" a="1"/>
  <c r="BM1400" i="1" s="1"/>
  <c r="BJ1400" i="1" s="1" a="1"/>
  <c r="BJ1400" i="1" s="1"/>
  <c r="BL1400" i="1" a="1"/>
  <c r="BL1400" i="1" s="1"/>
  <c r="BK1193" i="1"/>
  <c r="BM1193" i="1" a="1"/>
  <c r="BM1193" i="1" s="1"/>
  <c r="BJ1193" i="1" s="1" a="1"/>
  <c r="BJ1193" i="1" s="1"/>
  <c r="BM1024" i="1" a="1"/>
  <c r="BM1024" i="1" s="1"/>
  <c r="BM175" i="1" a="1"/>
  <c r="BM175" i="1" s="1"/>
  <c r="BJ175" i="1" s="1" a="1"/>
  <c r="BJ175" i="1" s="1"/>
  <c r="BL175" i="1" a="1"/>
  <c r="BL175" i="1" s="1"/>
  <c r="BQ175" i="1"/>
  <c r="BR175" i="1" s="1"/>
  <c r="BM1388" i="1" a="1"/>
  <c r="BM1388" i="1" s="1"/>
  <c r="BJ1388" i="1" s="1" a="1"/>
  <c r="BJ1388" i="1" s="1"/>
  <c r="BL1388" i="1" a="1"/>
  <c r="BL1388" i="1" s="1"/>
  <c r="BM892" i="1" a="1"/>
  <c r="BM892" i="1" s="1"/>
  <c r="BJ892" i="1" s="1" a="1"/>
  <c r="BJ892" i="1" s="1"/>
  <c r="BL892" i="1" a="1"/>
  <c r="BL892" i="1" s="1"/>
  <c r="BK1557" i="1"/>
  <c r="BM1557" i="1" a="1"/>
  <c r="BM1557" i="1" s="1"/>
  <c r="BJ1557" i="1" s="1" a="1"/>
  <c r="BJ1557" i="1" s="1"/>
  <c r="BM2572" i="1" a="1"/>
  <c r="BM2572" i="1" s="1"/>
  <c r="BL925" i="1"/>
  <c r="BM925" i="1" a="1"/>
  <c r="BM925" i="1" s="1"/>
  <c r="BJ925" i="1" s="1" a="1"/>
  <c r="BJ925" i="1" s="1"/>
  <c r="BM305" i="1" a="1"/>
  <c r="BM305" i="1" s="1"/>
  <c r="BJ305" i="1" s="1" a="1"/>
  <c r="BJ305" i="1" s="1"/>
  <c r="BL305" i="1" a="1"/>
  <c r="BL305" i="1" s="1"/>
  <c r="BM2492" i="1" a="1"/>
  <c r="BM2492" i="1" s="1"/>
  <c r="BJ2492" i="1" s="1" a="1"/>
  <c r="BJ2492" i="1" s="1"/>
  <c r="BL2492" i="1" a="1"/>
  <c r="BL2492" i="1" s="1"/>
  <c r="BK1292" i="1"/>
  <c r="BM1292" i="1" a="1"/>
  <c r="BM1292" i="1" s="1"/>
  <c r="BJ1292" i="1" s="1" a="1"/>
  <c r="BJ1292" i="1" s="1"/>
  <c r="BK236" i="1"/>
  <c r="BM236" i="1" a="1"/>
  <c r="BM236" i="1" s="1"/>
  <c r="BJ236" i="1" s="1" a="1"/>
  <c r="BJ236" i="1" s="1"/>
  <c r="BK289" i="1"/>
  <c r="BM289" i="1" a="1"/>
  <c r="BM289" i="1" s="1"/>
  <c r="BJ289" i="1" s="1" a="1"/>
  <c r="BJ289" i="1" s="1"/>
  <c r="BM859" i="1" a="1"/>
  <c r="BM859" i="1" s="1"/>
  <c r="BJ859" i="1" s="1" a="1"/>
  <c r="BJ859" i="1" s="1"/>
  <c r="BL859" i="1" a="1"/>
  <c r="BL859" i="1" s="1"/>
  <c r="BK2031" i="1"/>
  <c r="BM2031" i="1" a="1"/>
  <c r="BM2031" i="1" s="1"/>
  <c r="BJ2031" i="1" s="1" a="1"/>
  <c r="BJ2031" i="1" s="1"/>
  <c r="BL190" i="1"/>
  <c r="BM190" i="1" a="1"/>
  <c r="BM190" i="1" s="1"/>
  <c r="BJ190" i="1" s="1" a="1"/>
  <c r="BJ190" i="1" s="1"/>
  <c r="BK2017" i="1"/>
  <c r="BM2017" i="1" a="1"/>
  <c r="BM2017" i="1" s="1"/>
  <c r="BJ2017" i="1" s="1" a="1"/>
  <c r="BJ2017" i="1" s="1"/>
  <c r="BK415" i="1"/>
  <c r="BM415" i="1" a="1"/>
  <c r="BM415" i="1" s="1"/>
  <c r="BJ415" i="1" s="1" a="1"/>
  <c r="BJ415" i="1" s="1"/>
  <c r="BM1460" i="1" a="1"/>
  <c r="BM1460" i="1" s="1"/>
  <c r="BM308" i="1" a="1"/>
  <c r="BM308" i="1" s="1"/>
  <c r="BJ308" i="1" s="1" a="1"/>
  <c r="BJ308" i="1" s="1"/>
  <c r="BL308" i="1" a="1"/>
  <c r="BL308" i="1" s="1"/>
  <c r="BM1370" i="1" a="1"/>
  <c r="BM1370" i="1" s="1"/>
  <c r="BJ1370" i="1" s="1" a="1"/>
  <c r="BJ1370" i="1" s="1"/>
  <c r="BL1370" i="1" a="1"/>
  <c r="BL1370" i="1" s="1"/>
  <c r="BM1824" i="1" a="1"/>
  <c r="BM1824" i="1" s="1"/>
  <c r="BJ1824" i="1" s="1" a="1"/>
  <c r="BJ1824" i="1" s="1"/>
  <c r="BL1824" i="1" a="1"/>
  <c r="BL1824" i="1" s="1"/>
  <c r="BL2225" i="1"/>
  <c r="BM2225" i="1" a="1"/>
  <c r="BM2225" i="1" s="1"/>
  <c r="BJ2225" i="1" s="1" a="1"/>
  <c r="BJ2225" i="1" s="1"/>
  <c r="BK793" i="1"/>
  <c r="BM793" i="1" a="1"/>
  <c r="BM793" i="1" s="1"/>
  <c r="BJ793" i="1" s="1" a="1"/>
  <c r="BJ793" i="1" s="1"/>
  <c r="BM310" i="1" a="1"/>
  <c r="BM310" i="1" s="1"/>
  <c r="BJ310" i="1" s="1" a="1"/>
  <c r="BJ310" i="1" s="1"/>
  <c r="BL310" i="1" a="1"/>
  <c r="BL310" i="1" s="1"/>
  <c r="BM181" i="1" a="1"/>
  <c r="BM181" i="1" s="1"/>
  <c r="BJ181" i="1" s="1" a="1"/>
  <c r="BJ181" i="1" s="1"/>
  <c r="BL181" i="1" a="1"/>
  <c r="BL181" i="1" s="1"/>
  <c r="BM1836" i="1" a="1"/>
  <c r="BM1836" i="1" s="1"/>
  <c r="BJ1836" i="1" s="1" a="1"/>
  <c r="BJ1836" i="1" s="1"/>
  <c r="BL1836" i="1" a="1"/>
  <c r="BL1836" i="1" s="1"/>
  <c r="BK1569" i="1"/>
  <c r="BM1569" i="1" a="1"/>
  <c r="BM1569" i="1" s="1"/>
  <c r="BJ1569" i="1" s="1" a="1"/>
  <c r="BJ1569" i="1" s="1"/>
  <c r="BM1896" i="1" a="1"/>
  <c r="BM1896" i="1" s="1"/>
  <c r="BI1220" i="1" a="1"/>
  <c r="BI1220" i="1" s="1"/>
  <c r="BM1220" i="1" a="1"/>
  <c r="BM1220" i="1" s="1"/>
  <c r="BJ1220" i="1" s="1" a="1"/>
  <c r="BJ1220" i="1" s="1"/>
  <c r="BL2516" i="1"/>
  <c r="BM2516" i="1" a="1"/>
  <c r="BM2516" i="1" s="1"/>
  <c r="BJ2516" i="1" s="1" a="1"/>
  <c r="BJ2516" i="1" s="1"/>
  <c r="BK661" i="1"/>
  <c r="BM661" i="1" a="1"/>
  <c r="BM661" i="1" s="1"/>
  <c r="BJ661" i="1" s="1" a="1"/>
  <c r="BJ661" i="1" s="1"/>
  <c r="BK804" i="1"/>
  <c r="BM804" i="1" a="1"/>
  <c r="BM804" i="1" s="1"/>
  <c r="BJ804" i="1" s="1" a="1"/>
  <c r="BJ804" i="1" s="1"/>
  <c r="BK238" i="1"/>
  <c r="BM238" i="1" a="1"/>
  <c r="BM238" i="1" s="1"/>
  <c r="BJ238" i="1" s="1" a="1"/>
  <c r="BJ238" i="1" s="1"/>
  <c r="BM307" i="1" a="1"/>
  <c r="BM307" i="1" s="1"/>
  <c r="BJ307" i="1" s="1" a="1"/>
  <c r="BJ307" i="1" s="1"/>
  <c r="BL307" i="1" a="1"/>
  <c r="BL307" i="1" s="1"/>
  <c r="BM172" i="1" a="1"/>
  <c r="BM172" i="1" s="1"/>
  <c r="BJ172" i="1" s="1" a="1"/>
  <c r="BJ172" i="1" s="1"/>
  <c r="BL172" i="1" a="1"/>
  <c r="BL172" i="1" s="1"/>
  <c r="BK2049" i="1"/>
  <c r="BM2049" i="1" a="1"/>
  <c r="BM2049" i="1" s="1"/>
  <c r="BJ2049" i="1" s="1" a="1"/>
  <c r="BJ2049" i="1" s="1"/>
  <c r="BM1818" i="1" a="1"/>
  <c r="BM1818" i="1" s="1"/>
  <c r="BJ1818" i="1" s="1" a="1"/>
  <c r="BJ1818" i="1" s="1"/>
  <c r="BL1818" i="1" a="1"/>
  <c r="BL1818" i="1" s="1"/>
  <c r="BK2120" i="1"/>
  <c r="BM2120" i="1" a="1"/>
  <c r="BM2120" i="1" s="1"/>
  <c r="BJ2120" i="1" s="1" a="1"/>
  <c r="BJ2120" i="1" s="1"/>
  <c r="BM211" i="1" a="1"/>
  <c r="BM211" i="1" s="1"/>
  <c r="BM2260" i="1" a="1"/>
  <c r="BM2260" i="1" s="1"/>
  <c r="BM870" i="1" a="1"/>
  <c r="BM870" i="1" s="1"/>
  <c r="BJ870" i="1" s="1" a="1"/>
  <c r="BJ870" i="1" s="1"/>
  <c r="BL870" i="1" a="1"/>
  <c r="BL870" i="1" s="1"/>
  <c r="BL1418" i="1"/>
  <c r="BM1418" i="1" a="1"/>
  <c r="BM1418" i="1" s="1"/>
  <c r="BJ1418" i="1" s="1" a="1"/>
  <c r="BJ1418" i="1" s="1"/>
  <c r="BM1806" i="1" a="1"/>
  <c r="BM1806" i="1" s="1"/>
  <c r="BJ1806" i="1" s="1" a="1"/>
  <c r="BJ1806" i="1" s="1"/>
  <c r="BL1806" i="1" a="1"/>
  <c r="BL1806" i="1" s="1"/>
  <c r="BK232" i="1"/>
  <c r="BM232" i="1" a="1"/>
  <c r="BM232" i="1" s="1"/>
  <c r="BJ232" i="1" s="1" a="1"/>
  <c r="BJ232" i="1" s="1"/>
  <c r="BM2507" i="1" a="1"/>
  <c r="BM2507" i="1" s="1"/>
  <c r="BJ2507" i="1" s="1" a="1"/>
  <c r="BJ2507" i="1" s="1"/>
  <c r="BL2507" i="1" a="1"/>
  <c r="BL2507" i="1" s="1"/>
  <c r="BM2210" i="1" a="1"/>
  <c r="BM2210" i="1" s="1"/>
  <c r="BJ2210" i="1" s="1" a="1"/>
  <c r="BJ2210" i="1" s="1"/>
  <c r="BL2210" i="1" a="1"/>
  <c r="BL2210" i="1" s="1"/>
  <c r="BI1340" i="1" a="1"/>
  <c r="BI1340" i="1" s="1"/>
  <c r="BM1340" i="1" a="1"/>
  <c r="BM1340" i="1" s="1"/>
  <c r="BJ1340" i="1" s="1" a="1"/>
  <c r="BJ1340" i="1" s="1"/>
  <c r="BK1533" i="1"/>
  <c r="BM1533" i="1" a="1"/>
  <c r="BM1533" i="1" s="1"/>
  <c r="BJ1533" i="1" s="1" a="1"/>
  <c r="BJ1533" i="1" s="1"/>
  <c r="BM214" i="1" a="1"/>
  <c r="BM214" i="1" s="1"/>
  <c r="BM2537" i="1" a="1"/>
  <c r="BM2537" i="1" s="1"/>
  <c r="BQ2537" i="1"/>
  <c r="BR2537" i="1" s="1"/>
  <c r="BK914" i="1"/>
  <c r="BL914" i="1"/>
  <c r="BK187" i="1"/>
  <c r="BL187" i="1"/>
  <c r="BK2220" i="1"/>
  <c r="BL2220" i="1"/>
  <c r="BK2513" i="1"/>
  <c r="BL2513" i="1"/>
  <c r="BL1412" i="1"/>
  <c r="BK1412" i="1"/>
  <c r="BK312" i="1"/>
  <c r="BL312" i="1"/>
  <c r="BK1848" i="1"/>
  <c r="BL1848" i="1"/>
  <c r="BK1141" i="1"/>
  <c r="BK1782" i="1"/>
  <c r="BK133" i="1"/>
  <c r="BK1117" i="1"/>
  <c r="BQ2260" i="1"/>
  <c r="BR2260" i="1" s="1"/>
  <c r="BQ2270" i="1"/>
  <c r="BR2270" i="1" s="1"/>
  <c r="BQ2555" i="1"/>
  <c r="BR2555" i="1" s="1"/>
  <c r="BK2382" i="1"/>
  <c r="BK145" i="1"/>
  <c r="BK157" i="1"/>
  <c r="BK1740" i="1"/>
  <c r="BK2495" i="1"/>
  <c r="BL2495" i="1" a="1"/>
  <c r="BL2495" i="1" s="1"/>
  <c r="BK2504" i="1"/>
  <c r="BL2504" i="1" a="1"/>
  <c r="BL2504" i="1" s="1"/>
  <c r="BK2205" i="1"/>
  <c r="BL2205" i="1" a="1"/>
  <c r="BL2205" i="1" s="1"/>
  <c r="BK1830" i="1"/>
  <c r="BL1830" i="1" a="1"/>
  <c r="BL1830" i="1" s="1"/>
  <c r="BK1812" i="1"/>
  <c r="BL1812" i="1" a="1"/>
  <c r="BL1812" i="1" s="1"/>
  <c r="BK1394" i="1"/>
  <c r="BL1394" i="1" a="1"/>
  <c r="BL1394" i="1" s="1"/>
  <c r="BK1376" i="1"/>
  <c r="BL1376" i="1" a="1"/>
  <c r="BL1376" i="1" s="1"/>
  <c r="BK881" i="1"/>
  <c r="BL881" i="1" a="1"/>
  <c r="BL881" i="1" s="1"/>
  <c r="BK848" i="1"/>
  <c r="BL848" i="1" a="1"/>
  <c r="BL848" i="1" s="1"/>
  <c r="BK306" i="1"/>
  <c r="BL306" i="1" a="1"/>
  <c r="BL306" i="1" s="1"/>
  <c r="BK309" i="1"/>
  <c r="BL309" i="1" a="1"/>
  <c r="BL309" i="1" s="1"/>
  <c r="BK1182" i="1"/>
  <c r="BK1788" i="1"/>
  <c r="BK1710" i="1"/>
  <c r="BI1746" i="1" a="1"/>
  <c r="BI1746" i="1" s="1"/>
  <c r="BI1716" i="1" a="1"/>
  <c r="BI1716" i="1" s="1"/>
  <c r="BI1280" i="1" a="1"/>
  <c r="BI1280" i="1" s="1"/>
  <c r="BI1286" i="1" a="1"/>
  <c r="BI1286" i="1" s="1"/>
  <c r="BN2555" i="1" a="1"/>
  <c r="BN2555" i="1" s="1"/>
  <c r="BI1722" i="1" a="1"/>
  <c r="BI1722" i="1" s="1"/>
  <c r="BI1752" i="1" a="1"/>
  <c r="BI1752" i="1" s="1"/>
  <c r="BI1111" i="1" a="1"/>
  <c r="BI1111" i="1" s="1"/>
  <c r="BK1637" i="1"/>
  <c r="BI1123" i="1" a="1"/>
  <c r="BI1123" i="1" s="1"/>
  <c r="BK1274" i="1"/>
  <c r="BI1099" i="1" a="1"/>
  <c r="BI1099" i="1" s="1"/>
  <c r="V2" i="5"/>
  <c r="V3" i="5"/>
  <c r="V4" i="5"/>
  <c r="V5" i="5"/>
  <c r="V6" i="5"/>
  <c r="V7" i="5"/>
  <c r="V8" i="5"/>
  <c r="BI1776" i="1" a="1"/>
  <c r="BI1776" i="1" s="1"/>
  <c r="BK1764" i="1"/>
  <c r="BN2537" i="1" a="1"/>
  <c r="BN2537" i="1" s="1"/>
  <c r="BI2557" i="1" a="1"/>
  <c r="BI2557" i="1" s="1"/>
  <c r="BK1728" i="1"/>
  <c r="BN2501" i="1" a="1"/>
  <c r="BN2501" i="1" s="1"/>
  <c r="BN2495" i="1" a="1"/>
  <c r="BN2495" i="1" s="1"/>
  <c r="BI1758" i="1" a="1"/>
  <c r="BI1758" i="1" s="1"/>
  <c r="BI2543" i="1" a="1"/>
  <c r="BI2543" i="1" s="1"/>
  <c r="BI2552" i="1" a="1"/>
  <c r="BI2552" i="1" s="1"/>
  <c r="BI2546" i="1" a="1"/>
  <c r="BI2546" i="1" s="1"/>
  <c r="BI1135" i="1" a="1"/>
  <c r="BI1135" i="1" s="1"/>
  <c r="BI2549" i="1" a="1"/>
  <c r="BI2549" i="1" s="1"/>
  <c r="BI1147" i="1" a="1"/>
  <c r="BI1147" i="1" s="1"/>
  <c r="BI2516" i="1" a="1"/>
  <c r="BI2516" i="1" s="1"/>
  <c r="BN1988" i="1" a="1"/>
  <c r="BN1988" i="1" s="1"/>
  <c r="BI2022" i="1" a="1"/>
  <c r="BI2022" i="1" s="1"/>
  <c r="BI1978" i="1" a="1"/>
  <c r="BI1978" i="1" s="1"/>
  <c r="BN2398" i="1" a="1"/>
  <c r="BN2398" i="1" s="1"/>
  <c r="BL1948" i="1" a="1"/>
  <c r="BL1948" i="1" s="1"/>
  <c r="BK1943" i="1"/>
  <c r="BN1198" i="1" a="1"/>
  <c r="BN1198" i="1" s="1"/>
  <c r="BI2285" i="1" a="1"/>
  <c r="BI2285" i="1" s="1"/>
  <c r="BN2290" i="1" a="1"/>
  <c r="BN2290" i="1" s="1"/>
  <c r="BI1973" i="1" a="1"/>
  <c r="BI1973" i="1" s="1"/>
  <c r="BI1075" i="1" a="1"/>
  <c r="BI1075" i="1" s="1"/>
  <c r="BK2225" i="1"/>
  <c r="BN2060" i="1" a="1"/>
  <c r="BN2060" i="1" s="1"/>
  <c r="BN2265" i="1" a="1"/>
  <c r="BN2265" i="1" s="1"/>
  <c r="BI2220" i="1" a="1"/>
  <c r="BI2220" i="1" s="1"/>
  <c r="BI2270" i="1" a="1"/>
  <c r="BI2270" i="1" s="1"/>
  <c r="BI2280" i="1" a="1"/>
  <c r="BI2280" i="1" s="1"/>
  <c r="BI1926" i="1" a="1"/>
  <c r="BI1926" i="1" s="1"/>
  <c r="BI1515" i="1" a="1"/>
  <c r="BI1515" i="1" s="1"/>
  <c r="BI1188" i="1" a="1"/>
  <c r="BI1188" i="1" s="1"/>
  <c r="BK1521" i="1"/>
  <c r="BI1527" i="1" a="1"/>
  <c r="BI1527" i="1" s="1"/>
  <c r="BI1908" i="1" a="1"/>
  <c r="BI1908" i="1" s="1"/>
  <c r="BI1854" i="1" a="1"/>
  <c r="BI1854" i="1" s="1"/>
  <c r="BI1643" i="1" a="1"/>
  <c r="BI1643" i="1" s="1"/>
  <c r="BI1539" i="1" a="1"/>
  <c r="BI1539" i="1" s="1"/>
  <c r="BI1920" i="1" a="1"/>
  <c r="BI1920" i="1" s="1"/>
  <c r="BI1830" i="1" a="1"/>
  <c r="BI1830" i="1" s="1"/>
  <c r="BI1563" i="1" a="1"/>
  <c r="BI1563" i="1" s="1"/>
  <c r="BN2540" i="1" a="1"/>
  <c r="BN2540" i="1" s="1"/>
  <c r="BI1812" i="1" a="1"/>
  <c r="BI1812" i="1" s="1"/>
  <c r="BI1656" i="1" a="1"/>
  <c r="BI1656" i="1" s="1"/>
  <c r="BI1914" i="1" a="1"/>
  <c r="BI1914" i="1" s="1"/>
  <c r="BI1551" i="1" a="1"/>
  <c r="BI1551" i="1" s="1"/>
  <c r="BK1662" i="1"/>
  <c r="BI1503" i="1" a="1"/>
  <c r="BI1503" i="1" s="1"/>
  <c r="BI1575" i="1" a="1"/>
  <c r="BI1575" i="1" s="1"/>
  <c r="BK1509" i="1"/>
  <c r="BI1418" i="1" a="1"/>
  <c r="BI1418" i="1" s="1"/>
  <c r="BI1322" i="1" a="1"/>
  <c r="BI1322" i="1" s="1"/>
  <c r="BI1412" i="1" a="1"/>
  <c r="BI1412" i="1" s="1"/>
  <c r="BI1310" i="1" a="1"/>
  <c r="BI1310" i="1" s="1"/>
  <c r="BI1316" i="1" a="1"/>
  <c r="BI1316" i="1" s="1"/>
  <c r="BK2365" i="1"/>
  <c r="BI1394" i="1" a="1"/>
  <c r="BI1394" i="1" s="1"/>
  <c r="BK1334" i="1"/>
  <c r="BI1376" i="1" a="1"/>
  <c r="BI1376" i="1" s="1"/>
  <c r="BI1472" i="1" a="1"/>
  <c r="BI1472" i="1" s="1"/>
  <c r="BK1328" i="1"/>
  <c r="BI1478" i="1" a="1"/>
  <c r="BI1478" i="1" s="1"/>
  <c r="BI1484" i="1" a="1"/>
  <c r="BI1484" i="1" s="1"/>
  <c r="BI1490" i="1" a="1"/>
  <c r="BI1490" i="1" s="1"/>
  <c r="BK1304" i="1"/>
  <c r="BI848" i="1" a="1"/>
  <c r="BI848" i="1" s="1"/>
  <c r="BI683" i="1" a="1"/>
  <c r="BI683" i="1" s="1"/>
  <c r="BI1068" i="1" a="1"/>
  <c r="BI1068" i="1" s="1"/>
  <c r="BI672" i="1" a="1"/>
  <c r="BI672" i="1" s="1"/>
  <c r="BK771" i="1"/>
  <c r="BI1046" i="1" a="1"/>
  <c r="BI1046" i="1" s="1"/>
  <c r="BI727" i="1" a="1"/>
  <c r="BI727" i="1" s="1"/>
  <c r="BI1057" i="1" a="1"/>
  <c r="BI1057" i="1" s="1"/>
  <c r="BI562" i="1" a="1"/>
  <c r="BI562" i="1" s="1"/>
  <c r="BI749" i="1" a="1"/>
  <c r="BI749" i="1" s="1"/>
  <c r="BI738" i="1" a="1"/>
  <c r="BI738" i="1" s="1"/>
  <c r="BI360" i="1" a="1"/>
  <c r="BI360" i="1" s="1"/>
  <c r="BI782" i="1" a="1"/>
  <c r="BI782" i="1" s="1"/>
  <c r="BI925" i="1" a="1"/>
  <c r="BI925" i="1" s="1"/>
  <c r="BI914" i="1" a="1"/>
  <c r="BI914" i="1" s="1"/>
  <c r="BI881" i="1" a="1"/>
  <c r="BI881" i="1" s="1"/>
  <c r="BK760" i="1"/>
  <c r="BI1035" i="1" a="1"/>
  <c r="BI1035" i="1" s="1"/>
  <c r="BK716" i="1"/>
  <c r="BK1770" i="1"/>
  <c r="BK437" i="1"/>
  <c r="BI426" i="1" a="1"/>
  <c r="BI426" i="1" s="1"/>
  <c r="BK327" i="1"/>
  <c r="BI448" i="1" a="1"/>
  <c r="BI448" i="1" s="1"/>
  <c r="BI338" i="1" a="1"/>
  <c r="BI338" i="1" s="1"/>
  <c r="BI404" i="1" a="1"/>
  <c r="BI404" i="1" s="1"/>
  <c r="BK349" i="1"/>
  <c r="BI470" i="1" a="1"/>
  <c r="BI470" i="1" s="1"/>
  <c r="BK371" i="1"/>
  <c r="BI382" i="1" a="1"/>
  <c r="BI382" i="1" s="1"/>
  <c r="BK393" i="1"/>
  <c r="BI291" i="1" a="1"/>
  <c r="BI291" i="1" s="1"/>
  <c r="BI313" i="1" a="1"/>
  <c r="BI313" i="1" s="1"/>
  <c r="BI243" i="1" a="1"/>
  <c r="BI243" i="1" s="1"/>
  <c r="BI233" i="1" a="1"/>
  <c r="BI233" i="1" s="1"/>
  <c r="BK234" i="1"/>
  <c r="BI290" i="1" a="1"/>
  <c r="BI290" i="1" s="1"/>
  <c r="BK299" i="1"/>
  <c r="BI235" i="1" a="1"/>
  <c r="BI235" i="1" s="1"/>
  <c r="BK302" i="1"/>
  <c r="BI322" i="1" a="1"/>
  <c r="BI322" i="1" s="1"/>
  <c r="BI297" i="1" a="1"/>
  <c r="BI297" i="1" s="1"/>
  <c r="BI323" i="1" a="1"/>
  <c r="BI323" i="1" s="1"/>
  <c r="BI239" i="1" a="1"/>
  <c r="BI239" i="1" s="1"/>
  <c r="BI300" i="1" a="1"/>
  <c r="BI300" i="1" s="1"/>
  <c r="BI324" i="1" a="1"/>
  <c r="BI324" i="1" s="1"/>
  <c r="BI325" i="1" a="1"/>
  <c r="BI325" i="1" s="1"/>
  <c r="BI293" i="1" a="1"/>
  <c r="BI293" i="1" s="1"/>
  <c r="BI295" i="1" a="1"/>
  <c r="BI295" i="1" s="1"/>
  <c r="BI306" i="1" a="1"/>
  <c r="BI306" i="1" s="1"/>
  <c r="BK230" i="1"/>
  <c r="BI241" i="1" a="1"/>
  <c r="BI241" i="1" s="1"/>
  <c r="BI312" i="1" a="1"/>
  <c r="BI312" i="1" s="1"/>
  <c r="BK294" i="1"/>
  <c r="BK301" i="1"/>
  <c r="BI237" i="1" a="1"/>
  <c r="BI237" i="1" s="1"/>
  <c r="BI296" i="1" a="1"/>
  <c r="BI296" i="1" s="1"/>
  <c r="BI309" i="1" a="1"/>
  <c r="BI309" i="1" s="1"/>
  <c r="BI231" i="1" a="1"/>
  <c r="BI231" i="1" s="1"/>
  <c r="BK292" i="1"/>
  <c r="BI88" i="1" a="1"/>
  <c r="BI88" i="1" s="1"/>
  <c r="BI187" i="1" a="1"/>
  <c r="BI187" i="1" s="1"/>
  <c r="BI136" i="1" a="1"/>
  <c r="BI136" i="1" s="1"/>
  <c r="BI190" i="1" a="1"/>
  <c r="BI190" i="1" s="1"/>
  <c r="BI19" i="1" a="1"/>
  <c r="BI19" i="1" s="1"/>
  <c r="BK512" i="1"/>
  <c r="BK1207" i="1"/>
  <c r="BI139" i="1" a="1"/>
  <c r="BI139" i="1" s="1"/>
  <c r="BI144" i="1" a="1"/>
  <c r="BI144" i="1" s="1"/>
  <c r="BK148" i="1"/>
  <c r="BK4" i="1"/>
  <c r="BI515" i="1" a="1"/>
  <c r="BI515" i="1" s="1"/>
  <c r="BI151" i="1" a="1"/>
  <c r="BI151" i="1" s="1"/>
  <c r="BI121" i="1" a="1"/>
  <c r="BI121" i="1" s="1"/>
  <c r="BI130" i="1" a="1"/>
  <c r="BI130" i="1" s="1"/>
  <c r="BI178" i="1" a="1"/>
  <c r="BI178" i="1" s="1"/>
  <c r="BI169" i="1" a="1"/>
  <c r="BI169" i="1" s="1"/>
  <c r="BI1595" i="1" a="1"/>
  <c r="BI1595" i="1" s="1"/>
  <c r="BK154" i="1"/>
  <c r="BK14" i="1"/>
  <c r="BI2036" i="1" a="1"/>
  <c r="BI2036" i="1" s="1"/>
  <c r="BI124" i="1" a="1"/>
  <c r="BI124" i="1" s="1"/>
  <c r="BL2145" i="1" a="1"/>
  <c r="BL2145" i="1" s="1"/>
  <c r="BK2160" i="1"/>
  <c r="BK2130" i="1"/>
  <c r="BK2150" i="1"/>
  <c r="BK2115" i="1"/>
  <c r="BK2165" i="1"/>
  <c r="BL2110" i="1" a="1"/>
  <c r="BL2110" i="1" s="1"/>
  <c r="BN2170" i="1" a="1"/>
  <c r="BN2170" i="1" s="1"/>
  <c r="BN2125" i="1" a="1"/>
  <c r="BN2125" i="1" s="1"/>
  <c r="BN1943" i="1" a="1"/>
  <c r="BN1943" i="1" s="1"/>
  <c r="BK2135" i="1"/>
  <c r="BK2140" i="1"/>
  <c r="BI705" i="1" a="1"/>
  <c r="BI705" i="1" s="1"/>
  <c r="BI1176" i="1" a="1"/>
  <c r="BI1176" i="1" s="1"/>
  <c r="BI1631" i="1" a="1"/>
  <c r="BI1631" i="1" s="1"/>
  <c r="BK1625" i="1"/>
  <c r="BI1298" i="1" a="1"/>
  <c r="BI1298" i="1" s="1"/>
  <c r="BK1608" i="1"/>
  <c r="BI1619" i="1" a="1"/>
  <c r="BI1619" i="1" s="1"/>
  <c r="BI539" i="1" a="1"/>
  <c r="BI539" i="1" s="1"/>
  <c r="BI1734" i="1" a="1"/>
  <c r="BI1734" i="1" s="1"/>
  <c r="BN2105" i="1" a="1"/>
  <c r="BN2105" i="1" s="1"/>
  <c r="BI2130" i="1" a="1"/>
  <c r="BI2130" i="1" s="1"/>
  <c r="BN2285" i="1" a="1"/>
  <c r="BN2285" i="1" s="1"/>
  <c r="BN2543" i="1" a="1"/>
  <c r="BN2543" i="1" s="1"/>
  <c r="BI2017" i="1" a="1"/>
  <c r="BI2017" i="1" s="1"/>
  <c r="BQ2290" i="1"/>
  <c r="BR2290" i="1" s="1"/>
  <c r="BN2017" i="1" a="1"/>
  <c r="BN2017" i="1" s="1"/>
  <c r="BI2105" i="1" a="1"/>
  <c r="BI2105" i="1" s="1"/>
  <c r="BL2115" i="1" a="1"/>
  <c r="BL2115" i="1" s="1"/>
  <c r="BQ2265" i="1"/>
  <c r="BR2265" i="1" s="1"/>
  <c r="BK1978" i="1"/>
  <c r="BI1087" i="1" a="1"/>
  <c r="BI1087" i="1" s="1"/>
  <c r="BN1973" i="1" a="1"/>
  <c r="BN1973" i="1" s="1"/>
  <c r="BQ2540" i="1"/>
  <c r="BR2540" i="1" s="1"/>
  <c r="BL1978" i="1" a="1"/>
  <c r="BL1978" i="1" s="1"/>
  <c r="BI2125" i="1" a="1"/>
  <c r="BI2125" i="1" s="1"/>
  <c r="BI2215" i="1" a="1"/>
  <c r="BI2215" i="1" s="1"/>
  <c r="BN2215" i="1" a="1"/>
  <c r="BN2215" i="1" s="1"/>
  <c r="BN2130" i="1" a="1"/>
  <c r="BN2130" i="1" s="1"/>
  <c r="BN2546" i="1" a="1"/>
  <c r="BN2546" i="1" s="1"/>
  <c r="BK1973" i="1"/>
  <c r="BI1943" i="1" a="1"/>
  <c r="BI1943" i="1" s="1"/>
  <c r="BI2165" i="1" a="1"/>
  <c r="BI2165" i="1" s="1"/>
  <c r="BN2165" i="1" a="1"/>
  <c r="BN2165" i="1" s="1"/>
  <c r="BI2065" i="1" a="1"/>
  <c r="BI2065" i="1" s="1"/>
  <c r="BN2065" i="1" a="1"/>
  <c r="BN2065" i="1" s="1"/>
  <c r="BN2200" i="1" a="1"/>
  <c r="BN2200" i="1" s="1"/>
  <c r="BK2145" i="1"/>
  <c r="BI2540" i="1" a="1"/>
  <c r="BI2540" i="1" s="1"/>
  <c r="BN2135" i="1" a="1"/>
  <c r="BN2135" i="1" s="1"/>
  <c r="BN2140" i="1" a="1"/>
  <c r="BN2140" i="1" s="1"/>
  <c r="BN2145" i="1" a="1"/>
  <c r="BN2145" i="1" s="1"/>
  <c r="BI2115" i="1" a="1"/>
  <c r="BI2115" i="1" s="1"/>
  <c r="BN2552" i="1" a="1"/>
  <c r="BN2552" i="1" s="1"/>
  <c r="BN2115" i="1" a="1"/>
  <c r="BN2115" i="1" s="1"/>
  <c r="BI2145" i="1" a="1"/>
  <c r="BI2145" i="1" s="1"/>
  <c r="BK2125" i="1"/>
  <c r="BL2125" i="1" a="1"/>
  <c r="BL2125" i="1" s="1"/>
  <c r="BI2200" i="1" a="1"/>
  <c r="BI2200" i="1" s="1"/>
  <c r="BI1597" i="1" a="1"/>
  <c r="BI1597" i="1" s="1"/>
  <c r="BK516" i="1"/>
  <c r="BK1081" i="1"/>
  <c r="BI1988" i="1" a="1"/>
  <c r="BI1988" i="1" s="1"/>
  <c r="BL1988" i="1" a="1"/>
  <c r="BL1988" i="1" s="1"/>
  <c r="BK1988" i="1"/>
  <c r="BK1948" i="1"/>
  <c r="BN1948" i="1" a="1"/>
  <c r="BN1948" i="1" s="1"/>
  <c r="BI1948" i="1" a="1"/>
  <c r="BI1948" i="1" s="1"/>
  <c r="BI2225" i="1" a="1"/>
  <c r="BI2225" i="1" s="1"/>
  <c r="BN2225" i="1" a="1"/>
  <c r="BN2225" i="1" s="1"/>
  <c r="BN2205" i="1" a="1"/>
  <c r="BN2205" i="1" s="1"/>
  <c r="BN2504" i="1" a="1"/>
  <c r="BN2504" i="1" s="1"/>
  <c r="BI2110" i="1" a="1"/>
  <c r="BI2110" i="1" s="1"/>
  <c r="BK2110" i="1"/>
  <c r="BN2110" i="1" a="1"/>
  <c r="BN2110" i="1" s="1"/>
  <c r="BN1193" i="1" a="1"/>
  <c r="BN1193" i="1" s="1"/>
  <c r="BK2398" i="1"/>
  <c r="BI2398" i="1" a="1"/>
  <c r="BI2398" i="1" s="1"/>
  <c r="BI2060" i="1" a="1"/>
  <c r="BI2060" i="1" s="1"/>
  <c r="BK2060" i="1"/>
  <c r="BN2120" i="1" a="1"/>
  <c r="BN2120" i="1" s="1"/>
  <c r="BI2120" i="1" a="1"/>
  <c r="BI2120" i="1" s="1"/>
  <c r="BK2155" i="1"/>
  <c r="BN2155" i="1" a="1"/>
  <c r="BN2155" i="1" s="1"/>
  <c r="BI2155" i="1" a="1"/>
  <c r="BI2155" i="1" s="1"/>
  <c r="BK2170" i="1"/>
  <c r="BI2170" i="1" a="1"/>
  <c r="BI2170" i="1" s="1"/>
  <c r="BI2038" i="1" a="1"/>
  <c r="BI2038" i="1" s="1"/>
  <c r="BK1596" i="1"/>
  <c r="BK2037" i="1"/>
  <c r="BK1069" i="1"/>
  <c r="BK1093" i="1"/>
  <c r="BK1129" i="1"/>
  <c r="BL2022" i="1" a="1"/>
  <c r="BL2022" i="1" s="1"/>
  <c r="BN2220" i="1" a="1"/>
  <c r="BN2220" i="1" s="1"/>
  <c r="BI517" i="1" a="1"/>
  <c r="BI517" i="1" s="1"/>
  <c r="BK1105" i="1"/>
  <c r="BI1466" i="1" a="1"/>
  <c r="BI1466" i="1" s="1"/>
  <c r="BI326" i="1" a="1"/>
  <c r="BI326" i="1" s="1"/>
  <c r="BI2537" i="1" a="1"/>
  <c r="BI2537" i="1" s="1"/>
  <c r="BI2555" i="1" a="1"/>
  <c r="BI2555" i="1" s="1"/>
  <c r="BN2556" i="1" a="1"/>
  <c r="BN2556" i="1" s="1"/>
  <c r="BI2556" i="1" a="1"/>
  <c r="BI2556" i="1" s="1"/>
  <c r="BN2557" i="1" a="1"/>
  <c r="BN2557" i="1" s="1"/>
  <c r="BQ2557" i="1"/>
  <c r="BR2557" i="1" s="1"/>
  <c r="BI2260" i="1" a="1"/>
  <c r="BI2260" i="1" s="1"/>
  <c r="BI2290" i="1" a="1"/>
  <c r="BI2290" i="1" s="1"/>
  <c r="BI2265" i="1" a="1"/>
  <c r="BI2265" i="1" s="1"/>
  <c r="BI1896" i="1" a="1"/>
  <c r="BI1896" i="1" s="1"/>
  <c r="BI1932" i="1" a="1"/>
  <c r="BI1932" i="1" s="1"/>
  <c r="BI1902" i="1" a="1"/>
  <c r="BI1902" i="1" s="1"/>
  <c r="BI1460" i="1" a="1"/>
  <c r="BI1460" i="1" s="1"/>
  <c r="BI1024" i="1" a="1"/>
  <c r="BI1024" i="1" s="1"/>
  <c r="BI2649" i="1" a="1"/>
  <c r="BI2649" i="1" s="1"/>
  <c r="BI321" i="1" a="1"/>
  <c r="BI321" i="1" s="1"/>
  <c r="BI1496" i="1" a="1"/>
  <c r="BI1496" i="1" s="1"/>
  <c r="BI2572" i="1" a="1"/>
  <c r="BI2572" i="1" s="1"/>
  <c r="BI320" i="1" a="1"/>
  <c r="BI320" i="1" s="1"/>
  <c r="BI2501" i="1" a="1"/>
  <c r="BI2501" i="1" s="1"/>
  <c r="BN2492" i="1" a="1"/>
  <c r="BN2492" i="1" s="1"/>
  <c r="BI310" i="1" a="1"/>
  <c r="BI310" i="1" s="1"/>
  <c r="BI2498" i="1" a="1"/>
  <c r="BI2498" i="1" s="1"/>
  <c r="BK2185" i="1" a="1"/>
  <c r="BK2185" i="1" s="1"/>
  <c r="BI1836" i="1" a="1"/>
  <c r="BI1836" i="1" s="1"/>
  <c r="BI2210" i="1" a="1"/>
  <c r="BI2210" i="1" s="1"/>
  <c r="BI1818" i="1" a="1"/>
  <c r="BI1818" i="1" s="1"/>
  <c r="BI172" i="1" a="1"/>
  <c r="BI172" i="1" s="1"/>
  <c r="BI181" i="1" a="1"/>
  <c r="BI181" i="1" s="1"/>
  <c r="BI859" i="1" a="1"/>
  <c r="BI859" i="1" s="1"/>
  <c r="BI892" i="1" a="1"/>
  <c r="BI892" i="1" s="1"/>
  <c r="BI1400" i="1" a="1"/>
  <c r="BI1400" i="1" s="1"/>
  <c r="BI1382" i="1" a="1"/>
  <c r="BI1382" i="1" s="1"/>
  <c r="BI2507" i="1" a="1"/>
  <c r="BI2507" i="1" s="1"/>
  <c r="BI307" i="1" a="1"/>
  <c r="BI307" i="1" s="1"/>
  <c r="BI2510" i="1" a="1"/>
  <c r="BI2510" i="1" s="1"/>
  <c r="BI2205" i="1" a="1"/>
  <c r="BI2205" i="1" s="1"/>
  <c r="BN2510" i="1" a="1"/>
  <c r="BN2510" i="1" s="1"/>
  <c r="BN2210" i="1" a="1"/>
  <c r="BN2210" i="1" s="1"/>
  <c r="BQ2543" i="1"/>
  <c r="BR2543" i="1" s="1"/>
  <c r="BI2492" i="1" a="1"/>
  <c r="BI2492" i="1" s="1"/>
  <c r="BN2549" i="1" a="1"/>
  <c r="BN2549" i="1" s="1"/>
  <c r="BI2495" i="1" a="1"/>
  <c r="BI2495" i="1" s="1"/>
  <c r="BQ2552" i="1"/>
  <c r="BR2552" i="1" s="1"/>
  <c r="U8" i="5"/>
  <c r="U7" i="5"/>
  <c r="U6" i="5"/>
  <c r="U5" i="5"/>
  <c r="U4" i="5"/>
  <c r="U3" i="5"/>
  <c r="W8" i="5"/>
  <c r="W7" i="5"/>
  <c r="W6" i="5"/>
  <c r="W5" i="5"/>
  <c r="W4" i="5"/>
  <c r="W3" i="5"/>
  <c r="BQ2546" i="1"/>
  <c r="BR2546" i="1" s="1"/>
  <c r="BN2318" i="1" a="1"/>
  <c r="BN2318" i="1" s="1"/>
  <c r="BK1938" i="1"/>
  <c r="BL1938" i="1" a="1"/>
  <c r="BL1938" i="1" s="1"/>
  <c r="BN1938" i="1" a="1"/>
  <c r="BN1938" i="1" s="1"/>
  <c r="BK2516" i="1"/>
  <c r="BN2280" i="1" a="1"/>
  <c r="BN2280" i="1" s="1"/>
  <c r="BN2462" i="1" a="1"/>
  <c r="BN2462" i="1" s="1"/>
  <c r="BN2516" i="1" a="1"/>
  <c r="BN2516" i="1" s="1"/>
  <c r="BK2468" i="1"/>
  <c r="BK2318" i="1"/>
  <c r="BN2477" i="1" a="1"/>
  <c r="BN2477" i="1" s="1"/>
  <c r="BL2324" i="1" a="1"/>
  <c r="BL2324" i="1" s="1"/>
  <c r="BI2315" i="1" a="1"/>
  <c r="BI2315" i="1" s="1"/>
  <c r="BL1204" i="1" a="1"/>
  <c r="BL1204" i="1" s="1"/>
  <c r="BI2444" i="1" a="1"/>
  <c r="BI2444" i="1" s="1"/>
  <c r="BK2028" i="1"/>
  <c r="BK2763" i="1" s="1"/>
  <c r="BL2028" i="1" a="1"/>
  <c r="BL2028" i="1" s="1"/>
  <c r="BL2763" i="1" s="1"/>
  <c r="BN2025" i="1" a="1"/>
  <c r="BN2025" i="1" s="1"/>
  <c r="BN2480" i="1" a="1"/>
  <c r="BN2480" i="1" s="1"/>
  <c r="BN2294" i="1" a="1"/>
  <c r="BN2294" i="1" s="1"/>
  <c r="BN2483" i="1" a="1"/>
  <c r="BN2483" i="1" s="1"/>
  <c r="BI2150" i="1" a="1"/>
  <c r="BI2150" i="1" s="1"/>
  <c r="BI1201" i="1" a="1"/>
  <c r="BI1201" i="1" s="1"/>
  <c r="BI1193" i="1" a="1"/>
  <c r="BI1193" i="1" s="1"/>
  <c r="BN2150" i="1" a="1"/>
  <c r="BN2150" i="1" s="1"/>
  <c r="BQ2280" i="1"/>
  <c r="BR2280" i="1" s="1"/>
  <c r="BI2483" i="1" a="1"/>
  <c r="BI2483" i="1" s="1"/>
  <c r="BK2300" i="1"/>
  <c r="BN2306" i="1" a="1"/>
  <c r="BN2306" i="1" s="1"/>
  <c r="BK1198" i="1"/>
  <c r="BN2300" i="1" a="1"/>
  <c r="BN2300" i="1" s="1"/>
  <c r="BN2437" i="1" a="1"/>
  <c r="BN2437" i="1" s="1"/>
  <c r="BL2450" i="1" a="1"/>
  <c r="BL2450" i="1" s="1"/>
  <c r="BN2160" i="1" a="1"/>
  <c r="BN2160" i="1" s="1"/>
  <c r="BK19" i="1"/>
  <c r="BL1198" i="1" a="1"/>
  <c r="BL1198" i="1" s="1"/>
  <c r="BL19" i="1" a="1"/>
  <c r="BL19" i="1" s="1"/>
  <c r="BN2022" i="1" a="1"/>
  <c r="BN2022" i="1" s="1"/>
  <c r="BK2022" i="1"/>
  <c r="BL2312" i="1" a="1"/>
  <c r="BL2312" i="1" s="1"/>
  <c r="BN2456" i="1" a="1"/>
  <c r="BN2456" i="1" s="1"/>
  <c r="BN1978" i="1" a="1"/>
  <c r="BN1978" i="1" s="1"/>
  <c r="BN1204" i="1" a="1"/>
  <c r="BN1204" i="1" s="1"/>
  <c r="BN2324" i="1" a="1"/>
  <c r="BN2324" i="1" s="1"/>
  <c r="BN2465" i="1" a="1"/>
  <c r="BN2465" i="1" s="1"/>
  <c r="BI1848" i="1" a="1"/>
  <c r="BI1848" i="1" s="1"/>
  <c r="BI2447" i="1" a="1"/>
  <c r="BI2447" i="1" s="1"/>
  <c r="BI1198" i="1" a="1"/>
  <c r="BI1198" i="1" s="1"/>
  <c r="BI2306" i="1" a="1"/>
  <c r="BI2306" i="1" s="1"/>
  <c r="BI2450" i="1" a="1"/>
  <c r="BI2450" i="1" s="1"/>
  <c r="BI2312" i="1" a="1"/>
  <c r="BI2312" i="1" s="1"/>
  <c r="BI2456" i="1" a="1"/>
  <c r="BI2456" i="1" s="1"/>
  <c r="BI2513" i="1" a="1"/>
  <c r="BI2513" i="1" s="1"/>
  <c r="BK2447" i="1"/>
  <c r="BN2513" i="1" a="1"/>
  <c r="BN2513" i="1" s="1"/>
  <c r="BI2462" i="1" a="1"/>
  <c r="BI2462" i="1" s="1"/>
  <c r="BI2465" i="1" a="1"/>
  <c r="BI2465" i="1" s="1"/>
  <c r="BK2306" i="1"/>
  <c r="BI1958" i="1" a="1"/>
  <c r="BI1958" i="1" s="1"/>
  <c r="BI2477" i="1" a="1"/>
  <c r="BI2477" i="1" s="1"/>
  <c r="BN2507" i="1" a="1"/>
  <c r="BN2507" i="1" s="1"/>
  <c r="BK2312" i="1"/>
  <c r="BK2450" i="1"/>
  <c r="BI2135" i="1" a="1"/>
  <c r="BI2135" i="1" s="1"/>
  <c r="BI2140" i="1" a="1"/>
  <c r="BI2140" i="1" s="1"/>
  <c r="BI2160" i="1" a="1"/>
  <c r="BI2160" i="1" s="1"/>
  <c r="AA5" i="5"/>
  <c r="Y7" i="5"/>
  <c r="X8" i="5"/>
  <c r="AB6" i="5"/>
  <c r="AB4" i="5"/>
  <c r="AA7" i="5"/>
  <c r="AA6" i="5"/>
  <c r="Y4" i="5"/>
  <c r="AA2" i="5"/>
  <c r="Z6" i="5"/>
  <c r="Z5" i="5"/>
  <c r="AA8" i="5"/>
  <c r="X5" i="5"/>
  <c r="X6" i="5"/>
  <c r="Z4" i="5"/>
  <c r="AA4" i="5"/>
  <c r="AB5" i="5"/>
  <c r="AA3" i="5"/>
  <c r="Y5" i="5"/>
  <c r="Y6" i="5"/>
  <c r="Z2" i="5"/>
  <c r="Z3" i="5"/>
  <c r="AB3" i="5"/>
  <c r="X4" i="5"/>
  <c r="Y8" i="5"/>
  <c r="AB2" i="5"/>
  <c r="Y2" i="5"/>
  <c r="Z7" i="5"/>
  <c r="AB8" i="5"/>
  <c r="X3" i="5"/>
  <c r="X7" i="5"/>
  <c r="Y3" i="5"/>
  <c r="Z8" i="5"/>
  <c r="AB7" i="5"/>
  <c r="BN2291" i="1" a="1"/>
  <c r="BN2291" i="1" s="1"/>
  <c r="BI2291" i="1" a="1"/>
  <c r="BI2291" i="1" s="1"/>
  <c r="BK2761" i="1" l="1"/>
  <c r="BK2759" i="1"/>
  <c r="BK2753" i="1"/>
  <c r="BK2751" i="1"/>
  <c r="BK2766" i="1"/>
  <c r="BK2755" i="1"/>
  <c r="BK2738" i="1"/>
  <c r="BK2737" i="1"/>
  <c r="BJ2572" i="1" a="1"/>
  <c r="BJ2572" i="1" s="1"/>
  <c r="BL2572" i="1" a="1"/>
  <c r="BL2572" i="1" s="1"/>
  <c r="BJ320" i="1" a="1"/>
  <c r="BJ320" i="1" s="1"/>
  <c r="BL320" i="1" a="1"/>
  <c r="BL320" i="1" s="1"/>
  <c r="BJ1896" i="1" a="1"/>
  <c r="BJ1896" i="1" s="1"/>
  <c r="BL1896" i="1" a="1"/>
  <c r="BL1896" i="1" s="1"/>
  <c r="BJ1460" i="1" a="1"/>
  <c r="BJ1460" i="1" s="1"/>
  <c r="BL1460" i="1" a="1"/>
  <c r="BL1460" i="1" s="1"/>
  <c r="BJ2537" i="1" a="1"/>
  <c r="BJ2537" i="1" s="1"/>
  <c r="BL2537" i="1" a="1"/>
  <c r="BL2537" i="1" s="1"/>
  <c r="BJ214" i="1" a="1"/>
  <c r="BJ214" i="1" s="1"/>
  <c r="BL214" i="1" a="1"/>
  <c r="BL214" i="1" s="1"/>
  <c r="BJ2260" i="1" a="1"/>
  <c r="BJ2260" i="1" s="1"/>
  <c r="BL2260" i="1" a="1"/>
  <c r="BL2260" i="1" s="1"/>
  <c r="BJ2556" i="1" a="1"/>
  <c r="BJ2556" i="1" s="1"/>
  <c r="BL2556" i="1" a="1"/>
  <c r="BL2556" i="1" s="1"/>
  <c r="BJ211" i="1" a="1"/>
  <c r="BJ211" i="1" s="1"/>
  <c r="BL211" i="1" a="1"/>
  <c r="BL211" i="1" s="1"/>
  <c r="BJ220" i="1" a="1"/>
  <c r="BJ220" i="1" s="1"/>
  <c r="BL220" i="1" a="1"/>
  <c r="BL220" i="1" s="1"/>
  <c r="BJ1024" i="1" a="1"/>
  <c r="BJ1024" i="1" s="1"/>
  <c r="BL1024" i="1" a="1"/>
  <c r="BL1024" i="1" s="1"/>
  <c r="BM2185" i="1" a="1"/>
  <c r="BM2185" i="1" s="1"/>
  <c r="BJ2185" i="1" s="1" a="1"/>
  <c r="BJ2185" i="1" s="1"/>
  <c r="BL2185" i="1" a="1"/>
  <c r="BL2185" i="1" s="1"/>
  <c r="BN2185" i="1" a="1"/>
  <c r="BN2185" i="1" s="1"/>
  <c r="BI2185" i="1" a="1"/>
  <c r="BI2185" i="1" s="1"/>
  <c r="BK2195" i="1" a="1"/>
  <c r="BK2195" i="1" s="1"/>
  <c r="BM2190" i="1" a="1"/>
  <c r="BM2190" i="1" s="1"/>
  <c r="BJ2190" i="1" s="1" a="1"/>
  <c r="BJ2190" i="1" s="1"/>
  <c r="BP1932" i="1"/>
  <c r="BO1932" i="1"/>
  <c r="BN1932" i="1" a="1"/>
  <c r="BN1932" i="1" s="1"/>
  <c r="BN1926" i="1" a="1"/>
  <c r="BN1926" i="1" s="1"/>
  <c r="BP1920" i="1"/>
  <c r="BO1920" i="1"/>
  <c r="BN1920" i="1" a="1"/>
  <c r="BN1920" i="1" s="1"/>
  <c r="BP1914" i="1"/>
  <c r="BO1914" i="1"/>
  <c r="BN1914" i="1" a="1"/>
  <c r="BN1914" i="1" s="1"/>
  <c r="BP1908" i="1"/>
  <c r="BO1908" i="1"/>
  <c r="BN1908" i="1" a="1"/>
  <c r="BN1908" i="1" s="1"/>
  <c r="BP1902" i="1"/>
  <c r="BO1902" i="1"/>
  <c r="BN1902" i="1" a="1"/>
  <c r="BN1902" i="1" s="1"/>
  <c r="BP1896" i="1"/>
  <c r="BO1896" i="1"/>
  <c r="BN1896" i="1" a="1"/>
  <c r="BN1896" i="1" s="1"/>
  <c r="BN1854" i="1" a="1"/>
  <c r="BN1854" i="1" s="1"/>
  <c r="BK1854" i="1"/>
  <c r="BN1848" i="1" a="1"/>
  <c r="BN1848" i="1" s="1"/>
  <c r="BN1842" i="1" a="1"/>
  <c r="BN1842" i="1" s="1"/>
  <c r="BN1836" i="1" a="1"/>
  <c r="BN1836" i="1" s="1"/>
  <c r="BN1830" i="1" a="1"/>
  <c r="BN1830" i="1" s="1"/>
  <c r="BN1824" i="1" a="1"/>
  <c r="BN1824" i="1" s="1"/>
  <c r="BN1818" i="1" a="1"/>
  <c r="BN1818" i="1" s="1"/>
  <c r="BN1812" i="1" a="1"/>
  <c r="BN1812" i="1" s="1"/>
  <c r="BN1806" i="1" a="1"/>
  <c r="BN1806" i="1" s="1"/>
  <c r="BN1788" i="1" a="1"/>
  <c r="BN1788" i="1" s="1"/>
  <c r="BN1782" i="1" a="1"/>
  <c r="BN1782" i="1" s="1"/>
  <c r="BN1776" i="1" a="1"/>
  <c r="BN1776" i="1" s="1"/>
  <c r="BK1776" i="1"/>
  <c r="BN1770" i="1" a="1"/>
  <c r="BN1770" i="1" s="1"/>
  <c r="BN1764" i="1" a="1"/>
  <c r="BN1764" i="1" s="1"/>
  <c r="BN1758" i="1" a="1"/>
  <c r="BN1758" i="1" s="1"/>
  <c r="BL1758" i="1" a="1"/>
  <c r="BL1758" i="1" s="1"/>
  <c r="BK1758" i="1"/>
  <c r="BN1752" i="1" a="1"/>
  <c r="BN1752" i="1" s="1"/>
  <c r="BK1752" i="1"/>
  <c r="BN1746" i="1" a="1"/>
  <c r="BN1746" i="1" s="1"/>
  <c r="BK1746" i="1"/>
  <c r="BN1740" i="1" a="1"/>
  <c r="BN1740" i="1" s="1"/>
  <c r="BN1734" i="1" a="1"/>
  <c r="BN1734" i="1" s="1"/>
  <c r="BL1734" i="1" a="1"/>
  <c r="BL1734" i="1" s="1"/>
  <c r="BK1734" i="1"/>
  <c r="BN1728" i="1" a="1"/>
  <c r="BN1728" i="1" s="1"/>
  <c r="BN1722" i="1" a="1"/>
  <c r="BN1722" i="1" s="1"/>
  <c r="BL1722" i="1" a="1"/>
  <c r="BL1722" i="1" s="1"/>
  <c r="BK1722" i="1"/>
  <c r="BN1716" i="1" a="1"/>
  <c r="BN1716" i="1" s="1"/>
  <c r="BL1716" i="1" a="1"/>
  <c r="BL1716" i="1" s="1"/>
  <c r="BK1716" i="1"/>
  <c r="BN1710" i="1" a="1"/>
  <c r="BN1710" i="1" s="1"/>
  <c r="BN1662" i="1" a="1"/>
  <c r="BN1662" i="1" s="1"/>
  <c r="BN1656" i="1" a="1"/>
  <c r="BN1656" i="1" s="1"/>
  <c r="BK1656" i="1"/>
  <c r="BN2382" i="1" a="1"/>
  <c r="BN2382" i="1" s="1"/>
  <c r="BN1643" i="1" a="1"/>
  <c r="BN1643" i="1" s="1"/>
  <c r="BL1643" i="1" a="1"/>
  <c r="BL1643" i="1" s="1"/>
  <c r="BK1643" i="1"/>
  <c r="BN1637" i="1" a="1"/>
  <c r="BN1637" i="1" s="1"/>
  <c r="BN1188" i="1" a="1"/>
  <c r="BN1188" i="1" s="1"/>
  <c r="BL1188" i="1" a="1"/>
  <c r="BL1188" i="1" s="1"/>
  <c r="BK1188" i="1"/>
  <c r="BN1182" i="1" a="1"/>
  <c r="BN1182" i="1" s="1"/>
  <c r="BN1575" i="1" a="1"/>
  <c r="BN1575" i="1" s="1"/>
  <c r="BL1575" i="1" a="1"/>
  <c r="BL1575" i="1" s="1"/>
  <c r="BK1575" i="1"/>
  <c r="BN1569" i="1" a="1"/>
  <c r="BN1569" i="1" s="1"/>
  <c r="BN1563" i="1" a="1"/>
  <c r="BN1563" i="1" s="1"/>
  <c r="BL1563" i="1" a="1"/>
  <c r="BL1563" i="1" s="1"/>
  <c r="BK1563" i="1"/>
  <c r="BN1557" i="1" a="1"/>
  <c r="BN1557" i="1" s="1"/>
  <c r="BN1551" i="1" a="1"/>
  <c r="BN1551" i="1" s="1"/>
  <c r="BL1551" i="1" a="1"/>
  <c r="BL1551" i="1" s="1"/>
  <c r="BK1551" i="1"/>
  <c r="BN1545" i="1" a="1"/>
  <c r="BN1545" i="1" s="1"/>
  <c r="BN1539" i="1" a="1"/>
  <c r="BN1539" i="1" s="1"/>
  <c r="BL1539" i="1" a="1"/>
  <c r="BL1539" i="1" s="1"/>
  <c r="BK1539" i="1"/>
  <c r="BN1533" i="1" a="1"/>
  <c r="BN1533" i="1" s="1"/>
  <c r="BN1527" i="1" a="1"/>
  <c r="BN1527" i="1" s="1"/>
  <c r="BK1527" i="1"/>
  <c r="BN1521" i="1" a="1"/>
  <c r="BN1521" i="1" s="1"/>
  <c r="BN1515" i="1" a="1"/>
  <c r="BN1515" i="1" s="1"/>
  <c r="BL1515" i="1" a="1"/>
  <c r="BL1515" i="1" s="1"/>
  <c r="BK1515" i="1"/>
  <c r="BN1509" i="1" a="1"/>
  <c r="BN1509" i="1" s="1"/>
  <c r="BN1503" i="1" a="1"/>
  <c r="BN1503" i="1" s="1"/>
  <c r="BL1503" i="1" a="1"/>
  <c r="BL1503" i="1" s="1"/>
  <c r="BK1503" i="1"/>
  <c r="BN1497" i="1" a="1"/>
  <c r="BN1497" i="1" s="1"/>
  <c r="BI1842" i="1" a="1"/>
  <c r="BI1842" i="1" s="1"/>
  <c r="BI1824" i="1" a="1"/>
  <c r="BI1824" i="1" s="1"/>
  <c r="BI1806" i="1" a="1"/>
  <c r="BI1806" i="1" s="1"/>
  <c r="BI1788" i="1" a="1"/>
  <c r="BI1788" i="1" s="1"/>
  <c r="BI1782" i="1" a="1"/>
  <c r="BI1782" i="1" s="1"/>
  <c r="BI1770" i="1" a="1"/>
  <c r="BI1770" i="1" s="1"/>
  <c r="BI1764" i="1" a="1"/>
  <c r="BI1764" i="1" s="1"/>
  <c r="BI1740" i="1" a="1"/>
  <c r="BI1740" i="1" s="1"/>
  <c r="BI1728" i="1" a="1"/>
  <c r="BI1728" i="1" s="1"/>
  <c r="BI1710" i="1" a="1"/>
  <c r="BI1710" i="1" s="1"/>
  <c r="BI1662" i="1" a="1"/>
  <c r="BI1662" i="1" s="1"/>
  <c r="BI2382" i="1" a="1"/>
  <c r="BI2382" i="1" s="1"/>
  <c r="BI1637" i="1" a="1"/>
  <c r="BI1637" i="1" s="1"/>
  <c r="BI1182" i="1" a="1"/>
  <c r="BI1182" i="1" s="1"/>
  <c r="BI1569" i="1" a="1"/>
  <c r="BI1569" i="1" s="1"/>
  <c r="BI1557" i="1" a="1"/>
  <c r="BI1557" i="1" s="1"/>
  <c r="BI1545" i="1" a="1"/>
  <c r="BI1545" i="1" s="1"/>
  <c r="BI1533" i="1" a="1"/>
  <c r="BI1533" i="1" s="1"/>
  <c r="BI1521" i="1" a="1"/>
  <c r="BI1521" i="1" s="1"/>
  <c r="BI1509" i="1" a="1"/>
  <c r="BI1509" i="1" s="1"/>
  <c r="BI1497" i="1" a="1"/>
  <c r="BI1497" i="1" s="1"/>
  <c r="BM2195" i="1" l="1" a="1"/>
  <c r="BM2195" i="1" s="1"/>
  <c r="BJ2195" i="1" s="1" a="1"/>
  <c r="BJ2195" i="1" s="1"/>
  <c r="BL2195" i="1" a="1"/>
  <c r="BL2195" i="1" s="1"/>
  <c r="BQ1902" i="1"/>
  <c r="BR1902" i="1" s="1"/>
  <c r="BQ1932" i="1"/>
  <c r="BR1932" i="1" s="1"/>
  <c r="BQ1920" i="1"/>
  <c r="BR1920" i="1" s="1"/>
  <c r="BQ1914" i="1"/>
  <c r="BR1914" i="1" s="1"/>
  <c r="BQ1896" i="1"/>
  <c r="BR1896" i="1" s="1"/>
  <c r="BQ1908" i="1"/>
  <c r="BR1908" i="1" s="1"/>
  <c r="BK2190" i="1"/>
  <c r="BL2190" i="1" a="1"/>
  <c r="BL2190" i="1" s="1"/>
  <c r="BI2190" i="1" a="1"/>
  <c r="BI2190" i="1" s="1"/>
  <c r="BN2190" i="1" a="1"/>
  <c r="BN2190" i="1" s="1"/>
  <c r="BN2195" i="1" a="1"/>
  <c r="BN2195" i="1" s="1"/>
  <c r="BI2195" i="1" a="1"/>
  <c r="BI2195" i="1" s="1"/>
  <c r="BN2498" i="1" a="1"/>
  <c r="BN2498" i="1" s="1"/>
  <c r="BI230" i="1" l="1" a="1"/>
  <c r="BI230" i="1" s="1"/>
  <c r="BI232" i="1" a="1"/>
  <c r="BI232" i="1" s="1"/>
  <c r="BI234" i="1" a="1"/>
  <c r="BI234" i="1" s="1"/>
  <c r="BI236" i="1" a="1"/>
  <c r="BI236" i="1" s="1"/>
  <c r="BI238" i="1" a="1"/>
  <c r="BI238" i="1" s="1"/>
  <c r="BI240" i="1" a="1"/>
  <c r="BI240" i="1" s="1"/>
  <c r="BI242" i="1" a="1"/>
  <c r="BI242" i="1" s="1"/>
  <c r="BI516" i="1" a="1"/>
  <c r="BI516" i="1" s="1"/>
  <c r="BI1596" i="1" a="1"/>
  <c r="BI1596" i="1" s="1"/>
  <c r="BI2037" i="1" a="1"/>
  <c r="BI2037" i="1" s="1"/>
  <c r="BI281" i="1" a="1"/>
  <c r="BI281" i="1" s="1"/>
  <c r="BI289" i="1" a="1"/>
  <c r="BI289" i="1" s="1"/>
  <c r="BI292" i="1" a="1"/>
  <c r="BI292" i="1" s="1"/>
  <c r="BI294" i="1" a="1"/>
  <c r="BI294" i="1" s="1"/>
  <c r="BI298" i="1" a="1"/>
  <c r="BI298" i="1" s="1"/>
  <c r="BI299" i="1" a="1"/>
  <c r="BI299" i="1" s="1"/>
  <c r="BI301" i="1" a="1"/>
  <c r="BI301" i="1" s="1"/>
  <c r="BI302" i="1" a="1"/>
  <c r="BI302" i="1" s="1"/>
  <c r="BI305" i="1" a="1"/>
  <c r="BI305" i="1" s="1"/>
  <c r="BI308" i="1" a="1"/>
  <c r="BI308" i="1" s="1"/>
  <c r="BI311" i="1" a="1"/>
  <c r="BI311" i="1" s="1"/>
  <c r="BI7" i="1" a="1"/>
  <c r="BI7" i="1" s="1"/>
  <c r="BI10" i="1" a="1"/>
  <c r="BI10" i="1" s="1"/>
  <c r="BI14" i="1" a="1"/>
  <c r="BI14" i="1" s="1"/>
  <c r="BI22" i="1" a="1"/>
  <c r="BI22" i="1" s="1"/>
  <c r="BI28" i="1" a="1"/>
  <c r="BI28" i="1" s="1"/>
  <c r="BI34" i="1" a="1"/>
  <c r="BI34" i="1" s="1"/>
  <c r="BI40" i="1" a="1"/>
  <c r="BI40" i="1" s="1"/>
  <c r="BI512" i="1" a="1"/>
  <c r="BI512" i="1" s="1"/>
  <c r="BI1207" i="1" a="1"/>
  <c r="BI1207" i="1" s="1"/>
  <c r="BI2031" i="1" a="1"/>
  <c r="BI2031" i="1" s="1"/>
  <c r="BI94" i="1" a="1"/>
  <c r="BI94" i="1" s="1"/>
  <c r="BI118" i="1" a="1"/>
  <c r="BI118" i="1" s="1"/>
  <c r="BI127" i="1" a="1"/>
  <c r="BI127" i="1" s="1"/>
  <c r="BI133" i="1" a="1"/>
  <c r="BI133" i="1" s="1"/>
  <c r="BI145" i="1" a="1"/>
  <c r="BI145" i="1" s="1"/>
  <c r="BI148" i="1" a="1"/>
  <c r="BI148" i="1" s="1"/>
  <c r="BI154" i="1" a="1"/>
  <c r="BI154" i="1" s="1"/>
  <c r="BI157" i="1" a="1"/>
  <c r="BI157" i="1" s="1"/>
  <c r="BI175" i="1" a="1"/>
  <c r="BI175" i="1" s="1"/>
  <c r="BI184" i="1" a="1"/>
  <c r="BI184" i="1" s="1"/>
  <c r="BI211" i="1" a="1"/>
  <c r="BI211" i="1" s="1"/>
  <c r="BI214" i="1" a="1"/>
  <c r="BI214" i="1" s="1"/>
  <c r="BI217" i="1" a="1"/>
  <c r="BI217" i="1" s="1"/>
  <c r="BI220" i="1" a="1"/>
  <c r="BI220" i="1" s="1"/>
  <c r="BI223" i="1" a="1"/>
  <c r="BI223" i="1" s="1"/>
  <c r="BI226" i="1" a="1"/>
  <c r="BI226" i="1" s="1"/>
  <c r="BI229" i="1" a="1"/>
  <c r="BI229" i="1" s="1"/>
  <c r="BP1496" i="1"/>
  <c r="BO1496" i="1"/>
  <c r="BN1496" i="1" a="1"/>
  <c r="BN1496" i="1" s="1"/>
  <c r="BN1490" i="1" a="1"/>
  <c r="BN1490" i="1" s="1"/>
  <c r="BP1484" i="1"/>
  <c r="BO1484" i="1"/>
  <c r="BN1484" i="1" a="1"/>
  <c r="BN1484" i="1" s="1"/>
  <c r="BP1478" i="1"/>
  <c r="BO1478" i="1"/>
  <c r="BN1478" i="1" a="1"/>
  <c r="BN1478" i="1" s="1"/>
  <c r="BP1472" i="1"/>
  <c r="BO1472" i="1"/>
  <c r="BN1472" i="1" a="1"/>
  <c r="BN1472" i="1" s="1"/>
  <c r="BP1466" i="1"/>
  <c r="BO1466" i="1"/>
  <c r="BN1466" i="1" a="1"/>
  <c r="BN1466" i="1" s="1"/>
  <c r="BP1460" i="1"/>
  <c r="BO1460" i="1"/>
  <c r="BN1460" i="1" a="1"/>
  <c r="BN1460" i="1" s="1"/>
  <c r="BN1418" i="1" a="1"/>
  <c r="BN1418" i="1" s="1"/>
  <c r="BK1418" i="1"/>
  <c r="BN1412" i="1" a="1"/>
  <c r="BN1412" i="1" s="1"/>
  <c r="BN1406" i="1" a="1"/>
  <c r="BN1406" i="1" s="1"/>
  <c r="BN1400" i="1" a="1"/>
  <c r="BN1400" i="1" s="1"/>
  <c r="BN1394" i="1" a="1"/>
  <c r="BN1394" i="1" s="1"/>
  <c r="BN1388" i="1" a="1"/>
  <c r="BN1388" i="1" s="1"/>
  <c r="BN1382" i="1" a="1"/>
  <c r="BN1382" i="1" s="1"/>
  <c r="BN1376" i="1" a="1"/>
  <c r="BN1376" i="1" s="1"/>
  <c r="BN1370" i="1" a="1"/>
  <c r="BN1370" i="1" s="1"/>
  <c r="BN1352" i="1" a="1"/>
  <c r="BN1352" i="1" s="1"/>
  <c r="BN1346" i="1" a="1"/>
  <c r="BN1346" i="1" s="1"/>
  <c r="BN1340" i="1" a="1"/>
  <c r="BN1340" i="1" s="1"/>
  <c r="BK1340" i="1"/>
  <c r="BN1334" i="1" a="1"/>
  <c r="BN1334" i="1" s="1"/>
  <c r="BN1328" i="1" a="1"/>
  <c r="BN1328" i="1" s="1"/>
  <c r="BN1322" i="1" a="1"/>
  <c r="BN1322" i="1" s="1"/>
  <c r="BL1322" i="1" a="1"/>
  <c r="BL1322" i="1" s="1"/>
  <c r="BK1322" i="1"/>
  <c r="BN1316" i="1" a="1"/>
  <c r="BN1316" i="1" s="1"/>
  <c r="BK1316" i="1"/>
  <c r="BN1310" i="1" a="1"/>
  <c r="BN1310" i="1" s="1"/>
  <c r="BK1310" i="1"/>
  <c r="BN1304" i="1" a="1"/>
  <c r="BN1304" i="1" s="1"/>
  <c r="BN1298" i="1" a="1"/>
  <c r="BN1298" i="1" s="1"/>
  <c r="BL1298" i="1" a="1"/>
  <c r="BL1298" i="1" s="1"/>
  <c r="BK1298" i="1"/>
  <c r="BN1292" i="1" a="1"/>
  <c r="BN1292" i="1" s="1"/>
  <c r="BN1286" i="1" a="1"/>
  <c r="BN1286" i="1" s="1"/>
  <c r="BL1286" i="1" a="1"/>
  <c r="BL1286" i="1" s="1"/>
  <c r="BK1286" i="1"/>
  <c r="BN1280" i="1" a="1"/>
  <c r="BN1280" i="1" s="1"/>
  <c r="BL1280" i="1" a="1"/>
  <c r="BL1280" i="1" s="1"/>
  <c r="BK1280" i="1"/>
  <c r="BN1274" i="1" a="1"/>
  <c r="BN1274" i="1" s="1"/>
  <c r="BN1226" i="1" a="1"/>
  <c r="BN1226" i="1" s="1"/>
  <c r="BN1220" i="1" a="1"/>
  <c r="BN1220" i="1" s="1"/>
  <c r="BK1220" i="1"/>
  <c r="BN2365" i="1" a="1"/>
  <c r="BN2365" i="1" s="1"/>
  <c r="BN1631" i="1" a="1"/>
  <c r="BN1631" i="1" s="1"/>
  <c r="BL1631" i="1" a="1"/>
  <c r="BL1631" i="1" s="1"/>
  <c r="BK1631" i="1"/>
  <c r="BN1625" i="1" a="1"/>
  <c r="BN1625" i="1" s="1"/>
  <c r="BN1176" i="1" a="1"/>
  <c r="BN1176" i="1" s="1"/>
  <c r="BL1176" i="1" a="1"/>
  <c r="BL1176" i="1" s="1"/>
  <c r="BK1176" i="1"/>
  <c r="BN1170" i="1" a="1"/>
  <c r="BN1170" i="1" s="1"/>
  <c r="BN1147" i="1" a="1"/>
  <c r="BN1147" i="1" s="1"/>
  <c r="BL1147" i="1" a="1"/>
  <c r="BL1147" i="1" s="1"/>
  <c r="BK1147" i="1"/>
  <c r="BN1141" i="1" a="1"/>
  <c r="BN1141" i="1" s="1"/>
  <c r="BN1135" i="1" a="1"/>
  <c r="BN1135" i="1" s="1"/>
  <c r="BL1135" i="1" a="1"/>
  <c r="BL1135" i="1" s="1"/>
  <c r="BK1135" i="1"/>
  <c r="BN1129" i="1" a="1"/>
  <c r="BN1129" i="1" s="1"/>
  <c r="BN1123" i="1" a="1"/>
  <c r="BN1123" i="1" s="1"/>
  <c r="BL1123" i="1" a="1"/>
  <c r="BL1123" i="1" s="1"/>
  <c r="BK1123" i="1"/>
  <c r="BN1117" i="1" a="1"/>
  <c r="BN1117" i="1" s="1"/>
  <c r="BN1111" i="1" a="1"/>
  <c r="BN1111" i="1" s="1"/>
  <c r="BL1111" i="1" a="1"/>
  <c r="BL1111" i="1" s="1"/>
  <c r="BK1111" i="1"/>
  <c r="BN1105" i="1" a="1"/>
  <c r="BN1105" i="1" s="1"/>
  <c r="BN1099" i="1" a="1"/>
  <c r="BN1099" i="1" s="1"/>
  <c r="BK1099" i="1"/>
  <c r="BN1093" i="1" a="1"/>
  <c r="BN1093" i="1" s="1"/>
  <c r="BN1087" i="1" a="1"/>
  <c r="BN1087" i="1" s="1"/>
  <c r="BL1087" i="1" a="1"/>
  <c r="BL1087" i="1" s="1"/>
  <c r="BK1087" i="1"/>
  <c r="BN1081" i="1" a="1"/>
  <c r="BN1081" i="1" s="1"/>
  <c r="BN1075" i="1" a="1"/>
  <c r="BN1075" i="1" s="1"/>
  <c r="BL1075" i="1" a="1"/>
  <c r="BL1075" i="1" s="1"/>
  <c r="BK1075" i="1"/>
  <c r="BN1069" i="1" a="1"/>
  <c r="BN1069" i="1" s="1"/>
  <c r="BN2572" i="1" a="1"/>
  <c r="BN2572" i="1" s="1"/>
  <c r="BN1046" i="1" a="1"/>
  <c r="BN1046" i="1" s="1"/>
  <c r="BN1068" i="1" a="1"/>
  <c r="BN1068" i="1" s="1"/>
  <c r="BN1057" i="1" a="1"/>
  <c r="BN1057" i="1" s="1"/>
  <c r="BN1035" i="1" a="1"/>
  <c r="BN1035" i="1" s="1"/>
  <c r="BN2649" i="1" a="1"/>
  <c r="BN2649" i="1" s="1"/>
  <c r="BN1024" i="1" a="1"/>
  <c r="BN1024" i="1" s="1"/>
  <c r="BN925" i="1" a="1"/>
  <c r="BN925" i="1" s="1"/>
  <c r="BK925" i="1"/>
  <c r="BN914" i="1" a="1"/>
  <c r="BN914" i="1" s="1"/>
  <c r="BN903" i="1" a="1"/>
  <c r="BN903" i="1" s="1"/>
  <c r="BN892" i="1" a="1"/>
  <c r="BN892" i="1" s="1"/>
  <c r="BN881" i="1" a="1"/>
  <c r="BN881" i="1" s="1"/>
  <c r="BN870" i="1" a="1"/>
  <c r="BN870" i="1" s="1"/>
  <c r="BN859" i="1" a="1"/>
  <c r="BN859" i="1" s="1"/>
  <c r="BN848" i="1" a="1"/>
  <c r="BN848" i="1" s="1"/>
  <c r="BN837" i="1" a="1"/>
  <c r="BN837" i="1" s="1"/>
  <c r="BN804" i="1" a="1"/>
  <c r="BN804" i="1" s="1"/>
  <c r="BN793" i="1" a="1"/>
  <c r="BN793" i="1" s="1"/>
  <c r="BN782" i="1" a="1"/>
  <c r="BN782" i="1" s="1"/>
  <c r="BK782" i="1"/>
  <c r="BN771" i="1" a="1"/>
  <c r="BN771" i="1" s="1"/>
  <c r="BN760" i="1" a="1"/>
  <c r="BN760" i="1" s="1"/>
  <c r="BN749" i="1" a="1"/>
  <c r="BN749" i="1" s="1"/>
  <c r="BL749" i="1" a="1"/>
  <c r="BL749" i="1" s="1"/>
  <c r="BK749" i="1"/>
  <c r="BN738" i="1" a="1"/>
  <c r="BN738" i="1" s="1"/>
  <c r="BK738" i="1"/>
  <c r="BN727" i="1" a="1"/>
  <c r="BN727" i="1" s="1"/>
  <c r="BK727" i="1"/>
  <c r="BN716" i="1" a="1"/>
  <c r="BN716" i="1" s="1"/>
  <c r="BN705" i="1" a="1"/>
  <c r="BN705" i="1" s="1"/>
  <c r="BL705" i="1" a="1"/>
  <c r="BL705" i="1" s="1"/>
  <c r="BK705" i="1"/>
  <c r="BN694" i="1" a="1"/>
  <c r="BN694" i="1" s="1"/>
  <c r="BN683" i="1" a="1"/>
  <c r="BN683" i="1" s="1"/>
  <c r="BL683" i="1" a="1"/>
  <c r="BL683" i="1" s="1"/>
  <c r="BK683" i="1"/>
  <c r="BN672" i="1" a="1"/>
  <c r="BN672" i="1" s="1"/>
  <c r="BL672" i="1" a="1"/>
  <c r="BL672" i="1" s="1"/>
  <c r="BK672" i="1"/>
  <c r="BN661" i="1" a="1"/>
  <c r="BN661" i="1" s="1"/>
  <c r="BN573" i="1" a="1"/>
  <c r="BN573" i="1" s="1"/>
  <c r="BN562" i="1" a="1"/>
  <c r="BN562" i="1" s="1"/>
  <c r="BK562" i="1"/>
  <c r="BN1619" i="1" a="1"/>
  <c r="BN1619" i="1" s="1"/>
  <c r="BL1619" i="1" a="1"/>
  <c r="BL1619" i="1" s="1"/>
  <c r="BK1619" i="1"/>
  <c r="BN1608" i="1" a="1"/>
  <c r="BN1608" i="1" s="1"/>
  <c r="BN539" i="1" a="1"/>
  <c r="BN539" i="1" s="1"/>
  <c r="BL539" i="1" a="1"/>
  <c r="BL539" i="1" s="1"/>
  <c r="BK539" i="1"/>
  <c r="BN528" i="1" a="1"/>
  <c r="BN528" i="1" s="1"/>
  <c r="BN470" i="1" a="1"/>
  <c r="BN470" i="1" s="1"/>
  <c r="BL470" i="1" a="1"/>
  <c r="BL470" i="1" s="1"/>
  <c r="BK470" i="1"/>
  <c r="BN459" i="1" a="1"/>
  <c r="BN459" i="1" s="1"/>
  <c r="BN448" i="1" a="1"/>
  <c r="BN448" i="1" s="1"/>
  <c r="BL448" i="1" a="1"/>
  <c r="BL448" i="1" s="1"/>
  <c r="BK448" i="1"/>
  <c r="BN437" i="1" a="1"/>
  <c r="BN437" i="1" s="1"/>
  <c r="BN426" i="1" a="1"/>
  <c r="BN426" i="1" s="1"/>
  <c r="BL426" i="1" a="1"/>
  <c r="BL426" i="1" s="1"/>
  <c r="BK426" i="1"/>
  <c r="BN415" i="1" a="1"/>
  <c r="BN415" i="1" s="1"/>
  <c r="BN404" i="1" a="1"/>
  <c r="BN404" i="1" s="1"/>
  <c r="BL404" i="1" a="1"/>
  <c r="BL404" i="1" s="1"/>
  <c r="BK404" i="1"/>
  <c r="BN393" i="1" a="1"/>
  <c r="BN393" i="1" s="1"/>
  <c r="BN382" i="1" a="1"/>
  <c r="BN382" i="1" s="1"/>
  <c r="BK382" i="1"/>
  <c r="BN371" i="1" a="1"/>
  <c r="BN371" i="1" s="1"/>
  <c r="BN360" i="1" a="1"/>
  <c r="BN360" i="1" s="1"/>
  <c r="BL360" i="1" a="1"/>
  <c r="BL360" i="1" s="1"/>
  <c r="BK360" i="1"/>
  <c r="BN349" i="1" a="1"/>
  <c r="BN349" i="1" s="1"/>
  <c r="BN338" i="1" a="1"/>
  <c r="BN338" i="1" s="1"/>
  <c r="BL338" i="1" a="1"/>
  <c r="BL338" i="1" s="1"/>
  <c r="BK338" i="1"/>
  <c r="BN327" i="1" a="1"/>
  <c r="BN327" i="1" s="1"/>
  <c r="BP326" i="1"/>
  <c r="BO326" i="1"/>
  <c r="BN326" i="1" a="1"/>
  <c r="BN326" i="1" s="1"/>
  <c r="BN325" i="1" a="1"/>
  <c r="BN325" i="1" s="1"/>
  <c r="BP324" i="1"/>
  <c r="BO324" i="1"/>
  <c r="BN324" i="1" a="1"/>
  <c r="BN324" i="1" s="1"/>
  <c r="BP323" i="1"/>
  <c r="BO323" i="1"/>
  <c r="BN323" i="1" a="1"/>
  <c r="BN323" i="1" s="1"/>
  <c r="BP322" i="1"/>
  <c r="BO322" i="1"/>
  <c r="BN322" i="1" a="1"/>
  <c r="BN322" i="1" s="1"/>
  <c r="BP321" i="1"/>
  <c r="BO321" i="1"/>
  <c r="BN321" i="1" a="1"/>
  <c r="BN321" i="1" s="1"/>
  <c r="BP320" i="1"/>
  <c r="BO320" i="1"/>
  <c r="BN320" i="1" a="1"/>
  <c r="BN320" i="1" s="1"/>
  <c r="BN313" i="1" a="1"/>
  <c r="BN313" i="1" s="1"/>
  <c r="BK313" i="1"/>
  <c r="BN312" i="1" a="1"/>
  <c r="BN312" i="1" s="1"/>
  <c r="BN311" i="1" a="1"/>
  <c r="BN311" i="1" s="1"/>
  <c r="BN310" i="1" a="1"/>
  <c r="BN310" i="1" s="1"/>
  <c r="BN309" i="1" a="1"/>
  <c r="BN309" i="1" s="1"/>
  <c r="BN308" i="1" a="1"/>
  <c r="BN308" i="1" s="1"/>
  <c r="BN307" i="1" a="1"/>
  <c r="BN307" i="1" s="1"/>
  <c r="BN306" i="1" a="1"/>
  <c r="BN306" i="1" s="1"/>
  <c r="BN305" i="1" a="1"/>
  <c r="BN305" i="1" s="1"/>
  <c r="BN302" i="1" a="1"/>
  <c r="BN302" i="1" s="1"/>
  <c r="BN301" i="1" a="1"/>
  <c r="BN301" i="1" s="1"/>
  <c r="BN300" i="1" a="1"/>
  <c r="BN300" i="1" s="1"/>
  <c r="BK300" i="1"/>
  <c r="BN299" i="1" a="1"/>
  <c r="BN299" i="1" s="1"/>
  <c r="BN298" i="1" a="1"/>
  <c r="BN298" i="1" s="1"/>
  <c r="BN297" i="1" a="1"/>
  <c r="BN297" i="1" s="1"/>
  <c r="BL297" i="1" a="1"/>
  <c r="BL297" i="1" s="1"/>
  <c r="BK297" i="1"/>
  <c r="BN296" i="1" a="1"/>
  <c r="BN296" i="1" s="1"/>
  <c r="BK296" i="1"/>
  <c r="BN295" i="1" a="1"/>
  <c r="BN295" i="1" s="1"/>
  <c r="BK295" i="1"/>
  <c r="BN294" i="1" a="1"/>
  <c r="BN294" i="1" s="1"/>
  <c r="BN293" i="1" a="1"/>
  <c r="BN293" i="1" s="1"/>
  <c r="BL293" i="1" a="1"/>
  <c r="BL293" i="1" s="1"/>
  <c r="BK293" i="1"/>
  <c r="BN292" i="1" a="1"/>
  <c r="BN292" i="1" s="1"/>
  <c r="BN291" i="1" a="1"/>
  <c r="BN291" i="1" s="1"/>
  <c r="BL291" i="1" a="1"/>
  <c r="BL291" i="1" s="1"/>
  <c r="BK291" i="1"/>
  <c r="BN290" i="1" a="1"/>
  <c r="BN290" i="1" s="1"/>
  <c r="BL290" i="1" a="1"/>
  <c r="BL290" i="1" s="1"/>
  <c r="BK290" i="1"/>
  <c r="BN289" i="1" a="1"/>
  <c r="BN289" i="1" s="1"/>
  <c r="BN281" i="1" a="1"/>
  <c r="BN281" i="1" s="1"/>
  <c r="BN280" i="1" a="1"/>
  <c r="BN280" i="1" s="1"/>
  <c r="BK280" i="1"/>
  <c r="BN2038" i="1" a="1"/>
  <c r="BN2038" i="1" s="1"/>
  <c r="BL2038" i="1" a="1"/>
  <c r="BL2038" i="1" s="1"/>
  <c r="BK2038" i="1"/>
  <c r="BN2037" i="1" a="1"/>
  <c r="BN2037" i="1" s="1"/>
  <c r="BN1597" i="1" a="1"/>
  <c r="BN1597" i="1" s="1"/>
  <c r="BL1597" i="1" a="1"/>
  <c r="BL1597" i="1" s="1"/>
  <c r="BK1597" i="1"/>
  <c r="BN1596" i="1" a="1"/>
  <c r="BN1596" i="1" s="1"/>
  <c r="BN517" i="1" a="1"/>
  <c r="BN517" i="1" s="1"/>
  <c r="BL517" i="1" a="1"/>
  <c r="BL517" i="1" s="1"/>
  <c r="BK517" i="1"/>
  <c r="BN516" i="1" a="1"/>
  <c r="BN516" i="1" s="1"/>
  <c r="BN243" i="1" a="1"/>
  <c r="BN243" i="1" s="1"/>
  <c r="BL243" i="1" a="1"/>
  <c r="BL243" i="1" s="1"/>
  <c r="BK243" i="1"/>
  <c r="BN242" i="1" a="1"/>
  <c r="BN242" i="1" s="1"/>
  <c r="BN241" i="1" a="1"/>
  <c r="BN241" i="1" s="1"/>
  <c r="BL241" i="1" a="1"/>
  <c r="BL241" i="1" s="1"/>
  <c r="BK241" i="1"/>
  <c r="BN240" i="1" a="1"/>
  <c r="BN240" i="1" s="1"/>
  <c r="BN239" i="1" a="1"/>
  <c r="BN239" i="1" s="1"/>
  <c r="BL239" i="1" a="1"/>
  <c r="BL239" i="1" s="1"/>
  <c r="BK239" i="1"/>
  <c r="BN238" i="1" a="1"/>
  <c r="BN238" i="1" s="1"/>
  <c r="BN237" i="1" a="1"/>
  <c r="BN237" i="1" s="1"/>
  <c r="BL237" i="1" a="1"/>
  <c r="BL237" i="1" s="1"/>
  <c r="BK237" i="1"/>
  <c r="BN236" i="1" a="1"/>
  <c r="BN236" i="1" s="1"/>
  <c r="BN235" i="1" a="1"/>
  <c r="BN235" i="1" s="1"/>
  <c r="BK235" i="1"/>
  <c r="BN234" i="1" a="1"/>
  <c r="BN234" i="1" s="1"/>
  <c r="BN233" i="1" a="1"/>
  <c r="BN233" i="1" s="1"/>
  <c r="BL233" i="1" a="1"/>
  <c r="BL233" i="1" s="1"/>
  <c r="BK233" i="1"/>
  <c r="BN232" i="1" a="1"/>
  <c r="BN232" i="1" s="1"/>
  <c r="BN231" i="1" a="1"/>
  <c r="BN231" i="1" s="1"/>
  <c r="BL231" i="1" a="1"/>
  <c r="BL231" i="1" s="1"/>
  <c r="BK231" i="1"/>
  <c r="BN230" i="1" a="1"/>
  <c r="BN230" i="1" s="1"/>
  <c r="BI1406" i="1" a="1"/>
  <c r="BI1406" i="1" s="1"/>
  <c r="BI1388" i="1" a="1"/>
  <c r="BI1388" i="1" s="1"/>
  <c r="BI1370" i="1" a="1"/>
  <c r="BI1370" i="1" s="1"/>
  <c r="BI1352" i="1" a="1"/>
  <c r="BI1352" i="1" s="1"/>
  <c r="BI1346" i="1" a="1"/>
  <c r="BI1346" i="1" s="1"/>
  <c r="BI1334" i="1" a="1"/>
  <c r="BI1334" i="1" s="1"/>
  <c r="BI1328" i="1" a="1"/>
  <c r="BI1328" i="1" s="1"/>
  <c r="BI1304" i="1" a="1"/>
  <c r="BI1304" i="1" s="1"/>
  <c r="BI1292" i="1" a="1"/>
  <c r="BI1292" i="1" s="1"/>
  <c r="BI1274" i="1" a="1"/>
  <c r="BI1274" i="1" s="1"/>
  <c r="BI1226" i="1" a="1"/>
  <c r="BI1226" i="1" s="1"/>
  <c r="BI2365" i="1" a="1"/>
  <c r="BI2365" i="1" s="1"/>
  <c r="BI1625" i="1" a="1"/>
  <c r="BI1625" i="1" s="1"/>
  <c r="BI1170" i="1" a="1"/>
  <c r="BI1170" i="1" s="1"/>
  <c r="BI1141" i="1" a="1"/>
  <c r="BI1141" i="1" s="1"/>
  <c r="BI1129" i="1" a="1"/>
  <c r="BI1129" i="1" s="1"/>
  <c r="BI1117" i="1" a="1"/>
  <c r="BI1117" i="1" s="1"/>
  <c r="BI1105" i="1" a="1"/>
  <c r="BI1105" i="1" s="1"/>
  <c r="BI1093" i="1" a="1"/>
  <c r="BI1093" i="1" s="1"/>
  <c r="BI1081" i="1" a="1"/>
  <c r="BI1081" i="1" s="1"/>
  <c r="BI1069" i="1" a="1"/>
  <c r="BI1069" i="1" s="1"/>
  <c r="BL2750" i="1" l="1"/>
  <c r="BL2752" i="1"/>
  <c r="BL2754" i="1"/>
  <c r="BK2750" i="1"/>
  <c r="BK2752" i="1"/>
  <c r="BK2754" i="1"/>
  <c r="BK2769" i="1"/>
  <c r="BQ1478" i="1"/>
  <c r="BR1478" i="1" s="1"/>
  <c r="BQ324" i="1"/>
  <c r="BR324" i="1" s="1"/>
  <c r="BQ321" i="1"/>
  <c r="BR321" i="1" s="1"/>
  <c r="BQ326" i="1"/>
  <c r="BR326" i="1" s="1"/>
  <c r="BQ1466" i="1"/>
  <c r="BR1466" i="1" s="1"/>
  <c r="BQ1460" i="1"/>
  <c r="BR1460" i="1" s="1"/>
  <c r="BQ320" i="1"/>
  <c r="BR320" i="1" s="1"/>
  <c r="BQ322" i="1"/>
  <c r="BR322" i="1" s="1"/>
  <c r="BQ1496" i="1"/>
  <c r="BR1496" i="1" s="1"/>
  <c r="BQ1472" i="1"/>
  <c r="BR1472" i="1" s="1"/>
  <c r="BQ323" i="1"/>
  <c r="BR323" i="1" s="1"/>
  <c r="BQ1484" i="1"/>
  <c r="BR1484" i="1" s="1"/>
  <c r="BI903" i="1" a="1"/>
  <c r="BI903" i="1" s="1"/>
  <c r="BI870" i="1" a="1"/>
  <c r="BI870" i="1" s="1"/>
  <c r="BI837" i="1" a="1"/>
  <c r="BI837" i="1" s="1"/>
  <c r="BI804" i="1" a="1"/>
  <c r="BI804" i="1" s="1"/>
  <c r="BI793" i="1" a="1"/>
  <c r="BI793" i="1" s="1"/>
  <c r="BI771" i="1" a="1"/>
  <c r="BI771" i="1" s="1"/>
  <c r="BI760" i="1" a="1"/>
  <c r="BI760" i="1" s="1"/>
  <c r="BI716" i="1" a="1"/>
  <c r="BI716" i="1" s="1"/>
  <c r="BI694" i="1" a="1"/>
  <c r="BI694" i="1" s="1"/>
  <c r="BI661" i="1" a="1"/>
  <c r="BI661" i="1" s="1"/>
  <c r="BI573" i="1" a="1"/>
  <c r="BI573" i="1" s="1"/>
  <c r="BI1608" i="1" a="1"/>
  <c r="BI1608" i="1" s="1"/>
  <c r="BI528" i="1" a="1"/>
  <c r="BI528" i="1" s="1"/>
  <c r="BI459" i="1" a="1"/>
  <c r="BI459" i="1" s="1"/>
  <c r="BI437" i="1" a="1"/>
  <c r="BI437" i="1" s="1"/>
  <c r="BI415" i="1" a="1"/>
  <c r="BI415" i="1" s="1"/>
  <c r="BI393" i="1" a="1"/>
  <c r="BI393" i="1" s="1"/>
  <c r="BI371" i="1" a="1"/>
  <c r="BI371" i="1" s="1"/>
  <c r="BI349" i="1" a="1"/>
  <c r="BI349" i="1" s="1"/>
  <c r="BI327" i="1" l="1" a="1"/>
  <c r="BI327" i="1" s="1"/>
  <c r="BK88" i="1" l="1"/>
  <c r="BL2036" i="1" a="1"/>
  <c r="BL2036" i="1" s="1"/>
  <c r="BL2765" i="1" s="1"/>
  <c r="BK2036" i="1"/>
  <c r="BK2765" i="1" s="1"/>
  <c r="BL1595" i="1" a="1"/>
  <c r="BL1595" i="1" s="1"/>
  <c r="BL2758" i="1" s="1"/>
  <c r="BK1595" i="1"/>
  <c r="BL515" i="1" a="1"/>
  <c r="BL515" i="1" s="1"/>
  <c r="BK515" i="1"/>
  <c r="BL43" i="1" a="1"/>
  <c r="BL43" i="1" s="1"/>
  <c r="BK43" i="1"/>
  <c r="BL37" i="1" a="1"/>
  <c r="BL37" i="1" s="1"/>
  <c r="BK37" i="1"/>
  <c r="BL31" i="1" a="1"/>
  <c r="BL31" i="1" s="1"/>
  <c r="BK31" i="1"/>
  <c r="BL25" i="1" a="1"/>
  <c r="BL25" i="1" s="1"/>
  <c r="BK25" i="1"/>
  <c r="BL11" i="1" a="1"/>
  <c r="BL11" i="1" s="1"/>
  <c r="BK11" i="1"/>
  <c r="BK190" i="1"/>
  <c r="BL178" i="1" a="1"/>
  <c r="BL178" i="1" s="1"/>
  <c r="BK178" i="1"/>
  <c r="BL169" i="1" a="1"/>
  <c r="BL169" i="1" s="1"/>
  <c r="BK169" i="1"/>
  <c r="BL144" i="1" a="1"/>
  <c r="BL144" i="1" s="1"/>
  <c r="BL2736" i="1" s="1"/>
  <c r="BK144" i="1"/>
  <c r="BK2736" i="1" s="1"/>
  <c r="BL130" i="1" a="1"/>
  <c r="BL130" i="1" s="1"/>
  <c r="BK130" i="1"/>
  <c r="BL124" i="1" a="1"/>
  <c r="BL124" i="1" s="1"/>
  <c r="BK124" i="1"/>
  <c r="BL121" i="1" a="1"/>
  <c r="BL121" i="1" s="1"/>
  <c r="BK121" i="1"/>
  <c r="BK2758" i="1" l="1"/>
  <c r="BK2760" i="1"/>
  <c r="S6" i="5"/>
  <c r="S5" i="5"/>
  <c r="S4" i="5"/>
  <c r="S3" i="5"/>
  <c r="S8" i="5"/>
  <c r="S7" i="5"/>
  <c r="AE4" i="5"/>
  <c r="AE3" i="5"/>
  <c r="AC8" i="5"/>
  <c r="AC4" i="5"/>
  <c r="AC5" i="5"/>
  <c r="AD4" i="5"/>
  <c r="AE5" i="5"/>
  <c r="AE6" i="5"/>
  <c r="AE7" i="5"/>
  <c r="AF8" i="5"/>
  <c r="AD6" i="5"/>
  <c r="AD7" i="5"/>
  <c r="AD8" i="5"/>
  <c r="AE8" i="5"/>
  <c r="AE2" i="5"/>
  <c r="AC6" i="5"/>
  <c r="AC7" i="5"/>
  <c r="AC3" i="5"/>
  <c r="AF4" i="5"/>
  <c r="AF5" i="5"/>
  <c r="AF6" i="5"/>
  <c r="AF7" i="5"/>
  <c r="AF2" i="5"/>
  <c r="AF3" i="5"/>
  <c r="AD5" i="5"/>
  <c r="AD2" i="5"/>
  <c r="AD3" i="5"/>
  <c r="AG3" i="5"/>
  <c r="AG4" i="5"/>
  <c r="AG5" i="5"/>
  <c r="AG6" i="5"/>
  <c r="AG7" i="5"/>
  <c r="AG8" i="5"/>
  <c r="AG2" i="5"/>
  <c r="BK151" i="1"/>
  <c r="BL7" i="1" a="1"/>
  <c r="BL7" i="1" s="1"/>
  <c r="BK7" i="1"/>
  <c r="BK139" i="1"/>
  <c r="BK136" i="1"/>
  <c r="BN229" i="1" a="1"/>
  <c r="BN229" i="1" s="1"/>
  <c r="BN226" i="1" a="1"/>
  <c r="BN226" i="1" s="1"/>
  <c r="BN223" i="1" a="1"/>
  <c r="BN223" i="1" s="1"/>
  <c r="BN220" i="1" a="1"/>
  <c r="BN220" i="1" s="1"/>
  <c r="BN217" i="1" a="1"/>
  <c r="BN217" i="1" s="1"/>
  <c r="BN214" i="1" a="1"/>
  <c r="BN214" i="1" s="1"/>
  <c r="BN211" i="1" a="1"/>
  <c r="BN211" i="1" s="1"/>
  <c r="BN190" i="1" a="1"/>
  <c r="BN190" i="1" s="1"/>
  <c r="BN187" i="1" a="1"/>
  <c r="BN187" i="1" s="1"/>
  <c r="BN184" i="1" a="1"/>
  <c r="BN184" i="1" s="1"/>
  <c r="BN181" i="1" a="1"/>
  <c r="BN181" i="1" s="1"/>
  <c r="BN178" i="1" a="1"/>
  <c r="BN178" i="1" s="1"/>
  <c r="BN175" i="1" a="1"/>
  <c r="BN175" i="1" s="1"/>
  <c r="BN172" i="1" a="1"/>
  <c r="BN172" i="1" s="1"/>
  <c r="BN169" i="1" a="1"/>
  <c r="BN169" i="1" s="1"/>
  <c r="BN157" i="1" a="1"/>
  <c r="BN157" i="1" s="1"/>
  <c r="BN154" i="1" a="1"/>
  <c r="BN154" i="1" s="1"/>
  <c r="BN151" i="1" a="1"/>
  <c r="BN151" i="1" s="1"/>
  <c r="BN148" i="1" a="1"/>
  <c r="BN148" i="1" s="1"/>
  <c r="BN145" i="1" a="1"/>
  <c r="BN145" i="1" s="1"/>
  <c r="BN144" i="1" a="1"/>
  <c r="BN144" i="1" s="1"/>
  <c r="BN139" i="1" a="1"/>
  <c r="BN139" i="1" s="1"/>
  <c r="BN136" i="1" a="1"/>
  <c r="BN136" i="1" s="1"/>
  <c r="BN133" i="1" a="1"/>
  <c r="BN133" i="1" s="1"/>
  <c r="BN130" i="1" a="1"/>
  <c r="BN130" i="1" s="1"/>
  <c r="BN127" i="1" a="1"/>
  <c r="BN127" i="1" s="1"/>
  <c r="BN124" i="1" a="1"/>
  <c r="BN124" i="1" s="1"/>
  <c r="BN121" i="1" a="1"/>
  <c r="BN121" i="1" s="1"/>
  <c r="BN118" i="1" a="1"/>
  <c r="BN118" i="1" s="1"/>
  <c r="BN94" i="1" a="1"/>
  <c r="BN94" i="1" s="1"/>
  <c r="BN88" i="1" a="1"/>
  <c r="BN88" i="1" s="1"/>
  <c r="BN2036" i="1" a="1"/>
  <c r="BN2036" i="1" s="1"/>
  <c r="BN2031" i="1" a="1"/>
  <c r="BN2031" i="1" s="1"/>
  <c r="BN1595" i="1" a="1"/>
  <c r="BN1595" i="1" s="1"/>
  <c r="BN1207" i="1" a="1"/>
  <c r="BN1207" i="1" s="1"/>
  <c r="BN515" i="1" a="1"/>
  <c r="BN515" i="1" s="1"/>
  <c r="BN512" i="1" a="1"/>
  <c r="BN512" i="1" s="1"/>
  <c r="BN43" i="1" a="1"/>
  <c r="BN43" i="1" s="1"/>
  <c r="BN40" i="1" a="1"/>
  <c r="BN40" i="1" s="1"/>
  <c r="BN37" i="1" a="1"/>
  <c r="BN37" i="1" s="1"/>
  <c r="BN34" i="1" a="1"/>
  <c r="BN34" i="1" s="1"/>
  <c r="BN31" i="1" a="1"/>
  <c r="BN31" i="1" s="1"/>
  <c r="BN28" i="1" a="1"/>
  <c r="BN28" i="1" s="1"/>
  <c r="BN25" i="1" a="1"/>
  <c r="BN25" i="1" s="1"/>
  <c r="BN22" i="1" a="1"/>
  <c r="BN22" i="1" s="1"/>
  <c r="BN19" i="1" a="1"/>
  <c r="BN19" i="1" s="1"/>
  <c r="BN14" i="1" a="1"/>
  <c r="BN14" i="1" s="1"/>
  <c r="BN11" i="1" a="1"/>
  <c r="BN11" i="1" s="1"/>
  <c r="BN10" i="1" a="1"/>
  <c r="BN10" i="1" s="1"/>
  <c r="BN7" i="1" a="1"/>
  <c r="BN7" i="1" s="1"/>
  <c r="BP229" i="1"/>
  <c r="BO229" i="1"/>
  <c r="BP223" i="1"/>
  <c r="BO223" i="1"/>
  <c r="BP220" i="1"/>
  <c r="BO220" i="1"/>
  <c r="BP217" i="1"/>
  <c r="BO217" i="1"/>
  <c r="BP214" i="1"/>
  <c r="BO214" i="1"/>
  <c r="BP211" i="1"/>
  <c r="BO211" i="1"/>
  <c r="D14" i="2"/>
  <c r="C37" i="2"/>
  <c r="D37" i="2" s="1"/>
  <c r="D36" i="2"/>
  <c r="D35" i="2"/>
  <c r="C31" i="2"/>
  <c r="D31" i="2" s="1"/>
  <c r="C30" i="2"/>
  <c r="C27" i="2"/>
  <c r="D27" i="2" s="1"/>
  <c r="C28" i="2"/>
  <c r="D28" i="2" s="1"/>
  <c r="C26" i="2"/>
  <c r="D26" i="2" s="1"/>
  <c r="C24" i="2"/>
  <c r="D24" i="2" s="1"/>
  <c r="D18" i="2"/>
  <c r="C17" i="2"/>
  <c r="D17" i="2" s="1"/>
  <c r="C15" i="2"/>
  <c r="D15" i="2" s="1"/>
  <c r="C14" i="2"/>
  <c r="C13" i="2"/>
  <c r="D13" i="2" s="1"/>
  <c r="C12" i="2"/>
  <c r="C11" i="2"/>
  <c r="C9" i="2"/>
  <c r="D9" i="2" s="1"/>
  <c r="C8" i="2"/>
  <c r="C7" i="2"/>
  <c r="C6" i="2"/>
  <c r="D6" i="2" s="1"/>
  <c r="C5" i="2"/>
  <c r="D5" i="2" s="1"/>
  <c r="C4" i="2"/>
  <c r="D4" i="2" s="1"/>
  <c r="C3" i="2"/>
  <c r="D3" i="2" s="1"/>
  <c r="D19" i="2"/>
  <c r="BI4" i="1" a="1"/>
  <c r="BI4" i="1" s="1"/>
  <c r="BS242" i="1" l="1"/>
  <c r="BS243" i="1"/>
  <c r="BS230" i="1"/>
  <c r="BS231" i="1"/>
  <c r="BS2325" i="1"/>
  <c r="BS2326" i="1"/>
  <c r="BO2325" i="1"/>
  <c r="BQ2325" i="1" s="1"/>
  <c r="BR2325" i="1" s="1"/>
  <c r="BO2326" i="1"/>
  <c r="BQ2326" i="1" s="1"/>
  <c r="BR2326" i="1" s="1"/>
  <c r="BS2322" i="1"/>
  <c r="BO2323" i="1"/>
  <c r="BQ2323" i="1" s="1"/>
  <c r="BR2323" i="1" s="1"/>
  <c r="BS2323" i="1"/>
  <c r="BO2322" i="1"/>
  <c r="BQ2322" i="1" s="1"/>
  <c r="BR2322" i="1" s="1"/>
  <c r="BS2411" i="1"/>
  <c r="BS2026" i="1"/>
  <c r="BS1202" i="1"/>
  <c r="BO2411" i="1"/>
  <c r="BQ2411" i="1" s="1"/>
  <c r="BR2411" i="1" s="1"/>
  <c r="BS2027" i="1"/>
  <c r="BS1203" i="1"/>
  <c r="BS2412" i="1"/>
  <c r="BO2027" i="1"/>
  <c r="BQ2027" i="1" s="1"/>
  <c r="BR2027" i="1" s="1"/>
  <c r="BO1202" i="1"/>
  <c r="BQ1202" i="1" s="1"/>
  <c r="BR1202" i="1" s="1"/>
  <c r="BO2412" i="1"/>
  <c r="BQ2412" i="1" s="1"/>
  <c r="BR2412" i="1" s="1"/>
  <c r="BO2026" i="1"/>
  <c r="BQ2026" i="1" s="1"/>
  <c r="BR2026" i="1" s="1"/>
  <c r="BO1203" i="1"/>
  <c r="BQ1203" i="1" s="1"/>
  <c r="BR1203" i="1" s="1"/>
  <c r="BS2408" i="1"/>
  <c r="BS2023" i="1"/>
  <c r="BS2409" i="1"/>
  <c r="BO2024" i="1"/>
  <c r="BQ2024" i="1" s="1"/>
  <c r="BR2024" i="1" s="1"/>
  <c r="BO2409" i="1"/>
  <c r="BQ2409" i="1" s="1"/>
  <c r="BR2409" i="1" s="1"/>
  <c r="BS2024" i="1"/>
  <c r="BO2408" i="1"/>
  <c r="BQ2408" i="1" s="1"/>
  <c r="BR2408" i="1" s="1"/>
  <c r="BO2023" i="1"/>
  <c r="BQ2023" i="1" s="1"/>
  <c r="BR2023" i="1" s="1"/>
  <c r="BS2438" i="1"/>
  <c r="BS2426" i="1"/>
  <c r="BS2439" i="1"/>
  <c r="BO2426" i="1"/>
  <c r="BQ2426" i="1" s="1"/>
  <c r="BR2426" i="1" s="1"/>
  <c r="BO2438" i="1"/>
  <c r="BQ2438" i="1" s="1"/>
  <c r="BR2438" i="1" s="1"/>
  <c r="BS2427" i="1"/>
  <c r="BO2439" i="1"/>
  <c r="BQ2439" i="1" s="1"/>
  <c r="BR2439" i="1" s="1"/>
  <c r="BO2427" i="1"/>
  <c r="BQ2427" i="1" s="1"/>
  <c r="BR2427" i="1" s="1"/>
  <c r="BS2441" i="1"/>
  <c r="BS2430" i="1"/>
  <c r="BS2442" i="1"/>
  <c r="BO2430" i="1"/>
  <c r="BQ2430" i="1" s="1"/>
  <c r="BR2430" i="1" s="1"/>
  <c r="BO2442" i="1"/>
  <c r="BQ2442" i="1" s="1"/>
  <c r="BR2442" i="1" s="1"/>
  <c r="BS2429" i="1"/>
  <c r="BO2441" i="1"/>
  <c r="BQ2441" i="1" s="1"/>
  <c r="BR2441" i="1" s="1"/>
  <c r="BO2429" i="1"/>
  <c r="BQ2429" i="1" s="1"/>
  <c r="BR2429" i="1" s="1"/>
  <c r="BS2481" i="1"/>
  <c r="BS2470" i="1"/>
  <c r="BO2469" i="1"/>
  <c r="BQ2469" i="1" s="1"/>
  <c r="BR2469" i="1" s="1"/>
  <c r="BS2461" i="1"/>
  <c r="BS2454" i="1"/>
  <c r="BS2449" i="1"/>
  <c r="BS2482" i="1"/>
  <c r="BS2472" i="1"/>
  <c r="BO2467" i="1"/>
  <c r="BQ2467" i="1" s="1"/>
  <c r="BR2467" i="1" s="1"/>
  <c r="BS2460" i="1"/>
  <c r="BS2455" i="1"/>
  <c r="BO2449" i="1"/>
  <c r="BQ2449" i="1" s="1"/>
  <c r="BR2449" i="1" s="1"/>
  <c r="BO2482" i="1"/>
  <c r="BQ2482" i="1" s="1"/>
  <c r="BR2482" i="1" s="1"/>
  <c r="BO2473" i="1"/>
  <c r="BQ2473" i="1" s="1"/>
  <c r="BR2473" i="1" s="1"/>
  <c r="BS2466" i="1"/>
  <c r="BO2460" i="1"/>
  <c r="BQ2460" i="1" s="1"/>
  <c r="BR2460" i="1" s="1"/>
  <c r="BO2455" i="1"/>
  <c r="BQ2455" i="1" s="1"/>
  <c r="BR2455" i="1" s="1"/>
  <c r="BS2448" i="1"/>
  <c r="BO2481" i="1"/>
  <c r="BQ2481" i="1" s="1"/>
  <c r="BR2481" i="1" s="1"/>
  <c r="BS2473" i="1"/>
  <c r="BO2466" i="1"/>
  <c r="BQ2466" i="1" s="1"/>
  <c r="BR2466" i="1" s="1"/>
  <c r="BO2461" i="1"/>
  <c r="BQ2461" i="1" s="1"/>
  <c r="BR2461" i="1" s="1"/>
  <c r="BO2454" i="1"/>
  <c r="BQ2454" i="1" s="1"/>
  <c r="BR2454" i="1" s="1"/>
  <c r="BO2448" i="1"/>
  <c r="BQ2448" i="1" s="1"/>
  <c r="BR2448" i="1" s="1"/>
  <c r="BS2484" i="1"/>
  <c r="BS2475" i="1"/>
  <c r="BO2472" i="1"/>
  <c r="BQ2472" i="1" s="1"/>
  <c r="BR2472" i="1" s="1"/>
  <c r="BS2463" i="1"/>
  <c r="BS2457" i="1"/>
  <c r="BS2452" i="1"/>
  <c r="BO2445" i="1"/>
  <c r="BQ2445" i="1" s="1"/>
  <c r="BR2445" i="1" s="1"/>
  <c r="BO2484" i="1"/>
  <c r="BQ2484" i="1" s="1"/>
  <c r="BR2484" i="1" s="1"/>
  <c r="BS2476" i="1"/>
  <c r="BO2470" i="1"/>
  <c r="BQ2470" i="1" s="1"/>
  <c r="BR2470" i="1" s="1"/>
  <c r="BS2464" i="1"/>
  <c r="BO2458" i="1"/>
  <c r="BQ2458" i="1" s="1"/>
  <c r="BR2458" i="1" s="1"/>
  <c r="BO2451" i="1"/>
  <c r="BQ2451" i="1" s="1"/>
  <c r="BR2451" i="1" s="1"/>
  <c r="BS2446" i="1"/>
  <c r="BS2485" i="1"/>
  <c r="BO2476" i="1"/>
  <c r="BQ2476" i="1" s="1"/>
  <c r="BR2476" i="1" s="1"/>
  <c r="BS2467" i="1"/>
  <c r="BO2463" i="1"/>
  <c r="BQ2463" i="1" s="1"/>
  <c r="BR2463" i="1" s="1"/>
  <c r="BS2458" i="1"/>
  <c r="BO2452" i="1"/>
  <c r="BQ2452" i="1" s="1"/>
  <c r="BR2452" i="1" s="1"/>
  <c r="BS2445" i="1"/>
  <c r="BO2485" i="1"/>
  <c r="BQ2485" i="1" s="1"/>
  <c r="BR2485" i="1" s="1"/>
  <c r="BO2475" i="1"/>
  <c r="BQ2475" i="1" s="1"/>
  <c r="BR2475" i="1" s="1"/>
  <c r="BS2469" i="1"/>
  <c r="BO2464" i="1"/>
  <c r="BQ2464" i="1" s="1"/>
  <c r="BR2464" i="1" s="1"/>
  <c r="BO2457" i="1"/>
  <c r="BQ2457" i="1" s="1"/>
  <c r="BR2457" i="1" s="1"/>
  <c r="BS2451" i="1"/>
  <c r="BO2446" i="1"/>
  <c r="BQ2446" i="1" s="1"/>
  <c r="BR2446" i="1" s="1"/>
  <c r="BO1975" i="1"/>
  <c r="BQ1975" i="1" s="1"/>
  <c r="BR1975" i="1" s="1"/>
  <c r="BO1992" i="1"/>
  <c r="BQ1992" i="1" s="1"/>
  <c r="BR1992" i="1" s="1"/>
  <c r="BO1986" i="1"/>
  <c r="BQ1986" i="1" s="1"/>
  <c r="BR1986" i="1" s="1"/>
  <c r="BO1980" i="1"/>
  <c r="BQ1980" i="1" s="1"/>
  <c r="BR1980" i="1" s="1"/>
  <c r="BS1974" i="1"/>
  <c r="BS1972" i="1"/>
  <c r="BO1964" i="1"/>
  <c r="BQ1964" i="1" s="1"/>
  <c r="BR1964" i="1" s="1"/>
  <c r="BS1940" i="1"/>
  <c r="BO1936" i="1"/>
  <c r="BQ1936" i="1" s="1"/>
  <c r="BR1936" i="1" s="1"/>
  <c r="BO1989" i="1"/>
  <c r="BQ1989" i="1" s="1"/>
  <c r="BR1989" i="1" s="1"/>
  <c r="BS1989" i="1"/>
  <c r="BS1939" i="1"/>
  <c r="BS1980" i="1"/>
  <c r="BO1977" i="1"/>
  <c r="BQ1977" i="1" s="1"/>
  <c r="BR1977" i="1" s="1"/>
  <c r="BO1970" i="1"/>
  <c r="BQ1970" i="1" s="1"/>
  <c r="BR1970" i="1" s="1"/>
  <c r="BO1967" i="1"/>
  <c r="BQ1967" i="1" s="1"/>
  <c r="BR1967" i="1" s="1"/>
  <c r="BS1936" i="1"/>
  <c r="BO1937" i="1"/>
  <c r="BQ1937" i="1" s="1"/>
  <c r="BR1937" i="1" s="1"/>
  <c r="BS1992" i="1"/>
  <c r="BS1985" i="1"/>
  <c r="BO1979" i="1"/>
  <c r="BQ1979" i="1" s="1"/>
  <c r="BR1979" i="1" s="1"/>
  <c r="BO1976" i="1"/>
  <c r="BQ1976" i="1" s="1"/>
  <c r="BR1976" i="1" s="1"/>
  <c r="BS1971" i="1"/>
  <c r="BS1967" i="1"/>
  <c r="BO1942" i="1"/>
  <c r="BQ1942" i="1" s="1"/>
  <c r="BR1942" i="1" s="1"/>
  <c r="BS1937" i="1"/>
  <c r="BS1987" i="1"/>
  <c r="BS1986" i="1"/>
  <c r="BO1981" i="1"/>
  <c r="BQ1981" i="1" s="1"/>
  <c r="BR1981" i="1" s="1"/>
  <c r="BS1976" i="1"/>
  <c r="BS1969" i="1"/>
  <c r="BO1965" i="1"/>
  <c r="BQ1965" i="1" s="1"/>
  <c r="BR1965" i="1" s="1"/>
  <c r="BS1942" i="1"/>
  <c r="BS1990" i="1"/>
  <c r="BS1984" i="1"/>
  <c r="BO1982" i="1"/>
  <c r="BQ1982" i="1" s="1"/>
  <c r="BR1982" i="1" s="1"/>
  <c r="BS1977" i="1"/>
  <c r="BO1971" i="1"/>
  <c r="BQ1971" i="1" s="1"/>
  <c r="BR1971" i="1" s="1"/>
  <c r="BS1965" i="1"/>
  <c r="BO1941" i="1"/>
  <c r="BQ1941" i="1" s="1"/>
  <c r="BR1941" i="1" s="1"/>
  <c r="BS1935" i="1"/>
  <c r="BS1991" i="1"/>
  <c r="BO1984" i="1"/>
  <c r="BQ1984" i="1" s="1"/>
  <c r="BR1984" i="1" s="1"/>
  <c r="BS1981" i="1"/>
  <c r="BO1969" i="1"/>
  <c r="BQ1969" i="1" s="1"/>
  <c r="BR1969" i="1" s="1"/>
  <c r="BS1966" i="1"/>
  <c r="BO1940" i="1"/>
  <c r="BQ1940" i="1" s="1"/>
  <c r="BR1940" i="1" s="1"/>
  <c r="BS1934" i="1"/>
  <c r="BO1987" i="1"/>
  <c r="BQ1987" i="1" s="1"/>
  <c r="BR1987" i="1" s="1"/>
  <c r="BO1990" i="1"/>
  <c r="BQ1990" i="1" s="1"/>
  <c r="BR1990" i="1" s="1"/>
  <c r="BO1985" i="1"/>
  <c r="BQ1985" i="1" s="1"/>
  <c r="BR1985" i="1" s="1"/>
  <c r="BS1982" i="1"/>
  <c r="BO1974" i="1"/>
  <c r="BQ1974" i="1" s="1"/>
  <c r="BR1974" i="1" s="1"/>
  <c r="BS1970" i="1"/>
  <c r="BO1966" i="1"/>
  <c r="BQ1966" i="1" s="1"/>
  <c r="BR1966" i="1" s="1"/>
  <c r="BO1939" i="1"/>
  <c r="BQ1939" i="1" s="1"/>
  <c r="BR1939" i="1" s="1"/>
  <c r="BO1934" i="1"/>
  <c r="BQ1934" i="1" s="1"/>
  <c r="BR1934" i="1" s="1"/>
  <c r="BO1991" i="1"/>
  <c r="BQ1991" i="1" s="1"/>
  <c r="BR1991" i="1" s="1"/>
  <c r="BS1979" i="1"/>
  <c r="BS1975" i="1"/>
  <c r="BO1972" i="1"/>
  <c r="BQ1972" i="1" s="1"/>
  <c r="BR1972" i="1" s="1"/>
  <c r="BS1964" i="1"/>
  <c r="BS1941" i="1"/>
  <c r="BO1935" i="1"/>
  <c r="BQ1935" i="1" s="1"/>
  <c r="BR1935" i="1" s="1"/>
  <c r="BO2406" i="1"/>
  <c r="BQ2406" i="1" s="1"/>
  <c r="BR2406" i="1" s="1"/>
  <c r="BO2400" i="1"/>
  <c r="BQ2400" i="1" s="1"/>
  <c r="BR2400" i="1" s="1"/>
  <c r="BO2394" i="1"/>
  <c r="BQ2394" i="1" s="1"/>
  <c r="BR2394" i="1" s="1"/>
  <c r="BO2018" i="1"/>
  <c r="BQ2018" i="1" s="1"/>
  <c r="BR2018" i="1" s="1"/>
  <c r="BO2016" i="1"/>
  <c r="BQ2016" i="1" s="1"/>
  <c r="BR2016" i="1" s="1"/>
  <c r="BO1195" i="1"/>
  <c r="BQ1195" i="1" s="1"/>
  <c r="BR1195" i="1" s="1"/>
  <c r="BS2405" i="1"/>
  <c r="BS2402" i="1"/>
  <c r="BO2397" i="1"/>
  <c r="BQ2397" i="1" s="1"/>
  <c r="BR2397" i="1" s="1"/>
  <c r="BO2019" i="1"/>
  <c r="BQ2019" i="1" s="1"/>
  <c r="BR2019" i="1" s="1"/>
  <c r="BS1197" i="1"/>
  <c r="BS1194" i="1"/>
  <c r="BS2406" i="1"/>
  <c r="BO2399" i="1"/>
  <c r="BQ2399" i="1" s="1"/>
  <c r="BR2399" i="1" s="1"/>
  <c r="BO2396" i="1"/>
  <c r="BQ2396" i="1" s="1"/>
  <c r="BR2396" i="1" s="1"/>
  <c r="BO2021" i="1"/>
  <c r="BQ2021" i="1" s="1"/>
  <c r="BR2021" i="1" s="1"/>
  <c r="BS2015" i="1"/>
  <c r="BS1196" i="1"/>
  <c r="BO2013" i="1"/>
  <c r="BQ2013" i="1" s="1"/>
  <c r="BR2013" i="1" s="1"/>
  <c r="BO2405" i="1"/>
  <c r="BQ2405" i="1" s="1"/>
  <c r="BR2405" i="1" s="1"/>
  <c r="BS2401" i="1"/>
  <c r="BS2397" i="1"/>
  <c r="BO2020" i="1"/>
  <c r="BQ2020" i="1" s="1"/>
  <c r="BR2020" i="1" s="1"/>
  <c r="BS2016" i="1"/>
  <c r="BO1194" i="1"/>
  <c r="BQ1194" i="1" s="1"/>
  <c r="BR1194" i="1" s="1"/>
  <c r="BO2407" i="1"/>
  <c r="BQ2407" i="1" s="1"/>
  <c r="BR2407" i="1" s="1"/>
  <c r="BO2401" i="1"/>
  <c r="BQ2401" i="1" s="1"/>
  <c r="BR2401" i="1" s="1"/>
  <c r="BS2395" i="1"/>
  <c r="BS2021" i="1"/>
  <c r="BS2014" i="1"/>
  <c r="BO2404" i="1"/>
  <c r="BQ2404" i="1" s="1"/>
  <c r="BR2404" i="1" s="1"/>
  <c r="BO2402" i="1"/>
  <c r="BQ2402" i="1" s="1"/>
  <c r="BR2402" i="1" s="1"/>
  <c r="BO2395" i="1"/>
  <c r="BQ2395" i="1" s="1"/>
  <c r="BR2395" i="1" s="1"/>
  <c r="BS2018" i="1"/>
  <c r="BO2014" i="1"/>
  <c r="BQ2014" i="1" s="1"/>
  <c r="BR2014" i="1" s="1"/>
  <c r="BS1195" i="1"/>
  <c r="BS2404" i="1"/>
  <c r="BS2399" i="1"/>
  <c r="BS2394" i="1"/>
  <c r="BS2020" i="1"/>
  <c r="BS2013" i="1"/>
  <c r="BO1196" i="1"/>
  <c r="BQ1196" i="1" s="1"/>
  <c r="BR1196" i="1" s="1"/>
  <c r="BS2407" i="1"/>
  <c r="BS2400" i="1"/>
  <c r="BS2396" i="1"/>
  <c r="BS2019" i="1"/>
  <c r="BO2015" i="1"/>
  <c r="BQ2015" i="1" s="1"/>
  <c r="BR2015" i="1" s="1"/>
  <c r="BO1197" i="1"/>
  <c r="BQ1197" i="1" s="1"/>
  <c r="BR1197" i="1" s="1"/>
  <c r="BO2077" i="1"/>
  <c r="BQ2077" i="1" s="1"/>
  <c r="BR2077" i="1" s="1"/>
  <c r="BS2074" i="1"/>
  <c r="BS2069" i="1"/>
  <c r="BO2063" i="1"/>
  <c r="BQ2063" i="1" s="1"/>
  <c r="BR2063" i="1" s="1"/>
  <c r="BS2078" i="1"/>
  <c r="BS2072" i="1"/>
  <c r="BS2066" i="1"/>
  <c r="BO2064" i="1"/>
  <c r="BQ2064" i="1" s="1"/>
  <c r="BR2064" i="1" s="1"/>
  <c r="BO2078" i="1"/>
  <c r="BQ2078" i="1" s="1"/>
  <c r="BR2078" i="1" s="1"/>
  <c r="BO2079" i="1"/>
  <c r="BQ2079" i="1" s="1"/>
  <c r="BR2079" i="1" s="1"/>
  <c r="BS2073" i="1"/>
  <c r="BS2061" i="1"/>
  <c r="BS2063" i="1"/>
  <c r="BS2076" i="1"/>
  <c r="BO2073" i="1"/>
  <c r="BQ2073" i="1" s="1"/>
  <c r="BR2073" i="1" s="1"/>
  <c r="BS2068" i="1"/>
  <c r="BS2064" i="1"/>
  <c r="BS2079" i="1"/>
  <c r="BO2072" i="1"/>
  <c r="BQ2072" i="1" s="1"/>
  <c r="BR2072" i="1" s="1"/>
  <c r="BS2067" i="1"/>
  <c r="BO2061" i="1"/>
  <c r="BQ2061" i="1" s="1"/>
  <c r="BR2061" i="1" s="1"/>
  <c r="BO2068" i="1"/>
  <c r="BQ2068" i="1" s="1"/>
  <c r="BR2068" i="1" s="1"/>
  <c r="BO2074" i="1"/>
  <c r="BQ2074" i="1" s="1"/>
  <c r="BR2074" i="1" s="1"/>
  <c r="BO2066" i="1"/>
  <c r="BQ2066" i="1" s="1"/>
  <c r="BR2066" i="1" s="1"/>
  <c r="BS2062" i="1"/>
  <c r="BS2077" i="1"/>
  <c r="BS2071" i="1"/>
  <c r="BO2069" i="1"/>
  <c r="BQ2069" i="1" s="1"/>
  <c r="BR2069" i="1" s="1"/>
  <c r="BO2076" i="1"/>
  <c r="BQ2076" i="1" s="1"/>
  <c r="BR2076" i="1" s="1"/>
  <c r="BO2071" i="1"/>
  <c r="BQ2071" i="1" s="1"/>
  <c r="BR2071" i="1" s="1"/>
  <c r="BO2067" i="1"/>
  <c r="BQ2067" i="1" s="1"/>
  <c r="BR2067" i="1" s="1"/>
  <c r="BO2062" i="1"/>
  <c r="BQ2062" i="1" s="1"/>
  <c r="BR2062" i="1" s="1"/>
  <c r="BO2172" i="1"/>
  <c r="BQ2172" i="1" s="1"/>
  <c r="BR2172" i="1" s="1"/>
  <c r="BS2166" i="1"/>
  <c r="BS2164" i="1"/>
  <c r="BS2144" i="1"/>
  <c r="BS2153" i="1"/>
  <c r="BS2148" i="1"/>
  <c r="BO2143" i="1"/>
  <c r="BQ2143" i="1" s="1"/>
  <c r="BR2143" i="1" s="1"/>
  <c r="BS2136" i="1"/>
  <c r="BS2131" i="1"/>
  <c r="BO2128" i="1"/>
  <c r="BQ2128" i="1" s="1"/>
  <c r="BR2128" i="1" s="1"/>
  <c r="BS2123" i="1"/>
  <c r="BS2171" i="1"/>
  <c r="BO2166" i="1"/>
  <c r="BQ2166" i="1" s="1"/>
  <c r="BR2166" i="1" s="1"/>
  <c r="BS2162" i="1"/>
  <c r="BS2158" i="1"/>
  <c r="BO2151" i="1"/>
  <c r="BQ2151" i="1" s="1"/>
  <c r="BR2151" i="1" s="1"/>
  <c r="BO2146" i="1"/>
  <c r="BQ2146" i="1" s="1"/>
  <c r="BR2146" i="1" s="1"/>
  <c r="BO2139" i="1"/>
  <c r="BQ2139" i="1" s="1"/>
  <c r="BR2139" i="1" s="1"/>
  <c r="BO2138" i="1"/>
  <c r="BQ2138" i="1" s="1"/>
  <c r="BR2138" i="1" s="1"/>
  <c r="BO2134" i="1"/>
  <c r="BQ2134" i="1" s="1"/>
  <c r="BR2134" i="1" s="1"/>
  <c r="BO2129" i="1"/>
  <c r="BQ2129" i="1" s="1"/>
  <c r="BR2129" i="1" s="1"/>
  <c r="BS2124" i="1"/>
  <c r="BO2171" i="1"/>
  <c r="BQ2171" i="1" s="1"/>
  <c r="BR2171" i="1" s="1"/>
  <c r="BS2174" i="1"/>
  <c r="BO2167" i="1"/>
  <c r="BQ2167" i="1" s="1"/>
  <c r="BR2167" i="1" s="1"/>
  <c r="BO2158" i="1"/>
  <c r="BQ2158" i="1" s="1"/>
  <c r="BR2158" i="1" s="1"/>
  <c r="BO2162" i="1"/>
  <c r="BQ2162" i="1" s="1"/>
  <c r="BR2162" i="1" s="1"/>
  <c r="BO2153" i="1"/>
  <c r="BQ2153" i="1" s="1"/>
  <c r="BR2153" i="1" s="1"/>
  <c r="BO2149" i="1"/>
  <c r="BQ2149" i="1" s="1"/>
  <c r="BR2149" i="1" s="1"/>
  <c r="BS2143" i="1"/>
  <c r="BS2139" i="1"/>
  <c r="BO2131" i="1"/>
  <c r="BQ2131" i="1" s="1"/>
  <c r="BR2131" i="1" s="1"/>
  <c r="BS2129" i="1"/>
  <c r="BO2122" i="1"/>
  <c r="BQ2122" i="1" s="1"/>
  <c r="BR2122" i="1" s="1"/>
  <c r="BO2173" i="1"/>
  <c r="BQ2173" i="1" s="1"/>
  <c r="BR2173" i="1" s="1"/>
  <c r="BO2169" i="1"/>
  <c r="BQ2169" i="1" s="1"/>
  <c r="BR2169" i="1" s="1"/>
  <c r="BO2164" i="1"/>
  <c r="BQ2164" i="1" s="1"/>
  <c r="BR2164" i="1" s="1"/>
  <c r="BO2159" i="1"/>
  <c r="BQ2159" i="1" s="1"/>
  <c r="BR2159" i="1" s="1"/>
  <c r="BS2151" i="1"/>
  <c r="BS2149" i="1"/>
  <c r="BS2142" i="1"/>
  <c r="BS2133" i="1"/>
  <c r="BS2137" i="1"/>
  <c r="BS2127" i="1"/>
  <c r="BO2168" i="1"/>
  <c r="BQ2168" i="1" s="1"/>
  <c r="BR2168" i="1" s="1"/>
  <c r="BS2161" i="1"/>
  <c r="BO2161" i="1"/>
  <c r="BQ2161" i="1" s="1"/>
  <c r="BR2161" i="1" s="1"/>
  <c r="BS2157" i="1"/>
  <c r="BS2154" i="1"/>
  <c r="BS2147" i="1"/>
  <c r="BS2141" i="1"/>
  <c r="BO2144" i="1"/>
  <c r="BQ2144" i="1" s="1"/>
  <c r="BR2144" i="1" s="1"/>
  <c r="BS2134" i="1"/>
  <c r="BO2127" i="1"/>
  <c r="BQ2127" i="1" s="1"/>
  <c r="BR2127" i="1" s="1"/>
  <c r="BS2122" i="1"/>
  <c r="BS2173" i="1"/>
  <c r="BS2167" i="1"/>
  <c r="BO2156" i="1"/>
  <c r="BQ2156" i="1" s="1"/>
  <c r="BR2156" i="1" s="1"/>
  <c r="BO2157" i="1"/>
  <c r="BQ2157" i="1" s="1"/>
  <c r="BR2157" i="1" s="1"/>
  <c r="BS2152" i="1"/>
  <c r="BO2147" i="1"/>
  <c r="BQ2147" i="1" s="1"/>
  <c r="BR2147" i="1" s="1"/>
  <c r="BO2141" i="1"/>
  <c r="BQ2141" i="1" s="1"/>
  <c r="BR2141" i="1" s="1"/>
  <c r="BO2124" i="1"/>
  <c r="BQ2124" i="1" s="1"/>
  <c r="BR2124" i="1" s="1"/>
  <c r="BS2132" i="1"/>
  <c r="BS2126" i="1"/>
  <c r="BO2121" i="1"/>
  <c r="BQ2121" i="1" s="1"/>
  <c r="BR2121" i="1" s="1"/>
  <c r="BS2172" i="1"/>
  <c r="BS2169" i="1"/>
  <c r="BS2163" i="1"/>
  <c r="BS2156" i="1"/>
  <c r="BO2154" i="1"/>
  <c r="BQ2154" i="1" s="1"/>
  <c r="BR2154" i="1" s="1"/>
  <c r="BS2146" i="1"/>
  <c r="BO2142" i="1"/>
  <c r="BQ2142" i="1" s="1"/>
  <c r="BR2142" i="1" s="1"/>
  <c r="BS2138" i="1"/>
  <c r="BO2133" i="1"/>
  <c r="BQ2133" i="1" s="1"/>
  <c r="BR2133" i="1" s="1"/>
  <c r="BS2128" i="1"/>
  <c r="BS2121" i="1"/>
  <c r="BO2174" i="1"/>
  <c r="BQ2174" i="1" s="1"/>
  <c r="BR2174" i="1" s="1"/>
  <c r="BS2168" i="1"/>
  <c r="BO2163" i="1"/>
  <c r="BQ2163" i="1" s="1"/>
  <c r="BR2163" i="1" s="1"/>
  <c r="BS2159" i="1"/>
  <c r="BO2152" i="1"/>
  <c r="BQ2152" i="1" s="1"/>
  <c r="BR2152" i="1" s="1"/>
  <c r="BO2148" i="1"/>
  <c r="BQ2148" i="1" s="1"/>
  <c r="BR2148" i="1" s="1"/>
  <c r="BO2137" i="1"/>
  <c r="BQ2137" i="1" s="1"/>
  <c r="BR2137" i="1" s="1"/>
  <c r="BO2136" i="1"/>
  <c r="BQ2136" i="1" s="1"/>
  <c r="BR2136" i="1" s="1"/>
  <c r="BO2132" i="1"/>
  <c r="BQ2132" i="1" s="1"/>
  <c r="BR2132" i="1" s="1"/>
  <c r="BO2126" i="1"/>
  <c r="BQ2126" i="1" s="1"/>
  <c r="BR2126" i="1" s="1"/>
  <c r="BO2123" i="1"/>
  <c r="BQ2123" i="1" s="1"/>
  <c r="BR2123" i="1" s="1"/>
  <c r="BS2664" i="1"/>
  <c r="BS2626" i="1"/>
  <c r="BO2586" i="1"/>
  <c r="BQ2586" i="1" s="1"/>
  <c r="BR2586" i="1" s="1"/>
  <c r="BS2281" i="1"/>
  <c r="BO2276" i="1"/>
  <c r="BQ2276" i="1" s="1"/>
  <c r="BR2276" i="1" s="1"/>
  <c r="BS2273" i="1"/>
  <c r="BS2266" i="1"/>
  <c r="BS2263" i="1"/>
  <c r="BO2662" i="1"/>
  <c r="BQ2662" i="1" s="1"/>
  <c r="BR2662" i="1" s="1"/>
  <c r="BS2278" i="1"/>
  <c r="BO2585" i="1"/>
  <c r="BQ2585" i="1" s="1"/>
  <c r="BR2585" i="1" s="1"/>
  <c r="BO2284" i="1"/>
  <c r="BQ2284" i="1" s="1"/>
  <c r="BR2284" i="1" s="1"/>
  <c r="BO2273" i="1"/>
  <c r="BQ2273" i="1" s="1"/>
  <c r="BR2273" i="1" s="1"/>
  <c r="BO2274" i="1"/>
  <c r="BQ2274" i="1" s="1"/>
  <c r="BR2274" i="1" s="1"/>
  <c r="BO2268" i="1"/>
  <c r="BQ2268" i="1" s="1"/>
  <c r="BR2268" i="1" s="1"/>
  <c r="BS2262" i="1"/>
  <c r="BS2662" i="1"/>
  <c r="BS2629" i="1"/>
  <c r="BS2587" i="1"/>
  <c r="BO2282" i="1"/>
  <c r="BQ2282" i="1" s="1"/>
  <c r="BR2282" i="1" s="1"/>
  <c r="BO2279" i="1"/>
  <c r="BQ2279" i="1" s="1"/>
  <c r="BR2279" i="1" s="1"/>
  <c r="BO2272" i="1"/>
  <c r="BQ2272" i="1" s="1"/>
  <c r="BR2272" i="1" s="1"/>
  <c r="BO2267" i="1"/>
  <c r="BQ2267" i="1" s="1"/>
  <c r="BR2267" i="1" s="1"/>
  <c r="BS2261" i="1"/>
  <c r="BO2665" i="1"/>
  <c r="BQ2665" i="1" s="1"/>
  <c r="BR2665" i="1" s="1"/>
  <c r="BO2629" i="1"/>
  <c r="BQ2629" i="1" s="1"/>
  <c r="BR2629" i="1" s="1"/>
  <c r="BS2586" i="1"/>
  <c r="BS2284" i="1"/>
  <c r="BS2276" i="1"/>
  <c r="BS2274" i="1"/>
  <c r="BS2268" i="1"/>
  <c r="BO2262" i="1"/>
  <c r="BQ2262" i="1" s="1"/>
  <c r="BR2262" i="1" s="1"/>
  <c r="BO2663" i="1"/>
  <c r="BQ2663" i="1" s="1"/>
  <c r="BR2663" i="1" s="1"/>
  <c r="BO2628" i="1"/>
  <c r="BQ2628" i="1" s="1"/>
  <c r="BR2628" i="1" s="1"/>
  <c r="BS2585" i="1"/>
  <c r="BS2282" i="1"/>
  <c r="BS2279" i="1"/>
  <c r="BS2272" i="1"/>
  <c r="BO2266" i="1"/>
  <c r="BQ2266" i="1" s="1"/>
  <c r="BR2266" i="1" s="1"/>
  <c r="BS2264" i="1"/>
  <c r="BO2664" i="1"/>
  <c r="BQ2664" i="1" s="1"/>
  <c r="BR2664" i="1" s="1"/>
  <c r="BO2627" i="1"/>
  <c r="BQ2627" i="1" s="1"/>
  <c r="BR2627" i="1" s="1"/>
  <c r="BS2588" i="1"/>
  <c r="BO2283" i="1"/>
  <c r="BQ2283" i="1" s="1"/>
  <c r="BR2283" i="1" s="1"/>
  <c r="BO2278" i="1"/>
  <c r="BQ2278" i="1" s="1"/>
  <c r="BR2278" i="1" s="1"/>
  <c r="BO2271" i="1"/>
  <c r="BQ2271" i="1" s="1"/>
  <c r="BR2271" i="1" s="1"/>
  <c r="BO2269" i="1"/>
  <c r="BQ2269" i="1" s="1"/>
  <c r="BR2269" i="1" s="1"/>
  <c r="BO2626" i="1"/>
  <c r="BQ2626" i="1" s="1"/>
  <c r="BR2626" i="1" s="1"/>
  <c r="BS2665" i="1"/>
  <c r="BS2628" i="1"/>
  <c r="BO2588" i="1"/>
  <c r="BQ2588" i="1" s="1"/>
  <c r="BR2588" i="1" s="1"/>
  <c r="BO2281" i="1"/>
  <c r="BQ2281" i="1" s="1"/>
  <c r="BR2281" i="1" s="1"/>
  <c r="BS2277" i="1"/>
  <c r="BS2269" i="1"/>
  <c r="BO2264" i="1"/>
  <c r="BQ2264" i="1" s="1"/>
  <c r="BR2264" i="1" s="1"/>
  <c r="BO2261" i="1"/>
  <c r="BQ2261" i="1" s="1"/>
  <c r="BR2261" i="1" s="1"/>
  <c r="BS2663" i="1"/>
  <c r="BS2627" i="1"/>
  <c r="BO2587" i="1"/>
  <c r="BQ2587" i="1" s="1"/>
  <c r="BR2587" i="1" s="1"/>
  <c r="BS2283" i="1"/>
  <c r="BO2277" i="1"/>
  <c r="BQ2277" i="1" s="1"/>
  <c r="BR2277" i="1" s="1"/>
  <c r="BS2271" i="1"/>
  <c r="BS2267" i="1"/>
  <c r="BO2263" i="1"/>
  <c r="BQ2263" i="1" s="1"/>
  <c r="BR2263" i="1" s="1"/>
  <c r="BO2729" i="1"/>
  <c r="BQ2729" i="1" s="1"/>
  <c r="BR2729" i="1" s="1"/>
  <c r="BO2632" i="1"/>
  <c r="BQ2632" i="1" s="1"/>
  <c r="BR2632" i="1" s="1"/>
  <c r="BO2553" i="1"/>
  <c r="BQ2553" i="1" s="1"/>
  <c r="BR2553" i="1" s="1"/>
  <c r="BO2545" i="1"/>
  <c r="BQ2545" i="1" s="1"/>
  <c r="BR2545" i="1" s="1"/>
  <c r="BS2729" i="1"/>
  <c r="BO2631" i="1"/>
  <c r="BQ2631" i="1" s="1"/>
  <c r="BR2631" i="1" s="1"/>
  <c r="BS2553" i="1"/>
  <c r="BO2544" i="1"/>
  <c r="BQ2544" i="1" s="1"/>
  <c r="BR2544" i="1" s="1"/>
  <c r="BO2539" i="1"/>
  <c r="BQ2539" i="1" s="1"/>
  <c r="BR2539" i="1" s="1"/>
  <c r="BS2730" i="1"/>
  <c r="BS2631" i="1"/>
  <c r="BS2554" i="1"/>
  <c r="BS2545" i="1"/>
  <c r="BO2538" i="1"/>
  <c r="BQ2538" i="1" s="1"/>
  <c r="BR2538" i="1" s="1"/>
  <c r="BO2730" i="1"/>
  <c r="BQ2730" i="1" s="1"/>
  <c r="BR2730" i="1" s="1"/>
  <c r="BS2632" i="1"/>
  <c r="BO2554" i="1"/>
  <c r="BQ2554" i="1" s="1"/>
  <c r="BR2554" i="1" s="1"/>
  <c r="BS2544" i="1"/>
  <c r="BS2538" i="1"/>
  <c r="BS2667" i="1"/>
  <c r="BS2590" i="1"/>
  <c r="BO2547" i="1"/>
  <c r="BQ2547" i="1" s="1"/>
  <c r="BR2547" i="1" s="1"/>
  <c r="BO2542" i="1"/>
  <c r="BQ2542" i="1" s="1"/>
  <c r="BR2542" i="1" s="1"/>
  <c r="BS2539" i="1"/>
  <c r="BO2668" i="1"/>
  <c r="BQ2668" i="1" s="1"/>
  <c r="BR2668" i="1" s="1"/>
  <c r="BS2591" i="1"/>
  <c r="BS2548" i="1"/>
  <c r="BO2541" i="1"/>
  <c r="BQ2541" i="1" s="1"/>
  <c r="BR2541" i="1" s="1"/>
  <c r="BS2668" i="1"/>
  <c r="BO2590" i="1"/>
  <c r="BQ2590" i="1" s="1"/>
  <c r="BR2590" i="1" s="1"/>
  <c r="BS2547" i="1"/>
  <c r="BS2541" i="1"/>
  <c r="BO2667" i="1"/>
  <c r="BQ2667" i="1" s="1"/>
  <c r="BR2667" i="1" s="1"/>
  <c r="BO2591" i="1"/>
  <c r="BQ2591" i="1" s="1"/>
  <c r="BR2591" i="1" s="1"/>
  <c r="BO2548" i="1"/>
  <c r="BQ2548" i="1" s="1"/>
  <c r="BR2548" i="1" s="1"/>
  <c r="BS2542" i="1"/>
  <c r="BS1577" i="1"/>
  <c r="BO1576" i="1"/>
  <c r="BQ1576" i="1" s="1"/>
  <c r="BR1576" i="1" s="1"/>
  <c r="BS1571" i="1"/>
  <c r="BS1565" i="1"/>
  <c r="BO1555" i="1"/>
  <c r="BQ1555" i="1" s="1"/>
  <c r="BR1555" i="1" s="1"/>
  <c r="BO1556" i="1"/>
  <c r="BQ1556" i="1" s="1"/>
  <c r="BR1556" i="1" s="1"/>
  <c r="BO1552" i="1"/>
  <c r="BQ1552" i="1" s="1"/>
  <c r="BR1552" i="1" s="1"/>
  <c r="BS1549" i="1"/>
  <c r="BS1543" i="1"/>
  <c r="BS1537" i="1"/>
  <c r="BO1512" i="1"/>
  <c r="BQ1512" i="1" s="1"/>
  <c r="BR1512" i="1" s="1"/>
  <c r="BS1513" i="1"/>
  <c r="BO1505" i="1"/>
  <c r="BQ1505" i="1" s="1"/>
  <c r="BR1505" i="1" s="1"/>
  <c r="BS1508" i="1"/>
  <c r="BO1499" i="1"/>
  <c r="BQ1499" i="1" s="1"/>
  <c r="BR1499" i="1" s="1"/>
  <c r="BO1580" i="1"/>
  <c r="BQ1580" i="1" s="1"/>
  <c r="BR1580" i="1" s="1"/>
  <c r="BS1570" i="1"/>
  <c r="BO1572" i="1"/>
  <c r="BQ1572" i="1" s="1"/>
  <c r="BR1572" i="1" s="1"/>
  <c r="BS1558" i="1"/>
  <c r="BS1556" i="1"/>
  <c r="BS1554" i="1"/>
  <c r="BS1550" i="1"/>
  <c r="BS1542" i="1"/>
  <c r="BO1538" i="1"/>
  <c r="BQ1538" i="1" s="1"/>
  <c r="BR1538" i="1" s="1"/>
  <c r="BS1517" i="1"/>
  <c r="BS1514" i="1"/>
  <c r="BS1506" i="1"/>
  <c r="BO1501" i="1"/>
  <c r="BQ1501" i="1" s="1"/>
  <c r="BR1501" i="1" s="1"/>
  <c r="BS1574" i="1"/>
  <c r="BO1573" i="1"/>
  <c r="BQ1573" i="1" s="1"/>
  <c r="BR1573" i="1" s="1"/>
  <c r="BO1570" i="1"/>
  <c r="BQ1570" i="1" s="1"/>
  <c r="BR1570" i="1" s="1"/>
  <c r="BS1567" i="1"/>
  <c r="BS1561" i="1"/>
  <c r="BO1554" i="1"/>
  <c r="BQ1554" i="1" s="1"/>
  <c r="BR1554" i="1" s="1"/>
  <c r="BO1548" i="1"/>
  <c r="BQ1548" i="1" s="1"/>
  <c r="BR1548" i="1" s="1"/>
  <c r="BS1548" i="1"/>
  <c r="BO1543" i="1"/>
  <c r="BQ1543" i="1" s="1"/>
  <c r="BR1543" i="1" s="1"/>
  <c r="BO1537" i="1"/>
  <c r="BQ1537" i="1" s="1"/>
  <c r="BR1537" i="1" s="1"/>
  <c r="BS1520" i="1"/>
  <c r="BS1504" i="1"/>
  <c r="BO1507" i="1"/>
  <c r="BQ1507" i="1" s="1"/>
  <c r="BR1507" i="1" s="1"/>
  <c r="BS1500" i="1"/>
  <c r="BS1501" i="1"/>
  <c r="BS1579" i="1"/>
  <c r="BO1574" i="1"/>
  <c r="BQ1574" i="1" s="1"/>
  <c r="BR1574" i="1" s="1"/>
  <c r="BO1567" i="1"/>
  <c r="BQ1567" i="1" s="1"/>
  <c r="BR1567" i="1" s="1"/>
  <c r="BO1565" i="1"/>
  <c r="BQ1565" i="1" s="1"/>
  <c r="BR1565" i="1" s="1"/>
  <c r="BO1561" i="1"/>
  <c r="BQ1561" i="1" s="1"/>
  <c r="BR1561" i="1" s="1"/>
  <c r="BS1552" i="1"/>
  <c r="BO1546" i="1"/>
  <c r="BQ1546" i="1" s="1"/>
  <c r="BR1546" i="1" s="1"/>
  <c r="BS1546" i="1"/>
  <c r="BS1541" i="1"/>
  <c r="BS1536" i="1"/>
  <c r="BS1518" i="1"/>
  <c r="BS1511" i="1"/>
  <c r="BS1505" i="1"/>
  <c r="BS1498" i="1"/>
  <c r="BS1502" i="1"/>
  <c r="BS1580" i="1"/>
  <c r="BS1572" i="1"/>
  <c r="BO1568" i="1"/>
  <c r="BQ1568" i="1" s="1"/>
  <c r="BR1568" i="1" s="1"/>
  <c r="BS1564" i="1"/>
  <c r="BS1559" i="1"/>
  <c r="BO1553" i="1"/>
  <c r="BQ1553" i="1" s="1"/>
  <c r="BR1553" i="1" s="1"/>
  <c r="BO1547" i="1"/>
  <c r="BQ1547" i="1" s="1"/>
  <c r="BR1547" i="1" s="1"/>
  <c r="BS1540" i="1"/>
  <c r="BO1541" i="1"/>
  <c r="BQ1541" i="1" s="1"/>
  <c r="BR1541" i="1" s="1"/>
  <c r="BS1538" i="1"/>
  <c r="BO1517" i="1"/>
  <c r="BQ1517" i="1" s="1"/>
  <c r="BR1517" i="1" s="1"/>
  <c r="BO1518" i="1"/>
  <c r="BQ1518" i="1" s="1"/>
  <c r="BR1518" i="1" s="1"/>
  <c r="BO1513" i="1"/>
  <c r="BQ1513" i="1" s="1"/>
  <c r="BR1513" i="1" s="1"/>
  <c r="BO1504" i="1"/>
  <c r="BQ1504" i="1" s="1"/>
  <c r="BR1504" i="1" s="1"/>
  <c r="BO1500" i="1"/>
  <c r="BQ1500" i="1" s="1"/>
  <c r="BR1500" i="1" s="1"/>
  <c r="BS1578" i="1"/>
  <c r="BS1576" i="1"/>
  <c r="BO1566" i="1"/>
  <c r="BQ1566" i="1" s="1"/>
  <c r="BR1566" i="1" s="1"/>
  <c r="BO1564" i="1"/>
  <c r="BQ1564" i="1" s="1"/>
  <c r="BR1564" i="1" s="1"/>
  <c r="BO1562" i="1"/>
  <c r="BQ1562" i="1" s="1"/>
  <c r="BR1562" i="1" s="1"/>
  <c r="BO1558" i="1"/>
  <c r="BQ1558" i="1" s="1"/>
  <c r="BR1558" i="1" s="1"/>
  <c r="BO1549" i="1"/>
  <c r="BQ1549" i="1" s="1"/>
  <c r="BR1549" i="1" s="1"/>
  <c r="BO1550" i="1"/>
  <c r="BQ1550" i="1" s="1"/>
  <c r="BR1550" i="1" s="1"/>
  <c r="BS1544" i="1"/>
  <c r="BO1544" i="1"/>
  <c r="BQ1544" i="1" s="1"/>
  <c r="BR1544" i="1" s="1"/>
  <c r="BO1536" i="1"/>
  <c r="BQ1536" i="1" s="1"/>
  <c r="BR1536" i="1" s="1"/>
  <c r="BS1519" i="1"/>
  <c r="BS1516" i="1"/>
  <c r="BS1510" i="1"/>
  <c r="BO1506" i="1"/>
  <c r="BQ1506" i="1" s="1"/>
  <c r="BR1506" i="1" s="1"/>
  <c r="BS1499" i="1"/>
  <c r="BO1578" i="1"/>
  <c r="BQ1578" i="1" s="1"/>
  <c r="BR1578" i="1" s="1"/>
  <c r="BS1573" i="1"/>
  <c r="BS1566" i="1"/>
  <c r="BO1560" i="1"/>
  <c r="BQ1560" i="1" s="1"/>
  <c r="BR1560" i="1" s="1"/>
  <c r="BO1559" i="1"/>
  <c r="BQ1559" i="1" s="1"/>
  <c r="BR1559" i="1" s="1"/>
  <c r="BS1553" i="1"/>
  <c r="BO1540" i="1"/>
  <c r="BQ1540" i="1" s="1"/>
  <c r="BR1540" i="1" s="1"/>
  <c r="BO1542" i="1"/>
  <c r="BQ1542" i="1" s="1"/>
  <c r="BR1542" i="1" s="1"/>
  <c r="BS1535" i="1"/>
  <c r="BO1535" i="1"/>
  <c r="BQ1535" i="1" s="1"/>
  <c r="BR1535" i="1" s="1"/>
  <c r="BO1516" i="1"/>
  <c r="BQ1516" i="1" s="1"/>
  <c r="BR1516" i="1" s="1"/>
  <c r="BO1511" i="1"/>
  <c r="BQ1511" i="1" s="1"/>
  <c r="BR1511" i="1" s="1"/>
  <c r="BO1510" i="1"/>
  <c r="BQ1510" i="1" s="1"/>
  <c r="BR1510" i="1" s="1"/>
  <c r="BO1508" i="1"/>
  <c r="BQ1508" i="1" s="1"/>
  <c r="BR1508" i="1" s="1"/>
  <c r="BO1502" i="1"/>
  <c r="BQ1502" i="1" s="1"/>
  <c r="BR1502" i="1" s="1"/>
  <c r="BO1579" i="1"/>
  <c r="BQ1579" i="1" s="1"/>
  <c r="BR1579" i="1" s="1"/>
  <c r="BO1577" i="1"/>
  <c r="BQ1577" i="1" s="1"/>
  <c r="BR1577" i="1" s="1"/>
  <c r="BO1571" i="1"/>
  <c r="BQ1571" i="1" s="1"/>
  <c r="BR1571" i="1" s="1"/>
  <c r="BS1568" i="1"/>
  <c r="BS1562" i="1"/>
  <c r="BS1560" i="1"/>
  <c r="BS1555" i="1"/>
  <c r="BS1547" i="1"/>
  <c r="BS1534" i="1"/>
  <c r="BO1520" i="1"/>
  <c r="BQ1520" i="1" s="1"/>
  <c r="BR1520" i="1" s="1"/>
  <c r="BO1534" i="1"/>
  <c r="BQ1534" i="1" s="1"/>
  <c r="BR1534" i="1" s="1"/>
  <c r="BO1519" i="1"/>
  <c r="BQ1519" i="1" s="1"/>
  <c r="BR1519" i="1" s="1"/>
  <c r="BO1514" i="1"/>
  <c r="BQ1514" i="1" s="1"/>
  <c r="BR1514" i="1" s="1"/>
  <c r="BS1512" i="1"/>
  <c r="BS1507" i="1"/>
  <c r="BO1498" i="1"/>
  <c r="BQ1498" i="1" s="1"/>
  <c r="BR1498" i="1" s="1"/>
  <c r="BS2377" i="1"/>
  <c r="BS1633" i="1"/>
  <c r="BS1641" i="1"/>
  <c r="BO1634" i="1"/>
  <c r="BQ1634" i="1" s="1"/>
  <c r="BR1634" i="1" s="1"/>
  <c r="BO1187" i="1"/>
  <c r="BQ1187" i="1" s="1"/>
  <c r="BR1187" i="1" s="1"/>
  <c r="BO2379" i="1"/>
  <c r="BQ2379" i="1" s="1"/>
  <c r="BR2379" i="1" s="1"/>
  <c r="BS1639" i="1"/>
  <c r="BO1642" i="1"/>
  <c r="BQ1642" i="1" s="1"/>
  <c r="BR1642" i="1" s="1"/>
  <c r="BS1632" i="1"/>
  <c r="BO1183" i="1"/>
  <c r="BQ1183" i="1" s="1"/>
  <c r="BR1183" i="1" s="1"/>
  <c r="BS2379" i="1"/>
  <c r="BO1639" i="1"/>
  <c r="BQ1639" i="1" s="1"/>
  <c r="BR1639" i="1" s="1"/>
  <c r="BO1633" i="1"/>
  <c r="BQ1633" i="1" s="1"/>
  <c r="BR1633" i="1" s="1"/>
  <c r="BS1636" i="1"/>
  <c r="BO1184" i="1"/>
  <c r="BQ1184" i="1" s="1"/>
  <c r="BR1184" i="1" s="1"/>
  <c r="BO2380" i="1"/>
  <c r="BQ2380" i="1" s="1"/>
  <c r="BR2380" i="1" s="1"/>
  <c r="BS1642" i="1"/>
  <c r="BO1632" i="1"/>
  <c r="BQ1632" i="1" s="1"/>
  <c r="BR1632" i="1" s="1"/>
  <c r="BS1186" i="1"/>
  <c r="BO2378" i="1"/>
  <c r="BQ2378" i="1" s="1"/>
  <c r="BR2378" i="1" s="1"/>
  <c r="BO1638" i="1"/>
  <c r="BQ1638" i="1" s="1"/>
  <c r="BR1638" i="1" s="1"/>
  <c r="BS1635" i="1"/>
  <c r="BS1185" i="1"/>
  <c r="BS1187" i="1"/>
  <c r="BO2381" i="1"/>
  <c r="BQ2381" i="1" s="1"/>
  <c r="BR2381" i="1" s="1"/>
  <c r="BS2381" i="1"/>
  <c r="BO1641" i="1"/>
  <c r="BQ1641" i="1" s="1"/>
  <c r="BR1641" i="1" s="1"/>
  <c r="BS1634" i="1"/>
  <c r="BS1184" i="1"/>
  <c r="BO1186" i="1"/>
  <c r="BQ1186" i="1" s="1"/>
  <c r="BR1186" i="1" s="1"/>
  <c r="BS1638" i="1"/>
  <c r="BO2377" i="1"/>
  <c r="BQ2377" i="1" s="1"/>
  <c r="BR2377" i="1" s="1"/>
  <c r="BS1640" i="1"/>
  <c r="BO1635" i="1"/>
  <c r="BQ1635" i="1" s="1"/>
  <c r="BR1635" i="1" s="1"/>
  <c r="BS1183" i="1"/>
  <c r="BS2378" i="1"/>
  <c r="BS2380" i="1"/>
  <c r="BO1640" i="1"/>
  <c r="BQ1640" i="1" s="1"/>
  <c r="BR1640" i="1" s="1"/>
  <c r="BO1636" i="1"/>
  <c r="BQ1636" i="1" s="1"/>
  <c r="BR1636" i="1" s="1"/>
  <c r="BO1185" i="1"/>
  <c r="BQ1185" i="1" s="1"/>
  <c r="BR1185" i="1" s="1"/>
  <c r="BO1676" i="1"/>
  <c r="BQ1676" i="1" s="1"/>
  <c r="BR1676" i="1" s="1"/>
  <c r="BS1670" i="1"/>
  <c r="BO1677" i="1"/>
  <c r="BQ1677" i="1" s="1"/>
  <c r="BR1677" i="1" s="1"/>
  <c r="BO1672" i="1"/>
  <c r="BQ1672" i="1" s="1"/>
  <c r="BR1672" i="1" s="1"/>
  <c r="BO1675" i="1"/>
  <c r="BQ1675" i="1" s="1"/>
  <c r="BR1675" i="1" s="1"/>
  <c r="BS1669" i="1"/>
  <c r="BS1671" i="1"/>
  <c r="BS1678" i="1"/>
  <c r="BS1679" i="1"/>
  <c r="BO1673" i="1"/>
  <c r="BQ1673" i="1" s="1"/>
  <c r="BR1673" i="1" s="1"/>
  <c r="BS1675" i="1"/>
  <c r="BO1678" i="1"/>
  <c r="BQ1678" i="1" s="1"/>
  <c r="BR1678" i="1" s="1"/>
  <c r="BO1671" i="1"/>
  <c r="BQ1671" i="1" s="1"/>
  <c r="BR1671" i="1" s="1"/>
  <c r="BS1677" i="1"/>
  <c r="BS1673" i="1"/>
  <c r="BO1669" i="1"/>
  <c r="BQ1669" i="1" s="1"/>
  <c r="BR1669" i="1" s="1"/>
  <c r="BS1676" i="1"/>
  <c r="BO1670" i="1"/>
  <c r="BQ1670" i="1" s="1"/>
  <c r="BR1670" i="1" s="1"/>
  <c r="BO1679" i="1"/>
  <c r="BQ1679" i="1" s="1"/>
  <c r="BR1679" i="1" s="1"/>
  <c r="BS1672" i="1"/>
  <c r="BS1777" i="1"/>
  <c r="BS1767" i="1"/>
  <c r="BO1768" i="1"/>
  <c r="BQ1768" i="1" s="1"/>
  <c r="BR1768" i="1" s="1"/>
  <c r="BO1759" i="1"/>
  <c r="BQ1759" i="1" s="1"/>
  <c r="BR1759" i="1" s="1"/>
  <c r="BS1757" i="1"/>
  <c r="BO1747" i="1"/>
  <c r="BQ1747" i="1" s="1"/>
  <c r="BR1747" i="1" s="1"/>
  <c r="BS1743" i="1"/>
  <c r="BS1742" i="1"/>
  <c r="BO1729" i="1"/>
  <c r="BQ1729" i="1" s="1"/>
  <c r="BR1729" i="1" s="1"/>
  <c r="BO1732" i="1"/>
  <c r="BQ1732" i="1" s="1"/>
  <c r="BR1732" i="1" s="1"/>
  <c r="BO1727" i="1"/>
  <c r="BQ1727" i="1" s="1"/>
  <c r="BR1727" i="1" s="1"/>
  <c r="BO1721" i="1"/>
  <c r="BQ1721" i="1" s="1"/>
  <c r="BR1721" i="1" s="1"/>
  <c r="BO1718" i="1"/>
  <c r="BQ1718" i="1" s="1"/>
  <c r="BR1718" i="1" s="1"/>
  <c r="BS1712" i="1"/>
  <c r="BS1779" i="1"/>
  <c r="BS1781" i="1"/>
  <c r="BS1774" i="1"/>
  <c r="BS1760" i="1"/>
  <c r="BS1753" i="1"/>
  <c r="BO1755" i="1"/>
  <c r="BQ1755" i="1" s="1"/>
  <c r="BR1755" i="1" s="1"/>
  <c r="BO1756" i="1"/>
  <c r="BQ1756" i="1" s="1"/>
  <c r="BR1756" i="1" s="1"/>
  <c r="BO1751" i="1"/>
  <c r="BQ1751" i="1" s="1"/>
  <c r="BR1751" i="1" s="1"/>
  <c r="BO1741" i="1"/>
  <c r="BQ1741" i="1" s="1"/>
  <c r="BR1741" i="1" s="1"/>
  <c r="BO1736" i="1"/>
  <c r="BQ1736" i="1" s="1"/>
  <c r="BR1736" i="1" s="1"/>
  <c r="BS1736" i="1"/>
  <c r="BO1733" i="1"/>
  <c r="BQ1733" i="1" s="1"/>
  <c r="BR1733" i="1" s="1"/>
  <c r="BO1724" i="1"/>
  <c r="BQ1724" i="1" s="1"/>
  <c r="BR1724" i="1" s="1"/>
  <c r="BO1720" i="1"/>
  <c r="BQ1720" i="1" s="1"/>
  <c r="BR1720" i="1" s="1"/>
  <c r="BO1712" i="1"/>
  <c r="BQ1712" i="1" s="1"/>
  <c r="BR1712" i="1" s="1"/>
  <c r="BO1778" i="1"/>
  <c r="BQ1778" i="1" s="1"/>
  <c r="BR1778" i="1" s="1"/>
  <c r="BO1773" i="1"/>
  <c r="BQ1773" i="1" s="1"/>
  <c r="BR1773" i="1" s="1"/>
  <c r="BS1772" i="1"/>
  <c r="BS1768" i="1"/>
  <c r="BS1762" i="1"/>
  <c r="BO1737" i="1"/>
  <c r="BQ1737" i="1" s="1"/>
  <c r="BR1737" i="1" s="1"/>
  <c r="BS1755" i="1"/>
  <c r="BO1748" i="1"/>
  <c r="BQ1748" i="1" s="1"/>
  <c r="BR1748" i="1" s="1"/>
  <c r="BO1742" i="1"/>
  <c r="BQ1742" i="1" s="1"/>
  <c r="BR1742" i="1" s="1"/>
  <c r="BS1738" i="1"/>
  <c r="BS1735" i="1"/>
  <c r="BS1731" i="1"/>
  <c r="BS1723" i="1"/>
  <c r="BO1717" i="1"/>
  <c r="BQ1717" i="1" s="1"/>
  <c r="BR1717" i="1" s="1"/>
  <c r="BS1711" i="1"/>
  <c r="BO1713" i="1"/>
  <c r="BQ1713" i="1" s="1"/>
  <c r="BR1713" i="1" s="1"/>
  <c r="BS1775" i="1"/>
  <c r="BS1773" i="1"/>
  <c r="BO1766" i="1"/>
  <c r="BQ1766" i="1" s="1"/>
  <c r="BR1766" i="1" s="1"/>
  <c r="BS1769" i="1"/>
  <c r="BS1759" i="1"/>
  <c r="BS1756" i="1"/>
  <c r="BO1750" i="1"/>
  <c r="BQ1750" i="1" s="1"/>
  <c r="BR1750" i="1" s="1"/>
  <c r="BO1743" i="1"/>
  <c r="BQ1743" i="1" s="1"/>
  <c r="BR1743" i="1" s="1"/>
  <c r="BO1735" i="1"/>
  <c r="BQ1735" i="1" s="1"/>
  <c r="BR1735" i="1" s="1"/>
  <c r="BO1730" i="1"/>
  <c r="BQ1730" i="1" s="1"/>
  <c r="BR1730" i="1" s="1"/>
  <c r="BS1733" i="1"/>
  <c r="BS1726" i="1"/>
  <c r="BS1718" i="1"/>
  <c r="BO1715" i="1"/>
  <c r="BQ1715" i="1" s="1"/>
  <c r="BR1715" i="1" s="1"/>
  <c r="BS1780" i="1"/>
  <c r="BO1775" i="1"/>
  <c r="BQ1775" i="1" s="1"/>
  <c r="BR1775" i="1" s="1"/>
  <c r="BO1772" i="1"/>
  <c r="BQ1772" i="1" s="1"/>
  <c r="BR1772" i="1" s="1"/>
  <c r="BO1767" i="1"/>
  <c r="BQ1767" i="1" s="1"/>
  <c r="BR1767" i="1" s="1"/>
  <c r="BS1761" i="1"/>
  <c r="BO1757" i="1"/>
  <c r="BQ1757" i="1" s="1"/>
  <c r="BR1757" i="1" s="1"/>
  <c r="BO1749" i="1"/>
  <c r="BQ1749" i="1" s="1"/>
  <c r="BR1749" i="1" s="1"/>
  <c r="BS1751" i="1"/>
  <c r="BS1744" i="1"/>
  <c r="BO1738" i="1"/>
  <c r="BQ1738" i="1" s="1"/>
  <c r="BR1738" i="1" s="1"/>
  <c r="BS1730" i="1"/>
  <c r="BO1731" i="1"/>
  <c r="BQ1731" i="1" s="1"/>
  <c r="BR1731" i="1" s="1"/>
  <c r="BO1726" i="1"/>
  <c r="BQ1726" i="1" s="1"/>
  <c r="BR1726" i="1" s="1"/>
  <c r="BS1721" i="1"/>
  <c r="BO1711" i="1"/>
  <c r="BQ1711" i="1" s="1"/>
  <c r="BR1711" i="1" s="1"/>
  <c r="BO1777" i="1"/>
  <c r="BQ1777" i="1" s="1"/>
  <c r="BR1777" i="1" s="1"/>
  <c r="BS1771" i="1"/>
  <c r="BS1766" i="1"/>
  <c r="BO1765" i="1"/>
  <c r="BQ1765" i="1" s="1"/>
  <c r="BR1765" i="1" s="1"/>
  <c r="BO1760" i="1"/>
  <c r="BQ1760" i="1" s="1"/>
  <c r="BR1760" i="1" s="1"/>
  <c r="BO1754" i="1"/>
  <c r="BQ1754" i="1" s="1"/>
  <c r="BR1754" i="1" s="1"/>
  <c r="BS1747" i="1"/>
  <c r="BS1749" i="1"/>
  <c r="BO1745" i="1"/>
  <c r="BQ1745" i="1" s="1"/>
  <c r="BR1745" i="1" s="1"/>
  <c r="BO1739" i="1"/>
  <c r="BQ1739" i="1" s="1"/>
  <c r="BR1739" i="1" s="1"/>
  <c r="BS1714" i="1"/>
  <c r="BS1725" i="1"/>
  <c r="BO1723" i="1"/>
  <c r="BQ1723" i="1" s="1"/>
  <c r="BR1723" i="1" s="1"/>
  <c r="BO1719" i="1"/>
  <c r="BQ1719" i="1" s="1"/>
  <c r="BR1719" i="1" s="1"/>
  <c r="BO1714" i="1"/>
  <c r="BQ1714" i="1" s="1"/>
  <c r="BR1714" i="1" s="1"/>
  <c r="BS1778" i="1"/>
  <c r="BO1779" i="1"/>
  <c r="BQ1779" i="1" s="1"/>
  <c r="BR1779" i="1" s="1"/>
  <c r="BO1771" i="1"/>
  <c r="BQ1771" i="1" s="1"/>
  <c r="BR1771" i="1" s="1"/>
  <c r="BS1765" i="1"/>
  <c r="BS1763" i="1"/>
  <c r="BO1763" i="1"/>
  <c r="BQ1763" i="1" s="1"/>
  <c r="BR1763" i="1" s="1"/>
  <c r="BS1754" i="1"/>
  <c r="BS1748" i="1"/>
  <c r="BS1745" i="1"/>
  <c r="BS1737" i="1"/>
  <c r="BS1732" i="1"/>
  <c r="BO1725" i="1"/>
  <c r="BQ1725" i="1" s="1"/>
  <c r="BR1725" i="1" s="1"/>
  <c r="BS1727" i="1"/>
  <c r="BS1717" i="1"/>
  <c r="BS1715" i="1"/>
  <c r="BO1781" i="1"/>
  <c r="BQ1781" i="1" s="1"/>
  <c r="BR1781" i="1" s="1"/>
  <c r="BO1780" i="1"/>
  <c r="BQ1780" i="1" s="1"/>
  <c r="BR1780" i="1" s="1"/>
  <c r="BO1774" i="1"/>
  <c r="BQ1774" i="1" s="1"/>
  <c r="BR1774" i="1" s="1"/>
  <c r="BO1769" i="1"/>
  <c r="BQ1769" i="1" s="1"/>
  <c r="BR1769" i="1" s="1"/>
  <c r="BO1762" i="1"/>
  <c r="BQ1762" i="1" s="1"/>
  <c r="BR1762" i="1" s="1"/>
  <c r="BO1761" i="1"/>
  <c r="BQ1761" i="1" s="1"/>
  <c r="BR1761" i="1" s="1"/>
  <c r="BO1753" i="1"/>
  <c r="BQ1753" i="1" s="1"/>
  <c r="BR1753" i="1" s="1"/>
  <c r="BS1750" i="1"/>
  <c r="BO1744" i="1"/>
  <c r="BQ1744" i="1" s="1"/>
  <c r="BR1744" i="1" s="1"/>
  <c r="BS1741" i="1"/>
  <c r="BS1739" i="1"/>
  <c r="BS1729" i="1"/>
  <c r="BS1724" i="1"/>
  <c r="BS1720" i="1"/>
  <c r="BS1719" i="1"/>
  <c r="BS1713" i="1"/>
  <c r="BS2658" i="1"/>
  <c r="BO2621" i="1"/>
  <c r="BQ2621" i="1" s="1"/>
  <c r="BR2621" i="1" s="1"/>
  <c r="BS2581" i="1"/>
  <c r="BS2583" i="1"/>
  <c r="BO1925" i="1"/>
  <c r="BQ1925" i="1" s="1"/>
  <c r="BR1925" i="1" s="1"/>
  <c r="BO1916" i="1"/>
  <c r="BQ1916" i="1" s="1"/>
  <c r="BR1916" i="1" s="1"/>
  <c r="BS1912" i="1"/>
  <c r="BO1910" i="1"/>
  <c r="BQ1910" i="1" s="1"/>
  <c r="BR1910" i="1" s="1"/>
  <c r="BS1906" i="1"/>
  <c r="BS1901" i="1"/>
  <c r="BO2660" i="1"/>
  <c r="BQ2660" i="1" s="1"/>
  <c r="BR2660" i="1" s="1"/>
  <c r="BS2621" i="1"/>
  <c r="BO2579" i="1"/>
  <c r="BQ2579" i="1" s="1"/>
  <c r="BR2579" i="1" s="1"/>
  <c r="BO1922" i="1"/>
  <c r="BQ1922" i="1" s="1"/>
  <c r="BR1922" i="1" s="1"/>
  <c r="BS1916" i="1"/>
  <c r="BS1911" i="1"/>
  <c r="BO1909" i="1"/>
  <c r="BQ1909" i="1" s="1"/>
  <c r="BR1909" i="1" s="1"/>
  <c r="BO1907" i="1"/>
  <c r="BQ1907" i="1" s="1"/>
  <c r="BR1907" i="1" s="1"/>
  <c r="BS1898" i="1"/>
  <c r="BO1913" i="1"/>
  <c r="BQ1913" i="1" s="1"/>
  <c r="BR1913" i="1" s="1"/>
  <c r="BO2657" i="1"/>
  <c r="BQ2657" i="1" s="1"/>
  <c r="BR2657" i="1" s="1"/>
  <c r="BO2620" i="1"/>
  <c r="BQ2620" i="1" s="1"/>
  <c r="BR2620" i="1" s="1"/>
  <c r="BS2579" i="1"/>
  <c r="BS1924" i="1"/>
  <c r="BO1915" i="1"/>
  <c r="BQ1915" i="1" s="1"/>
  <c r="BR1915" i="1" s="1"/>
  <c r="BS1910" i="1"/>
  <c r="BO1904" i="1"/>
  <c r="BQ1904" i="1" s="1"/>
  <c r="BR1904" i="1" s="1"/>
  <c r="BO1897" i="1"/>
  <c r="BQ1897" i="1" s="1"/>
  <c r="BR1897" i="1" s="1"/>
  <c r="BO1898" i="1"/>
  <c r="BQ1898" i="1" s="1"/>
  <c r="BR1898" i="1" s="1"/>
  <c r="BS2656" i="1"/>
  <c r="BS2660" i="1"/>
  <c r="BO2624" i="1"/>
  <c r="BQ2624" i="1" s="1"/>
  <c r="BR2624" i="1" s="1"/>
  <c r="BO2582" i="1"/>
  <c r="BQ2582" i="1" s="1"/>
  <c r="BR2582" i="1" s="1"/>
  <c r="BS1922" i="1"/>
  <c r="BO1923" i="1"/>
  <c r="BQ1923" i="1" s="1"/>
  <c r="BR1923" i="1" s="1"/>
  <c r="BS1917" i="1"/>
  <c r="BS1909" i="1"/>
  <c r="BO1905" i="1"/>
  <c r="BQ1905" i="1" s="1"/>
  <c r="BR1905" i="1" s="1"/>
  <c r="BS1897" i="1"/>
  <c r="BS1899" i="1"/>
  <c r="BO2659" i="1"/>
  <c r="BQ2659" i="1" s="1"/>
  <c r="BR2659" i="1" s="1"/>
  <c r="BS2657" i="1"/>
  <c r="BS2620" i="1"/>
  <c r="BO2583" i="1"/>
  <c r="BQ2583" i="1" s="1"/>
  <c r="BR2583" i="1" s="1"/>
  <c r="BS1923" i="1"/>
  <c r="BS1925" i="1"/>
  <c r="BS1915" i="1"/>
  <c r="BS1907" i="1"/>
  <c r="BO1903" i="1"/>
  <c r="BQ1903" i="1" s="1"/>
  <c r="BR1903" i="1" s="1"/>
  <c r="BO1901" i="1"/>
  <c r="BQ1901" i="1" s="1"/>
  <c r="BR1901" i="1" s="1"/>
  <c r="BO2658" i="1"/>
  <c r="BQ2658" i="1" s="1"/>
  <c r="BR2658" i="1" s="1"/>
  <c r="BO2622" i="1"/>
  <c r="BQ2622" i="1" s="1"/>
  <c r="BR2622" i="1" s="1"/>
  <c r="BS2624" i="1"/>
  <c r="BO2580" i="1"/>
  <c r="BQ2580" i="1" s="1"/>
  <c r="BR2580" i="1" s="1"/>
  <c r="BO1921" i="1"/>
  <c r="BQ1921" i="1" s="1"/>
  <c r="BR1921" i="1" s="1"/>
  <c r="BO1918" i="1"/>
  <c r="BQ1918" i="1" s="1"/>
  <c r="BR1918" i="1" s="1"/>
  <c r="BO1919" i="1"/>
  <c r="BQ1919" i="1" s="1"/>
  <c r="BR1919" i="1" s="1"/>
  <c r="BO1912" i="1"/>
  <c r="BQ1912" i="1" s="1"/>
  <c r="BR1912" i="1" s="1"/>
  <c r="BS1905" i="1"/>
  <c r="BO1900" i="1"/>
  <c r="BQ1900" i="1" s="1"/>
  <c r="BR1900" i="1" s="1"/>
  <c r="BO2656" i="1"/>
  <c r="BQ2656" i="1" s="1"/>
  <c r="BR2656" i="1" s="1"/>
  <c r="BS2623" i="1"/>
  <c r="BO2623" i="1"/>
  <c r="BQ2623" i="1" s="1"/>
  <c r="BR2623" i="1" s="1"/>
  <c r="BS2582" i="1"/>
  <c r="BS1921" i="1"/>
  <c r="BS1918" i="1"/>
  <c r="BS1919" i="1"/>
  <c r="BS1913" i="1"/>
  <c r="BS1904" i="1"/>
  <c r="BS1900" i="1"/>
  <c r="BS2659" i="1"/>
  <c r="BS2622" i="1"/>
  <c r="BS2580" i="1"/>
  <c r="BO2581" i="1"/>
  <c r="BQ2581" i="1" s="1"/>
  <c r="BR2581" i="1" s="1"/>
  <c r="BO1924" i="1"/>
  <c r="BQ1924" i="1" s="1"/>
  <c r="BR1924" i="1" s="1"/>
  <c r="BO1917" i="1"/>
  <c r="BQ1917" i="1" s="1"/>
  <c r="BR1917" i="1" s="1"/>
  <c r="BO1906" i="1"/>
  <c r="BQ1906" i="1" s="1"/>
  <c r="BR1906" i="1" s="1"/>
  <c r="BO1911" i="1"/>
  <c r="BQ1911" i="1" s="1"/>
  <c r="BR1911" i="1" s="1"/>
  <c r="BS1903" i="1"/>
  <c r="BO1899" i="1"/>
  <c r="BQ1899" i="1" s="1"/>
  <c r="BR1899" i="1" s="1"/>
  <c r="BS1150" i="1"/>
  <c r="BO1139" i="1"/>
  <c r="BQ1139" i="1" s="1"/>
  <c r="BR1139" i="1" s="1"/>
  <c r="BO1138" i="1"/>
  <c r="BQ1138" i="1" s="1"/>
  <c r="BR1138" i="1" s="1"/>
  <c r="BS1138" i="1"/>
  <c r="BS1133" i="1"/>
  <c r="BO1115" i="1"/>
  <c r="BQ1115" i="1" s="1"/>
  <c r="BR1115" i="1" s="1"/>
  <c r="BS1128" i="1"/>
  <c r="BO1120" i="1"/>
  <c r="BQ1120" i="1" s="1"/>
  <c r="BR1120" i="1" s="1"/>
  <c r="BO1113" i="1"/>
  <c r="BQ1113" i="1" s="1"/>
  <c r="BR1113" i="1" s="1"/>
  <c r="BO1109" i="1"/>
  <c r="BQ1109" i="1" s="1"/>
  <c r="BR1109" i="1" s="1"/>
  <c r="BS1102" i="1"/>
  <c r="BO1095" i="1"/>
  <c r="BQ1095" i="1" s="1"/>
  <c r="BR1095" i="1" s="1"/>
  <c r="BS1091" i="1"/>
  <c r="BO1085" i="1"/>
  <c r="BQ1085" i="1" s="1"/>
  <c r="BR1085" i="1" s="1"/>
  <c r="BS1148" i="1"/>
  <c r="BO1143" i="1"/>
  <c r="BQ1143" i="1" s="1"/>
  <c r="BR1143" i="1" s="1"/>
  <c r="BS1140" i="1"/>
  <c r="BS1134" i="1"/>
  <c r="BS1127" i="1"/>
  <c r="BS1124" i="1"/>
  <c r="BS1112" i="1"/>
  <c r="BO1114" i="1"/>
  <c r="BQ1114" i="1" s="1"/>
  <c r="BR1114" i="1" s="1"/>
  <c r="BO1110" i="1"/>
  <c r="BQ1110" i="1" s="1"/>
  <c r="BR1110" i="1" s="1"/>
  <c r="BS1100" i="1"/>
  <c r="BO1097" i="1"/>
  <c r="BQ1097" i="1" s="1"/>
  <c r="BR1097" i="1" s="1"/>
  <c r="BS1097" i="1"/>
  <c r="BO1091" i="1"/>
  <c r="BQ1091" i="1" s="1"/>
  <c r="BR1091" i="1" s="1"/>
  <c r="BS1084" i="1"/>
  <c r="BO1148" i="1"/>
  <c r="BQ1148" i="1" s="1"/>
  <c r="BR1148" i="1" s="1"/>
  <c r="BS1142" i="1"/>
  <c r="BS1137" i="1"/>
  <c r="BO1132" i="1"/>
  <c r="BQ1132" i="1" s="1"/>
  <c r="BR1132" i="1" s="1"/>
  <c r="BS1132" i="1"/>
  <c r="BO1127" i="1"/>
  <c r="BQ1127" i="1" s="1"/>
  <c r="BR1127" i="1" s="1"/>
  <c r="BS1114" i="1"/>
  <c r="BS1116" i="1"/>
  <c r="BS1108" i="1"/>
  <c r="BO1100" i="1"/>
  <c r="BQ1100" i="1" s="1"/>
  <c r="BR1100" i="1" s="1"/>
  <c r="BS1096" i="1"/>
  <c r="BO1094" i="1"/>
  <c r="BQ1094" i="1" s="1"/>
  <c r="BR1094" i="1" s="1"/>
  <c r="BO1092" i="1"/>
  <c r="BQ1092" i="1" s="1"/>
  <c r="BR1092" i="1" s="1"/>
  <c r="BO1086" i="1"/>
  <c r="BQ1086" i="1" s="1"/>
  <c r="BR1086" i="1" s="1"/>
  <c r="BO1149" i="1"/>
  <c r="BQ1149" i="1" s="1"/>
  <c r="BR1149" i="1" s="1"/>
  <c r="BS1149" i="1"/>
  <c r="BS1146" i="1"/>
  <c r="BO1136" i="1"/>
  <c r="BQ1136" i="1" s="1"/>
  <c r="BR1136" i="1" s="1"/>
  <c r="BS1130" i="1"/>
  <c r="BO1133" i="1"/>
  <c r="BQ1133" i="1" s="1"/>
  <c r="BR1133" i="1" s="1"/>
  <c r="BS1122" i="1"/>
  <c r="BO1122" i="1"/>
  <c r="BQ1122" i="1" s="1"/>
  <c r="BR1122" i="1" s="1"/>
  <c r="BO1112" i="1"/>
  <c r="BQ1112" i="1" s="1"/>
  <c r="BR1112" i="1" s="1"/>
  <c r="BO1107" i="1"/>
  <c r="BQ1107" i="1" s="1"/>
  <c r="BR1107" i="1" s="1"/>
  <c r="BS1110" i="1"/>
  <c r="BO1102" i="1"/>
  <c r="BQ1102" i="1" s="1"/>
  <c r="BR1102" i="1" s="1"/>
  <c r="BO1096" i="1"/>
  <c r="BQ1096" i="1" s="1"/>
  <c r="BR1096" i="1" s="1"/>
  <c r="BO1089" i="1"/>
  <c r="BQ1089" i="1" s="1"/>
  <c r="BR1089" i="1" s="1"/>
  <c r="BO1088" i="1"/>
  <c r="BQ1088" i="1" s="1"/>
  <c r="BR1088" i="1" s="1"/>
  <c r="BO1084" i="1"/>
  <c r="BQ1084" i="1" s="1"/>
  <c r="BR1084" i="1" s="1"/>
  <c r="BS1152" i="1"/>
  <c r="BO1152" i="1"/>
  <c r="BQ1152" i="1" s="1"/>
  <c r="BR1152" i="1" s="1"/>
  <c r="BO1145" i="1"/>
  <c r="BQ1145" i="1" s="1"/>
  <c r="BR1145" i="1" s="1"/>
  <c r="BO1137" i="1"/>
  <c r="BQ1137" i="1" s="1"/>
  <c r="BR1137" i="1" s="1"/>
  <c r="BS1131" i="1"/>
  <c r="BS1121" i="1"/>
  <c r="BS1125" i="1"/>
  <c r="BS1118" i="1"/>
  <c r="BS1113" i="1"/>
  <c r="BO1108" i="1"/>
  <c r="BQ1108" i="1" s="1"/>
  <c r="BR1108" i="1" s="1"/>
  <c r="BS1107" i="1"/>
  <c r="BS1103" i="1"/>
  <c r="BO1098" i="1"/>
  <c r="BQ1098" i="1" s="1"/>
  <c r="BR1098" i="1" s="1"/>
  <c r="BS1086" i="1"/>
  <c r="BS1092" i="1"/>
  <c r="BS1085" i="1"/>
  <c r="BO1150" i="1"/>
  <c r="BQ1150" i="1" s="1"/>
  <c r="BR1150" i="1" s="1"/>
  <c r="BO1151" i="1"/>
  <c r="BQ1151" i="1" s="1"/>
  <c r="BR1151" i="1" s="1"/>
  <c r="BO1144" i="1"/>
  <c r="BQ1144" i="1" s="1"/>
  <c r="BR1144" i="1" s="1"/>
  <c r="BO1140" i="1"/>
  <c r="BQ1140" i="1" s="1"/>
  <c r="BR1140" i="1" s="1"/>
  <c r="BS1126" i="1"/>
  <c r="BO1134" i="1"/>
  <c r="BQ1134" i="1" s="1"/>
  <c r="BR1134" i="1" s="1"/>
  <c r="BO1125" i="1"/>
  <c r="BQ1125" i="1" s="1"/>
  <c r="BR1125" i="1" s="1"/>
  <c r="BO1128" i="1"/>
  <c r="BQ1128" i="1" s="1"/>
  <c r="BR1128" i="1" s="1"/>
  <c r="BO1121" i="1"/>
  <c r="BQ1121" i="1" s="1"/>
  <c r="BR1121" i="1" s="1"/>
  <c r="BO1106" i="1"/>
  <c r="BQ1106" i="1" s="1"/>
  <c r="BR1106" i="1" s="1"/>
  <c r="BS1106" i="1"/>
  <c r="BO1103" i="1"/>
  <c r="BQ1103" i="1" s="1"/>
  <c r="BR1103" i="1" s="1"/>
  <c r="BS1095" i="1"/>
  <c r="BS1089" i="1"/>
  <c r="BS1083" i="1"/>
  <c r="BO1082" i="1"/>
  <c r="BQ1082" i="1" s="1"/>
  <c r="BR1082" i="1" s="1"/>
  <c r="BS1144" i="1"/>
  <c r="BO1142" i="1"/>
  <c r="BQ1142" i="1" s="1"/>
  <c r="BR1142" i="1" s="1"/>
  <c r="BS1145" i="1"/>
  <c r="BS1136" i="1"/>
  <c r="BO1130" i="1"/>
  <c r="BQ1130" i="1" s="1"/>
  <c r="BR1130" i="1" s="1"/>
  <c r="BO1124" i="1"/>
  <c r="BQ1124" i="1" s="1"/>
  <c r="BR1124" i="1" s="1"/>
  <c r="BO1126" i="1"/>
  <c r="BQ1126" i="1" s="1"/>
  <c r="BR1126" i="1" s="1"/>
  <c r="BS1120" i="1"/>
  <c r="BS1115" i="1"/>
  <c r="BS1088" i="1"/>
  <c r="BS1104" i="1"/>
  <c r="BO1104" i="1"/>
  <c r="BQ1104" i="1" s="1"/>
  <c r="BR1104" i="1" s="1"/>
  <c r="BS1094" i="1"/>
  <c r="BS1090" i="1"/>
  <c r="BO1083" i="1"/>
  <c r="BQ1083" i="1" s="1"/>
  <c r="BR1083" i="1" s="1"/>
  <c r="BS1151" i="1"/>
  <c r="BO1146" i="1"/>
  <c r="BQ1146" i="1" s="1"/>
  <c r="BR1146" i="1" s="1"/>
  <c r="BS1143" i="1"/>
  <c r="BS1139" i="1"/>
  <c r="BO1131" i="1"/>
  <c r="BQ1131" i="1" s="1"/>
  <c r="BR1131" i="1" s="1"/>
  <c r="BO1118" i="1"/>
  <c r="BQ1118" i="1" s="1"/>
  <c r="BR1118" i="1" s="1"/>
  <c r="BS1119" i="1"/>
  <c r="BO1119" i="1"/>
  <c r="BQ1119" i="1" s="1"/>
  <c r="BR1119" i="1" s="1"/>
  <c r="BO1116" i="1"/>
  <c r="BQ1116" i="1" s="1"/>
  <c r="BR1116" i="1" s="1"/>
  <c r="BS1109" i="1"/>
  <c r="BO1101" i="1"/>
  <c r="BQ1101" i="1" s="1"/>
  <c r="BR1101" i="1" s="1"/>
  <c r="BS1101" i="1"/>
  <c r="BS1098" i="1"/>
  <c r="BO1090" i="1"/>
  <c r="BQ1090" i="1" s="1"/>
  <c r="BR1090" i="1" s="1"/>
  <c r="BS1082" i="1"/>
  <c r="BS2373" i="1"/>
  <c r="BS2369" i="1"/>
  <c r="BS2364" i="1"/>
  <c r="BO1627" i="1"/>
  <c r="BQ1627" i="1" s="1"/>
  <c r="BR1627" i="1" s="1"/>
  <c r="BO1620" i="1"/>
  <c r="BQ1620" i="1" s="1"/>
  <c r="BR1620" i="1" s="1"/>
  <c r="BS1622" i="1"/>
  <c r="BS1173" i="1"/>
  <c r="BS2376" i="1"/>
  <c r="BO2367" i="1"/>
  <c r="BQ2367" i="1" s="1"/>
  <c r="BR2367" i="1" s="1"/>
  <c r="BO2362" i="1"/>
  <c r="BQ2362" i="1" s="1"/>
  <c r="BR2362" i="1" s="1"/>
  <c r="BO1630" i="1"/>
  <c r="BQ1630" i="1" s="1"/>
  <c r="BR1630" i="1" s="1"/>
  <c r="BS1624" i="1"/>
  <c r="BO1623" i="1"/>
  <c r="BQ1623" i="1" s="1"/>
  <c r="BR1623" i="1" s="1"/>
  <c r="BO1175" i="1"/>
  <c r="BQ1175" i="1" s="1"/>
  <c r="BR1175" i="1" s="1"/>
  <c r="BS2374" i="1"/>
  <c r="BS2366" i="1"/>
  <c r="BO2363" i="1"/>
  <c r="BQ2363" i="1" s="1"/>
  <c r="BR2363" i="1" s="1"/>
  <c r="BS1630" i="1"/>
  <c r="BS1621" i="1"/>
  <c r="BS1174" i="1"/>
  <c r="BO2373" i="1"/>
  <c r="BQ2373" i="1" s="1"/>
  <c r="BR2373" i="1" s="1"/>
  <c r="BO2370" i="1"/>
  <c r="BQ2370" i="1" s="1"/>
  <c r="BR2370" i="1" s="1"/>
  <c r="BO2368" i="1"/>
  <c r="BQ2368" i="1" s="1"/>
  <c r="BR2368" i="1" s="1"/>
  <c r="BS2361" i="1"/>
  <c r="BS1627" i="1"/>
  <c r="BO1621" i="1"/>
  <c r="BQ1621" i="1" s="1"/>
  <c r="BR1621" i="1" s="1"/>
  <c r="BS1171" i="1"/>
  <c r="BO1171" i="1"/>
  <c r="BQ1171" i="1" s="1"/>
  <c r="BR1171" i="1" s="1"/>
  <c r="BS2367" i="1"/>
  <c r="BO2375" i="1"/>
  <c r="BQ2375" i="1" s="1"/>
  <c r="BR2375" i="1" s="1"/>
  <c r="BS2368" i="1"/>
  <c r="BS1628" i="1"/>
  <c r="BO2361" i="1"/>
  <c r="BQ2361" i="1" s="1"/>
  <c r="BR2361" i="1" s="1"/>
  <c r="BS1629" i="1"/>
  <c r="BO1622" i="1"/>
  <c r="BQ1622" i="1" s="1"/>
  <c r="BR1622" i="1" s="1"/>
  <c r="BS1172" i="1"/>
  <c r="BS1175" i="1"/>
  <c r="BS2372" i="1"/>
  <c r="BO2374" i="1"/>
  <c r="BQ2374" i="1" s="1"/>
  <c r="BR2374" i="1" s="1"/>
  <c r="BS2370" i="1"/>
  <c r="BS2360" i="1"/>
  <c r="BO2360" i="1"/>
  <c r="BQ2360" i="1" s="1"/>
  <c r="BR2360" i="1" s="1"/>
  <c r="BS1626" i="1"/>
  <c r="BS1623" i="1"/>
  <c r="BO1173" i="1"/>
  <c r="BQ1173" i="1" s="1"/>
  <c r="BR1173" i="1" s="1"/>
  <c r="BO2372" i="1"/>
  <c r="BQ2372" i="1" s="1"/>
  <c r="BR2372" i="1" s="1"/>
  <c r="BS2375" i="1"/>
  <c r="BO2369" i="1"/>
  <c r="BQ2369" i="1" s="1"/>
  <c r="BR2369" i="1" s="1"/>
  <c r="BS2363" i="1"/>
  <c r="BO2364" i="1"/>
  <c r="BQ2364" i="1" s="1"/>
  <c r="BR2364" i="1" s="1"/>
  <c r="BO1628" i="1"/>
  <c r="BQ1628" i="1" s="1"/>
  <c r="BR1628" i="1" s="1"/>
  <c r="BS1620" i="1"/>
  <c r="BO1174" i="1"/>
  <c r="BQ1174" i="1" s="1"/>
  <c r="BR1174" i="1" s="1"/>
  <c r="BO2376" i="1"/>
  <c r="BQ2376" i="1" s="1"/>
  <c r="BR2376" i="1" s="1"/>
  <c r="BO2366" i="1"/>
  <c r="BQ2366" i="1" s="1"/>
  <c r="BR2366" i="1" s="1"/>
  <c r="BS2362" i="1"/>
  <c r="BO1626" i="1"/>
  <c r="BQ1626" i="1" s="1"/>
  <c r="BR1626" i="1" s="1"/>
  <c r="BO1629" i="1"/>
  <c r="BQ1629" i="1" s="1"/>
  <c r="BR1629" i="1" s="1"/>
  <c r="BO1624" i="1"/>
  <c r="BQ1624" i="1" s="1"/>
  <c r="BR1624" i="1" s="1"/>
  <c r="BO1172" i="1"/>
  <c r="BQ1172" i="1" s="1"/>
  <c r="BR1172" i="1" s="1"/>
  <c r="BO1242" i="1"/>
  <c r="BQ1242" i="1" s="1"/>
  <c r="BR1242" i="1" s="1"/>
  <c r="BO1236" i="1"/>
  <c r="BQ1236" i="1" s="1"/>
  <c r="BR1236" i="1" s="1"/>
  <c r="BS1229" i="1"/>
  <c r="BS1222" i="1"/>
  <c r="BS1240" i="1"/>
  <c r="BS1235" i="1"/>
  <c r="BO1231" i="1"/>
  <c r="BQ1231" i="1" s="1"/>
  <c r="BR1231" i="1" s="1"/>
  <c r="BS1221" i="1"/>
  <c r="BO1239" i="1"/>
  <c r="BQ1239" i="1" s="1"/>
  <c r="BR1239" i="1" s="1"/>
  <c r="BO1235" i="1"/>
  <c r="BQ1235" i="1" s="1"/>
  <c r="BR1235" i="1" s="1"/>
  <c r="BO1229" i="1"/>
  <c r="BQ1229" i="1" s="1"/>
  <c r="BR1229" i="1" s="1"/>
  <c r="BS1231" i="1"/>
  <c r="BO1221" i="1"/>
  <c r="BQ1221" i="1" s="1"/>
  <c r="BR1221" i="1" s="1"/>
  <c r="BO1243" i="1"/>
  <c r="BQ1243" i="1" s="1"/>
  <c r="BR1243" i="1" s="1"/>
  <c r="BO1240" i="1"/>
  <c r="BQ1240" i="1" s="1"/>
  <c r="BR1240" i="1" s="1"/>
  <c r="BO1237" i="1"/>
  <c r="BQ1237" i="1" s="1"/>
  <c r="BR1237" i="1" s="1"/>
  <c r="BO1227" i="1"/>
  <c r="BQ1227" i="1" s="1"/>
  <c r="BR1227" i="1" s="1"/>
  <c r="BO1230" i="1"/>
  <c r="BQ1230" i="1" s="1"/>
  <c r="BR1230" i="1" s="1"/>
  <c r="BO1225" i="1"/>
  <c r="BQ1225" i="1" s="1"/>
  <c r="BR1225" i="1" s="1"/>
  <c r="BS1242" i="1"/>
  <c r="BS1241" i="1"/>
  <c r="BS1239" i="1"/>
  <c r="BO1233" i="1"/>
  <c r="BQ1233" i="1" s="1"/>
  <c r="BR1233" i="1" s="1"/>
  <c r="BS1227" i="1"/>
  <c r="BS1225" i="1"/>
  <c r="BO1222" i="1"/>
  <c r="BQ1222" i="1" s="1"/>
  <c r="BR1222" i="1" s="1"/>
  <c r="BS1243" i="1"/>
  <c r="BO1234" i="1"/>
  <c r="BQ1234" i="1" s="1"/>
  <c r="BR1234" i="1" s="1"/>
  <c r="BS1237" i="1"/>
  <c r="BO1224" i="1"/>
  <c r="BQ1224" i="1" s="1"/>
  <c r="BR1224" i="1" s="1"/>
  <c r="BO1241" i="1"/>
  <c r="BQ1241" i="1" s="1"/>
  <c r="BR1241" i="1" s="1"/>
  <c r="BS1236" i="1"/>
  <c r="BS1233" i="1"/>
  <c r="BO1228" i="1"/>
  <c r="BQ1228" i="1" s="1"/>
  <c r="BR1228" i="1" s="1"/>
  <c r="BS1228" i="1"/>
  <c r="BS1223" i="1"/>
  <c r="BO1223" i="1"/>
  <c r="BQ1223" i="1" s="1"/>
  <c r="BR1223" i="1" s="1"/>
  <c r="BS1234" i="1"/>
  <c r="BS1230" i="1"/>
  <c r="BS1224" i="1"/>
  <c r="BO1339" i="1"/>
  <c r="BQ1339" i="1" s="1"/>
  <c r="BR1339" i="1" s="1"/>
  <c r="BS1336" i="1"/>
  <c r="BS1330" i="1"/>
  <c r="BS1326" i="1"/>
  <c r="BO1320" i="1"/>
  <c r="BQ1320" i="1" s="1"/>
  <c r="BR1320" i="1" s="1"/>
  <c r="BS1315" i="1"/>
  <c r="BS1309" i="1"/>
  <c r="BO1300" i="1"/>
  <c r="BQ1300" i="1" s="1"/>
  <c r="BR1300" i="1" s="1"/>
  <c r="BO1299" i="1"/>
  <c r="BQ1299" i="1" s="1"/>
  <c r="BR1299" i="1" s="1"/>
  <c r="BS1294" i="1"/>
  <c r="BS1287" i="1"/>
  <c r="BS1281" i="1"/>
  <c r="BS1276" i="1"/>
  <c r="BS1278" i="1"/>
  <c r="BS1339" i="1"/>
  <c r="BO1330" i="1"/>
  <c r="BQ1330" i="1" s="1"/>
  <c r="BR1330" i="1" s="1"/>
  <c r="BO1326" i="1"/>
  <c r="BQ1326" i="1" s="1"/>
  <c r="BR1326" i="1" s="1"/>
  <c r="BS1317" i="1"/>
  <c r="BO1321" i="1"/>
  <c r="BQ1321" i="1" s="1"/>
  <c r="BR1321" i="1" s="1"/>
  <c r="BO1312" i="1"/>
  <c r="BQ1312" i="1" s="1"/>
  <c r="BR1312" i="1" s="1"/>
  <c r="BO1306" i="1"/>
  <c r="BQ1306" i="1" s="1"/>
  <c r="BR1306" i="1" s="1"/>
  <c r="BO1303" i="1"/>
  <c r="BQ1303" i="1" s="1"/>
  <c r="BR1303" i="1" s="1"/>
  <c r="BS1296" i="1"/>
  <c r="BO1294" i="1"/>
  <c r="BQ1294" i="1" s="1"/>
  <c r="BR1294" i="1" s="1"/>
  <c r="BS1290" i="1"/>
  <c r="BO1285" i="1"/>
  <c r="BQ1285" i="1" s="1"/>
  <c r="BR1285" i="1" s="1"/>
  <c r="BO1282" i="1"/>
  <c r="BQ1282" i="1" s="1"/>
  <c r="BR1282" i="1" s="1"/>
  <c r="BS1279" i="1"/>
  <c r="BO1336" i="1"/>
  <c r="BQ1336" i="1" s="1"/>
  <c r="BR1336" i="1" s="1"/>
  <c r="BS1335" i="1"/>
  <c r="BO1333" i="1"/>
  <c r="BQ1333" i="1" s="1"/>
  <c r="BR1333" i="1" s="1"/>
  <c r="BO1327" i="1"/>
  <c r="BQ1327" i="1" s="1"/>
  <c r="BR1327" i="1" s="1"/>
  <c r="BO1319" i="1"/>
  <c r="BQ1319" i="1" s="1"/>
  <c r="BR1319" i="1" s="1"/>
  <c r="BS1321" i="1"/>
  <c r="BS1313" i="1"/>
  <c r="BO1305" i="1"/>
  <c r="BQ1305" i="1" s="1"/>
  <c r="BR1305" i="1" s="1"/>
  <c r="BO1302" i="1"/>
  <c r="BQ1302" i="1" s="1"/>
  <c r="BR1302" i="1" s="1"/>
  <c r="BO1296" i="1"/>
  <c r="BQ1296" i="1" s="1"/>
  <c r="BR1296" i="1" s="1"/>
  <c r="BO1289" i="1"/>
  <c r="BQ1289" i="1" s="1"/>
  <c r="BR1289" i="1" s="1"/>
  <c r="BO1284" i="1"/>
  <c r="BQ1284" i="1" s="1"/>
  <c r="BR1284" i="1" s="1"/>
  <c r="BO1281" i="1"/>
  <c r="BQ1281" i="1" s="1"/>
  <c r="BR1281" i="1" s="1"/>
  <c r="BO1338" i="1"/>
  <c r="BQ1338" i="1" s="1"/>
  <c r="BR1338" i="1" s="1"/>
  <c r="BO1335" i="1"/>
  <c r="BQ1335" i="1" s="1"/>
  <c r="BR1335" i="1" s="1"/>
  <c r="BS1324" i="1"/>
  <c r="BO1324" i="1"/>
  <c r="BQ1324" i="1" s="1"/>
  <c r="BR1324" i="1" s="1"/>
  <c r="BO1317" i="1"/>
  <c r="BQ1317" i="1" s="1"/>
  <c r="BR1317" i="1" s="1"/>
  <c r="BO1314" i="1"/>
  <c r="BQ1314" i="1" s="1"/>
  <c r="BR1314" i="1" s="1"/>
  <c r="BO1311" i="1"/>
  <c r="BQ1311" i="1" s="1"/>
  <c r="BR1311" i="1" s="1"/>
  <c r="BS1305" i="1"/>
  <c r="BS1300" i="1"/>
  <c r="BS1293" i="1"/>
  <c r="BS1289" i="1"/>
  <c r="BS1285" i="1"/>
  <c r="BO1277" i="1"/>
  <c r="BQ1277" i="1" s="1"/>
  <c r="BR1277" i="1" s="1"/>
  <c r="BO1279" i="1"/>
  <c r="BQ1279" i="1" s="1"/>
  <c r="BR1279" i="1" s="1"/>
  <c r="BS1337" i="1"/>
  <c r="BS1333" i="1"/>
  <c r="BS1332" i="1"/>
  <c r="BS1327" i="1"/>
  <c r="BS1319" i="1"/>
  <c r="BO1309" i="1"/>
  <c r="BQ1309" i="1" s="1"/>
  <c r="BR1309" i="1" s="1"/>
  <c r="BO1313" i="1"/>
  <c r="BQ1313" i="1" s="1"/>
  <c r="BR1313" i="1" s="1"/>
  <c r="BS1303" i="1"/>
  <c r="BS1302" i="1"/>
  <c r="BS1295" i="1"/>
  <c r="BO1293" i="1"/>
  <c r="BQ1293" i="1" s="1"/>
  <c r="BR1293" i="1" s="1"/>
  <c r="BS1283" i="1"/>
  <c r="BS1277" i="1"/>
  <c r="BO1337" i="1"/>
  <c r="BQ1337" i="1" s="1"/>
  <c r="BR1337" i="1" s="1"/>
  <c r="BO1331" i="1"/>
  <c r="BQ1331" i="1" s="1"/>
  <c r="BR1331" i="1" s="1"/>
  <c r="BS1329" i="1"/>
  <c r="BS1323" i="1"/>
  <c r="BO1318" i="1"/>
  <c r="BQ1318" i="1" s="1"/>
  <c r="BR1318" i="1" s="1"/>
  <c r="BS1314" i="1"/>
  <c r="BS1306" i="1"/>
  <c r="BS1301" i="1"/>
  <c r="BO1295" i="1"/>
  <c r="BQ1295" i="1" s="1"/>
  <c r="BR1295" i="1" s="1"/>
  <c r="BO1287" i="1"/>
  <c r="BQ1287" i="1" s="1"/>
  <c r="BR1287" i="1" s="1"/>
  <c r="BS1275" i="1"/>
  <c r="BS1282" i="1"/>
  <c r="BS1331" i="1"/>
  <c r="BO1332" i="1"/>
  <c r="BQ1332" i="1" s="1"/>
  <c r="BR1332" i="1" s="1"/>
  <c r="BS1325" i="1"/>
  <c r="BO1323" i="1"/>
  <c r="BQ1323" i="1" s="1"/>
  <c r="BR1323" i="1" s="1"/>
  <c r="BS1318" i="1"/>
  <c r="BO1315" i="1"/>
  <c r="BQ1315" i="1" s="1"/>
  <c r="BR1315" i="1" s="1"/>
  <c r="BS1308" i="1"/>
  <c r="BO1308" i="1"/>
  <c r="BQ1308" i="1" s="1"/>
  <c r="BR1308" i="1" s="1"/>
  <c r="BO1301" i="1"/>
  <c r="BQ1301" i="1" s="1"/>
  <c r="BR1301" i="1" s="1"/>
  <c r="BS1297" i="1"/>
  <c r="BS1284" i="1"/>
  <c r="BO1278" i="1"/>
  <c r="BQ1278" i="1" s="1"/>
  <c r="BR1278" i="1" s="1"/>
  <c r="BO1276" i="1"/>
  <c r="BQ1276" i="1" s="1"/>
  <c r="BR1276" i="1" s="1"/>
  <c r="BS1338" i="1"/>
  <c r="BO1329" i="1"/>
  <c r="BQ1329" i="1" s="1"/>
  <c r="BR1329" i="1" s="1"/>
  <c r="BS1312" i="1"/>
  <c r="BO1325" i="1"/>
  <c r="BQ1325" i="1" s="1"/>
  <c r="BR1325" i="1" s="1"/>
  <c r="BS1320" i="1"/>
  <c r="BS1311" i="1"/>
  <c r="BO1307" i="1"/>
  <c r="BQ1307" i="1" s="1"/>
  <c r="BR1307" i="1" s="1"/>
  <c r="BS1307" i="1"/>
  <c r="BS1299" i="1"/>
  <c r="BO1297" i="1"/>
  <c r="BQ1297" i="1" s="1"/>
  <c r="BR1297" i="1" s="1"/>
  <c r="BO1290" i="1"/>
  <c r="BQ1290" i="1" s="1"/>
  <c r="BR1290" i="1" s="1"/>
  <c r="BO1283" i="1"/>
  <c r="BQ1283" i="1" s="1"/>
  <c r="BR1283" i="1" s="1"/>
  <c r="BO1275" i="1"/>
  <c r="BQ1275" i="1" s="1"/>
  <c r="BR1275" i="1" s="1"/>
  <c r="BO1288" i="1"/>
  <c r="BQ1288" i="1" s="1"/>
  <c r="BR1288" i="1" s="1"/>
  <c r="BO1291" i="1"/>
  <c r="BQ1291" i="1" s="1"/>
  <c r="BR1291" i="1" s="1"/>
  <c r="BS1291" i="1"/>
  <c r="BS1288" i="1"/>
  <c r="BS2650" i="1"/>
  <c r="BS2617" i="1"/>
  <c r="BS2576" i="1"/>
  <c r="BS2575" i="1"/>
  <c r="BS1486" i="1"/>
  <c r="BS1482" i="1"/>
  <c r="BS1476" i="1"/>
  <c r="BO1473" i="1"/>
  <c r="BQ1473" i="1" s="1"/>
  <c r="BR1473" i="1" s="1"/>
  <c r="BS1467" i="1"/>
  <c r="BS1465" i="1"/>
  <c r="BO2653" i="1"/>
  <c r="BQ2653" i="1" s="1"/>
  <c r="BR2653" i="1" s="1"/>
  <c r="BO2618" i="1"/>
  <c r="BQ2618" i="1" s="1"/>
  <c r="BR2618" i="1" s="1"/>
  <c r="BS2574" i="1"/>
  <c r="BS2577" i="1"/>
  <c r="BO1485" i="1"/>
  <c r="BQ1485" i="1" s="1"/>
  <c r="BR1485" i="1" s="1"/>
  <c r="BS1480" i="1"/>
  <c r="BS1474" i="1"/>
  <c r="BS1477" i="1"/>
  <c r="BO1467" i="1"/>
  <c r="BQ1467" i="1" s="1"/>
  <c r="BR1467" i="1" s="1"/>
  <c r="BO1461" i="1"/>
  <c r="BQ1461" i="1" s="1"/>
  <c r="BR1461" i="1" s="1"/>
  <c r="BO2652" i="1"/>
  <c r="BQ2652" i="1" s="1"/>
  <c r="BR2652" i="1" s="1"/>
  <c r="BS2615" i="1"/>
  <c r="BO2577" i="1"/>
  <c r="BQ2577" i="1" s="1"/>
  <c r="BR2577" i="1" s="1"/>
  <c r="BO1489" i="1"/>
  <c r="BQ1489" i="1" s="1"/>
  <c r="BR1489" i="1" s="1"/>
  <c r="BO1483" i="1"/>
  <c r="BQ1483" i="1" s="1"/>
  <c r="BR1483" i="1" s="1"/>
  <c r="BS1475" i="1"/>
  <c r="BO1469" i="1"/>
  <c r="BQ1469" i="1" s="1"/>
  <c r="BR1469" i="1" s="1"/>
  <c r="BO1468" i="1"/>
  <c r="BQ1468" i="1" s="1"/>
  <c r="BR1468" i="1" s="1"/>
  <c r="BO1462" i="1"/>
  <c r="BQ1462" i="1" s="1"/>
  <c r="BR1462" i="1" s="1"/>
  <c r="BO2651" i="1"/>
  <c r="BQ2651" i="1" s="1"/>
  <c r="BR2651" i="1" s="1"/>
  <c r="BO2616" i="1"/>
  <c r="BQ2616" i="1" s="1"/>
  <c r="BR2616" i="1" s="1"/>
  <c r="BO2576" i="1"/>
  <c r="BQ2576" i="1" s="1"/>
  <c r="BR2576" i="1" s="1"/>
  <c r="BS1485" i="1"/>
  <c r="BO1481" i="1"/>
  <c r="BQ1481" i="1" s="1"/>
  <c r="BR1481" i="1" s="1"/>
  <c r="BO1477" i="1"/>
  <c r="BQ1477" i="1" s="1"/>
  <c r="BR1477" i="1" s="1"/>
  <c r="BO1471" i="1"/>
  <c r="BQ1471" i="1" s="1"/>
  <c r="BR1471" i="1" s="1"/>
  <c r="BS1462" i="1"/>
  <c r="BS1463" i="1"/>
  <c r="BO2654" i="1"/>
  <c r="BQ2654" i="1" s="1"/>
  <c r="BR2654" i="1" s="1"/>
  <c r="BS2618" i="1"/>
  <c r="BO2650" i="1"/>
  <c r="BQ2650" i="1" s="1"/>
  <c r="BR2650" i="1" s="1"/>
  <c r="BO1470" i="1"/>
  <c r="BQ1470" i="1" s="1"/>
  <c r="BR1470" i="1" s="1"/>
  <c r="BO2575" i="1"/>
  <c r="BQ2575" i="1" s="1"/>
  <c r="BR2575" i="1" s="1"/>
  <c r="BO1487" i="1"/>
  <c r="BQ1487" i="1" s="1"/>
  <c r="BR1487" i="1" s="1"/>
  <c r="BS1489" i="1"/>
  <c r="BO1479" i="1"/>
  <c r="BQ1479" i="1" s="1"/>
  <c r="BR1479" i="1" s="1"/>
  <c r="BS1473" i="1"/>
  <c r="BS1471" i="1"/>
  <c r="BO1464" i="1"/>
  <c r="BQ1464" i="1" s="1"/>
  <c r="BR1464" i="1" s="1"/>
  <c r="BS1461" i="1"/>
  <c r="BS2653" i="1"/>
  <c r="BS2654" i="1"/>
  <c r="BO2617" i="1"/>
  <c r="BQ2617" i="1" s="1"/>
  <c r="BR2617" i="1" s="1"/>
  <c r="BO2574" i="1"/>
  <c r="BQ2574" i="1" s="1"/>
  <c r="BR2574" i="1" s="1"/>
  <c r="BS1488" i="1"/>
  <c r="BO1488" i="1"/>
  <c r="BQ1488" i="1" s="1"/>
  <c r="BR1488" i="1" s="1"/>
  <c r="BS1483" i="1"/>
  <c r="BO1476" i="1"/>
  <c r="BQ1476" i="1" s="1"/>
  <c r="BR1476" i="1" s="1"/>
  <c r="BS1470" i="1"/>
  <c r="BS1464" i="1"/>
  <c r="BS2652" i="1"/>
  <c r="BO2614" i="1"/>
  <c r="BQ2614" i="1" s="1"/>
  <c r="BR2614" i="1" s="1"/>
  <c r="BO2615" i="1"/>
  <c r="BQ2615" i="1" s="1"/>
  <c r="BR2615" i="1" s="1"/>
  <c r="BS2573" i="1"/>
  <c r="BS1487" i="1"/>
  <c r="BO1482" i="1"/>
  <c r="BQ1482" i="1" s="1"/>
  <c r="BR1482" i="1" s="1"/>
  <c r="BS1481" i="1"/>
  <c r="BO1475" i="1"/>
  <c r="BQ1475" i="1" s="1"/>
  <c r="BR1475" i="1" s="1"/>
  <c r="BS1469" i="1"/>
  <c r="BO1465" i="1"/>
  <c r="BQ1465" i="1" s="1"/>
  <c r="BR1465" i="1" s="1"/>
  <c r="BS2651" i="1"/>
  <c r="BS2614" i="1"/>
  <c r="BS2616" i="1"/>
  <c r="BO2573" i="1"/>
  <c r="BQ2573" i="1" s="1"/>
  <c r="BR2573" i="1" s="1"/>
  <c r="BO1486" i="1"/>
  <c r="BQ1486" i="1" s="1"/>
  <c r="BR1486" i="1" s="1"/>
  <c r="BO1480" i="1"/>
  <c r="BQ1480" i="1" s="1"/>
  <c r="BR1480" i="1" s="1"/>
  <c r="BS1479" i="1"/>
  <c r="BO1474" i="1"/>
  <c r="BQ1474" i="1" s="1"/>
  <c r="BR1474" i="1" s="1"/>
  <c r="BS1468" i="1"/>
  <c r="BO1463" i="1"/>
  <c r="BQ1463" i="1" s="1"/>
  <c r="BR1463" i="1" s="1"/>
  <c r="BO400" i="1"/>
  <c r="BQ400" i="1" s="1"/>
  <c r="BR400" i="1" s="1"/>
  <c r="BO350" i="1"/>
  <c r="BQ350" i="1" s="1"/>
  <c r="BR350" i="1" s="1"/>
  <c r="BO347" i="1"/>
  <c r="BQ347" i="1" s="1"/>
  <c r="BR347" i="1" s="1"/>
  <c r="BO336" i="1"/>
  <c r="BQ336" i="1" s="1"/>
  <c r="BR336" i="1" s="1"/>
  <c r="BS378" i="1"/>
  <c r="BO370" i="1"/>
  <c r="BQ370" i="1" s="1"/>
  <c r="BR370" i="1" s="1"/>
  <c r="BO359" i="1"/>
  <c r="BQ359" i="1" s="1"/>
  <c r="BR359" i="1" s="1"/>
  <c r="BO339" i="1"/>
  <c r="BQ339" i="1" s="1"/>
  <c r="BR339" i="1" s="1"/>
  <c r="BO342" i="1"/>
  <c r="BQ342" i="1" s="1"/>
  <c r="BR342" i="1" s="1"/>
  <c r="BS335" i="1"/>
  <c r="BS475" i="1"/>
  <c r="BS478" i="1"/>
  <c r="BS468" i="1"/>
  <c r="BO462" i="1"/>
  <c r="BQ462" i="1" s="1"/>
  <c r="BR462" i="1" s="1"/>
  <c r="BO454" i="1"/>
  <c r="BQ454" i="1" s="1"/>
  <c r="BR454" i="1" s="1"/>
  <c r="BS454" i="1"/>
  <c r="BO457" i="1"/>
  <c r="BQ457" i="1" s="1"/>
  <c r="BR457" i="1" s="1"/>
  <c r="BS440" i="1"/>
  <c r="BO446" i="1"/>
  <c r="BQ446" i="1" s="1"/>
  <c r="BR446" i="1" s="1"/>
  <c r="BO447" i="1"/>
  <c r="BQ447" i="1" s="1"/>
  <c r="BR447" i="1" s="1"/>
  <c r="BS428" i="1"/>
  <c r="BO435" i="1"/>
  <c r="BQ435" i="1" s="1"/>
  <c r="BR435" i="1" s="1"/>
  <c r="BO424" i="1"/>
  <c r="BQ424" i="1" s="1"/>
  <c r="BR424" i="1" s="1"/>
  <c r="BS416" i="1"/>
  <c r="BO421" i="1"/>
  <c r="BQ421" i="1" s="1"/>
  <c r="BR421" i="1" s="1"/>
  <c r="BO407" i="1"/>
  <c r="BQ407" i="1" s="1"/>
  <c r="BR407" i="1" s="1"/>
  <c r="BS412" i="1"/>
  <c r="BS398" i="1"/>
  <c r="BS403" i="1"/>
  <c r="BO386" i="1"/>
  <c r="BQ386" i="1" s="1"/>
  <c r="BR386" i="1" s="1"/>
  <c r="BS384" i="1"/>
  <c r="BO374" i="1"/>
  <c r="BQ374" i="1" s="1"/>
  <c r="BR374" i="1" s="1"/>
  <c r="BO375" i="1"/>
  <c r="BQ375" i="1" s="1"/>
  <c r="BR375" i="1" s="1"/>
  <c r="BS376" i="1"/>
  <c r="BO367" i="1"/>
  <c r="BQ367" i="1" s="1"/>
  <c r="BR367" i="1" s="1"/>
  <c r="BS367" i="1"/>
  <c r="BS342" i="1"/>
  <c r="BS350" i="1"/>
  <c r="BS347" i="1"/>
  <c r="BS344" i="1"/>
  <c r="BO330" i="1"/>
  <c r="BQ330" i="1" s="1"/>
  <c r="BR330" i="1" s="1"/>
  <c r="BO328" i="1"/>
  <c r="BQ328" i="1" s="1"/>
  <c r="BR328" i="1" s="1"/>
  <c r="BS331" i="1"/>
  <c r="BS472" i="1"/>
  <c r="BS473" i="1"/>
  <c r="BS467" i="1"/>
  <c r="BO464" i="1"/>
  <c r="BQ464" i="1" s="1"/>
  <c r="BR464" i="1" s="1"/>
  <c r="BO451" i="1"/>
  <c r="BQ451" i="1" s="1"/>
  <c r="BR451" i="1" s="1"/>
  <c r="BO455" i="1"/>
  <c r="BQ455" i="1" s="1"/>
  <c r="BR455" i="1" s="1"/>
  <c r="BS451" i="1"/>
  <c r="BS442" i="1"/>
  <c r="BS445" i="1"/>
  <c r="BS443" i="1"/>
  <c r="BS435" i="1"/>
  <c r="BS408" i="1"/>
  <c r="BS419" i="1"/>
  <c r="BS407" i="1"/>
  <c r="BO414" i="1"/>
  <c r="BQ414" i="1" s="1"/>
  <c r="BR414" i="1" s="1"/>
  <c r="BS406" i="1"/>
  <c r="BO402" i="1"/>
  <c r="BQ402" i="1" s="1"/>
  <c r="BR402" i="1" s="1"/>
  <c r="BS386" i="1"/>
  <c r="BS373" i="1"/>
  <c r="BO364" i="1"/>
  <c r="BQ364" i="1" s="1"/>
  <c r="BR364" i="1" s="1"/>
  <c r="BO351" i="1"/>
  <c r="BQ351" i="1" s="1"/>
  <c r="BR351" i="1" s="1"/>
  <c r="BO345" i="1"/>
  <c r="BQ345" i="1" s="1"/>
  <c r="BR345" i="1" s="1"/>
  <c r="BO337" i="1"/>
  <c r="BQ337" i="1" s="1"/>
  <c r="BR337" i="1" s="1"/>
  <c r="BS477" i="1"/>
  <c r="BO472" i="1"/>
  <c r="BQ472" i="1" s="1"/>
  <c r="BR472" i="1" s="1"/>
  <c r="BO480" i="1"/>
  <c r="BQ480" i="1" s="1"/>
  <c r="BR480" i="1" s="1"/>
  <c r="BO452" i="1"/>
  <c r="BQ452" i="1" s="1"/>
  <c r="BR452" i="1" s="1"/>
  <c r="BO465" i="1"/>
  <c r="BQ465" i="1" s="1"/>
  <c r="BR465" i="1" s="1"/>
  <c r="BO460" i="1"/>
  <c r="BQ460" i="1" s="1"/>
  <c r="BR460" i="1" s="1"/>
  <c r="BS456" i="1"/>
  <c r="BS457" i="1"/>
  <c r="BS458" i="1"/>
  <c r="BO441" i="1"/>
  <c r="BQ441" i="1" s="1"/>
  <c r="BR441" i="1" s="1"/>
  <c r="BS434" i="1"/>
  <c r="BO433" i="1"/>
  <c r="BQ433" i="1" s="1"/>
  <c r="BR433" i="1" s="1"/>
  <c r="BO431" i="1"/>
  <c r="BQ431" i="1" s="1"/>
  <c r="BR431" i="1" s="1"/>
  <c r="BS432" i="1"/>
  <c r="BO425" i="1"/>
  <c r="BQ425" i="1" s="1"/>
  <c r="BR425" i="1" s="1"/>
  <c r="BO419" i="1"/>
  <c r="BQ419" i="1" s="1"/>
  <c r="BR419" i="1" s="1"/>
  <c r="BO416" i="1"/>
  <c r="BQ416" i="1" s="1"/>
  <c r="BR416" i="1" s="1"/>
  <c r="BO411" i="1"/>
  <c r="BQ411" i="1" s="1"/>
  <c r="BR411" i="1" s="1"/>
  <c r="BO405" i="1"/>
  <c r="BQ405" i="1" s="1"/>
  <c r="BR405" i="1" s="1"/>
  <c r="BS392" i="1"/>
  <c r="BO397" i="1"/>
  <c r="BQ397" i="1" s="1"/>
  <c r="BR397" i="1" s="1"/>
  <c r="BO396" i="1"/>
  <c r="BQ396" i="1" s="1"/>
  <c r="BR396" i="1" s="1"/>
  <c r="BS389" i="1"/>
  <c r="BO385" i="1"/>
  <c r="BQ385" i="1" s="1"/>
  <c r="BR385" i="1" s="1"/>
  <c r="BO383" i="1"/>
  <c r="BQ383" i="1" s="1"/>
  <c r="BR383" i="1" s="1"/>
  <c r="BO376" i="1"/>
  <c r="BQ376" i="1" s="1"/>
  <c r="BR376" i="1" s="1"/>
  <c r="BO378" i="1"/>
  <c r="BQ378" i="1" s="1"/>
  <c r="BR378" i="1" s="1"/>
  <c r="BS372" i="1"/>
  <c r="BO361" i="1"/>
  <c r="BQ361" i="1" s="1"/>
  <c r="BR361" i="1" s="1"/>
  <c r="BO362" i="1"/>
  <c r="BQ362" i="1" s="1"/>
  <c r="BR362" i="1" s="1"/>
  <c r="BS357" i="1"/>
  <c r="BS356" i="1"/>
  <c r="BS353" i="1"/>
  <c r="BS345" i="1"/>
  <c r="BO346" i="1"/>
  <c r="BQ346" i="1" s="1"/>
  <c r="BR346" i="1" s="1"/>
  <c r="BS330" i="1"/>
  <c r="BS328" i="1"/>
  <c r="BS336" i="1"/>
  <c r="BO473" i="1"/>
  <c r="BQ473" i="1" s="1"/>
  <c r="BR473" i="1" s="1"/>
  <c r="BS479" i="1"/>
  <c r="BS463" i="1"/>
  <c r="BO469" i="1"/>
  <c r="BQ469" i="1" s="1"/>
  <c r="BR469" i="1" s="1"/>
  <c r="BO453" i="1"/>
  <c r="BQ453" i="1" s="1"/>
  <c r="BR453" i="1" s="1"/>
  <c r="BO445" i="1"/>
  <c r="BQ445" i="1" s="1"/>
  <c r="BR445" i="1" s="1"/>
  <c r="BO458" i="1"/>
  <c r="BQ458" i="1" s="1"/>
  <c r="BR458" i="1" s="1"/>
  <c r="BS447" i="1"/>
  <c r="BS441" i="1"/>
  <c r="BO443" i="1"/>
  <c r="BQ443" i="1" s="1"/>
  <c r="BR443" i="1" s="1"/>
  <c r="BS430" i="1"/>
  <c r="BS427" i="1"/>
  <c r="BS424" i="1"/>
  <c r="BS420" i="1"/>
  <c r="BO410" i="1"/>
  <c r="BQ410" i="1" s="1"/>
  <c r="BR410" i="1" s="1"/>
  <c r="BS411" i="1"/>
  <c r="BO395" i="1"/>
  <c r="BQ395" i="1" s="1"/>
  <c r="BR395" i="1" s="1"/>
  <c r="BS401" i="1"/>
  <c r="BO391" i="1"/>
  <c r="BQ391" i="1" s="1"/>
  <c r="BR391" i="1" s="1"/>
  <c r="BS390" i="1"/>
  <c r="BS374" i="1"/>
  <c r="BS377" i="1"/>
  <c r="BS370" i="1"/>
  <c r="BO352" i="1"/>
  <c r="BQ352" i="1" s="1"/>
  <c r="BR352" i="1" s="1"/>
  <c r="BS341" i="1"/>
  <c r="BO334" i="1"/>
  <c r="BQ334" i="1" s="1"/>
  <c r="BR334" i="1" s="1"/>
  <c r="BO477" i="1"/>
  <c r="BQ477" i="1" s="1"/>
  <c r="BR477" i="1" s="1"/>
  <c r="BS474" i="1"/>
  <c r="BS461" i="1"/>
  <c r="BO466" i="1"/>
  <c r="BQ466" i="1" s="1"/>
  <c r="BR466" i="1" s="1"/>
  <c r="BS469" i="1"/>
  <c r="BS455" i="1"/>
  <c r="BS449" i="1"/>
  <c r="BO438" i="1"/>
  <c r="BQ438" i="1" s="1"/>
  <c r="BR438" i="1" s="1"/>
  <c r="BS439" i="1"/>
  <c r="BS429" i="1"/>
  <c r="BO436" i="1"/>
  <c r="BQ436" i="1" s="1"/>
  <c r="BR436" i="1" s="1"/>
  <c r="BS433" i="1"/>
  <c r="BS422" i="1"/>
  <c r="BO423" i="1"/>
  <c r="BQ423" i="1" s="1"/>
  <c r="BR423" i="1" s="1"/>
  <c r="BS425" i="1"/>
  <c r="BS405" i="1"/>
  <c r="BO408" i="1"/>
  <c r="BQ408" i="1" s="1"/>
  <c r="BR408" i="1" s="1"/>
  <c r="BS402" i="1"/>
  <c r="BO403" i="1"/>
  <c r="BQ403" i="1" s="1"/>
  <c r="BR403" i="1" s="1"/>
  <c r="BS400" i="1"/>
  <c r="BO387" i="1"/>
  <c r="BQ387" i="1" s="1"/>
  <c r="BR387" i="1" s="1"/>
  <c r="BO388" i="1"/>
  <c r="BQ388" i="1" s="1"/>
  <c r="BR388" i="1" s="1"/>
  <c r="BS387" i="1"/>
  <c r="BS381" i="1"/>
  <c r="BO379" i="1"/>
  <c r="BQ379" i="1" s="1"/>
  <c r="BR379" i="1" s="1"/>
  <c r="BO377" i="1"/>
  <c r="BQ377" i="1" s="1"/>
  <c r="BR377" i="1" s="1"/>
  <c r="BO355" i="1"/>
  <c r="BQ355" i="1" s="1"/>
  <c r="BR355" i="1" s="1"/>
  <c r="BO368" i="1"/>
  <c r="BQ368" i="1" s="1"/>
  <c r="BR368" i="1" s="1"/>
  <c r="BS355" i="1"/>
  <c r="BO354" i="1"/>
  <c r="BQ354" i="1" s="1"/>
  <c r="BR354" i="1" s="1"/>
  <c r="BO357" i="1"/>
  <c r="BQ357" i="1" s="1"/>
  <c r="BR357" i="1" s="1"/>
  <c r="BS340" i="1"/>
  <c r="BS343" i="1"/>
  <c r="BS332" i="1"/>
  <c r="BO335" i="1"/>
  <c r="BQ335" i="1" s="1"/>
  <c r="BR335" i="1" s="1"/>
  <c r="BS450" i="1"/>
  <c r="BS413" i="1"/>
  <c r="BS396" i="1"/>
  <c r="BO389" i="1"/>
  <c r="BQ389" i="1" s="1"/>
  <c r="BR389" i="1" s="1"/>
  <c r="BS363" i="1"/>
  <c r="BO358" i="1"/>
  <c r="BQ358" i="1" s="1"/>
  <c r="BR358" i="1" s="1"/>
  <c r="BO343" i="1"/>
  <c r="BQ343" i="1" s="1"/>
  <c r="BR343" i="1" s="1"/>
  <c r="BS334" i="1"/>
  <c r="BS480" i="1"/>
  <c r="BS471" i="1"/>
  <c r="BO479" i="1"/>
  <c r="BQ479" i="1" s="1"/>
  <c r="BR479" i="1" s="1"/>
  <c r="BS466" i="1"/>
  <c r="BO467" i="1"/>
  <c r="BQ467" i="1" s="1"/>
  <c r="BR467" i="1" s="1"/>
  <c r="BO463" i="1"/>
  <c r="BQ463" i="1" s="1"/>
  <c r="BR463" i="1" s="1"/>
  <c r="BO449" i="1"/>
  <c r="BQ449" i="1" s="1"/>
  <c r="BR449" i="1" s="1"/>
  <c r="BO450" i="1"/>
  <c r="BQ450" i="1" s="1"/>
  <c r="BR450" i="1" s="1"/>
  <c r="BO439" i="1"/>
  <c r="BQ439" i="1" s="1"/>
  <c r="BR439" i="1" s="1"/>
  <c r="BS446" i="1"/>
  <c r="BO428" i="1"/>
  <c r="BQ428" i="1" s="1"/>
  <c r="BR428" i="1" s="1"/>
  <c r="BS431" i="1"/>
  <c r="BO434" i="1"/>
  <c r="BQ434" i="1" s="1"/>
  <c r="BR434" i="1" s="1"/>
  <c r="BS423" i="1"/>
  <c r="BO418" i="1"/>
  <c r="BQ418" i="1" s="1"/>
  <c r="BR418" i="1" s="1"/>
  <c r="BS417" i="1"/>
  <c r="BO406" i="1"/>
  <c r="BQ406" i="1" s="1"/>
  <c r="BR406" i="1" s="1"/>
  <c r="BO412" i="1"/>
  <c r="BQ412" i="1" s="1"/>
  <c r="BR412" i="1" s="1"/>
  <c r="BS394" i="1"/>
  <c r="BO394" i="1"/>
  <c r="BQ394" i="1" s="1"/>
  <c r="BR394" i="1" s="1"/>
  <c r="BO401" i="1"/>
  <c r="BQ401" i="1" s="1"/>
  <c r="BR401" i="1" s="1"/>
  <c r="BS388" i="1"/>
  <c r="BO384" i="1"/>
  <c r="BQ384" i="1" s="1"/>
  <c r="BR384" i="1" s="1"/>
  <c r="BO390" i="1"/>
  <c r="BQ390" i="1" s="1"/>
  <c r="BR390" i="1" s="1"/>
  <c r="BS380" i="1"/>
  <c r="BO372" i="1"/>
  <c r="BQ372" i="1" s="1"/>
  <c r="BR372" i="1" s="1"/>
  <c r="BO366" i="1"/>
  <c r="BQ366" i="1" s="1"/>
  <c r="BR366" i="1" s="1"/>
  <c r="BS369" i="1"/>
  <c r="BS366" i="1"/>
  <c r="BS354" i="1"/>
  <c r="BO353" i="1"/>
  <c r="BQ353" i="1" s="1"/>
  <c r="BR353" i="1" s="1"/>
  <c r="BS358" i="1"/>
  <c r="BS339" i="1"/>
  <c r="BO344" i="1"/>
  <c r="BQ344" i="1" s="1"/>
  <c r="BR344" i="1" s="1"/>
  <c r="BS337" i="1"/>
  <c r="BS333" i="1"/>
  <c r="BO475" i="1"/>
  <c r="BQ475" i="1" s="1"/>
  <c r="BR475" i="1" s="1"/>
  <c r="BO478" i="1"/>
  <c r="BQ478" i="1" s="1"/>
  <c r="BR478" i="1" s="1"/>
  <c r="BO474" i="1"/>
  <c r="BQ474" i="1" s="1"/>
  <c r="BR474" i="1" s="1"/>
  <c r="BS460" i="1"/>
  <c r="BO461" i="1"/>
  <c r="BQ461" i="1" s="1"/>
  <c r="BR461" i="1" s="1"/>
  <c r="BS462" i="1"/>
  <c r="BS453" i="1"/>
  <c r="BS444" i="1"/>
  <c r="BO440" i="1"/>
  <c r="BQ440" i="1" s="1"/>
  <c r="BR440" i="1" s="1"/>
  <c r="BO444" i="1"/>
  <c r="BQ444" i="1" s="1"/>
  <c r="BR444" i="1" s="1"/>
  <c r="BO432" i="1"/>
  <c r="BQ432" i="1" s="1"/>
  <c r="BR432" i="1" s="1"/>
  <c r="BS418" i="1"/>
  <c r="BO417" i="1"/>
  <c r="BQ417" i="1" s="1"/>
  <c r="BR417" i="1" s="1"/>
  <c r="BS421" i="1"/>
  <c r="BO413" i="1"/>
  <c r="BQ413" i="1" s="1"/>
  <c r="BR413" i="1" s="1"/>
  <c r="BS410" i="1"/>
  <c r="BS397" i="1"/>
  <c r="BS383" i="1"/>
  <c r="BS379" i="1"/>
  <c r="BO369" i="1"/>
  <c r="BQ369" i="1" s="1"/>
  <c r="BR369" i="1" s="1"/>
  <c r="BO340" i="1"/>
  <c r="BQ340" i="1" s="1"/>
  <c r="BR340" i="1" s="1"/>
  <c r="BO332" i="1"/>
  <c r="BQ332" i="1" s="1"/>
  <c r="BR332" i="1" s="1"/>
  <c r="BS476" i="1"/>
  <c r="BO476" i="1"/>
  <c r="BQ476" i="1" s="1"/>
  <c r="BR476" i="1" s="1"/>
  <c r="BO471" i="1"/>
  <c r="BQ471" i="1" s="1"/>
  <c r="BR471" i="1" s="1"/>
  <c r="BO468" i="1"/>
  <c r="BQ468" i="1" s="1"/>
  <c r="BR468" i="1" s="1"/>
  <c r="BS464" i="1"/>
  <c r="BS465" i="1"/>
  <c r="BO456" i="1"/>
  <c r="BQ456" i="1" s="1"/>
  <c r="BR456" i="1" s="1"/>
  <c r="BS452" i="1"/>
  <c r="BO442" i="1"/>
  <c r="BQ442" i="1" s="1"/>
  <c r="BR442" i="1" s="1"/>
  <c r="BS438" i="1"/>
  <c r="BO430" i="1"/>
  <c r="BQ430" i="1" s="1"/>
  <c r="BR430" i="1" s="1"/>
  <c r="BO429" i="1"/>
  <c r="BQ429" i="1" s="1"/>
  <c r="BR429" i="1" s="1"/>
  <c r="BS436" i="1"/>
  <c r="BO422" i="1"/>
  <c r="BQ422" i="1" s="1"/>
  <c r="BR422" i="1" s="1"/>
  <c r="BO420" i="1"/>
  <c r="BQ420" i="1" s="1"/>
  <c r="BR420" i="1" s="1"/>
  <c r="BO409" i="1"/>
  <c r="BQ409" i="1" s="1"/>
  <c r="BR409" i="1" s="1"/>
  <c r="BS409" i="1"/>
  <c r="BS414" i="1"/>
  <c r="BS399" i="1"/>
  <c r="BO399" i="1"/>
  <c r="BQ399" i="1" s="1"/>
  <c r="BR399" i="1" s="1"/>
  <c r="BS395" i="1"/>
  <c r="BO365" i="1"/>
  <c r="BQ365" i="1" s="1"/>
  <c r="BR365" i="1" s="1"/>
  <c r="BS385" i="1"/>
  <c r="BO392" i="1"/>
  <c r="BQ392" i="1" s="1"/>
  <c r="BR392" i="1" s="1"/>
  <c r="BO380" i="1"/>
  <c r="BQ380" i="1" s="1"/>
  <c r="BR380" i="1" s="1"/>
  <c r="BS375" i="1"/>
  <c r="BO363" i="1"/>
  <c r="BQ363" i="1" s="1"/>
  <c r="BR363" i="1" s="1"/>
  <c r="BS361" i="1"/>
  <c r="BS364" i="1"/>
  <c r="BS351" i="1"/>
  <c r="BS359" i="1"/>
  <c r="BS352" i="1"/>
  <c r="BS346" i="1"/>
  <c r="BO348" i="1"/>
  <c r="BQ348" i="1" s="1"/>
  <c r="BR348" i="1" s="1"/>
  <c r="BO331" i="1"/>
  <c r="BQ331" i="1" s="1"/>
  <c r="BR331" i="1" s="1"/>
  <c r="BO333" i="1"/>
  <c r="BQ333" i="1" s="1"/>
  <c r="BR333" i="1" s="1"/>
  <c r="BO398" i="1"/>
  <c r="BQ398" i="1" s="1"/>
  <c r="BR398" i="1" s="1"/>
  <c r="BO381" i="1"/>
  <c r="BQ381" i="1" s="1"/>
  <c r="BR381" i="1" s="1"/>
  <c r="BS368" i="1"/>
  <c r="BO356" i="1"/>
  <c r="BQ356" i="1" s="1"/>
  <c r="BR356" i="1" s="1"/>
  <c r="BO341" i="1"/>
  <c r="BQ341" i="1" s="1"/>
  <c r="BR341" i="1" s="1"/>
  <c r="BS329" i="1"/>
  <c r="BO427" i="1"/>
  <c r="BQ427" i="1" s="1"/>
  <c r="BR427" i="1" s="1"/>
  <c r="BS391" i="1"/>
  <c r="BO373" i="1"/>
  <c r="BQ373" i="1" s="1"/>
  <c r="BR373" i="1" s="1"/>
  <c r="BS365" i="1"/>
  <c r="BS362" i="1"/>
  <c r="BS348" i="1"/>
  <c r="BO329" i="1"/>
  <c r="BQ329" i="1" s="1"/>
  <c r="BR329" i="1" s="1"/>
  <c r="BO2357" i="1"/>
  <c r="BQ2357" i="1" s="1"/>
  <c r="BR2357" i="1" s="1"/>
  <c r="BS2352" i="1"/>
  <c r="BS2351" i="1"/>
  <c r="BS2342" i="1"/>
  <c r="BS2346" i="1"/>
  <c r="BO2047" i="1"/>
  <c r="BQ2047" i="1" s="1"/>
  <c r="BR2047" i="1" s="1"/>
  <c r="BS1609" i="1"/>
  <c r="BO2043" i="1"/>
  <c r="BQ2043" i="1" s="1"/>
  <c r="BR2043" i="1" s="1"/>
  <c r="BS1616" i="1"/>
  <c r="BO1610" i="1"/>
  <c r="BQ1610" i="1" s="1"/>
  <c r="BR1610" i="1" s="1"/>
  <c r="BS1610" i="1"/>
  <c r="BS1606" i="1"/>
  <c r="BS1601" i="1"/>
  <c r="BS536" i="1"/>
  <c r="BO531" i="1"/>
  <c r="BQ531" i="1" s="1"/>
  <c r="BR531" i="1" s="1"/>
  <c r="BS532" i="1"/>
  <c r="BS2358" i="1"/>
  <c r="BO2351" i="1"/>
  <c r="BQ2351" i="1" s="1"/>
  <c r="BR2351" i="1" s="1"/>
  <c r="BS2339" i="1"/>
  <c r="BO2340" i="1"/>
  <c r="BQ2340" i="1" s="1"/>
  <c r="BR2340" i="1" s="1"/>
  <c r="BO2040" i="1"/>
  <c r="BQ2040" i="1" s="1"/>
  <c r="BR2040" i="1" s="1"/>
  <c r="BS2045" i="1"/>
  <c r="BS2046" i="1"/>
  <c r="BO1615" i="1"/>
  <c r="BQ1615" i="1" s="1"/>
  <c r="BR1615" i="1" s="1"/>
  <c r="BS1611" i="1"/>
  <c r="BO1614" i="1"/>
  <c r="BQ1614" i="1" s="1"/>
  <c r="BR1614" i="1" s="1"/>
  <c r="BS1598" i="1"/>
  <c r="BS1602" i="1"/>
  <c r="BS535" i="1"/>
  <c r="BS530" i="1"/>
  <c r="BS2354" i="1"/>
  <c r="BO2344" i="1"/>
  <c r="BQ2344" i="1" s="1"/>
  <c r="BR2344" i="1" s="1"/>
  <c r="BO2044" i="1"/>
  <c r="BQ2044" i="1" s="1"/>
  <c r="BR2044" i="1" s="1"/>
  <c r="BO1600" i="1"/>
  <c r="BQ1600" i="1" s="1"/>
  <c r="BR1600" i="1" s="1"/>
  <c r="BS2350" i="1"/>
  <c r="BO2353" i="1"/>
  <c r="BQ2353" i="1" s="1"/>
  <c r="BR2353" i="1" s="1"/>
  <c r="BO2345" i="1"/>
  <c r="BQ2345" i="1" s="1"/>
  <c r="BR2345" i="1" s="1"/>
  <c r="BS2343" i="1"/>
  <c r="BO2046" i="1"/>
  <c r="BQ2046" i="1" s="1"/>
  <c r="BR2046" i="1" s="1"/>
  <c r="BS2047" i="1"/>
  <c r="BS2041" i="1"/>
  <c r="BO1611" i="1"/>
  <c r="BQ1611" i="1" s="1"/>
  <c r="BR1611" i="1" s="1"/>
  <c r="BS1614" i="1"/>
  <c r="BO1617" i="1"/>
  <c r="BQ1617" i="1" s="1"/>
  <c r="BR1617" i="1" s="1"/>
  <c r="BO1606" i="1"/>
  <c r="BQ1606" i="1" s="1"/>
  <c r="BR1606" i="1" s="1"/>
  <c r="BO1598" i="1"/>
  <c r="BQ1598" i="1" s="1"/>
  <c r="BR1598" i="1" s="1"/>
  <c r="BS533" i="1"/>
  <c r="BO537" i="1"/>
  <c r="BQ537" i="1" s="1"/>
  <c r="BR537" i="1" s="1"/>
  <c r="BO532" i="1"/>
  <c r="BQ532" i="1" s="1"/>
  <c r="BR532" i="1" s="1"/>
  <c r="BS2039" i="1"/>
  <c r="BO533" i="1"/>
  <c r="BQ533" i="1" s="1"/>
  <c r="BR533" i="1" s="1"/>
  <c r="BO2359" i="1"/>
  <c r="BQ2359" i="1" s="1"/>
  <c r="BR2359" i="1" s="1"/>
  <c r="BS2040" i="1"/>
  <c r="BO2042" i="1"/>
  <c r="BQ2042" i="1" s="1"/>
  <c r="BR2042" i="1" s="1"/>
  <c r="BS1607" i="1"/>
  <c r="BS1605" i="1"/>
  <c r="BO2350" i="1"/>
  <c r="BQ2350" i="1" s="1"/>
  <c r="BR2350" i="1" s="1"/>
  <c r="BS2355" i="1"/>
  <c r="BS2347" i="1"/>
  <c r="BS2344" i="1"/>
  <c r="BO2346" i="1"/>
  <c r="BQ2346" i="1" s="1"/>
  <c r="BR2346" i="1" s="1"/>
  <c r="BS2044" i="1"/>
  <c r="BO2045" i="1"/>
  <c r="BQ2045" i="1" s="1"/>
  <c r="BR2045" i="1" s="1"/>
  <c r="BO1616" i="1"/>
  <c r="BQ1616" i="1" s="1"/>
  <c r="BR1616" i="1" s="1"/>
  <c r="BS1615" i="1"/>
  <c r="BO1607" i="1"/>
  <c r="BQ1607" i="1" s="1"/>
  <c r="BR1607" i="1" s="1"/>
  <c r="BO1599" i="1"/>
  <c r="BQ1599" i="1" s="1"/>
  <c r="BR1599" i="1" s="1"/>
  <c r="BO1603" i="1"/>
  <c r="BQ1603" i="1" s="1"/>
  <c r="BR1603" i="1" s="1"/>
  <c r="BS534" i="1"/>
  <c r="BO535" i="1"/>
  <c r="BQ535" i="1" s="1"/>
  <c r="BR535" i="1" s="1"/>
  <c r="BS531" i="1"/>
  <c r="BS2353" i="1"/>
  <c r="BS2341" i="1"/>
  <c r="BS1612" i="1"/>
  <c r="BS1599" i="1"/>
  <c r="BO1605" i="1"/>
  <c r="BQ1605" i="1" s="1"/>
  <c r="BR1605" i="1" s="1"/>
  <c r="BO2352" i="1"/>
  <c r="BQ2352" i="1" s="1"/>
  <c r="BR2352" i="1" s="1"/>
  <c r="BO2358" i="1"/>
  <c r="BQ2358" i="1" s="1"/>
  <c r="BR2358" i="1" s="1"/>
  <c r="BO2341" i="1"/>
  <c r="BQ2341" i="1" s="1"/>
  <c r="BR2341" i="1" s="1"/>
  <c r="BO2339" i="1"/>
  <c r="BQ2339" i="1" s="1"/>
  <c r="BR2339" i="1" s="1"/>
  <c r="BO2342" i="1"/>
  <c r="BQ2342" i="1" s="1"/>
  <c r="BR2342" i="1" s="1"/>
  <c r="BO2048" i="1"/>
  <c r="BQ2048" i="1" s="1"/>
  <c r="BR2048" i="1" s="1"/>
  <c r="BO2041" i="1"/>
  <c r="BQ2041" i="1" s="1"/>
  <c r="BR2041" i="1" s="1"/>
  <c r="BO1613" i="1"/>
  <c r="BQ1613" i="1" s="1"/>
  <c r="BR1613" i="1" s="1"/>
  <c r="BO1609" i="1"/>
  <c r="BQ1609" i="1" s="1"/>
  <c r="BR1609" i="1" s="1"/>
  <c r="BO1604" i="1"/>
  <c r="BQ1604" i="1" s="1"/>
  <c r="BR1604" i="1" s="1"/>
  <c r="BO1601" i="1"/>
  <c r="BQ1601" i="1" s="1"/>
  <c r="BR1601" i="1" s="1"/>
  <c r="BS1604" i="1"/>
  <c r="BS538" i="1"/>
  <c r="BO529" i="1"/>
  <c r="BQ529" i="1" s="1"/>
  <c r="BR529" i="1" s="1"/>
  <c r="BO538" i="1"/>
  <c r="BQ538" i="1" s="1"/>
  <c r="BR538" i="1" s="1"/>
  <c r="BO2354" i="1"/>
  <c r="BQ2354" i="1" s="1"/>
  <c r="BR2354" i="1" s="1"/>
  <c r="BS2348" i="1"/>
  <c r="BO2039" i="1"/>
  <c r="BQ2039" i="1" s="1"/>
  <c r="BR2039" i="1" s="1"/>
  <c r="BS1618" i="1"/>
  <c r="BS529" i="1"/>
  <c r="BS2356" i="1"/>
  <c r="BS2359" i="1"/>
  <c r="BS2357" i="1"/>
  <c r="BS2340" i="1"/>
  <c r="BS2345" i="1"/>
  <c r="BO2343" i="1"/>
  <c r="BQ2343" i="1" s="1"/>
  <c r="BR2343" i="1" s="1"/>
  <c r="BS2042" i="1"/>
  <c r="BS2048" i="1"/>
  <c r="BS1613" i="1"/>
  <c r="BS1617" i="1"/>
  <c r="BS1603" i="1"/>
  <c r="BO1602" i="1"/>
  <c r="BQ1602" i="1" s="1"/>
  <c r="BR1602" i="1" s="1"/>
  <c r="BS537" i="1"/>
  <c r="BO530" i="1"/>
  <c r="BQ530" i="1" s="1"/>
  <c r="BR530" i="1" s="1"/>
  <c r="BO2356" i="1"/>
  <c r="BQ2356" i="1" s="1"/>
  <c r="BR2356" i="1" s="1"/>
  <c r="BO2348" i="1"/>
  <c r="BQ2348" i="1" s="1"/>
  <c r="BR2348" i="1" s="1"/>
  <c r="BO1612" i="1"/>
  <c r="BQ1612" i="1" s="1"/>
  <c r="BR1612" i="1" s="1"/>
  <c r="BO536" i="1"/>
  <c r="BQ536" i="1" s="1"/>
  <c r="BR536" i="1" s="1"/>
  <c r="BO2355" i="1"/>
  <c r="BQ2355" i="1" s="1"/>
  <c r="BR2355" i="1" s="1"/>
  <c r="BO2347" i="1"/>
  <c r="BQ2347" i="1" s="1"/>
  <c r="BR2347" i="1" s="1"/>
  <c r="BS2043" i="1"/>
  <c r="BO1618" i="1"/>
  <c r="BQ1618" i="1" s="1"/>
  <c r="BR1618" i="1" s="1"/>
  <c r="BS1600" i="1"/>
  <c r="BO534" i="1"/>
  <c r="BQ534" i="1" s="1"/>
  <c r="BR534" i="1" s="1"/>
  <c r="BO585" i="1"/>
  <c r="BQ585" i="1" s="1"/>
  <c r="BR585" i="1" s="1"/>
  <c r="BO603" i="1"/>
  <c r="BQ603" i="1" s="1"/>
  <c r="BR603" i="1" s="1"/>
  <c r="BO597" i="1"/>
  <c r="BQ597" i="1" s="1"/>
  <c r="BR597" i="1" s="1"/>
  <c r="BS587" i="1"/>
  <c r="BO590" i="1"/>
  <c r="BQ590" i="1" s="1"/>
  <c r="BR590" i="1" s="1"/>
  <c r="BO589" i="1"/>
  <c r="BQ589" i="1" s="1"/>
  <c r="BR589" i="1" s="1"/>
  <c r="BS583" i="1"/>
  <c r="BS581" i="1"/>
  <c r="BO580" i="1"/>
  <c r="BQ580" i="1" s="1"/>
  <c r="BR580" i="1" s="1"/>
  <c r="BS563" i="1"/>
  <c r="BO567" i="1"/>
  <c r="BQ567" i="1" s="1"/>
  <c r="BR567" i="1" s="1"/>
  <c r="BO575" i="1"/>
  <c r="BQ575" i="1" s="1"/>
  <c r="BR575" i="1" s="1"/>
  <c r="BS602" i="1"/>
  <c r="BO576" i="1"/>
  <c r="BQ576" i="1" s="1"/>
  <c r="BR576" i="1" s="1"/>
  <c r="BS577" i="1"/>
  <c r="BS605" i="1"/>
  <c r="BS570" i="1"/>
  <c r="BO602" i="1"/>
  <c r="BQ602" i="1" s="1"/>
  <c r="BR602" i="1" s="1"/>
  <c r="BO599" i="1"/>
  <c r="BQ599" i="1" s="1"/>
  <c r="BR599" i="1" s="1"/>
  <c r="BO593" i="1"/>
  <c r="BQ593" i="1" s="1"/>
  <c r="BR593" i="1" s="1"/>
  <c r="BO588" i="1"/>
  <c r="BQ588" i="1" s="1"/>
  <c r="BR588" i="1" s="1"/>
  <c r="BS576" i="1"/>
  <c r="BS579" i="1"/>
  <c r="BO568" i="1"/>
  <c r="BQ568" i="1" s="1"/>
  <c r="BR568" i="1" s="1"/>
  <c r="BS569" i="1"/>
  <c r="BS565" i="1"/>
  <c r="BS593" i="1"/>
  <c r="BO586" i="1"/>
  <c r="BQ586" i="1" s="1"/>
  <c r="BR586" i="1" s="1"/>
  <c r="BS575" i="1"/>
  <c r="BS603" i="1"/>
  <c r="BO605" i="1"/>
  <c r="BQ605" i="1" s="1"/>
  <c r="BR605" i="1" s="1"/>
  <c r="BO601" i="1"/>
  <c r="BQ601" i="1" s="1"/>
  <c r="BR601" i="1" s="1"/>
  <c r="BS591" i="1"/>
  <c r="BO594" i="1"/>
  <c r="BQ594" i="1" s="1"/>
  <c r="BR594" i="1" s="1"/>
  <c r="BS578" i="1"/>
  <c r="BO582" i="1"/>
  <c r="BQ582" i="1" s="1"/>
  <c r="BR582" i="1" s="1"/>
  <c r="BO563" i="1"/>
  <c r="BQ563" i="1" s="1"/>
  <c r="BR563" i="1" s="1"/>
  <c r="BO565" i="1"/>
  <c r="BQ565" i="1" s="1"/>
  <c r="BR565" i="1" s="1"/>
  <c r="BS564" i="1"/>
  <c r="BO596" i="1"/>
  <c r="BQ596" i="1" s="1"/>
  <c r="BR596" i="1" s="1"/>
  <c r="BS588" i="1"/>
  <c r="BS574" i="1"/>
  <c r="BS571" i="1"/>
  <c r="BS585" i="1"/>
  <c r="BS568" i="1"/>
  <c r="BS601" i="1"/>
  <c r="BS599" i="1"/>
  <c r="BS596" i="1"/>
  <c r="BS589" i="1"/>
  <c r="BS590" i="1"/>
  <c r="BS572" i="1"/>
  <c r="BO581" i="1"/>
  <c r="BQ581" i="1" s="1"/>
  <c r="BR581" i="1" s="1"/>
  <c r="BO574" i="1"/>
  <c r="BQ574" i="1" s="1"/>
  <c r="BR574" i="1" s="1"/>
  <c r="BO564" i="1"/>
  <c r="BQ564" i="1" s="1"/>
  <c r="BR564" i="1" s="1"/>
  <c r="BS567" i="1"/>
  <c r="BO604" i="1"/>
  <c r="BQ604" i="1" s="1"/>
  <c r="BR604" i="1" s="1"/>
  <c r="BO571" i="1"/>
  <c r="BQ571" i="1" s="1"/>
  <c r="BR571" i="1" s="1"/>
  <c r="BO600" i="1"/>
  <c r="BQ600" i="1" s="1"/>
  <c r="BR600" i="1" s="1"/>
  <c r="BS594" i="1"/>
  <c r="BO566" i="1"/>
  <c r="BQ566" i="1" s="1"/>
  <c r="BR566" i="1" s="1"/>
  <c r="BS598" i="1"/>
  <c r="BS600" i="1"/>
  <c r="BS597" i="1"/>
  <c r="BO587" i="1"/>
  <c r="BQ587" i="1" s="1"/>
  <c r="BR587" i="1" s="1"/>
  <c r="BS592" i="1"/>
  <c r="BS580" i="1"/>
  <c r="BO577" i="1"/>
  <c r="BQ577" i="1" s="1"/>
  <c r="BR577" i="1" s="1"/>
  <c r="BO583" i="1"/>
  <c r="BQ583" i="1" s="1"/>
  <c r="BR583" i="1" s="1"/>
  <c r="BO570" i="1"/>
  <c r="BQ570" i="1" s="1"/>
  <c r="BR570" i="1" s="1"/>
  <c r="BO569" i="1"/>
  <c r="BQ569" i="1" s="1"/>
  <c r="BR569" i="1" s="1"/>
  <c r="BS586" i="1"/>
  <c r="BS566" i="1"/>
  <c r="BS582" i="1"/>
  <c r="BO591" i="1"/>
  <c r="BQ591" i="1" s="1"/>
  <c r="BR591" i="1" s="1"/>
  <c r="BO572" i="1"/>
  <c r="BQ572" i="1" s="1"/>
  <c r="BR572" i="1" s="1"/>
  <c r="BO598" i="1"/>
  <c r="BQ598" i="1" s="1"/>
  <c r="BR598" i="1" s="1"/>
  <c r="BS604" i="1"/>
  <c r="BO578" i="1"/>
  <c r="BQ578" i="1" s="1"/>
  <c r="BR578" i="1" s="1"/>
  <c r="BO579" i="1"/>
  <c r="BQ579" i="1" s="1"/>
  <c r="BR579" i="1" s="1"/>
  <c r="BO592" i="1"/>
  <c r="BQ592" i="1" s="1"/>
  <c r="BR592" i="1" s="1"/>
  <c r="BS791" i="1"/>
  <c r="BO786" i="1"/>
  <c r="BQ786" i="1" s="1"/>
  <c r="BR786" i="1" s="1"/>
  <c r="BS783" i="1"/>
  <c r="BO775" i="1"/>
  <c r="BQ775" i="1" s="1"/>
  <c r="BR775" i="1" s="1"/>
  <c r="BS772" i="1"/>
  <c r="BO777" i="1"/>
  <c r="BQ777" i="1" s="1"/>
  <c r="BR777" i="1" s="1"/>
  <c r="BS770" i="1"/>
  <c r="BS764" i="1"/>
  <c r="BO751" i="1"/>
  <c r="BQ751" i="1" s="1"/>
  <c r="BR751" i="1" s="1"/>
  <c r="BS752" i="1"/>
  <c r="BO759" i="1"/>
  <c r="BQ759" i="1" s="1"/>
  <c r="BR759" i="1" s="1"/>
  <c r="BS744" i="1"/>
  <c r="BS746" i="1"/>
  <c r="BO731" i="1"/>
  <c r="BQ731" i="1" s="1"/>
  <c r="BR731" i="1" s="1"/>
  <c r="BS732" i="1"/>
  <c r="BS730" i="1"/>
  <c r="BS724" i="1"/>
  <c r="BO721" i="1"/>
  <c r="BQ721" i="1" s="1"/>
  <c r="BR721" i="1" s="1"/>
  <c r="BO711" i="1"/>
  <c r="BQ711" i="1" s="1"/>
  <c r="BR711" i="1" s="1"/>
  <c r="BO706" i="1"/>
  <c r="BQ706" i="1" s="1"/>
  <c r="BR706" i="1" s="1"/>
  <c r="BS715" i="1"/>
  <c r="BO692" i="1"/>
  <c r="BQ692" i="1" s="1"/>
  <c r="BR692" i="1" s="1"/>
  <c r="BO702" i="1"/>
  <c r="BQ702" i="1" s="1"/>
  <c r="BR702" i="1" s="1"/>
  <c r="BS690" i="1"/>
  <c r="BO687" i="1"/>
  <c r="BQ687" i="1" s="1"/>
  <c r="BR687" i="1" s="1"/>
  <c r="BS688" i="1"/>
  <c r="BS682" i="1"/>
  <c r="BO682" i="1"/>
  <c r="BQ682" i="1" s="1"/>
  <c r="BR682" i="1" s="1"/>
  <c r="BO670" i="1"/>
  <c r="BQ670" i="1" s="1"/>
  <c r="BR670" i="1" s="1"/>
  <c r="BS666" i="1"/>
  <c r="BO669" i="1"/>
  <c r="BQ669" i="1" s="1"/>
  <c r="BR669" i="1" s="1"/>
  <c r="BS729" i="1"/>
  <c r="BO700" i="1"/>
  <c r="BQ700" i="1" s="1"/>
  <c r="BR700" i="1" s="1"/>
  <c r="BS671" i="1"/>
  <c r="BO785" i="1"/>
  <c r="BQ785" i="1" s="1"/>
  <c r="BR785" i="1" s="1"/>
  <c r="BS766" i="1"/>
  <c r="BS747" i="1"/>
  <c r="BS714" i="1"/>
  <c r="BS677" i="1"/>
  <c r="BO776" i="1"/>
  <c r="BQ776" i="1" s="1"/>
  <c r="BR776" i="1" s="1"/>
  <c r="BS785" i="1"/>
  <c r="BS777" i="1"/>
  <c r="BO778" i="1"/>
  <c r="BQ778" i="1" s="1"/>
  <c r="BR778" i="1" s="1"/>
  <c r="BO770" i="1"/>
  <c r="BQ770" i="1" s="1"/>
  <c r="BR770" i="1" s="1"/>
  <c r="BS763" i="1"/>
  <c r="BS767" i="1"/>
  <c r="BS755" i="1"/>
  <c r="BS757" i="1"/>
  <c r="BS740" i="1"/>
  <c r="BO746" i="1"/>
  <c r="BQ746" i="1" s="1"/>
  <c r="BR746" i="1" s="1"/>
  <c r="BS722" i="1"/>
  <c r="BS731" i="1"/>
  <c r="BO717" i="1"/>
  <c r="BQ717" i="1" s="1"/>
  <c r="BR717" i="1" s="1"/>
  <c r="BS723" i="1"/>
  <c r="BS719" i="1"/>
  <c r="BS709" i="1"/>
  <c r="BS711" i="1"/>
  <c r="BS701" i="1"/>
  <c r="BO699" i="1"/>
  <c r="BQ699" i="1" s="1"/>
  <c r="BR699" i="1" s="1"/>
  <c r="BS689" i="1"/>
  <c r="BS673" i="1"/>
  <c r="BO693" i="1"/>
  <c r="BQ693" i="1" s="1"/>
  <c r="BR693" i="1" s="1"/>
  <c r="BS669" i="1"/>
  <c r="BO676" i="1"/>
  <c r="BQ676" i="1" s="1"/>
  <c r="BR676" i="1" s="1"/>
  <c r="BO663" i="1"/>
  <c r="BQ663" i="1" s="1"/>
  <c r="BR663" i="1" s="1"/>
  <c r="BO667" i="1"/>
  <c r="BQ667" i="1" s="1"/>
  <c r="BR667" i="1" s="1"/>
  <c r="BS696" i="1"/>
  <c r="BS784" i="1"/>
  <c r="BS788" i="1"/>
  <c r="BS776" i="1"/>
  <c r="BO773" i="1"/>
  <c r="BQ773" i="1" s="1"/>
  <c r="BR773" i="1" s="1"/>
  <c r="BO762" i="1"/>
  <c r="BQ762" i="1" s="1"/>
  <c r="BR762" i="1" s="1"/>
  <c r="BO765" i="1"/>
  <c r="BQ765" i="1" s="1"/>
  <c r="BR765" i="1" s="1"/>
  <c r="BO769" i="1"/>
  <c r="BQ769" i="1" s="1"/>
  <c r="BR769" i="1" s="1"/>
  <c r="BO754" i="1"/>
  <c r="BQ754" i="1" s="1"/>
  <c r="BR754" i="1" s="1"/>
  <c r="BS758" i="1"/>
  <c r="BS737" i="1"/>
  <c r="BO744" i="1"/>
  <c r="BQ744" i="1" s="1"/>
  <c r="BR744" i="1" s="1"/>
  <c r="BO740" i="1"/>
  <c r="BQ740" i="1" s="1"/>
  <c r="BR740" i="1" s="1"/>
  <c r="BS736" i="1"/>
  <c r="BS733" i="1"/>
  <c r="BO724" i="1"/>
  <c r="BQ724" i="1" s="1"/>
  <c r="BR724" i="1" s="1"/>
  <c r="BO723" i="1"/>
  <c r="BQ723" i="1" s="1"/>
  <c r="BR723" i="1" s="1"/>
  <c r="BS708" i="1"/>
  <c r="BS710" i="1"/>
  <c r="BS700" i="1"/>
  <c r="BS703" i="1"/>
  <c r="BO696" i="1"/>
  <c r="BQ696" i="1" s="1"/>
  <c r="BR696" i="1" s="1"/>
  <c r="BS691" i="1"/>
  <c r="BS685" i="1"/>
  <c r="BO684" i="1"/>
  <c r="BQ684" i="1" s="1"/>
  <c r="BR684" i="1" s="1"/>
  <c r="BS681" i="1"/>
  <c r="BO675" i="1"/>
  <c r="BQ675" i="1" s="1"/>
  <c r="BR675" i="1" s="1"/>
  <c r="BS670" i="1"/>
  <c r="BS667" i="1"/>
  <c r="BO788" i="1"/>
  <c r="BQ788" i="1" s="1"/>
  <c r="BR788" i="1" s="1"/>
  <c r="BS789" i="1"/>
  <c r="BS790" i="1"/>
  <c r="BO779" i="1"/>
  <c r="BQ779" i="1" s="1"/>
  <c r="BR779" i="1" s="1"/>
  <c r="BO774" i="1"/>
  <c r="BQ774" i="1" s="1"/>
  <c r="BR774" i="1" s="1"/>
  <c r="BO763" i="1"/>
  <c r="BQ763" i="1" s="1"/>
  <c r="BR763" i="1" s="1"/>
  <c r="BO764" i="1"/>
  <c r="BQ764" i="1" s="1"/>
  <c r="BR764" i="1" s="1"/>
  <c r="BO761" i="1"/>
  <c r="BQ761" i="1" s="1"/>
  <c r="BR761" i="1" s="1"/>
  <c r="BS750" i="1"/>
  <c r="BO750" i="1"/>
  <c r="BQ750" i="1" s="1"/>
  <c r="BR750" i="1" s="1"/>
  <c r="BS745" i="1"/>
  <c r="BO747" i="1"/>
  <c r="BQ747" i="1" s="1"/>
  <c r="BR747" i="1" s="1"/>
  <c r="BS742" i="1"/>
  <c r="BO736" i="1"/>
  <c r="BQ736" i="1" s="1"/>
  <c r="BR736" i="1" s="1"/>
  <c r="BS728" i="1"/>
  <c r="BO734" i="1"/>
  <c r="BQ734" i="1" s="1"/>
  <c r="BR734" i="1" s="1"/>
  <c r="BO725" i="1"/>
  <c r="BQ725" i="1" s="1"/>
  <c r="BR725" i="1" s="1"/>
  <c r="BS720" i="1"/>
  <c r="BO726" i="1"/>
  <c r="BQ726" i="1" s="1"/>
  <c r="BR726" i="1" s="1"/>
  <c r="BO708" i="1"/>
  <c r="BQ708" i="1" s="1"/>
  <c r="BR708" i="1" s="1"/>
  <c r="BS712" i="1"/>
  <c r="BS695" i="1"/>
  <c r="BO698" i="1"/>
  <c r="BQ698" i="1" s="1"/>
  <c r="BR698" i="1" s="1"/>
  <c r="BO704" i="1"/>
  <c r="BQ704" i="1" s="1"/>
  <c r="BR704" i="1" s="1"/>
  <c r="BO686" i="1"/>
  <c r="BQ686" i="1" s="1"/>
  <c r="BR686" i="1" s="1"/>
  <c r="BS686" i="1"/>
  <c r="BS679" i="1"/>
  <c r="BO679" i="1"/>
  <c r="BQ679" i="1" s="1"/>
  <c r="BR679" i="1" s="1"/>
  <c r="BO673" i="1"/>
  <c r="BQ673" i="1" s="1"/>
  <c r="BR673" i="1" s="1"/>
  <c r="BO664" i="1"/>
  <c r="BQ664" i="1" s="1"/>
  <c r="BR664" i="1" s="1"/>
  <c r="BS662" i="1"/>
  <c r="BS665" i="1"/>
  <c r="BO668" i="1"/>
  <c r="BQ668" i="1" s="1"/>
  <c r="BR668" i="1" s="1"/>
  <c r="BO755" i="1"/>
  <c r="BQ755" i="1" s="1"/>
  <c r="BR755" i="1" s="1"/>
  <c r="BO710" i="1"/>
  <c r="BQ710" i="1" s="1"/>
  <c r="BR710" i="1" s="1"/>
  <c r="BO688" i="1"/>
  <c r="BQ688" i="1" s="1"/>
  <c r="BR688" i="1" s="1"/>
  <c r="BO790" i="1"/>
  <c r="BQ790" i="1" s="1"/>
  <c r="BR790" i="1" s="1"/>
  <c r="BO784" i="1"/>
  <c r="BQ784" i="1" s="1"/>
  <c r="BR784" i="1" s="1"/>
  <c r="BS775" i="1"/>
  <c r="BS781" i="1"/>
  <c r="BS769" i="1"/>
  <c r="BO766" i="1"/>
  <c r="BQ766" i="1" s="1"/>
  <c r="BR766" i="1" s="1"/>
  <c r="BO768" i="1"/>
  <c r="BQ768" i="1" s="1"/>
  <c r="BR768" i="1" s="1"/>
  <c r="BO752" i="1"/>
  <c r="BQ752" i="1" s="1"/>
  <c r="BR752" i="1" s="1"/>
  <c r="BO753" i="1"/>
  <c r="BQ753" i="1" s="1"/>
  <c r="BR753" i="1" s="1"/>
  <c r="BS741" i="1"/>
  <c r="BO745" i="1"/>
  <c r="BQ745" i="1" s="1"/>
  <c r="BR745" i="1" s="1"/>
  <c r="BO739" i="1"/>
  <c r="BQ739" i="1" s="1"/>
  <c r="BR739" i="1" s="1"/>
  <c r="BO732" i="1"/>
  <c r="BQ732" i="1" s="1"/>
  <c r="BR732" i="1" s="1"/>
  <c r="BO728" i="1"/>
  <c r="BQ728" i="1" s="1"/>
  <c r="BR728" i="1" s="1"/>
  <c r="BO733" i="1"/>
  <c r="BQ733" i="1" s="1"/>
  <c r="BR733" i="1" s="1"/>
  <c r="BS721" i="1"/>
  <c r="BO719" i="1"/>
  <c r="BQ719" i="1" s="1"/>
  <c r="BR719" i="1" s="1"/>
  <c r="BS718" i="1"/>
  <c r="BO709" i="1"/>
  <c r="BQ709" i="1" s="1"/>
  <c r="BR709" i="1" s="1"/>
  <c r="BO713" i="1"/>
  <c r="BQ713" i="1" s="1"/>
  <c r="BR713" i="1" s="1"/>
  <c r="BS697" i="1"/>
  <c r="BS702" i="1"/>
  <c r="BO697" i="1"/>
  <c r="BQ697" i="1" s="1"/>
  <c r="BR697" i="1" s="1"/>
  <c r="BO689" i="1"/>
  <c r="BQ689" i="1" s="1"/>
  <c r="BR689" i="1" s="1"/>
  <c r="BS684" i="1"/>
  <c r="BS680" i="1"/>
  <c r="BO677" i="1"/>
  <c r="BQ677" i="1" s="1"/>
  <c r="BR677" i="1" s="1"/>
  <c r="BS675" i="1"/>
  <c r="BO666" i="1"/>
  <c r="BQ666" i="1" s="1"/>
  <c r="BR666" i="1" s="1"/>
  <c r="BO662" i="1"/>
  <c r="BQ662" i="1" s="1"/>
  <c r="BR662" i="1" s="1"/>
  <c r="BS664" i="1"/>
  <c r="BO787" i="1"/>
  <c r="BQ787" i="1" s="1"/>
  <c r="BR787" i="1" s="1"/>
  <c r="BS780" i="1"/>
  <c r="BS765" i="1"/>
  <c r="BS756" i="1"/>
  <c r="BS748" i="1"/>
  <c r="BO718" i="1"/>
  <c r="BQ718" i="1" s="1"/>
  <c r="BR718" i="1" s="1"/>
  <c r="BS707" i="1"/>
  <c r="BS699" i="1"/>
  <c r="BO685" i="1"/>
  <c r="BQ685" i="1" s="1"/>
  <c r="BR685" i="1" s="1"/>
  <c r="BO678" i="1"/>
  <c r="BQ678" i="1" s="1"/>
  <c r="BR678" i="1" s="1"/>
  <c r="BO791" i="1"/>
  <c r="BQ791" i="1" s="1"/>
  <c r="BR791" i="1" s="1"/>
  <c r="BS778" i="1"/>
  <c r="BS759" i="1"/>
  <c r="BS734" i="1"/>
  <c r="BS693" i="1"/>
  <c r="BS668" i="1"/>
  <c r="BS787" i="1"/>
  <c r="BO783" i="1"/>
  <c r="BQ783" i="1" s="1"/>
  <c r="BR783" i="1" s="1"/>
  <c r="BS792" i="1"/>
  <c r="BS779" i="1"/>
  <c r="BO757" i="1"/>
  <c r="BQ757" i="1" s="1"/>
  <c r="BR757" i="1" s="1"/>
  <c r="BO772" i="1"/>
  <c r="BQ772" i="1" s="1"/>
  <c r="BR772" i="1" s="1"/>
  <c r="BS761" i="1"/>
  <c r="BO767" i="1"/>
  <c r="BQ767" i="1" s="1"/>
  <c r="BR767" i="1" s="1"/>
  <c r="BO758" i="1"/>
  <c r="BQ758" i="1" s="1"/>
  <c r="BR758" i="1" s="1"/>
  <c r="BO756" i="1"/>
  <c r="BQ756" i="1" s="1"/>
  <c r="BR756" i="1" s="1"/>
  <c r="BS751" i="1"/>
  <c r="BS739" i="1"/>
  <c r="BS743" i="1"/>
  <c r="BO743" i="1"/>
  <c r="BQ743" i="1" s="1"/>
  <c r="BR743" i="1" s="1"/>
  <c r="BO737" i="1"/>
  <c r="BQ737" i="1" s="1"/>
  <c r="BR737" i="1" s="1"/>
  <c r="BO730" i="1"/>
  <c r="BQ730" i="1" s="1"/>
  <c r="BR730" i="1" s="1"/>
  <c r="BS717" i="1"/>
  <c r="BS725" i="1"/>
  <c r="BO722" i="1"/>
  <c r="BQ722" i="1" s="1"/>
  <c r="BR722" i="1" s="1"/>
  <c r="BO712" i="1"/>
  <c r="BQ712" i="1" s="1"/>
  <c r="BR712" i="1" s="1"/>
  <c r="BO707" i="1"/>
  <c r="BQ707" i="1" s="1"/>
  <c r="BR707" i="1" s="1"/>
  <c r="BO714" i="1"/>
  <c r="BQ714" i="1" s="1"/>
  <c r="BR714" i="1" s="1"/>
  <c r="BO701" i="1"/>
  <c r="BQ701" i="1" s="1"/>
  <c r="BR701" i="1" s="1"/>
  <c r="BS704" i="1"/>
  <c r="BO703" i="1"/>
  <c r="BQ703" i="1" s="1"/>
  <c r="BR703" i="1" s="1"/>
  <c r="BO691" i="1"/>
  <c r="BQ691" i="1" s="1"/>
  <c r="BR691" i="1" s="1"/>
  <c r="BS692" i="1"/>
  <c r="BS674" i="1"/>
  <c r="BO680" i="1"/>
  <c r="BQ680" i="1" s="1"/>
  <c r="BR680" i="1" s="1"/>
  <c r="BS676" i="1"/>
  <c r="BO671" i="1"/>
  <c r="BQ671" i="1" s="1"/>
  <c r="BR671" i="1" s="1"/>
  <c r="BO665" i="1"/>
  <c r="BQ665" i="1" s="1"/>
  <c r="BR665" i="1" s="1"/>
  <c r="BS786" i="1"/>
  <c r="BS768" i="1"/>
  <c r="BS754" i="1"/>
  <c r="BO748" i="1"/>
  <c r="BQ748" i="1" s="1"/>
  <c r="BR748" i="1" s="1"/>
  <c r="BO735" i="1"/>
  <c r="BQ735" i="1" s="1"/>
  <c r="BR735" i="1" s="1"/>
  <c r="BS706" i="1"/>
  <c r="BS698" i="1"/>
  <c r="BS687" i="1"/>
  <c r="BO674" i="1"/>
  <c r="BQ674" i="1" s="1"/>
  <c r="BR674" i="1" s="1"/>
  <c r="BO780" i="1"/>
  <c r="BQ780" i="1" s="1"/>
  <c r="BR780" i="1" s="1"/>
  <c r="BS762" i="1"/>
  <c r="BS735" i="1"/>
  <c r="BS713" i="1"/>
  <c r="BS678" i="1"/>
  <c r="BO789" i="1"/>
  <c r="BQ789" i="1" s="1"/>
  <c r="BR789" i="1" s="1"/>
  <c r="BO792" i="1"/>
  <c r="BQ792" i="1" s="1"/>
  <c r="BR792" i="1" s="1"/>
  <c r="BO781" i="1"/>
  <c r="BQ781" i="1" s="1"/>
  <c r="BR781" i="1" s="1"/>
  <c r="BS773" i="1"/>
  <c r="BS753" i="1"/>
  <c r="BO741" i="1"/>
  <c r="BQ741" i="1" s="1"/>
  <c r="BR741" i="1" s="1"/>
  <c r="BO729" i="1"/>
  <c r="BQ729" i="1" s="1"/>
  <c r="BR729" i="1" s="1"/>
  <c r="BS726" i="1"/>
  <c r="BO715" i="1"/>
  <c r="BQ715" i="1" s="1"/>
  <c r="BR715" i="1" s="1"/>
  <c r="BO695" i="1"/>
  <c r="BQ695" i="1" s="1"/>
  <c r="BR695" i="1" s="1"/>
  <c r="BO681" i="1"/>
  <c r="BQ681" i="1" s="1"/>
  <c r="BR681" i="1" s="1"/>
  <c r="BS663" i="1"/>
  <c r="BS774" i="1"/>
  <c r="BO742" i="1"/>
  <c r="BQ742" i="1" s="1"/>
  <c r="BR742" i="1" s="1"/>
  <c r="BO720" i="1"/>
  <c r="BQ720" i="1" s="1"/>
  <c r="BR720" i="1" s="1"/>
  <c r="BO690" i="1"/>
  <c r="BQ690" i="1" s="1"/>
  <c r="BR690" i="1" s="1"/>
  <c r="BS2692" i="1"/>
  <c r="BS2696" i="1"/>
  <c r="BO2682" i="1"/>
  <c r="BQ2682" i="1" s="1"/>
  <c r="BR2682" i="1" s="1"/>
  <c r="BS2681" i="1"/>
  <c r="BS2612" i="1"/>
  <c r="BS2606" i="1"/>
  <c r="BS1060" i="1"/>
  <c r="BS2567" i="1"/>
  <c r="BO1064" i="1"/>
  <c r="BQ1064" i="1" s="1"/>
  <c r="BR1064" i="1" s="1"/>
  <c r="BS1063" i="1"/>
  <c r="BO1016" i="1"/>
  <c r="BQ1016" i="1" s="1"/>
  <c r="BR1016" i="1" s="1"/>
  <c r="BS1017" i="1"/>
  <c r="BO1020" i="1"/>
  <c r="BQ1020" i="1" s="1"/>
  <c r="BR1020" i="1" s="1"/>
  <c r="BS1037" i="1"/>
  <c r="BS1045" i="1"/>
  <c r="BS1036" i="1"/>
  <c r="BS2691" i="1"/>
  <c r="BS2694" i="1"/>
  <c r="BO2679" i="1"/>
  <c r="BQ2679" i="1" s="1"/>
  <c r="BR2679" i="1" s="1"/>
  <c r="BS2680" i="1"/>
  <c r="BO2606" i="1"/>
  <c r="BQ2606" i="1" s="1"/>
  <c r="BR2606" i="1" s="1"/>
  <c r="BS2605" i="1"/>
  <c r="BO2565" i="1"/>
  <c r="BQ2565" i="1" s="1"/>
  <c r="BR2565" i="1" s="1"/>
  <c r="BS2571" i="1"/>
  <c r="BS2570" i="1"/>
  <c r="BO1058" i="1"/>
  <c r="BQ1058" i="1" s="1"/>
  <c r="BR1058" i="1" s="1"/>
  <c r="BO1015" i="1"/>
  <c r="BQ1015" i="1" s="1"/>
  <c r="BR1015" i="1" s="1"/>
  <c r="BS1023" i="1"/>
  <c r="BS1016" i="1"/>
  <c r="BS1044" i="1"/>
  <c r="BO1040" i="1"/>
  <c r="BQ1040" i="1" s="1"/>
  <c r="BR1040" i="1" s="1"/>
  <c r="BS2690" i="1"/>
  <c r="BS2695" i="1"/>
  <c r="BO2680" i="1"/>
  <c r="BQ2680" i="1" s="1"/>
  <c r="BR2680" i="1" s="1"/>
  <c r="BS2679" i="1"/>
  <c r="BO2605" i="1"/>
  <c r="BQ2605" i="1" s="1"/>
  <c r="BR2605" i="1" s="1"/>
  <c r="BS2604" i="1"/>
  <c r="BO2566" i="1"/>
  <c r="BQ2566" i="1" s="1"/>
  <c r="BR2566" i="1" s="1"/>
  <c r="BS2565" i="1"/>
  <c r="BS2569" i="1"/>
  <c r="BS1066" i="1"/>
  <c r="BO1066" i="1"/>
  <c r="BQ1066" i="1" s="1"/>
  <c r="BR1066" i="1" s="1"/>
  <c r="BO1023" i="1"/>
  <c r="BQ1023" i="1" s="1"/>
  <c r="BR1023" i="1" s="1"/>
  <c r="BS1015" i="1"/>
  <c r="BO1038" i="1"/>
  <c r="BQ1038" i="1" s="1"/>
  <c r="BR1038" i="1" s="1"/>
  <c r="BO1043" i="1"/>
  <c r="BQ1043" i="1" s="1"/>
  <c r="BR1043" i="1" s="1"/>
  <c r="BO2689" i="1"/>
  <c r="BQ2689" i="1" s="1"/>
  <c r="BR2689" i="1" s="1"/>
  <c r="BS2689" i="1"/>
  <c r="BO2693" i="1"/>
  <c r="BQ2693" i="1" s="1"/>
  <c r="BR2693" i="1" s="1"/>
  <c r="BO2686" i="1"/>
  <c r="BQ2686" i="1" s="1"/>
  <c r="BR2686" i="1" s="1"/>
  <c r="BO2681" i="1"/>
  <c r="BQ2681" i="1" s="1"/>
  <c r="BR2681" i="1" s="1"/>
  <c r="BS2678" i="1"/>
  <c r="BO2610" i="1"/>
  <c r="BQ2610" i="1" s="1"/>
  <c r="BR2610" i="1" s="1"/>
  <c r="BS2603" i="1"/>
  <c r="BO2564" i="1"/>
  <c r="BQ2564" i="1" s="1"/>
  <c r="BR2564" i="1" s="1"/>
  <c r="BS2562" i="1"/>
  <c r="BO2569" i="1"/>
  <c r="BQ2569" i="1" s="1"/>
  <c r="BR2569" i="1" s="1"/>
  <c r="BO1059" i="1"/>
  <c r="BQ1059" i="1" s="1"/>
  <c r="BR1059" i="1" s="1"/>
  <c r="BS1067" i="1"/>
  <c r="BO1062" i="1"/>
  <c r="BQ1062" i="1" s="1"/>
  <c r="BR1062" i="1" s="1"/>
  <c r="BS1014" i="1"/>
  <c r="BO1045" i="1"/>
  <c r="BQ1045" i="1" s="1"/>
  <c r="BR1045" i="1" s="1"/>
  <c r="BO1042" i="1"/>
  <c r="BQ1042" i="1" s="1"/>
  <c r="BR1042" i="1" s="1"/>
  <c r="BO2691" i="1"/>
  <c r="BQ2691" i="1" s="1"/>
  <c r="BR2691" i="1" s="1"/>
  <c r="BS2688" i="1"/>
  <c r="BO2690" i="1"/>
  <c r="BQ2690" i="1" s="1"/>
  <c r="BR2690" i="1" s="1"/>
  <c r="BO2683" i="1"/>
  <c r="BQ2683" i="1" s="1"/>
  <c r="BR2683" i="1" s="1"/>
  <c r="BO2611" i="1"/>
  <c r="BQ2611" i="1" s="1"/>
  <c r="BR2611" i="1" s="1"/>
  <c r="BS2677" i="1"/>
  <c r="BO2609" i="1"/>
  <c r="BQ2609" i="1" s="1"/>
  <c r="BR2609" i="1" s="1"/>
  <c r="BO2561" i="1"/>
  <c r="BQ2561" i="1" s="1"/>
  <c r="BR2561" i="1" s="1"/>
  <c r="BO2604" i="1"/>
  <c r="BQ2604" i="1" s="1"/>
  <c r="BR2604" i="1" s="1"/>
  <c r="BO2563" i="1"/>
  <c r="BQ2563" i="1" s="1"/>
  <c r="BR2563" i="1" s="1"/>
  <c r="BS2566" i="1"/>
  <c r="BO2567" i="1"/>
  <c r="BQ2567" i="1" s="1"/>
  <c r="BR2567" i="1" s="1"/>
  <c r="BO1063" i="1"/>
  <c r="BQ1063" i="1" s="1"/>
  <c r="BR1063" i="1" s="1"/>
  <c r="BS1064" i="1"/>
  <c r="BO1065" i="1"/>
  <c r="BQ1065" i="1" s="1"/>
  <c r="BR1065" i="1" s="1"/>
  <c r="BS1022" i="1"/>
  <c r="BS1019" i="1"/>
  <c r="BO1041" i="1"/>
  <c r="BQ1041" i="1" s="1"/>
  <c r="BR1041" i="1" s="1"/>
  <c r="BO1037" i="1"/>
  <c r="BQ1037" i="1" s="1"/>
  <c r="BR1037" i="1" s="1"/>
  <c r="BS2697" i="1"/>
  <c r="BO2688" i="1"/>
  <c r="BQ2688" i="1" s="1"/>
  <c r="BR2688" i="1" s="1"/>
  <c r="BO2692" i="1"/>
  <c r="BQ2692" i="1" s="1"/>
  <c r="BR2692" i="1" s="1"/>
  <c r="BO2685" i="1"/>
  <c r="BQ2685" i="1" s="1"/>
  <c r="BR2685" i="1" s="1"/>
  <c r="BS2684" i="1"/>
  <c r="BO2684" i="1"/>
  <c r="BQ2684" i="1" s="1"/>
  <c r="BR2684" i="1" s="1"/>
  <c r="BO2612" i="1"/>
  <c r="BQ2612" i="1" s="1"/>
  <c r="BR2612" i="1" s="1"/>
  <c r="BS2609" i="1"/>
  <c r="BO2603" i="1"/>
  <c r="BQ2603" i="1" s="1"/>
  <c r="BR2603" i="1" s="1"/>
  <c r="BO2571" i="1"/>
  <c r="BQ2571" i="1" s="1"/>
  <c r="BR2571" i="1" s="1"/>
  <c r="BS2563" i="1"/>
  <c r="BS1059" i="1"/>
  <c r="BS1065" i="1"/>
  <c r="BS1061" i="1"/>
  <c r="BO1017" i="1"/>
  <c r="BQ1017" i="1" s="1"/>
  <c r="BR1017" i="1" s="1"/>
  <c r="BS1021" i="1"/>
  <c r="BO1022" i="1"/>
  <c r="BQ1022" i="1" s="1"/>
  <c r="BR1022" i="1" s="1"/>
  <c r="BS1042" i="1"/>
  <c r="BS1039" i="1"/>
  <c r="BO1044" i="1"/>
  <c r="BQ1044" i="1" s="1"/>
  <c r="BR1044" i="1" s="1"/>
  <c r="BO2678" i="1"/>
  <c r="BQ2678" i="1" s="1"/>
  <c r="BR2678" i="1" s="1"/>
  <c r="BO2696" i="1"/>
  <c r="BQ2696" i="1" s="1"/>
  <c r="BR2696" i="1" s="1"/>
  <c r="BO2697" i="1"/>
  <c r="BQ2697" i="1" s="1"/>
  <c r="BR2697" i="1" s="1"/>
  <c r="BS2686" i="1"/>
  <c r="BS2683" i="1"/>
  <c r="BO2677" i="1"/>
  <c r="BQ2677" i="1" s="1"/>
  <c r="BR2677" i="1" s="1"/>
  <c r="BO2608" i="1"/>
  <c r="BQ2608" i="1" s="1"/>
  <c r="BR2608" i="1" s="1"/>
  <c r="BS2608" i="1"/>
  <c r="BS2610" i="1"/>
  <c r="BO2562" i="1"/>
  <c r="BQ2562" i="1" s="1"/>
  <c r="BR2562" i="1" s="1"/>
  <c r="BS2564" i="1"/>
  <c r="BO1061" i="1"/>
  <c r="BQ1061" i="1" s="1"/>
  <c r="BR1061" i="1" s="1"/>
  <c r="BS1062" i="1"/>
  <c r="BS1058" i="1"/>
  <c r="BO1018" i="1"/>
  <c r="BQ1018" i="1" s="1"/>
  <c r="BR1018" i="1" s="1"/>
  <c r="BS1020" i="1"/>
  <c r="BO1014" i="1"/>
  <c r="BQ1014" i="1" s="1"/>
  <c r="BR1014" i="1" s="1"/>
  <c r="BO1039" i="1"/>
  <c r="BQ1039" i="1" s="1"/>
  <c r="BR1039" i="1" s="1"/>
  <c r="BO1036" i="1"/>
  <c r="BQ1036" i="1" s="1"/>
  <c r="BR1036" i="1" s="1"/>
  <c r="BS1040" i="1"/>
  <c r="BO2695" i="1"/>
  <c r="BQ2695" i="1" s="1"/>
  <c r="BR2695" i="1" s="1"/>
  <c r="BO2570" i="1"/>
  <c r="BQ2570" i="1" s="1"/>
  <c r="BR2570" i="1" s="1"/>
  <c r="BO1060" i="1"/>
  <c r="BQ1060" i="1" s="1"/>
  <c r="BR1060" i="1" s="1"/>
  <c r="BO1067" i="1"/>
  <c r="BQ1067" i="1" s="1"/>
  <c r="BR1067" i="1" s="1"/>
  <c r="BO1021" i="1"/>
  <c r="BQ1021" i="1" s="1"/>
  <c r="BR1021" i="1" s="1"/>
  <c r="BS1041" i="1"/>
  <c r="BS1043" i="1"/>
  <c r="BS2693" i="1"/>
  <c r="BO2694" i="1"/>
  <c r="BQ2694" i="1" s="1"/>
  <c r="BR2694" i="1" s="1"/>
  <c r="BS2685" i="1"/>
  <c r="BS2682" i="1"/>
  <c r="BO2607" i="1"/>
  <c r="BQ2607" i="1" s="1"/>
  <c r="BR2607" i="1" s="1"/>
  <c r="BS2607" i="1"/>
  <c r="BS2611" i="1"/>
  <c r="BS2561" i="1"/>
  <c r="BO1019" i="1"/>
  <c r="BQ1019" i="1" s="1"/>
  <c r="BR1019" i="1" s="1"/>
  <c r="BS1018" i="1"/>
  <c r="BS1038" i="1"/>
  <c r="BS2334" i="1"/>
  <c r="BS2335" i="1"/>
  <c r="BO2335" i="1"/>
  <c r="BQ2335" i="1" s="1"/>
  <c r="BR2335" i="1" s="1"/>
  <c r="BO2334" i="1"/>
  <c r="BQ2334" i="1" s="1"/>
  <c r="BR2334" i="1" s="1"/>
  <c r="BS2332" i="1"/>
  <c r="BS2331" i="1"/>
  <c r="BO2332" i="1"/>
  <c r="BQ2332" i="1" s="1"/>
  <c r="BR2332" i="1" s="1"/>
  <c r="BO2331" i="1"/>
  <c r="BQ2331" i="1" s="1"/>
  <c r="BR2331" i="1" s="1"/>
  <c r="BS2328" i="1"/>
  <c r="BO2328" i="1"/>
  <c r="BQ2328" i="1" s="1"/>
  <c r="BR2328" i="1" s="1"/>
  <c r="BS2329" i="1"/>
  <c r="BO2329" i="1"/>
  <c r="BQ2329" i="1" s="1"/>
  <c r="BR2329" i="1" s="1"/>
  <c r="BS2319" i="1"/>
  <c r="BO2319" i="1"/>
  <c r="BQ2319" i="1" s="1"/>
  <c r="BR2319" i="1" s="1"/>
  <c r="BS2320" i="1"/>
  <c r="BO2320" i="1"/>
  <c r="BQ2320" i="1" s="1"/>
  <c r="BR2320" i="1" s="1"/>
  <c r="BS2316" i="1"/>
  <c r="BS2317" i="1"/>
  <c r="BO2316" i="1"/>
  <c r="BQ2316" i="1" s="1"/>
  <c r="BR2316" i="1" s="1"/>
  <c r="BO2317" i="1"/>
  <c r="BQ2317" i="1" s="1"/>
  <c r="BR2317" i="1" s="1"/>
  <c r="BS2314" i="1"/>
  <c r="BO2314" i="1"/>
  <c r="BQ2314" i="1" s="1"/>
  <c r="BR2314" i="1" s="1"/>
  <c r="BO2313" i="1"/>
  <c r="BQ2313" i="1" s="1"/>
  <c r="BR2313" i="1" s="1"/>
  <c r="BS2313" i="1"/>
  <c r="BS2310" i="1"/>
  <c r="BS2311" i="1"/>
  <c r="BO2311" i="1"/>
  <c r="BQ2311" i="1" s="1"/>
  <c r="BR2311" i="1" s="1"/>
  <c r="BO2310" i="1"/>
  <c r="BQ2310" i="1" s="1"/>
  <c r="BR2310" i="1" s="1"/>
  <c r="BS2307" i="1"/>
  <c r="BS2308" i="1"/>
  <c r="BO2307" i="1"/>
  <c r="BQ2307" i="1" s="1"/>
  <c r="BR2307" i="1" s="1"/>
  <c r="BO2308" i="1"/>
  <c r="BQ2308" i="1" s="1"/>
  <c r="BR2308" i="1" s="1"/>
  <c r="BS2304" i="1"/>
  <c r="BS2305" i="1"/>
  <c r="BO2304" i="1"/>
  <c r="BQ2304" i="1" s="1"/>
  <c r="BR2304" i="1" s="1"/>
  <c r="BO2305" i="1"/>
  <c r="BQ2305" i="1" s="1"/>
  <c r="BR2305" i="1" s="1"/>
  <c r="BO2302" i="1"/>
  <c r="BQ2302" i="1" s="1"/>
  <c r="BR2302" i="1" s="1"/>
  <c r="BO2301" i="1"/>
  <c r="BQ2301" i="1" s="1"/>
  <c r="BR2301" i="1" s="1"/>
  <c r="BS2301" i="1"/>
  <c r="BS2302" i="1"/>
  <c r="BS2298" i="1"/>
  <c r="BO2299" i="1"/>
  <c r="BQ2299" i="1" s="1"/>
  <c r="BR2299" i="1" s="1"/>
  <c r="BO2298" i="1"/>
  <c r="BQ2298" i="1" s="1"/>
  <c r="BR2298" i="1" s="1"/>
  <c r="BS2299" i="1"/>
  <c r="BS2296" i="1"/>
  <c r="BO2296" i="1"/>
  <c r="BQ2296" i="1" s="1"/>
  <c r="BR2296" i="1" s="1"/>
  <c r="BO2295" i="1"/>
  <c r="BQ2295" i="1" s="1"/>
  <c r="BR2295" i="1" s="1"/>
  <c r="BS2295" i="1"/>
  <c r="BO2293" i="1"/>
  <c r="BQ2293" i="1" s="1"/>
  <c r="BR2293" i="1" s="1"/>
  <c r="BO2292" i="1"/>
  <c r="BQ2292" i="1" s="1"/>
  <c r="BR2292" i="1" s="1"/>
  <c r="BS2292" i="1"/>
  <c r="BS2293" i="1"/>
  <c r="BO1200" i="1"/>
  <c r="BO1199" i="1"/>
  <c r="BS1199" i="1"/>
  <c r="BS1200" i="1"/>
  <c r="BS507" i="1"/>
  <c r="BS508" i="1"/>
  <c r="BO508" i="1"/>
  <c r="BO507" i="1"/>
  <c r="BO505" i="1"/>
  <c r="BO504" i="1"/>
  <c r="BS504" i="1"/>
  <c r="BS505" i="1"/>
  <c r="BS2773" i="1"/>
  <c r="BO2773" i="1"/>
  <c r="BQ2773" i="1" s="1"/>
  <c r="BR2773" i="1" s="1"/>
  <c r="BS2774" i="1"/>
  <c r="BO2774" i="1"/>
  <c r="BQ2774" i="1" s="1"/>
  <c r="BR2774" i="1" s="1"/>
  <c r="BO2771" i="1"/>
  <c r="BQ2771" i="1" s="1"/>
  <c r="BR2771" i="1" s="1"/>
  <c r="BS2770" i="1"/>
  <c r="BO2770" i="1"/>
  <c r="BQ2770" i="1" s="1"/>
  <c r="BR2770" i="1" s="1"/>
  <c r="BS2771" i="1"/>
  <c r="BS2424" i="1"/>
  <c r="BO2423" i="1"/>
  <c r="BQ2423" i="1" s="1"/>
  <c r="BR2423" i="1" s="1"/>
  <c r="BO2424" i="1"/>
  <c r="BQ2424" i="1" s="1"/>
  <c r="BR2424" i="1" s="1"/>
  <c r="BS2423" i="1"/>
  <c r="BS2421" i="1"/>
  <c r="BO2421" i="1"/>
  <c r="BQ2421" i="1" s="1"/>
  <c r="BR2421" i="1" s="1"/>
  <c r="BS2420" i="1"/>
  <c r="BO2420" i="1"/>
  <c r="BQ2420" i="1" s="1"/>
  <c r="BR2420" i="1" s="1"/>
  <c r="BO2417" i="1"/>
  <c r="BQ2417" i="1" s="1"/>
  <c r="BR2417" i="1" s="1"/>
  <c r="BS2418" i="1"/>
  <c r="BS2417" i="1"/>
  <c r="BO2418" i="1"/>
  <c r="BQ2418" i="1" s="1"/>
  <c r="BR2418" i="1" s="1"/>
  <c r="BS2772" i="1"/>
  <c r="BO2772" i="1"/>
  <c r="BQ2772" i="1" s="1"/>
  <c r="BR2772" i="1" s="1"/>
  <c r="BS2490" i="1"/>
  <c r="BO2491" i="1"/>
  <c r="BQ2491" i="1" s="1"/>
  <c r="BR2491" i="1" s="1"/>
  <c r="BS2491" i="1"/>
  <c r="BO2490" i="1"/>
  <c r="BQ2490" i="1" s="1"/>
  <c r="BR2490" i="1" s="1"/>
  <c r="BS2487" i="1"/>
  <c r="BS2488" i="1"/>
  <c r="BO2487" i="1"/>
  <c r="BQ2487" i="1" s="1"/>
  <c r="BR2487" i="1" s="1"/>
  <c r="BO2488" i="1"/>
  <c r="BQ2488" i="1" s="1"/>
  <c r="BR2488" i="1" s="1"/>
  <c r="BS2479" i="1"/>
  <c r="BS2478" i="1"/>
  <c r="BO2479" i="1"/>
  <c r="BQ2479" i="1" s="1"/>
  <c r="BR2479" i="1" s="1"/>
  <c r="BO2478" i="1"/>
  <c r="BQ2478" i="1" s="1"/>
  <c r="BR2478" i="1" s="1"/>
  <c r="BS2489" i="1"/>
  <c r="BO2489" i="1"/>
  <c r="BQ2489" i="1" s="1"/>
  <c r="BR2489" i="1" s="1"/>
  <c r="BS2535" i="1"/>
  <c r="BO2535" i="1"/>
  <c r="BQ2535" i="1" s="1"/>
  <c r="BR2535" i="1" s="1"/>
  <c r="BS2536" i="1"/>
  <c r="BO2536" i="1"/>
  <c r="BQ2536" i="1" s="1"/>
  <c r="BR2536" i="1" s="1"/>
  <c r="BS2533" i="1"/>
  <c r="BO2533" i="1"/>
  <c r="BQ2533" i="1" s="1"/>
  <c r="BR2533" i="1" s="1"/>
  <c r="BO2532" i="1"/>
  <c r="BQ2532" i="1" s="1"/>
  <c r="BR2532" i="1" s="1"/>
  <c r="BS2532" i="1"/>
  <c r="BS2530" i="1"/>
  <c r="BO2530" i="1"/>
  <c r="BQ2530" i="1" s="1"/>
  <c r="BR2530" i="1" s="1"/>
  <c r="BO2529" i="1"/>
  <c r="BQ2529" i="1" s="1"/>
  <c r="BR2529" i="1" s="1"/>
  <c r="BS2529" i="1"/>
  <c r="BS2526" i="1"/>
  <c r="BS2527" i="1"/>
  <c r="BO2526" i="1"/>
  <c r="BQ2526" i="1" s="1"/>
  <c r="BR2526" i="1" s="1"/>
  <c r="BO2527" i="1"/>
  <c r="BQ2527" i="1" s="1"/>
  <c r="BR2527" i="1" s="1"/>
  <c r="BO2523" i="1"/>
  <c r="BQ2523" i="1" s="1"/>
  <c r="BR2523" i="1" s="1"/>
  <c r="BS2524" i="1"/>
  <c r="BO2524" i="1"/>
  <c r="BQ2524" i="1" s="1"/>
  <c r="BR2524" i="1" s="1"/>
  <c r="BS2523" i="1"/>
  <c r="BO2520" i="1"/>
  <c r="BQ2520" i="1" s="1"/>
  <c r="BR2520" i="1" s="1"/>
  <c r="BS2521" i="1"/>
  <c r="BO2521" i="1"/>
  <c r="BQ2521" i="1" s="1"/>
  <c r="BR2521" i="1" s="1"/>
  <c r="BS2520" i="1"/>
  <c r="BS2517" i="1"/>
  <c r="BO2517" i="1"/>
  <c r="BQ2517" i="1" s="1"/>
  <c r="BR2517" i="1" s="1"/>
  <c r="BS2518" i="1"/>
  <c r="BO2518" i="1"/>
  <c r="BQ2518" i="1" s="1"/>
  <c r="BR2518" i="1" s="1"/>
  <c r="BS2515" i="1"/>
  <c r="BS2514" i="1"/>
  <c r="BO2514" i="1"/>
  <c r="BQ2514" i="1" s="1"/>
  <c r="BR2514" i="1" s="1"/>
  <c r="BO2515" i="1"/>
  <c r="BQ2515" i="1" s="1"/>
  <c r="BR2515" i="1" s="1"/>
  <c r="BO2511" i="1"/>
  <c r="BQ2511" i="1" s="1"/>
  <c r="BR2511" i="1" s="1"/>
  <c r="BS2511" i="1"/>
  <c r="BS2512" i="1"/>
  <c r="BO2512" i="1"/>
  <c r="BQ2512" i="1" s="1"/>
  <c r="BR2512" i="1" s="1"/>
  <c r="BS2509" i="1"/>
  <c r="BS2508" i="1"/>
  <c r="BO2509" i="1"/>
  <c r="BQ2509" i="1" s="1"/>
  <c r="BR2509" i="1" s="1"/>
  <c r="BO2508" i="1"/>
  <c r="BQ2508" i="1" s="1"/>
  <c r="BR2508" i="1" s="1"/>
  <c r="BS2505" i="1"/>
  <c r="BS2506" i="1"/>
  <c r="BO2506" i="1"/>
  <c r="BQ2506" i="1" s="1"/>
  <c r="BR2506" i="1" s="1"/>
  <c r="BO2505" i="1"/>
  <c r="BQ2505" i="1" s="1"/>
  <c r="BR2505" i="1" s="1"/>
  <c r="BS2503" i="1"/>
  <c r="BS2502" i="1"/>
  <c r="BS2500" i="1"/>
  <c r="BO2500" i="1"/>
  <c r="BQ2500" i="1" s="1"/>
  <c r="BR2500" i="1" s="1"/>
  <c r="BS2499" i="1"/>
  <c r="BO2499" i="1"/>
  <c r="BQ2499" i="1" s="1"/>
  <c r="BR2499" i="1" s="1"/>
  <c r="BS2496" i="1"/>
  <c r="BO2496" i="1"/>
  <c r="BQ2496" i="1" s="1"/>
  <c r="BR2496" i="1" s="1"/>
  <c r="BS2497" i="1"/>
  <c r="BO2497" i="1"/>
  <c r="BQ2497" i="1" s="1"/>
  <c r="BR2497" i="1" s="1"/>
  <c r="BS2494" i="1"/>
  <c r="BS2493" i="1"/>
  <c r="BS2534" i="1"/>
  <c r="BO2534" i="1"/>
  <c r="BQ2534" i="1" s="1"/>
  <c r="BR2534" i="1" s="1"/>
  <c r="BS2733" i="1"/>
  <c r="BO2733" i="1"/>
  <c r="BQ2733" i="1" s="1"/>
  <c r="BR2733" i="1" s="1"/>
  <c r="BO2732" i="1"/>
  <c r="BQ2732" i="1" s="1"/>
  <c r="BR2732" i="1" s="1"/>
  <c r="BS2732" i="1"/>
  <c r="BO2550" i="1"/>
  <c r="BQ2550" i="1" s="1"/>
  <c r="BR2550" i="1" s="1"/>
  <c r="BO2551" i="1"/>
  <c r="BQ2551" i="1" s="1"/>
  <c r="BR2551" i="1" s="1"/>
  <c r="BS2550" i="1"/>
  <c r="BS2551" i="1"/>
  <c r="BO2731" i="1"/>
  <c r="BQ2731" i="1" s="1"/>
  <c r="BR2731" i="1" s="1"/>
  <c r="BS2731" i="1"/>
  <c r="BS2009" i="1"/>
  <c r="BO2010" i="1"/>
  <c r="BQ2010" i="1" s="1"/>
  <c r="BR2010" i="1" s="1"/>
  <c r="BO2009" i="1"/>
  <c r="BQ2009" i="1" s="1"/>
  <c r="BR2009" i="1" s="1"/>
  <c r="BS2012" i="1"/>
  <c r="BO2011" i="1"/>
  <c r="BQ2011" i="1" s="1"/>
  <c r="BR2011" i="1" s="1"/>
  <c r="BO2012" i="1"/>
  <c r="BQ2012" i="1" s="1"/>
  <c r="BR2012" i="1" s="1"/>
  <c r="BS2010" i="1"/>
  <c r="BS2011" i="1"/>
  <c r="BS2007" i="1"/>
  <c r="BO2004" i="1"/>
  <c r="BQ2004" i="1" s="1"/>
  <c r="BR2004" i="1" s="1"/>
  <c r="BO2005" i="1"/>
  <c r="BQ2005" i="1" s="1"/>
  <c r="BR2005" i="1" s="1"/>
  <c r="BO2007" i="1"/>
  <c r="BQ2007" i="1" s="1"/>
  <c r="BR2007" i="1" s="1"/>
  <c r="BS2005" i="1"/>
  <c r="BS2006" i="1"/>
  <c r="BO2006" i="1"/>
  <c r="BQ2006" i="1" s="1"/>
  <c r="BR2006" i="1" s="1"/>
  <c r="BS2004" i="1"/>
  <c r="BS1999" i="1"/>
  <c r="BO1999" i="1"/>
  <c r="BQ1999" i="1" s="1"/>
  <c r="BR1999" i="1" s="1"/>
  <c r="BS2002" i="1"/>
  <c r="BS2001" i="1"/>
  <c r="BO2000" i="1"/>
  <c r="BQ2000" i="1" s="1"/>
  <c r="BR2000" i="1" s="1"/>
  <c r="BO2002" i="1"/>
  <c r="BQ2002" i="1" s="1"/>
  <c r="BR2002" i="1" s="1"/>
  <c r="BS2000" i="1"/>
  <c r="BO2001" i="1"/>
  <c r="BQ2001" i="1" s="1"/>
  <c r="BR2001" i="1" s="1"/>
  <c r="BS1995" i="1"/>
  <c r="BS1996" i="1"/>
  <c r="BO1997" i="1"/>
  <c r="BQ1997" i="1" s="1"/>
  <c r="BR1997" i="1" s="1"/>
  <c r="BO1994" i="1"/>
  <c r="BQ1994" i="1" s="1"/>
  <c r="BR1994" i="1" s="1"/>
  <c r="BS1994" i="1"/>
  <c r="BO1996" i="1"/>
  <c r="BQ1996" i="1" s="1"/>
  <c r="BR1996" i="1" s="1"/>
  <c r="BS1997" i="1"/>
  <c r="BO1995" i="1"/>
  <c r="BQ1995" i="1" s="1"/>
  <c r="BR1995" i="1" s="1"/>
  <c r="BS1961" i="1"/>
  <c r="BS1959" i="1"/>
  <c r="BO1960" i="1"/>
  <c r="BQ1960" i="1" s="1"/>
  <c r="BR1960" i="1" s="1"/>
  <c r="BS1960" i="1"/>
  <c r="BO1959" i="1"/>
  <c r="BQ1959" i="1" s="1"/>
  <c r="BR1959" i="1" s="1"/>
  <c r="BO1961" i="1"/>
  <c r="BQ1961" i="1" s="1"/>
  <c r="BR1961" i="1" s="1"/>
  <c r="BS1962" i="1"/>
  <c r="BO1962" i="1"/>
  <c r="BQ1962" i="1" s="1"/>
  <c r="BR1962" i="1" s="1"/>
  <c r="BS1954" i="1"/>
  <c r="BS1956" i="1"/>
  <c r="BO1957" i="1"/>
  <c r="BQ1957" i="1" s="1"/>
  <c r="BR1957" i="1" s="1"/>
  <c r="BS1955" i="1"/>
  <c r="BO1955" i="1"/>
  <c r="BQ1955" i="1" s="1"/>
  <c r="BR1955" i="1" s="1"/>
  <c r="BO1954" i="1"/>
  <c r="BQ1954" i="1" s="1"/>
  <c r="BR1954" i="1" s="1"/>
  <c r="BS1957" i="1"/>
  <c r="BO1956" i="1"/>
  <c r="BQ1956" i="1" s="1"/>
  <c r="BR1956" i="1" s="1"/>
  <c r="BS1952" i="1"/>
  <c r="BO1951" i="1"/>
  <c r="BQ1951" i="1" s="1"/>
  <c r="BR1951" i="1" s="1"/>
  <c r="BS1950" i="1"/>
  <c r="BO1952" i="1"/>
  <c r="BQ1952" i="1" s="1"/>
  <c r="BR1952" i="1" s="1"/>
  <c r="BS1951" i="1"/>
  <c r="BO1950" i="1"/>
  <c r="BQ1950" i="1" s="1"/>
  <c r="BR1950" i="1" s="1"/>
  <c r="BO1949" i="1"/>
  <c r="BQ1949" i="1" s="1"/>
  <c r="BR1949" i="1" s="1"/>
  <c r="BS1949" i="1"/>
  <c r="BS1946" i="1"/>
  <c r="BO1946" i="1"/>
  <c r="BQ1946" i="1" s="1"/>
  <c r="BR1946" i="1" s="1"/>
  <c r="BS1945" i="1"/>
  <c r="BS1947" i="1"/>
  <c r="BO1945" i="1"/>
  <c r="BQ1945" i="1" s="1"/>
  <c r="BR1945" i="1" s="1"/>
  <c r="BO1947" i="1"/>
  <c r="BQ1947" i="1" s="1"/>
  <c r="BR1947" i="1" s="1"/>
  <c r="BS1944" i="1"/>
  <c r="BO1944" i="1"/>
  <c r="BQ1944" i="1" s="1"/>
  <c r="BR1944" i="1" s="1"/>
  <c r="BS2008" i="1"/>
  <c r="BO2008" i="1"/>
  <c r="BQ2008" i="1" s="1"/>
  <c r="BR2008" i="1" s="1"/>
  <c r="BS1189" i="1"/>
  <c r="BO1191" i="1"/>
  <c r="BO1189" i="1"/>
  <c r="BS1191" i="1"/>
  <c r="BO1190" i="1"/>
  <c r="BS1192" i="1"/>
  <c r="BS1190" i="1"/>
  <c r="BO1192" i="1"/>
  <c r="BO273" i="1"/>
  <c r="BO275" i="1"/>
  <c r="BS273" i="1"/>
  <c r="BS275" i="1"/>
  <c r="BO274" i="1"/>
  <c r="BS276" i="1"/>
  <c r="BS274" i="1"/>
  <c r="BO276" i="1"/>
  <c r="BO2103" i="1"/>
  <c r="BQ2103" i="1" s="1"/>
  <c r="BR2103" i="1" s="1"/>
  <c r="BS2104" i="1"/>
  <c r="BO2104" i="1"/>
  <c r="BQ2104" i="1" s="1"/>
  <c r="BR2104" i="1" s="1"/>
  <c r="BO2102" i="1"/>
  <c r="BQ2102" i="1" s="1"/>
  <c r="BR2102" i="1" s="1"/>
  <c r="BS2101" i="1"/>
  <c r="BS2102" i="1"/>
  <c r="BO2101" i="1"/>
  <c r="BQ2101" i="1" s="1"/>
  <c r="BR2101" i="1" s="1"/>
  <c r="BS2103" i="1"/>
  <c r="BS2098" i="1"/>
  <c r="BS2096" i="1"/>
  <c r="BO2098" i="1"/>
  <c r="BQ2098" i="1" s="1"/>
  <c r="BR2098" i="1" s="1"/>
  <c r="BO2097" i="1"/>
  <c r="BQ2097" i="1" s="1"/>
  <c r="BR2097" i="1" s="1"/>
  <c r="BS2099" i="1"/>
  <c r="BS2097" i="1"/>
  <c r="BO2099" i="1"/>
  <c r="BQ2099" i="1" s="1"/>
  <c r="BR2099" i="1" s="1"/>
  <c r="BO2096" i="1"/>
  <c r="BQ2096" i="1" s="1"/>
  <c r="BR2096" i="1" s="1"/>
  <c r="BO2092" i="1"/>
  <c r="BQ2092" i="1" s="1"/>
  <c r="BR2092" i="1" s="1"/>
  <c r="BO2094" i="1"/>
  <c r="BQ2094" i="1" s="1"/>
  <c r="BR2094" i="1" s="1"/>
  <c r="BS2092" i="1"/>
  <c r="BS2094" i="1"/>
  <c r="BS2093" i="1"/>
  <c r="BO2093" i="1"/>
  <c r="BQ2093" i="1" s="1"/>
  <c r="BR2093" i="1" s="1"/>
  <c r="BO2091" i="1"/>
  <c r="BQ2091" i="1" s="1"/>
  <c r="BR2091" i="1" s="1"/>
  <c r="BS2091" i="1"/>
  <c r="BO2089" i="1"/>
  <c r="BQ2089" i="1" s="1"/>
  <c r="BR2089" i="1" s="1"/>
  <c r="BS2089" i="1"/>
  <c r="BO2086" i="1"/>
  <c r="BQ2086" i="1" s="1"/>
  <c r="BR2086" i="1" s="1"/>
  <c r="BS2087" i="1"/>
  <c r="BS2086" i="1"/>
  <c r="BS2088" i="1"/>
  <c r="BO2087" i="1"/>
  <c r="BQ2087" i="1" s="1"/>
  <c r="BR2087" i="1" s="1"/>
  <c r="BO2088" i="1"/>
  <c r="BQ2088" i="1" s="1"/>
  <c r="BR2088" i="1" s="1"/>
  <c r="BO2083" i="1"/>
  <c r="BQ2083" i="1" s="1"/>
  <c r="BR2083" i="1" s="1"/>
  <c r="BS2081" i="1"/>
  <c r="BO2082" i="1"/>
  <c r="BQ2082" i="1" s="1"/>
  <c r="BR2082" i="1" s="1"/>
  <c r="BO2081" i="1"/>
  <c r="BQ2081" i="1" s="1"/>
  <c r="BR2081" i="1" s="1"/>
  <c r="BS2082" i="1"/>
  <c r="BS2084" i="1"/>
  <c r="BS2083" i="1"/>
  <c r="BO2084" i="1"/>
  <c r="BQ2084" i="1" s="1"/>
  <c r="BR2084" i="1" s="1"/>
  <c r="BO2100" i="1"/>
  <c r="BQ2100" i="1" s="1"/>
  <c r="BR2100" i="1" s="1"/>
  <c r="BS2100" i="1"/>
  <c r="BS2181" i="1"/>
  <c r="BO2184" i="1"/>
  <c r="BQ2184" i="1" s="1"/>
  <c r="BR2184" i="1" s="1"/>
  <c r="BO2183" i="1"/>
  <c r="BQ2183" i="1" s="1"/>
  <c r="BR2183" i="1" s="1"/>
  <c r="BS2183" i="1"/>
  <c r="BS2182" i="1"/>
  <c r="BO2182" i="1"/>
  <c r="BQ2182" i="1" s="1"/>
  <c r="BR2182" i="1" s="1"/>
  <c r="BS2184" i="1"/>
  <c r="BO2181" i="1"/>
  <c r="BQ2181" i="1" s="1"/>
  <c r="BR2181" i="1" s="1"/>
  <c r="BS2176" i="1"/>
  <c r="BO2178" i="1"/>
  <c r="BQ2178" i="1" s="1"/>
  <c r="BR2178" i="1" s="1"/>
  <c r="BO2179" i="1"/>
  <c r="BQ2179" i="1" s="1"/>
  <c r="BR2179" i="1" s="1"/>
  <c r="BS2178" i="1"/>
  <c r="BO2177" i="1"/>
  <c r="BQ2177" i="1" s="1"/>
  <c r="BR2177" i="1" s="1"/>
  <c r="BS2177" i="1"/>
  <c r="BO2176" i="1"/>
  <c r="BQ2176" i="1" s="1"/>
  <c r="BR2176" i="1" s="1"/>
  <c r="BS2179" i="1"/>
  <c r="BS2118" i="1"/>
  <c r="BS2117" i="1"/>
  <c r="BO2117" i="1"/>
  <c r="BQ2117" i="1" s="1"/>
  <c r="BR2117" i="1" s="1"/>
  <c r="BS2119" i="1"/>
  <c r="BO2116" i="1"/>
  <c r="BQ2116" i="1" s="1"/>
  <c r="BR2116" i="1" s="1"/>
  <c r="BO2119" i="1"/>
  <c r="BQ2119" i="1" s="1"/>
  <c r="BR2119" i="1" s="1"/>
  <c r="BS2116" i="1"/>
  <c r="BO2118" i="1"/>
  <c r="BQ2118" i="1" s="1"/>
  <c r="BR2118" i="1" s="1"/>
  <c r="BS2111" i="1"/>
  <c r="BS2113" i="1"/>
  <c r="BO2112" i="1"/>
  <c r="BQ2112" i="1" s="1"/>
  <c r="BR2112" i="1" s="1"/>
  <c r="BO2111" i="1"/>
  <c r="BQ2111" i="1" s="1"/>
  <c r="BR2111" i="1" s="1"/>
  <c r="BS2114" i="1"/>
  <c r="BO2113" i="1"/>
  <c r="BQ2113" i="1" s="1"/>
  <c r="BR2113" i="1" s="1"/>
  <c r="BO2114" i="1"/>
  <c r="BQ2114" i="1" s="1"/>
  <c r="BR2114" i="1" s="1"/>
  <c r="BS2112" i="1"/>
  <c r="BS2109" i="1"/>
  <c r="BO2106" i="1"/>
  <c r="BQ2106" i="1" s="1"/>
  <c r="BR2106" i="1" s="1"/>
  <c r="BO2109" i="1"/>
  <c r="BQ2109" i="1" s="1"/>
  <c r="BR2109" i="1" s="1"/>
  <c r="BS2107" i="1"/>
  <c r="BS2108" i="1"/>
  <c r="BO2107" i="1"/>
  <c r="BQ2107" i="1" s="1"/>
  <c r="BR2107" i="1" s="1"/>
  <c r="BO2108" i="1"/>
  <c r="BQ2108" i="1" s="1"/>
  <c r="BR2108" i="1" s="1"/>
  <c r="BS2106" i="1"/>
  <c r="BS2180" i="1"/>
  <c r="BO2180" i="1"/>
  <c r="BQ2180" i="1" s="1"/>
  <c r="BR2180" i="1" s="1"/>
  <c r="BO2259" i="1"/>
  <c r="BQ2259" i="1" s="1"/>
  <c r="BR2259" i="1" s="1"/>
  <c r="BS2258" i="1"/>
  <c r="BS2256" i="1"/>
  <c r="BS2257" i="1"/>
  <c r="BO2256" i="1"/>
  <c r="BQ2256" i="1" s="1"/>
  <c r="BR2256" i="1" s="1"/>
  <c r="BO2257" i="1"/>
  <c r="BQ2257" i="1" s="1"/>
  <c r="BR2257" i="1" s="1"/>
  <c r="BS2259" i="1"/>
  <c r="BO2258" i="1"/>
  <c r="BQ2258" i="1" s="1"/>
  <c r="BR2258" i="1" s="1"/>
  <c r="BO2253" i="1"/>
  <c r="BQ2253" i="1" s="1"/>
  <c r="BR2253" i="1" s="1"/>
  <c r="BS2252" i="1"/>
  <c r="BO2251" i="1"/>
  <c r="BQ2251" i="1" s="1"/>
  <c r="BR2251" i="1" s="1"/>
  <c r="BO2252" i="1"/>
  <c r="BQ2252" i="1" s="1"/>
  <c r="BR2252" i="1" s="1"/>
  <c r="BS2254" i="1"/>
  <c r="BS2251" i="1"/>
  <c r="BS2253" i="1"/>
  <c r="BO2254" i="1"/>
  <c r="BQ2254" i="1" s="1"/>
  <c r="BR2254" i="1" s="1"/>
  <c r="BS2247" i="1"/>
  <c r="BS2246" i="1"/>
  <c r="BO2247" i="1"/>
  <c r="BQ2247" i="1" s="1"/>
  <c r="BR2247" i="1" s="1"/>
  <c r="BS2249" i="1"/>
  <c r="BO2248" i="1"/>
  <c r="BQ2248" i="1" s="1"/>
  <c r="BR2248" i="1" s="1"/>
  <c r="BO2249" i="1"/>
  <c r="BQ2249" i="1" s="1"/>
  <c r="BR2249" i="1" s="1"/>
  <c r="BS2248" i="1"/>
  <c r="BO2246" i="1"/>
  <c r="BQ2246" i="1" s="1"/>
  <c r="BR2246" i="1" s="1"/>
  <c r="BS2241" i="1"/>
  <c r="BO2241" i="1"/>
  <c r="BQ2241" i="1" s="1"/>
  <c r="BR2241" i="1" s="1"/>
  <c r="BO2244" i="1"/>
  <c r="BQ2244" i="1" s="1"/>
  <c r="BR2244" i="1" s="1"/>
  <c r="BO2243" i="1"/>
  <c r="BQ2243" i="1" s="1"/>
  <c r="BR2243" i="1" s="1"/>
  <c r="BS2242" i="1"/>
  <c r="BS2243" i="1"/>
  <c r="BO2242" i="1"/>
  <c r="BQ2242" i="1" s="1"/>
  <c r="BR2242" i="1" s="1"/>
  <c r="BS2244" i="1"/>
  <c r="BO2238" i="1"/>
  <c r="BQ2238" i="1" s="1"/>
  <c r="BR2238" i="1" s="1"/>
  <c r="BO2236" i="1"/>
  <c r="BQ2236" i="1" s="1"/>
  <c r="BR2236" i="1" s="1"/>
  <c r="BS2239" i="1"/>
  <c r="BO2239" i="1"/>
  <c r="BQ2239" i="1" s="1"/>
  <c r="BR2239" i="1" s="1"/>
  <c r="BS2236" i="1"/>
  <c r="BS2237" i="1"/>
  <c r="BS2238" i="1"/>
  <c r="BO2237" i="1"/>
  <c r="BQ2237" i="1" s="1"/>
  <c r="BR2237" i="1" s="1"/>
  <c r="BO2231" i="1"/>
  <c r="BQ2231" i="1" s="1"/>
  <c r="BR2231" i="1" s="1"/>
  <c r="BS2232" i="1"/>
  <c r="BS2234" i="1"/>
  <c r="BO2232" i="1"/>
  <c r="BQ2232" i="1" s="1"/>
  <c r="BR2232" i="1" s="1"/>
  <c r="BO2234" i="1"/>
  <c r="BQ2234" i="1" s="1"/>
  <c r="BR2234" i="1" s="1"/>
  <c r="BO2233" i="1"/>
  <c r="BQ2233" i="1" s="1"/>
  <c r="BR2233" i="1" s="1"/>
  <c r="BS2231" i="1"/>
  <c r="BS2233" i="1"/>
  <c r="BS2229" i="1"/>
  <c r="BO2226" i="1"/>
  <c r="BQ2226" i="1" s="1"/>
  <c r="BR2226" i="1" s="1"/>
  <c r="BS2226" i="1"/>
  <c r="BO2229" i="1"/>
  <c r="BQ2229" i="1" s="1"/>
  <c r="BR2229" i="1" s="1"/>
  <c r="BO2227" i="1"/>
  <c r="BQ2227" i="1" s="1"/>
  <c r="BR2227" i="1" s="1"/>
  <c r="BS2227" i="1"/>
  <c r="BS2228" i="1"/>
  <c r="BO2228" i="1"/>
  <c r="BQ2228" i="1" s="1"/>
  <c r="BR2228" i="1" s="1"/>
  <c r="BS2224" i="1"/>
  <c r="BO2223" i="1"/>
  <c r="BQ2223" i="1" s="1"/>
  <c r="BR2223" i="1" s="1"/>
  <c r="BS2221" i="1"/>
  <c r="BO2222" i="1"/>
  <c r="BQ2222" i="1" s="1"/>
  <c r="BR2222" i="1" s="1"/>
  <c r="BO2221" i="1"/>
  <c r="BQ2221" i="1" s="1"/>
  <c r="BR2221" i="1" s="1"/>
  <c r="BS2222" i="1"/>
  <c r="BS2223" i="1"/>
  <c r="BO2224" i="1"/>
  <c r="BQ2224" i="1" s="1"/>
  <c r="BR2224" i="1" s="1"/>
  <c r="BS2217" i="1"/>
  <c r="BS2216" i="1"/>
  <c r="BO2219" i="1"/>
  <c r="BQ2219" i="1" s="1"/>
  <c r="BR2219" i="1" s="1"/>
  <c r="BO2218" i="1"/>
  <c r="BQ2218" i="1" s="1"/>
  <c r="BR2218" i="1" s="1"/>
  <c r="BO2216" i="1"/>
  <c r="BQ2216" i="1" s="1"/>
  <c r="BR2216" i="1" s="1"/>
  <c r="BS2218" i="1"/>
  <c r="BO2217" i="1"/>
  <c r="BQ2217" i="1" s="1"/>
  <c r="BR2217" i="1" s="1"/>
  <c r="BS2219" i="1"/>
  <c r="BO2213" i="1"/>
  <c r="BQ2213" i="1" s="1"/>
  <c r="BR2213" i="1" s="1"/>
  <c r="BS2213" i="1"/>
  <c r="BS2211" i="1"/>
  <c r="BS2214" i="1"/>
  <c r="BO2212" i="1"/>
  <c r="BQ2212" i="1" s="1"/>
  <c r="BR2212" i="1" s="1"/>
  <c r="BS2212" i="1"/>
  <c r="BO2214" i="1"/>
  <c r="BQ2214" i="1" s="1"/>
  <c r="BR2214" i="1" s="1"/>
  <c r="BO2211" i="1"/>
  <c r="BQ2211" i="1" s="1"/>
  <c r="BR2211" i="1" s="1"/>
  <c r="BO2209" i="1"/>
  <c r="BQ2209" i="1" s="1"/>
  <c r="BR2209" i="1" s="1"/>
  <c r="BO2208" i="1"/>
  <c r="BQ2208" i="1" s="1"/>
  <c r="BR2208" i="1" s="1"/>
  <c r="BS2208" i="1"/>
  <c r="BO2207" i="1"/>
  <c r="BQ2207" i="1" s="1"/>
  <c r="BR2207" i="1" s="1"/>
  <c r="BS2206" i="1"/>
  <c r="BS2207" i="1"/>
  <c r="BS2209" i="1"/>
  <c r="BO2206" i="1"/>
  <c r="BQ2206" i="1" s="1"/>
  <c r="BR2206" i="1" s="1"/>
  <c r="BS2202" i="1"/>
  <c r="BS2204" i="1"/>
  <c r="BS2203" i="1"/>
  <c r="BS2201" i="1"/>
  <c r="BO2198" i="1"/>
  <c r="BQ2198" i="1" s="1"/>
  <c r="BR2198" i="1" s="1"/>
  <c r="BS2199" i="1"/>
  <c r="BS2198" i="1"/>
  <c r="BO2199" i="1"/>
  <c r="BQ2199" i="1" s="1"/>
  <c r="BR2199" i="1" s="1"/>
  <c r="BO2196" i="1"/>
  <c r="BQ2196" i="1" s="1"/>
  <c r="BR2196" i="1" s="1"/>
  <c r="BO2197" i="1"/>
  <c r="BQ2197" i="1" s="1"/>
  <c r="BR2197" i="1" s="1"/>
  <c r="BS2196" i="1"/>
  <c r="BS2197" i="1"/>
  <c r="BS2193" i="1"/>
  <c r="BS2192" i="1"/>
  <c r="BO2193" i="1"/>
  <c r="BQ2193" i="1" s="1"/>
  <c r="BR2193" i="1" s="1"/>
  <c r="BS2191" i="1"/>
  <c r="BO2194" i="1"/>
  <c r="BQ2194" i="1" s="1"/>
  <c r="BR2194" i="1" s="1"/>
  <c r="BS2194" i="1"/>
  <c r="BO2191" i="1"/>
  <c r="BQ2191" i="1" s="1"/>
  <c r="BR2191" i="1" s="1"/>
  <c r="BO2192" i="1"/>
  <c r="BQ2192" i="1" s="1"/>
  <c r="BR2192" i="1" s="1"/>
  <c r="BS2187" i="1"/>
  <c r="BS2189" i="1"/>
  <c r="BS2188" i="1"/>
  <c r="BS2186" i="1"/>
  <c r="BS2255" i="1"/>
  <c r="BO2255" i="1"/>
  <c r="BQ2255" i="1" s="1"/>
  <c r="BR2255" i="1" s="1"/>
  <c r="BO2720" i="1"/>
  <c r="BQ2720" i="1" s="1"/>
  <c r="BR2720" i="1" s="1"/>
  <c r="BS2722" i="1"/>
  <c r="BS2723" i="1"/>
  <c r="BO2723" i="1"/>
  <c r="BQ2723" i="1" s="1"/>
  <c r="BR2723" i="1" s="1"/>
  <c r="BO2721" i="1"/>
  <c r="BQ2721" i="1" s="1"/>
  <c r="BR2721" i="1" s="1"/>
  <c r="BS2721" i="1"/>
  <c r="BS2720" i="1"/>
  <c r="BO2722" i="1"/>
  <c r="BQ2722" i="1" s="1"/>
  <c r="BR2722" i="1" s="1"/>
  <c r="BS2288" i="1"/>
  <c r="BO2286" i="1"/>
  <c r="BQ2286" i="1" s="1"/>
  <c r="BR2286" i="1" s="1"/>
  <c r="BO2287" i="1"/>
  <c r="BQ2287" i="1" s="1"/>
  <c r="BR2287" i="1" s="1"/>
  <c r="BO2288" i="1"/>
  <c r="BQ2288" i="1" s="1"/>
  <c r="BR2288" i="1" s="1"/>
  <c r="BS2289" i="1"/>
  <c r="BO2289" i="1"/>
  <c r="BQ2289" i="1" s="1"/>
  <c r="BR2289" i="1" s="1"/>
  <c r="BS2286" i="1"/>
  <c r="BS2287" i="1"/>
  <c r="BS2728" i="1"/>
  <c r="BO2726" i="1"/>
  <c r="BQ2726" i="1" s="1"/>
  <c r="BR2726" i="1" s="1"/>
  <c r="BS2725" i="1"/>
  <c r="BS2727" i="1"/>
  <c r="BO2725" i="1"/>
  <c r="BQ2725" i="1" s="1"/>
  <c r="BR2725" i="1" s="1"/>
  <c r="BS2726" i="1"/>
  <c r="BO2727" i="1"/>
  <c r="BQ2727" i="1" s="1"/>
  <c r="BR2727" i="1" s="1"/>
  <c r="BO2728" i="1"/>
  <c r="BQ2728" i="1" s="1"/>
  <c r="BR2728" i="1" s="1"/>
  <c r="BS2724" i="1"/>
  <c r="BO2724" i="1"/>
  <c r="BQ2724" i="1" s="1"/>
  <c r="BR2724" i="1" s="1"/>
  <c r="BS1583" i="1"/>
  <c r="BS1584" i="1"/>
  <c r="BO1584" i="1"/>
  <c r="BQ1584" i="1" s="1"/>
  <c r="BR1584" i="1" s="1"/>
  <c r="BS1586" i="1"/>
  <c r="BS1585" i="1"/>
  <c r="BO1583" i="1"/>
  <c r="BQ1583" i="1" s="1"/>
  <c r="BR1583" i="1" s="1"/>
  <c r="BO1582" i="1"/>
  <c r="BQ1582" i="1" s="1"/>
  <c r="BR1582" i="1" s="1"/>
  <c r="BO1586" i="1"/>
  <c r="BQ1586" i="1" s="1"/>
  <c r="BR1586" i="1" s="1"/>
  <c r="BS1582" i="1"/>
  <c r="BO1585" i="1"/>
  <c r="BQ1585" i="1" s="1"/>
  <c r="BR1585" i="1" s="1"/>
  <c r="BO1530" i="1"/>
  <c r="BQ1530" i="1" s="1"/>
  <c r="BR1530" i="1" s="1"/>
  <c r="BO1528" i="1"/>
  <c r="BQ1528" i="1" s="1"/>
  <c r="BR1528" i="1" s="1"/>
  <c r="BS1528" i="1"/>
  <c r="BS1532" i="1"/>
  <c r="BS1531" i="1"/>
  <c r="BO1531" i="1"/>
  <c r="BQ1531" i="1" s="1"/>
  <c r="BR1531" i="1" s="1"/>
  <c r="BO1532" i="1"/>
  <c r="BQ1532" i="1" s="1"/>
  <c r="BR1532" i="1" s="1"/>
  <c r="BS1529" i="1"/>
  <c r="BO1529" i="1"/>
  <c r="BQ1529" i="1" s="1"/>
  <c r="BR1529" i="1" s="1"/>
  <c r="BS1530" i="1"/>
  <c r="BO1522" i="1"/>
  <c r="BQ1522" i="1" s="1"/>
  <c r="BR1522" i="1" s="1"/>
  <c r="BO1523" i="1"/>
  <c r="BQ1523" i="1" s="1"/>
  <c r="BR1523" i="1" s="1"/>
  <c r="BS1525" i="1"/>
  <c r="BS1524" i="1"/>
  <c r="BS1526" i="1"/>
  <c r="BS1523" i="1"/>
  <c r="BO1525" i="1"/>
  <c r="BQ1525" i="1" s="1"/>
  <c r="BR1525" i="1" s="1"/>
  <c r="BS1522" i="1"/>
  <c r="BO1524" i="1"/>
  <c r="BQ1524" i="1" s="1"/>
  <c r="BR1524" i="1" s="1"/>
  <c r="BO1526" i="1"/>
  <c r="BQ1526" i="1" s="1"/>
  <c r="BR1526" i="1" s="1"/>
  <c r="BS1589" i="1"/>
  <c r="BO1591" i="1"/>
  <c r="BQ1591" i="1" s="1"/>
  <c r="BR1591" i="1" s="1"/>
  <c r="BO1588" i="1"/>
  <c r="BQ1588" i="1" s="1"/>
  <c r="BR1588" i="1" s="1"/>
  <c r="BS1591" i="1"/>
  <c r="BS1592" i="1"/>
  <c r="BS1588" i="1"/>
  <c r="BO1592" i="1"/>
  <c r="BQ1592" i="1" s="1"/>
  <c r="BR1592" i="1" s="1"/>
  <c r="BO1590" i="1"/>
  <c r="BQ1590" i="1" s="1"/>
  <c r="BR1590" i="1" s="1"/>
  <c r="BS1590" i="1"/>
  <c r="BO1589" i="1"/>
  <c r="BQ1589" i="1" s="1"/>
  <c r="BR1589" i="1" s="1"/>
  <c r="BS1587" i="1"/>
  <c r="BO1587" i="1"/>
  <c r="BQ1587" i="1" s="1"/>
  <c r="BR1587" i="1" s="1"/>
  <c r="BO2385" i="1"/>
  <c r="BQ2385" i="1" s="1"/>
  <c r="BR2385" i="1" s="1"/>
  <c r="BS2384" i="1"/>
  <c r="BS2386" i="1"/>
  <c r="BO2387" i="1"/>
  <c r="BQ2387" i="1" s="1"/>
  <c r="BR2387" i="1" s="1"/>
  <c r="BO2384" i="1"/>
  <c r="BQ2384" i="1" s="1"/>
  <c r="BR2384" i="1" s="1"/>
  <c r="BO2386" i="1"/>
  <c r="BQ2386" i="1" s="1"/>
  <c r="BR2386" i="1" s="1"/>
  <c r="BS2383" i="1"/>
  <c r="BS2385" i="1"/>
  <c r="BS2387" i="1"/>
  <c r="BO2383" i="1"/>
  <c r="BQ2383" i="1" s="1"/>
  <c r="BR2383" i="1" s="1"/>
  <c r="BO1181" i="1"/>
  <c r="BS1177" i="1"/>
  <c r="BS1178" i="1"/>
  <c r="BO1179" i="1"/>
  <c r="BO1177" i="1"/>
  <c r="BS1179" i="1"/>
  <c r="BO1180" i="1"/>
  <c r="BS1181" i="1"/>
  <c r="BO1178" i="1"/>
  <c r="BS1180" i="1"/>
  <c r="BO268" i="1"/>
  <c r="BS266" i="1"/>
  <c r="BS268" i="1"/>
  <c r="BO269" i="1"/>
  <c r="BS269" i="1"/>
  <c r="BO266" i="1"/>
  <c r="BS267" i="1"/>
  <c r="BS270" i="1"/>
  <c r="BO267" i="1"/>
  <c r="BO270" i="1"/>
  <c r="BO264" i="1"/>
  <c r="BO263" i="1"/>
  <c r="BS261" i="1"/>
  <c r="BS263" i="1"/>
  <c r="BS260" i="1"/>
  <c r="BO261" i="1"/>
  <c r="BO262" i="1"/>
  <c r="BS262" i="1"/>
  <c r="BO260" i="1"/>
  <c r="BS264" i="1"/>
  <c r="BS2392" i="1"/>
  <c r="BO2389" i="1"/>
  <c r="BQ2389" i="1" s="1"/>
  <c r="BR2389" i="1" s="1"/>
  <c r="BO2393" i="1"/>
  <c r="BQ2393" i="1" s="1"/>
  <c r="BR2393" i="1" s="1"/>
  <c r="BO2392" i="1"/>
  <c r="BQ2392" i="1" s="1"/>
  <c r="BR2392" i="1" s="1"/>
  <c r="BO2391" i="1"/>
  <c r="BQ2391" i="1" s="1"/>
  <c r="BR2391" i="1" s="1"/>
  <c r="BS2390" i="1"/>
  <c r="BS2389" i="1"/>
  <c r="BS2391" i="1"/>
  <c r="BO2390" i="1"/>
  <c r="BQ2390" i="1" s="1"/>
  <c r="BR2390" i="1" s="1"/>
  <c r="BS2393" i="1"/>
  <c r="BS2388" i="1"/>
  <c r="BO2388" i="1"/>
  <c r="BQ2388" i="1" s="1"/>
  <c r="BR2388" i="1" s="1"/>
  <c r="BS1700" i="1"/>
  <c r="BO1702" i="1"/>
  <c r="BQ1702" i="1" s="1"/>
  <c r="BR1702" i="1" s="1"/>
  <c r="BS1702" i="1"/>
  <c r="BS1699" i="1"/>
  <c r="BS1703" i="1"/>
  <c r="BO1699" i="1"/>
  <c r="BQ1699" i="1" s="1"/>
  <c r="BR1699" i="1" s="1"/>
  <c r="BO1703" i="1"/>
  <c r="BQ1703" i="1" s="1"/>
  <c r="BR1703" i="1" s="1"/>
  <c r="BO1701" i="1"/>
  <c r="BQ1701" i="1" s="1"/>
  <c r="BR1701" i="1" s="1"/>
  <c r="BS1701" i="1"/>
  <c r="BO1700" i="1"/>
  <c r="BQ1700" i="1" s="1"/>
  <c r="BR1700" i="1" s="1"/>
  <c r="BO1697" i="1"/>
  <c r="BQ1697" i="1" s="1"/>
  <c r="BR1697" i="1" s="1"/>
  <c r="BO1695" i="1"/>
  <c r="BQ1695" i="1" s="1"/>
  <c r="BR1695" i="1" s="1"/>
  <c r="BO1694" i="1"/>
  <c r="BQ1694" i="1" s="1"/>
  <c r="BR1694" i="1" s="1"/>
  <c r="BS1695" i="1"/>
  <c r="BS1694" i="1"/>
  <c r="BS1693" i="1"/>
  <c r="BS1696" i="1"/>
  <c r="BO1693" i="1"/>
  <c r="BQ1693" i="1" s="1"/>
  <c r="BR1693" i="1" s="1"/>
  <c r="BO1696" i="1"/>
  <c r="BQ1696" i="1" s="1"/>
  <c r="BR1696" i="1" s="1"/>
  <c r="BS1697" i="1"/>
  <c r="BO1690" i="1"/>
  <c r="BQ1690" i="1" s="1"/>
  <c r="BR1690" i="1" s="1"/>
  <c r="BS1690" i="1"/>
  <c r="BS1687" i="1"/>
  <c r="BS1691" i="1"/>
  <c r="BS1689" i="1"/>
  <c r="BO1691" i="1"/>
  <c r="BQ1691" i="1" s="1"/>
  <c r="BR1691" i="1" s="1"/>
  <c r="BO1687" i="1"/>
  <c r="BQ1687" i="1" s="1"/>
  <c r="BR1687" i="1" s="1"/>
  <c r="BO1688" i="1"/>
  <c r="BQ1688" i="1" s="1"/>
  <c r="BR1688" i="1" s="1"/>
  <c r="BS1688" i="1"/>
  <c r="BO1689" i="1"/>
  <c r="BQ1689" i="1" s="1"/>
  <c r="BR1689" i="1" s="1"/>
  <c r="BO1681" i="1"/>
  <c r="BQ1681" i="1" s="1"/>
  <c r="BR1681" i="1" s="1"/>
  <c r="BO1683" i="1"/>
  <c r="BQ1683" i="1" s="1"/>
  <c r="BR1683" i="1" s="1"/>
  <c r="BO1682" i="1"/>
  <c r="BQ1682" i="1" s="1"/>
  <c r="BR1682" i="1" s="1"/>
  <c r="BS1683" i="1"/>
  <c r="BS1684" i="1"/>
  <c r="BS1685" i="1"/>
  <c r="BO1684" i="1"/>
  <c r="BQ1684" i="1" s="1"/>
  <c r="BR1684" i="1" s="1"/>
  <c r="BS1681" i="1"/>
  <c r="BS1682" i="1"/>
  <c r="BO1685" i="1"/>
  <c r="BQ1685" i="1" s="1"/>
  <c r="BR1685" i="1" s="1"/>
  <c r="BS1664" i="1"/>
  <c r="BS1665" i="1"/>
  <c r="BS1663" i="1"/>
  <c r="BO1664" i="1"/>
  <c r="BQ1664" i="1" s="1"/>
  <c r="BR1664" i="1" s="1"/>
  <c r="BO1663" i="1"/>
  <c r="BQ1663" i="1" s="1"/>
  <c r="BR1663" i="1" s="1"/>
  <c r="BO1665" i="1"/>
  <c r="BQ1665" i="1" s="1"/>
  <c r="BR1665" i="1" s="1"/>
  <c r="BS1667" i="1"/>
  <c r="BO1666" i="1"/>
  <c r="BQ1666" i="1" s="1"/>
  <c r="BR1666" i="1" s="1"/>
  <c r="BO1667" i="1"/>
  <c r="BQ1667" i="1" s="1"/>
  <c r="BR1667" i="1" s="1"/>
  <c r="BS1666" i="1"/>
  <c r="BS1658" i="1"/>
  <c r="BS1659" i="1"/>
  <c r="BS1660" i="1"/>
  <c r="BO1658" i="1"/>
  <c r="BQ1658" i="1" s="1"/>
  <c r="BR1658" i="1" s="1"/>
  <c r="BO1660" i="1"/>
  <c r="BQ1660" i="1" s="1"/>
  <c r="BR1660" i="1" s="1"/>
  <c r="BO1657" i="1"/>
  <c r="BQ1657" i="1" s="1"/>
  <c r="BR1657" i="1" s="1"/>
  <c r="BS1661" i="1"/>
  <c r="BS1657" i="1"/>
  <c r="BO1661" i="1"/>
  <c r="BQ1661" i="1" s="1"/>
  <c r="BR1661" i="1" s="1"/>
  <c r="BO1659" i="1"/>
  <c r="BQ1659" i="1" s="1"/>
  <c r="BR1659" i="1" s="1"/>
  <c r="BS1708" i="1"/>
  <c r="BO1705" i="1"/>
  <c r="BQ1705" i="1" s="1"/>
  <c r="BR1705" i="1" s="1"/>
  <c r="BO1708" i="1"/>
  <c r="BQ1708" i="1" s="1"/>
  <c r="BR1708" i="1" s="1"/>
  <c r="BS1709" i="1"/>
  <c r="BO1707" i="1"/>
  <c r="BQ1707" i="1" s="1"/>
  <c r="BR1707" i="1" s="1"/>
  <c r="BO1709" i="1"/>
  <c r="BQ1709" i="1" s="1"/>
  <c r="BR1709" i="1" s="1"/>
  <c r="BS1707" i="1"/>
  <c r="BS1706" i="1"/>
  <c r="BO1706" i="1"/>
  <c r="BQ1706" i="1" s="1"/>
  <c r="BR1706" i="1" s="1"/>
  <c r="BS1705" i="1"/>
  <c r="BO1704" i="1"/>
  <c r="BQ1704" i="1" s="1"/>
  <c r="BR1704" i="1" s="1"/>
  <c r="BS1704" i="1"/>
  <c r="BS1804" i="1"/>
  <c r="BO1804" i="1"/>
  <c r="BQ1804" i="1" s="1"/>
  <c r="BR1804" i="1" s="1"/>
  <c r="BS1800" i="1"/>
  <c r="BO1802" i="1"/>
  <c r="BQ1802" i="1" s="1"/>
  <c r="BR1802" i="1" s="1"/>
  <c r="BO1803" i="1"/>
  <c r="BQ1803" i="1" s="1"/>
  <c r="BR1803" i="1" s="1"/>
  <c r="BS1801" i="1"/>
  <c r="BS1805" i="1"/>
  <c r="BS1803" i="1"/>
  <c r="BO1805" i="1"/>
  <c r="BQ1805" i="1" s="1"/>
  <c r="BR1805" i="1" s="1"/>
  <c r="BO1800" i="1"/>
  <c r="BQ1800" i="1" s="1"/>
  <c r="BR1800" i="1" s="1"/>
  <c r="BS1802" i="1"/>
  <c r="BO1801" i="1"/>
  <c r="BQ1801" i="1" s="1"/>
  <c r="BR1801" i="1" s="1"/>
  <c r="BS1795" i="1"/>
  <c r="BS1797" i="1"/>
  <c r="BS1798" i="1"/>
  <c r="BO1796" i="1"/>
  <c r="BQ1796" i="1" s="1"/>
  <c r="BR1796" i="1" s="1"/>
  <c r="BO1798" i="1"/>
  <c r="BQ1798" i="1" s="1"/>
  <c r="BR1798" i="1" s="1"/>
  <c r="BS1796" i="1"/>
  <c r="BO1795" i="1"/>
  <c r="BQ1795" i="1" s="1"/>
  <c r="BR1795" i="1" s="1"/>
  <c r="BO1797" i="1"/>
  <c r="BQ1797" i="1" s="1"/>
  <c r="BR1797" i="1" s="1"/>
  <c r="BO1790" i="1"/>
  <c r="BQ1790" i="1" s="1"/>
  <c r="BR1790" i="1" s="1"/>
  <c r="BS1790" i="1"/>
  <c r="BO1791" i="1"/>
  <c r="BQ1791" i="1" s="1"/>
  <c r="BR1791" i="1" s="1"/>
  <c r="BS1789" i="1"/>
  <c r="BO1789" i="1"/>
  <c r="BQ1789" i="1" s="1"/>
  <c r="BR1789" i="1" s="1"/>
  <c r="BO1793" i="1"/>
  <c r="BQ1793" i="1" s="1"/>
  <c r="BR1793" i="1" s="1"/>
  <c r="BO1792" i="1"/>
  <c r="BQ1792" i="1" s="1"/>
  <c r="BR1792" i="1" s="1"/>
  <c r="BS1793" i="1"/>
  <c r="BS1792" i="1"/>
  <c r="BS1791" i="1"/>
  <c r="BO1784" i="1"/>
  <c r="BQ1784" i="1" s="1"/>
  <c r="BR1784" i="1" s="1"/>
  <c r="BS1784" i="1"/>
  <c r="BO1785" i="1"/>
  <c r="BQ1785" i="1" s="1"/>
  <c r="BR1785" i="1" s="1"/>
  <c r="BS1783" i="1"/>
  <c r="BS1785" i="1"/>
  <c r="BS1787" i="1"/>
  <c r="BO1783" i="1"/>
  <c r="BQ1783" i="1" s="1"/>
  <c r="BR1783" i="1" s="1"/>
  <c r="BO1787" i="1"/>
  <c r="BQ1787" i="1" s="1"/>
  <c r="BR1787" i="1" s="1"/>
  <c r="BO1786" i="1"/>
  <c r="BQ1786" i="1" s="1"/>
  <c r="BR1786" i="1" s="1"/>
  <c r="BS1786" i="1"/>
  <c r="BS1799" i="1"/>
  <c r="BO1799" i="1"/>
  <c r="BQ1799" i="1" s="1"/>
  <c r="BR1799" i="1" s="1"/>
  <c r="BS1890" i="1"/>
  <c r="BO1890" i="1"/>
  <c r="BQ1890" i="1" s="1"/>
  <c r="BR1890" i="1" s="1"/>
  <c r="BS1889" i="1"/>
  <c r="BO1889" i="1"/>
  <c r="BQ1889" i="1" s="1"/>
  <c r="BR1889" i="1" s="1"/>
  <c r="BO1894" i="1"/>
  <c r="BQ1894" i="1" s="1"/>
  <c r="BR1894" i="1" s="1"/>
  <c r="BS1893" i="1"/>
  <c r="BS1894" i="1"/>
  <c r="BO1892" i="1"/>
  <c r="BQ1892" i="1" s="1"/>
  <c r="BR1892" i="1" s="1"/>
  <c r="BO1893" i="1"/>
  <c r="BQ1893" i="1" s="1"/>
  <c r="BR1893" i="1" s="1"/>
  <c r="BS1891" i="1"/>
  <c r="BS1892" i="1"/>
  <c r="BS1895" i="1"/>
  <c r="BO1891" i="1"/>
  <c r="BQ1891" i="1" s="1"/>
  <c r="BR1891" i="1" s="1"/>
  <c r="BO1895" i="1"/>
  <c r="BQ1895" i="1" s="1"/>
  <c r="BR1895" i="1" s="1"/>
  <c r="BO1887" i="1"/>
  <c r="BQ1887" i="1" s="1"/>
  <c r="BR1887" i="1" s="1"/>
  <c r="BO1885" i="1"/>
  <c r="BQ1885" i="1" s="1"/>
  <c r="BR1885" i="1" s="1"/>
  <c r="BS1887" i="1"/>
  <c r="BS1885" i="1"/>
  <c r="BS1888" i="1"/>
  <c r="BS1886" i="1"/>
  <c r="BO1888" i="1"/>
  <c r="BQ1888" i="1" s="1"/>
  <c r="BR1888" i="1" s="1"/>
  <c r="BO1886" i="1"/>
  <c r="BQ1886" i="1" s="1"/>
  <c r="BR1886" i="1" s="1"/>
  <c r="BS1879" i="1"/>
  <c r="BO1882" i="1"/>
  <c r="BQ1882" i="1" s="1"/>
  <c r="BR1882" i="1" s="1"/>
  <c r="BO1883" i="1"/>
  <c r="BQ1883" i="1" s="1"/>
  <c r="BR1883" i="1" s="1"/>
  <c r="BO1880" i="1"/>
  <c r="BQ1880" i="1" s="1"/>
  <c r="BR1880" i="1" s="1"/>
  <c r="BS1883" i="1"/>
  <c r="BO1879" i="1"/>
  <c r="BQ1879" i="1" s="1"/>
  <c r="BR1879" i="1" s="1"/>
  <c r="BS1881" i="1"/>
  <c r="BS1880" i="1"/>
  <c r="BO1881" i="1"/>
  <c r="BQ1881" i="1" s="1"/>
  <c r="BR1881" i="1" s="1"/>
  <c r="BS1882" i="1"/>
  <c r="BS1874" i="1"/>
  <c r="BO1877" i="1"/>
  <c r="BQ1877" i="1" s="1"/>
  <c r="BR1877" i="1" s="1"/>
  <c r="BO1873" i="1"/>
  <c r="BQ1873" i="1" s="1"/>
  <c r="BR1873" i="1" s="1"/>
  <c r="BS1873" i="1"/>
  <c r="BS1875" i="1"/>
  <c r="BO1876" i="1"/>
  <c r="BQ1876" i="1" s="1"/>
  <c r="BR1876" i="1" s="1"/>
  <c r="BO1875" i="1"/>
  <c r="BQ1875" i="1" s="1"/>
  <c r="BR1875" i="1" s="1"/>
  <c r="BS1876" i="1"/>
  <c r="BO1874" i="1"/>
  <c r="BQ1874" i="1" s="1"/>
  <c r="BR1874" i="1" s="1"/>
  <c r="BS1877" i="1"/>
  <c r="BS1867" i="1"/>
  <c r="BS1869" i="1"/>
  <c r="BO1868" i="1"/>
  <c r="BQ1868" i="1" s="1"/>
  <c r="BR1868" i="1" s="1"/>
  <c r="BO1867" i="1"/>
  <c r="BQ1867" i="1" s="1"/>
  <c r="BR1867" i="1" s="1"/>
  <c r="BS1871" i="1"/>
  <c r="BS1868" i="1"/>
  <c r="BO1870" i="1"/>
  <c r="BQ1870" i="1" s="1"/>
  <c r="BR1870" i="1" s="1"/>
  <c r="BO1869" i="1"/>
  <c r="BQ1869" i="1" s="1"/>
  <c r="BR1869" i="1" s="1"/>
  <c r="BS1870" i="1"/>
  <c r="BO1871" i="1"/>
  <c r="BQ1871" i="1" s="1"/>
  <c r="BR1871" i="1" s="1"/>
  <c r="BS1865" i="1"/>
  <c r="BS1863" i="1"/>
  <c r="BO1862" i="1"/>
  <c r="BQ1862" i="1" s="1"/>
  <c r="BR1862" i="1" s="1"/>
  <c r="BO1865" i="1"/>
  <c r="BQ1865" i="1" s="1"/>
  <c r="BR1865" i="1" s="1"/>
  <c r="BO1863" i="1"/>
  <c r="BQ1863" i="1" s="1"/>
  <c r="BR1863" i="1" s="1"/>
  <c r="BS1861" i="1"/>
  <c r="BS1862" i="1"/>
  <c r="BO1864" i="1"/>
  <c r="BQ1864" i="1" s="1"/>
  <c r="BR1864" i="1" s="1"/>
  <c r="BO1861" i="1"/>
  <c r="BQ1861" i="1" s="1"/>
  <c r="BR1861" i="1" s="1"/>
  <c r="BS1864" i="1"/>
  <c r="BS1859" i="1"/>
  <c r="BO1858" i="1"/>
  <c r="BQ1858" i="1" s="1"/>
  <c r="BR1858" i="1" s="1"/>
  <c r="BS1855" i="1"/>
  <c r="BO1855" i="1"/>
  <c r="BQ1855" i="1" s="1"/>
  <c r="BR1855" i="1" s="1"/>
  <c r="BO1856" i="1"/>
  <c r="BQ1856" i="1" s="1"/>
  <c r="BR1856" i="1" s="1"/>
  <c r="BO1857" i="1"/>
  <c r="BQ1857" i="1" s="1"/>
  <c r="BR1857" i="1" s="1"/>
  <c r="BS1856" i="1"/>
  <c r="BS1857" i="1"/>
  <c r="BO1859" i="1"/>
  <c r="BQ1859" i="1" s="1"/>
  <c r="BR1859" i="1" s="1"/>
  <c r="BS1858" i="1"/>
  <c r="BO1852" i="1"/>
  <c r="BQ1852" i="1" s="1"/>
  <c r="BR1852" i="1" s="1"/>
  <c r="BS1852" i="1"/>
  <c r="BS1849" i="1"/>
  <c r="BO1849" i="1"/>
  <c r="BQ1849" i="1" s="1"/>
  <c r="BR1849" i="1" s="1"/>
  <c r="BO1851" i="1"/>
  <c r="BQ1851" i="1" s="1"/>
  <c r="BR1851" i="1" s="1"/>
  <c r="BS1853" i="1"/>
  <c r="BS1851" i="1"/>
  <c r="BO1850" i="1"/>
  <c r="BQ1850" i="1" s="1"/>
  <c r="BR1850" i="1" s="1"/>
  <c r="BO1853" i="1"/>
  <c r="BQ1853" i="1" s="1"/>
  <c r="BR1853" i="1" s="1"/>
  <c r="BS1850" i="1"/>
  <c r="BO1846" i="1"/>
  <c r="BQ1846" i="1" s="1"/>
  <c r="BR1846" i="1" s="1"/>
  <c r="BO1843" i="1"/>
  <c r="BQ1843" i="1" s="1"/>
  <c r="BR1843" i="1" s="1"/>
  <c r="BS1843" i="1"/>
  <c r="BS1846" i="1"/>
  <c r="BS1847" i="1"/>
  <c r="BS1845" i="1"/>
  <c r="BS1844" i="1"/>
  <c r="BO1845" i="1"/>
  <c r="BQ1845" i="1" s="1"/>
  <c r="BR1845" i="1" s="1"/>
  <c r="BO1847" i="1"/>
  <c r="BQ1847" i="1" s="1"/>
  <c r="BR1847" i="1" s="1"/>
  <c r="BO1844" i="1"/>
  <c r="BQ1844" i="1" s="1"/>
  <c r="BR1844" i="1" s="1"/>
  <c r="BS1840" i="1"/>
  <c r="BS1841" i="1"/>
  <c r="BO1837" i="1"/>
  <c r="BQ1837" i="1" s="1"/>
  <c r="BR1837" i="1" s="1"/>
  <c r="BO1839" i="1"/>
  <c r="BQ1839" i="1" s="1"/>
  <c r="BR1839" i="1" s="1"/>
  <c r="BO1840" i="1"/>
  <c r="BQ1840" i="1" s="1"/>
  <c r="BR1840" i="1" s="1"/>
  <c r="BS1839" i="1"/>
  <c r="BO1838" i="1"/>
  <c r="BQ1838" i="1" s="1"/>
  <c r="BR1838" i="1" s="1"/>
  <c r="BO1841" i="1"/>
  <c r="BQ1841" i="1" s="1"/>
  <c r="BR1841" i="1" s="1"/>
  <c r="BS1838" i="1"/>
  <c r="BS1837" i="1"/>
  <c r="BO1832" i="1"/>
  <c r="BQ1832" i="1" s="1"/>
  <c r="BR1832" i="1" s="1"/>
  <c r="BO1831" i="1"/>
  <c r="BQ1831" i="1" s="1"/>
  <c r="BR1831" i="1" s="1"/>
  <c r="BS1835" i="1"/>
  <c r="BS1831" i="1"/>
  <c r="BO1833" i="1"/>
  <c r="BQ1833" i="1" s="1"/>
  <c r="BR1833" i="1" s="1"/>
  <c r="BO1835" i="1"/>
  <c r="BQ1835" i="1" s="1"/>
  <c r="BR1835" i="1" s="1"/>
  <c r="BS1834" i="1"/>
  <c r="BS1833" i="1"/>
  <c r="BS1832" i="1"/>
  <c r="BO1834" i="1"/>
  <c r="BQ1834" i="1" s="1"/>
  <c r="BR1834" i="1" s="1"/>
  <c r="BS1828" i="1"/>
  <c r="BS1827" i="1"/>
  <c r="BS1825" i="1"/>
  <c r="BS1826" i="1"/>
  <c r="BS1829" i="1"/>
  <c r="BO1822" i="1"/>
  <c r="BQ1822" i="1" s="1"/>
  <c r="BR1822" i="1" s="1"/>
  <c r="BO1819" i="1"/>
  <c r="BQ1819" i="1" s="1"/>
  <c r="BR1819" i="1" s="1"/>
  <c r="BO1823" i="1"/>
  <c r="BQ1823" i="1" s="1"/>
  <c r="BR1823" i="1" s="1"/>
  <c r="BO1820" i="1"/>
  <c r="BQ1820" i="1" s="1"/>
  <c r="BR1820" i="1" s="1"/>
  <c r="BO1821" i="1"/>
  <c r="BQ1821" i="1" s="1"/>
  <c r="BR1821" i="1" s="1"/>
  <c r="BS1820" i="1"/>
  <c r="BS1822" i="1"/>
  <c r="BS1821" i="1"/>
  <c r="BS1819" i="1"/>
  <c r="BS1823" i="1"/>
  <c r="BO1814" i="1"/>
  <c r="BQ1814" i="1" s="1"/>
  <c r="BR1814" i="1" s="1"/>
  <c r="BO1813" i="1"/>
  <c r="BQ1813" i="1" s="1"/>
  <c r="BR1813" i="1" s="1"/>
  <c r="BS1813" i="1"/>
  <c r="BO1817" i="1"/>
  <c r="BQ1817" i="1" s="1"/>
  <c r="BR1817" i="1" s="1"/>
  <c r="BS1816" i="1"/>
  <c r="BS1815" i="1"/>
  <c r="BS1814" i="1"/>
  <c r="BO1816" i="1"/>
  <c r="BQ1816" i="1" s="1"/>
  <c r="BR1816" i="1" s="1"/>
  <c r="BO1815" i="1"/>
  <c r="BQ1815" i="1" s="1"/>
  <c r="BR1815" i="1" s="1"/>
  <c r="BS1817" i="1"/>
  <c r="BS1808" i="1"/>
  <c r="BS1810" i="1"/>
  <c r="BS1809" i="1"/>
  <c r="BS1811" i="1"/>
  <c r="BS1807" i="1"/>
  <c r="BO2716" i="1"/>
  <c r="BQ2716" i="1" s="1"/>
  <c r="BR2716" i="1" s="1"/>
  <c r="BS2718" i="1"/>
  <c r="BS2716" i="1"/>
  <c r="BS2719" i="1"/>
  <c r="BO2715" i="1"/>
  <c r="BQ2715" i="1" s="1"/>
  <c r="BR2715" i="1" s="1"/>
  <c r="BS2717" i="1"/>
  <c r="BO2719" i="1"/>
  <c r="BQ2719" i="1" s="1"/>
  <c r="BR2719" i="1" s="1"/>
  <c r="BO2717" i="1"/>
  <c r="BQ2717" i="1" s="1"/>
  <c r="BR2717" i="1" s="1"/>
  <c r="BS2715" i="1"/>
  <c r="BO2718" i="1"/>
  <c r="BQ2718" i="1" s="1"/>
  <c r="BR2718" i="1" s="1"/>
  <c r="BO2710" i="1"/>
  <c r="BQ2710" i="1" s="1"/>
  <c r="BR2710" i="1" s="1"/>
  <c r="BS2713" i="1"/>
  <c r="BO2713" i="1"/>
  <c r="BQ2713" i="1" s="1"/>
  <c r="BR2713" i="1" s="1"/>
  <c r="BS2709" i="1"/>
  <c r="BS2710" i="1"/>
  <c r="BO2709" i="1"/>
  <c r="BQ2709" i="1" s="1"/>
  <c r="BR2709" i="1" s="1"/>
  <c r="BO2712" i="1"/>
  <c r="BQ2712" i="1" s="1"/>
  <c r="BR2712" i="1" s="1"/>
  <c r="BO2711" i="1"/>
  <c r="BQ2711" i="1" s="1"/>
  <c r="BR2711" i="1" s="1"/>
  <c r="BS2711" i="1"/>
  <c r="BS2712" i="1"/>
  <c r="BS1927" i="1"/>
  <c r="BS1930" i="1"/>
  <c r="BO1927" i="1"/>
  <c r="BQ1927" i="1" s="1"/>
  <c r="BR1927" i="1" s="1"/>
  <c r="BS1931" i="1"/>
  <c r="BO1929" i="1"/>
  <c r="BQ1929" i="1" s="1"/>
  <c r="BR1929" i="1" s="1"/>
  <c r="BS1928" i="1"/>
  <c r="BO1931" i="1"/>
  <c r="BQ1931" i="1" s="1"/>
  <c r="BR1931" i="1" s="1"/>
  <c r="BO1930" i="1"/>
  <c r="BQ1930" i="1" s="1"/>
  <c r="BR1930" i="1" s="1"/>
  <c r="BO1928" i="1"/>
  <c r="BQ1928" i="1" s="1"/>
  <c r="BR1928" i="1" s="1"/>
  <c r="BS1929" i="1"/>
  <c r="BS2714" i="1"/>
  <c r="BO2714" i="1"/>
  <c r="BQ2714" i="1" s="1"/>
  <c r="BR2714" i="1" s="1"/>
  <c r="BS1164" i="1"/>
  <c r="BS1162" i="1"/>
  <c r="BO1163" i="1"/>
  <c r="BQ1163" i="1" s="1"/>
  <c r="BR1163" i="1" s="1"/>
  <c r="BO1162" i="1"/>
  <c r="BQ1162" i="1" s="1"/>
  <c r="BR1162" i="1" s="1"/>
  <c r="BS1160" i="1"/>
  <c r="BS1163" i="1"/>
  <c r="BO1160" i="1"/>
  <c r="BQ1160" i="1" s="1"/>
  <c r="BR1160" i="1" s="1"/>
  <c r="BO1164" i="1"/>
  <c r="BQ1164" i="1" s="1"/>
  <c r="BR1164" i="1" s="1"/>
  <c r="BS1161" i="1"/>
  <c r="BO1161" i="1"/>
  <c r="BQ1161" i="1" s="1"/>
  <c r="BR1161" i="1" s="1"/>
  <c r="BS1155" i="1"/>
  <c r="BO1156" i="1"/>
  <c r="BQ1156" i="1" s="1"/>
  <c r="BR1156" i="1" s="1"/>
  <c r="BS1154" i="1"/>
  <c r="BS1158" i="1"/>
  <c r="BO1158" i="1"/>
  <c r="BQ1158" i="1" s="1"/>
  <c r="BR1158" i="1" s="1"/>
  <c r="BO1155" i="1"/>
  <c r="BQ1155" i="1" s="1"/>
  <c r="BR1155" i="1" s="1"/>
  <c r="BO1154" i="1"/>
  <c r="BQ1154" i="1" s="1"/>
  <c r="BR1154" i="1" s="1"/>
  <c r="BS1157" i="1"/>
  <c r="BS1156" i="1"/>
  <c r="BO1157" i="1"/>
  <c r="BQ1157" i="1" s="1"/>
  <c r="BR1157" i="1" s="1"/>
  <c r="BS1076" i="1"/>
  <c r="BO1080" i="1"/>
  <c r="BQ1080" i="1" s="1"/>
  <c r="BR1080" i="1" s="1"/>
  <c r="BO1076" i="1"/>
  <c r="BQ1076" i="1" s="1"/>
  <c r="BR1076" i="1" s="1"/>
  <c r="BO1077" i="1"/>
  <c r="BQ1077" i="1" s="1"/>
  <c r="BR1077" i="1" s="1"/>
  <c r="BO1078" i="1"/>
  <c r="BQ1078" i="1" s="1"/>
  <c r="BR1078" i="1" s="1"/>
  <c r="BO1079" i="1"/>
  <c r="BQ1079" i="1" s="1"/>
  <c r="BR1079" i="1" s="1"/>
  <c r="BS1077" i="1"/>
  <c r="BS1078" i="1"/>
  <c r="BS1079" i="1"/>
  <c r="BS1080" i="1"/>
  <c r="BS1073" i="1"/>
  <c r="BS1071" i="1"/>
  <c r="BO1074" i="1"/>
  <c r="BQ1074" i="1" s="1"/>
  <c r="BR1074" i="1" s="1"/>
  <c r="BO1071" i="1"/>
  <c r="BQ1071" i="1" s="1"/>
  <c r="BR1071" i="1" s="1"/>
  <c r="BO1072" i="1"/>
  <c r="BQ1072" i="1" s="1"/>
  <c r="BR1072" i="1" s="1"/>
  <c r="BO1073" i="1"/>
  <c r="BQ1073" i="1" s="1"/>
  <c r="BR1073" i="1" s="1"/>
  <c r="BS1072" i="1"/>
  <c r="BO1070" i="1"/>
  <c r="BQ1070" i="1" s="1"/>
  <c r="BR1070" i="1" s="1"/>
  <c r="BS1070" i="1"/>
  <c r="BS1074" i="1"/>
  <c r="BS1159" i="1"/>
  <c r="BO1159" i="1"/>
  <c r="BQ1159" i="1" s="1"/>
  <c r="BR1159" i="1" s="1"/>
  <c r="BO1167" i="1"/>
  <c r="BO1169" i="1"/>
  <c r="BS1167" i="1"/>
  <c r="BS1165" i="1"/>
  <c r="BO1165" i="1"/>
  <c r="BS1166" i="1"/>
  <c r="BO1168" i="1"/>
  <c r="BS1168" i="1"/>
  <c r="BO1166" i="1"/>
  <c r="BS1169" i="1"/>
  <c r="BO254" i="1"/>
  <c r="BS253" i="1"/>
  <c r="BS257" i="1"/>
  <c r="BS254" i="1"/>
  <c r="BO253" i="1"/>
  <c r="BO257" i="1"/>
  <c r="BS256" i="1"/>
  <c r="BO256" i="1"/>
  <c r="BO255" i="1"/>
  <c r="BS255" i="1"/>
  <c r="BS250" i="1"/>
  <c r="BO248" i="1"/>
  <c r="BS251" i="1"/>
  <c r="BO249" i="1"/>
  <c r="BO251" i="1"/>
  <c r="BS247" i="1"/>
  <c r="BS249" i="1"/>
  <c r="BO247" i="1"/>
  <c r="BS248" i="1"/>
  <c r="BO250" i="1"/>
  <c r="BS1272" i="1"/>
  <c r="BO1271" i="1"/>
  <c r="BQ1271" i="1" s="1"/>
  <c r="BR1271" i="1" s="1"/>
  <c r="BO1270" i="1"/>
  <c r="BQ1270" i="1" s="1"/>
  <c r="BR1270" i="1" s="1"/>
  <c r="BS1271" i="1"/>
  <c r="BS1270" i="1"/>
  <c r="BO1272" i="1"/>
  <c r="BQ1272" i="1" s="1"/>
  <c r="BR1272" i="1" s="1"/>
  <c r="BS1273" i="1"/>
  <c r="BS1269" i="1"/>
  <c r="BO1273" i="1"/>
  <c r="BQ1273" i="1" s="1"/>
  <c r="BR1273" i="1" s="1"/>
  <c r="BO1269" i="1"/>
  <c r="BQ1269" i="1" s="1"/>
  <c r="BR1269" i="1" s="1"/>
  <c r="BO1265" i="1"/>
  <c r="BQ1265" i="1" s="1"/>
  <c r="BR1265" i="1" s="1"/>
  <c r="BS1265" i="1"/>
  <c r="BO1264" i="1"/>
  <c r="BQ1264" i="1" s="1"/>
  <c r="BR1264" i="1" s="1"/>
  <c r="BS1264" i="1"/>
  <c r="BS1266" i="1"/>
  <c r="BO1266" i="1"/>
  <c r="BQ1266" i="1" s="1"/>
  <c r="BR1266" i="1" s="1"/>
  <c r="BS1263" i="1"/>
  <c r="BS1267" i="1"/>
  <c r="BO1263" i="1"/>
  <c r="BQ1263" i="1" s="1"/>
  <c r="BR1263" i="1" s="1"/>
  <c r="BO1267" i="1"/>
  <c r="BQ1267" i="1" s="1"/>
  <c r="BR1267" i="1" s="1"/>
  <c r="BO1257" i="1"/>
  <c r="BQ1257" i="1" s="1"/>
  <c r="BR1257" i="1" s="1"/>
  <c r="BS1260" i="1"/>
  <c r="BO1261" i="1"/>
  <c r="BQ1261" i="1" s="1"/>
  <c r="BR1261" i="1" s="1"/>
  <c r="BO1260" i="1"/>
  <c r="BQ1260" i="1" s="1"/>
  <c r="BR1260" i="1" s="1"/>
  <c r="BS1257" i="1"/>
  <c r="BO1258" i="1"/>
  <c r="BQ1258" i="1" s="1"/>
  <c r="BR1258" i="1" s="1"/>
  <c r="BO1259" i="1"/>
  <c r="BQ1259" i="1" s="1"/>
  <c r="BR1259" i="1" s="1"/>
  <c r="BS1259" i="1"/>
  <c r="BS1261" i="1"/>
  <c r="BS1258" i="1"/>
  <c r="BO1254" i="1"/>
  <c r="BQ1254" i="1" s="1"/>
  <c r="BR1254" i="1" s="1"/>
  <c r="BS1254" i="1"/>
  <c r="BS1252" i="1"/>
  <c r="BS1251" i="1"/>
  <c r="BS1255" i="1"/>
  <c r="BO1251" i="1"/>
  <c r="BQ1251" i="1" s="1"/>
  <c r="BR1251" i="1" s="1"/>
  <c r="BO1253" i="1"/>
  <c r="BQ1253" i="1" s="1"/>
  <c r="BR1253" i="1" s="1"/>
  <c r="BO1255" i="1"/>
  <c r="BQ1255" i="1" s="1"/>
  <c r="BR1255" i="1" s="1"/>
  <c r="BS1253" i="1"/>
  <c r="BO1252" i="1"/>
  <c r="BQ1252" i="1" s="1"/>
  <c r="BR1252" i="1" s="1"/>
  <c r="BO1247" i="1"/>
  <c r="BQ1247" i="1" s="1"/>
  <c r="BR1247" i="1" s="1"/>
  <c r="BO1249" i="1"/>
  <c r="BQ1249" i="1" s="1"/>
  <c r="BR1249" i="1" s="1"/>
  <c r="BS1247" i="1"/>
  <c r="BS1245" i="1"/>
  <c r="BO1246" i="1"/>
  <c r="BQ1246" i="1" s="1"/>
  <c r="BR1246" i="1" s="1"/>
  <c r="BO1245" i="1"/>
  <c r="BQ1245" i="1" s="1"/>
  <c r="BR1245" i="1" s="1"/>
  <c r="BS1248" i="1"/>
  <c r="BS1246" i="1"/>
  <c r="BS1249" i="1"/>
  <c r="BO1248" i="1"/>
  <c r="BQ1248" i="1" s="1"/>
  <c r="BR1248" i="1" s="1"/>
  <c r="BS1268" i="1"/>
  <c r="BO1268" i="1"/>
  <c r="BQ1268" i="1" s="1"/>
  <c r="BR1268" i="1" s="1"/>
  <c r="BS1368" i="1"/>
  <c r="BS1366" i="1"/>
  <c r="BS1369" i="1"/>
  <c r="BO1369" i="1"/>
  <c r="BQ1369" i="1" s="1"/>
  <c r="BR1369" i="1" s="1"/>
  <c r="BO1366" i="1"/>
  <c r="BQ1366" i="1" s="1"/>
  <c r="BR1366" i="1" s="1"/>
  <c r="BO1365" i="1"/>
  <c r="BQ1365" i="1" s="1"/>
  <c r="BR1365" i="1" s="1"/>
  <c r="BS1367" i="1"/>
  <c r="BO1368" i="1"/>
  <c r="BQ1368" i="1" s="1"/>
  <c r="BR1368" i="1" s="1"/>
  <c r="BO1367" i="1"/>
  <c r="BQ1367" i="1" s="1"/>
  <c r="BR1367" i="1" s="1"/>
  <c r="BS1365" i="1"/>
  <c r="BS1359" i="1"/>
  <c r="BS1360" i="1"/>
  <c r="BO1362" i="1"/>
  <c r="BQ1362" i="1" s="1"/>
  <c r="BR1362" i="1" s="1"/>
  <c r="BS1363" i="1"/>
  <c r="BS1361" i="1"/>
  <c r="BO1363" i="1"/>
  <c r="BQ1363" i="1" s="1"/>
  <c r="BR1363" i="1" s="1"/>
  <c r="BO1361" i="1"/>
  <c r="BQ1361" i="1" s="1"/>
  <c r="BR1361" i="1" s="1"/>
  <c r="BO1360" i="1"/>
  <c r="BQ1360" i="1" s="1"/>
  <c r="BR1360" i="1" s="1"/>
  <c r="BS1362" i="1"/>
  <c r="BO1359" i="1"/>
  <c r="BQ1359" i="1" s="1"/>
  <c r="BR1359" i="1" s="1"/>
  <c r="BS1356" i="1"/>
  <c r="BS1353" i="1"/>
  <c r="BO1356" i="1"/>
  <c r="BQ1356" i="1" s="1"/>
  <c r="BR1356" i="1" s="1"/>
  <c r="BS1354" i="1"/>
  <c r="BS1355" i="1"/>
  <c r="BS1357" i="1"/>
  <c r="BO1355" i="1"/>
  <c r="BQ1355" i="1" s="1"/>
  <c r="BR1355" i="1" s="1"/>
  <c r="BO1357" i="1"/>
  <c r="BQ1357" i="1" s="1"/>
  <c r="BR1357" i="1" s="1"/>
  <c r="BO1354" i="1"/>
  <c r="BQ1354" i="1" s="1"/>
  <c r="BR1354" i="1" s="1"/>
  <c r="BO1353" i="1"/>
  <c r="BQ1353" i="1" s="1"/>
  <c r="BR1353" i="1" s="1"/>
  <c r="BO1347" i="1"/>
  <c r="BQ1347" i="1" s="1"/>
  <c r="BR1347" i="1" s="1"/>
  <c r="BS1347" i="1"/>
  <c r="BS1348" i="1"/>
  <c r="BO1350" i="1"/>
  <c r="BQ1350" i="1" s="1"/>
  <c r="BR1350" i="1" s="1"/>
  <c r="BS1349" i="1"/>
  <c r="BO1351" i="1"/>
  <c r="BQ1351" i="1" s="1"/>
  <c r="BR1351" i="1" s="1"/>
  <c r="BS1351" i="1"/>
  <c r="BO1348" i="1"/>
  <c r="BQ1348" i="1" s="1"/>
  <c r="BR1348" i="1" s="1"/>
  <c r="BO1349" i="1"/>
  <c r="BQ1349" i="1" s="1"/>
  <c r="BR1349" i="1" s="1"/>
  <c r="BS1350" i="1"/>
  <c r="BS1345" i="1"/>
  <c r="BS1344" i="1"/>
  <c r="BS1341" i="1"/>
  <c r="BO1345" i="1"/>
  <c r="BQ1345" i="1" s="1"/>
  <c r="BR1345" i="1" s="1"/>
  <c r="BS1343" i="1"/>
  <c r="BO1344" i="1"/>
  <c r="BQ1344" i="1" s="1"/>
  <c r="BR1344" i="1" s="1"/>
  <c r="BO1342" i="1"/>
  <c r="BQ1342" i="1" s="1"/>
  <c r="BR1342" i="1" s="1"/>
  <c r="BO1343" i="1"/>
  <c r="BQ1343" i="1" s="1"/>
  <c r="BR1343" i="1" s="1"/>
  <c r="BS1342" i="1"/>
  <c r="BO1341" i="1"/>
  <c r="BQ1341" i="1" s="1"/>
  <c r="BR1341" i="1" s="1"/>
  <c r="BS1364" i="1"/>
  <c r="BO1364" i="1"/>
  <c r="BQ1364" i="1" s="1"/>
  <c r="BR1364" i="1" s="1"/>
  <c r="BS1456" i="1"/>
  <c r="BO1457" i="1"/>
  <c r="BQ1457" i="1" s="1"/>
  <c r="BR1457" i="1" s="1"/>
  <c r="BO1458" i="1"/>
  <c r="BQ1458" i="1" s="1"/>
  <c r="BR1458" i="1" s="1"/>
  <c r="BS1459" i="1"/>
  <c r="BS1455" i="1"/>
  <c r="BS1458" i="1"/>
  <c r="BO1455" i="1"/>
  <c r="BQ1455" i="1" s="1"/>
  <c r="BR1455" i="1" s="1"/>
  <c r="BO1459" i="1"/>
  <c r="BQ1459" i="1" s="1"/>
  <c r="BR1459" i="1" s="1"/>
  <c r="BO1456" i="1"/>
  <c r="BQ1456" i="1" s="1"/>
  <c r="BR1456" i="1" s="1"/>
  <c r="BS1457" i="1"/>
  <c r="BS1453" i="1"/>
  <c r="BO1450" i="1"/>
  <c r="BQ1450" i="1" s="1"/>
  <c r="BR1450" i="1" s="1"/>
  <c r="BO1452" i="1"/>
  <c r="BQ1452" i="1" s="1"/>
  <c r="BR1452" i="1" s="1"/>
  <c r="BO1453" i="1"/>
  <c r="BQ1453" i="1" s="1"/>
  <c r="BR1453" i="1" s="1"/>
  <c r="BS1450" i="1"/>
  <c r="BS1452" i="1"/>
  <c r="BS1449" i="1"/>
  <c r="BS1451" i="1"/>
  <c r="BO1451" i="1"/>
  <c r="BQ1451" i="1" s="1"/>
  <c r="BR1451" i="1" s="1"/>
  <c r="BO1449" i="1"/>
  <c r="BQ1449" i="1" s="1"/>
  <c r="BR1449" i="1" s="1"/>
  <c r="BS1447" i="1"/>
  <c r="BS1444" i="1"/>
  <c r="BS1445" i="1"/>
  <c r="BS1446" i="1"/>
  <c r="BO1447" i="1"/>
  <c r="BQ1447" i="1" s="1"/>
  <c r="BR1447" i="1" s="1"/>
  <c r="BS1443" i="1"/>
  <c r="BO1445" i="1"/>
  <c r="BQ1445" i="1" s="1"/>
  <c r="BR1445" i="1" s="1"/>
  <c r="BO1443" i="1"/>
  <c r="BQ1443" i="1" s="1"/>
  <c r="BR1443" i="1" s="1"/>
  <c r="BO1446" i="1"/>
  <c r="BQ1446" i="1" s="1"/>
  <c r="BR1446" i="1" s="1"/>
  <c r="BO1444" i="1"/>
  <c r="BQ1444" i="1" s="1"/>
  <c r="BR1444" i="1" s="1"/>
  <c r="BS1437" i="1"/>
  <c r="BO1439" i="1"/>
  <c r="BQ1439" i="1" s="1"/>
  <c r="BR1439" i="1" s="1"/>
  <c r="BO1438" i="1"/>
  <c r="BQ1438" i="1" s="1"/>
  <c r="BR1438" i="1" s="1"/>
  <c r="BO1437" i="1"/>
  <c r="BQ1437" i="1" s="1"/>
  <c r="BR1437" i="1" s="1"/>
  <c r="BS1438" i="1"/>
  <c r="BO1440" i="1"/>
  <c r="BQ1440" i="1" s="1"/>
  <c r="BR1440" i="1" s="1"/>
  <c r="BO1441" i="1"/>
  <c r="BQ1441" i="1" s="1"/>
  <c r="BR1441" i="1" s="1"/>
  <c r="BS1441" i="1"/>
  <c r="BS1439" i="1"/>
  <c r="BS1440" i="1"/>
  <c r="BO1434" i="1"/>
  <c r="BQ1434" i="1" s="1"/>
  <c r="BR1434" i="1" s="1"/>
  <c r="BS1431" i="1"/>
  <c r="BS1434" i="1"/>
  <c r="BS1433" i="1"/>
  <c r="BO1431" i="1"/>
  <c r="BQ1431" i="1" s="1"/>
  <c r="BR1431" i="1" s="1"/>
  <c r="BO1433" i="1"/>
  <c r="BQ1433" i="1" s="1"/>
  <c r="BR1433" i="1" s="1"/>
  <c r="BS1435" i="1"/>
  <c r="BO1432" i="1"/>
  <c r="BQ1432" i="1" s="1"/>
  <c r="BR1432" i="1" s="1"/>
  <c r="BO1435" i="1"/>
  <c r="BQ1435" i="1" s="1"/>
  <c r="BR1435" i="1" s="1"/>
  <c r="BS1432" i="1"/>
  <c r="BS1429" i="1"/>
  <c r="BO1428" i="1"/>
  <c r="BQ1428" i="1" s="1"/>
  <c r="BR1428" i="1" s="1"/>
  <c r="BO1426" i="1"/>
  <c r="BQ1426" i="1" s="1"/>
  <c r="BR1426" i="1" s="1"/>
  <c r="BS1426" i="1"/>
  <c r="BO1429" i="1"/>
  <c r="BQ1429" i="1" s="1"/>
  <c r="BR1429" i="1" s="1"/>
  <c r="BS1428" i="1"/>
  <c r="BS1425" i="1"/>
  <c r="BS1427" i="1"/>
  <c r="BO1425" i="1"/>
  <c r="BQ1425" i="1" s="1"/>
  <c r="BR1425" i="1" s="1"/>
  <c r="BO1427" i="1"/>
  <c r="BQ1427" i="1" s="1"/>
  <c r="BR1427" i="1" s="1"/>
  <c r="BO1422" i="1"/>
  <c r="BQ1422" i="1" s="1"/>
  <c r="BR1422" i="1" s="1"/>
  <c r="BS1422" i="1"/>
  <c r="BS1423" i="1"/>
  <c r="BS1419" i="1"/>
  <c r="BS1420" i="1"/>
  <c r="BO1423" i="1"/>
  <c r="BQ1423" i="1" s="1"/>
  <c r="BR1423" i="1" s="1"/>
  <c r="BO1419" i="1"/>
  <c r="BQ1419" i="1" s="1"/>
  <c r="BR1419" i="1" s="1"/>
  <c r="BO1420" i="1"/>
  <c r="BQ1420" i="1" s="1"/>
  <c r="BR1420" i="1" s="1"/>
  <c r="BO1421" i="1"/>
  <c r="BQ1421" i="1" s="1"/>
  <c r="BR1421" i="1" s="1"/>
  <c r="BS1421" i="1"/>
  <c r="BS1417" i="1"/>
  <c r="BO1416" i="1"/>
  <c r="BQ1416" i="1" s="1"/>
  <c r="BR1416" i="1" s="1"/>
  <c r="BO1415" i="1"/>
  <c r="BQ1415" i="1" s="1"/>
  <c r="BR1415" i="1" s="1"/>
  <c r="BS1415" i="1"/>
  <c r="BO1414" i="1"/>
  <c r="BQ1414" i="1" s="1"/>
  <c r="BR1414" i="1" s="1"/>
  <c r="BS1413" i="1"/>
  <c r="BS1414" i="1"/>
  <c r="BS1416" i="1"/>
  <c r="BO1413" i="1"/>
  <c r="BQ1413" i="1" s="1"/>
  <c r="BR1413" i="1" s="1"/>
  <c r="BO1417" i="1"/>
  <c r="BQ1417" i="1" s="1"/>
  <c r="BR1417" i="1" s="1"/>
  <c r="BO1408" i="1"/>
  <c r="BQ1408" i="1" s="1"/>
  <c r="BR1408" i="1" s="1"/>
  <c r="BO1409" i="1"/>
  <c r="BQ1409" i="1" s="1"/>
  <c r="BR1409" i="1" s="1"/>
  <c r="BS1411" i="1"/>
  <c r="BS1410" i="1"/>
  <c r="BO1411" i="1"/>
  <c r="BQ1411" i="1" s="1"/>
  <c r="BR1411" i="1" s="1"/>
  <c r="BO1410" i="1"/>
  <c r="BQ1410" i="1" s="1"/>
  <c r="BR1410" i="1" s="1"/>
  <c r="BO1407" i="1"/>
  <c r="BQ1407" i="1" s="1"/>
  <c r="BR1407" i="1" s="1"/>
  <c r="BS1409" i="1"/>
  <c r="BS1408" i="1"/>
  <c r="BS1407" i="1"/>
  <c r="BO1404" i="1"/>
  <c r="BQ1404" i="1" s="1"/>
  <c r="BR1404" i="1" s="1"/>
  <c r="BS1405" i="1"/>
  <c r="BO1401" i="1"/>
  <c r="BQ1401" i="1" s="1"/>
  <c r="BR1401" i="1" s="1"/>
  <c r="BO1403" i="1"/>
  <c r="BQ1403" i="1" s="1"/>
  <c r="BR1403" i="1" s="1"/>
  <c r="BS1404" i="1"/>
  <c r="BS1403" i="1"/>
  <c r="BS1401" i="1"/>
  <c r="BO1405" i="1"/>
  <c r="BQ1405" i="1" s="1"/>
  <c r="BR1405" i="1" s="1"/>
  <c r="BO1402" i="1"/>
  <c r="BQ1402" i="1" s="1"/>
  <c r="BR1402" i="1" s="1"/>
  <c r="BS1402" i="1"/>
  <c r="BO1397" i="1"/>
  <c r="BQ1397" i="1" s="1"/>
  <c r="BR1397" i="1" s="1"/>
  <c r="BO1399" i="1"/>
  <c r="BQ1399" i="1" s="1"/>
  <c r="BR1399" i="1" s="1"/>
  <c r="BS1397" i="1"/>
  <c r="BS1398" i="1"/>
  <c r="BS1396" i="1"/>
  <c r="BO1396" i="1"/>
  <c r="BQ1396" i="1" s="1"/>
  <c r="BR1396" i="1" s="1"/>
  <c r="BO1398" i="1"/>
  <c r="BQ1398" i="1" s="1"/>
  <c r="BR1398" i="1" s="1"/>
  <c r="BO1395" i="1"/>
  <c r="BQ1395" i="1" s="1"/>
  <c r="BR1395" i="1" s="1"/>
  <c r="BS1399" i="1"/>
  <c r="BS1395" i="1"/>
  <c r="BS1390" i="1"/>
  <c r="BS1389" i="1"/>
  <c r="BS1392" i="1"/>
  <c r="BS1391" i="1"/>
  <c r="BS1393" i="1"/>
  <c r="BO1386" i="1"/>
  <c r="BQ1386" i="1" s="1"/>
  <c r="BR1386" i="1" s="1"/>
  <c r="BS1386" i="1"/>
  <c r="BO1387" i="1"/>
  <c r="BQ1387" i="1" s="1"/>
  <c r="BR1387" i="1" s="1"/>
  <c r="BO1384" i="1"/>
  <c r="BQ1384" i="1" s="1"/>
  <c r="BR1384" i="1" s="1"/>
  <c r="BO1385" i="1"/>
  <c r="BQ1385" i="1" s="1"/>
  <c r="BR1385" i="1" s="1"/>
  <c r="BS1385" i="1"/>
  <c r="BS1384" i="1"/>
  <c r="BS1383" i="1"/>
  <c r="BS1387" i="1"/>
  <c r="BO1383" i="1"/>
  <c r="BQ1383" i="1" s="1"/>
  <c r="BR1383" i="1" s="1"/>
  <c r="BS1380" i="1"/>
  <c r="BO1381" i="1"/>
  <c r="BQ1381" i="1" s="1"/>
  <c r="BR1381" i="1" s="1"/>
  <c r="BS1379" i="1"/>
  <c r="BO1378" i="1"/>
  <c r="BQ1378" i="1" s="1"/>
  <c r="BR1378" i="1" s="1"/>
  <c r="BS1378" i="1"/>
  <c r="BO1379" i="1"/>
  <c r="BQ1379" i="1" s="1"/>
  <c r="BR1379" i="1" s="1"/>
  <c r="BO1377" i="1"/>
  <c r="BQ1377" i="1" s="1"/>
  <c r="BR1377" i="1" s="1"/>
  <c r="BS1381" i="1"/>
  <c r="BS1377" i="1"/>
  <c r="BO1380" i="1"/>
  <c r="BQ1380" i="1" s="1"/>
  <c r="BR1380" i="1" s="1"/>
  <c r="BS1372" i="1"/>
  <c r="BS1371" i="1"/>
  <c r="BS1373" i="1"/>
  <c r="BS1374" i="1"/>
  <c r="BS1375" i="1"/>
  <c r="BS1454" i="1"/>
  <c r="BO1454" i="1"/>
  <c r="BQ1454" i="1" s="1"/>
  <c r="BR1454" i="1" s="1"/>
  <c r="BO2704" i="1"/>
  <c r="BQ2704" i="1" s="1"/>
  <c r="BR2704" i="1" s="1"/>
  <c r="BS2707" i="1"/>
  <c r="BO2705" i="1"/>
  <c r="BQ2705" i="1" s="1"/>
  <c r="BR2705" i="1" s="1"/>
  <c r="BS2704" i="1"/>
  <c r="BO2708" i="1"/>
  <c r="BQ2708" i="1" s="1"/>
  <c r="BR2708" i="1" s="1"/>
  <c r="BO2706" i="1"/>
  <c r="BQ2706" i="1" s="1"/>
  <c r="BR2706" i="1" s="1"/>
  <c r="BS2705" i="1"/>
  <c r="BS2706" i="1"/>
  <c r="BS2708" i="1"/>
  <c r="BO2707" i="1"/>
  <c r="BQ2707" i="1" s="1"/>
  <c r="BR2707" i="1" s="1"/>
  <c r="BO2699" i="1"/>
  <c r="BQ2699" i="1" s="1"/>
  <c r="BR2699" i="1" s="1"/>
  <c r="BS2701" i="1"/>
  <c r="BS2699" i="1"/>
  <c r="BS2700" i="1"/>
  <c r="BS2702" i="1"/>
  <c r="BS2698" i="1"/>
  <c r="BO2701" i="1"/>
  <c r="BQ2701" i="1" s="1"/>
  <c r="BR2701" i="1" s="1"/>
  <c r="BO2702" i="1"/>
  <c r="BQ2702" i="1" s="1"/>
  <c r="BR2702" i="1" s="1"/>
  <c r="BO2698" i="1"/>
  <c r="BQ2698" i="1" s="1"/>
  <c r="BR2698" i="1" s="1"/>
  <c r="BO2700" i="1"/>
  <c r="BQ2700" i="1" s="1"/>
  <c r="BR2700" i="1" s="1"/>
  <c r="BS1491" i="1"/>
  <c r="BS1494" i="1"/>
  <c r="BO1491" i="1"/>
  <c r="BQ1491" i="1" s="1"/>
  <c r="BR1491" i="1" s="1"/>
  <c r="BS1495" i="1"/>
  <c r="BO1493" i="1"/>
  <c r="BQ1493" i="1" s="1"/>
  <c r="BR1493" i="1" s="1"/>
  <c r="BO1495" i="1"/>
  <c r="BQ1495" i="1" s="1"/>
  <c r="BR1495" i="1" s="1"/>
  <c r="BS1493" i="1"/>
  <c r="BS1492" i="1"/>
  <c r="BO1492" i="1"/>
  <c r="BQ1492" i="1" s="1"/>
  <c r="BR1492" i="1" s="1"/>
  <c r="BO1494" i="1"/>
  <c r="BQ1494" i="1" s="1"/>
  <c r="BR1494" i="1" s="1"/>
  <c r="BS2703" i="1"/>
  <c r="BO2703" i="1"/>
  <c r="BQ2703" i="1" s="1"/>
  <c r="BR2703" i="1" s="1"/>
  <c r="BS493" i="1"/>
  <c r="BS499" i="1"/>
  <c r="BO497" i="1"/>
  <c r="BQ497" i="1" s="1"/>
  <c r="BR497" i="1" s="1"/>
  <c r="BO502" i="1"/>
  <c r="BQ502" i="1" s="1"/>
  <c r="BR502" i="1" s="1"/>
  <c r="BS497" i="1"/>
  <c r="BO496" i="1"/>
  <c r="BQ496" i="1" s="1"/>
  <c r="BR496" i="1" s="1"/>
  <c r="BS502" i="1"/>
  <c r="BO493" i="1"/>
  <c r="BQ493" i="1" s="1"/>
  <c r="BR493" i="1" s="1"/>
  <c r="BS495" i="1"/>
  <c r="BS501" i="1"/>
  <c r="BS494" i="1"/>
  <c r="BS498" i="1"/>
  <c r="BO501" i="1"/>
  <c r="BQ501" i="1" s="1"/>
  <c r="BR501" i="1" s="1"/>
  <c r="BO500" i="1"/>
  <c r="BQ500" i="1" s="1"/>
  <c r="BR500" i="1" s="1"/>
  <c r="BO495" i="1"/>
  <c r="BQ495" i="1" s="1"/>
  <c r="BR495" i="1" s="1"/>
  <c r="BS496" i="1"/>
  <c r="BS500" i="1"/>
  <c r="BO498" i="1"/>
  <c r="BQ498" i="1" s="1"/>
  <c r="BR498" i="1" s="1"/>
  <c r="BO499" i="1"/>
  <c r="BQ499" i="1" s="1"/>
  <c r="BR499" i="1" s="1"/>
  <c r="BO494" i="1"/>
  <c r="BQ494" i="1" s="1"/>
  <c r="BR494" i="1" s="1"/>
  <c r="BS488" i="1"/>
  <c r="BO484" i="1"/>
  <c r="BQ484" i="1" s="1"/>
  <c r="BR484" i="1" s="1"/>
  <c r="BO489" i="1"/>
  <c r="BQ489" i="1" s="1"/>
  <c r="BR489" i="1" s="1"/>
  <c r="BS490" i="1"/>
  <c r="BS486" i="1"/>
  <c r="BS482" i="1"/>
  <c r="BO490" i="1"/>
  <c r="BQ490" i="1" s="1"/>
  <c r="BR490" i="1" s="1"/>
  <c r="BO487" i="1"/>
  <c r="BQ487" i="1" s="1"/>
  <c r="BR487" i="1" s="1"/>
  <c r="BS483" i="1"/>
  <c r="BO485" i="1"/>
  <c r="BQ485" i="1" s="1"/>
  <c r="BR485" i="1" s="1"/>
  <c r="BO488" i="1"/>
  <c r="BQ488" i="1" s="1"/>
  <c r="BR488" i="1" s="1"/>
  <c r="BS485" i="1"/>
  <c r="BO483" i="1"/>
  <c r="BQ483" i="1" s="1"/>
  <c r="BR483" i="1" s="1"/>
  <c r="BS491" i="1"/>
  <c r="BO486" i="1"/>
  <c r="BQ486" i="1" s="1"/>
  <c r="BR486" i="1" s="1"/>
  <c r="BS489" i="1"/>
  <c r="BS484" i="1"/>
  <c r="BO491" i="1"/>
  <c r="BQ491" i="1" s="1"/>
  <c r="BR491" i="1" s="1"/>
  <c r="BS487" i="1"/>
  <c r="BO482" i="1"/>
  <c r="BQ482" i="1" s="1"/>
  <c r="BR482" i="1" s="1"/>
  <c r="BS492" i="1"/>
  <c r="BO492" i="1"/>
  <c r="BQ492" i="1" s="1"/>
  <c r="BR492" i="1" s="1"/>
  <c r="BO527" i="1"/>
  <c r="BS526" i="1"/>
  <c r="BS522" i="1"/>
  <c r="BS518" i="1"/>
  <c r="BS523" i="1"/>
  <c r="BO520" i="1"/>
  <c r="BO519" i="1"/>
  <c r="BO523" i="1"/>
  <c r="BO521" i="1"/>
  <c r="BS527" i="1"/>
  <c r="BO518" i="1"/>
  <c r="BS521" i="1"/>
  <c r="BO525" i="1"/>
  <c r="BO524" i="1"/>
  <c r="BO522" i="1"/>
  <c r="BS525" i="1"/>
  <c r="BS524" i="1"/>
  <c r="BO526" i="1"/>
  <c r="BS519" i="1"/>
  <c r="BS520" i="1"/>
  <c r="BS76" i="1"/>
  <c r="BO78" i="1"/>
  <c r="BS75" i="1"/>
  <c r="BO81" i="1"/>
  <c r="BS78" i="1"/>
  <c r="BS81" i="1"/>
  <c r="BS83" i="1"/>
  <c r="BO79" i="1"/>
  <c r="BO76" i="1"/>
  <c r="BS80" i="1"/>
  <c r="BO75" i="1"/>
  <c r="BO74" i="1"/>
  <c r="BO83" i="1"/>
  <c r="BO77" i="1"/>
  <c r="BO82" i="1"/>
  <c r="BS74" i="1"/>
  <c r="BS77" i="1"/>
  <c r="BS82" i="1"/>
  <c r="BS79" i="1"/>
  <c r="BO80" i="1"/>
  <c r="BS64" i="1"/>
  <c r="BS68" i="1"/>
  <c r="BO70" i="1"/>
  <c r="BS63" i="1"/>
  <c r="BS70" i="1"/>
  <c r="BO67" i="1"/>
  <c r="BO64" i="1"/>
  <c r="BO68" i="1"/>
  <c r="BO66" i="1"/>
  <c r="BS67" i="1"/>
  <c r="BS69" i="1"/>
  <c r="BS66" i="1"/>
  <c r="BS65" i="1"/>
  <c r="BO71" i="1"/>
  <c r="BO69" i="1"/>
  <c r="BS71" i="1"/>
  <c r="BS72" i="1"/>
  <c r="BO65" i="1"/>
  <c r="BO63" i="1"/>
  <c r="BO72" i="1"/>
  <c r="BS652" i="1"/>
  <c r="BS659" i="1"/>
  <c r="BO656" i="1"/>
  <c r="BQ656" i="1" s="1"/>
  <c r="BR656" i="1" s="1"/>
  <c r="BO651" i="1"/>
  <c r="BQ651" i="1" s="1"/>
  <c r="BR651" i="1" s="1"/>
  <c r="BO654" i="1"/>
  <c r="BQ654" i="1" s="1"/>
  <c r="BR654" i="1" s="1"/>
  <c r="BO652" i="1"/>
  <c r="BQ652" i="1" s="1"/>
  <c r="BR652" i="1" s="1"/>
  <c r="BO659" i="1"/>
  <c r="BQ659" i="1" s="1"/>
  <c r="BR659" i="1" s="1"/>
  <c r="BO657" i="1"/>
  <c r="BQ657" i="1" s="1"/>
  <c r="BR657" i="1" s="1"/>
  <c r="BS655" i="1"/>
  <c r="BS657" i="1"/>
  <c r="BS654" i="1"/>
  <c r="BO653" i="1"/>
  <c r="BQ653" i="1" s="1"/>
  <c r="BR653" i="1" s="1"/>
  <c r="BO660" i="1"/>
  <c r="BQ660" i="1" s="1"/>
  <c r="BR660" i="1" s="1"/>
  <c r="BO658" i="1"/>
  <c r="BQ658" i="1" s="1"/>
  <c r="BR658" i="1" s="1"/>
  <c r="BS660" i="1"/>
  <c r="BS651" i="1"/>
  <c r="BS653" i="1"/>
  <c r="BS656" i="1"/>
  <c r="BS658" i="1"/>
  <c r="BO655" i="1"/>
  <c r="BQ655" i="1" s="1"/>
  <c r="BR655" i="1" s="1"/>
  <c r="BO648" i="1"/>
  <c r="BQ648" i="1" s="1"/>
  <c r="BR648" i="1" s="1"/>
  <c r="BS645" i="1"/>
  <c r="BO641" i="1"/>
  <c r="BQ641" i="1" s="1"/>
  <c r="BR641" i="1" s="1"/>
  <c r="BS648" i="1"/>
  <c r="BO645" i="1"/>
  <c r="BQ645" i="1" s="1"/>
  <c r="BR645" i="1" s="1"/>
  <c r="BS649" i="1"/>
  <c r="BO649" i="1"/>
  <c r="BQ649" i="1" s="1"/>
  <c r="BR649" i="1" s="1"/>
  <c r="BS641" i="1"/>
  <c r="BO640" i="1"/>
  <c r="BQ640" i="1" s="1"/>
  <c r="BR640" i="1" s="1"/>
  <c r="BO644" i="1"/>
  <c r="BQ644" i="1" s="1"/>
  <c r="BR644" i="1" s="1"/>
  <c r="BO643" i="1"/>
  <c r="BQ643" i="1" s="1"/>
  <c r="BR643" i="1" s="1"/>
  <c r="BS640" i="1"/>
  <c r="BS644" i="1"/>
  <c r="BO647" i="1"/>
  <c r="BQ647" i="1" s="1"/>
  <c r="BR647" i="1" s="1"/>
  <c r="BS643" i="1"/>
  <c r="BS647" i="1"/>
  <c r="BS642" i="1"/>
  <c r="BO642" i="1"/>
  <c r="BQ642" i="1" s="1"/>
  <c r="BR642" i="1" s="1"/>
  <c r="BS646" i="1"/>
  <c r="BO646" i="1"/>
  <c r="BQ646" i="1" s="1"/>
  <c r="BR646" i="1" s="1"/>
  <c r="BO636" i="1"/>
  <c r="BQ636" i="1" s="1"/>
  <c r="BR636" i="1" s="1"/>
  <c r="BS632" i="1"/>
  <c r="BS629" i="1"/>
  <c r="BS637" i="1"/>
  <c r="BS636" i="1"/>
  <c r="BS638" i="1"/>
  <c r="BO629" i="1"/>
  <c r="BQ629" i="1" s="1"/>
  <c r="BR629" i="1" s="1"/>
  <c r="BO637" i="1"/>
  <c r="BQ637" i="1" s="1"/>
  <c r="BR637" i="1" s="1"/>
  <c r="BO631" i="1"/>
  <c r="BQ631" i="1" s="1"/>
  <c r="BR631" i="1" s="1"/>
  <c r="BS630" i="1"/>
  <c r="BO638" i="1"/>
  <c r="BQ638" i="1" s="1"/>
  <c r="BR638" i="1" s="1"/>
  <c r="BS633" i="1"/>
  <c r="BS631" i="1"/>
  <c r="BO635" i="1"/>
  <c r="BQ635" i="1" s="1"/>
  <c r="BR635" i="1" s="1"/>
  <c r="BS634" i="1"/>
  <c r="BS635" i="1"/>
  <c r="BO630" i="1"/>
  <c r="BQ630" i="1" s="1"/>
  <c r="BR630" i="1" s="1"/>
  <c r="BO633" i="1"/>
  <c r="BQ633" i="1" s="1"/>
  <c r="BR633" i="1" s="1"/>
  <c r="BO632" i="1"/>
  <c r="BQ632" i="1" s="1"/>
  <c r="BR632" i="1" s="1"/>
  <c r="BO634" i="1"/>
  <c r="BQ634" i="1" s="1"/>
  <c r="BR634" i="1" s="1"/>
  <c r="BO622" i="1"/>
  <c r="BQ622" i="1" s="1"/>
  <c r="BR622" i="1" s="1"/>
  <c r="BO619" i="1"/>
  <c r="BQ619" i="1" s="1"/>
  <c r="BR619" i="1" s="1"/>
  <c r="BS619" i="1"/>
  <c r="BS623" i="1"/>
  <c r="BO623" i="1"/>
  <c r="BQ623" i="1" s="1"/>
  <c r="BR623" i="1" s="1"/>
  <c r="BO621" i="1"/>
  <c r="BQ621" i="1" s="1"/>
  <c r="BR621" i="1" s="1"/>
  <c r="BO625" i="1"/>
  <c r="BQ625" i="1" s="1"/>
  <c r="BR625" i="1" s="1"/>
  <c r="BO627" i="1"/>
  <c r="BQ627" i="1" s="1"/>
  <c r="BR627" i="1" s="1"/>
  <c r="BS621" i="1"/>
  <c r="BS625" i="1"/>
  <c r="BS618" i="1"/>
  <c r="BO620" i="1"/>
  <c r="BQ620" i="1" s="1"/>
  <c r="BR620" i="1" s="1"/>
  <c r="BS624" i="1"/>
  <c r="BS622" i="1"/>
  <c r="BS620" i="1"/>
  <c r="BS626" i="1"/>
  <c r="BO624" i="1"/>
  <c r="BQ624" i="1" s="1"/>
  <c r="BR624" i="1" s="1"/>
  <c r="BO618" i="1"/>
  <c r="BQ618" i="1" s="1"/>
  <c r="BR618" i="1" s="1"/>
  <c r="BO626" i="1"/>
  <c r="BQ626" i="1" s="1"/>
  <c r="BR626" i="1" s="1"/>
  <c r="BS627" i="1"/>
  <c r="BS614" i="1"/>
  <c r="BS613" i="1"/>
  <c r="BS611" i="1"/>
  <c r="BS615" i="1"/>
  <c r="BS608" i="1"/>
  <c r="BS612" i="1"/>
  <c r="BO608" i="1"/>
  <c r="BQ608" i="1" s="1"/>
  <c r="BR608" i="1" s="1"/>
  <c r="BO611" i="1"/>
  <c r="BQ611" i="1" s="1"/>
  <c r="BR611" i="1" s="1"/>
  <c r="BO610" i="1"/>
  <c r="BQ610" i="1" s="1"/>
  <c r="BR610" i="1" s="1"/>
  <c r="BO615" i="1"/>
  <c r="BQ615" i="1" s="1"/>
  <c r="BR615" i="1" s="1"/>
  <c r="BO614" i="1"/>
  <c r="BQ614" i="1" s="1"/>
  <c r="BR614" i="1" s="1"/>
  <c r="BS607" i="1"/>
  <c r="BO612" i="1"/>
  <c r="BQ612" i="1" s="1"/>
  <c r="BR612" i="1" s="1"/>
  <c r="BS616" i="1"/>
  <c r="BO609" i="1"/>
  <c r="BQ609" i="1" s="1"/>
  <c r="BR609" i="1" s="1"/>
  <c r="BO607" i="1"/>
  <c r="BQ607" i="1" s="1"/>
  <c r="BR607" i="1" s="1"/>
  <c r="BS610" i="1"/>
  <c r="BO613" i="1"/>
  <c r="BQ613" i="1" s="1"/>
  <c r="BR613" i="1" s="1"/>
  <c r="BO616" i="1"/>
  <c r="BQ616" i="1" s="1"/>
  <c r="BR616" i="1" s="1"/>
  <c r="BS609" i="1"/>
  <c r="BS650" i="1"/>
  <c r="BO650" i="1"/>
  <c r="BQ650" i="1" s="1"/>
  <c r="BR650" i="1" s="1"/>
  <c r="BS831" i="1"/>
  <c r="BO830" i="1"/>
  <c r="BQ830" i="1" s="1"/>
  <c r="BR830" i="1" s="1"/>
  <c r="BO832" i="1"/>
  <c r="BQ832" i="1" s="1"/>
  <c r="BR832" i="1" s="1"/>
  <c r="BO833" i="1"/>
  <c r="BQ833" i="1" s="1"/>
  <c r="BR833" i="1" s="1"/>
  <c r="BO828" i="1"/>
  <c r="BQ828" i="1" s="1"/>
  <c r="BR828" i="1" s="1"/>
  <c r="BS827" i="1"/>
  <c r="BS835" i="1"/>
  <c r="BS829" i="1"/>
  <c r="BS836" i="1"/>
  <c r="BO827" i="1"/>
  <c r="BQ827" i="1" s="1"/>
  <c r="BR827" i="1" s="1"/>
  <c r="BO835" i="1"/>
  <c r="BQ835" i="1" s="1"/>
  <c r="BR835" i="1" s="1"/>
  <c r="BS828" i="1"/>
  <c r="BS833" i="1"/>
  <c r="BO836" i="1"/>
  <c r="BQ836" i="1" s="1"/>
  <c r="BR836" i="1" s="1"/>
  <c r="BS832" i="1"/>
  <c r="BS834" i="1"/>
  <c r="BO834" i="1"/>
  <c r="BQ834" i="1" s="1"/>
  <c r="BR834" i="1" s="1"/>
  <c r="BS830" i="1"/>
  <c r="BO831" i="1"/>
  <c r="BQ831" i="1" s="1"/>
  <c r="BR831" i="1" s="1"/>
  <c r="BO829" i="1"/>
  <c r="BQ829" i="1" s="1"/>
  <c r="BR829" i="1" s="1"/>
  <c r="BS826" i="1"/>
  <c r="BO826" i="1"/>
  <c r="BQ826" i="1" s="1"/>
  <c r="BR826" i="1" s="1"/>
  <c r="BS822" i="1"/>
  <c r="BS819" i="1"/>
  <c r="BO823" i="1"/>
  <c r="BQ823" i="1" s="1"/>
  <c r="BR823" i="1" s="1"/>
  <c r="BS821" i="1"/>
  <c r="BO816" i="1"/>
  <c r="BQ816" i="1" s="1"/>
  <c r="BR816" i="1" s="1"/>
  <c r="BO821" i="1"/>
  <c r="BQ821" i="1" s="1"/>
  <c r="BR821" i="1" s="1"/>
  <c r="BS817" i="1"/>
  <c r="BS825" i="1"/>
  <c r="BS824" i="1"/>
  <c r="BO824" i="1"/>
  <c r="BQ824" i="1" s="1"/>
  <c r="BR824" i="1" s="1"/>
  <c r="BS818" i="1"/>
  <c r="BS816" i="1"/>
  <c r="BO817" i="1"/>
  <c r="BQ817" i="1" s="1"/>
  <c r="BR817" i="1" s="1"/>
  <c r="BO825" i="1"/>
  <c r="BQ825" i="1" s="1"/>
  <c r="BR825" i="1" s="1"/>
  <c r="BO818" i="1"/>
  <c r="BQ818" i="1" s="1"/>
  <c r="BR818" i="1" s="1"/>
  <c r="BS823" i="1"/>
  <c r="BO822" i="1"/>
  <c r="BQ822" i="1" s="1"/>
  <c r="BR822" i="1" s="1"/>
  <c r="BS820" i="1"/>
  <c r="BO819" i="1"/>
  <c r="BQ819" i="1" s="1"/>
  <c r="BR819" i="1" s="1"/>
  <c r="BO820" i="1"/>
  <c r="BQ820" i="1" s="1"/>
  <c r="BR820" i="1" s="1"/>
  <c r="BS807" i="1"/>
  <c r="BS806" i="1"/>
  <c r="BS814" i="1"/>
  <c r="BO809" i="1"/>
  <c r="BQ809" i="1" s="1"/>
  <c r="BR809" i="1" s="1"/>
  <c r="BO808" i="1"/>
  <c r="BQ808" i="1" s="1"/>
  <c r="BR808" i="1" s="1"/>
  <c r="BS805" i="1"/>
  <c r="BS813" i="1"/>
  <c r="BS812" i="1"/>
  <c r="BO807" i="1"/>
  <c r="BQ807" i="1" s="1"/>
  <c r="BR807" i="1" s="1"/>
  <c r="BO806" i="1"/>
  <c r="BQ806" i="1" s="1"/>
  <c r="BR806" i="1" s="1"/>
  <c r="BO814" i="1"/>
  <c r="BQ814" i="1" s="1"/>
  <c r="BR814" i="1" s="1"/>
  <c r="BS811" i="1"/>
  <c r="BS810" i="1"/>
  <c r="BO805" i="1"/>
  <c r="BQ805" i="1" s="1"/>
  <c r="BR805" i="1" s="1"/>
  <c r="BO813" i="1"/>
  <c r="BQ813" i="1" s="1"/>
  <c r="BR813" i="1" s="1"/>
  <c r="BO812" i="1"/>
  <c r="BQ812" i="1" s="1"/>
  <c r="BR812" i="1" s="1"/>
  <c r="BO811" i="1"/>
  <c r="BQ811" i="1" s="1"/>
  <c r="BR811" i="1" s="1"/>
  <c r="BS809" i="1"/>
  <c r="BS808" i="1"/>
  <c r="BO810" i="1"/>
  <c r="BQ810" i="1" s="1"/>
  <c r="BR810" i="1" s="1"/>
  <c r="BS794" i="1"/>
  <c r="BS802" i="1"/>
  <c r="BO797" i="1"/>
  <c r="BQ797" i="1" s="1"/>
  <c r="BR797" i="1" s="1"/>
  <c r="BS799" i="1"/>
  <c r="BO802" i="1"/>
  <c r="BQ802" i="1" s="1"/>
  <c r="BR802" i="1" s="1"/>
  <c r="BS796" i="1"/>
  <c r="BS801" i="1"/>
  <c r="BO800" i="1"/>
  <c r="BQ800" i="1" s="1"/>
  <c r="BR800" i="1" s="1"/>
  <c r="BO798" i="1"/>
  <c r="BQ798" i="1" s="1"/>
  <c r="BR798" i="1" s="1"/>
  <c r="BS795" i="1"/>
  <c r="BS803" i="1"/>
  <c r="BO796" i="1"/>
  <c r="BQ796" i="1" s="1"/>
  <c r="BR796" i="1" s="1"/>
  <c r="BS798" i="1"/>
  <c r="BO794" i="1"/>
  <c r="BQ794" i="1" s="1"/>
  <c r="BR794" i="1" s="1"/>
  <c r="BO795" i="1"/>
  <c r="BQ795" i="1" s="1"/>
  <c r="BR795" i="1" s="1"/>
  <c r="BS797" i="1"/>
  <c r="BO803" i="1"/>
  <c r="BQ803" i="1" s="1"/>
  <c r="BR803" i="1" s="1"/>
  <c r="BS800" i="1"/>
  <c r="BO799" i="1"/>
  <c r="BQ799" i="1" s="1"/>
  <c r="BR799" i="1" s="1"/>
  <c r="BO801" i="1"/>
  <c r="BQ801" i="1" s="1"/>
  <c r="BR801" i="1" s="1"/>
  <c r="BS999" i="1"/>
  <c r="BO998" i="1"/>
  <c r="BQ998" i="1" s="1"/>
  <c r="BR998" i="1" s="1"/>
  <c r="BO994" i="1"/>
  <c r="BQ994" i="1" s="1"/>
  <c r="BR994" i="1" s="1"/>
  <c r="BS992" i="1"/>
  <c r="BS1001" i="1"/>
  <c r="BO1001" i="1"/>
  <c r="BQ1001" i="1" s="1"/>
  <c r="BR1001" i="1" s="1"/>
  <c r="BO992" i="1"/>
  <c r="BQ992" i="1" s="1"/>
  <c r="BR992" i="1" s="1"/>
  <c r="BO996" i="1"/>
  <c r="BQ996" i="1" s="1"/>
  <c r="BR996" i="1" s="1"/>
  <c r="BS993" i="1"/>
  <c r="BS996" i="1"/>
  <c r="BO999" i="1"/>
  <c r="BQ999" i="1" s="1"/>
  <c r="BR999" i="1" s="1"/>
  <c r="BS994" i="1"/>
  <c r="BO1000" i="1"/>
  <c r="BQ1000" i="1" s="1"/>
  <c r="BR1000" i="1" s="1"/>
  <c r="BS997" i="1"/>
  <c r="BS998" i="1"/>
  <c r="BO995" i="1"/>
  <c r="BQ995" i="1" s="1"/>
  <c r="BR995" i="1" s="1"/>
  <c r="BS1000" i="1"/>
  <c r="BO997" i="1"/>
  <c r="BQ997" i="1" s="1"/>
  <c r="BR997" i="1" s="1"/>
  <c r="BS995" i="1"/>
  <c r="BO993" i="1"/>
  <c r="BQ993" i="1" s="1"/>
  <c r="BR993" i="1" s="1"/>
  <c r="BO989" i="1"/>
  <c r="BQ989" i="1" s="1"/>
  <c r="BR989" i="1" s="1"/>
  <c r="BS990" i="1"/>
  <c r="BS988" i="1"/>
  <c r="BO986" i="1"/>
  <c r="BQ986" i="1" s="1"/>
  <c r="BR986" i="1" s="1"/>
  <c r="BS985" i="1"/>
  <c r="BS982" i="1"/>
  <c r="BS983" i="1"/>
  <c r="BO990" i="1"/>
  <c r="BQ990" i="1" s="1"/>
  <c r="BR990" i="1" s="1"/>
  <c r="BO988" i="1"/>
  <c r="BQ988" i="1" s="1"/>
  <c r="BR988" i="1" s="1"/>
  <c r="BS989" i="1"/>
  <c r="BS984" i="1"/>
  <c r="BO985" i="1"/>
  <c r="BQ985" i="1" s="1"/>
  <c r="BR985" i="1" s="1"/>
  <c r="BO982" i="1"/>
  <c r="BQ982" i="1" s="1"/>
  <c r="BR982" i="1" s="1"/>
  <c r="BO987" i="1"/>
  <c r="BQ987" i="1" s="1"/>
  <c r="BR987" i="1" s="1"/>
  <c r="BO981" i="1"/>
  <c r="BQ981" i="1" s="1"/>
  <c r="BR981" i="1" s="1"/>
  <c r="BO984" i="1"/>
  <c r="BQ984" i="1" s="1"/>
  <c r="BR984" i="1" s="1"/>
  <c r="BS981" i="1"/>
  <c r="BO983" i="1"/>
  <c r="BQ983" i="1" s="1"/>
  <c r="BR983" i="1" s="1"/>
  <c r="BS986" i="1"/>
  <c r="BS987" i="1"/>
  <c r="BO976" i="1"/>
  <c r="BQ976" i="1" s="1"/>
  <c r="BR976" i="1" s="1"/>
  <c r="BO979" i="1"/>
  <c r="BQ979" i="1" s="1"/>
  <c r="BR979" i="1" s="1"/>
  <c r="BS971" i="1"/>
  <c r="BO970" i="1"/>
  <c r="BQ970" i="1" s="1"/>
  <c r="BR970" i="1" s="1"/>
  <c r="BS978" i="1"/>
  <c r="BS975" i="1"/>
  <c r="BO971" i="1"/>
  <c r="BQ971" i="1" s="1"/>
  <c r="BR971" i="1" s="1"/>
  <c r="BS977" i="1"/>
  <c r="BO972" i="1"/>
  <c r="BQ972" i="1" s="1"/>
  <c r="BR972" i="1" s="1"/>
  <c r="BS970" i="1"/>
  <c r="BO974" i="1"/>
  <c r="BQ974" i="1" s="1"/>
  <c r="BR974" i="1" s="1"/>
  <c r="BO975" i="1"/>
  <c r="BQ975" i="1" s="1"/>
  <c r="BR975" i="1" s="1"/>
  <c r="BS973" i="1"/>
  <c r="BO978" i="1"/>
  <c r="BQ978" i="1" s="1"/>
  <c r="BR978" i="1" s="1"/>
  <c r="BO977" i="1"/>
  <c r="BQ977" i="1" s="1"/>
  <c r="BR977" i="1" s="1"/>
  <c r="BS972" i="1"/>
  <c r="BS974" i="1"/>
  <c r="BS979" i="1"/>
  <c r="BO973" i="1"/>
  <c r="BQ973" i="1" s="1"/>
  <c r="BR973" i="1" s="1"/>
  <c r="BS976" i="1"/>
  <c r="BS965" i="1"/>
  <c r="BO964" i="1"/>
  <c r="BQ964" i="1" s="1"/>
  <c r="BR964" i="1" s="1"/>
  <c r="BS963" i="1"/>
  <c r="BO968" i="1"/>
  <c r="BQ968" i="1" s="1"/>
  <c r="BR968" i="1" s="1"/>
  <c r="BS962" i="1"/>
  <c r="BO961" i="1"/>
  <c r="BQ961" i="1" s="1"/>
  <c r="BR961" i="1" s="1"/>
  <c r="BO965" i="1"/>
  <c r="BQ965" i="1" s="1"/>
  <c r="BR965" i="1" s="1"/>
  <c r="BS960" i="1"/>
  <c r="BS966" i="1"/>
  <c r="BO963" i="1"/>
  <c r="BQ963" i="1" s="1"/>
  <c r="BR963" i="1" s="1"/>
  <c r="BO966" i="1"/>
  <c r="BQ966" i="1" s="1"/>
  <c r="BR966" i="1" s="1"/>
  <c r="BS967" i="1"/>
  <c r="BO967" i="1"/>
  <c r="BQ967" i="1" s="1"/>
  <c r="BR967" i="1" s="1"/>
  <c r="BS961" i="1"/>
  <c r="BO960" i="1"/>
  <c r="BQ960" i="1" s="1"/>
  <c r="BR960" i="1" s="1"/>
  <c r="BS959" i="1"/>
  <c r="BO959" i="1"/>
  <c r="BQ959" i="1" s="1"/>
  <c r="BR959" i="1" s="1"/>
  <c r="BS968" i="1"/>
  <c r="BO962" i="1"/>
  <c r="BQ962" i="1" s="1"/>
  <c r="BR962" i="1" s="1"/>
  <c r="BS964" i="1"/>
  <c r="BO950" i="1"/>
  <c r="BQ950" i="1" s="1"/>
  <c r="BR950" i="1" s="1"/>
  <c r="BS952" i="1"/>
  <c r="BO948" i="1"/>
  <c r="BQ948" i="1" s="1"/>
  <c r="BR948" i="1" s="1"/>
  <c r="BS954" i="1"/>
  <c r="BS957" i="1"/>
  <c r="BS956" i="1"/>
  <c r="BS950" i="1"/>
  <c r="BS955" i="1"/>
  <c r="BO949" i="1"/>
  <c r="BQ949" i="1" s="1"/>
  <c r="BR949" i="1" s="1"/>
  <c r="BO953" i="1"/>
  <c r="BQ953" i="1" s="1"/>
  <c r="BR953" i="1" s="1"/>
  <c r="BO957" i="1"/>
  <c r="BQ957" i="1" s="1"/>
  <c r="BR957" i="1" s="1"/>
  <c r="BS953" i="1"/>
  <c r="BS948" i="1"/>
  <c r="BS951" i="1"/>
  <c r="BO954" i="1"/>
  <c r="BQ954" i="1" s="1"/>
  <c r="BR954" i="1" s="1"/>
  <c r="BO956" i="1"/>
  <c r="BQ956" i="1" s="1"/>
  <c r="BR956" i="1" s="1"/>
  <c r="BO952" i="1"/>
  <c r="BQ952" i="1" s="1"/>
  <c r="BR952" i="1" s="1"/>
  <c r="BO955" i="1"/>
  <c r="BQ955" i="1" s="1"/>
  <c r="BR955" i="1" s="1"/>
  <c r="BO951" i="1"/>
  <c r="BQ951" i="1" s="1"/>
  <c r="BR951" i="1" s="1"/>
  <c r="BS949" i="1"/>
  <c r="BS940" i="1"/>
  <c r="BS938" i="1"/>
  <c r="BO940" i="1"/>
  <c r="BQ940" i="1" s="1"/>
  <c r="BR940" i="1" s="1"/>
  <c r="BO938" i="1"/>
  <c r="BQ938" i="1" s="1"/>
  <c r="BR938" i="1" s="1"/>
  <c r="BO937" i="1"/>
  <c r="BQ937" i="1" s="1"/>
  <c r="BR937" i="1" s="1"/>
  <c r="BO943" i="1"/>
  <c r="BQ943" i="1" s="1"/>
  <c r="BR943" i="1" s="1"/>
  <c r="BS939" i="1"/>
  <c r="BS941" i="1"/>
  <c r="BS943" i="1"/>
  <c r="BS946" i="1"/>
  <c r="BO941" i="1"/>
  <c r="BQ941" i="1" s="1"/>
  <c r="BR941" i="1" s="1"/>
  <c r="BS945" i="1"/>
  <c r="BS944" i="1"/>
  <c r="BO944" i="1"/>
  <c r="BQ944" i="1" s="1"/>
  <c r="BR944" i="1" s="1"/>
  <c r="BO946" i="1"/>
  <c r="BQ946" i="1" s="1"/>
  <c r="BR946" i="1" s="1"/>
  <c r="BS942" i="1"/>
  <c r="BO939" i="1"/>
  <c r="BQ939" i="1" s="1"/>
  <c r="BR939" i="1" s="1"/>
  <c r="BO945" i="1"/>
  <c r="BQ945" i="1" s="1"/>
  <c r="BR945" i="1" s="1"/>
  <c r="BO942" i="1"/>
  <c r="BQ942" i="1" s="1"/>
  <c r="BR942" i="1" s="1"/>
  <c r="BS937" i="1"/>
  <c r="BS929" i="1"/>
  <c r="BO926" i="1"/>
  <c r="BQ926" i="1" s="1"/>
  <c r="BR926" i="1" s="1"/>
  <c r="BS933" i="1"/>
  <c r="BO927" i="1"/>
  <c r="BQ927" i="1" s="1"/>
  <c r="BR927" i="1" s="1"/>
  <c r="BS935" i="1"/>
  <c r="BS930" i="1"/>
  <c r="BO928" i="1"/>
  <c r="BQ928" i="1" s="1"/>
  <c r="BR928" i="1" s="1"/>
  <c r="BS927" i="1"/>
  <c r="BO935" i="1"/>
  <c r="BQ935" i="1" s="1"/>
  <c r="BR935" i="1" s="1"/>
  <c r="BS934" i="1"/>
  <c r="BS928" i="1"/>
  <c r="BO934" i="1"/>
  <c r="BQ934" i="1" s="1"/>
  <c r="BR934" i="1" s="1"/>
  <c r="BO932" i="1"/>
  <c r="BQ932" i="1" s="1"/>
  <c r="BR932" i="1" s="1"/>
  <c r="BS931" i="1"/>
  <c r="BO930" i="1"/>
  <c r="BQ930" i="1" s="1"/>
  <c r="BR930" i="1" s="1"/>
  <c r="BS926" i="1"/>
  <c r="BS932" i="1"/>
  <c r="BO929" i="1"/>
  <c r="BQ929" i="1" s="1"/>
  <c r="BR929" i="1" s="1"/>
  <c r="BO933" i="1"/>
  <c r="BQ933" i="1" s="1"/>
  <c r="BR933" i="1" s="1"/>
  <c r="BO931" i="1"/>
  <c r="BQ931" i="1" s="1"/>
  <c r="BR931" i="1" s="1"/>
  <c r="BO919" i="1"/>
  <c r="BQ919" i="1" s="1"/>
  <c r="BR919" i="1" s="1"/>
  <c r="BO917" i="1"/>
  <c r="BQ917" i="1" s="1"/>
  <c r="BR917" i="1" s="1"/>
  <c r="BO916" i="1"/>
  <c r="BQ916" i="1" s="1"/>
  <c r="BR916" i="1" s="1"/>
  <c r="BS915" i="1"/>
  <c r="BO922" i="1"/>
  <c r="BQ922" i="1" s="1"/>
  <c r="BR922" i="1" s="1"/>
  <c r="BO924" i="1"/>
  <c r="BQ924" i="1" s="1"/>
  <c r="BR924" i="1" s="1"/>
  <c r="BO920" i="1"/>
  <c r="BQ920" i="1" s="1"/>
  <c r="BR920" i="1" s="1"/>
  <c r="BS919" i="1"/>
  <c r="BO915" i="1"/>
  <c r="BQ915" i="1" s="1"/>
  <c r="BR915" i="1" s="1"/>
  <c r="BS922" i="1"/>
  <c r="BO918" i="1"/>
  <c r="BQ918" i="1" s="1"/>
  <c r="BR918" i="1" s="1"/>
  <c r="BS917" i="1"/>
  <c r="BO921" i="1"/>
  <c r="BQ921" i="1" s="1"/>
  <c r="BR921" i="1" s="1"/>
  <c r="BS923" i="1"/>
  <c r="BS918" i="1"/>
  <c r="BS921" i="1"/>
  <c r="BS924" i="1"/>
  <c r="BS916" i="1"/>
  <c r="BO923" i="1"/>
  <c r="BQ923" i="1" s="1"/>
  <c r="BR923" i="1" s="1"/>
  <c r="BS920" i="1"/>
  <c r="BO905" i="1"/>
  <c r="BQ905" i="1" s="1"/>
  <c r="BR905" i="1" s="1"/>
  <c r="BO908" i="1"/>
  <c r="BQ908" i="1" s="1"/>
  <c r="BR908" i="1" s="1"/>
  <c r="BS909" i="1"/>
  <c r="BS907" i="1"/>
  <c r="BO910" i="1"/>
  <c r="BQ910" i="1" s="1"/>
  <c r="BR910" i="1" s="1"/>
  <c r="BO906" i="1"/>
  <c r="BQ906" i="1" s="1"/>
  <c r="BR906" i="1" s="1"/>
  <c r="BS911" i="1"/>
  <c r="BS905" i="1"/>
  <c r="BO907" i="1"/>
  <c r="BQ907" i="1" s="1"/>
  <c r="BR907" i="1" s="1"/>
  <c r="BS912" i="1"/>
  <c r="BO904" i="1"/>
  <c r="BQ904" i="1" s="1"/>
  <c r="BR904" i="1" s="1"/>
  <c r="BO913" i="1"/>
  <c r="BQ913" i="1" s="1"/>
  <c r="BR913" i="1" s="1"/>
  <c r="BS908" i="1"/>
  <c r="BS913" i="1"/>
  <c r="BS904" i="1"/>
  <c r="BO909" i="1"/>
  <c r="BQ909" i="1" s="1"/>
  <c r="BR909" i="1" s="1"/>
  <c r="BO912" i="1"/>
  <c r="BQ912" i="1" s="1"/>
  <c r="BR912" i="1" s="1"/>
  <c r="BO911" i="1"/>
  <c r="BQ911" i="1" s="1"/>
  <c r="BR911" i="1" s="1"/>
  <c r="BS910" i="1"/>
  <c r="BS906" i="1"/>
  <c r="BO895" i="1"/>
  <c r="BQ895" i="1" s="1"/>
  <c r="BR895" i="1" s="1"/>
  <c r="BO899" i="1"/>
  <c r="BQ899" i="1" s="1"/>
  <c r="BR899" i="1" s="1"/>
  <c r="BS894" i="1"/>
  <c r="BS895" i="1"/>
  <c r="BS899" i="1"/>
  <c r="BO900" i="1"/>
  <c r="BQ900" i="1" s="1"/>
  <c r="BR900" i="1" s="1"/>
  <c r="BO893" i="1"/>
  <c r="BQ893" i="1" s="1"/>
  <c r="BR893" i="1" s="1"/>
  <c r="BO894" i="1"/>
  <c r="BQ894" i="1" s="1"/>
  <c r="BR894" i="1" s="1"/>
  <c r="BS900" i="1"/>
  <c r="BS897" i="1"/>
  <c r="BO896" i="1"/>
  <c r="BQ896" i="1" s="1"/>
  <c r="BR896" i="1" s="1"/>
  <c r="BO897" i="1"/>
  <c r="BQ897" i="1" s="1"/>
  <c r="BR897" i="1" s="1"/>
  <c r="BS901" i="1"/>
  <c r="BS896" i="1"/>
  <c r="BS898" i="1"/>
  <c r="BO902" i="1"/>
  <c r="BQ902" i="1" s="1"/>
  <c r="BR902" i="1" s="1"/>
  <c r="BO901" i="1"/>
  <c r="BQ901" i="1" s="1"/>
  <c r="BR901" i="1" s="1"/>
  <c r="BS893" i="1"/>
  <c r="BS902" i="1"/>
  <c r="BO898" i="1"/>
  <c r="BQ898" i="1" s="1"/>
  <c r="BR898" i="1" s="1"/>
  <c r="BS884" i="1"/>
  <c r="BO888" i="1"/>
  <c r="BQ888" i="1" s="1"/>
  <c r="BR888" i="1" s="1"/>
  <c r="BS885" i="1"/>
  <c r="BO889" i="1"/>
  <c r="BQ889" i="1" s="1"/>
  <c r="BR889" i="1" s="1"/>
  <c r="BO887" i="1"/>
  <c r="BQ887" i="1" s="1"/>
  <c r="BR887" i="1" s="1"/>
  <c r="BS888" i="1"/>
  <c r="BO885" i="1"/>
  <c r="BQ885" i="1" s="1"/>
  <c r="BR885" i="1" s="1"/>
  <c r="BS886" i="1"/>
  <c r="BS889" i="1"/>
  <c r="BS891" i="1"/>
  <c r="BS887" i="1"/>
  <c r="BS890" i="1"/>
  <c r="BS882" i="1"/>
  <c r="BS883" i="1"/>
  <c r="BO891" i="1"/>
  <c r="BQ891" i="1" s="1"/>
  <c r="BR891" i="1" s="1"/>
  <c r="BO890" i="1"/>
  <c r="BQ890" i="1" s="1"/>
  <c r="BR890" i="1" s="1"/>
  <c r="BO884" i="1"/>
  <c r="BQ884" i="1" s="1"/>
  <c r="BR884" i="1" s="1"/>
  <c r="BO883" i="1"/>
  <c r="BQ883" i="1" s="1"/>
  <c r="BR883" i="1" s="1"/>
  <c r="BO882" i="1"/>
  <c r="BQ882" i="1" s="1"/>
  <c r="BR882" i="1" s="1"/>
  <c r="BO886" i="1"/>
  <c r="BQ886" i="1" s="1"/>
  <c r="BR886" i="1" s="1"/>
  <c r="BS872" i="1"/>
  <c r="BS880" i="1"/>
  <c r="BS871" i="1"/>
  <c r="BS878" i="1"/>
  <c r="BS877" i="1"/>
  <c r="BS875" i="1"/>
  <c r="BS873" i="1"/>
  <c r="BS879" i="1"/>
  <c r="BS874" i="1"/>
  <c r="BS876" i="1"/>
  <c r="BS862" i="1"/>
  <c r="BS866" i="1"/>
  <c r="BS869" i="1"/>
  <c r="BO867" i="1"/>
  <c r="BQ867" i="1" s="1"/>
  <c r="BR867" i="1" s="1"/>
  <c r="BO866" i="1"/>
  <c r="BQ866" i="1" s="1"/>
  <c r="BR866" i="1" s="1"/>
  <c r="BS864" i="1"/>
  <c r="BS867" i="1"/>
  <c r="BS860" i="1"/>
  <c r="BO863" i="1"/>
  <c r="BQ863" i="1" s="1"/>
  <c r="BR863" i="1" s="1"/>
  <c r="BO868" i="1"/>
  <c r="BQ868" i="1" s="1"/>
  <c r="BR868" i="1" s="1"/>
  <c r="BO864" i="1"/>
  <c r="BQ864" i="1" s="1"/>
  <c r="BR864" i="1" s="1"/>
  <c r="BO869" i="1"/>
  <c r="BQ869" i="1" s="1"/>
  <c r="BR869" i="1" s="1"/>
  <c r="BO860" i="1"/>
  <c r="BQ860" i="1" s="1"/>
  <c r="BR860" i="1" s="1"/>
  <c r="BS863" i="1"/>
  <c r="BO862" i="1"/>
  <c r="BQ862" i="1" s="1"/>
  <c r="BR862" i="1" s="1"/>
  <c r="BS865" i="1"/>
  <c r="BS868" i="1"/>
  <c r="BS861" i="1"/>
  <c r="BO861" i="1"/>
  <c r="BQ861" i="1" s="1"/>
  <c r="BR861" i="1" s="1"/>
  <c r="BO865" i="1"/>
  <c r="BQ865" i="1" s="1"/>
  <c r="BR865" i="1" s="1"/>
  <c r="BS851" i="1"/>
  <c r="BO850" i="1"/>
  <c r="BQ850" i="1" s="1"/>
  <c r="BR850" i="1" s="1"/>
  <c r="BO853" i="1"/>
  <c r="BQ853" i="1" s="1"/>
  <c r="BR853" i="1" s="1"/>
  <c r="BS849" i="1"/>
  <c r="BS854" i="1"/>
  <c r="BS853" i="1"/>
  <c r="BS857" i="1"/>
  <c r="BS856" i="1"/>
  <c r="BO852" i="1"/>
  <c r="BQ852" i="1" s="1"/>
  <c r="BR852" i="1" s="1"/>
  <c r="BO849" i="1"/>
  <c r="BQ849" i="1" s="1"/>
  <c r="BR849" i="1" s="1"/>
  <c r="BO855" i="1"/>
  <c r="BQ855" i="1" s="1"/>
  <c r="BR855" i="1" s="1"/>
  <c r="BO856" i="1"/>
  <c r="BQ856" i="1" s="1"/>
  <c r="BR856" i="1" s="1"/>
  <c r="BS852" i="1"/>
  <c r="BS858" i="1"/>
  <c r="BS855" i="1"/>
  <c r="BO857" i="1"/>
  <c r="BQ857" i="1" s="1"/>
  <c r="BR857" i="1" s="1"/>
  <c r="BS850" i="1"/>
  <c r="BO858" i="1"/>
  <c r="BQ858" i="1" s="1"/>
  <c r="BR858" i="1" s="1"/>
  <c r="BO854" i="1"/>
  <c r="BQ854" i="1" s="1"/>
  <c r="BR854" i="1" s="1"/>
  <c r="BO851" i="1"/>
  <c r="BQ851" i="1" s="1"/>
  <c r="BR851" i="1" s="1"/>
  <c r="BS847" i="1"/>
  <c r="BS840" i="1"/>
  <c r="BS838" i="1"/>
  <c r="BS845" i="1"/>
  <c r="BS842" i="1"/>
  <c r="BS841" i="1"/>
  <c r="BS846" i="1"/>
  <c r="BS839" i="1"/>
  <c r="BS844" i="1"/>
  <c r="BS843" i="1"/>
  <c r="BS991" i="1"/>
  <c r="BO991" i="1"/>
  <c r="BQ991" i="1" s="1"/>
  <c r="BR991" i="1" s="1"/>
  <c r="BS2687" i="1"/>
  <c r="BO2687" i="1"/>
  <c r="BQ2687" i="1" s="1"/>
  <c r="BR2687" i="1" s="1"/>
  <c r="BS1013" i="1"/>
  <c r="BO1013" i="1"/>
  <c r="BQ1013" i="1" s="1"/>
  <c r="BR1013" i="1" s="1"/>
  <c r="BS1024" i="1"/>
  <c r="BS1035" i="1"/>
  <c r="BS2572" i="1"/>
  <c r="BS1068" i="1"/>
  <c r="BS1057" i="1"/>
  <c r="BS2649" i="1"/>
  <c r="BO1057" i="1"/>
  <c r="BQ1057" i="1" s="1"/>
  <c r="BR1057" i="1" s="1"/>
  <c r="BO2572" i="1"/>
  <c r="BQ2572" i="1" s="1"/>
  <c r="BR2572" i="1" s="1"/>
  <c r="BO1024" i="1"/>
  <c r="BQ1024" i="1" s="1"/>
  <c r="BR1024" i="1" s="1"/>
  <c r="BO2649" i="1"/>
  <c r="BQ2649" i="1" s="1"/>
  <c r="BR2649" i="1" s="1"/>
  <c r="BO1035" i="1"/>
  <c r="BQ1035" i="1" s="1"/>
  <c r="BR1035" i="1" s="1"/>
  <c r="BO1068" i="1"/>
  <c r="BQ1068" i="1" s="1"/>
  <c r="BR1068" i="1" s="1"/>
  <c r="BS2644" i="1"/>
  <c r="BO2642" i="1"/>
  <c r="BQ2642" i="1" s="1"/>
  <c r="BR2642" i="1" s="1"/>
  <c r="BS2640" i="1"/>
  <c r="BO2644" i="1"/>
  <c r="BQ2644" i="1" s="1"/>
  <c r="BR2644" i="1" s="1"/>
  <c r="BS2642" i="1"/>
  <c r="BO2640" i="1"/>
  <c r="BQ2640" i="1" s="1"/>
  <c r="BR2640" i="1" s="1"/>
  <c r="BO2646" i="1"/>
  <c r="BQ2646" i="1" s="1"/>
  <c r="BR2646" i="1" s="1"/>
  <c r="BS2647" i="1"/>
  <c r="BO2647" i="1"/>
  <c r="BQ2647" i="1" s="1"/>
  <c r="BR2647" i="1" s="1"/>
  <c r="BO2639" i="1"/>
  <c r="BQ2639" i="1" s="1"/>
  <c r="BR2639" i="1" s="1"/>
  <c r="BO2641" i="1"/>
  <c r="BQ2641" i="1" s="1"/>
  <c r="BR2641" i="1" s="1"/>
  <c r="BS2648" i="1"/>
  <c r="BS2645" i="1"/>
  <c r="BO2643" i="1"/>
  <c r="BQ2643" i="1" s="1"/>
  <c r="BR2643" i="1" s="1"/>
  <c r="BS2646" i="1"/>
  <c r="BS2641" i="1"/>
  <c r="BO2645" i="1"/>
  <c r="BQ2645" i="1" s="1"/>
  <c r="BR2645" i="1" s="1"/>
  <c r="BS2643" i="1"/>
  <c r="BS2639" i="1"/>
  <c r="BO2648" i="1"/>
  <c r="BQ2648" i="1" s="1"/>
  <c r="BR2648" i="1" s="1"/>
  <c r="BS1048" i="1"/>
  <c r="BS1051" i="1"/>
  <c r="BO1048" i="1"/>
  <c r="BQ1048" i="1" s="1"/>
  <c r="BR1048" i="1" s="1"/>
  <c r="BO1053" i="1"/>
  <c r="BQ1053" i="1" s="1"/>
  <c r="BR1053" i="1" s="1"/>
  <c r="BO1049" i="1"/>
  <c r="BQ1049" i="1" s="1"/>
  <c r="BR1049" i="1" s="1"/>
  <c r="BS1047" i="1"/>
  <c r="BO1055" i="1"/>
  <c r="BQ1055" i="1" s="1"/>
  <c r="BR1055" i="1" s="1"/>
  <c r="BS1049" i="1"/>
  <c r="BS1053" i="1"/>
  <c r="BS1055" i="1"/>
  <c r="BS1052" i="1"/>
  <c r="BS1056" i="1"/>
  <c r="BO1047" i="1"/>
  <c r="BQ1047" i="1" s="1"/>
  <c r="BR1047" i="1" s="1"/>
  <c r="BO1054" i="1"/>
  <c r="BQ1054" i="1" s="1"/>
  <c r="BR1054" i="1" s="1"/>
  <c r="BO1051" i="1"/>
  <c r="BQ1051" i="1" s="1"/>
  <c r="BR1051" i="1" s="1"/>
  <c r="BO1052" i="1"/>
  <c r="BQ1052" i="1" s="1"/>
  <c r="BR1052" i="1" s="1"/>
  <c r="BO1050" i="1"/>
  <c r="BQ1050" i="1" s="1"/>
  <c r="BR1050" i="1" s="1"/>
  <c r="BO1056" i="1"/>
  <c r="BQ1056" i="1" s="1"/>
  <c r="BR1056" i="1" s="1"/>
  <c r="BS1050" i="1"/>
  <c r="BS1054" i="1"/>
  <c r="BS1004" i="1"/>
  <c r="BO1008" i="1"/>
  <c r="BQ1008" i="1" s="1"/>
  <c r="BR1008" i="1" s="1"/>
  <c r="BO1004" i="1"/>
  <c r="BQ1004" i="1" s="1"/>
  <c r="BR1004" i="1" s="1"/>
  <c r="BS1012" i="1"/>
  <c r="BS1008" i="1"/>
  <c r="BO1009" i="1"/>
  <c r="BQ1009" i="1" s="1"/>
  <c r="BR1009" i="1" s="1"/>
  <c r="BO1011" i="1"/>
  <c r="BQ1011" i="1" s="1"/>
  <c r="BR1011" i="1" s="1"/>
  <c r="BS1010" i="1"/>
  <c r="BS1011" i="1"/>
  <c r="BO1003" i="1"/>
  <c r="BQ1003" i="1" s="1"/>
  <c r="BR1003" i="1" s="1"/>
  <c r="BS1005" i="1"/>
  <c r="BO1010" i="1"/>
  <c r="BQ1010" i="1" s="1"/>
  <c r="BR1010" i="1" s="1"/>
  <c r="BS1003" i="1"/>
  <c r="BO1005" i="1"/>
  <c r="BQ1005" i="1" s="1"/>
  <c r="BR1005" i="1" s="1"/>
  <c r="BS1007" i="1"/>
  <c r="BO1012" i="1"/>
  <c r="BQ1012" i="1" s="1"/>
  <c r="BR1012" i="1" s="1"/>
  <c r="BS1009" i="1"/>
  <c r="BS1006" i="1"/>
  <c r="BO1007" i="1"/>
  <c r="BQ1007" i="1" s="1"/>
  <c r="BR1007" i="1" s="1"/>
  <c r="BO1006" i="1"/>
  <c r="BQ1006" i="1" s="1"/>
  <c r="BR1006" i="1" s="1"/>
  <c r="BO1031" i="1"/>
  <c r="BQ1031" i="1" s="1"/>
  <c r="BR1031" i="1" s="1"/>
  <c r="BS1032" i="1"/>
  <c r="BS1034" i="1"/>
  <c r="BO1030" i="1"/>
  <c r="BQ1030" i="1" s="1"/>
  <c r="BR1030" i="1" s="1"/>
  <c r="BO1034" i="1"/>
  <c r="BQ1034" i="1" s="1"/>
  <c r="BR1034" i="1" s="1"/>
  <c r="BO1032" i="1"/>
  <c r="BQ1032" i="1" s="1"/>
  <c r="BR1032" i="1" s="1"/>
  <c r="BO1026" i="1"/>
  <c r="BQ1026" i="1" s="1"/>
  <c r="BR1026" i="1" s="1"/>
  <c r="BS1030" i="1"/>
  <c r="BO1033" i="1"/>
  <c r="BQ1033" i="1" s="1"/>
  <c r="BR1033" i="1" s="1"/>
  <c r="BS1033" i="1"/>
  <c r="BO1028" i="1"/>
  <c r="BQ1028" i="1" s="1"/>
  <c r="BR1028" i="1" s="1"/>
  <c r="BO1027" i="1"/>
  <c r="BQ1027" i="1" s="1"/>
  <c r="BR1027" i="1" s="1"/>
  <c r="BS1027" i="1"/>
  <c r="BS1026" i="1"/>
  <c r="BO1029" i="1"/>
  <c r="BQ1029" i="1" s="1"/>
  <c r="BR1029" i="1" s="1"/>
  <c r="BS1029" i="1"/>
  <c r="BO1025" i="1"/>
  <c r="BQ1025" i="1" s="1"/>
  <c r="BR1025" i="1" s="1"/>
  <c r="BS1025" i="1"/>
  <c r="BS1028" i="1"/>
  <c r="BS1031" i="1"/>
  <c r="BO2035" i="1"/>
  <c r="BQ2035" i="1" s="1"/>
  <c r="BR2035" i="1" s="1"/>
  <c r="BO1206" i="1"/>
  <c r="BQ1206" i="1" s="1"/>
  <c r="BR1206" i="1" s="1"/>
  <c r="BO2030" i="1"/>
  <c r="BQ2030" i="1" s="1"/>
  <c r="BR2030" i="1" s="1"/>
  <c r="BS2030" i="1"/>
  <c r="BS1206" i="1"/>
  <c r="BS2035" i="1"/>
  <c r="BO1205" i="1"/>
  <c r="BQ1205" i="1" s="1"/>
  <c r="BR1205" i="1" s="1"/>
  <c r="BO2029" i="1"/>
  <c r="BQ2029" i="1" s="1"/>
  <c r="BR2029" i="1" s="1"/>
  <c r="BS2029" i="1"/>
  <c r="BS1205" i="1"/>
  <c r="BS2036" i="1"/>
  <c r="BS513" i="1"/>
  <c r="BO1594" i="1"/>
  <c r="BQ1594" i="1" s="1"/>
  <c r="BR1594" i="1" s="1"/>
  <c r="BO513" i="1"/>
  <c r="BQ513" i="1" s="1"/>
  <c r="BR513" i="1" s="1"/>
  <c r="BS2032" i="1"/>
  <c r="BS2033" i="1"/>
  <c r="BO2032" i="1"/>
  <c r="BQ2032" i="1" s="1"/>
  <c r="BR2032" i="1" s="1"/>
  <c r="BO1593" i="1"/>
  <c r="BQ1593" i="1" s="1"/>
  <c r="BR1593" i="1" s="1"/>
  <c r="BO514" i="1"/>
  <c r="BQ514" i="1" s="1"/>
  <c r="BR514" i="1" s="1"/>
  <c r="BO2033" i="1"/>
  <c r="BQ2033" i="1" s="1"/>
  <c r="BR2033" i="1" s="1"/>
  <c r="BS1593" i="1"/>
  <c r="BS1594" i="1"/>
  <c r="BS514" i="1"/>
  <c r="BS143" i="1"/>
  <c r="BO143" i="1"/>
  <c r="BQ143" i="1" s="1"/>
  <c r="BR143" i="1" s="1"/>
  <c r="BS144" i="1"/>
  <c r="BO141" i="1"/>
  <c r="BQ141" i="1" s="1"/>
  <c r="BR141" i="1" s="1"/>
  <c r="BS153" i="1"/>
  <c r="BO152" i="1"/>
  <c r="BQ152" i="1" s="1"/>
  <c r="BR152" i="1" s="1"/>
  <c r="BS140" i="1"/>
  <c r="BS138" i="1"/>
  <c r="BS132" i="1"/>
  <c r="BO132" i="1"/>
  <c r="BQ132" i="1" s="1"/>
  <c r="BR132" i="1" s="1"/>
  <c r="BO153" i="1"/>
  <c r="BQ153" i="1" s="1"/>
  <c r="BR153" i="1" s="1"/>
  <c r="BO138" i="1"/>
  <c r="BQ138" i="1" s="1"/>
  <c r="BR138" i="1" s="1"/>
  <c r="BS131" i="1"/>
  <c r="BO149" i="1"/>
  <c r="BQ149" i="1" s="1"/>
  <c r="BR149" i="1" s="1"/>
  <c r="BS149" i="1"/>
  <c r="BS152" i="1"/>
  <c r="BS150" i="1"/>
  <c r="BO140" i="1"/>
  <c r="BQ140" i="1" s="1"/>
  <c r="BR140" i="1" s="1"/>
  <c r="BS137" i="1"/>
  <c r="BO150" i="1"/>
  <c r="BQ150" i="1" s="1"/>
  <c r="BR150" i="1" s="1"/>
  <c r="BS141" i="1"/>
  <c r="BO137" i="1"/>
  <c r="BQ137" i="1" s="1"/>
  <c r="BR137" i="1" s="1"/>
  <c r="BO131" i="1"/>
  <c r="BQ131" i="1" s="1"/>
  <c r="BR131" i="1" s="1"/>
  <c r="BO93" i="1"/>
  <c r="BQ93" i="1" s="1"/>
  <c r="BR93" i="1" s="1"/>
  <c r="BS92" i="1"/>
  <c r="BS93" i="1"/>
  <c r="BO92" i="1"/>
  <c r="BQ92" i="1" s="1"/>
  <c r="BR92" i="1" s="1"/>
  <c r="BS101" i="1"/>
  <c r="BO101" i="1"/>
  <c r="BQ101" i="1" s="1"/>
  <c r="BR101" i="1" s="1"/>
  <c r="BO102" i="1"/>
  <c r="BQ102" i="1" s="1"/>
  <c r="BR102" i="1" s="1"/>
  <c r="BS102" i="1"/>
  <c r="BO99" i="1"/>
  <c r="BQ99" i="1" s="1"/>
  <c r="BR99" i="1" s="1"/>
  <c r="BS99" i="1"/>
  <c r="BO98" i="1"/>
  <c r="BQ98" i="1" s="1"/>
  <c r="BR98" i="1" s="1"/>
  <c r="BS98" i="1"/>
  <c r="BO38" i="1"/>
  <c r="BQ38" i="1" s="1"/>
  <c r="BR38" i="1" s="1"/>
  <c r="BS39" i="1"/>
  <c r="BO39" i="1"/>
  <c r="BQ39" i="1" s="1"/>
  <c r="BR39" i="1" s="1"/>
  <c r="BS38" i="1"/>
  <c r="BS12" i="1"/>
  <c r="BO12" i="1"/>
  <c r="BQ12" i="1" s="1"/>
  <c r="BR12" i="1" s="1"/>
  <c r="BS35" i="1"/>
  <c r="BO29" i="1"/>
  <c r="BQ29" i="1" s="1"/>
  <c r="BR29" i="1" s="1"/>
  <c r="BO35" i="1"/>
  <c r="BQ35" i="1" s="1"/>
  <c r="BR35" i="1" s="1"/>
  <c r="BS29" i="1"/>
  <c r="BS3" i="1"/>
  <c r="BO36" i="1"/>
  <c r="BQ36" i="1" s="1"/>
  <c r="BR36" i="1" s="1"/>
  <c r="BO3" i="1"/>
  <c r="BQ3" i="1" s="1"/>
  <c r="BR3" i="1" s="1"/>
  <c r="BS30" i="1"/>
  <c r="BO30" i="1"/>
  <c r="BQ30" i="1" s="1"/>
  <c r="BR30" i="1" s="1"/>
  <c r="BS36" i="1"/>
  <c r="BS4" i="1"/>
  <c r="BS8" i="1"/>
  <c r="BO8" i="1"/>
  <c r="BQ8" i="1" s="1"/>
  <c r="BR8" i="1" s="1"/>
  <c r="BS7" i="1"/>
  <c r="BS13" i="1"/>
  <c r="BO13" i="1"/>
  <c r="BQ13" i="1" s="1"/>
  <c r="BR13" i="1" s="1"/>
  <c r="BS5" i="1"/>
  <c r="BO5" i="1"/>
  <c r="BQ5" i="1" s="1"/>
  <c r="BR5" i="1" s="1"/>
  <c r="BS10" i="1"/>
  <c r="BO9" i="1"/>
  <c r="BQ9" i="1" s="1"/>
  <c r="BR9" i="1" s="1"/>
  <c r="BS9" i="1"/>
  <c r="BO24" i="1"/>
  <c r="BQ24" i="1" s="1"/>
  <c r="BR24" i="1" s="1"/>
  <c r="BO23" i="1"/>
  <c r="BQ23" i="1" s="1"/>
  <c r="BR23" i="1" s="1"/>
  <c r="BS23" i="1"/>
  <c r="BS24" i="1"/>
  <c r="BO17" i="1"/>
  <c r="BQ17" i="1" s="1"/>
  <c r="BR17" i="1" s="1"/>
  <c r="BS18" i="1"/>
  <c r="BO18" i="1"/>
  <c r="BQ18" i="1" s="1"/>
  <c r="BR18" i="1" s="1"/>
  <c r="BS17" i="1"/>
  <c r="BS2674" i="1"/>
  <c r="BS2673" i="1"/>
  <c r="BO2674" i="1"/>
  <c r="BQ2674" i="1" s="1"/>
  <c r="BR2674" i="1" s="1"/>
  <c r="BO2673" i="1"/>
  <c r="BQ2673" i="1" s="1"/>
  <c r="BR2673" i="1" s="1"/>
  <c r="BO2672" i="1"/>
  <c r="BQ2672" i="1" s="1"/>
  <c r="BR2672" i="1" s="1"/>
  <c r="BS2672" i="1"/>
  <c r="BO2671" i="1"/>
  <c r="BQ2671" i="1" s="1"/>
  <c r="BR2671" i="1" s="1"/>
  <c r="BS2671" i="1"/>
  <c r="BS227" i="1"/>
  <c r="BS228" i="1"/>
  <c r="BO228" i="1"/>
  <c r="BQ228" i="1" s="1"/>
  <c r="BR228" i="1" s="1"/>
  <c r="BO227" i="1"/>
  <c r="BQ227" i="1" s="1"/>
  <c r="BR227" i="1" s="1"/>
  <c r="BO511" i="1"/>
  <c r="BO510" i="1"/>
  <c r="BS510" i="1"/>
  <c r="BS511" i="1"/>
  <c r="BO56" i="1"/>
  <c r="BO57" i="1"/>
  <c r="BS56" i="1"/>
  <c r="BS57" i="1"/>
  <c r="BS53" i="1"/>
  <c r="BO53" i="1"/>
  <c r="BS54" i="1"/>
  <c r="BO54" i="1"/>
  <c r="BO115" i="1"/>
  <c r="BQ115" i="1" s="1"/>
  <c r="BR115" i="1" s="1"/>
  <c r="BS115" i="1"/>
  <c r="BS116" i="1"/>
  <c r="BO116" i="1"/>
  <c r="BQ116" i="1" s="1"/>
  <c r="BR116" i="1" s="1"/>
  <c r="BS113" i="1"/>
  <c r="BO113" i="1"/>
  <c r="BQ113" i="1" s="1"/>
  <c r="BR113" i="1" s="1"/>
  <c r="BO114" i="1"/>
  <c r="BQ114" i="1" s="1"/>
  <c r="BR114" i="1" s="1"/>
  <c r="BS114" i="1"/>
  <c r="BO110" i="1"/>
  <c r="BQ110" i="1" s="1"/>
  <c r="BR110" i="1" s="1"/>
  <c r="BS110" i="1"/>
  <c r="BS111" i="1"/>
  <c r="BO111" i="1"/>
  <c r="BQ111" i="1" s="1"/>
  <c r="BR111" i="1" s="1"/>
  <c r="BS108" i="1"/>
  <c r="BS107" i="1"/>
  <c r="BO107" i="1"/>
  <c r="BQ107" i="1" s="1"/>
  <c r="BR107" i="1" s="1"/>
  <c r="BO108" i="1"/>
  <c r="BQ108" i="1" s="1"/>
  <c r="BR108" i="1" s="1"/>
  <c r="BO104" i="1"/>
  <c r="BQ104" i="1" s="1"/>
  <c r="BR104" i="1" s="1"/>
  <c r="BS105" i="1"/>
  <c r="BO105" i="1"/>
  <c r="BQ105" i="1" s="1"/>
  <c r="BR105" i="1" s="1"/>
  <c r="BS104" i="1"/>
  <c r="BS89" i="1"/>
  <c r="BS90" i="1"/>
  <c r="BO89" i="1"/>
  <c r="BQ89" i="1" s="1"/>
  <c r="BR89" i="1" s="1"/>
  <c r="BO90" i="1"/>
  <c r="BQ90" i="1" s="1"/>
  <c r="BR90" i="1" s="1"/>
  <c r="BS86" i="1"/>
  <c r="BS87" i="1"/>
  <c r="BO86" i="1"/>
  <c r="BQ86" i="1" s="1"/>
  <c r="BR86" i="1" s="1"/>
  <c r="BO87" i="1"/>
  <c r="BQ87" i="1" s="1"/>
  <c r="BR87" i="1" s="1"/>
  <c r="BS163" i="1"/>
  <c r="BS164" i="1"/>
  <c r="BO163" i="1"/>
  <c r="BQ163" i="1" s="1"/>
  <c r="BR163" i="1" s="1"/>
  <c r="BO164" i="1"/>
  <c r="BQ164" i="1" s="1"/>
  <c r="BR164" i="1" s="1"/>
  <c r="BS160" i="1"/>
  <c r="BO160" i="1"/>
  <c r="BQ160" i="1" s="1"/>
  <c r="BR160" i="1" s="1"/>
  <c r="BS161" i="1"/>
  <c r="BO161" i="1"/>
  <c r="BQ161" i="1" s="1"/>
  <c r="BR161" i="1" s="1"/>
  <c r="BO125" i="1"/>
  <c r="BQ125" i="1" s="1"/>
  <c r="BR125" i="1" s="1"/>
  <c r="BO126" i="1"/>
  <c r="BQ126" i="1" s="1"/>
  <c r="BR126" i="1" s="1"/>
  <c r="BS125" i="1"/>
  <c r="BS126" i="1"/>
  <c r="BS123" i="1"/>
  <c r="BO123" i="1"/>
  <c r="BQ123" i="1" s="1"/>
  <c r="BR123" i="1" s="1"/>
  <c r="BS122" i="1"/>
  <c r="BO122" i="1"/>
  <c r="BQ122" i="1" s="1"/>
  <c r="BR122" i="1" s="1"/>
  <c r="BS119" i="1"/>
  <c r="BS120" i="1"/>
  <c r="BO119" i="1"/>
  <c r="BQ119" i="1" s="1"/>
  <c r="BR119" i="1" s="1"/>
  <c r="BO120" i="1"/>
  <c r="BQ120" i="1" s="1"/>
  <c r="BR120" i="1" s="1"/>
  <c r="BO208" i="1"/>
  <c r="BQ208" i="1" s="1"/>
  <c r="BR208" i="1" s="1"/>
  <c r="BS208" i="1"/>
  <c r="BS209" i="1"/>
  <c r="BO209" i="1"/>
  <c r="BQ209" i="1" s="1"/>
  <c r="BR209" i="1" s="1"/>
  <c r="BO205" i="1"/>
  <c r="BQ205" i="1" s="1"/>
  <c r="BR205" i="1" s="1"/>
  <c r="BS205" i="1"/>
  <c r="BO206" i="1"/>
  <c r="BQ206" i="1" s="1"/>
  <c r="BR206" i="1" s="1"/>
  <c r="BS206" i="1"/>
  <c r="BS204" i="1"/>
  <c r="BO204" i="1"/>
  <c r="BQ204" i="1" s="1"/>
  <c r="BR204" i="1" s="1"/>
  <c r="BO203" i="1"/>
  <c r="BQ203" i="1" s="1"/>
  <c r="BR203" i="1" s="1"/>
  <c r="BS203" i="1"/>
  <c r="BS200" i="1"/>
  <c r="BO200" i="1"/>
  <c r="BQ200" i="1" s="1"/>
  <c r="BR200" i="1" s="1"/>
  <c r="BS201" i="1"/>
  <c r="BO201" i="1"/>
  <c r="BQ201" i="1" s="1"/>
  <c r="BR201" i="1" s="1"/>
  <c r="BO197" i="1"/>
  <c r="BQ197" i="1" s="1"/>
  <c r="BR197" i="1" s="1"/>
  <c r="BS197" i="1"/>
  <c r="BS198" i="1"/>
  <c r="BO198" i="1"/>
  <c r="BQ198" i="1" s="1"/>
  <c r="BR198" i="1" s="1"/>
  <c r="BS195" i="1"/>
  <c r="BO195" i="1"/>
  <c r="BQ195" i="1" s="1"/>
  <c r="BR195" i="1" s="1"/>
  <c r="BO194" i="1"/>
  <c r="BQ194" i="1" s="1"/>
  <c r="BR194" i="1" s="1"/>
  <c r="BS194" i="1"/>
  <c r="BO191" i="1"/>
  <c r="BQ191" i="1" s="1"/>
  <c r="BR191" i="1" s="1"/>
  <c r="BS191" i="1"/>
  <c r="BS192" i="1"/>
  <c r="BO192" i="1"/>
  <c r="BQ192" i="1" s="1"/>
  <c r="BR192" i="1" s="1"/>
  <c r="BS189" i="1"/>
  <c r="BO189" i="1"/>
  <c r="BQ189" i="1" s="1"/>
  <c r="BR189" i="1" s="1"/>
  <c r="BO188" i="1"/>
  <c r="BQ188" i="1" s="1"/>
  <c r="BR188" i="1" s="1"/>
  <c r="BS188" i="1"/>
  <c r="BO186" i="1"/>
  <c r="BQ186" i="1" s="1"/>
  <c r="BR186" i="1" s="1"/>
  <c r="BS185" i="1"/>
  <c r="BS186" i="1"/>
  <c r="BO185" i="1"/>
  <c r="BQ185" i="1" s="1"/>
  <c r="BR185" i="1" s="1"/>
  <c r="BS182" i="1"/>
  <c r="BO183" i="1"/>
  <c r="BQ183" i="1" s="1"/>
  <c r="BR183" i="1" s="1"/>
  <c r="BO182" i="1"/>
  <c r="BQ182" i="1" s="1"/>
  <c r="BR182" i="1" s="1"/>
  <c r="BS183" i="1"/>
  <c r="BS179" i="1"/>
  <c r="BO179" i="1"/>
  <c r="BQ179" i="1" s="1"/>
  <c r="BR179" i="1" s="1"/>
  <c r="BS180" i="1"/>
  <c r="BO180" i="1"/>
  <c r="BQ180" i="1" s="1"/>
  <c r="BR180" i="1" s="1"/>
  <c r="BS177" i="1"/>
  <c r="BS176" i="1"/>
  <c r="BO174" i="1"/>
  <c r="BQ174" i="1" s="1"/>
  <c r="BR174" i="1" s="1"/>
  <c r="BS173" i="1"/>
  <c r="BO173" i="1"/>
  <c r="BQ173" i="1" s="1"/>
  <c r="BR173" i="1" s="1"/>
  <c r="BS174" i="1"/>
  <c r="BS170" i="1"/>
  <c r="BS171" i="1"/>
  <c r="BO170" i="1"/>
  <c r="BQ170" i="1" s="1"/>
  <c r="BR170" i="1" s="1"/>
  <c r="BO171" i="1"/>
  <c r="BQ171" i="1" s="1"/>
  <c r="BR171" i="1" s="1"/>
  <c r="BS167" i="1"/>
  <c r="BS168" i="1"/>
  <c r="BS166" i="1"/>
  <c r="BO50" i="1"/>
  <c r="BQ50" i="1" s="1"/>
  <c r="BR50" i="1" s="1"/>
  <c r="BO49" i="1"/>
  <c r="BQ49" i="1" s="1"/>
  <c r="BR49" i="1" s="1"/>
  <c r="BS49" i="1"/>
  <c r="BS50" i="1"/>
  <c r="BS47" i="1"/>
  <c r="BS48" i="1"/>
  <c r="BO47" i="1"/>
  <c r="BQ47" i="1" s="1"/>
  <c r="BR47" i="1" s="1"/>
  <c r="BO48" i="1"/>
  <c r="BQ48" i="1" s="1"/>
  <c r="BR48" i="1" s="1"/>
  <c r="BS44" i="1"/>
  <c r="BO44" i="1"/>
  <c r="BQ44" i="1" s="1"/>
  <c r="BR44" i="1" s="1"/>
  <c r="BS45" i="1"/>
  <c r="BO45" i="1"/>
  <c r="BQ45" i="1" s="1"/>
  <c r="BR45" i="1" s="1"/>
  <c r="BO41" i="1"/>
  <c r="BQ41" i="1" s="1"/>
  <c r="BR41" i="1" s="1"/>
  <c r="BS41" i="1"/>
  <c r="BS42" i="1"/>
  <c r="BO42" i="1"/>
  <c r="BQ42" i="1" s="1"/>
  <c r="BR42" i="1" s="1"/>
  <c r="BS26" i="1"/>
  <c r="BS27" i="1"/>
  <c r="BO26" i="1"/>
  <c r="BQ26" i="1" s="1"/>
  <c r="BR26" i="1" s="1"/>
  <c r="BO27" i="1"/>
  <c r="BQ27" i="1" s="1"/>
  <c r="BR27" i="1" s="1"/>
  <c r="BO20" i="1"/>
  <c r="BQ20" i="1" s="1"/>
  <c r="BR20" i="1" s="1"/>
  <c r="BS20" i="1"/>
  <c r="BO21" i="1"/>
  <c r="BQ21" i="1" s="1"/>
  <c r="BR21" i="1" s="1"/>
  <c r="BS21" i="1"/>
  <c r="BO15" i="1"/>
  <c r="BQ15" i="1" s="1"/>
  <c r="BR15" i="1" s="1"/>
  <c r="BS16" i="1"/>
  <c r="BO16" i="1"/>
  <c r="BQ16" i="1" s="1"/>
  <c r="BR16" i="1" s="1"/>
  <c r="BS15" i="1"/>
  <c r="BO178" i="1"/>
  <c r="BQ178" i="1" s="1"/>
  <c r="BR178" i="1" s="1"/>
  <c r="BO181" i="1"/>
  <c r="BQ181" i="1" s="1"/>
  <c r="BR181" i="1" s="1"/>
  <c r="BO169" i="1"/>
  <c r="BQ169" i="1" s="1"/>
  <c r="BR169" i="1" s="1"/>
  <c r="BO172" i="1"/>
  <c r="BQ172" i="1" s="1"/>
  <c r="BR172" i="1" s="1"/>
  <c r="BS2110" i="1"/>
  <c r="BS2105" i="1"/>
  <c r="BS2115" i="1"/>
  <c r="BS2324" i="1"/>
  <c r="D8" i="2"/>
  <c r="BP230" i="1" s="1"/>
  <c r="BS85" i="1"/>
  <c r="BS91" i="1"/>
  <c r="BO85" i="1"/>
  <c r="BQ85" i="1" s="1"/>
  <c r="BR85" i="1" s="1"/>
  <c r="BO91" i="1"/>
  <c r="BQ91" i="1" s="1"/>
  <c r="BR91" i="1" s="1"/>
  <c r="BS2522" i="1"/>
  <c r="BS1866" i="1"/>
  <c r="BS947" i="1"/>
  <c r="BO319" i="1"/>
  <c r="BQ319" i="1" s="1"/>
  <c r="BR319" i="1" s="1"/>
  <c r="BS196" i="1"/>
  <c r="BS2419" i="1"/>
  <c r="BO2090" i="1"/>
  <c r="BQ2090" i="1" s="1"/>
  <c r="BR2090" i="1" s="1"/>
  <c r="BS1262" i="1"/>
  <c r="BS617" i="1"/>
  <c r="BO286" i="1"/>
  <c r="BQ286" i="1" s="1"/>
  <c r="BR286" i="1" s="1"/>
  <c r="BO481" i="1"/>
  <c r="BQ481" i="1" s="1"/>
  <c r="BR481" i="1" s="1"/>
  <c r="BO1794" i="1"/>
  <c r="BQ1794" i="1" s="1"/>
  <c r="BR1794" i="1" s="1"/>
  <c r="BO815" i="1"/>
  <c r="BQ815" i="1" s="1"/>
  <c r="BR815" i="1" s="1"/>
  <c r="BS277" i="1"/>
  <c r="BO265" i="1"/>
  <c r="BS59" i="1"/>
  <c r="BO199" i="1"/>
  <c r="BQ199" i="1" s="1"/>
  <c r="BR199" i="1" s="1"/>
  <c r="BO244" i="1"/>
  <c r="BQ244" i="1" s="1"/>
  <c r="BR244" i="1" s="1"/>
  <c r="BO980" i="1"/>
  <c r="BQ980" i="1" s="1"/>
  <c r="BR980" i="1" s="1"/>
  <c r="BS2240" i="1"/>
  <c r="BO2230" i="1"/>
  <c r="BQ2230" i="1" s="1"/>
  <c r="BR2230" i="1" s="1"/>
  <c r="BS1436" i="1"/>
  <c r="BO1424" i="1"/>
  <c r="BQ1424" i="1" s="1"/>
  <c r="BR1424" i="1" s="1"/>
  <c r="BS316" i="1"/>
  <c r="BO314" i="1"/>
  <c r="BQ314" i="1" s="1"/>
  <c r="BR314" i="1" s="1"/>
  <c r="BS1692" i="1"/>
  <c r="BO1680" i="1"/>
  <c r="BQ1680" i="1" s="1"/>
  <c r="BR1680" i="1" s="1"/>
  <c r="BS288" i="1"/>
  <c r="BS1153" i="1"/>
  <c r="BS258" i="1"/>
  <c r="BO84" i="1"/>
  <c r="BO258" i="1"/>
  <c r="BS2245" i="1"/>
  <c r="BS304" i="1"/>
  <c r="BS272" i="1"/>
  <c r="BO73" i="1"/>
  <c r="BS2531" i="1"/>
  <c r="BS1424" i="1"/>
  <c r="BO1250" i="1"/>
  <c r="BQ1250" i="1" s="1"/>
  <c r="BR1250" i="1" s="1"/>
  <c r="BS84" i="1"/>
  <c r="BS2528" i="1"/>
  <c r="BO2522" i="1"/>
  <c r="BQ2522" i="1" s="1"/>
  <c r="BR2522" i="1" s="1"/>
  <c r="BS1878" i="1"/>
  <c r="BO1866" i="1"/>
  <c r="BQ1866" i="1" s="1"/>
  <c r="BR1866" i="1" s="1"/>
  <c r="BS969" i="1"/>
  <c r="BO947" i="1"/>
  <c r="BQ947" i="1" s="1"/>
  <c r="BR947" i="1" s="1"/>
  <c r="BS202" i="1"/>
  <c r="BO196" i="1"/>
  <c r="BQ196" i="1" s="1"/>
  <c r="BR196" i="1" s="1"/>
  <c r="BO2419" i="1"/>
  <c r="BQ2419" i="1" s="1"/>
  <c r="BR2419" i="1" s="1"/>
  <c r="BO1262" i="1"/>
  <c r="BQ1262" i="1" s="1"/>
  <c r="BR1262" i="1" s="1"/>
  <c r="BS1244" i="1"/>
  <c r="BO617" i="1"/>
  <c r="BQ617" i="1" s="1"/>
  <c r="BR617" i="1" s="1"/>
  <c r="BS2175" i="1"/>
  <c r="BS509" i="1"/>
  <c r="BO277" i="1"/>
  <c r="BS62" i="1"/>
  <c r="BO59" i="1"/>
  <c r="BS271" i="1"/>
  <c r="BO271" i="1"/>
  <c r="BO315" i="1"/>
  <c r="BQ315" i="1" s="1"/>
  <c r="BR315" i="1" s="1"/>
  <c r="BO2095" i="1"/>
  <c r="BQ2095" i="1" s="1"/>
  <c r="BR2095" i="1" s="1"/>
  <c r="BO1686" i="1"/>
  <c r="BQ1686" i="1" s="1"/>
  <c r="BR1686" i="1" s="1"/>
  <c r="BS284" i="1"/>
  <c r="BS245" i="1"/>
  <c r="BS252" i="1"/>
  <c r="BS980" i="1"/>
  <c r="BS1250" i="1"/>
  <c r="BO58" i="1"/>
  <c r="BO2531" i="1"/>
  <c r="BQ2531" i="1" s="1"/>
  <c r="BR2531" i="1" s="1"/>
  <c r="BS314" i="1"/>
  <c r="BO1698" i="1"/>
  <c r="BQ1698" i="1" s="1"/>
  <c r="BR1698" i="1" s="1"/>
  <c r="BS815" i="1"/>
  <c r="BS2250" i="1"/>
  <c r="BO2240" i="1"/>
  <c r="BQ2240" i="1" s="1"/>
  <c r="BR2240" i="1" s="1"/>
  <c r="BS1448" i="1"/>
  <c r="BO1436" i="1"/>
  <c r="BQ1436" i="1" s="1"/>
  <c r="BR1436" i="1" s="1"/>
  <c r="BS318" i="1"/>
  <c r="BO316" i="1"/>
  <c r="BQ316" i="1" s="1"/>
  <c r="BR316" i="1" s="1"/>
  <c r="BS2443" i="1"/>
  <c r="BS2085" i="1"/>
  <c r="BO1692" i="1"/>
  <c r="BQ1692" i="1" s="1"/>
  <c r="BR1692" i="1" s="1"/>
  <c r="BS639" i="1"/>
  <c r="BO288" i="1"/>
  <c r="BQ288" i="1" s="1"/>
  <c r="BR288" i="1" s="1"/>
  <c r="BS285" i="1"/>
  <c r="BO1153" i="1"/>
  <c r="BQ1153" i="1" s="1"/>
  <c r="BR1153" i="1" s="1"/>
  <c r="BS503" i="1"/>
  <c r="BS317" i="1"/>
  <c r="BS2003" i="1"/>
  <c r="BS1680" i="1"/>
  <c r="BO61" i="1"/>
  <c r="BO2528" i="1"/>
  <c r="BQ2528" i="1" s="1"/>
  <c r="BR2528" i="1" s="1"/>
  <c r="BO1878" i="1"/>
  <c r="BQ1878" i="1" s="1"/>
  <c r="BR1878" i="1" s="1"/>
  <c r="BO969" i="1"/>
  <c r="BQ969" i="1" s="1"/>
  <c r="BR969" i="1" s="1"/>
  <c r="BS210" i="1"/>
  <c r="BO202" i="1"/>
  <c r="BQ202" i="1" s="1"/>
  <c r="BR202" i="1" s="1"/>
  <c r="BS1256" i="1"/>
  <c r="BO1244" i="1"/>
  <c r="BQ1244" i="1" s="1"/>
  <c r="BR1244" i="1" s="1"/>
  <c r="BO2175" i="1"/>
  <c r="BQ2175" i="1" s="1"/>
  <c r="BR2175" i="1" s="1"/>
  <c r="BO509" i="1"/>
  <c r="BS246" i="1"/>
  <c r="BO62" i="1"/>
  <c r="BS60" i="1"/>
  <c r="BS1442" i="1"/>
  <c r="BO2486" i="1"/>
  <c r="BQ2486" i="1" s="1"/>
  <c r="BR2486" i="1" s="1"/>
  <c r="BO259" i="1"/>
  <c r="BS207" i="1"/>
  <c r="BS2230" i="1"/>
  <c r="BO506" i="1"/>
  <c r="BS2519" i="1"/>
  <c r="BO2250" i="1"/>
  <c r="BQ2250" i="1" s="1"/>
  <c r="BR2250" i="1" s="1"/>
  <c r="BS1860" i="1"/>
  <c r="BO1448" i="1"/>
  <c r="BQ1448" i="1" s="1"/>
  <c r="BR1448" i="1" s="1"/>
  <c r="BS936" i="1"/>
  <c r="BO318" i="1"/>
  <c r="BQ318" i="1" s="1"/>
  <c r="BR318" i="1" s="1"/>
  <c r="BS193" i="1"/>
  <c r="BO2443" i="1"/>
  <c r="BQ2443" i="1" s="1"/>
  <c r="BR2443" i="1" s="1"/>
  <c r="BS2416" i="1"/>
  <c r="BO2085" i="1"/>
  <c r="BQ2085" i="1" s="1"/>
  <c r="BR2085" i="1" s="1"/>
  <c r="BO639" i="1"/>
  <c r="BQ639" i="1" s="1"/>
  <c r="BR639" i="1" s="1"/>
  <c r="BS606" i="1"/>
  <c r="BO285" i="1"/>
  <c r="BQ285" i="1" s="1"/>
  <c r="BR285" i="1" s="1"/>
  <c r="BS1581" i="1"/>
  <c r="BO1872" i="1"/>
  <c r="BQ1872" i="1" s="1"/>
  <c r="BR1872" i="1" s="1"/>
  <c r="BS2235" i="1"/>
  <c r="BS1430" i="1"/>
  <c r="BS315" i="1"/>
  <c r="BO210" i="1"/>
  <c r="BQ210" i="1" s="1"/>
  <c r="BR210" i="1" s="1"/>
  <c r="BS2095" i="1"/>
  <c r="BS1686" i="1"/>
  <c r="BO1256" i="1"/>
  <c r="BQ1256" i="1" s="1"/>
  <c r="BR1256" i="1" s="1"/>
  <c r="BS287" i="1"/>
  <c r="BO1581" i="1"/>
  <c r="BQ1581" i="1" s="1"/>
  <c r="BR1581" i="1" s="1"/>
  <c r="BS2486" i="1"/>
  <c r="BS1358" i="1"/>
  <c r="BS303" i="1"/>
  <c r="BS259" i="1"/>
  <c r="BO246" i="1"/>
  <c r="BS73" i="1"/>
  <c r="BO60" i="1"/>
  <c r="BO503" i="1"/>
  <c r="BS58" i="1"/>
  <c r="BO1430" i="1"/>
  <c r="BQ1430" i="1" s="1"/>
  <c r="BR1430" i="1" s="1"/>
  <c r="BS2080" i="1"/>
  <c r="BO287" i="1"/>
  <c r="BQ287" i="1" s="1"/>
  <c r="BR287" i="1" s="1"/>
  <c r="BO1358" i="1"/>
  <c r="BQ1358" i="1" s="1"/>
  <c r="BR1358" i="1" s="1"/>
  <c r="BO2525" i="1"/>
  <c r="BQ2525" i="1" s="1"/>
  <c r="BR2525" i="1" s="1"/>
  <c r="BO958" i="1"/>
  <c r="BQ958" i="1" s="1"/>
  <c r="BR958" i="1" s="1"/>
  <c r="BO2422" i="1"/>
  <c r="BQ2422" i="1" s="1"/>
  <c r="BR2422" i="1" s="1"/>
  <c r="BS1698" i="1"/>
  <c r="BO628" i="1"/>
  <c r="BQ628" i="1" s="1"/>
  <c r="BR628" i="1" s="1"/>
  <c r="BS61" i="1"/>
  <c r="BO1884" i="1"/>
  <c r="BQ1884" i="1" s="1"/>
  <c r="BR1884" i="1" s="1"/>
  <c r="BO207" i="1"/>
  <c r="BQ207" i="1" s="1"/>
  <c r="BR207" i="1" s="1"/>
  <c r="BS2525" i="1"/>
  <c r="BO2519" i="1"/>
  <c r="BQ2519" i="1" s="1"/>
  <c r="BR2519" i="1" s="1"/>
  <c r="BS1872" i="1"/>
  <c r="BO1860" i="1"/>
  <c r="BQ1860" i="1" s="1"/>
  <c r="BR1860" i="1" s="1"/>
  <c r="BS958" i="1"/>
  <c r="BO936" i="1"/>
  <c r="BQ936" i="1" s="1"/>
  <c r="BR936" i="1" s="1"/>
  <c r="BS199" i="1"/>
  <c r="BO193" i="1"/>
  <c r="BQ193" i="1" s="1"/>
  <c r="BR193" i="1" s="1"/>
  <c r="BS2422" i="1"/>
  <c r="BO2416" i="1"/>
  <c r="BQ2416" i="1" s="1"/>
  <c r="BR2416" i="1" s="1"/>
  <c r="BS628" i="1"/>
  <c r="BO606" i="1"/>
  <c r="BQ606" i="1" s="1"/>
  <c r="BR606" i="1" s="1"/>
  <c r="BS244" i="1"/>
  <c r="BO2235" i="1"/>
  <c r="BQ2235" i="1" s="1"/>
  <c r="BR2235" i="1" s="1"/>
  <c r="BO303" i="1"/>
  <c r="BQ303" i="1" s="1"/>
  <c r="BR303" i="1" s="1"/>
  <c r="BS1884" i="1"/>
  <c r="BS506" i="1"/>
  <c r="BO2003" i="1"/>
  <c r="BQ2003" i="1" s="1"/>
  <c r="BR2003" i="1" s="1"/>
  <c r="BO2245" i="1"/>
  <c r="BQ2245" i="1" s="1"/>
  <c r="BR2245" i="1" s="1"/>
  <c r="BO1442" i="1"/>
  <c r="BQ1442" i="1" s="1"/>
  <c r="BR1442" i="1" s="1"/>
  <c r="BS319" i="1"/>
  <c r="BO317" i="1"/>
  <c r="BQ317" i="1" s="1"/>
  <c r="BR317" i="1" s="1"/>
  <c r="BS2090" i="1"/>
  <c r="BO2080" i="1"/>
  <c r="BQ2080" i="1" s="1"/>
  <c r="BR2080" i="1" s="1"/>
  <c r="BS286" i="1"/>
  <c r="BO284" i="1"/>
  <c r="BQ284" i="1" s="1"/>
  <c r="BR284" i="1" s="1"/>
  <c r="BS481" i="1"/>
  <c r="BO245" i="1"/>
  <c r="BQ245" i="1" s="1"/>
  <c r="BR245" i="1" s="1"/>
  <c r="BS1794" i="1"/>
  <c r="BO304" i="1"/>
  <c r="BQ304" i="1" s="1"/>
  <c r="BR304" i="1" s="1"/>
  <c r="BO272" i="1"/>
  <c r="BS265" i="1"/>
  <c r="BO252" i="1"/>
  <c r="BO2676" i="1"/>
  <c r="BQ2676" i="1" s="1"/>
  <c r="BR2676" i="1" s="1"/>
  <c r="BS1002" i="1"/>
  <c r="BS2675" i="1"/>
  <c r="BO2675" i="1"/>
  <c r="BQ2675" i="1" s="1"/>
  <c r="BR2675" i="1" s="1"/>
  <c r="BO1002" i="1"/>
  <c r="BQ1002" i="1" s="1"/>
  <c r="BR1002" i="1" s="1"/>
  <c r="BS2676" i="1"/>
  <c r="BS2734" i="1"/>
  <c r="BO2734" i="1"/>
  <c r="BQ2734" i="1" s="1"/>
  <c r="BR2734" i="1" s="1"/>
  <c r="BS2655" i="1"/>
  <c r="BO2666" i="1"/>
  <c r="BQ2666" i="1" s="1"/>
  <c r="BR2666" i="1" s="1"/>
  <c r="BS2638" i="1"/>
  <c r="BS2661" i="1"/>
  <c r="BO2661" i="1"/>
  <c r="BQ2661" i="1" s="1"/>
  <c r="BR2661" i="1" s="1"/>
  <c r="BO2655" i="1"/>
  <c r="BQ2655" i="1" s="1"/>
  <c r="BR2655" i="1" s="1"/>
  <c r="BS2613" i="1"/>
  <c r="BO2613" i="1"/>
  <c r="BQ2613" i="1" s="1"/>
  <c r="BR2613" i="1" s="1"/>
  <c r="BS2597" i="1"/>
  <c r="BS2637" i="1"/>
  <c r="BO2637" i="1"/>
  <c r="BQ2637" i="1" s="1"/>
  <c r="BR2637" i="1" s="1"/>
  <c r="BO2638" i="1"/>
  <c r="BQ2638" i="1" s="1"/>
  <c r="BR2638" i="1" s="1"/>
  <c r="BS2666" i="1"/>
  <c r="BO2597" i="1"/>
  <c r="BQ2597" i="1" s="1"/>
  <c r="BR2597" i="1" s="1"/>
  <c r="BO1854" i="1"/>
  <c r="BQ1854" i="1" s="1"/>
  <c r="BR1854" i="1" s="1"/>
  <c r="BO2510" i="1"/>
  <c r="BQ2510" i="1" s="1"/>
  <c r="BR2510" i="1" s="1"/>
  <c r="BO1412" i="1"/>
  <c r="BQ1412" i="1" s="1"/>
  <c r="BR1412" i="1" s="1"/>
  <c r="BO1848" i="1"/>
  <c r="BQ1848" i="1" s="1"/>
  <c r="BR1848" i="1" s="1"/>
  <c r="BO2225" i="1"/>
  <c r="BQ2225" i="1" s="1"/>
  <c r="BR2225" i="1" s="1"/>
  <c r="BO925" i="1"/>
  <c r="BQ925" i="1" s="1"/>
  <c r="BR925" i="1" s="1"/>
  <c r="BO187" i="1"/>
  <c r="BQ187" i="1" s="1"/>
  <c r="BR187" i="1" s="1"/>
  <c r="BO2220" i="1"/>
  <c r="BQ2220" i="1" s="1"/>
  <c r="BR2220" i="1" s="1"/>
  <c r="BO2215" i="1"/>
  <c r="BQ2215" i="1" s="1"/>
  <c r="BR2215" i="1" s="1"/>
  <c r="BO914" i="1"/>
  <c r="BQ914" i="1" s="1"/>
  <c r="BR914" i="1" s="1"/>
  <c r="BO1418" i="1"/>
  <c r="BQ1418" i="1" s="1"/>
  <c r="BR1418" i="1" s="1"/>
  <c r="BO903" i="1"/>
  <c r="BQ903" i="1" s="1"/>
  <c r="BR903" i="1" s="1"/>
  <c r="BO190" i="1"/>
  <c r="BQ190" i="1" s="1"/>
  <c r="BR190" i="1" s="1"/>
  <c r="BO313" i="1"/>
  <c r="BQ313" i="1" s="1"/>
  <c r="BR313" i="1" s="1"/>
  <c r="BO2516" i="1"/>
  <c r="BQ2516" i="1" s="1"/>
  <c r="BR2516" i="1" s="1"/>
  <c r="BO1842" i="1"/>
  <c r="BQ1842" i="1" s="1"/>
  <c r="BR1842" i="1" s="1"/>
  <c r="BO312" i="1"/>
  <c r="BQ312" i="1" s="1"/>
  <c r="BR312" i="1" s="1"/>
  <c r="BO2513" i="1"/>
  <c r="BQ2513" i="1" s="1"/>
  <c r="BR2513" i="1" s="1"/>
  <c r="BO1406" i="1"/>
  <c r="BQ1406" i="1" s="1"/>
  <c r="BR1406" i="1" s="1"/>
  <c r="BO184" i="1"/>
  <c r="BQ184" i="1" s="1"/>
  <c r="BR184" i="1" s="1"/>
  <c r="BO311" i="1"/>
  <c r="BQ311" i="1" s="1"/>
  <c r="BR311" i="1" s="1"/>
  <c r="BS2303" i="1"/>
  <c r="BS1958" i="1"/>
  <c r="BS1527" i="1"/>
  <c r="BS2285" i="1"/>
  <c r="BS2549" i="1"/>
  <c r="BS2294" i="1"/>
  <c r="BS1953" i="1"/>
  <c r="BS1521" i="1"/>
  <c r="BS1046" i="1"/>
  <c r="BS226" i="1"/>
  <c r="BS1490" i="1"/>
  <c r="BS925" i="1"/>
  <c r="BS914" i="1"/>
  <c r="BS1854" i="1"/>
  <c r="BS235" i="1"/>
  <c r="BS2312" i="1"/>
  <c r="BS1412" i="1"/>
  <c r="BS19" i="1"/>
  <c r="BS2306" i="1"/>
  <c r="BS1842" i="1"/>
  <c r="BS14" i="1"/>
  <c r="BS312" i="1"/>
  <c r="BS300" i="1"/>
  <c r="BS1418" i="1"/>
  <c r="BS1848" i="1"/>
  <c r="BS325" i="1"/>
  <c r="BS1926" i="1"/>
  <c r="BS313" i="1"/>
  <c r="BS2516" i="1"/>
  <c r="BS190" i="1"/>
  <c r="BS2513" i="1"/>
  <c r="BS187" i="1"/>
  <c r="BS2510" i="1"/>
  <c r="BS903" i="1"/>
  <c r="BS184" i="1"/>
  <c r="BS2220" i="1"/>
  <c r="BS2215" i="1"/>
  <c r="BS311" i="1"/>
  <c r="BS2225" i="1"/>
  <c r="BS234" i="1"/>
  <c r="BS1406" i="1"/>
  <c r="BS2333" i="1"/>
  <c r="BO55" i="1"/>
  <c r="BS1782" i="1"/>
  <c r="BS1220" i="1"/>
  <c r="BO2333" i="1"/>
  <c r="BQ2333" i="1" s="1"/>
  <c r="BR2333" i="1" s="1"/>
  <c r="BS1340" i="1"/>
  <c r="BS2459" i="1"/>
  <c r="BO52" i="1"/>
  <c r="BS2060" i="1"/>
  <c r="BS46" i="1"/>
  <c r="BS2309" i="1"/>
  <c r="BS52" i="1"/>
  <c r="BS2297" i="1"/>
  <c r="BS88" i="1"/>
  <c r="BS2291" i="1"/>
  <c r="BS2447" i="1"/>
  <c r="BO2549" i="1"/>
  <c r="BQ2549" i="1" s="1"/>
  <c r="BR2549" i="1" s="1"/>
  <c r="BS2465" i="1"/>
  <c r="BS1129" i="1"/>
  <c r="BO51" i="1"/>
  <c r="BQ51" i="1" s="1"/>
  <c r="BR51" i="1" s="1"/>
  <c r="BS1075" i="1"/>
  <c r="BS51" i="1"/>
  <c r="BS2477" i="1"/>
  <c r="BS1135" i="1"/>
  <c r="BS2468" i="1"/>
  <c r="BS562" i="1"/>
  <c r="BS1948" i="1"/>
  <c r="BS1788" i="1"/>
  <c r="BO46" i="1"/>
  <c r="BQ46" i="1" s="1"/>
  <c r="BR46" i="1" s="1"/>
  <c r="BS1069" i="1"/>
  <c r="BS37" i="1"/>
  <c r="BS1943" i="1"/>
  <c r="BO2285" i="1"/>
  <c r="BQ2285" i="1" s="1"/>
  <c r="BR2285" i="1" s="1"/>
  <c r="BS55" i="1"/>
  <c r="BS2300" i="1"/>
  <c r="BS2382" i="1"/>
  <c r="BS2462" i="1"/>
  <c r="BO1926" i="1"/>
  <c r="BQ1926" i="1" s="1"/>
  <c r="BR1926" i="1" s="1"/>
  <c r="BO1046" i="1"/>
  <c r="BQ1046" i="1" s="1"/>
  <c r="BR1046" i="1" s="1"/>
  <c r="BO325" i="1"/>
  <c r="BQ325" i="1" s="1"/>
  <c r="BR325" i="1" s="1"/>
  <c r="BO1490" i="1"/>
  <c r="BQ1490" i="1" s="1"/>
  <c r="BR1490" i="1" s="1"/>
  <c r="BO226" i="1"/>
  <c r="BQ226" i="1" s="1"/>
  <c r="BR226" i="1" s="1"/>
  <c r="BS793" i="1"/>
  <c r="BS804" i="1"/>
  <c r="BS2670" i="1"/>
  <c r="BO2670" i="1"/>
  <c r="BQ2670" i="1" s="1"/>
  <c r="BR2670" i="1" s="1"/>
  <c r="BS2556" i="1"/>
  <c r="BO2556" i="1"/>
  <c r="BQ2556" i="1" s="1"/>
  <c r="BR2556" i="1" s="1"/>
  <c r="BS2428" i="1"/>
  <c r="BO2428" i="1"/>
  <c r="BQ2428" i="1" s="1"/>
  <c r="BR2428" i="1" s="1"/>
  <c r="BS2425" i="1"/>
  <c r="BO2425" i="1"/>
  <c r="BQ2425" i="1" s="1"/>
  <c r="BR2425" i="1" s="1"/>
  <c r="BS2075" i="1"/>
  <c r="BO2075" i="1"/>
  <c r="BQ2075" i="1" s="1"/>
  <c r="BR2075" i="1" s="1"/>
  <c r="BS2070" i="1"/>
  <c r="BO2070" i="1"/>
  <c r="BQ2070" i="1" s="1"/>
  <c r="BR2070" i="1" s="1"/>
  <c r="BS1674" i="1"/>
  <c r="BO1674" i="1"/>
  <c r="BQ1674" i="1" s="1"/>
  <c r="BR1674" i="1" s="1"/>
  <c r="BS1668" i="1"/>
  <c r="BO1668" i="1"/>
  <c r="BQ1668" i="1" s="1"/>
  <c r="BR1668" i="1" s="1"/>
  <c r="BS1238" i="1"/>
  <c r="BO1238" i="1"/>
  <c r="BQ1238" i="1" s="1"/>
  <c r="BR1238" i="1" s="1"/>
  <c r="BS1232" i="1"/>
  <c r="BO1232" i="1"/>
  <c r="BQ1232" i="1" s="1"/>
  <c r="BR1232" i="1" s="1"/>
  <c r="BS595" i="1"/>
  <c r="BO595" i="1"/>
  <c r="BQ595" i="1" s="1"/>
  <c r="BR595" i="1" s="1"/>
  <c r="BS584" i="1"/>
  <c r="BO584" i="1"/>
  <c r="BQ584" i="1" s="1"/>
  <c r="BR584" i="1" s="1"/>
  <c r="BS283" i="1"/>
  <c r="BO283" i="1"/>
  <c r="BQ283" i="1" s="1"/>
  <c r="BR283" i="1" s="1"/>
  <c r="BS282" i="1"/>
  <c r="BO282" i="1"/>
  <c r="BQ282" i="1" s="1"/>
  <c r="BR282" i="1" s="1"/>
  <c r="BS25" i="1"/>
  <c r="BS43" i="1"/>
  <c r="BS40" i="1"/>
  <c r="BS22" i="1"/>
  <c r="BO2210" i="1"/>
  <c r="BQ2210" i="1" s="1"/>
  <c r="BR2210" i="1" s="1"/>
  <c r="BO2205" i="1"/>
  <c r="BQ2205" i="1" s="1"/>
  <c r="BR2205" i="1" s="1"/>
  <c r="BO2195" i="1"/>
  <c r="BQ2195" i="1" s="1"/>
  <c r="BR2195" i="1" s="1"/>
  <c r="BO2190" i="1"/>
  <c r="BQ2190" i="1" s="1"/>
  <c r="BR2190" i="1" s="1"/>
  <c r="BQ2200" i="1"/>
  <c r="BR2200" i="1" s="1"/>
  <c r="BQ2185" i="1"/>
  <c r="BR2185" i="1" s="1"/>
  <c r="BQ1370" i="1"/>
  <c r="BR1370" i="1" s="1"/>
  <c r="BO1382" i="1"/>
  <c r="BQ1382" i="1" s="1"/>
  <c r="BR1382" i="1" s="1"/>
  <c r="BO1376" i="1"/>
  <c r="BQ1376" i="1" s="1"/>
  <c r="BR1376" i="1" s="1"/>
  <c r="BQ1388" i="1"/>
  <c r="BR1388" i="1" s="1"/>
  <c r="BO1400" i="1"/>
  <c r="BQ1400" i="1" s="1"/>
  <c r="BR1400" i="1" s="1"/>
  <c r="BO1394" i="1"/>
  <c r="BQ1394" i="1" s="1"/>
  <c r="BR1394" i="1" s="1"/>
  <c r="BQ837" i="1"/>
  <c r="BR837" i="1" s="1"/>
  <c r="BO859" i="1"/>
  <c r="BQ859" i="1" s="1"/>
  <c r="BR859" i="1" s="1"/>
  <c r="BO848" i="1"/>
  <c r="BQ848" i="1" s="1"/>
  <c r="BR848" i="1" s="1"/>
  <c r="BQ870" i="1"/>
  <c r="BR870" i="1" s="1"/>
  <c r="BO892" i="1"/>
  <c r="BQ892" i="1" s="1"/>
  <c r="BR892" i="1" s="1"/>
  <c r="BO881" i="1"/>
  <c r="BQ881" i="1" s="1"/>
  <c r="BR881" i="1" s="1"/>
  <c r="BO2507" i="1"/>
  <c r="BO2498" i="1"/>
  <c r="BO2495" i="1"/>
  <c r="BQ2501" i="1"/>
  <c r="BR2501" i="1" s="1"/>
  <c r="BO2504" i="1"/>
  <c r="BS2318" i="1"/>
  <c r="BQ2492" i="1"/>
  <c r="BR2492" i="1" s="1"/>
  <c r="BS2315" i="1"/>
  <c r="BS117" i="1"/>
  <c r="BO117" i="1"/>
  <c r="BQ117" i="1" s="1"/>
  <c r="BR117" i="1" s="1"/>
  <c r="BS112" i="1"/>
  <c r="BO112" i="1"/>
  <c r="BQ112" i="1" s="1"/>
  <c r="BR112" i="1" s="1"/>
  <c r="BS109" i="1"/>
  <c r="BO109" i="1"/>
  <c r="BQ109" i="1" s="1"/>
  <c r="BR109" i="1" s="1"/>
  <c r="BS106" i="1"/>
  <c r="BO106" i="1"/>
  <c r="BQ106" i="1" s="1"/>
  <c r="BR106" i="1" s="1"/>
  <c r="BS103" i="1"/>
  <c r="BO103" i="1"/>
  <c r="BQ103" i="1" s="1"/>
  <c r="BR103" i="1" s="1"/>
  <c r="BS100" i="1"/>
  <c r="BO100" i="1"/>
  <c r="BQ100" i="1" s="1"/>
  <c r="BR100" i="1" s="1"/>
  <c r="BS97" i="1"/>
  <c r="BO97" i="1"/>
  <c r="BQ97" i="1" s="1"/>
  <c r="BR97" i="1" s="1"/>
  <c r="BS165" i="1"/>
  <c r="BO165" i="1"/>
  <c r="BQ165" i="1" s="1"/>
  <c r="BR165" i="1" s="1"/>
  <c r="D11" i="2"/>
  <c r="BS162" i="1"/>
  <c r="BO162" i="1"/>
  <c r="BQ162" i="1" s="1"/>
  <c r="BR162" i="1" s="1"/>
  <c r="BS118" i="1"/>
  <c r="BS124" i="1"/>
  <c r="BS121" i="1"/>
  <c r="BO306" i="1"/>
  <c r="BO1818" i="1"/>
  <c r="BO1836" i="1"/>
  <c r="BO1830" i="1"/>
  <c r="BO310" i="1"/>
  <c r="BO309" i="1"/>
  <c r="BO1812" i="1"/>
  <c r="BO307" i="1"/>
  <c r="BS1933" i="1"/>
  <c r="BS1938" i="1"/>
  <c r="BS1352" i="1"/>
  <c r="BS1346" i="1"/>
  <c r="BS1968" i="1"/>
  <c r="BS1963" i="1"/>
  <c r="BQ223" i="1"/>
  <c r="BR223" i="1" s="1"/>
  <c r="BQ211" i="1"/>
  <c r="BR211" i="1" s="1"/>
  <c r="D7" i="2"/>
  <c r="BS2327" i="1"/>
  <c r="BS238" i="1"/>
  <c r="BS2330" i="1"/>
  <c r="BS1087" i="1"/>
  <c r="BS1081" i="1"/>
  <c r="BS239" i="1"/>
  <c r="BS1993" i="1"/>
  <c r="BS1973" i="1"/>
  <c r="BS1662" i="1"/>
  <c r="BS1656" i="1"/>
  <c r="BS1998" i="1"/>
  <c r="BS1978" i="1"/>
  <c r="BS2498" i="1"/>
  <c r="BS2495" i="1"/>
  <c r="BS2492" i="1"/>
  <c r="BS2507" i="1"/>
  <c r="BS2195" i="1"/>
  <c r="BS1394" i="1"/>
  <c r="BS848" i="1"/>
  <c r="BS175" i="1"/>
  <c r="BS2190" i="1"/>
  <c r="BS1388" i="1"/>
  <c r="BS837" i="1"/>
  <c r="BS172" i="1"/>
  <c r="BS2501" i="1"/>
  <c r="BS2185" i="1"/>
  <c r="BS2504" i="1"/>
  <c r="BS2205" i="1"/>
  <c r="BS2200" i="1"/>
  <c r="BS1370" i="1"/>
  <c r="BS892" i="1"/>
  <c r="BS881" i="1"/>
  <c r="BS870" i="1"/>
  <c r="BS859" i="1"/>
  <c r="BS181" i="1"/>
  <c r="BS178" i="1"/>
  <c r="BS1400" i="1"/>
  <c r="BS169" i="1"/>
  <c r="BS1382" i="1"/>
  <c r="BS2210" i="1"/>
  <c r="BS1376" i="1"/>
  <c r="D12" i="2"/>
  <c r="BS310" i="1"/>
  <c r="BS1836" i="1"/>
  <c r="BS1812" i="1"/>
  <c r="BS1806" i="1"/>
  <c r="BS309" i="1"/>
  <c r="BS308" i="1"/>
  <c r="BS307" i="1"/>
  <c r="BS233" i="1"/>
  <c r="BS306" i="1"/>
  <c r="BS232" i="1"/>
  <c r="BS1830" i="1"/>
  <c r="BS305" i="1"/>
  <c r="BS1824" i="1"/>
  <c r="BS1818" i="1"/>
  <c r="BQ214" i="1"/>
  <c r="BR214" i="1" s="1"/>
  <c r="BQ229" i="1"/>
  <c r="BR229" i="1" s="1"/>
  <c r="BQ217" i="1"/>
  <c r="BR217" i="1" s="1"/>
  <c r="BQ220" i="1"/>
  <c r="BR220" i="1" s="1"/>
  <c r="D20" i="2"/>
  <c r="BO2294" i="1"/>
  <c r="BQ2294" i="1" s="1"/>
  <c r="BR2294" i="1" s="1"/>
  <c r="BO2306" i="1"/>
  <c r="BQ2306" i="1" s="1"/>
  <c r="BR2306" i="1" s="1"/>
  <c r="BO2291" i="1"/>
  <c r="BQ2291" i="1" s="1"/>
  <c r="BR2291" i="1" s="1"/>
  <c r="BO2303" i="1"/>
  <c r="BQ2303" i="1" s="1"/>
  <c r="BR2303" i="1" s="1"/>
  <c r="BO2462" i="1"/>
  <c r="BQ2462" i="1" s="1"/>
  <c r="BR2462" i="1" s="1"/>
  <c r="BO2437" i="1"/>
  <c r="BQ2437" i="1" s="1"/>
  <c r="BR2437" i="1" s="1"/>
  <c r="BO2318" i="1"/>
  <c r="BQ2318" i="1" s="1"/>
  <c r="BR2318" i="1" s="1"/>
  <c r="BO2459" i="1"/>
  <c r="BQ2459" i="1" s="1"/>
  <c r="BR2459" i="1" s="1"/>
  <c r="BO1204" i="1"/>
  <c r="BQ1204" i="1" s="1"/>
  <c r="BR1204" i="1" s="1"/>
  <c r="BO1201" i="1"/>
  <c r="BQ1201" i="1" s="1"/>
  <c r="BR1201" i="1" s="1"/>
  <c r="BO2330" i="1"/>
  <c r="BQ2330" i="1" s="1"/>
  <c r="BR2330" i="1" s="1"/>
  <c r="BO2444" i="1"/>
  <c r="BQ2444" i="1" s="1"/>
  <c r="BR2444" i="1" s="1"/>
  <c r="BO2440" i="1"/>
  <c r="BQ2440" i="1" s="1"/>
  <c r="BR2440" i="1" s="1"/>
  <c r="BO2483" i="1"/>
  <c r="BQ2483" i="1" s="1"/>
  <c r="BR2483" i="1" s="1"/>
  <c r="BO2480" i="1"/>
  <c r="BQ2480" i="1" s="1"/>
  <c r="BR2480" i="1" s="1"/>
  <c r="BO2474" i="1"/>
  <c r="BQ2474" i="1" s="1"/>
  <c r="BR2474" i="1" s="1"/>
  <c r="BO2471" i="1"/>
  <c r="BQ2471" i="1" s="1"/>
  <c r="BR2471" i="1" s="1"/>
  <c r="BO2468" i="1"/>
  <c r="BQ2468" i="1" s="1"/>
  <c r="BR2468" i="1" s="1"/>
  <c r="BO2465" i="1"/>
  <c r="BQ2465" i="1" s="1"/>
  <c r="BR2465" i="1" s="1"/>
  <c r="BO2028" i="1"/>
  <c r="BQ2028" i="1" s="1"/>
  <c r="BR2028" i="1" s="1"/>
  <c r="BO2315" i="1"/>
  <c r="BQ2315" i="1" s="1"/>
  <c r="BR2315" i="1" s="1"/>
  <c r="BO2477" i="1"/>
  <c r="BQ2477" i="1" s="1"/>
  <c r="BR2477" i="1" s="1"/>
  <c r="BO2025" i="1"/>
  <c r="BQ2025" i="1" s="1"/>
  <c r="BR2025" i="1" s="1"/>
  <c r="BO2327" i="1"/>
  <c r="BQ2327" i="1" s="1"/>
  <c r="BR2327" i="1" s="1"/>
  <c r="BO2324" i="1"/>
  <c r="BQ2324" i="1" s="1"/>
  <c r="BR2324" i="1" s="1"/>
  <c r="BO2447" i="1"/>
  <c r="BQ2447" i="1" s="1"/>
  <c r="BR2447" i="1" s="1"/>
  <c r="BO2410" i="1"/>
  <c r="BQ2410" i="1" s="1"/>
  <c r="BR2410" i="1" s="1"/>
  <c r="BO2453" i="1"/>
  <c r="BQ2453" i="1" s="1"/>
  <c r="BR2453" i="1" s="1"/>
  <c r="BO2297" i="1"/>
  <c r="BO2321" i="1"/>
  <c r="BQ2321" i="1" s="1"/>
  <c r="BR2321" i="1" s="1"/>
  <c r="BO2309" i="1"/>
  <c r="BQ2309" i="1" s="1"/>
  <c r="BR2309" i="1" s="1"/>
  <c r="BO2450" i="1"/>
  <c r="BQ2450" i="1" s="1"/>
  <c r="BR2450" i="1" s="1"/>
  <c r="BO2300" i="1"/>
  <c r="BQ2300" i="1" s="1"/>
  <c r="BR2300" i="1" s="1"/>
  <c r="BO2456" i="1"/>
  <c r="BQ2456" i="1" s="1"/>
  <c r="BR2456" i="1" s="1"/>
  <c r="BO2312" i="1"/>
  <c r="BQ2312" i="1" s="1"/>
  <c r="BR2312" i="1" s="1"/>
  <c r="BP2459" i="1"/>
  <c r="BP2456" i="1"/>
  <c r="BP2410" i="1"/>
  <c r="BP2483" i="1"/>
  <c r="BP2480" i="1"/>
  <c r="BP2474" i="1"/>
  <c r="BP2471" i="1"/>
  <c r="BP2468" i="1"/>
  <c r="BP2025" i="1"/>
  <c r="BP2321" i="1"/>
  <c r="BP1204" i="1"/>
  <c r="BP1201" i="1"/>
  <c r="BP2453" i="1"/>
  <c r="BP2437" i="1"/>
  <c r="BP2028" i="1"/>
  <c r="BP2462" i="1"/>
  <c r="BP2450" i="1"/>
  <c r="BP2440" i="1"/>
  <c r="BP2465" i="1"/>
  <c r="BP2444" i="1"/>
  <c r="BP2447" i="1"/>
  <c r="BO1958" i="1"/>
  <c r="BQ1958" i="1" s="1"/>
  <c r="BR1958" i="1" s="1"/>
  <c r="BO1953" i="1"/>
  <c r="BQ1953" i="1" s="1"/>
  <c r="BR1953" i="1" s="1"/>
  <c r="BO2060" i="1"/>
  <c r="BQ2060" i="1" s="1"/>
  <c r="BR2060" i="1" s="1"/>
  <c r="BO2065" i="1"/>
  <c r="BQ2065" i="1" s="1"/>
  <c r="BR2065" i="1" s="1"/>
  <c r="BP2065" i="1"/>
  <c r="BP2060" i="1"/>
  <c r="BP2165" i="1"/>
  <c r="BP2398" i="1"/>
  <c r="BP2145" i="1"/>
  <c r="BP1193" i="1"/>
  <c r="BP1988" i="1"/>
  <c r="BP1933" i="1"/>
  <c r="BP2140" i="1"/>
  <c r="BP1983" i="1"/>
  <c r="BP2150" i="1"/>
  <c r="BP1198" i="1"/>
  <c r="BP1978" i="1"/>
  <c r="BP1938" i="1"/>
  <c r="BP2120" i="1"/>
  <c r="BP2022" i="1"/>
  <c r="BP1963" i="1"/>
  <c r="BP1973" i="1"/>
  <c r="BP2155" i="1"/>
  <c r="BP2017" i="1"/>
  <c r="BP2130" i="1"/>
  <c r="BP2170" i="1"/>
  <c r="BP2160" i="1"/>
  <c r="BP2125" i="1"/>
  <c r="BP2135" i="1"/>
  <c r="BP1968" i="1"/>
  <c r="BO2170" i="1"/>
  <c r="BQ2170" i="1" s="1"/>
  <c r="BR2170" i="1" s="1"/>
  <c r="BO2120" i="1"/>
  <c r="BQ2120" i="1" s="1"/>
  <c r="BR2120" i="1" s="1"/>
  <c r="BO1963" i="1"/>
  <c r="BQ1963" i="1" s="1"/>
  <c r="BR1963" i="1" s="1"/>
  <c r="BO2398" i="1"/>
  <c r="BQ2398" i="1" s="1"/>
  <c r="BR2398" i="1" s="1"/>
  <c r="BO2165" i="1"/>
  <c r="BQ2165" i="1" s="1"/>
  <c r="BR2165" i="1" s="1"/>
  <c r="BO2150" i="1"/>
  <c r="BQ2150" i="1" s="1"/>
  <c r="BR2150" i="1" s="1"/>
  <c r="BO1198" i="1"/>
  <c r="BQ1198" i="1" s="1"/>
  <c r="BR1198" i="1" s="1"/>
  <c r="BO1993" i="1"/>
  <c r="BQ1993" i="1" s="1"/>
  <c r="BR1993" i="1" s="1"/>
  <c r="BO1938" i="1"/>
  <c r="BQ1938" i="1" s="1"/>
  <c r="BR1938" i="1" s="1"/>
  <c r="BO2145" i="1"/>
  <c r="BQ2145" i="1" s="1"/>
  <c r="BR2145" i="1" s="1"/>
  <c r="BO1193" i="1"/>
  <c r="BQ1193" i="1" s="1"/>
  <c r="BR1193" i="1" s="1"/>
  <c r="BO1988" i="1"/>
  <c r="BQ1988" i="1" s="1"/>
  <c r="BR1988" i="1" s="1"/>
  <c r="BO1973" i="1"/>
  <c r="BQ1973" i="1" s="1"/>
  <c r="BR1973" i="1" s="1"/>
  <c r="BO1933" i="1"/>
  <c r="BO1978" i="1"/>
  <c r="BQ1978" i="1" s="1"/>
  <c r="BR1978" i="1" s="1"/>
  <c r="BO1983" i="1"/>
  <c r="BQ1983" i="1" s="1"/>
  <c r="BR1983" i="1" s="1"/>
  <c r="BO1948" i="1"/>
  <c r="BQ1948" i="1" s="1"/>
  <c r="BR1948" i="1" s="1"/>
  <c r="BO2160" i="1"/>
  <c r="BQ2160" i="1" s="1"/>
  <c r="BR2160" i="1" s="1"/>
  <c r="BO2125" i="1"/>
  <c r="BQ2125" i="1" s="1"/>
  <c r="BR2125" i="1" s="1"/>
  <c r="BO1943" i="1"/>
  <c r="BQ1943" i="1" s="1"/>
  <c r="BR1943" i="1" s="1"/>
  <c r="BO2115" i="1"/>
  <c r="BQ2115" i="1" s="1"/>
  <c r="BR2115" i="1" s="1"/>
  <c r="BO2155" i="1"/>
  <c r="BQ2155" i="1" s="1"/>
  <c r="BR2155" i="1" s="1"/>
  <c r="BQ2017" i="1"/>
  <c r="BR2017" i="1" s="1"/>
  <c r="BO2022" i="1"/>
  <c r="BQ2022" i="1" s="1"/>
  <c r="BR2022" i="1" s="1"/>
  <c r="BO2130" i="1"/>
  <c r="BQ2130" i="1" s="1"/>
  <c r="BR2130" i="1" s="1"/>
  <c r="BO2135" i="1"/>
  <c r="BQ2135" i="1" s="1"/>
  <c r="BR2135" i="1" s="1"/>
  <c r="BO2140" i="1"/>
  <c r="BQ2140" i="1" s="1"/>
  <c r="BR2140" i="1" s="1"/>
  <c r="BO2105" i="1"/>
  <c r="BQ2105" i="1" s="1"/>
  <c r="BR2105" i="1" s="1"/>
  <c r="BO1998" i="1"/>
  <c r="BQ1998" i="1" s="1"/>
  <c r="BR1998" i="1" s="1"/>
  <c r="BO1968" i="1"/>
  <c r="BQ1968" i="1" s="1"/>
  <c r="BR1968" i="1" s="1"/>
  <c r="BO2110" i="1"/>
  <c r="BQ2110" i="1" s="1"/>
  <c r="BR2110" i="1" s="1"/>
  <c r="BO1656" i="1"/>
  <c r="BQ1656" i="1" s="1"/>
  <c r="BR1656" i="1" s="1"/>
  <c r="BO1662" i="1"/>
  <c r="BQ1662" i="1" s="1"/>
  <c r="BR1662" i="1" s="1"/>
  <c r="BO1764" i="1"/>
  <c r="BQ1764" i="1" s="1"/>
  <c r="BR1764" i="1" s="1"/>
  <c r="BO1740" i="1"/>
  <c r="BQ1740" i="1" s="1"/>
  <c r="BR1740" i="1" s="1"/>
  <c r="BO1722" i="1"/>
  <c r="BQ1722" i="1" s="1"/>
  <c r="BR1722" i="1" s="1"/>
  <c r="BO1188" i="1"/>
  <c r="BQ1188" i="1" s="1"/>
  <c r="BR1188" i="1" s="1"/>
  <c r="BO1569" i="1"/>
  <c r="BQ1569" i="1" s="1"/>
  <c r="BR1569" i="1" s="1"/>
  <c r="BO1545" i="1"/>
  <c r="BQ1545" i="1" s="1"/>
  <c r="BR1545" i="1" s="1"/>
  <c r="BO1503" i="1"/>
  <c r="BQ1503" i="1" s="1"/>
  <c r="BR1503" i="1" s="1"/>
  <c r="BO1563" i="1"/>
  <c r="BQ1563" i="1" s="1"/>
  <c r="BR1563" i="1" s="1"/>
  <c r="BO1776" i="1"/>
  <c r="BQ1776" i="1" s="1"/>
  <c r="BR1776" i="1" s="1"/>
  <c r="BO1734" i="1"/>
  <c r="BQ1734" i="1" s="1"/>
  <c r="BR1734" i="1" s="1"/>
  <c r="BO1710" i="1"/>
  <c r="BQ1710" i="1" s="1"/>
  <c r="BR1710" i="1" s="1"/>
  <c r="BO1521" i="1"/>
  <c r="BQ1521" i="1" s="1"/>
  <c r="BR1521" i="1" s="1"/>
  <c r="BO1182" i="1"/>
  <c r="BQ1182" i="1" s="1"/>
  <c r="BR1182" i="1" s="1"/>
  <c r="BO1551" i="1"/>
  <c r="BQ1551" i="1" s="1"/>
  <c r="BR1551" i="1" s="1"/>
  <c r="BO1533" i="1"/>
  <c r="BQ1533" i="1" s="1"/>
  <c r="BR1533" i="1" s="1"/>
  <c r="BO1788" i="1"/>
  <c r="BQ1788" i="1" s="1"/>
  <c r="BR1788" i="1" s="1"/>
  <c r="BO1758" i="1"/>
  <c r="BQ1758" i="1" s="1"/>
  <c r="BR1758" i="1" s="1"/>
  <c r="BO1643" i="1"/>
  <c r="BQ1643" i="1" s="1"/>
  <c r="BR1643" i="1" s="1"/>
  <c r="BO1527" i="1"/>
  <c r="BQ1527" i="1" s="1"/>
  <c r="BR1527" i="1" s="1"/>
  <c r="BO1746" i="1"/>
  <c r="BQ1746" i="1" s="1"/>
  <c r="BR1746" i="1" s="1"/>
  <c r="BO1637" i="1"/>
  <c r="BQ1637" i="1" s="1"/>
  <c r="BR1637" i="1" s="1"/>
  <c r="BO1782" i="1"/>
  <c r="BQ1782" i="1" s="1"/>
  <c r="BR1782" i="1" s="1"/>
  <c r="BO1509" i="1"/>
  <c r="BQ1509" i="1" s="1"/>
  <c r="BR1509" i="1" s="1"/>
  <c r="BO1539" i="1"/>
  <c r="BQ1539" i="1" s="1"/>
  <c r="BR1539" i="1" s="1"/>
  <c r="BO1575" i="1"/>
  <c r="BQ1575" i="1" s="1"/>
  <c r="BR1575" i="1" s="1"/>
  <c r="BO1557" i="1"/>
  <c r="BQ1557" i="1" s="1"/>
  <c r="BR1557" i="1" s="1"/>
  <c r="BO1728" i="1"/>
  <c r="BQ1728" i="1" s="1"/>
  <c r="BR1728" i="1" s="1"/>
  <c r="BO1515" i="1"/>
  <c r="BQ1515" i="1" s="1"/>
  <c r="BR1515" i="1" s="1"/>
  <c r="BO1497" i="1"/>
  <c r="BO1752" i="1"/>
  <c r="BQ1752" i="1" s="1"/>
  <c r="BR1752" i="1" s="1"/>
  <c r="BO1716" i="1"/>
  <c r="BQ1716" i="1" s="1"/>
  <c r="BR1716" i="1" s="1"/>
  <c r="BO2382" i="1"/>
  <c r="BQ2382" i="1" s="1"/>
  <c r="BR2382" i="1" s="1"/>
  <c r="BO1770" i="1"/>
  <c r="BQ1770" i="1" s="1"/>
  <c r="BR1770" i="1" s="1"/>
  <c r="BP1758" i="1"/>
  <c r="BP1734" i="1"/>
  <c r="BP1716" i="1"/>
  <c r="BP1643" i="1"/>
  <c r="BP1182" i="1"/>
  <c r="BP1764" i="1"/>
  <c r="BP1740" i="1"/>
  <c r="BP1722" i="1"/>
  <c r="BP1188" i="1"/>
  <c r="BP1569" i="1"/>
  <c r="BP1545" i="1"/>
  <c r="BP1503" i="1"/>
  <c r="BP1746" i="1"/>
  <c r="BP1637" i="1"/>
  <c r="BP1551" i="1"/>
  <c r="BP1533" i="1"/>
  <c r="BP1575" i="1"/>
  <c r="BP1563" i="1"/>
  <c r="BP1776" i="1"/>
  <c r="BP1752" i="1"/>
  <c r="BP1509" i="1"/>
  <c r="BP1539" i="1"/>
  <c r="BP1557" i="1"/>
  <c r="BP1515" i="1"/>
  <c r="BP1497" i="1"/>
  <c r="BP1710" i="1"/>
  <c r="BP1770" i="1"/>
  <c r="BP1728" i="1"/>
  <c r="BO1340" i="1"/>
  <c r="BQ1340" i="1" s="1"/>
  <c r="BR1340" i="1" s="1"/>
  <c r="BO1328" i="1"/>
  <c r="BQ1328" i="1" s="1"/>
  <c r="BR1328" i="1" s="1"/>
  <c r="BO1304" i="1"/>
  <c r="BQ1304" i="1" s="1"/>
  <c r="BR1304" i="1" s="1"/>
  <c r="BO1286" i="1"/>
  <c r="BQ1286" i="1" s="1"/>
  <c r="BR1286" i="1" s="1"/>
  <c r="BO1176" i="1"/>
  <c r="BQ1176" i="1" s="1"/>
  <c r="BR1176" i="1" s="1"/>
  <c r="BO1141" i="1"/>
  <c r="BQ1141" i="1" s="1"/>
  <c r="BR1141" i="1" s="1"/>
  <c r="BO1117" i="1"/>
  <c r="BQ1117" i="1" s="1"/>
  <c r="BR1117" i="1" s="1"/>
  <c r="BO1075" i="1"/>
  <c r="BQ1075" i="1" s="1"/>
  <c r="BR1075" i="1" s="1"/>
  <c r="BO1292" i="1"/>
  <c r="BQ1292" i="1" s="1"/>
  <c r="BR1292" i="1" s="1"/>
  <c r="BO1123" i="1"/>
  <c r="BQ1123" i="1" s="1"/>
  <c r="BR1123" i="1" s="1"/>
  <c r="BO1346" i="1"/>
  <c r="BQ1346" i="1" s="1"/>
  <c r="BR1346" i="1" s="1"/>
  <c r="BO2365" i="1"/>
  <c r="BQ2365" i="1" s="1"/>
  <c r="BR2365" i="1" s="1"/>
  <c r="BO1334" i="1"/>
  <c r="BQ1334" i="1" s="1"/>
  <c r="BR1334" i="1" s="1"/>
  <c r="BO1226" i="1"/>
  <c r="BQ1226" i="1" s="1"/>
  <c r="BR1226" i="1" s="1"/>
  <c r="BO1631" i="1"/>
  <c r="BQ1631" i="1" s="1"/>
  <c r="BR1631" i="1" s="1"/>
  <c r="BO1111" i="1"/>
  <c r="BQ1111" i="1" s="1"/>
  <c r="BR1111" i="1" s="1"/>
  <c r="BO1322" i="1"/>
  <c r="BQ1322" i="1" s="1"/>
  <c r="BR1322" i="1" s="1"/>
  <c r="BO1310" i="1"/>
  <c r="BQ1310" i="1" s="1"/>
  <c r="BR1310" i="1" s="1"/>
  <c r="BO1069" i="1"/>
  <c r="BO1087" i="1"/>
  <c r="BQ1087" i="1" s="1"/>
  <c r="BR1087" i="1" s="1"/>
  <c r="BO1625" i="1"/>
  <c r="BQ1625" i="1" s="1"/>
  <c r="BR1625" i="1" s="1"/>
  <c r="BO1298" i="1"/>
  <c r="BQ1298" i="1" s="1"/>
  <c r="BR1298" i="1" s="1"/>
  <c r="BO1129" i="1"/>
  <c r="BQ1129" i="1" s="1"/>
  <c r="BR1129" i="1" s="1"/>
  <c r="BO1099" i="1"/>
  <c r="BQ1099" i="1" s="1"/>
  <c r="BR1099" i="1" s="1"/>
  <c r="BO1316" i="1"/>
  <c r="BQ1316" i="1" s="1"/>
  <c r="BR1316" i="1" s="1"/>
  <c r="BO1135" i="1"/>
  <c r="BQ1135" i="1" s="1"/>
  <c r="BR1135" i="1" s="1"/>
  <c r="BO1105" i="1"/>
  <c r="BQ1105" i="1" s="1"/>
  <c r="BR1105" i="1" s="1"/>
  <c r="BO1093" i="1"/>
  <c r="BQ1093" i="1" s="1"/>
  <c r="BR1093" i="1" s="1"/>
  <c r="BO1274" i="1"/>
  <c r="BQ1274" i="1" s="1"/>
  <c r="BR1274" i="1" s="1"/>
  <c r="BO1081" i="1"/>
  <c r="BQ1081" i="1" s="1"/>
  <c r="BR1081" i="1" s="1"/>
  <c r="BO1280" i="1"/>
  <c r="BQ1280" i="1" s="1"/>
  <c r="BR1280" i="1" s="1"/>
  <c r="BO1170" i="1"/>
  <c r="BQ1170" i="1" s="1"/>
  <c r="BR1170" i="1" s="1"/>
  <c r="BO1147" i="1"/>
  <c r="BQ1147" i="1" s="1"/>
  <c r="BR1147" i="1" s="1"/>
  <c r="BO1352" i="1"/>
  <c r="BQ1352" i="1" s="1"/>
  <c r="BR1352" i="1" s="1"/>
  <c r="BO1220" i="1"/>
  <c r="BQ1220" i="1" s="1"/>
  <c r="BR1220" i="1" s="1"/>
  <c r="BP1322" i="1"/>
  <c r="BP1298" i="1"/>
  <c r="BP1280" i="1"/>
  <c r="BP1631" i="1"/>
  <c r="BP1170" i="1"/>
  <c r="BP1141" i="1"/>
  <c r="BP1117" i="1"/>
  <c r="BP1334" i="1"/>
  <c r="BP1310" i="1"/>
  <c r="BP1220" i="1"/>
  <c r="BP1328" i="1"/>
  <c r="BP1304" i="1"/>
  <c r="BP1286" i="1"/>
  <c r="BP1176" i="1"/>
  <c r="BP1123" i="1"/>
  <c r="BP1274" i="1"/>
  <c r="BP1226" i="1"/>
  <c r="BP1111" i="1"/>
  <c r="BP1129" i="1"/>
  <c r="BP1099" i="1"/>
  <c r="BP1147" i="1"/>
  <c r="BP1625" i="1"/>
  <c r="BP1292" i="1"/>
  <c r="BP2365" i="1"/>
  <c r="BP1316" i="1"/>
  <c r="BP1135" i="1"/>
  <c r="BP1105" i="1"/>
  <c r="BP1093" i="1"/>
  <c r="BO573" i="1"/>
  <c r="BQ573" i="1" s="1"/>
  <c r="BR573" i="1" s="1"/>
  <c r="BO562" i="1"/>
  <c r="BQ562" i="1" s="1"/>
  <c r="BR562" i="1" s="1"/>
  <c r="BO782" i="1"/>
  <c r="BQ782" i="1" s="1"/>
  <c r="BR782" i="1" s="1"/>
  <c r="BO760" i="1"/>
  <c r="BQ760" i="1" s="1"/>
  <c r="BR760" i="1" s="1"/>
  <c r="BO716" i="1"/>
  <c r="BQ716" i="1" s="1"/>
  <c r="BR716" i="1" s="1"/>
  <c r="BO683" i="1"/>
  <c r="BQ683" i="1" s="1"/>
  <c r="BR683" i="1" s="1"/>
  <c r="BO539" i="1"/>
  <c r="BQ539" i="1" s="1"/>
  <c r="BR539" i="1" s="1"/>
  <c r="BO459" i="1"/>
  <c r="BQ459" i="1" s="1"/>
  <c r="BR459" i="1" s="1"/>
  <c r="BO415" i="1"/>
  <c r="BQ415" i="1" s="1"/>
  <c r="BR415" i="1" s="1"/>
  <c r="BO338" i="1"/>
  <c r="BQ338" i="1" s="1"/>
  <c r="BR338" i="1" s="1"/>
  <c r="BO672" i="1"/>
  <c r="BQ672" i="1" s="1"/>
  <c r="BR672" i="1" s="1"/>
  <c r="BO793" i="1"/>
  <c r="BQ793" i="1" s="1"/>
  <c r="BR793" i="1" s="1"/>
  <c r="BO437" i="1"/>
  <c r="BQ437" i="1" s="1"/>
  <c r="BR437" i="1" s="1"/>
  <c r="BO382" i="1"/>
  <c r="BQ382" i="1" s="1"/>
  <c r="BR382" i="1" s="1"/>
  <c r="BO448" i="1"/>
  <c r="BQ448" i="1" s="1"/>
  <c r="BR448" i="1" s="1"/>
  <c r="BO426" i="1"/>
  <c r="BQ426" i="1" s="1"/>
  <c r="BR426" i="1" s="1"/>
  <c r="BO738" i="1"/>
  <c r="BQ738" i="1" s="1"/>
  <c r="BR738" i="1" s="1"/>
  <c r="BO360" i="1"/>
  <c r="BQ360" i="1" s="1"/>
  <c r="BR360" i="1" s="1"/>
  <c r="BO694" i="1"/>
  <c r="BQ694" i="1" s="1"/>
  <c r="BR694" i="1" s="1"/>
  <c r="BO1608" i="1"/>
  <c r="BQ1608" i="1" s="1"/>
  <c r="BR1608" i="1" s="1"/>
  <c r="BO371" i="1"/>
  <c r="BQ371" i="1" s="1"/>
  <c r="BR371" i="1" s="1"/>
  <c r="BO393" i="1"/>
  <c r="BQ393" i="1" s="1"/>
  <c r="BR393" i="1" s="1"/>
  <c r="BO327" i="1"/>
  <c r="BO404" i="1"/>
  <c r="BQ404" i="1" s="1"/>
  <c r="BR404" i="1" s="1"/>
  <c r="BO771" i="1"/>
  <c r="BQ771" i="1" s="1"/>
  <c r="BR771" i="1" s="1"/>
  <c r="BO528" i="1"/>
  <c r="BQ528" i="1" s="1"/>
  <c r="BR528" i="1" s="1"/>
  <c r="BO470" i="1"/>
  <c r="BQ470" i="1" s="1"/>
  <c r="BR470" i="1" s="1"/>
  <c r="BO1619" i="1"/>
  <c r="BQ1619" i="1" s="1"/>
  <c r="BR1619" i="1" s="1"/>
  <c r="BO749" i="1"/>
  <c r="BQ749" i="1" s="1"/>
  <c r="BR749" i="1" s="1"/>
  <c r="BO804" i="1"/>
  <c r="BQ804" i="1" s="1"/>
  <c r="BR804" i="1" s="1"/>
  <c r="BO727" i="1"/>
  <c r="BQ727" i="1" s="1"/>
  <c r="BR727" i="1" s="1"/>
  <c r="BO661" i="1"/>
  <c r="BQ661" i="1" s="1"/>
  <c r="BR661" i="1" s="1"/>
  <c r="BO705" i="1"/>
  <c r="BQ705" i="1" s="1"/>
  <c r="BR705" i="1" s="1"/>
  <c r="BO349" i="1"/>
  <c r="BQ349" i="1" s="1"/>
  <c r="BR349" i="1" s="1"/>
  <c r="BP573" i="1"/>
  <c r="BP562" i="1"/>
  <c r="BP782" i="1"/>
  <c r="BP749" i="1"/>
  <c r="BP705" i="1"/>
  <c r="BP672" i="1"/>
  <c r="BP1619" i="1"/>
  <c r="BP528" i="1"/>
  <c r="BP459" i="1"/>
  <c r="BP415" i="1"/>
  <c r="BP338" i="1"/>
  <c r="BP760" i="1"/>
  <c r="BP716" i="1"/>
  <c r="BP683" i="1"/>
  <c r="BP539" i="1"/>
  <c r="BP2049" i="1"/>
  <c r="BP738" i="1"/>
  <c r="BP437" i="1"/>
  <c r="BP382" i="1"/>
  <c r="BP694" i="1"/>
  <c r="BP1608" i="1"/>
  <c r="BP327" i="1"/>
  <c r="BP404" i="1"/>
  <c r="BP360" i="1"/>
  <c r="BP771" i="1"/>
  <c r="BP470" i="1"/>
  <c r="BP371" i="1"/>
  <c r="BP727" i="1"/>
  <c r="BP661" i="1"/>
  <c r="BP448" i="1"/>
  <c r="BP393" i="1"/>
  <c r="BP349" i="1"/>
  <c r="BP426" i="1"/>
  <c r="BP300" i="1"/>
  <c r="BO231" i="1"/>
  <c r="BQ231" i="1" s="1"/>
  <c r="BR231" i="1" s="1"/>
  <c r="BO230" i="1"/>
  <c r="BQ230" i="1" s="1"/>
  <c r="BR230" i="1" s="1"/>
  <c r="BO234" i="1"/>
  <c r="BQ234" i="1" s="1"/>
  <c r="BR234" i="1" s="1"/>
  <c r="BO235" i="1"/>
  <c r="BQ235" i="1" s="1"/>
  <c r="BR235" i="1" s="1"/>
  <c r="BO300" i="1"/>
  <c r="BQ300" i="1" s="1"/>
  <c r="BR300" i="1" s="1"/>
  <c r="BO298" i="1"/>
  <c r="BQ298" i="1" s="1"/>
  <c r="BR298" i="1" s="1"/>
  <c r="BO294" i="1"/>
  <c r="BQ294" i="1" s="1"/>
  <c r="BR294" i="1" s="1"/>
  <c r="BO291" i="1"/>
  <c r="BQ291" i="1" s="1"/>
  <c r="BR291" i="1" s="1"/>
  <c r="BO517" i="1"/>
  <c r="BQ517" i="1" s="1"/>
  <c r="BR517" i="1" s="1"/>
  <c r="BO242" i="1"/>
  <c r="BQ242" i="1" s="1"/>
  <c r="BR242" i="1" s="1"/>
  <c r="BO238" i="1"/>
  <c r="BQ238" i="1" s="1"/>
  <c r="BR238" i="1" s="1"/>
  <c r="BO241" i="1"/>
  <c r="BQ241" i="1" s="1"/>
  <c r="BR241" i="1" s="1"/>
  <c r="BO236" i="1"/>
  <c r="BQ236" i="1" s="1"/>
  <c r="BR236" i="1" s="1"/>
  <c r="BO301" i="1"/>
  <c r="BQ301" i="1" s="1"/>
  <c r="BR301" i="1" s="1"/>
  <c r="BO239" i="1"/>
  <c r="BQ239" i="1" s="1"/>
  <c r="BR239" i="1" s="1"/>
  <c r="BO299" i="1"/>
  <c r="BQ299" i="1" s="1"/>
  <c r="BR299" i="1" s="1"/>
  <c r="BO280" i="1"/>
  <c r="BQ280" i="1" s="1"/>
  <c r="BR280" i="1" s="1"/>
  <c r="BO289" i="1"/>
  <c r="BQ289" i="1" s="1"/>
  <c r="BR289" i="1" s="1"/>
  <c r="BO232" i="1"/>
  <c r="BO297" i="1"/>
  <c r="BQ297" i="1" s="1"/>
  <c r="BR297" i="1" s="1"/>
  <c r="BO295" i="1"/>
  <c r="BQ295" i="1" s="1"/>
  <c r="BR295" i="1" s="1"/>
  <c r="BO281" i="1"/>
  <c r="BQ281" i="1" s="1"/>
  <c r="BR281" i="1" s="1"/>
  <c r="BO2037" i="1"/>
  <c r="BQ2037" i="1" s="1"/>
  <c r="BR2037" i="1" s="1"/>
  <c r="BO292" i="1"/>
  <c r="BQ292" i="1" s="1"/>
  <c r="BR292" i="1" s="1"/>
  <c r="BO293" i="1"/>
  <c r="BQ293" i="1" s="1"/>
  <c r="BR293" i="1" s="1"/>
  <c r="BO1597" i="1"/>
  <c r="BQ1597" i="1" s="1"/>
  <c r="BR1597" i="1" s="1"/>
  <c r="BO237" i="1"/>
  <c r="BQ237" i="1" s="1"/>
  <c r="BR237" i="1" s="1"/>
  <c r="BO233" i="1"/>
  <c r="BQ233" i="1" s="1"/>
  <c r="BR233" i="1" s="1"/>
  <c r="BO1596" i="1"/>
  <c r="BQ1596" i="1" s="1"/>
  <c r="BR1596" i="1" s="1"/>
  <c r="BO296" i="1"/>
  <c r="BQ296" i="1" s="1"/>
  <c r="BR296" i="1" s="1"/>
  <c r="BO290" i="1"/>
  <c r="BQ290" i="1" s="1"/>
  <c r="BR290" i="1" s="1"/>
  <c r="BO240" i="1"/>
  <c r="BQ240" i="1" s="1"/>
  <c r="BR240" i="1" s="1"/>
  <c r="BO302" i="1"/>
  <c r="BQ302" i="1" s="1"/>
  <c r="BR302" i="1" s="1"/>
  <c r="BO2038" i="1"/>
  <c r="BQ2038" i="1" s="1"/>
  <c r="BR2038" i="1" s="1"/>
  <c r="BO516" i="1"/>
  <c r="BQ516" i="1" s="1"/>
  <c r="BR516" i="1" s="1"/>
  <c r="BO243" i="1"/>
  <c r="BQ243" i="1" s="1"/>
  <c r="BR243" i="1" s="1"/>
  <c r="BP297" i="1"/>
  <c r="BP293" i="1"/>
  <c r="BP290" i="1"/>
  <c r="BP1597" i="1"/>
  <c r="BP516" i="1"/>
  <c r="BP301" i="1"/>
  <c r="BP299" i="1"/>
  <c r="BP295" i="1"/>
  <c r="BP298" i="1"/>
  <c r="BP294" i="1"/>
  <c r="BP291" i="1"/>
  <c r="BP517" i="1"/>
  <c r="BP289" i="1"/>
  <c r="BP281" i="1"/>
  <c r="BP2037" i="1"/>
  <c r="BP241" i="1"/>
  <c r="BP236" i="1"/>
  <c r="BP237" i="1"/>
  <c r="BP292" i="1"/>
  <c r="BP240" i="1"/>
  <c r="BP280" i="1"/>
  <c r="BP302" i="1"/>
  <c r="BP2038" i="1"/>
  <c r="BP1596" i="1"/>
  <c r="BP296" i="1"/>
  <c r="BO144" i="1"/>
  <c r="BQ144" i="1" s="1"/>
  <c r="BR144" i="1" s="1"/>
  <c r="BP144" i="1"/>
  <c r="BO151" i="1"/>
  <c r="BQ151" i="1" s="1"/>
  <c r="BR151" i="1" s="1"/>
  <c r="BP151" i="1"/>
  <c r="BP157" i="1"/>
  <c r="BP139" i="1"/>
  <c r="BO145" i="1"/>
  <c r="BQ145" i="1" s="1"/>
  <c r="BR145" i="1" s="1"/>
  <c r="BP145" i="1"/>
  <c r="BO148" i="1"/>
  <c r="BQ148" i="1" s="1"/>
  <c r="BR148" i="1" s="1"/>
  <c r="BP148" i="1"/>
  <c r="BO136" i="1"/>
  <c r="BQ136" i="1" s="1"/>
  <c r="BR136" i="1" s="1"/>
  <c r="BO154" i="1"/>
  <c r="BQ154" i="1" s="1"/>
  <c r="BR154" i="1" s="1"/>
  <c r="BP136" i="1"/>
  <c r="BP154" i="1"/>
  <c r="BO139" i="1"/>
  <c r="BQ139" i="1" s="1"/>
  <c r="BR139" i="1" s="1"/>
  <c r="BO157" i="1"/>
  <c r="BQ157" i="1" s="1"/>
  <c r="BR157" i="1" s="1"/>
  <c r="BO7" i="1"/>
  <c r="BQ7" i="1" s="1"/>
  <c r="BR7" i="1" s="1"/>
  <c r="BO4" i="1"/>
  <c r="BO14" i="1"/>
  <c r="BQ14" i="1" s="1"/>
  <c r="BR14" i="1" s="1"/>
  <c r="BO19" i="1"/>
  <c r="BQ19" i="1" s="1"/>
  <c r="BR19" i="1" s="1"/>
  <c r="BP4" i="1"/>
  <c r="BO118" i="1"/>
  <c r="BQ118" i="1" s="1"/>
  <c r="BR118" i="1" s="1"/>
  <c r="BP133" i="1"/>
  <c r="BO1207" i="1"/>
  <c r="BQ1207" i="1" s="1"/>
  <c r="BR1207" i="1" s="1"/>
  <c r="BP11" i="1"/>
  <c r="BO34" i="1"/>
  <c r="BQ34" i="1" s="1"/>
  <c r="BR34" i="1" s="1"/>
  <c r="BO1595" i="1"/>
  <c r="BQ1595" i="1" s="1"/>
  <c r="BR1595" i="1" s="1"/>
  <c r="BO121" i="1"/>
  <c r="BQ121" i="1" s="1"/>
  <c r="BR121" i="1" s="1"/>
  <c r="BO25" i="1"/>
  <c r="BQ25" i="1" s="1"/>
  <c r="BR25" i="1" s="1"/>
  <c r="BP34" i="1"/>
  <c r="BP1595" i="1"/>
  <c r="BO133" i="1"/>
  <c r="BQ133" i="1" s="1"/>
  <c r="BR133" i="1" s="1"/>
  <c r="BO43" i="1"/>
  <c r="BQ43" i="1" s="1"/>
  <c r="BR43" i="1" s="1"/>
  <c r="BO28" i="1"/>
  <c r="BQ28" i="1" s="1"/>
  <c r="BR28" i="1" s="1"/>
  <c r="BO11" i="1"/>
  <c r="BQ11" i="1" s="1"/>
  <c r="BR11" i="1" s="1"/>
  <c r="BP28" i="1"/>
  <c r="BP1207" i="1"/>
  <c r="BO88" i="1"/>
  <c r="BQ88" i="1" s="1"/>
  <c r="BR88" i="1" s="1"/>
  <c r="BO10" i="1"/>
  <c r="BQ10" i="1" s="1"/>
  <c r="BR10" i="1" s="1"/>
  <c r="BO31" i="1"/>
  <c r="BQ31" i="1" s="1"/>
  <c r="BR31" i="1" s="1"/>
  <c r="BP31" i="1"/>
  <c r="BO94" i="1"/>
  <c r="BQ94" i="1" s="1"/>
  <c r="BR94" i="1" s="1"/>
  <c r="BO124" i="1"/>
  <c r="BQ124" i="1" s="1"/>
  <c r="BR124" i="1" s="1"/>
  <c r="BP94" i="1"/>
  <c r="BO512" i="1"/>
  <c r="BQ512" i="1" s="1"/>
  <c r="BR512" i="1" s="1"/>
  <c r="BO2031" i="1"/>
  <c r="BQ2031" i="1" s="1"/>
  <c r="BR2031" i="1" s="1"/>
  <c r="BP512" i="1"/>
  <c r="BP2031" i="1"/>
  <c r="BO37" i="1"/>
  <c r="BQ37" i="1" s="1"/>
  <c r="BR37" i="1" s="1"/>
  <c r="BP37" i="1"/>
  <c r="BO22" i="1"/>
  <c r="BQ22" i="1" s="1"/>
  <c r="BR22" i="1" s="1"/>
  <c r="BO40" i="1"/>
  <c r="BQ40" i="1" s="1"/>
  <c r="BR40" i="1" s="1"/>
  <c r="BO515" i="1"/>
  <c r="BQ515" i="1" s="1"/>
  <c r="BR515" i="1" s="1"/>
  <c r="BO2036" i="1"/>
  <c r="BQ2036" i="1" s="1"/>
  <c r="BR2036" i="1" s="1"/>
  <c r="BO127" i="1"/>
  <c r="BQ127" i="1" s="1"/>
  <c r="BR127" i="1" s="1"/>
  <c r="BP515" i="1"/>
  <c r="BP2036" i="1"/>
  <c r="BP127" i="1"/>
  <c r="BO130" i="1"/>
  <c r="BQ130" i="1" s="1"/>
  <c r="BR130" i="1" s="1"/>
  <c r="BP130" i="1"/>
  <c r="BP231" i="1" l="1"/>
  <c r="BP243" i="1"/>
  <c r="BP242" i="1"/>
  <c r="BP2325" i="1"/>
  <c r="BP2326" i="1"/>
  <c r="BP2322" i="1"/>
  <c r="BP2323" i="1"/>
  <c r="BP2026" i="1"/>
  <c r="BP2027" i="1"/>
  <c r="BP2023" i="1"/>
  <c r="BP2024" i="1"/>
  <c r="BP2411" i="1"/>
  <c r="BP1203" i="1"/>
  <c r="BP2412" i="1"/>
  <c r="BP1202" i="1"/>
  <c r="BP2408" i="1"/>
  <c r="BP2409" i="1"/>
  <c r="BP2439" i="1"/>
  <c r="BP2438" i="1"/>
  <c r="BP2430" i="1"/>
  <c r="BP2429" i="1"/>
  <c r="BP2426" i="1"/>
  <c r="BP2441" i="1"/>
  <c r="BP2427" i="1"/>
  <c r="BP2442" i="1"/>
  <c r="BP2482" i="1"/>
  <c r="BP2466" i="1"/>
  <c r="BP2455" i="1"/>
  <c r="BP2481" i="1"/>
  <c r="BP2467" i="1"/>
  <c r="BP2454" i="1"/>
  <c r="BP2475" i="1"/>
  <c r="BP2463" i="1"/>
  <c r="BP2451" i="1"/>
  <c r="BP2476" i="1"/>
  <c r="BP2464" i="1"/>
  <c r="BP2452" i="1"/>
  <c r="BP2472" i="1"/>
  <c r="BP2461" i="1"/>
  <c r="BP2448" i="1"/>
  <c r="BP2473" i="1"/>
  <c r="BP2460" i="1"/>
  <c r="BP2449" i="1"/>
  <c r="BP2484" i="1"/>
  <c r="BP2469" i="1"/>
  <c r="BP2457" i="1"/>
  <c r="BP2445" i="1"/>
  <c r="BP2485" i="1"/>
  <c r="BP2470" i="1"/>
  <c r="BP2458" i="1"/>
  <c r="BP2446" i="1"/>
  <c r="BP1989" i="1"/>
  <c r="BP1981" i="1"/>
  <c r="BP1970" i="1"/>
  <c r="BP1939" i="1"/>
  <c r="BP1990" i="1"/>
  <c r="BP1982" i="1"/>
  <c r="BP1972" i="1"/>
  <c r="BP1940" i="1"/>
  <c r="BP1992" i="1"/>
  <c r="BP1979" i="1"/>
  <c r="BP1969" i="1"/>
  <c r="BP1941" i="1"/>
  <c r="BP1991" i="1"/>
  <c r="BP1980" i="1"/>
  <c r="BP1971" i="1"/>
  <c r="BP1942" i="1"/>
  <c r="BP1984" i="1"/>
  <c r="BP1974" i="1"/>
  <c r="BP1964" i="1"/>
  <c r="BP1935" i="1"/>
  <c r="BP1985" i="1"/>
  <c r="BP1976" i="1"/>
  <c r="BP1965" i="1"/>
  <c r="BP1936" i="1"/>
  <c r="BP1986" i="1"/>
  <c r="BP1975" i="1"/>
  <c r="BP1966" i="1"/>
  <c r="BP1934" i="1"/>
  <c r="BP1987" i="1"/>
  <c r="BP1977" i="1"/>
  <c r="BP1967" i="1"/>
  <c r="BP1937" i="1"/>
  <c r="BP2406" i="1"/>
  <c r="BP2396" i="1"/>
  <c r="BP2015" i="1"/>
  <c r="BP1197" i="1"/>
  <c r="BP2404" i="1"/>
  <c r="BP2397" i="1"/>
  <c r="BP2013" i="1"/>
  <c r="BP2407" i="1"/>
  <c r="BP2394" i="1"/>
  <c r="BP2016" i="1"/>
  <c r="BP2399" i="1"/>
  <c r="BP2405" i="1"/>
  <c r="BP2395" i="1"/>
  <c r="BP2014" i="1"/>
  <c r="BP1195" i="1"/>
  <c r="BP2401" i="1"/>
  <c r="BP2020" i="1"/>
  <c r="BP2400" i="1"/>
  <c r="BP2021" i="1"/>
  <c r="BP1196" i="1"/>
  <c r="BP2018" i="1"/>
  <c r="BP2402" i="1"/>
  <c r="BP2019" i="1"/>
  <c r="BP1194" i="1"/>
  <c r="BP2074" i="1"/>
  <c r="BP2062" i="1"/>
  <c r="BP2078" i="1"/>
  <c r="BP2069" i="1"/>
  <c r="BP2076" i="1"/>
  <c r="BP2066" i="1"/>
  <c r="BP2079" i="1"/>
  <c r="BP2068" i="1"/>
  <c r="BP2077" i="1"/>
  <c r="BP2067" i="1"/>
  <c r="BP2072" i="1"/>
  <c r="BP2063" i="1"/>
  <c r="BP2071" i="1"/>
  <c r="BP2061" i="1"/>
  <c r="BP2073" i="1"/>
  <c r="BP2064" i="1"/>
  <c r="BP2166" i="1"/>
  <c r="BP2159" i="1"/>
  <c r="BP2147" i="1"/>
  <c r="BP2137" i="1"/>
  <c r="BP2127" i="1"/>
  <c r="BP2172" i="1"/>
  <c r="BP2163" i="1"/>
  <c r="BP2152" i="1"/>
  <c r="BP2142" i="1"/>
  <c r="BP2132" i="1"/>
  <c r="BP2123" i="1"/>
  <c r="BP2174" i="1"/>
  <c r="BP2161" i="1"/>
  <c r="BP2151" i="1"/>
  <c r="BP2144" i="1"/>
  <c r="BP2133" i="1"/>
  <c r="BP2121" i="1"/>
  <c r="BP2173" i="1"/>
  <c r="BP2164" i="1"/>
  <c r="BP2154" i="1"/>
  <c r="BP2141" i="1"/>
  <c r="BP2131" i="1"/>
  <c r="BP2124" i="1"/>
  <c r="BP2171" i="1"/>
  <c r="BP2162" i="1"/>
  <c r="BP2153" i="1"/>
  <c r="BP2143" i="1"/>
  <c r="BP2134" i="1"/>
  <c r="BP2122" i="1"/>
  <c r="BP2167" i="1"/>
  <c r="BP2156" i="1"/>
  <c r="BP2149" i="1"/>
  <c r="BP2138" i="1"/>
  <c r="BP2128" i="1"/>
  <c r="BP2168" i="1"/>
  <c r="BP2158" i="1"/>
  <c r="BP2148" i="1"/>
  <c r="BP2136" i="1"/>
  <c r="BP2129" i="1"/>
  <c r="BP2169" i="1"/>
  <c r="BP2157" i="1"/>
  <c r="BP2146" i="1"/>
  <c r="BP2139" i="1"/>
  <c r="BP2126" i="1"/>
  <c r="BP2662" i="1"/>
  <c r="BP2587" i="1"/>
  <c r="BP2279" i="1"/>
  <c r="BP2268" i="1"/>
  <c r="BP2626" i="1"/>
  <c r="BP2282" i="1"/>
  <c r="BP2276" i="1"/>
  <c r="BP2269" i="1"/>
  <c r="BP2628" i="1"/>
  <c r="BP2284" i="1"/>
  <c r="BP2271" i="1"/>
  <c r="BP2264" i="1"/>
  <c r="BP2627" i="1"/>
  <c r="BP2281" i="1"/>
  <c r="BP2272" i="1"/>
  <c r="BP2262" i="1"/>
  <c r="BP2629" i="1"/>
  <c r="BP2283" i="1"/>
  <c r="BP2274" i="1"/>
  <c r="BP2261" i="1"/>
  <c r="BP2664" i="1"/>
  <c r="BP2585" i="1"/>
  <c r="BP2273" i="1"/>
  <c r="BP2263" i="1"/>
  <c r="BP2663" i="1"/>
  <c r="BP2586" i="1"/>
  <c r="BP2277" i="1"/>
  <c r="BP2267" i="1"/>
  <c r="BP2665" i="1"/>
  <c r="BP2588" i="1"/>
  <c r="BP2278" i="1"/>
  <c r="BP2266" i="1"/>
  <c r="BP2729" i="1"/>
  <c r="BP2553" i="1"/>
  <c r="BP2538" i="1"/>
  <c r="BP2730" i="1"/>
  <c r="BP2554" i="1"/>
  <c r="BP2539" i="1"/>
  <c r="BP2668" i="1"/>
  <c r="BP2547" i="1"/>
  <c r="BP2667" i="1"/>
  <c r="BP2548" i="1"/>
  <c r="BP2631" i="1"/>
  <c r="BP2544" i="1"/>
  <c r="BP2632" i="1"/>
  <c r="BP2545" i="1"/>
  <c r="BP2590" i="1"/>
  <c r="BP2542" i="1"/>
  <c r="BP2591" i="1"/>
  <c r="BP2541" i="1"/>
  <c r="BP1577" i="1"/>
  <c r="BP1570" i="1"/>
  <c r="BP1561" i="1"/>
  <c r="BP1555" i="1"/>
  <c r="BP1542" i="1"/>
  <c r="BP1517" i="1"/>
  <c r="BP1510" i="1"/>
  <c r="BP1502" i="1"/>
  <c r="BP1579" i="1"/>
  <c r="BP1572" i="1"/>
  <c r="BP1560" i="1"/>
  <c r="BP1546" i="1"/>
  <c r="BP1540" i="1"/>
  <c r="BP1518" i="1"/>
  <c r="BP1513" i="1"/>
  <c r="BP1500" i="1"/>
  <c r="BP1578" i="1"/>
  <c r="BP1565" i="1"/>
  <c r="BP1562" i="1"/>
  <c r="BP1549" i="1"/>
  <c r="BP1544" i="1"/>
  <c r="BP1519" i="1"/>
  <c r="BP1505" i="1"/>
  <c r="BP1499" i="1"/>
  <c r="BP1580" i="1"/>
  <c r="BP1566" i="1"/>
  <c r="BP1558" i="1"/>
  <c r="BP1547" i="1"/>
  <c r="BP1536" i="1"/>
  <c r="BP1516" i="1"/>
  <c r="BP1504" i="1"/>
  <c r="BP1498" i="1"/>
  <c r="BP1576" i="1"/>
  <c r="BP1567" i="1"/>
  <c r="BP1553" i="1"/>
  <c r="BP1550" i="1"/>
  <c r="BP1538" i="1"/>
  <c r="BP1520" i="1"/>
  <c r="BP1508" i="1"/>
  <c r="BP1574" i="1"/>
  <c r="BP1564" i="1"/>
  <c r="BP1556" i="1"/>
  <c r="BP1548" i="1"/>
  <c r="BP1537" i="1"/>
  <c r="BP1511" i="1"/>
  <c r="BP1506" i="1"/>
  <c r="BP1571" i="1"/>
  <c r="BP1568" i="1"/>
  <c r="BP1554" i="1"/>
  <c r="BP1541" i="1"/>
  <c r="BP1535" i="1"/>
  <c r="BP1512" i="1"/>
  <c r="BP1507" i="1"/>
  <c r="BP1573" i="1"/>
  <c r="BP1559" i="1"/>
  <c r="BP1552" i="1"/>
  <c r="BP1543" i="1"/>
  <c r="BP1534" i="1"/>
  <c r="BP1514" i="1"/>
  <c r="BP1501" i="1"/>
  <c r="BP2377" i="1"/>
  <c r="BP1635" i="1"/>
  <c r="BP1638" i="1"/>
  <c r="BP1632" i="1"/>
  <c r="BP1640" i="1"/>
  <c r="BP1633" i="1"/>
  <c r="BP1641" i="1"/>
  <c r="BP1186" i="1"/>
  <c r="BP2379" i="1"/>
  <c r="BP1639" i="1"/>
  <c r="BP1187" i="1"/>
  <c r="BP2380" i="1"/>
  <c r="BP1642" i="1"/>
  <c r="BP1185" i="1"/>
  <c r="BP2381" i="1"/>
  <c r="BP1636" i="1"/>
  <c r="BP1184" i="1"/>
  <c r="BP2378" i="1"/>
  <c r="BP1634" i="1"/>
  <c r="BP1183" i="1"/>
  <c r="BP1676" i="1"/>
  <c r="BP1672" i="1"/>
  <c r="BP1679" i="1"/>
  <c r="BP1669" i="1"/>
  <c r="BP1677" i="1"/>
  <c r="BP1675" i="1"/>
  <c r="BP1678" i="1"/>
  <c r="BP1670" i="1"/>
  <c r="BP1673" i="1"/>
  <c r="BP1671" i="1"/>
  <c r="BP1773" i="1"/>
  <c r="BP1766" i="1"/>
  <c r="BP1754" i="1"/>
  <c r="BP1741" i="1"/>
  <c r="BP1738" i="1"/>
  <c r="BP1727" i="1"/>
  <c r="BP1719" i="1"/>
  <c r="BP1771" i="1"/>
  <c r="BP1762" i="1"/>
  <c r="BP1755" i="1"/>
  <c r="BP1745" i="1"/>
  <c r="BP1739" i="1"/>
  <c r="BP1725" i="1"/>
  <c r="BP1713" i="1"/>
  <c r="BP1779" i="1"/>
  <c r="BP1775" i="1"/>
  <c r="BP1763" i="1"/>
  <c r="BP1756" i="1"/>
  <c r="BP1743" i="1"/>
  <c r="BP1733" i="1"/>
  <c r="BP1723" i="1"/>
  <c r="BP1712" i="1"/>
  <c r="BP1778" i="1"/>
  <c r="BP1774" i="1"/>
  <c r="BP1760" i="1"/>
  <c r="BP1750" i="1"/>
  <c r="BP1744" i="1"/>
  <c r="BP1732" i="1"/>
  <c r="BP1726" i="1"/>
  <c r="BP1711" i="1"/>
  <c r="BP1777" i="1"/>
  <c r="BP1767" i="1"/>
  <c r="BP1759" i="1"/>
  <c r="BP1748" i="1"/>
  <c r="BP1742" i="1"/>
  <c r="BP1730" i="1"/>
  <c r="BP1718" i="1"/>
  <c r="BP1715" i="1"/>
  <c r="BP1780" i="1"/>
  <c r="BP1769" i="1"/>
  <c r="BP1761" i="1"/>
  <c r="BP1751" i="1"/>
  <c r="BP1736" i="1"/>
  <c r="BP1729" i="1"/>
  <c r="BP1721" i="1"/>
  <c r="BP1714" i="1"/>
  <c r="BP1781" i="1"/>
  <c r="BP1765" i="1"/>
  <c r="BP1757" i="1"/>
  <c r="BP1749" i="1"/>
  <c r="BP1737" i="1"/>
  <c r="BP1731" i="1"/>
  <c r="BP1717" i="1"/>
  <c r="BP1772" i="1"/>
  <c r="BP1768" i="1"/>
  <c r="BP1753" i="1"/>
  <c r="BP1747" i="1"/>
  <c r="BP1735" i="1"/>
  <c r="BP1724" i="1"/>
  <c r="BP1720" i="1"/>
  <c r="BP2660" i="1"/>
  <c r="BP2581" i="1"/>
  <c r="BP1924" i="1"/>
  <c r="BP1911" i="1"/>
  <c r="BP1907" i="1"/>
  <c r="BP2658" i="1"/>
  <c r="BP2580" i="1"/>
  <c r="BP1921" i="1"/>
  <c r="BP1912" i="1"/>
  <c r="BP1901" i="1"/>
  <c r="BP2659" i="1"/>
  <c r="BP2583" i="1"/>
  <c r="BP1915" i="1"/>
  <c r="BP1909" i="1"/>
  <c r="BP1897" i="1"/>
  <c r="BP2624" i="1"/>
  <c r="BP2582" i="1"/>
  <c r="BP1916" i="1"/>
  <c r="BP1910" i="1"/>
  <c r="BP1898" i="1"/>
  <c r="BP2620" i="1"/>
  <c r="BP2579" i="1"/>
  <c r="BP1917" i="1"/>
  <c r="BP1905" i="1"/>
  <c r="BP1899" i="1"/>
  <c r="BP2621" i="1"/>
  <c r="BP1923" i="1"/>
  <c r="BP1918" i="1"/>
  <c r="BP1903" i="1"/>
  <c r="BP1900" i="1"/>
  <c r="BP2656" i="1"/>
  <c r="BP2622" i="1"/>
  <c r="BP1922" i="1"/>
  <c r="BP1919" i="1"/>
  <c r="BP1906" i="1"/>
  <c r="BP2657" i="1"/>
  <c r="BP2623" i="1"/>
  <c r="BP1925" i="1"/>
  <c r="BP1913" i="1"/>
  <c r="BP1904" i="1"/>
  <c r="BP1148" i="1"/>
  <c r="BP1139" i="1"/>
  <c r="BP1132" i="1"/>
  <c r="BP1119" i="1"/>
  <c r="BP1112" i="1"/>
  <c r="BP1101" i="1"/>
  <c r="BP1091" i="1"/>
  <c r="BP1083" i="1"/>
  <c r="BP1149" i="1"/>
  <c r="BP1140" i="1"/>
  <c r="BP1130" i="1"/>
  <c r="BP1122" i="1"/>
  <c r="BP1107" i="1"/>
  <c r="BP1100" i="1"/>
  <c r="BP1090" i="1"/>
  <c r="BP1082" i="1"/>
  <c r="BP1152" i="1"/>
  <c r="BP1137" i="1"/>
  <c r="BP1125" i="1"/>
  <c r="BP1121" i="1"/>
  <c r="BP1110" i="1"/>
  <c r="BP1104" i="1"/>
  <c r="BP1092" i="1"/>
  <c r="BP1143" i="1"/>
  <c r="BP1138" i="1"/>
  <c r="BP1127" i="1"/>
  <c r="BP1118" i="1"/>
  <c r="BP1106" i="1"/>
  <c r="BP1095" i="1"/>
  <c r="BP1088" i="1"/>
  <c r="BP1146" i="1"/>
  <c r="BP1136" i="1"/>
  <c r="BP1124" i="1"/>
  <c r="BP1115" i="1"/>
  <c r="BP1108" i="1"/>
  <c r="BP1098" i="1"/>
  <c r="BP1089" i="1"/>
  <c r="BP1145" i="1"/>
  <c r="BP1134" i="1"/>
  <c r="BP1126" i="1"/>
  <c r="BP1113" i="1"/>
  <c r="BP1109" i="1"/>
  <c r="BP1097" i="1"/>
  <c r="BP1084" i="1"/>
  <c r="BP1150" i="1"/>
  <c r="BP1144" i="1"/>
  <c r="BP1133" i="1"/>
  <c r="BP1128" i="1"/>
  <c r="BP1114" i="1"/>
  <c r="BP1102" i="1"/>
  <c r="BP1094" i="1"/>
  <c r="BP1086" i="1"/>
  <c r="BP1151" i="1"/>
  <c r="BP1142" i="1"/>
  <c r="BP1131" i="1"/>
  <c r="BP1120" i="1"/>
  <c r="BP1116" i="1"/>
  <c r="BP1103" i="1"/>
  <c r="BP1096" i="1"/>
  <c r="BP1085" i="1"/>
  <c r="BP2366" i="1"/>
  <c r="BP2362" i="1"/>
  <c r="BP1621" i="1"/>
  <c r="BP1171" i="1"/>
  <c r="BP2369" i="1"/>
  <c r="BP1628" i="1"/>
  <c r="BP1620" i="1"/>
  <c r="BP2374" i="1"/>
  <c r="BP2370" i="1"/>
  <c r="BP1629" i="1"/>
  <c r="BP1623" i="1"/>
  <c r="BP2375" i="1"/>
  <c r="BP2368" i="1"/>
  <c r="BP1630" i="1"/>
  <c r="BP2372" i="1"/>
  <c r="BP2361" i="1"/>
  <c r="BP1626" i="1"/>
  <c r="BP1174" i="1"/>
  <c r="BP2373" i="1"/>
  <c r="BP2364" i="1"/>
  <c r="BP1627" i="1"/>
  <c r="BP1175" i="1"/>
  <c r="BP2376" i="1"/>
  <c r="BP2360" i="1"/>
  <c r="BP1622" i="1"/>
  <c r="BP1172" i="1"/>
  <c r="BP2367" i="1"/>
  <c r="BP2363" i="1"/>
  <c r="BP1624" i="1"/>
  <c r="BP1173" i="1"/>
  <c r="BP1233" i="1"/>
  <c r="BP1222" i="1"/>
  <c r="BP1242" i="1"/>
  <c r="BP1237" i="1"/>
  <c r="BP1225" i="1"/>
  <c r="BP1239" i="1"/>
  <c r="BP1229" i="1"/>
  <c r="BP1224" i="1"/>
  <c r="BP1241" i="1"/>
  <c r="BP1231" i="1"/>
  <c r="BP1221" i="1"/>
  <c r="BP1243" i="1"/>
  <c r="BP1228" i="1"/>
  <c r="BP1236" i="1"/>
  <c r="BP1230" i="1"/>
  <c r="BP1234" i="1"/>
  <c r="BP1227" i="1"/>
  <c r="BP1240" i="1"/>
  <c r="BP1235" i="1"/>
  <c r="BP1223" i="1"/>
  <c r="BP1336" i="1"/>
  <c r="BP1324" i="1"/>
  <c r="BP1319" i="1"/>
  <c r="BP1308" i="1"/>
  <c r="BP1297" i="1"/>
  <c r="BP1289" i="1"/>
  <c r="BP1275" i="1"/>
  <c r="BP1335" i="1"/>
  <c r="BP1327" i="1"/>
  <c r="BP1312" i="1"/>
  <c r="BP1307" i="1"/>
  <c r="BP1295" i="1"/>
  <c r="BP1288" i="1"/>
  <c r="BP1278" i="1"/>
  <c r="BP1333" i="1"/>
  <c r="BP1325" i="1"/>
  <c r="BP1315" i="1"/>
  <c r="BP1309" i="1"/>
  <c r="BP1293" i="1"/>
  <c r="BP1281" i="1"/>
  <c r="BP1277" i="1"/>
  <c r="BP1332" i="1"/>
  <c r="BP1323" i="1"/>
  <c r="BP1311" i="1"/>
  <c r="BP1301" i="1"/>
  <c r="BP1296" i="1"/>
  <c r="BP1283" i="1"/>
  <c r="BP1279" i="1"/>
  <c r="BP1330" i="1"/>
  <c r="BP1317" i="1"/>
  <c r="BP1314" i="1"/>
  <c r="BP1299" i="1"/>
  <c r="BP1294" i="1"/>
  <c r="BP1284" i="1"/>
  <c r="BP1339" i="1"/>
  <c r="BP1329" i="1"/>
  <c r="BP1321" i="1"/>
  <c r="BP1313" i="1"/>
  <c r="BP1303" i="1"/>
  <c r="BP1287" i="1"/>
  <c r="BP1285" i="1"/>
  <c r="BP1337" i="1"/>
  <c r="BP1331" i="1"/>
  <c r="BP1320" i="1"/>
  <c r="BP1305" i="1"/>
  <c r="BP1302" i="1"/>
  <c r="BP1291" i="1"/>
  <c r="BP1282" i="1"/>
  <c r="BP1338" i="1"/>
  <c r="BP1326" i="1"/>
  <c r="BP1318" i="1"/>
  <c r="BP1306" i="1"/>
  <c r="BP1300" i="1"/>
  <c r="BP1290" i="1"/>
  <c r="BP1276" i="1"/>
  <c r="BP2650" i="1"/>
  <c r="BP2573" i="1"/>
  <c r="BP1479" i="1"/>
  <c r="BP1474" i="1"/>
  <c r="BP1463" i="1"/>
  <c r="BP2614" i="1"/>
  <c r="BP2574" i="1"/>
  <c r="BP1481" i="1"/>
  <c r="BP1475" i="1"/>
  <c r="BP1465" i="1"/>
  <c r="BP2615" i="1"/>
  <c r="BP2575" i="1"/>
  <c r="BP1483" i="1"/>
  <c r="BP1471" i="1"/>
  <c r="BP1464" i="1"/>
  <c r="BP2616" i="1"/>
  <c r="BP1489" i="1"/>
  <c r="BP1480" i="1"/>
  <c r="BP1470" i="1"/>
  <c r="BP1462" i="1"/>
  <c r="BP2652" i="1"/>
  <c r="BP2617" i="1"/>
  <c r="BP1485" i="1"/>
  <c r="BP1482" i="1"/>
  <c r="BP1469" i="1"/>
  <c r="BP2651" i="1"/>
  <c r="BP2618" i="1"/>
  <c r="BP1486" i="1"/>
  <c r="BP1476" i="1"/>
  <c r="BP1468" i="1"/>
  <c r="BP2653" i="1"/>
  <c r="BP2576" i="1"/>
  <c r="BP1487" i="1"/>
  <c r="BP1477" i="1"/>
  <c r="BP1467" i="1"/>
  <c r="BP2654" i="1"/>
  <c r="BP2577" i="1"/>
  <c r="BP1488" i="1"/>
  <c r="BP1473" i="1"/>
  <c r="BP1461" i="1"/>
  <c r="BP479" i="1"/>
  <c r="BP463" i="1"/>
  <c r="BP457" i="1"/>
  <c r="BP456" i="1"/>
  <c r="BP444" i="1"/>
  <c r="BP432" i="1"/>
  <c r="BP425" i="1"/>
  <c r="BP411" i="1"/>
  <c r="BP412" i="1"/>
  <c r="BP394" i="1"/>
  <c r="BP384" i="1"/>
  <c r="BP373" i="1"/>
  <c r="BP368" i="1"/>
  <c r="BP365" i="1"/>
  <c r="BP351" i="1"/>
  <c r="BP345" i="1"/>
  <c r="BP334" i="1"/>
  <c r="BP474" i="1"/>
  <c r="BP469" i="1"/>
  <c r="BP449" i="1"/>
  <c r="BP453" i="1"/>
  <c r="BP446" i="1"/>
  <c r="BP427" i="1"/>
  <c r="BP416" i="1"/>
  <c r="BP408" i="1"/>
  <c r="BP407" i="1"/>
  <c r="BP400" i="1"/>
  <c r="BP386" i="1"/>
  <c r="BP380" i="1"/>
  <c r="BP362" i="1"/>
  <c r="BP363" i="1"/>
  <c r="BP358" i="1"/>
  <c r="BP343" i="1"/>
  <c r="BP331" i="1"/>
  <c r="BP472" i="1"/>
  <c r="BP461" i="1"/>
  <c r="BP454" i="1"/>
  <c r="BP447" i="1"/>
  <c r="BP441" i="1"/>
  <c r="BP435" i="1"/>
  <c r="BP421" i="1"/>
  <c r="BP406" i="1"/>
  <c r="BP396" i="1"/>
  <c r="BP398" i="1"/>
  <c r="BP385" i="1"/>
  <c r="BP375" i="1"/>
  <c r="BP364" i="1"/>
  <c r="BP355" i="1"/>
  <c r="BP359" i="1"/>
  <c r="BP344" i="1"/>
  <c r="BP337" i="1"/>
  <c r="BP473" i="1"/>
  <c r="BP468" i="1"/>
  <c r="BP458" i="1"/>
  <c r="BP442" i="1"/>
  <c r="BP440" i="1"/>
  <c r="BP430" i="1"/>
  <c r="BP417" i="1"/>
  <c r="BP410" i="1"/>
  <c r="BP403" i="1"/>
  <c r="BP401" i="1"/>
  <c r="BP392" i="1"/>
  <c r="BP381" i="1"/>
  <c r="BP366" i="1"/>
  <c r="BP357" i="1"/>
  <c r="BP350" i="1"/>
  <c r="BP347" i="1"/>
  <c r="BP328" i="1"/>
  <c r="BP476" i="1"/>
  <c r="BP471" i="1"/>
  <c r="BP466" i="1"/>
  <c r="BP452" i="1"/>
  <c r="BP445" i="1"/>
  <c r="BP433" i="1"/>
  <c r="BP428" i="1"/>
  <c r="BP423" i="1"/>
  <c r="BP414" i="1"/>
  <c r="BP399" i="1"/>
  <c r="BP391" i="1"/>
  <c r="BP390" i="1"/>
  <c r="BP374" i="1"/>
  <c r="BP370" i="1"/>
  <c r="BP352" i="1"/>
  <c r="BP330" i="1"/>
  <c r="BP339" i="1"/>
  <c r="BP329" i="1"/>
  <c r="BP480" i="1"/>
  <c r="BP475" i="1"/>
  <c r="BP467" i="1"/>
  <c r="BP451" i="1"/>
  <c r="BP438" i="1"/>
  <c r="BP429" i="1"/>
  <c r="BP434" i="1"/>
  <c r="BP419" i="1"/>
  <c r="BP409" i="1"/>
  <c r="BP397" i="1"/>
  <c r="BP387" i="1"/>
  <c r="BP388" i="1"/>
  <c r="BP377" i="1"/>
  <c r="BP367" i="1"/>
  <c r="BP354" i="1"/>
  <c r="BP348" i="1"/>
  <c r="BP340" i="1"/>
  <c r="BP332" i="1"/>
  <c r="BP477" i="1"/>
  <c r="BP462" i="1"/>
  <c r="BP464" i="1"/>
  <c r="BP455" i="1"/>
  <c r="BP443" i="1"/>
  <c r="BP431" i="1"/>
  <c r="BP422" i="1"/>
  <c r="BP420" i="1"/>
  <c r="BP405" i="1"/>
  <c r="BP402" i="1"/>
  <c r="BP383" i="1"/>
  <c r="BP379" i="1"/>
  <c r="BP378" i="1"/>
  <c r="BP361" i="1"/>
  <c r="BP353" i="1"/>
  <c r="BP341" i="1"/>
  <c r="BP342" i="1"/>
  <c r="BP336" i="1"/>
  <c r="BP478" i="1"/>
  <c r="BP465" i="1"/>
  <c r="BP460" i="1"/>
  <c r="BP450" i="1"/>
  <c r="BP439" i="1"/>
  <c r="BP436" i="1"/>
  <c r="BP418" i="1"/>
  <c r="BP424" i="1"/>
  <c r="BP413" i="1"/>
  <c r="BP395" i="1"/>
  <c r="BP389" i="1"/>
  <c r="BP372" i="1"/>
  <c r="BP376" i="1"/>
  <c r="BP369" i="1"/>
  <c r="BP356" i="1"/>
  <c r="BP346" i="1"/>
  <c r="BP335" i="1"/>
  <c r="BP333" i="1"/>
  <c r="BP2350" i="1"/>
  <c r="BP2357" i="1"/>
  <c r="BP2348" i="1"/>
  <c r="BP2044" i="1"/>
  <c r="BP1610" i="1"/>
  <c r="BP1603" i="1"/>
  <c r="BP1607" i="1"/>
  <c r="BP534" i="1"/>
  <c r="BP2358" i="1"/>
  <c r="BP2352" i="1"/>
  <c r="BP2347" i="1"/>
  <c r="BP2042" i="1"/>
  <c r="BP1618" i="1"/>
  <c r="BP1606" i="1"/>
  <c r="BP1605" i="1"/>
  <c r="BP530" i="1"/>
  <c r="BP2351" i="1"/>
  <c r="BP2346" i="1"/>
  <c r="BP2342" i="1"/>
  <c r="BP2039" i="1"/>
  <c r="BP1614" i="1"/>
  <c r="BP1598" i="1"/>
  <c r="BP537" i="1"/>
  <c r="BP2353" i="1"/>
  <c r="BP2340" i="1"/>
  <c r="BP2344" i="1"/>
  <c r="BP2046" i="1"/>
  <c r="BP1611" i="1"/>
  <c r="BP1601" i="1"/>
  <c r="BP532" i="1"/>
  <c r="BP538" i="1"/>
  <c r="BP2355" i="1"/>
  <c r="BP2343" i="1"/>
  <c r="BP2041" i="1"/>
  <c r="BP2040" i="1"/>
  <c r="BP1613" i="1"/>
  <c r="BP1599" i="1"/>
  <c r="BP533" i="1"/>
  <c r="BP529" i="1"/>
  <c r="BP2354" i="1"/>
  <c r="BP2341" i="1"/>
  <c r="BP2045" i="1"/>
  <c r="BP2043" i="1"/>
  <c r="BP1617" i="1"/>
  <c r="BP1600" i="1"/>
  <c r="BP531" i="1"/>
  <c r="BP2356" i="1"/>
  <c r="BP2339" i="1"/>
  <c r="BP2048" i="1"/>
  <c r="BP1612" i="1"/>
  <c r="BP1616" i="1"/>
  <c r="BP1602" i="1"/>
  <c r="BP535" i="1"/>
  <c r="BP2359" i="1"/>
  <c r="BP2345" i="1"/>
  <c r="BP2047" i="1"/>
  <c r="BP1609" i="1"/>
  <c r="BP1615" i="1"/>
  <c r="BP1604" i="1"/>
  <c r="BP536" i="1"/>
  <c r="BP596" i="1"/>
  <c r="BP594" i="1"/>
  <c r="BP585" i="1"/>
  <c r="BP578" i="1"/>
  <c r="BP569" i="1"/>
  <c r="BP599" i="1"/>
  <c r="BP586" i="1"/>
  <c r="BP574" i="1"/>
  <c r="BP576" i="1"/>
  <c r="BP566" i="1"/>
  <c r="BP605" i="1"/>
  <c r="BP592" i="1"/>
  <c r="BP583" i="1"/>
  <c r="BP577" i="1"/>
  <c r="BP571" i="1"/>
  <c r="BP602" i="1"/>
  <c r="BP590" i="1"/>
  <c r="BP582" i="1"/>
  <c r="BP563" i="1"/>
  <c r="BP570" i="1"/>
  <c r="BP598" i="1"/>
  <c r="BP587" i="1"/>
  <c r="BP580" i="1"/>
  <c r="BP568" i="1"/>
  <c r="BP572" i="1"/>
  <c r="BP601" i="1"/>
  <c r="BP600" i="1"/>
  <c r="BP593" i="1"/>
  <c r="BP581" i="1"/>
  <c r="BP564" i="1"/>
  <c r="BP604" i="1"/>
  <c r="BP603" i="1"/>
  <c r="BP591" i="1"/>
  <c r="BP579" i="1"/>
  <c r="BP567" i="1"/>
  <c r="BP597" i="1"/>
  <c r="BP589" i="1"/>
  <c r="BP588" i="1"/>
  <c r="BP575" i="1"/>
  <c r="BP565" i="1"/>
  <c r="BP786" i="1"/>
  <c r="BP778" i="1"/>
  <c r="BP772" i="1"/>
  <c r="BP763" i="1"/>
  <c r="BP755" i="1"/>
  <c r="BP748" i="1"/>
  <c r="BP733" i="1"/>
  <c r="BP729" i="1"/>
  <c r="BP725" i="1"/>
  <c r="BP711" i="1"/>
  <c r="BP701" i="1"/>
  <c r="BP685" i="1"/>
  <c r="BP687" i="1"/>
  <c r="BP682" i="1"/>
  <c r="BP668" i="1"/>
  <c r="BP783" i="1"/>
  <c r="BP774" i="1"/>
  <c r="BP768" i="1"/>
  <c r="BP762" i="1"/>
  <c r="BP756" i="1"/>
  <c r="BP747" i="1"/>
  <c r="BP728" i="1"/>
  <c r="BP720" i="1"/>
  <c r="BP722" i="1"/>
  <c r="BP706" i="1"/>
  <c r="BP702" i="1"/>
  <c r="BP693" i="1"/>
  <c r="BP673" i="1"/>
  <c r="BP675" i="1"/>
  <c r="BP671" i="1"/>
  <c r="BP792" i="1"/>
  <c r="BP773" i="1"/>
  <c r="BP761" i="1"/>
  <c r="BP770" i="1"/>
  <c r="BP751" i="1"/>
  <c r="BP739" i="1"/>
  <c r="BP735" i="1"/>
  <c r="BP718" i="1"/>
  <c r="BP726" i="1"/>
  <c r="BP709" i="1"/>
  <c r="BP695" i="1"/>
  <c r="BP689" i="1"/>
  <c r="BP676" i="1"/>
  <c r="BP681" i="1"/>
  <c r="BP666" i="1"/>
  <c r="BP789" i="1"/>
  <c r="BP779" i="1"/>
  <c r="BP769" i="1"/>
  <c r="BP757" i="1"/>
  <c r="BP752" i="1"/>
  <c r="BP740" i="1"/>
  <c r="BP730" i="1"/>
  <c r="BP721" i="1"/>
  <c r="BP713" i="1"/>
  <c r="BP712" i="1"/>
  <c r="BP699" i="1"/>
  <c r="BP690" i="1"/>
  <c r="BP678" i="1"/>
  <c r="BP669" i="1"/>
  <c r="BP662" i="1"/>
  <c r="BP790" i="1"/>
  <c r="BP777" i="1"/>
  <c r="BP767" i="1"/>
  <c r="BP753" i="1"/>
  <c r="BP759" i="1"/>
  <c r="BP741" i="1"/>
  <c r="BP731" i="1"/>
  <c r="BP717" i="1"/>
  <c r="BP714" i="1"/>
  <c r="BP708" i="1"/>
  <c r="BP700" i="1"/>
  <c r="BP692" i="1"/>
  <c r="BP680" i="1"/>
  <c r="BP665" i="1"/>
  <c r="BP664" i="1"/>
  <c r="BP788" i="1"/>
  <c r="BP784" i="1"/>
  <c r="BP781" i="1"/>
  <c r="BP766" i="1"/>
  <c r="BP758" i="1"/>
  <c r="BP742" i="1"/>
  <c r="BP744" i="1"/>
  <c r="BP736" i="1"/>
  <c r="BP719" i="1"/>
  <c r="BP715" i="1"/>
  <c r="BP697" i="1"/>
  <c r="BP698" i="1"/>
  <c r="BP691" i="1"/>
  <c r="BP677" i="1"/>
  <c r="BP670" i="1"/>
  <c r="BP785" i="1"/>
  <c r="BP791" i="1"/>
  <c r="BP776" i="1"/>
  <c r="BP764" i="1"/>
  <c r="BP754" i="1"/>
  <c r="BP746" i="1"/>
  <c r="BP743" i="1"/>
  <c r="BP737" i="1"/>
  <c r="BP724" i="1"/>
  <c r="BP707" i="1"/>
  <c r="BP703" i="1"/>
  <c r="BP704" i="1"/>
  <c r="BP688" i="1"/>
  <c r="BP679" i="1"/>
  <c r="BP667" i="1"/>
  <c r="BP787" i="1"/>
  <c r="BP780" i="1"/>
  <c r="BP775" i="1"/>
  <c r="BP765" i="1"/>
  <c r="BP750" i="1"/>
  <c r="BP745" i="1"/>
  <c r="BP732" i="1"/>
  <c r="BP734" i="1"/>
  <c r="BP723" i="1"/>
  <c r="BP710" i="1"/>
  <c r="BP696" i="1"/>
  <c r="BP686" i="1"/>
  <c r="BP684" i="1"/>
  <c r="BP674" i="1"/>
  <c r="BP663" i="1"/>
  <c r="BP2689" i="1"/>
  <c r="BP2683" i="1"/>
  <c r="BP2686" i="1"/>
  <c r="BP2605" i="1"/>
  <c r="BP2569" i="1"/>
  <c r="BP1058" i="1"/>
  <c r="BP1019" i="1"/>
  <c r="BP1021" i="1"/>
  <c r="BP1045" i="1"/>
  <c r="BP2690" i="1"/>
  <c r="BP2682" i="1"/>
  <c r="BP2603" i="1"/>
  <c r="BP2604" i="1"/>
  <c r="BP2570" i="1"/>
  <c r="BP1066" i="1"/>
  <c r="BP1018" i="1"/>
  <c r="BP1044" i="1"/>
  <c r="BP1039" i="1"/>
  <c r="BP2691" i="1"/>
  <c r="BP2681" i="1"/>
  <c r="BP2611" i="1"/>
  <c r="BP2609" i="1"/>
  <c r="BP2564" i="1"/>
  <c r="BP1059" i="1"/>
  <c r="BP1014" i="1"/>
  <c r="BP1037" i="1"/>
  <c r="BP1041" i="1"/>
  <c r="BP2694" i="1"/>
  <c r="BP2680" i="1"/>
  <c r="BP2610" i="1"/>
  <c r="BP2565" i="1"/>
  <c r="BP2571" i="1"/>
  <c r="BP1067" i="1"/>
  <c r="BP1016" i="1"/>
  <c r="BP1042" i="1"/>
  <c r="BP2696" i="1"/>
  <c r="BP2679" i="1"/>
  <c r="BP2608" i="1"/>
  <c r="BP2561" i="1"/>
  <c r="BP2563" i="1"/>
  <c r="BP1060" i="1"/>
  <c r="BP1023" i="1"/>
  <c r="BP1038" i="1"/>
  <c r="BP2692" i="1"/>
  <c r="BP2693" i="1"/>
  <c r="BP2678" i="1"/>
  <c r="BP2606" i="1"/>
  <c r="BP2566" i="1"/>
  <c r="BP1063" i="1"/>
  <c r="BP1062" i="1"/>
  <c r="BP1017" i="1"/>
  <c r="BP1036" i="1"/>
  <c r="BP2688" i="1"/>
  <c r="BP2695" i="1"/>
  <c r="BP2677" i="1"/>
  <c r="BP2607" i="1"/>
  <c r="BP2567" i="1"/>
  <c r="BP1064" i="1"/>
  <c r="BP1061" i="1"/>
  <c r="BP1020" i="1"/>
  <c r="BP1043" i="1"/>
  <c r="BP2697" i="1"/>
  <c r="BP2684" i="1"/>
  <c r="BP2685" i="1"/>
  <c r="BP2612" i="1"/>
  <c r="BP2562" i="1"/>
  <c r="BP1065" i="1"/>
  <c r="BP1015" i="1"/>
  <c r="BP1022" i="1"/>
  <c r="BP1040" i="1"/>
  <c r="BP2335" i="1"/>
  <c r="BP2334" i="1"/>
  <c r="BP2332" i="1"/>
  <c r="BP2331" i="1"/>
  <c r="BP2328" i="1"/>
  <c r="BP2329" i="1"/>
  <c r="BP2319" i="1"/>
  <c r="BP2320" i="1"/>
  <c r="BP2316" i="1"/>
  <c r="BP2317" i="1"/>
  <c r="BP2314" i="1"/>
  <c r="BP2313" i="1"/>
  <c r="BP2311" i="1"/>
  <c r="BP2310" i="1"/>
  <c r="BP2308" i="1"/>
  <c r="BP2307" i="1"/>
  <c r="BP2305" i="1"/>
  <c r="BP2304" i="1"/>
  <c r="BP2301" i="1"/>
  <c r="BP2302" i="1"/>
  <c r="BP2298" i="1"/>
  <c r="BP2299" i="1"/>
  <c r="BP2296" i="1"/>
  <c r="BP2295" i="1"/>
  <c r="BP2292" i="1"/>
  <c r="BP2293" i="1"/>
  <c r="BP1200" i="1"/>
  <c r="BP1199" i="1"/>
  <c r="AS1199" i="1"/>
  <c r="BQ1199" i="1"/>
  <c r="BR1199" i="1" s="1"/>
  <c r="AS1200" i="1"/>
  <c r="BQ1200" i="1"/>
  <c r="BR1200" i="1" s="1"/>
  <c r="AS507" i="1"/>
  <c r="BQ507" i="1"/>
  <c r="BR507" i="1" s="1"/>
  <c r="AS508" i="1"/>
  <c r="BQ508" i="1"/>
  <c r="BR508" i="1" s="1"/>
  <c r="BP508" i="1"/>
  <c r="BP507" i="1"/>
  <c r="BP504" i="1"/>
  <c r="BP505" i="1"/>
  <c r="AS504" i="1"/>
  <c r="BQ504" i="1"/>
  <c r="BR504" i="1" s="1"/>
  <c r="AS505" i="1"/>
  <c r="BQ505" i="1"/>
  <c r="BR505" i="1" s="1"/>
  <c r="BP2773" i="1"/>
  <c r="BP2774" i="1"/>
  <c r="BP2770" i="1"/>
  <c r="BP2771" i="1"/>
  <c r="BP2423" i="1"/>
  <c r="BP2424" i="1"/>
  <c r="BP2421" i="1"/>
  <c r="BP2420" i="1"/>
  <c r="BP2772" i="1"/>
  <c r="BP2417" i="1"/>
  <c r="BP2418" i="1"/>
  <c r="BP2491" i="1"/>
  <c r="BP2490" i="1"/>
  <c r="BP2487" i="1"/>
  <c r="BP2488" i="1"/>
  <c r="BP2489" i="1"/>
  <c r="BP2479" i="1"/>
  <c r="BP2478" i="1"/>
  <c r="BP2535" i="1"/>
  <c r="BP2536" i="1"/>
  <c r="BP2533" i="1"/>
  <c r="BP2532" i="1"/>
  <c r="BP2530" i="1"/>
  <c r="BP2529" i="1"/>
  <c r="BP2526" i="1"/>
  <c r="BP2527" i="1"/>
  <c r="BP2523" i="1"/>
  <c r="BP2524" i="1"/>
  <c r="BP2521" i="1"/>
  <c r="BP2520" i="1"/>
  <c r="BP2517" i="1"/>
  <c r="BP2518" i="1"/>
  <c r="BP2515" i="1"/>
  <c r="BP2514" i="1"/>
  <c r="BP2534" i="1"/>
  <c r="BP2511" i="1"/>
  <c r="BP2512" i="1"/>
  <c r="BP2509" i="1"/>
  <c r="BP2508" i="1"/>
  <c r="BP2505" i="1"/>
  <c r="BP2506" i="1"/>
  <c r="BP2502" i="1"/>
  <c r="BP2503" i="1"/>
  <c r="BP2500" i="1"/>
  <c r="BP2499" i="1"/>
  <c r="BP2496" i="1"/>
  <c r="BP2497" i="1"/>
  <c r="BP2494" i="1"/>
  <c r="BP2493" i="1"/>
  <c r="BP2733" i="1"/>
  <c r="BP2732" i="1"/>
  <c r="BP2731" i="1"/>
  <c r="BP2550" i="1"/>
  <c r="BP2551" i="1"/>
  <c r="BP2010" i="1"/>
  <c r="BP2009" i="1"/>
  <c r="BP2011" i="1"/>
  <c r="BP2012" i="1"/>
  <c r="BP2007" i="1"/>
  <c r="BP2004" i="1"/>
  <c r="BP2005" i="1"/>
  <c r="BP2006" i="1"/>
  <c r="BP1999" i="1"/>
  <c r="BP2001" i="1"/>
  <c r="BP2000" i="1"/>
  <c r="BP2002" i="1"/>
  <c r="BP1994" i="1"/>
  <c r="BP1995" i="1"/>
  <c r="BP1997" i="1"/>
  <c r="BP1996" i="1"/>
  <c r="BP1961" i="1"/>
  <c r="BP1960" i="1"/>
  <c r="BP1959" i="1"/>
  <c r="BP1962" i="1"/>
  <c r="BP1957" i="1"/>
  <c r="BP1955" i="1"/>
  <c r="BP1954" i="1"/>
  <c r="BP1956" i="1"/>
  <c r="BP1951" i="1"/>
  <c r="BP1950" i="1"/>
  <c r="BP1952" i="1"/>
  <c r="BP1949" i="1"/>
  <c r="BP2008" i="1"/>
  <c r="BP1944" i="1"/>
  <c r="BP1945" i="1"/>
  <c r="BP1947" i="1"/>
  <c r="BP1946" i="1"/>
  <c r="AS1192" i="1"/>
  <c r="BQ1192" i="1"/>
  <c r="BR1192" i="1" s="1"/>
  <c r="AS1190" i="1"/>
  <c r="BQ1190" i="1"/>
  <c r="BR1190" i="1" s="1"/>
  <c r="BP1191" i="1"/>
  <c r="BP1189" i="1"/>
  <c r="BP1192" i="1"/>
  <c r="BP1190" i="1"/>
  <c r="AS1189" i="1"/>
  <c r="BQ1189" i="1"/>
  <c r="BR1189" i="1" s="1"/>
  <c r="AS1191" i="1"/>
  <c r="BQ1191" i="1"/>
  <c r="BR1191" i="1" s="1"/>
  <c r="AS276" i="1"/>
  <c r="BQ276" i="1"/>
  <c r="BR276" i="1" s="1"/>
  <c r="BP275" i="1"/>
  <c r="BP273" i="1"/>
  <c r="BP276" i="1"/>
  <c r="BP274" i="1"/>
  <c r="AS274" i="1"/>
  <c r="BQ274" i="1"/>
  <c r="BR274" i="1" s="1"/>
  <c r="AS275" i="1"/>
  <c r="BQ275" i="1"/>
  <c r="BR275" i="1" s="1"/>
  <c r="AS273" i="1"/>
  <c r="BQ273" i="1"/>
  <c r="BR273" i="1" s="1"/>
  <c r="BP2103" i="1"/>
  <c r="BP2104" i="1"/>
  <c r="BP2102" i="1"/>
  <c r="BP2101" i="1"/>
  <c r="BP2098" i="1"/>
  <c r="BP2097" i="1"/>
  <c r="BP2099" i="1"/>
  <c r="BP2096" i="1"/>
  <c r="BP2092" i="1"/>
  <c r="BP2094" i="1"/>
  <c r="BP2091" i="1"/>
  <c r="BP2093" i="1"/>
  <c r="BP2087" i="1"/>
  <c r="BP2088" i="1"/>
  <c r="BP2086" i="1"/>
  <c r="BP2089" i="1"/>
  <c r="BP2100" i="1"/>
  <c r="BP2083" i="1"/>
  <c r="BP2081" i="1"/>
  <c r="BP2082" i="1"/>
  <c r="BP2084" i="1"/>
  <c r="BP2184" i="1"/>
  <c r="BP2181" i="1"/>
  <c r="BP2183" i="1"/>
  <c r="BP2182" i="1"/>
  <c r="BP2179" i="1"/>
  <c r="BP2178" i="1"/>
  <c r="BP2177" i="1"/>
  <c r="BP2176" i="1"/>
  <c r="BP2116" i="1"/>
  <c r="BP2118" i="1"/>
  <c r="BP2117" i="1"/>
  <c r="BP2119" i="1"/>
  <c r="BP2112" i="1"/>
  <c r="BP2111" i="1"/>
  <c r="BP2113" i="1"/>
  <c r="BP2114" i="1"/>
  <c r="BP2180" i="1"/>
  <c r="BP2109" i="1"/>
  <c r="BP2108" i="1"/>
  <c r="BP2106" i="1"/>
  <c r="BP2107" i="1"/>
  <c r="BP2258" i="1"/>
  <c r="BP2256" i="1"/>
  <c r="BP2257" i="1"/>
  <c r="BP2259" i="1"/>
  <c r="BP2252" i="1"/>
  <c r="BP2251" i="1"/>
  <c r="BP2253" i="1"/>
  <c r="BP2254" i="1"/>
  <c r="BP2247" i="1"/>
  <c r="BP2246" i="1"/>
  <c r="BP2249" i="1"/>
  <c r="BP2248" i="1"/>
  <c r="BP2243" i="1"/>
  <c r="BP2244" i="1"/>
  <c r="BP2241" i="1"/>
  <c r="BP2242" i="1"/>
  <c r="BP2236" i="1"/>
  <c r="BP2238" i="1"/>
  <c r="BP2239" i="1"/>
  <c r="BP2237" i="1"/>
  <c r="BP2232" i="1"/>
  <c r="BP2234" i="1"/>
  <c r="BP2231" i="1"/>
  <c r="BP2233" i="1"/>
  <c r="BP2229" i="1"/>
  <c r="BP2227" i="1"/>
  <c r="BP2228" i="1"/>
  <c r="BP2226" i="1"/>
  <c r="BP2223" i="1"/>
  <c r="BP2224" i="1"/>
  <c r="BP2222" i="1"/>
  <c r="BP2221" i="1"/>
  <c r="BP2255" i="1"/>
  <c r="BP2218" i="1"/>
  <c r="BP2219" i="1"/>
  <c r="BP2216" i="1"/>
  <c r="BP2217" i="1"/>
  <c r="BP2213" i="1"/>
  <c r="BP2214" i="1"/>
  <c r="BP2212" i="1"/>
  <c r="BP2211" i="1"/>
  <c r="BP2206" i="1"/>
  <c r="BP2208" i="1"/>
  <c r="BP2207" i="1"/>
  <c r="BP2209" i="1"/>
  <c r="BP2204" i="1"/>
  <c r="BP2203" i="1"/>
  <c r="BP2201" i="1"/>
  <c r="BP2202" i="1"/>
  <c r="BP2198" i="1"/>
  <c r="BP2199" i="1"/>
  <c r="BP2196" i="1"/>
  <c r="BP2197" i="1"/>
  <c r="BP2193" i="1"/>
  <c r="BP2194" i="1"/>
  <c r="BP2192" i="1"/>
  <c r="BP2191" i="1"/>
  <c r="BP2187" i="1"/>
  <c r="BP2189" i="1"/>
  <c r="BP2188" i="1"/>
  <c r="BP2186" i="1"/>
  <c r="BP2723" i="1"/>
  <c r="BP2721" i="1"/>
  <c r="BP2720" i="1"/>
  <c r="BP2722" i="1"/>
  <c r="BP2286" i="1"/>
  <c r="BP2289" i="1"/>
  <c r="BP2288" i="1"/>
  <c r="BP2287" i="1"/>
  <c r="BP2724" i="1"/>
  <c r="BP2725" i="1"/>
  <c r="BP2728" i="1"/>
  <c r="BP2727" i="1"/>
  <c r="BP2726" i="1"/>
  <c r="BP1584" i="1"/>
  <c r="BP1586" i="1"/>
  <c r="BP1582" i="1"/>
  <c r="BP1585" i="1"/>
  <c r="BP1583" i="1"/>
  <c r="BP1530" i="1"/>
  <c r="BP1531" i="1"/>
  <c r="BP1528" i="1"/>
  <c r="BP1532" i="1"/>
  <c r="BP1529" i="1"/>
  <c r="BP1525" i="1"/>
  <c r="BP1522" i="1"/>
  <c r="BP1524" i="1"/>
  <c r="BP1526" i="1"/>
  <c r="BP1523" i="1"/>
  <c r="BP1587" i="1"/>
  <c r="BP1590" i="1"/>
  <c r="BP1589" i="1"/>
  <c r="BP1591" i="1"/>
  <c r="BP1592" i="1"/>
  <c r="BP1588" i="1"/>
  <c r="BP2384" i="1"/>
  <c r="BP2386" i="1"/>
  <c r="BP2383" i="1"/>
  <c r="BP2385" i="1"/>
  <c r="BP2387" i="1"/>
  <c r="AS1180" i="1"/>
  <c r="BQ1180" i="1"/>
  <c r="BR1180" i="1" s="1"/>
  <c r="AS1177" i="1"/>
  <c r="BQ1177" i="1"/>
  <c r="BR1177" i="1" s="1"/>
  <c r="AS1179" i="1"/>
  <c r="BQ1179" i="1"/>
  <c r="BR1179" i="1" s="1"/>
  <c r="BP1177" i="1"/>
  <c r="BP1180" i="1"/>
  <c r="BP1179" i="1"/>
  <c r="BP1181" i="1"/>
  <c r="BP1178" i="1"/>
  <c r="AS1178" i="1"/>
  <c r="BQ1178" i="1"/>
  <c r="BR1178" i="1" s="1"/>
  <c r="AS1181" i="1"/>
  <c r="BQ1181" i="1"/>
  <c r="BR1181" i="1" s="1"/>
  <c r="AS266" i="1"/>
  <c r="BQ266" i="1"/>
  <c r="BR266" i="1" s="1"/>
  <c r="AS269" i="1"/>
  <c r="BQ269" i="1"/>
  <c r="BR269" i="1" s="1"/>
  <c r="AS270" i="1"/>
  <c r="BQ270" i="1"/>
  <c r="BR270" i="1" s="1"/>
  <c r="BP269" i="1"/>
  <c r="BP266" i="1"/>
  <c r="BP268" i="1"/>
  <c r="BP267" i="1"/>
  <c r="BP270" i="1"/>
  <c r="AS267" i="1"/>
  <c r="BQ267" i="1"/>
  <c r="BR267" i="1" s="1"/>
  <c r="AS268" i="1"/>
  <c r="BQ268" i="1"/>
  <c r="BR268" i="1" s="1"/>
  <c r="BP263" i="1"/>
  <c r="BP260" i="1"/>
  <c r="BP262" i="1"/>
  <c r="BP264" i="1"/>
  <c r="BP261" i="1"/>
  <c r="AS262" i="1"/>
  <c r="BQ262" i="1"/>
  <c r="BR262" i="1" s="1"/>
  <c r="AS261" i="1"/>
  <c r="BQ261" i="1"/>
  <c r="BR261" i="1" s="1"/>
  <c r="AS263" i="1"/>
  <c r="BQ263" i="1"/>
  <c r="BR263" i="1" s="1"/>
  <c r="AS260" i="1"/>
  <c r="BQ260" i="1"/>
  <c r="BR260" i="1" s="1"/>
  <c r="AS264" i="1"/>
  <c r="BQ264" i="1"/>
  <c r="BR264" i="1" s="1"/>
  <c r="BP2388" i="1"/>
  <c r="BP2392" i="1"/>
  <c r="BP2393" i="1"/>
  <c r="BP2389" i="1"/>
  <c r="BP2391" i="1"/>
  <c r="BP2390" i="1"/>
  <c r="BP1701" i="1"/>
  <c r="BP1702" i="1"/>
  <c r="BP1699" i="1"/>
  <c r="BP1700" i="1"/>
  <c r="BP1703" i="1"/>
  <c r="BP1695" i="1"/>
  <c r="BP1694" i="1"/>
  <c r="BP1697" i="1"/>
  <c r="BP1696" i="1"/>
  <c r="BP1693" i="1"/>
  <c r="BP1689" i="1"/>
  <c r="BP1687" i="1"/>
  <c r="BP1691" i="1"/>
  <c r="BP1688" i="1"/>
  <c r="BP1690" i="1"/>
  <c r="BP1685" i="1"/>
  <c r="BP1683" i="1"/>
  <c r="BP1682" i="1"/>
  <c r="BP1684" i="1"/>
  <c r="BP1681" i="1"/>
  <c r="BP1664" i="1"/>
  <c r="BP1665" i="1"/>
  <c r="BP1663" i="1"/>
  <c r="BP1666" i="1"/>
  <c r="BP1667" i="1"/>
  <c r="BP1658" i="1"/>
  <c r="BP1659" i="1"/>
  <c r="BP1657" i="1"/>
  <c r="BP1661" i="1"/>
  <c r="BP1660" i="1"/>
  <c r="BP1708" i="1"/>
  <c r="BP1705" i="1"/>
  <c r="BP1706" i="1"/>
  <c r="BP1709" i="1"/>
  <c r="BP1707" i="1"/>
  <c r="BP1804" i="1"/>
  <c r="BP1704" i="1"/>
  <c r="BP1801" i="1"/>
  <c r="BP1800" i="1"/>
  <c r="BP1803" i="1"/>
  <c r="BP1805" i="1"/>
  <c r="BP1802" i="1"/>
  <c r="BP1797" i="1"/>
  <c r="BP1798" i="1"/>
  <c r="BP1795" i="1"/>
  <c r="BP1796" i="1"/>
  <c r="BP1791" i="1"/>
  <c r="BP1792" i="1"/>
  <c r="BP1789" i="1"/>
  <c r="BP1790" i="1"/>
  <c r="BP1793" i="1"/>
  <c r="BP1799" i="1"/>
  <c r="BP1786" i="1"/>
  <c r="BP1785" i="1"/>
  <c r="BP1783" i="1"/>
  <c r="BP1784" i="1"/>
  <c r="BP1787" i="1"/>
  <c r="BP1889" i="1"/>
  <c r="BP1890" i="1"/>
  <c r="BP1894" i="1"/>
  <c r="BP1892" i="1"/>
  <c r="BP1893" i="1"/>
  <c r="BP1895" i="1"/>
  <c r="BP1891" i="1"/>
  <c r="BP1887" i="1"/>
  <c r="BP1885" i="1"/>
  <c r="BP1888" i="1"/>
  <c r="BP1886" i="1"/>
  <c r="BP1881" i="1"/>
  <c r="BP1880" i="1"/>
  <c r="BP1883" i="1"/>
  <c r="BP1879" i="1"/>
  <c r="BP1882" i="1"/>
  <c r="BP1874" i="1"/>
  <c r="BP1876" i="1"/>
  <c r="BP1875" i="1"/>
  <c r="BP1877" i="1"/>
  <c r="BP1873" i="1"/>
  <c r="BP1870" i="1"/>
  <c r="BP1869" i="1"/>
  <c r="BP1871" i="1"/>
  <c r="BP1868" i="1"/>
  <c r="BP1867" i="1"/>
  <c r="BP1865" i="1"/>
  <c r="BP1863" i="1"/>
  <c r="BP1862" i="1"/>
  <c r="BP1861" i="1"/>
  <c r="BP1864" i="1"/>
  <c r="BP1855" i="1"/>
  <c r="BP1858" i="1"/>
  <c r="BP1856" i="1"/>
  <c r="BP1857" i="1"/>
  <c r="BP1859" i="1"/>
  <c r="BP1852" i="1"/>
  <c r="BP1850" i="1"/>
  <c r="BP1849" i="1"/>
  <c r="BP1853" i="1"/>
  <c r="BP1851" i="1"/>
  <c r="BP1846" i="1"/>
  <c r="BP1845" i="1"/>
  <c r="BP1843" i="1"/>
  <c r="BP1847" i="1"/>
  <c r="BP1844" i="1"/>
  <c r="BP1840" i="1"/>
  <c r="BP1838" i="1"/>
  <c r="BP1839" i="1"/>
  <c r="BP1837" i="1"/>
  <c r="BP1841" i="1"/>
  <c r="BP1832" i="1"/>
  <c r="BP1831" i="1"/>
  <c r="BP1835" i="1"/>
  <c r="BP1833" i="1"/>
  <c r="BP1834" i="1"/>
  <c r="BP1828" i="1"/>
  <c r="BP1829" i="1"/>
  <c r="BP1827" i="1"/>
  <c r="BP1825" i="1"/>
  <c r="BP1826" i="1"/>
  <c r="BP1820" i="1"/>
  <c r="BP1821" i="1"/>
  <c r="BP1822" i="1"/>
  <c r="BP1819" i="1"/>
  <c r="BP1823" i="1"/>
  <c r="BP1814" i="1"/>
  <c r="BP1817" i="1"/>
  <c r="BP1813" i="1"/>
  <c r="BP1816" i="1"/>
  <c r="BP1815" i="1"/>
  <c r="BP1808" i="1"/>
  <c r="BP1807" i="1"/>
  <c r="BP1810" i="1"/>
  <c r="BP1809" i="1"/>
  <c r="BP1811" i="1"/>
  <c r="BP2716" i="1"/>
  <c r="BP2719" i="1"/>
  <c r="BP2718" i="1"/>
  <c r="BP2715" i="1"/>
  <c r="BP2717" i="1"/>
  <c r="BP2713" i="1"/>
  <c r="BP2711" i="1"/>
  <c r="BP2709" i="1"/>
  <c r="BP2712" i="1"/>
  <c r="BP2710" i="1"/>
  <c r="BP2714" i="1"/>
  <c r="BP1927" i="1"/>
  <c r="BP1930" i="1"/>
  <c r="BP1931" i="1"/>
  <c r="BP1928" i="1"/>
  <c r="BP1929" i="1"/>
  <c r="BP1164" i="1"/>
  <c r="BP1163" i="1"/>
  <c r="BP1162" i="1"/>
  <c r="BP1160" i="1"/>
  <c r="BP1161" i="1"/>
  <c r="BP1158" i="1"/>
  <c r="BP1154" i="1"/>
  <c r="BP1155" i="1"/>
  <c r="BP1157" i="1"/>
  <c r="BP1156" i="1"/>
  <c r="BP1080" i="1"/>
  <c r="BP1077" i="1"/>
  <c r="BP1078" i="1"/>
  <c r="BP1079" i="1"/>
  <c r="BP1076" i="1"/>
  <c r="BP1159" i="1"/>
  <c r="BP1073" i="1"/>
  <c r="BP1074" i="1"/>
  <c r="BP1072" i="1"/>
  <c r="BP1070" i="1"/>
  <c r="BP1071" i="1"/>
  <c r="BP1169" i="1"/>
  <c r="BP1167" i="1"/>
  <c r="BP1165" i="1"/>
  <c r="BP1168" i="1"/>
  <c r="BP1166" i="1"/>
  <c r="AS1168" i="1"/>
  <c r="BQ1168" i="1"/>
  <c r="BR1168" i="1" s="1"/>
  <c r="AS1165" i="1"/>
  <c r="BQ1165" i="1"/>
  <c r="BR1165" i="1" s="1"/>
  <c r="AS1169" i="1"/>
  <c r="BQ1169" i="1"/>
  <c r="BR1169" i="1" s="1"/>
  <c r="AS1166" i="1"/>
  <c r="BQ1166" i="1"/>
  <c r="BR1166" i="1" s="1"/>
  <c r="AS1167" i="1"/>
  <c r="BQ1167" i="1"/>
  <c r="BR1167" i="1" s="1"/>
  <c r="AS256" i="1"/>
  <c r="BQ256" i="1"/>
  <c r="BR256" i="1" s="1"/>
  <c r="AS257" i="1"/>
  <c r="BQ257" i="1"/>
  <c r="BR257" i="1" s="1"/>
  <c r="BP255" i="1"/>
  <c r="BP253" i="1"/>
  <c r="BP257" i="1"/>
  <c r="BP256" i="1"/>
  <c r="BP254" i="1"/>
  <c r="AS253" i="1"/>
  <c r="BQ253" i="1"/>
  <c r="BR253" i="1" s="1"/>
  <c r="AS255" i="1"/>
  <c r="BQ255" i="1"/>
  <c r="BR255" i="1" s="1"/>
  <c r="AS254" i="1"/>
  <c r="BQ254" i="1"/>
  <c r="BR254" i="1" s="1"/>
  <c r="AS247" i="1"/>
  <c r="BQ247" i="1"/>
  <c r="BR247" i="1" s="1"/>
  <c r="AS251" i="1"/>
  <c r="BQ251" i="1"/>
  <c r="BR251" i="1" s="1"/>
  <c r="AS249" i="1"/>
  <c r="BQ249" i="1"/>
  <c r="BR249" i="1" s="1"/>
  <c r="BP248" i="1"/>
  <c r="BP251" i="1"/>
  <c r="BP247" i="1"/>
  <c r="BP249" i="1"/>
  <c r="BP250" i="1"/>
  <c r="AS250" i="1"/>
  <c r="BQ250" i="1"/>
  <c r="BR250" i="1" s="1"/>
  <c r="AS248" i="1"/>
  <c r="BQ248" i="1"/>
  <c r="BR248" i="1" s="1"/>
  <c r="BP1270" i="1"/>
  <c r="BP1272" i="1"/>
  <c r="BP1271" i="1"/>
  <c r="BP1273" i="1"/>
  <c r="BP1269" i="1"/>
  <c r="BP1267" i="1"/>
  <c r="BP1264" i="1"/>
  <c r="BP1265" i="1"/>
  <c r="BP1266" i="1"/>
  <c r="BP1263" i="1"/>
  <c r="BP1257" i="1"/>
  <c r="BP1260" i="1"/>
  <c r="BP1261" i="1"/>
  <c r="BP1258" i="1"/>
  <c r="BP1259" i="1"/>
  <c r="BP1254" i="1"/>
  <c r="BP1252" i="1"/>
  <c r="BP1251" i="1"/>
  <c r="BP1253" i="1"/>
  <c r="BP1255" i="1"/>
  <c r="BP1268" i="1"/>
  <c r="BP1247" i="1"/>
  <c r="BP1246" i="1"/>
  <c r="BP1245" i="1"/>
  <c r="BP1248" i="1"/>
  <c r="BP1249" i="1"/>
  <c r="BP1365" i="1"/>
  <c r="BP1369" i="1"/>
  <c r="BP1367" i="1"/>
  <c r="BP1368" i="1"/>
  <c r="BP1366" i="1"/>
  <c r="BP1359" i="1"/>
  <c r="BP1362" i="1"/>
  <c r="BP1360" i="1"/>
  <c r="BP1361" i="1"/>
  <c r="BP1363" i="1"/>
  <c r="BP1353" i="1"/>
  <c r="BP1356" i="1"/>
  <c r="BP1354" i="1"/>
  <c r="BP1355" i="1"/>
  <c r="BP1357" i="1"/>
  <c r="BP1351" i="1"/>
  <c r="BP1350" i="1"/>
  <c r="BP1347" i="1"/>
  <c r="BP1348" i="1"/>
  <c r="BP1349" i="1"/>
  <c r="BP1345" i="1"/>
  <c r="BP1341" i="1"/>
  <c r="BP1342" i="1"/>
  <c r="BP1344" i="1"/>
  <c r="BP1343" i="1"/>
  <c r="BP1364" i="1"/>
  <c r="BP1456" i="1"/>
  <c r="BP1458" i="1"/>
  <c r="BP1455" i="1"/>
  <c r="BP1459" i="1"/>
  <c r="BP1457" i="1"/>
  <c r="BP1453" i="1"/>
  <c r="BP1450" i="1"/>
  <c r="BP1452" i="1"/>
  <c r="BP1449" i="1"/>
  <c r="BP1451" i="1"/>
  <c r="BP1447" i="1"/>
  <c r="BP1445" i="1"/>
  <c r="BP1443" i="1"/>
  <c r="BP1444" i="1"/>
  <c r="BP1446" i="1"/>
  <c r="BP1437" i="1"/>
  <c r="BP1438" i="1"/>
  <c r="BP1441" i="1"/>
  <c r="BP1439" i="1"/>
  <c r="BP1440" i="1"/>
  <c r="BP1432" i="1"/>
  <c r="BP1431" i="1"/>
  <c r="BP1433" i="1"/>
  <c r="BP1434" i="1"/>
  <c r="BP1435" i="1"/>
  <c r="BP1426" i="1"/>
  <c r="BP1428" i="1"/>
  <c r="BP1429" i="1"/>
  <c r="BP1425" i="1"/>
  <c r="BP1427" i="1"/>
  <c r="BP1422" i="1"/>
  <c r="BP1421" i="1"/>
  <c r="BP1423" i="1"/>
  <c r="BP1419" i="1"/>
  <c r="BP1420" i="1"/>
  <c r="BP1417" i="1"/>
  <c r="BP1414" i="1"/>
  <c r="BP1415" i="1"/>
  <c r="BP1413" i="1"/>
  <c r="BP1416" i="1"/>
  <c r="BP1454" i="1"/>
  <c r="BP1407" i="1"/>
  <c r="BP1409" i="1"/>
  <c r="BP1411" i="1"/>
  <c r="BP1408" i="1"/>
  <c r="BP1410" i="1"/>
  <c r="BP1403" i="1"/>
  <c r="BP1402" i="1"/>
  <c r="BP1401" i="1"/>
  <c r="BP1404" i="1"/>
  <c r="BP1405" i="1"/>
  <c r="BP1396" i="1"/>
  <c r="BP1395" i="1"/>
  <c r="BP1398" i="1"/>
  <c r="BP1397" i="1"/>
  <c r="BP1399" i="1"/>
  <c r="BP1389" i="1"/>
  <c r="BP1393" i="1"/>
  <c r="BP1390" i="1"/>
  <c r="BP1392" i="1"/>
  <c r="BP1391" i="1"/>
  <c r="BP1385" i="1"/>
  <c r="BP1387" i="1"/>
  <c r="BP1384" i="1"/>
  <c r="BP1386" i="1"/>
  <c r="BP1383" i="1"/>
  <c r="BP1378" i="1"/>
  <c r="BP1381" i="1"/>
  <c r="BP1377" i="1"/>
  <c r="BP1380" i="1"/>
  <c r="BP1379" i="1"/>
  <c r="BP1372" i="1"/>
  <c r="BP1374" i="1"/>
  <c r="BP1375" i="1"/>
  <c r="BP1371" i="1"/>
  <c r="BP1373" i="1"/>
  <c r="BP2705" i="1"/>
  <c r="BP2706" i="1"/>
  <c r="BP2707" i="1"/>
  <c r="BP2704" i="1"/>
  <c r="BP2708" i="1"/>
  <c r="BP2700" i="1"/>
  <c r="BP2701" i="1"/>
  <c r="BP2702" i="1"/>
  <c r="BP2698" i="1"/>
  <c r="BP2699" i="1"/>
  <c r="BP2703" i="1"/>
  <c r="BP1493" i="1"/>
  <c r="BP1491" i="1"/>
  <c r="BP1494" i="1"/>
  <c r="BP1495" i="1"/>
  <c r="BP1492" i="1"/>
  <c r="BP493" i="1"/>
  <c r="BP499" i="1"/>
  <c r="BP495" i="1"/>
  <c r="BP502" i="1"/>
  <c r="BP500" i="1"/>
  <c r="BP494" i="1"/>
  <c r="BP498" i="1"/>
  <c r="BP501" i="1"/>
  <c r="BP497" i="1"/>
  <c r="BP496" i="1"/>
  <c r="BP492" i="1"/>
  <c r="BP482" i="1"/>
  <c r="BP484" i="1"/>
  <c r="BP488" i="1"/>
  <c r="BP485" i="1"/>
  <c r="BP487" i="1"/>
  <c r="BP483" i="1"/>
  <c r="BP490" i="1"/>
  <c r="BP486" i="1"/>
  <c r="BP491" i="1"/>
  <c r="BP489" i="1"/>
  <c r="AS523" i="1"/>
  <c r="BQ523" i="1"/>
  <c r="BR523" i="1" s="1"/>
  <c r="AS522" i="1"/>
  <c r="BQ522" i="1"/>
  <c r="BR522" i="1" s="1"/>
  <c r="AS519" i="1"/>
  <c r="BQ519" i="1"/>
  <c r="BR519" i="1" s="1"/>
  <c r="AS524" i="1"/>
  <c r="BQ524" i="1"/>
  <c r="BR524" i="1" s="1"/>
  <c r="AS520" i="1"/>
  <c r="BQ520" i="1"/>
  <c r="BR520" i="1" s="1"/>
  <c r="AS525" i="1"/>
  <c r="BQ525" i="1"/>
  <c r="BR525" i="1" s="1"/>
  <c r="AS518" i="1"/>
  <c r="BQ518" i="1"/>
  <c r="BR518" i="1" s="1"/>
  <c r="AS526" i="1"/>
  <c r="BQ526" i="1"/>
  <c r="BR526" i="1" s="1"/>
  <c r="BP526" i="1"/>
  <c r="BP520" i="1"/>
  <c r="BP519" i="1"/>
  <c r="BP521" i="1"/>
  <c r="BP523" i="1"/>
  <c r="BP525" i="1"/>
  <c r="BP524" i="1"/>
  <c r="BP522" i="1"/>
  <c r="BP518" i="1"/>
  <c r="BP527" i="1"/>
  <c r="AS521" i="1"/>
  <c r="BQ521" i="1"/>
  <c r="BR521" i="1" s="1"/>
  <c r="AS527" i="1"/>
  <c r="BQ527" i="1"/>
  <c r="BR527" i="1" s="1"/>
  <c r="AS79" i="1"/>
  <c r="BQ79" i="1"/>
  <c r="BR79" i="1" s="1"/>
  <c r="AS82" i="1"/>
  <c r="BQ82" i="1"/>
  <c r="BR82" i="1" s="1"/>
  <c r="AS77" i="1"/>
  <c r="BQ77" i="1"/>
  <c r="BR77" i="1" s="1"/>
  <c r="BP76" i="1"/>
  <c r="BP81" i="1"/>
  <c r="BP74" i="1"/>
  <c r="BP82" i="1"/>
  <c r="BP80" i="1"/>
  <c r="BP75" i="1"/>
  <c r="BP83" i="1"/>
  <c r="BP77" i="1"/>
  <c r="BP78" i="1"/>
  <c r="BP79" i="1"/>
  <c r="AS83" i="1"/>
  <c r="BQ83" i="1"/>
  <c r="BR83" i="1" s="1"/>
  <c r="AS80" i="1"/>
  <c r="BQ80" i="1"/>
  <c r="BR80" i="1" s="1"/>
  <c r="AS74" i="1"/>
  <c r="BQ74" i="1"/>
  <c r="BR74" i="1" s="1"/>
  <c r="AS81" i="1"/>
  <c r="BQ81" i="1"/>
  <c r="BR81" i="1" s="1"/>
  <c r="AS75" i="1"/>
  <c r="BQ75" i="1"/>
  <c r="BR75" i="1" s="1"/>
  <c r="AS78" i="1"/>
  <c r="BQ78" i="1"/>
  <c r="BR78" i="1" s="1"/>
  <c r="AS76" i="1"/>
  <c r="BQ76" i="1"/>
  <c r="BR76" i="1" s="1"/>
  <c r="AS68" i="1"/>
  <c r="BQ68" i="1"/>
  <c r="BR68" i="1" s="1"/>
  <c r="AS69" i="1"/>
  <c r="BQ69" i="1"/>
  <c r="BR69" i="1" s="1"/>
  <c r="AS64" i="1"/>
  <c r="BQ64" i="1"/>
  <c r="BR64" i="1" s="1"/>
  <c r="AS71" i="1"/>
  <c r="BQ71" i="1"/>
  <c r="BR71" i="1" s="1"/>
  <c r="AS67" i="1"/>
  <c r="BQ67" i="1"/>
  <c r="BR67" i="1" s="1"/>
  <c r="AS72" i="1"/>
  <c r="BQ72" i="1"/>
  <c r="BR72" i="1" s="1"/>
  <c r="AS63" i="1"/>
  <c r="BQ63" i="1"/>
  <c r="BR63" i="1" s="1"/>
  <c r="AS70" i="1"/>
  <c r="BQ70" i="1"/>
  <c r="BR70" i="1" s="1"/>
  <c r="AS65" i="1"/>
  <c r="BQ65" i="1"/>
  <c r="BR65" i="1" s="1"/>
  <c r="BP67" i="1"/>
  <c r="BP64" i="1"/>
  <c r="BP68" i="1"/>
  <c r="BP70" i="1"/>
  <c r="BP71" i="1"/>
  <c r="BP69" i="1"/>
  <c r="BP66" i="1"/>
  <c r="BP65" i="1"/>
  <c r="BP63" i="1"/>
  <c r="BP72" i="1"/>
  <c r="AS66" i="1"/>
  <c r="BQ66" i="1"/>
  <c r="BR66" i="1" s="1"/>
  <c r="BP656" i="1"/>
  <c r="BP652" i="1"/>
  <c r="BP659" i="1"/>
  <c r="BP657" i="1"/>
  <c r="BP654" i="1"/>
  <c r="BP653" i="1"/>
  <c r="BP658" i="1"/>
  <c r="BP655" i="1"/>
  <c r="BP660" i="1"/>
  <c r="BP651" i="1"/>
  <c r="BP648" i="1"/>
  <c r="BP641" i="1"/>
  <c r="BP646" i="1"/>
  <c r="BP645" i="1"/>
  <c r="BP640" i="1"/>
  <c r="BP649" i="1"/>
  <c r="BP644" i="1"/>
  <c r="BP643" i="1"/>
  <c r="BP642" i="1"/>
  <c r="BP647" i="1"/>
  <c r="BP635" i="1"/>
  <c r="BP631" i="1"/>
  <c r="BP632" i="1"/>
  <c r="BP629" i="1"/>
  <c r="BP637" i="1"/>
  <c r="BP636" i="1"/>
  <c r="BP638" i="1"/>
  <c r="BP630" i="1"/>
  <c r="BP633" i="1"/>
  <c r="BP634" i="1"/>
  <c r="BP626" i="1"/>
  <c r="BP621" i="1"/>
  <c r="BP625" i="1"/>
  <c r="BP619" i="1"/>
  <c r="BP620" i="1"/>
  <c r="BP624" i="1"/>
  <c r="BP623" i="1"/>
  <c r="BP627" i="1"/>
  <c r="BP618" i="1"/>
  <c r="BP622" i="1"/>
  <c r="BP650" i="1"/>
  <c r="BP614" i="1"/>
  <c r="BP611" i="1"/>
  <c r="BP615" i="1"/>
  <c r="BP612" i="1"/>
  <c r="BP608" i="1"/>
  <c r="BP609" i="1"/>
  <c r="BP607" i="1"/>
  <c r="BP613" i="1"/>
  <c r="BP616" i="1"/>
  <c r="BP610" i="1"/>
  <c r="BP826" i="1"/>
  <c r="BP828" i="1"/>
  <c r="BP836" i="1"/>
  <c r="BP830" i="1"/>
  <c r="BP832" i="1"/>
  <c r="BP829" i="1"/>
  <c r="BP833" i="1"/>
  <c r="BP834" i="1"/>
  <c r="BP827" i="1"/>
  <c r="BP835" i="1"/>
  <c r="BP831" i="1"/>
  <c r="BP824" i="1"/>
  <c r="BP821" i="1"/>
  <c r="BP817" i="1"/>
  <c r="BP825" i="1"/>
  <c r="BP818" i="1"/>
  <c r="BP816" i="1"/>
  <c r="BP822" i="1"/>
  <c r="BP819" i="1"/>
  <c r="BP820" i="1"/>
  <c r="BP823" i="1"/>
  <c r="BP808" i="1"/>
  <c r="BP814" i="1"/>
  <c r="BP807" i="1"/>
  <c r="BP806" i="1"/>
  <c r="BP805" i="1"/>
  <c r="BP813" i="1"/>
  <c r="BP812" i="1"/>
  <c r="BP811" i="1"/>
  <c r="BP810" i="1"/>
  <c r="BP809" i="1"/>
  <c r="BP800" i="1"/>
  <c r="BP802" i="1"/>
  <c r="BP799" i="1"/>
  <c r="BP795" i="1"/>
  <c r="BP803" i="1"/>
  <c r="BP798" i="1"/>
  <c r="BP796" i="1"/>
  <c r="BP801" i="1"/>
  <c r="BP797" i="1"/>
  <c r="BP794" i="1"/>
  <c r="BP1001" i="1"/>
  <c r="BP995" i="1"/>
  <c r="BP993" i="1"/>
  <c r="BP996" i="1"/>
  <c r="BP999" i="1"/>
  <c r="BP992" i="1"/>
  <c r="BP997" i="1"/>
  <c r="BP1000" i="1"/>
  <c r="BP994" i="1"/>
  <c r="BP998" i="1"/>
  <c r="BP983" i="1"/>
  <c r="BP986" i="1"/>
  <c r="BP990" i="1"/>
  <c r="BP988" i="1"/>
  <c r="BP989" i="1"/>
  <c r="BP982" i="1"/>
  <c r="BP981" i="1"/>
  <c r="BP984" i="1"/>
  <c r="BP985" i="1"/>
  <c r="BP987" i="1"/>
  <c r="BP974" i="1"/>
  <c r="BP979" i="1"/>
  <c r="BP971" i="1"/>
  <c r="BP976" i="1"/>
  <c r="BP978" i="1"/>
  <c r="BP975" i="1"/>
  <c r="BP977" i="1"/>
  <c r="BP973" i="1"/>
  <c r="BP970" i="1"/>
  <c r="BP972" i="1"/>
  <c r="BP961" i="1"/>
  <c r="BP959" i="1"/>
  <c r="BP965" i="1"/>
  <c r="BP963" i="1"/>
  <c r="BP967" i="1"/>
  <c r="BP960" i="1"/>
  <c r="BP964" i="1"/>
  <c r="BP966" i="1"/>
  <c r="BP968" i="1"/>
  <c r="BP962" i="1"/>
  <c r="BP948" i="1"/>
  <c r="BP949" i="1"/>
  <c r="BP957" i="1"/>
  <c r="BP950" i="1"/>
  <c r="BP955" i="1"/>
  <c r="BP951" i="1"/>
  <c r="BP953" i="1"/>
  <c r="BP954" i="1"/>
  <c r="BP952" i="1"/>
  <c r="BP956" i="1"/>
  <c r="BP938" i="1"/>
  <c r="BP942" i="1"/>
  <c r="BP937" i="1"/>
  <c r="BP940" i="1"/>
  <c r="BP939" i="1"/>
  <c r="BP946" i="1"/>
  <c r="BP941" i="1"/>
  <c r="BP944" i="1"/>
  <c r="BP943" i="1"/>
  <c r="BP945" i="1"/>
  <c r="BP934" i="1"/>
  <c r="BP929" i="1"/>
  <c r="BP928" i="1"/>
  <c r="BP933" i="1"/>
  <c r="BP935" i="1"/>
  <c r="BP927" i="1"/>
  <c r="BP932" i="1"/>
  <c r="BP930" i="1"/>
  <c r="BP931" i="1"/>
  <c r="BP926" i="1"/>
  <c r="BP924" i="1"/>
  <c r="BP920" i="1"/>
  <c r="BP923" i="1"/>
  <c r="BP919" i="1"/>
  <c r="BP915" i="1"/>
  <c r="BP922" i="1"/>
  <c r="BP921" i="1"/>
  <c r="BP916" i="1"/>
  <c r="BP917" i="1"/>
  <c r="BP918" i="1"/>
  <c r="BP991" i="1"/>
  <c r="BP910" i="1"/>
  <c r="BP908" i="1"/>
  <c r="BP904" i="1"/>
  <c r="BP907" i="1"/>
  <c r="BP906" i="1"/>
  <c r="BP912" i="1"/>
  <c r="BP911" i="1"/>
  <c r="BP913" i="1"/>
  <c r="BP909" i="1"/>
  <c r="BP905" i="1"/>
  <c r="BP893" i="1"/>
  <c r="BP896" i="1"/>
  <c r="BP898" i="1"/>
  <c r="BP900" i="1"/>
  <c r="BP897" i="1"/>
  <c r="BP894" i="1"/>
  <c r="BP901" i="1"/>
  <c r="BP895" i="1"/>
  <c r="BP899" i="1"/>
  <c r="BP902" i="1"/>
  <c r="BP888" i="1"/>
  <c r="BP883" i="1"/>
  <c r="BP887" i="1"/>
  <c r="BP891" i="1"/>
  <c r="BP890" i="1"/>
  <c r="BP882" i="1"/>
  <c r="BP886" i="1"/>
  <c r="BP889" i="1"/>
  <c r="BP885" i="1"/>
  <c r="BP884" i="1"/>
  <c r="BP879" i="1"/>
  <c r="BP876" i="1"/>
  <c r="BP872" i="1"/>
  <c r="BP878" i="1"/>
  <c r="BP877" i="1"/>
  <c r="BP875" i="1"/>
  <c r="BP871" i="1"/>
  <c r="BP873" i="1"/>
  <c r="BP874" i="1"/>
  <c r="BP880" i="1"/>
  <c r="BP861" i="1"/>
  <c r="BP868" i="1"/>
  <c r="BP867" i="1"/>
  <c r="BP863" i="1"/>
  <c r="BP869" i="1"/>
  <c r="BP864" i="1"/>
  <c r="BP862" i="1"/>
  <c r="BP860" i="1"/>
  <c r="BP865" i="1"/>
  <c r="BP866" i="1"/>
  <c r="BP851" i="1"/>
  <c r="BP850" i="1"/>
  <c r="BP852" i="1"/>
  <c r="BP849" i="1"/>
  <c r="BP856" i="1"/>
  <c r="BP857" i="1"/>
  <c r="BP858" i="1"/>
  <c r="BP853" i="1"/>
  <c r="BP855" i="1"/>
  <c r="BP854" i="1"/>
  <c r="BP843" i="1"/>
  <c r="BP847" i="1"/>
  <c r="BP838" i="1"/>
  <c r="BP841" i="1"/>
  <c r="BP845" i="1"/>
  <c r="BP842" i="1"/>
  <c r="BP844" i="1"/>
  <c r="BP846" i="1"/>
  <c r="BP840" i="1"/>
  <c r="BP839" i="1"/>
  <c r="BP1013" i="1"/>
  <c r="BP2687" i="1"/>
  <c r="BP2572" i="1"/>
  <c r="BP1024" i="1"/>
  <c r="BP1035" i="1"/>
  <c r="BP1068" i="1"/>
  <c r="BP2649" i="1"/>
  <c r="BP1057" i="1"/>
  <c r="BP2640" i="1"/>
  <c r="BP2642" i="1"/>
  <c r="BP2645" i="1"/>
  <c r="BP2644" i="1"/>
  <c r="BP2639" i="1"/>
  <c r="BP2648" i="1"/>
  <c r="BP2643" i="1"/>
  <c r="BP2647" i="1"/>
  <c r="BP2646" i="1"/>
  <c r="BP2641" i="1"/>
  <c r="BP1047" i="1"/>
  <c r="BP1050" i="1"/>
  <c r="BP1051" i="1"/>
  <c r="BP1054" i="1"/>
  <c r="BP1052" i="1"/>
  <c r="BP1056" i="1"/>
  <c r="BP1049" i="1"/>
  <c r="BP1048" i="1"/>
  <c r="BP1053" i="1"/>
  <c r="BP1055" i="1"/>
  <c r="BP1006" i="1"/>
  <c r="BP1009" i="1"/>
  <c r="BP1005" i="1"/>
  <c r="BP1012" i="1"/>
  <c r="BP1007" i="1"/>
  <c r="BP1004" i="1"/>
  <c r="BP1003" i="1"/>
  <c r="BP1010" i="1"/>
  <c r="BP1008" i="1"/>
  <c r="BP1011" i="1"/>
  <c r="BP1026" i="1"/>
  <c r="BP1028" i="1"/>
  <c r="BP1031" i="1"/>
  <c r="BP1030" i="1"/>
  <c r="BP1034" i="1"/>
  <c r="BP1029" i="1"/>
  <c r="BP1027" i="1"/>
  <c r="BP1033" i="1"/>
  <c r="BP1032" i="1"/>
  <c r="BP1025" i="1"/>
  <c r="BP2035" i="1"/>
  <c r="BP2029" i="1"/>
  <c r="BP2030" i="1"/>
  <c r="BP1205" i="1"/>
  <c r="BP1206" i="1"/>
  <c r="BP143" i="1"/>
  <c r="BP1594" i="1"/>
  <c r="BP2033" i="1"/>
  <c r="BP513" i="1"/>
  <c r="BP2032" i="1"/>
  <c r="BP514" i="1"/>
  <c r="BP1593" i="1"/>
  <c r="BP140" i="1"/>
  <c r="BP141" i="1"/>
  <c r="BP152" i="1"/>
  <c r="BP137" i="1"/>
  <c r="BP153" i="1"/>
  <c r="BP138" i="1"/>
  <c r="BP149" i="1"/>
  <c r="BP150" i="1"/>
  <c r="BP131" i="1"/>
  <c r="BP132" i="1"/>
  <c r="BP92" i="1"/>
  <c r="BP93" i="1"/>
  <c r="BP102" i="1"/>
  <c r="BP101" i="1"/>
  <c r="BP7" i="1"/>
  <c r="BP98" i="1"/>
  <c r="BP99" i="1"/>
  <c r="BP12" i="1"/>
  <c r="BP39" i="1"/>
  <c r="BP38" i="1"/>
  <c r="BP9" i="1"/>
  <c r="BP10" i="1"/>
  <c r="BP8" i="1"/>
  <c r="BP36" i="1"/>
  <c r="BP3" i="1"/>
  <c r="BP35" i="1"/>
  <c r="BP29" i="1"/>
  <c r="BP30" i="1"/>
  <c r="BP13" i="1"/>
  <c r="BP5" i="1"/>
  <c r="BP24" i="1"/>
  <c r="BP23" i="1"/>
  <c r="BP17" i="1"/>
  <c r="BP18" i="1"/>
  <c r="BP2674" i="1"/>
  <c r="BP2673" i="1"/>
  <c r="BP2672" i="1"/>
  <c r="BP2671" i="1"/>
  <c r="BP228" i="1"/>
  <c r="BP227" i="1"/>
  <c r="BP511" i="1"/>
  <c r="BP510" i="1"/>
  <c r="AS510" i="1"/>
  <c r="BQ510" i="1"/>
  <c r="BR510" i="1" s="1"/>
  <c r="AS511" i="1"/>
  <c r="BQ511" i="1"/>
  <c r="BR511" i="1" s="1"/>
  <c r="BP57" i="1"/>
  <c r="BP56" i="1"/>
  <c r="AS57" i="1"/>
  <c r="BQ57" i="1"/>
  <c r="BR57" i="1" s="1"/>
  <c r="AS56" i="1"/>
  <c r="BQ56" i="1"/>
  <c r="BR56" i="1" s="1"/>
  <c r="BP53" i="1"/>
  <c r="BP54" i="1"/>
  <c r="AS54" i="1"/>
  <c r="BQ54" i="1"/>
  <c r="BR54" i="1" s="1"/>
  <c r="AS53" i="1"/>
  <c r="BQ53" i="1"/>
  <c r="BR53" i="1" s="1"/>
  <c r="BP115" i="1"/>
  <c r="BP116" i="1"/>
  <c r="BP113" i="1"/>
  <c r="BP114" i="1"/>
  <c r="BP1521" i="1"/>
  <c r="BP110" i="1"/>
  <c r="BP111" i="1"/>
  <c r="BP108" i="1"/>
  <c r="BP107" i="1"/>
  <c r="BP105" i="1"/>
  <c r="BP104" i="1"/>
  <c r="BP90" i="1"/>
  <c r="BP89" i="1"/>
  <c r="BP86" i="1"/>
  <c r="BP87" i="1"/>
  <c r="BP163" i="1"/>
  <c r="BP164" i="1"/>
  <c r="BP161" i="1"/>
  <c r="BP160" i="1"/>
  <c r="BP125" i="1"/>
  <c r="BP126" i="1"/>
  <c r="BP123" i="1"/>
  <c r="BP122" i="1"/>
  <c r="BP120" i="1"/>
  <c r="BP119" i="1"/>
  <c r="BP208" i="1"/>
  <c r="BP209" i="1"/>
  <c r="BP205" i="1"/>
  <c r="BP206" i="1"/>
  <c r="BP204" i="1"/>
  <c r="BP203" i="1"/>
  <c r="BP200" i="1"/>
  <c r="BP201" i="1"/>
  <c r="BP197" i="1"/>
  <c r="BP198" i="1"/>
  <c r="BP195" i="1"/>
  <c r="BP194" i="1"/>
  <c r="BP191" i="1"/>
  <c r="BP192" i="1"/>
  <c r="BP189" i="1"/>
  <c r="BP188" i="1"/>
  <c r="BP1943" i="1"/>
  <c r="BP186" i="1"/>
  <c r="BP185" i="1"/>
  <c r="BP182" i="1"/>
  <c r="BP183" i="1"/>
  <c r="BP179" i="1"/>
  <c r="BP180" i="1"/>
  <c r="BP1346" i="1"/>
  <c r="BP2291" i="1"/>
  <c r="BP121" i="1"/>
  <c r="BP1527" i="1"/>
  <c r="BP235" i="1"/>
  <c r="BP177" i="1"/>
  <c r="BP176" i="1"/>
  <c r="BP174" i="1"/>
  <c r="BP173" i="1"/>
  <c r="BP171" i="1"/>
  <c r="BP170" i="1"/>
  <c r="BP167" i="1"/>
  <c r="BP168" i="1"/>
  <c r="BP166" i="1"/>
  <c r="BP49" i="1"/>
  <c r="BP50" i="1"/>
  <c r="BP2303" i="1"/>
  <c r="BP19" i="1"/>
  <c r="BP1075" i="1"/>
  <c r="BP1340" i="1"/>
  <c r="BP2309" i="1"/>
  <c r="BP14" i="1"/>
  <c r="BP1953" i="1"/>
  <c r="BP1352" i="1"/>
  <c r="BP1069" i="1"/>
  <c r="BP1948" i="1"/>
  <c r="BP2297" i="1"/>
  <c r="BP2477" i="1"/>
  <c r="BP1782" i="1"/>
  <c r="BP1958" i="1"/>
  <c r="BP2306" i="1"/>
  <c r="BP88" i="1"/>
  <c r="BP234" i="1"/>
  <c r="BP1656" i="1"/>
  <c r="BP2110" i="1"/>
  <c r="BP2300" i="1"/>
  <c r="BP2312" i="1"/>
  <c r="BP2294" i="1"/>
  <c r="BP1788" i="1"/>
  <c r="BP1662" i="1"/>
  <c r="BP2105" i="1"/>
  <c r="BP2115" i="1"/>
  <c r="BP47" i="1"/>
  <c r="BP48" i="1"/>
  <c r="BP44" i="1"/>
  <c r="BP45" i="1"/>
  <c r="BP41" i="1"/>
  <c r="BP42" i="1"/>
  <c r="BP26" i="1"/>
  <c r="BP27" i="1"/>
  <c r="BP2324" i="1"/>
  <c r="BP20" i="1"/>
  <c r="BP21" i="1"/>
  <c r="BP16" i="1"/>
  <c r="BP15" i="1"/>
  <c r="BP2382" i="1"/>
  <c r="BP793" i="1"/>
  <c r="BP804" i="1"/>
  <c r="AS61" i="1"/>
  <c r="BQ61" i="1"/>
  <c r="BR61" i="1" s="1"/>
  <c r="BQ55" i="1"/>
  <c r="BR55" i="1" s="1"/>
  <c r="AS55" i="1"/>
  <c r="AS272" i="1"/>
  <c r="BQ272" i="1"/>
  <c r="BR272" i="1" s="1"/>
  <c r="AS259" i="1"/>
  <c r="BQ259" i="1"/>
  <c r="BR259" i="1" s="1"/>
  <c r="AS277" i="1"/>
  <c r="BQ277" i="1"/>
  <c r="BR277" i="1" s="1"/>
  <c r="AS62" i="1"/>
  <c r="BQ62" i="1"/>
  <c r="BR62" i="1" s="1"/>
  <c r="BQ52" i="1"/>
  <c r="BR52" i="1" s="1"/>
  <c r="AS52" i="1"/>
  <c r="AS84" i="1"/>
  <c r="BQ84" i="1"/>
  <c r="BR84" i="1" s="1"/>
  <c r="AS503" i="1"/>
  <c r="BQ503" i="1"/>
  <c r="BR503" i="1" s="1"/>
  <c r="AS509" i="1"/>
  <c r="BQ509" i="1"/>
  <c r="BR509" i="1" s="1"/>
  <c r="AS60" i="1"/>
  <c r="BQ60" i="1"/>
  <c r="BR60" i="1" s="1"/>
  <c r="AS271" i="1"/>
  <c r="BQ271" i="1"/>
  <c r="BR271" i="1" s="1"/>
  <c r="AS258" i="1"/>
  <c r="BQ258" i="1"/>
  <c r="BR258" i="1" s="1"/>
  <c r="AS506" i="1"/>
  <c r="BQ506" i="1"/>
  <c r="BR506" i="1" s="1"/>
  <c r="AS73" i="1"/>
  <c r="BQ73" i="1"/>
  <c r="BR73" i="1" s="1"/>
  <c r="AS265" i="1"/>
  <c r="BQ265" i="1"/>
  <c r="BR265" i="1" s="1"/>
  <c r="AS252" i="1"/>
  <c r="BQ252" i="1"/>
  <c r="BR252" i="1" s="1"/>
  <c r="AS246" i="1"/>
  <c r="BQ246" i="1"/>
  <c r="BR246" i="1" s="1"/>
  <c r="AS58" i="1"/>
  <c r="BQ58" i="1"/>
  <c r="BR58" i="1" s="1"/>
  <c r="AS59" i="1"/>
  <c r="BQ59" i="1"/>
  <c r="BR59" i="1" s="1"/>
  <c r="BP2230" i="1"/>
  <c r="BP1424" i="1"/>
  <c r="BP314" i="1"/>
  <c r="BP1680" i="1"/>
  <c r="BP84" i="1"/>
  <c r="BP1442" i="1"/>
  <c r="BP252" i="1"/>
  <c r="BP265" i="1"/>
  <c r="BP2522" i="1"/>
  <c r="BP1866" i="1"/>
  <c r="BP947" i="1"/>
  <c r="BP196" i="1"/>
  <c r="BP2419" i="1"/>
  <c r="BP1262" i="1"/>
  <c r="BP617" i="1"/>
  <c r="BP277" i="1"/>
  <c r="BP59" i="1"/>
  <c r="BP2175" i="1"/>
  <c r="BP246" i="1"/>
  <c r="BP958" i="1"/>
  <c r="BP244" i="1"/>
  <c r="BP317" i="1"/>
  <c r="BP319" i="1"/>
  <c r="BP2240" i="1"/>
  <c r="BP1436" i="1"/>
  <c r="BP316" i="1"/>
  <c r="BP1692" i="1"/>
  <c r="BP288" i="1"/>
  <c r="BP1153" i="1"/>
  <c r="BP258" i="1"/>
  <c r="BP509" i="1"/>
  <c r="BP62" i="1"/>
  <c r="BP2525" i="1"/>
  <c r="BP58" i="1"/>
  <c r="BP286" i="1"/>
  <c r="BP2528" i="1"/>
  <c r="BP1878" i="1"/>
  <c r="BP969" i="1"/>
  <c r="BP202" i="1"/>
  <c r="BP1244" i="1"/>
  <c r="BP2080" i="1"/>
  <c r="BP481" i="1"/>
  <c r="BP2250" i="1"/>
  <c r="BP1448" i="1"/>
  <c r="BP318" i="1"/>
  <c r="BP2443" i="1"/>
  <c r="BP2085" i="1"/>
  <c r="BP639" i="1"/>
  <c r="BP285" i="1"/>
  <c r="BP271" i="1"/>
  <c r="BP60" i="1"/>
  <c r="BP199" i="1"/>
  <c r="BP628" i="1"/>
  <c r="BP2245" i="1"/>
  <c r="BP2090" i="1"/>
  <c r="BP210" i="1"/>
  <c r="BP1256" i="1"/>
  <c r="BP1872" i="1"/>
  <c r="BP304" i="1"/>
  <c r="BP2519" i="1"/>
  <c r="BP1860" i="1"/>
  <c r="BP936" i="1"/>
  <c r="BP193" i="1"/>
  <c r="BP2416" i="1"/>
  <c r="BP606" i="1"/>
  <c r="BP503" i="1"/>
  <c r="BP73" i="1"/>
  <c r="BP2422" i="1"/>
  <c r="BP245" i="1"/>
  <c r="BP272" i="1"/>
  <c r="BP1794" i="1"/>
  <c r="BP2235" i="1"/>
  <c r="BP1430" i="1"/>
  <c r="BP315" i="1"/>
  <c r="BP2095" i="1"/>
  <c r="BP1686" i="1"/>
  <c r="BP287" i="1"/>
  <c r="BP2486" i="1"/>
  <c r="BP1358" i="1"/>
  <c r="BP303" i="1"/>
  <c r="BP259" i="1"/>
  <c r="BP284" i="1"/>
  <c r="BP2531" i="1"/>
  <c r="BP1884" i="1"/>
  <c r="BP980" i="1"/>
  <c r="BP207" i="1"/>
  <c r="BP1698" i="1"/>
  <c r="BP1250" i="1"/>
  <c r="BP2003" i="1"/>
  <c r="BP506" i="1"/>
  <c r="BP61" i="1"/>
  <c r="BP1002" i="1"/>
  <c r="BP2676" i="1"/>
  <c r="BP2734" i="1"/>
  <c r="BP2675" i="1"/>
  <c r="BP2613" i="1"/>
  <c r="BP2638" i="1"/>
  <c r="BP2655" i="1"/>
  <c r="BP2666" i="1"/>
  <c r="BP2661" i="1"/>
  <c r="BP2637" i="1"/>
  <c r="BP1854" i="1"/>
  <c r="BP925" i="1"/>
  <c r="BP1848" i="1"/>
  <c r="BP2225" i="1"/>
  <c r="BP1842" i="1"/>
  <c r="BP1418" i="1"/>
  <c r="BP311" i="1"/>
  <c r="BP2510" i="1"/>
  <c r="BP313" i="1"/>
  <c r="BP1406" i="1"/>
  <c r="BP2215" i="1"/>
  <c r="BP903" i="1"/>
  <c r="BP190" i="1"/>
  <c r="BP2516" i="1"/>
  <c r="BP187" i="1"/>
  <c r="BP2220" i="1"/>
  <c r="BP2513" i="1"/>
  <c r="BP312" i="1"/>
  <c r="BP184" i="1"/>
  <c r="BP914" i="1"/>
  <c r="BP1412" i="1"/>
  <c r="BP2285" i="1"/>
  <c r="BP2549" i="1"/>
  <c r="BP51" i="1"/>
  <c r="BP815" i="1"/>
  <c r="BP2597" i="1"/>
  <c r="BP85" i="1"/>
  <c r="BP52" i="1"/>
  <c r="BP1581" i="1"/>
  <c r="BP55" i="1"/>
  <c r="BP2333" i="1"/>
  <c r="BP46" i="1"/>
  <c r="BP91" i="1"/>
  <c r="BP1926" i="1"/>
  <c r="BP1046" i="1"/>
  <c r="BP325" i="1"/>
  <c r="BP1490" i="1"/>
  <c r="BP226" i="1"/>
  <c r="BP2556" i="1"/>
  <c r="BP2670" i="1"/>
  <c r="BP2425" i="1"/>
  <c r="BP2428" i="1"/>
  <c r="BP2070" i="1"/>
  <c r="BP2075" i="1"/>
  <c r="BP1668" i="1"/>
  <c r="BP1674" i="1"/>
  <c r="BP1232" i="1"/>
  <c r="BP1238" i="1"/>
  <c r="BP584" i="1"/>
  <c r="BP595" i="1"/>
  <c r="BP282" i="1"/>
  <c r="BP283" i="1"/>
  <c r="BP1993" i="1"/>
  <c r="BP1998" i="1"/>
  <c r="BP25" i="1"/>
  <c r="BP43" i="1"/>
  <c r="BP2318" i="1"/>
  <c r="BP40" i="1"/>
  <c r="BP22" i="1"/>
  <c r="BP169" i="1"/>
  <c r="BP172" i="1"/>
  <c r="BP178" i="1"/>
  <c r="BP181" i="1"/>
  <c r="BP175" i="1"/>
  <c r="BP239" i="1"/>
  <c r="BP2315" i="1"/>
  <c r="BP124" i="1"/>
  <c r="BP118" i="1"/>
  <c r="BP117" i="1"/>
  <c r="BP112" i="1"/>
  <c r="BP109" i="1"/>
  <c r="BP106" i="1"/>
  <c r="BP103" i="1"/>
  <c r="BP100" i="1"/>
  <c r="BP97" i="1"/>
  <c r="BP162" i="1"/>
  <c r="BP165" i="1"/>
  <c r="BQ1933" i="1"/>
  <c r="BQ327" i="1"/>
  <c r="BQ2297" i="1"/>
  <c r="BQ232" i="1"/>
  <c r="BQ1497" i="1"/>
  <c r="BQ1069" i="1"/>
  <c r="BQ4" i="1"/>
  <c r="BP233" i="1"/>
  <c r="BP305" i="1"/>
  <c r="BP1836" i="1"/>
  <c r="BP1830" i="1"/>
  <c r="BP310" i="1"/>
  <c r="BP308" i="1"/>
  <c r="BP1824" i="1"/>
  <c r="BP309" i="1"/>
  <c r="BP1818" i="1"/>
  <c r="BP1812" i="1"/>
  <c r="BP307" i="1"/>
  <c r="BP1806" i="1"/>
  <c r="BP306" i="1"/>
  <c r="BP2498" i="1"/>
  <c r="BP2210" i="1"/>
  <c r="BP2495" i="1"/>
  <c r="BP2205" i="1"/>
  <c r="BP1382" i="1"/>
  <c r="BP892" i="1"/>
  <c r="BP2492" i="1"/>
  <c r="BP2200" i="1"/>
  <c r="BP1376" i="1"/>
  <c r="BP881" i="1"/>
  <c r="BP2195" i="1"/>
  <c r="BP1370" i="1"/>
  <c r="BP870" i="1"/>
  <c r="BP2190" i="1"/>
  <c r="BP859" i="1"/>
  <c r="BP2504" i="1"/>
  <c r="BP2507" i="1"/>
  <c r="BP2185" i="1"/>
  <c r="BP848" i="1"/>
  <c r="BP1400" i="1"/>
  <c r="BP837" i="1"/>
  <c r="BP2501" i="1"/>
  <c r="BP1394" i="1"/>
  <c r="BP1388" i="1"/>
  <c r="BQ310" i="1"/>
  <c r="BR310" i="1" s="1"/>
  <c r="BQ1830" i="1"/>
  <c r="BR1830" i="1" s="1"/>
  <c r="BQ1836" i="1"/>
  <c r="BR1836" i="1" s="1"/>
  <c r="BQ308" i="1"/>
  <c r="BR308" i="1" s="1"/>
  <c r="BQ307" i="1"/>
  <c r="BR307" i="1" s="1"/>
  <c r="BQ1818" i="1"/>
  <c r="BR1818" i="1" s="1"/>
  <c r="BQ1812" i="1"/>
  <c r="BR1812" i="1" s="1"/>
  <c r="BQ305" i="1"/>
  <c r="BR305" i="1" s="1"/>
  <c r="BQ309" i="1"/>
  <c r="BR309" i="1" s="1"/>
  <c r="BQ306" i="1"/>
  <c r="BR306" i="1" s="1"/>
  <c r="BQ1824" i="1"/>
  <c r="BR1824" i="1" s="1"/>
  <c r="BQ1806" i="1"/>
  <c r="BR1806" i="1" s="1"/>
  <c r="BP2327" i="1"/>
  <c r="BP238" i="1"/>
  <c r="BP1081" i="1"/>
  <c r="BP1087" i="1"/>
  <c r="BP2330" i="1"/>
  <c r="BP232" i="1"/>
  <c r="BQ2495" i="1"/>
  <c r="BR2495" i="1" s="1"/>
  <c r="BR232" i="1" l="1"/>
  <c r="BR1069" i="1"/>
  <c r="BR1497" i="1"/>
  <c r="BR1933" i="1"/>
  <c r="BR327" i="1"/>
  <c r="BR4" i="1"/>
  <c r="BR2297" i="1"/>
  <c r="BQ2498" i="1"/>
  <c r="BR2498" i="1" s="1"/>
  <c r="BQ2507" i="1"/>
  <c r="BR2507" i="1" s="1"/>
  <c r="BQ2504" i="1"/>
  <c r="BR2504" i="1" s="1"/>
  <c r="BN2049" i="1" a="1"/>
  <c r="BN2049" i="1" s="1"/>
  <c r="BI2049" i="1" a="1"/>
  <c r="BI2049" i="1" s="1"/>
  <c r="BL1274" i="1" a="1"/>
  <c r="BL2398" i="1" a="1"/>
  <c r="BL2365" i="1" a="1"/>
  <c r="BL2398" i="1" l="1"/>
  <c r="BL2365" i="1"/>
  <c r="BL1274" i="1"/>
  <c r="BQ2049" i="1"/>
  <c r="BL1958" i="1" a="1"/>
  <c r="BL235" i="1" a="1"/>
  <c r="BL154" i="1" a="1"/>
  <c r="BL393" i="1" a="1"/>
  <c r="BL2120" i="1" a="1"/>
  <c r="BL2031" i="1" a="1"/>
  <c r="BL234" i="1" a="1"/>
  <c r="BL1093" i="1" a="1"/>
  <c r="BL437" i="1" a="1"/>
  <c r="BL300" i="1" a="1"/>
  <c r="BL2037" i="1" a="1"/>
  <c r="BL133" i="1" a="1"/>
  <c r="BL382" i="1" a="1"/>
  <c r="BL1963" i="1" a="1"/>
  <c r="BL1193" i="1" a="1"/>
  <c r="BL2327" i="1" a="1"/>
  <c r="BL240" i="1" a="1"/>
  <c r="BL1316" i="1" a="1"/>
  <c r="BL242" i="1" a="1"/>
  <c r="BL299" i="1" a="1"/>
  <c r="BL760" i="1" a="1"/>
  <c r="BL1170" i="1" a="1"/>
  <c r="BL1334" i="1" a="1"/>
  <c r="BL727" i="1" a="1"/>
  <c r="BL516" i="1" a="1"/>
  <c r="BL145" i="1" a="1"/>
  <c r="BL1141" i="1" a="1"/>
  <c r="BL1193" i="1" l="1"/>
  <c r="BL154" i="1"/>
  <c r="BL235" i="1"/>
  <c r="BL393" i="1"/>
  <c r="BL516" i="1"/>
  <c r="BL300" i="1"/>
  <c r="BL234" i="1"/>
  <c r="BL2031" i="1"/>
  <c r="BL299" i="1"/>
  <c r="BL145" i="1"/>
  <c r="BL437" i="1"/>
  <c r="BL1170" i="1"/>
  <c r="BL727" i="1"/>
  <c r="BL1963" i="1"/>
  <c r="BL2327" i="1"/>
  <c r="BL1334" i="1"/>
  <c r="BL2037" i="1"/>
  <c r="BL382" i="1"/>
  <c r="BL2120" i="1"/>
  <c r="BL1958" i="1"/>
  <c r="BL1316" i="1"/>
  <c r="BL240" i="1"/>
  <c r="BL242" i="1"/>
  <c r="BL760" i="1"/>
  <c r="BL1093" i="1"/>
  <c r="BL1141" i="1"/>
  <c r="BL133" i="1"/>
  <c r="BL2769" i="1"/>
  <c r="BR2049" i="1"/>
  <c r="AC2" i="5"/>
  <c r="X2" i="5"/>
  <c r="BL716" i="1" a="1"/>
  <c r="BL1292" i="1" a="1"/>
  <c r="BL2065" i="1" a="1"/>
  <c r="BL1993" i="1" a="1"/>
  <c r="BL1226" i="1" a="1"/>
  <c r="BL2465" i="1" a="1"/>
  <c r="BL1406" i="1" a="1"/>
  <c r="BL694" i="1" a="1"/>
  <c r="BL1569" i="1" a="1"/>
  <c r="BL1625" i="1" a="1"/>
  <c r="BL1099" i="1" a="1"/>
  <c r="BL1406" i="1" l="1"/>
  <c r="BL1625" i="1"/>
  <c r="BL2065" i="1"/>
  <c r="BL1226" i="1"/>
  <c r="BL1099" i="1"/>
  <c r="BL1993" i="1"/>
  <c r="BL1569" i="1"/>
  <c r="BL694" i="1"/>
  <c r="BL1292" i="1"/>
  <c r="BL716" i="1"/>
  <c r="BL2465" i="1"/>
  <c r="BL2306" i="1" a="1"/>
  <c r="BL1764" i="1" a="1"/>
  <c r="BL2444" i="1" a="1"/>
  <c r="BL1953" i="1" a="1"/>
  <c r="BL1782" i="1" a="1"/>
  <c r="BL292" i="1" a="1"/>
  <c r="BL22" i="1" a="1"/>
  <c r="BL1182" i="1" a="1"/>
  <c r="BL1557" i="1" a="1"/>
  <c r="BL10" i="1" a="1"/>
  <c r="BL1933" i="1" a="1"/>
  <c r="BL1340" i="1" a="1"/>
  <c r="BL2471" i="1" a="1"/>
  <c r="BL1081" i="1" a="1"/>
  <c r="BL1069" i="1" a="1"/>
  <c r="BL1770" i="1" a="1"/>
  <c r="BL34" i="1" a="1"/>
  <c r="BL301" i="1" a="1"/>
  <c r="BL1105" i="1" a="1"/>
  <c r="BL2025" i="1" a="1"/>
  <c r="BL2215" i="1" a="1"/>
  <c r="BL512" i="1" a="1"/>
  <c r="BL1533" i="1" a="1"/>
  <c r="BL1201" i="1" a="1"/>
  <c r="BL1662" i="1" a="1"/>
  <c r="BL459" i="1" a="1"/>
  <c r="BL2297" i="1" a="1"/>
  <c r="BL1776" i="1" a="1"/>
  <c r="BL327" i="1" a="1"/>
  <c r="BL1207" i="1" a="1"/>
  <c r="BL782" i="1" a="1"/>
  <c r="BL1497" i="1" a="1"/>
  <c r="BL94" i="1" a="1"/>
  <c r="BL2135" i="1" a="1"/>
  <c r="BL738" i="1" a="1"/>
  <c r="BL2165" i="1" a="1"/>
  <c r="BL528" i="1" a="1"/>
  <c r="BL2315" i="1" a="1"/>
  <c r="BL1129" i="1" a="1"/>
  <c r="BL289" i="1" a="1"/>
  <c r="BL2049" i="1" a="1"/>
  <c r="BL294" i="1" a="1"/>
  <c r="BL2170" i="1" a="1"/>
  <c r="BL2453" i="1" a="1"/>
  <c r="BL2382" i="1" a="1"/>
  <c r="BL771" i="1" a="1"/>
  <c r="BL2483" i="1" a="1"/>
  <c r="BL40" i="1" a="1"/>
  <c r="BL232" i="1" a="1"/>
  <c r="BL2410" i="1" a="1"/>
  <c r="BL295" i="1" a="1"/>
  <c r="BL1776" i="1" l="1"/>
  <c r="BL1340" i="1"/>
  <c r="BL289" i="1"/>
  <c r="BL2165" i="1"/>
  <c r="BL738" i="1"/>
  <c r="BL459" i="1"/>
  <c r="BL295" i="1"/>
  <c r="BL2410" i="1"/>
  <c r="BL2215" i="1"/>
  <c r="BL22" i="1"/>
  <c r="BL1497" i="1"/>
  <c r="BL294" i="1"/>
  <c r="BL2306" i="1"/>
  <c r="BL1662" i="1"/>
  <c r="BL2444" i="1"/>
  <c r="BL1182" i="1"/>
  <c r="BL2751" i="1" s="1"/>
  <c r="BL1953" i="1"/>
  <c r="BL40" i="1"/>
  <c r="BL232" i="1"/>
  <c r="BL1764" i="1"/>
  <c r="BL2382" i="1"/>
  <c r="BL2483" i="1"/>
  <c r="BL2170" i="1"/>
  <c r="BL2049" i="1"/>
  <c r="BL292" i="1"/>
  <c r="BL34" i="1"/>
  <c r="BL94" i="1"/>
  <c r="BL2025" i="1"/>
  <c r="BL2762" i="1" s="1"/>
  <c r="BL1105" i="1"/>
  <c r="BL327" i="1"/>
  <c r="BL10" i="1"/>
  <c r="BL2453" i="1"/>
  <c r="BL528" i="1"/>
  <c r="BL1533" i="1"/>
  <c r="BL2297" i="1"/>
  <c r="BL1069" i="1"/>
  <c r="BL512" i="1"/>
  <c r="BL1933" i="1"/>
  <c r="BL2135" i="1"/>
  <c r="BL1557" i="1"/>
  <c r="BL1770" i="1"/>
  <c r="BL2315" i="1"/>
  <c r="BL1207" i="1"/>
  <c r="BL301" i="1"/>
  <c r="BL2471" i="1"/>
  <c r="BL1782" i="1"/>
  <c r="BL771" i="1"/>
  <c r="BL782" i="1"/>
  <c r="BL1201" i="1"/>
  <c r="BL1081" i="1"/>
  <c r="BL1129" i="1"/>
  <c r="BL2753" i="1"/>
  <c r="BL1943" i="1" a="1"/>
  <c r="BL2510" i="1" a="1"/>
  <c r="BL2510" i="1" l="1"/>
  <c r="BL1943" i="1"/>
  <c r="BL1788" i="1" a="1"/>
  <c r="BL236" i="1" a="1"/>
  <c r="BL1740" i="1" a="1"/>
  <c r="BL371" i="1" a="1"/>
  <c r="BL903" i="1" a="1"/>
  <c r="BL1983" i="1" a="1"/>
  <c r="BL2130" i="1" a="1"/>
  <c r="BL2459" i="1" a="1"/>
  <c r="BL1527" i="1" a="1"/>
  <c r="BL148" i="1" a="1"/>
  <c r="BL1637" i="1" a="1"/>
  <c r="BL661" i="1" a="1"/>
  <c r="BL4" i="1" a="1"/>
  <c r="BL2291" i="1" a="1"/>
  <c r="BL2017" i="1" a="1"/>
  <c r="BL1310" i="1" a="1"/>
  <c r="BL2303" i="1" a="1"/>
  <c r="BL1545" i="1" a="1"/>
  <c r="BL157" i="1" a="1"/>
  <c r="BL1352" i="1" a="1"/>
  <c r="BL2150" i="1" a="1"/>
  <c r="BL1509" i="1" a="1"/>
  <c r="BL230" i="1" a="1"/>
  <c r="BL1728" i="1" a="1"/>
  <c r="BL1304" i="1" a="1"/>
  <c r="BL1752" i="1" a="1"/>
  <c r="BL238" i="1" a="1"/>
  <c r="BL1346" i="1" a="1"/>
  <c r="BL2440" i="1" a="1"/>
  <c r="BL2321" i="1" a="1"/>
  <c r="BL2160" i="1" a="1"/>
  <c r="BL573" i="1" a="1"/>
  <c r="BL1608" i="1" a="1"/>
  <c r="BL1710" i="1" a="1"/>
  <c r="BL281" i="1" a="1"/>
  <c r="BL804" i="1" a="1"/>
  <c r="BL28" i="1" a="1"/>
  <c r="BL1746" i="1" a="1"/>
  <c r="BL296" i="1" a="1"/>
  <c r="BL298" i="1" a="1"/>
  <c r="BL793" i="1" a="1"/>
  <c r="BL349" i="1" a="1"/>
  <c r="BL2474" i="1" a="1"/>
  <c r="BL1973" i="1" a="1"/>
  <c r="BL2309" i="1" a="1"/>
  <c r="BL1842" i="1" a="1"/>
  <c r="BL302" i="1" a="1"/>
  <c r="BL1521" i="1" a="1"/>
  <c r="BL2105" i="1" a="1"/>
  <c r="BL2480" i="1" a="1"/>
  <c r="BL1328" i="1" a="1"/>
  <c r="BL139" i="1" a="1"/>
  <c r="BL151" i="1" a="1"/>
  <c r="BL14" i="1" a="1"/>
  <c r="BL127" i="1" a="1"/>
  <c r="BL2462" i="1" a="1"/>
  <c r="BL2155" i="1" a="1"/>
  <c r="BL1596" i="1" a="1"/>
  <c r="BL1117" i="1" a="1"/>
  <c r="BL2140" i="1" a="1"/>
  <c r="BL136" i="1" a="1"/>
  <c r="BL2303" i="1" l="1"/>
  <c r="BL151" i="1"/>
  <c r="BL2309" i="1"/>
  <c r="BL2291" i="1"/>
  <c r="BL2017" i="1"/>
  <c r="BL1788" i="1"/>
  <c r="BL1310" i="1"/>
  <c r="BL148" i="1"/>
  <c r="BL236" i="1"/>
  <c r="BL1746" i="1"/>
  <c r="BL127" i="1"/>
  <c r="BL371" i="1"/>
  <c r="BL903" i="1"/>
  <c r="BL298" i="1"/>
  <c r="BL1304" i="1"/>
  <c r="BL661" i="1"/>
  <c r="BL2160" i="1"/>
  <c r="BL302" i="1"/>
  <c r="BL1117" i="1"/>
  <c r="BL2474" i="1"/>
  <c r="BL804" i="1"/>
  <c r="BL1983" i="1"/>
  <c r="BL1608" i="1"/>
  <c r="BL1352" i="1"/>
  <c r="BL1710" i="1"/>
  <c r="BL1842" i="1"/>
  <c r="BL1509" i="1"/>
  <c r="BL1346" i="1"/>
  <c r="BL2462" i="1"/>
  <c r="BL1596" i="1"/>
  <c r="BL2759" i="1" s="1"/>
  <c r="BL2130" i="1"/>
  <c r="BL1728" i="1"/>
  <c r="BL2321" i="1"/>
  <c r="BL157" i="1"/>
  <c r="BL1527" i="1"/>
  <c r="BL2459" i="1"/>
  <c r="BL14" i="1"/>
  <c r="BL1637" i="1"/>
  <c r="BL1740" i="1"/>
  <c r="BL296" i="1"/>
  <c r="BL2105" i="1"/>
  <c r="BL2480" i="1"/>
  <c r="BL1328" i="1"/>
  <c r="BL793" i="1"/>
  <c r="BL230" i="1"/>
  <c r="BL2150" i="1"/>
  <c r="BL349" i="1"/>
  <c r="BL139" i="1"/>
  <c r="BL573" i="1"/>
  <c r="BL1973" i="1"/>
  <c r="BL4" i="1"/>
  <c r="BL2155" i="1"/>
  <c r="BL2140" i="1"/>
  <c r="BL2440" i="1"/>
  <c r="BL238" i="1"/>
  <c r="BL1752" i="1"/>
  <c r="BL1545" i="1"/>
  <c r="BL136" i="1"/>
  <c r="BL28" i="1"/>
  <c r="BL281" i="1"/>
  <c r="BL1521" i="1"/>
  <c r="BL2766" i="1" l="1"/>
  <c r="BL2738" i="1"/>
  <c r="BL2760" i="1"/>
  <c r="BL2737" i="1"/>
  <c r="BL2755" i="1"/>
  <c r="BL27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tc={1EBF1651-0C0C-43C1-9077-6CE6B72C5116}</author>
    <author>Caio Rocha</author>
  </authors>
  <commentList>
    <comment ref="BJ1" authorId="0" shapeId="0" xr:uid="{1EBF1651-0C0C-43C1-9077-6CE6B72C51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Março, alterar a fórmula para AS</t>
      </text>
    </comment>
    <comment ref="A573" authorId="1" shapeId="0" xr:uid="{F4EBEB53-4E56-4DD5-8906-2B4070C48E7E}">
      <text>
        <r>
          <rPr>
            <b/>
            <sz val="9"/>
            <color indexed="81"/>
            <rFont val="Segoe UI"/>
            <family val="2"/>
          </rPr>
          <t>Caio Rocha:</t>
        </r>
        <r>
          <rPr>
            <sz val="9"/>
            <color indexed="81"/>
            <rFont val="Segoe UI"/>
            <family val="2"/>
          </rPr>
          <t xml:space="preserve">
Empresas mensuradas: Meireles, Control e Veman</t>
        </r>
      </text>
    </comment>
    <comment ref="A574" authorId="1" shapeId="0" xr:uid="{66617483-4B73-4157-912A-80219C6ED3B8}">
      <text>
        <r>
          <rPr>
            <b/>
            <sz val="9"/>
            <color indexed="81"/>
            <rFont val="Segoe UI"/>
            <family val="2"/>
          </rPr>
          <t>Caio Rocha:</t>
        </r>
        <r>
          <rPr>
            <sz val="9"/>
            <color indexed="81"/>
            <rFont val="Segoe UI"/>
            <family val="2"/>
          </rPr>
          <t xml:space="preserve">
Empresas mensuradas: Meireles, Control e Veman</t>
        </r>
      </text>
    </comment>
    <comment ref="A575" authorId="1" shapeId="0" xr:uid="{406EF01A-2D70-4C1D-A076-1DA9E99E7D56}">
      <text>
        <r>
          <rPr>
            <b/>
            <sz val="9"/>
            <color indexed="81"/>
            <rFont val="Segoe UI"/>
            <family val="2"/>
          </rPr>
          <t>Caio Rocha:</t>
        </r>
        <r>
          <rPr>
            <sz val="9"/>
            <color indexed="81"/>
            <rFont val="Segoe UI"/>
            <family val="2"/>
          </rPr>
          <t xml:space="preserve">
Empresas mensuradas: Meireles, Control e Veman</t>
        </r>
      </text>
    </comment>
    <comment ref="A576" authorId="1" shapeId="0" xr:uid="{279F93DE-5CB3-4CCA-8562-9FE6F289F2B2}">
      <text>
        <r>
          <rPr>
            <b/>
            <sz val="9"/>
            <color indexed="81"/>
            <rFont val="Segoe UI"/>
            <family val="2"/>
          </rPr>
          <t>Caio Rocha:</t>
        </r>
        <r>
          <rPr>
            <sz val="9"/>
            <color indexed="81"/>
            <rFont val="Segoe UI"/>
            <family val="2"/>
          </rPr>
          <t xml:space="preserve">
Empresas mensuradas: Meireles, Control e Veman</t>
        </r>
      </text>
    </comment>
    <comment ref="A577" authorId="1" shapeId="0" xr:uid="{E1630681-CFD0-4E27-999B-ACFAB698E328}">
      <text>
        <r>
          <rPr>
            <b/>
            <sz val="9"/>
            <color indexed="81"/>
            <rFont val="Segoe UI"/>
            <family val="2"/>
          </rPr>
          <t>Caio Rocha:</t>
        </r>
        <r>
          <rPr>
            <sz val="9"/>
            <color indexed="81"/>
            <rFont val="Segoe UI"/>
            <family val="2"/>
          </rPr>
          <t xml:space="preserve">
Empresas mensuradas: Meireles, Control e Veman</t>
        </r>
      </text>
    </comment>
    <comment ref="A578" authorId="1" shapeId="0" xr:uid="{F93C301E-588F-4991-939F-BF9E42A6AA96}">
      <text>
        <r>
          <rPr>
            <b/>
            <sz val="9"/>
            <color indexed="81"/>
            <rFont val="Segoe UI"/>
            <family val="2"/>
          </rPr>
          <t>Caio Rocha:</t>
        </r>
        <r>
          <rPr>
            <sz val="9"/>
            <color indexed="81"/>
            <rFont val="Segoe UI"/>
            <family val="2"/>
          </rPr>
          <t xml:space="preserve">
Empresas mensuradas: Meireles, Control e Veman</t>
        </r>
      </text>
    </comment>
    <comment ref="A579" authorId="1" shapeId="0" xr:uid="{67C20175-C73D-4B82-8CA8-9029819BFCE8}">
      <text>
        <r>
          <rPr>
            <b/>
            <sz val="9"/>
            <color indexed="81"/>
            <rFont val="Segoe UI"/>
            <family val="2"/>
          </rPr>
          <t>Caio Rocha:</t>
        </r>
        <r>
          <rPr>
            <sz val="9"/>
            <color indexed="81"/>
            <rFont val="Segoe UI"/>
            <family val="2"/>
          </rPr>
          <t xml:space="preserve">
Empresas mensuradas: Meireles, Control e Veman</t>
        </r>
      </text>
    </comment>
    <comment ref="A580" authorId="1" shapeId="0" xr:uid="{04847108-9999-4913-9865-29209E9E0B5D}">
      <text>
        <r>
          <rPr>
            <b/>
            <sz val="9"/>
            <color indexed="81"/>
            <rFont val="Segoe UI"/>
            <family val="2"/>
          </rPr>
          <t>Caio Rocha:</t>
        </r>
        <r>
          <rPr>
            <sz val="9"/>
            <color indexed="81"/>
            <rFont val="Segoe UI"/>
            <family val="2"/>
          </rPr>
          <t xml:space="preserve">
Empresas mensuradas: Meireles, Control e Veman</t>
        </r>
      </text>
    </comment>
    <comment ref="A581" authorId="1" shapeId="0" xr:uid="{FF087B22-54A0-4767-BB08-2C15CE80F0C9}">
      <text>
        <r>
          <rPr>
            <b/>
            <sz val="9"/>
            <color indexed="81"/>
            <rFont val="Segoe UI"/>
            <family val="2"/>
          </rPr>
          <t>Caio Rocha:</t>
        </r>
        <r>
          <rPr>
            <sz val="9"/>
            <color indexed="81"/>
            <rFont val="Segoe UI"/>
            <family val="2"/>
          </rPr>
          <t xml:space="preserve">
Empresas mensuradas: Meireles, Control e Veman</t>
        </r>
      </text>
    </comment>
    <comment ref="A582" authorId="1" shapeId="0" xr:uid="{6AFE7DA0-BCEB-4684-A93C-BAA6F12BDFA7}">
      <text>
        <r>
          <rPr>
            <b/>
            <sz val="9"/>
            <color indexed="81"/>
            <rFont val="Segoe UI"/>
            <family val="2"/>
          </rPr>
          <t>Caio Rocha:</t>
        </r>
        <r>
          <rPr>
            <sz val="9"/>
            <color indexed="81"/>
            <rFont val="Segoe UI"/>
            <family val="2"/>
          </rPr>
          <t xml:space="preserve">
Empresas mensuradas: Meireles, Control e Veman</t>
        </r>
      </text>
    </comment>
    <comment ref="A583" authorId="1" shapeId="0" xr:uid="{A12F8671-7F24-4A5F-B9D0-9C87952B2657}">
      <text>
        <r>
          <rPr>
            <b/>
            <sz val="9"/>
            <color indexed="81"/>
            <rFont val="Segoe UI"/>
            <family val="2"/>
          </rPr>
          <t>Caio Rocha:</t>
        </r>
        <r>
          <rPr>
            <sz val="9"/>
            <color indexed="81"/>
            <rFont val="Segoe UI"/>
            <family val="2"/>
          </rPr>
          <t xml:space="preserve">
Empresas mensuradas: Meireles, Control e Veman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Caio Rocha</author>
  </authors>
  <commentList>
    <comment ref="A177" authorId="0" shapeId="0" xr:uid="{75341ECB-193F-404E-9D7F-E42494115935}">
      <text>
        <r>
          <rPr>
            <b/>
            <sz val="9"/>
            <color indexed="81"/>
            <rFont val="Segoe UI"/>
            <family val="2"/>
          </rPr>
          <t>Caio Rocha:</t>
        </r>
        <r>
          <rPr>
            <sz val="9"/>
            <color indexed="81"/>
            <rFont val="Segoe UI"/>
            <family val="2"/>
          </rPr>
          <t xml:space="preserve">
Empresas mensuradas: Meireles, Control e Veman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<sst xmlns="http://schemas.openxmlformats.org/spreadsheetml/2006/main" count="40651" uniqueCount="339">
  <si>
    <t>Pilar</t>
  </si>
  <si>
    <t>Ações</t>
  </si>
  <si>
    <t>Distribuidora</t>
  </si>
  <si>
    <t>Regional</t>
  </si>
  <si>
    <t>Ação Iniciada?</t>
  </si>
  <si>
    <t>Apuração</t>
  </si>
  <si>
    <t>Status das ações</t>
  </si>
  <si>
    <t>Grau de prioridade</t>
  </si>
  <si>
    <t>Cálculo para meta da distribuidora</t>
  </si>
  <si>
    <t>Observação da meta da distribuidora</t>
  </si>
  <si>
    <t>Acumulativo por periodo</t>
  </si>
  <si>
    <t>Descrição Indicador / Item de controle</t>
  </si>
  <si>
    <t>Meta</t>
  </si>
  <si>
    <t>Indicador / Item de controle</t>
  </si>
  <si>
    <t>Unidade</t>
  </si>
  <si>
    <t>Indicador de Planejamento</t>
  </si>
  <si>
    <t>Indicador de meta de Segurança</t>
  </si>
  <si>
    <t>Indicadores de resultado descrição</t>
  </si>
  <si>
    <t>Indicadores de resultado</t>
  </si>
  <si>
    <t>Acumulado Prev</t>
  </si>
  <si>
    <t>Acumulado Real (Limitado)</t>
  </si>
  <si>
    <t>Acumulado Real (Sem limite)</t>
  </si>
  <si>
    <t>Valor do último mês</t>
  </si>
  <si>
    <t>Valor do mês anterior</t>
  </si>
  <si>
    <t>Valor acumulado 2026</t>
  </si>
  <si>
    <t>Valor acumulado 2026 (mês antes)</t>
  </si>
  <si>
    <t>Mês anterior</t>
  </si>
  <si>
    <t>Último mês</t>
  </si>
  <si>
    <t>Previsão</t>
  </si>
  <si>
    <t>Previsão mês anterior</t>
  </si>
  <si>
    <t>% Recuperação</t>
  </si>
  <si>
    <t>Valor Recuperação</t>
  </si>
  <si>
    <t>Previsão mês próximo</t>
  </si>
  <si>
    <t>POPULAÇÃO</t>
  </si>
  <si>
    <t>Aumenta efetividade de ações técnicas</t>
  </si>
  <si>
    <t>AL</t>
  </si>
  <si>
    <t>TODAS</t>
  </si>
  <si>
    <t>Iniciada</t>
  </si>
  <si>
    <t>P1</t>
  </si>
  <si>
    <t>(N° de soluções implementadas/n° soluções programadas)*100</t>
  </si>
  <si>
    <t>Quantidade de soluções implementadas​</t>
  </si>
  <si>
    <t>01 solução implementada por
regional por distribuidora</t>
  </si>
  <si>
    <t>Indicador</t>
  </si>
  <si>
    <t>Percentual</t>
  </si>
  <si>
    <t>-</t>
  </si>
  <si>
    <t>Índice de Compromisso com a Cultura de Segurança (ICCS)</t>
  </si>
  <si>
    <t>Indicadores de impacto e compromisso em segurança</t>
  </si>
  <si>
    <t>LESTE</t>
  </si>
  <si>
    <t>OESTE</t>
  </si>
  <si>
    <t>Quantidade de soluções implementadas</t>
  </si>
  <si>
    <t>Quantidade de Soluções compartilhadas e implementadas</t>
  </si>
  <si>
    <t>Item de controle</t>
  </si>
  <si>
    <t>Número absoluto</t>
  </si>
  <si>
    <t>E+ Segurança : parceiros estratégicos</t>
  </si>
  <si>
    <t>P3</t>
  </si>
  <si>
    <t>(N° de ações planejadas/N° de ações realizadas)*100</t>
  </si>
  <si>
    <t>Quantidade de eventos realizados​</t>
  </si>
  <si>
    <t>01 evento com empresas parceiras</t>
  </si>
  <si>
    <t>Seg Comunidade</t>
  </si>
  <si>
    <t>Número de profissionais diretamente impactados</t>
  </si>
  <si>
    <t>E+ Segurança : vidas salvas</t>
  </si>
  <si>
    <t>Aguardando Execução na Distribuidora</t>
  </si>
  <si>
    <t>Não Iniciada</t>
  </si>
  <si>
    <t>(N° de colaboradoras = n° de pontos por mês)</t>
  </si>
  <si>
    <t>Percentual de eventos realizados​</t>
  </si>
  <si>
    <t>Nível de engajamento dos
colaboradores na campanha</t>
  </si>
  <si>
    <t>Índice de Engajamento em Segurança (IES)</t>
  </si>
  <si>
    <t>Indicadores de conformidade e engajamento</t>
  </si>
  <si>
    <t>(N° notificações de risco tratadas / N° total de notificações de risco apontadas) * 100</t>
  </si>
  <si>
    <t>Notificações sanadas</t>
  </si>
  <si>
    <t>E+Segurança : construção civil</t>
  </si>
  <si>
    <t>01 palestra realizada por mês por
regional</t>
  </si>
  <si>
    <t>Indicador das ações</t>
  </si>
  <si>
    <t>E+Segurança: ações nas escolas</t>
  </si>
  <si>
    <t>02 eventos em escolas por mês por
regional</t>
  </si>
  <si>
    <t>Indicador de benefício</t>
  </si>
  <si>
    <t>Público diretamente impactado</t>
  </si>
  <si>
    <t>E+Segurança: comunicação externa</t>
  </si>
  <si>
    <t>(N° de ações ou entrevista realizadas / N° de ações ou entrevista planejadas)*100</t>
  </si>
  <si>
    <t>04 ações ou entrevistas realizadas por
mês por regional</t>
  </si>
  <si>
    <t>Em Execução na Distribuidora</t>
  </si>
  <si>
    <t>E+Segurança: empresas de uso mutuo</t>
  </si>
  <si>
    <t>Número de workshops realizados</t>
  </si>
  <si>
    <t>02 eventos com empresas de uso mútuo por mês por regional</t>
  </si>
  <si>
    <t>E+Segurança: comunicação externa - Risco com AT</t>
  </si>
  <si>
    <t>Aguardando Execução no Corporativo</t>
  </si>
  <si>
    <t>01 ações ou entrevistas realizadas por mês por regional</t>
  </si>
  <si>
    <t>LIDERANÇA</t>
  </si>
  <si>
    <t>Formação de líderes em Alta Tensão</t>
  </si>
  <si>
    <t>Total de líderes certitifcados/Total de líderes mapeados</t>
  </si>
  <si>
    <t>Certificados no treinamento de Alta Tensão</t>
  </si>
  <si>
    <t>Total de líderes treinados</t>
  </si>
  <si>
    <t>Total de colaboradores treinados nos POP’s de Alta Tensão</t>
  </si>
  <si>
    <t>Total de líderes certitifcados/Total de líderes treinados</t>
  </si>
  <si>
    <t>Taxa de aprovação pós o treinamento</t>
  </si>
  <si>
    <t>AP</t>
  </si>
  <si>
    <t>Aguardando Execução no corporativo</t>
  </si>
  <si>
    <t>GO</t>
  </si>
  <si>
    <t>ANÁPOLIS</t>
  </si>
  <si>
    <t>FORMOSA</t>
  </si>
  <si>
    <t>GOIÂNIA</t>
  </si>
  <si>
    <t>IPORÁ</t>
  </si>
  <si>
    <t>LUZIÂNIA</t>
  </si>
  <si>
    <t>METROPOLITANA</t>
  </si>
  <si>
    <t>MONTES BELOS</t>
  </si>
  <si>
    <t>MORRINHOS</t>
  </si>
  <si>
    <t>RIO VERDE</t>
  </si>
  <si>
    <t>URUAÇU</t>
  </si>
  <si>
    <t>FORNECEDOR</t>
  </si>
  <si>
    <t>Gestão de frota</t>
  </si>
  <si>
    <t>P2</t>
  </si>
  <si>
    <t>Quantidade de veículos com telemetria​</t>
  </si>
  <si>
    <t>Percentual da frota com telemetria implementada​</t>
  </si>
  <si>
    <t>(1 empresa âncora com telemetria implantada/n° 1 empresa Âncora)*100</t>
  </si>
  <si>
    <t>Quantidade de empresas com a prática de controle de telemetria</t>
  </si>
  <si>
    <t>SE(1+((ValorMês-MédiaAnoAnterior)/ MédiaAnoAnterior)&gt;=1; 1-(( ValorMês - MédiaAnoAnterior)/ ValorMês);
SE(1+(( ValorMês-MédiaAnoAnterior)/ MédiaAnoAnterior)&lt;=0;1,15;SE(1+(( ValorMês-MédiaAnoAnterior)/ MédiaAnoAnterior)&lt;=0,33;1,1; 
SE(1+(( ValorMês-MédiaAnoAnterior)/ MédiaAnoAnterior)&lt;=0,66;1,05;
SE(ValorMês &lt;= MédiaAnoAnterior;1)))))</t>
  </si>
  <si>
    <t>Taxa de redução das notificações de excesso de velocidade</t>
  </si>
  <si>
    <t>Controle de pendências trabalhistas</t>
  </si>
  <si>
    <t>Em execução no Corporativo</t>
  </si>
  <si>
    <t>Total de não conformidades nos processos de gestão de risco trabalhista em fornecedores.</t>
  </si>
  <si>
    <t>Quantidade de não conformidades</t>
  </si>
  <si>
    <t>Quantidade de empresas monitoradas.</t>
  </si>
  <si>
    <t>Empresas monitoradas</t>
  </si>
  <si>
    <t>CIPA Atuante - Fornecedores</t>
  </si>
  <si>
    <t>(N° de atividades realizadas dentro do prazo / Total de atividades planejadas)*100</t>
  </si>
  <si>
    <t>Índice de atendimento ao cronograma mensal</t>
  </si>
  <si>
    <t>Quantidade de empresas monitoradas</t>
  </si>
  <si>
    <t>N° de ações concluídas</t>
  </si>
  <si>
    <t xml:space="preserve">Quantidade de ações realizadas </t>
  </si>
  <si>
    <t>Validação de Motociclistas – Condução Segura</t>
  </si>
  <si>
    <t>(Nº de motociclistas validados no treinamento)/(Nº total de motociclistas na frota)</t>
  </si>
  <si>
    <t>Validados no treinamento de motociclistas</t>
  </si>
  <si>
    <t>N° de notificações de excesso de velocidade ocasionados por motociclistas</t>
  </si>
  <si>
    <t>Quantidade notificações de excesso de velocidade</t>
  </si>
  <si>
    <t>COMPORTAMENTO</t>
  </si>
  <si>
    <t>Amigos do Rádio</t>
  </si>
  <si>
    <t>(N° de equipes que receberam as mensagens/ total de equipes mapeadas para receber as mensagens)</t>
  </si>
  <si>
    <t>Percentual de equipes alcançadas (próprios e parceiros)</t>
  </si>
  <si>
    <t>50% das equipes alcançadas por mês</t>
  </si>
  <si>
    <t>(N° total de interações pelo COI / N° interações previstas pelo COI) * 100</t>
  </si>
  <si>
    <t>Quantidade de mensagens enviadas​</t>
  </si>
  <si>
    <t>Quantidade de equipes alcançadas</t>
  </si>
  <si>
    <t>Blitz dos equipamentos de proteção</t>
  </si>
  <si>
    <t>(N° de equipes inspecionadas /N° total de equipes mapeadas)*100</t>
  </si>
  <si>
    <t>Percentual de equipes inspecionadas​</t>
  </si>
  <si>
    <t>16% das equipes alcançadas por mês</t>
  </si>
  <si>
    <t>Segurança</t>
  </si>
  <si>
    <t>Índice de Alcance e Proatividade Operacional (IAPO)</t>
  </si>
  <si>
    <t>Somatório das Não conformidades encontradas</t>
  </si>
  <si>
    <t>Quantidade de NC’s identificadas</t>
  </si>
  <si>
    <t>CIPA Atuante</t>
  </si>
  <si>
    <t>1 ação realizada por Cipeiro</t>
  </si>
  <si>
    <t>(N° de reuniões realizadas / Total de reuniões programadas)*100</t>
  </si>
  <si>
    <t>Quantidade de reuniões realizadas​</t>
  </si>
  <si>
    <t>(N° de participantes/Cipeiros [convocados])*100</t>
  </si>
  <si>
    <t>Responsáveis presentes nas reuniões​</t>
  </si>
  <si>
    <t>(N° de ações concluídas / Total de ações planejadas)*100</t>
  </si>
  <si>
    <t>Quantidade de ações realizadas</t>
  </si>
  <si>
    <t>Diálogo semanal de segurança</t>
  </si>
  <si>
    <t>(N° de colaboradores alcançados / N de colaboradores mapeados)*100</t>
  </si>
  <si>
    <t>Quantidade de colaboradores participantes (Taxa de contato do DSS)</t>
  </si>
  <si>
    <t>100% dos colaboradores presentes ao menos 1 DSS no mês</t>
  </si>
  <si>
    <t>Indicadores táticos</t>
  </si>
  <si>
    <t>(N° de DSS realizados/N° de DSS programados) *100</t>
  </si>
  <si>
    <t>Quantidade de DSS realizados</t>
  </si>
  <si>
    <t>(N° de lideres participantes/N° total de lideres)*100</t>
  </si>
  <si>
    <t>Engajamento da Liderança</t>
  </si>
  <si>
    <t>Pílulas de conhecimento de segurança</t>
  </si>
  <si>
    <t>(N° de ações realizadas/n° de ações planejadas) * 100</t>
  </si>
  <si>
    <t>Percentual de ações divulgadas e realizadas</t>
  </si>
  <si>
    <t>4 campanhas por mês</t>
  </si>
  <si>
    <t>(N° de colaboradores diretamente impactados/N° de colaboradores mapeados) * 100</t>
  </si>
  <si>
    <t>Percentual de colaboradores impactados (Próprios e parceiros)</t>
  </si>
  <si>
    <t>70% dos colaboradores próprios e parceiros por mês</t>
  </si>
  <si>
    <t>Pílulas de conhecimento de segurança AT</t>
  </si>
  <si>
    <t>CAPACITAÇÃO</t>
  </si>
  <si>
    <t>Treinamento das atividades Operacionais</t>
  </si>
  <si>
    <t>(N° de colaboradores certicados/N° total de colaboradores mapeados (próprios e parceiros))*100</t>
  </si>
  <si>
    <t>Certificados no treinamento Operacional​</t>
  </si>
  <si>
    <t>Índice de Conformidade Organizacional (ICO)</t>
  </si>
  <si>
    <t>Somatório dos treinados</t>
  </si>
  <si>
    <t>Total de colaboradores treinados</t>
  </si>
  <si>
    <t>(N° de colaboradores certificados no treinamento / N° total de colaboradores treinados)*100</t>
  </si>
  <si>
    <t>Taxa de aprovação pós o treinamento​</t>
  </si>
  <si>
    <t>Treinamento das atividades preliminares de Segurança</t>
  </si>
  <si>
    <t>Certificados no treinamento de Segurança​</t>
  </si>
  <si>
    <t>Taxa de aprovação pós treinamento dentro do processo do PGS</t>
  </si>
  <si>
    <t>Treinamento Matriz de Capacitação Comportamental PGS</t>
  </si>
  <si>
    <t>(N° de colaboradores treinados (mapeados e não mapeados)/N° total de colaboradores mapeados (próprios e parceiros))*100</t>
  </si>
  <si>
    <t>Percentual de aderência de treinados conforme plano do PGS</t>
  </si>
  <si>
    <t>(N° de colaboradores não mapeados / N° total de colaboradores mapeados)*100</t>
  </si>
  <si>
    <t>Quantidade de treinados não mapeados​</t>
  </si>
  <si>
    <t>Quantidade colaboradores treinados</t>
  </si>
  <si>
    <t>Quantidade de colaboradores treinados (próprios e parceiros)</t>
  </si>
  <si>
    <t>Treinamento de Atividades Operacionais AT</t>
  </si>
  <si>
    <t>Certificados do treinamento na trilha operacional AT</t>
  </si>
  <si>
    <t>Total de colaboradores treinados nos POP’s de Alta Tensão​</t>
  </si>
  <si>
    <t>Capacitação de controladores do COI</t>
  </si>
  <si>
    <t>Certificados do treinamento COI</t>
  </si>
  <si>
    <t>Total de controladores treinados nos procedimentos COI​</t>
  </si>
  <si>
    <t>Taxa de frequência com afastamento prórpios</t>
  </si>
  <si>
    <t>Taxa de gravidade própria</t>
  </si>
  <si>
    <t xml:space="preserve">                                   </t>
  </si>
  <si>
    <t>Taxa de frequência com afastamento terceiros</t>
  </si>
  <si>
    <t>Taxa de frequência sem afastamento próprio</t>
  </si>
  <si>
    <t xml:space="preserve">                                                                                                                                   </t>
  </si>
  <si>
    <t>Taxa de frequência sem afastamento terceiros</t>
  </si>
  <si>
    <t>Taxa de frequência população</t>
  </si>
  <si>
    <t>Taxa de gravidade Acumulado</t>
  </si>
  <si>
    <t>MA</t>
  </si>
  <si>
    <t>CENTRO</t>
  </si>
  <si>
    <t>NOROESTE</t>
  </si>
  <si>
    <t>NORTE</t>
  </si>
  <si>
    <t>SUL</t>
  </si>
  <si>
    <t>PA</t>
  </si>
  <si>
    <t>NORDESTE</t>
  </si>
  <si>
    <t>PI</t>
  </si>
  <si>
    <t>FLORIANO</t>
  </si>
  <si>
    <t>PARNAÍBA</t>
  </si>
  <si>
    <t>PICOS</t>
  </si>
  <si>
    <t>Total de colaboradores treinados em relação ao total de colaboradores mapeados no mês (próprios e parceiros)</t>
  </si>
  <si>
    <t>RS</t>
  </si>
  <si>
    <t>Operação Segura</t>
  </si>
  <si>
    <t>(N° de inspeções realizadas /N° de inspeções previstas) * 100</t>
  </si>
  <si>
    <t>33% das equipes alcançadas por mês</t>
  </si>
  <si>
    <t>Índice de Efetividade Operacional em Segurança (IEOS)</t>
  </si>
  <si>
    <t>Jan-Dez/26 (trimestral)</t>
  </si>
  <si>
    <t>Taxa de absenteísmo</t>
  </si>
  <si>
    <t>Taxa de frequência acumulada</t>
  </si>
  <si>
    <t>Programa Altas Horas</t>
  </si>
  <si>
    <t>Quantidade de inspeções em horários atípicos​</t>
  </si>
  <si>
    <t>1 Inspeção por responsável</t>
  </si>
  <si>
    <t>Programa Anjo da Guarda</t>
  </si>
  <si>
    <t>(N° de equipes alcançadas / N° de equipes mapeadas )*100</t>
  </si>
  <si>
    <t>Percentual de equipes alcançadas</t>
  </si>
  <si>
    <t>20% das equipes alcançadas por mês</t>
  </si>
  <si>
    <t>A partir de Junho</t>
  </si>
  <si>
    <t/>
  </si>
  <si>
    <t>Jan-Dez/26</t>
  </si>
  <si>
    <t>Global Distribuidora</t>
  </si>
  <si>
    <t>Taxa de gravidade terceiros</t>
  </si>
  <si>
    <t>Taxa de gravidade população</t>
  </si>
  <si>
    <t>TOTAL ACUMULADO</t>
  </si>
  <si>
    <t>Total Acumulado</t>
  </si>
  <si>
    <t>Recebido</t>
  </si>
  <si>
    <t>Status</t>
  </si>
  <si>
    <t>Comportamento</t>
  </si>
  <si>
    <t>Fornecedor</t>
  </si>
  <si>
    <t>Liderança</t>
  </si>
  <si>
    <t>População</t>
  </si>
  <si>
    <t>TOTAL</t>
  </si>
  <si>
    <t>Quantidade de meses</t>
  </si>
  <si>
    <t>Meses decorridos</t>
  </si>
  <si>
    <t>Meses decorridos mês anterior</t>
  </si>
  <si>
    <t>rever cálculos dos trimestrais</t>
  </si>
  <si>
    <t>Mai-Dez/26</t>
  </si>
  <si>
    <t>A partir de Agosto</t>
  </si>
  <si>
    <t>Ago-Dez/26</t>
  </si>
  <si>
    <t>Aguardando apuração</t>
  </si>
  <si>
    <t>Mar-Dez/26</t>
  </si>
  <si>
    <t>A partir de Julho</t>
  </si>
  <si>
    <t>Fev-Dez/26</t>
  </si>
  <si>
    <t>A partir de Maio</t>
  </si>
  <si>
    <t>Abr-Dez/26</t>
  </si>
  <si>
    <t>Implantado</t>
  </si>
  <si>
    <t>Nov-Dez/26</t>
  </si>
  <si>
    <t>A partir de Setembro</t>
  </si>
  <si>
    <t>A partir de Fevereiro</t>
  </si>
  <si>
    <t>Jun-Dez/26</t>
  </si>
  <si>
    <t>Mai-Out/26</t>
  </si>
  <si>
    <t>Jun-Out/26</t>
  </si>
  <si>
    <t>Abr-Out/26</t>
  </si>
  <si>
    <t>Mai-Dez/26 (trimestral)</t>
  </si>
  <si>
    <t>Ago-Dez/26 (trimestral)</t>
  </si>
  <si>
    <t>Jul-Dez/26</t>
  </si>
  <si>
    <t>Jun-Jul/26</t>
  </si>
  <si>
    <t>A partir de Outubro</t>
  </si>
  <si>
    <t>Mai-Nov/26</t>
  </si>
  <si>
    <t>Abr-Nov/26</t>
  </si>
  <si>
    <t>Jul-Jul/26</t>
  </si>
  <si>
    <t>A partir de Dezembro</t>
  </si>
  <si>
    <t>Set-Dez/26</t>
  </si>
  <si>
    <t>Ago/Set26</t>
  </si>
  <si>
    <t>Jun-Ago/26</t>
  </si>
  <si>
    <t>Jun-Jun/26</t>
  </si>
  <si>
    <t>Jul-Out/26</t>
  </si>
  <si>
    <t>Ago-Out/26</t>
  </si>
  <si>
    <t>Out-Dez/26</t>
  </si>
  <si>
    <t>Não se aplica</t>
  </si>
  <si>
    <t>Mar-Nov/26</t>
  </si>
  <si>
    <t>Ago-Nov/26</t>
  </si>
  <si>
    <t>Fev-Nov/26</t>
  </si>
  <si>
    <t>Jun-Nov/26</t>
  </si>
  <si>
    <t>A partir de Abril</t>
  </si>
  <si>
    <t>Capacitação</t>
  </si>
  <si>
    <t>PopEnt</t>
  </si>
  <si>
    <t>CapEnt</t>
  </si>
  <si>
    <t>CompEnt</t>
  </si>
  <si>
    <t>FornEnt</t>
  </si>
  <si>
    <t>LidEnt</t>
  </si>
  <si>
    <t>PopJaEntr</t>
  </si>
  <si>
    <t>CapJaEntr</t>
  </si>
  <si>
    <t>CompJaEntr</t>
  </si>
  <si>
    <t>FornJaEntr</t>
  </si>
  <si>
    <t>LidJaEntr</t>
  </si>
  <si>
    <t>__PowerAppsId__</t>
  </si>
  <si>
    <t>560b76ac-d05c-42eb-9d60-c4c18379abcb</t>
  </si>
  <si>
    <t>2b6e6397-4360-4329-a35f-1ecc4b9247d5</t>
  </si>
  <si>
    <t>45d72d24-b44e-4e77-96b7-bce2cc910e1a</t>
  </si>
  <si>
    <t>49510fd5-06f1-4972-b5cf-3b363ab814a0</t>
  </si>
  <si>
    <t>E+ Segurança : vidas saIvas</t>
  </si>
  <si>
    <t>defb925f-b73d-4b38-b72b-b8bb63192891</t>
  </si>
  <si>
    <t>ea1a1699-39b7-437e-a9be-9e4a510b0bc4</t>
  </si>
  <si>
    <t>3d73d653-f986-4d7f-867a-f3ed6111e008</t>
  </si>
  <si>
    <t>Processo de recepção de segurança</t>
  </si>
  <si>
    <t>SUBTEMA</t>
  </si>
  <si>
    <t>OBJETIVO ESTRATÉGICO</t>
  </si>
  <si>
    <t>INDICADOR</t>
  </si>
  <si>
    <t>Previsto</t>
  </si>
  <si>
    <t>Realizado</t>
  </si>
  <si>
    <t>PGS</t>
  </si>
  <si>
    <t>SEG FORÇA DE TRABALHO</t>
  </si>
  <si>
    <t>Aumentar o nível de conhecimento técnico das equipes em campo para redução de acidentes</t>
  </si>
  <si>
    <t>PGS - Programa de Gestão em Segurança</t>
  </si>
  <si>
    <t>Geral</t>
  </si>
  <si>
    <t>Elevar a maturidade da cultura de segurança na organização</t>
  </si>
  <si>
    <t>Jornada de segurança (Pilares: Liderança, capacitação, comportamento e fornecedor)</t>
  </si>
  <si>
    <t>SEG COMUNIDADE</t>
  </si>
  <si>
    <t>Reforçar a prevenção de acidentes da comunidade relacionados à rede elétrica.</t>
  </si>
  <si>
    <t>Jornada de segurança​ (Pilar: População)</t>
  </si>
  <si>
    <t>Comunicação externa</t>
  </si>
  <si>
    <t>Promover conhecimento que permita a população fazer uso consciente e seguro da energia elétrica</t>
  </si>
  <si>
    <t>E+ Segurança: comunicação externa</t>
  </si>
  <si>
    <t>PARCEIROS</t>
  </si>
  <si>
    <t>Elevar a gestão de segurança das empresas parceiras</t>
  </si>
  <si>
    <t>Jornada de segurança (Pilar: Fornecedores)</t>
  </si>
  <si>
    <t>Considerar todos os indicadores - mesmo que não resultado</t>
  </si>
  <si>
    <t>Média do previsto</t>
  </si>
  <si>
    <t>Média do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</si>
</sst>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"/>
  </numFmts>
  <fonts count="27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B1D2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242424"/>
      <name val="Aptos Narrow"/>
      <charset val="1"/>
    </font>
    <font>
      <sz val="11"/>
      <color rgb="FF000000"/>
      <name val="Arial"/>
    </font>
    <font>
      <u/>
      <sz val="11"/>
      <color theme="1"/>
      <name val="Aptos Narrow"/>
      <family val="2"/>
      <scheme val="minor"/>
    </font>
    <font>
      <sz val="10"/>
      <name val="Calibri"/>
    </font>
    <font>
      <u/>
      <sz val="10"/>
      <name val="Calibri"/>
      <family val="2"/>
    </font>
    <font>
      <u/>
      <sz val="11"/>
      <color rgb="FF000000"/>
      <name val="Arial"/>
      <family val="2"/>
    </font>
    <font>
      <b/>
      <sz val="8"/>
      <color rgb="FFFFFFFF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u/>
      <sz val="11"/>
      <color rgb="FF00000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D8C03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88B6E0"/>
        <bgColor rgb="FF000000"/>
      </patternFill>
    </fill>
    <fill>
      <patternFill patternType="solid">
        <fgColor rgb="FF33A8FF"/>
        <bgColor rgb="FF000000"/>
      </patternFill>
    </fill>
    <fill>
      <patternFill patternType="solid">
        <fgColor rgb="FFA568D2"/>
        <bgColor rgb="FF000000"/>
      </patternFill>
    </fill>
    <fill>
      <patternFill patternType="solid">
        <fgColor rgb="FFFEB358"/>
        <bgColor rgb="FF000000"/>
      </patternFill>
    </fill>
    <fill>
      <patternFill patternType="solid">
        <fgColor rgb="FFFFD85B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BA9E5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A7E42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EA7E42"/>
        <bgColor rgb="FF000000"/>
      </patternFill>
    </fill>
    <fill>
      <patternFill patternType="solid">
        <fgColor rgb="FFE16019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096287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44B3E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3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6" fillId="6" borderId="1" xfId="0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/>
    </xf>
    <xf numFmtId="9" fontId="9" fillId="0" borderId="1" xfId="0" applyNumberFormat="1" applyFont="1" applyBorder="1" applyAlignment="1">
      <alignment horizontal="center" vertical="center" wrapText="1"/>
    </xf>
    <xf numFmtId="0" fontId="2" fillId="8" borderId="6" xfId="0" applyFont="1" applyFill="1" applyBorder="1" applyAlignment="1">
      <alignment vertical="center"/>
    </xf>
    <xf numFmtId="0" fontId="4" fillId="0" borderId="6" xfId="0" applyFont="1" applyBorder="1"/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9" fontId="9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2" fillId="9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13" borderId="6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4" fillId="15" borderId="1" xfId="0" applyFont="1" applyFill="1" applyBorder="1"/>
    <xf numFmtId="17" fontId="1" fillId="18" borderId="1" xfId="0" applyNumberFormat="1" applyFont="1" applyFill="1" applyBorder="1" applyAlignment="1">
      <alignment horizontal="center" vertical="center" wrapText="1" readingOrder="1"/>
    </xf>
    <xf numFmtId="0" fontId="1" fillId="19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1" fillId="22" borderId="6" xfId="0" applyFont="1" applyFill="1" applyBorder="1" applyAlignment="1">
      <alignment horizontal="center" vertical="center" wrapText="1"/>
    </xf>
    <xf numFmtId="9" fontId="8" fillId="23" borderId="1" xfId="0" applyNumberFormat="1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9" fontId="0" fillId="0" borderId="0" xfId="1" applyFont="1"/>
    <xf numFmtId="0" fontId="10" fillId="0" borderId="1" xfId="0" applyFont="1" applyBorder="1"/>
    <xf numFmtId="164" fontId="8" fillId="21" borderId="0" xfId="0" applyNumberFormat="1" applyFont="1" applyFill="1" applyAlignment="1">
      <alignment horizontal="center" vertical="center"/>
    </xf>
    <xf numFmtId="0" fontId="3" fillId="16" borderId="2" xfId="0" applyFont="1" applyFill="1" applyBorder="1" applyAlignment="1">
      <alignment horizontal="center" vertical="center" wrapText="1"/>
    </xf>
    <xf numFmtId="2" fontId="0" fillId="24" borderId="0" xfId="1" applyNumberFormat="1" applyFont="1" applyFill="1"/>
    <xf numFmtId="9" fontId="0" fillId="25" borderId="0" xfId="1" applyFont="1" applyFill="1"/>
    <xf numFmtId="0" fontId="0" fillId="26" borderId="0" xfId="0" applyFill="1"/>
    <xf numFmtId="0" fontId="13" fillId="2" borderId="8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1" fontId="0" fillId="0" borderId="0" xfId="1" applyNumberFormat="1" applyFont="1"/>
    <xf numFmtId="0" fontId="13" fillId="27" borderId="0" xfId="0" applyFont="1" applyFill="1" applyAlignment="1">
      <alignment horizontal="center" vertical="center" wrapText="1"/>
    </xf>
    <xf numFmtId="0" fontId="13" fillId="27" borderId="9" xfId="0" applyFont="1" applyFill="1" applyBorder="1" applyAlignment="1">
      <alignment horizontal="center" vertical="center" wrapText="1"/>
    </xf>
    <xf numFmtId="9" fontId="0" fillId="28" borderId="0" xfId="1" applyFont="1" applyFill="1"/>
    <xf numFmtId="0" fontId="4" fillId="29" borderId="1" xfId="0" applyFont="1" applyFill="1" applyBorder="1"/>
    <xf numFmtId="0" fontId="4" fillId="29" borderId="6" xfId="0" applyFont="1" applyFill="1" applyBorder="1"/>
    <xf numFmtId="1" fontId="0" fillId="28" borderId="0" xfId="1" applyNumberFormat="1" applyFont="1" applyFill="1"/>
    <xf numFmtId="2" fontId="0" fillId="0" borderId="0" xfId="1" applyNumberFormat="1" applyFont="1"/>
    <xf numFmtId="0" fontId="2" fillId="32" borderId="1" xfId="0" applyFont="1" applyFill="1" applyBorder="1" applyAlignment="1">
      <alignment vertical="center"/>
    </xf>
    <xf numFmtId="3" fontId="8" fillId="17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/>
    <xf numFmtId="0" fontId="14" fillId="0" borderId="1" xfId="0" quotePrefix="1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9" fontId="14" fillId="0" borderId="1" xfId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9" fontId="0" fillId="28" borderId="0" xfId="0" applyNumberFormat="1" applyFill="1"/>
    <xf numFmtId="3" fontId="0" fillId="0" borderId="0" xfId="0" applyNumberFormat="1"/>
    <xf numFmtId="0" fontId="8" fillId="17" borderId="1" xfId="0" applyFont="1" applyFill="1" applyBorder="1" applyAlignment="1">
      <alignment horizontal="center" vertical="center" wrapText="1"/>
    </xf>
    <xf numFmtId="3" fontId="8" fillId="18" borderId="1" xfId="0" applyNumberFormat="1" applyFont="1" applyFill="1" applyBorder="1" applyAlignment="1">
      <alignment horizontal="center" vertical="center" wrapText="1"/>
    </xf>
    <xf numFmtId="2" fontId="8" fillId="18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2" fontId="0" fillId="26" borderId="0" xfId="0" applyNumberFormat="1" applyFill="1"/>
    <xf numFmtId="1" fontId="0" fillId="26" borderId="0" xfId="0" applyNumberFormat="1" applyFill="1"/>
    <xf numFmtId="10" fontId="8" fillId="23" borderId="1" xfId="0" applyNumberFormat="1" applyFont="1" applyFill="1" applyBorder="1" applyAlignment="1">
      <alignment horizontal="center" vertical="center" wrapText="1"/>
    </xf>
    <xf numFmtId="17" fontId="1" fillId="3" borderId="1" xfId="0" applyNumberFormat="1" applyFont="1" applyFill="1" applyBorder="1" applyAlignment="1">
      <alignment horizontal="center" vertical="center" wrapText="1" readingOrder="1"/>
    </xf>
    <xf numFmtId="17" fontId="1" fillId="30" borderId="1" xfId="0" applyNumberFormat="1" applyFont="1" applyFill="1" applyBorder="1" applyAlignment="1">
      <alignment horizontal="center" vertical="center" wrapText="1" readingOrder="1"/>
    </xf>
    <xf numFmtId="17" fontId="1" fillId="31" borderId="1" xfId="0" applyNumberFormat="1" applyFont="1" applyFill="1" applyBorder="1" applyAlignment="1">
      <alignment horizontal="center" vertical="center" wrapText="1" readingOrder="1"/>
    </xf>
    <xf numFmtId="49" fontId="1" fillId="33" borderId="1" xfId="0" applyNumberFormat="1" applyFont="1" applyFill="1" applyBorder="1" applyAlignment="1">
      <alignment horizontal="center" vertical="center" wrapText="1" readingOrder="1"/>
    </xf>
    <xf numFmtId="49" fontId="1" fillId="34" borderId="1" xfId="0" applyNumberFormat="1" applyFont="1" applyFill="1" applyBorder="1" applyAlignment="1">
      <alignment horizontal="center" vertical="center" wrapText="1" readingOrder="1"/>
    </xf>
    <xf numFmtId="3" fontId="8" fillId="35" borderId="1" xfId="0" applyNumberFormat="1" applyFont="1" applyFill="1" applyBorder="1" applyAlignment="1">
      <alignment horizontal="center" vertical="center" wrapText="1"/>
    </xf>
    <xf numFmtId="3" fontId="8" fillId="36" borderId="1" xfId="0" applyNumberFormat="1" applyFont="1" applyFill="1" applyBorder="1" applyAlignment="1">
      <alignment horizontal="center" vertical="center" wrapText="1"/>
    </xf>
    <xf numFmtId="49" fontId="1" fillId="37" borderId="1" xfId="0" applyNumberFormat="1" applyFont="1" applyFill="1" applyBorder="1" applyAlignment="1">
      <alignment horizontal="center" vertical="center" wrapText="1" readingOrder="1"/>
    </xf>
    <xf numFmtId="3" fontId="8" fillId="37" borderId="1" xfId="0" applyNumberFormat="1" applyFont="1" applyFill="1" applyBorder="1" applyAlignment="1">
      <alignment horizontal="center" vertical="center" wrapText="1"/>
    </xf>
    <xf numFmtId="9" fontId="0" fillId="26" borderId="0" xfId="0" applyNumberFormat="1" applyFill="1"/>
    <xf numFmtId="0" fontId="10" fillId="16" borderId="1" xfId="0" applyFont="1" applyFill="1" applyBorder="1"/>
    <xf numFmtId="3" fontId="8" fillId="39" borderId="1" xfId="0" applyNumberFormat="1" applyFont="1" applyFill="1" applyBorder="1" applyAlignment="1">
      <alignment horizontal="center" vertical="center" wrapText="1"/>
    </xf>
    <xf numFmtId="0" fontId="2" fillId="38" borderId="1" xfId="0" applyFont="1" applyFill="1" applyBorder="1" applyAlignment="1">
      <alignment vertical="center"/>
    </xf>
    <xf numFmtId="0" fontId="10" fillId="16" borderId="7" xfId="0" applyFont="1" applyFill="1" applyBorder="1"/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16" borderId="6" xfId="0" applyFont="1" applyFill="1" applyBorder="1"/>
    <xf numFmtId="0" fontId="10" fillId="16" borderId="11" xfId="0" applyFont="1" applyFill="1" applyBorder="1"/>
    <xf numFmtId="0" fontId="17" fillId="0" borderId="0" xfId="0" applyFont="1"/>
    <xf numFmtId="4" fontId="8" fillId="17" borderId="1" xfId="0" applyNumberFormat="1" applyFont="1" applyFill="1" applyBorder="1" applyAlignment="1">
      <alignment horizontal="center" vertical="center" wrapText="1"/>
    </xf>
    <xf numFmtId="3" fontId="18" fillId="35" borderId="1" xfId="0" applyNumberFormat="1" applyFont="1" applyFill="1" applyBorder="1" applyAlignment="1">
      <alignment horizontal="center" vertical="center" wrapText="1"/>
    </xf>
    <xf numFmtId="3" fontId="18" fillId="36" borderId="1" xfId="0" applyNumberFormat="1" applyFont="1" applyFill="1" applyBorder="1" applyAlignment="1">
      <alignment horizontal="center" vertical="center" wrapText="1"/>
    </xf>
    <xf numFmtId="4" fontId="18" fillId="36" borderId="1" xfId="0" applyNumberFormat="1" applyFont="1" applyFill="1" applyBorder="1" applyAlignment="1">
      <alignment horizontal="center" vertical="center" wrapText="1"/>
    </xf>
    <xf numFmtId="4" fontId="8" fillId="37" borderId="1" xfId="0" applyNumberFormat="1" applyFont="1" applyFill="1" applyBorder="1" applyAlignment="1">
      <alignment horizontal="center" vertical="center" wrapText="1"/>
    </xf>
    <xf numFmtId="3" fontId="18" fillId="3" borderId="1" xfId="0" applyNumberFormat="1" applyFont="1" applyFill="1" applyBorder="1" applyAlignment="1">
      <alignment horizontal="center" vertical="center" wrapText="1"/>
    </xf>
    <xf numFmtId="9" fontId="8" fillId="18" borderId="1" xfId="0" applyNumberFormat="1" applyFont="1" applyFill="1" applyBorder="1" applyAlignment="1">
      <alignment horizontal="center" vertical="center" wrapText="1"/>
    </xf>
    <xf numFmtId="9" fontId="0" fillId="0" borderId="0" xfId="1" applyFont="1" applyAlignment="1">
      <alignment wrapText="1"/>
    </xf>
    <xf numFmtId="0" fontId="19" fillId="0" borderId="0" xfId="0" applyFont="1"/>
    <xf numFmtId="0" fontId="20" fillId="0" borderId="3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3" fontId="22" fillId="17" borderId="1" xfId="0" applyNumberFormat="1" applyFont="1" applyFill="1" applyBorder="1" applyAlignment="1">
      <alignment horizontal="center" vertical="center" wrapText="1"/>
    </xf>
    <xf numFmtId="0" fontId="23" fillId="40" borderId="14" xfId="0" applyFont="1" applyFill="1" applyBorder="1"/>
    <xf numFmtId="0" fontId="23" fillId="40" borderId="15" xfId="0" applyFont="1" applyFill="1" applyBorder="1"/>
    <xf numFmtId="0" fontId="24" fillId="0" borderId="0" xfId="0" applyFont="1"/>
    <xf numFmtId="0" fontId="4" fillId="0" borderId="16" xfId="0" applyFont="1" applyBorder="1"/>
    <xf numFmtId="0" fontId="4" fillId="0" borderId="17" xfId="0" applyFont="1" applyBorder="1" applyAlignment="1">
      <alignment readingOrder="1"/>
    </xf>
    <xf numFmtId="0" fontId="4" fillId="0" borderId="18" xfId="0" applyFont="1" applyBorder="1" applyAlignment="1">
      <alignment readingOrder="1"/>
    </xf>
    <xf numFmtId="0" fontId="4" fillId="0" borderId="16" xfId="0" applyFont="1" applyBorder="1" applyAlignment="1">
      <alignment wrapText="1"/>
    </xf>
    <xf numFmtId="0" fontId="4" fillId="0" borderId="0" xfId="0" applyFont="1" applyAlignment="1">
      <alignment wrapText="1" readingOrder="1"/>
    </xf>
    <xf numFmtId="0" fontId="3" fillId="41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3" fillId="42" borderId="1" xfId="0" applyFont="1" applyFill="1" applyBorder="1" applyAlignment="1">
      <alignment horizontal="center" vertical="center" wrapText="1"/>
    </xf>
    <xf numFmtId="0" fontId="4" fillId="42" borderId="1" xfId="0" applyFont="1" applyFill="1" applyBorder="1"/>
    <xf numFmtId="0" fontId="18" fillId="17" borderId="1" xfId="0" applyFont="1" applyFill="1" applyBorder="1" applyAlignment="1">
      <alignment wrapText="1"/>
    </xf>
    <xf numFmtId="0" fontId="18" fillId="17" borderId="4" xfId="0" applyFont="1" applyFill="1" applyBorder="1" applyAlignment="1">
      <alignment wrapText="1"/>
    </xf>
    <xf numFmtId="3" fontId="18" fillId="17" borderId="4" xfId="0" applyNumberFormat="1" applyFont="1" applyFill="1" applyBorder="1" applyAlignment="1">
      <alignment wrapText="1"/>
    </xf>
    <xf numFmtId="4" fontId="8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 readingOrder="1"/>
    </xf>
    <xf numFmtId="0" fontId="8" fillId="17" borderId="1" xfId="0" applyFont="1" applyFill="1" applyBorder="1" applyAlignment="1">
      <alignment wrapText="1"/>
    </xf>
    <xf numFmtId="0" fontId="8" fillId="17" borderId="4" xfId="0" applyFont="1" applyFill="1" applyBorder="1" applyAlignment="1">
      <alignment wrapText="1"/>
    </xf>
    <xf numFmtId="0" fontId="8" fillId="17" borderId="1" xfId="0" applyFont="1" applyFill="1" applyBorder="1" applyAlignment="1">
      <alignment wrapText="1" readingOrder="1"/>
    </xf>
    <xf numFmtId="3" fontId="8" fillId="17" borderId="4" xfId="0" applyNumberFormat="1" applyFont="1" applyFill="1" applyBorder="1" applyAlignment="1">
      <alignment wrapText="1"/>
    </xf>
    <xf numFmtId="0" fontId="8" fillId="17" borderId="3" xfId="0" applyFont="1" applyFill="1" applyBorder="1" applyAlignment="1">
      <alignment wrapText="1"/>
    </xf>
    <xf numFmtId="0" fontId="8" fillId="17" borderId="5" xfId="0" applyFont="1" applyFill="1" applyBorder="1" applyAlignment="1">
      <alignment wrapText="1"/>
    </xf>
    <xf numFmtId="0" fontId="18" fillId="17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 readingOrder="1"/>
    </xf>
    <xf numFmtId="3" fontId="8" fillId="17" borderId="3" xfId="0" applyNumberFormat="1" applyFont="1" applyFill="1" applyBorder="1" applyAlignment="1">
      <alignment wrapText="1"/>
    </xf>
    <xf numFmtId="3" fontId="8" fillId="17" borderId="1" xfId="0" applyNumberFormat="1" applyFont="1" applyFill="1" applyBorder="1" applyAlignment="1">
      <alignment wrapText="1"/>
    </xf>
    <xf numFmtId="3" fontId="8" fillId="17" borderId="5" xfId="0" applyNumberFormat="1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26" fillId="0" borderId="1" xfId="0" applyFont="1" applyBorder="1" applyAlignment="1">
      <alignment wrapText="1"/>
    </xf>
  </cellXfs>
  <cellStyles count="2">
    <cellStyle name="Normal" xfId="0" builtinId="0"/>
    <cellStyle name="Porcentagem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border outline="0">
        <top style="thin">
          <color rgb="FF44B3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56082"/>
          <bgColor rgb="FF15608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000000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000000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E16019"/>
      <color rgb="FFD9E1F2"/>
      <color rgb="FFDAF2D0"/>
      <color rgb="FFCBA9E5"/>
      <color rgb="FFFFE699"/>
      <color rgb="FFFFD85B"/>
      <color rgb="FFFEB358"/>
      <color rgb="FFA568D2"/>
      <color rgb="FF33A8FF"/>
      <color rgb="FF88B6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io Rocha" id="{809A1172-4B33-4FCA-B01B-8AC3AFDC6661}" userId="S::caio.rocha@deepessoas.com.br::df157346-7231-4a3c-8d45-1922f07bc3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ABA3D6-833D-44BA-8667-9828DE694BDD}" name="Tabela2" displayName="Tabela2" ref="A1:D43" totalsRowShown="0" tableBorderDxfId="23">
  <autoFilter ref="A1:D43" xr:uid="{85ABA3D6-833D-44BA-8667-9828DE694BDD}"/>
  <tableColumns count="4">
    <tableColumn id="1" xr3:uid="{519353F5-5B35-49D4-A2A7-D40CB0A283B5}" name="Apuração" dataDxfId="22"/>
    <tableColumn id="2" xr3:uid="{F2B70458-9CA7-4777-BC2B-557CD2567A12}" name="Quantidade de meses" dataDxfId="21"/>
    <tableColumn id="3" xr3:uid="{57AC2770-9F07-4423-8DC7-87E5DD9FAC4C}" name="Meses decorridos" dataDxfId="20"/>
    <tableColumn id="4" xr3:uid="{A39538D3-02DE-4BAF-8F1A-522D77A9951A}" name="Meses decorridos mês anterior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5E461-9E1E-4843-B557-D92530521BE5}" name="Tabela1" displayName="Tabela1" ref="R1:AH8" totalsRowShown="0" headerRowDxfId="18" dataDxfId="17" tableBorderDxfId="16">
  <autoFilter ref="R1:AH8" xr:uid="{DFA5E461-9E1E-4843-B557-D92530521BE5}"/>
  <tableColumns count="17">
    <tableColumn id="1" xr3:uid="{B813E74D-01B7-452E-9498-08C7FB5C7AB9}" name="Distribuidora"/>
    <tableColumn id="2" xr3:uid="{77D7D5FD-2212-482D-9F99-ECF0C58E0AC5}" name="População" dataDxfId="15">
      <calculatedColumnFormula>IFERROR((IF(MONTH(TODAY())=2,COUNTIFS($A:$A,$S$1,$E:$E,"Enviado",$D:$D,"&lt;&gt;A partir de Fevereiro",$D:$D,"&lt;&gt;Não se aplica",$C:$C,R2)/COUNTIFS($A:$A,$S$1,$D:$D,"&lt;&gt;A partir de Fevereiro",$D:$D,"&lt;&gt;Não se aplica",$C:$C,R2),IF(MONTH(TODAY())=3,COUNTIFS($A:$A,$S$1,$F:$F,"Enviado",$D:$D,"&lt;&gt;A partir de Fevereiro",$D:$D,"&lt;&gt;Não se aplica",$C:$C,R2)/COUNTIFS($A:$A,$S$1,$D:$D,"&lt;&gt;A partir de Fevereiro",$D:$D,"&lt;&gt;Não se aplica",$C:$C,R2),
IF(MONTH(TODAY())=4,COUNTIFS($A:$A,$S$1,$G:$G,"Enviado",$D:$D,"&lt;&gt;A partir de Fevereiro",$D:$D,"&lt;&gt;Não se aplica",$C:$C,R2)/COUNTIFS($A:$A,$S$1,$D:$D,"&lt;&gt;A partir de Fevereiro",$D:$D,"&lt;&gt;Não se aplica",$C:$C,R2),
IF(MONTH(TODAY())=5,COUNTIFS($A:$A,$S$1,$H:$H,"Enviado",$D:$D,"&lt;&gt;A partir de Fevereiro",$D:$D,"&lt;&gt;Não se aplica",$C:$C,R2)/COUNTIFS($A:$A,$S$1,$D:$D,"&lt;&gt;A partir de Fevereiro",$D:$D,"&lt;&gt;Não se aplica",$C:$C,R2),
IF(MONTH(TODAY())=6,COUNTIFS($A:$A,$S$1,$I:$I,"Enviado",$D:$D,"&lt;&gt;A partir de Fevereiro",$D:$D,"&lt;&gt;Não se aplica",$C:$C,R2)/COUNTIFS($A:$A,$S$1,$D:$D,"&lt;&gt;A partir de Fevereiro",$D:$D,"&lt;&gt;Não se aplica",$C:$C,R2),
IF(MONTH(TODAY())=7,COUNTIFS($A:$A,$S$1,$J:$J,"Enviado",$D:$D,"&lt;&gt;A partir de Fevereiro",$D:$D,"&lt;&gt;Não se aplica",$C:$C,R2)/COUNTIFS($A:$A,$S$1,$D:$D,"&lt;&gt;A partir de Fevereiro",$D:$D,"&lt;&gt;Não se aplica",$C:$C,R2),
IF(MONTH(TODAY())=8,COUNTIFS($A:$A,$S$1,$K:$K,"Enviado",$D:$D,"&lt;&gt;A partir de Fevereiro",$D:$D,"&lt;&gt;Não se aplica",$C:$C,R2)/COUNTIFS($A:$A,$S$1,$D:$D,"&lt;&gt;A partir de Fevereiro",$D:$D,"&lt;&gt;Não se aplica",$C:$C,R2),
IF(MONTH(TODAY())=9,COUNTIFS($A:$A,$S$1,$L:$L,"Enviado",$D:$D,"&lt;&gt;A partir de Fevereiro",$D:$D,"&lt;&gt;Não se aplica",$C:$C,R2)/COUNTIFS($A:$A,$S$1,$D:$D,"&lt;&gt;A partir de Fevereiro",$D:$D,"&lt;&gt;Não se aplica",$C:$C,R2),
IF(MONTH(TODAY())=10,COUNTIFS($A:$A,$S$1,$M:$M,"Enviado",$D:$D,"&lt;&gt;A partir de Fevereiro",$D:$D,"&lt;&gt;Não se aplica",$C:$C,R2)/COUNTIFS($A:$A,$S$1,$D:$D,"&lt;&gt;A partir de Fevereiro",$D:$D,"&lt;&gt;Não se aplica",$C:$C,R2),
IF(MONTH(TODAY())=11,COUNTIFS($A:$A,$S$1,$N:$N,"Enviado",$D:$D,"&lt;&gt;A partir de Fevereiro",$D:$D,"&lt;&gt;Não se aplica",$C:$C,R2)/COUNTIFS($A:$A,$S$1,$D:$D,"&lt;&gt;A partir de Fevereiro",$D:$D,"&lt;&gt;Não se aplica",$C:$C,R2),
IF(MONTH(TODAY())=12,COUNTIFS($A:$A,$S$1,$O:$O,"Enviado",$D:$D,"&lt;&gt;A partir de Fevereiro",$D:$D,"&lt;&gt;Não se aplica",$C:$C,R2)/COUNTIFS($A:$A,$S$1,$D:$D,"&lt;&gt;A partir de Fevereiro",$D:$D,"&lt;&gt;Não se aplica",$C:$C,R2),COUNTIFS($A:$A,$S$1,$P:$P,"Enviado",$D:$D,"&lt;&gt;A partir de Fevereiro",$D:$D,"&lt;&gt;Não se aplica",$C:$C,R2)/COUNTIFS($A:$A,$S$1,$D:$D,"&lt;&gt;A partir de Fevereiro",$D:$D,"&lt;&gt;Não se aplica",$C:$C,R2)))))))))))))*100,0)</calculatedColumnFormula>
    </tableColumn>
    <tableColumn id="3" xr3:uid="{A1112B33-5412-445C-A770-012276DD0AAE}" name="Capacitação" dataDxfId="14">
      <calculatedColumnFormula>IFERROR(IF(MONTH(TODAY())=2,COUNTIFS($A:$A,$T$1,$E:$E,"Enviado",$D:$D,"&lt;&gt;A partir de Fevereiro",$D:$D,"&lt;&gt;Não se aplica",$C:$C,R2)/COUNTIFS($A:$A,$T$1,$D:$D,"&lt;&gt;A partir de Fevereiro",$D:$D,"&lt;&gt;Não se aplica",$C:$C,R2),IF(MONTH(TODAY())=3,COUNTIFS($A:$A,$T$1,$F:$F,"Enviado",$D:$D,"&lt;&gt;A partir de Fevereiro",$D:$D,"&lt;&gt;Não se aplica",$C:$C,R2)/COUNTIFS($A:$A,$T$1,$D:$D,"&lt;&gt;A partir de Fevereiro",$D:$D,"&lt;&gt;Não se aplica",$C:$C,R2),
IF(MONTH(TODAY())=4,COUNTIFS($A:$A,$T$1,$G:$G,"Enviado",$D:$D,"&lt;&gt;A partir de Fevereiro",$D:$D,"&lt;&gt;Não se aplica",$C:$C,R2)/COUNTIFS($A:$A,$T$1,$D:$D,"&lt;&gt;A partir de Fevereiro",$D:$D,"&lt;&gt;Não se aplica",$C:$C,R2),
IF(MONTH(TODAY())=5,COUNTIFS($A:$A,$T$1,$H:$H,"Enviado",$D:$D,"&lt;&gt;A partir de Fevereiro",$D:$D,"&lt;&gt;Não se aplica",$C:$C,R2)/COUNTIFS($A:$A,$T$1,$D:$D,"&lt;&gt;A partir de Fevereiro",$D:$D,"&lt;&gt;Não se aplica",$C:$C,R2),
IF(MONTH(TODAY())=6,COUNTIFS($A:$A,$T$1,$I:$I,"Enviado",$D:$D,"&lt;&gt;A partir de Fevereiro",$D:$D,"&lt;&gt;Não se aplica",$C:$C,R2)/COUNTIFS($A:$A,$T$1,$D:$D,"&lt;&gt;A partir de Fevereiro",$D:$D,"&lt;&gt;Não se aplica",$C:$C,R2),
IF(MONTH(TODAY())=7,COUNTIFS($A:$A,$T$1,$J:$J,"Enviado",$D:$D,"&lt;&gt;A partir de Fevereiro",$D:$D,"&lt;&gt;Não se aplica",$C:$C,R2)/COUNTIFS($A:$A,$T$1,$D:$D,"&lt;&gt;A partir de Fevereiro",$D:$D,"&lt;&gt;Não se aplica",$C:$C,R2),
IF(MONTH(TODAY())=8,COUNTIFS($A:$A,$T$1,$K:$K,"Enviado",$D:$D,"&lt;&gt;A partir de Fevereiro",$D:$D,"&lt;&gt;Não se aplica",$C:$C,R2)/COUNTIFS($A:$A,$T$1,$D:$D,"&lt;&gt;A partir de Fevereiro",$D:$D,"&lt;&gt;Não se aplica",$C:$C,R2),
IF(MONTH(TODAY())=9,COUNTIFS($A:$A,$T$1,$L:$L,"Enviado",$D:$D,"&lt;&gt;A partir de Fevereiro",$D:$D,"&lt;&gt;Não se aplica",$C:$C,R2)/COUNTIFS($A:$A,$T$1,$D:$D,"&lt;&gt;A partir de Fevereiro",$D:$D,"&lt;&gt;Não se aplica",$C:$C,R2),
IF(MONTH(TODAY())=10,COUNTIFS($A:$A,$T$1,$M:$M,"Enviado",$D:$D,"&lt;&gt;A partir de Fevereiro",$D:$D,"&lt;&gt;Não se aplica",$C:$C,R2)/COUNTIFS($A:$A,$T$1,$D:$D,"&lt;&gt;A partir de Fevereiro",$D:$D,"&lt;&gt;Não se aplica",$C:$C,R2),
IF(MONTH(TODAY())=11,COUNTIFS($A:$A,$T$1,$N:$N,"Enviado",$D:$D,"&lt;&gt;A partir de Fevereiro",$D:$D,"&lt;&gt;Não se aplica",$C:$C,R2)/COUNTIFS($A:$A,$T$1,$D:$D,"&lt;&gt;A partir de Fevereiro",$D:$D,"&lt;&gt;Não se aplica",$C:$C,R2),
IF(MONTH(TODAY())=12,COUNTIFS($A:$A,$T$1,$O:$O,"Enviado",$D:$D,"&lt;&gt;A partir de Fevereiro",$D:$D,"&lt;&gt;Não se aplica",$C:$C,R2)/COUNTIFS($A:$A,$T$1,$D:$D,"&lt;&gt;A partir de Fevereiro",$D:$D,"&lt;&gt;Não se aplica",$C:$C,R2),COUNTIFS($A:$A,$T$1,$P:$P,"Enviado",$D:$D,"&lt;&gt;A partir de Fevereiro",$D:$D,"&lt;&gt;Não se aplica",$C:$C,R2)/COUNTIFS($A:$A,$T$1,$D:$D,"&lt;&gt;A partir de Fevereiro",$D:$D,"&lt;&gt;Não se aplica",$C:$C,R2))))))))))))*100,0)</calculatedColumnFormula>
    </tableColumn>
    <tableColumn id="4" xr3:uid="{2C0A200D-A310-47BE-AD52-4F7A1AE9E24F}" name="Comportamento" dataDxfId="13">
      <calculatedColumnFormula>IFERROR((IF(MONTH(TODAY())=2,COUNTIFS($A:$A,$U$1,$E:$E,"Enviado",$D:$D,"&lt;&gt;A partir de Fevereiro",$D:$D,"&lt;&gt;Não se aplica",$C:$C,R2)/COUNTIFS($A:$A,$U$1,$D:$D,"&lt;&gt;A partir de Fevereiro",$D:$D,"&lt;&gt;Não se aplica",$C:$C,R2),IF(MONTH(TODAY())=3,COUNTIFS($A:$A,$U$1,$F:$F,"Enviado",$D:$D,"&lt;&gt;A partir de Fevereiro",$D:$D,"&lt;&gt;Não se aplica",$C:$C,R2)/COUNTIFS($A:$A,$U$1,$D:$D,"&lt;&gt;A partir de Fevereiro",$D:$D,"&lt;&gt;Não se aplica",$C:$C,R2),
IF(MONTH(TODAY())=4,COUNTIFS($A:$A,$U$1,$G:$G,"Enviado",$D:$D,"&lt;&gt;A partir de Fevereiro",$D:$D,"&lt;&gt;Não se aplica",$C:$C,R2)/COUNTIFS($A:$A,$U$1,$D:$D,"&lt;&gt;A partir de Fevereiro",$D:$D,"&lt;&gt;Não se aplica",$C:$C,R2),
IF(MONTH(TODAY())=5,COUNTIFS($A:$A,$U$1,$H:$H,"Enviado",$D:$D,"&lt;&gt;A partir de Fevereiro",$D:$D,"&lt;&gt;Não se aplica",$C:$C,R2)/COUNTIFS($A:$A,$U$1,$D:$D,"&lt;&gt;A partir de Fevereiro",$D:$D,"&lt;&gt;Não se aplica",$C:$C,R2),
IF(MONTH(TODAY())=6,COUNTIFS($A:$A,$U$1,$I:$I,"Enviado",$D:$D,"&lt;&gt;A partir de Fevereiro",$D:$D,"&lt;&gt;Não se aplica",$C:$C,R2)/COUNTIFS($A:$A,$U$1,$D:$D,"&lt;&gt;A partir de Fevereiro",$D:$D,"&lt;&gt;Não se aplica",$C:$C,R2),
IF(MONTH(TODAY())=7,COUNTIFS($A:$A,$U$1,$J:$J,"Enviado",$D:$D,"&lt;&gt;A partir de Fevereiro",$D:$D,"&lt;&gt;Não se aplica",$C:$C,R2)/COUNTIFS($A:$A,$U$1,$D:$D,"&lt;&gt;A partir de Fevereiro",$D:$D,"&lt;&gt;Não se aplica",$C:$C,R2),
IF(MONTH(TODAY())=8,COUNTIFS($A:$A,$U$1,$K:$K,"Enviado",$D:$D,"&lt;&gt;A partir de Fevereiro",$D:$D,"&lt;&gt;Não se aplica",$C:$C,R2)/COUNTIFS($A:$A,$U$1,$D:$D,"&lt;&gt;A partir de Fevereiro",$D:$D,"&lt;&gt;Não se aplica",$C:$C,R2),
IF(MONTH(TODAY())=9,COUNTIFS($A:$A,$U$1,$L:$L,"Enviado",$D:$D,"&lt;&gt;A partir de Fevereiro",$D:$D,"&lt;&gt;Não se aplica",$C:$C,R2)/COUNTIFS($A:$A,$U$1,$D:$D,"&lt;&gt;A partir de Fevereiro",$D:$D,"&lt;&gt;Não se aplica",$C:$C,R2),
IF(MONTH(TODAY())=10,COUNTIFS($A:$A,$U$1,$M:$M,"Enviado",$D:$D,"&lt;&gt;A partir de Fevereiro",$D:$D,"&lt;&gt;Não se aplica",$C:$C,R2)/COUNTIFS($A:$A,$U$1,$D:$D,"&lt;&gt;A partir de Fevereiro",$D:$D,"&lt;&gt;Não se aplica",$C:$C,R2),
IF(MONTH(TODAY())=11,COUNTIFS($A:$A,$U$1,$N:$N,"Enviado",$D:$D,"&lt;&gt;A partir de Fevereiro",$D:$D,"&lt;&gt;Não se aplica",$C:$C,R2)/COUNTIFS($A:$A,$U$1,$D:$D,"&lt;&gt;A partir de Fevereiro",$D:$D,"&lt;&gt;Não se aplica",$C:$C,R2),
IF(MONTH(TODAY())=12,COUNTIFS($A:$A,$U$1,$O:$O,"Enviado",$D:$D,"&lt;&gt;A partir de Fevereiro",$D:$D,"&lt;&gt;Não se aplica",$C:$C,R2)/COUNTIFS($A:$A,$U$1,$D:$D,"&lt;&gt;A partir de Fevereiro",$D:$D,"&lt;&gt;Não se aplica",$C:$C,R2),COUNTIFS($A:$A,$U$1,$P:$P,"Enviado",$D:$D,"&lt;&gt;A partir de Fevereiro",$D:$D,"&lt;&gt;Não se aplica",$C:$C,R2)/COUNTIFS($A:$A,$U$1,$D:$D,"&lt;&gt;A partir de Fevereiro",$D:$D,"&lt;&gt;Não se aplica",$C:$C,R2)))))))))))))*100,0)</calculatedColumnFormula>
    </tableColumn>
    <tableColumn id="5" xr3:uid="{3A242407-F064-4516-B8BC-DD39F0FB3759}" name="Fornecedor" dataDxfId="12">
      <calculatedColumnFormula>IFERROR((IF(MONTH(TODAY())=2,COUNTIFS($A:$A,$V$1,$E:$E,"Enviado",$C:$C,R2)/COUNTIFS($A:$A,$V$1,$C:$C,R2),IF(MONTH(TODAY())=3,COUNTIFS($A:$A,$V$1,$F:$F,"Enviado",$D:$D,"&lt;&gt;A partir de Fevereiro",$D:$D,"&lt;&gt;Não se aplica",$C:$C,R2)/COUNTIFS($A:$A,$V$1,$D:$D,"&lt;&gt;A partir de Fevereiro",$D:$D,"&lt;&gt;Não se aplica",$C:$C,R2),
IF(MONTH(TODAY())=4,COUNTIFS($A:$A,$V$1,$G:$G,"Enviado",$D:$D,"&lt;&gt;A partir de Fevereiro",$D:$D,"&lt;&gt;Não se aplica",$C:$C,R2)/COUNTIFS($A:$A,$V$1,$D:$D,"&lt;&gt;A partir de Fevereiro",$D:$D,"&lt;&gt;Não se aplica",$C:$C,R2),
IF(MONTH(TODAY())=5,COUNTIFS($A:$A,$V$1,$H:$H,"Enviado",$D:$D,"&lt;&gt;A partir de Fevereiro",$D:$D,"&lt;&gt;Não se aplica",$C:$C,R2)/COUNTIFS($A:$A,$V$1,$D:$D,"&lt;&gt;A partir de Fevereiro",$D:$D,"&lt;&gt;Não se aplica",$C:$C,R2),
IF(MONTH(TODAY())=6,COUNTIFS($A:$A,$V$1,$I:$I,"Enviado",$D:$D,"&lt;&gt;A partir de Fevereiro",$D:$D,"&lt;&gt;Não se aplica",$C:$C,R2)/COUNTIFS($A:$A,$V$1,$D:$D,"&lt;&gt;A partir de Fevereiro",$D:$D,"&lt;&gt;Não se aplica",$C:$C,R2),
IF(MONTH(TODAY())=7,COUNTIFS($A:$A,$V$1,$J:$J,"Enviado",$D:$D,"&lt;&gt;A partir de Fevereiro",$D:$D,"&lt;&gt;Não se aplica",$C:$C,R2)/COUNTIFS($A:$A,$V$1,$D:$D,"&lt;&gt;A partir de Fevereiro",$D:$D,"&lt;&gt;Não se aplica",$C:$C,R2),
IF(MONTH(TODAY())=8,COUNTIFS($A:$A,$V$1,$K:$K,"Enviado",$D:$D,"&lt;&gt;A partir de Fevereiro",$D:$D,"&lt;&gt;Não se aplica",$C:$C,R2)/COUNTIFS($A:$A,$V$1,$D:$D,"&lt;&gt;A partir de Fevereiro",$D:$D,"&lt;&gt;Não se aplica",$C:$C,R2),
IF(MONTH(TODAY())=9,COUNTIFS($A:$A,$V$1,$L:$L,"Enviado",$D:$D,"&lt;&gt;A partir de Fevereiro",$D:$D,"&lt;&gt;Não se aplica",$C:$C,R2)/COUNTIFS($A:$A,$V$1,$D:$D,"&lt;&gt;A partir de Fevereiro",$D:$D,"&lt;&gt;Não se aplica",$C:$C,R2),
IF(MONTH(TODAY())=10,COUNTIFS($A:$A,$V$1,$M:$M,"Enviado",$D:$D,"&lt;&gt;A partir de Fevereiro",$D:$D,"&lt;&gt;Não se aplica",$C:$C,R2)/COUNTIFS($A:$A,$V$1,$D:$D,"&lt;&gt;A partir de Fevereiro",$D:$D,"&lt;&gt;Não se aplica",$C:$C,R2),
IF(MONTH(TODAY())=11,COUNTIFS($A:$A,$V$1,$N:$N,"Enviado",$D:$D,"&lt;&gt;A partir de Fevereiro",$D:$D,"&lt;&gt;Não se aplica",$C:$C,R2)/COUNTIFS($A:$A,$V$1,$D:$D,"&lt;&gt;A partir de Fevereiro",$D:$D,"&lt;&gt;Não se aplica",$C:$C,R2),
IF(MONTH(TODAY())=12,COUNTIFS($A:$A,$V$1,$O:$O,"Enviado",$D:$D,"&lt;&gt;A partir de Fevereiro",$D:$D,"&lt;&gt;Não se aplica",$C:$C,R2)/COUNTIFS($A:$A,$V$1,$D:$D,"&lt;&gt;A partir de Fevereiro",$D:$D,"&lt;&gt;Não se aplica",$C:$C,R2),COUNTIFS($A:$A,$V$1,$P:$P,"Enviado",$D:$D,"&lt;&gt;A partir de Fevereiro",$D:$D,"&lt;&gt;Não se aplica",$C:$C,R2)/COUNTIFS($A:$A,$V$1,$D:$D,"&lt;&gt;A partir de Fevereiro",$D:$D,"&lt;&gt;Não se aplica",$C:$C,R2)))))))))))))*100,0)</calculatedColumnFormula>
    </tableColumn>
    <tableColumn id="6" xr3:uid="{36B07CDC-1256-4ABE-AD18-DBAE8BD42EC3}" name="Liderança" dataDxfId="11">
      <calculatedColumnFormula>IFERROR((IF(MONTH(TODAY())=2,COUNTIFS($A:$A,$W$1,$E:$E,"Enviado",$D:$D,"&lt;&gt;A partir de Fevereiro",$D:$D,"&lt;&gt;Não se aplica",$C:$C,R2)/COUNTIFS($A:$A,$W$1,$D:$D,"&lt;&gt;A partir de Fevereiro",$D:$D,"&lt;&gt;Não se aplica",$C:$C,R2),IF(MONTH(TODAY())=3,COUNTIFS($A:$A,$W$1,$F:$F,"Enviado",$D:$D,"&lt;&gt;A partir de Fevereiro",$D:$D,"&lt;&gt;Não se aplica",$C:$C,R2)/COUNTIFS($A:$A,$W$1,$D:$D,"&lt;&gt;A partir de Fevereiro",$D:$D,"&lt;&gt;Não se aplica",$C:$C,R2),
IF(MONTH(TODAY())=4,COUNTIFS($A:$A,$W$1,$G:$G,"Enviado",$D:$D,"&lt;&gt;A partir de Fevereiro",$D:$D,"&lt;&gt;Não se aplica",$C:$C,R2)/COUNTIFS($A:$A,$W$1,$D:$D,"&lt;&gt;A partir de Fevereiro",$D:$D,"&lt;&gt;Não se aplica",$C:$C,R2),
IF(MONTH(TODAY())=5,COUNTIFS($A:$A,$W$1,$H:$H,"Enviado",$D:$D,"&lt;&gt;A partir de Fevereiro",$D:$D,"&lt;&gt;Não se aplica",$C:$C,R2)/COUNTIFS($A:$A,$W$1,$D:$D,"&lt;&gt;A partir de Fevereiro",$D:$D,"&lt;&gt;Não se aplica",$C:$C,R2),
IF(MONTH(TODAY())=6,COUNTIFS($A:$A,$W$1,$I:$I,"Enviado",$D:$D,"&lt;&gt;A partir de Fevereiro",$D:$D,"&lt;&gt;Não se aplica",$C:$C,R2)/COUNTIFS($A:$A,$W$1,$D:$D,"&lt;&gt;A partir de Fevereiro",$D:$D,"&lt;&gt;Não se aplica",$C:$C,R2),
IF(MONTH(TODAY())=7,COUNTIFS($A:$A,$W$1,$J:$J,"Enviado",$D:$D,"&lt;&gt;A partir de Fevereiro",$D:$D,"&lt;&gt;Não se aplica",$C:$C,R2)/COUNTIFS($A:$A,$W$1,$D:$D,"&lt;&gt;A partir de Fevereiro",$D:$D,"&lt;&gt;Não se aplica",$C:$C,R2),
IF(MONTH(TODAY())=8,COUNTIFS($A:$A,$W$1,$K:$K,"Enviado",$D:$D,"&lt;&gt;A partir de Fevereiro",$D:$D,"&lt;&gt;Não se aplica",$C:$C,R2)/COUNTIFS($A:$A,$W$1,$D:$D,"&lt;&gt;A partir de Fevereiro",$D:$D,"&lt;&gt;Não se aplica",$C:$C,R2),
IF(MONTH(TODAY())=9,COUNTIFS($A:$A,$W$1,$L:$L,"Enviado",$D:$D,"&lt;&gt;A partir de Fevereiro",$D:$D,"&lt;&gt;Não se aplica",$C:$C,R2)/COUNTIFS($A:$A,$W$1,$D:$D,"&lt;&gt;A partir de Fevereiro",$D:$D,"&lt;&gt;Não se aplica",$C:$C,R2),
IF(MONTH(TODAY())=10,COUNTIFS($A:$A,$W$1,$M:$M,"Enviado",$D:$D,"&lt;&gt;A partir de Fevereiro",$D:$D,"&lt;&gt;Não se aplica",$C:$C,R2)/COUNTIFS($A:$A,$W$1,$D:$D,"&lt;&gt;A partir de Fevereiro",$D:$D,"&lt;&gt;Não se aplica",$C:$C,R2),
IF(MONTH(TODAY())=11,COUNTIFS($A:$A,$W$1,$N:$N,"Enviado",$D:$D,"&lt;&gt;A partir de Fevereiro",$D:$D,"&lt;&gt;Não se aplica",$C:$C,R2)/COUNTIFS($A:$A,$W$1,$D:$D,"&lt;&gt;A partir de Fevereiro",$D:$D,"&lt;&gt;Não se aplica",$C:$C,R2),
IF(MONTH(TODAY())=12,COUNTIFS($A:$A,$W$1,$O:$O,"Enviado",$D:$D,"&lt;&gt;A partir de Fevereiro",$D:$D,"&lt;&gt;Não se aplica",$C:$C,R2)/COUNTIFS($A:$A,$W$1,$D:$D,"&lt;&gt;A partir de Fevereiro",$D:$D,"&lt;&gt;Não se aplica",$C:$C,R2),COUNTIFS($A:$A,$W$1,$P:$P,"Enviado",$D:$D,"&lt;&gt;A partir de Fevereiro",$D:$D,"&lt;&gt;Não se aplica",$C:$C,R2)/COUNTIFS($A:$A,$W$1,$D:$D,"&lt;&gt;A partir de Fevereiro",$D:$D,"&lt;&gt;Não se aplica",$C:$C,R2)))))))))))))*100,0)</calculatedColumnFormula>
    </tableColumn>
    <tableColumn id="7" xr3:uid="{CBFA66DA-34FA-45AE-874C-0045AB514107}" name="PopEnt" dataDxfId="10">
      <calculatedColumnFormula>COUNTIFS($A:$A,$S$1,$D:$D,"&lt;&gt;A partir de Fevereiro",$D:$D,"&lt;&gt;Não se aplica",$C:$C,R2)</calculatedColumnFormula>
    </tableColumn>
    <tableColumn id="8" xr3:uid="{D12C6A56-D330-406E-AB3F-CFB7A8155FB0}" name="CapEnt" dataDxfId="9">
      <calculatedColumnFormula>COUNTIFS($A:$A,$T$1,$D:$D,"&lt;&gt;A partir de Fevereiro",$D:$D,"&lt;&gt;Não se aplica",$C:$C,R2)</calculatedColumnFormula>
    </tableColumn>
    <tableColumn id="9" xr3:uid="{B4F240F2-6970-4550-9FE3-6ACB22E891B0}" name="CompEnt" dataDxfId="8">
      <calculatedColumnFormula>COUNTIFS($A:$A,$U$1,$D:$D,"&lt;&gt;A partir de Fevereiro",$D:$D,"&lt;&gt;Não se aplica",$C:$C,R2)</calculatedColumnFormula>
    </tableColumn>
    <tableColumn id="10" xr3:uid="{1155F4F6-780F-4926-B2A0-A757DAF58871}" name="FornEnt" dataDxfId="7">
      <calculatedColumnFormula>COUNTIFS($A:$A,$V$1,$D:$D,"&lt;&gt;A partir de Fevereiro",$D:$D,"&lt;&gt;Não se aplica",$C:$C,R2)</calculatedColumnFormula>
    </tableColumn>
    <tableColumn id="11" xr3:uid="{617535F9-9A26-4C06-8340-D847D0168515}" name="LidEnt" dataDxfId="6">
      <calculatedColumnFormula>COUNTIFS($A:$A,$W$1,$D:$D,"&lt;&gt;A partir de Fevereiro",$D:$D,"&lt;&gt;Não se aplica",$C:$C,R2)</calculatedColumnFormula>
    </tableColumn>
    <tableColumn id="12" xr3:uid="{85ED7858-30A0-47EA-ADD8-3585B29E1A98}" name="PopJaEntr" dataDxfId="5">
      <calculatedColumnFormula>IF(MONTH(TODAY())=2,COUNTIFS($A:$A,$S$1,$E:$E,"Enviado",$D:$D,"&lt;&gt;A partir de Fevereiro",$D:$D,"&lt;&gt;Não se aplica",$C:$C,R2),
IF(MONTH(TODAY())=3,COUNTIFS($A:$A,$S$1,$F:$F,"Enviado",$D:$D,"&lt;&gt;A partir de Fevereiro",$D:$D,"&lt;&gt;Não se aplica",$C:$C,R2),
IF(MONTH(TODAY())=4,COUNTIFS($A:$A,$S$1,$G:$G,"Enviado",$D:$D,"&lt;&gt;A partir de Fevereiro",$D:$D,"&lt;&gt;Não se aplica",$C:$C,R2),
IF(MONTH(TODAY())=5,COUNTIFS($A:$A,$S$1,$H:$H,"Enviado",$D:$D,"&lt;&gt;A partir de Fevereiro",$D:$D,"&lt;&gt;Não se aplica",$C:$C,R2),
IF(MONTH(TODAY())=6,COUNTIFS($A:$A,$S$1,$I:$I,"Enviado",$D:$D,"&lt;&gt;A partir de Fevereiro",$D:$D,"&lt;&gt;Não se aplica",$C:$C,R2),
IF(MONTH(TODAY())=7,COUNTIFS($A:$A,$S$1,$J:$J,"Enviado",$D:$D,"&lt;&gt;A partir de Fevereiro",$D:$D,"&lt;&gt;Não se aplica",$C:$C,R2),
IF(MONTH(TODAY())=8,COUNTIFS($A:$A,$S$1,$K:$K,"Enviado",$D:$D,"&lt;&gt;A partir de Fevereiro",$D:$D,"&lt;&gt;Não se aplica",$C:$C,R2),
IF(MONTH(TODAY())=9,COUNTIFS($A:$A,$S$1,$L:$L,"Enviado",$D:$D,"&lt;&gt;A partir de Fevereiro",$D:$D,"&lt;&gt;Não se aplica",$C:$C,R2),
IF(MONTH(TODAY())=10,COUNTIFS($A:$A,$S$1,$M:$M,"Enviado",$D:$D,"&lt;&gt;A partir de Fevereiro",$D:$D,"&lt;&gt;Não se aplica",$C:$C,R2),
IF(MONTH(TODAY())=11,COUNTIFS($A:$A,$S$1,$N:$N,"Enviado",$D:$D,"&lt;&gt;A partir de Fevereiro",$D:$D,"&lt;&gt;Não se aplica",$C:$C,R2),
IF(MONTH(TODAY())=12,COUNTIFS($A:$A,$S$1,$O:$O,"Enviado",$D:$D,"&lt;&gt;A partir de Fevereiro",$D:$D,"&lt;&gt;Não se aplica",$C:$C,R2),COUNTIFS($A:$A,$S$1,$P:$P,"Enviado",$D:$D,"&lt;&gt;A partir de Fevereiro",$D:$D,"&lt;&gt;Não se aplica",$C:$C,R2))))))))))))</calculatedColumnFormula>
    </tableColumn>
    <tableColumn id="13" xr3:uid="{9C0CF162-29BE-462B-92CB-EFD1A9EC2B5C}" name="CapJaEntr" dataDxfId="4">
      <calculatedColumnFormula>IF(MONTH(TODAY())=2,COUNTIFS($A:$A,$T$1,$E:$E,"Enviado",$D:$D,"&lt;&gt;A partir de Fevereiro",$D:$D,"&lt;&gt;Não se aplica",$C:$C,R2),
IF(MONTH(TODAY())=3,COUNTIFS($A:$A,$T$1,$F:$F,"Enviado",$D:$D,"&lt;&gt;A partir de Fevereiro",$D:$D,"&lt;&gt;Não se aplica",$C:$C,R2),
IF(MONTH(TODAY())=4,COUNTIFS($A:$A,$T$1,$G:$G,"Enviado",$D:$D,"&lt;&gt;A partir de Fevereiro",$D:$D,"&lt;&gt;Não se aplica",$C:$C,R2),
IF(MONTH(TODAY())=5,COUNTIFS($A:$A,$T$1,$H:$H,"Enviado",$D:$D,"&lt;&gt;A partir de Fevereiro",$D:$D,"&lt;&gt;Não se aplica",$C:$C,R2),
IF(MONTH(TODAY())=6,COUNTIFS($A:$A,$T$1,$I:$I,"Enviado",$D:$D,"&lt;&gt;A partir de Fevereiro",$D:$D,"&lt;&gt;Não se aplica",$C:$C,R2),
IF(MONTH(TODAY())=7,COUNTIFS($A:$A,$T$1,$J:$J,"Enviado",$D:$D,"&lt;&gt;A partir de Fevereiro",$D:$D,"&lt;&gt;Não se aplica",$C:$C,R2),
IF(MONTH(TODAY())=8,COUNTIFS($A:$A,$T$1,$K:$K,"Enviado",$D:$D,"&lt;&gt;A partir de Fevereiro",$D:$D,"&lt;&gt;Não se aplica",$C:$C,R2),
IF(MONTH(TODAY())=9,COUNTIFS($A:$A,$T$1,$L:$L,"Enviado",$D:$D,"&lt;&gt;A partir de Fevereiro",$D:$D,"&lt;&gt;Não se aplica",$C:$C,R2),
IF(MONTH(TODAY())=10,COUNTIFS($A:$A,$T$1,$M:$M,"Enviado",$D:$D,"&lt;&gt;A partir de Fevereiro",$D:$D,"&lt;&gt;Não se aplica",$C:$C,R2),
IF(MONTH(TODAY())=11,COUNTIFS($A:$A,$T$1,$N:$N,"Enviado",$D:$D,"&lt;&gt;A partir de Fevereiro",$D:$D,"&lt;&gt;Não se aplica",$C:$C,R2),
IF(MONTH(TODAY())=12,COUNTIFS($A:$A,$T$1,$O:$O,"Enviado",$D:$D,"&lt;&gt;A partir de Fevereiro",$D:$D,"&lt;&gt;Não se aplica",$C:$C,R2),COUNTIFS($A:$A,$T$1,$P:$P,"Enviado",$D:$D,"&lt;&gt;A partir de Fevereiro",$D:$D,"&lt;&gt;Não se aplica",$C:$C,R2))))))))))))</calculatedColumnFormula>
    </tableColumn>
    <tableColumn id="14" xr3:uid="{7D9C2B32-0877-4F6C-9FC0-E623A7AF1E36}" name="CompJaEntr" dataDxfId="3">
      <calculatedColumnFormula>IF(MONTH(TODAY())=2,COUNTIFS($A:$A,$U$1,$E:$E,"Enviado",$D:$D,"&lt;&gt;A partir de Fevereiro",$D:$D,"&lt;&gt;Não se aplica",$C:$C,R2),
IF(MONTH(TODAY())=3,COUNTIFS($A:$A,$U$1,$F:$F,"Enviado",$D:$D,"&lt;&gt;A partir de Fevereiro",$D:$D,"&lt;&gt;Não se aplica",$C:$C,R2),
IF(MONTH(TODAY())=4,COUNTIFS($A:$A,$U$1,$G:$G,"Enviado",$D:$D,"&lt;&gt;A partir de Fevereiro",$D:$D,"&lt;&gt;Não se aplica",$C:$C,R2),
IF(MONTH(TODAY())=5,COUNTIFS($A:$A,$U$1,$H:$H,"Enviado",$D:$D,"&lt;&gt;A partir de Fevereiro",$D:$D,"&lt;&gt;Não se aplica",$C:$C,R2),
IF(MONTH(TODAY())=6,COUNTIFS($A:$A,$U$1,$I:$I,"Enviado",$D:$D,"&lt;&gt;A partir de Fevereiro",$D:$D,"&lt;&gt;Não se aplica",$C:$C,R2),
IF(MONTH(TODAY())=7,COUNTIFS($A:$A,$U$1,$J:$J,"Enviado",$D:$D,"&lt;&gt;A partir de Fevereiro",$D:$D,"&lt;&gt;Não se aplica",$C:$C,R2),
IF(MONTH(TODAY())=8,COUNTIFS($A:$A,$U$1,$K:$K,"Enviado",$D:$D,"&lt;&gt;A partir de Fevereiro",$D:$D,"&lt;&gt;Não se aplica",$C:$C,R2),
IF(MONTH(TODAY())=9,COUNTIFS($A:$A,$U$1,$L:$L,"Enviado",$D:$D,"&lt;&gt;A partir de Fevereiro",$D:$D,"&lt;&gt;Não se aplica",$C:$C,R2),
IF(MONTH(TODAY())=10,COUNTIFS($A:$A,$U$1,$M:$M,"Enviado",$D:$D,"&lt;&gt;A partir de Fevereiro",$D:$D,"&lt;&gt;Não se aplica",$C:$C,R2),
IF(MONTH(TODAY())=11,COUNTIFS($A:$A,$U$1,$N:$N,"Enviado",$D:$D,"&lt;&gt;A partir de Fevereiro",$D:$D,"&lt;&gt;Não se aplica",$C:$C,R2),
IF(MONTH(TODAY())=12,COUNTIFS($A:$A,$U$1,$O:$O,"Enviado",$D:$D,"&lt;&gt;A partir de Fevereiro",$D:$D,"&lt;&gt;Não se aplica",$C:$C,R2),COUNTIFS($A:$A,$U$1,$P:$P,"Enviado",$D:$D,"&lt;&gt;A partir de Fevereiro",$D:$D,"&lt;&gt;Não se aplica",$C:$C,R2))))))))))))</calculatedColumnFormula>
    </tableColumn>
    <tableColumn id="15" xr3:uid="{27D12A2E-DBA6-407C-9BDB-826A07A10069}" name="FornJaEntr" dataDxfId="2">
      <calculatedColumnFormula>IF(MONTH(TODAY())=2,COUNTIFS($A:$A,$V$1,$E:$E,"Enviado",$D:$D,"&lt;&gt;A partir de Fevereiro",$D:$D,"&lt;&gt;Não se aplica",$C:$C,R2),
IF(MONTH(TODAY())=3,COUNTIFS($A:$A,$V$1,$F:$F,"Enviado",$D:$D,"&lt;&gt;A partir de Fevereiro",$D:$D,"&lt;&gt;Não se aplica",$C:$C,R2),
IF(MONTH(TODAY())=4,COUNTIFS($A:$A,$V$1,$G:$G,"Enviado",$D:$D,"&lt;&gt;A partir de Fevereiro",$D:$D,"&lt;&gt;Não se aplica",$C:$C,R2),
IF(MONTH(TODAY())=5,COUNTIFS($A:$A,$V$1,$H:$H,"Enviado",$D:$D,"&lt;&gt;A partir de Fevereiro",$D:$D,"&lt;&gt;Não se aplica",$C:$C,R2),
IF(MONTH(TODAY())=6,COUNTIFS($A:$A,$V$1,$I:$I,"Enviado",$D:$D,"&lt;&gt;A partir de Fevereiro",$D:$D,"&lt;&gt;Não se aplica",$C:$C,R2),
IF(MONTH(TODAY())=7,COUNTIFS($A:$A,$V$1,$J:$J,"Enviado",$D:$D,"&lt;&gt;A partir de Fevereiro",$D:$D,"&lt;&gt;Não se aplica",$C:$C,R2),
IF(MONTH(TODAY())=8,COUNTIFS($A:$A,$V$1,$K:$K,"Enviado",$D:$D,"&lt;&gt;A partir de Fevereiro",$D:$D,"&lt;&gt;Não se aplica",$C:$C,R2),
IF(MONTH(TODAY())=9,COUNTIFS($A:$A,$V$1,$L:$L,"Enviado",$D:$D,"&lt;&gt;A partir de Fevereiro",$D:$D,"&lt;&gt;Não se aplica",$C:$C,R2),
IF(MONTH(TODAY())=10,COUNTIFS($A:$A,$V$1,$M:$M,"Enviado",$D:$D,"&lt;&gt;A partir de Fevereiro",$D:$D,"&lt;&gt;Não se aplica",$C:$C,R2),
IF(MONTH(TODAY())=11,COUNTIFS($A:$A,$V$1,$N:$N,"Enviado",$D:$D,"&lt;&gt;A partir de Fevereiro",$D:$D,"&lt;&gt;Não se aplica",$C:$C,R2),
IF(MONTH(TODAY())=12,COUNTIFS($A:$A,$V$1,$O:$O,"Enviado",$D:$D,"&lt;&gt;A partir de Fevereiro",$D:$D,"&lt;&gt;Não se aplica",$C:$C,R2),COUNTIFS($A:$A,$V$1,$P:$P,"Enviado",$D:$D,"&lt;&gt;A partir de Fevereiro",$D:$D,"&lt;&gt;Não se aplica",$C:$C,R2))))))))))))</calculatedColumnFormula>
    </tableColumn>
    <tableColumn id="16" xr3:uid="{2648CE99-2B69-43C7-B07B-C7289676FCE9}" name="LidJaEntr" dataDxfId="1">
      <calculatedColumnFormula>IF(MONTH(TODAY())=2,COUNTIFS($A:$A,$W$1,$E:$E,"Enviado",$D:$D,"&lt;&gt;A partir de Fevereiro",$D:$D,"&lt;&gt;Não se aplica",$C:$C,R2),
IF(MONTH(TODAY())=3,COUNTIFS($A:$A,$W$1,$F:$F,"Enviado",$D:$D,"&lt;&gt;A partir de Fevereiro",$D:$D,"&lt;&gt;Não se aplica",$C:$C,R2),
IF(MONTH(TODAY())=4,COUNTIFS($A:$A,$W$1,$G:$G,"Enviado",$D:$D,"&lt;&gt;A partir de Fevereiro",$D:$D,"&lt;&gt;Não se aplica",$C:$C,R2),
IF(MONTH(TODAY())=5,COUNTIFS($A:$A,$W$1,$H:$H,"Enviado",$D:$D,"&lt;&gt;A partir de Fevereiro",$D:$D,"&lt;&gt;Não se aplica",$C:$C,R2),
IF(MONTH(TODAY())=6,COUNTIFS($A:$A,$W$1,$I:$I,"Enviado",$D:$D,"&lt;&gt;A partir de Fevereiro",$D:$D,"&lt;&gt;Não se aplica",$C:$C,R2),
IF(MONTH(TODAY())=7,COUNTIFS($A:$A,$W$1,$J:$J,"Enviado",$D:$D,"&lt;&gt;A partir de Fevereiro",$D:$D,"&lt;&gt;Não se aplica",$C:$C,R2),
IF(MONTH(TODAY())=8,COUNTIFS($A:$A,$W$1,$K:$K,"Enviado",$D:$D,"&lt;&gt;A partir de Fevereiro",$D:$D,"&lt;&gt;Não se aplica",$C:$C,R2),
IF(MONTH(TODAY())=9,COUNTIFS($A:$A,$W$1,$L:$L,"Enviado",$D:$D,"&lt;&gt;A partir de Fevereiro",$D:$D,"&lt;&gt;Não se aplica",$C:$C,R2),
IF(MONTH(TODAY())=10,COUNTIFS($A:$A,$W$1,$M:$M,"Enviado",$D:$D,"&lt;&gt;A partir de Fevereiro",$D:$D,"&lt;&gt;Não se aplica",$C:$C,R2),
IF(MONTH(TODAY())=11,COUNTIFS($A:$A,$W$1,$N:$N,"Enviado",$D:$D,"&lt;&gt;A partir de Fevereiro",$D:$D,"&lt;&gt;Não se aplica",$C:$C,R2),
IF(MONTH(TODAY())=12,COUNTIFS($A:$A,$W$1,$O:$O,"Enviado",$D:$D,"&lt;&gt;A partir de Fevereiro",$D:$D,"&lt;&gt;Não se aplica",$C:$C,R2),COUNTIFS($A:$A,$W$1,$P:$P,"Enviado",$D:$D,"&lt;&gt;A partir de Fevereiro",$D:$D,"&lt;&gt;Não se aplica",$C:$C,R2))))))))))))</calculatedColumnFormula>
    </tableColumn>
    <tableColumn id="17" xr3:uid="{70999948-18B4-43E8-B634-601C7D8C2404}" name="__PowerAppsId__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J1" dT="2025-02-07T14:05:55.87" personId="{809A1172-4B33-4FCA-B01B-8AC3AFDC6661}" id="{1EBF1651-0C0C-43C1-9077-6CE6B72C5116}">
    <text>Em Março, alterar a fórmula para 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C724-BB18-4B8A-B642-0581FC14C1A2}">
  <sheetPr filterMode="1">
    <tabColor rgb="FF00B050"/>
  </sheetPr>
  <dimension ref="A1:BS2779"/>
  <sheetViews>
    <sheetView tabSelected="1" zoomScale="85" zoomScaleNormal="85" workbookViewId="0">
      <pane xSplit="7" ySplit="1" topLeftCell="AE661" activePane="bottomRight" state="frozen"/>
      <selection pane="topRight" activeCell="G1" sqref="G1"/>
      <selection pane="bottomLeft" activeCell="A2" sqref="A2"/>
      <selection pane="bottomRight" activeCell="G782" sqref="G782"/>
    </sheetView>
  </sheetViews>
  <sheetFormatPr defaultColWidth="9.109375" defaultRowHeight="25.95" customHeight="1" x14ac:dyDescent="0.3"/>
  <cols>
    <col min="1" max="1" width="13.6640625" customWidth="1"/>
    <col min="2" max="2" width="32.88671875" customWidth="1"/>
    <col min="3" max="4" width="9.109375" customWidth="1"/>
    <col min="5" max="5" width="15.33203125" customWidth="1"/>
    <col min="6" max="6" width="13.109375" customWidth="1"/>
    <col min="7" max="8" width="8.88671875" customWidth="1"/>
    <col min="9" max="9" width="25.5546875" customWidth="1"/>
    <col min="10" max="10" width="23.5546875" customWidth="1"/>
    <col min="11" max="11" width="22.88671875" customWidth="1"/>
    <col min="12" max="12" width="39.33203125" customWidth="1"/>
    <col min="13" max="13" width="8.88671875" customWidth="1"/>
    <col min="14" max="14" width="16.109375" customWidth="1"/>
    <col min="15" max="15" width="9.109375" customWidth="1"/>
    <col min="16" max="16" width="7.88671875" customWidth="1"/>
    <col min="17" max="20" width="8.88671875" customWidth="1"/>
    <col min="21" max="21" width="9.33203125" customWidth="1"/>
    <col min="22" max="24" width="8.88671875" customWidth="1"/>
    <col min="25" max="25" width="9.109375" customWidth="1"/>
    <col min="26" max="26" width="10.88671875" customWidth="1"/>
    <col min="27" max="27" width="9" customWidth="1"/>
    <col min="28" max="31" width="8.88671875" customWidth="1"/>
    <col min="32" max="33" width="9.109375" customWidth="1"/>
    <col min="34" max="34" width="11.6640625" customWidth="1"/>
    <col min="35" max="35" width="10.44140625" customWidth="1"/>
    <col min="36" max="36" width="10.5546875" customWidth="1"/>
    <col min="37" max="37" width="11.109375" customWidth="1"/>
    <col min="38" max="38" width="10.88671875" customWidth="1"/>
    <col min="39" max="39" width="8.88671875" customWidth="1"/>
    <col min="40" max="40" width="10.44140625" customWidth="1"/>
    <col min="41" max="43" width="8.88671875" customWidth="1"/>
    <col min="44" max="44" width="12.109375" customWidth="1"/>
    <col min="45" max="45" width="13.88671875" customWidth="1"/>
    <col min="46" max="47" width="14.109375" customWidth="1"/>
    <col min="48" max="48" width="9.109375" customWidth="1"/>
    <col min="49" max="50" width="15.44140625" customWidth="1"/>
    <col min="51" max="51" width="15.109375" customWidth="1"/>
    <col min="52" max="52" width="12.33203125" customWidth="1"/>
    <col min="53" max="53" width="15.44140625" customWidth="1"/>
    <col min="54" max="54" width="9.109375" customWidth="1"/>
    <col min="55" max="55" width="11.33203125" customWidth="1"/>
    <col min="56" max="56" width="15.44140625" customWidth="1"/>
    <col min="57" max="58" width="15.109375" customWidth="1"/>
    <col min="59" max="60" width="15.44140625" customWidth="1"/>
    <col min="61" max="61" width="12.88671875" customWidth="1"/>
    <col min="62" max="62" width="15.5546875" customWidth="1"/>
    <col min="63" max="63" width="15.6640625" customWidth="1"/>
    <col min="64" max="64" width="14.88671875" customWidth="1"/>
    <col min="65" max="65" width="13.33203125" customWidth="1"/>
    <col min="66" max="66" width="9.109375" customWidth="1"/>
    <col min="67" max="67" width="11" customWidth="1"/>
    <col min="68" max="68" width="12.33203125" customWidth="1"/>
    <col min="69" max="72" width="9.109375" customWidth="1"/>
  </cols>
  <sheetData>
    <row r="1" spans="1:71" ht="56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89">
        <v>46023</v>
      </c>
      <c r="U1" s="89">
        <v>46054</v>
      </c>
      <c r="V1" s="89">
        <v>46082</v>
      </c>
      <c r="W1" s="89">
        <v>46113</v>
      </c>
      <c r="X1" s="89">
        <v>46143</v>
      </c>
      <c r="Y1" s="89">
        <v>46174</v>
      </c>
      <c r="Z1" s="89">
        <v>46204</v>
      </c>
      <c r="AA1" s="89">
        <v>46235</v>
      </c>
      <c r="AB1" s="89">
        <v>46266</v>
      </c>
      <c r="AC1" s="89">
        <v>46296</v>
      </c>
      <c r="AD1" s="89">
        <v>46327</v>
      </c>
      <c r="AE1" s="89">
        <v>46357</v>
      </c>
      <c r="AG1" s="90">
        <v>46023</v>
      </c>
      <c r="AH1" s="90">
        <v>46054</v>
      </c>
      <c r="AI1" s="90">
        <v>46082</v>
      </c>
      <c r="AJ1" s="90">
        <v>46113</v>
      </c>
      <c r="AK1" s="90">
        <v>46143</v>
      </c>
      <c r="AL1" s="90">
        <v>46174</v>
      </c>
      <c r="AM1" s="90">
        <v>46204</v>
      </c>
      <c r="AN1" s="90">
        <v>46235</v>
      </c>
      <c r="AO1" s="90">
        <v>46266</v>
      </c>
      <c r="AP1" s="90">
        <v>46296</v>
      </c>
      <c r="AQ1" s="90">
        <v>46327</v>
      </c>
      <c r="AR1" s="90">
        <v>46357</v>
      </c>
      <c r="AS1" s="92" t="s">
        <v>19</v>
      </c>
      <c r="AT1" s="93" t="s">
        <v>20</v>
      </c>
      <c r="AU1" s="96" t="s">
        <v>21</v>
      </c>
      <c r="AW1" s="91">
        <v>46023</v>
      </c>
      <c r="AX1" s="91">
        <v>46054</v>
      </c>
      <c r="AY1" s="91">
        <v>46082</v>
      </c>
      <c r="AZ1" s="91">
        <v>46113</v>
      </c>
      <c r="BA1" s="91">
        <v>46143</v>
      </c>
      <c r="BB1" s="91">
        <v>46174</v>
      </c>
      <c r="BC1" s="91">
        <v>46204</v>
      </c>
      <c r="BD1" s="91">
        <v>46235</v>
      </c>
      <c r="BE1" s="91">
        <v>46266</v>
      </c>
      <c r="BF1" s="91">
        <v>46296</v>
      </c>
      <c r="BG1" s="91">
        <v>46327</v>
      </c>
      <c r="BH1" s="91">
        <v>46357</v>
      </c>
      <c r="BI1" s="47" t="s">
        <v>22</v>
      </c>
      <c r="BJ1" s="47" t="s">
        <v>23</v>
      </c>
      <c r="BK1" s="48" t="s">
        <v>24</v>
      </c>
      <c r="BL1" s="48" t="s">
        <v>25</v>
      </c>
      <c r="BM1" s="49" t="s">
        <v>26</v>
      </c>
      <c r="BN1" s="49" t="s">
        <v>27</v>
      </c>
      <c r="BO1" s="50" t="s">
        <v>28</v>
      </c>
      <c r="BP1" s="50" t="s">
        <v>29</v>
      </c>
      <c r="BQ1" s="50" t="s">
        <v>30</v>
      </c>
      <c r="BR1" s="50" t="s">
        <v>31</v>
      </c>
      <c r="BS1" s="50" t="s">
        <v>32</v>
      </c>
    </row>
    <row r="2" spans="1:71" ht="24.6" hidden="1" customHeight="1" x14ac:dyDescent="0.3">
      <c r="A2" s="3" t="s">
        <v>33</v>
      </c>
      <c r="B2" s="4" t="s">
        <v>34</v>
      </c>
      <c r="C2" s="5" t="s">
        <v>35</v>
      </c>
      <c r="D2" s="5" t="s">
        <v>36</v>
      </c>
      <c r="E2" s="4" t="str" cm="1">
        <f t="array" ref="E2">_xlfn.IFS(
F2 = "A partir de Abril", "Aguardando Execução na Distribuidora",
A2 = "CAPACITAÇÃO", "Em execução no Corporativo",
TRUE, "Em Execução na Distribuidora"
)</f>
        <v>Em Execução na Distribuidora</v>
      </c>
      <c r="F2" s="4" t="str" cm="1">
        <f t="array" ref="F2">_xlfn.IFS(
AG2 &lt;&gt; "", "Jan-Dez/26",
AH2 &lt;&gt; "", "Fev-Dez/26",
AI2 &lt;&gt; "", "Mar-Dez/26", AJ2 &lt;&gt; "", "Abr-Dez/26",
TRUE, "A partir de Junho"
)</f>
        <v>Jan-Dez/26</v>
      </c>
      <c r="G2" s="6" t="s">
        <v>37</v>
      </c>
      <c r="H2" s="7" t="s">
        <v>38</v>
      </c>
      <c r="I2" s="8" t="s">
        <v>39</v>
      </c>
      <c r="J2" s="8" t="str" cm="1">
        <f t="array" aca="1" ref="J2" ca="1">_xlfn.LET(
  _xlpm.actual_value_month, INDEX(T2:AE2, MATCH(DATE(YEAR(TODAY()), MONTH(TODAY()), 1), $T$1:$AE$1, 0)),
  IF(_xlpm.actual_value_month &lt;&gt; "",_xlpm.actual_value_month &amp; " soluções mensais", "")
)</f>
        <v>2 soluções mensais</v>
      </c>
      <c r="K2" s="8" t="str" cm="1">
        <f t="array" ref="K2">_xlfn.LET(
    _xlpm.sum_month, SUM(T2:AE2),
    IF(_xlpm.sum_month = 0, "", _xlpm.sum_month &amp; " soluções implementadas no ano")
)</f>
        <v>33 soluções implementadas no ano</v>
      </c>
      <c r="L2" s="9" t="s">
        <v>40</v>
      </c>
      <c r="M2" s="9" t="s">
        <v>41</v>
      </c>
      <c r="N2" s="5" t="s">
        <v>42</v>
      </c>
      <c r="O2" s="5" t="s">
        <v>43</v>
      </c>
      <c r="P2" s="10" t="s">
        <v>44</v>
      </c>
      <c r="Q2" s="10" t="s">
        <v>44</v>
      </c>
      <c r="R2" s="11" t="s">
        <v>45</v>
      </c>
      <c r="S2" s="11" t="s">
        <v>46</v>
      </c>
      <c r="T2" s="22">
        <v>5</v>
      </c>
      <c r="U2" s="22">
        <v>5</v>
      </c>
      <c r="V2" s="22">
        <v>5</v>
      </c>
      <c r="W2" s="22">
        <v>2</v>
      </c>
      <c r="X2" s="22">
        <v>2</v>
      </c>
      <c r="Y2" s="22">
        <v>2</v>
      </c>
      <c r="Z2" s="22">
        <v>2</v>
      </c>
      <c r="AA2" s="22">
        <v>2</v>
      </c>
      <c r="AB2" s="22">
        <v>2</v>
      </c>
      <c r="AC2" s="22">
        <v>2</v>
      </c>
      <c r="AD2" s="22">
        <v>2</v>
      </c>
      <c r="AE2" s="22">
        <v>2</v>
      </c>
      <c r="AG2" s="71">
        <v>5</v>
      </c>
      <c r="AH2" s="71">
        <v>5</v>
      </c>
      <c r="AI2" s="71">
        <v>5</v>
      </c>
      <c r="AJ2" s="71">
        <v>3</v>
      </c>
      <c r="AK2" s="71"/>
      <c r="AL2" s="71"/>
      <c r="AM2" s="71"/>
      <c r="AN2" s="71"/>
      <c r="AO2" s="71"/>
      <c r="AP2" s="71"/>
      <c r="AQ2" s="71"/>
      <c r="AR2" s="71"/>
      <c r="AS2" s="94">
        <f ca="1">IF(MONTH(TODAY())=3,SUM(T2:U2),IF(MONTH(TODAY())=4,SUM(T2:V2),IF(MONTH(TODAY())=5,SUM(T2:W2),IF(MONTH(TODAY())=6,SUM(T2:X2),IF(MONTH(TODAY())=7,SUM(T2:Y2),IF(MONTH(TODAY())=8,SUM(T2:Z2),IF(MONTH(TODAY())=9,SUM(T2:AA2),IF(MONTH(TODAY())=10,SUM(T2:AB2),IF(MONTH(TODAY())=11,SUM(T2:AC2),IF(MONTH(TODAY())=12,SUM(T2:AD2),IF(MONTH(TODAY())=1,SUM(T2:AE2),T2)))))))))))</f>
        <v>19</v>
      </c>
      <c r="AT2" s="95">
        <f>SUM(IF(AW2&lt;1.15,AG2,1.15*T2),IF(AX2&lt;1.15,AH2,1.15*U2),IF(AY2&lt;1.15,AI2,1.15*V2),IF(AZ2&lt;1.15,AJ2,1.15*W2),IF(BA2&lt;1.15,AK2,1.15*X2),IF(BB2&lt;1.15,AL2,1.15*Y2),IF(BC2&lt;1.15,AM2,1.15*Z2),IF(BD2&lt;1.15,AN2,1.15*AA2),IF(BE2&lt;1.15,AO2,1.15*AB2),IF(BF2&lt;1.15,AP2,1.15*AC2),IF(BG2&lt;1.15,AQ2,1.15*AD2),IF(BH2&lt;1.15,AR2,1.15*AE2))</f>
        <v>17.3</v>
      </c>
      <c r="AU2" s="97">
        <f>SUM(AG2:AR2)</f>
        <v>18</v>
      </c>
      <c r="AW2" s="51">
        <f t="shared" ref="AW2:AZ4" si="0">IFERROR(IF(AG2="",0,AG2/T2),0)</f>
        <v>1</v>
      </c>
      <c r="AX2" s="51">
        <f t="shared" si="0"/>
        <v>1</v>
      </c>
      <c r="AY2" s="51">
        <f t="shared" si="0"/>
        <v>1</v>
      </c>
      <c r="AZ2" s="51">
        <f t="shared" si="0"/>
        <v>1.5</v>
      </c>
      <c r="BA2" s="51"/>
      <c r="BB2" s="51"/>
      <c r="BC2" s="51"/>
      <c r="BD2" s="51"/>
      <c r="BE2" s="51"/>
      <c r="BF2" s="51"/>
      <c r="BG2" s="51"/>
      <c r="BH2" s="51"/>
      <c r="BI2" s="65" cm="1">
        <f t="array" ref="BI2">IFERROR(INDEX(AW2:BH2,1,MATCH(2,1/(AW2:BH2&lt;&gt;""))),"")</f>
        <v>1.5</v>
      </c>
      <c r="BJ2" s="68" cm="1">
        <f t="array" ref="BJ2">IF(BM2 = "", "",IFERROR(INDEX(AW2:BH2,1,MATCH(2,1/(AW2:BH2&lt;&gt;""),1)-1),""))</f>
        <v>1</v>
      </c>
      <c r="BK2" s="58">
        <f>IF((IF(AW2&gt;=115%,115%,AW2) + IF(AX2&gt;=115%,115%,AX2) + IF(AY2&gt;=115%,115%,AY2) + (IF(AZ2&gt;=115%,115%,AZ2) + IF(BA2&gt;=115%,115%,BA2) + IF(BB2&gt;=115%,115%,BB2) + IF(BC2&gt;=115%,115%,BC2) + IF(BD2&gt;=115%,115%,BD2) + IF(BE2&gt;=115%,115%,BE2) + IF(BF2&gt;=115%,115%,BF2) + IF(BG2&gt;=115%,115%,BG2) + IF(BH2&gt;=115%,115%,BH2)))/_xlfn.XLOOKUP(F2,Apuração!A:A,Apuração!B:B)&gt;=1.15,1.15,((IF(AZ2&gt;=115%,115%,AZ2) + IF(AX2&gt;=115%,115%,AX2) + IF(AY2&gt;=115%,115%,AY2) + (IF(AW2&gt;=115%,115%,AW2) + IF(BA2&gt;=115%,115%,BA2) + IF(BB2&gt;=115%,115%,BB2) + IF(BC2&gt;=115%,115%,BC2) + IF(BD2&gt;=115%,115%,BD2) + IF(BE2&gt;=115%,115%,BE2) + IF(BF2&gt;=115%,115%,BF2) + IF(BG2&gt;=115%,115%,BG2) + IF(BH2&gt;=115%,115%,BH2)))/_xlfn.XLOOKUP(F2,Apuração!A:A,Apuração!B:B)))</f>
        <v>0.34583333333333338</v>
      </c>
      <c r="BL2" s="58" cm="1">
        <f t="array" aca="1" ref="BL2" ca="1">IF(SUM(IFERROR(IF(INDEX(AW2:INDEX(AW2:BH2, MATCH(2, 1/(AW2:BH2&lt;&gt;""), 1)-1), ROW(INDIRECT("1:" &amp; MATCH(2, 1/(AW2:BH2&lt;&gt;""), 1)-1))) &gt;= 115%, 115%, INDEX(AW2:INDEX(AW2:BH2, MATCH(2, 1/(AW2:BH2&lt;&gt;""), 1)-1), ROW(INDIRECT("1:" &amp; MATCH(2, 1/(AW2:BH2&lt;&gt;""), 1)-1)))), 0))/_xlfn.XLOOKUP(F2,Apuração!A:A,Apuração!B:B)&gt;=1.15,1.15,SUM(IFERROR(IF(INDEX(AW2:INDEX(AW2:BH2, MATCH(2, 1/(AW2:BH2&lt;&gt;""), 1)-1), ROW(INDIRECT("1:" &amp; MATCH(2, 1/(AW2:BH2&lt;&gt;""), 1)-1))) &gt;= 115%, 115%, INDEX(AW2:INDEX(AW2:BH2, MATCH(2, 1/(AW2:BH2&lt;&gt;""), 1)-1), ROW(INDIRECT("1:" &amp; MATCH(2, 1/(AW2:BH2&lt;&gt;""), 1)-1)))), 0))/_xlfn.XLOOKUP(F2,Apuração!A:A,Apuração!B:B))</f>
        <v>0.25</v>
      </c>
      <c r="BM2" s="55" cm="1">
        <f t="array" ref="BM2">IFERROR(
   INDEX($AW$1:$BH$1,
      _xlfn.AGGREGATE(14, 6, COLUMN($AW$1:$BH$1)/(AW2:BH2&lt;&gt;""), 2) - COLUMN($AW$1) + 1
   ),
"")</f>
        <v>46082</v>
      </c>
      <c r="BN2" s="55" cm="1">
        <f t="array" ref="BN2">IFERROR(INDEX($AW$1:$BH$1,1,MATCH(2,1/(AW2:BH2&lt;&gt;""))),"")</f>
        <v>46113</v>
      </c>
      <c r="BO2" s="53">
        <f ca="1">IFERROR(_xlfn.XLOOKUP(F2,Apuração!A:A,Apuração!C:C)/_xlfn.XLOOKUP(F2,Apuração!A:A,Apuração!B:B),0)</f>
        <v>0.41666666666666669</v>
      </c>
      <c r="BP2" s="53">
        <f ca="1">IFERROR(_xlfn.XLOOKUP(F2,Apuração!A:A,Apuração!D:D)/_xlfn.XLOOKUP(F2,Apuração!A:A,Apuração!B:B),0)</f>
        <v>0.33333333333333331</v>
      </c>
      <c r="BQ2" s="53">
        <f ca="1">IF(BK2&gt;=BO2,0,_xlfn.XLOOKUP(F2,Apuração!A:A,Apuração!B:B)*(BO2 + (1/_xlfn.XLOOKUP(F2,Apuração!A:A,Apuração!B:B)) - BK2))</f>
        <v>1.8499999999999994</v>
      </c>
      <c r="BR2" s="85">
        <f t="shared" ref="BR2:BR3" ca="1" si="1">IF(BQ2=0,0,BQ2*Z2)</f>
        <v>3.6999999999999988</v>
      </c>
      <c r="BS2" s="53">
        <f ca="1">IFERROR((_xlfn.XLOOKUP(F2,Apuração!A:A,Apuração!C:C)+1)/_xlfn.XLOOKUP(F2,Apuração!A:A,Apuração!B:B),0)</f>
        <v>0.5</v>
      </c>
    </row>
    <row r="3" spans="1:71" ht="24.6" hidden="1" customHeight="1" x14ac:dyDescent="0.3">
      <c r="A3" s="3" t="s">
        <v>33</v>
      </c>
      <c r="B3" s="4" t="s">
        <v>34</v>
      </c>
      <c r="C3" s="5" t="s">
        <v>35</v>
      </c>
      <c r="D3" s="5" t="s">
        <v>47</v>
      </c>
      <c r="E3" s="4" t="str" cm="1">
        <f t="array" ref="E3">_xlfn.IFS(
F3 = "A partir de Abril", "Aguardando Execução na Distribuidora",
A3 = "CAPACITAÇÃO", "Em execução no Corporativo",
TRUE, "Em Execução na Distribuidora"
)</f>
        <v>Em Execução na Distribuidora</v>
      </c>
      <c r="F3" s="4" t="str" cm="1">
        <f t="array" ref="F3">_xlfn.IFS(
AG3 &lt;&gt; "", "Jan-Dez/26",
AH3 &lt;&gt; "", "Fev-Dez/26",
AI3 &lt;&gt; "", "Mar-Dez/26", AJ3 &lt;&gt; "", "Abr-Dez/26",
TRUE, "A partir de Junho"
)</f>
        <v>Fev-Dez/26</v>
      </c>
      <c r="G3" s="6" t="s">
        <v>37</v>
      </c>
      <c r="H3" s="7" t="s">
        <v>38</v>
      </c>
      <c r="I3" s="8" t="s">
        <v>39</v>
      </c>
      <c r="J3" s="8" t="str" cm="1">
        <f t="array" aca="1" ref="J3" ca="1">_xlfn.LET(
  _xlpm.actual_value_month, INDEX(T3:AE3, MATCH(DATE(YEAR(TODAY()), MONTH(TODAY()), 1), $T$1:$AE$1, 0)),
  IF(_xlpm.actual_value_month &lt;&gt; "",_xlpm.actual_value_month &amp; " soluções mensais", "")
)</f>
        <v>1 soluções mensais</v>
      </c>
      <c r="K3" s="8" t="str" cm="1">
        <f t="array" ref="K3">_xlfn.LET(
    _xlpm.sum_month, SUM(T3:AE3),
    IF(_xlpm.sum_month = 0, "", _xlpm.sum_month &amp; " soluções implementadas no ano")
)</f>
        <v>10 soluções implementadas no ano</v>
      </c>
      <c r="L3" s="9" t="s">
        <v>40</v>
      </c>
      <c r="M3" s="9" t="s">
        <v>41</v>
      </c>
      <c r="N3" s="5" t="s">
        <v>42</v>
      </c>
      <c r="O3" s="5" t="s">
        <v>43</v>
      </c>
      <c r="P3" s="10" t="s">
        <v>44</v>
      </c>
      <c r="Q3" s="10" t="s">
        <v>44</v>
      </c>
      <c r="R3" s="11" t="s">
        <v>45</v>
      </c>
      <c r="S3" s="11" t="s">
        <v>46</v>
      </c>
      <c r="T3" s="142"/>
      <c r="U3" s="143">
        <v>1</v>
      </c>
      <c r="V3" s="142"/>
      <c r="W3" s="142">
        <v>1</v>
      </c>
      <c r="X3" s="142">
        <v>1</v>
      </c>
      <c r="Y3" s="142">
        <v>1</v>
      </c>
      <c r="Z3" s="142">
        <v>1</v>
      </c>
      <c r="AA3" s="142">
        <v>1</v>
      </c>
      <c r="AB3" s="142">
        <v>1</v>
      </c>
      <c r="AC3" s="142">
        <v>1</v>
      </c>
      <c r="AD3" s="142">
        <v>1</v>
      </c>
      <c r="AE3" s="142">
        <v>1</v>
      </c>
      <c r="AG3" s="144"/>
      <c r="AH3" s="144">
        <v>1</v>
      </c>
      <c r="AI3" s="144"/>
      <c r="AJ3" s="147">
        <v>0</v>
      </c>
      <c r="AK3" s="71"/>
      <c r="AL3" s="71"/>
      <c r="AM3" s="71"/>
      <c r="AN3" s="71"/>
      <c r="AO3" s="71"/>
      <c r="AP3" s="71"/>
      <c r="AQ3" s="71"/>
      <c r="AR3" s="71"/>
      <c r="AS3" s="94">
        <f ca="1">IF(MONTH(TODAY())=3,SUM(T3:U3),IF(MONTH(TODAY())=4,SUM(T3:V3),IF(MONTH(TODAY())=5,SUM(T3:W3),IF(MONTH(TODAY())=6,SUM(T3:X3),IF(MONTH(TODAY())=7,SUM(T3:Y3),IF(MONTH(TODAY())=8,SUM(T3:Z3),IF(MONTH(TODAY())=9,SUM(T3:AA3),IF(MONTH(TODAY())=10,SUM(T3:AB3),IF(MONTH(TODAY())=11,SUM(T3:AC3),IF(MONTH(TODAY())=12,SUM(T3:AD3),IF(MONTH(TODAY())=1,SUM(T3:AE3),T3)))))))))))</f>
        <v>3</v>
      </c>
      <c r="AT3" s="95">
        <f>SUM(IF(AW3&lt;1.15,AG3,1.15*T3),IF(AX3&lt;1.15,AH3,1.15*U3),IF(AY3&lt;1.15,AI3,1.15*V3),IF(AZ3&lt;1.15,AJ3,1.15*W3),IF(BA3&lt;1.15,AK3,1.15*X3),IF(BB3&lt;1.15,AL3,1.15*Y3),IF(BC3&lt;1.15,AM3,1.15*Z3),IF(BD3&lt;1.15,AN3,1.15*AA3),IF(BE3&lt;1.15,AO3,1.15*AB3),IF(BF3&lt;1.15,AP3,1.15*AC3),IF(BG3&lt;1.15,AQ3,1.15*AD3),IF(BH3&lt;1.15,AR3,1.15*AE3))</f>
        <v>1</v>
      </c>
      <c r="AU3" s="97">
        <f>SUM(AG3:AR3)</f>
        <v>1</v>
      </c>
      <c r="AW3" s="51">
        <f t="shared" si="0"/>
        <v>0</v>
      </c>
      <c r="AX3" s="51">
        <f t="shared" si="0"/>
        <v>1</v>
      </c>
      <c r="AY3" s="51">
        <f t="shared" si="0"/>
        <v>0</v>
      </c>
      <c r="AZ3" s="51">
        <f t="shared" si="0"/>
        <v>0</v>
      </c>
      <c r="BA3" s="51"/>
      <c r="BB3" s="51"/>
      <c r="BC3" s="51"/>
      <c r="BD3" s="51"/>
      <c r="BE3" s="51"/>
      <c r="BF3" s="51"/>
      <c r="BG3" s="51"/>
      <c r="BH3" s="51"/>
      <c r="BI3" s="65" cm="1">
        <f t="array" ref="BI3">IFERROR(INDEX(AW3:BH3,1,MATCH(2,1/(AW3:BH3&lt;&gt;""))),"")</f>
        <v>0</v>
      </c>
      <c r="BJ3" s="68" cm="1">
        <f t="array" ref="BJ3">IF(BM3 = "", "",IFERROR(INDEX(AW3:BH3,1,MATCH(2,1/(AW3:BH3&lt;&gt;""),1)-1),""))</f>
        <v>0</v>
      </c>
      <c r="BK3" s="58">
        <f>IF((IF(AW3&gt;=115%,115%,AW3) + IF(AX3&gt;=115%,115%,AX3) + IF(AY3&gt;=115%,115%,AY3) + (IF(AZ3&gt;=115%,115%,AZ3) + IF(BA3&gt;=115%,115%,BA3) + IF(BB3&gt;=115%,115%,BB3) + IF(BC3&gt;=115%,115%,BC3) + IF(BD3&gt;=115%,115%,BD3) + IF(BE3&gt;=115%,115%,BE3) + IF(BF3&gt;=115%,115%,BF3) + IF(BG3&gt;=115%,115%,BG3) + IF(BH3&gt;=115%,115%,BH3)))/_xlfn.XLOOKUP(F3,Apuração!A:A,Apuração!B:B)&gt;=1.15,1.15,((IF(AZ3&gt;=115%,115%,AZ3) + IF(AX3&gt;=115%,115%,AX3) + IF(AY3&gt;=115%,115%,AY3) + (IF(AW3&gt;=115%,115%,AW3) + IF(BA3&gt;=115%,115%,BA3) + IF(BB3&gt;=115%,115%,BB3) + IF(BC3&gt;=115%,115%,BC3) + IF(BD3&gt;=115%,115%,BD3) + IF(BE3&gt;=115%,115%,BE3) + IF(BF3&gt;=115%,115%,BF3) + IF(BG3&gt;=115%,115%,BG3) + IF(BH3&gt;=115%,115%,BH3)))/_xlfn.XLOOKUP(F3,Apuração!A:A,Apuração!B:B)))</f>
        <v>9.0909090909090912E-2</v>
      </c>
      <c r="BL3" s="58" cm="1">
        <f t="array" aca="1" ref="BL3" ca="1">IF(SUM(IFERROR(IF(INDEX(AW3:INDEX(AW3:BH3, MATCH(2, 1/(AW3:BH3&lt;&gt;""), 1)-1), ROW(INDIRECT("1:" &amp; MATCH(2, 1/(AW3:BH3&lt;&gt;""), 1)-1))) &gt;= 115%, 115%, INDEX(AW3:INDEX(AW3:BH3, MATCH(2, 1/(AW3:BH3&lt;&gt;""), 1)-1), ROW(INDIRECT("1:" &amp; MATCH(2, 1/(AW3:BH3&lt;&gt;""), 1)-1)))), 0))/_xlfn.XLOOKUP(F3,Apuração!A:A,Apuração!B:B)&gt;=1.15,1.15,SUM(IFERROR(IF(INDEX(AW3:INDEX(AW3:BH3, MATCH(2, 1/(AW3:BH3&lt;&gt;""), 1)-1), ROW(INDIRECT("1:" &amp; MATCH(2, 1/(AW3:BH3&lt;&gt;""), 1)-1))) &gt;= 115%, 115%, INDEX(AW3:INDEX(AW3:BH3, MATCH(2, 1/(AW3:BH3&lt;&gt;""), 1)-1), ROW(INDIRECT("1:" &amp; MATCH(2, 1/(AW3:BH3&lt;&gt;""), 1)-1)))), 0))/_xlfn.XLOOKUP(F3,Apuração!A:A,Apuração!B:B))</f>
        <v>9.0909090909090912E-2</v>
      </c>
      <c r="BM3" s="55" cm="1">
        <f t="array" ref="BM3">IFERROR(
   INDEX($AW$1:$BH$1,
      _xlfn.AGGREGATE(14, 6, COLUMN($AW$1:$BH$1)/(AW3:BH3&lt;&gt;""), 2) - COLUMN($AW$1) + 1
   ),
"")</f>
        <v>46082</v>
      </c>
      <c r="BN3" s="55" cm="1">
        <f t="array" ref="BN3">IFERROR(INDEX($AW$1:$BH$1,1,MATCH(2,1/(AW3:BH3&lt;&gt;""))),"")</f>
        <v>46113</v>
      </c>
      <c r="BO3" s="53">
        <f ca="1">IFERROR(_xlfn.XLOOKUP(F3,Apuração!A:A,Apuração!C:C)/_xlfn.XLOOKUP(F3,Apuração!A:A,Apuração!B:B),0)</f>
        <v>0.36363636363636365</v>
      </c>
      <c r="BP3" s="53">
        <f ca="1">IFERROR(_xlfn.XLOOKUP(F3,Apuração!A:A,Apuração!D:D)/_xlfn.XLOOKUP(F3,Apuração!A:A,Apuração!B:B),0)</f>
        <v>0.27272727272727271</v>
      </c>
      <c r="BQ3" s="53">
        <f ca="1">IF(BK3&gt;=BO3,0,_xlfn.XLOOKUP(F3,Apuração!A:A,Apuração!B:B)*(BO3 + (1/_xlfn.XLOOKUP(F3,Apuração!A:A,Apuração!B:B)) - BK3))</f>
        <v>4</v>
      </c>
      <c r="BR3" s="85">
        <f t="shared" ca="1" si="1"/>
        <v>4</v>
      </c>
      <c r="BS3" s="53">
        <f ca="1">IFERROR((_xlfn.XLOOKUP(F3,Apuração!A:A,Apuração!C:C)+1)/_xlfn.XLOOKUP(F3,Apuração!A:A,Apuração!B:B),0)</f>
        <v>0.45454545454545453</v>
      </c>
    </row>
    <row r="4" spans="1:71" ht="24.6" hidden="1" customHeight="1" x14ac:dyDescent="0.3">
      <c r="A4" s="3" t="s">
        <v>33</v>
      </c>
      <c r="B4" s="4" t="s">
        <v>34</v>
      </c>
      <c r="C4" s="5" t="s">
        <v>35</v>
      </c>
      <c r="D4" s="5" t="s">
        <v>48</v>
      </c>
      <c r="E4" s="4" t="str" cm="1">
        <f t="array" ref="E4">_xlfn.IFS(
F4 = "A partir de Abril", "Aguardando Execução na Distribuidora",
A4 = "CAPACITAÇÃO", "Em execução no Corporativo",
TRUE, "Em Execução na Distribuidora"
)</f>
        <v>Em Execução na Distribuidora</v>
      </c>
      <c r="F4" s="4" t="str" cm="1">
        <f t="array" ref="F4">_xlfn.IFS(
AG4 &lt;&gt; "", "Jan-Dez/26",
AH4 &lt;&gt; "", "Fev-Dez/26",
AI4 &lt;&gt; "", "Mar-Dez/26", AJ4 &lt;&gt; "", "Abr-Dez/26",
TRUE, "A partir de Junho"
)</f>
        <v>Jan-Dez/26</v>
      </c>
      <c r="G4" s="6" t="s">
        <v>37</v>
      </c>
      <c r="H4" s="7" t="s">
        <v>38</v>
      </c>
      <c r="I4" s="8" t="s">
        <v>39</v>
      </c>
      <c r="J4" s="8" t="str" cm="1">
        <f t="array" aca="1" ref="J4" ca="1">_xlfn.LET(
  _xlpm.actual_value_month, INDEX(T4:AE4, MATCH(DATE(YEAR(TODAY()), MONTH(TODAY()), 1), $T$1:$AE$1, 0)),
  IF(_xlpm.actual_value_month &lt;&gt; "",_xlpm.actual_value_month &amp; " soluções mensais", "")
)</f>
        <v>1 soluções mensais</v>
      </c>
      <c r="K4" s="8" t="str" cm="1">
        <f t="array" ref="K4">_xlfn.LET(
    _xlpm.sum_month, SUM(T4:AE4),
    IF(_xlpm.sum_month = 0, "", _xlpm.sum_month &amp; " soluções implementadas no ano")
)</f>
        <v>23 soluções implementadas no ano</v>
      </c>
      <c r="L4" s="9" t="s">
        <v>40</v>
      </c>
      <c r="M4" s="9" t="s">
        <v>41</v>
      </c>
      <c r="N4" s="5" t="s">
        <v>42</v>
      </c>
      <c r="O4" s="5" t="s">
        <v>43</v>
      </c>
      <c r="P4" s="10" t="s">
        <v>44</v>
      </c>
      <c r="Q4" s="10" t="s">
        <v>44</v>
      </c>
      <c r="R4" s="11" t="s">
        <v>45</v>
      </c>
      <c r="S4" s="11" t="s">
        <v>46</v>
      </c>
      <c r="T4" s="143">
        <v>5</v>
      </c>
      <c r="U4" s="143">
        <v>4</v>
      </c>
      <c r="V4" s="143">
        <v>5</v>
      </c>
      <c r="W4" s="143">
        <v>1</v>
      </c>
      <c r="X4" s="143">
        <v>1</v>
      </c>
      <c r="Y4" s="143">
        <v>1</v>
      </c>
      <c r="Z4" s="143">
        <v>1</v>
      </c>
      <c r="AA4" s="143">
        <v>1</v>
      </c>
      <c r="AB4" s="143">
        <v>1</v>
      </c>
      <c r="AC4" s="143">
        <v>1</v>
      </c>
      <c r="AD4" s="143">
        <v>1</v>
      </c>
      <c r="AE4" s="143">
        <v>1</v>
      </c>
      <c r="AG4" s="82">
        <v>5</v>
      </c>
      <c r="AH4" s="82">
        <v>4</v>
      </c>
      <c r="AI4" s="82">
        <v>5</v>
      </c>
      <c r="AJ4" s="146">
        <v>3</v>
      </c>
      <c r="AK4" s="71"/>
      <c r="AL4" s="71"/>
      <c r="AM4" s="71"/>
      <c r="AN4" s="71"/>
      <c r="AO4" s="71"/>
      <c r="AP4" s="71"/>
      <c r="AQ4" s="71"/>
      <c r="AR4" s="71"/>
      <c r="AS4" s="94">
        <f ca="1">IF(MONTH(TODAY())=3,SUM(T4:U4),IF(MONTH(TODAY())=4,SUM(T4:V4),IF(MONTH(TODAY())=5,SUM(T4:W4),IF(MONTH(TODAY())=6,SUM(T4:X4),IF(MONTH(TODAY())=7,SUM(T4:Y4),IF(MONTH(TODAY())=8,SUM(T4:Z4),IF(MONTH(TODAY())=9,SUM(T4:AA4),IF(MONTH(TODAY())=10,SUM(T4:AB4),IF(MONTH(TODAY())=11,SUM(T4:AC4),IF(MONTH(TODAY())=12,SUM(T4:AD4),IF(MONTH(TODAY())=1,SUM(T4:AE4),T4)))))))))))</f>
        <v>16</v>
      </c>
      <c r="AT4" s="95">
        <f>SUM(IF(AW4&lt;1.15,AG4,1.15*T4),IF(AX4&lt;1.15,AH4,1.15*U4),IF(AY4&lt;1.15,AI4,1.15*V4),IF(AZ4&lt;1.15,AJ4,1.15*W4),IF(BA4&lt;1.15,AK4,1.15*X4),IF(BB4&lt;1.15,AL4,1.15*Y4),IF(BC4&lt;1.15,AM4,1.15*Z4),IF(BD4&lt;1.15,AN4,1.15*AA4),IF(BE4&lt;1.15,AO4,1.15*AB4),IF(BF4&lt;1.15,AP4,1.15*AC4),IF(BG4&lt;1.15,AQ4,1.15*AD4),IF(BH4&lt;1.15,AR4,1.15*AE4))</f>
        <v>15.15</v>
      </c>
      <c r="AU4" s="97">
        <f>SUM(AG4:AR4)</f>
        <v>17</v>
      </c>
      <c r="AW4" s="51">
        <f t="shared" si="0"/>
        <v>1</v>
      </c>
      <c r="AX4" s="51">
        <f t="shared" si="0"/>
        <v>1</v>
      </c>
      <c r="AY4" s="51">
        <f t="shared" si="0"/>
        <v>1</v>
      </c>
      <c r="AZ4" s="51">
        <f t="shared" si="0"/>
        <v>3</v>
      </c>
      <c r="BA4" s="51"/>
      <c r="BB4" s="51"/>
      <c r="BC4" s="51"/>
      <c r="BD4" s="51"/>
      <c r="BE4" s="51"/>
      <c r="BF4" s="51"/>
      <c r="BG4" s="51"/>
      <c r="BH4" s="51"/>
      <c r="BI4" s="65" cm="1">
        <f t="array" ref="BI4">IFERROR(INDEX(AW4:BH4,1,MATCH(2,1/(AW4:BH4&lt;&gt;""))),"")</f>
        <v>3</v>
      </c>
      <c r="BJ4" s="68" cm="1">
        <f t="array" ref="BJ4">IF(BM4 = "", "",IFERROR(INDEX(AW4:BH4,1,MATCH(2,1/(AW4:BH4&lt;&gt;""),1)-1),""))</f>
        <v>1</v>
      </c>
      <c r="BK4" s="58">
        <f>IF((IF(AW4&gt;=115%,115%,AW4) + IF(AX4&gt;=115%,115%,AX4) + IF(AY4&gt;=115%,115%,AY4) + (IF(AZ4&gt;=115%,115%,AZ4) + IF(BA4&gt;=115%,115%,BA4) + IF(BB4&gt;=115%,115%,BB4) + IF(BC4&gt;=115%,115%,BC4) + IF(BD4&gt;=115%,115%,BD4) + IF(BE4&gt;=115%,115%,BE4) + IF(BF4&gt;=115%,115%,BF4) + IF(BG4&gt;=115%,115%,BG4) + IF(BH4&gt;=115%,115%,BH4)))/_xlfn.XLOOKUP(F4,Apuração!A:A,Apuração!B:B)&gt;=1.15,1.15,((IF(AZ4&gt;=115%,115%,AZ4) + IF(AX4&gt;=115%,115%,AX4) + IF(AY4&gt;=115%,115%,AY4) + (IF(AW4&gt;=115%,115%,AW4) + IF(BA4&gt;=115%,115%,BA4) + IF(BB4&gt;=115%,115%,BB4) + IF(BC4&gt;=115%,115%,BC4) + IF(BD4&gt;=115%,115%,BD4) + IF(BE4&gt;=115%,115%,BE4) + IF(BF4&gt;=115%,115%,BF4) + IF(BG4&gt;=115%,115%,BG4) + IF(BH4&gt;=115%,115%,BH4)))/_xlfn.XLOOKUP(F4,Apuração!A:A,Apuração!B:B)))</f>
        <v>0.34583333333333338</v>
      </c>
      <c r="BL4" s="58" cm="1">
        <f t="array" aca="1" ref="BL4" ca="1">IF(SUM(IFERROR(IF(INDEX(AW4:INDEX(AW4:BH4, MATCH(2, 1/(AW4:BH4&lt;&gt;""), 1)-1), ROW(INDIRECT("1:" &amp; MATCH(2, 1/(AW4:BH4&lt;&gt;""), 1)-1))) &gt;= 115%, 115%, INDEX(AW4:INDEX(AW4:BH4, MATCH(2, 1/(AW4:BH4&lt;&gt;""), 1)-1), ROW(INDIRECT("1:" &amp; MATCH(2, 1/(AW4:BH4&lt;&gt;""), 1)-1)))), 0))/_xlfn.XLOOKUP(F4,Apuração!A:A,Apuração!B:B)&gt;=1.15,1.15,SUM(IFERROR(IF(INDEX(AW4:INDEX(AW4:BH4, MATCH(2, 1/(AW4:BH4&lt;&gt;""), 1)-1), ROW(INDIRECT("1:" &amp; MATCH(2, 1/(AW4:BH4&lt;&gt;""), 1)-1))) &gt;= 115%, 115%, INDEX(AW4:INDEX(AW4:BH4, MATCH(2, 1/(AW4:BH4&lt;&gt;""), 1)-1), ROW(INDIRECT("1:" &amp; MATCH(2, 1/(AW4:BH4&lt;&gt;""), 1)-1)))), 0))/_xlfn.XLOOKUP(F4,Apuração!A:A,Apuração!B:B))</f>
        <v>0.25</v>
      </c>
      <c r="BM4" s="55" cm="1">
        <f t="array" ref="BM4">IFERROR(
   INDEX($AW$1:$BH$1,
      _xlfn.AGGREGATE(14, 6, COLUMN($AW$1:$BH$1)/(AW4:BH4&lt;&gt;""), 2) - COLUMN($AW$1) + 1
   ),
"")</f>
        <v>46082</v>
      </c>
      <c r="BN4" s="55" cm="1">
        <f t="array" ref="BN4">IFERROR(INDEX($AW$1:$BH$1,1,MATCH(2,1/(AW4:BH4&lt;&gt;""))),"")</f>
        <v>46113</v>
      </c>
      <c r="BO4" s="53">
        <f ca="1">IFERROR(_xlfn.XLOOKUP(F4,Apuração!A:A,Apuração!C:C)/_xlfn.XLOOKUP(F4,Apuração!A:A,Apuração!B:B),0)</f>
        <v>0.41666666666666669</v>
      </c>
      <c r="BP4" s="53">
        <f ca="1">IFERROR(_xlfn.XLOOKUP(F4,Apuração!A:A,Apuração!D:D)/_xlfn.XLOOKUP(F4,Apuração!A:A,Apuração!B:B),0)</f>
        <v>0.33333333333333331</v>
      </c>
      <c r="BQ4" s="53">
        <f ca="1">IF(BK4&gt;=BO4,0,_xlfn.XLOOKUP(F4,Apuração!A:A,Apuração!B:B)*(BO4 + (1/_xlfn.XLOOKUP(F4,Apuração!A:A,Apuração!B:B)) - BK4))</f>
        <v>1.8499999999999994</v>
      </c>
      <c r="BR4" s="85">
        <f t="shared" ref="BR4:BR103" ca="1" si="2">IF(BQ4=0,0,BQ4*Z4)</f>
        <v>1.8499999999999994</v>
      </c>
      <c r="BS4" s="53">
        <f ca="1">IFERROR((_xlfn.XLOOKUP(F4,Apuração!A:A,Apuração!C:C)+1)/_xlfn.XLOOKUP(F4,Apuração!A:A,Apuração!B:B),0)</f>
        <v>0.5</v>
      </c>
    </row>
    <row r="5" spans="1:71" ht="25.95" hidden="1" customHeight="1" x14ac:dyDescent="0.3">
      <c r="A5" s="39" t="s">
        <v>33</v>
      </c>
      <c r="B5" s="4" t="s">
        <v>34</v>
      </c>
      <c r="C5" s="5" t="s">
        <v>35</v>
      </c>
      <c r="D5" s="5" t="s">
        <v>36</v>
      </c>
      <c r="E5" s="4" t="str" cm="1">
        <f t="array" ref="E5">_xlfn.IFS(
F5 = "A partir de Abril", "Aguardando Execução na Distribuidora",
A5 = "CAPACITAÇÃO", "Em execução no Corporativo",
TRUE, "Em Execução na Distribuidora"
)</f>
        <v>Em Execução na Distribuidora</v>
      </c>
      <c r="F5" s="4" t="str" cm="1">
        <f t="array" ref="F5">_xlfn.IFS(
AG5 &lt;&gt; "", "Jan-Dez/26",
AH5 &lt;&gt; "", "Fev-Dez/26",
AI5 &lt;&gt; "", "Mar-Dez/26", AJ5 &lt;&gt; "", "Abr-Dez/26",
TRUE, "A partir de Junho"
)</f>
        <v>Jan-Dez/26</v>
      </c>
      <c r="G5" s="6" t="s">
        <v>37</v>
      </c>
      <c r="H5" s="7" t="s">
        <v>38</v>
      </c>
      <c r="I5" s="9" t="s">
        <v>49</v>
      </c>
      <c r="J5" s="8" t="str" cm="1">
        <f t="array" aca="1" ref="J5" ca="1">_xlfn.LET(
  _xlpm.actual_value_month, INDEX(T5:AE5, MATCH(DATE(YEAR(TODAY()), MONTH(TODAY()), 1), $T$1:$AE$1, 0)),
  IF(_xlpm.actual_value_month &lt;&gt; "",_xlpm.actual_value_month &amp; " ações mensais", "")
)</f>
        <v/>
      </c>
      <c r="K5" s="8" t="str" cm="1">
        <f t="array" ref="K5">_xlfn.LET(
    _xlpm.sum_month, SUM(T5:AE5),
    IF(_xlpm.sum_month = 0, "", _xlpm.sum_month &amp; " soluções implementadas no ano")
)</f>
        <v/>
      </c>
      <c r="L5" s="9" t="s">
        <v>50</v>
      </c>
      <c r="M5" s="9"/>
      <c r="N5" s="5" t="s">
        <v>51</v>
      </c>
      <c r="O5" s="5" t="s">
        <v>52</v>
      </c>
      <c r="P5" s="10" t="s">
        <v>44</v>
      </c>
      <c r="Q5" s="10" t="s">
        <v>44</v>
      </c>
      <c r="R5" s="10" t="s">
        <v>44</v>
      </c>
      <c r="S5" s="10" t="s">
        <v>44</v>
      </c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G5" s="82">
        <v>5</v>
      </c>
      <c r="AH5" s="82">
        <v>4</v>
      </c>
      <c r="AI5" s="82">
        <v>5</v>
      </c>
      <c r="AJ5" s="82">
        <v>3</v>
      </c>
      <c r="AK5" s="71"/>
      <c r="AL5" s="71"/>
      <c r="AM5" s="71"/>
      <c r="AN5" s="71"/>
      <c r="AO5" s="71"/>
      <c r="AP5" s="71"/>
      <c r="AQ5" s="71"/>
      <c r="AR5" s="71"/>
      <c r="AS5" s="94">
        <f t="shared" ref="AS5" ca="1" si="3">IF(MONTH(TODAY())=3,SUM(T5:U5),IF(MONTH(TODAY())=4,SUM(T5:V5),IF(MONTH(TODAY())=5,SUM(T5:W5),IF(MONTH(TODAY())=6,SUM(T5:X5),IF(MONTH(TODAY())=7,SUM(T5:Y5),IF(MONTH(TODAY())=8,SUM(T5:Z5),IF(MONTH(TODAY())=9,SUM(T5:AA5),IF(MONTH(TODAY())=10,SUM(T5:AB5),IF(MONTH(TODAY())=11,SUM(T5:AC5),IF(MONTH(TODAY())=12,SUM(T5:AD5),IF(MONTH(TODAY())=1,SUM(T5:AE5),T5)))))))))))</f>
        <v>0</v>
      </c>
      <c r="AT5" s="95">
        <f>SUM(AG5:AR5)</f>
        <v>17</v>
      </c>
      <c r="AU5" s="97">
        <f t="shared" ref="AU5" si="4">SUM(AG5:AR5)</f>
        <v>17</v>
      </c>
      <c r="AW5" s="83">
        <f>AG5</f>
        <v>5</v>
      </c>
      <c r="AX5" s="83">
        <f t="shared" ref="AX5" si="5">AH5</f>
        <v>4</v>
      </c>
      <c r="AY5" s="83">
        <f t="shared" ref="AY5" si="6">AI5</f>
        <v>5</v>
      </c>
      <c r="AZ5" s="83">
        <f>AJ5</f>
        <v>3</v>
      </c>
      <c r="BA5" s="52"/>
      <c r="BB5" s="52"/>
      <c r="BC5" s="52"/>
      <c r="BD5" s="52"/>
      <c r="BE5" s="52"/>
      <c r="BF5" s="52"/>
      <c r="BG5" s="52"/>
      <c r="BH5" s="52"/>
      <c r="BI5" s="68" cm="1">
        <f t="array" ref="BI5">IFERROR(INDEX(AW5:BH5,1,MATCH(2,1/(AW5:BH5&lt;&gt;""))),"")</f>
        <v>3</v>
      </c>
      <c r="BJ5" s="68" cm="1">
        <f t="array" ref="BJ5">IF(BM5 = "", "",IFERROR(INDEX(AW5:BH5,1,MATCH(2,1/(AW5:BH5&lt;&gt;""),1)-1),""))</f>
        <v>5</v>
      </c>
      <c r="BK5" s="59">
        <f>SUM(AW5:BH5)</f>
        <v>17</v>
      </c>
      <c r="BL5" s="59" cm="1">
        <f t="array" ref="BL5">IFERROR(SUM(AW5:INDEX(AW5:BH5, MATCH(2, 1/(AW5:BH5&lt;&gt;""), 1) - 1))/_xlfn.XLOOKUP(F5,Apuração!A:A,Apuração!B:B),0)</f>
        <v>1.1666666666666667</v>
      </c>
      <c r="BM5" s="55" cm="1">
        <f t="array" ref="BM5">IFERROR(
   INDEX($AW$1:$BH$1,
      _xlfn.AGGREGATE(14, 6, COLUMN($AW$1:$BH$1)/(AW5:BH5&lt;&gt;""), 2) - COLUMN($AW$1) + 1
   ),
"")</f>
        <v>46082</v>
      </c>
      <c r="BN5" s="55" cm="1">
        <f t="array" ref="BN5">IFERROR(INDEX($AW$1:$BH$1,1,MATCH(2,1/(AW5:BH5&lt;&gt;""))),"")</f>
        <v>46113</v>
      </c>
      <c r="BO5" s="53">
        <f ca="1">IFERROR(_xlfn.XLOOKUP(F5,Apuração!A:A,Apuração!C:C)/_xlfn.XLOOKUP(F5,Apuração!A:A,Apuração!B:B),0)</f>
        <v>0.41666666666666669</v>
      </c>
      <c r="BP5" s="53">
        <f ca="1">IFERROR(_xlfn.XLOOKUP(F5,Apuração!A:A,Apuração!D:D)/_xlfn.XLOOKUP(F5,Apuração!A:A,Apuração!B:B),0)</f>
        <v>0.33333333333333331</v>
      </c>
      <c r="BQ5" s="53">
        <f ca="1">IF(BK5&gt;=BO5,0,_xlfn.XLOOKUP(F5,Apuração!A:A,Apuração!B:B)*(BO5 + (1/_xlfn.XLOOKUP(F5,Apuração!A:A,Apuração!B:B)) - BK5))</f>
        <v>0</v>
      </c>
      <c r="BR5" s="85">
        <f t="shared" ref="BR5" ca="1" si="7">IF(BQ5=0,0,BQ5*Z5)</f>
        <v>0</v>
      </c>
      <c r="BS5" s="53">
        <f ca="1">IFERROR((_xlfn.XLOOKUP(F5,Apuração!A:A,Apuração!C:C)+1)/_xlfn.XLOOKUP(F5,Apuração!A:A,Apuração!B:B),0)</f>
        <v>0.5</v>
      </c>
    </row>
    <row r="6" spans="1:71" ht="25.95" hidden="1" customHeight="1" x14ac:dyDescent="0.3">
      <c r="A6" s="39" t="s">
        <v>33</v>
      </c>
      <c r="B6" s="4" t="s">
        <v>34</v>
      </c>
      <c r="C6" s="5" t="s">
        <v>35</v>
      </c>
      <c r="D6" s="5" t="s">
        <v>47</v>
      </c>
      <c r="E6" s="4" t="str" cm="1">
        <f t="array" ref="E6">_xlfn.IFS(
F6 = "A partir de Abril", "Aguardando Execução na Distribuidora",
A6 = "CAPACITAÇÃO", "Em execução no Corporativo",
TRUE, "Em Execução na Distribuidora"
)</f>
        <v>Em Execução na Distribuidora</v>
      </c>
      <c r="F6" s="4" t="str" cm="1">
        <f t="array" ref="F6">_xlfn.IFS(
AG6 &lt;&gt; "", "Jan-Dez/26",
AH6 &lt;&gt; "", "Fev-Dez/26",
AI6 &lt;&gt; "", "Mar-Dez/26", AJ6 &lt;&gt; "", "Abr-Dez/26",
TRUE, "A partir de Junho"
)</f>
        <v>Jan-Dez/26</v>
      </c>
      <c r="G6" s="6" t="s">
        <v>37</v>
      </c>
      <c r="H6" s="7" t="s">
        <v>38</v>
      </c>
      <c r="I6" s="9" t="s">
        <v>49</v>
      </c>
      <c r="J6" s="8" t="str" cm="1">
        <f t="array" aca="1" ref="J6" ca="1">_xlfn.LET(
  _xlpm.actual_value_month, INDEX(T6:AE6, MATCH(DATE(YEAR(TODAY()), MONTH(TODAY()), 1), $T$1:$AE$1, 0)),
  IF(_xlpm.actual_value_month &lt;&gt; "",_xlpm.actual_value_month &amp; " ações mensais", "")
)</f>
        <v/>
      </c>
      <c r="K6" s="8" t="str" cm="1">
        <f t="array" ref="K6">_xlfn.LET(
    _xlpm.sum_month, SUM(T6:AE6),
    IF(_xlpm.sum_month = 0, "", _xlpm.sum_month &amp; " soluções implementadas no ano")
)</f>
        <v/>
      </c>
      <c r="L6" s="9" t="s">
        <v>50</v>
      </c>
      <c r="M6" s="9"/>
      <c r="N6" s="5" t="s">
        <v>51</v>
      </c>
      <c r="O6" s="5" t="s">
        <v>52</v>
      </c>
      <c r="P6" s="10" t="s">
        <v>44</v>
      </c>
      <c r="Q6" s="10" t="s">
        <v>44</v>
      </c>
      <c r="R6" s="10" t="s">
        <v>44</v>
      </c>
      <c r="S6" s="10" t="s">
        <v>44</v>
      </c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G6" s="82">
        <v>0</v>
      </c>
      <c r="AH6" s="82">
        <v>0</v>
      </c>
      <c r="AI6" s="82">
        <v>0</v>
      </c>
      <c r="AJ6" s="146">
        <v>0</v>
      </c>
      <c r="AK6" s="71"/>
      <c r="AL6" s="71"/>
      <c r="AM6" s="71"/>
      <c r="AN6" s="71"/>
      <c r="AO6" s="71"/>
      <c r="AP6" s="71"/>
      <c r="AQ6" s="71"/>
      <c r="AR6" s="71"/>
      <c r="AS6" s="94">
        <f t="shared" ref="AS6" ca="1" si="8">IF(MONTH(TODAY())=3,SUM(T6:U6),IF(MONTH(TODAY())=4,SUM(T6:V6),IF(MONTH(TODAY())=5,SUM(T6:W6),IF(MONTH(TODAY())=6,SUM(T6:X6),IF(MONTH(TODAY())=7,SUM(T6:Y6),IF(MONTH(TODAY())=8,SUM(T6:Z6),IF(MONTH(TODAY())=9,SUM(T6:AA6),IF(MONTH(TODAY())=10,SUM(T6:AB6),IF(MONTH(TODAY())=11,SUM(T6:AC6),IF(MONTH(TODAY())=12,SUM(T6:AD6),IF(MONTH(TODAY())=1,SUM(T6:AE6),T6)))))))))))</f>
        <v>0</v>
      </c>
      <c r="AT6" s="95">
        <f>SUM(AG6:AR6)</f>
        <v>0</v>
      </c>
      <c r="AU6" s="97">
        <f t="shared" ref="AU6" si="9">SUM(AG6:AR6)</f>
        <v>0</v>
      </c>
      <c r="AW6" s="83">
        <f>AG6</f>
        <v>0</v>
      </c>
      <c r="AX6" s="83">
        <f t="shared" ref="AX6" si="10">AH6</f>
        <v>0</v>
      </c>
      <c r="AY6" s="83">
        <f t="shared" ref="AY6" si="11">AI6</f>
        <v>0</v>
      </c>
      <c r="AZ6" s="83">
        <f>AJ6</f>
        <v>0</v>
      </c>
      <c r="BA6" s="52"/>
      <c r="BB6" s="52"/>
      <c r="BC6" s="52"/>
      <c r="BD6" s="52"/>
      <c r="BE6" s="52"/>
      <c r="BF6" s="52"/>
      <c r="BG6" s="52"/>
      <c r="BH6" s="52"/>
      <c r="BI6" s="68" cm="1">
        <f t="array" ref="BI6">IFERROR(INDEX(AW6:BH6,1,MATCH(2,1/(AW6:BH6&lt;&gt;""))),"")</f>
        <v>0</v>
      </c>
      <c r="BJ6" s="68" cm="1">
        <f t="array" ref="BJ6">IF(BM6 = "", "",IFERROR(INDEX(AW6:BH6,1,MATCH(2,1/(AW6:BH6&lt;&gt;""),1)-1),""))</f>
        <v>0</v>
      </c>
      <c r="BK6" s="59">
        <f>SUM(AW6:BH6)</f>
        <v>0</v>
      </c>
      <c r="BL6" s="59" cm="1">
        <f t="array" ref="BL6">IFERROR(SUM(AW6:INDEX(AW6:BH6, MATCH(2, 1/(AW6:BH6&lt;&gt;""), 1) - 1))/_xlfn.XLOOKUP(F6,Apuração!A:A,Apuração!B:B),0)</f>
        <v>0</v>
      </c>
      <c r="BM6" s="55" cm="1">
        <f t="array" ref="BM6">IFERROR(
   INDEX($AW$1:$BH$1,
      _xlfn.AGGREGATE(14, 6, COLUMN($AW$1:$BH$1)/(AW6:BH6&lt;&gt;""), 2) - COLUMN($AW$1) + 1
   ),
"")</f>
        <v>46082</v>
      </c>
      <c r="BN6" s="55" cm="1">
        <f t="array" ref="BN6">IFERROR(INDEX($AW$1:$BH$1,1,MATCH(2,1/(AW6:BH6&lt;&gt;""))),"")</f>
        <v>46113</v>
      </c>
      <c r="BO6" s="53">
        <f ca="1">IFERROR(_xlfn.XLOOKUP(F6,Apuração!A:A,Apuração!C:C)/_xlfn.XLOOKUP(F6,Apuração!A:A,Apuração!B:B),0)</f>
        <v>0.41666666666666669</v>
      </c>
      <c r="BP6" s="53">
        <f ca="1">IFERROR(_xlfn.XLOOKUP(F6,Apuração!A:A,Apuração!D:D)/_xlfn.XLOOKUP(F6,Apuração!A:A,Apuração!B:B),0)</f>
        <v>0.33333333333333331</v>
      </c>
      <c r="BQ6" s="53">
        <f ca="1">IF(BK6&gt;=BO6,0,_xlfn.XLOOKUP(F6,Apuração!A:A,Apuração!B:B)*(BO6 + (1/_xlfn.XLOOKUP(F6,Apuração!A:A,Apuração!B:B)) - BK6))</f>
        <v>6</v>
      </c>
      <c r="BR6" s="85">
        <f t="shared" ref="BR6" ca="1" si="12">IF(BQ6=0,0,BQ6*Z6)</f>
        <v>0</v>
      </c>
      <c r="BS6" s="53">
        <f ca="1">IFERROR((_xlfn.XLOOKUP(F6,Apuração!A:A,Apuração!C:C)+1)/_xlfn.XLOOKUP(F6,Apuração!A:A,Apuração!B:B),0)</f>
        <v>0.5</v>
      </c>
    </row>
    <row r="7" spans="1:71" ht="25.95" hidden="1" customHeight="1" x14ac:dyDescent="0.3">
      <c r="A7" s="39" t="s">
        <v>33</v>
      </c>
      <c r="B7" s="4" t="s">
        <v>34</v>
      </c>
      <c r="C7" s="5" t="s">
        <v>35</v>
      </c>
      <c r="D7" s="5" t="s">
        <v>48</v>
      </c>
      <c r="E7" s="4" t="str" cm="1">
        <f t="array" ref="E7">_xlfn.IFS(
F7 = "A partir de Abril", "Aguardando Execução na Distribuidora",
A7 = "CAPACITAÇÃO", "Em execução no Corporativo",
TRUE, "Em Execução na Distribuidora"
)</f>
        <v>Em Execução na Distribuidora</v>
      </c>
      <c r="F7" s="4" t="str" cm="1">
        <f t="array" ref="F7">_xlfn.IFS(
AG7 &lt;&gt; "", "Jan-Dez/26",
AH7 &lt;&gt; "", "Fev-Dez/26",
AI7 &lt;&gt; "", "Mar-Dez/26", AJ7 &lt;&gt; "", "Abr-Dez/26",
TRUE, "A partir de Junho"
)</f>
        <v>Jan-Dez/26</v>
      </c>
      <c r="G7" s="6" t="s">
        <v>37</v>
      </c>
      <c r="H7" s="7" t="s">
        <v>38</v>
      </c>
      <c r="I7" s="9" t="s">
        <v>49</v>
      </c>
      <c r="J7" s="8" t="str" cm="1">
        <f t="array" aca="1" ref="J7" ca="1">_xlfn.LET(
  _xlpm.actual_value_month, INDEX(T7:AE7, MATCH(DATE(YEAR(TODAY()), MONTH(TODAY()), 1), $T$1:$AE$1, 0)),
  IF(_xlpm.actual_value_month &lt;&gt; "",_xlpm.actual_value_month &amp; " ações mensais", "")
)</f>
        <v/>
      </c>
      <c r="K7" s="8" t="str" cm="1">
        <f t="array" ref="K7">_xlfn.LET(
    _xlpm.sum_month, SUM(T7:AE7),
    IF(_xlpm.sum_month = 0, "", _xlpm.sum_month &amp; " soluções implementadas no ano")
)</f>
        <v/>
      </c>
      <c r="L7" s="9" t="s">
        <v>50</v>
      </c>
      <c r="M7" s="9"/>
      <c r="N7" s="5" t="s">
        <v>51</v>
      </c>
      <c r="O7" s="5" t="s">
        <v>52</v>
      </c>
      <c r="P7" s="10" t="s">
        <v>44</v>
      </c>
      <c r="Q7" s="10" t="s">
        <v>44</v>
      </c>
      <c r="R7" s="10" t="s">
        <v>44</v>
      </c>
      <c r="S7" s="10" t="s">
        <v>44</v>
      </c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G7" s="82">
        <v>5</v>
      </c>
      <c r="AH7" s="82">
        <v>4</v>
      </c>
      <c r="AI7" s="82">
        <v>5</v>
      </c>
      <c r="AJ7" s="146">
        <v>3</v>
      </c>
      <c r="AK7" s="71"/>
      <c r="AL7" s="71"/>
      <c r="AM7" s="71"/>
      <c r="AN7" s="71"/>
      <c r="AO7" s="71"/>
      <c r="AP7" s="71"/>
      <c r="AQ7" s="71"/>
      <c r="AR7" s="71"/>
      <c r="AS7" s="94">
        <f t="shared" ref="AS7:AS43" ca="1" si="13">IF(MONTH(TODAY())=3,SUM(T7:U7),IF(MONTH(TODAY())=4,SUM(T7:V7),IF(MONTH(TODAY())=5,SUM(T7:W7),IF(MONTH(TODAY())=6,SUM(T7:X7),IF(MONTH(TODAY())=7,SUM(T7:Y7),IF(MONTH(TODAY())=8,SUM(T7:Z7),IF(MONTH(TODAY())=9,SUM(T7:AA7),IF(MONTH(TODAY())=10,SUM(T7:AB7),IF(MONTH(TODAY())=11,SUM(T7:AC7),IF(MONTH(TODAY())=12,SUM(T7:AD7),IF(MONTH(TODAY())=1,SUM(T7:AE7),T7)))))))))))</f>
        <v>0</v>
      </c>
      <c r="AT7" s="95">
        <f>SUM(AG7:AR7)</f>
        <v>17</v>
      </c>
      <c r="AU7" s="97">
        <f t="shared" ref="AU7:AU43" si="14">SUM(AG7:AR7)</f>
        <v>17</v>
      </c>
      <c r="AW7" s="83">
        <f>AG7</f>
        <v>5</v>
      </c>
      <c r="AX7" s="83">
        <f t="shared" ref="AX7" si="15">AH7</f>
        <v>4</v>
      </c>
      <c r="AY7" s="83">
        <f t="shared" ref="AY7" si="16">AI7</f>
        <v>5</v>
      </c>
      <c r="AZ7" s="83">
        <f>AJ7</f>
        <v>3</v>
      </c>
      <c r="BA7" s="52"/>
      <c r="BB7" s="52"/>
      <c r="BC7" s="52"/>
      <c r="BD7" s="52"/>
      <c r="BE7" s="52"/>
      <c r="BF7" s="52"/>
      <c r="BG7" s="52"/>
      <c r="BH7" s="52"/>
      <c r="BI7" s="68" cm="1">
        <f t="array" ref="BI7">IFERROR(INDEX(AW7:BH7,1,MATCH(2,1/(AW7:BH7&lt;&gt;""))),"")</f>
        <v>3</v>
      </c>
      <c r="BJ7" s="68" cm="1">
        <f t="array" ref="BJ7">IF(BM7 = "", "",IFERROR(INDEX(AW7:BH7,1,MATCH(2,1/(AW7:BH7&lt;&gt;""),1)-1),""))</f>
        <v>5</v>
      </c>
      <c r="BK7" s="59">
        <f>SUM(AW7:BH7)</f>
        <v>17</v>
      </c>
      <c r="BL7" s="59" cm="1">
        <f t="array" ref="BL7">IFERROR(SUM(AW7:INDEX(AW7:BH7, MATCH(2, 1/(AW7:BH7&lt;&gt;""), 1) - 1))/_xlfn.XLOOKUP(F7,Apuração!A:A,Apuração!B:B),0)</f>
        <v>1.1666666666666667</v>
      </c>
      <c r="BM7" s="55" cm="1">
        <f t="array" ref="BM7">IFERROR(
   INDEX($AW$1:$BH$1,
      _xlfn.AGGREGATE(14, 6, COLUMN($AW$1:$BH$1)/(AW7:BH7&lt;&gt;""), 2) - COLUMN($AW$1) + 1
   ),
"")</f>
        <v>46082</v>
      </c>
      <c r="BN7" s="55" cm="1">
        <f t="array" ref="BN7">IFERROR(INDEX($AW$1:$BH$1,1,MATCH(2,1/(AW7:BH7&lt;&gt;""))),"")</f>
        <v>46113</v>
      </c>
      <c r="BO7" s="53">
        <f ca="1">IFERROR(_xlfn.XLOOKUP(F7,Apuração!A:A,Apuração!C:C)/_xlfn.XLOOKUP(F7,Apuração!A:A,Apuração!B:B),0)</f>
        <v>0.41666666666666669</v>
      </c>
      <c r="BP7" s="53">
        <f ca="1">IFERROR(_xlfn.XLOOKUP(F7,Apuração!A:A,Apuração!D:D)/_xlfn.XLOOKUP(F7,Apuração!A:A,Apuração!B:B),0)</f>
        <v>0.33333333333333331</v>
      </c>
      <c r="BQ7" s="53">
        <f ca="1">IF(BK7&gt;=BO7,0,_xlfn.XLOOKUP(F7,Apuração!A:A,Apuração!B:B)*(BO7 + (1/_xlfn.XLOOKUP(F7,Apuração!A:A,Apuração!B:B)) - BK7))</f>
        <v>0</v>
      </c>
      <c r="BR7" s="85">
        <f t="shared" ca="1" si="2"/>
        <v>0</v>
      </c>
      <c r="BS7" s="53">
        <f ca="1">IFERROR((_xlfn.XLOOKUP(F7,Apuração!A:A,Apuração!C:C)+1)/_xlfn.XLOOKUP(F7,Apuração!A:A,Apuração!B:B),0)</f>
        <v>0.5</v>
      </c>
    </row>
    <row r="8" spans="1:71" ht="25.95" hidden="1" customHeight="1" x14ac:dyDescent="0.3">
      <c r="A8" s="3" t="s">
        <v>33</v>
      </c>
      <c r="B8" s="4" t="s">
        <v>53</v>
      </c>
      <c r="C8" s="5" t="s">
        <v>35</v>
      </c>
      <c r="D8" s="5" t="s">
        <v>36</v>
      </c>
      <c r="E8" s="4" t="str" cm="1">
        <f t="array" ref="E8">_xlfn.IFS(
F8 = "A partir de Abril", "Aguardando Execução na Distribuidora",
A8 = "CAPACITAÇÃO", "Em execução no Corporativo",
TRUE, "Em Execução na Distribuidora"
)</f>
        <v>Em Execução na Distribuidora</v>
      </c>
      <c r="F8" s="4" t="str" cm="1">
        <f t="array" ref="F8">_xlfn.IFS(
AG8 &lt;&gt; "", "Jan-Dez/26",
AH8 &lt;&gt; "", "Fev-Dez/26",
AI8 &lt;&gt; "", "Mar-Dez/26", AJ8 &lt;&gt; "", "Abr-Dez/26",
TRUE, "A partir de Junho"
)</f>
        <v>Jan-Dez/26</v>
      </c>
      <c r="G8" s="4" t="s">
        <v>37</v>
      </c>
      <c r="H8" s="7" t="s">
        <v>54</v>
      </c>
      <c r="I8" s="8" t="s">
        <v>55</v>
      </c>
      <c r="J8" s="8" t="str" cm="1">
        <f t="array" aca="1" ref="J8" ca="1">_xlfn.LET(
  _xlpm.actual_value_month, INDEX(T8:AE8, MATCH(DATE(YEAR(TODAY()), MONTH(TODAY()), 1), $T$1:$AE$1, 0)),
  IF(_xlpm.actual_value_month &lt;&gt; "",_xlpm.actual_value_month &amp; " eventos mensais", "")
)</f>
        <v>1 eventos mensais</v>
      </c>
      <c r="K8" s="14" t="str" cm="1">
        <f t="array" ref="K8">_xlfn.LET(
    _xlpm.sum_month, SUM(T8:AE8),
    IF(_xlpm.sum_month = 0, "", _xlpm.sum_month &amp; "  eventos no ano")
)</f>
        <v>24  eventos no ano</v>
      </c>
      <c r="L8" s="9" t="s">
        <v>56</v>
      </c>
      <c r="M8" s="13" t="s">
        <v>57</v>
      </c>
      <c r="N8" s="5" t="s">
        <v>42</v>
      </c>
      <c r="O8" s="5" t="s">
        <v>43</v>
      </c>
      <c r="P8" s="10" t="s">
        <v>58</v>
      </c>
      <c r="Q8" s="10" t="s">
        <v>44</v>
      </c>
      <c r="R8" s="11" t="s">
        <v>45</v>
      </c>
      <c r="S8" s="11" t="s">
        <v>46</v>
      </c>
      <c r="T8" s="143">
        <v>7</v>
      </c>
      <c r="U8" s="143">
        <v>1</v>
      </c>
      <c r="V8" s="143">
        <v>7</v>
      </c>
      <c r="W8" s="143">
        <v>1</v>
      </c>
      <c r="X8" s="143">
        <v>1</v>
      </c>
      <c r="Y8" s="143">
        <v>1</v>
      </c>
      <c r="Z8" s="143">
        <v>1</v>
      </c>
      <c r="AA8" s="143">
        <v>1</v>
      </c>
      <c r="AB8" s="143">
        <v>1</v>
      </c>
      <c r="AC8" s="143">
        <v>1</v>
      </c>
      <c r="AD8" s="143">
        <v>1</v>
      </c>
      <c r="AE8" s="143">
        <v>1</v>
      </c>
      <c r="AG8" s="82">
        <v>7</v>
      </c>
      <c r="AH8" s="82">
        <v>1</v>
      </c>
      <c r="AI8" s="82">
        <v>7</v>
      </c>
      <c r="AJ8" s="82">
        <v>3</v>
      </c>
      <c r="AK8" s="71"/>
      <c r="AL8" s="71"/>
      <c r="AM8" s="71"/>
      <c r="AN8" s="71"/>
      <c r="AO8" s="71"/>
      <c r="AP8" s="71"/>
      <c r="AQ8" s="71"/>
      <c r="AR8" s="71"/>
      <c r="AS8" s="94">
        <f t="shared" ref="AS8:AS9" ca="1" si="17">IF(MONTH(TODAY())=3,SUM(T8:U8),IF(MONTH(TODAY())=4,SUM(T8:V8),IF(MONTH(TODAY())=5,SUM(T8:W8),IF(MONTH(TODAY())=6,SUM(T8:X8),IF(MONTH(TODAY())=7,SUM(T8:Y8),IF(MONTH(TODAY())=8,SUM(T8:Z8),IF(MONTH(TODAY())=9,SUM(T8:AA8),IF(MONTH(TODAY())=10,SUM(T8:AB8),IF(MONTH(TODAY())=11,SUM(T8:AC8),IF(MONTH(TODAY())=12,SUM(T8:AD8),IF(MONTH(TODAY())=1,SUM(T8:AE8),T8)))))))))))</f>
        <v>17</v>
      </c>
      <c r="AT8" s="95">
        <f>SUM(IF(AW8&lt;1.15,AG8,1.15*T8),IF(AX8&lt;1.15,AH8,1.15*U8),IF(AY8&lt;1.15,AI8,1.15*V8),IF(AZ8&lt;1.15,AJ8,1.15*W8),IF(BA8&lt;1.15,AK8,1.15*X8),IF(BB8&lt;1.15,AL8,1.15*Y8),IF(BC8&lt;1.15,AM8,1.15*Z8),IF(BD8&lt;1.15,AN8,1.15*AA8),IF(BE8&lt;1.15,AO8,1.15*AB8),IF(BF8&lt;1.15,AP8,1.15*AC8),IF(BG8&lt;1.15,AQ8,1.15*AD8),IF(BH8&lt;1.15,AR8,1.15*AE8))</f>
        <v>16.149999999999999</v>
      </c>
      <c r="AU8" s="97">
        <f t="shared" ref="AU8:AU9" si="18">SUM(AG8:AR8)</f>
        <v>18</v>
      </c>
      <c r="AW8" s="51">
        <f t="shared" ref="AW8:AZ10" si="19">IFERROR(IF(AG8="",0,AG8/T8),0)</f>
        <v>1</v>
      </c>
      <c r="AX8" s="51">
        <f t="shared" si="19"/>
        <v>1</v>
      </c>
      <c r="AY8" s="51">
        <f t="shared" si="19"/>
        <v>1</v>
      </c>
      <c r="AZ8" s="51">
        <f t="shared" si="19"/>
        <v>3</v>
      </c>
      <c r="BA8" s="51"/>
      <c r="BB8" s="51"/>
      <c r="BC8" s="51"/>
      <c r="BD8" s="51"/>
      <c r="BE8" s="51"/>
      <c r="BF8" s="51"/>
      <c r="BG8" s="51"/>
      <c r="BH8" s="51"/>
      <c r="BI8" s="65" cm="1">
        <f t="array" ref="BI8">IFERROR(INDEX(AW8:BH8,1,MATCH(2,1/(AW8:BH8&lt;&gt;""))),"")</f>
        <v>3</v>
      </c>
      <c r="BJ8" s="68" cm="1">
        <f t="array" ref="BJ8">IF(BM8 = "", "",IFERROR(INDEX(AW8:BH8,1,MATCH(2,1/(AW8:BH8&lt;&gt;""),1)-1),""))</f>
        <v>1</v>
      </c>
      <c r="BK8" s="58">
        <f>IF((IF(AW8&gt;=115%,115%,AW8) + IF(AX8&gt;=115%,115%,AX8) + IF(AY8&gt;=115%,115%,AY8) + (IF(AZ8&gt;=115%,115%,AZ8) + IF(BA8&gt;=115%,115%,BA8) + IF(BB8&gt;=115%,115%,BB8) + IF(BC8&gt;=115%,115%,BC8) + IF(BD8&gt;=115%,115%,BD8) + IF(BE8&gt;=115%,115%,BE8) + IF(BF8&gt;=136%,136%,BF8) + IF(BG8&gt;=115%,115%,BG8) + IF(BH8&gt;=115%,115%,BH8)))/_xlfn.XLOOKUP(F8,Apuração!A:A,Apuração!B:B)&gt;=1.15,1.15,((IF(AZ8&gt;=115%,115%,AZ8) + IF(AX8&gt;=115%,115%,AX8) + IF(AY8&gt;=115%,115%,AY8) + (IF(AW8&gt;=115%,115%,AW8) + IF(BA8&gt;=115%,115%,BA8) + IF(BB8&gt;=115%,115%,BB8) + IF(BC8&gt;=115%,115%,BC8) + IF(BD8&gt;=115%,115%,BD8) + IF(BE8&gt;=115%,115%,BE8) + IF(BF8&gt;=136%,136%,BF8) + IF(BG8&gt;=115%,115%,BG8) + IF(BH8&gt;=115%,115%,BH8)))/_xlfn.XLOOKUP(F8,Apuração!A:A,Apuração!B:B)))</f>
        <v>0.34583333333333338</v>
      </c>
      <c r="BL8" s="58" cm="1">
        <f t="array" aca="1" ref="BL8" ca="1">IF(SUM(IFERROR(IF(INDEX(AW8:INDEX(AW8:BH8, MATCH(2, 1/(AW8:BH8&lt;&gt;""), 1)-1), ROW(INDIRECT("1:" &amp; MATCH(2, 1/(AW8:BH8&lt;&gt;""), 1)-1))) &gt;= 115%, 115%, INDEX(AW8:INDEX(AW8:BH8, MATCH(2, 1/(AW8:BH8&lt;&gt;""), 1)-1), ROW(INDIRECT("1:" &amp; MATCH(2, 1/(AW8:BH8&lt;&gt;""), 1)-1)))), 0))/_xlfn.XLOOKUP(F8,Apuração!A:A,Apuração!B:B)&gt;=1.15,1.15,SUM(IFERROR(IF(INDEX(AW8:INDEX(AW8:BH8, MATCH(2, 1/(AW8:BH8&lt;&gt;""), 1)-1), ROW(INDIRECT("1:" &amp; MATCH(2, 1/(AW8:BH8&lt;&gt;""), 1)-1))) &gt;= 115%, 115%, INDEX(AW8:INDEX(AW8:BH8, MATCH(2, 1/(AW8:BH8&lt;&gt;""), 1)-1), ROW(INDIRECT("1:" &amp; MATCH(2, 1/(AW8:BH8&lt;&gt;""), 1)-1)))), 0))/_xlfn.XLOOKUP(F8,Apuração!A:A,Apuração!B:B))</f>
        <v>0.25</v>
      </c>
      <c r="BM8" s="55" cm="1">
        <f t="array" ref="BM8">IFERROR(
   INDEX($AW$1:$BH$1,
      _xlfn.AGGREGATE(14, 6, COLUMN($AW$1:$BH$1)/(AW8:BH8&lt;&gt;""), 2) - COLUMN($AW$1) + 1
   ),
"")</f>
        <v>46082</v>
      </c>
      <c r="BN8" s="55" cm="1">
        <f t="array" ref="BN8">IFERROR(INDEX($AW$1:$BH$1,1,MATCH(2,1/(AW8:BH8&lt;&gt;""))),"")</f>
        <v>46113</v>
      </c>
      <c r="BO8" s="53">
        <f ca="1">IFERROR(_xlfn.XLOOKUP(F8,Apuração!A:A,Apuração!C:C)/_xlfn.XLOOKUP(F8,Apuração!A:A,Apuração!B:B),0)</f>
        <v>0.41666666666666669</v>
      </c>
      <c r="BP8" s="53">
        <f ca="1">IFERROR(_xlfn.XLOOKUP(F8,Apuração!A:A,Apuração!D:D)/_xlfn.XLOOKUP(F8,Apuração!A:A,Apuração!B:B),0)</f>
        <v>0.33333333333333331</v>
      </c>
      <c r="BQ8" s="53">
        <f ca="1">IF(BK8&gt;=BO8,0,_xlfn.XLOOKUP(F8,Apuração!A:A,Apuração!B:B)*(BO8 + (1/_xlfn.XLOOKUP(F8,Apuração!A:A,Apuração!B:B)) - BK8))</f>
        <v>1.8499999999999994</v>
      </c>
      <c r="BR8" s="85">
        <f t="shared" ref="BR8:BR9" ca="1" si="20">IF(BQ8=0,0,BQ8*Z8)</f>
        <v>1.8499999999999994</v>
      </c>
      <c r="BS8" s="53">
        <f ca="1">IFERROR((_xlfn.XLOOKUP(F8,Apuração!A:A,Apuração!C:C)+1)/_xlfn.XLOOKUP(F8,Apuração!A:A,Apuração!B:B),0)</f>
        <v>0.5</v>
      </c>
    </row>
    <row r="9" spans="1:71" ht="25.95" hidden="1" customHeight="1" x14ac:dyDescent="0.3">
      <c r="A9" s="3" t="s">
        <v>33</v>
      </c>
      <c r="B9" s="4" t="s">
        <v>53</v>
      </c>
      <c r="C9" s="5" t="s">
        <v>35</v>
      </c>
      <c r="D9" s="5" t="s">
        <v>47</v>
      </c>
      <c r="E9" s="4" t="str" cm="1">
        <f t="array" ref="E9">_xlfn.IFS(
F9 = "A partir de Abril", "Aguardando Execução na Distribuidora",
A9 = "CAPACITAÇÃO", "Em execução no Corporativo",
TRUE, "Em Execução na Distribuidora"
)</f>
        <v>Em Execução na Distribuidora</v>
      </c>
      <c r="F9" s="4" t="str" cm="1">
        <f t="array" ref="F9">_xlfn.IFS(
AG9 &lt;&gt; "", "Jan-Dez/26",
AH9 &lt;&gt; "", "Fev-Dez/26",
AI9 &lt;&gt; "", "Mar-Dez/26", AJ9 &lt;&gt; "", "Abr-Dez/26",
TRUE, "A partir de Junho"
)</f>
        <v>A partir de Junho</v>
      </c>
      <c r="G9" s="4" t="s">
        <v>37</v>
      </c>
      <c r="H9" s="7" t="s">
        <v>54</v>
      </c>
      <c r="I9" s="8" t="s">
        <v>55</v>
      </c>
      <c r="J9" s="8" t="str" cm="1">
        <f t="array" aca="1" ref="J9" ca="1">_xlfn.LET(
  _xlpm.actual_value_month, INDEX(T9:AE9, MATCH(DATE(YEAR(TODAY()), MONTH(TODAY()), 1), $T$1:$AE$1, 0)),
  IF(_xlpm.actual_value_month &lt;&gt; "",_xlpm.actual_value_month &amp; " eventos mensais", "")
)</f>
        <v>1 eventos mensais</v>
      </c>
      <c r="K9" s="14" t="str" cm="1">
        <f t="array" ref="K9">_xlfn.LET(
    _xlpm.sum_month, SUM(T9:AE9),
    IF(_xlpm.sum_month = 0, "", _xlpm.sum_month &amp; "  eventos no ano")
)</f>
        <v>9  eventos no ano</v>
      </c>
      <c r="L9" s="9" t="s">
        <v>56</v>
      </c>
      <c r="M9" s="13" t="s">
        <v>57</v>
      </c>
      <c r="N9" s="5" t="s">
        <v>42</v>
      </c>
      <c r="O9" s="5" t="s">
        <v>43</v>
      </c>
      <c r="P9" s="10" t="s">
        <v>58</v>
      </c>
      <c r="Q9" s="10" t="s">
        <v>44</v>
      </c>
      <c r="R9" s="11" t="s">
        <v>45</v>
      </c>
      <c r="S9" s="11" t="s">
        <v>46</v>
      </c>
      <c r="T9" s="143"/>
      <c r="U9" s="143"/>
      <c r="V9" s="143"/>
      <c r="W9" s="143">
        <v>1</v>
      </c>
      <c r="X9" s="143">
        <v>1</v>
      </c>
      <c r="Y9" s="143">
        <v>1</v>
      </c>
      <c r="Z9" s="143">
        <v>1</v>
      </c>
      <c r="AA9" s="143">
        <v>1</v>
      </c>
      <c r="AB9" s="143">
        <v>1</v>
      </c>
      <c r="AC9" s="143">
        <v>1</v>
      </c>
      <c r="AD9" s="143">
        <v>1</v>
      </c>
      <c r="AE9" s="143">
        <v>1</v>
      </c>
      <c r="AG9" s="82"/>
      <c r="AH9" s="82"/>
      <c r="AI9" s="82"/>
      <c r="AJ9" s="82"/>
      <c r="AK9" s="71"/>
      <c r="AL9" s="71"/>
      <c r="AM9" s="71"/>
      <c r="AN9" s="71"/>
      <c r="AO9" s="71"/>
      <c r="AP9" s="71"/>
      <c r="AQ9" s="71"/>
      <c r="AR9" s="71"/>
      <c r="AS9" s="94">
        <f t="shared" ca="1" si="17"/>
        <v>2</v>
      </c>
      <c r="AT9" s="95">
        <f>SUM(IF(AW9&lt;1.15,AG9,1.15*T9),IF(AX9&lt;1.15,AH9,1.15*U9),IF(AY9&lt;1.15,AI9,1.15*V9),IF(AZ9&lt;1.15,AJ9,1.15*W9),IF(BA9&lt;1.15,AK9,1.15*X9),IF(BB9&lt;1.15,AL9,1.15*Y9),IF(BC9&lt;1.15,AM9,1.15*Z9),IF(BD9&lt;1.15,AN9,1.15*AA9),IF(BE9&lt;1.15,AO9,1.15*AB9),IF(BF9&lt;1.15,AP9,1.15*AC9),IF(BG9&lt;1.15,AQ9,1.15*AD9),IF(BH9&lt;1.15,AR9,1.15*AE9))</f>
        <v>0</v>
      </c>
      <c r="AU9" s="97">
        <f t="shared" si="18"/>
        <v>0</v>
      </c>
      <c r="AW9" s="51">
        <f t="shared" si="19"/>
        <v>0</v>
      </c>
      <c r="AX9" s="51">
        <f t="shared" si="19"/>
        <v>0</v>
      </c>
      <c r="AY9" s="51">
        <f t="shared" si="19"/>
        <v>0</v>
      </c>
      <c r="AZ9" s="51">
        <f t="shared" si="19"/>
        <v>0</v>
      </c>
      <c r="BA9" s="51"/>
      <c r="BB9" s="51"/>
      <c r="BC9" s="51"/>
      <c r="BD9" s="51"/>
      <c r="BE9" s="51"/>
      <c r="BF9" s="51"/>
      <c r="BG9" s="51"/>
      <c r="BH9" s="51"/>
      <c r="BI9" s="65" cm="1">
        <f t="array" ref="BI9">IFERROR(INDEX(AW9:BH9,1,MATCH(2,1/(AW9:BH9&lt;&gt;""))),"")</f>
        <v>0</v>
      </c>
      <c r="BJ9" s="68" cm="1">
        <f t="array" ref="BJ9">IF(BM9 = "", "",IFERROR(INDEX(AW9:BH9,1,MATCH(2,1/(AW9:BH9&lt;&gt;""),1)-1),""))</f>
        <v>0</v>
      </c>
      <c r="BK9" s="58">
        <f>IF((IF(AW9&gt;=115%,115%,AW9) + IF(AX9&gt;=115%,115%,AX9) + IF(AY9&gt;=115%,115%,AY9) + (IF(AZ9&gt;=115%,115%,AZ9) + IF(BA9&gt;=115%,115%,BA9) + IF(BB9&gt;=115%,115%,BB9) + IF(BC9&gt;=115%,115%,BC9) + IF(BD9&gt;=115%,115%,BD9) + IF(BE9&gt;=115%,115%,BE9) + IF(BF9&gt;=136%,136%,BF9) + IF(BG9&gt;=115%,115%,BG9) + IF(BH9&gt;=115%,115%,BH9)))/_xlfn.XLOOKUP(F9,Apuração!A:A,Apuração!B:B)&gt;=1.15,1.15,((IF(AZ9&gt;=115%,115%,AZ9) + IF(AX9&gt;=115%,115%,AX9) + IF(AY9&gt;=115%,115%,AY9) + (IF(AW9&gt;=115%,115%,AW9) + IF(BA9&gt;=115%,115%,BA9) + IF(BB9&gt;=115%,115%,BB9) + IF(BC9&gt;=115%,115%,BC9) + IF(BD9&gt;=115%,115%,BD9) + IF(BE9&gt;=115%,115%,BE9) + IF(BF9&gt;=136%,136%,BF9) + IF(BG9&gt;=115%,115%,BG9) + IF(BH9&gt;=115%,115%,BH9)))/_xlfn.XLOOKUP(F9,Apuração!A:A,Apuração!B:B)))</f>
        <v>0</v>
      </c>
      <c r="BL9" s="58" cm="1">
        <f t="array" aca="1" ref="BL9" ca="1">IF(SUM(IFERROR(IF(INDEX(AW9:INDEX(AW9:BH9, MATCH(2, 1/(AW9:BH9&lt;&gt;""), 1)-1), ROW(INDIRECT("1:" &amp; MATCH(2, 1/(AW9:BH9&lt;&gt;""), 1)-1))) &gt;= 115%, 115%, INDEX(AW9:INDEX(AW9:BH9, MATCH(2, 1/(AW9:BH9&lt;&gt;""), 1)-1), ROW(INDIRECT("1:" &amp; MATCH(2, 1/(AW9:BH9&lt;&gt;""), 1)-1)))), 0))/_xlfn.XLOOKUP(F9,Apuração!A:A,Apuração!B:B)&gt;=1.15,1.15,SUM(IFERROR(IF(INDEX(AW9:INDEX(AW9:BH9, MATCH(2, 1/(AW9:BH9&lt;&gt;""), 1)-1), ROW(INDIRECT("1:" &amp; MATCH(2, 1/(AW9:BH9&lt;&gt;""), 1)-1))) &gt;= 115%, 115%, INDEX(AW9:INDEX(AW9:BH9, MATCH(2, 1/(AW9:BH9&lt;&gt;""), 1)-1), ROW(INDIRECT("1:" &amp; MATCH(2, 1/(AW9:BH9&lt;&gt;""), 1)-1)))), 0))/_xlfn.XLOOKUP(F9,Apuração!A:A,Apuração!B:B))</f>
        <v>0</v>
      </c>
      <c r="BM9" s="55" cm="1">
        <f t="array" ref="BM9">IFERROR(
   INDEX($AW$1:$BH$1,
      _xlfn.AGGREGATE(14, 6, COLUMN($AW$1:$BH$1)/(AW9:BH9&lt;&gt;""), 2) - COLUMN($AW$1) + 1
   ),
"")</f>
        <v>46082</v>
      </c>
      <c r="BN9" s="55" cm="1">
        <f t="array" ref="BN9">IFERROR(INDEX($AW$1:$BH$1,1,MATCH(2,1/(AW9:BH9&lt;&gt;""))),"")</f>
        <v>46113</v>
      </c>
      <c r="BO9" s="53">
        <f ca="1">IFERROR(_xlfn.XLOOKUP(F9,Apuração!A:A,Apuração!C:C)/_xlfn.XLOOKUP(F9,Apuração!A:A,Apuração!B:B),0)</f>
        <v>0</v>
      </c>
      <c r="BP9" s="53">
        <f ca="1">IFERROR(_xlfn.XLOOKUP(F9,Apuração!A:A,Apuração!D:D)/_xlfn.XLOOKUP(F9,Apuração!A:A,Apuração!B:B),0)</f>
        <v>0</v>
      </c>
      <c r="BQ9" s="53">
        <f ca="1">IF(BK9&gt;=BO9,0,_xlfn.XLOOKUP(F9,Apuração!A:A,Apuração!B:B)*(BO9 + (1/_xlfn.XLOOKUP(F9,Apuração!A:A,Apuração!B:B)) - BK9))</f>
        <v>0</v>
      </c>
      <c r="BR9" s="85">
        <f t="shared" ca="1" si="20"/>
        <v>0</v>
      </c>
      <c r="BS9" s="53">
        <f ca="1">IFERROR((_xlfn.XLOOKUP(F9,Apuração!A:A,Apuração!C:C)+1)/_xlfn.XLOOKUP(F9,Apuração!A:A,Apuração!B:B),0)</f>
        <v>0.14285714285714285</v>
      </c>
    </row>
    <row r="10" spans="1:71" ht="25.95" hidden="1" customHeight="1" x14ac:dyDescent="0.3">
      <c r="A10" s="3" t="s">
        <v>33</v>
      </c>
      <c r="B10" s="4" t="s">
        <v>53</v>
      </c>
      <c r="C10" s="5" t="s">
        <v>35</v>
      </c>
      <c r="D10" s="5" t="s">
        <v>48</v>
      </c>
      <c r="E10" s="4" t="str" cm="1">
        <f t="array" ref="E10">_xlfn.IFS(
F10 = "A partir de Abril", "Aguardando Execução na Distribuidora",
A10 = "CAPACITAÇÃO", "Em execução no Corporativo",
TRUE, "Em Execução na Distribuidora"
)</f>
        <v>Em Execução na Distribuidora</v>
      </c>
      <c r="F10" s="4" t="str" cm="1">
        <f t="array" ref="F10">_xlfn.IFS(
AG10 &lt;&gt; "", "Jan-Dez/26",
AH10 &lt;&gt; "", "Fev-Dez/26",
AI10 &lt;&gt; "", "Mar-Dez/26", AJ10 &lt;&gt; "", "Abr-Dez/26",
TRUE, "A partir de Junho"
)</f>
        <v>Jan-Dez/26</v>
      </c>
      <c r="G10" s="4" t="s">
        <v>37</v>
      </c>
      <c r="H10" s="7" t="s">
        <v>54</v>
      </c>
      <c r="I10" s="8" t="s">
        <v>55</v>
      </c>
      <c r="J10" s="8" t="str" cm="1">
        <f t="array" aca="1" ref="J10" ca="1">_xlfn.LET(
  _xlpm.actual_value_month, INDEX(T10:AE10, MATCH(DATE(YEAR(TODAY()), MONTH(TODAY()), 1), $T$1:$AE$1, 0)),
  IF(_xlpm.actual_value_month &lt;&gt; "",_xlpm.actual_value_month &amp; " eventos mensais", "")
)</f>
        <v>1 eventos mensais</v>
      </c>
      <c r="K10" s="14" t="str" cm="1">
        <f t="array" ref="K10">_xlfn.LET(
    _xlpm.sum_month, SUM(T10:AE10),
    IF(_xlpm.sum_month = 0, "", _xlpm.sum_month &amp; "  eventos no ano")
)</f>
        <v>24  eventos no ano</v>
      </c>
      <c r="L10" s="9" t="s">
        <v>56</v>
      </c>
      <c r="M10" s="13" t="s">
        <v>57</v>
      </c>
      <c r="N10" s="5" t="s">
        <v>42</v>
      </c>
      <c r="O10" s="5" t="s">
        <v>43</v>
      </c>
      <c r="P10" s="10" t="s">
        <v>58</v>
      </c>
      <c r="Q10" s="10" t="s">
        <v>44</v>
      </c>
      <c r="R10" s="11" t="s">
        <v>45</v>
      </c>
      <c r="S10" s="11" t="s">
        <v>46</v>
      </c>
      <c r="T10" s="143">
        <v>7</v>
      </c>
      <c r="U10" s="143">
        <v>1</v>
      </c>
      <c r="V10" s="143">
        <v>7</v>
      </c>
      <c r="W10" s="143">
        <v>1</v>
      </c>
      <c r="X10" s="143">
        <v>1</v>
      </c>
      <c r="Y10" s="143">
        <v>1</v>
      </c>
      <c r="Z10" s="143">
        <v>1</v>
      </c>
      <c r="AA10" s="143">
        <v>1</v>
      </c>
      <c r="AB10" s="143">
        <v>1</v>
      </c>
      <c r="AC10" s="143">
        <v>1</v>
      </c>
      <c r="AD10" s="143">
        <v>1</v>
      </c>
      <c r="AE10" s="143">
        <v>1</v>
      </c>
      <c r="AG10" s="82">
        <v>7</v>
      </c>
      <c r="AH10" s="82">
        <v>1</v>
      </c>
      <c r="AI10" s="82">
        <v>7</v>
      </c>
      <c r="AJ10" s="146">
        <v>3</v>
      </c>
      <c r="AK10" s="71"/>
      <c r="AL10" s="71"/>
      <c r="AM10" s="71"/>
      <c r="AN10" s="71"/>
      <c r="AO10" s="71"/>
      <c r="AP10" s="71"/>
      <c r="AQ10" s="71"/>
      <c r="AR10" s="71"/>
      <c r="AS10" s="94">
        <f t="shared" ca="1" si="13"/>
        <v>17</v>
      </c>
      <c r="AT10" s="95">
        <f>SUM(IF(AW10&lt;1.15,AG10,1.15*T10),IF(AX10&lt;1.15,AH10,1.15*U10),IF(AY10&lt;1.15,AI10,1.15*V10),IF(AZ10&lt;1.15,AJ10,1.15*W10),IF(BA10&lt;1.15,AK10,1.15*X10),IF(BB10&lt;1.15,AL10,1.15*Y10),IF(BC10&lt;1.15,AM10,1.15*Z10),IF(BD10&lt;1.15,AN10,1.15*AA10),IF(BE10&lt;1.15,AO10,1.15*AB10),IF(BF10&lt;1.15,AP10,1.15*AC10),IF(BG10&lt;1.15,AQ10,1.15*AD10),IF(BH10&lt;1.15,AR10,1.15*AE10))</f>
        <v>16.149999999999999</v>
      </c>
      <c r="AU10" s="97">
        <f t="shared" si="14"/>
        <v>18</v>
      </c>
      <c r="AW10" s="51">
        <f t="shared" si="19"/>
        <v>1</v>
      </c>
      <c r="AX10" s="51">
        <f t="shared" si="19"/>
        <v>1</v>
      </c>
      <c r="AY10" s="51">
        <f t="shared" si="19"/>
        <v>1</v>
      </c>
      <c r="AZ10" s="51">
        <f t="shared" si="19"/>
        <v>3</v>
      </c>
      <c r="BA10" s="51"/>
      <c r="BB10" s="51"/>
      <c r="BC10" s="51"/>
      <c r="BD10" s="51"/>
      <c r="BE10" s="51"/>
      <c r="BF10" s="51"/>
      <c r="BG10" s="51"/>
      <c r="BH10" s="51"/>
      <c r="BI10" s="65" cm="1">
        <f t="array" ref="BI10">IFERROR(INDEX(AW10:BH10,1,MATCH(2,1/(AW10:BH10&lt;&gt;""))),"")</f>
        <v>3</v>
      </c>
      <c r="BJ10" s="68" cm="1">
        <f t="array" ref="BJ10">IF(BM10 = "", "",IFERROR(INDEX(AW10:BH10,1,MATCH(2,1/(AW10:BH10&lt;&gt;""),1)-1),""))</f>
        <v>1</v>
      </c>
      <c r="BK10" s="58">
        <f>IF((IF(AW10&gt;=115%,115%,AW10) + IF(AX10&gt;=115%,115%,AX10) + IF(AY10&gt;=115%,115%,AY10) + (IF(AZ10&gt;=115%,115%,AZ10) + IF(BA10&gt;=115%,115%,BA10) + IF(BB10&gt;=115%,115%,BB10) + IF(BC10&gt;=115%,115%,BC10) + IF(BD10&gt;=115%,115%,BD10) + IF(BE10&gt;=115%,115%,BE10) + IF(BF10&gt;=136%,136%,BF10) + IF(BG10&gt;=115%,115%,BG10) + IF(BH10&gt;=115%,115%,BH10)))/_xlfn.XLOOKUP(F10,Apuração!A:A,Apuração!B:B)&gt;=1.15,1.15,((IF(AZ10&gt;=115%,115%,AZ10) + IF(AX10&gt;=115%,115%,AX10) + IF(AY10&gt;=115%,115%,AY10) + (IF(AW10&gt;=115%,115%,AW10) + IF(BA10&gt;=115%,115%,BA10) + IF(BB10&gt;=115%,115%,BB10) + IF(BC10&gt;=115%,115%,BC10) + IF(BD10&gt;=115%,115%,BD10) + IF(BE10&gt;=115%,115%,BE10) + IF(BF10&gt;=136%,136%,BF10) + IF(BG10&gt;=115%,115%,BG10) + IF(BH10&gt;=115%,115%,BH10)))/_xlfn.XLOOKUP(F10,Apuração!A:A,Apuração!B:B)))</f>
        <v>0.34583333333333338</v>
      </c>
      <c r="BL10" s="58" cm="1">
        <f t="array" aca="1" ref="BL10" ca="1">IF(SUM(IFERROR(IF(INDEX(AW10:INDEX(AW10:BH10, MATCH(2, 1/(AW10:BH10&lt;&gt;""), 1)-1), ROW(INDIRECT("1:" &amp; MATCH(2, 1/(AW10:BH10&lt;&gt;""), 1)-1))) &gt;= 115%, 115%, INDEX(AW10:INDEX(AW10:BH10, MATCH(2, 1/(AW10:BH10&lt;&gt;""), 1)-1), ROW(INDIRECT("1:" &amp; MATCH(2, 1/(AW10:BH10&lt;&gt;""), 1)-1)))), 0))/_xlfn.XLOOKUP(F10,Apuração!A:A,Apuração!B:B)&gt;=1.15,1.15,SUM(IFERROR(IF(INDEX(AW10:INDEX(AW10:BH10, MATCH(2, 1/(AW10:BH10&lt;&gt;""), 1)-1), ROW(INDIRECT("1:" &amp; MATCH(2, 1/(AW10:BH10&lt;&gt;""), 1)-1))) &gt;= 115%, 115%, INDEX(AW10:INDEX(AW10:BH10, MATCH(2, 1/(AW10:BH10&lt;&gt;""), 1)-1), ROW(INDIRECT("1:" &amp; MATCH(2, 1/(AW10:BH10&lt;&gt;""), 1)-1)))), 0))/_xlfn.XLOOKUP(F10,Apuração!A:A,Apuração!B:B))</f>
        <v>0.25</v>
      </c>
      <c r="BM10" s="55" cm="1">
        <f t="array" ref="BM10">IFERROR(
   INDEX($AW$1:$BH$1,
      _xlfn.AGGREGATE(14, 6, COLUMN($AW$1:$BH$1)/(AW10:BH10&lt;&gt;""), 2) - COLUMN($AW$1) + 1
   ),
"")</f>
        <v>46082</v>
      </c>
      <c r="BN10" s="55" cm="1">
        <f t="array" ref="BN10">IFERROR(INDEX($AW$1:$BH$1,1,MATCH(2,1/(AW10:BH10&lt;&gt;""))),"")</f>
        <v>46113</v>
      </c>
      <c r="BO10" s="53">
        <f ca="1">IFERROR(_xlfn.XLOOKUP(F10,Apuração!A:A,Apuração!C:C)/_xlfn.XLOOKUP(F10,Apuração!A:A,Apuração!B:B),0)</f>
        <v>0.41666666666666669</v>
      </c>
      <c r="BP10" s="53">
        <f ca="1">IFERROR(_xlfn.XLOOKUP(F10,Apuração!A:A,Apuração!D:D)/_xlfn.XLOOKUP(F10,Apuração!A:A,Apuração!B:B),0)</f>
        <v>0.33333333333333331</v>
      </c>
      <c r="BQ10" s="53">
        <f ca="1">IF(BK10&gt;=BO10,0,_xlfn.XLOOKUP(F10,Apuração!A:A,Apuração!B:B)*(BO10 + (1/_xlfn.XLOOKUP(F10,Apuração!A:A,Apuração!B:B)) - BK10))</f>
        <v>1.8499999999999994</v>
      </c>
      <c r="BR10" s="85">
        <f t="shared" ca="1" si="2"/>
        <v>1.8499999999999994</v>
      </c>
      <c r="BS10" s="53">
        <f ca="1">IFERROR((_xlfn.XLOOKUP(F10,Apuração!A:A,Apuração!C:C)+1)/_xlfn.XLOOKUP(F10,Apuração!A:A,Apuração!B:B),0)</f>
        <v>0.5</v>
      </c>
    </row>
    <row r="11" spans="1:71" ht="25.95" hidden="1" customHeight="1" x14ac:dyDescent="0.3">
      <c r="A11" s="39" t="s">
        <v>33</v>
      </c>
      <c r="B11" s="4" t="s">
        <v>53</v>
      </c>
      <c r="C11" s="5" t="s">
        <v>35</v>
      </c>
      <c r="D11" s="5" t="s">
        <v>36</v>
      </c>
      <c r="E11" s="4" t="str" cm="1">
        <f t="array" ref="E11">_xlfn.IFS(
F11 = "A partir de Abril", "Aguardando Execução na Distribuidora",
A11 = "CAPACITAÇÃO", "Em execução no Corporativo",
TRUE, "Em Execução na Distribuidora"
)</f>
        <v>Em Execução na Distribuidora</v>
      </c>
      <c r="F11" s="4" t="str" cm="1">
        <f t="array" ref="F11">_xlfn.IFS(
AG11 &lt;&gt; "", "Jan-Dez/26",
AH11 &lt;&gt; "", "Fev-Dez/26",
AI11 &lt;&gt; "", "Mar-Dez/26", AJ11 &lt;&gt; "", "Abr-Dez/26",
TRUE, "A partir de Junho"
)</f>
        <v>Jan-Dez/26</v>
      </c>
      <c r="G11" s="4" t="s">
        <v>37</v>
      </c>
      <c r="H11" s="7" t="s">
        <v>54</v>
      </c>
      <c r="I11" s="8" t="s">
        <v>59</v>
      </c>
      <c r="J11" s="8" t="str" cm="1">
        <f t="array" aca="1" ref="J11" ca="1">_xlfn.LET(
  _xlpm.actual_value_month, INDEX(T11:AE11, MATCH(DATE(YEAR(TODAY()), MONTH(TODAY()), 1), $T$1:$AE$1, 0)),
  IF(_xlpm.actual_value_month &lt;&gt; "",_xlpm.actual_value_month &amp; " ações mensais", "")
)</f>
        <v/>
      </c>
      <c r="K11" s="12" t="str" cm="1">
        <f t="array" ref="K11">_xlfn.LET(
    _xlpm.sum_month, SUM(T11:AE11),
    IF(_xlpm.sum_month = 0, "", _xlpm.sum_month &amp; " pessoas impactadas no ano")
)</f>
        <v/>
      </c>
      <c r="L11" s="9" t="s">
        <v>59</v>
      </c>
      <c r="M11" s="13">
        <v>1</v>
      </c>
      <c r="N11" s="5" t="s">
        <v>51</v>
      </c>
      <c r="O11" s="5" t="s">
        <v>52</v>
      </c>
      <c r="P11" s="10" t="s">
        <v>44</v>
      </c>
      <c r="Q11" s="10" t="s">
        <v>44</v>
      </c>
      <c r="R11" s="11" t="s">
        <v>44</v>
      </c>
      <c r="S11" s="11" t="s">
        <v>44</v>
      </c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G11" s="82">
        <v>259</v>
      </c>
      <c r="AH11" s="82">
        <v>0</v>
      </c>
      <c r="AI11" s="82">
        <v>114</v>
      </c>
      <c r="AJ11" s="82">
        <v>57</v>
      </c>
      <c r="AK11" s="71"/>
      <c r="AL11" s="71"/>
      <c r="AM11" s="71"/>
      <c r="AN11" s="71"/>
      <c r="AO11" s="71"/>
      <c r="AP11" s="71"/>
      <c r="AQ11" s="71"/>
      <c r="AR11" s="71"/>
      <c r="AS11" s="94">
        <f t="shared" ca="1" si="13"/>
        <v>0</v>
      </c>
      <c r="AT11" s="95">
        <f>SUM(AG11:AR11)</f>
        <v>430</v>
      </c>
      <c r="AU11" s="97">
        <f t="shared" si="14"/>
        <v>430</v>
      </c>
      <c r="AW11" s="83">
        <f>AG11</f>
        <v>259</v>
      </c>
      <c r="AX11" s="83">
        <f t="shared" ref="AX11" si="21">AH11</f>
        <v>0</v>
      </c>
      <c r="AY11" s="83">
        <f t="shared" ref="AY11" si="22">AI11</f>
        <v>114</v>
      </c>
      <c r="AZ11" s="83">
        <f t="shared" ref="AZ11" si="23">AJ11</f>
        <v>57</v>
      </c>
      <c r="BA11" s="52"/>
      <c r="BB11" s="52"/>
      <c r="BC11" s="52"/>
      <c r="BD11" s="52"/>
      <c r="BE11" s="52"/>
      <c r="BF11" s="52"/>
      <c r="BG11" s="52"/>
      <c r="BH11" s="52"/>
      <c r="BI11" s="68" cm="1">
        <f t="array" ref="BI11">IFERROR(INDEX(AW11:BH11,1,MATCH(2,1/(AW11:BH11&lt;&gt;""))),"")</f>
        <v>57</v>
      </c>
      <c r="BJ11" s="68" cm="1">
        <f t="array" ref="BJ11">IF(BM11 = "", "",IFERROR(INDEX(AW11:BH11,1,MATCH(2,1/(AW11:BH11&lt;&gt;""),1)-1),""))</f>
        <v>114</v>
      </c>
      <c r="BK11" s="59">
        <f>SUM(AW11:BH11)</f>
        <v>430</v>
      </c>
      <c r="BL11" s="59" cm="1">
        <f t="array" ref="BL11">IFERROR(SUM(AW11:INDEX(AW11:BH11, MATCH(2, 1/(AW11:BH11&lt;&gt;""), 1) - 1))/_xlfn.XLOOKUP(F11,Apuração!A:A,Apuração!B:B),0)</f>
        <v>31.083333333333332</v>
      </c>
      <c r="BM11" s="55" cm="1">
        <f t="array" ref="BM11">IFERROR(
   INDEX($AW$1:$BH$1,
      _xlfn.AGGREGATE(14, 6, COLUMN($AW$1:$BH$1)/(AW11:BH11&lt;&gt;""), 2) - COLUMN($AW$1) + 1
   ),
"")</f>
        <v>46082</v>
      </c>
      <c r="BN11" s="55" cm="1">
        <f t="array" ref="BN11">IFERROR(INDEX($AW$1:$BH$1,1,MATCH(2,1/(AW11:BH11&lt;&gt;""))),"")</f>
        <v>46113</v>
      </c>
      <c r="BO11" s="53">
        <f ca="1">IFERROR(_xlfn.XLOOKUP(F11,Apuração!A:A,Apuração!C:C)/_xlfn.XLOOKUP(F11,Apuração!A:A,Apuração!B:B),0)</f>
        <v>0.41666666666666669</v>
      </c>
      <c r="BP11" s="53">
        <f ca="1">IFERROR(_xlfn.XLOOKUP(F11,Apuração!A:A,Apuração!D:D)/_xlfn.XLOOKUP(F11,Apuração!A:A,Apuração!B:B),0)</f>
        <v>0.33333333333333331</v>
      </c>
      <c r="BQ11" s="53">
        <f ca="1">IF(BK11&gt;=BO11,0,_xlfn.XLOOKUP(F11,Apuração!A:A,Apuração!B:B)*(BO11 + (1/_xlfn.XLOOKUP(F11,Apuração!A:A,Apuração!B:B)) - BK11))</f>
        <v>0</v>
      </c>
      <c r="BR11" s="85">
        <f t="shared" ca="1" si="2"/>
        <v>0</v>
      </c>
      <c r="BS11" s="53">
        <f ca="1">IFERROR((_xlfn.XLOOKUP(F11,Apuração!A:A,Apuração!C:C)+1)/_xlfn.XLOOKUP(F11,Apuração!A:A,Apuração!B:B),0)</f>
        <v>0.5</v>
      </c>
    </row>
    <row r="12" spans="1:71" ht="25.95" hidden="1" customHeight="1" x14ac:dyDescent="0.3">
      <c r="A12" s="39" t="s">
        <v>33</v>
      </c>
      <c r="B12" s="4" t="s">
        <v>53</v>
      </c>
      <c r="C12" s="5" t="s">
        <v>35</v>
      </c>
      <c r="D12" s="5" t="s">
        <v>47</v>
      </c>
      <c r="E12" s="4" t="str" cm="1">
        <f t="array" ref="E12">_xlfn.IFS(
F12 = "A partir de Abril", "Aguardando Execução na Distribuidora",
A12 = "CAPACITAÇÃO", "Em execução no Corporativo",
TRUE, "Em Execução na Distribuidora"
)</f>
        <v>Em Execução na Distribuidora</v>
      </c>
      <c r="F12" s="4" t="str" cm="1">
        <f t="array" ref="F12">_xlfn.IFS(
AG12 &lt;&gt; "", "Jan-Dez/26",
AH12 &lt;&gt; "", "Fev-Dez/26",
AI12 &lt;&gt; "", "Mar-Dez/26", AJ12 &lt;&gt; "", "Abr-Dez/26",
TRUE, "A partir de Junho"
)</f>
        <v>Jan-Dez/26</v>
      </c>
      <c r="G12" s="4" t="s">
        <v>37</v>
      </c>
      <c r="H12" s="7" t="s">
        <v>54</v>
      </c>
      <c r="I12" s="8" t="s">
        <v>59</v>
      </c>
      <c r="J12" s="8" t="str" cm="1">
        <f t="array" aca="1" ref="J12" ca="1">_xlfn.LET(
  _xlpm.actual_value_month, INDEX(T12:AE12, MATCH(DATE(YEAR(TODAY()), MONTH(TODAY()), 1), $T$1:$AE$1, 0)),
  IF(_xlpm.actual_value_month &lt;&gt; "",_xlpm.actual_value_month &amp; " ações mensais", "")
)</f>
        <v/>
      </c>
      <c r="K12" s="12" t="str" cm="1">
        <f t="array" ref="K12">_xlfn.LET(
    _xlpm.sum_month, SUM(T12:AE12),
    IF(_xlpm.sum_month = 0, "", _xlpm.sum_month &amp; " pessoas impactadas no ano")
)</f>
        <v/>
      </c>
      <c r="L12" s="9" t="s">
        <v>59</v>
      </c>
      <c r="M12" s="13">
        <v>1</v>
      </c>
      <c r="N12" s="5" t="s">
        <v>51</v>
      </c>
      <c r="O12" s="5" t="s">
        <v>52</v>
      </c>
      <c r="P12" s="10" t="s">
        <v>44</v>
      </c>
      <c r="Q12" s="10" t="s">
        <v>44</v>
      </c>
      <c r="R12" s="11" t="s">
        <v>44</v>
      </c>
      <c r="S12" s="11" t="s">
        <v>44</v>
      </c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G12" s="82">
        <v>0</v>
      </c>
      <c r="AH12" s="82">
        <v>0</v>
      </c>
      <c r="AI12" s="82">
        <v>0</v>
      </c>
      <c r="AJ12" s="146">
        <v>0</v>
      </c>
      <c r="AK12" s="71"/>
      <c r="AL12" s="71"/>
      <c r="AM12" s="71"/>
      <c r="AN12" s="71"/>
      <c r="AO12" s="71"/>
      <c r="AP12" s="71"/>
      <c r="AQ12" s="71"/>
      <c r="AR12" s="71"/>
      <c r="AS12" s="94">
        <f t="shared" ref="AS12:AS13" ca="1" si="24">IF(MONTH(TODAY())=3,SUM(T12:U12),IF(MONTH(TODAY())=4,SUM(T12:V12),IF(MONTH(TODAY())=5,SUM(T12:W12),IF(MONTH(TODAY())=6,SUM(T12:X12),IF(MONTH(TODAY())=7,SUM(T12:Y12),IF(MONTH(TODAY())=8,SUM(T12:Z12),IF(MONTH(TODAY())=9,SUM(T12:AA12),IF(MONTH(TODAY())=10,SUM(T12:AB12),IF(MONTH(TODAY())=11,SUM(T12:AC12),IF(MONTH(TODAY())=12,SUM(T12:AD12),IF(MONTH(TODAY())=1,SUM(T12:AE12),T12)))))))))))</f>
        <v>0</v>
      </c>
      <c r="AT12" s="95">
        <f t="shared" ref="AT12:AT13" si="25">SUM(AG12:AR12)</f>
        <v>0</v>
      </c>
      <c r="AU12" s="97">
        <f t="shared" ref="AU12:AU13" si="26">SUM(AG12:AR12)</f>
        <v>0</v>
      </c>
      <c r="AW12" s="83">
        <f t="shared" ref="AW12:AW13" si="27">AG12</f>
        <v>0</v>
      </c>
      <c r="AX12" s="83">
        <f t="shared" ref="AX12:AX13" si="28">AH12</f>
        <v>0</v>
      </c>
      <c r="AY12" s="83">
        <f t="shared" ref="AY12:AY13" si="29">AI12</f>
        <v>0</v>
      </c>
      <c r="AZ12" s="83">
        <f t="shared" ref="AZ12:AZ13" si="30">AJ12</f>
        <v>0</v>
      </c>
      <c r="BA12" s="52"/>
      <c r="BB12" s="52"/>
      <c r="BC12" s="52"/>
      <c r="BD12" s="52"/>
      <c r="BE12" s="52"/>
      <c r="BF12" s="52"/>
      <c r="BG12" s="52"/>
      <c r="BH12" s="52"/>
      <c r="BI12" s="68" cm="1">
        <f t="array" ref="BI12">IFERROR(INDEX(AW12:BH12,1,MATCH(2,1/(AW12:BH12&lt;&gt;""))),"")</f>
        <v>0</v>
      </c>
      <c r="BJ12" s="68" cm="1">
        <f t="array" ref="BJ12">IF(BM12 = "", "",IFERROR(INDEX(AW12:BH12,1,MATCH(2,1/(AW12:BH12&lt;&gt;""),1)-1),""))</f>
        <v>0</v>
      </c>
      <c r="BK12" s="59">
        <f t="shared" ref="BK12:BK13" si="31">SUM(AW12:BH12)</f>
        <v>0</v>
      </c>
      <c r="BL12" s="59" cm="1">
        <f t="array" ref="BL12">IFERROR(SUM(AW12:INDEX(AW12:BH12, MATCH(2, 1/(AW12:BH12&lt;&gt;""), 1) - 1))/_xlfn.XLOOKUP(F12,Apuração!A:A,Apuração!B:B),0)</f>
        <v>0</v>
      </c>
      <c r="BM12" s="55" cm="1">
        <f t="array" ref="BM12">IFERROR(
   INDEX($AW$1:$BH$1,
      _xlfn.AGGREGATE(14, 6, COLUMN($AW$1:$BH$1)/(AW12:BH12&lt;&gt;""), 2) - COLUMN($AW$1) + 1
   ),
"")</f>
        <v>46082</v>
      </c>
      <c r="BN12" s="55" cm="1">
        <f t="array" ref="BN12">IFERROR(INDEX($AW$1:$BH$1,1,MATCH(2,1/(AW12:BH12&lt;&gt;""))),"")</f>
        <v>46113</v>
      </c>
      <c r="BO12" s="53">
        <f ca="1">IFERROR(_xlfn.XLOOKUP(F12,Apuração!A:A,Apuração!C:C)/_xlfn.XLOOKUP(F12,Apuração!A:A,Apuração!B:B),0)</f>
        <v>0.41666666666666669</v>
      </c>
      <c r="BP12" s="53">
        <f ca="1">IFERROR(_xlfn.XLOOKUP(F12,Apuração!A:A,Apuração!D:D)/_xlfn.XLOOKUP(F12,Apuração!A:A,Apuração!B:B),0)</f>
        <v>0.33333333333333331</v>
      </c>
      <c r="BQ12" s="53">
        <f ca="1">IF(BK12&gt;=BO12,0,_xlfn.XLOOKUP(F12,Apuração!A:A,Apuração!B:B)*(BO12 + (1/_xlfn.XLOOKUP(F12,Apuração!A:A,Apuração!B:B)) - BK12))</f>
        <v>6</v>
      </c>
      <c r="BR12" s="85">
        <f t="shared" ref="BR12:BR13" ca="1" si="32">IF(BQ12=0,0,BQ12*Z12)</f>
        <v>0</v>
      </c>
      <c r="BS12" s="53">
        <f ca="1">IFERROR((_xlfn.XLOOKUP(F12,Apuração!A:A,Apuração!C:C)+1)/_xlfn.XLOOKUP(F12,Apuração!A:A,Apuração!B:B),0)</f>
        <v>0.5</v>
      </c>
    </row>
    <row r="13" spans="1:71" ht="25.95" hidden="1" customHeight="1" x14ac:dyDescent="0.3">
      <c r="A13" s="39" t="s">
        <v>33</v>
      </c>
      <c r="B13" s="4" t="s">
        <v>53</v>
      </c>
      <c r="C13" s="5" t="s">
        <v>35</v>
      </c>
      <c r="D13" s="5" t="s">
        <v>48</v>
      </c>
      <c r="E13" s="4" t="str" cm="1">
        <f t="array" ref="E13">_xlfn.IFS(
F13 = "A partir de Abril", "Aguardando Execução na Distribuidora",
A13 = "CAPACITAÇÃO", "Em execução no Corporativo",
TRUE, "Em Execução na Distribuidora"
)</f>
        <v>Em Execução na Distribuidora</v>
      </c>
      <c r="F13" s="4" t="str" cm="1">
        <f t="array" ref="F13">_xlfn.IFS(
AG13 &lt;&gt; "", "Jan-Dez/26",
AH13 &lt;&gt; "", "Fev-Dez/26",
AI13 &lt;&gt; "", "Mar-Dez/26", AJ13 &lt;&gt; "", "Abr-Dez/26",
TRUE, "A partir de Junho"
)</f>
        <v>Jan-Dez/26</v>
      </c>
      <c r="G13" s="4" t="s">
        <v>37</v>
      </c>
      <c r="H13" s="7" t="s">
        <v>54</v>
      </c>
      <c r="I13" s="8" t="s">
        <v>59</v>
      </c>
      <c r="J13" s="8" t="str" cm="1">
        <f t="array" aca="1" ref="J13" ca="1">_xlfn.LET(
  _xlpm.actual_value_month, INDEX(T13:AE13, MATCH(DATE(YEAR(TODAY()), MONTH(TODAY()), 1), $T$1:$AE$1, 0)),
  IF(_xlpm.actual_value_month &lt;&gt; "",_xlpm.actual_value_month &amp; " ações mensais", "")
)</f>
        <v/>
      </c>
      <c r="K13" s="12" t="str" cm="1">
        <f t="array" ref="K13">_xlfn.LET(
    _xlpm.sum_month, SUM(T13:AE13),
    IF(_xlpm.sum_month = 0, "", _xlpm.sum_month &amp; " pessoas impactadas no ano")
)</f>
        <v/>
      </c>
      <c r="L13" s="9" t="s">
        <v>59</v>
      </c>
      <c r="M13" s="13">
        <v>1</v>
      </c>
      <c r="N13" s="5" t="s">
        <v>51</v>
      </c>
      <c r="O13" s="5" t="s">
        <v>52</v>
      </c>
      <c r="P13" s="10" t="s">
        <v>44</v>
      </c>
      <c r="Q13" s="10" t="s">
        <v>44</v>
      </c>
      <c r="R13" s="11" t="s">
        <v>44</v>
      </c>
      <c r="S13" s="11" t="s">
        <v>44</v>
      </c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G13" s="82">
        <v>259</v>
      </c>
      <c r="AH13" s="82">
        <v>0</v>
      </c>
      <c r="AI13" s="82">
        <v>114</v>
      </c>
      <c r="AJ13" s="146">
        <v>57</v>
      </c>
      <c r="AK13" s="71"/>
      <c r="AL13" s="71"/>
      <c r="AM13" s="71"/>
      <c r="AN13" s="71"/>
      <c r="AO13" s="71"/>
      <c r="AP13" s="71"/>
      <c r="AQ13" s="71"/>
      <c r="AR13" s="71"/>
      <c r="AS13" s="94">
        <f t="shared" ca="1" si="24"/>
        <v>0</v>
      </c>
      <c r="AT13" s="95">
        <f t="shared" si="25"/>
        <v>430</v>
      </c>
      <c r="AU13" s="97">
        <f t="shared" si="26"/>
        <v>430</v>
      </c>
      <c r="AW13" s="83">
        <f t="shared" si="27"/>
        <v>259</v>
      </c>
      <c r="AX13" s="83">
        <f t="shared" si="28"/>
        <v>0</v>
      </c>
      <c r="AY13" s="83">
        <f t="shared" si="29"/>
        <v>114</v>
      </c>
      <c r="AZ13" s="83">
        <f t="shared" si="30"/>
        <v>57</v>
      </c>
      <c r="BA13" s="52"/>
      <c r="BB13" s="52"/>
      <c r="BC13" s="52"/>
      <c r="BD13" s="52"/>
      <c r="BE13" s="52"/>
      <c r="BF13" s="52"/>
      <c r="BG13" s="52"/>
      <c r="BH13" s="52"/>
      <c r="BI13" s="68" cm="1">
        <f t="array" ref="BI13">IFERROR(INDEX(AW13:BH13,1,MATCH(2,1/(AW13:BH13&lt;&gt;""))),"")</f>
        <v>57</v>
      </c>
      <c r="BJ13" s="68" cm="1">
        <f t="array" ref="BJ13">IF(BM13 = "", "",IFERROR(INDEX(AW13:BH13,1,MATCH(2,1/(AW13:BH13&lt;&gt;""),1)-1),""))</f>
        <v>114</v>
      </c>
      <c r="BK13" s="59">
        <f t="shared" si="31"/>
        <v>430</v>
      </c>
      <c r="BL13" s="59" cm="1">
        <f t="array" ref="BL13">IFERROR(SUM(AW13:INDEX(AW13:BH13, MATCH(2, 1/(AW13:BH13&lt;&gt;""), 1) - 1))/_xlfn.XLOOKUP(F13,Apuração!A:A,Apuração!B:B),0)</f>
        <v>31.083333333333332</v>
      </c>
      <c r="BM13" s="55" cm="1">
        <f t="array" ref="BM13">IFERROR(
   INDEX($AW$1:$BH$1,
      _xlfn.AGGREGATE(14, 6, COLUMN($AW$1:$BH$1)/(AW13:BH13&lt;&gt;""), 2) - COLUMN($AW$1) + 1
   ),
"")</f>
        <v>46082</v>
      </c>
      <c r="BN13" s="55" cm="1">
        <f t="array" ref="BN13">IFERROR(INDEX($AW$1:$BH$1,1,MATCH(2,1/(AW13:BH13&lt;&gt;""))),"")</f>
        <v>46113</v>
      </c>
      <c r="BO13" s="53">
        <f ca="1">IFERROR(_xlfn.XLOOKUP(F13,Apuração!A:A,Apuração!C:C)/_xlfn.XLOOKUP(F13,Apuração!A:A,Apuração!B:B),0)</f>
        <v>0.41666666666666669</v>
      </c>
      <c r="BP13" s="53">
        <f ca="1">IFERROR(_xlfn.XLOOKUP(F13,Apuração!A:A,Apuração!D:D)/_xlfn.XLOOKUP(F13,Apuração!A:A,Apuração!B:B),0)</f>
        <v>0.33333333333333331</v>
      </c>
      <c r="BQ13" s="53">
        <f ca="1">IF(BK13&gt;=BO13,0,_xlfn.XLOOKUP(F13,Apuração!A:A,Apuração!B:B)*(BO13 + (1/_xlfn.XLOOKUP(F13,Apuração!A:A,Apuração!B:B)) - BK13))</f>
        <v>0</v>
      </c>
      <c r="BR13" s="85">
        <f t="shared" ca="1" si="32"/>
        <v>0</v>
      </c>
      <c r="BS13" s="53">
        <f ca="1">IFERROR((_xlfn.XLOOKUP(F13,Apuração!A:A,Apuração!C:C)+1)/_xlfn.XLOOKUP(F13,Apuração!A:A,Apuração!B:B),0)</f>
        <v>0.5</v>
      </c>
    </row>
    <row r="14" spans="1:71" ht="25.95" hidden="1" customHeight="1" x14ac:dyDescent="0.3">
      <c r="A14" s="3" t="s">
        <v>33</v>
      </c>
      <c r="B14" s="4" t="s">
        <v>60</v>
      </c>
      <c r="C14" s="5" t="s">
        <v>35</v>
      </c>
      <c r="D14" s="5" t="s">
        <v>36</v>
      </c>
      <c r="E14" s="4" t="s">
        <v>61</v>
      </c>
      <c r="F14" s="4" t="str" cm="1">
        <f t="array" ref="F14">_xlfn.IFS(
AG14 &lt;&gt; "", "Jan-Dez/26",
AH14 &lt;&gt; "", "Fev-Dez/26",
AI14 &lt;&gt; "", "Mar-Dez/26", AJ14 &lt;&gt; "", "Abr-Dez/26",
TRUE, "A partir de Junho"
)</f>
        <v>A partir de Junho</v>
      </c>
      <c r="G14" s="16" t="s">
        <v>62</v>
      </c>
      <c r="H14" s="7" t="s">
        <v>38</v>
      </c>
      <c r="I14" s="8" t="s">
        <v>63</v>
      </c>
      <c r="J14" s="8" t="str" cm="1">
        <f t="array" aca="1" ref="J14" ca="1">_xlfn.LET(
  _xlpm.actual_value_month, INDEX(T14:AE14, MATCH(DATE(YEAR(TODAY()), MONTH(TODAY()), 1), $T$1:$AE$1, 0)),
  IF(_xlpm.actual_value_month &lt;&gt; "",_xlpm.actual_value_month &amp; " ações mensais", "")
)</f>
        <v/>
      </c>
      <c r="K14" s="17" t="str" cm="1">
        <f t="array" ref="K14">_xlfn.LET(
    _xlpm.sum_month, SUM(T14:AE14),
    IF(_xlpm.sum_month = 0, "", _xlpm.sum_month &amp; " eventos realizados")
)</f>
        <v/>
      </c>
      <c r="L14" s="9" t="s">
        <v>64</v>
      </c>
      <c r="M14" s="13" t="s">
        <v>65</v>
      </c>
      <c r="N14" s="5" t="s">
        <v>42</v>
      </c>
      <c r="O14" s="5" t="s">
        <v>43</v>
      </c>
      <c r="P14" s="10" t="s">
        <v>44</v>
      </c>
      <c r="Q14" s="10" t="s">
        <v>44</v>
      </c>
      <c r="R14" s="11" t="s">
        <v>66</v>
      </c>
      <c r="S14" s="11" t="s">
        <v>67</v>
      </c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G14" s="82"/>
      <c r="AH14" s="82"/>
      <c r="AI14" s="82"/>
      <c r="AJ14" s="146"/>
      <c r="AK14" s="71"/>
      <c r="AL14" s="71"/>
      <c r="AM14" s="71"/>
      <c r="AN14" s="71"/>
      <c r="AO14" s="71"/>
      <c r="AP14" s="71"/>
      <c r="AQ14" s="71"/>
      <c r="AR14" s="71"/>
      <c r="AS14" s="94">
        <f t="shared" ca="1" si="13"/>
        <v>0</v>
      </c>
      <c r="AT14" s="95">
        <f>SUM(IF(AW14&lt;1.15,AG14,1.15*T14),IF(AX14&lt;1.15,AH14,1.15*U14),IF(AY14&lt;1.15,AI14,1.15*V14),IF(AZ14&lt;1.15,AJ14,1.15*W14),IF(BA14&lt;1.15,AK14,1.15*X14),IF(BB14&lt;1.15,AL14,1.15*Y14),IF(BC14&lt;1.15,AM14,1.15*Z14),IF(BD14&lt;1.15,AN14,1.15*AA14),IF(BE14&lt;1.15,AO14,1.15*AB14),IF(BF14&lt;1.15,AP14,1.15*AC14),IF(BG14&lt;1.15,AQ14,1.15*AD14),IF(BH14&lt;1.15,AR14,1.15*AE14))</f>
        <v>0</v>
      </c>
      <c r="AU14" s="97">
        <f t="shared" si="14"/>
        <v>0</v>
      </c>
      <c r="AW14" s="51">
        <f>IFERROR(IF(AG14="",0,AG14/T14),0)</f>
        <v>0</v>
      </c>
      <c r="AX14" s="51">
        <f>IFERROR(IF(AH14="",0,AH14/U14),0)</f>
        <v>0</v>
      </c>
      <c r="AY14" s="51">
        <f>IFERROR(IF(AI14="",0,AI14/V14),0)</f>
        <v>0</v>
      </c>
      <c r="AZ14" s="51">
        <f>IFERROR(IF(AJ14="",0,AJ14/W14),0)</f>
        <v>0</v>
      </c>
      <c r="BA14" s="51"/>
      <c r="BB14" s="51"/>
      <c r="BC14" s="51"/>
      <c r="BD14" s="51"/>
      <c r="BE14" s="51"/>
      <c r="BF14" s="51"/>
      <c r="BG14" s="51"/>
      <c r="BH14" s="51"/>
      <c r="BI14" s="65" cm="1">
        <f t="array" ref="BI14">IFERROR(INDEX(AW14:BH14,1,MATCH(2,1/(AW14:BH14&lt;&gt;""))),"")</f>
        <v>0</v>
      </c>
      <c r="BJ14" s="68" cm="1">
        <f t="array" ref="BJ14">IF(BM14 = "", "",IFERROR(INDEX(AW14:BH14,1,MATCH(2,1/(AW14:BH14&lt;&gt;""),1)-1),""))</f>
        <v>0</v>
      </c>
      <c r="BK14" s="58">
        <f>IF((IF(AW14&gt;=115%,115%,AW14) + IF(AX14&gt;=115%,115%,AX14) + IF(AY14&gt;=115%,115%,AY14) + (IF(AZ14&gt;=115%,115%,AZ14) + IF(BA14&gt;=115%,115%,BA14) + IF(BB14&gt;=115%,115%,BB14) + IF(BC14&gt;=115%,115%,BC14) + IF(BD14&gt;=115%,115%,BD14) + IF(BE14&gt;=115%,115%,BE14) + IF(BF14&gt;=115%,115%,BF14) + IF(BG14&gt;=115%,115%,BG14) + IF(BH14&gt;=115%,115%,BH14)))/_xlfn.XLOOKUP(F14,Apuração!A:A,Apuração!B:B)&gt;=1.15,1.15,((IF(AZ14&gt;=115%,115%,AZ14) + IF(AX14&gt;=115%,115%,AX14) + IF(AY14&gt;=115%,115%,AY14) + (IF(AW14&gt;=115%,115%,AW14) + IF(BA14&gt;=115%,115%,BA14) + IF(BB14&gt;=115%,115%,BB14) + IF(BC14&gt;=115%,115%,BC14) + IF(BD14&gt;=115%,115%,BD14) + IF(BE14&gt;=115%,115%,BE14) + IF(BF14&gt;=115%,115%,BF14) + IF(BG14&gt;=115%,115%,BG14) + IF(BH14&gt;=115%,115%,BH14)))/_xlfn.XLOOKUP(F14,Apuração!A:A,Apuração!B:B)))</f>
        <v>0</v>
      </c>
      <c r="BL14" s="58" cm="1">
        <f t="array" aca="1" ref="BL14" ca="1">IF(SUM(IFERROR(IF(INDEX(AW14:INDEX(AW14:BH14, MATCH(2, 1/(AW14:BH14&lt;&gt;""), 1)-1), ROW(INDIRECT("1:" &amp; MATCH(2, 1/(AW14:BH14&lt;&gt;""), 1)-1))) &gt;= 115%, 115%, INDEX(AW14:INDEX(AW14:BH14, MATCH(2, 1/(AW14:BH14&lt;&gt;""), 1)-1), ROW(INDIRECT("1:" &amp; MATCH(2, 1/(AW14:BH14&lt;&gt;""), 1)-1)))), 0))/_xlfn.XLOOKUP(F14,Apuração!A:A,Apuração!B:B)&gt;=1.15,1.15,SUM(IFERROR(IF(INDEX(AW14:INDEX(AW14:BH14, MATCH(2, 1/(AW14:BH14&lt;&gt;""), 1)-1), ROW(INDIRECT("1:" &amp; MATCH(2, 1/(AW14:BH14&lt;&gt;""), 1)-1))) &gt;= 115%, 115%, INDEX(AW14:INDEX(AW14:BH14, MATCH(2, 1/(AW14:BH14&lt;&gt;""), 1)-1), ROW(INDIRECT("1:" &amp; MATCH(2, 1/(AW14:BH14&lt;&gt;""), 1)-1)))), 0))/_xlfn.XLOOKUP(F14,Apuração!A:A,Apuração!B:B))</f>
        <v>0</v>
      </c>
      <c r="BM14" s="55" cm="1">
        <f t="array" ref="BM14">IFERROR(
   INDEX($AW$1:$BH$1,
      _xlfn.AGGREGATE(14, 6, COLUMN($AW$1:$BH$1)/(AW14:BH14&lt;&gt;""), 2) - COLUMN($AW$1) + 1
   ),
"")</f>
        <v>46082</v>
      </c>
      <c r="BN14" s="55" cm="1">
        <f t="array" ref="BN14">IFERROR(INDEX($AW$1:$BH$1,1,MATCH(2,1/(AW14:BH14&lt;&gt;""))),"")</f>
        <v>46113</v>
      </c>
      <c r="BO14" s="53">
        <f ca="1">IFERROR(_xlfn.XLOOKUP(F14,Apuração!A:A,Apuração!C:C)/_xlfn.XLOOKUP(F14,Apuração!A:A,Apuração!B:B),0)</f>
        <v>0</v>
      </c>
      <c r="BP14" s="53">
        <f ca="1">IFERROR(_xlfn.XLOOKUP(F14,Apuração!A:A,Apuração!D:D)/_xlfn.XLOOKUP(F14,Apuração!A:A,Apuração!B:B),0)</f>
        <v>0</v>
      </c>
      <c r="BQ14" s="53">
        <f ca="1">IF(BK14&gt;=BO14,0,_xlfn.XLOOKUP(F14,Apuração!A:A,Apuração!B:B)*(BO14 + (1/_xlfn.XLOOKUP(F14,Apuração!A:A,Apuração!B:B)) - BK14))</f>
        <v>0</v>
      </c>
      <c r="BR14" s="85">
        <f t="shared" ca="1" si="2"/>
        <v>0</v>
      </c>
      <c r="BS14" s="53">
        <f ca="1">IFERROR((_xlfn.XLOOKUP(F14,Apuração!A:A,Apuração!C:C)+1)/_xlfn.XLOOKUP(F14,Apuração!A:A,Apuração!B:B),0)</f>
        <v>0.14285714285714285</v>
      </c>
    </row>
    <row r="15" spans="1:71" ht="25.95" hidden="1" customHeight="1" x14ac:dyDescent="0.3">
      <c r="A15" s="3" t="s">
        <v>33</v>
      </c>
      <c r="B15" s="4" t="s">
        <v>60</v>
      </c>
      <c r="C15" s="5" t="s">
        <v>35</v>
      </c>
      <c r="D15" s="5" t="s">
        <v>47</v>
      </c>
      <c r="E15" s="4" t="s">
        <v>61</v>
      </c>
      <c r="F15" s="4" t="str" cm="1">
        <f t="array" ref="F15">_xlfn.IFS(
AG15 &lt;&gt; "", "Jan-Dez/26",
AH15 &lt;&gt; "", "Fev-Dez/26",
AI15 &lt;&gt; "", "Mar-Dez/26", AJ15 &lt;&gt; "", "Abr-Dez/26",
TRUE, "A partir de Junho"
)</f>
        <v>A partir de Junho</v>
      </c>
      <c r="G15" s="16" t="s">
        <v>62</v>
      </c>
      <c r="H15" s="7" t="s">
        <v>38</v>
      </c>
      <c r="I15" s="8" t="s">
        <v>63</v>
      </c>
      <c r="J15" s="8" t="str" cm="1">
        <f t="array" aca="1" ref="J15" ca="1">_xlfn.LET(
  _xlpm.actual_value_month, INDEX(T15:AE15, MATCH(DATE(YEAR(TODAY()), MONTH(TODAY()), 1), $T$1:$AE$1, 0)),
  IF(_xlpm.actual_value_month &lt;&gt; "",_xlpm.actual_value_month &amp; " ações mensais", "")
)</f>
        <v/>
      </c>
      <c r="K15" s="17" t="str" cm="1">
        <f t="array" ref="K15">_xlfn.LET(
    _xlpm.sum_month, SUM(T15:AE15),
    IF(_xlpm.sum_month = 0, "", _xlpm.sum_month &amp; " eventos realizados")
)</f>
        <v/>
      </c>
      <c r="L15" s="9" t="s">
        <v>64</v>
      </c>
      <c r="M15" s="13" t="s">
        <v>65</v>
      </c>
      <c r="N15" s="5" t="s">
        <v>42</v>
      </c>
      <c r="O15" s="5" t="s">
        <v>43</v>
      </c>
      <c r="P15" s="10" t="s">
        <v>44</v>
      </c>
      <c r="Q15" s="10" t="s">
        <v>44</v>
      </c>
      <c r="R15" s="11" t="s">
        <v>66</v>
      </c>
      <c r="S15" s="11" t="s">
        <v>67</v>
      </c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G15" s="82"/>
      <c r="AH15" s="82"/>
      <c r="AI15" s="82"/>
      <c r="AJ15" s="145"/>
      <c r="AK15" s="71"/>
      <c r="AL15" s="71"/>
      <c r="AM15" s="71"/>
      <c r="AN15" s="71"/>
      <c r="AO15" s="71"/>
      <c r="AP15" s="71"/>
      <c r="AQ15" s="71"/>
      <c r="AR15" s="71"/>
      <c r="AS15" s="94">
        <f t="shared" ref="AS15:AS18" ca="1" si="33">IF(MONTH(TODAY())=3,SUM(T15:U15),IF(MONTH(TODAY())=4,SUM(T15:V15),IF(MONTH(TODAY())=5,SUM(T15:W15),IF(MONTH(TODAY())=6,SUM(T15:X15),IF(MONTH(TODAY())=7,SUM(T15:Y15),IF(MONTH(TODAY())=8,SUM(T15:Z15),IF(MONTH(TODAY())=9,SUM(T15:AA15),IF(MONTH(TODAY())=10,SUM(T15:AB15),IF(MONTH(TODAY())=11,SUM(T15:AC15),IF(MONTH(TODAY())=12,SUM(T15:AD15),IF(MONTH(TODAY())=1,SUM(T15:AE15),T15)))))))))))</f>
        <v>0</v>
      </c>
      <c r="AT15" s="95">
        <f t="shared" ref="AT15:AT16" si="34">SUM(IF(AW15&lt;1.15,AG15,1.15*T15),IF(AX15&lt;1.15,AH15,1.15*U15),IF(AY15&lt;1.15,AI15,1.15*V15),IF(AZ15&lt;1.15,AJ15,1.15*W15),IF(BA15&lt;1.15,AK15,1.15*X15),IF(BB15&lt;1.15,AL15,1.15*Y15),IF(BC15&lt;1.15,AM15,1.15*Z15),IF(BD15&lt;1.15,AN15,1.15*AA15),IF(BE15&lt;1.15,AO15,1.15*AB15),IF(BF15&lt;1.15,AP15,1.15*AC15),IF(BG15&lt;1.15,AQ15,1.15*AD15),IF(BH15&lt;1.15,AR15,1.15*AE15))</f>
        <v>0</v>
      </c>
      <c r="AU15" s="97">
        <f t="shared" ref="AU15:AU18" si="35">SUM(AG15:AR15)</f>
        <v>0</v>
      </c>
      <c r="AW15" s="51">
        <f t="shared" ref="AW15:AW16" si="36">IFERROR(IF(AG15="",0,AG15/T15),0)</f>
        <v>0</v>
      </c>
      <c r="AX15" s="51">
        <f t="shared" ref="AX15:AX16" si="37">IFERROR(IF(AH15="",0,AH15/U15),0)</f>
        <v>0</v>
      </c>
      <c r="AY15" s="51">
        <f t="shared" ref="AY15:AY16" si="38">IFERROR(IF(AI15="",0,AI15/V15),0)</f>
        <v>0</v>
      </c>
      <c r="AZ15" s="51">
        <f t="shared" ref="AZ15:AZ16" si="39">IFERROR(IF(AJ15="",0,AJ15/W15),0)</f>
        <v>0</v>
      </c>
      <c r="BA15" s="51"/>
      <c r="BB15" s="51"/>
      <c r="BC15" s="51"/>
      <c r="BD15" s="51"/>
      <c r="BE15" s="51"/>
      <c r="BF15" s="51"/>
      <c r="BG15" s="51"/>
      <c r="BH15" s="51"/>
      <c r="BI15" s="65" cm="1">
        <f t="array" ref="BI15">IFERROR(INDEX(AW15:BH15,1,MATCH(2,1/(AW15:BH15&lt;&gt;""))),"")</f>
        <v>0</v>
      </c>
      <c r="BJ15" s="68" cm="1">
        <f t="array" ref="BJ15">IF(BM15 = "", "",IFERROR(INDEX(AW15:BH15,1,MATCH(2,1/(AW15:BH15&lt;&gt;""),1)-1),""))</f>
        <v>0</v>
      </c>
      <c r="BK15" s="58">
        <f>IF((IF(AW15&gt;=115%,115%,AW15) + IF(AX15&gt;=115%,115%,AX15) + IF(AY15&gt;=115%,115%,AY15) + (IF(AZ15&gt;=115%,115%,AZ15) + IF(BA15&gt;=115%,115%,BA15) + IF(BB15&gt;=115%,115%,BB15) + IF(BC15&gt;=115%,115%,BC15) + IF(BD15&gt;=115%,115%,BD15) + IF(BE15&gt;=115%,115%,BE15) + IF(BF15&gt;=115%,115%,BF15) + IF(BG15&gt;=115%,115%,BG15) + IF(BH15&gt;=115%,115%,BH15)))/_xlfn.XLOOKUP(F15,Apuração!A:A,Apuração!B:B)&gt;=1.15,1.15,((IF(AZ15&gt;=115%,115%,AZ15) + IF(AX15&gt;=115%,115%,AX15) + IF(AY15&gt;=115%,115%,AY15) + (IF(AW15&gt;=115%,115%,AW15) + IF(BA15&gt;=115%,115%,BA15) + IF(BB15&gt;=115%,115%,BB15) + IF(BC15&gt;=115%,115%,BC15) + IF(BD15&gt;=115%,115%,BD15) + IF(BE15&gt;=115%,115%,BE15) + IF(BF15&gt;=115%,115%,BF15) + IF(BG15&gt;=115%,115%,BG15) + IF(BH15&gt;=115%,115%,BH15)))/_xlfn.XLOOKUP(F15,Apuração!A:A,Apuração!B:B)))</f>
        <v>0</v>
      </c>
      <c r="BL15" s="58" cm="1">
        <f t="array" aca="1" ref="BL15" ca="1">IF(SUM(IFERROR(IF(INDEX(AW15:INDEX(AW15:BH15, MATCH(2, 1/(AW15:BH15&lt;&gt;""), 1)-1), ROW(INDIRECT("1:" &amp; MATCH(2, 1/(AW15:BH15&lt;&gt;""), 1)-1))) &gt;= 115%, 115%, INDEX(AW15:INDEX(AW15:BH15, MATCH(2, 1/(AW15:BH15&lt;&gt;""), 1)-1), ROW(INDIRECT("1:" &amp; MATCH(2, 1/(AW15:BH15&lt;&gt;""), 1)-1)))), 0))/_xlfn.XLOOKUP(F15,Apuração!A:A,Apuração!B:B)&gt;=1.15,1.15,SUM(IFERROR(IF(INDEX(AW15:INDEX(AW15:BH15, MATCH(2, 1/(AW15:BH15&lt;&gt;""), 1)-1), ROW(INDIRECT("1:" &amp; MATCH(2, 1/(AW15:BH15&lt;&gt;""), 1)-1))) &gt;= 115%, 115%, INDEX(AW15:INDEX(AW15:BH15, MATCH(2, 1/(AW15:BH15&lt;&gt;""), 1)-1), ROW(INDIRECT("1:" &amp; MATCH(2, 1/(AW15:BH15&lt;&gt;""), 1)-1)))), 0))/_xlfn.XLOOKUP(F15,Apuração!A:A,Apuração!B:B))</f>
        <v>0</v>
      </c>
      <c r="BM15" s="55" cm="1">
        <f t="array" ref="BM15">IFERROR(
   INDEX($AW$1:$BH$1,
      _xlfn.AGGREGATE(14, 6, COLUMN($AW$1:$BH$1)/(AW15:BH15&lt;&gt;""), 2) - COLUMN($AW$1) + 1
   ),
"")</f>
        <v>46082</v>
      </c>
      <c r="BN15" s="55" cm="1">
        <f t="array" ref="BN15">IFERROR(INDEX($AW$1:$BH$1,1,MATCH(2,1/(AW15:BH15&lt;&gt;""))),"")</f>
        <v>46113</v>
      </c>
      <c r="BO15" s="53">
        <f ca="1">IFERROR(_xlfn.XLOOKUP(F15,Apuração!A:A,Apuração!C:C)/_xlfn.XLOOKUP(F15,Apuração!A:A,Apuração!B:B),0)</f>
        <v>0</v>
      </c>
      <c r="BP15" s="53">
        <f ca="1">IFERROR(_xlfn.XLOOKUP(F15,Apuração!A:A,Apuração!D:D)/_xlfn.XLOOKUP(F15,Apuração!A:A,Apuração!B:B),0)</f>
        <v>0</v>
      </c>
      <c r="BQ15" s="53">
        <f ca="1">IF(BK15&gt;=BO15,0,_xlfn.XLOOKUP(F15,Apuração!A:A,Apuração!B:B)*(BO15 + (1/_xlfn.XLOOKUP(F15,Apuração!A:A,Apuração!B:B)) - BK15))</f>
        <v>0</v>
      </c>
      <c r="BR15" s="85">
        <f t="shared" ref="BR15:BR18" ca="1" si="40">IF(BQ15=0,0,BQ15*Z15)</f>
        <v>0</v>
      </c>
      <c r="BS15" s="53">
        <f ca="1">IFERROR((_xlfn.XLOOKUP(F15,Apuração!A:A,Apuração!C:C)+1)/_xlfn.XLOOKUP(F15,Apuração!A:A,Apuração!B:B),0)</f>
        <v>0.14285714285714285</v>
      </c>
    </row>
    <row r="16" spans="1:71" ht="25.95" hidden="1" customHeight="1" x14ac:dyDescent="0.3">
      <c r="A16" s="3" t="s">
        <v>33</v>
      </c>
      <c r="B16" s="4" t="s">
        <v>60</v>
      </c>
      <c r="C16" s="5" t="s">
        <v>35</v>
      </c>
      <c r="D16" s="5" t="s">
        <v>48</v>
      </c>
      <c r="E16" s="4" t="s">
        <v>61</v>
      </c>
      <c r="F16" s="4" t="str" cm="1">
        <f t="array" ref="F16">_xlfn.IFS(
AG16 &lt;&gt; "", "Jan-Dez/26",
AH16 &lt;&gt; "", "Fev-Dez/26",
AI16 &lt;&gt; "", "Mar-Dez/26", AJ16 &lt;&gt; "", "Abr-Dez/26",
TRUE, "A partir de Junho"
)</f>
        <v>A partir de Junho</v>
      </c>
      <c r="G16" s="16" t="s">
        <v>62</v>
      </c>
      <c r="H16" s="7" t="s">
        <v>38</v>
      </c>
      <c r="I16" s="8" t="s">
        <v>63</v>
      </c>
      <c r="J16" s="8" t="str" cm="1">
        <f t="array" aca="1" ref="J16" ca="1">_xlfn.LET(
  _xlpm.actual_value_month, INDEX(T16:AE16, MATCH(DATE(YEAR(TODAY()), MONTH(TODAY()), 1), $T$1:$AE$1, 0)),
  IF(_xlpm.actual_value_month &lt;&gt; "",_xlpm.actual_value_month &amp; " ações mensais", "")
)</f>
        <v/>
      </c>
      <c r="K16" s="17" t="str" cm="1">
        <f t="array" ref="K16">_xlfn.LET(
    _xlpm.sum_month, SUM(T16:AE16),
    IF(_xlpm.sum_month = 0, "", _xlpm.sum_month &amp; " eventos realizados")
)</f>
        <v/>
      </c>
      <c r="L16" s="9" t="s">
        <v>64</v>
      </c>
      <c r="M16" s="13" t="s">
        <v>65</v>
      </c>
      <c r="N16" s="5" t="s">
        <v>42</v>
      </c>
      <c r="O16" s="5" t="s">
        <v>43</v>
      </c>
      <c r="P16" s="10" t="s">
        <v>44</v>
      </c>
      <c r="Q16" s="10" t="s">
        <v>44</v>
      </c>
      <c r="R16" s="11" t="s">
        <v>66</v>
      </c>
      <c r="S16" s="11" t="s">
        <v>67</v>
      </c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G16" s="82"/>
      <c r="AH16" s="82"/>
      <c r="AI16" s="82"/>
      <c r="AJ16" s="146"/>
      <c r="AK16" s="71"/>
      <c r="AL16" s="71"/>
      <c r="AM16" s="71"/>
      <c r="AN16" s="71"/>
      <c r="AO16" s="71"/>
      <c r="AP16" s="71"/>
      <c r="AQ16" s="71"/>
      <c r="AR16" s="71"/>
      <c r="AS16" s="94">
        <f t="shared" ca="1" si="33"/>
        <v>0</v>
      </c>
      <c r="AT16" s="95">
        <f t="shared" si="34"/>
        <v>0</v>
      </c>
      <c r="AU16" s="97">
        <f t="shared" si="35"/>
        <v>0</v>
      </c>
      <c r="AW16" s="51">
        <f t="shared" si="36"/>
        <v>0</v>
      </c>
      <c r="AX16" s="51">
        <f t="shared" si="37"/>
        <v>0</v>
      </c>
      <c r="AY16" s="51">
        <f t="shared" si="38"/>
        <v>0</v>
      </c>
      <c r="AZ16" s="51">
        <f t="shared" si="39"/>
        <v>0</v>
      </c>
      <c r="BA16" s="51"/>
      <c r="BB16" s="51"/>
      <c r="BC16" s="51"/>
      <c r="BD16" s="51"/>
      <c r="BE16" s="51"/>
      <c r="BF16" s="51"/>
      <c r="BG16" s="51"/>
      <c r="BH16" s="51"/>
      <c r="BI16" s="65" cm="1">
        <f t="array" ref="BI16">IFERROR(INDEX(AW16:BH16,1,MATCH(2,1/(AW16:BH16&lt;&gt;""))),"")</f>
        <v>0</v>
      </c>
      <c r="BJ16" s="68" cm="1">
        <f t="array" ref="BJ16">IF(BM16 = "", "",IFERROR(INDEX(AW16:BH16,1,MATCH(2,1/(AW16:BH16&lt;&gt;""),1)-1),""))</f>
        <v>0</v>
      </c>
      <c r="BK16" s="58">
        <f>IF((IF(AW16&gt;=115%,115%,AW16) + IF(AX16&gt;=115%,115%,AX16) + IF(AY16&gt;=115%,115%,AY16) + (IF(AZ16&gt;=115%,115%,AZ16) + IF(BA16&gt;=115%,115%,BA16) + IF(BB16&gt;=115%,115%,BB16) + IF(BC16&gt;=115%,115%,BC16) + IF(BD16&gt;=115%,115%,BD16) + IF(BE16&gt;=115%,115%,BE16) + IF(BF16&gt;=115%,115%,BF16) + IF(BG16&gt;=115%,115%,BG16) + IF(BH16&gt;=115%,115%,BH16)))/_xlfn.XLOOKUP(F16,Apuração!A:A,Apuração!B:B)&gt;=1.15,1.15,((IF(AZ16&gt;=115%,115%,AZ16) + IF(AX16&gt;=115%,115%,AX16) + IF(AY16&gt;=115%,115%,AY16) + (IF(AW16&gt;=115%,115%,AW16) + IF(BA16&gt;=115%,115%,BA16) + IF(BB16&gt;=115%,115%,BB16) + IF(BC16&gt;=115%,115%,BC16) + IF(BD16&gt;=115%,115%,BD16) + IF(BE16&gt;=115%,115%,BE16) + IF(BF16&gt;=115%,115%,BF16) + IF(BG16&gt;=115%,115%,BG16) + IF(BH16&gt;=115%,115%,BH16)))/_xlfn.XLOOKUP(F16,Apuração!A:A,Apuração!B:B)))</f>
        <v>0</v>
      </c>
      <c r="BL16" s="58" cm="1">
        <f t="array" aca="1" ref="BL16" ca="1">IF(SUM(IFERROR(IF(INDEX(AW16:INDEX(AW16:BH16, MATCH(2, 1/(AW16:BH16&lt;&gt;""), 1)-1), ROW(INDIRECT("1:" &amp; MATCH(2, 1/(AW16:BH16&lt;&gt;""), 1)-1))) &gt;= 115%, 115%, INDEX(AW16:INDEX(AW16:BH16, MATCH(2, 1/(AW16:BH16&lt;&gt;""), 1)-1), ROW(INDIRECT("1:" &amp; MATCH(2, 1/(AW16:BH16&lt;&gt;""), 1)-1)))), 0))/_xlfn.XLOOKUP(F16,Apuração!A:A,Apuração!B:B)&gt;=1.15,1.15,SUM(IFERROR(IF(INDEX(AW16:INDEX(AW16:BH16, MATCH(2, 1/(AW16:BH16&lt;&gt;""), 1)-1), ROW(INDIRECT("1:" &amp; MATCH(2, 1/(AW16:BH16&lt;&gt;""), 1)-1))) &gt;= 115%, 115%, INDEX(AW16:INDEX(AW16:BH16, MATCH(2, 1/(AW16:BH16&lt;&gt;""), 1)-1), ROW(INDIRECT("1:" &amp; MATCH(2, 1/(AW16:BH16&lt;&gt;""), 1)-1)))), 0))/_xlfn.XLOOKUP(F16,Apuração!A:A,Apuração!B:B))</f>
        <v>0</v>
      </c>
      <c r="BM16" s="55" cm="1">
        <f t="array" ref="BM16">IFERROR(
   INDEX($AW$1:$BH$1,
      _xlfn.AGGREGATE(14, 6, COLUMN($AW$1:$BH$1)/(AW16:BH16&lt;&gt;""), 2) - COLUMN($AW$1) + 1
   ),
"")</f>
        <v>46082</v>
      </c>
      <c r="BN16" s="55" cm="1">
        <f t="array" ref="BN16">IFERROR(INDEX($AW$1:$BH$1,1,MATCH(2,1/(AW16:BH16&lt;&gt;""))),"")</f>
        <v>46113</v>
      </c>
      <c r="BO16" s="53">
        <f ca="1">IFERROR(_xlfn.XLOOKUP(F16,Apuração!A:A,Apuração!C:C)/_xlfn.XLOOKUP(F16,Apuração!A:A,Apuração!B:B),0)</f>
        <v>0</v>
      </c>
      <c r="BP16" s="53">
        <f ca="1">IFERROR(_xlfn.XLOOKUP(F16,Apuração!A:A,Apuração!D:D)/_xlfn.XLOOKUP(F16,Apuração!A:A,Apuração!B:B),0)</f>
        <v>0</v>
      </c>
      <c r="BQ16" s="53">
        <f ca="1">IF(BK16&gt;=BO16,0,_xlfn.XLOOKUP(F16,Apuração!A:A,Apuração!B:B)*(BO16 + (1/_xlfn.XLOOKUP(F16,Apuração!A:A,Apuração!B:B)) - BK16))</f>
        <v>0</v>
      </c>
      <c r="BR16" s="85">
        <f t="shared" ca="1" si="40"/>
        <v>0</v>
      </c>
      <c r="BS16" s="53">
        <f ca="1">IFERROR((_xlfn.XLOOKUP(F16,Apuração!A:A,Apuração!C:C)+1)/_xlfn.XLOOKUP(F16,Apuração!A:A,Apuração!B:B),0)</f>
        <v>0.14285714285714285</v>
      </c>
    </row>
    <row r="17" spans="1:71" ht="25.95" hidden="1" customHeight="1" x14ac:dyDescent="0.3">
      <c r="A17" s="39" t="s">
        <v>33</v>
      </c>
      <c r="B17" s="4" t="s">
        <v>60</v>
      </c>
      <c r="C17" s="5" t="s">
        <v>35</v>
      </c>
      <c r="D17" s="5" t="s">
        <v>36</v>
      </c>
      <c r="E17" s="4" t="s">
        <v>61</v>
      </c>
      <c r="F17" s="4" t="str" cm="1">
        <f t="array" ref="F17">_xlfn.IFS(
AG17 &lt;&gt; "", "Jan-Dez/26",
AH17 &lt;&gt; "", "Fev-Dez/26",
AI17 &lt;&gt; "", "Mar-Dez/26", AJ17 &lt;&gt; "", "Abr-Dez/26",
TRUE, "A partir de Junho"
)</f>
        <v>A partir de Junho</v>
      </c>
      <c r="G17" s="121" t="s">
        <v>62</v>
      </c>
      <c r="H17" s="7" t="s">
        <v>38</v>
      </c>
      <c r="I17" s="8" t="s">
        <v>68</v>
      </c>
      <c r="J17" s="8" t="str" cm="1">
        <f t="array" aca="1" ref="J17" ca="1">_xlfn.LET(
  _xlpm.actual_value_month, INDEX(T17:AE17, MATCH(DATE(YEAR(TODAY()), MONTH(TODAY()), 1), $T$1:$AE$1, 0)),
  IF(_xlpm.actual_value_month &lt;&gt; "",_xlpm.actual_value_month &amp; " ações mensais", "")
)</f>
        <v/>
      </c>
      <c r="K17" s="18" t="str" cm="1">
        <f t="array" ref="K17">_xlfn.LET(
    _xlpm.sum_month, SUM(T17:AE17),
    IF(_xlpm.sum_month = 0, "", _xlpm.sum_month &amp; " notificações.")
)</f>
        <v/>
      </c>
      <c r="L17" s="4" t="s">
        <v>69</v>
      </c>
      <c r="M17" s="19">
        <v>1</v>
      </c>
      <c r="N17" s="5" t="s">
        <v>51</v>
      </c>
      <c r="O17" s="5" t="s">
        <v>43</v>
      </c>
      <c r="P17" s="10" t="s">
        <v>44</v>
      </c>
      <c r="Q17" s="10" t="s">
        <v>44</v>
      </c>
      <c r="R17" s="11" t="s">
        <v>44</v>
      </c>
      <c r="S17" s="11" t="s">
        <v>44</v>
      </c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G17" s="82"/>
      <c r="AH17" s="82"/>
      <c r="AI17" s="82"/>
      <c r="AJ17" s="82"/>
      <c r="AK17" s="71"/>
      <c r="AL17" s="71"/>
      <c r="AM17" s="71"/>
      <c r="AN17" s="71"/>
      <c r="AO17" s="71"/>
      <c r="AP17" s="71"/>
      <c r="AQ17" s="71"/>
      <c r="AR17" s="71"/>
      <c r="AS17" s="94">
        <f t="shared" ca="1" si="33"/>
        <v>0</v>
      </c>
      <c r="AT17" s="95">
        <f t="shared" ref="AT17:AT18" si="41">SUM(AG17:AR17)</f>
        <v>0</v>
      </c>
      <c r="AU17" s="97">
        <f t="shared" si="35"/>
        <v>0</v>
      </c>
      <c r="AW17" s="83">
        <f t="shared" ref="AW17:AW18" si="42">AG17</f>
        <v>0</v>
      </c>
      <c r="AX17" s="83">
        <f t="shared" ref="AX17:AX18" si="43">AH17</f>
        <v>0</v>
      </c>
      <c r="AY17" s="83">
        <f t="shared" ref="AY17:AY18" si="44">AI17</f>
        <v>0</v>
      </c>
      <c r="AZ17" s="83">
        <f t="shared" ref="AZ17:AZ18" si="45">AJ17</f>
        <v>0</v>
      </c>
      <c r="BA17" s="52"/>
      <c r="BB17" s="52"/>
      <c r="BC17" s="52"/>
      <c r="BD17" s="52"/>
      <c r="BE17" s="52"/>
      <c r="BF17" s="52"/>
      <c r="BG17" s="52"/>
      <c r="BH17" s="52"/>
      <c r="BI17" s="68" cm="1">
        <f t="array" ref="BI17">IFERROR(INDEX(AW17:BH17,1,MATCH(2,1/(AW17:BH17&lt;&gt;""))),"")</f>
        <v>0</v>
      </c>
      <c r="BJ17" s="68" cm="1">
        <f t="array" ref="BJ17">IF(BM17 = "", "",IFERROR(INDEX(AW17:BH17,1,MATCH(2,1/(AW17:BH17&lt;&gt;""),1)-1),""))</f>
        <v>0</v>
      </c>
      <c r="BK17" s="59">
        <f t="shared" ref="BK17:BK18" si="46">SUM(AW17:BH17)</f>
        <v>0</v>
      </c>
      <c r="BL17" s="59" cm="1">
        <f t="array" ref="BL17">IFERROR(SUM(AW17:INDEX(AW17:BH17, MATCH(2, 1/(AW17:BH17&lt;&gt;""), 1) - 1))/_xlfn.XLOOKUP(F17,Apuração!A:A,Apuração!B:B),0)</f>
        <v>0</v>
      </c>
      <c r="BM17" s="55" cm="1">
        <f t="array" ref="BM17">IFERROR(
   INDEX($AW$1:$BH$1,
      _xlfn.AGGREGATE(14, 6, COLUMN($AW$1:$BH$1)/(AW17:BH17&lt;&gt;""), 2) - COLUMN($AW$1) + 1
   ),
"")</f>
        <v>46082</v>
      </c>
      <c r="BN17" s="55" cm="1">
        <f t="array" ref="BN17">IFERROR(INDEX($AW$1:$BH$1,1,MATCH(2,1/(AW17:BH17&lt;&gt;""))),"")</f>
        <v>46113</v>
      </c>
      <c r="BO17" s="53">
        <f ca="1">IFERROR(_xlfn.XLOOKUP(F17,Apuração!A:A,Apuração!C:C)/_xlfn.XLOOKUP(F17,Apuração!A:A,Apuração!B:B),0)</f>
        <v>0</v>
      </c>
      <c r="BP17" s="53">
        <f ca="1">IFERROR(_xlfn.XLOOKUP(F17,Apuração!A:A,Apuração!D:D)/_xlfn.XLOOKUP(F17,Apuração!A:A,Apuração!B:B),0)</f>
        <v>0</v>
      </c>
      <c r="BQ17" s="53">
        <f ca="1">IF(BK17&gt;=BO17,0,_xlfn.XLOOKUP(F17,Apuração!A:A,Apuração!B:B)*(BO17 + (1/_xlfn.XLOOKUP(F17,Apuração!A:A,Apuração!B:B)) - BK17))</f>
        <v>0</v>
      </c>
      <c r="BR17" s="85">
        <f t="shared" ca="1" si="40"/>
        <v>0</v>
      </c>
      <c r="BS17" s="53">
        <f ca="1">IFERROR((_xlfn.XLOOKUP(F17,Apuração!A:A,Apuração!C:C)+1)/_xlfn.XLOOKUP(F17,Apuração!A:A,Apuração!B:B),0)</f>
        <v>0.14285714285714285</v>
      </c>
    </row>
    <row r="18" spans="1:71" ht="25.95" hidden="1" customHeight="1" x14ac:dyDescent="0.3">
      <c r="A18" s="39" t="s">
        <v>33</v>
      </c>
      <c r="B18" s="4" t="s">
        <v>60</v>
      </c>
      <c r="C18" s="5" t="s">
        <v>35</v>
      </c>
      <c r="D18" s="5" t="s">
        <v>47</v>
      </c>
      <c r="E18" s="4" t="s">
        <v>61</v>
      </c>
      <c r="F18" s="4" t="str" cm="1">
        <f t="array" ref="F18">_xlfn.IFS(
AG18 &lt;&gt; "", "Jan-Dez/26",
AH18 &lt;&gt; "", "Fev-Dez/26",
AI18 &lt;&gt; "", "Mar-Dez/26", AJ18 &lt;&gt; "", "Abr-Dez/26",
TRUE, "A partir de Junho"
)</f>
        <v>A partir de Junho</v>
      </c>
      <c r="G18" s="121" t="s">
        <v>62</v>
      </c>
      <c r="H18" s="7" t="s">
        <v>38</v>
      </c>
      <c r="I18" s="8" t="s">
        <v>68</v>
      </c>
      <c r="J18" s="8" t="str" cm="1">
        <f t="array" aca="1" ref="J18" ca="1">_xlfn.LET(
  _xlpm.actual_value_month, INDEX(T18:AE18, MATCH(DATE(YEAR(TODAY()), MONTH(TODAY()), 1), $T$1:$AE$1, 0)),
  IF(_xlpm.actual_value_month &lt;&gt; "",_xlpm.actual_value_month &amp; " ações mensais", "")
)</f>
        <v/>
      </c>
      <c r="K18" s="18" t="str" cm="1">
        <f t="array" ref="K18">_xlfn.LET(
    _xlpm.sum_month, SUM(T18:AE18),
    IF(_xlpm.sum_month = 0, "", _xlpm.sum_month &amp; " notificações.")
)</f>
        <v/>
      </c>
      <c r="L18" s="4" t="s">
        <v>69</v>
      </c>
      <c r="M18" s="19">
        <v>1</v>
      </c>
      <c r="N18" s="5" t="s">
        <v>51</v>
      </c>
      <c r="O18" s="5" t="s">
        <v>43</v>
      </c>
      <c r="P18" s="10" t="s">
        <v>44</v>
      </c>
      <c r="Q18" s="10" t="s">
        <v>44</v>
      </c>
      <c r="R18" s="11" t="s">
        <v>44</v>
      </c>
      <c r="S18" s="11" t="s">
        <v>44</v>
      </c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G18" s="82"/>
      <c r="AH18" s="82"/>
      <c r="AI18" s="82"/>
      <c r="AJ18" s="82"/>
      <c r="AK18" s="71"/>
      <c r="AL18" s="71"/>
      <c r="AM18" s="71"/>
      <c r="AN18" s="71"/>
      <c r="AO18" s="71"/>
      <c r="AP18" s="71"/>
      <c r="AQ18" s="71"/>
      <c r="AR18" s="71"/>
      <c r="AS18" s="94">
        <f t="shared" ca="1" si="33"/>
        <v>0</v>
      </c>
      <c r="AT18" s="95">
        <f t="shared" si="41"/>
        <v>0</v>
      </c>
      <c r="AU18" s="97">
        <f t="shared" si="35"/>
        <v>0</v>
      </c>
      <c r="AW18" s="83">
        <f t="shared" si="42"/>
        <v>0</v>
      </c>
      <c r="AX18" s="83">
        <f t="shared" si="43"/>
        <v>0</v>
      </c>
      <c r="AY18" s="83">
        <f t="shared" si="44"/>
        <v>0</v>
      </c>
      <c r="AZ18" s="83">
        <f t="shared" si="45"/>
        <v>0</v>
      </c>
      <c r="BA18" s="52"/>
      <c r="BB18" s="52"/>
      <c r="BC18" s="52"/>
      <c r="BD18" s="52"/>
      <c r="BE18" s="52"/>
      <c r="BF18" s="52"/>
      <c r="BG18" s="52"/>
      <c r="BH18" s="52"/>
      <c r="BI18" s="68" cm="1">
        <f t="array" ref="BI18">IFERROR(INDEX(AW18:BH18,1,MATCH(2,1/(AW18:BH18&lt;&gt;""))),"")</f>
        <v>0</v>
      </c>
      <c r="BJ18" s="68" cm="1">
        <f t="array" ref="BJ18">IF(BM18 = "", "",IFERROR(INDEX(AW18:BH18,1,MATCH(2,1/(AW18:BH18&lt;&gt;""),1)-1),""))</f>
        <v>0</v>
      </c>
      <c r="BK18" s="59">
        <f t="shared" si="46"/>
        <v>0</v>
      </c>
      <c r="BL18" s="59" cm="1">
        <f t="array" ref="BL18">IFERROR(SUM(AW18:INDEX(AW18:BH18, MATCH(2, 1/(AW18:BH18&lt;&gt;""), 1) - 1))/_xlfn.XLOOKUP(F18,Apuração!A:A,Apuração!B:B),0)</f>
        <v>0</v>
      </c>
      <c r="BM18" s="55" cm="1">
        <f t="array" ref="BM18">IFERROR(
   INDEX($AW$1:$BH$1,
      _xlfn.AGGREGATE(14, 6, COLUMN($AW$1:$BH$1)/(AW18:BH18&lt;&gt;""), 2) - COLUMN($AW$1) + 1
   ),
"")</f>
        <v>46082</v>
      </c>
      <c r="BN18" s="55" cm="1">
        <f t="array" ref="BN18">IFERROR(INDEX($AW$1:$BH$1,1,MATCH(2,1/(AW18:BH18&lt;&gt;""))),"")</f>
        <v>46113</v>
      </c>
      <c r="BO18" s="53">
        <f ca="1">IFERROR(_xlfn.XLOOKUP(F18,Apuração!A:A,Apuração!C:C)/_xlfn.XLOOKUP(F18,Apuração!A:A,Apuração!B:B),0)</f>
        <v>0</v>
      </c>
      <c r="BP18" s="53">
        <f ca="1">IFERROR(_xlfn.XLOOKUP(F18,Apuração!A:A,Apuração!D:D)/_xlfn.XLOOKUP(F18,Apuração!A:A,Apuração!B:B),0)</f>
        <v>0</v>
      </c>
      <c r="BQ18" s="53">
        <f ca="1">IF(BK18&gt;=BO18,0,_xlfn.XLOOKUP(F18,Apuração!A:A,Apuração!B:B)*(BO18 + (1/_xlfn.XLOOKUP(F18,Apuração!A:A,Apuração!B:B)) - BK18))</f>
        <v>0</v>
      </c>
      <c r="BR18" s="85">
        <f t="shared" ca="1" si="40"/>
        <v>0</v>
      </c>
      <c r="BS18" s="53">
        <f ca="1">IFERROR((_xlfn.XLOOKUP(F18,Apuração!A:A,Apuração!C:C)+1)/_xlfn.XLOOKUP(F18,Apuração!A:A,Apuração!B:B),0)</f>
        <v>0.14285714285714285</v>
      </c>
    </row>
    <row r="19" spans="1:71" ht="25.95" hidden="1" customHeight="1" x14ac:dyDescent="0.3">
      <c r="A19" s="39" t="s">
        <v>33</v>
      </c>
      <c r="B19" s="4" t="s">
        <v>60</v>
      </c>
      <c r="C19" s="5" t="s">
        <v>35</v>
      </c>
      <c r="D19" s="5" t="s">
        <v>48</v>
      </c>
      <c r="E19" s="4" t="s">
        <v>61</v>
      </c>
      <c r="F19" s="4" t="str" cm="1">
        <f t="array" ref="F19">_xlfn.IFS(
AG19 &lt;&gt; "", "Jan-Dez/26",
AH19 &lt;&gt; "", "Fev-Dez/26",
AI19 &lt;&gt; "", "Mar-Dez/26", AJ19 &lt;&gt; "", "Abr-Dez/26",
TRUE, "A partir de Junho"
)</f>
        <v>A partir de Junho</v>
      </c>
      <c r="G19" s="121" t="s">
        <v>62</v>
      </c>
      <c r="H19" s="7" t="s">
        <v>38</v>
      </c>
      <c r="I19" s="8" t="s">
        <v>68</v>
      </c>
      <c r="J19" s="8" t="str" cm="1">
        <f t="array" aca="1" ref="J19" ca="1">_xlfn.LET(
  _xlpm.actual_value_month, INDEX(T19:AE19, MATCH(DATE(YEAR(TODAY()), MONTH(TODAY()), 1), $T$1:$AE$1, 0)),
  IF(_xlpm.actual_value_month &lt;&gt; "",_xlpm.actual_value_month &amp; " ações mensais", "")
)</f>
        <v/>
      </c>
      <c r="K19" s="18" t="str" cm="1">
        <f t="array" ref="K19">_xlfn.LET(
    _xlpm.sum_month, SUM(T19:AE19),
    IF(_xlpm.sum_month = 0, "", _xlpm.sum_month &amp; " notificações.")
)</f>
        <v/>
      </c>
      <c r="L19" s="4" t="s">
        <v>69</v>
      </c>
      <c r="M19" s="19">
        <v>1</v>
      </c>
      <c r="N19" s="5" t="s">
        <v>51</v>
      </c>
      <c r="O19" s="5" t="s">
        <v>43</v>
      </c>
      <c r="P19" s="10" t="s">
        <v>44</v>
      </c>
      <c r="Q19" s="10" t="s">
        <v>44</v>
      </c>
      <c r="R19" s="11" t="s">
        <v>44</v>
      </c>
      <c r="S19" s="11" t="s">
        <v>44</v>
      </c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94">
        <f t="shared" ca="1" si="13"/>
        <v>0</v>
      </c>
      <c r="AT19" s="95">
        <f t="shared" ref="AT19" si="47">SUM(AG19:AR19)</f>
        <v>0</v>
      </c>
      <c r="AU19" s="97">
        <f t="shared" si="14"/>
        <v>0</v>
      </c>
      <c r="AW19" s="83">
        <f>AG19</f>
        <v>0</v>
      </c>
      <c r="AX19" s="83">
        <f t="shared" ref="AX19" si="48">AH19</f>
        <v>0</v>
      </c>
      <c r="AY19" s="83">
        <f t="shared" ref="AY19" si="49">AI19</f>
        <v>0</v>
      </c>
      <c r="AZ19" s="83">
        <f t="shared" ref="AZ19" si="50">AJ19</f>
        <v>0</v>
      </c>
      <c r="BA19" s="52"/>
      <c r="BB19" s="52"/>
      <c r="BC19" s="52"/>
      <c r="BD19" s="52"/>
      <c r="BE19" s="52"/>
      <c r="BF19" s="52"/>
      <c r="BG19" s="52"/>
      <c r="BH19" s="52"/>
      <c r="BI19" s="68" cm="1">
        <f t="array" ref="BI19">IFERROR(INDEX(AW19:BH19,1,MATCH(2,1/(AW19:BH19&lt;&gt;""))),"")</f>
        <v>0</v>
      </c>
      <c r="BJ19" s="68" cm="1">
        <f t="array" ref="BJ19">IF(BM19 = "", "",IFERROR(INDEX(AW19:BH19,1,MATCH(2,1/(AW19:BH19&lt;&gt;""),1)-1),""))</f>
        <v>0</v>
      </c>
      <c r="BK19" s="59">
        <f>SUM(AW19:BH19)</f>
        <v>0</v>
      </c>
      <c r="BL19" s="59" cm="1">
        <f t="array" ref="BL19">IFERROR(SUM(AW19:INDEX(AW19:BH19, MATCH(2, 1/(AW19:BH19&lt;&gt;""), 1) - 1))/_xlfn.XLOOKUP(F19,Apuração!A:A,Apuração!B:B),0)</f>
        <v>0</v>
      </c>
      <c r="BM19" s="55" cm="1">
        <f t="array" ref="BM19">IFERROR(
   INDEX($AW$1:$BH$1,
      _xlfn.AGGREGATE(14, 6, COLUMN($AW$1:$BH$1)/(AW19:BH19&lt;&gt;""), 2) - COLUMN($AW$1) + 1
   ),
"")</f>
        <v>46082</v>
      </c>
      <c r="BN19" s="55" cm="1">
        <f t="array" ref="BN19">IFERROR(INDEX($AW$1:$BH$1,1,MATCH(2,1/(AW19:BH19&lt;&gt;""))),"")</f>
        <v>46113</v>
      </c>
      <c r="BO19" s="53">
        <f ca="1">IFERROR(_xlfn.XLOOKUP(F19,Apuração!A:A,Apuração!C:C)/_xlfn.XLOOKUP(F19,Apuração!A:A,Apuração!B:B),0)</f>
        <v>0</v>
      </c>
      <c r="BP19" s="53">
        <f ca="1">IFERROR(_xlfn.XLOOKUP(F19,Apuração!A:A,Apuração!D:D)/_xlfn.XLOOKUP(F19,Apuração!A:A,Apuração!B:B),0)</f>
        <v>0</v>
      </c>
      <c r="BQ19" s="53">
        <f ca="1">IF(BK19&gt;=BO19,0,_xlfn.XLOOKUP(F19,Apuração!A:A,Apuração!B:B)*(BO19 + (1/_xlfn.XLOOKUP(F19,Apuração!A:A,Apuração!B:B)) - BK19))</f>
        <v>0</v>
      </c>
      <c r="BR19" s="85">
        <f t="shared" ca="1" si="2"/>
        <v>0</v>
      </c>
      <c r="BS19" s="53">
        <f ca="1">IFERROR((_xlfn.XLOOKUP(F19,Apuração!A:A,Apuração!C:C)+1)/_xlfn.XLOOKUP(F19,Apuração!A:A,Apuração!B:B),0)</f>
        <v>0.14285714285714285</v>
      </c>
    </row>
    <row r="20" spans="1:71" ht="25.95" hidden="1" customHeight="1" x14ac:dyDescent="0.3">
      <c r="A20" s="39" t="s">
        <v>33</v>
      </c>
      <c r="B20" s="4" t="s">
        <v>60</v>
      </c>
      <c r="C20" s="5" t="s">
        <v>35</v>
      </c>
      <c r="D20" s="5" t="s">
        <v>47</v>
      </c>
      <c r="E20" s="4" t="s">
        <v>61</v>
      </c>
      <c r="F20" s="4" t="str" cm="1">
        <f t="array" ref="F20">_xlfn.IFS(
AG20 &lt;&gt; "", "Jan-Dez/26",
AH20 &lt;&gt; "", "Fev-Dez/26",
AI20 &lt;&gt; "", "Mar-Dez/26", AJ20 &lt;&gt; "", "Abr-Dez/26",
TRUE, "A partir de Junho"
)</f>
        <v>A partir de Junho</v>
      </c>
      <c r="G20" s="121" t="s">
        <v>62</v>
      </c>
      <c r="H20" s="7" t="s">
        <v>38</v>
      </c>
      <c r="I20" s="8" t="s">
        <v>68</v>
      </c>
      <c r="J20" s="8" t="str" cm="1">
        <f t="array" aca="1" ref="J20" ca="1">_xlfn.LET(
  _xlpm.actual_value_month, INDEX(T20:AE20, MATCH(DATE(YEAR(TODAY()), MONTH(TODAY()), 1), $T$1:$AE$1, 0)),
  IF(_xlpm.actual_value_month &lt;&gt; "",_xlpm.actual_value_month &amp; " ações mensais", "")
)</f>
        <v/>
      </c>
      <c r="K20" s="18" t="str" cm="1">
        <f t="array" ref="K20">_xlfn.LET(
    _xlpm.sum_month, SUM(T20:AE20),
    IF(_xlpm.sum_month = 0, "", _xlpm.sum_month &amp; " notificações.")
)</f>
        <v/>
      </c>
      <c r="L20" s="4" t="s">
        <v>69</v>
      </c>
      <c r="M20" s="19">
        <v>1</v>
      </c>
      <c r="N20" s="5" t="s">
        <v>51</v>
      </c>
      <c r="O20" s="5" t="s">
        <v>43</v>
      </c>
      <c r="P20" s="10" t="s">
        <v>44</v>
      </c>
      <c r="Q20" s="10" t="s">
        <v>44</v>
      </c>
      <c r="R20" s="11" t="s">
        <v>44</v>
      </c>
      <c r="S20" s="11" t="s">
        <v>44</v>
      </c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94">
        <f t="shared" ref="AS20:AS21" ca="1" si="51">IF(MONTH(TODAY())=3,SUM(T20:U20),IF(MONTH(TODAY())=4,SUM(T20:V20),IF(MONTH(TODAY())=5,SUM(T20:W20),IF(MONTH(TODAY())=6,SUM(T20:X20),IF(MONTH(TODAY())=7,SUM(T20:Y20),IF(MONTH(TODAY())=8,SUM(T20:Z20),IF(MONTH(TODAY())=9,SUM(T20:AA20),IF(MONTH(TODAY())=10,SUM(T20:AB20),IF(MONTH(TODAY())=11,SUM(T20:AC20),IF(MONTH(TODAY())=12,SUM(T20:AD20),IF(MONTH(TODAY())=1,SUM(T20:AE20),T20)))))))))))</f>
        <v>0</v>
      </c>
      <c r="AT20" s="95">
        <f t="shared" ref="AT20:AT21" si="52">SUM(AG20:AR20)</f>
        <v>0</v>
      </c>
      <c r="AU20" s="97">
        <f t="shared" ref="AU20:AU21" si="53">SUM(AG20:AR20)</f>
        <v>0</v>
      </c>
      <c r="AW20" s="83">
        <f t="shared" ref="AW20:AW21" si="54">AG20</f>
        <v>0</v>
      </c>
      <c r="AX20" s="83">
        <f t="shared" ref="AX20:AX21" si="55">AH20</f>
        <v>0</v>
      </c>
      <c r="AY20" s="83">
        <f t="shared" ref="AY20:AY21" si="56">AI20</f>
        <v>0</v>
      </c>
      <c r="AZ20" s="83">
        <f t="shared" ref="AZ20:AZ21" si="57">AJ20</f>
        <v>0</v>
      </c>
      <c r="BA20" s="52"/>
      <c r="BB20" s="52"/>
      <c r="BC20" s="52"/>
      <c r="BD20" s="52"/>
      <c r="BE20" s="52"/>
      <c r="BF20" s="52"/>
      <c r="BG20" s="52"/>
      <c r="BH20" s="52"/>
      <c r="BI20" s="68" cm="1">
        <f t="array" ref="BI20">IFERROR(INDEX(AW20:BH20,1,MATCH(2,1/(AW20:BH20&lt;&gt;""))),"")</f>
        <v>0</v>
      </c>
      <c r="BJ20" s="68" cm="1">
        <f t="array" ref="BJ20">IF(BM20 = "", "",IFERROR(INDEX(AW20:BH20,1,MATCH(2,1/(AW20:BH20&lt;&gt;""),1)-1),""))</f>
        <v>0</v>
      </c>
      <c r="BK20" s="59">
        <f t="shared" ref="BK20:BK21" si="58">SUM(AW20:BH20)</f>
        <v>0</v>
      </c>
      <c r="BL20" s="59" cm="1">
        <f t="array" ref="BL20">IFERROR(SUM(AW20:INDEX(AW20:BH20, MATCH(2, 1/(AW20:BH20&lt;&gt;""), 1) - 1))/_xlfn.XLOOKUP(F20,Apuração!A:A,Apuração!B:B),0)</f>
        <v>0</v>
      </c>
      <c r="BM20" s="55" cm="1">
        <f t="array" ref="BM20">IFERROR(
   INDEX($AW$1:$BH$1,
      _xlfn.AGGREGATE(14, 6, COLUMN($AW$1:$BH$1)/(AW20:BH20&lt;&gt;""), 2) - COLUMN($AW$1) + 1
   ),
"")</f>
        <v>46082</v>
      </c>
      <c r="BN20" s="55" cm="1">
        <f t="array" ref="BN20">IFERROR(INDEX($AW$1:$BH$1,1,MATCH(2,1/(AW20:BH20&lt;&gt;""))),"")</f>
        <v>46113</v>
      </c>
      <c r="BO20" s="53">
        <f ca="1">IFERROR(_xlfn.XLOOKUP(F20,Apuração!A:A,Apuração!C:C)/_xlfn.XLOOKUP(F20,Apuração!A:A,Apuração!B:B),0)</f>
        <v>0</v>
      </c>
      <c r="BP20" s="53">
        <f ca="1">IFERROR(_xlfn.XLOOKUP(F20,Apuração!A:A,Apuração!D:D)/_xlfn.XLOOKUP(F20,Apuração!A:A,Apuração!B:B),0)</f>
        <v>0</v>
      </c>
      <c r="BQ20" s="53">
        <f ca="1">IF(BK20&gt;=BO20,0,_xlfn.XLOOKUP(F20,Apuração!A:A,Apuração!B:B)*(BO20 + (1/_xlfn.XLOOKUP(F20,Apuração!A:A,Apuração!B:B)) - BK20))</f>
        <v>0</v>
      </c>
      <c r="BR20" s="85">
        <f t="shared" ref="BR20:BR21" ca="1" si="59">IF(BQ20=0,0,BQ20*Z20)</f>
        <v>0</v>
      </c>
      <c r="BS20" s="53">
        <f ca="1">IFERROR((_xlfn.XLOOKUP(F20,Apuração!A:A,Apuração!C:C)+1)/_xlfn.XLOOKUP(F20,Apuração!A:A,Apuração!B:B),0)</f>
        <v>0.14285714285714285</v>
      </c>
    </row>
    <row r="21" spans="1:71" ht="25.95" hidden="1" customHeight="1" x14ac:dyDescent="0.3">
      <c r="A21" s="39" t="s">
        <v>33</v>
      </c>
      <c r="B21" s="4" t="s">
        <v>60</v>
      </c>
      <c r="C21" s="5" t="s">
        <v>35</v>
      </c>
      <c r="D21" s="5" t="s">
        <v>48</v>
      </c>
      <c r="E21" s="4" t="s">
        <v>61</v>
      </c>
      <c r="F21" s="4" t="str" cm="1">
        <f t="array" ref="F21">_xlfn.IFS(
AG21 &lt;&gt; "", "Jan-Dez/26",
AH21 &lt;&gt; "", "Fev-Dez/26",
AI21 &lt;&gt; "", "Mar-Dez/26", AJ21 &lt;&gt; "", "Abr-Dez/26",
TRUE, "A partir de Junho"
)</f>
        <v>A partir de Junho</v>
      </c>
      <c r="G21" s="121" t="s">
        <v>62</v>
      </c>
      <c r="H21" s="7" t="s">
        <v>38</v>
      </c>
      <c r="I21" s="8" t="s">
        <v>68</v>
      </c>
      <c r="J21" s="8" t="str" cm="1">
        <f t="array" aca="1" ref="J21" ca="1">_xlfn.LET(
  _xlpm.actual_value_month, INDEX(T21:AE21, MATCH(DATE(YEAR(TODAY()), MONTH(TODAY()), 1), $T$1:$AE$1, 0)),
  IF(_xlpm.actual_value_month &lt;&gt; "",_xlpm.actual_value_month &amp; " ações mensais", "")
)</f>
        <v/>
      </c>
      <c r="K21" s="18" t="str" cm="1">
        <f t="array" ref="K21">_xlfn.LET(
    _xlpm.sum_month, SUM(T21:AE21),
    IF(_xlpm.sum_month = 0, "", _xlpm.sum_month &amp; " notificações.")
)</f>
        <v/>
      </c>
      <c r="L21" s="4" t="s">
        <v>69</v>
      </c>
      <c r="M21" s="19">
        <v>1</v>
      </c>
      <c r="N21" s="5" t="s">
        <v>51</v>
      </c>
      <c r="O21" s="5" t="s">
        <v>43</v>
      </c>
      <c r="P21" s="10" t="s">
        <v>44</v>
      </c>
      <c r="Q21" s="10" t="s">
        <v>44</v>
      </c>
      <c r="R21" s="11" t="s">
        <v>44</v>
      </c>
      <c r="S21" s="11" t="s">
        <v>44</v>
      </c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94">
        <f t="shared" ca="1" si="51"/>
        <v>0</v>
      </c>
      <c r="AT21" s="95">
        <f t="shared" si="52"/>
        <v>0</v>
      </c>
      <c r="AU21" s="97">
        <f t="shared" si="53"/>
        <v>0</v>
      </c>
      <c r="AW21" s="83">
        <f t="shared" si="54"/>
        <v>0</v>
      </c>
      <c r="AX21" s="83">
        <f t="shared" si="55"/>
        <v>0</v>
      </c>
      <c r="AY21" s="83">
        <f t="shared" si="56"/>
        <v>0</v>
      </c>
      <c r="AZ21" s="83">
        <f t="shared" si="57"/>
        <v>0</v>
      </c>
      <c r="BA21" s="52"/>
      <c r="BB21" s="52"/>
      <c r="BC21" s="52"/>
      <c r="BD21" s="52"/>
      <c r="BE21" s="52"/>
      <c r="BF21" s="52"/>
      <c r="BG21" s="52"/>
      <c r="BH21" s="52"/>
      <c r="BI21" s="68" cm="1">
        <f t="array" ref="BI21">IFERROR(INDEX(AW21:BH21,1,MATCH(2,1/(AW21:BH21&lt;&gt;""))),"")</f>
        <v>0</v>
      </c>
      <c r="BJ21" s="68" cm="1">
        <f t="array" ref="BJ21">IF(BM21 = "", "",IFERROR(INDEX(AW21:BH21,1,MATCH(2,1/(AW21:BH21&lt;&gt;""),1)-1),""))</f>
        <v>0</v>
      </c>
      <c r="BK21" s="59">
        <f t="shared" si="58"/>
        <v>0</v>
      </c>
      <c r="BL21" s="59" cm="1">
        <f t="array" ref="BL21">IFERROR(SUM(AW21:INDEX(AW21:BH21, MATCH(2, 1/(AW21:BH21&lt;&gt;""), 1) - 1))/_xlfn.XLOOKUP(F21,Apuração!A:A,Apuração!B:B),0)</f>
        <v>0</v>
      </c>
      <c r="BM21" s="55" cm="1">
        <f t="array" ref="BM21">IFERROR(
   INDEX($AW$1:$BH$1,
      _xlfn.AGGREGATE(14, 6, COLUMN($AW$1:$BH$1)/(AW21:BH21&lt;&gt;""), 2) - COLUMN($AW$1) + 1
   ),
"")</f>
        <v>46082</v>
      </c>
      <c r="BN21" s="55" cm="1">
        <f t="array" ref="BN21">IFERROR(INDEX($AW$1:$BH$1,1,MATCH(2,1/(AW21:BH21&lt;&gt;""))),"")</f>
        <v>46113</v>
      </c>
      <c r="BO21" s="53">
        <f ca="1">IFERROR(_xlfn.XLOOKUP(F21,Apuração!A:A,Apuração!C:C)/_xlfn.XLOOKUP(F21,Apuração!A:A,Apuração!B:B),0)</f>
        <v>0</v>
      </c>
      <c r="BP21" s="53">
        <f ca="1">IFERROR(_xlfn.XLOOKUP(F21,Apuração!A:A,Apuração!D:D)/_xlfn.XLOOKUP(F21,Apuração!A:A,Apuração!B:B),0)</f>
        <v>0</v>
      </c>
      <c r="BQ21" s="53">
        <f ca="1">IF(BK21&gt;=BO21,0,_xlfn.XLOOKUP(F21,Apuração!A:A,Apuração!B:B)*(BO21 + (1/_xlfn.XLOOKUP(F21,Apuração!A:A,Apuração!B:B)) - BK21))</f>
        <v>0</v>
      </c>
      <c r="BR21" s="85">
        <f t="shared" ca="1" si="59"/>
        <v>0</v>
      </c>
      <c r="BS21" s="53">
        <f ca="1">IFERROR((_xlfn.XLOOKUP(F21,Apuração!A:A,Apuração!C:C)+1)/_xlfn.XLOOKUP(F21,Apuração!A:A,Apuração!B:B),0)</f>
        <v>0.14285714285714285</v>
      </c>
    </row>
    <row r="22" spans="1:71" ht="25.95" hidden="1" customHeight="1" x14ac:dyDescent="0.3">
      <c r="A22" s="3" t="s">
        <v>33</v>
      </c>
      <c r="B22" s="4" t="s">
        <v>70</v>
      </c>
      <c r="C22" s="5" t="s">
        <v>35</v>
      </c>
      <c r="D22" s="5" t="s">
        <v>36</v>
      </c>
      <c r="E22" s="4" t="str" cm="1">
        <f t="array" ref="E22">_xlfn.IFS(
F22 = "A partir de Abril", "Aguardando Execução na Distribuidora",
A22 = "CAPACITAÇÃO", "Em execução no Corporativo",
TRUE, "Em Execução na Distribuidora"
)</f>
        <v>Em Execução na Distribuidora</v>
      </c>
      <c r="F22" s="4" t="str" cm="1">
        <f t="array" ref="F22">_xlfn.IFS(
AG22 &lt;&gt; "", "Jan-Dez/26",
AH22 &lt;&gt; "", "Fev-Dez/26",
AI22 &lt;&gt; "", "Mar-Dez/26", AJ22 &lt;&gt; "", "Abr-Dez/26",
TRUE, "A partir de Junho"
)</f>
        <v>Mar-Dez/26</v>
      </c>
      <c r="G22" s="4" t="s">
        <v>37</v>
      </c>
      <c r="H22" s="7" t="s">
        <v>38</v>
      </c>
      <c r="I22" s="8" t="s">
        <v>55</v>
      </c>
      <c r="J22" s="8" t="str" cm="1">
        <f t="array" aca="1" ref="J22" ca="1">_xlfn.LET(
  _xlpm.actual_value_month, INDEX(T22:AE22, MATCH(DATE(YEAR(TODAY()), MONTH(TODAY()), 1), $T$1:$AE$1, 0)),
  IF(_xlpm.actual_value_month &lt;&gt; "",_xlpm.actual_value_month &amp; " eventos mensais", "")
)</f>
        <v>2 eventos mensais</v>
      </c>
      <c r="K22" s="14" t="str" cm="1">
        <f t="array" ref="K22">_xlfn.LET(
    _xlpm.sum_month, SUM(T22:AE22),
    IF(_xlpm.sum_month = 0, "", _xlpm.sum_month &amp; "  eventos no ano")
)</f>
        <v>20  eventos no ano</v>
      </c>
      <c r="L22" s="9" t="s">
        <v>56</v>
      </c>
      <c r="M22" s="13" t="s">
        <v>71</v>
      </c>
      <c r="N22" s="5" t="s">
        <v>42</v>
      </c>
      <c r="O22" s="5" t="s">
        <v>43</v>
      </c>
      <c r="P22" s="10" t="s">
        <v>58</v>
      </c>
      <c r="Q22" s="10" t="s">
        <v>72</v>
      </c>
      <c r="R22" s="11" t="s">
        <v>45</v>
      </c>
      <c r="S22" s="11" t="s">
        <v>46</v>
      </c>
      <c r="T22" s="143"/>
      <c r="U22" s="143">
        <v>1</v>
      </c>
      <c r="V22" s="143">
        <v>1</v>
      </c>
      <c r="W22" s="143">
        <v>2</v>
      </c>
      <c r="X22" s="143">
        <v>2</v>
      </c>
      <c r="Y22" s="143">
        <v>2</v>
      </c>
      <c r="Z22" s="143">
        <v>2</v>
      </c>
      <c r="AA22" s="143">
        <v>2</v>
      </c>
      <c r="AB22" s="143">
        <v>2</v>
      </c>
      <c r="AC22" s="143">
        <v>2</v>
      </c>
      <c r="AD22" s="143">
        <v>2</v>
      </c>
      <c r="AE22" s="143">
        <v>2</v>
      </c>
      <c r="AG22" s="82"/>
      <c r="AH22" s="82"/>
      <c r="AI22" s="82">
        <v>1</v>
      </c>
      <c r="AJ22" s="82">
        <v>0</v>
      </c>
      <c r="AK22" s="71"/>
      <c r="AL22" s="71"/>
      <c r="AM22" s="71"/>
      <c r="AN22" s="71"/>
      <c r="AO22" s="71"/>
      <c r="AP22" s="71"/>
      <c r="AQ22" s="71"/>
      <c r="AR22" s="71"/>
      <c r="AS22" s="94">
        <f t="shared" ca="1" si="13"/>
        <v>6</v>
      </c>
      <c r="AT22" s="95">
        <f>SUM(IF(AW22&lt;1.15,AG22,1.15*T22),IF(AX22&lt;1.15,AH22,1.15*U22),IF(AY22&lt;1.15,AI22,1.15*V22),IF(AZ22&lt;1.15,AJ22,1.15*W22),IF(BA22&lt;1.15,AK22,1.15*X22),IF(BB22&lt;1.15,AL22,1.15*Y22),IF(BC22&lt;1.15,AM22,1.15*Z22),IF(BD22&lt;1.15,AN22,1.15*AA22),IF(BE22&lt;1.15,AO22,1.15*AB22),IF(BF22&lt;1.15,AP22,1.15*AC22),IF(BG22&lt;1.15,AQ22,1.15*AD22),IF(BH22&lt;1.15,AR22,1.15*AE22))</f>
        <v>1</v>
      </c>
      <c r="AU22" s="97">
        <f t="shared" si="14"/>
        <v>1</v>
      </c>
      <c r="AW22" s="51">
        <f>IFERROR(IF(AG22="",0,AG22/T22),0)</f>
        <v>0</v>
      </c>
      <c r="AX22" s="51">
        <f>IFERROR(IF(AH22="",0,AH22/U22),0)</f>
        <v>0</v>
      </c>
      <c r="AY22" s="51">
        <f>IFERROR(IF(AI22="",0,AI22/V22),0)</f>
        <v>1</v>
      </c>
      <c r="AZ22" s="51">
        <f>IFERROR(IF(AJ22="",0,AJ22/W22),0)</f>
        <v>0</v>
      </c>
      <c r="BA22" s="51"/>
      <c r="BB22" s="51"/>
      <c r="BC22" s="51"/>
      <c r="BD22" s="51"/>
      <c r="BE22" s="51"/>
      <c r="BF22" s="51"/>
      <c r="BG22" s="51"/>
      <c r="BH22" s="51"/>
      <c r="BI22" s="65" cm="1">
        <f t="array" ref="BI22">IFERROR(INDEX(AW22:BH22,1,MATCH(2,1/(AW22:BH22&lt;&gt;""))),"")</f>
        <v>0</v>
      </c>
      <c r="BJ22" s="68" cm="1">
        <f t="array" ref="BJ22">IF(BM22 = "", "",IFERROR(INDEX(AW22:BH22,1,MATCH(2,1/(AW22:BH22&lt;&gt;""),1)-1),""))</f>
        <v>1</v>
      </c>
      <c r="BK22" s="58">
        <f>IF((IF(AW22&gt;=115%,115%,AW22) + IF(AX22&gt;=115%,115%,AX22) + IF(AY22&gt;=200%,200%,AY22) + (IF(AZ22&gt;=200%,200%,AZ22) + IF(BA22&gt;=115%,115%,BA22) + IF(BB22&gt;=150%,150%,BB22) + IF(BC22&gt;=115%,115%,BC22) + IF(BD22&gt;=115%,115%,BD22) + IF(BE22&gt;=115%,115%,BE22) + IF(BF22&gt;=115%,115%,BF22) + IF(BG22&gt;=115%,115%,BG22) + IF(BH22&gt;=115%,115%,BH22)))/_xlfn.XLOOKUP(F22,Apuração!A:A,Apuração!B:B)&gt;=1.15,1.15,((IF(AZ22&gt;=200%,200%,AZ22) + IF(AX22&gt;=115%,115%,AX22) + IF(AY22&gt;=200%,200%,AY22) + (IF(AW22&gt;=115%,115%,AW22) + IF(BA22&gt;=115%,115%,BA22) + IF(BB22&gt;=150%,150%,BB22) + IF(BC22&gt;=115%,115%,BC22) + IF(BD22&gt;=115%,115%,BD22) + IF(BE22&gt;=115%,115%,BE22) + IF(BF22&gt;=115%,115%,BF22) + IF(BG22&gt;=115%,115%,BG22) + IF(BH22&gt;=115%,115%,BH22)))/_xlfn.XLOOKUP(F22,Apuração!A:A,Apuração!B:B)))</f>
        <v>0.1</v>
      </c>
      <c r="BL22" s="58" cm="1">
        <f t="array" aca="1" ref="BL22" ca="1">IF(SUM(IFERROR(IF(INDEX(AW22:INDEX(AW22:BH22, MATCH(2, 1/(AW22:BH22&lt;&gt;""), 1)-1), ROW(INDIRECT("1:" &amp; MATCH(2, 1/(AW22:BH22&lt;&gt;""), 1)-1))) &gt;= 115%, 115%, INDEX(AW22:INDEX(AW22:BH22, MATCH(2, 1/(AW22:BH22&lt;&gt;""), 1)-1), ROW(INDIRECT("1:" &amp; MATCH(2, 1/(AW22:BH22&lt;&gt;""), 1)-1)))), 0))/_xlfn.XLOOKUP(F22,Apuração!A:A,Apuração!B:B)&gt;=1.15,1.15,SUM(IFERROR(IF(INDEX(AW22:INDEX(AW22:BH22, MATCH(2, 1/(AW22:BH22&lt;&gt;""), 1)-1), ROW(INDIRECT("1:" &amp; MATCH(2, 1/(AW22:BH22&lt;&gt;""), 1)-1))) &gt;= 115%, 115%, INDEX(AW22:INDEX(AW22:BH22, MATCH(2, 1/(AW22:BH22&lt;&gt;""), 1)-1), ROW(INDIRECT("1:" &amp; MATCH(2, 1/(AW22:BH22&lt;&gt;""), 1)-1)))), 0))/_xlfn.XLOOKUP(F22,Apuração!A:A,Apuração!B:B))</f>
        <v>0.1</v>
      </c>
      <c r="BM22" s="55" cm="1">
        <f t="array" ref="BM22">IFERROR(
   INDEX($AW$1:$BH$1,
      _xlfn.AGGREGATE(14, 6, COLUMN($AW$1:$BH$1)/(AW22:BH22&lt;&gt;""), 2) - COLUMN($AW$1) + 1
   ),
"")</f>
        <v>46082</v>
      </c>
      <c r="BN22" s="55" cm="1">
        <f t="array" ref="BN22">IFERROR(INDEX($AW$1:$BH$1,1,MATCH(2,1/(AW22:BH22&lt;&gt;""))),"")</f>
        <v>46113</v>
      </c>
      <c r="BO22" s="53">
        <f ca="1">IFERROR(_xlfn.XLOOKUP(F22,Apuração!A:A,Apuração!C:C)/_xlfn.XLOOKUP(F22,Apuração!A:A,Apuração!B:B),0)</f>
        <v>0.3</v>
      </c>
      <c r="BP22" s="53">
        <f ca="1">IFERROR(_xlfn.XLOOKUP(F22,Apuração!A:A,Apuração!D:D)/_xlfn.XLOOKUP(F22,Apuração!A:A,Apuração!B:B),0)</f>
        <v>0.2</v>
      </c>
      <c r="BQ22" s="53">
        <f ca="1">IF(BK22&gt;=BO22,0,_xlfn.XLOOKUP(F22,Apuração!A:A,Apuração!B:B)*(BO22 + (1/_xlfn.XLOOKUP(F22,Apuração!A:A,Apuração!B:B)) - BK22))</f>
        <v>3.0000000000000004</v>
      </c>
      <c r="BR22" s="85">
        <f t="shared" ca="1" si="2"/>
        <v>6.0000000000000009</v>
      </c>
      <c r="BS22" s="53">
        <f ca="1">IFERROR((_xlfn.XLOOKUP(F22,Apuração!A:A,Apuração!C:C)+1)/_xlfn.XLOOKUP(F22,Apuração!A:A,Apuração!B:B),0)</f>
        <v>0.4</v>
      </c>
    </row>
    <row r="23" spans="1:71" ht="25.95" hidden="1" customHeight="1" x14ac:dyDescent="0.3">
      <c r="A23" s="3" t="s">
        <v>33</v>
      </c>
      <c r="B23" s="4" t="s">
        <v>70</v>
      </c>
      <c r="C23" s="5" t="s">
        <v>35</v>
      </c>
      <c r="D23" s="5" t="s">
        <v>47</v>
      </c>
      <c r="E23" s="4" t="str" cm="1">
        <f t="array" ref="E23">_xlfn.IFS(
F23 = "A partir de Abril", "Aguardando Execução na Distribuidora",
A23 = "CAPACITAÇÃO", "Em execução no Corporativo",
TRUE, "Em Execução na Distribuidora"
)</f>
        <v>Em Execução na Distribuidora</v>
      </c>
      <c r="F23" s="4" t="str" cm="1">
        <f t="array" ref="F23">_xlfn.IFS(
AG23 &lt;&gt; "", "Jan-Dez/26",
AH23 &lt;&gt; "", "Fev-Dez/26",
AI23 &lt;&gt; "", "Mar-Dez/26", AJ23 &lt;&gt; "", "Abr-Dez/26",
TRUE, "A partir de Junho"
)</f>
        <v>Mar-Dez/26</v>
      </c>
      <c r="G23" s="4" t="s">
        <v>37</v>
      </c>
      <c r="H23" s="7" t="s">
        <v>38</v>
      </c>
      <c r="I23" s="8" t="s">
        <v>55</v>
      </c>
      <c r="J23" s="8" t="str" cm="1">
        <f t="array" aca="1" ref="J23" ca="1">_xlfn.LET(
  _xlpm.actual_value_month, INDEX(T23:AE23, MATCH(DATE(YEAR(TODAY()), MONTH(TODAY()), 1), $T$1:$AE$1, 0)),
  IF(_xlpm.actual_value_month &lt;&gt; "",_xlpm.actual_value_month &amp; " eventos mensais", "")
)</f>
        <v>1 eventos mensais</v>
      </c>
      <c r="K23" s="14" t="str" cm="1">
        <f t="array" ref="K23">_xlfn.LET(
    _xlpm.sum_month, SUM(T23:AE23),
    IF(_xlpm.sum_month = 0, "", _xlpm.sum_month &amp; "  eventos no ano")
)</f>
        <v>10  eventos no ano</v>
      </c>
      <c r="L23" s="9" t="s">
        <v>56</v>
      </c>
      <c r="M23" s="13" t="s">
        <v>71</v>
      </c>
      <c r="N23" s="5" t="s">
        <v>42</v>
      </c>
      <c r="O23" s="5" t="s">
        <v>43</v>
      </c>
      <c r="P23" s="10" t="s">
        <v>58</v>
      </c>
      <c r="Q23" s="10" t="s">
        <v>72</v>
      </c>
      <c r="R23" s="11" t="s">
        <v>45</v>
      </c>
      <c r="S23" s="11" t="s">
        <v>46</v>
      </c>
      <c r="T23" s="143"/>
      <c r="U23" s="143"/>
      <c r="V23" s="143">
        <v>1</v>
      </c>
      <c r="W23" s="143">
        <v>1</v>
      </c>
      <c r="X23" s="143">
        <v>1</v>
      </c>
      <c r="Y23" s="143">
        <v>1</v>
      </c>
      <c r="Z23" s="143">
        <v>1</v>
      </c>
      <c r="AA23" s="143">
        <v>1</v>
      </c>
      <c r="AB23" s="143">
        <v>1</v>
      </c>
      <c r="AC23" s="143">
        <v>1</v>
      </c>
      <c r="AD23" s="143">
        <v>1</v>
      </c>
      <c r="AE23" s="143">
        <v>1</v>
      </c>
      <c r="AG23" s="82"/>
      <c r="AH23" s="82"/>
      <c r="AI23" s="82">
        <v>1</v>
      </c>
      <c r="AJ23" s="82">
        <v>0</v>
      </c>
      <c r="AK23" s="71"/>
      <c r="AL23" s="71"/>
      <c r="AM23" s="71"/>
      <c r="AN23" s="71"/>
      <c r="AO23" s="71"/>
      <c r="AP23" s="71"/>
      <c r="AQ23" s="71"/>
      <c r="AR23" s="71"/>
      <c r="AS23" s="94">
        <f t="shared" ref="AS23:AS24" ca="1" si="60">IF(MONTH(TODAY())=3,SUM(T23:U23),IF(MONTH(TODAY())=4,SUM(T23:V23),IF(MONTH(TODAY())=5,SUM(T23:W23),IF(MONTH(TODAY())=6,SUM(T23:X23),IF(MONTH(TODAY())=7,SUM(T23:Y23),IF(MONTH(TODAY())=8,SUM(T23:Z23),IF(MONTH(TODAY())=9,SUM(T23:AA23),IF(MONTH(TODAY())=10,SUM(T23:AB23),IF(MONTH(TODAY())=11,SUM(T23:AC23),IF(MONTH(TODAY())=12,SUM(T23:AD23),IF(MONTH(TODAY())=1,SUM(T23:AE23),T23)))))))))))</f>
        <v>3</v>
      </c>
      <c r="AT23" s="95">
        <f t="shared" ref="AT23:AT24" si="61">SUM(IF(AW23&lt;1.15,AG23,1.15*T23),IF(AX23&lt;1.15,AH23,1.15*U23),IF(AY23&lt;1.15,AI23,1.15*V23),IF(AZ23&lt;1.15,AJ23,1.15*W23),IF(BA23&lt;1.15,AK23,1.15*X23),IF(BB23&lt;1.15,AL23,1.15*Y23),IF(BC23&lt;1.15,AM23,1.15*Z23),IF(BD23&lt;1.15,AN23,1.15*AA23),IF(BE23&lt;1.15,AO23,1.15*AB23),IF(BF23&lt;1.15,AP23,1.15*AC23),IF(BG23&lt;1.15,AQ23,1.15*AD23),IF(BH23&lt;1.15,AR23,1.15*AE23))</f>
        <v>1</v>
      </c>
      <c r="AU23" s="97">
        <f t="shared" ref="AU23:AU24" si="62">SUM(AG23:AR23)</f>
        <v>1</v>
      </c>
      <c r="AW23" s="51">
        <f t="shared" ref="AW23:AW24" si="63">IFERROR(IF(AG23="",0,AG23/T23),0)</f>
        <v>0</v>
      </c>
      <c r="AX23" s="51">
        <f t="shared" ref="AX23:AX24" si="64">IFERROR(IF(AH23="",0,AH23/U23),0)</f>
        <v>0</v>
      </c>
      <c r="AY23" s="51">
        <f t="shared" ref="AY23:AY24" si="65">IFERROR(IF(AI23="",0,AI23/V23),0)</f>
        <v>1</v>
      </c>
      <c r="AZ23" s="51">
        <f t="shared" ref="AZ23:AZ24" si="66">IFERROR(IF(AJ23="",0,AJ23/W23),0)</f>
        <v>0</v>
      </c>
      <c r="BA23" s="51"/>
      <c r="BB23" s="51"/>
      <c r="BC23" s="51"/>
      <c r="BD23" s="51"/>
      <c r="BE23" s="51"/>
      <c r="BF23" s="51"/>
      <c r="BG23" s="51"/>
      <c r="BH23" s="51"/>
      <c r="BI23" s="65" cm="1">
        <f t="array" ref="BI23">IFERROR(INDEX(AW23:BH23,1,MATCH(2,1/(AW23:BH23&lt;&gt;""))),"")</f>
        <v>0</v>
      </c>
      <c r="BJ23" s="68" cm="1">
        <f t="array" ref="BJ23">IF(BM23 = "", "",IFERROR(INDEX(AW23:BH23,1,MATCH(2,1/(AW23:BH23&lt;&gt;""),1)-1),""))</f>
        <v>1</v>
      </c>
      <c r="BK23" s="58">
        <f>IF((IF(AW23&gt;=115%,115%,AW23) + IF(AX23&gt;=115%,115%,AX23) + IF(AY23&gt;=200%,200%,AY23) + (IF(AZ23&gt;=200%,200%,AZ23) + IF(BA23&gt;=115%,115%,BA23) + IF(BB23&gt;=150%,150%,BB23) + IF(BC23&gt;=115%,115%,BC23) + IF(BD23&gt;=115%,115%,BD23) + IF(BE23&gt;=115%,115%,BE23) + IF(BF23&gt;=115%,115%,BF23) + IF(BG23&gt;=115%,115%,BG23) + IF(BH23&gt;=115%,115%,BH23)))/_xlfn.XLOOKUP(F23,Apuração!A:A,Apuração!B:B)&gt;=1.15,1.15,((IF(AZ23&gt;=200%,200%,AZ23) + IF(AX23&gt;=115%,115%,AX23) + IF(AY23&gt;=200%,200%,AY23) + (IF(AW23&gt;=115%,115%,AW23) + IF(BA23&gt;=115%,115%,BA23) + IF(BB23&gt;=150%,150%,BB23) + IF(BC23&gt;=115%,115%,BC23) + IF(BD23&gt;=115%,115%,BD23) + IF(BE23&gt;=115%,115%,BE23) + IF(BF23&gt;=115%,115%,BF23) + IF(BG23&gt;=115%,115%,BG23) + IF(BH23&gt;=115%,115%,BH23)))/_xlfn.XLOOKUP(F23,Apuração!A:A,Apuração!B:B)))</f>
        <v>0.1</v>
      </c>
      <c r="BL23" s="58" cm="1">
        <f t="array" aca="1" ref="BL23" ca="1">IF(SUM(IFERROR(IF(INDEX(AW23:INDEX(AW23:BH23, MATCH(2, 1/(AW23:BH23&lt;&gt;""), 1)-1), ROW(INDIRECT("1:" &amp; MATCH(2, 1/(AW23:BH23&lt;&gt;""), 1)-1))) &gt;= 115%, 115%, INDEX(AW23:INDEX(AW23:BH23, MATCH(2, 1/(AW23:BH23&lt;&gt;""), 1)-1), ROW(INDIRECT("1:" &amp; MATCH(2, 1/(AW23:BH23&lt;&gt;""), 1)-1)))), 0))/_xlfn.XLOOKUP(F23,Apuração!A:A,Apuração!B:B)&gt;=1.15,1.15,SUM(IFERROR(IF(INDEX(AW23:INDEX(AW23:BH23, MATCH(2, 1/(AW23:BH23&lt;&gt;""), 1)-1), ROW(INDIRECT("1:" &amp; MATCH(2, 1/(AW23:BH23&lt;&gt;""), 1)-1))) &gt;= 115%, 115%, INDEX(AW23:INDEX(AW23:BH23, MATCH(2, 1/(AW23:BH23&lt;&gt;""), 1)-1), ROW(INDIRECT("1:" &amp; MATCH(2, 1/(AW23:BH23&lt;&gt;""), 1)-1)))), 0))/_xlfn.XLOOKUP(F23,Apuração!A:A,Apuração!B:B))</f>
        <v>0.1</v>
      </c>
      <c r="BM23" s="55" cm="1">
        <f t="array" ref="BM23">IFERROR(
   INDEX($AW$1:$BH$1,
      _xlfn.AGGREGATE(14, 6, COLUMN($AW$1:$BH$1)/(AW23:BH23&lt;&gt;""), 2) - COLUMN($AW$1) + 1
   ),
"")</f>
        <v>46082</v>
      </c>
      <c r="BN23" s="55" cm="1">
        <f t="array" ref="BN23">IFERROR(INDEX($AW$1:$BH$1,1,MATCH(2,1/(AW23:BH23&lt;&gt;""))),"")</f>
        <v>46113</v>
      </c>
      <c r="BO23" s="53">
        <f ca="1">IFERROR(_xlfn.XLOOKUP(F23,Apuração!A:A,Apuração!C:C)/_xlfn.XLOOKUP(F23,Apuração!A:A,Apuração!B:B),0)</f>
        <v>0.3</v>
      </c>
      <c r="BP23" s="53">
        <f ca="1">IFERROR(_xlfn.XLOOKUP(F23,Apuração!A:A,Apuração!D:D)/_xlfn.XLOOKUP(F23,Apuração!A:A,Apuração!B:B),0)</f>
        <v>0.2</v>
      </c>
      <c r="BQ23" s="53">
        <f ca="1">IF(BK23&gt;=BO23,0,_xlfn.XLOOKUP(F23,Apuração!A:A,Apuração!B:B)*(BO23 + (1/_xlfn.XLOOKUP(F23,Apuração!A:A,Apuração!B:B)) - BK23))</f>
        <v>3.0000000000000004</v>
      </c>
      <c r="BR23" s="85">
        <f t="shared" ref="BR23:BR24" ca="1" si="67">IF(BQ23=0,0,BQ23*Z23)</f>
        <v>3.0000000000000004</v>
      </c>
      <c r="BS23" s="53">
        <f ca="1">IFERROR((_xlfn.XLOOKUP(F23,Apuração!A:A,Apuração!C:C)+1)/_xlfn.XLOOKUP(F23,Apuração!A:A,Apuração!B:B),0)</f>
        <v>0.4</v>
      </c>
    </row>
    <row r="24" spans="1:71" ht="25.95" hidden="1" customHeight="1" x14ac:dyDescent="0.3">
      <c r="A24" s="3" t="s">
        <v>33</v>
      </c>
      <c r="B24" s="4" t="s">
        <v>70</v>
      </c>
      <c r="C24" s="5" t="s">
        <v>35</v>
      </c>
      <c r="D24" s="5" t="s">
        <v>48</v>
      </c>
      <c r="E24" s="4" t="str" cm="1">
        <f t="array" ref="E24">_xlfn.IFS(
F24 = "A partir de Abril", "Aguardando Execução na Distribuidora",
A24 = "CAPACITAÇÃO", "Em execução no Corporativo",
TRUE, "Em Execução na Distribuidora"
)</f>
        <v>Em Execução na Distribuidora</v>
      </c>
      <c r="F24" s="4" t="str" cm="1">
        <f t="array" ref="F24">_xlfn.IFS(
AG24 &lt;&gt; "", "Jan-Dez/26",
AH24 &lt;&gt; "", "Fev-Dez/26",
AI24 &lt;&gt; "", "Mar-Dez/26", AJ24 &lt;&gt; "", "Abr-Dez/26",
TRUE, "A partir de Junho"
)</f>
        <v>Abr-Dez/26</v>
      </c>
      <c r="G24" s="4" t="s">
        <v>37</v>
      </c>
      <c r="H24" s="7" t="s">
        <v>38</v>
      </c>
      <c r="I24" s="8" t="s">
        <v>55</v>
      </c>
      <c r="J24" s="8" t="str" cm="1">
        <f t="array" aca="1" ref="J24" ca="1">_xlfn.LET(
  _xlpm.actual_value_month, INDEX(T24:AE24, MATCH(DATE(YEAR(TODAY()), MONTH(TODAY()), 1), $T$1:$AE$1, 0)),
  IF(_xlpm.actual_value_month &lt;&gt; "",_xlpm.actual_value_month &amp; " eventos mensais", "")
)</f>
        <v>1 eventos mensais</v>
      </c>
      <c r="K24" s="14" t="str" cm="1">
        <f t="array" ref="K24">_xlfn.LET(
    _xlpm.sum_month, SUM(T24:AE24),
    IF(_xlpm.sum_month = 0, "", _xlpm.sum_month &amp; "  eventos no ano")
)</f>
        <v>9  eventos no ano</v>
      </c>
      <c r="L24" s="9" t="s">
        <v>56</v>
      </c>
      <c r="M24" s="13" t="s">
        <v>71</v>
      </c>
      <c r="N24" s="5" t="s">
        <v>42</v>
      </c>
      <c r="O24" s="5" t="s">
        <v>43</v>
      </c>
      <c r="P24" s="10" t="s">
        <v>58</v>
      </c>
      <c r="Q24" s="10" t="s">
        <v>72</v>
      </c>
      <c r="R24" s="11" t="s">
        <v>45</v>
      </c>
      <c r="S24" s="11" t="s">
        <v>46</v>
      </c>
      <c r="T24" s="143"/>
      <c r="U24" s="143"/>
      <c r="V24" s="143"/>
      <c r="W24" s="143">
        <v>1</v>
      </c>
      <c r="X24" s="143">
        <v>1</v>
      </c>
      <c r="Y24" s="143">
        <v>1</v>
      </c>
      <c r="Z24" s="143">
        <v>1</v>
      </c>
      <c r="AA24" s="143">
        <v>1</v>
      </c>
      <c r="AB24" s="143">
        <v>1</v>
      </c>
      <c r="AC24" s="143">
        <v>1</v>
      </c>
      <c r="AD24" s="143">
        <v>1</v>
      </c>
      <c r="AE24" s="143">
        <v>1</v>
      </c>
      <c r="AG24" s="82"/>
      <c r="AH24" s="82"/>
      <c r="AI24" s="82"/>
      <c r="AJ24" s="82">
        <v>0</v>
      </c>
      <c r="AK24" s="71"/>
      <c r="AL24" s="71"/>
      <c r="AM24" s="71"/>
      <c r="AN24" s="71"/>
      <c r="AO24" s="71"/>
      <c r="AP24" s="71"/>
      <c r="AQ24" s="71"/>
      <c r="AR24" s="71"/>
      <c r="AS24" s="94">
        <f t="shared" ca="1" si="60"/>
        <v>2</v>
      </c>
      <c r="AT24" s="95">
        <f t="shared" si="61"/>
        <v>0</v>
      </c>
      <c r="AU24" s="97">
        <f t="shared" si="62"/>
        <v>0</v>
      </c>
      <c r="AW24" s="51">
        <f t="shared" si="63"/>
        <v>0</v>
      </c>
      <c r="AX24" s="51">
        <f t="shared" si="64"/>
        <v>0</v>
      </c>
      <c r="AY24" s="51">
        <f t="shared" si="65"/>
        <v>0</v>
      </c>
      <c r="AZ24" s="51">
        <f t="shared" si="66"/>
        <v>0</v>
      </c>
      <c r="BA24" s="51"/>
      <c r="BB24" s="51"/>
      <c r="BC24" s="51"/>
      <c r="BD24" s="51"/>
      <c r="BE24" s="51"/>
      <c r="BF24" s="51"/>
      <c r="BG24" s="51"/>
      <c r="BH24" s="51"/>
      <c r="BI24" s="65" cm="1">
        <f t="array" ref="BI24">IFERROR(INDEX(AW24:BH24,1,MATCH(2,1/(AW24:BH24&lt;&gt;""))),"")</f>
        <v>0</v>
      </c>
      <c r="BJ24" s="68" cm="1">
        <f t="array" ref="BJ24">IF(BM24 = "", "",IFERROR(INDEX(AW24:BH24,1,MATCH(2,1/(AW24:BH24&lt;&gt;""),1)-1),""))</f>
        <v>0</v>
      </c>
      <c r="BK24" s="58">
        <f>IF((IF(AW24&gt;=115%,115%,AW24) + IF(AX24&gt;=115%,115%,AX24) + IF(AY24&gt;=200%,200%,AY24) + (IF(AZ24&gt;=200%,200%,AZ24) + IF(BA24&gt;=115%,115%,BA24) + IF(BB24&gt;=150%,150%,BB24) + IF(BC24&gt;=115%,115%,BC24) + IF(BD24&gt;=115%,115%,BD24) + IF(BE24&gt;=115%,115%,BE24) + IF(BF24&gt;=115%,115%,BF24) + IF(BG24&gt;=115%,115%,BG24) + IF(BH24&gt;=115%,115%,BH24)))/_xlfn.XLOOKUP(F24,Apuração!A:A,Apuração!B:B)&gt;=1.15,1.15,((IF(AZ24&gt;=200%,200%,AZ24) + IF(AX24&gt;=115%,115%,AX24) + IF(AY24&gt;=200%,200%,AY24) + (IF(AW24&gt;=115%,115%,AW24) + IF(BA24&gt;=115%,115%,BA24) + IF(BB24&gt;=150%,150%,BB24) + IF(BC24&gt;=115%,115%,BC24) + IF(BD24&gt;=115%,115%,BD24) + IF(BE24&gt;=115%,115%,BE24) + IF(BF24&gt;=115%,115%,BF24) + IF(BG24&gt;=115%,115%,BG24) + IF(BH24&gt;=115%,115%,BH24)))/_xlfn.XLOOKUP(F24,Apuração!A:A,Apuração!B:B)))</f>
        <v>0</v>
      </c>
      <c r="BL24" s="58" cm="1">
        <f t="array" aca="1" ref="BL24" ca="1">IF(SUM(IFERROR(IF(INDEX(AW24:INDEX(AW24:BH24, MATCH(2, 1/(AW24:BH24&lt;&gt;""), 1)-1), ROW(INDIRECT("1:" &amp; MATCH(2, 1/(AW24:BH24&lt;&gt;""), 1)-1))) &gt;= 115%, 115%, INDEX(AW24:INDEX(AW24:BH24, MATCH(2, 1/(AW24:BH24&lt;&gt;""), 1)-1), ROW(INDIRECT("1:" &amp; MATCH(2, 1/(AW24:BH24&lt;&gt;""), 1)-1)))), 0))/_xlfn.XLOOKUP(F24,Apuração!A:A,Apuração!B:B)&gt;=1.15,1.15,SUM(IFERROR(IF(INDEX(AW24:INDEX(AW24:BH24, MATCH(2, 1/(AW24:BH24&lt;&gt;""), 1)-1), ROW(INDIRECT("1:" &amp; MATCH(2, 1/(AW24:BH24&lt;&gt;""), 1)-1))) &gt;= 115%, 115%, INDEX(AW24:INDEX(AW24:BH24, MATCH(2, 1/(AW24:BH24&lt;&gt;""), 1)-1), ROW(INDIRECT("1:" &amp; MATCH(2, 1/(AW24:BH24&lt;&gt;""), 1)-1)))), 0))/_xlfn.XLOOKUP(F24,Apuração!A:A,Apuração!B:B))</f>
        <v>0</v>
      </c>
      <c r="BM24" s="55" cm="1">
        <f t="array" ref="BM24">IFERROR(
   INDEX($AW$1:$BH$1,
      _xlfn.AGGREGATE(14, 6, COLUMN($AW$1:$BH$1)/(AW24:BH24&lt;&gt;""), 2) - COLUMN($AW$1) + 1
   ),
"")</f>
        <v>46082</v>
      </c>
      <c r="BN24" s="55" cm="1">
        <f t="array" ref="BN24">IFERROR(INDEX($AW$1:$BH$1,1,MATCH(2,1/(AW24:BH24&lt;&gt;""))),"")</f>
        <v>46113</v>
      </c>
      <c r="BO24" s="53">
        <f ca="1">IFERROR(_xlfn.XLOOKUP(F24,Apuração!A:A,Apuração!C:C)/_xlfn.XLOOKUP(F24,Apuração!A:A,Apuração!B:B),0)</f>
        <v>0.22222222222222221</v>
      </c>
      <c r="BP24" s="53">
        <f ca="1">IFERROR(_xlfn.XLOOKUP(F24,Apuração!A:A,Apuração!D:D)/_xlfn.XLOOKUP(F24,Apuração!A:A,Apuração!B:B),0)</f>
        <v>0.1111111111111111</v>
      </c>
      <c r="BQ24" s="53">
        <f ca="1">IF(BK24&gt;=BO24,0,_xlfn.XLOOKUP(F24,Apuração!A:A,Apuração!B:B)*(BO24 + (1/_xlfn.XLOOKUP(F24,Apuração!A:A,Apuração!B:B)) - BK24))</f>
        <v>3</v>
      </c>
      <c r="BR24" s="85">
        <f t="shared" ca="1" si="67"/>
        <v>3</v>
      </c>
      <c r="BS24" s="53">
        <f ca="1">IFERROR((_xlfn.XLOOKUP(F24,Apuração!A:A,Apuração!C:C)+1)/_xlfn.XLOOKUP(F24,Apuração!A:A,Apuração!B:B),0)</f>
        <v>0.33333333333333331</v>
      </c>
    </row>
    <row r="25" spans="1:71" ht="25.95" hidden="1" customHeight="1" x14ac:dyDescent="0.3">
      <c r="A25" s="39" t="s">
        <v>33</v>
      </c>
      <c r="B25" s="4" t="s">
        <v>70</v>
      </c>
      <c r="C25" s="5" t="s">
        <v>35</v>
      </c>
      <c r="D25" s="5" t="s">
        <v>36</v>
      </c>
      <c r="E25" s="4" t="str" cm="1">
        <f t="array" ref="E25">_xlfn.IFS(
F25 = "A partir de Abril", "Aguardando Execução na Distribuidora",
A25 = "CAPACITAÇÃO", "Em execução no Corporativo",
TRUE, "Em Execução na Distribuidora"
)</f>
        <v>Em Execução na Distribuidora</v>
      </c>
      <c r="F25" s="4" t="str" cm="1">
        <f t="array" ref="F25">_xlfn.IFS(
AG25 &lt;&gt; "", "Jan-Dez/26",
AH25 &lt;&gt; "", "Fev-Dez/26",
AI25 &lt;&gt; "", "Mar-Dez/26", AJ25 &lt;&gt; "", "Abr-Dez/26",
TRUE, "A partir de Junho"
)</f>
        <v>Mar-Dez/26</v>
      </c>
      <c r="G25" s="4" t="s">
        <v>37</v>
      </c>
      <c r="H25" s="7" t="s">
        <v>38</v>
      </c>
      <c r="I25" s="8" t="s">
        <v>59</v>
      </c>
      <c r="J25" s="8" t="str" cm="1">
        <f t="array" aca="1" ref="J25" ca="1">_xlfn.LET(
  _xlpm.actual_value_month, INDEX(T25:AE25, MATCH(DATE(YEAR(TODAY()), MONTH(TODAY()), 1), $T$1:$AE$1, 0)),
  IF(_xlpm.actual_value_month &lt;&gt; "",_xlpm.actual_value_month &amp; " ações mensais", "")
)</f>
        <v/>
      </c>
      <c r="K25" s="14" t="str" cm="1">
        <f t="array" ref="K25">_xlfn.LET(
    _xlpm.sum_month, SUM(T25:AE25),
    IF(_xlpm.sum_month = 0, "", _xlpm.sum_month &amp; " pessoas impactadas no ano.")
)</f>
        <v/>
      </c>
      <c r="L25" s="9" t="s">
        <v>59</v>
      </c>
      <c r="M25" s="13">
        <v>1</v>
      </c>
      <c r="N25" s="5" t="s">
        <v>51</v>
      </c>
      <c r="O25" s="5" t="s">
        <v>52</v>
      </c>
      <c r="P25" s="10" t="s">
        <v>44</v>
      </c>
      <c r="Q25" s="10" t="s">
        <v>44</v>
      </c>
      <c r="R25" s="11" t="s">
        <v>44</v>
      </c>
      <c r="S25" s="11" t="s">
        <v>44</v>
      </c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G25" s="71"/>
      <c r="AH25" s="71"/>
      <c r="AI25" s="71">
        <v>23</v>
      </c>
      <c r="AJ25" s="71">
        <v>0</v>
      </c>
      <c r="AK25" s="71"/>
      <c r="AL25" s="71"/>
      <c r="AM25" s="71"/>
      <c r="AN25" s="71"/>
      <c r="AO25" s="71"/>
      <c r="AP25" s="71"/>
      <c r="AQ25" s="71"/>
      <c r="AR25" s="71"/>
      <c r="AS25" s="94">
        <f t="shared" ca="1" si="13"/>
        <v>0</v>
      </c>
      <c r="AT25" s="95">
        <f>SUM(AG25:AR25)</f>
        <v>23</v>
      </c>
      <c r="AU25" s="97">
        <f t="shared" si="14"/>
        <v>23</v>
      </c>
      <c r="AW25" s="83">
        <f>AG25</f>
        <v>0</v>
      </c>
      <c r="AX25" s="83">
        <f t="shared" ref="AX25" si="68">AH25</f>
        <v>0</v>
      </c>
      <c r="AY25" s="83">
        <f t="shared" ref="AY25" si="69">AI25</f>
        <v>23</v>
      </c>
      <c r="AZ25" s="83">
        <f t="shared" ref="AZ25" si="70">AJ25</f>
        <v>0</v>
      </c>
      <c r="BA25" s="52"/>
      <c r="BB25" s="52"/>
      <c r="BC25" s="52"/>
      <c r="BD25" s="52"/>
      <c r="BE25" s="52"/>
      <c r="BF25" s="52"/>
      <c r="BG25" s="52"/>
      <c r="BH25" s="52"/>
      <c r="BI25" s="68" cm="1">
        <f t="array" ref="BI25">IFERROR(INDEX(AW25:BH25,1,MATCH(2,1/(AW25:BH25&lt;&gt;""))),"")</f>
        <v>0</v>
      </c>
      <c r="BJ25" s="68" cm="1">
        <f t="array" ref="BJ25">IF(BM25 = "", "",IFERROR(INDEX(AW25:BH25,1,MATCH(2,1/(AW25:BH25&lt;&gt;""),1)-1),""))</f>
        <v>23</v>
      </c>
      <c r="BK25" s="59">
        <f>SUM(AW25:BH25)</f>
        <v>23</v>
      </c>
      <c r="BL25" s="59" cm="1">
        <f t="array" ref="BL25">IFERROR(SUM(AW25:INDEX(AW25:BH25, MATCH(2, 1/(AW25:BH25&lt;&gt;""), 1) - 1))/_xlfn.XLOOKUP(F25,Apuração!A:A,Apuração!B:B),0)</f>
        <v>2.2999999999999998</v>
      </c>
      <c r="BM25" s="55" cm="1">
        <f t="array" ref="BM25">IFERROR(
   INDEX($AW$1:$BH$1,
      _xlfn.AGGREGATE(14, 6, COLUMN($AW$1:$BH$1)/(AW25:BH25&lt;&gt;""), 2) - COLUMN($AW$1) + 1
   ),
"")</f>
        <v>46082</v>
      </c>
      <c r="BN25" s="55" cm="1">
        <f t="array" ref="BN25">IFERROR(INDEX($AW$1:$BH$1,1,MATCH(2,1/(AW25:BH25&lt;&gt;""))),"")</f>
        <v>46113</v>
      </c>
      <c r="BO25" s="53">
        <f ca="1">IFERROR(_xlfn.XLOOKUP(F25,Apuração!A:A,Apuração!C:C)/_xlfn.XLOOKUP(F25,Apuração!A:A,Apuração!B:B),0)</f>
        <v>0.3</v>
      </c>
      <c r="BP25" s="53">
        <f ca="1">IFERROR(_xlfn.XLOOKUP(F25,Apuração!A:A,Apuração!D:D)/_xlfn.XLOOKUP(F25,Apuração!A:A,Apuração!B:B),0)</f>
        <v>0.2</v>
      </c>
      <c r="BQ25" s="53">
        <f ca="1">IF(BK25&gt;=BO25,0,_xlfn.XLOOKUP(F25,Apuração!A:A,Apuração!B:B)*(BO25 + (1/_xlfn.XLOOKUP(F25,Apuração!A:A,Apuração!B:B)) - BK25))</f>
        <v>0</v>
      </c>
      <c r="BR25" s="85">
        <f t="shared" ca="1" si="2"/>
        <v>0</v>
      </c>
      <c r="BS25" s="53">
        <f ca="1">IFERROR((_xlfn.XLOOKUP(F25,Apuração!A:A,Apuração!C:C)+1)/_xlfn.XLOOKUP(F25,Apuração!A:A,Apuração!B:B),0)</f>
        <v>0.4</v>
      </c>
    </row>
    <row r="26" spans="1:71" ht="25.95" hidden="1" customHeight="1" x14ac:dyDescent="0.3">
      <c r="A26" s="39" t="s">
        <v>33</v>
      </c>
      <c r="B26" s="4" t="s">
        <v>70</v>
      </c>
      <c r="C26" s="5" t="s">
        <v>35</v>
      </c>
      <c r="D26" s="5" t="s">
        <v>47</v>
      </c>
      <c r="E26" s="4" t="str" cm="1">
        <f t="array" ref="E26">_xlfn.IFS(
F26 = "A partir de Abril", "Aguardando Execução na Distribuidora",
A26 = "CAPACITAÇÃO", "Em execução no Corporativo",
TRUE, "Em Execução na Distribuidora"
)</f>
        <v>Em Execução na Distribuidora</v>
      </c>
      <c r="F26" s="4" t="str" cm="1">
        <f t="array" ref="F26">_xlfn.IFS(
AG26 &lt;&gt; "", "Jan-Dez/26",
AH26 &lt;&gt; "", "Fev-Dez/26",
AI26 &lt;&gt; "", "Mar-Dez/26", AJ26 &lt;&gt; "", "Abr-Dez/26",
TRUE, "A partir de Junho"
)</f>
        <v>Mar-Dez/26</v>
      </c>
      <c r="G26" s="4" t="s">
        <v>37</v>
      </c>
      <c r="H26" s="7" t="s">
        <v>38</v>
      </c>
      <c r="I26" s="8" t="s">
        <v>59</v>
      </c>
      <c r="J26" s="8" t="str" cm="1">
        <f t="array" aca="1" ref="J26" ca="1">_xlfn.LET(
  _xlpm.actual_value_month, INDEX(T26:AE26, MATCH(DATE(YEAR(TODAY()), MONTH(TODAY()), 1), $T$1:$AE$1, 0)),
  IF(_xlpm.actual_value_month &lt;&gt; "",_xlpm.actual_value_month &amp; " ações mensais", "")
)</f>
        <v/>
      </c>
      <c r="K26" s="14" t="str" cm="1">
        <f t="array" ref="K26">_xlfn.LET(
    _xlpm.sum_month, SUM(T26:AE26),
    IF(_xlpm.sum_month = 0, "", _xlpm.sum_month &amp; " pessoas impactadas no ano.")
)</f>
        <v/>
      </c>
      <c r="L26" s="9" t="s">
        <v>59</v>
      </c>
      <c r="M26" s="13">
        <v>1</v>
      </c>
      <c r="N26" s="5" t="s">
        <v>51</v>
      </c>
      <c r="O26" s="5" t="s">
        <v>52</v>
      </c>
      <c r="P26" s="10" t="s">
        <v>44</v>
      </c>
      <c r="Q26" s="10" t="s">
        <v>44</v>
      </c>
      <c r="R26" s="11" t="s">
        <v>44</v>
      </c>
      <c r="S26" s="11" t="s">
        <v>44</v>
      </c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G26" s="82"/>
      <c r="AH26" s="82"/>
      <c r="AI26" s="82">
        <v>23</v>
      </c>
      <c r="AJ26" s="82">
        <v>0</v>
      </c>
      <c r="AK26" s="71"/>
      <c r="AL26" s="71"/>
      <c r="AM26" s="71"/>
      <c r="AN26" s="71"/>
      <c r="AO26" s="71"/>
      <c r="AP26" s="71"/>
      <c r="AQ26" s="71"/>
      <c r="AR26" s="71"/>
      <c r="AS26" s="94">
        <f t="shared" ref="AS26:AS27" ca="1" si="71">IF(MONTH(TODAY())=3,SUM(T26:U26),IF(MONTH(TODAY())=4,SUM(T26:V26),IF(MONTH(TODAY())=5,SUM(T26:W26),IF(MONTH(TODAY())=6,SUM(T26:X26),IF(MONTH(TODAY())=7,SUM(T26:Y26),IF(MONTH(TODAY())=8,SUM(T26:Z26),IF(MONTH(TODAY())=9,SUM(T26:AA26),IF(MONTH(TODAY())=10,SUM(T26:AB26),IF(MONTH(TODAY())=11,SUM(T26:AC26),IF(MONTH(TODAY())=12,SUM(T26:AD26),IF(MONTH(TODAY())=1,SUM(T26:AE26),T26)))))))))))</f>
        <v>0</v>
      </c>
      <c r="AT26" s="95">
        <f t="shared" ref="AT26:AT27" si="72">SUM(AG26:AR26)</f>
        <v>23</v>
      </c>
      <c r="AU26" s="97">
        <f t="shared" ref="AU26:AU27" si="73">SUM(AG26:AR26)</f>
        <v>23</v>
      </c>
      <c r="AW26" s="83">
        <f t="shared" ref="AW26:AW27" si="74">AG26</f>
        <v>0</v>
      </c>
      <c r="AX26" s="83">
        <f t="shared" ref="AX26:AX27" si="75">AH26</f>
        <v>0</v>
      </c>
      <c r="AY26" s="83">
        <f t="shared" ref="AY26:AY27" si="76">AI26</f>
        <v>23</v>
      </c>
      <c r="AZ26" s="83">
        <f t="shared" ref="AZ26:AZ27" si="77">AJ26</f>
        <v>0</v>
      </c>
      <c r="BA26" s="52"/>
      <c r="BB26" s="52"/>
      <c r="BC26" s="52"/>
      <c r="BD26" s="52"/>
      <c r="BE26" s="52"/>
      <c r="BF26" s="52"/>
      <c r="BG26" s="52"/>
      <c r="BH26" s="52"/>
      <c r="BI26" s="68" cm="1">
        <f t="array" ref="BI26">IFERROR(INDEX(AW26:BH26,1,MATCH(2,1/(AW26:BH26&lt;&gt;""))),"")</f>
        <v>0</v>
      </c>
      <c r="BJ26" s="68" cm="1">
        <f t="array" ref="BJ26">IF(BM26 = "", "",IFERROR(INDEX(AW26:BH26,1,MATCH(2,1/(AW26:BH26&lt;&gt;""),1)-1),""))</f>
        <v>23</v>
      </c>
      <c r="BK26" s="59">
        <f t="shared" ref="BK26:BK27" si="78">SUM(AW26:BH26)</f>
        <v>23</v>
      </c>
      <c r="BL26" s="59" cm="1">
        <f t="array" ref="BL26">IFERROR(SUM(AW26:INDEX(AW26:BH26, MATCH(2, 1/(AW26:BH26&lt;&gt;""), 1) - 1))/_xlfn.XLOOKUP(F26,Apuração!A:A,Apuração!B:B),0)</f>
        <v>2.2999999999999998</v>
      </c>
      <c r="BM26" s="55" cm="1">
        <f t="array" ref="BM26">IFERROR(
   INDEX($AW$1:$BH$1,
      _xlfn.AGGREGATE(14, 6, COLUMN($AW$1:$BH$1)/(AW26:BH26&lt;&gt;""), 2) - COLUMN($AW$1) + 1
   ),
"")</f>
        <v>46082</v>
      </c>
      <c r="BN26" s="55" cm="1">
        <f t="array" ref="BN26">IFERROR(INDEX($AW$1:$BH$1,1,MATCH(2,1/(AW26:BH26&lt;&gt;""))),"")</f>
        <v>46113</v>
      </c>
      <c r="BO26" s="53">
        <f ca="1">IFERROR(_xlfn.XLOOKUP(F26,Apuração!A:A,Apuração!C:C)/_xlfn.XLOOKUP(F26,Apuração!A:A,Apuração!B:B),0)</f>
        <v>0.3</v>
      </c>
      <c r="BP26" s="53">
        <f ca="1">IFERROR(_xlfn.XLOOKUP(F26,Apuração!A:A,Apuração!D:D)/_xlfn.XLOOKUP(F26,Apuração!A:A,Apuração!B:B),0)</f>
        <v>0.2</v>
      </c>
      <c r="BQ26" s="53">
        <f ca="1">IF(BK26&gt;=BO26,0,_xlfn.XLOOKUP(F26,Apuração!A:A,Apuração!B:B)*(BO26 + (1/_xlfn.XLOOKUP(F26,Apuração!A:A,Apuração!B:B)) - BK26))</f>
        <v>0</v>
      </c>
      <c r="BR26" s="85">
        <f t="shared" ref="BR26:BR27" ca="1" si="79">IF(BQ26=0,0,BQ26*Z26)</f>
        <v>0</v>
      </c>
      <c r="BS26" s="53">
        <f ca="1">IFERROR((_xlfn.XLOOKUP(F26,Apuração!A:A,Apuração!C:C)+1)/_xlfn.XLOOKUP(F26,Apuração!A:A,Apuração!B:B),0)</f>
        <v>0.4</v>
      </c>
    </row>
    <row r="27" spans="1:71" ht="25.95" hidden="1" customHeight="1" x14ac:dyDescent="0.3">
      <c r="A27" s="39" t="s">
        <v>33</v>
      </c>
      <c r="B27" s="4" t="s">
        <v>70</v>
      </c>
      <c r="C27" s="5" t="s">
        <v>35</v>
      </c>
      <c r="D27" s="5" t="s">
        <v>48</v>
      </c>
      <c r="E27" s="4" t="str" cm="1">
        <f t="array" ref="E27">_xlfn.IFS(
F27 = "A partir de Abril", "Aguardando Execução na Distribuidora",
A27 = "CAPACITAÇÃO", "Em execução no Corporativo",
TRUE, "Em Execução na Distribuidora"
)</f>
        <v>Em Execução na Distribuidora</v>
      </c>
      <c r="F27" s="4" t="str" cm="1">
        <f t="array" ref="F27">_xlfn.IFS(
AG27 &lt;&gt; "", "Jan-Dez/26",
AH27 &lt;&gt; "", "Fev-Dez/26",
AI27 &lt;&gt; "", "Mar-Dez/26", AJ27 &lt;&gt; "", "Abr-Dez/26",
TRUE, "A partir de Junho"
)</f>
        <v>Abr-Dez/26</v>
      </c>
      <c r="G27" s="4" t="s">
        <v>37</v>
      </c>
      <c r="H27" s="7" t="s">
        <v>38</v>
      </c>
      <c r="I27" s="8" t="s">
        <v>59</v>
      </c>
      <c r="J27" s="8" t="str" cm="1">
        <f t="array" aca="1" ref="J27" ca="1">_xlfn.LET(
  _xlpm.actual_value_month, INDEX(T27:AE27, MATCH(DATE(YEAR(TODAY()), MONTH(TODAY()), 1), $T$1:$AE$1, 0)),
  IF(_xlpm.actual_value_month &lt;&gt; "",_xlpm.actual_value_month &amp; " ações mensais", "")
)</f>
        <v/>
      </c>
      <c r="K27" s="14" t="str" cm="1">
        <f t="array" ref="K27">_xlfn.LET(
    _xlpm.sum_month, SUM(T27:AE27),
    IF(_xlpm.sum_month = 0, "", _xlpm.sum_month &amp; " pessoas impactadas no ano.")
)</f>
        <v/>
      </c>
      <c r="L27" s="9" t="s">
        <v>59</v>
      </c>
      <c r="M27" s="13">
        <v>1</v>
      </c>
      <c r="N27" s="5" t="s">
        <v>51</v>
      </c>
      <c r="O27" s="5" t="s">
        <v>52</v>
      </c>
      <c r="P27" s="10" t="s">
        <v>44</v>
      </c>
      <c r="Q27" s="10" t="s">
        <v>44</v>
      </c>
      <c r="R27" s="11" t="s">
        <v>44</v>
      </c>
      <c r="S27" s="11" t="s">
        <v>44</v>
      </c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G27" s="82"/>
      <c r="AH27" s="82"/>
      <c r="AI27" s="82"/>
      <c r="AJ27" s="82">
        <v>0</v>
      </c>
      <c r="AK27" s="71"/>
      <c r="AL27" s="71"/>
      <c r="AM27" s="71"/>
      <c r="AN27" s="71"/>
      <c r="AO27" s="71"/>
      <c r="AP27" s="71"/>
      <c r="AQ27" s="71"/>
      <c r="AR27" s="71"/>
      <c r="AS27" s="94">
        <f t="shared" ca="1" si="71"/>
        <v>0</v>
      </c>
      <c r="AT27" s="95">
        <f t="shared" si="72"/>
        <v>0</v>
      </c>
      <c r="AU27" s="97">
        <f t="shared" si="73"/>
        <v>0</v>
      </c>
      <c r="AW27" s="83">
        <f t="shared" si="74"/>
        <v>0</v>
      </c>
      <c r="AX27" s="83">
        <f t="shared" si="75"/>
        <v>0</v>
      </c>
      <c r="AY27" s="83">
        <f t="shared" si="76"/>
        <v>0</v>
      </c>
      <c r="AZ27" s="83">
        <f t="shared" si="77"/>
        <v>0</v>
      </c>
      <c r="BA27" s="52"/>
      <c r="BB27" s="52"/>
      <c r="BC27" s="52"/>
      <c r="BD27" s="52"/>
      <c r="BE27" s="52"/>
      <c r="BF27" s="52"/>
      <c r="BG27" s="52"/>
      <c r="BH27" s="52"/>
      <c r="BI27" s="68" cm="1">
        <f t="array" ref="BI27">IFERROR(INDEX(AW27:BH27,1,MATCH(2,1/(AW27:BH27&lt;&gt;""))),"")</f>
        <v>0</v>
      </c>
      <c r="BJ27" s="68" cm="1">
        <f t="array" ref="BJ27">IF(BM27 = "", "",IFERROR(INDEX(AW27:BH27,1,MATCH(2,1/(AW27:BH27&lt;&gt;""),1)-1),""))</f>
        <v>0</v>
      </c>
      <c r="BK27" s="59">
        <f t="shared" si="78"/>
        <v>0</v>
      </c>
      <c r="BL27" s="59" cm="1">
        <f t="array" ref="BL27">IFERROR(SUM(AW27:INDEX(AW27:BH27, MATCH(2, 1/(AW27:BH27&lt;&gt;""), 1) - 1))/_xlfn.XLOOKUP(F27,Apuração!A:A,Apuração!B:B),0)</f>
        <v>0</v>
      </c>
      <c r="BM27" s="55" cm="1">
        <f t="array" ref="BM27">IFERROR(
   INDEX($AW$1:$BH$1,
      _xlfn.AGGREGATE(14, 6, COLUMN($AW$1:$BH$1)/(AW27:BH27&lt;&gt;""), 2) - COLUMN($AW$1) + 1
   ),
"")</f>
        <v>46082</v>
      </c>
      <c r="BN27" s="55" cm="1">
        <f t="array" ref="BN27">IFERROR(INDEX($AW$1:$BH$1,1,MATCH(2,1/(AW27:BH27&lt;&gt;""))),"")</f>
        <v>46113</v>
      </c>
      <c r="BO27" s="53">
        <f ca="1">IFERROR(_xlfn.XLOOKUP(F27,Apuração!A:A,Apuração!C:C)/_xlfn.XLOOKUP(F27,Apuração!A:A,Apuração!B:B),0)</f>
        <v>0.22222222222222221</v>
      </c>
      <c r="BP27" s="53">
        <f ca="1">IFERROR(_xlfn.XLOOKUP(F27,Apuração!A:A,Apuração!D:D)/_xlfn.XLOOKUP(F27,Apuração!A:A,Apuração!B:B),0)</f>
        <v>0.1111111111111111</v>
      </c>
      <c r="BQ27" s="53">
        <f ca="1">IF(BK27&gt;=BO27,0,_xlfn.XLOOKUP(F27,Apuração!A:A,Apuração!B:B)*(BO27 + (1/_xlfn.XLOOKUP(F27,Apuração!A:A,Apuração!B:B)) - BK27))</f>
        <v>3</v>
      </c>
      <c r="BR27" s="85">
        <f t="shared" ca="1" si="79"/>
        <v>0</v>
      </c>
      <c r="BS27" s="53">
        <f ca="1">IFERROR((_xlfn.XLOOKUP(F27,Apuração!A:A,Apuração!C:C)+1)/_xlfn.XLOOKUP(F27,Apuração!A:A,Apuração!B:B),0)</f>
        <v>0.33333333333333331</v>
      </c>
    </row>
    <row r="28" spans="1:71" ht="25.95" hidden="1" customHeight="1" x14ac:dyDescent="0.3">
      <c r="A28" s="3" t="s">
        <v>33</v>
      </c>
      <c r="B28" s="4" t="s">
        <v>73</v>
      </c>
      <c r="C28" s="5" t="s">
        <v>35</v>
      </c>
      <c r="D28" s="5" t="s">
        <v>36</v>
      </c>
      <c r="E28" s="4" t="str" cm="1">
        <f t="array" ref="E28">_xlfn.IFS(
F28 = "A partir de Abril", "Aguardando Execução na Distribuidora",
A28 = "CAPACITAÇÃO", "Em execução no Corporativo",
TRUE, "Em Execução na Distribuidora"
)</f>
        <v>Em Execução na Distribuidora</v>
      </c>
      <c r="F28" s="4" t="str" cm="1">
        <f t="array" ref="F28">_xlfn.IFS(
AG28 &lt;&gt; "", "Jan-Dez/26",
AH28 &lt;&gt; "", "Fev-Dez/26",
AI28 &lt;&gt; "", "Mar-Dez/26", AJ28 &lt;&gt; "", "Abr-Dez/26",
TRUE, "A partir de Junho"
)</f>
        <v>Fev-Dez/26</v>
      </c>
      <c r="G28" s="4" t="s">
        <v>37</v>
      </c>
      <c r="H28" s="7" t="s">
        <v>54</v>
      </c>
      <c r="I28" s="8" t="s">
        <v>55</v>
      </c>
      <c r="J28" s="8" t="str" cm="1">
        <f t="array" aca="1" ref="J28" ca="1">_xlfn.LET(
  _xlpm.actual_value_month, INDEX(T28:AE28, MATCH(DATE(YEAR(TODAY()), MONTH(TODAY()), 1), $T$1:$AE$1, 0)),
  IF(_xlpm.actual_value_month &lt;&gt; "",_xlpm.actual_value_month &amp; " eventos mensais", "")
)</f>
        <v>4 eventos mensais</v>
      </c>
      <c r="K28" s="14" t="str" cm="1">
        <f t="array" ref="K28">_xlfn.LET(
    _xlpm.sum_month, SUM(T28:AE28),
    IF(_xlpm.sum_month = 0, "", _xlpm.sum_month &amp; "  eventos no ano")
)</f>
        <v>34  eventos no ano</v>
      </c>
      <c r="L28" s="9" t="s">
        <v>64</v>
      </c>
      <c r="M28" s="13" t="s">
        <v>74</v>
      </c>
      <c r="N28" s="5" t="s">
        <v>42</v>
      </c>
      <c r="O28" s="5" t="s">
        <v>43</v>
      </c>
      <c r="P28" s="10" t="s">
        <v>44</v>
      </c>
      <c r="Q28" s="10" t="s">
        <v>75</v>
      </c>
      <c r="R28" s="11" t="s">
        <v>44</v>
      </c>
      <c r="S28" s="11" t="s">
        <v>44</v>
      </c>
      <c r="T28" s="143"/>
      <c r="U28" s="143">
        <v>4</v>
      </c>
      <c r="V28" s="143">
        <v>2</v>
      </c>
      <c r="W28" s="143">
        <v>4</v>
      </c>
      <c r="X28" s="143">
        <v>4</v>
      </c>
      <c r="Y28" s="143">
        <v>4</v>
      </c>
      <c r="Z28" s="143"/>
      <c r="AA28" s="143">
        <v>4</v>
      </c>
      <c r="AB28" s="143">
        <v>4</v>
      </c>
      <c r="AC28" s="143">
        <v>4</v>
      </c>
      <c r="AD28" s="143">
        <v>4</v>
      </c>
      <c r="AE28" s="143"/>
      <c r="AG28" s="71"/>
      <c r="AH28" s="71">
        <v>4</v>
      </c>
      <c r="AI28" s="71">
        <v>2</v>
      </c>
      <c r="AJ28" s="71">
        <v>9</v>
      </c>
      <c r="AK28" s="71"/>
      <c r="AL28" s="71"/>
      <c r="AM28" s="71"/>
      <c r="AN28" s="71"/>
      <c r="AO28" s="71"/>
      <c r="AP28" s="71"/>
      <c r="AQ28" s="71"/>
      <c r="AR28" s="71"/>
      <c r="AS28" s="94">
        <f t="shared" ca="1" si="13"/>
        <v>14</v>
      </c>
      <c r="AT28" s="95">
        <f>SUM(IF(AW28&lt;1.15,AG28,1.15*T28),IF(AX28&lt;1.15,AH28,1.15*U28),IF(AY28&lt;1.15,AI28,1.15*V28),IF(AZ28&lt;1.15,AJ28,1.15*W28),IF(BA28&lt;1.15,AK28,1.15*X28),IF(BB28&lt;1.15,AL28,1.15*Y28),IF(BC28&lt;1.15,AM28,1.15*Z28),IF(BD28&lt;1.15,AN28,1.15*AA28),IF(BE28&lt;1.15,AO28,1.15*AB28),IF(BF28&lt;1.15,AP28,1.15*AC28),IF(BG28&lt;1.15,AQ28,1.15*AD28),IF(BH28&lt;1.15,AR28,1.15*AE28))</f>
        <v>10.6</v>
      </c>
      <c r="AU28" s="97">
        <f t="shared" si="14"/>
        <v>15</v>
      </c>
      <c r="AW28" s="51">
        <f>IFERROR(IF(AG28="",0,AG28/T28),0)</f>
        <v>0</v>
      </c>
      <c r="AX28" s="51">
        <f>IFERROR(IF(AH28="",0,AH28/U28),0)</f>
        <v>1</v>
      </c>
      <c r="AY28" s="51">
        <f>IFERROR(IF(AI28="",0,AI28/V28),0)</f>
        <v>1</v>
      </c>
      <c r="AZ28" s="51">
        <f>IFERROR(IF(AJ28="",0,AJ28/W28),0)</f>
        <v>2.25</v>
      </c>
      <c r="BA28" s="51"/>
      <c r="BB28" s="51"/>
      <c r="BC28" s="51"/>
      <c r="BD28" s="51"/>
      <c r="BE28" s="51"/>
      <c r="BF28" s="51"/>
      <c r="BG28" s="51"/>
      <c r="BH28" s="51"/>
      <c r="BI28" s="65" cm="1">
        <f t="array" ref="BI28">IFERROR(INDEX(AW28:BH28,1,MATCH(2,1/(AW28:BH28&lt;&gt;""))),"")</f>
        <v>2.25</v>
      </c>
      <c r="BJ28" s="68" cm="1">
        <f t="array" ref="BJ28">IF(BM28 = "", "",IFERROR(INDEX(AW28:BH28,1,MATCH(2,1/(AW28:BH28&lt;&gt;""),1)-1),""))</f>
        <v>1</v>
      </c>
      <c r="BK28" s="58">
        <f>IF((IF(AW28&gt;=115%,115%,AW28) + IF(AX28&gt;=115%,115%,AX28) + IF(AY28&gt;=115%,115%,AY28) + (IF(AZ28&gt;=115%,115%,AZ28) + IF(BA28&gt;=115%,115%,BA28) + IF(BB28&gt;=115%,115%,BB28) + IF(BC28&gt;=115%,115%,BC28) + IF(BD28&gt;=115%,115%,BD28) + IF(BE28&gt;=115%,115%,BE28) + IF(BF28&gt;=115%,115%,BF28) + IF(BG28&gt;=115%,115%,BG28) + IF(BH28&gt;=115%,115%,BH28)))/_xlfn.XLOOKUP(F28,Apuração!A:A,Apuração!B:B)&gt;=1.15,1.15,((IF(AZ28&gt;=115%,115%,AZ28) + IF(AX28&gt;=115%,115%,AX28) + IF(AY28&gt;=115%,115%,AY28) + (IF(AW28&gt;=115%,115%,AW28) + IF(BA28&gt;=115%,115%,BA28) + IF(BB28&gt;=115%,115%,BB28) + IF(BC28&gt;=115%,115%,BC28) + IF(BD28&gt;=115%,115%,BD28) + IF(BE28&gt;=115%,115%,BE28) + IF(BF28&gt;=115%,115%,BF28) + IF(BG28&gt;=115%,115%,BG28) + IF(BH28&gt;=115%,115%,BH28)))/_xlfn.XLOOKUP(F28,Apuração!A:A,Apuração!B:B)))</f>
        <v>0.28636363636363638</v>
      </c>
      <c r="BL28" s="58" cm="1">
        <f t="array" aca="1" ref="BL28" ca="1">IF(SUM(IFERROR(IF(INDEX(AW28:INDEX(AW28:BH28, MATCH(2, 1/(AW28:BH28&lt;&gt;""), 1)-1), ROW(INDIRECT("1:" &amp; MATCH(2, 1/(AW28:BH28&lt;&gt;""), 1)-1))) &gt;= 115%, 115%, INDEX(AW28:INDEX(AW28:BH28, MATCH(2, 1/(AW28:BH28&lt;&gt;""), 1)-1), ROW(INDIRECT("1:" &amp; MATCH(2, 1/(AW28:BH28&lt;&gt;""), 1)-1)))), 0))/_xlfn.XLOOKUP(F28,Apuração!A:A,Apuração!B:B)&gt;=1.15,1.15,SUM(IFERROR(IF(INDEX(AW28:INDEX(AW28:BH28, MATCH(2, 1/(AW28:BH28&lt;&gt;""), 1)-1), ROW(INDIRECT("1:" &amp; MATCH(2, 1/(AW28:BH28&lt;&gt;""), 1)-1))) &gt;= 115%, 115%, INDEX(AW28:INDEX(AW28:BH28, MATCH(2, 1/(AW28:BH28&lt;&gt;""), 1)-1), ROW(INDIRECT("1:" &amp; MATCH(2, 1/(AW28:BH28&lt;&gt;""), 1)-1)))), 0))/_xlfn.XLOOKUP(F28,Apuração!A:A,Apuração!B:B))</f>
        <v>0.18181818181818182</v>
      </c>
      <c r="BM28" s="55" cm="1">
        <f t="array" ref="BM28">IFERROR(
   INDEX($AW$1:$BH$1,
      _xlfn.AGGREGATE(14, 6, COLUMN($AW$1:$BH$1)/(AW28:BH28&lt;&gt;""), 2) - COLUMN($AW$1) + 1
   ),
"")</f>
        <v>46082</v>
      </c>
      <c r="BN28" s="55" cm="1">
        <f t="array" ref="BN28">IFERROR(INDEX($AW$1:$BH$1,1,MATCH(2,1/(AW28:BH28&lt;&gt;""))),"")</f>
        <v>46113</v>
      </c>
      <c r="BO28" s="53">
        <f ca="1">IFERROR(_xlfn.XLOOKUP(F28,Apuração!A:A,Apuração!C:C)/_xlfn.XLOOKUP(F28,Apuração!A:A,Apuração!B:B),0)</f>
        <v>0.36363636363636365</v>
      </c>
      <c r="BP28" s="53">
        <f ca="1">IFERROR(_xlfn.XLOOKUP(F28,Apuração!A:A,Apuração!D:D)/_xlfn.XLOOKUP(F28,Apuração!A:A,Apuração!B:B),0)</f>
        <v>0.27272727272727271</v>
      </c>
      <c r="BQ28" s="53">
        <f ca="1">IF(BK28&gt;=BO28,0,_xlfn.XLOOKUP(F28,Apuração!A:A,Apuração!B:B)*(BO28 + (1/_xlfn.XLOOKUP(F28,Apuração!A:A,Apuração!B:B)) - BK28))</f>
        <v>1.8500000000000003</v>
      </c>
      <c r="BR28" s="85">
        <f t="shared" ca="1" si="2"/>
        <v>0</v>
      </c>
      <c r="BS28" s="53">
        <f ca="1">IFERROR((_xlfn.XLOOKUP(F28,Apuração!A:A,Apuração!C:C)+1)/_xlfn.XLOOKUP(F28,Apuração!A:A,Apuração!B:B),0)</f>
        <v>0.45454545454545453</v>
      </c>
    </row>
    <row r="29" spans="1:71" ht="25.95" hidden="1" customHeight="1" x14ac:dyDescent="0.3">
      <c r="A29" s="3" t="s">
        <v>33</v>
      </c>
      <c r="B29" s="4" t="s">
        <v>73</v>
      </c>
      <c r="C29" s="5" t="s">
        <v>35</v>
      </c>
      <c r="D29" s="5" t="s">
        <v>47</v>
      </c>
      <c r="E29" s="4" t="str" cm="1">
        <f t="array" ref="E29">_xlfn.IFS(
F29 = "A partir de Abril", "Aguardando Execução na Distribuidora",
A29 = "CAPACITAÇÃO", "Em execução no Corporativo",
TRUE, "Em Execução na Distribuidora"
)</f>
        <v>Em Execução na Distribuidora</v>
      </c>
      <c r="F29" s="4" t="str" cm="1">
        <f t="array" ref="F29">_xlfn.IFS(
AG29 &lt;&gt; "", "Jan-Dez/26",
AH29 &lt;&gt; "", "Fev-Dez/26",
AI29 &lt;&gt; "", "Mar-Dez/26", AJ29 &lt;&gt; "", "Abr-Dez/26",
TRUE, "A partir de Junho"
)</f>
        <v>Fev-Dez/26</v>
      </c>
      <c r="G29" s="4" t="s">
        <v>37</v>
      </c>
      <c r="H29" s="7" t="s">
        <v>54</v>
      </c>
      <c r="I29" s="8" t="s">
        <v>55</v>
      </c>
      <c r="J29" s="8" t="str" cm="1">
        <f t="array" aca="1" ref="J29" ca="1">_xlfn.LET(
  _xlpm.actual_value_month, INDEX(T29:AE29, MATCH(DATE(YEAR(TODAY()), MONTH(TODAY()), 1), $T$1:$AE$1, 0)),
  IF(_xlpm.actual_value_month &lt;&gt; "",_xlpm.actual_value_month &amp; " eventos mensais", "")
)</f>
        <v>2 eventos mensais</v>
      </c>
      <c r="K29" s="14" t="str" cm="1">
        <f t="array" ref="K29">_xlfn.LET(
    _xlpm.sum_month, SUM(T29:AE29),
    IF(_xlpm.sum_month = 0, "", _xlpm.sum_month &amp; "  eventos no ano")
)</f>
        <v>22  eventos no ano</v>
      </c>
      <c r="L29" s="9" t="s">
        <v>64</v>
      </c>
      <c r="M29" s="13" t="s">
        <v>74</v>
      </c>
      <c r="N29" s="5" t="s">
        <v>42</v>
      </c>
      <c r="O29" s="5" t="s">
        <v>43</v>
      </c>
      <c r="P29" s="10" t="s">
        <v>44</v>
      </c>
      <c r="Q29" s="10" t="s">
        <v>75</v>
      </c>
      <c r="R29" s="11" t="s">
        <v>44</v>
      </c>
      <c r="S29" s="11" t="s">
        <v>44</v>
      </c>
      <c r="T29" s="143"/>
      <c r="U29" s="143">
        <v>3</v>
      </c>
      <c r="V29" s="143">
        <v>1</v>
      </c>
      <c r="W29" s="143">
        <v>2</v>
      </c>
      <c r="X29" s="143">
        <v>2</v>
      </c>
      <c r="Y29" s="143">
        <v>2</v>
      </c>
      <c r="Z29" s="143">
        <v>2</v>
      </c>
      <c r="AA29" s="143">
        <v>2</v>
      </c>
      <c r="AB29" s="143">
        <v>2</v>
      </c>
      <c r="AC29" s="143">
        <v>2</v>
      </c>
      <c r="AD29" s="143">
        <v>2</v>
      </c>
      <c r="AE29" s="143">
        <v>2</v>
      </c>
      <c r="AG29" s="82"/>
      <c r="AH29" s="82">
        <v>3</v>
      </c>
      <c r="AI29" s="82">
        <v>1</v>
      </c>
      <c r="AJ29" s="145">
        <v>0</v>
      </c>
      <c r="AK29" s="71"/>
      <c r="AL29" s="71"/>
      <c r="AM29" s="71"/>
      <c r="AN29" s="71"/>
      <c r="AO29" s="71"/>
      <c r="AP29" s="71"/>
      <c r="AQ29" s="71"/>
      <c r="AR29" s="71"/>
      <c r="AS29" s="94">
        <f t="shared" ref="AS29:AS30" ca="1" si="80">IF(MONTH(TODAY())=3,SUM(T29:U29),IF(MONTH(TODAY())=4,SUM(T29:V29),IF(MONTH(TODAY())=5,SUM(T29:W29),IF(MONTH(TODAY())=6,SUM(T29:X29),IF(MONTH(TODAY())=7,SUM(T29:Y29),IF(MONTH(TODAY())=8,SUM(T29:Z29),IF(MONTH(TODAY())=9,SUM(T29:AA29),IF(MONTH(TODAY())=10,SUM(T29:AB29),IF(MONTH(TODAY())=11,SUM(T29:AC29),IF(MONTH(TODAY())=12,SUM(T29:AD29),IF(MONTH(TODAY())=1,SUM(T29:AE29),T29)))))))))))</f>
        <v>8</v>
      </c>
      <c r="AT29" s="95">
        <f t="shared" ref="AT29:AT30" si="81">SUM(IF(AW29&lt;1.15,AG29,1.15*T29),IF(AX29&lt;1.15,AH29,1.15*U29),IF(AY29&lt;1.15,AI29,1.15*V29),IF(AZ29&lt;1.15,AJ29,1.15*W29),IF(BA29&lt;1.15,AK29,1.15*X29),IF(BB29&lt;1.15,AL29,1.15*Y29),IF(BC29&lt;1.15,AM29,1.15*Z29),IF(BD29&lt;1.15,AN29,1.15*AA29),IF(BE29&lt;1.15,AO29,1.15*AB29),IF(BF29&lt;1.15,AP29,1.15*AC29),IF(BG29&lt;1.15,AQ29,1.15*AD29),IF(BH29&lt;1.15,AR29,1.15*AE29))</f>
        <v>4</v>
      </c>
      <c r="AU29" s="97">
        <f t="shared" ref="AU29:AU30" si="82">SUM(AG29:AR29)</f>
        <v>4</v>
      </c>
      <c r="AW29" s="51">
        <f t="shared" ref="AW29:AW30" si="83">IFERROR(IF(AG29="",0,AG29/T29),0)</f>
        <v>0</v>
      </c>
      <c r="AX29" s="51">
        <f t="shared" ref="AX29:AX30" si="84">IFERROR(IF(AH29="",0,AH29/U29),0)</f>
        <v>1</v>
      </c>
      <c r="AY29" s="51">
        <f t="shared" ref="AY29:AY30" si="85">IFERROR(IF(AI29="",0,AI29/V29),0)</f>
        <v>1</v>
      </c>
      <c r="AZ29" s="51">
        <f t="shared" ref="AZ29:AZ30" si="86">IFERROR(IF(AJ29="",0,AJ29/W29),0)</f>
        <v>0</v>
      </c>
      <c r="BA29" s="51"/>
      <c r="BB29" s="51"/>
      <c r="BC29" s="51"/>
      <c r="BD29" s="51"/>
      <c r="BE29" s="51"/>
      <c r="BF29" s="51"/>
      <c r="BG29" s="51"/>
      <c r="BH29" s="51"/>
      <c r="BI29" s="65" cm="1">
        <f t="array" ref="BI29">IFERROR(INDEX(AW29:BH29,1,MATCH(2,1/(AW29:BH29&lt;&gt;""))),"")</f>
        <v>0</v>
      </c>
      <c r="BJ29" s="68" cm="1">
        <f t="array" ref="BJ29">IF(BM29 = "", "",IFERROR(INDEX(AW29:BH29,1,MATCH(2,1/(AW29:BH29&lt;&gt;""),1)-1),""))</f>
        <v>1</v>
      </c>
      <c r="BK29" s="58">
        <f>IF((IF(AW29&gt;=115%,115%,AW29) + IF(AX29&gt;=115%,115%,AX29) + IF(AY29&gt;=115%,115%,AY29) + (IF(AZ29&gt;=115%,115%,AZ29) + IF(BA29&gt;=115%,115%,BA29) + IF(BB29&gt;=115%,115%,BB29) + IF(BC29&gt;=115%,115%,BC29) + IF(BD29&gt;=115%,115%,BD29) + IF(BE29&gt;=115%,115%,BE29) + IF(BF29&gt;=115%,115%,BF29) + IF(BG29&gt;=115%,115%,BG29) + IF(BH29&gt;=115%,115%,BH29)))/_xlfn.XLOOKUP(F29,Apuração!A:A,Apuração!B:B)&gt;=1.15,1.15,((IF(AZ29&gt;=115%,115%,AZ29) + IF(AX29&gt;=115%,115%,AX29) + IF(AY29&gt;=115%,115%,AY29) + (IF(AW29&gt;=115%,115%,AW29) + IF(BA29&gt;=115%,115%,BA29) + IF(BB29&gt;=115%,115%,BB29) + IF(BC29&gt;=115%,115%,BC29) + IF(BD29&gt;=115%,115%,BD29) + IF(BE29&gt;=115%,115%,BE29) + IF(BF29&gt;=115%,115%,BF29) + IF(BG29&gt;=115%,115%,BG29) + IF(BH29&gt;=115%,115%,BH29)))/_xlfn.XLOOKUP(F29,Apuração!A:A,Apuração!B:B)))</f>
        <v>0.18181818181818182</v>
      </c>
      <c r="BL29" s="58" cm="1">
        <f t="array" aca="1" ref="BL29" ca="1">IF(SUM(IFERROR(IF(INDEX(AW29:INDEX(AW29:BH29, MATCH(2, 1/(AW29:BH29&lt;&gt;""), 1)-1), ROW(INDIRECT("1:" &amp; MATCH(2, 1/(AW29:BH29&lt;&gt;""), 1)-1))) &gt;= 115%, 115%, INDEX(AW29:INDEX(AW29:BH29, MATCH(2, 1/(AW29:BH29&lt;&gt;""), 1)-1), ROW(INDIRECT("1:" &amp; MATCH(2, 1/(AW29:BH29&lt;&gt;""), 1)-1)))), 0))/_xlfn.XLOOKUP(F29,Apuração!A:A,Apuração!B:B)&gt;=1.15,1.15,SUM(IFERROR(IF(INDEX(AW29:INDEX(AW29:BH29, MATCH(2, 1/(AW29:BH29&lt;&gt;""), 1)-1), ROW(INDIRECT("1:" &amp; MATCH(2, 1/(AW29:BH29&lt;&gt;""), 1)-1))) &gt;= 115%, 115%, INDEX(AW29:INDEX(AW29:BH29, MATCH(2, 1/(AW29:BH29&lt;&gt;""), 1)-1), ROW(INDIRECT("1:" &amp; MATCH(2, 1/(AW29:BH29&lt;&gt;""), 1)-1)))), 0))/_xlfn.XLOOKUP(F29,Apuração!A:A,Apuração!B:B))</f>
        <v>0.18181818181818182</v>
      </c>
      <c r="BM29" s="55" cm="1">
        <f t="array" ref="BM29">IFERROR(
   INDEX($AW$1:$BH$1,
      _xlfn.AGGREGATE(14, 6, COLUMN($AW$1:$BH$1)/(AW29:BH29&lt;&gt;""), 2) - COLUMN($AW$1) + 1
   ),
"")</f>
        <v>46082</v>
      </c>
      <c r="BN29" s="55" cm="1">
        <f t="array" ref="BN29">IFERROR(INDEX($AW$1:$BH$1,1,MATCH(2,1/(AW29:BH29&lt;&gt;""))),"")</f>
        <v>46113</v>
      </c>
      <c r="BO29" s="53">
        <f ca="1">IFERROR(_xlfn.XLOOKUP(F29,Apuração!A:A,Apuração!C:C)/_xlfn.XLOOKUP(F29,Apuração!A:A,Apuração!B:B),0)</f>
        <v>0.36363636363636365</v>
      </c>
      <c r="BP29" s="53">
        <f ca="1">IFERROR(_xlfn.XLOOKUP(F29,Apuração!A:A,Apuração!D:D)/_xlfn.XLOOKUP(F29,Apuração!A:A,Apuração!B:B),0)</f>
        <v>0.27272727272727271</v>
      </c>
      <c r="BQ29" s="53">
        <f ca="1">IF(BK29&gt;=BO29,0,_xlfn.XLOOKUP(F29,Apuração!A:A,Apuração!B:B)*(BO29 + (1/_xlfn.XLOOKUP(F29,Apuração!A:A,Apuração!B:B)) - BK29))</f>
        <v>3.0000000000000004</v>
      </c>
      <c r="BR29" s="85">
        <f t="shared" ref="BR29:BR30" ca="1" si="87">IF(BQ29=0,0,BQ29*Z29)</f>
        <v>6.0000000000000009</v>
      </c>
      <c r="BS29" s="53">
        <f ca="1">IFERROR((_xlfn.XLOOKUP(F29,Apuração!A:A,Apuração!C:C)+1)/_xlfn.XLOOKUP(F29,Apuração!A:A,Apuração!B:B),0)</f>
        <v>0.45454545454545453</v>
      </c>
    </row>
    <row r="30" spans="1:71" ht="25.95" hidden="1" customHeight="1" x14ac:dyDescent="0.3">
      <c r="A30" s="3" t="s">
        <v>33</v>
      </c>
      <c r="B30" s="4" t="s">
        <v>73</v>
      </c>
      <c r="C30" s="5" t="s">
        <v>35</v>
      </c>
      <c r="D30" s="5" t="s">
        <v>48</v>
      </c>
      <c r="E30" s="4" t="str" cm="1">
        <f t="array" ref="E30">_xlfn.IFS(
F30 = "A partir de Abril", "Aguardando Execução na Distribuidora",
A30 = "CAPACITAÇÃO", "Em execução no Corporativo",
TRUE, "Em Execução na Distribuidora"
)</f>
        <v>Em Execução na Distribuidora</v>
      </c>
      <c r="F30" s="4" t="str" cm="1">
        <f t="array" ref="F30">_xlfn.IFS(
AG30 &lt;&gt; "", "Jan-Dez/26",
AH30 &lt;&gt; "", "Fev-Dez/26",
AI30 &lt;&gt; "", "Mar-Dez/26", AJ30 &lt;&gt; "", "Abr-Dez/26",
TRUE, "A partir de Junho"
)</f>
        <v>Fev-Dez/26</v>
      </c>
      <c r="G30" s="4" t="s">
        <v>37</v>
      </c>
      <c r="H30" s="7" t="s">
        <v>54</v>
      </c>
      <c r="I30" s="8" t="s">
        <v>55</v>
      </c>
      <c r="J30" s="8" t="str" cm="1">
        <f t="array" aca="1" ref="J30" ca="1">_xlfn.LET(
  _xlpm.actual_value_month, INDEX(T30:AE30, MATCH(DATE(YEAR(TODAY()), MONTH(TODAY()), 1), $T$1:$AE$1, 0)),
  IF(_xlpm.actual_value_month &lt;&gt; "",_xlpm.actual_value_month &amp; " eventos mensais", "")
)</f>
        <v>2 eventos mensais</v>
      </c>
      <c r="K30" s="14" t="str" cm="1">
        <f t="array" ref="K30">_xlfn.LET(
    _xlpm.sum_month, SUM(T30:AE30),
    IF(_xlpm.sum_month = 0, "", _xlpm.sum_month &amp; "  eventos no ano")
)</f>
        <v>20  eventos no ano</v>
      </c>
      <c r="L30" s="9" t="s">
        <v>64</v>
      </c>
      <c r="M30" s="13" t="s">
        <v>74</v>
      </c>
      <c r="N30" s="5" t="s">
        <v>42</v>
      </c>
      <c r="O30" s="5" t="s">
        <v>43</v>
      </c>
      <c r="P30" s="10" t="s">
        <v>44</v>
      </c>
      <c r="Q30" s="10" t="s">
        <v>75</v>
      </c>
      <c r="R30" s="11" t="s">
        <v>44</v>
      </c>
      <c r="S30" s="11" t="s">
        <v>44</v>
      </c>
      <c r="T30" s="143"/>
      <c r="U30" s="143">
        <v>1</v>
      </c>
      <c r="V30" s="143">
        <v>1</v>
      </c>
      <c r="W30" s="143">
        <v>2</v>
      </c>
      <c r="X30" s="143">
        <v>2</v>
      </c>
      <c r="Y30" s="143">
        <v>2</v>
      </c>
      <c r="Z30" s="143">
        <v>2</v>
      </c>
      <c r="AA30" s="143">
        <v>2</v>
      </c>
      <c r="AB30" s="143">
        <v>2</v>
      </c>
      <c r="AC30" s="143">
        <v>2</v>
      </c>
      <c r="AD30" s="143">
        <v>2</v>
      </c>
      <c r="AE30" s="143">
        <v>2</v>
      </c>
      <c r="AG30" s="82"/>
      <c r="AH30" s="82">
        <v>1</v>
      </c>
      <c r="AI30" s="82">
        <v>1</v>
      </c>
      <c r="AJ30" s="146">
        <v>9</v>
      </c>
      <c r="AK30" s="71"/>
      <c r="AL30" s="71"/>
      <c r="AM30" s="71"/>
      <c r="AN30" s="71"/>
      <c r="AO30" s="71"/>
      <c r="AP30" s="71"/>
      <c r="AQ30" s="71"/>
      <c r="AR30" s="71"/>
      <c r="AS30" s="94">
        <f t="shared" ca="1" si="80"/>
        <v>6</v>
      </c>
      <c r="AT30" s="95">
        <f t="shared" si="81"/>
        <v>4.3</v>
      </c>
      <c r="AU30" s="97">
        <f t="shared" si="82"/>
        <v>11</v>
      </c>
      <c r="AW30" s="51">
        <f t="shared" si="83"/>
        <v>0</v>
      </c>
      <c r="AX30" s="51">
        <f t="shared" si="84"/>
        <v>1</v>
      </c>
      <c r="AY30" s="51">
        <f t="shared" si="85"/>
        <v>1</v>
      </c>
      <c r="AZ30" s="51">
        <f t="shared" si="86"/>
        <v>4.5</v>
      </c>
      <c r="BA30" s="51"/>
      <c r="BB30" s="51"/>
      <c r="BC30" s="51"/>
      <c r="BD30" s="51"/>
      <c r="BE30" s="51"/>
      <c r="BF30" s="51"/>
      <c r="BG30" s="51"/>
      <c r="BH30" s="51"/>
      <c r="BI30" s="65" cm="1">
        <f t="array" ref="BI30">IFERROR(INDEX(AW30:BH30,1,MATCH(2,1/(AW30:BH30&lt;&gt;""))),"")</f>
        <v>4.5</v>
      </c>
      <c r="BJ30" s="68" cm="1">
        <f t="array" ref="BJ30">IF(BM30 = "", "",IFERROR(INDEX(AW30:BH30,1,MATCH(2,1/(AW30:BH30&lt;&gt;""),1)-1),""))</f>
        <v>1</v>
      </c>
      <c r="BK30" s="58">
        <f>IF((IF(AW30&gt;=115%,115%,AW30) + IF(AX30&gt;=115%,115%,AX30) + IF(AY30&gt;=115%,115%,AY30) + (IF(AZ30&gt;=115%,115%,AZ30) + IF(BA30&gt;=115%,115%,BA30) + IF(BB30&gt;=115%,115%,BB30) + IF(BC30&gt;=115%,115%,BC30) + IF(BD30&gt;=115%,115%,BD30) + IF(BE30&gt;=115%,115%,BE30) + IF(BF30&gt;=115%,115%,BF30) + IF(BG30&gt;=115%,115%,BG30) + IF(BH30&gt;=115%,115%,BH30)))/_xlfn.XLOOKUP(F30,Apuração!A:A,Apuração!B:B)&gt;=1.15,1.15,((IF(AZ30&gt;=115%,115%,AZ30) + IF(AX30&gt;=115%,115%,AX30) + IF(AY30&gt;=115%,115%,AY30) + (IF(AW30&gt;=115%,115%,AW30) + IF(BA30&gt;=115%,115%,BA30) + IF(BB30&gt;=115%,115%,BB30) + IF(BC30&gt;=115%,115%,BC30) + IF(BD30&gt;=115%,115%,BD30) + IF(BE30&gt;=115%,115%,BE30) + IF(BF30&gt;=115%,115%,BF30) + IF(BG30&gt;=115%,115%,BG30) + IF(BH30&gt;=115%,115%,BH30)))/_xlfn.XLOOKUP(F30,Apuração!A:A,Apuração!B:B)))</f>
        <v>0.28636363636363638</v>
      </c>
      <c r="BL30" s="58" cm="1">
        <f t="array" aca="1" ref="BL30" ca="1">IF(SUM(IFERROR(IF(INDEX(AW30:INDEX(AW30:BH30, MATCH(2, 1/(AW30:BH30&lt;&gt;""), 1)-1), ROW(INDIRECT("1:" &amp; MATCH(2, 1/(AW30:BH30&lt;&gt;""), 1)-1))) &gt;= 115%, 115%, INDEX(AW30:INDEX(AW30:BH30, MATCH(2, 1/(AW30:BH30&lt;&gt;""), 1)-1), ROW(INDIRECT("1:" &amp; MATCH(2, 1/(AW30:BH30&lt;&gt;""), 1)-1)))), 0))/_xlfn.XLOOKUP(F30,Apuração!A:A,Apuração!B:B)&gt;=1.15,1.15,SUM(IFERROR(IF(INDEX(AW30:INDEX(AW30:BH30, MATCH(2, 1/(AW30:BH30&lt;&gt;""), 1)-1), ROW(INDIRECT("1:" &amp; MATCH(2, 1/(AW30:BH30&lt;&gt;""), 1)-1))) &gt;= 115%, 115%, INDEX(AW30:INDEX(AW30:BH30, MATCH(2, 1/(AW30:BH30&lt;&gt;""), 1)-1), ROW(INDIRECT("1:" &amp; MATCH(2, 1/(AW30:BH30&lt;&gt;""), 1)-1)))), 0))/_xlfn.XLOOKUP(F30,Apuração!A:A,Apuração!B:B))</f>
        <v>0.18181818181818182</v>
      </c>
      <c r="BM30" s="55" cm="1">
        <f t="array" ref="BM30">IFERROR(
   INDEX($AW$1:$BH$1,
      _xlfn.AGGREGATE(14, 6, COLUMN($AW$1:$BH$1)/(AW30:BH30&lt;&gt;""), 2) - COLUMN($AW$1) + 1
   ),
"")</f>
        <v>46082</v>
      </c>
      <c r="BN30" s="55" cm="1">
        <f t="array" ref="BN30">IFERROR(INDEX($AW$1:$BH$1,1,MATCH(2,1/(AW30:BH30&lt;&gt;""))),"")</f>
        <v>46113</v>
      </c>
      <c r="BO30" s="53">
        <f ca="1">IFERROR(_xlfn.XLOOKUP(F30,Apuração!A:A,Apuração!C:C)/_xlfn.XLOOKUP(F30,Apuração!A:A,Apuração!B:B),0)</f>
        <v>0.36363636363636365</v>
      </c>
      <c r="BP30" s="53">
        <f ca="1">IFERROR(_xlfn.XLOOKUP(F30,Apuração!A:A,Apuração!D:D)/_xlfn.XLOOKUP(F30,Apuração!A:A,Apuração!B:B),0)</f>
        <v>0.27272727272727271</v>
      </c>
      <c r="BQ30" s="53">
        <f ca="1">IF(BK30&gt;=BO30,0,_xlfn.XLOOKUP(F30,Apuração!A:A,Apuração!B:B)*(BO30 + (1/_xlfn.XLOOKUP(F30,Apuração!A:A,Apuração!B:B)) - BK30))</f>
        <v>1.8500000000000003</v>
      </c>
      <c r="BR30" s="85">
        <f t="shared" ca="1" si="87"/>
        <v>3.7000000000000006</v>
      </c>
      <c r="BS30" s="53">
        <f ca="1">IFERROR((_xlfn.XLOOKUP(F30,Apuração!A:A,Apuração!C:C)+1)/_xlfn.XLOOKUP(F30,Apuração!A:A,Apuração!B:B),0)</f>
        <v>0.45454545454545453</v>
      </c>
    </row>
    <row r="31" spans="1:71" ht="25.95" hidden="1" customHeight="1" x14ac:dyDescent="0.3">
      <c r="A31" s="39" t="s">
        <v>33</v>
      </c>
      <c r="B31" s="4" t="s">
        <v>73</v>
      </c>
      <c r="C31" s="5" t="s">
        <v>35</v>
      </c>
      <c r="D31" s="5" t="s">
        <v>36</v>
      </c>
      <c r="E31" s="4" t="str" cm="1">
        <f t="array" ref="E31">_xlfn.IFS(
F31 = "A partir de Abril", "Aguardando Execução na Distribuidora",
A31 = "CAPACITAÇÃO", "Em execução no Corporativo",
TRUE, "Em Execução na Distribuidora"
)</f>
        <v>Em Execução na Distribuidora</v>
      </c>
      <c r="F31" s="4" t="str" cm="1">
        <f t="array" ref="F31">_xlfn.IFS(
AG31 &lt;&gt; "", "Jan-Dez/26",
AH31 &lt;&gt; "", "Fev-Dez/26",
AI31 &lt;&gt; "", "Mar-Dez/26", AJ31 &lt;&gt; "", "Abr-Dez/26",
TRUE, "A partir de Junho"
)</f>
        <v>Fev-Dez/26</v>
      </c>
      <c r="G31" s="4" t="s">
        <v>37</v>
      </c>
      <c r="H31" s="7" t="s">
        <v>54</v>
      </c>
      <c r="I31" s="9" t="s">
        <v>76</v>
      </c>
      <c r="J31" s="8" t="str" cm="1">
        <f t="array" aca="1" ref="J31" ca="1">_xlfn.LET(
  _xlpm.actual_value_month, INDEX(T31:AE31, MATCH(DATE(YEAR(TODAY()), MONTH(TODAY()), 1), $T$1:$AE$1, 0)),
  IF(_xlpm.actual_value_month &lt;&gt; "",_xlpm.actual_value_month &amp; " ações mensais", "")
)</f>
        <v/>
      </c>
      <c r="K31" s="14" t="str" cm="1">
        <f t="array" ref="K31">_xlfn.LET(
    _xlpm.sum_month, SUM(T31:AE31),
    IF(_xlpm.sum_month = 0, "", _xlpm.sum_month &amp; " pessoas impactadas no ano.")
)</f>
        <v/>
      </c>
      <c r="L31" s="9" t="s">
        <v>76</v>
      </c>
      <c r="M31" s="13">
        <v>1</v>
      </c>
      <c r="N31" s="5" t="s">
        <v>51</v>
      </c>
      <c r="O31" s="5" t="s">
        <v>52</v>
      </c>
      <c r="P31" s="10" t="s">
        <v>44</v>
      </c>
      <c r="Q31" s="10" t="s">
        <v>44</v>
      </c>
      <c r="R31" s="11" t="s">
        <v>44</v>
      </c>
      <c r="S31" s="11" t="s">
        <v>44</v>
      </c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G31" s="71"/>
      <c r="AH31" s="71">
        <v>130</v>
      </c>
      <c r="AI31" s="71">
        <v>59</v>
      </c>
      <c r="AJ31" s="71">
        <v>445</v>
      </c>
      <c r="AK31" s="71"/>
      <c r="AL31" s="71"/>
      <c r="AM31" s="71"/>
      <c r="AN31" s="71"/>
      <c r="AO31" s="71"/>
      <c r="AP31" s="71"/>
      <c r="AQ31" s="71"/>
      <c r="AR31" s="71"/>
      <c r="AS31" s="94">
        <f t="shared" ca="1" si="13"/>
        <v>0</v>
      </c>
      <c r="AT31" s="95">
        <f>SUM(AG31:AR31)</f>
        <v>634</v>
      </c>
      <c r="AU31" s="97">
        <f t="shared" si="14"/>
        <v>634</v>
      </c>
      <c r="AW31" s="83">
        <f>AG31</f>
        <v>0</v>
      </c>
      <c r="AX31" s="83">
        <f t="shared" ref="AX31" si="88">AH31</f>
        <v>130</v>
      </c>
      <c r="AY31" s="83">
        <f t="shared" ref="AY31" si="89">AI31</f>
        <v>59</v>
      </c>
      <c r="AZ31" s="83">
        <f t="shared" ref="AZ31" si="90">AJ31</f>
        <v>445</v>
      </c>
      <c r="BA31" s="52"/>
      <c r="BB31" s="52"/>
      <c r="BC31" s="52"/>
      <c r="BD31" s="52"/>
      <c r="BE31" s="52"/>
      <c r="BF31" s="52"/>
      <c r="BG31" s="52"/>
      <c r="BH31" s="52"/>
      <c r="BI31" s="68" cm="1">
        <f t="array" ref="BI31">IFERROR(INDEX(AW31:BH31,1,MATCH(2,1/(AW31:BH31&lt;&gt;""))),"")</f>
        <v>445</v>
      </c>
      <c r="BJ31" s="68" cm="1">
        <f t="array" ref="BJ31">IF(BM31 = "", "",IFERROR(INDEX(AW31:BH31,1,MATCH(2,1/(AW31:BH31&lt;&gt;""),1)-1),""))</f>
        <v>59</v>
      </c>
      <c r="BK31" s="59">
        <f>SUM(AW31:BH31)</f>
        <v>634</v>
      </c>
      <c r="BL31" s="59" cm="1">
        <f t="array" ref="BL31">IFERROR(SUM(AW31:INDEX(AW31:BH31, MATCH(2, 1/(AW31:BH31&lt;&gt;""), 1) - 1))/_xlfn.XLOOKUP(F31,Apuração!A:A,Apuração!B:B),0)</f>
        <v>17.181818181818183</v>
      </c>
      <c r="BM31" s="55" cm="1">
        <f t="array" ref="BM31">IFERROR(
   INDEX($AW$1:$BH$1,
      _xlfn.AGGREGATE(14, 6, COLUMN($AW$1:$BH$1)/(AW31:BH31&lt;&gt;""), 2) - COLUMN($AW$1) + 1
   ),
"")</f>
        <v>46082</v>
      </c>
      <c r="BN31" s="55" cm="1">
        <f t="array" ref="BN31">IFERROR(INDEX($AW$1:$BH$1,1,MATCH(2,1/(AW31:BH31&lt;&gt;""))),"")</f>
        <v>46113</v>
      </c>
      <c r="BO31" s="53">
        <f ca="1">IFERROR(_xlfn.XLOOKUP(F31,Apuração!A:A,Apuração!C:C)/_xlfn.XLOOKUP(F31,Apuração!A:A,Apuração!B:B),0)</f>
        <v>0.36363636363636365</v>
      </c>
      <c r="BP31" s="53">
        <f ca="1">IFERROR(_xlfn.XLOOKUP(F31,Apuração!A:A,Apuração!D:D)/_xlfn.XLOOKUP(F31,Apuração!A:A,Apuração!B:B),0)</f>
        <v>0.27272727272727271</v>
      </c>
      <c r="BQ31" s="53">
        <f ca="1">IF(BK31&gt;=BO31,0,_xlfn.XLOOKUP(F31,Apuração!A:A,Apuração!B:B)*(BO31 + (1/_xlfn.XLOOKUP(F31,Apuração!A:A,Apuração!B:B)) - BK31))</f>
        <v>0</v>
      </c>
      <c r="BR31" s="85">
        <f t="shared" ca="1" si="2"/>
        <v>0</v>
      </c>
      <c r="BS31" s="53">
        <f ca="1">IFERROR((_xlfn.XLOOKUP(F31,Apuração!A:A,Apuração!C:C)+1)/_xlfn.XLOOKUP(F31,Apuração!A:A,Apuração!B:B),0)</f>
        <v>0.45454545454545453</v>
      </c>
    </row>
    <row r="32" spans="1:71" ht="25.95" hidden="1" customHeight="1" x14ac:dyDescent="0.3">
      <c r="A32" s="39" t="s">
        <v>33</v>
      </c>
      <c r="B32" s="4" t="s">
        <v>73</v>
      </c>
      <c r="C32" s="5" t="s">
        <v>35</v>
      </c>
      <c r="D32" s="5" t="s">
        <v>47</v>
      </c>
      <c r="E32" s="4" t="str" cm="1">
        <f t="array" ref="E32">_xlfn.IFS(
F32 = "A partir de Abril", "Aguardando Execução na Distribuidora",
A32 = "CAPACITAÇÃO", "Em execução no Corporativo",
TRUE, "Em Execução na Distribuidora"
)</f>
        <v>Em Execução na Distribuidora</v>
      </c>
      <c r="F32" s="4" t="str" cm="1">
        <f t="array" ref="F32">_xlfn.IFS(
AG32 &lt;&gt; "", "Jan-Dez/26",
AH32 &lt;&gt; "", "Fev-Dez/26",
AI32 &lt;&gt; "", "Mar-Dez/26", AJ32 &lt;&gt; "", "Abr-Dez/26",
TRUE, "A partir de Junho"
)</f>
        <v>Fev-Dez/26</v>
      </c>
      <c r="G32" s="4" t="s">
        <v>37</v>
      </c>
      <c r="H32" s="7" t="s">
        <v>54</v>
      </c>
      <c r="I32" s="9" t="s">
        <v>76</v>
      </c>
      <c r="J32" s="8" t="str" cm="1">
        <f t="array" aca="1" ref="J32" ca="1">_xlfn.LET(
  _xlpm.actual_value_month, INDEX(T32:AE32, MATCH(DATE(YEAR(TODAY()), MONTH(TODAY()), 1), $T$1:$AE$1, 0)),
  IF(_xlpm.actual_value_month &lt;&gt; "",_xlpm.actual_value_month &amp; " ações mensais", "")
)</f>
        <v/>
      </c>
      <c r="K32" s="14" t="str" cm="1">
        <f t="array" ref="K32">_xlfn.LET(
    _xlpm.sum_month, SUM(T32:AE32),
    IF(_xlpm.sum_month = 0, "", _xlpm.sum_month &amp; " pessoas impactadas no ano.")
)</f>
        <v/>
      </c>
      <c r="L32" s="9" t="s">
        <v>76</v>
      </c>
      <c r="M32" s="13">
        <v>1</v>
      </c>
      <c r="N32" s="5" t="s">
        <v>51</v>
      </c>
      <c r="O32" s="5" t="s">
        <v>52</v>
      </c>
      <c r="P32" s="10" t="s">
        <v>44</v>
      </c>
      <c r="Q32" s="10" t="s">
        <v>44</v>
      </c>
      <c r="R32" s="11" t="s">
        <v>44</v>
      </c>
      <c r="S32" s="11" t="s">
        <v>44</v>
      </c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G32" s="82"/>
      <c r="AH32" s="82">
        <v>100</v>
      </c>
      <c r="AI32" s="82">
        <v>20</v>
      </c>
      <c r="AJ32" s="146">
        <v>0</v>
      </c>
      <c r="AK32" s="71"/>
      <c r="AL32" s="71"/>
      <c r="AM32" s="71"/>
      <c r="AN32" s="71"/>
      <c r="AO32" s="71"/>
      <c r="AP32" s="71"/>
      <c r="AQ32" s="71"/>
      <c r="AR32" s="71"/>
      <c r="AS32" s="94">
        <f t="shared" ref="AS32:AS33" ca="1" si="91">IF(MONTH(TODAY())=3,SUM(T32:U32),IF(MONTH(TODAY())=4,SUM(T32:V32),IF(MONTH(TODAY())=5,SUM(T32:W32),IF(MONTH(TODAY())=6,SUM(T32:X32),IF(MONTH(TODAY())=7,SUM(T32:Y32),IF(MONTH(TODAY())=8,SUM(T32:Z32),IF(MONTH(TODAY())=9,SUM(T32:AA32),IF(MONTH(TODAY())=10,SUM(T32:AB32),IF(MONTH(TODAY())=11,SUM(T32:AC32),IF(MONTH(TODAY())=12,SUM(T32:AD32),IF(MONTH(TODAY())=1,SUM(T32:AE32),T32)))))))))))</f>
        <v>0</v>
      </c>
      <c r="AT32" s="95">
        <f t="shared" ref="AT32:AT33" si="92">SUM(AG32:AR32)</f>
        <v>120</v>
      </c>
      <c r="AU32" s="97">
        <f t="shared" ref="AU32:AU33" si="93">SUM(AG32:AR32)</f>
        <v>120</v>
      </c>
      <c r="AW32" s="83">
        <f t="shared" ref="AW32:AW33" si="94">AG32</f>
        <v>0</v>
      </c>
      <c r="AX32" s="83">
        <f t="shared" ref="AX32:AX33" si="95">AH32</f>
        <v>100</v>
      </c>
      <c r="AY32" s="83">
        <f t="shared" ref="AY32:AY33" si="96">AI32</f>
        <v>20</v>
      </c>
      <c r="AZ32" s="83">
        <f t="shared" ref="AZ32:AZ33" si="97">AJ32</f>
        <v>0</v>
      </c>
      <c r="BA32" s="52"/>
      <c r="BB32" s="52"/>
      <c r="BC32" s="52"/>
      <c r="BD32" s="52"/>
      <c r="BE32" s="52"/>
      <c r="BF32" s="52"/>
      <c r="BG32" s="52"/>
      <c r="BH32" s="52"/>
      <c r="BI32" s="68" cm="1">
        <f t="array" ref="BI32">IFERROR(INDEX(AW32:BH32,1,MATCH(2,1/(AW32:BH32&lt;&gt;""))),"")</f>
        <v>0</v>
      </c>
      <c r="BJ32" s="68" cm="1">
        <f t="array" ref="BJ32">IF(BM32 = "", "",IFERROR(INDEX(AW32:BH32,1,MATCH(2,1/(AW32:BH32&lt;&gt;""),1)-1),""))</f>
        <v>20</v>
      </c>
      <c r="BK32" s="59">
        <f t="shared" ref="BK32:BK33" si="98">SUM(AW32:BH32)</f>
        <v>120</v>
      </c>
      <c r="BL32" s="59" cm="1">
        <f t="array" ref="BL32">IFERROR(SUM(AW32:INDEX(AW32:BH32, MATCH(2, 1/(AW32:BH32&lt;&gt;""), 1) - 1))/_xlfn.XLOOKUP(F32,Apuração!A:A,Apuração!B:B),0)</f>
        <v>10.909090909090908</v>
      </c>
      <c r="BM32" s="55" cm="1">
        <f t="array" ref="BM32">IFERROR(
   INDEX($AW$1:$BH$1,
      _xlfn.AGGREGATE(14, 6, COLUMN($AW$1:$BH$1)/(AW32:BH32&lt;&gt;""), 2) - COLUMN($AW$1) + 1
   ),
"")</f>
        <v>46082</v>
      </c>
      <c r="BN32" s="55" cm="1">
        <f t="array" ref="BN32">IFERROR(INDEX($AW$1:$BH$1,1,MATCH(2,1/(AW32:BH32&lt;&gt;""))),"")</f>
        <v>46113</v>
      </c>
      <c r="BO32" s="53">
        <f ca="1">IFERROR(_xlfn.XLOOKUP(F32,Apuração!A:A,Apuração!C:C)/_xlfn.XLOOKUP(F32,Apuração!A:A,Apuração!B:B),0)</f>
        <v>0.36363636363636365</v>
      </c>
      <c r="BP32" s="53">
        <f ca="1">IFERROR(_xlfn.XLOOKUP(F32,Apuração!A:A,Apuração!D:D)/_xlfn.XLOOKUP(F32,Apuração!A:A,Apuração!B:B),0)</f>
        <v>0.27272727272727271</v>
      </c>
      <c r="BQ32" s="53">
        <f ca="1">IF(BK32&gt;=BO32,0,_xlfn.XLOOKUP(F32,Apuração!A:A,Apuração!B:B)*(BO32 + (1/_xlfn.XLOOKUP(F32,Apuração!A:A,Apuração!B:B)) - BK32))</f>
        <v>0</v>
      </c>
      <c r="BR32" s="85">
        <f t="shared" ref="BR32:BR33" ca="1" si="99">IF(BQ32=0,0,BQ32*Z32)</f>
        <v>0</v>
      </c>
      <c r="BS32" s="53">
        <f ca="1">IFERROR((_xlfn.XLOOKUP(F32,Apuração!A:A,Apuração!C:C)+1)/_xlfn.XLOOKUP(F32,Apuração!A:A,Apuração!B:B),0)</f>
        <v>0.45454545454545453</v>
      </c>
    </row>
    <row r="33" spans="1:71" ht="25.95" hidden="1" customHeight="1" x14ac:dyDescent="0.3">
      <c r="A33" s="39" t="s">
        <v>33</v>
      </c>
      <c r="B33" s="4" t="s">
        <v>73</v>
      </c>
      <c r="C33" s="5" t="s">
        <v>35</v>
      </c>
      <c r="D33" s="5" t="s">
        <v>48</v>
      </c>
      <c r="E33" s="4" t="str" cm="1">
        <f t="array" ref="E33">_xlfn.IFS(
F33 = "A partir de Abril", "Aguardando Execução na Distribuidora",
A33 = "CAPACITAÇÃO", "Em execução no Corporativo",
TRUE, "Em Execução na Distribuidora"
)</f>
        <v>Em Execução na Distribuidora</v>
      </c>
      <c r="F33" s="4" t="str" cm="1">
        <f t="array" ref="F33">_xlfn.IFS(
AG33 &lt;&gt; "", "Jan-Dez/26",
AH33 &lt;&gt; "", "Fev-Dez/26",
AI33 &lt;&gt; "", "Mar-Dez/26", AJ33 &lt;&gt; "", "Abr-Dez/26",
TRUE, "A partir de Junho"
)</f>
        <v>Fev-Dez/26</v>
      </c>
      <c r="G33" s="4" t="s">
        <v>37</v>
      </c>
      <c r="H33" s="7" t="s">
        <v>54</v>
      </c>
      <c r="I33" s="9" t="s">
        <v>76</v>
      </c>
      <c r="J33" s="8" t="str" cm="1">
        <f t="array" aca="1" ref="J33" ca="1">_xlfn.LET(
  _xlpm.actual_value_month, INDEX(T33:AE33, MATCH(DATE(YEAR(TODAY()), MONTH(TODAY()), 1), $T$1:$AE$1, 0)),
  IF(_xlpm.actual_value_month &lt;&gt; "",_xlpm.actual_value_month &amp; " ações mensais", "")
)</f>
        <v/>
      </c>
      <c r="K33" s="14" t="str" cm="1">
        <f t="array" ref="K33">_xlfn.LET(
    _xlpm.sum_month, SUM(T33:AE33),
    IF(_xlpm.sum_month = 0, "", _xlpm.sum_month &amp; " pessoas impactadas no ano.")
)</f>
        <v/>
      </c>
      <c r="L33" s="9" t="s">
        <v>76</v>
      </c>
      <c r="M33" s="13">
        <v>1</v>
      </c>
      <c r="N33" s="5" t="s">
        <v>51</v>
      </c>
      <c r="O33" s="5" t="s">
        <v>52</v>
      </c>
      <c r="P33" s="10" t="s">
        <v>44</v>
      </c>
      <c r="Q33" s="10" t="s">
        <v>44</v>
      </c>
      <c r="R33" s="11" t="s">
        <v>44</v>
      </c>
      <c r="S33" s="11" t="s">
        <v>44</v>
      </c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G33" s="82"/>
      <c r="AH33" s="82">
        <v>30</v>
      </c>
      <c r="AI33" s="82">
        <v>39</v>
      </c>
      <c r="AJ33" s="146">
        <v>445</v>
      </c>
      <c r="AK33" s="71"/>
      <c r="AL33" s="71"/>
      <c r="AM33" s="71"/>
      <c r="AN33" s="71"/>
      <c r="AO33" s="71"/>
      <c r="AP33" s="71"/>
      <c r="AQ33" s="71"/>
      <c r="AR33" s="71"/>
      <c r="AS33" s="94">
        <f t="shared" ca="1" si="91"/>
        <v>0</v>
      </c>
      <c r="AT33" s="95">
        <f t="shared" si="92"/>
        <v>514</v>
      </c>
      <c r="AU33" s="97">
        <f t="shared" si="93"/>
        <v>514</v>
      </c>
      <c r="AW33" s="83">
        <f t="shared" si="94"/>
        <v>0</v>
      </c>
      <c r="AX33" s="83">
        <f t="shared" si="95"/>
        <v>30</v>
      </c>
      <c r="AY33" s="83">
        <f t="shared" si="96"/>
        <v>39</v>
      </c>
      <c r="AZ33" s="83">
        <f t="shared" si="97"/>
        <v>445</v>
      </c>
      <c r="BA33" s="52"/>
      <c r="BB33" s="52"/>
      <c r="BC33" s="52"/>
      <c r="BD33" s="52"/>
      <c r="BE33" s="52"/>
      <c r="BF33" s="52"/>
      <c r="BG33" s="52"/>
      <c r="BH33" s="52"/>
      <c r="BI33" s="68" cm="1">
        <f t="array" ref="BI33">IFERROR(INDEX(AW33:BH33,1,MATCH(2,1/(AW33:BH33&lt;&gt;""))),"")</f>
        <v>445</v>
      </c>
      <c r="BJ33" s="68" cm="1">
        <f t="array" ref="BJ33">IF(BM33 = "", "",IFERROR(INDEX(AW33:BH33,1,MATCH(2,1/(AW33:BH33&lt;&gt;""),1)-1),""))</f>
        <v>39</v>
      </c>
      <c r="BK33" s="59">
        <f t="shared" si="98"/>
        <v>514</v>
      </c>
      <c r="BL33" s="59" cm="1">
        <f t="array" ref="BL33">IFERROR(SUM(AW33:INDEX(AW33:BH33, MATCH(2, 1/(AW33:BH33&lt;&gt;""), 1) - 1))/_xlfn.XLOOKUP(F33,Apuração!A:A,Apuração!B:B),0)</f>
        <v>6.2727272727272725</v>
      </c>
      <c r="BM33" s="55" cm="1">
        <f t="array" ref="BM33">IFERROR(
   INDEX($AW$1:$BH$1,
      _xlfn.AGGREGATE(14, 6, COLUMN($AW$1:$BH$1)/(AW33:BH33&lt;&gt;""), 2) - COLUMN($AW$1) + 1
   ),
"")</f>
        <v>46082</v>
      </c>
      <c r="BN33" s="55" cm="1">
        <f t="array" ref="BN33">IFERROR(INDEX($AW$1:$BH$1,1,MATCH(2,1/(AW33:BH33&lt;&gt;""))),"")</f>
        <v>46113</v>
      </c>
      <c r="BO33" s="53">
        <f ca="1">IFERROR(_xlfn.XLOOKUP(F33,Apuração!A:A,Apuração!C:C)/_xlfn.XLOOKUP(F33,Apuração!A:A,Apuração!B:B),0)</f>
        <v>0.36363636363636365</v>
      </c>
      <c r="BP33" s="53">
        <f ca="1">IFERROR(_xlfn.XLOOKUP(F33,Apuração!A:A,Apuração!D:D)/_xlfn.XLOOKUP(F33,Apuração!A:A,Apuração!B:B),0)</f>
        <v>0.27272727272727271</v>
      </c>
      <c r="BQ33" s="53">
        <f ca="1">IF(BK33&gt;=BO33,0,_xlfn.XLOOKUP(F33,Apuração!A:A,Apuração!B:B)*(BO33 + (1/_xlfn.XLOOKUP(F33,Apuração!A:A,Apuração!B:B)) - BK33))</f>
        <v>0</v>
      </c>
      <c r="BR33" s="85">
        <f t="shared" ca="1" si="99"/>
        <v>0</v>
      </c>
      <c r="BS33" s="53">
        <f ca="1">IFERROR((_xlfn.XLOOKUP(F33,Apuração!A:A,Apuração!C:C)+1)/_xlfn.XLOOKUP(F33,Apuração!A:A,Apuração!B:B),0)</f>
        <v>0.45454545454545453</v>
      </c>
    </row>
    <row r="34" spans="1:71" ht="25.95" hidden="1" customHeight="1" x14ac:dyDescent="0.3">
      <c r="A34" s="3" t="s">
        <v>33</v>
      </c>
      <c r="B34" s="4" t="s">
        <v>77</v>
      </c>
      <c r="C34" s="5" t="s">
        <v>35</v>
      </c>
      <c r="D34" s="5" t="s">
        <v>36</v>
      </c>
      <c r="E34" s="4" t="str" cm="1">
        <f t="array" ref="E34">_xlfn.IFS(
F34 = "A partir de Abril", "Aguardando Execução na Distribuidora",
A34 = "CAPACITAÇÃO", "Em execução no Corporativo",
TRUE, "Em Execução na Distribuidora"
)</f>
        <v>Em Execução na Distribuidora</v>
      </c>
      <c r="F34" s="4" t="str" cm="1">
        <f t="array" ref="F34">_xlfn.IFS(
AG34 &lt;&gt; "", "Jan-Dez/26",
AH34 &lt;&gt; "", "Fev-Dez/26",
AI34 &lt;&gt; "", "Mar-Dez/26", AJ34 &lt;&gt; "", "Abr-Dez/26",
TRUE, "A partir de Junho"
)</f>
        <v>Jan-Dez/26</v>
      </c>
      <c r="G34" s="4" t="s">
        <v>37</v>
      </c>
      <c r="H34" s="7" t="s">
        <v>38</v>
      </c>
      <c r="I34" s="8" t="s">
        <v>78</v>
      </c>
      <c r="J34" s="8" t="str" cm="1">
        <f t="array" aca="1" ref="J34" ca="1">_xlfn.LET(
  _xlpm.actual_value_month, INDEX(T34:AE34, MATCH(DATE(YEAR(TODAY()), MONTH(TODAY()), 1), $T$1:$AE$1, 0)),
  IF(_xlpm.actual_value_month &lt;&gt; "",_xlpm.actual_value_month &amp; " eventos mensais", "")
)</f>
        <v>8 eventos mensais</v>
      </c>
      <c r="K34" s="8" t="str" cm="1">
        <f t="array" ref="K34">_xlfn.LET(
    _xlpm.sum_month, SUM(T34:AE34),
    IF(_xlpm.sum_month = 0, "", _xlpm.sum_month &amp; " eventos no ano.")
)</f>
        <v>89 eventos no ano.</v>
      </c>
      <c r="L34" s="9" t="s">
        <v>56</v>
      </c>
      <c r="M34" s="13" t="s">
        <v>79</v>
      </c>
      <c r="N34" s="5" t="s">
        <v>42</v>
      </c>
      <c r="O34" s="5" t="s">
        <v>43</v>
      </c>
      <c r="P34" s="10" t="s">
        <v>44</v>
      </c>
      <c r="Q34" s="10" t="s">
        <v>44</v>
      </c>
      <c r="R34" s="11" t="s">
        <v>44</v>
      </c>
      <c r="S34" s="11" t="s">
        <v>44</v>
      </c>
      <c r="T34" s="143">
        <v>10</v>
      </c>
      <c r="U34" s="143">
        <v>5</v>
      </c>
      <c r="V34" s="143">
        <v>2</v>
      </c>
      <c r="W34" s="143">
        <v>8</v>
      </c>
      <c r="X34" s="143">
        <v>8</v>
      </c>
      <c r="Y34" s="143">
        <v>8</v>
      </c>
      <c r="Z34" s="143">
        <v>8</v>
      </c>
      <c r="AA34" s="143">
        <v>8</v>
      </c>
      <c r="AB34" s="143">
        <v>8</v>
      </c>
      <c r="AC34" s="143">
        <v>8</v>
      </c>
      <c r="AD34" s="143">
        <v>8</v>
      </c>
      <c r="AE34" s="143">
        <v>8</v>
      </c>
      <c r="AG34" s="71">
        <v>10</v>
      </c>
      <c r="AH34" s="71">
        <v>5</v>
      </c>
      <c r="AI34" s="71">
        <v>2</v>
      </c>
      <c r="AJ34" s="71">
        <v>2</v>
      </c>
      <c r="AK34" s="71"/>
      <c r="AL34" s="71"/>
      <c r="AM34" s="71"/>
      <c r="AN34" s="71"/>
      <c r="AO34" s="71"/>
      <c r="AP34" s="71"/>
      <c r="AQ34" s="71"/>
      <c r="AR34" s="71"/>
      <c r="AS34" s="94">
        <f t="shared" ca="1" si="13"/>
        <v>33</v>
      </c>
      <c r="AT34" s="95">
        <f>SUM(IF(AW34&lt;1.15,AG34,1.15*T34),IF(AX34&lt;1.15,AH34,1.15*U34),IF(AY34&lt;1.15,AI34,1.15*V34),IF(AZ34&lt;1.15,AJ34,1.15*W34),IF(BA34&lt;1.15,AK34,1.15*X34),IF(BB34&lt;1.15,AL34,1.15*Y34),IF(BC34&lt;1.15,AM34,1.15*Z34),IF(BD34&lt;1.15,AN34,1.15*AA34),IF(BE34&lt;1.15,AO34,1.15*AB34),IF(BF34&lt;1.15,AP34,1.15*AC34),IF(BG34&lt;1.15,AQ34,1.15*AD34),IF(BH34&lt;1.15,AR34,1.15*AE34))</f>
        <v>19</v>
      </c>
      <c r="AU34" s="97">
        <f t="shared" si="14"/>
        <v>19</v>
      </c>
      <c r="AW34" s="51">
        <f>IFERROR(IF(AG34="",0,AG34/T34),0)</f>
        <v>1</v>
      </c>
      <c r="AX34" s="51">
        <f>IFERROR(IF(AH34="",0,AH34/U34),0)</f>
        <v>1</v>
      </c>
      <c r="AY34" s="51">
        <f>IFERROR(IF(AI34="",0,AI34/V34),0)</f>
        <v>1</v>
      </c>
      <c r="AZ34" s="51">
        <f>IFERROR(IF(AJ34="",0,AJ34/W34),0)</f>
        <v>0.25</v>
      </c>
      <c r="BA34" s="51"/>
      <c r="BB34" s="51"/>
      <c r="BC34" s="51"/>
      <c r="BD34" s="51"/>
      <c r="BE34" s="51"/>
      <c r="BF34" s="51"/>
      <c r="BG34" s="51"/>
      <c r="BH34" s="51"/>
      <c r="BI34" s="65" cm="1">
        <f t="array" ref="BI34">IFERROR(INDEX(AW34:BH34,1,MATCH(2,1/(AW34:BH34&lt;&gt;""))),"")</f>
        <v>0.25</v>
      </c>
      <c r="BJ34" s="68" cm="1">
        <f t="array" ref="BJ34">IF(BM34 = "", "",IFERROR(INDEX(AW34:BH34,1,MATCH(2,1/(AW34:BH34&lt;&gt;""),1)-1),""))</f>
        <v>1</v>
      </c>
      <c r="BK34" s="58">
        <f>IF((IF(AW34&gt;=115%,115%,AW34) + IF(AX34&gt;=115%,115%,AX34) + IF(AY34&gt;=200%,200%,AY34) + (IF(AZ34&gt;=200%,200%,AZ34) + IF(BA34&gt;=115%,115%,BA34) + IF(BB34&gt;=115%,115%,BB34) + IF(BC34&gt;=115%,115%,BC34) + IF(BD34&gt;=115%,115%,BD34) + IF(BE34&gt;=115%,115%,BE34) + IF(BF34&gt;=115%,115%,BF34) + IF(BG34&gt;=115%,115%,BG34) + IF(BH34&gt;=115%,115%,BH34)))/_xlfn.XLOOKUP(F34,Apuração!A:A,Apuração!B:B)&gt;=1.15,1.15,((IF(AZ34&gt;=200%,200%,AZ34) + IF(AX34&gt;=115%,115%,AX34) + IF(AY34&gt;=200%,200%,AY34) + (IF(AW34&gt;=115%,115%,AW34) + IF(BA34&gt;=115%,115%,BA34) + IF(BB34&gt;=115%,115%,BB34) + IF(BC34&gt;=115%,115%,BC34) + IF(BD34&gt;=115%,115%,BD34) + IF(BE34&gt;=115%,115%,BE34) + IF(BF34&gt;=115%,115%,BF34) + IF(BG34&gt;=115%,115%,BG34) + IF(BH34&gt;=115%,115%,BH34)))/_xlfn.XLOOKUP(F34,Apuração!A:A,Apuração!B:B)))</f>
        <v>0.27083333333333331</v>
      </c>
      <c r="BL34" s="58" cm="1">
        <f t="array" aca="1" ref="BL34" ca="1">IF(SUM(IFERROR(IF(INDEX(AW34:INDEX(AW34:BH34, MATCH(2, 1/(AW34:BH34&lt;&gt;""), 1)-1), ROW(INDIRECT("1:" &amp; MATCH(2, 1/(AW34:BH34&lt;&gt;""), 1)-1))) &gt;= 115%, 115%, INDEX(AW34:INDEX(AW34:BH34, MATCH(2, 1/(AW34:BH34&lt;&gt;""), 1)-1), ROW(INDIRECT("1:" &amp; MATCH(2, 1/(AW34:BH34&lt;&gt;""), 1)-1)))), 0))/_xlfn.XLOOKUP(F34,Apuração!A:A,Apuração!B:B)&gt;=1.15,1.15,SUM(IFERROR(IF(INDEX(AW34:INDEX(AW34:BH34, MATCH(2, 1/(AW34:BH34&lt;&gt;""), 1)-1), ROW(INDIRECT("1:" &amp; MATCH(2, 1/(AW34:BH34&lt;&gt;""), 1)-1))) &gt;= 115%, 115%, INDEX(AW34:INDEX(AW34:BH34, MATCH(2, 1/(AW34:BH34&lt;&gt;""), 1)-1), ROW(INDIRECT("1:" &amp; MATCH(2, 1/(AW34:BH34&lt;&gt;""), 1)-1)))), 0))/_xlfn.XLOOKUP(F34,Apuração!A:A,Apuração!B:B))</f>
        <v>0.25</v>
      </c>
      <c r="BM34" s="55" cm="1">
        <f t="array" ref="BM34">IFERROR(
   INDEX($AW$1:$BH$1,
      _xlfn.AGGREGATE(14, 6, COLUMN($AW$1:$BH$1)/(AW34:BH34&lt;&gt;""), 2) - COLUMN($AW$1) + 1
   ),
"")</f>
        <v>46082</v>
      </c>
      <c r="BN34" s="55" cm="1">
        <f t="array" ref="BN34">IFERROR(INDEX($AW$1:$BH$1,1,MATCH(2,1/(AW34:BH34&lt;&gt;""))),"")</f>
        <v>46113</v>
      </c>
      <c r="BO34" s="53">
        <f ca="1">IFERROR(_xlfn.XLOOKUP(F34,Apuração!A:A,Apuração!C:C)/_xlfn.XLOOKUP(F34,Apuração!A:A,Apuração!B:B),0)</f>
        <v>0.41666666666666669</v>
      </c>
      <c r="BP34" s="53">
        <f ca="1">IFERROR(_xlfn.XLOOKUP(F34,Apuração!A:A,Apuração!D:D)/_xlfn.XLOOKUP(F34,Apuração!A:A,Apuração!B:B),0)</f>
        <v>0.33333333333333331</v>
      </c>
      <c r="BQ34" s="53">
        <f ca="1">IF(BK34&gt;=BO34,0,_xlfn.XLOOKUP(F34,Apuração!A:A,Apuração!B:B)*(BO34 + (1/_xlfn.XLOOKUP(F34,Apuração!A:A,Apuração!B:B)) - BK34))</f>
        <v>2.75</v>
      </c>
      <c r="BR34" s="85">
        <f t="shared" ca="1" si="2"/>
        <v>22</v>
      </c>
      <c r="BS34" s="53">
        <f ca="1">IFERROR((_xlfn.XLOOKUP(F34,Apuração!A:A,Apuração!C:C)+1)/_xlfn.XLOOKUP(F34,Apuração!A:A,Apuração!B:B),0)</f>
        <v>0.5</v>
      </c>
    </row>
    <row r="35" spans="1:71" ht="25.95" hidden="1" customHeight="1" x14ac:dyDescent="0.3">
      <c r="A35" s="3" t="s">
        <v>33</v>
      </c>
      <c r="B35" s="4" t="s">
        <v>77</v>
      </c>
      <c r="C35" s="5" t="s">
        <v>35</v>
      </c>
      <c r="D35" s="5" t="s">
        <v>47</v>
      </c>
      <c r="E35" s="4" t="str" cm="1">
        <f t="array" ref="E35">_xlfn.IFS(
F35 = "A partir de Abril", "Aguardando Execução na Distribuidora",
A35 = "CAPACITAÇÃO", "Em execução no Corporativo",
TRUE, "Em Execução na Distribuidora"
)</f>
        <v>Em Execução na Distribuidora</v>
      </c>
      <c r="F35" s="4" t="str" cm="1">
        <f t="array" ref="F35">_xlfn.IFS(
AG35 &lt;&gt; "", "Jan-Dez/26",
AH35 &lt;&gt; "", "Fev-Dez/26",
AI35 &lt;&gt; "", "Mar-Dez/26", AJ35 &lt;&gt; "", "Abr-Dez/26",
TRUE, "A partir de Junho"
)</f>
        <v>Abr-Dez/26</v>
      </c>
      <c r="G35" s="4" t="s">
        <v>37</v>
      </c>
      <c r="H35" s="7" t="s">
        <v>38</v>
      </c>
      <c r="I35" s="8" t="s">
        <v>78</v>
      </c>
      <c r="J35" s="8" t="str" cm="1">
        <f t="array" aca="1" ref="J35" ca="1">_xlfn.LET(
  _xlpm.actual_value_month, INDEX(T35:AE35, MATCH(DATE(YEAR(TODAY()), MONTH(TODAY()), 1), $T$1:$AE$1, 0)),
  IF(_xlpm.actual_value_month &lt;&gt; "",_xlpm.actual_value_month &amp; " eventos mensais", "")
)</f>
        <v>4 eventos mensais</v>
      </c>
      <c r="K35" s="8" t="str" cm="1">
        <f t="array" ref="K35">_xlfn.LET(
    _xlpm.sum_month, SUM(T35:AE35),
    IF(_xlpm.sum_month = 0, "", _xlpm.sum_month &amp; " eventos no ano.")
)</f>
        <v>36 eventos no ano.</v>
      </c>
      <c r="L35" s="9" t="s">
        <v>56</v>
      </c>
      <c r="M35" s="13" t="s">
        <v>79</v>
      </c>
      <c r="N35" s="5" t="s">
        <v>42</v>
      </c>
      <c r="O35" s="5" t="s">
        <v>43</v>
      </c>
      <c r="P35" s="10" t="s">
        <v>44</v>
      </c>
      <c r="Q35" s="10" t="s">
        <v>44</v>
      </c>
      <c r="R35" s="11" t="s">
        <v>44</v>
      </c>
      <c r="S35" s="11" t="s">
        <v>44</v>
      </c>
      <c r="T35" s="143"/>
      <c r="U35" s="143"/>
      <c r="V35" s="143"/>
      <c r="W35" s="143">
        <v>4</v>
      </c>
      <c r="X35" s="143">
        <v>4</v>
      </c>
      <c r="Y35" s="143">
        <v>4</v>
      </c>
      <c r="Z35" s="143">
        <v>4</v>
      </c>
      <c r="AA35" s="143">
        <v>4</v>
      </c>
      <c r="AB35" s="143">
        <v>4</v>
      </c>
      <c r="AC35" s="143">
        <v>4</v>
      </c>
      <c r="AD35" s="143">
        <v>4</v>
      </c>
      <c r="AE35" s="143">
        <v>4</v>
      </c>
      <c r="AG35" s="82"/>
      <c r="AH35" s="82"/>
      <c r="AI35" s="82"/>
      <c r="AJ35" s="145">
        <v>1</v>
      </c>
      <c r="AK35" s="71"/>
      <c r="AL35" s="71"/>
      <c r="AM35" s="71"/>
      <c r="AN35" s="71"/>
      <c r="AO35" s="71"/>
      <c r="AP35" s="71"/>
      <c r="AQ35" s="71"/>
      <c r="AR35" s="71"/>
      <c r="AS35" s="94">
        <f t="shared" ref="AS35:AS36" ca="1" si="100">IF(MONTH(TODAY())=3,SUM(T35:U35),IF(MONTH(TODAY())=4,SUM(T35:V35),IF(MONTH(TODAY())=5,SUM(T35:W35),IF(MONTH(TODAY())=6,SUM(T35:X35),IF(MONTH(TODAY())=7,SUM(T35:Y35),IF(MONTH(TODAY())=8,SUM(T35:Z35),IF(MONTH(TODAY())=9,SUM(T35:AA35),IF(MONTH(TODAY())=10,SUM(T35:AB35),IF(MONTH(TODAY())=11,SUM(T35:AC35),IF(MONTH(TODAY())=12,SUM(T35:AD35),IF(MONTH(TODAY())=1,SUM(T35:AE35),T35)))))))))))</f>
        <v>8</v>
      </c>
      <c r="AT35" s="95">
        <f t="shared" ref="AT35:AT36" si="101">SUM(IF(AW35&lt;1.15,AG35,1.15*T35),IF(AX35&lt;1.15,AH35,1.15*U35),IF(AY35&lt;1.15,AI35,1.15*V35),IF(AZ35&lt;1.15,AJ35,1.15*W35),IF(BA35&lt;1.15,AK35,1.15*X35),IF(BB35&lt;1.15,AL35,1.15*Y35),IF(BC35&lt;1.15,AM35,1.15*Z35),IF(BD35&lt;1.15,AN35,1.15*AA35),IF(BE35&lt;1.15,AO35,1.15*AB35),IF(BF35&lt;1.15,AP35,1.15*AC35),IF(BG35&lt;1.15,AQ35,1.15*AD35),IF(BH35&lt;1.15,AR35,1.15*AE35))</f>
        <v>1</v>
      </c>
      <c r="AU35" s="97">
        <f t="shared" ref="AU35:AU36" si="102">SUM(AG35:AR35)</f>
        <v>1</v>
      </c>
      <c r="AW35" s="51">
        <f t="shared" ref="AW35:AW36" si="103">IFERROR(IF(AG35="",0,AG35/T35),0)</f>
        <v>0</v>
      </c>
      <c r="AX35" s="51">
        <f t="shared" ref="AX35:AX36" si="104">IFERROR(IF(AH35="",0,AH35/U35),0)</f>
        <v>0</v>
      </c>
      <c r="AY35" s="51">
        <f t="shared" ref="AY35:AY36" si="105">IFERROR(IF(AI35="",0,AI35/V35),0)</f>
        <v>0</v>
      </c>
      <c r="AZ35" s="51">
        <f t="shared" ref="AZ35:AZ36" si="106">IFERROR(IF(AJ35="",0,AJ35/W35),0)</f>
        <v>0.25</v>
      </c>
      <c r="BA35" s="51"/>
      <c r="BB35" s="51"/>
      <c r="BC35" s="51"/>
      <c r="BD35" s="51"/>
      <c r="BE35" s="51"/>
      <c r="BF35" s="51"/>
      <c r="BG35" s="51"/>
      <c r="BH35" s="51"/>
      <c r="BI35" s="65" cm="1">
        <f t="array" ref="BI35">IFERROR(INDEX(AW35:BH35,1,MATCH(2,1/(AW35:BH35&lt;&gt;""))),"")</f>
        <v>0.25</v>
      </c>
      <c r="BJ35" s="68" cm="1">
        <f t="array" ref="BJ35">IF(BM35 = "", "",IFERROR(INDEX(AW35:BH35,1,MATCH(2,1/(AW35:BH35&lt;&gt;""),1)-1),""))</f>
        <v>0</v>
      </c>
      <c r="BK35" s="58">
        <f>IF((IF(AW35&gt;=115%,115%,AW35) + IF(AX35&gt;=115%,115%,AX35) + IF(AY35&gt;=200%,200%,AY35) + (IF(AZ35&gt;=200%,200%,AZ35) + IF(BA35&gt;=115%,115%,BA35) + IF(BB35&gt;=115%,115%,BB35) + IF(BC35&gt;=115%,115%,BC35) + IF(BD35&gt;=115%,115%,BD35) + IF(BE35&gt;=115%,115%,BE35) + IF(BF35&gt;=115%,115%,BF35) + IF(BG35&gt;=115%,115%,BG35) + IF(BH35&gt;=115%,115%,BH35)))/_xlfn.XLOOKUP(F35,Apuração!A:A,Apuração!B:B)&gt;=1.15,1.15,((IF(AZ35&gt;=200%,200%,AZ35) + IF(AX35&gt;=115%,115%,AX35) + IF(AY35&gt;=200%,200%,AY35) + (IF(AW35&gt;=115%,115%,AW35) + IF(BA35&gt;=115%,115%,BA35) + IF(BB35&gt;=115%,115%,BB35) + IF(BC35&gt;=115%,115%,BC35) + IF(BD35&gt;=115%,115%,BD35) + IF(BE35&gt;=115%,115%,BE35) + IF(BF35&gt;=115%,115%,BF35) + IF(BG35&gt;=115%,115%,BG35) + IF(BH35&gt;=115%,115%,BH35)))/_xlfn.XLOOKUP(F35,Apuração!A:A,Apuração!B:B)))</f>
        <v>2.7777777777777776E-2</v>
      </c>
      <c r="BL35" s="58" cm="1">
        <f t="array" aca="1" ref="BL35" ca="1">IF(SUM(IFERROR(IF(INDEX(AW35:INDEX(AW35:BH35, MATCH(2, 1/(AW35:BH35&lt;&gt;""), 1)-1), ROW(INDIRECT("1:" &amp; MATCH(2, 1/(AW35:BH35&lt;&gt;""), 1)-1))) &gt;= 115%, 115%, INDEX(AW35:INDEX(AW35:BH35, MATCH(2, 1/(AW35:BH35&lt;&gt;""), 1)-1), ROW(INDIRECT("1:" &amp; MATCH(2, 1/(AW35:BH35&lt;&gt;""), 1)-1)))), 0))/_xlfn.XLOOKUP(F35,Apuração!A:A,Apuração!B:B)&gt;=1.15,1.15,SUM(IFERROR(IF(INDEX(AW35:INDEX(AW35:BH35, MATCH(2, 1/(AW35:BH35&lt;&gt;""), 1)-1), ROW(INDIRECT("1:" &amp; MATCH(2, 1/(AW35:BH35&lt;&gt;""), 1)-1))) &gt;= 115%, 115%, INDEX(AW35:INDEX(AW35:BH35, MATCH(2, 1/(AW35:BH35&lt;&gt;""), 1)-1), ROW(INDIRECT("1:" &amp; MATCH(2, 1/(AW35:BH35&lt;&gt;""), 1)-1)))), 0))/_xlfn.XLOOKUP(F35,Apuração!A:A,Apuração!B:B))</f>
        <v>0</v>
      </c>
      <c r="BM35" s="55" cm="1">
        <f t="array" ref="BM35">IFERROR(
   INDEX($AW$1:$BH$1,
      _xlfn.AGGREGATE(14, 6, COLUMN($AW$1:$BH$1)/(AW35:BH35&lt;&gt;""), 2) - COLUMN($AW$1) + 1
   ),
"")</f>
        <v>46082</v>
      </c>
      <c r="BN35" s="55" cm="1">
        <f t="array" ref="BN35">IFERROR(INDEX($AW$1:$BH$1,1,MATCH(2,1/(AW35:BH35&lt;&gt;""))),"")</f>
        <v>46113</v>
      </c>
      <c r="BO35" s="53">
        <f ca="1">IFERROR(_xlfn.XLOOKUP(F35,Apuração!A:A,Apuração!C:C)/_xlfn.XLOOKUP(F35,Apuração!A:A,Apuração!B:B),0)</f>
        <v>0.22222222222222221</v>
      </c>
      <c r="BP35" s="53">
        <f ca="1">IFERROR(_xlfn.XLOOKUP(F35,Apuração!A:A,Apuração!D:D)/_xlfn.XLOOKUP(F35,Apuração!A:A,Apuração!B:B),0)</f>
        <v>0.1111111111111111</v>
      </c>
      <c r="BQ35" s="53">
        <f ca="1">IF(BK35&gt;=BO35,0,_xlfn.XLOOKUP(F35,Apuração!A:A,Apuração!B:B)*(BO35 + (1/_xlfn.XLOOKUP(F35,Apuração!A:A,Apuração!B:B)) - BK35))</f>
        <v>2.7499999999999996</v>
      </c>
      <c r="BR35" s="85">
        <f t="shared" ref="BR35:BR36" ca="1" si="107">IF(BQ35=0,0,BQ35*Z35)</f>
        <v>10.999999999999998</v>
      </c>
      <c r="BS35" s="53">
        <f ca="1">IFERROR((_xlfn.XLOOKUP(F35,Apuração!A:A,Apuração!C:C)+1)/_xlfn.XLOOKUP(F35,Apuração!A:A,Apuração!B:B),0)</f>
        <v>0.33333333333333331</v>
      </c>
    </row>
    <row r="36" spans="1:71" ht="25.95" hidden="1" customHeight="1" x14ac:dyDescent="0.3">
      <c r="A36" s="3" t="s">
        <v>33</v>
      </c>
      <c r="B36" s="4" t="s">
        <v>77</v>
      </c>
      <c r="C36" s="5" t="s">
        <v>35</v>
      </c>
      <c r="D36" s="5" t="s">
        <v>48</v>
      </c>
      <c r="E36" s="4" t="str" cm="1">
        <f t="array" ref="E36">_xlfn.IFS(
F36 = "A partir de Abril", "Aguardando Execução na Distribuidora",
A36 = "CAPACITAÇÃO", "Em execução no Corporativo",
TRUE, "Em Execução na Distribuidora"
)</f>
        <v>Em Execução na Distribuidora</v>
      </c>
      <c r="F36" s="4" t="str" cm="1">
        <f t="array" ref="F36">_xlfn.IFS(
AG36 &lt;&gt; "", "Jan-Dez/26",
AH36 &lt;&gt; "", "Fev-Dez/26",
AI36 &lt;&gt; "", "Mar-Dez/26", AJ36 &lt;&gt; "", "Abr-Dez/26",
TRUE, "A partir de Junho"
)</f>
        <v>Jan-Dez/26</v>
      </c>
      <c r="G36" s="4" t="s">
        <v>37</v>
      </c>
      <c r="H36" s="7" t="s">
        <v>38</v>
      </c>
      <c r="I36" s="8" t="s">
        <v>78</v>
      </c>
      <c r="J36" s="8" t="str" cm="1">
        <f t="array" aca="1" ref="J36" ca="1">_xlfn.LET(
  _xlpm.actual_value_month, INDEX(T36:AE36, MATCH(DATE(YEAR(TODAY()), MONTH(TODAY()), 1), $T$1:$AE$1, 0)),
  IF(_xlpm.actual_value_month &lt;&gt; "",_xlpm.actual_value_month &amp; " eventos mensais", "")
)</f>
        <v>4 eventos mensais</v>
      </c>
      <c r="K36" s="8" t="str" cm="1">
        <f t="array" ref="K36">_xlfn.LET(
    _xlpm.sum_month, SUM(T36:AE36),
    IF(_xlpm.sum_month = 0, "", _xlpm.sum_month &amp; " eventos no ano.")
)</f>
        <v>53 eventos no ano.</v>
      </c>
      <c r="L36" s="9" t="s">
        <v>56</v>
      </c>
      <c r="M36" s="13" t="s">
        <v>79</v>
      </c>
      <c r="N36" s="5" t="s">
        <v>42</v>
      </c>
      <c r="O36" s="5" t="s">
        <v>43</v>
      </c>
      <c r="P36" s="10" t="s">
        <v>44</v>
      </c>
      <c r="Q36" s="10" t="s">
        <v>44</v>
      </c>
      <c r="R36" s="11" t="s">
        <v>44</v>
      </c>
      <c r="S36" s="11" t="s">
        <v>44</v>
      </c>
      <c r="T36" s="143">
        <v>10</v>
      </c>
      <c r="U36" s="143">
        <v>5</v>
      </c>
      <c r="V36" s="143">
        <v>2</v>
      </c>
      <c r="W36" s="143">
        <v>4</v>
      </c>
      <c r="X36" s="143">
        <v>4</v>
      </c>
      <c r="Y36" s="143">
        <v>4</v>
      </c>
      <c r="Z36" s="143">
        <v>4</v>
      </c>
      <c r="AA36" s="143">
        <v>4</v>
      </c>
      <c r="AB36" s="143">
        <v>4</v>
      </c>
      <c r="AC36" s="143">
        <v>4</v>
      </c>
      <c r="AD36" s="143">
        <v>4</v>
      </c>
      <c r="AE36" s="143">
        <v>4</v>
      </c>
      <c r="AG36" s="82">
        <v>10</v>
      </c>
      <c r="AH36" s="82">
        <v>5</v>
      </c>
      <c r="AI36" s="82">
        <v>2</v>
      </c>
      <c r="AJ36" s="146">
        <v>1</v>
      </c>
      <c r="AK36" s="71"/>
      <c r="AL36" s="71"/>
      <c r="AM36" s="71"/>
      <c r="AN36" s="71"/>
      <c r="AO36" s="71"/>
      <c r="AP36" s="71"/>
      <c r="AQ36" s="71"/>
      <c r="AR36" s="71"/>
      <c r="AS36" s="94">
        <f t="shared" ca="1" si="100"/>
        <v>25</v>
      </c>
      <c r="AT36" s="95">
        <f t="shared" si="101"/>
        <v>18</v>
      </c>
      <c r="AU36" s="97">
        <f t="shared" si="102"/>
        <v>18</v>
      </c>
      <c r="AW36" s="51">
        <f t="shared" si="103"/>
        <v>1</v>
      </c>
      <c r="AX36" s="51">
        <f t="shared" si="104"/>
        <v>1</v>
      </c>
      <c r="AY36" s="51">
        <f t="shared" si="105"/>
        <v>1</v>
      </c>
      <c r="AZ36" s="51">
        <f t="shared" si="106"/>
        <v>0.25</v>
      </c>
      <c r="BA36" s="51"/>
      <c r="BB36" s="51"/>
      <c r="BC36" s="51"/>
      <c r="BD36" s="51"/>
      <c r="BE36" s="51"/>
      <c r="BF36" s="51"/>
      <c r="BG36" s="51"/>
      <c r="BH36" s="51"/>
      <c r="BI36" s="65" cm="1">
        <f t="array" ref="BI36">IFERROR(INDEX(AW36:BH36,1,MATCH(2,1/(AW36:BH36&lt;&gt;""))),"")</f>
        <v>0.25</v>
      </c>
      <c r="BJ36" s="68" cm="1">
        <f t="array" ref="BJ36">IF(BM36 = "", "",IFERROR(INDEX(AW36:BH36,1,MATCH(2,1/(AW36:BH36&lt;&gt;""),1)-1),""))</f>
        <v>1</v>
      </c>
      <c r="BK36" s="58">
        <f>IF((IF(AW36&gt;=115%,115%,AW36) + IF(AX36&gt;=115%,115%,AX36) + IF(AY36&gt;=200%,200%,AY36) + (IF(AZ36&gt;=200%,200%,AZ36) + IF(BA36&gt;=115%,115%,BA36) + IF(BB36&gt;=115%,115%,BB36) + IF(BC36&gt;=115%,115%,BC36) + IF(BD36&gt;=115%,115%,BD36) + IF(BE36&gt;=115%,115%,BE36) + IF(BF36&gt;=115%,115%,BF36) + IF(BG36&gt;=115%,115%,BG36) + IF(BH36&gt;=115%,115%,BH36)))/_xlfn.XLOOKUP(F36,Apuração!A:A,Apuração!B:B)&gt;=1.15,1.15,((IF(AZ36&gt;=200%,200%,AZ36) + IF(AX36&gt;=115%,115%,AX36) + IF(AY36&gt;=200%,200%,AY36) + (IF(AW36&gt;=115%,115%,AW36) + IF(BA36&gt;=115%,115%,BA36) + IF(BB36&gt;=115%,115%,BB36) + IF(BC36&gt;=115%,115%,BC36) + IF(BD36&gt;=115%,115%,BD36) + IF(BE36&gt;=115%,115%,BE36) + IF(BF36&gt;=115%,115%,BF36) + IF(BG36&gt;=115%,115%,BG36) + IF(BH36&gt;=115%,115%,BH36)))/_xlfn.XLOOKUP(F36,Apuração!A:A,Apuração!B:B)))</f>
        <v>0.27083333333333331</v>
      </c>
      <c r="BL36" s="58" cm="1">
        <f t="array" aca="1" ref="BL36" ca="1">IF(SUM(IFERROR(IF(INDEX(AW36:INDEX(AW36:BH36, MATCH(2, 1/(AW36:BH36&lt;&gt;""), 1)-1), ROW(INDIRECT("1:" &amp; MATCH(2, 1/(AW36:BH36&lt;&gt;""), 1)-1))) &gt;= 115%, 115%, INDEX(AW36:INDEX(AW36:BH36, MATCH(2, 1/(AW36:BH36&lt;&gt;""), 1)-1), ROW(INDIRECT("1:" &amp; MATCH(2, 1/(AW36:BH36&lt;&gt;""), 1)-1)))), 0))/_xlfn.XLOOKUP(F36,Apuração!A:A,Apuração!B:B)&gt;=1.15,1.15,SUM(IFERROR(IF(INDEX(AW36:INDEX(AW36:BH36, MATCH(2, 1/(AW36:BH36&lt;&gt;""), 1)-1), ROW(INDIRECT("1:" &amp; MATCH(2, 1/(AW36:BH36&lt;&gt;""), 1)-1))) &gt;= 115%, 115%, INDEX(AW36:INDEX(AW36:BH36, MATCH(2, 1/(AW36:BH36&lt;&gt;""), 1)-1), ROW(INDIRECT("1:" &amp; MATCH(2, 1/(AW36:BH36&lt;&gt;""), 1)-1)))), 0))/_xlfn.XLOOKUP(F36,Apuração!A:A,Apuração!B:B))</f>
        <v>0.25</v>
      </c>
      <c r="BM36" s="55" cm="1">
        <f t="array" ref="BM36">IFERROR(
   INDEX($AW$1:$BH$1,
      _xlfn.AGGREGATE(14, 6, COLUMN($AW$1:$BH$1)/(AW36:BH36&lt;&gt;""), 2) - COLUMN($AW$1) + 1
   ),
"")</f>
        <v>46082</v>
      </c>
      <c r="BN36" s="55" cm="1">
        <f t="array" ref="BN36">IFERROR(INDEX($AW$1:$BH$1,1,MATCH(2,1/(AW36:BH36&lt;&gt;""))),"")</f>
        <v>46113</v>
      </c>
      <c r="BO36" s="53">
        <f ca="1">IFERROR(_xlfn.XLOOKUP(F36,Apuração!A:A,Apuração!C:C)/_xlfn.XLOOKUP(F36,Apuração!A:A,Apuração!B:B),0)</f>
        <v>0.41666666666666669</v>
      </c>
      <c r="BP36" s="53">
        <f ca="1">IFERROR(_xlfn.XLOOKUP(F36,Apuração!A:A,Apuração!D:D)/_xlfn.XLOOKUP(F36,Apuração!A:A,Apuração!B:B),0)</f>
        <v>0.33333333333333331</v>
      </c>
      <c r="BQ36" s="53">
        <f ca="1">IF(BK36&gt;=BO36,0,_xlfn.XLOOKUP(F36,Apuração!A:A,Apuração!B:B)*(BO36 + (1/_xlfn.XLOOKUP(F36,Apuração!A:A,Apuração!B:B)) - BK36))</f>
        <v>2.75</v>
      </c>
      <c r="BR36" s="85">
        <f t="shared" ca="1" si="107"/>
        <v>11</v>
      </c>
      <c r="BS36" s="53">
        <f ca="1">IFERROR((_xlfn.XLOOKUP(F36,Apuração!A:A,Apuração!C:C)+1)/_xlfn.XLOOKUP(F36,Apuração!A:A,Apuração!B:B),0)</f>
        <v>0.5</v>
      </c>
    </row>
    <row r="37" spans="1:71" ht="25.5" hidden="1" customHeight="1" x14ac:dyDescent="0.3">
      <c r="A37" s="39" t="s">
        <v>33</v>
      </c>
      <c r="B37" s="4" t="s">
        <v>77</v>
      </c>
      <c r="C37" s="5" t="s">
        <v>35</v>
      </c>
      <c r="D37" s="5" t="s">
        <v>36</v>
      </c>
      <c r="E37" s="4" t="s">
        <v>80</v>
      </c>
      <c r="F37" s="4" t="str" cm="1">
        <f t="array" ref="F37">_xlfn.IFS(
AG37 &lt;&gt; "", "Jan-Dez/26",
AH37 &lt;&gt; "", "Fev-Dez/26",
AI37 &lt;&gt; "", "Mar-Dez/26", AJ37 &lt;&gt; "", "Abr-Dez/26",
TRUE, "A partir de Junho"
)</f>
        <v>Jan-Dez/26</v>
      </c>
      <c r="G37" s="4" t="s">
        <v>37</v>
      </c>
      <c r="H37" s="7" t="s">
        <v>38</v>
      </c>
      <c r="I37" s="9" t="s">
        <v>76</v>
      </c>
      <c r="J37" s="8" t="str" cm="1">
        <f t="array" aca="1" ref="J37" ca="1">_xlfn.LET(
  _xlpm.actual_value_month, INDEX(T37:AE37, MATCH(DATE(YEAR(TODAY()), MONTH(TODAY()), 1), $T$1:$AE$1, 0)),
  IF(_xlpm.actual_value_month &lt;&gt; "",_xlpm.actual_value_month &amp; " ações mensais", "")
)</f>
        <v/>
      </c>
      <c r="K37" s="8" t="str" cm="1">
        <f t="array" ref="K37">_xlfn.LET(
    _xlpm.sum_month, SUM(T37:AE37),
    IF(_xlpm.sum_month = 0, "", _xlpm.sum_month &amp; " pessoas impactadas no ano.")
)</f>
        <v/>
      </c>
      <c r="L37" s="9" t="s">
        <v>76</v>
      </c>
      <c r="M37" s="19">
        <v>1</v>
      </c>
      <c r="N37" s="5" t="s">
        <v>51</v>
      </c>
      <c r="O37" s="5" t="s">
        <v>52</v>
      </c>
      <c r="P37" s="10" t="s">
        <v>44</v>
      </c>
      <c r="Q37" s="10" t="s">
        <v>44</v>
      </c>
      <c r="R37" s="11" t="s">
        <v>44</v>
      </c>
      <c r="S37" s="11" t="s">
        <v>44</v>
      </c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G37" s="71">
        <v>0</v>
      </c>
      <c r="AH37" s="71">
        <v>0</v>
      </c>
      <c r="AI37" s="71">
        <v>0</v>
      </c>
      <c r="AJ37" s="71">
        <v>2328</v>
      </c>
      <c r="AK37" s="71"/>
      <c r="AL37" s="71"/>
      <c r="AM37" s="71"/>
      <c r="AN37" s="71"/>
      <c r="AO37" s="71"/>
      <c r="AP37" s="71"/>
      <c r="AQ37" s="71"/>
      <c r="AR37" s="71"/>
      <c r="AS37" s="94">
        <f t="shared" ca="1" si="13"/>
        <v>0</v>
      </c>
      <c r="AT37" s="95">
        <f>SUM(AG37:AR37)</f>
        <v>2328</v>
      </c>
      <c r="AU37" s="97">
        <f t="shared" si="14"/>
        <v>2328</v>
      </c>
      <c r="AW37" s="83">
        <f>AG37</f>
        <v>0</v>
      </c>
      <c r="AX37" s="83">
        <f t="shared" ref="AX37" si="108">AH37</f>
        <v>0</v>
      </c>
      <c r="AY37" s="83">
        <f t="shared" ref="AY37" si="109">AI37</f>
        <v>0</v>
      </c>
      <c r="AZ37" s="83">
        <f t="shared" ref="AZ37" si="110">AJ37</f>
        <v>2328</v>
      </c>
      <c r="BA37" s="52"/>
      <c r="BB37" s="52"/>
      <c r="BC37" s="52"/>
      <c r="BD37" s="52"/>
      <c r="BE37" s="52"/>
      <c r="BF37" s="52"/>
      <c r="BG37" s="52"/>
      <c r="BH37" s="52"/>
      <c r="BI37" s="68" cm="1">
        <f t="array" ref="BI37">IFERROR(INDEX(AW37:BH37,1,MATCH(2,1/(AW37:BH37&lt;&gt;""))),"")</f>
        <v>2328</v>
      </c>
      <c r="BJ37" s="68" cm="1">
        <f t="array" ref="BJ37">IF(BM37 = "", "",IFERROR(INDEX(AW37:BH37,1,MATCH(2,1/(AW37:BH37&lt;&gt;""),1)-1),""))</f>
        <v>0</v>
      </c>
      <c r="BK37" s="59">
        <f>SUM(AW37:BH37)</f>
        <v>2328</v>
      </c>
      <c r="BL37" s="59" cm="1">
        <f t="array" ref="BL37">IFERROR(SUM(AW37:INDEX(AW37:BH37, MATCH(2, 1/(AW37:BH37&lt;&gt;""), 1) - 1))/_xlfn.XLOOKUP(F37,Apuração!A:A,Apuração!B:B),0)</f>
        <v>0</v>
      </c>
      <c r="BM37" s="55" cm="1">
        <f t="array" ref="BM37">IFERROR(
   INDEX($AW$1:$BH$1,
      _xlfn.AGGREGATE(14, 6, COLUMN($AW$1:$BH$1)/(AW37:BH37&lt;&gt;""), 2) - COLUMN($AW$1) + 1
   ),
"")</f>
        <v>46082</v>
      </c>
      <c r="BN37" s="55" cm="1">
        <f t="array" ref="BN37">IFERROR(INDEX($AW$1:$BH$1,1,MATCH(2,1/(AW37:BH37&lt;&gt;""))),"")</f>
        <v>46113</v>
      </c>
      <c r="BO37" s="53">
        <f ca="1">IFERROR(_xlfn.XLOOKUP(F37,Apuração!A:A,Apuração!C:C)/_xlfn.XLOOKUP(F37,Apuração!A:A,Apuração!B:B),0)</f>
        <v>0.41666666666666669</v>
      </c>
      <c r="BP37" s="53">
        <f ca="1">IFERROR(_xlfn.XLOOKUP(F37,Apuração!A:A,Apuração!D:D)/_xlfn.XLOOKUP(F37,Apuração!A:A,Apuração!B:B),0)</f>
        <v>0.33333333333333331</v>
      </c>
      <c r="BQ37" s="53">
        <f ca="1">IF(BK37&gt;=BO37,0,_xlfn.XLOOKUP(F37,Apuração!A:A,Apuração!B:B)*(BO37 + (1/_xlfn.XLOOKUP(F37,Apuração!A:A,Apuração!B:B)) - BK37))</f>
        <v>0</v>
      </c>
      <c r="BR37" s="85">
        <f t="shared" ca="1" si="2"/>
        <v>0</v>
      </c>
      <c r="BS37" s="53">
        <f ca="1">IFERROR((_xlfn.XLOOKUP(F37,Apuração!A:A,Apuração!C:C)+1)/_xlfn.XLOOKUP(F37,Apuração!A:A,Apuração!B:B),0)</f>
        <v>0.5</v>
      </c>
    </row>
    <row r="38" spans="1:71" ht="25.5" hidden="1" customHeight="1" x14ac:dyDescent="0.3">
      <c r="A38" s="39" t="s">
        <v>33</v>
      </c>
      <c r="B38" s="4" t="s">
        <v>77</v>
      </c>
      <c r="C38" s="5" t="s">
        <v>35</v>
      </c>
      <c r="D38" s="5" t="s">
        <v>47</v>
      </c>
      <c r="E38" s="4" t="s">
        <v>80</v>
      </c>
      <c r="F38" s="4" t="str" cm="1">
        <f t="array" ref="F38">_xlfn.IFS(
AG38 &lt;&gt; "", "Jan-Dez/26",
AH38 &lt;&gt; "", "Fev-Dez/26",
AI38 &lt;&gt; "", "Mar-Dez/26", AJ38 &lt;&gt; "", "Abr-Dez/26",
TRUE, "A partir de Junho"
)</f>
        <v>Abr-Dez/26</v>
      </c>
      <c r="G38" s="4" t="s">
        <v>37</v>
      </c>
      <c r="H38" s="7" t="s">
        <v>38</v>
      </c>
      <c r="I38" s="9" t="s">
        <v>76</v>
      </c>
      <c r="J38" s="8" t="str" cm="1">
        <f t="array" aca="1" ref="J38" ca="1">_xlfn.LET(
  _xlpm.actual_value_month, INDEX(T38:AE38, MATCH(DATE(YEAR(TODAY()), MONTH(TODAY()), 1), $T$1:$AE$1, 0)),
  IF(_xlpm.actual_value_month &lt;&gt; "",_xlpm.actual_value_month &amp; " ações mensais", "")
)</f>
        <v/>
      </c>
      <c r="K38" s="8" t="str" cm="1">
        <f t="array" ref="K38">_xlfn.LET(
    _xlpm.sum_month, SUM(T38:AE38),
    IF(_xlpm.sum_month = 0, "", _xlpm.sum_month &amp; " pessoas impactadas no ano.")
)</f>
        <v/>
      </c>
      <c r="L38" s="9" t="s">
        <v>76</v>
      </c>
      <c r="M38" s="19">
        <v>1</v>
      </c>
      <c r="N38" s="5" t="s">
        <v>51</v>
      </c>
      <c r="O38" s="5" t="s">
        <v>52</v>
      </c>
      <c r="P38" s="10" t="s">
        <v>44</v>
      </c>
      <c r="Q38" s="10" t="s">
        <v>44</v>
      </c>
      <c r="R38" s="11" t="s">
        <v>44</v>
      </c>
      <c r="S38" s="11" t="s">
        <v>44</v>
      </c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G38" s="82"/>
      <c r="AH38" s="82"/>
      <c r="AI38" s="82"/>
      <c r="AJ38" s="148">
        <v>1164</v>
      </c>
      <c r="AK38" s="71"/>
      <c r="AL38" s="71"/>
      <c r="AM38" s="71"/>
      <c r="AN38" s="71"/>
      <c r="AO38" s="71"/>
      <c r="AP38" s="71"/>
      <c r="AQ38" s="71"/>
      <c r="AR38" s="71"/>
      <c r="AS38" s="94">
        <f t="shared" ref="AS38:AS39" ca="1" si="111">IF(MONTH(TODAY())=3,SUM(T38:U38),IF(MONTH(TODAY())=4,SUM(T38:V38),IF(MONTH(TODAY())=5,SUM(T38:W38),IF(MONTH(TODAY())=6,SUM(T38:X38),IF(MONTH(TODAY())=7,SUM(T38:Y38),IF(MONTH(TODAY())=8,SUM(T38:Z38),IF(MONTH(TODAY())=9,SUM(T38:AA38),IF(MONTH(TODAY())=10,SUM(T38:AB38),IF(MONTH(TODAY())=11,SUM(T38:AC38),IF(MONTH(TODAY())=12,SUM(T38:AD38),IF(MONTH(TODAY())=1,SUM(T38:AE38),T38)))))))))))</f>
        <v>0</v>
      </c>
      <c r="AT38" s="95">
        <f t="shared" ref="AT38:AT39" si="112">SUM(AG38:AR38)</f>
        <v>1164</v>
      </c>
      <c r="AU38" s="97">
        <f t="shared" ref="AU38:AU39" si="113">SUM(AG38:AR38)</f>
        <v>1164</v>
      </c>
      <c r="AW38" s="83">
        <f t="shared" ref="AW38:AW39" si="114">AG38</f>
        <v>0</v>
      </c>
      <c r="AX38" s="83">
        <f t="shared" ref="AX38:AX39" si="115">AH38</f>
        <v>0</v>
      </c>
      <c r="AY38" s="83">
        <f t="shared" ref="AY38:AY39" si="116">AI38</f>
        <v>0</v>
      </c>
      <c r="AZ38" s="83">
        <f t="shared" ref="AZ38:AZ39" si="117">AJ38</f>
        <v>1164</v>
      </c>
      <c r="BA38" s="52"/>
      <c r="BB38" s="52"/>
      <c r="BC38" s="52"/>
      <c r="BD38" s="52"/>
      <c r="BE38" s="52"/>
      <c r="BF38" s="52"/>
      <c r="BG38" s="52"/>
      <c r="BH38" s="52"/>
      <c r="BI38" s="68" cm="1">
        <f t="array" ref="BI38">IFERROR(INDEX(AW38:BH38,1,MATCH(2,1/(AW38:BH38&lt;&gt;""))),"")</f>
        <v>1164</v>
      </c>
      <c r="BJ38" s="68" cm="1">
        <f t="array" ref="BJ38">IF(BM38 = "", "",IFERROR(INDEX(AW38:BH38,1,MATCH(2,1/(AW38:BH38&lt;&gt;""),1)-1),""))</f>
        <v>0</v>
      </c>
      <c r="BK38" s="59">
        <f t="shared" ref="BK38:BK39" si="118">SUM(AW38:BH38)</f>
        <v>1164</v>
      </c>
      <c r="BL38" s="59" cm="1">
        <f t="array" ref="BL38">IFERROR(SUM(AW38:INDEX(AW38:BH38, MATCH(2, 1/(AW38:BH38&lt;&gt;""), 1) - 1))/_xlfn.XLOOKUP(F38,Apuração!A:A,Apuração!B:B),0)</f>
        <v>0</v>
      </c>
      <c r="BM38" s="55" cm="1">
        <f t="array" ref="BM38">IFERROR(
   INDEX($AW$1:$BH$1,
      _xlfn.AGGREGATE(14, 6, COLUMN($AW$1:$BH$1)/(AW38:BH38&lt;&gt;""), 2) - COLUMN($AW$1) + 1
   ),
"")</f>
        <v>46082</v>
      </c>
      <c r="BN38" s="55" cm="1">
        <f t="array" ref="BN38">IFERROR(INDEX($AW$1:$BH$1,1,MATCH(2,1/(AW38:BH38&lt;&gt;""))),"")</f>
        <v>46113</v>
      </c>
      <c r="BO38" s="53">
        <f ca="1">IFERROR(_xlfn.XLOOKUP(F38,Apuração!A:A,Apuração!C:C)/_xlfn.XLOOKUP(F38,Apuração!A:A,Apuração!B:B),0)</f>
        <v>0.22222222222222221</v>
      </c>
      <c r="BP38" s="53">
        <f ca="1">IFERROR(_xlfn.XLOOKUP(F38,Apuração!A:A,Apuração!D:D)/_xlfn.XLOOKUP(F38,Apuração!A:A,Apuração!B:B),0)</f>
        <v>0.1111111111111111</v>
      </c>
      <c r="BQ38" s="53">
        <f ca="1">IF(BK38&gt;=BO38,0,_xlfn.XLOOKUP(F38,Apuração!A:A,Apuração!B:B)*(BO38 + (1/_xlfn.XLOOKUP(F38,Apuração!A:A,Apuração!B:B)) - BK38))</f>
        <v>0</v>
      </c>
      <c r="BR38" s="85">
        <f t="shared" ref="BR38:BR39" ca="1" si="119">IF(BQ38=0,0,BQ38*Z38)</f>
        <v>0</v>
      </c>
      <c r="BS38" s="53">
        <f ca="1">IFERROR((_xlfn.XLOOKUP(F38,Apuração!A:A,Apuração!C:C)+1)/_xlfn.XLOOKUP(F38,Apuração!A:A,Apuração!B:B),0)</f>
        <v>0.33333333333333331</v>
      </c>
    </row>
    <row r="39" spans="1:71" ht="25.5" hidden="1" customHeight="1" x14ac:dyDescent="0.3">
      <c r="A39" s="39" t="s">
        <v>33</v>
      </c>
      <c r="B39" s="4" t="s">
        <v>77</v>
      </c>
      <c r="C39" s="5" t="s">
        <v>35</v>
      </c>
      <c r="D39" s="5" t="s">
        <v>48</v>
      </c>
      <c r="E39" s="4" t="s">
        <v>80</v>
      </c>
      <c r="F39" s="4" t="str" cm="1">
        <f t="array" ref="F39">_xlfn.IFS(
AG39 &lt;&gt; "", "Jan-Dez/26",
AH39 &lt;&gt; "", "Fev-Dez/26",
AI39 &lt;&gt; "", "Mar-Dez/26", AJ39 &lt;&gt; "", "Abr-Dez/26",
TRUE, "A partir de Junho"
)</f>
        <v>Abr-Dez/26</v>
      </c>
      <c r="G39" s="4" t="s">
        <v>37</v>
      </c>
      <c r="H39" s="7" t="s">
        <v>38</v>
      </c>
      <c r="I39" s="9" t="s">
        <v>76</v>
      </c>
      <c r="J39" s="8" t="str" cm="1">
        <f t="array" aca="1" ref="J39" ca="1">_xlfn.LET(
  _xlpm.actual_value_month, INDEX(T39:AE39, MATCH(DATE(YEAR(TODAY()), MONTH(TODAY()), 1), $T$1:$AE$1, 0)),
  IF(_xlpm.actual_value_month &lt;&gt; "",_xlpm.actual_value_month &amp; " ações mensais", "")
)</f>
        <v/>
      </c>
      <c r="K39" s="8" t="str" cm="1">
        <f t="array" ref="K39">_xlfn.LET(
    _xlpm.sum_month, SUM(T39:AE39),
    IF(_xlpm.sum_month = 0, "", _xlpm.sum_month &amp; " pessoas impactadas no ano.")
)</f>
        <v/>
      </c>
      <c r="L39" s="9" t="s">
        <v>76</v>
      </c>
      <c r="M39" s="19">
        <v>1</v>
      </c>
      <c r="N39" s="5" t="s">
        <v>51</v>
      </c>
      <c r="O39" s="5" t="s">
        <v>52</v>
      </c>
      <c r="P39" s="10" t="s">
        <v>44</v>
      </c>
      <c r="Q39" s="10" t="s">
        <v>44</v>
      </c>
      <c r="R39" s="11" t="s">
        <v>44</v>
      </c>
      <c r="S39" s="11" t="s">
        <v>44</v>
      </c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G39" s="82"/>
      <c r="AH39" s="82"/>
      <c r="AI39" s="82"/>
      <c r="AJ39" s="148">
        <v>1164</v>
      </c>
      <c r="AK39" s="71"/>
      <c r="AL39" s="71"/>
      <c r="AM39" s="71"/>
      <c r="AN39" s="71"/>
      <c r="AO39" s="71"/>
      <c r="AP39" s="71"/>
      <c r="AQ39" s="71"/>
      <c r="AR39" s="71"/>
      <c r="AS39" s="94">
        <f t="shared" ca="1" si="111"/>
        <v>0</v>
      </c>
      <c r="AT39" s="95">
        <f t="shared" si="112"/>
        <v>1164</v>
      </c>
      <c r="AU39" s="97">
        <f t="shared" si="113"/>
        <v>1164</v>
      </c>
      <c r="AW39" s="83">
        <f t="shared" si="114"/>
        <v>0</v>
      </c>
      <c r="AX39" s="83">
        <f t="shared" si="115"/>
        <v>0</v>
      </c>
      <c r="AY39" s="83">
        <f t="shared" si="116"/>
        <v>0</v>
      </c>
      <c r="AZ39" s="83">
        <f t="shared" si="117"/>
        <v>1164</v>
      </c>
      <c r="BA39" s="52"/>
      <c r="BB39" s="52"/>
      <c r="BC39" s="52"/>
      <c r="BD39" s="52"/>
      <c r="BE39" s="52"/>
      <c r="BF39" s="52"/>
      <c r="BG39" s="52"/>
      <c r="BH39" s="52"/>
      <c r="BI39" s="68" cm="1">
        <f t="array" ref="BI39">IFERROR(INDEX(AW39:BH39,1,MATCH(2,1/(AW39:BH39&lt;&gt;""))),"")</f>
        <v>1164</v>
      </c>
      <c r="BJ39" s="68" cm="1">
        <f t="array" ref="BJ39">IF(BM39 = "", "",IFERROR(INDEX(AW39:BH39,1,MATCH(2,1/(AW39:BH39&lt;&gt;""),1)-1),""))</f>
        <v>0</v>
      </c>
      <c r="BK39" s="59">
        <f t="shared" si="118"/>
        <v>1164</v>
      </c>
      <c r="BL39" s="59" cm="1">
        <f t="array" ref="BL39">IFERROR(SUM(AW39:INDEX(AW39:BH39, MATCH(2, 1/(AW39:BH39&lt;&gt;""), 1) - 1))/_xlfn.XLOOKUP(F39,Apuração!A:A,Apuração!B:B),0)</f>
        <v>0</v>
      </c>
      <c r="BM39" s="55" cm="1">
        <f t="array" ref="BM39">IFERROR(
   INDEX($AW$1:$BH$1,
      _xlfn.AGGREGATE(14, 6, COLUMN($AW$1:$BH$1)/(AW39:BH39&lt;&gt;""), 2) - COLUMN($AW$1) + 1
   ),
"")</f>
        <v>46082</v>
      </c>
      <c r="BN39" s="55" cm="1">
        <f t="array" ref="BN39">IFERROR(INDEX($AW$1:$BH$1,1,MATCH(2,1/(AW39:BH39&lt;&gt;""))),"")</f>
        <v>46113</v>
      </c>
      <c r="BO39" s="53">
        <f ca="1">IFERROR(_xlfn.XLOOKUP(F39,Apuração!A:A,Apuração!C:C)/_xlfn.XLOOKUP(F39,Apuração!A:A,Apuração!B:B),0)</f>
        <v>0.22222222222222221</v>
      </c>
      <c r="BP39" s="53">
        <f ca="1">IFERROR(_xlfn.XLOOKUP(F39,Apuração!A:A,Apuração!D:D)/_xlfn.XLOOKUP(F39,Apuração!A:A,Apuração!B:B),0)</f>
        <v>0.1111111111111111</v>
      </c>
      <c r="BQ39" s="53">
        <f ca="1">IF(BK39&gt;=BO39,0,_xlfn.XLOOKUP(F39,Apuração!A:A,Apuração!B:B)*(BO39 + (1/_xlfn.XLOOKUP(F39,Apuração!A:A,Apuração!B:B)) - BK39))</f>
        <v>0</v>
      </c>
      <c r="BR39" s="85">
        <f t="shared" ca="1" si="119"/>
        <v>0</v>
      </c>
      <c r="BS39" s="53">
        <f ca="1">IFERROR((_xlfn.XLOOKUP(F39,Apuração!A:A,Apuração!C:C)+1)/_xlfn.XLOOKUP(F39,Apuração!A:A,Apuração!B:B),0)</f>
        <v>0.33333333333333331</v>
      </c>
    </row>
    <row r="40" spans="1:71" ht="25.95" hidden="1" customHeight="1" x14ac:dyDescent="0.3">
      <c r="A40" s="3" t="s">
        <v>33</v>
      </c>
      <c r="B40" s="4" t="s">
        <v>81</v>
      </c>
      <c r="C40" s="5" t="s">
        <v>35</v>
      </c>
      <c r="D40" s="5" t="s">
        <v>36</v>
      </c>
      <c r="E40" s="4" t="str" cm="1">
        <f t="array" ref="E40">_xlfn.IFS(
F40 = "A partir de Abril", "Aguardando Execução na Distribuidora",
A40 = "CAPACITAÇÃO", "Em execução no Corporativo",
TRUE, "Em Execução na Distribuidora"
)</f>
        <v>Em Execução na Distribuidora</v>
      </c>
      <c r="F40" s="4" t="str" cm="1">
        <f t="array" ref="F40">_xlfn.IFS(
AG40 &lt;&gt; "", "Jan-Dez/26",
AH40 &lt;&gt; "", "Fev-Dez/26",
AI40 &lt;&gt; "", "Mar-Dez/26", AJ40 &lt;&gt; "", "Abr-Dez/26",
TRUE, "A partir de Junho"
)</f>
        <v>Mar-Dez/26</v>
      </c>
      <c r="G40" s="4" t="s">
        <v>37</v>
      </c>
      <c r="H40" s="7" t="s">
        <v>54</v>
      </c>
      <c r="I40" s="8" t="s">
        <v>55</v>
      </c>
      <c r="J40" s="8" t="str" cm="1">
        <f t="array" aca="1" ref="J40" ca="1">_xlfn.LET(
  _xlpm.actual_value_month, INDEX(T40:AE40, MATCH(DATE(YEAR(TODAY()), MONTH(TODAY()), 1), $T$1:$AE$1, 0)),
  IF(_xlpm.actual_value_month &lt;&gt; "",_xlpm.actual_value_month &amp; " eventos mensais", "")
)</f>
        <v>4 eventos mensais</v>
      </c>
      <c r="K40" s="8" t="str" cm="1">
        <f t="array" ref="K40">_xlfn.LET(
    _xlpm.sum_month, SUM(T40:AE40),
    IF(_xlpm.sum_month = 0, "", _xlpm.sum_month &amp; "  eventos no ano")
)</f>
        <v>37  eventos no ano</v>
      </c>
      <c r="L40" s="9" t="s">
        <v>82</v>
      </c>
      <c r="M40" s="13" t="s">
        <v>83</v>
      </c>
      <c r="N40" s="5" t="s">
        <v>42</v>
      </c>
      <c r="O40" s="5" t="s">
        <v>43</v>
      </c>
      <c r="P40" s="10" t="s">
        <v>44</v>
      </c>
      <c r="Q40" s="10" t="s">
        <v>44</v>
      </c>
      <c r="R40" s="11" t="s">
        <v>44</v>
      </c>
      <c r="S40" s="11" t="s">
        <v>44</v>
      </c>
      <c r="T40" s="22"/>
      <c r="U40" s="22"/>
      <c r="V40" s="22">
        <v>1</v>
      </c>
      <c r="W40" s="22">
        <v>4</v>
      </c>
      <c r="X40" s="22">
        <v>4</v>
      </c>
      <c r="Y40" s="22">
        <v>4</v>
      </c>
      <c r="Z40" s="22">
        <v>4</v>
      </c>
      <c r="AA40" s="22">
        <v>4</v>
      </c>
      <c r="AB40" s="22">
        <v>4</v>
      </c>
      <c r="AC40" s="22">
        <v>4</v>
      </c>
      <c r="AD40" s="22">
        <v>4</v>
      </c>
      <c r="AE40" s="22">
        <v>4</v>
      </c>
      <c r="AG40" s="71"/>
      <c r="AH40" s="71"/>
      <c r="AI40" s="71">
        <v>1</v>
      </c>
      <c r="AJ40" s="71">
        <v>2</v>
      </c>
      <c r="AK40" s="71"/>
      <c r="AL40" s="71"/>
      <c r="AM40" s="71"/>
      <c r="AN40" s="71"/>
      <c r="AO40" s="71"/>
      <c r="AP40" s="71"/>
      <c r="AQ40" s="71"/>
      <c r="AR40" s="71"/>
      <c r="AS40" s="94">
        <f t="shared" ca="1" si="13"/>
        <v>9</v>
      </c>
      <c r="AT40" s="95">
        <f>SUM(IF(AW40&lt;1.15,AG40,1.15*T40),IF(AX40&lt;1.15,AH40,1.15*U40),IF(AY40&lt;1.15,AI40,1.15*V40),IF(AZ40&lt;1.15,AJ40,1.15*W40),IF(BA40&lt;1.15,AK40,1.15*X40),IF(BB40&lt;1.15,AL40,1.15*Y40),IF(BC40&lt;1.15,AM40,1.15*Z40),IF(BD40&lt;1.15,AN40,1.15*AA40),IF(BE40&lt;1.15,AO40,1.15*AB40),IF(BF40&lt;1.15,AP40,1.15*AC40),IF(BG40&lt;1.15,AQ40,1.15*AD40),IF(BH40&lt;1.15,AR40,1.15*AE40))</f>
        <v>3</v>
      </c>
      <c r="AU40" s="97">
        <f t="shared" si="14"/>
        <v>3</v>
      </c>
      <c r="AW40" s="51">
        <f>IFERROR(IF(AG40="",0,AG40/T40),0)</f>
        <v>0</v>
      </c>
      <c r="AX40" s="51">
        <f>IFERROR(IF(AH40="",0,AH40/U40),0)</f>
        <v>0</v>
      </c>
      <c r="AY40" s="51">
        <f>IFERROR(IF(AI40="",0,AI40/V40),0)</f>
        <v>1</v>
      </c>
      <c r="AZ40" s="51">
        <f>IFERROR(IF(AJ40="",0,AJ40/W40),0)</f>
        <v>0.5</v>
      </c>
      <c r="BA40" s="51"/>
      <c r="BB40" s="51"/>
      <c r="BC40" s="51"/>
      <c r="BD40" s="51"/>
      <c r="BE40" s="51"/>
      <c r="BF40" s="51"/>
      <c r="BG40" s="51"/>
      <c r="BH40" s="51"/>
      <c r="BI40" s="65" cm="1">
        <f t="array" ref="BI40">IFERROR(INDEX(AW40:BH40,1,MATCH(2,1/(AW40:BH40&lt;&gt;""))),"")</f>
        <v>0.5</v>
      </c>
      <c r="BJ40" s="68" cm="1">
        <f t="array" ref="BJ40">IF(BM40 = "", "",IFERROR(INDEX(AW40:BH40,1,MATCH(2,1/(AW40:BH40&lt;&gt;""),1)-1),""))</f>
        <v>1</v>
      </c>
      <c r="BK40" s="58">
        <f>IF((IF(AW40&gt;=115%,115%,AW40) + IF(AX40&gt;=115%,115%,AX40) + IF(AY40&gt;=115%,115%,AY40) + (IF(AZ40&gt;=115%,115%,AZ40) + IF(BA40&gt;=115%,115%,BA40) + IF(BB40&gt;=115%,115%,BB40) + IF(BC40&gt;=115%,115%,BC40) + IF(BD40&gt;=115%,115%,BD40) + IF(BE40&gt;=115%,115%,BE40) + IF(BF40&gt;=115%,115%,BF40) + IF(BG40&gt;=140%,140%,BG40) + IF(BH40&gt;=115%,115%,BH40)))/_xlfn.XLOOKUP(F40,Apuração!A:A,Apuração!B:B)&gt;=1.15,1.15,((IF(AZ40&gt;=115%,115%,AZ40) + IF(AX40&gt;=115%,115%,AX40) + IF(AY40&gt;=115%,115%,AY40) + (IF(AW40&gt;=115%,115%,AW40) + IF(BA40&gt;=115%,115%,BA40) + IF(BB40&gt;=115%,115%,BB40) + IF(BC40&gt;=115%,115%,BC40) + IF(BD40&gt;=115%,115%,BD40) + IF(BE40&gt;=115%,115%,BE40) + IF(BF40&gt;=115%,115%,BF40) + IF(BG40&gt;=140%,140%,BG40) + IF(BH40&gt;=115%,115%,BH40)))/_xlfn.XLOOKUP(F40,Apuração!A:A,Apuração!B:B)))</f>
        <v>0.15</v>
      </c>
      <c r="BL40" s="58" cm="1">
        <f t="array" aca="1" ref="BL40" ca="1">IF(SUM(IFERROR(IF(INDEX(AW40:INDEX(AW40:BH40, MATCH(2, 1/(AW40:BH40&lt;&gt;""), 1)-1), ROW(INDIRECT("1:" &amp; MATCH(2, 1/(AW40:BH40&lt;&gt;""), 1)-1))) &gt;= 115%, 115%, INDEX(AW40:INDEX(AW40:BH40, MATCH(2, 1/(AW40:BH40&lt;&gt;""), 1)-1), ROW(INDIRECT("1:" &amp; MATCH(2, 1/(AW40:BH40&lt;&gt;""), 1)-1)))), 0))/_xlfn.XLOOKUP(F40,Apuração!A:A,Apuração!B:B)&gt;=1.15,1.15,SUM(IFERROR(IF(INDEX(AW40:INDEX(AW40:BH40, MATCH(2, 1/(AW40:BH40&lt;&gt;""), 1)-1), ROW(INDIRECT("1:" &amp; MATCH(2, 1/(AW40:BH40&lt;&gt;""), 1)-1))) &gt;= 115%, 115%, INDEX(AW40:INDEX(AW40:BH40, MATCH(2, 1/(AW40:BH40&lt;&gt;""), 1)-1), ROW(INDIRECT("1:" &amp; MATCH(2, 1/(AW40:BH40&lt;&gt;""), 1)-1)))), 0))/_xlfn.XLOOKUP(F40,Apuração!A:A,Apuração!B:B))</f>
        <v>0.1</v>
      </c>
      <c r="BM40" s="55" cm="1">
        <f t="array" ref="BM40">IFERROR(
   INDEX($AW$1:$BH$1,
      _xlfn.AGGREGATE(14, 6, COLUMN($AW$1:$BH$1)/(AW40:BH40&lt;&gt;""), 2) - COLUMN($AW$1) + 1
   ),
"")</f>
        <v>46082</v>
      </c>
      <c r="BN40" s="55" cm="1">
        <f t="array" ref="BN40">IFERROR(INDEX($AW$1:$BH$1,1,MATCH(2,1/(AW40:BH40&lt;&gt;""))),"")</f>
        <v>46113</v>
      </c>
      <c r="BO40" s="53">
        <f ca="1">IFERROR(_xlfn.XLOOKUP(F40,Apuração!A:A,Apuração!C:C)/_xlfn.XLOOKUP(F40,Apuração!A:A,Apuração!B:B),0)</f>
        <v>0.3</v>
      </c>
      <c r="BP40" s="53">
        <f ca="1">IFERROR(_xlfn.XLOOKUP(F40,Apuração!A:A,Apuração!D:D)/_xlfn.XLOOKUP(F40,Apuração!A:A,Apuração!B:B),0)</f>
        <v>0.2</v>
      </c>
      <c r="BQ40" s="53">
        <f ca="1">IF(BK40&gt;=BO40,0,_xlfn.XLOOKUP(F40,Apuração!A:A,Apuração!B:B)*(BO40 + (1/_xlfn.XLOOKUP(F40,Apuração!A:A,Apuração!B:B)) - BK40))</f>
        <v>2.5</v>
      </c>
      <c r="BR40" s="85">
        <f t="shared" ca="1" si="2"/>
        <v>10</v>
      </c>
      <c r="BS40" s="53">
        <f ca="1">IFERROR((_xlfn.XLOOKUP(F40,Apuração!A:A,Apuração!C:C)+1)/_xlfn.XLOOKUP(F40,Apuração!A:A,Apuração!B:B),0)</f>
        <v>0.4</v>
      </c>
    </row>
    <row r="41" spans="1:71" ht="25.95" hidden="1" customHeight="1" x14ac:dyDescent="0.3">
      <c r="A41" s="3" t="s">
        <v>33</v>
      </c>
      <c r="B41" s="4" t="s">
        <v>81</v>
      </c>
      <c r="C41" s="5" t="s">
        <v>35</v>
      </c>
      <c r="D41" s="5" t="s">
        <v>47</v>
      </c>
      <c r="E41" s="4" t="str" cm="1">
        <f t="array" ref="E41">_xlfn.IFS(
F41 = "A partir de Abril", "Aguardando Execução na Distribuidora",
A41 = "CAPACITAÇÃO", "Em execução no Corporativo",
TRUE, "Em Execução na Distribuidora"
)</f>
        <v>Em Execução na Distribuidora</v>
      </c>
      <c r="F41" s="4" t="str" cm="1">
        <f t="array" ref="F41">_xlfn.IFS(
AG41 &lt;&gt; "", "Jan-Dez/26",
AH41 &lt;&gt; "", "Fev-Dez/26",
AI41 &lt;&gt; "", "Mar-Dez/26", AJ41 &lt;&gt; "", "Abr-Dez/26",
TRUE, "A partir de Junho"
)</f>
        <v>Mar-Dez/26</v>
      </c>
      <c r="G41" s="4" t="s">
        <v>37</v>
      </c>
      <c r="H41" s="7" t="s">
        <v>54</v>
      </c>
      <c r="I41" s="8" t="s">
        <v>55</v>
      </c>
      <c r="J41" s="8" t="str" cm="1">
        <f t="array" aca="1" ref="J41" ca="1">_xlfn.LET(
  _xlpm.actual_value_month, INDEX(T41:AE41, MATCH(DATE(YEAR(TODAY()), MONTH(TODAY()), 1), $T$1:$AE$1, 0)),
  IF(_xlpm.actual_value_month &lt;&gt; "",_xlpm.actual_value_month &amp; " eventos mensais", "")
)</f>
        <v>2 eventos mensais</v>
      </c>
      <c r="K41" s="8" t="str" cm="1">
        <f t="array" ref="K41">_xlfn.LET(
    _xlpm.sum_month, SUM(T41:AE41),
    IF(_xlpm.sum_month = 0, "", _xlpm.sum_month &amp; "  eventos no ano")
)</f>
        <v>19  eventos no ano</v>
      </c>
      <c r="L41" s="9" t="s">
        <v>82</v>
      </c>
      <c r="M41" s="13" t="s">
        <v>83</v>
      </c>
      <c r="N41" s="5" t="s">
        <v>42</v>
      </c>
      <c r="O41" s="5" t="s">
        <v>43</v>
      </c>
      <c r="P41" s="10" t="s">
        <v>44</v>
      </c>
      <c r="Q41" s="10" t="s">
        <v>44</v>
      </c>
      <c r="R41" s="11" t="s">
        <v>44</v>
      </c>
      <c r="S41" s="11" t="s">
        <v>44</v>
      </c>
      <c r="T41" s="143"/>
      <c r="U41" s="143"/>
      <c r="V41" s="143">
        <v>1</v>
      </c>
      <c r="W41" s="143">
        <v>2</v>
      </c>
      <c r="X41" s="143">
        <v>2</v>
      </c>
      <c r="Y41" s="143">
        <v>2</v>
      </c>
      <c r="Z41" s="143">
        <v>2</v>
      </c>
      <c r="AA41" s="143">
        <v>2</v>
      </c>
      <c r="AB41" s="143">
        <v>2</v>
      </c>
      <c r="AC41" s="143">
        <v>2</v>
      </c>
      <c r="AD41" s="143">
        <v>2</v>
      </c>
      <c r="AE41" s="143">
        <v>2</v>
      </c>
      <c r="AG41" s="82"/>
      <c r="AH41" s="82"/>
      <c r="AI41" s="82">
        <v>1</v>
      </c>
      <c r="AJ41" s="145">
        <v>2</v>
      </c>
      <c r="AK41" s="71"/>
      <c r="AL41" s="71"/>
      <c r="AM41" s="71"/>
      <c r="AN41" s="71"/>
      <c r="AO41" s="71"/>
      <c r="AP41" s="71"/>
      <c r="AQ41" s="71"/>
      <c r="AR41" s="71"/>
      <c r="AS41" s="94">
        <f t="shared" ref="AS41:AS42" ca="1" si="120">IF(MONTH(TODAY())=3,SUM(T41:U41),IF(MONTH(TODAY())=4,SUM(T41:V41),IF(MONTH(TODAY())=5,SUM(T41:W41),IF(MONTH(TODAY())=6,SUM(T41:X41),IF(MONTH(TODAY())=7,SUM(T41:Y41),IF(MONTH(TODAY())=8,SUM(T41:Z41),IF(MONTH(TODAY())=9,SUM(T41:AA41),IF(MONTH(TODAY())=10,SUM(T41:AB41),IF(MONTH(TODAY())=11,SUM(T41:AC41),IF(MONTH(TODAY())=12,SUM(T41:AD41),IF(MONTH(TODAY())=1,SUM(T41:AE41),T41)))))))))))</f>
        <v>5</v>
      </c>
      <c r="AT41" s="95">
        <f t="shared" ref="AT41:AT42" si="121">SUM(IF(AW41&lt;1.15,AG41,1.15*T41),IF(AX41&lt;1.15,AH41,1.15*U41),IF(AY41&lt;1.15,AI41,1.15*V41),IF(AZ41&lt;1.15,AJ41,1.15*W41),IF(BA41&lt;1.15,AK41,1.15*X41),IF(BB41&lt;1.15,AL41,1.15*Y41),IF(BC41&lt;1.15,AM41,1.15*Z41),IF(BD41&lt;1.15,AN41,1.15*AA41),IF(BE41&lt;1.15,AO41,1.15*AB41),IF(BF41&lt;1.15,AP41,1.15*AC41),IF(BG41&lt;1.15,AQ41,1.15*AD41),IF(BH41&lt;1.15,AR41,1.15*AE41))</f>
        <v>3</v>
      </c>
      <c r="AU41" s="97">
        <f t="shared" ref="AU41:AU42" si="122">SUM(AG41:AR41)</f>
        <v>3</v>
      </c>
      <c r="AW41" s="51">
        <f t="shared" ref="AW41:AW42" si="123">IFERROR(IF(AG41="",0,AG41/T41),0)</f>
        <v>0</v>
      </c>
      <c r="AX41" s="51">
        <f t="shared" ref="AX41:AX42" si="124">IFERROR(IF(AH41="",0,AH41/U41),0)</f>
        <v>0</v>
      </c>
      <c r="AY41" s="51">
        <f t="shared" ref="AY41:AY42" si="125">IFERROR(IF(AI41="",0,AI41/V41),0)</f>
        <v>1</v>
      </c>
      <c r="AZ41" s="51">
        <f t="shared" ref="AZ41:AZ42" si="126">IFERROR(IF(AJ41="",0,AJ41/W41),0)</f>
        <v>1</v>
      </c>
      <c r="BA41" s="51"/>
      <c r="BB41" s="51"/>
      <c r="BC41" s="51"/>
      <c r="BD41" s="51"/>
      <c r="BE41" s="51"/>
      <c r="BF41" s="51"/>
      <c r="BG41" s="51"/>
      <c r="BH41" s="51"/>
      <c r="BI41" s="65" cm="1">
        <f t="array" ref="BI41">IFERROR(INDEX(AW41:BH41,1,MATCH(2,1/(AW41:BH41&lt;&gt;""))),"")</f>
        <v>1</v>
      </c>
      <c r="BJ41" s="68" cm="1">
        <f t="array" ref="BJ41">IF(BM41 = "", "",IFERROR(INDEX(AW41:BH41,1,MATCH(2,1/(AW41:BH41&lt;&gt;""),1)-1),""))</f>
        <v>1</v>
      </c>
      <c r="BK41" s="58">
        <f>IF((IF(AW41&gt;=115%,115%,AW41) + IF(AX41&gt;=115%,115%,AX41) + IF(AY41&gt;=115%,115%,AY41) + (IF(AZ41&gt;=115%,115%,AZ41) + IF(BA41&gt;=115%,115%,BA41) + IF(BB41&gt;=115%,115%,BB41) + IF(BC41&gt;=115%,115%,BC41) + IF(BD41&gt;=115%,115%,BD41) + IF(BE41&gt;=115%,115%,BE41) + IF(BF41&gt;=115%,115%,BF41) + IF(BG41&gt;=140%,140%,BG41) + IF(BH41&gt;=115%,115%,BH41)))/_xlfn.XLOOKUP(F41,Apuração!A:A,Apuração!B:B)&gt;=1.15,1.15,((IF(AZ41&gt;=115%,115%,AZ41) + IF(AX41&gt;=115%,115%,AX41) + IF(AY41&gt;=115%,115%,AY41) + (IF(AW41&gt;=115%,115%,AW41) + IF(BA41&gt;=115%,115%,BA41) + IF(BB41&gt;=115%,115%,BB41) + IF(BC41&gt;=115%,115%,BC41) + IF(BD41&gt;=115%,115%,BD41) + IF(BE41&gt;=115%,115%,BE41) + IF(BF41&gt;=115%,115%,BF41) + IF(BG41&gt;=140%,140%,BG41) + IF(BH41&gt;=115%,115%,BH41)))/_xlfn.XLOOKUP(F41,Apuração!A:A,Apuração!B:B)))</f>
        <v>0.2</v>
      </c>
      <c r="BL41" s="58" cm="1">
        <f t="array" aca="1" ref="BL41" ca="1">IF(SUM(IFERROR(IF(INDEX(AW41:INDEX(AW41:BH41, MATCH(2, 1/(AW41:BH41&lt;&gt;""), 1)-1), ROW(INDIRECT("1:" &amp; MATCH(2, 1/(AW41:BH41&lt;&gt;""), 1)-1))) &gt;= 115%, 115%, INDEX(AW41:INDEX(AW41:BH41, MATCH(2, 1/(AW41:BH41&lt;&gt;""), 1)-1), ROW(INDIRECT("1:" &amp; MATCH(2, 1/(AW41:BH41&lt;&gt;""), 1)-1)))), 0))/_xlfn.XLOOKUP(F41,Apuração!A:A,Apuração!B:B)&gt;=1.15,1.15,SUM(IFERROR(IF(INDEX(AW41:INDEX(AW41:BH41, MATCH(2, 1/(AW41:BH41&lt;&gt;""), 1)-1), ROW(INDIRECT("1:" &amp; MATCH(2, 1/(AW41:BH41&lt;&gt;""), 1)-1))) &gt;= 115%, 115%, INDEX(AW41:INDEX(AW41:BH41, MATCH(2, 1/(AW41:BH41&lt;&gt;""), 1)-1), ROW(INDIRECT("1:" &amp; MATCH(2, 1/(AW41:BH41&lt;&gt;""), 1)-1)))), 0))/_xlfn.XLOOKUP(F41,Apuração!A:A,Apuração!B:B))</f>
        <v>0.1</v>
      </c>
      <c r="BM41" s="55" cm="1">
        <f t="array" ref="BM41">IFERROR(
   INDEX($AW$1:$BH$1,
      _xlfn.AGGREGATE(14, 6, COLUMN($AW$1:$BH$1)/(AW41:BH41&lt;&gt;""), 2) - COLUMN($AW$1) + 1
   ),
"")</f>
        <v>46082</v>
      </c>
      <c r="BN41" s="55" cm="1">
        <f t="array" ref="BN41">IFERROR(INDEX($AW$1:$BH$1,1,MATCH(2,1/(AW41:BH41&lt;&gt;""))),"")</f>
        <v>46113</v>
      </c>
      <c r="BO41" s="53">
        <f ca="1">IFERROR(_xlfn.XLOOKUP(F41,Apuração!A:A,Apuração!C:C)/_xlfn.XLOOKUP(F41,Apuração!A:A,Apuração!B:B),0)</f>
        <v>0.3</v>
      </c>
      <c r="BP41" s="53">
        <f ca="1">IFERROR(_xlfn.XLOOKUP(F41,Apuração!A:A,Apuração!D:D)/_xlfn.XLOOKUP(F41,Apuração!A:A,Apuração!B:B),0)</f>
        <v>0.2</v>
      </c>
      <c r="BQ41" s="53">
        <f ca="1">IF(BK41&gt;=BO41,0,_xlfn.XLOOKUP(F41,Apuração!A:A,Apuração!B:B)*(BO41 + (1/_xlfn.XLOOKUP(F41,Apuração!A:A,Apuração!B:B)) - BK41))</f>
        <v>2</v>
      </c>
      <c r="BR41" s="85">
        <f t="shared" ref="BR41:BR42" ca="1" si="127">IF(BQ41=0,0,BQ41*Z41)</f>
        <v>4</v>
      </c>
      <c r="BS41" s="53">
        <f ca="1">IFERROR((_xlfn.XLOOKUP(F41,Apuração!A:A,Apuração!C:C)+1)/_xlfn.XLOOKUP(F41,Apuração!A:A,Apuração!B:B),0)</f>
        <v>0.4</v>
      </c>
    </row>
    <row r="42" spans="1:71" ht="25.95" hidden="1" customHeight="1" x14ac:dyDescent="0.3">
      <c r="A42" s="3" t="s">
        <v>33</v>
      </c>
      <c r="B42" s="4" t="s">
        <v>81</v>
      </c>
      <c r="C42" s="5" t="s">
        <v>35</v>
      </c>
      <c r="D42" s="5" t="s">
        <v>48</v>
      </c>
      <c r="E42" s="4" t="str" cm="1">
        <f t="array" ref="E42">_xlfn.IFS(
F42 = "A partir de Abril", "Aguardando Execução na Distribuidora",
A42 = "CAPACITAÇÃO", "Em execução no Corporativo",
TRUE, "Em Execução na Distribuidora"
)</f>
        <v>Em Execução na Distribuidora</v>
      </c>
      <c r="F42" s="4" t="str" cm="1">
        <f t="array" ref="F42">_xlfn.IFS(
AG42 &lt;&gt; "", "Jan-Dez/26",
AH42 &lt;&gt; "", "Fev-Dez/26",
AI42 &lt;&gt; "", "Mar-Dez/26", AJ42 &lt;&gt; "", "Abr-Dez/26",
TRUE, "A partir de Junho"
)</f>
        <v>Mar-Dez/26</v>
      </c>
      <c r="G42" s="4" t="s">
        <v>37</v>
      </c>
      <c r="H42" s="7" t="s">
        <v>54</v>
      </c>
      <c r="I42" s="8" t="s">
        <v>55</v>
      </c>
      <c r="J42" s="8" t="str" cm="1">
        <f t="array" aca="1" ref="J42" ca="1">_xlfn.LET(
  _xlpm.actual_value_month, INDEX(T42:AE42, MATCH(DATE(YEAR(TODAY()), MONTH(TODAY()), 1), $T$1:$AE$1, 0)),
  IF(_xlpm.actual_value_month &lt;&gt; "",_xlpm.actual_value_month &amp; " eventos mensais", "")
)</f>
        <v>2 eventos mensais</v>
      </c>
      <c r="K42" s="8" t="str" cm="1">
        <f t="array" ref="K42">_xlfn.LET(
    _xlpm.sum_month, SUM(T42:AE42),
    IF(_xlpm.sum_month = 0, "", _xlpm.sum_month &amp; "  eventos no ano")
)</f>
        <v>18  eventos no ano</v>
      </c>
      <c r="L42" s="9" t="s">
        <v>82</v>
      </c>
      <c r="M42" s="13" t="s">
        <v>83</v>
      </c>
      <c r="N42" s="5" t="s">
        <v>42</v>
      </c>
      <c r="O42" s="5" t="s">
        <v>43</v>
      </c>
      <c r="P42" s="10" t="s">
        <v>44</v>
      </c>
      <c r="Q42" s="10" t="s">
        <v>44</v>
      </c>
      <c r="R42" s="11" t="s">
        <v>44</v>
      </c>
      <c r="S42" s="11" t="s">
        <v>44</v>
      </c>
      <c r="T42" s="143"/>
      <c r="U42" s="143"/>
      <c r="V42" s="143"/>
      <c r="W42" s="143">
        <v>2</v>
      </c>
      <c r="X42" s="143">
        <v>2</v>
      </c>
      <c r="Y42" s="143">
        <v>2</v>
      </c>
      <c r="Z42" s="143">
        <v>2</v>
      </c>
      <c r="AA42" s="143">
        <v>2</v>
      </c>
      <c r="AB42" s="143">
        <v>2</v>
      </c>
      <c r="AC42" s="143">
        <v>2</v>
      </c>
      <c r="AD42" s="143">
        <v>2</v>
      </c>
      <c r="AE42" s="143">
        <v>2</v>
      </c>
      <c r="AG42" s="82"/>
      <c r="AH42" s="82"/>
      <c r="AI42" s="82">
        <v>0</v>
      </c>
      <c r="AJ42" s="146">
        <v>0</v>
      </c>
      <c r="AK42" s="71"/>
      <c r="AL42" s="71"/>
      <c r="AM42" s="71"/>
      <c r="AN42" s="71"/>
      <c r="AO42" s="71"/>
      <c r="AP42" s="71"/>
      <c r="AQ42" s="71"/>
      <c r="AR42" s="71"/>
      <c r="AS42" s="94">
        <f t="shared" ca="1" si="120"/>
        <v>4</v>
      </c>
      <c r="AT42" s="95">
        <f t="shared" si="121"/>
        <v>0</v>
      </c>
      <c r="AU42" s="97">
        <f t="shared" si="122"/>
        <v>0</v>
      </c>
      <c r="AW42" s="51">
        <f t="shared" si="123"/>
        <v>0</v>
      </c>
      <c r="AX42" s="51">
        <f t="shared" si="124"/>
        <v>0</v>
      </c>
      <c r="AY42" s="51">
        <f t="shared" si="125"/>
        <v>0</v>
      </c>
      <c r="AZ42" s="51">
        <f t="shared" si="126"/>
        <v>0</v>
      </c>
      <c r="BA42" s="51"/>
      <c r="BB42" s="51"/>
      <c r="BC42" s="51"/>
      <c r="BD42" s="51"/>
      <c r="BE42" s="51"/>
      <c r="BF42" s="51"/>
      <c r="BG42" s="51"/>
      <c r="BH42" s="51"/>
      <c r="BI42" s="65" cm="1">
        <f t="array" ref="BI42">IFERROR(INDEX(AW42:BH42,1,MATCH(2,1/(AW42:BH42&lt;&gt;""))),"")</f>
        <v>0</v>
      </c>
      <c r="BJ42" s="68" cm="1">
        <f t="array" ref="BJ42">IF(BM42 = "", "",IFERROR(INDEX(AW42:BH42,1,MATCH(2,1/(AW42:BH42&lt;&gt;""),1)-1),""))</f>
        <v>0</v>
      </c>
      <c r="BK42" s="58">
        <f>IF((IF(AW42&gt;=115%,115%,AW42) + IF(AX42&gt;=115%,115%,AX42) + IF(AY42&gt;=115%,115%,AY42) + (IF(AZ42&gt;=115%,115%,AZ42) + IF(BA42&gt;=115%,115%,BA42) + IF(BB42&gt;=115%,115%,BB42) + IF(BC42&gt;=115%,115%,BC42) + IF(BD42&gt;=115%,115%,BD42) + IF(BE42&gt;=115%,115%,BE42) + IF(BF42&gt;=115%,115%,BF42) + IF(BG42&gt;=140%,140%,BG42) + IF(BH42&gt;=115%,115%,BH42)))/_xlfn.XLOOKUP(F42,Apuração!A:A,Apuração!B:B)&gt;=1.15,1.15,((IF(AZ42&gt;=115%,115%,AZ42) + IF(AX42&gt;=115%,115%,AX42) + IF(AY42&gt;=115%,115%,AY42) + (IF(AW42&gt;=115%,115%,AW42) + IF(BA42&gt;=115%,115%,BA42) + IF(BB42&gt;=115%,115%,BB42) + IF(BC42&gt;=115%,115%,BC42) + IF(BD42&gt;=115%,115%,BD42) + IF(BE42&gt;=115%,115%,BE42) + IF(BF42&gt;=115%,115%,BF42) + IF(BG42&gt;=140%,140%,BG42) + IF(BH42&gt;=115%,115%,BH42)))/_xlfn.XLOOKUP(F42,Apuração!A:A,Apuração!B:B)))</f>
        <v>0</v>
      </c>
      <c r="BL42" s="58" cm="1">
        <f t="array" aca="1" ref="BL42" ca="1">IF(SUM(IFERROR(IF(INDEX(AW42:INDEX(AW42:BH42, MATCH(2, 1/(AW42:BH42&lt;&gt;""), 1)-1), ROW(INDIRECT("1:" &amp; MATCH(2, 1/(AW42:BH42&lt;&gt;""), 1)-1))) &gt;= 115%, 115%, INDEX(AW42:INDEX(AW42:BH42, MATCH(2, 1/(AW42:BH42&lt;&gt;""), 1)-1), ROW(INDIRECT("1:" &amp; MATCH(2, 1/(AW42:BH42&lt;&gt;""), 1)-1)))), 0))/_xlfn.XLOOKUP(F42,Apuração!A:A,Apuração!B:B)&gt;=1.15,1.15,SUM(IFERROR(IF(INDEX(AW42:INDEX(AW42:BH42, MATCH(2, 1/(AW42:BH42&lt;&gt;""), 1)-1), ROW(INDIRECT("1:" &amp; MATCH(2, 1/(AW42:BH42&lt;&gt;""), 1)-1))) &gt;= 115%, 115%, INDEX(AW42:INDEX(AW42:BH42, MATCH(2, 1/(AW42:BH42&lt;&gt;""), 1)-1), ROW(INDIRECT("1:" &amp; MATCH(2, 1/(AW42:BH42&lt;&gt;""), 1)-1)))), 0))/_xlfn.XLOOKUP(F42,Apuração!A:A,Apuração!B:B))</f>
        <v>0</v>
      </c>
      <c r="BM42" s="55" cm="1">
        <f t="array" ref="BM42">IFERROR(
   INDEX($AW$1:$BH$1,
      _xlfn.AGGREGATE(14, 6, COLUMN($AW$1:$BH$1)/(AW42:BH42&lt;&gt;""), 2) - COLUMN($AW$1) + 1
   ),
"")</f>
        <v>46082</v>
      </c>
      <c r="BN42" s="55" cm="1">
        <f t="array" ref="BN42">IFERROR(INDEX($AW$1:$BH$1,1,MATCH(2,1/(AW42:BH42&lt;&gt;""))),"")</f>
        <v>46113</v>
      </c>
      <c r="BO42" s="53">
        <f ca="1">IFERROR(_xlfn.XLOOKUP(F42,Apuração!A:A,Apuração!C:C)/_xlfn.XLOOKUP(F42,Apuração!A:A,Apuração!B:B),0)</f>
        <v>0.3</v>
      </c>
      <c r="BP42" s="53">
        <f ca="1">IFERROR(_xlfn.XLOOKUP(F42,Apuração!A:A,Apuração!D:D)/_xlfn.XLOOKUP(F42,Apuração!A:A,Apuração!B:B),0)</f>
        <v>0.2</v>
      </c>
      <c r="BQ42" s="53">
        <f ca="1">IF(BK42&gt;=BO42,0,_xlfn.XLOOKUP(F42,Apuração!A:A,Apuração!B:B)*(BO42 + (1/_xlfn.XLOOKUP(F42,Apuração!A:A,Apuração!B:B)) - BK42))</f>
        <v>4</v>
      </c>
      <c r="BR42" s="85">
        <f t="shared" ca="1" si="127"/>
        <v>8</v>
      </c>
      <c r="BS42" s="53">
        <f ca="1">IFERROR((_xlfn.XLOOKUP(F42,Apuração!A:A,Apuração!C:C)+1)/_xlfn.XLOOKUP(F42,Apuração!A:A,Apuração!B:B),0)</f>
        <v>0.4</v>
      </c>
    </row>
    <row r="43" spans="1:71" ht="25.95" hidden="1" customHeight="1" x14ac:dyDescent="0.3">
      <c r="A43" s="39" t="s">
        <v>33</v>
      </c>
      <c r="B43" s="4" t="s">
        <v>81</v>
      </c>
      <c r="C43" s="5" t="s">
        <v>35</v>
      </c>
      <c r="D43" s="5" t="s">
        <v>36</v>
      </c>
      <c r="E43" s="4" t="str" cm="1">
        <f t="array" ref="E43">_xlfn.IFS(
F43 = "A partir de Abril", "Aguardando Execução na Distribuidora",
A43 = "CAPACITAÇÃO", "Em execução no Corporativo",
TRUE, "Em Execução na Distribuidora"
)</f>
        <v>Em Execução na Distribuidora</v>
      </c>
      <c r="F43" s="4" t="str" cm="1">
        <f t="array" ref="F43">_xlfn.IFS(
AG43 &lt;&gt; "", "Jan-Dez/26",
AH43 &lt;&gt; "", "Fev-Dez/26",
AI43 &lt;&gt; "", "Mar-Dez/26", AJ43 &lt;&gt; "", "Abr-Dez/26",
TRUE, "A partir de Junho"
)</f>
        <v>Mar-Dez/26</v>
      </c>
      <c r="G43" s="4" t="s">
        <v>37</v>
      </c>
      <c r="H43" s="7" t="s">
        <v>54</v>
      </c>
      <c r="I43" s="9" t="s">
        <v>76</v>
      </c>
      <c r="J43" s="8" t="str" cm="1">
        <f t="array" aca="1" ref="J43" ca="1">_xlfn.LET(
  _xlpm.actual_value_month, INDEX(T43:AE43, MATCH(DATE(YEAR(TODAY()), MONTH(TODAY()), 1), $T$1:$AE$1, 0)),
  IF(_xlpm.actual_value_month &lt;&gt; "",_xlpm.actual_value_month &amp; " ações mensais", "")
)</f>
        <v/>
      </c>
      <c r="K43" s="8" t="str" cm="1">
        <f t="array" ref="K43">_xlfn.LET(
    _xlpm.sum_month, SUM(T43:AE43),
    IF(_xlpm.sum_month = 0, "", _xlpm.sum_month &amp; " público impactado no ano.")
)</f>
        <v/>
      </c>
      <c r="L43" s="9" t="s">
        <v>76</v>
      </c>
      <c r="M43" s="13">
        <v>1</v>
      </c>
      <c r="N43" s="5" t="s">
        <v>51</v>
      </c>
      <c r="O43" s="5" t="s">
        <v>52</v>
      </c>
      <c r="P43" s="10" t="s">
        <v>44</v>
      </c>
      <c r="Q43" s="10" t="s">
        <v>44</v>
      </c>
      <c r="R43" s="11" t="s">
        <v>44</v>
      </c>
      <c r="S43" s="11" t="s">
        <v>44</v>
      </c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G43" s="71"/>
      <c r="AH43" s="71"/>
      <c r="AI43" s="71">
        <v>6</v>
      </c>
      <c r="AJ43" s="71">
        <v>27</v>
      </c>
      <c r="AK43" s="71"/>
      <c r="AL43" s="71"/>
      <c r="AM43" s="71"/>
      <c r="AN43" s="71"/>
      <c r="AO43" s="71"/>
      <c r="AP43" s="71"/>
      <c r="AQ43" s="71"/>
      <c r="AR43" s="71"/>
      <c r="AS43" s="94">
        <f t="shared" ca="1" si="13"/>
        <v>0</v>
      </c>
      <c r="AT43" s="95">
        <f>SUM(AG43:AR43)</f>
        <v>33</v>
      </c>
      <c r="AU43" s="97">
        <f t="shared" si="14"/>
        <v>33</v>
      </c>
      <c r="AW43" s="83">
        <f>AG43</f>
        <v>0</v>
      </c>
      <c r="AX43" s="83">
        <f t="shared" ref="AX43" si="128">AH43</f>
        <v>0</v>
      </c>
      <c r="AY43" s="83">
        <f t="shared" ref="AY43" si="129">AI43</f>
        <v>6</v>
      </c>
      <c r="AZ43" s="83">
        <f t="shared" ref="AZ43" si="130">AJ43</f>
        <v>27</v>
      </c>
      <c r="BA43" s="52"/>
      <c r="BB43" s="52"/>
      <c r="BC43" s="52"/>
      <c r="BD43" s="52"/>
      <c r="BE43" s="52"/>
      <c r="BF43" s="52"/>
      <c r="BG43" s="52"/>
      <c r="BH43" s="52"/>
      <c r="BI43" s="68" cm="1">
        <f t="array" ref="BI43">IFERROR(INDEX(AW43:BH43,1,MATCH(2,1/(AW43:BH43&lt;&gt;""))),"")</f>
        <v>27</v>
      </c>
      <c r="BJ43" s="68" cm="1">
        <f t="array" ref="BJ43">IF(BM43 = "", "",IFERROR(INDEX(AW43:BH43,1,MATCH(2,1/(AW43:BH43&lt;&gt;""),1)-1),""))</f>
        <v>6</v>
      </c>
      <c r="BK43" s="59">
        <f>SUM(AW43:BH43)</f>
        <v>33</v>
      </c>
      <c r="BL43" s="59" cm="1">
        <f t="array" ref="BL43">IFERROR(SUM(AW43:INDEX(AW43:BH43, MATCH(2, 1/(AW43:BH43&lt;&gt;""), 1) - 1))/_xlfn.XLOOKUP(F43,Apuração!A:A,Apuração!B:B),0)</f>
        <v>0.6</v>
      </c>
      <c r="BM43" s="55" cm="1">
        <f t="array" ref="BM43">IFERROR(
   INDEX($AW$1:$BH$1,
      _xlfn.AGGREGATE(14, 6, COLUMN($AW$1:$BH$1)/(AW43:BH43&lt;&gt;""), 2) - COLUMN($AW$1) + 1
   ),
"")</f>
        <v>46082</v>
      </c>
      <c r="BN43" s="55" cm="1">
        <f t="array" ref="BN43">IFERROR(INDEX($AW$1:$BH$1,1,MATCH(2,1/(AW43:BH43&lt;&gt;""))),"")</f>
        <v>46113</v>
      </c>
      <c r="BO43" s="53">
        <f ca="1">IFERROR(_xlfn.XLOOKUP(F43,Apuração!A:A,Apuração!C:C)/_xlfn.XLOOKUP(F43,Apuração!A:A,Apuração!B:B),0)</f>
        <v>0.3</v>
      </c>
      <c r="BP43" s="53">
        <f ca="1">IFERROR(_xlfn.XLOOKUP(F43,Apuração!A:A,Apuração!D:D)/_xlfn.XLOOKUP(F43,Apuração!A:A,Apuração!B:B),0)</f>
        <v>0.2</v>
      </c>
      <c r="BQ43" s="53">
        <f ca="1">IF(BK43&gt;=BO43,0,_xlfn.XLOOKUP(F43,Apuração!A:A,Apuração!B:B)*(BO43 + (1/_xlfn.XLOOKUP(F43,Apuração!A:A,Apuração!B:B)) - BK43))</f>
        <v>0</v>
      </c>
      <c r="BR43" s="85">
        <f t="shared" ca="1" si="2"/>
        <v>0</v>
      </c>
      <c r="BS43" s="53">
        <f ca="1">IFERROR((_xlfn.XLOOKUP(F43,Apuração!A:A,Apuração!C:C)+1)/_xlfn.XLOOKUP(F43,Apuração!A:A,Apuração!B:B),0)</f>
        <v>0.4</v>
      </c>
    </row>
    <row r="44" spans="1:71" ht="25.95" hidden="1" customHeight="1" x14ac:dyDescent="0.3">
      <c r="A44" s="39" t="s">
        <v>33</v>
      </c>
      <c r="B44" s="4" t="s">
        <v>81</v>
      </c>
      <c r="C44" s="5" t="s">
        <v>35</v>
      </c>
      <c r="D44" s="5" t="s">
        <v>47</v>
      </c>
      <c r="E44" s="4" t="str" cm="1">
        <f t="array" ref="E44">_xlfn.IFS(
F44 = "A partir de Abril", "Aguardando Execução na Distribuidora",
A44 = "CAPACITAÇÃO", "Em execução no Corporativo",
TRUE, "Em Execução na Distribuidora"
)</f>
        <v>Em Execução na Distribuidora</v>
      </c>
      <c r="F44" s="4" t="str" cm="1">
        <f t="array" ref="F44">_xlfn.IFS(
AG44 &lt;&gt; "", "Jan-Dez/26",
AH44 &lt;&gt; "", "Fev-Dez/26",
AI44 &lt;&gt; "", "Mar-Dez/26", AJ44 &lt;&gt; "", "Abr-Dez/26",
TRUE, "A partir de Junho"
)</f>
        <v>Mar-Dez/26</v>
      </c>
      <c r="G44" s="4" t="s">
        <v>37</v>
      </c>
      <c r="H44" s="7" t="s">
        <v>54</v>
      </c>
      <c r="I44" s="9" t="s">
        <v>76</v>
      </c>
      <c r="J44" s="8" t="str" cm="1">
        <f t="array" aca="1" ref="J44" ca="1">_xlfn.LET(
  _xlpm.actual_value_month, INDEX(T44:AE44, MATCH(DATE(YEAR(TODAY()), MONTH(TODAY()), 1), $T$1:$AE$1, 0)),
  IF(_xlpm.actual_value_month &lt;&gt; "",_xlpm.actual_value_month &amp; " ações mensais", "")
)</f>
        <v/>
      </c>
      <c r="K44" s="8" t="str" cm="1">
        <f t="array" ref="K44">_xlfn.LET(
    _xlpm.sum_month, SUM(T44:AE44),
    IF(_xlpm.sum_month = 0, "", _xlpm.sum_month &amp; " público impactado no ano.")
)</f>
        <v/>
      </c>
      <c r="L44" s="9" t="s">
        <v>76</v>
      </c>
      <c r="M44" s="13">
        <v>1</v>
      </c>
      <c r="N44" s="5" t="s">
        <v>51</v>
      </c>
      <c r="O44" s="5" t="s">
        <v>52</v>
      </c>
      <c r="P44" s="10" t="s">
        <v>44</v>
      </c>
      <c r="Q44" s="10" t="s">
        <v>44</v>
      </c>
      <c r="R44" s="11" t="s">
        <v>44</v>
      </c>
      <c r="S44" s="11" t="s">
        <v>44</v>
      </c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G44" s="82"/>
      <c r="AH44" s="82"/>
      <c r="AI44" s="82">
        <v>6</v>
      </c>
      <c r="AJ44" s="146">
        <v>27</v>
      </c>
      <c r="AK44" s="71"/>
      <c r="AL44" s="71"/>
      <c r="AM44" s="71"/>
      <c r="AN44" s="71"/>
      <c r="AO44" s="71"/>
      <c r="AP44" s="71"/>
      <c r="AQ44" s="71"/>
      <c r="AR44" s="71"/>
      <c r="AS44" s="94">
        <f t="shared" ref="AS44:AS45" ca="1" si="131">IF(MONTH(TODAY())=3,SUM(T44:U44),IF(MONTH(TODAY())=4,SUM(T44:V44),IF(MONTH(TODAY())=5,SUM(T44:W44),IF(MONTH(TODAY())=6,SUM(T44:X44),IF(MONTH(TODAY())=7,SUM(T44:Y44),IF(MONTH(TODAY())=8,SUM(T44:Z44),IF(MONTH(TODAY())=9,SUM(T44:AA44),IF(MONTH(TODAY())=10,SUM(T44:AB44),IF(MONTH(TODAY())=11,SUM(T44:AC44),IF(MONTH(TODAY())=12,SUM(T44:AD44),IF(MONTH(TODAY())=1,SUM(T44:AE44),T44)))))))))))</f>
        <v>0</v>
      </c>
      <c r="AT44" s="95">
        <f t="shared" ref="AT44:AT45" si="132">SUM(AG44:AR44)</f>
        <v>33</v>
      </c>
      <c r="AU44" s="97">
        <f t="shared" ref="AU44:AU45" si="133">SUM(AG44:AR44)</f>
        <v>33</v>
      </c>
      <c r="AW44" s="83">
        <f t="shared" ref="AW44:AW45" si="134">AG44</f>
        <v>0</v>
      </c>
      <c r="AX44" s="83">
        <f t="shared" ref="AX44:AX45" si="135">AH44</f>
        <v>0</v>
      </c>
      <c r="AY44" s="83">
        <f t="shared" ref="AY44:AY45" si="136">AI44</f>
        <v>6</v>
      </c>
      <c r="AZ44" s="83">
        <f t="shared" ref="AZ44:AZ45" si="137">AJ44</f>
        <v>27</v>
      </c>
      <c r="BA44" s="52"/>
      <c r="BB44" s="52"/>
      <c r="BC44" s="52"/>
      <c r="BD44" s="52"/>
      <c r="BE44" s="52"/>
      <c r="BF44" s="52"/>
      <c r="BG44" s="52"/>
      <c r="BH44" s="52"/>
      <c r="BI44" s="68" cm="1">
        <f t="array" ref="BI44">IFERROR(INDEX(AW44:BH44,1,MATCH(2,1/(AW44:BH44&lt;&gt;""))),"")</f>
        <v>27</v>
      </c>
      <c r="BJ44" s="68" cm="1">
        <f t="array" ref="BJ44">IF(BM44 = "", "",IFERROR(INDEX(AW44:BH44,1,MATCH(2,1/(AW44:BH44&lt;&gt;""),1)-1),""))</f>
        <v>6</v>
      </c>
      <c r="BK44" s="59">
        <f t="shared" ref="BK44:BK45" si="138">SUM(AW44:BH44)</f>
        <v>33</v>
      </c>
      <c r="BL44" s="59" cm="1">
        <f t="array" ref="BL44">IFERROR(SUM(AW44:INDEX(AW44:BH44, MATCH(2, 1/(AW44:BH44&lt;&gt;""), 1) - 1))/_xlfn.XLOOKUP(F44,Apuração!A:A,Apuração!B:B),0)</f>
        <v>0.6</v>
      </c>
      <c r="BM44" s="55" cm="1">
        <f t="array" ref="BM44">IFERROR(
   INDEX($AW$1:$BH$1,
      _xlfn.AGGREGATE(14, 6, COLUMN($AW$1:$BH$1)/(AW44:BH44&lt;&gt;""), 2) - COLUMN($AW$1) + 1
   ),
"")</f>
        <v>46082</v>
      </c>
      <c r="BN44" s="55" cm="1">
        <f t="array" ref="BN44">IFERROR(INDEX($AW$1:$BH$1,1,MATCH(2,1/(AW44:BH44&lt;&gt;""))),"")</f>
        <v>46113</v>
      </c>
      <c r="BO44" s="53">
        <f ca="1">IFERROR(_xlfn.XLOOKUP(F44,Apuração!A:A,Apuração!C:C)/_xlfn.XLOOKUP(F44,Apuração!A:A,Apuração!B:B),0)</f>
        <v>0.3</v>
      </c>
      <c r="BP44" s="53">
        <f ca="1">IFERROR(_xlfn.XLOOKUP(F44,Apuração!A:A,Apuração!D:D)/_xlfn.XLOOKUP(F44,Apuração!A:A,Apuração!B:B),0)</f>
        <v>0.2</v>
      </c>
      <c r="BQ44" s="53">
        <f ca="1">IF(BK44&gt;=BO44,0,_xlfn.XLOOKUP(F44,Apuração!A:A,Apuração!B:B)*(BO44 + (1/_xlfn.XLOOKUP(F44,Apuração!A:A,Apuração!B:B)) - BK44))</f>
        <v>0</v>
      </c>
      <c r="BR44" s="85">
        <f t="shared" ref="BR44:BR45" ca="1" si="139">IF(BQ44=0,0,BQ44*Z44)</f>
        <v>0</v>
      </c>
      <c r="BS44" s="53">
        <f ca="1">IFERROR((_xlfn.XLOOKUP(F44,Apuração!A:A,Apuração!C:C)+1)/_xlfn.XLOOKUP(F44,Apuração!A:A,Apuração!B:B),0)</f>
        <v>0.4</v>
      </c>
    </row>
    <row r="45" spans="1:71" ht="25.95" hidden="1" customHeight="1" x14ac:dyDescent="0.3">
      <c r="A45" s="39" t="s">
        <v>33</v>
      </c>
      <c r="B45" s="4" t="s">
        <v>81</v>
      </c>
      <c r="C45" s="5" t="s">
        <v>35</v>
      </c>
      <c r="D45" s="5" t="s">
        <v>48</v>
      </c>
      <c r="E45" s="4" t="str" cm="1">
        <f t="array" ref="E45">_xlfn.IFS(
F45 = "A partir de Abril", "Aguardando Execução na Distribuidora",
A45 = "CAPACITAÇÃO", "Em execução no Corporativo",
TRUE, "Em Execução na Distribuidora"
)</f>
        <v>Em Execução na Distribuidora</v>
      </c>
      <c r="F45" s="4" t="str" cm="1">
        <f t="array" ref="F45">_xlfn.IFS(
AG45 &lt;&gt; "", "Jan-Dez/26",
AH45 &lt;&gt; "", "Fev-Dez/26",
AI45 &lt;&gt; "", "Mar-Dez/26", AJ45 &lt;&gt; "", "Abr-Dez/26",
TRUE, "A partir de Junho"
)</f>
        <v>Mar-Dez/26</v>
      </c>
      <c r="G45" s="4" t="s">
        <v>37</v>
      </c>
      <c r="H45" s="7" t="s">
        <v>54</v>
      </c>
      <c r="I45" s="9" t="s">
        <v>76</v>
      </c>
      <c r="J45" s="8" t="str" cm="1">
        <f t="array" aca="1" ref="J45" ca="1">_xlfn.LET(
  _xlpm.actual_value_month, INDEX(T45:AE45, MATCH(DATE(YEAR(TODAY()), MONTH(TODAY()), 1), $T$1:$AE$1, 0)),
  IF(_xlpm.actual_value_month &lt;&gt; "",_xlpm.actual_value_month &amp; " ações mensais", "")
)</f>
        <v/>
      </c>
      <c r="K45" s="8" t="str" cm="1">
        <f t="array" ref="K45">_xlfn.LET(
    _xlpm.sum_month, SUM(T45:AE45),
    IF(_xlpm.sum_month = 0, "", _xlpm.sum_month &amp; " público impactado no ano.")
)</f>
        <v/>
      </c>
      <c r="L45" s="9" t="s">
        <v>76</v>
      </c>
      <c r="M45" s="13">
        <v>1</v>
      </c>
      <c r="N45" s="5" t="s">
        <v>51</v>
      </c>
      <c r="O45" s="5" t="s">
        <v>52</v>
      </c>
      <c r="P45" s="10" t="s">
        <v>44</v>
      </c>
      <c r="Q45" s="10" t="s">
        <v>44</v>
      </c>
      <c r="R45" s="11" t="s">
        <v>44</v>
      </c>
      <c r="S45" s="11" t="s">
        <v>44</v>
      </c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G45" s="82"/>
      <c r="AH45" s="82"/>
      <c r="AI45" s="82">
        <v>0</v>
      </c>
      <c r="AJ45" s="146">
        <v>0</v>
      </c>
      <c r="AK45" s="71"/>
      <c r="AL45" s="71"/>
      <c r="AM45" s="71"/>
      <c r="AN45" s="71"/>
      <c r="AO45" s="71"/>
      <c r="AP45" s="71"/>
      <c r="AQ45" s="71"/>
      <c r="AR45" s="71"/>
      <c r="AS45" s="94">
        <f t="shared" ca="1" si="131"/>
        <v>0</v>
      </c>
      <c r="AT45" s="95">
        <f t="shared" si="132"/>
        <v>0</v>
      </c>
      <c r="AU45" s="97">
        <f t="shared" si="133"/>
        <v>0</v>
      </c>
      <c r="AW45" s="83">
        <f t="shared" si="134"/>
        <v>0</v>
      </c>
      <c r="AX45" s="83">
        <f t="shared" si="135"/>
        <v>0</v>
      </c>
      <c r="AY45" s="83">
        <f t="shared" si="136"/>
        <v>0</v>
      </c>
      <c r="AZ45" s="83">
        <f t="shared" si="137"/>
        <v>0</v>
      </c>
      <c r="BA45" s="52"/>
      <c r="BB45" s="52"/>
      <c r="BC45" s="52"/>
      <c r="BD45" s="52"/>
      <c r="BE45" s="52"/>
      <c r="BF45" s="52"/>
      <c r="BG45" s="52"/>
      <c r="BH45" s="52"/>
      <c r="BI45" s="68" cm="1">
        <f t="array" ref="BI45">IFERROR(INDEX(AW45:BH45,1,MATCH(2,1/(AW45:BH45&lt;&gt;""))),"")</f>
        <v>0</v>
      </c>
      <c r="BJ45" s="68" cm="1">
        <f t="array" ref="BJ45">IF(BM45 = "", "",IFERROR(INDEX(AW45:BH45,1,MATCH(2,1/(AW45:BH45&lt;&gt;""),1)-1),""))</f>
        <v>0</v>
      </c>
      <c r="BK45" s="59">
        <f t="shared" si="138"/>
        <v>0</v>
      </c>
      <c r="BL45" s="59" cm="1">
        <f t="array" ref="BL45">IFERROR(SUM(AW45:INDEX(AW45:BH45, MATCH(2, 1/(AW45:BH45&lt;&gt;""), 1) - 1))/_xlfn.XLOOKUP(F45,Apuração!A:A,Apuração!B:B),0)</f>
        <v>0</v>
      </c>
      <c r="BM45" s="55" cm="1">
        <f t="array" ref="BM45">IFERROR(
   INDEX($AW$1:$BH$1,
      _xlfn.AGGREGATE(14, 6, COLUMN($AW$1:$BH$1)/(AW45:BH45&lt;&gt;""), 2) - COLUMN($AW$1) + 1
   ),
"")</f>
        <v>46082</v>
      </c>
      <c r="BN45" s="55" cm="1">
        <f t="array" ref="BN45">IFERROR(INDEX($AW$1:$BH$1,1,MATCH(2,1/(AW45:BH45&lt;&gt;""))),"")</f>
        <v>46113</v>
      </c>
      <c r="BO45" s="53">
        <f ca="1">IFERROR(_xlfn.XLOOKUP(F45,Apuração!A:A,Apuração!C:C)/_xlfn.XLOOKUP(F45,Apuração!A:A,Apuração!B:B),0)</f>
        <v>0.3</v>
      </c>
      <c r="BP45" s="53">
        <f ca="1">IFERROR(_xlfn.XLOOKUP(F45,Apuração!A:A,Apuração!D:D)/_xlfn.XLOOKUP(F45,Apuração!A:A,Apuração!B:B),0)</f>
        <v>0.2</v>
      </c>
      <c r="BQ45" s="53">
        <f ca="1">IF(BK45&gt;=BO45,0,_xlfn.XLOOKUP(F45,Apuração!A:A,Apuração!B:B)*(BO45 + (1/_xlfn.XLOOKUP(F45,Apuração!A:A,Apuração!B:B)) - BK45))</f>
        <v>4</v>
      </c>
      <c r="BR45" s="85">
        <f t="shared" ca="1" si="139"/>
        <v>0</v>
      </c>
      <c r="BS45" s="53">
        <f ca="1">IFERROR((_xlfn.XLOOKUP(F45,Apuração!A:A,Apuração!C:C)+1)/_xlfn.XLOOKUP(F45,Apuração!A:A,Apuração!B:B),0)</f>
        <v>0.4</v>
      </c>
    </row>
    <row r="46" spans="1:71" ht="44.4" hidden="1" customHeight="1" x14ac:dyDescent="0.3">
      <c r="A46" s="3" t="s">
        <v>33</v>
      </c>
      <c r="B46" s="4" t="s">
        <v>84</v>
      </c>
      <c r="C46" s="5" t="s">
        <v>35</v>
      </c>
      <c r="D46" s="5" t="s">
        <v>36</v>
      </c>
      <c r="E46" s="4" t="s">
        <v>85</v>
      </c>
      <c r="F46" s="4" t="str" cm="1">
        <f t="array" ref="F46">_xlfn.IFS(
AG46 &lt;&gt; "", "Jan-Dez/26",
AH46 &lt;&gt; "", "Fev-Dez/26",
AI46 &lt;&gt; "", "Mar-Dez/26", AJ46 &lt;&gt; "", "Abr-Dez/26",
TRUE, "A partir de Junho"
)</f>
        <v>A partir de Junho</v>
      </c>
      <c r="G46" s="4" t="s">
        <v>62</v>
      </c>
      <c r="H46" s="7" t="s">
        <v>38</v>
      </c>
      <c r="I46" s="8" t="s">
        <v>55</v>
      </c>
      <c r="J46" s="8" t="str" cm="1">
        <f t="array" aca="1" ref="J46" ca="1">_xlfn.LET(
  _xlpm.actual_value_month, INDEX(T46:AE46, MATCH(DATE(YEAR(TODAY()), MONTH(TODAY()), 1), $T$1:$AE$1, 0)),
  IF(_xlpm.actual_value_month &lt;&gt; "",_xlpm.actual_value_month &amp; " ações mensais", "")
)</f>
        <v>2 ações mensais</v>
      </c>
      <c r="K46" s="14" t="str" cm="1">
        <f t="array" ref="K46">_xlfn.LET(
    _xlpm.sum_month, SUM(T46:AE46),
    IF(_xlpm.sum_month = 0, "", _xlpm.sum_month &amp; " eventos realizados")
)</f>
        <v>18 eventos realizados</v>
      </c>
      <c r="L46" s="9" t="s">
        <v>56</v>
      </c>
      <c r="M46" s="13" t="s">
        <v>86</v>
      </c>
      <c r="N46" s="5" t="s">
        <v>42</v>
      </c>
      <c r="O46" s="5" t="s">
        <v>43</v>
      </c>
      <c r="P46" s="10" t="s">
        <v>44</v>
      </c>
      <c r="Q46" s="10" t="s">
        <v>44</v>
      </c>
      <c r="R46" s="11" t="s">
        <v>44</v>
      </c>
      <c r="S46" s="11" t="s">
        <v>44</v>
      </c>
      <c r="T46" s="22"/>
      <c r="U46" s="22"/>
      <c r="V46" s="22"/>
      <c r="W46" s="22">
        <v>2</v>
      </c>
      <c r="X46" s="22">
        <v>2</v>
      </c>
      <c r="Y46" s="22">
        <v>2</v>
      </c>
      <c r="Z46" s="22">
        <v>2</v>
      </c>
      <c r="AA46" s="22">
        <v>2</v>
      </c>
      <c r="AB46" s="22">
        <v>2</v>
      </c>
      <c r="AC46" s="22">
        <v>2</v>
      </c>
      <c r="AD46" s="22">
        <v>2</v>
      </c>
      <c r="AE46" s="22">
        <v>2</v>
      </c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94">
        <f t="shared" ref="AS46:AS51" ca="1" si="140">IF(MONTH(TODAY())=3,SUM(T46:U46),IF(MONTH(TODAY())=4,SUM(T46:V46),IF(MONTH(TODAY())=5,SUM(T46:W46),IF(MONTH(TODAY())=6,SUM(T46:X46),IF(MONTH(TODAY())=7,SUM(T46:Y46),IF(MONTH(TODAY())=8,SUM(T46:Z46),IF(MONTH(TODAY())=9,SUM(T46:AA46),IF(MONTH(TODAY())=10,SUM(T46:AB46),IF(MONTH(TODAY())=11,SUM(T46:AC46),IF(MONTH(TODAY())=12,SUM(T46:AD46),IF(MONTH(TODAY())=1,SUM(T46:AE46),T46)))))))))))</f>
        <v>4</v>
      </c>
      <c r="AT46" s="95">
        <f>SUM(IF(AW46&lt;1.15,AG46,1.15*T46),IF(AX46&lt;1.15,AH46,1.15*U46),IF(AY46&lt;1.15,AI46,1.15*V46),IF(AZ46&lt;1.15,AJ46,1.15*W46),IF(BA46&lt;1.15,AK46,1.15*X46),IF(BB46&lt;1.15,AL46,1.15*Y46),IF(BC46&lt;1.15,AM46,1.15*Z46),IF(BD46&lt;1.15,AN46,1.15*AA46),IF(BE46&lt;1.15,AO46,1.15*AB46),IF(BF46&lt;1.15,AP46,1.15*AC46),IF(BG46&lt;1.15,AQ46,1.15*AD46),IF(BH46&lt;1.15,AR46,1.15*AE46))</f>
        <v>0</v>
      </c>
      <c r="AU46" s="97">
        <f t="shared" ref="AU46:AU51" si="141">SUM(AG46:AR46)</f>
        <v>0</v>
      </c>
      <c r="AW46" s="51">
        <f>IFERROR(IF(AG46="",0,AG46/T46),0)</f>
        <v>0</v>
      </c>
      <c r="AX46" s="51">
        <f>IFERROR(IF(AH46="",0,AH46/U46),0)</f>
        <v>0</v>
      </c>
      <c r="AY46" s="51">
        <f>IFERROR(IF(AI46="",0,AI46/V46),0)</f>
        <v>0</v>
      </c>
      <c r="AZ46" s="51">
        <f>IFERROR(IF(AJ46="",0,AJ46/W46),0)</f>
        <v>0</v>
      </c>
      <c r="BA46" s="51"/>
      <c r="BB46" s="51"/>
      <c r="BC46" s="51"/>
      <c r="BD46" s="51"/>
      <c r="BE46" s="51"/>
      <c r="BF46" s="51"/>
      <c r="BG46" s="51"/>
      <c r="BH46" s="51"/>
      <c r="BI46" s="65" cm="1">
        <f t="array" ref="BI46">IFERROR(INDEX(AW46:BH46,1,MATCH(2,1/(AW46:BH46&lt;&gt;""))),"")</f>
        <v>0</v>
      </c>
      <c r="BJ46" s="68" cm="1">
        <f t="array" ref="BJ46">IF(BM46 = "", "",IFERROR(INDEX(AW46:BH46,1,MATCH(2,1/(AW46:BH46&lt;&gt;""),1)-1),""))</f>
        <v>0</v>
      </c>
      <c r="BK46" s="58">
        <f>IF((IF(AW46&gt;=115%,115%,AW46) + IF(AX46&gt;=115%,115%,AX46) + IF(AY46&gt;=115%,115%,AY46) + (IF(AZ46&gt;=115%,115%,AZ46) + IF(BA46&gt;=115%,115%,BA46) + IF(BB46&gt;=115%,115%,BB46) + IF(BC46&gt;=115%,115%,BC46) + IF(BD46&gt;=115%,115%,BD46) + IF(BE46&gt;=115%,115%,BE46) + IF(BF46&gt;=115%,115%,BF46) + IF(BG46&gt;=115%,115%,BG46) + IF(BH46&gt;=115%,115%,BH46)))/_xlfn.XLOOKUP(F46,Apuração!A:A,Apuração!B:B)&gt;=1.15,1.15,((IF(AZ46&gt;=115%,115%,AZ46) + IF(AX46&gt;=115%,115%,AX46) + IF(AY46&gt;=115%,115%,AY46) + (IF(AW46&gt;=115%,115%,AW46) + IF(BA46&gt;=115%,115%,BA46) + IF(BB46&gt;=115%,115%,BB46) + IF(BC46&gt;=115%,115%,BC46) + IF(BD46&gt;=115%,115%,BD46) + IF(BE46&gt;=115%,115%,BE46) + IF(BF46&gt;=115%,115%,BF46) + IF(BG46&gt;=115%,115%,BG46) + IF(BH46&gt;=115%,115%,BH46)))/_xlfn.XLOOKUP(F46,Apuração!A:A,Apuração!B:B)))</f>
        <v>0</v>
      </c>
      <c r="BL46" s="58" cm="1">
        <f t="array" aca="1" ref="BL46" ca="1">IF(SUM(IFERROR(IF(INDEX(AW46:INDEX(AW46:BH46, MATCH(2, 1/(AW46:BH46&lt;&gt;""), 1)-1), ROW(INDIRECT("1:" &amp; MATCH(2, 1/(AW46:BH46&lt;&gt;""), 1)-1))) &gt;= 115%, 115%, INDEX(AW46:INDEX(AW46:BH46, MATCH(2, 1/(AW46:BH46&lt;&gt;""), 1)-1), ROW(INDIRECT("1:" &amp; MATCH(2, 1/(AW46:BH46&lt;&gt;""), 1)-1)))), 0))/_xlfn.XLOOKUP(F46,Apuração!A:A,Apuração!B:B)&gt;=1.15,1.15,SUM(IFERROR(IF(INDEX(AW46:INDEX(AW46:BH46, MATCH(2, 1/(AW46:BH46&lt;&gt;""), 1)-1), ROW(INDIRECT("1:" &amp; MATCH(2, 1/(AW46:BH46&lt;&gt;""), 1)-1))) &gt;= 115%, 115%, INDEX(AW46:INDEX(AW46:BH46, MATCH(2, 1/(AW46:BH46&lt;&gt;""), 1)-1), ROW(INDIRECT("1:" &amp; MATCH(2, 1/(AW46:BH46&lt;&gt;""), 1)-1)))), 0))/_xlfn.XLOOKUP(F46,Apuração!A:A,Apuração!B:B))</f>
        <v>0</v>
      </c>
      <c r="BM46" s="55" cm="1">
        <f t="array" ref="BM46">IFERROR(
   INDEX($AW$1:$BH$1,
      _xlfn.AGGREGATE(14, 6, COLUMN($AW$1:$BH$1)/(AW46:BH46&lt;&gt;""), 2) - COLUMN($AW$1) + 1
   ),
"")</f>
        <v>46082</v>
      </c>
      <c r="BN46" s="55" cm="1">
        <f t="array" ref="BN46">IFERROR(INDEX($AW$1:$BH$1,1,MATCH(2,1/(AW46:BH46&lt;&gt;""))),"")</f>
        <v>46113</v>
      </c>
      <c r="BO46" s="53">
        <f ca="1">IFERROR(_xlfn.XLOOKUP(F46,Apuração!A:A,Apuração!C:C)/_xlfn.XLOOKUP(F46,Apuração!A:A,Apuração!B:B),0)</f>
        <v>0</v>
      </c>
      <c r="BP46" s="53">
        <f ca="1">IFERROR(_xlfn.XLOOKUP(F46,Apuração!A:A,Apuração!D:D)/_xlfn.XLOOKUP(F46,Apuração!A:A,Apuração!B:B),0)</f>
        <v>0</v>
      </c>
      <c r="BQ46" s="53">
        <f ca="1">IF(BK46&gt;=BO46,0,_xlfn.XLOOKUP(F46,Apuração!A:A,Apuração!B:B)*(BO46 + (1/_xlfn.XLOOKUP(F46,Apuração!A:A,Apuração!B:B)) - BK46))</f>
        <v>0</v>
      </c>
      <c r="BR46" s="85">
        <f t="shared" ca="1" si="2"/>
        <v>0</v>
      </c>
      <c r="BS46" s="53">
        <f ca="1">IFERROR((_xlfn.XLOOKUP(F46,Apuração!A:A,Apuração!C:C)+1)/_xlfn.XLOOKUP(F46,Apuração!A:A,Apuração!B:B),0)</f>
        <v>0.14285714285714285</v>
      </c>
    </row>
    <row r="47" spans="1:71" ht="44.4" hidden="1" customHeight="1" x14ac:dyDescent="0.3">
      <c r="A47" s="3" t="s">
        <v>33</v>
      </c>
      <c r="B47" s="4" t="s">
        <v>84</v>
      </c>
      <c r="C47" s="5" t="s">
        <v>35</v>
      </c>
      <c r="D47" s="5" t="s">
        <v>47</v>
      </c>
      <c r="E47" s="4" t="s">
        <v>85</v>
      </c>
      <c r="F47" s="4" t="str" cm="1">
        <f t="array" ref="F47">_xlfn.IFS(
AG47 &lt;&gt; "", "Jan-Dez/26",
AH47 &lt;&gt; "", "Fev-Dez/26",
AI47 &lt;&gt; "", "Mar-Dez/26", AJ47 &lt;&gt; "", "Abr-Dez/26",
TRUE, "A partir de Junho"
)</f>
        <v>A partir de Junho</v>
      </c>
      <c r="G47" s="4" t="s">
        <v>62</v>
      </c>
      <c r="H47" s="7" t="s">
        <v>38</v>
      </c>
      <c r="I47" s="8" t="s">
        <v>55</v>
      </c>
      <c r="J47" s="8" t="str" cm="1">
        <f t="array" aca="1" ref="J47" ca="1">_xlfn.LET(
  _xlpm.actual_value_month, INDEX(T47:AE47, MATCH(DATE(YEAR(TODAY()), MONTH(TODAY()), 1), $T$1:$AE$1, 0)),
  IF(_xlpm.actual_value_month &lt;&gt; "",_xlpm.actual_value_month &amp; " ações mensais", "")
)</f>
        <v>1 ações mensais</v>
      </c>
      <c r="K47" s="14" t="str" cm="1">
        <f t="array" ref="K47">_xlfn.LET(
    _xlpm.sum_month, SUM(T47:AE47),
    IF(_xlpm.sum_month = 0, "", _xlpm.sum_month &amp; " eventos realizados")
)</f>
        <v>9 eventos realizados</v>
      </c>
      <c r="L47" s="9" t="s">
        <v>56</v>
      </c>
      <c r="M47" s="13" t="s">
        <v>86</v>
      </c>
      <c r="N47" s="5" t="s">
        <v>42</v>
      </c>
      <c r="O47" s="5" t="s">
        <v>43</v>
      </c>
      <c r="P47" s="10" t="s">
        <v>44</v>
      </c>
      <c r="Q47" s="10" t="s">
        <v>44</v>
      </c>
      <c r="R47" s="11" t="s">
        <v>44</v>
      </c>
      <c r="S47" s="11" t="s">
        <v>44</v>
      </c>
      <c r="T47" s="143"/>
      <c r="U47" s="143"/>
      <c r="V47" s="143"/>
      <c r="W47" s="143">
        <v>1</v>
      </c>
      <c r="X47" s="143">
        <v>1</v>
      </c>
      <c r="Y47" s="143">
        <v>1</v>
      </c>
      <c r="Z47" s="143">
        <v>1</v>
      </c>
      <c r="AA47" s="143">
        <v>1</v>
      </c>
      <c r="AB47" s="143">
        <v>1</v>
      </c>
      <c r="AC47" s="143">
        <v>1</v>
      </c>
      <c r="AD47" s="143">
        <v>1</v>
      </c>
      <c r="AE47" s="143">
        <v>1</v>
      </c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94">
        <f t="shared" ref="AS47:AS50" ca="1" si="142">IF(MONTH(TODAY())=3,SUM(T47:U47),IF(MONTH(TODAY())=4,SUM(T47:V47),IF(MONTH(TODAY())=5,SUM(T47:W47),IF(MONTH(TODAY())=6,SUM(T47:X47),IF(MONTH(TODAY())=7,SUM(T47:Y47),IF(MONTH(TODAY())=8,SUM(T47:Z47),IF(MONTH(TODAY())=9,SUM(T47:AA47),IF(MONTH(TODAY())=10,SUM(T47:AB47),IF(MONTH(TODAY())=11,SUM(T47:AC47),IF(MONTH(TODAY())=12,SUM(T47:AD47),IF(MONTH(TODAY())=1,SUM(T47:AE47),T47)))))))))))</f>
        <v>2</v>
      </c>
      <c r="AT47" s="95">
        <f t="shared" ref="AT47:AT48" si="143">SUM(IF(AW47&lt;1.15,AG47,1.15*T47),IF(AX47&lt;1.15,AH47,1.15*U47),IF(AY47&lt;1.15,AI47,1.15*V47),IF(AZ47&lt;1.15,AJ47,1.15*W47),IF(BA47&lt;1.15,AK47,1.15*X47),IF(BB47&lt;1.15,AL47,1.15*Y47),IF(BC47&lt;1.15,AM47,1.15*Z47),IF(BD47&lt;1.15,AN47,1.15*AA47),IF(BE47&lt;1.15,AO47,1.15*AB47),IF(BF47&lt;1.15,AP47,1.15*AC47),IF(BG47&lt;1.15,AQ47,1.15*AD47),IF(BH47&lt;1.15,AR47,1.15*AE47))</f>
        <v>0</v>
      </c>
      <c r="AU47" s="97">
        <f t="shared" ref="AU47:AU50" si="144">SUM(AG47:AR47)</f>
        <v>0</v>
      </c>
      <c r="AW47" s="51">
        <f t="shared" ref="AW47:AW48" si="145">IFERROR(IF(AG47="",0,AG47/T47),0)</f>
        <v>0</v>
      </c>
      <c r="AX47" s="51">
        <f t="shared" ref="AX47:AX48" si="146">IFERROR(IF(AH47="",0,AH47/U47),0)</f>
        <v>0</v>
      </c>
      <c r="AY47" s="51">
        <f t="shared" ref="AY47:AY48" si="147">IFERROR(IF(AI47="",0,AI47/V47),0)</f>
        <v>0</v>
      </c>
      <c r="AZ47" s="51">
        <f t="shared" ref="AZ47:AZ48" si="148">IFERROR(IF(AJ47="",0,AJ47/W47),0)</f>
        <v>0</v>
      </c>
      <c r="BA47" s="51"/>
      <c r="BB47" s="51"/>
      <c r="BC47" s="51"/>
      <c r="BD47" s="51"/>
      <c r="BE47" s="51"/>
      <c r="BF47" s="51"/>
      <c r="BG47" s="51"/>
      <c r="BH47" s="51"/>
      <c r="BI47" s="65" cm="1">
        <f t="array" ref="BI47">IFERROR(INDEX(AW47:BH47,1,MATCH(2,1/(AW47:BH47&lt;&gt;""))),"")</f>
        <v>0</v>
      </c>
      <c r="BJ47" s="68" cm="1">
        <f t="array" ref="BJ47">IF(BM47 = "", "",IFERROR(INDEX(AW47:BH47,1,MATCH(2,1/(AW47:BH47&lt;&gt;""),1)-1),""))</f>
        <v>0</v>
      </c>
      <c r="BK47" s="58">
        <f>IF((IF(AW47&gt;=115%,115%,AW47) + IF(AX47&gt;=115%,115%,AX47) + IF(AY47&gt;=115%,115%,AY47) + (IF(AZ47&gt;=115%,115%,AZ47) + IF(BA47&gt;=115%,115%,BA47) + IF(BB47&gt;=115%,115%,BB47) + IF(BC47&gt;=115%,115%,BC47) + IF(BD47&gt;=115%,115%,BD47) + IF(BE47&gt;=115%,115%,BE47) + IF(BF47&gt;=115%,115%,BF47) + IF(BG47&gt;=115%,115%,BG47) + IF(BH47&gt;=115%,115%,BH47)))/_xlfn.XLOOKUP(F47,Apuração!A:A,Apuração!B:B)&gt;=1.15,1.15,((IF(AZ47&gt;=115%,115%,AZ47) + IF(AX47&gt;=115%,115%,AX47) + IF(AY47&gt;=115%,115%,AY47) + (IF(AW47&gt;=115%,115%,AW47) + IF(BA47&gt;=115%,115%,BA47) + IF(BB47&gt;=115%,115%,BB47) + IF(BC47&gt;=115%,115%,BC47) + IF(BD47&gt;=115%,115%,BD47) + IF(BE47&gt;=115%,115%,BE47) + IF(BF47&gt;=115%,115%,BF47) + IF(BG47&gt;=115%,115%,BG47) + IF(BH47&gt;=115%,115%,BH47)))/_xlfn.XLOOKUP(F47,Apuração!A:A,Apuração!B:B)))</f>
        <v>0</v>
      </c>
      <c r="BL47" s="58" cm="1">
        <f t="array" aca="1" ref="BL47" ca="1">IF(SUM(IFERROR(IF(INDEX(AW47:INDEX(AW47:BH47, MATCH(2, 1/(AW47:BH47&lt;&gt;""), 1)-1), ROW(INDIRECT("1:" &amp; MATCH(2, 1/(AW47:BH47&lt;&gt;""), 1)-1))) &gt;= 115%, 115%, INDEX(AW47:INDEX(AW47:BH47, MATCH(2, 1/(AW47:BH47&lt;&gt;""), 1)-1), ROW(INDIRECT("1:" &amp; MATCH(2, 1/(AW47:BH47&lt;&gt;""), 1)-1)))), 0))/_xlfn.XLOOKUP(F47,Apuração!A:A,Apuração!B:B)&gt;=1.15,1.15,SUM(IFERROR(IF(INDEX(AW47:INDEX(AW47:BH47, MATCH(2, 1/(AW47:BH47&lt;&gt;""), 1)-1), ROW(INDIRECT("1:" &amp; MATCH(2, 1/(AW47:BH47&lt;&gt;""), 1)-1))) &gt;= 115%, 115%, INDEX(AW47:INDEX(AW47:BH47, MATCH(2, 1/(AW47:BH47&lt;&gt;""), 1)-1), ROW(INDIRECT("1:" &amp; MATCH(2, 1/(AW47:BH47&lt;&gt;""), 1)-1)))), 0))/_xlfn.XLOOKUP(F47,Apuração!A:A,Apuração!B:B))</f>
        <v>0</v>
      </c>
      <c r="BM47" s="55" cm="1">
        <f t="array" ref="BM47">IFERROR(
   INDEX($AW$1:$BH$1,
      _xlfn.AGGREGATE(14, 6, COLUMN($AW$1:$BH$1)/(AW47:BH47&lt;&gt;""), 2) - COLUMN($AW$1) + 1
   ),
"")</f>
        <v>46082</v>
      </c>
      <c r="BN47" s="55" cm="1">
        <f t="array" ref="BN47">IFERROR(INDEX($AW$1:$BH$1,1,MATCH(2,1/(AW47:BH47&lt;&gt;""))),"")</f>
        <v>46113</v>
      </c>
      <c r="BO47" s="53">
        <f ca="1">IFERROR(_xlfn.XLOOKUP(F47,Apuração!A:A,Apuração!C:C)/_xlfn.XLOOKUP(F47,Apuração!A:A,Apuração!B:B),0)</f>
        <v>0</v>
      </c>
      <c r="BP47" s="53">
        <f ca="1">IFERROR(_xlfn.XLOOKUP(F47,Apuração!A:A,Apuração!D:D)/_xlfn.XLOOKUP(F47,Apuração!A:A,Apuração!B:B),0)</f>
        <v>0</v>
      </c>
      <c r="BQ47" s="53">
        <f ca="1">IF(BK47&gt;=BO47,0,_xlfn.XLOOKUP(F47,Apuração!A:A,Apuração!B:B)*(BO47 + (1/_xlfn.XLOOKUP(F47,Apuração!A:A,Apuração!B:B)) - BK47))</f>
        <v>0</v>
      </c>
      <c r="BR47" s="85">
        <f t="shared" ref="BR47:BR50" ca="1" si="149">IF(BQ47=0,0,BQ47*Z47)</f>
        <v>0</v>
      </c>
      <c r="BS47" s="53">
        <f ca="1">IFERROR((_xlfn.XLOOKUP(F47,Apuração!A:A,Apuração!C:C)+1)/_xlfn.XLOOKUP(F47,Apuração!A:A,Apuração!B:B),0)</f>
        <v>0.14285714285714285</v>
      </c>
    </row>
    <row r="48" spans="1:71" ht="44.4" hidden="1" customHeight="1" x14ac:dyDescent="0.3">
      <c r="A48" s="3" t="s">
        <v>33</v>
      </c>
      <c r="B48" s="4" t="s">
        <v>84</v>
      </c>
      <c r="C48" s="5" t="s">
        <v>35</v>
      </c>
      <c r="D48" s="5" t="s">
        <v>48</v>
      </c>
      <c r="E48" s="4" t="s">
        <v>85</v>
      </c>
      <c r="F48" s="4" t="str" cm="1">
        <f t="array" ref="F48">_xlfn.IFS(
AG48 &lt;&gt; "", "Jan-Dez/26",
AH48 &lt;&gt; "", "Fev-Dez/26",
AI48 &lt;&gt; "", "Mar-Dez/26", AJ48 &lt;&gt; "", "Abr-Dez/26",
TRUE, "A partir de Junho"
)</f>
        <v>A partir de Junho</v>
      </c>
      <c r="G48" s="4" t="s">
        <v>62</v>
      </c>
      <c r="H48" s="7" t="s">
        <v>38</v>
      </c>
      <c r="I48" s="8" t="s">
        <v>55</v>
      </c>
      <c r="J48" s="8" t="str" cm="1">
        <f t="array" aca="1" ref="J48" ca="1">_xlfn.LET(
  _xlpm.actual_value_month, INDEX(T48:AE48, MATCH(DATE(YEAR(TODAY()), MONTH(TODAY()), 1), $T$1:$AE$1, 0)),
  IF(_xlpm.actual_value_month &lt;&gt; "",_xlpm.actual_value_month &amp; " ações mensais", "")
)</f>
        <v>1 ações mensais</v>
      </c>
      <c r="K48" s="14" t="str" cm="1">
        <f t="array" ref="K48">_xlfn.LET(
    _xlpm.sum_month, SUM(T48:AE48),
    IF(_xlpm.sum_month = 0, "", _xlpm.sum_month &amp; " eventos realizados")
)</f>
        <v>9 eventos realizados</v>
      </c>
      <c r="L48" s="9" t="s">
        <v>56</v>
      </c>
      <c r="M48" s="13" t="s">
        <v>86</v>
      </c>
      <c r="N48" s="5" t="s">
        <v>42</v>
      </c>
      <c r="O48" s="5" t="s">
        <v>43</v>
      </c>
      <c r="P48" s="10" t="s">
        <v>44</v>
      </c>
      <c r="Q48" s="10" t="s">
        <v>44</v>
      </c>
      <c r="R48" s="11" t="s">
        <v>44</v>
      </c>
      <c r="S48" s="11" t="s">
        <v>44</v>
      </c>
      <c r="T48" s="143"/>
      <c r="U48" s="143"/>
      <c r="V48" s="143"/>
      <c r="W48" s="143">
        <v>1</v>
      </c>
      <c r="X48" s="143">
        <v>1</v>
      </c>
      <c r="Y48" s="143">
        <v>1</v>
      </c>
      <c r="Z48" s="143">
        <v>1</v>
      </c>
      <c r="AA48" s="143">
        <v>1</v>
      </c>
      <c r="AB48" s="143">
        <v>1</v>
      </c>
      <c r="AC48" s="143">
        <v>1</v>
      </c>
      <c r="AD48" s="143">
        <v>1</v>
      </c>
      <c r="AE48" s="143">
        <v>1</v>
      </c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94">
        <f t="shared" ca="1" si="142"/>
        <v>2</v>
      </c>
      <c r="AT48" s="95">
        <f t="shared" si="143"/>
        <v>0</v>
      </c>
      <c r="AU48" s="97">
        <f t="shared" si="144"/>
        <v>0</v>
      </c>
      <c r="AW48" s="51">
        <f t="shared" si="145"/>
        <v>0</v>
      </c>
      <c r="AX48" s="51">
        <f t="shared" si="146"/>
        <v>0</v>
      </c>
      <c r="AY48" s="51">
        <f t="shared" si="147"/>
        <v>0</v>
      </c>
      <c r="AZ48" s="51">
        <f t="shared" si="148"/>
        <v>0</v>
      </c>
      <c r="BA48" s="51"/>
      <c r="BB48" s="51"/>
      <c r="BC48" s="51"/>
      <c r="BD48" s="51"/>
      <c r="BE48" s="51"/>
      <c r="BF48" s="51"/>
      <c r="BG48" s="51"/>
      <c r="BH48" s="51"/>
      <c r="BI48" s="65" cm="1">
        <f t="array" ref="BI48">IFERROR(INDEX(AW48:BH48,1,MATCH(2,1/(AW48:BH48&lt;&gt;""))),"")</f>
        <v>0</v>
      </c>
      <c r="BJ48" s="68" cm="1">
        <f t="array" ref="BJ48">IF(BM48 = "", "",IFERROR(INDEX(AW48:BH48,1,MATCH(2,1/(AW48:BH48&lt;&gt;""),1)-1),""))</f>
        <v>0</v>
      </c>
      <c r="BK48" s="58">
        <f>IF((IF(AW48&gt;=115%,115%,AW48) + IF(AX48&gt;=115%,115%,AX48) + IF(AY48&gt;=115%,115%,AY48) + (IF(AZ48&gt;=115%,115%,AZ48) + IF(BA48&gt;=115%,115%,BA48) + IF(BB48&gt;=115%,115%,BB48) + IF(BC48&gt;=115%,115%,BC48) + IF(BD48&gt;=115%,115%,BD48) + IF(BE48&gt;=115%,115%,BE48) + IF(BF48&gt;=115%,115%,BF48) + IF(BG48&gt;=115%,115%,BG48) + IF(BH48&gt;=115%,115%,BH48)))/_xlfn.XLOOKUP(F48,Apuração!A:A,Apuração!B:B)&gt;=1.15,1.15,((IF(AZ48&gt;=115%,115%,AZ48) + IF(AX48&gt;=115%,115%,AX48) + IF(AY48&gt;=115%,115%,AY48) + (IF(AW48&gt;=115%,115%,AW48) + IF(BA48&gt;=115%,115%,BA48) + IF(BB48&gt;=115%,115%,BB48) + IF(BC48&gt;=115%,115%,BC48) + IF(BD48&gt;=115%,115%,BD48) + IF(BE48&gt;=115%,115%,BE48) + IF(BF48&gt;=115%,115%,BF48) + IF(BG48&gt;=115%,115%,BG48) + IF(BH48&gt;=115%,115%,BH48)))/_xlfn.XLOOKUP(F48,Apuração!A:A,Apuração!B:B)))</f>
        <v>0</v>
      </c>
      <c r="BL48" s="58" cm="1">
        <f t="array" aca="1" ref="BL48" ca="1">IF(SUM(IFERROR(IF(INDEX(AW48:INDEX(AW48:BH48, MATCH(2, 1/(AW48:BH48&lt;&gt;""), 1)-1), ROW(INDIRECT("1:" &amp; MATCH(2, 1/(AW48:BH48&lt;&gt;""), 1)-1))) &gt;= 115%, 115%, INDEX(AW48:INDEX(AW48:BH48, MATCH(2, 1/(AW48:BH48&lt;&gt;""), 1)-1), ROW(INDIRECT("1:" &amp; MATCH(2, 1/(AW48:BH48&lt;&gt;""), 1)-1)))), 0))/_xlfn.XLOOKUP(F48,Apuração!A:A,Apuração!B:B)&gt;=1.15,1.15,SUM(IFERROR(IF(INDEX(AW48:INDEX(AW48:BH48, MATCH(2, 1/(AW48:BH48&lt;&gt;""), 1)-1), ROW(INDIRECT("1:" &amp; MATCH(2, 1/(AW48:BH48&lt;&gt;""), 1)-1))) &gt;= 115%, 115%, INDEX(AW48:INDEX(AW48:BH48, MATCH(2, 1/(AW48:BH48&lt;&gt;""), 1)-1), ROW(INDIRECT("1:" &amp; MATCH(2, 1/(AW48:BH48&lt;&gt;""), 1)-1)))), 0))/_xlfn.XLOOKUP(F48,Apuração!A:A,Apuração!B:B))</f>
        <v>0</v>
      </c>
      <c r="BM48" s="55" cm="1">
        <f t="array" ref="BM48">IFERROR(
   INDEX($AW$1:$BH$1,
      _xlfn.AGGREGATE(14, 6, COLUMN($AW$1:$BH$1)/(AW48:BH48&lt;&gt;""), 2) - COLUMN($AW$1) + 1
   ),
"")</f>
        <v>46082</v>
      </c>
      <c r="BN48" s="55" cm="1">
        <f t="array" ref="BN48">IFERROR(INDEX($AW$1:$BH$1,1,MATCH(2,1/(AW48:BH48&lt;&gt;""))),"")</f>
        <v>46113</v>
      </c>
      <c r="BO48" s="53">
        <f ca="1">IFERROR(_xlfn.XLOOKUP(F48,Apuração!A:A,Apuração!C:C)/_xlfn.XLOOKUP(F48,Apuração!A:A,Apuração!B:B),0)</f>
        <v>0</v>
      </c>
      <c r="BP48" s="53">
        <f ca="1">IFERROR(_xlfn.XLOOKUP(F48,Apuração!A:A,Apuração!D:D)/_xlfn.XLOOKUP(F48,Apuração!A:A,Apuração!B:B),0)</f>
        <v>0</v>
      </c>
      <c r="BQ48" s="53">
        <f ca="1">IF(BK48&gt;=BO48,0,_xlfn.XLOOKUP(F48,Apuração!A:A,Apuração!B:B)*(BO48 + (1/_xlfn.XLOOKUP(F48,Apuração!A:A,Apuração!B:B)) - BK48))</f>
        <v>0</v>
      </c>
      <c r="BR48" s="85">
        <f t="shared" ca="1" si="149"/>
        <v>0</v>
      </c>
      <c r="BS48" s="53">
        <f ca="1">IFERROR((_xlfn.XLOOKUP(F48,Apuração!A:A,Apuração!C:C)+1)/_xlfn.XLOOKUP(F48,Apuração!A:A,Apuração!B:B),0)</f>
        <v>0.14285714285714285</v>
      </c>
    </row>
    <row r="49" spans="1:71" ht="25.95" hidden="1" customHeight="1" x14ac:dyDescent="0.3">
      <c r="A49" s="39" t="s">
        <v>33</v>
      </c>
      <c r="B49" s="4" t="s">
        <v>84</v>
      </c>
      <c r="C49" s="5" t="s">
        <v>35</v>
      </c>
      <c r="D49" s="5" t="s">
        <v>36</v>
      </c>
      <c r="E49" s="4" t="s">
        <v>85</v>
      </c>
      <c r="F49" s="4" t="str" cm="1">
        <f t="array" ref="F49">_xlfn.IFS(
AG49 &lt;&gt; "", "Jan-Dez/26",
AH49 &lt;&gt; "", "Fev-Dez/26",
AI49 &lt;&gt; "", "Mar-Dez/26", AJ49 &lt;&gt; "", "Abr-Dez/26",
TRUE, "A partir de Junho"
)</f>
        <v>A partir de Junho</v>
      </c>
      <c r="G49" s="4" t="s">
        <v>62</v>
      </c>
      <c r="H49" s="7" t="s">
        <v>38</v>
      </c>
      <c r="I49" s="9" t="s">
        <v>76</v>
      </c>
      <c r="J49" s="8" t="str" cm="1">
        <f t="array" aca="1" ref="J49" ca="1">_xlfn.LET(
  _xlpm.actual_value_month, INDEX(T49:AE49, MATCH(DATE(YEAR(TODAY()), MONTH(TODAY()), 1), $T$1:$AE$1, 0)),
  IF(_xlpm.actual_value_month &lt;&gt; "",_xlpm.actual_value_month &amp; " ações mensais", "")
)</f>
        <v/>
      </c>
      <c r="K49" s="14" t="str" cm="1">
        <f t="array" ref="K49">_xlfn.LET(
    _xlpm.sum_month, SUM(T49:AE49),
    IF(_xlpm.sum_month = 0, "", _xlpm.sum_month &amp; " público impactado no ano.")
)</f>
        <v/>
      </c>
      <c r="L49" s="9" t="s">
        <v>76</v>
      </c>
      <c r="M49" s="13">
        <v>1</v>
      </c>
      <c r="N49" s="5" t="s">
        <v>51</v>
      </c>
      <c r="O49" s="5" t="s">
        <v>52</v>
      </c>
      <c r="P49" s="10" t="s">
        <v>44</v>
      </c>
      <c r="Q49" s="10" t="s">
        <v>44</v>
      </c>
      <c r="R49" s="11" t="s">
        <v>44</v>
      </c>
      <c r="S49" s="11" t="s">
        <v>44</v>
      </c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94">
        <f t="shared" ca="1" si="142"/>
        <v>0</v>
      </c>
      <c r="AT49" s="95">
        <f t="shared" ref="AT49:AT50" si="150">SUM(AG49:AR49)</f>
        <v>0</v>
      </c>
      <c r="AU49" s="97">
        <f t="shared" si="144"/>
        <v>0</v>
      </c>
      <c r="AW49" s="83">
        <f t="shared" ref="AW49:AW50" si="151">AG49</f>
        <v>0</v>
      </c>
      <c r="AX49" s="83">
        <f t="shared" ref="AX49:AX50" si="152">AH49</f>
        <v>0</v>
      </c>
      <c r="AY49" s="83">
        <f t="shared" ref="AY49:AY50" si="153">AI49</f>
        <v>0</v>
      </c>
      <c r="AZ49" s="83">
        <f t="shared" ref="AZ49:AZ50" si="154">AJ49</f>
        <v>0</v>
      </c>
      <c r="BA49" s="52"/>
      <c r="BB49" s="52"/>
      <c r="BC49" s="52"/>
      <c r="BD49" s="52"/>
      <c r="BE49" s="52"/>
      <c r="BF49" s="52"/>
      <c r="BG49" s="52"/>
      <c r="BH49" s="52"/>
      <c r="BI49" s="68" cm="1">
        <f t="array" ref="BI49">IFERROR(INDEX(AW49:BH49,1,MATCH(2,1/(AW49:BH49&lt;&gt;""))),"")</f>
        <v>0</v>
      </c>
      <c r="BJ49" s="68" cm="1">
        <f t="array" ref="BJ49">IF(BM49 = "", "",IFERROR(INDEX(AW49:BH49,1,MATCH(2,1/(AW49:BH49&lt;&gt;""),1)-1),""))</f>
        <v>0</v>
      </c>
      <c r="BK49" s="59">
        <f t="shared" ref="BK49:BK50" si="155">SUM(AW49:BH49)</f>
        <v>0</v>
      </c>
      <c r="BL49" s="59" cm="1">
        <f t="array" ref="BL49">IFERROR(SUM(AW49:INDEX(AW49:BH49, MATCH(2, 1/(AW49:BH49&lt;&gt;""), 1) - 1))/_xlfn.XLOOKUP(F49,Apuração!A:A,Apuração!B:B),0)</f>
        <v>0</v>
      </c>
      <c r="BM49" s="55" cm="1">
        <f t="array" ref="BM49">IFERROR(
   INDEX($AW$1:$BH$1,
      _xlfn.AGGREGATE(14, 6, COLUMN($AW$1:$BH$1)/(AW49:BH49&lt;&gt;""), 2) - COLUMN($AW$1) + 1
   ),
"")</f>
        <v>46082</v>
      </c>
      <c r="BN49" s="55" cm="1">
        <f t="array" ref="BN49">IFERROR(INDEX($AW$1:$BH$1,1,MATCH(2,1/(AW49:BH49&lt;&gt;""))),"")</f>
        <v>46113</v>
      </c>
      <c r="BO49" s="53">
        <f ca="1">IFERROR(_xlfn.XLOOKUP(F49,Apuração!A:A,Apuração!C:C)/_xlfn.XLOOKUP(F49,Apuração!A:A,Apuração!B:B),0)</f>
        <v>0</v>
      </c>
      <c r="BP49" s="53">
        <f ca="1">IFERROR(_xlfn.XLOOKUP(F49,Apuração!A:A,Apuração!D:D)/_xlfn.XLOOKUP(F49,Apuração!A:A,Apuração!B:B),0)</f>
        <v>0</v>
      </c>
      <c r="BQ49" s="53">
        <f ca="1">IF(BK49&gt;=BO49,0,_xlfn.XLOOKUP(F49,Apuração!A:A,Apuração!B:B)*(BO49 + (1/_xlfn.XLOOKUP(F49,Apuração!A:A,Apuração!B:B)) - BK49))</f>
        <v>0</v>
      </c>
      <c r="BR49" s="85">
        <f t="shared" ca="1" si="149"/>
        <v>0</v>
      </c>
      <c r="BS49" s="53">
        <f ca="1">IFERROR((_xlfn.XLOOKUP(F49,Apuração!A:A,Apuração!C:C)+1)/_xlfn.XLOOKUP(F49,Apuração!A:A,Apuração!B:B),0)</f>
        <v>0.14285714285714285</v>
      </c>
    </row>
    <row r="50" spans="1:71" ht="25.95" hidden="1" customHeight="1" x14ac:dyDescent="0.3">
      <c r="A50" s="39" t="s">
        <v>33</v>
      </c>
      <c r="B50" s="4" t="s">
        <v>84</v>
      </c>
      <c r="C50" s="5" t="s">
        <v>35</v>
      </c>
      <c r="D50" s="5" t="s">
        <v>47</v>
      </c>
      <c r="E50" s="4" t="s">
        <v>85</v>
      </c>
      <c r="F50" s="4" t="str" cm="1">
        <f t="array" ref="F50">_xlfn.IFS(
AG50 &lt;&gt; "", "Jan-Dez/26",
AH50 &lt;&gt; "", "Fev-Dez/26",
AI50 &lt;&gt; "", "Mar-Dez/26", AJ50 &lt;&gt; "", "Abr-Dez/26",
TRUE, "A partir de Junho"
)</f>
        <v>A partir de Junho</v>
      </c>
      <c r="G50" s="4" t="s">
        <v>62</v>
      </c>
      <c r="H50" s="7" t="s">
        <v>38</v>
      </c>
      <c r="I50" s="9" t="s">
        <v>76</v>
      </c>
      <c r="J50" s="8" t="str" cm="1">
        <f t="array" aca="1" ref="J50" ca="1">_xlfn.LET(
  _xlpm.actual_value_month, INDEX(T50:AE50, MATCH(DATE(YEAR(TODAY()), MONTH(TODAY()), 1), $T$1:$AE$1, 0)),
  IF(_xlpm.actual_value_month &lt;&gt; "",_xlpm.actual_value_month &amp; " ações mensais", "")
)</f>
        <v/>
      </c>
      <c r="K50" s="14" t="str" cm="1">
        <f t="array" ref="K50">_xlfn.LET(
    _xlpm.sum_month, SUM(T50:AE50),
    IF(_xlpm.sum_month = 0, "", _xlpm.sum_month &amp; " público impactado no ano.")
)</f>
        <v/>
      </c>
      <c r="L50" s="9" t="s">
        <v>76</v>
      </c>
      <c r="M50" s="13">
        <v>1</v>
      </c>
      <c r="N50" s="5" t="s">
        <v>51</v>
      </c>
      <c r="O50" s="5" t="s">
        <v>52</v>
      </c>
      <c r="P50" s="10" t="s">
        <v>44</v>
      </c>
      <c r="Q50" s="10" t="s">
        <v>44</v>
      </c>
      <c r="R50" s="11" t="s">
        <v>44</v>
      </c>
      <c r="S50" s="11" t="s">
        <v>44</v>
      </c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94">
        <f t="shared" ca="1" si="142"/>
        <v>0</v>
      </c>
      <c r="AT50" s="95">
        <f t="shared" si="150"/>
        <v>0</v>
      </c>
      <c r="AU50" s="97">
        <f t="shared" si="144"/>
        <v>0</v>
      </c>
      <c r="AW50" s="83">
        <f t="shared" si="151"/>
        <v>0</v>
      </c>
      <c r="AX50" s="83">
        <f t="shared" si="152"/>
        <v>0</v>
      </c>
      <c r="AY50" s="83">
        <f t="shared" si="153"/>
        <v>0</v>
      </c>
      <c r="AZ50" s="83">
        <f t="shared" si="154"/>
        <v>0</v>
      </c>
      <c r="BA50" s="52"/>
      <c r="BB50" s="52"/>
      <c r="BC50" s="52"/>
      <c r="BD50" s="52"/>
      <c r="BE50" s="52"/>
      <c r="BF50" s="52"/>
      <c r="BG50" s="52"/>
      <c r="BH50" s="52"/>
      <c r="BI50" s="68" cm="1">
        <f t="array" ref="BI50">IFERROR(INDEX(AW50:BH50,1,MATCH(2,1/(AW50:BH50&lt;&gt;""))),"")</f>
        <v>0</v>
      </c>
      <c r="BJ50" s="68" cm="1">
        <f t="array" ref="BJ50">IF(BM50 = "", "",IFERROR(INDEX(AW50:BH50,1,MATCH(2,1/(AW50:BH50&lt;&gt;""),1)-1),""))</f>
        <v>0</v>
      </c>
      <c r="BK50" s="59">
        <f t="shared" si="155"/>
        <v>0</v>
      </c>
      <c r="BL50" s="59" cm="1">
        <f t="array" ref="BL50">IFERROR(SUM(AW50:INDEX(AW50:BH50, MATCH(2, 1/(AW50:BH50&lt;&gt;""), 1) - 1))/_xlfn.XLOOKUP(F50,Apuração!A:A,Apuração!B:B),0)</f>
        <v>0</v>
      </c>
      <c r="BM50" s="55" cm="1">
        <f t="array" ref="BM50">IFERROR(
   INDEX($AW$1:$BH$1,
      _xlfn.AGGREGATE(14, 6, COLUMN($AW$1:$BH$1)/(AW50:BH50&lt;&gt;""), 2) - COLUMN($AW$1) + 1
   ),
"")</f>
        <v>46082</v>
      </c>
      <c r="BN50" s="55" cm="1">
        <f t="array" ref="BN50">IFERROR(INDEX($AW$1:$BH$1,1,MATCH(2,1/(AW50:BH50&lt;&gt;""))),"")</f>
        <v>46113</v>
      </c>
      <c r="BO50" s="53">
        <f ca="1">IFERROR(_xlfn.XLOOKUP(F50,Apuração!A:A,Apuração!C:C)/_xlfn.XLOOKUP(F50,Apuração!A:A,Apuração!B:B),0)</f>
        <v>0</v>
      </c>
      <c r="BP50" s="53">
        <f ca="1">IFERROR(_xlfn.XLOOKUP(F50,Apuração!A:A,Apuração!D:D)/_xlfn.XLOOKUP(F50,Apuração!A:A,Apuração!B:B),0)</f>
        <v>0</v>
      </c>
      <c r="BQ50" s="53">
        <f ca="1">IF(BK50&gt;=BO50,0,_xlfn.XLOOKUP(F50,Apuração!A:A,Apuração!B:B)*(BO50 + (1/_xlfn.XLOOKUP(F50,Apuração!A:A,Apuração!B:B)) - BK50))</f>
        <v>0</v>
      </c>
      <c r="BR50" s="85">
        <f t="shared" ca="1" si="149"/>
        <v>0</v>
      </c>
      <c r="BS50" s="53">
        <f ca="1">IFERROR((_xlfn.XLOOKUP(F50,Apuração!A:A,Apuração!C:C)+1)/_xlfn.XLOOKUP(F50,Apuração!A:A,Apuração!B:B),0)</f>
        <v>0.14285714285714285</v>
      </c>
    </row>
    <row r="51" spans="1:71" ht="25.95" hidden="1" customHeight="1" x14ac:dyDescent="0.3">
      <c r="A51" s="39" t="s">
        <v>33</v>
      </c>
      <c r="B51" s="4" t="s">
        <v>84</v>
      </c>
      <c r="C51" s="5" t="s">
        <v>35</v>
      </c>
      <c r="D51" s="5" t="s">
        <v>48</v>
      </c>
      <c r="E51" s="4" t="s">
        <v>85</v>
      </c>
      <c r="F51" s="4" t="str" cm="1">
        <f t="array" ref="F51">_xlfn.IFS(
AG51 &lt;&gt; "", "Jan-Dez/26",
AH51 &lt;&gt; "", "Fev-Dez/26",
AI51 &lt;&gt; "", "Mar-Dez/26", AJ51 &lt;&gt; "", "Abr-Dez/26",
TRUE, "A partir de Junho"
)</f>
        <v>A partir de Junho</v>
      </c>
      <c r="G51" s="4" t="s">
        <v>62</v>
      </c>
      <c r="H51" s="7" t="s">
        <v>38</v>
      </c>
      <c r="I51" s="9" t="s">
        <v>76</v>
      </c>
      <c r="J51" s="8" t="str" cm="1">
        <f t="array" aca="1" ref="J51" ca="1">_xlfn.LET(
  _xlpm.actual_value_month, INDEX(T51:AE51, MATCH(DATE(YEAR(TODAY()), MONTH(TODAY()), 1), $T$1:$AE$1, 0)),
  IF(_xlpm.actual_value_month &lt;&gt; "",_xlpm.actual_value_month &amp; " ações mensais", "")
)</f>
        <v/>
      </c>
      <c r="K51" s="14" t="str" cm="1">
        <f t="array" ref="K51">_xlfn.LET(
    _xlpm.sum_month, SUM(T51:AE51),
    IF(_xlpm.sum_month = 0, "", _xlpm.sum_month &amp; " público impactado no ano.")
)</f>
        <v/>
      </c>
      <c r="L51" s="9" t="s">
        <v>76</v>
      </c>
      <c r="M51" s="13">
        <v>1</v>
      </c>
      <c r="N51" s="5" t="s">
        <v>51</v>
      </c>
      <c r="O51" s="5" t="s">
        <v>52</v>
      </c>
      <c r="P51" s="10" t="s">
        <v>44</v>
      </c>
      <c r="Q51" s="10" t="s">
        <v>44</v>
      </c>
      <c r="R51" s="11" t="s">
        <v>44</v>
      </c>
      <c r="S51" s="11" t="s">
        <v>44</v>
      </c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94">
        <f t="shared" ca="1" si="140"/>
        <v>0</v>
      </c>
      <c r="AT51" s="95">
        <f>SUM(AG51:AR51)</f>
        <v>0</v>
      </c>
      <c r="AU51" s="97">
        <f t="shared" si="141"/>
        <v>0</v>
      </c>
      <c r="AW51" s="83">
        <f>AG51</f>
        <v>0</v>
      </c>
      <c r="AX51" s="83">
        <f t="shared" ref="AX51" si="156">AH51</f>
        <v>0</v>
      </c>
      <c r="AY51" s="83">
        <f t="shared" ref="AY51" si="157">AI51</f>
        <v>0</v>
      </c>
      <c r="AZ51" s="83">
        <f t="shared" ref="AZ51" si="158">AJ51</f>
        <v>0</v>
      </c>
      <c r="BA51" s="52"/>
      <c r="BB51" s="52"/>
      <c r="BC51" s="52"/>
      <c r="BD51" s="52"/>
      <c r="BE51" s="52"/>
      <c r="BF51" s="52"/>
      <c r="BG51" s="52"/>
      <c r="BH51" s="52"/>
      <c r="BI51" s="68" cm="1">
        <f t="array" ref="BI51">IFERROR(INDEX(AW51:BH51,1,MATCH(2,1/(AW51:BH51&lt;&gt;""))),"")</f>
        <v>0</v>
      </c>
      <c r="BJ51" s="68" cm="1">
        <f t="array" ref="BJ51">IF(BM51 = "", "",IFERROR(INDEX(AW51:BH51,1,MATCH(2,1/(AW51:BH51&lt;&gt;""),1)-1),""))</f>
        <v>0</v>
      </c>
      <c r="BK51" s="59">
        <f>SUM(AW51:BH51)</f>
        <v>0</v>
      </c>
      <c r="BL51" s="59" cm="1">
        <f t="array" ref="BL51">IFERROR(SUM(AW51:INDEX(AW51:BH51, MATCH(2, 1/(AW51:BH51&lt;&gt;""), 1) - 1))/_xlfn.XLOOKUP(F51,Apuração!A:A,Apuração!B:B),0)</f>
        <v>0</v>
      </c>
      <c r="BM51" s="55" cm="1">
        <f t="array" ref="BM51">IFERROR(
   INDEX($AW$1:$BH$1,
      _xlfn.AGGREGATE(14, 6, COLUMN($AW$1:$BH$1)/(AW51:BH51&lt;&gt;""), 2) - COLUMN($AW$1) + 1
   ),
"")</f>
        <v>46082</v>
      </c>
      <c r="BN51" s="55" cm="1">
        <f t="array" ref="BN51">IFERROR(INDEX($AW$1:$BH$1,1,MATCH(2,1/(AW51:BH51&lt;&gt;""))),"")</f>
        <v>46113</v>
      </c>
      <c r="BO51" s="53">
        <f ca="1">IFERROR(_xlfn.XLOOKUP(F51,Apuração!A:A,Apuração!C:C)/_xlfn.XLOOKUP(F51,Apuração!A:A,Apuração!B:B),0)</f>
        <v>0</v>
      </c>
      <c r="BP51" s="53">
        <f ca="1">IFERROR(_xlfn.XLOOKUP(F51,Apuração!A:A,Apuração!D:D)/_xlfn.XLOOKUP(F51,Apuração!A:A,Apuração!B:B),0)</f>
        <v>0</v>
      </c>
      <c r="BQ51" s="53">
        <f ca="1">IF(BK51&gt;=BO51,0,_xlfn.XLOOKUP(F51,Apuração!A:A,Apuração!B:B)*(BO51 + (1/_xlfn.XLOOKUP(F51,Apuração!A:A,Apuração!B:B)) - BK51))</f>
        <v>0</v>
      </c>
      <c r="BR51" s="85">
        <f t="shared" ca="1" si="2"/>
        <v>0</v>
      </c>
      <c r="BS51" s="53">
        <f ca="1">IFERROR((_xlfn.XLOOKUP(F51,Apuração!A:A,Apuração!C:C)+1)/_xlfn.XLOOKUP(F51,Apuração!A:A,Apuração!B:B),0)</f>
        <v>0.14285714285714285</v>
      </c>
    </row>
    <row r="52" spans="1:71" ht="25.95" hidden="1" customHeight="1" x14ac:dyDescent="0.3">
      <c r="A52" s="20" t="s">
        <v>87</v>
      </c>
      <c r="B52" s="4" t="s">
        <v>88</v>
      </c>
      <c r="C52" s="5" t="s">
        <v>35</v>
      </c>
      <c r="D52" s="5" t="s">
        <v>36</v>
      </c>
      <c r="E52" s="4" t="s">
        <v>85</v>
      </c>
      <c r="F52" s="4" t="str" cm="1">
        <f t="array" ref="F52">_xlfn.IFS(
AG52 &lt;&gt; "", "Jan-Dez/26",
AH52 &lt;&gt; "", "Fev-Dez/26",
AI52 &lt;&gt; "", "Mar-Dez/26", AJ52 &lt;&gt; "", "Abr-Dez/26",
TRUE, "A partir de Junho"
)</f>
        <v>A partir de Junho</v>
      </c>
      <c r="G52" s="4" t="s">
        <v>62</v>
      </c>
      <c r="H52" s="7" t="s">
        <v>38</v>
      </c>
      <c r="I52" s="9" t="s">
        <v>89</v>
      </c>
      <c r="J52" s="21" t="str" cm="1">
        <f t="array" aca="1" ref="J52" ca="1">_xlfn.LET(
  _xlpm.actual_value_month, INDEX(T52:AE52, MATCH(DATE(YEAR(TODAY()), MONTH(TODAY()), 1), $T$1:$AE$1, 0)),
  IF(_xlpm.actual_value_month &lt;&gt; "",_xlpm.actual_value_month &amp; " ações mensais", "")
)</f>
        <v/>
      </c>
      <c r="K52" s="8" t="str" cm="1">
        <f t="array" ref="K52">_xlfn.LET(
    _xlpm.sum_month, SUM(T52:AE52),
    IF(_xlpm.sum_month = 0, "", _xlpm.sum_month &amp; " certificados gerados no ano")
)</f>
        <v/>
      </c>
      <c r="L52" s="4" t="s">
        <v>90</v>
      </c>
      <c r="M52" s="19"/>
      <c r="N52" s="5" t="s">
        <v>42</v>
      </c>
      <c r="O52" s="5"/>
      <c r="P52" s="10"/>
      <c r="Q52" s="10"/>
      <c r="R52" s="10"/>
      <c r="S52" s="10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94">
        <f t="shared" ref="AS52:AS84" ca="1" si="159">AE52*BO52</f>
        <v>0</v>
      </c>
      <c r="AT52" s="95" t="str" cm="1">
        <f t="array" ref="AT52">IFERROR(INDEX(AJ52:AR52,1,MATCH(2,1/(AJ52:AR52&lt;&gt;""))),"")</f>
        <v/>
      </c>
      <c r="AU52" s="97" t="str">
        <f t="shared" ref="AU52:AU84" si="160">AT52</f>
        <v/>
      </c>
      <c r="AW52" s="51">
        <f>IFERROR(IF(AG52="",0,AG52/T52),0)</f>
        <v>0</v>
      </c>
      <c r="AX52" s="51">
        <f>IFERROR(IF(AH52="",0,AH52/U52),0)</f>
        <v>0</v>
      </c>
      <c r="AY52" s="51">
        <f>IFERROR(IF(AI52="",0,AI52/V52),0)</f>
        <v>0</v>
      </c>
      <c r="AZ52" s="51">
        <f>IFERROR(IF(AJ52="",0,AJ52/W52),0)</f>
        <v>0</v>
      </c>
      <c r="BA52" s="51">
        <f>IFERROR(IF(AK52="",0,AK52/X52),0)</f>
        <v>0</v>
      </c>
      <c r="BB52" s="51"/>
      <c r="BC52" s="51"/>
      <c r="BD52" s="51"/>
      <c r="BE52" s="51"/>
      <c r="BF52" s="51"/>
      <c r="BG52" s="51"/>
      <c r="BH52" s="51"/>
      <c r="BI52" s="65" cm="1">
        <f t="array" ref="BI52">IFERROR(INDEX(AW52:BH52,1,MATCH(2,1/(AW52:BH52&lt;&gt;""))),"")</f>
        <v>0</v>
      </c>
      <c r="BJ52" s="68" cm="1">
        <f t="array" ref="BJ52">IF(BM52 = "", "",IFERROR(INDEX(AW52:BH52,1,MATCH(2,1/(AW52:BH52&lt;&gt;""),1)-1),""))</f>
        <v>0</v>
      </c>
      <c r="BK52" s="58">
        <f>IF((IF(AW52&gt;=115%,115%,AW52) + IF(AX52&gt;=115%,115%,AX52) + IF(AY52&gt;=115%,115%,AY52) + (IF(AZ52&gt;=115%,115%,AZ52) + IF(BA52&gt;=115%,115%,BA52) + IF(BB52&gt;=115%,115%,BB52) + IF(BC52&gt;=115%,115%,BC52) + IF(BD52&gt;=115%,115%,BD52) + IF(BE52&gt;=115%,115%,BE52) + IF(BF52&gt;=115%,115%,BF52) + IF(BG52&gt;=115%,115%,BG52) + IF(BH52&gt;=115%,115%,BH52)))/_xlfn.XLOOKUP(F52,Apuração!A:A,Apuração!B:B)&gt;=1.15,1.15,((IF(AZ52&gt;=115%,115%,AZ52) + IF(AX52&gt;=115%,115%,AX52) + IF(AY52&gt;=115%,115%,AY52) + (IF(AW52&gt;=115%,115%,AW52) + IF(BA52&gt;=115%,115%,BA52) + IF(BB52&gt;=115%,115%,BB52) + IF(BC52&gt;=115%,115%,BC52) + IF(BD52&gt;=115%,115%,BD52) + IF(BE52&gt;=115%,115%,BE52) + IF(BF52&gt;=115%,115%,BF52) + IF(BG52&gt;=115%,115%,BG52) + IF(BH52&gt;=115%,115%,BH52)))/_xlfn.XLOOKUP(F52,Apuração!A:A,Apuração!B:B)))</f>
        <v>0</v>
      </c>
      <c r="BL52" s="58" cm="1">
        <f t="array" aca="1" ref="BL52" ca="1">IF(SUM(IFERROR(IF(INDEX(AW52:INDEX(AW52:BH52, MATCH(2, 1/(AW52:BH52&lt;&gt;""), 1)-1), ROW(INDIRECT("1:" &amp; MATCH(2, 1/(AW52:BH52&lt;&gt;""), 1)-1))) &gt;= 115%, 115%, INDEX(AW52:INDEX(AW52:BH52, MATCH(2, 1/(AW52:BH52&lt;&gt;""), 1)-1), ROW(INDIRECT("1:" &amp; MATCH(2, 1/(AW52:BH52&lt;&gt;""), 1)-1)))), 0))/_xlfn.XLOOKUP(F52,Apuração!A:A,Apuração!B:B)&gt;=1.15,1.15,SUM(IFERROR(IF(INDEX(AW52:INDEX(AW52:BH52, MATCH(2, 1/(AW52:BH52&lt;&gt;""), 1)-1), ROW(INDIRECT("1:" &amp; MATCH(2, 1/(AW52:BH52&lt;&gt;""), 1)-1))) &gt;= 115%, 115%, INDEX(AW52:INDEX(AW52:BH52, MATCH(2, 1/(AW52:BH52&lt;&gt;""), 1)-1), ROW(INDIRECT("1:" &amp; MATCH(2, 1/(AW52:BH52&lt;&gt;""), 1)-1)))), 0))/_xlfn.XLOOKUP(F52,Apuração!A:A,Apuração!B:B))</f>
        <v>0</v>
      </c>
      <c r="BM52" s="55" cm="1">
        <f t="array" ref="BM52">IFERROR(
   INDEX($AW$1:$BH$1,
      _xlfn.AGGREGATE(14, 6, COLUMN($AW$1:$BH$1)/(AW52:BH52&lt;&gt;""), 2) - COLUMN($AW$1) + 1
   ),
"")</f>
        <v>46113</v>
      </c>
      <c r="BN52" s="55" cm="1">
        <f t="array" ref="BN52">IFERROR(INDEX($AW$1:$BH$1,1,MATCH(2,1/(AW52:BH52&lt;&gt;""))),"")</f>
        <v>46143</v>
      </c>
      <c r="BO52" s="53">
        <f ca="1">IFERROR(_xlfn.XLOOKUP(F52,Apuração!A:A,Apuração!C:C)/_xlfn.XLOOKUP(F52,Apuração!A:A,Apuração!B:B),0)</f>
        <v>0</v>
      </c>
      <c r="BP52" s="53">
        <f ca="1">IFERROR(_xlfn.XLOOKUP(F52,Apuração!A:A,Apuração!D:D)/_xlfn.XLOOKUP(F52,Apuração!A:A,Apuração!B:B),0)</f>
        <v>0</v>
      </c>
      <c r="BQ52" s="53">
        <f ca="1">IF(BK52&gt;=BO52,0,_xlfn.XLOOKUP(F52,Apuração!A:A,Apuração!B:B)*(BO52 + (1/_xlfn.XLOOKUP(F52,Apuração!A:A,Apuração!B:B)) - BK52))</f>
        <v>0</v>
      </c>
      <c r="BR52" s="85">
        <f t="shared" ca="1" si="2"/>
        <v>0</v>
      </c>
      <c r="BS52" s="53">
        <f ca="1">IFERROR((_xlfn.XLOOKUP(F52,Apuração!A:A,Apuração!C:C)+1)/_xlfn.XLOOKUP(F52,Apuração!A:A,Apuração!B:B),0)</f>
        <v>0.14285714285714285</v>
      </c>
    </row>
    <row r="53" spans="1:71" ht="25.95" hidden="1" customHeight="1" x14ac:dyDescent="0.3">
      <c r="A53" s="20" t="s">
        <v>87</v>
      </c>
      <c r="B53" s="4" t="s">
        <v>88</v>
      </c>
      <c r="C53" s="5" t="s">
        <v>35</v>
      </c>
      <c r="D53" s="5" t="s">
        <v>47</v>
      </c>
      <c r="E53" s="4" t="s">
        <v>85</v>
      </c>
      <c r="F53" s="4" t="str" cm="1">
        <f t="array" ref="F53">_xlfn.IFS(
AG53 &lt;&gt; "", "Jan-Dez/26",
AH53 &lt;&gt; "", "Fev-Dez/26",
AI53 &lt;&gt; "", "Mar-Dez/26", AJ53 &lt;&gt; "", "Abr-Dez/26",
TRUE, "A partir de Junho"
)</f>
        <v>A partir de Junho</v>
      </c>
      <c r="G53" s="4" t="s">
        <v>62</v>
      </c>
      <c r="H53" s="7" t="s">
        <v>38</v>
      </c>
      <c r="I53" s="9" t="s">
        <v>89</v>
      </c>
      <c r="J53" s="21" t="str" cm="1">
        <f t="array" aca="1" ref="J53" ca="1">_xlfn.LET(
  _xlpm.actual_value_month, INDEX(T53:AE53, MATCH(DATE(YEAR(TODAY()), MONTH(TODAY()), 1), $T$1:$AE$1, 0)),
  IF(_xlpm.actual_value_month &lt;&gt; "",_xlpm.actual_value_month &amp; " ações mensais", "")
)</f>
        <v/>
      </c>
      <c r="K53" s="8" t="str" cm="1">
        <f t="array" ref="K53">_xlfn.LET(
    _xlpm.sum_month, SUM(T53:AE53),
    IF(_xlpm.sum_month = 0, "", _xlpm.sum_month &amp; " certificados gerados no ano")
)</f>
        <v/>
      </c>
      <c r="L53" s="4" t="s">
        <v>90</v>
      </c>
      <c r="M53" s="19"/>
      <c r="N53" s="5" t="s">
        <v>42</v>
      </c>
      <c r="O53" s="5"/>
      <c r="P53" s="10"/>
      <c r="Q53" s="10"/>
      <c r="R53" s="10"/>
      <c r="S53" s="10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94">
        <f t="shared" ref="AS53:AS54" ca="1" si="161">AE53*BO53</f>
        <v>0</v>
      </c>
      <c r="AT53" s="95" t="str" cm="1">
        <f t="array" ref="AT53">IFERROR(INDEX(AJ53:AR53,1,MATCH(2,1/(AJ53:AR53&lt;&gt;""))),"")</f>
        <v/>
      </c>
      <c r="AU53" s="97" t="str">
        <f t="shared" ref="AU53:AU54" si="162">AT53</f>
        <v/>
      </c>
      <c r="AW53" s="51">
        <f t="shared" ref="AW53:AW54" si="163">IFERROR(IF(AG53="",0,AG53/T53),0)</f>
        <v>0</v>
      </c>
      <c r="AX53" s="51">
        <f t="shared" ref="AX53:AX54" si="164">IFERROR(IF(AH53="",0,AH53/U53),0)</f>
        <v>0</v>
      </c>
      <c r="AY53" s="51">
        <f t="shared" ref="AY53:AY54" si="165">IFERROR(IF(AI53="",0,AI53/V53),0)</f>
        <v>0</v>
      </c>
      <c r="AZ53" s="51">
        <f t="shared" ref="AZ53:BA54" si="166">IFERROR(IF(AJ53="",0,AJ53/W53),0)</f>
        <v>0</v>
      </c>
      <c r="BA53" s="51">
        <f t="shared" si="166"/>
        <v>0</v>
      </c>
      <c r="BB53" s="51"/>
      <c r="BC53" s="51"/>
      <c r="BD53" s="51"/>
      <c r="BE53" s="51"/>
      <c r="BF53" s="51"/>
      <c r="BG53" s="51"/>
      <c r="BH53" s="51"/>
      <c r="BI53" s="65" cm="1">
        <f t="array" ref="BI53">IFERROR(INDEX(AW53:BH53,1,MATCH(2,1/(AW53:BH53&lt;&gt;""))),"")</f>
        <v>0</v>
      </c>
      <c r="BJ53" s="68" cm="1">
        <f t="array" ref="BJ53">IF(BM53 = "", "",IFERROR(INDEX(AW53:BH53,1,MATCH(2,1/(AW53:BH53&lt;&gt;""),1)-1),""))</f>
        <v>0</v>
      </c>
      <c r="BK53" s="58">
        <f>IF((IF(AW53&gt;=115%,115%,AW53) + IF(AX53&gt;=115%,115%,AX53) + IF(AY53&gt;=115%,115%,AY53) + (IF(AZ53&gt;=115%,115%,AZ53) + IF(BA53&gt;=115%,115%,BA53) + IF(BB53&gt;=115%,115%,BB53) + IF(BC53&gt;=115%,115%,BC53) + IF(BD53&gt;=115%,115%,BD53) + IF(BE53&gt;=115%,115%,BE53) + IF(BF53&gt;=115%,115%,BF53) + IF(BG53&gt;=115%,115%,BG53) + IF(BH53&gt;=115%,115%,BH53)))/_xlfn.XLOOKUP(F53,Apuração!A:A,Apuração!B:B)&gt;=1.15,1.15,((IF(AZ53&gt;=115%,115%,AZ53) + IF(AX53&gt;=115%,115%,AX53) + IF(AY53&gt;=115%,115%,AY53) + (IF(AW53&gt;=115%,115%,AW53) + IF(BA53&gt;=115%,115%,BA53) + IF(BB53&gt;=115%,115%,BB53) + IF(BC53&gt;=115%,115%,BC53) + IF(BD53&gt;=115%,115%,BD53) + IF(BE53&gt;=115%,115%,BE53) + IF(BF53&gt;=115%,115%,BF53) + IF(BG53&gt;=115%,115%,BG53) + IF(BH53&gt;=115%,115%,BH53)))/_xlfn.XLOOKUP(F53,Apuração!A:A,Apuração!B:B)))</f>
        <v>0</v>
      </c>
      <c r="BL53" s="58" cm="1">
        <f t="array" aca="1" ref="BL53" ca="1">IF(SUM(IFERROR(IF(INDEX(AW53:INDEX(AW53:BH53, MATCH(2, 1/(AW53:BH53&lt;&gt;""), 1)-1), ROW(INDIRECT("1:" &amp; MATCH(2, 1/(AW53:BH53&lt;&gt;""), 1)-1))) &gt;= 115%, 115%, INDEX(AW53:INDEX(AW53:BH53, MATCH(2, 1/(AW53:BH53&lt;&gt;""), 1)-1), ROW(INDIRECT("1:" &amp; MATCH(2, 1/(AW53:BH53&lt;&gt;""), 1)-1)))), 0))/_xlfn.XLOOKUP(F53,Apuração!A:A,Apuração!B:B)&gt;=1.15,1.15,SUM(IFERROR(IF(INDEX(AW53:INDEX(AW53:BH53, MATCH(2, 1/(AW53:BH53&lt;&gt;""), 1)-1), ROW(INDIRECT("1:" &amp; MATCH(2, 1/(AW53:BH53&lt;&gt;""), 1)-1))) &gt;= 115%, 115%, INDEX(AW53:INDEX(AW53:BH53, MATCH(2, 1/(AW53:BH53&lt;&gt;""), 1)-1), ROW(INDIRECT("1:" &amp; MATCH(2, 1/(AW53:BH53&lt;&gt;""), 1)-1)))), 0))/_xlfn.XLOOKUP(F53,Apuração!A:A,Apuração!B:B))</f>
        <v>0</v>
      </c>
      <c r="BM53" s="55" cm="1">
        <f t="array" ref="BM53">IFERROR(
   INDEX($AW$1:$BH$1,
      _xlfn.AGGREGATE(14, 6, COLUMN($AW$1:$BH$1)/(AW53:BH53&lt;&gt;""), 2) - COLUMN($AW$1) + 1
   ),
"")</f>
        <v>46113</v>
      </c>
      <c r="BN53" s="55" cm="1">
        <f t="array" ref="BN53">IFERROR(INDEX($AW$1:$BH$1,1,MATCH(2,1/(AW53:BH53&lt;&gt;""))),"")</f>
        <v>46143</v>
      </c>
      <c r="BO53" s="53">
        <f ca="1">IFERROR(_xlfn.XLOOKUP(F53,Apuração!A:A,Apuração!C:C)/_xlfn.XLOOKUP(F53,Apuração!A:A,Apuração!B:B),0)</f>
        <v>0</v>
      </c>
      <c r="BP53" s="53">
        <f ca="1">IFERROR(_xlfn.XLOOKUP(F53,Apuração!A:A,Apuração!D:D)/_xlfn.XLOOKUP(F53,Apuração!A:A,Apuração!B:B),0)</f>
        <v>0</v>
      </c>
      <c r="BQ53" s="53">
        <f ca="1">IF(BK53&gt;=BO53,0,_xlfn.XLOOKUP(F53,Apuração!A:A,Apuração!B:B)*(BO53 + (1/_xlfn.XLOOKUP(F53,Apuração!A:A,Apuração!B:B)) - BK53))</f>
        <v>0</v>
      </c>
      <c r="BR53" s="85">
        <f t="shared" ref="BR53:BR54" ca="1" si="167">IF(BQ53=0,0,BQ53*Z53)</f>
        <v>0</v>
      </c>
      <c r="BS53" s="53">
        <f ca="1">IFERROR((_xlfn.XLOOKUP(F53,Apuração!A:A,Apuração!C:C)+1)/_xlfn.XLOOKUP(F53,Apuração!A:A,Apuração!B:B),0)</f>
        <v>0.14285714285714285</v>
      </c>
    </row>
    <row r="54" spans="1:71" ht="25.95" hidden="1" customHeight="1" x14ac:dyDescent="0.3">
      <c r="A54" s="20" t="s">
        <v>87</v>
      </c>
      <c r="B54" s="4" t="s">
        <v>88</v>
      </c>
      <c r="C54" s="5" t="s">
        <v>35</v>
      </c>
      <c r="D54" s="5" t="s">
        <v>48</v>
      </c>
      <c r="E54" s="4" t="s">
        <v>85</v>
      </c>
      <c r="F54" s="4" t="str" cm="1">
        <f t="array" ref="F54">_xlfn.IFS(
AG54 &lt;&gt; "", "Jan-Dez/26",
AH54 &lt;&gt; "", "Fev-Dez/26",
AI54 &lt;&gt; "", "Mar-Dez/26", AJ54 &lt;&gt; "", "Abr-Dez/26",
TRUE, "A partir de Junho"
)</f>
        <v>A partir de Junho</v>
      </c>
      <c r="G54" s="4" t="s">
        <v>62</v>
      </c>
      <c r="H54" s="7" t="s">
        <v>38</v>
      </c>
      <c r="I54" s="9" t="s">
        <v>89</v>
      </c>
      <c r="J54" s="21" t="str" cm="1">
        <f t="array" aca="1" ref="J54" ca="1">_xlfn.LET(
  _xlpm.actual_value_month, INDEX(T54:AE54, MATCH(DATE(YEAR(TODAY()), MONTH(TODAY()), 1), $T$1:$AE$1, 0)),
  IF(_xlpm.actual_value_month &lt;&gt; "",_xlpm.actual_value_month &amp; " ações mensais", "")
)</f>
        <v/>
      </c>
      <c r="K54" s="8" t="str" cm="1">
        <f t="array" ref="K54">_xlfn.LET(
    _xlpm.sum_month, SUM(T54:AE54),
    IF(_xlpm.sum_month = 0, "", _xlpm.sum_month &amp; " certificados gerados no ano")
)</f>
        <v/>
      </c>
      <c r="L54" s="4" t="s">
        <v>90</v>
      </c>
      <c r="M54" s="19"/>
      <c r="N54" s="5" t="s">
        <v>42</v>
      </c>
      <c r="O54" s="5"/>
      <c r="P54" s="10"/>
      <c r="Q54" s="10"/>
      <c r="R54" s="10"/>
      <c r="S54" s="10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94">
        <f t="shared" ca="1" si="161"/>
        <v>0</v>
      </c>
      <c r="AT54" s="95" t="str" cm="1">
        <f t="array" ref="AT54">IFERROR(INDEX(AJ54:AR54,1,MATCH(2,1/(AJ54:AR54&lt;&gt;""))),"")</f>
        <v/>
      </c>
      <c r="AU54" s="97" t="str">
        <f t="shared" si="162"/>
        <v/>
      </c>
      <c r="AW54" s="51">
        <f t="shared" si="163"/>
        <v>0</v>
      </c>
      <c r="AX54" s="51">
        <f t="shared" si="164"/>
        <v>0</v>
      </c>
      <c r="AY54" s="51">
        <f t="shared" si="165"/>
        <v>0</v>
      </c>
      <c r="AZ54" s="51">
        <f t="shared" si="166"/>
        <v>0</v>
      </c>
      <c r="BA54" s="51">
        <f t="shared" si="166"/>
        <v>0</v>
      </c>
      <c r="BB54" s="51"/>
      <c r="BC54" s="51"/>
      <c r="BD54" s="51"/>
      <c r="BE54" s="51"/>
      <c r="BF54" s="51"/>
      <c r="BG54" s="51"/>
      <c r="BH54" s="51"/>
      <c r="BI54" s="65" cm="1">
        <f t="array" ref="BI54">IFERROR(INDEX(AW54:BH54,1,MATCH(2,1/(AW54:BH54&lt;&gt;""))),"")</f>
        <v>0</v>
      </c>
      <c r="BJ54" s="68" cm="1">
        <f t="array" ref="BJ54">IF(BM54 = "", "",IFERROR(INDEX(AW54:BH54,1,MATCH(2,1/(AW54:BH54&lt;&gt;""),1)-1),""))</f>
        <v>0</v>
      </c>
      <c r="BK54" s="58">
        <f>IF((IF(AW54&gt;=115%,115%,AW54) + IF(AX54&gt;=115%,115%,AX54) + IF(AY54&gt;=115%,115%,AY54) + (IF(AZ54&gt;=115%,115%,AZ54) + IF(BA54&gt;=115%,115%,BA54) + IF(BB54&gt;=115%,115%,BB54) + IF(BC54&gt;=115%,115%,BC54) + IF(BD54&gt;=115%,115%,BD54) + IF(BE54&gt;=115%,115%,BE54) + IF(BF54&gt;=115%,115%,BF54) + IF(BG54&gt;=115%,115%,BG54) + IF(BH54&gt;=115%,115%,BH54)))/_xlfn.XLOOKUP(F54,Apuração!A:A,Apuração!B:B)&gt;=1.15,1.15,((IF(AZ54&gt;=115%,115%,AZ54) + IF(AX54&gt;=115%,115%,AX54) + IF(AY54&gt;=115%,115%,AY54) + (IF(AW54&gt;=115%,115%,AW54) + IF(BA54&gt;=115%,115%,BA54) + IF(BB54&gt;=115%,115%,BB54) + IF(BC54&gt;=115%,115%,BC54) + IF(BD54&gt;=115%,115%,BD54) + IF(BE54&gt;=115%,115%,BE54) + IF(BF54&gt;=115%,115%,BF54) + IF(BG54&gt;=115%,115%,BG54) + IF(BH54&gt;=115%,115%,BH54)))/_xlfn.XLOOKUP(F54,Apuração!A:A,Apuração!B:B)))</f>
        <v>0</v>
      </c>
      <c r="BL54" s="58" cm="1">
        <f t="array" aca="1" ref="BL54" ca="1">IF(SUM(IFERROR(IF(INDEX(AW54:INDEX(AW54:BH54, MATCH(2, 1/(AW54:BH54&lt;&gt;""), 1)-1), ROW(INDIRECT("1:" &amp; MATCH(2, 1/(AW54:BH54&lt;&gt;""), 1)-1))) &gt;= 115%, 115%, INDEX(AW54:INDEX(AW54:BH54, MATCH(2, 1/(AW54:BH54&lt;&gt;""), 1)-1), ROW(INDIRECT("1:" &amp; MATCH(2, 1/(AW54:BH54&lt;&gt;""), 1)-1)))), 0))/_xlfn.XLOOKUP(F54,Apuração!A:A,Apuração!B:B)&gt;=1.15,1.15,SUM(IFERROR(IF(INDEX(AW54:INDEX(AW54:BH54, MATCH(2, 1/(AW54:BH54&lt;&gt;""), 1)-1), ROW(INDIRECT("1:" &amp; MATCH(2, 1/(AW54:BH54&lt;&gt;""), 1)-1))) &gt;= 115%, 115%, INDEX(AW54:INDEX(AW54:BH54, MATCH(2, 1/(AW54:BH54&lt;&gt;""), 1)-1), ROW(INDIRECT("1:" &amp; MATCH(2, 1/(AW54:BH54&lt;&gt;""), 1)-1)))), 0))/_xlfn.XLOOKUP(F54,Apuração!A:A,Apuração!B:B))</f>
        <v>0</v>
      </c>
      <c r="BM54" s="55" cm="1">
        <f t="array" ref="BM54">IFERROR(
   INDEX($AW$1:$BH$1,
      _xlfn.AGGREGATE(14, 6, COLUMN($AW$1:$BH$1)/(AW54:BH54&lt;&gt;""), 2) - COLUMN($AW$1) + 1
   ),
"")</f>
        <v>46113</v>
      </c>
      <c r="BN54" s="55" cm="1">
        <f t="array" ref="BN54">IFERROR(INDEX($AW$1:$BH$1,1,MATCH(2,1/(AW54:BH54&lt;&gt;""))),"")</f>
        <v>46143</v>
      </c>
      <c r="BO54" s="53">
        <f ca="1">IFERROR(_xlfn.XLOOKUP(F54,Apuração!A:A,Apuração!C:C)/_xlfn.XLOOKUP(F54,Apuração!A:A,Apuração!B:B),0)</f>
        <v>0</v>
      </c>
      <c r="BP54" s="53">
        <f ca="1">IFERROR(_xlfn.XLOOKUP(F54,Apuração!A:A,Apuração!D:D)/_xlfn.XLOOKUP(F54,Apuração!A:A,Apuração!B:B),0)</f>
        <v>0</v>
      </c>
      <c r="BQ54" s="53">
        <f ca="1">IF(BK54&gt;=BO54,0,_xlfn.XLOOKUP(F54,Apuração!A:A,Apuração!B:B)*(BO54 + (1/_xlfn.XLOOKUP(F54,Apuração!A:A,Apuração!B:B)) - BK54))</f>
        <v>0</v>
      </c>
      <c r="BR54" s="85">
        <f t="shared" ca="1" si="167"/>
        <v>0</v>
      </c>
      <c r="BS54" s="53">
        <f ca="1">IFERROR((_xlfn.XLOOKUP(F54,Apuração!A:A,Apuração!C:C)+1)/_xlfn.XLOOKUP(F54,Apuração!A:A,Apuração!B:B),0)</f>
        <v>0.14285714285714285</v>
      </c>
    </row>
    <row r="55" spans="1:71" ht="25.95" hidden="1" customHeight="1" x14ac:dyDescent="0.3">
      <c r="A55" s="40" t="s">
        <v>87</v>
      </c>
      <c r="B55" s="4" t="s">
        <v>88</v>
      </c>
      <c r="C55" s="5" t="s">
        <v>35</v>
      </c>
      <c r="D55" s="5" t="s">
        <v>36</v>
      </c>
      <c r="E55" s="4" t="s">
        <v>85</v>
      </c>
      <c r="F55" s="4" t="str" cm="1">
        <f t="array" ref="F55">_xlfn.IFS(
AG55 &lt;&gt; "", "Jan-Dez/26",
AH55 &lt;&gt; "", "Fev-Dez/26",
AI55 &lt;&gt; "", "Mar-Dez/26", AJ55 &lt;&gt; "", "Abr-Dez/26",
TRUE, "A partir de Junho"
)</f>
        <v>A partir de Junho</v>
      </c>
      <c r="G55" s="4" t="s">
        <v>62</v>
      </c>
      <c r="H55" s="7" t="s">
        <v>38</v>
      </c>
      <c r="I55" s="9" t="s">
        <v>91</v>
      </c>
      <c r="J55" s="21" t="str" cm="1">
        <f t="array" aca="1" ref="J55" ca="1">_xlfn.LET(
  _xlpm.actual_value_month, INDEX(T55:AE55, MATCH(DATE(YEAR(TODAY()), MONTH(TODAY()), 1), $T$1:$AE$1, 0)),
  IF(_xlpm.actual_value_month &lt;&gt; "",_xlpm.actual_value_month &amp; " ações mensais", "")
)</f>
        <v/>
      </c>
      <c r="K55" s="8" t="str" cm="1">
        <f t="array" ref="K55">_xlfn.LET(
    _xlpm.sum_month, SUM(T55:AE55),
    IF(_xlpm.sum_month = 0, "", _xlpm.sum_month &amp; " certificados gerados no ano")
)</f>
        <v/>
      </c>
      <c r="L55" s="4" t="s">
        <v>92</v>
      </c>
      <c r="M55" s="19"/>
      <c r="N55" s="5" t="s">
        <v>51</v>
      </c>
      <c r="O55" s="5"/>
      <c r="P55" s="10"/>
      <c r="Q55" s="10"/>
      <c r="R55" s="10"/>
      <c r="S55" s="10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94">
        <f t="shared" ca="1" si="159"/>
        <v>0</v>
      </c>
      <c r="AT55" s="95" t="str" cm="1">
        <f t="array" ref="AT55">IFERROR(INDEX(AJ55:AR55,1,MATCH(2,1/(AJ55:AR55&lt;&gt;""))),"")</f>
        <v/>
      </c>
      <c r="AU55" s="97" t="str">
        <f t="shared" si="160"/>
        <v/>
      </c>
      <c r="AW55" s="83">
        <f>AG55</f>
        <v>0</v>
      </c>
      <c r="AX55" s="83">
        <f t="shared" ref="AX55:AX58" si="168">AH55</f>
        <v>0</v>
      </c>
      <c r="AY55" s="83">
        <f t="shared" ref="AY55:AY58" si="169">AI55</f>
        <v>0</v>
      </c>
      <c r="AZ55" s="83">
        <f t="shared" ref="AZ55:BA58" si="170">AJ55</f>
        <v>0</v>
      </c>
      <c r="BA55" s="83">
        <f t="shared" si="170"/>
        <v>0</v>
      </c>
      <c r="BB55" s="52"/>
      <c r="BC55" s="52"/>
      <c r="BD55" s="52"/>
      <c r="BE55" s="52"/>
      <c r="BF55" s="52"/>
      <c r="BG55" s="52"/>
      <c r="BH55" s="52"/>
      <c r="BI55" s="68" cm="1">
        <f t="array" ref="BI55">IFERROR(INDEX(AW55:BH55,1,MATCH(2,1/(AW55:BH55&lt;&gt;""))),"")</f>
        <v>0</v>
      </c>
      <c r="BJ55" s="68" cm="1">
        <f t="array" ref="BJ55">IF(BM55 = "", "",IFERROR(INDEX(AW55:BH55,1,MATCH(2,1/(AW55:BH55&lt;&gt;""),1)-1),""))</f>
        <v>0</v>
      </c>
      <c r="BK55" s="59">
        <f>SUM(AW55:BH55)</f>
        <v>0</v>
      </c>
      <c r="BL55" s="59" cm="1">
        <f t="array" ref="BL55">IFERROR(SUM(AW55:INDEX(AW55:BH55, MATCH(2, 1/(AW55:BH55&lt;&gt;""), 1) - 1))/_xlfn.XLOOKUP(F55,Apuração!A:A,Apuração!B:B),0)</f>
        <v>0</v>
      </c>
      <c r="BM55" s="55" cm="1">
        <f t="array" ref="BM55">IFERROR(
   INDEX($AW$1:$BH$1,
      _xlfn.AGGREGATE(14, 6, COLUMN($AW$1:$BH$1)/(AW55:BH55&lt;&gt;""), 2) - COLUMN($AW$1) + 1
   ),
"")</f>
        <v>46113</v>
      </c>
      <c r="BN55" s="55" cm="1">
        <f t="array" ref="BN55">IFERROR(INDEX($AW$1:$BH$1,1,MATCH(2,1/(AW55:BH55&lt;&gt;""))),"")</f>
        <v>46143</v>
      </c>
      <c r="BO55" s="53">
        <f ca="1">IFERROR(_xlfn.XLOOKUP(F55,Apuração!A:A,Apuração!C:C)/_xlfn.XLOOKUP(F55,Apuração!A:A,Apuração!B:B),0)</f>
        <v>0</v>
      </c>
      <c r="BP55" s="53">
        <f ca="1">IFERROR(_xlfn.XLOOKUP(F55,Apuração!A:A,Apuração!D:D)/_xlfn.XLOOKUP(F55,Apuração!A:A,Apuração!B:B),0)</f>
        <v>0</v>
      </c>
      <c r="BQ55" s="53">
        <f ca="1">IF(BK55&gt;=BO55,0,_xlfn.XLOOKUP(F55,Apuração!A:A,Apuração!B:B)*(BO55 + (1/_xlfn.XLOOKUP(F55,Apuração!A:A,Apuração!B:B)) - BK55))</f>
        <v>0</v>
      </c>
      <c r="BR55" s="85">
        <f t="shared" ca="1" si="2"/>
        <v>0</v>
      </c>
      <c r="BS55" s="53">
        <f ca="1">IFERROR((_xlfn.XLOOKUP(F55,Apuração!A:A,Apuração!C:C)+1)/_xlfn.XLOOKUP(F55,Apuração!A:A,Apuração!B:B),0)</f>
        <v>0.14285714285714285</v>
      </c>
    </row>
    <row r="56" spans="1:71" ht="25.95" hidden="1" customHeight="1" x14ac:dyDescent="0.3">
      <c r="A56" s="40" t="s">
        <v>87</v>
      </c>
      <c r="B56" s="4" t="s">
        <v>88</v>
      </c>
      <c r="C56" s="5" t="s">
        <v>35</v>
      </c>
      <c r="D56" s="5" t="s">
        <v>47</v>
      </c>
      <c r="E56" s="4" t="s">
        <v>85</v>
      </c>
      <c r="F56" s="4" t="str" cm="1">
        <f t="array" ref="F56">_xlfn.IFS(
AG56 &lt;&gt; "", "Jan-Dez/26",
AH56 &lt;&gt; "", "Fev-Dez/26",
AI56 &lt;&gt; "", "Mar-Dez/26", AJ56 &lt;&gt; "", "Abr-Dez/26",
TRUE, "A partir de Junho"
)</f>
        <v>A partir de Junho</v>
      </c>
      <c r="G56" s="4" t="s">
        <v>62</v>
      </c>
      <c r="H56" s="7" t="s">
        <v>38</v>
      </c>
      <c r="I56" s="9" t="s">
        <v>91</v>
      </c>
      <c r="J56" s="21" t="str" cm="1">
        <f t="array" aca="1" ref="J56" ca="1">_xlfn.LET(
  _xlpm.actual_value_month, INDEX(T56:AE56, MATCH(DATE(YEAR(TODAY()), MONTH(TODAY()), 1), $T$1:$AE$1, 0)),
  IF(_xlpm.actual_value_month &lt;&gt; "",_xlpm.actual_value_month &amp; " ações mensais", "")
)</f>
        <v/>
      </c>
      <c r="K56" s="8" t="str" cm="1">
        <f t="array" ref="K56">_xlfn.LET(
    _xlpm.sum_month, SUM(T56:AE56),
    IF(_xlpm.sum_month = 0, "", _xlpm.sum_month &amp; " certificados gerados no ano")
)</f>
        <v/>
      </c>
      <c r="L56" s="4" t="s">
        <v>92</v>
      </c>
      <c r="M56" s="19"/>
      <c r="N56" s="5" t="s">
        <v>51</v>
      </c>
      <c r="O56" s="5"/>
      <c r="P56" s="10"/>
      <c r="Q56" s="10"/>
      <c r="R56" s="10"/>
      <c r="S56" s="10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94">
        <f t="shared" ref="AS56:AS57" ca="1" si="171">AE56*BO56</f>
        <v>0</v>
      </c>
      <c r="AT56" s="95" t="str" cm="1">
        <f t="array" ref="AT56">IFERROR(INDEX(AJ56:AR56,1,MATCH(2,1/(AJ56:AR56&lt;&gt;""))),"")</f>
        <v/>
      </c>
      <c r="AU56" s="97" t="str">
        <f t="shared" ref="AU56:AU57" si="172">AT56</f>
        <v/>
      </c>
      <c r="AW56" s="83">
        <f t="shared" ref="AW56:AW57" si="173">AG56</f>
        <v>0</v>
      </c>
      <c r="AX56" s="83">
        <f t="shared" ref="AX56:AX57" si="174">AH56</f>
        <v>0</v>
      </c>
      <c r="AY56" s="83">
        <f t="shared" ref="AY56:AY57" si="175">AI56</f>
        <v>0</v>
      </c>
      <c r="AZ56" s="83">
        <f t="shared" ref="AZ56:BA57" si="176">AJ56</f>
        <v>0</v>
      </c>
      <c r="BA56" s="83">
        <f t="shared" si="176"/>
        <v>0</v>
      </c>
      <c r="BB56" s="52"/>
      <c r="BC56" s="52"/>
      <c r="BD56" s="52"/>
      <c r="BE56" s="52"/>
      <c r="BF56" s="52"/>
      <c r="BG56" s="52"/>
      <c r="BH56" s="52"/>
      <c r="BI56" s="68" cm="1">
        <f t="array" ref="BI56">IFERROR(INDEX(AW56:BH56,1,MATCH(2,1/(AW56:BH56&lt;&gt;""))),"")</f>
        <v>0</v>
      </c>
      <c r="BJ56" s="68" cm="1">
        <f t="array" ref="BJ56">IF(BM56 = "", "",IFERROR(INDEX(AW56:BH56,1,MATCH(2,1/(AW56:BH56&lt;&gt;""),1)-1),""))</f>
        <v>0</v>
      </c>
      <c r="BK56" s="59">
        <f t="shared" ref="BK56:BK57" si="177">SUM(AW56:BH56)</f>
        <v>0</v>
      </c>
      <c r="BL56" s="59" cm="1">
        <f t="array" ref="BL56">IFERROR(SUM(AW56:INDEX(AW56:BH56, MATCH(2, 1/(AW56:BH56&lt;&gt;""), 1) - 1))/_xlfn.XLOOKUP(F56,Apuração!A:A,Apuração!B:B),0)</f>
        <v>0</v>
      </c>
      <c r="BM56" s="55" cm="1">
        <f t="array" ref="BM56">IFERROR(
   INDEX($AW$1:$BH$1,
      _xlfn.AGGREGATE(14, 6, COLUMN($AW$1:$BH$1)/(AW56:BH56&lt;&gt;""), 2) - COLUMN($AW$1) + 1
   ),
"")</f>
        <v>46113</v>
      </c>
      <c r="BN56" s="55" cm="1">
        <f t="array" ref="BN56">IFERROR(INDEX($AW$1:$BH$1,1,MATCH(2,1/(AW56:BH56&lt;&gt;""))),"")</f>
        <v>46143</v>
      </c>
      <c r="BO56" s="53">
        <f ca="1">IFERROR(_xlfn.XLOOKUP(F56,Apuração!A:A,Apuração!C:C)/_xlfn.XLOOKUP(F56,Apuração!A:A,Apuração!B:B),0)</f>
        <v>0</v>
      </c>
      <c r="BP56" s="53">
        <f ca="1">IFERROR(_xlfn.XLOOKUP(F56,Apuração!A:A,Apuração!D:D)/_xlfn.XLOOKUP(F56,Apuração!A:A,Apuração!B:B),0)</f>
        <v>0</v>
      </c>
      <c r="BQ56" s="53">
        <f ca="1">IF(BK56&gt;=BO56,0,_xlfn.XLOOKUP(F56,Apuração!A:A,Apuração!B:B)*(BO56 + (1/_xlfn.XLOOKUP(F56,Apuração!A:A,Apuração!B:B)) - BK56))</f>
        <v>0</v>
      </c>
      <c r="BR56" s="85">
        <f t="shared" ref="BR56:BR57" ca="1" si="178">IF(BQ56=0,0,BQ56*Z56)</f>
        <v>0</v>
      </c>
      <c r="BS56" s="53">
        <f ca="1">IFERROR((_xlfn.XLOOKUP(F56,Apuração!A:A,Apuração!C:C)+1)/_xlfn.XLOOKUP(F56,Apuração!A:A,Apuração!B:B),0)</f>
        <v>0.14285714285714285</v>
      </c>
    </row>
    <row r="57" spans="1:71" ht="25.95" hidden="1" customHeight="1" x14ac:dyDescent="0.3">
      <c r="A57" s="40" t="s">
        <v>87</v>
      </c>
      <c r="B57" s="4" t="s">
        <v>88</v>
      </c>
      <c r="C57" s="5" t="s">
        <v>35</v>
      </c>
      <c r="D57" s="5" t="s">
        <v>48</v>
      </c>
      <c r="E57" s="4" t="s">
        <v>85</v>
      </c>
      <c r="F57" s="4" t="str" cm="1">
        <f t="array" ref="F57">_xlfn.IFS(
AG57 &lt;&gt; "", "Jan-Dez/26",
AH57 &lt;&gt; "", "Fev-Dez/26",
AI57 &lt;&gt; "", "Mar-Dez/26", AJ57 &lt;&gt; "", "Abr-Dez/26",
TRUE, "A partir de Junho"
)</f>
        <v>A partir de Junho</v>
      </c>
      <c r="G57" s="4" t="s">
        <v>62</v>
      </c>
      <c r="H57" s="7" t="s">
        <v>38</v>
      </c>
      <c r="I57" s="9" t="s">
        <v>91</v>
      </c>
      <c r="J57" s="21" t="str" cm="1">
        <f t="array" aca="1" ref="J57" ca="1">_xlfn.LET(
  _xlpm.actual_value_month, INDEX(T57:AE57, MATCH(DATE(YEAR(TODAY()), MONTH(TODAY()), 1), $T$1:$AE$1, 0)),
  IF(_xlpm.actual_value_month &lt;&gt; "",_xlpm.actual_value_month &amp; " ações mensais", "")
)</f>
        <v/>
      </c>
      <c r="K57" s="8" t="str" cm="1">
        <f t="array" ref="K57">_xlfn.LET(
    _xlpm.sum_month, SUM(T57:AE57),
    IF(_xlpm.sum_month = 0, "", _xlpm.sum_month &amp; " certificados gerados no ano")
)</f>
        <v/>
      </c>
      <c r="L57" s="4" t="s">
        <v>92</v>
      </c>
      <c r="M57" s="19"/>
      <c r="N57" s="5" t="s">
        <v>51</v>
      </c>
      <c r="O57" s="5"/>
      <c r="P57" s="10"/>
      <c r="Q57" s="10"/>
      <c r="R57" s="10"/>
      <c r="S57" s="10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94">
        <f t="shared" ca="1" si="171"/>
        <v>0</v>
      </c>
      <c r="AT57" s="95" t="str" cm="1">
        <f t="array" ref="AT57">IFERROR(INDEX(AJ57:AR57,1,MATCH(2,1/(AJ57:AR57&lt;&gt;""))),"")</f>
        <v/>
      </c>
      <c r="AU57" s="97" t="str">
        <f t="shared" si="172"/>
        <v/>
      </c>
      <c r="AW57" s="83">
        <f t="shared" si="173"/>
        <v>0</v>
      </c>
      <c r="AX57" s="83">
        <f t="shared" si="174"/>
        <v>0</v>
      </c>
      <c r="AY57" s="83">
        <f t="shared" si="175"/>
        <v>0</v>
      </c>
      <c r="AZ57" s="83">
        <f t="shared" si="176"/>
        <v>0</v>
      </c>
      <c r="BA57" s="83">
        <f t="shared" si="176"/>
        <v>0</v>
      </c>
      <c r="BB57" s="52"/>
      <c r="BC57" s="52"/>
      <c r="BD57" s="52"/>
      <c r="BE57" s="52"/>
      <c r="BF57" s="52"/>
      <c r="BG57" s="52"/>
      <c r="BH57" s="52"/>
      <c r="BI57" s="68" cm="1">
        <f t="array" ref="BI57">IFERROR(INDEX(AW57:BH57,1,MATCH(2,1/(AW57:BH57&lt;&gt;""))),"")</f>
        <v>0</v>
      </c>
      <c r="BJ57" s="68" cm="1">
        <f t="array" ref="BJ57">IF(BM57 = "", "",IFERROR(INDEX(AW57:BH57,1,MATCH(2,1/(AW57:BH57&lt;&gt;""),1)-1),""))</f>
        <v>0</v>
      </c>
      <c r="BK57" s="59">
        <f t="shared" si="177"/>
        <v>0</v>
      </c>
      <c r="BL57" s="59" cm="1">
        <f t="array" ref="BL57">IFERROR(SUM(AW57:INDEX(AW57:BH57, MATCH(2, 1/(AW57:BH57&lt;&gt;""), 1) - 1))/_xlfn.XLOOKUP(F57,Apuração!A:A,Apuração!B:B),0)</f>
        <v>0</v>
      </c>
      <c r="BM57" s="55" cm="1">
        <f t="array" ref="BM57">IFERROR(
   INDEX($AW$1:$BH$1,
      _xlfn.AGGREGATE(14, 6, COLUMN($AW$1:$BH$1)/(AW57:BH57&lt;&gt;""), 2) - COLUMN($AW$1) + 1
   ),
"")</f>
        <v>46113</v>
      </c>
      <c r="BN57" s="55" cm="1">
        <f t="array" ref="BN57">IFERROR(INDEX($AW$1:$BH$1,1,MATCH(2,1/(AW57:BH57&lt;&gt;""))),"")</f>
        <v>46143</v>
      </c>
      <c r="BO57" s="53">
        <f ca="1">IFERROR(_xlfn.XLOOKUP(F57,Apuração!A:A,Apuração!C:C)/_xlfn.XLOOKUP(F57,Apuração!A:A,Apuração!B:B),0)</f>
        <v>0</v>
      </c>
      <c r="BP57" s="53">
        <f ca="1">IFERROR(_xlfn.XLOOKUP(F57,Apuração!A:A,Apuração!D:D)/_xlfn.XLOOKUP(F57,Apuração!A:A,Apuração!B:B),0)</f>
        <v>0</v>
      </c>
      <c r="BQ57" s="53">
        <f ca="1">IF(BK57&gt;=BO57,0,_xlfn.XLOOKUP(F57,Apuração!A:A,Apuração!B:B)*(BO57 + (1/_xlfn.XLOOKUP(F57,Apuração!A:A,Apuração!B:B)) - BK57))</f>
        <v>0</v>
      </c>
      <c r="BR57" s="85">
        <f t="shared" ca="1" si="178"/>
        <v>0</v>
      </c>
      <c r="BS57" s="53">
        <f ca="1">IFERROR((_xlfn.XLOOKUP(F57,Apuração!A:A,Apuração!C:C)+1)/_xlfn.XLOOKUP(F57,Apuração!A:A,Apuração!B:B),0)</f>
        <v>0.14285714285714285</v>
      </c>
    </row>
    <row r="58" spans="1:71" ht="25.95" hidden="1" customHeight="1" x14ac:dyDescent="0.3">
      <c r="A58" s="40" t="s">
        <v>87</v>
      </c>
      <c r="B58" s="4" t="s">
        <v>88</v>
      </c>
      <c r="C58" s="5" t="s">
        <v>35</v>
      </c>
      <c r="D58" s="5" t="s">
        <v>36</v>
      </c>
      <c r="E58" s="4" t="s">
        <v>85</v>
      </c>
      <c r="F58" s="4" t="str" cm="1">
        <f t="array" ref="F58">_xlfn.IFS(
AG58 &lt;&gt; "", "Jan-Dez/26",
AH58 &lt;&gt; "", "Fev-Dez/26",
AI58 &lt;&gt; "", "Mar-Dez/26", AJ58 &lt;&gt; "", "Abr-Dez/26",
TRUE, "A partir de Junho"
)</f>
        <v>A partir de Junho</v>
      </c>
      <c r="G58" s="4" t="s">
        <v>62</v>
      </c>
      <c r="H58" s="7" t="s">
        <v>38</v>
      </c>
      <c r="I58" s="9" t="s">
        <v>93</v>
      </c>
      <c r="J58" s="21" t="str" cm="1">
        <f t="array" aca="1" ref="J58" ca="1">_xlfn.LET(
  _xlpm.actual_value_month, INDEX(T58:AE58, MATCH(DATE(YEAR(TODAY()), MONTH(TODAY()), 1), $T$1:$AE$1, 0)),
  IF(_xlpm.actual_value_month &lt;&gt; "",_xlpm.actual_value_month &amp; " ações mensais", "")
)</f>
        <v/>
      </c>
      <c r="K58" s="8" t="str" cm="1">
        <f t="array" ref="K58">_xlfn.LET(
    _xlpm.sum_month, SUM(T58:AE58),
    IF(_xlpm.sum_month = 0, "", _xlpm.sum_month &amp; " certificados gerados no ano")
)</f>
        <v/>
      </c>
      <c r="L58" s="4" t="s">
        <v>94</v>
      </c>
      <c r="M58" s="19"/>
      <c r="N58" s="5" t="s">
        <v>51</v>
      </c>
      <c r="O58" s="5"/>
      <c r="P58" s="10"/>
      <c r="Q58" s="10"/>
      <c r="R58" s="10"/>
      <c r="S58" s="10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94">
        <f t="shared" ca="1" si="159"/>
        <v>0</v>
      </c>
      <c r="AT58" s="95" t="str" cm="1">
        <f t="array" ref="AT58">IFERROR(INDEX(AJ58:AR58,1,MATCH(2,1/(AJ58:AR58&lt;&gt;""))),"")</f>
        <v/>
      </c>
      <c r="AU58" s="97" t="str">
        <f t="shared" si="160"/>
        <v/>
      </c>
      <c r="AW58" s="83">
        <f>AG58</f>
        <v>0</v>
      </c>
      <c r="AX58" s="83">
        <f t="shared" si="168"/>
        <v>0</v>
      </c>
      <c r="AY58" s="83">
        <f t="shared" si="169"/>
        <v>0</v>
      </c>
      <c r="AZ58" s="83">
        <f t="shared" si="170"/>
        <v>0</v>
      </c>
      <c r="BA58" s="83">
        <f t="shared" si="170"/>
        <v>0</v>
      </c>
      <c r="BB58" s="51"/>
      <c r="BC58" s="51"/>
      <c r="BD58" s="51"/>
      <c r="BE58" s="51"/>
      <c r="BF58" s="51"/>
      <c r="BG58" s="51"/>
      <c r="BH58" s="51"/>
      <c r="BI58" s="65" cm="1">
        <f t="array" ref="BI58">IFERROR(INDEX(AW58:BH58,1,MATCH(2,1/(AW58:BH58&lt;&gt;""))),"")</f>
        <v>0</v>
      </c>
      <c r="BJ58" s="68" cm="1">
        <f t="array" ref="BJ58">IF(BM58 = "", "",IFERROR(INDEX(AW58:BH58,1,MATCH(2,1/(AW58:BH58&lt;&gt;""),1)-1),""))</f>
        <v>0</v>
      </c>
      <c r="BK58" s="58">
        <f>IF((IF(AW58&gt;=115%,115%,AW58) + IF(AX58&gt;=115%,115%,AX58) + IF(AY58&gt;=115%,115%,AY58) + (IF(AZ58&gt;=115%,115%,AZ58) + IF(BA58&gt;=115%,115%,BA58) + IF(BB58&gt;=115%,115%,BB58) + IF(BC58&gt;=115%,115%,BC58) + IF(BD58&gt;=115%,115%,BD58) + IF(BE58&gt;=115%,115%,BE58) + IF(BF58&gt;=115%,115%,BF58) + IF(BG58&gt;=115%,115%,BG58) + IF(BH58&gt;=115%,115%,BH58)))/_xlfn.XLOOKUP(F58,Apuração!A:A,Apuração!B:B)&gt;=1.15,1.15,((IF(AZ58&gt;=115%,115%,AZ58) + IF(AX58&gt;=115%,115%,AX58) + IF(AY58&gt;=115%,115%,AY58) + (IF(AW58&gt;=115%,115%,AW58) + IF(BA58&gt;=115%,115%,BA58) + IF(BB58&gt;=115%,115%,BB58) + IF(BC58&gt;=115%,115%,BC58) + IF(BD58&gt;=115%,115%,BD58) + IF(BE58&gt;=115%,115%,BE58) + IF(BF58&gt;=115%,115%,BF58) + IF(BG58&gt;=115%,115%,BG58) + IF(BH58&gt;=115%,115%,BH58)))/_xlfn.XLOOKUP(F58,Apuração!A:A,Apuração!B:B)))</f>
        <v>0</v>
      </c>
      <c r="BL58" s="58" cm="1">
        <f t="array" aca="1" ref="BL58" ca="1">IF(SUM(IFERROR(IF(INDEX(AW58:INDEX(AW58:BH58, MATCH(2, 1/(AW58:BH58&lt;&gt;""), 1)-1), ROW(INDIRECT("1:" &amp; MATCH(2, 1/(AW58:BH58&lt;&gt;""), 1)-1))) &gt;= 115%, 115%, INDEX(AW58:INDEX(AW58:BH58, MATCH(2, 1/(AW58:BH58&lt;&gt;""), 1)-1), ROW(INDIRECT("1:" &amp; MATCH(2, 1/(AW58:BH58&lt;&gt;""), 1)-1)))), 0))/_xlfn.XLOOKUP(F58,Apuração!A:A,Apuração!B:B)&gt;=1.15,1.15,SUM(IFERROR(IF(INDEX(AW58:INDEX(AW58:BH58, MATCH(2, 1/(AW58:BH58&lt;&gt;""), 1)-1), ROW(INDIRECT("1:" &amp; MATCH(2, 1/(AW58:BH58&lt;&gt;""), 1)-1))) &gt;= 115%, 115%, INDEX(AW58:INDEX(AW58:BH58, MATCH(2, 1/(AW58:BH58&lt;&gt;""), 1)-1), ROW(INDIRECT("1:" &amp; MATCH(2, 1/(AW58:BH58&lt;&gt;""), 1)-1)))), 0))/_xlfn.XLOOKUP(F58,Apuração!A:A,Apuração!B:B))</f>
        <v>0</v>
      </c>
      <c r="BM58" s="55" cm="1">
        <f t="array" ref="BM58">IFERROR(
   INDEX($AW$1:$BH$1,
      _xlfn.AGGREGATE(14, 6, COLUMN($AW$1:$BH$1)/(AW58:BH58&lt;&gt;""), 2) - COLUMN($AW$1) + 1
   ),
"")</f>
        <v>46113</v>
      </c>
      <c r="BN58" s="55" cm="1">
        <f t="array" ref="BN58">IFERROR(INDEX($AW$1:$BH$1,1,MATCH(2,1/(AW58:BH58&lt;&gt;""))),"")</f>
        <v>46143</v>
      </c>
      <c r="BO58" s="53">
        <f ca="1">IFERROR(_xlfn.XLOOKUP(F58,Apuração!A:A,Apuração!C:C)/_xlfn.XLOOKUP(F58,Apuração!A:A,Apuração!B:B),0)</f>
        <v>0</v>
      </c>
      <c r="BP58" s="53">
        <f ca="1">IFERROR(_xlfn.XLOOKUP(F58,Apuração!A:A,Apuração!D:D)/_xlfn.XLOOKUP(F58,Apuração!A:A,Apuração!B:B),0)</f>
        <v>0</v>
      </c>
      <c r="BQ58" s="53">
        <f ca="1">IF(BK58&gt;=BO58,0,_xlfn.XLOOKUP(F58,Apuração!A:A,Apuração!B:B)*(BO58 + (1/_xlfn.XLOOKUP(F58,Apuração!A:A,Apuração!B:B)) - BK58))</f>
        <v>0</v>
      </c>
      <c r="BR58" s="85">
        <f t="shared" ca="1" si="2"/>
        <v>0</v>
      </c>
      <c r="BS58" s="53">
        <f ca="1">IFERROR((_xlfn.XLOOKUP(F58,Apuração!A:A,Apuração!C:C)+1)/_xlfn.XLOOKUP(F58,Apuração!A:A,Apuração!B:B),0)</f>
        <v>0.14285714285714285</v>
      </c>
    </row>
    <row r="59" spans="1:71" ht="25.95" hidden="1" customHeight="1" x14ac:dyDescent="0.3">
      <c r="A59" s="20" t="s">
        <v>87</v>
      </c>
      <c r="B59" s="4" t="s">
        <v>88</v>
      </c>
      <c r="C59" s="5" t="s">
        <v>95</v>
      </c>
      <c r="D59" s="5" t="s">
        <v>36</v>
      </c>
      <c r="E59" s="4" t="s">
        <v>96</v>
      </c>
      <c r="F59" s="4" t="str" cm="1">
        <f t="array" ref="F59">_xlfn.IFS(
AG59 &lt;&gt; "", "Jan-Dez/26",
AH59 &lt;&gt; "", "Fev-Dez/26",
AI59 &lt;&gt; "", "Mar-Dez/26", AJ59 &lt;&gt; "", "Abr-Dez/26",
TRUE, "A partir de Junho"
)</f>
        <v>A partir de Junho</v>
      </c>
      <c r="G59" s="4" t="s">
        <v>62</v>
      </c>
      <c r="H59" s="7" t="s">
        <v>38</v>
      </c>
      <c r="I59" s="9" t="s">
        <v>89</v>
      </c>
      <c r="J59" s="21" t="str" cm="1">
        <f t="array" aca="1" ref="J59" ca="1">_xlfn.LET(
  _xlpm.actual_value_month, INDEX(T59:AE59, MATCH(DATE(YEAR(TODAY()), MONTH(TODAY()), 1), $T$1:$AE$1, 0)),
  IF(_xlpm.actual_value_month &lt;&gt; "",_xlpm.actual_value_month &amp; " ações mensais", "")
)</f>
        <v/>
      </c>
      <c r="K59" s="8" t="str" cm="1">
        <f t="array" ref="K59">_xlfn.LET(
    _xlpm.sum_month, SUM(T59:AE59),
    IF(_xlpm.sum_month = 0, "", _xlpm.sum_month &amp; " certificados gerados no ano")
)</f>
        <v/>
      </c>
      <c r="L59" s="4" t="s">
        <v>90</v>
      </c>
      <c r="M59" s="19"/>
      <c r="N59" s="5" t="s">
        <v>42</v>
      </c>
      <c r="O59" s="5"/>
      <c r="P59" s="10"/>
      <c r="Q59" s="10"/>
      <c r="R59" s="10"/>
      <c r="S59" s="10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94">
        <f t="shared" ca="1" si="159"/>
        <v>0</v>
      </c>
      <c r="AT59" s="95" t="str" cm="1">
        <f t="array" ref="AT59">IFERROR(INDEX(AJ59:AR59,1,MATCH(2,1/(AJ59:AR59&lt;&gt;""))),"")</f>
        <v/>
      </c>
      <c r="AU59" s="97" t="str">
        <f t="shared" si="160"/>
        <v/>
      </c>
      <c r="AW59" s="51">
        <f>IFERROR(IF(AG59="",0,AG59/T59),0)</f>
        <v>0</v>
      </c>
      <c r="AX59" s="51">
        <f>IFERROR(IF(AH59="",0,AH59/U59),0)</f>
        <v>0</v>
      </c>
      <c r="AY59" s="51">
        <f>IFERROR(IF(AI59="",0,AI59/V59),0)</f>
        <v>0</v>
      </c>
      <c r="AZ59" s="51">
        <f>IFERROR(IF(AJ59="",0,AJ59/W59),0)</f>
        <v>0</v>
      </c>
      <c r="BA59" s="51"/>
      <c r="BB59" s="51"/>
      <c r="BC59" s="51"/>
      <c r="BD59" s="51"/>
      <c r="BE59" s="51"/>
      <c r="BF59" s="51"/>
      <c r="BG59" s="51"/>
      <c r="BH59" s="51"/>
      <c r="BI59" s="65" cm="1">
        <f t="array" ref="BI59">IFERROR(INDEX(AW59:BH59,1,MATCH(2,1/(AW59:BH59&lt;&gt;""))),"")</f>
        <v>0</v>
      </c>
      <c r="BJ59" s="68" cm="1">
        <f t="array" ref="BJ59">IF(BM59 = "", "",IFERROR(INDEX(AW59:BH59,1,MATCH(2,1/(AW59:BH59&lt;&gt;""),1)-1),""))</f>
        <v>0</v>
      </c>
      <c r="BK59" s="58">
        <f>IF((IF(AW59&gt;=115%,115%,AW59) + IF(AX59&gt;=115%,115%,AX59) + IF(AY59&gt;=115%,115%,AY59) + (IF(AZ59&gt;=115%,115%,AZ59) + IF(BA59&gt;=115%,115%,BA59) + IF(BB59&gt;=115%,115%,BB59) + IF(BC59&gt;=115%,115%,BC59) + IF(BD59&gt;=115%,115%,BD59) + IF(BE59&gt;=115%,115%,BE59) + IF(BF59&gt;=115%,115%,BF59) + IF(BG59&gt;=115%,115%,BG59) + IF(BH59&gt;=115%,115%,BH59)))/_xlfn.XLOOKUP(F59,Apuração!A:A,Apuração!B:B)&gt;=1.15,1.15,((IF(AZ59&gt;=115%,115%,AZ59) + IF(AX59&gt;=115%,115%,AX59) + IF(AY59&gt;=115%,115%,AY59) + (IF(AW59&gt;=115%,115%,AW59) + IF(BA59&gt;=115%,115%,BA59) + IF(BB59&gt;=115%,115%,BB59) + IF(BC59&gt;=115%,115%,BC59) + IF(BD59&gt;=115%,115%,BD59) + IF(BE59&gt;=115%,115%,BE59) + IF(BF59&gt;=115%,115%,BF59) + IF(BG59&gt;=115%,115%,BG59) + IF(BH59&gt;=115%,115%,BH59)))/_xlfn.XLOOKUP(F59,Apuração!A:A,Apuração!B:B)))</f>
        <v>0</v>
      </c>
      <c r="BL59" s="58" cm="1">
        <f t="array" aca="1" ref="BL59" ca="1">IF(SUM(IFERROR(IF(INDEX(AW59:INDEX(AW59:BH59, MATCH(2, 1/(AW59:BH59&lt;&gt;""), 1)-1), ROW(INDIRECT("1:" &amp; MATCH(2, 1/(AW59:BH59&lt;&gt;""), 1)-1))) &gt;= 115%, 115%, INDEX(AW59:INDEX(AW59:BH59, MATCH(2, 1/(AW59:BH59&lt;&gt;""), 1)-1), ROW(INDIRECT("1:" &amp; MATCH(2, 1/(AW59:BH59&lt;&gt;""), 1)-1)))), 0))/_xlfn.XLOOKUP(F59,Apuração!A:A,Apuração!B:B)&gt;=1.15,1.15,SUM(IFERROR(IF(INDEX(AW59:INDEX(AW59:BH59, MATCH(2, 1/(AW59:BH59&lt;&gt;""), 1)-1), ROW(INDIRECT("1:" &amp; MATCH(2, 1/(AW59:BH59&lt;&gt;""), 1)-1))) &gt;= 115%, 115%, INDEX(AW59:INDEX(AW59:BH59, MATCH(2, 1/(AW59:BH59&lt;&gt;""), 1)-1), ROW(INDIRECT("1:" &amp; MATCH(2, 1/(AW59:BH59&lt;&gt;""), 1)-1)))), 0))/_xlfn.XLOOKUP(F59,Apuração!A:A,Apuração!B:B))</f>
        <v>0</v>
      </c>
      <c r="BM59" s="55" cm="1">
        <f t="array" ref="BM59">IFERROR(
   INDEX($AW$1:$BH$1,
      _xlfn.AGGREGATE(14, 6, COLUMN($AW$1:$BH$1)/(AW59:BH59&lt;&gt;""), 2) - COLUMN($AW$1) + 1
   ),
"")</f>
        <v>46082</v>
      </c>
      <c r="BN59" s="55" cm="1">
        <f t="array" ref="BN59">IFERROR(INDEX($AW$1:$BH$1,1,MATCH(2,1/(AW59:BH59&lt;&gt;""))),"")</f>
        <v>46113</v>
      </c>
      <c r="BO59" s="53">
        <f ca="1">IFERROR(_xlfn.XLOOKUP(F59,Apuração!A:A,Apuração!C:C)/_xlfn.XLOOKUP(F59,Apuração!A:A,Apuração!B:B),0)</f>
        <v>0</v>
      </c>
      <c r="BP59" s="53">
        <f ca="1">IFERROR(_xlfn.XLOOKUP(F59,Apuração!A:A,Apuração!D:D)/_xlfn.XLOOKUP(F59,Apuração!A:A,Apuração!B:B),0)</f>
        <v>0</v>
      </c>
      <c r="BQ59" s="53">
        <f ca="1">IF(BK59&gt;=BO59,0,_xlfn.XLOOKUP(F59,Apuração!A:A,Apuração!B:B)*(BO59 + (1/_xlfn.XLOOKUP(F59,Apuração!A:A,Apuração!B:B)) - BK59))</f>
        <v>0</v>
      </c>
      <c r="BR59" s="85">
        <f t="shared" ca="1" si="2"/>
        <v>0</v>
      </c>
      <c r="BS59" s="53">
        <f ca="1">IFERROR((_xlfn.XLOOKUP(F59,Apuração!A:A,Apuração!C:C)+1)/_xlfn.XLOOKUP(F59,Apuração!A:A,Apuração!B:B),0)</f>
        <v>0.14285714285714285</v>
      </c>
    </row>
    <row r="60" spans="1:71" ht="25.95" hidden="1" customHeight="1" x14ac:dyDescent="0.3">
      <c r="A60" s="40" t="s">
        <v>87</v>
      </c>
      <c r="B60" s="4" t="s">
        <v>88</v>
      </c>
      <c r="C60" s="5" t="s">
        <v>95</v>
      </c>
      <c r="D60" s="5" t="s">
        <v>36</v>
      </c>
      <c r="E60" s="4" t="s">
        <v>96</v>
      </c>
      <c r="F60" s="4" t="str" cm="1">
        <f t="array" ref="F60">_xlfn.IFS(
AG60 &lt;&gt; "", "Jan-Dez/26",
AH60 &lt;&gt; "", "Fev-Dez/26",
AI60 &lt;&gt; "", "Mar-Dez/26", AJ60 &lt;&gt; "", "Abr-Dez/26",
TRUE, "A partir de Junho"
)</f>
        <v>A partir de Junho</v>
      </c>
      <c r="G60" s="4" t="s">
        <v>62</v>
      </c>
      <c r="H60" s="7" t="s">
        <v>38</v>
      </c>
      <c r="I60" s="9" t="s">
        <v>91</v>
      </c>
      <c r="J60" s="21" t="str" cm="1">
        <f t="array" aca="1" ref="J60" ca="1">_xlfn.LET(
  _xlpm.actual_value_month, INDEX(T60:AE60, MATCH(DATE(YEAR(TODAY()), MONTH(TODAY()), 1), $T$1:$AE$1, 0)),
  IF(_xlpm.actual_value_month &lt;&gt; "",_xlpm.actual_value_month &amp; " ações mensais", "")
)</f>
        <v/>
      </c>
      <c r="K60" s="8" t="str" cm="1">
        <f t="array" ref="K60">_xlfn.LET(
    _xlpm.sum_month, SUM(T60:AE60),
    IF(_xlpm.sum_month = 0, "", _xlpm.sum_month &amp; " certificados gerados no ano")
)</f>
        <v/>
      </c>
      <c r="L60" s="4" t="s">
        <v>92</v>
      </c>
      <c r="M60" s="19"/>
      <c r="N60" s="5" t="s">
        <v>51</v>
      </c>
      <c r="O60" s="5"/>
      <c r="P60" s="10"/>
      <c r="Q60" s="10"/>
      <c r="R60" s="10"/>
      <c r="S60" s="10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94">
        <f t="shared" ca="1" si="159"/>
        <v>0</v>
      </c>
      <c r="AT60" s="95" t="str" cm="1">
        <f t="array" ref="AT60">IFERROR(INDEX(AJ60:AR60,1,MATCH(2,1/(AJ60:AR60&lt;&gt;""))),"")</f>
        <v/>
      </c>
      <c r="AU60" s="97" t="str">
        <f t="shared" si="160"/>
        <v/>
      </c>
      <c r="AW60" s="83">
        <f>AG60</f>
        <v>0</v>
      </c>
      <c r="AX60" s="83">
        <f t="shared" ref="AX60:AX61" si="179">AH60</f>
        <v>0</v>
      </c>
      <c r="AY60" s="83">
        <f t="shared" ref="AY60:AY61" si="180">AI60</f>
        <v>0</v>
      </c>
      <c r="AZ60" s="83">
        <f t="shared" ref="AZ60:AZ61" si="181">AJ60</f>
        <v>0</v>
      </c>
      <c r="BA60" s="52"/>
      <c r="BB60" s="52"/>
      <c r="BC60" s="52"/>
      <c r="BD60" s="52"/>
      <c r="BE60" s="52"/>
      <c r="BF60" s="52"/>
      <c r="BG60" s="52"/>
      <c r="BH60" s="52"/>
      <c r="BI60" s="68" cm="1">
        <f t="array" ref="BI60">IFERROR(INDEX(AW60:BH60,1,MATCH(2,1/(AW60:BH60&lt;&gt;""))),"")</f>
        <v>0</v>
      </c>
      <c r="BJ60" s="68" cm="1">
        <f t="array" ref="BJ60">IF(BM60 = "", "",IFERROR(INDEX(AW60:BH60,1,MATCH(2,1/(AW60:BH60&lt;&gt;""),1)-1),""))</f>
        <v>0</v>
      </c>
      <c r="BK60" s="59">
        <f>SUM(AW60:BH60)</f>
        <v>0</v>
      </c>
      <c r="BL60" s="59" cm="1">
        <f t="array" ref="BL60">IFERROR(SUM(AW60:INDEX(AW60:BH60, MATCH(2, 1/(AW60:BH60&lt;&gt;""), 1) - 1))/_xlfn.XLOOKUP(F60,Apuração!A:A,Apuração!B:B),0)</f>
        <v>0</v>
      </c>
      <c r="BM60" s="55" cm="1">
        <f t="array" ref="BM60">IFERROR(
   INDEX($AW$1:$BH$1,
      _xlfn.AGGREGATE(14, 6, COLUMN($AW$1:$BH$1)/(AW60:BH60&lt;&gt;""), 2) - COLUMN($AW$1) + 1
   ),
"")</f>
        <v>46082</v>
      </c>
      <c r="BN60" s="55" cm="1">
        <f t="array" ref="BN60">IFERROR(INDEX($AW$1:$BH$1,1,MATCH(2,1/(AW60:BH60&lt;&gt;""))),"")</f>
        <v>46113</v>
      </c>
      <c r="BO60" s="53">
        <f ca="1">IFERROR(_xlfn.XLOOKUP(F60,Apuração!A:A,Apuração!C:C)/_xlfn.XLOOKUP(F60,Apuração!A:A,Apuração!B:B),0)</f>
        <v>0</v>
      </c>
      <c r="BP60" s="53">
        <f ca="1">IFERROR(_xlfn.XLOOKUP(F60,Apuração!A:A,Apuração!D:D)/_xlfn.XLOOKUP(F60,Apuração!A:A,Apuração!B:B),0)</f>
        <v>0</v>
      </c>
      <c r="BQ60" s="53">
        <f ca="1">IF(BK60&gt;=BO60,0,_xlfn.XLOOKUP(F60,Apuração!A:A,Apuração!B:B)*(BO60 + (1/_xlfn.XLOOKUP(F60,Apuração!A:A,Apuração!B:B)) - BK60))</f>
        <v>0</v>
      </c>
      <c r="BR60" s="85">
        <f t="shared" ca="1" si="2"/>
        <v>0</v>
      </c>
      <c r="BS60" s="53">
        <f ca="1">IFERROR((_xlfn.XLOOKUP(F60,Apuração!A:A,Apuração!C:C)+1)/_xlfn.XLOOKUP(F60,Apuração!A:A,Apuração!B:B),0)</f>
        <v>0.14285714285714285</v>
      </c>
    </row>
    <row r="61" spans="1:71" ht="25.95" hidden="1" customHeight="1" x14ac:dyDescent="0.3">
      <c r="A61" s="40" t="s">
        <v>87</v>
      </c>
      <c r="B61" s="4" t="s">
        <v>88</v>
      </c>
      <c r="C61" s="5" t="s">
        <v>95</v>
      </c>
      <c r="D61" s="5" t="s">
        <v>36</v>
      </c>
      <c r="E61" s="4" t="s">
        <v>96</v>
      </c>
      <c r="F61" s="4" t="str" cm="1">
        <f t="array" ref="F61">_xlfn.IFS(
AG61 &lt;&gt; "", "Jan-Dez/26",
AH61 &lt;&gt; "", "Fev-Dez/26",
AI61 &lt;&gt; "", "Mar-Dez/26", AJ61 &lt;&gt; "", "Abr-Dez/26",
TRUE, "A partir de Junho"
)</f>
        <v>A partir de Junho</v>
      </c>
      <c r="G61" s="4" t="s">
        <v>62</v>
      </c>
      <c r="H61" s="7" t="s">
        <v>38</v>
      </c>
      <c r="I61" s="9" t="s">
        <v>93</v>
      </c>
      <c r="J61" s="21" t="str" cm="1">
        <f t="array" aca="1" ref="J61" ca="1">_xlfn.LET(
  _xlpm.actual_value_month, INDEX(T61:AE61, MATCH(DATE(YEAR(TODAY()), MONTH(TODAY()), 1), $T$1:$AE$1, 0)),
  IF(_xlpm.actual_value_month &lt;&gt; "",_xlpm.actual_value_month &amp; " ações mensais", "")
)</f>
        <v/>
      </c>
      <c r="K61" s="8" t="str" cm="1">
        <f t="array" ref="K61">_xlfn.LET(
    _xlpm.sum_month, SUM(T61:AE61),
    IF(_xlpm.sum_month = 0, "", _xlpm.sum_month &amp; " certificados gerados no ano")
)</f>
        <v/>
      </c>
      <c r="L61" s="4" t="s">
        <v>94</v>
      </c>
      <c r="M61" s="19"/>
      <c r="N61" s="5" t="s">
        <v>51</v>
      </c>
      <c r="O61" s="5"/>
      <c r="P61" s="10"/>
      <c r="Q61" s="10"/>
      <c r="R61" s="10"/>
      <c r="S61" s="10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94">
        <f t="shared" ca="1" si="159"/>
        <v>0</v>
      </c>
      <c r="AT61" s="95" t="str" cm="1">
        <f t="array" ref="AT61">IFERROR(INDEX(AJ61:AR61,1,MATCH(2,1/(AJ61:AR61&lt;&gt;""))),"")</f>
        <v/>
      </c>
      <c r="AU61" s="97" t="str">
        <f t="shared" si="160"/>
        <v/>
      </c>
      <c r="AW61" s="83">
        <f>AG61</f>
        <v>0</v>
      </c>
      <c r="AX61" s="83">
        <f t="shared" si="179"/>
        <v>0</v>
      </c>
      <c r="AY61" s="83">
        <f t="shared" si="180"/>
        <v>0</v>
      </c>
      <c r="AZ61" s="83">
        <f t="shared" si="181"/>
        <v>0</v>
      </c>
      <c r="BA61" s="51"/>
      <c r="BB61" s="51"/>
      <c r="BC61" s="51"/>
      <c r="BD61" s="51"/>
      <c r="BE61" s="51"/>
      <c r="BF61" s="51"/>
      <c r="BG61" s="51"/>
      <c r="BH61" s="51"/>
      <c r="BI61" s="65" cm="1">
        <f t="array" ref="BI61">IFERROR(INDEX(AW61:BH61,1,MATCH(2,1/(AW61:BH61&lt;&gt;""))),"")</f>
        <v>0</v>
      </c>
      <c r="BJ61" s="68" cm="1">
        <f t="array" ref="BJ61">IF(BM61 = "", "",IFERROR(INDEX(AW61:BH61,1,MATCH(2,1/(AW61:BH61&lt;&gt;""),1)-1),""))</f>
        <v>0</v>
      </c>
      <c r="BK61" s="58">
        <f>IF((IF(AW61&gt;=115%,115%,AW61) + IF(AX61&gt;=115%,115%,AX61) + IF(AY61&gt;=115%,115%,AY61) + (IF(AZ61&gt;=115%,115%,AZ61) + IF(BA61&gt;=115%,115%,BA61) + IF(BB61&gt;=115%,115%,BB61) + IF(BC61&gt;=115%,115%,BC61) + IF(BD61&gt;=115%,115%,BD61) + IF(BE61&gt;=115%,115%,BE61) + IF(BF61&gt;=115%,115%,BF61) + IF(BG61&gt;=115%,115%,BG61) + IF(BH61&gt;=115%,115%,BH61)))/_xlfn.XLOOKUP(F61,Apuração!A:A,Apuração!B:B)&gt;=1.15,1.15,((IF(AZ61&gt;=115%,115%,AZ61) + IF(AX61&gt;=115%,115%,AX61) + IF(AY61&gt;=115%,115%,AY61) + (IF(AW61&gt;=115%,115%,AW61) + IF(BA61&gt;=115%,115%,BA61) + IF(BB61&gt;=115%,115%,BB61) + IF(BC61&gt;=115%,115%,BC61) + IF(BD61&gt;=115%,115%,BD61) + IF(BE61&gt;=115%,115%,BE61) + IF(BF61&gt;=115%,115%,BF61) + IF(BG61&gt;=115%,115%,BG61) + IF(BH61&gt;=115%,115%,BH61)))/_xlfn.XLOOKUP(F61,Apuração!A:A,Apuração!B:B)))</f>
        <v>0</v>
      </c>
      <c r="BL61" s="58" cm="1">
        <f t="array" aca="1" ref="BL61" ca="1">IF(SUM(IFERROR(IF(INDEX(AW61:INDEX(AW61:BH61, MATCH(2, 1/(AW61:BH61&lt;&gt;""), 1)-1), ROW(INDIRECT("1:" &amp; MATCH(2, 1/(AW61:BH61&lt;&gt;""), 1)-1))) &gt;= 115%, 115%, INDEX(AW61:INDEX(AW61:BH61, MATCH(2, 1/(AW61:BH61&lt;&gt;""), 1)-1), ROW(INDIRECT("1:" &amp; MATCH(2, 1/(AW61:BH61&lt;&gt;""), 1)-1)))), 0))/_xlfn.XLOOKUP(F61,Apuração!A:A,Apuração!B:B)&gt;=1.15,1.15,SUM(IFERROR(IF(INDEX(AW61:INDEX(AW61:BH61, MATCH(2, 1/(AW61:BH61&lt;&gt;""), 1)-1), ROW(INDIRECT("1:" &amp; MATCH(2, 1/(AW61:BH61&lt;&gt;""), 1)-1))) &gt;= 115%, 115%, INDEX(AW61:INDEX(AW61:BH61, MATCH(2, 1/(AW61:BH61&lt;&gt;""), 1)-1), ROW(INDIRECT("1:" &amp; MATCH(2, 1/(AW61:BH61&lt;&gt;""), 1)-1)))), 0))/_xlfn.XLOOKUP(F61,Apuração!A:A,Apuração!B:B))</f>
        <v>0</v>
      </c>
      <c r="BM61" s="55" cm="1">
        <f t="array" ref="BM61">IFERROR(
   INDEX($AW$1:$BH$1,
      _xlfn.AGGREGATE(14, 6, COLUMN($AW$1:$BH$1)/(AW61:BH61&lt;&gt;""), 2) - COLUMN($AW$1) + 1
   ),
"")</f>
        <v>46082</v>
      </c>
      <c r="BN61" s="55" cm="1">
        <f t="array" ref="BN61">IFERROR(INDEX($AW$1:$BH$1,1,MATCH(2,1/(AW61:BH61&lt;&gt;""))),"")</f>
        <v>46113</v>
      </c>
      <c r="BO61" s="53">
        <f ca="1">IFERROR(_xlfn.XLOOKUP(F61,Apuração!A:A,Apuração!C:C)/_xlfn.XLOOKUP(F61,Apuração!A:A,Apuração!B:B),0)</f>
        <v>0</v>
      </c>
      <c r="BP61" s="53">
        <f ca="1">IFERROR(_xlfn.XLOOKUP(F61,Apuração!A:A,Apuração!D:D)/_xlfn.XLOOKUP(F61,Apuração!A:A,Apuração!B:B),0)</f>
        <v>0</v>
      </c>
      <c r="BQ61" s="53">
        <f ca="1">IF(BK61&gt;=BO61,0,_xlfn.XLOOKUP(F61,Apuração!A:A,Apuração!B:B)*(BO61 + (1/_xlfn.XLOOKUP(F61,Apuração!A:A,Apuração!B:B)) - BK61))</f>
        <v>0</v>
      </c>
      <c r="BR61" s="85">
        <f t="shared" ca="1" si="2"/>
        <v>0</v>
      </c>
      <c r="BS61" s="53">
        <f ca="1">IFERROR((_xlfn.XLOOKUP(F61,Apuração!A:A,Apuração!C:C)+1)/_xlfn.XLOOKUP(F61,Apuração!A:A,Apuração!B:B),0)</f>
        <v>0.14285714285714285</v>
      </c>
    </row>
    <row r="62" spans="1:71" ht="25.95" hidden="1" customHeight="1" x14ac:dyDescent="0.3">
      <c r="A62" s="20" t="s">
        <v>87</v>
      </c>
      <c r="B62" s="4" t="s">
        <v>88</v>
      </c>
      <c r="C62" s="5" t="s">
        <v>97</v>
      </c>
      <c r="D62" s="5" t="s">
        <v>36</v>
      </c>
      <c r="E62" s="4" t="s">
        <v>96</v>
      </c>
      <c r="F62" s="4" t="str" cm="1">
        <f t="array" ref="F62">_xlfn.IFS(
AG62 &lt;&gt; "", "Jan-Dez/26",
AH62 &lt;&gt; "", "Fev-Dez/26",
AI62 &lt;&gt; "", "Mar-Dez/26", AJ62 &lt;&gt; "", "Abr-Dez/26",
TRUE, "A partir de Junho"
)</f>
        <v>A partir de Junho</v>
      </c>
      <c r="G62" s="4" t="s">
        <v>62</v>
      </c>
      <c r="H62" s="7" t="s">
        <v>38</v>
      </c>
      <c r="I62" s="9" t="s">
        <v>89</v>
      </c>
      <c r="J62" s="21" t="str" cm="1">
        <f t="array" aca="1" ref="J62" ca="1">_xlfn.LET(
  _xlpm.actual_value_month, INDEX(T62:AE62, MATCH(DATE(YEAR(TODAY()), MONTH(TODAY()), 1), $T$1:$AE$1, 0)),
  IF(_xlpm.actual_value_month &lt;&gt; "",_xlpm.actual_value_month &amp; " ações mensais", "")
)</f>
        <v/>
      </c>
      <c r="K62" s="8" t="str" cm="1">
        <f t="array" ref="K62">_xlfn.LET(
    _xlpm.sum_month, SUM(T62:AE62),
    IF(_xlpm.sum_month = 0, "", _xlpm.sum_month &amp; " certificados gerados no ano")
)</f>
        <v/>
      </c>
      <c r="L62" s="4" t="s">
        <v>90</v>
      </c>
      <c r="M62" s="19"/>
      <c r="N62" s="5" t="s">
        <v>42</v>
      </c>
      <c r="O62" s="5"/>
      <c r="P62" s="10"/>
      <c r="Q62" s="10"/>
      <c r="R62" s="10"/>
      <c r="S62" s="10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94">
        <f t="shared" ca="1" si="159"/>
        <v>0</v>
      </c>
      <c r="AT62" s="95" t="str" cm="1">
        <f t="array" ref="AT62">IFERROR(INDEX(AJ62:AR62,1,MATCH(2,1/(AJ62:AR62&lt;&gt;""))),"")</f>
        <v/>
      </c>
      <c r="AU62" s="97" t="str">
        <f t="shared" si="160"/>
        <v/>
      </c>
      <c r="AW62" s="51">
        <f>IFERROR(IF(AG62="",0,AG62/T62),0)</f>
        <v>0</v>
      </c>
      <c r="AX62" s="51">
        <f>IFERROR(IF(AH62="",0,AH62/U62),0)</f>
        <v>0</v>
      </c>
      <c r="AY62" s="51">
        <f>IFERROR(IF(AI62="",0,AI62/V62),0)</f>
        <v>0</v>
      </c>
      <c r="AZ62" s="51">
        <f>IFERROR(IF(AJ62="",0,AJ62/W62),0)</f>
        <v>0</v>
      </c>
      <c r="BA62" s="51"/>
      <c r="BB62" s="51"/>
      <c r="BC62" s="51"/>
      <c r="BD62" s="51"/>
      <c r="BE62" s="51"/>
      <c r="BF62" s="51"/>
      <c r="BG62" s="51"/>
      <c r="BH62" s="51"/>
      <c r="BI62" s="65" cm="1">
        <f t="array" ref="BI62">IFERROR(INDEX(AW62:BH62,1,MATCH(2,1/(AW62:BH62&lt;&gt;""))),"")</f>
        <v>0</v>
      </c>
      <c r="BJ62" s="68" cm="1">
        <f t="array" ref="BJ62">IF(BM62 = "", "",IFERROR(INDEX(AW62:BH62,1,MATCH(2,1/(AW62:BH62&lt;&gt;""),1)-1),""))</f>
        <v>0</v>
      </c>
      <c r="BK62" s="58">
        <f>IF((IF(AW62&gt;=115%,115%,AW62) + IF(AX62&gt;=115%,115%,AX62) + IF(AY62&gt;=115%,115%,AY62) + (IF(AZ62&gt;=115%,115%,AZ62) + IF(BA62&gt;=115%,115%,BA62) + IF(BB62&gt;=115%,115%,BB62) + IF(BC62&gt;=115%,115%,BC62) + IF(BD62&gt;=115%,115%,BD62) + IF(BE62&gt;=115%,115%,BE62) + IF(BF62&gt;=115%,115%,BF62) + IF(BG62&gt;=115%,115%,BG62) + IF(BH62&gt;=115%,115%,BH62)))/_xlfn.XLOOKUP(F62,Apuração!A:A,Apuração!B:B)&gt;=1.15,1.15,((IF(AZ62&gt;=115%,115%,AZ62) + IF(AX62&gt;=115%,115%,AX62) + IF(AY62&gt;=115%,115%,AY62) + (IF(AW62&gt;=115%,115%,AW62) + IF(BA62&gt;=115%,115%,BA62) + IF(BB62&gt;=115%,115%,BB62) + IF(BC62&gt;=115%,115%,BC62) + IF(BD62&gt;=115%,115%,BD62) + IF(BE62&gt;=115%,115%,BE62) + IF(BF62&gt;=115%,115%,BF62) + IF(BG62&gt;=115%,115%,BG62) + IF(BH62&gt;=115%,115%,BH62)))/_xlfn.XLOOKUP(F62,Apuração!A:A,Apuração!B:B)))</f>
        <v>0</v>
      </c>
      <c r="BL62" s="58" cm="1">
        <f t="array" aca="1" ref="BL62" ca="1">IF(SUM(IFERROR(IF(INDEX(AW62:INDEX(AW62:BH62, MATCH(2, 1/(AW62:BH62&lt;&gt;""), 1)-1), ROW(INDIRECT("1:" &amp; MATCH(2, 1/(AW62:BH62&lt;&gt;""), 1)-1))) &gt;= 115%, 115%, INDEX(AW62:INDEX(AW62:BH62, MATCH(2, 1/(AW62:BH62&lt;&gt;""), 1)-1), ROW(INDIRECT("1:" &amp; MATCH(2, 1/(AW62:BH62&lt;&gt;""), 1)-1)))), 0))/_xlfn.XLOOKUP(F62,Apuração!A:A,Apuração!B:B)&gt;=1.15,1.15,SUM(IFERROR(IF(INDEX(AW62:INDEX(AW62:BH62, MATCH(2, 1/(AW62:BH62&lt;&gt;""), 1)-1), ROW(INDIRECT("1:" &amp; MATCH(2, 1/(AW62:BH62&lt;&gt;""), 1)-1))) &gt;= 115%, 115%, INDEX(AW62:INDEX(AW62:BH62, MATCH(2, 1/(AW62:BH62&lt;&gt;""), 1)-1), ROW(INDIRECT("1:" &amp; MATCH(2, 1/(AW62:BH62&lt;&gt;""), 1)-1)))), 0))/_xlfn.XLOOKUP(F62,Apuração!A:A,Apuração!B:B))</f>
        <v>0</v>
      </c>
      <c r="BM62" s="55" cm="1">
        <f t="array" ref="BM62">IFERROR(
   INDEX($AW$1:$BH$1,
      _xlfn.AGGREGATE(14, 6, COLUMN($AW$1:$BH$1)/(AW62:BH62&lt;&gt;""), 2) - COLUMN($AW$1) + 1
   ),
"")</f>
        <v>46082</v>
      </c>
      <c r="BN62" s="55" cm="1">
        <f t="array" ref="BN62">IFERROR(INDEX($AW$1:$BH$1,1,MATCH(2,1/(AW62:BH62&lt;&gt;""))),"")</f>
        <v>46113</v>
      </c>
      <c r="BO62" s="53">
        <f ca="1">IFERROR(_xlfn.XLOOKUP(F62,Apuração!A:A,Apuração!C:C)/_xlfn.XLOOKUP(F62,Apuração!A:A,Apuração!B:B),0)</f>
        <v>0</v>
      </c>
      <c r="BP62" s="53">
        <f ca="1">IFERROR(_xlfn.XLOOKUP(F62,Apuração!A:A,Apuração!D:D)/_xlfn.XLOOKUP(F62,Apuração!A:A,Apuração!B:B),0)</f>
        <v>0</v>
      </c>
      <c r="BQ62" s="53">
        <f ca="1">IF(BK62&gt;=BO62,0,_xlfn.XLOOKUP(F62,Apuração!A:A,Apuração!B:B)*(BO62 + (1/_xlfn.XLOOKUP(F62,Apuração!A:A,Apuração!B:B)) - BK62))</f>
        <v>0</v>
      </c>
      <c r="BR62" s="85">
        <f t="shared" ca="1" si="2"/>
        <v>0</v>
      </c>
      <c r="BS62" s="53">
        <f ca="1">IFERROR((_xlfn.XLOOKUP(F62,Apuração!A:A,Apuração!C:C)+1)/_xlfn.XLOOKUP(F62,Apuração!A:A,Apuração!B:B),0)</f>
        <v>0.14285714285714285</v>
      </c>
    </row>
    <row r="63" spans="1:71" ht="25.95" hidden="1" customHeight="1" x14ac:dyDescent="0.3">
      <c r="A63" s="20" t="s">
        <v>87</v>
      </c>
      <c r="B63" s="4" t="s">
        <v>88</v>
      </c>
      <c r="C63" s="5" t="s">
        <v>97</v>
      </c>
      <c r="D63" s="5" t="s">
        <v>98</v>
      </c>
      <c r="E63" s="4" t="s">
        <v>96</v>
      </c>
      <c r="F63" s="4" t="str" cm="1">
        <f t="array" ref="F63">_xlfn.IFS(
AG63 &lt;&gt; "", "Jan-Dez/26",
AH63 &lt;&gt; "", "Fev-Dez/26",
AI63 &lt;&gt; "", "Mar-Dez/26", AJ63 &lt;&gt; "", "Abr-Dez/26",
TRUE, "A partir de Junho"
)</f>
        <v>A partir de Junho</v>
      </c>
      <c r="G63" s="4" t="s">
        <v>62</v>
      </c>
      <c r="H63" s="7" t="s">
        <v>38</v>
      </c>
      <c r="I63" s="9" t="s">
        <v>89</v>
      </c>
      <c r="J63" s="21" t="str" cm="1">
        <f t="array" aca="1" ref="J63" ca="1">_xlfn.LET(
  _xlpm.actual_value_month, INDEX(T63:AE63, MATCH(DATE(YEAR(TODAY()), MONTH(TODAY()), 1), $T$1:$AE$1, 0)),
  IF(_xlpm.actual_value_month &lt;&gt; "",_xlpm.actual_value_month &amp; " ações mensais", "")
)</f>
        <v/>
      </c>
      <c r="K63" s="8" t="str" cm="1">
        <f t="array" ref="K63">_xlfn.LET(
    _xlpm.sum_month, SUM(T63:AE63),
    IF(_xlpm.sum_month = 0, "", _xlpm.sum_month &amp; " certificados gerados no ano")
)</f>
        <v/>
      </c>
      <c r="L63" s="4" t="s">
        <v>90</v>
      </c>
      <c r="M63" s="19"/>
      <c r="N63" s="5" t="s">
        <v>42</v>
      </c>
      <c r="O63" s="5"/>
      <c r="P63" s="10"/>
      <c r="Q63" s="10"/>
      <c r="R63" s="10"/>
      <c r="S63" s="10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94">
        <f t="shared" ref="AS63:AS72" ca="1" si="182">AE63*BO63</f>
        <v>0</v>
      </c>
      <c r="AT63" s="95" t="str" cm="1">
        <f t="array" ref="AT63">IFERROR(INDEX(AJ63:AR63,1,MATCH(2,1/(AJ63:AR63&lt;&gt;""))),"")</f>
        <v/>
      </c>
      <c r="AU63" s="97" t="str">
        <f t="shared" ref="AU63:AU72" si="183">AT63</f>
        <v/>
      </c>
      <c r="AW63" s="51">
        <f t="shared" ref="AW63:AW72" si="184">IFERROR(IF(AG63="",0,AG63/T63),0)</f>
        <v>0</v>
      </c>
      <c r="AX63" s="51">
        <f t="shared" ref="AX63:AX72" si="185">IFERROR(IF(AH63="",0,AH63/U63),0)</f>
        <v>0</v>
      </c>
      <c r="AY63" s="51">
        <f t="shared" ref="AY63:AY72" si="186">IFERROR(IF(AI63="",0,AI63/V63),0)</f>
        <v>0</v>
      </c>
      <c r="AZ63" s="51">
        <f t="shared" ref="AZ63:AZ72" si="187">IFERROR(IF(AJ63="",0,AJ63/W63),0)</f>
        <v>0</v>
      </c>
      <c r="BA63" s="51"/>
      <c r="BB63" s="51"/>
      <c r="BC63" s="51"/>
      <c r="BD63" s="51"/>
      <c r="BE63" s="51"/>
      <c r="BF63" s="51"/>
      <c r="BG63" s="51"/>
      <c r="BH63" s="51"/>
      <c r="BI63" s="65" cm="1">
        <f t="array" ref="BI63">IFERROR(INDEX(AW63:BH63,1,MATCH(2,1/(AW63:BH63&lt;&gt;""))),"")</f>
        <v>0</v>
      </c>
      <c r="BJ63" s="68" cm="1">
        <f t="array" ref="BJ63">IF(BM63 = "", "",IFERROR(INDEX(AW63:BH63,1,MATCH(2,1/(AW63:BH63&lt;&gt;""),1)-1),""))</f>
        <v>0</v>
      </c>
      <c r="BK63" s="58">
        <f>IF((IF(AW63&gt;=115%,115%,AW63) + IF(AX63&gt;=115%,115%,AX63) + IF(AY63&gt;=115%,115%,AY63) + (IF(AZ63&gt;=115%,115%,AZ63) + IF(BA63&gt;=115%,115%,BA63) + IF(BB63&gt;=115%,115%,BB63) + IF(BC63&gt;=115%,115%,BC63) + IF(BD63&gt;=115%,115%,BD63) + IF(BE63&gt;=115%,115%,BE63) + IF(BF63&gt;=115%,115%,BF63) + IF(BG63&gt;=115%,115%,BG63) + IF(BH63&gt;=115%,115%,BH63)))/_xlfn.XLOOKUP(F63,Apuração!A:A,Apuração!B:B)&gt;=1.15,1.15,((IF(AZ63&gt;=115%,115%,AZ63) + IF(AX63&gt;=115%,115%,AX63) + IF(AY63&gt;=115%,115%,AY63) + (IF(AW63&gt;=115%,115%,AW63) + IF(BA63&gt;=115%,115%,BA63) + IF(BB63&gt;=115%,115%,BB63) + IF(BC63&gt;=115%,115%,BC63) + IF(BD63&gt;=115%,115%,BD63) + IF(BE63&gt;=115%,115%,BE63) + IF(BF63&gt;=115%,115%,BF63) + IF(BG63&gt;=115%,115%,BG63) + IF(BH63&gt;=115%,115%,BH63)))/_xlfn.XLOOKUP(F63,Apuração!A:A,Apuração!B:B)))</f>
        <v>0</v>
      </c>
      <c r="BL63" s="58" cm="1">
        <f t="array" aca="1" ref="BL63" ca="1">IF(SUM(IFERROR(IF(INDEX(AW63:INDEX(AW63:BH63, MATCH(2, 1/(AW63:BH63&lt;&gt;""), 1)-1), ROW(INDIRECT("1:" &amp; MATCH(2, 1/(AW63:BH63&lt;&gt;""), 1)-1))) &gt;= 115%, 115%, INDEX(AW63:INDEX(AW63:BH63, MATCH(2, 1/(AW63:BH63&lt;&gt;""), 1)-1), ROW(INDIRECT("1:" &amp; MATCH(2, 1/(AW63:BH63&lt;&gt;""), 1)-1)))), 0))/_xlfn.XLOOKUP(F63,Apuração!A:A,Apuração!B:B)&gt;=1.15,1.15,SUM(IFERROR(IF(INDEX(AW63:INDEX(AW63:BH63, MATCH(2, 1/(AW63:BH63&lt;&gt;""), 1)-1), ROW(INDIRECT("1:" &amp; MATCH(2, 1/(AW63:BH63&lt;&gt;""), 1)-1))) &gt;= 115%, 115%, INDEX(AW63:INDEX(AW63:BH63, MATCH(2, 1/(AW63:BH63&lt;&gt;""), 1)-1), ROW(INDIRECT("1:" &amp; MATCH(2, 1/(AW63:BH63&lt;&gt;""), 1)-1)))), 0))/_xlfn.XLOOKUP(F63,Apuração!A:A,Apuração!B:B))</f>
        <v>0</v>
      </c>
      <c r="BM63" s="55" cm="1">
        <f t="array" ref="BM63">IFERROR(
   INDEX($AW$1:$BH$1,
      _xlfn.AGGREGATE(14, 6, COLUMN($AW$1:$BH$1)/(AW63:BH63&lt;&gt;""), 2) - COLUMN($AW$1) + 1
   ),
"")</f>
        <v>46082</v>
      </c>
      <c r="BN63" s="55" cm="1">
        <f t="array" ref="BN63">IFERROR(INDEX($AW$1:$BH$1,1,MATCH(2,1/(AW63:BH63&lt;&gt;""))),"")</f>
        <v>46113</v>
      </c>
      <c r="BO63" s="53">
        <f ca="1">IFERROR(_xlfn.XLOOKUP(F63,Apuração!A:A,Apuração!C:C)/_xlfn.XLOOKUP(F63,Apuração!A:A,Apuração!B:B),0)</f>
        <v>0</v>
      </c>
      <c r="BP63" s="53">
        <f ca="1">IFERROR(_xlfn.XLOOKUP(F63,Apuração!A:A,Apuração!D:D)/_xlfn.XLOOKUP(F63,Apuração!A:A,Apuração!B:B),0)</f>
        <v>0</v>
      </c>
      <c r="BQ63" s="53">
        <f ca="1">IF(BK63&gt;=BO63,0,_xlfn.XLOOKUP(F63,Apuração!A:A,Apuração!B:B)*(BO63 + (1/_xlfn.XLOOKUP(F63,Apuração!A:A,Apuração!B:B)) - BK63))</f>
        <v>0</v>
      </c>
      <c r="BR63" s="85">
        <f t="shared" ref="BR63:BR72" ca="1" si="188">IF(BQ63=0,0,BQ63*Z63)</f>
        <v>0</v>
      </c>
      <c r="BS63" s="53">
        <f ca="1">IFERROR((_xlfn.XLOOKUP(F63,Apuração!A:A,Apuração!C:C)+1)/_xlfn.XLOOKUP(F63,Apuração!A:A,Apuração!B:B),0)</f>
        <v>0.14285714285714285</v>
      </c>
    </row>
    <row r="64" spans="1:71" ht="25.95" hidden="1" customHeight="1" x14ac:dyDescent="0.3">
      <c r="A64" s="20" t="s">
        <v>87</v>
      </c>
      <c r="B64" s="4" t="s">
        <v>88</v>
      </c>
      <c r="C64" s="5" t="s">
        <v>97</v>
      </c>
      <c r="D64" s="5" t="s">
        <v>99</v>
      </c>
      <c r="E64" s="4" t="s">
        <v>96</v>
      </c>
      <c r="F64" s="4" t="str" cm="1">
        <f t="array" ref="F64">_xlfn.IFS(
AG64 &lt;&gt; "", "Jan-Dez/26",
AH64 &lt;&gt; "", "Fev-Dez/26",
AI64 &lt;&gt; "", "Mar-Dez/26", AJ64 &lt;&gt; "", "Abr-Dez/26",
TRUE, "A partir de Junho"
)</f>
        <v>A partir de Junho</v>
      </c>
      <c r="G64" s="4" t="s">
        <v>62</v>
      </c>
      <c r="H64" s="7" t="s">
        <v>38</v>
      </c>
      <c r="I64" s="9" t="s">
        <v>89</v>
      </c>
      <c r="J64" s="21" t="str" cm="1">
        <f t="array" aca="1" ref="J64" ca="1">_xlfn.LET(
  _xlpm.actual_value_month, INDEX(T64:AE64, MATCH(DATE(YEAR(TODAY()), MONTH(TODAY()), 1), $T$1:$AE$1, 0)),
  IF(_xlpm.actual_value_month &lt;&gt; "",_xlpm.actual_value_month &amp; " ações mensais", "")
)</f>
        <v/>
      </c>
      <c r="K64" s="8" t="str" cm="1">
        <f t="array" ref="K64">_xlfn.LET(
    _xlpm.sum_month, SUM(T64:AE64),
    IF(_xlpm.sum_month = 0, "", _xlpm.sum_month &amp; " certificados gerados no ano")
)</f>
        <v/>
      </c>
      <c r="L64" s="4" t="s">
        <v>90</v>
      </c>
      <c r="M64" s="19"/>
      <c r="N64" s="5" t="s">
        <v>42</v>
      </c>
      <c r="O64" s="5"/>
      <c r="P64" s="10"/>
      <c r="Q64" s="10"/>
      <c r="R64" s="10"/>
      <c r="S64" s="10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94">
        <f t="shared" ca="1" si="182"/>
        <v>0</v>
      </c>
      <c r="AT64" s="95" t="str" cm="1">
        <f t="array" ref="AT64">IFERROR(INDEX(AJ64:AR64,1,MATCH(2,1/(AJ64:AR64&lt;&gt;""))),"")</f>
        <v/>
      </c>
      <c r="AU64" s="97" t="str">
        <f t="shared" si="183"/>
        <v/>
      </c>
      <c r="AW64" s="51">
        <f t="shared" si="184"/>
        <v>0</v>
      </c>
      <c r="AX64" s="51">
        <f t="shared" si="185"/>
        <v>0</v>
      </c>
      <c r="AY64" s="51">
        <f t="shared" si="186"/>
        <v>0</v>
      </c>
      <c r="AZ64" s="51">
        <f t="shared" si="187"/>
        <v>0</v>
      </c>
      <c r="BA64" s="51"/>
      <c r="BB64" s="51"/>
      <c r="BC64" s="51"/>
      <c r="BD64" s="51"/>
      <c r="BE64" s="51"/>
      <c r="BF64" s="51"/>
      <c r="BG64" s="51"/>
      <c r="BH64" s="51"/>
      <c r="BI64" s="65" cm="1">
        <f t="array" ref="BI64">IFERROR(INDEX(AW64:BH64,1,MATCH(2,1/(AW64:BH64&lt;&gt;""))),"")</f>
        <v>0</v>
      </c>
      <c r="BJ64" s="68" cm="1">
        <f t="array" ref="BJ64">IF(BM64 = "", "",IFERROR(INDEX(AW64:BH64,1,MATCH(2,1/(AW64:BH64&lt;&gt;""),1)-1),""))</f>
        <v>0</v>
      </c>
      <c r="BK64" s="58">
        <f>IF((IF(AW64&gt;=115%,115%,AW64) + IF(AX64&gt;=115%,115%,AX64) + IF(AY64&gt;=115%,115%,AY64) + (IF(AZ64&gt;=115%,115%,AZ64) + IF(BA64&gt;=115%,115%,BA64) + IF(BB64&gt;=115%,115%,BB64) + IF(BC64&gt;=115%,115%,BC64) + IF(BD64&gt;=115%,115%,BD64) + IF(BE64&gt;=115%,115%,BE64) + IF(BF64&gt;=115%,115%,BF64) + IF(BG64&gt;=115%,115%,BG64) + IF(BH64&gt;=115%,115%,BH64)))/_xlfn.XLOOKUP(F64,Apuração!A:A,Apuração!B:B)&gt;=1.15,1.15,((IF(AZ64&gt;=115%,115%,AZ64) + IF(AX64&gt;=115%,115%,AX64) + IF(AY64&gt;=115%,115%,AY64) + (IF(AW64&gt;=115%,115%,AW64) + IF(BA64&gt;=115%,115%,BA64) + IF(BB64&gt;=115%,115%,BB64) + IF(BC64&gt;=115%,115%,BC64) + IF(BD64&gt;=115%,115%,BD64) + IF(BE64&gt;=115%,115%,BE64) + IF(BF64&gt;=115%,115%,BF64) + IF(BG64&gt;=115%,115%,BG64) + IF(BH64&gt;=115%,115%,BH64)))/_xlfn.XLOOKUP(F64,Apuração!A:A,Apuração!B:B)))</f>
        <v>0</v>
      </c>
      <c r="BL64" s="58" cm="1">
        <f t="array" aca="1" ref="BL64" ca="1">IF(SUM(IFERROR(IF(INDEX(AW64:INDEX(AW64:BH64, MATCH(2, 1/(AW64:BH64&lt;&gt;""), 1)-1), ROW(INDIRECT("1:" &amp; MATCH(2, 1/(AW64:BH64&lt;&gt;""), 1)-1))) &gt;= 115%, 115%, INDEX(AW64:INDEX(AW64:BH64, MATCH(2, 1/(AW64:BH64&lt;&gt;""), 1)-1), ROW(INDIRECT("1:" &amp; MATCH(2, 1/(AW64:BH64&lt;&gt;""), 1)-1)))), 0))/_xlfn.XLOOKUP(F64,Apuração!A:A,Apuração!B:B)&gt;=1.15,1.15,SUM(IFERROR(IF(INDEX(AW64:INDEX(AW64:BH64, MATCH(2, 1/(AW64:BH64&lt;&gt;""), 1)-1), ROW(INDIRECT("1:" &amp; MATCH(2, 1/(AW64:BH64&lt;&gt;""), 1)-1))) &gt;= 115%, 115%, INDEX(AW64:INDEX(AW64:BH64, MATCH(2, 1/(AW64:BH64&lt;&gt;""), 1)-1), ROW(INDIRECT("1:" &amp; MATCH(2, 1/(AW64:BH64&lt;&gt;""), 1)-1)))), 0))/_xlfn.XLOOKUP(F64,Apuração!A:A,Apuração!B:B))</f>
        <v>0</v>
      </c>
      <c r="BM64" s="55" cm="1">
        <f t="array" ref="BM64">IFERROR(
   INDEX($AW$1:$BH$1,
      _xlfn.AGGREGATE(14, 6, COLUMN($AW$1:$BH$1)/(AW64:BH64&lt;&gt;""), 2) - COLUMN($AW$1) + 1
   ),
"")</f>
        <v>46082</v>
      </c>
      <c r="BN64" s="55" cm="1">
        <f t="array" ref="BN64">IFERROR(INDEX($AW$1:$BH$1,1,MATCH(2,1/(AW64:BH64&lt;&gt;""))),"")</f>
        <v>46113</v>
      </c>
      <c r="BO64" s="53">
        <f ca="1">IFERROR(_xlfn.XLOOKUP(F64,Apuração!A:A,Apuração!C:C)/_xlfn.XLOOKUP(F64,Apuração!A:A,Apuração!B:B),0)</f>
        <v>0</v>
      </c>
      <c r="BP64" s="53">
        <f ca="1">IFERROR(_xlfn.XLOOKUP(F64,Apuração!A:A,Apuração!D:D)/_xlfn.XLOOKUP(F64,Apuração!A:A,Apuração!B:B),0)</f>
        <v>0</v>
      </c>
      <c r="BQ64" s="53">
        <f ca="1">IF(BK64&gt;=BO64,0,_xlfn.XLOOKUP(F64,Apuração!A:A,Apuração!B:B)*(BO64 + (1/_xlfn.XLOOKUP(F64,Apuração!A:A,Apuração!B:B)) - BK64))</f>
        <v>0</v>
      </c>
      <c r="BR64" s="85">
        <f t="shared" ca="1" si="188"/>
        <v>0</v>
      </c>
      <c r="BS64" s="53">
        <f ca="1">IFERROR((_xlfn.XLOOKUP(F64,Apuração!A:A,Apuração!C:C)+1)/_xlfn.XLOOKUP(F64,Apuração!A:A,Apuração!B:B),0)</f>
        <v>0.14285714285714285</v>
      </c>
    </row>
    <row r="65" spans="1:71" ht="25.95" hidden="1" customHeight="1" x14ac:dyDescent="0.3">
      <c r="A65" s="20" t="s">
        <v>87</v>
      </c>
      <c r="B65" s="4" t="s">
        <v>88</v>
      </c>
      <c r="C65" s="5" t="s">
        <v>97</v>
      </c>
      <c r="D65" s="5" t="s">
        <v>100</v>
      </c>
      <c r="E65" s="4" t="s">
        <v>96</v>
      </c>
      <c r="F65" s="4" t="str" cm="1">
        <f t="array" ref="F65">_xlfn.IFS(
AG65 &lt;&gt; "", "Jan-Dez/26",
AH65 &lt;&gt; "", "Fev-Dez/26",
AI65 &lt;&gt; "", "Mar-Dez/26", AJ65 &lt;&gt; "", "Abr-Dez/26",
TRUE, "A partir de Junho"
)</f>
        <v>A partir de Junho</v>
      </c>
      <c r="G65" s="4" t="s">
        <v>62</v>
      </c>
      <c r="H65" s="7" t="s">
        <v>38</v>
      </c>
      <c r="I65" s="9" t="s">
        <v>89</v>
      </c>
      <c r="J65" s="21" t="str" cm="1">
        <f t="array" aca="1" ref="J65" ca="1">_xlfn.LET(
  _xlpm.actual_value_month, INDEX(T65:AE65, MATCH(DATE(YEAR(TODAY()), MONTH(TODAY()), 1), $T$1:$AE$1, 0)),
  IF(_xlpm.actual_value_month &lt;&gt; "",_xlpm.actual_value_month &amp; " ações mensais", "")
)</f>
        <v/>
      </c>
      <c r="K65" s="8" t="str" cm="1">
        <f t="array" ref="K65">_xlfn.LET(
    _xlpm.sum_month, SUM(T65:AE65),
    IF(_xlpm.sum_month = 0, "", _xlpm.sum_month &amp; " certificados gerados no ano")
)</f>
        <v/>
      </c>
      <c r="L65" s="4" t="s">
        <v>90</v>
      </c>
      <c r="M65" s="19"/>
      <c r="N65" s="5" t="s">
        <v>42</v>
      </c>
      <c r="O65" s="5"/>
      <c r="P65" s="10"/>
      <c r="Q65" s="10"/>
      <c r="R65" s="10"/>
      <c r="S65" s="10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94">
        <f t="shared" ca="1" si="182"/>
        <v>0</v>
      </c>
      <c r="AT65" s="95" t="str" cm="1">
        <f t="array" ref="AT65">IFERROR(INDEX(AJ65:AR65,1,MATCH(2,1/(AJ65:AR65&lt;&gt;""))),"")</f>
        <v/>
      </c>
      <c r="AU65" s="97" t="str">
        <f t="shared" si="183"/>
        <v/>
      </c>
      <c r="AW65" s="51">
        <f t="shared" si="184"/>
        <v>0</v>
      </c>
      <c r="AX65" s="51">
        <f t="shared" si="185"/>
        <v>0</v>
      </c>
      <c r="AY65" s="51">
        <f t="shared" si="186"/>
        <v>0</v>
      </c>
      <c r="AZ65" s="51">
        <f t="shared" si="187"/>
        <v>0</v>
      </c>
      <c r="BA65" s="51"/>
      <c r="BB65" s="51"/>
      <c r="BC65" s="51"/>
      <c r="BD65" s="51"/>
      <c r="BE65" s="51"/>
      <c r="BF65" s="51"/>
      <c r="BG65" s="51"/>
      <c r="BH65" s="51"/>
      <c r="BI65" s="65" cm="1">
        <f t="array" ref="BI65">IFERROR(INDEX(AW65:BH65,1,MATCH(2,1/(AW65:BH65&lt;&gt;""))),"")</f>
        <v>0</v>
      </c>
      <c r="BJ65" s="68" cm="1">
        <f t="array" ref="BJ65">IF(BM65 = "", "",IFERROR(INDEX(AW65:BH65,1,MATCH(2,1/(AW65:BH65&lt;&gt;""),1)-1),""))</f>
        <v>0</v>
      </c>
      <c r="BK65" s="58">
        <f>IF((IF(AW65&gt;=115%,115%,AW65) + IF(AX65&gt;=115%,115%,AX65) + IF(AY65&gt;=115%,115%,AY65) + (IF(AZ65&gt;=115%,115%,AZ65) + IF(BA65&gt;=115%,115%,BA65) + IF(BB65&gt;=115%,115%,BB65) + IF(BC65&gt;=115%,115%,BC65) + IF(BD65&gt;=115%,115%,BD65) + IF(BE65&gt;=115%,115%,BE65) + IF(BF65&gt;=115%,115%,BF65) + IF(BG65&gt;=115%,115%,BG65) + IF(BH65&gt;=115%,115%,BH65)))/_xlfn.XLOOKUP(F65,Apuração!A:A,Apuração!B:B)&gt;=1.15,1.15,((IF(AZ65&gt;=115%,115%,AZ65) + IF(AX65&gt;=115%,115%,AX65) + IF(AY65&gt;=115%,115%,AY65) + (IF(AW65&gt;=115%,115%,AW65) + IF(BA65&gt;=115%,115%,BA65) + IF(BB65&gt;=115%,115%,BB65) + IF(BC65&gt;=115%,115%,BC65) + IF(BD65&gt;=115%,115%,BD65) + IF(BE65&gt;=115%,115%,BE65) + IF(BF65&gt;=115%,115%,BF65) + IF(BG65&gt;=115%,115%,BG65) + IF(BH65&gt;=115%,115%,BH65)))/_xlfn.XLOOKUP(F65,Apuração!A:A,Apuração!B:B)))</f>
        <v>0</v>
      </c>
      <c r="BL65" s="58" cm="1">
        <f t="array" aca="1" ref="BL65" ca="1">IF(SUM(IFERROR(IF(INDEX(AW65:INDEX(AW65:BH65, MATCH(2, 1/(AW65:BH65&lt;&gt;""), 1)-1), ROW(INDIRECT("1:" &amp; MATCH(2, 1/(AW65:BH65&lt;&gt;""), 1)-1))) &gt;= 115%, 115%, INDEX(AW65:INDEX(AW65:BH65, MATCH(2, 1/(AW65:BH65&lt;&gt;""), 1)-1), ROW(INDIRECT("1:" &amp; MATCH(2, 1/(AW65:BH65&lt;&gt;""), 1)-1)))), 0))/_xlfn.XLOOKUP(F65,Apuração!A:A,Apuração!B:B)&gt;=1.15,1.15,SUM(IFERROR(IF(INDEX(AW65:INDEX(AW65:BH65, MATCH(2, 1/(AW65:BH65&lt;&gt;""), 1)-1), ROW(INDIRECT("1:" &amp; MATCH(2, 1/(AW65:BH65&lt;&gt;""), 1)-1))) &gt;= 115%, 115%, INDEX(AW65:INDEX(AW65:BH65, MATCH(2, 1/(AW65:BH65&lt;&gt;""), 1)-1), ROW(INDIRECT("1:" &amp; MATCH(2, 1/(AW65:BH65&lt;&gt;""), 1)-1)))), 0))/_xlfn.XLOOKUP(F65,Apuração!A:A,Apuração!B:B))</f>
        <v>0</v>
      </c>
      <c r="BM65" s="55" cm="1">
        <f t="array" ref="BM65">IFERROR(
   INDEX($AW$1:$BH$1,
      _xlfn.AGGREGATE(14, 6, COLUMN($AW$1:$BH$1)/(AW65:BH65&lt;&gt;""), 2) - COLUMN($AW$1) + 1
   ),
"")</f>
        <v>46082</v>
      </c>
      <c r="BN65" s="55" cm="1">
        <f t="array" ref="BN65">IFERROR(INDEX($AW$1:$BH$1,1,MATCH(2,1/(AW65:BH65&lt;&gt;""))),"")</f>
        <v>46113</v>
      </c>
      <c r="BO65" s="53">
        <f ca="1">IFERROR(_xlfn.XLOOKUP(F65,Apuração!A:A,Apuração!C:C)/_xlfn.XLOOKUP(F65,Apuração!A:A,Apuração!B:B),0)</f>
        <v>0</v>
      </c>
      <c r="BP65" s="53">
        <f ca="1">IFERROR(_xlfn.XLOOKUP(F65,Apuração!A:A,Apuração!D:D)/_xlfn.XLOOKUP(F65,Apuração!A:A,Apuração!B:B),0)</f>
        <v>0</v>
      </c>
      <c r="BQ65" s="53">
        <f ca="1">IF(BK65&gt;=BO65,0,_xlfn.XLOOKUP(F65,Apuração!A:A,Apuração!B:B)*(BO65 + (1/_xlfn.XLOOKUP(F65,Apuração!A:A,Apuração!B:B)) - BK65))</f>
        <v>0</v>
      </c>
      <c r="BR65" s="85">
        <f t="shared" ca="1" si="188"/>
        <v>0</v>
      </c>
      <c r="BS65" s="53">
        <f ca="1">IFERROR((_xlfn.XLOOKUP(F65,Apuração!A:A,Apuração!C:C)+1)/_xlfn.XLOOKUP(F65,Apuração!A:A,Apuração!B:B),0)</f>
        <v>0.14285714285714285</v>
      </c>
    </row>
    <row r="66" spans="1:71" ht="25.95" hidden="1" customHeight="1" x14ac:dyDescent="0.3">
      <c r="A66" s="20" t="s">
        <v>87</v>
      </c>
      <c r="B66" s="4" t="s">
        <v>88</v>
      </c>
      <c r="C66" s="5" t="s">
        <v>97</v>
      </c>
      <c r="D66" s="5" t="s">
        <v>101</v>
      </c>
      <c r="E66" s="4" t="s">
        <v>96</v>
      </c>
      <c r="F66" s="4" t="str" cm="1">
        <f t="array" ref="F66">_xlfn.IFS(
AG66 &lt;&gt; "", "Jan-Dez/26",
AH66 &lt;&gt; "", "Fev-Dez/26",
AI66 &lt;&gt; "", "Mar-Dez/26", AJ66 &lt;&gt; "", "Abr-Dez/26",
TRUE, "A partir de Junho"
)</f>
        <v>A partir de Junho</v>
      </c>
      <c r="G66" s="4" t="s">
        <v>62</v>
      </c>
      <c r="H66" s="7" t="s">
        <v>38</v>
      </c>
      <c r="I66" s="9" t="s">
        <v>89</v>
      </c>
      <c r="J66" s="21" t="str" cm="1">
        <f t="array" aca="1" ref="J66" ca="1">_xlfn.LET(
  _xlpm.actual_value_month, INDEX(T66:AE66, MATCH(DATE(YEAR(TODAY()), MONTH(TODAY()), 1), $T$1:$AE$1, 0)),
  IF(_xlpm.actual_value_month &lt;&gt; "",_xlpm.actual_value_month &amp; " ações mensais", "")
)</f>
        <v/>
      </c>
      <c r="K66" s="8" t="str" cm="1">
        <f t="array" ref="K66">_xlfn.LET(
    _xlpm.sum_month, SUM(T66:AE66),
    IF(_xlpm.sum_month = 0, "", _xlpm.sum_month &amp; " certificados gerados no ano")
)</f>
        <v/>
      </c>
      <c r="L66" s="4" t="s">
        <v>90</v>
      </c>
      <c r="M66" s="19"/>
      <c r="N66" s="5" t="s">
        <v>42</v>
      </c>
      <c r="O66" s="5"/>
      <c r="P66" s="10"/>
      <c r="Q66" s="10"/>
      <c r="R66" s="10"/>
      <c r="S66" s="10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94">
        <f t="shared" ca="1" si="182"/>
        <v>0</v>
      </c>
      <c r="AT66" s="95" t="str" cm="1">
        <f t="array" ref="AT66">IFERROR(INDEX(AJ66:AR66,1,MATCH(2,1/(AJ66:AR66&lt;&gt;""))),"")</f>
        <v/>
      </c>
      <c r="AU66" s="97" t="str">
        <f t="shared" si="183"/>
        <v/>
      </c>
      <c r="AW66" s="51">
        <f t="shared" si="184"/>
        <v>0</v>
      </c>
      <c r="AX66" s="51">
        <f t="shared" si="185"/>
        <v>0</v>
      </c>
      <c r="AY66" s="51">
        <f t="shared" si="186"/>
        <v>0</v>
      </c>
      <c r="AZ66" s="51">
        <f t="shared" si="187"/>
        <v>0</v>
      </c>
      <c r="BA66" s="51"/>
      <c r="BB66" s="51"/>
      <c r="BC66" s="51"/>
      <c r="BD66" s="51"/>
      <c r="BE66" s="51"/>
      <c r="BF66" s="51"/>
      <c r="BG66" s="51"/>
      <c r="BH66" s="51"/>
      <c r="BI66" s="65" cm="1">
        <f t="array" ref="BI66">IFERROR(INDEX(AW66:BH66,1,MATCH(2,1/(AW66:BH66&lt;&gt;""))),"")</f>
        <v>0</v>
      </c>
      <c r="BJ66" s="68" cm="1">
        <f t="array" ref="BJ66">IF(BM66 = "", "",IFERROR(INDEX(AW66:BH66,1,MATCH(2,1/(AW66:BH66&lt;&gt;""),1)-1),""))</f>
        <v>0</v>
      </c>
      <c r="BK66" s="58">
        <f>IF((IF(AW66&gt;=115%,115%,AW66) + IF(AX66&gt;=115%,115%,AX66) + IF(AY66&gt;=115%,115%,AY66) + (IF(AZ66&gt;=115%,115%,AZ66) + IF(BA66&gt;=115%,115%,BA66) + IF(BB66&gt;=115%,115%,BB66) + IF(BC66&gt;=115%,115%,BC66) + IF(BD66&gt;=115%,115%,BD66) + IF(BE66&gt;=115%,115%,BE66) + IF(BF66&gt;=115%,115%,BF66) + IF(BG66&gt;=115%,115%,BG66) + IF(BH66&gt;=115%,115%,BH66)))/_xlfn.XLOOKUP(F66,Apuração!A:A,Apuração!B:B)&gt;=1.15,1.15,((IF(AZ66&gt;=115%,115%,AZ66) + IF(AX66&gt;=115%,115%,AX66) + IF(AY66&gt;=115%,115%,AY66) + (IF(AW66&gt;=115%,115%,AW66) + IF(BA66&gt;=115%,115%,BA66) + IF(BB66&gt;=115%,115%,BB66) + IF(BC66&gt;=115%,115%,BC66) + IF(BD66&gt;=115%,115%,BD66) + IF(BE66&gt;=115%,115%,BE66) + IF(BF66&gt;=115%,115%,BF66) + IF(BG66&gt;=115%,115%,BG66) + IF(BH66&gt;=115%,115%,BH66)))/_xlfn.XLOOKUP(F66,Apuração!A:A,Apuração!B:B)))</f>
        <v>0</v>
      </c>
      <c r="BL66" s="58" cm="1">
        <f t="array" aca="1" ref="BL66" ca="1">IF(SUM(IFERROR(IF(INDEX(AW66:INDEX(AW66:BH66, MATCH(2, 1/(AW66:BH66&lt;&gt;""), 1)-1), ROW(INDIRECT("1:" &amp; MATCH(2, 1/(AW66:BH66&lt;&gt;""), 1)-1))) &gt;= 115%, 115%, INDEX(AW66:INDEX(AW66:BH66, MATCH(2, 1/(AW66:BH66&lt;&gt;""), 1)-1), ROW(INDIRECT("1:" &amp; MATCH(2, 1/(AW66:BH66&lt;&gt;""), 1)-1)))), 0))/_xlfn.XLOOKUP(F66,Apuração!A:A,Apuração!B:B)&gt;=1.15,1.15,SUM(IFERROR(IF(INDEX(AW66:INDEX(AW66:BH66, MATCH(2, 1/(AW66:BH66&lt;&gt;""), 1)-1), ROW(INDIRECT("1:" &amp; MATCH(2, 1/(AW66:BH66&lt;&gt;""), 1)-1))) &gt;= 115%, 115%, INDEX(AW66:INDEX(AW66:BH66, MATCH(2, 1/(AW66:BH66&lt;&gt;""), 1)-1), ROW(INDIRECT("1:" &amp; MATCH(2, 1/(AW66:BH66&lt;&gt;""), 1)-1)))), 0))/_xlfn.XLOOKUP(F66,Apuração!A:A,Apuração!B:B))</f>
        <v>0</v>
      </c>
      <c r="BM66" s="55" cm="1">
        <f t="array" ref="BM66">IFERROR(
   INDEX($AW$1:$BH$1,
      _xlfn.AGGREGATE(14, 6, COLUMN($AW$1:$BH$1)/(AW66:BH66&lt;&gt;""), 2) - COLUMN($AW$1) + 1
   ),
"")</f>
        <v>46082</v>
      </c>
      <c r="BN66" s="55" cm="1">
        <f t="array" ref="BN66">IFERROR(INDEX($AW$1:$BH$1,1,MATCH(2,1/(AW66:BH66&lt;&gt;""))),"")</f>
        <v>46113</v>
      </c>
      <c r="BO66" s="53">
        <f ca="1">IFERROR(_xlfn.XLOOKUP(F66,Apuração!A:A,Apuração!C:C)/_xlfn.XLOOKUP(F66,Apuração!A:A,Apuração!B:B),0)</f>
        <v>0</v>
      </c>
      <c r="BP66" s="53">
        <f ca="1">IFERROR(_xlfn.XLOOKUP(F66,Apuração!A:A,Apuração!D:D)/_xlfn.XLOOKUP(F66,Apuração!A:A,Apuração!B:B),0)</f>
        <v>0</v>
      </c>
      <c r="BQ66" s="53">
        <f ca="1">IF(BK66&gt;=BO66,0,_xlfn.XLOOKUP(F66,Apuração!A:A,Apuração!B:B)*(BO66 + (1/_xlfn.XLOOKUP(F66,Apuração!A:A,Apuração!B:B)) - BK66))</f>
        <v>0</v>
      </c>
      <c r="BR66" s="85">
        <f t="shared" ca="1" si="188"/>
        <v>0</v>
      </c>
      <c r="BS66" s="53">
        <f ca="1">IFERROR((_xlfn.XLOOKUP(F66,Apuração!A:A,Apuração!C:C)+1)/_xlfn.XLOOKUP(F66,Apuração!A:A,Apuração!B:B),0)</f>
        <v>0.14285714285714285</v>
      </c>
    </row>
    <row r="67" spans="1:71" ht="25.95" hidden="1" customHeight="1" x14ac:dyDescent="0.3">
      <c r="A67" s="20" t="s">
        <v>87</v>
      </c>
      <c r="B67" s="4" t="s">
        <v>88</v>
      </c>
      <c r="C67" s="5" t="s">
        <v>97</v>
      </c>
      <c r="D67" s="5" t="s">
        <v>102</v>
      </c>
      <c r="E67" s="4" t="s">
        <v>96</v>
      </c>
      <c r="F67" s="4" t="str" cm="1">
        <f t="array" ref="F67">_xlfn.IFS(
AG67 &lt;&gt; "", "Jan-Dez/26",
AH67 &lt;&gt; "", "Fev-Dez/26",
AI67 &lt;&gt; "", "Mar-Dez/26", AJ67 &lt;&gt; "", "Abr-Dez/26",
TRUE, "A partir de Junho"
)</f>
        <v>A partir de Junho</v>
      </c>
      <c r="G67" s="4" t="s">
        <v>62</v>
      </c>
      <c r="H67" s="7" t="s">
        <v>38</v>
      </c>
      <c r="I67" s="9" t="s">
        <v>89</v>
      </c>
      <c r="J67" s="21" t="str" cm="1">
        <f t="array" aca="1" ref="J67" ca="1">_xlfn.LET(
  _xlpm.actual_value_month, INDEX(T67:AE67, MATCH(DATE(YEAR(TODAY()), MONTH(TODAY()), 1), $T$1:$AE$1, 0)),
  IF(_xlpm.actual_value_month &lt;&gt; "",_xlpm.actual_value_month &amp; " ações mensais", "")
)</f>
        <v/>
      </c>
      <c r="K67" s="8" t="str" cm="1">
        <f t="array" ref="K67">_xlfn.LET(
    _xlpm.sum_month, SUM(T67:AE67),
    IF(_xlpm.sum_month = 0, "", _xlpm.sum_month &amp; " certificados gerados no ano")
)</f>
        <v/>
      </c>
      <c r="L67" s="4" t="s">
        <v>90</v>
      </c>
      <c r="M67" s="19"/>
      <c r="N67" s="5" t="s">
        <v>42</v>
      </c>
      <c r="O67" s="5"/>
      <c r="P67" s="10"/>
      <c r="Q67" s="10"/>
      <c r="R67" s="10"/>
      <c r="S67" s="10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94">
        <f t="shared" ca="1" si="182"/>
        <v>0</v>
      </c>
      <c r="AT67" s="95" t="str" cm="1">
        <f t="array" ref="AT67">IFERROR(INDEX(AJ67:AR67,1,MATCH(2,1/(AJ67:AR67&lt;&gt;""))),"")</f>
        <v/>
      </c>
      <c r="AU67" s="97" t="str">
        <f t="shared" si="183"/>
        <v/>
      </c>
      <c r="AW67" s="51">
        <f t="shared" si="184"/>
        <v>0</v>
      </c>
      <c r="AX67" s="51">
        <f t="shared" si="185"/>
        <v>0</v>
      </c>
      <c r="AY67" s="51">
        <f t="shared" si="186"/>
        <v>0</v>
      </c>
      <c r="AZ67" s="51">
        <f t="shared" si="187"/>
        <v>0</v>
      </c>
      <c r="BA67" s="51"/>
      <c r="BB67" s="51"/>
      <c r="BC67" s="51"/>
      <c r="BD67" s="51"/>
      <c r="BE67" s="51"/>
      <c r="BF67" s="51"/>
      <c r="BG67" s="51"/>
      <c r="BH67" s="51"/>
      <c r="BI67" s="65" cm="1">
        <f t="array" ref="BI67">IFERROR(INDEX(AW67:BH67,1,MATCH(2,1/(AW67:BH67&lt;&gt;""))),"")</f>
        <v>0</v>
      </c>
      <c r="BJ67" s="68" cm="1">
        <f t="array" ref="BJ67">IF(BM67 = "", "",IFERROR(INDEX(AW67:BH67,1,MATCH(2,1/(AW67:BH67&lt;&gt;""),1)-1),""))</f>
        <v>0</v>
      </c>
      <c r="BK67" s="58">
        <f>IF((IF(AW67&gt;=115%,115%,AW67) + IF(AX67&gt;=115%,115%,AX67) + IF(AY67&gt;=115%,115%,AY67) + (IF(AZ67&gt;=115%,115%,AZ67) + IF(BA67&gt;=115%,115%,BA67) + IF(BB67&gt;=115%,115%,BB67) + IF(BC67&gt;=115%,115%,BC67) + IF(BD67&gt;=115%,115%,BD67) + IF(BE67&gt;=115%,115%,BE67) + IF(BF67&gt;=115%,115%,BF67) + IF(BG67&gt;=115%,115%,BG67) + IF(BH67&gt;=115%,115%,BH67)))/_xlfn.XLOOKUP(F67,Apuração!A:A,Apuração!B:B)&gt;=1.15,1.15,((IF(AZ67&gt;=115%,115%,AZ67) + IF(AX67&gt;=115%,115%,AX67) + IF(AY67&gt;=115%,115%,AY67) + (IF(AW67&gt;=115%,115%,AW67) + IF(BA67&gt;=115%,115%,BA67) + IF(BB67&gt;=115%,115%,BB67) + IF(BC67&gt;=115%,115%,BC67) + IF(BD67&gt;=115%,115%,BD67) + IF(BE67&gt;=115%,115%,BE67) + IF(BF67&gt;=115%,115%,BF67) + IF(BG67&gt;=115%,115%,BG67) + IF(BH67&gt;=115%,115%,BH67)))/_xlfn.XLOOKUP(F67,Apuração!A:A,Apuração!B:B)))</f>
        <v>0</v>
      </c>
      <c r="BL67" s="58" cm="1">
        <f t="array" aca="1" ref="BL67" ca="1">IF(SUM(IFERROR(IF(INDEX(AW67:INDEX(AW67:BH67, MATCH(2, 1/(AW67:BH67&lt;&gt;""), 1)-1), ROW(INDIRECT("1:" &amp; MATCH(2, 1/(AW67:BH67&lt;&gt;""), 1)-1))) &gt;= 115%, 115%, INDEX(AW67:INDEX(AW67:BH67, MATCH(2, 1/(AW67:BH67&lt;&gt;""), 1)-1), ROW(INDIRECT("1:" &amp; MATCH(2, 1/(AW67:BH67&lt;&gt;""), 1)-1)))), 0))/_xlfn.XLOOKUP(F67,Apuração!A:A,Apuração!B:B)&gt;=1.15,1.15,SUM(IFERROR(IF(INDEX(AW67:INDEX(AW67:BH67, MATCH(2, 1/(AW67:BH67&lt;&gt;""), 1)-1), ROW(INDIRECT("1:" &amp; MATCH(2, 1/(AW67:BH67&lt;&gt;""), 1)-1))) &gt;= 115%, 115%, INDEX(AW67:INDEX(AW67:BH67, MATCH(2, 1/(AW67:BH67&lt;&gt;""), 1)-1), ROW(INDIRECT("1:" &amp; MATCH(2, 1/(AW67:BH67&lt;&gt;""), 1)-1)))), 0))/_xlfn.XLOOKUP(F67,Apuração!A:A,Apuração!B:B))</f>
        <v>0</v>
      </c>
      <c r="BM67" s="55" cm="1">
        <f t="array" ref="BM67">IFERROR(
   INDEX($AW$1:$BH$1,
      _xlfn.AGGREGATE(14, 6, COLUMN($AW$1:$BH$1)/(AW67:BH67&lt;&gt;""), 2) - COLUMN($AW$1) + 1
   ),
"")</f>
        <v>46082</v>
      </c>
      <c r="BN67" s="55" cm="1">
        <f t="array" ref="BN67">IFERROR(INDEX($AW$1:$BH$1,1,MATCH(2,1/(AW67:BH67&lt;&gt;""))),"")</f>
        <v>46113</v>
      </c>
      <c r="BO67" s="53">
        <f ca="1">IFERROR(_xlfn.XLOOKUP(F67,Apuração!A:A,Apuração!C:C)/_xlfn.XLOOKUP(F67,Apuração!A:A,Apuração!B:B),0)</f>
        <v>0</v>
      </c>
      <c r="BP67" s="53">
        <f ca="1">IFERROR(_xlfn.XLOOKUP(F67,Apuração!A:A,Apuração!D:D)/_xlfn.XLOOKUP(F67,Apuração!A:A,Apuração!B:B),0)</f>
        <v>0</v>
      </c>
      <c r="BQ67" s="53">
        <f ca="1">IF(BK67&gt;=BO67,0,_xlfn.XLOOKUP(F67,Apuração!A:A,Apuração!B:B)*(BO67 + (1/_xlfn.XLOOKUP(F67,Apuração!A:A,Apuração!B:B)) - BK67))</f>
        <v>0</v>
      </c>
      <c r="BR67" s="85">
        <f t="shared" ca="1" si="188"/>
        <v>0</v>
      </c>
      <c r="BS67" s="53">
        <f ca="1">IFERROR((_xlfn.XLOOKUP(F67,Apuração!A:A,Apuração!C:C)+1)/_xlfn.XLOOKUP(F67,Apuração!A:A,Apuração!B:B),0)</f>
        <v>0.14285714285714285</v>
      </c>
    </row>
    <row r="68" spans="1:71" ht="25.95" hidden="1" customHeight="1" x14ac:dyDescent="0.3">
      <c r="A68" s="20" t="s">
        <v>87</v>
      </c>
      <c r="B68" s="4" t="s">
        <v>88</v>
      </c>
      <c r="C68" s="5" t="s">
        <v>97</v>
      </c>
      <c r="D68" s="5" t="s">
        <v>103</v>
      </c>
      <c r="E68" s="4" t="s">
        <v>96</v>
      </c>
      <c r="F68" s="4" t="str" cm="1">
        <f t="array" ref="F68">_xlfn.IFS(
AG68 &lt;&gt; "", "Jan-Dez/26",
AH68 &lt;&gt; "", "Fev-Dez/26",
AI68 &lt;&gt; "", "Mar-Dez/26", AJ68 &lt;&gt; "", "Abr-Dez/26",
TRUE, "A partir de Junho"
)</f>
        <v>A partir de Junho</v>
      </c>
      <c r="G68" s="4" t="s">
        <v>62</v>
      </c>
      <c r="H68" s="7" t="s">
        <v>38</v>
      </c>
      <c r="I68" s="9" t="s">
        <v>89</v>
      </c>
      <c r="J68" s="21" t="str" cm="1">
        <f t="array" aca="1" ref="J68" ca="1">_xlfn.LET(
  _xlpm.actual_value_month, INDEX(T68:AE68, MATCH(DATE(YEAR(TODAY()), MONTH(TODAY()), 1), $T$1:$AE$1, 0)),
  IF(_xlpm.actual_value_month &lt;&gt; "",_xlpm.actual_value_month &amp; " ações mensais", "")
)</f>
        <v/>
      </c>
      <c r="K68" s="8" t="str" cm="1">
        <f t="array" ref="K68">_xlfn.LET(
    _xlpm.sum_month, SUM(T68:AE68),
    IF(_xlpm.sum_month = 0, "", _xlpm.sum_month &amp; " certificados gerados no ano")
)</f>
        <v/>
      </c>
      <c r="L68" s="4" t="s">
        <v>90</v>
      </c>
      <c r="M68" s="19"/>
      <c r="N68" s="5" t="s">
        <v>42</v>
      </c>
      <c r="O68" s="5"/>
      <c r="P68" s="10"/>
      <c r="Q68" s="10"/>
      <c r="R68" s="10"/>
      <c r="S68" s="10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94">
        <f t="shared" ca="1" si="182"/>
        <v>0</v>
      </c>
      <c r="AT68" s="95" t="str" cm="1">
        <f t="array" ref="AT68">IFERROR(INDEX(AJ68:AR68,1,MATCH(2,1/(AJ68:AR68&lt;&gt;""))),"")</f>
        <v/>
      </c>
      <c r="AU68" s="97" t="str">
        <f t="shared" si="183"/>
        <v/>
      </c>
      <c r="AW68" s="51">
        <f t="shared" si="184"/>
        <v>0</v>
      </c>
      <c r="AX68" s="51">
        <f t="shared" si="185"/>
        <v>0</v>
      </c>
      <c r="AY68" s="51">
        <f t="shared" si="186"/>
        <v>0</v>
      </c>
      <c r="AZ68" s="51">
        <f t="shared" si="187"/>
        <v>0</v>
      </c>
      <c r="BA68" s="51"/>
      <c r="BB68" s="51"/>
      <c r="BC68" s="51"/>
      <c r="BD68" s="51"/>
      <c r="BE68" s="51"/>
      <c r="BF68" s="51"/>
      <c r="BG68" s="51"/>
      <c r="BH68" s="51"/>
      <c r="BI68" s="65" cm="1">
        <f t="array" ref="BI68">IFERROR(INDEX(AW68:BH68,1,MATCH(2,1/(AW68:BH68&lt;&gt;""))),"")</f>
        <v>0</v>
      </c>
      <c r="BJ68" s="68" cm="1">
        <f t="array" ref="BJ68">IF(BM68 = "", "",IFERROR(INDEX(AW68:BH68,1,MATCH(2,1/(AW68:BH68&lt;&gt;""),1)-1),""))</f>
        <v>0</v>
      </c>
      <c r="BK68" s="58">
        <f>IF((IF(AW68&gt;=115%,115%,AW68) + IF(AX68&gt;=115%,115%,AX68) + IF(AY68&gt;=115%,115%,AY68) + (IF(AZ68&gt;=115%,115%,AZ68) + IF(BA68&gt;=115%,115%,BA68) + IF(BB68&gt;=115%,115%,BB68) + IF(BC68&gt;=115%,115%,BC68) + IF(BD68&gt;=115%,115%,BD68) + IF(BE68&gt;=115%,115%,BE68) + IF(BF68&gt;=115%,115%,BF68) + IF(BG68&gt;=115%,115%,BG68) + IF(BH68&gt;=115%,115%,BH68)))/_xlfn.XLOOKUP(F68,Apuração!A:A,Apuração!B:B)&gt;=1.15,1.15,((IF(AZ68&gt;=115%,115%,AZ68) + IF(AX68&gt;=115%,115%,AX68) + IF(AY68&gt;=115%,115%,AY68) + (IF(AW68&gt;=115%,115%,AW68) + IF(BA68&gt;=115%,115%,BA68) + IF(BB68&gt;=115%,115%,BB68) + IF(BC68&gt;=115%,115%,BC68) + IF(BD68&gt;=115%,115%,BD68) + IF(BE68&gt;=115%,115%,BE68) + IF(BF68&gt;=115%,115%,BF68) + IF(BG68&gt;=115%,115%,BG68) + IF(BH68&gt;=115%,115%,BH68)))/_xlfn.XLOOKUP(F68,Apuração!A:A,Apuração!B:B)))</f>
        <v>0</v>
      </c>
      <c r="BL68" s="58" cm="1">
        <f t="array" aca="1" ref="BL68" ca="1">IF(SUM(IFERROR(IF(INDEX(AW68:INDEX(AW68:BH68, MATCH(2, 1/(AW68:BH68&lt;&gt;""), 1)-1), ROW(INDIRECT("1:" &amp; MATCH(2, 1/(AW68:BH68&lt;&gt;""), 1)-1))) &gt;= 115%, 115%, INDEX(AW68:INDEX(AW68:BH68, MATCH(2, 1/(AW68:BH68&lt;&gt;""), 1)-1), ROW(INDIRECT("1:" &amp; MATCH(2, 1/(AW68:BH68&lt;&gt;""), 1)-1)))), 0))/_xlfn.XLOOKUP(F68,Apuração!A:A,Apuração!B:B)&gt;=1.15,1.15,SUM(IFERROR(IF(INDEX(AW68:INDEX(AW68:BH68, MATCH(2, 1/(AW68:BH68&lt;&gt;""), 1)-1), ROW(INDIRECT("1:" &amp; MATCH(2, 1/(AW68:BH68&lt;&gt;""), 1)-1))) &gt;= 115%, 115%, INDEX(AW68:INDEX(AW68:BH68, MATCH(2, 1/(AW68:BH68&lt;&gt;""), 1)-1), ROW(INDIRECT("1:" &amp; MATCH(2, 1/(AW68:BH68&lt;&gt;""), 1)-1)))), 0))/_xlfn.XLOOKUP(F68,Apuração!A:A,Apuração!B:B))</f>
        <v>0</v>
      </c>
      <c r="BM68" s="55" cm="1">
        <f t="array" ref="BM68">IFERROR(
   INDEX($AW$1:$BH$1,
      _xlfn.AGGREGATE(14, 6, COLUMN($AW$1:$BH$1)/(AW68:BH68&lt;&gt;""), 2) - COLUMN($AW$1) + 1
   ),
"")</f>
        <v>46082</v>
      </c>
      <c r="BN68" s="55" cm="1">
        <f t="array" ref="BN68">IFERROR(INDEX($AW$1:$BH$1,1,MATCH(2,1/(AW68:BH68&lt;&gt;""))),"")</f>
        <v>46113</v>
      </c>
      <c r="BO68" s="53">
        <f ca="1">IFERROR(_xlfn.XLOOKUP(F68,Apuração!A:A,Apuração!C:C)/_xlfn.XLOOKUP(F68,Apuração!A:A,Apuração!B:B),0)</f>
        <v>0</v>
      </c>
      <c r="BP68" s="53">
        <f ca="1">IFERROR(_xlfn.XLOOKUP(F68,Apuração!A:A,Apuração!D:D)/_xlfn.XLOOKUP(F68,Apuração!A:A,Apuração!B:B),0)</f>
        <v>0</v>
      </c>
      <c r="BQ68" s="53">
        <f ca="1">IF(BK68&gt;=BO68,0,_xlfn.XLOOKUP(F68,Apuração!A:A,Apuração!B:B)*(BO68 + (1/_xlfn.XLOOKUP(F68,Apuração!A:A,Apuração!B:B)) - BK68))</f>
        <v>0</v>
      </c>
      <c r="BR68" s="85">
        <f t="shared" ca="1" si="188"/>
        <v>0</v>
      </c>
      <c r="BS68" s="53">
        <f ca="1">IFERROR((_xlfn.XLOOKUP(F68,Apuração!A:A,Apuração!C:C)+1)/_xlfn.XLOOKUP(F68,Apuração!A:A,Apuração!B:B),0)</f>
        <v>0.14285714285714285</v>
      </c>
    </row>
    <row r="69" spans="1:71" ht="25.95" hidden="1" customHeight="1" x14ac:dyDescent="0.3">
      <c r="A69" s="20" t="s">
        <v>87</v>
      </c>
      <c r="B69" s="4" t="s">
        <v>88</v>
      </c>
      <c r="C69" s="5" t="s">
        <v>97</v>
      </c>
      <c r="D69" s="5" t="s">
        <v>104</v>
      </c>
      <c r="E69" s="4" t="s">
        <v>96</v>
      </c>
      <c r="F69" s="4" t="str" cm="1">
        <f t="array" ref="F69">_xlfn.IFS(
AG69 &lt;&gt; "", "Jan-Dez/26",
AH69 &lt;&gt; "", "Fev-Dez/26",
AI69 &lt;&gt; "", "Mar-Dez/26", AJ69 &lt;&gt; "", "Abr-Dez/26",
TRUE, "A partir de Junho"
)</f>
        <v>A partir de Junho</v>
      </c>
      <c r="G69" s="4" t="s">
        <v>62</v>
      </c>
      <c r="H69" s="7" t="s">
        <v>38</v>
      </c>
      <c r="I69" s="9" t="s">
        <v>89</v>
      </c>
      <c r="J69" s="21" t="str" cm="1">
        <f t="array" aca="1" ref="J69" ca="1">_xlfn.LET(
  _xlpm.actual_value_month, INDEX(T69:AE69, MATCH(DATE(YEAR(TODAY()), MONTH(TODAY()), 1), $T$1:$AE$1, 0)),
  IF(_xlpm.actual_value_month &lt;&gt; "",_xlpm.actual_value_month &amp; " ações mensais", "")
)</f>
        <v/>
      </c>
      <c r="K69" s="8" t="str" cm="1">
        <f t="array" ref="K69">_xlfn.LET(
    _xlpm.sum_month, SUM(T69:AE69),
    IF(_xlpm.sum_month = 0, "", _xlpm.sum_month &amp; " certificados gerados no ano")
)</f>
        <v/>
      </c>
      <c r="L69" s="4" t="s">
        <v>90</v>
      </c>
      <c r="M69" s="19"/>
      <c r="N69" s="5" t="s">
        <v>42</v>
      </c>
      <c r="O69" s="5"/>
      <c r="P69" s="10"/>
      <c r="Q69" s="10"/>
      <c r="R69" s="10"/>
      <c r="S69" s="10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94">
        <f t="shared" ca="1" si="182"/>
        <v>0</v>
      </c>
      <c r="AT69" s="95" t="str" cm="1">
        <f t="array" ref="AT69">IFERROR(INDEX(AJ69:AR69,1,MATCH(2,1/(AJ69:AR69&lt;&gt;""))),"")</f>
        <v/>
      </c>
      <c r="AU69" s="97" t="str">
        <f t="shared" si="183"/>
        <v/>
      </c>
      <c r="AW69" s="51">
        <f t="shared" si="184"/>
        <v>0</v>
      </c>
      <c r="AX69" s="51">
        <f t="shared" si="185"/>
        <v>0</v>
      </c>
      <c r="AY69" s="51">
        <f t="shared" si="186"/>
        <v>0</v>
      </c>
      <c r="AZ69" s="51">
        <f t="shared" si="187"/>
        <v>0</v>
      </c>
      <c r="BA69" s="51"/>
      <c r="BB69" s="51"/>
      <c r="BC69" s="51"/>
      <c r="BD69" s="51"/>
      <c r="BE69" s="51"/>
      <c r="BF69" s="51"/>
      <c r="BG69" s="51"/>
      <c r="BH69" s="51"/>
      <c r="BI69" s="65" cm="1">
        <f t="array" ref="BI69">IFERROR(INDEX(AW69:BH69,1,MATCH(2,1/(AW69:BH69&lt;&gt;""))),"")</f>
        <v>0</v>
      </c>
      <c r="BJ69" s="68" cm="1">
        <f t="array" ref="BJ69">IF(BM69 = "", "",IFERROR(INDEX(AW69:BH69,1,MATCH(2,1/(AW69:BH69&lt;&gt;""),1)-1),""))</f>
        <v>0</v>
      </c>
      <c r="BK69" s="58">
        <f>IF((IF(AW69&gt;=115%,115%,AW69) + IF(AX69&gt;=115%,115%,AX69) + IF(AY69&gt;=115%,115%,AY69) + (IF(AZ69&gt;=115%,115%,AZ69) + IF(BA69&gt;=115%,115%,BA69) + IF(BB69&gt;=115%,115%,BB69) + IF(BC69&gt;=115%,115%,BC69) + IF(BD69&gt;=115%,115%,BD69) + IF(BE69&gt;=115%,115%,BE69) + IF(BF69&gt;=115%,115%,BF69) + IF(BG69&gt;=115%,115%,BG69) + IF(BH69&gt;=115%,115%,BH69)))/_xlfn.XLOOKUP(F69,Apuração!A:A,Apuração!B:B)&gt;=1.15,1.15,((IF(AZ69&gt;=115%,115%,AZ69) + IF(AX69&gt;=115%,115%,AX69) + IF(AY69&gt;=115%,115%,AY69) + (IF(AW69&gt;=115%,115%,AW69) + IF(BA69&gt;=115%,115%,BA69) + IF(BB69&gt;=115%,115%,BB69) + IF(BC69&gt;=115%,115%,BC69) + IF(BD69&gt;=115%,115%,BD69) + IF(BE69&gt;=115%,115%,BE69) + IF(BF69&gt;=115%,115%,BF69) + IF(BG69&gt;=115%,115%,BG69) + IF(BH69&gt;=115%,115%,BH69)))/_xlfn.XLOOKUP(F69,Apuração!A:A,Apuração!B:B)))</f>
        <v>0</v>
      </c>
      <c r="BL69" s="58" cm="1">
        <f t="array" aca="1" ref="BL69" ca="1">IF(SUM(IFERROR(IF(INDEX(AW69:INDEX(AW69:BH69, MATCH(2, 1/(AW69:BH69&lt;&gt;""), 1)-1), ROW(INDIRECT("1:" &amp; MATCH(2, 1/(AW69:BH69&lt;&gt;""), 1)-1))) &gt;= 115%, 115%, INDEX(AW69:INDEX(AW69:BH69, MATCH(2, 1/(AW69:BH69&lt;&gt;""), 1)-1), ROW(INDIRECT("1:" &amp; MATCH(2, 1/(AW69:BH69&lt;&gt;""), 1)-1)))), 0))/_xlfn.XLOOKUP(F69,Apuração!A:A,Apuração!B:B)&gt;=1.15,1.15,SUM(IFERROR(IF(INDEX(AW69:INDEX(AW69:BH69, MATCH(2, 1/(AW69:BH69&lt;&gt;""), 1)-1), ROW(INDIRECT("1:" &amp; MATCH(2, 1/(AW69:BH69&lt;&gt;""), 1)-1))) &gt;= 115%, 115%, INDEX(AW69:INDEX(AW69:BH69, MATCH(2, 1/(AW69:BH69&lt;&gt;""), 1)-1), ROW(INDIRECT("1:" &amp; MATCH(2, 1/(AW69:BH69&lt;&gt;""), 1)-1)))), 0))/_xlfn.XLOOKUP(F69,Apuração!A:A,Apuração!B:B))</f>
        <v>0</v>
      </c>
      <c r="BM69" s="55" cm="1">
        <f t="array" ref="BM69">IFERROR(
   INDEX($AW$1:$BH$1,
      _xlfn.AGGREGATE(14, 6, COLUMN($AW$1:$BH$1)/(AW69:BH69&lt;&gt;""), 2) - COLUMN($AW$1) + 1
   ),
"")</f>
        <v>46082</v>
      </c>
      <c r="BN69" s="55" cm="1">
        <f t="array" ref="BN69">IFERROR(INDEX($AW$1:$BH$1,1,MATCH(2,1/(AW69:BH69&lt;&gt;""))),"")</f>
        <v>46113</v>
      </c>
      <c r="BO69" s="53">
        <f ca="1">IFERROR(_xlfn.XLOOKUP(F69,Apuração!A:A,Apuração!C:C)/_xlfn.XLOOKUP(F69,Apuração!A:A,Apuração!B:B),0)</f>
        <v>0</v>
      </c>
      <c r="BP69" s="53">
        <f ca="1">IFERROR(_xlfn.XLOOKUP(F69,Apuração!A:A,Apuração!D:D)/_xlfn.XLOOKUP(F69,Apuração!A:A,Apuração!B:B),0)</f>
        <v>0</v>
      </c>
      <c r="BQ69" s="53">
        <f ca="1">IF(BK69&gt;=BO69,0,_xlfn.XLOOKUP(F69,Apuração!A:A,Apuração!B:B)*(BO69 + (1/_xlfn.XLOOKUP(F69,Apuração!A:A,Apuração!B:B)) - BK69))</f>
        <v>0</v>
      </c>
      <c r="BR69" s="85">
        <f t="shared" ca="1" si="188"/>
        <v>0</v>
      </c>
      <c r="BS69" s="53">
        <f ca="1">IFERROR((_xlfn.XLOOKUP(F69,Apuração!A:A,Apuração!C:C)+1)/_xlfn.XLOOKUP(F69,Apuração!A:A,Apuração!B:B),0)</f>
        <v>0.14285714285714285</v>
      </c>
    </row>
    <row r="70" spans="1:71" ht="25.95" hidden="1" customHeight="1" x14ac:dyDescent="0.3">
      <c r="A70" s="20" t="s">
        <v>87</v>
      </c>
      <c r="B70" s="4" t="s">
        <v>88</v>
      </c>
      <c r="C70" s="5" t="s">
        <v>97</v>
      </c>
      <c r="D70" s="5" t="s">
        <v>105</v>
      </c>
      <c r="E70" s="4" t="s">
        <v>96</v>
      </c>
      <c r="F70" s="4" t="str" cm="1">
        <f t="array" ref="F70">_xlfn.IFS(
AG70 &lt;&gt; "", "Jan-Dez/26",
AH70 &lt;&gt; "", "Fev-Dez/26",
AI70 &lt;&gt; "", "Mar-Dez/26", AJ70 &lt;&gt; "", "Abr-Dez/26",
TRUE, "A partir de Junho"
)</f>
        <v>A partir de Junho</v>
      </c>
      <c r="G70" s="4" t="s">
        <v>62</v>
      </c>
      <c r="H70" s="7" t="s">
        <v>38</v>
      </c>
      <c r="I70" s="9" t="s">
        <v>89</v>
      </c>
      <c r="J70" s="21" t="str" cm="1">
        <f t="array" aca="1" ref="J70" ca="1">_xlfn.LET(
  _xlpm.actual_value_month, INDEX(T70:AE70, MATCH(DATE(YEAR(TODAY()), MONTH(TODAY()), 1), $T$1:$AE$1, 0)),
  IF(_xlpm.actual_value_month &lt;&gt; "",_xlpm.actual_value_month &amp; " ações mensais", "")
)</f>
        <v/>
      </c>
      <c r="K70" s="8" t="str" cm="1">
        <f t="array" ref="K70">_xlfn.LET(
    _xlpm.sum_month, SUM(T70:AE70),
    IF(_xlpm.sum_month = 0, "", _xlpm.sum_month &amp; " certificados gerados no ano")
)</f>
        <v/>
      </c>
      <c r="L70" s="4" t="s">
        <v>90</v>
      </c>
      <c r="M70" s="19"/>
      <c r="N70" s="5" t="s">
        <v>42</v>
      </c>
      <c r="O70" s="5"/>
      <c r="P70" s="10"/>
      <c r="Q70" s="10"/>
      <c r="R70" s="10"/>
      <c r="S70" s="10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94">
        <f t="shared" ca="1" si="182"/>
        <v>0</v>
      </c>
      <c r="AT70" s="95" t="str" cm="1">
        <f t="array" ref="AT70">IFERROR(INDEX(AJ70:AR70,1,MATCH(2,1/(AJ70:AR70&lt;&gt;""))),"")</f>
        <v/>
      </c>
      <c r="AU70" s="97" t="str">
        <f t="shared" si="183"/>
        <v/>
      </c>
      <c r="AW70" s="51">
        <f t="shared" si="184"/>
        <v>0</v>
      </c>
      <c r="AX70" s="51">
        <f t="shared" si="185"/>
        <v>0</v>
      </c>
      <c r="AY70" s="51">
        <f t="shared" si="186"/>
        <v>0</v>
      </c>
      <c r="AZ70" s="51">
        <f t="shared" si="187"/>
        <v>0</v>
      </c>
      <c r="BA70" s="51"/>
      <c r="BB70" s="51"/>
      <c r="BC70" s="51"/>
      <c r="BD70" s="51"/>
      <c r="BE70" s="51"/>
      <c r="BF70" s="51"/>
      <c r="BG70" s="51"/>
      <c r="BH70" s="51"/>
      <c r="BI70" s="65" cm="1">
        <f t="array" ref="BI70">IFERROR(INDEX(AW70:BH70,1,MATCH(2,1/(AW70:BH70&lt;&gt;""))),"")</f>
        <v>0</v>
      </c>
      <c r="BJ70" s="68" cm="1">
        <f t="array" ref="BJ70">IF(BM70 = "", "",IFERROR(INDEX(AW70:BH70,1,MATCH(2,1/(AW70:BH70&lt;&gt;""),1)-1),""))</f>
        <v>0</v>
      </c>
      <c r="BK70" s="58">
        <f>IF((IF(AW70&gt;=115%,115%,AW70) + IF(AX70&gt;=115%,115%,AX70) + IF(AY70&gt;=115%,115%,AY70) + (IF(AZ70&gt;=115%,115%,AZ70) + IF(BA70&gt;=115%,115%,BA70) + IF(BB70&gt;=115%,115%,BB70) + IF(BC70&gt;=115%,115%,BC70) + IF(BD70&gt;=115%,115%,BD70) + IF(BE70&gt;=115%,115%,BE70) + IF(BF70&gt;=115%,115%,BF70) + IF(BG70&gt;=115%,115%,BG70) + IF(BH70&gt;=115%,115%,BH70)))/_xlfn.XLOOKUP(F70,Apuração!A:A,Apuração!B:B)&gt;=1.15,1.15,((IF(AZ70&gt;=115%,115%,AZ70) + IF(AX70&gt;=115%,115%,AX70) + IF(AY70&gt;=115%,115%,AY70) + (IF(AW70&gt;=115%,115%,AW70) + IF(BA70&gt;=115%,115%,BA70) + IF(BB70&gt;=115%,115%,BB70) + IF(BC70&gt;=115%,115%,BC70) + IF(BD70&gt;=115%,115%,BD70) + IF(BE70&gt;=115%,115%,BE70) + IF(BF70&gt;=115%,115%,BF70) + IF(BG70&gt;=115%,115%,BG70) + IF(BH70&gt;=115%,115%,BH70)))/_xlfn.XLOOKUP(F70,Apuração!A:A,Apuração!B:B)))</f>
        <v>0</v>
      </c>
      <c r="BL70" s="58" cm="1">
        <f t="array" aca="1" ref="BL70" ca="1">IF(SUM(IFERROR(IF(INDEX(AW70:INDEX(AW70:BH70, MATCH(2, 1/(AW70:BH70&lt;&gt;""), 1)-1), ROW(INDIRECT("1:" &amp; MATCH(2, 1/(AW70:BH70&lt;&gt;""), 1)-1))) &gt;= 115%, 115%, INDEX(AW70:INDEX(AW70:BH70, MATCH(2, 1/(AW70:BH70&lt;&gt;""), 1)-1), ROW(INDIRECT("1:" &amp; MATCH(2, 1/(AW70:BH70&lt;&gt;""), 1)-1)))), 0))/_xlfn.XLOOKUP(F70,Apuração!A:A,Apuração!B:B)&gt;=1.15,1.15,SUM(IFERROR(IF(INDEX(AW70:INDEX(AW70:BH70, MATCH(2, 1/(AW70:BH70&lt;&gt;""), 1)-1), ROW(INDIRECT("1:" &amp; MATCH(2, 1/(AW70:BH70&lt;&gt;""), 1)-1))) &gt;= 115%, 115%, INDEX(AW70:INDEX(AW70:BH70, MATCH(2, 1/(AW70:BH70&lt;&gt;""), 1)-1), ROW(INDIRECT("1:" &amp; MATCH(2, 1/(AW70:BH70&lt;&gt;""), 1)-1)))), 0))/_xlfn.XLOOKUP(F70,Apuração!A:A,Apuração!B:B))</f>
        <v>0</v>
      </c>
      <c r="BM70" s="55" cm="1">
        <f t="array" ref="BM70">IFERROR(
   INDEX($AW$1:$BH$1,
      _xlfn.AGGREGATE(14, 6, COLUMN($AW$1:$BH$1)/(AW70:BH70&lt;&gt;""), 2) - COLUMN($AW$1) + 1
   ),
"")</f>
        <v>46082</v>
      </c>
      <c r="BN70" s="55" cm="1">
        <f t="array" ref="BN70">IFERROR(INDEX($AW$1:$BH$1,1,MATCH(2,1/(AW70:BH70&lt;&gt;""))),"")</f>
        <v>46113</v>
      </c>
      <c r="BO70" s="53">
        <f ca="1">IFERROR(_xlfn.XLOOKUP(F70,Apuração!A:A,Apuração!C:C)/_xlfn.XLOOKUP(F70,Apuração!A:A,Apuração!B:B),0)</f>
        <v>0</v>
      </c>
      <c r="BP70" s="53">
        <f ca="1">IFERROR(_xlfn.XLOOKUP(F70,Apuração!A:A,Apuração!D:D)/_xlfn.XLOOKUP(F70,Apuração!A:A,Apuração!B:B),0)</f>
        <v>0</v>
      </c>
      <c r="BQ70" s="53">
        <f ca="1">IF(BK70&gt;=BO70,0,_xlfn.XLOOKUP(F70,Apuração!A:A,Apuração!B:B)*(BO70 + (1/_xlfn.XLOOKUP(F70,Apuração!A:A,Apuração!B:B)) - BK70))</f>
        <v>0</v>
      </c>
      <c r="BR70" s="85">
        <f t="shared" ca="1" si="188"/>
        <v>0</v>
      </c>
      <c r="BS70" s="53">
        <f ca="1">IFERROR((_xlfn.XLOOKUP(F70,Apuração!A:A,Apuração!C:C)+1)/_xlfn.XLOOKUP(F70,Apuração!A:A,Apuração!B:B),0)</f>
        <v>0.14285714285714285</v>
      </c>
    </row>
    <row r="71" spans="1:71" ht="25.95" hidden="1" customHeight="1" x14ac:dyDescent="0.3">
      <c r="A71" s="20" t="s">
        <v>87</v>
      </c>
      <c r="B71" s="4" t="s">
        <v>88</v>
      </c>
      <c r="C71" s="5" t="s">
        <v>97</v>
      </c>
      <c r="D71" s="5" t="s">
        <v>106</v>
      </c>
      <c r="E71" s="4" t="s">
        <v>96</v>
      </c>
      <c r="F71" s="4" t="str" cm="1">
        <f t="array" ref="F71">_xlfn.IFS(
AG71 &lt;&gt; "", "Jan-Dez/26",
AH71 &lt;&gt; "", "Fev-Dez/26",
AI71 &lt;&gt; "", "Mar-Dez/26", AJ71 &lt;&gt; "", "Abr-Dez/26",
TRUE, "A partir de Junho"
)</f>
        <v>A partir de Junho</v>
      </c>
      <c r="G71" s="4" t="s">
        <v>62</v>
      </c>
      <c r="H71" s="7" t="s">
        <v>38</v>
      </c>
      <c r="I71" s="9" t="s">
        <v>89</v>
      </c>
      <c r="J71" s="21" t="str" cm="1">
        <f t="array" aca="1" ref="J71" ca="1">_xlfn.LET(
  _xlpm.actual_value_month, INDEX(T71:AE71, MATCH(DATE(YEAR(TODAY()), MONTH(TODAY()), 1), $T$1:$AE$1, 0)),
  IF(_xlpm.actual_value_month &lt;&gt; "",_xlpm.actual_value_month &amp; " ações mensais", "")
)</f>
        <v/>
      </c>
      <c r="K71" s="8" t="str" cm="1">
        <f t="array" ref="K71">_xlfn.LET(
    _xlpm.sum_month, SUM(T71:AE71),
    IF(_xlpm.sum_month = 0, "", _xlpm.sum_month &amp; " certificados gerados no ano")
)</f>
        <v/>
      </c>
      <c r="L71" s="4" t="s">
        <v>90</v>
      </c>
      <c r="M71" s="19"/>
      <c r="N71" s="5" t="s">
        <v>42</v>
      </c>
      <c r="O71" s="5"/>
      <c r="P71" s="10"/>
      <c r="Q71" s="10"/>
      <c r="R71" s="10"/>
      <c r="S71" s="10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94">
        <f t="shared" ca="1" si="182"/>
        <v>0</v>
      </c>
      <c r="AT71" s="95" t="str" cm="1">
        <f t="array" ref="AT71">IFERROR(INDEX(AJ71:AR71,1,MATCH(2,1/(AJ71:AR71&lt;&gt;""))),"")</f>
        <v/>
      </c>
      <c r="AU71" s="97" t="str">
        <f t="shared" si="183"/>
        <v/>
      </c>
      <c r="AW71" s="51">
        <f t="shared" si="184"/>
        <v>0</v>
      </c>
      <c r="AX71" s="51">
        <f t="shared" si="185"/>
        <v>0</v>
      </c>
      <c r="AY71" s="51">
        <f t="shared" si="186"/>
        <v>0</v>
      </c>
      <c r="AZ71" s="51">
        <f t="shared" si="187"/>
        <v>0</v>
      </c>
      <c r="BA71" s="51"/>
      <c r="BB71" s="51"/>
      <c r="BC71" s="51"/>
      <c r="BD71" s="51"/>
      <c r="BE71" s="51"/>
      <c r="BF71" s="51"/>
      <c r="BG71" s="51"/>
      <c r="BH71" s="51"/>
      <c r="BI71" s="65" cm="1">
        <f t="array" ref="BI71">IFERROR(INDEX(AW71:BH71,1,MATCH(2,1/(AW71:BH71&lt;&gt;""))),"")</f>
        <v>0</v>
      </c>
      <c r="BJ71" s="68" cm="1">
        <f t="array" ref="BJ71">IF(BM71 = "", "",IFERROR(INDEX(AW71:BH71,1,MATCH(2,1/(AW71:BH71&lt;&gt;""),1)-1),""))</f>
        <v>0</v>
      </c>
      <c r="BK71" s="58">
        <f>IF((IF(AW71&gt;=115%,115%,AW71) + IF(AX71&gt;=115%,115%,AX71) + IF(AY71&gt;=115%,115%,AY71) + (IF(AZ71&gt;=115%,115%,AZ71) + IF(BA71&gt;=115%,115%,BA71) + IF(BB71&gt;=115%,115%,BB71) + IF(BC71&gt;=115%,115%,BC71) + IF(BD71&gt;=115%,115%,BD71) + IF(BE71&gt;=115%,115%,BE71) + IF(BF71&gt;=115%,115%,BF71) + IF(BG71&gt;=115%,115%,BG71) + IF(BH71&gt;=115%,115%,BH71)))/_xlfn.XLOOKUP(F71,Apuração!A:A,Apuração!B:B)&gt;=1.15,1.15,((IF(AZ71&gt;=115%,115%,AZ71) + IF(AX71&gt;=115%,115%,AX71) + IF(AY71&gt;=115%,115%,AY71) + (IF(AW71&gt;=115%,115%,AW71) + IF(BA71&gt;=115%,115%,BA71) + IF(BB71&gt;=115%,115%,BB71) + IF(BC71&gt;=115%,115%,BC71) + IF(BD71&gt;=115%,115%,BD71) + IF(BE71&gt;=115%,115%,BE71) + IF(BF71&gt;=115%,115%,BF71) + IF(BG71&gt;=115%,115%,BG71) + IF(BH71&gt;=115%,115%,BH71)))/_xlfn.XLOOKUP(F71,Apuração!A:A,Apuração!B:B)))</f>
        <v>0</v>
      </c>
      <c r="BL71" s="58" cm="1">
        <f t="array" aca="1" ref="BL71" ca="1">IF(SUM(IFERROR(IF(INDEX(AW71:INDEX(AW71:BH71, MATCH(2, 1/(AW71:BH71&lt;&gt;""), 1)-1), ROW(INDIRECT("1:" &amp; MATCH(2, 1/(AW71:BH71&lt;&gt;""), 1)-1))) &gt;= 115%, 115%, INDEX(AW71:INDEX(AW71:BH71, MATCH(2, 1/(AW71:BH71&lt;&gt;""), 1)-1), ROW(INDIRECT("1:" &amp; MATCH(2, 1/(AW71:BH71&lt;&gt;""), 1)-1)))), 0))/_xlfn.XLOOKUP(F71,Apuração!A:A,Apuração!B:B)&gt;=1.15,1.15,SUM(IFERROR(IF(INDEX(AW71:INDEX(AW71:BH71, MATCH(2, 1/(AW71:BH71&lt;&gt;""), 1)-1), ROW(INDIRECT("1:" &amp; MATCH(2, 1/(AW71:BH71&lt;&gt;""), 1)-1))) &gt;= 115%, 115%, INDEX(AW71:INDEX(AW71:BH71, MATCH(2, 1/(AW71:BH71&lt;&gt;""), 1)-1), ROW(INDIRECT("1:" &amp; MATCH(2, 1/(AW71:BH71&lt;&gt;""), 1)-1)))), 0))/_xlfn.XLOOKUP(F71,Apuração!A:A,Apuração!B:B))</f>
        <v>0</v>
      </c>
      <c r="BM71" s="55" cm="1">
        <f t="array" ref="BM71">IFERROR(
   INDEX($AW$1:$BH$1,
      _xlfn.AGGREGATE(14, 6, COLUMN($AW$1:$BH$1)/(AW71:BH71&lt;&gt;""), 2) - COLUMN($AW$1) + 1
   ),
"")</f>
        <v>46082</v>
      </c>
      <c r="BN71" s="55" cm="1">
        <f t="array" ref="BN71">IFERROR(INDEX($AW$1:$BH$1,1,MATCH(2,1/(AW71:BH71&lt;&gt;""))),"")</f>
        <v>46113</v>
      </c>
      <c r="BO71" s="53">
        <f ca="1">IFERROR(_xlfn.XLOOKUP(F71,Apuração!A:A,Apuração!C:C)/_xlfn.XLOOKUP(F71,Apuração!A:A,Apuração!B:B),0)</f>
        <v>0</v>
      </c>
      <c r="BP71" s="53">
        <f ca="1">IFERROR(_xlfn.XLOOKUP(F71,Apuração!A:A,Apuração!D:D)/_xlfn.XLOOKUP(F71,Apuração!A:A,Apuração!B:B),0)</f>
        <v>0</v>
      </c>
      <c r="BQ71" s="53">
        <f ca="1">IF(BK71&gt;=BO71,0,_xlfn.XLOOKUP(F71,Apuração!A:A,Apuração!B:B)*(BO71 + (1/_xlfn.XLOOKUP(F71,Apuração!A:A,Apuração!B:B)) - BK71))</f>
        <v>0</v>
      </c>
      <c r="BR71" s="85">
        <f t="shared" ca="1" si="188"/>
        <v>0</v>
      </c>
      <c r="BS71" s="53">
        <f ca="1">IFERROR((_xlfn.XLOOKUP(F71,Apuração!A:A,Apuração!C:C)+1)/_xlfn.XLOOKUP(F71,Apuração!A:A,Apuração!B:B),0)</f>
        <v>0.14285714285714285</v>
      </c>
    </row>
    <row r="72" spans="1:71" ht="25.95" hidden="1" customHeight="1" x14ac:dyDescent="0.3">
      <c r="A72" s="20" t="s">
        <v>87</v>
      </c>
      <c r="B72" s="4" t="s">
        <v>88</v>
      </c>
      <c r="C72" s="5" t="s">
        <v>97</v>
      </c>
      <c r="D72" s="5" t="s">
        <v>107</v>
      </c>
      <c r="E72" s="4" t="s">
        <v>96</v>
      </c>
      <c r="F72" s="4" t="str" cm="1">
        <f t="array" ref="F72">_xlfn.IFS(
AG72 &lt;&gt; "", "Jan-Dez/26",
AH72 &lt;&gt; "", "Fev-Dez/26",
AI72 &lt;&gt; "", "Mar-Dez/26", AJ72 &lt;&gt; "", "Abr-Dez/26",
TRUE, "A partir de Junho"
)</f>
        <v>A partir de Junho</v>
      </c>
      <c r="G72" s="4" t="s">
        <v>62</v>
      </c>
      <c r="H72" s="7" t="s">
        <v>38</v>
      </c>
      <c r="I72" s="9" t="s">
        <v>89</v>
      </c>
      <c r="J72" s="21" t="str" cm="1">
        <f t="array" aca="1" ref="J72" ca="1">_xlfn.LET(
  _xlpm.actual_value_month, INDEX(T72:AE72, MATCH(DATE(YEAR(TODAY()), MONTH(TODAY()), 1), $T$1:$AE$1, 0)),
  IF(_xlpm.actual_value_month &lt;&gt; "",_xlpm.actual_value_month &amp; " ações mensais", "")
)</f>
        <v/>
      </c>
      <c r="K72" s="8" t="str" cm="1">
        <f t="array" ref="K72">_xlfn.LET(
    _xlpm.sum_month, SUM(T72:AE72),
    IF(_xlpm.sum_month = 0, "", _xlpm.sum_month &amp; " certificados gerados no ano")
)</f>
        <v/>
      </c>
      <c r="L72" s="4" t="s">
        <v>90</v>
      </c>
      <c r="M72" s="19"/>
      <c r="N72" s="5" t="s">
        <v>42</v>
      </c>
      <c r="O72" s="5"/>
      <c r="P72" s="10"/>
      <c r="Q72" s="10"/>
      <c r="R72" s="10"/>
      <c r="S72" s="10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94">
        <f t="shared" ca="1" si="182"/>
        <v>0</v>
      </c>
      <c r="AT72" s="95" t="str" cm="1">
        <f t="array" ref="AT72">IFERROR(INDEX(AJ72:AR72,1,MATCH(2,1/(AJ72:AR72&lt;&gt;""))),"")</f>
        <v/>
      </c>
      <c r="AU72" s="97" t="str">
        <f t="shared" si="183"/>
        <v/>
      </c>
      <c r="AW72" s="51">
        <f t="shared" si="184"/>
        <v>0</v>
      </c>
      <c r="AX72" s="51">
        <f t="shared" si="185"/>
        <v>0</v>
      </c>
      <c r="AY72" s="51">
        <f t="shared" si="186"/>
        <v>0</v>
      </c>
      <c r="AZ72" s="51">
        <f t="shared" si="187"/>
        <v>0</v>
      </c>
      <c r="BA72" s="51"/>
      <c r="BB72" s="51"/>
      <c r="BC72" s="51"/>
      <c r="BD72" s="51"/>
      <c r="BE72" s="51"/>
      <c r="BF72" s="51"/>
      <c r="BG72" s="51"/>
      <c r="BH72" s="51"/>
      <c r="BI72" s="65" cm="1">
        <f t="array" ref="BI72">IFERROR(INDEX(AW72:BH72,1,MATCH(2,1/(AW72:BH72&lt;&gt;""))),"")</f>
        <v>0</v>
      </c>
      <c r="BJ72" s="68" cm="1">
        <f t="array" ref="BJ72">IF(BM72 = "", "",IFERROR(INDEX(AW72:BH72,1,MATCH(2,1/(AW72:BH72&lt;&gt;""),1)-1),""))</f>
        <v>0</v>
      </c>
      <c r="BK72" s="58">
        <f>IF((IF(AW72&gt;=115%,115%,AW72) + IF(AX72&gt;=115%,115%,AX72) + IF(AY72&gt;=115%,115%,AY72) + (IF(AZ72&gt;=115%,115%,AZ72) + IF(BA72&gt;=115%,115%,BA72) + IF(BB72&gt;=115%,115%,BB72) + IF(BC72&gt;=115%,115%,BC72) + IF(BD72&gt;=115%,115%,BD72) + IF(BE72&gt;=115%,115%,BE72) + IF(BF72&gt;=115%,115%,BF72) + IF(BG72&gt;=115%,115%,BG72) + IF(BH72&gt;=115%,115%,BH72)))/_xlfn.XLOOKUP(F72,Apuração!A:A,Apuração!B:B)&gt;=1.15,1.15,((IF(AZ72&gt;=115%,115%,AZ72) + IF(AX72&gt;=115%,115%,AX72) + IF(AY72&gt;=115%,115%,AY72) + (IF(AW72&gt;=115%,115%,AW72) + IF(BA72&gt;=115%,115%,BA72) + IF(BB72&gt;=115%,115%,BB72) + IF(BC72&gt;=115%,115%,BC72) + IF(BD72&gt;=115%,115%,BD72) + IF(BE72&gt;=115%,115%,BE72) + IF(BF72&gt;=115%,115%,BF72) + IF(BG72&gt;=115%,115%,BG72) + IF(BH72&gt;=115%,115%,BH72)))/_xlfn.XLOOKUP(F72,Apuração!A:A,Apuração!B:B)))</f>
        <v>0</v>
      </c>
      <c r="BL72" s="58" cm="1">
        <f t="array" aca="1" ref="BL72" ca="1">IF(SUM(IFERROR(IF(INDEX(AW72:INDEX(AW72:BH72, MATCH(2, 1/(AW72:BH72&lt;&gt;""), 1)-1), ROW(INDIRECT("1:" &amp; MATCH(2, 1/(AW72:BH72&lt;&gt;""), 1)-1))) &gt;= 115%, 115%, INDEX(AW72:INDEX(AW72:BH72, MATCH(2, 1/(AW72:BH72&lt;&gt;""), 1)-1), ROW(INDIRECT("1:" &amp; MATCH(2, 1/(AW72:BH72&lt;&gt;""), 1)-1)))), 0))/_xlfn.XLOOKUP(F72,Apuração!A:A,Apuração!B:B)&gt;=1.15,1.15,SUM(IFERROR(IF(INDEX(AW72:INDEX(AW72:BH72, MATCH(2, 1/(AW72:BH72&lt;&gt;""), 1)-1), ROW(INDIRECT("1:" &amp; MATCH(2, 1/(AW72:BH72&lt;&gt;""), 1)-1))) &gt;= 115%, 115%, INDEX(AW72:INDEX(AW72:BH72, MATCH(2, 1/(AW72:BH72&lt;&gt;""), 1)-1), ROW(INDIRECT("1:" &amp; MATCH(2, 1/(AW72:BH72&lt;&gt;""), 1)-1)))), 0))/_xlfn.XLOOKUP(F72,Apuração!A:A,Apuração!B:B))</f>
        <v>0</v>
      </c>
      <c r="BM72" s="55" cm="1">
        <f t="array" ref="BM72">IFERROR(
   INDEX($AW$1:$BH$1,
      _xlfn.AGGREGATE(14, 6, COLUMN($AW$1:$BH$1)/(AW72:BH72&lt;&gt;""), 2) - COLUMN($AW$1) + 1
   ),
"")</f>
        <v>46082</v>
      </c>
      <c r="BN72" s="55" cm="1">
        <f t="array" ref="BN72">IFERROR(INDEX($AW$1:$BH$1,1,MATCH(2,1/(AW72:BH72&lt;&gt;""))),"")</f>
        <v>46113</v>
      </c>
      <c r="BO72" s="53">
        <f ca="1">IFERROR(_xlfn.XLOOKUP(F72,Apuração!A:A,Apuração!C:C)/_xlfn.XLOOKUP(F72,Apuração!A:A,Apuração!B:B),0)</f>
        <v>0</v>
      </c>
      <c r="BP72" s="53">
        <f ca="1">IFERROR(_xlfn.XLOOKUP(F72,Apuração!A:A,Apuração!D:D)/_xlfn.XLOOKUP(F72,Apuração!A:A,Apuração!B:B),0)</f>
        <v>0</v>
      </c>
      <c r="BQ72" s="53">
        <f ca="1">IF(BK72&gt;=BO72,0,_xlfn.XLOOKUP(F72,Apuração!A:A,Apuração!B:B)*(BO72 + (1/_xlfn.XLOOKUP(F72,Apuração!A:A,Apuração!B:B)) - BK72))</f>
        <v>0</v>
      </c>
      <c r="BR72" s="85">
        <f t="shared" ca="1" si="188"/>
        <v>0</v>
      </c>
      <c r="BS72" s="53">
        <f ca="1">IFERROR((_xlfn.XLOOKUP(F72,Apuração!A:A,Apuração!C:C)+1)/_xlfn.XLOOKUP(F72,Apuração!A:A,Apuração!B:B),0)</f>
        <v>0.14285714285714285</v>
      </c>
    </row>
    <row r="73" spans="1:71" ht="25.95" hidden="1" customHeight="1" x14ac:dyDescent="0.3">
      <c r="A73" s="40" t="s">
        <v>87</v>
      </c>
      <c r="B73" s="4" t="s">
        <v>88</v>
      </c>
      <c r="C73" s="5" t="s">
        <v>97</v>
      </c>
      <c r="D73" s="5" t="s">
        <v>36</v>
      </c>
      <c r="E73" s="4" t="s">
        <v>96</v>
      </c>
      <c r="F73" s="4" t="str" cm="1">
        <f t="array" ref="F73">_xlfn.IFS(
AG73 &lt;&gt; "", "Jan-Dez/26",
AH73 &lt;&gt; "", "Fev-Dez/26",
AI73 &lt;&gt; "", "Mar-Dez/26", AJ73 &lt;&gt; "", "Abr-Dez/26",
TRUE, "A partir de Junho"
)</f>
        <v>A partir de Junho</v>
      </c>
      <c r="G73" s="4" t="s">
        <v>62</v>
      </c>
      <c r="H73" s="7" t="s">
        <v>38</v>
      </c>
      <c r="I73" s="9" t="s">
        <v>91</v>
      </c>
      <c r="J73" s="21" t="str" cm="1">
        <f t="array" aca="1" ref="J73" ca="1">_xlfn.LET(
  _xlpm.actual_value_month, INDEX(T73:AE73, MATCH(DATE(YEAR(TODAY()), MONTH(TODAY()), 1), $T$1:$AE$1, 0)),
  IF(_xlpm.actual_value_month &lt;&gt; "",_xlpm.actual_value_month &amp; " ações mensais", "")
)</f>
        <v/>
      </c>
      <c r="K73" s="8" t="str" cm="1">
        <f t="array" ref="K73">_xlfn.LET(
    _xlpm.sum_month, SUM(T73:AE73),
    IF(_xlpm.sum_month = 0, "", _xlpm.sum_month &amp; " certificados gerados no ano")
)</f>
        <v/>
      </c>
      <c r="L73" s="4" t="s">
        <v>92</v>
      </c>
      <c r="M73" s="19"/>
      <c r="N73" s="5" t="s">
        <v>51</v>
      </c>
      <c r="O73" s="5"/>
      <c r="P73" s="10"/>
      <c r="Q73" s="10"/>
      <c r="R73" s="10"/>
      <c r="S73" s="10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94">
        <f t="shared" ca="1" si="159"/>
        <v>0</v>
      </c>
      <c r="AT73" s="95" t="str" cm="1">
        <f t="array" ref="AT73">IFERROR(INDEX(AJ73:AR73,1,MATCH(2,1/(AJ73:AR73&lt;&gt;""))),"")</f>
        <v/>
      </c>
      <c r="AU73" s="97" t="str">
        <f t="shared" si="160"/>
        <v/>
      </c>
      <c r="AW73" s="83">
        <f>AG73</f>
        <v>0</v>
      </c>
      <c r="AX73" s="83">
        <f t="shared" ref="AX73:AX91" si="189">AH73</f>
        <v>0</v>
      </c>
      <c r="AY73" s="83">
        <f t="shared" ref="AY73:AY91" si="190">AI73</f>
        <v>0</v>
      </c>
      <c r="AZ73" s="83">
        <f t="shared" ref="AZ73:BA91" si="191">AJ73</f>
        <v>0</v>
      </c>
      <c r="BA73" s="52"/>
      <c r="BB73" s="52"/>
      <c r="BC73" s="52"/>
      <c r="BD73" s="52"/>
      <c r="BE73" s="52"/>
      <c r="BF73" s="52"/>
      <c r="BG73" s="52"/>
      <c r="BH73" s="52"/>
      <c r="BI73" s="68" cm="1">
        <f t="array" ref="BI73">IFERROR(INDEX(AW73:BH73,1,MATCH(2,1/(AW73:BH73&lt;&gt;""))),"")</f>
        <v>0</v>
      </c>
      <c r="BJ73" s="68" cm="1">
        <f t="array" ref="BJ73">IF(BM73 = "", "",IFERROR(INDEX(AW73:BH73,1,MATCH(2,1/(AW73:BH73&lt;&gt;""),1)-1),""))</f>
        <v>0</v>
      </c>
      <c r="BK73" s="59">
        <f>SUM(AW73:BH73)</f>
        <v>0</v>
      </c>
      <c r="BL73" s="59" cm="1">
        <f t="array" ref="BL73">IFERROR(SUM(AW73:INDEX(AW73:BH73, MATCH(2, 1/(AW73:BH73&lt;&gt;""), 1) - 1))/_xlfn.XLOOKUP(F73,Apuração!A:A,Apuração!B:B),0)</f>
        <v>0</v>
      </c>
      <c r="BM73" s="55" cm="1">
        <f t="array" ref="BM73">IFERROR(
   INDEX($AW$1:$BH$1,
      _xlfn.AGGREGATE(14, 6, COLUMN($AW$1:$BH$1)/(AW73:BH73&lt;&gt;""), 2) - COLUMN($AW$1) + 1
   ),
"")</f>
        <v>46082</v>
      </c>
      <c r="BN73" s="55" cm="1">
        <f t="array" ref="BN73">IFERROR(INDEX($AW$1:$BH$1,1,MATCH(2,1/(AW73:BH73&lt;&gt;""))),"")</f>
        <v>46113</v>
      </c>
      <c r="BO73" s="53">
        <f ca="1">IFERROR(_xlfn.XLOOKUP(F73,Apuração!A:A,Apuração!C:C)/_xlfn.XLOOKUP(F73,Apuração!A:A,Apuração!B:B),0)</f>
        <v>0</v>
      </c>
      <c r="BP73" s="53">
        <f ca="1">IFERROR(_xlfn.XLOOKUP(F73,Apuração!A:A,Apuração!D:D)/_xlfn.XLOOKUP(F73,Apuração!A:A,Apuração!B:B),0)</f>
        <v>0</v>
      </c>
      <c r="BQ73" s="53">
        <f ca="1">IF(BK73&gt;=BO73,0,_xlfn.XLOOKUP(F73,Apuração!A:A,Apuração!B:B)*(BO73 + (1/_xlfn.XLOOKUP(F73,Apuração!A:A,Apuração!B:B)) - BK73))</f>
        <v>0</v>
      </c>
      <c r="BR73" s="85">
        <f t="shared" ca="1" si="2"/>
        <v>0</v>
      </c>
      <c r="BS73" s="53">
        <f ca="1">IFERROR((_xlfn.XLOOKUP(F73,Apuração!A:A,Apuração!C:C)+1)/_xlfn.XLOOKUP(F73,Apuração!A:A,Apuração!B:B),0)</f>
        <v>0.14285714285714285</v>
      </c>
    </row>
    <row r="74" spans="1:71" ht="25.95" hidden="1" customHeight="1" x14ac:dyDescent="0.3">
      <c r="A74" s="40" t="s">
        <v>87</v>
      </c>
      <c r="B74" s="4" t="s">
        <v>88</v>
      </c>
      <c r="C74" s="5" t="s">
        <v>97</v>
      </c>
      <c r="D74" s="5" t="s">
        <v>98</v>
      </c>
      <c r="E74" s="4" t="s">
        <v>96</v>
      </c>
      <c r="F74" s="4" t="str" cm="1">
        <f t="array" ref="F74">_xlfn.IFS(
AG74 &lt;&gt; "", "Jan-Dez/26",
AH74 &lt;&gt; "", "Fev-Dez/26",
AI74 &lt;&gt; "", "Mar-Dez/26", AJ74 &lt;&gt; "", "Abr-Dez/26",
TRUE, "A partir de Junho"
)</f>
        <v>A partir de Junho</v>
      </c>
      <c r="G74" s="4" t="s">
        <v>62</v>
      </c>
      <c r="H74" s="7" t="s">
        <v>38</v>
      </c>
      <c r="I74" s="9" t="s">
        <v>91</v>
      </c>
      <c r="J74" s="21" t="str" cm="1">
        <f t="array" aca="1" ref="J74" ca="1">_xlfn.LET(
  _xlpm.actual_value_month, INDEX(T74:AE74, MATCH(DATE(YEAR(TODAY()), MONTH(TODAY()), 1), $T$1:$AE$1, 0)),
  IF(_xlpm.actual_value_month &lt;&gt; "",_xlpm.actual_value_month &amp; " ações mensais", "")
)</f>
        <v/>
      </c>
      <c r="K74" s="8" t="str" cm="1">
        <f t="array" ref="K74">_xlfn.LET(
    _xlpm.sum_month, SUM(T74:AE74),
    IF(_xlpm.sum_month = 0, "", _xlpm.sum_month &amp; " certificados gerados no ano")
)</f>
        <v/>
      </c>
      <c r="L74" s="4" t="s">
        <v>92</v>
      </c>
      <c r="M74" s="19"/>
      <c r="N74" s="5" t="s">
        <v>51</v>
      </c>
      <c r="O74" s="5"/>
      <c r="P74" s="10"/>
      <c r="Q74" s="10"/>
      <c r="R74" s="10"/>
      <c r="S74" s="10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94">
        <f t="shared" ref="AS74:AS83" ca="1" si="192">AE74*BO74</f>
        <v>0</v>
      </c>
      <c r="AT74" s="95" t="str" cm="1">
        <f t="array" ref="AT74">IFERROR(INDEX(AJ74:AR74,1,MATCH(2,1/(AJ74:AR74&lt;&gt;""))),"")</f>
        <v/>
      </c>
      <c r="AU74" s="97" t="str">
        <f t="shared" ref="AU74:AU83" si="193">AT74</f>
        <v/>
      </c>
      <c r="AW74" s="83">
        <f t="shared" ref="AW74:AW83" si="194">AG74</f>
        <v>0</v>
      </c>
      <c r="AX74" s="83">
        <f t="shared" ref="AX74:AX83" si="195">AH74</f>
        <v>0</v>
      </c>
      <c r="AY74" s="83">
        <f t="shared" ref="AY74:AY83" si="196">AI74</f>
        <v>0</v>
      </c>
      <c r="AZ74" s="83">
        <f t="shared" ref="AZ74:AZ83" si="197">AJ74</f>
        <v>0</v>
      </c>
      <c r="BA74" s="52"/>
      <c r="BB74" s="52"/>
      <c r="BC74" s="52"/>
      <c r="BD74" s="52"/>
      <c r="BE74" s="52"/>
      <c r="BF74" s="52"/>
      <c r="BG74" s="52"/>
      <c r="BH74" s="52"/>
      <c r="BI74" s="68" cm="1">
        <f t="array" ref="BI74">IFERROR(INDEX(AW74:BH74,1,MATCH(2,1/(AW74:BH74&lt;&gt;""))),"")</f>
        <v>0</v>
      </c>
      <c r="BJ74" s="68" cm="1">
        <f t="array" ref="BJ74">IF(BM74 = "", "",IFERROR(INDEX(AW74:BH74,1,MATCH(2,1/(AW74:BH74&lt;&gt;""),1)-1),""))</f>
        <v>0</v>
      </c>
      <c r="BK74" s="59">
        <f t="shared" ref="BK74:BK83" si="198">SUM(AW74:BH74)</f>
        <v>0</v>
      </c>
      <c r="BL74" s="59" cm="1">
        <f t="array" ref="BL74">IFERROR(SUM(AW74:INDEX(AW74:BH74, MATCH(2, 1/(AW74:BH74&lt;&gt;""), 1) - 1))/_xlfn.XLOOKUP(F74,Apuração!A:A,Apuração!B:B),0)</f>
        <v>0</v>
      </c>
      <c r="BM74" s="55" cm="1">
        <f t="array" ref="BM74">IFERROR(
   INDEX($AW$1:$BH$1,
      _xlfn.AGGREGATE(14, 6, COLUMN($AW$1:$BH$1)/(AW74:BH74&lt;&gt;""), 2) - COLUMN($AW$1) + 1
   ),
"")</f>
        <v>46082</v>
      </c>
      <c r="BN74" s="55" cm="1">
        <f t="array" ref="BN74">IFERROR(INDEX($AW$1:$BH$1,1,MATCH(2,1/(AW74:BH74&lt;&gt;""))),"")</f>
        <v>46113</v>
      </c>
      <c r="BO74" s="53">
        <f ca="1">IFERROR(_xlfn.XLOOKUP(F74,Apuração!A:A,Apuração!C:C)/_xlfn.XLOOKUP(F74,Apuração!A:A,Apuração!B:B),0)</f>
        <v>0</v>
      </c>
      <c r="BP74" s="53">
        <f ca="1">IFERROR(_xlfn.XLOOKUP(F74,Apuração!A:A,Apuração!D:D)/_xlfn.XLOOKUP(F74,Apuração!A:A,Apuração!B:B),0)</f>
        <v>0</v>
      </c>
      <c r="BQ74" s="53">
        <f ca="1">IF(BK74&gt;=BO74,0,_xlfn.XLOOKUP(F74,Apuração!A:A,Apuração!B:B)*(BO74 + (1/_xlfn.XLOOKUP(F74,Apuração!A:A,Apuração!B:B)) - BK74))</f>
        <v>0</v>
      </c>
      <c r="BR74" s="85">
        <f t="shared" ref="BR74:BR83" ca="1" si="199">IF(BQ74=0,0,BQ74*Z74)</f>
        <v>0</v>
      </c>
      <c r="BS74" s="53">
        <f ca="1">IFERROR((_xlfn.XLOOKUP(F74,Apuração!A:A,Apuração!C:C)+1)/_xlfn.XLOOKUP(F74,Apuração!A:A,Apuração!B:B),0)</f>
        <v>0.14285714285714285</v>
      </c>
    </row>
    <row r="75" spans="1:71" ht="25.95" hidden="1" customHeight="1" x14ac:dyDescent="0.3">
      <c r="A75" s="40" t="s">
        <v>87</v>
      </c>
      <c r="B75" s="4" t="s">
        <v>88</v>
      </c>
      <c r="C75" s="5" t="s">
        <v>97</v>
      </c>
      <c r="D75" s="5" t="s">
        <v>99</v>
      </c>
      <c r="E75" s="4" t="s">
        <v>96</v>
      </c>
      <c r="F75" s="4" t="str" cm="1">
        <f t="array" ref="F75">_xlfn.IFS(
AG75 &lt;&gt; "", "Jan-Dez/26",
AH75 &lt;&gt; "", "Fev-Dez/26",
AI75 &lt;&gt; "", "Mar-Dez/26", AJ75 &lt;&gt; "", "Abr-Dez/26",
TRUE, "A partir de Junho"
)</f>
        <v>A partir de Junho</v>
      </c>
      <c r="G75" s="4" t="s">
        <v>62</v>
      </c>
      <c r="H75" s="7" t="s">
        <v>38</v>
      </c>
      <c r="I75" s="9" t="s">
        <v>91</v>
      </c>
      <c r="J75" s="21" t="str" cm="1">
        <f t="array" aca="1" ref="J75" ca="1">_xlfn.LET(
  _xlpm.actual_value_month, INDEX(T75:AE75, MATCH(DATE(YEAR(TODAY()), MONTH(TODAY()), 1), $T$1:$AE$1, 0)),
  IF(_xlpm.actual_value_month &lt;&gt; "",_xlpm.actual_value_month &amp; " ações mensais", "")
)</f>
        <v/>
      </c>
      <c r="K75" s="8" t="str" cm="1">
        <f t="array" ref="K75">_xlfn.LET(
    _xlpm.sum_month, SUM(T75:AE75),
    IF(_xlpm.sum_month = 0, "", _xlpm.sum_month &amp; " certificados gerados no ano")
)</f>
        <v/>
      </c>
      <c r="L75" s="4" t="s">
        <v>92</v>
      </c>
      <c r="M75" s="19"/>
      <c r="N75" s="5" t="s">
        <v>51</v>
      </c>
      <c r="O75" s="5"/>
      <c r="P75" s="10"/>
      <c r="Q75" s="10"/>
      <c r="R75" s="10"/>
      <c r="S75" s="10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94">
        <f t="shared" ca="1" si="192"/>
        <v>0</v>
      </c>
      <c r="AT75" s="95" t="str" cm="1">
        <f t="array" ref="AT75">IFERROR(INDEX(AJ75:AR75,1,MATCH(2,1/(AJ75:AR75&lt;&gt;""))),"")</f>
        <v/>
      </c>
      <c r="AU75" s="97" t="str">
        <f t="shared" si="193"/>
        <v/>
      </c>
      <c r="AW75" s="83">
        <f t="shared" si="194"/>
        <v>0</v>
      </c>
      <c r="AX75" s="83">
        <f t="shared" si="195"/>
        <v>0</v>
      </c>
      <c r="AY75" s="83">
        <f t="shared" si="196"/>
        <v>0</v>
      </c>
      <c r="AZ75" s="83">
        <f t="shared" si="197"/>
        <v>0</v>
      </c>
      <c r="BA75" s="52"/>
      <c r="BB75" s="52"/>
      <c r="BC75" s="52"/>
      <c r="BD75" s="52"/>
      <c r="BE75" s="52"/>
      <c r="BF75" s="52"/>
      <c r="BG75" s="52"/>
      <c r="BH75" s="52"/>
      <c r="BI75" s="68" cm="1">
        <f t="array" ref="BI75">IFERROR(INDEX(AW75:BH75,1,MATCH(2,1/(AW75:BH75&lt;&gt;""))),"")</f>
        <v>0</v>
      </c>
      <c r="BJ75" s="68" cm="1">
        <f t="array" ref="BJ75">IF(BM75 = "", "",IFERROR(INDEX(AW75:BH75,1,MATCH(2,1/(AW75:BH75&lt;&gt;""),1)-1),""))</f>
        <v>0</v>
      </c>
      <c r="BK75" s="59">
        <f t="shared" si="198"/>
        <v>0</v>
      </c>
      <c r="BL75" s="59" cm="1">
        <f t="array" ref="BL75">IFERROR(SUM(AW75:INDEX(AW75:BH75, MATCH(2, 1/(AW75:BH75&lt;&gt;""), 1) - 1))/_xlfn.XLOOKUP(F75,Apuração!A:A,Apuração!B:B),0)</f>
        <v>0</v>
      </c>
      <c r="BM75" s="55" cm="1">
        <f t="array" ref="BM75">IFERROR(
   INDEX($AW$1:$BH$1,
      _xlfn.AGGREGATE(14, 6, COLUMN($AW$1:$BH$1)/(AW75:BH75&lt;&gt;""), 2) - COLUMN($AW$1) + 1
   ),
"")</f>
        <v>46082</v>
      </c>
      <c r="BN75" s="55" cm="1">
        <f t="array" ref="BN75">IFERROR(INDEX($AW$1:$BH$1,1,MATCH(2,1/(AW75:BH75&lt;&gt;""))),"")</f>
        <v>46113</v>
      </c>
      <c r="BO75" s="53">
        <f ca="1">IFERROR(_xlfn.XLOOKUP(F75,Apuração!A:A,Apuração!C:C)/_xlfn.XLOOKUP(F75,Apuração!A:A,Apuração!B:B),0)</f>
        <v>0</v>
      </c>
      <c r="BP75" s="53">
        <f ca="1">IFERROR(_xlfn.XLOOKUP(F75,Apuração!A:A,Apuração!D:D)/_xlfn.XLOOKUP(F75,Apuração!A:A,Apuração!B:B),0)</f>
        <v>0</v>
      </c>
      <c r="BQ75" s="53">
        <f ca="1">IF(BK75&gt;=BO75,0,_xlfn.XLOOKUP(F75,Apuração!A:A,Apuração!B:B)*(BO75 + (1/_xlfn.XLOOKUP(F75,Apuração!A:A,Apuração!B:B)) - BK75))</f>
        <v>0</v>
      </c>
      <c r="BR75" s="85">
        <f t="shared" ca="1" si="199"/>
        <v>0</v>
      </c>
      <c r="BS75" s="53">
        <f ca="1">IFERROR((_xlfn.XLOOKUP(F75,Apuração!A:A,Apuração!C:C)+1)/_xlfn.XLOOKUP(F75,Apuração!A:A,Apuração!B:B),0)</f>
        <v>0.14285714285714285</v>
      </c>
    </row>
    <row r="76" spans="1:71" ht="25.95" hidden="1" customHeight="1" x14ac:dyDescent="0.3">
      <c r="A76" s="40" t="s">
        <v>87</v>
      </c>
      <c r="B76" s="4" t="s">
        <v>88</v>
      </c>
      <c r="C76" s="5" t="s">
        <v>97</v>
      </c>
      <c r="D76" s="5" t="s">
        <v>100</v>
      </c>
      <c r="E76" s="4" t="s">
        <v>96</v>
      </c>
      <c r="F76" s="4" t="str" cm="1">
        <f t="array" ref="F76">_xlfn.IFS(
AG76 &lt;&gt; "", "Jan-Dez/26",
AH76 &lt;&gt; "", "Fev-Dez/26",
AI76 &lt;&gt; "", "Mar-Dez/26", AJ76 &lt;&gt; "", "Abr-Dez/26",
TRUE, "A partir de Junho"
)</f>
        <v>A partir de Junho</v>
      </c>
      <c r="G76" s="4" t="s">
        <v>62</v>
      </c>
      <c r="H76" s="7" t="s">
        <v>38</v>
      </c>
      <c r="I76" s="9" t="s">
        <v>91</v>
      </c>
      <c r="J76" s="21" t="str" cm="1">
        <f t="array" aca="1" ref="J76" ca="1">_xlfn.LET(
  _xlpm.actual_value_month, INDEX(T76:AE76, MATCH(DATE(YEAR(TODAY()), MONTH(TODAY()), 1), $T$1:$AE$1, 0)),
  IF(_xlpm.actual_value_month &lt;&gt; "",_xlpm.actual_value_month &amp; " ações mensais", "")
)</f>
        <v/>
      </c>
      <c r="K76" s="8" t="str" cm="1">
        <f t="array" ref="K76">_xlfn.LET(
    _xlpm.sum_month, SUM(T76:AE76),
    IF(_xlpm.sum_month = 0, "", _xlpm.sum_month &amp; " certificados gerados no ano")
)</f>
        <v/>
      </c>
      <c r="L76" s="4" t="s">
        <v>92</v>
      </c>
      <c r="M76" s="19"/>
      <c r="N76" s="5" t="s">
        <v>51</v>
      </c>
      <c r="O76" s="5"/>
      <c r="P76" s="10"/>
      <c r="Q76" s="10"/>
      <c r="R76" s="10"/>
      <c r="S76" s="10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94">
        <f t="shared" ca="1" si="192"/>
        <v>0</v>
      </c>
      <c r="AT76" s="95" t="str" cm="1">
        <f t="array" ref="AT76">IFERROR(INDEX(AJ76:AR76,1,MATCH(2,1/(AJ76:AR76&lt;&gt;""))),"")</f>
        <v/>
      </c>
      <c r="AU76" s="97" t="str">
        <f t="shared" si="193"/>
        <v/>
      </c>
      <c r="AW76" s="83">
        <f t="shared" si="194"/>
        <v>0</v>
      </c>
      <c r="AX76" s="83">
        <f t="shared" si="195"/>
        <v>0</v>
      </c>
      <c r="AY76" s="83">
        <f t="shared" si="196"/>
        <v>0</v>
      </c>
      <c r="AZ76" s="83">
        <f t="shared" si="197"/>
        <v>0</v>
      </c>
      <c r="BA76" s="52"/>
      <c r="BB76" s="52"/>
      <c r="BC76" s="52"/>
      <c r="BD76" s="52"/>
      <c r="BE76" s="52"/>
      <c r="BF76" s="52"/>
      <c r="BG76" s="52"/>
      <c r="BH76" s="52"/>
      <c r="BI76" s="68" cm="1">
        <f t="array" ref="BI76">IFERROR(INDEX(AW76:BH76,1,MATCH(2,1/(AW76:BH76&lt;&gt;""))),"")</f>
        <v>0</v>
      </c>
      <c r="BJ76" s="68" cm="1">
        <f t="array" ref="BJ76">IF(BM76 = "", "",IFERROR(INDEX(AW76:BH76,1,MATCH(2,1/(AW76:BH76&lt;&gt;""),1)-1),""))</f>
        <v>0</v>
      </c>
      <c r="BK76" s="59">
        <f t="shared" si="198"/>
        <v>0</v>
      </c>
      <c r="BL76" s="59" cm="1">
        <f t="array" ref="BL76">IFERROR(SUM(AW76:INDEX(AW76:BH76, MATCH(2, 1/(AW76:BH76&lt;&gt;""), 1) - 1))/_xlfn.XLOOKUP(F76,Apuração!A:A,Apuração!B:B),0)</f>
        <v>0</v>
      </c>
      <c r="BM76" s="55" cm="1">
        <f t="array" ref="BM76">IFERROR(
   INDEX($AW$1:$BH$1,
      _xlfn.AGGREGATE(14, 6, COLUMN($AW$1:$BH$1)/(AW76:BH76&lt;&gt;""), 2) - COLUMN($AW$1) + 1
   ),
"")</f>
        <v>46082</v>
      </c>
      <c r="BN76" s="55" cm="1">
        <f t="array" ref="BN76">IFERROR(INDEX($AW$1:$BH$1,1,MATCH(2,1/(AW76:BH76&lt;&gt;""))),"")</f>
        <v>46113</v>
      </c>
      <c r="BO76" s="53">
        <f ca="1">IFERROR(_xlfn.XLOOKUP(F76,Apuração!A:A,Apuração!C:C)/_xlfn.XLOOKUP(F76,Apuração!A:A,Apuração!B:B),0)</f>
        <v>0</v>
      </c>
      <c r="BP76" s="53">
        <f ca="1">IFERROR(_xlfn.XLOOKUP(F76,Apuração!A:A,Apuração!D:D)/_xlfn.XLOOKUP(F76,Apuração!A:A,Apuração!B:B),0)</f>
        <v>0</v>
      </c>
      <c r="BQ76" s="53">
        <f ca="1">IF(BK76&gt;=BO76,0,_xlfn.XLOOKUP(F76,Apuração!A:A,Apuração!B:B)*(BO76 + (1/_xlfn.XLOOKUP(F76,Apuração!A:A,Apuração!B:B)) - BK76))</f>
        <v>0</v>
      </c>
      <c r="BR76" s="85">
        <f t="shared" ca="1" si="199"/>
        <v>0</v>
      </c>
      <c r="BS76" s="53">
        <f ca="1">IFERROR((_xlfn.XLOOKUP(F76,Apuração!A:A,Apuração!C:C)+1)/_xlfn.XLOOKUP(F76,Apuração!A:A,Apuração!B:B),0)</f>
        <v>0.14285714285714285</v>
      </c>
    </row>
    <row r="77" spans="1:71" ht="25.95" hidden="1" customHeight="1" x14ac:dyDescent="0.3">
      <c r="A77" s="40" t="s">
        <v>87</v>
      </c>
      <c r="B77" s="4" t="s">
        <v>88</v>
      </c>
      <c r="C77" s="5" t="s">
        <v>97</v>
      </c>
      <c r="D77" s="5" t="s">
        <v>101</v>
      </c>
      <c r="E77" s="4" t="s">
        <v>96</v>
      </c>
      <c r="F77" s="4" t="str" cm="1">
        <f t="array" ref="F77">_xlfn.IFS(
AG77 &lt;&gt; "", "Jan-Dez/26",
AH77 &lt;&gt; "", "Fev-Dez/26",
AI77 &lt;&gt; "", "Mar-Dez/26", AJ77 &lt;&gt; "", "Abr-Dez/26",
TRUE, "A partir de Junho"
)</f>
        <v>A partir de Junho</v>
      </c>
      <c r="G77" s="4" t="s">
        <v>62</v>
      </c>
      <c r="H77" s="7" t="s">
        <v>38</v>
      </c>
      <c r="I77" s="9" t="s">
        <v>91</v>
      </c>
      <c r="J77" s="21" t="str" cm="1">
        <f t="array" aca="1" ref="J77" ca="1">_xlfn.LET(
  _xlpm.actual_value_month, INDEX(T77:AE77, MATCH(DATE(YEAR(TODAY()), MONTH(TODAY()), 1), $T$1:$AE$1, 0)),
  IF(_xlpm.actual_value_month &lt;&gt; "",_xlpm.actual_value_month &amp; " ações mensais", "")
)</f>
        <v/>
      </c>
      <c r="K77" s="8" t="str" cm="1">
        <f t="array" ref="K77">_xlfn.LET(
    _xlpm.sum_month, SUM(T77:AE77),
    IF(_xlpm.sum_month = 0, "", _xlpm.sum_month &amp; " certificados gerados no ano")
)</f>
        <v/>
      </c>
      <c r="L77" s="4" t="s">
        <v>92</v>
      </c>
      <c r="M77" s="19"/>
      <c r="N77" s="5" t="s">
        <v>51</v>
      </c>
      <c r="O77" s="5"/>
      <c r="P77" s="10"/>
      <c r="Q77" s="10"/>
      <c r="R77" s="10"/>
      <c r="S77" s="10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94">
        <f t="shared" ca="1" si="192"/>
        <v>0</v>
      </c>
      <c r="AT77" s="95" t="str" cm="1">
        <f t="array" ref="AT77">IFERROR(INDEX(AJ77:AR77,1,MATCH(2,1/(AJ77:AR77&lt;&gt;""))),"")</f>
        <v/>
      </c>
      <c r="AU77" s="97" t="str">
        <f t="shared" si="193"/>
        <v/>
      </c>
      <c r="AW77" s="83">
        <f t="shared" si="194"/>
        <v>0</v>
      </c>
      <c r="AX77" s="83">
        <f t="shared" si="195"/>
        <v>0</v>
      </c>
      <c r="AY77" s="83">
        <f t="shared" si="196"/>
        <v>0</v>
      </c>
      <c r="AZ77" s="83">
        <f t="shared" si="197"/>
        <v>0</v>
      </c>
      <c r="BA77" s="52"/>
      <c r="BB77" s="52"/>
      <c r="BC77" s="52"/>
      <c r="BD77" s="52"/>
      <c r="BE77" s="52"/>
      <c r="BF77" s="52"/>
      <c r="BG77" s="52"/>
      <c r="BH77" s="52"/>
      <c r="BI77" s="68" cm="1">
        <f t="array" ref="BI77">IFERROR(INDEX(AW77:BH77,1,MATCH(2,1/(AW77:BH77&lt;&gt;""))),"")</f>
        <v>0</v>
      </c>
      <c r="BJ77" s="68" cm="1">
        <f t="array" ref="BJ77">IF(BM77 = "", "",IFERROR(INDEX(AW77:BH77,1,MATCH(2,1/(AW77:BH77&lt;&gt;""),1)-1),""))</f>
        <v>0</v>
      </c>
      <c r="BK77" s="59">
        <f t="shared" si="198"/>
        <v>0</v>
      </c>
      <c r="BL77" s="59" cm="1">
        <f t="array" ref="BL77">IFERROR(SUM(AW77:INDEX(AW77:BH77, MATCH(2, 1/(AW77:BH77&lt;&gt;""), 1) - 1))/_xlfn.XLOOKUP(F77,Apuração!A:A,Apuração!B:B),0)</f>
        <v>0</v>
      </c>
      <c r="BM77" s="55" cm="1">
        <f t="array" ref="BM77">IFERROR(
   INDEX($AW$1:$BH$1,
      _xlfn.AGGREGATE(14, 6, COLUMN($AW$1:$BH$1)/(AW77:BH77&lt;&gt;""), 2) - COLUMN($AW$1) + 1
   ),
"")</f>
        <v>46082</v>
      </c>
      <c r="BN77" s="55" cm="1">
        <f t="array" ref="BN77">IFERROR(INDEX($AW$1:$BH$1,1,MATCH(2,1/(AW77:BH77&lt;&gt;""))),"")</f>
        <v>46113</v>
      </c>
      <c r="BO77" s="53">
        <f ca="1">IFERROR(_xlfn.XLOOKUP(F77,Apuração!A:A,Apuração!C:C)/_xlfn.XLOOKUP(F77,Apuração!A:A,Apuração!B:B),0)</f>
        <v>0</v>
      </c>
      <c r="BP77" s="53">
        <f ca="1">IFERROR(_xlfn.XLOOKUP(F77,Apuração!A:A,Apuração!D:D)/_xlfn.XLOOKUP(F77,Apuração!A:A,Apuração!B:B),0)</f>
        <v>0</v>
      </c>
      <c r="BQ77" s="53">
        <f ca="1">IF(BK77&gt;=BO77,0,_xlfn.XLOOKUP(F77,Apuração!A:A,Apuração!B:B)*(BO77 + (1/_xlfn.XLOOKUP(F77,Apuração!A:A,Apuração!B:B)) - BK77))</f>
        <v>0</v>
      </c>
      <c r="BR77" s="85">
        <f t="shared" ca="1" si="199"/>
        <v>0</v>
      </c>
      <c r="BS77" s="53">
        <f ca="1">IFERROR((_xlfn.XLOOKUP(F77,Apuração!A:A,Apuração!C:C)+1)/_xlfn.XLOOKUP(F77,Apuração!A:A,Apuração!B:B),0)</f>
        <v>0.14285714285714285</v>
      </c>
    </row>
    <row r="78" spans="1:71" ht="25.95" hidden="1" customHeight="1" x14ac:dyDescent="0.3">
      <c r="A78" s="40" t="s">
        <v>87</v>
      </c>
      <c r="B78" s="4" t="s">
        <v>88</v>
      </c>
      <c r="C78" s="5" t="s">
        <v>97</v>
      </c>
      <c r="D78" s="5" t="s">
        <v>102</v>
      </c>
      <c r="E78" s="4" t="s">
        <v>96</v>
      </c>
      <c r="F78" s="4" t="str" cm="1">
        <f t="array" ref="F78">_xlfn.IFS(
AG78 &lt;&gt; "", "Jan-Dez/26",
AH78 &lt;&gt; "", "Fev-Dez/26",
AI78 &lt;&gt; "", "Mar-Dez/26", AJ78 &lt;&gt; "", "Abr-Dez/26",
TRUE, "A partir de Junho"
)</f>
        <v>A partir de Junho</v>
      </c>
      <c r="G78" s="4" t="s">
        <v>62</v>
      </c>
      <c r="H78" s="7" t="s">
        <v>38</v>
      </c>
      <c r="I78" s="9" t="s">
        <v>91</v>
      </c>
      <c r="J78" s="21" t="str" cm="1">
        <f t="array" aca="1" ref="J78" ca="1">_xlfn.LET(
  _xlpm.actual_value_month, INDEX(T78:AE78, MATCH(DATE(YEAR(TODAY()), MONTH(TODAY()), 1), $T$1:$AE$1, 0)),
  IF(_xlpm.actual_value_month &lt;&gt; "",_xlpm.actual_value_month &amp; " ações mensais", "")
)</f>
        <v/>
      </c>
      <c r="K78" s="8" t="str" cm="1">
        <f t="array" ref="K78">_xlfn.LET(
    _xlpm.sum_month, SUM(T78:AE78),
    IF(_xlpm.sum_month = 0, "", _xlpm.sum_month &amp; " certificados gerados no ano")
)</f>
        <v/>
      </c>
      <c r="L78" s="4" t="s">
        <v>92</v>
      </c>
      <c r="M78" s="19"/>
      <c r="N78" s="5" t="s">
        <v>51</v>
      </c>
      <c r="O78" s="5"/>
      <c r="P78" s="10"/>
      <c r="Q78" s="10"/>
      <c r="R78" s="10"/>
      <c r="S78" s="10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94">
        <f t="shared" ca="1" si="192"/>
        <v>0</v>
      </c>
      <c r="AT78" s="95" t="str" cm="1">
        <f t="array" ref="AT78">IFERROR(INDEX(AJ78:AR78,1,MATCH(2,1/(AJ78:AR78&lt;&gt;""))),"")</f>
        <v/>
      </c>
      <c r="AU78" s="97" t="str">
        <f t="shared" si="193"/>
        <v/>
      </c>
      <c r="AW78" s="83">
        <f t="shared" si="194"/>
        <v>0</v>
      </c>
      <c r="AX78" s="83">
        <f t="shared" si="195"/>
        <v>0</v>
      </c>
      <c r="AY78" s="83">
        <f t="shared" si="196"/>
        <v>0</v>
      </c>
      <c r="AZ78" s="83">
        <f t="shared" si="197"/>
        <v>0</v>
      </c>
      <c r="BA78" s="52"/>
      <c r="BB78" s="52"/>
      <c r="BC78" s="52"/>
      <c r="BD78" s="52"/>
      <c r="BE78" s="52"/>
      <c r="BF78" s="52"/>
      <c r="BG78" s="52"/>
      <c r="BH78" s="52"/>
      <c r="BI78" s="68" cm="1">
        <f t="array" ref="BI78">IFERROR(INDEX(AW78:BH78,1,MATCH(2,1/(AW78:BH78&lt;&gt;""))),"")</f>
        <v>0</v>
      </c>
      <c r="BJ78" s="68" cm="1">
        <f t="array" ref="BJ78">IF(BM78 = "", "",IFERROR(INDEX(AW78:BH78,1,MATCH(2,1/(AW78:BH78&lt;&gt;""),1)-1),""))</f>
        <v>0</v>
      </c>
      <c r="BK78" s="59">
        <f t="shared" si="198"/>
        <v>0</v>
      </c>
      <c r="BL78" s="59" cm="1">
        <f t="array" ref="BL78">IFERROR(SUM(AW78:INDEX(AW78:BH78, MATCH(2, 1/(AW78:BH78&lt;&gt;""), 1) - 1))/_xlfn.XLOOKUP(F78,Apuração!A:A,Apuração!B:B),0)</f>
        <v>0</v>
      </c>
      <c r="BM78" s="55" cm="1">
        <f t="array" ref="BM78">IFERROR(
   INDEX($AW$1:$BH$1,
      _xlfn.AGGREGATE(14, 6, COLUMN($AW$1:$BH$1)/(AW78:BH78&lt;&gt;""), 2) - COLUMN($AW$1) + 1
   ),
"")</f>
        <v>46082</v>
      </c>
      <c r="BN78" s="55" cm="1">
        <f t="array" ref="BN78">IFERROR(INDEX($AW$1:$BH$1,1,MATCH(2,1/(AW78:BH78&lt;&gt;""))),"")</f>
        <v>46113</v>
      </c>
      <c r="BO78" s="53">
        <f ca="1">IFERROR(_xlfn.XLOOKUP(F78,Apuração!A:A,Apuração!C:C)/_xlfn.XLOOKUP(F78,Apuração!A:A,Apuração!B:B),0)</f>
        <v>0</v>
      </c>
      <c r="BP78" s="53">
        <f ca="1">IFERROR(_xlfn.XLOOKUP(F78,Apuração!A:A,Apuração!D:D)/_xlfn.XLOOKUP(F78,Apuração!A:A,Apuração!B:B),0)</f>
        <v>0</v>
      </c>
      <c r="BQ78" s="53">
        <f ca="1">IF(BK78&gt;=BO78,0,_xlfn.XLOOKUP(F78,Apuração!A:A,Apuração!B:B)*(BO78 + (1/_xlfn.XLOOKUP(F78,Apuração!A:A,Apuração!B:B)) - BK78))</f>
        <v>0</v>
      </c>
      <c r="BR78" s="85">
        <f t="shared" ca="1" si="199"/>
        <v>0</v>
      </c>
      <c r="BS78" s="53">
        <f ca="1">IFERROR((_xlfn.XLOOKUP(F78,Apuração!A:A,Apuração!C:C)+1)/_xlfn.XLOOKUP(F78,Apuração!A:A,Apuração!B:B),0)</f>
        <v>0.14285714285714285</v>
      </c>
    </row>
    <row r="79" spans="1:71" ht="25.95" hidden="1" customHeight="1" x14ac:dyDescent="0.3">
      <c r="A79" s="40" t="s">
        <v>87</v>
      </c>
      <c r="B79" s="4" t="s">
        <v>88</v>
      </c>
      <c r="C79" s="5" t="s">
        <v>97</v>
      </c>
      <c r="D79" s="5" t="s">
        <v>103</v>
      </c>
      <c r="E79" s="4" t="s">
        <v>96</v>
      </c>
      <c r="F79" s="4" t="str" cm="1">
        <f t="array" ref="F79">_xlfn.IFS(
AG79 &lt;&gt; "", "Jan-Dez/26",
AH79 &lt;&gt; "", "Fev-Dez/26",
AI79 &lt;&gt; "", "Mar-Dez/26", AJ79 &lt;&gt; "", "Abr-Dez/26",
TRUE, "A partir de Junho"
)</f>
        <v>A partir de Junho</v>
      </c>
      <c r="G79" s="4" t="s">
        <v>62</v>
      </c>
      <c r="H79" s="7" t="s">
        <v>38</v>
      </c>
      <c r="I79" s="9" t="s">
        <v>91</v>
      </c>
      <c r="J79" s="21" t="str" cm="1">
        <f t="array" aca="1" ref="J79" ca="1">_xlfn.LET(
  _xlpm.actual_value_month, INDEX(T79:AE79, MATCH(DATE(YEAR(TODAY()), MONTH(TODAY()), 1), $T$1:$AE$1, 0)),
  IF(_xlpm.actual_value_month &lt;&gt; "",_xlpm.actual_value_month &amp; " ações mensais", "")
)</f>
        <v/>
      </c>
      <c r="K79" s="8" t="str" cm="1">
        <f t="array" ref="K79">_xlfn.LET(
    _xlpm.sum_month, SUM(T79:AE79),
    IF(_xlpm.sum_month = 0, "", _xlpm.sum_month &amp; " certificados gerados no ano")
)</f>
        <v/>
      </c>
      <c r="L79" s="4" t="s">
        <v>92</v>
      </c>
      <c r="M79" s="19"/>
      <c r="N79" s="5" t="s">
        <v>51</v>
      </c>
      <c r="O79" s="5"/>
      <c r="P79" s="10"/>
      <c r="Q79" s="10"/>
      <c r="R79" s="10"/>
      <c r="S79" s="10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94">
        <f t="shared" ca="1" si="192"/>
        <v>0</v>
      </c>
      <c r="AT79" s="95" t="str" cm="1">
        <f t="array" ref="AT79">IFERROR(INDEX(AJ79:AR79,1,MATCH(2,1/(AJ79:AR79&lt;&gt;""))),"")</f>
        <v/>
      </c>
      <c r="AU79" s="97" t="str">
        <f t="shared" si="193"/>
        <v/>
      </c>
      <c r="AW79" s="83">
        <f t="shared" si="194"/>
        <v>0</v>
      </c>
      <c r="AX79" s="83">
        <f t="shared" si="195"/>
        <v>0</v>
      </c>
      <c r="AY79" s="83">
        <f t="shared" si="196"/>
        <v>0</v>
      </c>
      <c r="AZ79" s="83">
        <f t="shared" si="197"/>
        <v>0</v>
      </c>
      <c r="BA79" s="52"/>
      <c r="BB79" s="52"/>
      <c r="BC79" s="52"/>
      <c r="BD79" s="52"/>
      <c r="BE79" s="52"/>
      <c r="BF79" s="52"/>
      <c r="BG79" s="52"/>
      <c r="BH79" s="52"/>
      <c r="BI79" s="68" cm="1">
        <f t="array" ref="BI79">IFERROR(INDEX(AW79:BH79,1,MATCH(2,1/(AW79:BH79&lt;&gt;""))),"")</f>
        <v>0</v>
      </c>
      <c r="BJ79" s="68" cm="1">
        <f t="array" ref="BJ79">IF(BM79 = "", "",IFERROR(INDEX(AW79:BH79,1,MATCH(2,1/(AW79:BH79&lt;&gt;""),1)-1),""))</f>
        <v>0</v>
      </c>
      <c r="BK79" s="59">
        <f t="shared" si="198"/>
        <v>0</v>
      </c>
      <c r="BL79" s="59" cm="1">
        <f t="array" ref="BL79">IFERROR(SUM(AW79:INDEX(AW79:BH79, MATCH(2, 1/(AW79:BH79&lt;&gt;""), 1) - 1))/_xlfn.XLOOKUP(F79,Apuração!A:A,Apuração!B:B),0)</f>
        <v>0</v>
      </c>
      <c r="BM79" s="55" cm="1">
        <f t="array" ref="BM79">IFERROR(
   INDEX($AW$1:$BH$1,
      _xlfn.AGGREGATE(14, 6, COLUMN($AW$1:$BH$1)/(AW79:BH79&lt;&gt;""), 2) - COLUMN($AW$1) + 1
   ),
"")</f>
        <v>46082</v>
      </c>
      <c r="BN79" s="55" cm="1">
        <f t="array" ref="BN79">IFERROR(INDEX($AW$1:$BH$1,1,MATCH(2,1/(AW79:BH79&lt;&gt;""))),"")</f>
        <v>46113</v>
      </c>
      <c r="BO79" s="53">
        <f ca="1">IFERROR(_xlfn.XLOOKUP(F79,Apuração!A:A,Apuração!C:C)/_xlfn.XLOOKUP(F79,Apuração!A:A,Apuração!B:B),0)</f>
        <v>0</v>
      </c>
      <c r="BP79" s="53">
        <f ca="1">IFERROR(_xlfn.XLOOKUP(F79,Apuração!A:A,Apuração!D:D)/_xlfn.XLOOKUP(F79,Apuração!A:A,Apuração!B:B),0)</f>
        <v>0</v>
      </c>
      <c r="BQ79" s="53">
        <f ca="1">IF(BK79&gt;=BO79,0,_xlfn.XLOOKUP(F79,Apuração!A:A,Apuração!B:B)*(BO79 + (1/_xlfn.XLOOKUP(F79,Apuração!A:A,Apuração!B:B)) - BK79))</f>
        <v>0</v>
      </c>
      <c r="BR79" s="85">
        <f t="shared" ca="1" si="199"/>
        <v>0</v>
      </c>
      <c r="BS79" s="53">
        <f ca="1">IFERROR((_xlfn.XLOOKUP(F79,Apuração!A:A,Apuração!C:C)+1)/_xlfn.XLOOKUP(F79,Apuração!A:A,Apuração!B:B),0)</f>
        <v>0.14285714285714285</v>
      </c>
    </row>
    <row r="80" spans="1:71" ht="25.95" hidden="1" customHeight="1" x14ac:dyDescent="0.3">
      <c r="A80" s="40" t="s">
        <v>87</v>
      </c>
      <c r="B80" s="4" t="s">
        <v>88</v>
      </c>
      <c r="C80" s="5" t="s">
        <v>97</v>
      </c>
      <c r="D80" s="5" t="s">
        <v>104</v>
      </c>
      <c r="E80" s="4" t="s">
        <v>96</v>
      </c>
      <c r="F80" s="4" t="str" cm="1">
        <f t="array" ref="F80">_xlfn.IFS(
AG80 &lt;&gt; "", "Jan-Dez/26",
AH80 &lt;&gt; "", "Fev-Dez/26",
AI80 &lt;&gt; "", "Mar-Dez/26", AJ80 &lt;&gt; "", "Abr-Dez/26",
TRUE, "A partir de Junho"
)</f>
        <v>A partir de Junho</v>
      </c>
      <c r="G80" s="4" t="s">
        <v>62</v>
      </c>
      <c r="H80" s="7" t="s">
        <v>38</v>
      </c>
      <c r="I80" s="9" t="s">
        <v>91</v>
      </c>
      <c r="J80" s="21" t="str" cm="1">
        <f t="array" aca="1" ref="J80" ca="1">_xlfn.LET(
  _xlpm.actual_value_month, INDEX(T80:AE80, MATCH(DATE(YEAR(TODAY()), MONTH(TODAY()), 1), $T$1:$AE$1, 0)),
  IF(_xlpm.actual_value_month &lt;&gt; "",_xlpm.actual_value_month &amp; " ações mensais", "")
)</f>
        <v/>
      </c>
      <c r="K80" s="8" t="str" cm="1">
        <f t="array" ref="K80">_xlfn.LET(
    _xlpm.sum_month, SUM(T80:AE80),
    IF(_xlpm.sum_month = 0, "", _xlpm.sum_month &amp; " certificados gerados no ano")
)</f>
        <v/>
      </c>
      <c r="L80" s="4" t="s">
        <v>92</v>
      </c>
      <c r="M80" s="19"/>
      <c r="N80" s="5" t="s">
        <v>51</v>
      </c>
      <c r="O80" s="5"/>
      <c r="P80" s="10"/>
      <c r="Q80" s="10"/>
      <c r="R80" s="10"/>
      <c r="S80" s="10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94">
        <f t="shared" ca="1" si="192"/>
        <v>0</v>
      </c>
      <c r="AT80" s="95" t="str" cm="1">
        <f t="array" ref="AT80">IFERROR(INDEX(AJ80:AR80,1,MATCH(2,1/(AJ80:AR80&lt;&gt;""))),"")</f>
        <v/>
      </c>
      <c r="AU80" s="97" t="str">
        <f t="shared" si="193"/>
        <v/>
      </c>
      <c r="AW80" s="83">
        <f t="shared" si="194"/>
        <v>0</v>
      </c>
      <c r="AX80" s="83">
        <f t="shared" si="195"/>
        <v>0</v>
      </c>
      <c r="AY80" s="83">
        <f t="shared" si="196"/>
        <v>0</v>
      </c>
      <c r="AZ80" s="83">
        <f t="shared" si="197"/>
        <v>0</v>
      </c>
      <c r="BA80" s="52"/>
      <c r="BB80" s="52"/>
      <c r="BC80" s="52"/>
      <c r="BD80" s="52"/>
      <c r="BE80" s="52"/>
      <c r="BF80" s="52"/>
      <c r="BG80" s="52"/>
      <c r="BH80" s="52"/>
      <c r="BI80" s="68" cm="1">
        <f t="array" ref="BI80">IFERROR(INDEX(AW80:BH80,1,MATCH(2,1/(AW80:BH80&lt;&gt;""))),"")</f>
        <v>0</v>
      </c>
      <c r="BJ80" s="68" cm="1">
        <f t="array" ref="BJ80">IF(BM80 = "", "",IFERROR(INDEX(AW80:BH80,1,MATCH(2,1/(AW80:BH80&lt;&gt;""),1)-1),""))</f>
        <v>0</v>
      </c>
      <c r="BK80" s="59">
        <f t="shared" si="198"/>
        <v>0</v>
      </c>
      <c r="BL80" s="59" cm="1">
        <f t="array" ref="BL80">IFERROR(SUM(AW80:INDEX(AW80:BH80, MATCH(2, 1/(AW80:BH80&lt;&gt;""), 1) - 1))/_xlfn.XLOOKUP(F80,Apuração!A:A,Apuração!B:B),0)</f>
        <v>0</v>
      </c>
      <c r="BM80" s="55" cm="1">
        <f t="array" ref="BM80">IFERROR(
   INDEX($AW$1:$BH$1,
      _xlfn.AGGREGATE(14, 6, COLUMN($AW$1:$BH$1)/(AW80:BH80&lt;&gt;""), 2) - COLUMN($AW$1) + 1
   ),
"")</f>
        <v>46082</v>
      </c>
      <c r="BN80" s="55" cm="1">
        <f t="array" ref="BN80">IFERROR(INDEX($AW$1:$BH$1,1,MATCH(2,1/(AW80:BH80&lt;&gt;""))),"")</f>
        <v>46113</v>
      </c>
      <c r="BO80" s="53">
        <f ca="1">IFERROR(_xlfn.XLOOKUP(F80,Apuração!A:A,Apuração!C:C)/_xlfn.XLOOKUP(F80,Apuração!A:A,Apuração!B:B),0)</f>
        <v>0</v>
      </c>
      <c r="BP80" s="53">
        <f ca="1">IFERROR(_xlfn.XLOOKUP(F80,Apuração!A:A,Apuração!D:D)/_xlfn.XLOOKUP(F80,Apuração!A:A,Apuração!B:B),0)</f>
        <v>0</v>
      </c>
      <c r="BQ80" s="53">
        <f ca="1">IF(BK80&gt;=BO80,0,_xlfn.XLOOKUP(F80,Apuração!A:A,Apuração!B:B)*(BO80 + (1/_xlfn.XLOOKUP(F80,Apuração!A:A,Apuração!B:B)) - BK80))</f>
        <v>0</v>
      </c>
      <c r="BR80" s="85">
        <f t="shared" ca="1" si="199"/>
        <v>0</v>
      </c>
      <c r="BS80" s="53">
        <f ca="1">IFERROR((_xlfn.XLOOKUP(F80,Apuração!A:A,Apuração!C:C)+1)/_xlfn.XLOOKUP(F80,Apuração!A:A,Apuração!B:B),0)</f>
        <v>0.14285714285714285</v>
      </c>
    </row>
    <row r="81" spans="1:71" ht="25.95" hidden="1" customHeight="1" x14ac:dyDescent="0.3">
      <c r="A81" s="40" t="s">
        <v>87</v>
      </c>
      <c r="B81" s="4" t="s">
        <v>88</v>
      </c>
      <c r="C81" s="5" t="s">
        <v>97</v>
      </c>
      <c r="D81" s="5" t="s">
        <v>105</v>
      </c>
      <c r="E81" s="4" t="s">
        <v>96</v>
      </c>
      <c r="F81" s="4" t="str" cm="1">
        <f t="array" ref="F81">_xlfn.IFS(
AG81 &lt;&gt; "", "Jan-Dez/26",
AH81 &lt;&gt; "", "Fev-Dez/26",
AI81 &lt;&gt; "", "Mar-Dez/26", AJ81 &lt;&gt; "", "Abr-Dez/26",
TRUE, "A partir de Junho"
)</f>
        <v>A partir de Junho</v>
      </c>
      <c r="G81" s="4" t="s">
        <v>62</v>
      </c>
      <c r="H81" s="7" t="s">
        <v>38</v>
      </c>
      <c r="I81" s="9" t="s">
        <v>91</v>
      </c>
      <c r="J81" s="21" t="str" cm="1">
        <f t="array" aca="1" ref="J81" ca="1">_xlfn.LET(
  _xlpm.actual_value_month, INDEX(T81:AE81, MATCH(DATE(YEAR(TODAY()), MONTH(TODAY()), 1), $T$1:$AE$1, 0)),
  IF(_xlpm.actual_value_month &lt;&gt; "",_xlpm.actual_value_month &amp; " ações mensais", "")
)</f>
        <v/>
      </c>
      <c r="K81" s="8" t="str" cm="1">
        <f t="array" ref="K81">_xlfn.LET(
    _xlpm.sum_month, SUM(T81:AE81),
    IF(_xlpm.sum_month = 0, "", _xlpm.sum_month &amp; " certificados gerados no ano")
)</f>
        <v/>
      </c>
      <c r="L81" s="4" t="s">
        <v>92</v>
      </c>
      <c r="M81" s="19"/>
      <c r="N81" s="5" t="s">
        <v>51</v>
      </c>
      <c r="O81" s="5"/>
      <c r="P81" s="10"/>
      <c r="Q81" s="10"/>
      <c r="R81" s="10"/>
      <c r="S81" s="10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94">
        <f t="shared" ca="1" si="192"/>
        <v>0</v>
      </c>
      <c r="AT81" s="95" t="str" cm="1">
        <f t="array" ref="AT81">IFERROR(INDEX(AJ81:AR81,1,MATCH(2,1/(AJ81:AR81&lt;&gt;""))),"")</f>
        <v/>
      </c>
      <c r="AU81" s="97" t="str">
        <f t="shared" si="193"/>
        <v/>
      </c>
      <c r="AW81" s="83">
        <f t="shared" si="194"/>
        <v>0</v>
      </c>
      <c r="AX81" s="83">
        <f t="shared" si="195"/>
        <v>0</v>
      </c>
      <c r="AY81" s="83">
        <f t="shared" si="196"/>
        <v>0</v>
      </c>
      <c r="AZ81" s="83">
        <f t="shared" si="197"/>
        <v>0</v>
      </c>
      <c r="BA81" s="52"/>
      <c r="BB81" s="52"/>
      <c r="BC81" s="52"/>
      <c r="BD81" s="52"/>
      <c r="BE81" s="52"/>
      <c r="BF81" s="52"/>
      <c r="BG81" s="52"/>
      <c r="BH81" s="52"/>
      <c r="BI81" s="68" cm="1">
        <f t="array" ref="BI81">IFERROR(INDEX(AW81:BH81,1,MATCH(2,1/(AW81:BH81&lt;&gt;""))),"")</f>
        <v>0</v>
      </c>
      <c r="BJ81" s="68" cm="1">
        <f t="array" ref="BJ81">IF(BM81 = "", "",IFERROR(INDEX(AW81:BH81,1,MATCH(2,1/(AW81:BH81&lt;&gt;""),1)-1),""))</f>
        <v>0</v>
      </c>
      <c r="BK81" s="59">
        <f t="shared" si="198"/>
        <v>0</v>
      </c>
      <c r="BL81" s="59" cm="1">
        <f t="array" ref="BL81">IFERROR(SUM(AW81:INDEX(AW81:BH81, MATCH(2, 1/(AW81:BH81&lt;&gt;""), 1) - 1))/_xlfn.XLOOKUP(F81,Apuração!A:A,Apuração!B:B),0)</f>
        <v>0</v>
      </c>
      <c r="BM81" s="55" cm="1">
        <f t="array" ref="BM81">IFERROR(
   INDEX($AW$1:$BH$1,
      _xlfn.AGGREGATE(14, 6, COLUMN($AW$1:$BH$1)/(AW81:BH81&lt;&gt;""), 2) - COLUMN($AW$1) + 1
   ),
"")</f>
        <v>46082</v>
      </c>
      <c r="BN81" s="55" cm="1">
        <f t="array" ref="BN81">IFERROR(INDEX($AW$1:$BH$1,1,MATCH(2,1/(AW81:BH81&lt;&gt;""))),"")</f>
        <v>46113</v>
      </c>
      <c r="BO81" s="53">
        <f ca="1">IFERROR(_xlfn.XLOOKUP(F81,Apuração!A:A,Apuração!C:C)/_xlfn.XLOOKUP(F81,Apuração!A:A,Apuração!B:B),0)</f>
        <v>0</v>
      </c>
      <c r="BP81" s="53">
        <f ca="1">IFERROR(_xlfn.XLOOKUP(F81,Apuração!A:A,Apuração!D:D)/_xlfn.XLOOKUP(F81,Apuração!A:A,Apuração!B:B),0)</f>
        <v>0</v>
      </c>
      <c r="BQ81" s="53">
        <f ca="1">IF(BK81&gt;=BO81,0,_xlfn.XLOOKUP(F81,Apuração!A:A,Apuração!B:B)*(BO81 + (1/_xlfn.XLOOKUP(F81,Apuração!A:A,Apuração!B:B)) - BK81))</f>
        <v>0</v>
      </c>
      <c r="BR81" s="85">
        <f t="shared" ca="1" si="199"/>
        <v>0</v>
      </c>
      <c r="BS81" s="53">
        <f ca="1">IFERROR((_xlfn.XLOOKUP(F81,Apuração!A:A,Apuração!C:C)+1)/_xlfn.XLOOKUP(F81,Apuração!A:A,Apuração!B:B),0)</f>
        <v>0.14285714285714285</v>
      </c>
    </row>
    <row r="82" spans="1:71" ht="25.95" hidden="1" customHeight="1" x14ac:dyDescent="0.3">
      <c r="A82" s="40" t="s">
        <v>87</v>
      </c>
      <c r="B82" s="4" t="s">
        <v>88</v>
      </c>
      <c r="C82" s="5" t="s">
        <v>97</v>
      </c>
      <c r="D82" s="5" t="s">
        <v>106</v>
      </c>
      <c r="E82" s="4" t="s">
        <v>96</v>
      </c>
      <c r="F82" s="4" t="str" cm="1">
        <f t="array" ref="F82">_xlfn.IFS(
AG82 &lt;&gt; "", "Jan-Dez/26",
AH82 &lt;&gt; "", "Fev-Dez/26",
AI82 &lt;&gt; "", "Mar-Dez/26", AJ82 &lt;&gt; "", "Abr-Dez/26",
TRUE, "A partir de Junho"
)</f>
        <v>A partir de Junho</v>
      </c>
      <c r="G82" s="4" t="s">
        <v>62</v>
      </c>
      <c r="H82" s="7" t="s">
        <v>38</v>
      </c>
      <c r="I82" s="9" t="s">
        <v>91</v>
      </c>
      <c r="J82" s="21" t="str" cm="1">
        <f t="array" aca="1" ref="J82" ca="1">_xlfn.LET(
  _xlpm.actual_value_month, INDEX(T82:AE82, MATCH(DATE(YEAR(TODAY()), MONTH(TODAY()), 1), $T$1:$AE$1, 0)),
  IF(_xlpm.actual_value_month &lt;&gt; "",_xlpm.actual_value_month &amp; " ações mensais", "")
)</f>
        <v/>
      </c>
      <c r="K82" s="8" t="str" cm="1">
        <f t="array" ref="K82">_xlfn.LET(
    _xlpm.sum_month, SUM(T82:AE82),
    IF(_xlpm.sum_month = 0, "", _xlpm.sum_month &amp; " certificados gerados no ano")
)</f>
        <v/>
      </c>
      <c r="L82" s="4" t="s">
        <v>92</v>
      </c>
      <c r="M82" s="19"/>
      <c r="N82" s="5" t="s">
        <v>51</v>
      </c>
      <c r="O82" s="5"/>
      <c r="P82" s="10"/>
      <c r="Q82" s="10"/>
      <c r="R82" s="10"/>
      <c r="S82" s="10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94">
        <f t="shared" ca="1" si="192"/>
        <v>0</v>
      </c>
      <c r="AT82" s="95" t="str" cm="1">
        <f t="array" ref="AT82">IFERROR(INDEX(AJ82:AR82,1,MATCH(2,1/(AJ82:AR82&lt;&gt;""))),"")</f>
        <v/>
      </c>
      <c r="AU82" s="97" t="str">
        <f t="shared" si="193"/>
        <v/>
      </c>
      <c r="AW82" s="83">
        <f t="shared" si="194"/>
        <v>0</v>
      </c>
      <c r="AX82" s="83">
        <f t="shared" si="195"/>
        <v>0</v>
      </c>
      <c r="AY82" s="83">
        <f t="shared" si="196"/>
        <v>0</v>
      </c>
      <c r="AZ82" s="83">
        <f t="shared" si="197"/>
        <v>0</v>
      </c>
      <c r="BA82" s="52"/>
      <c r="BB82" s="52"/>
      <c r="BC82" s="52"/>
      <c r="BD82" s="52"/>
      <c r="BE82" s="52"/>
      <c r="BF82" s="52"/>
      <c r="BG82" s="52"/>
      <c r="BH82" s="52"/>
      <c r="BI82" s="68" cm="1">
        <f t="array" ref="BI82">IFERROR(INDEX(AW82:BH82,1,MATCH(2,1/(AW82:BH82&lt;&gt;""))),"")</f>
        <v>0</v>
      </c>
      <c r="BJ82" s="68" cm="1">
        <f t="array" ref="BJ82">IF(BM82 = "", "",IFERROR(INDEX(AW82:BH82,1,MATCH(2,1/(AW82:BH82&lt;&gt;""),1)-1),""))</f>
        <v>0</v>
      </c>
      <c r="BK82" s="59">
        <f t="shared" si="198"/>
        <v>0</v>
      </c>
      <c r="BL82" s="59" cm="1">
        <f t="array" ref="BL82">IFERROR(SUM(AW82:INDEX(AW82:BH82, MATCH(2, 1/(AW82:BH82&lt;&gt;""), 1) - 1))/_xlfn.XLOOKUP(F82,Apuração!A:A,Apuração!B:B),0)</f>
        <v>0</v>
      </c>
      <c r="BM82" s="55" cm="1">
        <f t="array" ref="BM82">IFERROR(
   INDEX($AW$1:$BH$1,
      _xlfn.AGGREGATE(14, 6, COLUMN($AW$1:$BH$1)/(AW82:BH82&lt;&gt;""), 2) - COLUMN($AW$1) + 1
   ),
"")</f>
        <v>46082</v>
      </c>
      <c r="BN82" s="55" cm="1">
        <f t="array" ref="BN82">IFERROR(INDEX($AW$1:$BH$1,1,MATCH(2,1/(AW82:BH82&lt;&gt;""))),"")</f>
        <v>46113</v>
      </c>
      <c r="BO82" s="53">
        <f ca="1">IFERROR(_xlfn.XLOOKUP(F82,Apuração!A:A,Apuração!C:C)/_xlfn.XLOOKUP(F82,Apuração!A:A,Apuração!B:B),0)</f>
        <v>0</v>
      </c>
      <c r="BP82" s="53">
        <f ca="1">IFERROR(_xlfn.XLOOKUP(F82,Apuração!A:A,Apuração!D:D)/_xlfn.XLOOKUP(F82,Apuração!A:A,Apuração!B:B),0)</f>
        <v>0</v>
      </c>
      <c r="BQ82" s="53">
        <f ca="1">IF(BK82&gt;=BO82,0,_xlfn.XLOOKUP(F82,Apuração!A:A,Apuração!B:B)*(BO82 + (1/_xlfn.XLOOKUP(F82,Apuração!A:A,Apuração!B:B)) - BK82))</f>
        <v>0</v>
      </c>
      <c r="BR82" s="85">
        <f t="shared" ca="1" si="199"/>
        <v>0</v>
      </c>
      <c r="BS82" s="53">
        <f ca="1">IFERROR((_xlfn.XLOOKUP(F82,Apuração!A:A,Apuração!C:C)+1)/_xlfn.XLOOKUP(F82,Apuração!A:A,Apuração!B:B),0)</f>
        <v>0.14285714285714285</v>
      </c>
    </row>
    <row r="83" spans="1:71" ht="25.95" hidden="1" customHeight="1" x14ac:dyDescent="0.3">
      <c r="A83" s="40" t="s">
        <v>87</v>
      </c>
      <c r="B83" s="4" t="s">
        <v>88</v>
      </c>
      <c r="C83" s="5" t="s">
        <v>97</v>
      </c>
      <c r="D83" s="5" t="s">
        <v>107</v>
      </c>
      <c r="E83" s="4" t="s">
        <v>96</v>
      </c>
      <c r="F83" s="4" t="str" cm="1">
        <f t="array" ref="F83">_xlfn.IFS(
AG83 &lt;&gt; "", "Jan-Dez/26",
AH83 &lt;&gt; "", "Fev-Dez/26",
AI83 &lt;&gt; "", "Mar-Dez/26", AJ83 &lt;&gt; "", "Abr-Dez/26",
TRUE, "A partir de Junho"
)</f>
        <v>A partir de Junho</v>
      </c>
      <c r="G83" s="4" t="s">
        <v>62</v>
      </c>
      <c r="H83" s="7" t="s">
        <v>38</v>
      </c>
      <c r="I83" s="9" t="s">
        <v>91</v>
      </c>
      <c r="J83" s="21" t="str" cm="1">
        <f t="array" aca="1" ref="J83" ca="1">_xlfn.LET(
  _xlpm.actual_value_month, INDEX(T83:AE83, MATCH(DATE(YEAR(TODAY()), MONTH(TODAY()), 1), $T$1:$AE$1, 0)),
  IF(_xlpm.actual_value_month &lt;&gt; "",_xlpm.actual_value_month &amp; " ações mensais", "")
)</f>
        <v/>
      </c>
      <c r="K83" s="8" t="str" cm="1">
        <f t="array" ref="K83">_xlfn.LET(
    _xlpm.sum_month, SUM(T83:AE83),
    IF(_xlpm.sum_month = 0, "", _xlpm.sum_month &amp; " certificados gerados no ano")
)</f>
        <v/>
      </c>
      <c r="L83" s="4" t="s">
        <v>92</v>
      </c>
      <c r="M83" s="19"/>
      <c r="N83" s="5" t="s">
        <v>51</v>
      </c>
      <c r="O83" s="5"/>
      <c r="P83" s="10"/>
      <c r="Q83" s="10"/>
      <c r="R83" s="10"/>
      <c r="S83" s="10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94">
        <f t="shared" ca="1" si="192"/>
        <v>0</v>
      </c>
      <c r="AT83" s="95" t="str" cm="1">
        <f t="array" ref="AT83">IFERROR(INDEX(AJ83:AR83,1,MATCH(2,1/(AJ83:AR83&lt;&gt;""))),"")</f>
        <v/>
      </c>
      <c r="AU83" s="97" t="str">
        <f t="shared" si="193"/>
        <v/>
      </c>
      <c r="AW83" s="83">
        <f t="shared" si="194"/>
        <v>0</v>
      </c>
      <c r="AX83" s="83">
        <f t="shared" si="195"/>
        <v>0</v>
      </c>
      <c r="AY83" s="83">
        <f t="shared" si="196"/>
        <v>0</v>
      </c>
      <c r="AZ83" s="83">
        <f t="shared" si="197"/>
        <v>0</v>
      </c>
      <c r="BA83" s="52"/>
      <c r="BB83" s="52"/>
      <c r="BC83" s="52"/>
      <c r="BD83" s="52"/>
      <c r="BE83" s="52"/>
      <c r="BF83" s="52"/>
      <c r="BG83" s="52"/>
      <c r="BH83" s="52"/>
      <c r="BI83" s="68" cm="1">
        <f t="array" ref="BI83">IFERROR(INDEX(AW83:BH83,1,MATCH(2,1/(AW83:BH83&lt;&gt;""))),"")</f>
        <v>0</v>
      </c>
      <c r="BJ83" s="68" cm="1">
        <f t="array" ref="BJ83">IF(BM83 = "", "",IFERROR(INDEX(AW83:BH83,1,MATCH(2,1/(AW83:BH83&lt;&gt;""),1)-1),""))</f>
        <v>0</v>
      </c>
      <c r="BK83" s="59">
        <f t="shared" si="198"/>
        <v>0</v>
      </c>
      <c r="BL83" s="59" cm="1">
        <f t="array" ref="BL83">IFERROR(SUM(AW83:INDEX(AW83:BH83, MATCH(2, 1/(AW83:BH83&lt;&gt;""), 1) - 1))/_xlfn.XLOOKUP(F83,Apuração!A:A,Apuração!B:B),0)</f>
        <v>0</v>
      </c>
      <c r="BM83" s="55" cm="1">
        <f t="array" ref="BM83">IFERROR(
   INDEX($AW$1:$BH$1,
      _xlfn.AGGREGATE(14, 6, COLUMN($AW$1:$BH$1)/(AW83:BH83&lt;&gt;""), 2) - COLUMN($AW$1) + 1
   ),
"")</f>
        <v>46082</v>
      </c>
      <c r="BN83" s="55" cm="1">
        <f t="array" ref="BN83">IFERROR(INDEX($AW$1:$BH$1,1,MATCH(2,1/(AW83:BH83&lt;&gt;""))),"")</f>
        <v>46113</v>
      </c>
      <c r="BO83" s="53">
        <f ca="1">IFERROR(_xlfn.XLOOKUP(F83,Apuração!A:A,Apuração!C:C)/_xlfn.XLOOKUP(F83,Apuração!A:A,Apuração!B:B),0)</f>
        <v>0</v>
      </c>
      <c r="BP83" s="53">
        <f ca="1">IFERROR(_xlfn.XLOOKUP(F83,Apuração!A:A,Apuração!D:D)/_xlfn.XLOOKUP(F83,Apuração!A:A,Apuração!B:B),0)</f>
        <v>0</v>
      </c>
      <c r="BQ83" s="53">
        <f ca="1">IF(BK83&gt;=BO83,0,_xlfn.XLOOKUP(F83,Apuração!A:A,Apuração!B:B)*(BO83 + (1/_xlfn.XLOOKUP(F83,Apuração!A:A,Apuração!B:B)) - BK83))</f>
        <v>0</v>
      </c>
      <c r="BR83" s="85">
        <f t="shared" ca="1" si="199"/>
        <v>0</v>
      </c>
      <c r="BS83" s="53">
        <f ca="1">IFERROR((_xlfn.XLOOKUP(F83,Apuração!A:A,Apuração!C:C)+1)/_xlfn.XLOOKUP(F83,Apuração!A:A,Apuração!B:B),0)</f>
        <v>0.14285714285714285</v>
      </c>
    </row>
    <row r="84" spans="1:71" ht="25.95" hidden="1" customHeight="1" x14ac:dyDescent="0.3">
      <c r="A84" s="40" t="s">
        <v>87</v>
      </c>
      <c r="B84" s="4" t="s">
        <v>88</v>
      </c>
      <c r="C84" s="5" t="s">
        <v>97</v>
      </c>
      <c r="D84" s="5" t="s">
        <v>36</v>
      </c>
      <c r="E84" s="4" t="s">
        <v>96</v>
      </c>
      <c r="F84" s="4" t="str" cm="1">
        <f t="array" ref="F84">_xlfn.IFS(
AG84 &lt;&gt; "", "Jan-Dez/26",
AH84 &lt;&gt; "", "Fev-Dez/26",
AI84 &lt;&gt; "", "Mar-Dez/26", AJ84 &lt;&gt; "", "Abr-Dez/26",
TRUE, "A partir de Junho"
)</f>
        <v>A partir de Junho</v>
      </c>
      <c r="G84" s="4" t="s">
        <v>62</v>
      </c>
      <c r="H84" s="7" t="s">
        <v>38</v>
      </c>
      <c r="I84" s="9" t="s">
        <v>93</v>
      </c>
      <c r="J84" s="21" t="str" cm="1">
        <f t="array" aca="1" ref="J84" ca="1">_xlfn.LET(
  _xlpm.actual_value_month, INDEX(T84:AE84, MATCH(DATE(YEAR(TODAY()), MONTH(TODAY()), 1), $T$1:$AE$1, 0)),
  IF(_xlpm.actual_value_month &lt;&gt; "",_xlpm.actual_value_month &amp; " ações mensais", "")
)</f>
        <v/>
      </c>
      <c r="K84" s="8" t="str" cm="1">
        <f t="array" ref="K84">_xlfn.LET(
    _xlpm.sum_month, SUM(T84:AE84),
    IF(_xlpm.sum_month = 0, "", _xlpm.sum_month &amp; " certificados gerados no ano")
)</f>
        <v/>
      </c>
      <c r="L84" s="4" t="s">
        <v>94</v>
      </c>
      <c r="M84" s="19"/>
      <c r="N84" s="5" t="s">
        <v>51</v>
      </c>
      <c r="O84" s="5"/>
      <c r="P84" s="10"/>
      <c r="Q84" s="10"/>
      <c r="R84" s="10"/>
      <c r="S84" s="10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94">
        <f t="shared" ca="1" si="159"/>
        <v>0</v>
      </c>
      <c r="AT84" s="95" t="str" cm="1">
        <f t="array" ref="AT84">IFERROR(INDEX(AJ84:AR84,1,MATCH(2,1/(AJ84:AR84&lt;&gt;""))),"")</f>
        <v/>
      </c>
      <c r="AU84" s="97" t="str">
        <f t="shared" si="160"/>
        <v/>
      </c>
      <c r="AW84" s="83">
        <f t="shared" ref="AW84:AW91" si="200">AG84</f>
        <v>0</v>
      </c>
      <c r="AX84" s="83">
        <f t="shared" si="189"/>
        <v>0</v>
      </c>
      <c r="AY84" s="83">
        <f t="shared" si="190"/>
        <v>0</v>
      </c>
      <c r="AZ84" s="83">
        <f t="shared" si="191"/>
        <v>0</v>
      </c>
      <c r="BA84" s="51"/>
      <c r="BB84" s="51"/>
      <c r="BC84" s="51"/>
      <c r="BD84" s="51"/>
      <c r="BE84" s="51"/>
      <c r="BF84" s="51"/>
      <c r="BG84" s="51"/>
      <c r="BH84" s="51"/>
      <c r="BI84" s="65" cm="1">
        <f t="array" ref="BI84">IFERROR(INDEX(AW84:BH84,1,MATCH(2,1/(AW84:BH84&lt;&gt;""))),"")</f>
        <v>0</v>
      </c>
      <c r="BJ84" s="68" cm="1">
        <f t="array" ref="BJ84">IF(BM84 = "", "",IFERROR(INDEX(AW84:BH84,1,MATCH(2,1/(AW84:BH84&lt;&gt;""),1)-1),""))</f>
        <v>0</v>
      </c>
      <c r="BK84" s="58">
        <f>IF((IF(AW84&gt;=115%,115%,AW84) + IF(AX84&gt;=115%,115%,AX84) + IF(AY84&gt;=115%,115%,AY84) + (IF(AZ84&gt;=115%,115%,AZ84) + IF(BA84&gt;=115%,115%,BA84) + IF(BB84&gt;=115%,115%,BB84) + IF(BC84&gt;=115%,115%,BC84) + IF(BD84&gt;=115%,115%,BD84) + IF(BE84&gt;=115%,115%,BE84) + IF(BF84&gt;=115%,115%,BF84) + IF(BG84&gt;=115%,115%,BG84) + IF(BH84&gt;=115%,115%,BH84)))/_xlfn.XLOOKUP(F84,Apuração!A:A,Apuração!B:B)&gt;=1.15,1.15,((IF(AZ84&gt;=115%,115%,AZ84) + IF(AX84&gt;=115%,115%,AX84) + IF(AY84&gt;=115%,115%,AY84) + (IF(AW84&gt;=115%,115%,AW84) + IF(BA84&gt;=115%,115%,BA84) + IF(BB84&gt;=115%,115%,BB84) + IF(BC84&gt;=115%,115%,BC84) + IF(BD84&gt;=115%,115%,BD84) + IF(BE84&gt;=115%,115%,BE84) + IF(BF84&gt;=115%,115%,BF84) + IF(BG84&gt;=115%,115%,BG84) + IF(BH84&gt;=115%,115%,BH84)))/_xlfn.XLOOKUP(F84,Apuração!A:A,Apuração!B:B)))</f>
        <v>0</v>
      </c>
      <c r="BL84" s="58" cm="1">
        <f t="array" aca="1" ref="BL84" ca="1">IF(SUM(IFERROR(IF(INDEX(AW84:INDEX(AW84:BH84, MATCH(2, 1/(AW84:BH84&lt;&gt;""), 1)-1), ROW(INDIRECT("1:" &amp; MATCH(2, 1/(AW84:BH84&lt;&gt;""), 1)-1))) &gt;= 115%, 115%, INDEX(AW84:INDEX(AW84:BH84, MATCH(2, 1/(AW84:BH84&lt;&gt;""), 1)-1), ROW(INDIRECT("1:" &amp; MATCH(2, 1/(AW84:BH84&lt;&gt;""), 1)-1)))), 0))/_xlfn.XLOOKUP(F84,Apuração!A:A,Apuração!B:B)&gt;=1.15,1.15,SUM(IFERROR(IF(INDEX(AW84:INDEX(AW84:BH84, MATCH(2, 1/(AW84:BH84&lt;&gt;""), 1)-1), ROW(INDIRECT("1:" &amp; MATCH(2, 1/(AW84:BH84&lt;&gt;""), 1)-1))) &gt;= 115%, 115%, INDEX(AW84:INDEX(AW84:BH84, MATCH(2, 1/(AW84:BH84&lt;&gt;""), 1)-1), ROW(INDIRECT("1:" &amp; MATCH(2, 1/(AW84:BH84&lt;&gt;""), 1)-1)))), 0))/_xlfn.XLOOKUP(F84,Apuração!A:A,Apuração!B:B))</f>
        <v>0</v>
      </c>
      <c r="BM84" s="55" cm="1">
        <f t="array" ref="BM84">IFERROR(
   INDEX($AW$1:$BH$1,
      _xlfn.AGGREGATE(14, 6, COLUMN($AW$1:$BH$1)/(AW84:BH84&lt;&gt;""), 2) - COLUMN($AW$1) + 1
   ),
"")</f>
        <v>46082</v>
      </c>
      <c r="BN84" s="55" cm="1">
        <f t="array" ref="BN84">IFERROR(INDEX($AW$1:$BH$1,1,MATCH(2,1/(AW84:BH84&lt;&gt;""))),"")</f>
        <v>46113</v>
      </c>
      <c r="BO84" s="53">
        <f ca="1">IFERROR(_xlfn.XLOOKUP(F84,Apuração!A:A,Apuração!C:C)/_xlfn.XLOOKUP(F84,Apuração!A:A,Apuração!B:B),0)</f>
        <v>0</v>
      </c>
      <c r="BP84" s="53">
        <f ca="1">IFERROR(_xlfn.XLOOKUP(F84,Apuração!A:A,Apuração!D:D)/_xlfn.XLOOKUP(F84,Apuração!A:A,Apuração!B:B),0)</f>
        <v>0</v>
      </c>
      <c r="BQ84" s="53">
        <f ca="1">IF(BK84&gt;=BO84,0,_xlfn.XLOOKUP(F84,Apuração!A:A,Apuração!B:B)*(BO84 + (1/_xlfn.XLOOKUP(F84,Apuração!A:A,Apuração!B:B)) - BK84))</f>
        <v>0</v>
      </c>
      <c r="BR84" s="85">
        <f t="shared" ca="1" si="2"/>
        <v>0</v>
      </c>
      <c r="BS84" s="53">
        <f ca="1">IFERROR((_xlfn.XLOOKUP(F84,Apuração!A:A,Apuração!C:C)+1)/_xlfn.XLOOKUP(F84,Apuração!A:A,Apuração!B:B),0)</f>
        <v>0.14285714285714285</v>
      </c>
    </row>
    <row r="85" spans="1:71" ht="25.95" hidden="1" customHeight="1" x14ac:dyDescent="0.3">
      <c r="A85" s="70" t="s">
        <v>108</v>
      </c>
      <c r="B85" s="4" t="s">
        <v>109</v>
      </c>
      <c r="C85" s="5" t="s">
        <v>35</v>
      </c>
      <c r="D85" s="5" t="s">
        <v>36</v>
      </c>
      <c r="E85" s="4" t="s">
        <v>61</v>
      </c>
      <c r="F85" s="4" t="str" cm="1">
        <f t="array" ref="F85">_xlfn.IFS(
AG85 &lt;&gt; "", "Jan-Dez/26",
AH85 &lt;&gt; "", "Fev-Dez/26",
AI85 &lt;&gt; "", "Mar-Dez/26", AJ85 &lt;&gt; "", "Abr-Dez/26",
TRUE, "A partir de Junho"
)</f>
        <v>A partir de Junho</v>
      </c>
      <c r="G85" s="4" t="s">
        <v>62</v>
      </c>
      <c r="H85" s="7" t="s">
        <v>110</v>
      </c>
      <c r="I85" s="8"/>
      <c r="J85" s="8" t="str" cm="1">
        <f t="array" aca="1" ref="J85" ca="1">_xlfn.LET(
  _xlpm.actual_value_month, INDEX(T85:AE85, MATCH(DATE(YEAR(TODAY()), MONTH(TODAY()), 1), $T$1:$AE$1, 0)),
  IF(_xlpm.actual_value_month &lt;&gt; "",_xlpm.actual_value_month &amp; " ações mensais", "")
)</f>
        <v/>
      </c>
      <c r="K85" s="8" t="str" cm="1">
        <f t="array" ref="K85">_xlfn.LET(
    _xlpm.sum_month, SUM(T85:AE85),
    IF(_xlpm.sum_month = 0, "", _xlpm.sum_month &amp; " veículos com telemetria no ano")
)</f>
        <v/>
      </c>
      <c r="L85" s="9" t="s">
        <v>111</v>
      </c>
      <c r="M85" s="13">
        <v>1</v>
      </c>
      <c r="N85" s="5" t="s">
        <v>51</v>
      </c>
      <c r="O85" s="5" t="s">
        <v>52</v>
      </c>
      <c r="P85" s="10" t="s">
        <v>44</v>
      </c>
      <c r="Q85" s="10" t="s">
        <v>44</v>
      </c>
      <c r="R85" s="11" t="s">
        <v>44</v>
      </c>
      <c r="S85" s="11" t="s">
        <v>44</v>
      </c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94">
        <f ca="1">IF(MONTH(TODAY())=3,SUM(T85:U85),IF(MONTH(TODAY())=4,SUM(T85:V85),IF(MONTH(TODAY())=5,SUM(T85:W85),IF(MONTH(TODAY())=6,SUM(T85:X85),IF(MONTH(TODAY())=7,SUM(T85:Y85),IF(MONTH(TODAY())=8,SUM(T85:Z85),IF(MONTH(TODAY())=9,SUM(T85:AA85),IF(MONTH(TODAY())=10,SUM(T85:AB85),IF(MONTH(TODAY())=11,SUM(T85:AC85),IF(MONTH(TODAY())=12,SUM(T85:AD85),IF(MONTH(TODAY())=1,SUM(T85:AE85),T85)))))))))))</f>
        <v>0</v>
      </c>
      <c r="AT85" s="95">
        <f>SUM(AG85:AR85)</f>
        <v>0</v>
      </c>
      <c r="AU85" s="97">
        <f>SUM(AG85:AR85)</f>
        <v>0</v>
      </c>
      <c r="AW85" s="83">
        <f t="shared" si="200"/>
        <v>0</v>
      </c>
      <c r="AX85" s="83">
        <f t="shared" si="189"/>
        <v>0</v>
      </c>
      <c r="AY85" s="83">
        <f t="shared" si="190"/>
        <v>0</v>
      </c>
      <c r="AZ85" s="83">
        <f t="shared" si="191"/>
        <v>0</v>
      </c>
      <c r="BA85" s="83">
        <f t="shared" si="191"/>
        <v>0</v>
      </c>
      <c r="BB85" s="52"/>
      <c r="BC85" s="52"/>
      <c r="BD85" s="52"/>
      <c r="BE85" s="52"/>
      <c r="BF85" s="52"/>
      <c r="BG85" s="52"/>
      <c r="BH85" s="52"/>
      <c r="BI85" s="68" cm="1">
        <f t="array" ref="BI85">IFERROR(INDEX(AW85:BH85,1,MATCH(2,1/(AW85:BH85&lt;&gt;""))),"")</f>
        <v>0</v>
      </c>
      <c r="BJ85" s="68" cm="1">
        <f t="array" ref="BJ85">IF(BM85 = "", "",IFERROR(INDEX(AW85:BH85,1,MATCH(2,1/(AW85:BH85&lt;&gt;""),1)-1),""))</f>
        <v>0</v>
      </c>
      <c r="BK85" s="59">
        <f>SUM(AW85:BH85)</f>
        <v>0</v>
      </c>
      <c r="BL85" s="59" cm="1">
        <f t="array" ref="BL85">IFERROR(SUM(AW85:INDEX(AW85:BH85, MATCH(2, 1/(AW85:BH85&lt;&gt;""), 1) - 1)),0)</f>
        <v>0</v>
      </c>
      <c r="BM85" s="55" cm="1">
        <f t="array" ref="BM85">IFERROR(
   INDEX($AW$1:$BH$1,
      _xlfn.AGGREGATE(14, 6, COLUMN($AW$1:$BH$1)/(AW85:BH85&lt;&gt;""), 2) - COLUMN($AW$1) + 1
   ),
"")</f>
        <v>46113</v>
      </c>
      <c r="BN85" s="55" cm="1">
        <f t="array" ref="BN85">IFERROR(INDEX($AW$1:$BH$1,1,MATCH(2,1/(AW85:BH85&lt;&gt;""))),"")</f>
        <v>46143</v>
      </c>
      <c r="BO85" s="53">
        <f ca="1">IFERROR(_xlfn.XLOOKUP(F85,Apuração!A:A,Apuração!C:C)/_xlfn.XLOOKUP(F85,Apuração!A:A,Apuração!B:B),0)</f>
        <v>0</v>
      </c>
      <c r="BP85" s="53">
        <f ca="1">IFERROR(_xlfn.XLOOKUP(F85,Apuração!A:A,Apuração!D:D)/_xlfn.XLOOKUP(F85,Apuração!A:A,Apuração!B:B),0)</f>
        <v>0</v>
      </c>
      <c r="BQ85" s="53">
        <f ca="1">IF(BK85&gt;=BO85,0,_xlfn.XLOOKUP(F85,Apuração!A:A,Apuração!B:B)*(BO85 + (1/_xlfn.XLOOKUP(F85,Apuração!A:A,Apuração!B:B)) - BK85))</f>
        <v>0</v>
      </c>
      <c r="BR85" s="85">
        <f t="shared" ca="1" si="2"/>
        <v>0</v>
      </c>
      <c r="BS85" s="53">
        <f ca="1">IFERROR((_xlfn.XLOOKUP(F85,Apuração!A:A,Apuração!C:C)+1)/_xlfn.XLOOKUP(F85,Apuração!A:A,Apuração!B:B),0)</f>
        <v>0.14285714285714285</v>
      </c>
    </row>
    <row r="86" spans="1:71" ht="25.95" hidden="1" customHeight="1" x14ac:dyDescent="0.3">
      <c r="A86" s="70" t="s">
        <v>108</v>
      </c>
      <c r="B86" s="4" t="s">
        <v>109</v>
      </c>
      <c r="C86" s="5" t="s">
        <v>35</v>
      </c>
      <c r="D86" s="5" t="s">
        <v>47</v>
      </c>
      <c r="E86" s="4" t="s">
        <v>61</v>
      </c>
      <c r="F86" s="4" t="str" cm="1">
        <f t="array" ref="F86">_xlfn.IFS(
AG86 &lt;&gt; "", "Jan-Dez/26",
AH86 &lt;&gt; "", "Fev-Dez/26",
AI86 &lt;&gt; "", "Mar-Dez/26", AJ86 &lt;&gt; "", "Abr-Dez/26",
TRUE, "A partir de Junho"
)</f>
        <v>A partir de Junho</v>
      </c>
      <c r="G86" s="4" t="s">
        <v>62</v>
      </c>
      <c r="H86" s="7" t="s">
        <v>110</v>
      </c>
      <c r="I86" s="8"/>
      <c r="J86" s="8" t="str" cm="1">
        <f t="array" aca="1" ref="J86" ca="1">_xlfn.LET(
  _xlpm.actual_value_month, INDEX(T86:AE86, MATCH(DATE(YEAR(TODAY()), MONTH(TODAY()), 1), $T$1:$AE$1, 0)),
  IF(_xlpm.actual_value_month &lt;&gt; "",_xlpm.actual_value_month &amp; " ações mensais", "")
)</f>
        <v/>
      </c>
      <c r="K86" s="8" t="str" cm="1">
        <f t="array" ref="K86">_xlfn.LET(
    _xlpm.sum_month, SUM(T86:AE86),
    IF(_xlpm.sum_month = 0, "", _xlpm.sum_month &amp; " veículos com telemetria no ano")
)</f>
        <v/>
      </c>
      <c r="L86" s="9" t="s">
        <v>111</v>
      </c>
      <c r="M86" s="13">
        <v>1</v>
      </c>
      <c r="N86" s="5" t="s">
        <v>51</v>
      </c>
      <c r="O86" s="5" t="s">
        <v>52</v>
      </c>
      <c r="P86" s="10" t="s">
        <v>44</v>
      </c>
      <c r="Q86" s="10" t="s">
        <v>44</v>
      </c>
      <c r="R86" s="11" t="s">
        <v>44</v>
      </c>
      <c r="S86" s="11" t="s">
        <v>44</v>
      </c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94">
        <f t="shared" ref="AS86:AS87" ca="1" si="201">IF(MONTH(TODAY())=3,SUM(T86:U86),IF(MONTH(TODAY())=4,SUM(T86:V86),IF(MONTH(TODAY())=5,SUM(T86:W86),IF(MONTH(TODAY())=6,SUM(T86:X86),IF(MONTH(TODAY())=7,SUM(T86:Y86),IF(MONTH(TODAY())=8,SUM(T86:Z86),IF(MONTH(TODAY())=9,SUM(T86:AA86),IF(MONTH(TODAY())=10,SUM(T86:AB86),IF(MONTH(TODAY())=11,SUM(T86:AC86),IF(MONTH(TODAY())=12,SUM(T86:AD86),IF(MONTH(TODAY())=1,SUM(T86:AE86),T86)))))))))))</f>
        <v>0</v>
      </c>
      <c r="AT86" s="95">
        <f t="shared" ref="AT86:AT87" si="202">SUM(AG86:AR86)</f>
        <v>0</v>
      </c>
      <c r="AU86" s="97">
        <f t="shared" ref="AU86:AU87" si="203">SUM(AG86:AR86)</f>
        <v>0</v>
      </c>
      <c r="AW86" s="83">
        <f t="shared" ref="AW86:AW87" si="204">AG86</f>
        <v>0</v>
      </c>
      <c r="AX86" s="83">
        <f t="shared" ref="AX86:AX87" si="205">AH86</f>
        <v>0</v>
      </c>
      <c r="AY86" s="83">
        <f t="shared" ref="AY86:AY87" si="206">AI86</f>
        <v>0</v>
      </c>
      <c r="AZ86" s="83">
        <f t="shared" ref="AZ86:AZ87" si="207">AJ86</f>
        <v>0</v>
      </c>
      <c r="BA86" s="83">
        <f t="shared" si="191"/>
        <v>0</v>
      </c>
      <c r="BB86" s="52"/>
      <c r="BC86" s="52"/>
      <c r="BD86" s="52"/>
      <c r="BE86" s="52"/>
      <c r="BF86" s="52"/>
      <c r="BG86" s="52"/>
      <c r="BH86" s="52"/>
      <c r="BI86" s="68" cm="1">
        <f t="array" ref="BI86">IFERROR(INDEX(AW86:BH86,1,MATCH(2,1/(AW86:BH86&lt;&gt;""))),"")</f>
        <v>0</v>
      </c>
      <c r="BJ86" s="68" cm="1">
        <f t="array" ref="BJ86">IF(BM86 = "", "",IFERROR(INDEX(AW86:BH86,1,MATCH(2,1/(AW86:BH86&lt;&gt;""),1)-1),""))</f>
        <v>0</v>
      </c>
      <c r="BK86" s="59">
        <f t="shared" ref="BK86:BK87" si="208">SUM(AW86:BH86)</f>
        <v>0</v>
      </c>
      <c r="BL86" s="59" cm="1">
        <f t="array" ref="BL86">IFERROR(SUM(AW86:INDEX(AW86:BH86, MATCH(2, 1/(AW86:BH86&lt;&gt;""), 1) - 1)),0)</f>
        <v>0</v>
      </c>
      <c r="BM86" s="55" cm="1">
        <f t="array" ref="BM86">IFERROR(
   INDEX($AW$1:$BH$1,
      _xlfn.AGGREGATE(14, 6, COLUMN($AW$1:$BH$1)/(AW86:BH86&lt;&gt;""), 2) - COLUMN($AW$1) + 1
   ),
"")</f>
        <v>46113</v>
      </c>
      <c r="BN86" s="55" cm="1">
        <f t="array" ref="BN86">IFERROR(INDEX($AW$1:$BH$1,1,MATCH(2,1/(AW86:BH86&lt;&gt;""))),"")</f>
        <v>46143</v>
      </c>
      <c r="BO86" s="53">
        <f ca="1">IFERROR(_xlfn.XLOOKUP(F86,Apuração!A:A,Apuração!C:C)/_xlfn.XLOOKUP(F86,Apuração!A:A,Apuração!B:B),0)</f>
        <v>0</v>
      </c>
      <c r="BP86" s="53">
        <f ca="1">IFERROR(_xlfn.XLOOKUP(F86,Apuração!A:A,Apuração!D:D)/_xlfn.XLOOKUP(F86,Apuração!A:A,Apuração!B:B),0)</f>
        <v>0</v>
      </c>
      <c r="BQ86" s="53">
        <f ca="1">IF(BK86&gt;=BO86,0,_xlfn.XLOOKUP(F86,Apuração!A:A,Apuração!B:B)*(BO86 + (1/_xlfn.XLOOKUP(F86,Apuração!A:A,Apuração!B:B)) - BK86))</f>
        <v>0</v>
      </c>
      <c r="BR86" s="85">
        <f t="shared" ref="BR86:BR87" ca="1" si="209">IF(BQ86=0,0,BQ86*Z86)</f>
        <v>0</v>
      </c>
      <c r="BS86" s="53">
        <f ca="1">IFERROR((_xlfn.XLOOKUP(F86,Apuração!A:A,Apuração!C:C)+1)/_xlfn.XLOOKUP(F86,Apuração!A:A,Apuração!B:B),0)</f>
        <v>0.14285714285714285</v>
      </c>
    </row>
    <row r="87" spans="1:71" ht="25.95" hidden="1" customHeight="1" x14ac:dyDescent="0.3">
      <c r="A87" s="70" t="s">
        <v>108</v>
      </c>
      <c r="B87" s="4" t="s">
        <v>109</v>
      </c>
      <c r="C87" s="5" t="s">
        <v>35</v>
      </c>
      <c r="D87" s="5" t="s">
        <v>48</v>
      </c>
      <c r="E87" s="4" t="s">
        <v>61</v>
      </c>
      <c r="F87" s="4" t="str" cm="1">
        <f t="array" ref="F87">_xlfn.IFS(
AG87 &lt;&gt; "", "Jan-Dez/26",
AH87 &lt;&gt; "", "Fev-Dez/26",
AI87 &lt;&gt; "", "Mar-Dez/26", AJ87 &lt;&gt; "", "Abr-Dez/26",
TRUE, "A partir de Junho"
)</f>
        <v>A partir de Junho</v>
      </c>
      <c r="G87" s="4" t="s">
        <v>62</v>
      </c>
      <c r="H87" s="7" t="s">
        <v>110</v>
      </c>
      <c r="I87" s="8"/>
      <c r="J87" s="8" t="str" cm="1">
        <f t="array" aca="1" ref="J87" ca="1">_xlfn.LET(
  _xlpm.actual_value_month, INDEX(T87:AE87, MATCH(DATE(YEAR(TODAY()), MONTH(TODAY()), 1), $T$1:$AE$1, 0)),
  IF(_xlpm.actual_value_month &lt;&gt; "",_xlpm.actual_value_month &amp; " ações mensais", "")
)</f>
        <v/>
      </c>
      <c r="K87" s="8" t="str" cm="1">
        <f t="array" ref="K87">_xlfn.LET(
    _xlpm.sum_month, SUM(T87:AE87),
    IF(_xlpm.sum_month = 0, "", _xlpm.sum_month &amp; " veículos com telemetria no ano")
)</f>
        <v/>
      </c>
      <c r="L87" s="9" t="s">
        <v>111</v>
      </c>
      <c r="M87" s="13">
        <v>1</v>
      </c>
      <c r="N87" s="5" t="s">
        <v>51</v>
      </c>
      <c r="O87" s="5" t="s">
        <v>52</v>
      </c>
      <c r="P87" s="10" t="s">
        <v>44</v>
      </c>
      <c r="Q87" s="10" t="s">
        <v>44</v>
      </c>
      <c r="R87" s="11" t="s">
        <v>44</v>
      </c>
      <c r="S87" s="11" t="s">
        <v>44</v>
      </c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94">
        <f t="shared" ca="1" si="201"/>
        <v>0</v>
      </c>
      <c r="AT87" s="95">
        <f t="shared" si="202"/>
        <v>0</v>
      </c>
      <c r="AU87" s="97">
        <f t="shared" si="203"/>
        <v>0</v>
      </c>
      <c r="AW87" s="83">
        <f t="shared" si="204"/>
        <v>0</v>
      </c>
      <c r="AX87" s="83">
        <f t="shared" si="205"/>
        <v>0</v>
      </c>
      <c r="AY87" s="83">
        <f t="shared" si="206"/>
        <v>0</v>
      </c>
      <c r="AZ87" s="83">
        <f t="shared" si="207"/>
        <v>0</v>
      </c>
      <c r="BA87" s="83">
        <f t="shared" si="191"/>
        <v>0</v>
      </c>
      <c r="BB87" s="52"/>
      <c r="BC87" s="52"/>
      <c r="BD87" s="52"/>
      <c r="BE87" s="52"/>
      <c r="BF87" s="52"/>
      <c r="BG87" s="52"/>
      <c r="BH87" s="52"/>
      <c r="BI87" s="68" cm="1">
        <f t="array" ref="BI87">IFERROR(INDEX(AW87:BH87,1,MATCH(2,1/(AW87:BH87&lt;&gt;""))),"")</f>
        <v>0</v>
      </c>
      <c r="BJ87" s="68" cm="1">
        <f t="array" ref="BJ87">IF(BM87 = "", "",IFERROR(INDEX(AW87:BH87,1,MATCH(2,1/(AW87:BH87&lt;&gt;""),1)-1),""))</f>
        <v>0</v>
      </c>
      <c r="BK87" s="59">
        <f t="shared" si="208"/>
        <v>0</v>
      </c>
      <c r="BL87" s="59" cm="1">
        <f t="array" ref="BL87">IFERROR(SUM(AW87:INDEX(AW87:BH87, MATCH(2, 1/(AW87:BH87&lt;&gt;""), 1) - 1)),0)</f>
        <v>0</v>
      </c>
      <c r="BM87" s="55" cm="1">
        <f t="array" ref="BM87">IFERROR(
   INDEX($AW$1:$BH$1,
      _xlfn.AGGREGATE(14, 6, COLUMN($AW$1:$BH$1)/(AW87:BH87&lt;&gt;""), 2) - COLUMN($AW$1) + 1
   ),
"")</f>
        <v>46113</v>
      </c>
      <c r="BN87" s="55" cm="1">
        <f t="array" ref="BN87">IFERROR(INDEX($AW$1:$BH$1,1,MATCH(2,1/(AW87:BH87&lt;&gt;""))),"")</f>
        <v>46143</v>
      </c>
      <c r="BO87" s="53">
        <f ca="1">IFERROR(_xlfn.XLOOKUP(F87,Apuração!A:A,Apuração!C:C)/_xlfn.XLOOKUP(F87,Apuração!A:A,Apuração!B:B),0)</f>
        <v>0</v>
      </c>
      <c r="BP87" s="53">
        <f ca="1">IFERROR(_xlfn.XLOOKUP(F87,Apuração!A:A,Apuração!D:D)/_xlfn.XLOOKUP(F87,Apuração!A:A,Apuração!B:B),0)</f>
        <v>0</v>
      </c>
      <c r="BQ87" s="53">
        <f ca="1">IF(BK87&gt;=BO87,0,_xlfn.XLOOKUP(F87,Apuração!A:A,Apuração!B:B)*(BO87 + (1/_xlfn.XLOOKUP(F87,Apuração!A:A,Apuração!B:B)) - BK87))</f>
        <v>0</v>
      </c>
      <c r="BR87" s="85">
        <f t="shared" ca="1" si="209"/>
        <v>0</v>
      </c>
      <c r="BS87" s="53">
        <f ca="1">IFERROR((_xlfn.XLOOKUP(F87,Apuração!A:A,Apuração!C:C)+1)/_xlfn.XLOOKUP(F87,Apuração!A:A,Apuração!B:B),0)</f>
        <v>0.14285714285714285</v>
      </c>
    </row>
    <row r="88" spans="1:71" ht="25.95" hidden="1" customHeight="1" x14ac:dyDescent="0.3">
      <c r="A88" s="70" t="s">
        <v>108</v>
      </c>
      <c r="B88" s="4" t="s">
        <v>109</v>
      </c>
      <c r="C88" s="5" t="s">
        <v>35</v>
      </c>
      <c r="D88" s="5" t="s">
        <v>36</v>
      </c>
      <c r="E88" s="4" t="s">
        <v>61</v>
      </c>
      <c r="F88" s="4" t="str" cm="1">
        <f t="array" ref="F88">_xlfn.IFS(
AG88 &lt;&gt; "", "Jan-Dez/26",
AH88 &lt;&gt; "", "Fev-Dez/26",
AI88 &lt;&gt; "", "Mar-Dez/26", AJ88 &lt;&gt; "", "Abr-Dez/26",
TRUE, "A partir de Junho"
)</f>
        <v>A partir de Junho</v>
      </c>
      <c r="G88" s="4" t="s">
        <v>62</v>
      </c>
      <c r="H88" s="7" t="s">
        <v>110</v>
      </c>
      <c r="I88" s="8"/>
      <c r="J88" s="8" t="str" cm="1">
        <f t="array" aca="1" ref="J88" ca="1">_xlfn.LET(
  _xlpm.actual_value_month, INDEX(T88:AE88, MATCH(DATE(YEAR(TODAY()), MONTH(TODAY()), 1), $T$1:$AE$1, 0)),
  IF(_xlpm.actual_value_month &lt;&gt; "",_xlpm.actual_value_month &amp; " ações mensais", "")
)</f>
        <v/>
      </c>
      <c r="K88" s="8" t="str" cm="1">
        <f t="array" ref="K88">_xlfn.LET(
    _xlpm.sum_month, SUM(T88:AE88),
    IF(_xlpm.sum_month = 0, "", _xlpm.sum_month &amp; " telemetria implementada no ano")
)</f>
        <v/>
      </c>
      <c r="L88" s="9" t="s">
        <v>112</v>
      </c>
      <c r="M88" s="13">
        <v>1</v>
      </c>
      <c r="N88" s="5" t="s">
        <v>51</v>
      </c>
      <c r="O88" s="5" t="s">
        <v>43</v>
      </c>
      <c r="P88" s="10" t="s">
        <v>44</v>
      </c>
      <c r="Q88" s="10" t="s">
        <v>44</v>
      </c>
      <c r="R88" s="11" t="s">
        <v>44</v>
      </c>
      <c r="S88" s="11" t="s">
        <v>44</v>
      </c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94">
        <f ca="1">IF(MONTH(TODAY())=3,SUM(T88:U88),IF(MONTH(TODAY())=4,SUM(T88:V88),IF(MONTH(TODAY())=5,SUM(T88:W88),IF(MONTH(TODAY())=6,SUM(T88:X88),IF(MONTH(TODAY())=7,SUM(T88:Y88),IF(MONTH(TODAY())=8,SUM(T88:Z88),IF(MONTH(TODAY())=9,SUM(T88:AA88),IF(MONTH(TODAY())=10,SUM(T88:AB88),IF(MONTH(TODAY())=11,SUM(T88:AC88),IF(MONTH(TODAY())=12,SUM(T88:AD88),IF(MONTH(TODAY())=1,SUM(T88:AE88),T88)))))))))))</f>
        <v>0</v>
      </c>
      <c r="AT88" s="95">
        <f>SUM(AG88:AR88)</f>
        <v>0</v>
      </c>
      <c r="AU88" s="97">
        <f>SUM(AG88:AR88)</f>
        <v>0</v>
      </c>
      <c r="AW88" s="83">
        <f t="shared" si="200"/>
        <v>0</v>
      </c>
      <c r="AX88" s="83">
        <f t="shared" si="189"/>
        <v>0</v>
      </c>
      <c r="AY88" s="83">
        <f t="shared" si="190"/>
        <v>0</v>
      </c>
      <c r="AZ88" s="83">
        <f t="shared" si="191"/>
        <v>0</v>
      </c>
      <c r="BA88" s="83">
        <f t="shared" si="191"/>
        <v>0</v>
      </c>
      <c r="BB88" s="52"/>
      <c r="BC88" s="52"/>
      <c r="BD88" s="52"/>
      <c r="BE88" s="52"/>
      <c r="BF88" s="52"/>
      <c r="BG88" s="52"/>
      <c r="BH88" s="52"/>
      <c r="BI88" s="68" cm="1">
        <f t="array" ref="BI88">IFERROR(INDEX(AW88:BH88,1,MATCH(2,1/(AW88:BH88&lt;&gt;""))),"")</f>
        <v>0</v>
      </c>
      <c r="BJ88" s="68" cm="1">
        <f t="array" ref="BJ88">IF(BM88 = "", "",IFERROR(INDEX(AW88:BH88,1,MATCH(2,1/(AW88:BH88&lt;&gt;""),1)-1),""))</f>
        <v>0</v>
      </c>
      <c r="BK88" s="59">
        <f>SUM(AW88:BH88)</f>
        <v>0</v>
      </c>
      <c r="BL88" s="59" cm="1">
        <f t="array" ref="BL88">IFERROR(SUM(AW88:INDEX(AW88:BH88, MATCH(2, 1/(AW88:BH88&lt;&gt;""), 1) - 1)),0)</f>
        <v>0</v>
      </c>
      <c r="BM88" s="55" cm="1">
        <f t="array" ref="BM88">IFERROR(
   INDEX($AW$1:$BH$1,
      _xlfn.AGGREGATE(14, 6, COLUMN($AW$1:$BH$1)/(AW88:BH88&lt;&gt;""), 2) - COLUMN($AW$1) + 1
   ),
"")</f>
        <v>46113</v>
      </c>
      <c r="BN88" s="55" cm="1">
        <f t="array" ref="BN88">IFERROR(INDEX($AW$1:$BH$1,1,MATCH(2,1/(AW88:BH88&lt;&gt;""))),"")</f>
        <v>46143</v>
      </c>
      <c r="BO88" s="53">
        <f ca="1">IFERROR(_xlfn.XLOOKUP(F88,Apuração!A:A,Apuração!C:C)/_xlfn.XLOOKUP(F88,Apuração!A:A,Apuração!B:B),0)</f>
        <v>0</v>
      </c>
      <c r="BP88" s="53">
        <f ca="1">IFERROR(_xlfn.XLOOKUP(F88,Apuração!A:A,Apuração!D:D)/_xlfn.XLOOKUP(F88,Apuração!A:A,Apuração!B:B),0)</f>
        <v>0</v>
      </c>
      <c r="BQ88" s="53">
        <f ca="1">IF(BK88&gt;=BO88,0,_xlfn.XLOOKUP(F88,Apuração!A:A,Apuração!B:B)*(BO88 + (1/_xlfn.XLOOKUP(F88,Apuração!A:A,Apuração!B:B)) - BK88))</f>
        <v>0</v>
      </c>
      <c r="BR88" s="85">
        <f t="shared" ca="1" si="2"/>
        <v>0</v>
      </c>
      <c r="BS88" s="53">
        <f ca="1">IFERROR((_xlfn.XLOOKUP(F88,Apuração!A:A,Apuração!C:C)+1)/_xlfn.XLOOKUP(F88,Apuração!A:A,Apuração!B:B),0)</f>
        <v>0.14285714285714285</v>
      </c>
    </row>
    <row r="89" spans="1:71" ht="25.95" hidden="1" customHeight="1" x14ac:dyDescent="0.3">
      <c r="A89" s="70" t="s">
        <v>108</v>
      </c>
      <c r="B89" s="4" t="s">
        <v>109</v>
      </c>
      <c r="C89" s="5" t="s">
        <v>35</v>
      </c>
      <c r="D89" s="5" t="s">
        <v>47</v>
      </c>
      <c r="E89" s="4" t="s">
        <v>61</v>
      </c>
      <c r="F89" s="4" t="str" cm="1">
        <f t="array" ref="F89">_xlfn.IFS(
AG89 &lt;&gt; "", "Jan-Dez/26",
AH89 &lt;&gt; "", "Fev-Dez/26",
AI89 &lt;&gt; "", "Mar-Dez/26", AJ89 &lt;&gt; "", "Abr-Dez/26",
TRUE, "A partir de Junho"
)</f>
        <v>A partir de Junho</v>
      </c>
      <c r="G89" s="4" t="s">
        <v>62</v>
      </c>
      <c r="H89" s="7" t="s">
        <v>110</v>
      </c>
      <c r="I89" s="8"/>
      <c r="J89" s="8" t="str" cm="1">
        <f t="array" aca="1" ref="J89" ca="1">_xlfn.LET(
  _xlpm.actual_value_month, INDEX(T89:AE89, MATCH(DATE(YEAR(TODAY()), MONTH(TODAY()), 1), $T$1:$AE$1, 0)),
  IF(_xlpm.actual_value_month &lt;&gt; "",_xlpm.actual_value_month &amp; " ações mensais", "")
)</f>
        <v/>
      </c>
      <c r="K89" s="8" t="str" cm="1">
        <f t="array" ref="K89">_xlfn.LET(
    _xlpm.sum_month, SUM(T89:AE89),
    IF(_xlpm.sum_month = 0, "", _xlpm.sum_month &amp; " telemetria implementada no ano")
)</f>
        <v/>
      </c>
      <c r="L89" s="9" t="s">
        <v>112</v>
      </c>
      <c r="M89" s="13">
        <v>1</v>
      </c>
      <c r="N89" s="5" t="s">
        <v>51</v>
      </c>
      <c r="O89" s="5" t="s">
        <v>43</v>
      </c>
      <c r="P89" s="10" t="s">
        <v>44</v>
      </c>
      <c r="Q89" s="10" t="s">
        <v>44</v>
      </c>
      <c r="R89" s="11" t="s">
        <v>44</v>
      </c>
      <c r="S89" s="11" t="s">
        <v>44</v>
      </c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94">
        <f t="shared" ref="AS89:AS90" ca="1" si="210">IF(MONTH(TODAY())=3,SUM(T89:U89),IF(MONTH(TODAY())=4,SUM(T89:V89),IF(MONTH(TODAY())=5,SUM(T89:W89),IF(MONTH(TODAY())=6,SUM(T89:X89),IF(MONTH(TODAY())=7,SUM(T89:Y89),IF(MONTH(TODAY())=8,SUM(T89:Z89),IF(MONTH(TODAY())=9,SUM(T89:AA89),IF(MONTH(TODAY())=10,SUM(T89:AB89),IF(MONTH(TODAY())=11,SUM(T89:AC89),IF(MONTH(TODAY())=12,SUM(T89:AD89),IF(MONTH(TODAY())=1,SUM(T89:AE89),T89)))))))))))</f>
        <v>0</v>
      </c>
      <c r="AT89" s="95">
        <f t="shared" ref="AT89:AT90" si="211">SUM(AG89:AR89)</f>
        <v>0</v>
      </c>
      <c r="AU89" s="97">
        <f t="shared" ref="AU89:AU90" si="212">SUM(AG89:AR89)</f>
        <v>0</v>
      </c>
      <c r="AW89" s="83">
        <f t="shared" ref="AW89:AW90" si="213">AG89</f>
        <v>0</v>
      </c>
      <c r="AX89" s="83">
        <f t="shared" ref="AX89:AX90" si="214">AH89</f>
        <v>0</v>
      </c>
      <c r="AY89" s="83">
        <f t="shared" ref="AY89:AY90" si="215">AI89</f>
        <v>0</v>
      </c>
      <c r="AZ89" s="83">
        <f t="shared" ref="AZ89:AZ90" si="216">AJ89</f>
        <v>0</v>
      </c>
      <c r="BA89" s="83">
        <f t="shared" si="191"/>
        <v>0</v>
      </c>
      <c r="BB89" s="52"/>
      <c r="BC89" s="52"/>
      <c r="BD89" s="52"/>
      <c r="BE89" s="52"/>
      <c r="BF89" s="52"/>
      <c r="BG89" s="52"/>
      <c r="BH89" s="52"/>
      <c r="BI89" s="68" cm="1">
        <f t="array" ref="BI89">IFERROR(INDEX(AW89:BH89,1,MATCH(2,1/(AW89:BH89&lt;&gt;""))),"")</f>
        <v>0</v>
      </c>
      <c r="BJ89" s="68" cm="1">
        <f t="array" ref="BJ89">IF(BM89 = "", "",IFERROR(INDEX(AW89:BH89,1,MATCH(2,1/(AW89:BH89&lt;&gt;""),1)-1),""))</f>
        <v>0</v>
      </c>
      <c r="BK89" s="59">
        <f t="shared" ref="BK89:BK90" si="217">SUM(AW89:BH89)</f>
        <v>0</v>
      </c>
      <c r="BL89" s="59" cm="1">
        <f t="array" ref="BL89">IFERROR(SUM(AW89:INDEX(AW89:BH89, MATCH(2, 1/(AW89:BH89&lt;&gt;""), 1) - 1)),0)</f>
        <v>0</v>
      </c>
      <c r="BM89" s="55" cm="1">
        <f t="array" ref="BM89">IFERROR(
   INDEX($AW$1:$BH$1,
      _xlfn.AGGREGATE(14, 6, COLUMN($AW$1:$BH$1)/(AW89:BH89&lt;&gt;""), 2) - COLUMN($AW$1) + 1
   ),
"")</f>
        <v>46113</v>
      </c>
      <c r="BN89" s="55" cm="1">
        <f t="array" ref="BN89">IFERROR(INDEX($AW$1:$BH$1,1,MATCH(2,1/(AW89:BH89&lt;&gt;""))),"")</f>
        <v>46143</v>
      </c>
      <c r="BO89" s="53">
        <f ca="1">IFERROR(_xlfn.XLOOKUP(F89,Apuração!A:A,Apuração!C:C)/_xlfn.XLOOKUP(F89,Apuração!A:A,Apuração!B:B),0)</f>
        <v>0</v>
      </c>
      <c r="BP89" s="53">
        <f ca="1">IFERROR(_xlfn.XLOOKUP(F89,Apuração!A:A,Apuração!D:D)/_xlfn.XLOOKUP(F89,Apuração!A:A,Apuração!B:B),0)</f>
        <v>0</v>
      </c>
      <c r="BQ89" s="53">
        <f ca="1">IF(BK89&gt;=BO89,0,_xlfn.XLOOKUP(F89,Apuração!A:A,Apuração!B:B)*(BO89 + (1/_xlfn.XLOOKUP(F89,Apuração!A:A,Apuração!B:B)) - BK89))</f>
        <v>0</v>
      </c>
      <c r="BR89" s="85">
        <f t="shared" ref="BR89:BR90" ca="1" si="218">IF(BQ89=0,0,BQ89*Z89)</f>
        <v>0</v>
      </c>
      <c r="BS89" s="53">
        <f ca="1">IFERROR((_xlfn.XLOOKUP(F89,Apuração!A:A,Apuração!C:C)+1)/_xlfn.XLOOKUP(F89,Apuração!A:A,Apuração!B:B),0)</f>
        <v>0.14285714285714285</v>
      </c>
    </row>
    <row r="90" spans="1:71" ht="25.95" hidden="1" customHeight="1" x14ac:dyDescent="0.3">
      <c r="A90" s="70" t="s">
        <v>108</v>
      </c>
      <c r="B90" s="4" t="s">
        <v>109</v>
      </c>
      <c r="C90" s="5" t="s">
        <v>35</v>
      </c>
      <c r="D90" s="5" t="s">
        <v>48</v>
      </c>
      <c r="E90" s="4" t="s">
        <v>61</v>
      </c>
      <c r="F90" s="4" t="str" cm="1">
        <f t="array" ref="F90">_xlfn.IFS(
AG90 &lt;&gt; "", "Jan-Dez/26",
AH90 &lt;&gt; "", "Fev-Dez/26",
AI90 &lt;&gt; "", "Mar-Dez/26", AJ90 &lt;&gt; "", "Abr-Dez/26",
TRUE, "A partir de Junho"
)</f>
        <v>A partir de Junho</v>
      </c>
      <c r="G90" s="4" t="s">
        <v>62</v>
      </c>
      <c r="H90" s="7" t="s">
        <v>110</v>
      </c>
      <c r="I90" s="8"/>
      <c r="J90" s="8" t="str" cm="1">
        <f t="array" aca="1" ref="J90" ca="1">_xlfn.LET(
  _xlpm.actual_value_month, INDEX(T90:AE90, MATCH(DATE(YEAR(TODAY()), MONTH(TODAY()), 1), $T$1:$AE$1, 0)),
  IF(_xlpm.actual_value_month &lt;&gt; "",_xlpm.actual_value_month &amp; " ações mensais", "")
)</f>
        <v/>
      </c>
      <c r="K90" s="8" t="str" cm="1">
        <f t="array" ref="K90">_xlfn.LET(
    _xlpm.sum_month, SUM(T90:AE90),
    IF(_xlpm.sum_month = 0, "", _xlpm.sum_month &amp; " telemetria implementada no ano")
)</f>
        <v/>
      </c>
      <c r="L90" s="9" t="s">
        <v>112</v>
      </c>
      <c r="M90" s="13">
        <v>1</v>
      </c>
      <c r="N90" s="5" t="s">
        <v>51</v>
      </c>
      <c r="O90" s="5" t="s">
        <v>43</v>
      </c>
      <c r="P90" s="10" t="s">
        <v>44</v>
      </c>
      <c r="Q90" s="10" t="s">
        <v>44</v>
      </c>
      <c r="R90" s="11" t="s">
        <v>44</v>
      </c>
      <c r="S90" s="11" t="s">
        <v>44</v>
      </c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94">
        <f t="shared" ca="1" si="210"/>
        <v>0</v>
      </c>
      <c r="AT90" s="95">
        <f t="shared" si="211"/>
        <v>0</v>
      </c>
      <c r="AU90" s="97">
        <f t="shared" si="212"/>
        <v>0</v>
      </c>
      <c r="AW90" s="83">
        <f t="shared" si="213"/>
        <v>0</v>
      </c>
      <c r="AX90" s="83">
        <f t="shared" si="214"/>
        <v>0</v>
      </c>
      <c r="AY90" s="83">
        <f t="shared" si="215"/>
        <v>0</v>
      </c>
      <c r="AZ90" s="83">
        <f t="shared" si="216"/>
        <v>0</v>
      </c>
      <c r="BA90" s="83">
        <f t="shared" si="191"/>
        <v>0</v>
      </c>
      <c r="BB90" s="52"/>
      <c r="BC90" s="52"/>
      <c r="BD90" s="52"/>
      <c r="BE90" s="52"/>
      <c r="BF90" s="52"/>
      <c r="BG90" s="52"/>
      <c r="BH90" s="52"/>
      <c r="BI90" s="68" cm="1">
        <f t="array" ref="BI90">IFERROR(INDEX(AW90:BH90,1,MATCH(2,1/(AW90:BH90&lt;&gt;""))),"")</f>
        <v>0</v>
      </c>
      <c r="BJ90" s="68" cm="1">
        <f t="array" ref="BJ90">IF(BM90 = "", "",IFERROR(INDEX(AW90:BH90,1,MATCH(2,1/(AW90:BH90&lt;&gt;""),1)-1),""))</f>
        <v>0</v>
      </c>
      <c r="BK90" s="59">
        <f t="shared" si="217"/>
        <v>0</v>
      </c>
      <c r="BL90" s="59" cm="1">
        <f t="array" ref="BL90">IFERROR(SUM(AW90:INDEX(AW90:BH90, MATCH(2, 1/(AW90:BH90&lt;&gt;""), 1) - 1)),0)</f>
        <v>0</v>
      </c>
      <c r="BM90" s="55" cm="1">
        <f t="array" ref="BM90">IFERROR(
   INDEX($AW$1:$BH$1,
      _xlfn.AGGREGATE(14, 6, COLUMN($AW$1:$BH$1)/(AW90:BH90&lt;&gt;""), 2) - COLUMN($AW$1) + 1
   ),
"")</f>
        <v>46113</v>
      </c>
      <c r="BN90" s="55" cm="1">
        <f t="array" ref="BN90">IFERROR(INDEX($AW$1:$BH$1,1,MATCH(2,1/(AW90:BH90&lt;&gt;""))),"")</f>
        <v>46143</v>
      </c>
      <c r="BO90" s="53">
        <f ca="1">IFERROR(_xlfn.XLOOKUP(F90,Apuração!A:A,Apuração!C:C)/_xlfn.XLOOKUP(F90,Apuração!A:A,Apuração!B:B),0)</f>
        <v>0</v>
      </c>
      <c r="BP90" s="53">
        <f ca="1">IFERROR(_xlfn.XLOOKUP(F90,Apuração!A:A,Apuração!D:D)/_xlfn.XLOOKUP(F90,Apuração!A:A,Apuração!B:B),0)</f>
        <v>0</v>
      </c>
      <c r="BQ90" s="53">
        <f ca="1">IF(BK90&gt;=BO90,0,_xlfn.XLOOKUP(F90,Apuração!A:A,Apuração!B:B)*(BO90 + (1/_xlfn.XLOOKUP(F90,Apuração!A:A,Apuração!B:B)) - BK90))</f>
        <v>0</v>
      </c>
      <c r="BR90" s="85">
        <f t="shared" ca="1" si="218"/>
        <v>0</v>
      </c>
      <c r="BS90" s="53">
        <f ca="1">IFERROR((_xlfn.XLOOKUP(F90,Apuração!A:A,Apuração!C:C)+1)/_xlfn.XLOOKUP(F90,Apuração!A:A,Apuração!B:B),0)</f>
        <v>0.14285714285714285</v>
      </c>
    </row>
    <row r="91" spans="1:71" ht="25.95" hidden="1" customHeight="1" x14ac:dyDescent="0.3">
      <c r="A91" s="70" t="s">
        <v>108</v>
      </c>
      <c r="B91" s="4" t="s">
        <v>109</v>
      </c>
      <c r="C91" s="5" t="s">
        <v>35</v>
      </c>
      <c r="D91" s="5" t="s">
        <v>36</v>
      </c>
      <c r="E91" s="4" t="s">
        <v>80</v>
      </c>
      <c r="F91" s="4" t="str" cm="1">
        <f t="array" ref="F91">_xlfn.IFS(
AG91 &lt;&gt; "", "Jan-Dez/26",
AH91 &lt;&gt; "", "Fev-Dez/26",
AI91 &lt;&gt; "", "Mar-Dez/26", AJ91 &lt;&gt; "", "Abr-Dez/26",
TRUE, "A partir de Junho"
)</f>
        <v>Jan-Dez/26</v>
      </c>
      <c r="G91" s="4" t="s">
        <v>37</v>
      </c>
      <c r="H91" s="7" t="s">
        <v>110</v>
      </c>
      <c r="I91" s="8" t="s">
        <v>113</v>
      </c>
      <c r="J91" s="8" t="str" cm="1">
        <f t="array" aca="1" ref="J91" ca="1">_xlfn.LET(
  _xlpm.actual_value_month, INDEX(T91:AE91, MATCH(DATE(YEAR(TODAY()), MONTH(TODAY()), 1), $T$1:$AE$1, 0)),
  IF(_xlpm.actual_value_month &lt;&gt; "",_xlpm.actual_value_month &amp; " ações mensais", "")
)</f>
        <v/>
      </c>
      <c r="K91" s="8" t="str" cm="1">
        <f t="array" ref="K91">_xlfn.LET(
    _xlpm.sum_month, SUM(T91:AE91),
    IF(_xlpm.sum_month = 0, "", _xlpm.sum_month &amp; " empresas com a prática de controle de telemetria no ano")
)</f>
        <v/>
      </c>
      <c r="L91" s="9" t="s">
        <v>114</v>
      </c>
      <c r="M91" s="13">
        <v>1</v>
      </c>
      <c r="N91" s="5" t="s">
        <v>51</v>
      </c>
      <c r="O91" s="5" t="s">
        <v>52</v>
      </c>
      <c r="P91" s="10" t="s">
        <v>44</v>
      </c>
      <c r="Q91" s="10" t="s">
        <v>44</v>
      </c>
      <c r="R91" s="11" t="s">
        <v>44</v>
      </c>
      <c r="S91" s="11" t="s">
        <v>44</v>
      </c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G91" s="71">
        <v>1</v>
      </c>
      <c r="AH91" s="71">
        <v>1</v>
      </c>
      <c r="AI91" s="71">
        <v>1</v>
      </c>
      <c r="AJ91" s="71">
        <v>1</v>
      </c>
      <c r="AK91" s="71">
        <v>1</v>
      </c>
      <c r="AL91" s="71"/>
      <c r="AM91" s="71"/>
      <c r="AN91" s="71"/>
      <c r="AO91" s="71"/>
      <c r="AP91" s="71"/>
      <c r="AQ91" s="71"/>
      <c r="AR91" s="71"/>
      <c r="AS91" s="94">
        <f ca="1">IF(MONTH(TODAY())=3,SUM(T91:U91),IF(MONTH(TODAY())=4,SUM(T91:V91),IF(MONTH(TODAY())=5,SUM(T91:W91),IF(MONTH(TODAY())=6,SUM(T91:X91),IF(MONTH(TODAY())=7,SUM(T91:Y91),IF(MONTH(TODAY())=8,SUM(T91:Z91),IF(MONTH(TODAY())=9,SUM(T91:AA91),IF(MONTH(TODAY())=10,SUM(T91:AB91),IF(MONTH(TODAY())=11,SUM(T91:AC91),IF(MONTH(TODAY())=12,SUM(T91:AD91),IF(MONTH(TODAY())=1,SUM(T91:AE91),T91)))))))))))</f>
        <v>0</v>
      </c>
      <c r="AT91" s="95">
        <f>SUM(AG91:AR91)</f>
        <v>5</v>
      </c>
      <c r="AU91" s="97">
        <f>SUM(AG91:AR91)</f>
        <v>5</v>
      </c>
      <c r="AW91" s="83">
        <f t="shared" si="200"/>
        <v>1</v>
      </c>
      <c r="AX91" s="83">
        <f t="shared" si="189"/>
        <v>1</v>
      </c>
      <c r="AY91" s="83">
        <f t="shared" si="190"/>
        <v>1</v>
      </c>
      <c r="AZ91" s="83">
        <f t="shared" si="191"/>
        <v>1</v>
      </c>
      <c r="BA91" s="83">
        <f t="shared" si="191"/>
        <v>1</v>
      </c>
      <c r="BB91" s="52"/>
      <c r="BC91" s="52"/>
      <c r="BD91" s="52"/>
      <c r="BE91" s="52"/>
      <c r="BF91" s="52"/>
      <c r="BG91" s="52"/>
      <c r="BH91" s="52"/>
      <c r="BI91" s="68" cm="1">
        <f t="array" ref="BI91">IFERROR(INDEX(AW91:BH91,1,MATCH(2,1/(AW91:BH91&lt;&gt;""))),"")</f>
        <v>1</v>
      </c>
      <c r="BJ91" s="68" cm="1">
        <f t="array" ref="BJ91">IF(BM91 = "", "",IFERROR(INDEX(AW91:BH91,1,MATCH(2,1/(AW91:BH91&lt;&gt;""),1)-1),""))</f>
        <v>1</v>
      </c>
      <c r="BK91" s="59">
        <f>SUM(AW91:BH91)</f>
        <v>5</v>
      </c>
      <c r="BL91" s="59" cm="1">
        <f t="array" ref="BL91">IFERROR(SUM(AW91:INDEX(AW91:BH91, MATCH(2, 1/(AW91:BH91&lt;&gt;""), 1) - 1)),0)</f>
        <v>4</v>
      </c>
      <c r="BM91" s="55" cm="1">
        <f t="array" ref="BM91">IFERROR(
   INDEX($AW$1:$BH$1,
      _xlfn.AGGREGATE(14, 6, COLUMN($AW$1:$BH$1)/(AW91:BH91&lt;&gt;""), 2) - COLUMN($AW$1) + 1
   ),
"")</f>
        <v>46113</v>
      </c>
      <c r="BN91" s="55" cm="1">
        <f t="array" ref="BN91">IFERROR(INDEX($AW$1:$BH$1,1,MATCH(2,1/(AW91:BH91&lt;&gt;""))),"")</f>
        <v>46143</v>
      </c>
      <c r="BO91" s="53">
        <f ca="1">IFERROR(_xlfn.XLOOKUP(F91,Apuração!A:A,Apuração!C:C)/_xlfn.XLOOKUP(F91,Apuração!A:A,Apuração!B:B),0)</f>
        <v>0.41666666666666669</v>
      </c>
      <c r="BP91" s="53">
        <f ca="1">IFERROR(_xlfn.XLOOKUP(F91,Apuração!A:A,Apuração!D:D)/_xlfn.XLOOKUP(F91,Apuração!A:A,Apuração!B:B),0)</f>
        <v>0.33333333333333331</v>
      </c>
      <c r="BQ91" s="53">
        <f ca="1">IF(BK91&gt;=BO91,0,_xlfn.XLOOKUP(F91,Apuração!A:A,Apuração!B:B)*(BO91 + (1/_xlfn.XLOOKUP(F91,Apuração!A:A,Apuração!B:B)) - BK91))</f>
        <v>0</v>
      </c>
      <c r="BR91" s="85">
        <f t="shared" ca="1" si="2"/>
        <v>0</v>
      </c>
      <c r="BS91" s="53">
        <f ca="1">IFERROR((_xlfn.XLOOKUP(F91,Apuração!A:A,Apuração!C:C)+1)/_xlfn.XLOOKUP(F91,Apuração!A:A,Apuração!B:B),0)</f>
        <v>0.5</v>
      </c>
    </row>
    <row r="92" spans="1:71" ht="25.95" hidden="1" customHeight="1" x14ac:dyDescent="0.3">
      <c r="A92" s="70" t="s">
        <v>108</v>
      </c>
      <c r="B92" s="4" t="s">
        <v>109</v>
      </c>
      <c r="C92" s="5" t="s">
        <v>35</v>
      </c>
      <c r="D92" s="5" t="s">
        <v>47</v>
      </c>
      <c r="E92" s="4" t="s">
        <v>80</v>
      </c>
      <c r="F92" s="4" t="str" cm="1">
        <f t="array" ref="F92">_xlfn.IFS(
AG92 &lt;&gt; "", "Jan-Dez/26",
AH92 &lt;&gt; "", "Fev-Dez/26",
AI92 &lt;&gt; "", "Mar-Dez/26", AJ92 &lt;&gt; "", "Abr-Dez/26",
TRUE, "A partir de Junho"
)</f>
        <v>Jan-Dez/26</v>
      </c>
      <c r="G92" s="4" t="s">
        <v>37</v>
      </c>
      <c r="H92" s="7" t="s">
        <v>110</v>
      </c>
      <c r="I92" s="8" t="s">
        <v>113</v>
      </c>
      <c r="J92" s="8" t="str" cm="1">
        <f t="array" aca="1" ref="J92" ca="1">_xlfn.LET(
  _xlpm.actual_value_month, INDEX(T92:AE92, MATCH(DATE(YEAR(TODAY()), MONTH(TODAY()), 1), $T$1:$AE$1, 0)),
  IF(_xlpm.actual_value_month &lt;&gt; "",_xlpm.actual_value_month &amp; " ações mensais", "")
)</f>
        <v/>
      </c>
      <c r="K92" s="8" t="str" cm="1">
        <f t="array" ref="K92">_xlfn.LET(
    _xlpm.sum_month, SUM(T92:AE92),
    IF(_xlpm.sum_month = 0, "", _xlpm.sum_month &amp; " empresas com a prática de controle de telemetria no ano")
)</f>
        <v/>
      </c>
      <c r="L92" s="9" t="s">
        <v>114</v>
      </c>
      <c r="M92" s="13">
        <v>1</v>
      </c>
      <c r="N92" s="5" t="s">
        <v>51</v>
      </c>
      <c r="O92" s="5" t="s">
        <v>52</v>
      </c>
      <c r="P92" s="10" t="s">
        <v>44</v>
      </c>
      <c r="Q92" s="10" t="s">
        <v>44</v>
      </c>
      <c r="R92" s="11" t="s">
        <v>44</v>
      </c>
      <c r="S92" s="11" t="s">
        <v>44</v>
      </c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G92" s="82">
        <v>1</v>
      </c>
      <c r="AH92" s="82">
        <v>1</v>
      </c>
      <c r="AI92" s="82">
        <v>1</v>
      </c>
      <c r="AJ92" s="82">
        <v>1</v>
      </c>
      <c r="AK92" s="71">
        <v>1</v>
      </c>
      <c r="AL92" s="71"/>
      <c r="AM92" s="71"/>
      <c r="AN92" s="71"/>
      <c r="AO92" s="71"/>
      <c r="AP92" s="71"/>
      <c r="AQ92" s="71"/>
      <c r="AR92" s="71"/>
      <c r="AS92" s="94">
        <f t="shared" ref="AS92:AS93" ca="1" si="219">IF(MONTH(TODAY())=3,SUM(T92:U92),IF(MONTH(TODAY())=4,SUM(T92:V92),IF(MONTH(TODAY())=5,SUM(T92:W92),IF(MONTH(TODAY())=6,SUM(T92:X92),IF(MONTH(TODAY())=7,SUM(T92:Y92),IF(MONTH(TODAY())=8,SUM(T92:Z92),IF(MONTH(TODAY())=9,SUM(T92:AA92),IF(MONTH(TODAY())=10,SUM(T92:AB92),IF(MONTH(TODAY())=11,SUM(T92:AC92),IF(MONTH(TODAY())=12,SUM(T92:AD92),IF(MONTH(TODAY())=1,SUM(T92:AE92),T92)))))))))))</f>
        <v>0</v>
      </c>
      <c r="AT92" s="95">
        <f t="shared" ref="AT92:AT93" si="220">SUM(AG92:AR92)</f>
        <v>5</v>
      </c>
      <c r="AU92" s="97">
        <f t="shared" ref="AU92:AU93" si="221">SUM(AG92:AR92)</f>
        <v>5</v>
      </c>
      <c r="AW92" s="83">
        <f t="shared" ref="AW92:AW93" si="222">AG92</f>
        <v>1</v>
      </c>
      <c r="AX92" s="83">
        <f t="shared" ref="AX92:AX93" si="223">AH92</f>
        <v>1</v>
      </c>
      <c r="AY92" s="83">
        <f t="shared" ref="AY92:AY93" si="224">AI92</f>
        <v>1</v>
      </c>
      <c r="AZ92" s="83">
        <f t="shared" ref="AZ92:BA93" si="225">AJ92</f>
        <v>1</v>
      </c>
      <c r="BA92" s="83">
        <f t="shared" si="225"/>
        <v>1</v>
      </c>
      <c r="BB92" s="52"/>
      <c r="BC92" s="52"/>
      <c r="BD92" s="52"/>
      <c r="BE92" s="52"/>
      <c r="BF92" s="52"/>
      <c r="BG92" s="52"/>
      <c r="BH92" s="52"/>
      <c r="BI92" s="68" cm="1">
        <f t="array" ref="BI92">IFERROR(INDEX(AW92:BH92,1,MATCH(2,1/(AW92:BH92&lt;&gt;""))),"")</f>
        <v>1</v>
      </c>
      <c r="BJ92" s="68" cm="1">
        <f t="array" ref="BJ92">IF(BM92 = "", "",IFERROR(INDEX(AW92:BH92,1,MATCH(2,1/(AW92:BH92&lt;&gt;""),1)-1),""))</f>
        <v>1</v>
      </c>
      <c r="BK92" s="59">
        <f t="shared" ref="BK92:BK93" si="226">SUM(AW92:BH92)</f>
        <v>5</v>
      </c>
      <c r="BL92" s="59" cm="1">
        <f t="array" ref="BL92">IFERROR(SUM(AW92:INDEX(AW92:BH92, MATCH(2, 1/(AW92:BH92&lt;&gt;""), 1) - 1)),0)</f>
        <v>4</v>
      </c>
      <c r="BM92" s="55" cm="1">
        <f t="array" ref="BM92">IFERROR(
   INDEX($AW$1:$BH$1,
      _xlfn.AGGREGATE(14, 6, COLUMN($AW$1:$BH$1)/(AW92:BH92&lt;&gt;""), 2) - COLUMN($AW$1) + 1
   ),
"")</f>
        <v>46113</v>
      </c>
      <c r="BN92" s="55" cm="1">
        <f t="array" ref="BN92">IFERROR(INDEX($AW$1:$BH$1,1,MATCH(2,1/(AW92:BH92&lt;&gt;""))),"")</f>
        <v>46143</v>
      </c>
      <c r="BO92" s="53">
        <f ca="1">IFERROR(_xlfn.XLOOKUP(F92,Apuração!A:A,Apuração!C:C)/_xlfn.XLOOKUP(F92,Apuração!A:A,Apuração!B:B),0)</f>
        <v>0.41666666666666669</v>
      </c>
      <c r="BP92" s="53">
        <f ca="1">IFERROR(_xlfn.XLOOKUP(F92,Apuração!A:A,Apuração!D:D)/_xlfn.XLOOKUP(F92,Apuração!A:A,Apuração!B:B),0)</f>
        <v>0.33333333333333331</v>
      </c>
      <c r="BQ92" s="53">
        <f ca="1">IF(BK92&gt;=BO92,0,_xlfn.XLOOKUP(F92,Apuração!A:A,Apuração!B:B)*(BO92 + (1/_xlfn.XLOOKUP(F92,Apuração!A:A,Apuração!B:B)) - BK92))</f>
        <v>0</v>
      </c>
      <c r="BR92" s="85">
        <f t="shared" ref="BR92:BR93" ca="1" si="227">IF(BQ92=0,0,BQ92*Z92)</f>
        <v>0</v>
      </c>
      <c r="BS92" s="53">
        <f ca="1">IFERROR((_xlfn.XLOOKUP(F92,Apuração!A:A,Apuração!C:C)+1)/_xlfn.XLOOKUP(F92,Apuração!A:A,Apuração!B:B),0)</f>
        <v>0.5</v>
      </c>
    </row>
    <row r="93" spans="1:71" ht="25.95" hidden="1" customHeight="1" x14ac:dyDescent="0.3">
      <c r="A93" s="70" t="s">
        <v>108</v>
      </c>
      <c r="B93" s="4" t="s">
        <v>109</v>
      </c>
      <c r="C93" s="5" t="s">
        <v>35</v>
      </c>
      <c r="D93" s="5" t="s">
        <v>48</v>
      </c>
      <c r="E93" s="4" t="s">
        <v>80</v>
      </c>
      <c r="F93" s="4" t="str" cm="1">
        <f t="array" ref="F93">_xlfn.IFS(
AG93 &lt;&gt; "", "Jan-Dez/26",
AH93 &lt;&gt; "", "Fev-Dez/26",
AI93 &lt;&gt; "", "Mar-Dez/26", AJ93 &lt;&gt; "", "Abr-Dez/26",
TRUE, "A partir de Junho"
)</f>
        <v>Jan-Dez/26</v>
      </c>
      <c r="G93" s="4" t="s">
        <v>37</v>
      </c>
      <c r="H93" s="7" t="s">
        <v>110</v>
      </c>
      <c r="I93" s="8" t="s">
        <v>113</v>
      </c>
      <c r="J93" s="8" t="str" cm="1">
        <f t="array" aca="1" ref="J93" ca="1">_xlfn.LET(
  _xlpm.actual_value_month, INDEX(T93:AE93, MATCH(DATE(YEAR(TODAY()), MONTH(TODAY()), 1), $T$1:$AE$1, 0)),
  IF(_xlpm.actual_value_month &lt;&gt; "",_xlpm.actual_value_month &amp; " ações mensais", "")
)</f>
        <v/>
      </c>
      <c r="K93" s="8" t="str" cm="1">
        <f t="array" ref="K93">_xlfn.LET(
    _xlpm.sum_month, SUM(T93:AE93),
    IF(_xlpm.sum_month = 0, "", _xlpm.sum_month &amp; " empresas com a prática de controle de telemetria no ano")
)</f>
        <v/>
      </c>
      <c r="L93" s="9" t="s">
        <v>114</v>
      </c>
      <c r="M93" s="13">
        <v>1</v>
      </c>
      <c r="N93" s="5" t="s">
        <v>51</v>
      </c>
      <c r="O93" s="5" t="s">
        <v>52</v>
      </c>
      <c r="P93" s="10" t="s">
        <v>44</v>
      </c>
      <c r="Q93" s="10" t="s">
        <v>44</v>
      </c>
      <c r="R93" s="11" t="s">
        <v>44</v>
      </c>
      <c r="S93" s="11" t="s">
        <v>44</v>
      </c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G93" s="82">
        <v>0</v>
      </c>
      <c r="AH93" s="82">
        <v>0</v>
      </c>
      <c r="AI93" s="82">
        <v>0</v>
      </c>
      <c r="AJ93" s="82">
        <v>0</v>
      </c>
      <c r="AK93" s="71">
        <v>0</v>
      </c>
      <c r="AL93" s="71"/>
      <c r="AM93" s="71"/>
      <c r="AN93" s="71"/>
      <c r="AO93" s="71"/>
      <c r="AP93" s="71"/>
      <c r="AQ93" s="71"/>
      <c r="AR93" s="71"/>
      <c r="AS93" s="94">
        <f t="shared" ca="1" si="219"/>
        <v>0</v>
      </c>
      <c r="AT93" s="95">
        <f t="shared" si="220"/>
        <v>0</v>
      </c>
      <c r="AU93" s="97">
        <f t="shared" si="221"/>
        <v>0</v>
      </c>
      <c r="AW93" s="83">
        <f t="shared" si="222"/>
        <v>0</v>
      </c>
      <c r="AX93" s="83">
        <f t="shared" si="223"/>
        <v>0</v>
      </c>
      <c r="AY93" s="83">
        <f t="shared" si="224"/>
        <v>0</v>
      </c>
      <c r="AZ93" s="83">
        <f t="shared" si="225"/>
        <v>0</v>
      </c>
      <c r="BA93" s="83">
        <f t="shared" si="225"/>
        <v>0</v>
      </c>
      <c r="BB93" s="52"/>
      <c r="BC93" s="52"/>
      <c r="BD93" s="52"/>
      <c r="BE93" s="52"/>
      <c r="BF93" s="52"/>
      <c r="BG93" s="52"/>
      <c r="BH93" s="52"/>
      <c r="BI93" s="68" cm="1">
        <f t="array" ref="BI93">IFERROR(INDEX(AW93:BH93,1,MATCH(2,1/(AW93:BH93&lt;&gt;""))),"")</f>
        <v>0</v>
      </c>
      <c r="BJ93" s="68" cm="1">
        <f t="array" ref="BJ93">IF(BM93 = "", "",IFERROR(INDEX(AW93:BH93,1,MATCH(2,1/(AW93:BH93&lt;&gt;""),1)-1),""))</f>
        <v>0</v>
      </c>
      <c r="BK93" s="59">
        <f t="shared" si="226"/>
        <v>0</v>
      </c>
      <c r="BL93" s="59" cm="1">
        <f t="array" ref="BL93">IFERROR(SUM(AW93:INDEX(AW93:BH93, MATCH(2, 1/(AW93:BH93&lt;&gt;""), 1) - 1)),0)</f>
        <v>0</v>
      </c>
      <c r="BM93" s="55" cm="1">
        <f t="array" ref="BM93">IFERROR(
   INDEX($AW$1:$BH$1,
      _xlfn.AGGREGATE(14, 6, COLUMN($AW$1:$BH$1)/(AW93:BH93&lt;&gt;""), 2) - COLUMN($AW$1) + 1
   ),
"")</f>
        <v>46113</v>
      </c>
      <c r="BN93" s="55" cm="1">
        <f t="array" ref="BN93">IFERROR(INDEX($AW$1:$BH$1,1,MATCH(2,1/(AW93:BH93&lt;&gt;""))),"")</f>
        <v>46143</v>
      </c>
      <c r="BO93" s="53">
        <f ca="1">IFERROR(_xlfn.XLOOKUP(F93,Apuração!A:A,Apuração!C:C)/_xlfn.XLOOKUP(F93,Apuração!A:A,Apuração!B:B),0)</f>
        <v>0.41666666666666669</v>
      </c>
      <c r="BP93" s="53">
        <f ca="1">IFERROR(_xlfn.XLOOKUP(F93,Apuração!A:A,Apuração!D:D)/_xlfn.XLOOKUP(F93,Apuração!A:A,Apuração!B:B),0)</f>
        <v>0.33333333333333331</v>
      </c>
      <c r="BQ93" s="53">
        <f ca="1">IF(BK93&gt;=BO93,0,_xlfn.XLOOKUP(F93,Apuração!A:A,Apuração!B:B)*(BO93 + (1/_xlfn.XLOOKUP(F93,Apuração!A:A,Apuração!B:B)) - BK93))</f>
        <v>6</v>
      </c>
      <c r="BR93" s="85">
        <f t="shared" ca="1" si="227"/>
        <v>0</v>
      </c>
      <c r="BS93" s="53">
        <f ca="1">IFERROR((_xlfn.XLOOKUP(F93,Apuração!A:A,Apuração!C:C)+1)/_xlfn.XLOOKUP(F93,Apuração!A:A,Apuração!B:B),0)</f>
        <v>0.5</v>
      </c>
    </row>
    <row r="94" spans="1:71" ht="25.95" hidden="1" customHeight="1" x14ac:dyDescent="0.3">
      <c r="A94" s="41" t="s">
        <v>108</v>
      </c>
      <c r="B94" s="4" t="s">
        <v>109</v>
      </c>
      <c r="C94" s="5" t="s">
        <v>35</v>
      </c>
      <c r="D94" s="5" t="s">
        <v>36</v>
      </c>
      <c r="E94" s="4" t="str" cm="1">
        <f t="array" ref="E94">_xlfn.IFS(
F94 = "A partir de Abril", "Aguardando Execução na Distribuidora",
A94 = "CAPACITAÇÃO", "Em execução no Corporativo",
TRUE, "Em Execução na Distribuidora"
)</f>
        <v>Em Execução na Distribuidora</v>
      </c>
      <c r="F94" s="4" t="str" cm="1">
        <f t="array" ref="F94">_xlfn.IFS(
AG94 &lt;&gt; "", "Jan-Dez/26",
AH94 &lt;&gt; "", "Fev-Dez/26",
AI94 &lt;&gt; "", "Mar-Dez/26", AJ94 &lt;&gt; "", "Abr-Dez/26",
TRUE, "A partir de Junho"
)</f>
        <v>Jan-Dez/26</v>
      </c>
      <c r="G94" s="4" t="s">
        <v>37</v>
      </c>
      <c r="H94" s="7" t="s">
        <v>110</v>
      </c>
      <c r="I94" s="4" t="s">
        <v>115</v>
      </c>
      <c r="J94" s="8" t="str" cm="1">
        <f t="array" aca="1" ref="J94" ca="1">_xlfn.LET(
  _xlpm.actual_value_month, INDEX(T94:AE94, MATCH(DATE(YEAR(TODAY()), MONTH(TODAY()), 1), $T$1:$AE$1, 0)),
  IF(_xlpm.actual_value_month &lt;&gt; "",_xlpm.actual_value_month &amp; " redução de notificações mensais", "")
)</f>
        <v>7 redução de notificações mensais</v>
      </c>
      <c r="K94" s="8" t="str" cm="1">
        <f t="array" ref="K94">_xlfn.LET(
    _xlpm.sum_month, SUM(T94:AE94),
    IF(_xlpm.sum_month = 0, "", _xlpm.sum_month &amp; " taxa de redução das notificações de excesso de velocidade no ano")
)</f>
        <v>149 taxa de redução das notificações de excesso de velocidade no ano</v>
      </c>
      <c r="L94" s="4" t="s">
        <v>116</v>
      </c>
      <c r="M94" s="4"/>
      <c r="N94" s="45" t="s">
        <v>42</v>
      </c>
      <c r="O94" s="5" t="s">
        <v>43</v>
      </c>
      <c r="P94" s="10" t="s">
        <v>44</v>
      </c>
      <c r="Q94" s="10" t="s">
        <v>44</v>
      </c>
      <c r="R94" s="11" t="s">
        <v>44</v>
      </c>
      <c r="S94" s="11" t="s">
        <v>44</v>
      </c>
      <c r="T94" s="22">
        <v>9</v>
      </c>
      <c r="U94" s="22">
        <v>47</v>
      </c>
      <c r="V94" s="22">
        <v>30</v>
      </c>
      <c r="W94" s="22">
        <v>7</v>
      </c>
      <c r="X94" s="22">
        <v>7</v>
      </c>
      <c r="Y94" s="22">
        <v>7</v>
      </c>
      <c r="Z94" s="22">
        <v>7</v>
      </c>
      <c r="AA94" s="22">
        <v>7</v>
      </c>
      <c r="AB94" s="22">
        <v>7</v>
      </c>
      <c r="AC94" s="22">
        <v>7</v>
      </c>
      <c r="AD94" s="22">
        <v>7</v>
      </c>
      <c r="AE94" s="22">
        <v>7</v>
      </c>
      <c r="AG94" s="71">
        <v>9</v>
      </c>
      <c r="AH94" s="71">
        <v>47</v>
      </c>
      <c r="AI94" s="71">
        <v>30</v>
      </c>
      <c r="AJ94" s="71">
        <v>18</v>
      </c>
      <c r="AK94" s="71">
        <v>51</v>
      </c>
      <c r="AL94" s="71"/>
      <c r="AM94" s="71"/>
      <c r="AN94" s="71"/>
      <c r="AO94" s="71"/>
      <c r="AP94" s="71"/>
      <c r="AQ94" s="71"/>
      <c r="AR94" s="71"/>
      <c r="AS94" s="94">
        <f ca="1">IF(MONTH(TODAY())=3,SUM(T94:U94),IF(MONTH(TODAY())=4,SUM(T94:V94),IF(MONTH(TODAY())=5,SUM(T94:W94),IF(MONTH(TODAY())=6,SUM(T94:X94),IF(MONTH(TODAY())=7,SUM(T94:Y94),IF(MONTH(TODAY())=8,SUM(T94:Z94),IF(MONTH(TODAY())=9,SUM(T94:AA94),IF(MONTH(TODAY())=10,SUM(T94:AB94),IF(MONTH(TODAY())=11,SUM(T94:AC94),IF(MONTH(TODAY())=12,SUM(T94:AD94),IF(MONTH(TODAY())=1,SUM(T94:AE94),T94)))))))))))</f>
        <v>100</v>
      </c>
      <c r="AT94" s="95">
        <f>SUM(IF(AW94&lt;1.15,AG94,1.15*T94),IF(AX94&lt;1.15,AH94,1.15*U94),IF(AY94&lt;1.15,AI94,1.15*V94),IF(AZ94&lt;1.15,AJ94,1.15*W94),IF(BA94&lt;1.15,AK94,1.15*X94),IF(BB94&lt;1.15,AL94,1.15*Y94),IF(BC94&lt;1.15,AM94,1.15*Z94),IF(BD94&lt;1.15,AN94,1.15*AA94),IF(BE94&lt;1.15,AO94,1.15*AB94),IF(BF94&lt;1.15,AP94,1.15*AC94),IF(BG94&lt;1.15,AQ94,1.15*AD94),IF(BH94&lt;1.15,AR94,1.15*AE94))</f>
        <v>155</v>
      </c>
      <c r="AU94" s="97">
        <f>SUM(AG94:AR94)</f>
        <v>155</v>
      </c>
      <c r="AW94" s="51">
        <f>IF(ISBLANK(AG94),0,IF(1+((AG94-T94)/T94)&gt;=1, 1-((AG94-T94)/AG94),
IF(1+((AG94-T94)/T94)&lt;=0,1.15,IF(1+((AG94-T94)/T94)&lt;=0.33,1.1,
IF(1+((AG94-T94)/T94)&lt;=0.66,1.05,
IF(AG94&lt;=T94,1))))))</f>
        <v>1</v>
      </c>
      <c r="AX94" s="51">
        <f>IF(ISBLANK(AH94),0,IF(1+((AH94-U94)/U94)&gt;=1, 1-((AH94-U94)/AH94),
IF(1+((AH94-U94)/U94)&lt;=0,1.15,IF(1+((AH94-U94)/U94)&lt;=0.33,1.1,
IF(1+((AH94-U94)/U94)&lt;=0.66,1.05,
IF(AH94&lt;=U94,1))))))</f>
        <v>1</v>
      </c>
      <c r="AY94" s="51">
        <f>IF(ISBLANK(AI94),0,IF(1+((AI94-V94)/V94)&gt;=1, 1-((AI94-V94)/AI94),
IF(1+((AI94-V94)/V94)&lt;=0,1.15,IF(1+((AI94-V94)/V94)&lt;=0.33,1.1,
IF(1+((AI94-V94)/V94)&lt;=0.66,1.05,
IF(AI94&lt;=V94,1))))))</f>
        <v>1</v>
      </c>
      <c r="AZ94" s="51">
        <f>IF(ISBLANK(AJ94),0,IF(1+((AJ94-W94)/W94)&gt;=1, 1-((AJ94-W94)/AJ94),
IF(1+((AJ94-W94)/W94)&lt;=0,1.15,IF(1+((AJ94-W94)/W94)&lt;=0.33,1.1,
IF(1+((AJ94-W94)/W94)&lt;=0.66,1.05,
IF(AJ94&lt;=W94,1))))))</f>
        <v>0.38888888888888884</v>
      </c>
      <c r="BA94" s="51">
        <f t="shared" ref="BA94:BA96" si="228">IF(ISBLANK(AK94),0,IF(1+((AK94-X94)/X94)&gt;=1, 1-((AK94-X94)/AK94),
IF(1+((AK94-X94)/X94)&lt;=0,1.15,IF(1+((AK94-X94)/X94)&lt;=0.33,1.1,
IF(1+((AK94-X94)/X94)&lt;=0.66,1.05,
IF(AK94&lt;=X94,1))))))</f>
        <v>0.13725490196078427</v>
      </c>
      <c r="BB94" s="51"/>
      <c r="BC94" s="51"/>
      <c r="BD94" s="51"/>
      <c r="BE94" s="51"/>
      <c r="BF94" s="51"/>
      <c r="BG94" s="51"/>
      <c r="BH94" s="51"/>
      <c r="BI94" s="65" cm="1">
        <f t="array" ref="BI94">IFERROR(INDEX(AW94:BH94,1,MATCH(2,1/(AW94:BH94&lt;&gt;""))),"")</f>
        <v>0.13725490196078427</v>
      </c>
      <c r="BJ94" s="68" cm="1">
        <f t="array" ref="BJ94">IF(BM94 = "", "",IFERROR(INDEX(AW94:BH94,1,MATCH(2,1/(AW94:BH94&lt;&gt;""),1)-1),""))</f>
        <v>0.38888888888888884</v>
      </c>
      <c r="BK94" s="58">
        <f>IF((IF(AW94&gt;=115%,115%,AW94) + IF(AX94&gt;=115%,115%,AX94) + IF(AY94&gt;=115%,115%,AY94) + (IF(AZ94&gt;=115%,115%,AZ94) + IF(BA94&gt;=115%,115%,BA94) + IF(BB94&gt;=115%,115%,BB94) + IF(BC94&gt;=115%,115%,BC94) + IF(BD94&gt;=115%,115%,BD94) + IF(BE94&gt;=115%,115%,BE94) + IF(BF94&gt;=115%,115%,BF94) + IF(BG94&gt;=115%,115%,BG94) + IF(BH94&gt;=115%,115%,BH94)))/_xlfn.XLOOKUP(F94,Apuração!A:A,Apuração!B:B)&gt;=1.15,1.15,((IF(AZ94&gt;=115%,115%,AZ94) + IF(AX94&gt;=115%,115%,AX94) + IF(AY94&gt;=115%,115%,AY94) + (IF(AW94&gt;=115%,115%,AW94) + IF(BA94&gt;=115%,115%,BA94) + IF(BB94&gt;=115%,115%,BB94) + IF(BC94&gt;=115%,115%,BC94) + IF(BD94&gt;=115%,115%,BD94) + IF(BE94&gt;=115%,115%,BE94) + IF(BF94&gt;=115%,115%,BF94) + IF(BG94&gt;=115%,115%,BG94) + IF(BH94&gt;=115%,115%,BH94)))/_xlfn.XLOOKUP(F94,Apuração!A:A,Apuração!B:B)))</f>
        <v>0.29384531590413943</v>
      </c>
      <c r="BL94" s="58" cm="1">
        <f t="array" aca="1" ref="BL94" ca="1">IF(SUM(IFERROR(IF(INDEX(AW94:INDEX(AW94:BH94, MATCH(2, 1/(AW94:BH94&lt;&gt;""), 1)-1), ROW(INDIRECT("1:" &amp; MATCH(2, 1/(AW94:BH94&lt;&gt;""), 1)-1))) &gt;= 115%, 115%, INDEX(AW94:INDEX(AW94:BH94, MATCH(2, 1/(AW94:BH94&lt;&gt;""), 1)-1), ROW(INDIRECT("1:" &amp; MATCH(2, 1/(AW94:BH94&lt;&gt;""), 1)-1)))), 0))/_xlfn.XLOOKUP(F94,Apuração!A:A,Apuração!B:B)&gt;=1.15,1.15,SUM(IFERROR(IF(INDEX(AW94:INDEX(AW94:BH94, MATCH(2, 1/(AW94:BH94&lt;&gt;""), 1)-1), ROW(INDIRECT("1:" &amp; MATCH(2, 1/(AW94:BH94&lt;&gt;""), 1)-1))) &gt;= 115%, 115%, INDEX(AW94:INDEX(AW94:BH94, MATCH(2, 1/(AW94:BH94&lt;&gt;""), 1)-1), ROW(INDIRECT("1:" &amp; MATCH(2, 1/(AW94:BH94&lt;&gt;""), 1)-1)))), 0))/_xlfn.XLOOKUP(F94,Apuração!A:A,Apuração!B:B))</f>
        <v>0.28240740740740738</v>
      </c>
      <c r="BM94" s="55" cm="1">
        <f t="array" ref="BM94">IFERROR(
   INDEX($AW$1:$BH$1,
      _xlfn.AGGREGATE(14, 6, COLUMN($AW$1:$BH$1)/(AW94:BH94&lt;&gt;""), 2) - COLUMN($AW$1) + 1
   ),
"")</f>
        <v>46113</v>
      </c>
      <c r="BN94" s="55" cm="1">
        <f t="array" ref="BN94">IFERROR(INDEX($AW$1:$BH$1,1,MATCH(2,1/(AW94:BH94&lt;&gt;""))),"")</f>
        <v>46143</v>
      </c>
      <c r="BO94" s="53">
        <f ca="1">IFERROR(_xlfn.XLOOKUP(F94,Apuração!A:A,Apuração!C:C)/_xlfn.XLOOKUP(F94,Apuração!A:A,Apuração!B:B),0)</f>
        <v>0.41666666666666669</v>
      </c>
      <c r="BP94" s="53">
        <f ca="1">IFERROR(_xlfn.XLOOKUP(F94,Apuração!A:A,Apuração!D:D)/_xlfn.XLOOKUP(F94,Apuração!A:A,Apuração!B:B),0)</f>
        <v>0.33333333333333331</v>
      </c>
      <c r="BQ94" s="53">
        <f ca="1">IF(BK94&gt;=BO94,0,_xlfn.XLOOKUP(F94,Apuração!A:A,Apuração!B:B)*(BO94 + (1/_xlfn.XLOOKUP(F94,Apuração!A:A,Apuração!B:B)) - BK94))</f>
        <v>2.4738562091503269</v>
      </c>
      <c r="BR94" s="85">
        <f t="shared" ca="1" si="2"/>
        <v>17.316993464052288</v>
      </c>
      <c r="BS94" s="53">
        <f ca="1">IFERROR((_xlfn.XLOOKUP(F94,Apuração!A:A,Apuração!C:C)+1)/_xlfn.XLOOKUP(F94,Apuração!A:A,Apuração!B:B),0)</f>
        <v>0.5</v>
      </c>
    </row>
    <row r="95" spans="1:71" ht="25.95" hidden="1" customHeight="1" x14ac:dyDescent="0.3">
      <c r="A95" s="41" t="s">
        <v>108</v>
      </c>
      <c r="B95" s="4" t="s">
        <v>109</v>
      </c>
      <c r="C95" s="5" t="s">
        <v>35</v>
      </c>
      <c r="D95" s="5" t="s">
        <v>47</v>
      </c>
      <c r="E95" s="4" t="str" cm="1">
        <f t="array" ref="E95">_xlfn.IFS(
F95 = "A partir de Abril", "Aguardando Execução na Distribuidora",
A95 = "CAPACITAÇÃO", "Em execução no Corporativo",
TRUE, "Em Execução na Distribuidora"
)</f>
        <v>Em Execução na Distribuidora</v>
      </c>
      <c r="F95" s="4" t="str" cm="1">
        <f t="array" ref="F95">_xlfn.IFS(
AG95 &lt;&gt; "", "Jan-Dez/26",
AH95 &lt;&gt; "", "Fev-Dez/26",
AI95 &lt;&gt; "", "Mar-Dez/26", AJ95 &lt;&gt; "", "Abr-Dez/26",
TRUE, "A partir de Junho"
)</f>
        <v>Jan-Dez/26</v>
      </c>
      <c r="G95" s="4" t="s">
        <v>37</v>
      </c>
      <c r="H95" s="7" t="s">
        <v>110</v>
      </c>
      <c r="I95" s="4" t="s">
        <v>115</v>
      </c>
      <c r="J95" s="8" t="str" cm="1">
        <f t="array" aca="1" ref="J95" ca="1">_xlfn.LET(
  _xlpm.actual_value_month, INDEX(T95:AE95, MATCH(DATE(YEAR(TODAY()), MONTH(TODAY()), 1), $T$1:$AE$1, 0)),
  IF(_xlpm.actual_value_month &lt;&gt; "",_xlpm.actual_value_month &amp; " redução de notificações mensais", "")
)</f>
        <v>4 redução de notificações mensais</v>
      </c>
      <c r="K95" s="8" t="str" cm="1">
        <f t="array" ref="K95">_xlfn.LET(
    _xlpm.sum_month, SUM(T95:AE95),
    IF(_xlpm.sum_month = 0, "", _xlpm.sum_month &amp; " taxa de redução das notificações de excesso de velocidade no ano")
)</f>
        <v>48 taxa de redução das notificações de excesso de velocidade no ano</v>
      </c>
      <c r="L95" s="4" t="s">
        <v>116</v>
      </c>
      <c r="M95" s="4"/>
      <c r="N95" s="45" t="s">
        <v>42</v>
      </c>
      <c r="O95" s="5" t="s">
        <v>43</v>
      </c>
      <c r="P95" s="10" t="s">
        <v>44</v>
      </c>
      <c r="Q95" s="10" t="s">
        <v>44</v>
      </c>
      <c r="R95" s="11" t="s">
        <v>44</v>
      </c>
      <c r="S95" s="11" t="s">
        <v>44</v>
      </c>
      <c r="T95" s="143">
        <v>4</v>
      </c>
      <c r="U95" s="143">
        <v>4</v>
      </c>
      <c r="V95" s="143">
        <v>4</v>
      </c>
      <c r="W95" s="143">
        <v>4</v>
      </c>
      <c r="X95" s="143">
        <v>4</v>
      </c>
      <c r="Y95" s="143">
        <v>4</v>
      </c>
      <c r="Z95" s="143">
        <v>4</v>
      </c>
      <c r="AA95" s="143">
        <v>4</v>
      </c>
      <c r="AB95" s="143">
        <v>4</v>
      </c>
      <c r="AC95" s="143">
        <v>4</v>
      </c>
      <c r="AD95" s="143">
        <v>4</v>
      </c>
      <c r="AE95" s="143">
        <v>4</v>
      </c>
      <c r="AG95" s="145">
        <v>8</v>
      </c>
      <c r="AH95" s="149">
        <v>34</v>
      </c>
      <c r="AI95" s="149">
        <v>14</v>
      </c>
      <c r="AJ95" s="149">
        <v>16</v>
      </c>
      <c r="AK95" s="71">
        <v>51</v>
      </c>
      <c r="AL95" s="71"/>
      <c r="AM95" s="71"/>
      <c r="AN95" s="71"/>
      <c r="AO95" s="71"/>
      <c r="AP95" s="71"/>
      <c r="AQ95" s="71"/>
      <c r="AR95" s="71"/>
      <c r="AS95" s="94">
        <f t="shared" ref="AS95:AS96" ca="1" si="229">IF(MONTH(TODAY())=3,SUM(T95:U95),IF(MONTH(TODAY())=4,SUM(T95:V95),IF(MONTH(TODAY())=5,SUM(T95:W95),IF(MONTH(TODAY())=6,SUM(T95:X95),IF(MONTH(TODAY())=7,SUM(T95:Y95),IF(MONTH(TODAY())=8,SUM(T95:Z95),IF(MONTH(TODAY())=9,SUM(T95:AA95),IF(MONTH(TODAY())=10,SUM(T95:AB95),IF(MONTH(TODAY())=11,SUM(T95:AC95),IF(MONTH(TODAY())=12,SUM(T95:AD95),IF(MONTH(TODAY())=1,SUM(T95:AE95),T95)))))))))))</f>
        <v>20</v>
      </c>
      <c r="AT95" s="95">
        <f t="shared" ref="AT95:AT96" si="230">SUM(IF(AW95&lt;1.15,AG95,1.15*T95),IF(AX95&lt;1.15,AH95,1.15*U95),IF(AY95&lt;1.15,AI95,1.15*V95),IF(AZ95&lt;1.15,AJ95,1.15*W95),IF(BA95&lt;1.15,AK95,1.15*X95),IF(BB95&lt;1.15,AL95,1.15*Y95),IF(BC95&lt;1.15,AM95,1.15*Z95),IF(BD95&lt;1.15,AN95,1.15*AA95),IF(BE95&lt;1.15,AO95,1.15*AB95),IF(BF95&lt;1.15,AP95,1.15*AC95),IF(BG95&lt;1.15,AQ95,1.15*AD95),IF(BH95&lt;1.15,AR95,1.15*AE95))</f>
        <v>123</v>
      </c>
      <c r="AU95" s="97">
        <f t="shared" ref="AU95:AU96" si="231">SUM(AG95:AR95)</f>
        <v>123</v>
      </c>
      <c r="AW95" s="51">
        <f t="shared" ref="AW95:AW96" si="232">IF(ISBLANK(AG95),0,IF(1+((AG95-T95)/T95)&gt;=1, 1-((AG95-T95)/AG95),
IF(1+((AG95-T95)/T95)&lt;=0,1.15,IF(1+((AG95-T95)/T95)&lt;=0.33,1.1,
IF(1+((AG95-T95)/T95)&lt;=0.66,1.05,
IF(AG95&lt;=T95,1))))))</f>
        <v>0.5</v>
      </c>
      <c r="AX95" s="51">
        <f t="shared" ref="AX95:AX96" si="233">IF(ISBLANK(AH95),0,IF(1+((AH95-U95)/U95)&gt;=1, 1-((AH95-U95)/AH95),
IF(1+((AH95-U95)/U95)&lt;=0,1.15,IF(1+((AH95-U95)/U95)&lt;=0.33,1.1,
IF(1+((AH95-U95)/U95)&lt;=0.66,1.05,
IF(AH95&lt;=U95,1))))))</f>
        <v>0.11764705882352944</v>
      </c>
      <c r="AY95" s="51">
        <f t="shared" ref="AY95:AY96" si="234">IF(ISBLANK(AI95),0,IF(1+((AI95-V95)/V95)&gt;=1, 1-((AI95-V95)/AI95),
IF(1+((AI95-V95)/V95)&lt;=0,1.15,IF(1+((AI95-V95)/V95)&lt;=0.33,1.1,
IF(1+((AI95-V95)/V95)&lt;=0.66,1.05,
IF(AI95&lt;=V95,1))))))</f>
        <v>0.2857142857142857</v>
      </c>
      <c r="AZ95" s="51">
        <f t="shared" ref="AZ95:AZ96" si="235">IF(ISBLANK(AJ95),0,IF(1+((AJ95-W95)/W95)&gt;=1, 1-((AJ95-W95)/AJ95),
IF(1+((AJ95-W95)/W95)&lt;=0,1.15,IF(1+((AJ95-W95)/W95)&lt;=0.33,1.1,
IF(1+((AJ95-W95)/W95)&lt;=0.66,1.05,
IF(AJ95&lt;=W95,1))))))</f>
        <v>0.25</v>
      </c>
      <c r="BA95" s="51">
        <f t="shared" si="228"/>
        <v>7.8431372549019662E-2</v>
      </c>
      <c r="BB95" s="51"/>
      <c r="BC95" s="51"/>
      <c r="BD95" s="51"/>
      <c r="BE95" s="51"/>
      <c r="BF95" s="51"/>
      <c r="BG95" s="51"/>
      <c r="BH95" s="51"/>
      <c r="BI95" s="65" cm="1">
        <f t="array" ref="BI95">IFERROR(INDEX(AW95:BH95,1,MATCH(2,1/(AW95:BH95&lt;&gt;""))),"")</f>
        <v>7.8431372549019662E-2</v>
      </c>
      <c r="BJ95" s="68" cm="1">
        <f t="array" ref="BJ95">IF(BM95 = "", "",IFERROR(INDEX(AW95:BH95,1,MATCH(2,1/(AW95:BH95&lt;&gt;""),1)-1),""))</f>
        <v>0.25</v>
      </c>
      <c r="BK95" s="58">
        <f>IF((IF(AW95&gt;=115%,115%,AW95) + IF(AX95&gt;=115%,115%,AX95) + IF(AY95&gt;=115%,115%,AY95) + (IF(AZ95&gt;=115%,115%,AZ95) + IF(BA95&gt;=115%,115%,BA95) + IF(BB95&gt;=115%,115%,BB95) + IF(BC95&gt;=115%,115%,BC95) + IF(BD95&gt;=115%,115%,BD95) + IF(BE95&gt;=115%,115%,BE95) + IF(BF95&gt;=115%,115%,BF95) + IF(BG95&gt;=115%,115%,BG95) + IF(BH95&gt;=115%,115%,BH95)))/_xlfn.XLOOKUP(F95,Apuração!A:A,Apuração!B:B)&gt;=1.15,1.15,((IF(AZ95&gt;=115%,115%,AZ95) + IF(AX95&gt;=115%,115%,AX95) + IF(AY95&gt;=115%,115%,AY95) + (IF(AW95&gt;=115%,115%,AW95) + IF(BA95&gt;=115%,115%,BA95) + IF(BB95&gt;=115%,115%,BB95) + IF(BC95&gt;=115%,115%,BC95) + IF(BD95&gt;=115%,115%,BD95) + IF(BE95&gt;=115%,115%,BE95) + IF(BF95&gt;=115%,115%,BF95) + IF(BG95&gt;=115%,115%,BG95) + IF(BH95&gt;=115%,115%,BH95)))/_xlfn.XLOOKUP(F95,Apuração!A:A,Apuração!B:B)))</f>
        <v>0.10264939309056957</v>
      </c>
      <c r="BL95" s="58" cm="1">
        <f t="array" aca="1" ref="BL95" ca="1">IF(SUM(IFERROR(IF(INDEX(AW95:INDEX(AW95:BH95, MATCH(2, 1/(AW95:BH95&lt;&gt;""), 1)-1), ROW(INDIRECT("1:" &amp; MATCH(2, 1/(AW95:BH95&lt;&gt;""), 1)-1))) &gt;= 115%, 115%, INDEX(AW95:INDEX(AW95:BH95, MATCH(2, 1/(AW95:BH95&lt;&gt;""), 1)-1), ROW(INDIRECT("1:" &amp; MATCH(2, 1/(AW95:BH95&lt;&gt;""), 1)-1)))), 0))/_xlfn.XLOOKUP(F95,Apuração!A:A,Apuração!B:B)&gt;=1.15,1.15,SUM(IFERROR(IF(INDEX(AW95:INDEX(AW95:BH95, MATCH(2, 1/(AW95:BH95&lt;&gt;""), 1)-1), ROW(INDIRECT("1:" &amp; MATCH(2, 1/(AW95:BH95&lt;&gt;""), 1)-1))) &gt;= 115%, 115%, INDEX(AW95:INDEX(AW95:BH95, MATCH(2, 1/(AW95:BH95&lt;&gt;""), 1)-1), ROW(INDIRECT("1:" &amp; MATCH(2, 1/(AW95:BH95&lt;&gt;""), 1)-1)))), 0))/_xlfn.XLOOKUP(F95,Apuração!A:A,Apuração!B:B))</f>
        <v>9.6113445378151252E-2</v>
      </c>
      <c r="BM95" s="55" cm="1">
        <f t="array" ref="BM95">IFERROR(
   INDEX($AW$1:$BH$1,
      _xlfn.AGGREGATE(14, 6, COLUMN($AW$1:$BH$1)/(AW95:BH95&lt;&gt;""), 2) - COLUMN($AW$1) + 1
   ),
"")</f>
        <v>46113</v>
      </c>
      <c r="BN95" s="55" cm="1">
        <f t="array" ref="BN95">IFERROR(INDEX($AW$1:$BH$1,1,MATCH(2,1/(AW95:BH95&lt;&gt;""))),"")</f>
        <v>46143</v>
      </c>
      <c r="BO95" s="53">
        <f ca="1">IFERROR(_xlfn.XLOOKUP(F95,Apuração!A:A,Apuração!C:C)/_xlfn.XLOOKUP(F95,Apuração!A:A,Apuração!B:B),0)</f>
        <v>0.41666666666666669</v>
      </c>
      <c r="BP95" s="53">
        <f ca="1">IFERROR(_xlfn.XLOOKUP(F95,Apuração!A:A,Apuração!D:D)/_xlfn.XLOOKUP(F95,Apuração!A:A,Apuração!B:B),0)</f>
        <v>0.33333333333333331</v>
      </c>
      <c r="BQ95" s="53">
        <f ca="1">IF(BK95&gt;=BO95,0,_xlfn.XLOOKUP(F95,Apuração!A:A,Apuração!B:B)*(BO95 + (1/_xlfn.XLOOKUP(F95,Apuração!A:A,Apuração!B:B)) - BK95))</f>
        <v>4.7682072829131652</v>
      </c>
      <c r="BR95" s="85">
        <f t="shared" ref="BR95:BR96" ca="1" si="236">IF(BQ95=0,0,BQ95*Z95)</f>
        <v>19.072829131652661</v>
      </c>
      <c r="BS95" s="53">
        <f ca="1">IFERROR((_xlfn.XLOOKUP(F95,Apuração!A:A,Apuração!C:C)+1)/_xlfn.XLOOKUP(F95,Apuração!A:A,Apuração!B:B),0)</f>
        <v>0.5</v>
      </c>
    </row>
    <row r="96" spans="1:71" ht="25.95" hidden="1" customHeight="1" x14ac:dyDescent="0.3">
      <c r="A96" s="41" t="s">
        <v>108</v>
      </c>
      <c r="B96" s="4" t="s">
        <v>109</v>
      </c>
      <c r="C96" s="5" t="s">
        <v>35</v>
      </c>
      <c r="D96" s="5" t="s">
        <v>48</v>
      </c>
      <c r="E96" s="4" t="str" cm="1">
        <f t="array" ref="E96">_xlfn.IFS(
F96 = "A partir de Abril", "Aguardando Execução na Distribuidora",
A96 = "CAPACITAÇÃO", "Em execução no Corporativo",
TRUE, "Em Execução na Distribuidora"
)</f>
        <v>Em Execução na Distribuidora</v>
      </c>
      <c r="F96" s="4" t="str" cm="1">
        <f t="array" ref="F96">_xlfn.IFS(
AG96 &lt;&gt; "", "Jan-Dez/26",
AH96 &lt;&gt; "", "Fev-Dez/26",
AI96 &lt;&gt; "", "Mar-Dez/26", AJ96 &lt;&gt; "", "Abr-Dez/26",
TRUE, "A partir de Junho"
)</f>
        <v>Jan-Dez/26</v>
      </c>
      <c r="G96" s="4" t="s">
        <v>37</v>
      </c>
      <c r="H96" s="7" t="s">
        <v>110</v>
      </c>
      <c r="I96" s="4" t="s">
        <v>115</v>
      </c>
      <c r="J96" s="8" t="str" cm="1">
        <f t="array" aca="1" ref="J96" ca="1">_xlfn.LET(
  _xlpm.actual_value_month, INDEX(T96:AE96, MATCH(DATE(YEAR(TODAY()), MONTH(TODAY()), 1), $T$1:$AE$1, 0)),
  IF(_xlpm.actual_value_month &lt;&gt; "",_xlpm.actual_value_month &amp; " redução de notificações mensais", "")
)</f>
        <v>4 redução de notificações mensais</v>
      </c>
      <c r="K96" s="8" t="str" cm="1">
        <f t="array" ref="K96">_xlfn.LET(
    _xlpm.sum_month, SUM(T96:AE96),
    IF(_xlpm.sum_month = 0, "", _xlpm.sum_month &amp; " taxa de redução das notificações de excesso de velocidade no ano")
)</f>
        <v>48 taxa de redução das notificações de excesso de velocidade no ano</v>
      </c>
      <c r="L96" s="4" t="s">
        <v>116</v>
      </c>
      <c r="M96" s="4"/>
      <c r="N96" s="45" t="s">
        <v>42</v>
      </c>
      <c r="O96" s="5" t="s">
        <v>43</v>
      </c>
      <c r="P96" s="10" t="s">
        <v>44</v>
      </c>
      <c r="Q96" s="10" t="s">
        <v>44</v>
      </c>
      <c r="R96" s="11" t="s">
        <v>44</v>
      </c>
      <c r="S96" s="11" t="s">
        <v>44</v>
      </c>
      <c r="T96" s="143">
        <v>4</v>
      </c>
      <c r="U96" s="143">
        <v>4</v>
      </c>
      <c r="V96" s="143">
        <v>4</v>
      </c>
      <c r="W96" s="143">
        <v>4</v>
      </c>
      <c r="X96" s="143">
        <v>4</v>
      </c>
      <c r="Y96" s="143">
        <v>4</v>
      </c>
      <c r="Z96" s="143">
        <v>4</v>
      </c>
      <c r="AA96" s="143">
        <v>4</v>
      </c>
      <c r="AB96" s="143">
        <v>4</v>
      </c>
      <c r="AC96" s="143">
        <v>4</v>
      </c>
      <c r="AD96" s="143">
        <v>4</v>
      </c>
      <c r="AE96" s="143">
        <v>4</v>
      </c>
      <c r="AG96" s="146">
        <v>1</v>
      </c>
      <c r="AH96" s="150">
        <v>13</v>
      </c>
      <c r="AI96" s="150">
        <v>16</v>
      </c>
      <c r="AJ96" s="150">
        <v>2</v>
      </c>
      <c r="AK96" s="71">
        <v>0</v>
      </c>
      <c r="AL96" s="71"/>
      <c r="AM96" s="71"/>
      <c r="AN96" s="71"/>
      <c r="AO96" s="71"/>
      <c r="AP96" s="71"/>
      <c r="AQ96" s="71"/>
      <c r="AR96" s="71"/>
      <c r="AS96" s="94">
        <f t="shared" ca="1" si="229"/>
        <v>20</v>
      </c>
      <c r="AT96" s="95">
        <f t="shared" si="230"/>
        <v>36.6</v>
      </c>
      <c r="AU96" s="97">
        <f t="shared" si="231"/>
        <v>32</v>
      </c>
      <c r="AW96" s="51">
        <f t="shared" si="232"/>
        <v>1.1000000000000001</v>
      </c>
      <c r="AX96" s="51">
        <f t="shared" si="233"/>
        <v>0.30769230769230771</v>
      </c>
      <c r="AY96" s="51">
        <f t="shared" si="234"/>
        <v>0.25</v>
      </c>
      <c r="AZ96" s="51">
        <f t="shared" si="235"/>
        <v>1.05</v>
      </c>
      <c r="BA96" s="51">
        <f t="shared" si="228"/>
        <v>1.1499999999999999</v>
      </c>
      <c r="BB96" s="51"/>
      <c r="BC96" s="51"/>
      <c r="BD96" s="51"/>
      <c r="BE96" s="51"/>
      <c r="BF96" s="51"/>
      <c r="BG96" s="51"/>
      <c r="BH96" s="51"/>
      <c r="BI96" s="65" cm="1">
        <f t="array" ref="BI96">IFERROR(INDEX(AW96:BH96,1,MATCH(2,1/(AW96:BH96&lt;&gt;""))),"")</f>
        <v>1.1499999999999999</v>
      </c>
      <c r="BJ96" s="68" cm="1">
        <f t="array" ref="BJ96">IF(BM96 = "", "",IFERROR(INDEX(AW96:BH96,1,MATCH(2,1/(AW96:BH96&lt;&gt;""),1)-1),""))</f>
        <v>1.05</v>
      </c>
      <c r="BK96" s="58">
        <f>IF((IF(AW96&gt;=115%,115%,AW96) + IF(AX96&gt;=115%,115%,AX96) + IF(AY96&gt;=115%,115%,AY96) + (IF(AZ96&gt;=115%,115%,AZ96) + IF(BA96&gt;=115%,115%,BA96) + IF(BB96&gt;=115%,115%,BB96) + IF(BC96&gt;=115%,115%,BC96) + IF(BD96&gt;=115%,115%,BD96) + IF(BE96&gt;=115%,115%,BE96) + IF(BF96&gt;=115%,115%,BF96) + IF(BG96&gt;=115%,115%,BG96) + IF(BH96&gt;=115%,115%,BH96)))/_xlfn.XLOOKUP(F96,Apuração!A:A,Apuração!B:B)&gt;=1.15,1.15,((IF(AZ96&gt;=115%,115%,AZ96) + IF(AX96&gt;=115%,115%,AX96) + IF(AY96&gt;=115%,115%,AY96) + (IF(AW96&gt;=115%,115%,AW96) + IF(BA96&gt;=115%,115%,BA96) + IF(BB96&gt;=115%,115%,BB96) + IF(BC96&gt;=115%,115%,BC96) + IF(BD96&gt;=115%,115%,BD96) + IF(BE96&gt;=115%,115%,BE96) + IF(BF96&gt;=115%,115%,BF96) + IF(BG96&gt;=115%,115%,BG96) + IF(BH96&gt;=115%,115%,BH96)))/_xlfn.XLOOKUP(F96,Apuração!A:A,Apuração!B:B)))</f>
        <v>0.321474358974359</v>
      </c>
      <c r="BL96" s="58" cm="1">
        <f t="array" aca="1" ref="BL96" ca="1">IF(SUM(IFERROR(IF(INDEX(AW96:INDEX(AW96:BH96, MATCH(2, 1/(AW96:BH96&lt;&gt;""), 1)-1), ROW(INDIRECT("1:" &amp; MATCH(2, 1/(AW96:BH96&lt;&gt;""), 1)-1))) &gt;= 115%, 115%, INDEX(AW96:INDEX(AW96:BH96, MATCH(2, 1/(AW96:BH96&lt;&gt;""), 1)-1), ROW(INDIRECT("1:" &amp; MATCH(2, 1/(AW96:BH96&lt;&gt;""), 1)-1)))), 0))/_xlfn.XLOOKUP(F96,Apuração!A:A,Apuração!B:B)&gt;=1.15,1.15,SUM(IFERROR(IF(INDEX(AW96:INDEX(AW96:BH96, MATCH(2, 1/(AW96:BH96&lt;&gt;""), 1)-1), ROW(INDIRECT("1:" &amp; MATCH(2, 1/(AW96:BH96&lt;&gt;""), 1)-1))) &gt;= 115%, 115%, INDEX(AW96:INDEX(AW96:BH96, MATCH(2, 1/(AW96:BH96&lt;&gt;""), 1)-1), ROW(INDIRECT("1:" &amp; MATCH(2, 1/(AW96:BH96&lt;&gt;""), 1)-1)))), 0))/_xlfn.XLOOKUP(F96,Apuração!A:A,Apuração!B:B))</f>
        <v>0.22564102564102564</v>
      </c>
      <c r="BM96" s="55" cm="1">
        <f t="array" ref="BM96">IFERROR(
   INDEX($AW$1:$BH$1,
      _xlfn.AGGREGATE(14, 6, COLUMN($AW$1:$BH$1)/(AW96:BH96&lt;&gt;""), 2) - COLUMN($AW$1) + 1
   ),
"")</f>
        <v>46113</v>
      </c>
      <c r="BN96" s="55" cm="1">
        <f t="array" ref="BN96">IFERROR(INDEX($AW$1:$BH$1,1,MATCH(2,1/(AW96:BH96&lt;&gt;""))),"")</f>
        <v>46143</v>
      </c>
      <c r="BO96" s="53">
        <f ca="1">IFERROR(_xlfn.XLOOKUP(F96,Apuração!A:A,Apuração!C:C)/_xlfn.XLOOKUP(F96,Apuração!A:A,Apuração!B:B),0)</f>
        <v>0.41666666666666669</v>
      </c>
      <c r="BP96" s="53">
        <f ca="1">IFERROR(_xlfn.XLOOKUP(F96,Apuração!A:A,Apuração!D:D)/_xlfn.XLOOKUP(F96,Apuração!A:A,Apuração!B:B),0)</f>
        <v>0.33333333333333331</v>
      </c>
      <c r="BQ96" s="53">
        <f ca="1">IF(BK96&gt;=BO96,0,_xlfn.XLOOKUP(F96,Apuração!A:A,Apuração!B:B)*(BO96 + (1/_xlfn.XLOOKUP(F96,Apuração!A:A,Apuração!B:B)) - BK96))</f>
        <v>2.1423076923076918</v>
      </c>
      <c r="BR96" s="85">
        <f t="shared" ca="1" si="236"/>
        <v>8.5692307692307672</v>
      </c>
      <c r="BS96" s="53">
        <f ca="1">IFERROR((_xlfn.XLOOKUP(F96,Apuração!A:A,Apuração!C:C)+1)/_xlfn.XLOOKUP(F96,Apuração!A:A,Apuração!B:B),0)</f>
        <v>0.5</v>
      </c>
    </row>
    <row r="97" spans="1:71" ht="25.95" hidden="1" customHeight="1" x14ac:dyDescent="0.3">
      <c r="A97" s="70" t="s">
        <v>108</v>
      </c>
      <c r="B97" s="136" t="s">
        <v>117</v>
      </c>
      <c r="C97" s="137" t="s">
        <v>35</v>
      </c>
      <c r="D97" s="5" t="s">
        <v>36</v>
      </c>
      <c r="E97" s="136" t="s">
        <v>118</v>
      </c>
      <c r="F97" s="4" t="str" cm="1">
        <f t="array" ref="F97">_xlfn.IFS(
AG97 &lt;&gt; "", "Jan-Dez/26",
AH97 &lt;&gt; "", "Fev-Dez/26",
AI97 &lt;&gt; "", "Mar-Dez/26", AJ97 &lt;&gt; "", "Abr-Dez/26",
TRUE, "A partir de Junho"
)</f>
        <v>Jan-Dez/26</v>
      </c>
      <c r="G97" s="4" t="s">
        <v>37</v>
      </c>
      <c r="H97" s="7" t="s">
        <v>38</v>
      </c>
      <c r="I97" s="4" t="s">
        <v>119</v>
      </c>
      <c r="J97" s="8" t="str" cm="1">
        <f t="array" aca="1" ref="J97" ca="1">_xlfn.LET(
  _xlpm.actual_value_month, INDEX(T97:AE97, MATCH(DATE(YEAR(TODAY()), MONTH(TODAY()), 1), $T$1:$AE$1, 0)),
  IF(_xlpm.actual_value_month &lt;&gt; "",_xlpm.actual_value_month &amp; " ações mensais", "")
)</f>
        <v/>
      </c>
      <c r="K97" s="8" t="str" cm="1">
        <f t="array" ref="K97">_xlfn.LET(
    _xlpm.sum_month, SUM(T97:AE97),
    IF(_xlpm.sum_month = 0, "", _xlpm.sum_month &amp; " NC's no ano")
)</f>
        <v/>
      </c>
      <c r="L97" s="4" t="s">
        <v>120</v>
      </c>
      <c r="M97" s="19"/>
      <c r="N97" s="5" t="s">
        <v>51</v>
      </c>
      <c r="O97" s="5"/>
      <c r="P97" s="10"/>
      <c r="Q97" s="10"/>
      <c r="R97" s="11"/>
      <c r="S97" s="11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81"/>
      <c r="AG97" s="71">
        <v>1867</v>
      </c>
      <c r="AH97" s="71">
        <v>1682</v>
      </c>
      <c r="AI97" s="71">
        <v>1216</v>
      </c>
      <c r="AJ97" s="71"/>
      <c r="AK97" s="71"/>
      <c r="AL97" s="71"/>
      <c r="AM97" s="71"/>
      <c r="AN97" s="71"/>
      <c r="AO97" s="71"/>
      <c r="AP97" s="71"/>
      <c r="AQ97" s="71"/>
      <c r="AR97" s="71"/>
      <c r="AS97" s="94"/>
      <c r="AT97" s="95"/>
      <c r="AU97" s="97"/>
      <c r="AV97" s="81"/>
      <c r="AW97" s="83">
        <f>AG97</f>
        <v>1867</v>
      </c>
      <c r="AX97" s="83">
        <f t="shared" ref="AX97:AZ97" si="237">AH97</f>
        <v>1682</v>
      </c>
      <c r="AY97" s="83">
        <f t="shared" si="237"/>
        <v>1216</v>
      </c>
      <c r="AZ97" s="83">
        <f t="shared" si="237"/>
        <v>0</v>
      </c>
      <c r="BA97" s="83"/>
      <c r="BB97" s="83"/>
      <c r="BC97" s="83"/>
      <c r="BD97" s="83"/>
      <c r="BE97" s="83"/>
      <c r="BF97" s="83"/>
      <c r="BG97" s="83"/>
      <c r="BH97" s="83"/>
      <c r="BI97" s="65"/>
      <c r="BJ97" s="68"/>
      <c r="BK97" s="59">
        <f>SUM(AW97:BH97)</f>
        <v>4765</v>
      </c>
      <c r="BL97" s="59" cm="1">
        <f t="array" ref="BL97">IFERROR(SUM(AW97:INDEX(AW97:BH97, MATCH(2, 1/(AW97:BH97&lt;&gt;""), 1) - 1))/_xlfn.XLOOKUP(F97,Apuração!A:A,Apuração!B:B),0)</f>
        <v>397.08333333333331</v>
      </c>
      <c r="BM97" s="55"/>
      <c r="BN97" s="55"/>
      <c r="BO97" s="53">
        <f ca="1">IFERROR(_xlfn.XLOOKUP(F97,Apuração!A:A,Apuração!C:C)/_xlfn.XLOOKUP(F97,Apuração!A:A,Apuração!B:B),0)</f>
        <v>0.41666666666666669</v>
      </c>
      <c r="BP97" s="53">
        <f ca="1">IFERROR(_xlfn.XLOOKUP(F97,Apuração!A:A,Apuração!D:D)/_xlfn.XLOOKUP(F97,Apuração!A:A,Apuração!B:B),0)</f>
        <v>0.33333333333333331</v>
      </c>
      <c r="BQ97" s="53">
        <f ca="1">IF(BK97&gt;=BO97,0,_xlfn.XLOOKUP(F97,Apuração!A:A,Apuração!B:B)*(BO97 + (1/_xlfn.XLOOKUP(F97,Apuração!A:A,Apuração!B:B)) - BK97))</f>
        <v>0</v>
      </c>
      <c r="BR97" s="85">
        <f t="shared" ca="1" si="2"/>
        <v>0</v>
      </c>
      <c r="BS97" s="53">
        <f ca="1">IFERROR((_xlfn.XLOOKUP(F97,Apuração!A:A,Apuração!C:C)+1)/_xlfn.XLOOKUP(F97,Apuração!A:A,Apuração!B:B),0)</f>
        <v>0.5</v>
      </c>
    </row>
    <row r="98" spans="1:71" ht="25.95" hidden="1" customHeight="1" x14ac:dyDescent="0.3">
      <c r="A98" s="70" t="s">
        <v>108</v>
      </c>
      <c r="B98" s="136" t="s">
        <v>117</v>
      </c>
      <c r="C98" s="137" t="s">
        <v>35</v>
      </c>
      <c r="D98" s="5" t="s">
        <v>47</v>
      </c>
      <c r="E98" s="136" t="s">
        <v>118</v>
      </c>
      <c r="F98" s="4" t="str" cm="1">
        <f t="array" ref="F98">_xlfn.IFS(
AG98 &lt;&gt; "", "Jan-Dez/26",
AH98 &lt;&gt; "", "Fev-Dez/26",
AI98 &lt;&gt; "", "Mar-Dez/26", AJ98 &lt;&gt; "", "Abr-Dez/26",
TRUE, "A partir de Junho"
)</f>
        <v>A partir de Junho</v>
      </c>
      <c r="G98" s="4" t="s">
        <v>37</v>
      </c>
      <c r="H98" s="7" t="s">
        <v>38</v>
      </c>
      <c r="I98" s="4" t="s">
        <v>119</v>
      </c>
      <c r="J98" s="8" t="str" cm="1">
        <f t="array" aca="1" ref="J98" ca="1">_xlfn.LET(
  _xlpm.actual_value_month, INDEX(T98:AE98, MATCH(DATE(YEAR(TODAY()), MONTH(TODAY()), 1), $T$1:$AE$1, 0)),
  IF(_xlpm.actual_value_month &lt;&gt; "",_xlpm.actual_value_month &amp; " ações mensais", "")
)</f>
        <v/>
      </c>
      <c r="K98" s="8" t="str" cm="1">
        <f t="array" ref="K98">_xlfn.LET(
    _xlpm.sum_month, SUM(T98:AE98),
    IF(_xlpm.sum_month = 0, "", _xlpm.sum_month &amp; " NC's no ano")
)</f>
        <v/>
      </c>
      <c r="L98" s="4" t="s">
        <v>120</v>
      </c>
      <c r="M98" s="19"/>
      <c r="N98" s="5" t="s">
        <v>51</v>
      </c>
      <c r="O98" s="5"/>
      <c r="P98" s="10"/>
      <c r="Q98" s="10"/>
      <c r="R98" s="11"/>
      <c r="S98" s="11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8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94"/>
      <c r="AT98" s="95"/>
      <c r="AU98" s="97"/>
      <c r="AV98" s="81"/>
      <c r="AW98" s="83">
        <f t="shared" ref="AW98:AW99" si="238">AG98</f>
        <v>0</v>
      </c>
      <c r="AX98" s="83">
        <f t="shared" ref="AX98:AX99" si="239">AH98</f>
        <v>0</v>
      </c>
      <c r="AY98" s="83">
        <f t="shared" ref="AY98:AY99" si="240">AI98</f>
        <v>0</v>
      </c>
      <c r="AZ98" s="83">
        <f t="shared" ref="AZ98:AZ99" si="241">AJ98</f>
        <v>0</v>
      </c>
      <c r="BA98" s="83"/>
      <c r="BB98" s="83"/>
      <c r="BC98" s="83"/>
      <c r="BD98" s="83"/>
      <c r="BE98" s="83"/>
      <c r="BF98" s="83"/>
      <c r="BG98" s="83"/>
      <c r="BH98" s="83"/>
      <c r="BI98" s="65"/>
      <c r="BJ98" s="68"/>
      <c r="BK98" s="59">
        <f t="shared" ref="BK98:BK99" si="242">SUM(AW98:BH98)</f>
        <v>0</v>
      </c>
      <c r="BL98" s="59" cm="1">
        <f t="array" ref="BL98">IFERROR(SUM(AW98:INDEX(AW98:BH98, MATCH(2, 1/(AW98:BH98&lt;&gt;""), 1) - 1))/_xlfn.XLOOKUP(F98,Apuração!A:A,Apuração!B:B),0)</f>
        <v>0</v>
      </c>
      <c r="BM98" s="55"/>
      <c r="BN98" s="55"/>
      <c r="BO98" s="53">
        <f ca="1">IFERROR(_xlfn.XLOOKUP(F98,Apuração!A:A,Apuração!C:C)/_xlfn.XLOOKUP(F98,Apuração!A:A,Apuração!B:B),0)</f>
        <v>0</v>
      </c>
      <c r="BP98" s="53">
        <f ca="1">IFERROR(_xlfn.XLOOKUP(F98,Apuração!A:A,Apuração!D:D)/_xlfn.XLOOKUP(F98,Apuração!A:A,Apuração!B:B),0)</f>
        <v>0</v>
      </c>
      <c r="BQ98" s="53">
        <f ca="1">IF(BK98&gt;=BO98,0,_xlfn.XLOOKUP(F98,Apuração!A:A,Apuração!B:B)*(BO98 + (1/_xlfn.XLOOKUP(F98,Apuração!A:A,Apuração!B:B)) - BK98))</f>
        <v>0</v>
      </c>
      <c r="BR98" s="85">
        <f t="shared" ref="BR98:BR99" ca="1" si="243">IF(BQ98=0,0,BQ98*Z98)</f>
        <v>0</v>
      </c>
      <c r="BS98" s="53">
        <f ca="1">IFERROR((_xlfn.XLOOKUP(F98,Apuração!A:A,Apuração!C:C)+1)/_xlfn.XLOOKUP(F98,Apuração!A:A,Apuração!B:B),0)</f>
        <v>0.14285714285714285</v>
      </c>
    </row>
    <row r="99" spans="1:71" ht="25.95" hidden="1" customHeight="1" x14ac:dyDescent="0.3">
      <c r="A99" s="70" t="s">
        <v>108</v>
      </c>
      <c r="B99" s="136" t="s">
        <v>117</v>
      </c>
      <c r="C99" s="137" t="s">
        <v>35</v>
      </c>
      <c r="D99" s="5" t="s">
        <v>48</v>
      </c>
      <c r="E99" s="136" t="s">
        <v>118</v>
      </c>
      <c r="F99" s="4" t="str" cm="1">
        <f t="array" ref="F99">_xlfn.IFS(
AG99 &lt;&gt; "", "Jan-Dez/26",
AH99 &lt;&gt; "", "Fev-Dez/26",
AI99 &lt;&gt; "", "Mar-Dez/26", AJ99 &lt;&gt; "", "Abr-Dez/26",
TRUE, "A partir de Junho"
)</f>
        <v>A partir de Junho</v>
      </c>
      <c r="G99" s="4" t="s">
        <v>37</v>
      </c>
      <c r="H99" s="7" t="s">
        <v>38</v>
      </c>
      <c r="I99" s="4" t="s">
        <v>119</v>
      </c>
      <c r="J99" s="8" t="str" cm="1">
        <f t="array" aca="1" ref="J99" ca="1">_xlfn.LET(
  _xlpm.actual_value_month, INDEX(T99:AE99, MATCH(DATE(YEAR(TODAY()), MONTH(TODAY()), 1), $T$1:$AE$1, 0)),
  IF(_xlpm.actual_value_month &lt;&gt; "",_xlpm.actual_value_month &amp; " ações mensais", "")
)</f>
        <v/>
      </c>
      <c r="K99" s="8" t="str" cm="1">
        <f t="array" ref="K99">_xlfn.LET(
    _xlpm.sum_month, SUM(T99:AE99),
    IF(_xlpm.sum_month = 0, "", _xlpm.sum_month &amp; " NC's no ano")
)</f>
        <v/>
      </c>
      <c r="L99" s="4" t="s">
        <v>120</v>
      </c>
      <c r="M99" s="19"/>
      <c r="N99" s="5" t="s">
        <v>51</v>
      </c>
      <c r="O99" s="5"/>
      <c r="P99" s="10"/>
      <c r="Q99" s="10"/>
      <c r="R99" s="11"/>
      <c r="S99" s="11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8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94"/>
      <c r="AT99" s="95"/>
      <c r="AU99" s="97"/>
      <c r="AV99" s="81"/>
      <c r="AW99" s="83">
        <f t="shared" si="238"/>
        <v>0</v>
      </c>
      <c r="AX99" s="83">
        <f t="shared" si="239"/>
        <v>0</v>
      </c>
      <c r="AY99" s="83">
        <f t="shared" si="240"/>
        <v>0</v>
      </c>
      <c r="AZ99" s="83">
        <f t="shared" si="241"/>
        <v>0</v>
      </c>
      <c r="BA99" s="83"/>
      <c r="BB99" s="83"/>
      <c r="BC99" s="83"/>
      <c r="BD99" s="83"/>
      <c r="BE99" s="83"/>
      <c r="BF99" s="83"/>
      <c r="BG99" s="83"/>
      <c r="BH99" s="83"/>
      <c r="BI99" s="65"/>
      <c r="BJ99" s="68"/>
      <c r="BK99" s="59">
        <f t="shared" si="242"/>
        <v>0</v>
      </c>
      <c r="BL99" s="59" cm="1">
        <f t="array" ref="BL99">IFERROR(SUM(AW99:INDEX(AW99:BH99, MATCH(2, 1/(AW99:BH99&lt;&gt;""), 1) - 1))/_xlfn.XLOOKUP(F99,Apuração!A:A,Apuração!B:B),0)</f>
        <v>0</v>
      </c>
      <c r="BM99" s="55"/>
      <c r="BN99" s="55"/>
      <c r="BO99" s="53">
        <f ca="1">IFERROR(_xlfn.XLOOKUP(F99,Apuração!A:A,Apuração!C:C)/_xlfn.XLOOKUP(F99,Apuração!A:A,Apuração!B:B),0)</f>
        <v>0</v>
      </c>
      <c r="BP99" s="53">
        <f ca="1">IFERROR(_xlfn.XLOOKUP(F99,Apuração!A:A,Apuração!D:D)/_xlfn.XLOOKUP(F99,Apuração!A:A,Apuração!B:B),0)</f>
        <v>0</v>
      </c>
      <c r="BQ99" s="53">
        <f ca="1">IF(BK99&gt;=BO99,0,_xlfn.XLOOKUP(F99,Apuração!A:A,Apuração!B:B)*(BO99 + (1/_xlfn.XLOOKUP(F99,Apuração!A:A,Apuração!B:B)) - BK99))</f>
        <v>0</v>
      </c>
      <c r="BR99" s="85">
        <f t="shared" ca="1" si="243"/>
        <v>0</v>
      </c>
      <c r="BS99" s="53">
        <f ca="1">IFERROR((_xlfn.XLOOKUP(F99,Apuração!A:A,Apuração!C:C)+1)/_xlfn.XLOOKUP(F99,Apuração!A:A,Apuração!B:B),0)</f>
        <v>0.14285714285714285</v>
      </c>
    </row>
    <row r="100" spans="1:71" ht="25.95" hidden="1" customHeight="1" x14ac:dyDescent="0.3">
      <c r="A100" s="70" t="s">
        <v>108</v>
      </c>
      <c r="B100" s="4" t="s">
        <v>117</v>
      </c>
      <c r="C100" s="5" t="s">
        <v>35</v>
      </c>
      <c r="D100" s="5" t="s">
        <v>36</v>
      </c>
      <c r="E100" s="136" t="s">
        <v>118</v>
      </c>
      <c r="F100" s="4" t="str" cm="1">
        <f t="array" ref="F100">_xlfn.IFS(
AG100 &lt;&gt; "", "Jan-Dez/26",
AH100 &lt;&gt; "", "Fev-Dez/26",
AI100 &lt;&gt; "", "Mar-Dez/26", AJ100 &lt;&gt; "", "Abr-Dez/26",
TRUE, "A partir de Junho"
)</f>
        <v>Jan-Dez/26</v>
      </c>
      <c r="G100" s="4" t="s">
        <v>37</v>
      </c>
      <c r="H100" s="7" t="s">
        <v>38</v>
      </c>
      <c r="I100" s="4" t="s">
        <v>121</v>
      </c>
      <c r="J100" s="8" t="str" cm="1">
        <f t="array" aca="1" ref="J100" ca="1">_xlfn.LET(
  _xlpm.actual_value_month, INDEX(T100:AE100, MATCH(DATE(YEAR(TODAY()), MONTH(TODAY()), 1), $T$1:$AE$1, 0)),
  IF(_xlpm.actual_value_month &lt;&gt; "",_xlpm.actual_value_month &amp; " ações mensais", "")
)</f>
        <v/>
      </c>
      <c r="K100" s="8" t="str" cm="1">
        <f t="array" ref="K100">_xlfn.LET(
    _xlpm.sum_month, SUM(T100:AE100),
    IF(_xlpm.sum_month = 0, "", _xlpm.sum_month &amp; " empresas monitoradas no ano")
)</f>
        <v/>
      </c>
      <c r="L100" s="4" t="s">
        <v>122</v>
      </c>
      <c r="M100" s="19"/>
      <c r="N100" s="5" t="s">
        <v>51</v>
      </c>
      <c r="O100" s="5"/>
      <c r="P100" s="10"/>
      <c r="Q100" s="10"/>
      <c r="R100" s="11"/>
      <c r="S100" s="11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81"/>
      <c r="AG100" s="71">
        <v>34</v>
      </c>
      <c r="AH100" s="71">
        <v>32</v>
      </c>
      <c r="AI100" s="71">
        <v>32</v>
      </c>
      <c r="AJ100" s="71"/>
      <c r="AK100" s="71"/>
      <c r="AL100" s="71"/>
      <c r="AM100" s="71"/>
      <c r="AN100" s="71"/>
      <c r="AO100" s="71"/>
      <c r="AP100" s="71"/>
      <c r="AQ100" s="71"/>
      <c r="AR100" s="71"/>
      <c r="AS100" s="94"/>
      <c r="AT100" s="95"/>
      <c r="AU100" s="97"/>
      <c r="AV100" s="81"/>
      <c r="AW100" s="83">
        <f>AG100</f>
        <v>34</v>
      </c>
      <c r="AX100" s="83">
        <f t="shared" ref="AX100" si="244">AH100</f>
        <v>32</v>
      </c>
      <c r="AY100" s="83">
        <f t="shared" ref="AY100" si="245">AI100</f>
        <v>32</v>
      </c>
      <c r="AZ100" s="83">
        <f t="shared" ref="AZ100" si="246">AJ100</f>
        <v>0</v>
      </c>
      <c r="BA100" s="83"/>
      <c r="BB100" s="83"/>
      <c r="BC100" s="83"/>
      <c r="BD100" s="83"/>
      <c r="BE100" s="83"/>
      <c r="BF100" s="83"/>
      <c r="BG100" s="83"/>
      <c r="BH100" s="83"/>
      <c r="BI100" s="65"/>
      <c r="BJ100" s="68"/>
      <c r="BK100" s="59">
        <f>SUM(AW100:BH100)</f>
        <v>98</v>
      </c>
      <c r="BL100" s="59" cm="1">
        <f t="array" ref="BL100">IFERROR(SUM(AW100:INDEX(AW100:BH100, MATCH(2, 1/(AW100:BH100&lt;&gt;""), 1) - 1))/_xlfn.XLOOKUP(F100,Apuração!A:A,Apuração!B:B),0)</f>
        <v>8.1666666666666661</v>
      </c>
      <c r="BM100" s="55"/>
      <c r="BN100" s="55"/>
      <c r="BO100" s="53">
        <f ca="1">IFERROR(_xlfn.XLOOKUP(F100,Apuração!A:A,Apuração!C:C)/_xlfn.XLOOKUP(F100,Apuração!A:A,Apuração!B:B),0)</f>
        <v>0.41666666666666669</v>
      </c>
      <c r="BP100" s="53">
        <f ca="1">IFERROR(_xlfn.XLOOKUP(F100,Apuração!A:A,Apuração!D:D)/_xlfn.XLOOKUP(F100,Apuração!A:A,Apuração!B:B),0)</f>
        <v>0.33333333333333331</v>
      </c>
      <c r="BQ100" s="53">
        <f ca="1">IF(BK100&gt;=BO100,0,_xlfn.XLOOKUP(F100,Apuração!A:A,Apuração!B:B)*(BO100 + (1/_xlfn.XLOOKUP(F100,Apuração!A:A,Apuração!B:B)) - BK100))</f>
        <v>0</v>
      </c>
      <c r="BR100" s="85">
        <f t="shared" ca="1" si="2"/>
        <v>0</v>
      </c>
      <c r="BS100" s="53">
        <f ca="1">IFERROR((_xlfn.XLOOKUP(F100,Apuração!A:A,Apuração!C:C)+1)/_xlfn.XLOOKUP(F100,Apuração!A:A,Apuração!B:B),0)</f>
        <v>0.5</v>
      </c>
    </row>
    <row r="101" spans="1:71" ht="25.95" hidden="1" customHeight="1" x14ac:dyDescent="0.3">
      <c r="A101" s="70" t="s">
        <v>108</v>
      </c>
      <c r="B101" s="4" t="s">
        <v>117</v>
      </c>
      <c r="C101" s="5" t="s">
        <v>35</v>
      </c>
      <c r="D101" s="5" t="s">
        <v>47</v>
      </c>
      <c r="E101" s="136" t="s">
        <v>118</v>
      </c>
      <c r="F101" s="4" t="str" cm="1">
        <f t="array" ref="F101">_xlfn.IFS(
AG101 &lt;&gt; "", "Jan-Dez/26",
AH101 &lt;&gt; "", "Fev-Dez/26",
AI101 &lt;&gt; "", "Mar-Dez/26", AJ101 &lt;&gt; "", "Abr-Dez/26",
TRUE, "A partir de Junho"
)</f>
        <v>A partir de Junho</v>
      </c>
      <c r="G101" s="4" t="s">
        <v>37</v>
      </c>
      <c r="H101" s="7" t="s">
        <v>38</v>
      </c>
      <c r="I101" s="4" t="s">
        <v>121</v>
      </c>
      <c r="J101" s="8" t="str" cm="1">
        <f t="array" aca="1" ref="J101" ca="1">_xlfn.LET(
  _xlpm.actual_value_month, INDEX(T101:AE101, MATCH(DATE(YEAR(TODAY()), MONTH(TODAY()), 1), $T$1:$AE$1, 0)),
  IF(_xlpm.actual_value_month &lt;&gt; "",_xlpm.actual_value_month &amp; " ações mensais", "")
)</f>
        <v/>
      </c>
      <c r="K101" s="8" t="str" cm="1">
        <f t="array" ref="K101">_xlfn.LET(
    _xlpm.sum_month, SUM(T101:AE101),
    IF(_xlpm.sum_month = 0, "", _xlpm.sum_month &amp; " empresas monitoradas no ano")
)</f>
        <v/>
      </c>
      <c r="L101" s="4" t="s">
        <v>122</v>
      </c>
      <c r="M101" s="19"/>
      <c r="N101" s="5" t="s">
        <v>51</v>
      </c>
      <c r="O101" s="5"/>
      <c r="P101" s="10"/>
      <c r="Q101" s="10"/>
      <c r="R101" s="11"/>
      <c r="S101" s="11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8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94"/>
      <c r="AT101" s="95"/>
      <c r="AU101" s="97"/>
      <c r="AV101" s="81"/>
      <c r="AW101" s="83">
        <f t="shared" ref="AW101:AW102" si="247">AG101</f>
        <v>0</v>
      </c>
      <c r="AX101" s="83">
        <f t="shared" ref="AX101:AX102" si="248">AH101</f>
        <v>0</v>
      </c>
      <c r="AY101" s="83">
        <f t="shared" ref="AY101:AY102" si="249">AI101</f>
        <v>0</v>
      </c>
      <c r="AZ101" s="83">
        <f t="shared" ref="AZ101:AZ102" si="250">AJ101</f>
        <v>0</v>
      </c>
      <c r="BA101" s="83"/>
      <c r="BB101" s="83"/>
      <c r="BC101" s="83"/>
      <c r="BD101" s="83"/>
      <c r="BE101" s="83"/>
      <c r="BF101" s="83"/>
      <c r="BG101" s="83"/>
      <c r="BH101" s="83"/>
      <c r="BI101" s="65"/>
      <c r="BJ101" s="68"/>
      <c r="BK101" s="59">
        <f t="shared" ref="BK101:BK102" si="251">SUM(AW101:BH101)</f>
        <v>0</v>
      </c>
      <c r="BL101" s="59" cm="1">
        <f t="array" ref="BL101">IFERROR(SUM(AW101:INDEX(AW101:BH101, MATCH(2, 1/(AW101:BH101&lt;&gt;""), 1) - 1))/_xlfn.XLOOKUP(F101,Apuração!A:A,Apuração!B:B),0)</f>
        <v>0</v>
      </c>
      <c r="BM101" s="55"/>
      <c r="BN101" s="55"/>
      <c r="BO101" s="53">
        <f ca="1">IFERROR(_xlfn.XLOOKUP(F101,Apuração!A:A,Apuração!C:C)/_xlfn.XLOOKUP(F101,Apuração!A:A,Apuração!B:B),0)</f>
        <v>0</v>
      </c>
      <c r="BP101" s="53">
        <f ca="1">IFERROR(_xlfn.XLOOKUP(F101,Apuração!A:A,Apuração!D:D)/_xlfn.XLOOKUP(F101,Apuração!A:A,Apuração!B:B),0)</f>
        <v>0</v>
      </c>
      <c r="BQ101" s="53">
        <f ca="1">IF(BK101&gt;=BO101,0,_xlfn.XLOOKUP(F101,Apuração!A:A,Apuração!B:B)*(BO101 + (1/_xlfn.XLOOKUP(F101,Apuração!A:A,Apuração!B:B)) - BK101))</f>
        <v>0</v>
      </c>
      <c r="BR101" s="85">
        <f t="shared" ref="BR101:BR102" ca="1" si="252">IF(BQ101=0,0,BQ101*Z101)</f>
        <v>0</v>
      </c>
      <c r="BS101" s="53">
        <f ca="1">IFERROR((_xlfn.XLOOKUP(F101,Apuração!A:A,Apuração!C:C)+1)/_xlfn.XLOOKUP(F101,Apuração!A:A,Apuração!B:B),0)</f>
        <v>0.14285714285714285</v>
      </c>
    </row>
    <row r="102" spans="1:71" ht="25.95" hidden="1" customHeight="1" x14ac:dyDescent="0.3">
      <c r="A102" s="70" t="s">
        <v>108</v>
      </c>
      <c r="B102" s="4" t="s">
        <v>117</v>
      </c>
      <c r="C102" s="5" t="s">
        <v>35</v>
      </c>
      <c r="D102" s="5" t="s">
        <v>48</v>
      </c>
      <c r="E102" s="136" t="s">
        <v>118</v>
      </c>
      <c r="F102" s="4" t="str" cm="1">
        <f t="array" ref="F102">_xlfn.IFS(
AG102 &lt;&gt; "", "Jan-Dez/26",
AH102 &lt;&gt; "", "Fev-Dez/26",
AI102 &lt;&gt; "", "Mar-Dez/26", AJ102 &lt;&gt; "", "Abr-Dez/26",
TRUE, "A partir de Junho"
)</f>
        <v>A partir de Junho</v>
      </c>
      <c r="G102" s="4" t="s">
        <v>37</v>
      </c>
      <c r="H102" s="7" t="s">
        <v>38</v>
      </c>
      <c r="I102" s="4" t="s">
        <v>121</v>
      </c>
      <c r="J102" s="8" t="str" cm="1">
        <f t="array" aca="1" ref="J102" ca="1">_xlfn.LET(
  _xlpm.actual_value_month, INDEX(T102:AE102, MATCH(DATE(YEAR(TODAY()), MONTH(TODAY()), 1), $T$1:$AE$1, 0)),
  IF(_xlpm.actual_value_month &lt;&gt; "",_xlpm.actual_value_month &amp; " ações mensais", "")
)</f>
        <v/>
      </c>
      <c r="K102" s="8" t="str" cm="1">
        <f t="array" ref="K102">_xlfn.LET(
    _xlpm.sum_month, SUM(T102:AE102),
    IF(_xlpm.sum_month = 0, "", _xlpm.sum_month &amp; " empresas monitoradas no ano")
)</f>
        <v/>
      </c>
      <c r="L102" s="4" t="s">
        <v>122</v>
      </c>
      <c r="M102" s="19"/>
      <c r="N102" s="5" t="s">
        <v>51</v>
      </c>
      <c r="O102" s="5"/>
      <c r="P102" s="10"/>
      <c r="Q102" s="10"/>
      <c r="R102" s="11"/>
      <c r="S102" s="11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8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94"/>
      <c r="AT102" s="95"/>
      <c r="AU102" s="97"/>
      <c r="AV102" s="81"/>
      <c r="AW102" s="83">
        <f t="shared" si="247"/>
        <v>0</v>
      </c>
      <c r="AX102" s="83">
        <f t="shared" si="248"/>
        <v>0</v>
      </c>
      <c r="AY102" s="83">
        <f t="shared" si="249"/>
        <v>0</v>
      </c>
      <c r="AZ102" s="83">
        <f t="shared" si="250"/>
        <v>0</v>
      </c>
      <c r="BA102" s="83"/>
      <c r="BB102" s="83"/>
      <c r="BC102" s="83"/>
      <c r="BD102" s="83"/>
      <c r="BE102" s="83"/>
      <c r="BF102" s="83"/>
      <c r="BG102" s="83"/>
      <c r="BH102" s="83"/>
      <c r="BI102" s="65"/>
      <c r="BJ102" s="68"/>
      <c r="BK102" s="59">
        <f t="shared" si="251"/>
        <v>0</v>
      </c>
      <c r="BL102" s="59" cm="1">
        <f t="array" ref="BL102">IFERROR(SUM(AW102:INDEX(AW102:BH102, MATCH(2, 1/(AW102:BH102&lt;&gt;""), 1) - 1))/_xlfn.XLOOKUP(F102,Apuração!A:A,Apuração!B:B),0)</f>
        <v>0</v>
      </c>
      <c r="BM102" s="55"/>
      <c r="BN102" s="55"/>
      <c r="BO102" s="53">
        <f ca="1">IFERROR(_xlfn.XLOOKUP(F102,Apuração!A:A,Apuração!C:C)/_xlfn.XLOOKUP(F102,Apuração!A:A,Apuração!B:B),0)</f>
        <v>0</v>
      </c>
      <c r="BP102" s="53">
        <f ca="1">IFERROR(_xlfn.XLOOKUP(F102,Apuração!A:A,Apuração!D:D)/_xlfn.XLOOKUP(F102,Apuração!A:A,Apuração!B:B),0)</f>
        <v>0</v>
      </c>
      <c r="BQ102" s="53">
        <f ca="1">IF(BK102&gt;=BO102,0,_xlfn.XLOOKUP(F102,Apuração!A:A,Apuração!B:B)*(BO102 + (1/_xlfn.XLOOKUP(F102,Apuração!A:A,Apuração!B:B)) - BK102))</f>
        <v>0</v>
      </c>
      <c r="BR102" s="85">
        <f t="shared" ca="1" si="252"/>
        <v>0</v>
      </c>
      <c r="BS102" s="53">
        <f ca="1">IFERROR((_xlfn.XLOOKUP(F102,Apuração!A:A,Apuração!C:C)+1)/_xlfn.XLOOKUP(F102,Apuração!A:A,Apuração!B:B),0)</f>
        <v>0.14285714285714285</v>
      </c>
    </row>
    <row r="103" spans="1:71" ht="25.95" hidden="1" customHeight="1" x14ac:dyDescent="0.3">
      <c r="A103" s="41" t="s">
        <v>108</v>
      </c>
      <c r="B103" s="4" t="s">
        <v>123</v>
      </c>
      <c r="C103" s="5" t="s">
        <v>35</v>
      </c>
      <c r="D103" s="5" t="s">
        <v>36</v>
      </c>
      <c r="E103" s="4" t="s">
        <v>61</v>
      </c>
      <c r="F103" s="4" t="str" cm="1">
        <f t="array" ref="F103">_xlfn.IFS(
AG103 &lt;&gt; "", "Jan-Dez/26",
AH103 &lt;&gt; "", "Fev-Dez/26",
AI103 &lt;&gt; "", "Mar-Dez/26", AJ103 &lt;&gt; "", "Abr-Dez/26",
TRUE, "A partir de Junho"
)</f>
        <v>A partir de Junho</v>
      </c>
      <c r="G103" s="4" t="s">
        <v>62</v>
      </c>
      <c r="H103" s="7" t="s">
        <v>38</v>
      </c>
      <c r="I103" s="28" t="s">
        <v>124</v>
      </c>
      <c r="J103" s="8" t="str" cm="1">
        <f t="array" aca="1" ref="J103" ca="1">_xlfn.LET(
  _xlpm.actual_value_month, INDEX(T103:AE103, MATCH(DATE(YEAR(TODAY()), MONTH(TODAY()), 1), $T$1:$AE$1, 0)),
  IF(_xlpm.actual_value_month &lt;&gt; "",_xlpm.actual_value_month &amp; " ações mensais", "")
)</f>
        <v/>
      </c>
      <c r="K103" s="8" t="str" cm="1">
        <f t="array" ref="K103">_xlfn.LET(
    _xlpm.sum_month, SUM(T103:AE103),
    IF(_xlpm.sum_month = 0, "", _xlpm.sum_month &amp; " atividades no ano")
)</f>
        <v/>
      </c>
      <c r="L103" s="4" t="s">
        <v>125</v>
      </c>
      <c r="M103" s="19"/>
      <c r="N103" s="5" t="s">
        <v>42</v>
      </c>
      <c r="O103" s="5"/>
      <c r="P103" s="10"/>
      <c r="Q103" s="10"/>
      <c r="R103" s="11"/>
      <c r="S103" s="11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8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94"/>
      <c r="AT103" s="95"/>
      <c r="AU103" s="97"/>
      <c r="AV103" s="81"/>
      <c r="AW103" s="51">
        <f>IFERROR(IF(AG103="",0,AG103/T103),0)</f>
        <v>0</v>
      </c>
      <c r="AX103" s="51">
        <f>IFERROR(IF(AH103="",0,AH103/U103),0)</f>
        <v>0</v>
      </c>
      <c r="AY103" s="51">
        <f>IFERROR(IF(AI103="",0,AI103/V103),0)</f>
        <v>0</v>
      </c>
      <c r="AZ103" s="51">
        <f>IFERROR(IF(AJ103="",0,AJ103/W103),0)</f>
        <v>0</v>
      </c>
      <c r="BA103" s="51"/>
      <c r="BB103" s="51"/>
      <c r="BC103" s="51"/>
      <c r="BD103" s="51"/>
      <c r="BE103" s="51"/>
      <c r="BF103" s="51"/>
      <c r="BG103" s="51"/>
      <c r="BH103" s="51"/>
      <c r="BI103" s="65"/>
      <c r="BJ103" s="68"/>
      <c r="BK103" s="58">
        <f>IF((IF(AW103&gt;=115%,115%,AW103) + IF(AX103&gt;=115%,115%,AX103) + IF(AY103&gt;=115%,115%,AY103) + (IF(AZ103&gt;=115%,115%,AZ103) + IF(BA103&gt;=115%,115%,BA103) + IF(BB103&gt;=115%,115%,BB103) + IF(BC103&gt;=115%,115%,BC103) + IF(BD103&gt;=115%,115%,BD103) + IF(BE103&gt;=115%,115%,BE103) + IF(BF103&gt;=115%,115%,BF103) + IF(BG103&gt;=115%,115%,BG103) + IF(BH103&gt;=115%,115%,BH103)))/_xlfn.XLOOKUP(F103,Apuração!A:A,Apuração!B:B)&gt;=1.15,1.15,((IF(AZ103&gt;=115%,115%,AZ103) + IF(AX103&gt;=115%,115%,AX103) + IF(AY103&gt;=115%,115%,AY103) + (IF(AW103&gt;=115%,115%,AW103) + IF(BA103&gt;=115%,115%,BA103) + IF(BB103&gt;=115%,115%,BB103) + IF(BC103&gt;=115%,115%,BC103) + IF(BD103&gt;=115%,115%,BD103) + IF(BE103&gt;=115%,115%,BE103) + IF(BF103&gt;=115%,115%,BF103) + IF(BG103&gt;=115%,115%,BG103) + IF(BH103&gt;=115%,115%,BH103)))/_xlfn.XLOOKUP(F103,Apuração!A:A,Apuração!B:B)))</f>
        <v>0</v>
      </c>
      <c r="BL103" s="58" cm="1">
        <f t="array" aca="1" ref="BL103" ca="1">IF(SUM(IFERROR(IF(INDEX(AW103:INDEX(AW103:BH103, MATCH(2, 1/(AW103:BH103&lt;&gt;""), 1)-1), ROW(INDIRECT("1:" &amp; MATCH(2, 1/(AW103:BH103&lt;&gt;""), 1)-1))) &gt;= 115%, 115%, INDEX(AW103:INDEX(AW103:BH103, MATCH(2, 1/(AW103:BH103&lt;&gt;""), 1)-1), ROW(INDIRECT("1:" &amp; MATCH(2, 1/(AW103:BH103&lt;&gt;""), 1)-1)))), 0))/_xlfn.XLOOKUP(F103,Apuração!A:A,Apuração!B:B)&gt;=1.15,1.15,SUM(IFERROR(IF(INDEX(AW103:INDEX(AW103:BH103, MATCH(2, 1/(AW103:BH103&lt;&gt;""), 1)-1), ROW(INDIRECT("1:" &amp; MATCH(2, 1/(AW103:BH103&lt;&gt;""), 1)-1))) &gt;= 115%, 115%, INDEX(AW103:INDEX(AW103:BH103, MATCH(2, 1/(AW103:BH103&lt;&gt;""), 1)-1), ROW(INDIRECT("1:" &amp; MATCH(2, 1/(AW103:BH103&lt;&gt;""), 1)-1)))), 0))/_xlfn.XLOOKUP(F103,Apuração!A:A,Apuração!B:B))</f>
        <v>0</v>
      </c>
      <c r="BM103" s="55"/>
      <c r="BN103" s="55"/>
      <c r="BO103" s="53">
        <f ca="1">IFERROR(_xlfn.XLOOKUP(F103,Apuração!A:A,Apuração!C:C)/_xlfn.XLOOKUP(F103,Apuração!A:A,Apuração!B:B),0)</f>
        <v>0</v>
      </c>
      <c r="BP103" s="53">
        <f ca="1">IFERROR(_xlfn.XLOOKUP(F103,Apuração!A:A,Apuração!D:D)/_xlfn.XLOOKUP(F103,Apuração!A:A,Apuração!B:B),0)</f>
        <v>0</v>
      </c>
      <c r="BQ103" s="53">
        <f ca="1">IF(BK103&gt;=BO103,0,_xlfn.XLOOKUP(F103,Apuração!A:A,Apuração!B:B)*(BO103 + (1/_xlfn.XLOOKUP(F103,Apuração!A:A,Apuração!B:B)) - BK103))</f>
        <v>0</v>
      </c>
      <c r="BR103" s="85">
        <f t="shared" ca="1" si="2"/>
        <v>0</v>
      </c>
      <c r="BS103" s="53">
        <f ca="1">IFERROR((_xlfn.XLOOKUP(F103,Apuração!A:A,Apuração!C:C)+1)/_xlfn.XLOOKUP(F103,Apuração!A:A,Apuração!B:B),0)</f>
        <v>0.14285714285714285</v>
      </c>
    </row>
    <row r="104" spans="1:71" ht="25.95" hidden="1" customHeight="1" x14ac:dyDescent="0.3">
      <c r="A104" s="41" t="s">
        <v>108</v>
      </c>
      <c r="B104" s="4" t="s">
        <v>123</v>
      </c>
      <c r="C104" s="5" t="s">
        <v>35</v>
      </c>
      <c r="D104" s="5" t="s">
        <v>47</v>
      </c>
      <c r="E104" s="4" t="s">
        <v>61</v>
      </c>
      <c r="F104" s="4" t="str" cm="1">
        <f t="array" ref="F104">_xlfn.IFS(
AG104 &lt;&gt; "", "Jan-Dez/26",
AH104 &lt;&gt; "", "Fev-Dez/26",
AI104 &lt;&gt; "", "Mar-Dez/26", AJ104 &lt;&gt; "", "Abr-Dez/26",
TRUE, "A partir de Junho"
)</f>
        <v>A partir de Junho</v>
      </c>
      <c r="G104" s="4" t="s">
        <v>62</v>
      </c>
      <c r="H104" s="7" t="s">
        <v>38</v>
      </c>
      <c r="I104" s="28" t="s">
        <v>124</v>
      </c>
      <c r="J104" s="8" t="str" cm="1">
        <f t="array" aca="1" ref="J104" ca="1">_xlfn.LET(
  _xlpm.actual_value_month, INDEX(T104:AE104, MATCH(DATE(YEAR(TODAY()), MONTH(TODAY()), 1), $T$1:$AE$1, 0)),
  IF(_xlpm.actual_value_month &lt;&gt; "",_xlpm.actual_value_month &amp; " ações mensais", "")
)</f>
        <v/>
      </c>
      <c r="K104" s="8" t="str" cm="1">
        <f t="array" ref="K104">_xlfn.LET(
    _xlpm.sum_month, SUM(T104:AE104),
    IF(_xlpm.sum_month = 0, "", _xlpm.sum_month &amp; " atividades no ano")
)</f>
        <v/>
      </c>
      <c r="L104" s="4" t="s">
        <v>125</v>
      </c>
      <c r="M104" s="19"/>
      <c r="N104" s="5" t="s">
        <v>42</v>
      </c>
      <c r="O104" s="5"/>
      <c r="P104" s="10"/>
      <c r="Q104" s="10"/>
      <c r="R104" s="11"/>
      <c r="S104" s="11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8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94"/>
      <c r="AT104" s="95"/>
      <c r="AU104" s="97"/>
      <c r="AV104" s="81"/>
      <c r="AW104" s="51">
        <f t="shared" ref="AW104:AW105" si="253">IFERROR(IF(AG104="",0,AG104/T104),0)</f>
        <v>0</v>
      </c>
      <c r="AX104" s="51">
        <f t="shared" ref="AX104:AX105" si="254">IFERROR(IF(AH104="",0,AH104/U104),0)</f>
        <v>0</v>
      </c>
      <c r="AY104" s="51">
        <f t="shared" ref="AY104:AY105" si="255">IFERROR(IF(AI104="",0,AI104/V104),0)</f>
        <v>0</v>
      </c>
      <c r="AZ104" s="51">
        <f t="shared" ref="AZ104:AZ105" si="256">IFERROR(IF(AJ104="",0,AJ104/W104),0)</f>
        <v>0</v>
      </c>
      <c r="BA104" s="51"/>
      <c r="BB104" s="51"/>
      <c r="BC104" s="51"/>
      <c r="BD104" s="51"/>
      <c r="BE104" s="51"/>
      <c r="BF104" s="51"/>
      <c r="BG104" s="51"/>
      <c r="BH104" s="51"/>
      <c r="BI104" s="65"/>
      <c r="BJ104" s="68"/>
      <c r="BK104" s="58">
        <f>IF((IF(AW104&gt;=115%,115%,AW104) + IF(AX104&gt;=115%,115%,AX104) + IF(AY104&gt;=115%,115%,AY104) + (IF(AZ104&gt;=115%,115%,AZ104) + IF(BA104&gt;=115%,115%,BA104) + IF(BB104&gt;=115%,115%,BB104) + IF(BC104&gt;=115%,115%,BC104) + IF(BD104&gt;=115%,115%,BD104) + IF(BE104&gt;=115%,115%,BE104) + IF(BF104&gt;=115%,115%,BF104) + IF(BG104&gt;=115%,115%,BG104) + IF(BH104&gt;=115%,115%,BH104)))/_xlfn.XLOOKUP(F104,Apuração!A:A,Apuração!B:B)&gt;=1.15,1.15,((IF(AZ104&gt;=115%,115%,AZ104) + IF(AX104&gt;=115%,115%,AX104) + IF(AY104&gt;=115%,115%,AY104) + (IF(AW104&gt;=115%,115%,AW104) + IF(BA104&gt;=115%,115%,BA104) + IF(BB104&gt;=115%,115%,BB104) + IF(BC104&gt;=115%,115%,BC104) + IF(BD104&gt;=115%,115%,BD104) + IF(BE104&gt;=115%,115%,BE104) + IF(BF104&gt;=115%,115%,BF104) + IF(BG104&gt;=115%,115%,BG104) + IF(BH104&gt;=115%,115%,BH104)))/_xlfn.XLOOKUP(F104,Apuração!A:A,Apuração!B:B)))</f>
        <v>0</v>
      </c>
      <c r="BL104" s="58" cm="1">
        <f t="array" aca="1" ref="BL104" ca="1">IF(SUM(IFERROR(IF(INDEX(AW104:INDEX(AW104:BH104, MATCH(2, 1/(AW104:BH104&lt;&gt;""), 1)-1), ROW(INDIRECT("1:" &amp; MATCH(2, 1/(AW104:BH104&lt;&gt;""), 1)-1))) &gt;= 115%, 115%, INDEX(AW104:INDEX(AW104:BH104, MATCH(2, 1/(AW104:BH104&lt;&gt;""), 1)-1), ROW(INDIRECT("1:" &amp; MATCH(2, 1/(AW104:BH104&lt;&gt;""), 1)-1)))), 0))/_xlfn.XLOOKUP(F104,Apuração!A:A,Apuração!B:B)&gt;=1.15,1.15,SUM(IFERROR(IF(INDEX(AW104:INDEX(AW104:BH104, MATCH(2, 1/(AW104:BH104&lt;&gt;""), 1)-1), ROW(INDIRECT("1:" &amp; MATCH(2, 1/(AW104:BH104&lt;&gt;""), 1)-1))) &gt;= 115%, 115%, INDEX(AW104:INDEX(AW104:BH104, MATCH(2, 1/(AW104:BH104&lt;&gt;""), 1)-1), ROW(INDIRECT("1:" &amp; MATCH(2, 1/(AW104:BH104&lt;&gt;""), 1)-1)))), 0))/_xlfn.XLOOKUP(F104,Apuração!A:A,Apuração!B:B))</f>
        <v>0</v>
      </c>
      <c r="BM104" s="55"/>
      <c r="BN104" s="55"/>
      <c r="BO104" s="53">
        <f ca="1">IFERROR(_xlfn.XLOOKUP(F104,Apuração!A:A,Apuração!C:C)/_xlfn.XLOOKUP(F104,Apuração!A:A,Apuração!B:B),0)</f>
        <v>0</v>
      </c>
      <c r="BP104" s="53">
        <f ca="1">IFERROR(_xlfn.XLOOKUP(F104,Apuração!A:A,Apuração!D:D)/_xlfn.XLOOKUP(F104,Apuração!A:A,Apuração!B:B),0)</f>
        <v>0</v>
      </c>
      <c r="BQ104" s="53">
        <f ca="1">IF(BK104&gt;=BO104,0,_xlfn.XLOOKUP(F104,Apuração!A:A,Apuração!B:B)*(BO104 + (1/_xlfn.XLOOKUP(F104,Apuração!A:A,Apuração!B:B)) - BK104))</f>
        <v>0</v>
      </c>
      <c r="BR104" s="85">
        <f t="shared" ref="BR104:BR105" ca="1" si="257">IF(BQ104=0,0,BQ104*Z104)</f>
        <v>0</v>
      </c>
      <c r="BS104" s="53">
        <f ca="1">IFERROR((_xlfn.XLOOKUP(F104,Apuração!A:A,Apuração!C:C)+1)/_xlfn.XLOOKUP(F104,Apuração!A:A,Apuração!B:B),0)</f>
        <v>0.14285714285714285</v>
      </c>
    </row>
    <row r="105" spans="1:71" ht="25.95" hidden="1" customHeight="1" x14ac:dyDescent="0.3">
      <c r="A105" s="41" t="s">
        <v>108</v>
      </c>
      <c r="B105" s="4" t="s">
        <v>123</v>
      </c>
      <c r="C105" s="5" t="s">
        <v>35</v>
      </c>
      <c r="D105" s="5" t="s">
        <v>48</v>
      </c>
      <c r="E105" s="4" t="s">
        <v>61</v>
      </c>
      <c r="F105" s="4" t="str" cm="1">
        <f t="array" ref="F105">_xlfn.IFS(
AG105 &lt;&gt; "", "Jan-Dez/26",
AH105 &lt;&gt; "", "Fev-Dez/26",
AI105 &lt;&gt; "", "Mar-Dez/26", AJ105 &lt;&gt; "", "Abr-Dez/26",
TRUE, "A partir de Junho"
)</f>
        <v>A partir de Junho</v>
      </c>
      <c r="G105" s="4" t="s">
        <v>62</v>
      </c>
      <c r="H105" s="7" t="s">
        <v>38</v>
      </c>
      <c r="I105" s="28" t="s">
        <v>124</v>
      </c>
      <c r="J105" s="8" t="str" cm="1">
        <f t="array" aca="1" ref="J105" ca="1">_xlfn.LET(
  _xlpm.actual_value_month, INDEX(T105:AE105, MATCH(DATE(YEAR(TODAY()), MONTH(TODAY()), 1), $T$1:$AE$1, 0)),
  IF(_xlpm.actual_value_month &lt;&gt; "",_xlpm.actual_value_month &amp; " ações mensais", "")
)</f>
        <v/>
      </c>
      <c r="K105" s="8" t="str" cm="1">
        <f t="array" ref="K105">_xlfn.LET(
    _xlpm.sum_month, SUM(T105:AE105),
    IF(_xlpm.sum_month = 0, "", _xlpm.sum_month &amp; " atividades no ano")
)</f>
        <v/>
      </c>
      <c r="L105" s="4" t="s">
        <v>125</v>
      </c>
      <c r="M105" s="19"/>
      <c r="N105" s="5" t="s">
        <v>42</v>
      </c>
      <c r="O105" s="5"/>
      <c r="P105" s="10"/>
      <c r="Q105" s="10"/>
      <c r="R105" s="11"/>
      <c r="S105" s="11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8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94"/>
      <c r="AT105" s="95"/>
      <c r="AU105" s="97"/>
      <c r="AV105" s="81"/>
      <c r="AW105" s="51">
        <f t="shared" si="253"/>
        <v>0</v>
      </c>
      <c r="AX105" s="51">
        <f t="shared" si="254"/>
        <v>0</v>
      </c>
      <c r="AY105" s="51">
        <f t="shared" si="255"/>
        <v>0</v>
      </c>
      <c r="AZ105" s="51">
        <f t="shared" si="256"/>
        <v>0</v>
      </c>
      <c r="BA105" s="51"/>
      <c r="BB105" s="51"/>
      <c r="BC105" s="51"/>
      <c r="BD105" s="51"/>
      <c r="BE105" s="51"/>
      <c r="BF105" s="51"/>
      <c r="BG105" s="51"/>
      <c r="BH105" s="51"/>
      <c r="BI105" s="65"/>
      <c r="BJ105" s="68"/>
      <c r="BK105" s="58">
        <f>IF((IF(AW105&gt;=115%,115%,AW105) + IF(AX105&gt;=115%,115%,AX105) + IF(AY105&gt;=115%,115%,AY105) + (IF(AZ105&gt;=115%,115%,AZ105) + IF(BA105&gt;=115%,115%,BA105) + IF(BB105&gt;=115%,115%,BB105) + IF(BC105&gt;=115%,115%,BC105) + IF(BD105&gt;=115%,115%,BD105) + IF(BE105&gt;=115%,115%,BE105) + IF(BF105&gt;=115%,115%,BF105) + IF(BG105&gt;=115%,115%,BG105) + IF(BH105&gt;=115%,115%,BH105)))/_xlfn.XLOOKUP(F105,Apuração!A:A,Apuração!B:B)&gt;=1.15,1.15,((IF(AZ105&gt;=115%,115%,AZ105) + IF(AX105&gt;=115%,115%,AX105) + IF(AY105&gt;=115%,115%,AY105) + (IF(AW105&gt;=115%,115%,AW105) + IF(BA105&gt;=115%,115%,BA105) + IF(BB105&gt;=115%,115%,BB105) + IF(BC105&gt;=115%,115%,BC105) + IF(BD105&gt;=115%,115%,BD105) + IF(BE105&gt;=115%,115%,BE105) + IF(BF105&gt;=115%,115%,BF105) + IF(BG105&gt;=115%,115%,BG105) + IF(BH105&gt;=115%,115%,BH105)))/_xlfn.XLOOKUP(F105,Apuração!A:A,Apuração!B:B)))</f>
        <v>0</v>
      </c>
      <c r="BL105" s="58" cm="1">
        <f t="array" aca="1" ref="BL105" ca="1">IF(SUM(IFERROR(IF(INDEX(AW105:INDEX(AW105:BH105, MATCH(2, 1/(AW105:BH105&lt;&gt;""), 1)-1), ROW(INDIRECT("1:" &amp; MATCH(2, 1/(AW105:BH105&lt;&gt;""), 1)-1))) &gt;= 115%, 115%, INDEX(AW105:INDEX(AW105:BH105, MATCH(2, 1/(AW105:BH105&lt;&gt;""), 1)-1), ROW(INDIRECT("1:" &amp; MATCH(2, 1/(AW105:BH105&lt;&gt;""), 1)-1)))), 0))/_xlfn.XLOOKUP(F105,Apuração!A:A,Apuração!B:B)&gt;=1.15,1.15,SUM(IFERROR(IF(INDEX(AW105:INDEX(AW105:BH105, MATCH(2, 1/(AW105:BH105&lt;&gt;""), 1)-1), ROW(INDIRECT("1:" &amp; MATCH(2, 1/(AW105:BH105&lt;&gt;""), 1)-1))) &gt;= 115%, 115%, INDEX(AW105:INDEX(AW105:BH105, MATCH(2, 1/(AW105:BH105&lt;&gt;""), 1)-1), ROW(INDIRECT("1:" &amp; MATCH(2, 1/(AW105:BH105&lt;&gt;""), 1)-1)))), 0))/_xlfn.XLOOKUP(F105,Apuração!A:A,Apuração!B:B))</f>
        <v>0</v>
      </c>
      <c r="BM105" s="55"/>
      <c r="BN105" s="55"/>
      <c r="BO105" s="53">
        <f ca="1">IFERROR(_xlfn.XLOOKUP(F105,Apuração!A:A,Apuração!C:C)/_xlfn.XLOOKUP(F105,Apuração!A:A,Apuração!B:B),0)</f>
        <v>0</v>
      </c>
      <c r="BP105" s="53">
        <f ca="1">IFERROR(_xlfn.XLOOKUP(F105,Apuração!A:A,Apuração!D:D)/_xlfn.XLOOKUP(F105,Apuração!A:A,Apuração!B:B),0)</f>
        <v>0</v>
      </c>
      <c r="BQ105" s="53">
        <f ca="1">IF(BK105&gt;=BO105,0,_xlfn.XLOOKUP(F105,Apuração!A:A,Apuração!B:B)*(BO105 + (1/_xlfn.XLOOKUP(F105,Apuração!A:A,Apuração!B:B)) - BK105))</f>
        <v>0</v>
      </c>
      <c r="BR105" s="85">
        <f t="shared" ca="1" si="257"/>
        <v>0</v>
      </c>
      <c r="BS105" s="53">
        <f ca="1">IFERROR((_xlfn.XLOOKUP(F105,Apuração!A:A,Apuração!C:C)+1)/_xlfn.XLOOKUP(F105,Apuração!A:A,Apuração!B:B),0)</f>
        <v>0.14285714285714285</v>
      </c>
    </row>
    <row r="106" spans="1:71" ht="25.95" hidden="1" customHeight="1" x14ac:dyDescent="0.3">
      <c r="A106" s="70" t="s">
        <v>108</v>
      </c>
      <c r="B106" s="4" t="s">
        <v>123</v>
      </c>
      <c r="C106" s="5" t="s">
        <v>35</v>
      </c>
      <c r="D106" s="5" t="s">
        <v>36</v>
      </c>
      <c r="E106" s="4" t="s">
        <v>61</v>
      </c>
      <c r="F106" s="4" t="str" cm="1">
        <f t="array" ref="F106">_xlfn.IFS(
AG106 &lt;&gt; "", "Jan-Dez/26",
AH106 &lt;&gt; "", "Fev-Dez/26",
AI106 &lt;&gt; "", "Mar-Dez/26", AJ106 &lt;&gt; "", "Abr-Dez/26",
TRUE, "A partir de Junho"
)</f>
        <v>A partir de Junho</v>
      </c>
      <c r="G106" s="4" t="s">
        <v>62</v>
      </c>
      <c r="H106" s="7" t="s">
        <v>38</v>
      </c>
      <c r="I106" s="4" t="s">
        <v>121</v>
      </c>
      <c r="J106" s="8" t="str" cm="1">
        <f t="array" aca="1" ref="J106" ca="1">_xlfn.LET(
  _xlpm.actual_value_month, INDEX(T106:AE106, MATCH(DATE(YEAR(TODAY()), MONTH(TODAY()), 1), $T$1:$AE$1, 0)),
  IF(_xlpm.actual_value_month &lt;&gt; "",_xlpm.actual_value_month &amp; " ações mensais", "")
)</f>
        <v/>
      </c>
      <c r="K106" s="8" t="str" cm="1">
        <f t="array" ref="K106">_xlfn.LET(
    _xlpm.sum_month, SUM(T106:AE106),
    IF(_xlpm.sum_month = 0, "", _xlpm.sum_month &amp; " empresas monitoradas no ano")
)</f>
        <v/>
      </c>
      <c r="L106" s="4" t="s">
        <v>126</v>
      </c>
      <c r="M106" s="19"/>
      <c r="N106" s="5" t="s">
        <v>51</v>
      </c>
      <c r="O106" s="5"/>
      <c r="P106" s="10"/>
      <c r="Q106" s="10"/>
      <c r="R106" s="11"/>
      <c r="S106" s="11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8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94"/>
      <c r="AT106" s="95"/>
      <c r="AU106" s="97"/>
      <c r="AV106" s="81"/>
      <c r="AW106" s="83">
        <f>AG106</f>
        <v>0</v>
      </c>
      <c r="AX106" s="83">
        <f t="shared" ref="AX106:AX109" si="258">AH106</f>
        <v>0</v>
      </c>
      <c r="AY106" s="83">
        <f t="shared" ref="AY106:AY109" si="259">AI106</f>
        <v>0</v>
      </c>
      <c r="AZ106" s="83">
        <f t="shared" ref="AZ106:AZ109" si="260">AJ106</f>
        <v>0</v>
      </c>
      <c r="BA106" s="52"/>
      <c r="BB106" s="52"/>
      <c r="BC106" s="52"/>
      <c r="BD106" s="52"/>
      <c r="BE106" s="52"/>
      <c r="BF106" s="52"/>
      <c r="BG106" s="52"/>
      <c r="BH106" s="52"/>
      <c r="BI106" s="65"/>
      <c r="BJ106" s="68"/>
      <c r="BK106" s="59">
        <f>SUM(AW106:BH106)</f>
        <v>0</v>
      </c>
      <c r="BL106" s="59" cm="1">
        <f t="array" ref="BL106">IFERROR(SUM(AW106:INDEX(AW106:BH106, MATCH(2, 1/(AW106:BH106&lt;&gt;""), 1) - 1))/_xlfn.XLOOKUP(F106,Apuração!A:A,Apuração!B:B),0)</f>
        <v>0</v>
      </c>
      <c r="BM106" s="55"/>
      <c r="BN106" s="55"/>
      <c r="BO106" s="53">
        <f ca="1">IFERROR(_xlfn.XLOOKUP(F106,Apuração!A:A,Apuração!C:C)/_xlfn.XLOOKUP(F106,Apuração!A:A,Apuração!B:B),0)</f>
        <v>0</v>
      </c>
      <c r="BP106" s="53">
        <f ca="1">IFERROR(_xlfn.XLOOKUP(F106,Apuração!A:A,Apuração!D:D)/_xlfn.XLOOKUP(F106,Apuração!A:A,Apuração!B:B),0)</f>
        <v>0</v>
      </c>
      <c r="BQ106" s="53">
        <f ca="1">IF(BK106&gt;=BO106,0,_xlfn.XLOOKUP(F106,Apuração!A:A,Apuração!B:B)*(BO106 + (1/_xlfn.XLOOKUP(F106,Apuração!A:A,Apuração!B:B)) - BK106))</f>
        <v>0</v>
      </c>
      <c r="BR106" s="85">
        <f t="shared" ref="BR106:BR199" ca="1" si="261">IF(BQ106=0,0,BQ106*Z106)</f>
        <v>0</v>
      </c>
      <c r="BS106" s="53">
        <f ca="1">IFERROR((_xlfn.XLOOKUP(F106,Apuração!A:A,Apuração!C:C)+1)/_xlfn.XLOOKUP(F106,Apuração!A:A,Apuração!B:B),0)</f>
        <v>0.14285714285714285</v>
      </c>
    </row>
    <row r="107" spans="1:71" ht="25.95" hidden="1" customHeight="1" x14ac:dyDescent="0.3">
      <c r="A107" s="70" t="s">
        <v>108</v>
      </c>
      <c r="B107" s="4" t="s">
        <v>123</v>
      </c>
      <c r="C107" s="5" t="s">
        <v>35</v>
      </c>
      <c r="D107" s="5" t="s">
        <v>47</v>
      </c>
      <c r="E107" s="4" t="s">
        <v>61</v>
      </c>
      <c r="F107" s="4" t="str" cm="1">
        <f t="array" ref="F107">_xlfn.IFS(
AG107 &lt;&gt; "", "Jan-Dez/26",
AH107 &lt;&gt; "", "Fev-Dez/26",
AI107 &lt;&gt; "", "Mar-Dez/26", AJ107 &lt;&gt; "", "Abr-Dez/26",
TRUE, "A partir de Junho"
)</f>
        <v>A partir de Junho</v>
      </c>
      <c r="G107" s="4" t="s">
        <v>62</v>
      </c>
      <c r="H107" s="7" t="s">
        <v>38</v>
      </c>
      <c r="I107" s="4" t="s">
        <v>121</v>
      </c>
      <c r="J107" s="8" t="str" cm="1">
        <f t="array" aca="1" ref="J107" ca="1">_xlfn.LET(
  _xlpm.actual_value_month, INDEX(T107:AE107, MATCH(DATE(YEAR(TODAY()), MONTH(TODAY()), 1), $T$1:$AE$1, 0)),
  IF(_xlpm.actual_value_month &lt;&gt; "",_xlpm.actual_value_month &amp; " ações mensais", "")
)</f>
        <v/>
      </c>
      <c r="K107" s="8" t="str" cm="1">
        <f t="array" ref="K107">_xlfn.LET(
    _xlpm.sum_month, SUM(T107:AE107),
    IF(_xlpm.sum_month = 0, "", _xlpm.sum_month &amp; " empresas monitoradas no ano")
)</f>
        <v/>
      </c>
      <c r="L107" s="4" t="s">
        <v>126</v>
      </c>
      <c r="M107" s="19"/>
      <c r="N107" s="5" t="s">
        <v>51</v>
      </c>
      <c r="O107" s="5"/>
      <c r="P107" s="10"/>
      <c r="Q107" s="10"/>
      <c r="R107" s="11"/>
      <c r="S107" s="11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8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94"/>
      <c r="AT107" s="95"/>
      <c r="AU107" s="97"/>
      <c r="AV107" s="81"/>
      <c r="AW107" s="83">
        <f t="shared" ref="AW107:AW108" si="262">AG107</f>
        <v>0</v>
      </c>
      <c r="AX107" s="83">
        <f t="shared" ref="AX107:AX108" si="263">AH107</f>
        <v>0</v>
      </c>
      <c r="AY107" s="83">
        <f t="shared" ref="AY107:AY108" si="264">AI107</f>
        <v>0</v>
      </c>
      <c r="AZ107" s="83">
        <f t="shared" ref="AZ107:AZ108" si="265">AJ107</f>
        <v>0</v>
      </c>
      <c r="BA107" s="52"/>
      <c r="BB107" s="52"/>
      <c r="BC107" s="52"/>
      <c r="BD107" s="52"/>
      <c r="BE107" s="52"/>
      <c r="BF107" s="52"/>
      <c r="BG107" s="52"/>
      <c r="BH107" s="52"/>
      <c r="BI107" s="65"/>
      <c r="BJ107" s="68"/>
      <c r="BK107" s="59">
        <f t="shared" ref="BK107:BK108" si="266">SUM(AW107:BH107)</f>
        <v>0</v>
      </c>
      <c r="BL107" s="59" cm="1">
        <f t="array" ref="BL107">IFERROR(SUM(AW107:INDEX(AW107:BH107, MATCH(2, 1/(AW107:BH107&lt;&gt;""), 1) - 1))/_xlfn.XLOOKUP(F107,Apuração!A:A,Apuração!B:B),0)</f>
        <v>0</v>
      </c>
      <c r="BM107" s="55"/>
      <c r="BN107" s="55"/>
      <c r="BO107" s="53">
        <f ca="1">IFERROR(_xlfn.XLOOKUP(F107,Apuração!A:A,Apuração!C:C)/_xlfn.XLOOKUP(F107,Apuração!A:A,Apuração!B:B),0)</f>
        <v>0</v>
      </c>
      <c r="BP107" s="53">
        <f ca="1">IFERROR(_xlfn.XLOOKUP(F107,Apuração!A:A,Apuração!D:D)/_xlfn.XLOOKUP(F107,Apuração!A:A,Apuração!B:B),0)</f>
        <v>0</v>
      </c>
      <c r="BQ107" s="53">
        <f ca="1">IF(BK107&gt;=BO107,0,_xlfn.XLOOKUP(F107,Apuração!A:A,Apuração!B:B)*(BO107 + (1/_xlfn.XLOOKUP(F107,Apuração!A:A,Apuração!B:B)) - BK107))</f>
        <v>0</v>
      </c>
      <c r="BR107" s="85">
        <f t="shared" ref="BR107:BR108" ca="1" si="267">IF(BQ107=0,0,BQ107*Z107)</f>
        <v>0</v>
      </c>
      <c r="BS107" s="53">
        <f ca="1">IFERROR((_xlfn.XLOOKUP(F107,Apuração!A:A,Apuração!C:C)+1)/_xlfn.XLOOKUP(F107,Apuração!A:A,Apuração!B:B),0)</f>
        <v>0.14285714285714285</v>
      </c>
    </row>
    <row r="108" spans="1:71" ht="25.95" hidden="1" customHeight="1" x14ac:dyDescent="0.3">
      <c r="A108" s="70" t="s">
        <v>108</v>
      </c>
      <c r="B108" s="4" t="s">
        <v>123</v>
      </c>
      <c r="C108" s="5" t="s">
        <v>35</v>
      </c>
      <c r="D108" s="5" t="s">
        <v>48</v>
      </c>
      <c r="E108" s="4" t="s">
        <v>61</v>
      </c>
      <c r="F108" s="4" t="str" cm="1">
        <f t="array" ref="F108">_xlfn.IFS(
AG108 &lt;&gt; "", "Jan-Dez/26",
AH108 &lt;&gt; "", "Fev-Dez/26",
AI108 &lt;&gt; "", "Mar-Dez/26", AJ108 &lt;&gt; "", "Abr-Dez/26",
TRUE, "A partir de Junho"
)</f>
        <v>A partir de Junho</v>
      </c>
      <c r="G108" s="4" t="s">
        <v>62</v>
      </c>
      <c r="H108" s="7" t="s">
        <v>38</v>
      </c>
      <c r="I108" s="4" t="s">
        <v>121</v>
      </c>
      <c r="J108" s="8" t="str" cm="1">
        <f t="array" aca="1" ref="J108" ca="1">_xlfn.LET(
  _xlpm.actual_value_month, INDEX(T108:AE108, MATCH(DATE(YEAR(TODAY()), MONTH(TODAY()), 1), $T$1:$AE$1, 0)),
  IF(_xlpm.actual_value_month &lt;&gt; "",_xlpm.actual_value_month &amp; " ações mensais", "")
)</f>
        <v/>
      </c>
      <c r="K108" s="8" t="str" cm="1">
        <f t="array" ref="K108">_xlfn.LET(
    _xlpm.sum_month, SUM(T108:AE108),
    IF(_xlpm.sum_month = 0, "", _xlpm.sum_month &amp; " empresas monitoradas no ano")
)</f>
        <v/>
      </c>
      <c r="L108" s="4" t="s">
        <v>126</v>
      </c>
      <c r="M108" s="19"/>
      <c r="N108" s="5" t="s">
        <v>51</v>
      </c>
      <c r="O108" s="5"/>
      <c r="P108" s="10"/>
      <c r="Q108" s="10"/>
      <c r="R108" s="11"/>
      <c r="S108" s="11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8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94"/>
      <c r="AT108" s="95"/>
      <c r="AU108" s="97"/>
      <c r="AV108" s="81"/>
      <c r="AW108" s="83">
        <f t="shared" si="262"/>
        <v>0</v>
      </c>
      <c r="AX108" s="83">
        <f t="shared" si="263"/>
        <v>0</v>
      </c>
      <c r="AY108" s="83">
        <f t="shared" si="264"/>
        <v>0</v>
      </c>
      <c r="AZ108" s="83">
        <f t="shared" si="265"/>
        <v>0</v>
      </c>
      <c r="BA108" s="52"/>
      <c r="BB108" s="52"/>
      <c r="BC108" s="52"/>
      <c r="BD108" s="52"/>
      <c r="BE108" s="52"/>
      <c r="BF108" s="52"/>
      <c r="BG108" s="52"/>
      <c r="BH108" s="52"/>
      <c r="BI108" s="65"/>
      <c r="BJ108" s="68"/>
      <c r="BK108" s="59">
        <f t="shared" si="266"/>
        <v>0</v>
      </c>
      <c r="BL108" s="59" cm="1">
        <f t="array" ref="BL108">IFERROR(SUM(AW108:INDEX(AW108:BH108, MATCH(2, 1/(AW108:BH108&lt;&gt;""), 1) - 1))/_xlfn.XLOOKUP(F108,Apuração!A:A,Apuração!B:B),0)</f>
        <v>0</v>
      </c>
      <c r="BM108" s="55"/>
      <c r="BN108" s="55"/>
      <c r="BO108" s="53">
        <f ca="1">IFERROR(_xlfn.XLOOKUP(F108,Apuração!A:A,Apuração!C:C)/_xlfn.XLOOKUP(F108,Apuração!A:A,Apuração!B:B),0)</f>
        <v>0</v>
      </c>
      <c r="BP108" s="53">
        <f ca="1">IFERROR(_xlfn.XLOOKUP(F108,Apuração!A:A,Apuração!D:D)/_xlfn.XLOOKUP(F108,Apuração!A:A,Apuração!B:B),0)</f>
        <v>0</v>
      </c>
      <c r="BQ108" s="53">
        <f ca="1">IF(BK108&gt;=BO108,0,_xlfn.XLOOKUP(F108,Apuração!A:A,Apuração!B:B)*(BO108 + (1/_xlfn.XLOOKUP(F108,Apuração!A:A,Apuração!B:B)) - BK108))</f>
        <v>0</v>
      </c>
      <c r="BR108" s="85">
        <f t="shared" ca="1" si="267"/>
        <v>0</v>
      </c>
      <c r="BS108" s="53">
        <f ca="1">IFERROR((_xlfn.XLOOKUP(F108,Apuração!A:A,Apuração!C:C)+1)/_xlfn.XLOOKUP(F108,Apuração!A:A,Apuração!B:B),0)</f>
        <v>0.14285714285714285</v>
      </c>
    </row>
    <row r="109" spans="1:71" ht="25.95" hidden="1" customHeight="1" x14ac:dyDescent="0.3">
      <c r="A109" s="70" t="s">
        <v>108</v>
      </c>
      <c r="B109" s="4" t="s">
        <v>123</v>
      </c>
      <c r="C109" s="5" t="s">
        <v>35</v>
      </c>
      <c r="D109" s="5" t="s">
        <v>36</v>
      </c>
      <c r="E109" s="4" t="s">
        <v>61</v>
      </c>
      <c r="F109" s="4" t="str" cm="1">
        <f t="array" ref="F109">_xlfn.IFS(
AG109 &lt;&gt; "", "Jan-Dez/26",
AH109 &lt;&gt; "", "Fev-Dez/26",
AI109 &lt;&gt; "", "Mar-Dez/26", AJ109 &lt;&gt; "", "Abr-Dez/26",
TRUE, "A partir de Junho"
)</f>
        <v>A partir de Junho</v>
      </c>
      <c r="G109" s="4" t="s">
        <v>62</v>
      </c>
      <c r="H109" s="7" t="s">
        <v>38</v>
      </c>
      <c r="I109" s="28" t="s">
        <v>127</v>
      </c>
      <c r="J109" s="8" t="str" cm="1">
        <f t="array" aca="1" ref="J109" ca="1">_xlfn.LET(
  _xlpm.actual_value_month, INDEX(T109:AE109, MATCH(DATE(YEAR(TODAY()), MONTH(TODAY()), 1), $T$1:$AE$1, 0)),
  IF(_xlpm.actual_value_month &lt;&gt; "",_xlpm.actual_value_month &amp; " ações mensais", "")
)</f>
        <v/>
      </c>
      <c r="K109" s="8" t="str" cm="1">
        <f t="array" ref="K109">_xlfn.LET(
    _xlpm.sum_month, SUM(T109:AE109),
    IF(_xlpm.sum_month = 0, "", _xlpm.sum_month &amp; " ações no ano")
)</f>
        <v/>
      </c>
      <c r="L109" s="4" t="s">
        <v>128</v>
      </c>
      <c r="M109" s="19"/>
      <c r="N109" s="5" t="s">
        <v>51</v>
      </c>
      <c r="O109" s="5"/>
      <c r="P109" s="10"/>
      <c r="Q109" s="10"/>
      <c r="R109" s="11"/>
      <c r="S109" s="11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8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94"/>
      <c r="AT109" s="95"/>
      <c r="AU109" s="97"/>
      <c r="AV109" s="81"/>
      <c r="AW109" s="83">
        <f>AG109</f>
        <v>0</v>
      </c>
      <c r="AX109" s="83">
        <f t="shared" si="258"/>
        <v>0</v>
      </c>
      <c r="AY109" s="83">
        <f t="shared" si="259"/>
        <v>0</v>
      </c>
      <c r="AZ109" s="83">
        <f t="shared" si="260"/>
        <v>0</v>
      </c>
      <c r="BA109" s="52"/>
      <c r="BB109" s="52"/>
      <c r="BC109" s="52"/>
      <c r="BD109" s="52"/>
      <c r="BE109" s="52"/>
      <c r="BF109" s="52"/>
      <c r="BG109" s="52"/>
      <c r="BH109" s="52"/>
      <c r="BI109" s="65"/>
      <c r="BJ109" s="68"/>
      <c r="BK109" s="59">
        <f>SUM(AW109:BH109)</f>
        <v>0</v>
      </c>
      <c r="BL109" s="59" cm="1">
        <f t="array" ref="BL109">IFERROR(SUM(AW109:INDEX(AW109:BH109, MATCH(2, 1/(AW109:BH109&lt;&gt;""), 1) - 1))/_xlfn.XLOOKUP(F109,Apuração!A:A,Apuração!B:B),0)</f>
        <v>0</v>
      </c>
      <c r="BM109" s="55"/>
      <c r="BN109" s="55"/>
      <c r="BO109" s="53">
        <f ca="1">IFERROR(_xlfn.XLOOKUP(F109,Apuração!A:A,Apuração!C:C)/_xlfn.XLOOKUP(F109,Apuração!A:A,Apuração!B:B),0)</f>
        <v>0</v>
      </c>
      <c r="BP109" s="53">
        <f ca="1">IFERROR(_xlfn.XLOOKUP(F109,Apuração!A:A,Apuração!D:D)/_xlfn.XLOOKUP(F109,Apuração!A:A,Apuração!B:B),0)</f>
        <v>0</v>
      </c>
      <c r="BQ109" s="53">
        <f ca="1">IF(BK109&gt;=BO109,0,_xlfn.XLOOKUP(F109,Apuração!A:A,Apuração!B:B)*(BO109 + (1/_xlfn.XLOOKUP(F109,Apuração!A:A,Apuração!B:B)) - BK109))</f>
        <v>0</v>
      </c>
      <c r="BR109" s="85">
        <f t="shared" ca="1" si="261"/>
        <v>0</v>
      </c>
      <c r="BS109" s="53">
        <f ca="1">IFERROR((_xlfn.XLOOKUP(F109,Apuração!A:A,Apuração!C:C)+1)/_xlfn.XLOOKUP(F109,Apuração!A:A,Apuração!B:B),0)</f>
        <v>0.14285714285714285</v>
      </c>
    </row>
    <row r="110" spans="1:71" ht="25.95" hidden="1" customHeight="1" x14ac:dyDescent="0.3">
      <c r="A110" s="70" t="s">
        <v>108</v>
      </c>
      <c r="B110" s="4" t="s">
        <v>123</v>
      </c>
      <c r="C110" s="5" t="s">
        <v>35</v>
      </c>
      <c r="D110" s="5" t="s">
        <v>47</v>
      </c>
      <c r="E110" s="4" t="s">
        <v>61</v>
      </c>
      <c r="F110" s="4" t="str" cm="1">
        <f t="array" ref="F110">_xlfn.IFS(
AG110 &lt;&gt; "", "Jan-Dez/26",
AH110 &lt;&gt; "", "Fev-Dez/26",
AI110 &lt;&gt; "", "Mar-Dez/26", AJ110 &lt;&gt; "", "Abr-Dez/26",
TRUE, "A partir de Junho"
)</f>
        <v>A partir de Junho</v>
      </c>
      <c r="G110" s="4" t="s">
        <v>62</v>
      </c>
      <c r="H110" s="7" t="s">
        <v>38</v>
      </c>
      <c r="I110" s="28" t="s">
        <v>127</v>
      </c>
      <c r="J110" s="8" t="str" cm="1">
        <f t="array" aca="1" ref="J110" ca="1">_xlfn.LET(
  _xlpm.actual_value_month, INDEX(T110:AE110, MATCH(DATE(YEAR(TODAY()), MONTH(TODAY()), 1), $T$1:$AE$1, 0)),
  IF(_xlpm.actual_value_month &lt;&gt; "",_xlpm.actual_value_month &amp; " ações mensais", "")
)</f>
        <v/>
      </c>
      <c r="K110" s="8" t="str" cm="1">
        <f t="array" ref="K110">_xlfn.LET(
    _xlpm.sum_month, SUM(T110:AE110),
    IF(_xlpm.sum_month = 0, "", _xlpm.sum_month &amp; " ações no ano")
)</f>
        <v/>
      </c>
      <c r="L110" s="4" t="s">
        <v>128</v>
      </c>
      <c r="M110" s="19"/>
      <c r="N110" s="5" t="s">
        <v>51</v>
      </c>
      <c r="O110" s="5"/>
      <c r="P110" s="10"/>
      <c r="Q110" s="10"/>
      <c r="R110" s="11"/>
      <c r="S110" s="11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8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94"/>
      <c r="AT110" s="95"/>
      <c r="AU110" s="97"/>
      <c r="AV110" s="81"/>
      <c r="AW110" s="83">
        <f t="shared" ref="AW110:AW111" si="268">AG110</f>
        <v>0</v>
      </c>
      <c r="AX110" s="83">
        <f t="shared" ref="AX110:AX111" si="269">AH110</f>
        <v>0</v>
      </c>
      <c r="AY110" s="83">
        <f t="shared" ref="AY110:AY111" si="270">AI110</f>
        <v>0</v>
      </c>
      <c r="AZ110" s="83">
        <f t="shared" ref="AZ110:AZ111" si="271">AJ110</f>
        <v>0</v>
      </c>
      <c r="BA110" s="52"/>
      <c r="BB110" s="52"/>
      <c r="BC110" s="52"/>
      <c r="BD110" s="52"/>
      <c r="BE110" s="52"/>
      <c r="BF110" s="52"/>
      <c r="BG110" s="52"/>
      <c r="BH110" s="52"/>
      <c r="BI110" s="65"/>
      <c r="BJ110" s="68"/>
      <c r="BK110" s="59">
        <f t="shared" ref="BK110:BK111" si="272">SUM(AW110:BH110)</f>
        <v>0</v>
      </c>
      <c r="BL110" s="59" cm="1">
        <f t="array" ref="BL110">IFERROR(SUM(AW110:INDEX(AW110:BH110, MATCH(2, 1/(AW110:BH110&lt;&gt;""), 1) - 1))/_xlfn.XLOOKUP(F110,Apuração!A:A,Apuração!B:B),0)</f>
        <v>0</v>
      </c>
      <c r="BM110" s="55"/>
      <c r="BN110" s="55"/>
      <c r="BO110" s="53">
        <f ca="1">IFERROR(_xlfn.XLOOKUP(F110,Apuração!A:A,Apuração!C:C)/_xlfn.XLOOKUP(F110,Apuração!A:A,Apuração!B:B),0)</f>
        <v>0</v>
      </c>
      <c r="BP110" s="53">
        <f ca="1">IFERROR(_xlfn.XLOOKUP(F110,Apuração!A:A,Apuração!D:D)/_xlfn.XLOOKUP(F110,Apuração!A:A,Apuração!B:B),0)</f>
        <v>0</v>
      </c>
      <c r="BQ110" s="53">
        <f ca="1">IF(BK110&gt;=BO110,0,_xlfn.XLOOKUP(F110,Apuração!A:A,Apuração!B:B)*(BO110 + (1/_xlfn.XLOOKUP(F110,Apuração!A:A,Apuração!B:B)) - BK110))</f>
        <v>0</v>
      </c>
      <c r="BR110" s="85">
        <f t="shared" ref="BR110:BR111" ca="1" si="273">IF(BQ110=0,0,BQ110*Z110)</f>
        <v>0</v>
      </c>
      <c r="BS110" s="53">
        <f ca="1">IFERROR((_xlfn.XLOOKUP(F110,Apuração!A:A,Apuração!C:C)+1)/_xlfn.XLOOKUP(F110,Apuração!A:A,Apuração!B:B),0)</f>
        <v>0.14285714285714285</v>
      </c>
    </row>
    <row r="111" spans="1:71" ht="25.95" hidden="1" customHeight="1" x14ac:dyDescent="0.3">
      <c r="A111" s="70" t="s">
        <v>108</v>
      </c>
      <c r="B111" s="4" t="s">
        <v>123</v>
      </c>
      <c r="C111" s="5" t="s">
        <v>35</v>
      </c>
      <c r="D111" s="5" t="s">
        <v>48</v>
      </c>
      <c r="E111" s="4" t="s">
        <v>61</v>
      </c>
      <c r="F111" s="4" t="str" cm="1">
        <f t="array" ref="F111">_xlfn.IFS(
AG111 &lt;&gt; "", "Jan-Dez/26",
AH111 &lt;&gt; "", "Fev-Dez/26",
AI111 &lt;&gt; "", "Mar-Dez/26", AJ111 &lt;&gt; "", "Abr-Dez/26",
TRUE, "A partir de Junho"
)</f>
        <v>A partir de Junho</v>
      </c>
      <c r="G111" s="4" t="s">
        <v>62</v>
      </c>
      <c r="H111" s="7" t="s">
        <v>38</v>
      </c>
      <c r="I111" s="28" t="s">
        <v>127</v>
      </c>
      <c r="J111" s="8" t="str" cm="1">
        <f t="array" aca="1" ref="J111" ca="1">_xlfn.LET(
  _xlpm.actual_value_month, INDEX(T111:AE111, MATCH(DATE(YEAR(TODAY()), MONTH(TODAY()), 1), $T$1:$AE$1, 0)),
  IF(_xlpm.actual_value_month &lt;&gt; "",_xlpm.actual_value_month &amp; " ações mensais", "")
)</f>
        <v/>
      </c>
      <c r="K111" s="8" t="str" cm="1">
        <f t="array" ref="K111">_xlfn.LET(
    _xlpm.sum_month, SUM(T111:AE111),
    IF(_xlpm.sum_month = 0, "", _xlpm.sum_month &amp; " ações no ano")
)</f>
        <v/>
      </c>
      <c r="L111" s="4" t="s">
        <v>128</v>
      </c>
      <c r="M111" s="19"/>
      <c r="N111" s="5" t="s">
        <v>51</v>
      </c>
      <c r="O111" s="5"/>
      <c r="P111" s="10"/>
      <c r="Q111" s="10"/>
      <c r="R111" s="11"/>
      <c r="S111" s="11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8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94"/>
      <c r="AT111" s="95"/>
      <c r="AU111" s="97"/>
      <c r="AV111" s="81"/>
      <c r="AW111" s="83">
        <f t="shared" si="268"/>
        <v>0</v>
      </c>
      <c r="AX111" s="83">
        <f t="shared" si="269"/>
        <v>0</v>
      </c>
      <c r="AY111" s="83">
        <f t="shared" si="270"/>
        <v>0</v>
      </c>
      <c r="AZ111" s="83">
        <f t="shared" si="271"/>
        <v>0</v>
      </c>
      <c r="BA111" s="52"/>
      <c r="BB111" s="52"/>
      <c r="BC111" s="52"/>
      <c r="BD111" s="52"/>
      <c r="BE111" s="52"/>
      <c r="BF111" s="52"/>
      <c r="BG111" s="52"/>
      <c r="BH111" s="52"/>
      <c r="BI111" s="65"/>
      <c r="BJ111" s="68"/>
      <c r="BK111" s="59">
        <f t="shared" si="272"/>
        <v>0</v>
      </c>
      <c r="BL111" s="59" cm="1">
        <f t="array" ref="BL111">IFERROR(SUM(AW111:INDEX(AW111:BH111, MATCH(2, 1/(AW111:BH111&lt;&gt;""), 1) - 1))/_xlfn.XLOOKUP(F111,Apuração!A:A,Apuração!B:B),0)</f>
        <v>0</v>
      </c>
      <c r="BM111" s="55"/>
      <c r="BN111" s="55"/>
      <c r="BO111" s="53">
        <f ca="1">IFERROR(_xlfn.XLOOKUP(F111,Apuração!A:A,Apuração!C:C)/_xlfn.XLOOKUP(F111,Apuração!A:A,Apuração!B:B),0)</f>
        <v>0</v>
      </c>
      <c r="BP111" s="53">
        <f ca="1">IFERROR(_xlfn.XLOOKUP(F111,Apuração!A:A,Apuração!D:D)/_xlfn.XLOOKUP(F111,Apuração!A:A,Apuração!B:B),0)</f>
        <v>0</v>
      </c>
      <c r="BQ111" s="53">
        <f ca="1">IF(BK111&gt;=BO111,0,_xlfn.XLOOKUP(F111,Apuração!A:A,Apuração!B:B)*(BO111 + (1/_xlfn.XLOOKUP(F111,Apuração!A:A,Apuração!B:B)) - BK111))</f>
        <v>0</v>
      </c>
      <c r="BR111" s="85">
        <f t="shared" ca="1" si="273"/>
        <v>0</v>
      </c>
      <c r="BS111" s="53">
        <f ca="1">IFERROR((_xlfn.XLOOKUP(F111,Apuração!A:A,Apuração!C:C)+1)/_xlfn.XLOOKUP(F111,Apuração!A:A,Apuração!B:B),0)</f>
        <v>0.14285714285714285</v>
      </c>
    </row>
    <row r="112" spans="1:71" ht="25.95" hidden="1" customHeight="1" x14ac:dyDescent="0.3">
      <c r="A112" s="41" t="s">
        <v>108</v>
      </c>
      <c r="B112" s="4" t="s">
        <v>129</v>
      </c>
      <c r="C112" s="5" t="s">
        <v>35</v>
      </c>
      <c r="D112" s="5" t="s">
        <v>36</v>
      </c>
      <c r="E112" s="4" t="s">
        <v>61</v>
      </c>
      <c r="F112" s="4" t="str" cm="1">
        <f t="array" ref="F112">_xlfn.IFS(
AG112 &lt;&gt; "", "Jan-Dez/26",
AH112 &lt;&gt; "", "Fev-Dez/26",
AI112 &lt;&gt; "", "Mar-Dez/26", AJ112 &lt;&gt; "", "Abr-Dez/26",
TRUE, "A partir de Junho"
)</f>
        <v>A partir de Junho</v>
      </c>
      <c r="G112" s="4" t="s">
        <v>62</v>
      </c>
      <c r="H112" s="7" t="s">
        <v>38</v>
      </c>
      <c r="I112" s="4" t="s">
        <v>130</v>
      </c>
      <c r="J112" s="8" t="str" cm="1">
        <f t="array" aca="1" ref="J112" ca="1">_xlfn.LET(
  _xlpm.actual_value_month, INDEX(T112:AE112, MATCH(DATE(YEAR(TODAY()), MONTH(TODAY()), 1), $T$1:$AE$1, 0)),
  IF(_xlpm.actual_value_month &lt;&gt; "",_xlpm.actual_value_month &amp; " ações mensais", "")
)</f>
        <v/>
      </c>
      <c r="K112" s="8" t="str" cm="1">
        <f t="array" ref="K112">_xlfn.LET(
    _xlpm.sum_month, SUM(T112:AE112),
    IF(_xlpm.sum_month = 0, "", _xlpm.sum_month &amp; " treinamento de motociclistas no ano")
)</f>
        <v/>
      </c>
      <c r="L112" s="4" t="s">
        <v>131</v>
      </c>
      <c r="M112" s="19"/>
      <c r="N112" s="5" t="s">
        <v>42</v>
      </c>
      <c r="O112" s="5"/>
      <c r="P112" s="10"/>
      <c r="Q112" s="10"/>
      <c r="R112" s="11"/>
      <c r="S112" s="11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8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94"/>
      <c r="AT112" s="95"/>
      <c r="AU112" s="97"/>
      <c r="AV112" s="81"/>
      <c r="AW112" s="51">
        <f>IFERROR(IF(AG112="",0,AG112/T112),0)</f>
        <v>0</v>
      </c>
      <c r="AX112" s="51">
        <f>IFERROR(IF(AH112="",0,AH112/U112),0)</f>
        <v>0</v>
      </c>
      <c r="AY112" s="51">
        <f>IFERROR(IF(AI112="",0,AI112/V112),0)</f>
        <v>0</v>
      </c>
      <c r="AZ112" s="51">
        <f>IFERROR(IF(AJ112="",0,AJ112/W112),0)</f>
        <v>0</v>
      </c>
      <c r="BA112" s="51"/>
      <c r="BB112" s="51"/>
      <c r="BC112" s="51"/>
      <c r="BD112" s="51"/>
      <c r="BE112" s="51"/>
      <c r="BF112" s="51"/>
      <c r="BG112" s="51"/>
      <c r="BH112" s="51"/>
      <c r="BI112" s="65"/>
      <c r="BJ112" s="68"/>
      <c r="BK112" s="58">
        <f>IF((IF(AW112&gt;=115%,115%,AW112) + IF(AX112&gt;=115%,115%,AX112) + IF(AY112&gt;=115%,115%,AY112) + (IF(AZ112&gt;=115%,115%,AZ112) + IF(BA112&gt;=115%,115%,BA112) + IF(BB112&gt;=115%,115%,BB112) + IF(BC112&gt;=115%,115%,BC112) + IF(BD112&gt;=115%,115%,BD112) + IF(BE112&gt;=115%,115%,BE112) + IF(BF112&gt;=115%,115%,BF112) + IF(BG112&gt;=115%,115%,BG112) + IF(BH112&gt;=115%,115%,BH112)))/_xlfn.XLOOKUP(F112,Apuração!A:A,Apuração!B:B)&gt;=1.15,1.15,((IF(AZ112&gt;=115%,115%,AZ112) + IF(AX112&gt;=115%,115%,AX112) + IF(AY112&gt;=115%,115%,AY112) + (IF(AW112&gt;=115%,115%,AW112) + IF(BA112&gt;=115%,115%,BA112) + IF(BB112&gt;=115%,115%,BB112) + IF(BC112&gt;=115%,115%,BC112) + IF(BD112&gt;=115%,115%,BD112) + IF(BE112&gt;=115%,115%,BE112) + IF(BF112&gt;=115%,115%,BF112) + IF(BG112&gt;=115%,115%,BG112) + IF(BH112&gt;=115%,115%,BH112)))/_xlfn.XLOOKUP(F112,Apuração!A:A,Apuração!B:B)))</f>
        <v>0</v>
      </c>
      <c r="BL112" s="58" cm="1">
        <f t="array" aca="1" ref="BL112" ca="1">IF(SUM(IFERROR(IF(INDEX(AW112:INDEX(AW112:BH112, MATCH(2, 1/(AW112:BH112&lt;&gt;""), 1)-1), ROW(INDIRECT("1:" &amp; MATCH(2, 1/(AW112:BH112&lt;&gt;""), 1)-1))) &gt;= 115%, 115%, INDEX(AW112:INDEX(AW112:BH112, MATCH(2, 1/(AW112:BH112&lt;&gt;""), 1)-1), ROW(INDIRECT("1:" &amp; MATCH(2, 1/(AW112:BH112&lt;&gt;""), 1)-1)))), 0))/_xlfn.XLOOKUP(F112,Apuração!A:A,Apuração!B:B)&gt;=1.15,1.15,SUM(IFERROR(IF(INDEX(AW112:INDEX(AW112:BH112, MATCH(2, 1/(AW112:BH112&lt;&gt;""), 1)-1), ROW(INDIRECT("1:" &amp; MATCH(2, 1/(AW112:BH112&lt;&gt;""), 1)-1))) &gt;= 115%, 115%, INDEX(AW112:INDEX(AW112:BH112, MATCH(2, 1/(AW112:BH112&lt;&gt;""), 1)-1), ROW(INDIRECT("1:" &amp; MATCH(2, 1/(AW112:BH112&lt;&gt;""), 1)-1)))), 0))/_xlfn.XLOOKUP(F112,Apuração!A:A,Apuração!B:B))</f>
        <v>0</v>
      </c>
      <c r="BM112" s="55"/>
      <c r="BN112" s="55"/>
      <c r="BO112" s="53">
        <f ca="1">IFERROR(_xlfn.XLOOKUP(F112,Apuração!A:A,Apuração!C:C)/_xlfn.XLOOKUP(F112,Apuração!A:A,Apuração!B:B),0)</f>
        <v>0</v>
      </c>
      <c r="BP112" s="53">
        <f ca="1">IFERROR(_xlfn.XLOOKUP(F112,Apuração!A:A,Apuração!D:D)/_xlfn.XLOOKUP(F112,Apuração!A:A,Apuração!B:B),0)</f>
        <v>0</v>
      </c>
      <c r="BQ112" s="53">
        <f ca="1">IF(BK112&gt;=BO112,0,_xlfn.XLOOKUP(F112,Apuração!A:A,Apuração!B:B)*(BO112 + (1/_xlfn.XLOOKUP(F112,Apuração!A:A,Apuração!B:B)) - BK112))</f>
        <v>0</v>
      </c>
      <c r="BR112" s="85">
        <f t="shared" ca="1" si="261"/>
        <v>0</v>
      </c>
      <c r="BS112" s="53">
        <f ca="1">IFERROR((_xlfn.XLOOKUP(F112,Apuração!A:A,Apuração!C:C)+1)/_xlfn.XLOOKUP(F112,Apuração!A:A,Apuração!B:B),0)</f>
        <v>0.14285714285714285</v>
      </c>
    </row>
    <row r="113" spans="1:71" ht="25.95" hidden="1" customHeight="1" x14ac:dyDescent="0.3">
      <c r="A113" s="41" t="s">
        <v>108</v>
      </c>
      <c r="B113" s="4" t="s">
        <v>129</v>
      </c>
      <c r="C113" s="5" t="s">
        <v>35</v>
      </c>
      <c r="D113" s="5" t="s">
        <v>47</v>
      </c>
      <c r="E113" s="4" t="s">
        <v>61</v>
      </c>
      <c r="F113" s="4" t="str" cm="1">
        <f t="array" ref="F113">_xlfn.IFS(
AG113 &lt;&gt; "", "Jan-Dez/26",
AH113 &lt;&gt; "", "Fev-Dez/26",
AI113 &lt;&gt; "", "Mar-Dez/26", AJ113 &lt;&gt; "", "Abr-Dez/26",
TRUE, "A partir de Junho"
)</f>
        <v>A partir de Junho</v>
      </c>
      <c r="G113" s="4" t="s">
        <v>62</v>
      </c>
      <c r="H113" s="7" t="s">
        <v>38</v>
      </c>
      <c r="I113" s="4" t="s">
        <v>130</v>
      </c>
      <c r="J113" s="8" t="str" cm="1">
        <f t="array" aca="1" ref="J113" ca="1">_xlfn.LET(
  _xlpm.actual_value_month, INDEX(T113:AE113, MATCH(DATE(YEAR(TODAY()), MONTH(TODAY()), 1), $T$1:$AE$1, 0)),
  IF(_xlpm.actual_value_month &lt;&gt; "",_xlpm.actual_value_month &amp; " ações mensais", "")
)</f>
        <v/>
      </c>
      <c r="K113" s="8" t="str" cm="1">
        <f t="array" ref="K113">_xlfn.LET(
    _xlpm.sum_month, SUM(T113:AE113),
    IF(_xlpm.sum_month = 0, "", _xlpm.sum_month &amp; " treinamento de motociclistas no ano")
)</f>
        <v/>
      </c>
      <c r="L113" s="4" t="s">
        <v>131</v>
      </c>
      <c r="M113" s="19"/>
      <c r="N113" s="5" t="s">
        <v>42</v>
      </c>
      <c r="O113" s="5"/>
      <c r="P113" s="10"/>
      <c r="Q113" s="10"/>
      <c r="R113" s="11"/>
      <c r="S113" s="11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8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94"/>
      <c r="AT113" s="95"/>
      <c r="AU113" s="97"/>
      <c r="AV113" s="81"/>
      <c r="AW113" s="51">
        <f t="shared" ref="AW113:AW114" si="274">IFERROR(IF(AG113="",0,AG113/T113),0)</f>
        <v>0</v>
      </c>
      <c r="AX113" s="51">
        <f t="shared" ref="AX113:AX114" si="275">IFERROR(IF(AH113="",0,AH113/U113),0)</f>
        <v>0</v>
      </c>
      <c r="AY113" s="51">
        <f t="shared" ref="AY113:AY114" si="276">IFERROR(IF(AI113="",0,AI113/V113),0)</f>
        <v>0</v>
      </c>
      <c r="AZ113" s="51">
        <f t="shared" ref="AZ113:AZ114" si="277">IFERROR(IF(AJ113="",0,AJ113/W113),0)</f>
        <v>0</v>
      </c>
      <c r="BA113" s="51"/>
      <c r="BB113" s="51"/>
      <c r="BC113" s="51"/>
      <c r="BD113" s="51"/>
      <c r="BE113" s="51"/>
      <c r="BF113" s="51"/>
      <c r="BG113" s="51"/>
      <c r="BH113" s="51"/>
      <c r="BI113" s="65"/>
      <c r="BJ113" s="68"/>
      <c r="BK113" s="58">
        <f>IF((IF(AW113&gt;=115%,115%,AW113) + IF(AX113&gt;=115%,115%,AX113) + IF(AY113&gt;=115%,115%,AY113) + (IF(AZ113&gt;=115%,115%,AZ113) + IF(BA113&gt;=115%,115%,BA113) + IF(BB113&gt;=115%,115%,BB113) + IF(BC113&gt;=115%,115%,BC113) + IF(BD113&gt;=115%,115%,BD113) + IF(BE113&gt;=115%,115%,BE113) + IF(BF113&gt;=115%,115%,BF113) + IF(BG113&gt;=115%,115%,BG113) + IF(BH113&gt;=115%,115%,BH113)))/_xlfn.XLOOKUP(F113,Apuração!A:A,Apuração!B:B)&gt;=1.15,1.15,((IF(AZ113&gt;=115%,115%,AZ113) + IF(AX113&gt;=115%,115%,AX113) + IF(AY113&gt;=115%,115%,AY113) + (IF(AW113&gt;=115%,115%,AW113) + IF(BA113&gt;=115%,115%,BA113) + IF(BB113&gt;=115%,115%,BB113) + IF(BC113&gt;=115%,115%,BC113) + IF(BD113&gt;=115%,115%,BD113) + IF(BE113&gt;=115%,115%,BE113) + IF(BF113&gt;=115%,115%,BF113) + IF(BG113&gt;=115%,115%,BG113) + IF(BH113&gt;=115%,115%,BH113)))/_xlfn.XLOOKUP(F113,Apuração!A:A,Apuração!B:B)))</f>
        <v>0</v>
      </c>
      <c r="BL113" s="58" cm="1">
        <f t="array" aca="1" ref="BL113" ca="1">IF(SUM(IFERROR(IF(INDEX(AW113:INDEX(AW113:BH113, MATCH(2, 1/(AW113:BH113&lt;&gt;""), 1)-1), ROW(INDIRECT("1:" &amp; MATCH(2, 1/(AW113:BH113&lt;&gt;""), 1)-1))) &gt;= 115%, 115%, INDEX(AW113:INDEX(AW113:BH113, MATCH(2, 1/(AW113:BH113&lt;&gt;""), 1)-1), ROW(INDIRECT("1:" &amp; MATCH(2, 1/(AW113:BH113&lt;&gt;""), 1)-1)))), 0))/_xlfn.XLOOKUP(F113,Apuração!A:A,Apuração!B:B)&gt;=1.15,1.15,SUM(IFERROR(IF(INDEX(AW113:INDEX(AW113:BH113, MATCH(2, 1/(AW113:BH113&lt;&gt;""), 1)-1), ROW(INDIRECT("1:" &amp; MATCH(2, 1/(AW113:BH113&lt;&gt;""), 1)-1))) &gt;= 115%, 115%, INDEX(AW113:INDEX(AW113:BH113, MATCH(2, 1/(AW113:BH113&lt;&gt;""), 1)-1), ROW(INDIRECT("1:" &amp; MATCH(2, 1/(AW113:BH113&lt;&gt;""), 1)-1)))), 0))/_xlfn.XLOOKUP(F113,Apuração!A:A,Apuração!B:B))</f>
        <v>0</v>
      </c>
      <c r="BM113" s="55"/>
      <c r="BN113" s="55"/>
      <c r="BO113" s="53">
        <f ca="1">IFERROR(_xlfn.XLOOKUP(F113,Apuração!A:A,Apuração!C:C)/_xlfn.XLOOKUP(F113,Apuração!A:A,Apuração!B:B),0)</f>
        <v>0</v>
      </c>
      <c r="BP113" s="53">
        <f ca="1">IFERROR(_xlfn.XLOOKUP(F113,Apuração!A:A,Apuração!D:D)/_xlfn.XLOOKUP(F113,Apuração!A:A,Apuração!B:B),0)</f>
        <v>0</v>
      </c>
      <c r="BQ113" s="53">
        <f ca="1">IF(BK113&gt;=BO113,0,_xlfn.XLOOKUP(F113,Apuração!A:A,Apuração!B:B)*(BO113 + (1/_xlfn.XLOOKUP(F113,Apuração!A:A,Apuração!B:B)) - BK113))</f>
        <v>0</v>
      </c>
      <c r="BR113" s="85">
        <f t="shared" ref="BR113:BR116" ca="1" si="278">IF(BQ113=0,0,BQ113*Z113)</f>
        <v>0</v>
      </c>
      <c r="BS113" s="53">
        <f ca="1">IFERROR((_xlfn.XLOOKUP(F113,Apuração!A:A,Apuração!C:C)+1)/_xlfn.XLOOKUP(F113,Apuração!A:A,Apuração!B:B),0)</f>
        <v>0.14285714285714285</v>
      </c>
    </row>
    <row r="114" spans="1:71" ht="25.95" hidden="1" customHeight="1" x14ac:dyDescent="0.3">
      <c r="A114" s="41" t="s">
        <v>108</v>
      </c>
      <c r="B114" s="4" t="s">
        <v>129</v>
      </c>
      <c r="C114" s="5" t="s">
        <v>35</v>
      </c>
      <c r="D114" s="5" t="s">
        <v>48</v>
      </c>
      <c r="E114" s="4" t="s">
        <v>61</v>
      </c>
      <c r="F114" s="4" t="str" cm="1">
        <f t="array" ref="F114">_xlfn.IFS(
AG114 &lt;&gt; "", "Jan-Dez/26",
AH114 &lt;&gt; "", "Fev-Dez/26",
AI114 &lt;&gt; "", "Mar-Dez/26", AJ114 &lt;&gt; "", "Abr-Dez/26",
TRUE, "A partir de Junho"
)</f>
        <v>A partir de Junho</v>
      </c>
      <c r="G114" s="4" t="s">
        <v>62</v>
      </c>
      <c r="H114" s="7" t="s">
        <v>38</v>
      </c>
      <c r="I114" s="4" t="s">
        <v>130</v>
      </c>
      <c r="J114" s="8" t="str" cm="1">
        <f t="array" aca="1" ref="J114" ca="1">_xlfn.LET(
  _xlpm.actual_value_month, INDEX(T114:AE114, MATCH(DATE(YEAR(TODAY()), MONTH(TODAY()), 1), $T$1:$AE$1, 0)),
  IF(_xlpm.actual_value_month &lt;&gt; "",_xlpm.actual_value_month &amp; " ações mensais", "")
)</f>
        <v/>
      </c>
      <c r="K114" s="8" t="str" cm="1">
        <f t="array" ref="K114">_xlfn.LET(
    _xlpm.sum_month, SUM(T114:AE114),
    IF(_xlpm.sum_month = 0, "", _xlpm.sum_month &amp; " treinamento de motociclistas no ano")
)</f>
        <v/>
      </c>
      <c r="L114" s="4" t="s">
        <v>131</v>
      </c>
      <c r="M114" s="19"/>
      <c r="N114" s="5" t="s">
        <v>42</v>
      </c>
      <c r="O114" s="5"/>
      <c r="P114" s="10"/>
      <c r="Q114" s="10"/>
      <c r="R114" s="11"/>
      <c r="S114" s="11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8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94"/>
      <c r="AT114" s="95"/>
      <c r="AU114" s="97"/>
      <c r="AV114" s="81"/>
      <c r="AW114" s="51">
        <f t="shared" si="274"/>
        <v>0</v>
      </c>
      <c r="AX114" s="51">
        <f t="shared" si="275"/>
        <v>0</v>
      </c>
      <c r="AY114" s="51">
        <f t="shared" si="276"/>
        <v>0</v>
      </c>
      <c r="AZ114" s="51">
        <f t="shared" si="277"/>
        <v>0</v>
      </c>
      <c r="BA114" s="51"/>
      <c r="BB114" s="51"/>
      <c r="BC114" s="51"/>
      <c r="BD114" s="51"/>
      <c r="BE114" s="51"/>
      <c r="BF114" s="51"/>
      <c r="BG114" s="51"/>
      <c r="BH114" s="51"/>
      <c r="BI114" s="65"/>
      <c r="BJ114" s="68"/>
      <c r="BK114" s="58">
        <f>IF((IF(AW114&gt;=115%,115%,AW114) + IF(AX114&gt;=115%,115%,AX114) + IF(AY114&gt;=115%,115%,AY114) + (IF(AZ114&gt;=115%,115%,AZ114) + IF(BA114&gt;=115%,115%,BA114) + IF(BB114&gt;=115%,115%,BB114) + IF(BC114&gt;=115%,115%,BC114) + IF(BD114&gt;=115%,115%,BD114) + IF(BE114&gt;=115%,115%,BE114) + IF(BF114&gt;=115%,115%,BF114) + IF(BG114&gt;=115%,115%,BG114) + IF(BH114&gt;=115%,115%,BH114)))/_xlfn.XLOOKUP(F114,Apuração!A:A,Apuração!B:B)&gt;=1.15,1.15,((IF(AZ114&gt;=115%,115%,AZ114) + IF(AX114&gt;=115%,115%,AX114) + IF(AY114&gt;=115%,115%,AY114) + (IF(AW114&gt;=115%,115%,AW114) + IF(BA114&gt;=115%,115%,BA114) + IF(BB114&gt;=115%,115%,BB114) + IF(BC114&gt;=115%,115%,BC114) + IF(BD114&gt;=115%,115%,BD114) + IF(BE114&gt;=115%,115%,BE114) + IF(BF114&gt;=115%,115%,BF114) + IF(BG114&gt;=115%,115%,BG114) + IF(BH114&gt;=115%,115%,BH114)))/_xlfn.XLOOKUP(F114,Apuração!A:A,Apuração!B:B)))</f>
        <v>0</v>
      </c>
      <c r="BL114" s="58" cm="1">
        <f t="array" aca="1" ref="BL114" ca="1">IF(SUM(IFERROR(IF(INDEX(AW114:INDEX(AW114:BH114, MATCH(2, 1/(AW114:BH114&lt;&gt;""), 1)-1), ROW(INDIRECT("1:" &amp; MATCH(2, 1/(AW114:BH114&lt;&gt;""), 1)-1))) &gt;= 115%, 115%, INDEX(AW114:INDEX(AW114:BH114, MATCH(2, 1/(AW114:BH114&lt;&gt;""), 1)-1), ROW(INDIRECT("1:" &amp; MATCH(2, 1/(AW114:BH114&lt;&gt;""), 1)-1)))), 0))/_xlfn.XLOOKUP(F114,Apuração!A:A,Apuração!B:B)&gt;=1.15,1.15,SUM(IFERROR(IF(INDEX(AW114:INDEX(AW114:BH114, MATCH(2, 1/(AW114:BH114&lt;&gt;""), 1)-1), ROW(INDIRECT("1:" &amp; MATCH(2, 1/(AW114:BH114&lt;&gt;""), 1)-1))) &gt;= 115%, 115%, INDEX(AW114:INDEX(AW114:BH114, MATCH(2, 1/(AW114:BH114&lt;&gt;""), 1)-1), ROW(INDIRECT("1:" &amp; MATCH(2, 1/(AW114:BH114&lt;&gt;""), 1)-1)))), 0))/_xlfn.XLOOKUP(F114,Apuração!A:A,Apuração!B:B))</f>
        <v>0</v>
      </c>
      <c r="BM114" s="55"/>
      <c r="BN114" s="55"/>
      <c r="BO114" s="53">
        <f ca="1">IFERROR(_xlfn.XLOOKUP(F114,Apuração!A:A,Apuração!C:C)/_xlfn.XLOOKUP(F114,Apuração!A:A,Apuração!B:B),0)</f>
        <v>0</v>
      </c>
      <c r="BP114" s="53">
        <f ca="1">IFERROR(_xlfn.XLOOKUP(F114,Apuração!A:A,Apuração!D:D)/_xlfn.XLOOKUP(F114,Apuração!A:A,Apuração!B:B),0)</f>
        <v>0</v>
      </c>
      <c r="BQ114" s="53">
        <f ca="1">IF(BK114&gt;=BO114,0,_xlfn.XLOOKUP(F114,Apuração!A:A,Apuração!B:B)*(BO114 + (1/_xlfn.XLOOKUP(F114,Apuração!A:A,Apuração!B:B)) - BK114))</f>
        <v>0</v>
      </c>
      <c r="BR114" s="85">
        <f t="shared" ca="1" si="278"/>
        <v>0</v>
      </c>
      <c r="BS114" s="53">
        <f ca="1">IFERROR((_xlfn.XLOOKUP(F114,Apuração!A:A,Apuração!C:C)+1)/_xlfn.XLOOKUP(F114,Apuração!A:A,Apuração!B:B),0)</f>
        <v>0.14285714285714285</v>
      </c>
    </row>
    <row r="115" spans="1:71" ht="25.95" hidden="1" customHeight="1" x14ac:dyDescent="0.3">
      <c r="A115" s="70" t="s">
        <v>108</v>
      </c>
      <c r="B115" s="4" t="s">
        <v>129</v>
      </c>
      <c r="C115" s="5" t="s">
        <v>35</v>
      </c>
      <c r="D115" s="5" t="s">
        <v>36</v>
      </c>
      <c r="E115" s="4" t="s">
        <v>61</v>
      </c>
      <c r="F115" s="4" t="str" cm="1">
        <f t="array" ref="F115">_xlfn.IFS(
AG115 &lt;&gt; "", "Jan-Dez/26",
AH115 &lt;&gt; "", "Fev-Dez/26",
AI115 &lt;&gt; "", "Mar-Dez/26", AJ115 &lt;&gt; "", "Abr-Dez/26",
TRUE, "A partir de Junho"
)</f>
        <v>A partir de Junho</v>
      </c>
      <c r="G115" s="4" t="s">
        <v>62</v>
      </c>
      <c r="H115" s="7" t="s">
        <v>38</v>
      </c>
      <c r="I115" s="28" t="s">
        <v>132</v>
      </c>
      <c r="J115" s="8" t="str" cm="1">
        <f t="array" aca="1" ref="J115" ca="1">_xlfn.LET(
  _xlpm.actual_value_month, INDEX(T115:AE115, MATCH(DATE(YEAR(TODAY()), MONTH(TODAY()), 1), $T$1:$AE$1, 0)),
  IF(_xlpm.actual_value_month &lt;&gt; "",_xlpm.actual_value_month &amp; " ações mensais", "")
)</f>
        <v/>
      </c>
      <c r="K115" s="8" t="str" cm="1">
        <f t="array" ref="K115">_xlfn.LET(
    _xlpm.sum_month, SUM(T115:AE115),
    IF(_xlpm.sum_month = 0, "", _xlpm.sum_month &amp; "  notificações de excesso de velocidade no ano")
)</f>
        <v/>
      </c>
      <c r="L115" s="4" t="s">
        <v>133</v>
      </c>
      <c r="M115" s="19"/>
      <c r="N115" s="5" t="s">
        <v>51</v>
      </c>
      <c r="O115" s="5"/>
      <c r="P115" s="10"/>
      <c r="Q115" s="10"/>
      <c r="R115" s="11"/>
      <c r="S115" s="11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8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94"/>
      <c r="AT115" s="95"/>
      <c r="AU115" s="97"/>
      <c r="AV115" s="81"/>
      <c r="AW115" s="83">
        <f t="shared" ref="AW115:AW116" si="279">AG115</f>
        <v>0</v>
      </c>
      <c r="AX115" s="83">
        <f t="shared" ref="AX115:AX116" si="280">AH115</f>
        <v>0</v>
      </c>
      <c r="AY115" s="83">
        <f t="shared" ref="AY115:AY116" si="281">AI115</f>
        <v>0</v>
      </c>
      <c r="AZ115" s="83">
        <f t="shared" ref="AZ115:AZ116" si="282">AJ115</f>
        <v>0</v>
      </c>
      <c r="BA115" s="52"/>
      <c r="BB115" s="52"/>
      <c r="BC115" s="52"/>
      <c r="BD115" s="52"/>
      <c r="BE115" s="52"/>
      <c r="BF115" s="52"/>
      <c r="BG115" s="52"/>
      <c r="BH115" s="52"/>
      <c r="BI115" s="65"/>
      <c r="BJ115" s="68"/>
      <c r="BK115" s="59">
        <f t="shared" ref="BK115:BK116" si="283">SUM(AW115:BH115)</f>
        <v>0</v>
      </c>
      <c r="BL115" s="59" cm="1">
        <f t="array" ref="BL115">IFERROR(SUM(AW115:INDEX(AW115:BH115, MATCH(2, 1/(AW115:BH115&lt;&gt;""), 1) - 1))/_xlfn.XLOOKUP(F115,Apuração!A:A,Apuração!B:B),0)</f>
        <v>0</v>
      </c>
      <c r="BM115" s="55"/>
      <c r="BN115" s="55"/>
      <c r="BO115" s="53">
        <f ca="1">IFERROR(_xlfn.XLOOKUP(F115,Apuração!A:A,Apuração!C:C)/_xlfn.XLOOKUP(F115,Apuração!A:A,Apuração!B:B),0)</f>
        <v>0</v>
      </c>
      <c r="BP115" s="53">
        <f ca="1">IFERROR(_xlfn.XLOOKUP(F115,Apuração!A:A,Apuração!D:D)/_xlfn.XLOOKUP(F115,Apuração!A:A,Apuração!B:B),0)</f>
        <v>0</v>
      </c>
      <c r="BQ115" s="53">
        <f ca="1">IF(BK115&gt;=BO115,0,_xlfn.XLOOKUP(F115,Apuração!A:A,Apuração!B:B)*(BO115 + (1/_xlfn.XLOOKUP(F115,Apuração!A:A,Apuração!B:B)) - BK115))</f>
        <v>0</v>
      </c>
      <c r="BR115" s="85">
        <f t="shared" ca="1" si="278"/>
        <v>0</v>
      </c>
      <c r="BS115" s="53">
        <f ca="1">IFERROR((_xlfn.XLOOKUP(F115,Apuração!A:A,Apuração!C:C)+1)/_xlfn.XLOOKUP(F115,Apuração!A:A,Apuração!B:B),0)</f>
        <v>0.14285714285714285</v>
      </c>
    </row>
    <row r="116" spans="1:71" ht="25.95" hidden="1" customHeight="1" x14ac:dyDescent="0.3">
      <c r="A116" s="70" t="s">
        <v>108</v>
      </c>
      <c r="B116" s="4" t="s">
        <v>129</v>
      </c>
      <c r="C116" s="5" t="s">
        <v>35</v>
      </c>
      <c r="D116" s="5" t="s">
        <v>47</v>
      </c>
      <c r="E116" s="4" t="s">
        <v>61</v>
      </c>
      <c r="F116" s="4" t="str" cm="1">
        <f t="array" ref="F116">_xlfn.IFS(
AG116 &lt;&gt; "", "Jan-Dez/26",
AH116 &lt;&gt; "", "Fev-Dez/26",
AI116 &lt;&gt; "", "Mar-Dez/26", AJ116 &lt;&gt; "", "Abr-Dez/26",
TRUE, "A partir de Junho"
)</f>
        <v>A partir de Junho</v>
      </c>
      <c r="G116" s="4" t="s">
        <v>62</v>
      </c>
      <c r="H116" s="7" t="s">
        <v>38</v>
      </c>
      <c r="I116" s="28" t="s">
        <v>132</v>
      </c>
      <c r="J116" s="8" t="str" cm="1">
        <f t="array" aca="1" ref="J116" ca="1">_xlfn.LET(
  _xlpm.actual_value_month, INDEX(T116:AE116, MATCH(DATE(YEAR(TODAY()), MONTH(TODAY()), 1), $T$1:$AE$1, 0)),
  IF(_xlpm.actual_value_month &lt;&gt; "",_xlpm.actual_value_month &amp; " ações mensais", "")
)</f>
        <v/>
      </c>
      <c r="K116" s="8" t="str" cm="1">
        <f t="array" ref="K116">_xlfn.LET(
    _xlpm.sum_month, SUM(T116:AE116),
    IF(_xlpm.sum_month = 0, "", _xlpm.sum_month &amp; "  notificações de excesso de velocidade no ano")
)</f>
        <v/>
      </c>
      <c r="L116" s="4" t="s">
        <v>133</v>
      </c>
      <c r="M116" s="19"/>
      <c r="N116" s="5" t="s">
        <v>51</v>
      </c>
      <c r="O116" s="5"/>
      <c r="P116" s="10"/>
      <c r="Q116" s="10"/>
      <c r="R116" s="11"/>
      <c r="S116" s="11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8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94"/>
      <c r="AT116" s="95"/>
      <c r="AU116" s="97"/>
      <c r="AV116" s="81"/>
      <c r="AW116" s="83">
        <f t="shared" si="279"/>
        <v>0</v>
      </c>
      <c r="AX116" s="83">
        <f t="shared" si="280"/>
        <v>0</v>
      </c>
      <c r="AY116" s="83">
        <f t="shared" si="281"/>
        <v>0</v>
      </c>
      <c r="AZ116" s="83">
        <f t="shared" si="282"/>
        <v>0</v>
      </c>
      <c r="BA116" s="52"/>
      <c r="BB116" s="52"/>
      <c r="BC116" s="52"/>
      <c r="BD116" s="52"/>
      <c r="BE116" s="52"/>
      <c r="BF116" s="52"/>
      <c r="BG116" s="52"/>
      <c r="BH116" s="52"/>
      <c r="BI116" s="65"/>
      <c r="BJ116" s="68"/>
      <c r="BK116" s="59">
        <f t="shared" si="283"/>
        <v>0</v>
      </c>
      <c r="BL116" s="59" cm="1">
        <f t="array" ref="BL116">IFERROR(SUM(AW116:INDEX(AW116:BH116, MATCH(2, 1/(AW116:BH116&lt;&gt;""), 1) - 1))/_xlfn.XLOOKUP(F116,Apuração!A:A,Apuração!B:B),0)</f>
        <v>0</v>
      </c>
      <c r="BM116" s="55"/>
      <c r="BN116" s="55"/>
      <c r="BO116" s="53">
        <f ca="1">IFERROR(_xlfn.XLOOKUP(F116,Apuração!A:A,Apuração!C:C)/_xlfn.XLOOKUP(F116,Apuração!A:A,Apuração!B:B),0)</f>
        <v>0</v>
      </c>
      <c r="BP116" s="53">
        <f ca="1">IFERROR(_xlfn.XLOOKUP(F116,Apuração!A:A,Apuração!D:D)/_xlfn.XLOOKUP(F116,Apuração!A:A,Apuração!B:B),0)</f>
        <v>0</v>
      </c>
      <c r="BQ116" s="53">
        <f ca="1">IF(BK116&gt;=BO116,0,_xlfn.XLOOKUP(F116,Apuração!A:A,Apuração!B:B)*(BO116 + (1/_xlfn.XLOOKUP(F116,Apuração!A:A,Apuração!B:B)) - BK116))</f>
        <v>0</v>
      </c>
      <c r="BR116" s="85">
        <f t="shared" ca="1" si="278"/>
        <v>0</v>
      </c>
      <c r="BS116" s="53">
        <f ca="1">IFERROR((_xlfn.XLOOKUP(F116,Apuração!A:A,Apuração!C:C)+1)/_xlfn.XLOOKUP(F116,Apuração!A:A,Apuração!B:B),0)</f>
        <v>0.14285714285714285</v>
      </c>
    </row>
    <row r="117" spans="1:71" ht="25.95" hidden="1" customHeight="1" x14ac:dyDescent="0.3">
      <c r="A117" s="70" t="s">
        <v>108</v>
      </c>
      <c r="B117" s="4" t="s">
        <v>129</v>
      </c>
      <c r="C117" s="5" t="s">
        <v>35</v>
      </c>
      <c r="D117" s="5" t="s">
        <v>48</v>
      </c>
      <c r="E117" s="4" t="s">
        <v>61</v>
      </c>
      <c r="F117" s="4" t="str" cm="1">
        <f t="array" ref="F117">_xlfn.IFS(
AG117 &lt;&gt; "", "Jan-Dez/26",
AH117 &lt;&gt; "", "Fev-Dez/26",
AI117 &lt;&gt; "", "Mar-Dez/26", AJ117 &lt;&gt; "", "Abr-Dez/26",
TRUE, "A partir de Junho"
)</f>
        <v>A partir de Junho</v>
      </c>
      <c r="G117" s="4" t="s">
        <v>62</v>
      </c>
      <c r="H117" s="7" t="s">
        <v>38</v>
      </c>
      <c r="I117" s="28" t="s">
        <v>132</v>
      </c>
      <c r="J117" s="8" t="str" cm="1">
        <f t="array" aca="1" ref="J117" ca="1">_xlfn.LET(
  _xlpm.actual_value_month, INDEX(T117:AE117, MATCH(DATE(YEAR(TODAY()), MONTH(TODAY()), 1), $T$1:$AE$1, 0)),
  IF(_xlpm.actual_value_month &lt;&gt; "",_xlpm.actual_value_month &amp; " ações mensais", "")
)</f>
        <v/>
      </c>
      <c r="K117" s="8" t="str" cm="1">
        <f t="array" ref="K117">_xlfn.LET(
    _xlpm.sum_month, SUM(T117:AE117),
    IF(_xlpm.sum_month = 0, "", _xlpm.sum_month &amp; "  notificações de excesso de velocidade no ano")
)</f>
        <v/>
      </c>
      <c r="L117" s="4" t="s">
        <v>133</v>
      </c>
      <c r="M117" s="19"/>
      <c r="N117" s="5" t="s">
        <v>51</v>
      </c>
      <c r="O117" s="5"/>
      <c r="P117" s="10"/>
      <c r="Q117" s="10"/>
      <c r="R117" s="11"/>
      <c r="S117" s="11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8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94"/>
      <c r="AT117" s="95"/>
      <c r="AU117" s="97"/>
      <c r="AV117" s="81"/>
      <c r="AW117" s="83">
        <f>AG117</f>
        <v>0</v>
      </c>
      <c r="AX117" s="83">
        <f t="shared" ref="AX117" si="284">AH117</f>
        <v>0</v>
      </c>
      <c r="AY117" s="83">
        <f t="shared" ref="AY117" si="285">AI117</f>
        <v>0</v>
      </c>
      <c r="AZ117" s="83">
        <f t="shared" ref="AZ117" si="286">AJ117</f>
        <v>0</v>
      </c>
      <c r="BA117" s="52"/>
      <c r="BB117" s="52"/>
      <c r="BC117" s="52"/>
      <c r="BD117" s="52"/>
      <c r="BE117" s="52"/>
      <c r="BF117" s="52"/>
      <c r="BG117" s="52"/>
      <c r="BH117" s="52"/>
      <c r="BI117" s="65"/>
      <c r="BJ117" s="68"/>
      <c r="BK117" s="59">
        <f>SUM(AW117:BH117)</f>
        <v>0</v>
      </c>
      <c r="BL117" s="59" cm="1">
        <f t="array" ref="BL117">IFERROR(SUM(AW117:INDEX(AW117:BH117, MATCH(2, 1/(AW117:BH117&lt;&gt;""), 1) - 1))/_xlfn.XLOOKUP(F117,Apuração!A:A,Apuração!B:B),0)</f>
        <v>0</v>
      </c>
      <c r="BM117" s="55"/>
      <c r="BN117" s="55"/>
      <c r="BO117" s="53">
        <f ca="1">IFERROR(_xlfn.XLOOKUP(F117,Apuração!A:A,Apuração!C:C)/_xlfn.XLOOKUP(F117,Apuração!A:A,Apuração!B:B),0)</f>
        <v>0</v>
      </c>
      <c r="BP117" s="53">
        <f ca="1">IFERROR(_xlfn.XLOOKUP(F117,Apuração!A:A,Apuração!D:D)/_xlfn.XLOOKUP(F117,Apuração!A:A,Apuração!B:B),0)</f>
        <v>0</v>
      </c>
      <c r="BQ117" s="53">
        <f ca="1">IF(BK117&gt;=BO117,0,_xlfn.XLOOKUP(F117,Apuração!A:A,Apuração!B:B)*(BO117 + (1/_xlfn.XLOOKUP(F117,Apuração!A:A,Apuração!B:B)) - BK117))</f>
        <v>0</v>
      </c>
      <c r="BR117" s="85">
        <f t="shared" ca="1" si="261"/>
        <v>0</v>
      </c>
      <c r="BS117" s="53">
        <f ca="1">IFERROR((_xlfn.XLOOKUP(F117,Apuração!A:A,Apuração!C:C)+1)/_xlfn.XLOOKUP(F117,Apuração!A:A,Apuração!B:B),0)</f>
        <v>0.14285714285714285</v>
      </c>
    </row>
    <row r="118" spans="1:71" ht="25.95" hidden="1" customHeight="1" x14ac:dyDescent="0.3">
      <c r="A118" s="23" t="s">
        <v>134</v>
      </c>
      <c r="B118" s="4" t="s">
        <v>135</v>
      </c>
      <c r="C118" s="5" t="s">
        <v>35</v>
      </c>
      <c r="D118" s="5" t="s">
        <v>36</v>
      </c>
      <c r="E118" s="4" t="s">
        <v>61</v>
      </c>
      <c r="F118" s="4" t="str" cm="1">
        <f t="array" ref="F118">_xlfn.IFS(
AG118 &lt;&gt; "", "Jan-Dez/26",
AH118 &lt;&gt; "", "Fev-Dez/26",
AI118 &lt;&gt; "", "Mar-Dez/26", AJ118 &lt;&gt; "", "Abr-Dez/26",
TRUE, "A partir de Junho"
)</f>
        <v>A partir de Junho</v>
      </c>
      <c r="G118" s="4" t="s">
        <v>62</v>
      </c>
      <c r="H118" s="7" t="s">
        <v>38</v>
      </c>
      <c r="I118" s="8" t="s">
        <v>136</v>
      </c>
      <c r="J118" s="8" t="str" cm="1">
        <f t="array" aca="1" ref="J118" ca="1">_xlfn.LET(
  _xlpm.actual_value_month, INDEX(T118:AE118, MATCH(DATE(YEAR(TODAY()), MONTH(TODAY()), 1), $T$1:$AE$1, 0)),
  IF(_xlpm.actual_value_month &lt;&gt; "",_xlpm.actual_value_month &amp; " equipes mensais", "")
)</f>
        <v>60 equipes mensais</v>
      </c>
      <c r="K118" s="8" t="str" cm="1">
        <f t="array" ref="K118">_xlfn.LET(
    _xlpm.sum_month, SUM(T118:AE118),
    IF(_xlpm.sum_month = 0, "", _xlpm.sum_month &amp; " alcançadas no ano")
)</f>
        <v>540 alcançadas no ano</v>
      </c>
      <c r="L118" s="9" t="s">
        <v>137</v>
      </c>
      <c r="M118" s="24" t="s">
        <v>138</v>
      </c>
      <c r="N118" s="5" t="s">
        <v>42</v>
      </c>
      <c r="O118" s="5" t="s">
        <v>43</v>
      </c>
      <c r="P118" s="10" t="s">
        <v>44</v>
      </c>
      <c r="Q118" s="10" t="s">
        <v>44</v>
      </c>
      <c r="R118" s="11" t="s">
        <v>66</v>
      </c>
      <c r="S118" s="11" t="s">
        <v>67</v>
      </c>
      <c r="T118" s="22"/>
      <c r="U118" s="22"/>
      <c r="V118" s="22"/>
      <c r="W118" s="22">
        <v>60</v>
      </c>
      <c r="X118" s="22">
        <v>60</v>
      </c>
      <c r="Y118" s="22">
        <v>60</v>
      </c>
      <c r="Z118" s="22">
        <v>60</v>
      </c>
      <c r="AA118" s="22">
        <v>60</v>
      </c>
      <c r="AB118" s="22">
        <v>60</v>
      </c>
      <c r="AC118" s="22">
        <v>60</v>
      </c>
      <c r="AD118" s="22">
        <v>60</v>
      </c>
      <c r="AE118" s="22">
        <v>60</v>
      </c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94">
        <f t="shared" ref="AS118:AS165" ca="1" si="287">IF(MONTH(TODAY())=3,SUM(T118:U118),IF(MONTH(TODAY())=4,SUM(T118:V118),IF(MONTH(TODAY())=5,SUM(T118:W118),IF(MONTH(TODAY())=6,SUM(T118:X118),IF(MONTH(TODAY())=7,SUM(T118:Y118),IF(MONTH(TODAY())=8,SUM(T118:Z118),IF(MONTH(TODAY())=9,SUM(T118:AA118),IF(MONTH(TODAY())=10,SUM(T118:AB118),IF(MONTH(TODAY())=11,SUM(T118:AC118),IF(MONTH(TODAY())=12,SUM(T118:AD118),IF(MONTH(TODAY())=1,SUM(T118:AE118),T118)))))))))))</f>
        <v>120</v>
      </c>
      <c r="AT118" s="95">
        <f>SUM(IF(AW118&lt;1.15,AG118,1.15*T118),IF(AX118&lt;1.15,AH118,1.15*U118),IF(AY118&lt;1.15,AI118,1.15*V118),IF(AZ118&lt;1.15,AJ118,1.15*W118),IF(BA118&lt;1.15,AK118,1.15*X118),IF(BB118&lt;1.15,AL118,1.15*Y118),IF(BC118&lt;1.15,AM118,1.15*Z118),IF(BD118&lt;1.15,AN118,1.15*AA118),IF(BE118&lt;1.15,AO118,1.15*AB118),IF(BF118&lt;1.15,AP118,1.15*AC118),IF(BG118&lt;1.15,AQ118,1.15*AD118),IF(BH118&lt;1.15,AR118,1.15*AE118))</f>
        <v>0</v>
      </c>
      <c r="AU118" s="97">
        <f t="shared" ref="AU118:AU165" si="288">SUM(AG118:AR118)</f>
        <v>0</v>
      </c>
      <c r="AW118" s="51">
        <f>IFERROR(IF(AG118="",0,AG118/T118),0)</f>
        <v>0</v>
      </c>
      <c r="AX118" s="51">
        <f>IFERROR(IF(AH118="",0,AH118/U118),0)</f>
        <v>0</v>
      </c>
      <c r="AY118" s="51">
        <f>IFERROR(IF(AI118="",0,AI118/V118),0)</f>
        <v>0</v>
      </c>
      <c r="AZ118" s="51">
        <f>IFERROR(IF(AJ118="",0,AJ118/W118),0)</f>
        <v>0</v>
      </c>
      <c r="BA118" s="51"/>
      <c r="BB118" s="51"/>
      <c r="BC118" s="51"/>
      <c r="BD118" s="51"/>
      <c r="BE118" s="51"/>
      <c r="BF118" s="51"/>
      <c r="BG118" s="51"/>
      <c r="BH118" s="51"/>
      <c r="BI118" s="65" cm="1">
        <f t="array" ref="BI118">IFERROR(INDEX(AW118:BH118,1,MATCH(2,1/(AW118:BH118&lt;&gt;""))),"")</f>
        <v>0</v>
      </c>
      <c r="BJ118" s="68" cm="1">
        <f t="array" ref="BJ118">IF(BM118 = "", "",IFERROR(INDEX(AW118:BH118,1,MATCH(2,1/(AW118:BH118&lt;&gt;""),1)-1),""))</f>
        <v>0</v>
      </c>
      <c r="BK118" s="58">
        <f>IF((IF(AW118&gt;=115%,115%,AW118) + IF(AX118&gt;=115%,115%,AX118) + IF(AY118&gt;=115%,115%,AY118) + (IF(AZ118&gt;=115%,115%,AZ118) + IF(BA118&gt;=115%,115%,BA118) + IF(BB118&gt;=115%,115%,BB118) + IF(BC118&gt;=118%,118%,BC118) + IF(BD118&gt;=121%,121%,BD118) + IF(BE118&gt;=115%,115%,BE118) + IF(BF118&gt;=121%,121%,BF118) + IF(BG118&gt;=115%,115%,BG118) + IF(BH118&gt;=115%,115%,BH118)))/_xlfn.XLOOKUP(F118,Apuração!A:A,Apuração!B:B)&gt;=1.15,1.15,((IF(AZ118&gt;=115%,115%,AZ118) + IF(AX118&gt;=115%,115%,AX118) + IF(AY118&gt;=115%,115%,AY118) + (IF(AW118&gt;=115%,115%,AW118) + IF(BA118&gt;=115%,115%,BA118) + IF(BB118&gt;=115%,115%,BB118) + IF(BC118&gt;=118%,118%,BC118) + IF(BD118&gt;=121%,121%,BD118) + IF(BE118&gt;=115%,115%,BE118) + IF(BF118&gt;=121%,121%,BF118) + IF(BG118&gt;=115%,115%,BG118) + IF(BH118&gt;=115%,115%,BH118)))/_xlfn.XLOOKUP(F118,Apuração!A:A,Apuração!B:B)))</f>
        <v>0</v>
      </c>
      <c r="BL118" s="58" cm="1">
        <f t="array" aca="1" ref="BL118" ca="1">IF(SUM(IFERROR(IF(INDEX(AW118:INDEX(AW118:BH118, MATCH(2, 1/(AW118:BH118&lt;&gt;""), 1)-1), ROW(INDIRECT("1:" &amp; MATCH(2, 1/(AW118:BH118&lt;&gt;""), 1)-1))) &gt;= 115%, 115%, INDEX(AW118:INDEX(AW118:BH118, MATCH(2, 1/(AW118:BH118&lt;&gt;""), 1)-1), ROW(INDIRECT("1:" &amp; MATCH(2, 1/(AW118:BH118&lt;&gt;""), 1)-1)))), 0))/_xlfn.XLOOKUP(F118,Apuração!A:A,Apuração!B:B)&gt;=1.15,1.15,SUM(IFERROR(IF(INDEX(AW118:INDEX(AW118:BH118, MATCH(2, 1/(AW118:BH118&lt;&gt;""), 1)-1), ROW(INDIRECT("1:" &amp; MATCH(2, 1/(AW118:BH118&lt;&gt;""), 1)-1))) &gt;= 115%, 115%, INDEX(AW118:INDEX(AW118:BH118, MATCH(2, 1/(AW118:BH118&lt;&gt;""), 1)-1), ROW(INDIRECT("1:" &amp; MATCH(2, 1/(AW118:BH118&lt;&gt;""), 1)-1)))), 0))/_xlfn.XLOOKUP(F118,Apuração!A:A,Apuração!B:B))</f>
        <v>0</v>
      </c>
      <c r="BM118" s="55" cm="1">
        <f t="array" ref="BM118">IFERROR(
   INDEX($AW$1:$BH$1,
      _xlfn.AGGREGATE(14, 6, COLUMN($AW$1:$BH$1)/(AW118:BH118&lt;&gt;""), 2) - COLUMN($AW$1) + 1
   ),
"")</f>
        <v>46082</v>
      </c>
      <c r="BN118" s="55" cm="1">
        <f t="array" ref="BN118">IFERROR(INDEX($AW$1:$BH$1,1,MATCH(2,1/(AW118:BH118&lt;&gt;""))),"")</f>
        <v>46113</v>
      </c>
      <c r="BO118" s="53">
        <f ca="1">IFERROR(_xlfn.XLOOKUP(F118,Apuração!A:A,Apuração!C:C)/_xlfn.XLOOKUP(F118,Apuração!A:A,Apuração!B:B),0)</f>
        <v>0</v>
      </c>
      <c r="BP118" s="53">
        <f ca="1">IFERROR(_xlfn.XLOOKUP(F118,Apuração!A:A,Apuração!D:D)/_xlfn.XLOOKUP(F118,Apuração!A:A,Apuração!B:B),0)</f>
        <v>0</v>
      </c>
      <c r="BQ118" s="53">
        <f ca="1">IF(BK118&gt;=BO118,0,_xlfn.XLOOKUP(F118,Apuração!A:A,Apuração!B:B)*(BO118 + (1/_xlfn.XLOOKUP(F118,Apuração!A:A,Apuração!B:B)) - BK118))</f>
        <v>0</v>
      </c>
      <c r="BR118" s="85">
        <f t="shared" ca="1" si="261"/>
        <v>0</v>
      </c>
      <c r="BS118" s="53">
        <f ca="1">IFERROR((_xlfn.XLOOKUP(F118,Apuração!A:A,Apuração!C:C)+1)/_xlfn.XLOOKUP(F118,Apuração!A:A,Apuração!B:B),0)</f>
        <v>0.14285714285714285</v>
      </c>
    </row>
    <row r="119" spans="1:71" ht="25.95" hidden="1" customHeight="1" x14ac:dyDescent="0.3">
      <c r="A119" s="23" t="s">
        <v>134</v>
      </c>
      <c r="B119" s="4" t="s">
        <v>135</v>
      </c>
      <c r="C119" s="5" t="s">
        <v>35</v>
      </c>
      <c r="D119" s="5" t="s">
        <v>47</v>
      </c>
      <c r="E119" s="4" t="s">
        <v>61</v>
      </c>
      <c r="F119" s="4" t="str" cm="1">
        <f t="array" ref="F119">_xlfn.IFS(
AG119 &lt;&gt; "", "Jan-Dez/26",
AH119 &lt;&gt; "", "Fev-Dez/26",
AI119 &lt;&gt; "", "Mar-Dez/26", AJ119 &lt;&gt; "", "Abr-Dez/26",
TRUE, "A partir de Junho"
)</f>
        <v>A partir de Junho</v>
      </c>
      <c r="G119" s="4" t="s">
        <v>62</v>
      </c>
      <c r="H119" s="7" t="s">
        <v>38</v>
      </c>
      <c r="I119" s="8" t="s">
        <v>136</v>
      </c>
      <c r="J119" s="8" t="str" cm="1">
        <f t="array" aca="1" ref="J119" ca="1">_xlfn.LET(
  _xlpm.actual_value_month, INDEX(T119:AE119, MATCH(DATE(YEAR(TODAY()), MONTH(TODAY()), 1), $T$1:$AE$1, 0)),
  IF(_xlpm.actual_value_month &lt;&gt; "",_xlpm.actual_value_month &amp; " equipes mensais", "")
)</f>
        <v>30 equipes mensais</v>
      </c>
      <c r="K119" s="8" t="str" cm="1">
        <f t="array" ref="K119">_xlfn.LET(
    _xlpm.sum_month, SUM(T119:AE119),
    IF(_xlpm.sum_month = 0, "", _xlpm.sum_month &amp; " alcançadas no ano")
)</f>
        <v>270 alcançadas no ano</v>
      </c>
      <c r="L119" s="9" t="s">
        <v>137</v>
      </c>
      <c r="M119" s="24" t="s">
        <v>138</v>
      </c>
      <c r="N119" s="5" t="s">
        <v>42</v>
      </c>
      <c r="O119" s="5" t="s">
        <v>43</v>
      </c>
      <c r="P119" s="10" t="s">
        <v>44</v>
      </c>
      <c r="Q119" s="10" t="s">
        <v>44</v>
      </c>
      <c r="R119" s="11" t="s">
        <v>66</v>
      </c>
      <c r="S119" s="11" t="s">
        <v>67</v>
      </c>
      <c r="T119" s="22"/>
      <c r="U119" s="22"/>
      <c r="V119" s="22"/>
      <c r="W119" s="22">
        <v>30</v>
      </c>
      <c r="X119" s="22">
        <v>30</v>
      </c>
      <c r="Y119" s="22">
        <v>30</v>
      </c>
      <c r="Z119" s="22">
        <v>30</v>
      </c>
      <c r="AA119" s="22">
        <v>30</v>
      </c>
      <c r="AB119" s="22">
        <v>30</v>
      </c>
      <c r="AC119" s="22">
        <v>30</v>
      </c>
      <c r="AD119" s="22">
        <v>30</v>
      </c>
      <c r="AE119" s="22">
        <v>30</v>
      </c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94">
        <f t="shared" ref="AS119:AS120" ca="1" si="289">IF(MONTH(TODAY())=3,SUM(T119:U119),IF(MONTH(TODAY())=4,SUM(T119:V119),IF(MONTH(TODAY())=5,SUM(T119:W119),IF(MONTH(TODAY())=6,SUM(T119:X119),IF(MONTH(TODAY())=7,SUM(T119:Y119),IF(MONTH(TODAY())=8,SUM(T119:Z119),IF(MONTH(TODAY())=9,SUM(T119:AA119),IF(MONTH(TODAY())=10,SUM(T119:AB119),IF(MONTH(TODAY())=11,SUM(T119:AC119),IF(MONTH(TODAY())=12,SUM(T119:AD119),IF(MONTH(TODAY())=1,SUM(T119:AE119),T119)))))))))))</f>
        <v>60</v>
      </c>
      <c r="AT119" s="95">
        <f t="shared" ref="AT119:AT120" si="290">SUM(IF(AW119&lt;1.15,AG119,1.15*T119),IF(AX119&lt;1.15,AH119,1.15*U119),IF(AY119&lt;1.15,AI119,1.15*V119),IF(AZ119&lt;1.15,AJ119,1.15*W119),IF(BA119&lt;1.15,AK119,1.15*X119),IF(BB119&lt;1.15,AL119,1.15*Y119),IF(BC119&lt;1.15,AM119,1.15*Z119),IF(BD119&lt;1.15,AN119,1.15*AA119),IF(BE119&lt;1.15,AO119,1.15*AB119),IF(BF119&lt;1.15,AP119,1.15*AC119),IF(BG119&lt;1.15,AQ119,1.15*AD119),IF(BH119&lt;1.15,AR119,1.15*AE119))</f>
        <v>0</v>
      </c>
      <c r="AU119" s="97">
        <f t="shared" ref="AU119:AU120" si="291">SUM(AG119:AR119)</f>
        <v>0</v>
      </c>
      <c r="AW119" s="51">
        <f t="shared" ref="AW119:AW120" si="292">IFERROR(IF(AG119="",0,AG119/T119),0)</f>
        <v>0</v>
      </c>
      <c r="AX119" s="51">
        <f t="shared" ref="AX119:AX120" si="293">IFERROR(IF(AH119="",0,AH119/U119),0)</f>
        <v>0</v>
      </c>
      <c r="AY119" s="51">
        <f t="shared" ref="AY119:AY120" si="294">IFERROR(IF(AI119="",0,AI119/V119),0)</f>
        <v>0</v>
      </c>
      <c r="AZ119" s="51">
        <f t="shared" ref="AZ119:AZ120" si="295">IFERROR(IF(AJ119="",0,AJ119/W119),0)</f>
        <v>0</v>
      </c>
      <c r="BA119" s="51"/>
      <c r="BB119" s="51"/>
      <c r="BC119" s="51"/>
      <c r="BD119" s="51"/>
      <c r="BE119" s="51"/>
      <c r="BF119" s="51"/>
      <c r="BG119" s="51"/>
      <c r="BH119" s="51"/>
      <c r="BI119" s="65" cm="1">
        <f t="array" ref="BI119">IFERROR(INDEX(AW119:BH119,1,MATCH(2,1/(AW119:BH119&lt;&gt;""))),"")</f>
        <v>0</v>
      </c>
      <c r="BJ119" s="68" cm="1">
        <f t="array" ref="BJ119">IF(BM119 = "", "",IFERROR(INDEX(AW119:BH119,1,MATCH(2,1/(AW119:BH119&lt;&gt;""),1)-1),""))</f>
        <v>0</v>
      </c>
      <c r="BK119" s="58">
        <f>IF((IF(AW119&gt;=115%,115%,AW119) + IF(AX119&gt;=115%,115%,AX119) + IF(AY119&gt;=115%,115%,AY119) + (IF(AZ119&gt;=115%,115%,AZ119) + IF(BA119&gt;=115%,115%,BA119) + IF(BB119&gt;=115%,115%,BB119) + IF(BC119&gt;=118%,118%,BC119) + IF(BD119&gt;=121%,121%,BD119) + IF(BE119&gt;=115%,115%,BE119) + IF(BF119&gt;=121%,121%,BF119) + IF(BG119&gt;=115%,115%,BG119) + IF(BH119&gt;=115%,115%,BH119)))/_xlfn.XLOOKUP(F119,Apuração!A:A,Apuração!B:B)&gt;=1.15,1.15,((IF(AZ119&gt;=115%,115%,AZ119) + IF(AX119&gt;=115%,115%,AX119) + IF(AY119&gt;=115%,115%,AY119) + (IF(AW119&gt;=115%,115%,AW119) + IF(BA119&gt;=115%,115%,BA119) + IF(BB119&gt;=115%,115%,BB119) + IF(BC119&gt;=118%,118%,BC119) + IF(BD119&gt;=121%,121%,BD119) + IF(BE119&gt;=115%,115%,BE119) + IF(BF119&gt;=121%,121%,BF119) + IF(BG119&gt;=115%,115%,BG119) + IF(BH119&gt;=115%,115%,BH119)))/_xlfn.XLOOKUP(F119,Apuração!A:A,Apuração!B:B)))</f>
        <v>0</v>
      </c>
      <c r="BL119" s="58" cm="1">
        <f t="array" aca="1" ref="BL119" ca="1">IF(SUM(IFERROR(IF(INDEX(AW119:INDEX(AW119:BH119, MATCH(2, 1/(AW119:BH119&lt;&gt;""), 1)-1), ROW(INDIRECT("1:" &amp; MATCH(2, 1/(AW119:BH119&lt;&gt;""), 1)-1))) &gt;= 115%, 115%, INDEX(AW119:INDEX(AW119:BH119, MATCH(2, 1/(AW119:BH119&lt;&gt;""), 1)-1), ROW(INDIRECT("1:" &amp; MATCH(2, 1/(AW119:BH119&lt;&gt;""), 1)-1)))), 0))/_xlfn.XLOOKUP(F119,Apuração!A:A,Apuração!B:B)&gt;=1.15,1.15,SUM(IFERROR(IF(INDEX(AW119:INDEX(AW119:BH119, MATCH(2, 1/(AW119:BH119&lt;&gt;""), 1)-1), ROW(INDIRECT("1:" &amp; MATCH(2, 1/(AW119:BH119&lt;&gt;""), 1)-1))) &gt;= 115%, 115%, INDEX(AW119:INDEX(AW119:BH119, MATCH(2, 1/(AW119:BH119&lt;&gt;""), 1)-1), ROW(INDIRECT("1:" &amp; MATCH(2, 1/(AW119:BH119&lt;&gt;""), 1)-1)))), 0))/_xlfn.XLOOKUP(F119,Apuração!A:A,Apuração!B:B))</f>
        <v>0</v>
      </c>
      <c r="BM119" s="55" cm="1">
        <f t="array" ref="BM119">IFERROR(
   INDEX($AW$1:$BH$1,
      _xlfn.AGGREGATE(14, 6, COLUMN($AW$1:$BH$1)/(AW119:BH119&lt;&gt;""), 2) - COLUMN($AW$1) + 1
   ),
"")</f>
        <v>46082</v>
      </c>
      <c r="BN119" s="55" cm="1">
        <f t="array" ref="BN119">IFERROR(INDEX($AW$1:$BH$1,1,MATCH(2,1/(AW119:BH119&lt;&gt;""))),"")</f>
        <v>46113</v>
      </c>
      <c r="BO119" s="53">
        <f ca="1">IFERROR(_xlfn.XLOOKUP(F119,Apuração!A:A,Apuração!C:C)/_xlfn.XLOOKUP(F119,Apuração!A:A,Apuração!B:B),0)</f>
        <v>0</v>
      </c>
      <c r="BP119" s="53">
        <f ca="1">IFERROR(_xlfn.XLOOKUP(F119,Apuração!A:A,Apuração!D:D)/_xlfn.XLOOKUP(F119,Apuração!A:A,Apuração!B:B),0)</f>
        <v>0</v>
      </c>
      <c r="BQ119" s="53">
        <f ca="1">IF(BK119&gt;=BO119,0,_xlfn.XLOOKUP(F119,Apuração!A:A,Apuração!B:B)*(BO119 + (1/_xlfn.XLOOKUP(F119,Apuração!A:A,Apuração!B:B)) - BK119))</f>
        <v>0</v>
      </c>
      <c r="BR119" s="85">
        <f t="shared" ref="BR119:BR120" ca="1" si="296">IF(BQ119=0,0,BQ119*Z119)</f>
        <v>0</v>
      </c>
      <c r="BS119" s="53">
        <f ca="1">IFERROR((_xlfn.XLOOKUP(F119,Apuração!A:A,Apuração!C:C)+1)/_xlfn.XLOOKUP(F119,Apuração!A:A,Apuração!B:B),0)</f>
        <v>0.14285714285714285</v>
      </c>
    </row>
    <row r="120" spans="1:71" ht="25.95" hidden="1" customHeight="1" x14ac:dyDescent="0.3">
      <c r="A120" s="23" t="s">
        <v>134</v>
      </c>
      <c r="B120" s="4" t="s">
        <v>135</v>
      </c>
      <c r="C120" s="5" t="s">
        <v>35</v>
      </c>
      <c r="D120" s="5" t="s">
        <v>48</v>
      </c>
      <c r="E120" s="4" t="s">
        <v>61</v>
      </c>
      <c r="F120" s="4" t="str" cm="1">
        <f t="array" ref="F120">_xlfn.IFS(
AG120 &lt;&gt; "", "Jan-Dez/26",
AH120 &lt;&gt; "", "Fev-Dez/26",
AI120 &lt;&gt; "", "Mar-Dez/26", AJ120 &lt;&gt; "", "Abr-Dez/26",
TRUE, "A partir de Junho"
)</f>
        <v>A partir de Junho</v>
      </c>
      <c r="G120" s="4" t="s">
        <v>62</v>
      </c>
      <c r="H120" s="7" t="s">
        <v>38</v>
      </c>
      <c r="I120" s="8" t="s">
        <v>136</v>
      </c>
      <c r="J120" s="8" t="str" cm="1">
        <f t="array" aca="1" ref="J120" ca="1">_xlfn.LET(
  _xlpm.actual_value_month, INDEX(T120:AE120, MATCH(DATE(YEAR(TODAY()), MONTH(TODAY()), 1), $T$1:$AE$1, 0)),
  IF(_xlpm.actual_value_month &lt;&gt; "",_xlpm.actual_value_month &amp; " equipes mensais", "")
)</f>
        <v>30 equipes mensais</v>
      </c>
      <c r="K120" s="8" t="str" cm="1">
        <f t="array" ref="K120">_xlfn.LET(
    _xlpm.sum_month, SUM(T120:AE120),
    IF(_xlpm.sum_month = 0, "", _xlpm.sum_month &amp; " alcançadas no ano")
)</f>
        <v>270 alcançadas no ano</v>
      </c>
      <c r="L120" s="9" t="s">
        <v>137</v>
      </c>
      <c r="M120" s="24" t="s">
        <v>138</v>
      </c>
      <c r="N120" s="5" t="s">
        <v>42</v>
      </c>
      <c r="O120" s="5" t="s">
        <v>43</v>
      </c>
      <c r="P120" s="10" t="s">
        <v>44</v>
      </c>
      <c r="Q120" s="10" t="s">
        <v>44</v>
      </c>
      <c r="R120" s="11" t="s">
        <v>66</v>
      </c>
      <c r="S120" s="11" t="s">
        <v>67</v>
      </c>
      <c r="T120" s="22"/>
      <c r="U120" s="22"/>
      <c r="V120" s="22"/>
      <c r="W120" s="22">
        <v>30</v>
      </c>
      <c r="X120" s="22">
        <v>30</v>
      </c>
      <c r="Y120" s="22">
        <v>30</v>
      </c>
      <c r="Z120" s="22">
        <v>30</v>
      </c>
      <c r="AA120" s="22">
        <v>30</v>
      </c>
      <c r="AB120" s="22">
        <v>30</v>
      </c>
      <c r="AC120" s="22">
        <v>30</v>
      </c>
      <c r="AD120" s="22">
        <v>30</v>
      </c>
      <c r="AE120" s="22">
        <v>30</v>
      </c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94">
        <f t="shared" ca="1" si="289"/>
        <v>60</v>
      </c>
      <c r="AT120" s="95">
        <f t="shared" si="290"/>
        <v>0</v>
      </c>
      <c r="AU120" s="97">
        <f t="shared" si="291"/>
        <v>0</v>
      </c>
      <c r="AW120" s="51">
        <f t="shared" si="292"/>
        <v>0</v>
      </c>
      <c r="AX120" s="51">
        <f t="shared" si="293"/>
        <v>0</v>
      </c>
      <c r="AY120" s="51">
        <f t="shared" si="294"/>
        <v>0</v>
      </c>
      <c r="AZ120" s="51">
        <f t="shared" si="295"/>
        <v>0</v>
      </c>
      <c r="BA120" s="51"/>
      <c r="BB120" s="51"/>
      <c r="BC120" s="51"/>
      <c r="BD120" s="51"/>
      <c r="BE120" s="51"/>
      <c r="BF120" s="51"/>
      <c r="BG120" s="51"/>
      <c r="BH120" s="51"/>
      <c r="BI120" s="65" cm="1">
        <f t="array" ref="BI120">IFERROR(INDEX(AW120:BH120,1,MATCH(2,1/(AW120:BH120&lt;&gt;""))),"")</f>
        <v>0</v>
      </c>
      <c r="BJ120" s="68" cm="1">
        <f t="array" ref="BJ120">IF(BM120 = "", "",IFERROR(INDEX(AW120:BH120,1,MATCH(2,1/(AW120:BH120&lt;&gt;""),1)-1),""))</f>
        <v>0</v>
      </c>
      <c r="BK120" s="58">
        <f>IF((IF(AW120&gt;=115%,115%,AW120) + IF(AX120&gt;=115%,115%,AX120) + IF(AY120&gt;=115%,115%,AY120) + (IF(AZ120&gt;=115%,115%,AZ120) + IF(BA120&gt;=115%,115%,BA120) + IF(BB120&gt;=115%,115%,BB120) + IF(BC120&gt;=118%,118%,BC120) + IF(BD120&gt;=121%,121%,BD120) + IF(BE120&gt;=115%,115%,BE120) + IF(BF120&gt;=121%,121%,BF120) + IF(BG120&gt;=115%,115%,BG120) + IF(BH120&gt;=115%,115%,BH120)))/_xlfn.XLOOKUP(F120,Apuração!A:A,Apuração!B:B)&gt;=1.15,1.15,((IF(AZ120&gt;=115%,115%,AZ120) + IF(AX120&gt;=115%,115%,AX120) + IF(AY120&gt;=115%,115%,AY120) + (IF(AW120&gt;=115%,115%,AW120) + IF(BA120&gt;=115%,115%,BA120) + IF(BB120&gt;=115%,115%,BB120) + IF(BC120&gt;=118%,118%,BC120) + IF(BD120&gt;=121%,121%,BD120) + IF(BE120&gt;=115%,115%,BE120) + IF(BF120&gt;=121%,121%,BF120) + IF(BG120&gt;=115%,115%,BG120) + IF(BH120&gt;=115%,115%,BH120)))/_xlfn.XLOOKUP(F120,Apuração!A:A,Apuração!B:B)))</f>
        <v>0</v>
      </c>
      <c r="BL120" s="58" cm="1">
        <f t="array" aca="1" ref="BL120" ca="1">IF(SUM(IFERROR(IF(INDEX(AW120:INDEX(AW120:BH120, MATCH(2, 1/(AW120:BH120&lt;&gt;""), 1)-1), ROW(INDIRECT("1:" &amp; MATCH(2, 1/(AW120:BH120&lt;&gt;""), 1)-1))) &gt;= 115%, 115%, INDEX(AW120:INDEX(AW120:BH120, MATCH(2, 1/(AW120:BH120&lt;&gt;""), 1)-1), ROW(INDIRECT("1:" &amp; MATCH(2, 1/(AW120:BH120&lt;&gt;""), 1)-1)))), 0))/_xlfn.XLOOKUP(F120,Apuração!A:A,Apuração!B:B)&gt;=1.15,1.15,SUM(IFERROR(IF(INDEX(AW120:INDEX(AW120:BH120, MATCH(2, 1/(AW120:BH120&lt;&gt;""), 1)-1), ROW(INDIRECT("1:" &amp; MATCH(2, 1/(AW120:BH120&lt;&gt;""), 1)-1))) &gt;= 115%, 115%, INDEX(AW120:INDEX(AW120:BH120, MATCH(2, 1/(AW120:BH120&lt;&gt;""), 1)-1), ROW(INDIRECT("1:" &amp; MATCH(2, 1/(AW120:BH120&lt;&gt;""), 1)-1)))), 0))/_xlfn.XLOOKUP(F120,Apuração!A:A,Apuração!B:B))</f>
        <v>0</v>
      </c>
      <c r="BM120" s="55" cm="1">
        <f t="array" ref="BM120">IFERROR(
   INDEX($AW$1:$BH$1,
      _xlfn.AGGREGATE(14, 6, COLUMN($AW$1:$BH$1)/(AW120:BH120&lt;&gt;""), 2) - COLUMN($AW$1) + 1
   ),
"")</f>
        <v>46082</v>
      </c>
      <c r="BN120" s="55" cm="1">
        <f t="array" ref="BN120">IFERROR(INDEX($AW$1:$BH$1,1,MATCH(2,1/(AW120:BH120&lt;&gt;""))),"")</f>
        <v>46113</v>
      </c>
      <c r="BO120" s="53">
        <f ca="1">IFERROR(_xlfn.XLOOKUP(F120,Apuração!A:A,Apuração!C:C)/_xlfn.XLOOKUP(F120,Apuração!A:A,Apuração!B:B),0)</f>
        <v>0</v>
      </c>
      <c r="BP120" s="53">
        <f ca="1">IFERROR(_xlfn.XLOOKUP(F120,Apuração!A:A,Apuração!D:D)/_xlfn.XLOOKUP(F120,Apuração!A:A,Apuração!B:B),0)</f>
        <v>0</v>
      </c>
      <c r="BQ120" s="53">
        <f ca="1">IF(BK120&gt;=BO120,0,_xlfn.XLOOKUP(F120,Apuração!A:A,Apuração!B:B)*(BO120 + (1/_xlfn.XLOOKUP(F120,Apuração!A:A,Apuração!B:B)) - BK120))</f>
        <v>0</v>
      </c>
      <c r="BR120" s="85">
        <f t="shared" ca="1" si="296"/>
        <v>0</v>
      </c>
      <c r="BS120" s="53">
        <f ca="1">IFERROR((_xlfn.XLOOKUP(F120,Apuração!A:A,Apuração!C:C)+1)/_xlfn.XLOOKUP(F120,Apuração!A:A,Apuração!B:B),0)</f>
        <v>0.14285714285714285</v>
      </c>
    </row>
    <row r="121" spans="1:71" ht="25.95" hidden="1" customHeight="1" x14ac:dyDescent="0.3">
      <c r="A121" s="42" t="s">
        <v>134</v>
      </c>
      <c r="B121" s="4" t="s">
        <v>135</v>
      </c>
      <c r="C121" s="5" t="s">
        <v>35</v>
      </c>
      <c r="D121" s="5" t="s">
        <v>36</v>
      </c>
      <c r="E121" s="4" t="s">
        <v>61</v>
      </c>
      <c r="F121" s="4" t="str" cm="1">
        <f t="array" ref="F121">_xlfn.IFS(
AG121 &lt;&gt; "", "Jan-Dez/26",
AH121 &lt;&gt; "", "Fev-Dez/26",
AI121 &lt;&gt; "", "Mar-Dez/26", AJ121 &lt;&gt; "", "Abr-Dez/26",
TRUE, "A partir de Junho"
)</f>
        <v>A partir de Junho</v>
      </c>
      <c r="G121" s="4" t="s">
        <v>62</v>
      </c>
      <c r="H121" s="7" t="s">
        <v>38</v>
      </c>
      <c r="I121" s="8" t="s">
        <v>139</v>
      </c>
      <c r="J121" s="8" t="str" cm="1">
        <f t="array" aca="1" ref="J121" ca="1">_xlfn.LET(
  _xlpm.actual_value_month, INDEX(T121:AE121, MATCH(DATE(YEAR(TODAY()), MONTH(TODAY()), 1), $T$1:$AE$1, 0)),
  IF(_xlpm.actual_value_month &lt;&gt; "",_xlpm.actual_value_month &amp; " ações mensais", "")
)</f>
        <v/>
      </c>
      <c r="K121" s="8" t="str" cm="1">
        <f t="array" ref="K121">_xlfn.LET(
    _xlpm.sum_month, SUM(T121:AE121),
    IF(_xlpm.sum_month = 0, "", _xlpm.sum_month &amp; " mensagens a serem enviadas no ano")
)</f>
        <v/>
      </c>
      <c r="L121" s="4" t="s">
        <v>140</v>
      </c>
      <c r="M121" s="24"/>
      <c r="N121" s="5" t="s">
        <v>51</v>
      </c>
      <c r="O121" s="5" t="s">
        <v>52</v>
      </c>
      <c r="P121" s="10" t="s">
        <v>44</v>
      </c>
      <c r="Q121" s="10" t="s">
        <v>44</v>
      </c>
      <c r="R121" s="11" t="s">
        <v>44</v>
      </c>
      <c r="S121" s="11" t="s">
        <v>44</v>
      </c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94">
        <f t="shared" ca="1" si="287"/>
        <v>0</v>
      </c>
      <c r="AT121" s="95">
        <f>SUM(AG121:AR121)</f>
        <v>0</v>
      </c>
      <c r="AU121" s="97">
        <f t="shared" si="288"/>
        <v>0</v>
      </c>
      <c r="AW121" s="83">
        <f>AG121</f>
        <v>0</v>
      </c>
      <c r="AX121" s="83">
        <f t="shared" ref="AX121:AX124" si="297">AH121</f>
        <v>0</v>
      </c>
      <c r="AY121" s="83">
        <f t="shared" ref="AY121:AY124" si="298">AI121</f>
        <v>0</v>
      </c>
      <c r="AZ121" s="83">
        <f t="shared" ref="AZ121:AZ124" si="299">AJ121</f>
        <v>0</v>
      </c>
      <c r="BA121" s="52"/>
      <c r="BB121" s="52"/>
      <c r="BC121" s="52"/>
      <c r="BD121" s="52"/>
      <c r="BE121" s="52"/>
      <c r="BF121" s="52"/>
      <c r="BG121" s="52"/>
      <c r="BH121" s="52"/>
      <c r="BI121" s="68" cm="1">
        <f t="array" ref="BI121">IFERROR(INDEX(AW121:BH121,1,MATCH(2,1/(AW121:BH121&lt;&gt;""))),"")</f>
        <v>0</v>
      </c>
      <c r="BJ121" s="68" cm="1">
        <f t="array" ref="BJ121">IF(BM121 = "", "",IFERROR(INDEX(AW121:BH121,1,MATCH(2,1/(AW121:BH121&lt;&gt;""),1)-1),""))</f>
        <v>0</v>
      </c>
      <c r="BK121" s="59">
        <f>SUM(AW121:BH121)</f>
        <v>0</v>
      </c>
      <c r="BL121" s="59" cm="1">
        <f t="array" ref="BL121">IFERROR(SUM(AW121:INDEX(AW121:BH121, MATCH(2, 1/(AW121:BH121&lt;&gt;""), 1) - 1))/_xlfn.XLOOKUP(F121,Apuração!A:A,Apuração!B:B),0)</f>
        <v>0</v>
      </c>
      <c r="BM121" s="55" cm="1">
        <f t="array" ref="BM121">IFERROR(
   INDEX($AW$1:$BH$1,
      _xlfn.AGGREGATE(14, 6, COLUMN($AW$1:$BH$1)/(AW121:BH121&lt;&gt;""), 2) - COLUMN($AW$1) + 1
   ),
"")</f>
        <v>46082</v>
      </c>
      <c r="BN121" s="55" cm="1">
        <f t="array" ref="BN121">IFERROR(INDEX($AW$1:$BH$1,1,MATCH(2,1/(AW121:BH121&lt;&gt;""))),"")</f>
        <v>46113</v>
      </c>
      <c r="BO121" s="53">
        <f ca="1">IFERROR(_xlfn.XLOOKUP(F121,Apuração!A:A,Apuração!C:C)/_xlfn.XLOOKUP(F121,Apuração!A:A,Apuração!B:B),0)</f>
        <v>0</v>
      </c>
      <c r="BP121" s="53">
        <f ca="1">IFERROR(_xlfn.XLOOKUP(F121,Apuração!A:A,Apuração!D:D)/_xlfn.XLOOKUP(F121,Apuração!A:A,Apuração!B:B),0)</f>
        <v>0</v>
      </c>
      <c r="BQ121" s="53">
        <f ca="1">IF(BK121&gt;=BO121,0,_xlfn.XLOOKUP(F121,Apuração!A:A,Apuração!B:B)*(BO121 + (1/_xlfn.XLOOKUP(F121,Apuração!A:A,Apuração!B:B)) - BK121))</f>
        <v>0</v>
      </c>
      <c r="BR121" s="85">
        <f t="shared" ca="1" si="261"/>
        <v>0</v>
      </c>
      <c r="BS121" s="53">
        <f ca="1">IFERROR((_xlfn.XLOOKUP(F121,Apuração!A:A,Apuração!C:C)+1)/_xlfn.XLOOKUP(F121,Apuração!A:A,Apuração!B:B),0)</f>
        <v>0.14285714285714285</v>
      </c>
    </row>
    <row r="122" spans="1:71" ht="25.95" hidden="1" customHeight="1" x14ac:dyDescent="0.3">
      <c r="A122" s="42" t="s">
        <v>134</v>
      </c>
      <c r="B122" s="4" t="s">
        <v>135</v>
      </c>
      <c r="C122" s="5" t="s">
        <v>35</v>
      </c>
      <c r="D122" s="5" t="s">
        <v>47</v>
      </c>
      <c r="E122" s="4" t="s">
        <v>61</v>
      </c>
      <c r="F122" s="4" t="str" cm="1">
        <f t="array" ref="F122">_xlfn.IFS(
AG122 &lt;&gt; "", "Jan-Dez/26",
AH122 &lt;&gt; "", "Fev-Dez/26",
AI122 &lt;&gt; "", "Mar-Dez/26", AJ122 &lt;&gt; "", "Abr-Dez/26",
TRUE, "A partir de Junho"
)</f>
        <v>A partir de Junho</v>
      </c>
      <c r="G122" s="4" t="s">
        <v>62</v>
      </c>
      <c r="H122" s="7" t="s">
        <v>38</v>
      </c>
      <c r="I122" s="8" t="s">
        <v>139</v>
      </c>
      <c r="J122" s="8" t="str" cm="1">
        <f t="array" aca="1" ref="J122" ca="1">_xlfn.LET(
  _xlpm.actual_value_month, INDEX(T122:AE122, MATCH(DATE(YEAR(TODAY()), MONTH(TODAY()), 1), $T$1:$AE$1, 0)),
  IF(_xlpm.actual_value_month &lt;&gt; "",_xlpm.actual_value_month &amp; " ações mensais", "")
)</f>
        <v/>
      </c>
      <c r="K122" s="8" t="str" cm="1">
        <f t="array" ref="K122">_xlfn.LET(
    _xlpm.sum_month, SUM(T122:AE122),
    IF(_xlpm.sum_month = 0, "", _xlpm.sum_month &amp; " mensagens a serem enviadas no ano")
)</f>
        <v/>
      </c>
      <c r="L122" s="4" t="s">
        <v>140</v>
      </c>
      <c r="M122" s="24"/>
      <c r="N122" s="5" t="s">
        <v>51</v>
      </c>
      <c r="O122" s="5" t="s">
        <v>52</v>
      </c>
      <c r="P122" s="10" t="s">
        <v>44</v>
      </c>
      <c r="Q122" s="10" t="s">
        <v>44</v>
      </c>
      <c r="R122" s="11" t="s">
        <v>44</v>
      </c>
      <c r="S122" s="11" t="s">
        <v>44</v>
      </c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94">
        <f t="shared" ref="AS122:AS123" ca="1" si="300">IF(MONTH(TODAY())=3,SUM(T122:U122),IF(MONTH(TODAY())=4,SUM(T122:V122),IF(MONTH(TODAY())=5,SUM(T122:W122),IF(MONTH(TODAY())=6,SUM(T122:X122),IF(MONTH(TODAY())=7,SUM(T122:Y122),IF(MONTH(TODAY())=8,SUM(T122:Z122),IF(MONTH(TODAY())=9,SUM(T122:AA122),IF(MONTH(TODAY())=10,SUM(T122:AB122),IF(MONTH(TODAY())=11,SUM(T122:AC122),IF(MONTH(TODAY())=12,SUM(T122:AD122),IF(MONTH(TODAY())=1,SUM(T122:AE122),T122)))))))))))</f>
        <v>0</v>
      </c>
      <c r="AT122" s="95">
        <f t="shared" ref="AT122:AT123" si="301">SUM(AG122:AR122)</f>
        <v>0</v>
      </c>
      <c r="AU122" s="97">
        <f t="shared" ref="AU122:AU123" si="302">SUM(AG122:AR122)</f>
        <v>0</v>
      </c>
      <c r="AW122" s="83">
        <f t="shared" ref="AW122:AW123" si="303">AG122</f>
        <v>0</v>
      </c>
      <c r="AX122" s="83">
        <f t="shared" ref="AX122:AX123" si="304">AH122</f>
        <v>0</v>
      </c>
      <c r="AY122" s="83">
        <f t="shared" ref="AY122:AY123" si="305">AI122</f>
        <v>0</v>
      </c>
      <c r="AZ122" s="83">
        <f t="shared" ref="AZ122:AZ123" si="306">AJ122</f>
        <v>0</v>
      </c>
      <c r="BA122" s="52"/>
      <c r="BB122" s="52"/>
      <c r="BC122" s="52"/>
      <c r="BD122" s="52"/>
      <c r="BE122" s="52"/>
      <c r="BF122" s="52"/>
      <c r="BG122" s="52"/>
      <c r="BH122" s="52"/>
      <c r="BI122" s="68" cm="1">
        <f t="array" ref="BI122">IFERROR(INDEX(AW122:BH122,1,MATCH(2,1/(AW122:BH122&lt;&gt;""))),"")</f>
        <v>0</v>
      </c>
      <c r="BJ122" s="68" cm="1">
        <f t="array" ref="BJ122">IF(BM122 = "", "",IFERROR(INDEX(AW122:BH122,1,MATCH(2,1/(AW122:BH122&lt;&gt;""),1)-1),""))</f>
        <v>0</v>
      </c>
      <c r="BK122" s="59">
        <f t="shared" ref="BK122:BK123" si="307">SUM(AW122:BH122)</f>
        <v>0</v>
      </c>
      <c r="BL122" s="59" cm="1">
        <f t="array" ref="BL122">IFERROR(SUM(AW122:INDEX(AW122:BH122, MATCH(2, 1/(AW122:BH122&lt;&gt;""), 1) - 1))/_xlfn.XLOOKUP(F122,Apuração!A:A,Apuração!B:B),0)</f>
        <v>0</v>
      </c>
      <c r="BM122" s="55" cm="1">
        <f t="array" ref="BM122">IFERROR(
   INDEX($AW$1:$BH$1,
      _xlfn.AGGREGATE(14, 6, COLUMN($AW$1:$BH$1)/(AW122:BH122&lt;&gt;""), 2) - COLUMN($AW$1) + 1
   ),
"")</f>
        <v>46082</v>
      </c>
      <c r="BN122" s="55" cm="1">
        <f t="array" ref="BN122">IFERROR(INDEX($AW$1:$BH$1,1,MATCH(2,1/(AW122:BH122&lt;&gt;""))),"")</f>
        <v>46113</v>
      </c>
      <c r="BO122" s="53">
        <f ca="1">IFERROR(_xlfn.XLOOKUP(F122,Apuração!A:A,Apuração!C:C)/_xlfn.XLOOKUP(F122,Apuração!A:A,Apuração!B:B),0)</f>
        <v>0</v>
      </c>
      <c r="BP122" s="53">
        <f ca="1">IFERROR(_xlfn.XLOOKUP(F122,Apuração!A:A,Apuração!D:D)/_xlfn.XLOOKUP(F122,Apuração!A:A,Apuração!B:B),0)</f>
        <v>0</v>
      </c>
      <c r="BQ122" s="53">
        <f ca="1">IF(BK122&gt;=BO122,0,_xlfn.XLOOKUP(F122,Apuração!A:A,Apuração!B:B)*(BO122 + (1/_xlfn.XLOOKUP(F122,Apuração!A:A,Apuração!B:B)) - BK122))</f>
        <v>0</v>
      </c>
      <c r="BR122" s="85">
        <f t="shared" ref="BR122:BR123" ca="1" si="308">IF(BQ122=0,0,BQ122*Z122)</f>
        <v>0</v>
      </c>
      <c r="BS122" s="53">
        <f ca="1">IFERROR((_xlfn.XLOOKUP(F122,Apuração!A:A,Apuração!C:C)+1)/_xlfn.XLOOKUP(F122,Apuração!A:A,Apuração!B:B),0)</f>
        <v>0.14285714285714285</v>
      </c>
    </row>
    <row r="123" spans="1:71" ht="25.95" hidden="1" customHeight="1" x14ac:dyDescent="0.3">
      <c r="A123" s="42" t="s">
        <v>134</v>
      </c>
      <c r="B123" s="4" t="s">
        <v>135</v>
      </c>
      <c r="C123" s="5" t="s">
        <v>35</v>
      </c>
      <c r="D123" s="5" t="s">
        <v>48</v>
      </c>
      <c r="E123" s="4" t="s">
        <v>61</v>
      </c>
      <c r="F123" s="4" t="str" cm="1">
        <f t="array" ref="F123">_xlfn.IFS(
AG123 &lt;&gt; "", "Jan-Dez/26",
AH123 &lt;&gt; "", "Fev-Dez/26",
AI123 &lt;&gt; "", "Mar-Dez/26", AJ123 &lt;&gt; "", "Abr-Dez/26",
TRUE, "A partir de Junho"
)</f>
        <v>A partir de Junho</v>
      </c>
      <c r="G123" s="4" t="s">
        <v>62</v>
      </c>
      <c r="H123" s="7" t="s">
        <v>38</v>
      </c>
      <c r="I123" s="8" t="s">
        <v>139</v>
      </c>
      <c r="J123" s="8" t="str" cm="1">
        <f t="array" aca="1" ref="J123" ca="1">_xlfn.LET(
  _xlpm.actual_value_month, INDEX(T123:AE123, MATCH(DATE(YEAR(TODAY()), MONTH(TODAY()), 1), $T$1:$AE$1, 0)),
  IF(_xlpm.actual_value_month &lt;&gt; "",_xlpm.actual_value_month &amp; " ações mensais", "")
)</f>
        <v/>
      </c>
      <c r="K123" s="8" t="str" cm="1">
        <f t="array" ref="K123">_xlfn.LET(
    _xlpm.sum_month, SUM(T123:AE123),
    IF(_xlpm.sum_month = 0, "", _xlpm.sum_month &amp; " mensagens a serem enviadas no ano")
)</f>
        <v/>
      </c>
      <c r="L123" s="4" t="s">
        <v>140</v>
      </c>
      <c r="M123" s="24"/>
      <c r="N123" s="5" t="s">
        <v>51</v>
      </c>
      <c r="O123" s="5" t="s">
        <v>52</v>
      </c>
      <c r="P123" s="10" t="s">
        <v>44</v>
      </c>
      <c r="Q123" s="10" t="s">
        <v>44</v>
      </c>
      <c r="R123" s="11" t="s">
        <v>44</v>
      </c>
      <c r="S123" s="11" t="s">
        <v>44</v>
      </c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94">
        <f t="shared" ca="1" si="300"/>
        <v>0</v>
      </c>
      <c r="AT123" s="95">
        <f t="shared" si="301"/>
        <v>0</v>
      </c>
      <c r="AU123" s="97">
        <f t="shared" si="302"/>
        <v>0</v>
      </c>
      <c r="AW123" s="83">
        <f t="shared" si="303"/>
        <v>0</v>
      </c>
      <c r="AX123" s="83">
        <f t="shared" si="304"/>
        <v>0</v>
      </c>
      <c r="AY123" s="83">
        <f t="shared" si="305"/>
        <v>0</v>
      </c>
      <c r="AZ123" s="83">
        <f t="shared" si="306"/>
        <v>0</v>
      </c>
      <c r="BA123" s="52"/>
      <c r="BB123" s="52"/>
      <c r="BC123" s="52"/>
      <c r="BD123" s="52"/>
      <c r="BE123" s="52"/>
      <c r="BF123" s="52"/>
      <c r="BG123" s="52"/>
      <c r="BH123" s="52"/>
      <c r="BI123" s="68" cm="1">
        <f t="array" ref="BI123">IFERROR(INDEX(AW123:BH123,1,MATCH(2,1/(AW123:BH123&lt;&gt;""))),"")</f>
        <v>0</v>
      </c>
      <c r="BJ123" s="68" cm="1">
        <f t="array" ref="BJ123">IF(BM123 = "", "",IFERROR(INDEX(AW123:BH123,1,MATCH(2,1/(AW123:BH123&lt;&gt;""),1)-1),""))</f>
        <v>0</v>
      </c>
      <c r="BK123" s="59">
        <f t="shared" si="307"/>
        <v>0</v>
      </c>
      <c r="BL123" s="59" cm="1">
        <f t="array" ref="BL123">IFERROR(SUM(AW123:INDEX(AW123:BH123, MATCH(2, 1/(AW123:BH123&lt;&gt;""), 1) - 1))/_xlfn.XLOOKUP(F123,Apuração!A:A,Apuração!B:B),0)</f>
        <v>0</v>
      </c>
      <c r="BM123" s="55" cm="1">
        <f t="array" ref="BM123">IFERROR(
   INDEX($AW$1:$BH$1,
      _xlfn.AGGREGATE(14, 6, COLUMN($AW$1:$BH$1)/(AW123:BH123&lt;&gt;""), 2) - COLUMN($AW$1) + 1
   ),
"")</f>
        <v>46082</v>
      </c>
      <c r="BN123" s="55" cm="1">
        <f t="array" ref="BN123">IFERROR(INDEX($AW$1:$BH$1,1,MATCH(2,1/(AW123:BH123&lt;&gt;""))),"")</f>
        <v>46113</v>
      </c>
      <c r="BO123" s="53">
        <f ca="1">IFERROR(_xlfn.XLOOKUP(F123,Apuração!A:A,Apuração!C:C)/_xlfn.XLOOKUP(F123,Apuração!A:A,Apuração!B:B),0)</f>
        <v>0</v>
      </c>
      <c r="BP123" s="53">
        <f ca="1">IFERROR(_xlfn.XLOOKUP(F123,Apuração!A:A,Apuração!D:D)/_xlfn.XLOOKUP(F123,Apuração!A:A,Apuração!B:B),0)</f>
        <v>0</v>
      </c>
      <c r="BQ123" s="53">
        <f ca="1">IF(BK123&gt;=BO123,0,_xlfn.XLOOKUP(F123,Apuração!A:A,Apuração!B:B)*(BO123 + (1/_xlfn.XLOOKUP(F123,Apuração!A:A,Apuração!B:B)) - BK123))</f>
        <v>0</v>
      </c>
      <c r="BR123" s="85">
        <f t="shared" ca="1" si="308"/>
        <v>0</v>
      </c>
      <c r="BS123" s="53">
        <f ca="1">IFERROR((_xlfn.XLOOKUP(F123,Apuração!A:A,Apuração!C:C)+1)/_xlfn.XLOOKUP(F123,Apuração!A:A,Apuração!B:B),0)</f>
        <v>0.14285714285714285</v>
      </c>
    </row>
    <row r="124" spans="1:71" ht="25.95" hidden="1" customHeight="1" x14ac:dyDescent="0.3">
      <c r="A124" s="42" t="s">
        <v>134</v>
      </c>
      <c r="B124" s="4" t="s">
        <v>135</v>
      </c>
      <c r="C124" s="5" t="s">
        <v>35</v>
      </c>
      <c r="D124" s="5" t="s">
        <v>36</v>
      </c>
      <c r="E124" s="4" t="s">
        <v>61</v>
      </c>
      <c r="F124" s="4" t="str" cm="1">
        <f t="array" ref="F124">_xlfn.IFS(
AG124 &lt;&gt; "", "Jan-Dez/26",
AH124 &lt;&gt; "", "Fev-Dez/26",
AI124 &lt;&gt; "", "Mar-Dez/26", AJ124 &lt;&gt; "", "Abr-Dez/26",
TRUE, "A partir de Junho"
)</f>
        <v>A partir de Junho</v>
      </c>
      <c r="G124" s="4" t="s">
        <v>62</v>
      </c>
      <c r="H124" s="7" t="s">
        <v>38</v>
      </c>
      <c r="I124" s="9" t="s">
        <v>76</v>
      </c>
      <c r="J124" s="8" t="str" cm="1">
        <f t="array" aca="1" ref="J124" ca="1">_xlfn.LET(
  _xlpm.actual_value_month, INDEX(T124:AE124, MATCH(DATE(YEAR(TODAY()), MONTH(TODAY()), 1), $T$1:$AE$1, 0)),
  IF(_xlpm.actual_value_month &lt;&gt; "",_xlpm.actual_value_month &amp; " ações mensais", "")
)</f>
        <v/>
      </c>
      <c r="K124" s="8" t="str" cm="1">
        <f t="array" ref="K124">_xlfn.LET(
    _xlpm.sum_month, SUM(T124:AE124),
    IF(_xlpm.sum_month = 0, "", _xlpm.sum_month &amp; " alcançadas no ano")
)</f>
        <v/>
      </c>
      <c r="L124" s="9" t="s">
        <v>141</v>
      </c>
      <c r="M124" s="24"/>
      <c r="N124" s="5" t="s">
        <v>51</v>
      </c>
      <c r="O124" s="5" t="s">
        <v>52</v>
      </c>
      <c r="P124" s="10" t="s">
        <v>44</v>
      </c>
      <c r="Q124" s="10" t="s">
        <v>44</v>
      </c>
      <c r="R124" s="10" t="s">
        <v>44</v>
      </c>
      <c r="S124" s="10" t="s">
        <v>44</v>
      </c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94">
        <f t="shared" ca="1" si="287"/>
        <v>0</v>
      </c>
      <c r="AT124" s="95">
        <f>SUM(AG124:AR124)</f>
        <v>0</v>
      </c>
      <c r="AU124" s="97">
        <f t="shared" si="288"/>
        <v>0</v>
      </c>
      <c r="AW124" s="83">
        <f>AG124</f>
        <v>0</v>
      </c>
      <c r="AX124" s="83">
        <f t="shared" si="297"/>
        <v>0</v>
      </c>
      <c r="AY124" s="83">
        <f t="shared" si="298"/>
        <v>0</v>
      </c>
      <c r="AZ124" s="83">
        <f t="shared" si="299"/>
        <v>0</v>
      </c>
      <c r="BA124" s="52"/>
      <c r="BB124" s="52"/>
      <c r="BC124" s="52"/>
      <c r="BD124" s="52"/>
      <c r="BE124" s="52"/>
      <c r="BF124" s="52"/>
      <c r="BG124" s="52"/>
      <c r="BH124" s="52"/>
      <c r="BI124" s="68" cm="1">
        <f t="array" ref="BI124">IFERROR(INDEX(AW124:BH124,1,MATCH(2,1/(AW124:BH124&lt;&gt;""))),"")</f>
        <v>0</v>
      </c>
      <c r="BJ124" s="68" cm="1">
        <f t="array" ref="BJ124">IF(BM124 = "", "",IFERROR(INDEX(AW124:BH124,1,MATCH(2,1/(AW124:BH124&lt;&gt;""),1)-1),""))</f>
        <v>0</v>
      </c>
      <c r="BK124" s="59">
        <f>SUM(AW124:BH124)</f>
        <v>0</v>
      </c>
      <c r="BL124" s="59" cm="1">
        <f t="array" ref="BL124">IFERROR(SUM(AW124:INDEX(AW124:BH124, MATCH(2, 1/(AW124:BH124&lt;&gt;""), 1) - 1))/_xlfn.XLOOKUP(F124,Apuração!A:A,Apuração!B:B),0)</f>
        <v>0</v>
      </c>
      <c r="BM124" s="55" cm="1">
        <f t="array" ref="BM124">IFERROR(
   INDEX($AW$1:$BH$1,
      _xlfn.AGGREGATE(14, 6, COLUMN($AW$1:$BH$1)/(AW124:BH124&lt;&gt;""), 2) - COLUMN($AW$1) + 1
   ),
"")</f>
        <v>46082</v>
      </c>
      <c r="BN124" s="55" cm="1">
        <f t="array" ref="BN124">IFERROR(INDEX($AW$1:$BH$1,1,MATCH(2,1/(AW124:BH124&lt;&gt;""))),"")</f>
        <v>46113</v>
      </c>
      <c r="BO124" s="53">
        <f ca="1">IFERROR(_xlfn.XLOOKUP(F124,Apuração!A:A,Apuração!C:C)/_xlfn.XLOOKUP(F124,Apuração!A:A,Apuração!B:B),0)</f>
        <v>0</v>
      </c>
      <c r="BP124" s="53">
        <f ca="1">IFERROR(_xlfn.XLOOKUP(F124,Apuração!A:A,Apuração!D:D)/_xlfn.XLOOKUP(F124,Apuração!A:A,Apuração!B:B),0)</f>
        <v>0</v>
      </c>
      <c r="BQ124" s="53">
        <f ca="1">IF(BK124&gt;=BO124,0,_xlfn.XLOOKUP(F124,Apuração!A:A,Apuração!B:B)*(BO124 + (1/_xlfn.XLOOKUP(F124,Apuração!A:A,Apuração!B:B)) - BK124))</f>
        <v>0</v>
      </c>
      <c r="BR124" s="85">
        <f t="shared" ca="1" si="261"/>
        <v>0</v>
      </c>
      <c r="BS124" s="53">
        <f ca="1">IFERROR((_xlfn.XLOOKUP(F124,Apuração!A:A,Apuração!C:C)+1)/_xlfn.XLOOKUP(F124,Apuração!A:A,Apuração!B:B),0)</f>
        <v>0.14285714285714285</v>
      </c>
    </row>
    <row r="125" spans="1:71" ht="25.95" hidden="1" customHeight="1" x14ac:dyDescent="0.3">
      <c r="A125" s="42" t="s">
        <v>134</v>
      </c>
      <c r="B125" s="4" t="s">
        <v>135</v>
      </c>
      <c r="C125" s="5" t="s">
        <v>35</v>
      </c>
      <c r="D125" s="5" t="s">
        <v>47</v>
      </c>
      <c r="E125" s="4" t="s">
        <v>61</v>
      </c>
      <c r="F125" s="4" t="str" cm="1">
        <f t="array" ref="F125">_xlfn.IFS(
AG125 &lt;&gt; "", "Jan-Dez/26",
AH125 &lt;&gt; "", "Fev-Dez/26",
AI125 &lt;&gt; "", "Mar-Dez/26", AJ125 &lt;&gt; "", "Abr-Dez/26",
TRUE, "A partir de Junho"
)</f>
        <v>A partir de Junho</v>
      </c>
      <c r="G125" s="4" t="s">
        <v>62</v>
      </c>
      <c r="H125" s="7" t="s">
        <v>38</v>
      </c>
      <c r="I125" s="9" t="s">
        <v>76</v>
      </c>
      <c r="J125" s="8" t="str" cm="1">
        <f t="array" aca="1" ref="J125" ca="1">_xlfn.LET(
  _xlpm.actual_value_month, INDEX(T125:AE125, MATCH(DATE(YEAR(TODAY()), MONTH(TODAY()), 1), $T$1:$AE$1, 0)),
  IF(_xlpm.actual_value_month &lt;&gt; "",_xlpm.actual_value_month &amp; " ações mensais", "")
)</f>
        <v/>
      </c>
      <c r="K125" s="8" t="str" cm="1">
        <f t="array" ref="K125">_xlfn.LET(
    _xlpm.sum_month, SUM(T125:AE125),
    IF(_xlpm.sum_month = 0, "", _xlpm.sum_month &amp; " alcançadas no ano")
)</f>
        <v/>
      </c>
      <c r="L125" s="9" t="s">
        <v>141</v>
      </c>
      <c r="M125" s="24"/>
      <c r="N125" s="5" t="s">
        <v>51</v>
      </c>
      <c r="O125" s="5" t="s">
        <v>52</v>
      </c>
      <c r="P125" s="10" t="s">
        <v>44</v>
      </c>
      <c r="Q125" s="10" t="s">
        <v>44</v>
      </c>
      <c r="R125" s="10" t="s">
        <v>44</v>
      </c>
      <c r="S125" s="10" t="s">
        <v>44</v>
      </c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94">
        <f t="shared" ref="AS125:AS126" ca="1" si="309">IF(MONTH(TODAY())=3,SUM(T125:U125),IF(MONTH(TODAY())=4,SUM(T125:V125),IF(MONTH(TODAY())=5,SUM(T125:W125),IF(MONTH(TODAY())=6,SUM(T125:X125),IF(MONTH(TODAY())=7,SUM(T125:Y125),IF(MONTH(TODAY())=8,SUM(T125:Z125),IF(MONTH(TODAY())=9,SUM(T125:AA125),IF(MONTH(TODAY())=10,SUM(T125:AB125),IF(MONTH(TODAY())=11,SUM(T125:AC125),IF(MONTH(TODAY())=12,SUM(T125:AD125),IF(MONTH(TODAY())=1,SUM(T125:AE125),T125)))))))))))</f>
        <v>0</v>
      </c>
      <c r="AT125" s="95">
        <f t="shared" ref="AT125:AT126" si="310">SUM(AG125:AR125)</f>
        <v>0</v>
      </c>
      <c r="AU125" s="97">
        <f t="shared" ref="AU125:AU126" si="311">SUM(AG125:AR125)</f>
        <v>0</v>
      </c>
      <c r="AW125" s="83">
        <f t="shared" ref="AW125:AW126" si="312">AG125</f>
        <v>0</v>
      </c>
      <c r="AX125" s="83">
        <f t="shared" ref="AX125:AX126" si="313">AH125</f>
        <v>0</v>
      </c>
      <c r="AY125" s="83">
        <f t="shared" ref="AY125:AY126" si="314">AI125</f>
        <v>0</v>
      </c>
      <c r="AZ125" s="83">
        <f t="shared" ref="AZ125:AZ126" si="315">AJ125</f>
        <v>0</v>
      </c>
      <c r="BA125" s="52"/>
      <c r="BB125" s="52"/>
      <c r="BC125" s="52"/>
      <c r="BD125" s="52"/>
      <c r="BE125" s="52"/>
      <c r="BF125" s="52"/>
      <c r="BG125" s="52"/>
      <c r="BH125" s="52"/>
      <c r="BI125" s="68" cm="1">
        <f t="array" ref="BI125">IFERROR(INDEX(AW125:BH125,1,MATCH(2,1/(AW125:BH125&lt;&gt;""))),"")</f>
        <v>0</v>
      </c>
      <c r="BJ125" s="68" cm="1">
        <f t="array" ref="BJ125">IF(BM125 = "", "",IFERROR(INDEX(AW125:BH125,1,MATCH(2,1/(AW125:BH125&lt;&gt;""),1)-1),""))</f>
        <v>0</v>
      </c>
      <c r="BK125" s="59">
        <f t="shared" ref="BK125:BK126" si="316">SUM(AW125:BH125)</f>
        <v>0</v>
      </c>
      <c r="BL125" s="59" cm="1">
        <f t="array" ref="BL125">IFERROR(SUM(AW125:INDEX(AW125:BH125, MATCH(2, 1/(AW125:BH125&lt;&gt;""), 1) - 1))/_xlfn.XLOOKUP(F125,Apuração!A:A,Apuração!B:B),0)</f>
        <v>0</v>
      </c>
      <c r="BM125" s="55" cm="1">
        <f t="array" ref="BM125">IFERROR(
   INDEX($AW$1:$BH$1,
      _xlfn.AGGREGATE(14, 6, COLUMN($AW$1:$BH$1)/(AW125:BH125&lt;&gt;""), 2) - COLUMN($AW$1) + 1
   ),
"")</f>
        <v>46082</v>
      </c>
      <c r="BN125" s="55" cm="1">
        <f t="array" ref="BN125">IFERROR(INDEX($AW$1:$BH$1,1,MATCH(2,1/(AW125:BH125&lt;&gt;""))),"")</f>
        <v>46113</v>
      </c>
      <c r="BO125" s="53">
        <f ca="1">IFERROR(_xlfn.XLOOKUP(F125,Apuração!A:A,Apuração!C:C)/_xlfn.XLOOKUP(F125,Apuração!A:A,Apuração!B:B),0)</f>
        <v>0</v>
      </c>
      <c r="BP125" s="53">
        <f ca="1">IFERROR(_xlfn.XLOOKUP(F125,Apuração!A:A,Apuração!D:D)/_xlfn.XLOOKUP(F125,Apuração!A:A,Apuração!B:B),0)</f>
        <v>0</v>
      </c>
      <c r="BQ125" s="53">
        <f ca="1">IF(BK125&gt;=BO125,0,_xlfn.XLOOKUP(F125,Apuração!A:A,Apuração!B:B)*(BO125 + (1/_xlfn.XLOOKUP(F125,Apuração!A:A,Apuração!B:B)) - BK125))</f>
        <v>0</v>
      </c>
      <c r="BR125" s="85">
        <f t="shared" ref="BR125:BR126" ca="1" si="317">IF(BQ125=0,0,BQ125*Z125)</f>
        <v>0</v>
      </c>
      <c r="BS125" s="53">
        <f ca="1">IFERROR((_xlfn.XLOOKUP(F125,Apuração!A:A,Apuração!C:C)+1)/_xlfn.XLOOKUP(F125,Apuração!A:A,Apuração!B:B),0)</f>
        <v>0.14285714285714285</v>
      </c>
    </row>
    <row r="126" spans="1:71" ht="25.95" hidden="1" customHeight="1" x14ac:dyDescent="0.3">
      <c r="A126" s="42" t="s">
        <v>134</v>
      </c>
      <c r="B126" s="4" t="s">
        <v>135</v>
      </c>
      <c r="C126" s="5" t="s">
        <v>35</v>
      </c>
      <c r="D126" s="5" t="s">
        <v>48</v>
      </c>
      <c r="E126" s="4" t="s">
        <v>61</v>
      </c>
      <c r="F126" s="4" t="str" cm="1">
        <f t="array" ref="F126">_xlfn.IFS(
AG126 &lt;&gt; "", "Jan-Dez/26",
AH126 &lt;&gt; "", "Fev-Dez/26",
AI126 &lt;&gt; "", "Mar-Dez/26", AJ126 &lt;&gt; "", "Abr-Dez/26",
TRUE, "A partir de Junho"
)</f>
        <v>A partir de Junho</v>
      </c>
      <c r="G126" s="4" t="s">
        <v>62</v>
      </c>
      <c r="H126" s="7" t="s">
        <v>38</v>
      </c>
      <c r="I126" s="9" t="s">
        <v>76</v>
      </c>
      <c r="J126" s="8" t="str" cm="1">
        <f t="array" aca="1" ref="J126" ca="1">_xlfn.LET(
  _xlpm.actual_value_month, INDEX(T126:AE126, MATCH(DATE(YEAR(TODAY()), MONTH(TODAY()), 1), $T$1:$AE$1, 0)),
  IF(_xlpm.actual_value_month &lt;&gt; "",_xlpm.actual_value_month &amp; " ações mensais", "")
)</f>
        <v/>
      </c>
      <c r="K126" s="8" t="str" cm="1">
        <f t="array" ref="K126">_xlfn.LET(
    _xlpm.sum_month, SUM(T126:AE126),
    IF(_xlpm.sum_month = 0, "", _xlpm.sum_month &amp; " alcançadas no ano")
)</f>
        <v/>
      </c>
      <c r="L126" s="9" t="s">
        <v>141</v>
      </c>
      <c r="M126" s="24"/>
      <c r="N126" s="5" t="s">
        <v>51</v>
      </c>
      <c r="O126" s="5" t="s">
        <v>52</v>
      </c>
      <c r="P126" s="10" t="s">
        <v>44</v>
      </c>
      <c r="Q126" s="10" t="s">
        <v>44</v>
      </c>
      <c r="R126" s="10" t="s">
        <v>44</v>
      </c>
      <c r="S126" s="10" t="s">
        <v>44</v>
      </c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94">
        <f t="shared" ca="1" si="309"/>
        <v>0</v>
      </c>
      <c r="AT126" s="95">
        <f t="shared" si="310"/>
        <v>0</v>
      </c>
      <c r="AU126" s="97">
        <f t="shared" si="311"/>
        <v>0</v>
      </c>
      <c r="AW126" s="83">
        <f t="shared" si="312"/>
        <v>0</v>
      </c>
      <c r="AX126" s="83">
        <f t="shared" si="313"/>
        <v>0</v>
      </c>
      <c r="AY126" s="83">
        <f t="shared" si="314"/>
        <v>0</v>
      </c>
      <c r="AZ126" s="83">
        <f t="shared" si="315"/>
        <v>0</v>
      </c>
      <c r="BA126" s="52"/>
      <c r="BB126" s="52"/>
      <c r="BC126" s="52"/>
      <c r="BD126" s="52"/>
      <c r="BE126" s="52"/>
      <c r="BF126" s="52"/>
      <c r="BG126" s="52"/>
      <c r="BH126" s="52"/>
      <c r="BI126" s="68" cm="1">
        <f t="array" ref="BI126">IFERROR(INDEX(AW126:BH126,1,MATCH(2,1/(AW126:BH126&lt;&gt;""))),"")</f>
        <v>0</v>
      </c>
      <c r="BJ126" s="68" cm="1">
        <f t="array" ref="BJ126">IF(BM126 = "", "",IFERROR(INDEX(AW126:BH126,1,MATCH(2,1/(AW126:BH126&lt;&gt;""),1)-1),""))</f>
        <v>0</v>
      </c>
      <c r="BK126" s="59">
        <f t="shared" si="316"/>
        <v>0</v>
      </c>
      <c r="BL126" s="59" cm="1">
        <f t="array" ref="BL126">IFERROR(SUM(AW126:INDEX(AW126:BH126, MATCH(2, 1/(AW126:BH126&lt;&gt;""), 1) - 1))/_xlfn.XLOOKUP(F126,Apuração!A:A,Apuração!B:B),0)</f>
        <v>0</v>
      </c>
      <c r="BM126" s="55" cm="1">
        <f t="array" ref="BM126">IFERROR(
   INDEX($AW$1:$BH$1,
      _xlfn.AGGREGATE(14, 6, COLUMN($AW$1:$BH$1)/(AW126:BH126&lt;&gt;""), 2) - COLUMN($AW$1) + 1
   ),
"")</f>
        <v>46082</v>
      </c>
      <c r="BN126" s="55" cm="1">
        <f t="array" ref="BN126">IFERROR(INDEX($AW$1:$BH$1,1,MATCH(2,1/(AW126:BH126&lt;&gt;""))),"")</f>
        <v>46113</v>
      </c>
      <c r="BO126" s="53">
        <f ca="1">IFERROR(_xlfn.XLOOKUP(F126,Apuração!A:A,Apuração!C:C)/_xlfn.XLOOKUP(F126,Apuração!A:A,Apuração!B:B),0)</f>
        <v>0</v>
      </c>
      <c r="BP126" s="53">
        <f ca="1">IFERROR(_xlfn.XLOOKUP(F126,Apuração!A:A,Apuração!D:D)/_xlfn.XLOOKUP(F126,Apuração!A:A,Apuração!B:B),0)</f>
        <v>0</v>
      </c>
      <c r="BQ126" s="53">
        <f ca="1">IF(BK126&gt;=BO126,0,_xlfn.XLOOKUP(F126,Apuração!A:A,Apuração!B:B)*(BO126 + (1/_xlfn.XLOOKUP(F126,Apuração!A:A,Apuração!B:B)) - BK126))</f>
        <v>0</v>
      </c>
      <c r="BR126" s="85">
        <f t="shared" ca="1" si="317"/>
        <v>0</v>
      </c>
      <c r="BS126" s="53">
        <f ca="1">IFERROR((_xlfn.XLOOKUP(F126,Apuração!A:A,Apuração!C:C)+1)/_xlfn.XLOOKUP(F126,Apuração!A:A,Apuração!B:B),0)</f>
        <v>0.14285714285714285</v>
      </c>
    </row>
    <row r="127" spans="1:71" ht="25.95" hidden="1" customHeight="1" x14ac:dyDescent="0.3">
      <c r="A127" s="23" t="s">
        <v>134</v>
      </c>
      <c r="B127" s="4" t="s">
        <v>142</v>
      </c>
      <c r="C127" s="5" t="s">
        <v>35</v>
      </c>
      <c r="D127" s="5" t="s">
        <v>36</v>
      </c>
      <c r="E127" s="4" t="str" cm="1">
        <f t="array" ref="E127">_xlfn.IFS(
F127 = "A partir de Abril", "Aguardando Execução na Distribuidora",
A127 = "CAPACITAÇÃO", "Em execução no Corporativo",
TRUE, "Em Execução na Distribuidora"
)</f>
        <v>Em Execução na Distribuidora</v>
      </c>
      <c r="F127" s="4" t="str" cm="1">
        <f t="array" ref="F127">_xlfn.IFS(
AG127 &lt;&gt; "", "Jan-Dez/26",
AH127 &lt;&gt; "", "Fev-Dez/26",
AI127 &lt;&gt; "", "Mar-Dez/26", AJ127 &lt;&gt; "", "Abr-Dez/26",
TRUE, "A partir de Junho"
)</f>
        <v>Jan-Dez/26</v>
      </c>
      <c r="G127" s="4" t="s">
        <v>37</v>
      </c>
      <c r="H127" s="7" t="s">
        <v>54</v>
      </c>
      <c r="I127" s="8" t="s">
        <v>143</v>
      </c>
      <c r="J127" s="8" t="str" cm="1">
        <f t="array" aca="1" ref="J127" ca="1">_xlfn.LET(
  _xlpm.actual_value_month, INDEX(T127:AE127, MATCH(DATE(YEAR(TODAY()), MONTH(TODAY()), 1), $T$1:$AE$1, 0)),
  IF(_xlpm.actual_value_month &lt;&gt; "",_xlpm.actual_value_month &amp; " equipes mensais", "")
)</f>
        <v>95 equipes mensais</v>
      </c>
      <c r="K127" s="8" t="str" cm="1">
        <f t="array" ref="K127">_xlfn.LET(
    _xlpm.sum_month, SUM(T127:AE127),
    IF(_xlpm.sum_month = 0, "", _xlpm.sum_month &amp; " equipes inspencionadas no ano")
)</f>
        <v>1916 equipes inspencionadas no ano</v>
      </c>
      <c r="L127" s="4" t="s">
        <v>144</v>
      </c>
      <c r="M127" s="24" t="s">
        <v>145</v>
      </c>
      <c r="N127" s="5" t="s">
        <v>42</v>
      </c>
      <c r="O127" s="5" t="s">
        <v>43</v>
      </c>
      <c r="P127" s="10" t="s">
        <v>146</v>
      </c>
      <c r="Q127" s="10" t="s">
        <v>44</v>
      </c>
      <c r="R127" s="11" t="s">
        <v>147</v>
      </c>
      <c r="S127" s="11" t="s">
        <v>44</v>
      </c>
      <c r="T127" s="22">
        <v>383</v>
      </c>
      <c r="U127" s="22">
        <v>376</v>
      </c>
      <c r="V127" s="22">
        <v>302</v>
      </c>
      <c r="W127" s="22">
        <v>95</v>
      </c>
      <c r="X127" s="22">
        <v>95</v>
      </c>
      <c r="Y127" s="22">
        <v>95</v>
      </c>
      <c r="Z127" s="22">
        <v>95</v>
      </c>
      <c r="AA127" s="22">
        <v>95</v>
      </c>
      <c r="AB127" s="22">
        <v>95</v>
      </c>
      <c r="AC127" s="22">
        <v>95</v>
      </c>
      <c r="AD127" s="22">
        <v>95</v>
      </c>
      <c r="AE127" s="22">
        <v>95</v>
      </c>
      <c r="AG127" s="71">
        <v>383</v>
      </c>
      <c r="AH127" s="71">
        <v>376</v>
      </c>
      <c r="AI127" s="71">
        <v>302</v>
      </c>
      <c r="AJ127" s="71">
        <v>349</v>
      </c>
      <c r="AK127" s="71"/>
      <c r="AL127" s="71"/>
      <c r="AM127" s="71"/>
      <c r="AN127" s="71"/>
      <c r="AO127" s="71"/>
      <c r="AP127" s="71"/>
      <c r="AQ127" s="71"/>
      <c r="AR127" s="71"/>
      <c r="AS127" s="94">
        <f t="shared" ca="1" si="287"/>
        <v>1251</v>
      </c>
      <c r="AT127" s="95">
        <f>SUM(IF(AW127&lt;1.15,AG127,1.15*T127),IF(AX127&lt;1.15,AH127,1.15*U127),IF(AY127&lt;1.15,AI127,1.15*V127),IF(AZ127&lt;1.15,AJ127,1.15*W127),IF(BA127&lt;1.15,AK127,1.15*X127),IF(BB127&lt;1.15,AL127,1.15*Y127),IF(BC127&lt;1.15,AM127,1.15*Z127),IF(BD127&lt;1.15,AN127,1.15*AA127),IF(BE127&lt;1.15,AO127,1.15*AB127),IF(BF127&lt;1.15,AP127,1.15*AC127),IF(BG127&lt;1.15,AQ127,1.15*AD127),IF(BH127&lt;1.15,AR127,1.15*AE127))</f>
        <v>1170.25</v>
      </c>
      <c r="AU127" s="97">
        <f t="shared" si="288"/>
        <v>1410</v>
      </c>
      <c r="AW127" s="51">
        <f>IFERROR(IF(AG127="",0,AG127/T127),0)</f>
        <v>1</v>
      </c>
      <c r="AX127" s="51">
        <f>IFERROR(IF(AH127="",0,AH127/U127),0)</f>
        <v>1</v>
      </c>
      <c r="AY127" s="51">
        <f>IFERROR(IF(AI127="",0,AI127/V127),0)</f>
        <v>1</v>
      </c>
      <c r="AZ127" s="51">
        <f>IFERROR(IF(AJ127="",0,AJ127/W127),0)</f>
        <v>3.6736842105263157</v>
      </c>
      <c r="BA127" s="51"/>
      <c r="BB127" s="51"/>
      <c r="BC127" s="51"/>
      <c r="BD127" s="51"/>
      <c r="BE127" s="51"/>
      <c r="BF127" s="51"/>
      <c r="BG127" s="51"/>
      <c r="BH127" s="51"/>
      <c r="BI127" s="65" cm="1">
        <f t="array" ref="BI127">IFERROR(INDEX(AW127:BH127,1,MATCH(2,1/(AW127:BH127&lt;&gt;""))),"")</f>
        <v>3.6736842105263157</v>
      </c>
      <c r="BJ127" s="68" cm="1">
        <f t="array" ref="BJ127">IF(BM127 = "", "",IFERROR(INDEX(AW127:BH127,1,MATCH(2,1/(AW127:BH127&lt;&gt;""),1)-1),""))</f>
        <v>1</v>
      </c>
      <c r="BK127" s="58">
        <f>IF((IF(AW127&gt;=115%,115%,AW127) + IF(AX127&gt;=115%,115%,AX127) + IF(AY127&gt;=115%,115%,AY127) + (IF(AZ127&gt;=115%,115%,AZ127) + IF(BA127&gt;=115%,115%,BA127) + IF(BB127&gt;=115%,115%,BB127) + IF(BC127&gt;=118%,118%,BC127) + IF(BD127&gt;=121%,121%,BD127) + IF(BE127&gt;=115%,115%,BE127) + IF(BF127&gt;=121%,121%,BF127) + IF(BG127&gt;=115%,115%,BG127) + IF(BH127&gt;=115%,115%,BH127)))/_xlfn.XLOOKUP(F127,Apuração!A:A,Apuração!B:B)&gt;=1.15,1.15,((IF(AZ127&gt;=115%,115%,AZ127) + IF(AX127&gt;=115%,115%,AX127) + IF(AY127&gt;=115%,115%,AY127) + (IF(AW127&gt;=115%,115%,AW127) + IF(BA127&gt;=115%,115%,BA127) + IF(BB127&gt;=115%,115%,BB127) + IF(BC127&gt;=118%,118%,BC127) + IF(BD127&gt;=121%,121%,BD127) + IF(BE127&gt;=115%,115%,BE127) + IF(BF127&gt;=121%,121%,BF127) + IF(BG127&gt;=115%,115%,BG127) + IF(BH127&gt;=115%,115%,BH127)))/_xlfn.XLOOKUP(F127,Apuração!A:A,Apuração!B:B)))</f>
        <v>0.34583333333333338</v>
      </c>
      <c r="BL127" s="58" cm="1">
        <f t="array" aca="1" ref="BL127" ca="1">IF(SUM(IFERROR(IF(INDEX(AW127:INDEX(AW127:BH127, MATCH(2, 1/(AW127:BH127&lt;&gt;""), 1)-1), ROW(INDIRECT("1:" &amp; MATCH(2, 1/(AW127:BH127&lt;&gt;""), 1)-1))) &gt;= 115%, 115%, INDEX(AW127:INDEX(AW127:BH127, MATCH(2, 1/(AW127:BH127&lt;&gt;""), 1)-1), ROW(INDIRECT("1:" &amp; MATCH(2, 1/(AW127:BH127&lt;&gt;""), 1)-1)))), 0))/_xlfn.XLOOKUP(F127,Apuração!A:A,Apuração!B:B)&gt;=1.15,1.15,SUM(IFERROR(IF(INDEX(AW127:INDEX(AW127:BH127, MATCH(2, 1/(AW127:BH127&lt;&gt;""), 1)-1), ROW(INDIRECT("1:" &amp; MATCH(2, 1/(AW127:BH127&lt;&gt;""), 1)-1))) &gt;= 115%, 115%, INDEX(AW127:INDEX(AW127:BH127, MATCH(2, 1/(AW127:BH127&lt;&gt;""), 1)-1), ROW(INDIRECT("1:" &amp; MATCH(2, 1/(AW127:BH127&lt;&gt;""), 1)-1)))), 0))/_xlfn.XLOOKUP(F127,Apuração!A:A,Apuração!B:B))</f>
        <v>0.25</v>
      </c>
      <c r="BM127" s="55" cm="1">
        <f t="array" ref="BM127">IFERROR(
   INDEX($AW$1:$BH$1,
      _xlfn.AGGREGATE(14, 6, COLUMN($AW$1:$BH$1)/(AW127:BH127&lt;&gt;""), 2) - COLUMN($AW$1) + 1
   ),
"")</f>
        <v>46082</v>
      </c>
      <c r="BN127" s="55" cm="1">
        <f t="array" ref="BN127">IFERROR(INDEX($AW$1:$BH$1,1,MATCH(2,1/(AW127:BH127&lt;&gt;""))),"")</f>
        <v>46113</v>
      </c>
      <c r="BO127" s="53">
        <f ca="1">IFERROR(_xlfn.XLOOKUP(F127,Apuração!A:A,Apuração!C:C)/_xlfn.XLOOKUP(F127,Apuração!A:A,Apuração!B:B),0)</f>
        <v>0.41666666666666669</v>
      </c>
      <c r="BP127" s="53">
        <f ca="1">IFERROR(_xlfn.XLOOKUP(F127,Apuração!A:A,Apuração!D:D)/_xlfn.XLOOKUP(F127,Apuração!A:A,Apuração!B:B),0)</f>
        <v>0.33333333333333331</v>
      </c>
      <c r="BQ127" s="53">
        <f ca="1">IF(BK127&gt;=BO127,0,_xlfn.XLOOKUP(F127,Apuração!A:A,Apuração!B:B)*(BO127 + (1/_xlfn.XLOOKUP(F127,Apuração!A:A,Apuração!B:B)) - BK127))</f>
        <v>1.8499999999999994</v>
      </c>
      <c r="BR127" s="85">
        <f t="shared" ca="1" si="261"/>
        <v>175.74999999999994</v>
      </c>
      <c r="BS127" s="53">
        <f ca="1">IFERROR((_xlfn.XLOOKUP(F127,Apuração!A:A,Apuração!C:C)+1)/_xlfn.XLOOKUP(F127,Apuração!A:A,Apuração!B:B),0)</f>
        <v>0.5</v>
      </c>
    </row>
    <row r="128" spans="1:71" ht="25.95" hidden="1" customHeight="1" x14ac:dyDescent="0.3">
      <c r="A128" s="23" t="s">
        <v>134</v>
      </c>
      <c r="B128" s="4" t="s">
        <v>142</v>
      </c>
      <c r="C128" s="5" t="s">
        <v>35</v>
      </c>
      <c r="D128" s="5" t="s">
        <v>47</v>
      </c>
      <c r="E128" s="4" t="str" cm="1">
        <f t="array" ref="E128">_xlfn.IFS(
F128 = "A partir de Abril", "Aguardando Execução na Distribuidora",
A128 = "CAPACITAÇÃO", "Em execução no Corporativo",
TRUE, "Em Execução na Distribuidora"
)</f>
        <v>Em Execução na Distribuidora</v>
      </c>
      <c r="F128" s="4" t="str" cm="1">
        <f t="array" ref="F128">_xlfn.IFS(
AG128 &lt;&gt; "", "Jan-Dez/26",
AH128 &lt;&gt; "", "Fev-Dez/26",
AI128 &lt;&gt; "", "Mar-Dez/26", AJ128 &lt;&gt; "", "Abr-Dez/26",
TRUE, "A partir de Junho"
)</f>
        <v>Jan-Dez/26</v>
      </c>
      <c r="G128" s="4" t="s">
        <v>37</v>
      </c>
      <c r="H128" s="7" t="s">
        <v>54</v>
      </c>
      <c r="I128" s="8" t="s">
        <v>143</v>
      </c>
      <c r="J128" s="8" t="str" cm="1">
        <f t="array" aca="1" ref="J128" ca="1">_xlfn.LET(
  _xlpm.actual_value_month, INDEX(T128:AE128, MATCH(DATE(YEAR(TODAY()), MONTH(TODAY()), 1), $T$1:$AE$1, 0)),
  IF(_xlpm.actual_value_month &lt;&gt; "",_xlpm.actual_value_month &amp; " equipes mensais", "")
)</f>
        <v>58 equipes mensais</v>
      </c>
      <c r="K128" s="8" t="str" cm="1">
        <f t="array" ref="K128">_xlfn.LET(
    _xlpm.sum_month, SUM(T128:AE128),
    IF(_xlpm.sum_month = 0, "", _xlpm.sum_month &amp; " equipes inspencionadas no ano")
)</f>
        <v>1178 equipes inspencionadas no ano</v>
      </c>
      <c r="L128" s="4" t="s">
        <v>144</v>
      </c>
      <c r="M128" s="24" t="s">
        <v>145</v>
      </c>
      <c r="N128" s="5" t="s">
        <v>42</v>
      </c>
      <c r="O128" s="5" t="s">
        <v>43</v>
      </c>
      <c r="P128" s="10" t="s">
        <v>146</v>
      </c>
      <c r="Q128" s="10" t="s">
        <v>44</v>
      </c>
      <c r="R128" s="11" t="s">
        <v>147</v>
      </c>
      <c r="S128" s="11" t="s">
        <v>44</v>
      </c>
      <c r="T128" s="143">
        <v>207</v>
      </c>
      <c r="U128" s="143">
        <v>217</v>
      </c>
      <c r="V128" s="143">
        <v>232</v>
      </c>
      <c r="W128" s="143">
        <v>58</v>
      </c>
      <c r="X128" s="143">
        <v>58</v>
      </c>
      <c r="Y128" s="143">
        <v>58</v>
      </c>
      <c r="Z128" s="143">
        <v>58</v>
      </c>
      <c r="AA128" s="143">
        <v>58</v>
      </c>
      <c r="AB128" s="143">
        <v>58</v>
      </c>
      <c r="AC128" s="143">
        <v>58</v>
      </c>
      <c r="AD128" s="143">
        <v>58</v>
      </c>
      <c r="AE128" s="143">
        <v>58</v>
      </c>
      <c r="AG128" s="145">
        <v>207</v>
      </c>
      <c r="AH128" s="145">
        <v>217</v>
      </c>
      <c r="AI128" s="145">
        <v>232</v>
      </c>
      <c r="AJ128" s="82">
        <v>176</v>
      </c>
      <c r="AK128" s="71"/>
      <c r="AL128" s="71"/>
      <c r="AM128" s="71"/>
      <c r="AN128" s="71"/>
      <c r="AO128" s="71"/>
      <c r="AP128" s="71"/>
      <c r="AQ128" s="71"/>
      <c r="AR128" s="71"/>
      <c r="AS128" s="94">
        <f t="shared" ref="AS128:AS129" ca="1" si="318">IF(MONTH(TODAY())=3,SUM(T128:U128),IF(MONTH(TODAY())=4,SUM(T128:V128),IF(MONTH(TODAY())=5,SUM(T128:W128),IF(MONTH(TODAY())=6,SUM(T128:X128),IF(MONTH(TODAY())=7,SUM(T128:Y128),IF(MONTH(TODAY())=8,SUM(T128:Z128),IF(MONTH(TODAY())=9,SUM(T128:AA128),IF(MONTH(TODAY())=10,SUM(T128:AB128),IF(MONTH(TODAY())=11,SUM(T128:AC128),IF(MONTH(TODAY())=12,SUM(T128:AD128),IF(MONTH(TODAY())=1,SUM(T128:AE128),T128)))))))))))</f>
        <v>772</v>
      </c>
      <c r="AT128" s="95">
        <f t="shared" ref="AT128:AT129" si="319">SUM(IF(AW128&lt;1.15,AG128,1.15*T128),IF(AX128&lt;1.15,AH128,1.15*U128),IF(AY128&lt;1.15,AI128,1.15*V128),IF(AZ128&lt;1.15,AJ128,1.15*W128),IF(BA128&lt;1.15,AK128,1.15*X128),IF(BB128&lt;1.15,AL128,1.15*Y128),IF(BC128&lt;1.15,AM128,1.15*Z128),IF(BD128&lt;1.15,AN128,1.15*AA128),IF(BE128&lt;1.15,AO128,1.15*AB128),IF(BF128&lt;1.15,AP128,1.15*AC128),IF(BG128&lt;1.15,AQ128,1.15*AD128),IF(BH128&lt;1.15,AR128,1.15*AE128))</f>
        <v>722.7</v>
      </c>
      <c r="AU128" s="97">
        <f t="shared" ref="AU128:AU129" si="320">SUM(AG128:AR128)</f>
        <v>832</v>
      </c>
      <c r="AW128" s="51">
        <f t="shared" ref="AW128:AW129" si="321">IFERROR(IF(AG128="",0,AG128/T128),0)</f>
        <v>1</v>
      </c>
      <c r="AX128" s="51">
        <f t="shared" ref="AX128:AX129" si="322">IFERROR(IF(AH128="",0,AH128/U128),0)</f>
        <v>1</v>
      </c>
      <c r="AY128" s="51">
        <f t="shared" ref="AY128:AY129" si="323">IFERROR(IF(AI128="",0,AI128/V128),0)</f>
        <v>1</v>
      </c>
      <c r="AZ128" s="51">
        <f t="shared" ref="AZ128:AZ129" si="324">IFERROR(IF(AJ128="",0,AJ128/W128),0)</f>
        <v>3.0344827586206895</v>
      </c>
      <c r="BA128" s="51"/>
      <c r="BB128" s="51"/>
      <c r="BC128" s="51"/>
      <c r="BD128" s="51"/>
      <c r="BE128" s="51"/>
      <c r="BF128" s="51"/>
      <c r="BG128" s="51"/>
      <c r="BH128" s="51"/>
      <c r="BI128" s="65" cm="1">
        <f t="array" ref="BI128">IFERROR(INDEX(AW128:BH128,1,MATCH(2,1/(AW128:BH128&lt;&gt;""))),"")</f>
        <v>3.0344827586206895</v>
      </c>
      <c r="BJ128" s="68" cm="1">
        <f t="array" ref="BJ128">IF(BM128 = "", "",IFERROR(INDEX(AW128:BH128,1,MATCH(2,1/(AW128:BH128&lt;&gt;""),1)-1),""))</f>
        <v>1</v>
      </c>
      <c r="BK128" s="58">
        <f>IF((IF(AW128&gt;=115%,115%,AW128) + IF(AX128&gt;=115%,115%,AX128) + IF(AY128&gt;=115%,115%,AY128) + (IF(AZ128&gt;=115%,115%,AZ128) + IF(BA128&gt;=115%,115%,BA128) + IF(BB128&gt;=115%,115%,BB128) + IF(BC128&gt;=118%,118%,BC128) + IF(BD128&gt;=121%,121%,BD128) + IF(BE128&gt;=115%,115%,BE128) + IF(BF128&gt;=121%,121%,BF128) + IF(BG128&gt;=115%,115%,BG128) + IF(BH128&gt;=115%,115%,BH128)))/_xlfn.XLOOKUP(F128,Apuração!A:A,Apuração!B:B)&gt;=1.15,1.15,((IF(AZ128&gt;=115%,115%,AZ128) + IF(AX128&gt;=115%,115%,AX128) + IF(AY128&gt;=115%,115%,AY128) + (IF(AW128&gt;=115%,115%,AW128) + IF(BA128&gt;=115%,115%,BA128) + IF(BB128&gt;=115%,115%,BB128) + IF(BC128&gt;=118%,118%,BC128) + IF(BD128&gt;=121%,121%,BD128) + IF(BE128&gt;=115%,115%,BE128) + IF(BF128&gt;=121%,121%,BF128) + IF(BG128&gt;=115%,115%,BG128) + IF(BH128&gt;=115%,115%,BH128)))/_xlfn.XLOOKUP(F128,Apuração!A:A,Apuração!B:B)))</f>
        <v>0.34583333333333338</v>
      </c>
      <c r="BL128" s="58" cm="1">
        <f t="array" aca="1" ref="BL128" ca="1">IF(SUM(IFERROR(IF(INDEX(AW128:INDEX(AW128:BH128, MATCH(2, 1/(AW128:BH128&lt;&gt;""), 1)-1), ROW(INDIRECT("1:" &amp; MATCH(2, 1/(AW128:BH128&lt;&gt;""), 1)-1))) &gt;= 115%, 115%, INDEX(AW128:INDEX(AW128:BH128, MATCH(2, 1/(AW128:BH128&lt;&gt;""), 1)-1), ROW(INDIRECT("1:" &amp; MATCH(2, 1/(AW128:BH128&lt;&gt;""), 1)-1)))), 0))/_xlfn.XLOOKUP(F128,Apuração!A:A,Apuração!B:B)&gt;=1.15,1.15,SUM(IFERROR(IF(INDEX(AW128:INDEX(AW128:BH128, MATCH(2, 1/(AW128:BH128&lt;&gt;""), 1)-1), ROW(INDIRECT("1:" &amp; MATCH(2, 1/(AW128:BH128&lt;&gt;""), 1)-1))) &gt;= 115%, 115%, INDEX(AW128:INDEX(AW128:BH128, MATCH(2, 1/(AW128:BH128&lt;&gt;""), 1)-1), ROW(INDIRECT("1:" &amp; MATCH(2, 1/(AW128:BH128&lt;&gt;""), 1)-1)))), 0))/_xlfn.XLOOKUP(F128,Apuração!A:A,Apuração!B:B))</f>
        <v>0.25</v>
      </c>
      <c r="BM128" s="55" cm="1">
        <f t="array" ref="BM128">IFERROR(
   INDEX($AW$1:$BH$1,
      _xlfn.AGGREGATE(14, 6, COLUMN($AW$1:$BH$1)/(AW128:BH128&lt;&gt;""), 2) - COLUMN($AW$1) + 1
   ),
"")</f>
        <v>46082</v>
      </c>
      <c r="BN128" s="55" cm="1">
        <f t="array" ref="BN128">IFERROR(INDEX($AW$1:$BH$1,1,MATCH(2,1/(AW128:BH128&lt;&gt;""))),"")</f>
        <v>46113</v>
      </c>
      <c r="BO128" s="53">
        <f ca="1">IFERROR(_xlfn.XLOOKUP(F128,Apuração!A:A,Apuração!C:C)/_xlfn.XLOOKUP(F128,Apuração!A:A,Apuração!B:B),0)</f>
        <v>0.41666666666666669</v>
      </c>
      <c r="BP128" s="53">
        <f ca="1">IFERROR(_xlfn.XLOOKUP(F128,Apuração!A:A,Apuração!D:D)/_xlfn.XLOOKUP(F128,Apuração!A:A,Apuração!B:B),0)</f>
        <v>0.33333333333333331</v>
      </c>
      <c r="BQ128" s="53">
        <f ca="1">IF(BK128&gt;=BO128,0,_xlfn.XLOOKUP(F128,Apuração!A:A,Apuração!B:B)*(BO128 + (1/_xlfn.XLOOKUP(F128,Apuração!A:A,Apuração!B:B)) - BK128))</f>
        <v>1.8499999999999994</v>
      </c>
      <c r="BR128" s="85">
        <f t="shared" ref="BR128:BR129" ca="1" si="325">IF(BQ128=0,0,BQ128*Z128)</f>
        <v>107.29999999999997</v>
      </c>
      <c r="BS128" s="53">
        <f ca="1">IFERROR((_xlfn.XLOOKUP(F128,Apuração!A:A,Apuração!C:C)+1)/_xlfn.XLOOKUP(F128,Apuração!A:A,Apuração!B:B),0)</f>
        <v>0.5</v>
      </c>
    </row>
    <row r="129" spans="1:71" ht="25.95" hidden="1" customHeight="1" x14ac:dyDescent="0.3">
      <c r="A129" s="23" t="s">
        <v>134</v>
      </c>
      <c r="B129" s="4" t="s">
        <v>142</v>
      </c>
      <c r="C129" s="5" t="s">
        <v>35</v>
      </c>
      <c r="D129" s="5" t="s">
        <v>48</v>
      </c>
      <c r="E129" s="4" t="str" cm="1">
        <f t="array" ref="E129">_xlfn.IFS(
F129 = "A partir de Abril", "Aguardando Execução na Distribuidora",
A129 = "CAPACITAÇÃO", "Em execução no Corporativo",
TRUE, "Em Execução na Distribuidora"
)</f>
        <v>Em Execução na Distribuidora</v>
      </c>
      <c r="F129" s="4" t="str" cm="1">
        <f t="array" ref="F129">_xlfn.IFS(
AG129 &lt;&gt; "", "Jan-Dez/26",
AH129 &lt;&gt; "", "Fev-Dez/26",
AI129 &lt;&gt; "", "Mar-Dez/26", AJ129 &lt;&gt; "", "Abr-Dez/26",
TRUE, "A partir de Junho"
)</f>
        <v>Jan-Dez/26</v>
      </c>
      <c r="G129" s="4" t="s">
        <v>37</v>
      </c>
      <c r="H129" s="7" t="s">
        <v>54</v>
      </c>
      <c r="I129" s="8" t="s">
        <v>143</v>
      </c>
      <c r="J129" s="8" t="str" cm="1">
        <f t="array" aca="1" ref="J129" ca="1">_xlfn.LET(
  _xlpm.actual_value_month, INDEX(T129:AE129, MATCH(DATE(YEAR(TODAY()), MONTH(TODAY()), 1), $T$1:$AE$1, 0)),
  IF(_xlpm.actual_value_month &lt;&gt; "",_xlpm.actual_value_month &amp; " equipes mensais", "")
)</f>
        <v>37 equipes mensais</v>
      </c>
      <c r="K129" s="8" t="str" cm="1">
        <f t="array" ref="K129">_xlfn.LET(
    _xlpm.sum_month, SUM(T129:AE129),
    IF(_xlpm.sum_month = 0, "", _xlpm.sum_month &amp; " equipes inspencionadas no ano")
)</f>
        <v>738 equipes inspencionadas no ano</v>
      </c>
      <c r="L129" s="4" t="s">
        <v>144</v>
      </c>
      <c r="M129" s="24" t="s">
        <v>145</v>
      </c>
      <c r="N129" s="5" t="s">
        <v>42</v>
      </c>
      <c r="O129" s="5" t="s">
        <v>43</v>
      </c>
      <c r="P129" s="10" t="s">
        <v>146</v>
      </c>
      <c r="Q129" s="10" t="s">
        <v>44</v>
      </c>
      <c r="R129" s="11" t="s">
        <v>147</v>
      </c>
      <c r="S129" s="11" t="s">
        <v>44</v>
      </c>
      <c r="T129" s="143">
        <v>176</v>
      </c>
      <c r="U129" s="143">
        <v>159</v>
      </c>
      <c r="V129" s="143">
        <v>70</v>
      </c>
      <c r="W129" s="143">
        <v>37</v>
      </c>
      <c r="X129" s="143">
        <v>37</v>
      </c>
      <c r="Y129" s="143">
        <v>37</v>
      </c>
      <c r="Z129" s="143">
        <v>37</v>
      </c>
      <c r="AA129" s="143">
        <v>37</v>
      </c>
      <c r="AB129" s="143">
        <v>37</v>
      </c>
      <c r="AC129" s="143">
        <v>37</v>
      </c>
      <c r="AD129" s="143">
        <v>37</v>
      </c>
      <c r="AE129" s="143">
        <v>37</v>
      </c>
      <c r="AG129" s="82">
        <v>176</v>
      </c>
      <c r="AH129" s="82">
        <v>159</v>
      </c>
      <c r="AI129" s="82">
        <v>70</v>
      </c>
      <c r="AJ129" s="82">
        <v>173</v>
      </c>
      <c r="AK129" s="71"/>
      <c r="AL129" s="71"/>
      <c r="AM129" s="71"/>
      <c r="AN129" s="71"/>
      <c r="AO129" s="71"/>
      <c r="AP129" s="71"/>
      <c r="AQ129" s="71"/>
      <c r="AR129" s="71"/>
      <c r="AS129" s="94">
        <f t="shared" ca="1" si="318"/>
        <v>479</v>
      </c>
      <c r="AT129" s="95">
        <f t="shared" si="319"/>
        <v>447.55</v>
      </c>
      <c r="AU129" s="97">
        <f t="shared" si="320"/>
        <v>578</v>
      </c>
      <c r="AW129" s="51">
        <f t="shared" si="321"/>
        <v>1</v>
      </c>
      <c r="AX129" s="51">
        <f t="shared" si="322"/>
        <v>1</v>
      </c>
      <c r="AY129" s="51">
        <f t="shared" si="323"/>
        <v>1</v>
      </c>
      <c r="AZ129" s="51">
        <f t="shared" si="324"/>
        <v>4.6756756756756754</v>
      </c>
      <c r="BA129" s="51"/>
      <c r="BB129" s="51"/>
      <c r="BC129" s="51"/>
      <c r="BD129" s="51"/>
      <c r="BE129" s="51"/>
      <c r="BF129" s="51"/>
      <c r="BG129" s="51"/>
      <c r="BH129" s="51"/>
      <c r="BI129" s="65" cm="1">
        <f t="array" ref="BI129">IFERROR(INDEX(AW129:BH129,1,MATCH(2,1/(AW129:BH129&lt;&gt;""))),"")</f>
        <v>4.6756756756756754</v>
      </c>
      <c r="BJ129" s="68" cm="1">
        <f t="array" ref="BJ129">IF(BM129 = "", "",IFERROR(INDEX(AW129:BH129,1,MATCH(2,1/(AW129:BH129&lt;&gt;""),1)-1),""))</f>
        <v>1</v>
      </c>
      <c r="BK129" s="58">
        <f>IF((IF(AW129&gt;=115%,115%,AW129) + IF(AX129&gt;=115%,115%,AX129) + IF(AY129&gt;=115%,115%,AY129) + (IF(AZ129&gt;=115%,115%,AZ129) + IF(BA129&gt;=115%,115%,BA129) + IF(BB129&gt;=115%,115%,BB129) + IF(BC129&gt;=118%,118%,BC129) + IF(BD129&gt;=121%,121%,BD129) + IF(BE129&gt;=115%,115%,BE129) + IF(BF129&gt;=121%,121%,BF129) + IF(BG129&gt;=115%,115%,BG129) + IF(BH129&gt;=115%,115%,BH129)))/_xlfn.XLOOKUP(F129,Apuração!A:A,Apuração!B:B)&gt;=1.15,1.15,((IF(AZ129&gt;=115%,115%,AZ129) + IF(AX129&gt;=115%,115%,AX129) + IF(AY129&gt;=115%,115%,AY129) + (IF(AW129&gt;=115%,115%,AW129) + IF(BA129&gt;=115%,115%,BA129) + IF(BB129&gt;=115%,115%,BB129) + IF(BC129&gt;=118%,118%,BC129) + IF(BD129&gt;=121%,121%,BD129) + IF(BE129&gt;=115%,115%,BE129) + IF(BF129&gt;=121%,121%,BF129) + IF(BG129&gt;=115%,115%,BG129) + IF(BH129&gt;=115%,115%,BH129)))/_xlfn.XLOOKUP(F129,Apuração!A:A,Apuração!B:B)))</f>
        <v>0.34583333333333338</v>
      </c>
      <c r="BL129" s="58" cm="1">
        <f t="array" aca="1" ref="BL129" ca="1">IF(SUM(IFERROR(IF(INDEX(AW129:INDEX(AW129:BH129, MATCH(2, 1/(AW129:BH129&lt;&gt;""), 1)-1), ROW(INDIRECT("1:" &amp; MATCH(2, 1/(AW129:BH129&lt;&gt;""), 1)-1))) &gt;= 115%, 115%, INDEX(AW129:INDEX(AW129:BH129, MATCH(2, 1/(AW129:BH129&lt;&gt;""), 1)-1), ROW(INDIRECT("1:" &amp; MATCH(2, 1/(AW129:BH129&lt;&gt;""), 1)-1)))), 0))/_xlfn.XLOOKUP(F129,Apuração!A:A,Apuração!B:B)&gt;=1.15,1.15,SUM(IFERROR(IF(INDEX(AW129:INDEX(AW129:BH129, MATCH(2, 1/(AW129:BH129&lt;&gt;""), 1)-1), ROW(INDIRECT("1:" &amp; MATCH(2, 1/(AW129:BH129&lt;&gt;""), 1)-1))) &gt;= 115%, 115%, INDEX(AW129:INDEX(AW129:BH129, MATCH(2, 1/(AW129:BH129&lt;&gt;""), 1)-1), ROW(INDIRECT("1:" &amp; MATCH(2, 1/(AW129:BH129&lt;&gt;""), 1)-1)))), 0))/_xlfn.XLOOKUP(F129,Apuração!A:A,Apuração!B:B))</f>
        <v>0.25</v>
      </c>
      <c r="BM129" s="55" cm="1">
        <f t="array" ref="BM129">IFERROR(
   INDEX($AW$1:$BH$1,
      _xlfn.AGGREGATE(14, 6, COLUMN($AW$1:$BH$1)/(AW129:BH129&lt;&gt;""), 2) - COLUMN($AW$1) + 1
   ),
"")</f>
        <v>46082</v>
      </c>
      <c r="BN129" s="55" cm="1">
        <f t="array" ref="BN129">IFERROR(INDEX($AW$1:$BH$1,1,MATCH(2,1/(AW129:BH129&lt;&gt;""))),"")</f>
        <v>46113</v>
      </c>
      <c r="BO129" s="53">
        <f ca="1">IFERROR(_xlfn.XLOOKUP(F129,Apuração!A:A,Apuração!C:C)/_xlfn.XLOOKUP(F129,Apuração!A:A,Apuração!B:B),0)</f>
        <v>0.41666666666666669</v>
      </c>
      <c r="BP129" s="53">
        <f ca="1">IFERROR(_xlfn.XLOOKUP(F129,Apuração!A:A,Apuração!D:D)/_xlfn.XLOOKUP(F129,Apuração!A:A,Apuração!B:B),0)</f>
        <v>0.33333333333333331</v>
      </c>
      <c r="BQ129" s="53">
        <f ca="1">IF(BK129&gt;=BO129,0,_xlfn.XLOOKUP(F129,Apuração!A:A,Apuração!B:B)*(BO129 + (1/_xlfn.XLOOKUP(F129,Apuração!A:A,Apuração!B:B)) - BK129))</f>
        <v>1.8499999999999994</v>
      </c>
      <c r="BR129" s="85">
        <f t="shared" ca="1" si="325"/>
        <v>68.449999999999974</v>
      </c>
      <c r="BS129" s="53">
        <f ca="1">IFERROR((_xlfn.XLOOKUP(F129,Apuração!A:A,Apuração!C:C)+1)/_xlfn.XLOOKUP(F129,Apuração!A:A,Apuração!B:B),0)</f>
        <v>0.5</v>
      </c>
    </row>
    <row r="130" spans="1:71" ht="25.95" hidden="1" customHeight="1" x14ac:dyDescent="0.3">
      <c r="A130" s="42" t="s">
        <v>134</v>
      </c>
      <c r="B130" s="4" t="s">
        <v>142</v>
      </c>
      <c r="C130" s="5" t="s">
        <v>35</v>
      </c>
      <c r="D130" s="5" t="s">
        <v>36</v>
      </c>
      <c r="E130" s="4" t="str" cm="1">
        <f t="array" ref="E130">_xlfn.IFS(
F130 = "A partir de Abril", "Aguardando Execução na Distribuidora",
A130 = "CAPACITAÇÃO", "Em execução no Corporativo",
TRUE, "Em Execução na Distribuidora"
)</f>
        <v>Em Execução na Distribuidora</v>
      </c>
      <c r="F130" s="4" t="str" cm="1">
        <f t="array" ref="F130">_xlfn.IFS(
AG130 &lt;&gt; "", "Jan-Dez/26",
AH130 &lt;&gt; "", "Fev-Dez/26",
AI130 &lt;&gt; "", "Mar-Dez/26", AJ130 &lt;&gt; "", "Abr-Dez/26",
TRUE, "A partir de Junho"
)</f>
        <v>Jan-Dez/26</v>
      </c>
      <c r="G130" s="4" t="s">
        <v>37</v>
      </c>
      <c r="H130" s="7" t="s">
        <v>54</v>
      </c>
      <c r="I130" s="8" t="s">
        <v>148</v>
      </c>
      <c r="J130" s="8" t="str" cm="1">
        <f t="array" aca="1" ref="J130" ca="1">_xlfn.LET(
  _xlpm.actual_value_month, INDEX(T130:AE130, MATCH(DATE(YEAR(TODAY()), MONTH(TODAY()), 1), $T$1:$AE$1, 0)),
  IF(_xlpm.actual_value_month &lt;&gt; "",_xlpm.actual_value_month &amp; " ações mensais", "")
)</f>
        <v/>
      </c>
      <c r="K130" s="8" t="str" cm="1">
        <f t="array" ref="K130">_xlfn.LET(
    _xlpm.sum_month, SUM(T130:AE130),
    IF(_xlpm.sum_month = 0, "", _xlpm.sum_month &amp; " NC's no ano")
)</f>
        <v/>
      </c>
      <c r="L130" s="9" t="s">
        <v>149</v>
      </c>
      <c r="M130" s="24"/>
      <c r="N130" s="5" t="s">
        <v>51</v>
      </c>
      <c r="O130" s="5" t="s">
        <v>52</v>
      </c>
      <c r="P130" s="10" t="s">
        <v>44</v>
      </c>
      <c r="Q130" s="10" t="s">
        <v>44</v>
      </c>
      <c r="R130" s="11" t="s">
        <v>44</v>
      </c>
      <c r="S130" s="11" t="s">
        <v>44</v>
      </c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G130" s="145">
        <v>60</v>
      </c>
      <c r="AH130" s="149">
        <v>70</v>
      </c>
      <c r="AI130" s="149">
        <v>64</v>
      </c>
      <c r="AJ130" s="149">
        <v>89</v>
      </c>
      <c r="AK130" s="71"/>
      <c r="AL130" s="71"/>
      <c r="AM130" s="71"/>
      <c r="AN130" s="71"/>
      <c r="AO130" s="71"/>
      <c r="AP130" s="71"/>
      <c r="AQ130" s="71"/>
      <c r="AR130" s="71"/>
      <c r="AS130" s="94">
        <f t="shared" ca="1" si="287"/>
        <v>0</v>
      </c>
      <c r="AT130" s="95">
        <f>SUM(AG130:AR130)</f>
        <v>283</v>
      </c>
      <c r="AU130" s="97">
        <f t="shared" si="288"/>
        <v>283</v>
      </c>
      <c r="AW130" s="83">
        <f>AG130</f>
        <v>60</v>
      </c>
      <c r="AX130" s="83">
        <f t="shared" ref="AX130" si="326">AH130</f>
        <v>70</v>
      </c>
      <c r="AY130" s="83">
        <f t="shared" ref="AY130" si="327">AI130</f>
        <v>64</v>
      </c>
      <c r="AZ130" s="83">
        <f t="shared" ref="AZ130" si="328">AJ130</f>
        <v>89</v>
      </c>
      <c r="BA130" s="52"/>
      <c r="BB130" s="52"/>
      <c r="BC130" s="52"/>
      <c r="BD130" s="52"/>
      <c r="BE130" s="52"/>
      <c r="BF130" s="52"/>
      <c r="BG130" s="52"/>
      <c r="BH130" s="52"/>
      <c r="BI130" s="68" cm="1">
        <f t="array" ref="BI130">IFERROR(INDEX(AW130:BH130,1,MATCH(2,1/(AW130:BH130&lt;&gt;""))),"")</f>
        <v>89</v>
      </c>
      <c r="BJ130" s="68" cm="1">
        <f t="array" ref="BJ130">IF(BM130 = "", "",IFERROR(INDEX(AW130:BH130,1,MATCH(2,1/(AW130:BH130&lt;&gt;""),1)-1),""))</f>
        <v>64</v>
      </c>
      <c r="BK130" s="59">
        <f>SUM(AW130:BH130)</f>
        <v>283</v>
      </c>
      <c r="BL130" s="59" cm="1">
        <f t="array" ref="BL130">IFERROR(SUM(AW130:INDEX(AW130:BH130, MATCH(2, 1/(AW130:BH130&lt;&gt;""), 1) - 1))/_xlfn.XLOOKUP(F130,Apuração!A:A,Apuração!B:B),0)</f>
        <v>16.166666666666668</v>
      </c>
      <c r="BM130" s="55" cm="1">
        <f t="array" ref="BM130">IFERROR(
   INDEX($AW$1:$BH$1,
      _xlfn.AGGREGATE(14, 6, COLUMN($AW$1:$BH$1)/(AW130:BH130&lt;&gt;""), 2) - COLUMN($AW$1) + 1
   ),
"")</f>
        <v>46082</v>
      </c>
      <c r="BN130" s="55" cm="1">
        <f t="array" ref="BN130">IFERROR(INDEX($AW$1:$BH$1,1,MATCH(2,1/(AW130:BH130&lt;&gt;""))),"")</f>
        <v>46113</v>
      </c>
      <c r="BO130" s="53">
        <f ca="1">IFERROR(_xlfn.XLOOKUP(F130,Apuração!A:A,Apuração!C:C)/_xlfn.XLOOKUP(F130,Apuração!A:A,Apuração!B:B),0)</f>
        <v>0.41666666666666669</v>
      </c>
      <c r="BP130" s="53">
        <f ca="1">IFERROR(_xlfn.XLOOKUP(F130,Apuração!A:A,Apuração!D:D)/_xlfn.XLOOKUP(F130,Apuração!A:A,Apuração!B:B),0)</f>
        <v>0.33333333333333331</v>
      </c>
      <c r="BQ130" s="53">
        <f ca="1">IF(BK130&gt;=BO130,0,_xlfn.XLOOKUP(F130,Apuração!A:A,Apuração!B:B)*(BO130 + (1/_xlfn.XLOOKUP(F130,Apuração!A:A,Apuração!B:B)) - BK130))</f>
        <v>0</v>
      </c>
      <c r="BR130" s="85">
        <f t="shared" ca="1" si="261"/>
        <v>0</v>
      </c>
      <c r="BS130" s="53">
        <f ca="1">IFERROR((_xlfn.XLOOKUP(F130,Apuração!A:A,Apuração!C:C)+1)/_xlfn.XLOOKUP(F130,Apuração!A:A,Apuração!B:B),0)</f>
        <v>0.5</v>
      </c>
    </row>
    <row r="131" spans="1:71" ht="25.95" hidden="1" customHeight="1" x14ac:dyDescent="0.3">
      <c r="A131" s="42" t="s">
        <v>134</v>
      </c>
      <c r="B131" s="4" t="s">
        <v>142</v>
      </c>
      <c r="C131" s="5" t="s">
        <v>35</v>
      </c>
      <c r="D131" s="5" t="s">
        <v>47</v>
      </c>
      <c r="E131" s="4" t="str" cm="1">
        <f t="array" ref="E131">_xlfn.IFS(
F131 = "A partir de Abril", "Aguardando Execução na Distribuidora",
A131 = "CAPACITAÇÃO", "Em execução no Corporativo",
TRUE, "Em Execução na Distribuidora"
)</f>
        <v>Em Execução na Distribuidora</v>
      </c>
      <c r="F131" s="4" t="str" cm="1">
        <f t="array" ref="F131">_xlfn.IFS(
AG131 &lt;&gt; "", "Jan-Dez/26",
AH131 &lt;&gt; "", "Fev-Dez/26",
AI131 &lt;&gt; "", "Mar-Dez/26", AJ131 &lt;&gt; "", "Abr-Dez/26",
TRUE, "A partir de Junho"
)</f>
        <v>Jan-Dez/26</v>
      </c>
      <c r="G131" s="4" t="s">
        <v>37</v>
      </c>
      <c r="H131" s="7" t="s">
        <v>54</v>
      </c>
      <c r="I131" s="8" t="s">
        <v>148</v>
      </c>
      <c r="J131" s="8" t="str" cm="1">
        <f t="array" aca="1" ref="J131" ca="1">_xlfn.LET(
  _xlpm.actual_value_month, INDEX(T131:AE131, MATCH(DATE(YEAR(TODAY()), MONTH(TODAY()), 1), $T$1:$AE$1, 0)),
  IF(_xlpm.actual_value_month &lt;&gt; "",_xlpm.actual_value_month &amp; " ações mensais", "")
)</f>
        <v/>
      </c>
      <c r="K131" s="8" t="str" cm="1">
        <f t="array" ref="K131">_xlfn.LET(
    _xlpm.sum_month, SUM(T131:AE131),
    IF(_xlpm.sum_month = 0, "", _xlpm.sum_month &amp; " NC's no ano")
)</f>
        <v/>
      </c>
      <c r="L131" s="9" t="s">
        <v>149</v>
      </c>
      <c r="M131" s="24"/>
      <c r="N131" s="5" t="s">
        <v>51</v>
      </c>
      <c r="O131" s="5" t="s">
        <v>52</v>
      </c>
      <c r="P131" s="10" t="s">
        <v>44</v>
      </c>
      <c r="Q131" s="10" t="s">
        <v>44</v>
      </c>
      <c r="R131" s="11" t="s">
        <v>44</v>
      </c>
      <c r="S131" s="11" t="s">
        <v>44</v>
      </c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G131" s="82">
        <v>20</v>
      </c>
      <c r="AH131" s="82">
        <v>49</v>
      </c>
      <c r="AI131" s="82">
        <v>43</v>
      </c>
      <c r="AJ131" s="82">
        <v>37</v>
      </c>
      <c r="AK131" s="71"/>
      <c r="AL131" s="71"/>
      <c r="AM131" s="71"/>
      <c r="AN131" s="71"/>
      <c r="AO131" s="71"/>
      <c r="AP131" s="71"/>
      <c r="AQ131" s="71"/>
      <c r="AR131" s="71"/>
      <c r="AS131" s="94">
        <f t="shared" ref="AS131:AS132" ca="1" si="329">IF(MONTH(TODAY())=3,SUM(T131:U131),IF(MONTH(TODAY())=4,SUM(T131:V131),IF(MONTH(TODAY())=5,SUM(T131:W131),IF(MONTH(TODAY())=6,SUM(T131:X131),IF(MONTH(TODAY())=7,SUM(T131:Y131),IF(MONTH(TODAY())=8,SUM(T131:Z131),IF(MONTH(TODAY())=9,SUM(T131:AA131),IF(MONTH(TODAY())=10,SUM(T131:AB131),IF(MONTH(TODAY())=11,SUM(T131:AC131),IF(MONTH(TODAY())=12,SUM(T131:AD131),IF(MONTH(TODAY())=1,SUM(T131:AE131),T131)))))))))))</f>
        <v>0</v>
      </c>
      <c r="AT131" s="95">
        <f t="shared" ref="AT131:AT132" si="330">SUM(AG131:AR131)</f>
        <v>149</v>
      </c>
      <c r="AU131" s="97">
        <f t="shared" ref="AU131:AU132" si="331">SUM(AG131:AR131)</f>
        <v>149</v>
      </c>
      <c r="AW131" s="83">
        <f t="shared" ref="AW131:AW132" si="332">AG131</f>
        <v>20</v>
      </c>
      <c r="AX131" s="83">
        <f t="shared" ref="AX131:AX132" si="333">AH131</f>
        <v>49</v>
      </c>
      <c r="AY131" s="83">
        <f t="shared" ref="AY131:AY132" si="334">AI131</f>
        <v>43</v>
      </c>
      <c r="AZ131" s="83">
        <f t="shared" ref="AZ131:AZ132" si="335">AJ131</f>
        <v>37</v>
      </c>
      <c r="BA131" s="52"/>
      <c r="BB131" s="52"/>
      <c r="BC131" s="52"/>
      <c r="BD131" s="52"/>
      <c r="BE131" s="52"/>
      <c r="BF131" s="52"/>
      <c r="BG131" s="52"/>
      <c r="BH131" s="52"/>
      <c r="BI131" s="68" cm="1">
        <f t="array" ref="BI131">IFERROR(INDEX(AW131:BH131,1,MATCH(2,1/(AW131:BH131&lt;&gt;""))),"")</f>
        <v>37</v>
      </c>
      <c r="BJ131" s="68" cm="1">
        <f t="array" ref="BJ131">IF(BM131 = "", "",IFERROR(INDEX(AW131:BH131,1,MATCH(2,1/(AW131:BH131&lt;&gt;""),1)-1),""))</f>
        <v>43</v>
      </c>
      <c r="BK131" s="59">
        <f t="shared" ref="BK131:BK132" si="336">SUM(AW131:BH131)</f>
        <v>149</v>
      </c>
      <c r="BL131" s="59" cm="1">
        <f t="array" ref="BL131">IFERROR(SUM(AW131:INDEX(AW131:BH131, MATCH(2, 1/(AW131:BH131&lt;&gt;""), 1) - 1))/_xlfn.XLOOKUP(F131,Apuração!A:A,Apuração!B:B),0)</f>
        <v>9.3333333333333339</v>
      </c>
      <c r="BM131" s="55" cm="1">
        <f t="array" ref="BM131">IFERROR(
   INDEX($AW$1:$BH$1,
      _xlfn.AGGREGATE(14, 6, COLUMN($AW$1:$BH$1)/(AW131:BH131&lt;&gt;""), 2) - COLUMN($AW$1) + 1
   ),
"")</f>
        <v>46082</v>
      </c>
      <c r="BN131" s="55" cm="1">
        <f t="array" ref="BN131">IFERROR(INDEX($AW$1:$BH$1,1,MATCH(2,1/(AW131:BH131&lt;&gt;""))),"")</f>
        <v>46113</v>
      </c>
      <c r="BO131" s="53">
        <f ca="1">IFERROR(_xlfn.XLOOKUP(F131,Apuração!A:A,Apuração!C:C)/_xlfn.XLOOKUP(F131,Apuração!A:A,Apuração!B:B),0)</f>
        <v>0.41666666666666669</v>
      </c>
      <c r="BP131" s="53">
        <f ca="1">IFERROR(_xlfn.XLOOKUP(F131,Apuração!A:A,Apuração!D:D)/_xlfn.XLOOKUP(F131,Apuração!A:A,Apuração!B:B),0)</f>
        <v>0.33333333333333331</v>
      </c>
      <c r="BQ131" s="53">
        <f ca="1">IF(BK131&gt;=BO131,0,_xlfn.XLOOKUP(F131,Apuração!A:A,Apuração!B:B)*(BO131 + (1/_xlfn.XLOOKUP(F131,Apuração!A:A,Apuração!B:B)) - BK131))</f>
        <v>0</v>
      </c>
      <c r="BR131" s="85">
        <f t="shared" ref="BR131:BR132" ca="1" si="337">IF(BQ131=0,0,BQ131*Z131)</f>
        <v>0</v>
      </c>
      <c r="BS131" s="53">
        <f ca="1">IFERROR((_xlfn.XLOOKUP(F131,Apuração!A:A,Apuração!C:C)+1)/_xlfn.XLOOKUP(F131,Apuração!A:A,Apuração!B:B),0)</f>
        <v>0.5</v>
      </c>
    </row>
    <row r="132" spans="1:71" ht="25.95" hidden="1" customHeight="1" x14ac:dyDescent="0.3">
      <c r="A132" s="42" t="s">
        <v>134</v>
      </c>
      <c r="B132" s="4" t="s">
        <v>142</v>
      </c>
      <c r="C132" s="5" t="s">
        <v>35</v>
      </c>
      <c r="D132" s="5" t="s">
        <v>48</v>
      </c>
      <c r="E132" s="4" t="str" cm="1">
        <f t="array" ref="E132">_xlfn.IFS(
F132 = "A partir de Abril", "Aguardando Execução na Distribuidora",
A132 = "CAPACITAÇÃO", "Em execução no Corporativo",
TRUE, "Em Execução na Distribuidora"
)</f>
        <v>Em Execução na Distribuidora</v>
      </c>
      <c r="F132" s="4" t="str" cm="1">
        <f t="array" ref="F132">_xlfn.IFS(
AG132 &lt;&gt; "", "Jan-Dez/26",
AH132 &lt;&gt; "", "Fev-Dez/26",
AI132 &lt;&gt; "", "Mar-Dez/26", AJ132 &lt;&gt; "", "Abr-Dez/26",
TRUE, "A partir de Junho"
)</f>
        <v>Jan-Dez/26</v>
      </c>
      <c r="G132" s="4" t="s">
        <v>37</v>
      </c>
      <c r="H132" s="7" t="s">
        <v>54</v>
      </c>
      <c r="I132" s="8" t="s">
        <v>148</v>
      </c>
      <c r="J132" s="8" t="str" cm="1">
        <f t="array" aca="1" ref="J132" ca="1">_xlfn.LET(
  _xlpm.actual_value_month, INDEX(T132:AE132, MATCH(DATE(YEAR(TODAY()), MONTH(TODAY()), 1), $T$1:$AE$1, 0)),
  IF(_xlpm.actual_value_month &lt;&gt; "",_xlpm.actual_value_month &amp; " ações mensais", "")
)</f>
        <v/>
      </c>
      <c r="K132" s="8" t="str" cm="1">
        <f t="array" ref="K132">_xlfn.LET(
    _xlpm.sum_month, SUM(T132:AE132),
    IF(_xlpm.sum_month = 0, "", _xlpm.sum_month &amp; " NC's no ano")
)</f>
        <v/>
      </c>
      <c r="L132" s="9" t="s">
        <v>149</v>
      </c>
      <c r="M132" s="24"/>
      <c r="N132" s="5" t="s">
        <v>51</v>
      </c>
      <c r="O132" s="5" t="s">
        <v>52</v>
      </c>
      <c r="P132" s="10" t="s">
        <v>44</v>
      </c>
      <c r="Q132" s="10" t="s">
        <v>44</v>
      </c>
      <c r="R132" s="11" t="s">
        <v>44</v>
      </c>
      <c r="S132" s="11" t="s">
        <v>44</v>
      </c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G132" s="82">
        <v>40</v>
      </c>
      <c r="AH132" s="82">
        <v>21</v>
      </c>
      <c r="AI132" s="82">
        <v>21</v>
      </c>
      <c r="AJ132" s="82">
        <v>52</v>
      </c>
      <c r="AK132" s="71"/>
      <c r="AL132" s="71"/>
      <c r="AM132" s="71"/>
      <c r="AN132" s="71"/>
      <c r="AO132" s="71"/>
      <c r="AP132" s="71"/>
      <c r="AQ132" s="71"/>
      <c r="AR132" s="71"/>
      <c r="AS132" s="94">
        <f t="shared" ca="1" si="329"/>
        <v>0</v>
      </c>
      <c r="AT132" s="95">
        <f t="shared" si="330"/>
        <v>134</v>
      </c>
      <c r="AU132" s="97">
        <f t="shared" si="331"/>
        <v>134</v>
      </c>
      <c r="AW132" s="83">
        <f t="shared" si="332"/>
        <v>40</v>
      </c>
      <c r="AX132" s="83">
        <f t="shared" si="333"/>
        <v>21</v>
      </c>
      <c r="AY132" s="83">
        <f t="shared" si="334"/>
        <v>21</v>
      </c>
      <c r="AZ132" s="83">
        <f t="shared" si="335"/>
        <v>52</v>
      </c>
      <c r="BA132" s="52"/>
      <c r="BB132" s="52"/>
      <c r="BC132" s="52"/>
      <c r="BD132" s="52"/>
      <c r="BE132" s="52"/>
      <c r="BF132" s="52"/>
      <c r="BG132" s="52"/>
      <c r="BH132" s="52"/>
      <c r="BI132" s="68" cm="1">
        <f t="array" ref="BI132">IFERROR(INDEX(AW132:BH132,1,MATCH(2,1/(AW132:BH132&lt;&gt;""))),"")</f>
        <v>52</v>
      </c>
      <c r="BJ132" s="68" cm="1">
        <f t="array" ref="BJ132">IF(BM132 = "", "",IFERROR(INDEX(AW132:BH132,1,MATCH(2,1/(AW132:BH132&lt;&gt;""),1)-1),""))</f>
        <v>21</v>
      </c>
      <c r="BK132" s="59">
        <f t="shared" si="336"/>
        <v>134</v>
      </c>
      <c r="BL132" s="59" cm="1">
        <f t="array" ref="BL132">IFERROR(SUM(AW132:INDEX(AW132:BH132, MATCH(2, 1/(AW132:BH132&lt;&gt;""), 1) - 1))/_xlfn.XLOOKUP(F132,Apuração!A:A,Apuração!B:B),0)</f>
        <v>6.833333333333333</v>
      </c>
      <c r="BM132" s="55" cm="1">
        <f t="array" ref="BM132">IFERROR(
   INDEX($AW$1:$BH$1,
      _xlfn.AGGREGATE(14, 6, COLUMN($AW$1:$BH$1)/(AW132:BH132&lt;&gt;""), 2) - COLUMN($AW$1) + 1
   ),
"")</f>
        <v>46082</v>
      </c>
      <c r="BN132" s="55" cm="1">
        <f t="array" ref="BN132">IFERROR(INDEX($AW$1:$BH$1,1,MATCH(2,1/(AW132:BH132&lt;&gt;""))),"")</f>
        <v>46113</v>
      </c>
      <c r="BO132" s="53">
        <f ca="1">IFERROR(_xlfn.XLOOKUP(F132,Apuração!A:A,Apuração!C:C)/_xlfn.XLOOKUP(F132,Apuração!A:A,Apuração!B:B),0)</f>
        <v>0.41666666666666669</v>
      </c>
      <c r="BP132" s="53">
        <f ca="1">IFERROR(_xlfn.XLOOKUP(F132,Apuração!A:A,Apuração!D:D)/_xlfn.XLOOKUP(F132,Apuração!A:A,Apuração!B:B),0)</f>
        <v>0.33333333333333331</v>
      </c>
      <c r="BQ132" s="53">
        <f ca="1">IF(BK132&gt;=BO132,0,_xlfn.XLOOKUP(F132,Apuração!A:A,Apuração!B:B)*(BO132 + (1/_xlfn.XLOOKUP(F132,Apuração!A:A,Apuração!B:B)) - BK132))</f>
        <v>0</v>
      </c>
      <c r="BR132" s="85">
        <f t="shared" ca="1" si="337"/>
        <v>0</v>
      </c>
      <c r="BS132" s="53">
        <f ca="1">IFERROR((_xlfn.XLOOKUP(F132,Apuração!A:A,Apuração!C:C)+1)/_xlfn.XLOOKUP(F132,Apuração!A:A,Apuração!B:B),0)</f>
        <v>0.5</v>
      </c>
    </row>
    <row r="133" spans="1:71" ht="25.95" hidden="1" customHeight="1" x14ac:dyDescent="0.3">
      <c r="A133" s="25" t="s">
        <v>134</v>
      </c>
      <c r="B133" s="15" t="s">
        <v>150</v>
      </c>
      <c r="C133" s="26" t="s">
        <v>35</v>
      </c>
      <c r="D133" s="5" t="s">
        <v>36</v>
      </c>
      <c r="E133" s="4" t="str" cm="1">
        <f t="array" ref="E133">_xlfn.IFS(
F133 = "A partir de Abril", "Aguardando Execução na Distribuidora",
A133 = "CAPACITAÇÃO", "Em execução no Corporativo",
TRUE, "Em Execução na Distribuidora"
)</f>
        <v>Em Execução na Distribuidora</v>
      </c>
      <c r="F133" s="4" t="str" cm="1">
        <f t="array" ref="F133">_xlfn.IFS(
AG133 &lt;&gt; "", "Jan-Dez/26",
AH133 &lt;&gt; "", "Fev-Dez/26",
AI133 &lt;&gt; "", "Mar-Dez/26", AJ133 &lt;&gt; "", "Abr-Dez/26",
TRUE, "A partir de Junho"
)</f>
        <v>Jan-Dez/26</v>
      </c>
      <c r="G133" s="15" t="s">
        <v>37</v>
      </c>
      <c r="H133" s="27" t="s">
        <v>54</v>
      </c>
      <c r="I133" s="28" t="s">
        <v>124</v>
      </c>
      <c r="J133" s="8" t="str" cm="1">
        <f t="array" aca="1" ref="J133" ca="1">_xlfn.LET(
  _xlpm.actual_value_month, INDEX(T133:AE133, MATCH(DATE(YEAR(TODAY()), MONTH(TODAY()), 1), $T$1:$AE$1, 0)),
  IF(_xlpm.actual_value_month &lt;&gt; "",_xlpm.actual_value_month &amp; " reuniões mensais", "")
)</f>
        <v/>
      </c>
      <c r="K133" s="8" t="str" cm="1">
        <f t="array" ref="K133">_xlfn.LET(
    _xlpm.sum_month, SUM(T133:AE133),
    IF(_xlpm.sum_month = 0, "", _xlpm.sum_month &amp; " atividades no ano")
)</f>
        <v>508 atividades no ano</v>
      </c>
      <c r="L133" s="29" t="s">
        <v>125</v>
      </c>
      <c r="M133" s="30" t="s">
        <v>151</v>
      </c>
      <c r="N133" s="66" t="s">
        <v>42</v>
      </c>
      <c r="O133" s="111" t="s">
        <v>52</v>
      </c>
      <c r="P133" s="31" t="s">
        <v>44</v>
      </c>
      <c r="Q133" s="31" t="s">
        <v>72</v>
      </c>
      <c r="R133" s="32" t="s">
        <v>44</v>
      </c>
      <c r="S133" s="32" t="s">
        <v>44</v>
      </c>
      <c r="T133" s="22">
        <v>100</v>
      </c>
      <c r="U133" s="22">
        <v>131</v>
      </c>
      <c r="V133" s="22">
        <v>153</v>
      </c>
      <c r="W133" s="22">
        <v>124</v>
      </c>
      <c r="X133" s="22"/>
      <c r="Y133" s="22"/>
      <c r="Z133" s="22"/>
      <c r="AA133" s="22"/>
      <c r="AB133" s="22"/>
      <c r="AC133" s="22"/>
      <c r="AD133" s="22"/>
      <c r="AE133" s="22"/>
      <c r="AG133" s="71">
        <v>100</v>
      </c>
      <c r="AH133" s="71">
        <v>131</v>
      </c>
      <c r="AI133" s="71">
        <v>153</v>
      </c>
      <c r="AJ133" s="71">
        <v>124</v>
      </c>
      <c r="AK133" s="71"/>
      <c r="AL133" s="71"/>
      <c r="AM133" s="71"/>
      <c r="AN133" s="71"/>
      <c r="AO133" s="71"/>
      <c r="AP133" s="71"/>
      <c r="AQ133" s="71"/>
      <c r="AR133" s="71"/>
      <c r="AS133" s="94">
        <f t="shared" ca="1" si="287"/>
        <v>508</v>
      </c>
      <c r="AT133" s="95">
        <f>SUM(IF(AW133&lt;1.15,AG133,1.15*T133),IF(AX133&lt;1.15,AH133,1.15*U133),IF(AY133&lt;1.15,AI133,1.15*V133),IF(AZ133&lt;1.15,AJ133,1.15*W133),IF(BA133&lt;1.15,AK133,1.15*X133),IF(BB133&lt;1.15,AL133,1.15*Y133),IF(BC133&lt;1.15,AM133,1.15*Z133),IF(BD133&lt;1.15,AN133,1.15*AA133),IF(BE133&lt;1.15,AO133,1.15*AB133),IF(BF133&lt;1.15,AP133,1.15*AC133),IF(BG133&lt;1.15,AQ133,1.15*AD133),IF(BH133&lt;1.15,AR133,1.15*AE133))</f>
        <v>508</v>
      </c>
      <c r="AU133" s="97">
        <f t="shared" si="288"/>
        <v>508</v>
      </c>
      <c r="AW133" s="51">
        <f>IFERROR(IF(AG133="",0,AG133/T133),0)</f>
        <v>1</v>
      </c>
      <c r="AX133" s="51">
        <f>IFERROR(IF(AH133="",0,AH133/U133),0)</f>
        <v>1</v>
      </c>
      <c r="AY133" s="51">
        <f>IFERROR(IF(AI133="",0,AI133/V133),0)</f>
        <v>1</v>
      </c>
      <c r="AZ133" s="51">
        <f>IFERROR(IF(AJ133="",0,AJ133/W133),0)</f>
        <v>1</v>
      </c>
      <c r="BA133" s="51"/>
      <c r="BB133" s="51"/>
      <c r="BC133" s="51"/>
      <c r="BD133" s="51"/>
      <c r="BE133" s="51"/>
      <c r="BF133" s="51"/>
      <c r="BG133" s="51"/>
      <c r="BH133" s="51"/>
      <c r="BI133" s="65" cm="1">
        <f t="array" ref="BI133">IFERROR(INDEX(AW133:BH133,1,MATCH(2,1/(AW133:BH133&lt;&gt;""))),"")</f>
        <v>1</v>
      </c>
      <c r="BJ133" s="68" cm="1">
        <f t="array" ref="BJ133">IF(BM133 = "", "",IFERROR(INDEX(AW133:BH133,1,MATCH(2,1/(AW133:BH133&lt;&gt;""),1)-1),""))</f>
        <v>1</v>
      </c>
      <c r="BK133" s="58">
        <f>IF((IF(AW133&gt;=115%,115%,AW133) + IF(AX133&gt;=115%,115%,AX133) + IF(AY133&gt;=115%,115%,AY133) + (IF(AZ133&gt;=115%,115%,AZ133) + IF(BA133&gt;=115%,115%,BA133) + IF(BB133&gt;=115%,115%,BB133) + IF(BC133&gt;=131%,131%,BC133) + IF(BD133&gt;=115%,115%,BD133) + IF(BE133&gt;=115%,115%,BE133) + IF(BF133&gt;=115%,115%,BF133) + IF(BG133&gt;=115%,115%,BG133) + IF(BH133&gt;=115%,115%,BH133)))/_xlfn.XLOOKUP(F133,Apuração!A:A,Apuração!B:B)&gt;=1.15,1.15,((IF(AZ133&gt;=115%,115%,AZ133) + IF(AX133&gt;=115%,115%,AX133) + IF(AY133&gt;=115%,115%,AY133) + (IF(AW133&gt;=115%,115%,AW133) + IF(BA133&gt;=115%,115%,BA133) + IF(BB133&gt;=115%,115%,BB133) + IF(BC133&gt;=131%,131%,BC133) + IF(BD133&gt;=115%,115%,BD133) + IF(BE133&gt;=115%,115%,BE133) + IF(BF133&gt;=115%,115%,BF133) + IF(BG133&gt;=115%,115%,BG133) + IF(BH133&gt;=115%,115%,BH133)))/_xlfn.XLOOKUP(F133,Apuração!A:A,Apuração!B:B)))</f>
        <v>0.33333333333333331</v>
      </c>
      <c r="BL133" s="58" cm="1">
        <f t="array" aca="1" ref="BL133" ca="1">IF(SUM(IFERROR(IF(INDEX(AW133:INDEX(AW133:BH133, MATCH(2, 1/(AW133:BH133&lt;&gt;""), 1)-1), ROW(INDIRECT("1:" &amp; MATCH(2, 1/(AW133:BH133&lt;&gt;""), 1)-1))) &gt;= 115%, 115%, INDEX(AW133:INDEX(AW133:BH133, MATCH(2, 1/(AW133:BH133&lt;&gt;""), 1)-1), ROW(INDIRECT("1:" &amp; MATCH(2, 1/(AW133:BH133&lt;&gt;""), 1)-1)))), 0))/_xlfn.XLOOKUP(F133,Apuração!A:A,Apuração!B:B)&gt;=1.15,1.15,SUM(IFERROR(IF(INDEX(AW133:INDEX(AW133:BH133, MATCH(2, 1/(AW133:BH133&lt;&gt;""), 1)-1), ROW(INDIRECT("1:" &amp; MATCH(2, 1/(AW133:BH133&lt;&gt;""), 1)-1))) &gt;= 115%, 115%, INDEX(AW133:INDEX(AW133:BH133, MATCH(2, 1/(AW133:BH133&lt;&gt;""), 1)-1), ROW(INDIRECT("1:" &amp; MATCH(2, 1/(AW133:BH133&lt;&gt;""), 1)-1)))), 0))/_xlfn.XLOOKUP(F133,Apuração!A:A,Apuração!B:B))</f>
        <v>0.25</v>
      </c>
      <c r="BM133" s="55" cm="1">
        <f t="array" ref="BM133">IFERROR(
   INDEX($AW$1:$BH$1,
      _xlfn.AGGREGATE(14, 6, COLUMN($AW$1:$BH$1)/(AW133:BH133&lt;&gt;""), 2) - COLUMN($AW$1) + 1
   ),
"")</f>
        <v>46082</v>
      </c>
      <c r="BN133" s="55" cm="1">
        <f t="array" ref="BN133">IFERROR(INDEX($AW$1:$BH$1,1,MATCH(2,1/(AW133:BH133&lt;&gt;""))),"")</f>
        <v>46113</v>
      </c>
      <c r="BO133" s="53">
        <f ca="1">IFERROR(_xlfn.XLOOKUP(F133,Apuração!A:A,Apuração!C:C)/_xlfn.XLOOKUP(F133,Apuração!A:A,Apuração!B:B),0)</f>
        <v>0.41666666666666669</v>
      </c>
      <c r="BP133" s="53">
        <f ca="1">IFERROR(_xlfn.XLOOKUP(F133,Apuração!A:A,Apuração!D:D)/_xlfn.XLOOKUP(F133,Apuração!A:A,Apuração!B:B),0)</f>
        <v>0.33333333333333331</v>
      </c>
      <c r="BQ133" s="53">
        <f ca="1">IF(BK133&gt;=BO133,0,_xlfn.XLOOKUP(F133,Apuração!A:A,Apuração!B:B)*(BO133 + (1/_xlfn.XLOOKUP(F133,Apuração!A:A,Apuração!B:B)) - BK133))</f>
        <v>2</v>
      </c>
      <c r="BR133" s="85">
        <f t="shared" ca="1" si="261"/>
        <v>0</v>
      </c>
      <c r="BS133" s="53">
        <f ca="1">IFERROR((_xlfn.XLOOKUP(F133,Apuração!A:A,Apuração!C:C)+1)/_xlfn.XLOOKUP(F133,Apuração!A:A,Apuração!B:B),0)</f>
        <v>0.5</v>
      </c>
    </row>
    <row r="134" spans="1:71" ht="25.95" hidden="1" customHeight="1" x14ac:dyDescent="0.3">
      <c r="A134" s="25" t="s">
        <v>134</v>
      </c>
      <c r="B134" s="15" t="s">
        <v>150</v>
      </c>
      <c r="C134" s="26" t="s">
        <v>35</v>
      </c>
      <c r="D134" s="5" t="s">
        <v>47</v>
      </c>
      <c r="E134" s="4" t="str" cm="1">
        <f t="array" ref="E134">_xlfn.IFS(
F134 = "A partir de Abril", "Aguardando Execução na Distribuidora",
A134 = "CAPACITAÇÃO", "Em execução no Corporativo",
TRUE, "Em Execução na Distribuidora"
)</f>
        <v>Em Execução na Distribuidora</v>
      </c>
      <c r="F134" s="4" t="str" cm="1">
        <f t="array" ref="F134">_xlfn.IFS(
AG134 &lt;&gt; "", "Jan-Dez/26",
AH134 &lt;&gt; "", "Fev-Dez/26",
AI134 &lt;&gt; "", "Mar-Dez/26", AJ134 &lt;&gt; "", "Abr-Dez/26",
TRUE, "A partir de Junho"
)</f>
        <v>Jan-Dez/26</v>
      </c>
      <c r="G134" s="15" t="s">
        <v>37</v>
      </c>
      <c r="H134" s="27" t="s">
        <v>54</v>
      </c>
      <c r="I134" s="28" t="s">
        <v>124</v>
      </c>
      <c r="J134" s="8" t="str" cm="1">
        <f t="array" aca="1" ref="J134" ca="1">_xlfn.LET(
  _xlpm.actual_value_month, INDEX(T134:AE134, MATCH(DATE(YEAR(TODAY()), MONTH(TODAY()), 1), $T$1:$AE$1, 0)),
  IF(_xlpm.actual_value_month &lt;&gt; "",_xlpm.actual_value_month &amp; " reuniões mensais", "")
)</f>
        <v/>
      </c>
      <c r="K134" s="8" t="str" cm="1">
        <f t="array" ref="K134">_xlfn.LET(
    _xlpm.sum_month, SUM(T134:AE134),
    IF(_xlpm.sum_month = 0, "", _xlpm.sum_month &amp; " atividades no ano")
)</f>
        <v>341 atividades no ano</v>
      </c>
      <c r="L134" s="29" t="s">
        <v>125</v>
      </c>
      <c r="M134" s="30" t="s">
        <v>151</v>
      </c>
      <c r="N134" s="66" t="s">
        <v>42</v>
      </c>
      <c r="O134" s="111" t="s">
        <v>52</v>
      </c>
      <c r="P134" s="31" t="s">
        <v>44</v>
      </c>
      <c r="Q134" s="31" t="s">
        <v>72</v>
      </c>
      <c r="R134" s="32" t="s">
        <v>44</v>
      </c>
      <c r="S134" s="32" t="s">
        <v>44</v>
      </c>
      <c r="T134" s="143">
        <v>74</v>
      </c>
      <c r="U134" s="143">
        <v>106</v>
      </c>
      <c r="V134" s="143">
        <v>92</v>
      </c>
      <c r="W134" s="22">
        <v>69</v>
      </c>
      <c r="X134" s="22"/>
      <c r="Y134" s="22"/>
      <c r="Z134" s="22"/>
      <c r="AA134" s="22"/>
      <c r="AB134" s="22"/>
      <c r="AC134" s="22"/>
      <c r="AD134" s="22"/>
      <c r="AE134" s="22"/>
      <c r="AG134" s="82">
        <v>74</v>
      </c>
      <c r="AH134" s="82">
        <v>106</v>
      </c>
      <c r="AI134" s="82">
        <v>92</v>
      </c>
      <c r="AJ134" s="82">
        <v>69</v>
      </c>
      <c r="AK134" s="71"/>
      <c r="AL134" s="71"/>
      <c r="AM134" s="71"/>
      <c r="AN134" s="71"/>
      <c r="AO134" s="71"/>
      <c r="AP134" s="71"/>
      <c r="AQ134" s="71"/>
      <c r="AR134" s="71"/>
      <c r="AS134" s="94">
        <f t="shared" ref="AS134:AS135" ca="1" si="338">IF(MONTH(TODAY())=3,SUM(T134:U134),IF(MONTH(TODAY())=4,SUM(T134:V134),IF(MONTH(TODAY())=5,SUM(T134:W134),IF(MONTH(TODAY())=6,SUM(T134:X134),IF(MONTH(TODAY())=7,SUM(T134:Y134),IF(MONTH(TODAY())=8,SUM(T134:Z134),IF(MONTH(TODAY())=9,SUM(T134:AA134),IF(MONTH(TODAY())=10,SUM(T134:AB134),IF(MONTH(TODAY())=11,SUM(T134:AC134),IF(MONTH(TODAY())=12,SUM(T134:AD134),IF(MONTH(TODAY())=1,SUM(T134:AE134),T134)))))))))))</f>
        <v>341</v>
      </c>
      <c r="AT134" s="95">
        <f t="shared" ref="AT134:AT135" si="339">SUM(IF(AW134&lt;1.15,AG134,1.15*T134),IF(AX134&lt;1.15,AH134,1.15*U134),IF(AY134&lt;1.15,AI134,1.15*V134),IF(AZ134&lt;1.15,AJ134,1.15*W134),IF(BA134&lt;1.15,AK134,1.15*X134),IF(BB134&lt;1.15,AL134,1.15*Y134),IF(BC134&lt;1.15,AM134,1.15*Z134),IF(BD134&lt;1.15,AN134,1.15*AA134),IF(BE134&lt;1.15,AO134,1.15*AB134),IF(BF134&lt;1.15,AP134,1.15*AC134),IF(BG134&lt;1.15,AQ134,1.15*AD134),IF(BH134&lt;1.15,AR134,1.15*AE134))</f>
        <v>341</v>
      </c>
      <c r="AU134" s="97">
        <f t="shared" ref="AU134:AU135" si="340">SUM(AG134:AR134)</f>
        <v>341</v>
      </c>
      <c r="AW134" s="51">
        <f t="shared" ref="AW134:AW135" si="341">IFERROR(IF(AG134="",0,AG134/T134),0)</f>
        <v>1</v>
      </c>
      <c r="AX134" s="51">
        <f t="shared" ref="AX134:AX135" si="342">IFERROR(IF(AH134="",0,AH134/U134),0)</f>
        <v>1</v>
      </c>
      <c r="AY134" s="51">
        <f t="shared" ref="AY134:AY135" si="343">IFERROR(IF(AI134="",0,AI134/V134),0)</f>
        <v>1</v>
      </c>
      <c r="AZ134" s="51">
        <f t="shared" ref="AZ134:AZ135" si="344">IFERROR(IF(AJ134="",0,AJ134/W134),0)</f>
        <v>1</v>
      </c>
      <c r="BA134" s="51"/>
      <c r="BB134" s="51"/>
      <c r="BC134" s="51"/>
      <c r="BD134" s="51"/>
      <c r="BE134" s="51"/>
      <c r="BF134" s="51"/>
      <c r="BG134" s="51"/>
      <c r="BH134" s="51"/>
      <c r="BI134" s="65" cm="1">
        <f t="array" ref="BI134">IFERROR(INDEX(AW134:BH134,1,MATCH(2,1/(AW134:BH134&lt;&gt;""))),"")</f>
        <v>1</v>
      </c>
      <c r="BJ134" s="68" cm="1">
        <f t="array" ref="BJ134">IF(BM134 = "", "",IFERROR(INDEX(AW134:BH134,1,MATCH(2,1/(AW134:BH134&lt;&gt;""),1)-1),""))</f>
        <v>1</v>
      </c>
      <c r="BK134" s="58">
        <f>IF((IF(AW134&gt;=115%,115%,AW134) + IF(AX134&gt;=115%,115%,AX134) + IF(AY134&gt;=115%,115%,AY134) + (IF(AZ134&gt;=115%,115%,AZ134) + IF(BA134&gt;=115%,115%,BA134) + IF(BB134&gt;=115%,115%,BB134) + IF(BC134&gt;=131%,131%,BC134) + IF(BD134&gt;=115%,115%,BD134) + IF(BE134&gt;=115%,115%,BE134) + IF(BF134&gt;=115%,115%,BF134) + IF(BG134&gt;=115%,115%,BG134) + IF(BH134&gt;=115%,115%,BH134)))/_xlfn.XLOOKUP(F134,Apuração!A:A,Apuração!B:B)&gt;=1.15,1.15,((IF(AZ134&gt;=115%,115%,AZ134) + IF(AX134&gt;=115%,115%,AX134) + IF(AY134&gt;=115%,115%,AY134) + (IF(AW134&gt;=115%,115%,AW134) + IF(BA134&gt;=115%,115%,BA134) + IF(BB134&gt;=115%,115%,BB134) + IF(BC134&gt;=131%,131%,BC134) + IF(BD134&gt;=115%,115%,BD134) + IF(BE134&gt;=115%,115%,BE134) + IF(BF134&gt;=115%,115%,BF134) + IF(BG134&gt;=115%,115%,BG134) + IF(BH134&gt;=115%,115%,BH134)))/_xlfn.XLOOKUP(F134,Apuração!A:A,Apuração!B:B)))</f>
        <v>0.33333333333333331</v>
      </c>
      <c r="BL134" s="58" cm="1">
        <f t="array" aca="1" ref="BL134" ca="1">IF(SUM(IFERROR(IF(INDEX(AW134:INDEX(AW134:BH134, MATCH(2, 1/(AW134:BH134&lt;&gt;""), 1)-1), ROW(INDIRECT("1:" &amp; MATCH(2, 1/(AW134:BH134&lt;&gt;""), 1)-1))) &gt;= 115%, 115%, INDEX(AW134:INDEX(AW134:BH134, MATCH(2, 1/(AW134:BH134&lt;&gt;""), 1)-1), ROW(INDIRECT("1:" &amp; MATCH(2, 1/(AW134:BH134&lt;&gt;""), 1)-1)))), 0))/_xlfn.XLOOKUP(F134,Apuração!A:A,Apuração!B:B)&gt;=1.15,1.15,SUM(IFERROR(IF(INDEX(AW134:INDEX(AW134:BH134, MATCH(2, 1/(AW134:BH134&lt;&gt;""), 1)-1), ROW(INDIRECT("1:" &amp; MATCH(2, 1/(AW134:BH134&lt;&gt;""), 1)-1))) &gt;= 115%, 115%, INDEX(AW134:INDEX(AW134:BH134, MATCH(2, 1/(AW134:BH134&lt;&gt;""), 1)-1), ROW(INDIRECT("1:" &amp; MATCH(2, 1/(AW134:BH134&lt;&gt;""), 1)-1)))), 0))/_xlfn.XLOOKUP(F134,Apuração!A:A,Apuração!B:B))</f>
        <v>0.25</v>
      </c>
      <c r="BM134" s="55" cm="1">
        <f t="array" ref="BM134">IFERROR(
   INDEX($AW$1:$BH$1,
      _xlfn.AGGREGATE(14, 6, COLUMN($AW$1:$BH$1)/(AW134:BH134&lt;&gt;""), 2) - COLUMN($AW$1) + 1
   ),
"")</f>
        <v>46082</v>
      </c>
      <c r="BN134" s="55" cm="1">
        <f t="array" ref="BN134">IFERROR(INDEX($AW$1:$BH$1,1,MATCH(2,1/(AW134:BH134&lt;&gt;""))),"")</f>
        <v>46113</v>
      </c>
      <c r="BO134" s="53">
        <f ca="1">IFERROR(_xlfn.XLOOKUP(F134,Apuração!A:A,Apuração!C:C)/_xlfn.XLOOKUP(F134,Apuração!A:A,Apuração!B:B),0)</f>
        <v>0.41666666666666669</v>
      </c>
      <c r="BP134" s="53">
        <f ca="1">IFERROR(_xlfn.XLOOKUP(F134,Apuração!A:A,Apuração!D:D)/_xlfn.XLOOKUP(F134,Apuração!A:A,Apuração!B:B),0)</f>
        <v>0.33333333333333331</v>
      </c>
      <c r="BQ134" s="53">
        <f ca="1">IF(BK134&gt;=BO134,0,_xlfn.XLOOKUP(F134,Apuração!A:A,Apuração!B:B)*(BO134 + (1/_xlfn.XLOOKUP(F134,Apuração!A:A,Apuração!B:B)) - BK134))</f>
        <v>2</v>
      </c>
      <c r="BR134" s="85">
        <f t="shared" ref="BR134:BR135" ca="1" si="345">IF(BQ134=0,0,BQ134*Z134)</f>
        <v>0</v>
      </c>
      <c r="BS134" s="53">
        <f ca="1">IFERROR((_xlfn.XLOOKUP(F134,Apuração!A:A,Apuração!C:C)+1)/_xlfn.XLOOKUP(F134,Apuração!A:A,Apuração!B:B),0)</f>
        <v>0.5</v>
      </c>
    </row>
    <row r="135" spans="1:71" ht="25.95" hidden="1" customHeight="1" x14ac:dyDescent="0.3">
      <c r="A135" s="25" t="s">
        <v>134</v>
      </c>
      <c r="B135" s="15" t="s">
        <v>150</v>
      </c>
      <c r="C135" s="26" t="s">
        <v>35</v>
      </c>
      <c r="D135" s="5" t="s">
        <v>48</v>
      </c>
      <c r="E135" s="4" t="str" cm="1">
        <f t="array" ref="E135">_xlfn.IFS(
F135 = "A partir de Abril", "Aguardando Execução na Distribuidora",
A135 = "CAPACITAÇÃO", "Em execução no Corporativo",
TRUE, "Em Execução na Distribuidora"
)</f>
        <v>Em Execução na Distribuidora</v>
      </c>
      <c r="F135" s="4" t="str" cm="1">
        <f t="array" ref="F135">_xlfn.IFS(
AG135 &lt;&gt; "", "Jan-Dez/26",
AH135 &lt;&gt; "", "Fev-Dez/26",
AI135 &lt;&gt; "", "Mar-Dez/26", AJ135 &lt;&gt; "", "Abr-Dez/26",
TRUE, "A partir de Junho"
)</f>
        <v>Jan-Dez/26</v>
      </c>
      <c r="G135" s="15" t="s">
        <v>37</v>
      </c>
      <c r="H135" s="27" t="s">
        <v>54</v>
      </c>
      <c r="I135" s="28" t="s">
        <v>124</v>
      </c>
      <c r="J135" s="8" t="str" cm="1">
        <f t="array" aca="1" ref="J135" ca="1">_xlfn.LET(
  _xlpm.actual_value_month, INDEX(T135:AE135, MATCH(DATE(YEAR(TODAY()), MONTH(TODAY()), 1), $T$1:$AE$1, 0)),
  IF(_xlpm.actual_value_month &lt;&gt; "",_xlpm.actual_value_month &amp; " reuniões mensais", "")
)</f>
        <v/>
      </c>
      <c r="K135" s="8" t="str" cm="1">
        <f t="array" ref="K135">_xlfn.LET(
    _xlpm.sum_month, SUM(T135:AE135),
    IF(_xlpm.sum_month = 0, "", _xlpm.sum_month &amp; " atividades no ano")
)</f>
        <v>167 atividades no ano</v>
      </c>
      <c r="L135" s="29" t="s">
        <v>125</v>
      </c>
      <c r="M135" s="30" t="s">
        <v>151</v>
      </c>
      <c r="N135" s="66" t="s">
        <v>42</v>
      </c>
      <c r="O135" s="111" t="s">
        <v>52</v>
      </c>
      <c r="P135" s="31" t="s">
        <v>44</v>
      </c>
      <c r="Q135" s="31" t="s">
        <v>72</v>
      </c>
      <c r="R135" s="32" t="s">
        <v>44</v>
      </c>
      <c r="S135" s="32" t="s">
        <v>44</v>
      </c>
      <c r="T135" s="143">
        <v>26</v>
      </c>
      <c r="U135" s="143">
        <v>25</v>
      </c>
      <c r="V135" s="143">
        <v>61</v>
      </c>
      <c r="W135" s="22">
        <v>55</v>
      </c>
      <c r="X135" s="22"/>
      <c r="Y135" s="22"/>
      <c r="Z135" s="22"/>
      <c r="AA135" s="22"/>
      <c r="AB135" s="22"/>
      <c r="AC135" s="22"/>
      <c r="AD135" s="22"/>
      <c r="AE135" s="22"/>
      <c r="AG135" s="82">
        <v>26</v>
      </c>
      <c r="AH135" s="82">
        <v>25</v>
      </c>
      <c r="AI135" s="82">
        <v>61</v>
      </c>
      <c r="AJ135" s="82">
        <v>55</v>
      </c>
      <c r="AK135" s="71"/>
      <c r="AL135" s="71"/>
      <c r="AM135" s="71"/>
      <c r="AN135" s="71"/>
      <c r="AO135" s="71"/>
      <c r="AP135" s="71"/>
      <c r="AQ135" s="71"/>
      <c r="AR135" s="71"/>
      <c r="AS135" s="94">
        <f t="shared" ca="1" si="338"/>
        <v>167</v>
      </c>
      <c r="AT135" s="95">
        <f t="shared" si="339"/>
        <v>167</v>
      </c>
      <c r="AU135" s="97">
        <f t="shared" si="340"/>
        <v>167</v>
      </c>
      <c r="AW135" s="51">
        <f t="shared" si="341"/>
        <v>1</v>
      </c>
      <c r="AX135" s="51">
        <f t="shared" si="342"/>
        <v>1</v>
      </c>
      <c r="AY135" s="51">
        <f t="shared" si="343"/>
        <v>1</v>
      </c>
      <c r="AZ135" s="51">
        <f t="shared" si="344"/>
        <v>1</v>
      </c>
      <c r="BA135" s="51"/>
      <c r="BB135" s="51"/>
      <c r="BC135" s="51"/>
      <c r="BD135" s="51"/>
      <c r="BE135" s="51"/>
      <c r="BF135" s="51"/>
      <c r="BG135" s="51"/>
      <c r="BH135" s="51"/>
      <c r="BI135" s="65" cm="1">
        <f t="array" ref="BI135">IFERROR(INDEX(AW135:BH135,1,MATCH(2,1/(AW135:BH135&lt;&gt;""))),"")</f>
        <v>1</v>
      </c>
      <c r="BJ135" s="68" cm="1">
        <f t="array" ref="BJ135">IF(BM135 = "", "",IFERROR(INDEX(AW135:BH135,1,MATCH(2,1/(AW135:BH135&lt;&gt;""),1)-1),""))</f>
        <v>1</v>
      </c>
      <c r="BK135" s="58">
        <f>IF((IF(AW135&gt;=115%,115%,AW135) + IF(AX135&gt;=115%,115%,AX135) + IF(AY135&gt;=115%,115%,AY135) + (IF(AZ135&gt;=115%,115%,AZ135) + IF(BA135&gt;=115%,115%,BA135) + IF(BB135&gt;=115%,115%,BB135) + IF(BC135&gt;=131%,131%,BC135) + IF(BD135&gt;=115%,115%,BD135) + IF(BE135&gt;=115%,115%,BE135) + IF(BF135&gt;=115%,115%,BF135) + IF(BG135&gt;=115%,115%,BG135) + IF(BH135&gt;=115%,115%,BH135)))/_xlfn.XLOOKUP(F135,Apuração!A:A,Apuração!B:B)&gt;=1.15,1.15,((IF(AZ135&gt;=115%,115%,AZ135) + IF(AX135&gt;=115%,115%,AX135) + IF(AY135&gt;=115%,115%,AY135) + (IF(AW135&gt;=115%,115%,AW135) + IF(BA135&gt;=115%,115%,BA135) + IF(BB135&gt;=115%,115%,BB135) + IF(BC135&gt;=131%,131%,BC135) + IF(BD135&gt;=115%,115%,BD135) + IF(BE135&gt;=115%,115%,BE135) + IF(BF135&gt;=115%,115%,BF135) + IF(BG135&gt;=115%,115%,BG135) + IF(BH135&gt;=115%,115%,BH135)))/_xlfn.XLOOKUP(F135,Apuração!A:A,Apuração!B:B)))</f>
        <v>0.33333333333333331</v>
      </c>
      <c r="BL135" s="58" cm="1">
        <f t="array" aca="1" ref="BL135" ca="1">IF(SUM(IFERROR(IF(INDEX(AW135:INDEX(AW135:BH135, MATCH(2, 1/(AW135:BH135&lt;&gt;""), 1)-1), ROW(INDIRECT("1:" &amp; MATCH(2, 1/(AW135:BH135&lt;&gt;""), 1)-1))) &gt;= 115%, 115%, INDEX(AW135:INDEX(AW135:BH135, MATCH(2, 1/(AW135:BH135&lt;&gt;""), 1)-1), ROW(INDIRECT("1:" &amp; MATCH(2, 1/(AW135:BH135&lt;&gt;""), 1)-1)))), 0))/_xlfn.XLOOKUP(F135,Apuração!A:A,Apuração!B:B)&gt;=1.15,1.15,SUM(IFERROR(IF(INDEX(AW135:INDEX(AW135:BH135, MATCH(2, 1/(AW135:BH135&lt;&gt;""), 1)-1), ROW(INDIRECT("1:" &amp; MATCH(2, 1/(AW135:BH135&lt;&gt;""), 1)-1))) &gt;= 115%, 115%, INDEX(AW135:INDEX(AW135:BH135, MATCH(2, 1/(AW135:BH135&lt;&gt;""), 1)-1), ROW(INDIRECT("1:" &amp; MATCH(2, 1/(AW135:BH135&lt;&gt;""), 1)-1)))), 0))/_xlfn.XLOOKUP(F135,Apuração!A:A,Apuração!B:B))</f>
        <v>0.25</v>
      </c>
      <c r="BM135" s="55" cm="1">
        <f t="array" ref="BM135">IFERROR(
   INDEX($AW$1:$BH$1,
      _xlfn.AGGREGATE(14, 6, COLUMN($AW$1:$BH$1)/(AW135:BH135&lt;&gt;""), 2) - COLUMN($AW$1) + 1
   ),
"")</f>
        <v>46082</v>
      </c>
      <c r="BN135" s="55" cm="1">
        <f t="array" ref="BN135">IFERROR(INDEX($AW$1:$BH$1,1,MATCH(2,1/(AW135:BH135&lt;&gt;""))),"")</f>
        <v>46113</v>
      </c>
      <c r="BO135" s="53">
        <f ca="1">IFERROR(_xlfn.XLOOKUP(F135,Apuração!A:A,Apuração!C:C)/_xlfn.XLOOKUP(F135,Apuração!A:A,Apuração!B:B),0)</f>
        <v>0.41666666666666669</v>
      </c>
      <c r="BP135" s="53">
        <f ca="1">IFERROR(_xlfn.XLOOKUP(F135,Apuração!A:A,Apuração!D:D)/_xlfn.XLOOKUP(F135,Apuração!A:A,Apuração!B:B),0)</f>
        <v>0.33333333333333331</v>
      </c>
      <c r="BQ135" s="53">
        <f ca="1">IF(BK135&gt;=BO135,0,_xlfn.XLOOKUP(F135,Apuração!A:A,Apuração!B:B)*(BO135 + (1/_xlfn.XLOOKUP(F135,Apuração!A:A,Apuração!B:B)) - BK135))</f>
        <v>2</v>
      </c>
      <c r="BR135" s="85">
        <f t="shared" ca="1" si="345"/>
        <v>0</v>
      </c>
      <c r="BS135" s="53">
        <f ca="1">IFERROR((_xlfn.XLOOKUP(F135,Apuração!A:A,Apuração!C:C)+1)/_xlfn.XLOOKUP(F135,Apuração!A:A,Apuração!B:B),0)</f>
        <v>0.5</v>
      </c>
    </row>
    <row r="136" spans="1:71" ht="25.95" hidden="1" customHeight="1" x14ac:dyDescent="0.3">
      <c r="A136" s="23" t="s">
        <v>134</v>
      </c>
      <c r="B136" s="4" t="s">
        <v>150</v>
      </c>
      <c r="C136" s="5" t="s">
        <v>35</v>
      </c>
      <c r="D136" s="5" t="s">
        <v>36</v>
      </c>
      <c r="E136" s="4" t="str" cm="1">
        <f t="array" ref="E136">_xlfn.IFS(
F136 = "A partir de Abril", "Aguardando Execução na Distribuidora",
A136 = "CAPACITAÇÃO", "Em execução no Corporativo",
TRUE, "Em Execução na Distribuidora"
)</f>
        <v>Em Execução na Distribuidora</v>
      </c>
      <c r="F136" s="4" t="str" cm="1">
        <f t="array" ref="F136">_xlfn.IFS(
AG136 &lt;&gt; "", "Jan-Dez/26",
AH136 &lt;&gt; "", "Fev-Dez/26",
AI136 &lt;&gt; "", "Mar-Dez/26", AJ136 &lt;&gt; "", "Abr-Dez/26",
TRUE, "A partir de Junho"
)</f>
        <v>Jan-Dez/26</v>
      </c>
      <c r="G136" s="4" t="s">
        <v>37</v>
      </c>
      <c r="H136" s="7" t="s">
        <v>54</v>
      </c>
      <c r="I136" s="8" t="s">
        <v>152</v>
      </c>
      <c r="J136" s="8" t="str" cm="1">
        <f t="array" aca="1" ref="J136" ca="1">_xlfn.LET(
  _xlpm.actual_value_month, INDEX(T136:AE136, MATCH(DATE(YEAR(TODAY()), MONTH(TODAY()), 1), $T$1:$AE$1, 0)),
  IF(_xlpm.actual_value_month &lt;&gt; "",_xlpm.actual_value_month &amp; " ações mensais", "")
)</f>
        <v/>
      </c>
      <c r="K136" s="8" t="str" cm="1">
        <f t="array" ref="K136">_xlfn.LET(
    _xlpm.sum_month, SUM(T136:AE136),
    IF(_xlpm.sum_month = 0, "", _xlpm.sum_month &amp; " reuniões ordinárias no ano")
)</f>
        <v/>
      </c>
      <c r="L136" s="9" t="s">
        <v>153</v>
      </c>
      <c r="M136" s="24">
        <v>1</v>
      </c>
      <c r="N136" s="67" t="s">
        <v>51</v>
      </c>
      <c r="O136" s="5" t="s">
        <v>52</v>
      </c>
      <c r="P136" s="10" t="s">
        <v>44</v>
      </c>
      <c r="Q136" s="10" t="s">
        <v>72</v>
      </c>
      <c r="R136" s="11" t="s">
        <v>44</v>
      </c>
      <c r="S136" s="11" t="s">
        <v>44</v>
      </c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G136" s="82">
        <v>4</v>
      </c>
      <c r="AH136" s="82">
        <v>4</v>
      </c>
      <c r="AI136" s="82">
        <v>4</v>
      </c>
      <c r="AJ136" s="82">
        <v>22</v>
      </c>
      <c r="AK136" s="71"/>
      <c r="AL136" s="71"/>
      <c r="AM136" s="71"/>
      <c r="AN136" s="71"/>
      <c r="AO136" s="71"/>
      <c r="AP136" s="71"/>
      <c r="AQ136" s="71"/>
      <c r="AR136" s="71"/>
      <c r="AS136" s="94">
        <f t="shared" ca="1" si="287"/>
        <v>0</v>
      </c>
      <c r="AT136" s="95">
        <f>SUM(AG136:AR136)</f>
        <v>34</v>
      </c>
      <c r="AU136" s="97">
        <f t="shared" si="288"/>
        <v>34</v>
      </c>
      <c r="AW136" s="83">
        <f>AG136</f>
        <v>4</v>
      </c>
      <c r="AX136" s="83">
        <f t="shared" ref="AX136:AX144" si="346">AH136</f>
        <v>4</v>
      </c>
      <c r="AY136" s="83">
        <f t="shared" ref="AY136:AY144" si="347">AI136</f>
        <v>4</v>
      </c>
      <c r="AZ136" s="83">
        <f t="shared" ref="AZ136:AZ144" si="348">AJ136</f>
        <v>22</v>
      </c>
      <c r="BA136" s="52"/>
      <c r="BB136" s="52"/>
      <c r="BC136" s="52"/>
      <c r="BD136" s="52"/>
      <c r="BE136" s="52"/>
      <c r="BF136" s="52"/>
      <c r="BG136" s="52"/>
      <c r="BH136" s="52"/>
      <c r="BI136" s="68" cm="1">
        <f t="array" ref="BI136">IFERROR(INDEX(AW136:BH136,1,MATCH(2,1/(AW136:BH136&lt;&gt;""))),"")</f>
        <v>22</v>
      </c>
      <c r="BJ136" s="68" cm="1">
        <f t="array" ref="BJ136">IF(BM136 = "", "",IFERROR(INDEX(AW136:BH136,1,MATCH(2,1/(AW136:BH136&lt;&gt;""),1)-1),""))</f>
        <v>4</v>
      </c>
      <c r="BK136" s="59">
        <f>IF((IF(AW136&gt;=150%,150%,AW136) + IF(AX136&gt;=150%,150%,AX136) + IF(AY136&gt;=150%,150%,AY136) + (IF(AW136&gt;=150%,150%,AW136) + IF(BA136&gt;=150%,150%,BA136) + IF(BB136&gt;=150%,150%,BB136) + IF(BC136&gt;=150%,150%,BC136) + IF(BD136&gt;=150%,150%,BD136) + IF(BE136&gt;=150%,150%,BE136) + IF(BF136&gt;=150%,150%,BF136) + IF(BG136&gt;=150%,150%,BG136) + IF(BH136&gt;=150%,150%,BH136)))/_xlfn.XLOOKUP(F136,Apuração!A:A,Apuração!B:B)&gt;=1.15,1.15,((IF(AW136&gt;=150%,150%,AW136) + IF(AX136&gt;=150%,150%,AX136) + IF(AY136&gt;=150%,150%,AY136) + (IF(AW136&gt;=150%,150%,AW136) + IF(BA136&gt;=150%,150%,BA136) + IF(BB136&gt;=150%,150%,BB136) + IF(BC136&gt;=150%,150%,BC136) + IF(BD136&gt;=150%,150%,BD136) + IF(BE136&gt;=150%,150%,BE136) + IF(BF136&gt;=150%,150%,BF136) + IF(BG136&gt;=150%,150%,BG136) + IF(BH136&gt;=150%,150%,BH136)))/_xlfn.XLOOKUP(F136,Apuração!A:A,Apuração!B:B)))</f>
        <v>0.5</v>
      </c>
      <c r="BL136" s="59" cm="1">
        <f t="array" aca="1" ref="BL136" ca="1">IF(SUM(IFERROR(IF(INDEX(AW136:INDEX(AW136:BH136, MATCH(2, 1/(AW136:BH136&lt;&gt;""), 1)-1), ROW(INDIRECT("1:" &amp; MATCH(2, 1/(AW136:BH136&lt;&gt;""), 1)-1))) &gt;= 150%, 150%, INDEX(AW136:INDEX(AW136:BH136, MATCH(2, 1/(AW136:BH136&lt;&gt;""), 1)-1), ROW(INDIRECT("1:" &amp; MATCH(2, 1/(AW136:BH136&lt;&gt;""), 1)-1)))), 0))/_xlfn.XLOOKUP(F136,Apuração!A:A,Apuração!B:B)&gt;=1.15,1.15,SUM(IFERROR(IF(INDEX(AW136:INDEX(AW136:BH136, MATCH(2, 1/(AW136:BH136&lt;&gt;""), 1)-1), ROW(INDIRECT("1:" &amp; MATCH(2, 1/(AW136:BH136&lt;&gt;""), 1)-1))) &gt;= 150%, 150%, INDEX(AW136:INDEX(AW136:BH136, MATCH(2, 1/(AW136:BH136&lt;&gt;""), 1)-1), ROW(INDIRECT("1:" &amp; MATCH(2, 1/(AW136:BH136&lt;&gt;""), 1)-1)))), 0))/_xlfn.XLOOKUP(F136,Apuração!A:A,Apuração!B:B))</f>
        <v>0.375</v>
      </c>
      <c r="BM136" s="55" cm="1">
        <f t="array" ref="BM136">IFERROR(
   INDEX($AW$1:$BH$1,
      _xlfn.AGGREGATE(14, 6, COLUMN($AW$1:$BH$1)/(AW136:BH136&lt;&gt;""), 2) - COLUMN($AW$1) + 1
   ),
"")</f>
        <v>46082</v>
      </c>
      <c r="BN136" s="55" cm="1">
        <f t="array" ref="BN136">IFERROR(INDEX($AW$1:$BH$1,1,MATCH(2,1/(AW136:BH136&lt;&gt;""))),"")</f>
        <v>46113</v>
      </c>
      <c r="BO136" s="53">
        <f ca="1">IFERROR(_xlfn.XLOOKUP(F136,Apuração!A:A,Apuração!C:C)/_xlfn.XLOOKUP(F136,Apuração!A:A,Apuração!B:B),0)</f>
        <v>0.41666666666666669</v>
      </c>
      <c r="BP136" s="53">
        <f ca="1">IFERROR(_xlfn.XLOOKUP(F136,Apuração!A:A,Apuração!D:D)/_xlfn.XLOOKUP(F136,Apuração!A:A,Apuração!B:B),0)</f>
        <v>0.33333333333333331</v>
      </c>
      <c r="BQ136" s="53">
        <f ca="1">IF(BK136&gt;=BO136,0,_xlfn.XLOOKUP(F136,Apuração!A:A,Apuração!B:B)*(BO136 + (1/_xlfn.XLOOKUP(F136,Apuração!A:A,Apuração!B:B)) - BK136))</f>
        <v>0</v>
      </c>
      <c r="BR136" s="85">
        <f t="shared" ca="1" si="261"/>
        <v>0</v>
      </c>
      <c r="BS136" s="53">
        <f ca="1">IFERROR((_xlfn.XLOOKUP(F136,Apuração!A:A,Apuração!C:C)+1)/_xlfn.XLOOKUP(F136,Apuração!A:A,Apuração!B:B),0)</f>
        <v>0.5</v>
      </c>
    </row>
    <row r="137" spans="1:71" ht="25.95" hidden="1" customHeight="1" x14ac:dyDescent="0.3">
      <c r="A137" s="23" t="s">
        <v>134</v>
      </c>
      <c r="B137" s="4" t="s">
        <v>150</v>
      </c>
      <c r="C137" s="5" t="s">
        <v>35</v>
      </c>
      <c r="D137" s="5" t="s">
        <v>47</v>
      </c>
      <c r="E137" s="4" t="str" cm="1">
        <f t="array" ref="E137">_xlfn.IFS(
F137 = "A partir de Abril", "Aguardando Execução na Distribuidora",
A137 = "CAPACITAÇÃO", "Em execução no Corporativo",
TRUE, "Em Execução na Distribuidora"
)</f>
        <v>Em Execução na Distribuidora</v>
      </c>
      <c r="F137" s="4" t="str" cm="1">
        <f t="array" ref="F137">_xlfn.IFS(
AG137 &lt;&gt; "", "Jan-Dez/26",
AH137 &lt;&gt; "", "Fev-Dez/26",
AI137 &lt;&gt; "", "Mar-Dez/26", AJ137 &lt;&gt; "", "Abr-Dez/26",
TRUE, "A partir de Junho"
)</f>
        <v>Jan-Dez/26</v>
      </c>
      <c r="G137" s="4" t="s">
        <v>37</v>
      </c>
      <c r="H137" s="7" t="s">
        <v>54</v>
      </c>
      <c r="I137" s="8" t="s">
        <v>152</v>
      </c>
      <c r="J137" s="8" t="str" cm="1">
        <f t="array" aca="1" ref="J137" ca="1">_xlfn.LET(
  _xlpm.actual_value_month, INDEX(T137:AE137, MATCH(DATE(YEAR(TODAY()), MONTH(TODAY()), 1), $T$1:$AE$1, 0)),
  IF(_xlpm.actual_value_month &lt;&gt; "",_xlpm.actual_value_month &amp; " ações mensais", "")
)</f>
        <v/>
      </c>
      <c r="K137" s="8" t="str" cm="1">
        <f t="array" ref="K137">_xlfn.LET(
    _xlpm.sum_month, SUM(T137:AE137),
    IF(_xlpm.sum_month = 0, "", _xlpm.sum_month &amp; " reuniões ordinárias no ano")
)</f>
        <v/>
      </c>
      <c r="L137" s="9" t="s">
        <v>153</v>
      </c>
      <c r="M137" s="24">
        <v>1</v>
      </c>
      <c r="N137" s="67" t="s">
        <v>51</v>
      </c>
      <c r="O137" s="5" t="s">
        <v>52</v>
      </c>
      <c r="P137" s="10" t="s">
        <v>44</v>
      </c>
      <c r="Q137" s="10" t="s">
        <v>72</v>
      </c>
      <c r="R137" s="11" t="s">
        <v>44</v>
      </c>
      <c r="S137" s="11" t="s">
        <v>44</v>
      </c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G137" s="82">
        <v>2</v>
      </c>
      <c r="AH137" s="82">
        <v>2</v>
      </c>
      <c r="AI137" s="82">
        <v>2</v>
      </c>
      <c r="AJ137" s="82">
        <v>11</v>
      </c>
      <c r="AK137" s="71"/>
      <c r="AL137" s="71"/>
      <c r="AM137" s="71"/>
      <c r="AN137" s="71"/>
      <c r="AO137" s="71"/>
      <c r="AP137" s="71"/>
      <c r="AQ137" s="71"/>
      <c r="AR137" s="71"/>
      <c r="AS137" s="94">
        <f t="shared" ref="AS137:AS138" ca="1" si="349">IF(MONTH(TODAY())=3,SUM(T137:U137),IF(MONTH(TODAY())=4,SUM(T137:V137),IF(MONTH(TODAY())=5,SUM(T137:W137),IF(MONTH(TODAY())=6,SUM(T137:X137),IF(MONTH(TODAY())=7,SUM(T137:Y137),IF(MONTH(TODAY())=8,SUM(T137:Z137),IF(MONTH(TODAY())=9,SUM(T137:AA137),IF(MONTH(TODAY())=10,SUM(T137:AB137),IF(MONTH(TODAY())=11,SUM(T137:AC137),IF(MONTH(TODAY())=12,SUM(T137:AD137),IF(MONTH(TODAY())=1,SUM(T137:AE137),T137)))))))))))</f>
        <v>0</v>
      </c>
      <c r="AT137" s="95">
        <f t="shared" ref="AT137:AT138" si="350">SUM(AG137:AR137)</f>
        <v>17</v>
      </c>
      <c r="AU137" s="97">
        <f t="shared" ref="AU137:AU138" si="351">SUM(AG137:AR137)</f>
        <v>17</v>
      </c>
      <c r="AW137" s="83">
        <f t="shared" ref="AW137:AW138" si="352">AG137</f>
        <v>2</v>
      </c>
      <c r="AX137" s="83">
        <f t="shared" ref="AX137:AX138" si="353">AH137</f>
        <v>2</v>
      </c>
      <c r="AY137" s="83">
        <f t="shared" ref="AY137:AY138" si="354">AI137</f>
        <v>2</v>
      </c>
      <c r="AZ137" s="83">
        <f t="shared" ref="AZ137:AZ138" si="355">AJ137</f>
        <v>11</v>
      </c>
      <c r="BA137" s="52"/>
      <c r="BB137" s="52"/>
      <c r="BC137" s="52"/>
      <c r="BD137" s="52"/>
      <c r="BE137" s="52"/>
      <c r="BF137" s="52"/>
      <c r="BG137" s="52"/>
      <c r="BH137" s="52"/>
      <c r="BI137" s="68" cm="1">
        <f t="array" ref="BI137">IFERROR(INDEX(AW137:BH137,1,MATCH(2,1/(AW137:BH137&lt;&gt;""))),"")</f>
        <v>11</v>
      </c>
      <c r="BJ137" s="68" cm="1">
        <f t="array" ref="BJ137">IF(BM137 = "", "",IFERROR(INDEX(AW137:BH137,1,MATCH(2,1/(AW137:BH137&lt;&gt;""),1)-1),""))</f>
        <v>2</v>
      </c>
      <c r="BK137" s="59">
        <f>IF((IF(AW137&gt;=150%,150%,AW137) + IF(AX137&gt;=150%,150%,AX137) + IF(AY137&gt;=150%,150%,AY137) + (IF(AW137&gt;=150%,150%,AW137) + IF(BA137&gt;=150%,150%,BA137) + IF(BB137&gt;=150%,150%,BB137) + IF(BC137&gt;=150%,150%,BC137) + IF(BD137&gt;=150%,150%,BD137) + IF(BE137&gt;=150%,150%,BE137) + IF(BF137&gt;=150%,150%,BF137) + IF(BG137&gt;=150%,150%,BG137) + IF(BH137&gt;=150%,150%,BH137)))/_xlfn.XLOOKUP(F137,Apuração!A:A,Apuração!B:B)&gt;=1.15,1.15,((IF(AW137&gt;=150%,150%,AW137) + IF(AX137&gt;=150%,150%,AX137) + IF(AY137&gt;=150%,150%,AY137) + (IF(AW137&gt;=150%,150%,AW137) + IF(BA137&gt;=150%,150%,BA137) + IF(BB137&gt;=150%,150%,BB137) + IF(BC137&gt;=150%,150%,BC137) + IF(BD137&gt;=150%,150%,BD137) + IF(BE137&gt;=150%,150%,BE137) + IF(BF137&gt;=150%,150%,BF137) + IF(BG137&gt;=150%,150%,BG137) + IF(BH137&gt;=150%,150%,BH137)))/_xlfn.XLOOKUP(F137,Apuração!A:A,Apuração!B:B)))</f>
        <v>0.5</v>
      </c>
      <c r="BL137" s="59" cm="1">
        <f t="array" aca="1" ref="BL137" ca="1">IF(SUM(IFERROR(IF(INDEX(AW137:INDEX(AW137:BH137, MATCH(2, 1/(AW137:BH137&lt;&gt;""), 1)-1), ROW(INDIRECT("1:" &amp; MATCH(2, 1/(AW137:BH137&lt;&gt;""), 1)-1))) &gt;= 150%, 150%, INDEX(AW137:INDEX(AW137:BH137, MATCH(2, 1/(AW137:BH137&lt;&gt;""), 1)-1), ROW(INDIRECT("1:" &amp; MATCH(2, 1/(AW137:BH137&lt;&gt;""), 1)-1)))), 0))/_xlfn.XLOOKUP(F137,Apuração!A:A,Apuração!B:B)&gt;=1.15,1.15,SUM(IFERROR(IF(INDEX(AW137:INDEX(AW137:BH137, MATCH(2, 1/(AW137:BH137&lt;&gt;""), 1)-1), ROW(INDIRECT("1:" &amp; MATCH(2, 1/(AW137:BH137&lt;&gt;""), 1)-1))) &gt;= 150%, 150%, INDEX(AW137:INDEX(AW137:BH137, MATCH(2, 1/(AW137:BH137&lt;&gt;""), 1)-1), ROW(INDIRECT("1:" &amp; MATCH(2, 1/(AW137:BH137&lt;&gt;""), 1)-1)))), 0))/_xlfn.XLOOKUP(F137,Apuração!A:A,Apuração!B:B))</f>
        <v>0.375</v>
      </c>
      <c r="BM137" s="55" cm="1">
        <f t="array" ref="BM137">IFERROR(
   INDEX($AW$1:$BH$1,
      _xlfn.AGGREGATE(14, 6, COLUMN($AW$1:$BH$1)/(AW137:BH137&lt;&gt;""), 2) - COLUMN($AW$1) + 1
   ),
"")</f>
        <v>46082</v>
      </c>
      <c r="BN137" s="55" cm="1">
        <f t="array" ref="BN137">IFERROR(INDEX($AW$1:$BH$1,1,MATCH(2,1/(AW137:BH137&lt;&gt;""))),"")</f>
        <v>46113</v>
      </c>
      <c r="BO137" s="53">
        <f ca="1">IFERROR(_xlfn.XLOOKUP(F137,Apuração!A:A,Apuração!C:C)/_xlfn.XLOOKUP(F137,Apuração!A:A,Apuração!B:B),0)</f>
        <v>0.41666666666666669</v>
      </c>
      <c r="BP137" s="53">
        <f ca="1">IFERROR(_xlfn.XLOOKUP(F137,Apuração!A:A,Apuração!D:D)/_xlfn.XLOOKUP(F137,Apuração!A:A,Apuração!B:B),0)</f>
        <v>0.33333333333333331</v>
      </c>
      <c r="BQ137" s="53">
        <f ca="1">IF(BK137&gt;=BO137,0,_xlfn.XLOOKUP(F137,Apuração!A:A,Apuração!B:B)*(BO137 + (1/_xlfn.XLOOKUP(F137,Apuração!A:A,Apuração!B:B)) - BK137))</f>
        <v>0</v>
      </c>
      <c r="BR137" s="85">
        <f t="shared" ref="BR137:BR138" ca="1" si="356">IF(BQ137=0,0,BQ137*Z137)</f>
        <v>0</v>
      </c>
      <c r="BS137" s="53">
        <f ca="1">IFERROR((_xlfn.XLOOKUP(F137,Apuração!A:A,Apuração!C:C)+1)/_xlfn.XLOOKUP(F137,Apuração!A:A,Apuração!B:B),0)</f>
        <v>0.5</v>
      </c>
    </row>
    <row r="138" spans="1:71" ht="25.95" hidden="1" customHeight="1" x14ac:dyDescent="0.3">
      <c r="A138" s="23" t="s">
        <v>134</v>
      </c>
      <c r="B138" s="4" t="s">
        <v>150</v>
      </c>
      <c r="C138" s="5" t="s">
        <v>35</v>
      </c>
      <c r="D138" s="5" t="s">
        <v>48</v>
      </c>
      <c r="E138" s="4" t="str" cm="1">
        <f t="array" ref="E138">_xlfn.IFS(
F138 = "A partir de Abril", "Aguardando Execução na Distribuidora",
A138 = "CAPACITAÇÃO", "Em execução no Corporativo",
TRUE, "Em Execução na Distribuidora"
)</f>
        <v>Em Execução na Distribuidora</v>
      </c>
      <c r="F138" s="4" t="str" cm="1">
        <f t="array" ref="F138">_xlfn.IFS(
AG138 &lt;&gt; "", "Jan-Dez/26",
AH138 &lt;&gt; "", "Fev-Dez/26",
AI138 &lt;&gt; "", "Mar-Dez/26", AJ138 &lt;&gt; "", "Abr-Dez/26",
TRUE, "A partir de Junho"
)</f>
        <v>Jan-Dez/26</v>
      </c>
      <c r="G138" s="4" t="s">
        <v>37</v>
      </c>
      <c r="H138" s="7" t="s">
        <v>54</v>
      </c>
      <c r="I138" s="8" t="s">
        <v>152</v>
      </c>
      <c r="J138" s="8" t="str" cm="1">
        <f t="array" aca="1" ref="J138" ca="1">_xlfn.LET(
  _xlpm.actual_value_month, INDEX(T138:AE138, MATCH(DATE(YEAR(TODAY()), MONTH(TODAY()), 1), $T$1:$AE$1, 0)),
  IF(_xlpm.actual_value_month &lt;&gt; "",_xlpm.actual_value_month &amp; " ações mensais", "")
)</f>
        <v/>
      </c>
      <c r="K138" s="8" t="str" cm="1">
        <f t="array" ref="K138">_xlfn.LET(
    _xlpm.sum_month, SUM(T138:AE138),
    IF(_xlpm.sum_month = 0, "", _xlpm.sum_month &amp; " reuniões ordinárias no ano")
)</f>
        <v/>
      </c>
      <c r="L138" s="9" t="s">
        <v>153</v>
      </c>
      <c r="M138" s="24">
        <v>1</v>
      </c>
      <c r="N138" s="67" t="s">
        <v>51</v>
      </c>
      <c r="O138" s="5" t="s">
        <v>52</v>
      </c>
      <c r="P138" s="10" t="s">
        <v>44</v>
      </c>
      <c r="Q138" s="10" t="s">
        <v>72</v>
      </c>
      <c r="R138" s="11" t="s">
        <v>44</v>
      </c>
      <c r="S138" s="11" t="s">
        <v>44</v>
      </c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G138" s="82">
        <v>2</v>
      </c>
      <c r="AH138" s="82">
        <v>2</v>
      </c>
      <c r="AI138" s="82">
        <v>2</v>
      </c>
      <c r="AJ138" s="82">
        <v>11</v>
      </c>
      <c r="AK138" s="71"/>
      <c r="AL138" s="71"/>
      <c r="AM138" s="71"/>
      <c r="AN138" s="71"/>
      <c r="AO138" s="71"/>
      <c r="AP138" s="71"/>
      <c r="AQ138" s="71"/>
      <c r="AR138" s="71"/>
      <c r="AS138" s="94">
        <f t="shared" ca="1" si="349"/>
        <v>0</v>
      </c>
      <c r="AT138" s="95">
        <f t="shared" si="350"/>
        <v>17</v>
      </c>
      <c r="AU138" s="97">
        <f t="shared" si="351"/>
        <v>17</v>
      </c>
      <c r="AW138" s="83">
        <f t="shared" si="352"/>
        <v>2</v>
      </c>
      <c r="AX138" s="83">
        <f t="shared" si="353"/>
        <v>2</v>
      </c>
      <c r="AY138" s="83">
        <f t="shared" si="354"/>
        <v>2</v>
      </c>
      <c r="AZ138" s="83">
        <f t="shared" si="355"/>
        <v>11</v>
      </c>
      <c r="BA138" s="52"/>
      <c r="BB138" s="52"/>
      <c r="BC138" s="52"/>
      <c r="BD138" s="52"/>
      <c r="BE138" s="52"/>
      <c r="BF138" s="52"/>
      <c r="BG138" s="52"/>
      <c r="BH138" s="52"/>
      <c r="BI138" s="68" cm="1">
        <f t="array" ref="BI138">IFERROR(INDEX(AW138:BH138,1,MATCH(2,1/(AW138:BH138&lt;&gt;""))),"")</f>
        <v>11</v>
      </c>
      <c r="BJ138" s="68" cm="1">
        <f t="array" ref="BJ138">IF(BM138 = "", "",IFERROR(INDEX(AW138:BH138,1,MATCH(2,1/(AW138:BH138&lt;&gt;""),1)-1),""))</f>
        <v>2</v>
      </c>
      <c r="BK138" s="59">
        <f>IF((IF(AW138&gt;=150%,150%,AW138) + IF(AX138&gt;=150%,150%,AX138) + IF(AY138&gt;=150%,150%,AY138) + (IF(AW138&gt;=150%,150%,AW138) + IF(BA138&gt;=150%,150%,BA138) + IF(BB138&gt;=150%,150%,BB138) + IF(BC138&gt;=150%,150%,BC138) + IF(BD138&gt;=150%,150%,BD138) + IF(BE138&gt;=150%,150%,BE138) + IF(BF138&gt;=150%,150%,BF138) + IF(BG138&gt;=150%,150%,BG138) + IF(BH138&gt;=150%,150%,BH138)))/_xlfn.XLOOKUP(F138,Apuração!A:A,Apuração!B:B)&gt;=1.15,1.15,((IF(AW138&gt;=150%,150%,AW138) + IF(AX138&gt;=150%,150%,AX138) + IF(AY138&gt;=150%,150%,AY138) + (IF(AW138&gt;=150%,150%,AW138) + IF(BA138&gt;=150%,150%,BA138) + IF(BB138&gt;=150%,150%,BB138) + IF(BC138&gt;=150%,150%,BC138) + IF(BD138&gt;=150%,150%,BD138) + IF(BE138&gt;=150%,150%,BE138) + IF(BF138&gt;=150%,150%,BF138) + IF(BG138&gt;=150%,150%,BG138) + IF(BH138&gt;=150%,150%,BH138)))/_xlfn.XLOOKUP(F138,Apuração!A:A,Apuração!B:B)))</f>
        <v>0.5</v>
      </c>
      <c r="BL138" s="59" cm="1">
        <f t="array" aca="1" ref="BL138" ca="1">IF(SUM(IFERROR(IF(INDEX(AW138:INDEX(AW138:BH138, MATCH(2, 1/(AW138:BH138&lt;&gt;""), 1)-1), ROW(INDIRECT("1:" &amp; MATCH(2, 1/(AW138:BH138&lt;&gt;""), 1)-1))) &gt;= 150%, 150%, INDEX(AW138:INDEX(AW138:BH138, MATCH(2, 1/(AW138:BH138&lt;&gt;""), 1)-1), ROW(INDIRECT("1:" &amp; MATCH(2, 1/(AW138:BH138&lt;&gt;""), 1)-1)))), 0))/_xlfn.XLOOKUP(F138,Apuração!A:A,Apuração!B:B)&gt;=1.15,1.15,SUM(IFERROR(IF(INDEX(AW138:INDEX(AW138:BH138, MATCH(2, 1/(AW138:BH138&lt;&gt;""), 1)-1), ROW(INDIRECT("1:" &amp; MATCH(2, 1/(AW138:BH138&lt;&gt;""), 1)-1))) &gt;= 150%, 150%, INDEX(AW138:INDEX(AW138:BH138, MATCH(2, 1/(AW138:BH138&lt;&gt;""), 1)-1), ROW(INDIRECT("1:" &amp; MATCH(2, 1/(AW138:BH138&lt;&gt;""), 1)-1)))), 0))/_xlfn.XLOOKUP(F138,Apuração!A:A,Apuração!B:B))</f>
        <v>0.375</v>
      </c>
      <c r="BM138" s="55" cm="1">
        <f t="array" ref="BM138">IFERROR(
   INDEX($AW$1:$BH$1,
      _xlfn.AGGREGATE(14, 6, COLUMN($AW$1:$BH$1)/(AW138:BH138&lt;&gt;""), 2) - COLUMN($AW$1) + 1
   ),
"")</f>
        <v>46082</v>
      </c>
      <c r="BN138" s="55" cm="1">
        <f t="array" ref="BN138">IFERROR(INDEX($AW$1:$BH$1,1,MATCH(2,1/(AW138:BH138&lt;&gt;""))),"")</f>
        <v>46113</v>
      </c>
      <c r="BO138" s="53">
        <f ca="1">IFERROR(_xlfn.XLOOKUP(F138,Apuração!A:A,Apuração!C:C)/_xlfn.XLOOKUP(F138,Apuração!A:A,Apuração!B:B),0)</f>
        <v>0.41666666666666669</v>
      </c>
      <c r="BP138" s="53">
        <f ca="1">IFERROR(_xlfn.XLOOKUP(F138,Apuração!A:A,Apuração!D:D)/_xlfn.XLOOKUP(F138,Apuração!A:A,Apuração!B:B),0)</f>
        <v>0.33333333333333331</v>
      </c>
      <c r="BQ138" s="53">
        <f ca="1">IF(BK138&gt;=BO138,0,_xlfn.XLOOKUP(F138,Apuração!A:A,Apuração!B:B)*(BO138 + (1/_xlfn.XLOOKUP(F138,Apuração!A:A,Apuração!B:B)) - BK138))</f>
        <v>0</v>
      </c>
      <c r="BR138" s="85">
        <f t="shared" ca="1" si="356"/>
        <v>0</v>
      </c>
      <c r="BS138" s="53">
        <f ca="1">IFERROR((_xlfn.XLOOKUP(F138,Apuração!A:A,Apuração!C:C)+1)/_xlfn.XLOOKUP(F138,Apuração!A:A,Apuração!B:B),0)</f>
        <v>0.5</v>
      </c>
    </row>
    <row r="139" spans="1:71" ht="25.95" hidden="1" customHeight="1" x14ac:dyDescent="0.3">
      <c r="A139" s="23" t="s">
        <v>134</v>
      </c>
      <c r="B139" s="4" t="s">
        <v>150</v>
      </c>
      <c r="C139" s="5" t="s">
        <v>35</v>
      </c>
      <c r="D139" s="5" t="s">
        <v>36</v>
      </c>
      <c r="E139" s="4" t="str" cm="1">
        <f t="array" ref="E139">_xlfn.IFS(
F139 = "A partir de Abril", "Aguardando Execução na Distribuidora",
A139 = "CAPACITAÇÃO", "Em execução no Corporativo",
TRUE, "Em Execução na Distribuidora"
)</f>
        <v>Em Execução na Distribuidora</v>
      </c>
      <c r="F139" s="4" t="str" cm="1">
        <f t="array" ref="F139">_xlfn.IFS(
AG139 &lt;&gt; "", "Jan-Dez/26",
AH139 &lt;&gt; "", "Fev-Dez/26",
AI139 &lt;&gt; "", "Mar-Dez/26", AJ139 &lt;&gt; "", "Abr-Dez/26",
TRUE, "A partir de Junho"
)</f>
        <v>Jan-Dez/26</v>
      </c>
      <c r="G139" s="4" t="s">
        <v>37</v>
      </c>
      <c r="H139" s="7" t="s">
        <v>54</v>
      </c>
      <c r="I139" s="8" t="s">
        <v>154</v>
      </c>
      <c r="J139" s="8" t="str" cm="1">
        <f t="array" aca="1" ref="J139" ca="1">_xlfn.LET(
  _xlpm.actual_value_month, INDEX(T139:AE139, MATCH(DATE(YEAR(TODAY()), MONTH(TODAY()), 1), $T$1:$AE$1, 0)),
  IF(_xlpm.actual_value_month &lt;&gt; "",_xlpm.actual_value_month &amp; " ações mensais", "")
)</f>
        <v/>
      </c>
      <c r="K139" s="8" t="str" cm="1">
        <f t="array" ref="K139">_xlfn.LET(
    _xlpm.sum_month, SUM(T139:AE139),
    IF(_xlpm.sum_month = 0, "", _xlpm.sum_month &amp; " presença de representantes no ano")
)</f>
        <v/>
      </c>
      <c r="L139" s="9" t="s">
        <v>155</v>
      </c>
      <c r="M139" s="24"/>
      <c r="N139" s="67" t="s">
        <v>51</v>
      </c>
      <c r="O139" s="5" t="s">
        <v>43</v>
      </c>
      <c r="P139" s="10" t="s">
        <v>44</v>
      </c>
      <c r="Q139" s="10" t="s">
        <v>72</v>
      </c>
      <c r="R139" s="11" t="s">
        <v>44</v>
      </c>
      <c r="S139" s="11" t="s">
        <v>44</v>
      </c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G139" s="82">
        <v>29</v>
      </c>
      <c r="AH139" s="82">
        <v>29</v>
      </c>
      <c r="AI139" s="82">
        <v>29</v>
      </c>
      <c r="AJ139" s="82">
        <v>68</v>
      </c>
      <c r="AK139" s="71"/>
      <c r="AL139" s="71"/>
      <c r="AM139" s="71"/>
      <c r="AN139" s="71"/>
      <c r="AO139" s="71"/>
      <c r="AP139" s="71"/>
      <c r="AQ139" s="71"/>
      <c r="AR139" s="71"/>
      <c r="AS139" s="94">
        <f t="shared" ca="1" si="287"/>
        <v>0</v>
      </c>
      <c r="AT139" s="95">
        <f>SUM(AG139:AR139)</f>
        <v>155</v>
      </c>
      <c r="AU139" s="97">
        <f t="shared" si="288"/>
        <v>155</v>
      </c>
      <c r="AW139" s="83">
        <f t="shared" ref="AW139:AW144" si="357">AG139</f>
        <v>29</v>
      </c>
      <c r="AX139" s="83">
        <f t="shared" si="346"/>
        <v>29</v>
      </c>
      <c r="AY139" s="83">
        <f t="shared" si="347"/>
        <v>29</v>
      </c>
      <c r="AZ139" s="83">
        <f t="shared" si="348"/>
        <v>68</v>
      </c>
      <c r="BA139" s="52"/>
      <c r="BB139" s="52"/>
      <c r="BC139" s="52"/>
      <c r="BD139" s="52"/>
      <c r="BE139" s="52"/>
      <c r="BF139" s="52"/>
      <c r="BG139" s="52"/>
      <c r="BH139" s="52"/>
      <c r="BI139" s="68" cm="1">
        <f t="array" ref="BI139">IFERROR(INDEX(AW139:BH139,1,MATCH(2,1/(AW139:BH139&lt;&gt;""))),"")</f>
        <v>68</v>
      </c>
      <c r="BJ139" s="68" cm="1">
        <f t="array" ref="BJ139">IF(BM139 = "", "",IFERROR(INDEX(AW139:BH139,1,MATCH(2,1/(AW139:BH139&lt;&gt;""),1)-1),""))</f>
        <v>29</v>
      </c>
      <c r="BK139" s="59">
        <f>IF((IF(AW139&gt;=150%,150%,AW139) + IF(AX139&gt;=150%,150%,AX139) + IF(AY139&gt;=150%,150%,AY139) + (IF(AW139&gt;=150%,150%,AW139) + IF(BA139&gt;=150%,150%,BA139) + IF(BB139&gt;=150%,150%,BB139) + IF(BC139&gt;=150%,150%,BC139) + IF(BD139&gt;=150%,150%,BD139) + IF(BE139&gt;=150%,150%,BE139) + IF(BF139&gt;=150%,150%,BF139) + IF(BG139&gt;=150%,150%,BG139) + IF(BH139&gt;=150%,150%,BH139)))/_xlfn.XLOOKUP(F139,Apuração!A:A,Apuração!B:B)&gt;=1.15,1.15,((IF(AW139&gt;=150%,150%,AW139) + IF(AX139&gt;=150%,150%,AX139) + IF(AY139&gt;=150%,150%,AY139) + (IF(AW139&gt;=150%,150%,AW139) + IF(BA139&gt;=150%,150%,BA139) + IF(BB139&gt;=150%,150%,BB139) + IF(BC139&gt;=150%,150%,BC139) + IF(BD139&gt;=150%,150%,BD139) + IF(BE139&gt;=150%,150%,BE139) + IF(BF139&gt;=150%,150%,BF139) + IF(BG139&gt;=150%,150%,BG139) + IF(BH139&gt;=150%,150%,BH139)))/_xlfn.XLOOKUP(F139,Apuração!A:A,Apuração!B:B)))</f>
        <v>0.5</v>
      </c>
      <c r="BL139" s="59" cm="1">
        <f t="array" aca="1" ref="BL139" ca="1">IF(SUM(IFERROR(IF(INDEX(AW139:INDEX(AW139:BH139, MATCH(2, 1/(AW139:BH139&lt;&gt;""), 1)-1), ROW(INDIRECT("1:" &amp; MATCH(2, 1/(AW139:BH139&lt;&gt;""), 1)-1))) &gt;= 150%, 150%, INDEX(AW139:INDEX(AW139:BH139, MATCH(2, 1/(AW139:BH139&lt;&gt;""), 1)-1), ROW(INDIRECT("1:" &amp; MATCH(2, 1/(AW139:BH139&lt;&gt;""), 1)-1)))), 0))/_xlfn.XLOOKUP(F139,Apuração!A:A,Apuração!B:B)&gt;=1.15,1.15,SUM(IFERROR(IF(INDEX(AW139:INDEX(AW139:BH139, MATCH(2, 1/(AW139:BH139&lt;&gt;""), 1)-1), ROW(INDIRECT("1:" &amp; MATCH(2, 1/(AW139:BH139&lt;&gt;""), 1)-1))) &gt;= 150%, 150%, INDEX(AW139:INDEX(AW139:BH139, MATCH(2, 1/(AW139:BH139&lt;&gt;""), 1)-1), ROW(INDIRECT("1:" &amp; MATCH(2, 1/(AW139:BH139&lt;&gt;""), 1)-1)))), 0))/_xlfn.XLOOKUP(F139,Apuração!A:A,Apuração!B:B))</f>
        <v>0.375</v>
      </c>
      <c r="BM139" s="55" cm="1">
        <f t="array" ref="BM139">IFERROR(
   INDEX($AW$1:$BH$1,
      _xlfn.AGGREGATE(14, 6, COLUMN($AW$1:$BH$1)/(AW139:BH139&lt;&gt;""), 2) - COLUMN($AW$1) + 1
   ),
"")</f>
        <v>46082</v>
      </c>
      <c r="BN139" s="55" cm="1">
        <f t="array" ref="BN139">IFERROR(INDEX($AW$1:$BH$1,1,MATCH(2,1/(AW139:BH139&lt;&gt;""))),"")</f>
        <v>46113</v>
      </c>
      <c r="BO139" s="53">
        <f ca="1">IFERROR(_xlfn.XLOOKUP(F139,Apuração!A:A,Apuração!C:C)/_xlfn.XLOOKUP(F139,Apuração!A:A,Apuração!B:B),0)</f>
        <v>0.41666666666666669</v>
      </c>
      <c r="BP139" s="53">
        <f ca="1">IFERROR(_xlfn.XLOOKUP(F139,Apuração!A:A,Apuração!D:D)/_xlfn.XLOOKUP(F139,Apuração!A:A,Apuração!B:B),0)</f>
        <v>0.33333333333333331</v>
      </c>
      <c r="BQ139" s="53">
        <f ca="1">IF(BK139&gt;=BO139,0,_xlfn.XLOOKUP(F139,Apuração!A:A,Apuração!B:B)*(BO139 + (1/_xlfn.XLOOKUP(F139,Apuração!A:A,Apuração!B:B)) - BK139))</f>
        <v>0</v>
      </c>
      <c r="BR139" s="85">
        <f t="shared" ca="1" si="261"/>
        <v>0</v>
      </c>
      <c r="BS139" s="53">
        <f ca="1">IFERROR((_xlfn.XLOOKUP(F139,Apuração!A:A,Apuração!C:C)+1)/_xlfn.XLOOKUP(F139,Apuração!A:A,Apuração!B:B),0)</f>
        <v>0.5</v>
      </c>
    </row>
    <row r="140" spans="1:71" ht="25.95" hidden="1" customHeight="1" x14ac:dyDescent="0.3">
      <c r="A140" s="23" t="s">
        <v>134</v>
      </c>
      <c r="B140" s="4" t="s">
        <v>150</v>
      </c>
      <c r="C140" s="5" t="s">
        <v>35</v>
      </c>
      <c r="D140" s="5" t="s">
        <v>47</v>
      </c>
      <c r="E140" s="4" t="str" cm="1">
        <f t="array" ref="E140">_xlfn.IFS(
F140 = "A partir de Abril", "Aguardando Execução na Distribuidora",
A140 = "CAPACITAÇÃO", "Em execução no Corporativo",
TRUE, "Em Execução na Distribuidora"
)</f>
        <v>Em Execução na Distribuidora</v>
      </c>
      <c r="F140" s="4" t="str" cm="1">
        <f t="array" ref="F140">_xlfn.IFS(
AG140 &lt;&gt; "", "Jan-Dez/26",
AH140 &lt;&gt; "", "Fev-Dez/26",
AI140 &lt;&gt; "", "Mar-Dez/26", AJ140 &lt;&gt; "", "Abr-Dez/26",
TRUE, "A partir de Junho"
)</f>
        <v>Jan-Dez/26</v>
      </c>
      <c r="G140" s="4" t="s">
        <v>37</v>
      </c>
      <c r="H140" s="7" t="s">
        <v>54</v>
      </c>
      <c r="I140" s="8" t="s">
        <v>154</v>
      </c>
      <c r="J140" s="8" t="str" cm="1">
        <f t="array" aca="1" ref="J140" ca="1">_xlfn.LET(
  _xlpm.actual_value_month, INDEX(T140:AE140, MATCH(DATE(YEAR(TODAY()), MONTH(TODAY()), 1), $T$1:$AE$1, 0)),
  IF(_xlpm.actual_value_month &lt;&gt; "",_xlpm.actual_value_month &amp; " ações mensais", "")
)</f>
        <v/>
      </c>
      <c r="K140" s="8" t="str" cm="1">
        <f t="array" ref="K140">_xlfn.LET(
    _xlpm.sum_month, SUM(T140:AE140),
    IF(_xlpm.sum_month = 0, "", _xlpm.sum_month &amp; " presença de representantes no ano")
)</f>
        <v/>
      </c>
      <c r="L140" s="9" t="s">
        <v>155</v>
      </c>
      <c r="M140" s="24"/>
      <c r="N140" s="67" t="s">
        <v>51</v>
      </c>
      <c r="O140" s="5" t="s">
        <v>43</v>
      </c>
      <c r="P140" s="10" t="s">
        <v>44</v>
      </c>
      <c r="Q140" s="10" t="s">
        <v>72</v>
      </c>
      <c r="R140" s="11" t="s">
        <v>44</v>
      </c>
      <c r="S140" s="11" t="s">
        <v>44</v>
      </c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G140" s="82">
        <v>18</v>
      </c>
      <c r="AH140" s="82">
        <v>18</v>
      </c>
      <c r="AI140" s="82">
        <v>18</v>
      </c>
      <c r="AJ140" s="82">
        <v>45</v>
      </c>
      <c r="AK140" s="71"/>
      <c r="AL140" s="71"/>
      <c r="AM140" s="71"/>
      <c r="AN140" s="71"/>
      <c r="AO140" s="71"/>
      <c r="AP140" s="71"/>
      <c r="AQ140" s="71"/>
      <c r="AR140" s="71"/>
      <c r="AS140" s="94">
        <f t="shared" ref="AS140:AS143" ca="1" si="358">IF(MONTH(TODAY())=3,SUM(T140:U140),IF(MONTH(TODAY())=4,SUM(T140:V140),IF(MONTH(TODAY())=5,SUM(T140:W140),IF(MONTH(TODAY())=6,SUM(T140:X140),IF(MONTH(TODAY())=7,SUM(T140:Y140),IF(MONTH(TODAY())=8,SUM(T140:Z140),IF(MONTH(TODAY())=9,SUM(T140:AA140),IF(MONTH(TODAY())=10,SUM(T140:AB140),IF(MONTH(TODAY())=11,SUM(T140:AC140),IF(MONTH(TODAY())=12,SUM(T140:AD140),IF(MONTH(TODAY())=1,SUM(T140:AE140),T140)))))))))))</f>
        <v>0</v>
      </c>
      <c r="AT140" s="95">
        <f t="shared" ref="AT140:AT143" si="359">SUM(AG140:AR140)</f>
        <v>99</v>
      </c>
      <c r="AU140" s="97">
        <f t="shared" ref="AU140:AU143" si="360">SUM(AG140:AR140)</f>
        <v>99</v>
      </c>
      <c r="AW140" s="83">
        <f t="shared" ref="AW140:AW143" si="361">AG140</f>
        <v>18</v>
      </c>
      <c r="AX140" s="83">
        <f t="shared" ref="AX140:AX143" si="362">AH140</f>
        <v>18</v>
      </c>
      <c r="AY140" s="83">
        <f t="shared" ref="AY140:AY143" si="363">AI140</f>
        <v>18</v>
      </c>
      <c r="AZ140" s="83">
        <f t="shared" ref="AZ140:AZ143" si="364">AJ140</f>
        <v>45</v>
      </c>
      <c r="BA140" s="52"/>
      <c r="BB140" s="52"/>
      <c r="BC140" s="52"/>
      <c r="BD140" s="52"/>
      <c r="BE140" s="52"/>
      <c r="BF140" s="52"/>
      <c r="BG140" s="52"/>
      <c r="BH140" s="52"/>
      <c r="BI140" s="68" cm="1">
        <f t="array" ref="BI140">IFERROR(INDEX(AW140:BH140,1,MATCH(2,1/(AW140:BH140&lt;&gt;""))),"")</f>
        <v>45</v>
      </c>
      <c r="BJ140" s="68" cm="1">
        <f t="array" ref="BJ140">IF(BM140 = "", "",IFERROR(INDEX(AW140:BH140,1,MATCH(2,1/(AW140:BH140&lt;&gt;""),1)-1),""))</f>
        <v>18</v>
      </c>
      <c r="BK140" s="59">
        <f>IF((IF(AW140&gt;=150%,150%,AW140) + IF(AX140&gt;=150%,150%,AX140) + IF(AY140&gt;=150%,150%,AY140) + (IF(AW140&gt;=150%,150%,AW140) + IF(BA140&gt;=150%,150%,BA140) + IF(BB140&gt;=150%,150%,BB140) + IF(BC140&gt;=150%,150%,BC140) + IF(BD140&gt;=150%,150%,BD140) + IF(BE140&gt;=150%,150%,BE140) + IF(BF140&gt;=150%,150%,BF140) + IF(BG140&gt;=150%,150%,BG140) + IF(BH140&gt;=150%,150%,BH140)))/_xlfn.XLOOKUP(F140,Apuração!A:A,Apuração!B:B)&gt;=1.15,1.15,((IF(AW140&gt;=150%,150%,AW140) + IF(AX140&gt;=150%,150%,AX140) + IF(AY140&gt;=150%,150%,AY140) + (IF(AW140&gt;=150%,150%,AW140) + IF(BA140&gt;=150%,150%,BA140) + IF(BB140&gt;=150%,150%,BB140) + IF(BC140&gt;=150%,150%,BC140) + IF(BD140&gt;=150%,150%,BD140) + IF(BE140&gt;=150%,150%,BE140) + IF(BF140&gt;=150%,150%,BF140) + IF(BG140&gt;=150%,150%,BG140) + IF(BH140&gt;=150%,150%,BH140)))/_xlfn.XLOOKUP(F140,Apuração!A:A,Apuração!B:B)))</f>
        <v>0.5</v>
      </c>
      <c r="BL140" s="59" cm="1">
        <f t="array" aca="1" ref="BL140" ca="1">IF(SUM(IFERROR(IF(INDEX(AW140:INDEX(AW140:BH140, MATCH(2, 1/(AW140:BH140&lt;&gt;""), 1)-1), ROW(INDIRECT("1:" &amp; MATCH(2, 1/(AW140:BH140&lt;&gt;""), 1)-1))) &gt;= 150%, 150%, INDEX(AW140:INDEX(AW140:BH140, MATCH(2, 1/(AW140:BH140&lt;&gt;""), 1)-1), ROW(INDIRECT("1:" &amp; MATCH(2, 1/(AW140:BH140&lt;&gt;""), 1)-1)))), 0))/_xlfn.XLOOKUP(F140,Apuração!A:A,Apuração!B:B)&gt;=1.15,1.15,SUM(IFERROR(IF(INDEX(AW140:INDEX(AW140:BH140, MATCH(2, 1/(AW140:BH140&lt;&gt;""), 1)-1), ROW(INDIRECT("1:" &amp; MATCH(2, 1/(AW140:BH140&lt;&gt;""), 1)-1))) &gt;= 150%, 150%, INDEX(AW140:INDEX(AW140:BH140, MATCH(2, 1/(AW140:BH140&lt;&gt;""), 1)-1), ROW(INDIRECT("1:" &amp; MATCH(2, 1/(AW140:BH140&lt;&gt;""), 1)-1)))), 0))/_xlfn.XLOOKUP(F140,Apuração!A:A,Apuração!B:B))</f>
        <v>0.375</v>
      </c>
      <c r="BM140" s="55" cm="1">
        <f t="array" ref="BM140">IFERROR(
   INDEX($AW$1:$BH$1,
      _xlfn.AGGREGATE(14, 6, COLUMN($AW$1:$BH$1)/(AW140:BH140&lt;&gt;""), 2) - COLUMN($AW$1) + 1
   ),
"")</f>
        <v>46082</v>
      </c>
      <c r="BN140" s="55" cm="1">
        <f t="array" ref="BN140">IFERROR(INDEX($AW$1:$BH$1,1,MATCH(2,1/(AW140:BH140&lt;&gt;""))),"")</f>
        <v>46113</v>
      </c>
      <c r="BO140" s="53">
        <f ca="1">IFERROR(_xlfn.XLOOKUP(F140,Apuração!A:A,Apuração!C:C)/_xlfn.XLOOKUP(F140,Apuração!A:A,Apuração!B:B),0)</f>
        <v>0.41666666666666669</v>
      </c>
      <c r="BP140" s="53">
        <f ca="1">IFERROR(_xlfn.XLOOKUP(F140,Apuração!A:A,Apuração!D:D)/_xlfn.XLOOKUP(F140,Apuração!A:A,Apuração!B:B),0)</f>
        <v>0.33333333333333331</v>
      </c>
      <c r="BQ140" s="53">
        <f ca="1">IF(BK140&gt;=BO140,0,_xlfn.XLOOKUP(F140,Apuração!A:A,Apuração!B:B)*(BO140 + (1/_xlfn.XLOOKUP(F140,Apuração!A:A,Apuração!B:B)) - BK140))</f>
        <v>0</v>
      </c>
      <c r="BR140" s="85">
        <f t="shared" ref="BR140:BR143" ca="1" si="365">IF(BQ140=0,0,BQ140*Z140)</f>
        <v>0</v>
      </c>
      <c r="BS140" s="53">
        <f ca="1">IFERROR((_xlfn.XLOOKUP(F140,Apuração!A:A,Apuração!C:C)+1)/_xlfn.XLOOKUP(F140,Apuração!A:A,Apuração!B:B),0)</f>
        <v>0.5</v>
      </c>
    </row>
    <row r="141" spans="1:71" ht="25.95" hidden="1" customHeight="1" x14ac:dyDescent="0.3">
      <c r="A141" s="23" t="s">
        <v>134</v>
      </c>
      <c r="B141" s="4" t="s">
        <v>150</v>
      </c>
      <c r="C141" s="5" t="s">
        <v>35</v>
      </c>
      <c r="D141" s="5" t="s">
        <v>48</v>
      </c>
      <c r="E141" s="4" t="str" cm="1">
        <f t="array" ref="E141">_xlfn.IFS(
F141 = "A partir de Abril", "Aguardando Execução na Distribuidora",
A141 = "CAPACITAÇÃO", "Em execução no Corporativo",
TRUE, "Em Execução na Distribuidora"
)</f>
        <v>Em Execução na Distribuidora</v>
      </c>
      <c r="F141" s="4" t="str" cm="1">
        <f t="array" ref="F141">_xlfn.IFS(
AG141 &lt;&gt; "", "Jan-Dez/26",
AH141 &lt;&gt; "", "Fev-Dez/26",
AI141 &lt;&gt; "", "Mar-Dez/26", AJ141 &lt;&gt; "", "Abr-Dez/26",
TRUE, "A partir de Junho"
)</f>
        <v>Jan-Dez/26</v>
      </c>
      <c r="G141" s="4" t="s">
        <v>37</v>
      </c>
      <c r="H141" s="7" t="s">
        <v>54</v>
      </c>
      <c r="I141" s="8" t="s">
        <v>154</v>
      </c>
      <c r="J141" s="8" t="str" cm="1">
        <f t="array" aca="1" ref="J141" ca="1">_xlfn.LET(
  _xlpm.actual_value_month, INDEX(T141:AE141, MATCH(DATE(YEAR(TODAY()), MONTH(TODAY()), 1), $T$1:$AE$1, 0)),
  IF(_xlpm.actual_value_month &lt;&gt; "",_xlpm.actual_value_month &amp; " ações mensais", "")
)</f>
        <v/>
      </c>
      <c r="K141" s="8" t="str" cm="1">
        <f t="array" ref="K141">_xlfn.LET(
    _xlpm.sum_month, SUM(T141:AE141),
    IF(_xlpm.sum_month = 0, "", _xlpm.sum_month &amp; " presença de representantes no ano")
)</f>
        <v/>
      </c>
      <c r="L141" s="9" t="s">
        <v>155</v>
      </c>
      <c r="M141" s="24"/>
      <c r="N141" s="67" t="s">
        <v>51</v>
      </c>
      <c r="O141" s="5" t="s">
        <v>43</v>
      </c>
      <c r="P141" s="10" t="s">
        <v>44</v>
      </c>
      <c r="Q141" s="10" t="s">
        <v>72</v>
      </c>
      <c r="R141" s="11" t="s">
        <v>44</v>
      </c>
      <c r="S141" s="11" t="s">
        <v>44</v>
      </c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G141" s="82">
        <v>11</v>
      </c>
      <c r="AH141" s="82">
        <v>11</v>
      </c>
      <c r="AI141" s="82">
        <v>11</v>
      </c>
      <c r="AJ141" s="82">
        <v>23</v>
      </c>
      <c r="AK141" s="71"/>
      <c r="AL141" s="71"/>
      <c r="AM141" s="71"/>
      <c r="AN141" s="71"/>
      <c r="AO141" s="71"/>
      <c r="AP141" s="71"/>
      <c r="AQ141" s="71"/>
      <c r="AR141" s="71"/>
      <c r="AS141" s="94">
        <f t="shared" ca="1" si="358"/>
        <v>0</v>
      </c>
      <c r="AT141" s="95">
        <f t="shared" si="359"/>
        <v>56</v>
      </c>
      <c r="AU141" s="97">
        <f t="shared" si="360"/>
        <v>56</v>
      </c>
      <c r="AW141" s="83">
        <f t="shared" si="361"/>
        <v>11</v>
      </c>
      <c r="AX141" s="83">
        <f t="shared" si="362"/>
        <v>11</v>
      </c>
      <c r="AY141" s="83">
        <f t="shared" si="363"/>
        <v>11</v>
      </c>
      <c r="AZ141" s="83">
        <f t="shared" si="364"/>
        <v>23</v>
      </c>
      <c r="BA141" s="52"/>
      <c r="BB141" s="52"/>
      <c r="BC141" s="52"/>
      <c r="BD141" s="52"/>
      <c r="BE141" s="52"/>
      <c r="BF141" s="52"/>
      <c r="BG141" s="52"/>
      <c r="BH141" s="52"/>
      <c r="BI141" s="68" cm="1">
        <f t="array" ref="BI141">IFERROR(INDEX(AW141:BH141,1,MATCH(2,1/(AW141:BH141&lt;&gt;""))),"")</f>
        <v>23</v>
      </c>
      <c r="BJ141" s="68" cm="1">
        <f t="array" ref="BJ141">IF(BM141 = "", "",IFERROR(INDEX(AW141:BH141,1,MATCH(2,1/(AW141:BH141&lt;&gt;""),1)-1),""))</f>
        <v>11</v>
      </c>
      <c r="BK141" s="59">
        <f>IF((IF(AW141&gt;=150%,150%,AW141) + IF(AX141&gt;=150%,150%,AX141) + IF(AY141&gt;=150%,150%,AY141) + (IF(AW141&gt;=150%,150%,AW141) + IF(BA141&gt;=150%,150%,BA141) + IF(BB141&gt;=150%,150%,BB141) + IF(BC141&gt;=150%,150%,BC141) + IF(BD141&gt;=150%,150%,BD141) + IF(BE141&gt;=150%,150%,BE141) + IF(BF141&gt;=150%,150%,BF141) + IF(BG141&gt;=150%,150%,BG141) + IF(BH141&gt;=150%,150%,BH141)))/_xlfn.XLOOKUP(F141,Apuração!A:A,Apuração!B:B)&gt;=1.15,1.15,((IF(AW141&gt;=150%,150%,AW141) + IF(AX141&gt;=150%,150%,AX141) + IF(AY141&gt;=150%,150%,AY141) + (IF(AW141&gt;=150%,150%,AW141) + IF(BA141&gt;=150%,150%,BA141) + IF(BB141&gt;=150%,150%,BB141) + IF(BC141&gt;=150%,150%,BC141) + IF(BD141&gt;=150%,150%,BD141) + IF(BE141&gt;=150%,150%,BE141) + IF(BF141&gt;=150%,150%,BF141) + IF(BG141&gt;=150%,150%,BG141) + IF(BH141&gt;=150%,150%,BH141)))/_xlfn.XLOOKUP(F141,Apuração!A:A,Apuração!B:B)))</f>
        <v>0.5</v>
      </c>
      <c r="BL141" s="59" cm="1">
        <f t="array" aca="1" ref="BL141" ca="1">IF(SUM(IFERROR(IF(INDEX(AW141:INDEX(AW141:BH141, MATCH(2, 1/(AW141:BH141&lt;&gt;""), 1)-1), ROW(INDIRECT("1:" &amp; MATCH(2, 1/(AW141:BH141&lt;&gt;""), 1)-1))) &gt;= 150%, 150%, INDEX(AW141:INDEX(AW141:BH141, MATCH(2, 1/(AW141:BH141&lt;&gt;""), 1)-1), ROW(INDIRECT("1:" &amp; MATCH(2, 1/(AW141:BH141&lt;&gt;""), 1)-1)))), 0))/_xlfn.XLOOKUP(F141,Apuração!A:A,Apuração!B:B)&gt;=1.15,1.15,SUM(IFERROR(IF(INDEX(AW141:INDEX(AW141:BH141, MATCH(2, 1/(AW141:BH141&lt;&gt;""), 1)-1), ROW(INDIRECT("1:" &amp; MATCH(2, 1/(AW141:BH141&lt;&gt;""), 1)-1))) &gt;= 150%, 150%, INDEX(AW141:INDEX(AW141:BH141, MATCH(2, 1/(AW141:BH141&lt;&gt;""), 1)-1), ROW(INDIRECT("1:" &amp; MATCH(2, 1/(AW141:BH141&lt;&gt;""), 1)-1)))), 0))/_xlfn.XLOOKUP(F141,Apuração!A:A,Apuração!B:B))</f>
        <v>0.375</v>
      </c>
      <c r="BM141" s="55" cm="1">
        <f t="array" ref="BM141">IFERROR(
   INDEX($AW$1:$BH$1,
      _xlfn.AGGREGATE(14, 6, COLUMN($AW$1:$BH$1)/(AW141:BH141&lt;&gt;""), 2) - COLUMN($AW$1) + 1
   ),
"")</f>
        <v>46082</v>
      </c>
      <c r="BN141" s="55" cm="1">
        <f t="array" ref="BN141">IFERROR(INDEX($AW$1:$BH$1,1,MATCH(2,1/(AW141:BH141&lt;&gt;""))),"")</f>
        <v>46113</v>
      </c>
      <c r="BO141" s="53">
        <f ca="1">IFERROR(_xlfn.XLOOKUP(F141,Apuração!A:A,Apuração!C:C)/_xlfn.XLOOKUP(F141,Apuração!A:A,Apuração!B:B),0)</f>
        <v>0.41666666666666669</v>
      </c>
      <c r="BP141" s="53">
        <f ca="1">IFERROR(_xlfn.XLOOKUP(F141,Apuração!A:A,Apuração!D:D)/_xlfn.XLOOKUP(F141,Apuração!A:A,Apuração!B:B),0)</f>
        <v>0.33333333333333331</v>
      </c>
      <c r="BQ141" s="53">
        <f ca="1">IF(BK141&gt;=BO141,0,_xlfn.XLOOKUP(F141,Apuração!A:A,Apuração!B:B)*(BO141 + (1/_xlfn.XLOOKUP(F141,Apuração!A:A,Apuração!B:B)) - BK141))</f>
        <v>0</v>
      </c>
      <c r="BR141" s="85">
        <f t="shared" ca="1" si="365"/>
        <v>0</v>
      </c>
      <c r="BS141" s="53">
        <f ca="1">IFERROR((_xlfn.XLOOKUP(F141,Apuração!A:A,Apuração!C:C)+1)/_xlfn.XLOOKUP(F141,Apuração!A:A,Apuração!B:B),0)</f>
        <v>0.5</v>
      </c>
    </row>
    <row r="142" spans="1:71" ht="25.95" hidden="1" customHeight="1" x14ac:dyDescent="0.3">
      <c r="A142" s="43" t="s">
        <v>134</v>
      </c>
      <c r="B142" s="15" t="s">
        <v>150</v>
      </c>
      <c r="C142" s="26" t="s">
        <v>35</v>
      </c>
      <c r="D142" s="5" t="s">
        <v>36</v>
      </c>
      <c r="E142" s="4" t="str" cm="1">
        <f t="array" ref="E142">_xlfn.IFS(
F142 = "A partir de Abril", "Aguardando Execução na Distribuidora",
A142 = "CAPACITAÇÃO", "Em execução no Corporativo",
TRUE, "Em Execução na Distribuidora"
)</f>
        <v>Em Execução na Distribuidora</v>
      </c>
      <c r="F142" s="4" t="str" cm="1">
        <f t="array" ref="F142">_xlfn.IFS(
AG142 &lt;&gt; "", "Jan-Dez/26",
AH142 &lt;&gt; "", "Fev-Dez/26",
AI142 &lt;&gt; "", "Mar-Dez/26", AJ142 &lt;&gt; "", "Abr-Dez/26",
TRUE, "A partir de Junho"
)</f>
        <v>Jan-Dez/26</v>
      </c>
      <c r="G142" s="15" t="s">
        <v>37</v>
      </c>
      <c r="H142" s="27" t="s">
        <v>54</v>
      </c>
      <c r="I142" s="28" t="s">
        <v>156</v>
      </c>
      <c r="J142" s="8" t="str" cm="1">
        <f t="array" aca="1" ref="J142" ca="1">_xlfn.LET(
  _xlpm.actual_value_month, INDEX(T142:AE142, MATCH(DATE(YEAR(TODAY()), MONTH(TODAY()), 1), $T$1:$AE$1, 0)),
  IF(_xlpm.actual_value_month &lt;&gt; "",_xlpm.actual_value_month &amp; " ações mensais", "")
)</f>
        <v/>
      </c>
      <c r="K142" s="8" t="str" cm="1">
        <f t="array" ref="K142">_xlfn.LET(
    _xlpm.sum_month, SUM(T142:AE142),
    IF(_xlpm.sum_month = 0, "", _xlpm.sum_month &amp; " atividades no ano")
)</f>
        <v/>
      </c>
      <c r="L142" s="15" t="s">
        <v>157</v>
      </c>
      <c r="M142" s="30">
        <v>1</v>
      </c>
      <c r="N142" s="67" t="s">
        <v>51</v>
      </c>
      <c r="O142" s="26" t="s">
        <v>52</v>
      </c>
      <c r="P142" s="31" t="s">
        <v>44</v>
      </c>
      <c r="Q142" s="31" t="s">
        <v>44</v>
      </c>
      <c r="R142" s="32" t="s">
        <v>44</v>
      </c>
      <c r="S142" s="32" t="s">
        <v>44</v>
      </c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G142" s="71">
        <v>15</v>
      </c>
      <c r="AH142" s="71">
        <v>17</v>
      </c>
      <c r="AI142" s="71">
        <v>24</v>
      </c>
      <c r="AJ142" s="71">
        <v>21</v>
      </c>
      <c r="AK142" s="71"/>
      <c r="AL142" s="71"/>
      <c r="AM142" s="71"/>
      <c r="AN142" s="71"/>
      <c r="AO142" s="71"/>
      <c r="AP142" s="71"/>
      <c r="AQ142" s="71"/>
      <c r="AR142" s="71"/>
      <c r="AS142" s="94">
        <f t="shared" ca="1" si="358"/>
        <v>0</v>
      </c>
      <c r="AT142" s="95">
        <f t="shared" si="359"/>
        <v>77</v>
      </c>
      <c r="AU142" s="97">
        <f t="shared" si="360"/>
        <v>77</v>
      </c>
      <c r="AW142" s="83">
        <f t="shared" si="361"/>
        <v>15</v>
      </c>
      <c r="AX142" s="83">
        <f t="shared" si="362"/>
        <v>17</v>
      </c>
      <c r="AY142" s="83">
        <f t="shared" si="363"/>
        <v>24</v>
      </c>
      <c r="AZ142" s="83">
        <f t="shared" si="364"/>
        <v>21</v>
      </c>
      <c r="BA142" s="52"/>
      <c r="BB142" s="52"/>
      <c r="BC142" s="52"/>
      <c r="BD142" s="52"/>
      <c r="BE142" s="52"/>
      <c r="BF142" s="52"/>
      <c r="BG142" s="52"/>
      <c r="BH142" s="52"/>
      <c r="BI142" s="68" cm="1">
        <f t="array" ref="BI142">IFERROR(INDEX(AW142:BH142,1,MATCH(2,1/(AW142:BH142&lt;&gt;""))),"")</f>
        <v>21</v>
      </c>
      <c r="BJ142" s="68" cm="1">
        <f t="array" ref="BJ142">IF(BM142 = "", "",IFERROR(INDEX(AW142:BH142,1,MATCH(2,1/(AW142:BH142&lt;&gt;""),1)-1),""))</f>
        <v>24</v>
      </c>
      <c r="BK142" s="59">
        <f t="shared" ref="BK142:BK143" si="366">SUM(AW142:BH142)</f>
        <v>77</v>
      </c>
      <c r="BL142" s="59" cm="1">
        <f t="array" ref="BL142">IFERROR(SUM(AW142:INDEX(AW142:BH142, MATCH(2, 1/(AW142:BH142&lt;&gt;""), 1) - 1))/_xlfn.XLOOKUP(F142,Apuração!A:A,Apuração!B:B),0)</f>
        <v>4.666666666666667</v>
      </c>
      <c r="BM142" s="55" cm="1">
        <f t="array" ref="BM142">IFERROR(
   INDEX($AW$1:$BH$1,
      _xlfn.AGGREGATE(14, 6, COLUMN($AW$1:$BH$1)/(AW142:BH142&lt;&gt;""), 2) - COLUMN($AW$1) + 1
   ),
"")</f>
        <v>46082</v>
      </c>
      <c r="BN142" s="55" cm="1">
        <f t="array" ref="BN142">IFERROR(INDEX($AW$1:$BH$1,1,MATCH(2,1/(AW142:BH142&lt;&gt;""))),"")</f>
        <v>46113</v>
      </c>
      <c r="BO142" s="53">
        <f ca="1">IFERROR(_xlfn.XLOOKUP(F142,Apuração!A:A,Apuração!C:C)/_xlfn.XLOOKUP(F142,Apuração!A:A,Apuração!B:B),0)</f>
        <v>0.41666666666666669</v>
      </c>
      <c r="BP142" s="53">
        <f ca="1">IFERROR(_xlfn.XLOOKUP(F142,Apuração!A:A,Apuração!D:D)/_xlfn.XLOOKUP(F142,Apuração!A:A,Apuração!B:B),0)</f>
        <v>0.33333333333333331</v>
      </c>
      <c r="BQ142" s="53">
        <f ca="1">IF(BK142&gt;=BO142,0,_xlfn.XLOOKUP(F142,Apuração!A:A,Apuração!B:B)*(BO142 + (1/_xlfn.XLOOKUP(F142,Apuração!A:A,Apuração!B:B)) - BK142))</f>
        <v>0</v>
      </c>
      <c r="BR142" s="85">
        <f t="shared" ca="1" si="365"/>
        <v>0</v>
      </c>
      <c r="BS142" s="53">
        <f ca="1">IFERROR((_xlfn.XLOOKUP(F142,Apuração!A:A,Apuração!C:C)+1)/_xlfn.XLOOKUP(F142,Apuração!A:A,Apuração!B:B),0)</f>
        <v>0.5</v>
      </c>
    </row>
    <row r="143" spans="1:71" ht="25.95" hidden="1" customHeight="1" x14ac:dyDescent="0.3">
      <c r="A143" s="43" t="s">
        <v>134</v>
      </c>
      <c r="B143" s="15" t="s">
        <v>150</v>
      </c>
      <c r="C143" s="26" t="s">
        <v>35</v>
      </c>
      <c r="D143" s="5" t="s">
        <v>47</v>
      </c>
      <c r="E143" s="4" t="str" cm="1">
        <f t="array" ref="E143">_xlfn.IFS(
F143 = "A partir de Abril", "Aguardando Execução na Distribuidora",
A143 = "CAPACITAÇÃO", "Em execução no Corporativo",
TRUE, "Em Execução na Distribuidora"
)</f>
        <v>Em Execução na Distribuidora</v>
      </c>
      <c r="F143" s="4" t="str" cm="1">
        <f t="array" ref="F143">_xlfn.IFS(
AG143 &lt;&gt; "", "Jan-Dez/26",
AH143 &lt;&gt; "", "Fev-Dez/26",
AI143 &lt;&gt; "", "Mar-Dez/26", AJ143 &lt;&gt; "", "Abr-Dez/26",
TRUE, "A partir de Junho"
)</f>
        <v>Jan-Dez/26</v>
      </c>
      <c r="G143" s="15" t="s">
        <v>37</v>
      </c>
      <c r="H143" s="27" t="s">
        <v>54</v>
      </c>
      <c r="I143" s="28" t="s">
        <v>156</v>
      </c>
      <c r="J143" s="8" t="str" cm="1">
        <f t="array" aca="1" ref="J143" ca="1">_xlfn.LET(
  _xlpm.actual_value_month, INDEX(T143:AE143, MATCH(DATE(YEAR(TODAY()), MONTH(TODAY()), 1), $T$1:$AE$1, 0)),
  IF(_xlpm.actual_value_month &lt;&gt; "",_xlpm.actual_value_month &amp; " ações mensais", "")
)</f>
        <v/>
      </c>
      <c r="K143" s="8" t="str" cm="1">
        <f t="array" ref="K143">_xlfn.LET(
    _xlpm.sum_month, SUM(T143:AE143),
    IF(_xlpm.sum_month = 0, "", _xlpm.sum_month &amp; " atividades no ano")
)</f>
        <v/>
      </c>
      <c r="L143" s="15" t="s">
        <v>157</v>
      </c>
      <c r="M143" s="30">
        <v>1</v>
      </c>
      <c r="N143" s="67" t="s">
        <v>51</v>
      </c>
      <c r="O143" s="26" t="s">
        <v>52</v>
      </c>
      <c r="P143" s="31" t="s">
        <v>44</v>
      </c>
      <c r="Q143" s="31" t="s">
        <v>44</v>
      </c>
      <c r="R143" s="32" t="s">
        <v>44</v>
      </c>
      <c r="S143" s="32" t="s">
        <v>44</v>
      </c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G143" s="82">
        <v>7</v>
      </c>
      <c r="AH143" s="82">
        <v>12</v>
      </c>
      <c r="AI143" s="82">
        <v>13</v>
      </c>
      <c r="AJ143" s="82">
        <v>7</v>
      </c>
      <c r="AK143" s="71"/>
      <c r="AL143" s="71"/>
      <c r="AM143" s="71"/>
      <c r="AN143" s="71"/>
      <c r="AO143" s="71"/>
      <c r="AP143" s="71"/>
      <c r="AQ143" s="71"/>
      <c r="AR143" s="71"/>
      <c r="AS143" s="94">
        <f t="shared" ca="1" si="358"/>
        <v>0</v>
      </c>
      <c r="AT143" s="95">
        <f t="shared" si="359"/>
        <v>39</v>
      </c>
      <c r="AU143" s="97">
        <f t="shared" si="360"/>
        <v>39</v>
      </c>
      <c r="AW143" s="83">
        <f t="shared" si="361"/>
        <v>7</v>
      </c>
      <c r="AX143" s="83">
        <f t="shared" si="362"/>
        <v>12</v>
      </c>
      <c r="AY143" s="83">
        <f t="shared" si="363"/>
        <v>13</v>
      </c>
      <c r="AZ143" s="83">
        <f t="shared" si="364"/>
        <v>7</v>
      </c>
      <c r="BA143" s="52"/>
      <c r="BB143" s="52"/>
      <c r="BC143" s="52"/>
      <c r="BD143" s="52"/>
      <c r="BE143" s="52"/>
      <c r="BF143" s="52"/>
      <c r="BG143" s="52"/>
      <c r="BH143" s="52"/>
      <c r="BI143" s="68" cm="1">
        <f t="array" ref="BI143">IFERROR(INDEX(AW143:BH143,1,MATCH(2,1/(AW143:BH143&lt;&gt;""))),"")</f>
        <v>7</v>
      </c>
      <c r="BJ143" s="68" cm="1">
        <f t="array" ref="BJ143">IF(BM143 = "", "",IFERROR(INDEX(AW143:BH143,1,MATCH(2,1/(AW143:BH143&lt;&gt;""),1)-1),""))</f>
        <v>13</v>
      </c>
      <c r="BK143" s="59">
        <f t="shared" si="366"/>
        <v>39</v>
      </c>
      <c r="BL143" s="59" cm="1">
        <f t="array" ref="BL143">IFERROR(SUM(AW143:INDEX(AW143:BH143, MATCH(2, 1/(AW143:BH143&lt;&gt;""), 1) - 1))/_xlfn.XLOOKUP(F143,Apuração!A:A,Apuração!B:B),0)</f>
        <v>2.6666666666666665</v>
      </c>
      <c r="BM143" s="55" cm="1">
        <f t="array" ref="BM143">IFERROR(
   INDEX($AW$1:$BH$1,
      _xlfn.AGGREGATE(14, 6, COLUMN($AW$1:$BH$1)/(AW143:BH143&lt;&gt;""), 2) - COLUMN($AW$1) + 1
   ),
"")</f>
        <v>46082</v>
      </c>
      <c r="BN143" s="55" cm="1">
        <f t="array" ref="BN143">IFERROR(INDEX($AW$1:$BH$1,1,MATCH(2,1/(AW143:BH143&lt;&gt;""))),"")</f>
        <v>46113</v>
      </c>
      <c r="BO143" s="53">
        <f ca="1">IFERROR(_xlfn.XLOOKUP(F143,Apuração!A:A,Apuração!C:C)/_xlfn.XLOOKUP(F143,Apuração!A:A,Apuração!B:B),0)</f>
        <v>0.41666666666666669</v>
      </c>
      <c r="BP143" s="53">
        <f ca="1">IFERROR(_xlfn.XLOOKUP(F143,Apuração!A:A,Apuração!D:D)/_xlfn.XLOOKUP(F143,Apuração!A:A,Apuração!B:B),0)</f>
        <v>0.33333333333333331</v>
      </c>
      <c r="BQ143" s="53">
        <f ca="1">IF(BK143&gt;=BO143,0,_xlfn.XLOOKUP(F143,Apuração!A:A,Apuração!B:B)*(BO143 + (1/_xlfn.XLOOKUP(F143,Apuração!A:A,Apuração!B:B)) - BK143))</f>
        <v>0</v>
      </c>
      <c r="BR143" s="85">
        <f t="shared" ca="1" si="365"/>
        <v>0</v>
      </c>
      <c r="BS143" s="53">
        <f ca="1">IFERROR((_xlfn.XLOOKUP(F143,Apuração!A:A,Apuração!C:C)+1)/_xlfn.XLOOKUP(F143,Apuração!A:A,Apuração!B:B),0)</f>
        <v>0.5</v>
      </c>
    </row>
    <row r="144" spans="1:71" ht="25.95" hidden="1" customHeight="1" x14ac:dyDescent="0.3">
      <c r="A144" s="43" t="s">
        <v>134</v>
      </c>
      <c r="B144" s="15" t="s">
        <v>150</v>
      </c>
      <c r="C144" s="26" t="s">
        <v>35</v>
      </c>
      <c r="D144" s="5" t="s">
        <v>48</v>
      </c>
      <c r="E144" s="4" t="str" cm="1">
        <f t="array" ref="E144">_xlfn.IFS(
F144 = "A partir de Abril", "Aguardando Execução na Distribuidora",
A144 = "CAPACITAÇÃO", "Em execução no Corporativo",
TRUE, "Em Execução na Distribuidora"
)</f>
        <v>Em Execução na Distribuidora</v>
      </c>
      <c r="F144" s="4" t="str" cm="1">
        <f t="array" ref="F144">_xlfn.IFS(
AG144 &lt;&gt; "", "Jan-Dez/26",
AH144 &lt;&gt; "", "Fev-Dez/26",
AI144 &lt;&gt; "", "Mar-Dez/26", AJ144 &lt;&gt; "", "Abr-Dez/26",
TRUE, "A partir de Junho"
)</f>
        <v>Jan-Dez/26</v>
      </c>
      <c r="G144" s="15" t="s">
        <v>37</v>
      </c>
      <c r="H144" s="27" t="s">
        <v>54</v>
      </c>
      <c r="I144" s="28" t="s">
        <v>156</v>
      </c>
      <c r="J144" s="8" t="str" cm="1">
        <f t="array" aca="1" ref="J144" ca="1">_xlfn.LET(
  _xlpm.actual_value_month, INDEX(T144:AE144, MATCH(DATE(YEAR(TODAY()), MONTH(TODAY()), 1), $T$1:$AE$1, 0)),
  IF(_xlpm.actual_value_month &lt;&gt; "",_xlpm.actual_value_month &amp; " ações mensais", "")
)</f>
        <v/>
      </c>
      <c r="K144" s="8" t="str" cm="1">
        <f t="array" ref="K144">_xlfn.LET(
    _xlpm.sum_month, SUM(T144:AE144),
    IF(_xlpm.sum_month = 0, "", _xlpm.sum_month &amp; " atividades no ano")
)</f>
        <v/>
      </c>
      <c r="L144" s="15" t="s">
        <v>157</v>
      </c>
      <c r="M144" s="30">
        <v>1</v>
      </c>
      <c r="N144" s="67" t="s">
        <v>51</v>
      </c>
      <c r="O144" s="26" t="s">
        <v>52</v>
      </c>
      <c r="P144" s="31" t="s">
        <v>44</v>
      </c>
      <c r="Q144" s="31" t="s">
        <v>44</v>
      </c>
      <c r="R144" s="32" t="s">
        <v>44</v>
      </c>
      <c r="S144" s="32" t="s">
        <v>44</v>
      </c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G144" s="82">
        <v>8</v>
      </c>
      <c r="AH144" s="82">
        <v>5</v>
      </c>
      <c r="AI144" s="82">
        <v>11</v>
      </c>
      <c r="AJ144" s="82">
        <v>14</v>
      </c>
      <c r="AK144" s="71"/>
      <c r="AL144" s="71"/>
      <c r="AM144" s="71"/>
      <c r="AN144" s="71"/>
      <c r="AO144" s="71"/>
      <c r="AP144" s="71"/>
      <c r="AQ144" s="71"/>
      <c r="AR144" s="71"/>
      <c r="AS144" s="94">
        <f t="shared" ca="1" si="287"/>
        <v>0</v>
      </c>
      <c r="AT144" s="95">
        <f>SUM(AG144:AR144)</f>
        <v>38</v>
      </c>
      <c r="AU144" s="97">
        <f t="shared" si="288"/>
        <v>38</v>
      </c>
      <c r="AW144" s="83">
        <f t="shared" si="357"/>
        <v>8</v>
      </c>
      <c r="AX144" s="83">
        <f t="shared" si="346"/>
        <v>5</v>
      </c>
      <c r="AY144" s="83">
        <f t="shared" si="347"/>
        <v>11</v>
      </c>
      <c r="AZ144" s="83">
        <f t="shared" si="348"/>
        <v>14</v>
      </c>
      <c r="BA144" s="52"/>
      <c r="BB144" s="52"/>
      <c r="BC144" s="52"/>
      <c r="BD144" s="52"/>
      <c r="BE144" s="52"/>
      <c r="BF144" s="52"/>
      <c r="BG144" s="52"/>
      <c r="BH144" s="52"/>
      <c r="BI144" s="68" cm="1">
        <f t="array" ref="BI144">IFERROR(INDEX(AW144:BH144,1,MATCH(2,1/(AW144:BH144&lt;&gt;""))),"")</f>
        <v>14</v>
      </c>
      <c r="BJ144" s="68" cm="1">
        <f t="array" ref="BJ144">IF(BM144 = "", "",IFERROR(INDEX(AW144:BH144,1,MATCH(2,1/(AW144:BH144&lt;&gt;""),1)-1),""))</f>
        <v>11</v>
      </c>
      <c r="BK144" s="59">
        <f>SUM(AW144:BH144)</f>
        <v>38</v>
      </c>
      <c r="BL144" s="59" cm="1">
        <f t="array" ref="BL144">IFERROR(SUM(AW144:INDEX(AW144:BH144, MATCH(2, 1/(AW144:BH144&lt;&gt;""), 1) - 1))/_xlfn.XLOOKUP(F144,Apuração!A:A,Apuração!B:B),0)</f>
        <v>2</v>
      </c>
      <c r="BM144" s="55" cm="1">
        <f t="array" ref="BM144">IFERROR(
   INDEX($AW$1:$BH$1,
      _xlfn.AGGREGATE(14, 6, COLUMN($AW$1:$BH$1)/(AW144:BH144&lt;&gt;""), 2) - COLUMN($AW$1) + 1
   ),
"")</f>
        <v>46082</v>
      </c>
      <c r="BN144" s="55" cm="1">
        <f t="array" ref="BN144">IFERROR(INDEX($AW$1:$BH$1,1,MATCH(2,1/(AW144:BH144&lt;&gt;""))),"")</f>
        <v>46113</v>
      </c>
      <c r="BO144" s="53">
        <f ca="1">IFERROR(_xlfn.XLOOKUP(F144,Apuração!A:A,Apuração!C:C)/_xlfn.XLOOKUP(F144,Apuração!A:A,Apuração!B:B),0)</f>
        <v>0.41666666666666669</v>
      </c>
      <c r="BP144" s="53">
        <f ca="1">IFERROR(_xlfn.XLOOKUP(F144,Apuração!A:A,Apuração!D:D)/_xlfn.XLOOKUP(F144,Apuração!A:A,Apuração!B:B),0)</f>
        <v>0.33333333333333331</v>
      </c>
      <c r="BQ144" s="53">
        <f ca="1">IF(BK144&gt;=BO144,0,_xlfn.XLOOKUP(F144,Apuração!A:A,Apuração!B:B)*(BO144 + (1/_xlfn.XLOOKUP(F144,Apuração!A:A,Apuração!B:B)) - BK144))</f>
        <v>0</v>
      </c>
      <c r="BR144" s="85">
        <f t="shared" ca="1" si="261"/>
        <v>0</v>
      </c>
      <c r="BS144" s="53">
        <f ca="1">IFERROR((_xlfn.XLOOKUP(F144,Apuração!A:A,Apuração!C:C)+1)/_xlfn.XLOOKUP(F144,Apuração!A:A,Apuração!B:B),0)</f>
        <v>0.5</v>
      </c>
    </row>
    <row r="145" spans="1:71" ht="25.95" hidden="1" customHeight="1" x14ac:dyDescent="0.3">
      <c r="A145" s="38" t="s">
        <v>134</v>
      </c>
      <c r="B145" s="4" t="s">
        <v>158</v>
      </c>
      <c r="C145" s="5" t="s">
        <v>35</v>
      </c>
      <c r="D145" s="5" t="s">
        <v>36</v>
      </c>
      <c r="E145" s="4" t="str" cm="1">
        <f t="array" ref="E145">_xlfn.IFS(
F145 = "A partir de Abril", "Aguardando Execução na Distribuidora",
A145 = "CAPACITAÇÃO", "Em execução no Corporativo",
TRUE, "Em Execução na Distribuidora"
)</f>
        <v>Em Execução na Distribuidora</v>
      </c>
      <c r="F145" s="4" t="str" cm="1">
        <f t="array" ref="F145">_xlfn.IFS(
AG145 &lt;&gt; "", "Jan-Dez/26",
AH145 &lt;&gt; "", "Fev-Dez/26",
AI145 &lt;&gt; "", "Mar-Dez/26", AJ145 &lt;&gt; "", "Abr-Dez/26",
TRUE, "A partir de Junho"
)</f>
        <v>Jan-Dez/26</v>
      </c>
      <c r="G145" s="4" t="s">
        <v>37</v>
      </c>
      <c r="H145" s="7" t="s">
        <v>38</v>
      </c>
      <c r="I145" s="8" t="s">
        <v>159</v>
      </c>
      <c r="J145" s="8" t="str" cm="1">
        <f t="array" aca="1" ref="J145" ca="1">_xlfn.LET(
  _xlpm.actual_value_month, INDEX(T145:AE145, MATCH(DATE(YEAR(TODAY()), MONTH(TODAY()), 1), $T$1:$AE$1, 0)),
  IF(_xlpm.actual_value_month &lt;&gt; "",_xlpm.actual_value_month &amp; " colaboradores participantes mensais", "")
)</f>
        <v>4246 colaboradores participantes mensais</v>
      </c>
      <c r="K145" s="8" t="str" cm="1">
        <f t="array" ref="K145">_xlfn.LET(
    _xlpm.sum_month, SUM(T145:AE145),
    IF(_xlpm.sum_month = 0, "", _xlpm.sum_month &amp; " participações de colaboradores no ano")
)</f>
        <v>41267 participações de colaboradores no ano</v>
      </c>
      <c r="L145" s="9" t="s">
        <v>160</v>
      </c>
      <c r="M145" s="24" t="s">
        <v>161</v>
      </c>
      <c r="N145" s="5" t="s">
        <v>42</v>
      </c>
      <c r="O145" s="5" t="s">
        <v>43</v>
      </c>
      <c r="P145" s="10" t="s">
        <v>44</v>
      </c>
      <c r="Q145" s="10" t="s">
        <v>44</v>
      </c>
      <c r="R145" s="11" t="s">
        <v>147</v>
      </c>
      <c r="S145" s="11" t="s">
        <v>162</v>
      </c>
      <c r="T145" s="22">
        <v>913</v>
      </c>
      <c r="U145" s="22">
        <v>1151</v>
      </c>
      <c r="V145" s="22">
        <v>989</v>
      </c>
      <c r="W145" s="22">
        <v>4246</v>
      </c>
      <c r="X145" s="22">
        <v>4246</v>
      </c>
      <c r="Y145" s="22">
        <v>4246</v>
      </c>
      <c r="Z145" s="22">
        <v>4246</v>
      </c>
      <c r="AA145" s="22">
        <v>4246</v>
      </c>
      <c r="AB145" s="22">
        <v>4246</v>
      </c>
      <c r="AC145" s="22">
        <v>4246</v>
      </c>
      <c r="AD145" s="22">
        <v>4246</v>
      </c>
      <c r="AE145" s="22">
        <v>4246</v>
      </c>
      <c r="AG145" s="71">
        <v>913</v>
      </c>
      <c r="AH145" s="71">
        <v>1151</v>
      </c>
      <c r="AI145" s="71">
        <v>989</v>
      </c>
      <c r="AJ145" s="71">
        <v>1269</v>
      </c>
      <c r="AK145" s="71"/>
      <c r="AL145" s="71"/>
      <c r="AM145" s="71"/>
      <c r="AN145" s="71"/>
      <c r="AO145" s="71"/>
      <c r="AP145" s="71"/>
      <c r="AQ145" s="71"/>
      <c r="AR145" s="71"/>
      <c r="AS145" s="94">
        <f t="shared" ca="1" si="287"/>
        <v>11545</v>
      </c>
      <c r="AT145" s="95">
        <f>SUM(IF(AW145&lt;1.15,AG145,1.15*T145),IF(AX145&lt;1.15,AH145,1.15*U145),IF(AY145&lt;1.15,AI145,1.15*V145),IF(AZ145&lt;1.15,AJ145,1.15*W145),IF(BA145&lt;1.15,AK145,1.15*X145),IF(BB145&lt;1.15,AL145,1.15*Y145),IF(BC145&lt;1.15,AM145,1.15*Z145),IF(BD145&lt;1.15,AN145,1.15*AA145),IF(BE145&lt;1.15,AO145,1.15*AB145),IF(BF145&lt;1.15,AP145,1.15*AC145),IF(BG145&lt;1.15,AQ145,1.15*AD145),IF(BH145&lt;1.15,AR145,1.15*AE145))</f>
        <v>4322</v>
      </c>
      <c r="AU145" s="97">
        <f t="shared" si="288"/>
        <v>4322</v>
      </c>
      <c r="AW145" s="51">
        <f>IFERROR(IF(AG145="",0,AG145/T145),0)</f>
        <v>1</v>
      </c>
      <c r="AX145" s="51">
        <f>IFERROR(IF(AH145="",0,AH145/U145),0)</f>
        <v>1</v>
      </c>
      <c r="AY145" s="51">
        <f>IFERROR(IF(AI145="",0,AI145/V145),0)</f>
        <v>1</v>
      </c>
      <c r="AZ145" s="51">
        <f>IFERROR(IF(AJ145="",0,AJ145/W145),0)</f>
        <v>0.2988695242581253</v>
      </c>
      <c r="BA145" s="51"/>
      <c r="BB145" s="51"/>
      <c r="BC145" s="51"/>
      <c r="BD145" s="51"/>
      <c r="BE145" s="51"/>
      <c r="BF145" s="51"/>
      <c r="BG145" s="51"/>
      <c r="BH145" s="51"/>
      <c r="BI145" s="65" cm="1">
        <f t="array" ref="BI145">IFERROR(INDEX(AW145:BH145,1,MATCH(2,1/(AW145:BH145&lt;&gt;""))),"")</f>
        <v>0.2988695242581253</v>
      </c>
      <c r="BJ145" s="68" cm="1">
        <f t="array" ref="BJ145">IF(BM145 = "", "",IFERROR(INDEX(AW145:BH145,1,MATCH(2,1/(AW145:BH145&lt;&gt;""),1)-1),""))</f>
        <v>1</v>
      </c>
      <c r="BK145" s="58">
        <f>IF((IF(AW145&gt;=115%,115%,AW145) + IF(AX145&gt;=115%,115%,AX145) + IF(AY145&gt;=140%,140%,AY145) + (IF(AZ145&gt;=125%,125%,AZ145) + IF(BA145&gt;=115%,115%,BA145) + IF(BB145&gt;=115%,115%,BB145) + IF(BC145&gt;=115%,115%,BC145) + IF(BD145&gt;=115%,115%,BD145) + IF(BE145&gt;=115%,115%,BE145) + IF(BF145&gt;=115%,115%,BF145) + IF(BG145&gt;=115%,115%,BG145) + IF(BH145&gt;=115%,115%,BH145)))/_xlfn.XLOOKUP(F145,Apuração!A:A,Apuração!B:B)&gt;=1.15,1.15,((IF(AZ145&gt;=125%,125%,AZ145) + IF(AX145&gt;=115%,115%,AX145) + IF(AY145&gt;=140%,140%,AY145) + (IF(AW145&gt;=115%,115%,AW145) + IF(BA145&gt;=115%,115%,BA145) + IF(BB145&gt;=115%,115%,BB145) + IF(BC145&gt;=115%,115%,BC145) + IF(BD145&gt;=115%,115%,BD145) + IF(BE145&gt;=115%,115%,BE145) + IF(BF145&gt;=115%,115%,BF145) + IF(BG145&gt;=115%,115%,BG145) + IF(BH145&gt;=115%,115%,BH145)))/_xlfn.XLOOKUP(F145,Apuração!A:A,Apuração!B:B)))</f>
        <v>0.27490579368817708</v>
      </c>
      <c r="BL145" s="58" cm="1">
        <f t="array" aca="1" ref="BL145" ca="1">IF(SUM(IFERROR(IF(INDEX(AW145:INDEX(AW145:BH145, MATCH(2, 1/(AW145:BH145&lt;&gt;""), 1)-1), ROW(INDIRECT("1:" &amp; MATCH(2, 1/(AW145:BH145&lt;&gt;""), 1)-1))) &gt;= 115%, 115%, INDEX(AW145:INDEX(AW145:BH145, MATCH(2, 1/(AW145:BH145&lt;&gt;""), 1)-1), ROW(INDIRECT("1:" &amp; MATCH(2, 1/(AW145:BH145&lt;&gt;""), 1)-1)))), 0))/_xlfn.XLOOKUP(F145,Apuração!A:A,Apuração!B:B)&gt;=1.15,1.15,SUM(IFERROR(IF(INDEX(AW145:INDEX(AW145:BH145, MATCH(2, 1/(AW145:BH145&lt;&gt;""), 1)-1), ROW(INDIRECT("1:" &amp; MATCH(2, 1/(AW145:BH145&lt;&gt;""), 1)-1))) &gt;= 115%, 115%, INDEX(AW145:INDEX(AW145:BH145, MATCH(2, 1/(AW145:BH145&lt;&gt;""), 1)-1), ROW(INDIRECT("1:" &amp; MATCH(2, 1/(AW145:BH145&lt;&gt;""), 1)-1)))), 0))/_xlfn.XLOOKUP(F145,Apuração!A:A,Apuração!B:B))</f>
        <v>0.25</v>
      </c>
      <c r="BM145" s="55" cm="1">
        <f t="array" ref="BM145">IFERROR(
   INDEX($AW$1:$BH$1,
      _xlfn.AGGREGATE(14, 6, COLUMN($AW$1:$BH$1)/(AW145:BH145&lt;&gt;""), 2) - COLUMN($AW$1) + 1
   ),
"")</f>
        <v>46082</v>
      </c>
      <c r="BN145" s="55" cm="1">
        <f t="array" ref="BN145">IFERROR(INDEX($AW$1:$BH$1,1,MATCH(2,1/(AW145:BH145&lt;&gt;""))),"")</f>
        <v>46113</v>
      </c>
      <c r="BO145" s="53">
        <f ca="1">IFERROR(_xlfn.XLOOKUP(F145,Apuração!A:A,Apuração!C:C)/_xlfn.XLOOKUP(F145,Apuração!A:A,Apuração!B:B),0)</f>
        <v>0.41666666666666669</v>
      </c>
      <c r="BP145" s="53">
        <f ca="1">IFERROR(_xlfn.XLOOKUP(F145,Apuração!A:A,Apuração!D:D)/_xlfn.XLOOKUP(F145,Apuração!A:A,Apuração!B:B),0)</f>
        <v>0.33333333333333331</v>
      </c>
      <c r="BQ145" s="53">
        <f ca="1">IF(BK145&gt;=BO145,0,_xlfn.XLOOKUP(F145,Apuração!A:A,Apuração!B:B)*(BO145 + (1/_xlfn.XLOOKUP(F145,Apuração!A:A,Apuração!B:B)) - BK145))</f>
        <v>2.7011304757418753</v>
      </c>
      <c r="BR145" s="85">
        <f t="shared" ca="1" si="261"/>
        <v>11469.000000000002</v>
      </c>
      <c r="BS145" s="53">
        <f ca="1">IFERROR((_xlfn.XLOOKUP(F145,Apuração!A:A,Apuração!C:C)+1)/_xlfn.XLOOKUP(F145,Apuração!A:A,Apuração!B:B),0)</f>
        <v>0.5</v>
      </c>
    </row>
    <row r="146" spans="1:71" ht="25.95" hidden="1" customHeight="1" x14ac:dyDescent="0.3">
      <c r="A146" s="38" t="s">
        <v>134</v>
      </c>
      <c r="B146" s="4" t="s">
        <v>158</v>
      </c>
      <c r="C146" s="5" t="s">
        <v>35</v>
      </c>
      <c r="D146" s="5" t="s">
        <v>47</v>
      </c>
      <c r="E146" s="4" t="str" cm="1">
        <f t="array" ref="E146">_xlfn.IFS(
F146 = "A partir de Abril", "Aguardando Execução na Distribuidora",
A146 = "CAPACITAÇÃO", "Em execução no Corporativo",
TRUE, "Em Execução na Distribuidora"
)</f>
        <v>Em Execução na Distribuidora</v>
      </c>
      <c r="F146" s="4" t="str" cm="1">
        <f t="array" ref="F146">_xlfn.IFS(
AG146 &lt;&gt; "", "Jan-Dez/26",
AH146 &lt;&gt; "", "Fev-Dez/26",
AI146 &lt;&gt; "", "Mar-Dez/26", AJ146 &lt;&gt; "", "Abr-Dez/26",
TRUE, "A partir de Junho"
)</f>
        <v>Jan-Dez/26</v>
      </c>
      <c r="G146" s="4" t="s">
        <v>37</v>
      </c>
      <c r="H146" s="7" t="s">
        <v>38</v>
      </c>
      <c r="I146" s="8" t="s">
        <v>159</v>
      </c>
      <c r="J146" s="8" t="str" cm="1">
        <f t="array" aca="1" ref="J146" ca="1">_xlfn.LET(
  _xlpm.actual_value_month, INDEX(T146:AE146, MATCH(DATE(YEAR(TODAY()), MONTH(TODAY()), 1), $T$1:$AE$1, 0)),
  IF(_xlpm.actual_value_month &lt;&gt; "",_xlpm.actual_value_month &amp; " colaboradores participantes mensais", "")
)</f>
        <v/>
      </c>
      <c r="K146" s="8" t="str" cm="1">
        <f t="array" ref="K146">_xlfn.LET(
    _xlpm.sum_month, SUM(T146:AE146),
    IF(_xlpm.sum_month = 0, "", _xlpm.sum_month &amp; " participações de colaboradores no ano")
)</f>
        <v>2382 participações de colaboradores no ano</v>
      </c>
      <c r="L146" s="9" t="s">
        <v>160</v>
      </c>
      <c r="M146" s="24" t="s">
        <v>161</v>
      </c>
      <c r="N146" s="5" t="s">
        <v>42</v>
      </c>
      <c r="O146" s="5" t="s">
        <v>43</v>
      </c>
      <c r="P146" s="10" t="s">
        <v>44</v>
      </c>
      <c r="Q146" s="10" t="s">
        <v>44</v>
      </c>
      <c r="R146" s="11" t="s">
        <v>147</v>
      </c>
      <c r="S146" s="11" t="s">
        <v>162</v>
      </c>
      <c r="T146" s="143">
        <v>521</v>
      </c>
      <c r="U146" s="143">
        <v>612</v>
      </c>
      <c r="V146" s="143">
        <v>566</v>
      </c>
      <c r="W146" s="22">
        <v>683</v>
      </c>
      <c r="X146" s="22"/>
      <c r="Y146" s="22"/>
      <c r="Z146" s="22"/>
      <c r="AA146" s="22"/>
      <c r="AB146" s="22"/>
      <c r="AC146" s="22"/>
      <c r="AD146" s="22"/>
      <c r="AE146" s="22"/>
      <c r="AG146" s="82">
        <v>521</v>
      </c>
      <c r="AH146" s="82">
        <v>612</v>
      </c>
      <c r="AI146" s="82">
        <v>566</v>
      </c>
      <c r="AJ146" s="82">
        <v>683</v>
      </c>
      <c r="AK146" s="71"/>
      <c r="AL146" s="71"/>
      <c r="AM146" s="71"/>
      <c r="AN146" s="71"/>
      <c r="AO146" s="71"/>
      <c r="AP146" s="71"/>
      <c r="AQ146" s="71"/>
      <c r="AR146" s="71"/>
      <c r="AS146" s="94">
        <f t="shared" ref="AS146" ca="1" si="367">IF(MONTH(TODAY())=3,SUM(T146:U146),IF(MONTH(TODAY())=4,SUM(T146:V146),IF(MONTH(TODAY())=5,SUM(T146:W146),IF(MONTH(TODAY())=6,SUM(T146:X146),IF(MONTH(TODAY())=7,SUM(T146:Y146),IF(MONTH(TODAY())=8,SUM(T146:Z146),IF(MONTH(TODAY())=9,SUM(T146:AA146),IF(MONTH(TODAY())=10,SUM(T146:AB146),IF(MONTH(TODAY())=11,SUM(T146:AC146),IF(MONTH(TODAY())=12,SUM(T146:AD146),IF(MONTH(TODAY())=1,SUM(T146:AE146),T146)))))))))))</f>
        <v>2382</v>
      </c>
      <c r="AT146" s="95">
        <f>SUM(IF(AW146&lt;1.15,AG146,1.15*T146),IF(AX146&lt;1.15,AH146,1.15*U146),IF(AY146&lt;1.15,AI146,1.15*V146),IF(AZ146&lt;1.15,AJ146,1.15*W146),IF(BA146&lt;1.15,AK146,1.15*X146),IF(BB146&lt;1.15,AL146,1.15*Y146),IF(BC146&lt;1.15,AM146,1.15*Z146),IF(BD146&lt;1.15,AN146,1.15*AA146),IF(BE146&lt;1.15,AO146,1.15*AB146),IF(BF146&lt;1.15,AP146,1.15*AC146),IF(BG146&lt;1.15,AQ146,1.15*AD146),IF(BH146&lt;1.15,AR146,1.15*AE146))</f>
        <v>2382</v>
      </c>
      <c r="AU146" s="97">
        <f t="shared" ref="AU146:AU147" si="368">SUM(AG146:AR146)</f>
        <v>2382</v>
      </c>
      <c r="AW146" s="51">
        <f t="shared" ref="AW146:AW147" si="369">IFERROR(IF(AG146="",0,AG146/T146),0)</f>
        <v>1</v>
      </c>
      <c r="AX146" s="51">
        <f t="shared" ref="AX146:AX147" si="370">IFERROR(IF(AH146="",0,AH146/U146),0)</f>
        <v>1</v>
      </c>
      <c r="AY146" s="51">
        <f t="shared" ref="AY146:AY147" si="371">IFERROR(IF(AI146="",0,AI146/V146),0)</f>
        <v>1</v>
      </c>
      <c r="AZ146" s="51">
        <f t="shared" ref="AZ146:AZ147" si="372">IFERROR(IF(AJ146="",0,AJ146/W146),0)</f>
        <v>1</v>
      </c>
      <c r="BA146" s="51"/>
      <c r="BB146" s="51"/>
      <c r="BC146" s="51"/>
      <c r="BD146" s="51"/>
      <c r="BE146" s="51"/>
      <c r="BF146" s="51"/>
      <c r="BG146" s="51"/>
      <c r="BH146" s="51"/>
      <c r="BI146" s="65" cm="1">
        <f t="array" ref="BI146">IFERROR(INDEX(AW146:BH146,1,MATCH(2,1/(AW146:BH146&lt;&gt;""))),"")</f>
        <v>1</v>
      </c>
      <c r="BJ146" s="68" cm="1">
        <f t="array" ref="BJ146">IF(BM146 = "", "",IFERROR(INDEX(AW146:BH146,1,MATCH(2,1/(AW146:BH146&lt;&gt;""),1)-1),""))</f>
        <v>1</v>
      </c>
      <c r="BK146" s="58">
        <f>IF((IF(AW146&gt;=115%,115%,AW146) + IF(AX146&gt;=115%,115%,AX146) + IF(AY146&gt;=140%,140%,AY146) + (IF(AZ146&gt;=125%,125%,AZ146) + IF(BA146&gt;=115%,115%,BA146) + IF(BB146&gt;=115%,115%,BB146) + IF(BC146&gt;=115%,115%,BC146) + IF(BD146&gt;=115%,115%,BD146) + IF(BE146&gt;=115%,115%,BE146) + IF(BF146&gt;=115%,115%,BF146) + IF(BG146&gt;=115%,115%,BG146) + IF(BH146&gt;=115%,115%,BH146)))/_xlfn.XLOOKUP(F146,Apuração!A:A,Apuração!B:B)&gt;=1.15,1.15,((IF(AZ146&gt;=125%,125%,AZ146) + IF(AX146&gt;=115%,115%,AX146) + IF(AY146&gt;=140%,140%,AY146) + (IF(AW146&gt;=115%,115%,AW146) + IF(BA146&gt;=115%,115%,BA146) + IF(BB146&gt;=115%,115%,BB146) + IF(BC146&gt;=115%,115%,BC146) + IF(BD146&gt;=115%,115%,BD146) + IF(BE146&gt;=115%,115%,BE146) + IF(BF146&gt;=115%,115%,BF146) + IF(BG146&gt;=115%,115%,BG146) + IF(BH146&gt;=115%,115%,BH146)))/_xlfn.XLOOKUP(F146,Apuração!A:A,Apuração!B:B)))</f>
        <v>0.33333333333333331</v>
      </c>
      <c r="BL146" s="58" cm="1">
        <f t="array" aca="1" ref="BL146" ca="1">IF(SUM(IFERROR(IF(INDEX(AW146:INDEX(AW146:BH146, MATCH(2, 1/(AW146:BH146&lt;&gt;""), 1)-1), ROW(INDIRECT("1:" &amp; MATCH(2, 1/(AW146:BH146&lt;&gt;""), 1)-1))) &gt;= 115%, 115%, INDEX(AW146:INDEX(AW146:BH146, MATCH(2, 1/(AW146:BH146&lt;&gt;""), 1)-1), ROW(INDIRECT("1:" &amp; MATCH(2, 1/(AW146:BH146&lt;&gt;""), 1)-1)))), 0))/_xlfn.XLOOKUP(F146,Apuração!A:A,Apuração!B:B)&gt;=1.15,1.15,SUM(IFERROR(IF(INDEX(AW146:INDEX(AW146:BH146, MATCH(2, 1/(AW146:BH146&lt;&gt;""), 1)-1), ROW(INDIRECT("1:" &amp; MATCH(2, 1/(AW146:BH146&lt;&gt;""), 1)-1))) &gt;= 115%, 115%, INDEX(AW146:INDEX(AW146:BH146, MATCH(2, 1/(AW146:BH146&lt;&gt;""), 1)-1), ROW(INDIRECT("1:" &amp; MATCH(2, 1/(AW146:BH146&lt;&gt;""), 1)-1)))), 0))/_xlfn.XLOOKUP(F146,Apuração!A:A,Apuração!B:B))</f>
        <v>0.25</v>
      </c>
      <c r="BM146" s="55" cm="1">
        <f t="array" ref="BM146">IFERROR(
   INDEX($AW$1:$BH$1,
      _xlfn.AGGREGATE(14, 6, COLUMN($AW$1:$BH$1)/(AW146:BH146&lt;&gt;""), 2) - COLUMN($AW$1) + 1
   ),
"")</f>
        <v>46082</v>
      </c>
      <c r="BN146" s="55" cm="1">
        <f t="array" ref="BN146">IFERROR(INDEX($AW$1:$BH$1,1,MATCH(2,1/(AW146:BH146&lt;&gt;""))),"")</f>
        <v>46113</v>
      </c>
      <c r="BO146" s="53">
        <f ca="1">IFERROR(_xlfn.XLOOKUP(F146,Apuração!A:A,Apuração!C:C)/_xlfn.XLOOKUP(F146,Apuração!A:A,Apuração!B:B),0)</f>
        <v>0.41666666666666669</v>
      </c>
      <c r="BP146" s="53">
        <f ca="1">IFERROR(_xlfn.XLOOKUP(F146,Apuração!A:A,Apuração!D:D)/_xlfn.XLOOKUP(F146,Apuração!A:A,Apuração!B:B),0)</f>
        <v>0.33333333333333331</v>
      </c>
      <c r="BQ146" s="53">
        <f ca="1">IF(BK146&gt;=BO146,0,_xlfn.XLOOKUP(F146,Apuração!A:A,Apuração!B:B)*(BO146 + (1/_xlfn.XLOOKUP(F146,Apuração!A:A,Apuração!B:B)) - BK146))</f>
        <v>2</v>
      </c>
      <c r="BR146" s="85">
        <f ca="1">IF(BQ146=0,0,BQ146*Z146)</f>
        <v>0</v>
      </c>
      <c r="BS146" s="53">
        <f ca="1">IFERROR((_xlfn.XLOOKUP(F146,Apuração!A:A,Apuração!C:C)+1)/_xlfn.XLOOKUP(F146,Apuração!A:A,Apuração!B:B),0)</f>
        <v>0.5</v>
      </c>
    </row>
    <row r="147" spans="1:71" ht="25.95" hidden="1" customHeight="1" x14ac:dyDescent="0.3">
      <c r="A147" s="38" t="s">
        <v>134</v>
      </c>
      <c r="B147" s="4" t="s">
        <v>158</v>
      </c>
      <c r="C147" s="5" t="s">
        <v>35</v>
      </c>
      <c r="D147" s="5" t="s">
        <v>48</v>
      </c>
      <c r="E147" s="4" t="str" cm="1">
        <f t="array" ref="E147">_xlfn.IFS(
F147 = "A partir de Abril", "Aguardando Execução na Distribuidora",
A147 = "CAPACITAÇÃO", "Em execução no Corporativo",
TRUE, "Em Execução na Distribuidora"
)</f>
        <v>Em Execução na Distribuidora</v>
      </c>
      <c r="F147" s="4" t="str" cm="1">
        <f t="array" ref="F147">_xlfn.IFS(
AG147 &lt;&gt; "", "Jan-Dez/26",
AH147 &lt;&gt; "", "Fev-Dez/26",
AI147 &lt;&gt; "", "Mar-Dez/26", AJ147 &lt;&gt; "", "Abr-Dez/26",
TRUE, "A partir de Junho"
)</f>
        <v>Jan-Dez/26</v>
      </c>
      <c r="G147" s="4" t="s">
        <v>37</v>
      </c>
      <c r="H147" s="7" t="s">
        <v>38</v>
      </c>
      <c r="I147" s="8" t="s">
        <v>159</v>
      </c>
      <c r="J147" s="8" t="str" cm="1">
        <f t="array" aca="1" ref="J147" ca="1">_xlfn.LET(
  _xlpm.actual_value_month, INDEX(T147:AE147, MATCH(DATE(YEAR(TODAY()), MONTH(TODAY()), 1), $T$1:$AE$1, 0)),
  IF(_xlpm.actual_value_month &lt;&gt; "",_xlpm.actual_value_month &amp; " colaboradores participantes mensais", "")
)</f>
        <v/>
      </c>
      <c r="K147" s="8" t="str" cm="1">
        <f t="array" ref="K147">_xlfn.LET(
    _xlpm.sum_month, SUM(T147:AE147),
    IF(_xlpm.sum_month = 0, "", _xlpm.sum_month &amp; " participações de colaboradores no ano")
)</f>
        <v>1940 participações de colaboradores no ano</v>
      </c>
      <c r="L147" s="9" t="s">
        <v>160</v>
      </c>
      <c r="M147" s="24" t="s">
        <v>161</v>
      </c>
      <c r="N147" s="5" t="s">
        <v>42</v>
      </c>
      <c r="O147" s="5" t="s">
        <v>43</v>
      </c>
      <c r="P147" s="10" t="s">
        <v>44</v>
      </c>
      <c r="Q147" s="10" t="s">
        <v>44</v>
      </c>
      <c r="R147" s="11" t="s">
        <v>147</v>
      </c>
      <c r="S147" s="11" t="s">
        <v>162</v>
      </c>
      <c r="T147" s="143">
        <v>392</v>
      </c>
      <c r="U147" s="143">
        <v>539</v>
      </c>
      <c r="V147" s="143">
        <v>423</v>
      </c>
      <c r="W147" s="143">
        <v>586</v>
      </c>
      <c r="X147" s="22"/>
      <c r="Y147" s="22"/>
      <c r="Z147" s="22"/>
      <c r="AA147" s="22"/>
      <c r="AB147" s="22"/>
      <c r="AC147" s="22"/>
      <c r="AD147" s="22"/>
      <c r="AE147" s="22"/>
      <c r="AG147" s="82">
        <v>392</v>
      </c>
      <c r="AH147" s="82">
        <v>539</v>
      </c>
      <c r="AI147" s="82">
        <v>423</v>
      </c>
      <c r="AJ147" s="82">
        <v>586</v>
      </c>
      <c r="AK147" s="71"/>
      <c r="AL147" s="71"/>
      <c r="AM147" s="71"/>
      <c r="AN147" s="71"/>
      <c r="AO147" s="71"/>
      <c r="AP147" s="71"/>
      <c r="AQ147" s="71"/>
      <c r="AR147" s="71"/>
      <c r="AS147" s="94">
        <f ca="1">IF(MONTH(TODAY())=3,SUM(T147:U147),IF(MONTH(TODAY())=4,SUM(T147:V147),IF(MONTH(TODAY())=5,SUM(T147:W147),IF(MONTH(TODAY())=6,SUM(T147:X147),IF(MONTH(TODAY())=7,SUM(T147:Y147),IF(MONTH(TODAY())=8,SUM(T147:Z147),IF(MONTH(TODAY())=9,SUM(T147:AA147),IF(MONTH(TODAY())=10,SUM(T147:AB147),IF(MONTH(TODAY())=11,SUM(T147:AC147),IF(MONTH(TODAY())=12,SUM(T147:AD147),IF(MONTH(TODAY())=1,SUM(T147:AE147),T147)))))))))))</f>
        <v>1940</v>
      </c>
      <c r="AT147" s="95">
        <f>SUM(IF(AW147&lt;1.15,AG147,1.15*T147),IF(AX147&lt;1.15,AH147,1.15*U147),IF(AY147&lt;1.15,AI147,1.15*V147),IF(AZ147&lt;1.15,AJ147,1.15*W147),IF(BA147&lt;1.15,AK147,1.15*X147),IF(BB147&lt;1.15,AL147,1.15*Y147),IF(BC147&lt;1.15,AM147,1.15*Z147),IF(BD147&lt;1.15,AN147,1.15*AA147),IF(BE147&lt;1.15,AO147,1.15*AB147),IF(BF147&lt;1.15,AP147,1.15*AC147),IF(BG147&lt;1.15,AQ147,1.15*AD147),IF(BH147&lt;1.15,AR147,1.15*AE147))</f>
        <v>1940</v>
      </c>
      <c r="AU147" s="97">
        <f t="shared" si="368"/>
        <v>1940</v>
      </c>
      <c r="AW147" s="51">
        <f t="shared" si="369"/>
        <v>1</v>
      </c>
      <c r="AX147" s="51">
        <f t="shared" si="370"/>
        <v>1</v>
      </c>
      <c r="AY147" s="51">
        <f t="shared" si="371"/>
        <v>1</v>
      </c>
      <c r="AZ147" s="51">
        <f t="shared" si="372"/>
        <v>1</v>
      </c>
      <c r="BA147" s="51"/>
      <c r="BB147" s="51"/>
      <c r="BC147" s="51"/>
      <c r="BD147" s="51"/>
      <c r="BE147" s="51"/>
      <c r="BF147" s="51"/>
      <c r="BG147" s="51"/>
      <c r="BH147" s="51"/>
      <c r="BI147" s="65" cm="1">
        <f t="array" ref="BI147">IFERROR(INDEX(AW147:BH147,1,MATCH(2,1/(AW147:BH147&lt;&gt;""))),"")</f>
        <v>1</v>
      </c>
      <c r="BJ147" s="68" cm="1">
        <f t="array" ref="BJ147">IF(BM147 = "", "",IFERROR(INDEX(AW147:BH147,1,MATCH(2,1/(AW147:BH147&lt;&gt;""),1)-1),""))</f>
        <v>1</v>
      </c>
      <c r="BK147" s="58">
        <f>IF((IF(AW147&gt;=115%,115%,AW147) + IF(AX147&gt;=115%,115%,AX147) + IF(AY147&gt;=140%,140%,AY147) + (IF(AZ147&gt;=125%,125%,AZ147) + IF(BA147&gt;=115%,115%,BA147) + IF(BB147&gt;=115%,115%,BB147) + IF(BC147&gt;=115%,115%,BC147) + IF(BD147&gt;=115%,115%,BD147) + IF(BE147&gt;=115%,115%,BE147) + IF(BF147&gt;=115%,115%,BF147) + IF(BG147&gt;=115%,115%,BG147) + IF(BH147&gt;=115%,115%,BH147)))/_xlfn.XLOOKUP(F147,Apuração!A:A,Apuração!B:B)&gt;=1.15,1.15,((IF(AZ147&gt;=125%,125%,AZ147) + IF(AX147&gt;=115%,115%,AX147) + IF(AY147&gt;=140%,140%,AY147) + (IF(AW147&gt;=115%,115%,AW147) + IF(BA147&gt;=115%,115%,BA147) + IF(BB147&gt;=115%,115%,BB147) + IF(BC147&gt;=115%,115%,BC147) + IF(BD147&gt;=115%,115%,BD147) + IF(BE147&gt;=115%,115%,BE147) + IF(BF147&gt;=115%,115%,BF147) + IF(BG147&gt;=115%,115%,BG147) + IF(BH147&gt;=115%,115%,BH147)))/_xlfn.XLOOKUP(F147,Apuração!A:A,Apuração!B:B)))</f>
        <v>0.33333333333333331</v>
      </c>
      <c r="BL147" s="58" cm="1">
        <f t="array" aca="1" ref="BL147" ca="1">IF(SUM(IFERROR(IF(INDEX(AW147:INDEX(AW147:BH147, MATCH(2, 1/(AW147:BH147&lt;&gt;""), 1)-1), ROW(INDIRECT("1:" &amp; MATCH(2, 1/(AW147:BH147&lt;&gt;""), 1)-1))) &gt;= 115%, 115%, INDEX(AW147:INDEX(AW147:BH147, MATCH(2, 1/(AW147:BH147&lt;&gt;""), 1)-1), ROW(INDIRECT("1:" &amp; MATCH(2, 1/(AW147:BH147&lt;&gt;""), 1)-1)))), 0))/_xlfn.XLOOKUP(F147,Apuração!A:A,Apuração!B:B)&gt;=1.15,1.15,SUM(IFERROR(IF(INDEX(AW147:INDEX(AW147:BH147, MATCH(2, 1/(AW147:BH147&lt;&gt;""), 1)-1), ROW(INDIRECT("1:" &amp; MATCH(2, 1/(AW147:BH147&lt;&gt;""), 1)-1))) &gt;= 115%, 115%, INDEX(AW147:INDEX(AW147:BH147, MATCH(2, 1/(AW147:BH147&lt;&gt;""), 1)-1), ROW(INDIRECT("1:" &amp; MATCH(2, 1/(AW147:BH147&lt;&gt;""), 1)-1)))), 0))/_xlfn.XLOOKUP(F147,Apuração!A:A,Apuração!B:B))</f>
        <v>0.25</v>
      </c>
      <c r="BM147" s="55" cm="1">
        <f t="array" ref="BM147">IFERROR(
   INDEX($AW$1:$BH$1,
      _xlfn.AGGREGATE(14, 6, COLUMN($AW$1:$BH$1)/(AW147:BH147&lt;&gt;""), 2) - COLUMN($AW$1) + 1
   ),
"")</f>
        <v>46082</v>
      </c>
      <c r="BN147" s="55" cm="1">
        <f t="array" ref="BN147">IFERROR(INDEX($AW$1:$BH$1,1,MATCH(2,1/(AW147:BH147&lt;&gt;""))),"")</f>
        <v>46113</v>
      </c>
      <c r="BO147" s="53">
        <f ca="1">IFERROR(_xlfn.XLOOKUP(F147,Apuração!A:A,Apuração!C:C)/_xlfn.XLOOKUP(F147,Apuração!A:A,Apuração!B:B),0)</f>
        <v>0.41666666666666669</v>
      </c>
      <c r="BP147" s="53">
        <f ca="1">IFERROR(_xlfn.XLOOKUP(F147,Apuração!A:A,Apuração!D:D)/_xlfn.XLOOKUP(F147,Apuração!A:A,Apuração!B:B),0)</f>
        <v>0.33333333333333331</v>
      </c>
      <c r="BQ147" s="53">
        <f ca="1">IF(BK147&gt;=BO147,0,_xlfn.XLOOKUP(F147,Apuração!A:A,Apuração!B:B)*(BO147 + (1/_xlfn.XLOOKUP(F147,Apuração!A:A,Apuração!B:B)) - BK147))</f>
        <v>2</v>
      </c>
      <c r="BR147" s="85">
        <f ca="1">IF(BQ147=0,0,BQ147*Z147)</f>
        <v>0</v>
      </c>
      <c r="BS147" s="53">
        <f ca="1">IFERROR((_xlfn.XLOOKUP(F147,Apuração!A:A,Apuração!C:C)+1)/_xlfn.XLOOKUP(F147,Apuração!A:A,Apuração!B:B),0)</f>
        <v>0.5</v>
      </c>
    </row>
    <row r="148" spans="1:71" ht="25.95" hidden="1" customHeight="1" x14ac:dyDescent="0.3">
      <c r="A148" s="42" t="s">
        <v>134</v>
      </c>
      <c r="B148" s="4" t="s">
        <v>158</v>
      </c>
      <c r="C148" s="5" t="s">
        <v>35</v>
      </c>
      <c r="D148" s="5" t="s">
        <v>36</v>
      </c>
      <c r="E148" s="4" t="str" cm="1">
        <f t="array" ref="E148">_xlfn.IFS(
F148 = "A partir de Abril", "Aguardando Execução na Distribuidora",
A148 = "CAPACITAÇÃO", "Em execução no Corporativo",
TRUE, "Em Execução na Distribuidora"
)</f>
        <v>Em Execução na Distribuidora</v>
      </c>
      <c r="F148" s="4" t="str" cm="1">
        <f t="array" ref="F148">_xlfn.IFS(
AG148 &lt;&gt; "", "Jan-Dez/26",
AH148 &lt;&gt; "", "Fev-Dez/26",
AI148 &lt;&gt; "", "Mar-Dez/26", AJ148 &lt;&gt; "", "Abr-Dez/26",
TRUE, "A partir de Junho"
)</f>
        <v>Jan-Dez/26</v>
      </c>
      <c r="G148" s="4" t="s">
        <v>37</v>
      </c>
      <c r="H148" s="7" t="s">
        <v>38</v>
      </c>
      <c r="I148" s="8" t="s">
        <v>163</v>
      </c>
      <c r="J148" s="8" t="str" cm="1">
        <f t="array" aca="1" ref="J148" ca="1">_xlfn.LET(
  _xlpm.actual_value_month, INDEX(T148:AE148, MATCH(DATE(YEAR(TODAY()), MONTH(TODAY()), 1), $T$1:$AE$1, 0)),
  IF(_xlpm.actual_value_month &lt;&gt; "",_xlpm.actual_value_month &amp; " ações mensais", "")
)</f>
        <v/>
      </c>
      <c r="K148" s="8" t="str" cm="1">
        <f t="array" ref="K148">_xlfn.LET(
    _xlpm.sum_month, SUM(T148:AE148),
    IF(_xlpm.sum_month = 0, "", _xlpm.sum_month &amp; " DSS no ano")
)</f>
        <v/>
      </c>
      <c r="L148" s="9" t="s">
        <v>164</v>
      </c>
      <c r="M148" s="24">
        <v>1</v>
      </c>
      <c r="N148" s="5" t="s">
        <v>51</v>
      </c>
      <c r="O148" s="111" t="s">
        <v>52</v>
      </c>
      <c r="P148" s="10" t="s">
        <v>146</v>
      </c>
      <c r="Q148" s="10" t="s">
        <v>72</v>
      </c>
      <c r="R148" s="11" t="s">
        <v>147</v>
      </c>
      <c r="S148" s="11" t="s">
        <v>162</v>
      </c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G148" s="71">
        <v>16</v>
      </c>
      <c r="AH148" s="71">
        <v>16</v>
      </c>
      <c r="AI148" s="71">
        <v>16</v>
      </c>
      <c r="AJ148" s="71">
        <v>210</v>
      </c>
      <c r="AK148" s="71"/>
      <c r="AL148" s="71"/>
      <c r="AM148" s="71"/>
      <c r="AN148" s="71"/>
      <c r="AO148" s="71"/>
      <c r="AP148" s="71"/>
      <c r="AQ148" s="71"/>
      <c r="AR148" s="71"/>
      <c r="AS148" s="94">
        <f t="shared" ca="1" si="287"/>
        <v>0</v>
      </c>
      <c r="AT148" s="95">
        <f>SUM(IF(AW148&lt;1.15,AG148,1.15*T148),IF(AX148&lt;1.15,AH148,1.15*U148),IF(AY148&lt;1.15,AI148,1.15*V148),IF(AZ148&lt;1.15,AJ148,1.15*W148),IF(BA148&lt;1.15,AK148,1.15*X148),IF(BB148&lt;1.15,AL148,1.15*Y148),IF(BC148&lt;1.15,AM148,1.15*Z148),IF(BD148&lt;1.15,AN148,1.15*AA148),IF(BE148&lt;1.15,AO148,1.15*AB148),IF(BF148&lt;1.15,AP148,1.15*AC148),IF(BG148&lt;1.15,AQ148,1.15*AD148),IF(BH148&lt;1.15,AR148,1.15*AE148))</f>
        <v>0</v>
      </c>
      <c r="AU148" s="97">
        <f t="shared" si="288"/>
        <v>258</v>
      </c>
      <c r="AW148" s="83">
        <f>AG148</f>
        <v>16</v>
      </c>
      <c r="AX148" s="83">
        <f t="shared" ref="AX148:AX151" si="373">AH148</f>
        <v>16</v>
      </c>
      <c r="AY148" s="83">
        <f t="shared" ref="AY148:AY151" si="374">AI148</f>
        <v>16</v>
      </c>
      <c r="AZ148" s="83">
        <f t="shared" ref="AZ148:AZ151" si="375">AJ148</f>
        <v>210</v>
      </c>
      <c r="BA148" s="52"/>
      <c r="BB148" s="52"/>
      <c r="BC148" s="52"/>
      <c r="BD148" s="52"/>
      <c r="BE148" s="52"/>
      <c r="BF148" s="52"/>
      <c r="BG148" s="52"/>
      <c r="BH148" s="52"/>
      <c r="BI148" s="65" cm="1">
        <f t="array" ref="BI148">IFERROR(INDEX(AW148:BH148,1,MATCH(2,1/(AW148:BH148&lt;&gt;""))),"")</f>
        <v>210</v>
      </c>
      <c r="BJ148" s="68" cm="1">
        <f t="array" ref="BJ148">IF(BM148 = "", "",IFERROR(INDEX(AW148:BH148,1,MATCH(2,1/(AW148:BH148&lt;&gt;""),1)-1),""))</f>
        <v>16</v>
      </c>
      <c r="BK148" s="58">
        <f>IF((IF(AW148&gt;=115%,115%,AW148) + IF(AX148&gt;=115%,115%,AX148) + IF(AY148&gt;=115%,115%,AY148) + (IF(AZ148&gt;=115%,115%,AZ148) + IF(BA148&gt;=115%,115%,BA148) + IF(BB148&gt;=115%,115%,BB148) + IF(BC148&gt;=115%,115%,BC148) + IF(BD148&gt;=115%,115%,BD148) + IF(BE148&gt;=115%,115%,BE148) + IF(BF148&gt;=115%,115%,BF148) + IF(BG148&gt;=115%,115%,BG148) + IF(BH148&gt;=115%,115%,BH148)))/_xlfn.XLOOKUP(F148,Apuração!A:A,Apuração!B:B)&gt;=1.15,1.15,((IF(AZ148&gt;=115%,115%,AZ148) + IF(AX148&gt;=115%,115%,AX148) + IF(AY148&gt;=115%,115%,AY148) + (IF(AW148&gt;=115%,115%,AW148) + IF(BA148&gt;=115%,115%,BA148) + IF(BB148&gt;=115%,115%,BB148) + IF(BC148&gt;=115%,115%,BC148) + IF(BD148&gt;=115%,115%,BD148) + IF(BE148&gt;=115%,115%,BE148) + IF(BF148&gt;=115%,115%,BF148) + IF(BG148&gt;=115%,115%,BG148) + IF(BH148&gt;=115%,115%,BH148)))/_xlfn.XLOOKUP(F148,Apuração!A:A,Apuração!B:B)))</f>
        <v>0.3833333333333333</v>
      </c>
      <c r="BL148" s="58" cm="1">
        <f t="array" aca="1" ref="BL148" ca="1">IF(SUM(IFERROR(IF(INDEX(AW148:INDEX(AW148:BH148, MATCH(2, 1/(AW148:BH148&lt;&gt;""), 1)-1), ROW(INDIRECT("1:" &amp; MATCH(2, 1/(AW148:BH148&lt;&gt;""), 1)-1))) &gt;= 115%, 115%, INDEX(AW148:INDEX(AW148:BH148, MATCH(2, 1/(AW148:BH148&lt;&gt;""), 1)-1), ROW(INDIRECT("1:" &amp; MATCH(2, 1/(AW148:BH148&lt;&gt;""), 1)-1)))), 0))/_xlfn.XLOOKUP(F148,Apuração!A:A,Apuração!B:B)&gt;=1.15,1.15,SUM(IFERROR(IF(INDEX(AW148:INDEX(AW148:BH148, MATCH(2, 1/(AW148:BH148&lt;&gt;""), 1)-1), ROW(INDIRECT("1:" &amp; MATCH(2, 1/(AW148:BH148&lt;&gt;""), 1)-1))) &gt;= 115%, 115%, INDEX(AW148:INDEX(AW148:BH148, MATCH(2, 1/(AW148:BH148&lt;&gt;""), 1)-1), ROW(INDIRECT("1:" &amp; MATCH(2, 1/(AW148:BH148&lt;&gt;""), 1)-1)))), 0))/_xlfn.XLOOKUP(F148,Apuração!A:A,Apuração!B:B))</f>
        <v>0.28749999999999998</v>
      </c>
      <c r="BM148" s="55" cm="1">
        <f t="array" ref="BM148">IFERROR(
   INDEX($AW$1:$BH$1,
      _xlfn.AGGREGATE(14, 6, COLUMN($AW$1:$BH$1)/(AW148:BH148&lt;&gt;""), 2) - COLUMN($AW$1) + 1
   ),
"")</f>
        <v>46082</v>
      </c>
      <c r="BN148" s="55" cm="1">
        <f t="array" ref="BN148">IFERROR(INDEX($AW$1:$BH$1,1,MATCH(2,1/(AW148:BH148&lt;&gt;""))),"")</f>
        <v>46113</v>
      </c>
      <c r="BO148" s="53">
        <f ca="1">IFERROR(_xlfn.XLOOKUP(F148,Apuração!A:A,Apuração!C:C)/_xlfn.XLOOKUP(F148,Apuração!A:A,Apuração!B:B),0)</f>
        <v>0.41666666666666669</v>
      </c>
      <c r="BP148" s="53">
        <f ca="1">IFERROR(_xlfn.XLOOKUP(F148,Apuração!A:A,Apuração!D:D)/_xlfn.XLOOKUP(F148,Apuração!A:A,Apuração!B:B),0)</f>
        <v>0.33333333333333331</v>
      </c>
      <c r="BQ148" s="53">
        <f ca="1">IF(BK148&gt;=BO148,0,_xlfn.XLOOKUP(F148,Apuração!A:A,Apuração!B:B)*(BO148 + (1/_xlfn.XLOOKUP(F148,Apuração!A:A,Apuração!B:B)) - BK148))</f>
        <v>1.4000000000000004</v>
      </c>
      <c r="BR148" s="85">
        <f t="shared" ca="1" si="261"/>
        <v>0</v>
      </c>
      <c r="BS148" s="53">
        <f ca="1">IFERROR((_xlfn.XLOOKUP(F148,Apuração!A:A,Apuração!C:C)+1)/_xlfn.XLOOKUP(F148,Apuração!A:A,Apuração!B:B),0)</f>
        <v>0.5</v>
      </c>
    </row>
    <row r="149" spans="1:71" ht="25.95" hidden="1" customHeight="1" x14ac:dyDescent="0.3">
      <c r="A149" s="42" t="s">
        <v>134</v>
      </c>
      <c r="B149" s="4" t="s">
        <v>158</v>
      </c>
      <c r="C149" s="5" t="s">
        <v>35</v>
      </c>
      <c r="D149" s="5" t="s">
        <v>47</v>
      </c>
      <c r="E149" s="4" t="str" cm="1">
        <f t="array" ref="E149">_xlfn.IFS(
F149 = "A partir de Abril", "Aguardando Execução na Distribuidora",
A149 = "CAPACITAÇÃO", "Em execução no Corporativo",
TRUE, "Em Execução na Distribuidora"
)</f>
        <v>Em Execução na Distribuidora</v>
      </c>
      <c r="F149" s="4" t="str" cm="1">
        <f t="array" ref="F149">_xlfn.IFS(
AG149 &lt;&gt; "", "Jan-Dez/26",
AH149 &lt;&gt; "", "Fev-Dez/26",
AI149 &lt;&gt; "", "Mar-Dez/26", AJ149 &lt;&gt; "", "Abr-Dez/26",
TRUE, "A partir de Junho"
)</f>
        <v>Jan-Dez/26</v>
      </c>
      <c r="G149" s="4" t="s">
        <v>37</v>
      </c>
      <c r="H149" s="7" t="s">
        <v>38</v>
      </c>
      <c r="I149" s="8" t="s">
        <v>163</v>
      </c>
      <c r="J149" s="8" t="str" cm="1">
        <f t="array" aca="1" ref="J149" ca="1">_xlfn.LET(
  _xlpm.actual_value_month, INDEX(T149:AE149, MATCH(DATE(YEAR(TODAY()), MONTH(TODAY()), 1), $T$1:$AE$1, 0)),
  IF(_xlpm.actual_value_month &lt;&gt; "",_xlpm.actual_value_month &amp; " ações mensais", "")
)</f>
        <v/>
      </c>
      <c r="K149" s="8" t="str" cm="1">
        <f t="array" ref="K149">_xlfn.LET(
    _xlpm.sum_month, SUM(T149:AE149),
    IF(_xlpm.sum_month = 0, "", _xlpm.sum_month &amp; " DSS no ano")
)</f>
        <v/>
      </c>
      <c r="L149" s="9" t="s">
        <v>164</v>
      </c>
      <c r="M149" s="24">
        <v>1</v>
      </c>
      <c r="N149" s="5" t="s">
        <v>51</v>
      </c>
      <c r="O149" s="111" t="s">
        <v>52</v>
      </c>
      <c r="P149" s="10" t="s">
        <v>146</v>
      </c>
      <c r="Q149" s="10" t="s">
        <v>72</v>
      </c>
      <c r="R149" s="11" t="s">
        <v>147</v>
      </c>
      <c r="S149" s="11" t="s">
        <v>162</v>
      </c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G149" s="82">
        <v>8</v>
      </c>
      <c r="AH149" s="82">
        <v>8</v>
      </c>
      <c r="AI149" s="82">
        <v>8</v>
      </c>
      <c r="AJ149" s="82">
        <v>112</v>
      </c>
      <c r="AK149" s="71"/>
      <c r="AL149" s="71"/>
      <c r="AM149" s="71"/>
      <c r="AN149" s="71"/>
      <c r="AO149" s="71"/>
      <c r="AP149" s="71"/>
      <c r="AQ149" s="71"/>
      <c r="AR149" s="71"/>
      <c r="AS149" s="94">
        <f t="shared" ref="AS149:AS150" ca="1" si="376">IF(MONTH(TODAY())=3,SUM(T149:U149),IF(MONTH(TODAY())=4,SUM(T149:V149),IF(MONTH(TODAY())=5,SUM(T149:W149),IF(MONTH(TODAY())=6,SUM(T149:X149),IF(MONTH(TODAY())=7,SUM(T149:Y149),IF(MONTH(TODAY())=8,SUM(T149:Z149),IF(MONTH(TODAY())=9,SUM(T149:AA149),IF(MONTH(TODAY())=10,SUM(T149:AB149),IF(MONTH(TODAY())=11,SUM(T149:AC149),IF(MONTH(TODAY())=12,SUM(T149:AD149),IF(MONTH(TODAY())=1,SUM(T149:AE149),T149)))))))))))</f>
        <v>0</v>
      </c>
      <c r="AT149" s="95">
        <f t="shared" ref="AT149:AT150" si="377">SUM(IF(AW149&lt;1.15,AG149,1.15*T149),IF(AX149&lt;1.15,AH149,1.15*U149),IF(AY149&lt;1.15,AI149,1.15*V149),IF(AZ149&lt;1.15,AJ149,1.15*W149),IF(BA149&lt;1.15,AK149,1.15*X149),IF(BB149&lt;1.15,AL149,1.15*Y149),IF(BC149&lt;1.15,AM149,1.15*Z149),IF(BD149&lt;1.15,AN149,1.15*AA149),IF(BE149&lt;1.15,AO149,1.15*AB149),IF(BF149&lt;1.15,AP149,1.15*AC149),IF(BG149&lt;1.15,AQ149,1.15*AD149),IF(BH149&lt;1.15,AR149,1.15*AE149))</f>
        <v>0</v>
      </c>
      <c r="AU149" s="97">
        <f t="shared" ref="AU149:AU150" si="378">SUM(AG149:AR149)</f>
        <v>136</v>
      </c>
      <c r="AW149" s="83">
        <f t="shared" ref="AW149:AW150" si="379">AG149</f>
        <v>8</v>
      </c>
      <c r="AX149" s="83">
        <f t="shared" ref="AX149:AX150" si="380">AH149</f>
        <v>8</v>
      </c>
      <c r="AY149" s="83">
        <f t="shared" ref="AY149:AY150" si="381">AI149</f>
        <v>8</v>
      </c>
      <c r="AZ149" s="83">
        <f t="shared" ref="AZ149:AZ150" si="382">AJ149</f>
        <v>112</v>
      </c>
      <c r="BA149" s="52"/>
      <c r="BB149" s="52"/>
      <c r="BC149" s="52"/>
      <c r="BD149" s="52"/>
      <c r="BE149" s="52"/>
      <c r="BF149" s="52"/>
      <c r="BG149" s="52"/>
      <c r="BH149" s="52"/>
      <c r="BI149" s="65" cm="1">
        <f t="array" ref="BI149">IFERROR(INDEX(AW149:BH149,1,MATCH(2,1/(AW149:BH149&lt;&gt;""))),"")</f>
        <v>112</v>
      </c>
      <c r="BJ149" s="68" cm="1">
        <f t="array" ref="BJ149">IF(BM149 = "", "",IFERROR(INDEX(AW149:BH149,1,MATCH(2,1/(AW149:BH149&lt;&gt;""),1)-1),""))</f>
        <v>8</v>
      </c>
      <c r="BK149" s="58">
        <f>IF((IF(AW149&gt;=115%,115%,AW149) + IF(AX149&gt;=115%,115%,AX149) + IF(AY149&gt;=115%,115%,AY149) + (IF(AZ149&gt;=115%,115%,AZ149) + IF(BA149&gt;=115%,115%,BA149) + IF(BB149&gt;=115%,115%,BB149) + IF(BC149&gt;=115%,115%,BC149) + IF(BD149&gt;=115%,115%,BD149) + IF(BE149&gt;=115%,115%,BE149) + IF(BF149&gt;=115%,115%,BF149) + IF(BG149&gt;=115%,115%,BG149) + IF(BH149&gt;=115%,115%,BH149)))/_xlfn.XLOOKUP(F149,Apuração!A:A,Apuração!B:B)&gt;=1.15,1.15,((IF(AZ149&gt;=115%,115%,AZ149) + IF(AX149&gt;=115%,115%,AX149) + IF(AY149&gt;=115%,115%,AY149) + (IF(AW149&gt;=115%,115%,AW149) + IF(BA149&gt;=115%,115%,BA149) + IF(BB149&gt;=115%,115%,BB149) + IF(BC149&gt;=115%,115%,BC149) + IF(BD149&gt;=115%,115%,BD149) + IF(BE149&gt;=115%,115%,BE149) + IF(BF149&gt;=115%,115%,BF149) + IF(BG149&gt;=115%,115%,BG149) + IF(BH149&gt;=115%,115%,BH149)))/_xlfn.XLOOKUP(F149,Apuração!A:A,Apuração!B:B)))</f>
        <v>0.3833333333333333</v>
      </c>
      <c r="BL149" s="58" cm="1">
        <f t="array" aca="1" ref="BL149" ca="1">IF(SUM(IFERROR(IF(INDEX(AW149:INDEX(AW149:BH149, MATCH(2, 1/(AW149:BH149&lt;&gt;""), 1)-1), ROW(INDIRECT("1:" &amp; MATCH(2, 1/(AW149:BH149&lt;&gt;""), 1)-1))) &gt;= 115%, 115%, INDEX(AW149:INDEX(AW149:BH149, MATCH(2, 1/(AW149:BH149&lt;&gt;""), 1)-1), ROW(INDIRECT("1:" &amp; MATCH(2, 1/(AW149:BH149&lt;&gt;""), 1)-1)))), 0))/_xlfn.XLOOKUP(F149,Apuração!A:A,Apuração!B:B)&gt;=1.15,1.15,SUM(IFERROR(IF(INDEX(AW149:INDEX(AW149:BH149, MATCH(2, 1/(AW149:BH149&lt;&gt;""), 1)-1), ROW(INDIRECT("1:" &amp; MATCH(2, 1/(AW149:BH149&lt;&gt;""), 1)-1))) &gt;= 115%, 115%, INDEX(AW149:INDEX(AW149:BH149, MATCH(2, 1/(AW149:BH149&lt;&gt;""), 1)-1), ROW(INDIRECT("1:" &amp; MATCH(2, 1/(AW149:BH149&lt;&gt;""), 1)-1)))), 0))/_xlfn.XLOOKUP(F149,Apuração!A:A,Apuração!B:B))</f>
        <v>0.28749999999999998</v>
      </c>
      <c r="BM149" s="55" cm="1">
        <f t="array" ref="BM149">IFERROR(
   INDEX($AW$1:$BH$1,
      _xlfn.AGGREGATE(14, 6, COLUMN($AW$1:$BH$1)/(AW149:BH149&lt;&gt;""), 2) - COLUMN($AW$1) + 1
   ),
"")</f>
        <v>46082</v>
      </c>
      <c r="BN149" s="55" cm="1">
        <f t="array" ref="BN149">IFERROR(INDEX($AW$1:$BH$1,1,MATCH(2,1/(AW149:BH149&lt;&gt;""))),"")</f>
        <v>46113</v>
      </c>
      <c r="BO149" s="53">
        <f ca="1">IFERROR(_xlfn.XLOOKUP(F149,Apuração!A:A,Apuração!C:C)/_xlfn.XLOOKUP(F149,Apuração!A:A,Apuração!B:B),0)</f>
        <v>0.41666666666666669</v>
      </c>
      <c r="BP149" s="53">
        <f ca="1">IFERROR(_xlfn.XLOOKUP(F149,Apuração!A:A,Apuração!D:D)/_xlfn.XLOOKUP(F149,Apuração!A:A,Apuração!B:B),0)</f>
        <v>0.33333333333333331</v>
      </c>
      <c r="BQ149" s="53">
        <f ca="1">IF(BK149&gt;=BO149,0,_xlfn.XLOOKUP(F149,Apuração!A:A,Apuração!B:B)*(BO149 + (1/_xlfn.XLOOKUP(F149,Apuração!A:A,Apuração!B:B)) - BK149))</f>
        <v>1.4000000000000004</v>
      </c>
      <c r="BR149" s="85">
        <f t="shared" ref="BR149:BR150" ca="1" si="383">IF(BQ149=0,0,BQ149*Z149)</f>
        <v>0</v>
      </c>
      <c r="BS149" s="53">
        <f ca="1">IFERROR((_xlfn.XLOOKUP(F149,Apuração!A:A,Apuração!C:C)+1)/_xlfn.XLOOKUP(F149,Apuração!A:A,Apuração!B:B),0)</f>
        <v>0.5</v>
      </c>
    </row>
    <row r="150" spans="1:71" ht="25.95" hidden="1" customHeight="1" x14ac:dyDescent="0.3">
      <c r="A150" s="42" t="s">
        <v>134</v>
      </c>
      <c r="B150" s="4" t="s">
        <v>158</v>
      </c>
      <c r="C150" s="5" t="s">
        <v>35</v>
      </c>
      <c r="D150" s="5" t="s">
        <v>48</v>
      </c>
      <c r="E150" s="4" t="str" cm="1">
        <f t="array" ref="E150">_xlfn.IFS(
F150 = "A partir de Abril", "Aguardando Execução na Distribuidora",
A150 = "CAPACITAÇÃO", "Em execução no Corporativo",
TRUE, "Em Execução na Distribuidora"
)</f>
        <v>Em Execução na Distribuidora</v>
      </c>
      <c r="F150" s="4" t="str" cm="1">
        <f t="array" ref="F150">_xlfn.IFS(
AG150 &lt;&gt; "", "Jan-Dez/26",
AH150 &lt;&gt; "", "Fev-Dez/26",
AI150 &lt;&gt; "", "Mar-Dez/26", AJ150 &lt;&gt; "", "Abr-Dez/26",
TRUE, "A partir de Junho"
)</f>
        <v>Jan-Dez/26</v>
      </c>
      <c r="G150" s="4" t="s">
        <v>37</v>
      </c>
      <c r="H150" s="7" t="s">
        <v>38</v>
      </c>
      <c r="I150" s="8" t="s">
        <v>163</v>
      </c>
      <c r="J150" s="8" t="str" cm="1">
        <f t="array" aca="1" ref="J150" ca="1">_xlfn.LET(
  _xlpm.actual_value_month, INDEX(T150:AE150, MATCH(DATE(YEAR(TODAY()), MONTH(TODAY()), 1), $T$1:$AE$1, 0)),
  IF(_xlpm.actual_value_month &lt;&gt; "",_xlpm.actual_value_month &amp; " ações mensais", "")
)</f>
        <v/>
      </c>
      <c r="K150" s="8" t="str" cm="1">
        <f t="array" ref="K150">_xlfn.LET(
    _xlpm.sum_month, SUM(T150:AE150),
    IF(_xlpm.sum_month = 0, "", _xlpm.sum_month &amp; " DSS no ano")
)</f>
        <v/>
      </c>
      <c r="L150" s="9" t="s">
        <v>164</v>
      </c>
      <c r="M150" s="24">
        <v>1</v>
      </c>
      <c r="N150" s="5" t="s">
        <v>51</v>
      </c>
      <c r="O150" s="111" t="s">
        <v>52</v>
      </c>
      <c r="P150" s="10" t="s">
        <v>146</v>
      </c>
      <c r="Q150" s="10" t="s">
        <v>72</v>
      </c>
      <c r="R150" s="11" t="s">
        <v>147</v>
      </c>
      <c r="S150" s="11" t="s">
        <v>162</v>
      </c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G150" s="82">
        <v>8</v>
      </c>
      <c r="AH150" s="82">
        <v>8</v>
      </c>
      <c r="AI150" s="82">
        <v>8</v>
      </c>
      <c r="AJ150" s="82">
        <v>98</v>
      </c>
      <c r="AK150" s="71"/>
      <c r="AL150" s="71"/>
      <c r="AM150" s="71"/>
      <c r="AN150" s="71"/>
      <c r="AO150" s="71"/>
      <c r="AP150" s="71"/>
      <c r="AQ150" s="71"/>
      <c r="AR150" s="71"/>
      <c r="AS150" s="94">
        <f t="shared" ca="1" si="376"/>
        <v>0</v>
      </c>
      <c r="AT150" s="95">
        <f t="shared" si="377"/>
        <v>0</v>
      </c>
      <c r="AU150" s="97">
        <f t="shared" si="378"/>
        <v>122</v>
      </c>
      <c r="AW150" s="83">
        <f t="shared" si="379"/>
        <v>8</v>
      </c>
      <c r="AX150" s="83">
        <f t="shared" si="380"/>
        <v>8</v>
      </c>
      <c r="AY150" s="83">
        <f t="shared" si="381"/>
        <v>8</v>
      </c>
      <c r="AZ150" s="83">
        <f t="shared" si="382"/>
        <v>98</v>
      </c>
      <c r="BA150" s="52"/>
      <c r="BB150" s="52"/>
      <c r="BC150" s="52"/>
      <c r="BD150" s="52"/>
      <c r="BE150" s="52"/>
      <c r="BF150" s="52"/>
      <c r="BG150" s="52"/>
      <c r="BH150" s="52"/>
      <c r="BI150" s="65" cm="1">
        <f t="array" ref="BI150">IFERROR(INDEX(AW150:BH150,1,MATCH(2,1/(AW150:BH150&lt;&gt;""))),"")</f>
        <v>98</v>
      </c>
      <c r="BJ150" s="68" cm="1">
        <f t="array" ref="BJ150">IF(BM150 = "", "",IFERROR(INDEX(AW150:BH150,1,MATCH(2,1/(AW150:BH150&lt;&gt;""),1)-1),""))</f>
        <v>8</v>
      </c>
      <c r="BK150" s="58">
        <f>IF((IF(AW150&gt;=115%,115%,AW150) + IF(AX150&gt;=115%,115%,AX150) + IF(AY150&gt;=115%,115%,AY150) + (IF(AZ150&gt;=115%,115%,AZ150) + IF(BA150&gt;=115%,115%,BA150) + IF(BB150&gt;=115%,115%,BB150) + IF(BC150&gt;=115%,115%,BC150) + IF(BD150&gt;=115%,115%,BD150) + IF(BE150&gt;=115%,115%,BE150) + IF(BF150&gt;=115%,115%,BF150) + IF(BG150&gt;=115%,115%,BG150) + IF(BH150&gt;=115%,115%,BH150)))/_xlfn.XLOOKUP(F150,Apuração!A:A,Apuração!B:B)&gt;=1.15,1.15,((IF(AZ150&gt;=115%,115%,AZ150) + IF(AX150&gt;=115%,115%,AX150) + IF(AY150&gt;=115%,115%,AY150) + (IF(AW150&gt;=115%,115%,AW150) + IF(BA150&gt;=115%,115%,BA150) + IF(BB150&gt;=115%,115%,BB150) + IF(BC150&gt;=115%,115%,BC150) + IF(BD150&gt;=115%,115%,BD150) + IF(BE150&gt;=115%,115%,BE150) + IF(BF150&gt;=115%,115%,BF150) + IF(BG150&gt;=115%,115%,BG150) + IF(BH150&gt;=115%,115%,BH150)))/_xlfn.XLOOKUP(F150,Apuração!A:A,Apuração!B:B)))</f>
        <v>0.3833333333333333</v>
      </c>
      <c r="BL150" s="58" cm="1">
        <f t="array" aca="1" ref="BL150" ca="1">IF(SUM(IFERROR(IF(INDEX(AW150:INDEX(AW150:BH150, MATCH(2, 1/(AW150:BH150&lt;&gt;""), 1)-1), ROW(INDIRECT("1:" &amp; MATCH(2, 1/(AW150:BH150&lt;&gt;""), 1)-1))) &gt;= 115%, 115%, INDEX(AW150:INDEX(AW150:BH150, MATCH(2, 1/(AW150:BH150&lt;&gt;""), 1)-1), ROW(INDIRECT("1:" &amp; MATCH(2, 1/(AW150:BH150&lt;&gt;""), 1)-1)))), 0))/_xlfn.XLOOKUP(F150,Apuração!A:A,Apuração!B:B)&gt;=1.15,1.15,SUM(IFERROR(IF(INDEX(AW150:INDEX(AW150:BH150, MATCH(2, 1/(AW150:BH150&lt;&gt;""), 1)-1), ROW(INDIRECT("1:" &amp; MATCH(2, 1/(AW150:BH150&lt;&gt;""), 1)-1))) &gt;= 115%, 115%, INDEX(AW150:INDEX(AW150:BH150, MATCH(2, 1/(AW150:BH150&lt;&gt;""), 1)-1), ROW(INDIRECT("1:" &amp; MATCH(2, 1/(AW150:BH150&lt;&gt;""), 1)-1)))), 0))/_xlfn.XLOOKUP(F150,Apuração!A:A,Apuração!B:B))</f>
        <v>0.28749999999999998</v>
      </c>
      <c r="BM150" s="55" cm="1">
        <f t="array" ref="BM150">IFERROR(
   INDEX($AW$1:$BH$1,
      _xlfn.AGGREGATE(14, 6, COLUMN($AW$1:$BH$1)/(AW150:BH150&lt;&gt;""), 2) - COLUMN($AW$1) + 1
   ),
"")</f>
        <v>46082</v>
      </c>
      <c r="BN150" s="55" cm="1">
        <f t="array" ref="BN150">IFERROR(INDEX($AW$1:$BH$1,1,MATCH(2,1/(AW150:BH150&lt;&gt;""))),"")</f>
        <v>46113</v>
      </c>
      <c r="BO150" s="53">
        <f ca="1">IFERROR(_xlfn.XLOOKUP(F150,Apuração!A:A,Apuração!C:C)/_xlfn.XLOOKUP(F150,Apuração!A:A,Apuração!B:B),0)</f>
        <v>0.41666666666666669</v>
      </c>
      <c r="BP150" s="53">
        <f ca="1">IFERROR(_xlfn.XLOOKUP(F150,Apuração!A:A,Apuração!D:D)/_xlfn.XLOOKUP(F150,Apuração!A:A,Apuração!B:B),0)</f>
        <v>0.33333333333333331</v>
      </c>
      <c r="BQ150" s="53">
        <f ca="1">IF(BK150&gt;=BO150,0,_xlfn.XLOOKUP(F150,Apuração!A:A,Apuração!B:B)*(BO150 + (1/_xlfn.XLOOKUP(F150,Apuração!A:A,Apuração!B:B)) - BK150))</f>
        <v>1.4000000000000004</v>
      </c>
      <c r="BR150" s="85">
        <f t="shared" ca="1" si="383"/>
        <v>0</v>
      </c>
      <c r="BS150" s="53">
        <f ca="1">IFERROR((_xlfn.XLOOKUP(F150,Apuração!A:A,Apuração!C:C)+1)/_xlfn.XLOOKUP(F150,Apuração!A:A,Apuração!B:B),0)</f>
        <v>0.5</v>
      </c>
    </row>
    <row r="151" spans="1:71" ht="25.95" hidden="1" customHeight="1" x14ac:dyDescent="0.3">
      <c r="A151" s="42" t="s">
        <v>134</v>
      </c>
      <c r="B151" s="4" t="s">
        <v>158</v>
      </c>
      <c r="C151" s="5" t="s">
        <v>35</v>
      </c>
      <c r="D151" s="5" t="s">
        <v>36</v>
      </c>
      <c r="E151" s="4" t="str" cm="1">
        <f t="array" ref="E151">_xlfn.IFS(
F151 = "A partir de Abril", "Aguardando Execução na Distribuidora",
A151 = "CAPACITAÇÃO", "Em execução no Corporativo",
TRUE, "Em Execução na Distribuidora"
)</f>
        <v>Em Execução na Distribuidora</v>
      </c>
      <c r="F151" s="4" t="str" cm="1">
        <f t="array" ref="F151">_xlfn.IFS(
AG151 &lt;&gt; "", "Jan-Dez/26",
AH151 &lt;&gt; "", "Fev-Dez/26",
AI151 &lt;&gt; "", "Mar-Dez/26", AJ151 &lt;&gt; "", "Abr-Dez/26",
TRUE, "A partir de Junho"
)</f>
        <v>Jan-Dez/26</v>
      </c>
      <c r="G151" s="4" t="s">
        <v>62</v>
      </c>
      <c r="H151" s="7" t="s">
        <v>38</v>
      </c>
      <c r="I151" s="8" t="s">
        <v>165</v>
      </c>
      <c r="J151" s="8" t="str" cm="1">
        <f t="array" aca="1" ref="J151" ca="1">_xlfn.LET(
  _xlpm.actual_value_month, INDEX(T151:AE151, MATCH(DATE(YEAR(TODAY()), MONTH(TODAY()), 1), $T$1:$AE$1, 0)),
  IF(_xlpm.actual_value_month &lt;&gt; "",_xlpm.actual_value_month &amp; " ações mensais", "")
)</f>
        <v/>
      </c>
      <c r="K151" s="8" t="str" cm="1">
        <f t="array" ref="K151">_xlfn.LET(
    _xlpm.sum_month, SUM(T151:AE151),
    IF(_xlpm.sum_month = 0, "", _xlpm.sum_month &amp; " participações de líderes nas agendas semanais")
)</f>
        <v/>
      </c>
      <c r="L151" s="4" t="s">
        <v>166</v>
      </c>
      <c r="M151" s="24"/>
      <c r="N151" s="5" t="s">
        <v>51</v>
      </c>
      <c r="O151" s="111" t="s">
        <v>43</v>
      </c>
      <c r="P151" s="10" t="s">
        <v>44</v>
      </c>
      <c r="Q151" s="10" t="s">
        <v>44</v>
      </c>
      <c r="R151" s="11" t="s">
        <v>44</v>
      </c>
      <c r="S151" s="11" t="s">
        <v>44</v>
      </c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G151" s="71">
        <v>28</v>
      </c>
      <c r="AH151" s="71">
        <v>28</v>
      </c>
      <c r="AI151" s="71">
        <v>27</v>
      </c>
      <c r="AJ151" s="71">
        <v>42</v>
      </c>
      <c r="AK151" s="71"/>
      <c r="AL151" s="71"/>
      <c r="AM151" s="71"/>
      <c r="AN151" s="71"/>
      <c r="AO151" s="71"/>
      <c r="AP151" s="71"/>
      <c r="AQ151" s="71"/>
      <c r="AR151" s="71"/>
      <c r="AS151" s="94">
        <f t="shared" ca="1" si="287"/>
        <v>0</v>
      </c>
      <c r="AT151" s="95">
        <f>SUM(AG151:AR151)</f>
        <v>125</v>
      </c>
      <c r="AU151" s="97">
        <f t="shared" si="288"/>
        <v>125</v>
      </c>
      <c r="AW151" s="83">
        <f>AG151</f>
        <v>28</v>
      </c>
      <c r="AX151" s="83">
        <f t="shared" si="373"/>
        <v>28</v>
      </c>
      <c r="AY151" s="83">
        <f t="shared" si="374"/>
        <v>27</v>
      </c>
      <c r="AZ151" s="83">
        <f t="shared" si="375"/>
        <v>42</v>
      </c>
      <c r="BA151" s="52"/>
      <c r="BB151" s="52"/>
      <c r="BC151" s="52"/>
      <c r="BD151" s="52"/>
      <c r="BE151" s="52"/>
      <c r="BF151" s="52"/>
      <c r="BG151" s="52"/>
      <c r="BH151" s="52"/>
      <c r="BI151" s="68" cm="1">
        <f t="array" ref="BI151">IFERROR(INDEX(AW151:BH151,1,MATCH(2,1/(AW151:BH151&lt;&gt;""))),"")</f>
        <v>42</v>
      </c>
      <c r="BJ151" s="68" cm="1">
        <f t="array" ref="BJ151">IF(BM151 = "", "",IFERROR(INDEX(AW151:BH151,1,MATCH(2,1/(AW151:BH151&lt;&gt;""),1)-1),""))</f>
        <v>27</v>
      </c>
      <c r="BK151" s="59">
        <f>IF((IF(AW151&gt;=150%,150%,AW151) + IF(AX151&gt;=150%,150%,AX151) + IF(AY151&gt;=150%,150%,AY151) + (IF(AW151&gt;=150%,150%,AW151) + IF(BA151&gt;=150%,150%,BA151) + IF(BB151&gt;=150%,150%,BB151) + IF(BC151&gt;=150%,150%,BC151) + IF(BD151&gt;=150%,150%,BD151) + IF(BE151&gt;=150%,150%,BE151) + IF(BF151&gt;=150%,150%,BF151) + IF(BG151&gt;=150%,150%,BG151) + IF(BH151&gt;=150%,150%,BH151)))/_xlfn.XLOOKUP(F151,Apuração!A:A,Apuração!B:B)&gt;=1.15,1.15,((IF(AW151&gt;=150%,150%,AW151) + IF(AX151&gt;=150%,150%,AX151) + IF(AY151&gt;=150%,150%,AY151) + (IF(AW151&gt;=150%,150%,AW151) + IF(BA151&gt;=150%,150%,BA151) + IF(BB151&gt;=150%,150%,BB151) + IF(BC151&gt;=150%,150%,BC151) + IF(BD151&gt;=150%,150%,BD151) + IF(BE151&gt;=150%,150%,BE151) + IF(BF151&gt;=150%,150%,BF151) + IF(BG151&gt;=150%,150%,BG151) + IF(BH151&gt;=150%,150%,BH151)))/_xlfn.XLOOKUP(F151,Apuração!A:A,Apuração!B:B)))</f>
        <v>0.5</v>
      </c>
      <c r="BL151" s="59" cm="1">
        <f t="array" aca="1" ref="BL151" ca="1">IF(SUM(IFERROR(IF(INDEX(AW151:INDEX(AW151:BH151, MATCH(2, 1/(AW151:BH151&lt;&gt;""), 1)-1), ROW(INDIRECT("1:" &amp; MATCH(2, 1/(AW151:BH151&lt;&gt;""), 1)-1))) &gt;= 150%, 150%, INDEX(AW151:INDEX(AW151:BH151, MATCH(2, 1/(AW151:BH151&lt;&gt;""), 1)-1), ROW(INDIRECT("1:" &amp; MATCH(2, 1/(AW151:BH151&lt;&gt;""), 1)-1)))), 0))/_xlfn.XLOOKUP(F151,Apuração!A:A,Apuração!B:B)&gt;=1.15,1.15,SUM(IFERROR(IF(INDEX(AW151:INDEX(AW151:BH151, MATCH(2, 1/(AW151:BH151&lt;&gt;""), 1)-1), ROW(INDIRECT("1:" &amp; MATCH(2, 1/(AW151:BH151&lt;&gt;""), 1)-1))) &gt;= 150%, 150%, INDEX(AW151:INDEX(AW151:BH151, MATCH(2, 1/(AW151:BH151&lt;&gt;""), 1)-1), ROW(INDIRECT("1:" &amp; MATCH(2, 1/(AW151:BH151&lt;&gt;""), 1)-1)))), 0))/_xlfn.XLOOKUP(F151,Apuração!A:A,Apuração!B:B))</f>
        <v>0.375</v>
      </c>
      <c r="BM151" s="55" cm="1">
        <f t="array" ref="BM151">IFERROR(
   INDEX($AW$1:$BH$1,
      _xlfn.AGGREGATE(14, 6, COLUMN($AW$1:$BH$1)/(AW151:BH151&lt;&gt;""), 2) - COLUMN($AW$1) + 1
   ),
"")</f>
        <v>46082</v>
      </c>
      <c r="BN151" s="55" cm="1">
        <f t="array" ref="BN151">IFERROR(INDEX($AW$1:$BH$1,1,MATCH(2,1/(AW151:BH151&lt;&gt;""))),"")</f>
        <v>46113</v>
      </c>
      <c r="BO151" s="53">
        <f ca="1">IFERROR(_xlfn.XLOOKUP(F151,Apuração!A:A,Apuração!C:C)/_xlfn.XLOOKUP(F151,Apuração!A:A,Apuração!B:B),0)</f>
        <v>0.41666666666666669</v>
      </c>
      <c r="BP151" s="53">
        <f ca="1">IFERROR(_xlfn.XLOOKUP(F151,Apuração!A:A,Apuração!D:D)/_xlfn.XLOOKUP(F151,Apuração!A:A,Apuração!B:B),0)</f>
        <v>0.33333333333333331</v>
      </c>
      <c r="BQ151" s="53">
        <f ca="1">IF(BK151&gt;=BO151,0,_xlfn.XLOOKUP(F151,Apuração!A:A,Apuração!B:B)*(BO151 + (1/_xlfn.XLOOKUP(F151,Apuração!A:A,Apuração!B:B)) - BK151))</f>
        <v>0</v>
      </c>
      <c r="BR151" s="85">
        <f t="shared" ca="1" si="261"/>
        <v>0</v>
      </c>
      <c r="BS151" s="53">
        <f ca="1">IFERROR((_xlfn.XLOOKUP(F151,Apuração!A:A,Apuração!C:C)+1)/_xlfn.XLOOKUP(F151,Apuração!A:A,Apuração!B:B),0)</f>
        <v>0.5</v>
      </c>
    </row>
    <row r="152" spans="1:71" ht="25.95" hidden="1" customHeight="1" x14ac:dyDescent="0.3">
      <c r="A152" s="42" t="s">
        <v>134</v>
      </c>
      <c r="B152" s="4" t="s">
        <v>158</v>
      </c>
      <c r="C152" s="5" t="s">
        <v>35</v>
      </c>
      <c r="D152" s="5" t="s">
        <v>47</v>
      </c>
      <c r="E152" s="4" t="str" cm="1">
        <f t="array" ref="E152">_xlfn.IFS(
F152 = "A partir de Abril", "Aguardando Execução na Distribuidora",
A152 = "CAPACITAÇÃO", "Em execução no Corporativo",
TRUE, "Em Execução na Distribuidora"
)</f>
        <v>Em Execução na Distribuidora</v>
      </c>
      <c r="F152" s="4" t="str" cm="1">
        <f t="array" ref="F152">_xlfn.IFS(
AG152 &lt;&gt; "", "Jan-Dez/26",
AH152 &lt;&gt; "", "Fev-Dez/26",
AI152 &lt;&gt; "", "Mar-Dez/26", AJ152 &lt;&gt; "", "Abr-Dez/26",
TRUE, "A partir de Junho"
)</f>
        <v>Jan-Dez/26</v>
      </c>
      <c r="G152" s="4" t="s">
        <v>62</v>
      </c>
      <c r="H152" s="7" t="s">
        <v>38</v>
      </c>
      <c r="I152" s="8" t="s">
        <v>165</v>
      </c>
      <c r="J152" s="8" t="str" cm="1">
        <f t="array" aca="1" ref="J152" ca="1">_xlfn.LET(
  _xlpm.actual_value_month, INDEX(T152:AE152, MATCH(DATE(YEAR(TODAY()), MONTH(TODAY()), 1), $T$1:$AE$1, 0)),
  IF(_xlpm.actual_value_month &lt;&gt; "",_xlpm.actual_value_month &amp; " ações mensais", "")
)</f>
        <v/>
      </c>
      <c r="K152" s="8" t="str" cm="1">
        <f t="array" ref="K152">_xlfn.LET(
    _xlpm.sum_month, SUM(T152:AE152),
    IF(_xlpm.sum_month = 0, "", _xlpm.sum_month &amp; " participações de líderes nas agendas semanais")
)</f>
        <v/>
      </c>
      <c r="L152" s="4" t="s">
        <v>166</v>
      </c>
      <c r="M152" s="24"/>
      <c r="N152" s="5" t="s">
        <v>51</v>
      </c>
      <c r="O152" s="111" t="s">
        <v>43</v>
      </c>
      <c r="P152" s="10" t="s">
        <v>44</v>
      </c>
      <c r="Q152" s="10" t="s">
        <v>44</v>
      </c>
      <c r="R152" s="11" t="s">
        <v>44</v>
      </c>
      <c r="S152" s="11" t="s">
        <v>44</v>
      </c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G152" s="82">
        <v>16</v>
      </c>
      <c r="AH152" s="82">
        <v>15</v>
      </c>
      <c r="AI152" s="82">
        <v>15</v>
      </c>
      <c r="AJ152" s="82">
        <v>30</v>
      </c>
      <c r="AK152" s="71"/>
      <c r="AL152" s="71"/>
      <c r="AM152" s="71"/>
      <c r="AN152" s="71"/>
      <c r="AO152" s="71"/>
      <c r="AP152" s="71"/>
      <c r="AQ152" s="71"/>
      <c r="AR152" s="71"/>
      <c r="AS152" s="94">
        <f t="shared" ref="AS152:AS153" ca="1" si="384">IF(MONTH(TODAY())=3,SUM(T152:U152),IF(MONTH(TODAY())=4,SUM(T152:V152),IF(MONTH(TODAY())=5,SUM(T152:W152),IF(MONTH(TODAY())=6,SUM(T152:X152),IF(MONTH(TODAY())=7,SUM(T152:Y152),IF(MONTH(TODAY())=8,SUM(T152:Z152),IF(MONTH(TODAY())=9,SUM(T152:AA152),IF(MONTH(TODAY())=10,SUM(T152:AB152),IF(MONTH(TODAY())=11,SUM(T152:AC152),IF(MONTH(TODAY())=12,SUM(T152:AD152),IF(MONTH(TODAY())=1,SUM(T152:AE152),T152)))))))))))</f>
        <v>0</v>
      </c>
      <c r="AT152" s="95">
        <f t="shared" ref="AT152:AT153" si="385">SUM(AG152:AR152)</f>
        <v>76</v>
      </c>
      <c r="AU152" s="97">
        <f t="shared" ref="AU152:AU153" si="386">SUM(AG152:AR152)</f>
        <v>76</v>
      </c>
      <c r="AW152" s="83">
        <f t="shared" ref="AW152:AW153" si="387">AG152</f>
        <v>16</v>
      </c>
      <c r="AX152" s="83">
        <f t="shared" ref="AX152:AX153" si="388">AH152</f>
        <v>15</v>
      </c>
      <c r="AY152" s="83">
        <f t="shared" ref="AY152:AY153" si="389">AI152</f>
        <v>15</v>
      </c>
      <c r="AZ152" s="83">
        <f t="shared" ref="AZ152:AZ153" si="390">AJ152</f>
        <v>30</v>
      </c>
      <c r="BA152" s="52"/>
      <c r="BB152" s="52"/>
      <c r="BC152" s="52"/>
      <c r="BD152" s="52"/>
      <c r="BE152" s="52"/>
      <c r="BF152" s="52"/>
      <c r="BG152" s="52"/>
      <c r="BH152" s="52"/>
      <c r="BI152" s="68" cm="1">
        <f t="array" ref="BI152">IFERROR(INDEX(AW152:BH152,1,MATCH(2,1/(AW152:BH152&lt;&gt;""))),"")</f>
        <v>30</v>
      </c>
      <c r="BJ152" s="68" cm="1">
        <f t="array" ref="BJ152">IF(BM152 = "", "",IFERROR(INDEX(AW152:BH152,1,MATCH(2,1/(AW152:BH152&lt;&gt;""),1)-1),""))</f>
        <v>15</v>
      </c>
      <c r="BK152" s="59">
        <f>IF((IF(AW152&gt;=150%,150%,AW152) + IF(AX152&gt;=150%,150%,AX152) + IF(AY152&gt;=150%,150%,AY152) + (IF(AW152&gt;=150%,150%,AW152) + IF(BA152&gt;=150%,150%,BA152) + IF(BB152&gt;=150%,150%,BB152) + IF(BC152&gt;=150%,150%,BC152) + IF(BD152&gt;=150%,150%,BD152) + IF(BE152&gt;=150%,150%,BE152) + IF(BF152&gt;=150%,150%,BF152) + IF(BG152&gt;=150%,150%,BG152) + IF(BH152&gt;=150%,150%,BH152)))/_xlfn.XLOOKUP(F152,Apuração!A:A,Apuração!B:B)&gt;=1.15,1.15,((IF(AW152&gt;=150%,150%,AW152) + IF(AX152&gt;=150%,150%,AX152) + IF(AY152&gt;=150%,150%,AY152) + (IF(AW152&gt;=150%,150%,AW152) + IF(BA152&gt;=150%,150%,BA152) + IF(BB152&gt;=150%,150%,BB152) + IF(BC152&gt;=150%,150%,BC152) + IF(BD152&gt;=150%,150%,BD152) + IF(BE152&gt;=150%,150%,BE152) + IF(BF152&gt;=150%,150%,BF152) + IF(BG152&gt;=150%,150%,BG152) + IF(BH152&gt;=150%,150%,BH152)))/_xlfn.XLOOKUP(F152,Apuração!A:A,Apuração!B:B)))</f>
        <v>0.5</v>
      </c>
      <c r="BL152" s="59" cm="1">
        <f t="array" aca="1" ref="BL152" ca="1">IF(SUM(IFERROR(IF(INDEX(AW152:INDEX(AW152:BH152, MATCH(2, 1/(AW152:BH152&lt;&gt;""), 1)-1), ROW(INDIRECT("1:" &amp; MATCH(2, 1/(AW152:BH152&lt;&gt;""), 1)-1))) &gt;= 150%, 150%, INDEX(AW152:INDEX(AW152:BH152, MATCH(2, 1/(AW152:BH152&lt;&gt;""), 1)-1), ROW(INDIRECT("1:" &amp; MATCH(2, 1/(AW152:BH152&lt;&gt;""), 1)-1)))), 0))/_xlfn.XLOOKUP(F152,Apuração!A:A,Apuração!B:B)&gt;=1.15,1.15,SUM(IFERROR(IF(INDEX(AW152:INDEX(AW152:BH152, MATCH(2, 1/(AW152:BH152&lt;&gt;""), 1)-1), ROW(INDIRECT("1:" &amp; MATCH(2, 1/(AW152:BH152&lt;&gt;""), 1)-1))) &gt;= 150%, 150%, INDEX(AW152:INDEX(AW152:BH152, MATCH(2, 1/(AW152:BH152&lt;&gt;""), 1)-1), ROW(INDIRECT("1:" &amp; MATCH(2, 1/(AW152:BH152&lt;&gt;""), 1)-1)))), 0))/_xlfn.XLOOKUP(F152,Apuração!A:A,Apuração!B:B))</f>
        <v>0.375</v>
      </c>
      <c r="BM152" s="55" cm="1">
        <f t="array" ref="BM152">IFERROR(
   INDEX($AW$1:$BH$1,
      _xlfn.AGGREGATE(14, 6, COLUMN($AW$1:$BH$1)/(AW152:BH152&lt;&gt;""), 2) - COLUMN($AW$1) + 1
   ),
"")</f>
        <v>46082</v>
      </c>
      <c r="BN152" s="55" cm="1">
        <f t="array" ref="BN152">IFERROR(INDEX($AW$1:$BH$1,1,MATCH(2,1/(AW152:BH152&lt;&gt;""))),"")</f>
        <v>46113</v>
      </c>
      <c r="BO152" s="53">
        <f ca="1">IFERROR(_xlfn.XLOOKUP(F152,Apuração!A:A,Apuração!C:C)/_xlfn.XLOOKUP(F152,Apuração!A:A,Apuração!B:B),0)</f>
        <v>0.41666666666666669</v>
      </c>
      <c r="BP152" s="53">
        <f ca="1">IFERROR(_xlfn.XLOOKUP(F152,Apuração!A:A,Apuração!D:D)/_xlfn.XLOOKUP(F152,Apuração!A:A,Apuração!B:B),0)</f>
        <v>0.33333333333333331</v>
      </c>
      <c r="BQ152" s="53">
        <f ca="1">IF(BK152&gt;=BO152,0,_xlfn.XLOOKUP(F152,Apuração!A:A,Apuração!B:B)*(BO152 + (1/_xlfn.XLOOKUP(F152,Apuração!A:A,Apuração!B:B)) - BK152))</f>
        <v>0</v>
      </c>
      <c r="BR152" s="85">
        <f t="shared" ref="BR152:BR153" ca="1" si="391">IF(BQ152=0,0,BQ152*Z152)</f>
        <v>0</v>
      </c>
      <c r="BS152" s="53">
        <f ca="1">IFERROR((_xlfn.XLOOKUP(F152,Apuração!A:A,Apuração!C:C)+1)/_xlfn.XLOOKUP(F152,Apuração!A:A,Apuração!B:B),0)</f>
        <v>0.5</v>
      </c>
    </row>
    <row r="153" spans="1:71" ht="25.95" hidden="1" customHeight="1" x14ac:dyDescent="0.3">
      <c r="A153" s="42" t="s">
        <v>134</v>
      </c>
      <c r="B153" s="4" t="s">
        <v>158</v>
      </c>
      <c r="C153" s="5" t="s">
        <v>35</v>
      </c>
      <c r="D153" s="5" t="s">
        <v>48</v>
      </c>
      <c r="E153" s="4" t="str" cm="1">
        <f t="array" ref="E153">_xlfn.IFS(
F153 = "A partir de Abril", "Aguardando Execução na Distribuidora",
A153 = "CAPACITAÇÃO", "Em execução no Corporativo",
TRUE, "Em Execução na Distribuidora"
)</f>
        <v>Em Execução na Distribuidora</v>
      </c>
      <c r="F153" s="4" t="str" cm="1">
        <f t="array" ref="F153">_xlfn.IFS(
AG153 &lt;&gt; "", "Jan-Dez/26",
AH153 &lt;&gt; "", "Fev-Dez/26",
AI153 &lt;&gt; "", "Mar-Dez/26", AJ153 &lt;&gt; "", "Abr-Dez/26",
TRUE, "A partir de Junho"
)</f>
        <v>Jan-Dez/26</v>
      </c>
      <c r="G153" s="4" t="s">
        <v>62</v>
      </c>
      <c r="H153" s="7" t="s">
        <v>38</v>
      </c>
      <c r="I153" s="8" t="s">
        <v>165</v>
      </c>
      <c r="J153" s="8" t="str" cm="1">
        <f t="array" aca="1" ref="J153" ca="1">_xlfn.LET(
  _xlpm.actual_value_month, INDEX(T153:AE153, MATCH(DATE(YEAR(TODAY()), MONTH(TODAY()), 1), $T$1:$AE$1, 0)),
  IF(_xlpm.actual_value_month &lt;&gt; "",_xlpm.actual_value_month &amp; " ações mensais", "")
)</f>
        <v/>
      </c>
      <c r="K153" s="8" t="str" cm="1">
        <f t="array" ref="K153">_xlfn.LET(
    _xlpm.sum_month, SUM(T153:AE153),
    IF(_xlpm.sum_month = 0, "", _xlpm.sum_month &amp; " participações de líderes nas agendas semanais")
)</f>
        <v/>
      </c>
      <c r="L153" s="4" t="s">
        <v>166</v>
      </c>
      <c r="M153" s="24"/>
      <c r="N153" s="5" t="s">
        <v>51</v>
      </c>
      <c r="O153" s="111" t="s">
        <v>43</v>
      </c>
      <c r="P153" s="10" t="s">
        <v>44</v>
      </c>
      <c r="Q153" s="10" t="s">
        <v>44</v>
      </c>
      <c r="R153" s="11" t="s">
        <v>44</v>
      </c>
      <c r="S153" s="11" t="s">
        <v>44</v>
      </c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G153" s="82">
        <v>12</v>
      </c>
      <c r="AH153" s="82">
        <v>13</v>
      </c>
      <c r="AI153" s="82">
        <v>12</v>
      </c>
      <c r="AJ153" s="82">
        <v>12</v>
      </c>
      <c r="AK153" s="71"/>
      <c r="AL153" s="71"/>
      <c r="AM153" s="71"/>
      <c r="AN153" s="71"/>
      <c r="AO153" s="71"/>
      <c r="AP153" s="71"/>
      <c r="AQ153" s="71"/>
      <c r="AR153" s="71"/>
      <c r="AS153" s="94">
        <f t="shared" ca="1" si="384"/>
        <v>0</v>
      </c>
      <c r="AT153" s="95">
        <f t="shared" si="385"/>
        <v>49</v>
      </c>
      <c r="AU153" s="97">
        <f t="shared" si="386"/>
        <v>49</v>
      </c>
      <c r="AW153" s="83">
        <f t="shared" si="387"/>
        <v>12</v>
      </c>
      <c r="AX153" s="83">
        <f t="shared" si="388"/>
        <v>13</v>
      </c>
      <c r="AY153" s="83">
        <f t="shared" si="389"/>
        <v>12</v>
      </c>
      <c r="AZ153" s="83">
        <f t="shared" si="390"/>
        <v>12</v>
      </c>
      <c r="BA153" s="52"/>
      <c r="BB153" s="52"/>
      <c r="BC153" s="52"/>
      <c r="BD153" s="52"/>
      <c r="BE153" s="52"/>
      <c r="BF153" s="52"/>
      <c r="BG153" s="52"/>
      <c r="BH153" s="52"/>
      <c r="BI153" s="68" cm="1">
        <f t="array" ref="BI153">IFERROR(INDEX(AW153:BH153,1,MATCH(2,1/(AW153:BH153&lt;&gt;""))),"")</f>
        <v>12</v>
      </c>
      <c r="BJ153" s="68" cm="1">
        <f t="array" ref="BJ153">IF(BM153 = "", "",IFERROR(INDEX(AW153:BH153,1,MATCH(2,1/(AW153:BH153&lt;&gt;""),1)-1),""))</f>
        <v>12</v>
      </c>
      <c r="BK153" s="59">
        <f>IF((IF(AW153&gt;=150%,150%,AW153) + IF(AX153&gt;=150%,150%,AX153) + IF(AY153&gt;=150%,150%,AY153) + (IF(AW153&gt;=150%,150%,AW153) + IF(BA153&gt;=150%,150%,BA153) + IF(BB153&gt;=150%,150%,BB153) + IF(BC153&gt;=150%,150%,BC153) + IF(BD153&gt;=150%,150%,BD153) + IF(BE153&gt;=150%,150%,BE153) + IF(BF153&gt;=150%,150%,BF153) + IF(BG153&gt;=150%,150%,BG153) + IF(BH153&gt;=150%,150%,BH153)))/_xlfn.XLOOKUP(F153,Apuração!A:A,Apuração!B:B)&gt;=1.15,1.15,((IF(AW153&gt;=150%,150%,AW153) + IF(AX153&gt;=150%,150%,AX153) + IF(AY153&gt;=150%,150%,AY153) + (IF(AW153&gt;=150%,150%,AW153) + IF(BA153&gt;=150%,150%,BA153) + IF(BB153&gt;=150%,150%,BB153) + IF(BC153&gt;=150%,150%,BC153) + IF(BD153&gt;=150%,150%,BD153) + IF(BE153&gt;=150%,150%,BE153) + IF(BF153&gt;=150%,150%,BF153) + IF(BG153&gt;=150%,150%,BG153) + IF(BH153&gt;=150%,150%,BH153)))/_xlfn.XLOOKUP(F153,Apuração!A:A,Apuração!B:B)))</f>
        <v>0.5</v>
      </c>
      <c r="BL153" s="59" cm="1">
        <f t="array" aca="1" ref="BL153" ca="1">IF(SUM(IFERROR(IF(INDEX(AW153:INDEX(AW153:BH153, MATCH(2, 1/(AW153:BH153&lt;&gt;""), 1)-1), ROW(INDIRECT("1:" &amp; MATCH(2, 1/(AW153:BH153&lt;&gt;""), 1)-1))) &gt;= 150%, 150%, INDEX(AW153:INDEX(AW153:BH153, MATCH(2, 1/(AW153:BH153&lt;&gt;""), 1)-1), ROW(INDIRECT("1:" &amp; MATCH(2, 1/(AW153:BH153&lt;&gt;""), 1)-1)))), 0))/_xlfn.XLOOKUP(F153,Apuração!A:A,Apuração!B:B)&gt;=1.15,1.15,SUM(IFERROR(IF(INDEX(AW153:INDEX(AW153:BH153, MATCH(2, 1/(AW153:BH153&lt;&gt;""), 1)-1), ROW(INDIRECT("1:" &amp; MATCH(2, 1/(AW153:BH153&lt;&gt;""), 1)-1))) &gt;= 150%, 150%, INDEX(AW153:INDEX(AW153:BH153, MATCH(2, 1/(AW153:BH153&lt;&gt;""), 1)-1), ROW(INDIRECT("1:" &amp; MATCH(2, 1/(AW153:BH153&lt;&gt;""), 1)-1)))), 0))/_xlfn.XLOOKUP(F153,Apuração!A:A,Apuração!B:B))</f>
        <v>0.375</v>
      </c>
      <c r="BM153" s="55" cm="1">
        <f t="array" ref="BM153">IFERROR(
   INDEX($AW$1:$BH$1,
      _xlfn.AGGREGATE(14, 6, COLUMN($AW$1:$BH$1)/(AW153:BH153&lt;&gt;""), 2) - COLUMN($AW$1) + 1
   ),
"")</f>
        <v>46082</v>
      </c>
      <c r="BN153" s="55" cm="1">
        <f t="array" ref="BN153">IFERROR(INDEX($AW$1:$BH$1,1,MATCH(2,1/(AW153:BH153&lt;&gt;""))),"")</f>
        <v>46113</v>
      </c>
      <c r="BO153" s="53">
        <f ca="1">IFERROR(_xlfn.XLOOKUP(F153,Apuração!A:A,Apuração!C:C)/_xlfn.XLOOKUP(F153,Apuração!A:A,Apuração!B:B),0)</f>
        <v>0.41666666666666669</v>
      </c>
      <c r="BP153" s="53">
        <f ca="1">IFERROR(_xlfn.XLOOKUP(F153,Apuração!A:A,Apuração!D:D)/_xlfn.XLOOKUP(F153,Apuração!A:A,Apuração!B:B),0)</f>
        <v>0.33333333333333331</v>
      </c>
      <c r="BQ153" s="53">
        <f ca="1">IF(BK153&gt;=BO153,0,_xlfn.XLOOKUP(F153,Apuração!A:A,Apuração!B:B)*(BO153 + (1/_xlfn.XLOOKUP(F153,Apuração!A:A,Apuração!B:B)) - BK153))</f>
        <v>0</v>
      </c>
      <c r="BR153" s="85">
        <f t="shared" ca="1" si="391"/>
        <v>0</v>
      </c>
      <c r="BS153" s="53">
        <f ca="1">IFERROR((_xlfn.XLOOKUP(F153,Apuração!A:A,Apuração!C:C)+1)/_xlfn.XLOOKUP(F153,Apuração!A:A,Apuração!B:B),0)</f>
        <v>0.5</v>
      </c>
    </row>
    <row r="154" spans="1:71" ht="25.95" hidden="1" customHeight="1" x14ac:dyDescent="0.3">
      <c r="A154" s="23" t="s">
        <v>134</v>
      </c>
      <c r="B154" s="4" t="s">
        <v>167</v>
      </c>
      <c r="C154" s="5" t="s">
        <v>35</v>
      </c>
      <c r="D154" s="5" t="s">
        <v>36</v>
      </c>
      <c r="E154" s="4" t="str" cm="1">
        <f t="array" ref="E154">_xlfn.IFS(
F154 = "A partir de Abril", "Aguardando Execução na Distribuidora",
A154 = "CAPACITAÇÃO", "Em execução no Corporativo",
TRUE, "Em Execução na Distribuidora"
)</f>
        <v>Em Execução na Distribuidora</v>
      </c>
      <c r="F154" s="4" t="str" cm="1">
        <f t="array" ref="F154">_xlfn.IFS(
AG154 &lt;&gt; "", "Jan-Dez/26",
AH154 &lt;&gt; "", "Fev-Dez/26",
AI154 &lt;&gt; "", "Mar-Dez/26", AJ154 &lt;&gt; "", "Abr-Dez/26",
TRUE, "A partir de Junho"
)</f>
        <v>Jan-Dez/26</v>
      </c>
      <c r="G154" s="4" t="s">
        <v>37</v>
      </c>
      <c r="H154" s="7" t="s">
        <v>38</v>
      </c>
      <c r="I154" s="8" t="s">
        <v>168</v>
      </c>
      <c r="J154" s="8" t="str" cm="1">
        <f t="array" aca="1" ref="J154" ca="1">_xlfn.LET(
  _xlpm.actual_value_month, INDEX(T154:AE154, MATCH(DATE(YEAR(TODAY()), MONTH(TODAY()), 1), $T$1:$AE$1, 0)),
  IF(_xlpm.actual_value_month &lt;&gt; "",_xlpm.actual_value_month &amp; " ações mensais", "")
)</f>
        <v>4 ações mensais</v>
      </c>
      <c r="K154" s="8" t="str" cm="1">
        <f t="array" ref="K154">_xlfn.LET(
    _xlpm.sum_month, SUM(T154:AE154),
    IF(_xlpm.sum_month = 0, "", _xlpm.sum_month &amp; " atividades no ano")
)</f>
        <v>56 atividades no ano</v>
      </c>
      <c r="L154" s="9" t="s">
        <v>169</v>
      </c>
      <c r="M154" s="24" t="s">
        <v>170</v>
      </c>
      <c r="N154" s="5" t="s">
        <v>42</v>
      </c>
      <c r="O154" s="5" t="s">
        <v>43</v>
      </c>
      <c r="P154" s="10" t="s">
        <v>44</v>
      </c>
      <c r="Q154" s="10" t="s">
        <v>44</v>
      </c>
      <c r="R154" s="11" t="s">
        <v>66</v>
      </c>
      <c r="S154" s="11" t="s">
        <v>67</v>
      </c>
      <c r="T154" s="22">
        <v>8</v>
      </c>
      <c r="U154" s="22">
        <v>6</v>
      </c>
      <c r="V154" s="22">
        <v>6</v>
      </c>
      <c r="W154" s="22">
        <v>4</v>
      </c>
      <c r="X154" s="22">
        <v>4</v>
      </c>
      <c r="Y154" s="22">
        <v>4</v>
      </c>
      <c r="Z154" s="22">
        <v>4</v>
      </c>
      <c r="AA154" s="22">
        <v>4</v>
      </c>
      <c r="AB154" s="22">
        <v>4</v>
      </c>
      <c r="AC154" s="22">
        <v>4</v>
      </c>
      <c r="AD154" s="22">
        <v>4</v>
      </c>
      <c r="AE154" s="22">
        <v>4</v>
      </c>
      <c r="AG154" s="82">
        <v>8</v>
      </c>
      <c r="AH154" s="82">
        <v>6</v>
      </c>
      <c r="AI154" s="82">
        <v>6</v>
      </c>
      <c r="AJ154" s="82">
        <v>4</v>
      </c>
      <c r="AK154" s="71"/>
      <c r="AL154" s="71"/>
      <c r="AM154" s="71"/>
      <c r="AN154" s="71"/>
      <c r="AO154" s="71"/>
      <c r="AP154" s="71"/>
      <c r="AQ154" s="71"/>
      <c r="AR154" s="71"/>
      <c r="AS154" s="94">
        <f t="shared" ca="1" si="287"/>
        <v>28</v>
      </c>
      <c r="AT154" s="95">
        <f>SUM(IF(AW154&lt;1.15,AG154,1.15*T154),IF(AX154&lt;1.15,AH154,1.15*U154),IF(AY154&lt;1.15,AI154,1.15*V154),IF(AZ154&lt;1.15,AJ154,1.15*W154),IF(BA154&lt;1.15,AK154,1.15*X154),IF(BB154&lt;1.15,AL154,1.15*Y154),IF(BC154&lt;1.15,AM154,1.15*Z154),IF(BD154&lt;1.15,AN154,1.15*AA154),IF(BE154&lt;1.15,AO154,1.15*AB154),IF(BF154&lt;1.15,AP154,1.15*AC154),IF(BG154&lt;1.15,AQ154,1.15*AD154),IF(BH154&lt;1.15,AR154,1.15*AE154))</f>
        <v>24</v>
      </c>
      <c r="AU154" s="97">
        <f t="shared" si="288"/>
        <v>24</v>
      </c>
      <c r="AW154" s="51">
        <f t="shared" ref="AW154:AZ165" si="392">IFERROR(IF(AG154="",0,AG154/T154),0)</f>
        <v>1</v>
      </c>
      <c r="AX154" s="51">
        <f t="shared" si="392"/>
        <v>1</v>
      </c>
      <c r="AY154" s="51">
        <f t="shared" si="392"/>
        <v>1</v>
      </c>
      <c r="AZ154" s="51">
        <f t="shared" si="392"/>
        <v>1</v>
      </c>
      <c r="BA154" s="51"/>
      <c r="BB154" s="51"/>
      <c r="BC154" s="51"/>
      <c r="BD154" s="51"/>
      <c r="BE154" s="51"/>
      <c r="BF154" s="51"/>
      <c r="BG154" s="51"/>
      <c r="BH154" s="51"/>
      <c r="BI154" s="65" cm="1">
        <f t="array" ref="BI154">IFERROR(INDEX(AW154:BH154,1,MATCH(2,1/(AW154:BH154&lt;&gt;""))),"")</f>
        <v>1</v>
      </c>
      <c r="BJ154" s="68" cm="1">
        <f t="array" ref="BJ154">IF(BM154 = "", "",IFERROR(INDEX(AW154:BH154,1,MATCH(2,1/(AW154:BH154&lt;&gt;""),1)-1),""))</f>
        <v>1</v>
      </c>
      <c r="BK154" s="58">
        <f>IF((IF(AW154&gt;=115%,115%,AW154) + IF(AX154&gt;=115%,115%,AX154) + IF(AY154&gt;=115%,115%,AY154) + (IF(AZ154&gt;=115%,115%,AZ154) + IF(BA154&gt;=115%,115%,BA154) + IF(BB154&gt;=115%,115%,BB154) + IF(BC154&gt;=115%,115%,BC154) + IF(BD154&gt;=115%,115%,BD154) + IF(BE154&gt;=115%,115%,BE154) + IF(BF154&gt;=115%,115%,BF154) + IF(BG154&gt;=115%,115%,BG154) + IF(BH154&gt;=115%,115%,BH154)))/_xlfn.XLOOKUP(F154,Apuração!A:A,Apuração!B:B)&gt;=1.15,1.15,((IF(AZ154&gt;=115%,115%,AZ154) + IF(AX154&gt;=115%,115%,AX154) + IF(AY154&gt;=115%,115%,AY154) + (IF(AW154&gt;=115%,115%,AW154) + IF(BA154&gt;=115%,115%,BA154) + IF(BB154&gt;=115%,115%,BB154) + IF(BC154&gt;=115%,115%,BC154) + IF(BD154&gt;=115%,115%,BD154) + IF(BE154&gt;=115%,115%,BE154) + IF(BF154&gt;=115%,115%,BF154) + IF(BG154&gt;=115%,115%,BG154) + IF(BH154&gt;=115%,115%,BH154)))/_xlfn.XLOOKUP(F154,Apuração!A:A,Apuração!B:B)))</f>
        <v>0.33333333333333331</v>
      </c>
      <c r="BL154" s="58" cm="1">
        <f t="array" aca="1" ref="BL154" ca="1">IF(SUM(IFERROR(IF(INDEX(AW154:INDEX(AW154:BH154, MATCH(2, 1/(AW154:BH154&lt;&gt;""), 1)-1), ROW(INDIRECT("1:" &amp; MATCH(2, 1/(AW154:BH154&lt;&gt;""), 1)-1))) &gt;= 115%, 115%, INDEX(AW154:INDEX(AW154:BH154, MATCH(2, 1/(AW154:BH154&lt;&gt;""), 1)-1), ROW(INDIRECT("1:" &amp; MATCH(2, 1/(AW154:BH154&lt;&gt;""), 1)-1)))), 0))/_xlfn.XLOOKUP(F154,Apuração!A:A,Apuração!B:B)&gt;=1.15,1.15,SUM(IFERROR(IF(INDEX(AW154:INDEX(AW154:BH154, MATCH(2, 1/(AW154:BH154&lt;&gt;""), 1)-1), ROW(INDIRECT("1:" &amp; MATCH(2, 1/(AW154:BH154&lt;&gt;""), 1)-1))) &gt;= 115%, 115%, INDEX(AW154:INDEX(AW154:BH154, MATCH(2, 1/(AW154:BH154&lt;&gt;""), 1)-1), ROW(INDIRECT("1:" &amp; MATCH(2, 1/(AW154:BH154&lt;&gt;""), 1)-1)))), 0))/_xlfn.XLOOKUP(F154,Apuração!A:A,Apuração!B:B))</f>
        <v>0.25</v>
      </c>
      <c r="BM154" s="55" cm="1">
        <f t="array" ref="BM154">IFERROR(
   INDEX($AW$1:$BH$1,
      _xlfn.AGGREGATE(14, 6, COLUMN($AW$1:$BH$1)/(AW154:BH154&lt;&gt;""), 2) - COLUMN($AW$1) + 1
   ),
"")</f>
        <v>46082</v>
      </c>
      <c r="BN154" s="55" cm="1">
        <f t="array" ref="BN154">IFERROR(INDEX($AW$1:$BH$1,1,MATCH(2,1/(AW154:BH154&lt;&gt;""))),"")</f>
        <v>46113</v>
      </c>
      <c r="BO154" s="53">
        <f ca="1">IFERROR(_xlfn.XLOOKUP(F154,Apuração!A:A,Apuração!C:C)/_xlfn.XLOOKUP(F154,Apuração!A:A,Apuração!B:B),0)</f>
        <v>0.41666666666666669</v>
      </c>
      <c r="BP154" s="53">
        <f ca="1">IFERROR(_xlfn.XLOOKUP(F154,Apuração!A:A,Apuração!D:D)/_xlfn.XLOOKUP(F154,Apuração!A:A,Apuração!B:B),0)</f>
        <v>0.33333333333333331</v>
      </c>
      <c r="BQ154" s="53">
        <f ca="1">IF(BK154&gt;=BO154,0,_xlfn.XLOOKUP(F154,Apuração!A:A,Apuração!B:B)*(BO154 + (1/_xlfn.XLOOKUP(F154,Apuração!A:A,Apuração!B:B)) - BK154))</f>
        <v>2</v>
      </c>
      <c r="BR154" s="85">
        <f t="shared" ca="1" si="261"/>
        <v>8</v>
      </c>
      <c r="BS154" s="53">
        <f ca="1">IFERROR((_xlfn.XLOOKUP(F154,Apuração!A:A,Apuração!C:C)+1)/_xlfn.XLOOKUP(F154,Apuração!A:A,Apuração!B:B),0)</f>
        <v>0.5</v>
      </c>
    </row>
    <row r="155" spans="1:71" ht="25.95" hidden="1" customHeight="1" x14ac:dyDescent="0.3">
      <c r="A155" s="23" t="s">
        <v>134</v>
      </c>
      <c r="B155" s="4" t="s">
        <v>167</v>
      </c>
      <c r="C155" s="5" t="s">
        <v>35</v>
      </c>
      <c r="D155" s="5" t="s">
        <v>47</v>
      </c>
      <c r="E155" s="4" t="str" cm="1">
        <f t="array" ref="E155">_xlfn.IFS(
F155 = "A partir de Abril", "Aguardando Execução na Distribuidora",
A155 = "CAPACITAÇÃO", "Em execução no Corporativo",
TRUE, "Em Execução na Distribuidora"
)</f>
        <v>Em Execução na Distribuidora</v>
      </c>
      <c r="F155" s="4" t="str" cm="1">
        <f t="array" ref="F155">_xlfn.IFS(
AG155 &lt;&gt; "", "Jan-Dez/26",
AH155 &lt;&gt; "", "Fev-Dez/26",
AI155 &lt;&gt; "", "Mar-Dez/26", AJ155 &lt;&gt; "", "Abr-Dez/26",
TRUE, "A partir de Junho"
)</f>
        <v>Jan-Dez/26</v>
      </c>
      <c r="G155" s="4" t="s">
        <v>37</v>
      </c>
      <c r="H155" s="7" t="s">
        <v>38</v>
      </c>
      <c r="I155" s="8" t="s">
        <v>168</v>
      </c>
      <c r="J155" s="8" t="str" cm="1">
        <f t="array" aca="1" ref="J155" ca="1">_xlfn.LET(
  _xlpm.actual_value_month, INDEX(T155:AE155, MATCH(DATE(YEAR(TODAY()), MONTH(TODAY()), 1), $T$1:$AE$1, 0)),
  IF(_xlpm.actual_value_month &lt;&gt; "",_xlpm.actual_value_month &amp; " ações mensais", "")
)</f>
        <v/>
      </c>
      <c r="K155" s="8" t="str" cm="1">
        <f t="array" ref="K155">_xlfn.LET(
    _xlpm.sum_month, SUM(T155:AE155),
    IF(_xlpm.sum_month = 0, "", _xlpm.sum_month &amp; " atividades no ano")
)</f>
        <v>10 atividades no ano</v>
      </c>
      <c r="L155" s="9" t="s">
        <v>169</v>
      </c>
      <c r="M155" s="24" t="s">
        <v>170</v>
      </c>
      <c r="N155" s="5" t="s">
        <v>42</v>
      </c>
      <c r="O155" s="5" t="s">
        <v>43</v>
      </c>
      <c r="P155" s="10" t="s">
        <v>44</v>
      </c>
      <c r="Q155" s="10" t="s">
        <v>44</v>
      </c>
      <c r="R155" s="11" t="s">
        <v>66</v>
      </c>
      <c r="S155" s="11" t="s">
        <v>67</v>
      </c>
      <c r="T155" s="22">
        <v>4</v>
      </c>
      <c r="U155" s="22">
        <v>3</v>
      </c>
      <c r="V155" s="22">
        <v>3</v>
      </c>
      <c r="W155" s="22"/>
      <c r="X155" s="22"/>
      <c r="Y155" s="22"/>
      <c r="Z155" s="22"/>
      <c r="AA155" s="22"/>
      <c r="AB155" s="22"/>
      <c r="AC155" s="22"/>
      <c r="AD155" s="22"/>
      <c r="AE155" s="22"/>
      <c r="AG155" s="82">
        <v>4</v>
      </c>
      <c r="AH155" s="82">
        <v>3</v>
      </c>
      <c r="AI155" s="82">
        <v>3</v>
      </c>
      <c r="AJ155" s="82">
        <v>2</v>
      </c>
      <c r="AK155" s="71"/>
      <c r="AL155" s="71"/>
      <c r="AM155" s="71"/>
      <c r="AN155" s="71"/>
      <c r="AO155" s="71"/>
      <c r="AP155" s="71"/>
      <c r="AQ155" s="71"/>
      <c r="AR155" s="71"/>
      <c r="AS155" s="94">
        <f t="shared" ref="AS155:AS156" ca="1" si="393">IF(MONTH(TODAY())=3,SUM(T155:U155),IF(MONTH(TODAY())=4,SUM(T155:V155),IF(MONTH(TODAY())=5,SUM(T155:W155),IF(MONTH(TODAY())=6,SUM(T155:X155),IF(MONTH(TODAY())=7,SUM(T155:Y155),IF(MONTH(TODAY())=8,SUM(T155:Z155),IF(MONTH(TODAY())=9,SUM(T155:AA155),IF(MONTH(TODAY())=10,SUM(T155:AB155),IF(MONTH(TODAY())=11,SUM(T155:AC155),IF(MONTH(TODAY())=12,SUM(T155:AD155),IF(MONTH(TODAY())=1,SUM(T155:AE155),T155)))))))))))</f>
        <v>10</v>
      </c>
      <c r="AT155" s="95">
        <f t="shared" ref="AT155:AT156" si="394">SUM(IF(AW155&lt;1.15,AG155,1.15*T155),IF(AX155&lt;1.15,AH155,1.15*U155),IF(AY155&lt;1.15,AI155,1.15*V155),IF(AZ155&lt;1.15,AJ155,1.15*W155),IF(BA155&lt;1.15,AK155,1.15*X155),IF(BB155&lt;1.15,AL155,1.15*Y155),IF(BC155&lt;1.15,AM155,1.15*Z155),IF(BD155&lt;1.15,AN155,1.15*AA155),IF(BE155&lt;1.15,AO155,1.15*AB155),IF(BF155&lt;1.15,AP155,1.15*AC155),IF(BG155&lt;1.15,AQ155,1.15*AD155),IF(BH155&lt;1.15,AR155,1.15*AE155))</f>
        <v>12</v>
      </c>
      <c r="AU155" s="97">
        <f t="shared" ref="AU155:AU156" si="395">SUM(AG155:AR155)</f>
        <v>12</v>
      </c>
      <c r="AW155" s="51">
        <f t="shared" ref="AW155:AW156" si="396">IFERROR(IF(AG155="",0,AG155/T155),0)</f>
        <v>1</v>
      </c>
      <c r="AX155" s="51">
        <f t="shared" ref="AX155:AX156" si="397">IFERROR(IF(AH155="",0,AH155/U155),0)</f>
        <v>1</v>
      </c>
      <c r="AY155" s="51">
        <f t="shared" ref="AY155:AY156" si="398">IFERROR(IF(AI155="",0,AI155/V155),0)</f>
        <v>1</v>
      </c>
      <c r="AZ155" s="51">
        <f t="shared" ref="AZ155:AZ156" si="399">IFERROR(IF(AJ155="",0,AJ155/W155),0)</f>
        <v>0</v>
      </c>
      <c r="BA155" s="51"/>
      <c r="BB155" s="51"/>
      <c r="BC155" s="51"/>
      <c r="BD155" s="51"/>
      <c r="BE155" s="51"/>
      <c r="BF155" s="51"/>
      <c r="BG155" s="51"/>
      <c r="BH155" s="51"/>
      <c r="BI155" s="65" cm="1">
        <f t="array" ref="BI155">IFERROR(INDEX(AW155:BH155,1,MATCH(2,1/(AW155:BH155&lt;&gt;""))),"")</f>
        <v>0</v>
      </c>
      <c r="BJ155" s="68" cm="1">
        <f t="array" ref="BJ155">IF(BM155 = "", "",IFERROR(INDEX(AW155:BH155,1,MATCH(2,1/(AW155:BH155&lt;&gt;""),1)-1),""))</f>
        <v>1</v>
      </c>
      <c r="BK155" s="58">
        <f>IF((IF(AW155&gt;=115%,115%,AW155) + IF(AX155&gt;=115%,115%,AX155) + IF(AY155&gt;=115%,115%,AY155) + (IF(AZ155&gt;=115%,115%,AZ155) + IF(BA155&gt;=115%,115%,BA155) + IF(BB155&gt;=115%,115%,BB155) + IF(BC155&gt;=115%,115%,BC155) + IF(BD155&gt;=115%,115%,BD155) + IF(BE155&gt;=115%,115%,BE155) + IF(BF155&gt;=115%,115%,BF155) + IF(BG155&gt;=115%,115%,BG155) + IF(BH155&gt;=115%,115%,BH155)))/_xlfn.XLOOKUP(F155,Apuração!A:A,Apuração!B:B)&gt;=1.15,1.15,((IF(AZ155&gt;=115%,115%,AZ155) + IF(AX155&gt;=115%,115%,AX155) + IF(AY155&gt;=115%,115%,AY155) + (IF(AW155&gt;=115%,115%,AW155) + IF(BA155&gt;=115%,115%,BA155) + IF(BB155&gt;=115%,115%,BB155) + IF(BC155&gt;=115%,115%,BC155) + IF(BD155&gt;=115%,115%,BD155) + IF(BE155&gt;=115%,115%,BE155) + IF(BF155&gt;=115%,115%,BF155) + IF(BG155&gt;=115%,115%,BG155) + IF(BH155&gt;=115%,115%,BH155)))/_xlfn.XLOOKUP(F155,Apuração!A:A,Apuração!B:B)))</f>
        <v>0.25</v>
      </c>
      <c r="BL155" s="58" cm="1">
        <f t="array" aca="1" ref="BL155" ca="1">IF(SUM(IFERROR(IF(INDEX(AW155:INDEX(AW155:BH155, MATCH(2, 1/(AW155:BH155&lt;&gt;""), 1)-1), ROW(INDIRECT("1:" &amp; MATCH(2, 1/(AW155:BH155&lt;&gt;""), 1)-1))) &gt;= 115%, 115%, INDEX(AW155:INDEX(AW155:BH155, MATCH(2, 1/(AW155:BH155&lt;&gt;""), 1)-1), ROW(INDIRECT("1:" &amp; MATCH(2, 1/(AW155:BH155&lt;&gt;""), 1)-1)))), 0))/_xlfn.XLOOKUP(F155,Apuração!A:A,Apuração!B:B)&gt;=1.15,1.15,SUM(IFERROR(IF(INDEX(AW155:INDEX(AW155:BH155, MATCH(2, 1/(AW155:BH155&lt;&gt;""), 1)-1), ROW(INDIRECT("1:" &amp; MATCH(2, 1/(AW155:BH155&lt;&gt;""), 1)-1))) &gt;= 115%, 115%, INDEX(AW155:INDEX(AW155:BH155, MATCH(2, 1/(AW155:BH155&lt;&gt;""), 1)-1), ROW(INDIRECT("1:" &amp; MATCH(2, 1/(AW155:BH155&lt;&gt;""), 1)-1)))), 0))/_xlfn.XLOOKUP(F155,Apuração!A:A,Apuração!B:B))</f>
        <v>0.25</v>
      </c>
      <c r="BM155" s="55" cm="1">
        <f t="array" ref="BM155">IFERROR(
   INDEX($AW$1:$BH$1,
      _xlfn.AGGREGATE(14, 6, COLUMN($AW$1:$BH$1)/(AW155:BH155&lt;&gt;""), 2) - COLUMN($AW$1) + 1
   ),
"")</f>
        <v>46082</v>
      </c>
      <c r="BN155" s="55" cm="1">
        <f t="array" ref="BN155">IFERROR(INDEX($AW$1:$BH$1,1,MATCH(2,1/(AW155:BH155&lt;&gt;""))),"")</f>
        <v>46113</v>
      </c>
      <c r="BO155" s="53">
        <f ca="1">IFERROR(_xlfn.XLOOKUP(F155,Apuração!A:A,Apuração!C:C)/_xlfn.XLOOKUP(F155,Apuração!A:A,Apuração!B:B),0)</f>
        <v>0.41666666666666669</v>
      </c>
      <c r="BP155" s="53">
        <f ca="1">IFERROR(_xlfn.XLOOKUP(F155,Apuração!A:A,Apuração!D:D)/_xlfn.XLOOKUP(F155,Apuração!A:A,Apuração!B:B),0)</f>
        <v>0.33333333333333331</v>
      </c>
      <c r="BQ155" s="53">
        <f ca="1">IF(BK155&gt;=BO155,0,_xlfn.XLOOKUP(F155,Apuração!A:A,Apuração!B:B)*(BO155 + (1/_xlfn.XLOOKUP(F155,Apuração!A:A,Apuração!B:B)) - BK155))</f>
        <v>3</v>
      </c>
      <c r="BR155" s="85">
        <f t="shared" ref="BR155:BR156" ca="1" si="400">IF(BQ155=0,0,BQ155*Z155)</f>
        <v>0</v>
      </c>
      <c r="BS155" s="53">
        <f ca="1">IFERROR((_xlfn.XLOOKUP(F155,Apuração!A:A,Apuração!C:C)+1)/_xlfn.XLOOKUP(F155,Apuração!A:A,Apuração!B:B),0)</f>
        <v>0.5</v>
      </c>
    </row>
    <row r="156" spans="1:71" ht="25.95" hidden="1" customHeight="1" x14ac:dyDescent="0.3">
      <c r="A156" s="23" t="s">
        <v>134</v>
      </c>
      <c r="B156" s="4" t="s">
        <v>167</v>
      </c>
      <c r="C156" s="5" t="s">
        <v>35</v>
      </c>
      <c r="D156" s="5" t="s">
        <v>48</v>
      </c>
      <c r="E156" s="4" t="str" cm="1">
        <f t="array" ref="E156">_xlfn.IFS(
F156 = "A partir de Abril", "Aguardando Execução na Distribuidora",
A156 = "CAPACITAÇÃO", "Em execução no Corporativo",
TRUE, "Em Execução na Distribuidora"
)</f>
        <v>Em Execução na Distribuidora</v>
      </c>
      <c r="F156" s="4" t="str" cm="1">
        <f t="array" ref="F156">_xlfn.IFS(
AG156 &lt;&gt; "", "Jan-Dez/26",
AH156 &lt;&gt; "", "Fev-Dez/26",
AI156 &lt;&gt; "", "Mar-Dez/26", AJ156 &lt;&gt; "", "Abr-Dez/26",
TRUE, "A partir de Junho"
)</f>
        <v>Jan-Dez/26</v>
      </c>
      <c r="G156" s="4" t="s">
        <v>37</v>
      </c>
      <c r="H156" s="7" t="s">
        <v>38</v>
      </c>
      <c r="I156" s="8" t="s">
        <v>168</v>
      </c>
      <c r="J156" s="8" t="str" cm="1">
        <f t="array" aca="1" ref="J156" ca="1">_xlfn.LET(
  _xlpm.actual_value_month, INDEX(T156:AE156, MATCH(DATE(YEAR(TODAY()), MONTH(TODAY()), 1), $T$1:$AE$1, 0)),
  IF(_xlpm.actual_value_month &lt;&gt; "",_xlpm.actual_value_month &amp; " ações mensais", "")
)</f>
        <v/>
      </c>
      <c r="K156" s="8" t="str" cm="1">
        <f t="array" ref="K156">_xlfn.LET(
    _xlpm.sum_month, SUM(T156:AE156),
    IF(_xlpm.sum_month = 0, "", _xlpm.sum_month &amp; " atividades no ano")
)</f>
        <v>10 atividades no ano</v>
      </c>
      <c r="L156" s="9" t="s">
        <v>169</v>
      </c>
      <c r="M156" s="24" t="s">
        <v>170</v>
      </c>
      <c r="N156" s="5" t="s">
        <v>42</v>
      </c>
      <c r="O156" s="5" t="s">
        <v>43</v>
      </c>
      <c r="P156" s="10" t="s">
        <v>44</v>
      </c>
      <c r="Q156" s="10" t="s">
        <v>44</v>
      </c>
      <c r="R156" s="11" t="s">
        <v>66</v>
      </c>
      <c r="S156" s="11" t="s">
        <v>67</v>
      </c>
      <c r="T156" s="22">
        <v>4</v>
      </c>
      <c r="U156" s="22">
        <v>3</v>
      </c>
      <c r="V156" s="22">
        <v>3</v>
      </c>
      <c r="W156" s="22"/>
      <c r="X156" s="22"/>
      <c r="Y156" s="22"/>
      <c r="Z156" s="22"/>
      <c r="AA156" s="22"/>
      <c r="AB156" s="22"/>
      <c r="AC156" s="22"/>
      <c r="AD156" s="22"/>
      <c r="AE156" s="22"/>
      <c r="AG156" s="82">
        <v>4</v>
      </c>
      <c r="AH156" s="82">
        <v>3</v>
      </c>
      <c r="AI156" s="82">
        <v>3</v>
      </c>
      <c r="AJ156" s="82">
        <v>2</v>
      </c>
      <c r="AK156" s="71"/>
      <c r="AL156" s="71"/>
      <c r="AM156" s="71"/>
      <c r="AN156" s="71"/>
      <c r="AO156" s="71"/>
      <c r="AP156" s="71"/>
      <c r="AQ156" s="71"/>
      <c r="AR156" s="71"/>
      <c r="AS156" s="94">
        <f t="shared" ca="1" si="393"/>
        <v>10</v>
      </c>
      <c r="AT156" s="95">
        <f t="shared" si="394"/>
        <v>12</v>
      </c>
      <c r="AU156" s="97">
        <f t="shared" si="395"/>
        <v>12</v>
      </c>
      <c r="AW156" s="51">
        <f t="shared" si="396"/>
        <v>1</v>
      </c>
      <c r="AX156" s="51">
        <f t="shared" si="397"/>
        <v>1</v>
      </c>
      <c r="AY156" s="51">
        <f t="shared" si="398"/>
        <v>1</v>
      </c>
      <c r="AZ156" s="51">
        <f t="shared" si="399"/>
        <v>0</v>
      </c>
      <c r="BA156" s="51"/>
      <c r="BB156" s="51"/>
      <c r="BC156" s="51"/>
      <c r="BD156" s="51"/>
      <c r="BE156" s="51"/>
      <c r="BF156" s="51"/>
      <c r="BG156" s="51"/>
      <c r="BH156" s="51"/>
      <c r="BI156" s="65" cm="1">
        <f t="array" ref="BI156">IFERROR(INDEX(AW156:BH156,1,MATCH(2,1/(AW156:BH156&lt;&gt;""))),"")</f>
        <v>0</v>
      </c>
      <c r="BJ156" s="68" cm="1">
        <f t="array" ref="BJ156">IF(BM156 = "", "",IFERROR(INDEX(AW156:BH156,1,MATCH(2,1/(AW156:BH156&lt;&gt;""),1)-1),""))</f>
        <v>1</v>
      </c>
      <c r="BK156" s="58">
        <f>IF((IF(AW156&gt;=115%,115%,AW156) + IF(AX156&gt;=115%,115%,AX156) + IF(AY156&gt;=115%,115%,AY156) + (IF(AZ156&gt;=115%,115%,AZ156) + IF(BA156&gt;=115%,115%,BA156) + IF(BB156&gt;=115%,115%,BB156) + IF(BC156&gt;=115%,115%,BC156) + IF(BD156&gt;=115%,115%,BD156) + IF(BE156&gt;=115%,115%,BE156) + IF(BF156&gt;=115%,115%,BF156) + IF(BG156&gt;=115%,115%,BG156) + IF(BH156&gt;=115%,115%,BH156)))/_xlfn.XLOOKUP(F156,Apuração!A:A,Apuração!B:B)&gt;=1.15,1.15,((IF(AZ156&gt;=115%,115%,AZ156) + IF(AX156&gt;=115%,115%,AX156) + IF(AY156&gt;=115%,115%,AY156) + (IF(AW156&gt;=115%,115%,AW156) + IF(BA156&gt;=115%,115%,BA156) + IF(BB156&gt;=115%,115%,BB156) + IF(BC156&gt;=115%,115%,BC156) + IF(BD156&gt;=115%,115%,BD156) + IF(BE156&gt;=115%,115%,BE156) + IF(BF156&gt;=115%,115%,BF156) + IF(BG156&gt;=115%,115%,BG156) + IF(BH156&gt;=115%,115%,BH156)))/_xlfn.XLOOKUP(F156,Apuração!A:A,Apuração!B:B)))</f>
        <v>0.25</v>
      </c>
      <c r="BL156" s="58" cm="1">
        <f t="array" aca="1" ref="BL156" ca="1">IF(SUM(IFERROR(IF(INDEX(AW156:INDEX(AW156:BH156, MATCH(2, 1/(AW156:BH156&lt;&gt;""), 1)-1), ROW(INDIRECT("1:" &amp; MATCH(2, 1/(AW156:BH156&lt;&gt;""), 1)-1))) &gt;= 115%, 115%, INDEX(AW156:INDEX(AW156:BH156, MATCH(2, 1/(AW156:BH156&lt;&gt;""), 1)-1), ROW(INDIRECT("1:" &amp; MATCH(2, 1/(AW156:BH156&lt;&gt;""), 1)-1)))), 0))/_xlfn.XLOOKUP(F156,Apuração!A:A,Apuração!B:B)&gt;=1.15,1.15,SUM(IFERROR(IF(INDEX(AW156:INDEX(AW156:BH156, MATCH(2, 1/(AW156:BH156&lt;&gt;""), 1)-1), ROW(INDIRECT("1:" &amp; MATCH(2, 1/(AW156:BH156&lt;&gt;""), 1)-1))) &gt;= 115%, 115%, INDEX(AW156:INDEX(AW156:BH156, MATCH(2, 1/(AW156:BH156&lt;&gt;""), 1)-1), ROW(INDIRECT("1:" &amp; MATCH(2, 1/(AW156:BH156&lt;&gt;""), 1)-1)))), 0))/_xlfn.XLOOKUP(F156,Apuração!A:A,Apuração!B:B))</f>
        <v>0.25</v>
      </c>
      <c r="BM156" s="55" cm="1">
        <f t="array" ref="BM156">IFERROR(
   INDEX($AW$1:$BH$1,
      _xlfn.AGGREGATE(14, 6, COLUMN($AW$1:$BH$1)/(AW156:BH156&lt;&gt;""), 2) - COLUMN($AW$1) + 1
   ),
"")</f>
        <v>46082</v>
      </c>
      <c r="BN156" s="55" cm="1">
        <f t="array" ref="BN156">IFERROR(INDEX($AW$1:$BH$1,1,MATCH(2,1/(AW156:BH156&lt;&gt;""))),"")</f>
        <v>46113</v>
      </c>
      <c r="BO156" s="53">
        <f ca="1">IFERROR(_xlfn.XLOOKUP(F156,Apuração!A:A,Apuração!C:C)/_xlfn.XLOOKUP(F156,Apuração!A:A,Apuração!B:B),0)</f>
        <v>0.41666666666666669</v>
      </c>
      <c r="BP156" s="53">
        <f ca="1">IFERROR(_xlfn.XLOOKUP(F156,Apuração!A:A,Apuração!D:D)/_xlfn.XLOOKUP(F156,Apuração!A:A,Apuração!B:B),0)</f>
        <v>0.33333333333333331</v>
      </c>
      <c r="BQ156" s="53">
        <f ca="1">IF(BK156&gt;=BO156,0,_xlfn.XLOOKUP(F156,Apuração!A:A,Apuração!B:B)*(BO156 + (1/_xlfn.XLOOKUP(F156,Apuração!A:A,Apuração!B:B)) - BK156))</f>
        <v>3</v>
      </c>
      <c r="BR156" s="85">
        <f t="shared" ca="1" si="400"/>
        <v>0</v>
      </c>
      <c r="BS156" s="53">
        <f ca="1">IFERROR((_xlfn.XLOOKUP(F156,Apuração!A:A,Apuração!C:C)+1)/_xlfn.XLOOKUP(F156,Apuração!A:A,Apuração!B:B),0)</f>
        <v>0.5</v>
      </c>
    </row>
    <row r="157" spans="1:71" ht="25.95" hidden="1" customHeight="1" x14ac:dyDescent="0.3">
      <c r="A157" s="23" t="s">
        <v>134</v>
      </c>
      <c r="B157" s="4" t="s">
        <v>167</v>
      </c>
      <c r="C157" s="5" t="s">
        <v>35</v>
      </c>
      <c r="D157" s="5" t="s">
        <v>36</v>
      </c>
      <c r="E157" s="4" t="str" cm="1">
        <f t="array" ref="E157">_xlfn.IFS(
F157 = "A partir de Abril", "Aguardando Execução na Distribuidora",
A157 = "CAPACITAÇÃO", "Em execução no Corporativo",
TRUE, "Em Execução na Distribuidora"
)</f>
        <v>Em Execução na Distribuidora</v>
      </c>
      <c r="F157" s="4" t="str" cm="1">
        <f t="array" ref="F157">_xlfn.IFS(
AG157 &lt;&gt; "", "Jan-Dez/26",
AH157 &lt;&gt; "", "Fev-Dez/26",
AI157 &lt;&gt; "", "Mar-Dez/26", AJ157 &lt;&gt; "", "Abr-Dez/26",
TRUE, "A partir de Junho"
)</f>
        <v>Jan-Dez/26</v>
      </c>
      <c r="G157" s="4" t="s">
        <v>37</v>
      </c>
      <c r="H157" s="7" t="s">
        <v>38</v>
      </c>
      <c r="I157" s="8" t="s">
        <v>171</v>
      </c>
      <c r="J157" s="8" t="str" cm="1">
        <f t="array" aca="1" ref="J157" ca="1">_xlfn.LET(
  _xlpm.actual_value_month, INDEX(T157:AE157, MATCH(DATE(YEAR(TODAY()), MONTH(TODAY()), 1), $T$1:$AE$1, 0)),
  IF(_xlpm.actual_value_month &lt;&gt; "",_xlpm.actual_value_month &amp; " colaboradores alcançados mensalmentes", "")
)</f>
        <v>2972 colaboradores alcançados mensalmentes</v>
      </c>
      <c r="K157" s="8" t="str" cm="1">
        <f t="array" ref="K157">_xlfn.LET(
    _xlpm.sum_month, SUM(T157:AE157),
    IF(_xlpm.sum_month = 0, "", _xlpm.sum_month &amp; " colaboradores alcançados durante no ano")
)</f>
        <v>34263 colaboradores alcançados durante no ano</v>
      </c>
      <c r="L157" s="9" t="s">
        <v>172</v>
      </c>
      <c r="M157" s="24" t="s">
        <v>173</v>
      </c>
      <c r="N157" s="5" t="s">
        <v>42</v>
      </c>
      <c r="O157" s="5" t="s">
        <v>43</v>
      </c>
      <c r="P157" s="10" t="s">
        <v>44</v>
      </c>
      <c r="Q157" s="10" t="s">
        <v>72</v>
      </c>
      <c r="R157" s="11" t="s">
        <v>66</v>
      </c>
      <c r="S157" s="11" t="s">
        <v>67</v>
      </c>
      <c r="T157" s="22">
        <v>3265</v>
      </c>
      <c r="U157" s="22">
        <v>2345</v>
      </c>
      <c r="V157" s="22">
        <v>1905</v>
      </c>
      <c r="W157" s="22">
        <v>2972</v>
      </c>
      <c r="X157" s="22">
        <v>2972</v>
      </c>
      <c r="Y157" s="22">
        <v>2972</v>
      </c>
      <c r="Z157" s="22">
        <v>2972</v>
      </c>
      <c r="AA157" s="22">
        <v>2972</v>
      </c>
      <c r="AB157" s="22">
        <v>2972</v>
      </c>
      <c r="AC157" s="22">
        <v>2972</v>
      </c>
      <c r="AD157" s="22">
        <v>2972</v>
      </c>
      <c r="AE157" s="22">
        <v>2972</v>
      </c>
      <c r="AG157" s="71">
        <v>3265</v>
      </c>
      <c r="AH157" s="71">
        <v>2345</v>
      </c>
      <c r="AI157" s="71">
        <v>1905</v>
      </c>
      <c r="AJ157" s="71">
        <v>2568</v>
      </c>
      <c r="AK157" s="71"/>
      <c r="AL157" s="71"/>
      <c r="AM157" s="71"/>
      <c r="AN157" s="71"/>
      <c r="AO157" s="71"/>
      <c r="AP157" s="71"/>
      <c r="AQ157" s="71"/>
      <c r="AR157" s="71"/>
      <c r="AS157" s="94">
        <f t="shared" ca="1" si="287"/>
        <v>13459</v>
      </c>
      <c r="AT157" s="95">
        <f>SUM(IF(AW157&lt;1.15,AG157,1.15*T157),IF(AX157&lt;1.15,AH157,1.15*U157),IF(AY157&lt;1.15,AI157,1.15*V157),IF(AZ157&lt;1.15,AJ157,1.15*W157),IF(BA157&lt;1.15,AK157,1.15*X157),IF(BB157&lt;1.15,AL157,1.15*Y157),IF(BC157&lt;1.15,AM157,1.15*Z157),IF(BD157&lt;1.15,AN157,1.15*AA157),IF(BE157&lt;1.15,AO157,1.15*AB157),IF(BF157&lt;1.15,AP157,1.15*AC157),IF(BG157&lt;1.15,AQ157,1.15*AD157),IF(BH157&lt;1.15,AR157,1.15*AE157))</f>
        <v>10083</v>
      </c>
      <c r="AU157" s="97">
        <f t="shared" si="288"/>
        <v>10083</v>
      </c>
      <c r="AW157" s="51">
        <f t="shared" si="392"/>
        <v>1</v>
      </c>
      <c r="AX157" s="51">
        <f t="shared" si="392"/>
        <v>1</v>
      </c>
      <c r="AY157" s="51">
        <f t="shared" si="392"/>
        <v>1</v>
      </c>
      <c r="AZ157" s="51">
        <f t="shared" si="392"/>
        <v>0.8640646029609691</v>
      </c>
      <c r="BA157" s="51"/>
      <c r="BB157" s="51"/>
      <c r="BC157" s="51"/>
      <c r="BD157" s="51"/>
      <c r="BE157" s="51"/>
      <c r="BF157" s="51"/>
      <c r="BG157" s="51"/>
      <c r="BH157" s="51"/>
      <c r="BI157" s="65" cm="1">
        <f t="array" ref="BI157">IFERROR(INDEX(AW157:BH157,1,MATCH(2,1/(AW157:BH157&lt;&gt;""))),"")</f>
        <v>0.8640646029609691</v>
      </c>
      <c r="BJ157" s="68" cm="1">
        <f t="array" ref="BJ157">IF(BM157 = "", "",IFERROR(INDEX(AW157:BH157,1,MATCH(2,1/(AW157:BH157&lt;&gt;""),1)-1),""))</f>
        <v>1</v>
      </c>
      <c r="BK157" s="58">
        <f>IF((IF(AW157&gt;=115%,115%,AW157) + IF(AX157&gt;=115%,115%,AX157) + IF(AY157&gt;=115%,115%,AY157) + (IF(AZ157&gt;=115%,115%,AZ157) + IF(BA157&gt;=133%,133%,BA157) + IF(BB157&gt;=115%,115%,BB157) + IF(BC157&gt;=115%,115%,BC157) + IF(BD157&gt;=115%,115%,BD157) + IF(BE157&gt;=115%,115%,BE157) + IF(BF157&gt;=115%,115%,BF157) + IF(BG157&gt;=115%,115%,BG157) + IF(BH157&gt;=115%,115%,BH157)))/_xlfn.XLOOKUP(F157,Apuração!A:A,Apuração!B:B)&gt;=1.15,1.15,((IF(AZ157&gt;=115%,115%,AZ157) + IF(AX157&gt;=115%,115%,AX157) + IF(AY157&gt;=115%,115%,AY157) + (IF(AW157&gt;=115%,115%,AW157) + IF(BA157&gt;=133%,133%,BA157) + IF(BB157&gt;=115%,115%,BB157) + IF(BC157&gt;=115%,115%,BC157) + IF(BD157&gt;=115%,115%,BD157) + IF(BE157&gt;=115%,115%,BE157) + IF(BF157&gt;=115%,115%,BF157) + IF(BG157&gt;=115%,115%,BG157) + IF(BH157&gt;=115%,115%,BH157)))/_xlfn.XLOOKUP(F157,Apuração!A:A,Apuração!B:B)))</f>
        <v>0.32200538358008074</v>
      </c>
      <c r="BL157" s="58" cm="1">
        <f t="array" aca="1" ref="BL157" ca="1">IF(SUM(IFERROR(IF(INDEX(AW157:INDEX(AW157:BH157, MATCH(2, 1/(AW157:BH157&lt;&gt;""), 1)-1), ROW(INDIRECT("1:" &amp; MATCH(2, 1/(AW157:BH157&lt;&gt;""), 1)-1))) &gt;= 115%, 115%, INDEX(AW157:INDEX(AW157:BH157, MATCH(2, 1/(AW157:BH157&lt;&gt;""), 1)-1), ROW(INDIRECT("1:" &amp; MATCH(2, 1/(AW157:BH157&lt;&gt;""), 1)-1)))), 0))/_xlfn.XLOOKUP(F157,Apuração!A:A,Apuração!B:B)&gt;=1.15,1.15,SUM(IFERROR(IF(INDEX(AW157:INDEX(AW157:BH157, MATCH(2, 1/(AW157:BH157&lt;&gt;""), 1)-1), ROW(INDIRECT("1:" &amp; MATCH(2, 1/(AW157:BH157&lt;&gt;""), 1)-1))) &gt;= 115%, 115%, INDEX(AW157:INDEX(AW157:BH157, MATCH(2, 1/(AW157:BH157&lt;&gt;""), 1)-1), ROW(INDIRECT("1:" &amp; MATCH(2, 1/(AW157:BH157&lt;&gt;""), 1)-1)))), 0))/_xlfn.XLOOKUP(F157,Apuração!A:A,Apuração!B:B))</f>
        <v>0.25</v>
      </c>
      <c r="BM157" s="55" cm="1">
        <f t="array" ref="BM157">IFERROR(
   INDEX($AW$1:$BH$1,
      _xlfn.AGGREGATE(14, 6, COLUMN($AW$1:$BH$1)/(AW157:BH157&lt;&gt;""), 2) - COLUMN($AW$1) + 1
   ),
"")</f>
        <v>46082</v>
      </c>
      <c r="BN157" s="55" cm="1">
        <f t="array" ref="BN157">IFERROR(INDEX($AW$1:$BH$1,1,MATCH(2,1/(AW157:BH157&lt;&gt;""))),"")</f>
        <v>46113</v>
      </c>
      <c r="BO157" s="53">
        <f ca="1">IFERROR(_xlfn.XLOOKUP(F157,Apuração!A:A,Apuração!C:C)/_xlfn.XLOOKUP(F157,Apuração!A:A,Apuração!B:B),0)</f>
        <v>0.41666666666666669</v>
      </c>
      <c r="BP157" s="53">
        <f ca="1">IFERROR(_xlfn.XLOOKUP(F157,Apuração!A:A,Apuração!D:D)/_xlfn.XLOOKUP(F157,Apuração!A:A,Apuração!B:B),0)</f>
        <v>0.33333333333333331</v>
      </c>
      <c r="BQ157" s="53">
        <f ca="1">IF(BK157&gt;=BO157,0,_xlfn.XLOOKUP(F157,Apuração!A:A,Apuração!B:B)*(BO157 + (1/_xlfn.XLOOKUP(F157,Apuração!A:A,Apuração!B:B)) - BK157))</f>
        <v>2.1359353970390309</v>
      </c>
      <c r="BR157" s="85">
        <f t="shared" ca="1" si="261"/>
        <v>6348</v>
      </c>
      <c r="BS157" s="53">
        <f ca="1">IFERROR((_xlfn.XLOOKUP(F157,Apuração!A:A,Apuração!C:C)+1)/_xlfn.XLOOKUP(F157,Apuração!A:A,Apuração!B:B),0)</f>
        <v>0.5</v>
      </c>
    </row>
    <row r="158" spans="1:71" ht="25.95" hidden="1" customHeight="1" x14ac:dyDescent="0.3">
      <c r="A158" s="23" t="s">
        <v>134</v>
      </c>
      <c r="B158" s="4" t="s">
        <v>167</v>
      </c>
      <c r="C158" s="5" t="s">
        <v>35</v>
      </c>
      <c r="D158" s="5" t="s">
        <v>47</v>
      </c>
      <c r="E158" s="4" t="str" cm="1">
        <f t="array" ref="E158">_xlfn.IFS(
F158 = "A partir de Abril", "Aguardando Execução na Distribuidora",
A158 = "CAPACITAÇÃO", "Em execução no Corporativo",
TRUE, "Em Execução na Distribuidora"
)</f>
        <v>Em Execução na Distribuidora</v>
      </c>
      <c r="F158" s="4" t="str" cm="1">
        <f t="array" ref="F158">_xlfn.IFS(
AG158 &lt;&gt; "", "Jan-Dez/26",
AH158 &lt;&gt; "", "Fev-Dez/26",
AI158 &lt;&gt; "", "Mar-Dez/26", AJ158 &lt;&gt; "", "Abr-Dez/26",
TRUE, "A partir de Junho"
)</f>
        <v>Jan-Dez/26</v>
      </c>
      <c r="G158" s="4" t="s">
        <v>37</v>
      </c>
      <c r="H158" s="7" t="s">
        <v>38</v>
      </c>
      <c r="I158" s="8" t="s">
        <v>171</v>
      </c>
      <c r="J158" s="8" t="str" cm="1">
        <f t="array" aca="1" ref="J158" ca="1">_xlfn.LET(
  _xlpm.actual_value_month, INDEX(T158:AE158, MATCH(DATE(YEAR(TODAY()), MONTH(TODAY()), 1), $T$1:$AE$1, 0)),
  IF(_xlpm.actual_value_month &lt;&gt; "",_xlpm.actual_value_month &amp; " colaboradores alcançados mensalmentes", "")
)</f>
        <v/>
      </c>
      <c r="K158" s="8" t="str" cm="1">
        <f t="array" ref="K158">_xlfn.LET(
    _xlpm.sum_month, SUM(T158:AE158),
    IF(_xlpm.sum_month = 0, "", _xlpm.sum_month &amp; " colaboradores alcançados durante no ano")
)</f>
        <v/>
      </c>
      <c r="L158" s="9" t="s">
        <v>172</v>
      </c>
      <c r="M158" s="24" t="s">
        <v>173</v>
      </c>
      <c r="N158" s="5" t="s">
        <v>42</v>
      </c>
      <c r="O158" s="5" t="s">
        <v>43</v>
      </c>
      <c r="P158" s="10" t="s">
        <v>44</v>
      </c>
      <c r="Q158" s="10" t="s">
        <v>72</v>
      </c>
      <c r="R158" s="11" t="s">
        <v>66</v>
      </c>
      <c r="S158" s="11" t="s">
        <v>67</v>
      </c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G158" s="82">
        <v>2318</v>
      </c>
      <c r="AH158" s="82">
        <v>1665</v>
      </c>
      <c r="AI158" s="82">
        <v>1352</v>
      </c>
      <c r="AJ158" s="71">
        <v>1818</v>
      </c>
      <c r="AK158" s="71"/>
      <c r="AL158" s="71"/>
      <c r="AM158" s="71"/>
      <c r="AN158" s="71"/>
      <c r="AO158" s="71"/>
      <c r="AP158" s="71"/>
      <c r="AQ158" s="71"/>
      <c r="AR158" s="71"/>
      <c r="AS158" s="94">
        <f t="shared" ref="AS158:AS161" ca="1" si="401">IF(MONTH(TODAY())=3,SUM(T158:U158),IF(MONTH(TODAY())=4,SUM(T158:V158),IF(MONTH(TODAY())=5,SUM(T158:W158),IF(MONTH(TODAY())=6,SUM(T158:X158),IF(MONTH(TODAY())=7,SUM(T158:Y158),IF(MONTH(TODAY())=8,SUM(T158:Z158),IF(MONTH(TODAY())=9,SUM(T158:AA158),IF(MONTH(TODAY())=10,SUM(T158:AB158),IF(MONTH(TODAY())=11,SUM(T158:AC158),IF(MONTH(TODAY())=12,SUM(T158:AD158),IF(MONTH(TODAY())=1,SUM(T158:AE158),T158)))))))))))</f>
        <v>0</v>
      </c>
      <c r="AT158" s="95">
        <f t="shared" ref="AT158:AT161" si="402">SUM(IF(AW158&lt;1.15,AG158,1.15*T158),IF(AX158&lt;1.15,AH158,1.15*U158),IF(AY158&lt;1.15,AI158,1.15*V158),IF(AZ158&lt;1.15,AJ158,1.15*W158),IF(BA158&lt;1.15,AK158,1.15*X158),IF(BB158&lt;1.15,AL158,1.15*Y158),IF(BC158&lt;1.15,AM158,1.15*Z158),IF(BD158&lt;1.15,AN158,1.15*AA158),IF(BE158&lt;1.15,AO158,1.15*AB158),IF(BF158&lt;1.15,AP158,1.15*AC158),IF(BG158&lt;1.15,AQ158,1.15*AD158),IF(BH158&lt;1.15,AR158,1.15*AE158))</f>
        <v>7153</v>
      </c>
      <c r="AU158" s="97">
        <f t="shared" ref="AU158:AU161" si="403">SUM(AG158:AR158)</f>
        <v>7153</v>
      </c>
      <c r="AW158" s="51">
        <f t="shared" ref="AW158:AW161" si="404">IFERROR(IF(AG158="",0,AG158/T158),0)</f>
        <v>0</v>
      </c>
      <c r="AX158" s="51">
        <f t="shared" ref="AX158:AX161" si="405">IFERROR(IF(AH158="",0,AH158/U158),0)</f>
        <v>0</v>
      </c>
      <c r="AY158" s="51">
        <f t="shared" ref="AY158:AY161" si="406">IFERROR(IF(AI158="",0,AI158/V158),0)</f>
        <v>0</v>
      </c>
      <c r="AZ158" s="51">
        <f t="shared" ref="AZ158:AZ161" si="407">IFERROR(IF(AJ158="",0,AJ158/W158),0)</f>
        <v>0</v>
      </c>
      <c r="BA158" s="51"/>
      <c r="BB158" s="51"/>
      <c r="BC158" s="51"/>
      <c r="BD158" s="51"/>
      <c r="BE158" s="51"/>
      <c r="BF158" s="51"/>
      <c r="BG158" s="51"/>
      <c r="BH158" s="51"/>
      <c r="BI158" s="65" cm="1">
        <f t="array" ref="BI158">IFERROR(INDEX(AW158:BH158,1,MATCH(2,1/(AW158:BH158&lt;&gt;""))),"")</f>
        <v>0</v>
      </c>
      <c r="BJ158" s="68" cm="1">
        <f t="array" ref="BJ158">IF(BM158 = "", "",IFERROR(INDEX(AW158:BH158,1,MATCH(2,1/(AW158:BH158&lt;&gt;""),1)-1),""))</f>
        <v>0</v>
      </c>
      <c r="BK158" s="58">
        <f>IF((IF(AW158&gt;=115%,115%,AW158) + IF(AX158&gt;=115%,115%,AX158) + IF(AY158&gt;=115%,115%,AY158) + (IF(AZ158&gt;=115%,115%,AZ158) + IF(BA158&gt;=133%,133%,BA158) + IF(BB158&gt;=115%,115%,BB158) + IF(BC158&gt;=115%,115%,BC158) + IF(BD158&gt;=115%,115%,BD158) + IF(BE158&gt;=115%,115%,BE158) + IF(BF158&gt;=115%,115%,BF158) + IF(BG158&gt;=115%,115%,BG158) + IF(BH158&gt;=115%,115%,BH158)))/_xlfn.XLOOKUP(F158,Apuração!A:A,Apuração!B:B)&gt;=1.15,1.15,((IF(AZ158&gt;=115%,115%,AZ158) + IF(AX158&gt;=115%,115%,AX158) + IF(AY158&gt;=115%,115%,AY158) + (IF(AW158&gt;=115%,115%,AW158) + IF(BA158&gt;=133%,133%,BA158) + IF(BB158&gt;=115%,115%,BB158) + IF(BC158&gt;=115%,115%,BC158) + IF(BD158&gt;=115%,115%,BD158) + IF(BE158&gt;=115%,115%,BE158) + IF(BF158&gt;=115%,115%,BF158) + IF(BG158&gt;=115%,115%,BG158) + IF(BH158&gt;=115%,115%,BH158)))/_xlfn.XLOOKUP(F158,Apuração!A:A,Apuração!B:B)))</f>
        <v>0</v>
      </c>
      <c r="BL158" s="58" cm="1">
        <f t="array" aca="1" ref="BL158" ca="1">IF(SUM(IFERROR(IF(INDEX(AW158:INDEX(AW158:BH158, MATCH(2, 1/(AW158:BH158&lt;&gt;""), 1)-1), ROW(INDIRECT("1:" &amp; MATCH(2, 1/(AW158:BH158&lt;&gt;""), 1)-1))) &gt;= 115%, 115%, INDEX(AW158:INDEX(AW158:BH158, MATCH(2, 1/(AW158:BH158&lt;&gt;""), 1)-1), ROW(INDIRECT("1:" &amp; MATCH(2, 1/(AW158:BH158&lt;&gt;""), 1)-1)))), 0))/_xlfn.XLOOKUP(F158,Apuração!A:A,Apuração!B:B)&gt;=1.15,1.15,SUM(IFERROR(IF(INDEX(AW158:INDEX(AW158:BH158, MATCH(2, 1/(AW158:BH158&lt;&gt;""), 1)-1), ROW(INDIRECT("1:" &amp; MATCH(2, 1/(AW158:BH158&lt;&gt;""), 1)-1))) &gt;= 115%, 115%, INDEX(AW158:INDEX(AW158:BH158, MATCH(2, 1/(AW158:BH158&lt;&gt;""), 1)-1), ROW(INDIRECT("1:" &amp; MATCH(2, 1/(AW158:BH158&lt;&gt;""), 1)-1)))), 0))/_xlfn.XLOOKUP(F158,Apuração!A:A,Apuração!B:B))</f>
        <v>0</v>
      </c>
      <c r="BM158" s="55" cm="1">
        <f t="array" ref="BM158">IFERROR(
   INDEX($AW$1:$BH$1,
      _xlfn.AGGREGATE(14, 6, COLUMN($AW$1:$BH$1)/(AW158:BH158&lt;&gt;""), 2) - COLUMN($AW$1) + 1
   ),
"")</f>
        <v>46082</v>
      </c>
      <c r="BN158" s="55" cm="1">
        <f t="array" ref="BN158">IFERROR(INDEX($AW$1:$BH$1,1,MATCH(2,1/(AW158:BH158&lt;&gt;""))),"")</f>
        <v>46113</v>
      </c>
      <c r="BO158" s="53">
        <f ca="1">IFERROR(_xlfn.XLOOKUP(F158,Apuração!A:A,Apuração!C:C)/_xlfn.XLOOKUP(F158,Apuração!A:A,Apuração!B:B),0)</f>
        <v>0.41666666666666669</v>
      </c>
      <c r="BP158" s="53">
        <f ca="1">IFERROR(_xlfn.XLOOKUP(F158,Apuração!A:A,Apuração!D:D)/_xlfn.XLOOKUP(F158,Apuração!A:A,Apuração!B:B),0)</f>
        <v>0.33333333333333331</v>
      </c>
      <c r="BQ158" s="53">
        <f ca="1">IF(BK158&gt;=BO158,0,_xlfn.XLOOKUP(F158,Apuração!A:A,Apuração!B:B)*(BO158 + (1/_xlfn.XLOOKUP(F158,Apuração!A:A,Apuração!B:B)) - BK158))</f>
        <v>6</v>
      </c>
      <c r="BR158" s="85">
        <f t="shared" ref="BR158:BR161" ca="1" si="408">IF(BQ158=0,0,BQ158*Z158)</f>
        <v>0</v>
      </c>
      <c r="BS158" s="53">
        <f ca="1">IFERROR((_xlfn.XLOOKUP(F158,Apuração!A:A,Apuração!C:C)+1)/_xlfn.XLOOKUP(F158,Apuração!A:A,Apuração!B:B),0)</f>
        <v>0.5</v>
      </c>
    </row>
    <row r="159" spans="1:71" ht="25.95" hidden="1" customHeight="1" x14ac:dyDescent="0.3">
      <c r="A159" s="23" t="s">
        <v>134</v>
      </c>
      <c r="B159" s="4" t="s">
        <v>167</v>
      </c>
      <c r="C159" s="5" t="s">
        <v>35</v>
      </c>
      <c r="D159" s="5" t="s">
        <v>48</v>
      </c>
      <c r="E159" s="4" t="str" cm="1">
        <f t="array" ref="E159">_xlfn.IFS(
F159 = "A partir de Abril", "Aguardando Execução na Distribuidora",
A159 = "CAPACITAÇÃO", "Em execução no Corporativo",
TRUE, "Em Execução na Distribuidora"
)</f>
        <v>Em Execução na Distribuidora</v>
      </c>
      <c r="F159" s="4" t="str" cm="1">
        <f t="array" ref="F159">_xlfn.IFS(
AG159 &lt;&gt; "", "Jan-Dez/26",
AH159 &lt;&gt; "", "Fev-Dez/26",
AI159 &lt;&gt; "", "Mar-Dez/26", AJ159 &lt;&gt; "", "Abr-Dez/26",
TRUE, "A partir de Junho"
)</f>
        <v>Jan-Dez/26</v>
      </c>
      <c r="G159" s="4" t="s">
        <v>37</v>
      </c>
      <c r="H159" s="7" t="s">
        <v>38</v>
      </c>
      <c r="I159" s="8" t="s">
        <v>171</v>
      </c>
      <c r="J159" s="8" t="str" cm="1">
        <f t="array" aca="1" ref="J159" ca="1">_xlfn.LET(
  _xlpm.actual_value_month, INDEX(T159:AE159, MATCH(DATE(YEAR(TODAY()), MONTH(TODAY()), 1), $T$1:$AE$1, 0)),
  IF(_xlpm.actual_value_month &lt;&gt; "",_xlpm.actual_value_month &amp; " colaboradores alcançados mensalmentes", "")
)</f>
        <v/>
      </c>
      <c r="K159" s="8" t="str" cm="1">
        <f t="array" ref="K159">_xlfn.LET(
    _xlpm.sum_month, SUM(T159:AE159),
    IF(_xlpm.sum_month = 0, "", _xlpm.sum_month &amp; " colaboradores alcançados durante no ano")
)</f>
        <v/>
      </c>
      <c r="L159" s="9" t="s">
        <v>172</v>
      </c>
      <c r="M159" s="24" t="s">
        <v>173</v>
      </c>
      <c r="N159" s="5" t="s">
        <v>42</v>
      </c>
      <c r="O159" s="5" t="s">
        <v>43</v>
      </c>
      <c r="P159" s="10" t="s">
        <v>44</v>
      </c>
      <c r="Q159" s="10" t="s">
        <v>72</v>
      </c>
      <c r="R159" s="11" t="s">
        <v>66</v>
      </c>
      <c r="S159" s="11" t="s">
        <v>67</v>
      </c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G159" s="82">
        <v>947</v>
      </c>
      <c r="AH159" s="82">
        <v>680</v>
      </c>
      <c r="AI159" s="82">
        <v>553</v>
      </c>
      <c r="AJ159" s="82">
        <v>750</v>
      </c>
      <c r="AK159" s="71"/>
      <c r="AL159" s="71"/>
      <c r="AM159" s="71"/>
      <c r="AN159" s="71"/>
      <c r="AO159" s="71"/>
      <c r="AP159" s="71"/>
      <c r="AQ159" s="71"/>
      <c r="AR159" s="71"/>
      <c r="AS159" s="94">
        <f t="shared" ca="1" si="401"/>
        <v>0</v>
      </c>
      <c r="AT159" s="95">
        <f t="shared" si="402"/>
        <v>2930</v>
      </c>
      <c r="AU159" s="97">
        <f t="shared" si="403"/>
        <v>2930</v>
      </c>
      <c r="AW159" s="51">
        <f t="shared" si="404"/>
        <v>0</v>
      </c>
      <c r="AX159" s="51">
        <f t="shared" si="405"/>
        <v>0</v>
      </c>
      <c r="AY159" s="51">
        <f t="shared" si="406"/>
        <v>0</v>
      </c>
      <c r="AZ159" s="51">
        <f t="shared" si="407"/>
        <v>0</v>
      </c>
      <c r="BA159" s="51"/>
      <c r="BB159" s="51"/>
      <c r="BC159" s="51"/>
      <c r="BD159" s="51"/>
      <c r="BE159" s="51"/>
      <c r="BF159" s="51"/>
      <c r="BG159" s="51"/>
      <c r="BH159" s="51"/>
      <c r="BI159" s="65" cm="1">
        <f t="array" ref="BI159">IFERROR(INDEX(AW159:BH159,1,MATCH(2,1/(AW159:BH159&lt;&gt;""))),"")</f>
        <v>0</v>
      </c>
      <c r="BJ159" s="68" cm="1">
        <f t="array" ref="BJ159">IF(BM159 = "", "",IFERROR(INDEX(AW159:BH159,1,MATCH(2,1/(AW159:BH159&lt;&gt;""),1)-1),""))</f>
        <v>0</v>
      </c>
      <c r="BK159" s="58">
        <f>IF((IF(AW159&gt;=115%,115%,AW159) + IF(AX159&gt;=115%,115%,AX159) + IF(AY159&gt;=115%,115%,AY159) + (IF(AZ159&gt;=115%,115%,AZ159) + IF(BA159&gt;=133%,133%,BA159) + IF(BB159&gt;=115%,115%,BB159) + IF(BC159&gt;=115%,115%,BC159) + IF(BD159&gt;=115%,115%,BD159) + IF(BE159&gt;=115%,115%,BE159) + IF(BF159&gt;=115%,115%,BF159) + IF(BG159&gt;=115%,115%,BG159) + IF(BH159&gt;=115%,115%,BH159)))/_xlfn.XLOOKUP(F159,Apuração!A:A,Apuração!B:B)&gt;=1.15,1.15,((IF(AZ159&gt;=115%,115%,AZ159) + IF(AX159&gt;=115%,115%,AX159) + IF(AY159&gt;=115%,115%,AY159) + (IF(AW159&gt;=115%,115%,AW159) + IF(BA159&gt;=133%,133%,BA159) + IF(BB159&gt;=115%,115%,BB159) + IF(BC159&gt;=115%,115%,BC159) + IF(BD159&gt;=115%,115%,BD159) + IF(BE159&gt;=115%,115%,BE159) + IF(BF159&gt;=115%,115%,BF159) + IF(BG159&gt;=115%,115%,BG159) + IF(BH159&gt;=115%,115%,BH159)))/_xlfn.XLOOKUP(F159,Apuração!A:A,Apuração!B:B)))</f>
        <v>0</v>
      </c>
      <c r="BL159" s="58" cm="1">
        <f t="array" aca="1" ref="BL159" ca="1">IF(SUM(IFERROR(IF(INDEX(AW159:INDEX(AW159:BH159, MATCH(2, 1/(AW159:BH159&lt;&gt;""), 1)-1), ROW(INDIRECT("1:" &amp; MATCH(2, 1/(AW159:BH159&lt;&gt;""), 1)-1))) &gt;= 115%, 115%, INDEX(AW159:INDEX(AW159:BH159, MATCH(2, 1/(AW159:BH159&lt;&gt;""), 1)-1), ROW(INDIRECT("1:" &amp; MATCH(2, 1/(AW159:BH159&lt;&gt;""), 1)-1)))), 0))/_xlfn.XLOOKUP(F159,Apuração!A:A,Apuração!B:B)&gt;=1.15,1.15,SUM(IFERROR(IF(INDEX(AW159:INDEX(AW159:BH159, MATCH(2, 1/(AW159:BH159&lt;&gt;""), 1)-1), ROW(INDIRECT("1:" &amp; MATCH(2, 1/(AW159:BH159&lt;&gt;""), 1)-1))) &gt;= 115%, 115%, INDEX(AW159:INDEX(AW159:BH159, MATCH(2, 1/(AW159:BH159&lt;&gt;""), 1)-1), ROW(INDIRECT("1:" &amp; MATCH(2, 1/(AW159:BH159&lt;&gt;""), 1)-1)))), 0))/_xlfn.XLOOKUP(F159,Apuração!A:A,Apuração!B:B))</f>
        <v>0</v>
      </c>
      <c r="BM159" s="55" cm="1">
        <f t="array" ref="BM159">IFERROR(
   INDEX($AW$1:$BH$1,
      _xlfn.AGGREGATE(14, 6, COLUMN($AW$1:$BH$1)/(AW159:BH159&lt;&gt;""), 2) - COLUMN($AW$1) + 1
   ),
"")</f>
        <v>46082</v>
      </c>
      <c r="BN159" s="55" cm="1">
        <f t="array" ref="BN159">IFERROR(INDEX($AW$1:$BH$1,1,MATCH(2,1/(AW159:BH159&lt;&gt;""))),"")</f>
        <v>46113</v>
      </c>
      <c r="BO159" s="53">
        <f ca="1">IFERROR(_xlfn.XLOOKUP(F159,Apuração!A:A,Apuração!C:C)/_xlfn.XLOOKUP(F159,Apuração!A:A,Apuração!B:B),0)</f>
        <v>0.41666666666666669</v>
      </c>
      <c r="BP159" s="53">
        <f ca="1">IFERROR(_xlfn.XLOOKUP(F159,Apuração!A:A,Apuração!D:D)/_xlfn.XLOOKUP(F159,Apuração!A:A,Apuração!B:B),0)</f>
        <v>0.33333333333333331</v>
      </c>
      <c r="BQ159" s="53">
        <f ca="1">IF(BK159&gt;=BO159,0,_xlfn.XLOOKUP(F159,Apuração!A:A,Apuração!B:B)*(BO159 + (1/_xlfn.XLOOKUP(F159,Apuração!A:A,Apuração!B:B)) - BK159))</f>
        <v>6</v>
      </c>
      <c r="BR159" s="85">
        <f t="shared" ca="1" si="408"/>
        <v>0</v>
      </c>
      <c r="BS159" s="53">
        <f ca="1">IFERROR((_xlfn.XLOOKUP(F159,Apuração!A:A,Apuração!C:C)+1)/_xlfn.XLOOKUP(F159,Apuração!A:A,Apuração!B:B),0)</f>
        <v>0.5</v>
      </c>
    </row>
    <row r="160" spans="1:71" ht="25.95" hidden="1" customHeight="1" x14ac:dyDescent="0.3">
      <c r="A160" s="23" t="s">
        <v>134</v>
      </c>
      <c r="B160" s="4" t="s">
        <v>174</v>
      </c>
      <c r="C160" s="5" t="s">
        <v>35</v>
      </c>
      <c r="D160" s="5" t="s">
        <v>36</v>
      </c>
      <c r="E160" s="4" t="s">
        <v>96</v>
      </c>
      <c r="F160" s="4" t="str" cm="1">
        <f t="array" ref="F160">_xlfn.IFS(
AG160 &lt;&gt; "", "Jan-Dez/26",
AH160 &lt;&gt; "", "Fev-Dez/26",
AI160 &lt;&gt; "", "Mar-Dez/26", AJ160 &lt;&gt; "", "Abr-Dez/26",
TRUE, "A partir de Junho"
)</f>
        <v>A partir de Junho</v>
      </c>
      <c r="G160" s="4" t="s">
        <v>62</v>
      </c>
      <c r="H160" s="7" t="s">
        <v>38</v>
      </c>
      <c r="I160" s="8" t="s">
        <v>168</v>
      </c>
      <c r="J160" s="8" t="str" cm="1">
        <f t="array" aca="1" ref="J160" ca="1">_xlfn.LET(
  _xlpm.actual_value_month, INDEX(T160:AE160, MATCH(DATE(YEAR(TODAY()), MONTH(TODAY()), 1), $T$1:$AE$1, 0)),
  IF(_xlpm.actual_value_month &lt;&gt; "",_xlpm.actual_value_month &amp; " ações mensais", "")
)</f>
        <v/>
      </c>
      <c r="K160" s="8" t="str" cm="1">
        <f t="array" ref="K160">_xlfn.LET(
    _xlpm.sum_month, SUM(T160:AE160),
    IF(_xlpm.sum_month = 0, "", _xlpm.sum_month &amp; " ações no ano")
)</f>
        <v/>
      </c>
      <c r="L160" s="9" t="s">
        <v>169</v>
      </c>
      <c r="M160" s="24">
        <v>1</v>
      </c>
      <c r="N160" s="5" t="s">
        <v>42</v>
      </c>
      <c r="O160" s="5" t="s">
        <v>43</v>
      </c>
      <c r="P160" s="10" t="s">
        <v>44</v>
      </c>
      <c r="Q160" s="10" t="s">
        <v>44</v>
      </c>
      <c r="R160" s="11" t="s">
        <v>66</v>
      </c>
      <c r="S160" s="11" t="s">
        <v>67</v>
      </c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94">
        <f t="shared" ca="1" si="401"/>
        <v>0</v>
      </c>
      <c r="AT160" s="95">
        <f t="shared" si="402"/>
        <v>0</v>
      </c>
      <c r="AU160" s="97">
        <f t="shared" si="403"/>
        <v>0</v>
      </c>
      <c r="AW160" s="51">
        <f t="shared" si="404"/>
        <v>0</v>
      </c>
      <c r="AX160" s="51">
        <f t="shared" si="405"/>
        <v>0</v>
      </c>
      <c r="AY160" s="51">
        <f t="shared" si="406"/>
        <v>0</v>
      </c>
      <c r="AZ160" s="51">
        <f t="shared" si="407"/>
        <v>0</v>
      </c>
      <c r="BA160" s="51"/>
      <c r="BB160" s="51"/>
      <c r="BC160" s="51"/>
      <c r="BD160" s="51"/>
      <c r="BE160" s="51"/>
      <c r="BF160" s="51"/>
      <c r="BG160" s="51"/>
      <c r="BH160" s="51"/>
      <c r="BI160" s="65" cm="1">
        <f t="array" ref="BI160">IFERROR(INDEX(AW160:BH160,1,MATCH(2,1/(AW160:BH160&lt;&gt;""))),"")</f>
        <v>0</v>
      </c>
      <c r="BJ160" s="68" cm="1">
        <f t="array" ref="BJ160">IF(BM160 = "", "",IFERROR(INDEX(AW160:BH160,1,MATCH(2,1/(AW160:BH160&lt;&gt;""),1)-1),""))</f>
        <v>0</v>
      </c>
      <c r="BK160" s="58">
        <f>IF((IF(AW160&gt;=115%,115%,AW160) + IF(AX160&gt;=115%,115%,AX160) + IF(AY160&gt;=115%,115%,AY160) + (IF(AZ160&gt;=115%,115%,AZ160) + IF(BA160&gt;=115%,115%,BA160) + IF(BB160&gt;=115%,115%,BB160) + IF(BC160&gt;=115%,115%,BC160) + IF(BD160&gt;=115%,115%,BD160) + IF(BE160&gt;=115%,115%,BE160) + IF(BF160&gt;=115%,115%,BF160) + IF(BG160&gt;=115%,115%,BG160) + IF(BH160&gt;=115%,115%,BH160)))/_xlfn.XLOOKUP(F160,Apuração!A:A,Apuração!B:B)&gt;=1.15,1.15,((IF(AZ160&gt;=115%,115%,AZ160) + IF(AX160&gt;=115%,115%,AX160) + IF(AY160&gt;=115%,115%,AY160) + (IF(AW160&gt;=115%,115%,AW160) + IF(BA160&gt;=115%,115%,BA160) + IF(BB160&gt;=115%,115%,BB160) + IF(BC160&gt;=115%,115%,BC160) + IF(BD160&gt;=115%,115%,BD160) + IF(BE160&gt;=115%,115%,BE160) + IF(BF160&gt;=115%,115%,BF160) + IF(BG160&gt;=115%,115%,BG160) + IF(BH160&gt;=115%,115%,BH160)))/_xlfn.XLOOKUP(F160,Apuração!A:A,Apuração!B:B)))</f>
        <v>0</v>
      </c>
      <c r="BL160" s="58" cm="1">
        <f t="array" aca="1" ref="BL160" ca="1">IF(SUM(IFERROR(IF(INDEX(AW160:INDEX(AW160:BH160, MATCH(2, 1/(AW160:BH160&lt;&gt;""), 1)-1), ROW(INDIRECT("1:" &amp; MATCH(2, 1/(AW160:BH160&lt;&gt;""), 1)-1))) &gt;= 115%, 115%, INDEX(AW160:INDEX(AW160:BH160, MATCH(2, 1/(AW160:BH160&lt;&gt;""), 1)-1), ROW(INDIRECT("1:" &amp; MATCH(2, 1/(AW160:BH160&lt;&gt;""), 1)-1)))), 0))/_xlfn.XLOOKUP(F160,Apuração!A:A,Apuração!B:B)&gt;=1.15,1.15,SUM(IFERROR(IF(INDEX(AW160:INDEX(AW160:BH160, MATCH(2, 1/(AW160:BH160&lt;&gt;""), 1)-1), ROW(INDIRECT("1:" &amp; MATCH(2, 1/(AW160:BH160&lt;&gt;""), 1)-1))) &gt;= 115%, 115%, INDEX(AW160:INDEX(AW160:BH160, MATCH(2, 1/(AW160:BH160&lt;&gt;""), 1)-1), ROW(INDIRECT("1:" &amp; MATCH(2, 1/(AW160:BH160&lt;&gt;""), 1)-1)))), 0))/_xlfn.XLOOKUP(F160,Apuração!A:A,Apuração!B:B))</f>
        <v>0</v>
      </c>
      <c r="BM160" s="55" cm="1">
        <f t="array" ref="BM160">IFERROR(
   INDEX($AW$1:$BH$1,
      _xlfn.AGGREGATE(14, 6, COLUMN($AW$1:$BH$1)/(AW160:BH160&lt;&gt;""), 2) - COLUMN($AW$1) + 1
   ),
"")</f>
        <v>46082</v>
      </c>
      <c r="BN160" s="55" cm="1">
        <f t="array" ref="BN160">IFERROR(INDEX($AW$1:$BH$1,1,MATCH(2,1/(AW160:BH160&lt;&gt;""))),"")</f>
        <v>46113</v>
      </c>
      <c r="BO160" s="53">
        <f ca="1">IFERROR(_xlfn.XLOOKUP(F160,Apuração!A:A,Apuração!C:C)/_xlfn.XLOOKUP(F160,Apuração!A:A,Apuração!B:B),0)</f>
        <v>0</v>
      </c>
      <c r="BP160" s="53">
        <f ca="1">IFERROR(_xlfn.XLOOKUP(F160,Apuração!A:A,Apuração!D:D)/_xlfn.XLOOKUP(F160,Apuração!A:A,Apuração!B:B),0)</f>
        <v>0</v>
      </c>
      <c r="BQ160" s="53">
        <f ca="1">IF(BK160&gt;=BO160,0,_xlfn.XLOOKUP(F160,Apuração!A:A,Apuração!B:B)*(BO160 + (1/_xlfn.XLOOKUP(F160,Apuração!A:A,Apuração!B:B)) - BK160))</f>
        <v>0</v>
      </c>
      <c r="BR160" s="85">
        <f t="shared" ca="1" si="408"/>
        <v>0</v>
      </c>
      <c r="BS160" s="53">
        <f ca="1">IFERROR((_xlfn.XLOOKUP(F160,Apuração!A:A,Apuração!C:C)+1)/_xlfn.XLOOKUP(F160,Apuração!A:A,Apuração!B:B),0)</f>
        <v>0.14285714285714285</v>
      </c>
    </row>
    <row r="161" spans="1:71" ht="25.95" hidden="1" customHeight="1" x14ac:dyDescent="0.3">
      <c r="A161" s="23" t="s">
        <v>134</v>
      </c>
      <c r="B161" s="4" t="s">
        <v>174</v>
      </c>
      <c r="C161" s="5" t="s">
        <v>35</v>
      </c>
      <c r="D161" s="5" t="s">
        <v>47</v>
      </c>
      <c r="E161" s="4" t="s">
        <v>96</v>
      </c>
      <c r="F161" s="4" t="str" cm="1">
        <f t="array" ref="F161">_xlfn.IFS(
AG161 &lt;&gt; "", "Jan-Dez/26",
AH161 &lt;&gt; "", "Fev-Dez/26",
AI161 &lt;&gt; "", "Mar-Dez/26", AJ161 &lt;&gt; "", "Abr-Dez/26",
TRUE, "A partir de Junho"
)</f>
        <v>A partir de Junho</v>
      </c>
      <c r="G161" s="4" t="s">
        <v>62</v>
      </c>
      <c r="H161" s="7" t="s">
        <v>38</v>
      </c>
      <c r="I161" s="8" t="s">
        <v>168</v>
      </c>
      <c r="J161" s="8" t="str" cm="1">
        <f t="array" aca="1" ref="J161" ca="1">_xlfn.LET(
  _xlpm.actual_value_month, INDEX(T161:AE161, MATCH(DATE(YEAR(TODAY()), MONTH(TODAY()), 1), $T$1:$AE$1, 0)),
  IF(_xlpm.actual_value_month &lt;&gt; "",_xlpm.actual_value_month &amp; " ações mensais", "")
)</f>
        <v/>
      </c>
      <c r="K161" s="8" t="str" cm="1">
        <f t="array" ref="K161">_xlfn.LET(
    _xlpm.sum_month, SUM(T161:AE161),
    IF(_xlpm.sum_month = 0, "", _xlpm.sum_month &amp; " ações no ano")
)</f>
        <v/>
      </c>
      <c r="L161" s="9" t="s">
        <v>169</v>
      </c>
      <c r="M161" s="24">
        <v>1</v>
      </c>
      <c r="N161" s="5" t="s">
        <v>42</v>
      </c>
      <c r="O161" s="5" t="s">
        <v>43</v>
      </c>
      <c r="P161" s="10" t="s">
        <v>44</v>
      </c>
      <c r="Q161" s="10" t="s">
        <v>44</v>
      </c>
      <c r="R161" s="11" t="s">
        <v>66</v>
      </c>
      <c r="S161" s="11" t="s">
        <v>67</v>
      </c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94">
        <f t="shared" ca="1" si="401"/>
        <v>0</v>
      </c>
      <c r="AT161" s="95">
        <f t="shared" si="402"/>
        <v>0</v>
      </c>
      <c r="AU161" s="97">
        <f t="shared" si="403"/>
        <v>0</v>
      </c>
      <c r="AW161" s="51">
        <f t="shared" si="404"/>
        <v>0</v>
      </c>
      <c r="AX161" s="51">
        <f t="shared" si="405"/>
        <v>0</v>
      </c>
      <c r="AY161" s="51">
        <f t="shared" si="406"/>
        <v>0</v>
      </c>
      <c r="AZ161" s="51">
        <f t="shared" si="407"/>
        <v>0</v>
      </c>
      <c r="BA161" s="51"/>
      <c r="BB161" s="51"/>
      <c r="BC161" s="51"/>
      <c r="BD161" s="51"/>
      <c r="BE161" s="51"/>
      <c r="BF161" s="51"/>
      <c r="BG161" s="51"/>
      <c r="BH161" s="51"/>
      <c r="BI161" s="65" cm="1">
        <f t="array" ref="BI161">IFERROR(INDEX(AW161:BH161,1,MATCH(2,1/(AW161:BH161&lt;&gt;""))),"")</f>
        <v>0</v>
      </c>
      <c r="BJ161" s="68" cm="1">
        <f t="array" ref="BJ161">IF(BM161 = "", "",IFERROR(INDEX(AW161:BH161,1,MATCH(2,1/(AW161:BH161&lt;&gt;""),1)-1),""))</f>
        <v>0</v>
      </c>
      <c r="BK161" s="58">
        <f>IF((IF(AW161&gt;=115%,115%,AW161) + IF(AX161&gt;=115%,115%,AX161) + IF(AY161&gt;=115%,115%,AY161) + (IF(AZ161&gt;=115%,115%,AZ161) + IF(BA161&gt;=115%,115%,BA161) + IF(BB161&gt;=115%,115%,BB161) + IF(BC161&gt;=115%,115%,BC161) + IF(BD161&gt;=115%,115%,BD161) + IF(BE161&gt;=115%,115%,BE161) + IF(BF161&gt;=115%,115%,BF161) + IF(BG161&gt;=115%,115%,BG161) + IF(BH161&gt;=115%,115%,BH161)))/_xlfn.XLOOKUP(F161,Apuração!A:A,Apuração!B:B)&gt;=1.15,1.15,((IF(AZ161&gt;=115%,115%,AZ161) + IF(AX161&gt;=115%,115%,AX161) + IF(AY161&gt;=115%,115%,AY161) + (IF(AW161&gt;=115%,115%,AW161) + IF(BA161&gt;=115%,115%,BA161) + IF(BB161&gt;=115%,115%,BB161) + IF(BC161&gt;=115%,115%,BC161) + IF(BD161&gt;=115%,115%,BD161) + IF(BE161&gt;=115%,115%,BE161) + IF(BF161&gt;=115%,115%,BF161) + IF(BG161&gt;=115%,115%,BG161) + IF(BH161&gt;=115%,115%,BH161)))/_xlfn.XLOOKUP(F161,Apuração!A:A,Apuração!B:B)))</f>
        <v>0</v>
      </c>
      <c r="BL161" s="58" cm="1">
        <f t="array" aca="1" ref="BL161" ca="1">IF(SUM(IFERROR(IF(INDEX(AW161:INDEX(AW161:BH161, MATCH(2, 1/(AW161:BH161&lt;&gt;""), 1)-1), ROW(INDIRECT("1:" &amp; MATCH(2, 1/(AW161:BH161&lt;&gt;""), 1)-1))) &gt;= 115%, 115%, INDEX(AW161:INDEX(AW161:BH161, MATCH(2, 1/(AW161:BH161&lt;&gt;""), 1)-1), ROW(INDIRECT("1:" &amp; MATCH(2, 1/(AW161:BH161&lt;&gt;""), 1)-1)))), 0))/_xlfn.XLOOKUP(F161,Apuração!A:A,Apuração!B:B)&gt;=1.15,1.15,SUM(IFERROR(IF(INDEX(AW161:INDEX(AW161:BH161, MATCH(2, 1/(AW161:BH161&lt;&gt;""), 1)-1), ROW(INDIRECT("1:" &amp; MATCH(2, 1/(AW161:BH161&lt;&gt;""), 1)-1))) &gt;= 115%, 115%, INDEX(AW161:INDEX(AW161:BH161, MATCH(2, 1/(AW161:BH161&lt;&gt;""), 1)-1), ROW(INDIRECT("1:" &amp; MATCH(2, 1/(AW161:BH161&lt;&gt;""), 1)-1)))), 0))/_xlfn.XLOOKUP(F161,Apuração!A:A,Apuração!B:B))</f>
        <v>0</v>
      </c>
      <c r="BM161" s="55" cm="1">
        <f t="array" ref="BM161">IFERROR(
   INDEX($AW$1:$BH$1,
      _xlfn.AGGREGATE(14, 6, COLUMN($AW$1:$BH$1)/(AW161:BH161&lt;&gt;""), 2) - COLUMN($AW$1) + 1
   ),
"")</f>
        <v>46082</v>
      </c>
      <c r="BN161" s="55" cm="1">
        <f t="array" ref="BN161">IFERROR(INDEX($AW$1:$BH$1,1,MATCH(2,1/(AW161:BH161&lt;&gt;""))),"")</f>
        <v>46113</v>
      </c>
      <c r="BO161" s="53">
        <f ca="1">IFERROR(_xlfn.XLOOKUP(F161,Apuração!A:A,Apuração!C:C)/_xlfn.XLOOKUP(F161,Apuração!A:A,Apuração!B:B),0)</f>
        <v>0</v>
      </c>
      <c r="BP161" s="53">
        <f ca="1">IFERROR(_xlfn.XLOOKUP(F161,Apuração!A:A,Apuração!D:D)/_xlfn.XLOOKUP(F161,Apuração!A:A,Apuração!B:B),0)</f>
        <v>0</v>
      </c>
      <c r="BQ161" s="53">
        <f ca="1">IF(BK161&gt;=BO161,0,_xlfn.XLOOKUP(F161,Apuração!A:A,Apuração!B:B)*(BO161 + (1/_xlfn.XLOOKUP(F161,Apuração!A:A,Apuração!B:B)) - BK161))</f>
        <v>0</v>
      </c>
      <c r="BR161" s="85">
        <f t="shared" ca="1" si="408"/>
        <v>0</v>
      </c>
      <c r="BS161" s="53">
        <f ca="1">IFERROR((_xlfn.XLOOKUP(F161,Apuração!A:A,Apuração!C:C)+1)/_xlfn.XLOOKUP(F161,Apuração!A:A,Apuração!B:B),0)</f>
        <v>0.14285714285714285</v>
      </c>
    </row>
    <row r="162" spans="1:71" ht="25.95" hidden="1" customHeight="1" x14ac:dyDescent="0.3">
      <c r="A162" s="23" t="s">
        <v>134</v>
      </c>
      <c r="B162" s="4" t="s">
        <v>174</v>
      </c>
      <c r="C162" s="5" t="s">
        <v>35</v>
      </c>
      <c r="D162" s="5" t="s">
        <v>48</v>
      </c>
      <c r="E162" s="4" t="s">
        <v>96</v>
      </c>
      <c r="F162" s="4" t="str" cm="1">
        <f t="array" ref="F162">_xlfn.IFS(
AG162 &lt;&gt; "", "Jan-Dez/26",
AH162 &lt;&gt; "", "Fev-Dez/26",
AI162 &lt;&gt; "", "Mar-Dez/26", AJ162 &lt;&gt; "", "Abr-Dez/26",
TRUE, "A partir de Junho"
)</f>
        <v>A partir de Junho</v>
      </c>
      <c r="G162" s="4" t="s">
        <v>62</v>
      </c>
      <c r="H162" s="7" t="s">
        <v>38</v>
      </c>
      <c r="I162" s="8" t="s">
        <v>168</v>
      </c>
      <c r="J162" s="8" t="str" cm="1">
        <f t="array" aca="1" ref="J162" ca="1">_xlfn.LET(
  _xlpm.actual_value_month, INDEX(T162:AE162, MATCH(DATE(YEAR(TODAY()), MONTH(TODAY()), 1), $T$1:$AE$1, 0)),
  IF(_xlpm.actual_value_month &lt;&gt; "",_xlpm.actual_value_month &amp; " ações mensais", "")
)</f>
        <v/>
      </c>
      <c r="K162" s="8" t="str" cm="1">
        <f t="array" ref="K162">_xlfn.LET(
    _xlpm.sum_month, SUM(T162:AE162),
    IF(_xlpm.sum_month = 0, "", _xlpm.sum_month &amp; " ações no ano")
)</f>
        <v/>
      </c>
      <c r="L162" s="9" t="s">
        <v>169</v>
      </c>
      <c r="M162" s="24">
        <v>1</v>
      </c>
      <c r="N162" s="5" t="s">
        <v>42</v>
      </c>
      <c r="O162" s="5" t="s">
        <v>43</v>
      </c>
      <c r="P162" s="10" t="s">
        <v>44</v>
      </c>
      <c r="Q162" s="10" t="s">
        <v>44</v>
      </c>
      <c r="R162" s="11" t="s">
        <v>66</v>
      </c>
      <c r="S162" s="11" t="s">
        <v>67</v>
      </c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94">
        <f t="shared" ca="1" si="287"/>
        <v>0</v>
      </c>
      <c r="AT162" s="95">
        <f>SUM(IF(AW162&lt;1.15,AG162,1.15*T162),IF(AX162&lt;1.15,AH162,1.15*U162),IF(AY162&lt;1.15,AI162,1.15*V162),IF(AZ162&lt;1.15,AJ162,1.15*W162),IF(BA162&lt;1.15,AK162,1.15*X162),IF(BB162&lt;1.15,AL162,1.15*Y162),IF(BC162&lt;1.15,AM162,1.15*Z162),IF(BD162&lt;1.15,AN162,1.15*AA162),IF(BE162&lt;1.15,AO162,1.15*AB162),IF(BF162&lt;1.15,AP162,1.15*AC162),IF(BG162&lt;1.15,AQ162,1.15*AD162),IF(BH162&lt;1.15,AR162,1.15*AE162))</f>
        <v>0</v>
      </c>
      <c r="AU162" s="97">
        <f t="shared" si="288"/>
        <v>0</v>
      </c>
      <c r="AW162" s="51">
        <f t="shared" si="392"/>
        <v>0</v>
      </c>
      <c r="AX162" s="51">
        <f t="shared" si="392"/>
        <v>0</v>
      </c>
      <c r="AY162" s="51">
        <f t="shared" si="392"/>
        <v>0</v>
      </c>
      <c r="AZ162" s="51">
        <f t="shared" si="392"/>
        <v>0</v>
      </c>
      <c r="BA162" s="51"/>
      <c r="BB162" s="51"/>
      <c r="BC162" s="51"/>
      <c r="BD162" s="51"/>
      <c r="BE162" s="51"/>
      <c r="BF162" s="51"/>
      <c r="BG162" s="51"/>
      <c r="BH162" s="51"/>
      <c r="BI162" s="65" cm="1">
        <f t="array" ref="BI162">IFERROR(INDEX(AW162:BH162,1,MATCH(2,1/(AW162:BH162&lt;&gt;""))),"")</f>
        <v>0</v>
      </c>
      <c r="BJ162" s="68" cm="1">
        <f t="array" ref="BJ162">IF(BM162 = "", "",IFERROR(INDEX(AW162:BH162,1,MATCH(2,1/(AW162:BH162&lt;&gt;""),1)-1),""))</f>
        <v>0</v>
      </c>
      <c r="BK162" s="58">
        <f>IF((IF(AW162&gt;=115%,115%,AW162) + IF(AX162&gt;=115%,115%,AX162) + IF(AY162&gt;=115%,115%,AY162) + (IF(AZ162&gt;=115%,115%,AZ162) + IF(BA162&gt;=115%,115%,BA162) + IF(BB162&gt;=115%,115%,BB162) + IF(BC162&gt;=115%,115%,BC162) + IF(BD162&gt;=115%,115%,BD162) + IF(BE162&gt;=115%,115%,BE162) + IF(BF162&gt;=115%,115%,BF162) + IF(BG162&gt;=115%,115%,BG162) + IF(BH162&gt;=115%,115%,BH162)))/_xlfn.XLOOKUP(F162,Apuração!A:A,Apuração!B:B)&gt;=1.15,1.15,((IF(AZ162&gt;=115%,115%,AZ162) + IF(AX162&gt;=115%,115%,AX162) + IF(AY162&gt;=115%,115%,AY162) + (IF(AW162&gt;=115%,115%,AW162) + IF(BA162&gt;=115%,115%,BA162) + IF(BB162&gt;=115%,115%,BB162) + IF(BC162&gt;=115%,115%,BC162) + IF(BD162&gt;=115%,115%,BD162) + IF(BE162&gt;=115%,115%,BE162) + IF(BF162&gt;=115%,115%,BF162) + IF(BG162&gt;=115%,115%,BG162) + IF(BH162&gt;=115%,115%,BH162)))/_xlfn.XLOOKUP(F162,Apuração!A:A,Apuração!B:B)))</f>
        <v>0</v>
      </c>
      <c r="BL162" s="58" cm="1">
        <f t="array" aca="1" ref="BL162" ca="1">IF(SUM(IFERROR(IF(INDEX(AW162:INDEX(AW162:BH162, MATCH(2, 1/(AW162:BH162&lt;&gt;""), 1)-1), ROW(INDIRECT("1:" &amp; MATCH(2, 1/(AW162:BH162&lt;&gt;""), 1)-1))) &gt;= 115%, 115%, INDEX(AW162:INDEX(AW162:BH162, MATCH(2, 1/(AW162:BH162&lt;&gt;""), 1)-1), ROW(INDIRECT("1:" &amp; MATCH(2, 1/(AW162:BH162&lt;&gt;""), 1)-1)))), 0))/_xlfn.XLOOKUP(F162,Apuração!A:A,Apuração!B:B)&gt;=1.15,1.15,SUM(IFERROR(IF(INDEX(AW162:INDEX(AW162:BH162, MATCH(2, 1/(AW162:BH162&lt;&gt;""), 1)-1), ROW(INDIRECT("1:" &amp; MATCH(2, 1/(AW162:BH162&lt;&gt;""), 1)-1))) &gt;= 115%, 115%, INDEX(AW162:INDEX(AW162:BH162, MATCH(2, 1/(AW162:BH162&lt;&gt;""), 1)-1), ROW(INDIRECT("1:" &amp; MATCH(2, 1/(AW162:BH162&lt;&gt;""), 1)-1)))), 0))/_xlfn.XLOOKUP(F162,Apuração!A:A,Apuração!B:B))</f>
        <v>0</v>
      </c>
      <c r="BM162" s="55" cm="1">
        <f t="array" ref="BM162">IFERROR(
   INDEX($AW$1:$BH$1,
      _xlfn.AGGREGATE(14, 6, COLUMN($AW$1:$BH$1)/(AW162:BH162&lt;&gt;""), 2) - COLUMN($AW$1) + 1
   ),
"")</f>
        <v>46082</v>
      </c>
      <c r="BN162" s="55" cm="1">
        <f t="array" ref="BN162">IFERROR(INDEX($AW$1:$BH$1,1,MATCH(2,1/(AW162:BH162&lt;&gt;""))),"")</f>
        <v>46113</v>
      </c>
      <c r="BO162" s="53">
        <f ca="1">IFERROR(_xlfn.XLOOKUP(F162,Apuração!A:A,Apuração!C:C)/_xlfn.XLOOKUP(F162,Apuração!A:A,Apuração!B:B),0)</f>
        <v>0</v>
      </c>
      <c r="BP162" s="53">
        <f ca="1">IFERROR(_xlfn.XLOOKUP(F162,Apuração!A:A,Apuração!D:D)/_xlfn.XLOOKUP(F162,Apuração!A:A,Apuração!B:B),0)</f>
        <v>0</v>
      </c>
      <c r="BQ162" s="53">
        <f ca="1">IF(BK162&gt;=BO162,0,_xlfn.XLOOKUP(F162,Apuração!A:A,Apuração!B:B)*(BO162 + (1/_xlfn.XLOOKUP(F162,Apuração!A:A,Apuração!B:B)) - BK162))</f>
        <v>0</v>
      </c>
      <c r="BR162" s="85">
        <f t="shared" ca="1" si="261"/>
        <v>0</v>
      </c>
      <c r="BS162" s="53">
        <f ca="1">IFERROR((_xlfn.XLOOKUP(F162,Apuração!A:A,Apuração!C:C)+1)/_xlfn.XLOOKUP(F162,Apuração!A:A,Apuração!B:B),0)</f>
        <v>0.14285714285714285</v>
      </c>
    </row>
    <row r="163" spans="1:71" ht="25.95" hidden="1" customHeight="1" x14ac:dyDescent="0.3">
      <c r="A163" s="23" t="s">
        <v>134</v>
      </c>
      <c r="B163" s="4" t="s">
        <v>174</v>
      </c>
      <c r="C163" s="5" t="s">
        <v>35</v>
      </c>
      <c r="D163" s="5" t="s">
        <v>36</v>
      </c>
      <c r="E163" s="4" t="s">
        <v>96</v>
      </c>
      <c r="F163" s="4" t="str" cm="1">
        <f t="array" ref="F163">_xlfn.IFS(
AG163 &lt;&gt; "", "Jan-Dez/26",
AH163 &lt;&gt; "", "Fev-Dez/26",
AI163 &lt;&gt; "", "Mar-Dez/26", AJ163 &lt;&gt; "", "Abr-Dez/26",
TRUE, "A partir de Junho"
)</f>
        <v>A partir de Junho</v>
      </c>
      <c r="G163" s="4" t="s">
        <v>62</v>
      </c>
      <c r="H163" s="7" t="s">
        <v>38</v>
      </c>
      <c r="I163" s="8" t="s">
        <v>171</v>
      </c>
      <c r="J163" s="8" t="str" cm="1">
        <f t="array" aca="1" ref="J163" ca="1">_xlfn.LET(
  _xlpm.actual_value_month, INDEX(T163:AE163, MATCH(DATE(YEAR(TODAY()), MONTH(TODAY()), 1), $T$1:$AE$1, 0)),
  IF(_xlpm.actual_value_month &lt;&gt; "",_xlpm.actual_value_month &amp; " ações mensais", "")
)</f>
        <v/>
      </c>
      <c r="K163" s="8" t="str" cm="1">
        <f t="array" ref="K163">_xlfn.LET(
    _xlpm.sum_month, SUM(T163:AE163),
    IF(_xlpm.sum_month = 0, "", _xlpm.sum_month &amp; " colaboradores impactados no ano")
)</f>
        <v/>
      </c>
      <c r="L163" s="9" t="s">
        <v>172</v>
      </c>
      <c r="M163" s="24">
        <v>1</v>
      </c>
      <c r="N163" s="5" t="s">
        <v>42</v>
      </c>
      <c r="O163" s="5" t="s">
        <v>43</v>
      </c>
      <c r="P163" s="10" t="s">
        <v>44</v>
      </c>
      <c r="Q163" s="10" t="s">
        <v>72</v>
      </c>
      <c r="R163" s="11" t="s">
        <v>66</v>
      </c>
      <c r="S163" s="11" t="s">
        <v>67</v>
      </c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94">
        <f t="shared" ref="AS163:AS164" ca="1" si="409">IF(MONTH(TODAY())=3,SUM(T163:U163),IF(MONTH(TODAY())=4,SUM(T163:V163),IF(MONTH(TODAY())=5,SUM(T163:W163),IF(MONTH(TODAY())=6,SUM(T163:X163),IF(MONTH(TODAY())=7,SUM(T163:Y163),IF(MONTH(TODAY())=8,SUM(T163:Z163),IF(MONTH(TODAY())=9,SUM(T163:AA163),IF(MONTH(TODAY())=10,SUM(T163:AB163),IF(MONTH(TODAY())=11,SUM(T163:AC163),IF(MONTH(TODAY())=12,SUM(T163:AD163),IF(MONTH(TODAY())=1,SUM(T163:AE163),T163)))))))))))</f>
        <v>0</v>
      </c>
      <c r="AT163" s="95">
        <f t="shared" ref="AT163:AT164" si="410">SUM(IF(AW163&lt;1.15,AG163,1.15*T163),IF(AX163&lt;1.15,AH163,1.15*U163),IF(AY163&lt;1.15,AI163,1.15*V163),IF(AZ163&lt;1.15,AJ163,1.15*W163),IF(BA163&lt;1.15,AK163,1.15*X163),IF(BB163&lt;1.15,AL163,1.15*Y163),IF(BC163&lt;1.15,AM163,1.15*Z163),IF(BD163&lt;1.15,AN163,1.15*AA163),IF(BE163&lt;1.15,AO163,1.15*AB163),IF(BF163&lt;1.15,AP163,1.15*AC163),IF(BG163&lt;1.15,AQ163,1.15*AD163),IF(BH163&lt;1.15,AR163,1.15*AE163))</f>
        <v>0</v>
      </c>
      <c r="AU163" s="97">
        <f t="shared" ref="AU163:AU164" si="411">SUM(AG163:AR163)</f>
        <v>0</v>
      </c>
      <c r="AW163" s="51">
        <f t="shared" ref="AW163:AW164" si="412">IFERROR(IF(AG163="",0,AG163/T163),0)</f>
        <v>0</v>
      </c>
      <c r="AX163" s="51">
        <f t="shared" ref="AX163:AX164" si="413">IFERROR(IF(AH163="",0,AH163/U163),0)</f>
        <v>0</v>
      </c>
      <c r="AY163" s="51">
        <f t="shared" ref="AY163:AY164" si="414">IFERROR(IF(AI163="",0,AI163/V163),0)</f>
        <v>0</v>
      </c>
      <c r="AZ163" s="51">
        <f t="shared" ref="AZ163:AZ164" si="415">IFERROR(IF(AJ163="",0,AJ163/W163),0)</f>
        <v>0</v>
      </c>
      <c r="BA163" s="51"/>
      <c r="BB163" s="51"/>
      <c r="BC163" s="51"/>
      <c r="BD163" s="51"/>
      <c r="BE163" s="51"/>
      <c r="BF163" s="51"/>
      <c r="BG163" s="51"/>
      <c r="BH163" s="51"/>
      <c r="BI163" s="65" cm="1">
        <f t="array" ref="BI163">IFERROR(INDEX(AW163:BH163,1,MATCH(2,1/(AW163:BH163&lt;&gt;""))),"")</f>
        <v>0</v>
      </c>
      <c r="BJ163" s="68" cm="1">
        <f t="array" ref="BJ163">IF(BM163 = "", "",IFERROR(INDEX(AW163:BH163,1,MATCH(2,1/(AW163:BH163&lt;&gt;""),1)-1),""))</f>
        <v>0</v>
      </c>
      <c r="BK163" s="58">
        <f>IF((IF(AW163&gt;=115%,115%,AW163) + IF(AX163&gt;=115%,115%,AX163) + IF(AY163&gt;=115%,115%,AY163) + (IF(AZ163&gt;=115%,115%,AZ163) + IF(BA163&gt;=133%,133%,BA163) + IF(BB163&gt;=115%,115%,BB163) + IF(BC163&gt;=115%,115%,BC163) + IF(BD163&gt;=115%,115%,BD163) + IF(BE163&gt;=115%,115%,BE163) + IF(BF163&gt;=115%,115%,BF163) + IF(BG163&gt;=115%,115%,BG163) + IF(BH163&gt;=115%,115%,BH163)))/_xlfn.XLOOKUP(F163,Apuração!A:A,Apuração!B:B)&gt;=1.15,1.15,((IF(AZ163&gt;=115%,115%,AZ163) + IF(AX163&gt;=115%,115%,AX163) + IF(AY163&gt;=115%,115%,AY163) + (IF(AW163&gt;=115%,115%,AW163) + IF(BA163&gt;=133%,133%,BA163) + IF(BB163&gt;=115%,115%,BB163) + IF(BC163&gt;=115%,115%,BC163) + IF(BD163&gt;=115%,115%,BD163) + IF(BE163&gt;=115%,115%,BE163) + IF(BF163&gt;=115%,115%,BF163) + IF(BG163&gt;=115%,115%,BG163) + IF(BH163&gt;=115%,115%,BH163)))/_xlfn.XLOOKUP(F163,Apuração!A:A,Apuração!B:B)))</f>
        <v>0</v>
      </c>
      <c r="BL163" s="58" cm="1">
        <f t="array" aca="1" ref="BL163" ca="1">IF(SUM(IFERROR(IF(INDEX(AW163:INDEX(AW163:BH163, MATCH(2, 1/(AW163:BH163&lt;&gt;""), 1)-1), ROW(INDIRECT("1:" &amp; MATCH(2, 1/(AW163:BH163&lt;&gt;""), 1)-1))) &gt;= 115%, 115%, INDEX(AW163:INDEX(AW163:BH163, MATCH(2, 1/(AW163:BH163&lt;&gt;""), 1)-1), ROW(INDIRECT("1:" &amp; MATCH(2, 1/(AW163:BH163&lt;&gt;""), 1)-1)))), 0))/_xlfn.XLOOKUP(F163,Apuração!A:A,Apuração!B:B)&gt;=1.15,1.15,SUM(IFERROR(IF(INDEX(AW163:INDEX(AW163:BH163, MATCH(2, 1/(AW163:BH163&lt;&gt;""), 1)-1), ROW(INDIRECT("1:" &amp; MATCH(2, 1/(AW163:BH163&lt;&gt;""), 1)-1))) &gt;= 115%, 115%, INDEX(AW163:INDEX(AW163:BH163, MATCH(2, 1/(AW163:BH163&lt;&gt;""), 1)-1), ROW(INDIRECT("1:" &amp; MATCH(2, 1/(AW163:BH163&lt;&gt;""), 1)-1)))), 0))/_xlfn.XLOOKUP(F163,Apuração!A:A,Apuração!B:B))</f>
        <v>0</v>
      </c>
      <c r="BM163" s="55" cm="1">
        <f t="array" ref="BM163">IFERROR(
   INDEX($AW$1:$BH$1,
      _xlfn.AGGREGATE(14, 6, COLUMN($AW$1:$BH$1)/(AW163:BH163&lt;&gt;""), 2) - COLUMN($AW$1) + 1
   ),
"")</f>
        <v>46082</v>
      </c>
      <c r="BN163" s="55" cm="1">
        <f t="array" ref="BN163">IFERROR(INDEX($AW$1:$BH$1,1,MATCH(2,1/(AW163:BH163&lt;&gt;""))),"")</f>
        <v>46113</v>
      </c>
      <c r="BO163" s="53">
        <f ca="1">IFERROR(_xlfn.XLOOKUP(F163,Apuração!A:A,Apuração!C:C)/_xlfn.XLOOKUP(F163,Apuração!A:A,Apuração!B:B),0)</f>
        <v>0</v>
      </c>
      <c r="BP163" s="53">
        <f ca="1">IFERROR(_xlfn.XLOOKUP(F163,Apuração!A:A,Apuração!D:D)/_xlfn.XLOOKUP(F163,Apuração!A:A,Apuração!B:B),0)</f>
        <v>0</v>
      </c>
      <c r="BQ163" s="53">
        <f ca="1">IF(BK163&gt;=BO163,0,_xlfn.XLOOKUP(F163,Apuração!A:A,Apuração!B:B)*(BO163 + (1/_xlfn.XLOOKUP(F163,Apuração!A:A,Apuração!B:B)) - BK163))</f>
        <v>0</v>
      </c>
      <c r="BR163" s="85">
        <f t="shared" ref="BR163:BR164" ca="1" si="416">IF(BQ163=0,0,BQ163*Z163)</f>
        <v>0</v>
      </c>
      <c r="BS163" s="53">
        <f ca="1">IFERROR((_xlfn.XLOOKUP(F163,Apuração!A:A,Apuração!C:C)+1)/_xlfn.XLOOKUP(F163,Apuração!A:A,Apuração!B:B),0)</f>
        <v>0.14285714285714285</v>
      </c>
    </row>
    <row r="164" spans="1:71" ht="25.95" hidden="1" customHeight="1" x14ac:dyDescent="0.3">
      <c r="A164" s="23" t="s">
        <v>134</v>
      </c>
      <c r="B164" s="4" t="s">
        <v>174</v>
      </c>
      <c r="C164" s="5" t="s">
        <v>35</v>
      </c>
      <c r="D164" s="5" t="s">
        <v>47</v>
      </c>
      <c r="E164" s="4" t="s">
        <v>96</v>
      </c>
      <c r="F164" s="4" t="str" cm="1">
        <f t="array" ref="F164">_xlfn.IFS(
AG164 &lt;&gt; "", "Jan-Dez/26",
AH164 &lt;&gt; "", "Fev-Dez/26",
AI164 &lt;&gt; "", "Mar-Dez/26", AJ164 &lt;&gt; "", "Abr-Dez/26",
TRUE, "A partir de Junho"
)</f>
        <v>A partir de Junho</v>
      </c>
      <c r="G164" s="4" t="s">
        <v>62</v>
      </c>
      <c r="H164" s="7" t="s">
        <v>38</v>
      </c>
      <c r="I164" s="8" t="s">
        <v>171</v>
      </c>
      <c r="J164" s="8" t="str" cm="1">
        <f t="array" aca="1" ref="J164" ca="1">_xlfn.LET(
  _xlpm.actual_value_month, INDEX(T164:AE164, MATCH(DATE(YEAR(TODAY()), MONTH(TODAY()), 1), $T$1:$AE$1, 0)),
  IF(_xlpm.actual_value_month &lt;&gt; "",_xlpm.actual_value_month &amp; " ações mensais", "")
)</f>
        <v/>
      </c>
      <c r="K164" s="8" t="str" cm="1">
        <f t="array" ref="K164">_xlfn.LET(
    _xlpm.sum_month, SUM(T164:AE164),
    IF(_xlpm.sum_month = 0, "", _xlpm.sum_month &amp; " colaboradores impactados no ano")
)</f>
        <v/>
      </c>
      <c r="L164" s="9" t="s">
        <v>172</v>
      </c>
      <c r="M164" s="24">
        <v>1</v>
      </c>
      <c r="N164" s="5" t="s">
        <v>42</v>
      </c>
      <c r="O164" s="5" t="s">
        <v>43</v>
      </c>
      <c r="P164" s="10" t="s">
        <v>44</v>
      </c>
      <c r="Q164" s="10" t="s">
        <v>72</v>
      </c>
      <c r="R164" s="11" t="s">
        <v>66</v>
      </c>
      <c r="S164" s="11" t="s">
        <v>67</v>
      </c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94">
        <f t="shared" ca="1" si="409"/>
        <v>0</v>
      </c>
      <c r="AT164" s="95">
        <f t="shared" si="410"/>
        <v>0</v>
      </c>
      <c r="AU164" s="97">
        <f t="shared" si="411"/>
        <v>0</v>
      </c>
      <c r="AW164" s="51">
        <f t="shared" si="412"/>
        <v>0</v>
      </c>
      <c r="AX164" s="51">
        <f t="shared" si="413"/>
        <v>0</v>
      </c>
      <c r="AY164" s="51">
        <f t="shared" si="414"/>
        <v>0</v>
      </c>
      <c r="AZ164" s="51">
        <f t="shared" si="415"/>
        <v>0</v>
      </c>
      <c r="BA164" s="51"/>
      <c r="BB164" s="51"/>
      <c r="BC164" s="51"/>
      <c r="BD164" s="51"/>
      <c r="BE164" s="51"/>
      <c r="BF164" s="51"/>
      <c r="BG164" s="51"/>
      <c r="BH164" s="51"/>
      <c r="BI164" s="65" cm="1">
        <f t="array" ref="BI164">IFERROR(INDEX(AW164:BH164,1,MATCH(2,1/(AW164:BH164&lt;&gt;""))),"")</f>
        <v>0</v>
      </c>
      <c r="BJ164" s="68" cm="1">
        <f t="array" ref="BJ164">IF(BM164 = "", "",IFERROR(INDEX(AW164:BH164,1,MATCH(2,1/(AW164:BH164&lt;&gt;""),1)-1),""))</f>
        <v>0</v>
      </c>
      <c r="BK164" s="58">
        <f>IF((IF(AW164&gt;=115%,115%,AW164) + IF(AX164&gt;=115%,115%,AX164) + IF(AY164&gt;=115%,115%,AY164) + (IF(AZ164&gt;=115%,115%,AZ164) + IF(BA164&gt;=133%,133%,BA164) + IF(BB164&gt;=115%,115%,BB164) + IF(BC164&gt;=115%,115%,BC164) + IF(BD164&gt;=115%,115%,BD164) + IF(BE164&gt;=115%,115%,BE164) + IF(BF164&gt;=115%,115%,BF164) + IF(BG164&gt;=115%,115%,BG164) + IF(BH164&gt;=115%,115%,BH164)))/_xlfn.XLOOKUP(F164,Apuração!A:A,Apuração!B:B)&gt;=1.15,1.15,((IF(AZ164&gt;=115%,115%,AZ164) + IF(AX164&gt;=115%,115%,AX164) + IF(AY164&gt;=115%,115%,AY164) + (IF(AW164&gt;=115%,115%,AW164) + IF(BA164&gt;=133%,133%,BA164) + IF(BB164&gt;=115%,115%,BB164) + IF(BC164&gt;=115%,115%,BC164) + IF(BD164&gt;=115%,115%,BD164) + IF(BE164&gt;=115%,115%,BE164) + IF(BF164&gt;=115%,115%,BF164) + IF(BG164&gt;=115%,115%,BG164) + IF(BH164&gt;=115%,115%,BH164)))/_xlfn.XLOOKUP(F164,Apuração!A:A,Apuração!B:B)))</f>
        <v>0</v>
      </c>
      <c r="BL164" s="58" cm="1">
        <f t="array" aca="1" ref="BL164" ca="1">IF(SUM(IFERROR(IF(INDEX(AW164:INDEX(AW164:BH164, MATCH(2, 1/(AW164:BH164&lt;&gt;""), 1)-1), ROW(INDIRECT("1:" &amp; MATCH(2, 1/(AW164:BH164&lt;&gt;""), 1)-1))) &gt;= 115%, 115%, INDEX(AW164:INDEX(AW164:BH164, MATCH(2, 1/(AW164:BH164&lt;&gt;""), 1)-1), ROW(INDIRECT("1:" &amp; MATCH(2, 1/(AW164:BH164&lt;&gt;""), 1)-1)))), 0))/_xlfn.XLOOKUP(F164,Apuração!A:A,Apuração!B:B)&gt;=1.15,1.15,SUM(IFERROR(IF(INDEX(AW164:INDEX(AW164:BH164, MATCH(2, 1/(AW164:BH164&lt;&gt;""), 1)-1), ROW(INDIRECT("1:" &amp; MATCH(2, 1/(AW164:BH164&lt;&gt;""), 1)-1))) &gt;= 115%, 115%, INDEX(AW164:INDEX(AW164:BH164, MATCH(2, 1/(AW164:BH164&lt;&gt;""), 1)-1), ROW(INDIRECT("1:" &amp; MATCH(2, 1/(AW164:BH164&lt;&gt;""), 1)-1)))), 0))/_xlfn.XLOOKUP(F164,Apuração!A:A,Apuração!B:B))</f>
        <v>0</v>
      </c>
      <c r="BM164" s="55" cm="1">
        <f t="array" ref="BM164">IFERROR(
   INDEX($AW$1:$BH$1,
      _xlfn.AGGREGATE(14, 6, COLUMN($AW$1:$BH$1)/(AW164:BH164&lt;&gt;""), 2) - COLUMN($AW$1) + 1
   ),
"")</f>
        <v>46082</v>
      </c>
      <c r="BN164" s="55" cm="1">
        <f t="array" ref="BN164">IFERROR(INDEX($AW$1:$BH$1,1,MATCH(2,1/(AW164:BH164&lt;&gt;""))),"")</f>
        <v>46113</v>
      </c>
      <c r="BO164" s="53">
        <f ca="1">IFERROR(_xlfn.XLOOKUP(F164,Apuração!A:A,Apuração!C:C)/_xlfn.XLOOKUP(F164,Apuração!A:A,Apuração!B:B),0)</f>
        <v>0</v>
      </c>
      <c r="BP164" s="53">
        <f ca="1">IFERROR(_xlfn.XLOOKUP(F164,Apuração!A:A,Apuração!D:D)/_xlfn.XLOOKUP(F164,Apuração!A:A,Apuração!B:B),0)</f>
        <v>0</v>
      </c>
      <c r="BQ164" s="53">
        <f ca="1">IF(BK164&gt;=BO164,0,_xlfn.XLOOKUP(F164,Apuração!A:A,Apuração!B:B)*(BO164 + (1/_xlfn.XLOOKUP(F164,Apuração!A:A,Apuração!B:B)) - BK164))</f>
        <v>0</v>
      </c>
      <c r="BR164" s="85">
        <f t="shared" ca="1" si="416"/>
        <v>0</v>
      </c>
      <c r="BS164" s="53">
        <f ca="1">IFERROR((_xlfn.XLOOKUP(F164,Apuração!A:A,Apuração!C:C)+1)/_xlfn.XLOOKUP(F164,Apuração!A:A,Apuração!B:B),0)</f>
        <v>0.14285714285714285</v>
      </c>
    </row>
    <row r="165" spans="1:71" ht="25.95" hidden="1" customHeight="1" x14ac:dyDescent="0.3">
      <c r="A165" s="23" t="s">
        <v>134</v>
      </c>
      <c r="B165" s="4" t="s">
        <v>174</v>
      </c>
      <c r="C165" s="5" t="s">
        <v>35</v>
      </c>
      <c r="D165" s="5" t="s">
        <v>48</v>
      </c>
      <c r="E165" s="4" t="s">
        <v>96</v>
      </c>
      <c r="F165" s="4" t="str" cm="1">
        <f t="array" ref="F165">_xlfn.IFS(
AG165 &lt;&gt; "", "Jan-Dez/26",
AH165 &lt;&gt; "", "Fev-Dez/26",
AI165 &lt;&gt; "", "Mar-Dez/26", AJ165 &lt;&gt; "", "Abr-Dez/26",
TRUE, "A partir de Junho"
)</f>
        <v>A partir de Junho</v>
      </c>
      <c r="G165" s="4" t="s">
        <v>62</v>
      </c>
      <c r="H165" s="7" t="s">
        <v>38</v>
      </c>
      <c r="I165" s="8" t="s">
        <v>171</v>
      </c>
      <c r="J165" s="8" t="str" cm="1">
        <f t="array" aca="1" ref="J165" ca="1">_xlfn.LET(
  _xlpm.actual_value_month, INDEX(T165:AE165, MATCH(DATE(YEAR(TODAY()), MONTH(TODAY()), 1), $T$1:$AE$1, 0)),
  IF(_xlpm.actual_value_month &lt;&gt; "",_xlpm.actual_value_month &amp; " ações mensais", "")
)</f>
        <v/>
      </c>
      <c r="K165" s="8" t="str" cm="1">
        <f t="array" ref="K165">_xlfn.LET(
    _xlpm.sum_month, SUM(T165:AE165),
    IF(_xlpm.sum_month = 0, "", _xlpm.sum_month &amp; " colaboradores impactados no ano")
)</f>
        <v/>
      </c>
      <c r="L165" s="9" t="s">
        <v>172</v>
      </c>
      <c r="M165" s="24">
        <v>1</v>
      </c>
      <c r="N165" s="5" t="s">
        <v>42</v>
      </c>
      <c r="O165" s="5" t="s">
        <v>43</v>
      </c>
      <c r="P165" s="10" t="s">
        <v>44</v>
      </c>
      <c r="Q165" s="10" t="s">
        <v>72</v>
      </c>
      <c r="R165" s="11" t="s">
        <v>66</v>
      </c>
      <c r="S165" s="11" t="s">
        <v>67</v>
      </c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94">
        <f t="shared" ca="1" si="287"/>
        <v>0</v>
      </c>
      <c r="AT165" s="95">
        <f>SUM(IF(AW165&lt;1.15,AG165,1.15*T165),IF(AX165&lt;1.15,AH165,1.15*U165),IF(AY165&lt;1.15,AI165,1.15*V165),IF(AZ165&lt;1.15,AJ165,1.15*W165),IF(BA165&lt;1.15,AK165,1.15*X165),IF(BB165&lt;1.15,AL165,1.15*Y165),IF(BC165&lt;1.15,AM165,1.15*Z165),IF(BD165&lt;1.15,AN165,1.15*AA165),IF(BE165&lt;1.15,AO165,1.15*AB165),IF(BF165&lt;1.15,AP165,1.15*AC165),IF(BG165&lt;1.15,AQ165,1.15*AD165),IF(BH165&lt;1.15,AR165,1.15*AE165))</f>
        <v>0</v>
      </c>
      <c r="AU165" s="97">
        <f t="shared" si="288"/>
        <v>0</v>
      </c>
      <c r="AW165" s="51">
        <f t="shared" si="392"/>
        <v>0</v>
      </c>
      <c r="AX165" s="51">
        <f t="shared" si="392"/>
        <v>0</v>
      </c>
      <c r="AY165" s="51">
        <f t="shared" si="392"/>
        <v>0</v>
      </c>
      <c r="AZ165" s="51">
        <f t="shared" si="392"/>
        <v>0</v>
      </c>
      <c r="BA165" s="51"/>
      <c r="BB165" s="51"/>
      <c r="BC165" s="51"/>
      <c r="BD165" s="51"/>
      <c r="BE165" s="51"/>
      <c r="BF165" s="51"/>
      <c r="BG165" s="51"/>
      <c r="BH165" s="51"/>
      <c r="BI165" s="65" cm="1">
        <f t="array" ref="BI165">IFERROR(INDEX(AW165:BH165,1,MATCH(2,1/(AW165:BH165&lt;&gt;""))),"")</f>
        <v>0</v>
      </c>
      <c r="BJ165" s="68" cm="1">
        <f t="array" ref="BJ165">IF(BM165 = "", "",IFERROR(INDEX(AW165:BH165,1,MATCH(2,1/(AW165:BH165&lt;&gt;""),1)-1),""))</f>
        <v>0</v>
      </c>
      <c r="BK165" s="58">
        <f>IF((IF(AW165&gt;=115%,115%,AW165) + IF(AX165&gt;=115%,115%,AX165) + IF(AY165&gt;=115%,115%,AY165) + (IF(AZ165&gt;=115%,115%,AZ165) + IF(BA165&gt;=133%,133%,BA165) + IF(BB165&gt;=115%,115%,BB165) + IF(BC165&gt;=115%,115%,BC165) + IF(BD165&gt;=115%,115%,BD165) + IF(BE165&gt;=115%,115%,BE165) + IF(BF165&gt;=115%,115%,BF165) + IF(BG165&gt;=115%,115%,BG165) + IF(BH165&gt;=115%,115%,BH165)))/_xlfn.XLOOKUP(F165,Apuração!A:A,Apuração!B:B)&gt;=1.15,1.15,((IF(AZ165&gt;=115%,115%,AZ165) + IF(AX165&gt;=115%,115%,AX165) + IF(AY165&gt;=115%,115%,AY165) + (IF(AW165&gt;=115%,115%,AW165) + IF(BA165&gt;=133%,133%,BA165) + IF(BB165&gt;=115%,115%,BB165) + IF(BC165&gt;=115%,115%,BC165) + IF(BD165&gt;=115%,115%,BD165) + IF(BE165&gt;=115%,115%,BE165) + IF(BF165&gt;=115%,115%,BF165) + IF(BG165&gt;=115%,115%,BG165) + IF(BH165&gt;=115%,115%,BH165)))/_xlfn.XLOOKUP(F165,Apuração!A:A,Apuração!B:B)))</f>
        <v>0</v>
      </c>
      <c r="BL165" s="58" cm="1">
        <f t="array" aca="1" ref="BL165" ca="1">IF(SUM(IFERROR(IF(INDEX(AW165:INDEX(AW165:BH165, MATCH(2, 1/(AW165:BH165&lt;&gt;""), 1)-1), ROW(INDIRECT("1:" &amp; MATCH(2, 1/(AW165:BH165&lt;&gt;""), 1)-1))) &gt;= 115%, 115%, INDEX(AW165:INDEX(AW165:BH165, MATCH(2, 1/(AW165:BH165&lt;&gt;""), 1)-1), ROW(INDIRECT("1:" &amp; MATCH(2, 1/(AW165:BH165&lt;&gt;""), 1)-1)))), 0))/_xlfn.XLOOKUP(F165,Apuração!A:A,Apuração!B:B)&gt;=1.15,1.15,SUM(IFERROR(IF(INDEX(AW165:INDEX(AW165:BH165, MATCH(2, 1/(AW165:BH165&lt;&gt;""), 1)-1), ROW(INDIRECT("1:" &amp; MATCH(2, 1/(AW165:BH165&lt;&gt;""), 1)-1))) &gt;= 115%, 115%, INDEX(AW165:INDEX(AW165:BH165, MATCH(2, 1/(AW165:BH165&lt;&gt;""), 1)-1), ROW(INDIRECT("1:" &amp; MATCH(2, 1/(AW165:BH165&lt;&gt;""), 1)-1)))), 0))/_xlfn.XLOOKUP(F165,Apuração!A:A,Apuração!B:B))</f>
        <v>0</v>
      </c>
      <c r="BM165" s="55" cm="1">
        <f t="array" ref="BM165">IFERROR(
   INDEX($AW$1:$BH$1,
      _xlfn.AGGREGATE(14, 6, COLUMN($AW$1:$BH$1)/(AW165:BH165&lt;&gt;""), 2) - COLUMN($AW$1) + 1
   ),
"")</f>
        <v>46082</v>
      </c>
      <c r="BN165" s="55" cm="1">
        <f t="array" ref="BN165">IFERROR(INDEX($AW$1:$BH$1,1,MATCH(2,1/(AW165:BH165&lt;&gt;""))),"")</f>
        <v>46113</v>
      </c>
      <c r="BO165" s="53">
        <f ca="1">IFERROR(_xlfn.XLOOKUP(F165,Apuração!A:A,Apuração!C:C)/_xlfn.XLOOKUP(F165,Apuração!A:A,Apuração!B:B),0)</f>
        <v>0</v>
      </c>
      <c r="BP165" s="53">
        <f ca="1">IFERROR(_xlfn.XLOOKUP(F165,Apuração!A:A,Apuração!D:D)/_xlfn.XLOOKUP(F165,Apuração!A:A,Apuração!B:B),0)</f>
        <v>0</v>
      </c>
      <c r="BQ165" s="53">
        <f ca="1">IF(BK165&gt;=BO165,0,_xlfn.XLOOKUP(F165,Apuração!A:A,Apuração!B:B)*(BO165 + (1/_xlfn.XLOOKUP(F165,Apuração!A:A,Apuração!B:B)) - BK165))</f>
        <v>0</v>
      </c>
      <c r="BR165" s="85">
        <f t="shared" ca="1" si="261"/>
        <v>0</v>
      </c>
      <c r="BS165" s="53">
        <f ca="1">IFERROR((_xlfn.XLOOKUP(F165,Apuração!A:A,Apuração!C:C)+1)/_xlfn.XLOOKUP(F165,Apuração!A:A,Apuração!B:B),0)</f>
        <v>0.14285714285714285</v>
      </c>
    </row>
    <row r="166" spans="1:71" ht="27.6" hidden="1" customHeight="1" x14ac:dyDescent="0.3">
      <c r="A166" s="33" t="s">
        <v>175</v>
      </c>
      <c r="B166" s="4" t="s">
        <v>176</v>
      </c>
      <c r="C166" s="5" t="s">
        <v>35</v>
      </c>
      <c r="D166" s="5" t="s">
        <v>36</v>
      </c>
      <c r="E166" s="4" t="str" cm="1">
        <f t="array" ref="E166">_xlfn.IFS(
F166 = "A partir de Abril", "Aguardando Execução na Distribuidora",
A166 = "CAPACITAÇÃO", "Em execução no Corporativo",
TRUE, "Em Execução na Distribuidora"
)</f>
        <v>Em execução no Corporativo</v>
      </c>
      <c r="F166" s="4" t="str" cm="1">
        <f t="array" ref="F166">_xlfn.IFS(
AG166 &lt;&gt; "", "Jan-Dez/26",
AH166 &lt;&gt; "", "Fev-Dez/26",
AI166 &lt;&gt; "", "Mar-Dez/26", AJ166 &lt;&gt; "", "Abr-Dez/26",
TRUE, "A partir de Junho"
)</f>
        <v>Mar-Dez/26</v>
      </c>
      <c r="G166" s="4" t="s">
        <v>37</v>
      </c>
      <c r="H166" s="7" t="s">
        <v>38</v>
      </c>
      <c r="I166" s="8" t="s">
        <v>177</v>
      </c>
      <c r="J166" s="8" t="str" cm="1">
        <f t="array" aca="1" ref="J166" ca="1">_xlfn.LET(
  _xlpm.actual_value_month, INDEX(T166:AE166, MATCH(DATE(YEAR(TODAY()), MONTH(TODAY()), 1), $T$1:$AE$1, 0)),
  IF(_xlpm.actual_value_month &lt;&gt; "", _xlpm.actual_value_month &amp; " certificados mensais", "")
)</f>
        <v>1375 certificados mensais</v>
      </c>
      <c r="K166" s="8" t="str">
        <f>_xlfn.LET(
    _xlpm.month, AD166,
    IF(_xlpm.month = 0, "", _xlpm.month &amp; " certificado anuais.")
)</f>
        <v>2041 certificado anuais.</v>
      </c>
      <c r="L166" s="9" t="s">
        <v>178</v>
      </c>
      <c r="M166" s="13">
        <v>1</v>
      </c>
      <c r="N166" s="5" t="s">
        <v>42</v>
      </c>
      <c r="O166" s="5" t="s">
        <v>43</v>
      </c>
      <c r="P166" s="10" t="s">
        <v>44</v>
      </c>
      <c r="Q166" s="10" t="s">
        <v>44</v>
      </c>
      <c r="R166" s="11" t="s">
        <v>179</v>
      </c>
      <c r="S166" s="11" t="s">
        <v>67</v>
      </c>
      <c r="T166" s="22"/>
      <c r="U166" s="22"/>
      <c r="V166" s="22">
        <v>839</v>
      </c>
      <c r="W166" s="22">
        <v>984</v>
      </c>
      <c r="X166" s="22">
        <v>1223</v>
      </c>
      <c r="Y166" s="22">
        <v>1375</v>
      </c>
      <c r="Z166" s="22">
        <v>1529</v>
      </c>
      <c r="AA166" s="22">
        <v>1685</v>
      </c>
      <c r="AB166" s="22">
        <v>1834</v>
      </c>
      <c r="AC166" s="22">
        <v>1976</v>
      </c>
      <c r="AD166" s="22">
        <v>2041</v>
      </c>
      <c r="AE166" s="22"/>
      <c r="AG166" s="71"/>
      <c r="AH166" s="71"/>
      <c r="AI166" s="71">
        <v>839</v>
      </c>
      <c r="AJ166" s="71">
        <v>839</v>
      </c>
      <c r="AK166" s="71"/>
      <c r="AL166" s="71"/>
      <c r="AM166" s="71"/>
      <c r="AN166" s="71"/>
      <c r="AO166" s="71"/>
      <c r="AP166" s="71"/>
      <c r="AQ166" s="71"/>
      <c r="AR166" s="71"/>
      <c r="AS166" s="94" cm="1">
        <f t="array" ref="AS166">IFERROR(INDEX(T166:AE166,1,MATCH(2,1/(T166:AE166&lt;&gt;""))),"")</f>
        <v>2041</v>
      </c>
      <c r="AT166" s="95" cm="1">
        <f t="array" ref="AT166">IFERROR(INDEX(AJ166:AR166,1,MATCH(2,1/(AJ166:AR166&lt;&gt;""))),"")</f>
        <v>839</v>
      </c>
      <c r="AU166" s="97">
        <f t="shared" ref="AU166:AU181" si="417">AT166</f>
        <v>839</v>
      </c>
      <c r="AW166" s="51">
        <f t="shared" ref="AW166:AX166" si="418">IFERROR(IF(AG166="",0,AG166/$AD166),0)</f>
        <v>0</v>
      </c>
      <c r="AX166" s="51">
        <f t="shared" si="418"/>
        <v>0</v>
      </c>
      <c r="AY166" s="51">
        <f>IFERROR(IF(AI166="",0,AI166/$AD166),0)</f>
        <v>0.41107300342969133</v>
      </c>
      <c r="AZ166" s="51">
        <f>IFERROR(IF(AJ166="",0,AJ166/$AD166),0)</f>
        <v>0.41107300342969133</v>
      </c>
      <c r="BA166" s="51"/>
      <c r="BB166" s="51"/>
      <c r="BC166" s="51"/>
      <c r="BD166" s="51"/>
      <c r="BE166" s="51"/>
      <c r="BF166" s="51"/>
      <c r="BG166" s="51"/>
      <c r="BH166" s="51"/>
      <c r="BI166" s="65" cm="1">
        <f t="array" ref="BI166">IFERROR(INDEX(AW166:BH166,1,MATCH(2,1/(AW166:BH166&lt;&gt;""))),"")</f>
        <v>0.41107300342969133</v>
      </c>
      <c r="BJ166" s="68" cm="1">
        <f t="array" ref="BJ166">IF(BM166 = "", "",IFERROR(INDEX(AW166:BH166,1,MATCH(2,1/(AW166:BH166&lt;&gt;""),1)-1),""))</f>
        <v>0.41107300342969133</v>
      </c>
      <c r="BK166" s="58" cm="1">
        <f t="array" ref="BK166">IFERROR(INDEX(AW166:BH166,1,MATCH(2,1/(AW166:BH166&lt;&gt;""))),"")</f>
        <v>0.41107300342969133</v>
      </c>
      <c r="BL166" s="58" cm="1">
        <f t="array" ref="BL166">IFERROR(INDEX(AW166:BH166,1,MATCH(2,1/(AW166:BH166&lt;&gt;""),1)-1),"")</f>
        <v>0.41107300342969133</v>
      </c>
      <c r="BM166" s="55" cm="1">
        <f t="array" ref="BM166">IFERROR(
   INDEX($AW$1:$BH$1,
      _xlfn.AGGREGATE(14, 6, COLUMN($AW$1:$BH$1)/(AW166:BH166&lt;&gt;""), 2) - COLUMN($AW$1) + 1
   ),
"")</f>
        <v>46082</v>
      </c>
      <c r="BN166" s="55" cm="1">
        <f t="array" ref="BN166">IFERROR(INDEX($AW$1:$BH$1,1,MATCH(2,1/(AW166:BH166&lt;&gt;""))),"")</f>
        <v>46113</v>
      </c>
      <c r="BO166" s="119" cm="1">
        <f t="array" aca="1" ref="BO166" ca="1">_xlfn.LET(
    _xlpm.mes_num, MONTH(TODAY())-1,
    _xlpm.coluna_ajustada, IF(_xlpm.mes_num=0, 12, _xlpm.mes_num),
    _xlpm.realizado_mes_anterior, INDEX(T166:AE166, 1, _xlpm.coluna_ajustada),
    _xlpm.previsto_total, AD166,
    _xlpm.realizado_mes_anterior / _xlpm.previsto_total
)</f>
        <v>0.59921607055365023</v>
      </c>
      <c r="BP166" s="53">
        <f ca="1">IFERROR(_xlfn.XLOOKUP(F166,Apuração!A:A,Apuração!D:D)/_xlfn.XLOOKUP(F166,Apuração!A:A,Apuração!B:B),0)</f>
        <v>0.2</v>
      </c>
      <c r="BQ166" s="53">
        <f ca="1">IF(BK166&gt;=BO166,0,_xlfn.XLOOKUP(F166,Apuração!A:A,Apuração!B:B)*(BO166 + (1/_xlfn.XLOOKUP(F166,Apuração!A:A,Apuração!B:B)) - BK166))</f>
        <v>2.8814306712395887</v>
      </c>
      <c r="BR166" s="85">
        <f t="shared" ca="1" si="261"/>
        <v>4405.7074963253308</v>
      </c>
      <c r="BS166" s="53">
        <f ca="1">IFERROR((_xlfn.XLOOKUP(F166,Apuração!A:A,Apuração!C:C)+1)/_xlfn.XLOOKUP(F166,Apuração!A:A,Apuração!B:B),0)</f>
        <v>0.4</v>
      </c>
    </row>
    <row r="167" spans="1:71" ht="27.6" hidden="1" customHeight="1" x14ac:dyDescent="0.3">
      <c r="A167" s="33" t="s">
        <v>175</v>
      </c>
      <c r="B167" s="4" t="s">
        <v>176</v>
      </c>
      <c r="C167" s="5" t="s">
        <v>35</v>
      </c>
      <c r="D167" s="5" t="s">
        <v>47</v>
      </c>
      <c r="E167" s="4" t="str" cm="1">
        <f t="array" ref="E167">_xlfn.IFS(
F167 = "A partir de Abril", "Aguardando Execução na Distribuidora",
A167 = "CAPACITAÇÃO", "Em execução no Corporativo",
TRUE, "Em Execução na Distribuidora"
)</f>
        <v>Em execução no Corporativo</v>
      </c>
      <c r="F167" s="4" t="str" cm="1">
        <f t="array" ref="F167">_xlfn.IFS(
AG167 &lt;&gt; "", "Jan-Dez/26",
AH167 &lt;&gt; "", "Fev-Dez/26",
AI167 &lt;&gt; "", "Mar-Dez/26", AJ167 &lt;&gt; "", "Abr-Dez/26",
TRUE, "A partir de Junho"
)</f>
        <v>Mar-Dez/26</v>
      </c>
      <c r="G167" s="4" t="s">
        <v>37</v>
      </c>
      <c r="H167" s="7" t="s">
        <v>38</v>
      </c>
      <c r="I167" s="8" t="s">
        <v>177</v>
      </c>
      <c r="J167" s="8" t="str" cm="1">
        <f t="array" aca="1" ref="J167" ca="1">_xlfn.LET(
  _xlpm.actual_value_month, INDEX(T167:AE167, MATCH(DATE(YEAR(TODAY()), MONTH(TODAY()), 1), $T$1:$AE$1, 0)),
  IF(_xlpm.actual_value_month &lt;&gt; "", _xlpm.actual_value_month &amp; " certificados mensais", "")
)</f>
        <v>766 certificados mensais</v>
      </c>
      <c r="K167" s="8" t="str">
        <f>_xlfn.LET(
    _xlpm.month, AD167,
    IF(_xlpm.month = 0, "", _xlpm.month &amp; " certificado anuais.")
)</f>
        <v>1002 certificado anuais.</v>
      </c>
      <c r="L167" s="9" t="s">
        <v>178</v>
      </c>
      <c r="M167" s="13">
        <v>1</v>
      </c>
      <c r="N167" s="5" t="s">
        <v>42</v>
      </c>
      <c r="O167" s="5" t="s">
        <v>43</v>
      </c>
      <c r="P167" s="10" t="s">
        <v>44</v>
      </c>
      <c r="Q167" s="10" t="s">
        <v>44</v>
      </c>
      <c r="R167" s="160" t="s">
        <v>179</v>
      </c>
      <c r="S167" s="11" t="s">
        <v>67</v>
      </c>
      <c r="T167" s="143"/>
      <c r="U167" s="143"/>
      <c r="V167" s="143">
        <v>512</v>
      </c>
      <c r="W167" s="143">
        <v>602</v>
      </c>
      <c r="X167" s="143">
        <v>706</v>
      </c>
      <c r="Y167" s="143">
        <v>766</v>
      </c>
      <c r="Z167" s="143">
        <v>829</v>
      </c>
      <c r="AA167" s="143">
        <v>891</v>
      </c>
      <c r="AB167" s="143">
        <v>950</v>
      </c>
      <c r="AC167" s="22">
        <v>1002</v>
      </c>
      <c r="AD167" s="22">
        <v>1002</v>
      </c>
      <c r="AE167" s="143"/>
      <c r="AG167" s="82"/>
      <c r="AH167" s="82"/>
      <c r="AI167" s="82">
        <v>512</v>
      </c>
      <c r="AJ167" s="82">
        <v>512</v>
      </c>
      <c r="AK167" s="71"/>
      <c r="AL167" s="71"/>
      <c r="AM167" s="71"/>
      <c r="AN167" s="71"/>
      <c r="AO167" s="71"/>
      <c r="AP167" s="71"/>
      <c r="AQ167" s="71"/>
      <c r="AR167" s="71"/>
      <c r="AS167" s="94" cm="1">
        <f t="array" ref="AS167">IFERROR(INDEX(T167:AE167,1,MATCH(2,1/(T167:AE167&lt;&gt;""))),"")</f>
        <v>1002</v>
      </c>
      <c r="AT167" s="95" cm="1">
        <f t="array" ref="AT167">IFERROR(INDEX(AJ167:AR167,1,MATCH(2,1/(AJ167:AR167&lt;&gt;""))),"")</f>
        <v>512</v>
      </c>
      <c r="AU167" s="97">
        <f t="shared" ref="AU167:AU168" si="419">AT167</f>
        <v>512</v>
      </c>
      <c r="AW167" s="51">
        <f t="shared" ref="AW167:AW168" si="420">IFERROR(IF(AG167="",0,AG167/$AD167),0)</f>
        <v>0</v>
      </c>
      <c r="AX167" s="51">
        <f t="shared" ref="AX167:AX168" si="421">IFERROR(IF(AH167="",0,AH167/$AD167),0)</f>
        <v>0</v>
      </c>
      <c r="AY167" s="51">
        <f t="shared" ref="AY167:AY168" si="422">IFERROR(IF(AI167="",0,AI167/$AD167),0)</f>
        <v>0.51097804391217561</v>
      </c>
      <c r="AZ167" s="51">
        <f t="shared" ref="AZ167:AZ168" si="423">IFERROR(IF(AJ167="",0,AJ167/$AD167),0)</f>
        <v>0.51097804391217561</v>
      </c>
      <c r="BA167" s="51"/>
      <c r="BB167" s="51"/>
      <c r="BC167" s="51"/>
      <c r="BD167" s="51"/>
      <c r="BE167" s="51"/>
      <c r="BF167" s="51"/>
      <c r="BG167" s="51"/>
      <c r="BH167" s="51"/>
      <c r="BI167" s="65" cm="1">
        <f t="array" ref="BI167">IFERROR(INDEX(AW167:BH167,1,MATCH(2,1/(AW167:BH167&lt;&gt;""))),"")</f>
        <v>0.51097804391217561</v>
      </c>
      <c r="BJ167" s="68" cm="1">
        <f t="array" ref="BJ167">IF(BM167 = "", "",IFERROR(INDEX(AW167:BH167,1,MATCH(2,1/(AW167:BH167&lt;&gt;""),1)-1),""))</f>
        <v>0.51097804391217561</v>
      </c>
      <c r="BK167" s="58" cm="1">
        <f t="array" ref="BK167">IFERROR(INDEX(AW167:BH167,1,MATCH(2,1/(AW167:BH167&lt;&gt;""))),"")</f>
        <v>0.51097804391217561</v>
      </c>
      <c r="BL167" s="58" cm="1">
        <f t="array" ref="BL167">IFERROR(INDEX(AW167:BH167,1,MATCH(2,1/(AW167:BH167&lt;&gt;""),1)-1),"")</f>
        <v>0.51097804391217561</v>
      </c>
      <c r="BM167" s="55" cm="1">
        <f t="array" ref="BM167">IFERROR(
   INDEX($AW$1:$BH$1,
      _xlfn.AGGREGATE(14, 6, COLUMN($AW$1:$BH$1)/(AW167:BH167&lt;&gt;""), 2) - COLUMN($AW$1) + 1
   ),
"")</f>
        <v>46082</v>
      </c>
      <c r="BN167" s="55" cm="1">
        <f t="array" ref="BN167">IFERROR(INDEX($AW$1:$BH$1,1,MATCH(2,1/(AW167:BH167&lt;&gt;""))),"")</f>
        <v>46113</v>
      </c>
      <c r="BO167" s="119" cm="1">
        <f t="array" aca="1" ref="BO167" ca="1">_xlfn.LET(
    _xlpm.mes_num, MONTH(TODAY())-1,
    _xlpm.coluna_ajustada, IF(_xlpm.mes_num=0, 12, _xlpm.mes_num),
    _xlpm.realizado_mes_anterior, INDEX(T167:AE167, 1, _xlpm.coluna_ajustada),
    _xlpm.previsto_total, AD167,
    _xlpm.realizado_mes_anterior / _xlpm.previsto_total
)</f>
        <v>0.70459081836327342</v>
      </c>
      <c r="BP167" s="53">
        <f ca="1">IFERROR(_xlfn.XLOOKUP(F167,Apuração!A:A,Apuração!D:D)/_xlfn.XLOOKUP(F167,Apuração!A:A,Apuração!B:B),0)</f>
        <v>0.2</v>
      </c>
      <c r="BQ167" s="53">
        <f ca="1">IF(BK167&gt;=BO167,0,_xlfn.XLOOKUP(F167,Apuração!A:A,Apuração!B:B)*(BO167 + (1/_xlfn.XLOOKUP(F167,Apuração!A:A,Apuração!B:B)) - BK167))</f>
        <v>2.9361277445109781</v>
      </c>
      <c r="BR167" s="85">
        <f t="shared" ref="BR167:BR168" ca="1" si="424">IF(BQ167=0,0,BQ167*Z167)</f>
        <v>2434.0499001996009</v>
      </c>
      <c r="BS167" s="53">
        <f ca="1">IFERROR((_xlfn.XLOOKUP(F167,Apuração!A:A,Apuração!C:C)+1)/_xlfn.XLOOKUP(F167,Apuração!A:A,Apuração!B:B),0)</f>
        <v>0.4</v>
      </c>
    </row>
    <row r="168" spans="1:71" ht="27.6" hidden="1" customHeight="1" x14ac:dyDescent="0.3">
      <c r="A168" s="33" t="s">
        <v>175</v>
      </c>
      <c r="B168" s="4" t="s">
        <v>176</v>
      </c>
      <c r="C168" s="5" t="s">
        <v>35</v>
      </c>
      <c r="D168" s="5" t="s">
        <v>48</v>
      </c>
      <c r="E168" s="4" t="str" cm="1">
        <f t="array" ref="E168">_xlfn.IFS(
F168 = "A partir de Abril", "Aguardando Execução na Distribuidora",
A168 = "CAPACITAÇÃO", "Em execução no Corporativo",
TRUE, "Em Execução na Distribuidora"
)</f>
        <v>Em execução no Corporativo</v>
      </c>
      <c r="F168" s="4" t="str" cm="1">
        <f t="array" ref="F168">_xlfn.IFS(
AG168 &lt;&gt; "", "Jan-Dez/26",
AH168 &lt;&gt; "", "Fev-Dez/26",
AI168 &lt;&gt; "", "Mar-Dez/26", AJ168 &lt;&gt; "", "Abr-Dez/26",
TRUE, "A partir de Junho"
)</f>
        <v>Mar-Dez/26</v>
      </c>
      <c r="G168" s="4" t="s">
        <v>37</v>
      </c>
      <c r="H168" s="7" t="s">
        <v>38</v>
      </c>
      <c r="I168" s="8" t="s">
        <v>177</v>
      </c>
      <c r="J168" s="8" t="str" cm="1">
        <f t="array" aca="1" ref="J168" ca="1">_xlfn.LET(
  _xlpm.actual_value_month, INDEX(T168:AE168, MATCH(DATE(YEAR(TODAY()), MONTH(TODAY()), 1), $T$1:$AE$1, 0)),
  IF(_xlpm.actual_value_month &lt;&gt; "", _xlpm.actual_value_month &amp; " certificados mensais", "")
)</f>
        <v>443 certificados mensais</v>
      </c>
      <c r="K168" s="8" t="str">
        <f>_xlfn.LET(
    _xlpm.month, AD168,
    IF(_xlpm.month = 0, "", _xlpm.month &amp; " certificado anuais.")
)</f>
        <v>541 certificado anuais.</v>
      </c>
      <c r="L168" s="9" t="s">
        <v>178</v>
      </c>
      <c r="M168" s="13">
        <v>1</v>
      </c>
      <c r="N168" s="5" t="s">
        <v>42</v>
      </c>
      <c r="O168" s="5" t="s">
        <v>43</v>
      </c>
      <c r="P168" s="10" t="s">
        <v>44</v>
      </c>
      <c r="Q168" s="10" t="s">
        <v>44</v>
      </c>
      <c r="R168" s="11" t="s">
        <v>179</v>
      </c>
      <c r="S168" s="11" t="s">
        <v>67</v>
      </c>
      <c r="T168" s="143"/>
      <c r="U168" s="143"/>
      <c r="V168" s="143">
        <v>327</v>
      </c>
      <c r="W168" s="143">
        <v>374</v>
      </c>
      <c r="X168" s="143">
        <v>418</v>
      </c>
      <c r="Y168" s="143">
        <v>443</v>
      </c>
      <c r="Z168" s="143">
        <v>468</v>
      </c>
      <c r="AA168" s="143">
        <v>493</v>
      </c>
      <c r="AB168" s="143">
        <v>517</v>
      </c>
      <c r="AC168" s="143">
        <v>541</v>
      </c>
      <c r="AD168" s="143">
        <v>541</v>
      </c>
      <c r="AE168" s="143"/>
      <c r="AG168" s="82"/>
      <c r="AH168" s="82"/>
      <c r="AI168" s="82">
        <v>327</v>
      </c>
      <c r="AJ168" s="82">
        <v>327</v>
      </c>
      <c r="AK168" s="71"/>
      <c r="AL168" s="71"/>
      <c r="AM168" s="71"/>
      <c r="AN168" s="71"/>
      <c r="AO168" s="71"/>
      <c r="AP168" s="71"/>
      <c r="AQ168" s="71"/>
      <c r="AR168" s="71"/>
      <c r="AS168" s="94" cm="1">
        <f t="array" ref="AS168">IFERROR(INDEX(T168:AE168,1,MATCH(2,1/(T168:AE168&lt;&gt;""))),"")</f>
        <v>541</v>
      </c>
      <c r="AT168" s="95" cm="1">
        <f t="array" ref="AT168">IFERROR(INDEX(AJ168:AR168,1,MATCH(2,1/(AJ168:AR168&lt;&gt;""))),"")</f>
        <v>327</v>
      </c>
      <c r="AU168" s="97">
        <f t="shared" si="419"/>
        <v>327</v>
      </c>
      <c r="AW168" s="51">
        <f t="shared" si="420"/>
        <v>0</v>
      </c>
      <c r="AX168" s="51">
        <f t="shared" si="421"/>
        <v>0</v>
      </c>
      <c r="AY168" s="51">
        <f t="shared" si="422"/>
        <v>0.60443622920517559</v>
      </c>
      <c r="AZ168" s="51">
        <f t="shared" si="423"/>
        <v>0.60443622920517559</v>
      </c>
      <c r="BA168" s="51"/>
      <c r="BB168" s="51"/>
      <c r="BC168" s="51"/>
      <c r="BD168" s="51"/>
      <c r="BE168" s="51"/>
      <c r="BF168" s="51"/>
      <c r="BG168" s="51"/>
      <c r="BH168" s="51"/>
      <c r="BI168" s="65" cm="1">
        <f t="array" ref="BI168">IFERROR(INDEX(AW168:BH168,1,MATCH(2,1/(AW168:BH168&lt;&gt;""))),"")</f>
        <v>0.60443622920517559</v>
      </c>
      <c r="BJ168" s="68" cm="1">
        <f t="array" ref="BJ168">IF(BM168 = "", "",IFERROR(INDEX(AW168:BH168,1,MATCH(2,1/(AW168:BH168&lt;&gt;""),1)-1),""))</f>
        <v>0.60443622920517559</v>
      </c>
      <c r="BK168" s="58" cm="1">
        <f t="array" ref="BK168">IFERROR(INDEX(AW168:BH168,1,MATCH(2,1/(AW168:BH168&lt;&gt;""))),"")</f>
        <v>0.60443622920517559</v>
      </c>
      <c r="BL168" s="58" cm="1">
        <f t="array" ref="BL168">IFERROR(INDEX(AW168:BH168,1,MATCH(2,1/(AW168:BH168&lt;&gt;""),1)-1),"")</f>
        <v>0.60443622920517559</v>
      </c>
      <c r="BM168" s="55" cm="1">
        <f t="array" ref="BM168">IFERROR(
   INDEX($AW$1:$BH$1,
      _xlfn.AGGREGATE(14, 6, COLUMN($AW$1:$BH$1)/(AW168:BH168&lt;&gt;""), 2) - COLUMN($AW$1) + 1
   ),
"")</f>
        <v>46082</v>
      </c>
      <c r="BN168" s="55" cm="1">
        <f t="array" ref="BN168">IFERROR(INDEX($AW$1:$BH$1,1,MATCH(2,1/(AW168:BH168&lt;&gt;""))),"")</f>
        <v>46113</v>
      </c>
      <c r="BO168" s="119" cm="1">
        <f t="array" aca="1" ref="BO168" ca="1">_xlfn.LET(
    _xlpm.mes_num, MONTH(TODAY())-1,
    _xlpm.coluna_ajustada, IF(_xlpm.mes_num=0, 12, _xlpm.mes_num),
    _xlpm.realizado_mes_anterior, INDEX(T168:AE168, 1, _xlpm.coluna_ajustada),
    _xlpm.previsto_total, AD168,
    _xlpm.realizado_mes_anterior / _xlpm.previsto_total
)</f>
        <v>0.77264325323475047</v>
      </c>
      <c r="BP168" s="53">
        <f ca="1">IFERROR(_xlfn.XLOOKUP(F168,Apuração!A:A,Apuração!D:D)/_xlfn.XLOOKUP(F168,Apuração!A:A,Apuração!B:B),0)</f>
        <v>0.2</v>
      </c>
      <c r="BQ168" s="53">
        <f ca="1">IF(BK168&gt;=BO168,0,_xlfn.XLOOKUP(F168,Apuração!A:A,Apuração!B:B)*(BO168 + (1/_xlfn.XLOOKUP(F168,Apuração!A:A,Apuração!B:B)) - BK168))</f>
        <v>2.6820702402957486</v>
      </c>
      <c r="BR168" s="85">
        <f t="shared" ca="1" si="424"/>
        <v>1255.2088724584103</v>
      </c>
      <c r="BS168" s="53">
        <f ca="1">IFERROR((_xlfn.XLOOKUP(F168,Apuração!A:A,Apuração!C:C)+1)/_xlfn.XLOOKUP(F168,Apuração!A:A,Apuração!B:B),0)</f>
        <v>0.4</v>
      </c>
    </row>
    <row r="169" spans="1:71" ht="25.95" hidden="1" customHeight="1" x14ac:dyDescent="0.3">
      <c r="A169" s="44" t="s">
        <v>175</v>
      </c>
      <c r="B169" s="4" t="s">
        <v>176</v>
      </c>
      <c r="C169" s="5" t="s">
        <v>35</v>
      </c>
      <c r="D169" s="5" t="s">
        <v>36</v>
      </c>
      <c r="E169" s="4" t="str" cm="1">
        <f t="array" ref="E169">_xlfn.IFS(
F169 = "A partir de Abril", "Aguardando Execução na Distribuidora",
A169 = "CAPACITAÇÃO", "Em execução no Corporativo",
TRUE, "Em Execução na Distribuidora"
)</f>
        <v>Em execução no Corporativo</v>
      </c>
      <c r="F169" s="4" t="str" cm="1">
        <f t="array" ref="F169">_xlfn.IFS(
AG169 &lt;&gt; "", "Jan-Dez/26",
AH169 &lt;&gt; "", "Fev-Dez/26",
AI169 &lt;&gt; "", "Mar-Dez/26", AJ169 &lt;&gt; "", "Abr-Dez/26",
TRUE, "A partir de Junho"
)</f>
        <v>Mar-Dez/26</v>
      </c>
      <c r="G169" s="4" t="s">
        <v>37</v>
      </c>
      <c r="H169" s="7" t="s">
        <v>38</v>
      </c>
      <c r="I169" s="21" t="s">
        <v>180</v>
      </c>
      <c r="J169" s="8" t="str" cm="1">
        <f t="array" aca="1" ref="J169" ca="1">_xlfn.LET(
  _xlpm.actual_value_month, INDEX(T169:AE169, MATCH(DATE(YEAR(TODAY()), MONTH(TODAY()), 1), $T$1:$AE$1, 0)),
  IF(_xlpm.actual_value_month &lt;&gt; "", _xlpm.actual_value_month &amp; " ações mensais", "")
)</f>
        <v/>
      </c>
      <c r="K169" s="8" t="str" cm="1">
        <f t="array" ref="K169">_xlfn.LET(
    _xlpm.sum_month, SUM(T169:AE169),
    IF(_xlpm.sum_month = 0, "", _xlpm.sum_month &amp; " colaboradores treinados.")
)</f>
        <v/>
      </c>
      <c r="L169" s="9" t="s">
        <v>181</v>
      </c>
      <c r="M169" s="13">
        <v>1</v>
      </c>
      <c r="N169" s="5" t="s">
        <v>51</v>
      </c>
      <c r="O169" s="5" t="s">
        <v>52</v>
      </c>
      <c r="P169" s="10" t="s">
        <v>44</v>
      </c>
      <c r="Q169" s="10"/>
      <c r="R169" s="11" t="s">
        <v>44</v>
      </c>
      <c r="S169" s="11" t="s">
        <v>44</v>
      </c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G169" s="71"/>
      <c r="AH169" s="71"/>
      <c r="AI169" s="71">
        <v>839</v>
      </c>
      <c r="AJ169" s="71">
        <v>839</v>
      </c>
      <c r="AK169" s="71"/>
      <c r="AL169" s="71"/>
      <c r="AM169" s="71"/>
      <c r="AN169" s="71"/>
      <c r="AO169" s="71"/>
      <c r="AP169" s="71"/>
      <c r="AQ169" s="71"/>
      <c r="AR169" s="71"/>
      <c r="AS169" s="94" t="str" cm="1">
        <f t="array" ref="AS169">IFERROR(INDEX(T169:AE169,1,MATCH(2,1/(T169:AE169&lt;&gt;""))),"")</f>
        <v/>
      </c>
      <c r="AT169" s="95" cm="1">
        <f t="array" ref="AT169">IFERROR(INDEX(AJ169:AR169,1,MATCH(2,1/(AJ169:AR169&lt;&gt;""))),"")</f>
        <v>839</v>
      </c>
      <c r="AU169" s="97">
        <f t="shared" si="417"/>
        <v>839</v>
      </c>
      <c r="AW169" s="83">
        <f>AG169</f>
        <v>0</v>
      </c>
      <c r="AX169" s="52">
        <f t="shared" ref="AX169" si="425">AH169</f>
        <v>0</v>
      </c>
      <c r="AY169" s="52">
        <f t="shared" ref="AY169:AZ169" si="426">AI169</f>
        <v>839</v>
      </c>
      <c r="AZ169" s="52">
        <f t="shared" si="426"/>
        <v>839</v>
      </c>
      <c r="BA169" s="52"/>
      <c r="BB169" s="52"/>
      <c r="BC169" s="52"/>
      <c r="BD169" s="52"/>
      <c r="BE169" s="52"/>
      <c r="BF169" s="52"/>
      <c r="BG169" s="52"/>
      <c r="BH169" s="52"/>
      <c r="BI169" s="68" cm="1">
        <f t="array" ref="BI169">IFERROR(INDEX(AW169:BH169,1,MATCH(2,1/(AW169:BH169&lt;&gt;""))),"")</f>
        <v>839</v>
      </c>
      <c r="BJ169" s="68" cm="1">
        <f t="array" ref="BJ169">IF(BM169 = "", "",IFERROR(INDEX(AW169:BH169,1,MATCH(2,1/(AW169:BH169&lt;&gt;""),1)-1),""))</f>
        <v>839</v>
      </c>
      <c r="BK169" s="59">
        <f>SUM(AW169:BH169)</f>
        <v>1678</v>
      </c>
      <c r="BL169" s="59" cm="1">
        <f t="array" ref="BL169">IFERROR(SUM(AW169:INDEX(AW169:BH169, MATCH(2, 1/(AW169:BH169&lt;&gt;""), 1) - 1))/_xlfn.XLOOKUP(F169,Apuração!A:A,Apuração!B:B),0)</f>
        <v>83.9</v>
      </c>
      <c r="BM169" s="55" cm="1">
        <f t="array" ref="BM169">IFERROR(
   INDEX($AW$1:$BH$1,
      _xlfn.AGGREGATE(14, 6, COLUMN($AW$1:$BH$1)/(AW169:BH169&lt;&gt;""), 2) - COLUMN($AW$1) + 1
   ),
"")</f>
        <v>46082</v>
      </c>
      <c r="BN169" s="55" cm="1">
        <f t="array" ref="BN169">IFERROR(INDEX($AW$1:$BH$1,1,MATCH(2,1/(AW169:BH169&lt;&gt;""))),"")</f>
        <v>46113</v>
      </c>
      <c r="BO169" s="53">
        <f ca="1">IFERROR(_xlfn.XLOOKUP(F169,Apuração!A:A,Apuração!C:C)/_xlfn.XLOOKUP(F169,Apuração!A:A,Apuração!B:B),0)</f>
        <v>0.3</v>
      </c>
      <c r="BP169" s="53">
        <f ca="1">IFERROR(_xlfn.XLOOKUP(F169,Apuração!A:A,Apuração!D:D)/_xlfn.XLOOKUP(F169,Apuração!A:A,Apuração!B:B),0)</f>
        <v>0.2</v>
      </c>
      <c r="BQ169" s="53">
        <f ca="1">IF(BK169&gt;=BO169,0,_xlfn.XLOOKUP(F169,Apuração!A:A,Apuração!B:B)*(BO169 + (1/_xlfn.XLOOKUP(F169,Apuração!A:A,Apuração!B:B)) - BK169))</f>
        <v>0</v>
      </c>
      <c r="BR169" s="85">
        <f t="shared" ca="1" si="261"/>
        <v>0</v>
      </c>
      <c r="BS169" s="53">
        <f ca="1">IFERROR((_xlfn.XLOOKUP(F169,Apuração!A:A,Apuração!C:C)+1)/_xlfn.XLOOKUP(F169,Apuração!A:A,Apuração!B:B),0)</f>
        <v>0.4</v>
      </c>
    </row>
    <row r="170" spans="1:71" ht="25.95" hidden="1" customHeight="1" x14ac:dyDescent="0.3">
      <c r="A170" s="44" t="s">
        <v>175</v>
      </c>
      <c r="B170" s="4" t="s">
        <v>176</v>
      </c>
      <c r="C170" s="5" t="s">
        <v>35</v>
      </c>
      <c r="D170" s="5" t="s">
        <v>47</v>
      </c>
      <c r="E170" s="4" t="str" cm="1">
        <f t="array" ref="E170">_xlfn.IFS(
F170 = "A partir de Abril", "Aguardando Execução na Distribuidora",
A170 = "CAPACITAÇÃO", "Em execução no Corporativo",
TRUE, "Em Execução na Distribuidora"
)</f>
        <v>Em execução no Corporativo</v>
      </c>
      <c r="F170" s="4" t="str" cm="1">
        <f t="array" ref="F170">_xlfn.IFS(
AG170 &lt;&gt; "", "Jan-Dez/26",
AH170 &lt;&gt; "", "Fev-Dez/26",
AI170 &lt;&gt; "", "Mar-Dez/26", AJ170 &lt;&gt; "", "Abr-Dez/26",
TRUE, "A partir de Junho"
)</f>
        <v>Mar-Dez/26</v>
      </c>
      <c r="G170" s="4" t="s">
        <v>37</v>
      </c>
      <c r="H170" s="7" t="s">
        <v>38</v>
      </c>
      <c r="I170" s="21" t="s">
        <v>180</v>
      </c>
      <c r="J170" s="8" t="str" cm="1">
        <f t="array" aca="1" ref="J170" ca="1">_xlfn.LET(
  _xlpm.actual_value_month, INDEX(T170:AE170, MATCH(DATE(YEAR(TODAY()), MONTH(TODAY()), 1), $T$1:$AE$1, 0)),
  IF(_xlpm.actual_value_month &lt;&gt; "", _xlpm.actual_value_month &amp; " ações mensais", "")
)</f>
        <v/>
      </c>
      <c r="K170" s="8" t="str" cm="1">
        <f t="array" ref="K170">_xlfn.LET(
    _xlpm.sum_month, SUM(T170:AE170),
    IF(_xlpm.sum_month = 0, "", _xlpm.sum_month &amp; " colaboradores treinados.")
)</f>
        <v/>
      </c>
      <c r="L170" s="9" t="s">
        <v>181</v>
      </c>
      <c r="M170" s="13">
        <v>1</v>
      </c>
      <c r="N170" s="5" t="s">
        <v>51</v>
      </c>
      <c r="O170" s="5" t="s">
        <v>52</v>
      </c>
      <c r="P170" s="10" t="s">
        <v>44</v>
      </c>
      <c r="Q170" s="10"/>
      <c r="R170" s="11" t="s">
        <v>44</v>
      </c>
      <c r="S170" s="11" t="s">
        <v>44</v>
      </c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G170" s="71"/>
      <c r="AH170" s="71"/>
      <c r="AI170" s="82">
        <v>512</v>
      </c>
      <c r="AJ170" s="82">
        <v>512</v>
      </c>
      <c r="AK170" s="71"/>
      <c r="AL170" s="71"/>
      <c r="AM170" s="71"/>
      <c r="AN170" s="71"/>
      <c r="AO170" s="71"/>
      <c r="AP170" s="71"/>
      <c r="AQ170" s="71"/>
      <c r="AR170" s="71"/>
      <c r="AS170" s="94" t="str" cm="1">
        <f t="array" ref="AS170">IFERROR(INDEX(T170:AE170,1,MATCH(2,1/(T170:AE170&lt;&gt;""))),"")</f>
        <v/>
      </c>
      <c r="AT170" s="95" cm="1">
        <f t="array" ref="AT170">IFERROR(INDEX(AJ170:AR170,1,MATCH(2,1/(AJ170:AR170&lt;&gt;""))),"")</f>
        <v>512</v>
      </c>
      <c r="AU170" s="97">
        <f t="shared" ref="AU170:AU171" si="427">AT170</f>
        <v>512</v>
      </c>
      <c r="AW170" s="83">
        <f t="shared" ref="AW170:AW171" si="428">AG170</f>
        <v>0</v>
      </c>
      <c r="AX170" s="52">
        <f t="shared" ref="AX170:AX171" si="429">AH170</f>
        <v>0</v>
      </c>
      <c r="AY170" s="52">
        <f t="shared" ref="AY170:AY171" si="430">AI170</f>
        <v>512</v>
      </c>
      <c r="AZ170" s="52">
        <f t="shared" ref="AZ170:AZ171" si="431">AJ170</f>
        <v>512</v>
      </c>
      <c r="BA170" s="52"/>
      <c r="BB170" s="52"/>
      <c r="BC170" s="52"/>
      <c r="BD170" s="52"/>
      <c r="BE170" s="52"/>
      <c r="BF170" s="52"/>
      <c r="BG170" s="52"/>
      <c r="BH170" s="52"/>
      <c r="BI170" s="68" cm="1">
        <f t="array" ref="BI170">IFERROR(INDEX(AW170:BH170,1,MATCH(2,1/(AW170:BH170&lt;&gt;""))),"")</f>
        <v>512</v>
      </c>
      <c r="BJ170" s="68" cm="1">
        <f t="array" ref="BJ170">IF(BM170 = "", "",IFERROR(INDEX(AW170:BH170,1,MATCH(2,1/(AW170:BH170&lt;&gt;""),1)-1),""))</f>
        <v>512</v>
      </c>
      <c r="BK170" s="59">
        <f t="shared" ref="BK170:BK171" si="432">SUM(AW170:BH170)</f>
        <v>1024</v>
      </c>
      <c r="BL170" s="59" cm="1">
        <f t="array" ref="BL170">IFERROR(SUM(AW170:INDEX(AW170:BH170, MATCH(2, 1/(AW170:BH170&lt;&gt;""), 1) - 1))/_xlfn.XLOOKUP(F170,Apuração!A:A,Apuração!B:B),0)</f>
        <v>51.2</v>
      </c>
      <c r="BM170" s="55" cm="1">
        <f t="array" ref="BM170">IFERROR(
   INDEX($AW$1:$BH$1,
      _xlfn.AGGREGATE(14, 6, COLUMN($AW$1:$BH$1)/(AW170:BH170&lt;&gt;""), 2) - COLUMN($AW$1) + 1
   ),
"")</f>
        <v>46082</v>
      </c>
      <c r="BN170" s="55" cm="1">
        <f t="array" ref="BN170">IFERROR(INDEX($AW$1:$BH$1,1,MATCH(2,1/(AW170:BH170&lt;&gt;""))),"")</f>
        <v>46113</v>
      </c>
      <c r="BO170" s="53">
        <f ca="1">IFERROR(_xlfn.XLOOKUP(F170,Apuração!A:A,Apuração!C:C)/_xlfn.XLOOKUP(F170,Apuração!A:A,Apuração!B:B),0)</f>
        <v>0.3</v>
      </c>
      <c r="BP170" s="53">
        <f ca="1">IFERROR(_xlfn.XLOOKUP(F170,Apuração!A:A,Apuração!D:D)/_xlfn.XLOOKUP(F170,Apuração!A:A,Apuração!B:B),0)</f>
        <v>0.2</v>
      </c>
      <c r="BQ170" s="53">
        <f ca="1">IF(BK170&gt;=BO170,0,_xlfn.XLOOKUP(F170,Apuração!A:A,Apuração!B:B)*(BO170 + (1/_xlfn.XLOOKUP(F170,Apuração!A:A,Apuração!B:B)) - BK170))</f>
        <v>0</v>
      </c>
      <c r="BR170" s="85">
        <f t="shared" ref="BR170:BR171" ca="1" si="433">IF(BQ170=0,0,BQ170*Z170)</f>
        <v>0</v>
      </c>
      <c r="BS170" s="53">
        <f ca="1">IFERROR((_xlfn.XLOOKUP(F170,Apuração!A:A,Apuração!C:C)+1)/_xlfn.XLOOKUP(F170,Apuração!A:A,Apuração!B:B),0)</f>
        <v>0.4</v>
      </c>
    </row>
    <row r="171" spans="1:71" ht="25.95" hidden="1" customHeight="1" x14ac:dyDescent="0.3">
      <c r="A171" s="44" t="s">
        <v>175</v>
      </c>
      <c r="B171" s="4" t="s">
        <v>176</v>
      </c>
      <c r="C171" s="5" t="s">
        <v>35</v>
      </c>
      <c r="D171" s="5" t="s">
        <v>48</v>
      </c>
      <c r="E171" s="4" t="str" cm="1">
        <f t="array" ref="E171">_xlfn.IFS(
F171 = "A partir de Abril", "Aguardando Execução na Distribuidora",
A171 = "CAPACITAÇÃO", "Em execução no Corporativo",
TRUE, "Em Execução na Distribuidora"
)</f>
        <v>Em execução no Corporativo</v>
      </c>
      <c r="F171" s="4" t="str" cm="1">
        <f t="array" ref="F171">_xlfn.IFS(
AG171 &lt;&gt; "", "Jan-Dez/26",
AH171 &lt;&gt; "", "Fev-Dez/26",
AI171 &lt;&gt; "", "Mar-Dez/26", AJ171 &lt;&gt; "", "Abr-Dez/26",
TRUE, "A partir de Junho"
)</f>
        <v>Mar-Dez/26</v>
      </c>
      <c r="G171" s="4" t="s">
        <v>37</v>
      </c>
      <c r="H171" s="7" t="s">
        <v>38</v>
      </c>
      <c r="I171" s="21" t="s">
        <v>180</v>
      </c>
      <c r="J171" s="8" t="str" cm="1">
        <f t="array" aca="1" ref="J171" ca="1">_xlfn.LET(
  _xlpm.actual_value_month, INDEX(T171:AE171, MATCH(DATE(YEAR(TODAY()), MONTH(TODAY()), 1), $T$1:$AE$1, 0)),
  IF(_xlpm.actual_value_month &lt;&gt; "", _xlpm.actual_value_month &amp; " ações mensais", "")
)</f>
        <v/>
      </c>
      <c r="K171" s="8" t="str" cm="1">
        <f t="array" ref="K171">_xlfn.LET(
    _xlpm.sum_month, SUM(T171:AE171),
    IF(_xlpm.sum_month = 0, "", _xlpm.sum_month &amp; " colaboradores treinados.")
)</f>
        <v/>
      </c>
      <c r="L171" s="9" t="s">
        <v>181</v>
      </c>
      <c r="M171" s="13">
        <v>1</v>
      </c>
      <c r="N171" s="5" t="s">
        <v>51</v>
      </c>
      <c r="O171" s="5" t="s">
        <v>52</v>
      </c>
      <c r="P171" s="10" t="s">
        <v>44</v>
      </c>
      <c r="Q171" s="10"/>
      <c r="R171" s="11" t="s">
        <v>44</v>
      </c>
      <c r="S171" s="11" t="s">
        <v>44</v>
      </c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G171" s="71"/>
      <c r="AH171" s="71"/>
      <c r="AI171" s="82">
        <v>327</v>
      </c>
      <c r="AJ171" s="82">
        <v>327</v>
      </c>
      <c r="AK171" s="71"/>
      <c r="AL171" s="71"/>
      <c r="AM171" s="71"/>
      <c r="AN171" s="71"/>
      <c r="AO171" s="71"/>
      <c r="AP171" s="71"/>
      <c r="AQ171" s="71"/>
      <c r="AR171" s="71"/>
      <c r="AS171" s="94" t="str" cm="1">
        <f t="array" ref="AS171">IFERROR(INDEX(T171:AE171,1,MATCH(2,1/(T171:AE171&lt;&gt;""))),"")</f>
        <v/>
      </c>
      <c r="AT171" s="95" cm="1">
        <f t="array" ref="AT171">IFERROR(INDEX(AJ171:AR171,1,MATCH(2,1/(AJ171:AR171&lt;&gt;""))),"")</f>
        <v>327</v>
      </c>
      <c r="AU171" s="97">
        <f t="shared" si="427"/>
        <v>327</v>
      </c>
      <c r="AW171" s="83">
        <f t="shared" si="428"/>
        <v>0</v>
      </c>
      <c r="AX171" s="52">
        <f t="shared" si="429"/>
        <v>0</v>
      </c>
      <c r="AY171" s="52">
        <f t="shared" si="430"/>
        <v>327</v>
      </c>
      <c r="AZ171" s="52">
        <f t="shared" si="431"/>
        <v>327</v>
      </c>
      <c r="BA171" s="52"/>
      <c r="BB171" s="52"/>
      <c r="BC171" s="52"/>
      <c r="BD171" s="52"/>
      <c r="BE171" s="52"/>
      <c r="BF171" s="52"/>
      <c r="BG171" s="52"/>
      <c r="BH171" s="52"/>
      <c r="BI171" s="68" cm="1">
        <f t="array" ref="BI171">IFERROR(INDEX(AW171:BH171,1,MATCH(2,1/(AW171:BH171&lt;&gt;""))),"")</f>
        <v>327</v>
      </c>
      <c r="BJ171" s="68" cm="1">
        <f t="array" ref="BJ171">IF(BM171 = "", "",IFERROR(INDEX(AW171:BH171,1,MATCH(2,1/(AW171:BH171&lt;&gt;""),1)-1),""))</f>
        <v>327</v>
      </c>
      <c r="BK171" s="59">
        <f t="shared" si="432"/>
        <v>654</v>
      </c>
      <c r="BL171" s="59" cm="1">
        <f t="array" ref="BL171">IFERROR(SUM(AW171:INDEX(AW171:BH171, MATCH(2, 1/(AW171:BH171&lt;&gt;""), 1) - 1))/_xlfn.XLOOKUP(F171,Apuração!A:A,Apuração!B:B),0)</f>
        <v>32.700000000000003</v>
      </c>
      <c r="BM171" s="55" cm="1">
        <f t="array" ref="BM171">IFERROR(
   INDEX($AW$1:$BH$1,
      _xlfn.AGGREGATE(14, 6, COLUMN($AW$1:$BH$1)/(AW171:BH171&lt;&gt;""), 2) - COLUMN($AW$1) + 1
   ),
"")</f>
        <v>46082</v>
      </c>
      <c r="BN171" s="55" cm="1">
        <f t="array" ref="BN171">IFERROR(INDEX($AW$1:$BH$1,1,MATCH(2,1/(AW171:BH171&lt;&gt;""))),"")</f>
        <v>46113</v>
      </c>
      <c r="BO171" s="53">
        <f ca="1">IFERROR(_xlfn.XLOOKUP(F171,Apuração!A:A,Apuração!C:C)/_xlfn.XLOOKUP(F171,Apuração!A:A,Apuração!B:B),0)</f>
        <v>0.3</v>
      </c>
      <c r="BP171" s="53">
        <f ca="1">IFERROR(_xlfn.XLOOKUP(F171,Apuração!A:A,Apuração!D:D)/_xlfn.XLOOKUP(F171,Apuração!A:A,Apuração!B:B),0)</f>
        <v>0.2</v>
      </c>
      <c r="BQ171" s="53">
        <f ca="1">IF(BK171&gt;=BO171,0,_xlfn.XLOOKUP(F171,Apuração!A:A,Apuração!B:B)*(BO171 + (1/_xlfn.XLOOKUP(F171,Apuração!A:A,Apuração!B:B)) - BK171))</f>
        <v>0</v>
      </c>
      <c r="BR171" s="85">
        <f t="shared" ca="1" si="433"/>
        <v>0</v>
      </c>
      <c r="BS171" s="53">
        <f ca="1">IFERROR((_xlfn.XLOOKUP(F171,Apuração!A:A,Apuração!C:C)+1)/_xlfn.XLOOKUP(F171,Apuração!A:A,Apuração!B:B),0)</f>
        <v>0.4</v>
      </c>
    </row>
    <row r="172" spans="1:71" ht="25.95" hidden="1" customHeight="1" x14ac:dyDescent="0.3">
      <c r="A172" s="44" t="s">
        <v>175</v>
      </c>
      <c r="B172" s="4" t="s">
        <v>176</v>
      </c>
      <c r="C172" s="5" t="s">
        <v>35</v>
      </c>
      <c r="D172" s="5" t="s">
        <v>36</v>
      </c>
      <c r="E172" s="4" t="str" cm="1">
        <f t="array" ref="E172">_xlfn.IFS(
F172 = "A partir de Abril", "Aguardando Execução na Distribuidora",
A172 = "CAPACITAÇÃO", "Em execução no Corporativo",
TRUE, "Em Execução na Distribuidora"
)</f>
        <v>Em execução no Corporativo</v>
      </c>
      <c r="F172" s="4" t="str" cm="1">
        <f t="array" ref="F172">_xlfn.IFS(
AG172 &lt;&gt; "", "Jan-Dez/26",
AH172 &lt;&gt; "", "Fev-Dez/26",
AI172 &lt;&gt; "", "Mar-Dez/26", AJ172 &lt;&gt; "", "Abr-Dez/26",
TRUE, "A partir de Junho"
)</f>
        <v>Mar-Dez/26</v>
      </c>
      <c r="G172" s="4" t="s">
        <v>37</v>
      </c>
      <c r="H172" s="7" t="s">
        <v>38</v>
      </c>
      <c r="I172" s="21" t="s">
        <v>182</v>
      </c>
      <c r="J172" s="8" t="str" cm="1">
        <f t="array" aca="1" ref="J172" ca="1">_xlfn.LET(
  _xlpm.actual_value_month, INDEX(T172:AE172, MATCH(DATE(YEAR(TODAY()), MONTH(TODAY()), 1), $T$1:$AE$1, 0)),
  IF(_xlpm.actual_value_month &lt;&gt; "", _xlpm.actual_value_month &amp; " ações mensais", "")
)</f>
        <v/>
      </c>
      <c r="K172" s="8" t="str" cm="1">
        <f t="array" ref="K172">_xlfn.LET(
    _xlpm.sum_month, SUM(T172:AE172),
    IF(_xlpm.sum_month = 0, "", _xlpm.sum_month &amp; " taxa de aprovados")
)</f>
        <v>1678 taxa de aprovados</v>
      </c>
      <c r="L172" s="4" t="s">
        <v>183</v>
      </c>
      <c r="M172" s="13">
        <v>1</v>
      </c>
      <c r="N172" s="5" t="s">
        <v>51</v>
      </c>
      <c r="O172" s="5" t="s">
        <v>43</v>
      </c>
      <c r="P172" s="10" t="s">
        <v>44</v>
      </c>
      <c r="Q172" s="10" t="s">
        <v>44</v>
      </c>
      <c r="R172" s="11" t="s">
        <v>44</v>
      </c>
      <c r="S172" s="11" t="s">
        <v>44</v>
      </c>
      <c r="T172" s="22"/>
      <c r="U172" s="22"/>
      <c r="V172" s="22">
        <v>839</v>
      </c>
      <c r="W172" s="22">
        <v>839</v>
      </c>
      <c r="X172" s="22"/>
      <c r="Y172" s="22"/>
      <c r="Z172" s="22"/>
      <c r="AA172" s="22"/>
      <c r="AB172" s="22"/>
      <c r="AC172" s="22"/>
      <c r="AD172" s="22"/>
      <c r="AE172" s="22"/>
      <c r="AG172" s="71"/>
      <c r="AH172" s="71"/>
      <c r="AI172" s="71">
        <v>839</v>
      </c>
      <c r="AJ172" s="71">
        <v>839</v>
      </c>
      <c r="AK172" s="71"/>
      <c r="AL172" s="71"/>
      <c r="AM172" s="71"/>
      <c r="AN172" s="71"/>
      <c r="AO172" s="71"/>
      <c r="AP172" s="71"/>
      <c r="AQ172" s="71"/>
      <c r="AR172" s="71"/>
      <c r="AS172" s="94" cm="1">
        <f t="array" ref="AS172">IFERROR(INDEX(T172:AE172,1,MATCH(2,1/(T172:AE172&lt;&gt;""))),"")</f>
        <v>839</v>
      </c>
      <c r="AT172" s="95" cm="1">
        <f t="array" ref="AT172">IFERROR(INDEX(AJ172:AR172,1,MATCH(2,1/(AJ172:AR172&lt;&gt;""))),"")</f>
        <v>839</v>
      </c>
      <c r="AU172" s="97">
        <f t="shared" si="417"/>
        <v>839</v>
      </c>
      <c r="AW172" s="52">
        <f>IFERROR(IF(T172="",0,T172/AG172),0)</f>
        <v>0</v>
      </c>
      <c r="AX172" s="52">
        <f>IFERROR(IF(U172="",0,U172/AH172),0)</f>
        <v>0</v>
      </c>
      <c r="AY172" s="118">
        <f>IFERROR(IF(V172="",0,V172/AI172),0)</f>
        <v>1</v>
      </c>
      <c r="AZ172" s="118">
        <f>IFERROR(IF(W172="",0,W172/AJ172),0)</f>
        <v>1</v>
      </c>
      <c r="BA172" s="52"/>
      <c r="BB172" s="52"/>
      <c r="BC172" s="52"/>
      <c r="BD172" s="52"/>
      <c r="BE172" s="52"/>
      <c r="BF172" s="52"/>
      <c r="BG172" s="52"/>
      <c r="BH172" s="52"/>
      <c r="BI172" s="65" cm="1">
        <f t="array" ref="BI172">IFERROR(INDEX(AW172:BH172,1,MATCH(2,1/(AW172:BH172&lt;&gt;""))),"")</f>
        <v>1</v>
      </c>
      <c r="BJ172" s="68" cm="1">
        <f t="array" ref="BJ172">IF(BM172 = "", "",IFERROR(INDEX(AW172:BH172,1,MATCH(2,1/(AW172:BH172&lt;&gt;""),1)-1),""))</f>
        <v>1</v>
      </c>
      <c r="BK172" s="58" cm="1">
        <f t="array" ref="BK172">IFERROR(INDEX(AW172:BH172,1,MATCH(2,1/(AW172:BH172&lt;&gt;""))),"")</f>
        <v>1</v>
      </c>
      <c r="BL172" s="58" cm="1">
        <f t="array" ref="BL172">IFERROR(INDEX(AW172:BH172,1,MATCH(2,1/(AW172:BH172&lt;&gt;""),1)-1),"")</f>
        <v>1</v>
      </c>
      <c r="BM172" s="55" cm="1">
        <f t="array" ref="BM172">IFERROR(
   INDEX($AW$1:$BH$1,
      _xlfn.AGGREGATE(14, 6, COLUMN($AW$1:$BH$1)/(AW172:BH172&lt;&gt;""), 2) - COLUMN($AW$1) + 1
   ),
"")</f>
        <v>46082</v>
      </c>
      <c r="BN172" s="55" cm="1">
        <f t="array" ref="BN172">IFERROR(INDEX($AW$1:$BH$1,1,MATCH(2,1/(AW172:BH172&lt;&gt;""))),"")</f>
        <v>46113</v>
      </c>
      <c r="BO172" s="53">
        <f ca="1">IFERROR(_xlfn.XLOOKUP(F172,Apuração!A:A,Apuração!C:C)/_xlfn.XLOOKUP(F172,Apuração!A:A,Apuração!B:B),0)</f>
        <v>0.3</v>
      </c>
      <c r="BP172" s="53">
        <f ca="1">IFERROR(_xlfn.XLOOKUP(F172,Apuração!A:A,Apuração!D:D)/_xlfn.XLOOKUP(F172,Apuração!A:A,Apuração!B:B),0)</f>
        <v>0.2</v>
      </c>
      <c r="BQ172" s="53">
        <f ca="1">IF(BK172&gt;=BO172,0,_xlfn.XLOOKUP(F172,Apuração!A:A,Apuração!B:B)*(BO172 + (1/_xlfn.XLOOKUP(F172,Apuração!A:A,Apuração!B:B)) - BK172))</f>
        <v>0</v>
      </c>
      <c r="BR172" s="85">
        <f t="shared" ca="1" si="261"/>
        <v>0</v>
      </c>
      <c r="BS172" s="53">
        <f ca="1">IFERROR((_xlfn.XLOOKUP(F172,Apuração!A:A,Apuração!C:C)+1)/_xlfn.XLOOKUP(F172,Apuração!A:A,Apuração!B:B),0)</f>
        <v>0.4</v>
      </c>
    </row>
    <row r="173" spans="1:71" ht="25.95" hidden="1" customHeight="1" x14ac:dyDescent="0.3">
      <c r="A173" s="44" t="s">
        <v>175</v>
      </c>
      <c r="B173" s="4" t="s">
        <v>176</v>
      </c>
      <c r="C173" s="5" t="s">
        <v>35</v>
      </c>
      <c r="D173" s="5" t="s">
        <v>47</v>
      </c>
      <c r="E173" s="4" t="str" cm="1">
        <f t="array" ref="E173">_xlfn.IFS(
F173 = "A partir de Abril", "Aguardando Execução na Distribuidora",
A173 = "CAPACITAÇÃO", "Em execução no Corporativo",
TRUE, "Em Execução na Distribuidora"
)</f>
        <v>Em execução no Corporativo</v>
      </c>
      <c r="F173" s="4" t="str" cm="1">
        <f t="array" ref="F173">_xlfn.IFS(
AG173 &lt;&gt; "", "Jan-Dez/26",
AH173 &lt;&gt; "", "Fev-Dez/26",
AI173 &lt;&gt; "", "Mar-Dez/26", AJ173 &lt;&gt; "", "Abr-Dez/26",
TRUE, "A partir de Junho"
)</f>
        <v>Mar-Dez/26</v>
      </c>
      <c r="G173" s="4" t="s">
        <v>37</v>
      </c>
      <c r="H173" s="7" t="s">
        <v>38</v>
      </c>
      <c r="I173" s="21" t="s">
        <v>182</v>
      </c>
      <c r="J173" s="8" t="str" cm="1">
        <f t="array" aca="1" ref="J173" ca="1">_xlfn.LET(
  _xlpm.actual_value_month, INDEX(T173:AE173, MATCH(DATE(YEAR(TODAY()), MONTH(TODAY()), 1), $T$1:$AE$1, 0)),
  IF(_xlpm.actual_value_month &lt;&gt; "", _xlpm.actual_value_month &amp; " ações mensais", "")
)</f>
        <v/>
      </c>
      <c r="K173" s="8" t="str" cm="1">
        <f t="array" ref="K173">_xlfn.LET(
    _xlpm.sum_month, SUM(T173:AE173),
    IF(_xlpm.sum_month = 0, "", _xlpm.sum_month &amp; " taxa de aprovados")
)</f>
        <v>1024 taxa de aprovados</v>
      </c>
      <c r="L173" s="4" t="s">
        <v>183</v>
      </c>
      <c r="M173" s="13">
        <v>1</v>
      </c>
      <c r="N173" s="5" t="s">
        <v>51</v>
      </c>
      <c r="O173" s="5" t="s">
        <v>43</v>
      </c>
      <c r="P173" s="10" t="s">
        <v>44</v>
      </c>
      <c r="Q173" s="10" t="s">
        <v>44</v>
      </c>
      <c r="R173" s="11" t="s">
        <v>44</v>
      </c>
      <c r="S173" s="11" t="s">
        <v>44</v>
      </c>
      <c r="T173" s="22"/>
      <c r="U173" s="22"/>
      <c r="V173" s="143">
        <v>512</v>
      </c>
      <c r="W173" s="143">
        <v>512</v>
      </c>
      <c r="X173" s="22"/>
      <c r="Y173" s="22"/>
      <c r="Z173" s="22"/>
      <c r="AA173" s="22"/>
      <c r="AB173" s="22"/>
      <c r="AC173" s="22"/>
      <c r="AD173" s="22"/>
      <c r="AE173" s="22"/>
      <c r="AG173" s="71"/>
      <c r="AH173" s="71"/>
      <c r="AI173" s="82">
        <v>512</v>
      </c>
      <c r="AJ173" s="82">
        <v>512</v>
      </c>
      <c r="AK173" s="71"/>
      <c r="AL173" s="71"/>
      <c r="AM173" s="71"/>
      <c r="AN173" s="71"/>
      <c r="AO173" s="71"/>
      <c r="AP173" s="71"/>
      <c r="AQ173" s="71"/>
      <c r="AR173" s="71"/>
      <c r="AS173" s="94" cm="1">
        <f t="array" ref="AS173">IFERROR(INDEX(T173:AE173,1,MATCH(2,1/(T173:AE173&lt;&gt;""))),"")</f>
        <v>512</v>
      </c>
      <c r="AT173" s="95" cm="1">
        <f t="array" ref="AT173">IFERROR(INDEX(AJ173:AR173,1,MATCH(2,1/(AJ173:AR173&lt;&gt;""))),"")</f>
        <v>512</v>
      </c>
      <c r="AU173" s="97">
        <f t="shared" ref="AU173:AU174" si="434">AT173</f>
        <v>512</v>
      </c>
      <c r="AW173" s="52">
        <f t="shared" ref="AW173:AW174" si="435">IFERROR(IF(T173="",0,T173/AG173),0)</f>
        <v>0</v>
      </c>
      <c r="AX173" s="52">
        <f t="shared" ref="AX173:AX174" si="436">IFERROR(IF(U173="",0,U173/AH173),0)</f>
        <v>0</v>
      </c>
      <c r="AY173" s="118">
        <f t="shared" ref="AY173:AY174" si="437">IFERROR(IF(V173="",0,V173/AI173),0)</f>
        <v>1</v>
      </c>
      <c r="AZ173" s="118">
        <f t="shared" ref="AZ173:AZ174" si="438">IFERROR(IF(W173="",0,W173/AJ173),0)</f>
        <v>1</v>
      </c>
      <c r="BA173" s="52"/>
      <c r="BB173" s="52"/>
      <c r="BC173" s="52"/>
      <c r="BD173" s="52"/>
      <c r="BE173" s="52"/>
      <c r="BF173" s="52"/>
      <c r="BG173" s="52"/>
      <c r="BH173" s="52"/>
      <c r="BI173" s="65" cm="1">
        <f t="array" ref="BI173">IFERROR(INDEX(AW173:BH173,1,MATCH(2,1/(AW173:BH173&lt;&gt;""))),"")</f>
        <v>1</v>
      </c>
      <c r="BJ173" s="68" cm="1">
        <f t="array" ref="BJ173">IF(BM173 = "", "",IFERROR(INDEX(AW173:BH173,1,MATCH(2,1/(AW173:BH173&lt;&gt;""),1)-1),""))</f>
        <v>1</v>
      </c>
      <c r="BK173" s="58" cm="1">
        <f t="array" ref="BK173">IFERROR(INDEX(AW173:BH173,1,MATCH(2,1/(AW173:BH173&lt;&gt;""))),"")</f>
        <v>1</v>
      </c>
      <c r="BL173" s="58" cm="1">
        <f t="array" ref="BL173">IFERROR(INDEX(AW173:BH173,1,MATCH(2,1/(AW173:BH173&lt;&gt;""),1)-1),"")</f>
        <v>1</v>
      </c>
      <c r="BM173" s="55" cm="1">
        <f t="array" ref="BM173">IFERROR(
   INDEX($AW$1:$BH$1,
      _xlfn.AGGREGATE(14, 6, COLUMN($AW$1:$BH$1)/(AW173:BH173&lt;&gt;""), 2) - COLUMN($AW$1) + 1
   ),
"")</f>
        <v>46082</v>
      </c>
      <c r="BN173" s="55" cm="1">
        <f t="array" ref="BN173">IFERROR(INDEX($AW$1:$BH$1,1,MATCH(2,1/(AW173:BH173&lt;&gt;""))),"")</f>
        <v>46113</v>
      </c>
      <c r="BO173" s="53">
        <f ca="1">IFERROR(_xlfn.XLOOKUP(F173,Apuração!A:A,Apuração!C:C)/_xlfn.XLOOKUP(F173,Apuração!A:A,Apuração!B:B),0)</f>
        <v>0.3</v>
      </c>
      <c r="BP173" s="53">
        <f ca="1">IFERROR(_xlfn.XLOOKUP(F173,Apuração!A:A,Apuração!D:D)/_xlfn.XLOOKUP(F173,Apuração!A:A,Apuração!B:B),0)</f>
        <v>0.2</v>
      </c>
      <c r="BQ173" s="53">
        <f ca="1">IF(BK173&gt;=BO173,0,_xlfn.XLOOKUP(F173,Apuração!A:A,Apuração!B:B)*(BO173 + (1/_xlfn.XLOOKUP(F173,Apuração!A:A,Apuração!B:B)) - BK173))</f>
        <v>0</v>
      </c>
      <c r="BR173" s="85">
        <f t="shared" ref="BR173:BR174" ca="1" si="439">IF(BQ173=0,0,BQ173*Z173)</f>
        <v>0</v>
      </c>
      <c r="BS173" s="53">
        <f ca="1">IFERROR((_xlfn.XLOOKUP(F173,Apuração!A:A,Apuração!C:C)+1)/_xlfn.XLOOKUP(F173,Apuração!A:A,Apuração!B:B),0)</f>
        <v>0.4</v>
      </c>
    </row>
    <row r="174" spans="1:71" ht="25.95" hidden="1" customHeight="1" x14ac:dyDescent="0.3">
      <c r="A174" s="44" t="s">
        <v>175</v>
      </c>
      <c r="B174" s="4" t="s">
        <v>176</v>
      </c>
      <c r="C174" s="5" t="s">
        <v>35</v>
      </c>
      <c r="D174" s="5" t="s">
        <v>48</v>
      </c>
      <c r="E174" s="4" t="str" cm="1">
        <f t="array" ref="E174">_xlfn.IFS(
F174 = "A partir de Abril", "Aguardando Execução na Distribuidora",
A174 = "CAPACITAÇÃO", "Em execução no Corporativo",
TRUE, "Em Execução na Distribuidora"
)</f>
        <v>Em execução no Corporativo</v>
      </c>
      <c r="F174" s="4" t="str" cm="1">
        <f t="array" ref="F174">_xlfn.IFS(
AG174 &lt;&gt; "", "Jan-Dez/26",
AH174 &lt;&gt; "", "Fev-Dez/26",
AI174 &lt;&gt; "", "Mar-Dez/26", AJ174 &lt;&gt; "", "Abr-Dez/26",
TRUE, "A partir de Junho"
)</f>
        <v>Mar-Dez/26</v>
      </c>
      <c r="G174" s="4" t="s">
        <v>37</v>
      </c>
      <c r="H174" s="7" t="s">
        <v>38</v>
      </c>
      <c r="I174" s="21" t="s">
        <v>182</v>
      </c>
      <c r="J174" s="8" t="str" cm="1">
        <f t="array" aca="1" ref="J174" ca="1">_xlfn.LET(
  _xlpm.actual_value_month, INDEX(T174:AE174, MATCH(DATE(YEAR(TODAY()), MONTH(TODAY()), 1), $T$1:$AE$1, 0)),
  IF(_xlpm.actual_value_month &lt;&gt; "", _xlpm.actual_value_month &amp; " ações mensais", "")
)</f>
        <v/>
      </c>
      <c r="K174" s="8" t="str" cm="1">
        <f t="array" ref="K174">_xlfn.LET(
    _xlpm.sum_month, SUM(T174:AE174),
    IF(_xlpm.sum_month = 0, "", _xlpm.sum_month &amp; " taxa de aprovados")
)</f>
        <v>654 taxa de aprovados</v>
      </c>
      <c r="L174" s="4" t="s">
        <v>183</v>
      </c>
      <c r="M174" s="13">
        <v>1</v>
      </c>
      <c r="N174" s="5" t="s">
        <v>51</v>
      </c>
      <c r="O174" s="5" t="s">
        <v>43</v>
      </c>
      <c r="P174" s="10" t="s">
        <v>44</v>
      </c>
      <c r="Q174" s="10" t="s">
        <v>44</v>
      </c>
      <c r="R174" s="11" t="s">
        <v>44</v>
      </c>
      <c r="S174" s="11" t="s">
        <v>44</v>
      </c>
      <c r="T174" s="22"/>
      <c r="U174" s="22"/>
      <c r="V174" s="143">
        <v>327</v>
      </c>
      <c r="W174" s="143">
        <v>327</v>
      </c>
      <c r="X174" s="22"/>
      <c r="Y174" s="22"/>
      <c r="Z174" s="22"/>
      <c r="AA174" s="22"/>
      <c r="AB174" s="22"/>
      <c r="AC174" s="22"/>
      <c r="AD174" s="22"/>
      <c r="AE174" s="22"/>
      <c r="AG174" s="71"/>
      <c r="AH174" s="71"/>
      <c r="AI174" s="82">
        <v>327</v>
      </c>
      <c r="AJ174" s="82">
        <v>327</v>
      </c>
      <c r="AK174" s="71"/>
      <c r="AL174" s="71"/>
      <c r="AM174" s="71"/>
      <c r="AN174" s="71"/>
      <c r="AO174" s="71"/>
      <c r="AP174" s="71"/>
      <c r="AQ174" s="71"/>
      <c r="AR174" s="71"/>
      <c r="AS174" s="94" cm="1">
        <f t="array" ref="AS174">IFERROR(INDEX(T174:AE174,1,MATCH(2,1/(T174:AE174&lt;&gt;""))),"")</f>
        <v>327</v>
      </c>
      <c r="AT174" s="95" cm="1">
        <f t="array" ref="AT174">IFERROR(INDEX(AJ174:AR174,1,MATCH(2,1/(AJ174:AR174&lt;&gt;""))),"")</f>
        <v>327</v>
      </c>
      <c r="AU174" s="97">
        <f t="shared" si="434"/>
        <v>327</v>
      </c>
      <c r="AW174" s="52">
        <f t="shared" si="435"/>
        <v>0</v>
      </c>
      <c r="AX174" s="52">
        <f t="shared" si="436"/>
        <v>0</v>
      </c>
      <c r="AY174" s="118">
        <f t="shared" si="437"/>
        <v>1</v>
      </c>
      <c r="AZ174" s="118">
        <f t="shared" si="438"/>
        <v>1</v>
      </c>
      <c r="BA174" s="52"/>
      <c r="BB174" s="52"/>
      <c r="BC174" s="52"/>
      <c r="BD174" s="52"/>
      <c r="BE174" s="52"/>
      <c r="BF174" s="52"/>
      <c r="BG174" s="52"/>
      <c r="BH174" s="52"/>
      <c r="BI174" s="65" cm="1">
        <f t="array" ref="BI174">IFERROR(INDEX(AW174:BH174,1,MATCH(2,1/(AW174:BH174&lt;&gt;""))),"")</f>
        <v>1</v>
      </c>
      <c r="BJ174" s="68" cm="1">
        <f t="array" ref="BJ174">IF(BM174 = "", "",IFERROR(INDEX(AW174:BH174,1,MATCH(2,1/(AW174:BH174&lt;&gt;""),1)-1),""))</f>
        <v>1</v>
      </c>
      <c r="BK174" s="58" cm="1">
        <f t="array" ref="BK174">IFERROR(INDEX(AW174:BH174,1,MATCH(2,1/(AW174:BH174&lt;&gt;""))),"")</f>
        <v>1</v>
      </c>
      <c r="BL174" s="58" cm="1">
        <f t="array" ref="BL174">IFERROR(INDEX(AW174:BH174,1,MATCH(2,1/(AW174:BH174&lt;&gt;""),1)-1),"")</f>
        <v>1</v>
      </c>
      <c r="BM174" s="55" cm="1">
        <f t="array" ref="BM174">IFERROR(
   INDEX($AW$1:$BH$1,
      _xlfn.AGGREGATE(14, 6, COLUMN($AW$1:$BH$1)/(AW174:BH174&lt;&gt;""), 2) - COLUMN($AW$1) + 1
   ),
"")</f>
        <v>46082</v>
      </c>
      <c r="BN174" s="55" cm="1">
        <f t="array" ref="BN174">IFERROR(INDEX($AW$1:$BH$1,1,MATCH(2,1/(AW174:BH174&lt;&gt;""))),"")</f>
        <v>46113</v>
      </c>
      <c r="BO174" s="53">
        <f ca="1">IFERROR(_xlfn.XLOOKUP(F174,Apuração!A:A,Apuração!C:C)/_xlfn.XLOOKUP(F174,Apuração!A:A,Apuração!B:B),0)</f>
        <v>0.3</v>
      </c>
      <c r="BP174" s="53">
        <f ca="1">IFERROR(_xlfn.XLOOKUP(F174,Apuração!A:A,Apuração!D:D)/_xlfn.XLOOKUP(F174,Apuração!A:A,Apuração!B:B),0)</f>
        <v>0.2</v>
      </c>
      <c r="BQ174" s="53">
        <f ca="1">IF(BK174&gt;=BO174,0,_xlfn.XLOOKUP(F174,Apuração!A:A,Apuração!B:B)*(BO174 + (1/_xlfn.XLOOKUP(F174,Apuração!A:A,Apuração!B:B)) - BK174))</f>
        <v>0</v>
      </c>
      <c r="BR174" s="85">
        <f t="shared" ca="1" si="439"/>
        <v>0</v>
      </c>
      <c r="BS174" s="53">
        <f ca="1">IFERROR((_xlfn.XLOOKUP(F174,Apuração!A:A,Apuração!C:C)+1)/_xlfn.XLOOKUP(F174,Apuração!A:A,Apuração!B:B),0)</f>
        <v>0.4</v>
      </c>
    </row>
    <row r="175" spans="1:71" ht="25.95" hidden="1" customHeight="1" x14ac:dyDescent="0.3">
      <c r="A175" s="33" t="s">
        <v>175</v>
      </c>
      <c r="B175" s="4" t="s">
        <v>184</v>
      </c>
      <c r="C175" s="5" t="s">
        <v>35</v>
      </c>
      <c r="D175" s="5" t="s">
        <v>36</v>
      </c>
      <c r="E175" s="4" t="str" cm="1">
        <f t="array" ref="E175">_xlfn.IFS(
F175 = "A partir de Abril", "Aguardando Execução na Distribuidora",
A175 = "CAPACITAÇÃO", "Em execução no Corporativo",
TRUE, "Em Execução na Distribuidora"
)</f>
        <v>Em execução no Corporativo</v>
      </c>
      <c r="F175" s="4" t="str" cm="1">
        <f t="array" ref="F175">_xlfn.IFS(
AG175 &lt;&gt; "", "Jan-Dez/26",
AH175 &lt;&gt; "", "Fev-Dez/26",
AI175 &lt;&gt; "", "Mar-Dez/26", AJ175 &lt;&gt; "", "Abr-Dez/26",
TRUE, "A partir de Junho"
)</f>
        <v>Mar-Dez/26</v>
      </c>
      <c r="G175" s="4" t="s">
        <v>37</v>
      </c>
      <c r="H175" s="7" t="s">
        <v>38</v>
      </c>
      <c r="I175" s="8" t="s">
        <v>177</v>
      </c>
      <c r="J175" s="8" t="str" cm="1">
        <f t="array" aca="1" ref="J175" ca="1">_xlfn.LET(
  _xlpm.actual_value_month, INDEX(T175:AE175, MATCH(DATE(YEAR(TODAY()), MONTH(TODAY()), 1), $T$1:$AE$1, 0)),
  IF(_xlpm.actual_value_month &lt;&gt; "", _xlpm.actual_value_month &amp; " certificados mensais", "")
)</f>
        <v>1611 certificados mensais</v>
      </c>
      <c r="K175" s="8" t="str">
        <f>_xlfn.LET(
    _xlpm.month, AC175,
    IF(_xlpm.month = 0, "", _xlpm.month &amp; " meta de certificados anuais")
)</f>
        <v>1744 meta de certificados anuais</v>
      </c>
      <c r="L175" s="9" t="s">
        <v>185</v>
      </c>
      <c r="M175" s="13">
        <v>1</v>
      </c>
      <c r="N175" s="5" t="s">
        <v>42</v>
      </c>
      <c r="O175" s="5" t="s">
        <v>43</v>
      </c>
      <c r="P175" s="10" t="s">
        <v>146</v>
      </c>
      <c r="Q175" s="10" t="s">
        <v>44</v>
      </c>
      <c r="R175" s="11" t="s">
        <v>179</v>
      </c>
      <c r="S175" s="11" t="s">
        <v>67</v>
      </c>
      <c r="T175" s="22"/>
      <c r="U175" s="22"/>
      <c r="V175" s="22">
        <v>1469</v>
      </c>
      <c r="W175" s="22">
        <v>1552</v>
      </c>
      <c r="X175" s="22">
        <v>1555</v>
      </c>
      <c r="Y175" s="22">
        <v>1611</v>
      </c>
      <c r="Z175" s="22">
        <v>1660</v>
      </c>
      <c r="AA175" s="22">
        <v>1702</v>
      </c>
      <c r="AB175" s="22">
        <v>1726</v>
      </c>
      <c r="AC175" s="22">
        <v>1744</v>
      </c>
      <c r="AD175" s="22"/>
      <c r="AE175" s="22"/>
      <c r="AG175" s="71"/>
      <c r="AH175" s="71"/>
      <c r="AI175" s="71">
        <v>1469</v>
      </c>
      <c r="AJ175" s="71">
        <v>1493</v>
      </c>
      <c r="AK175" s="71"/>
      <c r="AL175" s="71"/>
      <c r="AM175" s="71"/>
      <c r="AN175" s="71"/>
      <c r="AO175" s="71"/>
      <c r="AP175" s="71"/>
      <c r="AQ175" s="71"/>
      <c r="AR175" s="71"/>
      <c r="AS175" s="94" cm="1">
        <f t="array" ref="AS175">IFERROR(INDEX(T175:AE175,1,MATCH(2,1/(T175:AE175&lt;&gt;""))),"")</f>
        <v>1744</v>
      </c>
      <c r="AT175" s="95" cm="1">
        <f t="array" ref="AT175">IFERROR(INDEX(AJ175:AR175,1,MATCH(2,1/(AJ175:AR175&lt;&gt;""))),"")</f>
        <v>1493</v>
      </c>
      <c r="AU175" s="97">
        <f t="shared" si="417"/>
        <v>1493</v>
      </c>
      <c r="AW175" s="51">
        <f t="shared" ref="AW175" si="440">IFERROR(IF(AG175="",0,AG175/$AD175),0)</f>
        <v>0</v>
      </c>
      <c r="AX175" s="51">
        <f t="shared" ref="AX175" si="441">IFERROR(IF(AH175="",0,AH175/$AD175),0)</f>
        <v>0</v>
      </c>
      <c r="AY175" s="51">
        <f>IFERROR(IF(AI175="",0,AI175/$AC175),0)</f>
        <v>0.84231651376146788</v>
      </c>
      <c r="AZ175" s="51">
        <f>IFERROR(IF(AJ175="",0,AJ175/$AC175),0)</f>
        <v>0.85607798165137616</v>
      </c>
      <c r="BA175" s="51"/>
      <c r="BB175" s="51"/>
      <c r="BC175" s="51"/>
      <c r="BD175" s="51"/>
      <c r="BE175" s="51"/>
      <c r="BF175" s="51"/>
      <c r="BG175" s="51"/>
      <c r="BH175" s="51"/>
      <c r="BI175" s="65" cm="1">
        <f t="array" ref="BI175">IFERROR(INDEX(AW175:BH175,1,MATCH(2,1/(AW175:BH175&lt;&gt;""))),"")</f>
        <v>0.85607798165137616</v>
      </c>
      <c r="BJ175" s="68" cm="1">
        <f t="array" ref="BJ175">IF(BM175 = "", "",IFERROR(INDEX(AW175:BH175,1,MATCH(2,1/(AW175:BH175&lt;&gt;""),1)-1),""))</f>
        <v>0.84231651376146788</v>
      </c>
      <c r="BK175" s="58" cm="1">
        <f t="array" ref="BK175">IFERROR(INDEX(AW175:BH175,1,MATCH(2,1/(AW175:BH175&lt;&gt;""))),"")</f>
        <v>0.85607798165137616</v>
      </c>
      <c r="BL175" s="58" cm="1">
        <f t="array" ref="BL175">IFERROR(INDEX(AW175:BH175,1,MATCH(2,1/(AW175:BH175&lt;&gt;""),1)-1),"")</f>
        <v>0.84231651376146788</v>
      </c>
      <c r="BM175" s="55" cm="1">
        <f t="array" ref="BM175">IFERROR(
   INDEX($AW$1:$BH$1,
      _xlfn.AGGREGATE(14, 6, COLUMN($AW$1:$BH$1)/(AW175:BH175&lt;&gt;""), 2) - COLUMN($AW$1) + 1
   ),
"")</f>
        <v>46082</v>
      </c>
      <c r="BN175" s="55" cm="1">
        <f t="array" ref="BN175">IFERROR(INDEX($AW$1:$BH$1,1,MATCH(2,1/(AW175:BH175&lt;&gt;""))),"")</f>
        <v>46113</v>
      </c>
      <c r="BO175" s="119" cm="1">
        <f t="array" aca="1" ref="BO175" ca="1">_xlfn.LET(
    _xlpm.mes_num, MONTH(TODAY())-1,
    _xlpm.coluna_ajustada, IF(_xlpm.mes_num=0, 12, _xlpm.mes_num),
    _xlpm.realizado_mes_anterior, INDEX(T175:AE175, 1, _xlpm.coluna_ajustada),
    _xlpm.previsto_total, AC175,
    _xlpm.realizado_mes_anterior / _xlpm.previsto_total
)</f>
        <v>0.89162844036697253</v>
      </c>
      <c r="BP175" s="53">
        <f ca="1">IFERROR(_xlfn.XLOOKUP(F175,Apuração!A:A,Apuração!D:D)/_xlfn.XLOOKUP(F175,Apuração!A:A,Apuração!B:B),0)</f>
        <v>0.2</v>
      </c>
      <c r="BQ175" s="53">
        <f ca="1">IF(BK175&gt;=BO175,0,_xlfn.XLOOKUP(F175,Apuração!A:A,Apuração!B:B)*(BO175 + (1/_xlfn.XLOOKUP(F175,Apuração!A:A,Apuração!B:B)) - BK175))</f>
        <v>1.3555045871559634</v>
      </c>
      <c r="BR175" s="85">
        <f t="shared" ca="1" si="261"/>
        <v>2250.1376146788994</v>
      </c>
      <c r="BS175" s="53">
        <f ca="1">IFERROR((_xlfn.XLOOKUP(F175,Apuração!A:A,Apuração!C:C)+1)/_xlfn.XLOOKUP(F175,Apuração!A:A,Apuração!B:B),0)</f>
        <v>0.4</v>
      </c>
    </row>
    <row r="176" spans="1:71" ht="25.95" hidden="1" customHeight="1" x14ac:dyDescent="0.3">
      <c r="A176" s="33" t="s">
        <v>175</v>
      </c>
      <c r="B176" s="4" t="s">
        <v>184</v>
      </c>
      <c r="C176" s="5" t="s">
        <v>35</v>
      </c>
      <c r="D176" s="5" t="s">
        <v>47</v>
      </c>
      <c r="E176" s="4" t="str" cm="1">
        <f t="array" ref="E176">_xlfn.IFS(
F176 = "A partir de Abril", "Aguardando Execução na Distribuidora",
A176 = "CAPACITAÇÃO", "Em execução no Corporativo",
TRUE, "Em Execução na Distribuidora"
)</f>
        <v>Em execução no Corporativo</v>
      </c>
      <c r="F176" s="4" t="str" cm="1">
        <f t="array" ref="F176">_xlfn.IFS(
AG176 &lt;&gt; "", "Jan-Dez/26",
AH176 &lt;&gt; "", "Fev-Dez/26",
AI176 &lt;&gt; "", "Mar-Dez/26", AJ176 &lt;&gt; "", "Abr-Dez/26",
TRUE, "A partir de Junho"
)</f>
        <v>Mar-Dez/26</v>
      </c>
      <c r="G176" s="4" t="s">
        <v>37</v>
      </c>
      <c r="H176" s="7" t="s">
        <v>38</v>
      </c>
      <c r="I176" s="8" t="s">
        <v>177</v>
      </c>
      <c r="J176" s="8" t="str" cm="1">
        <f t="array" aca="1" ref="J176" ca="1">_xlfn.LET(
  _xlpm.actual_value_month, INDEX(T176:AE176, MATCH(DATE(YEAR(TODAY()), MONTH(TODAY()), 1), $T$1:$AE$1, 0)),
  IF(_xlpm.actual_value_month &lt;&gt; "", _xlpm.actual_value_month &amp; " certificados mensais", "")
)</f>
        <v>1034 certificados mensais</v>
      </c>
      <c r="K176" s="8" t="str">
        <f>_xlfn.LET(
    _xlpm.month, AC176,
    IF(_xlpm.month = 0, "", _xlpm.month &amp; " meta de certificados anuais")
)</f>
        <v>1128 meta de certificados anuais</v>
      </c>
      <c r="L176" s="9" t="s">
        <v>185</v>
      </c>
      <c r="M176" s="13">
        <v>1</v>
      </c>
      <c r="N176" s="5" t="s">
        <v>42</v>
      </c>
      <c r="O176" s="5" t="s">
        <v>43</v>
      </c>
      <c r="P176" s="10" t="s">
        <v>146</v>
      </c>
      <c r="Q176" s="10" t="s">
        <v>44</v>
      </c>
      <c r="R176" s="11" t="s">
        <v>179</v>
      </c>
      <c r="S176" s="11" t="s">
        <v>67</v>
      </c>
      <c r="T176" s="143"/>
      <c r="U176" s="143"/>
      <c r="V176" s="143">
        <v>934</v>
      </c>
      <c r="W176" s="143">
        <v>958</v>
      </c>
      <c r="X176" s="143">
        <v>992</v>
      </c>
      <c r="Y176" s="22">
        <v>1034</v>
      </c>
      <c r="Z176" s="22">
        <v>1067</v>
      </c>
      <c r="AA176" s="22">
        <v>1099</v>
      </c>
      <c r="AB176" s="22">
        <v>1113</v>
      </c>
      <c r="AC176" s="22">
        <v>1128</v>
      </c>
      <c r="AD176" s="22">
        <v>1128</v>
      </c>
      <c r="AE176" s="143"/>
      <c r="AG176" s="82"/>
      <c r="AH176" s="82"/>
      <c r="AI176" s="82">
        <v>954</v>
      </c>
      <c r="AJ176" s="82">
        <v>954</v>
      </c>
      <c r="AK176" s="71"/>
      <c r="AL176" s="71"/>
      <c r="AM176" s="71"/>
      <c r="AN176" s="71"/>
      <c r="AO176" s="71"/>
      <c r="AP176" s="71"/>
      <c r="AQ176" s="71"/>
      <c r="AR176" s="71"/>
      <c r="AS176" s="94" cm="1">
        <f t="array" ref="AS176">IFERROR(INDEX(T176:AE176,1,MATCH(2,1/(T176:AE176&lt;&gt;""))),"")</f>
        <v>1128</v>
      </c>
      <c r="AT176" s="95" cm="1">
        <f t="array" ref="AT176">IFERROR(INDEX(AJ176:AR176,1,MATCH(2,1/(AJ176:AR176&lt;&gt;""))),"")</f>
        <v>954</v>
      </c>
      <c r="AU176" s="97">
        <f t="shared" ref="AU176:AU177" si="442">AT176</f>
        <v>954</v>
      </c>
      <c r="AW176" s="51">
        <f t="shared" ref="AW176:AW177" si="443">IFERROR(IF(AG176="",0,AG176/$AD176),0)</f>
        <v>0</v>
      </c>
      <c r="AX176" s="51">
        <f t="shared" ref="AX176:AX177" si="444">IFERROR(IF(AH176="",0,AH176/$AD176),0)</f>
        <v>0</v>
      </c>
      <c r="AY176" s="51">
        <f t="shared" ref="AY176:AY177" si="445">IFERROR(IF(AI176="",0,AI176/$AC176),0)</f>
        <v>0.8457446808510638</v>
      </c>
      <c r="AZ176" s="51">
        <f t="shared" ref="AZ176:AZ177" si="446">IFERROR(IF(AJ176="",0,AJ176/$AC176),0)</f>
        <v>0.8457446808510638</v>
      </c>
      <c r="BA176" s="51"/>
      <c r="BB176" s="51"/>
      <c r="BC176" s="51"/>
      <c r="BD176" s="51"/>
      <c r="BE176" s="51"/>
      <c r="BF176" s="51"/>
      <c r="BG176" s="51"/>
      <c r="BH176" s="51"/>
      <c r="BI176" s="65" cm="1">
        <f t="array" ref="BI176">IFERROR(INDEX(AW176:BH176,1,MATCH(2,1/(AW176:BH176&lt;&gt;""))),"")</f>
        <v>0.8457446808510638</v>
      </c>
      <c r="BJ176" s="68" cm="1">
        <f t="array" ref="BJ176">IF(BM176 = "", "",IFERROR(INDEX(AW176:BH176,1,MATCH(2,1/(AW176:BH176&lt;&gt;""),1)-1),""))</f>
        <v>0.8457446808510638</v>
      </c>
      <c r="BK176" s="58" cm="1">
        <f t="array" ref="BK176">IFERROR(INDEX(AW176:BH176,1,MATCH(2,1/(AW176:BH176&lt;&gt;""))),"")</f>
        <v>0.8457446808510638</v>
      </c>
      <c r="BL176" s="58" cm="1">
        <f t="array" ref="BL176">IFERROR(INDEX(AW176:BH176,1,MATCH(2,1/(AW176:BH176&lt;&gt;""),1)-1),"")</f>
        <v>0.8457446808510638</v>
      </c>
      <c r="BM176" s="55" cm="1">
        <f t="array" ref="BM176">IFERROR(
   INDEX($AW$1:$BH$1,
      _xlfn.AGGREGATE(14, 6, COLUMN($AW$1:$BH$1)/(AW176:BH176&lt;&gt;""), 2) - COLUMN($AW$1) + 1
   ),
"")</f>
        <v>46082</v>
      </c>
      <c r="BN176" s="55" cm="1">
        <f t="array" ref="BN176">IFERROR(INDEX($AW$1:$BH$1,1,MATCH(2,1/(AW176:BH176&lt;&gt;""))),"")</f>
        <v>46113</v>
      </c>
      <c r="BO176" s="119" cm="1">
        <f t="array" aca="1" ref="BO176" ca="1">_xlfn.LET(
    _xlpm.mes_num, MONTH(TODAY())-1,
    _xlpm.coluna_ajustada, IF(_xlpm.mes_num=0, 12, _xlpm.mes_num),
    _xlpm.realizado_mes_anterior, INDEX(T176:AE176, 1, _xlpm.coluna_ajustada),
    _xlpm.previsto_total, AC176,
    _xlpm.realizado_mes_anterior / _xlpm.previsto_total
)</f>
        <v>0.87943262411347523</v>
      </c>
      <c r="BP176" s="53">
        <f ca="1">IFERROR(_xlfn.XLOOKUP(F176,Apuração!A:A,Apuração!D:D)/_xlfn.XLOOKUP(F176,Apuração!A:A,Apuração!B:B),0)</f>
        <v>0.2</v>
      </c>
      <c r="BQ176" s="53">
        <f ca="1">IF(BK176&gt;=BO176,0,_xlfn.XLOOKUP(F176,Apuração!A:A,Apuração!B:B)*(BO176 + (1/_xlfn.XLOOKUP(F176,Apuração!A:A,Apuração!B:B)) - BK176))</f>
        <v>1.336879432624114</v>
      </c>
      <c r="BR176" s="85">
        <f t="shared" ref="BR176:BR177" ca="1" si="447">IF(BQ176=0,0,BQ176*Z176)</f>
        <v>1426.4503546099297</v>
      </c>
      <c r="BS176" s="53">
        <f ca="1">IFERROR((_xlfn.XLOOKUP(F176,Apuração!A:A,Apuração!C:C)+1)/_xlfn.XLOOKUP(F176,Apuração!A:A,Apuração!B:B),0)</f>
        <v>0.4</v>
      </c>
    </row>
    <row r="177" spans="1:71" ht="25.95" hidden="1" customHeight="1" x14ac:dyDescent="0.3">
      <c r="A177" s="33" t="s">
        <v>175</v>
      </c>
      <c r="B177" s="4" t="s">
        <v>184</v>
      </c>
      <c r="C177" s="5" t="s">
        <v>35</v>
      </c>
      <c r="D177" s="5" t="s">
        <v>48</v>
      </c>
      <c r="E177" s="4" t="str" cm="1">
        <f t="array" ref="E177">_xlfn.IFS(
F177 = "A partir de Abril", "Aguardando Execução na Distribuidora",
A177 = "CAPACITAÇÃO", "Em execução no Corporativo",
TRUE, "Em Execução na Distribuidora"
)</f>
        <v>Em execução no Corporativo</v>
      </c>
      <c r="F177" s="4" t="str" cm="1">
        <f t="array" ref="F177">_xlfn.IFS(
AG177 &lt;&gt; "", "Jan-Dez/26",
AH177 &lt;&gt; "", "Fev-Dez/26",
AI177 &lt;&gt; "", "Mar-Dez/26", AJ177 &lt;&gt; "", "Abr-Dez/26",
TRUE, "A partir de Junho"
)</f>
        <v>Mar-Dez/26</v>
      </c>
      <c r="G177" s="4" t="s">
        <v>37</v>
      </c>
      <c r="H177" s="7" t="s">
        <v>38</v>
      </c>
      <c r="I177" s="8" t="s">
        <v>177</v>
      </c>
      <c r="J177" s="8" t="str" cm="1">
        <f t="array" aca="1" ref="J177" ca="1">_xlfn.LET(
  _xlpm.actual_value_month, INDEX(T177:AE177, MATCH(DATE(YEAR(TODAY()), MONTH(TODAY()), 1), $T$1:$AE$1, 0)),
  IF(_xlpm.actual_value_month &lt;&gt; "", _xlpm.actual_value_month &amp; " certificados mensais", "")
)</f>
        <v>584 certificados mensais</v>
      </c>
      <c r="K177" s="8" t="str">
        <f>_xlfn.LET(
    _xlpm.month, AC177,
    IF(_xlpm.month = 0, "", _xlpm.month &amp; " meta de certificados anuais")
)</f>
        <v>624 meta de certificados anuais</v>
      </c>
      <c r="L177" s="9" t="s">
        <v>185</v>
      </c>
      <c r="M177" s="13">
        <v>1</v>
      </c>
      <c r="N177" s="5" t="s">
        <v>42</v>
      </c>
      <c r="O177" s="5" t="s">
        <v>43</v>
      </c>
      <c r="P177" s="10" t="s">
        <v>146</v>
      </c>
      <c r="Q177" s="10" t="s">
        <v>44</v>
      </c>
      <c r="R177" s="11" t="s">
        <v>179</v>
      </c>
      <c r="S177" s="11" t="s">
        <v>67</v>
      </c>
      <c r="T177" s="143"/>
      <c r="U177" s="143"/>
      <c r="V177" s="143">
        <v>535</v>
      </c>
      <c r="W177" s="143">
        <v>551</v>
      </c>
      <c r="X177" s="143">
        <v>567</v>
      </c>
      <c r="Y177" s="143">
        <v>584</v>
      </c>
      <c r="Z177" s="143">
        <v>599</v>
      </c>
      <c r="AA177" s="143">
        <v>609</v>
      </c>
      <c r="AB177" s="143">
        <v>619</v>
      </c>
      <c r="AC177" s="143">
        <v>624</v>
      </c>
      <c r="AD177" s="143">
        <v>624</v>
      </c>
      <c r="AE177" s="143"/>
      <c r="AG177" s="82"/>
      <c r="AH177" s="82"/>
      <c r="AI177" s="82">
        <v>539</v>
      </c>
      <c r="AJ177" s="82">
        <v>539</v>
      </c>
      <c r="AK177" s="71"/>
      <c r="AL177" s="71"/>
      <c r="AM177" s="71"/>
      <c r="AN177" s="71"/>
      <c r="AO177" s="71"/>
      <c r="AP177" s="71"/>
      <c r="AQ177" s="71"/>
      <c r="AR177" s="71"/>
      <c r="AS177" s="94" cm="1">
        <f t="array" ref="AS177">IFERROR(INDEX(T177:AE177,1,MATCH(2,1/(T177:AE177&lt;&gt;""))),"")</f>
        <v>624</v>
      </c>
      <c r="AT177" s="95" cm="1">
        <f t="array" ref="AT177">IFERROR(INDEX(AJ177:AR177,1,MATCH(2,1/(AJ177:AR177&lt;&gt;""))),"")</f>
        <v>539</v>
      </c>
      <c r="AU177" s="97">
        <f t="shared" si="442"/>
        <v>539</v>
      </c>
      <c r="AW177" s="51">
        <f t="shared" si="443"/>
        <v>0</v>
      </c>
      <c r="AX177" s="51">
        <f t="shared" si="444"/>
        <v>0</v>
      </c>
      <c r="AY177" s="51">
        <f t="shared" si="445"/>
        <v>0.86378205128205132</v>
      </c>
      <c r="AZ177" s="51">
        <f t="shared" si="446"/>
        <v>0.86378205128205132</v>
      </c>
      <c r="BA177" s="51"/>
      <c r="BB177" s="51"/>
      <c r="BC177" s="51"/>
      <c r="BD177" s="51"/>
      <c r="BE177" s="51"/>
      <c r="BF177" s="51"/>
      <c r="BG177" s="51"/>
      <c r="BH177" s="51"/>
      <c r="BI177" s="65" cm="1">
        <f t="array" ref="BI177">IFERROR(INDEX(AW177:BH177,1,MATCH(2,1/(AW177:BH177&lt;&gt;""))),"")</f>
        <v>0.86378205128205132</v>
      </c>
      <c r="BJ177" s="68" cm="1">
        <f t="array" ref="BJ177">IF(BM177 = "", "",IFERROR(INDEX(AW177:BH177,1,MATCH(2,1/(AW177:BH177&lt;&gt;""),1)-1),""))</f>
        <v>0.86378205128205132</v>
      </c>
      <c r="BK177" s="58" cm="1">
        <f t="array" ref="BK177">IFERROR(INDEX(AW177:BH177,1,MATCH(2,1/(AW177:BH177&lt;&gt;""))),"")</f>
        <v>0.86378205128205132</v>
      </c>
      <c r="BL177" s="58" cm="1">
        <f t="array" ref="BL177">IFERROR(INDEX(AW177:BH177,1,MATCH(2,1/(AW177:BH177&lt;&gt;""),1)-1),"")</f>
        <v>0.86378205128205132</v>
      </c>
      <c r="BM177" s="55" cm="1">
        <f t="array" ref="BM177">IFERROR(
   INDEX($AW$1:$BH$1,
      _xlfn.AGGREGATE(14, 6, COLUMN($AW$1:$BH$1)/(AW177:BH177&lt;&gt;""), 2) - COLUMN($AW$1) + 1
   ),
"")</f>
        <v>46082</v>
      </c>
      <c r="BN177" s="55" cm="1">
        <f t="array" ref="BN177">IFERROR(INDEX($AW$1:$BH$1,1,MATCH(2,1/(AW177:BH177&lt;&gt;""))),"")</f>
        <v>46113</v>
      </c>
      <c r="BO177" s="119" cm="1">
        <f t="array" aca="1" ref="BO177" ca="1">_xlfn.LET(
    _xlpm.mes_num, MONTH(TODAY())-1,
    _xlpm.coluna_ajustada, IF(_xlpm.mes_num=0, 12, _xlpm.mes_num),
    _xlpm.realizado_mes_anterior, INDEX(T177:AE177, 1, _xlpm.coluna_ajustada),
    _xlpm.previsto_total, AC177,
    _xlpm.realizado_mes_anterior / _xlpm.previsto_total
)</f>
        <v>0.90865384615384615</v>
      </c>
      <c r="BP177" s="53">
        <f ca="1">IFERROR(_xlfn.XLOOKUP(F177,Apuração!A:A,Apuração!D:D)/_xlfn.XLOOKUP(F177,Apuração!A:A,Apuração!B:B),0)</f>
        <v>0.2</v>
      </c>
      <c r="BQ177" s="53">
        <f ca="1">IF(BK177&gt;=BO177,0,_xlfn.XLOOKUP(F177,Apuração!A:A,Apuração!B:B)*(BO177 + (1/_xlfn.XLOOKUP(F177,Apuração!A:A,Apuração!B:B)) - BK177))</f>
        <v>1.448717948717948</v>
      </c>
      <c r="BR177" s="85">
        <f t="shared" ca="1" si="447"/>
        <v>867.78205128205082</v>
      </c>
      <c r="BS177" s="53">
        <f ca="1">IFERROR((_xlfn.XLOOKUP(F177,Apuração!A:A,Apuração!C:C)+1)/_xlfn.XLOOKUP(F177,Apuração!A:A,Apuração!B:B),0)</f>
        <v>0.4</v>
      </c>
    </row>
    <row r="178" spans="1:71" ht="25.95" hidden="1" customHeight="1" x14ac:dyDescent="0.3">
      <c r="A178" s="44" t="s">
        <v>175</v>
      </c>
      <c r="B178" s="4" t="s">
        <v>184</v>
      </c>
      <c r="C178" s="5" t="s">
        <v>35</v>
      </c>
      <c r="D178" s="5" t="s">
        <v>36</v>
      </c>
      <c r="E178" s="4" t="str" cm="1">
        <f t="array" ref="E178">_xlfn.IFS(
F178 = "A partir de Abril", "Aguardando Execução na Distribuidora",
A178 = "CAPACITAÇÃO", "Em execução no Corporativo",
TRUE, "Em Execução na Distribuidora"
)</f>
        <v>Em execução no Corporativo</v>
      </c>
      <c r="F178" s="4" t="str" cm="1">
        <f t="array" ref="F178">_xlfn.IFS(
AG178 &lt;&gt; "", "Jan-Dez/26",
AH178 &lt;&gt; "", "Fev-Dez/26",
AI178 &lt;&gt; "", "Mar-Dez/26", AJ178 &lt;&gt; "", "Abr-Dez/26",
TRUE, "A partir de Junho"
)</f>
        <v>Mar-Dez/26</v>
      </c>
      <c r="G178" s="4" t="s">
        <v>37</v>
      </c>
      <c r="H178" s="7" t="s">
        <v>38</v>
      </c>
      <c r="I178" s="21" t="s">
        <v>180</v>
      </c>
      <c r="J178" s="8" t="str" cm="1">
        <f t="array" aca="1" ref="J178" ca="1">_xlfn.LET(
  _xlpm.actual_value_month, INDEX(T178:AE178, MATCH(DATE(YEAR(TODAY()), MONTH(TODAY()), 1), $T$1:$AE$1, 0)),
  IF(_xlpm.actual_value_month &lt;&gt; "", _xlpm.actual_value_month &amp; " ações mensais", "")
)</f>
        <v/>
      </c>
      <c r="K178" s="8" t="str" cm="1">
        <f t="array" ref="K178">_xlfn.LET(
    _xlpm.sum_month, SUM(T178:AE178),
    IF(_xlpm.sum_month = 0, "", _xlpm.sum_month &amp; " colaboradores treinados.")
)</f>
        <v/>
      </c>
      <c r="L178" s="9" t="s">
        <v>181</v>
      </c>
      <c r="M178" s="13">
        <v>1</v>
      </c>
      <c r="N178" s="5" t="s">
        <v>51</v>
      </c>
      <c r="O178" s="5" t="s">
        <v>52</v>
      </c>
      <c r="P178" s="10" t="s">
        <v>146</v>
      </c>
      <c r="Q178" s="10" t="s">
        <v>44</v>
      </c>
      <c r="R178" s="11" t="s">
        <v>44</v>
      </c>
      <c r="S178" s="11" t="s">
        <v>44</v>
      </c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G178" s="71"/>
      <c r="AH178" s="71"/>
      <c r="AI178" s="71">
        <v>1469</v>
      </c>
      <c r="AJ178" s="71">
        <v>1493</v>
      </c>
      <c r="AK178" s="71"/>
      <c r="AL178" s="71"/>
      <c r="AM178" s="71"/>
      <c r="AN178" s="71"/>
      <c r="AO178" s="71"/>
      <c r="AP178" s="71"/>
      <c r="AQ178" s="71"/>
      <c r="AR178" s="71"/>
      <c r="AS178" s="94" t="str" cm="1">
        <f t="array" ref="AS178">IFERROR(INDEX(T178:AE178,1,MATCH(2,1/(T178:AE178&lt;&gt;""))),"")</f>
        <v/>
      </c>
      <c r="AT178" s="95" cm="1">
        <f t="array" ref="AT178">IFERROR(INDEX(AJ178:AR178,1,MATCH(2,1/(AJ178:AR178&lt;&gt;""))),"")</f>
        <v>1493</v>
      </c>
      <c r="AU178" s="97">
        <f t="shared" si="417"/>
        <v>1493</v>
      </c>
      <c r="AW178" s="83">
        <f>AG178</f>
        <v>0</v>
      </c>
      <c r="AX178" s="52">
        <f t="shared" ref="AX178" si="448">AH178</f>
        <v>0</v>
      </c>
      <c r="AY178" s="52">
        <f t="shared" ref="AY178:AZ178" si="449">AI178</f>
        <v>1469</v>
      </c>
      <c r="AZ178" s="52">
        <f t="shared" si="449"/>
        <v>1493</v>
      </c>
      <c r="BA178" s="52"/>
      <c r="BB178" s="52"/>
      <c r="BC178" s="52"/>
      <c r="BD178" s="52"/>
      <c r="BE178" s="52"/>
      <c r="BF178" s="52"/>
      <c r="BG178" s="52"/>
      <c r="BH178" s="52"/>
      <c r="BI178" s="68" cm="1">
        <f t="array" ref="BI178">IFERROR(INDEX(AW178:BH178,1,MATCH(2,1/(AW178:BH178&lt;&gt;""))),"")</f>
        <v>1493</v>
      </c>
      <c r="BJ178" s="68" cm="1">
        <f t="array" ref="BJ178">IF(BM178 = "", "",IFERROR(INDEX(AW178:BH178,1,MATCH(2,1/(AW178:BH178&lt;&gt;""),1)-1),""))</f>
        <v>1469</v>
      </c>
      <c r="BK178" s="59">
        <f>SUM(AW178:BH178)</f>
        <v>2962</v>
      </c>
      <c r="BL178" s="59" cm="1">
        <f t="array" ref="BL178">IFERROR(SUM(AW178:INDEX(AW178:BH178, MATCH(2, 1/(AW178:BH178&lt;&gt;""), 1) - 1))/_xlfn.XLOOKUP(F178,Apuração!A:A,Apuração!B:B),0)</f>
        <v>146.9</v>
      </c>
      <c r="BM178" s="55" cm="1">
        <f t="array" ref="BM178">IFERROR(
   INDEX($AW$1:$BH$1,
      _xlfn.AGGREGATE(14, 6, COLUMN($AW$1:$BH$1)/(AW178:BH178&lt;&gt;""), 2) - COLUMN($AW$1) + 1
   ),
"")</f>
        <v>46082</v>
      </c>
      <c r="BN178" s="55" cm="1">
        <f t="array" ref="BN178">IFERROR(INDEX($AW$1:$BH$1,1,MATCH(2,1/(AW178:BH178&lt;&gt;""))),"")</f>
        <v>46113</v>
      </c>
      <c r="BO178" s="53">
        <f ca="1">IFERROR(_xlfn.XLOOKUP(F178,Apuração!A:A,Apuração!C:C)/_xlfn.XLOOKUP(F178,Apuração!A:A,Apuração!B:B),0)</f>
        <v>0.3</v>
      </c>
      <c r="BP178" s="53">
        <f ca="1">IFERROR(_xlfn.XLOOKUP(F178,Apuração!A:A,Apuração!D:D)/_xlfn.XLOOKUP(F178,Apuração!A:A,Apuração!B:B),0)</f>
        <v>0.2</v>
      </c>
      <c r="BQ178" s="53">
        <f ca="1">IF(BK178&gt;=BO178,0,_xlfn.XLOOKUP(F178,Apuração!A:A,Apuração!B:B)*(BO178 + (1/_xlfn.XLOOKUP(F178,Apuração!A:A,Apuração!B:B)) - BK178))</f>
        <v>0</v>
      </c>
      <c r="BR178" s="85">
        <f t="shared" ca="1" si="261"/>
        <v>0</v>
      </c>
      <c r="BS178" s="53">
        <f ca="1">IFERROR((_xlfn.XLOOKUP(F178,Apuração!A:A,Apuração!C:C)+1)/_xlfn.XLOOKUP(F178,Apuração!A:A,Apuração!B:B),0)</f>
        <v>0.4</v>
      </c>
    </row>
    <row r="179" spans="1:71" ht="25.95" hidden="1" customHeight="1" x14ac:dyDescent="0.3">
      <c r="A179" s="44" t="s">
        <v>175</v>
      </c>
      <c r="B179" s="4" t="s">
        <v>184</v>
      </c>
      <c r="C179" s="5" t="s">
        <v>35</v>
      </c>
      <c r="D179" s="5" t="s">
        <v>47</v>
      </c>
      <c r="E179" s="4" t="str" cm="1">
        <f t="array" ref="E179">_xlfn.IFS(
F179 = "A partir de Abril", "Aguardando Execução na Distribuidora",
A179 = "CAPACITAÇÃO", "Em execução no Corporativo",
TRUE, "Em Execução na Distribuidora"
)</f>
        <v>Em execução no Corporativo</v>
      </c>
      <c r="F179" s="4" t="str" cm="1">
        <f t="array" ref="F179">_xlfn.IFS(
AG179 &lt;&gt; "", "Jan-Dez/26",
AH179 &lt;&gt; "", "Fev-Dez/26",
AI179 &lt;&gt; "", "Mar-Dez/26", AJ179 &lt;&gt; "", "Abr-Dez/26",
TRUE, "A partir de Junho"
)</f>
        <v>Mar-Dez/26</v>
      </c>
      <c r="G179" s="4" t="s">
        <v>37</v>
      </c>
      <c r="H179" s="7" t="s">
        <v>38</v>
      </c>
      <c r="I179" s="21" t="s">
        <v>180</v>
      </c>
      <c r="J179" s="8" t="str" cm="1">
        <f t="array" aca="1" ref="J179" ca="1">_xlfn.LET(
  _xlpm.actual_value_month, INDEX(T179:AE179, MATCH(DATE(YEAR(TODAY()), MONTH(TODAY()), 1), $T$1:$AE$1, 0)),
  IF(_xlpm.actual_value_month &lt;&gt; "", _xlpm.actual_value_month &amp; " ações mensais", "")
)</f>
        <v/>
      </c>
      <c r="K179" s="8" t="str" cm="1">
        <f t="array" ref="K179">_xlfn.LET(
    _xlpm.sum_month, SUM(T179:AE179),
    IF(_xlpm.sum_month = 0, "", _xlpm.sum_month &amp; " colaboradores treinados.")
)</f>
        <v/>
      </c>
      <c r="L179" s="9" t="s">
        <v>181</v>
      </c>
      <c r="M179" s="13">
        <v>1</v>
      </c>
      <c r="N179" s="5" t="s">
        <v>51</v>
      </c>
      <c r="O179" s="5" t="s">
        <v>52</v>
      </c>
      <c r="P179" s="10" t="s">
        <v>146</v>
      </c>
      <c r="Q179" s="10" t="s">
        <v>44</v>
      </c>
      <c r="R179" s="11" t="s">
        <v>44</v>
      </c>
      <c r="S179" s="11" t="s">
        <v>44</v>
      </c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G179" s="71"/>
      <c r="AH179" s="71"/>
      <c r="AI179" s="82">
        <v>954</v>
      </c>
      <c r="AJ179" s="82">
        <v>954</v>
      </c>
      <c r="AK179" s="71"/>
      <c r="AL179" s="71"/>
      <c r="AM179" s="71"/>
      <c r="AN179" s="71"/>
      <c r="AO179" s="71"/>
      <c r="AP179" s="71"/>
      <c r="AQ179" s="71"/>
      <c r="AR179" s="71"/>
      <c r="AS179" s="94" t="str" cm="1">
        <f t="array" ref="AS179">IFERROR(INDEX(T179:AE179,1,MATCH(2,1/(T179:AE179&lt;&gt;""))),"")</f>
        <v/>
      </c>
      <c r="AT179" s="95" cm="1">
        <f t="array" ref="AT179">IFERROR(INDEX(AJ179:AR179,1,MATCH(2,1/(AJ179:AR179&lt;&gt;""))),"")</f>
        <v>954</v>
      </c>
      <c r="AU179" s="97">
        <f t="shared" ref="AU179:AU180" si="450">AT179</f>
        <v>954</v>
      </c>
      <c r="AW179" s="83">
        <f t="shared" ref="AW179:AW180" si="451">AG179</f>
        <v>0</v>
      </c>
      <c r="AX179" s="52">
        <f t="shared" ref="AX179:AX180" si="452">AH179</f>
        <v>0</v>
      </c>
      <c r="AY179" s="52">
        <f t="shared" ref="AY179:AY180" si="453">AI179</f>
        <v>954</v>
      </c>
      <c r="AZ179" s="52">
        <f t="shared" ref="AZ179:AZ180" si="454">AJ179</f>
        <v>954</v>
      </c>
      <c r="BA179" s="52"/>
      <c r="BB179" s="52"/>
      <c r="BC179" s="52"/>
      <c r="BD179" s="52"/>
      <c r="BE179" s="52"/>
      <c r="BF179" s="52"/>
      <c r="BG179" s="52"/>
      <c r="BH179" s="52"/>
      <c r="BI179" s="68" cm="1">
        <f t="array" ref="BI179">IFERROR(INDEX(AW179:BH179,1,MATCH(2,1/(AW179:BH179&lt;&gt;""))),"")</f>
        <v>954</v>
      </c>
      <c r="BJ179" s="68" cm="1">
        <f t="array" ref="BJ179">IF(BM179 = "", "",IFERROR(INDEX(AW179:BH179,1,MATCH(2,1/(AW179:BH179&lt;&gt;""),1)-1),""))</f>
        <v>954</v>
      </c>
      <c r="BK179" s="59">
        <f t="shared" ref="BK179:BK180" si="455">SUM(AW179:BH179)</f>
        <v>1908</v>
      </c>
      <c r="BL179" s="59" cm="1">
        <f t="array" ref="BL179">IFERROR(SUM(AW179:INDEX(AW179:BH179, MATCH(2, 1/(AW179:BH179&lt;&gt;""), 1) - 1))/_xlfn.XLOOKUP(F179,Apuração!A:A,Apuração!B:B),0)</f>
        <v>95.4</v>
      </c>
      <c r="BM179" s="55" cm="1">
        <f t="array" ref="BM179">IFERROR(
   INDEX($AW$1:$BH$1,
      _xlfn.AGGREGATE(14, 6, COLUMN($AW$1:$BH$1)/(AW179:BH179&lt;&gt;""), 2) - COLUMN($AW$1) + 1
   ),
"")</f>
        <v>46082</v>
      </c>
      <c r="BN179" s="55" cm="1">
        <f t="array" ref="BN179">IFERROR(INDEX($AW$1:$BH$1,1,MATCH(2,1/(AW179:BH179&lt;&gt;""))),"")</f>
        <v>46113</v>
      </c>
      <c r="BO179" s="53">
        <f ca="1">IFERROR(_xlfn.XLOOKUP(F179,Apuração!A:A,Apuração!C:C)/_xlfn.XLOOKUP(F179,Apuração!A:A,Apuração!B:B),0)</f>
        <v>0.3</v>
      </c>
      <c r="BP179" s="53">
        <f ca="1">IFERROR(_xlfn.XLOOKUP(F179,Apuração!A:A,Apuração!D:D)/_xlfn.XLOOKUP(F179,Apuração!A:A,Apuração!B:B),0)</f>
        <v>0.2</v>
      </c>
      <c r="BQ179" s="53">
        <f ca="1">IF(BK179&gt;=BO179,0,_xlfn.XLOOKUP(F179,Apuração!A:A,Apuração!B:B)*(BO179 + (1/_xlfn.XLOOKUP(F179,Apuração!A:A,Apuração!B:B)) - BK179))</f>
        <v>0</v>
      </c>
      <c r="BR179" s="85">
        <f t="shared" ref="BR179:BR180" ca="1" si="456">IF(BQ179=0,0,BQ179*Z179)</f>
        <v>0</v>
      </c>
      <c r="BS179" s="53">
        <f ca="1">IFERROR((_xlfn.XLOOKUP(F179,Apuração!A:A,Apuração!C:C)+1)/_xlfn.XLOOKUP(F179,Apuração!A:A,Apuração!B:B),0)</f>
        <v>0.4</v>
      </c>
    </row>
    <row r="180" spans="1:71" ht="25.95" hidden="1" customHeight="1" x14ac:dyDescent="0.3">
      <c r="A180" s="44" t="s">
        <v>175</v>
      </c>
      <c r="B180" s="4" t="s">
        <v>184</v>
      </c>
      <c r="C180" s="5" t="s">
        <v>35</v>
      </c>
      <c r="D180" s="5" t="s">
        <v>48</v>
      </c>
      <c r="E180" s="4" t="str" cm="1">
        <f t="array" ref="E180">_xlfn.IFS(
F180 = "A partir de Abril", "Aguardando Execução na Distribuidora",
A180 = "CAPACITAÇÃO", "Em execução no Corporativo",
TRUE, "Em Execução na Distribuidora"
)</f>
        <v>Em execução no Corporativo</v>
      </c>
      <c r="F180" s="4" t="str" cm="1">
        <f t="array" ref="F180">_xlfn.IFS(
AG180 &lt;&gt; "", "Jan-Dez/26",
AH180 &lt;&gt; "", "Fev-Dez/26",
AI180 &lt;&gt; "", "Mar-Dez/26", AJ180 &lt;&gt; "", "Abr-Dez/26",
TRUE, "A partir de Junho"
)</f>
        <v>Mar-Dez/26</v>
      </c>
      <c r="G180" s="4" t="s">
        <v>37</v>
      </c>
      <c r="H180" s="7" t="s">
        <v>38</v>
      </c>
      <c r="I180" s="21" t="s">
        <v>180</v>
      </c>
      <c r="J180" s="8" t="str" cm="1">
        <f t="array" aca="1" ref="J180" ca="1">_xlfn.LET(
  _xlpm.actual_value_month, INDEX(T180:AE180, MATCH(DATE(YEAR(TODAY()), MONTH(TODAY()), 1), $T$1:$AE$1, 0)),
  IF(_xlpm.actual_value_month &lt;&gt; "", _xlpm.actual_value_month &amp; " ações mensais", "")
)</f>
        <v/>
      </c>
      <c r="K180" s="8" t="str" cm="1">
        <f t="array" ref="K180">_xlfn.LET(
    _xlpm.sum_month, SUM(T180:AE180),
    IF(_xlpm.sum_month = 0, "", _xlpm.sum_month &amp; " colaboradores treinados.")
)</f>
        <v/>
      </c>
      <c r="L180" s="9" t="s">
        <v>181</v>
      </c>
      <c r="M180" s="13">
        <v>1</v>
      </c>
      <c r="N180" s="5" t="s">
        <v>51</v>
      </c>
      <c r="O180" s="5" t="s">
        <v>52</v>
      </c>
      <c r="P180" s="10" t="s">
        <v>146</v>
      </c>
      <c r="Q180" s="10" t="s">
        <v>44</v>
      </c>
      <c r="R180" s="11" t="s">
        <v>44</v>
      </c>
      <c r="S180" s="11" t="s">
        <v>44</v>
      </c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G180" s="71"/>
      <c r="AH180" s="71"/>
      <c r="AI180" s="82">
        <v>539</v>
      </c>
      <c r="AJ180" s="82">
        <v>539</v>
      </c>
      <c r="AK180" s="71"/>
      <c r="AL180" s="71"/>
      <c r="AM180" s="71"/>
      <c r="AN180" s="71"/>
      <c r="AO180" s="71"/>
      <c r="AP180" s="71"/>
      <c r="AQ180" s="71"/>
      <c r="AR180" s="71"/>
      <c r="AS180" s="94" t="str" cm="1">
        <f t="array" ref="AS180">IFERROR(INDEX(T180:AE180,1,MATCH(2,1/(T180:AE180&lt;&gt;""))),"")</f>
        <v/>
      </c>
      <c r="AT180" s="95" cm="1">
        <f t="array" ref="AT180">IFERROR(INDEX(AJ180:AR180,1,MATCH(2,1/(AJ180:AR180&lt;&gt;""))),"")</f>
        <v>539</v>
      </c>
      <c r="AU180" s="97">
        <f t="shared" si="450"/>
        <v>539</v>
      </c>
      <c r="AW180" s="83">
        <f t="shared" si="451"/>
        <v>0</v>
      </c>
      <c r="AX180" s="52">
        <f t="shared" si="452"/>
        <v>0</v>
      </c>
      <c r="AY180" s="52">
        <f t="shared" si="453"/>
        <v>539</v>
      </c>
      <c r="AZ180" s="52">
        <f t="shared" si="454"/>
        <v>539</v>
      </c>
      <c r="BA180" s="52"/>
      <c r="BB180" s="52"/>
      <c r="BC180" s="52"/>
      <c r="BD180" s="52"/>
      <c r="BE180" s="52"/>
      <c r="BF180" s="52"/>
      <c r="BG180" s="52"/>
      <c r="BH180" s="52"/>
      <c r="BI180" s="68" cm="1">
        <f t="array" ref="BI180">IFERROR(INDEX(AW180:BH180,1,MATCH(2,1/(AW180:BH180&lt;&gt;""))),"")</f>
        <v>539</v>
      </c>
      <c r="BJ180" s="68" cm="1">
        <f t="array" ref="BJ180">IF(BM180 = "", "",IFERROR(INDEX(AW180:BH180,1,MATCH(2,1/(AW180:BH180&lt;&gt;""),1)-1),""))</f>
        <v>539</v>
      </c>
      <c r="BK180" s="59">
        <f t="shared" si="455"/>
        <v>1078</v>
      </c>
      <c r="BL180" s="59" cm="1">
        <f t="array" ref="BL180">IFERROR(SUM(AW180:INDEX(AW180:BH180, MATCH(2, 1/(AW180:BH180&lt;&gt;""), 1) - 1))/_xlfn.XLOOKUP(F180,Apuração!A:A,Apuração!B:B),0)</f>
        <v>53.9</v>
      </c>
      <c r="BM180" s="55" cm="1">
        <f t="array" ref="BM180">IFERROR(
   INDEX($AW$1:$BH$1,
      _xlfn.AGGREGATE(14, 6, COLUMN($AW$1:$BH$1)/(AW180:BH180&lt;&gt;""), 2) - COLUMN($AW$1) + 1
   ),
"")</f>
        <v>46082</v>
      </c>
      <c r="BN180" s="55" cm="1">
        <f t="array" ref="BN180">IFERROR(INDEX($AW$1:$BH$1,1,MATCH(2,1/(AW180:BH180&lt;&gt;""))),"")</f>
        <v>46113</v>
      </c>
      <c r="BO180" s="53">
        <f ca="1">IFERROR(_xlfn.XLOOKUP(F180,Apuração!A:A,Apuração!C:C)/_xlfn.XLOOKUP(F180,Apuração!A:A,Apuração!B:B),0)</f>
        <v>0.3</v>
      </c>
      <c r="BP180" s="53">
        <f ca="1">IFERROR(_xlfn.XLOOKUP(F180,Apuração!A:A,Apuração!D:D)/_xlfn.XLOOKUP(F180,Apuração!A:A,Apuração!B:B),0)</f>
        <v>0.2</v>
      </c>
      <c r="BQ180" s="53">
        <f ca="1">IF(BK180&gt;=BO180,0,_xlfn.XLOOKUP(F180,Apuração!A:A,Apuração!B:B)*(BO180 + (1/_xlfn.XLOOKUP(F180,Apuração!A:A,Apuração!B:B)) - BK180))</f>
        <v>0</v>
      </c>
      <c r="BR180" s="85">
        <f t="shared" ca="1" si="456"/>
        <v>0</v>
      </c>
      <c r="BS180" s="53">
        <f ca="1">IFERROR((_xlfn.XLOOKUP(F180,Apuração!A:A,Apuração!C:C)+1)/_xlfn.XLOOKUP(F180,Apuração!A:A,Apuração!B:B),0)</f>
        <v>0.4</v>
      </c>
    </row>
    <row r="181" spans="1:71" ht="25.95" hidden="1" customHeight="1" x14ac:dyDescent="0.3">
      <c r="A181" s="44" t="s">
        <v>175</v>
      </c>
      <c r="B181" s="4" t="s">
        <v>184</v>
      </c>
      <c r="C181" s="5" t="s">
        <v>35</v>
      </c>
      <c r="D181" s="5" t="s">
        <v>36</v>
      </c>
      <c r="E181" s="4" t="str" cm="1">
        <f t="array" ref="E181">_xlfn.IFS(
F181 = "A partir de Abril", "Aguardando Execução na Distribuidora",
A181 = "CAPACITAÇÃO", "Em execução no Corporativo",
TRUE, "Em Execução na Distribuidora"
)</f>
        <v>Em execução no Corporativo</v>
      </c>
      <c r="F181" s="4" t="str" cm="1">
        <f t="array" ref="F181">_xlfn.IFS(
AG181 &lt;&gt; "", "Jan-Dez/26",
AH181 &lt;&gt; "", "Fev-Dez/26",
AI181 &lt;&gt; "", "Mar-Dez/26", AJ181 &lt;&gt; "", "Abr-Dez/26",
TRUE, "A partir de Junho"
)</f>
        <v>Mar-Dez/26</v>
      </c>
      <c r="G181" s="4" t="s">
        <v>37</v>
      </c>
      <c r="H181" s="7" t="s">
        <v>38</v>
      </c>
      <c r="I181" s="21" t="s">
        <v>182</v>
      </c>
      <c r="J181" s="8" t="str" cm="1">
        <f t="array" aca="1" ref="J181" ca="1">_xlfn.LET(
  _xlpm.actual_value_month, INDEX(T181:AE181, MATCH(DATE(YEAR(TODAY()), MONTH(TODAY()), 1), $T$1:$AE$1, 0)),
  IF(_xlpm.actual_value_month &lt;&gt; "", _xlpm.actual_value_month &amp; " ações mensais", "")
)</f>
        <v/>
      </c>
      <c r="K181" s="8" t="str" cm="1">
        <f t="array" ref="K181">_xlfn.LET(
    _xlpm.sum_month, SUM(T181:AE181),
    IF(_xlpm.sum_month = 0, "", _xlpm.sum_month &amp; " taxa de aprovados")
)</f>
        <v>2962 taxa de aprovados</v>
      </c>
      <c r="L181" s="4" t="s">
        <v>186</v>
      </c>
      <c r="M181" s="13">
        <v>1</v>
      </c>
      <c r="N181" s="5" t="s">
        <v>51</v>
      </c>
      <c r="O181" s="5" t="s">
        <v>43</v>
      </c>
      <c r="P181" s="10" t="s">
        <v>44</v>
      </c>
      <c r="Q181" s="10" t="s">
        <v>44</v>
      </c>
      <c r="R181" s="11" t="s">
        <v>44</v>
      </c>
      <c r="S181" s="11" t="s">
        <v>44</v>
      </c>
      <c r="T181" s="22"/>
      <c r="U181" s="22"/>
      <c r="V181" s="22">
        <v>1469</v>
      </c>
      <c r="W181" s="22">
        <v>1493</v>
      </c>
      <c r="X181" s="22"/>
      <c r="Y181" s="22"/>
      <c r="Z181" s="22"/>
      <c r="AA181" s="22"/>
      <c r="AB181" s="22"/>
      <c r="AC181" s="22"/>
      <c r="AD181" s="22"/>
      <c r="AE181" s="22"/>
      <c r="AG181" s="71"/>
      <c r="AH181" s="71"/>
      <c r="AI181" s="71">
        <v>1469</v>
      </c>
      <c r="AJ181" s="71">
        <v>1493</v>
      </c>
      <c r="AK181" s="71"/>
      <c r="AL181" s="71"/>
      <c r="AM181" s="71"/>
      <c r="AN181" s="71"/>
      <c r="AO181" s="71"/>
      <c r="AP181" s="71"/>
      <c r="AQ181" s="71"/>
      <c r="AR181" s="71"/>
      <c r="AS181" s="94" cm="1">
        <f t="array" ref="AS181">IFERROR(INDEX(T181:AE181,1,MATCH(2,1/(T181:AE181&lt;&gt;""))),"")</f>
        <v>1493</v>
      </c>
      <c r="AT181" s="95" cm="1">
        <f t="array" ref="AT181">IFERROR(INDEX(AJ181:AR181,1,MATCH(2,1/(AJ181:AR181&lt;&gt;""))),"")</f>
        <v>1493</v>
      </c>
      <c r="AU181" s="97">
        <f t="shared" si="417"/>
        <v>1493</v>
      </c>
      <c r="AW181" s="52">
        <f>IFERROR(IF(T181="",0,T181/AG181),0)</f>
        <v>0</v>
      </c>
      <c r="AX181" s="52">
        <f>IFERROR(IF(U181="",0,U181/AH181),0)</f>
        <v>0</v>
      </c>
      <c r="AY181" s="118">
        <f>IFERROR(IF(V181="",0,V181/AI181),0)</f>
        <v>1</v>
      </c>
      <c r="AZ181" s="118">
        <f>IFERROR(IF(W181="",0,W181/AJ181),0)</f>
        <v>1</v>
      </c>
      <c r="BA181" s="52"/>
      <c r="BB181" s="52"/>
      <c r="BC181" s="52"/>
      <c r="BD181" s="52"/>
      <c r="BE181" s="52"/>
      <c r="BF181" s="52"/>
      <c r="BG181" s="52"/>
      <c r="BH181" s="52"/>
      <c r="BI181" s="65" cm="1">
        <f t="array" ref="BI181">IFERROR(INDEX(AW181:BH181,1,MATCH(2,1/(AW181:BH181&lt;&gt;""))),"")</f>
        <v>1</v>
      </c>
      <c r="BJ181" s="68" cm="1">
        <f t="array" ref="BJ181">IF(BM181 = "", "",IFERROR(INDEX(AW181:BH181,1,MATCH(2,1/(AW181:BH181&lt;&gt;""),1)-1),""))</f>
        <v>1</v>
      </c>
      <c r="BK181" s="58" cm="1">
        <f t="array" ref="BK181">IFERROR(INDEX(AW181:BH181,1,MATCH(2,1/(AW181:BH181&lt;&gt;""))),"")</f>
        <v>1</v>
      </c>
      <c r="BL181" s="58" cm="1">
        <f t="array" ref="BL181">IFERROR(INDEX(AW181:BH181,1,MATCH(2,1/(AW181:BH181&lt;&gt;""),1)-1),"")</f>
        <v>1</v>
      </c>
      <c r="BM181" s="55" cm="1">
        <f t="array" ref="BM181">IFERROR(
   INDEX($AW$1:$BH$1,
      _xlfn.AGGREGATE(14, 6, COLUMN($AW$1:$BH$1)/(AW181:BH181&lt;&gt;""), 2) - COLUMN($AW$1) + 1
   ),
"")</f>
        <v>46082</v>
      </c>
      <c r="BN181" s="55" cm="1">
        <f t="array" ref="BN181">IFERROR(INDEX($AW$1:$BH$1,1,MATCH(2,1/(AW181:BH181&lt;&gt;""))),"")</f>
        <v>46113</v>
      </c>
      <c r="BO181" s="53">
        <f ca="1">IFERROR(_xlfn.XLOOKUP(F181,Apuração!A:A,Apuração!C:C)/_xlfn.XLOOKUP(F181,Apuração!A:A,Apuração!B:B),0)</f>
        <v>0.3</v>
      </c>
      <c r="BP181" s="53">
        <f ca="1">IFERROR(_xlfn.XLOOKUP(F181,Apuração!A:A,Apuração!D:D)/_xlfn.XLOOKUP(F181,Apuração!A:A,Apuração!B:B),0)</f>
        <v>0.2</v>
      </c>
      <c r="BQ181" s="53">
        <f ca="1">IF(BK181&gt;=BO181,0,_xlfn.XLOOKUP(F181,Apuração!A:A,Apuração!B:B)*(BO181 + (1/_xlfn.XLOOKUP(F181,Apuração!A:A,Apuração!B:B)) - BK181))</f>
        <v>0</v>
      </c>
      <c r="BR181" s="85">
        <f t="shared" ca="1" si="261"/>
        <v>0</v>
      </c>
      <c r="BS181" s="53">
        <f ca="1">IFERROR((_xlfn.XLOOKUP(F181,Apuração!A:A,Apuração!C:C)+1)/_xlfn.XLOOKUP(F181,Apuração!A:A,Apuração!B:B),0)</f>
        <v>0.4</v>
      </c>
    </row>
    <row r="182" spans="1:71" ht="25.95" hidden="1" customHeight="1" x14ac:dyDescent="0.3">
      <c r="A182" s="44" t="s">
        <v>175</v>
      </c>
      <c r="B182" s="4" t="s">
        <v>184</v>
      </c>
      <c r="C182" s="5" t="s">
        <v>35</v>
      </c>
      <c r="D182" s="5" t="s">
        <v>47</v>
      </c>
      <c r="E182" s="4" t="str" cm="1">
        <f t="array" ref="E182">_xlfn.IFS(
F182 = "A partir de Abril", "Aguardando Execução na Distribuidora",
A182 = "CAPACITAÇÃO", "Em execução no Corporativo",
TRUE, "Em Execução na Distribuidora"
)</f>
        <v>Em execução no Corporativo</v>
      </c>
      <c r="F182" s="4" t="str" cm="1">
        <f t="array" ref="F182">_xlfn.IFS(
AG182 &lt;&gt; "", "Jan-Dez/26",
AH182 &lt;&gt; "", "Fev-Dez/26",
AI182 &lt;&gt; "", "Mar-Dez/26", AJ182 &lt;&gt; "", "Abr-Dez/26",
TRUE, "A partir de Junho"
)</f>
        <v>Mar-Dez/26</v>
      </c>
      <c r="G182" s="4" t="s">
        <v>37</v>
      </c>
      <c r="H182" s="7" t="s">
        <v>38</v>
      </c>
      <c r="I182" s="21" t="s">
        <v>182</v>
      </c>
      <c r="J182" s="8" t="str" cm="1">
        <f t="array" aca="1" ref="J182" ca="1">_xlfn.LET(
  _xlpm.actual_value_month, INDEX(T182:AE182, MATCH(DATE(YEAR(TODAY()), MONTH(TODAY()), 1), $T$1:$AE$1, 0)),
  IF(_xlpm.actual_value_month &lt;&gt; "", _xlpm.actual_value_month &amp; " ações mensais", "")
)</f>
        <v/>
      </c>
      <c r="K182" s="8" t="str" cm="1">
        <f t="array" ref="K182">_xlfn.LET(
    _xlpm.sum_month, SUM(T182:AE182),
    IF(_xlpm.sum_month = 0, "", _xlpm.sum_month &amp; " taxa de aprovados")
)</f>
        <v>1908 taxa de aprovados</v>
      </c>
      <c r="L182" s="4" t="s">
        <v>186</v>
      </c>
      <c r="M182" s="13">
        <v>1</v>
      </c>
      <c r="N182" s="5" t="s">
        <v>51</v>
      </c>
      <c r="O182" s="5" t="s">
        <v>43</v>
      </c>
      <c r="P182" s="10" t="s">
        <v>44</v>
      </c>
      <c r="Q182" s="10" t="s">
        <v>44</v>
      </c>
      <c r="R182" s="11" t="s">
        <v>44</v>
      </c>
      <c r="S182" s="11" t="s">
        <v>44</v>
      </c>
      <c r="T182" s="22"/>
      <c r="U182" s="22"/>
      <c r="V182" s="143">
        <v>954</v>
      </c>
      <c r="W182" s="143">
        <v>954</v>
      </c>
      <c r="X182" s="22"/>
      <c r="Y182" s="22"/>
      <c r="Z182" s="22"/>
      <c r="AA182" s="22"/>
      <c r="AB182" s="22"/>
      <c r="AC182" s="22"/>
      <c r="AD182" s="22"/>
      <c r="AE182" s="22"/>
      <c r="AG182" s="71"/>
      <c r="AH182" s="71"/>
      <c r="AI182" s="82">
        <v>954</v>
      </c>
      <c r="AJ182" s="82">
        <v>954</v>
      </c>
      <c r="AK182" s="71"/>
      <c r="AL182" s="71"/>
      <c r="AM182" s="71"/>
      <c r="AN182" s="71"/>
      <c r="AO182" s="71"/>
      <c r="AP182" s="71"/>
      <c r="AQ182" s="71"/>
      <c r="AR182" s="71"/>
      <c r="AS182" s="94" cm="1">
        <f t="array" ref="AS182">IFERROR(INDEX(T182:AE182,1,MATCH(2,1/(T182:AE182&lt;&gt;""))),"")</f>
        <v>954</v>
      </c>
      <c r="AT182" s="95" cm="1">
        <f t="array" ref="AT182">IFERROR(INDEX(AJ182:AR182,1,MATCH(2,1/(AJ182:AR182&lt;&gt;""))),"")</f>
        <v>954</v>
      </c>
      <c r="AU182" s="97">
        <f t="shared" ref="AU182:AU183" si="457">AT182</f>
        <v>954</v>
      </c>
      <c r="AW182" s="52">
        <f t="shared" ref="AW182:AW183" si="458">IFERROR(IF(T182="",0,T182/AG182),0)</f>
        <v>0</v>
      </c>
      <c r="AX182" s="52">
        <f t="shared" ref="AX182:AX183" si="459">IFERROR(IF(U182="",0,U182/AH182),0)</f>
        <v>0</v>
      </c>
      <c r="AY182" s="118">
        <f t="shared" ref="AY182:AY183" si="460">IFERROR(IF(V182="",0,V182/AI182),0)</f>
        <v>1</v>
      </c>
      <c r="AZ182" s="118">
        <f t="shared" ref="AZ182:AZ183" si="461">IFERROR(IF(W182="",0,W182/AJ182),0)</f>
        <v>1</v>
      </c>
      <c r="BA182" s="52"/>
      <c r="BB182" s="52"/>
      <c r="BC182" s="52"/>
      <c r="BD182" s="52"/>
      <c r="BE182" s="52"/>
      <c r="BF182" s="52"/>
      <c r="BG182" s="52"/>
      <c r="BH182" s="52"/>
      <c r="BI182" s="65" cm="1">
        <f t="array" ref="BI182">IFERROR(INDEX(AW182:BH182,1,MATCH(2,1/(AW182:BH182&lt;&gt;""))),"")</f>
        <v>1</v>
      </c>
      <c r="BJ182" s="68" cm="1">
        <f t="array" ref="BJ182">IF(BM182 = "", "",IFERROR(INDEX(AW182:BH182,1,MATCH(2,1/(AW182:BH182&lt;&gt;""),1)-1),""))</f>
        <v>1</v>
      </c>
      <c r="BK182" s="58" cm="1">
        <f t="array" ref="BK182">IFERROR(INDEX(AW182:BH182,1,MATCH(2,1/(AW182:BH182&lt;&gt;""))),"")</f>
        <v>1</v>
      </c>
      <c r="BL182" s="58" cm="1">
        <f t="array" ref="BL182">IFERROR(INDEX(AW182:BH182,1,MATCH(2,1/(AW182:BH182&lt;&gt;""),1)-1),"")</f>
        <v>1</v>
      </c>
      <c r="BM182" s="55" cm="1">
        <f t="array" ref="BM182">IFERROR(
   INDEX($AW$1:$BH$1,
      _xlfn.AGGREGATE(14, 6, COLUMN($AW$1:$BH$1)/(AW182:BH182&lt;&gt;""), 2) - COLUMN($AW$1) + 1
   ),
"")</f>
        <v>46082</v>
      </c>
      <c r="BN182" s="55" cm="1">
        <f t="array" ref="BN182">IFERROR(INDEX($AW$1:$BH$1,1,MATCH(2,1/(AW182:BH182&lt;&gt;""))),"")</f>
        <v>46113</v>
      </c>
      <c r="BO182" s="53">
        <f ca="1">IFERROR(_xlfn.XLOOKUP(F182,Apuração!A:A,Apuração!C:C)/_xlfn.XLOOKUP(F182,Apuração!A:A,Apuração!B:B),0)</f>
        <v>0.3</v>
      </c>
      <c r="BP182" s="53">
        <f ca="1">IFERROR(_xlfn.XLOOKUP(F182,Apuração!A:A,Apuração!D:D)/_xlfn.XLOOKUP(F182,Apuração!A:A,Apuração!B:B),0)</f>
        <v>0.2</v>
      </c>
      <c r="BQ182" s="53">
        <f ca="1">IF(BK182&gt;=BO182,0,_xlfn.XLOOKUP(F182,Apuração!A:A,Apuração!B:B)*(BO182 + (1/_xlfn.XLOOKUP(F182,Apuração!A:A,Apuração!B:B)) - BK182))</f>
        <v>0</v>
      </c>
      <c r="BR182" s="85">
        <f t="shared" ref="BR182:BR183" ca="1" si="462">IF(BQ182=0,0,BQ182*Z182)</f>
        <v>0</v>
      </c>
      <c r="BS182" s="53">
        <f ca="1">IFERROR((_xlfn.XLOOKUP(F182,Apuração!A:A,Apuração!C:C)+1)/_xlfn.XLOOKUP(F182,Apuração!A:A,Apuração!B:B),0)</f>
        <v>0.4</v>
      </c>
    </row>
    <row r="183" spans="1:71" ht="25.95" hidden="1" customHeight="1" x14ac:dyDescent="0.3">
      <c r="A183" s="44" t="s">
        <v>175</v>
      </c>
      <c r="B183" s="4" t="s">
        <v>184</v>
      </c>
      <c r="C183" s="5" t="s">
        <v>35</v>
      </c>
      <c r="D183" s="5" t="s">
        <v>48</v>
      </c>
      <c r="E183" s="4" t="str" cm="1">
        <f t="array" ref="E183">_xlfn.IFS(
F183 = "A partir de Abril", "Aguardando Execução na Distribuidora",
A183 = "CAPACITAÇÃO", "Em execução no Corporativo",
TRUE, "Em Execução na Distribuidora"
)</f>
        <v>Em execução no Corporativo</v>
      </c>
      <c r="F183" s="4" t="str" cm="1">
        <f t="array" ref="F183">_xlfn.IFS(
AG183 &lt;&gt; "", "Jan-Dez/26",
AH183 &lt;&gt; "", "Fev-Dez/26",
AI183 &lt;&gt; "", "Mar-Dez/26", AJ183 &lt;&gt; "", "Abr-Dez/26",
TRUE, "A partir de Junho"
)</f>
        <v>Mar-Dez/26</v>
      </c>
      <c r="G183" s="4" t="s">
        <v>37</v>
      </c>
      <c r="H183" s="7" t="s">
        <v>38</v>
      </c>
      <c r="I183" s="21" t="s">
        <v>182</v>
      </c>
      <c r="J183" s="8" t="str" cm="1">
        <f t="array" aca="1" ref="J183" ca="1">_xlfn.LET(
  _xlpm.actual_value_month, INDEX(T183:AE183, MATCH(DATE(YEAR(TODAY()), MONTH(TODAY()), 1), $T$1:$AE$1, 0)),
  IF(_xlpm.actual_value_month &lt;&gt; "", _xlpm.actual_value_month &amp; " ações mensais", "")
)</f>
        <v/>
      </c>
      <c r="K183" s="8" t="str" cm="1">
        <f t="array" ref="K183">_xlfn.LET(
    _xlpm.sum_month, SUM(T183:AE183),
    IF(_xlpm.sum_month = 0, "", _xlpm.sum_month &amp; " taxa de aprovados")
)</f>
        <v>1078 taxa de aprovados</v>
      </c>
      <c r="L183" s="4" t="s">
        <v>186</v>
      </c>
      <c r="M183" s="13">
        <v>1</v>
      </c>
      <c r="N183" s="5" t="s">
        <v>51</v>
      </c>
      <c r="O183" s="5" t="s">
        <v>43</v>
      </c>
      <c r="P183" s="10" t="s">
        <v>44</v>
      </c>
      <c r="Q183" s="10" t="s">
        <v>44</v>
      </c>
      <c r="R183" s="11" t="s">
        <v>44</v>
      </c>
      <c r="S183" s="11" t="s">
        <v>44</v>
      </c>
      <c r="T183" s="22"/>
      <c r="U183" s="22"/>
      <c r="V183" s="143">
        <v>539</v>
      </c>
      <c r="W183" s="143">
        <v>539</v>
      </c>
      <c r="X183" s="22"/>
      <c r="Y183" s="22"/>
      <c r="Z183" s="22"/>
      <c r="AA183" s="22"/>
      <c r="AB183" s="22"/>
      <c r="AC183" s="22"/>
      <c r="AD183" s="22"/>
      <c r="AE183" s="22"/>
      <c r="AG183" s="71"/>
      <c r="AH183" s="71"/>
      <c r="AI183" s="82">
        <v>539</v>
      </c>
      <c r="AJ183" s="82">
        <v>539</v>
      </c>
      <c r="AK183" s="71"/>
      <c r="AL183" s="71"/>
      <c r="AM183" s="71"/>
      <c r="AN183" s="71"/>
      <c r="AO183" s="71"/>
      <c r="AP183" s="71"/>
      <c r="AQ183" s="71"/>
      <c r="AR183" s="71"/>
      <c r="AS183" s="94" cm="1">
        <f t="array" ref="AS183">IFERROR(INDEX(T183:AE183,1,MATCH(2,1/(T183:AE183&lt;&gt;""))),"")</f>
        <v>539</v>
      </c>
      <c r="AT183" s="95" cm="1">
        <f t="array" ref="AT183">IFERROR(INDEX(AJ183:AR183,1,MATCH(2,1/(AJ183:AR183&lt;&gt;""))),"")</f>
        <v>539</v>
      </c>
      <c r="AU183" s="97">
        <f t="shared" si="457"/>
        <v>539</v>
      </c>
      <c r="AW183" s="52">
        <f t="shared" si="458"/>
        <v>0</v>
      </c>
      <c r="AX183" s="52">
        <f t="shared" si="459"/>
        <v>0</v>
      </c>
      <c r="AY183" s="118">
        <f t="shared" si="460"/>
        <v>1</v>
      </c>
      <c r="AZ183" s="118">
        <f t="shared" si="461"/>
        <v>1</v>
      </c>
      <c r="BA183" s="52"/>
      <c r="BB183" s="52"/>
      <c r="BC183" s="52"/>
      <c r="BD183" s="52"/>
      <c r="BE183" s="52"/>
      <c r="BF183" s="52"/>
      <c r="BG183" s="52"/>
      <c r="BH183" s="52"/>
      <c r="BI183" s="65" cm="1">
        <f t="array" ref="BI183">IFERROR(INDEX(AW183:BH183,1,MATCH(2,1/(AW183:BH183&lt;&gt;""))),"")</f>
        <v>1</v>
      </c>
      <c r="BJ183" s="68" cm="1">
        <f t="array" ref="BJ183">IF(BM183 = "", "",IFERROR(INDEX(AW183:BH183,1,MATCH(2,1/(AW183:BH183&lt;&gt;""),1)-1),""))</f>
        <v>1</v>
      </c>
      <c r="BK183" s="58" cm="1">
        <f t="array" ref="BK183">IFERROR(INDEX(AW183:BH183,1,MATCH(2,1/(AW183:BH183&lt;&gt;""))),"")</f>
        <v>1</v>
      </c>
      <c r="BL183" s="58" cm="1">
        <f t="array" ref="BL183">IFERROR(INDEX(AW183:BH183,1,MATCH(2,1/(AW183:BH183&lt;&gt;""),1)-1),"")</f>
        <v>1</v>
      </c>
      <c r="BM183" s="55" cm="1">
        <f t="array" ref="BM183">IFERROR(
   INDEX($AW$1:$BH$1,
      _xlfn.AGGREGATE(14, 6, COLUMN($AW$1:$BH$1)/(AW183:BH183&lt;&gt;""), 2) - COLUMN($AW$1) + 1
   ),
"")</f>
        <v>46082</v>
      </c>
      <c r="BN183" s="55" cm="1">
        <f t="array" ref="BN183">IFERROR(INDEX($AW$1:$BH$1,1,MATCH(2,1/(AW183:BH183&lt;&gt;""))),"")</f>
        <v>46113</v>
      </c>
      <c r="BO183" s="53">
        <f ca="1">IFERROR(_xlfn.XLOOKUP(F183,Apuração!A:A,Apuração!C:C)/_xlfn.XLOOKUP(F183,Apuração!A:A,Apuração!B:B),0)</f>
        <v>0.3</v>
      </c>
      <c r="BP183" s="53">
        <f ca="1">IFERROR(_xlfn.XLOOKUP(F183,Apuração!A:A,Apuração!D:D)/_xlfn.XLOOKUP(F183,Apuração!A:A,Apuração!B:B),0)</f>
        <v>0.2</v>
      </c>
      <c r="BQ183" s="53">
        <f ca="1">IF(BK183&gt;=BO183,0,_xlfn.XLOOKUP(F183,Apuração!A:A,Apuração!B:B)*(BO183 + (1/_xlfn.XLOOKUP(F183,Apuração!A:A,Apuração!B:B)) - BK183))</f>
        <v>0</v>
      </c>
      <c r="BR183" s="85">
        <f t="shared" ca="1" si="462"/>
        <v>0</v>
      </c>
      <c r="BS183" s="53">
        <f ca="1">IFERROR((_xlfn.XLOOKUP(F183,Apuração!A:A,Apuração!C:C)+1)/_xlfn.XLOOKUP(F183,Apuração!A:A,Apuração!B:B),0)</f>
        <v>0.4</v>
      </c>
    </row>
    <row r="184" spans="1:71" ht="25.95" hidden="1" customHeight="1" x14ac:dyDescent="0.3">
      <c r="A184" s="33" t="s">
        <v>175</v>
      </c>
      <c r="B184" s="4" t="s">
        <v>187</v>
      </c>
      <c r="C184" s="5" t="s">
        <v>35</v>
      </c>
      <c r="D184" s="5" t="s">
        <v>36</v>
      </c>
      <c r="E184" s="4" t="s">
        <v>96</v>
      </c>
      <c r="F184" s="4" t="str" cm="1">
        <f t="array" ref="F184">_xlfn.IFS(
AG184 &lt;&gt; "", "Jan-Dez/26",
AH184 &lt;&gt; "", "Fev-Dez/26",
AI184 &lt;&gt; "", "Mar-Dez/26", AJ184 &lt;&gt; "", "Abr-Dez/26",
TRUE, "A partir de Junho"
)</f>
        <v>A partir de Junho</v>
      </c>
      <c r="G184" s="4" t="s">
        <v>62</v>
      </c>
      <c r="H184" s="7" t="s">
        <v>54</v>
      </c>
      <c r="I184" s="8" t="s">
        <v>188</v>
      </c>
      <c r="J184" s="8" t="str" cm="1">
        <f t="array" aca="1" ref="J184" ca="1">_xlfn.LET(
  _xlpm.actual_value_month, INDEX(T184:AE184, MATCH(DATE(YEAR(TODAY()), MONTH(TODAY()), 1), $T$1:$AE$1, 0)),
  IF(_xlpm.actual_value_month &lt;&gt; "", _xlpm.actual_value_month &amp; " ações mensais", "")
)</f>
        <v/>
      </c>
      <c r="K184" s="8" t="str" cm="1">
        <f t="array" ref="K184">_xlfn.LET(
    _xlpm.sum_month, SUM(T184:AE184),
    IF(_xlpm.sum_month = 0, "", _xlpm.sum_month &amp; " taxa de aderência de treinados.")
)</f>
        <v/>
      </c>
      <c r="L184" s="9" t="s">
        <v>189</v>
      </c>
      <c r="M184" s="13">
        <v>1</v>
      </c>
      <c r="N184" s="5" t="s">
        <v>42</v>
      </c>
      <c r="O184" s="5" t="s">
        <v>43</v>
      </c>
      <c r="P184" s="10" t="s">
        <v>146</v>
      </c>
      <c r="Q184" s="10" t="s">
        <v>44</v>
      </c>
      <c r="R184" s="11" t="s">
        <v>44</v>
      </c>
      <c r="S184" s="11" t="s">
        <v>44</v>
      </c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94" t="str" cm="1">
        <f t="array" ref="AS184">IFERROR(INDEX(T184:AE184,1,MATCH(2,1/(T184:AE184&lt;&gt;""))),"")</f>
        <v/>
      </c>
      <c r="AT184" s="95">
        <f>AN184</f>
        <v>0</v>
      </c>
      <c r="AU184" s="97">
        <f t="shared" ref="AU184:AU210" si="463">AT184</f>
        <v>0</v>
      </c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65" t="str" cm="1">
        <f t="array" ref="BI184">IFERROR(INDEX(AW184:BH184,1,MATCH(2,1/(AW184:BH184&lt;&gt;""))),"")</f>
        <v/>
      </c>
      <c r="BJ184" s="68" t="str" cm="1">
        <f t="array" ref="BJ184">IF(BM184 = "", "",IFERROR(INDEX(AW184:BH184,1,MATCH(2,1/(AW184:BH184&lt;&gt;""),1)-1),""))</f>
        <v/>
      </c>
      <c r="BK184" s="58" t="str" cm="1">
        <f t="array" ref="BK184">IFERROR(INDEX(AW184:BH184,1,MATCH(2,1/(AW184:BH184&lt;&gt;""))),"")</f>
        <v/>
      </c>
      <c r="BL184" s="58" cm="1">
        <f t="array" aca="1" ref="BL184" ca="1">IF(SUM(IFERROR(IF(INDEX(AW184:INDEX(AW184:BH184, MATCH(2, 1/(AW184:BH184&lt;&gt;""), 1)-1), ROW(INDIRECT("1:" &amp; MATCH(2, 1/(AW184:BH184&lt;&gt;""), 1)-1))) &gt;= 115%, 115%, INDEX(AW184:INDEX(AW184:BH184, MATCH(2, 1/(AW184:BH184&lt;&gt;""), 1)-1), ROW(INDIRECT("1:" &amp; MATCH(2, 1/(AW184:BH184&lt;&gt;""), 1)-1)))), 0))/_xlfn.XLOOKUP(F184,Apuração!A:A,Apuração!B:B)&gt;=1.15,1.15,SUM(IFERROR(IF(INDEX(AW184:INDEX(AW184:BH184, MATCH(2, 1/(AW184:BH184&lt;&gt;""), 1)-1), ROW(INDIRECT("1:" &amp; MATCH(2, 1/(AW184:BH184&lt;&gt;""), 1)-1))) &gt;= 115%, 115%, INDEX(AW184:INDEX(AW184:BH184, MATCH(2, 1/(AW184:BH184&lt;&gt;""), 1)-1), ROW(INDIRECT("1:" &amp; MATCH(2, 1/(AW184:BH184&lt;&gt;""), 1)-1)))), 0))/_xlfn.XLOOKUP(F184,Apuração!A:A,Apuração!B:B))</f>
        <v>0</v>
      </c>
      <c r="BM184" s="55" t="str" cm="1">
        <f t="array" ref="BM184">IFERROR(
   INDEX($AW$1:$BH$1,
      _xlfn.AGGREGATE(14, 6, COLUMN($AW$1:$BH$1)/(AW184:BH184&lt;&gt;""), 2) - COLUMN($AW$1) + 1
   ),
"")</f>
        <v/>
      </c>
      <c r="BN184" s="55" t="str" cm="1">
        <f t="array" ref="BN184">IFERROR(INDEX($AW$1:$BH$1,1,MATCH(2,1/(AW184:BH184&lt;&gt;""))),"")</f>
        <v/>
      </c>
      <c r="BO184" s="53">
        <f ca="1">IFERROR(_xlfn.XLOOKUP(F184,Apuração!A:A,Apuração!C:C)/_xlfn.XLOOKUP(F184,Apuração!A:A,Apuração!B:B),0)</f>
        <v>0</v>
      </c>
      <c r="BP184" s="53">
        <f ca="1">IFERROR(_xlfn.XLOOKUP(F184,Apuração!A:A,Apuração!D:D)/_xlfn.XLOOKUP(F184,Apuração!A:A,Apuração!B:B),0)</f>
        <v>0</v>
      </c>
      <c r="BQ184" s="53">
        <f ca="1">IF(BK184&gt;=BO184,0,_xlfn.XLOOKUP(F184,Apuração!A:A,Apuração!B:B)*(BO184 + (1/_xlfn.XLOOKUP(F184,Apuração!A:A,Apuração!B:B)) - BK184))</f>
        <v>0</v>
      </c>
      <c r="BR184" s="85">
        <f t="shared" ca="1" si="261"/>
        <v>0</v>
      </c>
      <c r="BS184" s="53">
        <f ca="1">IFERROR((_xlfn.XLOOKUP(F184,Apuração!A:A,Apuração!C:C)+1)/_xlfn.XLOOKUP(F184,Apuração!A:A,Apuração!B:B),0)</f>
        <v>0.14285714285714285</v>
      </c>
    </row>
    <row r="185" spans="1:71" ht="25.95" hidden="1" customHeight="1" x14ac:dyDescent="0.3">
      <c r="A185" s="33" t="s">
        <v>175</v>
      </c>
      <c r="B185" s="4" t="s">
        <v>187</v>
      </c>
      <c r="C185" s="5" t="s">
        <v>35</v>
      </c>
      <c r="D185" s="5" t="s">
        <v>47</v>
      </c>
      <c r="E185" s="4" t="s">
        <v>96</v>
      </c>
      <c r="F185" s="4" t="str" cm="1">
        <f t="array" ref="F185">_xlfn.IFS(
AG185 &lt;&gt; "", "Jan-Dez/26",
AH185 &lt;&gt; "", "Fev-Dez/26",
AI185 &lt;&gt; "", "Mar-Dez/26", AJ185 &lt;&gt; "", "Abr-Dez/26",
TRUE, "A partir de Junho"
)</f>
        <v>A partir de Junho</v>
      </c>
      <c r="G185" s="4" t="s">
        <v>62</v>
      </c>
      <c r="H185" s="7" t="s">
        <v>54</v>
      </c>
      <c r="I185" s="8" t="s">
        <v>188</v>
      </c>
      <c r="J185" s="8" t="str" cm="1">
        <f t="array" aca="1" ref="J185" ca="1">_xlfn.LET(
  _xlpm.actual_value_month, INDEX(T185:AE185, MATCH(DATE(YEAR(TODAY()), MONTH(TODAY()), 1), $T$1:$AE$1, 0)),
  IF(_xlpm.actual_value_month &lt;&gt; "", _xlpm.actual_value_month &amp; " ações mensais", "")
)</f>
        <v/>
      </c>
      <c r="K185" s="8" t="str" cm="1">
        <f t="array" ref="K185">_xlfn.LET(
    _xlpm.sum_month, SUM(T185:AE185),
    IF(_xlpm.sum_month = 0, "", _xlpm.sum_month &amp; " taxa de aderência de treinados.")
)</f>
        <v/>
      </c>
      <c r="L185" s="9" t="s">
        <v>189</v>
      </c>
      <c r="M185" s="13">
        <v>1</v>
      </c>
      <c r="N185" s="5" t="s">
        <v>42</v>
      </c>
      <c r="O185" s="5" t="s">
        <v>43</v>
      </c>
      <c r="P185" s="10" t="s">
        <v>146</v>
      </c>
      <c r="Q185" s="10" t="s">
        <v>44</v>
      </c>
      <c r="R185" s="11" t="s">
        <v>44</v>
      </c>
      <c r="S185" s="11" t="s">
        <v>44</v>
      </c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94" t="str" cm="1">
        <f t="array" ref="AS185">IFERROR(INDEX(T185:AE185,1,MATCH(2,1/(T185:AE185&lt;&gt;""))),"")</f>
        <v/>
      </c>
      <c r="AT185" s="95">
        <f t="shared" ref="AT185:AT186" si="464">AN185</f>
        <v>0</v>
      </c>
      <c r="AU185" s="97">
        <f t="shared" ref="AU185:AU186" si="465">AT185</f>
        <v>0</v>
      </c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65" t="str" cm="1">
        <f t="array" ref="BI185">IFERROR(INDEX(AW185:BH185,1,MATCH(2,1/(AW185:BH185&lt;&gt;""))),"")</f>
        <v/>
      </c>
      <c r="BJ185" s="68" t="str" cm="1">
        <f t="array" ref="BJ185">IF(BM185 = "", "",IFERROR(INDEX(AW185:BH185,1,MATCH(2,1/(AW185:BH185&lt;&gt;""),1)-1),""))</f>
        <v/>
      </c>
      <c r="BK185" s="58" t="str" cm="1">
        <f t="array" ref="BK185">IFERROR(INDEX(AW185:BH185,1,MATCH(2,1/(AW185:BH185&lt;&gt;""))),"")</f>
        <v/>
      </c>
      <c r="BL185" s="58" cm="1">
        <f t="array" aca="1" ref="BL185" ca="1">IF(SUM(IFERROR(IF(INDEX(AW185:INDEX(AW185:BH185, MATCH(2, 1/(AW185:BH185&lt;&gt;""), 1)-1), ROW(INDIRECT("1:" &amp; MATCH(2, 1/(AW185:BH185&lt;&gt;""), 1)-1))) &gt;= 115%, 115%, INDEX(AW185:INDEX(AW185:BH185, MATCH(2, 1/(AW185:BH185&lt;&gt;""), 1)-1), ROW(INDIRECT("1:" &amp; MATCH(2, 1/(AW185:BH185&lt;&gt;""), 1)-1)))), 0))/_xlfn.XLOOKUP(F185,Apuração!A:A,Apuração!B:B)&gt;=1.15,1.15,SUM(IFERROR(IF(INDEX(AW185:INDEX(AW185:BH185, MATCH(2, 1/(AW185:BH185&lt;&gt;""), 1)-1), ROW(INDIRECT("1:" &amp; MATCH(2, 1/(AW185:BH185&lt;&gt;""), 1)-1))) &gt;= 115%, 115%, INDEX(AW185:INDEX(AW185:BH185, MATCH(2, 1/(AW185:BH185&lt;&gt;""), 1)-1), ROW(INDIRECT("1:" &amp; MATCH(2, 1/(AW185:BH185&lt;&gt;""), 1)-1)))), 0))/_xlfn.XLOOKUP(F185,Apuração!A:A,Apuração!B:B))</f>
        <v>0</v>
      </c>
      <c r="BM185" s="55" t="str" cm="1">
        <f t="array" ref="BM185">IFERROR(
   INDEX($AW$1:$BH$1,
      _xlfn.AGGREGATE(14, 6, COLUMN($AW$1:$BH$1)/(AW185:BH185&lt;&gt;""), 2) - COLUMN($AW$1) + 1
   ),
"")</f>
        <v/>
      </c>
      <c r="BN185" s="55" t="str" cm="1">
        <f t="array" ref="BN185">IFERROR(INDEX($AW$1:$BH$1,1,MATCH(2,1/(AW185:BH185&lt;&gt;""))),"")</f>
        <v/>
      </c>
      <c r="BO185" s="53">
        <f ca="1">IFERROR(_xlfn.XLOOKUP(F185,Apuração!A:A,Apuração!C:C)/_xlfn.XLOOKUP(F185,Apuração!A:A,Apuração!B:B),0)</f>
        <v>0</v>
      </c>
      <c r="BP185" s="53">
        <f ca="1">IFERROR(_xlfn.XLOOKUP(F185,Apuração!A:A,Apuração!D:D)/_xlfn.XLOOKUP(F185,Apuração!A:A,Apuração!B:B),0)</f>
        <v>0</v>
      </c>
      <c r="BQ185" s="53">
        <f ca="1">IF(BK185&gt;=BO185,0,_xlfn.XLOOKUP(F185,Apuração!A:A,Apuração!B:B)*(BO185 + (1/_xlfn.XLOOKUP(F185,Apuração!A:A,Apuração!B:B)) - BK185))</f>
        <v>0</v>
      </c>
      <c r="BR185" s="85">
        <f t="shared" ref="BR185:BR186" ca="1" si="466">IF(BQ185=0,0,BQ185*Z185)</f>
        <v>0</v>
      </c>
      <c r="BS185" s="53">
        <f ca="1">IFERROR((_xlfn.XLOOKUP(F185,Apuração!A:A,Apuração!C:C)+1)/_xlfn.XLOOKUP(F185,Apuração!A:A,Apuração!B:B),0)</f>
        <v>0.14285714285714285</v>
      </c>
    </row>
    <row r="186" spans="1:71" ht="25.95" hidden="1" customHeight="1" x14ac:dyDescent="0.3">
      <c r="A186" s="33" t="s">
        <v>175</v>
      </c>
      <c r="B186" s="4" t="s">
        <v>187</v>
      </c>
      <c r="C186" s="5" t="s">
        <v>35</v>
      </c>
      <c r="D186" s="5" t="s">
        <v>48</v>
      </c>
      <c r="E186" s="4" t="s">
        <v>96</v>
      </c>
      <c r="F186" s="4" t="str" cm="1">
        <f t="array" ref="F186">_xlfn.IFS(
AG186 &lt;&gt; "", "Jan-Dez/26",
AH186 &lt;&gt; "", "Fev-Dez/26",
AI186 &lt;&gt; "", "Mar-Dez/26", AJ186 &lt;&gt; "", "Abr-Dez/26",
TRUE, "A partir de Junho"
)</f>
        <v>A partir de Junho</v>
      </c>
      <c r="G186" s="4" t="s">
        <v>62</v>
      </c>
      <c r="H186" s="7" t="s">
        <v>54</v>
      </c>
      <c r="I186" s="8" t="s">
        <v>188</v>
      </c>
      <c r="J186" s="8" t="str" cm="1">
        <f t="array" aca="1" ref="J186" ca="1">_xlfn.LET(
  _xlpm.actual_value_month, INDEX(T186:AE186, MATCH(DATE(YEAR(TODAY()), MONTH(TODAY()), 1), $T$1:$AE$1, 0)),
  IF(_xlpm.actual_value_month &lt;&gt; "", _xlpm.actual_value_month &amp; " ações mensais", "")
)</f>
        <v/>
      </c>
      <c r="K186" s="8" t="str" cm="1">
        <f t="array" ref="K186">_xlfn.LET(
    _xlpm.sum_month, SUM(T186:AE186),
    IF(_xlpm.sum_month = 0, "", _xlpm.sum_month &amp; " taxa de aderência de treinados.")
)</f>
        <v/>
      </c>
      <c r="L186" s="9" t="s">
        <v>189</v>
      </c>
      <c r="M186" s="13">
        <v>1</v>
      </c>
      <c r="N186" s="5" t="s">
        <v>42</v>
      </c>
      <c r="O186" s="5" t="s">
        <v>43</v>
      </c>
      <c r="P186" s="10" t="s">
        <v>146</v>
      </c>
      <c r="Q186" s="10" t="s">
        <v>44</v>
      </c>
      <c r="R186" s="11" t="s">
        <v>44</v>
      </c>
      <c r="S186" s="11" t="s">
        <v>44</v>
      </c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94" t="str" cm="1">
        <f t="array" ref="AS186">IFERROR(INDEX(T186:AE186,1,MATCH(2,1/(T186:AE186&lt;&gt;""))),"")</f>
        <v/>
      </c>
      <c r="AT186" s="95">
        <f t="shared" si="464"/>
        <v>0</v>
      </c>
      <c r="AU186" s="97">
        <f t="shared" si="465"/>
        <v>0</v>
      </c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65" t="str" cm="1">
        <f t="array" ref="BI186">IFERROR(INDEX(AW186:BH186,1,MATCH(2,1/(AW186:BH186&lt;&gt;""))),"")</f>
        <v/>
      </c>
      <c r="BJ186" s="68" t="str" cm="1">
        <f t="array" ref="BJ186">IF(BM186 = "", "",IFERROR(INDEX(AW186:BH186,1,MATCH(2,1/(AW186:BH186&lt;&gt;""),1)-1),""))</f>
        <v/>
      </c>
      <c r="BK186" s="58" t="str" cm="1">
        <f t="array" ref="BK186">IFERROR(INDEX(AW186:BH186,1,MATCH(2,1/(AW186:BH186&lt;&gt;""))),"")</f>
        <v/>
      </c>
      <c r="BL186" s="58" cm="1">
        <f t="array" aca="1" ref="BL186" ca="1">IF(SUM(IFERROR(IF(INDEX(AW186:INDEX(AW186:BH186, MATCH(2, 1/(AW186:BH186&lt;&gt;""), 1)-1), ROW(INDIRECT("1:" &amp; MATCH(2, 1/(AW186:BH186&lt;&gt;""), 1)-1))) &gt;= 115%, 115%, INDEX(AW186:INDEX(AW186:BH186, MATCH(2, 1/(AW186:BH186&lt;&gt;""), 1)-1), ROW(INDIRECT("1:" &amp; MATCH(2, 1/(AW186:BH186&lt;&gt;""), 1)-1)))), 0))/_xlfn.XLOOKUP(F186,Apuração!A:A,Apuração!B:B)&gt;=1.15,1.15,SUM(IFERROR(IF(INDEX(AW186:INDEX(AW186:BH186, MATCH(2, 1/(AW186:BH186&lt;&gt;""), 1)-1), ROW(INDIRECT("1:" &amp; MATCH(2, 1/(AW186:BH186&lt;&gt;""), 1)-1))) &gt;= 115%, 115%, INDEX(AW186:INDEX(AW186:BH186, MATCH(2, 1/(AW186:BH186&lt;&gt;""), 1)-1), ROW(INDIRECT("1:" &amp; MATCH(2, 1/(AW186:BH186&lt;&gt;""), 1)-1)))), 0))/_xlfn.XLOOKUP(F186,Apuração!A:A,Apuração!B:B))</f>
        <v>0</v>
      </c>
      <c r="BM186" s="55" t="str" cm="1">
        <f t="array" ref="BM186">IFERROR(
   INDEX($AW$1:$BH$1,
      _xlfn.AGGREGATE(14, 6, COLUMN($AW$1:$BH$1)/(AW186:BH186&lt;&gt;""), 2) - COLUMN($AW$1) + 1
   ),
"")</f>
        <v/>
      </c>
      <c r="BN186" s="55" t="str" cm="1">
        <f t="array" ref="BN186">IFERROR(INDEX($AW$1:$BH$1,1,MATCH(2,1/(AW186:BH186&lt;&gt;""))),"")</f>
        <v/>
      </c>
      <c r="BO186" s="53">
        <f ca="1">IFERROR(_xlfn.XLOOKUP(F186,Apuração!A:A,Apuração!C:C)/_xlfn.XLOOKUP(F186,Apuração!A:A,Apuração!B:B),0)</f>
        <v>0</v>
      </c>
      <c r="BP186" s="53">
        <f ca="1">IFERROR(_xlfn.XLOOKUP(F186,Apuração!A:A,Apuração!D:D)/_xlfn.XLOOKUP(F186,Apuração!A:A,Apuração!B:B),0)</f>
        <v>0</v>
      </c>
      <c r="BQ186" s="53">
        <f ca="1">IF(BK186&gt;=BO186,0,_xlfn.XLOOKUP(F186,Apuração!A:A,Apuração!B:B)*(BO186 + (1/_xlfn.XLOOKUP(F186,Apuração!A:A,Apuração!B:B)) - BK186))</f>
        <v>0</v>
      </c>
      <c r="BR186" s="85">
        <f t="shared" ca="1" si="466"/>
        <v>0</v>
      </c>
      <c r="BS186" s="53">
        <f ca="1">IFERROR((_xlfn.XLOOKUP(F186,Apuração!A:A,Apuração!C:C)+1)/_xlfn.XLOOKUP(F186,Apuração!A:A,Apuração!B:B),0)</f>
        <v>0.14285714285714285</v>
      </c>
    </row>
    <row r="187" spans="1:71" ht="25.95" hidden="1" customHeight="1" x14ac:dyDescent="0.3">
      <c r="A187" s="44" t="s">
        <v>175</v>
      </c>
      <c r="B187" s="4" t="s">
        <v>187</v>
      </c>
      <c r="C187" s="5" t="s">
        <v>35</v>
      </c>
      <c r="D187" s="5" t="s">
        <v>36</v>
      </c>
      <c r="E187" s="4" t="s">
        <v>96</v>
      </c>
      <c r="F187" s="4" t="str" cm="1">
        <f t="array" ref="F187">_xlfn.IFS(
AG187 &lt;&gt; "", "Jan-Dez/26",
AH187 &lt;&gt; "", "Fev-Dez/26",
AI187 &lt;&gt; "", "Mar-Dez/26", AJ187 &lt;&gt; "", "Abr-Dez/26",
TRUE, "A partir de Junho"
)</f>
        <v>A partir de Junho</v>
      </c>
      <c r="G187" s="4" t="s">
        <v>62</v>
      </c>
      <c r="H187" s="7" t="s">
        <v>54</v>
      </c>
      <c r="I187" s="21" t="s">
        <v>190</v>
      </c>
      <c r="J187" s="8" t="str" cm="1">
        <f t="array" aca="1" ref="J187" ca="1">_xlfn.LET(
  _xlpm.actual_value_month, INDEX(T187:AE187, MATCH(DATE(YEAR(TODAY()), MONTH(TODAY()), 1), $T$1:$AE$1, 0)),
  IF(_xlpm.actual_value_month &lt;&gt; "", _xlpm.actual_value_month &amp; " ações mensais", "")
)</f>
        <v/>
      </c>
      <c r="K187" s="8" t="str" cm="1">
        <f t="array" ref="K187">_xlfn.LET(
    _xlpm.sum_month, SUM(T187:AE187),
    IF(_xlpm.sum_month = 0, "", _xlpm.sum_month &amp; " treinados não mapeados.")
)</f>
        <v/>
      </c>
      <c r="L187" s="9" t="s">
        <v>191</v>
      </c>
      <c r="M187" s="13">
        <v>1</v>
      </c>
      <c r="N187" s="5" t="s">
        <v>51</v>
      </c>
      <c r="O187" s="5" t="s">
        <v>52</v>
      </c>
      <c r="P187" s="10" t="s">
        <v>146</v>
      </c>
      <c r="Q187" s="10" t="s">
        <v>44</v>
      </c>
      <c r="R187" s="11" t="s">
        <v>44</v>
      </c>
      <c r="S187" s="11" t="s">
        <v>44</v>
      </c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94" t="str" cm="1">
        <f t="array" ref="AS187">IFERROR(INDEX(T187:AE187,1,MATCH(2,1/(T187:AE187&lt;&gt;""))),"")</f>
        <v/>
      </c>
      <c r="AT187" s="95">
        <f>AN187</f>
        <v>0</v>
      </c>
      <c r="AU187" s="97">
        <f t="shared" si="463"/>
        <v>0</v>
      </c>
      <c r="AW187" s="83">
        <f>AG187</f>
        <v>0</v>
      </c>
      <c r="AX187" s="52">
        <f t="shared" ref="AX187" si="467">AH187</f>
        <v>0</v>
      </c>
      <c r="AY187" s="52">
        <f t="shared" ref="AY187" si="468">AI187</f>
        <v>0</v>
      </c>
      <c r="AZ187" s="52"/>
      <c r="BA187" s="52"/>
      <c r="BB187" s="52"/>
      <c r="BC187" s="52"/>
      <c r="BD187" s="52"/>
      <c r="BE187" s="52"/>
      <c r="BF187" s="52"/>
      <c r="BG187" s="52"/>
      <c r="BH187" s="52"/>
      <c r="BI187" s="68" cm="1">
        <f t="array" ref="BI187">IFERROR(INDEX(AW187:BH187,1,MATCH(2,1/(AW187:BH187&lt;&gt;""))),"")</f>
        <v>0</v>
      </c>
      <c r="BJ187" s="68" cm="1">
        <f t="array" ref="BJ187">IF(BM187 = "", "",IFERROR(INDEX(AW187:BH187,1,MATCH(2,1/(AW187:BH187&lt;&gt;""),1)-1),""))</f>
        <v>0</v>
      </c>
      <c r="BK187" s="59">
        <f>SUM(AW187:BH187)</f>
        <v>0</v>
      </c>
      <c r="BL187" s="59">
        <f>SUM(AW187:BE187)</f>
        <v>0</v>
      </c>
      <c r="BM187" s="55" cm="1">
        <f t="array" ref="BM187">IFERROR(
   INDEX($AW$1:$BH$1,
      _xlfn.AGGREGATE(14, 6, COLUMN($AW$1:$BH$1)/(AW187:BH187&lt;&gt;""), 2) - COLUMN($AW$1) + 1
   ),
"")</f>
        <v>46054</v>
      </c>
      <c r="BN187" s="55" cm="1">
        <f t="array" ref="BN187">IFERROR(INDEX($AW$1:$BH$1,1,MATCH(2,1/(AW187:BH187&lt;&gt;""))),"")</f>
        <v>46082</v>
      </c>
      <c r="BO187" s="53">
        <f ca="1">IFERROR(_xlfn.XLOOKUP(F187,Apuração!A:A,Apuração!C:C)/_xlfn.XLOOKUP(F187,Apuração!A:A,Apuração!B:B),0)</f>
        <v>0</v>
      </c>
      <c r="BP187" s="53">
        <f ca="1">IFERROR(_xlfn.XLOOKUP(F187,Apuração!A:A,Apuração!D:D)/_xlfn.XLOOKUP(F187,Apuração!A:A,Apuração!B:B),0)</f>
        <v>0</v>
      </c>
      <c r="BQ187" s="53">
        <f ca="1">IF(BK187&gt;=BO187,0,_xlfn.XLOOKUP(F187,Apuração!A:A,Apuração!B:B)*(BO187 + (1/_xlfn.XLOOKUP(F187,Apuração!A:A,Apuração!B:B)) - BK187))</f>
        <v>0</v>
      </c>
      <c r="BR187" s="85">
        <f t="shared" ca="1" si="261"/>
        <v>0</v>
      </c>
      <c r="BS187" s="53">
        <f ca="1">IFERROR((_xlfn.XLOOKUP(F187,Apuração!A:A,Apuração!C:C)+1)/_xlfn.XLOOKUP(F187,Apuração!A:A,Apuração!B:B),0)</f>
        <v>0.14285714285714285</v>
      </c>
    </row>
    <row r="188" spans="1:71" ht="25.95" hidden="1" customHeight="1" x14ac:dyDescent="0.3">
      <c r="A188" s="44" t="s">
        <v>175</v>
      </c>
      <c r="B188" s="4" t="s">
        <v>187</v>
      </c>
      <c r="C188" s="5" t="s">
        <v>35</v>
      </c>
      <c r="D188" s="5" t="s">
        <v>47</v>
      </c>
      <c r="E188" s="4" t="s">
        <v>96</v>
      </c>
      <c r="F188" s="4" t="str" cm="1">
        <f t="array" ref="F188">_xlfn.IFS(
AG188 &lt;&gt; "", "Jan-Dez/26",
AH188 &lt;&gt; "", "Fev-Dez/26",
AI188 &lt;&gt; "", "Mar-Dez/26", AJ188 &lt;&gt; "", "Abr-Dez/26",
TRUE, "A partir de Junho"
)</f>
        <v>A partir de Junho</v>
      </c>
      <c r="G188" s="4" t="s">
        <v>62</v>
      </c>
      <c r="H188" s="7" t="s">
        <v>54</v>
      </c>
      <c r="I188" s="21" t="s">
        <v>190</v>
      </c>
      <c r="J188" s="8" t="str" cm="1">
        <f t="array" aca="1" ref="J188" ca="1">_xlfn.LET(
  _xlpm.actual_value_month, INDEX(T188:AE188, MATCH(DATE(YEAR(TODAY()), MONTH(TODAY()), 1), $T$1:$AE$1, 0)),
  IF(_xlpm.actual_value_month &lt;&gt; "", _xlpm.actual_value_month &amp; " ações mensais", "")
)</f>
        <v/>
      </c>
      <c r="K188" s="8" t="str" cm="1">
        <f t="array" ref="K188">_xlfn.LET(
    _xlpm.sum_month, SUM(T188:AE188),
    IF(_xlpm.sum_month = 0, "", _xlpm.sum_month &amp; " treinados não mapeados.")
)</f>
        <v/>
      </c>
      <c r="L188" s="9" t="s">
        <v>191</v>
      </c>
      <c r="M188" s="13">
        <v>1</v>
      </c>
      <c r="N188" s="5" t="s">
        <v>51</v>
      </c>
      <c r="O188" s="5" t="s">
        <v>52</v>
      </c>
      <c r="P188" s="10" t="s">
        <v>146</v>
      </c>
      <c r="Q188" s="10" t="s">
        <v>44</v>
      </c>
      <c r="R188" s="11" t="s">
        <v>44</v>
      </c>
      <c r="S188" s="11" t="s">
        <v>44</v>
      </c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94" t="str" cm="1">
        <f t="array" ref="AS188">IFERROR(INDEX(T188:AE188,1,MATCH(2,1/(T188:AE188&lt;&gt;""))),"")</f>
        <v/>
      </c>
      <c r="AT188" s="95">
        <f t="shared" ref="AT188:AT189" si="469">AN188</f>
        <v>0</v>
      </c>
      <c r="AU188" s="97">
        <f t="shared" ref="AU188:AU189" si="470">AT188</f>
        <v>0</v>
      </c>
      <c r="AW188" s="83">
        <f t="shared" ref="AW188:AW189" si="471">AG188</f>
        <v>0</v>
      </c>
      <c r="AX188" s="52">
        <f t="shared" ref="AX188:AX189" si="472">AH188</f>
        <v>0</v>
      </c>
      <c r="AY188" s="52">
        <f t="shared" ref="AY188:AY189" si="473">AI188</f>
        <v>0</v>
      </c>
      <c r="AZ188" s="52"/>
      <c r="BA188" s="52"/>
      <c r="BB188" s="52"/>
      <c r="BC188" s="52"/>
      <c r="BD188" s="52"/>
      <c r="BE188" s="52"/>
      <c r="BF188" s="52"/>
      <c r="BG188" s="52"/>
      <c r="BH188" s="52"/>
      <c r="BI188" s="68" cm="1">
        <f t="array" ref="BI188">IFERROR(INDEX(AW188:BH188,1,MATCH(2,1/(AW188:BH188&lt;&gt;""))),"")</f>
        <v>0</v>
      </c>
      <c r="BJ188" s="68" cm="1">
        <f t="array" ref="BJ188">IF(BM188 = "", "",IFERROR(INDEX(AW188:BH188,1,MATCH(2,1/(AW188:BH188&lt;&gt;""),1)-1),""))</f>
        <v>0</v>
      </c>
      <c r="BK188" s="59">
        <f t="shared" ref="BK188:BK189" si="474">SUM(AW188:BH188)</f>
        <v>0</v>
      </c>
      <c r="BL188" s="59">
        <f t="shared" ref="BL188:BL189" si="475">SUM(AW188:BE188)</f>
        <v>0</v>
      </c>
      <c r="BM188" s="55" cm="1">
        <f t="array" ref="BM188">IFERROR(
   INDEX($AW$1:$BH$1,
      _xlfn.AGGREGATE(14, 6, COLUMN($AW$1:$BH$1)/(AW188:BH188&lt;&gt;""), 2) - COLUMN($AW$1) + 1
   ),
"")</f>
        <v>46054</v>
      </c>
      <c r="BN188" s="55" cm="1">
        <f t="array" ref="BN188">IFERROR(INDEX($AW$1:$BH$1,1,MATCH(2,1/(AW188:BH188&lt;&gt;""))),"")</f>
        <v>46082</v>
      </c>
      <c r="BO188" s="53">
        <f ca="1">IFERROR(_xlfn.XLOOKUP(F188,Apuração!A:A,Apuração!C:C)/_xlfn.XLOOKUP(F188,Apuração!A:A,Apuração!B:B),0)</f>
        <v>0</v>
      </c>
      <c r="BP188" s="53">
        <f ca="1">IFERROR(_xlfn.XLOOKUP(F188,Apuração!A:A,Apuração!D:D)/_xlfn.XLOOKUP(F188,Apuração!A:A,Apuração!B:B),0)</f>
        <v>0</v>
      </c>
      <c r="BQ188" s="53">
        <f ca="1">IF(BK188&gt;=BO188,0,_xlfn.XLOOKUP(F188,Apuração!A:A,Apuração!B:B)*(BO188 + (1/_xlfn.XLOOKUP(F188,Apuração!A:A,Apuração!B:B)) - BK188))</f>
        <v>0</v>
      </c>
      <c r="BR188" s="85">
        <f t="shared" ref="BR188:BR189" ca="1" si="476">IF(BQ188=0,0,BQ188*Z188)</f>
        <v>0</v>
      </c>
      <c r="BS188" s="53">
        <f ca="1">IFERROR((_xlfn.XLOOKUP(F188,Apuração!A:A,Apuração!C:C)+1)/_xlfn.XLOOKUP(F188,Apuração!A:A,Apuração!B:B),0)</f>
        <v>0.14285714285714285</v>
      </c>
    </row>
    <row r="189" spans="1:71" ht="25.95" hidden="1" customHeight="1" x14ac:dyDescent="0.3">
      <c r="A189" s="44" t="s">
        <v>175</v>
      </c>
      <c r="B189" s="4" t="s">
        <v>187</v>
      </c>
      <c r="C189" s="5" t="s">
        <v>35</v>
      </c>
      <c r="D189" s="5" t="s">
        <v>48</v>
      </c>
      <c r="E189" s="4" t="s">
        <v>96</v>
      </c>
      <c r="F189" s="4" t="str" cm="1">
        <f t="array" ref="F189">_xlfn.IFS(
AG189 &lt;&gt; "", "Jan-Dez/26",
AH189 &lt;&gt; "", "Fev-Dez/26",
AI189 &lt;&gt; "", "Mar-Dez/26", AJ189 &lt;&gt; "", "Abr-Dez/26",
TRUE, "A partir de Junho"
)</f>
        <v>A partir de Junho</v>
      </c>
      <c r="G189" s="4" t="s">
        <v>62</v>
      </c>
      <c r="H189" s="7" t="s">
        <v>54</v>
      </c>
      <c r="I189" s="21" t="s">
        <v>190</v>
      </c>
      <c r="J189" s="8" t="str" cm="1">
        <f t="array" aca="1" ref="J189" ca="1">_xlfn.LET(
  _xlpm.actual_value_month, INDEX(T189:AE189, MATCH(DATE(YEAR(TODAY()), MONTH(TODAY()), 1), $T$1:$AE$1, 0)),
  IF(_xlpm.actual_value_month &lt;&gt; "", _xlpm.actual_value_month &amp; " ações mensais", "")
)</f>
        <v/>
      </c>
      <c r="K189" s="8" t="str" cm="1">
        <f t="array" ref="K189">_xlfn.LET(
    _xlpm.sum_month, SUM(T189:AE189),
    IF(_xlpm.sum_month = 0, "", _xlpm.sum_month &amp; " treinados não mapeados.")
)</f>
        <v/>
      </c>
      <c r="L189" s="9" t="s">
        <v>191</v>
      </c>
      <c r="M189" s="13">
        <v>1</v>
      </c>
      <c r="N189" s="5" t="s">
        <v>51</v>
      </c>
      <c r="O189" s="5" t="s">
        <v>52</v>
      </c>
      <c r="P189" s="10" t="s">
        <v>146</v>
      </c>
      <c r="Q189" s="10" t="s">
        <v>44</v>
      </c>
      <c r="R189" s="11" t="s">
        <v>44</v>
      </c>
      <c r="S189" s="11" t="s">
        <v>44</v>
      </c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94" t="str" cm="1">
        <f t="array" ref="AS189">IFERROR(INDEX(T189:AE189,1,MATCH(2,1/(T189:AE189&lt;&gt;""))),"")</f>
        <v/>
      </c>
      <c r="AT189" s="95">
        <f t="shared" si="469"/>
        <v>0</v>
      </c>
      <c r="AU189" s="97">
        <f t="shared" si="470"/>
        <v>0</v>
      </c>
      <c r="AW189" s="83">
        <f t="shared" si="471"/>
        <v>0</v>
      </c>
      <c r="AX189" s="52">
        <f t="shared" si="472"/>
        <v>0</v>
      </c>
      <c r="AY189" s="52">
        <f t="shared" si="473"/>
        <v>0</v>
      </c>
      <c r="AZ189" s="52"/>
      <c r="BA189" s="52"/>
      <c r="BB189" s="52"/>
      <c r="BC189" s="52"/>
      <c r="BD189" s="52"/>
      <c r="BE189" s="52"/>
      <c r="BF189" s="52"/>
      <c r="BG189" s="52"/>
      <c r="BH189" s="52"/>
      <c r="BI189" s="68" cm="1">
        <f t="array" ref="BI189">IFERROR(INDEX(AW189:BH189,1,MATCH(2,1/(AW189:BH189&lt;&gt;""))),"")</f>
        <v>0</v>
      </c>
      <c r="BJ189" s="68" cm="1">
        <f t="array" ref="BJ189">IF(BM189 = "", "",IFERROR(INDEX(AW189:BH189,1,MATCH(2,1/(AW189:BH189&lt;&gt;""),1)-1),""))</f>
        <v>0</v>
      </c>
      <c r="BK189" s="59">
        <f t="shared" si="474"/>
        <v>0</v>
      </c>
      <c r="BL189" s="59">
        <f t="shared" si="475"/>
        <v>0</v>
      </c>
      <c r="BM189" s="55" cm="1">
        <f t="array" ref="BM189">IFERROR(
   INDEX($AW$1:$BH$1,
      _xlfn.AGGREGATE(14, 6, COLUMN($AW$1:$BH$1)/(AW189:BH189&lt;&gt;""), 2) - COLUMN($AW$1) + 1
   ),
"")</f>
        <v>46054</v>
      </c>
      <c r="BN189" s="55" cm="1">
        <f t="array" ref="BN189">IFERROR(INDEX($AW$1:$BH$1,1,MATCH(2,1/(AW189:BH189&lt;&gt;""))),"")</f>
        <v>46082</v>
      </c>
      <c r="BO189" s="53">
        <f ca="1">IFERROR(_xlfn.XLOOKUP(F189,Apuração!A:A,Apuração!C:C)/_xlfn.XLOOKUP(F189,Apuração!A:A,Apuração!B:B),0)</f>
        <v>0</v>
      </c>
      <c r="BP189" s="53">
        <f ca="1">IFERROR(_xlfn.XLOOKUP(F189,Apuração!A:A,Apuração!D:D)/_xlfn.XLOOKUP(F189,Apuração!A:A,Apuração!B:B),0)</f>
        <v>0</v>
      </c>
      <c r="BQ189" s="53">
        <f ca="1">IF(BK189&gt;=BO189,0,_xlfn.XLOOKUP(F189,Apuração!A:A,Apuração!B:B)*(BO189 + (1/_xlfn.XLOOKUP(F189,Apuração!A:A,Apuração!B:B)) - BK189))</f>
        <v>0</v>
      </c>
      <c r="BR189" s="85">
        <f t="shared" ca="1" si="476"/>
        <v>0</v>
      </c>
      <c r="BS189" s="53">
        <f ca="1">IFERROR((_xlfn.XLOOKUP(F189,Apuração!A:A,Apuração!C:C)+1)/_xlfn.XLOOKUP(F189,Apuração!A:A,Apuração!B:B),0)</f>
        <v>0.14285714285714285</v>
      </c>
    </row>
    <row r="190" spans="1:71" ht="25.95" hidden="1" customHeight="1" x14ac:dyDescent="0.3">
      <c r="A190" s="44" t="s">
        <v>175</v>
      </c>
      <c r="B190" s="4" t="s">
        <v>187</v>
      </c>
      <c r="C190" s="5" t="s">
        <v>35</v>
      </c>
      <c r="D190" s="5" t="s">
        <v>36</v>
      </c>
      <c r="E190" s="4" t="s">
        <v>96</v>
      </c>
      <c r="F190" s="4" t="str" cm="1">
        <f t="array" ref="F190">_xlfn.IFS(
AG190 &lt;&gt; "", "Jan-Dez/26",
AH190 &lt;&gt; "", "Fev-Dez/26",
AI190 &lt;&gt; "", "Mar-Dez/26", AJ190 &lt;&gt; "", "Abr-Dez/26",
TRUE, "A partir de Junho"
)</f>
        <v>A partir de Junho</v>
      </c>
      <c r="G190" s="4" t="s">
        <v>62</v>
      </c>
      <c r="H190" s="7" t="s">
        <v>54</v>
      </c>
      <c r="I190" s="34" t="s">
        <v>192</v>
      </c>
      <c r="J190" s="8" t="str" cm="1">
        <f t="array" aca="1" ref="J190" ca="1">_xlfn.LET(
  _xlpm.actual_value_month, INDEX(T190:AE190, MATCH(DATE(YEAR(TODAY()), MONTH(TODAY()), 1), $T$1:$AE$1, 0)),
  IF(_xlpm.actual_value_month &lt;&gt; "", _xlpm.actual_value_month &amp; " ações mensais", "")
)</f>
        <v/>
      </c>
      <c r="K190" s="34" t="str" cm="1">
        <f t="array" ref="K190">_xlfn.LET(
    _xlpm.sum_month, SUM(T190:AE190),
    IF(_xlpm.sum_month = 0, "", _xlpm.sum_month &amp; " colaboradores treinados.")
)</f>
        <v/>
      </c>
      <c r="L190" s="4" t="s">
        <v>193</v>
      </c>
      <c r="M190" s="9"/>
      <c r="N190" s="5" t="s">
        <v>51</v>
      </c>
      <c r="O190" s="5" t="s">
        <v>52</v>
      </c>
      <c r="P190" s="10" t="s">
        <v>44</v>
      </c>
      <c r="Q190" s="10" t="s">
        <v>44</v>
      </c>
      <c r="R190" s="11" t="s">
        <v>44</v>
      </c>
      <c r="S190" s="11" t="s">
        <v>44</v>
      </c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94" t="str" cm="1">
        <f t="array" ref="AS190">IFERROR(INDEX(T190:AE190,1,MATCH(2,1/(T190:AE190&lt;&gt;""))),"")</f>
        <v/>
      </c>
      <c r="AT190" s="95">
        <f>AN190</f>
        <v>0</v>
      </c>
      <c r="AU190" s="97">
        <f t="shared" si="463"/>
        <v>0</v>
      </c>
      <c r="AW190" s="52">
        <f>IFERROR(IF(T190="",0,T190/AG190),0)</f>
        <v>0</v>
      </c>
      <c r="AX190" s="52">
        <f>IFERROR(IF(U190="",0,U190/AH190),0)</f>
        <v>0</v>
      </c>
      <c r="AY190" s="118">
        <f>IFERROR(IF(V190="",0,V190/AI190),0)</f>
        <v>0</v>
      </c>
      <c r="AZ190" s="52"/>
      <c r="BA190" s="52"/>
      <c r="BB190" s="52"/>
      <c r="BC190" s="52"/>
      <c r="BD190" s="52"/>
      <c r="BE190" s="52"/>
      <c r="BF190" s="52"/>
      <c r="BG190" s="52"/>
      <c r="BH190" s="52"/>
      <c r="BI190" s="68" cm="1">
        <f t="array" ref="BI190">IFERROR(INDEX(AW190:BH190,1,MATCH(2,1/(AW190:BH190&lt;&gt;""))),"")</f>
        <v>0</v>
      </c>
      <c r="BJ190" s="68" cm="1">
        <f t="array" ref="BJ190">IF(BM190 = "", "",IFERROR(INDEX(AW190:BH190,1,MATCH(2,1/(AW190:BH190&lt;&gt;""),1)-1),""))</f>
        <v>0</v>
      </c>
      <c r="BK190" s="59">
        <f>SUM(AW190:BH190)</f>
        <v>0</v>
      </c>
      <c r="BL190" s="59">
        <f>SUM(AW190:BE190)</f>
        <v>0</v>
      </c>
      <c r="BM190" s="55" cm="1">
        <f t="array" ref="BM190">IFERROR(
   INDEX($AW$1:$BH$1,
      _xlfn.AGGREGATE(14, 6, COLUMN($AW$1:$BH$1)/(AW190:BH190&lt;&gt;""), 2) - COLUMN($AW$1) + 1
   ),
"")</f>
        <v>46054</v>
      </c>
      <c r="BN190" s="55" cm="1">
        <f t="array" ref="BN190">IFERROR(INDEX($AW$1:$BH$1,1,MATCH(2,1/(AW190:BH190&lt;&gt;""))),"")</f>
        <v>46082</v>
      </c>
      <c r="BO190" s="53">
        <f ca="1">IFERROR(_xlfn.XLOOKUP(F190,Apuração!A:A,Apuração!C:C)/_xlfn.XLOOKUP(F190,Apuração!A:A,Apuração!B:B),0)</f>
        <v>0</v>
      </c>
      <c r="BP190" s="53">
        <f ca="1">IFERROR(_xlfn.XLOOKUP(F190,Apuração!A:A,Apuração!D:D)/_xlfn.XLOOKUP(F190,Apuração!A:A,Apuração!B:B),0)</f>
        <v>0</v>
      </c>
      <c r="BQ190" s="53">
        <f ca="1">IF(BK190&gt;=BO190,0,_xlfn.XLOOKUP(F190,Apuração!A:A,Apuração!B:B)*(BO190 + (1/_xlfn.XLOOKUP(F190,Apuração!A:A,Apuração!B:B)) - BK190))</f>
        <v>0</v>
      </c>
      <c r="BR190" s="85">
        <f t="shared" ca="1" si="261"/>
        <v>0</v>
      </c>
      <c r="BS190" s="53">
        <f ca="1">IFERROR((_xlfn.XLOOKUP(F190,Apuração!A:A,Apuração!C:C)+1)/_xlfn.XLOOKUP(F190,Apuração!A:A,Apuração!B:B),0)</f>
        <v>0.14285714285714285</v>
      </c>
    </row>
    <row r="191" spans="1:71" ht="25.95" hidden="1" customHeight="1" x14ac:dyDescent="0.3">
      <c r="A191" s="44" t="s">
        <v>175</v>
      </c>
      <c r="B191" s="4" t="s">
        <v>187</v>
      </c>
      <c r="C191" s="5" t="s">
        <v>35</v>
      </c>
      <c r="D191" s="5" t="s">
        <v>47</v>
      </c>
      <c r="E191" s="4" t="s">
        <v>96</v>
      </c>
      <c r="F191" s="4" t="str" cm="1">
        <f t="array" ref="F191">_xlfn.IFS(
AG191 &lt;&gt; "", "Jan-Dez/26",
AH191 &lt;&gt; "", "Fev-Dez/26",
AI191 &lt;&gt; "", "Mar-Dez/26", AJ191 &lt;&gt; "", "Abr-Dez/26",
TRUE, "A partir de Junho"
)</f>
        <v>A partir de Junho</v>
      </c>
      <c r="G191" s="4" t="s">
        <v>62</v>
      </c>
      <c r="H191" s="7" t="s">
        <v>54</v>
      </c>
      <c r="I191" s="34" t="s">
        <v>192</v>
      </c>
      <c r="J191" s="8" t="str" cm="1">
        <f t="array" aca="1" ref="J191" ca="1">_xlfn.LET(
  _xlpm.actual_value_month, INDEX(T191:AE191, MATCH(DATE(YEAR(TODAY()), MONTH(TODAY()), 1), $T$1:$AE$1, 0)),
  IF(_xlpm.actual_value_month &lt;&gt; "", _xlpm.actual_value_month &amp; " ações mensais", "")
)</f>
        <v/>
      </c>
      <c r="K191" s="34" t="str" cm="1">
        <f t="array" ref="K191">_xlfn.LET(
    _xlpm.sum_month, SUM(T191:AE191),
    IF(_xlpm.sum_month = 0, "", _xlpm.sum_month &amp; " colaboradores treinados.")
)</f>
        <v/>
      </c>
      <c r="L191" s="4" t="s">
        <v>193</v>
      </c>
      <c r="M191" s="9"/>
      <c r="N191" s="5" t="s">
        <v>51</v>
      </c>
      <c r="O191" s="5" t="s">
        <v>52</v>
      </c>
      <c r="P191" s="10" t="s">
        <v>44</v>
      </c>
      <c r="Q191" s="10" t="s">
        <v>44</v>
      </c>
      <c r="R191" s="11" t="s">
        <v>44</v>
      </c>
      <c r="S191" s="11" t="s">
        <v>44</v>
      </c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94" t="str" cm="1">
        <f t="array" ref="AS191">IFERROR(INDEX(T191:AE191,1,MATCH(2,1/(T191:AE191&lt;&gt;""))),"")</f>
        <v/>
      </c>
      <c r="AT191" s="95">
        <f t="shared" ref="AT191:AT192" si="477">AN191</f>
        <v>0</v>
      </c>
      <c r="AU191" s="97">
        <f t="shared" ref="AU191:AU192" si="478">AT191</f>
        <v>0</v>
      </c>
      <c r="AW191" s="52">
        <f t="shared" ref="AW191:AW192" si="479">IFERROR(IF(T191="",0,T191/AG191),0)</f>
        <v>0</v>
      </c>
      <c r="AX191" s="52">
        <f t="shared" ref="AX191:AX192" si="480">IFERROR(IF(U191="",0,U191/AH191),0)</f>
        <v>0</v>
      </c>
      <c r="AY191" s="118">
        <f t="shared" ref="AY191:AY192" si="481">IFERROR(IF(V191="",0,V191/AI191),0)</f>
        <v>0</v>
      </c>
      <c r="AZ191" s="52"/>
      <c r="BA191" s="52"/>
      <c r="BB191" s="52"/>
      <c r="BC191" s="52"/>
      <c r="BD191" s="52"/>
      <c r="BE191" s="52"/>
      <c r="BF191" s="52"/>
      <c r="BG191" s="52"/>
      <c r="BH191" s="52"/>
      <c r="BI191" s="68" cm="1">
        <f t="array" ref="BI191">IFERROR(INDEX(AW191:BH191,1,MATCH(2,1/(AW191:BH191&lt;&gt;""))),"")</f>
        <v>0</v>
      </c>
      <c r="BJ191" s="68" cm="1">
        <f t="array" ref="BJ191">IF(BM191 = "", "",IFERROR(INDEX(AW191:BH191,1,MATCH(2,1/(AW191:BH191&lt;&gt;""),1)-1),""))</f>
        <v>0</v>
      </c>
      <c r="BK191" s="59">
        <f t="shared" ref="BK191:BK192" si="482">SUM(AW191:BH191)</f>
        <v>0</v>
      </c>
      <c r="BL191" s="59">
        <f t="shared" ref="BL191:BL192" si="483">SUM(AW191:BE191)</f>
        <v>0</v>
      </c>
      <c r="BM191" s="55" cm="1">
        <f t="array" ref="BM191">IFERROR(
   INDEX($AW$1:$BH$1,
      _xlfn.AGGREGATE(14, 6, COLUMN($AW$1:$BH$1)/(AW191:BH191&lt;&gt;""), 2) - COLUMN($AW$1) + 1
   ),
"")</f>
        <v>46054</v>
      </c>
      <c r="BN191" s="55" cm="1">
        <f t="array" ref="BN191">IFERROR(INDEX($AW$1:$BH$1,1,MATCH(2,1/(AW191:BH191&lt;&gt;""))),"")</f>
        <v>46082</v>
      </c>
      <c r="BO191" s="53">
        <f ca="1">IFERROR(_xlfn.XLOOKUP(F191,Apuração!A:A,Apuração!C:C)/_xlfn.XLOOKUP(F191,Apuração!A:A,Apuração!B:B),0)</f>
        <v>0</v>
      </c>
      <c r="BP191" s="53">
        <f ca="1">IFERROR(_xlfn.XLOOKUP(F191,Apuração!A:A,Apuração!D:D)/_xlfn.XLOOKUP(F191,Apuração!A:A,Apuração!B:B),0)</f>
        <v>0</v>
      </c>
      <c r="BQ191" s="53">
        <f ca="1">IF(BK191&gt;=BO191,0,_xlfn.XLOOKUP(F191,Apuração!A:A,Apuração!B:B)*(BO191 + (1/_xlfn.XLOOKUP(F191,Apuração!A:A,Apuração!B:B)) - BK191))</f>
        <v>0</v>
      </c>
      <c r="BR191" s="85">
        <f t="shared" ref="BR191:BR192" ca="1" si="484">IF(BQ191=0,0,BQ191*Z191)</f>
        <v>0</v>
      </c>
      <c r="BS191" s="53">
        <f ca="1">IFERROR((_xlfn.XLOOKUP(F191,Apuração!A:A,Apuração!C:C)+1)/_xlfn.XLOOKUP(F191,Apuração!A:A,Apuração!B:B),0)</f>
        <v>0.14285714285714285</v>
      </c>
    </row>
    <row r="192" spans="1:71" ht="25.95" hidden="1" customHeight="1" x14ac:dyDescent="0.3">
      <c r="A192" s="44" t="s">
        <v>175</v>
      </c>
      <c r="B192" s="4" t="s">
        <v>187</v>
      </c>
      <c r="C192" s="5" t="s">
        <v>35</v>
      </c>
      <c r="D192" s="5" t="s">
        <v>48</v>
      </c>
      <c r="E192" s="4" t="s">
        <v>96</v>
      </c>
      <c r="F192" s="4" t="str" cm="1">
        <f t="array" ref="F192">_xlfn.IFS(
AG192 &lt;&gt; "", "Jan-Dez/26",
AH192 &lt;&gt; "", "Fev-Dez/26",
AI192 &lt;&gt; "", "Mar-Dez/26", AJ192 &lt;&gt; "", "Abr-Dez/26",
TRUE, "A partir de Junho"
)</f>
        <v>A partir de Junho</v>
      </c>
      <c r="G192" s="4" t="s">
        <v>62</v>
      </c>
      <c r="H192" s="7" t="s">
        <v>54</v>
      </c>
      <c r="I192" s="34" t="s">
        <v>192</v>
      </c>
      <c r="J192" s="8" t="str" cm="1">
        <f t="array" aca="1" ref="J192" ca="1">_xlfn.LET(
  _xlpm.actual_value_month, INDEX(T192:AE192, MATCH(DATE(YEAR(TODAY()), MONTH(TODAY()), 1), $T$1:$AE$1, 0)),
  IF(_xlpm.actual_value_month &lt;&gt; "", _xlpm.actual_value_month &amp; " ações mensais", "")
)</f>
        <v/>
      </c>
      <c r="K192" s="34" t="str" cm="1">
        <f t="array" ref="K192">_xlfn.LET(
    _xlpm.sum_month, SUM(T192:AE192),
    IF(_xlpm.sum_month = 0, "", _xlpm.sum_month &amp; " colaboradores treinados.")
)</f>
        <v/>
      </c>
      <c r="L192" s="4" t="s">
        <v>193</v>
      </c>
      <c r="M192" s="9"/>
      <c r="N192" s="5" t="s">
        <v>51</v>
      </c>
      <c r="O192" s="5" t="s">
        <v>52</v>
      </c>
      <c r="P192" s="10" t="s">
        <v>44</v>
      </c>
      <c r="Q192" s="10" t="s">
        <v>44</v>
      </c>
      <c r="R192" s="11" t="s">
        <v>44</v>
      </c>
      <c r="S192" s="11" t="s">
        <v>44</v>
      </c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94" t="str" cm="1">
        <f t="array" ref="AS192">IFERROR(INDEX(T192:AE192,1,MATCH(2,1/(T192:AE192&lt;&gt;""))),"")</f>
        <v/>
      </c>
      <c r="AT192" s="95">
        <f t="shared" si="477"/>
        <v>0</v>
      </c>
      <c r="AU192" s="97">
        <f t="shared" si="478"/>
        <v>0</v>
      </c>
      <c r="AW192" s="52">
        <f t="shared" si="479"/>
        <v>0</v>
      </c>
      <c r="AX192" s="52">
        <f t="shared" si="480"/>
        <v>0</v>
      </c>
      <c r="AY192" s="118">
        <f t="shared" si="481"/>
        <v>0</v>
      </c>
      <c r="AZ192" s="52"/>
      <c r="BA192" s="52"/>
      <c r="BB192" s="52"/>
      <c r="BC192" s="52"/>
      <c r="BD192" s="52"/>
      <c r="BE192" s="52"/>
      <c r="BF192" s="52"/>
      <c r="BG192" s="52"/>
      <c r="BH192" s="52"/>
      <c r="BI192" s="68" cm="1">
        <f t="array" ref="BI192">IFERROR(INDEX(AW192:BH192,1,MATCH(2,1/(AW192:BH192&lt;&gt;""))),"")</f>
        <v>0</v>
      </c>
      <c r="BJ192" s="68" cm="1">
        <f t="array" ref="BJ192">IF(BM192 = "", "",IFERROR(INDEX(AW192:BH192,1,MATCH(2,1/(AW192:BH192&lt;&gt;""),1)-1),""))</f>
        <v>0</v>
      </c>
      <c r="BK192" s="59">
        <f t="shared" si="482"/>
        <v>0</v>
      </c>
      <c r="BL192" s="59">
        <f t="shared" si="483"/>
        <v>0</v>
      </c>
      <c r="BM192" s="55" cm="1">
        <f t="array" ref="BM192">IFERROR(
   INDEX($AW$1:$BH$1,
      _xlfn.AGGREGATE(14, 6, COLUMN($AW$1:$BH$1)/(AW192:BH192&lt;&gt;""), 2) - COLUMN($AW$1) + 1
   ),
"")</f>
        <v>46054</v>
      </c>
      <c r="BN192" s="55" cm="1">
        <f t="array" ref="BN192">IFERROR(INDEX($AW$1:$BH$1,1,MATCH(2,1/(AW192:BH192&lt;&gt;""))),"")</f>
        <v>46082</v>
      </c>
      <c r="BO192" s="53">
        <f ca="1">IFERROR(_xlfn.XLOOKUP(F192,Apuração!A:A,Apuração!C:C)/_xlfn.XLOOKUP(F192,Apuração!A:A,Apuração!B:B),0)</f>
        <v>0</v>
      </c>
      <c r="BP192" s="53">
        <f ca="1">IFERROR(_xlfn.XLOOKUP(F192,Apuração!A:A,Apuração!D:D)/_xlfn.XLOOKUP(F192,Apuração!A:A,Apuração!B:B),0)</f>
        <v>0</v>
      </c>
      <c r="BQ192" s="53">
        <f ca="1">IF(BK192&gt;=BO192,0,_xlfn.XLOOKUP(F192,Apuração!A:A,Apuração!B:B)*(BO192 + (1/_xlfn.XLOOKUP(F192,Apuração!A:A,Apuração!B:B)) - BK192))</f>
        <v>0</v>
      </c>
      <c r="BR192" s="85">
        <f t="shared" ca="1" si="484"/>
        <v>0</v>
      </c>
      <c r="BS192" s="53">
        <f ca="1">IFERROR((_xlfn.XLOOKUP(F192,Apuração!A:A,Apuração!C:C)+1)/_xlfn.XLOOKUP(F192,Apuração!A:A,Apuração!B:B),0)</f>
        <v>0.14285714285714285</v>
      </c>
    </row>
    <row r="193" spans="1:71" ht="50.1" hidden="1" customHeight="1" x14ac:dyDescent="0.3">
      <c r="A193" s="33" t="s">
        <v>175</v>
      </c>
      <c r="B193" s="4" t="s">
        <v>194</v>
      </c>
      <c r="C193" s="5" t="s">
        <v>35</v>
      </c>
      <c r="D193" s="5" t="s">
        <v>36</v>
      </c>
      <c r="E193" s="4" t="s">
        <v>96</v>
      </c>
      <c r="F193" s="4" t="str" cm="1">
        <f t="array" ref="F193">_xlfn.IFS(
AG193 &lt;&gt; "", "Jan-Dez/26",
AH193 &lt;&gt; "", "Fev-Dez/26",
AI193 &lt;&gt; "", "Mar-Dez/26", AJ193 &lt;&gt; "", "Abr-Dez/26",
TRUE, "A partir de Junho"
)</f>
        <v>A partir de Junho</v>
      </c>
      <c r="G193" s="4" t="s">
        <v>62</v>
      </c>
      <c r="H193" s="7" t="s">
        <v>38</v>
      </c>
      <c r="I193" s="8" t="s">
        <v>177</v>
      </c>
      <c r="J193" s="8" t="str" cm="1">
        <f t="array" aca="1" ref="J193" ca="1">_xlfn.LET(
  _xlpm.actual_value_month, INDEX(T193:AE193, MATCH(DATE(YEAR(TODAY()), MONTH(TODAY()), 1), $T$1:$AE$1, 0)),
  IF(_xlpm.actual_value_month &lt;&gt; "", _xlpm.actual_value_month &amp; " ações mensais", "")
)</f>
        <v/>
      </c>
      <c r="K193" s="8" t="str" cm="1">
        <f t="array" ref="K193">_xlfn.LET(
    _xlpm.sum_month, SUM(T193:AE193),
    IF(_xlpm.sum_month = 0, "", _xlpm.sum_month &amp; " certificados gerados.")
)</f>
        <v/>
      </c>
      <c r="L193" s="9" t="s">
        <v>195</v>
      </c>
      <c r="M193" s="13">
        <v>1</v>
      </c>
      <c r="N193" s="5" t="s">
        <v>42</v>
      </c>
      <c r="O193" s="5" t="s">
        <v>43</v>
      </c>
      <c r="P193" s="10" t="s">
        <v>146</v>
      </c>
      <c r="Q193" s="10" t="s">
        <v>44</v>
      </c>
      <c r="R193" s="11" t="s">
        <v>179</v>
      </c>
      <c r="S193" s="11" t="s">
        <v>67</v>
      </c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94" t="str" cm="1">
        <f t="array" ref="AS193">IFERROR(INDEX(T193:AE193,1,MATCH(2,1/(T193:AE193&lt;&gt;""))),"")</f>
        <v/>
      </c>
      <c r="AT193" s="95" t="str" cm="1">
        <f t="array" ref="AT193">IFERROR(INDEX(AJ193:AR193,1,MATCH(2,1/(AJ193:AR193&lt;&gt;""))),"")</f>
        <v/>
      </c>
      <c r="AU193" s="97" t="str">
        <f t="shared" si="463"/>
        <v/>
      </c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65" t="str" cm="1">
        <f t="array" ref="BI193">IFERROR(INDEX(AW193:BH193,1,MATCH(2,1/(AW193:BH193&lt;&gt;""))),"")</f>
        <v/>
      </c>
      <c r="BJ193" s="68" t="str" cm="1">
        <f t="array" ref="BJ193">IF(BM193 = "", "",IFERROR(INDEX(AW193:BH193,1,MATCH(2,1/(AW193:BH193&lt;&gt;""),1)-1),""))</f>
        <v/>
      </c>
      <c r="BK193" s="58" t="str" cm="1">
        <f t="array" ref="BK193">IFERROR(INDEX(AW193:BH193,1,MATCH(2,1/(AW193:BH193&lt;&gt;""))),"")</f>
        <v/>
      </c>
      <c r="BL193" s="58" t="str" cm="1">
        <f t="array" ref="BL193">IFERROR(INDEX(AW193:BH193,1,MATCH(2,1/(AW193:BH193&lt;&gt;""),1)-1),"")</f>
        <v/>
      </c>
      <c r="BM193" s="55" t="str" cm="1">
        <f t="array" ref="BM193">IFERROR(
   INDEX($AW$1:$BH$1,
      _xlfn.AGGREGATE(14, 6, COLUMN($AW$1:$BH$1)/(AW193:BH193&lt;&gt;""), 2) - COLUMN($AW$1) + 1
   ),
"")</f>
        <v/>
      </c>
      <c r="BN193" s="55" t="str" cm="1">
        <f t="array" ref="BN193">IFERROR(INDEX($AW$1:$BH$1,1,MATCH(2,1/(AW193:BH193&lt;&gt;""))),"")</f>
        <v/>
      </c>
      <c r="BO193" s="53">
        <f ca="1">IFERROR(_xlfn.XLOOKUP(F193,Apuração!A:A,Apuração!C:C)/_xlfn.XLOOKUP(F193,Apuração!A:A,Apuração!B:B),0)</f>
        <v>0</v>
      </c>
      <c r="BP193" s="53">
        <f ca="1">IFERROR(_xlfn.XLOOKUP(F193,Apuração!A:A,Apuração!D:D)/_xlfn.XLOOKUP(F193,Apuração!A:A,Apuração!B:B),0)</f>
        <v>0</v>
      </c>
      <c r="BQ193" s="53">
        <f ca="1">IF(BK193&gt;=BO193,0,_xlfn.XLOOKUP(F193,Apuração!A:A,Apuração!B:B)*(BO193 + (1/_xlfn.XLOOKUP(F193,Apuração!A:A,Apuração!B:B)) - BK193))</f>
        <v>0</v>
      </c>
      <c r="BR193" s="85">
        <f t="shared" ca="1" si="261"/>
        <v>0</v>
      </c>
      <c r="BS193" s="53">
        <f ca="1">IFERROR((_xlfn.XLOOKUP(F193,Apuração!A:A,Apuração!C:C)+1)/_xlfn.XLOOKUP(F193,Apuração!A:A,Apuração!B:B),0)</f>
        <v>0.14285714285714285</v>
      </c>
    </row>
    <row r="194" spans="1:71" ht="50.1" hidden="1" customHeight="1" x14ac:dyDescent="0.3">
      <c r="A194" s="33" t="s">
        <v>175</v>
      </c>
      <c r="B194" s="4" t="s">
        <v>194</v>
      </c>
      <c r="C194" s="5" t="s">
        <v>35</v>
      </c>
      <c r="D194" s="5" t="s">
        <v>47</v>
      </c>
      <c r="E194" s="4" t="s">
        <v>96</v>
      </c>
      <c r="F194" s="4" t="str" cm="1">
        <f t="array" ref="F194">_xlfn.IFS(
AG194 &lt;&gt; "", "Jan-Dez/26",
AH194 &lt;&gt; "", "Fev-Dez/26",
AI194 &lt;&gt; "", "Mar-Dez/26", AJ194 &lt;&gt; "", "Abr-Dez/26",
TRUE, "A partir de Junho"
)</f>
        <v>A partir de Junho</v>
      </c>
      <c r="G194" s="4" t="s">
        <v>62</v>
      </c>
      <c r="H194" s="7" t="s">
        <v>38</v>
      </c>
      <c r="I194" s="8" t="s">
        <v>177</v>
      </c>
      <c r="J194" s="8" t="str" cm="1">
        <f t="array" aca="1" ref="J194" ca="1">_xlfn.LET(
  _xlpm.actual_value_month, INDEX(T194:AE194, MATCH(DATE(YEAR(TODAY()), MONTH(TODAY()), 1), $T$1:$AE$1, 0)),
  IF(_xlpm.actual_value_month &lt;&gt; "", _xlpm.actual_value_month &amp; " ações mensais", "")
)</f>
        <v/>
      </c>
      <c r="K194" s="8" t="str" cm="1">
        <f t="array" ref="K194">_xlfn.LET(
    _xlpm.sum_month, SUM(T194:AE194),
    IF(_xlpm.sum_month = 0, "", _xlpm.sum_month &amp; " certificados gerados.")
)</f>
        <v/>
      </c>
      <c r="L194" s="9" t="s">
        <v>195</v>
      </c>
      <c r="M194" s="13">
        <v>1</v>
      </c>
      <c r="N194" s="5" t="s">
        <v>42</v>
      </c>
      <c r="O194" s="5" t="s">
        <v>43</v>
      </c>
      <c r="P194" s="10" t="s">
        <v>146</v>
      </c>
      <c r="Q194" s="10" t="s">
        <v>44</v>
      </c>
      <c r="R194" s="11" t="s">
        <v>179</v>
      </c>
      <c r="S194" s="11" t="s">
        <v>67</v>
      </c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94" t="str" cm="1">
        <f t="array" ref="AS194">IFERROR(INDEX(T194:AE194,1,MATCH(2,1/(T194:AE194&lt;&gt;""))),"")</f>
        <v/>
      </c>
      <c r="AT194" s="95" t="str" cm="1">
        <f t="array" ref="AT194">IFERROR(INDEX(AJ194:AR194,1,MATCH(2,1/(AJ194:AR194&lt;&gt;""))),"")</f>
        <v/>
      </c>
      <c r="AU194" s="97" t="str">
        <f t="shared" ref="AU194:AU195" si="485">AT194</f>
        <v/>
      </c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65" t="str" cm="1">
        <f t="array" ref="BI194">IFERROR(INDEX(AW194:BH194,1,MATCH(2,1/(AW194:BH194&lt;&gt;""))),"")</f>
        <v/>
      </c>
      <c r="BJ194" s="68" t="str" cm="1">
        <f t="array" ref="BJ194">IF(BM194 = "", "",IFERROR(INDEX(AW194:BH194,1,MATCH(2,1/(AW194:BH194&lt;&gt;""),1)-1),""))</f>
        <v/>
      </c>
      <c r="BK194" s="58" t="str" cm="1">
        <f t="array" ref="BK194">IFERROR(INDEX(AW194:BH194,1,MATCH(2,1/(AW194:BH194&lt;&gt;""))),"")</f>
        <v/>
      </c>
      <c r="BL194" s="58" t="str" cm="1">
        <f t="array" ref="BL194">IFERROR(INDEX(AW194:BH194,1,MATCH(2,1/(AW194:BH194&lt;&gt;""),1)-1),"")</f>
        <v/>
      </c>
      <c r="BM194" s="55" t="str" cm="1">
        <f t="array" ref="BM194">IFERROR(
   INDEX($AW$1:$BH$1,
      _xlfn.AGGREGATE(14, 6, COLUMN($AW$1:$BH$1)/(AW194:BH194&lt;&gt;""), 2) - COLUMN($AW$1) + 1
   ),
"")</f>
        <v/>
      </c>
      <c r="BN194" s="55" t="str" cm="1">
        <f t="array" ref="BN194">IFERROR(INDEX($AW$1:$BH$1,1,MATCH(2,1/(AW194:BH194&lt;&gt;""))),"")</f>
        <v/>
      </c>
      <c r="BO194" s="53">
        <f ca="1">IFERROR(_xlfn.XLOOKUP(F194,Apuração!A:A,Apuração!C:C)/_xlfn.XLOOKUP(F194,Apuração!A:A,Apuração!B:B),0)</f>
        <v>0</v>
      </c>
      <c r="BP194" s="53">
        <f ca="1">IFERROR(_xlfn.XLOOKUP(F194,Apuração!A:A,Apuração!D:D)/_xlfn.XLOOKUP(F194,Apuração!A:A,Apuração!B:B),0)</f>
        <v>0</v>
      </c>
      <c r="BQ194" s="53">
        <f ca="1">IF(BK194&gt;=BO194,0,_xlfn.XLOOKUP(F194,Apuração!A:A,Apuração!B:B)*(BO194 + (1/_xlfn.XLOOKUP(F194,Apuração!A:A,Apuração!B:B)) - BK194))</f>
        <v>0</v>
      </c>
      <c r="BR194" s="85">
        <f t="shared" ref="BR194:BR195" ca="1" si="486">IF(BQ194=0,0,BQ194*Z194)</f>
        <v>0</v>
      </c>
      <c r="BS194" s="53">
        <f ca="1">IFERROR((_xlfn.XLOOKUP(F194,Apuração!A:A,Apuração!C:C)+1)/_xlfn.XLOOKUP(F194,Apuração!A:A,Apuração!B:B),0)</f>
        <v>0.14285714285714285</v>
      </c>
    </row>
    <row r="195" spans="1:71" ht="50.1" hidden="1" customHeight="1" x14ac:dyDescent="0.3">
      <c r="A195" s="33" t="s">
        <v>175</v>
      </c>
      <c r="B195" s="4" t="s">
        <v>194</v>
      </c>
      <c r="C195" s="5" t="s">
        <v>35</v>
      </c>
      <c r="D195" s="5" t="s">
        <v>48</v>
      </c>
      <c r="E195" s="4" t="s">
        <v>96</v>
      </c>
      <c r="F195" s="4" t="str" cm="1">
        <f t="array" ref="F195">_xlfn.IFS(
AG195 &lt;&gt; "", "Jan-Dez/26",
AH195 &lt;&gt; "", "Fev-Dez/26",
AI195 &lt;&gt; "", "Mar-Dez/26", AJ195 &lt;&gt; "", "Abr-Dez/26",
TRUE, "A partir de Junho"
)</f>
        <v>A partir de Junho</v>
      </c>
      <c r="G195" s="4" t="s">
        <v>62</v>
      </c>
      <c r="H195" s="7" t="s">
        <v>38</v>
      </c>
      <c r="I195" s="8" t="s">
        <v>177</v>
      </c>
      <c r="J195" s="8" t="str" cm="1">
        <f t="array" aca="1" ref="J195" ca="1">_xlfn.LET(
  _xlpm.actual_value_month, INDEX(T195:AE195, MATCH(DATE(YEAR(TODAY()), MONTH(TODAY()), 1), $T$1:$AE$1, 0)),
  IF(_xlpm.actual_value_month &lt;&gt; "", _xlpm.actual_value_month &amp; " ações mensais", "")
)</f>
        <v/>
      </c>
      <c r="K195" s="8" t="str" cm="1">
        <f t="array" ref="K195">_xlfn.LET(
    _xlpm.sum_month, SUM(T195:AE195),
    IF(_xlpm.sum_month = 0, "", _xlpm.sum_month &amp; " certificados gerados.")
)</f>
        <v/>
      </c>
      <c r="L195" s="9" t="s">
        <v>195</v>
      </c>
      <c r="M195" s="13">
        <v>1</v>
      </c>
      <c r="N195" s="5" t="s">
        <v>42</v>
      </c>
      <c r="O195" s="5" t="s">
        <v>43</v>
      </c>
      <c r="P195" s="10" t="s">
        <v>146</v>
      </c>
      <c r="Q195" s="10" t="s">
        <v>44</v>
      </c>
      <c r="R195" s="11" t="s">
        <v>179</v>
      </c>
      <c r="S195" s="11" t="s">
        <v>67</v>
      </c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94" t="str" cm="1">
        <f t="array" ref="AS195">IFERROR(INDEX(T195:AE195,1,MATCH(2,1/(T195:AE195&lt;&gt;""))),"")</f>
        <v/>
      </c>
      <c r="AT195" s="95" t="str" cm="1">
        <f t="array" ref="AT195">IFERROR(INDEX(AJ195:AR195,1,MATCH(2,1/(AJ195:AR195&lt;&gt;""))),"")</f>
        <v/>
      </c>
      <c r="AU195" s="97" t="str">
        <f t="shared" si="485"/>
        <v/>
      </c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65" t="str" cm="1">
        <f t="array" ref="BI195">IFERROR(INDEX(AW195:BH195,1,MATCH(2,1/(AW195:BH195&lt;&gt;""))),"")</f>
        <v/>
      </c>
      <c r="BJ195" s="68" t="str" cm="1">
        <f t="array" ref="BJ195">IF(BM195 = "", "",IFERROR(INDEX(AW195:BH195,1,MATCH(2,1/(AW195:BH195&lt;&gt;""),1)-1),""))</f>
        <v/>
      </c>
      <c r="BK195" s="58" t="str" cm="1">
        <f t="array" ref="BK195">IFERROR(INDEX(AW195:BH195,1,MATCH(2,1/(AW195:BH195&lt;&gt;""))),"")</f>
        <v/>
      </c>
      <c r="BL195" s="58" t="str" cm="1">
        <f t="array" ref="BL195">IFERROR(INDEX(AW195:BH195,1,MATCH(2,1/(AW195:BH195&lt;&gt;""),1)-1),"")</f>
        <v/>
      </c>
      <c r="BM195" s="55" t="str" cm="1">
        <f t="array" ref="BM195">IFERROR(
   INDEX($AW$1:$BH$1,
      _xlfn.AGGREGATE(14, 6, COLUMN($AW$1:$BH$1)/(AW195:BH195&lt;&gt;""), 2) - COLUMN($AW$1) + 1
   ),
"")</f>
        <v/>
      </c>
      <c r="BN195" s="55" t="str" cm="1">
        <f t="array" ref="BN195">IFERROR(INDEX($AW$1:$BH$1,1,MATCH(2,1/(AW195:BH195&lt;&gt;""))),"")</f>
        <v/>
      </c>
      <c r="BO195" s="53">
        <f ca="1">IFERROR(_xlfn.XLOOKUP(F195,Apuração!A:A,Apuração!C:C)/_xlfn.XLOOKUP(F195,Apuração!A:A,Apuração!B:B),0)</f>
        <v>0</v>
      </c>
      <c r="BP195" s="53">
        <f ca="1">IFERROR(_xlfn.XLOOKUP(F195,Apuração!A:A,Apuração!D:D)/_xlfn.XLOOKUP(F195,Apuração!A:A,Apuração!B:B),0)</f>
        <v>0</v>
      </c>
      <c r="BQ195" s="53">
        <f ca="1">IF(BK195&gt;=BO195,0,_xlfn.XLOOKUP(F195,Apuração!A:A,Apuração!B:B)*(BO195 + (1/_xlfn.XLOOKUP(F195,Apuração!A:A,Apuração!B:B)) - BK195))</f>
        <v>0</v>
      </c>
      <c r="BR195" s="85">
        <f t="shared" ca="1" si="486"/>
        <v>0</v>
      </c>
      <c r="BS195" s="53">
        <f ca="1">IFERROR((_xlfn.XLOOKUP(F195,Apuração!A:A,Apuração!C:C)+1)/_xlfn.XLOOKUP(F195,Apuração!A:A,Apuração!B:B),0)</f>
        <v>0.14285714285714285</v>
      </c>
    </row>
    <row r="196" spans="1:71" ht="25.95" hidden="1" customHeight="1" x14ac:dyDescent="0.3">
      <c r="A196" s="44" t="s">
        <v>175</v>
      </c>
      <c r="B196" s="4" t="s">
        <v>194</v>
      </c>
      <c r="C196" s="5" t="s">
        <v>35</v>
      </c>
      <c r="D196" s="5" t="s">
        <v>36</v>
      </c>
      <c r="E196" s="4" t="s">
        <v>96</v>
      </c>
      <c r="F196" s="4" t="str" cm="1">
        <f t="array" ref="F196">_xlfn.IFS(
AG196 &lt;&gt; "", "Jan-Dez/26",
AH196 &lt;&gt; "", "Fev-Dez/26",
AI196 &lt;&gt; "", "Mar-Dez/26", AJ196 &lt;&gt; "", "Abr-Dez/26",
TRUE, "A partir de Junho"
)</f>
        <v>A partir de Junho</v>
      </c>
      <c r="G196" s="4" t="s">
        <v>62</v>
      </c>
      <c r="H196" s="7" t="s">
        <v>38</v>
      </c>
      <c r="I196" s="21" t="s">
        <v>180</v>
      </c>
      <c r="J196" s="8" t="str" cm="1">
        <f t="array" aca="1" ref="J196" ca="1">_xlfn.LET(
  _xlpm.actual_value_month, INDEX(T196:AE196, MATCH(DATE(YEAR(TODAY()), MONTH(TODAY()), 1), $T$1:$AE$1, 0)),
  IF(_xlpm.actual_value_month &lt;&gt; "", _xlpm.actual_value_month &amp; " ações mensais", "")
)</f>
        <v/>
      </c>
      <c r="K196" s="34" t="str" cm="1">
        <f t="array" ref="K196">_xlfn.LET(
    _xlpm.sum_month, SUM(T196:AE196),
    IF(_xlpm.sum_month = 0, "", _xlpm.sum_month &amp; " colaboradores treinados.")
)</f>
        <v/>
      </c>
      <c r="L196" s="9" t="s">
        <v>196</v>
      </c>
      <c r="M196" s="13">
        <v>1</v>
      </c>
      <c r="N196" s="5" t="s">
        <v>51</v>
      </c>
      <c r="O196" s="5" t="s">
        <v>52</v>
      </c>
      <c r="P196" s="10" t="s">
        <v>146</v>
      </c>
      <c r="Q196" s="10" t="s">
        <v>44</v>
      </c>
      <c r="R196" s="11" t="s">
        <v>44</v>
      </c>
      <c r="S196" s="11" t="s">
        <v>44</v>
      </c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94" t="str" cm="1">
        <f t="array" ref="AS196">IFERROR(INDEX(T196:AE196,1,MATCH(2,1/(T196:AE196&lt;&gt;""))),"")</f>
        <v/>
      </c>
      <c r="AT196" s="95" t="str" cm="1">
        <f t="array" ref="AT196">IFERROR(INDEX(AJ196:AR196,1,MATCH(2,1/(AJ196:AR196&lt;&gt;""))),"")</f>
        <v/>
      </c>
      <c r="AU196" s="97" t="str">
        <f t="shared" si="463"/>
        <v/>
      </c>
      <c r="AW196" s="52">
        <f>AG196</f>
        <v>0</v>
      </c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68" cm="1">
        <f t="array" ref="BI196">IFERROR(INDEX(AW196:BH196,1,MATCH(2,1/(AW196:BH196&lt;&gt;""))),"")</f>
        <v>0</v>
      </c>
      <c r="BJ196" s="68" t="str" cm="1">
        <f t="array" ref="BJ196">IF(BM196 = "", "",IFERROR(INDEX(AW196:BH196,1,MATCH(2,1/(AW196:BH196&lt;&gt;""),1)-1),""))</f>
        <v/>
      </c>
      <c r="BK196" s="59">
        <f>SUM(AW196:BH196)</f>
        <v>0</v>
      </c>
      <c r="BL196" s="59" cm="1">
        <f t="array" ref="BL196">IFERROR(SUM(AW196:INDEX(AW196:BH196, MATCH(2, 1/(AW196:BH196&lt;&gt;""), 1) - 1))/_xlfn.XLOOKUP(F196,Apuração!A:A,Apuração!B:B),0)</f>
        <v>0</v>
      </c>
      <c r="BM196" s="55" t="str" cm="1">
        <f t="array" ref="BM196">IFERROR(
   INDEX($AW$1:$BH$1,
      _xlfn.AGGREGATE(14, 6, COLUMN($AW$1:$BH$1)/(AW196:BH196&lt;&gt;""), 2) - COLUMN($AW$1) + 1
   ),
"")</f>
        <v/>
      </c>
      <c r="BN196" s="55" cm="1">
        <f t="array" ref="BN196">IFERROR(INDEX($AW$1:$BH$1,1,MATCH(2,1/(AW196:BH196&lt;&gt;""))),"")</f>
        <v>46023</v>
      </c>
      <c r="BO196" s="53">
        <f ca="1">IFERROR(_xlfn.XLOOKUP(F196,Apuração!A:A,Apuração!C:C)/_xlfn.XLOOKUP(F196,Apuração!A:A,Apuração!B:B),0)</f>
        <v>0</v>
      </c>
      <c r="BP196" s="53">
        <f ca="1">IFERROR(_xlfn.XLOOKUP(F196,Apuração!A:A,Apuração!D:D)/_xlfn.XLOOKUP(F196,Apuração!A:A,Apuração!B:B),0)</f>
        <v>0</v>
      </c>
      <c r="BQ196" s="53">
        <f ca="1">IF(BK196&gt;=BO196,0,_xlfn.XLOOKUP(F196,Apuração!A:A,Apuração!B:B)*(BO196 + (1/_xlfn.XLOOKUP(F196,Apuração!A:A,Apuração!B:B)) - BK196))</f>
        <v>0</v>
      </c>
      <c r="BR196" s="85">
        <f t="shared" ca="1" si="261"/>
        <v>0</v>
      </c>
      <c r="BS196" s="53">
        <f ca="1">IFERROR((_xlfn.XLOOKUP(F196,Apuração!A:A,Apuração!C:C)+1)/_xlfn.XLOOKUP(F196,Apuração!A:A,Apuração!B:B),0)</f>
        <v>0.14285714285714285</v>
      </c>
    </row>
    <row r="197" spans="1:71" ht="25.95" hidden="1" customHeight="1" x14ac:dyDescent="0.3">
      <c r="A197" s="44" t="s">
        <v>175</v>
      </c>
      <c r="B197" s="4" t="s">
        <v>194</v>
      </c>
      <c r="C197" s="5" t="s">
        <v>35</v>
      </c>
      <c r="D197" s="5" t="s">
        <v>47</v>
      </c>
      <c r="E197" s="4" t="s">
        <v>96</v>
      </c>
      <c r="F197" s="4" t="str" cm="1">
        <f t="array" ref="F197">_xlfn.IFS(
AG197 &lt;&gt; "", "Jan-Dez/26",
AH197 &lt;&gt; "", "Fev-Dez/26",
AI197 &lt;&gt; "", "Mar-Dez/26", AJ197 &lt;&gt; "", "Abr-Dez/26",
TRUE, "A partir de Junho"
)</f>
        <v>A partir de Junho</v>
      </c>
      <c r="G197" s="4" t="s">
        <v>62</v>
      </c>
      <c r="H197" s="7" t="s">
        <v>38</v>
      </c>
      <c r="I197" s="21" t="s">
        <v>180</v>
      </c>
      <c r="J197" s="8" t="str" cm="1">
        <f t="array" aca="1" ref="J197" ca="1">_xlfn.LET(
  _xlpm.actual_value_month, INDEX(T197:AE197, MATCH(DATE(YEAR(TODAY()), MONTH(TODAY()), 1), $T$1:$AE$1, 0)),
  IF(_xlpm.actual_value_month &lt;&gt; "", _xlpm.actual_value_month &amp; " ações mensais", "")
)</f>
        <v/>
      </c>
      <c r="K197" s="34" t="str" cm="1">
        <f t="array" ref="K197">_xlfn.LET(
    _xlpm.sum_month, SUM(T197:AE197),
    IF(_xlpm.sum_month = 0, "", _xlpm.sum_month &amp; " colaboradores treinados.")
)</f>
        <v/>
      </c>
      <c r="L197" s="9" t="s">
        <v>196</v>
      </c>
      <c r="M197" s="13">
        <v>1</v>
      </c>
      <c r="N197" s="5" t="s">
        <v>51</v>
      </c>
      <c r="O197" s="5" t="s">
        <v>52</v>
      </c>
      <c r="P197" s="10" t="s">
        <v>146</v>
      </c>
      <c r="Q197" s="10" t="s">
        <v>44</v>
      </c>
      <c r="R197" s="11" t="s">
        <v>44</v>
      </c>
      <c r="S197" s="11" t="s">
        <v>44</v>
      </c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94" t="str" cm="1">
        <f t="array" ref="AS197">IFERROR(INDEX(T197:AE197,1,MATCH(2,1/(T197:AE197&lt;&gt;""))),"")</f>
        <v/>
      </c>
      <c r="AT197" s="95" t="str" cm="1">
        <f t="array" ref="AT197">IFERROR(INDEX(AJ197:AR197,1,MATCH(2,1/(AJ197:AR197&lt;&gt;""))),"")</f>
        <v/>
      </c>
      <c r="AU197" s="97" t="str">
        <f t="shared" ref="AU197:AU198" si="487">AT197</f>
        <v/>
      </c>
      <c r="AW197" s="52">
        <f t="shared" ref="AW197:AW198" si="488">AG197</f>
        <v>0</v>
      </c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68" cm="1">
        <f t="array" ref="BI197">IFERROR(INDEX(AW197:BH197,1,MATCH(2,1/(AW197:BH197&lt;&gt;""))),"")</f>
        <v>0</v>
      </c>
      <c r="BJ197" s="68" t="str" cm="1">
        <f t="array" ref="BJ197">IF(BM197 = "", "",IFERROR(INDEX(AW197:BH197,1,MATCH(2,1/(AW197:BH197&lt;&gt;""),1)-1),""))</f>
        <v/>
      </c>
      <c r="BK197" s="59">
        <f t="shared" ref="BK197:BK198" si="489">SUM(AW197:BH197)</f>
        <v>0</v>
      </c>
      <c r="BL197" s="59" cm="1">
        <f t="array" ref="BL197">IFERROR(SUM(AW197:INDEX(AW197:BH197, MATCH(2, 1/(AW197:BH197&lt;&gt;""), 1) - 1))/_xlfn.XLOOKUP(F197,Apuração!A:A,Apuração!B:B),0)</f>
        <v>0</v>
      </c>
      <c r="BM197" s="55" t="str" cm="1">
        <f t="array" ref="BM197">IFERROR(
   INDEX($AW$1:$BH$1,
      _xlfn.AGGREGATE(14, 6, COLUMN($AW$1:$BH$1)/(AW197:BH197&lt;&gt;""), 2) - COLUMN($AW$1) + 1
   ),
"")</f>
        <v/>
      </c>
      <c r="BN197" s="55" cm="1">
        <f t="array" ref="BN197">IFERROR(INDEX($AW$1:$BH$1,1,MATCH(2,1/(AW197:BH197&lt;&gt;""))),"")</f>
        <v>46023</v>
      </c>
      <c r="BO197" s="53">
        <f ca="1">IFERROR(_xlfn.XLOOKUP(F197,Apuração!A:A,Apuração!C:C)/_xlfn.XLOOKUP(F197,Apuração!A:A,Apuração!B:B),0)</f>
        <v>0</v>
      </c>
      <c r="BP197" s="53">
        <f ca="1">IFERROR(_xlfn.XLOOKUP(F197,Apuração!A:A,Apuração!D:D)/_xlfn.XLOOKUP(F197,Apuração!A:A,Apuração!B:B),0)</f>
        <v>0</v>
      </c>
      <c r="BQ197" s="53">
        <f ca="1">IF(BK197&gt;=BO197,0,_xlfn.XLOOKUP(F197,Apuração!A:A,Apuração!B:B)*(BO197 + (1/_xlfn.XLOOKUP(F197,Apuração!A:A,Apuração!B:B)) - BK197))</f>
        <v>0</v>
      </c>
      <c r="BR197" s="85">
        <f t="shared" ref="BR197:BR198" ca="1" si="490">IF(BQ197=0,0,BQ197*Z197)</f>
        <v>0</v>
      </c>
      <c r="BS197" s="53">
        <f ca="1">IFERROR((_xlfn.XLOOKUP(F197,Apuração!A:A,Apuração!C:C)+1)/_xlfn.XLOOKUP(F197,Apuração!A:A,Apuração!B:B),0)</f>
        <v>0.14285714285714285</v>
      </c>
    </row>
    <row r="198" spans="1:71" ht="25.95" hidden="1" customHeight="1" x14ac:dyDescent="0.3">
      <c r="A198" s="44" t="s">
        <v>175</v>
      </c>
      <c r="B198" s="4" t="s">
        <v>194</v>
      </c>
      <c r="C198" s="5" t="s">
        <v>35</v>
      </c>
      <c r="D198" s="5" t="s">
        <v>48</v>
      </c>
      <c r="E198" s="4" t="s">
        <v>96</v>
      </c>
      <c r="F198" s="4" t="str" cm="1">
        <f t="array" ref="F198">_xlfn.IFS(
AG198 &lt;&gt; "", "Jan-Dez/26",
AH198 &lt;&gt; "", "Fev-Dez/26",
AI198 &lt;&gt; "", "Mar-Dez/26", AJ198 &lt;&gt; "", "Abr-Dez/26",
TRUE, "A partir de Junho"
)</f>
        <v>A partir de Junho</v>
      </c>
      <c r="G198" s="4" t="s">
        <v>62</v>
      </c>
      <c r="H198" s="7" t="s">
        <v>38</v>
      </c>
      <c r="I198" s="21" t="s">
        <v>180</v>
      </c>
      <c r="J198" s="8" t="str" cm="1">
        <f t="array" aca="1" ref="J198" ca="1">_xlfn.LET(
  _xlpm.actual_value_month, INDEX(T198:AE198, MATCH(DATE(YEAR(TODAY()), MONTH(TODAY()), 1), $T$1:$AE$1, 0)),
  IF(_xlpm.actual_value_month &lt;&gt; "", _xlpm.actual_value_month &amp; " ações mensais", "")
)</f>
        <v/>
      </c>
      <c r="K198" s="34" t="str" cm="1">
        <f t="array" ref="K198">_xlfn.LET(
    _xlpm.sum_month, SUM(T198:AE198),
    IF(_xlpm.sum_month = 0, "", _xlpm.sum_month &amp; " colaboradores treinados.")
)</f>
        <v/>
      </c>
      <c r="L198" s="9" t="s">
        <v>196</v>
      </c>
      <c r="M198" s="13">
        <v>1</v>
      </c>
      <c r="N198" s="5" t="s">
        <v>51</v>
      </c>
      <c r="O198" s="5" t="s">
        <v>52</v>
      </c>
      <c r="P198" s="10" t="s">
        <v>146</v>
      </c>
      <c r="Q198" s="10" t="s">
        <v>44</v>
      </c>
      <c r="R198" s="11" t="s">
        <v>44</v>
      </c>
      <c r="S198" s="11" t="s">
        <v>44</v>
      </c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94" t="str" cm="1">
        <f t="array" ref="AS198">IFERROR(INDEX(T198:AE198,1,MATCH(2,1/(T198:AE198&lt;&gt;""))),"")</f>
        <v/>
      </c>
      <c r="AT198" s="95" t="str" cm="1">
        <f t="array" ref="AT198">IFERROR(INDEX(AJ198:AR198,1,MATCH(2,1/(AJ198:AR198&lt;&gt;""))),"")</f>
        <v/>
      </c>
      <c r="AU198" s="97" t="str">
        <f t="shared" si="487"/>
        <v/>
      </c>
      <c r="AW198" s="52">
        <f t="shared" si="488"/>
        <v>0</v>
      </c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68" cm="1">
        <f t="array" ref="BI198">IFERROR(INDEX(AW198:BH198,1,MATCH(2,1/(AW198:BH198&lt;&gt;""))),"")</f>
        <v>0</v>
      </c>
      <c r="BJ198" s="68" t="str" cm="1">
        <f t="array" ref="BJ198">IF(BM198 = "", "",IFERROR(INDEX(AW198:BH198,1,MATCH(2,1/(AW198:BH198&lt;&gt;""),1)-1),""))</f>
        <v/>
      </c>
      <c r="BK198" s="59">
        <f t="shared" si="489"/>
        <v>0</v>
      </c>
      <c r="BL198" s="59" cm="1">
        <f t="array" ref="BL198">IFERROR(SUM(AW198:INDEX(AW198:BH198, MATCH(2, 1/(AW198:BH198&lt;&gt;""), 1) - 1))/_xlfn.XLOOKUP(F198,Apuração!A:A,Apuração!B:B),0)</f>
        <v>0</v>
      </c>
      <c r="BM198" s="55" t="str" cm="1">
        <f t="array" ref="BM198">IFERROR(
   INDEX($AW$1:$BH$1,
      _xlfn.AGGREGATE(14, 6, COLUMN($AW$1:$BH$1)/(AW198:BH198&lt;&gt;""), 2) - COLUMN($AW$1) + 1
   ),
"")</f>
        <v/>
      </c>
      <c r="BN198" s="55" cm="1">
        <f t="array" ref="BN198">IFERROR(INDEX($AW$1:$BH$1,1,MATCH(2,1/(AW198:BH198&lt;&gt;""))),"")</f>
        <v>46023</v>
      </c>
      <c r="BO198" s="53">
        <f ca="1">IFERROR(_xlfn.XLOOKUP(F198,Apuração!A:A,Apuração!C:C)/_xlfn.XLOOKUP(F198,Apuração!A:A,Apuração!B:B),0)</f>
        <v>0</v>
      </c>
      <c r="BP198" s="53">
        <f ca="1">IFERROR(_xlfn.XLOOKUP(F198,Apuração!A:A,Apuração!D:D)/_xlfn.XLOOKUP(F198,Apuração!A:A,Apuração!B:B),0)</f>
        <v>0</v>
      </c>
      <c r="BQ198" s="53">
        <f ca="1">IF(BK198&gt;=BO198,0,_xlfn.XLOOKUP(F198,Apuração!A:A,Apuração!B:B)*(BO198 + (1/_xlfn.XLOOKUP(F198,Apuração!A:A,Apuração!B:B)) - BK198))</f>
        <v>0</v>
      </c>
      <c r="BR198" s="85">
        <f t="shared" ca="1" si="490"/>
        <v>0</v>
      </c>
      <c r="BS198" s="53">
        <f ca="1">IFERROR((_xlfn.XLOOKUP(F198,Apuração!A:A,Apuração!C:C)+1)/_xlfn.XLOOKUP(F198,Apuração!A:A,Apuração!B:B),0)</f>
        <v>0.14285714285714285</v>
      </c>
    </row>
    <row r="199" spans="1:71" ht="25.95" hidden="1" customHeight="1" x14ac:dyDescent="0.3">
      <c r="A199" s="44" t="s">
        <v>175</v>
      </c>
      <c r="B199" s="4" t="s">
        <v>194</v>
      </c>
      <c r="C199" s="5" t="s">
        <v>35</v>
      </c>
      <c r="D199" s="5" t="s">
        <v>36</v>
      </c>
      <c r="E199" s="4" t="s">
        <v>96</v>
      </c>
      <c r="F199" s="4" t="str" cm="1">
        <f t="array" ref="F199">_xlfn.IFS(
AG199 &lt;&gt; "", "Jan-Dez/26",
AH199 &lt;&gt; "", "Fev-Dez/26",
AI199 &lt;&gt; "", "Mar-Dez/26", AJ199 &lt;&gt; "", "Abr-Dez/26",
TRUE, "A partir de Junho"
)</f>
        <v>A partir de Junho</v>
      </c>
      <c r="G199" s="4" t="s">
        <v>62</v>
      </c>
      <c r="H199" s="7" t="s">
        <v>38</v>
      </c>
      <c r="I199" s="21" t="s">
        <v>182</v>
      </c>
      <c r="J199" s="8" t="str" cm="1">
        <f t="array" aca="1" ref="J199" ca="1">_xlfn.LET(
  _xlpm.actual_value_month, INDEX(T199:AE199, MATCH(DATE(YEAR(TODAY()), MONTH(TODAY()), 1), $T$1:$AE$1, 0)),
  IF(_xlpm.actual_value_month &lt;&gt; "", _xlpm.actual_value_month &amp; " ações mensais", "")
)</f>
        <v/>
      </c>
      <c r="K199" s="8" t="str" cm="1">
        <f t="array" ref="K199">_xlfn.LET(
    _xlpm.sum_month, SUM(T199:AE199),
    IF(_xlpm.sum_month = 0, "", _xlpm.sum_month &amp; " taxa de aprovados")
)</f>
        <v/>
      </c>
      <c r="L199" s="4" t="s">
        <v>183</v>
      </c>
      <c r="M199" s="13">
        <v>1</v>
      </c>
      <c r="N199" s="5" t="s">
        <v>51</v>
      </c>
      <c r="O199" s="5" t="s">
        <v>43</v>
      </c>
      <c r="P199" s="10" t="s">
        <v>44</v>
      </c>
      <c r="Q199" s="10" t="s">
        <v>44</v>
      </c>
      <c r="R199" s="11" t="s">
        <v>44</v>
      </c>
      <c r="S199" s="11" t="s">
        <v>44</v>
      </c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94" t="str" cm="1">
        <f t="array" ref="AS199">IFERROR(INDEX(T199:AE199,1,MATCH(2,1/(T199:AE199&lt;&gt;""))),"")</f>
        <v/>
      </c>
      <c r="AT199" s="95" t="str" cm="1">
        <f t="array" ref="AT199">IFERROR(INDEX(AJ199:AR199,1,MATCH(2,1/(AJ199:AR199&lt;&gt;""))),"")</f>
        <v/>
      </c>
      <c r="AU199" s="97" t="str">
        <f t="shared" si="463"/>
        <v/>
      </c>
      <c r="AW199" s="51" t="str">
        <f>IFERROR(IF(AG199="","",AG199/T199),0)</f>
        <v/>
      </c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65" t="str" cm="1">
        <f t="array" ref="BI199">IFERROR(INDEX(AW199:BH199,1,MATCH(2,1/(AW199:BH199&lt;&gt;""))),"")</f>
        <v/>
      </c>
      <c r="BJ199" s="68" t="str" cm="1">
        <f t="array" ref="BJ199">IF(BM199 = "", "",IFERROR(INDEX(AW199:BH199,1,MATCH(2,1/(AW199:BH199&lt;&gt;""),1)-1),""))</f>
        <v/>
      </c>
      <c r="BK199" s="58" t="str" cm="1">
        <f t="array" ref="BK199">IFERROR(INDEX(AW199:BH199,1,MATCH(2,1/(AW199:BH199&lt;&gt;""))),"")</f>
        <v/>
      </c>
      <c r="BL199" s="58" t="str" cm="1">
        <f t="array" ref="BL199">IFERROR(INDEX(AW199:BH199,1,MATCH(2,1/(AW199:BH199&lt;&gt;""),1)-1),"")</f>
        <v/>
      </c>
      <c r="BM199" s="55" t="str" cm="1">
        <f t="array" ref="BM199">IFERROR(
   INDEX($AW$1:$BH$1,
      _xlfn.AGGREGATE(14, 6, COLUMN($AW$1:$BH$1)/(AW199:BH199&lt;&gt;""), 2) - COLUMN($AW$1) + 1
   ),
"")</f>
        <v/>
      </c>
      <c r="BN199" s="55" t="str" cm="1">
        <f t="array" ref="BN199">IFERROR(INDEX($AW$1:$BH$1,1,MATCH(2,1/(AW199:BH199&lt;&gt;""))),"")</f>
        <v/>
      </c>
      <c r="BO199" s="53">
        <f ca="1">IFERROR(_xlfn.XLOOKUP(F199,Apuração!A:A,Apuração!C:C)/_xlfn.XLOOKUP(F199,Apuração!A:A,Apuração!B:B),0)</f>
        <v>0</v>
      </c>
      <c r="BP199" s="53">
        <f ca="1">IFERROR(_xlfn.XLOOKUP(F199,Apuração!A:A,Apuração!D:D)/_xlfn.XLOOKUP(F199,Apuração!A:A,Apuração!B:B),0)</f>
        <v>0</v>
      </c>
      <c r="BQ199" s="53">
        <f ca="1">IF(BK199&gt;=BO199,0,_xlfn.XLOOKUP(F199,Apuração!A:A,Apuração!B:B)*(BO199 + (1/_xlfn.XLOOKUP(F199,Apuração!A:A,Apuração!B:B)) - BK199))</f>
        <v>0</v>
      </c>
      <c r="BR199" s="85">
        <f t="shared" ca="1" si="261"/>
        <v>0</v>
      </c>
      <c r="BS199" s="53">
        <f ca="1">IFERROR((_xlfn.XLOOKUP(F199,Apuração!A:A,Apuração!C:C)+1)/_xlfn.XLOOKUP(F199,Apuração!A:A,Apuração!B:B),0)</f>
        <v>0.14285714285714285</v>
      </c>
    </row>
    <row r="200" spans="1:71" ht="25.95" hidden="1" customHeight="1" x14ac:dyDescent="0.3">
      <c r="A200" s="44" t="s">
        <v>175</v>
      </c>
      <c r="B200" s="4" t="s">
        <v>194</v>
      </c>
      <c r="C200" s="5" t="s">
        <v>35</v>
      </c>
      <c r="D200" s="5" t="s">
        <v>47</v>
      </c>
      <c r="E200" s="4" t="s">
        <v>96</v>
      </c>
      <c r="F200" s="4" t="str" cm="1">
        <f t="array" ref="F200">_xlfn.IFS(
AG200 &lt;&gt; "", "Jan-Dez/26",
AH200 &lt;&gt; "", "Fev-Dez/26",
AI200 &lt;&gt; "", "Mar-Dez/26", AJ200 &lt;&gt; "", "Abr-Dez/26",
TRUE, "A partir de Junho"
)</f>
        <v>A partir de Junho</v>
      </c>
      <c r="G200" s="4" t="s">
        <v>62</v>
      </c>
      <c r="H200" s="7" t="s">
        <v>38</v>
      </c>
      <c r="I200" s="21" t="s">
        <v>182</v>
      </c>
      <c r="J200" s="8" t="str" cm="1">
        <f t="array" aca="1" ref="J200" ca="1">_xlfn.LET(
  _xlpm.actual_value_month, INDEX(T200:AE200, MATCH(DATE(YEAR(TODAY()), MONTH(TODAY()), 1), $T$1:$AE$1, 0)),
  IF(_xlpm.actual_value_month &lt;&gt; "", _xlpm.actual_value_month &amp; " ações mensais", "")
)</f>
        <v/>
      </c>
      <c r="K200" s="8" t="str" cm="1">
        <f t="array" ref="K200">_xlfn.LET(
    _xlpm.sum_month, SUM(T200:AE200),
    IF(_xlpm.sum_month = 0, "", _xlpm.sum_month &amp; " taxa de aprovados")
)</f>
        <v/>
      </c>
      <c r="L200" s="4" t="s">
        <v>183</v>
      </c>
      <c r="M200" s="13">
        <v>1</v>
      </c>
      <c r="N200" s="5" t="s">
        <v>51</v>
      </c>
      <c r="O200" s="5" t="s">
        <v>43</v>
      </c>
      <c r="P200" s="10" t="s">
        <v>44</v>
      </c>
      <c r="Q200" s="10" t="s">
        <v>44</v>
      </c>
      <c r="R200" s="11" t="s">
        <v>44</v>
      </c>
      <c r="S200" s="11" t="s">
        <v>44</v>
      </c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94" t="str" cm="1">
        <f t="array" ref="AS200">IFERROR(INDEX(T200:AE200,1,MATCH(2,1/(T200:AE200&lt;&gt;""))),"")</f>
        <v/>
      </c>
      <c r="AT200" s="95" t="str" cm="1">
        <f t="array" ref="AT200">IFERROR(INDEX(AJ200:AR200,1,MATCH(2,1/(AJ200:AR200&lt;&gt;""))),"")</f>
        <v/>
      </c>
      <c r="AU200" s="97" t="str">
        <f t="shared" ref="AU200:AU201" si="491">AT200</f>
        <v/>
      </c>
      <c r="AW200" s="51" t="str">
        <f t="shared" ref="AW200:AW201" si="492">IFERROR(IF(AG200="","",AG200/T200),0)</f>
        <v/>
      </c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65" t="str" cm="1">
        <f t="array" ref="BI200">IFERROR(INDEX(AW200:BH200,1,MATCH(2,1/(AW200:BH200&lt;&gt;""))),"")</f>
        <v/>
      </c>
      <c r="BJ200" s="68" t="str" cm="1">
        <f t="array" ref="BJ200">IF(BM200 = "", "",IFERROR(INDEX(AW200:BH200,1,MATCH(2,1/(AW200:BH200&lt;&gt;""),1)-1),""))</f>
        <v/>
      </c>
      <c r="BK200" s="58" t="str" cm="1">
        <f t="array" ref="BK200">IFERROR(INDEX(AW200:BH200,1,MATCH(2,1/(AW200:BH200&lt;&gt;""))),"")</f>
        <v/>
      </c>
      <c r="BL200" s="58" t="str" cm="1">
        <f t="array" ref="BL200">IFERROR(INDEX(AW200:BH200,1,MATCH(2,1/(AW200:BH200&lt;&gt;""),1)-1),"")</f>
        <v/>
      </c>
      <c r="BM200" s="55" t="str" cm="1">
        <f t="array" ref="BM200">IFERROR(
   INDEX($AW$1:$BH$1,
      _xlfn.AGGREGATE(14, 6, COLUMN($AW$1:$BH$1)/(AW200:BH200&lt;&gt;""), 2) - COLUMN($AW$1) + 1
   ),
"")</f>
        <v/>
      </c>
      <c r="BN200" s="55" t="str" cm="1">
        <f t="array" ref="BN200">IFERROR(INDEX($AW$1:$BH$1,1,MATCH(2,1/(AW200:BH200&lt;&gt;""))),"")</f>
        <v/>
      </c>
      <c r="BO200" s="53">
        <f ca="1">IFERROR(_xlfn.XLOOKUP(F200,Apuração!A:A,Apuração!C:C)/_xlfn.XLOOKUP(F200,Apuração!A:A,Apuração!B:B),0)</f>
        <v>0</v>
      </c>
      <c r="BP200" s="53">
        <f ca="1">IFERROR(_xlfn.XLOOKUP(F200,Apuração!A:A,Apuração!D:D)/_xlfn.XLOOKUP(F200,Apuração!A:A,Apuração!B:B),0)</f>
        <v>0</v>
      </c>
      <c r="BQ200" s="53">
        <f ca="1">IF(BK200&gt;=BO200,0,_xlfn.XLOOKUP(F200,Apuração!A:A,Apuração!B:B)*(BO200 + (1/_xlfn.XLOOKUP(F200,Apuração!A:A,Apuração!B:B)) - BK200))</f>
        <v>0</v>
      </c>
      <c r="BR200" s="85">
        <f t="shared" ref="BR200:BR201" ca="1" si="493">IF(BQ200=0,0,BQ200*Z200)</f>
        <v>0</v>
      </c>
      <c r="BS200" s="53">
        <f ca="1">IFERROR((_xlfn.XLOOKUP(F200,Apuração!A:A,Apuração!C:C)+1)/_xlfn.XLOOKUP(F200,Apuração!A:A,Apuração!B:B),0)</f>
        <v>0.14285714285714285</v>
      </c>
    </row>
    <row r="201" spans="1:71" ht="25.95" hidden="1" customHeight="1" x14ac:dyDescent="0.3">
      <c r="A201" s="44" t="s">
        <v>175</v>
      </c>
      <c r="B201" s="4" t="s">
        <v>194</v>
      </c>
      <c r="C201" s="5" t="s">
        <v>35</v>
      </c>
      <c r="D201" s="5" t="s">
        <v>48</v>
      </c>
      <c r="E201" s="4" t="s">
        <v>96</v>
      </c>
      <c r="F201" s="4" t="str" cm="1">
        <f t="array" ref="F201">_xlfn.IFS(
AG201 &lt;&gt; "", "Jan-Dez/26",
AH201 &lt;&gt; "", "Fev-Dez/26",
AI201 &lt;&gt; "", "Mar-Dez/26", AJ201 &lt;&gt; "", "Abr-Dez/26",
TRUE, "A partir de Junho"
)</f>
        <v>A partir de Junho</v>
      </c>
      <c r="G201" s="4" t="s">
        <v>62</v>
      </c>
      <c r="H201" s="7" t="s">
        <v>38</v>
      </c>
      <c r="I201" s="21" t="s">
        <v>182</v>
      </c>
      <c r="J201" s="8" t="str" cm="1">
        <f t="array" aca="1" ref="J201" ca="1">_xlfn.LET(
  _xlpm.actual_value_month, INDEX(T201:AE201, MATCH(DATE(YEAR(TODAY()), MONTH(TODAY()), 1), $T$1:$AE$1, 0)),
  IF(_xlpm.actual_value_month &lt;&gt; "", _xlpm.actual_value_month &amp; " ações mensais", "")
)</f>
        <v/>
      </c>
      <c r="K201" s="8" t="str" cm="1">
        <f t="array" ref="K201">_xlfn.LET(
    _xlpm.sum_month, SUM(T201:AE201),
    IF(_xlpm.sum_month = 0, "", _xlpm.sum_month &amp; " taxa de aprovados")
)</f>
        <v/>
      </c>
      <c r="L201" s="4" t="s">
        <v>183</v>
      </c>
      <c r="M201" s="13">
        <v>1</v>
      </c>
      <c r="N201" s="5" t="s">
        <v>51</v>
      </c>
      <c r="O201" s="5" t="s">
        <v>43</v>
      </c>
      <c r="P201" s="10" t="s">
        <v>44</v>
      </c>
      <c r="Q201" s="10" t="s">
        <v>44</v>
      </c>
      <c r="R201" s="11" t="s">
        <v>44</v>
      </c>
      <c r="S201" s="11" t="s">
        <v>44</v>
      </c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94" t="str" cm="1">
        <f t="array" ref="AS201">IFERROR(INDEX(T201:AE201,1,MATCH(2,1/(T201:AE201&lt;&gt;""))),"")</f>
        <v/>
      </c>
      <c r="AT201" s="95" t="str" cm="1">
        <f t="array" ref="AT201">IFERROR(INDEX(AJ201:AR201,1,MATCH(2,1/(AJ201:AR201&lt;&gt;""))),"")</f>
        <v/>
      </c>
      <c r="AU201" s="97" t="str">
        <f t="shared" si="491"/>
        <v/>
      </c>
      <c r="AW201" s="51" t="str">
        <f t="shared" si="492"/>
        <v/>
      </c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65" t="str" cm="1">
        <f t="array" ref="BI201">IFERROR(INDEX(AW201:BH201,1,MATCH(2,1/(AW201:BH201&lt;&gt;""))),"")</f>
        <v/>
      </c>
      <c r="BJ201" s="68" t="str" cm="1">
        <f t="array" ref="BJ201">IF(BM201 = "", "",IFERROR(INDEX(AW201:BH201,1,MATCH(2,1/(AW201:BH201&lt;&gt;""),1)-1),""))</f>
        <v/>
      </c>
      <c r="BK201" s="58" t="str" cm="1">
        <f t="array" ref="BK201">IFERROR(INDEX(AW201:BH201,1,MATCH(2,1/(AW201:BH201&lt;&gt;""))),"")</f>
        <v/>
      </c>
      <c r="BL201" s="58" t="str" cm="1">
        <f t="array" ref="BL201">IFERROR(INDEX(AW201:BH201,1,MATCH(2,1/(AW201:BH201&lt;&gt;""),1)-1),"")</f>
        <v/>
      </c>
      <c r="BM201" s="55" t="str" cm="1">
        <f t="array" ref="BM201">IFERROR(
   INDEX($AW$1:$BH$1,
      _xlfn.AGGREGATE(14, 6, COLUMN($AW$1:$BH$1)/(AW201:BH201&lt;&gt;""), 2) - COLUMN($AW$1) + 1
   ),
"")</f>
        <v/>
      </c>
      <c r="BN201" s="55" t="str" cm="1">
        <f t="array" ref="BN201">IFERROR(INDEX($AW$1:$BH$1,1,MATCH(2,1/(AW201:BH201&lt;&gt;""))),"")</f>
        <v/>
      </c>
      <c r="BO201" s="53">
        <f ca="1">IFERROR(_xlfn.XLOOKUP(F201,Apuração!A:A,Apuração!C:C)/_xlfn.XLOOKUP(F201,Apuração!A:A,Apuração!B:B),0)</f>
        <v>0</v>
      </c>
      <c r="BP201" s="53">
        <f ca="1">IFERROR(_xlfn.XLOOKUP(F201,Apuração!A:A,Apuração!D:D)/_xlfn.XLOOKUP(F201,Apuração!A:A,Apuração!B:B),0)</f>
        <v>0</v>
      </c>
      <c r="BQ201" s="53">
        <f ca="1">IF(BK201&gt;=BO201,0,_xlfn.XLOOKUP(F201,Apuração!A:A,Apuração!B:B)*(BO201 + (1/_xlfn.XLOOKUP(F201,Apuração!A:A,Apuração!B:B)) - BK201))</f>
        <v>0</v>
      </c>
      <c r="BR201" s="85">
        <f t="shared" ca="1" si="493"/>
        <v>0</v>
      </c>
      <c r="BS201" s="53">
        <f ca="1">IFERROR((_xlfn.XLOOKUP(F201,Apuração!A:A,Apuração!C:C)+1)/_xlfn.XLOOKUP(F201,Apuração!A:A,Apuração!B:B),0)</f>
        <v>0.14285714285714285</v>
      </c>
    </row>
    <row r="202" spans="1:71" ht="25.95" hidden="1" customHeight="1" x14ac:dyDescent="0.3">
      <c r="A202" s="33" t="s">
        <v>175</v>
      </c>
      <c r="B202" s="4" t="s">
        <v>197</v>
      </c>
      <c r="C202" s="5" t="s">
        <v>35</v>
      </c>
      <c r="D202" s="5" t="s">
        <v>36</v>
      </c>
      <c r="E202" s="4" t="s">
        <v>96</v>
      </c>
      <c r="F202" s="4" t="str" cm="1">
        <f t="array" ref="F202">_xlfn.IFS(
AG202 &lt;&gt; "", "Jan-Dez/26",
AH202 &lt;&gt; "", "Fev-Dez/26",
AI202 &lt;&gt; "", "Mar-Dez/26", AJ202 &lt;&gt; "", "Abr-Dez/26",
TRUE, "A partir de Junho"
)</f>
        <v>A partir de Junho</v>
      </c>
      <c r="G202" s="4" t="s">
        <v>62</v>
      </c>
      <c r="H202" s="7" t="s">
        <v>38</v>
      </c>
      <c r="I202" s="8" t="s">
        <v>177</v>
      </c>
      <c r="J202" s="8" t="str" cm="1">
        <f t="array" aca="1" ref="J202" ca="1">_xlfn.LET(
  _xlpm.actual_value_month, INDEX(T202:AE202, MATCH(DATE(YEAR(TODAY()), MONTH(TODAY()), 1), $T$1:$AE$1, 0)),
  IF(_xlpm.actual_value_month &lt;&gt; "", _xlpm.actual_value_month &amp; " ações mensais", "")
)</f>
        <v/>
      </c>
      <c r="K202" s="8" t="str" cm="1">
        <f t="array" ref="K202">_xlfn.LET(
    _xlpm.sum_month, SUM(T202:AE202),
    IF(_xlpm.sum_month = 0, "", _xlpm.sum_month &amp; " certificados gerados.")
)</f>
        <v/>
      </c>
      <c r="L202" s="9" t="s">
        <v>198</v>
      </c>
      <c r="M202" s="13">
        <v>1</v>
      </c>
      <c r="N202" s="5" t="s">
        <v>42</v>
      </c>
      <c r="O202" s="5" t="s">
        <v>43</v>
      </c>
      <c r="P202" s="10" t="s">
        <v>146</v>
      </c>
      <c r="Q202" s="10" t="s">
        <v>44</v>
      </c>
      <c r="R202" s="11" t="s">
        <v>179</v>
      </c>
      <c r="S202" s="11" t="s">
        <v>67</v>
      </c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94" t="str" cm="1">
        <f t="array" ref="AS202">IFERROR(INDEX(T202:AE202,1,MATCH(2,1/(T202:AE202&lt;&gt;""))),"")</f>
        <v/>
      </c>
      <c r="AT202" s="95" t="str" cm="1">
        <f t="array" ref="AT202">IFERROR(INDEX(AJ202:AR202,1,MATCH(2,1/(AJ202:AR202&lt;&gt;""))),"")</f>
        <v/>
      </c>
      <c r="AU202" s="97" t="str">
        <f t="shared" si="463"/>
        <v/>
      </c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65" t="str" cm="1">
        <f t="array" ref="BI202">IFERROR(INDEX(AW202:BH202,1,MATCH(2,1/(AW202:BH202&lt;&gt;""))),"")</f>
        <v/>
      </c>
      <c r="BJ202" s="68" t="str" cm="1">
        <f t="array" ref="BJ202">IF(BM202 = "", "",IFERROR(INDEX(AW202:BH202,1,MATCH(2,1/(AW202:BH202&lt;&gt;""),1)-1),""))</f>
        <v/>
      </c>
      <c r="BK202" s="58" t="str" cm="1">
        <f t="array" ref="BK202">IFERROR(INDEX(AW202:BH202,1,MATCH(2,1/(AW202:BH202&lt;&gt;""))),"")</f>
        <v/>
      </c>
      <c r="BL202" s="58" t="str" cm="1">
        <f t="array" ref="BL202">IFERROR(INDEX(AW202:BH202,1,MATCH(2,1/(AW202:BH202&lt;&gt;""),1)-1),"")</f>
        <v/>
      </c>
      <c r="BM202" s="55" t="str" cm="1">
        <f t="array" ref="BM202">IFERROR(
   INDEX($AW$1:$BH$1,
      _xlfn.AGGREGATE(14, 6, COLUMN($AW$1:$BH$1)/(AW202:BH202&lt;&gt;""), 2) - COLUMN($AW$1) + 1
   ),
"")</f>
        <v/>
      </c>
      <c r="BN202" s="55" t="str" cm="1">
        <f t="array" ref="BN202">IFERROR(INDEX($AW$1:$BH$1,1,MATCH(2,1/(AW202:BH202&lt;&gt;""))),"")</f>
        <v/>
      </c>
      <c r="BO202" s="53">
        <f ca="1">IFERROR(_xlfn.XLOOKUP(F202,Apuração!A:A,Apuração!C:C)/_xlfn.XLOOKUP(F202,Apuração!A:A,Apuração!B:B),0)</f>
        <v>0</v>
      </c>
      <c r="BP202" s="53">
        <f ca="1">IFERROR(_xlfn.XLOOKUP(F202,Apuração!A:A,Apuração!D:D)/_xlfn.XLOOKUP(F202,Apuração!A:A,Apuração!B:B),0)</f>
        <v>0</v>
      </c>
      <c r="BQ202" s="53">
        <f ca="1">IF(BK202&gt;=BO202,0,_xlfn.XLOOKUP(F202,Apuração!A:A,Apuração!B:B)*(BO202 + (1/_xlfn.XLOOKUP(F202,Apuração!A:A,Apuração!B:B)) - BK202))</f>
        <v>0</v>
      </c>
      <c r="BR202" s="85">
        <f t="shared" ref="BR202:BR271" ca="1" si="494">IF(BQ202=0,0,BQ202*Z202)</f>
        <v>0</v>
      </c>
      <c r="BS202" s="53">
        <f ca="1">IFERROR((_xlfn.XLOOKUP(F202,Apuração!A:A,Apuração!C:C)+1)/_xlfn.XLOOKUP(F202,Apuração!A:A,Apuração!B:B),0)</f>
        <v>0.14285714285714285</v>
      </c>
    </row>
    <row r="203" spans="1:71" ht="25.95" hidden="1" customHeight="1" x14ac:dyDescent="0.3">
      <c r="A203" s="33" t="s">
        <v>175</v>
      </c>
      <c r="B203" s="4" t="s">
        <v>197</v>
      </c>
      <c r="C203" s="5" t="s">
        <v>35</v>
      </c>
      <c r="D203" s="5" t="s">
        <v>47</v>
      </c>
      <c r="E203" s="4" t="s">
        <v>96</v>
      </c>
      <c r="F203" s="4" t="str" cm="1">
        <f t="array" ref="F203">_xlfn.IFS(
AG203 &lt;&gt; "", "Jan-Dez/26",
AH203 &lt;&gt; "", "Fev-Dez/26",
AI203 &lt;&gt; "", "Mar-Dez/26", AJ203 &lt;&gt; "", "Abr-Dez/26",
TRUE, "A partir de Junho"
)</f>
        <v>A partir de Junho</v>
      </c>
      <c r="G203" s="4" t="s">
        <v>62</v>
      </c>
      <c r="H203" s="7" t="s">
        <v>38</v>
      </c>
      <c r="I203" s="8" t="s">
        <v>177</v>
      </c>
      <c r="J203" s="8" t="str" cm="1">
        <f t="array" aca="1" ref="J203" ca="1">_xlfn.LET(
  _xlpm.actual_value_month, INDEX(T203:AE203, MATCH(DATE(YEAR(TODAY()), MONTH(TODAY()), 1), $T$1:$AE$1, 0)),
  IF(_xlpm.actual_value_month &lt;&gt; "", _xlpm.actual_value_month &amp; " ações mensais", "")
)</f>
        <v/>
      </c>
      <c r="K203" s="8" t="str" cm="1">
        <f t="array" ref="K203">_xlfn.LET(
    _xlpm.sum_month, SUM(T203:AE203),
    IF(_xlpm.sum_month = 0, "", _xlpm.sum_month &amp; " certificados gerados.")
)</f>
        <v/>
      </c>
      <c r="L203" s="9" t="s">
        <v>198</v>
      </c>
      <c r="M203" s="13">
        <v>1</v>
      </c>
      <c r="N203" s="5" t="s">
        <v>42</v>
      </c>
      <c r="O203" s="5" t="s">
        <v>43</v>
      </c>
      <c r="P203" s="10" t="s">
        <v>146</v>
      </c>
      <c r="Q203" s="10" t="s">
        <v>44</v>
      </c>
      <c r="R203" s="11" t="s">
        <v>179</v>
      </c>
      <c r="S203" s="11" t="s">
        <v>67</v>
      </c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94" t="str" cm="1">
        <f t="array" ref="AS203">IFERROR(INDEX(T203:AE203,1,MATCH(2,1/(T203:AE203&lt;&gt;""))),"")</f>
        <v/>
      </c>
      <c r="AT203" s="95" t="str" cm="1">
        <f t="array" ref="AT203">IFERROR(INDEX(AJ203:AR203,1,MATCH(2,1/(AJ203:AR203&lt;&gt;""))),"")</f>
        <v/>
      </c>
      <c r="AU203" s="97" t="str">
        <f t="shared" ref="AU203:AU206" si="495">AT203</f>
        <v/>
      </c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65" t="str" cm="1">
        <f t="array" ref="BI203">IFERROR(INDEX(AW203:BH203,1,MATCH(2,1/(AW203:BH203&lt;&gt;""))),"")</f>
        <v/>
      </c>
      <c r="BJ203" s="68" t="str" cm="1">
        <f t="array" ref="BJ203">IF(BM203 = "", "",IFERROR(INDEX(AW203:BH203,1,MATCH(2,1/(AW203:BH203&lt;&gt;""),1)-1),""))</f>
        <v/>
      </c>
      <c r="BK203" s="58" t="str" cm="1">
        <f t="array" ref="BK203">IFERROR(INDEX(AW203:BH203,1,MATCH(2,1/(AW203:BH203&lt;&gt;""))),"")</f>
        <v/>
      </c>
      <c r="BL203" s="58" t="str" cm="1">
        <f t="array" ref="BL203">IFERROR(INDEX(AW203:BH203,1,MATCH(2,1/(AW203:BH203&lt;&gt;""),1)-1),"")</f>
        <v/>
      </c>
      <c r="BM203" s="55" t="str" cm="1">
        <f t="array" ref="BM203">IFERROR(
   INDEX($AW$1:$BH$1,
      _xlfn.AGGREGATE(14, 6, COLUMN($AW$1:$BH$1)/(AW203:BH203&lt;&gt;""), 2) - COLUMN($AW$1) + 1
   ),
"")</f>
        <v/>
      </c>
      <c r="BN203" s="55" t="str" cm="1">
        <f t="array" ref="BN203">IFERROR(INDEX($AW$1:$BH$1,1,MATCH(2,1/(AW203:BH203&lt;&gt;""))),"")</f>
        <v/>
      </c>
      <c r="BO203" s="53">
        <f ca="1">IFERROR(_xlfn.XLOOKUP(F203,Apuração!A:A,Apuração!C:C)/_xlfn.XLOOKUP(F203,Apuração!A:A,Apuração!B:B),0)</f>
        <v>0</v>
      </c>
      <c r="BP203" s="53">
        <f ca="1">IFERROR(_xlfn.XLOOKUP(F203,Apuração!A:A,Apuração!D:D)/_xlfn.XLOOKUP(F203,Apuração!A:A,Apuração!B:B),0)</f>
        <v>0</v>
      </c>
      <c r="BQ203" s="53">
        <f ca="1">IF(BK203&gt;=BO203,0,_xlfn.XLOOKUP(F203,Apuração!A:A,Apuração!B:B)*(BO203 + (1/_xlfn.XLOOKUP(F203,Apuração!A:A,Apuração!B:B)) - BK203))</f>
        <v>0</v>
      </c>
      <c r="BR203" s="85">
        <f t="shared" ref="BR203:BR206" ca="1" si="496">IF(BQ203=0,0,BQ203*Z203)</f>
        <v>0</v>
      </c>
      <c r="BS203" s="53">
        <f ca="1">IFERROR((_xlfn.XLOOKUP(F203,Apuração!A:A,Apuração!C:C)+1)/_xlfn.XLOOKUP(F203,Apuração!A:A,Apuração!B:B),0)</f>
        <v>0.14285714285714285</v>
      </c>
    </row>
    <row r="204" spans="1:71" ht="25.95" hidden="1" customHeight="1" x14ac:dyDescent="0.3">
      <c r="A204" s="33" t="s">
        <v>175</v>
      </c>
      <c r="B204" s="4" t="s">
        <v>197</v>
      </c>
      <c r="C204" s="5" t="s">
        <v>35</v>
      </c>
      <c r="D204" s="5" t="s">
        <v>48</v>
      </c>
      <c r="E204" s="4" t="s">
        <v>96</v>
      </c>
      <c r="F204" s="4" t="str" cm="1">
        <f t="array" ref="F204">_xlfn.IFS(
AG204 &lt;&gt; "", "Jan-Dez/26",
AH204 &lt;&gt; "", "Fev-Dez/26",
AI204 &lt;&gt; "", "Mar-Dez/26", AJ204 &lt;&gt; "", "Abr-Dez/26",
TRUE, "A partir de Junho"
)</f>
        <v>A partir de Junho</v>
      </c>
      <c r="G204" s="4" t="s">
        <v>62</v>
      </c>
      <c r="H204" s="7" t="s">
        <v>38</v>
      </c>
      <c r="I204" s="8" t="s">
        <v>177</v>
      </c>
      <c r="J204" s="8" t="str" cm="1">
        <f t="array" aca="1" ref="J204" ca="1">_xlfn.LET(
  _xlpm.actual_value_month, INDEX(T204:AE204, MATCH(DATE(YEAR(TODAY()), MONTH(TODAY()), 1), $T$1:$AE$1, 0)),
  IF(_xlpm.actual_value_month &lt;&gt; "", _xlpm.actual_value_month &amp; " ações mensais", "")
)</f>
        <v/>
      </c>
      <c r="K204" s="8" t="str" cm="1">
        <f t="array" ref="K204">_xlfn.LET(
    _xlpm.sum_month, SUM(T204:AE204),
    IF(_xlpm.sum_month = 0, "", _xlpm.sum_month &amp; " certificados gerados.")
)</f>
        <v/>
      </c>
      <c r="L204" s="9" t="s">
        <v>198</v>
      </c>
      <c r="M204" s="13">
        <v>1</v>
      </c>
      <c r="N204" s="5" t="s">
        <v>42</v>
      </c>
      <c r="O204" s="5" t="s">
        <v>43</v>
      </c>
      <c r="P204" s="10" t="s">
        <v>146</v>
      </c>
      <c r="Q204" s="10" t="s">
        <v>44</v>
      </c>
      <c r="R204" s="11" t="s">
        <v>179</v>
      </c>
      <c r="S204" s="11" t="s">
        <v>67</v>
      </c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94" t="str" cm="1">
        <f t="array" ref="AS204">IFERROR(INDEX(T204:AE204,1,MATCH(2,1/(T204:AE204&lt;&gt;""))),"")</f>
        <v/>
      </c>
      <c r="AT204" s="95" t="str" cm="1">
        <f t="array" ref="AT204">IFERROR(INDEX(AJ204:AR204,1,MATCH(2,1/(AJ204:AR204&lt;&gt;""))),"")</f>
        <v/>
      </c>
      <c r="AU204" s="97" t="str">
        <f t="shared" si="495"/>
        <v/>
      </c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65" t="str" cm="1">
        <f t="array" ref="BI204">IFERROR(INDEX(AW204:BH204,1,MATCH(2,1/(AW204:BH204&lt;&gt;""))),"")</f>
        <v/>
      </c>
      <c r="BJ204" s="68" t="str" cm="1">
        <f t="array" ref="BJ204">IF(BM204 = "", "",IFERROR(INDEX(AW204:BH204,1,MATCH(2,1/(AW204:BH204&lt;&gt;""),1)-1),""))</f>
        <v/>
      </c>
      <c r="BK204" s="58" t="str" cm="1">
        <f t="array" ref="BK204">IFERROR(INDEX(AW204:BH204,1,MATCH(2,1/(AW204:BH204&lt;&gt;""))),"")</f>
        <v/>
      </c>
      <c r="BL204" s="58" t="str" cm="1">
        <f t="array" ref="BL204">IFERROR(INDEX(AW204:BH204,1,MATCH(2,1/(AW204:BH204&lt;&gt;""),1)-1),"")</f>
        <v/>
      </c>
      <c r="BM204" s="55" t="str" cm="1">
        <f t="array" ref="BM204">IFERROR(
   INDEX($AW$1:$BH$1,
      _xlfn.AGGREGATE(14, 6, COLUMN($AW$1:$BH$1)/(AW204:BH204&lt;&gt;""), 2) - COLUMN($AW$1) + 1
   ),
"")</f>
        <v/>
      </c>
      <c r="BN204" s="55" t="str" cm="1">
        <f t="array" ref="BN204">IFERROR(INDEX($AW$1:$BH$1,1,MATCH(2,1/(AW204:BH204&lt;&gt;""))),"")</f>
        <v/>
      </c>
      <c r="BO204" s="53">
        <f ca="1">IFERROR(_xlfn.XLOOKUP(F204,Apuração!A:A,Apuração!C:C)/_xlfn.XLOOKUP(F204,Apuração!A:A,Apuração!B:B),0)</f>
        <v>0</v>
      </c>
      <c r="BP204" s="53">
        <f ca="1">IFERROR(_xlfn.XLOOKUP(F204,Apuração!A:A,Apuração!D:D)/_xlfn.XLOOKUP(F204,Apuração!A:A,Apuração!B:B),0)</f>
        <v>0</v>
      </c>
      <c r="BQ204" s="53">
        <f ca="1">IF(BK204&gt;=BO204,0,_xlfn.XLOOKUP(F204,Apuração!A:A,Apuração!B:B)*(BO204 + (1/_xlfn.XLOOKUP(F204,Apuração!A:A,Apuração!B:B)) - BK204))</f>
        <v>0</v>
      </c>
      <c r="BR204" s="85">
        <f t="shared" ca="1" si="496"/>
        <v>0</v>
      </c>
      <c r="BS204" s="53">
        <f ca="1">IFERROR((_xlfn.XLOOKUP(F204,Apuração!A:A,Apuração!C:C)+1)/_xlfn.XLOOKUP(F204,Apuração!A:A,Apuração!B:B),0)</f>
        <v>0.14285714285714285</v>
      </c>
    </row>
    <row r="205" spans="1:71" ht="25.95" hidden="1" customHeight="1" x14ac:dyDescent="0.3">
      <c r="A205" s="44" t="s">
        <v>175</v>
      </c>
      <c r="B205" s="4" t="s">
        <v>197</v>
      </c>
      <c r="C205" s="5" t="s">
        <v>35</v>
      </c>
      <c r="D205" s="5" t="s">
        <v>36</v>
      </c>
      <c r="E205" s="4" t="s">
        <v>96</v>
      </c>
      <c r="F205" s="4" t="str" cm="1">
        <f t="array" ref="F205">_xlfn.IFS(
AG205 &lt;&gt; "", "Jan-Dez/26",
AH205 &lt;&gt; "", "Fev-Dez/26",
AI205 &lt;&gt; "", "Mar-Dez/26", AJ205 &lt;&gt; "", "Abr-Dez/26",
TRUE, "A partir de Junho"
)</f>
        <v>A partir de Junho</v>
      </c>
      <c r="G205" s="4" t="s">
        <v>62</v>
      </c>
      <c r="H205" s="7" t="s">
        <v>38</v>
      </c>
      <c r="I205" s="21" t="s">
        <v>180</v>
      </c>
      <c r="J205" s="8" t="str" cm="1">
        <f t="array" aca="1" ref="J205" ca="1">_xlfn.LET(
  _xlpm.actual_value_month, INDEX(T205:AE205, MATCH(DATE(YEAR(TODAY()), MONTH(TODAY()), 1), $T$1:$AE$1, 0)),
  IF(_xlpm.actual_value_month &lt;&gt; "", _xlpm.actual_value_month &amp; " ações mensais", "")
)</f>
        <v/>
      </c>
      <c r="K205" s="34" t="str" cm="1">
        <f t="array" ref="K205">_xlfn.LET(
    _xlpm.sum_month, SUM(T205:AE205),
    IF(_xlpm.sum_month = 0, "", _xlpm.sum_month &amp; " colaboradores treinados.")
)</f>
        <v/>
      </c>
      <c r="L205" s="9" t="s">
        <v>199</v>
      </c>
      <c r="M205" s="13">
        <v>1</v>
      </c>
      <c r="N205" s="5" t="s">
        <v>51</v>
      </c>
      <c r="O205" s="5" t="s">
        <v>52</v>
      </c>
      <c r="P205" s="10" t="s">
        <v>146</v>
      </c>
      <c r="Q205" s="10" t="s">
        <v>44</v>
      </c>
      <c r="R205" s="11" t="s">
        <v>44</v>
      </c>
      <c r="S205" s="11" t="s">
        <v>44</v>
      </c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94" t="str" cm="1">
        <f t="array" ref="AS205">IFERROR(INDEX(T205:AE205,1,MATCH(2,1/(T205:AE205&lt;&gt;""))),"")</f>
        <v/>
      </c>
      <c r="AT205" s="95" t="str" cm="1">
        <f t="array" ref="AT205">IFERROR(INDEX(AJ205:AR205,1,MATCH(2,1/(AJ205:AR205&lt;&gt;""))),"")</f>
        <v/>
      </c>
      <c r="AU205" s="97" t="str">
        <f t="shared" si="495"/>
        <v/>
      </c>
      <c r="AW205" s="52">
        <f t="shared" ref="AW205:AW206" si="497">AG205</f>
        <v>0</v>
      </c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68" cm="1">
        <f t="array" ref="BI205">IFERROR(INDEX(AW205:BH205,1,MATCH(2,1/(AW205:BH205&lt;&gt;""))),"")</f>
        <v>0</v>
      </c>
      <c r="BJ205" s="68" t="str" cm="1">
        <f t="array" ref="BJ205">IF(BM205 = "", "",IFERROR(INDEX(AW205:BH205,1,MATCH(2,1/(AW205:BH205&lt;&gt;""),1)-1),""))</f>
        <v/>
      </c>
      <c r="BK205" s="59">
        <f t="shared" ref="BK205:BK206" si="498">SUM(AW205:BH205)</f>
        <v>0</v>
      </c>
      <c r="BL205" s="59" cm="1">
        <f t="array" ref="BL205">IFERROR(SUM(AW205:INDEX(AW205:BH205, MATCH(2, 1/(AW205:BH205&lt;&gt;""), 1) - 1))/_xlfn.XLOOKUP(F205,Apuração!A:A,Apuração!B:B),0)</f>
        <v>0</v>
      </c>
      <c r="BM205" s="55" t="str" cm="1">
        <f t="array" ref="BM205">IFERROR(
   INDEX($AW$1:$BH$1,
      _xlfn.AGGREGATE(14, 6, COLUMN($AW$1:$BH$1)/(AW205:BH205&lt;&gt;""), 2) - COLUMN($AW$1) + 1
   ),
"")</f>
        <v/>
      </c>
      <c r="BN205" s="55" cm="1">
        <f t="array" ref="BN205">IFERROR(INDEX($AW$1:$BH$1,1,MATCH(2,1/(AW205:BH205&lt;&gt;""))),"")</f>
        <v>46023</v>
      </c>
      <c r="BO205" s="53">
        <f ca="1">IFERROR(_xlfn.XLOOKUP(F205,Apuração!A:A,Apuração!C:C)/_xlfn.XLOOKUP(F205,Apuração!A:A,Apuração!B:B),0)</f>
        <v>0</v>
      </c>
      <c r="BP205" s="53">
        <f ca="1">IFERROR(_xlfn.XLOOKUP(F205,Apuração!A:A,Apuração!D:D)/_xlfn.XLOOKUP(F205,Apuração!A:A,Apuração!B:B),0)</f>
        <v>0</v>
      </c>
      <c r="BQ205" s="53">
        <f ca="1">IF(BK205&gt;=BO205,0,_xlfn.XLOOKUP(F205,Apuração!A:A,Apuração!B:B)*(BO205 + (1/_xlfn.XLOOKUP(F205,Apuração!A:A,Apuração!B:B)) - BK205))</f>
        <v>0</v>
      </c>
      <c r="BR205" s="85">
        <f t="shared" ca="1" si="496"/>
        <v>0</v>
      </c>
      <c r="BS205" s="53">
        <f ca="1">IFERROR((_xlfn.XLOOKUP(F205,Apuração!A:A,Apuração!C:C)+1)/_xlfn.XLOOKUP(F205,Apuração!A:A,Apuração!B:B),0)</f>
        <v>0.14285714285714285</v>
      </c>
    </row>
    <row r="206" spans="1:71" ht="25.95" hidden="1" customHeight="1" x14ac:dyDescent="0.3">
      <c r="A206" s="44" t="s">
        <v>175</v>
      </c>
      <c r="B206" s="4" t="s">
        <v>197</v>
      </c>
      <c r="C206" s="5" t="s">
        <v>35</v>
      </c>
      <c r="D206" s="5" t="s">
        <v>47</v>
      </c>
      <c r="E206" s="4" t="s">
        <v>96</v>
      </c>
      <c r="F206" s="4" t="str" cm="1">
        <f t="array" ref="F206">_xlfn.IFS(
AG206 &lt;&gt; "", "Jan-Dez/26",
AH206 &lt;&gt; "", "Fev-Dez/26",
AI206 &lt;&gt; "", "Mar-Dez/26", AJ206 &lt;&gt; "", "Abr-Dez/26",
TRUE, "A partir de Junho"
)</f>
        <v>A partir de Junho</v>
      </c>
      <c r="G206" s="4" t="s">
        <v>62</v>
      </c>
      <c r="H206" s="7" t="s">
        <v>38</v>
      </c>
      <c r="I206" s="21" t="s">
        <v>180</v>
      </c>
      <c r="J206" s="8" t="str" cm="1">
        <f t="array" aca="1" ref="J206" ca="1">_xlfn.LET(
  _xlpm.actual_value_month, INDEX(T206:AE206, MATCH(DATE(YEAR(TODAY()), MONTH(TODAY()), 1), $T$1:$AE$1, 0)),
  IF(_xlpm.actual_value_month &lt;&gt; "", _xlpm.actual_value_month &amp; " ações mensais", "")
)</f>
        <v/>
      </c>
      <c r="K206" s="34" t="str" cm="1">
        <f t="array" ref="K206">_xlfn.LET(
    _xlpm.sum_month, SUM(T206:AE206),
    IF(_xlpm.sum_month = 0, "", _xlpm.sum_month &amp; " colaboradores treinados.")
)</f>
        <v/>
      </c>
      <c r="L206" s="9" t="s">
        <v>199</v>
      </c>
      <c r="M206" s="13">
        <v>1</v>
      </c>
      <c r="N206" s="5" t="s">
        <v>51</v>
      </c>
      <c r="O206" s="5" t="s">
        <v>52</v>
      </c>
      <c r="P206" s="10" t="s">
        <v>146</v>
      </c>
      <c r="Q206" s="10" t="s">
        <v>44</v>
      </c>
      <c r="R206" s="11" t="s">
        <v>44</v>
      </c>
      <c r="S206" s="11" t="s">
        <v>44</v>
      </c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94" t="str" cm="1">
        <f t="array" ref="AS206">IFERROR(INDEX(T206:AE206,1,MATCH(2,1/(T206:AE206&lt;&gt;""))),"")</f>
        <v/>
      </c>
      <c r="AT206" s="95" t="str" cm="1">
        <f t="array" ref="AT206">IFERROR(INDEX(AJ206:AR206,1,MATCH(2,1/(AJ206:AR206&lt;&gt;""))),"")</f>
        <v/>
      </c>
      <c r="AU206" s="97" t="str">
        <f t="shared" si="495"/>
        <v/>
      </c>
      <c r="AW206" s="52">
        <f t="shared" si="497"/>
        <v>0</v>
      </c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68" cm="1">
        <f t="array" ref="BI206">IFERROR(INDEX(AW206:BH206,1,MATCH(2,1/(AW206:BH206&lt;&gt;""))),"")</f>
        <v>0</v>
      </c>
      <c r="BJ206" s="68" t="str" cm="1">
        <f t="array" ref="BJ206">IF(BM206 = "", "",IFERROR(INDEX(AW206:BH206,1,MATCH(2,1/(AW206:BH206&lt;&gt;""),1)-1),""))</f>
        <v/>
      </c>
      <c r="BK206" s="59">
        <f t="shared" si="498"/>
        <v>0</v>
      </c>
      <c r="BL206" s="59" cm="1">
        <f t="array" ref="BL206">IFERROR(SUM(AW206:INDEX(AW206:BH206, MATCH(2, 1/(AW206:BH206&lt;&gt;""), 1) - 1))/_xlfn.XLOOKUP(F206,Apuração!A:A,Apuração!B:B),0)</f>
        <v>0</v>
      </c>
      <c r="BM206" s="55" t="str" cm="1">
        <f t="array" ref="BM206">IFERROR(
   INDEX($AW$1:$BH$1,
      _xlfn.AGGREGATE(14, 6, COLUMN($AW$1:$BH$1)/(AW206:BH206&lt;&gt;""), 2) - COLUMN($AW$1) + 1
   ),
"")</f>
        <v/>
      </c>
      <c r="BN206" s="55" cm="1">
        <f t="array" ref="BN206">IFERROR(INDEX($AW$1:$BH$1,1,MATCH(2,1/(AW206:BH206&lt;&gt;""))),"")</f>
        <v>46023</v>
      </c>
      <c r="BO206" s="53">
        <f ca="1">IFERROR(_xlfn.XLOOKUP(F206,Apuração!A:A,Apuração!C:C)/_xlfn.XLOOKUP(F206,Apuração!A:A,Apuração!B:B),0)</f>
        <v>0</v>
      </c>
      <c r="BP206" s="53">
        <f ca="1">IFERROR(_xlfn.XLOOKUP(F206,Apuração!A:A,Apuração!D:D)/_xlfn.XLOOKUP(F206,Apuração!A:A,Apuração!B:B),0)</f>
        <v>0</v>
      </c>
      <c r="BQ206" s="53">
        <f ca="1">IF(BK206&gt;=BO206,0,_xlfn.XLOOKUP(F206,Apuração!A:A,Apuração!B:B)*(BO206 + (1/_xlfn.XLOOKUP(F206,Apuração!A:A,Apuração!B:B)) - BK206))</f>
        <v>0</v>
      </c>
      <c r="BR206" s="85">
        <f t="shared" ca="1" si="496"/>
        <v>0</v>
      </c>
      <c r="BS206" s="53">
        <f ca="1">IFERROR((_xlfn.XLOOKUP(F206,Apuração!A:A,Apuração!C:C)+1)/_xlfn.XLOOKUP(F206,Apuração!A:A,Apuração!B:B),0)</f>
        <v>0.14285714285714285</v>
      </c>
    </row>
    <row r="207" spans="1:71" ht="25.95" hidden="1" customHeight="1" x14ac:dyDescent="0.3">
      <c r="A207" s="44" t="s">
        <v>175</v>
      </c>
      <c r="B207" s="4" t="s">
        <v>197</v>
      </c>
      <c r="C207" s="5" t="s">
        <v>35</v>
      </c>
      <c r="D207" s="5" t="s">
        <v>48</v>
      </c>
      <c r="E207" s="4" t="s">
        <v>96</v>
      </c>
      <c r="F207" s="4" t="str" cm="1">
        <f t="array" ref="F207">_xlfn.IFS(
AG207 &lt;&gt; "", "Jan-Dez/26",
AH207 &lt;&gt; "", "Fev-Dez/26",
AI207 &lt;&gt; "", "Mar-Dez/26", AJ207 &lt;&gt; "", "Abr-Dez/26",
TRUE, "A partir de Junho"
)</f>
        <v>A partir de Junho</v>
      </c>
      <c r="G207" s="4" t="s">
        <v>62</v>
      </c>
      <c r="H207" s="7" t="s">
        <v>38</v>
      </c>
      <c r="I207" s="21" t="s">
        <v>180</v>
      </c>
      <c r="J207" s="8" t="str" cm="1">
        <f t="array" aca="1" ref="J207" ca="1">_xlfn.LET(
  _xlpm.actual_value_month, INDEX(T207:AE207, MATCH(DATE(YEAR(TODAY()), MONTH(TODAY()), 1), $T$1:$AE$1, 0)),
  IF(_xlpm.actual_value_month &lt;&gt; "", _xlpm.actual_value_month &amp; " ações mensais", "")
)</f>
        <v/>
      </c>
      <c r="K207" s="34" t="str" cm="1">
        <f t="array" ref="K207">_xlfn.LET(
    _xlpm.sum_month, SUM(T207:AE207),
    IF(_xlpm.sum_month = 0, "", _xlpm.sum_month &amp; " colaboradores treinados.")
)</f>
        <v/>
      </c>
      <c r="L207" s="9" t="s">
        <v>199</v>
      </c>
      <c r="M207" s="13">
        <v>1</v>
      </c>
      <c r="N207" s="5" t="s">
        <v>51</v>
      </c>
      <c r="O207" s="5" t="s">
        <v>52</v>
      </c>
      <c r="P207" s="10" t="s">
        <v>146</v>
      </c>
      <c r="Q207" s="10" t="s">
        <v>44</v>
      </c>
      <c r="R207" s="11" t="s">
        <v>44</v>
      </c>
      <c r="S207" s="11" t="s">
        <v>44</v>
      </c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94" t="str" cm="1">
        <f t="array" ref="AS207">IFERROR(INDEX(T207:AE207,1,MATCH(2,1/(T207:AE207&lt;&gt;""))),"")</f>
        <v/>
      </c>
      <c r="AT207" s="95" t="str" cm="1">
        <f t="array" ref="AT207">IFERROR(INDEX(AJ207:AR207,1,MATCH(2,1/(AJ207:AR207&lt;&gt;""))),"")</f>
        <v/>
      </c>
      <c r="AU207" s="97" t="str">
        <f t="shared" si="463"/>
        <v/>
      </c>
      <c r="AW207" s="52">
        <f>AG207</f>
        <v>0</v>
      </c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68" cm="1">
        <f t="array" ref="BI207">IFERROR(INDEX(AW207:BH207,1,MATCH(2,1/(AW207:BH207&lt;&gt;""))),"")</f>
        <v>0</v>
      </c>
      <c r="BJ207" s="68" t="str" cm="1">
        <f t="array" ref="BJ207">IF(BM207 = "", "",IFERROR(INDEX(AW207:BH207,1,MATCH(2,1/(AW207:BH207&lt;&gt;""),1)-1),""))</f>
        <v/>
      </c>
      <c r="BK207" s="59">
        <f>SUM(AW207:BH207)</f>
        <v>0</v>
      </c>
      <c r="BL207" s="59" cm="1">
        <f t="array" ref="BL207">IFERROR(SUM(AW207:INDEX(AW207:BH207, MATCH(2, 1/(AW207:BH207&lt;&gt;""), 1) - 1))/_xlfn.XLOOKUP(F207,Apuração!A:A,Apuração!B:B),0)</f>
        <v>0</v>
      </c>
      <c r="BM207" s="55" t="str" cm="1">
        <f t="array" ref="BM207">IFERROR(
   INDEX($AW$1:$BH$1,
      _xlfn.AGGREGATE(14, 6, COLUMN($AW$1:$BH$1)/(AW207:BH207&lt;&gt;""), 2) - COLUMN($AW$1) + 1
   ),
"")</f>
        <v/>
      </c>
      <c r="BN207" s="55" cm="1">
        <f t="array" ref="BN207">IFERROR(INDEX($AW$1:$BH$1,1,MATCH(2,1/(AW207:BH207&lt;&gt;""))),"")</f>
        <v>46023</v>
      </c>
      <c r="BO207" s="53">
        <f ca="1">IFERROR(_xlfn.XLOOKUP(F207,Apuração!A:A,Apuração!C:C)/_xlfn.XLOOKUP(F207,Apuração!A:A,Apuração!B:B),0)</f>
        <v>0</v>
      </c>
      <c r="BP207" s="53">
        <f ca="1">IFERROR(_xlfn.XLOOKUP(F207,Apuração!A:A,Apuração!D:D)/_xlfn.XLOOKUP(F207,Apuração!A:A,Apuração!B:B),0)</f>
        <v>0</v>
      </c>
      <c r="BQ207" s="53">
        <f ca="1">IF(BK207&gt;=BO207,0,_xlfn.XLOOKUP(F207,Apuração!A:A,Apuração!B:B)*(BO207 + (1/_xlfn.XLOOKUP(F207,Apuração!A:A,Apuração!B:B)) - BK207))</f>
        <v>0</v>
      </c>
      <c r="BR207" s="85">
        <f t="shared" ca="1" si="494"/>
        <v>0</v>
      </c>
      <c r="BS207" s="53">
        <f ca="1">IFERROR((_xlfn.XLOOKUP(F207,Apuração!A:A,Apuração!C:C)+1)/_xlfn.XLOOKUP(F207,Apuração!A:A,Apuração!B:B),0)</f>
        <v>0.14285714285714285</v>
      </c>
    </row>
    <row r="208" spans="1:71" ht="25.95" hidden="1" customHeight="1" x14ac:dyDescent="0.3">
      <c r="A208" s="44" t="s">
        <v>175</v>
      </c>
      <c r="B208" s="4" t="s">
        <v>197</v>
      </c>
      <c r="C208" s="5" t="s">
        <v>35</v>
      </c>
      <c r="D208" s="5" t="s">
        <v>36</v>
      </c>
      <c r="E208" s="4" t="s">
        <v>96</v>
      </c>
      <c r="F208" s="4" t="str" cm="1">
        <f t="array" ref="F208">_xlfn.IFS(
AG208 &lt;&gt; "", "Jan-Dez/26",
AH208 &lt;&gt; "", "Fev-Dez/26",
AI208 &lt;&gt; "", "Mar-Dez/26", AJ208 &lt;&gt; "", "Abr-Dez/26",
TRUE, "A partir de Junho"
)</f>
        <v>A partir de Junho</v>
      </c>
      <c r="G208" s="4" t="s">
        <v>62</v>
      </c>
      <c r="H208" s="7" t="s">
        <v>38</v>
      </c>
      <c r="I208" s="21" t="s">
        <v>182</v>
      </c>
      <c r="J208" s="8" t="str" cm="1">
        <f t="array" aca="1" ref="J208" ca="1">_xlfn.LET(
  _xlpm.actual_value_month, INDEX(T208:AE208, MATCH(DATE(YEAR(TODAY()), MONTH(TODAY()), 1), $T$1:$AE$1, 0)),
  IF(_xlpm.actual_value_month &lt;&gt; "", _xlpm.actual_value_month &amp; " ações mensais", "")
)</f>
        <v/>
      </c>
      <c r="K208" s="8" t="str" cm="1">
        <f t="array" ref="K208">_xlfn.LET(
    _xlpm.sum_month, SUM(T208:AE208),
    IF(_xlpm.sum_month = 0, "", _xlpm.sum_month &amp; " taxa de aprovados")
)</f>
        <v/>
      </c>
      <c r="L208" s="4" t="s">
        <v>183</v>
      </c>
      <c r="M208" s="13">
        <v>1</v>
      </c>
      <c r="N208" s="5" t="s">
        <v>51</v>
      </c>
      <c r="O208" s="5" t="s">
        <v>43</v>
      </c>
      <c r="P208" s="10" t="s">
        <v>44</v>
      </c>
      <c r="Q208" s="10" t="s">
        <v>44</v>
      </c>
      <c r="R208" s="11" t="s">
        <v>44</v>
      </c>
      <c r="S208" s="11" t="s">
        <v>44</v>
      </c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94" t="str" cm="1">
        <f t="array" ref="AS208">IFERROR(INDEX(T208:AE208,1,MATCH(2,1/(T208:AE208&lt;&gt;""))),"")</f>
        <v/>
      </c>
      <c r="AT208" s="95" t="str" cm="1">
        <f t="array" ref="AT208">IFERROR(INDEX(AJ208:AR208,1,MATCH(2,1/(AJ208:AR208&lt;&gt;""))),"")</f>
        <v/>
      </c>
      <c r="AU208" s="97" t="str">
        <f t="shared" ref="AU208:AU209" si="499">AT208</f>
        <v/>
      </c>
      <c r="AW208" s="51" t="str">
        <f t="shared" ref="AW208:AW209" si="500">IFERROR(IF(AG208="","",AG208/T208),0)</f>
        <v/>
      </c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65" t="str" cm="1">
        <f t="array" ref="BI208">IFERROR(INDEX(AW208:BH208,1,MATCH(2,1/(AW208:BH208&lt;&gt;""))),"")</f>
        <v/>
      </c>
      <c r="BJ208" s="68" t="str" cm="1">
        <f t="array" ref="BJ208">IF(BM208 = "", "",IFERROR(INDEX(AW208:BH208,1,MATCH(2,1/(AW208:BH208&lt;&gt;""),1)-1),""))</f>
        <v/>
      </c>
      <c r="BK208" s="58" t="str" cm="1">
        <f t="array" ref="BK208">IFERROR(INDEX(AW208:BH208,1,MATCH(2,1/(AW208:BH208&lt;&gt;""))),"")</f>
        <v/>
      </c>
      <c r="BL208" s="58" t="str" cm="1">
        <f t="array" ref="BL208">IFERROR(INDEX(AW208:BH208,1,MATCH(2,1/(AW208:BH208&lt;&gt;""),1)-1),"")</f>
        <v/>
      </c>
      <c r="BM208" s="55" t="str" cm="1">
        <f t="array" ref="BM208">IFERROR(
   INDEX($AW$1:$BH$1,
      _xlfn.AGGREGATE(14, 6, COLUMN($AW$1:$BH$1)/(AW208:BH208&lt;&gt;""), 2) - COLUMN($AW$1) + 1
   ),
"")</f>
        <v/>
      </c>
      <c r="BN208" s="55" t="str" cm="1">
        <f t="array" ref="BN208">IFERROR(INDEX($AW$1:$BH$1,1,MATCH(2,1/(AW208:BH208&lt;&gt;""))),"")</f>
        <v/>
      </c>
      <c r="BO208" s="53">
        <f ca="1">IFERROR(_xlfn.XLOOKUP(F208,Apuração!A:A,Apuração!C:C)/_xlfn.XLOOKUP(F208,Apuração!A:A,Apuração!B:B),0)</f>
        <v>0</v>
      </c>
      <c r="BP208" s="53">
        <f ca="1">IFERROR(_xlfn.XLOOKUP(F208,Apuração!A:A,Apuração!D:D)/_xlfn.XLOOKUP(F208,Apuração!A:A,Apuração!B:B),0)</f>
        <v>0</v>
      </c>
      <c r="BQ208" s="53">
        <f ca="1">IF(BK208&gt;=BO208,0,_xlfn.XLOOKUP(F208,Apuração!A:A,Apuração!B:B)*(BO208 + (1/_xlfn.XLOOKUP(F208,Apuração!A:A,Apuração!B:B)) - BK208))</f>
        <v>0</v>
      </c>
      <c r="BR208" s="85">
        <f t="shared" ref="BR208:BR209" ca="1" si="501">IF(BQ208=0,0,BQ208*Z208)</f>
        <v>0</v>
      </c>
      <c r="BS208" s="53">
        <f ca="1">IFERROR((_xlfn.XLOOKUP(F208,Apuração!A:A,Apuração!C:C)+1)/_xlfn.XLOOKUP(F208,Apuração!A:A,Apuração!B:B),0)</f>
        <v>0.14285714285714285</v>
      </c>
    </row>
    <row r="209" spans="1:71" ht="25.95" hidden="1" customHeight="1" x14ac:dyDescent="0.3">
      <c r="A209" s="44" t="s">
        <v>175</v>
      </c>
      <c r="B209" s="4" t="s">
        <v>197</v>
      </c>
      <c r="C209" s="5" t="s">
        <v>35</v>
      </c>
      <c r="D209" s="5" t="s">
        <v>47</v>
      </c>
      <c r="E209" s="4" t="s">
        <v>96</v>
      </c>
      <c r="F209" s="4" t="str" cm="1">
        <f t="array" ref="F209">_xlfn.IFS(
AG209 &lt;&gt; "", "Jan-Dez/26",
AH209 &lt;&gt; "", "Fev-Dez/26",
AI209 &lt;&gt; "", "Mar-Dez/26", AJ209 &lt;&gt; "", "Abr-Dez/26",
TRUE, "A partir de Junho"
)</f>
        <v>A partir de Junho</v>
      </c>
      <c r="G209" s="4" t="s">
        <v>62</v>
      </c>
      <c r="H209" s="7" t="s">
        <v>38</v>
      </c>
      <c r="I209" s="21" t="s">
        <v>182</v>
      </c>
      <c r="J209" s="8" t="str" cm="1">
        <f t="array" aca="1" ref="J209" ca="1">_xlfn.LET(
  _xlpm.actual_value_month, INDEX(T209:AE209, MATCH(DATE(YEAR(TODAY()), MONTH(TODAY()), 1), $T$1:$AE$1, 0)),
  IF(_xlpm.actual_value_month &lt;&gt; "", _xlpm.actual_value_month &amp; " ações mensais", "")
)</f>
        <v/>
      </c>
      <c r="K209" s="8" t="str" cm="1">
        <f t="array" ref="K209">_xlfn.LET(
    _xlpm.sum_month, SUM(T209:AE209),
    IF(_xlpm.sum_month = 0, "", _xlpm.sum_month &amp; " taxa de aprovados")
)</f>
        <v/>
      </c>
      <c r="L209" s="4" t="s">
        <v>183</v>
      </c>
      <c r="M209" s="13">
        <v>1</v>
      </c>
      <c r="N209" s="5" t="s">
        <v>51</v>
      </c>
      <c r="O209" s="5" t="s">
        <v>43</v>
      </c>
      <c r="P209" s="10" t="s">
        <v>44</v>
      </c>
      <c r="Q209" s="10" t="s">
        <v>44</v>
      </c>
      <c r="R209" s="11" t="s">
        <v>44</v>
      </c>
      <c r="S209" s="11" t="s">
        <v>44</v>
      </c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94" t="str" cm="1">
        <f t="array" ref="AS209">IFERROR(INDEX(T209:AE209,1,MATCH(2,1/(T209:AE209&lt;&gt;""))),"")</f>
        <v/>
      </c>
      <c r="AT209" s="95" t="str" cm="1">
        <f t="array" ref="AT209">IFERROR(INDEX(AJ209:AR209,1,MATCH(2,1/(AJ209:AR209&lt;&gt;""))),"")</f>
        <v/>
      </c>
      <c r="AU209" s="97" t="str">
        <f t="shared" si="499"/>
        <v/>
      </c>
      <c r="AW209" s="51" t="str">
        <f t="shared" si="500"/>
        <v/>
      </c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65" t="str" cm="1">
        <f t="array" ref="BI209">IFERROR(INDEX(AW209:BH209,1,MATCH(2,1/(AW209:BH209&lt;&gt;""))),"")</f>
        <v/>
      </c>
      <c r="BJ209" s="68" t="str" cm="1">
        <f t="array" ref="BJ209">IF(BM209 = "", "",IFERROR(INDEX(AW209:BH209,1,MATCH(2,1/(AW209:BH209&lt;&gt;""),1)-1),""))</f>
        <v/>
      </c>
      <c r="BK209" s="58" t="str" cm="1">
        <f t="array" ref="BK209">IFERROR(INDEX(AW209:BH209,1,MATCH(2,1/(AW209:BH209&lt;&gt;""))),"")</f>
        <v/>
      </c>
      <c r="BL209" s="58" t="str" cm="1">
        <f t="array" ref="BL209">IFERROR(INDEX(AW209:BH209,1,MATCH(2,1/(AW209:BH209&lt;&gt;""),1)-1),"")</f>
        <v/>
      </c>
      <c r="BM209" s="55" t="str" cm="1">
        <f t="array" ref="BM209">IFERROR(
   INDEX($AW$1:$BH$1,
      _xlfn.AGGREGATE(14, 6, COLUMN($AW$1:$BH$1)/(AW209:BH209&lt;&gt;""), 2) - COLUMN($AW$1) + 1
   ),
"")</f>
        <v/>
      </c>
      <c r="BN209" s="55" t="str" cm="1">
        <f t="array" ref="BN209">IFERROR(INDEX($AW$1:$BH$1,1,MATCH(2,1/(AW209:BH209&lt;&gt;""))),"")</f>
        <v/>
      </c>
      <c r="BO209" s="53">
        <f ca="1">IFERROR(_xlfn.XLOOKUP(F209,Apuração!A:A,Apuração!C:C)/_xlfn.XLOOKUP(F209,Apuração!A:A,Apuração!B:B),0)</f>
        <v>0</v>
      </c>
      <c r="BP209" s="53">
        <f ca="1">IFERROR(_xlfn.XLOOKUP(F209,Apuração!A:A,Apuração!D:D)/_xlfn.XLOOKUP(F209,Apuração!A:A,Apuração!B:B),0)</f>
        <v>0</v>
      </c>
      <c r="BQ209" s="53">
        <f ca="1">IF(BK209&gt;=BO209,0,_xlfn.XLOOKUP(F209,Apuração!A:A,Apuração!B:B)*(BO209 + (1/_xlfn.XLOOKUP(F209,Apuração!A:A,Apuração!B:B)) - BK209))</f>
        <v>0</v>
      </c>
      <c r="BR209" s="85">
        <f t="shared" ca="1" si="501"/>
        <v>0</v>
      </c>
      <c r="BS209" s="53">
        <f ca="1">IFERROR((_xlfn.XLOOKUP(F209,Apuração!A:A,Apuração!C:C)+1)/_xlfn.XLOOKUP(F209,Apuração!A:A,Apuração!B:B),0)</f>
        <v>0.14285714285714285</v>
      </c>
    </row>
    <row r="210" spans="1:71" ht="25.95" hidden="1" customHeight="1" x14ac:dyDescent="0.3">
      <c r="A210" s="44" t="s">
        <v>175</v>
      </c>
      <c r="B210" s="4" t="s">
        <v>197</v>
      </c>
      <c r="C210" s="5" t="s">
        <v>35</v>
      </c>
      <c r="D210" s="5" t="s">
        <v>48</v>
      </c>
      <c r="E210" s="4" t="s">
        <v>96</v>
      </c>
      <c r="F210" s="4" t="str" cm="1">
        <f t="array" ref="F210">_xlfn.IFS(
AG210 &lt;&gt; "", "Jan-Dez/26",
AH210 &lt;&gt; "", "Fev-Dez/26",
AI210 &lt;&gt; "", "Mar-Dez/26", AJ210 &lt;&gt; "", "Abr-Dez/26",
TRUE, "A partir de Junho"
)</f>
        <v>A partir de Junho</v>
      </c>
      <c r="G210" s="4" t="s">
        <v>62</v>
      </c>
      <c r="H210" s="7" t="s">
        <v>38</v>
      </c>
      <c r="I210" s="21" t="s">
        <v>182</v>
      </c>
      <c r="J210" s="8" t="str" cm="1">
        <f t="array" aca="1" ref="J210" ca="1">_xlfn.LET(
  _xlpm.actual_value_month, INDEX(T210:AE210, MATCH(DATE(YEAR(TODAY()), MONTH(TODAY()), 1), $T$1:$AE$1, 0)),
  IF(_xlpm.actual_value_month &lt;&gt; "", _xlpm.actual_value_month &amp; " ações mensais", "")
)</f>
        <v/>
      </c>
      <c r="K210" s="8" t="str" cm="1">
        <f t="array" ref="K210">_xlfn.LET(
    _xlpm.sum_month, SUM(T210:AE210),
    IF(_xlpm.sum_month = 0, "", _xlpm.sum_month &amp; " taxa de aprovados")
)</f>
        <v/>
      </c>
      <c r="L210" s="4" t="s">
        <v>183</v>
      </c>
      <c r="M210" s="13">
        <v>1</v>
      </c>
      <c r="N210" s="5" t="s">
        <v>51</v>
      </c>
      <c r="O210" s="5" t="s">
        <v>43</v>
      </c>
      <c r="P210" s="10" t="s">
        <v>44</v>
      </c>
      <c r="Q210" s="10" t="s">
        <v>44</v>
      </c>
      <c r="R210" s="11" t="s">
        <v>44</v>
      </c>
      <c r="S210" s="11" t="s">
        <v>44</v>
      </c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94" t="str" cm="1">
        <f t="array" ref="AS210">IFERROR(INDEX(T210:AE210,1,MATCH(2,1/(T210:AE210&lt;&gt;""))),"")</f>
        <v/>
      </c>
      <c r="AT210" s="95" t="str" cm="1">
        <f t="array" ref="AT210">IFERROR(INDEX(AJ210:AR210,1,MATCH(2,1/(AJ210:AR210&lt;&gt;""))),"")</f>
        <v/>
      </c>
      <c r="AU210" s="97" t="str">
        <f t="shared" si="463"/>
        <v/>
      </c>
      <c r="AW210" s="51" t="str">
        <f>IFERROR(IF(AG210="","",AG210/T210),0)</f>
        <v/>
      </c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65" t="str" cm="1">
        <f t="array" ref="BI210">IFERROR(INDEX(AW210:BH210,1,MATCH(2,1/(AW210:BH210&lt;&gt;""))),"")</f>
        <v/>
      </c>
      <c r="BJ210" s="68" t="str" cm="1">
        <f t="array" ref="BJ210">IF(BM210 = "", "",IFERROR(INDEX(AW210:BH210,1,MATCH(2,1/(AW210:BH210&lt;&gt;""),1)-1),""))</f>
        <v/>
      </c>
      <c r="BK210" s="58" t="str" cm="1">
        <f t="array" ref="BK210">IFERROR(INDEX(AW210:BH210,1,MATCH(2,1/(AW210:BH210&lt;&gt;""))),"")</f>
        <v/>
      </c>
      <c r="BL210" s="58" t="str" cm="1">
        <f t="array" ref="BL210">IFERROR(INDEX(AW210:BH210,1,MATCH(2,1/(AW210:BH210&lt;&gt;""),1)-1),"")</f>
        <v/>
      </c>
      <c r="BM210" s="55" t="str" cm="1">
        <f t="array" ref="BM210">IFERROR(
   INDEX($AW$1:$BH$1,
      _xlfn.AGGREGATE(14, 6, COLUMN($AW$1:$BH$1)/(AW210:BH210&lt;&gt;""), 2) - COLUMN($AW$1) + 1
   ),
"")</f>
        <v/>
      </c>
      <c r="BN210" s="55" t="str" cm="1">
        <f t="array" ref="BN210">IFERROR(INDEX($AW$1:$BH$1,1,MATCH(2,1/(AW210:BH210&lt;&gt;""))),"")</f>
        <v/>
      </c>
      <c r="BO210" s="53">
        <f ca="1">IFERROR(_xlfn.XLOOKUP(F210,Apuração!A:A,Apuração!C:C)/_xlfn.XLOOKUP(F210,Apuração!A:A,Apuração!B:B),0)</f>
        <v>0</v>
      </c>
      <c r="BP210" s="53">
        <f ca="1">IFERROR(_xlfn.XLOOKUP(F210,Apuração!A:A,Apuração!D:D)/_xlfn.XLOOKUP(F210,Apuração!A:A,Apuração!B:B),0)</f>
        <v>0</v>
      </c>
      <c r="BQ210" s="53">
        <f ca="1">IF(BK210&gt;=BO210,0,_xlfn.XLOOKUP(F210,Apuração!A:A,Apuração!B:B)*(BO210 + (1/_xlfn.XLOOKUP(F210,Apuração!A:A,Apuração!B:B)) - BK210))</f>
        <v>0</v>
      </c>
      <c r="BR210" s="85">
        <f t="shared" ca="1" si="494"/>
        <v>0</v>
      </c>
      <c r="BS210" s="53">
        <f ca="1">IFERROR((_xlfn.XLOOKUP(F210,Apuração!A:A,Apuração!C:C)+1)/_xlfn.XLOOKUP(F210,Apuração!A:A,Apuração!B:B),0)</f>
        <v>0.14285714285714285</v>
      </c>
    </row>
    <row r="211" spans="1:71" ht="25.95" hidden="1" customHeight="1" x14ac:dyDescent="0.3">
      <c r="A211" s="35" t="s">
        <v>44</v>
      </c>
      <c r="B211" s="10" t="s">
        <v>44</v>
      </c>
      <c r="C211" s="5" t="s">
        <v>35</v>
      </c>
      <c r="D211" s="5" t="s">
        <v>36</v>
      </c>
      <c r="E211" s="4" t="str" cm="1">
        <f t="array" ref="E211">_xlfn.IFS(
F211 = "A partir de Abril", "Aguardando Execução na Distribuidora",
A211 = "CAPACITAÇÃO", "Em execução no Corporativo",
TRUE, "Em Execução na Distribuidora"
)</f>
        <v>Em Execução na Distribuidora</v>
      </c>
      <c r="F211" s="4" t="str" cm="1">
        <f t="array" ref="F211">_xlfn.IFS(
AG211 &lt;&gt; "", "Jan-Dez/26",
AH211 &lt;&gt; "", "Fev-Dez/26",
AI211 &lt;&gt; "", "Mar-Dez/26", AJ211 &lt;&gt; "", "Abr-Dez/26",
TRUE, "A partir de Junho"
)</f>
        <v>Jan-Dez/26</v>
      </c>
      <c r="G211" s="10" t="s">
        <v>44</v>
      </c>
      <c r="H211" s="36" t="s">
        <v>44</v>
      </c>
      <c r="I211" s="37"/>
      <c r="J211" s="37"/>
      <c r="K211" s="37"/>
      <c r="L211" s="37" t="s">
        <v>200</v>
      </c>
      <c r="M211" s="37"/>
      <c r="N211" s="5" t="s">
        <v>42</v>
      </c>
      <c r="O211" s="5" t="s">
        <v>52</v>
      </c>
      <c r="P211" s="10" t="s">
        <v>44</v>
      </c>
      <c r="Q211" s="10" t="s">
        <v>44</v>
      </c>
      <c r="R211" s="11" t="s">
        <v>44</v>
      </c>
      <c r="S211" s="11" t="s">
        <v>44</v>
      </c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G211" s="112">
        <v>0</v>
      </c>
      <c r="AH211" s="112">
        <v>6.9280545437420562</v>
      </c>
      <c r="AI211" s="112">
        <v>2.3405282811064345</v>
      </c>
      <c r="AJ211" s="112">
        <v>7.41</v>
      </c>
      <c r="AK211" s="112"/>
      <c r="AL211" s="112"/>
      <c r="AM211" s="112"/>
      <c r="AN211" s="112"/>
      <c r="AO211" s="112"/>
      <c r="AP211" s="112"/>
      <c r="AQ211" s="112"/>
      <c r="AR211" s="112"/>
      <c r="AS211" s="113" t="str" cm="1">
        <f t="array" ref="AS211">IFERROR(INDEX(T211:AE211,1,MATCH(2,1/(T211:AE211&lt;&gt;""))),"")</f>
        <v/>
      </c>
      <c r="AT211" s="114" cm="1">
        <f t="array" ref="AT211">IFERROR(INDEX(AJ211:AR211,1,MATCH(2,1/(AJ211:AR211&lt;&gt;""))),"")</f>
        <v>7.41</v>
      </c>
      <c r="AU211" s="97">
        <f>AT211</f>
        <v>7.41</v>
      </c>
      <c r="AW211" s="84">
        <f t="shared" ref="AW211:AW226" si="502">AG211</f>
        <v>0</v>
      </c>
      <c r="AX211" s="84">
        <f t="shared" ref="AX211:AX223" si="503">AH211</f>
        <v>6.9280545437420562</v>
      </c>
      <c r="AY211" s="84">
        <f t="shared" ref="AY211:AZ223" si="504">AI211</f>
        <v>2.3405282811064345</v>
      </c>
      <c r="AZ211" s="84">
        <f t="shared" si="504"/>
        <v>7.41</v>
      </c>
      <c r="BA211" s="84"/>
      <c r="BB211" s="84"/>
      <c r="BC211" s="84"/>
      <c r="BD211" s="84"/>
      <c r="BE211" s="84"/>
      <c r="BF211" s="84"/>
      <c r="BG211" s="84"/>
      <c r="BH211" s="84"/>
      <c r="BI211" s="68" cm="1">
        <f t="array" ref="BI211">IFERROR(INDEX(AW211:BH211,1,MATCH(2,1/(AW211:BH211&lt;&gt;""))),"")</f>
        <v>7.41</v>
      </c>
      <c r="BJ211" s="68" cm="1">
        <f t="array" ref="BJ211">IF(BM211 = "", "",IFERROR(INDEX(AW211:BH211,1,MATCH(2,1/(AW211:BH211&lt;&gt;""),1)-1),""))</f>
        <v>2.3405282811064345</v>
      </c>
      <c r="BK211" s="57" cm="1">
        <f t="array" ref="BK211">IFERROR(INDEX(AW211:BH211,1,MATCH(2,1/(AW211:BH211&lt;&gt;""),1)),"")</f>
        <v>7.41</v>
      </c>
      <c r="BL211" s="57" cm="1">
        <f t="array" ref="BL211">IF(BM211 = "", "",IFERROR(INDEX(AW211:BH211,1,MATCH(2,1/(AW211:BH211&lt;&gt;""),1)-1),""))</f>
        <v>2.3405282811064345</v>
      </c>
      <c r="BM211" s="55" cm="1">
        <f t="array" ref="BM211">IFERROR(
   INDEX($AW$1:$BH$1,
      _xlfn.AGGREGATE(14, 6, COLUMN($AW$1:$BH$1)/(AW211:BH211&lt;&gt;""), 2) - COLUMN($AW$1) + 1
   ),
"")</f>
        <v>46082</v>
      </c>
      <c r="BN211" s="55" cm="1">
        <f t="array" ref="BN211">IFERROR(INDEX($AW$1:$BH$1,1,MATCH(2,1/(AW211:BH211&lt;&gt;""))),"")</f>
        <v>46113</v>
      </c>
      <c r="BO211" s="53">
        <f ca="1">IFERROR(_xlfn.XLOOKUP(F211,Apuração!A:A,Apuração!C:C)/_xlfn.XLOOKUP(F211,Apuração!A:A,Apuração!B:B),0)</f>
        <v>0.41666666666666669</v>
      </c>
      <c r="BP211" s="53">
        <f ca="1">IFERROR(_xlfn.XLOOKUP(F211,Apuração!A:A,Apuração!D:D)/_xlfn.XLOOKUP(F211,Apuração!A:A,Apuração!B:B),0)</f>
        <v>0.33333333333333331</v>
      </c>
      <c r="BQ211" s="53">
        <f ca="1">IF(BK211&gt;=BO211,0,_xlfn.XLOOKUP(F211,Apuração!A:A,Apuração!B:B)*(BO211 + (1/_xlfn.XLOOKUP(F211,Apuração!A:A,Apuração!B:B)) - BK211))</f>
        <v>0</v>
      </c>
      <c r="BR211" s="85">
        <f t="shared" ca="1" si="494"/>
        <v>0</v>
      </c>
      <c r="BS211" s="53">
        <f ca="1">IFERROR((_xlfn.XLOOKUP(F211,Apuração!A:A,Apuração!C:C)+1)/_xlfn.XLOOKUP(F211,Apuração!A:A,Apuração!B:B),0)</f>
        <v>0.5</v>
      </c>
    </row>
    <row r="212" spans="1:71" ht="25.95" hidden="1" customHeight="1" x14ac:dyDescent="0.3">
      <c r="A212" s="35" t="s">
        <v>44</v>
      </c>
      <c r="B212" s="10" t="s">
        <v>44</v>
      </c>
      <c r="C212" s="5" t="s">
        <v>35</v>
      </c>
      <c r="D212" s="5" t="s">
        <v>47</v>
      </c>
      <c r="E212" s="4" t="str" cm="1">
        <f t="array" ref="E212">_xlfn.IFS(
F212 = "A partir de Abril", "Aguardando Execução na Distribuidora",
A212 = "CAPACITAÇÃO", "Em execução no Corporativo",
TRUE, "Em Execução na Distribuidora"
)</f>
        <v>Em Execução na Distribuidora</v>
      </c>
      <c r="F212" s="4" t="str" cm="1">
        <f t="array" ref="F212">_xlfn.IFS(
AG212 &lt;&gt; "", "Jan-Dez/26",
AH212 &lt;&gt; "", "Fev-Dez/26",
AI212 &lt;&gt; "", "Mar-Dez/26", AJ212 &lt;&gt; "", "Abr-Dez/26",
TRUE, "A partir de Junho"
)</f>
        <v>Jan-Dez/26</v>
      </c>
      <c r="G212" s="10" t="s">
        <v>44</v>
      </c>
      <c r="H212" s="36" t="s">
        <v>44</v>
      </c>
      <c r="I212" s="37"/>
      <c r="J212" s="37"/>
      <c r="K212" s="37"/>
      <c r="L212" s="37" t="s">
        <v>200</v>
      </c>
      <c r="M212" s="37"/>
      <c r="N212" s="5" t="s">
        <v>42</v>
      </c>
      <c r="O212" s="5" t="s">
        <v>52</v>
      </c>
      <c r="P212" s="10" t="s">
        <v>44</v>
      </c>
      <c r="Q212" s="10" t="s">
        <v>44</v>
      </c>
      <c r="R212" s="11" t="s">
        <v>44</v>
      </c>
      <c r="S212" s="11" t="s">
        <v>44</v>
      </c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G212" s="112">
        <v>0</v>
      </c>
      <c r="AH212" s="112">
        <v>6.9280545437420562</v>
      </c>
      <c r="AI212" s="112">
        <v>2.3405282811064345</v>
      </c>
      <c r="AJ212" s="71"/>
      <c r="AK212" s="71"/>
      <c r="AL212" s="71"/>
      <c r="AM212" s="71"/>
      <c r="AN212" s="71"/>
      <c r="AO212" s="71"/>
      <c r="AP212" s="71"/>
      <c r="AQ212" s="71"/>
      <c r="AR212" s="71"/>
      <c r="AS212" s="113" t="str" cm="1">
        <f t="array" ref="AS212">IFERROR(INDEX(T212:AE212,1,MATCH(2,1/(T212:AE212&lt;&gt;""))),"")</f>
        <v/>
      </c>
      <c r="AT212" s="114" t="str" cm="1">
        <f t="array" ref="AT212">IFERROR(INDEX(AJ212:AR212,1,MATCH(2,1/(AJ212:AR212&lt;&gt;""))),"")</f>
        <v/>
      </c>
      <c r="AU212" s="97" t="str">
        <f t="shared" ref="AU212:AU213" si="505">AT212</f>
        <v/>
      </c>
      <c r="AW212" s="84">
        <f t="shared" ref="AW212:AW213" si="506">AG212</f>
        <v>0</v>
      </c>
      <c r="AX212" s="84">
        <f t="shared" ref="AX212:AX213" si="507">AH212</f>
        <v>6.9280545437420562</v>
      </c>
      <c r="AY212" s="84">
        <f t="shared" ref="AY212:AY213" si="508">AI212</f>
        <v>2.3405282811064345</v>
      </c>
      <c r="AZ212" s="84"/>
      <c r="BA212" s="84"/>
      <c r="BB212" s="84"/>
      <c r="BC212" s="84"/>
      <c r="BD212" s="84"/>
      <c r="BE212" s="84"/>
      <c r="BF212" s="84"/>
      <c r="BG212" s="84"/>
      <c r="BH212" s="84"/>
      <c r="BI212" s="68" cm="1">
        <f t="array" ref="BI212">IFERROR(INDEX(AW212:BH212,1,MATCH(2,1/(AW212:BH212&lt;&gt;""))),"")</f>
        <v>2.3405282811064345</v>
      </c>
      <c r="BJ212" s="68" cm="1">
        <f t="array" ref="BJ212">IF(BM212 = "", "",IFERROR(INDEX(AW212:BH212,1,MATCH(2,1/(AW212:BH212&lt;&gt;""),1)-1),""))</f>
        <v>6.9280545437420562</v>
      </c>
      <c r="BK212" s="57" cm="1">
        <f t="array" ref="BK212">IFERROR(INDEX(AW212:BH212,1,MATCH(2,1/(AW212:BH212&lt;&gt;""),1)),"")</f>
        <v>2.3405282811064345</v>
      </c>
      <c r="BL212" s="57" cm="1">
        <f t="array" ref="BL212">IF(BM212 = "", "",IFERROR(INDEX(AW212:BH212,1,MATCH(2,1/(AW212:BH212&lt;&gt;""),1)-1),""))</f>
        <v>6.9280545437420562</v>
      </c>
      <c r="BM212" s="55" cm="1">
        <f t="array" ref="BM212">IFERROR(
   INDEX($AW$1:$BH$1,
      _xlfn.AGGREGATE(14, 6, COLUMN($AW$1:$BH$1)/(AW212:BH212&lt;&gt;""), 2) - COLUMN($AW$1) + 1
   ),
"")</f>
        <v>46054</v>
      </c>
      <c r="BN212" s="55" cm="1">
        <f t="array" ref="BN212">IFERROR(INDEX($AW$1:$BH$1,1,MATCH(2,1/(AW212:BH212&lt;&gt;""))),"")</f>
        <v>46082</v>
      </c>
      <c r="BO212" s="53">
        <f ca="1">IFERROR(_xlfn.XLOOKUP(F212,Apuração!A:A,Apuração!C:C)/_xlfn.XLOOKUP(F212,Apuração!A:A,Apuração!B:B),0)</f>
        <v>0.41666666666666669</v>
      </c>
      <c r="BP212" s="53">
        <f ca="1">IFERROR(_xlfn.XLOOKUP(F212,Apuração!A:A,Apuração!D:D)/_xlfn.XLOOKUP(F212,Apuração!A:A,Apuração!B:B),0)</f>
        <v>0.33333333333333331</v>
      </c>
      <c r="BQ212" s="53">
        <f ca="1">IF(BK212&gt;=BO212,0,_xlfn.XLOOKUP(F212,Apuração!A:A,Apuração!B:B)*(BO212 + (1/_xlfn.XLOOKUP(F212,Apuração!A:A,Apuração!B:B)) - BK212))</f>
        <v>0</v>
      </c>
      <c r="BR212" s="85">
        <f t="shared" ref="BR212:BR213" ca="1" si="509">IF(BQ212=0,0,BQ212*Z212)</f>
        <v>0</v>
      </c>
      <c r="BS212" s="53">
        <f ca="1">IFERROR((_xlfn.XLOOKUP(F212,Apuração!A:A,Apuração!C:C)+1)/_xlfn.XLOOKUP(F212,Apuração!A:A,Apuração!B:B),0)</f>
        <v>0.5</v>
      </c>
    </row>
    <row r="213" spans="1:71" ht="25.95" hidden="1" customHeight="1" x14ac:dyDescent="0.3">
      <c r="A213" s="35" t="s">
        <v>44</v>
      </c>
      <c r="B213" s="10" t="s">
        <v>44</v>
      </c>
      <c r="C213" s="5" t="s">
        <v>35</v>
      </c>
      <c r="D213" s="5" t="s">
        <v>48</v>
      </c>
      <c r="E213" s="4" t="str" cm="1">
        <f t="array" ref="E213">_xlfn.IFS(
F213 = "A partir de Abril", "Aguardando Execução na Distribuidora",
A213 = "CAPACITAÇÃO", "Em execução no Corporativo",
TRUE, "Em Execução na Distribuidora"
)</f>
        <v>Em Execução na Distribuidora</v>
      </c>
      <c r="F213" s="4" t="str" cm="1">
        <f t="array" ref="F213">_xlfn.IFS(
AG213 &lt;&gt; "", "Jan-Dez/26",
AH213 &lt;&gt; "", "Fev-Dez/26",
AI213 &lt;&gt; "", "Mar-Dez/26", AJ213 &lt;&gt; "", "Abr-Dez/26",
TRUE, "A partir de Junho"
)</f>
        <v>Jan-Dez/26</v>
      </c>
      <c r="G213" s="10" t="s">
        <v>44</v>
      </c>
      <c r="H213" s="36" t="s">
        <v>44</v>
      </c>
      <c r="I213" s="37"/>
      <c r="J213" s="37"/>
      <c r="K213" s="37"/>
      <c r="L213" s="37" t="s">
        <v>200</v>
      </c>
      <c r="M213" s="37"/>
      <c r="N213" s="5" t="s">
        <v>42</v>
      </c>
      <c r="O213" s="5" t="s">
        <v>52</v>
      </c>
      <c r="P213" s="10" t="s">
        <v>44</v>
      </c>
      <c r="Q213" s="10" t="s">
        <v>44</v>
      </c>
      <c r="R213" s="11" t="s">
        <v>44</v>
      </c>
      <c r="S213" s="11" t="s">
        <v>44</v>
      </c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G213" s="112">
        <v>0</v>
      </c>
      <c r="AH213" s="112">
        <v>6.9280545437420562</v>
      </c>
      <c r="AI213" s="112">
        <v>2.3405282811064345</v>
      </c>
      <c r="AJ213" s="71"/>
      <c r="AK213" s="71"/>
      <c r="AL213" s="71"/>
      <c r="AM213" s="71"/>
      <c r="AN213" s="71"/>
      <c r="AO213" s="71"/>
      <c r="AP213" s="71"/>
      <c r="AQ213" s="71"/>
      <c r="AR213" s="71"/>
      <c r="AS213" s="113" t="str" cm="1">
        <f t="array" ref="AS213">IFERROR(INDEX(T213:AE213,1,MATCH(2,1/(T213:AE213&lt;&gt;""))),"")</f>
        <v/>
      </c>
      <c r="AT213" s="114" t="str" cm="1">
        <f t="array" ref="AT213">IFERROR(INDEX(AJ213:AR213,1,MATCH(2,1/(AJ213:AR213&lt;&gt;""))),"")</f>
        <v/>
      </c>
      <c r="AU213" s="97" t="str">
        <f t="shared" si="505"/>
        <v/>
      </c>
      <c r="AW213" s="84">
        <f t="shared" si="506"/>
        <v>0</v>
      </c>
      <c r="AX213" s="84">
        <f t="shared" si="507"/>
        <v>6.9280545437420562</v>
      </c>
      <c r="AY213" s="84">
        <f t="shared" si="508"/>
        <v>2.3405282811064345</v>
      </c>
      <c r="AZ213" s="84"/>
      <c r="BA213" s="84"/>
      <c r="BB213" s="84"/>
      <c r="BC213" s="84"/>
      <c r="BD213" s="84"/>
      <c r="BE213" s="84"/>
      <c r="BF213" s="84"/>
      <c r="BG213" s="84"/>
      <c r="BH213" s="84"/>
      <c r="BI213" s="68" cm="1">
        <f t="array" ref="BI213">IFERROR(INDEX(AW213:BH213,1,MATCH(2,1/(AW213:BH213&lt;&gt;""))),"")</f>
        <v>2.3405282811064345</v>
      </c>
      <c r="BJ213" s="68" cm="1">
        <f t="array" ref="BJ213">IF(BM213 = "", "",IFERROR(INDEX(AW213:BH213,1,MATCH(2,1/(AW213:BH213&lt;&gt;""),1)-1),""))</f>
        <v>6.9280545437420562</v>
      </c>
      <c r="BK213" s="57" cm="1">
        <f t="array" ref="BK213">IFERROR(INDEX(AW213:BH213,1,MATCH(2,1/(AW213:BH213&lt;&gt;""),1)),"")</f>
        <v>2.3405282811064345</v>
      </c>
      <c r="BL213" s="57" cm="1">
        <f t="array" ref="BL213">IF(BM213 = "", "",IFERROR(INDEX(AW213:BH213,1,MATCH(2,1/(AW213:BH213&lt;&gt;""),1)-1),""))</f>
        <v>6.9280545437420562</v>
      </c>
      <c r="BM213" s="55" cm="1">
        <f t="array" ref="BM213">IFERROR(
   INDEX($AW$1:$BH$1,
      _xlfn.AGGREGATE(14, 6, COLUMN($AW$1:$BH$1)/(AW213:BH213&lt;&gt;""), 2) - COLUMN($AW$1) + 1
   ),
"")</f>
        <v>46054</v>
      </c>
      <c r="BN213" s="55" cm="1">
        <f t="array" ref="BN213">IFERROR(INDEX($AW$1:$BH$1,1,MATCH(2,1/(AW213:BH213&lt;&gt;""))),"")</f>
        <v>46082</v>
      </c>
      <c r="BO213" s="53">
        <f ca="1">IFERROR(_xlfn.XLOOKUP(F213,Apuração!A:A,Apuração!C:C)/_xlfn.XLOOKUP(F213,Apuração!A:A,Apuração!B:B),0)</f>
        <v>0.41666666666666669</v>
      </c>
      <c r="BP213" s="53">
        <f ca="1">IFERROR(_xlfn.XLOOKUP(F213,Apuração!A:A,Apuração!D:D)/_xlfn.XLOOKUP(F213,Apuração!A:A,Apuração!B:B),0)</f>
        <v>0.33333333333333331</v>
      </c>
      <c r="BQ213" s="53">
        <f ca="1">IF(BK213&gt;=BO213,0,_xlfn.XLOOKUP(F213,Apuração!A:A,Apuração!B:B)*(BO213 + (1/_xlfn.XLOOKUP(F213,Apuração!A:A,Apuração!B:B)) - BK213))</f>
        <v>0</v>
      </c>
      <c r="BR213" s="85">
        <f t="shared" ca="1" si="509"/>
        <v>0</v>
      </c>
      <c r="BS213" s="53">
        <f ca="1">IFERROR((_xlfn.XLOOKUP(F213,Apuração!A:A,Apuração!C:C)+1)/_xlfn.XLOOKUP(F213,Apuração!A:A,Apuração!B:B),0)</f>
        <v>0.5</v>
      </c>
    </row>
    <row r="214" spans="1:71" ht="25.95" hidden="1" customHeight="1" x14ac:dyDescent="0.3">
      <c r="A214" s="35" t="s">
        <v>44</v>
      </c>
      <c r="B214" s="10" t="s">
        <v>44</v>
      </c>
      <c r="C214" s="5" t="s">
        <v>35</v>
      </c>
      <c r="D214" s="5" t="s">
        <v>36</v>
      </c>
      <c r="E214" s="4" t="str" cm="1">
        <f t="array" ref="E214">_xlfn.IFS(
F214 = "A partir de Abril", "Aguardando Execução na Distribuidora",
A214 = "CAPACITAÇÃO", "Em execução no Corporativo",
TRUE, "Em Execução na Distribuidora"
)</f>
        <v>Em Execução na Distribuidora</v>
      </c>
      <c r="F214" s="4" t="str" cm="1">
        <f t="array" ref="F214">_xlfn.IFS(
AG214 &lt;&gt; "", "Jan-Dez/26",
AH214 &lt;&gt; "", "Fev-Dez/26",
AI214 &lt;&gt; "", "Mar-Dez/26", AJ214 &lt;&gt; "", "Abr-Dez/26",
TRUE, "A partir de Junho"
)</f>
        <v>Jan-Dez/26</v>
      </c>
      <c r="G214" s="10" t="s">
        <v>44</v>
      </c>
      <c r="H214" s="36" t="s">
        <v>44</v>
      </c>
      <c r="I214" s="37"/>
      <c r="J214" s="37"/>
      <c r="K214" s="37"/>
      <c r="L214" s="37" t="s">
        <v>201</v>
      </c>
      <c r="M214" s="37"/>
      <c r="N214" s="5" t="s">
        <v>42</v>
      </c>
      <c r="O214" s="5" t="s">
        <v>52</v>
      </c>
      <c r="P214" s="10" t="s">
        <v>44</v>
      </c>
      <c r="Q214" s="10" t="s">
        <v>44</v>
      </c>
      <c r="R214" s="11" t="s">
        <v>44</v>
      </c>
      <c r="S214" s="11" t="s">
        <v>44</v>
      </c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G214" s="112">
        <v>0</v>
      </c>
      <c r="AH214" s="112">
        <v>55.42443634993645</v>
      </c>
      <c r="AI214" s="112">
        <v>18.724226248851476</v>
      </c>
      <c r="AJ214" s="112">
        <v>84.31</v>
      </c>
      <c r="AK214" s="112"/>
      <c r="AL214" s="112"/>
      <c r="AM214" s="112"/>
      <c r="AN214" s="112"/>
      <c r="AO214" s="112"/>
      <c r="AP214" s="112"/>
      <c r="AQ214" s="112"/>
      <c r="AR214" s="112"/>
      <c r="AS214" s="94"/>
      <c r="AT214" s="95"/>
      <c r="AU214" s="97"/>
      <c r="AW214" s="84">
        <f t="shared" ref="AW214:AW223" si="510">AG214</f>
        <v>0</v>
      </c>
      <c r="AX214" s="84">
        <f t="shared" si="503"/>
        <v>55.42443634993645</v>
      </c>
      <c r="AY214" s="84">
        <f t="shared" si="504"/>
        <v>18.724226248851476</v>
      </c>
      <c r="AZ214" s="84">
        <f t="shared" si="504"/>
        <v>84.31</v>
      </c>
      <c r="BA214" s="84"/>
      <c r="BB214" s="84"/>
      <c r="BC214" s="84"/>
      <c r="BD214" s="84"/>
      <c r="BE214" s="84"/>
      <c r="BF214" s="84"/>
      <c r="BG214" s="84"/>
      <c r="BH214" s="84"/>
      <c r="BI214" s="68" cm="1">
        <f t="array" ref="BI214">IFERROR(INDEX(AW214:BH214,1,MATCH(2,1/(AW214:BH214&lt;&gt;""))),"")</f>
        <v>84.31</v>
      </c>
      <c r="BJ214" s="68" cm="1">
        <f t="array" ref="BJ214">IF(BM214 = "", "",IFERROR(INDEX(AW214:BH214,1,MATCH(2,1/(AW214:BH214&lt;&gt;""),1)-1),""))</f>
        <v>18.724226248851476</v>
      </c>
      <c r="BK214" s="57" cm="1">
        <f t="array" ref="BK214">IFERROR(INDEX(AW214:BH214,1,MATCH(2,1/(AW214:BH214&lt;&gt;""),1)),"")</f>
        <v>84.31</v>
      </c>
      <c r="BL214" s="57" cm="1">
        <f t="array" ref="BL214">IF(BM214 = "", "",IFERROR(INDEX(AW214:BH214,1,MATCH(2,1/(AW214:BH214&lt;&gt;""),1)-1),""))</f>
        <v>18.724226248851476</v>
      </c>
      <c r="BM214" s="55" cm="1">
        <f t="array" ref="BM214">IFERROR(
   INDEX($AW$1:$BH$1,
      _xlfn.AGGREGATE(14, 6, COLUMN($AW$1:$BH$1)/(AW214:BH214&lt;&gt;""), 2) - COLUMN($AW$1) + 1
   ),
"")</f>
        <v>46082</v>
      </c>
      <c r="BN214" s="55" cm="1">
        <f t="array" ref="BN214">IFERROR(INDEX($AW$1:$BH$1,1,MATCH(2,1/(AW214:BH214&lt;&gt;""))),"")</f>
        <v>46113</v>
      </c>
      <c r="BO214" s="53">
        <f ca="1">IFERROR(_xlfn.XLOOKUP(F214,Apuração!A:A,Apuração!C:C)/_xlfn.XLOOKUP(F214,Apuração!A:A,Apuração!B:B),0)</f>
        <v>0.41666666666666669</v>
      </c>
      <c r="BP214" s="53">
        <f ca="1">IFERROR(_xlfn.XLOOKUP(F214,Apuração!A:A,Apuração!D:D)/_xlfn.XLOOKUP(F214,Apuração!A:A,Apuração!B:B),0)</f>
        <v>0.33333333333333331</v>
      </c>
      <c r="BQ214" s="53">
        <f ca="1">IF(BK214&gt;=BO214,0,_xlfn.XLOOKUP(F214,Apuração!A:A,Apuração!B:B)*(BO214 + (1/_xlfn.XLOOKUP(F214,Apuração!A:A,Apuração!B:B)) - BK214))</f>
        <v>0</v>
      </c>
      <c r="BR214" s="85">
        <f t="shared" ca="1" si="494"/>
        <v>0</v>
      </c>
      <c r="BS214" s="53">
        <f ca="1">IFERROR((_xlfn.XLOOKUP(F214,Apuração!A:A,Apuração!C:C)+1)/_xlfn.XLOOKUP(F214,Apuração!A:A,Apuração!B:B),0)</f>
        <v>0.5</v>
      </c>
    </row>
    <row r="215" spans="1:71" ht="25.95" hidden="1" customHeight="1" x14ac:dyDescent="0.3">
      <c r="A215" s="35" t="s">
        <v>44</v>
      </c>
      <c r="B215" s="10" t="s">
        <v>44</v>
      </c>
      <c r="C215" s="5" t="s">
        <v>35</v>
      </c>
      <c r="D215" s="5" t="s">
        <v>47</v>
      </c>
      <c r="E215" s="4" t="str" cm="1">
        <f t="array" ref="E215">_xlfn.IFS(
F215 = "A partir de Abril", "Aguardando Execução na Distribuidora",
A215 = "CAPACITAÇÃO", "Em execução no Corporativo",
TRUE, "Em Execução na Distribuidora"
)</f>
        <v>Em Execução na Distribuidora</v>
      </c>
      <c r="F215" s="4" t="str" cm="1">
        <f t="array" ref="F215">_xlfn.IFS(
AG215 &lt;&gt; "", "Jan-Dez/26",
AH215 &lt;&gt; "", "Fev-Dez/26",
AI215 &lt;&gt; "", "Mar-Dez/26", AJ215 &lt;&gt; "", "Abr-Dez/26",
TRUE, "A partir de Junho"
)</f>
        <v>Jan-Dez/26</v>
      </c>
      <c r="G215" s="10" t="s">
        <v>44</v>
      </c>
      <c r="H215" s="36" t="s">
        <v>44</v>
      </c>
      <c r="I215" s="37"/>
      <c r="J215" s="37"/>
      <c r="K215" s="37"/>
      <c r="L215" s="37" t="s">
        <v>201</v>
      </c>
      <c r="M215" s="37"/>
      <c r="N215" s="5" t="s">
        <v>42</v>
      </c>
      <c r="O215" s="5" t="s">
        <v>52</v>
      </c>
      <c r="P215" s="10" t="s">
        <v>44</v>
      </c>
      <c r="Q215" s="10" t="s">
        <v>44</v>
      </c>
      <c r="R215" s="11" t="s">
        <v>44</v>
      </c>
      <c r="S215" s="11" t="s">
        <v>44</v>
      </c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G215" s="112">
        <v>0</v>
      </c>
      <c r="AH215" s="112">
        <v>55.42443634993645</v>
      </c>
      <c r="AI215" s="112">
        <v>18.724226248851476</v>
      </c>
      <c r="AJ215" s="71"/>
      <c r="AK215" s="71"/>
      <c r="AL215" s="71"/>
      <c r="AM215" s="71"/>
      <c r="AN215" s="71"/>
      <c r="AO215" s="71"/>
      <c r="AP215" s="71"/>
      <c r="AQ215" s="71"/>
      <c r="AR215" s="71"/>
      <c r="AS215" s="94"/>
      <c r="AT215" s="95"/>
      <c r="AU215" s="97"/>
      <c r="AW215" s="84">
        <f t="shared" ref="AW215:AW216" si="511">AG215</f>
        <v>0</v>
      </c>
      <c r="AX215" s="84">
        <f t="shared" ref="AX215:AX216" si="512">AH215</f>
        <v>55.42443634993645</v>
      </c>
      <c r="AY215" s="84">
        <f t="shared" ref="AY215:AY216" si="513">AI215</f>
        <v>18.724226248851476</v>
      </c>
      <c r="AZ215" s="84"/>
      <c r="BA215" s="84"/>
      <c r="BB215" s="84"/>
      <c r="BC215" s="84"/>
      <c r="BD215" s="84"/>
      <c r="BE215" s="84"/>
      <c r="BF215" s="84"/>
      <c r="BG215" s="84"/>
      <c r="BH215" s="84"/>
      <c r="BI215" s="68" cm="1">
        <f t="array" ref="BI215">IFERROR(INDEX(AW215:BH215,1,MATCH(2,1/(AW215:BH215&lt;&gt;""))),"")</f>
        <v>18.724226248851476</v>
      </c>
      <c r="BJ215" s="68" cm="1">
        <f t="array" ref="BJ215">IF(BM215 = "", "",IFERROR(INDEX(AW215:BH215,1,MATCH(2,1/(AW215:BH215&lt;&gt;""),1)-1),""))</f>
        <v>55.42443634993645</v>
      </c>
      <c r="BK215" s="57" cm="1">
        <f t="array" ref="BK215">IFERROR(INDEX(AW215:BH215,1,MATCH(2,1/(AW215:BH215&lt;&gt;""),1)),"")</f>
        <v>18.724226248851476</v>
      </c>
      <c r="BL215" s="57" cm="1">
        <f t="array" ref="BL215">IF(BM215 = "", "",IFERROR(INDEX(AW215:BH215,1,MATCH(2,1/(AW215:BH215&lt;&gt;""),1)-1),""))</f>
        <v>55.42443634993645</v>
      </c>
      <c r="BM215" s="55" cm="1">
        <f t="array" ref="BM215">IFERROR(
   INDEX($AW$1:$BH$1,
      _xlfn.AGGREGATE(14, 6, COLUMN($AW$1:$BH$1)/(AW215:BH215&lt;&gt;""), 2) - COLUMN($AW$1) + 1
   ),
"")</f>
        <v>46054</v>
      </c>
      <c r="BN215" s="55" cm="1">
        <f t="array" ref="BN215">IFERROR(INDEX($AW$1:$BH$1,1,MATCH(2,1/(AW215:BH215&lt;&gt;""))),"")</f>
        <v>46082</v>
      </c>
      <c r="BO215" s="53">
        <f ca="1">IFERROR(_xlfn.XLOOKUP(F215,Apuração!A:A,Apuração!C:C)/_xlfn.XLOOKUP(F215,Apuração!A:A,Apuração!B:B),0)</f>
        <v>0.41666666666666669</v>
      </c>
      <c r="BP215" s="53">
        <f ca="1">IFERROR(_xlfn.XLOOKUP(F215,Apuração!A:A,Apuração!D:D)/_xlfn.XLOOKUP(F215,Apuração!A:A,Apuração!B:B),0)</f>
        <v>0.33333333333333331</v>
      </c>
      <c r="BQ215" s="53">
        <f ca="1">IF(BK215&gt;=BO215,0,_xlfn.XLOOKUP(F215,Apuração!A:A,Apuração!B:B)*(BO215 + (1/_xlfn.XLOOKUP(F215,Apuração!A:A,Apuração!B:B)) - BK215))</f>
        <v>0</v>
      </c>
      <c r="BR215" s="85">
        <f t="shared" ref="BR215:BR216" ca="1" si="514">IF(BQ215=0,0,BQ215*Z215)</f>
        <v>0</v>
      </c>
      <c r="BS215" s="53">
        <f ca="1">IFERROR((_xlfn.XLOOKUP(F215,Apuração!A:A,Apuração!C:C)+1)/_xlfn.XLOOKUP(F215,Apuração!A:A,Apuração!B:B),0)</f>
        <v>0.5</v>
      </c>
    </row>
    <row r="216" spans="1:71" ht="25.95" hidden="1" customHeight="1" x14ac:dyDescent="0.3">
      <c r="A216" s="35" t="s">
        <v>44</v>
      </c>
      <c r="B216" s="10" t="s">
        <v>44</v>
      </c>
      <c r="C216" s="5" t="s">
        <v>35</v>
      </c>
      <c r="D216" s="5" t="s">
        <v>48</v>
      </c>
      <c r="E216" s="4" t="str" cm="1">
        <f t="array" ref="E216">_xlfn.IFS(
F216 = "A partir de Abril", "Aguardando Execução na Distribuidora",
A216 = "CAPACITAÇÃO", "Em execução no Corporativo",
TRUE, "Em Execução na Distribuidora"
)</f>
        <v>Em Execução na Distribuidora</v>
      </c>
      <c r="F216" s="4" t="str" cm="1">
        <f t="array" ref="F216">_xlfn.IFS(
AG216 &lt;&gt; "", "Jan-Dez/26",
AH216 &lt;&gt; "", "Fev-Dez/26",
AI216 &lt;&gt; "", "Mar-Dez/26", AJ216 &lt;&gt; "", "Abr-Dez/26",
TRUE, "A partir de Junho"
)</f>
        <v>Jan-Dez/26</v>
      </c>
      <c r="G216" s="10" t="s">
        <v>44</v>
      </c>
      <c r="H216" s="36" t="s">
        <v>44</v>
      </c>
      <c r="I216" s="37"/>
      <c r="J216" s="37"/>
      <c r="K216" s="37"/>
      <c r="L216" s="37" t="s">
        <v>201</v>
      </c>
      <c r="M216" s="37"/>
      <c r="N216" s="5" t="s">
        <v>42</v>
      </c>
      <c r="O216" s="5" t="s">
        <v>52</v>
      </c>
      <c r="P216" s="10" t="s">
        <v>44</v>
      </c>
      <c r="Q216" s="10" t="s">
        <v>44</v>
      </c>
      <c r="R216" s="11" t="s">
        <v>44</v>
      </c>
      <c r="S216" s="11" t="s">
        <v>44</v>
      </c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G216" s="112">
        <v>0</v>
      </c>
      <c r="AH216" s="112">
        <v>55.42443634993645</v>
      </c>
      <c r="AI216" s="112">
        <v>18.724226248851476</v>
      </c>
      <c r="AJ216" s="71"/>
      <c r="AK216" s="71"/>
      <c r="AL216" s="71"/>
      <c r="AM216" s="71"/>
      <c r="AN216" s="71"/>
      <c r="AO216" s="71"/>
      <c r="AP216" s="71"/>
      <c r="AQ216" s="71"/>
      <c r="AR216" s="71"/>
      <c r="AS216" s="94"/>
      <c r="AT216" s="95"/>
      <c r="AU216" s="97"/>
      <c r="AW216" s="84">
        <f t="shared" si="511"/>
        <v>0</v>
      </c>
      <c r="AX216" s="84">
        <f t="shared" si="512"/>
        <v>55.42443634993645</v>
      </c>
      <c r="AY216" s="84">
        <f t="shared" si="513"/>
        <v>18.724226248851476</v>
      </c>
      <c r="AZ216" s="84"/>
      <c r="BA216" s="84"/>
      <c r="BB216" s="84"/>
      <c r="BC216" s="84"/>
      <c r="BD216" s="84"/>
      <c r="BE216" s="84"/>
      <c r="BF216" s="84"/>
      <c r="BG216" s="84"/>
      <c r="BH216" s="84"/>
      <c r="BI216" s="68" cm="1">
        <f t="array" ref="BI216">IFERROR(INDEX(AW216:BH216,1,MATCH(2,1/(AW216:BH216&lt;&gt;""))),"")</f>
        <v>18.724226248851476</v>
      </c>
      <c r="BJ216" s="68" cm="1">
        <f t="array" ref="BJ216">IF(BM216 = "", "",IFERROR(INDEX(AW216:BH216,1,MATCH(2,1/(AW216:BH216&lt;&gt;""),1)-1),""))</f>
        <v>55.42443634993645</v>
      </c>
      <c r="BK216" s="57" cm="1">
        <f t="array" ref="BK216">IFERROR(INDEX(AW216:BH216,1,MATCH(2,1/(AW216:BH216&lt;&gt;""),1)),"")</f>
        <v>18.724226248851476</v>
      </c>
      <c r="BL216" s="57" cm="1">
        <f t="array" ref="BL216">IF(BM216 = "", "",IFERROR(INDEX(AW216:BH216,1,MATCH(2,1/(AW216:BH216&lt;&gt;""),1)-1),""))</f>
        <v>55.42443634993645</v>
      </c>
      <c r="BM216" s="55" cm="1">
        <f t="array" ref="BM216">IFERROR(
   INDEX($AW$1:$BH$1,
      _xlfn.AGGREGATE(14, 6, COLUMN($AW$1:$BH$1)/(AW216:BH216&lt;&gt;""), 2) - COLUMN($AW$1) + 1
   ),
"")</f>
        <v>46054</v>
      </c>
      <c r="BN216" s="55" cm="1">
        <f t="array" ref="BN216">IFERROR(INDEX($AW$1:$BH$1,1,MATCH(2,1/(AW216:BH216&lt;&gt;""))),"")</f>
        <v>46082</v>
      </c>
      <c r="BO216" s="53">
        <f ca="1">IFERROR(_xlfn.XLOOKUP(F216,Apuração!A:A,Apuração!C:C)/_xlfn.XLOOKUP(F216,Apuração!A:A,Apuração!B:B),0)</f>
        <v>0.41666666666666669</v>
      </c>
      <c r="BP216" s="53">
        <f ca="1">IFERROR(_xlfn.XLOOKUP(F216,Apuração!A:A,Apuração!D:D)/_xlfn.XLOOKUP(F216,Apuração!A:A,Apuração!B:B),0)</f>
        <v>0.33333333333333331</v>
      </c>
      <c r="BQ216" s="53">
        <f ca="1">IF(BK216&gt;=BO216,0,_xlfn.XLOOKUP(F216,Apuração!A:A,Apuração!B:B)*(BO216 + (1/_xlfn.XLOOKUP(F216,Apuração!A:A,Apuração!B:B)) - BK216))</f>
        <v>0</v>
      </c>
      <c r="BR216" s="85">
        <f t="shared" ca="1" si="514"/>
        <v>0</v>
      </c>
      <c r="BS216" s="53">
        <f ca="1">IFERROR((_xlfn.XLOOKUP(F216,Apuração!A:A,Apuração!C:C)+1)/_xlfn.XLOOKUP(F216,Apuração!A:A,Apuração!B:B),0)</f>
        <v>0.5</v>
      </c>
    </row>
    <row r="217" spans="1:71" ht="22.2" hidden="1" customHeight="1" x14ac:dyDescent="0.3">
      <c r="A217" s="35" t="s">
        <v>44</v>
      </c>
      <c r="B217" s="10" t="s">
        <v>202</v>
      </c>
      <c r="C217" s="5" t="s">
        <v>35</v>
      </c>
      <c r="D217" s="5" t="s">
        <v>36</v>
      </c>
      <c r="E217" s="4" t="str" cm="1">
        <f t="array" ref="E217">_xlfn.IFS(
F217 = "A partir de Abril", "Aguardando Execução na Distribuidora",
A217 = "CAPACITAÇÃO", "Em execução no Corporativo",
TRUE, "Em Execução na Distribuidora"
)</f>
        <v>Em Execução na Distribuidora</v>
      </c>
      <c r="F217" s="4" t="str" cm="1">
        <f t="array" ref="F217">_xlfn.IFS(
AG217 &lt;&gt; "", "Jan-Dez/26",
AH217 &lt;&gt; "", "Fev-Dez/26",
AI217 &lt;&gt; "", "Mar-Dez/26", AJ217 &lt;&gt; "", "Abr-Dez/26",
TRUE, "A partir de Junho"
)</f>
        <v>Jan-Dez/26</v>
      </c>
      <c r="G217" s="10" t="s">
        <v>44</v>
      </c>
      <c r="H217" s="36" t="s">
        <v>44</v>
      </c>
      <c r="I217" s="37"/>
      <c r="J217" s="37"/>
      <c r="K217" s="37"/>
      <c r="L217" s="37" t="s">
        <v>203</v>
      </c>
      <c r="M217" s="37"/>
      <c r="N217" s="5" t="s">
        <v>42</v>
      </c>
      <c r="O217" s="5" t="s">
        <v>52</v>
      </c>
      <c r="P217" s="10" t="s">
        <v>44</v>
      </c>
      <c r="Q217" s="10" t="s">
        <v>44</v>
      </c>
      <c r="R217" s="11" t="s">
        <v>44</v>
      </c>
      <c r="S217" s="11" t="s">
        <v>44</v>
      </c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G217" s="112">
        <v>3.3340890601869759</v>
      </c>
      <c r="AH217" s="112">
        <v>1.667044530093488</v>
      </c>
      <c r="AI217" s="112">
        <v>1.6673539870324323</v>
      </c>
      <c r="AJ217" s="112">
        <v>2.63</v>
      </c>
      <c r="AK217" s="112"/>
      <c r="AL217" s="112"/>
      <c r="AM217" s="112"/>
      <c r="AN217" s="112"/>
      <c r="AO217" s="112"/>
      <c r="AP217" s="112"/>
      <c r="AQ217" s="112"/>
      <c r="AR217" s="112"/>
      <c r="AS217" s="94"/>
      <c r="AT217" s="95"/>
      <c r="AU217" s="97"/>
      <c r="AW217" s="84">
        <f t="shared" si="510"/>
        <v>3.3340890601869759</v>
      </c>
      <c r="AX217" s="84">
        <f t="shared" si="503"/>
        <v>1.667044530093488</v>
      </c>
      <c r="AY217" s="84">
        <f t="shared" si="504"/>
        <v>1.6673539870324323</v>
      </c>
      <c r="AZ217" s="84">
        <f t="shared" si="504"/>
        <v>2.63</v>
      </c>
      <c r="BA217" s="84"/>
      <c r="BB217" s="84"/>
      <c r="BC217" s="84"/>
      <c r="BD217" s="84"/>
      <c r="BE217" s="84"/>
      <c r="BF217" s="84"/>
      <c r="BG217" s="84"/>
      <c r="BH217" s="84"/>
      <c r="BI217" s="68" cm="1">
        <f t="array" ref="BI217">IFERROR(INDEX(AW217:BH217,1,MATCH(2,1/(AW217:BH217&lt;&gt;""))),"")</f>
        <v>2.63</v>
      </c>
      <c r="BJ217" s="68" cm="1">
        <f t="array" ref="BJ217">IF(BM217 = "", "",IFERROR(INDEX(AW217:BH217,1,MATCH(2,1/(AW217:BH217&lt;&gt;""),1)-1),""))</f>
        <v>1.6673539870324323</v>
      </c>
      <c r="BK217" s="57" cm="1">
        <f t="array" ref="BK217">IFERROR(INDEX(AW217:BH217,1,MATCH(2,1/(AW217:BH217&lt;&gt;""),1)),"")</f>
        <v>2.63</v>
      </c>
      <c r="BL217" s="57" cm="1">
        <f t="array" ref="BL217">IF(BM217 = "", "",IFERROR(INDEX(AW217:BH217,1,MATCH(2,1/(AW217:BH217&lt;&gt;""),1)-1),""))</f>
        <v>1.6673539870324323</v>
      </c>
      <c r="BM217" s="55" cm="1">
        <f t="array" ref="BM217">IFERROR(
   INDEX($AW$1:$BH$1,
      _xlfn.AGGREGATE(14, 6, COLUMN($AW$1:$BH$1)/(AW217:BH217&lt;&gt;""), 2) - COLUMN($AW$1) + 1
   ),
"")</f>
        <v>46082</v>
      </c>
      <c r="BN217" s="55" cm="1">
        <f t="array" ref="BN217">IFERROR(INDEX($AW$1:$BH$1,1,MATCH(2,1/(AW217:BH217&lt;&gt;""))),"")</f>
        <v>46113</v>
      </c>
      <c r="BO217" s="53">
        <f ca="1">IFERROR(_xlfn.XLOOKUP(F217,Apuração!A:A,Apuração!C:C)/_xlfn.XLOOKUP(F217,Apuração!A:A,Apuração!B:B),0)</f>
        <v>0.41666666666666669</v>
      </c>
      <c r="BP217" s="53">
        <f ca="1">IFERROR(_xlfn.XLOOKUP(F217,Apuração!A:A,Apuração!D:D)/_xlfn.XLOOKUP(F217,Apuração!A:A,Apuração!B:B),0)</f>
        <v>0.33333333333333331</v>
      </c>
      <c r="BQ217" s="53">
        <f ca="1">IF(BK217&gt;=BO217,0,_xlfn.XLOOKUP(F217,Apuração!A:A,Apuração!B:B)*(BO217 + (1/_xlfn.XLOOKUP(F217,Apuração!A:A,Apuração!B:B)) - BK217))</f>
        <v>0</v>
      </c>
      <c r="BR217" s="85">
        <f t="shared" ca="1" si="494"/>
        <v>0</v>
      </c>
      <c r="BS217" s="53">
        <f ca="1">IFERROR((_xlfn.XLOOKUP(F217,Apuração!A:A,Apuração!C:C)+1)/_xlfn.XLOOKUP(F217,Apuração!A:A,Apuração!B:B),0)</f>
        <v>0.5</v>
      </c>
    </row>
    <row r="218" spans="1:71" ht="22.2" hidden="1" customHeight="1" x14ac:dyDescent="0.3">
      <c r="A218" s="35" t="s">
        <v>44</v>
      </c>
      <c r="B218" s="10" t="s">
        <v>202</v>
      </c>
      <c r="C218" s="5" t="s">
        <v>35</v>
      </c>
      <c r="D218" s="5" t="s">
        <v>47</v>
      </c>
      <c r="E218" s="4" t="str" cm="1">
        <f t="array" ref="E218">_xlfn.IFS(
F218 = "A partir de Abril", "Aguardando Execução na Distribuidora",
A218 = "CAPACITAÇÃO", "Em execução no Corporativo",
TRUE, "Em Execução na Distribuidora"
)</f>
        <v>Em Execução na Distribuidora</v>
      </c>
      <c r="F218" s="4" t="str" cm="1">
        <f t="array" ref="F218">_xlfn.IFS(
AG218 &lt;&gt; "", "Jan-Dez/26",
AH218 &lt;&gt; "", "Fev-Dez/26",
AI218 &lt;&gt; "", "Mar-Dez/26", AJ218 &lt;&gt; "", "Abr-Dez/26",
TRUE, "A partir de Junho"
)</f>
        <v>Jan-Dez/26</v>
      </c>
      <c r="G218" s="10" t="s">
        <v>44</v>
      </c>
      <c r="H218" s="36" t="s">
        <v>44</v>
      </c>
      <c r="I218" s="37"/>
      <c r="J218" s="37"/>
      <c r="K218" s="37"/>
      <c r="L218" s="37" t="s">
        <v>203</v>
      </c>
      <c r="M218" s="37"/>
      <c r="N218" s="5" t="s">
        <v>42</v>
      </c>
      <c r="O218" s="5" t="s">
        <v>52</v>
      </c>
      <c r="P218" s="10" t="s">
        <v>44</v>
      </c>
      <c r="Q218" s="10" t="s">
        <v>44</v>
      </c>
      <c r="R218" s="11" t="s">
        <v>44</v>
      </c>
      <c r="S218" s="11" t="s">
        <v>44</v>
      </c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G218" s="112">
        <v>3.3340890601869759</v>
      </c>
      <c r="AH218" s="112">
        <v>1.667044530093488</v>
      </c>
      <c r="AI218" s="112">
        <v>1.6673539870324323</v>
      </c>
      <c r="AJ218" s="71"/>
      <c r="AK218" s="71"/>
      <c r="AL218" s="71"/>
      <c r="AM218" s="71"/>
      <c r="AN218" s="71"/>
      <c r="AO218" s="71"/>
      <c r="AP218" s="71"/>
      <c r="AQ218" s="71"/>
      <c r="AR218" s="71"/>
      <c r="AS218" s="94"/>
      <c r="AT218" s="95"/>
      <c r="AU218" s="97"/>
      <c r="AW218" s="84">
        <f t="shared" ref="AW218:AW219" si="515">AG218</f>
        <v>3.3340890601869759</v>
      </c>
      <c r="AX218" s="84">
        <f t="shared" ref="AX218:AX219" si="516">AH218</f>
        <v>1.667044530093488</v>
      </c>
      <c r="AY218" s="84">
        <f t="shared" ref="AY218:AY219" si="517">AI218</f>
        <v>1.6673539870324323</v>
      </c>
      <c r="AZ218" s="84"/>
      <c r="BA218" s="84"/>
      <c r="BB218" s="84"/>
      <c r="BC218" s="84"/>
      <c r="BD218" s="84"/>
      <c r="BE218" s="84"/>
      <c r="BF218" s="84"/>
      <c r="BG218" s="84"/>
      <c r="BH218" s="84"/>
      <c r="BI218" s="68" cm="1">
        <f t="array" ref="BI218">IFERROR(INDEX(AW218:BH218,1,MATCH(2,1/(AW218:BH218&lt;&gt;""))),"")</f>
        <v>1.6673539870324323</v>
      </c>
      <c r="BJ218" s="68" cm="1">
        <f t="array" ref="BJ218">IF(BM218 = "", "",IFERROR(INDEX(AW218:BH218,1,MATCH(2,1/(AW218:BH218&lt;&gt;""),1)-1),""))</f>
        <v>1.667044530093488</v>
      </c>
      <c r="BK218" s="57" cm="1">
        <f t="array" ref="BK218">IFERROR(INDEX(AW218:BH218,1,MATCH(2,1/(AW218:BH218&lt;&gt;""),1)),"")</f>
        <v>1.6673539870324323</v>
      </c>
      <c r="BL218" s="57" cm="1">
        <f t="array" ref="BL218">IF(BM218 = "", "",IFERROR(INDEX(AW218:BH218,1,MATCH(2,1/(AW218:BH218&lt;&gt;""),1)-1),""))</f>
        <v>1.667044530093488</v>
      </c>
      <c r="BM218" s="55" cm="1">
        <f t="array" ref="BM218">IFERROR(
   INDEX($AW$1:$BH$1,
      _xlfn.AGGREGATE(14, 6, COLUMN($AW$1:$BH$1)/(AW218:BH218&lt;&gt;""), 2) - COLUMN($AW$1) + 1
   ),
"")</f>
        <v>46054</v>
      </c>
      <c r="BN218" s="55" cm="1">
        <f t="array" ref="BN218">IFERROR(INDEX($AW$1:$BH$1,1,MATCH(2,1/(AW218:BH218&lt;&gt;""))),"")</f>
        <v>46082</v>
      </c>
      <c r="BO218" s="53">
        <f ca="1">IFERROR(_xlfn.XLOOKUP(F218,Apuração!A:A,Apuração!C:C)/_xlfn.XLOOKUP(F218,Apuração!A:A,Apuração!B:B),0)</f>
        <v>0.41666666666666669</v>
      </c>
      <c r="BP218" s="53">
        <f ca="1">IFERROR(_xlfn.XLOOKUP(F218,Apuração!A:A,Apuração!D:D)/_xlfn.XLOOKUP(F218,Apuração!A:A,Apuração!B:B),0)</f>
        <v>0.33333333333333331</v>
      </c>
      <c r="BQ218" s="53">
        <f ca="1">IF(BK218&gt;=BO218,0,_xlfn.XLOOKUP(F218,Apuração!A:A,Apuração!B:B)*(BO218 + (1/_xlfn.XLOOKUP(F218,Apuração!A:A,Apuração!B:B)) - BK218))</f>
        <v>0</v>
      </c>
      <c r="BR218" s="85">
        <f t="shared" ref="BR218:BR219" ca="1" si="518">IF(BQ218=0,0,BQ218*Z218)</f>
        <v>0</v>
      </c>
      <c r="BS218" s="53">
        <f ca="1">IFERROR((_xlfn.XLOOKUP(F218,Apuração!A:A,Apuração!C:C)+1)/_xlfn.XLOOKUP(F218,Apuração!A:A,Apuração!B:B),0)</f>
        <v>0.5</v>
      </c>
    </row>
    <row r="219" spans="1:71" ht="22.2" hidden="1" customHeight="1" x14ac:dyDescent="0.3">
      <c r="A219" s="35" t="s">
        <v>44</v>
      </c>
      <c r="B219" s="10" t="s">
        <v>202</v>
      </c>
      <c r="C219" s="5" t="s">
        <v>35</v>
      </c>
      <c r="D219" s="5" t="s">
        <v>48</v>
      </c>
      <c r="E219" s="4" t="str" cm="1">
        <f t="array" ref="E219">_xlfn.IFS(
F219 = "A partir de Abril", "Aguardando Execução na Distribuidora",
A219 = "CAPACITAÇÃO", "Em execução no Corporativo",
TRUE, "Em Execução na Distribuidora"
)</f>
        <v>Em Execução na Distribuidora</v>
      </c>
      <c r="F219" s="4" t="str" cm="1">
        <f t="array" ref="F219">_xlfn.IFS(
AG219 &lt;&gt; "", "Jan-Dez/26",
AH219 &lt;&gt; "", "Fev-Dez/26",
AI219 &lt;&gt; "", "Mar-Dez/26", AJ219 &lt;&gt; "", "Abr-Dez/26",
TRUE, "A partir de Junho"
)</f>
        <v>Jan-Dez/26</v>
      </c>
      <c r="G219" s="10" t="s">
        <v>44</v>
      </c>
      <c r="H219" s="36" t="s">
        <v>44</v>
      </c>
      <c r="I219" s="37"/>
      <c r="J219" s="37"/>
      <c r="K219" s="37"/>
      <c r="L219" s="37" t="s">
        <v>203</v>
      </c>
      <c r="M219" s="37"/>
      <c r="N219" s="5" t="s">
        <v>42</v>
      </c>
      <c r="O219" s="5" t="s">
        <v>52</v>
      </c>
      <c r="P219" s="10" t="s">
        <v>44</v>
      </c>
      <c r="Q219" s="10" t="s">
        <v>44</v>
      </c>
      <c r="R219" s="11" t="s">
        <v>44</v>
      </c>
      <c r="S219" s="11" t="s">
        <v>44</v>
      </c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G219" s="112">
        <v>3.3340890601869759</v>
      </c>
      <c r="AH219" s="112">
        <v>1.667044530093488</v>
      </c>
      <c r="AI219" s="112">
        <v>1.6673539870324323</v>
      </c>
      <c r="AJ219" s="71"/>
      <c r="AK219" s="71"/>
      <c r="AL219" s="71"/>
      <c r="AM219" s="71"/>
      <c r="AN219" s="71"/>
      <c r="AO219" s="71"/>
      <c r="AP219" s="71"/>
      <c r="AQ219" s="71"/>
      <c r="AR219" s="71"/>
      <c r="AS219" s="94"/>
      <c r="AT219" s="95"/>
      <c r="AU219" s="97"/>
      <c r="AW219" s="84">
        <f t="shared" si="515"/>
        <v>3.3340890601869759</v>
      </c>
      <c r="AX219" s="84">
        <f t="shared" si="516"/>
        <v>1.667044530093488</v>
      </c>
      <c r="AY219" s="84">
        <f t="shared" si="517"/>
        <v>1.6673539870324323</v>
      </c>
      <c r="AZ219" s="84"/>
      <c r="BA219" s="84"/>
      <c r="BB219" s="84"/>
      <c r="BC219" s="84"/>
      <c r="BD219" s="84"/>
      <c r="BE219" s="84"/>
      <c r="BF219" s="84"/>
      <c r="BG219" s="84"/>
      <c r="BH219" s="84"/>
      <c r="BI219" s="68" cm="1">
        <f t="array" ref="BI219">IFERROR(INDEX(AW219:BH219,1,MATCH(2,1/(AW219:BH219&lt;&gt;""))),"")</f>
        <v>1.6673539870324323</v>
      </c>
      <c r="BJ219" s="68" cm="1">
        <f t="array" ref="BJ219">IF(BM219 = "", "",IFERROR(INDEX(AW219:BH219,1,MATCH(2,1/(AW219:BH219&lt;&gt;""),1)-1),""))</f>
        <v>1.667044530093488</v>
      </c>
      <c r="BK219" s="57" cm="1">
        <f t="array" ref="BK219">IFERROR(INDEX(AW219:BH219,1,MATCH(2,1/(AW219:BH219&lt;&gt;""),1)),"")</f>
        <v>1.6673539870324323</v>
      </c>
      <c r="BL219" s="57" cm="1">
        <f t="array" ref="BL219">IF(BM219 = "", "",IFERROR(INDEX(AW219:BH219,1,MATCH(2,1/(AW219:BH219&lt;&gt;""),1)-1),""))</f>
        <v>1.667044530093488</v>
      </c>
      <c r="BM219" s="55" cm="1">
        <f t="array" ref="BM219">IFERROR(
   INDEX($AW$1:$BH$1,
      _xlfn.AGGREGATE(14, 6, COLUMN($AW$1:$BH$1)/(AW219:BH219&lt;&gt;""), 2) - COLUMN($AW$1) + 1
   ),
"")</f>
        <v>46054</v>
      </c>
      <c r="BN219" s="55" cm="1">
        <f t="array" ref="BN219">IFERROR(INDEX($AW$1:$BH$1,1,MATCH(2,1/(AW219:BH219&lt;&gt;""))),"")</f>
        <v>46082</v>
      </c>
      <c r="BO219" s="53">
        <f ca="1">IFERROR(_xlfn.XLOOKUP(F219,Apuração!A:A,Apuração!C:C)/_xlfn.XLOOKUP(F219,Apuração!A:A,Apuração!B:B),0)</f>
        <v>0.41666666666666669</v>
      </c>
      <c r="BP219" s="53">
        <f ca="1">IFERROR(_xlfn.XLOOKUP(F219,Apuração!A:A,Apuração!D:D)/_xlfn.XLOOKUP(F219,Apuração!A:A,Apuração!B:B),0)</f>
        <v>0.33333333333333331</v>
      </c>
      <c r="BQ219" s="53">
        <f ca="1">IF(BK219&gt;=BO219,0,_xlfn.XLOOKUP(F219,Apuração!A:A,Apuração!B:B)*(BO219 + (1/_xlfn.XLOOKUP(F219,Apuração!A:A,Apuração!B:B)) - BK219))</f>
        <v>0</v>
      </c>
      <c r="BR219" s="85">
        <f t="shared" ca="1" si="518"/>
        <v>0</v>
      </c>
      <c r="BS219" s="53">
        <f ca="1">IFERROR((_xlfn.XLOOKUP(F219,Apuração!A:A,Apuração!C:C)+1)/_xlfn.XLOOKUP(F219,Apuração!A:A,Apuração!B:B),0)</f>
        <v>0.5</v>
      </c>
    </row>
    <row r="220" spans="1:71" ht="24" hidden="1" customHeight="1" x14ac:dyDescent="0.3">
      <c r="A220" s="35" t="s">
        <v>44</v>
      </c>
      <c r="B220" s="10" t="s">
        <v>44</v>
      </c>
      <c r="C220" s="5" t="s">
        <v>35</v>
      </c>
      <c r="D220" s="5" t="s">
        <v>36</v>
      </c>
      <c r="E220" s="4" t="str" cm="1">
        <f t="array" ref="E220">_xlfn.IFS(
F220 = "A partir de Abril", "Aguardando Execução na Distribuidora",
A220 = "CAPACITAÇÃO", "Em execução no Corporativo",
TRUE, "Em Execução na Distribuidora"
)</f>
        <v>Em Execução na Distribuidora</v>
      </c>
      <c r="F220" s="4" t="str" cm="1">
        <f t="array" ref="F220">_xlfn.IFS(
AG220 &lt;&gt; "", "Jan-Dez/26",
AH220 &lt;&gt; "", "Fev-Dez/26",
AI220 &lt;&gt; "", "Mar-Dez/26", AJ220 &lt;&gt; "", "Abr-Dez/26",
TRUE, "A partir de Junho"
)</f>
        <v>Jan-Dez/26</v>
      </c>
      <c r="G220" s="10" t="s">
        <v>44</v>
      </c>
      <c r="H220" s="36" t="s">
        <v>44</v>
      </c>
      <c r="I220" s="37"/>
      <c r="J220" s="37"/>
      <c r="K220" s="37"/>
      <c r="L220" s="37" t="s">
        <v>204</v>
      </c>
      <c r="M220" s="37" t="s">
        <v>205</v>
      </c>
      <c r="N220" s="5" t="s">
        <v>42</v>
      </c>
      <c r="O220" s="5" t="s">
        <v>52</v>
      </c>
      <c r="P220" s="10" t="s">
        <v>44</v>
      </c>
      <c r="Q220" s="10" t="s">
        <v>44</v>
      </c>
      <c r="R220" s="11" t="s">
        <v>44</v>
      </c>
      <c r="S220" s="11" t="s">
        <v>44</v>
      </c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G220" s="112">
        <v>3.6731697320676129</v>
      </c>
      <c r="AH220" s="112">
        <v>0</v>
      </c>
      <c r="AI220" s="112">
        <v>1.1702641405532173</v>
      </c>
      <c r="AJ220" s="112">
        <v>0</v>
      </c>
      <c r="AK220" s="112"/>
      <c r="AL220" s="112"/>
      <c r="AM220" s="112"/>
      <c r="AN220" s="112"/>
      <c r="AO220" s="112"/>
      <c r="AP220" s="112"/>
      <c r="AQ220" s="112"/>
      <c r="AR220" s="112"/>
      <c r="AS220" s="94"/>
      <c r="AT220" s="95"/>
      <c r="AU220" s="97"/>
      <c r="AW220" s="84">
        <f t="shared" si="510"/>
        <v>3.6731697320676129</v>
      </c>
      <c r="AX220" s="84">
        <f t="shared" si="503"/>
        <v>0</v>
      </c>
      <c r="AY220" s="84">
        <f t="shared" si="504"/>
        <v>1.1702641405532173</v>
      </c>
      <c r="AZ220" s="84">
        <f t="shared" si="504"/>
        <v>0</v>
      </c>
      <c r="BA220" s="84"/>
      <c r="BB220" s="84"/>
      <c r="BC220" s="84"/>
      <c r="BD220" s="84"/>
      <c r="BE220" s="84"/>
      <c r="BF220" s="84"/>
      <c r="BG220" s="84"/>
      <c r="BH220" s="84"/>
      <c r="BI220" s="68" cm="1">
        <f t="array" ref="BI220">IFERROR(INDEX(AW220:BH220,1,MATCH(2,1/(AW220:BH220&lt;&gt;""))),"")</f>
        <v>0</v>
      </c>
      <c r="BJ220" s="68" cm="1">
        <f t="array" ref="BJ220">IF(BM220 = "", "",IFERROR(INDEX(AW220:BH220,1,MATCH(2,1/(AW220:BH220&lt;&gt;""),1)-1),""))</f>
        <v>1.1702641405532173</v>
      </c>
      <c r="BK220" s="57" cm="1">
        <f t="array" ref="BK220">IFERROR(INDEX(AW220:BH220,1,MATCH(2,1/(AW220:BH220&lt;&gt;""),1)),"")</f>
        <v>0</v>
      </c>
      <c r="BL220" s="57" cm="1">
        <f t="array" ref="BL220">IF(BM220 = "", "",IFERROR(INDEX(AW220:BH220,1,MATCH(2,1/(AW220:BH220&lt;&gt;""),1)-1),""))</f>
        <v>1.1702641405532173</v>
      </c>
      <c r="BM220" s="55" cm="1">
        <f t="array" ref="BM220">IFERROR(
   INDEX($AW$1:$BH$1,
      _xlfn.AGGREGATE(14, 6, COLUMN($AW$1:$BH$1)/(AW220:BH220&lt;&gt;""), 2) - COLUMN($AW$1) + 1
   ),
"")</f>
        <v>46082</v>
      </c>
      <c r="BN220" s="55" cm="1">
        <f t="array" ref="BN220">IFERROR(INDEX($AW$1:$BH$1,1,MATCH(2,1/(AW220:BH220&lt;&gt;""))),"")</f>
        <v>46113</v>
      </c>
      <c r="BO220" s="53">
        <f ca="1">IFERROR(_xlfn.XLOOKUP(F220,Apuração!A:A,Apuração!C:C)/_xlfn.XLOOKUP(F220,Apuração!A:A,Apuração!B:B),0)</f>
        <v>0.41666666666666669</v>
      </c>
      <c r="BP220" s="53">
        <f ca="1">IFERROR(_xlfn.XLOOKUP(F220,Apuração!A:A,Apuração!D:D)/_xlfn.XLOOKUP(F220,Apuração!A:A,Apuração!B:B),0)</f>
        <v>0.33333333333333331</v>
      </c>
      <c r="BQ220" s="53">
        <f ca="1">IF(BK220&gt;=BO220,0,_xlfn.XLOOKUP(F220,Apuração!A:A,Apuração!B:B)*(BO220 + (1/_xlfn.XLOOKUP(F220,Apuração!A:A,Apuração!B:B)) - BK220))</f>
        <v>6</v>
      </c>
      <c r="BR220" s="85">
        <f t="shared" ca="1" si="494"/>
        <v>0</v>
      </c>
      <c r="BS220" s="53">
        <f ca="1">IFERROR((_xlfn.XLOOKUP(F220,Apuração!A:A,Apuração!C:C)+1)/_xlfn.XLOOKUP(F220,Apuração!A:A,Apuração!B:B),0)</f>
        <v>0.5</v>
      </c>
    </row>
    <row r="221" spans="1:71" ht="24" hidden="1" customHeight="1" x14ac:dyDescent="0.3">
      <c r="A221" s="35" t="s">
        <v>44</v>
      </c>
      <c r="B221" s="10" t="s">
        <v>44</v>
      </c>
      <c r="C221" s="5" t="s">
        <v>35</v>
      </c>
      <c r="D221" s="5" t="s">
        <v>47</v>
      </c>
      <c r="E221" s="4" t="str" cm="1">
        <f t="array" ref="E221">_xlfn.IFS(
F221 = "A partir de Abril", "Aguardando Execução na Distribuidora",
A221 = "CAPACITAÇÃO", "Em execução no Corporativo",
TRUE, "Em Execução na Distribuidora"
)</f>
        <v>Em Execução na Distribuidora</v>
      </c>
      <c r="F221" s="4" t="str" cm="1">
        <f t="array" ref="F221">_xlfn.IFS(
AG221 &lt;&gt; "", "Jan-Dez/26",
AH221 &lt;&gt; "", "Fev-Dez/26",
AI221 &lt;&gt; "", "Mar-Dez/26", AJ221 &lt;&gt; "", "Abr-Dez/26",
TRUE, "A partir de Junho"
)</f>
        <v>Jan-Dez/26</v>
      </c>
      <c r="G221" s="10" t="s">
        <v>44</v>
      </c>
      <c r="H221" s="36" t="s">
        <v>44</v>
      </c>
      <c r="I221" s="37"/>
      <c r="J221" s="37"/>
      <c r="K221" s="37"/>
      <c r="L221" s="37" t="s">
        <v>204</v>
      </c>
      <c r="M221" s="37" t="s">
        <v>205</v>
      </c>
      <c r="N221" s="5" t="s">
        <v>42</v>
      </c>
      <c r="O221" s="5" t="s">
        <v>52</v>
      </c>
      <c r="P221" s="10" t="s">
        <v>44</v>
      </c>
      <c r="Q221" s="10" t="s">
        <v>44</v>
      </c>
      <c r="R221" s="11" t="s">
        <v>44</v>
      </c>
      <c r="S221" s="11" t="s">
        <v>44</v>
      </c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G221" s="112">
        <v>3.6731697320676129</v>
      </c>
      <c r="AH221" s="112">
        <v>0</v>
      </c>
      <c r="AI221" s="112">
        <v>1.1702641405532173</v>
      </c>
      <c r="AJ221" s="71"/>
      <c r="AK221" s="71"/>
      <c r="AL221" s="71"/>
      <c r="AM221" s="71"/>
      <c r="AN221" s="71"/>
      <c r="AO221" s="71"/>
      <c r="AP221" s="71"/>
      <c r="AQ221" s="71"/>
      <c r="AR221" s="71"/>
      <c r="AS221" s="94"/>
      <c r="AT221" s="95"/>
      <c r="AU221" s="97"/>
      <c r="AW221" s="84">
        <f t="shared" ref="AW221:AW222" si="519">AG221</f>
        <v>3.6731697320676129</v>
      </c>
      <c r="AX221" s="84">
        <f t="shared" ref="AX221:AX222" si="520">AH221</f>
        <v>0</v>
      </c>
      <c r="AY221" s="84">
        <f t="shared" ref="AY221:AY222" si="521">AI221</f>
        <v>1.1702641405532173</v>
      </c>
      <c r="AZ221" s="84"/>
      <c r="BA221" s="84"/>
      <c r="BB221" s="84"/>
      <c r="BC221" s="84"/>
      <c r="BD221" s="84"/>
      <c r="BE221" s="84"/>
      <c r="BF221" s="84"/>
      <c r="BG221" s="84"/>
      <c r="BH221" s="84"/>
      <c r="BI221" s="68" cm="1">
        <f t="array" ref="BI221">IFERROR(INDEX(AW221:BH221,1,MATCH(2,1/(AW221:BH221&lt;&gt;""))),"")</f>
        <v>1.1702641405532173</v>
      </c>
      <c r="BJ221" s="68" cm="1">
        <f t="array" ref="BJ221">IF(BM221 = "", "",IFERROR(INDEX(AW221:BH221,1,MATCH(2,1/(AW221:BH221&lt;&gt;""),1)-1),""))</f>
        <v>0</v>
      </c>
      <c r="BK221" s="57" cm="1">
        <f t="array" ref="BK221">IFERROR(INDEX(AW221:BH221,1,MATCH(2,1/(AW221:BH221&lt;&gt;""),1)),"")</f>
        <v>1.1702641405532173</v>
      </c>
      <c r="BL221" s="57" cm="1">
        <f t="array" ref="BL221">IF(BM221 = "", "",IFERROR(INDEX(AW221:BH221,1,MATCH(2,1/(AW221:BH221&lt;&gt;""),1)-1),""))</f>
        <v>0</v>
      </c>
      <c r="BM221" s="55" cm="1">
        <f t="array" ref="BM221">IFERROR(
   INDEX($AW$1:$BH$1,
      _xlfn.AGGREGATE(14, 6, COLUMN($AW$1:$BH$1)/(AW221:BH221&lt;&gt;""), 2) - COLUMN($AW$1) + 1
   ),
"")</f>
        <v>46054</v>
      </c>
      <c r="BN221" s="55" cm="1">
        <f t="array" ref="BN221">IFERROR(INDEX($AW$1:$BH$1,1,MATCH(2,1/(AW221:BH221&lt;&gt;""))),"")</f>
        <v>46082</v>
      </c>
      <c r="BO221" s="53">
        <f ca="1">IFERROR(_xlfn.XLOOKUP(F221,Apuração!A:A,Apuração!C:C)/_xlfn.XLOOKUP(F221,Apuração!A:A,Apuração!B:B),0)</f>
        <v>0.41666666666666669</v>
      </c>
      <c r="BP221" s="53">
        <f ca="1">IFERROR(_xlfn.XLOOKUP(F221,Apuração!A:A,Apuração!D:D)/_xlfn.XLOOKUP(F221,Apuração!A:A,Apuração!B:B),0)</f>
        <v>0.33333333333333331</v>
      </c>
      <c r="BQ221" s="53">
        <f ca="1">IF(BK221&gt;=BO221,0,_xlfn.XLOOKUP(F221,Apuração!A:A,Apuração!B:B)*(BO221 + (1/_xlfn.XLOOKUP(F221,Apuração!A:A,Apuração!B:B)) - BK221))</f>
        <v>0</v>
      </c>
      <c r="BR221" s="85">
        <f t="shared" ref="BR221:BR222" ca="1" si="522">IF(BQ221=0,0,BQ221*Z221)</f>
        <v>0</v>
      </c>
      <c r="BS221" s="53">
        <f ca="1">IFERROR((_xlfn.XLOOKUP(F221,Apuração!A:A,Apuração!C:C)+1)/_xlfn.XLOOKUP(F221,Apuração!A:A,Apuração!B:B),0)</f>
        <v>0.5</v>
      </c>
    </row>
    <row r="222" spans="1:71" ht="24" hidden="1" customHeight="1" x14ac:dyDescent="0.3">
      <c r="A222" s="35" t="s">
        <v>44</v>
      </c>
      <c r="B222" s="10" t="s">
        <v>44</v>
      </c>
      <c r="C222" s="5" t="s">
        <v>35</v>
      </c>
      <c r="D222" s="5" t="s">
        <v>48</v>
      </c>
      <c r="E222" s="4" t="str" cm="1">
        <f t="array" ref="E222">_xlfn.IFS(
F222 = "A partir de Abril", "Aguardando Execução na Distribuidora",
A222 = "CAPACITAÇÃO", "Em execução no Corporativo",
TRUE, "Em Execução na Distribuidora"
)</f>
        <v>Em Execução na Distribuidora</v>
      </c>
      <c r="F222" s="4" t="str" cm="1">
        <f t="array" ref="F222">_xlfn.IFS(
AG222 &lt;&gt; "", "Jan-Dez/26",
AH222 &lt;&gt; "", "Fev-Dez/26",
AI222 &lt;&gt; "", "Mar-Dez/26", AJ222 &lt;&gt; "", "Abr-Dez/26",
TRUE, "A partir de Junho"
)</f>
        <v>Jan-Dez/26</v>
      </c>
      <c r="G222" s="10" t="s">
        <v>44</v>
      </c>
      <c r="H222" s="36" t="s">
        <v>44</v>
      </c>
      <c r="I222" s="37"/>
      <c r="J222" s="37"/>
      <c r="K222" s="37"/>
      <c r="L222" s="37" t="s">
        <v>204</v>
      </c>
      <c r="M222" s="37" t="s">
        <v>205</v>
      </c>
      <c r="N222" s="5" t="s">
        <v>42</v>
      </c>
      <c r="O222" s="5" t="s">
        <v>52</v>
      </c>
      <c r="P222" s="10" t="s">
        <v>44</v>
      </c>
      <c r="Q222" s="10" t="s">
        <v>44</v>
      </c>
      <c r="R222" s="11" t="s">
        <v>44</v>
      </c>
      <c r="S222" s="11" t="s">
        <v>44</v>
      </c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G222" s="112">
        <v>3.6731697320676129</v>
      </c>
      <c r="AH222" s="112">
        <v>0</v>
      </c>
      <c r="AI222" s="112">
        <v>1.1702641405532173</v>
      </c>
      <c r="AJ222" s="71"/>
      <c r="AK222" s="71"/>
      <c r="AL222" s="71"/>
      <c r="AM222" s="71"/>
      <c r="AN222" s="71"/>
      <c r="AO222" s="71"/>
      <c r="AP222" s="71"/>
      <c r="AQ222" s="71"/>
      <c r="AR222" s="71"/>
      <c r="AS222" s="94"/>
      <c r="AT222" s="95"/>
      <c r="AU222" s="97"/>
      <c r="AW222" s="84">
        <f t="shared" si="519"/>
        <v>3.6731697320676129</v>
      </c>
      <c r="AX222" s="84">
        <f t="shared" si="520"/>
        <v>0</v>
      </c>
      <c r="AY222" s="84">
        <f t="shared" si="521"/>
        <v>1.1702641405532173</v>
      </c>
      <c r="AZ222" s="84"/>
      <c r="BA222" s="84"/>
      <c r="BB222" s="84"/>
      <c r="BC222" s="84"/>
      <c r="BD222" s="84"/>
      <c r="BE222" s="84"/>
      <c r="BF222" s="84"/>
      <c r="BG222" s="84"/>
      <c r="BH222" s="84"/>
      <c r="BI222" s="68" cm="1">
        <f t="array" ref="BI222">IFERROR(INDEX(AW222:BH222,1,MATCH(2,1/(AW222:BH222&lt;&gt;""))),"")</f>
        <v>1.1702641405532173</v>
      </c>
      <c r="BJ222" s="68" cm="1">
        <f t="array" ref="BJ222">IF(BM222 = "", "",IFERROR(INDEX(AW222:BH222,1,MATCH(2,1/(AW222:BH222&lt;&gt;""),1)-1),""))</f>
        <v>0</v>
      </c>
      <c r="BK222" s="57" cm="1">
        <f t="array" ref="BK222">IFERROR(INDEX(AW222:BH222,1,MATCH(2,1/(AW222:BH222&lt;&gt;""),1)),"")</f>
        <v>1.1702641405532173</v>
      </c>
      <c r="BL222" s="57" cm="1">
        <f t="array" ref="BL222">IF(BM222 = "", "",IFERROR(INDEX(AW222:BH222,1,MATCH(2,1/(AW222:BH222&lt;&gt;""),1)-1),""))</f>
        <v>0</v>
      </c>
      <c r="BM222" s="55" cm="1">
        <f t="array" ref="BM222">IFERROR(
   INDEX($AW$1:$BH$1,
      _xlfn.AGGREGATE(14, 6, COLUMN($AW$1:$BH$1)/(AW222:BH222&lt;&gt;""), 2) - COLUMN($AW$1) + 1
   ),
"")</f>
        <v>46054</v>
      </c>
      <c r="BN222" s="55" cm="1">
        <f t="array" ref="BN222">IFERROR(INDEX($AW$1:$BH$1,1,MATCH(2,1/(AW222:BH222&lt;&gt;""))),"")</f>
        <v>46082</v>
      </c>
      <c r="BO222" s="53">
        <f ca="1">IFERROR(_xlfn.XLOOKUP(F222,Apuração!A:A,Apuração!C:C)/_xlfn.XLOOKUP(F222,Apuração!A:A,Apuração!B:B),0)</f>
        <v>0.41666666666666669</v>
      </c>
      <c r="BP222" s="53">
        <f ca="1">IFERROR(_xlfn.XLOOKUP(F222,Apuração!A:A,Apuração!D:D)/_xlfn.XLOOKUP(F222,Apuração!A:A,Apuração!B:B),0)</f>
        <v>0.33333333333333331</v>
      </c>
      <c r="BQ222" s="53">
        <f ca="1">IF(BK222&gt;=BO222,0,_xlfn.XLOOKUP(F222,Apuração!A:A,Apuração!B:B)*(BO222 + (1/_xlfn.XLOOKUP(F222,Apuração!A:A,Apuração!B:B)) - BK222))</f>
        <v>0</v>
      </c>
      <c r="BR222" s="85">
        <f t="shared" ca="1" si="522"/>
        <v>0</v>
      </c>
      <c r="BS222" s="53">
        <f ca="1">IFERROR((_xlfn.XLOOKUP(F222,Apuração!A:A,Apuração!C:C)+1)/_xlfn.XLOOKUP(F222,Apuração!A:A,Apuração!B:B),0)</f>
        <v>0.5</v>
      </c>
    </row>
    <row r="223" spans="1:71" ht="25.95" hidden="1" customHeight="1" x14ac:dyDescent="0.3">
      <c r="A223" s="35" t="s">
        <v>44</v>
      </c>
      <c r="B223" s="10" t="s">
        <v>44</v>
      </c>
      <c r="C223" s="5" t="s">
        <v>35</v>
      </c>
      <c r="D223" s="5" t="s">
        <v>36</v>
      </c>
      <c r="E223" s="4" t="str" cm="1">
        <f t="array" ref="E223">_xlfn.IFS(
F223 = "A partir de Abril", "Aguardando Execução na Distribuidora",
A223 = "CAPACITAÇÃO", "Em execução no Corporativo",
TRUE, "Em Execução na Distribuidora"
)</f>
        <v>Em Execução na Distribuidora</v>
      </c>
      <c r="F223" s="4" t="str" cm="1">
        <f t="array" ref="F223">_xlfn.IFS(
AG223 &lt;&gt; "", "Jan-Dez/26",
AH223 &lt;&gt; "", "Fev-Dez/26",
AI223 &lt;&gt; "", "Mar-Dez/26", AJ223 &lt;&gt; "", "Abr-Dez/26",
TRUE, "A partir de Junho"
)</f>
        <v>Jan-Dez/26</v>
      </c>
      <c r="G223" s="10" t="s">
        <v>44</v>
      </c>
      <c r="H223" s="36" t="s">
        <v>44</v>
      </c>
      <c r="I223" s="37"/>
      <c r="J223" s="37"/>
      <c r="K223" s="37"/>
      <c r="L223" s="37" t="s">
        <v>206</v>
      </c>
      <c r="M223" s="37"/>
      <c r="N223" s="5" t="s">
        <v>42</v>
      </c>
      <c r="O223" s="5" t="s">
        <v>52</v>
      </c>
      <c r="P223" s="10" t="s">
        <v>44</v>
      </c>
      <c r="Q223" s="10" t="s">
        <v>44</v>
      </c>
      <c r="R223" s="11" t="s">
        <v>44</v>
      </c>
      <c r="S223" s="11" t="s">
        <v>44</v>
      </c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G223" s="112">
        <v>1.667044530093488</v>
      </c>
      <c r="AH223" s="112">
        <v>5.0011335902804639</v>
      </c>
      <c r="AI223" s="112">
        <v>5.0020619610972972</v>
      </c>
      <c r="AJ223" s="112">
        <v>0.44</v>
      </c>
      <c r="AK223" s="112"/>
      <c r="AL223" s="112"/>
      <c r="AM223" s="112"/>
      <c r="AN223" s="112"/>
      <c r="AO223" s="112"/>
      <c r="AP223" s="112"/>
      <c r="AQ223" s="112"/>
      <c r="AR223" s="112"/>
      <c r="AS223" s="94"/>
      <c r="AT223" s="95"/>
      <c r="AU223" s="97"/>
      <c r="AW223" s="84">
        <f t="shared" si="510"/>
        <v>1.667044530093488</v>
      </c>
      <c r="AX223" s="84">
        <f t="shared" si="503"/>
        <v>5.0011335902804639</v>
      </c>
      <c r="AY223" s="84">
        <f t="shared" si="504"/>
        <v>5.0020619610972972</v>
      </c>
      <c r="AZ223" s="84">
        <f t="shared" si="504"/>
        <v>0.44</v>
      </c>
      <c r="BA223" s="84"/>
      <c r="BB223" s="84"/>
      <c r="BC223" s="84"/>
      <c r="BD223" s="84"/>
      <c r="BE223" s="84"/>
      <c r="BF223" s="84"/>
      <c r="BG223" s="84"/>
      <c r="BH223" s="84"/>
      <c r="BI223" s="68" cm="1">
        <f t="array" ref="BI223">IFERROR(INDEX(AW223:BH223,1,MATCH(2,1/(AW223:BH223&lt;&gt;""))),"")</f>
        <v>0.44</v>
      </c>
      <c r="BJ223" s="68" cm="1">
        <f t="array" ref="BJ223">IF(BM223 = "", "",IFERROR(INDEX(AW223:BH223,1,MATCH(2,1/(AW223:BH223&lt;&gt;""),1)-1),""))</f>
        <v>5.0020619610972972</v>
      </c>
      <c r="BK223" s="57" cm="1">
        <f t="array" ref="BK223">IFERROR(INDEX(AW223:BH223,1,MATCH(2,1/(AW223:BH223&lt;&gt;""),1)),"")</f>
        <v>0.44</v>
      </c>
      <c r="BL223" s="57" cm="1">
        <f t="array" ref="BL223">IF(BM223 = "", "",IFERROR(INDEX(AW223:BH223,1,MATCH(2,1/(AW223:BH223&lt;&gt;""),1)-1),""))</f>
        <v>5.0020619610972972</v>
      </c>
      <c r="BM223" s="55" cm="1">
        <f t="array" ref="BM223">IFERROR(
   INDEX($AW$1:$BH$1,
      _xlfn.AGGREGATE(14, 6, COLUMN($AW$1:$BH$1)/(AW223:BH223&lt;&gt;""), 2) - COLUMN($AW$1) + 1
   ),
"")</f>
        <v>46082</v>
      </c>
      <c r="BN223" s="55" cm="1">
        <f t="array" ref="BN223">IFERROR(INDEX($AW$1:$BH$1,1,MATCH(2,1/(AW223:BH223&lt;&gt;""))),"")</f>
        <v>46113</v>
      </c>
      <c r="BO223" s="53">
        <f ca="1">IFERROR(_xlfn.XLOOKUP(F223,Apuração!A:A,Apuração!C:C)/_xlfn.XLOOKUP(F223,Apuração!A:A,Apuração!B:B),0)</f>
        <v>0.41666666666666669</v>
      </c>
      <c r="BP223" s="53">
        <f ca="1">IFERROR(_xlfn.XLOOKUP(F223,Apuração!A:A,Apuração!D:D)/_xlfn.XLOOKUP(F223,Apuração!A:A,Apuração!B:B),0)</f>
        <v>0.33333333333333331</v>
      </c>
      <c r="BQ223" s="53">
        <f ca="1">IF(BK223&gt;=BO223,0,_xlfn.XLOOKUP(F223,Apuração!A:A,Apuração!B:B)*(BO223 + (1/_xlfn.XLOOKUP(F223,Apuração!A:A,Apuração!B:B)) - BK223))</f>
        <v>0</v>
      </c>
      <c r="BR223" s="85">
        <f t="shared" ca="1" si="494"/>
        <v>0</v>
      </c>
      <c r="BS223" s="53">
        <f ca="1">IFERROR((_xlfn.XLOOKUP(F223,Apuração!A:A,Apuração!C:C)+1)/_xlfn.XLOOKUP(F223,Apuração!A:A,Apuração!B:B),0)</f>
        <v>0.5</v>
      </c>
    </row>
    <row r="224" spans="1:71" ht="25.95" hidden="1" customHeight="1" x14ac:dyDescent="0.3">
      <c r="A224" s="35" t="s">
        <v>44</v>
      </c>
      <c r="B224" s="10" t="s">
        <v>44</v>
      </c>
      <c r="C224" s="5" t="s">
        <v>35</v>
      </c>
      <c r="D224" s="5" t="s">
        <v>47</v>
      </c>
      <c r="E224" s="4" t="str" cm="1">
        <f t="array" ref="E224">_xlfn.IFS(
F224 = "A partir de Abril", "Aguardando Execução na Distribuidora",
A224 = "CAPACITAÇÃO", "Em execução no Corporativo",
TRUE, "Em Execução na Distribuidora"
)</f>
        <v>Em Execução na Distribuidora</v>
      </c>
      <c r="F224" s="4" t="str" cm="1">
        <f t="array" ref="F224">_xlfn.IFS(
AG224 &lt;&gt; "", "Jan-Dez/26",
AH224 &lt;&gt; "", "Fev-Dez/26",
AI224 &lt;&gt; "", "Mar-Dez/26", AJ224 &lt;&gt; "", "Abr-Dez/26",
TRUE, "A partir de Junho"
)</f>
        <v>Jan-Dez/26</v>
      </c>
      <c r="G224" s="10" t="s">
        <v>44</v>
      </c>
      <c r="H224" s="36" t="s">
        <v>44</v>
      </c>
      <c r="I224" s="37"/>
      <c r="J224" s="37"/>
      <c r="K224" s="37"/>
      <c r="L224" s="37" t="s">
        <v>206</v>
      </c>
      <c r="M224" s="37"/>
      <c r="N224" s="5" t="s">
        <v>42</v>
      </c>
      <c r="O224" s="5" t="s">
        <v>52</v>
      </c>
      <c r="P224" s="10" t="s">
        <v>44</v>
      </c>
      <c r="Q224" s="10" t="s">
        <v>44</v>
      </c>
      <c r="R224" s="11" t="s">
        <v>44</v>
      </c>
      <c r="S224" s="11" t="s">
        <v>44</v>
      </c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G224" s="112">
        <v>1.667044530093488</v>
      </c>
      <c r="AH224" s="112">
        <v>5.0011335902804639</v>
      </c>
      <c r="AI224" s="112">
        <v>5.0020619610972972</v>
      </c>
      <c r="AJ224" s="71"/>
      <c r="AK224" s="71"/>
      <c r="AL224" s="71"/>
      <c r="AM224" s="71"/>
      <c r="AN224" s="71"/>
      <c r="AO224" s="71"/>
      <c r="AP224" s="71"/>
      <c r="AQ224" s="71"/>
      <c r="AR224" s="71"/>
      <c r="AS224" s="94"/>
      <c r="AT224" s="95"/>
      <c r="AU224" s="97"/>
      <c r="AW224" s="84">
        <f t="shared" ref="AW224:AW225" si="523">AG224</f>
        <v>1.667044530093488</v>
      </c>
      <c r="AX224" s="84">
        <f t="shared" ref="AX224:AX226" si="524">AH224</f>
        <v>5.0011335902804639</v>
      </c>
      <c r="AY224" s="84">
        <f t="shared" ref="AY224:AY226" si="525">AI224</f>
        <v>5.0020619610972972</v>
      </c>
      <c r="AZ224" s="84"/>
      <c r="BA224" s="84"/>
      <c r="BB224" s="84"/>
      <c r="BC224" s="84"/>
      <c r="BD224" s="84"/>
      <c r="BE224" s="84"/>
      <c r="BF224" s="84"/>
      <c r="BG224" s="84"/>
      <c r="BH224" s="84"/>
      <c r="BI224" s="68" cm="1">
        <f t="array" ref="BI224">IFERROR(INDEX(AW224:BH224,1,MATCH(2,1/(AW224:BH224&lt;&gt;""))),"")</f>
        <v>5.0020619610972972</v>
      </c>
      <c r="BJ224" s="68" cm="1">
        <f t="array" ref="BJ224">IF(BM224 = "", "",IFERROR(INDEX(AW224:BH224,1,MATCH(2,1/(AW224:BH224&lt;&gt;""),1)-1),""))</f>
        <v>5.0011335902804639</v>
      </c>
      <c r="BK224" s="57" cm="1">
        <f t="array" ref="BK224">IFERROR(INDEX(AW224:BH224,1,MATCH(2,1/(AW224:BH224&lt;&gt;""),1)),"")</f>
        <v>5.0020619610972972</v>
      </c>
      <c r="BL224" s="57" cm="1">
        <f t="array" ref="BL224">IF(BM224 = "", "",IFERROR(INDEX(AW224:BH224,1,MATCH(2,1/(AW224:BH224&lt;&gt;""),1)-1),""))</f>
        <v>5.0011335902804639</v>
      </c>
      <c r="BM224" s="55" cm="1">
        <f t="array" ref="BM224">IFERROR(
   INDEX($AW$1:$BH$1,
      _xlfn.AGGREGATE(14, 6, COLUMN($AW$1:$BH$1)/(AW224:BH224&lt;&gt;""), 2) - COLUMN($AW$1) + 1
   ),
"")</f>
        <v>46054</v>
      </c>
      <c r="BN224" s="55" cm="1">
        <f t="array" ref="BN224">IFERROR(INDEX($AW$1:$BH$1,1,MATCH(2,1/(AW224:BH224&lt;&gt;""))),"")</f>
        <v>46082</v>
      </c>
      <c r="BO224" s="53">
        <f ca="1">IFERROR(_xlfn.XLOOKUP(F224,Apuração!A:A,Apuração!C:C)/_xlfn.XLOOKUP(F224,Apuração!A:A,Apuração!B:B),0)</f>
        <v>0.41666666666666669</v>
      </c>
      <c r="BP224" s="53">
        <f ca="1">IFERROR(_xlfn.XLOOKUP(F224,Apuração!A:A,Apuração!D:D)/_xlfn.XLOOKUP(F224,Apuração!A:A,Apuração!B:B),0)</f>
        <v>0.33333333333333331</v>
      </c>
      <c r="BQ224" s="53">
        <f ca="1">IF(BK224&gt;=BO224,0,_xlfn.XLOOKUP(F224,Apuração!A:A,Apuração!B:B)*(BO224 + (1/_xlfn.XLOOKUP(F224,Apuração!A:A,Apuração!B:B)) - BK224))</f>
        <v>0</v>
      </c>
      <c r="BR224" s="85">
        <f t="shared" ref="BR224:BR225" ca="1" si="526">IF(BQ224=0,0,BQ224*Z224)</f>
        <v>0</v>
      </c>
      <c r="BS224" s="53">
        <f ca="1">IFERROR((_xlfn.XLOOKUP(F224,Apuração!A:A,Apuração!C:C)+1)/_xlfn.XLOOKUP(F224,Apuração!A:A,Apuração!B:B),0)</f>
        <v>0.5</v>
      </c>
    </row>
    <row r="225" spans="1:71" ht="25.95" hidden="1" customHeight="1" x14ac:dyDescent="0.3">
      <c r="A225" s="35" t="s">
        <v>44</v>
      </c>
      <c r="B225" s="10" t="s">
        <v>44</v>
      </c>
      <c r="C225" s="5" t="s">
        <v>35</v>
      </c>
      <c r="D225" s="5" t="s">
        <v>48</v>
      </c>
      <c r="E225" s="4" t="str" cm="1">
        <f t="array" ref="E225">_xlfn.IFS(
F225 = "A partir de Abril", "Aguardando Execução na Distribuidora",
A225 = "CAPACITAÇÃO", "Em execução no Corporativo",
TRUE, "Em Execução na Distribuidora"
)</f>
        <v>Em Execução na Distribuidora</v>
      </c>
      <c r="F225" s="4" t="str" cm="1">
        <f t="array" ref="F225">_xlfn.IFS(
AG225 &lt;&gt; "", "Jan-Dez/26",
AH225 &lt;&gt; "", "Fev-Dez/26",
AI225 &lt;&gt; "", "Mar-Dez/26", AJ225 &lt;&gt; "", "Abr-Dez/26",
TRUE, "A partir de Junho"
)</f>
        <v>Jan-Dez/26</v>
      </c>
      <c r="G225" s="10" t="s">
        <v>44</v>
      </c>
      <c r="H225" s="36" t="s">
        <v>44</v>
      </c>
      <c r="I225" s="37"/>
      <c r="J225" s="37"/>
      <c r="K225" s="37"/>
      <c r="L225" s="37" t="s">
        <v>206</v>
      </c>
      <c r="M225" s="37"/>
      <c r="N225" s="5" t="s">
        <v>42</v>
      </c>
      <c r="O225" s="5" t="s">
        <v>52</v>
      </c>
      <c r="P225" s="10" t="s">
        <v>44</v>
      </c>
      <c r="Q225" s="10" t="s">
        <v>44</v>
      </c>
      <c r="R225" s="11" t="s">
        <v>44</v>
      </c>
      <c r="S225" s="11" t="s">
        <v>44</v>
      </c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G225" s="112">
        <v>1.667044530093488</v>
      </c>
      <c r="AH225" s="112">
        <v>5.0011335902804639</v>
      </c>
      <c r="AI225" s="112">
        <v>5.0020619610972972</v>
      </c>
      <c r="AJ225" s="71"/>
      <c r="AK225" s="71"/>
      <c r="AL225" s="71"/>
      <c r="AM225" s="71"/>
      <c r="AN225" s="71"/>
      <c r="AO225" s="71"/>
      <c r="AP225" s="71"/>
      <c r="AQ225" s="71"/>
      <c r="AR225" s="71"/>
      <c r="AS225" s="94"/>
      <c r="AT225" s="95"/>
      <c r="AU225" s="97"/>
      <c r="AW225" s="84">
        <f t="shared" si="523"/>
        <v>1.667044530093488</v>
      </c>
      <c r="AX225" s="84">
        <f t="shared" si="524"/>
        <v>5.0011335902804639</v>
      </c>
      <c r="AY225" s="84">
        <f t="shared" si="525"/>
        <v>5.0020619610972972</v>
      </c>
      <c r="AZ225" s="84"/>
      <c r="BA225" s="84"/>
      <c r="BB225" s="84"/>
      <c r="BC225" s="84"/>
      <c r="BD225" s="84"/>
      <c r="BE225" s="84"/>
      <c r="BF225" s="84"/>
      <c r="BG225" s="84"/>
      <c r="BH225" s="84"/>
      <c r="BI225" s="68" cm="1">
        <f t="array" ref="BI225">IFERROR(INDEX(AW225:BH225,1,MATCH(2,1/(AW225:BH225&lt;&gt;""))),"")</f>
        <v>5.0020619610972972</v>
      </c>
      <c r="BJ225" s="68" cm="1">
        <f t="array" ref="BJ225">IF(BM225 = "", "",IFERROR(INDEX(AW225:BH225,1,MATCH(2,1/(AW225:BH225&lt;&gt;""),1)-1),""))</f>
        <v>5.0011335902804639</v>
      </c>
      <c r="BK225" s="57" cm="1">
        <f t="array" ref="BK225">IFERROR(INDEX(AW225:BH225,1,MATCH(2,1/(AW225:BH225&lt;&gt;""),1)),"")</f>
        <v>5.0020619610972972</v>
      </c>
      <c r="BL225" s="57" cm="1">
        <f t="array" ref="BL225">IF(BM225 = "", "",IFERROR(INDEX(AW225:BH225,1,MATCH(2,1/(AW225:BH225&lt;&gt;""),1)-1),""))</f>
        <v>5.0011335902804639</v>
      </c>
      <c r="BM225" s="55" cm="1">
        <f t="array" ref="BM225">IFERROR(
   INDEX($AW$1:$BH$1,
      _xlfn.AGGREGATE(14, 6, COLUMN($AW$1:$BH$1)/(AW225:BH225&lt;&gt;""), 2) - COLUMN($AW$1) + 1
   ),
"")</f>
        <v>46054</v>
      </c>
      <c r="BN225" s="55" cm="1">
        <f t="array" ref="BN225">IFERROR(INDEX($AW$1:$BH$1,1,MATCH(2,1/(AW225:BH225&lt;&gt;""))),"")</f>
        <v>46082</v>
      </c>
      <c r="BO225" s="53">
        <f ca="1">IFERROR(_xlfn.XLOOKUP(F225,Apuração!A:A,Apuração!C:C)/_xlfn.XLOOKUP(F225,Apuração!A:A,Apuração!B:B),0)</f>
        <v>0.41666666666666669</v>
      </c>
      <c r="BP225" s="53">
        <f ca="1">IFERROR(_xlfn.XLOOKUP(F225,Apuração!A:A,Apuração!D:D)/_xlfn.XLOOKUP(F225,Apuração!A:A,Apuração!B:B),0)</f>
        <v>0.33333333333333331</v>
      </c>
      <c r="BQ225" s="53">
        <f ca="1">IF(BK225&gt;=BO225,0,_xlfn.XLOOKUP(F225,Apuração!A:A,Apuração!B:B)*(BO225 + (1/_xlfn.XLOOKUP(F225,Apuração!A:A,Apuração!B:B)) - BK225))</f>
        <v>0</v>
      </c>
      <c r="BR225" s="85">
        <f t="shared" ca="1" si="526"/>
        <v>0</v>
      </c>
      <c r="BS225" s="53">
        <f ca="1">IFERROR((_xlfn.XLOOKUP(F225,Apuração!A:A,Apuração!C:C)+1)/_xlfn.XLOOKUP(F225,Apuração!A:A,Apuração!B:B),0)</f>
        <v>0.5</v>
      </c>
    </row>
    <row r="226" spans="1:71" ht="25.95" hidden="1" customHeight="1" x14ac:dyDescent="0.3">
      <c r="A226" s="35" t="s">
        <v>44</v>
      </c>
      <c r="B226" s="10" t="s">
        <v>44</v>
      </c>
      <c r="C226" s="5" t="s">
        <v>35</v>
      </c>
      <c r="D226" s="5" t="s">
        <v>36</v>
      </c>
      <c r="E226" s="4" t="str" cm="1">
        <f t="array" ref="E226">_xlfn.IFS(
F226 = "A partir de Abril", "Aguardando Execução na Distribuidora",
A226 = "CAPACITAÇÃO", "Em execução no Corporativo",
TRUE, "Em Execução na Distribuidora"
)</f>
        <v>Em Execução na Distribuidora</v>
      </c>
      <c r="F226" s="4" t="str" cm="1">
        <f t="array" ref="F226">_xlfn.IFS(
AG226 &lt;&gt; "", "Jan-Dez/26",
AH226 &lt;&gt; "", "Fev-Dez/26",
AI226 &lt;&gt; "", "Mar-Dez/26", AJ226 &lt;&gt; "", "Abr-Dez/26",
TRUE, "A partir de Junho"
)</f>
        <v>A partir de Junho</v>
      </c>
      <c r="G226" s="10" t="s">
        <v>44</v>
      </c>
      <c r="H226" s="36" t="s">
        <v>44</v>
      </c>
      <c r="I226" s="37"/>
      <c r="J226" s="37"/>
      <c r="K226" s="37"/>
      <c r="L226" s="37" t="s">
        <v>207</v>
      </c>
      <c r="M226" s="37"/>
      <c r="N226" s="5" t="s">
        <v>42</v>
      </c>
      <c r="O226" s="5" t="s">
        <v>52</v>
      </c>
      <c r="P226" s="10" t="s">
        <v>44</v>
      </c>
      <c r="Q226" s="10" t="s">
        <v>44</v>
      </c>
      <c r="R226" s="11" t="s">
        <v>44</v>
      </c>
      <c r="S226" s="11" t="s">
        <v>44</v>
      </c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94"/>
      <c r="AT226" s="95"/>
      <c r="AU226" s="97"/>
      <c r="AW226" s="84">
        <f t="shared" si="502"/>
        <v>0</v>
      </c>
      <c r="AX226" s="84">
        <f t="shared" si="524"/>
        <v>0</v>
      </c>
      <c r="AY226" s="84">
        <f t="shared" si="525"/>
        <v>0</v>
      </c>
      <c r="AZ226" s="84">
        <f t="shared" ref="AZ226" si="527">AJ226</f>
        <v>0</v>
      </c>
      <c r="BA226" s="84"/>
      <c r="BB226" s="84"/>
      <c r="BC226" s="84"/>
      <c r="BD226" s="84"/>
      <c r="BE226" s="84"/>
      <c r="BF226" s="84"/>
      <c r="BG226" s="84"/>
      <c r="BH226" s="84"/>
      <c r="BI226" s="68" cm="1">
        <f t="array" ref="BI226">IFERROR(INDEX(AW226:BH226,1,MATCH(2,1/(AW226:BH226&lt;&gt;""))),"")</f>
        <v>0</v>
      </c>
      <c r="BJ226" s="68" cm="1">
        <f t="array" ref="BJ226">IF(BM226 = "", "",IFERROR(INDEX(AW226:BH226,1,MATCH(2,1/(AW226:BH226&lt;&gt;""),1)-1),""))</f>
        <v>0</v>
      </c>
      <c r="BK226" s="57" cm="1">
        <f t="array" ref="BK226">IFERROR(INDEX(AW226:BH226,1,MATCH(2,1/(AW226:BH226&lt;&gt;""),1)),"")</f>
        <v>0</v>
      </c>
      <c r="BL226" s="57" cm="1">
        <f t="array" ref="BL226">IF(BM226 = "", "",IFERROR(INDEX(AW226:BH226,1,MATCH(2,1/(AW226:BH226&lt;&gt;""),1)-1),""))</f>
        <v>0</v>
      </c>
      <c r="BM226" s="55" cm="1">
        <f t="array" ref="BM226">IFERROR(
   INDEX($AW$1:$BH$1,
      _xlfn.AGGREGATE(14, 6, COLUMN($AW$1:$BH$1)/(AW226:BH226&lt;&gt;""), 2) - COLUMN($AW$1) + 1
   ),
"")</f>
        <v>46082</v>
      </c>
      <c r="BN226" s="55" cm="1">
        <f t="array" ref="BN226">IFERROR(INDEX($AW$1:$BH$1,1,MATCH(2,1/(AW226:BH226&lt;&gt;""))),"")</f>
        <v>46113</v>
      </c>
      <c r="BO226" s="53">
        <f ca="1">IFERROR(_xlfn.XLOOKUP(F226,Apuração!A:A,Apuração!C:C)/_xlfn.XLOOKUP(F226,Apuração!A:A,Apuração!B:B),0)</f>
        <v>0</v>
      </c>
      <c r="BP226" s="53">
        <f ca="1">IFERROR(_xlfn.XLOOKUP(F226,Apuração!A:A,Apuração!D:D)/_xlfn.XLOOKUP(F226,Apuração!A:A,Apuração!B:B),0)</f>
        <v>0</v>
      </c>
      <c r="BQ226" s="53">
        <f ca="1">IF(BK226&gt;=BO226,0,_xlfn.XLOOKUP(F226,Apuração!A:A,Apuração!B:B)*(BO226 + (1/_xlfn.XLOOKUP(F226,Apuração!A:A,Apuração!B:B)) - BK226))</f>
        <v>0</v>
      </c>
      <c r="BR226" s="85">
        <f t="shared" ca="1" si="494"/>
        <v>0</v>
      </c>
      <c r="BS226" s="53">
        <f ca="1">IFERROR((_xlfn.XLOOKUP(F226,Apuração!A:A,Apuração!C:C)+1)/_xlfn.XLOOKUP(F226,Apuração!A:A,Apuração!B:B),0)</f>
        <v>0.14285714285714285</v>
      </c>
    </row>
    <row r="227" spans="1:71" ht="25.95" hidden="1" customHeight="1" x14ac:dyDescent="0.3">
      <c r="A227" s="35" t="s">
        <v>44</v>
      </c>
      <c r="B227" s="10" t="s">
        <v>44</v>
      </c>
      <c r="C227" s="5" t="s">
        <v>35</v>
      </c>
      <c r="D227" s="5" t="s">
        <v>47</v>
      </c>
      <c r="E227" s="4" t="str" cm="1">
        <f t="array" ref="E227">_xlfn.IFS(
F227 = "A partir de Abril", "Aguardando Execução na Distribuidora",
A227 = "CAPACITAÇÃO", "Em execução no Corporativo",
TRUE, "Em Execução na Distribuidora"
)</f>
        <v>Em Execução na Distribuidora</v>
      </c>
      <c r="F227" s="4" t="str" cm="1">
        <f t="array" ref="F227">_xlfn.IFS(
AG227 &lt;&gt; "", "Jan-Dez/26",
AH227 &lt;&gt; "", "Fev-Dez/26",
AI227 &lt;&gt; "", "Mar-Dez/26", AJ227 &lt;&gt; "", "Abr-Dez/26",
TRUE, "A partir de Junho"
)</f>
        <v>A partir de Junho</v>
      </c>
      <c r="G227" s="10" t="s">
        <v>44</v>
      </c>
      <c r="H227" s="36" t="s">
        <v>44</v>
      </c>
      <c r="I227" s="37"/>
      <c r="J227" s="37"/>
      <c r="K227" s="37"/>
      <c r="L227" s="37" t="s">
        <v>207</v>
      </c>
      <c r="M227" s="37"/>
      <c r="N227" s="5" t="s">
        <v>42</v>
      </c>
      <c r="O227" s="5" t="s">
        <v>52</v>
      </c>
      <c r="P227" s="10" t="s">
        <v>44</v>
      </c>
      <c r="Q227" s="10" t="s">
        <v>44</v>
      </c>
      <c r="R227" s="11" t="s">
        <v>44</v>
      </c>
      <c r="S227" s="11" t="s">
        <v>44</v>
      </c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94"/>
      <c r="AT227" s="95"/>
      <c r="AU227" s="97"/>
      <c r="AW227" s="84">
        <f t="shared" ref="AW227:AW228" si="528">AG227</f>
        <v>0</v>
      </c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68" cm="1">
        <f t="array" ref="BI227">IFERROR(INDEX(AW227:BH227,1,MATCH(2,1/(AW227:BH227&lt;&gt;""))),"")</f>
        <v>0</v>
      </c>
      <c r="BJ227" s="68" t="str" cm="1">
        <f t="array" ref="BJ227">IF(BM227 = "", "",IFERROR(INDEX(AW227:BH227,1,MATCH(2,1/(AW227:BH227&lt;&gt;""),1)-1),""))</f>
        <v/>
      </c>
      <c r="BK227" s="57" cm="1">
        <f t="array" ref="BK227">IFERROR(INDEX(AW227:BH227,1,MATCH(2,1/(AW227:BH227&lt;&gt;""),1)),"")</f>
        <v>0</v>
      </c>
      <c r="BL227" s="57" t="str" cm="1">
        <f t="array" ref="BL227">IF(BM227 = "", "",IFERROR(INDEX(AW227:BH227,1,MATCH(2,1/(AW227:BH227&lt;&gt;""),1)-1),""))</f>
        <v/>
      </c>
      <c r="BM227" s="55" t="str" cm="1">
        <f t="array" ref="BM227">IFERROR(
   INDEX($AW$1:$BH$1,
      _xlfn.AGGREGATE(14, 6, COLUMN($AW$1:$BH$1)/(AW227:BH227&lt;&gt;""), 2) - COLUMN($AW$1) + 1
   ),
"")</f>
        <v/>
      </c>
      <c r="BN227" s="55" cm="1">
        <f t="array" ref="BN227">IFERROR(INDEX($AW$1:$BH$1,1,MATCH(2,1/(AW227:BH227&lt;&gt;""))),"")</f>
        <v>46023</v>
      </c>
      <c r="BO227" s="53">
        <f ca="1">IFERROR(_xlfn.XLOOKUP(F227,Apuração!A:A,Apuração!C:C)/_xlfn.XLOOKUP(F227,Apuração!A:A,Apuração!B:B),0)</f>
        <v>0</v>
      </c>
      <c r="BP227" s="53">
        <f ca="1">IFERROR(_xlfn.XLOOKUP(F227,Apuração!A:A,Apuração!D:D)/_xlfn.XLOOKUP(F227,Apuração!A:A,Apuração!B:B),0)</f>
        <v>0</v>
      </c>
      <c r="BQ227" s="53">
        <f ca="1">IF(BK227&gt;=BO227,0,_xlfn.XLOOKUP(F227,Apuração!A:A,Apuração!B:B)*(BO227 + (1/_xlfn.XLOOKUP(F227,Apuração!A:A,Apuração!B:B)) - BK227))</f>
        <v>0</v>
      </c>
      <c r="BR227" s="85">
        <f t="shared" ref="BR227:BR228" ca="1" si="529">IF(BQ227=0,0,BQ227*Z227)</f>
        <v>0</v>
      </c>
      <c r="BS227" s="53">
        <f ca="1">IFERROR((_xlfn.XLOOKUP(F227,Apuração!A:A,Apuração!C:C)+1)/_xlfn.XLOOKUP(F227,Apuração!A:A,Apuração!B:B),0)</f>
        <v>0.14285714285714285</v>
      </c>
    </row>
    <row r="228" spans="1:71" ht="25.95" hidden="1" customHeight="1" x14ac:dyDescent="0.3">
      <c r="A228" s="35" t="s">
        <v>44</v>
      </c>
      <c r="B228" s="10" t="s">
        <v>44</v>
      </c>
      <c r="C228" s="5" t="s">
        <v>35</v>
      </c>
      <c r="D228" s="5" t="s">
        <v>48</v>
      </c>
      <c r="E228" s="4" t="str" cm="1">
        <f t="array" ref="E228">_xlfn.IFS(
F228 = "A partir de Abril", "Aguardando Execução na Distribuidora",
A228 = "CAPACITAÇÃO", "Em execução no Corporativo",
TRUE, "Em Execução na Distribuidora"
)</f>
        <v>Em Execução na Distribuidora</v>
      </c>
      <c r="F228" s="4" t="str" cm="1">
        <f t="array" ref="F228">_xlfn.IFS(
AG228 &lt;&gt; "", "Jan-Dez/26",
AH228 &lt;&gt; "", "Fev-Dez/26",
AI228 &lt;&gt; "", "Mar-Dez/26", AJ228 &lt;&gt; "", "Abr-Dez/26",
TRUE, "A partir de Junho"
)</f>
        <v>A partir de Junho</v>
      </c>
      <c r="G228" s="10" t="s">
        <v>44</v>
      </c>
      <c r="H228" s="36" t="s">
        <v>44</v>
      </c>
      <c r="I228" s="37"/>
      <c r="J228" s="37"/>
      <c r="K228" s="37"/>
      <c r="L228" s="37" t="s">
        <v>207</v>
      </c>
      <c r="M228" s="37"/>
      <c r="N228" s="5" t="s">
        <v>42</v>
      </c>
      <c r="O228" s="5" t="s">
        <v>52</v>
      </c>
      <c r="P228" s="10" t="s">
        <v>44</v>
      </c>
      <c r="Q228" s="10" t="s">
        <v>44</v>
      </c>
      <c r="R228" s="11" t="s">
        <v>44</v>
      </c>
      <c r="S228" s="11" t="s">
        <v>44</v>
      </c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94"/>
      <c r="AT228" s="95"/>
      <c r="AU228" s="97"/>
      <c r="AW228" s="84">
        <f t="shared" si="528"/>
        <v>0</v>
      </c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68" cm="1">
        <f t="array" ref="BI228">IFERROR(INDEX(AW228:BH228,1,MATCH(2,1/(AW228:BH228&lt;&gt;""))),"")</f>
        <v>0</v>
      </c>
      <c r="BJ228" s="68" t="str" cm="1">
        <f t="array" ref="BJ228">IF(BM228 = "", "",IFERROR(INDEX(AW228:BH228,1,MATCH(2,1/(AW228:BH228&lt;&gt;""),1)-1),""))</f>
        <v/>
      </c>
      <c r="BK228" s="57" cm="1">
        <f t="array" ref="BK228">IFERROR(INDEX(AW228:BH228,1,MATCH(2,1/(AW228:BH228&lt;&gt;""),1)),"")</f>
        <v>0</v>
      </c>
      <c r="BL228" s="57" t="str" cm="1">
        <f t="array" ref="BL228">IF(BM228 = "", "",IFERROR(INDEX(AW228:BH228,1,MATCH(2,1/(AW228:BH228&lt;&gt;""),1)-1),""))</f>
        <v/>
      </c>
      <c r="BM228" s="55" t="str" cm="1">
        <f t="array" ref="BM228">IFERROR(
   INDEX($AW$1:$BH$1,
      _xlfn.AGGREGATE(14, 6, COLUMN($AW$1:$BH$1)/(AW228:BH228&lt;&gt;""), 2) - COLUMN($AW$1) + 1
   ),
"")</f>
        <v/>
      </c>
      <c r="BN228" s="55" cm="1">
        <f t="array" ref="BN228">IFERROR(INDEX($AW$1:$BH$1,1,MATCH(2,1/(AW228:BH228&lt;&gt;""))),"")</f>
        <v>46023</v>
      </c>
      <c r="BO228" s="53">
        <f ca="1">IFERROR(_xlfn.XLOOKUP(F228,Apuração!A:A,Apuração!C:C)/_xlfn.XLOOKUP(F228,Apuração!A:A,Apuração!B:B),0)</f>
        <v>0</v>
      </c>
      <c r="BP228" s="53">
        <f ca="1">IFERROR(_xlfn.XLOOKUP(F228,Apuração!A:A,Apuração!D:D)/_xlfn.XLOOKUP(F228,Apuração!A:A,Apuração!B:B),0)</f>
        <v>0</v>
      </c>
      <c r="BQ228" s="53">
        <f ca="1">IF(BK228&gt;=BO228,0,_xlfn.XLOOKUP(F228,Apuração!A:A,Apuração!B:B)*(BO228 + (1/_xlfn.XLOOKUP(F228,Apuração!A:A,Apuração!B:B)) - BK228))</f>
        <v>0</v>
      </c>
      <c r="BR228" s="85">
        <f t="shared" ca="1" si="529"/>
        <v>0</v>
      </c>
      <c r="BS228" s="53">
        <f ca="1">IFERROR((_xlfn.XLOOKUP(F228,Apuração!A:A,Apuração!C:C)+1)/_xlfn.XLOOKUP(F228,Apuração!A:A,Apuração!B:B),0)</f>
        <v>0.14285714285714285</v>
      </c>
    </row>
    <row r="229" spans="1:71" ht="25.95" hidden="1" customHeight="1" x14ac:dyDescent="0.3">
      <c r="A229" s="35" t="s">
        <v>44</v>
      </c>
      <c r="B229" s="10" t="s">
        <v>44</v>
      </c>
      <c r="C229" s="5" t="s">
        <v>35</v>
      </c>
      <c r="D229" s="5" t="s">
        <v>36</v>
      </c>
      <c r="E229" s="4" t="str" cm="1">
        <f t="array" ref="E229">_xlfn.IFS(
F229 = "A partir de Abril", "Aguardando Execução na Distribuidora",
A229 = "CAPACITAÇÃO", "Em execução no Corporativo",
TRUE, "Em Execução na Distribuidora"
)</f>
        <v>Em Execução na Distribuidora</v>
      </c>
      <c r="F229" s="4" t="str" cm="1">
        <f t="array" ref="F229">_xlfn.IFS(
AG229 &lt;&gt; "", "Jan-Dez/26",
AH229 &lt;&gt; "", "Fev-Dez/26",
AI229 &lt;&gt; "", "Mar-Dez/26", AJ229 &lt;&gt; "", "Abr-Dez/26",
TRUE, "A partir de Junho"
)</f>
        <v>Jan-Dez/26</v>
      </c>
      <c r="G229" s="10" t="s">
        <v>44</v>
      </c>
      <c r="H229" s="36" t="s">
        <v>44</v>
      </c>
      <c r="I229" s="37"/>
      <c r="J229" s="37"/>
      <c r="K229" s="37"/>
      <c r="L229" s="37" t="s">
        <v>208</v>
      </c>
      <c r="M229" s="37"/>
      <c r="N229" s="5" t="s">
        <v>42</v>
      </c>
      <c r="O229" s="5" t="s">
        <v>52</v>
      </c>
      <c r="P229" s="10" t="s">
        <v>44</v>
      </c>
      <c r="Q229" s="10" t="s">
        <v>44</v>
      </c>
      <c r="R229" s="11" t="s">
        <v>44</v>
      </c>
      <c r="S229" s="11" t="s">
        <v>44</v>
      </c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G229" s="112">
        <v>152.26664301851599</v>
      </c>
      <c r="AH229" s="112">
        <v>127.61032041917332</v>
      </c>
      <c r="AI229" s="112">
        <v>115.00964653027805</v>
      </c>
      <c r="AJ229" s="112">
        <v>157.88999999999999</v>
      </c>
      <c r="AK229" s="112"/>
      <c r="AL229" s="112"/>
      <c r="AM229" s="112"/>
      <c r="AN229" s="112"/>
      <c r="AO229" s="112"/>
      <c r="AP229" s="112"/>
      <c r="AQ229" s="112"/>
      <c r="AR229" s="112"/>
      <c r="AS229" s="94"/>
      <c r="AT229" s="95"/>
      <c r="AU229" s="97"/>
      <c r="AW229" s="84">
        <f t="shared" ref="AW229" si="530">AG229</f>
        <v>152.26664301851599</v>
      </c>
      <c r="AX229" s="84">
        <f t="shared" ref="AX229" si="531">AH229</f>
        <v>127.61032041917332</v>
      </c>
      <c r="AY229" s="84">
        <f t="shared" ref="AY229:AZ229" si="532">AI229</f>
        <v>115.00964653027805</v>
      </c>
      <c r="AZ229" s="84">
        <f t="shared" si="532"/>
        <v>157.88999999999999</v>
      </c>
      <c r="BA229" s="84"/>
      <c r="BB229" s="84"/>
      <c r="BC229" s="84"/>
      <c r="BD229" s="84"/>
      <c r="BE229" s="84"/>
      <c r="BF229" s="84"/>
      <c r="BG229" s="84"/>
      <c r="BH229" s="84"/>
      <c r="BI229" s="68" cm="1">
        <f t="array" ref="BI229">IFERROR(INDEX(AW229:BH229,1,MATCH(2,1/(AW229:BH229&lt;&gt;""))),"")</f>
        <v>157.88999999999999</v>
      </c>
      <c r="BJ229" s="68" cm="1">
        <f t="array" ref="BJ229">IF(BM229 = "", "",IFERROR(INDEX(AW229:BH229,1,MATCH(2,1/(AW229:BH229&lt;&gt;""),1)-1),""))</f>
        <v>115.00964653027805</v>
      </c>
      <c r="BK229" s="57" cm="1">
        <f t="array" ref="BK229">IFERROR(INDEX(AW229:BH229,1,MATCH(2,1/(AW229:BH229&lt;&gt;""),1)),"")</f>
        <v>157.88999999999999</v>
      </c>
      <c r="BL229" s="57" cm="1">
        <f t="array" ref="BL229">IF(BM229 = "", "",IFERROR(INDEX(AW229:BH229,1,MATCH(2,1/(AW229:BH229&lt;&gt;""),1)-1),""))</f>
        <v>115.00964653027805</v>
      </c>
      <c r="BM229" s="55" cm="1">
        <f t="array" ref="BM229">IFERROR(
   INDEX($AW$1:$BH$1,
      _xlfn.AGGREGATE(14, 6, COLUMN($AW$1:$BH$1)/(AW229:BH229&lt;&gt;""), 2) - COLUMN($AW$1) + 1
   ),
"")</f>
        <v>46082</v>
      </c>
      <c r="BN229" s="55" cm="1">
        <f t="array" ref="BN229">IFERROR(INDEX($AW$1:$BH$1,1,MATCH(2,1/(AW229:BH229&lt;&gt;""))),"")</f>
        <v>46113</v>
      </c>
      <c r="BO229" s="53">
        <f ca="1">IFERROR(_xlfn.XLOOKUP(F229,Apuração!A:A,Apuração!C:C)/_xlfn.XLOOKUP(F229,Apuração!A:A,Apuração!B:B),0)</f>
        <v>0.41666666666666669</v>
      </c>
      <c r="BP229" s="53">
        <f ca="1">IFERROR(_xlfn.XLOOKUP(F229,Apuração!A:A,Apuração!D:D)/_xlfn.XLOOKUP(F229,Apuração!A:A,Apuração!B:B),0)</f>
        <v>0.33333333333333331</v>
      </c>
      <c r="BQ229" s="53">
        <f ca="1">IF(BK229&gt;=BO229,0,_xlfn.XLOOKUP(F229,Apuração!A:A,Apuração!B:B)*(BO229 + (1/_xlfn.XLOOKUP(F229,Apuração!A:A,Apuração!B:B)) - BK229))</f>
        <v>0</v>
      </c>
      <c r="BR229" s="85">
        <f t="shared" ca="1" si="494"/>
        <v>0</v>
      </c>
      <c r="BS229" s="53">
        <f ca="1">IFERROR((_xlfn.XLOOKUP(F229,Apuração!A:A,Apuração!C:C)+1)/_xlfn.XLOOKUP(F229,Apuração!A:A,Apuração!B:B),0)</f>
        <v>0.5</v>
      </c>
    </row>
    <row r="230" spans="1:71" ht="25.95" hidden="1" customHeight="1" x14ac:dyDescent="0.3">
      <c r="A230" s="3" t="s">
        <v>33</v>
      </c>
      <c r="B230" s="4" t="s">
        <v>34</v>
      </c>
      <c r="C230" s="5" t="s">
        <v>95</v>
      </c>
      <c r="D230" s="5" t="s">
        <v>36</v>
      </c>
      <c r="E230" s="4" t="str" cm="1">
        <f t="array" ref="E230">_xlfn.IFS(
F230 = "A partir de Abril", "Aguardando Execução na Distribuidora",
A230 = "CAPACITAÇÃO", "Em execução no Corporativo",
TRUE, "Em Execução na Distribuidora"
)</f>
        <v>Em Execução na Distribuidora</v>
      </c>
      <c r="F230" s="4" t="str" cm="1">
        <f t="array" ref="F230">_xlfn.IFS(
AG230 &lt;&gt; "", "Jan-Dez/26",
AH230 &lt;&gt; "", "Fev-Dez/26",
AI230 &lt;&gt; "", "Mar-Dez/26", AJ230 &lt;&gt; "", "Abr-Dez/26",
TRUE, "A partir de Junho"
)</f>
        <v>A partir de Junho</v>
      </c>
      <c r="G230" s="6" t="s">
        <v>62</v>
      </c>
      <c r="H230" s="7" t="s">
        <v>54</v>
      </c>
      <c r="I230" s="8" t="s">
        <v>39</v>
      </c>
      <c r="J230" s="8" t="str" cm="1">
        <f t="array" aca="1" ref="J230" ca="1">_xlfn.LET(
  _xlpm.actual_value_month, INDEX(T230:AE230, MATCH(DATE(YEAR(TODAY()), MONTH(TODAY()), 1), $T$1:$AE$1, 0)),
  IF(_xlpm.actual_value_month &lt;&gt; "",_xlpm.actual_value_month &amp; " soluções mensais", "")
)</f>
        <v/>
      </c>
      <c r="K230" s="8" t="str" cm="1">
        <f t="array" ref="K230">_xlfn.LET(
    _xlpm.sum_month, SUM(T230:AE230),
    IF(_xlpm.sum_month = 0, "", _xlpm.sum_month &amp; " soluções implementadas no ano")
)</f>
        <v/>
      </c>
      <c r="L230" s="9" t="s">
        <v>40</v>
      </c>
      <c r="M230" s="9" t="s">
        <v>41</v>
      </c>
      <c r="N230" s="5" t="s">
        <v>42</v>
      </c>
      <c r="O230" s="5" t="s">
        <v>43</v>
      </c>
      <c r="P230" s="10" t="s">
        <v>44</v>
      </c>
      <c r="Q230" s="10" t="s">
        <v>44</v>
      </c>
      <c r="R230" s="11" t="s">
        <v>45</v>
      </c>
      <c r="S230" s="11" t="s">
        <v>46</v>
      </c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94">
        <f t="shared" ref="AS230:AS245" ca="1" si="533">IF(MONTH(TODAY())=3,SUM(T230:U230),IF(MONTH(TODAY())=4,SUM(T230:V230),IF(MONTH(TODAY())=5,SUM(T230:W230),IF(MONTH(TODAY())=6,SUM(T230:X230),IF(MONTH(TODAY())=7,SUM(T230:Y230),IF(MONTH(TODAY())=8,SUM(T230:Z230),IF(MONTH(TODAY())=9,SUM(T230:AA230),IF(MONTH(TODAY())=10,SUM(T230:AB230),IF(MONTH(TODAY())=11,SUM(T230:AC230),IF(MONTH(TODAY())=12,SUM(T230:AD230),IF(MONTH(TODAY())=1,SUM(T230:AE230),T230)))))))))))</f>
        <v>0</v>
      </c>
      <c r="AT230" s="95">
        <f>SUM(IF(AW230&lt;1.15,AG230,1.15*T230),IF(AX230&lt;1.15,AH230,1.15*U230),IF(AY230&lt;1.15,AI230,1.15*V230),IF(AZ230&lt;1.15,AJ230,1.15*W230),IF(BA230&lt;1.15,AK230,1.15*X230),IF(BB230&lt;1.15,AL230,1.15*Y230),IF(BC230&lt;1.15,AM230,1.15*Z230),IF(BD230&lt;1.15,AN230,1.15*AA230),IF(BE230&lt;1.15,AO230,1.15*AB230),IF(BF230&lt;1.15,AP230,1.15*AC230),IF(BG230&lt;1.15,AQ230,1.15*AD230),IF(BH230&lt;1.15,AR230,1.15*AE230))</f>
        <v>0</v>
      </c>
      <c r="AU230" s="97">
        <f t="shared" ref="AU230:AU245" si="534">SUM(AG230:AR230)</f>
        <v>0</v>
      </c>
      <c r="AW230" s="51">
        <f>IFERROR(IF(AG230="",0,AG230/T230),0)</f>
        <v>0</v>
      </c>
      <c r="AX230" s="51">
        <f>IFERROR(IF(AH230="",0,AH230/U230),0)</f>
        <v>0</v>
      </c>
      <c r="AY230" s="51">
        <f>IFERROR(IF(AI230="",0,AI230/V230),0)</f>
        <v>0</v>
      </c>
      <c r="AZ230" s="51">
        <f>IFERROR(IF(AJ230="",0,AJ230/W230),0)</f>
        <v>0</v>
      </c>
      <c r="BA230" s="51"/>
      <c r="BB230" s="51"/>
      <c r="BC230" s="51"/>
      <c r="BD230" s="51"/>
      <c r="BE230" s="51"/>
      <c r="BF230" s="51"/>
      <c r="BG230" s="51"/>
      <c r="BH230" s="51"/>
      <c r="BI230" s="65" cm="1">
        <f t="array" ref="BI230">IFERROR(INDEX(AW230:BH230,1,MATCH(2,1/(AW230:BH230&lt;&gt;""))),"")</f>
        <v>0</v>
      </c>
      <c r="BJ230" s="68" cm="1">
        <f t="array" ref="BJ230">IF(BM230 = "", "",IFERROR(INDEX(AW230:BH230,1,MATCH(2,1/(AW230:BH230&lt;&gt;""),1)-1),""))</f>
        <v>0</v>
      </c>
      <c r="BK230" s="58">
        <f>IF((IF(AW230&gt;=115%,115%,AW230) + IF(AX230&gt;=115%,115%,AX230) + IF(AY230&gt;=115%,115%,AY230) + (IF(AZ230&gt;=115%,115%,AZ230) + IF(BA230&gt;=115%,115%,BA230) + IF(BB230&gt;=115%,115%,BB230) + IF(BC230&gt;=115%,115%,BC230) + IF(BD230&gt;=115%,115%,BD230) + IF(BE230&gt;=115%,115%,BE230) + IF(BF230&gt;=115%,115%,BF230) + IF(BG230&gt;=115%,115%,BG230) + IF(BH230&gt;=115%,115%,BH230)))/_xlfn.XLOOKUP(F230,Apuração!A:A,Apuração!B:B)&gt;=1.15,1.15,((IF(AZ230&gt;=115%,115%,AZ230) + IF(AX230&gt;=115%,115%,AX230) + IF(AY230&gt;=115%,115%,AY230) + (IF(AW230&gt;=115%,115%,AW230) + IF(BA230&gt;=115%,115%,BA230) + IF(BB230&gt;=115%,115%,BB230) + IF(BC230&gt;=115%,115%,BC230) + IF(BD230&gt;=115%,115%,BD230) + IF(BE230&gt;=115%,115%,BE230) + IF(BF230&gt;=115%,115%,BF230) + IF(BG230&gt;=115%,115%,BG230) + IF(BH230&gt;=115%,115%,BH230)))/_xlfn.XLOOKUP(F230,Apuração!A:A,Apuração!B:B)))</f>
        <v>0</v>
      </c>
      <c r="BL230" s="58" cm="1">
        <f t="array" aca="1" ref="BL230" ca="1">IF(SUM(IFERROR(IF(INDEX(AW230:INDEX(AW230:BH230, MATCH(2, 1/(AW230:BH230&lt;&gt;""), 1)-1), ROW(INDIRECT("1:" &amp; MATCH(2, 1/(AW230:BH230&lt;&gt;""), 1)-1))) &gt;= 115%, 115%, INDEX(AW230:INDEX(AW230:BH230, MATCH(2, 1/(AW230:BH230&lt;&gt;""), 1)-1), ROW(INDIRECT("1:" &amp; MATCH(2, 1/(AW230:BH230&lt;&gt;""), 1)-1)))), 0))/_xlfn.XLOOKUP(F230,Apuração!A:A,Apuração!B:B)&gt;=1.15,1.15,SUM(IFERROR(IF(INDEX(AW230:INDEX(AW230:BH230, MATCH(2, 1/(AW230:BH230&lt;&gt;""), 1)-1), ROW(INDIRECT("1:" &amp; MATCH(2, 1/(AW230:BH230&lt;&gt;""), 1)-1))) &gt;= 115%, 115%, INDEX(AW230:INDEX(AW230:BH230, MATCH(2, 1/(AW230:BH230&lt;&gt;""), 1)-1), ROW(INDIRECT("1:" &amp; MATCH(2, 1/(AW230:BH230&lt;&gt;""), 1)-1)))), 0))/_xlfn.XLOOKUP(F230,Apuração!A:A,Apuração!B:B))</f>
        <v>0</v>
      </c>
      <c r="BM230" s="55" cm="1">
        <f t="array" ref="BM230">IFERROR(
   INDEX($AW$1:$BH$1,
      _xlfn.AGGREGATE(14, 6, COLUMN($AW$1:$BH$1)/(AW230:BH230&lt;&gt;""), 2) - COLUMN($AW$1) + 1
   ),
"")</f>
        <v>46082</v>
      </c>
      <c r="BN230" s="55" cm="1">
        <f t="array" ref="BN230">IFERROR(INDEX($AW$1:$BH$1,1,MATCH(2,1/(AW230:BH230&lt;&gt;""))),"")</f>
        <v>46113</v>
      </c>
      <c r="BO230" s="53">
        <f ca="1">IFERROR(_xlfn.XLOOKUP(F230,Apuração!A:A,Apuração!C:C)/_xlfn.XLOOKUP(F230,Apuração!A:A,Apuração!B:B),0)</f>
        <v>0</v>
      </c>
      <c r="BP230" s="53">
        <f ca="1">IFERROR(_xlfn.XLOOKUP(F230,Apuração!A:A,Apuração!D:D)/_xlfn.XLOOKUP(F230,Apuração!A:A,Apuração!B:B),0)</f>
        <v>0</v>
      </c>
      <c r="BQ230" s="53">
        <f ca="1">IF(BK230&gt;=BO230,0,_xlfn.XLOOKUP(F230,Apuração!A:A,Apuração!B:B)*(BO230 + (1/_xlfn.XLOOKUP(F230,Apuração!A:A,Apuração!B:B)) - BK230))</f>
        <v>0</v>
      </c>
      <c r="BR230" s="85">
        <f t="shared" ca="1" si="494"/>
        <v>0</v>
      </c>
      <c r="BS230" s="53">
        <f ca="1">IFERROR((_xlfn.XLOOKUP(F230,Apuração!A:A,Apuração!C:C)+1)/_xlfn.XLOOKUP(F230,Apuração!A:A,Apuração!B:B),0)</f>
        <v>0.14285714285714285</v>
      </c>
    </row>
    <row r="231" spans="1:71" ht="25.95" hidden="1" customHeight="1" x14ac:dyDescent="0.3">
      <c r="A231" s="39" t="s">
        <v>33</v>
      </c>
      <c r="B231" s="4" t="s">
        <v>34</v>
      </c>
      <c r="C231" s="5" t="s">
        <v>95</v>
      </c>
      <c r="D231" s="5" t="s">
        <v>36</v>
      </c>
      <c r="E231" s="4" t="str" cm="1">
        <f t="array" ref="E231">_xlfn.IFS(
F231 = "A partir de Abril", "Aguardando Execução na Distribuidora",
A231 = "CAPACITAÇÃO", "Em execução no Corporativo",
TRUE, "Em Execução na Distribuidora"
)</f>
        <v>Em Execução na Distribuidora</v>
      </c>
      <c r="F231" s="4" t="str" cm="1">
        <f t="array" ref="F231">_xlfn.IFS(
AG231 &lt;&gt; "", "Jan-Dez/26",
AH231 &lt;&gt; "", "Fev-Dez/26",
AI231 &lt;&gt; "", "Mar-Dez/26", AJ231 &lt;&gt; "", "Abr-Dez/26",
TRUE, "A partir de Junho"
)</f>
        <v>A partir de Junho</v>
      </c>
      <c r="G231" s="6" t="s">
        <v>62</v>
      </c>
      <c r="H231" s="7" t="s">
        <v>54</v>
      </c>
      <c r="I231" s="9" t="s">
        <v>49</v>
      </c>
      <c r="J231" s="8" t="str" cm="1">
        <f t="array" aca="1" ref="J231" ca="1">_xlfn.LET(
  _xlpm.actual_value_month, INDEX(T231:AE231, MATCH(DATE(YEAR(TODAY()), MONTH(TODAY()), 1), $T$1:$AE$1, 0)),
  IF(_xlpm.actual_value_month &lt;&gt; "",_xlpm.actual_value_month &amp; " ações mensais", "")
)</f>
        <v/>
      </c>
      <c r="K231" s="8" t="str" cm="1">
        <f t="array" ref="K231">_xlfn.LET(
    _xlpm.sum_month, SUM(T231:AE231),
    IF(_xlpm.sum_month = 0, "", _xlpm.sum_month &amp; " soluções implementadas no ano")
)</f>
        <v/>
      </c>
      <c r="L231" s="9" t="s">
        <v>50</v>
      </c>
      <c r="M231" s="9"/>
      <c r="N231" s="5" t="s">
        <v>51</v>
      </c>
      <c r="O231" s="5" t="s">
        <v>52</v>
      </c>
      <c r="P231" s="10" t="s">
        <v>44</v>
      </c>
      <c r="Q231" s="10" t="s">
        <v>44</v>
      </c>
      <c r="R231" s="10" t="s">
        <v>44</v>
      </c>
      <c r="S231" s="10" t="s">
        <v>44</v>
      </c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94">
        <f t="shared" ca="1" si="533"/>
        <v>0</v>
      </c>
      <c r="AT231" s="95">
        <f>SUM(AG231:AR231)</f>
        <v>0</v>
      </c>
      <c r="AU231" s="97">
        <f t="shared" si="534"/>
        <v>0</v>
      </c>
      <c r="AW231" s="83">
        <f>AG231</f>
        <v>0</v>
      </c>
      <c r="AX231" s="83">
        <f t="shared" ref="AX231" si="535">AH231</f>
        <v>0</v>
      </c>
      <c r="AY231" s="83">
        <f t="shared" ref="AY231" si="536">AI231</f>
        <v>0</v>
      </c>
      <c r="AZ231" s="83">
        <f t="shared" ref="AZ231" si="537">AJ231</f>
        <v>0</v>
      </c>
      <c r="BA231" s="52"/>
      <c r="BB231" s="52"/>
      <c r="BC231" s="52"/>
      <c r="BD231" s="52"/>
      <c r="BE231" s="52"/>
      <c r="BF231" s="52"/>
      <c r="BG231" s="52"/>
      <c r="BH231" s="52"/>
      <c r="BI231" s="68" cm="1">
        <f t="array" ref="BI231">IFERROR(INDEX(AW231:BH231,1,MATCH(2,1/(AW231:BH231&lt;&gt;""))),"")</f>
        <v>0</v>
      </c>
      <c r="BJ231" s="68" cm="1">
        <f t="array" ref="BJ231">IF(BM231 = "", "",IFERROR(INDEX(AW231:BH231,1,MATCH(2,1/(AW231:BH231&lt;&gt;""),1)-1),""))</f>
        <v>0</v>
      </c>
      <c r="BK231" s="59">
        <f>SUM(AW231:BH231)</f>
        <v>0</v>
      </c>
      <c r="BL231" s="59" cm="1">
        <f t="array" ref="BL231">IFERROR(SUM(AW231:INDEX(AW231:BH231, MATCH(2, 1/(AW231:BH231&lt;&gt;""), 1) - 1))/_xlfn.XLOOKUP(F231,Apuração!A:A,Apuração!B:B),0)</f>
        <v>0</v>
      </c>
      <c r="BM231" s="55" cm="1">
        <f t="array" ref="BM231">IFERROR(
   INDEX($AW$1:$BH$1,
      _xlfn.AGGREGATE(14, 6, COLUMN($AW$1:$BH$1)/(AW231:BH231&lt;&gt;""), 2) - COLUMN($AW$1) + 1
   ),
"")</f>
        <v>46082</v>
      </c>
      <c r="BN231" s="55" cm="1">
        <f t="array" ref="BN231">IFERROR(INDEX($AW$1:$BH$1,1,MATCH(2,1/(AW231:BH231&lt;&gt;""))),"")</f>
        <v>46113</v>
      </c>
      <c r="BO231" s="53">
        <f ca="1">IFERROR(_xlfn.XLOOKUP(F231,Apuração!A:A,Apuração!C:C)/_xlfn.XLOOKUP(F231,Apuração!A:A,Apuração!B:B),0)</f>
        <v>0</v>
      </c>
      <c r="BP231" s="53">
        <f ca="1">IFERROR(_xlfn.XLOOKUP(F231,Apuração!A:A,Apuração!D:D)/_xlfn.XLOOKUP(F231,Apuração!A:A,Apuração!B:B),0)</f>
        <v>0</v>
      </c>
      <c r="BQ231" s="53">
        <f ca="1">IF(BK231&gt;=BO231,0,_xlfn.XLOOKUP(F231,Apuração!A:A,Apuração!B:B)*(BO231 + (1/_xlfn.XLOOKUP(F231,Apuração!A:A,Apuração!B:B)) - BK231))</f>
        <v>0</v>
      </c>
      <c r="BR231" s="85">
        <f t="shared" ca="1" si="494"/>
        <v>0</v>
      </c>
      <c r="BS231" s="53">
        <f ca="1">IFERROR((_xlfn.XLOOKUP(F231,Apuração!A:A,Apuração!C:C)+1)/_xlfn.XLOOKUP(F231,Apuração!A:A,Apuração!B:B),0)</f>
        <v>0.14285714285714285</v>
      </c>
    </row>
    <row r="232" spans="1:71" ht="25.95" hidden="1" customHeight="1" x14ac:dyDescent="0.3">
      <c r="A232" s="3" t="s">
        <v>33</v>
      </c>
      <c r="B232" s="4" t="s">
        <v>53</v>
      </c>
      <c r="C232" s="5" t="s">
        <v>95</v>
      </c>
      <c r="D232" s="5" t="s">
        <v>36</v>
      </c>
      <c r="E232" s="4" t="str" cm="1">
        <f t="array" ref="E232">_xlfn.IFS(
F232 = "A partir de Abril", "Aguardando Execução na Distribuidora",
A232 = "CAPACITAÇÃO", "Em execução no Corporativo",
TRUE, "Em Execução na Distribuidora"
)</f>
        <v>Em Execução na Distribuidora</v>
      </c>
      <c r="F232" s="4" t="str" cm="1">
        <f t="array" ref="F232">_xlfn.IFS(
AG232 &lt;&gt; "", "Jan-Dez/26",
AH232 &lt;&gt; "", "Fev-Dez/26",
AI232 &lt;&gt; "", "Mar-Dez/26", AJ232 &lt;&gt; "", "Abr-Dez/26",
TRUE, "A partir de Junho"
)</f>
        <v>Jan-Dez/26</v>
      </c>
      <c r="G232" s="4" t="s">
        <v>37</v>
      </c>
      <c r="H232" s="7" t="s">
        <v>110</v>
      </c>
      <c r="I232" s="8" t="s">
        <v>55</v>
      </c>
      <c r="J232" s="8" t="str" cm="1">
        <f t="array" aca="1" ref="J232" ca="1">_xlfn.LET(
  _xlpm.actual_value_month, INDEX(T232:AE232, MATCH(DATE(YEAR(TODAY()), MONTH(TODAY()), 1), $T$1:$AE$1, 0)),
  IF(_xlpm.actual_value_month &lt;&gt; "",_xlpm.actual_value_month &amp; " eventos mensais", "")
)</f>
        <v>1 eventos mensais</v>
      </c>
      <c r="K232" s="14" t="str" cm="1">
        <f t="array" ref="K232">_xlfn.LET(
    _xlpm.sum_month, SUM(T232:AE232),
    IF(_xlpm.sum_month = 0, "", _xlpm.sum_month &amp; "  eventos no ano")
)</f>
        <v>15  eventos no ano</v>
      </c>
      <c r="L232" s="9" t="s">
        <v>56</v>
      </c>
      <c r="M232" s="13" t="s">
        <v>57</v>
      </c>
      <c r="N232" s="5" t="s">
        <v>42</v>
      </c>
      <c r="O232" s="5" t="s">
        <v>43</v>
      </c>
      <c r="P232" s="10" t="s">
        <v>58</v>
      </c>
      <c r="Q232" s="10" t="s">
        <v>44</v>
      </c>
      <c r="R232" s="11" t="s">
        <v>45</v>
      </c>
      <c r="S232" s="11" t="s">
        <v>46</v>
      </c>
      <c r="T232" s="22">
        <v>2</v>
      </c>
      <c r="U232" s="22">
        <v>1</v>
      </c>
      <c r="V232" s="22">
        <v>3</v>
      </c>
      <c r="W232" s="22">
        <v>1</v>
      </c>
      <c r="X232" s="22">
        <v>1</v>
      </c>
      <c r="Y232" s="22">
        <v>1</v>
      </c>
      <c r="Z232" s="22">
        <v>1</v>
      </c>
      <c r="AA232" s="22">
        <v>1</v>
      </c>
      <c r="AB232" s="22">
        <v>1</v>
      </c>
      <c r="AC232" s="22">
        <v>1</v>
      </c>
      <c r="AD232" s="22">
        <v>1</v>
      </c>
      <c r="AE232" s="22">
        <v>1</v>
      </c>
      <c r="AG232" s="71">
        <v>2</v>
      </c>
      <c r="AH232" s="71">
        <v>1</v>
      </c>
      <c r="AI232" s="71">
        <v>3</v>
      </c>
      <c r="AJ232" s="138">
        <v>5</v>
      </c>
      <c r="AK232" s="71"/>
      <c r="AL232" s="71"/>
      <c r="AM232" s="71"/>
      <c r="AN232" s="71"/>
      <c r="AO232" s="71"/>
      <c r="AP232" s="71"/>
      <c r="AQ232" s="71"/>
      <c r="AR232" s="71"/>
      <c r="AS232" s="94">
        <f t="shared" ca="1" si="533"/>
        <v>8</v>
      </c>
      <c r="AT232" s="95">
        <f>SUM(IF(AW232&lt;1.15,AG232,1.15*T232),IF(AX232&lt;1.15,AH232,1.15*U232),IF(AY232&lt;1.15,AI232,1.15*V232),IF(AZ232&lt;1.15,AJ232,1.15*W232),IF(BA232&lt;1.15,AK232,1.15*X232),IF(BB232&lt;1.15,AL232,1.15*Y232),IF(BC232&lt;1.15,AM232,1.15*Z232),IF(BD232&lt;1.15,AN232,1.15*AA232),IF(BE232&lt;1.15,AO232,1.15*AB232),IF(BF232&lt;1.15,AP232,1.15*AC232),IF(BG232&lt;1.15,AQ232,1.15*AD232),IF(BH232&lt;1.15,AR232,1.15*AE232))</f>
        <v>7.15</v>
      </c>
      <c r="AU232" s="97">
        <f t="shared" si="534"/>
        <v>11</v>
      </c>
      <c r="AW232" s="51">
        <f>IFERROR(IF(AG232="",0,AG232/T232),0)</f>
        <v>1</v>
      </c>
      <c r="AX232" s="51">
        <f>IFERROR(IF(AH232="",0,AH232/U232),0)</f>
        <v>1</v>
      </c>
      <c r="AY232" s="51">
        <f>IFERROR(IF(AI232="",0,AI232/V232),0)</f>
        <v>1</v>
      </c>
      <c r="AZ232" s="51">
        <f>IFERROR(IF(AJ232="",0,AJ232/W232),0)</f>
        <v>5</v>
      </c>
      <c r="BA232" s="51"/>
      <c r="BB232" s="51"/>
      <c r="BC232" s="51"/>
      <c r="BD232" s="51"/>
      <c r="BE232" s="51"/>
      <c r="BF232" s="51"/>
      <c r="BG232" s="51"/>
      <c r="BH232" s="51"/>
      <c r="BI232" s="65" cm="1">
        <f t="array" ref="BI232">IFERROR(INDEX(AW232:BH232,1,MATCH(2,1/(AW232:BH232&lt;&gt;""))),"")</f>
        <v>5</v>
      </c>
      <c r="BJ232" s="68" cm="1">
        <f t="array" ref="BJ232">IF(BM232 = "", "",IFERROR(INDEX(AW232:BH232,1,MATCH(2,1/(AW232:BH232&lt;&gt;""),1)-1),""))</f>
        <v>1</v>
      </c>
      <c r="BK232" s="58">
        <f>IF((IF(AW232&gt;=115%,115%,AW232) + IF(AX232&gt;=115%,115%,AX232) + IF(AY232&gt;=115%,115%,AY232) + (IF(AZ232&gt;=115%,115%,AZ232) + IF(BA232&gt;=115%,115%,BA232) + IF(BB232&gt;=115%,115%,BB232) + IF(BC232&gt;=115%,115%,BC232) + IF(BD232&gt;=115%,115%,BD232) + IF(BE232&gt;=200%,200%,BE232) + IF(BF232&gt;=185%,185%,BF232) + IF(BG232&gt;=115%,115%,BG232) + IF(BH232&gt;=115%,115%,BH232)))/_xlfn.XLOOKUP(F232,Apuração!A:A,Apuração!B:B)&gt;=1.15,1.15,((IF(AZ232&gt;=115%,115%,AZ232) + IF(AX232&gt;=115%,115%,AX232) + IF(AY232&gt;=115%,115%,AY232) + (IF(AW232&gt;=115%,115%,AW232) + IF(BA232&gt;=115%,115%,BA232) + IF(BB232&gt;=115%,115%,BB232) + IF(BC232&gt;=115%,115%,BC232) + IF(BD232&gt;=115%,115%,BD232) + IF(BE232&gt;=200%,200%,BE232) + IF(BF232&gt;=185%,185%,BF232) + IF(BG232&gt;=115%,115%,BG232) + IF(BH232&gt;=115%,115%,BH232)))/_xlfn.XLOOKUP(F232,Apuração!A:A,Apuração!B:B)))</f>
        <v>0.34583333333333338</v>
      </c>
      <c r="BL232" s="58" cm="1">
        <f t="array" aca="1" ref="BL232" ca="1">IF(SUM(IFERROR(IF(INDEX(AW232:INDEX(AW232:BH232, MATCH(2, 1/(AW232:BH232&lt;&gt;""), 1)-1), ROW(INDIRECT("1:" &amp; MATCH(2, 1/(AW232:BH232&lt;&gt;""), 1)-1))) &gt;= 115%, 115%, INDEX(AW232:INDEX(AW232:BH232, MATCH(2, 1/(AW232:BH232&lt;&gt;""), 1)-1), ROW(INDIRECT("1:" &amp; MATCH(2, 1/(AW232:BH232&lt;&gt;""), 1)-1)))), 0))/_xlfn.XLOOKUP(F232,Apuração!A:A,Apuração!B:B)&gt;=1.15,1.15,SUM(IFERROR(IF(INDEX(AW232:INDEX(AW232:BH232, MATCH(2, 1/(AW232:BH232&lt;&gt;""), 1)-1), ROW(INDIRECT("1:" &amp; MATCH(2, 1/(AW232:BH232&lt;&gt;""), 1)-1))) &gt;= 115%, 115%, INDEX(AW232:INDEX(AW232:BH232, MATCH(2, 1/(AW232:BH232&lt;&gt;""), 1)-1), ROW(INDIRECT("1:" &amp; MATCH(2, 1/(AW232:BH232&lt;&gt;""), 1)-1)))), 0))/_xlfn.XLOOKUP(F232,Apuração!A:A,Apuração!B:B))</f>
        <v>0.25</v>
      </c>
      <c r="BM232" s="55" cm="1">
        <f t="array" ref="BM232">IFERROR(
   INDEX($AW$1:$BH$1,
      _xlfn.AGGREGATE(14, 6, COLUMN($AW$1:$BH$1)/(AW232:BH232&lt;&gt;""), 2) - COLUMN($AW$1) + 1
   ),
"")</f>
        <v>46082</v>
      </c>
      <c r="BN232" s="55" cm="1">
        <f t="array" ref="BN232">IFERROR(INDEX($AW$1:$BH$1,1,MATCH(2,1/(AW232:BH232&lt;&gt;""))),"")</f>
        <v>46113</v>
      </c>
      <c r="BO232" s="53">
        <f ca="1">IFERROR(_xlfn.XLOOKUP(F232,Apuração!A:A,Apuração!C:C)/_xlfn.XLOOKUP(F232,Apuração!A:A,Apuração!B:B),0)</f>
        <v>0.41666666666666669</v>
      </c>
      <c r="BP232" s="53">
        <f ca="1">IFERROR(_xlfn.XLOOKUP(F232,Apuração!A:A,Apuração!D:D)/_xlfn.XLOOKUP(F232,Apuração!A:A,Apuração!B:B),0)</f>
        <v>0.33333333333333331</v>
      </c>
      <c r="BQ232" s="53">
        <f ca="1">IF(BK232&gt;=BO232,0,_xlfn.XLOOKUP(F232,Apuração!A:A,Apuração!B:B)*(BO232 + (1/_xlfn.XLOOKUP(F232,Apuração!A:A,Apuração!B:B)) - BK232))</f>
        <v>1.8499999999999994</v>
      </c>
      <c r="BR232" s="85">
        <f t="shared" ca="1" si="494"/>
        <v>1.8499999999999994</v>
      </c>
      <c r="BS232" s="53">
        <f ca="1">IFERROR((_xlfn.XLOOKUP(F232,Apuração!A:A,Apuração!C:C)+1)/_xlfn.XLOOKUP(F232,Apuração!A:A,Apuração!B:B),0)</f>
        <v>0.5</v>
      </c>
    </row>
    <row r="233" spans="1:71" ht="25.95" hidden="1" customHeight="1" x14ac:dyDescent="0.3">
      <c r="A233" s="39" t="s">
        <v>33</v>
      </c>
      <c r="B233" s="4" t="s">
        <v>53</v>
      </c>
      <c r="C233" s="5" t="s">
        <v>95</v>
      </c>
      <c r="D233" s="5" t="s">
        <v>36</v>
      </c>
      <c r="E233" s="4" t="str" cm="1">
        <f t="array" ref="E233">_xlfn.IFS(
F233 = "A partir de Abril", "Aguardando Execução na Distribuidora",
A233 = "CAPACITAÇÃO", "Em execução no Corporativo",
TRUE, "Em Execução na Distribuidora"
)</f>
        <v>Em Execução na Distribuidora</v>
      </c>
      <c r="F233" s="4" t="str" cm="1">
        <f t="array" ref="F233">_xlfn.IFS(
AG233 &lt;&gt; "", "Jan-Dez/26",
AH233 &lt;&gt; "", "Fev-Dez/26",
AI233 &lt;&gt; "", "Mar-Dez/26", AJ233 &lt;&gt; "", "Abr-Dez/26",
TRUE, "A partir de Junho"
)</f>
        <v>Jan-Dez/26</v>
      </c>
      <c r="G233" s="4" t="s">
        <v>37</v>
      </c>
      <c r="H233" s="7" t="s">
        <v>110</v>
      </c>
      <c r="I233" s="8" t="s">
        <v>59</v>
      </c>
      <c r="J233" s="8" t="str" cm="1">
        <f t="array" aca="1" ref="J233" ca="1">_xlfn.LET(
  _xlpm.actual_value_month, INDEX(T233:AE233, MATCH(DATE(YEAR(TODAY()), MONTH(TODAY()), 1), $T$1:$AE$1, 0)),
  IF(_xlpm.actual_value_month &lt;&gt; "",_xlpm.actual_value_month &amp; " ações mensais", "")
)</f>
        <v/>
      </c>
      <c r="K233" s="12" t="str" cm="1">
        <f t="array" ref="K233">_xlfn.LET(
    _xlpm.sum_month, SUM(T233:AE233),
    IF(_xlpm.sum_month = 0, "", _xlpm.sum_month &amp; " pessoas impactadas no ano")
)</f>
        <v/>
      </c>
      <c r="L233" s="9" t="s">
        <v>59</v>
      </c>
      <c r="M233" s="13">
        <v>1</v>
      </c>
      <c r="N233" s="5" t="s">
        <v>51</v>
      </c>
      <c r="O233" s="5" t="s">
        <v>52</v>
      </c>
      <c r="P233" s="10" t="s">
        <v>44</v>
      </c>
      <c r="Q233" s="10" t="s">
        <v>44</v>
      </c>
      <c r="R233" s="11" t="s">
        <v>44</v>
      </c>
      <c r="S233" s="11" t="s">
        <v>44</v>
      </c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G233" s="71">
        <v>22</v>
      </c>
      <c r="AH233" s="71">
        <v>3</v>
      </c>
      <c r="AI233" s="71">
        <v>30</v>
      </c>
      <c r="AJ233" s="139">
        <v>6</v>
      </c>
      <c r="AK233" s="71"/>
      <c r="AL233" s="71"/>
      <c r="AM233" s="71"/>
      <c r="AN233" s="71"/>
      <c r="AO233" s="71"/>
      <c r="AP233" s="71"/>
      <c r="AQ233" s="71"/>
      <c r="AR233" s="71"/>
      <c r="AS233" s="94">
        <f t="shared" ca="1" si="533"/>
        <v>0</v>
      </c>
      <c r="AT233" s="95">
        <f>SUM(AG233:AR233)</f>
        <v>61</v>
      </c>
      <c r="AU233" s="97">
        <f t="shared" si="534"/>
        <v>61</v>
      </c>
      <c r="AW233" s="83">
        <f>AG233</f>
        <v>22</v>
      </c>
      <c r="AX233" s="83">
        <f t="shared" ref="AX233" si="538">AH233</f>
        <v>3</v>
      </c>
      <c r="AY233" s="83">
        <f t="shared" ref="AY233" si="539">AI233</f>
        <v>30</v>
      </c>
      <c r="AZ233" s="83">
        <f t="shared" ref="AZ233" si="540">AJ233</f>
        <v>6</v>
      </c>
      <c r="BA233" s="52"/>
      <c r="BB233" s="52"/>
      <c r="BC233" s="52"/>
      <c r="BD233" s="52"/>
      <c r="BE233" s="52"/>
      <c r="BF233" s="52"/>
      <c r="BG233" s="52"/>
      <c r="BH233" s="52"/>
      <c r="BI233" s="68" cm="1">
        <f t="array" ref="BI233">IFERROR(INDEX(AW233:BH233,1,MATCH(2,1/(AW233:BH233&lt;&gt;""))),"")</f>
        <v>6</v>
      </c>
      <c r="BJ233" s="68" cm="1">
        <f t="array" ref="BJ233">IF(BM233 = "", "",IFERROR(INDEX(AW233:BH233,1,MATCH(2,1/(AW233:BH233&lt;&gt;""),1)-1),""))</f>
        <v>30</v>
      </c>
      <c r="BK233" s="59">
        <f>SUM(AW233:BH233)</f>
        <v>61</v>
      </c>
      <c r="BL233" s="59" cm="1">
        <f t="array" ref="BL233">IFERROR(SUM(AW233:INDEX(AW233:BH233, MATCH(2, 1/(AW233:BH233&lt;&gt;""), 1) - 1))/_xlfn.XLOOKUP(F233,Apuração!A:A,Apuração!B:B),0)</f>
        <v>4.583333333333333</v>
      </c>
      <c r="BM233" s="55" cm="1">
        <f t="array" ref="BM233">IFERROR(
   INDEX($AW$1:$BH$1,
      _xlfn.AGGREGATE(14, 6, COLUMN($AW$1:$BH$1)/(AW233:BH233&lt;&gt;""), 2) - COLUMN($AW$1) + 1
   ),
"")</f>
        <v>46082</v>
      </c>
      <c r="BN233" s="55" cm="1">
        <f t="array" ref="BN233">IFERROR(INDEX($AW$1:$BH$1,1,MATCH(2,1/(AW233:BH233&lt;&gt;""))),"")</f>
        <v>46113</v>
      </c>
      <c r="BO233" s="53">
        <f ca="1">IFERROR(_xlfn.XLOOKUP(F233,Apuração!A:A,Apuração!C:C)/_xlfn.XLOOKUP(F233,Apuração!A:A,Apuração!B:B),0)</f>
        <v>0.41666666666666669</v>
      </c>
      <c r="BP233" s="53">
        <f ca="1">IFERROR(_xlfn.XLOOKUP(F233,Apuração!A:A,Apuração!D:D)/_xlfn.XLOOKUP(F233,Apuração!A:A,Apuração!B:B),0)</f>
        <v>0.33333333333333331</v>
      </c>
      <c r="BQ233" s="53">
        <f ca="1">IF(BK233&gt;=BO233,0,_xlfn.XLOOKUP(F233,Apuração!A:A,Apuração!B:B)*(BO233 + (1/_xlfn.XLOOKUP(F233,Apuração!A:A,Apuração!B:B)) - BK233))</f>
        <v>0</v>
      </c>
      <c r="BR233" s="85">
        <f t="shared" ca="1" si="494"/>
        <v>0</v>
      </c>
      <c r="BS233" s="53">
        <f ca="1">IFERROR((_xlfn.XLOOKUP(F233,Apuração!A:A,Apuração!C:C)+1)/_xlfn.XLOOKUP(F233,Apuração!A:A,Apuração!B:B),0)</f>
        <v>0.5</v>
      </c>
    </row>
    <row r="234" spans="1:71" ht="25.95" hidden="1" customHeight="1" x14ac:dyDescent="0.3">
      <c r="A234" s="3" t="s">
        <v>33</v>
      </c>
      <c r="B234" s="4" t="s">
        <v>60</v>
      </c>
      <c r="C234" s="5" t="s">
        <v>95</v>
      </c>
      <c r="D234" s="5" t="s">
        <v>36</v>
      </c>
      <c r="E234" s="4" t="s">
        <v>61</v>
      </c>
      <c r="F234" s="4" t="str" cm="1">
        <f t="array" ref="F234">_xlfn.IFS(
AG234 &lt;&gt; "", "Jan-Dez/26",
AH234 &lt;&gt; "", "Fev-Dez/26",
AI234 &lt;&gt; "", "Mar-Dez/26", AJ234 &lt;&gt; "", "Abr-Dez/26",
TRUE, "A partir de Junho"
)</f>
        <v>A partir de Junho</v>
      </c>
      <c r="G234" s="4" t="s">
        <v>62</v>
      </c>
      <c r="H234" s="7" t="s">
        <v>38</v>
      </c>
      <c r="I234" s="8" t="s">
        <v>63</v>
      </c>
      <c r="J234" s="8" t="str" cm="1">
        <f t="array" aca="1" ref="J234" ca="1">_xlfn.LET(
  _xlpm.actual_value_month, INDEX(T234:AE234, MATCH(DATE(YEAR(TODAY()), MONTH(TODAY()), 1), $T$1:$AE$1, 0)),
  IF(_xlpm.actual_value_month &lt;&gt; "",_xlpm.actual_value_month &amp; " ações mensais", "")
)</f>
        <v/>
      </c>
      <c r="K234" s="17" t="str" cm="1">
        <f t="array" ref="K234">_xlfn.LET(
    _xlpm.sum_month, SUM(T234:AE234),
    IF(_xlpm.sum_month = 0, "", _xlpm.sum_month &amp; " eventos realizados")
)</f>
        <v/>
      </c>
      <c r="L234" s="9" t="s">
        <v>64</v>
      </c>
      <c r="M234" s="13" t="s">
        <v>65</v>
      </c>
      <c r="N234" s="5" t="s">
        <v>42</v>
      </c>
      <c r="O234" s="5" t="s">
        <v>43</v>
      </c>
      <c r="P234" s="10" t="s">
        <v>44</v>
      </c>
      <c r="Q234" s="10" t="s">
        <v>44</v>
      </c>
      <c r="R234" s="11" t="s">
        <v>66</v>
      </c>
      <c r="S234" s="11" t="s">
        <v>67</v>
      </c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G234" s="71"/>
      <c r="AH234" s="71"/>
      <c r="AI234" s="71"/>
      <c r="AJ234" s="139"/>
      <c r="AK234" s="71"/>
      <c r="AL234" s="71"/>
      <c r="AM234" s="71"/>
      <c r="AN234" s="71"/>
      <c r="AO234" s="71"/>
      <c r="AP234" s="71"/>
      <c r="AQ234" s="71"/>
      <c r="AR234" s="71"/>
      <c r="AS234" s="94">
        <f t="shared" ca="1" si="533"/>
        <v>0</v>
      </c>
      <c r="AT234" s="95">
        <f>SUM(IF(AW234&lt;1.15,AG234,1.15*T234),IF(AX234&lt;1.15,AH234,1.15*U234),IF(AY234&lt;1.15,AI234,1.15*V234),IF(AZ234&lt;1.15,AJ234,1.15*W234),IF(BA234&lt;1.15,AK234,1.15*X234),IF(BB234&lt;1.15,AL234,1.15*Y234),IF(BC234&lt;1.15,AM234,1.15*Z234),IF(BD234&lt;1.15,AN234,1.15*AA234),IF(BE234&lt;1.15,AO234,1.15*AB234),IF(BF234&lt;1.15,AP234,1.15*AC234),IF(BG234&lt;1.15,AQ234,1.15*AD234),IF(BH234&lt;1.15,AR234,1.15*AE234))</f>
        <v>0</v>
      </c>
      <c r="AU234" s="97">
        <f t="shared" si="534"/>
        <v>0</v>
      </c>
      <c r="AW234" s="51">
        <f>IFERROR(IF(AG234="",0,AG234/T234),0)</f>
        <v>0</v>
      </c>
      <c r="AX234" s="51">
        <f>IFERROR(IF(AH234="",0,AH234/U234),0)</f>
        <v>0</v>
      </c>
      <c r="AY234" s="51">
        <f>IFERROR(IF(AI234="",0,AI234/V234),0)</f>
        <v>0</v>
      </c>
      <c r="AZ234" s="51">
        <f>IFERROR(IF(AJ234="",0,AJ234/W234),0)</f>
        <v>0</v>
      </c>
      <c r="BA234" s="51"/>
      <c r="BB234" s="51"/>
      <c r="BC234" s="51"/>
      <c r="BD234" s="51"/>
      <c r="BE234" s="51"/>
      <c r="BF234" s="51"/>
      <c r="BG234" s="51"/>
      <c r="BH234" s="51"/>
      <c r="BI234" s="65" cm="1">
        <f t="array" ref="BI234">IFERROR(INDEX(AW234:BH234,1,MATCH(2,1/(AW234:BH234&lt;&gt;""))),"")</f>
        <v>0</v>
      </c>
      <c r="BJ234" s="68" cm="1">
        <f t="array" ref="BJ234">IF(BM234 = "", "",IFERROR(INDEX(AW234:BH234,1,MATCH(2,1/(AW234:BH234&lt;&gt;""),1)-1),""))</f>
        <v>0</v>
      </c>
      <c r="BK234" s="58">
        <f>IF((IF(AW234&gt;=115%,115%,AW234) + IF(AX234&gt;=115%,115%,AX234) + IF(AY234&gt;=115%,115%,AY234) + (IF(AZ234&gt;=115%,115%,AZ234) + IF(BA234&gt;=115%,115%,BA234) + IF(BB234&gt;=115%,115%,BB234) + IF(BC234&gt;=115%,115%,BC234) + IF(BD234&gt;=115%,115%,BD234) + IF(BE234&gt;=115%,115%,BE234) + IF(BF234&gt;=115%,115%,BF234) + IF(BG234&gt;=115%,115%,BG234) + IF(BH234&gt;=115%,115%,BH234)))/_xlfn.XLOOKUP(F234,Apuração!A:A,Apuração!B:B)&gt;=1.15,1.15,((IF(AZ234&gt;=115%,115%,AZ234) + IF(AX234&gt;=115%,115%,AX234) + IF(AY234&gt;=115%,115%,AY234) + (IF(AW234&gt;=115%,115%,AW234) + IF(BA234&gt;=115%,115%,BA234) + IF(BB234&gt;=115%,115%,BB234) + IF(BC234&gt;=115%,115%,BC234) + IF(BD234&gt;=115%,115%,BD234) + IF(BE234&gt;=115%,115%,BE234) + IF(BF234&gt;=115%,115%,BF234) + IF(BG234&gt;=115%,115%,BG234) + IF(BH234&gt;=115%,115%,BH234)))/_xlfn.XLOOKUP(F234,Apuração!A:A,Apuração!B:B)))</f>
        <v>0</v>
      </c>
      <c r="BL234" s="58" cm="1">
        <f t="array" aca="1" ref="BL234" ca="1">IF(SUM(IFERROR(IF(INDEX(AW234:INDEX(AW234:BH234, MATCH(2, 1/(AW234:BH234&lt;&gt;""), 1)-1), ROW(INDIRECT("1:" &amp; MATCH(2, 1/(AW234:BH234&lt;&gt;""), 1)-1))) &gt;= 115%, 115%, INDEX(AW234:INDEX(AW234:BH234, MATCH(2, 1/(AW234:BH234&lt;&gt;""), 1)-1), ROW(INDIRECT("1:" &amp; MATCH(2, 1/(AW234:BH234&lt;&gt;""), 1)-1)))), 0))/_xlfn.XLOOKUP(F234,Apuração!A:A,Apuração!B:B)&gt;=1.15,1.15,SUM(IFERROR(IF(INDEX(AW234:INDEX(AW234:BH234, MATCH(2, 1/(AW234:BH234&lt;&gt;""), 1)-1), ROW(INDIRECT("1:" &amp; MATCH(2, 1/(AW234:BH234&lt;&gt;""), 1)-1))) &gt;= 115%, 115%, INDEX(AW234:INDEX(AW234:BH234, MATCH(2, 1/(AW234:BH234&lt;&gt;""), 1)-1), ROW(INDIRECT("1:" &amp; MATCH(2, 1/(AW234:BH234&lt;&gt;""), 1)-1)))), 0))/_xlfn.XLOOKUP(F234,Apuração!A:A,Apuração!B:B))</f>
        <v>0</v>
      </c>
      <c r="BM234" s="55" cm="1">
        <f t="array" ref="BM234">IFERROR(
   INDEX($AW$1:$BH$1,
      _xlfn.AGGREGATE(14, 6, COLUMN($AW$1:$BH$1)/(AW234:BH234&lt;&gt;""), 2) - COLUMN($AW$1) + 1
   ),
"")</f>
        <v>46082</v>
      </c>
      <c r="BN234" s="55" cm="1">
        <f t="array" ref="BN234">IFERROR(INDEX($AW$1:$BH$1,1,MATCH(2,1/(AW234:BH234&lt;&gt;""))),"")</f>
        <v>46113</v>
      </c>
      <c r="BO234" s="53">
        <f ca="1">IFERROR(_xlfn.XLOOKUP(F234,Apuração!A:A,Apuração!C:C)/_xlfn.XLOOKUP(F234,Apuração!A:A,Apuração!B:B),0)</f>
        <v>0</v>
      </c>
      <c r="BP234" s="53">
        <f ca="1">IFERROR(_xlfn.XLOOKUP(F234,Apuração!A:A,Apuração!D:D)/_xlfn.XLOOKUP(F234,Apuração!A:A,Apuração!B:B),0)</f>
        <v>0</v>
      </c>
      <c r="BQ234" s="53">
        <f ca="1">IF(BK234&gt;=BO234,0,_xlfn.XLOOKUP(F234,Apuração!A:A,Apuração!B:B)*(BO234 + (1/_xlfn.XLOOKUP(F234,Apuração!A:A,Apuração!B:B)) - BK234))</f>
        <v>0</v>
      </c>
      <c r="BR234" s="85">
        <f t="shared" ca="1" si="494"/>
        <v>0</v>
      </c>
      <c r="BS234" s="53">
        <f ca="1">IFERROR((_xlfn.XLOOKUP(F234,Apuração!A:A,Apuração!C:C)+1)/_xlfn.XLOOKUP(F234,Apuração!A:A,Apuração!B:B),0)</f>
        <v>0.14285714285714285</v>
      </c>
    </row>
    <row r="235" spans="1:71" ht="25.95" hidden="1" customHeight="1" x14ac:dyDescent="0.3">
      <c r="A235" s="39" t="s">
        <v>33</v>
      </c>
      <c r="B235" s="4" t="s">
        <v>60</v>
      </c>
      <c r="C235" s="5" t="s">
        <v>95</v>
      </c>
      <c r="D235" s="5" t="s">
        <v>36</v>
      </c>
      <c r="E235" s="4" t="s">
        <v>61</v>
      </c>
      <c r="F235" s="4" t="str" cm="1">
        <f t="array" ref="F235">_xlfn.IFS(
AG235 &lt;&gt; "", "Jan-Dez/26",
AH235 &lt;&gt; "", "Fev-Dez/26",
AI235 &lt;&gt; "", "Mar-Dez/26", AJ235 &lt;&gt; "", "Abr-Dez/26",
TRUE, "A partir de Junho"
)</f>
        <v>A partir de Junho</v>
      </c>
      <c r="G235" s="4" t="s">
        <v>62</v>
      </c>
      <c r="H235" s="7" t="s">
        <v>38</v>
      </c>
      <c r="I235" s="8" t="s">
        <v>68</v>
      </c>
      <c r="J235" s="8" t="str" cm="1">
        <f t="array" aca="1" ref="J235" ca="1">_xlfn.LET(
  _xlpm.actual_value_month, INDEX(T235:AE235, MATCH(DATE(YEAR(TODAY()), MONTH(TODAY()), 1), $T$1:$AE$1, 0)),
  IF(_xlpm.actual_value_month &lt;&gt; "",_xlpm.actual_value_month &amp; " ações mensais", "")
)</f>
        <v/>
      </c>
      <c r="K235" s="18" t="str" cm="1">
        <f t="array" ref="K235">_xlfn.LET(
    _xlpm.sum_month, SUM(T235:AE235),
    IF(_xlpm.sum_month = 0, "", _xlpm.sum_month &amp; " notificações.")
)</f>
        <v/>
      </c>
      <c r="L235" s="4" t="s">
        <v>69</v>
      </c>
      <c r="M235" s="19">
        <v>1</v>
      </c>
      <c r="N235" s="5" t="s">
        <v>51</v>
      </c>
      <c r="O235" s="5" t="s">
        <v>43</v>
      </c>
      <c r="P235" s="10" t="s">
        <v>44</v>
      </c>
      <c r="Q235" s="10" t="s">
        <v>44</v>
      </c>
      <c r="R235" s="11" t="s">
        <v>44</v>
      </c>
      <c r="S235" s="11" t="s">
        <v>44</v>
      </c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G235" s="71"/>
      <c r="AH235" s="71"/>
      <c r="AI235" s="71"/>
      <c r="AJ235" s="139"/>
      <c r="AK235" s="71"/>
      <c r="AL235" s="71"/>
      <c r="AM235" s="71"/>
      <c r="AN235" s="71"/>
      <c r="AO235" s="71"/>
      <c r="AP235" s="71"/>
      <c r="AQ235" s="71"/>
      <c r="AR235" s="71"/>
      <c r="AS235" s="94">
        <f t="shared" ca="1" si="533"/>
        <v>0</v>
      </c>
      <c r="AT235" s="95">
        <f>SUM(AG235:AR235)</f>
        <v>0</v>
      </c>
      <c r="AU235" s="97">
        <f t="shared" si="534"/>
        <v>0</v>
      </c>
      <c r="AW235" s="83">
        <f>AG235</f>
        <v>0</v>
      </c>
      <c r="AX235" s="83">
        <f t="shared" ref="AX235" si="541">AH235</f>
        <v>0</v>
      </c>
      <c r="AY235" s="83">
        <f t="shared" ref="AY235" si="542">AI235</f>
        <v>0</v>
      </c>
      <c r="AZ235" s="83">
        <f t="shared" ref="AZ235" si="543">AJ235</f>
        <v>0</v>
      </c>
      <c r="BA235" s="52"/>
      <c r="BB235" s="52"/>
      <c r="BC235" s="52"/>
      <c r="BD235" s="52"/>
      <c r="BE235" s="52"/>
      <c r="BF235" s="52"/>
      <c r="BG235" s="52"/>
      <c r="BH235" s="52"/>
      <c r="BI235" s="68" cm="1">
        <f t="array" ref="BI235">IFERROR(INDEX(AW235:BH235,1,MATCH(2,1/(AW235:BH235&lt;&gt;""))),"")</f>
        <v>0</v>
      </c>
      <c r="BJ235" s="68" cm="1">
        <f t="array" ref="BJ235">IF(BM235 = "", "",IFERROR(INDEX(AW235:BH235,1,MATCH(2,1/(AW235:BH235&lt;&gt;""),1)-1),""))</f>
        <v>0</v>
      </c>
      <c r="BK235" s="59">
        <f>IF((IF(AW235&gt;=150%,150%,AW235) + IF(AX235&gt;=150%,150%,AX235) + IF(AY235&gt;=150%,150%,AY235) + (IF(AW235&gt;=150%,150%,AW235) + IF(BA235&gt;=150%,150%,BA235) + IF(BB235&gt;=150%,150%,BB235) + IF(BC235&gt;=150%,150%,BC235) + IF(BD235&gt;=150%,150%,BD235) + IF(BE235&gt;=150%,150%,BE235) + IF(BF235&gt;=150%,150%,BF235) + IF(BG235&gt;=150%,150%,BG235) + IF(BH235&gt;=150%,150%,BH235)))/_xlfn.XLOOKUP(F235,Apuração!A:A,Apuração!B:B)&gt;=1.15,1.15,((IF(AW235&gt;=150%,150%,AW235) + IF(AX235&gt;=150%,150%,AX235) + IF(AY235&gt;=150%,150%,AY235) + (IF(AW235&gt;=150%,150%,AW235) + IF(BA235&gt;=150%,150%,BA235) + IF(BB235&gt;=150%,150%,BB235) + IF(BC235&gt;=150%,150%,BC235) + IF(BD235&gt;=150%,150%,BD235) + IF(BE235&gt;=150%,150%,BE235) + IF(BF235&gt;=150%,150%,BF235) + IF(BG235&gt;=150%,150%,BG235) + IF(BH235&gt;=150%,150%,BH235)))/_xlfn.XLOOKUP(F235,Apuração!A:A,Apuração!B:B)))</f>
        <v>0</v>
      </c>
      <c r="BL235" s="59" cm="1">
        <f t="array" aca="1" ref="BL235" ca="1">IF(SUM(IFERROR(IF(INDEX(AW235:INDEX(AW235:BH235, MATCH(2, 1/(AW235:BH235&lt;&gt;""), 1)-1), ROW(INDIRECT("1:" &amp; MATCH(2, 1/(AW235:BH235&lt;&gt;""), 1)-1))) &gt;= 150%, 150%, INDEX(AW235:INDEX(AW235:BH235, MATCH(2, 1/(AW235:BH235&lt;&gt;""), 1)-1), ROW(INDIRECT("1:" &amp; MATCH(2, 1/(AW235:BH235&lt;&gt;""), 1)-1)))), 0))/_xlfn.XLOOKUP(F235,Apuração!A:A,Apuração!B:B)&gt;=1.15,1.15,SUM(IFERROR(IF(INDEX(AW235:INDEX(AW235:BH235, MATCH(2, 1/(AW235:BH235&lt;&gt;""), 1)-1), ROW(INDIRECT("1:" &amp; MATCH(2, 1/(AW235:BH235&lt;&gt;""), 1)-1))) &gt;= 150%, 150%, INDEX(AW235:INDEX(AW235:BH235, MATCH(2, 1/(AW235:BH235&lt;&gt;""), 1)-1), ROW(INDIRECT("1:" &amp; MATCH(2, 1/(AW235:BH235&lt;&gt;""), 1)-1)))), 0))/_xlfn.XLOOKUP(F235,Apuração!A:A,Apuração!B:B))</f>
        <v>0</v>
      </c>
      <c r="BM235" s="55" cm="1">
        <f t="array" ref="BM235">IFERROR(
   INDEX($AW$1:$BH$1,
      _xlfn.AGGREGATE(14, 6, COLUMN($AW$1:$BH$1)/(AW235:BH235&lt;&gt;""), 2) - COLUMN($AW$1) + 1
   ),
"")</f>
        <v>46082</v>
      </c>
      <c r="BN235" s="55" cm="1">
        <f t="array" ref="BN235">IFERROR(INDEX($AW$1:$BH$1,1,MATCH(2,1/(AW235:BH235&lt;&gt;""))),"")</f>
        <v>46113</v>
      </c>
      <c r="BO235" s="53">
        <f ca="1">IFERROR(_xlfn.XLOOKUP(F235,Apuração!A:A,Apuração!C:C)/_xlfn.XLOOKUP(F235,Apuração!A:A,Apuração!B:B),0)</f>
        <v>0</v>
      </c>
      <c r="BP235" s="53">
        <f ca="1">IFERROR(_xlfn.XLOOKUP(F235,Apuração!A:A,Apuração!D:D)/_xlfn.XLOOKUP(F235,Apuração!A:A,Apuração!B:B),0)</f>
        <v>0</v>
      </c>
      <c r="BQ235" s="53">
        <f ca="1">IF(BK235&gt;=BO235,0,_xlfn.XLOOKUP(F235,Apuração!A:A,Apuração!B:B)*(BO235 + (1/_xlfn.XLOOKUP(F235,Apuração!A:A,Apuração!B:B)) - BK235))</f>
        <v>0</v>
      </c>
      <c r="BR235" s="85">
        <f t="shared" ca="1" si="494"/>
        <v>0</v>
      </c>
      <c r="BS235" s="53">
        <f ca="1">IFERROR((_xlfn.XLOOKUP(F235,Apuração!A:A,Apuração!C:C)+1)/_xlfn.XLOOKUP(F235,Apuração!A:A,Apuração!B:B),0)</f>
        <v>0.14285714285714285</v>
      </c>
    </row>
    <row r="236" spans="1:71" ht="25.95" hidden="1" customHeight="1" x14ac:dyDescent="0.3">
      <c r="A236" s="3" t="s">
        <v>33</v>
      </c>
      <c r="B236" s="4" t="s">
        <v>70</v>
      </c>
      <c r="C236" s="5" t="s">
        <v>95</v>
      </c>
      <c r="D236" s="5" t="s">
        <v>36</v>
      </c>
      <c r="E236" s="4" t="str" cm="1">
        <f t="array" ref="E236">_xlfn.IFS(
F236 = "A partir de Abril", "Aguardando Execução na Distribuidora",
A236 = "CAPACITAÇÃO", "Em execução no Corporativo",
TRUE, "Em Execução na Distribuidora"
)</f>
        <v>Em Execução na Distribuidora</v>
      </c>
      <c r="F236" s="4" t="str" cm="1">
        <f t="array" ref="F236">_xlfn.IFS(
AG236 &lt;&gt; "", "Jan-Dez/26",
AH236 &lt;&gt; "", "Fev-Dez/26",
AI236 &lt;&gt; "", "Mar-Dez/26", AJ236 &lt;&gt; "", "Abr-Dez/26",
TRUE, "A partir de Junho"
)</f>
        <v>Jan-Dez/26</v>
      </c>
      <c r="G236" s="4" t="s">
        <v>37</v>
      </c>
      <c r="H236" s="7" t="s">
        <v>38</v>
      </c>
      <c r="I236" s="8" t="s">
        <v>55</v>
      </c>
      <c r="J236" s="8" t="str" cm="1">
        <f t="array" aca="1" ref="J236" ca="1">_xlfn.LET(
  _xlpm.actual_value_month, INDEX(T236:AE236, MATCH(DATE(YEAR(TODAY()), MONTH(TODAY()), 1), $T$1:$AE$1, 0)),
  IF(_xlpm.actual_value_month &lt;&gt; "",_xlpm.actual_value_month &amp; " eventos mensais", "")
)</f>
        <v>3 eventos mensais</v>
      </c>
      <c r="K236" s="14" t="str" cm="1">
        <f t="array" ref="K236">_xlfn.LET(
    _xlpm.sum_month, SUM(T236:AE236),
    IF(_xlpm.sum_month = 0, "", _xlpm.sum_month &amp; "  eventos no ano")
)</f>
        <v>32  eventos no ano</v>
      </c>
      <c r="L236" s="9" t="s">
        <v>56</v>
      </c>
      <c r="M236" s="13" t="s">
        <v>71</v>
      </c>
      <c r="N236" s="5" t="s">
        <v>42</v>
      </c>
      <c r="O236" s="5" t="s">
        <v>43</v>
      </c>
      <c r="P236" s="10" t="s">
        <v>58</v>
      </c>
      <c r="Q236" s="10" t="s">
        <v>72</v>
      </c>
      <c r="R236" s="11" t="s">
        <v>45</v>
      </c>
      <c r="S236" s="11" t="s">
        <v>46</v>
      </c>
      <c r="T236" s="22">
        <v>1</v>
      </c>
      <c r="U236" s="22">
        <v>3</v>
      </c>
      <c r="V236" s="22">
        <v>1</v>
      </c>
      <c r="W236" s="22">
        <v>3</v>
      </c>
      <c r="X236" s="22">
        <v>3</v>
      </c>
      <c r="Y236" s="22">
        <v>3</v>
      </c>
      <c r="Z236" s="22">
        <v>3</v>
      </c>
      <c r="AA236" s="22">
        <v>3</v>
      </c>
      <c r="AB236" s="22">
        <v>3</v>
      </c>
      <c r="AC236" s="22">
        <v>3</v>
      </c>
      <c r="AD236" s="22">
        <v>3</v>
      </c>
      <c r="AE236" s="22">
        <v>3</v>
      </c>
      <c r="AG236" s="71">
        <v>1</v>
      </c>
      <c r="AH236" s="71">
        <v>3</v>
      </c>
      <c r="AI236" s="71">
        <v>1</v>
      </c>
      <c r="AJ236" s="139">
        <v>3</v>
      </c>
      <c r="AK236" s="71"/>
      <c r="AL236" s="71"/>
      <c r="AM236" s="71"/>
      <c r="AN236" s="71"/>
      <c r="AO236" s="71"/>
      <c r="AP236" s="71"/>
      <c r="AQ236" s="71"/>
      <c r="AR236" s="71"/>
      <c r="AS236" s="94">
        <f t="shared" ca="1" si="533"/>
        <v>11</v>
      </c>
      <c r="AT236" s="95">
        <f>SUM(IF(AW236&lt;1.15,AG236,1.15*T236),IF(AX236&lt;1.15,AH236,1.15*U236),IF(AY236&lt;1.15,AI236,1.15*V236),IF(AZ236&lt;1.15,AJ236,1.15*W236),IF(BA236&lt;1.15,AK236,1.15*X236),IF(BB236&lt;1.15,AL236,1.15*Y236),IF(BC236&lt;1.15,AM236,1.15*Z236),IF(BD236&lt;1.15,AN236,1.15*AA236),IF(BE236&lt;1.15,AO236,1.15*AB236),IF(BF236&lt;1.15,AP236,1.15*AC236),IF(BG236&lt;1.15,AQ236,1.15*AD236),IF(BH236&lt;1.15,AR236,1.15*AE236))</f>
        <v>8</v>
      </c>
      <c r="AU236" s="97">
        <f t="shared" si="534"/>
        <v>8</v>
      </c>
      <c r="AW236" s="51">
        <f>IFERROR(IF(AG236="",0,AG236/T236),0)</f>
        <v>1</v>
      </c>
      <c r="AX236" s="51">
        <f>IFERROR(IF(AH236="",0,AH236/U236),0)</f>
        <v>1</v>
      </c>
      <c r="AY236" s="51">
        <f>IFERROR(IF(AI236="",0,AI236/V236),0)</f>
        <v>1</v>
      </c>
      <c r="AZ236" s="51">
        <f>IFERROR(IF(AJ236="",0,AJ236/W236),0)</f>
        <v>1</v>
      </c>
      <c r="BA236" s="51"/>
      <c r="BB236" s="51"/>
      <c r="BC236" s="51"/>
      <c r="BD236" s="51"/>
      <c r="BE236" s="51"/>
      <c r="BF236" s="51"/>
      <c r="BG236" s="51"/>
      <c r="BH236" s="51"/>
      <c r="BI236" s="65" cm="1">
        <f t="array" ref="BI236">IFERROR(INDEX(AW236:BH236,1,MATCH(2,1/(AW236:BH236&lt;&gt;""))),"")</f>
        <v>1</v>
      </c>
      <c r="BJ236" s="68" cm="1">
        <f t="array" ref="BJ236">IF(BM236 = "", "",IFERROR(INDEX(AW236:BH236,1,MATCH(2,1/(AW236:BH236&lt;&gt;""),1)-1),""))</f>
        <v>1</v>
      </c>
      <c r="BK236" s="58">
        <f>IF((IF(AW236&gt;=115%,115%,AW236) + IF(AX236&gt;=180%,180%,AX236) + IF(AY236&gt;=115%,115%,AY236) + (IF(AZ236&gt;=115%,115%,AZ236) + IF(BA236&gt;=115%,115%,BA236) + IF(BB236&gt;=115%,115%,BB236) + IF(BC236&gt;=115%,115%,BC236) + IF(BD236&gt;=115%,115%,BD236) + IF(BE236&gt;=115%,115%,BE236) + IF(BF236&gt;=115%,115%,BF236) + IF(BG236&gt;=115%,115%,BG236) + IF(BH236&gt;=115%,115%,BH236)))/_xlfn.XLOOKUP(F236,Apuração!A:A,Apuração!B:B)&gt;=1.15,1.15,((IF(AZ236&gt;=115%,115%,AZ236) + IF(AX236&gt;=180%,180%,AX236) + IF(AY236&gt;=115%,115%,AY236) + (IF(AW236&gt;=115%,115%,AW236) + IF(BA236&gt;=115%,115%,BA236) + IF(BB236&gt;=115%,115%,BB236) + IF(BC236&gt;=115%,115%,BC236) + IF(BD236&gt;=115%,115%,BD236) + IF(BE236&gt;=115%,115%,BE236) + IF(BF236&gt;=115%,115%,BF236) + IF(BG236&gt;=115%,115%,BG236) + IF(BH236&gt;=115%,115%,BH236)))/_xlfn.XLOOKUP(F236,Apuração!A:A,Apuração!B:B)))</f>
        <v>0.33333333333333331</v>
      </c>
      <c r="BL236" s="58" cm="1">
        <f t="array" aca="1" ref="BL236" ca="1">IF(SUM(IFERROR(IF(INDEX(AW236:INDEX(AW236:BH236, MATCH(2, 1/(AW236:BH236&lt;&gt;""), 1)-1), ROW(INDIRECT("1:" &amp; MATCH(2, 1/(AW236:BH236&lt;&gt;""), 1)-1))) &gt;= 115%, 115%, INDEX(AW236:INDEX(AW236:BH236, MATCH(2, 1/(AW236:BH236&lt;&gt;""), 1)-1), ROW(INDIRECT("1:" &amp; MATCH(2, 1/(AW236:BH236&lt;&gt;""), 1)-1)))), 0))/_xlfn.XLOOKUP(F236,Apuração!A:A,Apuração!B:B)&gt;=1.15,1.15,SUM(IFERROR(IF(INDEX(AW236:INDEX(AW236:BH236, MATCH(2, 1/(AW236:BH236&lt;&gt;""), 1)-1), ROW(INDIRECT("1:" &amp; MATCH(2, 1/(AW236:BH236&lt;&gt;""), 1)-1))) &gt;= 115%, 115%, INDEX(AW236:INDEX(AW236:BH236, MATCH(2, 1/(AW236:BH236&lt;&gt;""), 1)-1), ROW(INDIRECT("1:" &amp; MATCH(2, 1/(AW236:BH236&lt;&gt;""), 1)-1)))), 0))/_xlfn.XLOOKUP(F236,Apuração!A:A,Apuração!B:B))</f>
        <v>0.25</v>
      </c>
      <c r="BM236" s="55" cm="1">
        <f t="array" ref="BM236">IFERROR(
   INDEX($AW$1:$BH$1,
      _xlfn.AGGREGATE(14, 6, COLUMN($AW$1:$BH$1)/(AW236:BH236&lt;&gt;""), 2) - COLUMN($AW$1) + 1
   ),
"")</f>
        <v>46082</v>
      </c>
      <c r="BN236" s="55" cm="1">
        <f t="array" ref="BN236">IFERROR(INDEX($AW$1:$BH$1,1,MATCH(2,1/(AW236:BH236&lt;&gt;""))),"")</f>
        <v>46113</v>
      </c>
      <c r="BO236" s="53">
        <f ca="1">IFERROR(_xlfn.XLOOKUP(F236,Apuração!A:A,Apuração!C:C)/_xlfn.XLOOKUP(F236,Apuração!A:A,Apuração!B:B),0)</f>
        <v>0.41666666666666669</v>
      </c>
      <c r="BP236" s="53">
        <f ca="1">IFERROR(_xlfn.XLOOKUP(F236,Apuração!A:A,Apuração!D:D)/_xlfn.XLOOKUP(F236,Apuração!A:A,Apuração!B:B),0)</f>
        <v>0.33333333333333331</v>
      </c>
      <c r="BQ236" s="53">
        <f ca="1">IF(BK236&gt;=BO236,0,_xlfn.XLOOKUP(F236,Apuração!A:A,Apuração!B:B)*(BO236 + (1/_xlfn.XLOOKUP(F236,Apuração!A:A,Apuração!B:B)) - BK236))</f>
        <v>2</v>
      </c>
      <c r="BR236" s="85">
        <f t="shared" ca="1" si="494"/>
        <v>6</v>
      </c>
      <c r="BS236" s="53">
        <f ca="1">IFERROR((_xlfn.XLOOKUP(F236,Apuração!A:A,Apuração!C:C)+1)/_xlfn.XLOOKUP(F236,Apuração!A:A,Apuração!B:B),0)</f>
        <v>0.5</v>
      </c>
    </row>
    <row r="237" spans="1:71" ht="25.95" hidden="1" customHeight="1" x14ac:dyDescent="0.3">
      <c r="A237" s="39" t="s">
        <v>33</v>
      </c>
      <c r="B237" s="4" t="s">
        <v>70</v>
      </c>
      <c r="C237" s="5" t="s">
        <v>95</v>
      </c>
      <c r="D237" s="5" t="s">
        <v>36</v>
      </c>
      <c r="E237" s="4" t="str" cm="1">
        <f t="array" ref="E237">_xlfn.IFS(
F237 = "A partir de Abril", "Aguardando Execução na Distribuidora",
A237 = "CAPACITAÇÃO", "Em execução no Corporativo",
TRUE, "Em Execução na Distribuidora"
)</f>
        <v>Em Execução na Distribuidora</v>
      </c>
      <c r="F237" s="4" t="str" cm="1">
        <f t="array" ref="F237">_xlfn.IFS(
AG237 &lt;&gt; "", "Jan-Dez/26",
AH237 &lt;&gt; "", "Fev-Dez/26",
AI237 &lt;&gt; "", "Mar-Dez/26", AJ237 &lt;&gt; "", "Abr-Dez/26",
TRUE, "A partir de Junho"
)</f>
        <v>Jan-Dez/26</v>
      </c>
      <c r="G237" s="4" t="s">
        <v>37</v>
      </c>
      <c r="H237" s="7" t="s">
        <v>38</v>
      </c>
      <c r="I237" s="8" t="s">
        <v>59</v>
      </c>
      <c r="J237" s="8" t="str" cm="1">
        <f t="array" aca="1" ref="J237" ca="1">_xlfn.LET(
  _xlpm.actual_value_month, INDEX(T237:AE237, MATCH(DATE(YEAR(TODAY()), MONTH(TODAY()), 1), $T$1:$AE$1, 0)),
  IF(_xlpm.actual_value_month &lt;&gt; "",_xlpm.actual_value_month &amp; " ações mensais", "")
)</f>
        <v/>
      </c>
      <c r="K237" s="14" t="str" cm="1">
        <f t="array" ref="K237">_xlfn.LET(
    _xlpm.sum_month, SUM(T237:AE237),
    IF(_xlpm.sum_month = 0, "", _xlpm.sum_month &amp; " pessoas impactadas no ano.")
)</f>
        <v/>
      </c>
      <c r="L237" s="9" t="s">
        <v>59</v>
      </c>
      <c r="M237" s="13">
        <v>1</v>
      </c>
      <c r="N237" s="5" t="s">
        <v>51</v>
      </c>
      <c r="O237" s="5" t="s">
        <v>52</v>
      </c>
      <c r="P237" s="10" t="s">
        <v>44</v>
      </c>
      <c r="Q237" s="10" t="s">
        <v>44</v>
      </c>
      <c r="R237" s="11" t="s">
        <v>44</v>
      </c>
      <c r="S237" s="11" t="s">
        <v>44</v>
      </c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G237" s="71">
        <v>7</v>
      </c>
      <c r="AH237" s="71">
        <v>27</v>
      </c>
      <c r="AI237" s="71">
        <v>5</v>
      </c>
      <c r="AJ237" s="139">
        <v>15</v>
      </c>
      <c r="AK237" s="71"/>
      <c r="AL237" s="71"/>
      <c r="AM237" s="71"/>
      <c r="AN237" s="71"/>
      <c r="AO237" s="71"/>
      <c r="AP237" s="71"/>
      <c r="AQ237" s="71"/>
      <c r="AR237" s="71"/>
      <c r="AS237" s="94">
        <f t="shared" ca="1" si="533"/>
        <v>0</v>
      </c>
      <c r="AT237" s="95">
        <f>SUM(AG237:AR237)</f>
        <v>54</v>
      </c>
      <c r="AU237" s="97">
        <f t="shared" si="534"/>
        <v>54</v>
      </c>
      <c r="AW237" s="83">
        <f>AG237</f>
        <v>7</v>
      </c>
      <c r="AX237" s="83">
        <f t="shared" ref="AX237" si="544">AH237</f>
        <v>27</v>
      </c>
      <c r="AY237" s="83">
        <f t="shared" ref="AY237" si="545">AI237</f>
        <v>5</v>
      </c>
      <c r="AZ237" s="83">
        <f t="shared" ref="AZ237" si="546">AJ237</f>
        <v>15</v>
      </c>
      <c r="BA237" s="52"/>
      <c r="BB237" s="52"/>
      <c r="BC237" s="52"/>
      <c r="BD237" s="52"/>
      <c r="BE237" s="52"/>
      <c r="BF237" s="52"/>
      <c r="BG237" s="52"/>
      <c r="BH237" s="52"/>
      <c r="BI237" s="68" cm="1">
        <f t="array" ref="BI237">IFERROR(INDEX(AW237:BH237,1,MATCH(2,1/(AW237:BH237&lt;&gt;""))),"")</f>
        <v>15</v>
      </c>
      <c r="BJ237" s="68" cm="1">
        <f t="array" ref="BJ237">IF(BM237 = "", "",IFERROR(INDEX(AW237:BH237,1,MATCH(2,1/(AW237:BH237&lt;&gt;""),1)-1),""))</f>
        <v>5</v>
      </c>
      <c r="BK237" s="59">
        <f>SUM(AW237:BH237)</f>
        <v>54</v>
      </c>
      <c r="BL237" s="59" cm="1">
        <f t="array" ref="BL237">IFERROR(SUM(AW237:INDEX(AW237:BH237, MATCH(2, 1/(AW237:BH237&lt;&gt;""), 1) - 1))/_xlfn.XLOOKUP(F237,Apuração!A:A,Apuração!B:B),0)</f>
        <v>3.25</v>
      </c>
      <c r="BM237" s="55" cm="1">
        <f t="array" ref="BM237">IFERROR(
   INDEX($AW$1:$BH$1,
      _xlfn.AGGREGATE(14, 6, COLUMN($AW$1:$BH$1)/(AW237:BH237&lt;&gt;""), 2) - COLUMN($AW$1) + 1
   ),
"")</f>
        <v>46082</v>
      </c>
      <c r="BN237" s="55" cm="1">
        <f t="array" ref="BN237">IFERROR(INDEX($AW$1:$BH$1,1,MATCH(2,1/(AW237:BH237&lt;&gt;""))),"")</f>
        <v>46113</v>
      </c>
      <c r="BO237" s="53">
        <f ca="1">IFERROR(_xlfn.XLOOKUP(F237,Apuração!A:A,Apuração!C:C)/_xlfn.XLOOKUP(F237,Apuração!A:A,Apuração!B:B),0)</f>
        <v>0.41666666666666669</v>
      </c>
      <c r="BP237" s="53">
        <f ca="1">IFERROR(_xlfn.XLOOKUP(F237,Apuração!A:A,Apuração!D:D)/_xlfn.XLOOKUP(F237,Apuração!A:A,Apuração!B:B),0)</f>
        <v>0.33333333333333331</v>
      </c>
      <c r="BQ237" s="53">
        <f ca="1">IF(BK237&gt;=BO237,0,_xlfn.XLOOKUP(F237,Apuração!A:A,Apuração!B:B)*(BO237 + (1/_xlfn.XLOOKUP(F237,Apuração!A:A,Apuração!B:B)) - BK237))</f>
        <v>0</v>
      </c>
      <c r="BR237" s="85">
        <f t="shared" ca="1" si="494"/>
        <v>0</v>
      </c>
      <c r="BS237" s="53">
        <f ca="1">IFERROR((_xlfn.XLOOKUP(F237,Apuração!A:A,Apuração!C:C)+1)/_xlfn.XLOOKUP(F237,Apuração!A:A,Apuração!B:B),0)</f>
        <v>0.5</v>
      </c>
    </row>
    <row r="238" spans="1:71" ht="25.95" hidden="1" customHeight="1" x14ac:dyDescent="0.3">
      <c r="A238" s="3" t="s">
        <v>33</v>
      </c>
      <c r="B238" s="4" t="s">
        <v>73</v>
      </c>
      <c r="C238" s="5" t="s">
        <v>95</v>
      </c>
      <c r="D238" s="5" t="s">
        <v>36</v>
      </c>
      <c r="E238" s="4" t="str" cm="1">
        <f t="array" ref="E238">_xlfn.IFS(
F238 = "A partir de Abril", "Aguardando Execução na Distribuidora",
A238 = "CAPACITAÇÃO", "Em execução no Corporativo",
TRUE, "Em Execução na Distribuidora"
)</f>
        <v>Em Execução na Distribuidora</v>
      </c>
      <c r="F238" s="4" t="str" cm="1">
        <f t="array" ref="F238">_xlfn.IFS(
AG238 &lt;&gt; "", "Jan-Dez/26",
AH238 &lt;&gt; "", "Fev-Dez/26",
AI238 &lt;&gt; "", "Mar-Dez/26", AJ238 &lt;&gt; "", "Abr-Dez/26",
TRUE, "A partir de Junho"
)</f>
        <v>Jan-Dez/26</v>
      </c>
      <c r="G238" s="4" t="s">
        <v>37</v>
      </c>
      <c r="H238" s="7" t="s">
        <v>54</v>
      </c>
      <c r="I238" s="8" t="s">
        <v>55</v>
      </c>
      <c r="J238" s="8" t="str" cm="1">
        <f t="array" aca="1" ref="J238" ca="1">_xlfn.LET(
  _xlpm.actual_value_month, INDEX(T238:AE238, MATCH(DATE(YEAR(TODAY()), MONTH(TODAY()), 1), $T$1:$AE$1, 0)),
  IF(_xlpm.actual_value_month &lt;&gt; "",_xlpm.actual_value_month &amp; " eventos mensais", "")
)</f>
        <v>18 eventos mensais</v>
      </c>
      <c r="K238" s="14" t="str" cm="1">
        <f t="array" ref="K238">_xlfn.LET(
    _xlpm.sum_month, SUM(T238:AE238),
    IF(_xlpm.sum_month = 0, "", _xlpm.sum_month &amp; "  eventos no ano")
)</f>
        <v>204  eventos no ano</v>
      </c>
      <c r="L238" s="9" t="s">
        <v>64</v>
      </c>
      <c r="M238" s="13" t="s">
        <v>74</v>
      </c>
      <c r="N238" s="5" t="s">
        <v>42</v>
      </c>
      <c r="O238" s="5" t="s">
        <v>43</v>
      </c>
      <c r="P238" s="10" t="s">
        <v>44</v>
      </c>
      <c r="Q238" s="10" t="s">
        <v>75</v>
      </c>
      <c r="R238" s="11" t="s">
        <v>44</v>
      </c>
      <c r="S238" s="11" t="s">
        <v>44</v>
      </c>
      <c r="T238" s="22">
        <v>7</v>
      </c>
      <c r="U238" s="22">
        <v>20</v>
      </c>
      <c r="V238" s="22">
        <v>20</v>
      </c>
      <c r="W238" s="22">
        <v>23</v>
      </c>
      <c r="X238" s="22">
        <v>18</v>
      </c>
      <c r="Y238" s="22">
        <v>18</v>
      </c>
      <c r="Z238" s="22">
        <v>8</v>
      </c>
      <c r="AA238" s="22">
        <v>18</v>
      </c>
      <c r="AB238" s="22">
        <v>22</v>
      </c>
      <c r="AC238" s="22">
        <v>24</v>
      </c>
      <c r="AD238" s="22">
        <v>18</v>
      </c>
      <c r="AE238" s="22">
        <v>8</v>
      </c>
      <c r="AG238" s="71">
        <v>7</v>
      </c>
      <c r="AH238" s="71">
        <v>20</v>
      </c>
      <c r="AI238" s="71">
        <v>20</v>
      </c>
      <c r="AJ238" s="139">
        <v>84</v>
      </c>
      <c r="AK238" s="71"/>
      <c r="AL238" s="71"/>
      <c r="AM238" s="71"/>
      <c r="AN238" s="71"/>
      <c r="AO238" s="71"/>
      <c r="AP238" s="71"/>
      <c r="AQ238" s="71"/>
      <c r="AR238" s="71"/>
      <c r="AS238" s="94">
        <f t="shared" ca="1" si="533"/>
        <v>88</v>
      </c>
      <c r="AT238" s="95">
        <f>SUM(IF(AW238&lt;1.15,AG238,1.15*T238),IF(AX238&lt;1.15,AH238,1.15*U238),IF(AY238&lt;1.15,AI238,1.15*V238),IF(AZ238&lt;1.15,AJ238,1.15*W238),IF(BA238&lt;1.15,AK238,1.15*X238),IF(BB238&lt;1.15,AL238,1.15*Y238),IF(BC238&lt;1.15,AM238,1.15*Z238),IF(BD238&lt;1.15,AN238,1.15*AA238),IF(BE238&lt;1.15,AO238,1.15*AB238),IF(BF238&lt;1.15,AP238,1.15*AC238),IF(BG238&lt;1.15,AQ238,1.15*AD238),IF(BH238&lt;1.15,AR238,1.15*AE238))</f>
        <v>73.45</v>
      </c>
      <c r="AU238" s="97">
        <f t="shared" si="534"/>
        <v>131</v>
      </c>
      <c r="AW238" s="51">
        <f>IFERROR(IF(AG238="",0,AG238/T238),0)</f>
        <v>1</v>
      </c>
      <c r="AX238" s="51">
        <f>IFERROR(IF(AH238="",0,AH238/U238),0)</f>
        <v>1</v>
      </c>
      <c r="AY238" s="51">
        <f>IFERROR(IF(AI238="",0,AI238/V238),0)</f>
        <v>1</v>
      </c>
      <c r="AZ238" s="51">
        <f>IFERROR(IF(AJ238="",0,AJ238/W238),0)</f>
        <v>3.652173913043478</v>
      </c>
      <c r="BA238" s="51"/>
      <c r="BB238" s="51"/>
      <c r="BC238" s="51"/>
      <c r="BD238" s="51"/>
      <c r="BE238" s="51"/>
      <c r="BF238" s="51"/>
      <c r="BG238" s="51"/>
      <c r="BH238" s="51"/>
      <c r="BI238" s="65" cm="1">
        <f t="array" ref="BI238">IFERROR(INDEX(AW238:BH238,1,MATCH(2,1/(AW238:BH238&lt;&gt;""))),"")</f>
        <v>3.652173913043478</v>
      </c>
      <c r="BJ238" s="68" cm="1">
        <f t="array" ref="BJ238">IF(BM238 = "", "",IFERROR(INDEX(AW238:BH238,1,MATCH(2,1/(AW238:BH238&lt;&gt;""),1)-1),""))</f>
        <v>1</v>
      </c>
      <c r="BK238" s="58">
        <f>IF((IF(AW238&gt;=115%,115%,AW238) + IF(AX238&gt;=115%,115%,AX238) + IF(AY238&gt;=115%,115%,AY238) + (IF(AZ238&gt;=115%,115%,AZ238) + IF(BA238&gt;=115%,115%,BA238) + IF(BB238&gt;=115%,115%,BB238) + IF(BC238&gt;=115%,115%,BC238) + IF(BD238&gt;=115%,115%,BD238) + IF(BE238&gt;=115%,115%,BE238) + IF(BF238&gt;=115%,115%,BF238) + IF(BG238&gt;=115%,115%,BG238) + IF(BH238&gt;=115%,115%,BH238)))/_xlfn.XLOOKUP(F238,Apuração!A:A,Apuração!B:B)&gt;=1.15,1.15,((IF(AZ238&gt;=115%,115%,AZ238) + IF(AX238&gt;=115%,115%,AX238) + IF(AY238&gt;=115%,115%,AY238) + (IF(AW238&gt;=115%,115%,AW238) + IF(BA238&gt;=115%,115%,BA238) + IF(BB238&gt;=115%,115%,BB238) + IF(BC238&gt;=115%,115%,BC238) + IF(BD238&gt;=115%,115%,BD238) + IF(BE238&gt;=115%,115%,BE238) + IF(BF238&gt;=115%,115%,BF238) + IF(BG238&gt;=115%,115%,BG238) + IF(BH238&gt;=115%,115%,BH238)))/_xlfn.XLOOKUP(F238,Apuração!A:A,Apuração!B:B)))</f>
        <v>0.34583333333333338</v>
      </c>
      <c r="BL238" s="58" cm="1">
        <f t="array" aca="1" ref="BL238" ca="1">IF(SUM(IFERROR(IF(INDEX(AW238:INDEX(AW238:BH238, MATCH(2, 1/(AW238:BH238&lt;&gt;""), 1)-1), ROW(INDIRECT("1:" &amp; MATCH(2, 1/(AW238:BH238&lt;&gt;""), 1)-1))) &gt;= 115%, 115%, INDEX(AW238:INDEX(AW238:BH238, MATCH(2, 1/(AW238:BH238&lt;&gt;""), 1)-1), ROW(INDIRECT("1:" &amp; MATCH(2, 1/(AW238:BH238&lt;&gt;""), 1)-1)))), 0))/_xlfn.XLOOKUP(F238,Apuração!A:A,Apuração!B:B)&gt;=1.15,1.15,SUM(IFERROR(IF(INDEX(AW238:INDEX(AW238:BH238, MATCH(2, 1/(AW238:BH238&lt;&gt;""), 1)-1), ROW(INDIRECT("1:" &amp; MATCH(2, 1/(AW238:BH238&lt;&gt;""), 1)-1))) &gt;= 115%, 115%, INDEX(AW238:INDEX(AW238:BH238, MATCH(2, 1/(AW238:BH238&lt;&gt;""), 1)-1), ROW(INDIRECT("1:" &amp; MATCH(2, 1/(AW238:BH238&lt;&gt;""), 1)-1)))), 0))/_xlfn.XLOOKUP(F238,Apuração!A:A,Apuração!B:B))</f>
        <v>0.25</v>
      </c>
      <c r="BM238" s="55" cm="1">
        <f t="array" ref="BM238">IFERROR(
   INDEX($AW$1:$BH$1,
      _xlfn.AGGREGATE(14, 6, COLUMN($AW$1:$BH$1)/(AW238:BH238&lt;&gt;""), 2) - COLUMN($AW$1) + 1
   ),
"")</f>
        <v>46082</v>
      </c>
      <c r="BN238" s="55" cm="1">
        <f t="array" ref="BN238">IFERROR(INDEX($AW$1:$BH$1,1,MATCH(2,1/(AW238:BH238&lt;&gt;""))),"")</f>
        <v>46113</v>
      </c>
      <c r="BO238" s="53">
        <f ca="1">IFERROR(_xlfn.XLOOKUP(F238,Apuração!A:A,Apuração!C:C)/_xlfn.XLOOKUP(F238,Apuração!A:A,Apuração!B:B),0)</f>
        <v>0.41666666666666669</v>
      </c>
      <c r="BP238" s="53">
        <f ca="1">IFERROR(_xlfn.XLOOKUP(F238,Apuração!A:A,Apuração!D:D)/_xlfn.XLOOKUP(F238,Apuração!A:A,Apuração!B:B),0)</f>
        <v>0.33333333333333331</v>
      </c>
      <c r="BQ238" s="53">
        <f ca="1">IF(BK238&gt;=BO238,0,_xlfn.XLOOKUP(F238,Apuração!A:A,Apuração!B:B)*(BO238 + (1/_xlfn.XLOOKUP(F238,Apuração!A:A,Apuração!B:B)) - BK238))</f>
        <v>1.8499999999999994</v>
      </c>
      <c r="BR238" s="85">
        <f t="shared" ca="1" si="494"/>
        <v>14.799999999999995</v>
      </c>
      <c r="BS238" s="53">
        <f ca="1">IFERROR((_xlfn.XLOOKUP(F238,Apuração!A:A,Apuração!C:C)+1)/_xlfn.XLOOKUP(F238,Apuração!A:A,Apuração!B:B),0)</f>
        <v>0.5</v>
      </c>
    </row>
    <row r="239" spans="1:71" ht="25.95" hidden="1" customHeight="1" x14ac:dyDescent="0.3">
      <c r="A239" s="39" t="s">
        <v>33</v>
      </c>
      <c r="B239" s="4" t="s">
        <v>73</v>
      </c>
      <c r="C239" s="5" t="s">
        <v>95</v>
      </c>
      <c r="D239" s="5" t="s">
        <v>36</v>
      </c>
      <c r="E239" s="4" t="str" cm="1">
        <f t="array" ref="E239">_xlfn.IFS(
F239 = "A partir de Abril", "Aguardando Execução na Distribuidora",
A239 = "CAPACITAÇÃO", "Em execução no Corporativo",
TRUE, "Em Execução na Distribuidora"
)</f>
        <v>Em Execução na Distribuidora</v>
      </c>
      <c r="F239" s="4" t="str" cm="1">
        <f t="array" ref="F239">_xlfn.IFS(
AG239 &lt;&gt; "", "Jan-Dez/26",
AH239 &lt;&gt; "", "Fev-Dez/26",
AI239 &lt;&gt; "", "Mar-Dez/26", AJ239 &lt;&gt; "", "Abr-Dez/26",
TRUE, "A partir de Junho"
)</f>
        <v>Jan-Dez/26</v>
      </c>
      <c r="G239" s="4" t="s">
        <v>37</v>
      </c>
      <c r="H239" s="7" t="s">
        <v>54</v>
      </c>
      <c r="I239" s="9" t="s">
        <v>76</v>
      </c>
      <c r="J239" s="8" t="str" cm="1">
        <f t="array" aca="1" ref="J239" ca="1">_xlfn.LET(
  _xlpm.actual_value_month, INDEX(T239:AE239, MATCH(DATE(YEAR(TODAY()), MONTH(TODAY()), 1), $T$1:$AE$1, 0)),
  IF(_xlpm.actual_value_month &lt;&gt; "",_xlpm.actual_value_month &amp; " ações mensais", "")
)</f>
        <v/>
      </c>
      <c r="K239" s="14" t="str" cm="1">
        <f t="array" ref="K239">_xlfn.LET(
    _xlpm.sum_month, SUM(T239:AE239),
    IF(_xlpm.sum_month = 0, "", _xlpm.sum_month &amp; " pessoas impactadas no ano.")
)</f>
        <v/>
      </c>
      <c r="L239" s="9" t="s">
        <v>76</v>
      </c>
      <c r="M239" s="13">
        <v>1</v>
      </c>
      <c r="N239" s="5" t="s">
        <v>51</v>
      </c>
      <c r="O239" s="5" t="s">
        <v>52</v>
      </c>
      <c r="P239" s="10" t="s">
        <v>44</v>
      </c>
      <c r="Q239" s="10" t="s">
        <v>44</v>
      </c>
      <c r="R239" s="11" t="s">
        <v>44</v>
      </c>
      <c r="S239" s="11" t="s">
        <v>44</v>
      </c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G239" s="71">
        <v>1071</v>
      </c>
      <c r="AH239" s="71">
        <v>641</v>
      </c>
      <c r="AI239" s="71">
        <v>925</v>
      </c>
      <c r="AJ239" s="140">
        <v>2108</v>
      </c>
      <c r="AK239" s="71"/>
      <c r="AL239" s="71"/>
      <c r="AM239" s="71"/>
      <c r="AN239" s="71"/>
      <c r="AO239" s="71"/>
      <c r="AP239" s="71"/>
      <c r="AQ239" s="71"/>
      <c r="AR239" s="71"/>
      <c r="AS239" s="94">
        <f t="shared" ca="1" si="533"/>
        <v>0</v>
      </c>
      <c r="AT239" s="95">
        <f>SUM(AG239:AR239)</f>
        <v>4745</v>
      </c>
      <c r="AU239" s="97">
        <f t="shared" si="534"/>
        <v>4745</v>
      </c>
      <c r="AW239" s="83">
        <f>AG239</f>
        <v>1071</v>
      </c>
      <c r="AX239" s="83">
        <f t="shared" ref="AX239" si="547">AH239</f>
        <v>641</v>
      </c>
      <c r="AY239" s="83">
        <f t="shared" ref="AY239" si="548">AI239</f>
        <v>925</v>
      </c>
      <c r="AZ239" s="83">
        <f t="shared" ref="AZ239" si="549">AJ239</f>
        <v>2108</v>
      </c>
      <c r="BA239" s="52"/>
      <c r="BB239" s="52"/>
      <c r="BC239" s="52"/>
      <c r="BD239" s="52"/>
      <c r="BE239" s="52"/>
      <c r="BF239" s="52"/>
      <c r="BG239" s="52"/>
      <c r="BH239" s="52"/>
      <c r="BI239" s="68" cm="1">
        <f t="array" ref="BI239">IFERROR(INDEX(AW239:BH239,1,MATCH(2,1/(AW239:BH239&lt;&gt;""))),"")</f>
        <v>2108</v>
      </c>
      <c r="BJ239" s="68" cm="1">
        <f t="array" ref="BJ239">IF(BM239 = "", "",IFERROR(INDEX(AW239:BH239,1,MATCH(2,1/(AW239:BH239&lt;&gt;""),1)-1),""))</f>
        <v>925</v>
      </c>
      <c r="BK239" s="59">
        <f>SUM(AW239:BH239)</f>
        <v>4745</v>
      </c>
      <c r="BL239" s="59" cm="1">
        <f t="array" ref="BL239">IFERROR(SUM(AW239:INDEX(AW239:BH239, MATCH(2, 1/(AW239:BH239&lt;&gt;""), 1) - 1))/_xlfn.XLOOKUP(F239,Apuração!A:A,Apuração!B:B),0)</f>
        <v>219.75</v>
      </c>
      <c r="BM239" s="55" cm="1">
        <f t="array" ref="BM239">IFERROR(
   INDEX($AW$1:$BH$1,
      _xlfn.AGGREGATE(14, 6, COLUMN($AW$1:$BH$1)/(AW239:BH239&lt;&gt;""), 2) - COLUMN($AW$1) + 1
   ),
"")</f>
        <v>46082</v>
      </c>
      <c r="BN239" s="55" cm="1">
        <f t="array" ref="BN239">IFERROR(INDEX($AW$1:$BH$1,1,MATCH(2,1/(AW239:BH239&lt;&gt;""))),"")</f>
        <v>46113</v>
      </c>
      <c r="BO239" s="53">
        <f ca="1">IFERROR(_xlfn.XLOOKUP(F239,Apuração!A:A,Apuração!C:C)/_xlfn.XLOOKUP(F239,Apuração!A:A,Apuração!B:B),0)</f>
        <v>0.41666666666666669</v>
      </c>
      <c r="BP239" s="53">
        <f ca="1">IFERROR(_xlfn.XLOOKUP(F239,Apuração!A:A,Apuração!D:D)/_xlfn.XLOOKUP(F239,Apuração!A:A,Apuração!B:B),0)</f>
        <v>0.33333333333333331</v>
      </c>
      <c r="BQ239" s="53">
        <f ca="1">IF(BK239&gt;=BO239,0,_xlfn.XLOOKUP(F239,Apuração!A:A,Apuração!B:B)*(BO239 + (1/_xlfn.XLOOKUP(F239,Apuração!A:A,Apuração!B:B)) - BK239))</f>
        <v>0</v>
      </c>
      <c r="BR239" s="85">
        <f t="shared" ca="1" si="494"/>
        <v>0</v>
      </c>
      <c r="BS239" s="53">
        <f ca="1">IFERROR((_xlfn.XLOOKUP(F239,Apuração!A:A,Apuração!C:C)+1)/_xlfn.XLOOKUP(F239,Apuração!A:A,Apuração!B:B),0)</f>
        <v>0.5</v>
      </c>
    </row>
    <row r="240" spans="1:71" ht="25.95" hidden="1" customHeight="1" x14ac:dyDescent="0.3">
      <c r="A240" s="3" t="s">
        <v>33</v>
      </c>
      <c r="B240" s="4" t="s">
        <v>77</v>
      </c>
      <c r="C240" s="5" t="s">
        <v>95</v>
      </c>
      <c r="D240" s="5" t="s">
        <v>36</v>
      </c>
      <c r="E240" s="4" t="str" cm="1">
        <f t="array" ref="E240">_xlfn.IFS(
F240 = "A partir de Abril", "Aguardando Execução na Distribuidora",
A240 = "CAPACITAÇÃO", "Em execução no Corporativo",
TRUE, "Em Execução na Distribuidora"
)</f>
        <v>Em Execução na Distribuidora</v>
      </c>
      <c r="F240" s="4" t="str" cm="1">
        <f t="array" ref="F240">_xlfn.IFS(
AG240 &lt;&gt; "", "Jan-Dez/26",
AH240 &lt;&gt; "", "Fev-Dez/26",
AI240 &lt;&gt; "", "Mar-Dez/26", AJ240 &lt;&gt; "", "Abr-Dez/26",
TRUE, "A partir de Junho"
)</f>
        <v>Jan-Dez/26</v>
      </c>
      <c r="G240" s="4" t="s">
        <v>37</v>
      </c>
      <c r="H240" s="7" t="s">
        <v>54</v>
      </c>
      <c r="I240" s="8" t="s">
        <v>78</v>
      </c>
      <c r="J240" s="8" t="str" cm="1">
        <f t="array" aca="1" ref="J240" ca="1">_xlfn.LET(
  _xlpm.actual_value_month, INDEX(T240:AE240, MATCH(DATE(YEAR(TODAY()), MONTH(TODAY()), 1), $T$1:$AE$1, 0)),
  IF(_xlpm.actual_value_month &lt;&gt; "",_xlpm.actual_value_month &amp; " eventos mensais", "")
)</f>
        <v>4 eventos mensais</v>
      </c>
      <c r="K240" s="8" t="str" cm="1">
        <f t="array" ref="K240">_xlfn.LET(
    _xlpm.sum_month, SUM(T240:AE240),
    IF(_xlpm.sum_month = 0, "", _xlpm.sum_month &amp; " eventos no ano.")
)</f>
        <v>97 eventos no ano.</v>
      </c>
      <c r="L240" s="9" t="s">
        <v>56</v>
      </c>
      <c r="M240" s="13" t="s">
        <v>79</v>
      </c>
      <c r="N240" s="5" t="s">
        <v>42</v>
      </c>
      <c r="O240" s="5" t="s">
        <v>43</v>
      </c>
      <c r="P240" s="10" t="s">
        <v>44</v>
      </c>
      <c r="Q240" s="10" t="s">
        <v>44</v>
      </c>
      <c r="R240" s="11" t="s">
        <v>44</v>
      </c>
      <c r="S240" s="11" t="s">
        <v>44</v>
      </c>
      <c r="T240" s="22">
        <v>12</v>
      </c>
      <c r="U240" s="22">
        <v>34</v>
      </c>
      <c r="V240" s="22">
        <v>15</v>
      </c>
      <c r="W240" s="22">
        <v>4</v>
      </c>
      <c r="X240" s="22">
        <v>4</v>
      </c>
      <c r="Y240" s="22">
        <v>4</v>
      </c>
      <c r="Z240" s="22">
        <v>4</v>
      </c>
      <c r="AA240" s="22">
        <v>4</v>
      </c>
      <c r="AB240" s="22">
        <v>4</v>
      </c>
      <c r="AC240" s="22">
        <v>4</v>
      </c>
      <c r="AD240" s="22">
        <v>4</v>
      </c>
      <c r="AE240" s="22">
        <v>4</v>
      </c>
      <c r="AG240" s="71">
        <v>12</v>
      </c>
      <c r="AH240" s="71">
        <v>34</v>
      </c>
      <c r="AI240" s="71">
        <v>15</v>
      </c>
      <c r="AJ240" s="139">
        <v>35</v>
      </c>
      <c r="AK240" s="71"/>
      <c r="AL240" s="71"/>
      <c r="AM240" s="71"/>
      <c r="AN240" s="71"/>
      <c r="AO240" s="71"/>
      <c r="AP240" s="71"/>
      <c r="AQ240" s="71"/>
      <c r="AR240" s="71"/>
      <c r="AS240" s="94">
        <f t="shared" ca="1" si="533"/>
        <v>69</v>
      </c>
      <c r="AT240" s="95">
        <f>SUM(IF(AW240&lt;1.15,AG240,1.15*T240),IF(AX240&lt;1.15,AH240,1.15*U240),IF(AY240&lt;1.15,AI240,1.15*V240),IF(AZ240&lt;1.15,AJ240,1.15*W240),IF(BA240&lt;1.15,AK240,1.15*X240),IF(BB240&lt;1.15,AL240,1.15*Y240),IF(BC240&lt;1.15,AM240,1.15*Z240),IF(BD240&lt;1.15,AN240,1.15*AA240),IF(BE240&lt;1.15,AO240,1.15*AB240),IF(BF240&lt;1.15,AP240,1.15*AC240),IF(BG240&lt;1.15,AQ240,1.15*AD240),IF(BH240&lt;1.15,AR240,1.15*AE240))</f>
        <v>65.599999999999994</v>
      </c>
      <c r="AU240" s="97">
        <f t="shared" si="534"/>
        <v>96</v>
      </c>
      <c r="AW240" s="51">
        <f>IFERROR(IF(AG240="",0,AG240/T240),0)</f>
        <v>1</v>
      </c>
      <c r="AX240" s="51">
        <f>IFERROR(IF(AH240="",0,AH240/U240),0)</f>
        <v>1</v>
      </c>
      <c r="AY240" s="51">
        <f>IFERROR(IF(AI240="",0,AI240/V240),0)</f>
        <v>1</v>
      </c>
      <c r="AZ240" s="51">
        <f>IFERROR(IF(AJ240="",0,AJ240/W240),0)</f>
        <v>8.75</v>
      </c>
      <c r="BA240" s="51"/>
      <c r="BB240" s="51"/>
      <c r="BC240" s="51"/>
      <c r="BD240" s="51"/>
      <c r="BE240" s="51"/>
      <c r="BF240" s="51"/>
      <c r="BG240" s="51"/>
      <c r="BH240" s="51"/>
      <c r="BI240" s="65" cm="1">
        <f t="array" ref="BI240">IFERROR(INDEX(AW240:BH240,1,MATCH(2,1/(AW240:BH240&lt;&gt;""))),"")</f>
        <v>8.75</v>
      </c>
      <c r="BJ240" s="68" cm="1">
        <f t="array" ref="BJ240">IF(BM240 = "", "",IFERROR(INDEX(AW240:BH240,1,MATCH(2,1/(AW240:BH240&lt;&gt;""),1)-1),""))</f>
        <v>1</v>
      </c>
      <c r="BK240" s="58">
        <f>IF((IF(AW240&gt;=115%,115%,AW240) + IF(AX240&gt;=115%,115%,AX240) + IF(AY240&gt;=115%,115%,AY240) + (IF(AZ240&gt;=115%,115%,AZ240) + IF(BA240&gt;=115%,115%,BA240) + IF(BB240&gt;=115%,115%,BB240) + IF(BC240&gt;=115%,115%,BC240) + IF(BD240&gt;=115%,115%,BD240) + IF(BE240&gt;=115%,115%,BE240) + IF(BF240&gt;=115%,115%,BF240) + IF(BG240&gt;=115%,115%,BG240) + IF(BH240&gt;=115%,115%,BH240)))/_xlfn.XLOOKUP(F240,Apuração!A:A,Apuração!B:B)&gt;=1.15,1.15,((IF(AZ240&gt;=115%,115%,AZ240) + IF(AX240&gt;=115%,115%,AX240) + IF(AY240&gt;=115%,115%,AY240) + (IF(AW240&gt;=115%,115%,AW240) + IF(BA240&gt;=115%,115%,BA240) + IF(BB240&gt;=115%,115%,BB240) + IF(BC240&gt;=115%,115%,BC240) + IF(BD240&gt;=115%,115%,BD240) + IF(BE240&gt;=115%,115%,BE240) + IF(BF240&gt;=115%,115%,BF240) + IF(BG240&gt;=115%,115%,BG240) + IF(BH240&gt;=115%,115%,BH240)))/_xlfn.XLOOKUP(F240,Apuração!A:A,Apuração!B:B)))</f>
        <v>0.34583333333333338</v>
      </c>
      <c r="BL240" s="58" cm="1">
        <f t="array" aca="1" ref="BL240" ca="1">IF(SUM(IFERROR(IF(INDEX(AW240:INDEX(AW240:BH240, MATCH(2, 1/(AW240:BH240&lt;&gt;""), 1)-1), ROW(INDIRECT("1:" &amp; MATCH(2, 1/(AW240:BH240&lt;&gt;""), 1)-1))) &gt;= 115%, 115%, INDEX(AW240:INDEX(AW240:BH240, MATCH(2, 1/(AW240:BH240&lt;&gt;""), 1)-1), ROW(INDIRECT("1:" &amp; MATCH(2, 1/(AW240:BH240&lt;&gt;""), 1)-1)))), 0))/_xlfn.XLOOKUP(F240,Apuração!A:A,Apuração!B:B)&gt;=1.15,1.15,SUM(IFERROR(IF(INDEX(AW240:INDEX(AW240:BH240, MATCH(2, 1/(AW240:BH240&lt;&gt;""), 1)-1), ROW(INDIRECT("1:" &amp; MATCH(2, 1/(AW240:BH240&lt;&gt;""), 1)-1))) &gt;= 115%, 115%, INDEX(AW240:INDEX(AW240:BH240, MATCH(2, 1/(AW240:BH240&lt;&gt;""), 1)-1), ROW(INDIRECT("1:" &amp; MATCH(2, 1/(AW240:BH240&lt;&gt;""), 1)-1)))), 0))/_xlfn.XLOOKUP(F240,Apuração!A:A,Apuração!B:B))</f>
        <v>0.25</v>
      </c>
      <c r="BM240" s="55" cm="1">
        <f t="array" ref="BM240">IFERROR(
   INDEX($AW$1:$BH$1,
      _xlfn.AGGREGATE(14, 6, COLUMN($AW$1:$BH$1)/(AW240:BH240&lt;&gt;""), 2) - COLUMN($AW$1) + 1
   ),
"")</f>
        <v>46082</v>
      </c>
      <c r="BN240" s="55" cm="1">
        <f t="array" ref="BN240">IFERROR(INDEX($AW$1:$BH$1,1,MATCH(2,1/(AW240:BH240&lt;&gt;""))),"")</f>
        <v>46113</v>
      </c>
      <c r="BO240" s="53">
        <f ca="1">IFERROR(_xlfn.XLOOKUP(F240,Apuração!A:A,Apuração!C:C)/_xlfn.XLOOKUP(F240,Apuração!A:A,Apuração!B:B),0)</f>
        <v>0.41666666666666669</v>
      </c>
      <c r="BP240" s="53">
        <f ca="1">IFERROR(_xlfn.XLOOKUP(F240,Apuração!A:A,Apuração!D:D)/_xlfn.XLOOKUP(F240,Apuração!A:A,Apuração!B:B),0)</f>
        <v>0.33333333333333331</v>
      </c>
      <c r="BQ240" s="53">
        <f ca="1">IF(BK240&gt;=BO240,0,_xlfn.XLOOKUP(F240,Apuração!A:A,Apuração!B:B)*(BO240 + (1/_xlfn.XLOOKUP(F240,Apuração!A:A,Apuração!B:B)) - BK240))</f>
        <v>1.8499999999999994</v>
      </c>
      <c r="BR240" s="85">
        <f t="shared" ca="1" si="494"/>
        <v>7.3999999999999977</v>
      </c>
      <c r="BS240" s="53">
        <f ca="1">IFERROR((_xlfn.XLOOKUP(F240,Apuração!A:A,Apuração!C:C)+1)/_xlfn.XLOOKUP(F240,Apuração!A:A,Apuração!B:B),0)</f>
        <v>0.5</v>
      </c>
    </row>
    <row r="241" spans="1:71" ht="25.95" hidden="1" customHeight="1" x14ac:dyDescent="0.3">
      <c r="A241" s="39" t="s">
        <v>33</v>
      </c>
      <c r="B241" s="4" t="s">
        <v>77</v>
      </c>
      <c r="C241" s="5" t="s">
        <v>95</v>
      </c>
      <c r="D241" s="5" t="s">
        <v>36</v>
      </c>
      <c r="E241" s="4" t="str" cm="1">
        <f t="array" ref="E241">_xlfn.IFS(
F241 = "A partir de Abril", "Aguardando Execução na Distribuidora",
A241 = "CAPACITAÇÃO", "Em execução no Corporativo",
TRUE, "Em Execução na Distribuidora"
)</f>
        <v>Em Execução na Distribuidora</v>
      </c>
      <c r="F241" s="4" t="str" cm="1">
        <f t="array" ref="F241">_xlfn.IFS(
AG241 &lt;&gt; "", "Jan-Dez/26",
AH241 &lt;&gt; "", "Fev-Dez/26",
AI241 &lt;&gt; "", "Mar-Dez/26", AJ241 &lt;&gt; "", "Abr-Dez/26",
TRUE, "A partir de Junho"
)</f>
        <v>Jan-Dez/26</v>
      </c>
      <c r="G241" s="4" t="s">
        <v>37</v>
      </c>
      <c r="H241" s="7" t="s">
        <v>54</v>
      </c>
      <c r="I241" s="9" t="s">
        <v>76</v>
      </c>
      <c r="J241" s="8" t="str" cm="1">
        <f t="array" aca="1" ref="J241" ca="1">_xlfn.LET(
  _xlpm.actual_value_month, INDEX(T241:AE241, MATCH(DATE(YEAR(TODAY()), MONTH(TODAY()), 1), $T$1:$AE$1, 0)),
  IF(_xlpm.actual_value_month &lt;&gt; "",_xlpm.actual_value_month &amp; " ações mensais", "")
)</f>
        <v/>
      </c>
      <c r="K241" s="8" t="str" cm="1">
        <f t="array" ref="K241">_xlfn.LET(
    _xlpm.sum_month, SUM(T241:AE241),
    IF(_xlpm.sum_month = 0, "", _xlpm.sum_month &amp; " pessoas impactadas no ano.")
)</f>
        <v/>
      </c>
      <c r="L241" s="9" t="s">
        <v>76</v>
      </c>
      <c r="M241" s="19">
        <v>1</v>
      </c>
      <c r="N241" s="5" t="s">
        <v>51</v>
      </c>
      <c r="O241" s="5" t="s">
        <v>52</v>
      </c>
      <c r="P241" s="10" t="s">
        <v>44</v>
      </c>
      <c r="Q241" s="10" t="s">
        <v>44</v>
      </c>
      <c r="R241" s="11" t="s">
        <v>44</v>
      </c>
      <c r="S241" s="11" t="s">
        <v>44</v>
      </c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G241" s="71">
        <v>231787</v>
      </c>
      <c r="AH241" s="71">
        <v>231787</v>
      </c>
      <c r="AI241" s="71">
        <v>231787</v>
      </c>
      <c r="AJ241" s="140">
        <v>231787</v>
      </c>
      <c r="AK241" s="71"/>
      <c r="AL241" s="71"/>
      <c r="AM241" s="71"/>
      <c r="AN241" s="71"/>
      <c r="AO241" s="71"/>
      <c r="AP241" s="71"/>
      <c r="AQ241" s="71"/>
      <c r="AR241" s="71"/>
      <c r="AS241" s="94">
        <f t="shared" ca="1" si="533"/>
        <v>0</v>
      </c>
      <c r="AT241" s="95">
        <f>SUM(AG241:AR241)</f>
        <v>927148</v>
      </c>
      <c r="AU241" s="97">
        <f t="shared" si="534"/>
        <v>927148</v>
      </c>
      <c r="AW241" s="83">
        <f>AG241</f>
        <v>231787</v>
      </c>
      <c r="AX241" s="83">
        <f t="shared" ref="AX241" si="550">AH241</f>
        <v>231787</v>
      </c>
      <c r="AY241" s="83">
        <f t="shared" ref="AY241" si="551">AI241</f>
        <v>231787</v>
      </c>
      <c r="AZ241" s="83">
        <f t="shared" ref="AZ241" si="552">AJ241</f>
        <v>231787</v>
      </c>
      <c r="BA241" s="52"/>
      <c r="BB241" s="52"/>
      <c r="BC241" s="52"/>
      <c r="BD241" s="52"/>
      <c r="BE241" s="52"/>
      <c r="BF241" s="52"/>
      <c r="BG241" s="52"/>
      <c r="BH241" s="52"/>
      <c r="BI241" s="68" cm="1">
        <f t="array" ref="BI241">IFERROR(INDEX(AW241:BH241,1,MATCH(2,1/(AW241:BH241&lt;&gt;""))),"")</f>
        <v>231787</v>
      </c>
      <c r="BJ241" s="68" cm="1">
        <f t="array" ref="BJ241">IF(BM241 = "", "",IFERROR(INDEX(AW241:BH241,1,MATCH(2,1/(AW241:BH241&lt;&gt;""),1)-1),""))</f>
        <v>231787</v>
      </c>
      <c r="BK241" s="59">
        <f>SUM(AW241:BH241)</f>
        <v>927148</v>
      </c>
      <c r="BL241" s="59" cm="1">
        <f t="array" ref="BL241">IFERROR(SUM(AW241:INDEX(AW241:BH241, MATCH(2, 1/(AW241:BH241&lt;&gt;""), 1) - 1))/_xlfn.XLOOKUP(F241,Apuração!A:A,Apuração!B:B),0)</f>
        <v>57946.75</v>
      </c>
      <c r="BM241" s="55" cm="1">
        <f t="array" ref="BM241">IFERROR(
   INDEX($AW$1:$BH$1,
      _xlfn.AGGREGATE(14, 6, COLUMN($AW$1:$BH$1)/(AW241:BH241&lt;&gt;""), 2) - COLUMN($AW$1) + 1
   ),
"")</f>
        <v>46082</v>
      </c>
      <c r="BN241" s="55" cm="1">
        <f t="array" ref="BN241">IFERROR(INDEX($AW$1:$BH$1,1,MATCH(2,1/(AW241:BH241&lt;&gt;""))),"")</f>
        <v>46113</v>
      </c>
      <c r="BO241" s="53">
        <f ca="1">IFERROR(_xlfn.XLOOKUP(F241,Apuração!A:A,Apuração!C:C)/_xlfn.XLOOKUP(F241,Apuração!A:A,Apuração!B:B),0)</f>
        <v>0.41666666666666669</v>
      </c>
      <c r="BP241" s="53">
        <f ca="1">IFERROR(_xlfn.XLOOKUP(F241,Apuração!A:A,Apuração!D:D)/_xlfn.XLOOKUP(F241,Apuração!A:A,Apuração!B:B),0)</f>
        <v>0.33333333333333331</v>
      </c>
      <c r="BQ241" s="53">
        <f ca="1">IF(BK241&gt;=BO241,0,_xlfn.XLOOKUP(F241,Apuração!A:A,Apuração!B:B)*(BO241 + (1/_xlfn.XLOOKUP(F241,Apuração!A:A,Apuração!B:B)) - BK241))</f>
        <v>0</v>
      </c>
      <c r="BR241" s="85">
        <f t="shared" ca="1" si="494"/>
        <v>0</v>
      </c>
      <c r="BS241" s="53">
        <f ca="1">IFERROR((_xlfn.XLOOKUP(F241,Apuração!A:A,Apuração!C:C)+1)/_xlfn.XLOOKUP(F241,Apuração!A:A,Apuração!B:B),0)</f>
        <v>0.5</v>
      </c>
    </row>
    <row r="242" spans="1:71" ht="25.95" hidden="1" customHeight="1" x14ac:dyDescent="0.3">
      <c r="A242" s="3" t="s">
        <v>33</v>
      </c>
      <c r="B242" s="4" t="s">
        <v>81</v>
      </c>
      <c r="C242" s="5" t="s">
        <v>95</v>
      </c>
      <c r="D242" s="5" t="s">
        <v>36</v>
      </c>
      <c r="E242" s="4" t="str" cm="1">
        <f t="array" ref="E242">_xlfn.IFS(
F242 = "A partir de Abril", "Aguardando Execução na Distribuidora",
A242 = "CAPACITAÇÃO", "Em execução no Corporativo",
TRUE, "Em Execução na Distribuidora"
)</f>
        <v>Em Execução na Distribuidora</v>
      </c>
      <c r="F242" s="4" t="str" cm="1">
        <f t="array" ref="F242">_xlfn.IFS(
AG242 &lt;&gt; "", "Jan-Dez/26",
AH242 &lt;&gt; "", "Fev-Dez/26",
AI242 &lt;&gt; "", "Mar-Dez/26", AJ242 &lt;&gt; "", "Abr-Dez/26",
TRUE, "A partir de Junho"
)</f>
        <v>A partir de Junho</v>
      </c>
      <c r="G242" s="4" t="s">
        <v>62</v>
      </c>
      <c r="H242" s="7" t="s">
        <v>110</v>
      </c>
      <c r="I242" s="8" t="s">
        <v>55</v>
      </c>
      <c r="J242" s="8" t="str" cm="1">
        <f t="array" aca="1" ref="J242" ca="1">_xlfn.LET(
  _xlpm.actual_value_month, INDEX(T242:AE242, MATCH(DATE(YEAR(TODAY()), MONTH(TODAY()), 1), $T$1:$AE$1, 0)),
  IF(_xlpm.actual_value_month &lt;&gt; "",_xlpm.actual_value_month &amp; " eventos mensais", "")
)</f>
        <v>1 eventos mensais</v>
      </c>
      <c r="K242" s="8" t="str" cm="1">
        <f t="array" ref="K242">_xlfn.LET(
    _xlpm.sum_month, SUM(T242:AE242),
    IF(_xlpm.sum_month = 0, "", _xlpm.sum_month &amp; "  eventos no ano")
)</f>
        <v>9  eventos no ano</v>
      </c>
      <c r="L242" s="9" t="s">
        <v>82</v>
      </c>
      <c r="M242" s="13" t="s">
        <v>83</v>
      </c>
      <c r="N242" s="5" t="s">
        <v>42</v>
      </c>
      <c r="O242" s="5" t="s">
        <v>43</v>
      </c>
      <c r="P242" s="10" t="s">
        <v>44</v>
      </c>
      <c r="Q242" s="10" t="s">
        <v>44</v>
      </c>
      <c r="R242" s="11" t="s">
        <v>44</v>
      </c>
      <c r="S242" s="11" t="s">
        <v>44</v>
      </c>
      <c r="T242" s="22"/>
      <c r="U242" s="22"/>
      <c r="V242" s="22"/>
      <c r="W242" s="22">
        <v>1</v>
      </c>
      <c r="X242" s="22">
        <v>1</v>
      </c>
      <c r="Y242" s="22">
        <v>1</v>
      </c>
      <c r="Z242" s="22">
        <v>1</v>
      </c>
      <c r="AA242" s="22">
        <v>1</v>
      </c>
      <c r="AB242" s="22">
        <v>1</v>
      </c>
      <c r="AC242" s="22">
        <v>1</v>
      </c>
      <c r="AD242" s="22">
        <v>1</v>
      </c>
      <c r="AE242" s="22">
        <v>1</v>
      </c>
      <c r="AG242" s="71"/>
      <c r="AH242" s="71"/>
      <c r="AI242" s="71"/>
      <c r="AJ242" s="139"/>
      <c r="AK242" s="71"/>
      <c r="AL242" s="71"/>
      <c r="AM242" s="71"/>
      <c r="AN242" s="71"/>
      <c r="AO242" s="71"/>
      <c r="AP242" s="71"/>
      <c r="AQ242" s="71"/>
      <c r="AR242" s="71"/>
      <c r="AS242" s="94">
        <f t="shared" ca="1" si="533"/>
        <v>2</v>
      </c>
      <c r="AT242" s="95">
        <f>SUM(IF(AW242&lt;1.15,AG242,1.15*T242),IF(AX242&lt;1.15,AH242,1.15*U242),IF(AY242&lt;1.15,AI242,1.15*V242),IF(AZ242&lt;1.15,AJ242,1.15*W242),IF(BA242&lt;1.15,AK242,1.15*X242),IF(BB242&lt;1.15,AL242,1.15*Y242),IF(BC242&lt;1.15,AM242,1.15*Z242),IF(BD242&lt;1.15,AN242,1.15*AA242),IF(BE242&lt;1.15,AO242,1.15*AB242),IF(BF242&lt;1.15,AP242,1.15*AC242),IF(BG242&lt;1.15,AQ242,1.15*AD242),IF(BH242&lt;1.15,AR242,1.15*AE242))</f>
        <v>0</v>
      </c>
      <c r="AU242" s="97">
        <f t="shared" si="534"/>
        <v>0</v>
      </c>
      <c r="AW242" s="51">
        <f>IFERROR(IF(AG242="",0,AG242/T242),0)</f>
        <v>0</v>
      </c>
      <c r="AX242" s="51">
        <f>IFERROR(IF(AH242="",0,AH242/U242),0)</f>
        <v>0</v>
      </c>
      <c r="AY242" s="51">
        <f>IFERROR(IF(AI242="",0,AI242/V242),0)</f>
        <v>0</v>
      </c>
      <c r="AZ242" s="51">
        <f>IFERROR(IF(AJ242="",0,AJ242/W242),0)</f>
        <v>0</v>
      </c>
      <c r="BA242" s="51"/>
      <c r="BB242" s="51"/>
      <c r="BC242" s="51"/>
      <c r="BD242" s="51"/>
      <c r="BE242" s="51"/>
      <c r="BF242" s="51"/>
      <c r="BG242" s="51"/>
      <c r="BH242" s="51"/>
      <c r="BI242" s="65" cm="1">
        <f t="array" ref="BI242">IFERROR(INDEX(AW242:BH242,1,MATCH(2,1/(AW242:BH242&lt;&gt;""))),"")</f>
        <v>0</v>
      </c>
      <c r="BJ242" s="68" cm="1">
        <f t="array" ref="BJ242">IF(BM242 = "", "",IFERROR(INDEX(AW242:BH242,1,MATCH(2,1/(AW242:BH242&lt;&gt;""),1)-1),""))</f>
        <v>0</v>
      </c>
      <c r="BK242" s="58">
        <f>IF((IF(AW242&gt;=115%,115%,AW242) + IF(AX242&gt;=115%,115%,AX242) + IF(AY242&gt;=115%,115%,AY242) + (IF(AZ242&gt;=115%,115%,AZ242) + IF(BA242&gt;=115%,115%,BA242) + IF(BB242&gt;=115%,115%,BB242) + IF(BC242&gt;=115%,115%,BC242) + IF(BD242&gt;=115%,115%,BD242) + IF(BE242&gt;=115%,115%,BE242) + IF(BF242&gt;=115%,115%,BF242) + IF(BG242&gt;=155%,155%,BG242) + IF(BH242&gt;=115%,115%,BH242)))/_xlfn.XLOOKUP(F242,Apuração!A:A,Apuração!B:B)&gt;=1.15,1.15,((IF(AZ242&gt;=115%,115%,AZ242) + IF(AX242&gt;=115%,115%,AX242) + IF(AY242&gt;=115%,115%,AY242) + (IF(AW242&gt;=115%,115%,AW242) + IF(BA242&gt;=115%,115%,BA242) + IF(BB242&gt;=115%,115%,BB242) + IF(BC242&gt;=115%,115%,BC242) + IF(BD242&gt;=115%,115%,BD242) + IF(BE242&gt;=115%,115%,BE242) + IF(BF242&gt;=115%,115%,BF242) + IF(BG242&gt;=155%,155%,BG242) + IF(BH242&gt;=115%,115%,BH242)))/_xlfn.XLOOKUP(F242,Apuração!A:A,Apuração!B:B)))</f>
        <v>0</v>
      </c>
      <c r="BL242" s="58" cm="1">
        <f t="array" aca="1" ref="BL242" ca="1">IF(SUM(IFERROR(IF(INDEX(AW242:INDEX(AW242:BH242, MATCH(2, 1/(AW242:BH242&lt;&gt;""), 1)-1), ROW(INDIRECT("1:" &amp; MATCH(2, 1/(AW242:BH242&lt;&gt;""), 1)-1))) &gt;= 115%, 115%, INDEX(AW242:INDEX(AW242:BH242, MATCH(2, 1/(AW242:BH242&lt;&gt;""), 1)-1), ROW(INDIRECT("1:" &amp; MATCH(2, 1/(AW242:BH242&lt;&gt;""), 1)-1)))), 0))/_xlfn.XLOOKUP(F242,Apuração!A:A,Apuração!B:B)&gt;=1.15,1.15,SUM(IFERROR(IF(INDEX(AW242:INDEX(AW242:BH242, MATCH(2, 1/(AW242:BH242&lt;&gt;""), 1)-1), ROW(INDIRECT("1:" &amp; MATCH(2, 1/(AW242:BH242&lt;&gt;""), 1)-1))) &gt;= 115%, 115%, INDEX(AW242:INDEX(AW242:BH242, MATCH(2, 1/(AW242:BH242&lt;&gt;""), 1)-1), ROW(INDIRECT("1:" &amp; MATCH(2, 1/(AW242:BH242&lt;&gt;""), 1)-1)))), 0))/_xlfn.XLOOKUP(F242,Apuração!A:A,Apuração!B:B))</f>
        <v>0</v>
      </c>
      <c r="BM242" s="55" cm="1">
        <f t="array" ref="BM242">IFERROR(
   INDEX($AW$1:$BH$1,
      _xlfn.AGGREGATE(14, 6, COLUMN($AW$1:$BH$1)/(AW242:BH242&lt;&gt;""), 2) - COLUMN($AW$1) + 1
   ),
"")</f>
        <v>46082</v>
      </c>
      <c r="BN242" s="55" cm="1">
        <f t="array" ref="BN242">IFERROR(INDEX($AW$1:$BH$1,1,MATCH(2,1/(AW242:BH242&lt;&gt;""))),"")</f>
        <v>46113</v>
      </c>
      <c r="BO242" s="53">
        <f ca="1">IFERROR(_xlfn.XLOOKUP(F242,Apuração!A:A,Apuração!C:C)/_xlfn.XLOOKUP(F242,Apuração!A:A,Apuração!B:B),0)</f>
        <v>0</v>
      </c>
      <c r="BP242" s="53">
        <f ca="1">IFERROR(_xlfn.XLOOKUP(F242,Apuração!A:A,Apuração!D:D)/_xlfn.XLOOKUP(F242,Apuração!A:A,Apuração!B:B),0)</f>
        <v>0</v>
      </c>
      <c r="BQ242" s="53">
        <f ca="1">IF(BK242&gt;=BO242,0,_xlfn.XLOOKUP(F242,Apuração!A:A,Apuração!B:B)*(BO242 + (1/_xlfn.XLOOKUP(F242,Apuração!A:A,Apuração!B:B)) - BK242))</f>
        <v>0</v>
      </c>
      <c r="BR242" s="85">
        <f t="shared" ca="1" si="494"/>
        <v>0</v>
      </c>
      <c r="BS242" s="53">
        <f ca="1">IFERROR((_xlfn.XLOOKUP(F242,Apuração!A:A,Apuração!C:C)+1)/_xlfn.XLOOKUP(F242,Apuração!A:A,Apuração!B:B),0)</f>
        <v>0.14285714285714285</v>
      </c>
    </row>
    <row r="243" spans="1:71" ht="25.95" hidden="1" customHeight="1" x14ac:dyDescent="0.3">
      <c r="A243" s="39" t="s">
        <v>33</v>
      </c>
      <c r="B243" s="4" t="s">
        <v>81</v>
      </c>
      <c r="C243" s="5" t="s">
        <v>95</v>
      </c>
      <c r="D243" s="5" t="s">
        <v>36</v>
      </c>
      <c r="E243" s="4" t="str" cm="1">
        <f t="array" ref="E243">_xlfn.IFS(
F243 = "A partir de Abril", "Aguardando Execução na Distribuidora",
A243 = "CAPACITAÇÃO", "Em execução no Corporativo",
TRUE, "Em Execução na Distribuidora"
)</f>
        <v>Em Execução na Distribuidora</v>
      </c>
      <c r="F243" s="4" t="str" cm="1">
        <f t="array" ref="F243">_xlfn.IFS(
AG243 &lt;&gt; "", "Jan-Dez/26",
AH243 &lt;&gt; "", "Fev-Dez/26",
AI243 &lt;&gt; "", "Mar-Dez/26", AJ243 &lt;&gt; "", "Abr-Dez/26",
TRUE, "A partir de Junho"
)</f>
        <v>A partir de Junho</v>
      </c>
      <c r="G243" s="4" t="s">
        <v>62</v>
      </c>
      <c r="H243" s="7" t="s">
        <v>110</v>
      </c>
      <c r="I243" s="9" t="s">
        <v>76</v>
      </c>
      <c r="J243" s="8" t="str" cm="1">
        <f t="array" aca="1" ref="J243" ca="1">_xlfn.LET(
  _xlpm.actual_value_month, INDEX(T243:AE243, MATCH(DATE(YEAR(TODAY()), MONTH(TODAY()), 1), $T$1:$AE$1, 0)),
  IF(_xlpm.actual_value_month &lt;&gt; "",_xlpm.actual_value_month &amp; " ações mensais", "")
)</f>
        <v/>
      </c>
      <c r="K243" s="8" t="str" cm="1">
        <f t="array" ref="K243">_xlfn.LET(
    _xlpm.sum_month, SUM(T243:AE243),
    IF(_xlpm.sum_month = 0, "", _xlpm.sum_month &amp; " público impactado no ano.")
)</f>
        <v/>
      </c>
      <c r="L243" s="9" t="s">
        <v>76</v>
      </c>
      <c r="M243" s="13">
        <v>1</v>
      </c>
      <c r="N243" s="5" t="s">
        <v>51</v>
      </c>
      <c r="O243" s="5" t="s">
        <v>52</v>
      </c>
      <c r="P243" s="10" t="s">
        <v>44</v>
      </c>
      <c r="Q243" s="10" t="s">
        <v>44</v>
      </c>
      <c r="R243" s="11" t="s">
        <v>44</v>
      </c>
      <c r="S243" s="11" t="s">
        <v>44</v>
      </c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G243" s="71"/>
      <c r="AH243" s="71"/>
      <c r="AI243" s="71"/>
      <c r="AJ243" s="139"/>
      <c r="AK243" s="71"/>
      <c r="AL243" s="71"/>
      <c r="AM243" s="71"/>
      <c r="AN243" s="71"/>
      <c r="AO243" s="71"/>
      <c r="AP243" s="71"/>
      <c r="AQ243" s="71"/>
      <c r="AR243" s="71"/>
      <c r="AS243" s="94">
        <f t="shared" ca="1" si="533"/>
        <v>0</v>
      </c>
      <c r="AT243" s="95">
        <f>SUM(AG243:AR243)</f>
        <v>0</v>
      </c>
      <c r="AU243" s="97">
        <f t="shared" si="534"/>
        <v>0</v>
      </c>
      <c r="AW243" s="83">
        <f>AG243</f>
        <v>0</v>
      </c>
      <c r="AX243" s="83">
        <f t="shared" ref="AX243" si="553">AH243</f>
        <v>0</v>
      </c>
      <c r="AY243" s="83">
        <f t="shared" ref="AY243" si="554">AI243</f>
        <v>0</v>
      </c>
      <c r="AZ243" s="83">
        <f t="shared" ref="AZ243" si="555">AJ243</f>
        <v>0</v>
      </c>
      <c r="BA243" s="52"/>
      <c r="BB243" s="52"/>
      <c r="BC243" s="52"/>
      <c r="BD243" s="52"/>
      <c r="BE243" s="52"/>
      <c r="BF243" s="52"/>
      <c r="BG243" s="52"/>
      <c r="BH243" s="52"/>
      <c r="BI243" s="68" cm="1">
        <f t="array" ref="BI243">IFERROR(INDEX(AW243:BH243,1,MATCH(2,1/(AW243:BH243&lt;&gt;""))),"")</f>
        <v>0</v>
      </c>
      <c r="BJ243" s="68" cm="1">
        <f t="array" ref="BJ243">IF(BM243 = "", "",IFERROR(INDEX(AW243:BH243,1,MATCH(2,1/(AW243:BH243&lt;&gt;""),1)-1),""))</f>
        <v>0</v>
      </c>
      <c r="BK243" s="59">
        <f>SUM(AW243:BH243)</f>
        <v>0</v>
      </c>
      <c r="BL243" s="59" cm="1">
        <f t="array" ref="BL243">IFERROR(SUM(AW243:INDEX(AW243:BH243, MATCH(2, 1/(AW243:BH243&lt;&gt;""), 1) - 1))/_xlfn.XLOOKUP(F243,Apuração!A:A,Apuração!B:B),0)</f>
        <v>0</v>
      </c>
      <c r="BM243" s="55" cm="1">
        <f t="array" ref="BM243">IFERROR(
   INDEX($AW$1:$BH$1,
      _xlfn.AGGREGATE(14, 6, COLUMN($AW$1:$BH$1)/(AW243:BH243&lt;&gt;""), 2) - COLUMN($AW$1) + 1
   ),
"")</f>
        <v>46082</v>
      </c>
      <c r="BN243" s="55" cm="1">
        <f t="array" ref="BN243">IFERROR(INDEX($AW$1:$BH$1,1,MATCH(2,1/(AW243:BH243&lt;&gt;""))),"")</f>
        <v>46113</v>
      </c>
      <c r="BO243" s="53">
        <f ca="1">IFERROR(_xlfn.XLOOKUP(F243,Apuração!A:A,Apuração!C:C)/_xlfn.XLOOKUP(F243,Apuração!A:A,Apuração!B:B),0)</f>
        <v>0</v>
      </c>
      <c r="BP243" s="53">
        <f ca="1">IFERROR(_xlfn.XLOOKUP(F243,Apuração!A:A,Apuração!D:D)/_xlfn.XLOOKUP(F243,Apuração!A:A,Apuração!B:B),0)</f>
        <v>0</v>
      </c>
      <c r="BQ243" s="53">
        <f ca="1">IF(BK243&gt;=BO243,0,_xlfn.XLOOKUP(F243,Apuração!A:A,Apuração!B:B)*(BO243 + (1/_xlfn.XLOOKUP(F243,Apuração!A:A,Apuração!B:B)) - BK243))</f>
        <v>0</v>
      </c>
      <c r="BR243" s="85">
        <f t="shared" ca="1" si="494"/>
        <v>0</v>
      </c>
      <c r="BS243" s="53">
        <f ca="1">IFERROR((_xlfn.XLOOKUP(F243,Apuração!A:A,Apuração!C:C)+1)/_xlfn.XLOOKUP(F243,Apuração!A:A,Apuração!B:B),0)</f>
        <v>0.14285714285714285</v>
      </c>
    </row>
    <row r="244" spans="1:71" ht="25.95" hidden="1" customHeight="1" x14ac:dyDescent="0.3">
      <c r="A244" s="3" t="s">
        <v>33</v>
      </c>
      <c r="B244" s="4" t="s">
        <v>84</v>
      </c>
      <c r="C244" s="5" t="s">
        <v>95</v>
      </c>
      <c r="D244" s="5" t="s">
        <v>36</v>
      </c>
      <c r="E244" s="4" t="s">
        <v>96</v>
      </c>
      <c r="F244" s="4" t="str" cm="1">
        <f t="array" ref="F244">_xlfn.IFS(
AG244 &lt;&gt; "", "Jan-Dez/26",
AH244 &lt;&gt; "", "Fev-Dez/26",
AI244 &lt;&gt; "", "Mar-Dez/26", AJ244 &lt;&gt; "", "Abr-Dez/26",
TRUE, "A partir de Junho"
)</f>
        <v>A partir de Junho</v>
      </c>
      <c r="G244" s="4" t="s">
        <v>62</v>
      </c>
      <c r="H244" s="7" t="s">
        <v>38</v>
      </c>
      <c r="I244" s="8" t="s">
        <v>55</v>
      </c>
      <c r="J244" s="8" t="str" cm="1">
        <f t="array" aca="1" ref="J244" ca="1">_xlfn.LET(
  _xlpm.actual_value_month, INDEX(T244:AE244, MATCH(DATE(YEAR(TODAY()), MONTH(TODAY()), 1), $T$1:$AE$1, 0)),
  IF(_xlpm.actual_value_month &lt;&gt; "",_xlpm.actual_value_month &amp; " ações mensais", "")
)</f>
        <v>1 ações mensais</v>
      </c>
      <c r="K244" s="14" t="str" cm="1">
        <f t="array" ref="K244">_xlfn.LET(
    _xlpm.sum_month, SUM(T244:AE244),
    IF(_xlpm.sum_month = 0, "", _xlpm.sum_month &amp; " eventos realizados")
)</f>
        <v>9 eventos realizados</v>
      </c>
      <c r="L244" s="9" t="s">
        <v>56</v>
      </c>
      <c r="M244" s="13" t="s">
        <v>86</v>
      </c>
      <c r="N244" s="5" t="s">
        <v>42</v>
      </c>
      <c r="O244" s="5" t="s">
        <v>43</v>
      </c>
      <c r="P244" s="10" t="s">
        <v>44</v>
      </c>
      <c r="Q244" s="10" t="s">
        <v>44</v>
      </c>
      <c r="R244" s="11" t="s">
        <v>44</v>
      </c>
      <c r="S244" s="11" t="s">
        <v>44</v>
      </c>
      <c r="T244" s="22"/>
      <c r="U244" s="22"/>
      <c r="V244" s="22"/>
      <c r="W244" s="22">
        <v>1</v>
      </c>
      <c r="X244" s="22">
        <v>1</v>
      </c>
      <c r="Y244" s="22">
        <v>1</v>
      </c>
      <c r="Z244" s="22">
        <v>1</v>
      </c>
      <c r="AA244" s="22">
        <v>1</v>
      </c>
      <c r="AB244" s="22">
        <v>1</v>
      </c>
      <c r="AC244" s="22">
        <v>1</v>
      </c>
      <c r="AD244" s="22">
        <v>1</v>
      </c>
      <c r="AE244" s="22">
        <v>1</v>
      </c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94">
        <f t="shared" ca="1" si="533"/>
        <v>2</v>
      </c>
      <c r="AT244" s="95">
        <f>SUM(IF(AW244&lt;1.15,AG244,1.15*T244),IF(AX244&lt;1.15,AH244,1.15*U244),IF(AY244&lt;1.15,AI244,1.15*V244),IF(AZ244&lt;1.15,AJ244,1.15*W244),IF(BA244&lt;1.15,AK244,1.15*X244),IF(BB244&lt;1.15,AL244,1.15*Y244),IF(BC244&lt;1.15,AM244,1.15*Z244),IF(BD244&lt;1.15,AN244,1.15*AA244),IF(BE244&lt;1.15,AO244,1.15*AB244),IF(BF244&lt;1.15,AP244,1.15*AC244),IF(BG244&lt;1.15,AQ244,1.15*AD244),IF(BH244&lt;1.15,AR244,1.15*AE244))</f>
        <v>0</v>
      </c>
      <c r="AU244" s="97">
        <f t="shared" si="534"/>
        <v>0</v>
      </c>
      <c r="AW244" s="51">
        <f>IFERROR(IF(AG244="",0,AG244/T244),0)</f>
        <v>0</v>
      </c>
      <c r="AX244" s="51">
        <f>IFERROR(IF(AH244="",0,AH244/U244),0)</f>
        <v>0</v>
      </c>
      <c r="AY244" s="51">
        <f>IFERROR(IF(AI244="",0,AI244/V244),0)</f>
        <v>0</v>
      </c>
      <c r="AZ244" s="51">
        <f>IFERROR(IF(AJ244="",0,AJ244/W244),0)</f>
        <v>0</v>
      </c>
      <c r="BA244" s="51"/>
      <c r="BB244" s="51"/>
      <c r="BC244" s="51"/>
      <c r="BD244" s="51"/>
      <c r="BE244" s="51"/>
      <c r="BF244" s="51"/>
      <c r="BG244" s="51"/>
      <c r="BH244" s="51"/>
      <c r="BI244" s="65" cm="1">
        <f t="array" ref="BI244">IFERROR(INDEX(AW244:BH244,1,MATCH(2,1/(AW244:BH244&lt;&gt;""))),"")</f>
        <v>0</v>
      </c>
      <c r="BJ244" s="68" cm="1">
        <f t="array" ref="BJ244">IF(BM244 = "", "",IFERROR(INDEX(AW244:BH244,1,MATCH(2,1/(AW244:BH244&lt;&gt;""),1)-1),""))</f>
        <v>0</v>
      </c>
      <c r="BK244" s="58">
        <f>IF((IF(AW244&gt;=115%,115%,AW244) + IF(AX244&gt;=115%,115%,AX244) + IF(AY244&gt;=115%,115%,AY244) + (IF(AZ244&gt;=115%,115%,AZ244) + IF(BA244&gt;=115%,115%,BA244) + IF(BB244&gt;=115%,115%,BB244) + IF(BC244&gt;=115%,115%,BC244) + IF(BD244&gt;=115%,115%,BD244) + IF(BE244&gt;=115%,115%,BE244) + IF(BF244&gt;=115%,115%,BF244) + IF(BG244&gt;=115%,115%,BG244) + IF(BH244&gt;=115%,115%,BH244)))/_xlfn.XLOOKUP(F244,Apuração!A:A,Apuração!B:B)&gt;=1.15,1.15,((IF(AZ244&gt;=115%,115%,AZ244) + IF(AX244&gt;=115%,115%,AX244) + IF(AY244&gt;=115%,115%,AY244) + (IF(AW244&gt;=115%,115%,AW244) + IF(BA244&gt;=115%,115%,BA244) + IF(BB244&gt;=115%,115%,BB244) + IF(BC244&gt;=115%,115%,BC244) + IF(BD244&gt;=115%,115%,BD244) + IF(BE244&gt;=115%,115%,BE244) + IF(BF244&gt;=115%,115%,BF244) + IF(BG244&gt;=115%,115%,BG244) + IF(BH244&gt;=115%,115%,BH244)))/_xlfn.XLOOKUP(F244,Apuração!A:A,Apuração!B:B)))</f>
        <v>0</v>
      </c>
      <c r="BL244" s="58" cm="1">
        <f t="array" aca="1" ref="BL244" ca="1">IF(SUM(IFERROR(IF(INDEX(AW244:INDEX(AW244:BH244, MATCH(2, 1/(AW244:BH244&lt;&gt;""), 1)-1), ROW(INDIRECT("1:" &amp; MATCH(2, 1/(AW244:BH244&lt;&gt;""), 1)-1))) &gt;= 115%, 115%, INDEX(AW244:INDEX(AW244:BH244, MATCH(2, 1/(AW244:BH244&lt;&gt;""), 1)-1), ROW(INDIRECT("1:" &amp; MATCH(2, 1/(AW244:BH244&lt;&gt;""), 1)-1)))), 0))/_xlfn.XLOOKUP(F244,Apuração!A:A,Apuração!B:B)&gt;=1.15,1.15,SUM(IFERROR(IF(INDEX(AW244:INDEX(AW244:BH244, MATCH(2, 1/(AW244:BH244&lt;&gt;""), 1)-1), ROW(INDIRECT("1:" &amp; MATCH(2, 1/(AW244:BH244&lt;&gt;""), 1)-1))) &gt;= 115%, 115%, INDEX(AW244:INDEX(AW244:BH244, MATCH(2, 1/(AW244:BH244&lt;&gt;""), 1)-1), ROW(INDIRECT("1:" &amp; MATCH(2, 1/(AW244:BH244&lt;&gt;""), 1)-1)))), 0))/_xlfn.XLOOKUP(F244,Apuração!A:A,Apuração!B:B))</f>
        <v>0</v>
      </c>
      <c r="BM244" s="55" cm="1">
        <f t="array" ref="BM244">IFERROR(
   INDEX($AW$1:$BH$1,
      _xlfn.AGGREGATE(14, 6, COLUMN($AW$1:$BH$1)/(AW244:BH244&lt;&gt;""), 2) - COLUMN($AW$1) + 1
   ),
"")</f>
        <v>46082</v>
      </c>
      <c r="BN244" s="55" cm="1">
        <f t="array" ref="BN244">IFERROR(INDEX($AW$1:$BH$1,1,MATCH(2,1/(AW244:BH244&lt;&gt;""))),"")</f>
        <v>46113</v>
      </c>
      <c r="BO244" s="53">
        <f ca="1">IFERROR(_xlfn.XLOOKUP(F244,Apuração!A:A,Apuração!C:C)/_xlfn.XLOOKUP(F244,Apuração!A:A,Apuração!B:B),0)</f>
        <v>0</v>
      </c>
      <c r="BP244" s="53">
        <f ca="1">IFERROR(_xlfn.XLOOKUP(F244,Apuração!A:A,Apuração!D:D)/_xlfn.XLOOKUP(F244,Apuração!A:A,Apuração!B:B),0)</f>
        <v>0</v>
      </c>
      <c r="BQ244" s="53">
        <f ca="1">IF(BK244&gt;=BO244,0,_xlfn.XLOOKUP(F244,Apuração!A:A,Apuração!B:B)*(BO244 + (1/_xlfn.XLOOKUP(F244,Apuração!A:A,Apuração!B:B)) - BK244))</f>
        <v>0</v>
      </c>
      <c r="BR244" s="85">
        <f t="shared" ca="1" si="494"/>
        <v>0</v>
      </c>
      <c r="BS244" s="53">
        <f ca="1">IFERROR((_xlfn.XLOOKUP(F244,Apuração!A:A,Apuração!C:C)+1)/_xlfn.XLOOKUP(F244,Apuração!A:A,Apuração!B:B),0)</f>
        <v>0.14285714285714285</v>
      </c>
    </row>
    <row r="245" spans="1:71" ht="25.95" hidden="1" customHeight="1" x14ac:dyDescent="0.3">
      <c r="A245" s="39" t="s">
        <v>33</v>
      </c>
      <c r="B245" s="4" t="s">
        <v>84</v>
      </c>
      <c r="C245" s="5" t="s">
        <v>95</v>
      </c>
      <c r="D245" s="5" t="s">
        <v>36</v>
      </c>
      <c r="E245" s="4" t="s">
        <v>96</v>
      </c>
      <c r="F245" s="4" t="str" cm="1">
        <f t="array" ref="F245">_xlfn.IFS(
AG245 &lt;&gt; "", "Jan-Dez/26",
AH245 &lt;&gt; "", "Fev-Dez/26",
AI245 &lt;&gt; "", "Mar-Dez/26", AJ245 &lt;&gt; "", "Abr-Dez/26",
TRUE, "A partir de Junho"
)</f>
        <v>A partir de Junho</v>
      </c>
      <c r="G245" s="4" t="s">
        <v>62</v>
      </c>
      <c r="H245" s="7" t="s">
        <v>38</v>
      </c>
      <c r="I245" s="9" t="s">
        <v>76</v>
      </c>
      <c r="J245" s="8" t="str" cm="1">
        <f t="array" aca="1" ref="J245" ca="1">_xlfn.LET(
  _xlpm.actual_value_month, INDEX(T245:AE245, MATCH(DATE(YEAR(TODAY()), MONTH(TODAY()), 1), $T$1:$AE$1, 0)),
  IF(_xlpm.actual_value_month &lt;&gt; "",_xlpm.actual_value_month &amp; " ações mensais", "")
)</f>
        <v/>
      </c>
      <c r="K245" s="14" t="str" cm="1">
        <f t="array" ref="K245">_xlfn.LET(
    _xlpm.sum_month, SUM(T245:AE245),
    IF(_xlpm.sum_month = 0, "", _xlpm.sum_month &amp; " público impactado no ano.")
)</f>
        <v/>
      </c>
      <c r="L245" s="9" t="s">
        <v>76</v>
      </c>
      <c r="M245" s="13">
        <v>1</v>
      </c>
      <c r="N245" s="5" t="s">
        <v>51</v>
      </c>
      <c r="O245" s="5" t="s">
        <v>52</v>
      </c>
      <c r="P245" s="10" t="s">
        <v>44</v>
      </c>
      <c r="Q245" s="10" t="s">
        <v>44</v>
      </c>
      <c r="R245" s="11" t="s">
        <v>44</v>
      </c>
      <c r="S245" s="11" t="s">
        <v>44</v>
      </c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94">
        <f t="shared" ca="1" si="533"/>
        <v>0</v>
      </c>
      <c r="AT245" s="95">
        <f>SUM(AG245:AR245)</f>
        <v>0</v>
      </c>
      <c r="AU245" s="97">
        <f t="shared" si="534"/>
        <v>0</v>
      </c>
      <c r="AW245" s="83">
        <f>AG245</f>
        <v>0</v>
      </c>
      <c r="AX245" s="83">
        <f t="shared" ref="AX245" si="556">AH245</f>
        <v>0</v>
      </c>
      <c r="AY245" s="83">
        <f t="shared" ref="AY245" si="557">AI245</f>
        <v>0</v>
      </c>
      <c r="AZ245" s="83">
        <f t="shared" ref="AZ245" si="558">AJ245</f>
        <v>0</v>
      </c>
      <c r="BA245" s="52"/>
      <c r="BB245" s="52"/>
      <c r="BC245" s="52"/>
      <c r="BD245" s="52"/>
      <c r="BE245" s="52"/>
      <c r="BF245" s="52"/>
      <c r="BG245" s="52"/>
      <c r="BH245" s="52"/>
      <c r="BI245" s="68" cm="1">
        <f t="array" ref="BI245">IFERROR(INDEX(AW245:BH245,1,MATCH(2,1/(AW245:BH245&lt;&gt;""))),"")</f>
        <v>0</v>
      </c>
      <c r="BJ245" s="68" cm="1">
        <f t="array" ref="BJ245">IF(BM245 = "", "",IFERROR(INDEX(AW245:BH245,1,MATCH(2,1/(AW245:BH245&lt;&gt;""),1)-1),""))</f>
        <v>0</v>
      </c>
      <c r="BK245" s="59">
        <f>SUM(AW245:BH245)</f>
        <v>0</v>
      </c>
      <c r="BL245" s="59" cm="1">
        <f t="array" ref="BL245">IFERROR(SUM(AW245:INDEX(AW245:BH245, MATCH(2, 1/(AW245:BH245&lt;&gt;""), 1) - 1))/_xlfn.XLOOKUP(F245,Apuração!A:A,Apuração!B:B),0)</f>
        <v>0</v>
      </c>
      <c r="BM245" s="55" cm="1">
        <f t="array" ref="BM245">IFERROR(
   INDEX($AW$1:$BH$1,
      _xlfn.AGGREGATE(14, 6, COLUMN($AW$1:$BH$1)/(AW245:BH245&lt;&gt;""), 2) - COLUMN($AW$1) + 1
   ),
"")</f>
        <v>46082</v>
      </c>
      <c r="BN245" s="55" cm="1">
        <f t="array" ref="BN245">IFERROR(INDEX($AW$1:$BH$1,1,MATCH(2,1/(AW245:BH245&lt;&gt;""))),"")</f>
        <v>46113</v>
      </c>
      <c r="BO245" s="53">
        <f ca="1">IFERROR(_xlfn.XLOOKUP(F245,Apuração!A:A,Apuração!C:C)/_xlfn.XLOOKUP(F245,Apuração!A:A,Apuração!B:B),0)</f>
        <v>0</v>
      </c>
      <c r="BP245" s="53">
        <f ca="1">IFERROR(_xlfn.XLOOKUP(F245,Apuração!A:A,Apuração!D:D)/_xlfn.XLOOKUP(F245,Apuração!A:A,Apuração!B:B),0)</f>
        <v>0</v>
      </c>
      <c r="BQ245" s="53">
        <f ca="1">IF(BK245&gt;=BO245,0,_xlfn.XLOOKUP(F245,Apuração!A:A,Apuração!B:B)*(BO245 + (1/_xlfn.XLOOKUP(F245,Apuração!A:A,Apuração!B:B)) - BK245))</f>
        <v>0</v>
      </c>
      <c r="BR245" s="85">
        <f t="shared" ca="1" si="494"/>
        <v>0</v>
      </c>
      <c r="BS245" s="53">
        <f ca="1">IFERROR((_xlfn.XLOOKUP(F245,Apuração!A:A,Apuração!C:C)+1)/_xlfn.XLOOKUP(F245,Apuração!A:A,Apuração!B:B),0)</f>
        <v>0.14285714285714285</v>
      </c>
    </row>
    <row r="246" spans="1:71" ht="25.95" hidden="1" customHeight="1" x14ac:dyDescent="0.3">
      <c r="A246" s="20" t="s">
        <v>87</v>
      </c>
      <c r="B246" s="4" t="s">
        <v>88</v>
      </c>
      <c r="C246" s="5" t="s">
        <v>209</v>
      </c>
      <c r="D246" s="5" t="s">
        <v>36</v>
      </c>
      <c r="E246" s="4" t="s">
        <v>96</v>
      </c>
      <c r="F246" s="4" t="str" cm="1">
        <f t="array" ref="F246">_xlfn.IFS(
AG246 &lt;&gt; "", "Jan-Dez/26",
AH246 &lt;&gt; "", "Fev-Dez/26",
AI246 &lt;&gt; "", "Mar-Dez/26", AJ246 &lt;&gt; "", "Abr-Dez/26",
TRUE, "A partir de Junho"
)</f>
        <v>A partir de Junho</v>
      </c>
      <c r="G246" s="4" t="s">
        <v>62</v>
      </c>
      <c r="H246" s="7" t="s">
        <v>38</v>
      </c>
      <c r="I246" s="9" t="s">
        <v>89</v>
      </c>
      <c r="J246" s="21" t="str" cm="1">
        <f t="array" aca="1" ref="J246" ca="1">_xlfn.LET(
  _xlpm.actual_value_month, INDEX(T246:AE246, MATCH(DATE(YEAR(TODAY()), MONTH(TODAY()), 1), $T$1:$AE$1, 0)),
  IF(_xlpm.actual_value_month &lt;&gt; "",_xlpm.actual_value_month &amp; " ações mensais", "")
)</f>
        <v/>
      </c>
      <c r="K246" s="8" t="str" cm="1">
        <f t="array" ref="K246">_xlfn.LET(
    _xlpm.sum_month, SUM(T246:AE246),
    IF(_xlpm.sum_month = 0, "", _xlpm.sum_month &amp; " certificados gerados no ano")
)</f>
        <v/>
      </c>
      <c r="L246" s="4" t="s">
        <v>90</v>
      </c>
      <c r="M246" s="19"/>
      <c r="N246" s="5" t="s">
        <v>42</v>
      </c>
      <c r="O246" s="5"/>
      <c r="P246" s="10"/>
      <c r="Q246" s="10"/>
      <c r="R246" s="10"/>
      <c r="S246" s="10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94">
        <f t="shared" ref="AS246:AS277" ca="1" si="559">AE246*BO246</f>
        <v>0</v>
      </c>
      <c r="AT246" s="95" t="str" cm="1">
        <f t="array" ref="AT246">IFERROR(INDEX(AJ246:AR246,1,MATCH(2,1/(AJ246:AR246&lt;&gt;""))),"")</f>
        <v/>
      </c>
      <c r="AU246" s="97" t="str">
        <f t="shared" ref="AU246:AU277" si="560">AT246</f>
        <v/>
      </c>
      <c r="AW246" s="51">
        <f>IFERROR(IF(AG246="",0,AG246/T246),0)</f>
        <v>0</v>
      </c>
      <c r="AX246" s="51">
        <f>IFERROR(IF(AH246="",0,AH246/U246),0)</f>
        <v>0</v>
      </c>
      <c r="AY246" s="51">
        <f>IFERROR(IF(AI246="",0,AI246/V246),0)</f>
        <v>0</v>
      </c>
      <c r="AZ246" s="51">
        <f>IFERROR(IF(AJ246="",0,AJ246/W246),0)</f>
        <v>0</v>
      </c>
      <c r="BA246" s="51"/>
      <c r="BB246" s="51"/>
      <c r="BC246" s="51"/>
      <c r="BD246" s="51"/>
      <c r="BE246" s="51"/>
      <c r="BF246" s="51"/>
      <c r="BG246" s="51"/>
      <c r="BH246" s="51"/>
      <c r="BI246" s="65" cm="1">
        <f t="array" ref="BI246">IFERROR(INDEX(AW246:BH246,1,MATCH(2,1/(AW246:BH246&lt;&gt;""))),"")</f>
        <v>0</v>
      </c>
      <c r="BJ246" s="68" cm="1">
        <f t="array" ref="BJ246">IF(BM246 = "", "",IFERROR(INDEX(AW246:BH246,1,MATCH(2,1/(AW246:BH246&lt;&gt;""),1)-1),""))</f>
        <v>0</v>
      </c>
      <c r="BK246" s="58">
        <f>IF((IF(AW246&gt;=115%,115%,AW246) + IF(AX246&gt;=115%,115%,AX246) + IF(AY246&gt;=115%,115%,AY246) + (IF(AZ246&gt;=115%,115%,AZ246) + IF(BA246&gt;=115%,115%,BA246) + IF(BB246&gt;=115%,115%,BB246) + IF(BC246&gt;=115%,115%,BC246) + IF(BD246&gt;=115%,115%,BD246) + IF(BE246&gt;=115%,115%,BE246) + IF(BF246&gt;=115%,115%,BF246) + IF(BG246&gt;=115%,115%,BG246) + IF(BH246&gt;=115%,115%,BH246)))/_xlfn.XLOOKUP(F246,Apuração!A:A,Apuração!B:B)&gt;=1.15,1.15,((IF(AZ246&gt;=115%,115%,AZ246) + IF(AX246&gt;=115%,115%,AX246) + IF(AY246&gt;=115%,115%,AY246) + (IF(AW246&gt;=115%,115%,AW246) + IF(BA246&gt;=115%,115%,BA246) + IF(BB246&gt;=115%,115%,BB246) + IF(BC246&gt;=115%,115%,BC246) + IF(BD246&gt;=115%,115%,BD246) + IF(BE246&gt;=115%,115%,BE246) + IF(BF246&gt;=115%,115%,BF246) + IF(BG246&gt;=115%,115%,BG246) + IF(BH246&gt;=115%,115%,BH246)))/_xlfn.XLOOKUP(F246,Apuração!A:A,Apuração!B:B)))</f>
        <v>0</v>
      </c>
      <c r="BL246" s="58" cm="1">
        <f t="array" aca="1" ref="BL246" ca="1">IF(SUM(IFERROR(IF(INDEX(AW246:INDEX(AW246:BH246, MATCH(2, 1/(AW246:BH246&lt;&gt;""), 1)-1), ROW(INDIRECT("1:" &amp; MATCH(2, 1/(AW246:BH246&lt;&gt;""), 1)-1))) &gt;= 115%, 115%, INDEX(AW246:INDEX(AW246:BH246, MATCH(2, 1/(AW246:BH246&lt;&gt;""), 1)-1), ROW(INDIRECT("1:" &amp; MATCH(2, 1/(AW246:BH246&lt;&gt;""), 1)-1)))), 0))/_xlfn.XLOOKUP(F246,Apuração!A:A,Apuração!B:B)&gt;=1.15,1.15,SUM(IFERROR(IF(INDEX(AW246:INDEX(AW246:BH246, MATCH(2, 1/(AW246:BH246&lt;&gt;""), 1)-1), ROW(INDIRECT("1:" &amp; MATCH(2, 1/(AW246:BH246&lt;&gt;""), 1)-1))) &gt;= 115%, 115%, INDEX(AW246:INDEX(AW246:BH246, MATCH(2, 1/(AW246:BH246&lt;&gt;""), 1)-1), ROW(INDIRECT("1:" &amp; MATCH(2, 1/(AW246:BH246&lt;&gt;""), 1)-1)))), 0))/_xlfn.XLOOKUP(F246,Apuração!A:A,Apuração!B:B))</f>
        <v>0</v>
      </c>
      <c r="BM246" s="55" cm="1">
        <f t="array" ref="BM246">IFERROR(
   INDEX($AW$1:$BH$1,
      _xlfn.AGGREGATE(14, 6, COLUMN($AW$1:$BH$1)/(AW246:BH246&lt;&gt;""), 2) - COLUMN($AW$1) + 1
   ),
"")</f>
        <v>46082</v>
      </c>
      <c r="BN246" s="55" cm="1">
        <f t="array" ref="BN246">IFERROR(INDEX($AW$1:$BH$1,1,MATCH(2,1/(AW246:BH246&lt;&gt;""))),"")</f>
        <v>46113</v>
      </c>
      <c r="BO246" s="53">
        <f ca="1">IFERROR(_xlfn.XLOOKUP(F246,Apuração!A:A,Apuração!C:C)/_xlfn.XLOOKUP(F246,Apuração!A:A,Apuração!B:B),0)</f>
        <v>0</v>
      </c>
      <c r="BP246" s="53">
        <f ca="1">IFERROR(_xlfn.XLOOKUP(F246,Apuração!A:A,Apuração!D:D)/_xlfn.XLOOKUP(F246,Apuração!A:A,Apuração!B:B),0)</f>
        <v>0</v>
      </c>
      <c r="BQ246" s="53">
        <f ca="1">IF(BK246&gt;=BO246,0,_xlfn.XLOOKUP(F246,Apuração!A:A,Apuração!B:B)*(BO246 + (1/_xlfn.XLOOKUP(F246,Apuração!A:A,Apuração!B:B)) - BK246))</f>
        <v>0</v>
      </c>
      <c r="BR246" s="85">
        <f t="shared" ca="1" si="494"/>
        <v>0</v>
      </c>
      <c r="BS246" s="53">
        <f ca="1">IFERROR((_xlfn.XLOOKUP(F246,Apuração!A:A,Apuração!C:C)+1)/_xlfn.XLOOKUP(F246,Apuração!A:A,Apuração!B:B),0)</f>
        <v>0.14285714285714285</v>
      </c>
    </row>
    <row r="247" spans="1:71" ht="25.95" hidden="1" customHeight="1" x14ac:dyDescent="0.3">
      <c r="A247" s="20" t="s">
        <v>87</v>
      </c>
      <c r="B247" s="4" t="s">
        <v>88</v>
      </c>
      <c r="C247" s="5" t="s">
        <v>209</v>
      </c>
      <c r="D247" s="5" t="s">
        <v>210</v>
      </c>
      <c r="E247" s="4" t="s">
        <v>96</v>
      </c>
      <c r="F247" s="4" t="str" cm="1">
        <f t="array" ref="F247">_xlfn.IFS(
AG247 &lt;&gt; "", "Jan-Dez/26",
AH247 &lt;&gt; "", "Fev-Dez/26",
AI247 &lt;&gt; "", "Mar-Dez/26", AJ247 &lt;&gt; "", "Abr-Dez/26",
TRUE, "A partir de Junho"
)</f>
        <v>A partir de Junho</v>
      </c>
      <c r="G247" s="4" t="s">
        <v>62</v>
      </c>
      <c r="H247" s="7" t="s">
        <v>38</v>
      </c>
      <c r="I247" s="9" t="s">
        <v>89</v>
      </c>
      <c r="J247" s="21" t="str" cm="1">
        <f t="array" aca="1" ref="J247" ca="1">_xlfn.LET(
  _xlpm.actual_value_month, INDEX(T247:AE247, MATCH(DATE(YEAR(TODAY()), MONTH(TODAY()), 1), $T$1:$AE$1, 0)),
  IF(_xlpm.actual_value_month &lt;&gt; "",_xlpm.actual_value_month &amp; " ações mensais", "")
)</f>
        <v/>
      </c>
      <c r="K247" s="8" t="str" cm="1">
        <f t="array" ref="K247">_xlfn.LET(
    _xlpm.sum_month, SUM(T247:AE247),
    IF(_xlpm.sum_month = 0, "", _xlpm.sum_month &amp; " certificados gerados no ano")
)</f>
        <v/>
      </c>
      <c r="L247" s="4" t="s">
        <v>90</v>
      </c>
      <c r="M247" s="19"/>
      <c r="N247" s="5" t="s">
        <v>42</v>
      </c>
      <c r="O247" s="5"/>
      <c r="P247" s="10"/>
      <c r="Q247" s="10"/>
      <c r="R247" s="10"/>
      <c r="S247" s="10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94">
        <f t="shared" ref="AS247:AS251" ca="1" si="561">AE247*BO247</f>
        <v>0</v>
      </c>
      <c r="AT247" s="95" t="str" cm="1">
        <f t="array" ref="AT247">IFERROR(INDEX(AJ247:AR247,1,MATCH(2,1/(AJ247:AR247&lt;&gt;""))),"")</f>
        <v/>
      </c>
      <c r="AU247" s="97" t="str">
        <f t="shared" ref="AU247:AU251" si="562">AT247</f>
        <v/>
      </c>
      <c r="AW247" s="51">
        <f t="shared" ref="AW247:AW251" si="563">IFERROR(IF(AG247="",0,AG247/T247),0)</f>
        <v>0</v>
      </c>
      <c r="AX247" s="51">
        <f t="shared" ref="AX247:AX251" si="564">IFERROR(IF(AH247="",0,AH247/U247),0)</f>
        <v>0</v>
      </c>
      <c r="AY247" s="51">
        <f t="shared" ref="AY247:AY251" si="565">IFERROR(IF(AI247="",0,AI247/V247),0)</f>
        <v>0</v>
      </c>
      <c r="AZ247" s="51">
        <f t="shared" ref="AZ247:AZ251" si="566">IFERROR(IF(AJ247="",0,AJ247/W247),0)</f>
        <v>0</v>
      </c>
      <c r="BA247" s="51"/>
      <c r="BB247" s="51"/>
      <c r="BC247" s="51"/>
      <c r="BD247" s="51"/>
      <c r="BE247" s="51"/>
      <c r="BF247" s="51"/>
      <c r="BG247" s="51"/>
      <c r="BH247" s="51"/>
      <c r="BI247" s="65" cm="1">
        <f t="array" ref="BI247">IFERROR(INDEX(AW247:BH247,1,MATCH(2,1/(AW247:BH247&lt;&gt;""))),"")</f>
        <v>0</v>
      </c>
      <c r="BJ247" s="68" cm="1">
        <f t="array" ref="BJ247">IF(BM247 = "", "",IFERROR(INDEX(AW247:BH247,1,MATCH(2,1/(AW247:BH247&lt;&gt;""),1)-1),""))</f>
        <v>0</v>
      </c>
      <c r="BK247" s="58">
        <f>IF((IF(AW247&gt;=115%,115%,AW247) + IF(AX247&gt;=115%,115%,AX247) + IF(AY247&gt;=115%,115%,AY247) + (IF(AZ247&gt;=115%,115%,AZ247) + IF(BA247&gt;=115%,115%,BA247) + IF(BB247&gt;=115%,115%,BB247) + IF(BC247&gt;=115%,115%,BC247) + IF(BD247&gt;=115%,115%,BD247) + IF(BE247&gt;=115%,115%,BE247) + IF(BF247&gt;=115%,115%,BF247) + IF(BG247&gt;=115%,115%,BG247) + IF(BH247&gt;=115%,115%,BH247)))/_xlfn.XLOOKUP(F247,Apuração!A:A,Apuração!B:B)&gt;=1.15,1.15,((IF(AZ247&gt;=115%,115%,AZ247) + IF(AX247&gt;=115%,115%,AX247) + IF(AY247&gt;=115%,115%,AY247) + (IF(AW247&gt;=115%,115%,AW247) + IF(BA247&gt;=115%,115%,BA247) + IF(BB247&gt;=115%,115%,BB247) + IF(BC247&gt;=115%,115%,BC247) + IF(BD247&gt;=115%,115%,BD247) + IF(BE247&gt;=115%,115%,BE247) + IF(BF247&gt;=115%,115%,BF247) + IF(BG247&gt;=115%,115%,BG247) + IF(BH247&gt;=115%,115%,BH247)))/_xlfn.XLOOKUP(F247,Apuração!A:A,Apuração!B:B)))</f>
        <v>0</v>
      </c>
      <c r="BL247" s="58" cm="1">
        <f t="array" aca="1" ref="BL247" ca="1">IF(SUM(IFERROR(IF(INDEX(AW247:INDEX(AW247:BH247, MATCH(2, 1/(AW247:BH247&lt;&gt;""), 1)-1), ROW(INDIRECT("1:" &amp; MATCH(2, 1/(AW247:BH247&lt;&gt;""), 1)-1))) &gt;= 115%, 115%, INDEX(AW247:INDEX(AW247:BH247, MATCH(2, 1/(AW247:BH247&lt;&gt;""), 1)-1), ROW(INDIRECT("1:" &amp; MATCH(2, 1/(AW247:BH247&lt;&gt;""), 1)-1)))), 0))/_xlfn.XLOOKUP(F247,Apuração!A:A,Apuração!B:B)&gt;=1.15,1.15,SUM(IFERROR(IF(INDEX(AW247:INDEX(AW247:BH247, MATCH(2, 1/(AW247:BH247&lt;&gt;""), 1)-1), ROW(INDIRECT("1:" &amp; MATCH(2, 1/(AW247:BH247&lt;&gt;""), 1)-1))) &gt;= 115%, 115%, INDEX(AW247:INDEX(AW247:BH247, MATCH(2, 1/(AW247:BH247&lt;&gt;""), 1)-1), ROW(INDIRECT("1:" &amp; MATCH(2, 1/(AW247:BH247&lt;&gt;""), 1)-1)))), 0))/_xlfn.XLOOKUP(F247,Apuração!A:A,Apuração!B:B))</f>
        <v>0</v>
      </c>
      <c r="BM247" s="55" cm="1">
        <f t="array" ref="BM247">IFERROR(
   INDEX($AW$1:$BH$1,
      _xlfn.AGGREGATE(14, 6, COLUMN($AW$1:$BH$1)/(AW247:BH247&lt;&gt;""), 2) - COLUMN($AW$1) + 1
   ),
"")</f>
        <v>46082</v>
      </c>
      <c r="BN247" s="55" cm="1">
        <f t="array" ref="BN247">IFERROR(INDEX($AW$1:$BH$1,1,MATCH(2,1/(AW247:BH247&lt;&gt;""))),"")</f>
        <v>46113</v>
      </c>
      <c r="BO247" s="53">
        <f ca="1">IFERROR(_xlfn.XLOOKUP(F247,Apuração!A:A,Apuração!C:C)/_xlfn.XLOOKUP(F247,Apuração!A:A,Apuração!B:B),0)</f>
        <v>0</v>
      </c>
      <c r="BP247" s="53">
        <f ca="1">IFERROR(_xlfn.XLOOKUP(F247,Apuração!A:A,Apuração!D:D)/_xlfn.XLOOKUP(F247,Apuração!A:A,Apuração!B:B),0)</f>
        <v>0</v>
      </c>
      <c r="BQ247" s="53">
        <f ca="1">IF(BK247&gt;=BO247,0,_xlfn.XLOOKUP(F247,Apuração!A:A,Apuração!B:B)*(BO247 + (1/_xlfn.XLOOKUP(F247,Apuração!A:A,Apuração!B:B)) - BK247))</f>
        <v>0</v>
      </c>
      <c r="BR247" s="85">
        <f t="shared" ref="BR247:BR251" ca="1" si="567">IF(BQ247=0,0,BQ247*Z247)</f>
        <v>0</v>
      </c>
      <c r="BS247" s="53">
        <f ca="1">IFERROR((_xlfn.XLOOKUP(F247,Apuração!A:A,Apuração!C:C)+1)/_xlfn.XLOOKUP(F247,Apuração!A:A,Apuração!B:B),0)</f>
        <v>0.14285714285714285</v>
      </c>
    </row>
    <row r="248" spans="1:71" ht="25.95" hidden="1" customHeight="1" x14ac:dyDescent="0.3">
      <c r="A248" s="20" t="s">
        <v>87</v>
      </c>
      <c r="B248" s="4" t="s">
        <v>88</v>
      </c>
      <c r="C248" s="5" t="s">
        <v>209</v>
      </c>
      <c r="D248" s="5" t="s">
        <v>47</v>
      </c>
      <c r="E248" s="4" t="s">
        <v>96</v>
      </c>
      <c r="F248" s="4" t="str" cm="1">
        <f t="array" ref="F248">_xlfn.IFS(
AG248 &lt;&gt; "", "Jan-Dez/26",
AH248 &lt;&gt; "", "Fev-Dez/26",
AI248 &lt;&gt; "", "Mar-Dez/26", AJ248 &lt;&gt; "", "Abr-Dez/26",
TRUE, "A partir de Junho"
)</f>
        <v>A partir de Junho</v>
      </c>
      <c r="G248" s="4" t="s">
        <v>62</v>
      </c>
      <c r="H248" s="7" t="s">
        <v>38</v>
      </c>
      <c r="I248" s="9" t="s">
        <v>89</v>
      </c>
      <c r="J248" s="21" t="str" cm="1">
        <f t="array" aca="1" ref="J248" ca="1">_xlfn.LET(
  _xlpm.actual_value_month, INDEX(T248:AE248, MATCH(DATE(YEAR(TODAY()), MONTH(TODAY()), 1), $T$1:$AE$1, 0)),
  IF(_xlpm.actual_value_month &lt;&gt; "",_xlpm.actual_value_month &amp; " ações mensais", "")
)</f>
        <v/>
      </c>
      <c r="K248" s="8" t="str" cm="1">
        <f t="array" ref="K248">_xlfn.LET(
    _xlpm.sum_month, SUM(T248:AE248),
    IF(_xlpm.sum_month = 0, "", _xlpm.sum_month &amp; " certificados gerados no ano")
)</f>
        <v/>
      </c>
      <c r="L248" s="4" t="s">
        <v>90</v>
      </c>
      <c r="M248" s="19"/>
      <c r="N248" s="5" t="s">
        <v>42</v>
      </c>
      <c r="O248" s="5"/>
      <c r="P248" s="10"/>
      <c r="Q248" s="10"/>
      <c r="R248" s="10"/>
      <c r="S248" s="10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94">
        <f t="shared" ca="1" si="561"/>
        <v>0</v>
      </c>
      <c r="AT248" s="95" t="str" cm="1">
        <f t="array" ref="AT248">IFERROR(INDEX(AJ248:AR248,1,MATCH(2,1/(AJ248:AR248&lt;&gt;""))),"")</f>
        <v/>
      </c>
      <c r="AU248" s="97" t="str">
        <f t="shared" si="562"/>
        <v/>
      </c>
      <c r="AW248" s="51">
        <f t="shared" si="563"/>
        <v>0</v>
      </c>
      <c r="AX248" s="51">
        <f t="shared" si="564"/>
        <v>0</v>
      </c>
      <c r="AY248" s="51">
        <f t="shared" si="565"/>
        <v>0</v>
      </c>
      <c r="AZ248" s="51">
        <f t="shared" si="566"/>
        <v>0</v>
      </c>
      <c r="BA248" s="51"/>
      <c r="BB248" s="51"/>
      <c r="BC248" s="51"/>
      <c r="BD248" s="51"/>
      <c r="BE248" s="51"/>
      <c r="BF248" s="51"/>
      <c r="BG248" s="51"/>
      <c r="BH248" s="51"/>
      <c r="BI248" s="65" cm="1">
        <f t="array" ref="BI248">IFERROR(INDEX(AW248:BH248,1,MATCH(2,1/(AW248:BH248&lt;&gt;""))),"")</f>
        <v>0</v>
      </c>
      <c r="BJ248" s="68" cm="1">
        <f t="array" ref="BJ248">IF(BM248 = "", "",IFERROR(INDEX(AW248:BH248,1,MATCH(2,1/(AW248:BH248&lt;&gt;""),1)-1),""))</f>
        <v>0</v>
      </c>
      <c r="BK248" s="58">
        <f>IF((IF(AW248&gt;=115%,115%,AW248) + IF(AX248&gt;=115%,115%,AX248) + IF(AY248&gt;=115%,115%,AY248) + (IF(AZ248&gt;=115%,115%,AZ248) + IF(BA248&gt;=115%,115%,BA248) + IF(BB248&gt;=115%,115%,BB248) + IF(BC248&gt;=115%,115%,BC248) + IF(BD248&gt;=115%,115%,BD248) + IF(BE248&gt;=115%,115%,BE248) + IF(BF248&gt;=115%,115%,BF248) + IF(BG248&gt;=115%,115%,BG248) + IF(BH248&gt;=115%,115%,BH248)))/_xlfn.XLOOKUP(F248,Apuração!A:A,Apuração!B:B)&gt;=1.15,1.15,((IF(AZ248&gt;=115%,115%,AZ248) + IF(AX248&gt;=115%,115%,AX248) + IF(AY248&gt;=115%,115%,AY248) + (IF(AW248&gt;=115%,115%,AW248) + IF(BA248&gt;=115%,115%,BA248) + IF(BB248&gt;=115%,115%,BB248) + IF(BC248&gt;=115%,115%,BC248) + IF(BD248&gt;=115%,115%,BD248) + IF(BE248&gt;=115%,115%,BE248) + IF(BF248&gt;=115%,115%,BF248) + IF(BG248&gt;=115%,115%,BG248) + IF(BH248&gt;=115%,115%,BH248)))/_xlfn.XLOOKUP(F248,Apuração!A:A,Apuração!B:B)))</f>
        <v>0</v>
      </c>
      <c r="BL248" s="58" cm="1">
        <f t="array" aca="1" ref="BL248" ca="1">IF(SUM(IFERROR(IF(INDEX(AW248:INDEX(AW248:BH248, MATCH(2, 1/(AW248:BH248&lt;&gt;""), 1)-1), ROW(INDIRECT("1:" &amp; MATCH(2, 1/(AW248:BH248&lt;&gt;""), 1)-1))) &gt;= 115%, 115%, INDEX(AW248:INDEX(AW248:BH248, MATCH(2, 1/(AW248:BH248&lt;&gt;""), 1)-1), ROW(INDIRECT("1:" &amp; MATCH(2, 1/(AW248:BH248&lt;&gt;""), 1)-1)))), 0))/_xlfn.XLOOKUP(F248,Apuração!A:A,Apuração!B:B)&gt;=1.15,1.15,SUM(IFERROR(IF(INDEX(AW248:INDEX(AW248:BH248, MATCH(2, 1/(AW248:BH248&lt;&gt;""), 1)-1), ROW(INDIRECT("1:" &amp; MATCH(2, 1/(AW248:BH248&lt;&gt;""), 1)-1))) &gt;= 115%, 115%, INDEX(AW248:INDEX(AW248:BH248, MATCH(2, 1/(AW248:BH248&lt;&gt;""), 1)-1), ROW(INDIRECT("1:" &amp; MATCH(2, 1/(AW248:BH248&lt;&gt;""), 1)-1)))), 0))/_xlfn.XLOOKUP(F248,Apuração!A:A,Apuração!B:B))</f>
        <v>0</v>
      </c>
      <c r="BM248" s="55" cm="1">
        <f t="array" ref="BM248">IFERROR(
   INDEX($AW$1:$BH$1,
      _xlfn.AGGREGATE(14, 6, COLUMN($AW$1:$BH$1)/(AW248:BH248&lt;&gt;""), 2) - COLUMN($AW$1) + 1
   ),
"")</f>
        <v>46082</v>
      </c>
      <c r="BN248" s="55" cm="1">
        <f t="array" ref="BN248">IFERROR(INDEX($AW$1:$BH$1,1,MATCH(2,1/(AW248:BH248&lt;&gt;""))),"")</f>
        <v>46113</v>
      </c>
      <c r="BO248" s="53">
        <f ca="1">IFERROR(_xlfn.XLOOKUP(F248,Apuração!A:A,Apuração!C:C)/_xlfn.XLOOKUP(F248,Apuração!A:A,Apuração!B:B),0)</f>
        <v>0</v>
      </c>
      <c r="BP248" s="53">
        <f ca="1">IFERROR(_xlfn.XLOOKUP(F248,Apuração!A:A,Apuração!D:D)/_xlfn.XLOOKUP(F248,Apuração!A:A,Apuração!B:B),0)</f>
        <v>0</v>
      </c>
      <c r="BQ248" s="53">
        <f ca="1">IF(BK248&gt;=BO248,0,_xlfn.XLOOKUP(F248,Apuração!A:A,Apuração!B:B)*(BO248 + (1/_xlfn.XLOOKUP(F248,Apuração!A:A,Apuração!B:B)) - BK248))</f>
        <v>0</v>
      </c>
      <c r="BR248" s="85">
        <f t="shared" ca="1" si="567"/>
        <v>0</v>
      </c>
      <c r="BS248" s="53">
        <f ca="1">IFERROR((_xlfn.XLOOKUP(F248,Apuração!A:A,Apuração!C:C)+1)/_xlfn.XLOOKUP(F248,Apuração!A:A,Apuração!B:B),0)</f>
        <v>0.14285714285714285</v>
      </c>
    </row>
    <row r="249" spans="1:71" ht="25.95" hidden="1" customHeight="1" x14ac:dyDescent="0.3">
      <c r="A249" s="20" t="s">
        <v>87</v>
      </c>
      <c r="B249" s="4" t="s">
        <v>88</v>
      </c>
      <c r="C249" s="5" t="s">
        <v>209</v>
      </c>
      <c r="D249" s="5" t="s">
        <v>211</v>
      </c>
      <c r="E249" s="4" t="s">
        <v>96</v>
      </c>
      <c r="F249" s="4" t="str" cm="1">
        <f t="array" ref="F249">_xlfn.IFS(
AG249 &lt;&gt; "", "Jan-Dez/26",
AH249 &lt;&gt; "", "Fev-Dez/26",
AI249 &lt;&gt; "", "Mar-Dez/26", AJ249 &lt;&gt; "", "Abr-Dez/26",
TRUE, "A partir de Junho"
)</f>
        <v>A partir de Junho</v>
      </c>
      <c r="G249" s="4" t="s">
        <v>62</v>
      </c>
      <c r="H249" s="7" t="s">
        <v>38</v>
      </c>
      <c r="I249" s="9" t="s">
        <v>89</v>
      </c>
      <c r="J249" s="21" t="str" cm="1">
        <f t="array" aca="1" ref="J249" ca="1">_xlfn.LET(
  _xlpm.actual_value_month, INDEX(T249:AE249, MATCH(DATE(YEAR(TODAY()), MONTH(TODAY()), 1), $T$1:$AE$1, 0)),
  IF(_xlpm.actual_value_month &lt;&gt; "",_xlpm.actual_value_month &amp; " ações mensais", "")
)</f>
        <v/>
      </c>
      <c r="K249" s="8" t="str" cm="1">
        <f t="array" ref="K249">_xlfn.LET(
    _xlpm.sum_month, SUM(T249:AE249),
    IF(_xlpm.sum_month = 0, "", _xlpm.sum_month &amp; " certificados gerados no ano")
)</f>
        <v/>
      </c>
      <c r="L249" s="4" t="s">
        <v>90</v>
      </c>
      <c r="M249" s="19"/>
      <c r="N249" s="5" t="s">
        <v>42</v>
      </c>
      <c r="O249" s="5"/>
      <c r="P249" s="10"/>
      <c r="Q249" s="10"/>
      <c r="R249" s="10"/>
      <c r="S249" s="10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94">
        <f t="shared" ca="1" si="561"/>
        <v>0</v>
      </c>
      <c r="AT249" s="95" t="str" cm="1">
        <f t="array" ref="AT249">IFERROR(INDEX(AJ249:AR249,1,MATCH(2,1/(AJ249:AR249&lt;&gt;""))),"")</f>
        <v/>
      </c>
      <c r="AU249" s="97" t="str">
        <f t="shared" si="562"/>
        <v/>
      </c>
      <c r="AW249" s="51">
        <f t="shared" si="563"/>
        <v>0</v>
      </c>
      <c r="AX249" s="51">
        <f t="shared" si="564"/>
        <v>0</v>
      </c>
      <c r="AY249" s="51">
        <f t="shared" si="565"/>
        <v>0</v>
      </c>
      <c r="AZ249" s="51">
        <f t="shared" si="566"/>
        <v>0</v>
      </c>
      <c r="BA249" s="51"/>
      <c r="BB249" s="51"/>
      <c r="BC249" s="51"/>
      <c r="BD249" s="51"/>
      <c r="BE249" s="51"/>
      <c r="BF249" s="51"/>
      <c r="BG249" s="51"/>
      <c r="BH249" s="51"/>
      <c r="BI249" s="65" cm="1">
        <f t="array" ref="BI249">IFERROR(INDEX(AW249:BH249,1,MATCH(2,1/(AW249:BH249&lt;&gt;""))),"")</f>
        <v>0</v>
      </c>
      <c r="BJ249" s="68" cm="1">
        <f t="array" ref="BJ249">IF(BM249 = "", "",IFERROR(INDEX(AW249:BH249,1,MATCH(2,1/(AW249:BH249&lt;&gt;""),1)-1),""))</f>
        <v>0</v>
      </c>
      <c r="BK249" s="58">
        <f>IF((IF(AW249&gt;=115%,115%,AW249) + IF(AX249&gt;=115%,115%,AX249) + IF(AY249&gt;=115%,115%,AY249) + (IF(AZ249&gt;=115%,115%,AZ249) + IF(BA249&gt;=115%,115%,BA249) + IF(BB249&gt;=115%,115%,BB249) + IF(BC249&gt;=115%,115%,BC249) + IF(BD249&gt;=115%,115%,BD249) + IF(BE249&gt;=115%,115%,BE249) + IF(BF249&gt;=115%,115%,BF249) + IF(BG249&gt;=115%,115%,BG249) + IF(BH249&gt;=115%,115%,BH249)))/_xlfn.XLOOKUP(F249,Apuração!A:A,Apuração!B:B)&gt;=1.15,1.15,((IF(AZ249&gt;=115%,115%,AZ249) + IF(AX249&gt;=115%,115%,AX249) + IF(AY249&gt;=115%,115%,AY249) + (IF(AW249&gt;=115%,115%,AW249) + IF(BA249&gt;=115%,115%,BA249) + IF(BB249&gt;=115%,115%,BB249) + IF(BC249&gt;=115%,115%,BC249) + IF(BD249&gt;=115%,115%,BD249) + IF(BE249&gt;=115%,115%,BE249) + IF(BF249&gt;=115%,115%,BF249) + IF(BG249&gt;=115%,115%,BG249) + IF(BH249&gt;=115%,115%,BH249)))/_xlfn.XLOOKUP(F249,Apuração!A:A,Apuração!B:B)))</f>
        <v>0</v>
      </c>
      <c r="BL249" s="58" cm="1">
        <f t="array" aca="1" ref="BL249" ca="1">IF(SUM(IFERROR(IF(INDEX(AW249:INDEX(AW249:BH249, MATCH(2, 1/(AW249:BH249&lt;&gt;""), 1)-1), ROW(INDIRECT("1:" &amp; MATCH(2, 1/(AW249:BH249&lt;&gt;""), 1)-1))) &gt;= 115%, 115%, INDEX(AW249:INDEX(AW249:BH249, MATCH(2, 1/(AW249:BH249&lt;&gt;""), 1)-1), ROW(INDIRECT("1:" &amp; MATCH(2, 1/(AW249:BH249&lt;&gt;""), 1)-1)))), 0))/_xlfn.XLOOKUP(F249,Apuração!A:A,Apuração!B:B)&gt;=1.15,1.15,SUM(IFERROR(IF(INDEX(AW249:INDEX(AW249:BH249, MATCH(2, 1/(AW249:BH249&lt;&gt;""), 1)-1), ROW(INDIRECT("1:" &amp; MATCH(2, 1/(AW249:BH249&lt;&gt;""), 1)-1))) &gt;= 115%, 115%, INDEX(AW249:INDEX(AW249:BH249, MATCH(2, 1/(AW249:BH249&lt;&gt;""), 1)-1), ROW(INDIRECT("1:" &amp; MATCH(2, 1/(AW249:BH249&lt;&gt;""), 1)-1)))), 0))/_xlfn.XLOOKUP(F249,Apuração!A:A,Apuração!B:B))</f>
        <v>0</v>
      </c>
      <c r="BM249" s="55" cm="1">
        <f t="array" ref="BM249">IFERROR(
   INDEX($AW$1:$BH$1,
      _xlfn.AGGREGATE(14, 6, COLUMN($AW$1:$BH$1)/(AW249:BH249&lt;&gt;""), 2) - COLUMN($AW$1) + 1
   ),
"")</f>
        <v>46082</v>
      </c>
      <c r="BN249" s="55" cm="1">
        <f t="array" ref="BN249">IFERROR(INDEX($AW$1:$BH$1,1,MATCH(2,1/(AW249:BH249&lt;&gt;""))),"")</f>
        <v>46113</v>
      </c>
      <c r="BO249" s="53">
        <f ca="1">IFERROR(_xlfn.XLOOKUP(F249,Apuração!A:A,Apuração!C:C)/_xlfn.XLOOKUP(F249,Apuração!A:A,Apuração!B:B),0)</f>
        <v>0</v>
      </c>
      <c r="BP249" s="53">
        <f ca="1">IFERROR(_xlfn.XLOOKUP(F249,Apuração!A:A,Apuração!D:D)/_xlfn.XLOOKUP(F249,Apuração!A:A,Apuração!B:B),0)</f>
        <v>0</v>
      </c>
      <c r="BQ249" s="53">
        <f ca="1">IF(BK249&gt;=BO249,0,_xlfn.XLOOKUP(F249,Apuração!A:A,Apuração!B:B)*(BO249 + (1/_xlfn.XLOOKUP(F249,Apuração!A:A,Apuração!B:B)) - BK249))</f>
        <v>0</v>
      </c>
      <c r="BR249" s="85">
        <f t="shared" ca="1" si="567"/>
        <v>0</v>
      </c>
      <c r="BS249" s="53">
        <f ca="1">IFERROR((_xlfn.XLOOKUP(F249,Apuração!A:A,Apuração!C:C)+1)/_xlfn.XLOOKUP(F249,Apuração!A:A,Apuração!B:B),0)</f>
        <v>0.14285714285714285</v>
      </c>
    </row>
    <row r="250" spans="1:71" ht="25.95" hidden="1" customHeight="1" x14ac:dyDescent="0.3">
      <c r="A250" s="20" t="s">
        <v>87</v>
      </c>
      <c r="B250" s="4" t="s">
        <v>88</v>
      </c>
      <c r="C250" s="5" t="s">
        <v>209</v>
      </c>
      <c r="D250" s="5" t="s">
        <v>212</v>
      </c>
      <c r="E250" s="4" t="s">
        <v>96</v>
      </c>
      <c r="F250" s="4" t="str" cm="1">
        <f t="array" ref="F250">_xlfn.IFS(
AG250 &lt;&gt; "", "Jan-Dez/26",
AH250 &lt;&gt; "", "Fev-Dez/26",
AI250 &lt;&gt; "", "Mar-Dez/26", AJ250 &lt;&gt; "", "Abr-Dez/26",
TRUE, "A partir de Junho"
)</f>
        <v>A partir de Junho</v>
      </c>
      <c r="G250" s="4" t="s">
        <v>62</v>
      </c>
      <c r="H250" s="7" t="s">
        <v>38</v>
      </c>
      <c r="I250" s="9" t="s">
        <v>89</v>
      </c>
      <c r="J250" s="21" t="str" cm="1">
        <f t="array" aca="1" ref="J250" ca="1">_xlfn.LET(
  _xlpm.actual_value_month, INDEX(T250:AE250, MATCH(DATE(YEAR(TODAY()), MONTH(TODAY()), 1), $T$1:$AE$1, 0)),
  IF(_xlpm.actual_value_month &lt;&gt; "",_xlpm.actual_value_month &amp; " ações mensais", "")
)</f>
        <v/>
      </c>
      <c r="K250" s="8" t="str" cm="1">
        <f t="array" ref="K250">_xlfn.LET(
    _xlpm.sum_month, SUM(T250:AE250),
    IF(_xlpm.sum_month = 0, "", _xlpm.sum_month &amp; " certificados gerados no ano")
)</f>
        <v/>
      </c>
      <c r="L250" s="4" t="s">
        <v>90</v>
      </c>
      <c r="M250" s="19"/>
      <c r="N250" s="5" t="s">
        <v>42</v>
      </c>
      <c r="O250" s="5"/>
      <c r="P250" s="10"/>
      <c r="Q250" s="10"/>
      <c r="R250" s="10"/>
      <c r="S250" s="10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94">
        <f t="shared" ca="1" si="561"/>
        <v>0</v>
      </c>
      <c r="AT250" s="95" t="str" cm="1">
        <f t="array" ref="AT250">IFERROR(INDEX(AJ250:AR250,1,MATCH(2,1/(AJ250:AR250&lt;&gt;""))),"")</f>
        <v/>
      </c>
      <c r="AU250" s="97" t="str">
        <f t="shared" si="562"/>
        <v/>
      </c>
      <c r="AW250" s="51">
        <f t="shared" si="563"/>
        <v>0</v>
      </c>
      <c r="AX250" s="51">
        <f t="shared" si="564"/>
        <v>0</v>
      </c>
      <c r="AY250" s="51">
        <f t="shared" si="565"/>
        <v>0</v>
      </c>
      <c r="AZ250" s="51">
        <f t="shared" si="566"/>
        <v>0</v>
      </c>
      <c r="BA250" s="51"/>
      <c r="BB250" s="51"/>
      <c r="BC250" s="51"/>
      <c r="BD250" s="51"/>
      <c r="BE250" s="51"/>
      <c r="BF250" s="51"/>
      <c r="BG250" s="51"/>
      <c r="BH250" s="51"/>
      <c r="BI250" s="65" cm="1">
        <f t="array" ref="BI250">IFERROR(INDEX(AW250:BH250,1,MATCH(2,1/(AW250:BH250&lt;&gt;""))),"")</f>
        <v>0</v>
      </c>
      <c r="BJ250" s="68" cm="1">
        <f t="array" ref="BJ250">IF(BM250 = "", "",IFERROR(INDEX(AW250:BH250,1,MATCH(2,1/(AW250:BH250&lt;&gt;""),1)-1),""))</f>
        <v>0</v>
      </c>
      <c r="BK250" s="58">
        <f>IF((IF(AW250&gt;=115%,115%,AW250) + IF(AX250&gt;=115%,115%,AX250) + IF(AY250&gt;=115%,115%,AY250) + (IF(AZ250&gt;=115%,115%,AZ250) + IF(BA250&gt;=115%,115%,BA250) + IF(BB250&gt;=115%,115%,BB250) + IF(BC250&gt;=115%,115%,BC250) + IF(BD250&gt;=115%,115%,BD250) + IF(BE250&gt;=115%,115%,BE250) + IF(BF250&gt;=115%,115%,BF250) + IF(BG250&gt;=115%,115%,BG250) + IF(BH250&gt;=115%,115%,BH250)))/_xlfn.XLOOKUP(F250,Apuração!A:A,Apuração!B:B)&gt;=1.15,1.15,((IF(AZ250&gt;=115%,115%,AZ250) + IF(AX250&gt;=115%,115%,AX250) + IF(AY250&gt;=115%,115%,AY250) + (IF(AW250&gt;=115%,115%,AW250) + IF(BA250&gt;=115%,115%,BA250) + IF(BB250&gt;=115%,115%,BB250) + IF(BC250&gt;=115%,115%,BC250) + IF(BD250&gt;=115%,115%,BD250) + IF(BE250&gt;=115%,115%,BE250) + IF(BF250&gt;=115%,115%,BF250) + IF(BG250&gt;=115%,115%,BG250) + IF(BH250&gt;=115%,115%,BH250)))/_xlfn.XLOOKUP(F250,Apuração!A:A,Apuração!B:B)))</f>
        <v>0</v>
      </c>
      <c r="BL250" s="58" cm="1">
        <f t="array" aca="1" ref="BL250" ca="1">IF(SUM(IFERROR(IF(INDEX(AW250:INDEX(AW250:BH250, MATCH(2, 1/(AW250:BH250&lt;&gt;""), 1)-1), ROW(INDIRECT("1:" &amp; MATCH(2, 1/(AW250:BH250&lt;&gt;""), 1)-1))) &gt;= 115%, 115%, INDEX(AW250:INDEX(AW250:BH250, MATCH(2, 1/(AW250:BH250&lt;&gt;""), 1)-1), ROW(INDIRECT("1:" &amp; MATCH(2, 1/(AW250:BH250&lt;&gt;""), 1)-1)))), 0))/_xlfn.XLOOKUP(F250,Apuração!A:A,Apuração!B:B)&gt;=1.15,1.15,SUM(IFERROR(IF(INDEX(AW250:INDEX(AW250:BH250, MATCH(2, 1/(AW250:BH250&lt;&gt;""), 1)-1), ROW(INDIRECT("1:" &amp; MATCH(2, 1/(AW250:BH250&lt;&gt;""), 1)-1))) &gt;= 115%, 115%, INDEX(AW250:INDEX(AW250:BH250, MATCH(2, 1/(AW250:BH250&lt;&gt;""), 1)-1), ROW(INDIRECT("1:" &amp; MATCH(2, 1/(AW250:BH250&lt;&gt;""), 1)-1)))), 0))/_xlfn.XLOOKUP(F250,Apuração!A:A,Apuração!B:B))</f>
        <v>0</v>
      </c>
      <c r="BM250" s="55" cm="1">
        <f t="array" ref="BM250">IFERROR(
   INDEX($AW$1:$BH$1,
      _xlfn.AGGREGATE(14, 6, COLUMN($AW$1:$BH$1)/(AW250:BH250&lt;&gt;""), 2) - COLUMN($AW$1) + 1
   ),
"")</f>
        <v>46082</v>
      </c>
      <c r="BN250" s="55" cm="1">
        <f t="array" ref="BN250">IFERROR(INDEX($AW$1:$BH$1,1,MATCH(2,1/(AW250:BH250&lt;&gt;""))),"")</f>
        <v>46113</v>
      </c>
      <c r="BO250" s="53">
        <f ca="1">IFERROR(_xlfn.XLOOKUP(F250,Apuração!A:A,Apuração!C:C)/_xlfn.XLOOKUP(F250,Apuração!A:A,Apuração!B:B),0)</f>
        <v>0</v>
      </c>
      <c r="BP250" s="53">
        <f ca="1">IFERROR(_xlfn.XLOOKUP(F250,Apuração!A:A,Apuração!D:D)/_xlfn.XLOOKUP(F250,Apuração!A:A,Apuração!B:B),0)</f>
        <v>0</v>
      </c>
      <c r="BQ250" s="53">
        <f ca="1">IF(BK250&gt;=BO250,0,_xlfn.XLOOKUP(F250,Apuração!A:A,Apuração!B:B)*(BO250 + (1/_xlfn.XLOOKUP(F250,Apuração!A:A,Apuração!B:B)) - BK250))</f>
        <v>0</v>
      </c>
      <c r="BR250" s="85">
        <f t="shared" ca="1" si="567"/>
        <v>0</v>
      </c>
      <c r="BS250" s="53">
        <f ca="1">IFERROR((_xlfn.XLOOKUP(F250,Apuração!A:A,Apuração!C:C)+1)/_xlfn.XLOOKUP(F250,Apuração!A:A,Apuração!B:B),0)</f>
        <v>0.14285714285714285</v>
      </c>
    </row>
    <row r="251" spans="1:71" ht="25.95" hidden="1" customHeight="1" x14ac:dyDescent="0.3">
      <c r="A251" s="20" t="s">
        <v>87</v>
      </c>
      <c r="B251" s="4" t="s">
        <v>88</v>
      </c>
      <c r="C251" s="5" t="s">
        <v>209</v>
      </c>
      <c r="D251" s="5" t="s">
        <v>213</v>
      </c>
      <c r="E251" s="4" t="s">
        <v>96</v>
      </c>
      <c r="F251" s="4" t="str" cm="1">
        <f t="array" ref="F251">_xlfn.IFS(
AG251 &lt;&gt; "", "Jan-Dez/26",
AH251 &lt;&gt; "", "Fev-Dez/26",
AI251 &lt;&gt; "", "Mar-Dez/26", AJ251 &lt;&gt; "", "Abr-Dez/26",
TRUE, "A partir de Junho"
)</f>
        <v>A partir de Junho</v>
      </c>
      <c r="G251" s="4" t="s">
        <v>62</v>
      </c>
      <c r="H251" s="7" t="s">
        <v>38</v>
      </c>
      <c r="I251" s="9" t="s">
        <v>89</v>
      </c>
      <c r="J251" s="21" t="str" cm="1">
        <f t="array" aca="1" ref="J251" ca="1">_xlfn.LET(
  _xlpm.actual_value_month, INDEX(T251:AE251, MATCH(DATE(YEAR(TODAY()), MONTH(TODAY()), 1), $T$1:$AE$1, 0)),
  IF(_xlpm.actual_value_month &lt;&gt; "",_xlpm.actual_value_month &amp; " ações mensais", "")
)</f>
        <v/>
      </c>
      <c r="K251" s="8" t="str" cm="1">
        <f t="array" ref="K251">_xlfn.LET(
    _xlpm.sum_month, SUM(T251:AE251),
    IF(_xlpm.sum_month = 0, "", _xlpm.sum_month &amp; " certificados gerados no ano")
)</f>
        <v/>
      </c>
      <c r="L251" s="4" t="s">
        <v>90</v>
      </c>
      <c r="M251" s="19"/>
      <c r="N251" s="5" t="s">
        <v>42</v>
      </c>
      <c r="O251" s="5"/>
      <c r="P251" s="10"/>
      <c r="Q251" s="10"/>
      <c r="R251" s="10"/>
      <c r="S251" s="10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94">
        <f t="shared" ca="1" si="561"/>
        <v>0</v>
      </c>
      <c r="AT251" s="95" t="str" cm="1">
        <f t="array" ref="AT251">IFERROR(INDEX(AJ251:AR251,1,MATCH(2,1/(AJ251:AR251&lt;&gt;""))),"")</f>
        <v/>
      </c>
      <c r="AU251" s="97" t="str">
        <f t="shared" si="562"/>
        <v/>
      </c>
      <c r="AW251" s="51">
        <f t="shared" si="563"/>
        <v>0</v>
      </c>
      <c r="AX251" s="51">
        <f t="shared" si="564"/>
        <v>0</v>
      </c>
      <c r="AY251" s="51">
        <f t="shared" si="565"/>
        <v>0</v>
      </c>
      <c r="AZ251" s="51">
        <f t="shared" si="566"/>
        <v>0</v>
      </c>
      <c r="BA251" s="51"/>
      <c r="BB251" s="51"/>
      <c r="BC251" s="51"/>
      <c r="BD251" s="51"/>
      <c r="BE251" s="51"/>
      <c r="BF251" s="51"/>
      <c r="BG251" s="51"/>
      <c r="BH251" s="51"/>
      <c r="BI251" s="65" cm="1">
        <f t="array" ref="BI251">IFERROR(INDEX(AW251:BH251,1,MATCH(2,1/(AW251:BH251&lt;&gt;""))),"")</f>
        <v>0</v>
      </c>
      <c r="BJ251" s="68" cm="1">
        <f t="array" ref="BJ251">IF(BM251 = "", "",IFERROR(INDEX(AW251:BH251,1,MATCH(2,1/(AW251:BH251&lt;&gt;""),1)-1),""))</f>
        <v>0</v>
      </c>
      <c r="BK251" s="58">
        <f>IF((IF(AW251&gt;=115%,115%,AW251) + IF(AX251&gt;=115%,115%,AX251) + IF(AY251&gt;=115%,115%,AY251) + (IF(AZ251&gt;=115%,115%,AZ251) + IF(BA251&gt;=115%,115%,BA251) + IF(BB251&gt;=115%,115%,BB251) + IF(BC251&gt;=115%,115%,BC251) + IF(BD251&gt;=115%,115%,BD251) + IF(BE251&gt;=115%,115%,BE251) + IF(BF251&gt;=115%,115%,BF251) + IF(BG251&gt;=115%,115%,BG251) + IF(BH251&gt;=115%,115%,BH251)))/_xlfn.XLOOKUP(F251,Apuração!A:A,Apuração!B:B)&gt;=1.15,1.15,((IF(AZ251&gt;=115%,115%,AZ251) + IF(AX251&gt;=115%,115%,AX251) + IF(AY251&gt;=115%,115%,AY251) + (IF(AW251&gt;=115%,115%,AW251) + IF(BA251&gt;=115%,115%,BA251) + IF(BB251&gt;=115%,115%,BB251) + IF(BC251&gt;=115%,115%,BC251) + IF(BD251&gt;=115%,115%,BD251) + IF(BE251&gt;=115%,115%,BE251) + IF(BF251&gt;=115%,115%,BF251) + IF(BG251&gt;=115%,115%,BG251) + IF(BH251&gt;=115%,115%,BH251)))/_xlfn.XLOOKUP(F251,Apuração!A:A,Apuração!B:B)))</f>
        <v>0</v>
      </c>
      <c r="BL251" s="58" cm="1">
        <f t="array" aca="1" ref="BL251" ca="1">IF(SUM(IFERROR(IF(INDEX(AW251:INDEX(AW251:BH251, MATCH(2, 1/(AW251:BH251&lt;&gt;""), 1)-1), ROW(INDIRECT("1:" &amp; MATCH(2, 1/(AW251:BH251&lt;&gt;""), 1)-1))) &gt;= 115%, 115%, INDEX(AW251:INDEX(AW251:BH251, MATCH(2, 1/(AW251:BH251&lt;&gt;""), 1)-1), ROW(INDIRECT("1:" &amp; MATCH(2, 1/(AW251:BH251&lt;&gt;""), 1)-1)))), 0))/_xlfn.XLOOKUP(F251,Apuração!A:A,Apuração!B:B)&gt;=1.15,1.15,SUM(IFERROR(IF(INDEX(AW251:INDEX(AW251:BH251, MATCH(2, 1/(AW251:BH251&lt;&gt;""), 1)-1), ROW(INDIRECT("1:" &amp; MATCH(2, 1/(AW251:BH251&lt;&gt;""), 1)-1))) &gt;= 115%, 115%, INDEX(AW251:INDEX(AW251:BH251, MATCH(2, 1/(AW251:BH251&lt;&gt;""), 1)-1), ROW(INDIRECT("1:" &amp; MATCH(2, 1/(AW251:BH251&lt;&gt;""), 1)-1)))), 0))/_xlfn.XLOOKUP(F251,Apuração!A:A,Apuração!B:B))</f>
        <v>0</v>
      </c>
      <c r="BM251" s="55" cm="1">
        <f t="array" ref="BM251">IFERROR(
   INDEX($AW$1:$BH$1,
      _xlfn.AGGREGATE(14, 6, COLUMN($AW$1:$BH$1)/(AW251:BH251&lt;&gt;""), 2) - COLUMN($AW$1) + 1
   ),
"")</f>
        <v>46082</v>
      </c>
      <c r="BN251" s="55" cm="1">
        <f t="array" ref="BN251">IFERROR(INDEX($AW$1:$BH$1,1,MATCH(2,1/(AW251:BH251&lt;&gt;""))),"")</f>
        <v>46113</v>
      </c>
      <c r="BO251" s="53">
        <f ca="1">IFERROR(_xlfn.XLOOKUP(F251,Apuração!A:A,Apuração!C:C)/_xlfn.XLOOKUP(F251,Apuração!A:A,Apuração!B:B),0)</f>
        <v>0</v>
      </c>
      <c r="BP251" s="53">
        <f ca="1">IFERROR(_xlfn.XLOOKUP(F251,Apuração!A:A,Apuração!D:D)/_xlfn.XLOOKUP(F251,Apuração!A:A,Apuração!B:B),0)</f>
        <v>0</v>
      </c>
      <c r="BQ251" s="53">
        <f ca="1">IF(BK251&gt;=BO251,0,_xlfn.XLOOKUP(F251,Apuração!A:A,Apuração!B:B)*(BO251 + (1/_xlfn.XLOOKUP(F251,Apuração!A:A,Apuração!B:B)) - BK251))</f>
        <v>0</v>
      </c>
      <c r="BR251" s="85">
        <f t="shared" ca="1" si="567"/>
        <v>0</v>
      </c>
      <c r="BS251" s="53">
        <f ca="1">IFERROR((_xlfn.XLOOKUP(F251,Apuração!A:A,Apuração!C:C)+1)/_xlfn.XLOOKUP(F251,Apuração!A:A,Apuração!B:B),0)</f>
        <v>0.14285714285714285</v>
      </c>
    </row>
    <row r="252" spans="1:71" ht="25.95" hidden="1" customHeight="1" x14ac:dyDescent="0.3">
      <c r="A252" s="40" t="s">
        <v>87</v>
      </c>
      <c r="B252" s="4" t="s">
        <v>88</v>
      </c>
      <c r="C252" s="5" t="s">
        <v>209</v>
      </c>
      <c r="D252" s="5" t="s">
        <v>36</v>
      </c>
      <c r="E252" s="4" t="s">
        <v>96</v>
      </c>
      <c r="F252" s="4" t="str" cm="1">
        <f t="array" ref="F252">_xlfn.IFS(
AG252 &lt;&gt; "", "Jan-Dez/26",
AH252 &lt;&gt; "", "Fev-Dez/26",
AI252 &lt;&gt; "", "Mar-Dez/26", AJ252 &lt;&gt; "", "Abr-Dez/26",
TRUE, "A partir de Junho"
)</f>
        <v>A partir de Junho</v>
      </c>
      <c r="G252" s="4" t="s">
        <v>62</v>
      </c>
      <c r="H252" s="7" t="s">
        <v>38</v>
      </c>
      <c r="I252" s="9" t="s">
        <v>91</v>
      </c>
      <c r="J252" s="21" t="str" cm="1">
        <f t="array" aca="1" ref="J252" ca="1">_xlfn.LET(
  _xlpm.actual_value_month, INDEX(T252:AE252, MATCH(DATE(YEAR(TODAY()), MONTH(TODAY()), 1), $T$1:$AE$1, 0)),
  IF(_xlpm.actual_value_month &lt;&gt; "",_xlpm.actual_value_month &amp; " ações mensais", "")
)</f>
        <v/>
      </c>
      <c r="K252" s="8" t="str" cm="1">
        <f t="array" ref="K252">_xlfn.LET(
    _xlpm.sum_month, SUM(T252:AE252),
    IF(_xlpm.sum_month = 0, "", _xlpm.sum_month &amp; " certificados gerados no ano")
)</f>
        <v/>
      </c>
      <c r="L252" s="4" t="s">
        <v>92</v>
      </c>
      <c r="M252" s="19"/>
      <c r="N252" s="5" t="s">
        <v>51</v>
      </c>
      <c r="O252" s="5"/>
      <c r="P252" s="10"/>
      <c r="Q252" s="10"/>
      <c r="R252" s="10"/>
      <c r="S252" s="10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94">
        <f t="shared" ca="1" si="559"/>
        <v>0</v>
      </c>
      <c r="AT252" s="95" t="str" cm="1">
        <f t="array" ref="AT252">IFERROR(INDEX(AJ252:AR252,1,MATCH(2,1/(AJ252:AR252&lt;&gt;""))),"")</f>
        <v/>
      </c>
      <c r="AU252" s="97" t="str">
        <f t="shared" si="560"/>
        <v/>
      </c>
      <c r="AW252" s="83">
        <f>AG252</f>
        <v>0</v>
      </c>
      <c r="AX252" s="83">
        <f t="shared" ref="AX252:AX258" si="568">AH252</f>
        <v>0</v>
      </c>
      <c r="AY252" s="83">
        <f t="shared" ref="AY252:AY258" si="569">AI252</f>
        <v>0</v>
      </c>
      <c r="AZ252" s="83">
        <f t="shared" ref="AZ252:AZ258" si="570">AJ252</f>
        <v>0</v>
      </c>
      <c r="BA252" s="52"/>
      <c r="BB252" s="52"/>
      <c r="BC252" s="52"/>
      <c r="BD252" s="52"/>
      <c r="BE252" s="52"/>
      <c r="BF252" s="52"/>
      <c r="BG252" s="52"/>
      <c r="BH252" s="52"/>
      <c r="BI252" s="68" cm="1">
        <f t="array" ref="BI252">IFERROR(INDEX(AW252:BH252,1,MATCH(2,1/(AW252:BH252&lt;&gt;""))),"")</f>
        <v>0</v>
      </c>
      <c r="BJ252" s="68" cm="1">
        <f t="array" ref="BJ252">IF(BM252 = "", "",IFERROR(INDEX(AW252:BH252,1,MATCH(2,1/(AW252:BH252&lt;&gt;""),1)-1),""))</f>
        <v>0</v>
      </c>
      <c r="BK252" s="59">
        <f>SUM(AW252:BH252)</f>
        <v>0</v>
      </c>
      <c r="BL252" s="59" cm="1">
        <f t="array" ref="BL252">IFERROR(SUM(AW252:INDEX(AW252:BH252, MATCH(2, 1/(AW252:BH252&lt;&gt;""), 1) - 1))/_xlfn.XLOOKUP(F252,Apuração!A:A,Apuração!B:B),0)</f>
        <v>0</v>
      </c>
      <c r="BM252" s="55" cm="1">
        <f t="array" ref="BM252">IFERROR(
   INDEX($AW$1:$BH$1,
      _xlfn.AGGREGATE(14, 6, COLUMN($AW$1:$BH$1)/(AW252:BH252&lt;&gt;""), 2) - COLUMN($AW$1) + 1
   ),
"")</f>
        <v>46082</v>
      </c>
      <c r="BN252" s="55" cm="1">
        <f t="array" ref="BN252">IFERROR(INDEX($AW$1:$BH$1,1,MATCH(2,1/(AW252:BH252&lt;&gt;""))),"")</f>
        <v>46113</v>
      </c>
      <c r="BO252" s="53">
        <f ca="1">IFERROR(_xlfn.XLOOKUP(F252,Apuração!A:A,Apuração!C:C)/_xlfn.XLOOKUP(F252,Apuração!A:A,Apuração!B:B),0)</f>
        <v>0</v>
      </c>
      <c r="BP252" s="53">
        <f ca="1">IFERROR(_xlfn.XLOOKUP(F252,Apuração!A:A,Apuração!D:D)/_xlfn.XLOOKUP(F252,Apuração!A:A,Apuração!B:B),0)</f>
        <v>0</v>
      </c>
      <c r="BQ252" s="53">
        <f ca="1">IF(BK252&gt;=BO252,0,_xlfn.XLOOKUP(F252,Apuração!A:A,Apuração!B:B)*(BO252 + (1/_xlfn.XLOOKUP(F252,Apuração!A:A,Apuração!B:B)) - BK252))</f>
        <v>0</v>
      </c>
      <c r="BR252" s="85">
        <f t="shared" ca="1" si="494"/>
        <v>0</v>
      </c>
      <c r="BS252" s="53">
        <f ca="1">IFERROR((_xlfn.XLOOKUP(F252,Apuração!A:A,Apuração!C:C)+1)/_xlfn.XLOOKUP(F252,Apuração!A:A,Apuração!B:B),0)</f>
        <v>0.14285714285714285</v>
      </c>
    </row>
    <row r="253" spans="1:71" ht="25.95" hidden="1" customHeight="1" x14ac:dyDescent="0.3">
      <c r="A253" s="40" t="s">
        <v>87</v>
      </c>
      <c r="B253" s="4" t="s">
        <v>88</v>
      </c>
      <c r="C253" s="5" t="s">
        <v>209</v>
      </c>
      <c r="D253" s="5" t="s">
        <v>210</v>
      </c>
      <c r="E253" s="4" t="s">
        <v>96</v>
      </c>
      <c r="F253" s="4" t="str" cm="1">
        <f t="array" ref="F253">_xlfn.IFS(
AG253 &lt;&gt; "", "Jan-Dez/26",
AH253 &lt;&gt; "", "Fev-Dez/26",
AI253 &lt;&gt; "", "Mar-Dez/26", AJ253 &lt;&gt; "", "Abr-Dez/26",
TRUE, "A partir de Junho"
)</f>
        <v>A partir de Junho</v>
      </c>
      <c r="G253" s="4" t="s">
        <v>62</v>
      </c>
      <c r="H253" s="7" t="s">
        <v>38</v>
      </c>
      <c r="I253" s="9" t="s">
        <v>91</v>
      </c>
      <c r="J253" s="21" t="str" cm="1">
        <f t="array" aca="1" ref="J253" ca="1">_xlfn.LET(
  _xlpm.actual_value_month, INDEX(T253:AE253, MATCH(DATE(YEAR(TODAY()), MONTH(TODAY()), 1), $T$1:$AE$1, 0)),
  IF(_xlpm.actual_value_month &lt;&gt; "",_xlpm.actual_value_month &amp; " ações mensais", "")
)</f>
        <v/>
      </c>
      <c r="K253" s="8" t="str" cm="1">
        <f t="array" ref="K253">_xlfn.LET(
    _xlpm.sum_month, SUM(T253:AE253),
    IF(_xlpm.sum_month = 0, "", _xlpm.sum_month &amp; " certificados gerados no ano")
)</f>
        <v/>
      </c>
      <c r="L253" s="4" t="s">
        <v>92</v>
      </c>
      <c r="M253" s="19"/>
      <c r="N253" s="5" t="s">
        <v>51</v>
      </c>
      <c r="O253" s="5"/>
      <c r="P253" s="10"/>
      <c r="Q253" s="10"/>
      <c r="R253" s="10"/>
      <c r="S253" s="10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94">
        <f t="shared" ref="AS253:AS257" ca="1" si="571">AE253*BO253</f>
        <v>0</v>
      </c>
      <c r="AT253" s="95" t="str" cm="1">
        <f t="array" ref="AT253">IFERROR(INDEX(AJ253:AR253,1,MATCH(2,1/(AJ253:AR253&lt;&gt;""))),"")</f>
        <v/>
      </c>
      <c r="AU253" s="97" t="str">
        <f t="shared" ref="AU253:AU257" si="572">AT253</f>
        <v/>
      </c>
      <c r="AW253" s="83">
        <f t="shared" ref="AW253:AW257" si="573">AG253</f>
        <v>0</v>
      </c>
      <c r="AX253" s="83">
        <f t="shared" ref="AX253:AX257" si="574">AH253</f>
        <v>0</v>
      </c>
      <c r="AY253" s="83">
        <f t="shared" ref="AY253:AY257" si="575">AI253</f>
        <v>0</v>
      </c>
      <c r="AZ253" s="83">
        <f t="shared" ref="AZ253:AZ257" si="576">AJ253</f>
        <v>0</v>
      </c>
      <c r="BA253" s="52"/>
      <c r="BB253" s="52"/>
      <c r="BC253" s="52"/>
      <c r="BD253" s="52"/>
      <c r="BE253" s="52"/>
      <c r="BF253" s="52"/>
      <c r="BG253" s="52"/>
      <c r="BH253" s="52"/>
      <c r="BI253" s="68" cm="1">
        <f t="array" ref="BI253">IFERROR(INDEX(AW253:BH253,1,MATCH(2,1/(AW253:BH253&lt;&gt;""))),"")</f>
        <v>0</v>
      </c>
      <c r="BJ253" s="68" cm="1">
        <f t="array" ref="BJ253">IF(BM253 = "", "",IFERROR(INDEX(AW253:BH253,1,MATCH(2,1/(AW253:BH253&lt;&gt;""),1)-1),""))</f>
        <v>0</v>
      </c>
      <c r="BK253" s="59">
        <f t="shared" ref="BK253:BK257" si="577">SUM(AW253:BH253)</f>
        <v>0</v>
      </c>
      <c r="BL253" s="59" cm="1">
        <f t="array" ref="BL253">IFERROR(SUM(AW253:INDEX(AW253:BH253, MATCH(2, 1/(AW253:BH253&lt;&gt;""), 1) - 1))/_xlfn.XLOOKUP(F253,Apuração!A:A,Apuração!B:B),0)</f>
        <v>0</v>
      </c>
      <c r="BM253" s="55" cm="1">
        <f t="array" ref="BM253">IFERROR(
   INDEX($AW$1:$BH$1,
      _xlfn.AGGREGATE(14, 6, COLUMN($AW$1:$BH$1)/(AW253:BH253&lt;&gt;""), 2) - COLUMN($AW$1) + 1
   ),
"")</f>
        <v>46082</v>
      </c>
      <c r="BN253" s="55" cm="1">
        <f t="array" ref="BN253">IFERROR(INDEX($AW$1:$BH$1,1,MATCH(2,1/(AW253:BH253&lt;&gt;""))),"")</f>
        <v>46113</v>
      </c>
      <c r="BO253" s="53">
        <f ca="1">IFERROR(_xlfn.XLOOKUP(F253,Apuração!A:A,Apuração!C:C)/_xlfn.XLOOKUP(F253,Apuração!A:A,Apuração!B:B),0)</f>
        <v>0</v>
      </c>
      <c r="BP253" s="53">
        <f ca="1">IFERROR(_xlfn.XLOOKUP(F253,Apuração!A:A,Apuração!D:D)/_xlfn.XLOOKUP(F253,Apuração!A:A,Apuração!B:B),0)</f>
        <v>0</v>
      </c>
      <c r="BQ253" s="53">
        <f ca="1">IF(BK253&gt;=BO253,0,_xlfn.XLOOKUP(F253,Apuração!A:A,Apuração!B:B)*(BO253 + (1/_xlfn.XLOOKUP(F253,Apuração!A:A,Apuração!B:B)) - BK253))</f>
        <v>0</v>
      </c>
      <c r="BR253" s="85">
        <f t="shared" ref="BR253:BR257" ca="1" si="578">IF(BQ253=0,0,BQ253*Z253)</f>
        <v>0</v>
      </c>
      <c r="BS253" s="53">
        <f ca="1">IFERROR((_xlfn.XLOOKUP(F253,Apuração!A:A,Apuração!C:C)+1)/_xlfn.XLOOKUP(F253,Apuração!A:A,Apuração!B:B),0)</f>
        <v>0.14285714285714285</v>
      </c>
    </row>
    <row r="254" spans="1:71" ht="25.95" hidden="1" customHeight="1" x14ac:dyDescent="0.3">
      <c r="A254" s="40" t="s">
        <v>87</v>
      </c>
      <c r="B254" s="4" t="s">
        <v>88</v>
      </c>
      <c r="C254" s="5" t="s">
        <v>209</v>
      </c>
      <c r="D254" s="5" t="s">
        <v>47</v>
      </c>
      <c r="E254" s="4" t="s">
        <v>96</v>
      </c>
      <c r="F254" s="4" t="str" cm="1">
        <f t="array" ref="F254">_xlfn.IFS(
AG254 &lt;&gt; "", "Jan-Dez/26",
AH254 &lt;&gt; "", "Fev-Dez/26",
AI254 &lt;&gt; "", "Mar-Dez/26", AJ254 &lt;&gt; "", "Abr-Dez/26",
TRUE, "A partir de Junho"
)</f>
        <v>A partir de Junho</v>
      </c>
      <c r="G254" s="4" t="s">
        <v>62</v>
      </c>
      <c r="H254" s="7" t="s">
        <v>38</v>
      </c>
      <c r="I254" s="9" t="s">
        <v>91</v>
      </c>
      <c r="J254" s="21" t="str" cm="1">
        <f t="array" aca="1" ref="J254" ca="1">_xlfn.LET(
  _xlpm.actual_value_month, INDEX(T254:AE254, MATCH(DATE(YEAR(TODAY()), MONTH(TODAY()), 1), $T$1:$AE$1, 0)),
  IF(_xlpm.actual_value_month &lt;&gt; "",_xlpm.actual_value_month &amp; " ações mensais", "")
)</f>
        <v/>
      </c>
      <c r="K254" s="8" t="str" cm="1">
        <f t="array" ref="K254">_xlfn.LET(
    _xlpm.sum_month, SUM(T254:AE254),
    IF(_xlpm.sum_month = 0, "", _xlpm.sum_month &amp; " certificados gerados no ano")
)</f>
        <v/>
      </c>
      <c r="L254" s="4" t="s">
        <v>92</v>
      </c>
      <c r="M254" s="19"/>
      <c r="N254" s="5" t="s">
        <v>51</v>
      </c>
      <c r="O254" s="5"/>
      <c r="P254" s="10"/>
      <c r="Q254" s="10"/>
      <c r="R254" s="10"/>
      <c r="S254" s="10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94">
        <f t="shared" ca="1" si="571"/>
        <v>0</v>
      </c>
      <c r="AT254" s="95" t="str" cm="1">
        <f t="array" ref="AT254">IFERROR(INDEX(AJ254:AR254,1,MATCH(2,1/(AJ254:AR254&lt;&gt;""))),"")</f>
        <v/>
      </c>
      <c r="AU254" s="97" t="str">
        <f t="shared" si="572"/>
        <v/>
      </c>
      <c r="AW254" s="83">
        <f t="shared" si="573"/>
        <v>0</v>
      </c>
      <c r="AX254" s="83">
        <f t="shared" si="574"/>
        <v>0</v>
      </c>
      <c r="AY254" s="83">
        <f t="shared" si="575"/>
        <v>0</v>
      </c>
      <c r="AZ254" s="83">
        <f t="shared" si="576"/>
        <v>0</v>
      </c>
      <c r="BA254" s="52"/>
      <c r="BB254" s="52"/>
      <c r="BC254" s="52"/>
      <c r="BD254" s="52"/>
      <c r="BE254" s="52"/>
      <c r="BF254" s="52"/>
      <c r="BG254" s="52"/>
      <c r="BH254" s="52"/>
      <c r="BI254" s="68" cm="1">
        <f t="array" ref="BI254">IFERROR(INDEX(AW254:BH254,1,MATCH(2,1/(AW254:BH254&lt;&gt;""))),"")</f>
        <v>0</v>
      </c>
      <c r="BJ254" s="68" cm="1">
        <f t="array" ref="BJ254">IF(BM254 = "", "",IFERROR(INDEX(AW254:BH254,1,MATCH(2,1/(AW254:BH254&lt;&gt;""),1)-1),""))</f>
        <v>0</v>
      </c>
      <c r="BK254" s="59">
        <f t="shared" si="577"/>
        <v>0</v>
      </c>
      <c r="BL254" s="59" cm="1">
        <f t="array" ref="BL254">IFERROR(SUM(AW254:INDEX(AW254:BH254, MATCH(2, 1/(AW254:BH254&lt;&gt;""), 1) - 1))/_xlfn.XLOOKUP(F254,Apuração!A:A,Apuração!B:B),0)</f>
        <v>0</v>
      </c>
      <c r="BM254" s="55" cm="1">
        <f t="array" ref="BM254">IFERROR(
   INDEX($AW$1:$BH$1,
      _xlfn.AGGREGATE(14, 6, COLUMN($AW$1:$BH$1)/(AW254:BH254&lt;&gt;""), 2) - COLUMN($AW$1) + 1
   ),
"")</f>
        <v>46082</v>
      </c>
      <c r="BN254" s="55" cm="1">
        <f t="array" ref="BN254">IFERROR(INDEX($AW$1:$BH$1,1,MATCH(2,1/(AW254:BH254&lt;&gt;""))),"")</f>
        <v>46113</v>
      </c>
      <c r="BO254" s="53">
        <f ca="1">IFERROR(_xlfn.XLOOKUP(F254,Apuração!A:A,Apuração!C:C)/_xlfn.XLOOKUP(F254,Apuração!A:A,Apuração!B:B),0)</f>
        <v>0</v>
      </c>
      <c r="BP254" s="53">
        <f ca="1">IFERROR(_xlfn.XLOOKUP(F254,Apuração!A:A,Apuração!D:D)/_xlfn.XLOOKUP(F254,Apuração!A:A,Apuração!B:B),0)</f>
        <v>0</v>
      </c>
      <c r="BQ254" s="53">
        <f ca="1">IF(BK254&gt;=BO254,0,_xlfn.XLOOKUP(F254,Apuração!A:A,Apuração!B:B)*(BO254 + (1/_xlfn.XLOOKUP(F254,Apuração!A:A,Apuração!B:B)) - BK254))</f>
        <v>0</v>
      </c>
      <c r="BR254" s="85">
        <f t="shared" ca="1" si="578"/>
        <v>0</v>
      </c>
      <c r="BS254" s="53">
        <f ca="1">IFERROR((_xlfn.XLOOKUP(F254,Apuração!A:A,Apuração!C:C)+1)/_xlfn.XLOOKUP(F254,Apuração!A:A,Apuração!B:B),0)</f>
        <v>0.14285714285714285</v>
      </c>
    </row>
    <row r="255" spans="1:71" ht="25.95" hidden="1" customHeight="1" x14ac:dyDescent="0.3">
      <c r="A255" s="40" t="s">
        <v>87</v>
      </c>
      <c r="B255" s="4" t="s">
        <v>88</v>
      </c>
      <c r="C255" s="5" t="s">
        <v>209</v>
      </c>
      <c r="D255" s="5" t="s">
        <v>211</v>
      </c>
      <c r="E255" s="4" t="s">
        <v>96</v>
      </c>
      <c r="F255" s="4" t="str" cm="1">
        <f t="array" ref="F255">_xlfn.IFS(
AG255 &lt;&gt; "", "Jan-Dez/26",
AH255 &lt;&gt; "", "Fev-Dez/26",
AI255 &lt;&gt; "", "Mar-Dez/26", AJ255 &lt;&gt; "", "Abr-Dez/26",
TRUE, "A partir de Junho"
)</f>
        <v>A partir de Junho</v>
      </c>
      <c r="G255" s="4" t="s">
        <v>62</v>
      </c>
      <c r="H255" s="7" t="s">
        <v>38</v>
      </c>
      <c r="I255" s="9" t="s">
        <v>91</v>
      </c>
      <c r="J255" s="21" t="str" cm="1">
        <f t="array" aca="1" ref="J255" ca="1">_xlfn.LET(
  _xlpm.actual_value_month, INDEX(T255:AE255, MATCH(DATE(YEAR(TODAY()), MONTH(TODAY()), 1), $T$1:$AE$1, 0)),
  IF(_xlpm.actual_value_month &lt;&gt; "",_xlpm.actual_value_month &amp; " ações mensais", "")
)</f>
        <v/>
      </c>
      <c r="K255" s="8" t="str" cm="1">
        <f t="array" ref="K255">_xlfn.LET(
    _xlpm.sum_month, SUM(T255:AE255),
    IF(_xlpm.sum_month = 0, "", _xlpm.sum_month &amp; " certificados gerados no ano")
)</f>
        <v/>
      </c>
      <c r="L255" s="4" t="s">
        <v>92</v>
      </c>
      <c r="M255" s="19"/>
      <c r="N255" s="5" t="s">
        <v>51</v>
      </c>
      <c r="O255" s="5"/>
      <c r="P255" s="10"/>
      <c r="Q255" s="10"/>
      <c r="R255" s="10"/>
      <c r="S255" s="10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94">
        <f t="shared" ca="1" si="571"/>
        <v>0</v>
      </c>
      <c r="AT255" s="95" t="str" cm="1">
        <f t="array" ref="AT255">IFERROR(INDEX(AJ255:AR255,1,MATCH(2,1/(AJ255:AR255&lt;&gt;""))),"")</f>
        <v/>
      </c>
      <c r="AU255" s="97" t="str">
        <f t="shared" si="572"/>
        <v/>
      </c>
      <c r="AW255" s="83">
        <f t="shared" si="573"/>
        <v>0</v>
      </c>
      <c r="AX255" s="83">
        <f t="shared" si="574"/>
        <v>0</v>
      </c>
      <c r="AY255" s="83">
        <f t="shared" si="575"/>
        <v>0</v>
      </c>
      <c r="AZ255" s="83">
        <f t="shared" si="576"/>
        <v>0</v>
      </c>
      <c r="BA255" s="52"/>
      <c r="BB255" s="52"/>
      <c r="BC255" s="52"/>
      <c r="BD255" s="52"/>
      <c r="BE255" s="52"/>
      <c r="BF255" s="52"/>
      <c r="BG255" s="52"/>
      <c r="BH255" s="52"/>
      <c r="BI255" s="68" cm="1">
        <f t="array" ref="BI255">IFERROR(INDEX(AW255:BH255,1,MATCH(2,1/(AW255:BH255&lt;&gt;""))),"")</f>
        <v>0</v>
      </c>
      <c r="BJ255" s="68" cm="1">
        <f t="array" ref="BJ255">IF(BM255 = "", "",IFERROR(INDEX(AW255:BH255,1,MATCH(2,1/(AW255:BH255&lt;&gt;""),1)-1),""))</f>
        <v>0</v>
      </c>
      <c r="BK255" s="59">
        <f t="shared" si="577"/>
        <v>0</v>
      </c>
      <c r="BL255" s="59" cm="1">
        <f t="array" ref="BL255">IFERROR(SUM(AW255:INDEX(AW255:BH255, MATCH(2, 1/(AW255:BH255&lt;&gt;""), 1) - 1))/_xlfn.XLOOKUP(F255,Apuração!A:A,Apuração!B:B),0)</f>
        <v>0</v>
      </c>
      <c r="BM255" s="55" cm="1">
        <f t="array" ref="BM255">IFERROR(
   INDEX($AW$1:$BH$1,
      _xlfn.AGGREGATE(14, 6, COLUMN($AW$1:$BH$1)/(AW255:BH255&lt;&gt;""), 2) - COLUMN($AW$1) + 1
   ),
"")</f>
        <v>46082</v>
      </c>
      <c r="BN255" s="55" cm="1">
        <f t="array" ref="BN255">IFERROR(INDEX($AW$1:$BH$1,1,MATCH(2,1/(AW255:BH255&lt;&gt;""))),"")</f>
        <v>46113</v>
      </c>
      <c r="BO255" s="53">
        <f ca="1">IFERROR(_xlfn.XLOOKUP(F255,Apuração!A:A,Apuração!C:C)/_xlfn.XLOOKUP(F255,Apuração!A:A,Apuração!B:B),0)</f>
        <v>0</v>
      </c>
      <c r="BP255" s="53">
        <f ca="1">IFERROR(_xlfn.XLOOKUP(F255,Apuração!A:A,Apuração!D:D)/_xlfn.XLOOKUP(F255,Apuração!A:A,Apuração!B:B),0)</f>
        <v>0</v>
      </c>
      <c r="BQ255" s="53">
        <f ca="1">IF(BK255&gt;=BO255,0,_xlfn.XLOOKUP(F255,Apuração!A:A,Apuração!B:B)*(BO255 + (1/_xlfn.XLOOKUP(F255,Apuração!A:A,Apuração!B:B)) - BK255))</f>
        <v>0</v>
      </c>
      <c r="BR255" s="85">
        <f t="shared" ca="1" si="578"/>
        <v>0</v>
      </c>
      <c r="BS255" s="53">
        <f ca="1">IFERROR((_xlfn.XLOOKUP(F255,Apuração!A:A,Apuração!C:C)+1)/_xlfn.XLOOKUP(F255,Apuração!A:A,Apuração!B:B),0)</f>
        <v>0.14285714285714285</v>
      </c>
    </row>
    <row r="256" spans="1:71" ht="25.95" hidden="1" customHeight="1" x14ac:dyDescent="0.3">
      <c r="A256" s="40" t="s">
        <v>87</v>
      </c>
      <c r="B256" s="4" t="s">
        <v>88</v>
      </c>
      <c r="C256" s="5" t="s">
        <v>209</v>
      </c>
      <c r="D256" s="5" t="s">
        <v>212</v>
      </c>
      <c r="E256" s="4" t="s">
        <v>96</v>
      </c>
      <c r="F256" s="4" t="str" cm="1">
        <f t="array" ref="F256">_xlfn.IFS(
AG256 &lt;&gt; "", "Jan-Dez/26",
AH256 &lt;&gt; "", "Fev-Dez/26",
AI256 &lt;&gt; "", "Mar-Dez/26", AJ256 &lt;&gt; "", "Abr-Dez/26",
TRUE, "A partir de Junho"
)</f>
        <v>A partir de Junho</v>
      </c>
      <c r="G256" s="4" t="s">
        <v>62</v>
      </c>
      <c r="H256" s="7" t="s">
        <v>38</v>
      </c>
      <c r="I256" s="9" t="s">
        <v>91</v>
      </c>
      <c r="J256" s="21" t="str" cm="1">
        <f t="array" aca="1" ref="J256" ca="1">_xlfn.LET(
  _xlpm.actual_value_month, INDEX(T256:AE256, MATCH(DATE(YEAR(TODAY()), MONTH(TODAY()), 1), $T$1:$AE$1, 0)),
  IF(_xlpm.actual_value_month &lt;&gt; "",_xlpm.actual_value_month &amp; " ações mensais", "")
)</f>
        <v/>
      </c>
      <c r="K256" s="8" t="str" cm="1">
        <f t="array" ref="K256">_xlfn.LET(
    _xlpm.sum_month, SUM(T256:AE256),
    IF(_xlpm.sum_month = 0, "", _xlpm.sum_month &amp; " certificados gerados no ano")
)</f>
        <v/>
      </c>
      <c r="L256" s="4" t="s">
        <v>92</v>
      </c>
      <c r="M256" s="19"/>
      <c r="N256" s="5" t="s">
        <v>51</v>
      </c>
      <c r="O256" s="5"/>
      <c r="P256" s="10"/>
      <c r="Q256" s="10"/>
      <c r="R256" s="10"/>
      <c r="S256" s="10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94">
        <f t="shared" ca="1" si="571"/>
        <v>0</v>
      </c>
      <c r="AT256" s="95" t="str" cm="1">
        <f t="array" ref="AT256">IFERROR(INDEX(AJ256:AR256,1,MATCH(2,1/(AJ256:AR256&lt;&gt;""))),"")</f>
        <v/>
      </c>
      <c r="AU256" s="97" t="str">
        <f t="shared" si="572"/>
        <v/>
      </c>
      <c r="AW256" s="83">
        <f t="shared" si="573"/>
        <v>0</v>
      </c>
      <c r="AX256" s="83">
        <f t="shared" si="574"/>
        <v>0</v>
      </c>
      <c r="AY256" s="83">
        <f t="shared" si="575"/>
        <v>0</v>
      </c>
      <c r="AZ256" s="83">
        <f t="shared" si="576"/>
        <v>0</v>
      </c>
      <c r="BA256" s="52"/>
      <c r="BB256" s="52"/>
      <c r="BC256" s="52"/>
      <c r="BD256" s="52"/>
      <c r="BE256" s="52"/>
      <c r="BF256" s="52"/>
      <c r="BG256" s="52"/>
      <c r="BH256" s="52"/>
      <c r="BI256" s="68" cm="1">
        <f t="array" ref="BI256">IFERROR(INDEX(AW256:BH256,1,MATCH(2,1/(AW256:BH256&lt;&gt;""))),"")</f>
        <v>0</v>
      </c>
      <c r="BJ256" s="68" cm="1">
        <f t="array" ref="BJ256">IF(BM256 = "", "",IFERROR(INDEX(AW256:BH256,1,MATCH(2,1/(AW256:BH256&lt;&gt;""),1)-1),""))</f>
        <v>0</v>
      </c>
      <c r="BK256" s="59">
        <f t="shared" si="577"/>
        <v>0</v>
      </c>
      <c r="BL256" s="59" cm="1">
        <f t="array" ref="BL256">IFERROR(SUM(AW256:INDEX(AW256:BH256, MATCH(2, 1/(AW256:BH256&lt;&gt;""), 1) - 1))/_xlfn.XLOOKUP(F256,Apuração!A:A,Apuração!B:B),0)</f>
        <v>0</v>
      </c>
      <c r="BM256" s="55" cm="1">
        <f t="array" ref="BM256">IFERROR(
   INDEX($AW$1:$BH$1,
      _xlfn.AGGREGATE(14, 6, COLUMN($AW$1:$BH$1)/(AW256:BH256&lt;&gt;""), 2) - COLUMN($AW$1) + 1
   ),
"")</f>
        <v>46082</v>
      </c>
      <c r="BN256" s="55" cm="1">
        <f t="array" ref="BN256">IFERROR(INDEX($AW$1:$BH$1,1,MATCH(2,1/(AW256:BH256&lt;&gt;""))),"")</f>
        <v>46113</v>
      </c>
      <c r="BO256" s="53">
        <f ca="1">IFERROR(_xlfn.XLOOKUP(F256,Apuração!A:A,Apuração!C:C)/_xlfn.XLOOKUP(F256,Apuração!A:A,Apuração!B:B),0)</f>
        <v>0</v>
      </c>
      <c r="BP256" s="53">
        <f ca="1">IFERROR(_xlfn.XLOOKUP(F256,Apuração!A:A,Apuração!D:D)/_xlfn.XLOOKUP(F256,Apuração!A:A,Apuração!B:B),0)</f>
        <v>0</v>
      </c>
      <c r="BQ256" s="53">
        <f ca="1">IF(BK256&gt;=BO256,0,_xlfn.XLOOKUP(F256,Apuração!A:A,Apuração!B:B)*(BO256 + (1/_xlfn.XLOOKUP(F256,Apuração!A:A,Apuração!B:B)) - BK256))</f>
        <v>0</v>
      </c>
      <c r="BR256" s="85">
        <f t="shared" ca="1" si="578"/>
        <v>0</v>
      </c>
      <c r="BS256" s="53">
        <f ca="1">IFERROR((_xlfn.XLOOKUP(F256,Apuração!A:A,Apuração!C:C)+1)/_xlfn.XLOOKUP(F256,Apuração!A:A,Apuração!B:B),0)</f>
        <v>0.14285714285714285</v>
      </c>
    </row>
    <row r="257" spans="1:71" ht="25.95" hidden="1" customHeight="1" x14ac:dyDescent="0.3">
      <c r="A257" s="40" t="s">
        <v>87</v>
      </c>
      <c r="B257" s="4" t="s">
        <v>88</v>
      </c>
      <c r="C257" s="5" t="s">
        <v>209</v>
      </c>
      <c r="D257" s="5" t="s">
        <v>213</v>
      </c>
      <c r="E257" s="4" t="s">
        <v>96</v>
      </c>
      <c r="F257" s="4" t="str" cm="1">
        <f t="array" ref="F257">_xlfn.IFS(
AG257 &lt;&gt; "", "Jan-Dez/26",
AH257 &lt;&gt; "", "Fev-Dez/26",
AI257 &lt;&gt; "", "Mar-Dez/26", AJ257 &lt;&gt; "", "Abr-Dez/26",
TRUE, "A partir de Junho"
)</f>
        <v>A partir de Junho</v>
      </c>
      <c r="G257" s="4" t="s">
        <v>62</v>
      </c>
      <c r="H257" s="7" t="s">
        <v>38</v>
      </c>
      <c r="I257" s="9" t="s">
        <v>91</v>
      </c>
      <c r="J257" s="21" t="str" cm="1">
        <f t="array" aca="1" ref="J257" ca="1">_xlfn.LET(
  _xlpm.actual_value_month, INDEX(T257:AE257, MATCH(DATE(YEAR(TODAY()), MONTH(TODAY()), 1), $T$1:$AE$1, 0)),
  IF(_xlpm.actual_value_month &lt;&gt; "",_xlpm.actual_value_month &amp; " ações mensais", "")
)</f>
        <v/>
      </c>
      <c r="K257" s="8" t="str" cm="1">
        <f t="array" ref="K257">_xlfn.LET(
    _xlpm.sum_month, SUM(T257:AE257),
    IF(_xlpm.sum_month = 0, "", _xlpm.sum_month &amp; " certificados gerados no ano")
)</f>
        <v/>
      </c>
      <c r="L257" s="4" t="s">
        <v>92</v>
      </c>
      <c r="M257" s="19"/>
      <c r="N257" s="5" t="s">
        <v>51</v>
      </c>
      <c r="O257" s="5"/>
      <c r="P257" s="10"/>
      <c r="Q257" s="10"/>
      <c r="R257" s="10"/>
      <c r="S257" s="10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94">
        <f t="shared" ca="1" si="571"/>
        <v>0</v>
      </c>
      <c r="AT257" s="95" t="str" cm="1">
        <f t="array" ref="AT257">IFERROR(INDEX(AJ257:AR257,1,MATCH(2,1/(AJ257:AR257&lt;&gt;""))),"")</f>
        <v/>
      </c>
      <c r="AU257" s="97" t="str">
        <f t="shared" si="572"/>
        <v/>
      </c>
      <c r="AW257" s="83">
        <f t="shared" si="573"/>
        <v>0</v>
      </c>
      <c r="AX257" s="83">
        <f t="shared" si="574"/>
        <v>0</v>
      </c>
      <c r="AY257" s="83">
        <f t="shared" si="575"/>
        <v>0</v>
      </c>
      <c r="AZ257" s="83">
        <f t="shared" si="576"/>
        <v>0</v>
      </c>
      <c r="BA257" s="52"/>
      <c r="BB257" s="52"/>
      <c r="BC257" s="52"/>
      <c r="BD257" s="52"/>
      <c r="BE257" s="52"/>
      <c r="BF257" s="52"/>
      <c r="BG257" s="52"/>
      <c r="BH257" s="52"/>
      <c r="BI257" s="68" cm="1">
        <f t="array" ref="BI257">IFERROR(INDEX(AW257:BH257,1,MATCH(2,1/(AW257:BH257&lt;&gt;""))),"")</f>
        <v>0</v>
      </c>
      <c r="BJ257" s="68" cm="1">
        <f t="array" ref="BJ257">IF(BM257 = "", "",IFERROR(INDEX(AW257:BH257,1,MATCH(2,1/(AW257:BH257&lt;&gt;""),1)-1),""))</f>
        <v>0</v>
      </c>
      <c r="BK257" s="59">
        <f t="shared" si="577"/>
        <v>0</v>
      </c>
      <c r="BL257" s="59" cm="1">
        <f t="array" ref="BL257">IFERROR(SUM(AW257:INDEX(AW257:BH257, MATCH(2, 1/(AW257:BH257&lt;&gt;""), 1) - 1))/_xlfn.XLOOKUP(F257,Apuração!A:A,Apuração!B:B),0)</f>
        <v>0</v>
      </c>
      <c r="BM257" s="55" cm="1">
        <f t="array" ref="BM257">IFERROR(
   INDEX($AW$1:$BH$1,
      _xlfn.AGGREGATE(14, 6, COLUMN($AW$1:$BH$1)/(AW257:BH257&lt;&gt;""), 2) - COLUMN($AW$1) + 1
   ),
"")</f>
        <v>46082</v>
      </c>
      <c r="BN257" s="55" cm="1">
        <f t="array" ref="BN257">IFERROR(INDEX($AW$1:$BH$1,1,MATCH(2,1/(AW257:BH257&lt;&gt;""))),"")</f>
        <v>46113</v>
      </c>
      <c r="BO257" s="53">
        <f ca="1">IFERROR(_xlfn.XLOOKUP(F257,Apuração!A:A,Apuração!C:C)/_xlfn.XLOOKUP(F257,Apuração!A:A,Apuração!B:B),0)</f>
        <v>0</v>
      </c>
      <c r="BP257" s="53">
        <f ca="1">IFERROR(_xlfn.XLOOKUP(F257,Apuração!A:A,Apuração!D:D)/_xlfn.XLOOKUP(F257,Apuração!A:A,Apuração!B:B),0)</f>
        <v>0</v>
      </c>
      <c r="BQ257" s="53">
        <f ca="1">IF(BK257&gt;=BO257,0,_xlfn.XLOOKUP(F257,Apuração!A:A,Apuração!B:B)*(BO257 + (1/_xlfn.XLOOKUP(F257,Apuração!A:A,Apuração!B:B)) - BK257))</f>
        <v>0</v>
      </c>
      <c r="BR257" s="85">
        <f t="shared" ca="1" si="578"/>
        <v>0</v>
      </c>
      <c r="BS257" s="53">
        <f ca="1">IFERROR((_xlfn.XLOOKUP(F257,Apuração!A:A,Apuração!C:C)+1)/_xlfn.XLOOKUP(F257,Apuração!A:A,Apuração!B:B),0)</f>
        <v>0.14285714285714285</v>
      </c>
    </row>
    <row r="258" spans="1:71" ht="25.95" hidden="1" customHeight="1" x14ac:dyDescent="0.3">
      <c r="A258" s="40" t="s">
        <v>87</v>
      </c>
      <c r="B258" s="4" t="s">
        <v>88</v>
      </c>
      <c r="C258" s="5" t="s">
        <v>209</v>
      </c>
      <c r="D258" s="5" t="s">
        <v>36</v>
      </c>
      <c r="E258" s="4" t="s">
        <v>96</v>
      </c>
      <c r="F258" s="4" t="str" cm="1">
        <f t="array" ref="F258">_xlfn.IFS(
AG258 &lt;&gt; "", "Jan-Dez/26",
AH258 &lt;&gt; "", "Fev-Dez/26",
AI258 &lt;&gt; "", "Mar-Dez/26", AJ258 &lt;&gt; "", "Abr-Dez/26",
TRUE, "A partir de Junho"
)</f>
        <v>A partir de Junho</v>
      </c>
      <c r="G258" s="4" t="s">
        <v>62</v>
      </c>
      <c r="H258" s="7" t="s">
        <v>38</v>
      </c>
      <c r="I258" s="9" t="s">
        <v>93</v>
      </c>
      <c r="J258" s="21" t="str" cm="1">
        <f t="array" aca="1" ref="J258" ca="1">_xlfn.LET(
  _xlpm.actual_value_month, INDEX(T258:AE258, MATCH(DATE(YEAR(TODAY()), MONTH(TODAY()), 1), $T$1:$AE$1, 0)),
  IF(_xlpm.actual_value_month &lt;&gt; "",_xlpm.actual_value_month &amp; " ações mensais", "")
)</f>
        <v/>
      </c>
      <c r="K258" s="8" t="str" cm="1">
        <f t="array" ref="K258">_xlfn.LET(
    _xlpm.sum_month, SUM(T258:AE258),
    IF(_xlpm.sum_month = 0, "", _xlpm.sum_month &amp; " certificados gerados no ano")
)</f>
        <v/>
      </c>
      <c r="L258" s="4" t="s">
        <v>94</v>
      </c>
      <c r="M258" s="19"/>
      <c r="N258" s="5" t="s">
        <v>51</v>
      </c>
      <c r="O258" s="5"/>
      <c r="P258" s="10"/>
      <c r="Q258" s="10"/>
      <c r="R258" s="10"/>
      <c r="S258" s="10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94">
        <f t="shared" ca="1" si="559"/>
        <v>0</v>
      </c>
      <c r="AT258" s="95" t="str" cm="1">
        <f t="array" ref="AT258">IFERROR(INDEX(AJ258:AR258,1,MATCH(2,1/(AJ258:AR258&lt;&gt;""))),"")</f>
        <v/>
      </c>
      <c r="AU258" s="97" t="str">
        <f t="shared" si="560"/>
        <v/>
      </c>
      <c r="AW258" s="83">
        <f>AG258</f>
        <v>0</v>
      </c>
      <c r="AX258" s="83">
        <f t="shared" si="568"/>
        <v>0</v>
      </c>
      <c r="AY258" s="83">
        <f t="shared" si="569"/>
        <v>0</v>
      </c>
      <c r="AZ258" s="83">
        <f t="shared" si="570"/>
        <v>0</v>
      </c>
      <c r="BA258" s="51"/>
      <c r="BB258" s="51"/>
      <c r="BC258" s="51"/>
      <c r="BD258" s="51"/>
      <c r="BE258" s="51"/>
      <c r="BF258" s="51"/>
      <c r="BG258" s="51"/>
      <c r="BH258" s="51"/>
      <c r="BI258" s="65" cm="1">
        <f t="array" ref="BI258">IFERROR(INDEX(AW258:BH258,1,MATCH(2,1/(AW258:BH258&lt;&gt;""))),"")</f>
        <v>0</v>
      </c>
      <c r="BJ258" s="68" cm="1">
        <f t="array" ref="BJ258">IF(BM258 = "", "",IFERROR(INDEX(AW258:BH258,1,MATCH(2,1/(AW258:BH258&lt;&gt;""),1)-1),""))</f>
        <v>0</v>
      </c>
      <c r="BK258" s="58">
        <f>IF((IF(AW258&gt;=115%,115%,AW258) + IF(AX258&gt;=115%,115%,AX258) + IF(AY258&gt;=115%,115%,AY258) + (IF(AZ258&gt;=115%,115%,AZ258) + IF(BA258&gt;=115%,115%,BA258) + IF(BB258&gt;=115%,115%,BB258) + IF(BC258&gt;=115%,115%,BC258) + IF(BD258&gt;=115%,115%,BD258) + IF(BE258&gt;=115%,115%,BE258) + IF(BF258&gt;=115%,115%,BF258) + IF(BG258&gt;=115%,115%,BG258) + IF(BH258&gt;=115%,115%,BH258)))/_xlfn.XLOOKUP(F258,Apuração!A:A,Apuração!B:B)&gt;=1.15,1.15,((IF(AZ258&gt;=115%,115%,AZ258) + IF(AX258&gt;=115%,115%,AX258) + IF(AY258&gt;=115%,115%,AY258) + (IF(AW258&gt;=115%,115%,AW258) + IF(BA258&gt;=115%,115%,BA258) + IF(BB258&gt;=115%,115%,BB258) + IF(BC258&gt;=115%,115%,BC258) + IF(BD258&gt;=115%,115%,BD258) + IF(BE258&gt;=115%,115%,BE258) + IF(BF258&gt;=115%,115%,BF258) + IF(BG258&gt;=115%,115%,BG258) + IF(BH258&gt;=115%,115%,BH258)))/_xlfn.XLOOKUP(F258,Apuração!A:A,Apuração!B:B)))</f>
        <v>0</v>
      </c>
      <c r="BL258" s="58" cm="1">
        <f t="array" aca="1" ref="BL258" ca="1">IF(SUM(IFERROR(IF(INDEX(AW258:INDEX(AW258:BH258, MATCH(2, 1/(AW258:BH258&lt;&gt;""), 1)-1), ROW(INDIRECT("1:" &amp; MATCH(2, 1/(AW258:BH258&lt;&gt;""), 1)-1))) &gt;= 115%, 115%, INDEX(AW258:INDEX(AW258:BH258, MATCH(2, 1/(AW258:BH258&lt;&gt;""), 1)-1), ROW(INDIRECT("1:" &amp; MATCH(2, 1/(AW258:BH258&lt;&gt;""), 1)-1)))), 0))/_xlfn.XLOOKUP(F258,Apuração!A:A,Apuração!B:B)&gt;=1.15,1.15,SUM(IFERROR(IF(INDEX(AW258:INDEX(AW258:BH258, MATCH(2, 1/(AW258:BH258&lt;&gt;""), 1)-1), ROW(INDIRECT("1:" &amp; MATCH(2, 1/(AW258:BH258&lt;&gt;""), 1)-1))) &gt;= 115%, 115%, INDEX(AW258:INDEX(AW258:BH258, MATCH(2, 1/(AW258:BH258&lt;&gt;""), 1)-1), ROW(INDIRECT("1:" &amp; MATCH(2, 1/(AW258:BH258&lt;&gt;""), 1)-1)))), 0))/_xlfn.XLOOKUP(F258,Apuração!A:A,Apuração!B:B))</f>
        <v>0</v>
      </c>
      <c r="BM258" s="55" cm="1">
        <f t="array" ref="BM258">IFERROR(
   INDEX($AW$1:$BH$1,
      _xlfn.AGGREGATE(14, 6, COLUMN($AW$1:$BH$1)/(AW258:BH258&lt;&gt;""), 2) - COLUMN($AW$1) + 1
   ),
"")</f>
        <v>46082</v>
      </c>
      <c r="BN258" s="55" cm="1">
        <f t="array" ref="BN258">IFERROR(INDEX($AW$1:$BH$1,1,MATCH(2,1/(AW258:BH258&lt;&gt;""))),"")</f>
        <v>46113</v>
      </c>
      <c r="BO258" s="53">
        <f ca="1">IFERROR(_xlfn.XLOOKUP(F258,Apuração!A:A,Apuração!C:C)/_xlfn.XLOOKUP(F258,Apuração!A:A,Apuração!B:B),0)</f>
        <v>0</v>
      </c>
      <c r="BP258" s="53">
        <f ca="1">IFERROR(_xlfn.XLOOKUP(F258,Apuração!A:A,Apuração!D:D)/_xlfn.XLOOKUP(F258,Apuração!A:A,Apuração!B:B),0)</f>
        <v>0</v>
      </c>
      <c r="BQ258" s="53">
        <f ca="1">IF(BK258&gt;=BO258,0,_xlfn.XLOOKUP(F258,Apuração!A:A,Apuração!B:B)*(BO258 + (1/_xlfn.XLOOKUP(F258,Apuração!A:A,Apuração!B:B)) - BK258))</f>
        <v>0</v>
      </c>
      <c r="BR258" s="85">
        <f t="shared" ca="1" si="494"/>
        <v>0</v>
      </c>
      <c r="BS258" s="53">
        <f ca="1">IFERROR((_xlfn.XLOOKUP(F258,Apuração!A:A,Apuração!C:C)+1)/_xlfn.XLOOKUP(F258,Apuração!A:A,Apuração!B:B),0)</f>
        <v>0.14285714285714285</v>
      </c>
    </row>
    <row r="259" spans="1:71" ht="25.95" hidden="1" customHeight="1" x14ac:dyDescent="0.3">
      <c r="A259" s="20" t="s">
        <v>87</v>
      </c>
      <c r="B259" s="4" t="s">
        <v>88</v>
      </c>
      <c r="C259" s="5" t="s">
        <v>214</v>
      </c>
      <c r="D259" s="5" t="s">
        <v>36</v>
      </c>
      <c r="E259" s="4" t="s">
        <v>96</v>
      </c>
      <c r="F259" s="4" t="str" cm="1">
        <f t="array" ref="F259">_xlfn.IFS(
AG259 &lt;&gt; "", "Jan-Dez/26",
AH259 &lt;&gt; "", "Fev-Dez/26",
AI259 &lt;&gt; "", "Mar-Dez/26", AJ259 &lt;&gt; "", "Abr-Dez/26",
TRUE, "A partir de Junho"
)</f>
        <v>A partir de Junho</v>
      </c>
      <c r="G259" s="4" t="s">
        <v>62</v>
      </c>
      <c r="H259" s="7" t="s">
        <v>38</v>
      </c>
      <c r="I259" s="9" t="s">
        <v>89</v>
      </c>
      <c r="J259" s="21" t="str" cm="1">
        <f t="array" aca="1" ref="J259" ca="1">_xlfn.LET(
  _xlpm.actual_value_month, INDEX(T259:AE259, MATCH(DATE(YEAR(TODAY()), MONTH(TODAY()), 1), $T$1:$AE$1, 0)),
  IF(_xlpm.actual_value_month &lt;&gt; "",_xlpm.actual_value_month &amp; " ações mensais", "")
)</f>
        <v/>
      </c>
      <c r="K259" s="8" t="str" cm="1">
        <f t="array" ref="K259">_xlfn.LET(
    _xlpm.sum_month, SUM(T259:AE259),
    IF(_xlpm.sum_month = 0, "", _xlpm.sum_month &amp; " certificados gerados no ano")
)</f>
        <v/>
      </c>
      <c r="L259" s="4" t="s">
        <v>90</v>
      </c>
      <c r="M259" s="19"/>
      <c r="N259" s="5" t="s">
        <v>42</v>
      </c>
      <c r="O259" s="5"/>
      <c r="P259" s="10"/>
      <c r="Q259" s="10"/>
      <c r="R259" s="10"/>
      <c r="S259" s="10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94">
        <f t="shared" ca="1" si="559"/>
        <v>0</v>
      </c>
      <c r="AT259" s="95" t="str" cm="1">
        <f t="array" ref="AT259">IFERROR(INDEX(AJ259:AR259,1,MATCH(2,1/(AJ259:AR259&lt;&gt;""))),"")</f>
        <v/>
      </c>
      <c r="AU259" s="97" t="str">
        <f t="shared" si="560"/>
        <v/>
      </c>
      <c r="AW259" s="51">
        <f>IFERROR(IF(AG259="",0,AG259/T259),0)</f>
        <v>0</v>
      </c>
      <c r="AX259" s="51">
        <f>IFERROR(IF(AH259="",0,AH259/U259),0)</f>
        <v>0</v>
      </c>
      <c r="AY259" s="51">
        <f>IFERROR(IF(AI259="",0,AI259/V259),0)</f>
        <v>0</v>
      </c>
      <c r="AZ259" s="51">
        <f>IFERROR(IF(AJ259="",0,AJ259/W259),0)</f>
        <v>0</v>
      </c>
      <c r="BA259" s="51"/>
      <c r="BB259" s="51"/>
      <c r="BC259" s="51"/>
      <c r="BD259" s="51"/>
      <c r="BE259" s="51"/>
      <c r="BF259" s="51"/>
      <c r="BG259" s="51"/>
      <c r="BH259" s="51"/>
      <c r="BI259" s="65" cm="1">
        <f t="array" ref="BI259">IFERROR(INDEX(AW259:BH259,1,MATCH(2,1/(AW259:BH259&lt;&gt;""))),"")</f>
        <v>0</v>
      </c>
      <c r="BJ259" s="68" cm="1">
        <f t="array" ref="BJ259">IF(BM259 = "", "",IFERROR(INDEX(AW259:BH259,1,MATCH(2,1/(AW259:BH259&lt;&gt;""),1)-1),""))</f>
        <v>0</v>
      </c>
      <c r="BK259" s="58">
        <f>IF((IF(AW259&gt;=115%,115%,AW259) + IF(AX259&gt;=115%,115%,AX259) + IF(AY259&gt;=115%,115%,AY259) + (IF(AZ259&gt;=115%,115%,AZ259) + IF(BA259&gt;=115%,115%,BA259) + IF(BB259&gt;=115%,115%,BB259) + IF(BC259&gt;=115%,115%,BC259) + IF(BD259&gt;=115%,115%,BD259) + IF(BE259&gt;=115%,115%,BE259) + IF(BF259&gt;=115%,115%,BF259) + IF(BG259&gt;=115%,115%,BG259) + IF(BH259&gt;=115%,115%,BH259)))/_xlfn.XLOOKUP(F259,Apuração!A:A,Apuração!B:B)&gt;=1.15,1.15,((IF(AZ259&gt;=115%,115%,AZ259) + IF(AX259&gt;=115%,115%,AX259) + IF(AY259&gt;=115%,115%,AY259) + (IF(AW259&gt;=115%,115%,AW259) + IF(BA259&gt;=115%,115%,BA259) + IF(BB259&gt;=115%,115%,BB259) + IF(BC259&gt;=115%,115%,BC259) + IF(BD259&gt;=115%,115%,BD259) + IF(BE259&gt;=115%,115%,BE259) + IF(BF259&gt;=115%,115%,BF259) + IF(BG259&gt;=115%,115%,BG259) + IF(BH259&gt;=115%,115%,BH259)))/_xlfn.XLOOKUP(F259,Apuração!A:A,Apuração!B:B)))</f>
        <v>0</v>
      </c>
      <c r="BL259" s="58" cm="1">
        <f t="array" aca="1" ref="BL259" ca="1">IF(SUM(IFERROR(IF(INDEX(AW259:INDEX(AW259:BH259, MATCH(2, 1/(AW259:BH259&lt;&gt;""), 1)-1), ROW(INDIRECT("1:" &amp; MATCH(2, 1/(AW259:BH259&lt;&gt;""), 1)-1))) &gt;= 115%, 115%, INDEX(AW259:INDEX(AW259:BH259, MATCH(2, 1/(AW259:BH259&lt;&gt;""), 1)-1), ROW(INDIRECT("1:" &amp; MATCH(2, 1/(AW259:BH259&lt;&gt;""), 1)-1)))), 0))/_xlfn.XLOOKUP(F259,Apuração!A:A,Apuração!B:B)&gt;=1.15,1.15,SUM(IFERROR(IF(INDEX(AW259:INDEX(AW259:BH259, MATCH(2, 1/(AW259:BH259&lt;&gt;""), 1)-1), ROW(INDIRECT("1:" &amp; MATCH(2, 1/(AW259:BH259&lt;&gt;""), 1)-1))) &gt;= 115%, 115%, INDEX(AW259:INDEX(AW259:BH259, MATCH(2, 1/(AW259:BH259&lt;&gt;""), 1)-1), ROW(INDIRECT("1:" &amp; MATCH(2, 1/(AW259:BH259&lt;&gt;""), 1)-1)))), 0))/_xlfn.XLOOKUP(F259,Apuração!A:A,Apuração!B:B))</f>
        <v>0</v>
      </c>
      <c r="BM259" s="55" cm="1">
        <f t="array" ref="BM259">IFERROR(
   INDEX($AW$1:$BH$1,
      _xlfn.AGGREGATE(14, 6, COLUMN($AW$1:$BH$1)/(AW259:BH259&lt;&gt;""), 2) - COLUMN($AW$1) + 1
   ),
"")</f>
        <v>46082</v>
      </c>
      <c r="BN259" s="55" cm="1">
        <f t="array" ref="BN259">IFERROR(INDEX($AW$1:$BH$1,1,MATCH(2,1/(AW259:BH259&lt;&gt;""))),"")</f>
        <v>46113</v>
      </c>
      <c r="BO259" s="53">
        <f ca="1">IFERROR(_xlfn.XLOOKUP(F259,Apuração!A:A,Apuração!C:C)/_xlfn.XLOOKUP(F259,Apuração!A:A,Apuração!B:B),0)</f>
        <v>0</v>
      </c>
      <c r="BP259" s="53">
        <f ca="1">IFERROR(_xlfn.XLOOKUP(F259,Apuração!A:A,Apuração!D:D)/_xlfn.XLOOKUP(F259,Apuração!A:A,Apuração!B:B),0)</f>
        <v>0</v>
      </c>
      <c r="BQ259" s="53">
        <f ca="1">IF(BK259&gt;=BO259,0,_xlfn.XLOOKUP(F259,Apuração!A:A,Apuração!B:B)*(BO259 + (1/_xlfn.XLOOKUP(F259,Apuração!A:A,Apuração!B:B)) - BK259))</f>
        <v>0</v>
      </c>
      <c r="BR259" s="85">
        <f t="shared" ca="1" si="494"/>
        <v>0</v>
      </c>
      <c r="BS259" s="53">
        <f ca="1">IFERROR((_xlfn.XLOOKUP(F259,Apuração!A:A,Apuração!C:C)+1)/_xlfn.XLOOKUP(F259,Apuração!A:A,Apuração!B:B),0)</f>
        <v>0.14285714285714285</v>
      </c>
    </row>
    <row r="260" spans="1:71" ht="25.95" hidden="1" customHeight="1" x14ac:dyDescent="0.3">
      <c r="A260" s="20" t="s">
        <v>87</v>
      </c>
      <c r="B260" s="4" t="s">
        <v>88</v>
      </c>
      <c r="C260" s="5" t="s">
        <v>214</v>
      </c>
      <c r="D260" s="5" t="s">
        <v>210</v>
      </c>
      <c r="E260" s="4" t="s">
        <v>96</v>
      </c>
      <c r="F260" s="4" t="str" cm="1">
        <f t="array" ref="F260">_xlfn.IFS(
AG260 &lt;&gt; "", "Jan-Dez/26",
AH260 &lt;&gt; "", "Fev-Dez/26",
AI260 &lt;&gt; "", "Mar-Dez/26", AJ260 &lt;&gt; "", "Abr-Dez/26",
TRUE, "A partir de Junho"
)</f>
        <v>A partir de Junho</v>
      </c>
      <c r="G260" s="4" t="s">
        <v>62</v>
      </c>
      <c r="H260" s="7" t="s">
        <v>38</v>
      </c>
      <c r="I260" s="9" t="s">
        <v>89</v>
      </c>
      <c r="J260" s="21" t="str" cm="1">
        <f t="array" aca="1" ref="J260" ca="1">_xlfn.LET(
  _xlpm.actual_value_month, INDEX(T260:AE260, MATCH(DATE(YEAR(TODAY()), MONTH(TODAY()), 1), $T$1:$AE$1, 0)),
  IF(_xlpm.actual_value_month &lt;&gt; "",_xlpm.actual_value_month &amp; " ações mensais", "")
)</f>
        <v/>
      </c>
      <c r="K260" s="8" t="str" cm="1">
        <f t="array" ref="K260">_xlfn.LET(
    _xlpm.sum_month, SUM(T260:AE260),
    IF(_xlpm.sum_month = 0, "", _xlpm.sum_month &amp; " certificados gerados no ano")
)</f>
        <v/>
      </c>
      <c r="L260" s="4" t="s">
        <v>90</v>
      </c>
      <c r="M260" s="19"/>
      <c r="N260" s="5" t="s">
        <v>42</v>
      </c>
      <c r="O260" s="5"/>
      <c r="P260" s="10"/>
      <c r="Q260" s="10"/>
      <c r="R260" s="10"/>
      <c r="S260" s="10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94">
        <f t="shared" ref="AS260:AS264" ca="1" si="579">AE260*BO260</f>
        <v>0</v>
      </c>
      <c r="AT260" s="95" t="str" cm="1">
        <f t="array" ref="AT260">IFERROR(INDEX(AJ260:AR260,1,MATCH(2,1/(AJ260:AR260&lt;&gt;""))),"")</f>
        <v/>
      </c>
      <c r="AU260" s="97" t="str">
        <f t="shared" ref="AU260:AU264" si="580">AT260</f>
        <v/>
      </c>
      <c r="AW260" s="51">
        <f t="shared" ref="AW260:AW264" si="581">IFERROR(IF(AG260="",0,AG260/T260),0)</f>
        <v>0</v>
      </c>
      <c r="AX260" s="51">
        <f t="shared" ref="AX260:AX264" si="582">IFERROR(IF(AH260="",0,AH260/U260),0)</f>
        <v>0</v>
      </c>
      <c r="AY260" s="51">
        <f t="shared" ref="AY260:AY264" si="583">IFERROR(IF(AI260="",0,AI260/V260),0)</f>
        <v>0</v>
      </c>
      <c r="AZ260" s="51">
        <f t="shared" ref="AZ260:AZ264" si="584">IFERROR(IF(AJ260="",0,AJ260/W260),0)</f>
        <v>0</v>
      </c>
      <c r="BA260" s="51"/>
      <c r="BB260" s="51"/>
      <c r="BC260" s="51"/>
      <c r="BD260" s="51"/>
      <c r="BE260" s="51"/>
      <c r="BF260" s="51"/>
      <c r="BG260" s="51"/>
      <c r="BH260" s="51"/>
      <c r="BI260" s="65" cm="1">
        <f t="array" ref="BI260">IFERROR(INDEX(AW260:BH260,1,MATCH(2,1/(AW260:BH260&lt;&gt;""))),"")</f>
        <v>0</v>
      </c>
      <c r="BJ260" s="68" cm="1">
        <f t="array" ref="BJ260">IF(BM260 = "", "",IFERROR(INDEX(AW260:BH260,1,MATCH(2,1/(AW260:BH260&lt;&gt;""),1)-1),""))</f>
        <v>0</v>
      </c>
      <c r="BK260" s="58">
        <f>IF((IF(AW260&gt;=115%,115%,AW260) + IF(AX260&gt;=115%,115%,AX260) + IF(AY260&gt;=115%,115%,AY260) + (IF(AZ260&gt;=115%,115%,AZ260) + IF(BA260&gt;=115%,115%,BA260) + IF(BB260&gt;=115%,115%,BB260) + IF(BC260&gt;=115%,115%,BC260) + IF(BD260&gt;=115%,115%,BD260) + IF(BE260&gt;=115%,115%,BE260) + IF(BF260&gt;=115%,115%,BF260) + IF(BG260&gt;=115%,115%,BG260) + IF(BH260&gt;=115%,115%,BH260)))/_xlfn.XLOOKUP(F260,Apuração!A:A,Apuração!B:B)&gt;=1.15,1.15,((IF(AZ260&gt;=115%,115%,AZ260) + IF(AX260&gt;=115%,115%,AX260) + IF(AY260&gt;=115%,115%,AY260) + (IF(AW260&gt;=115%,115%,AW260) + IF(BA260&gt;=115%,115%,BA260) + IF(BB260&gt;=115%,115%,BB260) + IF(BC260&gt;=115%,115%,BC260) + IF(BD260&gt;=115%,115%,BD260) + IF(BE260&gt;=115%,115%,BE260) + IF(BF260&gt;=115%,115%,BF260) + IF(BG260&gt;=115%,115%,BG260) + IF(BH260&gt;=115%,115%,BH260)))/_xlfn.XLOOKUP(F260,Apuração!A:A,Apuração!B:B)))</f>
        <v>0</v>
      </c>
      <c r="BL260" s="58" cm="1">
        <f t="array" aca="1" ref="BL260" ca="1">IF(SUM(IFERROR(IF(INDEX(AW260:INDEX(AW260:BH260, MATCH(2, 1/(AW260:BH260&lt;&gt;""), 1)-1), ROW(INDIRECT("1:" &amp; MATCH(2, 1/(AW260:BH260&lt;&gt;""), 1)-1))) &gt;= 115%, 115%, INDEX(AW260:INDEX(AW260:BH260, MATCH(2, 1/(AW260:BH260&lt;&gt;""), 1)-1), ROW(INDIRECT("1:" &amp; MATCH(2, 1/(AW260:BH260&lt;&gt;""), 1)-1)))), 0))/_xlfn.XLOOKUP(F260,Apuração!A:A,Apuração!B:B)&gt;=1.15,1.15,SUM(IFERROR(IF(INDEX(AW260:INDEX(AW260:BH260, MATCH(2, 1/(AW260:BH260&lt;&gt;""), 1)-1), ROW(INDIRECT("1:" &amp; MATCH(2, 1/(AW260:BH260&lt;&gt;""), 1)-1))) &gt;= 115%, 115%, INDEX(AW260:INDEX(AW260:BH260, MATCH(2, 1/(AW260:BH260&lt;&gt;""), 1)-1), ROW(INDIRECT("1:" &amp; MATCH(2, 1/(AW260:BH260&lt;&gt;""), 1)-1)))), 0))/_xlfn.XLOOKUP(F260,Apuração!A:A,Apuração!B:B))</f>
        <v>0</v>
      </c>
      <c r="BM260" s="55" cm="1">
        <f t="array" ref="BM260">IFERROR(
   INDEX($AW$1:$BH$1,
      _xlfn.AGGREGATE(14, 6, COLUMN($AW$1:$BH$1)/(AW260:BH260&lt;&gt;""), 2) - COLUMN($AW$1) + 1
   ),
"")</f>
        <v>46082</v>
      </c>
      <c r="BN260" s="55" cm="1">
        <f t="array" ref="BN260">IFERROR(INDEX($AW$1:$BH$1,1,MATCH(2,1/(AW260:BH260&lt;&gt;""))),"")</f>
        <v>46113</v>
      </c>
      <c r="BO260" s="53">
        <f ca="1">IFERROR(_xlfn.XLOOKUP(F260,Apuração!A:A,Apuração!C:C)/_xlfn.XLOOKUP(F260,Apuração!A:A,Apuração!B:B),0)</f>
        <v>0</v>
      </c>
      <c r="BP260" s="53">
        <f ca="1">IFERROR(_xlfn.XLOOKUP(F260,Apuração!A:A,Apuração!D:D)/_xlfn.XLOOKUP(F260,Apuração!A:A,Apuração!B:B),0)</f>
        <v>0</v>
      </c>
      <c r="BQ260" s="53">
        <f ca="1">IF(BK260&gt;=BO260,0,_xlfn.XLOOKUP(F260,Apuração!A:A,Apuração!B:B)*(BO260 + (1/_xlfn.XLOOKUP(F260,Apuração!A:A,Apuração!B:B)) - BK260))</f>
        <v>0</v>
      </c>
      <c r="BR260" s="85">
        <f t="shared" ref="BR260:BR264" ca="1" si="585">IF(BQ260=0,0,BQ260*Z260)</f>
        <v>0</v>
      </c>
      <c r="BS260" s="53">
        <f ca="1">IFERROR((_xlfn.XLOOKUP(F260,Apuração!A:A,Apuração!C:C)+1)/_xlfn.XLOOKUP(F260,Apuração!A:A,Apuração!B:B),0)</f>
        <v>0.14285714285714285</v>
      </c>
    </row>
    <row r="261" spans="1:71" ht="25.95" hidden="1" customHeight="1" x14ac:dyDescent="0.3">
      <c r="A261" s="20" t="s">
        <v>87</v>
      </c>
      <c r="B261" s="4" t="s">
        <v>88</v>
      </c>
      <c r="C261" s="5" t="s">
        <v>214</v>
      </c>
      <c r="D261" s="5" t="s">
        <v>215</v>
      </c>
      <c r="E261" s="4" t="s">
        <v>96</v>
      </c>
      <c r="F261" s="4" t="str" cm="1">
        <f t="array" ref="F261">_xlfn.IFS(
AG261 &lt;&gt; "", "Jan-Dez/26",
AH261 &lt;&gt; "", "Fev-Dez/26",
AI261 &lt;&gt; "", "Mar-Dez/26", AJ261 &lt;&gt; "", "Abr-Dez/26",
TRUE, "A partir de Junho"
)</f>
        <v>A partir de Junho</v>
      </c>
      <c r="G261" s="4" t="s">
        <v>62</v>
      </c>
      <c r="H261" s="7" t="s">
        <v>38</v>
      </c>
      <c r="I261" s="9" t="s">
        <v>89</v>
      </c>
      <c r="J261" s="21" t="str" cm="1">
        <f t="array" aca="1" ref="J261" ca="1">_xlfn.LET(
  _xlpm.actual_value_month, INDEX(T261:AE261, MATCH(DATE(YEAR(TODAY()), MONTH(TODAY()), 1), $T$1:$AE$1, 0)),
  IF(_xlpm.actual_value_month &lt;&gt; "",_xlpm.actual_value_month &amp; " ações mensais", "")
)</f>
        <v/>
      </c>
      <c r="K261" s="8" t="str" cm="1">
        <f t="array" ref="K261">_xlfn.LET(
    _xlpm.sum_month, SUM(T261:AE261),
    IF(_xlpm.sum_month = 0, "", _xlpm.sum_month &amp; " certificados gerados no ano")
)</f>
        <v/>
      </c>
      <c r="L261" s="4" t="s">
        <v>90</v>
      </c>
      <c r="M261" s="19"/>
      <c r="N261" s="5" t="s">
        <v>42</v>
      </c>
      <c r="O261" s="5"/>
      <c r="P261" s="10"/>
      <c r="Q261" s="10"/>
      <c r="R261" s="10"/>
      <c r="S261" s="10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94">
        <f t="shared" ca="1" si="579"/>
        <v>0</v>
      </c>
      <c r="AT261" s="95" t="str" cm="1">
        <f t="array" ref="AT261">IFERROR(INDEX(AJ261:AR261,1,MATCH(2,1/(AJ261:AR261&lt;&gt;""))),"")</f>
        <v/>
      </c>
      <c r="AU261" s="97" t="str">
        <f t="shared" si="580"/>
        <v/>
      </c>
      <c r="AW261" s="51">
        <f t="shared" si="581"/>
        <v>0</v>
      </c>
      <c r="AX261" s="51">
        <f t="shared" si="582"/>
        <v>0</v>
      </c>
      <c r="AY261" s="51">
        <f t="shared" si="583"/>
        <v>0</v>
      </c>
      <c r="AZ261" s="51">
        <f t="shared" si="584"/>
        <v>0</v>
      </c>
      <c r="BA261" s="51"/>
      <c r="BB261" s="51"/>
      <c r="BC261" s="51"/>
      <c r="BD261" s="51"/>
      <c r="BE261" s="51"/>
      <c r="BF261" s="51"/>
      <c r="BG261" s="51"/>
      <c r="BH261" s="51"/>
      <c r="BI261" s="65" cm="1">
        <f t="array" ref="BI261">IFERROR(INDEX(AW261:BH261,1,MATCH(2,1/(AW261:BH261&lt;&gt;""))),"")</f>
        <v>0</v>
      </c>
      <c r="BJ261" s="68" cm="1">
        <f t="array" ref="BJ261">IF(BM261 = "", "",IFERROR(INDEX(AW261:BH261,1,MATCH(2,1/(AW261:BH261&lt;&gt;""),1)-1),""))</f>
        <v>0</v>
      </c>
      <c r="BK261" s="58">
        <f>IF((IF(AW261&gt;=115%,115%,AW261) + IF(AX261&gt;=115%,115%,AX261) + IF(AY261&gt;=115%,115%,AY261) + (IF(AZ261&gt;=115%,115%,AZ261) + IF(BA261&gt;=115%,115%,BA261) + IF(BB261&gt;=115%,115%,BB261) + IF(BC261&gt;=115%,115%,BC261) + IF(BD261&gt;=115%,115%,BD261) + IF(BE261&gt;=115%,115%,BE261) + IF(BF261&gt;=115%,115%,BF261) + IF(BG261&gt;=115%,115%,BG261) + IF(BH261&gt;=115%,115%,BH261)))/_xlfn.XLOOKUP(F261,Apuração!A:A,Apuração!B:B)&gt;=1.15,1.15,((IF(AZ261&gt;=115%,115%,AZ261) + IF(AX261&gt;=115%,115%,AX261) + IF(AY261&gt;=115%,115%,AY261) + (IF(AW261&gt;=115%,115%,AW261) + IF(BA261&gt;=115%,115%,BA261) + IF(BB261&gt;=115%,115%,BB261) + IF(BC261&gt;=115%,115%,BC261) + IF(BD261&gt;=115%,115%,BD261) + IF(BE261&gt;=115%,115%,BE261) + IF(BF261&gt;=115%,115%,BF261) + IF(BG261&gt;=115%,115%,BG261) + IF(BH261&gt;=115%,115%,BH261)))/_xlfn.XLOOKUP(F261,Apuração!A:A,Apuração!B:B)))</f>
        <v>0</v>
      </c>
      <c r="BL261" s="58" cm="1">
        <f t="array" aca="1" ref="BL261" ca="1">IF(SUM(IFERROR(IF(INDEX(AW261:INDEX(AW261:BH261, MATCH(2, 1/(AW261:BH261&lt;&gt;""), 1)-1), ROW(INDIRECT("1:" &amp; MATCH(2, 1/(AW261:BH261&lt;&gt;""), 1)-1))) &gt;= 115%, 115%, INDEX(AW261:INDEX(AW261:BH261, MATCH(2, 1/(AW261:BH261&lt;&gt;""), 1)-1), ROW(INDIRECT("1:" &amp; MATCH(2, 1/(AW261:BH261&lt;&gt;""), 1)-1)))), 0))/_xlfn.XLOOKUP(F261,Apuração!A:A,Apuração!B:B)&gt;=1.15,1.15,SUM(IFERROR(IF(INDEX(AW261:INDEX(AW261:BH261, MATCH(2, 1/(AW261:BH261&lt;&gt;""), 1)-1), ROW(INDIRECT("1:" &amp; MATCH(2, 1/(AW261:BH261&lt;&gt;""), 1)-1))) &gt;= 115%, 115%, INDEX(AW261:INDEX(AW261:BH261, MATCH(2, 1/(AW261:BH261&lt;&gt;""), 1)-1), ROW(INDIRECT("1:" &amp; MATCH(2, 1/(AW261:BH261&lt;&gt;""), 1)-1)))), 0))/_xlfn.XLOOKUP(F261,Apuração!A:A,Apuração!B:B))</f>
        <v>0</v>
      </c>
      <c r="BM261" s="55" cm="1">
        <f t="array" ref="BM261">IFERROR(
   INDEX($AW$1:$BH$1,
      _xlfn.AGGREGATE(14, 6, COLUMN($AW$1:$BH$1)/(AW261:BH261&lt;&gt;""), 2) - COLUMN($AW$1) + 1
   ),
"")</f>
        <v>46082</v>
      </c>
      <c r="BN261" s="55" cm="1">
        <f t="array" ref="BN261">IFERROR(INDEX($AW$1:$BH$1,1,MATCH(2,1/(AW261:BH261&lt;&gt;""))),"")</f>
        <v>46113</v>
      </c>
      <c r="BO261" s="53">
        <f ca="1">IFERROR(_xlfn.XLOOKUP(F261,Apuração!A:A,Apuração!C:C)/_xlfn.XLOOKUP(F261,Apuração!A:A,Apuração!B:B),0)</f>
        <v>0</v>
      </c>
      <c r="BP261" s="53">
        <f ca="1">IFERROR(_xlfn.XLOOKUP(F261,Apuração!A:A,Apuração!D:D)/_xlfn.XLOOKUP(F261,Apuração!A:A,Apuração!B:B),0)</f>
        <v>0</v>
      </c>
      <c r="BQ261" s="53">
        <f ca="1">IF(BK261&gt;=BO261,0,_xlfn.XLOOKUP(F261,Apuração!A:A,Apuração!B:B)*(BO261 + (1/_xlfn.XLOOKUP(F261,Apuração!A:A,Apuração!B:B)) - BK261))</f>
        <v>0</v>
      </c>
      <c r="BR261" s="85">
        <f t="shared" ca="1" si="585"/>
        <v>0</v>
      </c>
      <c r="BS261" s="53">
        <f ca="1">IFERROR((_xlfn.XLOOKUP(F261,Apuração!A:A,Apuração!C:C)+1)/_xlfn.XLOOKUP(F261,Apuração!A:A,Apuração!B:B),0)</f>
        <v>0.14285714285714285</v>
      </c>
    </row>
    <row r="262" spans="1:71" ht="25.95" hidden="1" customHeight="1" x14ac:dyDescent="0.3">
      <c r="A262" s="20" t="s">
        <v>87</v>
      </c>
      <c r="B262" s="4" t="s">
        <v>88</v>
      </c>
      <c r="C262" s="5" t="s">
        <v>214</v>
      </c>
      <c r="D262" s="5" t="s">
        <v>212</v>
      </c>
      <c r="E262" s="4" t="s">
        <v>96</v>
      </c>
      <c r="F262" s="4" t="str" cm="1">
        <f t="array" ref="F262">_xlfn.IFS(
AG262 &lt;&gt; "", "Jan-Dez/26",
AH262 &lt;&gt; "", "Fev-Dez/26",
AI262 &lt;&gt; "", "Mar-Dez/26", AJ262 &lt;&gt; "", "Abr-Dez/26",
TRUE, "A partir de Junho"
)</f>
        <v>A partir de Junho</v>
      </c>
      <c r="G262" s="4" t="s">
        <v>62</v>
      </c>
      <c r="H262" s="7" t="s">
        <v>38</v>
      </c>
      <c r="I262" s="9" t="s">
        <v>89</v>
      </c>
      <c r="J262" s="21" t="str" cm="1">
        <f t="array" aca="1" ref="J262" ca="1">_xlfn.LET(
  _xlpm.actual_value_month, INDEX(T262:AE262, MATCH(DATE(YEAR(TODAY()), MONTH(TODAY()), 1), $T$1:$AE$1, 0)),
  IF(_xlpm.actual_value_month &lt;&gt; "",_xlpm.actual_value_month &amp; " ações mensais", "")
)</f>
        <v/>
      </c>
      <c r="K262" s="8" t="str" cm="1">
        <f t="array" ref="K262">_xlfn.LET(
    _xlpm.sum_month, SUM(T262:AE262),
    IF(_xlpm.sum_month = 0, "", _xlpm.sum_month &amp; " certificados gerados no ano")
)</f>
        <v/>
      </c>
      <c r="L262" s="4" t="s">
        <v>90</v>
      </c>
      <c r="M262" s="19"/>
      <c r="N262" s="5" t="s">
        <v>42</v>
      </c>
      <c r="O262" s="5"/>
      <c r="P262" s="10"/>
      <c r="Q262" s="10"/>
      <c r="R262" s="10"/>
      <c r="S262" s="10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94">
        <f t="shared" ca="1" si="579"/>
        <v>0</v>
      </c>
      <c r="AT262" s="95" t="str" cm="1">
        <f t="array" ref="AT262">IFERROR(INDEX(AJ262:AR262,1,MATCH(2,1/(AJ262:AR262&lt;&gt;""))),"")</f>
        <v/>
      </c>
      <c r="AU262" s="97" t="str">
        <f t="shared" si="580"/>
        <v/>
      </c>
      <c r="AW262" s="51">
        <f t="shared" si="581"/>
        <v>0</v>
      </c>
      <c r="AX262" s="51">
        <f t="shared" si="582"/>
        <v>0</v>
      </c>
      <c r="AY262" s="51">
        <f t="shared" si="583"/>
        <v>0</v>
      </c>
      <c r="AZ262" s="51">
        <f t="shared" si="584"/>
        <v>0</v>
      </c>
      <c r="BA262" s="51"/>
      <c r="BB262" s="51"/>
      <c r="BC262" s="51"/>
      <c r="BD262" s="51"/>
      <c r="BE262" s="51"/>
      <c r="BF262" s="51"/>
      <c r="BG262" s="51"/>
      <c r="BH262" s="51"/>
      <c r="BI262" s="65" cm="1">
        <f t="array" ref="BI262">IFERROR(INDEX(AW262:BH262,1,MATCH(2,1/(AW262:BH262&lt;&gt;""))),"")</f>
        <v>0</v>
      </c>
      <c r="BJ262" s="68" cm="1">
        <f t="array" ref="BJ262">IF(BM262 = "", "",IFERROR(INDEX(AW262:BH262,1,MATCH(2,1/(AW262:BH262&lt;&gt;""),1)-1),""))</f>
        <v>0</v>
      </c>
      <c r="BK262" s="58">
        <f>IF((IF(AW262&gt;=115%,115%,AW262) + IF(AX262&gt;=115%,115%,AX262) + IF(AY262&gt;=115%,115%,AY262) + (IF(AZ262&gt;=115%,115%,AZ262) + IF(BA262&gt;=115%,115%,BA262) + IF(BB262&gt;=115%,115%,BB262) + IF(BC262&gt;=115%,115%,BC262) + IF(BD262&gt;=115%,115%,BD262) + IF(BE262&gt;=115%,115%,BE262) + IF(BF262&gt;=115%,115%,BF262) + IF(BG262&gt;=115%,115%,BG262) + IF(BH262&gt;=115%,115%,BH262)))/_xlfn.XLOOKUP(F262,Apuração!A:A,Apuração!B:B)&gt;=1.15,1.15,((IF(AZ262&gt;=115%,115%,AZ262) + IF(AX262&gt;=115%,115%,AX262) + IF(AY262&gt;=115%,115%,AY262) + (IF(AW262&gt;=115%,115%,AW262) + IF(BA262&gt;=115%,115%,BA262) + IF(BB262&gt;=115%,115%,BB262) + IF(BC262&gt;=115%,115%,BC262) + IF(BD262&gt;=115%,115%,BD262) + IF(BE262&gt;=115%,115%,BE262) + IF(BF262&gt;=115%,115%,BF262) + IF(BG262&gt;=115%,115%,BG262) + IF(BH262&gt;=115%,115%,BH262)))/_xlfn.XLOOKUP(F262,Apuração!A:A,Apuração!B:B)))</f>
        <v>0</v>
      </c>
      <c r="BL262" s="58" cm="1">
        <f t="array" aca="1" ref="BL262" ca="1">IF(SUM(IFERROR(IF(INDEX(AW262:INDEX(AW262:BH262, MATCH(2, 1/(AW262:BH262&lt;&gt;""), 1)-1), ROW(INDIRECT("1:" &amp; MATCH(2, 1/(AW262:BH262&lt;&gt;""), 1)-1))) &gt;= 115%, 115%, INDEX(AW262:INDEX(AW262:BH262, MATCH(2, 1/(AW262:BH262&lt;&gt;""), 1)-1), ROW(INDIRECT("1:" &amp; MATCH(2, 1/(AW262:BH262&lt;&gt;""), 1)-1)))), 0))/_xlfn.XLOOKUP(F262,Apuração!A:A,Apuração!B:B)&gt;=1.15,1.15,SUM(IFERROR(IF(INDEX(AW262:INDEX(AW262:BH262, MATCH(2, 1/(AW262:BH262&lt;&gt;""), 1)-1), ROW(INDIRECT("1:" &amp; MATCH(2, 1/(AW262:BH262&lt;&gt;""), 1)-1))) &gt;= 115%, 115%, INDEX(AW262:INDEX(AW262:BH262, MATCH(2, 1/(AW262:BH262&lt;&gt;""), 1)-1), ROW(INDIRECT("1:" &amp; MATCH(2, 1/(AW262:BH262&lt;&gt;""), 1)-1)))), 0))/_xlfn.XLOOKUP(F262,Apuração!A:A,Apuração!B:B))</f>
        <v>0</v>
      </c>
      <c r="BM262" s="55" cm="1">
        <f t="array" ref="BM262">IFERROR(
   INDEX($AW$1:$BH$1,
      _xlfn.AGGREGATE(14, 6, COLUMN($AW$1:$BH$1)/(AW262:BH262&lt;&gt;""), 2) - COLUMN($AW$1) + 1
   ),
"")</f>
        <v>46082</v>
      </c>
      <c r="BN262" s="55" cm="1">
        <f t="array" ref="BN262">IFERROR(INDEX($AW$1:$BH$1,1,MATCH(2,1/(AW262:BH262&lt;&gt;""))),"")</f>
        <v>46113</v>
      </c>
      <c r="BO262" s="53">
        <f ca="1">IFERROR(_xlfn.XLOOKUP(F262,Apuração!A:A,Apuração!C:C)/_xlfn.XLOOKUP(F262,Apuração!A:A,Apuração!B:B),0)</f>
        <v>0</v>
      </c>
      <c r="BP262" s="53">
        <f ca="1">IFERROR(_xlfn.XLOOKUP(F262,Apuração!A:A,Apuração!D:D)/_xlfn.XLOOKUP(F262,Apuração!A:A,Apuração!B:B),0)</f>
        <v>0</v>
      </c>
      <c r="BQ262" s="53">
        <f ca="1">IF(BK262&gt;=BO262,0,_xlfn.XLOOKUP(F262,Apuração!A:A,Apuração!B:B)*(BO262 + (1/_xlfn.XLOOKUP(F262,Apuração!A:A,Apuração!B:B)) - BK262))</f>
        <v>0</v>
      </c>
      <c r="BR262" s="85">
        <f t="shared" ca="1" si="585"/>
        <v>0</v>
      </c>
      <c r="BS262" s="53">
        <f ca="1">IFERROR((_xlfn.XLOOKUP(F262,Apuração!A:A,Apuração!C:C)+1)/_xlfn.XLOOKUP(F262,Apuração!A:A,Apuração!B:B),0)</f>
        <v>0.14285714285714285</v>
      </c>
    </row>
    <row r="263" spans="1:71" ht="25.95" hidden="1" customHeight="1" x14ac:dyDescent="0.3">
      <c r="A263" s="20" t="s">
        <v>87</v>
      </c>
      <c r="B263" s="4" t="s">
        <v>88</v>
      </c>
      <c r="C263" s="5" t="s">
        <v>214</v>
      </c>
      <c r="D263" s="5" t="s">
        <v>48</v>
      </c>
      <c r="E263" s="4" t="s">
        <v>96</v>
      </c>
      <c r="F263" s="4" t="str" cm="1">
        <f t="array" ref="F263">_xlfn.IFS(
AG263 &lt;&gt; "", "Jan-Dez/26",
AH263 &lt;&gt; "", "Fev-Dez/26",
AI263 &lt;&gt; "", "Mar-Dez/26", AJ263 &lt;&gt; "", "Abr-Dez/26",
TRUE, "A partir de Junho"
)</f>
        <v>A partir de Junho</v>
      </c>
      <c r="G263" s="4" t="s">
        <v>62</v>
      </c>
      <c r="H263" s="7" t="s">
        <v>38</v>
      </c>
      <c r="I263" s="9" t="s">
        <v>89</v>
      </c>
      <c r="J263" s="21" t="str" cm="1">
        <f t="array" aca="1" ref="J263" ca="1">_xlfn.LET(
  _xlpm.actual_value_month, INDEX(T263:AE263, MATCH(DATE(YEAR(TODAY()), MONTH(TODAY()), 1), $T$1:$AE$1, 0)),
  IF(_xlpm.actual_value_month &lt;&gt; "",_xlpm.actual_value_month &amp; " ações mensais", "")
)</f>
        <v/>
      </c>
      <c r="K263" s="8" t="str" cm="1">
        <f t="array" ref="K263">_xlfn.LET(
    _xlpm.sum_month, SUM(T263:AE263),
    IF(_xlpm.sum_month = 0, "", _xlpm.sum_month &amp; " certificados gerados no ano")
)</f>
        <v/>
      </c>
      <c r="L263" s="4" t="s">
        <v>90</v>
      </c>
      <c r="M263" s="19"/>
      <c r="N263" s="5" t="s">
        <v>42</v>
      </c>
      <c r="O263" s="5"/>
      <c r="P263" s="10"/>
      <c r="Q263" s="10"/>
      <c r="R263" s="10"/>
      <c r="S263" s="10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94">
        <f t="shared" ca="1" si="579"/>
        <v>0</v>
      </c>
      <c r="AT263" s="95" t="str" cm="1">
        <f t="array" ref="AT263">IFERROR(INDEX(AJ263:AR263,1,MATCH(2,1/(AJ263:AR263&lt;&gt;""))),"")</f>
        <v/>
      </c>
      <c r="AU263" s="97" t="str">
        <f t="shared" si="580"/>
        <v/>
      </c>
      <c r="AW263" s="51">
        <f t="shared" si="581"/>
        <v>0</v>
      </c>
      <c r="AX263" s="51">
        <f t="shared" si="582"/>
        <v>0</v>
      </c>
      <c r="AY263" s="51">
        <f t="shared" si="583"/>
        <v>0</v>
      </c>
      <c r="AZ263" s="51">
        <f t="shared" si="584"/>
        <v>0</v>
      </c>
      <c r="BA263" s="51"/>
      <c r="BB263" s="51"/>
      <c r="BC263" s="51"/>
      <c r="BD263" s="51"/>
      <c r="BE263" s="51"/>
      <c r="BF263" s="51"/>
      <c r="BG263" s="51"/>
      <c r="BH263" s="51"/>
      <c r="BI263" s="65" cm="1">
        <f t="array" ref="BI263">IFERROR(INDEX(AW263:BH263,1,MATCH(2,1/(AW263:BH263&lt;&gt;""))),"")</f>
        <v>0</v>
      </c>
      <c r="BJ263" s="68" cm="1">
        <f t="array" ref="BJ263">IF(BM263 = "", "",IFERROR(INDEX(AW263:BH263,1,MATCH(2,1/(AW263:BH263&lt;&gt;""),1)-1),""))</f>
        <v>0</v>
      </c>
      <c r="BK263" s="58">
        <f>IF((IF(AW263&gt;=115%,115%,AW263) + IF(AX263&gt;=115%,115%,AX263) + IF(AY263&gt;=115%,115%,AY263) + (IF(AZ263&gt;=115%,115%,AZ263) + IF(BA263&gt;=115%,115%,BA263) + IF(BB263&gt;=115%,115%,BB263) + IF(BC263&gt;=115%,115%,BC263) + IF(BD263&gt;=115%,115%,BD263) + IF(BE263&gt;=115%,115%,BE263) + IF(BF263&gt;=115%,115%,BF263) + IF(BG263&gt;=115%,115%,BG263) + IF(BH263&gt;=115%,115%,BH263)))/_xlfn.XLOOKUP(F263,Apuração!A:A,Apuração!B:B)&gt;=1.15,1.15,((IF(AZ263&gt;=115%,115%,AZ263) + IF(AX263&gt;=115%,115%,AX263) + IF(AY263&gt;=115%,115%,AY263) + (IF(AW263&gt;=115%,115%,AW263) + IF(BA263&gt;=115%,115%,BA263) + IF(BB263&gt;=115%,115%,BB263) + IF(BC263&gt;=115%,115%,BC263) + IF(BD263&gt;=115%,115%,BD263) + IF(BE263&gt;=115%,115%,BE263) + IF(BF263&gt;=115%,115%,BF263) + IF(BG263&gt;=115%,115%,BG263) + IF(BH263&gt;=115%,115%,BH263)))/_xlfn.XLOOKUP(F263,Apuração!A:A,Apuração!B:B)))</f>
        <v>0</v>
      </c>
      <c r="BL263" s="58" cm="1">
        <f t="array" aca="1" ref="BL263" ca="1">IF(SUM(IFERROR(IF(INDEX(AW263:INDEX(AW263:BH263, MATCH(2, 1/(AW263:BH263&lt;&gt;""), 1)-1), ROW(INDIRECT("1:" &amp; MATCH(2, 1/(AW263:BH263&lt;&gt;""), 1)-1))) &gt;= 115%, 115%, INDEX(AW263:INDEX(AW263:BH263, MATCH(2, 1/(AW263:BH263&lt;&gt;""), 1)-1), ROW(INDIRECT("1:" &amp; MATCH(2, 1/(AW263:BH263&lt;&gt;""), 1)-1)))), 0))/_xlfn.XLOOKUP(F263,Apuração!A:A,Apuração!B:B)&gt;=1.15,1.15,SUM(IFERROR(IF(INDEX(AW263:INDEX(AW263:BH263, MATCH(2, 1/(AW263:BH263&lt;&gt;""), 1)-1), ROW(INDIRECT("1:" &amp; MATCH(2, 1/(AW263:BH263&lt;&gt;""), 1)-1))) &gt;= 115%, 115%, INDEX(AW263:INDEX(AW263:BH263, MATCH(2, 1/(AW263:BH263&lt;&gt;""), 1)-1), ROW(INDIRECT("1:" &amp; MATCH(2, 1/(AW263:BH263&lt;&gt;""), 1)-1)))), 0))/_xlfn.XLOOKUP(F263,Apuração!A:A,Apuração!B:B))</f>
        <v>0</v>
      </c>
      <c r="BM263" s="55" cm="1">
        <f t="array" ref="BM263">IFERROR(
   INDEX($AW$1:$BH$1,
      _xlfn.AGGREGATE(14, 6, COLUMN($AW$1:$BH$1)/(AW263:BH263&lt;&gt;""), 2) - COLUMN($AW$1) + 1
   ),
"")</f>
        <v>46082</v>
      </c>
      <c r="BN263" s="55" cm="1">
        <f t="array" ref="BN263">IFERROR(INDEX($AW$1:$BH$1,1,MATCH(2,1/(AW263:BH263&lt;&gt;""))),"")</f>
        <v>46113</v>
      </c>
      <c r="BO263" s="53">
        <f ca="1">IFERROR(_xlfn.XLOOKUP(F263,Apuração!A:A,Apuração!C:C)/_xlfn.XLOOKUP(F263,Apuração!A:A,Apuração!B:B),0)</f>
        <v>0</v>
      </c>
      <c r="BP263" s="53">
        <f ca="1">IFERROR(_xlfn.XLOOKUP(F263,Apuração!A:A,Apuração!D:D)/_xlfn.XLOOKUP(F263,Apuração!A:A,Apuração!B:B),0)</f>
        <v>0</v>
      </c>
      <c r="BQ263" s="53">
        <f ca="1">IF(BK263&gt;=BO263,0,_xlfn.XLOOKUP(F263,Apuração!A:A,Apuração!B:B)*(BO263 + (1/_xlfn.XLOOKUP(F263,Apuração!A:A,Apuração!B:B)) - BK263))</f>
        <v>0</v>
      </c>
      <c r="BR263" s="85">
        <f t="shared" ca="1" si="585"/>
        <v>0</v>
      </c>
      <c r="BS263" s="53">
        <f ca="1">IFERROR((_xlfn.XLOOKUP(F263,Apuração!A:A,Apuração!C:C)+1)/_xlfn.XLOOKUP(F263,Apuração!A:A,Apuração!B:B),0)</f>
        <v>0.14285714285714285</v>
      </c>
    </row>
    <row r="264" spans="1:71" ht="25.95" hidden="1" customHeight="1" x14ac:dyDescent="0.3">
      <c r="A264" s="20" t="s">
        <v>87</v>
      </c>
      <c r="B264" s="4" t="s">
        <v>88</v>
      </c>
      <c r="C264" s="5" t="s">
        <v>214</v>
      </c>
      <c r="D264" s="5" t="s">
        <v>213</v>
      </c>
      <c r="E264" s="4" t="s">
        <v>96</v>
      </c>
      <c r="F264" s="4" t="str" cm="1">
        <f t="array" ref="F264">_xlfn.IFS(
AG264 &lt;&gt; "", "Jan-Dez/26",
AH264 &lt;&gt; "", "Fev-Dez/26",
AI264 &lt;&gt; "", "Mar-Dez/26", AJ264 &lt;&gt; "", "Abr-Dez/26",
TRUE, "A partir de Junho"
)</f>
        <v>A partir de Junho</v>
      </c>
      <c r="G264" s="4" t="s">
        <v>62</v>
      </c>
      <c r="H264" s="7" t="s">
        <v>38</v>
      </c>
      <c r="I264" s="9" t="s">
        <v>89</v>
      </c>
      <c r="J264" s="21" t="str" cm="1">
        <f t="array" aca="1" ref="J264" ca="1">_xlfn.LET(
  _xlpm.actual_value_month, INDEX(T264:AE264, MATCH(DATE(YEAR(TODAY()), MONTH(TODAY()), 1), $T$1:$AE$1, 0)),
  IF(_xlpm.actual_value_month &lt;&gt; "",_xlpm.actual_value_month &amp; " ações mensais", "")
)</f>
        <v/>
      </c>
      <c r="K264" s="8" t="str" cm="1">
        <f t="array" ref="K264">_xlfn.LET(
    _xlpm.sum_month, SUM(T264:AE264),
    IF(_xlpm.sum_month = 0, "", _xlpm.sum_month &amp; " certificados gerados no ano")
)</f>
        <v/>
      </c>
      <c r="L264" s="4" t="s">
        <v>90</v>
      </c>
      <c r="M264" s="19"/>
      <c r="N264" s="5" t="s">
        <v>42</v>
      </c>
      <c r="O264" s="5"/>
      <c r="P264" s="10"/>
      <c r="Q264" s="10"/>
      <c r="R264" s="10"/>
      <c r="S264" s="10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94">
        <f t="shared" ca="1" si="579"/>
        <v>0</v>
      </c>
      <c r="AT264" s="95" t="str" cm="1">
        <f t="array" ref="AT264">IFERROR(INDEX(AJ264:AR264,1,MATCH(2,1/(AJ264:AR264&lt;&gt;""))),"")</f>
        <v/>
      </c>
      <c r="AU264" s="97" t="str">
        <f t="shared" si="580"/>
        <v/>
      </c>
      <c r="AW264" s="51">
        <f t="shared" si="581"/>
        <v>0</v>
      </c>
      <c r="AX264" s="51">
        <f t="shared" si="582"/>
        <v>0</v>
      </c>
      <c r="AY264" s="51">
        <f t="shared" si="583"/>
        <v>0</v>
      </c>
      <c r="AZ264" s="51">
        <f t="shared" si="584"/>
        <v>0</v>
      </c>
      <c r="BA264" s="51"/>
      <c r="BB264" s="51"/>
      <c r="BC264" s="51"/>
      <c r="BD264" s="51"/>
      <c r="BE264" s="51"/>
      <c r="BF264" s="51"/>
      <c r="BG264" s="51"/>
      <c r="BH264" s="51"/>
      <c r="BI264" s="65" cm="1">
        <f t="array" ref="BI264">IFERROR(INDEX(AW264:BH264,1,MATCH(2,1/(AW264:BH264&lt;&gt;""))),"")</f>
        <v>0</v>
      </c>
      <c r="BJ264" s="68" cm="1">
        <f t="array" ref="BJ264">IF(BM264 = "", "",IFERROR(INDEX(AW264:BH264,1,MATCH(2,1/(AW264:BH264&lt;&gt;""),1)-1),""))</f>
        <v>0</v>
      </c>
      <c r="BK264" s="58">
        <f>IF((IF(AW264&gt;=115%,115%,AW264) + IF(AX264&gt;=115%,115%,AX264) + IF(AY264&gt;=115%,115%,AY264) + (IF(AZ264&gt;=115%,115%,AZ264) + IF(BA264&gt;=115%,115%,BA264) + IF(BB264&gt;=115%,115%,BB264) + IF(BC264&gt;=115%,115%,BC264) + IF(BD264&gt;=115%,115%,BD264) + IF(BE264&gt;=115%,115%,BE264) + IF(BF264&gt;=115%,115%,BF264) + IF(BG264&gt;=115%,115%,BG264) + IF(BH264&gt;=115%,115%,BH264)))/_xlfn.XLOOKUP(F264,Apuração!A:A,Apuração!B:B)&gt;=1.15,1.15,((IF(AZ264&gt;=115%,115%,AZ264) + IF(AX264&gt;=115%,115%,AX264) + IF(AY264&gt;=115%,115%,AY264) + (IF(AW264&gt;=115%,115%,AW264) + IF(BA264&gt;=115%,115%,BA264) + IF(BB264&gt;=115%,115%,BB264) + IF(BC264&gt;=115%,115%,BC264) + IF(BD264&gt;=115%,115%,BD264) + IF(BE264&gt;=115%,115%,BE264) + IF(BF264&gt;=115%,115%,BF264) + IF(BG264&gt;=115%,115%,BG264) + IF(BH264&gt;=115%,115%,BH264)))/_xlfn.XLOOKUP(F264,Apuração!A:A,Apuração!B:B)))</f>
        <v>0</v>
      </c>
      <c r="BL264" s="58" cm="1">
        <f t="array" aca="1" ref="BL264" ca="1">IF(SUM(IFERROR(IF(INDEX(AW264:INDEX(AW264:BH264, MATCH(2, 1/(AW264:BH264&lt;&gt;""), 1)-1), ROW(INDIRECT("1:" &amp; MATCH(2, 1/(AW264:BH264&lt;&gt;""), 1)-1))) &gt;= 115%, 115%, INDEX(AW264:INDEX(AW264:BH264, MATCH(2, 1/(AW264:BH264&lt;&gt;""), 1)-1), ROW(INDIRECT("1:" &amp; MATCH(2, 1/(AW264:BH264&lt;&gt;""), 1)-1)))), 0))/_xlfn.XLOOKUP(F264,Apuração!A:A,Apuração!B:B)&gt;=1.15,1.15,SUM(IFERROR(IF(INDEX(AW264:INDEX(AW264:BH264, MATCH(2, 1/(AW264:BH264&lt;&gt;""), 1)-1), ROW(INDIRECT("1:" &amp; MATCH(2, 1/(AW264:BH264&lt;&gt;""), 1)-1))) &gt;= 115%, 115%, INDEX(AW264:INDEX(AW264:BH264, MATCH(2, 1/(AW264:BH264&lt;&gt;""), 1)-1), ROW(INDIRECT("1:" &amp; MATCH(2, 1/(AW264:BH264&lt;&gt;""), 1)-1)))), 0))/_xlfn.XLOOKUP(F264,Apuração!A:A,Apuração!B:B))</f>
        <v>0</v>
      </c>
      <c r="BM264" s="55" cm="1">
        <f t="array" ref="BM264">IFERROR(
   INDEX($AW$1:$BH$1,
      _xlfn.AGGREGATE(14, 6, COLUMN($AW$1:$BH$1)/(AW264:BH264&lt;&gt;""), 2) - COLUMN($AW$1) + 1
   ),
"")</f>
        <v>46082</v>
      </c>
      <c r="BN264" s="55" cm="1">
        <f t="array" ref="BN264">IFERROR(INDEX($AW$1:$BH$1,1,MATCH(2,1/(AW264:BH264&lt;&gt;""))),"")</f>
        <v>46113</v>
      </c>
      <c r="BO264" s="53">
        <f ca="1">IFERROR(_xlfn.XLOOKUP(F264,Apuração!A:A,Apuração!C:C)/_xlfn.XLOOKUP(F264,Apuração!A:A,Apuração!B:B),0)</f>
        <v>0</v>
      </c>
      <c r="BP264" s="53">
        <f ca="1">IFERROR(_xlfn.XLOOKUP(F264,Apuração!A:A,Apuração!D:D)/_xlfn.XLOOKUP(F264,Apuração!A:A,Apuração!B:B),0)</f>
        <v>0</v>
      </c>
      <c r="BQ264" s="53">
        <f ca="1">IF(BK264&gt;=BO264,0,_xlfn.XLOOKUP(F264,Apuração!A:A,Apuração!B:B)*(BO264 + (1/_xlfn.XLOOKUP(F264,Apuração!A:A,Apuração!B:B)) - BK264))</f>
        <v>0</v>
      </c>
      <c r="BR264" s="85">
        <f t="shared" ca="1" si="585"/>
        <v>0</v>
      </c>
      <c r="BS264" s="53">
        <f ca="1">IFERROR((_xlfn.XLOOKUP(F264,Apuração!A:A,Apuração!C:C)+1)/_xlfn.XLOOKUP(F264,Apuração!A:A,Apuração!B:B),0)</f>
        <v>0.14285714285714285</v>
      </c>
    </row>
    <row r="265" spans="1:71" ht="25.95" hidden="1" customHeight="1" x14ac:dyDescent="0.3">
      <c r="A265" s="40" t="s">
        <v>87</v>
      </c>
      <c r="B265" s="4" t="s">
        <v>88</v>
      </c>
      <c r="C265" s="5" t="s">
        <v>214</v>
      </c>
      <c r="D265" s="5" t="s">
        <v>36</v>
      </c>
      <c r="E265" s="4" t="s">
        <v>96</v>
      </c>
      <c r="F265" s="4" t="str" cm="1">
        <f t="array" ref="F265">_xlfn.IFS(
AG265 &lt;&gt; "", "Jan-Dez/26",
AH265 &lt;&gt; "", "Fev-Dez/26",
AI265 &lt;&gt; "", "Mar-Dez/26", AJ265 &lt;&gt; "", "Abr-Dez/26",
TRUE, "A partir de Junho"
)</f>
        <v>A partir de Junho</v>
      </c>
      <c r="G265" s="4" t="s">
        <v>62</v>
      </c>
      <c r="H265" s="7" t="s">
        <v>38</v>
      </c>
      <c r="I265" s="9" t="s">
        <v>91</v>
      </c>
      <c r="J265" s="21" t="str" cm="1">
        <f t="array" aca="1" ref="J265" ca="1">_xlfn.LET(
  _xlpm.actual_value_month, INDEX(T265:AE265, MATCH(DATE(YEAR(TODAY()), MONTH(TODAY()), 1), $T$1:$AE$1, 0)),
  IF(_xlpm.actual_value_month &lt;&gt; "",_xlpm.actual_value_month &amp; " ações mensais", "")
)</f>
        <v/>
      </c>
      <c r="K265" s="8" t="str" cm="1">
        <f t="array" ref="K265">_xlfn.LET(
    _xlpm.sum_month, SUM(T265:AE265),
    IF(_xlpm.sum_month = 0, "", _xlpm.sum_month &amp; " certificados gerados no ano")
)</f>
        <v/>
      </c>
      <c r="L265" s="4" t="s">
        <v>92</v>
      </c>
      <c r="M265" s="19"/>
      <c r="N265" s="5" t="s">
        <v>51</v>
      </c>
      <c r="O265" s="5"/>
      <c r="P265" s="10"/>
      <c r="Q265" s="10"/>
      <c r="R265" s="10"/>
      <c r="S265" s="10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94">
        <f ca="1">AE265*BO265</f>
        <v>0</v>
      </c>
      <c r="AT265" s="95" t="str" cm="1">
        <f t="array" ref="AT265">IFERROR(INDEX(AJ265:AR265,1,MATCH(2,1/(AJ265:AR265&lt;&gt;""))),"")</f>
        <v/>
      </c>
      <c r="AU265" s="97" t="str">
        <f>AT265</f>
        <v/>
      </c>
      <c r="AW265" s="83">
        <f>AG265</f>
        <v>0</v>
      </c>
      <c r="AX265" s="83">
        <f>AH265</f>
        <v>0</v>
      </c>
      <c r="AY265" s="83">
        <f>AI265</f>
        <v>0</v>
      </c>
      <c r="AZ265" s="83">
        <f>AJ265</f>
        <v>0</v>
      </c>
      <c r="BA265" s="52"/>
      <c r="BB265" s="52"/>
      <c r="BC265" s="52"/>
      <c r="BD265" s="52"/>
      <c r="BE265" s="52"/>
      <c r="BF265" s="52"/>
      <c r="BG265" s="52"/>
      <c r="BH265" s="52"/>
      <c r="BI265" s="68" cm="1">
        <f t="array" ref="BI265">IFERROR(INDEX(AW265:BH265,1,MATCH(2,1/(AW265:BH265&lt;&gt;""))),"")</f>
        <v>0</v>
      </c>
      <c r="BJ265" s="68" cm="1">
        <f t="array" ref="BJ265">IF(BM265 = "", "",IFERROR(INDEX(AW265:BH265,1,MATCH(2,1/(AW265:BH265&lt;&gt;""),1)-1),""))</f>
        <v>0</v>
      </c>
      <c r="BK265" s="59">
        <f>SUM(AW265:BH265)</f>
        <v>0</v>
      </c>
      <c r="BL265" s="59" cm="1">
        <f t="array" ref="BL265">IFERROR(SUM(AW265:INDEX(AW265:BH265, MATCH(2, 1/(AW265:BH265&lt;&gt;""), 1) - 1))/_xlfn.XLOOKUP(F265,Apuração!A:A,Apuração!B:B),0)</f>
        <v>0</v>
      </c>
      <c r="BM265" s="55" cm="1">
        <f t="array" ref="BM265">IFERROR(
   INDEX($AW$1:$BH$1,
      _xlfn.AGGREGATE(14, 6, COLUMN($AW$1:$BH$1)/(AW265:BH265&lt;&gt;""), 2) - COLUMN($AW$1) + 1
   ),
"")</f>
        <v>46082</v>
      </c>
      <c r="BN265" s="55" cm="1">
        <f t="array" ref="BN265">IFERROR(INDEX($AW$1:$BH$1,1,MATCH(2,1/(AW265:BH265&lt;&gt;""))),"")</f>
        <v>46113</v>
      </c>
      <c r="BO265" s="53">
        <f ca="1">IFERROR(_xlfn.XLOOKUP(F265,Apuração!A:A,Apuração!C:C)/_xlfn.XLOOKUP(F265,Apuração!A:A,Apuração!B:B),0)</f>
        <v>0</v>
      </c>
      <c r="BP265" s="53">
        <f ca="1">IFERROR(_xlfn.XLOOKUP(F265,Apuração!A:A,Apuração!D:D)/_xlfn.XLOOKUP(F265,Apuração!A:A,Apuração!B:B),0)</f>
        <v>0</v>
      </c>
      <c r="BQ265" s="53">
        <f ca="1">IF(BK265&gt;=BO265,0,_xlfn.XLOOKUP(F265,Apuração!A:A,Apuração!B:B)*(BO265 + (1/_xlfn.XLOOKUP(F265,Apuração!A:A,Apuração!B:B)) - BK265))</f>
        <v>0</v>
      </c>
      <c r="BR265" s="85">
        <f ca="1">IF(BQ265=0,0,BQ265*Z265)</f>
        <v>0</v>
      </c>
      <c r="BS265" s="53">
        <f ca="1">IFERROR((_xlfn.XLOOKUP(F265,Apuração!A:A,Apuração!C:C)+1)/_xlfn.XLOOKUP(F265,Apuração!A:A,Apuração!B:B),0)</f>
        <v>0.14285714285714285</v>
      </c>
    </row>
    <row r="266" spans="1:71" ht="25.95" hidden="1" customHeight="1" x14ac:dyDescent="0.3">
      <c r="A266" s="40" t="s">
        <v>87</v>
      </c>
      <c r="B266" s="4" t="s">
        <v>88</v>
      </c>
      <c r="C266" s="5" t="s">
        <v>214</v>
      </c>
      <c r="D266" s="5" t="s">
        <v>210</v>
      </c>
      <c r="E266" s="4" t="s">
        <v>96</v>
      </c>
      <c r="F266" s="4" t="str" cm="1">
        <f t="array" ref="F266">_xlfn.IFS(
AG266 &lt;&gt; "", "Jan-Dez/26",
AH266 &lt;&gt; "", "Fev-Dez/26",
AI266 &lt;&gt; "", "Mar-Dez/26", AJ266 &lt;&gt; "", "Abr-Dez/26",
TRUE, "A partir de Junho"
)</f>
        <v>A partir de Junho</v>
      </c>
      <c r="G266" s="4" t="s">
        <v>62</v>
      </c>
      <c r="H266" s="7" t="s">
        <v>38</v>
      </c>
      <c r="I266" s="9" t="s">
        <v>91</v>
      </c>
      <c r="J266" s="21" t="str" cm="1">
        <f t="array" aca="1" ref="J266" ca="1">_xlfn.LET(
  _xlpm.actual_value_month, INDEX(T266:AE266, MATCH(DATE(YEAR(TODAY()), MONTH(TODAY()), 1), $T$1:$AE$1, 0)),
  IF(_xlpm.actual_value_month &lt;&gt; "",_xlpm.actual_value_month &amp; " ações mensais", "")
)</f>
        <v/>
      </c>
      <c r="K266" s="8" t="str" cm="1">
        <f t="array" ref="K266">_xlfn.LET(
    _xlpm.sum_month, SUM(T266:AE266),
    IF(_xlpm.sum_month = 0, "", _xlpm.sum_month &amp; " certificados gerados no ano")
)</f>
        <v/>
      </c>
      <c r="L266" s="4" t="s">
        <v>92</v>
      </c>
      <c r="M266" s="19"/>
      <c r="N266" s="5" t="s">
        <v>51</v>
      </c>
      <c r="O266" s="5"/>
      <c r="P266" s="10"/>
      <c r="Q266" s="10"/>
      <c r="R266" s="10"/>
      <c r="S266" s="10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94">
        <f t="shared" ref="AS266:AS270" ca="1" si="586">AE266*BO266</f>
        <v>0</v>
      </c>
      <c r="AT266" s="95" t="str" cm="1">
        <f t="array" ref="AT266">IFERROR(INDEX(AJ266:AR266,1,MATCH(2,1/(AJ266:AR266&lt;&gt;""))),"")</f>
        <v/>
      </c>
      <c r="AU266" s="97" t="str">
        <f t="shared" ref="AU266:AU270" si="587">AT266</f>
        <v/>
      </c>
      <c r="AW266" s="83">
        <f t="shared" ref="AW266:AW270" si="588">AG266</f>
        <v>0</v>
      </c>
      <c r="AX266" s="83">
        <f t="shared" ref="AX266:AX270" si="589">AH266</f>
        <v>0</v>
      </c>
      <c r="AY266" s="83">
        <f t="shared" ref="AY266:AY270" si="590">AI266</f>
        <v>0</v>
      </c>
      <c r="AZ266" s="83">
        <f t="shared" ref="AZ266:AZ270" si="591">AJ266</f>
        <v>0</v>
      </c>
      <c r="BA266" s="52"/>
      <c r="BB266" s="52"/>
      <c r="BC266" s="52"/>
      <c r="BD266" s="52"/>
      <c r="BE266" s="52"/>
      <c r="BF266" s="52"/>
      <c r="BG266" s="52"/>
      <c r="BH266" s="52"/>
      <c r="BI266" s="68" cm="1">
        <f t="array" ref="BI266">IFERROR(INDEX(AW266:BH266,1,MATCH(2,1/(AW266:BH266&lt;&gt;""))),"")</f>
        <v>0</v>
      </c>
      <c r="BJ266" s="68" cm="1">
        <f t="array" ref="BJ266">IF(BM266 = "", "",IFERROR(INDEX(AW266:BH266,1,MATCH(2,1/(AW266:BH266&lt;&gt;""),1)-1),""))</f>
        <v>0</v>
      </c>
      <c r="BK266" s="59">
        <f t="shared" ref="BK266:BK270" si="592">SUM(AW266:BH266)</f>
        <v>0</v>
      </c>
      <c r="BL266" s="59" cm="1">
        <f t="array" ref="BL266">IFERROR(SUM(AW266:INDEX(AW266:BH266, MATCH(2, 1/(AW266:BH266&lt;&gt;""), 1) - 1))/_xlfn.XLOOKUP(F266,Apuração!A:A,Apuração!B:B),0)</f>
        <v>0</v>
      </c>
      <c r="BM266" s="55" cm="1">
        <f t="array" ref="BM266">IFERROR(
   INDEX($AW$1:$BH$1,
      _xlfn.AGGREGATE(14, 6, COLUMN($AW$1:$BH$1)/(AW266:BH266&lt;&gt;""), 2) - COLUMN($AW$1) + 1
   ),
"")</f>
        <v>46082</v>
      </c>
      <c r="BN266" s="55" cm="1">
        <f t="array" ref="BN266">IFERROR(INDEX($AW$1:$BH$1,1,MATCH(2,1/(AW266:BH266&lt;&gt;""))),"")</f>
        <v>46113</v>
      </c>
      <c r="BO266" s="53">
        <f ca="1">IFERROR(_xlfn.XLOOKUP(F266,Apuração!A:A,Apuração!C:C)/_xlfn.XLOOKUP(F266,Apuração!A:A,Apuração!B:B),0)</f>
        <v>0</v>
      </c>
      <c r="BP266" s="53">
        <f ca="1">IFERROR(_xlfn.XLOOKUP(F266,Apuração!A:A,Apuração!D:D)/_xlfn.XLOOKUP(F266,Apuração!A:A,Apuração!B:B),0)</f>
        <v>0</v>
      </c>
      <c r="BQ266" s="53">
        <f ca="1">IF(BK266&gt;=BO266,0,_xlfn.XLOOKUP(F266,Apuração!A:A,Apuração!B:B)*(BO266 + (1/_xlfn.XLOOKUP(F266,Apuração!A:A,Apuração!B:B)) - BK266))</f>
        <v>0</v>
      </c>
      <c r="BR266" s="85">
        <f t="shared" ref="BR266:BR270" ca="1" si="593">IF(BQ266=0,0,BQ266*Z266)</f>
        <v>0</v>
      </c>
      <c r="BS266" s="53">
        <f ca="1">IFERROR((_xlfn.XLOOKUP(F266,Apuração!A:A,Apuração!C:C)+1)/_xlfn.XLOOKUP(F266,Apuração!A:A,Apuração!B:B),0)</f>
        <v>0.14285714285714285</v>
      </c>
    </row>
    <row r="267" spans="1:71" ht="25.95" hidden="1" customHeight="1" x14ac:dyDescent="0.3">
      <c r="A267" s="40" t="s">
        <v>87</v>
      </c>
      <c r="B267" s="4" t="s">
        <v>88</v>
      </c>
      <c r="C267" s="5" t="s">
        <v>214</v>
      </c>
      <c r="D267" s="5" t="s">
        <v>215</v>
      </c>
      <c r="E267" s="4" t="s">
        <v>96</v>
      </c>
      <c r="F267" s="4" t="str" cm="1">
        <f t="array" ref="F267">_xlfn.IFS(
AG267 &lt;&gt; "", "Jan-Dez/26",
AH267 &lt;&gt; "", "Fev-Dez/26",
AI267 &lt;&gt; "", "Mar-Dez/26", AJ267 &lt;&gt; "", "Abr-Dez/26",
TRUE, "A partir de Junho"
)</f>
        <v>A partir de Junho</v>
      </c>
      <c r="G267" s="4" t="s">
        <v>62</v>
      </c>
      <c r="H267" s="7" t="s">
        <v>38</v>
      </c>
      <c r="I267" s="9" t="s">
        <v>91</v>
      </c>
      <c r="J267" s="21" t="str" cm="1">
        <f t="array" aca="1" ref="J267" ca="1">_xlfn.LET(
  _xlpm.actual_value_month, INDEX(T267:AE267, MATCH(DATE(YEAR(TODAY()), MONTH(TODAY()), 1), $T$1:$AE$1, 0)),
  IF(_xlpm.actual_value_month &lt;&gt; "",_xlpm.actual_value_month &amp; " ações mensais", "")
)</f>
        <v/>
      </c>
      <c r="K267" s="8" t="str" cm="1">
        <f t="array" ref="K267">_xlfn.LET(
    _xlpm.sum_month, SUM(T267:AE267),
    IF(_xlpm.sum_month = 0, "", _xlpm.sum_month &amp; " certificados gerados no ano")
)</f>
        <v/>
      </c>
      <c r="L267" s="4" t="s">
        <v>92</v>
      </c>
      <c r="M267" s="19"/>
      <c r="N267" s="5" t="s">
        <v>51</v>
      </c>
      <c r="O267" s="5"/>
      <c r="P267" s="10"/>
      <c r="Q267" s="10"/>
      <c r="R267" s="10"/>
      <c r="S267" s="10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94">
        <f t="shared" ca="1" si="586"/>
        <v>0</v>
      </c>
      <c r="AT267" s="95" t="str" cm="1">
        <f t="array" ref="AT267">IFERROR(INDEX(AJ267:AR267,1,MATCH(2,1/(AJ267:AR267&lt;&gt;""))),"")</f>
        <v/>
      </c>
      <c r="AU267" s="97" t="str">
        <f t="shared" si="587"/>
        <v/>
      </c>
      <c r="AW267" s="83">
        <f t="shared" si="588"/>
        <v>0</v>
      </c>
      <c r="AX267" s="83">
        <f t="shared" si="589"/>
        <v>0</v>
      </c>
      <c r="AY267" s="83">
        <f t="shared" si="590"/>
        <v>0</v>
      </c>
      <c r="AZ267" s="83">
        <f t="shared" si="591"/>
        <v>0</v>
      </c>
      <c r="BA267" s="52"/>
      <c r="BB267" s="52"/>
      <c r="BC267" s="52"/>
      <c r="BD267" s="52"/>
      <c r="BE267" s="52"/>
      <c r="BF267" s="52"/>
      <c r="BG267" s="52"/>
      <c r="BH267" s="52"/>
      <c r="BI267" s="68" cm="1">
        <f t="array" ref="BI267">IFERROR(INDEX(AW267:BH267,1,MATCH(2,1/(AW267:BH267&lt;&gt;""))),"")</f>
        <v>0</v>
      </c>
      <c r="BJ267" s="68" cm="1">
        <f t="array" ref="BJ267">IF(BM267 = "", "",IFERROR(INDEX(AW267:BH267,1,MATCH(2,1/(AW267:BH267&lt;&gt;""),1)-1),""))</f>
        <v>0</v>
      </c>
      <c r="BK267" s="59">
        <f t="shared" si="592"/>
        <v>0</v>
      </c>
      <c r="BL267" s="59" cm="1">
        <f t="array" ref="BL267">IFERROR(SUM(AW267:INDEX(AW267:BH267, MATCH(2, 1/(AW267:BH267&lt;&gt;""), 1) - 1))/_xlfn.XLOOKUP(F267,Apuração!A:A,Apuração!B:B),0)</f>
        <v>0</v>
      </c>
      <c r="BM267" s="55" cm="1">
        <f t="array" ref="BM267">IFERROR(
   INDEX($AW$1:$BH$1,
      _xlfn.AGGREGATE(14, 6, COLUMN($AW$1:$BH$1)/(AW267:BH267&lt;&gt;""), 2) - COLUMN($AW$1) + 1
   ),
"")</f>
        <v>46082</v>
      </c>
      <c r="BN267" s="55" cm="1">
        <f t="array" ref="BN267">IFERROR(INDEX($AW$1:$BH$1,1,MATCH(2,1/(AW267:BH267&lt;&gt;""))),"")</f>
        <v>46113</v>
      </c>
      <c r="BO267" s="53">
        <f ca="1">IFERROR(_xlfn.XLOOKUP(F267,Apuração!A:A,Apuração!C:C)/_xlfn.XLOOKUP(F267,Apuração!A:A,Apuração!B:B),0)</f>
        <v>0</v>
      </c>
      <c r="BP267" s="53">
        <f ca="1">IFERROR(_xlfn.XLOOKUP(F267,Apuração!A:A,Apuração!D:D)/_xlfn.XLOOKUP(F267,Apuração!A:A,Apuração!B:B),0)</f>
        <v>0</v>
      </c>
      <c r="BQ267" s="53">
        <f ca="1">IF(BK267&gt;=BO267,0,_xlfn.XLOOKUP(F267,Apuração!A:A,Apuração!B:B)*(BO267 + (1/_xlfn.XLOOKUP(F267,Apuração!A:A,Apuração!B:B)) - BK267))</f>
        <v>0</v>
      </c>
      <c r="BR267" s="85">
        <f t="shared" ca="1" si="593"/>
        <v>0</v>
      </c>
      <c r="BS267" s="53">
        <f ca="1">IFERROR((_xlfn.XLOOKUP(F267,Apuração!A:A,Apuração!C:C)+1)/_xlfn.XLOOKUP(F267,Apuração!A:A,Apuração!B:B),0)</f>
        <v>0.14285714285714285</v>
      </c>
    </row>
    <row r="268" spans="1:71" ht="25.95" hidden="1" customHeight="1" x14ac:dyDescent="0.3">
      <c r="A268" s="40" t="s">
        <v>87</v>
      </c>
      <c r="B268" s="4" t="s">
        <v>88</v>
      </c>
      <c r="C268" s="5" t="s">
        <v>214</v>
      </c>
      <c r="D268" s="5" t="s">
        <v>212</v>
      </c>
      <c r="E268" s="4" t="s">
        <v>96</v>
      </c>
      <c r="F268" s="4" t="str" cm="1">
        <f t="array" ref="F268">_xlfn.IFS(
AG268 &lt;&gt; "", "Jan-Dez/26",
AH268 &lt;&gt; "", "Fev-Dez/26",
AI268 &lt;&gt; "", "Mar-Dez/26", AJ268 &lt;&gt; "", "Abr-Dez/26",
TRUE, "A partir de Junho"
)</f>
        <v>A partir de Junho</v>
      </c>
      <c r="G268" s="4" t="s">
        <v>62</v>
      </c>
      <c r="H268" s="7" t="s">
        <v>38</v>
      </c>
      <c r="I268" s="9" t="s">
        <v>91</v>
      </c>
      <c r="J268" s="21" t="str" cm="1">
        <f t="array" aca="1" ref="J268" ca="1">_xlfn.LET(
  _xlpm.actual_value_month, INDEX(T268:AE268, MATCH(DATE(YEAR(TODAY()), MONTH(TODAY()), 1), $T$1:$AE$1, 0)),
  IF(_xlpm.actual_value_month &lt;&gt; "",_xlpm.actual_value_month &amp; " ações mensais", "")
)</f>
        <v/>
      </c>
      <c r="K268" s="8" t="str" cm="1">
        <f t="array" ref="K268">_xlfn.LET(
    _xlpm.sum_month, SUM(T268:AE268),
    IF(_xlpm.sum_month = 0, "", _xlpm.sum_month &amp; " certificados gerados no ano")
)</f>
        <v/>
      </c>
      <c r="L268" s="4" t="s">
        <v>92</v>
      </c>
      <c r="M268" s="19"/>
      <c r="N268" s="5" t="s">
        <v>51</v>
      </c>
      <c r="O268" s="5"/>
      <c r="P268" s="10"/>
      <c r="Q268" s="10"/>
      <c r="R268" s="10"/>
      <c r="S268" s="10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94">
        <f t="shared" ca="1" si="586"/>
        <v>0</v>
      </c>
      <c r="AT268" s="95" t="str" cm="1">
        <f t="array" ref="AT268">IFERROR(INDEX(AJ268:AR268,1,MATCH(2,1/(AJ268:AR268&lt;&gt;""))),"")</f>
        <v/>
      </c>
      <c r="AU268" s="97" t="str">
        <f t="shared" si="587"/>
        <v/>
      </c>
      <c r="AW268" s="83">
        <f t="shared" si="588"/>
        <v>0</v>
      </c>
      <c r="AX268" s="83">
        <f t="shared" si="589"/>
        <v>0</v>
      </c>
      <c r="AY268" s="83">
        <f t="shared" si="590"/>
        <v>0</v>
      </c>
      <c r="AZ268" s="83">
        <f t="shared" si="591"/>
        <v>0</v>
      </c>
      <c r="BA268" s="52"/>
      <c r="BB268" s="52"/>
      <c r="BC268" s="52"/>
      <c r="BD268" s="52"/>
      <c r="BE268" s="52"/>
      <c r="BF268" s="52"/>
      <c r="BG268" s="52"/>
      <c r="BH268" s="52"/>
      <c r="BI268" s="68" cm="1">
        <f t="array" ref="BI268">IFERROR(INDEX(AW268:BH268,1,MATCH(2,1/(AW268:BH268&lt;&gt;""))),"")</f>
        <v>0</v>
      </c>
      <c r="BJ268" s="68" cm="1">
        <f t="array" ref="BJ268">IF(BM268 = "", "",IFERROR(INDEX(AW268:BH268,1,MATCH(2,1/(AW268:BH268&lt;&gt;""),1)-1),""))</f>
        <v>0</v>
      </c>
      <c r="BK268" s="59">
        <f t="shared" si="592"/>
        <v>0</v>
      </c>
      <c r="BL268" s="59" cm="1">
        <f t="array" ref="BL268">IFERROR(SUM(AW268:INDEX(AW268:BH268, MATCH(2, 1/(AW268:BH268&lt;&gt;""), 1) - 1))/_xlfn.XLOOKUP(F268,Apuração!A:A,Apuração!B:B),0)</f>
        <v>0</v>
      </c>
      <c r="BM268" s="55" cm="1">
        <f t="array" ref="BM268">IFERROR(
   INDEX($AW$1:$BH$1,
      _xlfn.AGGREGATE(14, 6, COLUMN($AW$1:$BH$1)/(AW268:BH268&lt;&gt;""), 2) - COLUMN($AW$1) + 1
   ),
"")</f>
        <v>46082</v>
      </c>
      <c r="BN268" s="55" cm="1">
        <f t="array" ref="BN268">IFERROR(INDEX($AW$1:$BH$1,1,MATCH(2,1/(AW268:BH268&lt;&gt;""))),"")</f>
        <v>46113</v>
      </c>
      <c r="BO268" s="53">
        <f ca="1">IFERROR(_xlfn.XLOOKUP(F268,Apuração!A:A,Apuração!C:C)/_xlfn.XLOOKUP(F268,Apuração!A:A,Apuração!B:B),0)</f>
        <v>0</v>
      </c>
      <c r="BP268" s="53">
        <f ca="1">IFERROR(_xlfn.XLOOKUP(F268,Apuração!A:A,Apuração!D:D)/_xlfn.XLOOKUP(F268,Apuração!A:A,Apuração!B:B),0)</f>
        <v>0</v>
      </c>
      <c r="BQ268" s="53">
        <f ca="1">IF(BK268&gt;=BO268,0,_xlfn.XLOOKUP(F268,Apuração!A:A,Apuração!B:B)*(BO268 + (1/_xlfn.XLOOKUP(F268,Apuração!A:A,Apuração!B:B)) - BK268))</f>
        <v>0</v>
      </c>
      <c r="BR268" s="85">
        <f t="shared" ca="1" si="593"/>
        <v>0</v>
      </c>
      <c r="BS268" s="53">
        <f ca="1">IFERROR((_xlfn.XLOOKUP(F268,Apuração!A:A,Apuração!C:C)+1)/_xlfn.XLOOKUP(F268,Apuração!A:A,Apuração!B:B),0)</f>
        <v>0.14285714285714285</v>
      </c>
    </row>
    <row r="269" spans="1:71" ht="25.95" hidden="1" customHeight="1" x14ac:dyDescent="0.3">
      <c r="A269" s="40" t="s">
        <v>87</v>
      </c>
      <c r="B269" s="4" t="s">
        <v>88</v>
      </c>
      <c r="C269" s="5" t="s">
        <v>214</v>
      </c>
      <c r="D269" s="5" t="s">
        <v>48</v>
      </c>
      <c r="E269" s="4" t="s">
        <v>96</v>
      </c>
      <c r="F269" s="4" t="str" cm="1">
        <f t="array" ref="F269">_xlfn.IFS(
AG269 &lt;&gt; "", "Jan-Dez/26",
AH269 &lt;&gt; "", "Fev-Dez/26",
AI269 &lt;&gt; "", "Mar-Dez/26", AJ269 &lt;&gt; "", "Abr-Dez/26",
TRUE, "A partir de Junho"
)</f>
        <v>A partir de Junho</v>
      </c>
      <c r="G269" s="4" t="s">
        <v>62</v>
      </c>
      <c r="H269" s="7" t="s">
        <v>38</v>
      </c>
      <c r="I269" s="9" t="s">
        <v>91</v>
      </c>
      <c r="J269" s="21" t="str" cm="1">
        <f t="array" aca="1" ref="J269" ca="1">_xlfn.LET(
  _xlpm.actual_value_month, INDEX(T269:AE269, MATCH(DATE(YEAR(TODAY()), MONTH(TODAY()), 1), $T$1:$AE$1, 0)),
  IF(_xlpm.actual_value_month &lt;&gt; "",_xlpm.actual_value_month &amp; " ações mensais", "")
)</f>
        <v/>
      </c>
      <c r="K269" s="8" t="str" cm="1">
        <f t="array" ref="K269">_xlfn.LET(
    _xlpm.sum_month, SUM(T269:AE269),
    IF(_xlpm.sum_month = 0, "", _xlpm.sum_month &amp; " certificados gerados no ano")
)</f>
        <v/>
      </c>
      <c r="L269" s="4" t="s">
        <v>92</v>
      </c>
      <c r="M269" s="19"/>
      <c r="N269" s="5" t="s">
        <v>51</v>
      </c>
      <c r="O269" s="5"/>
      <c r="P269" s="10"/>
      <c r="Q269" s="10"/>
      <c r="R269" s="10"/>
      <c r="S269" s="10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94">
        <f t="shared" ca="1" si="586"/>
        <v>0</v>
      </c>
      <c r="AT269" s="95" t="str" cm="1">
        <f t="array" ref="AT269">IFERROR(INDEX(AJ269:AR269,1,MATCH(2,1/(AJ269:AR269&lt;&gt;""))),"")</f>
        <v/>
      </c>
      <c r="AU269" s="97" t="str">
        <f t="shared" si="587"/>
        <v/>
      </c>
      <c r="AW269" s="83">
        <f t="shared" si="588"/>
        <v>0</v>
      </c>
      <c r="AX269" s="83">
        <f t="shared" si="589"/>
        <v>0</v>
      </c>
      <c r="AY269" s="83">
        <f t="shared" si="590"/>
        <v>0</v>
      </c>
      <c r="AZ269" s="83">
        <f t="shared" si="591"/>
        <v>0</v>
      </c>
      <c r="BA269" s="52"/>
      <c r="BB269" s="52"/>
      <c r="BC269" s="52"/>
      <c r="BD269" s="52"/>
      <c r="BE269" s="52"/>
      <c r="BF269" s="52"/>
      <c r="BG269" s="52"/>
      <c r="BH269" s="52"/>
      <c r="BI269" s="68" cm="1">
        <f t="array" ref="BI269">IFERROR(INDEX(AW269:BH269,1,MATCH(2,1/(AW269:BH269&lt;&gt;""))),"")</f>
        <v>0</v>
      </c>
      <c r="BJ269" s="68" cm="1">
        <f t="array" ref="BJ269">IF(BM269 = "", "",IFERROR(INDEX(AW269:BH269,1,MATCH(2,1/(AW269:BH269&lt;&gt;""),1)-1),""))</f>
        <v>0</v>
      </c>
      <c r="BK269" s="59">
        <f t="shared" si="592"/>
        <v>0</v>
      </c>
      <c r="BL269" s="59" cm="1">
        <f t="array" ref="BL269">IFERROR(SUM(AW269:INDEX(AW269:BH269, MATCH(2, 1/(AW269:BH269&lt;&gt;""), 1) - 1))/_xlfn.XLOOKUP(F269,Apuração!A:A,Apuração!B:B),0)</f>
        <v>0</v>
      </c>
      <c r="BM269" s="55" cm="1">
        <f t="array" ref="BM269">IFERROR(
   INDEX($AW$1:$BH$1,
      _xlfn.AGGREGATE(14, 6, COLUMN($AW$1:$BH$1)/(AW269:BH269&lt;&gt;""), 2) - COLUMN($AW$1) + 1
   ),
"")</f>
        <v>46082</v>
      </c>
      <c r="BN269" s="55" cm="1">
        <f t="array" ref="BN269">IFERROR(INDEX($AW$1:$BH$1,1,MATCH(2,1/(AW269:BH269&lt;&gt;""))),"")</f>
        <v>46113</v>
      </c>
      <c r="BO269" s="53">
        <f ca="1">IFERROR(_xlfn.XLOOKUP(F269,Apuração!A:A,Apuração!C:C)/_xlfn.XLOOKUP(F269,Apuração!A:A,Apuração!B:B),0)</f>
        <v>0</v>
      </c>
      <c r="BP269" s="53">
        <f ca="1">IFERROR(_xlfn.XLOOKUP(F269,Apuração!A:A,Apuração!D:D)/_xlfn.XLOOKUP(F269,Apuração!A:A,Apuração!B:B),0)</f>
        <v>0</v>
      </c>
      <c r="BQ269" s="53">
        <f ca="1">IF(BK269&gt;=BO269,0,_xlfn.XLOOKUP(F269,Apuração!A:A,Apuração!B:B)*(BO269 + (1/_xlfn.XLOOKUP(F269,Apuração!A:A,Apuração!B:B)) - BK269))</f>
        <v>0</v>
      </c>
      <c r="BR269" s="85">
        <f t="shared" ca="1" si="593"/>
        <v>0</v>
      </c>
      <c r="BS269" s="53">
        <f ca="1">IFERROR((_xlfn.XLOOKUP(F269,Apuração!A:A,Apuração!C:C)+1)/_xlfn.XLOOKUP(F269,Apuração!A:A,Apuração!B:B),0)</f>
        <v>0.14285714285714285</v>
      </c>
    </row>
    <row r="270" spans="1:71" ht="25.95" hidden="1" customHeight="1" x14ac:dyDescent="0.3">
      <c r="A270" s="40" t="s">
        <v>87</v>
      </c>
      <c r="B270" s="4" t="s">
        <v>88</v>
      </c>
      <c r="C270" s="5" t="s">
        <v>214</v>
      </c>
      <c r="D270" s="5" t="s">
        <v>213</v>
      </c>
      <c r="E270" s="4" t="s">
        <v>96</v>
      </c>
      <c r="F270" s="4" t="str" cm="1">
        <f t="array" ref="F270">_xlfn.IFS(
AG270 &lt;&gt; "", "Jan-Dez/26",
AH270 &lt;&gt; "", "Fev-Dez/26",
AI270 &lt;&gt; "", "Mar-Dez/26", AJ270 &lt;&gt; "", "Abr-Dez/26",
TRUE, "A partir de Junho"
)</f>
        <v>A partir de Junho</v>
      </c>
      <c r="G270" s="4" t="s">
        <v>62</v>
      </c>
      <c r="H270" s="7" t="s">
        <v>38</v>
      </c>
      <c r="I270" s="9" t="s">
        <v>91</v>
      </c>
      <c r="J270" s="21" t="str" cm="1">
        <f t="array" aca="1" ref="J270" ca="1">_xlfn.LET(
  _xlpm.actual_value_month, INDEX(T270:AE270, MATCH(DATE(YEAR(TODAY()), MONTH(TODAY()), 1), $T$1:$AE$1, 0)),
  IF(_xlpm.actual_value_month &lt;&gt; "",_xlpm.actual_value_month &amp; " ações mensais", "")
)</f>
        <v/>
      </c>
      <c r="K270" s="8" t="str" cm="1">
        <f t="array" ref="K270">_xlfn.LET(
    _xlpm.sum_month, SUM(T270:AE270),
    IF(_xlpm.sum_month = 0, "", _xlpm.sum_month &amp; " certificados gerados no ano")
)</f>
        <v/>
      </c>
      <c r="L270" s="4" t="s">
        <v>92</v>
      </c>
      <c r="M270" s="19"/>
      <c r="N270" s="5" t="s">
        <v>51</v>
      </c>
      <c r="O270" s="5"/>
      <c r="P270" s="10"/>
      <c r="Q270" s="10"/>
      <c r="R270" s="10"/>
      <c r="S270" s="10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94">
        <f t="shared" ca="1" si="586"/>
        <v>0</v>
      </c>
      <c r="AT270" s="95" t="str" cm="1">
        <f t="array" ref="AT270">IFERROR(INDEX(AJ270:AR270,1,MATCH(2,1/(AJ270:AR270&lt;&gt;""))),"")</f>
        <v/>
      </c>
      <c r="AU270" s="97" t="str">
        <f t="shared" si="587"/>
        <v/>
      </c>
      <c r="AW270" s="83">
        <f t="shared" si="588"/>
        <v>0</v>
      </c>
      <c r="AX270" s="83">
        <f t="shared" si="589"/>
        <v>0</v>
      </c>
      <c r="AY270" s="83">
        <f t="shared" si="590"/>
        <v>0</v>
      </c>
      <c r="AZ270" s="83">
        <f t="shared" si="591"/>
        <v>0</v>
      </c>
      <c r="BA270" s="52"/>
      <c r="BB270" s="52"/>
      <c r="BC270" s="52"/>
      <c r="BD270" s="52"/>
      <c r="BE270" s="52"/>
      <c r="BF270" s="52"/>
      <c r="BG270" s="52"/>
      <c r="BH270" s="52"/>
      <c r="BI270" s="68" cm="1">
        <f t="array" ref="BI270">IFERROR(INDEX(AW270:BH270,1,MATCH(2,1/(AW270:BH270&lt;&gt;""))),"")</f>
        <v>0</v>
      </c>
      <c r="BJ270" s="68" cm="1">
        <f t="array" ref="BJ270">IF(BM270 = "", "",IFERROR(INDEX(AW270:BH270,1,MATCH(2,1/(AW270:BH270&lt;&gt;""),1)-1),""))</f>
        <v>0</v>
      </c>
      <c r="BK270" s="59">
        <f t="shared" si="592"/>
        <v>0</v>
      </c>
      <c r="BL270" s="59" cm="1">
        <f t="array" ref="BL270">IFERROR(SUM(AW270:INDEX(AW270:BH270, MATCH(2, 1/(AW270:BH270&lt;&gt;""), 1) - 1))/_xlfn.XLOOKUP(F270,Apuração!A:A,Apuração!B:B),0)</f>
        <v>0</v>
      </c>
      <c r="BM270" s="55" cm="1">
        <f t="array" ref="BM270">IFERROR(
   INDEX($AW$1:$BH$1,
      _xlfn.AGGREGATE(14, 6, COLUMN($AW$1:$BH$1)/(AW270:BH270&lt;&gt;""), 2) - COLUMN($AW$1) + 1
   ),
"")</f>
        <v>46082</v>
      </c>
      <c r="BN270" s="55" cm="1">
        <f t="array" ref="BN270">IFERROR(INDEX($AW$1:$BH$1,1,MATCH(2,1/(AW270:BH270&lt;&gt;""))),"")</f>
        <v>46113</v>
      </c>
      <c r="BO270" s="53">
        <f ca="1">IFERROR(_xlfn.XLOOKUP(F270,Apuração!A:A,Apuração!C:C)/_xlfn.XLOOKUP(F270,Apuração!A:A,Apuração!B:B),0)</f>
        <v>0</v>
      </c>
      <c r="BP270" s="53">
        <f ca="1">IFERROR(_xlfn.XLOOKUP(F270,Apuração!A:A,Apuração!D:D)/_xlfn.XLOOKUP(F270,Apuração!A:A,Apuração!B:B),0)</f>
        <v>0</v>
      </c>
      <c r="BQ270" s="53">
        <f ca="1">IF(BK270&gt;=BO270,0,_xlfn.XLOOKUP(F270,Apuração!A:A,Apuração!B:B)*(BO270 + (1/_xlfn.XLOOKUP(F270,Apuração!A:A,Apuração!B:B)) - BK270))</f>
        <v>0</v>
      </c>
      <c r="BR270" s="85">
        <f t="shared" ca="1" si="593"/>
        <v>0</v>
      </c>
      <c r="BS270" s="53">
        <f ca="1">IFERROR((_xlfn.XLOOKUP(F270,Apuração!A:A,Apuração!C:C)+1)/_xlfn.XLOOKUP(F270,Apuração!A:A,Apuração!B:B),0)</f>
        <v>0.14285714285714285</v>
      </c>
    </row>
    <row r="271" spans="1:71" ht="25.95" hidden="1" customHeight="1" x14ac:dyDescent="0.3">
      <c r="A271" s="40" t="s">
        <v>87</v>
      </c>
      <c r="B271" s="4" t="s">
        <v>88</v>
      </c>
      <c r="C271" s="5" t="s">
        <v>214</v>
      </c>
      <c r="D271" s="5" t="s">
        <v>36</v>
      </c>
      <c r="E271" s="4" t="s">
        <v>96</v>
      </c>
      <c r="F271" s="4" t="str" cm="1">
        <f t="array" ref="F271">_xlfn.IFS(
AG271 &lt;&gt; "", "Jan-Dez/26",
AH271 &lt;&gt; "", "Fev-Dez/26",
AI271 &lt;&gt; "", "Mar-Dez/26", AJ271 &lt;&gt; "", "Abr-Dez/26",
TRUE, "A partir de Junho"
)</f>
        <v>A partir de Junho</v>
      </c>
      <c r="G271" s="4" t="s">
        <v>62</v>
      </c>
      <c r="H271" s="7" t="s">
        <v>38</v>
      </c>
      <c r="I271" s="9" t="s">
        <v>93</v>
      </c>
      <c r="J271" s="21" t="str" cm="1">
        <f t="array" aca="1" ref="J271" ca="1">_xlfn.LET(
  _xlpm.actual_value_month, INDEX(T271:AE271, MATCH(DATE(YEAR(TODAY()), MONTH(TODAY()), 1), $T$1:$AE$1, 0)),
  IF(_xlpm.actual_value_month &lt;&gt; "",_xlpm.actual_value_month &amp; " ações mensais", "")
)</f>
        <v/>
      </c>
      <c r="K271" s="8" t="str" cm="1">
        <f t="array" ref="K271">_xlfn.LET(
    _xlpm.sum_month, SUM(T271:AE271),
    IF(_xlpm.sum_month = 0, "", _xlpm.sum_month &amp; " certificados gerados no ano")
)</f>
        <v/>
      </c>
      <c r="L271" s="4" t="s">
        <v>94</v>
      </c>
      <c r="M271" s="19"/>
      <c r="N271" s="5" t="s">
        <v>51</v>
      </c>
      <c r="O271" s="5"/>
      <c r="P271" s="10"/>
      <c r="Q271" s="10"/>
      <c r="R271" s="10"/>
      <c r="S271" s="10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94">
        <f t="shared" ca="1" si="559"/>
        <v>0</v>
      </c>
      <c r="AT271" s="95" t="str" cm="1">
        <f t="array" ref="AT271">IFERROR(INDEX(AJ271:AR271,1,MATCH(2,1/(AJ271:AR271&lt;&gt;""))),"")</f>
        <v/>
      </c>
      <c r="AU271" s="97" t="str">
        <f t="shared" si="560"/>
        <v/>
      </c>
      <c r="AW271" s="83">
        <f>AG271</f>
        <v>0</v>
      </c>
      <c r="AX271" s="83">
        <f t="shared" ref="AX271" si="594">AH271</f>
        <v>0</v>
      </c>
      <c r="AY271" s="83">
        <f t="shared" ref="AY271" si="595">AI271</f>
        <v>0</v>
      </c>
      <c r="AZ271" s="83">
        <f t="shared" ref="AZ271" si="596">AJ271</f>
        <v>0</v>
      </c>
      <c r="BA271" s="51"/>
      <c r="BB271" s="51"/>
      <c r="BC271" s="51"/>
      <c r="BD271" s="51"/>
      <c r="BE271" s="51"/>
      <c r="BF271" s="51"/>
      <c r="BG271" s="51"/>
      <c r="BH271" s="51"/>
      <c r="BI271" s="65" cm="1">
        <f t="array" ref="BI271">IFERROR(INDEX(AW271:BH271,1,MATCH(2,1/(AW271:BH271&lt;&gt;""))),"")</f>
        <v>0</v>
      </c>
      <c r="BJ271" s="68" cm="1">
        <f t="array" ref="BJ271">IF(BM271 = "", "",IFERROR(INDEX(AW271:BH271,1,MATCH(2,1/(AW271:BH271&lt;&gt;""),1)-1),""))</f>
        <v>0</v>
      </c>
      <c r="BK271" s="58">
        <f>IF((IF(AW271&gt;=115%,115%,AW271) + IF(AX271&gt;=115%,115%,AX271) + IF(AY271&gt;=115%,115%,AY271) + (IF(AZ271&gt;=115%,115%,AZ271) + IF(BA271&gt;=115%,115%,BA271) + IF(BB271&gt;=115%,115%,BB271) + IF(BC271&gt;=115%,115%,BC271) + IF(BD271&gt;=115%,115%,BD271) + IF(BE271&gt;=115%,115%,BE271) + IF(BF271&gt;=115%,115%,BF271) + IF(BG271&gt;=115%,115%,BG271) + IF(BH271&gt;=115%,115%,BH271)))/_xlfn.XLOOKUP(F271,Apuração!A:A,Apuração!B:B)&gt;=1.15,1.15,((IF(AZ271&gt;=115%,115%,AZ271) + IF(AX271&gt;=115%,115%,AX271) + IF(AY271&gt;=115%,115%,AY271) + (IF(AW271&gt;=115%,115%,AW271) + IF(BA271&gt;=115%,115%,BA271) + IF(BB271&gt;=115%,115%,BB271) + IF(BC271&gt;=115%,115%,BC271) + IF(BD271&gt;=115%,115%,BD271) + IF(BE271&gt;=115%,115%,BE271) + IF(BF271&gt;=115%,115%,BF271) + IF(BG271&gt;=115%,115%,BG271) + IF(BH271&gt;=115%,115%,BH271)))/_xlfn.XLOOKUP(F271,Apuração!A:A,Apuração!B:B)))</f>
        <v>0</v>
      </c>
      <c r="BL271" s="58" cm="1">
        <f t="array" aca="1" ref="BL271" ca="1">IF(SUM(IFERROR(IF(INDEX(AW271:INDEX(AW271:BH271, MATCH(2, 1/(AW271:BH271&lt;&gt;""), 1)-1), ROW(INDIRECT("1:" &amp; MATCH(2, 1/(AW271:BH271&lt;&gt;""), 1)-1))) &gt;= 115%, 115%, INDEX(AW271:INDEX(AW271:BH271, MATCH(2, 1/(AW271:BH271&lt;&gt;""), 1)-1), ROW(INDIRECT("1:" &amp; MATCH(2, 1/(AW271:BH271&lt;&gt;""), 1)-1)))), 0))/_xlfn.XLOOKUP(F271,Apuração!A:A,Apuração!B:B)&gt;=1.15,1.15,SUM(IFERROR(IF(INDEX(AW271:INDEX(AW271:BH271, MATCH(2, 1/(AW271:BH271&lt;&gt;""), 1)-1), ROW(INDIRECT("1:" &amp; MATCH(2, 1/(AW271:BH271&lt;&gt;""), 1)-1))) &gt;= 115%, 115%, INDEX(AW271:INDEX(AW271:BH271, MATCH(2, 1/(AW271:BH271&lt;&gt;""), 1)-1), ROW(INDIRECT("1:" &amp; MATCH(2, 1/(AW271:BH271&lt;&gt;""), 1)-1)))), 0))/_xlfn.XLOOKUP(F271,Apuração!A:A,Apuração!B:B))</f>
        <v>0</v>
      </c>
      <c r="BM271" s="55" cm="1">
        <f t="array" ref="BM271">IFERROR(
   INDEX($AW$1:$BH$1,
      _xlfn.AGGREGATE(14, 6, COLUMN($AW$1:$BH$1)/(AW271:BH271&lt;&gt;""), 2) - COLUMN($AW$1) + 1
   ),
"")</f>
        <v>46082</v>
      </c>
      <c r="BN271" s="55" cm="1">
        <f t="array" ref="BN271">IFERROR(INDEX($AW$1:$BH$1,1,MATCH(2,1/(AW271:BH271&lt;&gt;""))),"")</f>
        <v>46113</v>
      </c>
      <c r="BO271" s="53">
        <f ca="1">IFERROR(_xlfn.XLOOKUP(F271,Apuração!A:A,Apuração!C:C)/_xlfn.XLOOKUP(F271,Apuração!A:A,Apuração!B:B),0)</f>
        <v>0</v>
      </c>
      <c r="BP271" s="53">
        <f ca="1">IFERROR(_xlfn.XLOOKUP(F271,Apuração!A:A,Apuração!D:D)/_xlfn.XLOOKUP(F271,Apuração!A:A,Apuração!B:B),0)</f>
        <v>0</v>
      </c>
      <c r="BQ271" s="53">
        <f ca="1">IF(BK271&gt;=BO271,0,_xlfn.XLOOKUP(F271,Apuração!A:A,Apuração!B:B)*(BO271 + (1/_xlfn.XLOOKUP(F271,Apuração!A:A,Apuração!B:B)) - BK271))</f>
        <v>0</v>
      </c>
      <c r="BR271" s="85">
        <f t="shared" ca="1" si="494"/>
        <v>0</v>
      </c>
      <c r="BS271" s="53">
        <f ca="1">IFERROR((_xlfn.XLOOKUP(F271,Apuração!A:A,Apuração!C:C)+1)/_xlfn.XLOOKUP(F271,Apuração!A:A,Apuração!B:B),0)</f>
        <v>0.14285714285714285</v>
      </c>
    </row>
    <row r="272" spans="1:71" ht="25.95" hidden="1" customHeight="1" x14ac:dyDescent="0.3">
      <c r="A272" s="20" t="s">
        <v>87</v>
      </c>
      <c r="B272" s="4" t="s">
        <v>88</v>
      </c>
      <c r="C272" s="5" t="s">
        <v>216</v>
      </c>
      <c r="D272" s="5" t="s">
        <v>36</v>
      </c>
      <c r="E272" s="4" t="s">
        <v>96</v>
      </c>
      <c r="F272" s="4" t="str" cm="1">
        <f t="array" ref="F272">_xlfn.IFS(
AG272 &lt;&gt; "", "Jan-Dez/26",
AH272 &lt;&gt; "", "Fev-Dez/26",
AI272 &lt;&gt; "", "Mar-Dez/26", AJ272 &lt;&gt; "", "Abr-Dez/26",
TRUE, "A partir de Junho"
)</f>
        <v>A partir de Junho</v>
      </c>
      <c r="G272" s="4" t="s">
        <v>62</v>
      </c>
      <c r="H272" s="7" t="s">
        <v>38</v>
      </c>
      <c r="I272" s="9" t="s">
        <v>89</v>
      </c>
      <c r="J272" s="21" t="str" cm="1">
        <f t="array" aca="1" ref="J272" ca="1">_xlfn.LET(
  _xlpm.actual_value_month, INDEX(T272:AE272, MATCH(DATE(YEAR(TODAY()), MONTH(TODAY()), 1), $T$1:$AE$1, 0)),
  IF(_xlpm.actual_value_month &lt;&gt; "",_xlpm.actual_value_month &amp; " ações mensais", "")
)</f>
        <v/>
      </c>
      <c r="K272" s="8" t="str" cm="1">
        <f t="array" ref="K272">_xlfn.LET(
    _xlpm.sum_month, SUM(T272:AE272),
    IF(_xlpm.sum_month = 0, "", _xlpm.sum_month &amp; " certificados gerados no ano")
)</f>
        <v/>
      </c>
      <c r="L272" s="4" t="s">
        <v>90</v>
      </c>
      <c r="M272" s="19"/>
      <c r="N272" s="5" t="s">
        <v>42</v>
      </c>
      <c r="O272" s="5"/>
      <c r="P272" s="10"/>
      <c r="Q272" s="10"/>
      <c r="R272" s="10"/>
      <c r="S272" s="10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94">
        <f t="shared" ca="1" si="559"/>
        <v>0</v>
      </c>
      <c r="AT272" s="95" t="str" cm="1">
        <f t="array" ref="AT272">IFERROR(INDEX(AJ272:AR272,1,MATCH(2,1/(AJ272:AR272&lt;&gt;""))),"")</f>
        <v/>
      </c>
      <c r="AU272" s="97" t="str">
        <f t="shared" si="560"/>
        <v/>
      </c>
      <c r="AW272" s="51">
        <f>IFERROR(IF(AG272="",0,AG272/T272),0)</f>
        <v>0</v>
      </c>
      <c r="AX272" s="51">
        <f>IFERROR(IF(AH272="",0,AH272/U272),0)</f>
        <v>0</v>
      </c>
      <c r="AY272" s="51">
        <f>IFERROR(IF(AI272="",0,AI272/V272),0)</f>
        <v>0</v>
      </c>
      <c r="AZ272" s="51">
        <f>IFERROR(IF(AJ272="",0,AJ272/W272),0)</f>
        <v>0</v>
      </c>
      <c r="BA272" s="51"/>
      <c r="BB272" s="51"/>
      <c r="BC272" s="51"/>
      <c r="BD272" s="51"/>
      <c r="BE272" s="51"/>
      <c r="BF272" s="51"/>
      <c r="BG272" s="51"/>
      <c r="BH272" s="51"/>
      <c r="BI272" s="65" cm="1">
        <f t="array" ref="BI272">IFERROR(INDEX(AW272:BH272,1,MATCH(2,1/(AW272:BH272&lt;&gt;""))),"")</f>
        <v>0</v>
      </c>
      <c r="BJ272" s="68" cm="1">
        <f t="array" ref="BJ272">IF(BM272 = "", "",IFERROR(INDEX(AW272:BH272,1,MATCH(2,1/(AW272:BH272&lt;&gt;""),1)-1),""))</f>
        <v>0</v>
      </c>
      <c r="BK272" s="58">
        <f>IF((IF(AW272&gt;=115%,115%,AW272) + IF(AX272&gt;=115%,115%,AX272) + IF(AY272&gt;=115%,115%,AY272) + (IF(AZ272&gt;=115%,115%,AZ272) + IF(BA272&gt;=115%,115%,BA272) + IF(BB272&gt;=115%,115%,BB272) + IF(BC272&gt;=115%,115%,BC272) + IF(BD272&gt;=115%,115%,BD272) + IF(BE272&gt;=115%,115%,BE272) + IF(BF272&gt;=115%,115%,BF272) + IF(BG272&gt;=115%,115%,BG272) + IF(BH272&gt;=115%,115%,BH272)))/_xlfn.XLOOKUP(F272,Apuração!A:A,Apuração!B:B)&gt;=1.15,1.15,((IF(AZ272&gt;=115%,115%,AZ272) + IF(AX272&gt;=115%,115%,AX272) + IF(AY272&gt;=115%,115%,AY272) + (IF(AW272&gt;=115%,115%,AW272) + IF(BA272&gt;=115%,115%,BA272) + IF(BB272&gt;=115%,115%,BB272) + IF(BC272&gt;=115%,115%,BC272) + IF(BD272&gt;=115%,115%,BD272) + IF(BE272&gt;=115%,115%,BE272) + IF(BF272&gt;=115%,115%,BF272) + IF(BG272&gt;=115%,115%,BG272) + IF(BH272&gt;=115%,115%,BH272)))/_xlfn.XLOOKUP(F272,Apuração!A:A,Apuração!B:B)))</f>
        <v>0</v>
      </c>
      <c r="BL272" s="58" cm="1">
        <f t="array" aca="1" ref="BL272" ca="1">IF(SUM(IFERROR(IF(INDEX(AW272:INDEX(AW272:BH272, MATCH(2, 1/(AW272:BH272&lt;&gt;""), 1)-1), ROW(INDIRECT("1:" &amp; MATCH(2, 1/(AW272:BH272&lt;&gt;""), 1)-1))) &gt;= 115%, 115%, INDEX(AW272:INDEX(AW272:BH272, MATCH(2, 1/(AW272:BH272&lt;&gt;""), 1)-1), ROW(INDIRECT("1:" &amp; MATCH(2, 1/(AW272:BH272&lt;&gt;""), 1)-1)))), 0))/_xlfn.XLOOKUP(F272,Apuração!A:A,Apuração!B:B)&gt;=1.15,1.15,SUM(IFERROR(IF(INDEX(AW272:INDEX(AW272:BH272, MATCH(2, 1/(AW272:BH272&lt;&gt;""), 1)-1), ROW(INDIRECT("1:" &amp; MATCH(2, 1/(AW272:BH272&lt;&gt;""), 1)-1))) &gt;= 115%, 115%, INDEX(AW272:INDEX(AW272:BH272, MATCH(2, 1/(AW272:BH272&lt;&gt;""), 1)-1), ROW(INDIRECT("1:" &amp; MATCH(2, 1/(AW272:BH272&lt;&gt;""), 1)-1)))), 0))/_xlfn.XLOOKUP(F272,Apuração!A:A,Apuração!B:B))</f>
        <v>0</v>
      </c>
      <c r="BM272" s="55" cm="1">
        <f t="array" ref="BM272">IFERROR(
   INDEX($AW$1:$BH$1,
      _xlfn.AGGREGATE(14, 6, COLUMN($AW$1:$BH$1)/(AW272:BH272&lt;&gt;""), 2) - COLUMN($AW$1) + 1
   ),
"")</f>
        <v>46082</v>
      </c>
      <c r="BN272" s="55" cm="1">
        <f t="array" ref="BN272">IFERROR(INDEX($AW$1:$BH$1,1,MATCH(2,1/(AW272:BH272&lt;&gt;""))),"")</f>
        <v>46113</v>
      </c>
      <c r="BO272" s="53">
        <f ca="1">IFERROR(_xlfn.XLOOKUP(F272,Apuração!A:A,Apuração!C:C)/_xlfn.XLOOKUP(F272,Apuração!A:A,Apuração!B:B),0)</f>
        <v>0</v>
      </c>
      <c r="BP272" s="53">
        <f ca="1">IFERROR(_xlfn.XLOOKUP(F272,Apuração!A:A,Apuração!D:D)/_xlfn.XLOOKUP(F272,Apuração!A:A,Apuração!B:B),0)</f>
        <v>0</v>
      </c>
      <c r="BQ272" s="53">
        <f ca="1">IF(BK272&gt;=BO272,0,_xlfn.XLOOKUP(F272,Apuração!A:A,Apuração!B:B)*(BO272 + (1/_xlfn.XLOOKUP(F272,Apuração!A:A,Apuração!B:B)) - BK272))</f>
        <v>0</v>
      </c>
      <c r="BR272" s="85">
        <f t="shared" ref="BR272:BR277" ca="1" si="597">IF(BQ272=0,0,BQ272*Z272)</f>
        <v>0</v>
      </c>
      <c r="BS272" s="53">
        <f ca="1">IFERROR((_xlfn.XLOOKUP(F272,Apuração!A:A,Apuração!C:C)+1)/_xlfn.XLOOKUP(F272,Apuração!A:A,Apuração!B:B),0)</f>
        <v>0.14285714285714285</v>
      </c>
    </row>
    <row r="273" spans="1:71" ht="25.95" hidden="1" customHeight="1" x14ac:dyDescent="0.3">
      <c r="A273" s="20" t="s">
        <v>87</v>
      </c>
      <c r="B273" s="4" t="s">
        <v>88</v>
      </c>
      <c r="C273" s="5" t="s">
        <v>216</v>
      </c>
      <c r="D273" s="5" t="s">
        <v>217</v>
      </c>
      <c r="E273" s="4" t="s">
        <v>96</v>
      </c>
      <c r="F273" s="4" t="str" cm="1">
        <f t="array" ref="F273">_xlfn.IFS(
AG273 &lt;&gt; "", "Jan-Dez/26",
AH273 &lt;&gt; "", "Fev-Dez/26",
AI273 &lt;&gt; "", "Mar-Dez/26", AJ273 &lt;&gt; "", "Abr-Dez/26",
TRUE, "A partir de Junho"
)</f>
        <v>A partir de Junho</v>
      </c>
      <c r="G273" s="4" t="s">
        <v>62</v>
      </c>
      <c r="H273" s="7" t="s">
        <v>38</v>
      </c>
      <c r="I273" s="9" t="s">
        <v>89</v>
      </c>
      <c r="J273" s="21" t="str" cm="1">
        <f t="array" aca="1" ref="J273" ca="1">_xlfn.LET(
  _xlpm.actual_value_month, INDEX(T273:AE273, MATCH(DATE(YEAR(TODAY()), MONTH(TODAY()), 1), $T$1:$AE$1, 0)),
  IF(_xlpm.actual_value_month &lt;&gt; "",_xlpm.actual_value_month &amp; " ações mensais", "")
)</f>
        <v/>
      </c>
      <c r="K273" s="8" t="str" cm="1">
        <f t="array" ref="K273">_xlfn.LET(
    _xlpm.sum_month, SUM(T273:AE273),
    IF(_xlpm.sum_month = 0, "", _xlpm.sum_month &amp; " certificados gerados no ano")
)</f>
        <v/>
      </c>
      <c r="L273" s="4" t="s">
        <v>90</v>
      </c>
      <c r="M273" s="19"/>
      <c r="N273" s="5" t="s">
        <v>42</v>
      </c>
      <c r="O273" s="5"/>
      <c r="P273" s="10"/>
      <c r="Q273" s="10"/>
      <c r="R273" s="10"/>
      <c r="S273" s="10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94">
        <f t="shared" ref="AS273:AS276" ca="1" si="598">AE273*BO273</f>
        <v>0</v>
      </c>
      <c r="AT273" s="95" t="str" cm="1">
        <f t="array" ref="AT273">IFERROR(INDEX(AJ273:AR273,1,MATCH(2,1/(AJ273:AR273&lt;&gt;""))),"")</f>
        <v/>
      </c>
      <c r="AU273" s="97" t="str">
        <f t="shared" ref="AU273:AU276" si="599">AT273</f>
        <v/>
      </c>
      <c r="AW273" s="51">
        <f t="shared" ref="AW273:AW276" si="600">IFERROR(IF(AG273="",0,AG273/T273),0)</f>
        <v>0</v>
      </c>
      <c r="AX273" s="51">
        <f t="shared" ref="AX273:AX276" si="601">IFERROR(IF(AH273="",0,AH273/U273),0)</f>
        <v>0</v>
      </c>
      <c r="AY273" s="51">
        <f t="shared" ref="AY273:AY276" si="602">IFERROR(IF(AI273="",0,AI273/V273),0)</f>
        <v>0</v>
      </c>
      <c r="AZ273" s="51">
        <f t="shared" ref="AZ273:AZ276" si="603">IFERROR(IF(AJ273="",0,AJ273/W273),0)</f>
        <v>0</v>
      </c>
      <c r="BA273" s="51"/>
      <c r="BB273" s="51"/>
      <c r="BC273" s="51"/>
      <c r="BD273" s="51"/>
      <c r="BE273" s="51"/>
      <c r="BF273" s="51"/>
      <c r="BG273" s="51"/>
      <c r="BH273" s="51"/>
      <c r="BI273" s="65" cm="1">
        <f t="array" ref="BI273">IFERROR(INDEX(AW273:BH273,1,MATCH(2,1/(AW273:BH273&lt;&gt;""))),"")</f>
        <v>0</v>
      </c>
      <c r="BJ273" s="68" cm="1">
        <f t="array" ref="BJ273">IF(BM273 = "", "",IFERROR(INDEX(AW273:BH273,1,MATCH(2,1/(AW273:BH273&lt;&gt;""),1)-1),""))</f>
        <v>0</v>
      </c>
      <c r="BK273" s="58">
        <f>IF((IF(AW273&gt;=115%,115%,AW273) + IF(AX273&gt;=115%,115%,AX273) + IF(AY273&gt;=115%,115%,AY273) + (IF(AZ273&gt;=115%,115%,AZ273) + IF(BA273&gt;=115%,115%,BA273) + IF(BB273&gt;=115%,115%,BB273) + IF(BC273&gt;=115%,115%,BC273) + IF(BD273&gt;=115%,115%,BD273) + IF(BE273&gt;=115%,115%,BE273) + IF(BF273&gt;=115%,115%,BF273) + IF(BG273&gt;=115%,115%,BG273) + IF(BH273&gt;=115%,115%,BH273)))/_xlfn.XLOOKUP(F273,Apuração!A:A,Apuração!B:B)&gt;=1.15,1.15,((IF(AZ273&gt;=115%,115%,AZ273) + IF(AX273&gt;=115%,115%,AX273) + IF(AY273&gt;=115%,115%,AY273) + (IF(AW273&gt;=115%,115%,AW273) + IF(BA273&gt;=115%,115%,BA273) + IF(BB273&gt;=115%,115%,BB273) + IF(BC273&gt;=115%,115%,BC273) + IF(BD273&gt;=115%,115%,BD273) + IF(BE273&gt;=115%,115%,BE273) + IF(BF273&gt;=115%,115%,BF273) + IF(BG273&gt;=115%,115%,BG273) + IF(BH273&gt;=115%,115%,BH273)))/_xlfn.XLOOKUP(F273,Apuração!A:A,Apuração!B:B)))</f>
        <v>0</v>
      </c>
      <c r="BL273" s="58" cm="1">
        <f t="array" aca="1" ref="BL273" ca="1">IF(SUM(IFERROR(IF(INDEX(AW273:INDEX(AW273:BH273, MATCH(2, 1/(AW273:BH273&lt;&gt;""), 1)-1), ROW(INDIRECT("1:" &amp; MATCH(2, 1/(AW273:BH273&lt;&gt;""), 1)-1))) &gt;= 115%, 115%, INDEX(AW273:INDEX(AW273:BH273, MATCH(2, 1/(AW273:BH273&lt;&gt;""), 1)-1), ROW(INDIRECT("1:" &amp; MATCH(2, 1/(AW273:BH273&lt;&gt;""), 1)-1)))), 0))/_xlfn.XLOOKUP(F273,Apuração!A:A,Apuração!B:B)&gt;=1.15,1.15,SUM(IFERROR(IF(INDEX(AW273:INDEX(AW273:BH273, MATCH(2, 1/(AW273:BH273&lt;&gt;""), 1)-1), ROW(INDIRECT("1:" &amp; MATCH(2, 1/(AW273:BH273&lt;&gt;""), 1)-1))) &gt;= 115%, 115%, INDEX(AW273:INDEX(AW273:BH273, MATCH(2, 1/(AW273:BH273&lt;&gt;""), 1)-1), ROW(INDIRECT("1:" &amp; MATCH(2, 1/(AW273:BH273&lt;&gt;""), 1)-1)))), 0))/_xlfn.XLOOKUP(F273,Apuração!A:A,Apuração!B:B))</f>
        <v>0</v>
      </c>
      <c r="BM273" s="55" cm="1">
        <f t="array" ref="BM273">IFERROR(
   INDEX($AW$1:$BH$1,
      _xlfn.AGGREGATE(14, 6, COLUMN($AW$1:$BH$1)/(AW273:BH273&lt;&gt;""), 2) - COLUMN($AW$1) + 1
   ),
"")</f>
        <v>46082</v>
      </c>
      <c r="BN273" s="55" cm="1">
        <f t="array" ref="BN273">IFERROR(INDEX($AW$1:$BH$1,1,MATCH(2,1/(AW273:BH273&lt;&gt;""))),"")</f>
        <v>46113</v>
      </c>
      <c r="BO273" s="53">
        <f ca="1">IFERROR(_xlfn.XLOOKUP(F273,Apuração!A:A,Apuração!C:C)/_xlfn.XLOOKUP(F273,Apuração!A:A,Apuração!B:B),0)</f>
        <v>0</v>
      </c>
      <c r="BP273" s="53">
        <f ca="1">IFERROR(_xlfn.XLOOKUP(F273,Apuração!A:A,Apuração!D:D)/_xlfn.XLOOKUP(F273,Apuração!A:A,Apuração!B:B),0)</f>
        <v>0</v>
      </c>
      <c r="BQ273" s="53">
        <f ca="1">IF(BK273&gt;=BO273,0,_xlfn.XLOOKUP(F273,Apuração!A:A,Apuração!B:B)*(BO273 + (1/_xlfn.XLOOKUP(F273,Apuração!A:A,Apuração!B:B)) - BK273))</f>
        <v>0</v>
      </c>
      <c r="BR273" s="85">
        <f t="shared" ref="BR273:BR276" ca="1" si="604">IF(BQ273=0,0,BQ273*Z273)</f>
        <v>0</v>
      </c>
      <c r="BS273" s="53">
        <f ca="1">IFERROR((_xlfn.XLOOKUP(F273,Apuração!A:A,Apuração!C:C)+1)/_xlfn.XLOOKUP(F273,Apuração!A:A,Apuração!B:B),0)</f>
        <v>0.14285714285714285</v>
      </c>
    </row>
    <row r="274" spans="1:71" ht="25.95" hidden="1" customHeight="1" x14ac:dyDescent="0.3">
      <c r="A274" s="20" t="s">
        <v>87</v>
      </c>
      <c r="B274" s="4" t="s">
        <v>88</v>
      </c>
      <c r="C274" s="5" t="s">
        <v>216</v>
      </c>
      <c r="D274" s="5" t="s">
        <v>103</v>
      </c>
      <c r="E274" s="4" t="s">
        <v>96</v>
      </c>
      <c r="F274" s="4" t="str" cm="1">
        <f t="array" ref="F274">_xlfn.IFS(
AG274 &lt;&gt; "", "Jan-Dez/26",
AH274 &lt;&gt; "", "Fev-Dez/26",
AI274 &lt;&gt; "", "Mar-Dez/26", AJ274 &lt;&gt; "", "Abr-Dez/26",
TRUE, "A partir de Junho"
)</f>
        <v>A partir de Junho</v>
      </c>
      <c r="G274" s="4" t="s">
        <v>62</v>
      </c>
      <c r="H274" s="7" t="s">
        <v>38</v>
      </c>
      <c r="I274" s="9" t="s">
        <v>89</v>
      </c>
      <c r="J274" s="21" t="str" cm="1">
        <f t="array" aca="1" ref="J274" ca="1">_xlfn.LET(
  _xlpm.actual_value_month, INDEX(T274:AE274, MATCH(DATE(YEAR(TODAY()), MONTH(TODAY()), 1), $T$1:$AE$1, 0)),
  IF(_xlpm.actual_value_month &lt;&gt; "",_xlpm.actual_value_month &amp; " ações mensais", "")
)</f>
        <v/>
      </c>
      <c r="K274" s="8" t="str" cm="1">
        <f t="array" ref="K274">_xlfn.LET(
    _xlpm.sum_month, SUM(T274:AE274),
    IF(_xlpm.sum_month = 0, "", _xlpm.sum_month &amp; " certificados gerados no ano")
)</f>
        <v/>
      </c>
      <c r="L274" s="4" t="s">
        <v>90</v>
      </c>
      <c r="M274" s="19"/>
      <c r="N274" s="5" t="s">
        <v>42</v>
      </c>
      <c r="O274" s="5"/>
      <c r="P274" s="10"/>
      <c r="Q274" s="10"/>
      <c r="R274" s="10"/>
      <c r="S274" s="10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94">
        <f t="shared" ca="1" si="598"/>
        <v>0</v>
      </c>
      <c r="AT274" s="95" t="str" cm="1">
        <f t="array" ref="AT274">IFERROR(INDEX(AJ274:AR274,1,MATCH(2,1/(AJ274:AR274&lt;&gt;""))),"")</f>
        <v/>
      </c>
      <c r="AU274" s="97" t="str">
        <f t="shared" si="599"/>
        <v/>
      </c>
      <c r="AW274" s="51">
        <f t="shared" si="600"/>
        <v>0</v>
      </c>
      <c r="AX274" s="51">
        <f t="shared" si="601"/>
        <v>0</v>
      </c>
      <c r="AY274" s="51">
        <f t="shared" si="602"/>
        <v>0</v>
      </c>
      <c r="AZ274" s="51">
        <f t="shared" si="603"/>
        <v>0</v>
      </c>
      <c r="BA274" s="51"/>
      <c r="BB274" s="51"/>
      <c r="BC274" s="51"/>
      <c r="BD274" s="51"/>
      <c r="BE274" s="51"/>
      <c r="BF274" s="51"/>
      <c r="BG274" s="51"/>
      <c r="BH274" s="51"/>
      <c r="BI274" s="65" cm="1">
        <f t="array" ref="BI274">IFERROR(INDEX(AW274:BH274,1,MATCH(2,1/(AW274:BH274&lt;&gt;""))),"")</f>
        <v>0</v>
      </c>
      <c r="BJ274" s="68" cm="1">
        <f t="array" ref="BJ274">IF(BM274 = "", "",IFERROR(INDEX(AW274:BH274,1,MATCH(2,1/(AW274:BH274&lt;&gt;""),1)-1),""))</f>
        <v>0</v>
      </c>
      <c r="BK274" s="58">
        <f>IF((IF(AW274&gt;=115%,115%,AW274) + IF(AX274&gt;=115%,115%,AX274) + IF(AY274&gt;=115%,115%,AY274) + (IF(AZ274&gt;=115%,115%,AZ274) + IF(BA274&gt;=115%,115%,BA274) + IF(BB274&gt;=115%,115%,BB274) + IF(BC274&gt;=115%,115%,BC274) + IF(BD274&gt;=115%,115%,BD274) + IF(BE274&gt;=115%,115%,BE274) + IF(BF274&gt;=115%,115%,BF274) + IF(BG274&gt;=115%,115%,BG274) + IF(BH274&gt;=115%,115%,BH274)))/_xlfn.XLOOKUP(F274,Apuração!A:A,Apuração!B:B)&gt;=1.15,1.15,((IF(AZ274&gt;=115%,115%,AZ274) + IF(AX274&gt;=115%,115%,AX274) + IF(AY274&gt;=115%,115%,AY274) + (IF(AW274&gt;=115%,115%,AW274) + IF(BA274&gt;=115%,115%,BA274) + IF(BB274&gt;=115%,115%,BB274) + IF(BC274&gt;=115%,115%,BC274) + IF(BD274&gt;=115%,115%,BD274) + IF(BE274&gt;=115%,115%,BE274) + IF(BF274&gt;=115%,115%,BF274) + IF(BG274&gt;=115%,115%,BG274) + IF(BH274&gt;=115%,115%,BH274)))/_xlfn.XLOOKUP(F274,Apuração!A:A,Apuração!B:B)))</f>
        <v>0</v>
      </c>
      <c r="BL274" s="58" cm="1">
        <f t="array" aca="1" ref="BL274" ca="1">IF(SUM(IFERROR(IF(INDEX(AW274:INDEX(AW274:BH274, MATCH(2, 1/(AW274:BH274&lt;&gt;""), 1)-1), ROW(INDIRECT("1:" &amp; MATCH(2, 1/(AW274:BH274&lt;&gt;""), 1)-1))) &gt;= 115%, 115%, INDEX(AW274:INDEX(AW274:BH274, MATCH(2, 1/(AW274:BH274&lt;&gt;""), 1)-1), ROW(INDIRECT("1:" &amp; MATCH(2, 1/(AW274:BH274&lt;&gt;""), 1)-1)))), 0))/_xlfn.XLOOKUP(F274,Apuração!A:A,Apuração!B:B)&gt;=1.15,1.15,SUM(IFERROR(IF(INDEX(AW274:INDEX(AW274:BH274, MATCH(2, 1/(AW274:BH274&lt;&gt;""), 1)-1), ROW(INDIRECT("1:" &amp; MATCH(2, 1/(AW274:BH274&lt;&gt;""), 1)-1))) &gt;= 115%, 115%, INDEX(AW274:INDEX(AW274:BH274, MATCH(2, 1/(AW274:BH274&lt;&gt;""), 1)-1), ROW(INDIRECT("1:" &amp; MATCH(2, 1/(AW274:BH274&lt;&gt;""), 1)-1)))), 0))/_xlfn.XLOOKUP(F274,Apuração!A:A,Apuração!B:B))</f>
        <v>0</v>
      </c>
      <c r="BM274" s="55" cm="1">
        <f t="array" ref="BM274">IFERROR(
   INDEX($AW$1:$BH$1,
      _xlfn.AGGREGATE(14, 6, COLUMN($AW$1:$BH$1)/(AW274:BH274&lt;&gt;""), 2) - COLUMN($AW$1) + 1
   ),
"")</f>
        <v>46082</v>
      </c>
      <c r="BN274" s="55" cm="1">
        <f t="array" ref="BN274">IFERROR(INDEX($AW$1:$BH$1,1,MATCH(2,1/(AW274:BH274&lt;&gt;""))),"")</f>
        <v>46113</v>
      </c>
      <c r="BO274" s="53">
        <f ca="1">IFERROR(_xlfn.XLOOKUP(F274,Apuração!A:A,Apuração!C:C)/_xlfn.XLOOKUP(F274,Apuração!A:A,Apuração!B:B),0)</f>
        <v>0</v>
      </c>
      <c r="BP274" s="53">
        <f ca="1">IFERROR(_xlfn.XLOOKUP(F274,Apuração!A:A,Apuração!D:D)/_xlfn.XLOOKUP(F274,Apuração!A:A,Apuração!B:B),0)</f>
        <v>0</v>
      </c>
      <c r="BQ274" s="53">
        <f ca="1">IF(BK274&gt;=BO274,0,_xlfn.XLOOKUP(F274,Apuração!A:A,Apuração!B:B)*(BO274 + (1/_xlfn.XLOOKUP(F274,Apuração!A:A,Apuração!B:B)) - BK274))</f>
        <v>0</v>
      </c>
      <c r="BR274" s="85">
        <f t="shared" ca="1" si="604"/>
        <v>0</v>
      </c>
      <c r="BS274" s="53">
        <f ca="1">IFERROR((_xlfn.XLOOKUP(F274,Apuração!A:A,Apuração!C:C)+1)/_xlfn.XLOOKUP(F274,Apuração!A:A,Apuração!B:B),0)</f>
        <v>0.14285714285714285</v>
      </c>
    </row>
    <row r="275" spans="1:71" ht="25.95" hidden="1" customHeight="1" x14ac:dyDescent="0.3">
      <c r="A275" s="20" t="s">
        <v>87</v>
      </c>
      <c r="B275" s="4" t="s">
        <v>88</v>
      </c>
      <c r="C275" s="5" t="s">
        <v>216</v>
      </c>
      <c r="D275" s="5" t="s">
        <v>218</v>
      </c>
      <c r="E275" s="4" t="s">
        <v>96</v>
      </c>
      <c r="F275" s="4" t="str" cm="1">
        <f t="array" ref="F275">_xlfn.IFS(
AG275 &lt;&gt; "", "Jan-Dez/26",
AH275 &lt;&gt; "", "Fev-Dez/26",
AI275 &lt;&gt; "", "Mar-Dez/26", AJ275 &lt;&gt; "", "Abr-Dez/26",
TRUE, "A partir de Junho"
)</f>
        <v>A partir de Junho</v>
      </c>
      <c r="G275" s="4" t="s">
        <v>62</v>
      </c>
      <c r="H275" s="7" t="s">
        <v>38</v>
      </c>
      <c r="I275" s="9" t="s">
        <v>89</v>
      </c>
      <c r="J275" s="21" t="str" cm="1">
        <f t="array" aca="1" ref="J275" ca="1">_xlfn.LET(
  _xlpm.actual_value_month, INDEX(T275:AE275, MATCH(DATE(YEAR(TODAY()), MONTH(TODAY()), 1), $T$1:$AE$1, 0)),
  IF(_xlpm.actual_value_month &lt;&gt; "",_xlpm.actual_value_month &amp; " ações mensais", "")
)</f>
        <v/>
      </c>
      <c r="K275" s="8" t="str" cm="1">
        <f t="array" ref="K275">_xlfn.LET(
    _xlpm.sum_month, SUM(T275:AE275),
    IF(_xlpm.sum_month = 0, "", _xlpm.sum_month &amp; " certificados gerados no ano")
)</f>
        <v/>
      </c>
      <c r="L275" s="4" t="s">
        <v>90</v>
      </c>
      <c r="M275" s="19"/>
      <c r="N275" s="5" t="s">
        <v>42</v>
      </c>
      <c r="O275" s="5"/>
      <c r="P275" s="10"/>
      <c r="Q275" s="10"/>
      <c r="R275" s="10"/>
      <c r="S275" s="10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94">
        <f t="shared" ca="1" si="598"/>
        <v>0</v>
      </c>
      <c r="AT275" s="95" t="str" cm="1">
        <f t="array" ref="AT275">IFERROR(INDEX(AJ275:AR275,1,MATCH(2,1/(AJ275:AR275&lt;&gt;""))),"")</f>
        <v/>
      </c>
      <c r="AU275" s="97" t="str">
        <f t="shared" si="599"/>
        <v/>
      </c>
      <c r="AW275" s="51">
        <f t="shared" si="600"/>
        <v>0</v>
      </c>
      <c r="AX275" s="51">
        <f t="shared" si="601"/>
        <v>0</v>
      </c>
      <c r="AY275" s="51">
        <f t="shared" si="602"/>
        <v>0</v>
      </c>
      <c r="AZ275" s="51">
        <f t="shared" si="603"/>
        <v>0</v>
      </c>
      <c r="BA275" s="51"/>
      <c r="BB275" s="51"/>
      <c r="BC275" s="51"/>
      <c r="BD275" s="51"/>
      <c r="BE275" s="51"/>
      <c r="BF275" s="51"/>
      <c r="BG275" s="51"/>
      <c r="BH275" s="51"/>
      <c r="BI275" s="65" cm="1">
        <f t="array" ref="BI275">IFERROR(INDEX(AW275:BH275,1,MATCH(2,1/(AW275:BH275&lt;&gt;""))),"")</f>
        <v>0</v>
      </c>
      <c r="BJ275" s="68" cm="1">
        <f t="array" ref="BJ275">IF(BM275 = "", "",IFERROR(INDEX(AW275:BH275,1,MATCH(2,1/(AW275:BH275&lt;&gt;""),1)-1),""))</f>
        <v>0</v>
      </c>
      <c r="BK275" s="58">
        <f>IF((IF(AW275&gt;=115%,115%,AW275) + IF(AX275&gt;=115%,115%,AX275) + IF(AY275&gt;=115%,115%,AY275) + (IF(AZ275&gt;=115%,115%,AZ275) + IF(BA275&gt;=115%,115%,BA275) + IF(BB275&gt;=115%,115%,BB275) + IF(BC275&gt;=115%,115%,BC275) + IF(BD275&gt;=115%,115%,BD275) + IF(BE275&gt;=115%,115%,BE275) + IF(BF275&gt;=115%,115%,BF275) + IF(BG275&gt;=115%,115%,BG275) + IF(BH275&gt;=115%,115%,BH275)))/_xlfn.XLOOKUP(F275,Apuração!A:A,Apuração!B:B)&gt;=1.15,1.15,((IF(AZ275&gt;=115%,115%,AZ275) + IF(AX275&gt;=115%,115%,AX275) + IF(AY275&gt;=115%,115%,AY275) + (IF(AW275&gt;=115%,115%,AW275) + IF(BA275&gt;=115%,115%,BA275) + IF(BB275&gt;=115%,115%,BB275) + IF(BC275&gt;=115%,115%,BC275) + IF(BD275&gt;=115%,115%,BD275) + IF(BE275&gt;=115%,115%,BE275) + IF(BF275&gt;=115%,115%,BF275) + IF(BG275&gt;=115%,115%,BG275) + IF(BH275&gt;=115%,115%,BH275)))/_xlfn.XLOOKUP(F275,Apuração!A:A,Apuração!B:B)))</f>
        <v>0</v>
      </c>
      <c r="BL275" s="58" cm="1">
        <f t="array" aca="1" ref="BL275" ca="1">IF(SUM(IFERROR(IF(INDEX(AW275:INDEX(AW275:BH275, MATCH(2, 1/(AW275:BH275&lt;&gt;""), 1)-1), ROW(INDIRECT("1:" &amp; MATCH(2, 1/(AW275:BH275&lt;&gt;""), 1)-1))) &gt;= 115%, 115%, INDEX(AW275:INDEX(AW275:BH275, MATCH(2, 1/(AW275:BH275&lt;&gt;""), 1)-1), ROW(INDIRECT("1:" &amp; MATCH(2, 1/(AW275:BH275&lt;&gt;""), 1)-1)))), 0))/_xlfn.XLOOKUP(F275,Apuração!A:A,Apuração!B:B)&gt;=1.15,1.15,SUM(IFERROR(IF(INDEX(AW275:INDEX(AW275:BH275, MATCH(2, 1/(AW275:BH275&lt;&gt;""), 1)-1), ROW(INDIRECT("1:" &amp; MATCH(2, 1/(AW275:BH275&lt;&gt;""), 1)-1))) &gt;= 115%, 115%, INDEX(AW275:INDEX(AW275:BH275, MATCH(2, 1/(AW275:BH275&lt;&gt;""), 1)-1), ROW(INDIRECT("1:" &amp; MATCH(2, 1/(AW275:BH275&lt;&gt;""), 1)-1)))), 0))/_xlfn.XLOOKUP(F275,Apuração!A:A,Apuração!B:B))</f>
        <v>0</v>
      </c>
      <c r="BM275" s="55" cm="1">
        <f t="array" ref="BM275">IFERROR(
   INDEX($AW$1:$BH$1,
      _xlfn.AGGREGATE(14, 6, COLUMN($AW$1:$BH$1)/(AW275:BH275&lt;&gt;""), 2) - COLUMN($AW$1) + 1
   ),
"")</f>
        <v>46082</v>
      </c>
      <c r="BN275" s="55" cm="1">
        <f t="array" ref="BN275">IFERROR(INDEX($AW$1:$BH$1,1,MATCH(2,1/(AW275:BH275&lt;&gt;""))),"")</f>
        <v>46113</v>
      </c>
      <c r="BO275" s="53">
        <f ca="1">IFERROR(_xlfn.XLOOKUP(F275,Apuração!A:A,Apuração!C:C)/_xlfn.XLOOKUP(F275,Apuração!A:A,Apuração!B:B),0)</f>
        <v>0</v>
      </c>
      <c r="BP275" s="53">
        <f ca="1">IFERROR(_xlfn.XLOOKUP(F275,Apuração!A:A,Apuração!D:D)/_xlfn.XLOOKUP(F275,Apuração!A:A,Apuração!B:B),0)</f>
        <v>0</v>
      </c>
      <c r="BQ275" s="53">
        <f ca="1">IF(BK275&gt;=BO275,0,_xlfn.XLOOKUP(F275,Apuração!A:A,Apuração!B:B)*(BO275 + (1/_xlfn.XLOOKUP(F275,Apuração!A:A,Apuração!B:B)) - BK275))</f>
        <v>0</v>
      </c>
      <c r="BR275" s="85">
        <f t="shared" ca="1" si="604"/>
        <v>0</v>
      </c>
      <c r="BS275" s="53">
        <f ca="1">IFERROR((_xlfn.XLOOKUP(F275,Apuração!A:A,Apuração!C:C)+1)/_xlfn.XLOOKUP(F275,Apuração!A:A,Apuração!B:B),0)</f>
        <v>0.14285714285714285</v>
      </c>
    </row>
    <row r="276" spans="1:71" ht="25.95" hidden="1" customHeight="1" x14ac:dyDescent="0.3">
      <c r="A276" s="20" t="s">
        <v>87</v>
      </c>
      <c r="B276" s="4" t="s">
        <v>88</v>
      </c>
      <c r="C276" s="5" t="s">
        <v>216</v>
      </c>
      <c r="D276" s="5" t="s">
        <v>219</v>
      </c>
      <c r="E276" s="4" t="s">
        <v>96</v>
      </c>
      <c r="F276" s="4" t="str" cm="1">
        <f t="array" ref="F276">_xlfn.IFS(
AG276 &lt;&gt; "", "Jan-Dez/26",
AH276 &lt;&gt; "", "Fev-Dez/26",
AI276 &lt;&gt; "", "Mar-Dez/26", AJ276 &lt;&gt; "", "Abr-Dez/26",
TRUE, "A partir de Junho"
)</f>
        <v>A partir de Junho</v>
      </c>
      <c r="G276" s="4" t="s">
        <v>62</v>
      </c>
      <c r="H276" s="7" t="s">
        <v>38</v>
      </c>
      <c r="I276" s="9" t="s">
        <v>89</v>
      </c>
      <c r="J276" s="21" t="str" cm="1">
        <f t="array" aca="1" ref="J276" ca="1">_xlfn.LET(
  _xlpm.actual_value_month, INDEX(T276:AE276, MATCH(DATE(YEAR(TODAY()), MONTH(TODAY()), 1), $T$1:$AE$1, 0)),
  IF(_xlpm.actual_value_month &lt;&gt; "",_xlpm.actual_value_month &amp; " ações mensais", "")
)</f>
        <v/>
      </c>
      <c r="K276" s="8" t="str" cm="1">
        <f t="array" ref="K276">_xlfn.LET(
    _xlpm.sum_month, SUM(T276:AE276),
    IF(_xlpm.sum_month = 0, "", _xlpm.sum_month &amp; " certificados gerados no ano")
)</f>
        <v/>
      </c>
      <c r="L276" s="4" t="s">
        <v>90</v>
      </c>
      <c r="M276" s="19"/>
      <c r="N276" s="5" t="s">
        <v>42</v>
      </c>
      <c r="O276" s="5"/>
      <c r="P276" s="10"/>
      <c r="Q276" s="10"/>
      <c r="R276" s="10"/>
      <c r="S276" s="10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94">
        <f t="shared" ca="1" si="598"/>
        <v>0</v>
      </c>
      <c r="AT276" s="95" t="str" cm="1">
        <f t="array" ref="AT276">IFERROR(INDEX(AJ276:AR276,1,MATCH(2,1/(AJ276:AR276&lt;&gt;""))),"")</f>
        <v/>
      </c>
      <c r="AU276" s="97" t="str">
        <f t="shared" si="599"/>
        <v/>
      </c>
      <c r="AW276" s="51">
        <f t="shared" si="600"/>
        <v>0</v>
      </c>
      <c r="AX276" s="51">
        <f t="shared" si="601"/>
        <v>0</v>
      </c>
      <c r="AY276" s="51">
        <f t="shared" si="602"/>
        <v>0</v>
      </c>
      <c r="AZ276" s="51">
        <f t="shared" si="603"/>
        <v>0</v>
      </c>
      <c r="BA276" s="51"/>
      <c r="BB276" s="51"/>
      <c r="BC276" s="51"/>
      <c r="BD276" s="51"/>
      <c r="BE276" s="51"/>
      <c r="BF276" s="51"/>
      <c r="BG276" s="51"/>
      <c r="BH276" s="51"/>
      <c r="BI276" s="65" cm="1">
        <f t="array" ref="BI276">IFERROR(INDEX(AW276:BH276,1,MATCH(2,1/(AW276:BH276&lt;&gt;""))),"")</f>
        <v>0</v>
      </c>
      <c r="BJ276" s="68" cm="1">
        <f t="array" ref="BJ276">IF(BM276 = "", "",IFERROR(INDEX(AW276:BH276,1,MATCH(2,1/(AW276:BH276&lt;&gt;""),1)-1),""))</f>
        <v>0</v>
      </c>
      <c r="BK276" s="58">
        <f>IF((IF(AW276&gt;=115%,115%,AW276) + IF(AX276&gt;=115%,115%,AX276) + IF(AY276&gt;=115%,115%,AY276) + (IF(AZ276&gt;=115%,115%,AZ276) + IF(BA276&gt;=115%,115%,BA276) + IF(BB276&gt;=115%,115%,BB276) + IF(BC276&gt;=115%,115%,BC276) + IF(BD276&gt;=115%,115%,BD276) + IF(BE276&gt;=115%,115%,BE276) + IF(BF276&gt;=115%,115%,BF276) + IF(BG276&gt;=115%,115%,BG276) + IF(BH276&gt;=115%,115%,BH276)))/_xlfn.XLOOKUP(F276,Apuração!A:A,Apuração!B:B)&gt;=1.15,1.15,((IF(AZ276&gt;=115%,115%,AZ276) + IF(AX276&gt;=115%,115%,AX276) + IF(AY276&gt;=115%,115%,AY276) + (IF(AW276&gt;=115%,115%,AW276) + IF(BA276&gt;=115%,115%,BA276) + IF(BB276&gt;=115%,115%,BB276) + IF(BC276&gt;=115%,115%,BC276) + IF(BD276&gt;=115%,115%,BD276) + IF(BE276&gt;=115%,115%,BE276) + IF(BF276&gt;=115%,115%,BF276) + IF(BG276&gt;=115%,115%,BG276) + IF(BH276&gt;=115%,115%,BH276)))/_xlfn.XLOOKUP(F276,Apuração!A:A,Apuração!B:B)))</f>
        <v>0</v>
      </c>
      <c r="BL276" s="58" cm="1">
        <f t="array" aca="1" ref="BL276" ca="1">IF(SUM(IFERROR(IF(INDEX(AW276:INDEX(AW276:BH276, MATCH(2, 1/(AW276:BH276&lt;&gt;""), 1)-1), ROW(INDIRECT("1:" &amp; MATCH(2, 1/(AW276:BH276&lt;&gt;""), 1)-1))) &gt;= 115%, 115%, INDEX(AW276:INDEX(AW276:BH276, MATCH(2, 1/(AW276:BH276&lt;&gt;""), 1)-1), ROW(INDIRECT("1:" &amp; MATCH(2, 1/(AW276:BH276&lt;&gt;""), 1)-1)))), 0))/_xlfn.XLOOKUP(F276,Apuração!A:A,Apuração!B:B)&gt;=1.15,1.15,SUM(IFERROR(IF(INDEX(AW276:INDEX(AW276:BH276, MATCH(2, 1/(AW276:BH276&lt;&gt;""), 1)-1), ROW(INDIRECT("1:" &amp; MATCH(2, 1/(AW276:BH276&lt;&gt;""), 1)-1))) &gt;= 115%, 115%, INDEX(AW276:INDEX(AW276:BH276, MATCH(2, 1/(AW276:BH276&lt;&gt;""), 1)-1), ROW(INDIRECT("1:" &amp; MATCH(2, 1/(AW276:BH276&lt;&gt;""), 1)-1)))), 0))/_xlfn.XLOOKUP(F276,Apuração!A:A,Apuração!B:B))</f>
        <v>0</v>
      </c>
      <c r="BM276" s="55" cm="1">
        <f t="array" ref="BM276">IFERROR(
   INDEX($AW$1:$BH$1,
      _xlfn.AGGREGATE(14, 6, COLUMN($AW$1:$BH$1)/(AW276:BH276&lt;&gt;""), 2) - COLUMN($AW$1) + 1
   ),
"")</f>
        <v>46082</v>
      </c>
      <c r="BN276" s="55" cm="1">
        <f t="array" ref="BN276">IFERROR(INDEX($AW$1:$BH$1,1,MATCH(2,1/(AW276:BH276&lt;&gt;""))),"")</f>
        <v>46113</v>
      </c>
      <c r="BO276" s="53">
        <f ca="1">IFERROR(_xlfn.XLOOKUP(F276,Apuração!A:A,Apuração!C:C)/_xlfn.XLOOKUP(F276,Apuração!A:A,Apuração!B:B),0)</f>
        <v>0</v>
      </c>
      <c r="BP276" s="53">
        <f ca="1">IFERROR(_xlfn.XLOOKUP(F276,Apuração!A:A,Apuração!D:D)/_xlfn.XLOOKUP(F276,Apuração!A:A,Apuração!B:B),0)</f>
        <v>0</v>
      </c>
      <c r="BQ276" s="53">
        <f ca="1">IF(BK276&gt;=BO276,0,_xlfn.XLOOKUP(F276,Apuração!A:A,Apuração!B:B)*(BO276 + (1/_xlfn.XLOOKUP(F276,Apuração!A:A,Apuração!B:B)) - BK276))</f>
        <v>0</v>
      </c>
      <c r="BR276" s="85">
        <f t="shared" ca="1" si="604"/>
        <v>0</v>
      </c>
      <c r="BS276" s="53">
        <f ca="1">IFERROR((_xlfn.XLOOKUP(F276,Apuração!A:A,Apuração!C:C)+1)/_xlfn.XLOOKUP(F276,Apuração!A:A,Apuração!B:B),0)</f>
        <v>0.14285714285714285</v>
      </c>
    </row>
    <row r="277" spans="1:71" ht="25.95" hidden="1" customHeight="1" x14ac:dyDescent="0.3">
      <c r="A277" s="40" t="s">
        <v>87</v>
      </c>
      <c r="B277" s="4" t="s">
        <v>88</v>
      </c>
      <c r="C277" s="5" t="s">
        <v>216</v>
      </c>
      <c r="D277" s="5" t="s">
        <v>36</v>
      </c>
      <c r="E277" s="4" t="s">
        <v>96</v>
      </c>
      <c r="F277" s="4" t="str" cm="1">
        <f t="array" ref="F277">_xlfn.IFS(
AG277 &lt;&gt; "", "Jan-Dez/26",
AH277 &lt;&gt; "", "Fev-Dez/26",
AI277 &lt;&gt; "", "Mar-Dez/26", AJ277 &lt;&gt; "", "Abr-Dez/26",
TRUE, "A partir de Junho"
)</f>
        <v>A partir de Junho</v>
      </c>
      <c r="G277" s="4" t="s">
        <v>62</v>
      </c>
      <c r="H277" s="7" t="s">
        <v>38</v>
      </c>
      <c r="I277" s="9" t="s">
        <v>91</v>
      </c>
      <c r="J277" s="21" t="str" cm="1">
        <f t="array" aca="1" ref="J277" ca="1">_xlfn.LET(
  _xlpm.actual_value_month, INDEX(T277:AE277, MATCH(DATE(YEAR(TODAY()), MONTH(TODAY()), 1), $T$1:$AE$1, 0)),
  IF(_xlpm.actual_value_month &lt;&gt; "",_xlpm.actual_value_month &amp; " ações mensais", "")
)</f>
        <v/>
      </c>
      <c r="K277" s="8" t="str" cm="1">
        <f t="array" ref="K277">_xlfn.LET(
    _xlpm.sum_month, SUM(T277:AE277),
    IF(_xlpm.sum_month = 0, "", _xlpm.sum_month &amp; " certificados gerados no ano")
)</f>
        <v/>
      </c>
      <c r="L277" s="4" t="s">
        <v>92</v>
      </c>
      <c r="M277" s="19"/>
      <c r="N277" s="5" t="s">
        <v>51</v>
      </c>
      <c r="O277" s="5"/>
      <c r="P277" s="10"/>
      <c r="Q277" s="10"/>
      <c r="R277" s="10"/>
      <c r="S277" s="10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94">
        <f t="shared" ca="1" si="559"/>
        <v>0</v>
      </c>
      <c r="AT277" s="95" t="str" cm="1">
        <f t="array" ref="AT277">IFERROR(INDEX(AJ277:AR277,1,MATCH(2,1/(AJ277:AR277&lt;&gt;""))),"")</f>
        <v/>
      </c>
      <c r="AU277" s="97" t="str">
        <f t="shared" si="560"/>
        <v/>
      </c>
      <c r="AW277" s="83">
        <f>AG277</f>
        <v>0</v>
      </c>
      <c r="AX277" s="83">
        <f t="shared" ref="AX277:AX280" si="605">AH277</f>
        <v>0</v>
      </c>
      <c r="AY277" s="83">
        <f t="shared" ref="AY277:AY280" si="606">AI277</f>
        <v>0</v>
      </c>
      <c r="AZ277" s="83">
        <f t="shared" ref="AZ277:AZ280" si="607">AJ277</f>
        <v>0</v>
      </c>
      <c r="BA277" s="52"/>
      <c r="BB277" s="52"/>
      <c r="BC277" s="52"/>
      <c r="BD277" s="52"/>
      <c r="BE277" s="52"/>
      <c r="BF277" s="52"/>
      <c r="BG277" s="52"/>
      <c r="BH277" s="52"/>
      <c r="BI277" s="68" cm="1">
        <f t="array" ref="BI277">IFERROR(INDEX(AW277:BH277,1,MATCH(2,1/(AW277:BH277&lt;&gt;""))),"")</f>
        <v>0</v>
      </c>
      <c r="BJ277" s="68" cm="1">
        <f t="array" ref="BJ277">IF(BM277 = "", "",IFERROR(INDEX(AW277:BH277,1,MATCH(2,1/(AW277:BH277&lt;&gt;""),1)-1),""))</f>
        <v>0</v>
      </c>
      <c r="BK277" s="59">
        <f>SUM(AW277:BH277)</f>
        <v>0</v>
      </c>
      <c r="BL277" s="59" cm="1">
        <f t="array" ref="BL277">IFERROR(SUM(AW277:INDEX(AW277:BH277, MATCH(2, 1/(AW277:BH277&lt;&gt;""), 1) - 1))/_xlfn.XLOOKUP(F277,Apuração!A:A,Apuração!B:B),0)</f>
        <v>0</v>
      </c>
      <c r="BM277" s="55" cm="1">
        <f t="array" ref="BM277">IFERROR(
   INDEX($AW$1:$BH$1,
      _xlfn.AGGREGATE(14, 6, COLUMN($AW$1:$BH$1)/(AW277:BH277&lt;&gt;""), 2) - COLUMN($AW$1) + 1
   ),
"")</f>
        <v>46082</v>
      </c>
      <c r="BN277" s="55" cm="1">
        <f t="array" ref="BN277">IFERROR(INDEX($AW$1:$BH$1,1,MATCH(2,1/(AW277:BH277&lt;&gt;""))),"")</f>
        <v>46113</v>
      </c>
      <c r="BO277" s="53">
        <f ca="1">IFERROR(_xlfn.XLOOKUP(F277,Apuração!A:A,Apuração!C:C)/_xlfn.XLOOKUP(F277,Apuração!A:A,Apuração!B:B),0)</f>
        <v>0</v>
      </c>
      <c r="BP277" s="53">
        <f ca="1">IFERROR(_xlfn.XLOOKUP(F277,Apuração!A:A,Apuração!D:D)/_xlfn.XLOOKUP(F277,Apuração!A:A,Apuração!B:B),0)</f>
        <v>0</v>
      </c>
      <c r="BQ277" s="53">
        <f ca="1">IF(BK277&gt;=BO277,0,_xlfn.XLOOKUP(F277,Apuração!A:A,Apuração!B:B)*(BO277 + (1/_xlfn.XLOOKUP(F277,Apuração!A:A,Apuração!B:B)) - BK277))</f>
        <v>0</v>
      </c>
      <c r="BR277" s="85">
        <f t="shared" ca="1" si="597"/>
        <v>0</v>
      </c>
      <c r="BS277" s="53">
        <f ca="1">IFERROR((_xlfn.XLOOKUP(F277,Apuração!A:A,Apuração!C:C)+1)/_xlfn.XLOOKUP(F277,Apuração!A:A,Apuração!B:B),0)</f>
        <v>0.14285714285714285</v>
      </c>
    </row>
    <row r="278" spans="1:71" ht="25.95" hidden="1" customHeight="1" x14ac:dyDescent="0.3">
      <c r="A278" s="70" t="s">
        <v>108</v>
      </c>
      <c r="B278" s="4" t="s">
        <v>109</v>
      </c>
      <c r="C278" s="5" t="s">
        <v>95</v>
      </c>
      <c r="D278" s="5" t="s">
        <v>36</v>
      </c>
      <c r="E278" s="4" t="str" cm="1">
        <f t="array" ref="E278">_xlfn.IFS(
F278 = "A partir de Abril", "Aguardando Execução na Distribuidora",
A278 = "CAPACITAÇÃO", "Em execução no Corporativo",
TRUE, "Em Execução na Distribuidora"
)</f>
        <v>Em Execução na Distribuidora</v>
      </c>
      <c r="F278" s="4" t="str" cm="1">
        <f t="array" ref="F278">_xlfn.IFS(
AG278 &lt;&gt; "", "Jan-Dez/26",
AH278 &lt;&gt; "", "Fev-Dez/26",
AI278 &lt;&gt; "", "Mar-Dez/26", AJ278 &lt;&gt; "", "Abr-Dez/26",
TRUE, "A partir de Junho"
)</f>
        <v>Abr-Dez/26</v>
      </c>
      <c r="G278" s="4" t="s">
        <v>37</v>
      </c>
      <c r="H278" s="7" t="s">
        <v>110</v>
      </c>
      <c r="I278" s="8"/>
      <c r="J278" s="8" t="str" cm="1">
        <f t="array" aca="1" ref="J278" ca="1">_xlfn.LET(
  _xlpm.actual_value_month, INDEX(T278:AE278, MATCH(DATE(YEAR(TODAY()), MONTH(TODAY()), 1), $T$1:$AE$1, 0)),
  IF(_xlpm.actual_value_month &lt;&gt; "",_xlpm.actual_value_month &amp; " ações mensais", "")
)</f>
        <v/>
      </c>
      <c r="K278" s="8" t="str" cm="1">
        <f t="array" ref="K278">_xlfn.LET(
    _xlpm.sum_month, SUM(T278:AE278),
    IF(_xlpm.sum_month = 0, "", _xlpm.sum_month &amp; " veículos com telemetria no ano")
)</f>
        <v/>
      </c>
      <c r="L278" s="9" t="s">
        <v>111</v>
      </c>
      <c r="M278" s="13">
        <v>1</v>
      </c>
      <c r="N278" s="5" t="s">
        <v>51</v>
      </c>
      <c r="O278" s="5" t="s">
        <v>52</v>
      </c>
      <c r="P278" s="10" t="s">
        <v>44</v>
      </c>
      <c r="Q278" s="10" t="s">
        <v>44</v>
      </c>
      <c r="R278" s="11" t="s">
        <v>44</v>
      </c>
      <c r="S278" s="11" t="s">
        <v>44</v>
      </c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G278" s="71"/>
      <c r="AH278" s="71"/>
      <c r="AI278" s="71"/>
      <c r="AJ278" s="71">
        <v>121</v>
      </c>
      <c r="AK278" s="71"/>
      <c r="AL278" s="71"/>
      <c r="AM278" s="71"/>
      <c r="AN278" s="71"/>
      <c r="AO278" s="71"/>
      <c r="AP278" s="71"/>
      <c r="AQ278" s="71"/>
      <c r="AR278" s="71"/>
      <c r="AS278" s="94">
        <v>0</v>
      </c>
      <c r="AT278" s="95">
        <v>0</v>
      </c>
      <c r="AU278" s="97">
        <v>0</v>
      </c>
      <c r="AW278" s="83">
        <f t="shared" ref="AW278:AW280" si="608">AG278</f>
        <v>0</v>
      </c>
      <c r="AX278" s="83">
        <f t="shared" si="605"/>
        <v>0</v>
      </c>
      <c r="AY278" s="83">
        <f t="shared" si="606"/>
        <v>0</v>
      </c>
      <c r="AZ278" s="83">
        <f t="shared" si="607"/>
        <v>121</v>
      </c>
      <c r="BA278" s="52"/>
      <c r="BB278" s="52"/>
      <c r="BC278" s="52"/>
      <c r="BD278" s="52"/>
      <c r="BE278" s="52"/>
      <c r="BF278" s="52"/>
      <c r="BG278" s="52"/>
      <c r="BH278" s="52"/>
      <c r="BI278" s="68">
        <v>0</v>
      </c>
      <c r="BJ278" s="68">
        <v>0</v>
      </c>
      <c r="BK278" s="59">
        <v>0</v>
      </c>
      <c r="BL278" s="59">
        <v>0</v>
      </c>
      <c r="BM278" s="55">
        <v>46054</v>
      </c>
      <c r="BN278" s="55">
        <v>46082</v>
      </c>
      <c r="BO278" s="53">
        <v>0</v>
      </c>
      <c r="BP278" s="53">
        <v>0</v>
      </c>
      <c r="BQ278" s="53">
        <v>0</v>
      </c>
      <c r="BR278" s="85">
        <v>0</v>
      </c>
      <c r="BS278" s="53">
        <v>0.1111111111111111</v>
      </c>
    </row>
    <row r="279" spans="1:71" ht="25.95" hidden="1" customHeight="1" x14ac:dyDescent="0.3">
      <c r="A279" s="70" t="s">
        <v>108</v>
      </c>
      <c r="B279" s="4" t="s">
        <v>109</v>
      </c>
      <c r="C279" s="5" t="s">
        <v>95</v>
      </c>
      <c r="D279" s="5" t="s">
        <v>36</v>
      </c>
      <c r="E279" s="4" t="str" cm="1">
        <f t="array" ref="E279">_xlfn.IFS(
F279 = "A partir de Abril", "Aguardando Execução na Distribuidora",
A279 = "CAPACITAÇÃO", "Em execução no Corporativo",
TRUE, "Em Execução na Distribuidora"
)</f>
        <v>Em Execução na Distribuidora</v>
      </c>
      <c r="F279" s="4" t="str" cm="1">
        <f t="array" ref="F279">_xlfn.IFS(
AG279 &lt;&gt; "", "Jan-Dez/26",
AH279 &lt;&gt; "", "Fev-Dez/26",
AI279 &lt;&gt; "", "Mar-Dez/26", AJ279 &lt;&gt; "", "Abr-Dez/26",
TRUE, "A partir de Junho"
)</f>
        <v>Abr-Dez/26</v>
      </c>
      <c r="G279" s="4" t="s">
        <v>37</v>
      </c>
      <c r="H279" s="7" t="s">
        <v>110</v>
      </c>
      <c r="I279" s="8"/>
      <c r="J279" s="8" t="str" cm="1">
        <f t="array" aca="1" ref="J279" ca="1">_xlfn.LET(
  _xlpm.actual_value_month, INDEX(T279:AE279, MATCH(DATE(YEAR(TODAY()), MONTH(TODAY()), 1), $T$1:$AE$1, 0)),
  IF(_xlpm.actual_value_month &lt;&gt; "",_xlpm.actual_value_month &amp; " ações mensais", "")
)</f>
        <v/>
      </c>
      <c r="K279" s="8" t="str" cm="1">
        <f t="array" ref="K279">_xlfn.LET(
    _xlpm.sum_month, SUM(T279:AE279),
    IF(_xlpm.sum_month = 0, "", _xlpm.sum_month &amp; " telemetria implementada no ano")
)</f>
        <v/>
      </c>
      <c r="L279" s="9" t="s">
        <v>112</v>
      </c>
      <c r="M279" s="13">
        <v>1</v>
      </c>
      <c r="N279" s="5" t="s">
        <v>51</v>
      </c>
      <c r="O279" s="5" t="s">
        <v>43</v>
      </c>
      <c r="P279" s="10" t="s">
        <v>44</v>
      </c>
      <c r="Q279" s="10" t="s">
        <v>44</v>
      </c>
      <c r="R279" s="11" t="s">
        <v>44</v>
      </c>
      <c r="S279" s="11" t="s">
        <v>44</v>
      </c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G279" s="71"/>
      <c r="AH279" s="71"/>
      <c r="AI279" s="71"/>
      <c r="AJ279" s="71">
        <v>121</v>
      </c>
      <c r="AK279" s="71"/>
      <c r="AL279" s="71"/>
      <c r="AM279" s="71"/>
      <c r="AN279" s="71"/>
      <c r="AO279" s="71"/>
      <c r="AP279" s="71"/>
      <c r="AQ279" s="71"/>
      <c r="AR279" s="71"/>
      <c r="AS279" s="94">
        <v>0</v>
      </c>
      <c r="AT279" s="95">
        <v>0</v>
      </c>
      <c r="AU279" s="97">
        <v>0</v>
      </c>
      <c r="AW279" s="83">
        <f t="shared" si="608"/>
        <v>0</v>
      </c>
      <c r="AX279" s="83">
        <f t="shared" si="605"/>
        <v>0</v>
      </c>
      <c r="AY279" s="83">
        <f t="shared" si="606"/>
        <v>0</v>
      </c>
      <c r="AZ279" s="83">
        <f t="shared" si="607"/>
        <v>121</v>
      </c>
      <c r="BA279" s="52"/>
      <c r="BB279" s="52"/>
      <c r="BC279" s="52"/>
      <c r="BD279" s="52"/>
      <c r="BE279" s="52"/>
      <c r="BF279" s="52"/>
      <c r="BG279" s="52"/>
      <c r="BH279" s="52"/>
      <c r="BI279" s="68">
        <v>0</v>
      </c>
      <c r="BJ279" s="68">
        <v>0</v>
      </c>
      <c r="BK279" s="59">
        <v>0</v>
      </c>
      <c r="BL279" s="59">
        <v>0</v>
      </c>
      <c r="BM279" s="55">
        <v>46054</v>
      </c>
      <c r="BN279" s="55">
        <v>46082</v>
      </c>
      <c r="BO279" s="53">
        <v>0</v>
      </c>
      <c r="BP279" s="53">
        <v>0</v>
      </c>
      <c r="BQ279" s="53">
        <v>0</v>
      </c>
      <c r="BR279" s="85">
        <v>0</v>
      </c>
      <c r="BS279" s="53">
        <v>0.1111111111111111</v>
      </c>
    </row>
    <row r="280" spans="1:71" ht="25.95" hidden="1" customHeight="1" x14ac:dyDescent="0.3">
      <c r="A280" s="70" t="s">
        <v>108</v>
      </c>
      <c r="B280" s="4" t="s">
        <v>109</v>
      </c>
      <c r="C280" s="5" t="s">
        <v>95</v>
      </c>
      <c r="D280" s="5" t="s">
        <v>36</v>
      </c>
      <c r="E280" s="4" t="str" cm="1">
        <f t="array" ref="E280">_xlfn.IFS(
F280 = "A partir de Abril", "Aguardando Execução na Distribuidora",
A280 = "CAPACITAÇÃO", "Em execução no Corporativo",
TRUE, "Em Execução na Distribuidora"
)</f>
        <v>Em Execução na Distribuidora</v>
      </c>
      <c r="F280" s="4" t="str" cm="1">
        <f t="array" ref="F280">_xlfn.IFS(
AG280 &lt;&gt; "", "Jan-Dez/26",
AH280 &lt;&gt; "", "Fev-Dez/26",
AI280 &lt;&gt; "", "Mar-Dez/26", AJ280 &lt;&gt; "", "Abr-Dez/26",
TRUE, "A partir de Junho"
)</f>
        <v>Jan-Dez/26</v>
      </c>
      <c r="G280" s="4" t="s">
        <v>37</v>
      </c>
      <c r="H280" s="7" t="s">
        <v>110</v>
      </c>
      <c r="I280" s="8" t="s">
        <v>113</v>
      </c>
      <c r="J280" s="8" t="str" cm="1">
        <f t="array" aca="1" ref="J280" ca="1">_xlfn.LET(
  _xlpm.actual_value_month, INDEX(T280:AE280, MATCH(DATE(YEAR(TODAY()), MONTH(TODAY()), 1), $T$1:$AE$1, 0)),
  IF(_xlpm.actual_value_month &lt;&gt; "",_xlpm.actual_value_month &amp; " ações mensais", "")
)</f>
        <v/>
      </c>
      <c r="K280" s="8" t="str" cm="1">
        <f t="array" ref="K280">_xlfn.LET(
    _xlpm.sum_month, SUM(T280:AE280),
    IF(_xlpm.sum_month = 0, "", _xlpm.sum_month &amp; " empresas com a prática de controle de telemetria no ano")
)</f>
        <v/>
      </c>
      <c r="L280" s="9" t="s">
        <v>114</v>
      </c>
      <c r="M280" s="13">
        <v>1</v>
      </c>
      <c r="N280" s="5" t="s">
        <v>51</v>
      </c>
      <c r="O280" s="5" t="s">
        <v>52</v>
      </c>
      <c r="P280" s="10" t="s">
        <v>44</v>
      </c>
      <c r="Q280" s="10" t="s">
        <v>44</v>
      </c>
      <c r="R280" s="11" t="s">
        <v>44</v>
      </c>
      <c r="S280" s="11" t="s">
        <v>44</v>
      </c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G280" s="71">
        <v>1</v>
      </c>
      <c r="AH280" s="71">
        <v>1</v>
      </c>
      <c r="AI280" s="71">
        <v>1</v>
      </c>
      <c r="AJ280" s="71">
        <v>1</v>
      </c>
      <c r="AK280" s="71"/>
      <c r="AL280" s="71"/>
      <c r="AM280" s="71"/>
      <c r="AN280" s="71"/>
      <c r="AO280" s="71"/>
      <c r="AP280" s="71"/>
      <c r="AQ280" s="71"/>
      <c r="AR280" s="71"/>
      <c r="AS280" s="94">
        <f ca="1">IF(MONTH(TODAY())=3,SUM(T280:U280),IF(MONTH(TODAY())=4,SUM(T280:V280),IF(MONTH(TODAY())=5,SUM(T280:W280),IF(MONTH(TODAY())=6,SUM(T280:X280),IF(MONTH(TODAY())=7,SUM(T280:Y280),IF(MONTH(TODAY())=8,SUM(T280:Z280),IF(MONTH(TODAY())=9,SUM(T280:AA280),IF(MONTH(TODAY())=10,SUM(T280:AB280),IF(MONTH(TODAY())=11,SUM(T280:AC280),IF(MONTH(TODAY())=12,SUM(T280:AD280),IF(MONTH(TODAY())=1,SUM(T280:AE280),T280)))))))))))</f>
        <v>0</v>
      </c>
      <c r="AT280" s="95">
        <f>SUM(AG280:AR280)</f>
        <v>4</v>
      </c>
      <c r="AU280" s="97">
        <f>SUM(AG280:AR280)</f>
        <v>4</v>
      </c>
      <c r="AW280" s="83">
        <f t="shared" si="608"/>
        <v>1</v>
      </c>
      <c r="AX280" s="83">
        <f t="shared" si="605"/>
        <v>1</v>
      </c>
      <c r="AY280" s="83">
        <f t="shared" si="606"/>
        <v>1</v>
      </c>
      <c r="AZ280" s="83">
        <f t="shared" si="607"/>
        <v>1</v>
      </c>
      <c r="BA280" s="52"/>
      <c r="BB280" s="52"/>
      <c r="BC280" s="52"/>
      <c r="BD280" s="52"/>
      <c r="BE280" s="52"/>
      <c r="BF280" s="52"/>
      <c r="BG280" s="52"/>
      <c r="BH280" s="52"/>
      <c r="BI280" s="68" cm="1">
        <f t="array" ref="BI280">IFERROR(INDEX(AW280:BH280,1,MATCH(2,1/(AW280:BH280&lt;&gt;""))),"")</f>
        <v>1</v>
      </c>
      <c r="BJ280" s="68" cm="1">
        <f t="array" ref="BJ280">IF(BM280 = "", "",IFERROR(INDEX(AW280:BH280,1,MATCH(2,1/(AW280:BH280&lt;&gt;""),1)-1),""))</f>
        <v>1</v>
      </c>
      <c r="BK280" s="59">
        <f>SUM(AW280:BH280)</f>
        <v>4</v>
      </c>
      <c r="BL280" s="59" cm="1">
        <f t="array" ref="BL280">IFERROR(SUM(AW280:INDEX(AW280:BH280, MATCH(2, 1/(AW280:BH280&lt;&gt;""), 1) - 1)),0)</f>
        <v>3</v>
      </c>
      <c r="BM280" s="55" cm="1">
        <f t="array" ref="BM280">IFERROR(
   INDEX($AW$1:$BH$1,
      _xlfn.AGGREGATE(14, 6, COLUMN($AW$1:$BH$1)/(AW280:BH280&lt;&gt;""), 2) - COLUMN($AW$1) + 1
   ),
"")</f>
        <v>46082</v>
      </c>
      <c r="BN280" s="55" cm="1">
        <f t="array" ref="BN280">IFERROR(INDEX($AW$1:$BH$1,1,MATCH(2,1/(AW280:BH280&lt;&gt;""))),"")</f>
        <v>46113</v>
      </c>
      <c r="BO280" s="53">
        <f ca="1">IFERROR(_xlfn.XLOOKUP(F280,Apuração!A:A,Apuração!C:C)/_xlfn.XLOOKUP(F280,Apuração!A:A,Apuração!B:B),0)</f>
        <v>0.41666666666666669</v>
      </c>
      <c r="BP280" s="53">
        <f ca="1">IFERROR(_xlfn.XLOOKUP(F280,Apuração!A:A,Apuração!D:D)/_xlfn.XLOOKUP(F280,Apuração!A:A,Apuração!B:B),0)</f>
        <v>0.33333333333333331</v>
      </c>
      <c r="BQ280" s="53">
        <f ca="1">IF(BK280&gt;=BO280,0,_xlfn.XLOOKUP(F280,Apuração!A:A,Apuração!B:B)*(BO280 + (1/_xlfn.XLOOKUP(F280,Apuração!A:A,Apuração!B:B)) - BK280))</f>
        <v>0</v>
      </c>
      <c r="BR280" s="85">
        <f t="shared" ref="BR280:BR311" ca="1" si="609">IF(BQ280=0,0,BQ280*Z280)</f>
        <v>0</v>
      </c>
      <c r="BS280" s="53">
        <f ca="1">IFERROR((_xlfn.XLOOKUP(F280,Apuração!A:A,Apuração!C:C)+1)/_xlfn.XLOOKUP(F280,Apuração!A:A,Apuração!B:B),0)</f>
        <v>0.5</v>
      </c>
    </row>
    <row r="281" spans="1:71" ht="25.95" hidden="1" customHeight="1" x14ac:dyDescent="0.3">
      <c r="A281" s="41" t="s">
        <v>108</v>
      </c>
      <c r="B281" s="4" t="s">
        <v>109</v>
      </c>
      <c r="C281" s="5" t="s">
        <v>95</v>
      </c>
      <c r="D281" s="5" t="s">
        <v>36</v>
      </c>
      <c r="E281" s="4" t="str" cm="1">
        <f t="array" ref="E281">_xlfn.IFS(
F281 = "A partir de Abril", "Aguardando Execução na Distribuidora",
A281 = "CAPACITAÇÃO", "Em execução no Corporativo",
TRUE, "Em Execução na Distribuidora"
)</f>
        <v>Em Execução na Distribuidora</v>
      </c>
      <c r="F281" s="4" t="str" cm="1">
        <f t="array" ref="F281">_xlfn.IFS(
AG281 &lt;&gt; "", "Jan-Dez/26",
AH281 &lt;&gt; "", "Fev-Dez/26",
AI281 &lt;&gt; "", "Mar-Dez/26", AJ281 &lt;&gt; "", "Abr-Dez/26",
TRUE, "A partir de Junho"
)</f>
        <v>Jan-Dez/26</v>
      </c>
      <c r="G281" s="4" t="s">
        <v>37</v>
      </c>
      <c r="H281" s="7" t="s">
        <v>110</v>
      </c>
      <c r="I281" s="4" t="s">
        <v>115</v>
      </c>
      <c r="J281" s="8" t="str" cm="1">
        <f t="array" aca="1" ref="J281" ca="1">_xlfn.LET(
  _xlpm.actual_value_month, INDEX(T281:AE281, MATCH(DATE(YEAR(TODAY()), MONTH(TODAY()), 1), $T$1:$AE$1, 0)),
  IF(_xlpm.actual_value_month &lt;&gt; "",_xlpm.actual_value_month &amp; " redução de notificações mensais", "")
)</f>
        <v>1998 redução de notificações mensais</v>
      </c>
      <c r="K281" s="8" t="str" cm="1">
        <f t="array" ref="K281">_xlfn.LET(
    _xlpm.sum_month, SUM(T281:AE281),
    IF(_xlpm.sum_month = 0, "", _xlpm.sum_month &amp; " taxa de redução das notificações de excesso de velocidade no ano")
)</f>
        <v>16022 taxa de redução das notificações de excesso de velocidade no ano</v>
      </c>
      <c r="L281" s="4" t="s">
        <v>116</v>
      </c>
      <c r="M281" s="4"/>
      <c r="N281" s="45" t="s">
        <v>42</v>
      </c>
      <c r="O281" s="5" t="s">
        <v>43</v>
      </c>
      <c r="P281" s="10" t="s">
        <v>44</v>
      </c>
      <c r="Q281" s="10" t="s">
        <v>44</v>
      </c>
      <c r="R281" s="11" t="s">
        <v>44</v>
      </c>
      <c r="S281" s="11" t="s">
        <v>44</v>
      </c>
      <c r="T281" s="22">
        <v>11</v>
      </c>
      <c r="U281" s="22">
        <v>4</v>
      </c>
      <c r="V281" s="22">
        <v>16</v>
      </c>
      <c r="W281" s="22">
        <v>7</v>
      </c>
      <c r="X281" s="22">
        <v>1998</v>
      </c>
      <c r="Y281" s="22">
        <v>1998</v>
      </c>
      <c r="Z281" s="22">
        <v>1998</v>
      </c>
      <c r="AA281" s="22">
        <v>1998</v>
      </c>
      <c r="AB281" s="22">
        <v>1998</v>
      </c>
      <c r="AC281" s="22">
        <v>1998</v>
      </c>
      <c r="AD281" s="22">
        <v>1998</v>
      </c>
      <c r="AE281" s="22">
        <v>1998</v>
      </c>
      <c r="AG281" s="71">
        <v>11</v>
      </c>
      <c r="AH281" s="71">
        <v>4</v>
      </c>
      <c r="AI281" s="71">
        <v>16</v>
      </c>
      <c r="AJ281" s="71">
        <v>7</v>
      </c>
      <c r="AK281" s="71"/>
      <c r="AL281" s="71"/>
      <c r="AM281" s="71"/>
      <c r="AN281" s="71"/>
      <c r="AO281" s="71"/>
      <c r="AP281" s="71"/>
      <c r="AQ281" s="71"/>
      <c r="AR281" s="71"/>
      <c r="AS281" s="94">
        <f ca="1">IF(MONTH(TODAY())=3,SUM(T281:U281),IF(MONTH(TODAY())=4,SUM(T281:V281),IF(MONTH(TODAY())=5,SUM(T281:W281),IF(MONTH(TODAY())=6,SUM(T281:X281),IF(MONTH(TODAY())=7,SUM(T281:Y281),IF(MONTH(TODAY())=8,SUM(T281:Z281),IF(MONTH(TODAY())=9,SUM(T281:AA281),IF(MONTH(TODAY())=10,SUM(T281:AB281),IF(MONTH(TODAY())=11,SUM(T281:AC281),IF(MONTH(TODAY())=12,SUM(T281:AD281),IF(MONTH(TODAY())=1,SUM(T281:AE281),T281)))))))))))</f>
        <v>2036</v>
      </c>
      <c r="AT281" s="95">
        <f>SUM(IF(AW281&lt;1.15,AG281,1.15*T281),IF(AX281&lt;1.15,AH281,1.15*U281),IF(AY281&lt;1.15,AI281,1.15*V281),IF(AZ281&lt;1.15,AJ281,1.15*W281),IF(BA281&lt;1.15,AK281,1.15*X281),IF(BB281&lt;1.15,AL281,1.15*Y281),IF(BC281&lt;1.15,AM281,1.15*Z281),IF(BD281&lt;1.15,AN281,1.15*AA281),IF(BE281&lt;1.15,AO281,1.15*AB281),IF(BF281&lt;1.15,AP281,1.15*AC281),IF(BG281&lt;1.15,AQ281,1.15*AD281),IF(BH281&lt;1.15,AR281,1.15*AE281))</f>
        <v>38</v>
      </c>
      <c r="AU281" s="97">
        <f>SUM(AG281:AR281)</f>
        <v>38</v>
      </c>
      <c r="AW281" s="51">
        <f>IF(ISBLANK(AG281),0,IF(1+((AG281-T281)/T281)&gt;=1, 1-((AG281-T281)/AG281),
IF(1+((AG281-T281)/T281)&lt;=0,1.15,IF(1+((AG281-T281)/T281)&lt;=0.33,1.1,
IF(1+((AG281-T281)/T281)&lt;=0.66,1.05,
IF(AG281&lt;=T281,1))))))</f>
        <v>1</v>
      </c>
      <c r="AX281" s="51">
        <f>IF(ISBLANK(AH281),0,IF(1+((AH281-U281)/U281)&gt;=1, 1-((AH281-U281)/AH281),
IF(1+((AH281-U281)/U281)&lt;=0,1.15,IF(1+((AH281-U281)/U281)&lt;=0.33,1.1,
IF(1+((AH281-U281)/U281)&lt;=0.66,1.05,
IF(AH281&lt;=U281,1))))))</f>
        <v>1</v>
      </c>
      <c r="AY281" s="51">
        <f>IF(ISBLANK(AI281),0,IF(1+((AI281-V281)/V281)&gt;=1, 1-((AI281-V281)/AI281),
IF(1+((AI281-V281)/V281)&lt;=0,1.15,IF(1+((AI281-V281)/V281)&lt;=0.33,1.1,
IF(1+((AI281-V281)/V281)&lt;=0.66,1.05,
IF(AI281&lt;=V281,1))))))</f>
        <v>1</v>
      </c>
      <c r="AZ281" s="51">
        <f>IF(ISBLANK(AJ281),0,IF(1+((AJ281-W281)/W281)&gt;=1, 1-((AJ281-W281)/AJ281),
IF(1+((AJ281-W281)/W281)&lt;=0,1.15,IF(1+((AJ281-W281)/W281)&lt;=0.33,1.1,
IF(1+((AJ281-W281)/W281)&lt;=0.66,1.05,
IF(AJ281&lt;=W281,1))))))</f>
        <v>1</v>
      </c>
      <c r="BA281" s="51"/>
      <c r="BB281" s="51"/>
      <c r="BC281" s="51"/>
      <c r="BD281" s="51"/>
      <c r="BE281" s="51"/>
      <c r="BF281" s="51"/>
      <c r="BG281" s="51"/>
      <c r="BH281" s="51"/>
      <c r="BI281" s="65" cm="1">
        <f t="array" ref="BI281">IFERROR(INDEX(AW281:BH281,1,MATCH(2,1/(AW281:BH281&lt;&gt;""))),"")</f>
        <v>1</v>
      </c>
      <c r="BJ281" s="68" cm="1">
        <f t="array" ref="BJ281">IF(BM281 = "", "",IFERROR(INDEX(AW281:BH281,1,MATCH(2,1/(AW281:BH281&lt;&gt;""),1)-1),""))</f>
        <v>1</v>
      </c>
      <c r="BK281" s="58">
        <f>IF((IF(AW281&gt;=115%,115%,AW281) + IF(AX281&gt;=115%,115%,AX281) + IF(AY281&gt;=115%,115%,AY281) + (IF(AZ281&gt;=115%,115%,AZ281) + IF(BA281&gt;=115%,115%,BA281) + IF(BB281&gt;=115%,115%,BB281) + IF(BC281&gt;=115%,115%,BC281) + IF(BD281&gt;=115%,115%,BD281) + IF(BE281&gt;=115%,115%,BE281) + IF(BF281&gt;=115%,115%,BF281) + IF(BG281&gt;=115%,115%,BG281) + IF(BH281&gt;=115%,115%,BH281)))/_xlfn.XLOOKUP(F281,Apuração!A:A,Apuração!B:B)&gt;=1.15,1.15,((IF(AZ281&gt;=115%,115%,AZ281) + IF(AX281&gt;=115%,115%,AX281) + IF(AY281&gt;=115%,115%,AY281) + (IF(AW281&gt;=115%,115%,AW281) + IF(BA281&gt;=115%,115%,BA281) + IF(BB281&gt;=115%,115%,BB281) + IF(BC281&gt;=115%,115%,BC281) + IF(BD281&gt;=115%,115%,BD281) + IF(BE281&gt;=115%,115%,BE281) + IF(BF281&gt;=115%,115%,BF281) + IF(BG281&gt;=115%,115%,BG281) + IF(BH281&gt;=115%,115%,BH281)))/_xlfn.XLOOKUP(F281,Apuração!A:A,Apuração!B:B)))</f>
        <v>0.33333333333333331</v>
      </c>
      <c r="BL281" s="58" cm="1">
        <f t="array" aca="1" ref="BL281" ca="1">IF(SUM(IFERROR(IF(INDEX(AW281:INDEX(AW281:BH281, MATCH(2, 1/(AW281:BH281&lt;&gt;""), 1)-1), ROW(INDIRECT("1:" &amp; MATCH(2, 1/(AW281:BH281&lt;&gt;""), 1)-1))) &gt;= 115%, 115%, INDEX(AW281:INDEX(AW281:BH281, MATCH(2, 1/(AW281:BH281&lt;&gt;""), 1)-1), ROW(INDIRECT("1:" &amp; MATCH(2, 1/(AW281:BH281&lt;&gt;""), 1)-1)))), 0))/_xlfn.XLOOKUP(F281,Apuração!A:A,Apuração!B:B)&gt;=1.15,1.15,SUM(IFERROR(IF(INDEX(AW281:INDEX(AW281:BH281, MATCH(2, 1/(AW281:BH281&lt;&gt;""), 1)-1), ROW(INDIRECT("1:" &amp; MATCH(2, 1/(AW281:BH281&lt;&gt;""), 1)-1))) &gt;= 115%, 115%, INDEX(AW281:INDEX(AW281:BH281, MATCH(2, 1/(AW281:BH281&lt;&gt;""), 1)-1), ROW(INDIRECT("1:" &amp; MATCH(2, 1/(AW281:BH281&lt;&gt;""), 1)-1)))), 0))/_xlfn.XLOOKUP(F281,Apuração!A:A,Apuração!B:B))</f>
        <v>0.25</v>
      </c>
      <c r="BM281" s="55" cm="1">
        <f t="array" ref="BM281">IFERROR(
   INDEX($AW$1:$BH$1,
      _xlfn.AGGREGATE(14, 6, COLUMN($AW$1:$BH$1)/(AW281:BH281&lt;&gt;""), 2) - COLUMN($AW$1) + 1
   ),
"")</f>
        <v>46082</v>
      </c>
      <c r="BN281" s="55" cm="1">
        <f t="array" ref="BN281">IFERROR(INDEX($AW$1:$BH$1,1,MATCH(2,1/(AW281:BH281&lt;&gt;""))),"")</f>
        <v>46113</v>
      </c>
      <c r="BO281" s="53">
        <f ca="1">IFERROR(_xlfn.XLOOKUP(F281,Apuração!A:A,Apuração!C:C)/_xlfn.XLOOKUP(F281,Apuração!A:A,Apuração!B:B),0)</f>
        <v>0.41666666666666669</v>
      </c>
      <c r="BP281" s="53">
        <f ca="1">IFERROR(_xlfn.XLOOKUP(F281,Apuração!A:A,Apuração!D:D)/_xlfn.XLOOKUP(F281,Apuração!A:A,Apuração!B:B),0)</f>
        <v>0.33333333333333331</v>
      </c>
      <c r="BQ281" s="53">
        <f ca="1">IF(BK281&gt;=BO281,0,_xlfn.XLOOKUP(F281,Apuração!A:A,Apuração!B:B)*(BO281 + (1/_xlfn.XLOOKUP(F281,Apuração!A:A,Apuração!B:B)) - BK281))</f>
        <v>2</v>
      </c>
      <c r="BR281" s="85">
        <f t="shared" ca="1" si="609"/>
        <v>3996</v>
      </c>
      <c r="BS281" s="53">
        <f ca="1">IFERROR((_xlfn.XLOOKUP(F281,Apuração!A:A,Apuração!C:C)+1)/_xlfn.XLOOKUP(F281,Apuração!A:A,Apuração!B:B),0)</f>
        <v>0.5</v>
      </c>
    </row>
    <row r="282" spans="1:71" ht="25.95" hidden="1" customHeight="1" x14ac:dyDescent="0.3">
      <c r="A282" s="70" t="s">
        <v>108</v>
      </c>
      <c r="B282" s="4" t="s">
        <v>117</v>
      </c>
      <c r="C282" s="5" t="s">
        <v>95</v>
      </c>
      <c r="D282" s="5" t="s">
        <v>36</v>
      </c>
      <c r="E282" s="4" t="s">
        <v>118</v>
      </c>
      <c r="F282" s="4" t="str" cm="1">
        <f t="array" ref="F282">_xlfn.IFS(
AG282 &lt;&gt; "", "Jan-Dez/26",
AH282 &lt;&gt; "", "Fev-Dez/26",
AI282 &lt;&gt; "", "Mar-Dez/26", AJ282 &lt;&gt; "", "Abr-Dez/26",
TRUE, "A partir de Junho"
)</f>
        <v>Jan-Dez/26</v>
      </c>
      <c r="G282" s="4" t="s">
        <v>37</v>
      </c>
      <c r="H282" s="7" t="s">
        <v>38</v>
      </c>
      <c r="I282" s="4" t="s">
        <v>119</v>
      </c>
      <c r="J282" s="8" t="str" cm="1">
        <f t="array" aca="1" ref="J282" ca="1">_xlfn.LET(
  _xlpm.actual_value_month, INDEX(T282:AE282, MATCH(DATE(YEAR(TODAY()), MONTH(TODAY()), 1), $T$1:$AE$1, 0)),
  IF(_xlpm.actual_value_month &lt;&gt; "",_xlpm.actual_value_month &amp; " ações mensais", "")
)</f>
        <v/>
      </c>
      <c r="K282" s="8" t="str" cm="1">
        <f t="array" ref="K282">_xlfn.LET(
    _xlpm.sum_month, SUM(T282:AE282),
    IF(_xlpm.sum_month = 0, "", _xlpm.sum_month &amp; " NC's no ano")
)</f>
        <v/>
      </c>
      <c r="L282" s="4" t="s">
        <v>120</v>
      </c>
      <c r="M282" s="19"/>
      <c r="N282" s="5" t="s">
        <v>51</v>
      </c>
      <c r="O282" s="5"/>
      <c r="P282" s="10"/>
      <c r="Q282" s="10"/>
      <c r="R282" s="11"/>
      <c r="S282" s="11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81"/>
      <c r="AG282" s="71">
        <v>826</v>
      </c>
      <c r="AH282" s="71">
        <v>1489</v>
      </c>
      <c r="AI282" s="71">
        <v>912</v>
      </c>
      <c r="AJ282" s="71"/>
      <c r="AK282" s="71"/>
      <c r="AL282" s="71"/>
      <c r="AM282" s="71"/>
      <c r="AN282" s="71"/>
      <c r="AO282" s="71"/>
      <c r="AP282" s="71"/>
      <c r="AQ282" s="71"/>
      <c r="AR282" s="71"/>
      <c r="AS282" s="94"/>
      <c r="AT282" s="95"/>
      <c r="AU282" s="97"/>
      <c r="AV282" s="81"/>
      <c r="AW282" s="83">
        <f>AG282</f>
        <v>826</v>
      </c>
      <c r="AX282" s="83">
        <f t="shared" ref="AX282:AX283" si="610">AH282</f>
        <v>1489</v>
      </c>
      <c r="AY282" s="83">
        <f t="shared" ref="AY282:AY283" si="611">AI282</f>
        <v>912</v>
      </c>
      <c r="AZ282" s="83">
        <f t="shared" ref="AZ282:AZ283" si="612">AJ282</f>
        <v>0</v>
      </c>
      <c r="BA282" s="83"/>
      <c r="BB282" s="83"/>
      <c r="BC282" s="83"/>
      <c r="BD282" s="83"/>
      <c r="BE282" s="83"/>
      <c r="BF282" s="83"/>
      <c r="BG282" s="83"/>
      <c r="BH282" s="83"/>
      <c r="BI282" s="65"/>
      <c r="BJ282" s="68"/>
      <c r="BK282" s="59">
        <f>SUM(AW282:BH282)</f>
        <v>3227</v>
      </c>
      <c r="BL282" s="59" cm="1">
        <f t="array" ref="BL282">IFERROR(SUM(AW282:INDEX(AW282:BH282, MATCH(2, 1/(AW282:BH282&lt;&gt;""), 1) - 1))/_xlfn.XLOOKUP(F282,Apuração!A:A,Apuração!B:B),0)</f>
        <v>268.91666666666669</v>
      </c>
      <c r="BM282" s="55"/>
      <c r="BN282" s="55"/>
      <c r="BO282" s="53">
        <f ca="1">IFERROR(_xlfn.XLOOKUP(F282,Apuração!A:A,Apuração!C:C)/_xlfn.XLOOKUP(F282,Apuração!A:A,Apuração!B:B),0)</f>
        <v>0.41666666666666669</v>
      </c>
      <c r="BP282" s="53">
        <f ca="1">IFERROR(_xlfn.XLOOKUP(F282,Apuração!A:A,Apuração!D:D)/_xlfn.XLOOKUP(F282,Apuração!A:A,Apuração!B:B),0)</f>
        <v>0.33333333333333331</v>
      </c>
      <c r="BQ282" s="53">
        <f ca="1">IF(BK282&gt;=BO282,0,_xlfn.XLOOKUP(F282,Apuração!A:A,Apuração!B:B)*(BO282 + (1/_xlfn.XLOOKUP(F282,Apuração!A:A,Apuração!B:B)) - BK282))</f>
        <v>0</v>
      </c>
      <c r="BR282" s="85">
        <f t="shared" ca="1" si="609"/>
        <v>0</v>
      </c>
      <c r="BS282" s="53">
        <f ca="1">IFERROR((_xlfn.XLOOKUP(F282,Apuração!A:A,Apuração!C:C)+1)/_xlfn.XLOOKUP(F282,Apuração!A:A,Apuração!B:B),0)</f>
        <v>0.5</v>
      </c>
    </row>
    <row r="283" spans="1:71" ht="25.95" hidden="1" customHeight="1" x14ac:dyDescent="0.3">
      <c r="A283" s="70" t="s">
        <v>108</v>
      </c>
      <c r="B283" s="4" t="s">
        <v>117</v>
      </c>
      <c r="C283" s="5" t="s">
        <v>95</v>
      </c>
      <c r="D283" s="5" t="s">
        <v>36</v>
      </c>
      <c r="E283" s="4" t="s">
        <v>118</v>
      </c>
      <c r="F283" s="4" t="str" cm="1">
        <f t="array" ref="F283">_xlfn.IFS(
AG283 &lt;&gt; "", "Jan-Dez/26",
AH283 &lt;&gt; "", "Fev-Dez/26",
AI283 &lt;&gt; "", "Mar-Dez/26", AJ283 &lt;&gt; "", "Abr-Dez/26",
TRUE, "A partir de Junho"
)</f>
        <v>Jan-Dez/26</v>
      </c>
      <c r="G283" s="4" t="s">
        <v>37</v>
      </c>
      <c r="H283" s="7" t="s">
        <v>38</v>
      </c>
      <c r="I283" s="4" t="s">
        <v>121</v>
      </c>
      <c r="J283" s="8" t="str" cm="1">
        <f t="array" aca="1" ref="J283" ca="1">_xlfn.LET(
  _xlpm.actual_value_month, INDEX(T283:AE283, MATCH(DATE(YEAR(TODAY()), MONTH(TODAY()), 1), $T$1:$AE$1, 0)),
  IF(_xlpm.actual_value_month &lt;&gt; "",_xlpm.actual_value_month &amp; " ações mensais", "")
)</f>
        <v/>
      </c>
      <c r="K283" s="8" t="str" cm="1">
        <f t="array" ref="K283">_xlfn.LET(
    _xlpm.sum_month, SUM(T283:AE283),
    IF(_xlpm.sum_month = 0, "", _xlpm.sum_month &amp; " empresas monitoradas no ano")
)</f>
        <v/>
      </c>
      <c r="L283" s="4" t="s">
        <v>122</v>
      </c>
      <c r="M283" s="19"/>
      <c r="N283" s="5" t="s">
        <v>51</v>
      </c>
      <c r="O283" s="5"/>
      <c r="P283" s="10"/>
      <c r="Q283" s="10"/>
      <c r="R283" s="11"/>
      <c r="S283" s="11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81"/>
      <c r="AG283" s="71">
        <v>29</v>
      </c>
      <c r="AH283" s="71">
        <v>30</v>
      </c>
      <c r="AI283" s="71">
        <v>30</v>
      </c>
      <c r="AJ283" s="71"/>
      <c r="AK283" s="71"/>
      <c r="AL283" s="71"/>
      <c r="AM283" s="71"/>
      <c r="AN283" s="71"/>
      <c r="AO283" s="71"/>
      <c r="AP283" s="71"/>
      <c r="AQ283" s="71"/>
      <c r="AR283" s="71"/>
      <c r="AS283" s="94"/>
      <c r="AT283" s="95"/>
      <c r="AU283" s="97"/>
      <c r="AV283" s="81"/>
      <c r="AW283" s="83">
        <f>AG283</f>
        <v>29</v>
      </c>
      <c r="AX283" s="83">
        <f t="shared" si="610"/>
        <v>30</v>
      </c>
      <c r="AY283" s="83">
        <f t="shared" si="611"/>
        <v>30</v>
      </c>
      <c r="AZ283" s="83">
        <f t="shared" si="612"/>
        <v>0</v>
      </c>
      <c r="BA283" s="83"/>
      <c r="BB283" s="83"/>
      <c r="BC283" s="83"/>
      <c r="BD283" s="83"/>
      <c r="BE283" s="83"/>
      <c r="BF283" s="83"/>
      <c r="BG283" s="83"/>
      <c r="BH283" s="83"/>
      <c r="BI283" s="65"/>
      <c r="BJ283" s="68"/>
      <c r="BK283" s="59">
        <f>SUM(AW283:BH283)</f>
        <v>89</v>
      </c>
      <c r="BL283" s="59" cm="1">
        <f t="array" ref="BL283">IFERROR(SUM(AW283:INDEX(AW283:BH283, MATCH(2, 1/(AW283:BH283&lt;&gt;""), 1) - 1))/_xlfn.XLOOKUP(F283,Apuração!A:A,Apuração!B:B),0)</f>
        <v>7.416666666666667</v>
      </c>
      <c r="BM283" s="55"/>
      <c r="BN283" s="55"/>
      <c r="BO283" s="53">
        <f ca="1">IFERROR(_xlfn.XLOOKUP(F283,Apuração!A:A,Apuração!C:C)/_xlfn.XLOOKUP(F283,Apuração!A:A,Apuração!B:B),0)</f>
        <v>0.41666666666666669</v>
      </c>
      <c r="BP283" s="53">
        <f ca="1">IFERROR(_xlfn.XLOOKUP(F283,Apuração!A:A,Apuração!D:D)/_xlfn.XLOOKUP(F283,Apuração!A:A,Apuração!B:B),0)</f>
        <v>0.33333333333333331</v>
      </c>
      <c r="BQ283" s="53">
        <f ca="1">IF(BK283&gt;=BO283,0,_xlfn.XLOOKUP(F283,Apuração!A:A,Apuração!B:B)*(BO283 + (1/_xlfn.XLOOKUP(F283,Apuração!A:A,Apuração!B:B)) - BK283))</f>
        <v>0</v>
      </c>
      <c r="BR283" s="85">
        <f t="shared" ca="1" si="609"/>
        <v>0</v>
      </c>
      <c r="BS283" s="53">
        <f ca="1">IFERROR((_xlfn.XLOOKUP(F283,Apuração!A:A,Apuração!C:C)+1)/_xlfn.XLOOKUP(F283,Apuração!A:A,Apuração!B:B),0)</f>
        <v>0.5</v>
      </c>
    </row>
    <row r="284" spans="1:71" ht="41.1" hidden="1" customHeight="1" x14ac:dyDescent="0.3">
      <c r="A284" s="41" t="s">
        <v>108</v>
      </c>
      <c r="B284" s="4" t="s">
        <v>123</v>
      </c>
      <c r="C284" s="5" t="s">
        <v>95</v>
      </c>
      <c r="D284" s="5" t="s">
        <v>36</v>
      </c>
      <c r="E284" s="4" t="s">
        <v>61</v>
      </c>
      <c r="F284" s="4" t="str" cm="1">
        <f t="array" ref="F284">_xlfn.IFS(
AG284 &lt;&gt; "", "Jan-Dez/26",
AH284 &lt;&gt; "", "Fev-Dez/26",
AI284 &lt;&gt; "", "Mar-Dez/26", AJ284 &lt;&gt; "", "Abr-Dez/26",
TRUE, "A partir de Junho"
)</f>
        <v>A partir de Junho</v>
      </c>
      <c r="G284" s="4" t="s">
        <v>62</v>
      </c>
      <c r="H284" s="7" t="s">
        <v>38</v>
      </c>
      <c r="I284" s="28" t="s">
        <v>124</v>
      </c>
      <c r="J284" s="8" t="str" cm="1">
        <f t="array" aca="1" ref="J284" ca="1">_xlfn.LET(
  _xlpm.actual_value_month, INDEX(T284:AE284, MATCH(DATE(YEAR(TODAY()), MONTH(TODAY()), 1), $T$1:$AE$1, 0)),
  IF(_xlpm.actual_value_month &lt;&gt; "",_xlpm.actual_value_month &amp; " ações mensais", "")
)</f>
        <v/>
      </c>
      <c r="K284" s="8" t="str" cm="1">
        <f t="array" ref="K284">_xlfn.LET(
    _xlpm.sum_month, SUM(T284:AE284),
    IF(_xlpm.sum_month = 0, "", _xlpm.sum_month &amp; " atividades no ano")
)</f>
        <v/>
      </c>
      <c r="L284" s="4" t="s">
        <v>125</v>
      </c>
      <c r="M284" s="19"/>
      <c r="N284" s="5" t="s">
        <v>42</v>
      </c>
      <c r="O284" s="5"/>
      <c r="P284" s="10"/>
      <c r="Q284" s="10"/>
      <c r="R284" s="11"/>
      <c r="S284" s="11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8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94"/>
      <c r="AT284" s="95"/>
      <c r="AU284" s="97"/>
      <c r="AV284" s="81"/>
      <c r="AW284" s="51">
        <f>IFERROR(IF(AG284="",0,AG284/T284),0)</f>
        <v>0</v>
      </c>
      <c r="AX284" s="51">
        <f>IFERROR(IF(AH284="",0,AH284/U284),0)</f>
        <v>0</v>
      </c>
      <c r="AY284" s="51">
        <f>IFERROR(IF(AI284="",0,AI284/V284),0)</f>
        <v>0</v>
      </c>
      <c r="AZ284" s="51">
        <f>IFERROR(IF(AJ284="",0,AJ284/W284),0)</f>
        <v>0</v>
      </c>
      <c r="BA284" s="51"/>
      <c r="BB284" s="51"/>
      <c r="BC284" s="51"/>
      <c r="BD284" s="51"/>
      <c r="BE284" s="51"/>
      <c r="BF284" s="51"/>
      <c r="BG284" s="51"/>
      <c r="BH284" s="51"/>
      <c r="BI284" s="65"/>
      <c r="BJ284" s="68"/>
      <c r="BK284" s="58">
        <f>IF((IF(AW284&gt;=115%,115%,AW284) + IF(AX284&gt;=115%,115%,AX284) + IF(AY284&gt;=115%,115%,AY284) + (IF(AZ284&gt;=115%,115%,AZ284) + IF(BA284&gt;=115%,115%,BA284) + IF(BB284&gt;=115%,115%,BB284) + IF(BC284&gt;=115%,115%,BC284) + IF(BD284&gt;=115%,115%,BD284) + IF(BE284&gt;=115%,115%,BE284) + IF(BF284&gt;=115%,115%,BF284) + IF(BG284&gt;=115%,115%,BG284) + IF(BH284&gt;=115%,115%,BH284)))/_xlfn.XLOOKUP(F284,Apuração!A:A,Apuração!B:B)&gt;=1.15,1.15,((IF(AZ284&gt;=115%,115%,AZ284) + IF(AX284&gt;=115%,115%,AX284) + IF(AY284&gt;=115%,115%,AY284) + (IF(AW284&gt;=115%,115%,AW284) + IF(BA284&gt;=115%,115%,BA284) + IF(BB284&gt;=115%,115%,BB284) + IF(BC284&gt;=115%,115%,BC284) + IF(BD284&gt;=115%,115%,BD284) + IF(BE284&gt;=115%,115%,BE284) + IF(BF284&gt;=115%,115%,BF284) + IF(BG284&gt;=115%,115%,BG284) + IF(BH284&gt;=115%,115%,BH284)))/_xlfn.XLOOKUP(F284,Apuração!A:A,Apuração!B:B)))</f>
        <v>0</v>
      </c>
      <c r="BL284" s="58" cm="1">
        <f t="array" aca="1" ref="BL284" ca="1">IF(SUM(IFERROR(IF(INDEX(AW284:INDEX(AW284:BH284, MATCH(2, 1/(AW284:BH284&lt;&gt;""), 1)-1), ROW(INDIRECT("1:" &amp; MATCH(2, 1/(AW284:BH284&lt;&gt;""), 1)-1))) &gt;= 115%, 115%, INDEX(AW284:INDEX(AW284:BH284, MATCH(2, 1/(AW284:BH284&lt;&gt;""), 1)-1), ROW(INDIRECT("1:" &amp; MATCH(2, 1/(AW284:BH284&lt;&gt;""), 1)-1)))), 0))/_xlfn.XLOOKUP(F284,Apuração!A:A,Apuração!B:B)&gt;=1.15,1.15,SUM(IFERROR(IF(INDEX(AW284:INDEX(AW284:BH284, MATCH(2, 1/(AW284:BH284&lt;&gt;""), 1)-1), ROW(INDIRECT("1:" &amp; MATCH(2, 1/(AW284:BH284&lt;&gt;""), 1)-1))) &gt;= 115%, 115%, INDEX(AW284:INDEX(AW284:BH284, MATCH(2, 1/(AW284:BH284&lt;&gt;""), 1)-1), ROW(INDIRECT("1:" &amp; MATCH(2, 1/(AW284:BH284&lt;&gt;""), 1)-1)))), 0))/_xlfn.XLOOKUP(F284,Apuração!A:A,Apuração!B:B))</f>
        <v>0</v>
      </c>
      <c r="BM284" s="55"/>
      <c r="BN284" s="55"/>
      <c r="BO284" s="53">
        <f ca="1">IFERROR(_xlfn.XLOOKUP(F284,Apuração!A:A,Apuração!C:C)/_xlfn.XLOOKUP(F284,Apuração!A:A,Apuração!B:B),0)</f>
        <v>0</v>
      </c>
      <c r="BP284" s="53">
        <f ca="1">IFERROR(_xlfn.XLOOKUP(F284,Apuração!A:A,Apuração!D:D)/_xlfn.XLOOKUP(F284,Apuração!A:A,Apuração!B:B),0)</f>
        <v>0</v>
      </c>
      <c r="BQ284" s="53">
        <f ca="1">IF(BK284&gt;=BO284,0,_xlfn.XLOOKUP(F284,Apuração!A:A,Apuração!B:B)*(BO284 + (1/_xlfn.XLOOKUP(F284,Apuração!A:A,Apuração!B:B)) - BK284))</f>
        <v>0</v>
      </c>
      <c r="BR284" s="85">
        <f t="shared" ca="1" si="609"/>
        <v>0</v>
      </c>
      <c r="BS284" s="53">
        <f ca="1">IFERROR((_xlfn.XLOOKUP(F284,Apuração!A:A,Apuração!C:C)+1)/_xlfn.XLOOKUP(F284,Apuração!A:A,Apuração!B:B),0)</f>
        <v>0.14285714285714285</v>
      </c>
    </row>
    <row r="285" spans="1:71" ht="25.95" hidden="1" customHeight="1" x14ac:dyDescent="0.3">
      <c r="A285" s="70" t="s">
        <v>108</v>
      </c>
      <c r="B285" s="4" t="s">
        <v>123</v>
      </c>
      <c r="C285" s="5" t="s">
        <v>95</v>
      </c>
      <c r="D285" s="5" t="s">
        <v>36</v>
      </c>
      <c r="E285" s="4" t="s">
        <v>61</v>
      </c>
      <c r="F285" s="4" t="str" cm="1">
        <f t="array" ref="F285">_xlfn.IFS(
AG285 &lt;&gt; "", "Jan-Dez/26",
AH285 &lt;&gt; "", "Fev-Dez/26",
AI285 &lt;&gt; "", "Mar-Dez/26", AJ285 &lt;&gt; "", "Abr-Dez/26",
TRUE, "A partir de Junho"
)</f>
        <v>A partir de Junho</v>
      </c>
      <c r="G285" s="4" t="s">
        <v>62</v>
      </c>
      <c r="H285" s="7" t="s">
        <v>38</v>
      </c>
      <c r="I285" s="4" t="s">
        <v>121</v>
      </c>
      <c r="J285" s="8" t="str" cm="1">
        <f t="array" aca="1" ref="J285" ca="1">_xlfn.LET(
  _xlpm.actual_value_month, INDEX(T285:AE285, MATCH(DATE(YEAR(TODAY()), MONTH(TODAY()), 1), $T$1:$AE$1, 0)),
  IF(_xlpm.actual_value_month &lt;&gt; "",_xlpm.actual_value_month &amp; " ações mensais", "")
)</f>
        <v/>
      </c>
      <c r="K285" s="8" t="str" cm="1">
        <f t="array" ref="K285">_xlfn.LET(
    _xlpm.sum_month, SUM(T285:AE285),
    IF(_xlpm.sum_month = 0, "", _xlpm.sum_month &amp; " empresas monitoradas no ano")
)</f>
        <v/>
      </c>
      <c r="L285" s="4" t="s">
        <v>126</v>
      </c>
      <c r="M285" s="19"/>
      <c r="N285" s="5" t="s">
        <v>51</v>
      </c>
      <c r="O285" s="5"/>
      <c r="P285" s="10"/>
      <c r="Q285" s="10"/>
      <c r="R285" s="11"/>
      <c r="S285" s="11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8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94"/>
      <c r="AT285" s="95"/>
      <c r="AU285" s="97"/>
      <c r="AV285" s="81"/>
      <c r="AW285" s="83">
        <f>AG285</f>
        <v>0</v>
      </c>
      <c r="AX285" s="83">
        <f t="shared" ref="AX285:AX286" si="613">AH285</f>
        <v>0</v>
      </c>
      <c r="AY285" s="83">
        <f t="shared" ref="AY285:AY286" si="614">AI285</f>
        <v>0</v>
      </c>
      <c r="AZ285" s="83">
        <f t="shared" ref="AZ285:AZ286" si="615">AJ285</f>
        <v>0</v>
      </c>
      <c r="BA285" s="52"/>
      <c r="BB285" s="52"/>
      <c r="BC285" s="52"/>
      <c r="BD285" s="52"/>
      <c r="BE285" s="52"/>
      <c r="BF285" s="52"/>
      <c r="BG285" s="52"/>
      <c r="BH285" s="52"/>
      <c r="BI285" s="65"/>
      <c r="BJ285" s="68"/>
      <c r="BK285" s="59">
        <f>SUM(AW285:BH285)</f>
        <v>0</v>
      </c>
      <c r="BL285" s="59" cm="1">
        <f t="array" ref="BL285">IFERROR(SUM(AW285:INDEX(AW285:BH285, MATCH(2, 1/(AW285:BH285&lt;&gt;""), 1) - 1))/_xlfn.XLOOKUP(F285,Apuração!A:A,Apuração!B:B),0)</f>
        <v>0</v>
      </c>
      <c r="BM285" s="55"/>
      <c r="BN285" s="55"/>
      <c r="BO285" s="53">
        <f ca="1">IFERROR(_xlfn.XLOOKUP(F285,Apuração!A:A,Apuração!C:C)/_xlfn.XLOOKUP(F285,Apuração!A:A,Apuração!B:B),0)</f>
        <v>0</v>
      </c>
      <c r="BP285" s="53">
        <f ca="1">IFERROR(_xlfn.XLOOKUP(F285,Apuração!A:A,Apuração!D:D)/_xlfn.XLOOKUP(F285,Apuração!A:A,Apuração!B:B),0)</f>
        <v>0</v>
      </c>
      <c r="BQ285" s="53">
        <f ca="1">IF(BK285&gt;=BO285,0,_xlfn.XLOOKUP(F285,Apuração!A:A,Apuração!B:B)*(BO285 + (1/_xlfn.XLOOKUP(F285,Apuração!A:A,Apuração!B:B)) - BK285))</f>
        <v>0</v>
      </c>
      <c r="BR285" s="85">
        <f t="shared" ca="1" si="609"/>
        <v>0</v>
      </c>
      <c r="BS285" s="53">
        <f ca="1">IFERROR((_xlfn.XLOOKUP(F285,Apuração!A:A,Apuração!C:C)+1)/_xlfn.XLOOKUP(F285,Apuração!A:A,Apuração!B:B),0)</f>
        <v>0.14285714285714285</v>
      </c>
    </row>
    <row r="286" spans="1:71" ht="25.95" hidden="1" customHeight="1" x14ac:dyDescent="0.3">
      <c r="A286" s="70" t="s">
        <v>108</v>
      </c>
      <c r="B286" s="4" t="s">
        <v>123</v>
      </c>
      <c r="C286" s="5" t="s">
        <v>95</v>
      </c>
      <c r="D286" s="5" t="s">
        <v>36</v>
      </c>
      <c r="E286" s="4" t="s">
        <v>61</v>
      </c>
      <c r="F286" s="4" t="str" cm="1">
        <f t="array" ref="F286">_xlfn.IFS(
AG286 &lt;&gt; "", "Jan-Dez/26",
AH286 &lt;&gt; "", "Fev-Dez/26",
AI286 &lt;&gt; "", "Mar-Dez/26", AJ286 &lt;&gt; "", "Abr-Dez/26",
TRUE, "A partir de Junho"
)</f>
        <v>A partir de Junho</v>
      </c>
      <c r="G286" s="4" t="s">
        <v>62</v>
      </c>
      <c r="H286" s="7" t="s">
        <v>38</v>
      </c>
      <c r="I286" s="28" t="s">
        <v>127</v>
      </c>
      <c r="J286" s="8" t="str" cm="1">
        <f t="array" aca="1" ref="J286" ca="1">_xlfn.LET(
  _xlpm.actual_value_month, INDEX(T286:AE286, MATCH(DATE(YEAR(TODAY()), MONTH(TODAY()), 1), $T$1:$AE$1, 0)),
  IF(_xlpm.actual_value_month &lt;&gt; "",_xlpm.actual_value_month &amp; " ações mensais", "")
)</f>
        <v/>
      </c>
      <c r="K286" s="8" t="str" cm="1">
        <f t="array" ref="K286">_xlfn.LET(
    _xlpm.sum_month, SUM(T286:AE286),
    IF(_xlpm.sum_month = 0, "", _xlpm.sum_month &amp; " ações no ano")
)</f>
        <v/>
      </c>
      <c r="L286" s="4" t="s">
        <v>128</v>
      </c>
      <c r="M286" s="19"/>
      <c r="N286" s="5" t="s">
        <v>51</v>
      </c>
      <c r="O286" s="5"/>
      <c r="P286" s="10"/>
      <c r="Q286" s="10"/>
      <c r="R286" s="11"/>
      <c r="S286" s="11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8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94"/>
      <c r="AT286" s="95"/>
      <c r="AU286" s="97"/>
      <c r="AV286" s="81"/>
      <c r="AW286" s="83">
        <f>AG286</f>
        <v>0</v>
      </c>
      <c r="AX286" s="83">
        <f t="shared" si="613"/>
        <v>0</v>
      </c>
      <c r="AY286" s="83">
        <f t="shared" si="614"/>
        <v>0</v>
      </c>
      <c r="AZ286" s="83">
        <f t="shared" si="615"/>
        <v>0</v>
      </c>
      <c r="BA286" s="52"/>
      <c r="BB286" s="52"/>
      <c r="BC286" s="52"/>
      <c r="BD286" s="52"/>
      <c r="BE286" s="52"/>
      <c r="BF286" s="52"/>
      <c r="BG286" s="52"/>
      <c r="BH286" s="52"/>
      <c r="BI286" s="65"/>
      <c r="BJ286" s="68"/>
      <c r="BK286" s="59">
        <f>SUM(AW286:BH286)</f>
        <v>0</v>
      </c>
      <c r="BL286" s="59" cm="1">
        <f t="array" ref="BL286">IFERROR(SUM(AW286:INDEX(AW286:BH286, MATCH(2, 1/(AW286:BH286&lt;&gt;""), 1) - 1))/_xlfn.XLOOKUP(F286,Apuração!A:A,Apuração!B:B),0)</f>
        <v>0</v>
      </c>
      <c r="BM286" s="55"/>
      <c r="BN286" s="55"/>
      <c r="BO286" s="53">
        <f ca="1">IFERROR(_xlfn.XLOOKUP(F286,Apuração!A:A,Apuração!C:C)/_xlfn.XLOOKUP(F286,Apuração!A:A,Apuração!B:B),0)</f>
        <v>0</v>
      </c>
      <c r="BP286" s="53">
        <f ca="1">IFERROR(_xlfn.XLOOKUP(F286,Apuração!A:A,Apuração!D:D)/_xlfn.XLOOKUP(F286,Apuração!A:A,Apuração!B:B),0)</f>
        <v>0</v>
      </c>
      <c r="BQ286" s="53">
        <f ca="1">IF(BK286&gt;=BO286,0,_xlfn.XLOOKUP(F286,Apuração!A:A,Apuração!B:B)*(BO286 + (1/_xlfn.XLOOKUP(F286,Apuração!A:A,Apuração!B:B)) - BK286))</f>
        <v>0</v>
      </c>
      <c r="BR286" s="85">
        <f t="shared" ca="1" si="609"/>
        <v>0</v>
      </c>
      <c r="BS286" s="53">
        <f ca="1">IFERROR((_xlfn.XLOOKUP(F286,Apuração!A:A,Apuração!C:C)+1)/_xlfn.XLOOKUP(F286,Apuração!A:A,Apuração!B:B),0)</f>
        <v>0.14285714285714285</v>
      </c>
    </row>
    <row r="287" spans="1:71" ht="25.95" hidden="1" customHeight="1" x14ac:dyDescent="0.3">
      <c r="A287" s="41" t="s">
        <v>108</v>
      </c>
      <c r="B287" s="4" t="s">
        <v>129</v>
      </c>
      <c r="C287" s="5" t="s">
        <v>95</v>
      </c>
      <c r="D287" s="5" t="s">
        <v>36</v>
      </c>
      <c r="E287" s="4" t="s">
        <v>61</v>
      </c>
      <c r="F287" s="4" t="str" cm="1">
        <f t="array" ref="F287">_xlfn.IFS(
AG287 &lt;&gt; "", "Jan-Dez/26",
AH287 &lt;&gt; "", "Fev-Dez/26",
AI287 &lt;&gt; "", "Mar-Dez/26", AJ287 &lt;&gt; "", "Abr-Dez/26",
TRUE, "A partir de Junho"
)</f>
        <v>A partir de Junho</v>
      </c>
      <c r="G287" s="4" t="s">
        <v>62</v>
      </c>
      <c r="H287" s="7" t="s">
        <v>38</v>
      </c>
      <c r="I287" s="4" t="s">
        <v>130</v>
      </c>
      <c r="J287" s="8" t="str" cm="1">
        <f t="array" aca="1" ref="J287" ca="1">_xlfn.LET(
  _xlpm.actual_value_month, INDEX(T287:AE287, MATCH(DATE(YEAR(TODAY()), MONTH(TODAY()), 1), $T$1:$AE$1, 0)),
  IF(_xlpm.actual_value_month &lt;&gt; "",_xlpm.actual_value_month &amp; " ações mensais", "")
)</f>
        <v/>
      </c>
      <c r="K287" s="8" t="str" cm="1">
        <f t="array" ref="K287">_xlfn.LET(
    _xlpm.sum_month, SUM(T287:AE287),
    IF(_xlpm.sum_month = 0, "", _xlpm.sum_month &amp; " treinamento de motociclistas no ano")
)</f>
        <v/>
      </c>
      <c r="L287" s="4" t="s">
        <v>131</v>
      </c>
      <c r="M287" s="19"/>
      <c r="N287" s="5" t="s">
        <v>42</v>
      </c>
      <c r="O287" s="5"/>
      <c r="P287" s="10"/>
      <c r="Q287" s="10"/>
      <c r="R287" s="11"/>
      <c r="S287" s="11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8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94"/>
      <c r="AT287" s="95"/>
      <c r="AU287" s="97"/>
      <c r="AV287" s="81"/>
      <c r="AW287" s="51">
        <f>IFERROR(IF(AG287="",0,AG287/T287),0)</f>
        <v>0</v>
      </c>
      <c r="AX287" s="51">
        <f>IFERROR(IF(AH287="",0,AH287/U287),0)</f>
        <v>0</v>
      </c>
      <c r="AY287" s="51">
        <f>IFERROR(IF(AI287="",0,AI287/V287),0)</f>
        <v>0</v>
      </c>
      <c r="AZ287" s="51">
        <f>IFERROR(IF(AJ287="",0,AJ287/W287),0)</f>
        <v>0</v>
      </c>
      <c r="BA287" s="51"/>
      <c r="BB287" s="51"/>
      <c r="BC287" s="51"/>
      <c r="BD287" s="51"/>
      <c r="BE287" s="51"/>
      <c r="BF287" s="51"/>
      <c r="BG287" s="51"/>
      <c r="BH287" s="51"/>
      <c r="BI287" s="65"/>
      <c r="BJ287" s="68"/>
      <c r="BK287" s="58">
        <f>IF((IF(AW287&gt;=115%,115%,AW287) + IF(AX287&gt;=115%,115%,AX287) + IF(AY287&gt;=115%,115%,AY287) + (IF(AZ287&gt;=115%,115%,AZ287) + IF(BA287&gt;=115%,115%,BA287) + IF(BB287&gt;=115%,115%,BB287) + IF(BC287&gt;=115%,115%,BC287) + IF(BD287&gt;=115%,115%,BD287) + IF(BE287&gt;=115%,115%,BE287) + IF(BF287&gt;=115%,115%,BF287) + IF(BG287&gt;=115%,115%,BG287) + IF(BH287&gt;=115%,115%,BH287)))/_xlfn.XLOOKUP(F287,Apuração!A:A,Apuração!B:B)&gt;=1.15,1.15,((IF(AZ287&gt;=115%,115%,AZ287) + IF(AX287&gt;=115%,115%,AX287) + IF(AY287&gt;=115%,115%,AY287) + (IF(AW287&gt;=115%,115%,AW287) + IF(BA287&gt;=115%,115%,BA287) + IF(BB287&gt;=115%,115%,BB287) + IF(BC287&gt;=115%,115%,BC287) + IF(BD287&gt;=115%,115%,BD287) + IF(BE287&gt;=115%,115%,BE287) + IF(BF287&gt;=115%,115%,BF287) + IF(BG287&gt;=115%,115%,BG287) + IF(BH287&gt;=115%,115%,BH287)))/_xlfn.XLOOKUP(F287,Apuração!A:A,Apuração!B:B)))</f>
        <v>0</v>
      </c>
      <c r="BL287" s="58" cm="1">
        <f t="array" aca="1" ref="BL287" ca="1">IF(SUM(IFERROR(IF(INDEX(AW287:INDEX(AW287:BH287, MATCH(2, 1/(AW287:BH287&lt;&gt;""), 1)-1), ROW(INDIRECT("1:" &amp; MATCH(2, 1/(AW287:BH287&lt;&gt;""), 1)-1))) &gt;= 115%, 115%, INDEX(AW287:INDEX(AW287:BH287, MATCH(2, 1/(AW287:BH287&lt;&gt;""), 1)-1), ROW(INDIRECT("1:" &amp; MATCH(2, 1/(AW287:BH287&lt;&gt;""), 1)-1)))), 0))/_xlfn.XLOOKUP(F287,Apuração!A:A,Apuração!B:B)&gt;=1.15,1.15,SUM(IFERROR(IF(INDEX(AW287:INDEX(AW287:BH287, MATCH(2, 1/(AW287:BH287&lt;&gt;""), 1)-1), ROW(INDIRECT("1:" &amp; MATCH(2, 1/(AW287:BH287&lt;&gt;""), 1)-1))) &gt;= 115%, 115%, INDEX(AW287:INDEX(AW287:BH287, MATCH(2, 1/(AW287:BH287&lt;&gt;""), 1)-1), ROW(INDIRECT("1:" &amp; MATCH(2, 1/(AW287:BH287&lt;&gt;""), 1)-1)))), 0))/_xlfn.XLOOKUP(F287,Apuração!A:A,Apuração!B:B))</f>
        <v>0</v>
      </c>
      <c r="BM287" s="55"/>
      <c r="BN287" s="55"/>
      <c r="BO287" s="53">
        <f ca="1">IFERROR(_xlfn.XLOOKUP(F287,Apuração!A:A,Apuração!C:C)/_xlfn.XLOOKUP(F287,Apuração!A:A,Apuração!B:B),0)</f>
        <v>0</v>
      </c>
      <c r="BP287" s="53">
        <f ca="1">IFERROR(_xlfn.XLOOKUP(F287,Apuração!A:A,Apuração!D:D)/_xlfn.XLOOKUP(F287,Apuração!A:A,Apuração!B:B),0)</f>
        <v>0</v>
      </c>
      <c r="BQ287" s="53">
        <f ca="1">IF(BK287&gt;=BO287,0,_xlfn.XLOOKUP(F287,Apuração!A:A,Apuração!B:B)*(BO287 + (1/_xlfn.XLOOKUP(F287,Apuração!A:A,Apuração!B:B)) - BK287))</f>
        <v>0</v>
      </c>
      <c r="BR287" s="85">
        <f t="shared" ca="1" si="609"/>
        <v>0</v>
      </c>
      <c r="BS287" s="53">
        <f ca="1">IFERROR((_xlfn.XLOOKUP(F287,Apuração!A:A,Apuração!C:C)+1)/_xlfn.XLOOKUP(F287,Apuração!A:A,Apuração!B:B),0)</f>
        <v>0.14285714285714285</v>
      </c>
    </row>
    <row r="288" spans="1:71" ht="25.95" hidden="1" customHeight="1" x14ac:dyDescent="0.3">
      <c r="A288" s="70" t="s">
        <v>108</v>
      </c>
      <c r="B288" s="4" t="s">
        <v>129</v>
      </c>
      <c r="C288" s="5" t="s">
        <v>95</v>
      </c>
      <c r="D288" s="5" t="s">
        <v>36</v>
      </c>
      <c r="E288" s="4" t="s">
        <v>61</v>
      </c>
      <c r="F288" s="4" t="str" cm="1">
        <f t="array" ref="F288">_xlfn.IFS(
AG288 &lt;&gt; "", "Jan-Dez/26",
AH288 &lt;&gt; "", "Fev-Dez/26",
AI288 &lt;&gt; "", "Mar-Dez/26", AJ288 &lt;&gt; "", "Abr-Dez/26",
TRUE, "A partir de Junho"
)</f>
        <v>A partir de Junho</v>
      </c>
      <c r="G288" s="4" t="s">
        <v>62</v>
      </c>
      <c r="H288" s="7" t="s">
        <v>38</v>
      </c>
      <c r="I288" s="28" t="s">
        <v>132</v>
      </c>
      <c r="J288" s="8" t="str" cm="1">
        <f t="array" aca="1" ref="J288" ca="1">_xlfn.LET(
  _xlpm.actual_value_month, INDEX(T288:AE288, MATCH(DATE(YEAR(TODAY()), MONTH(TODAY()), 1), $T$1:$AE$1, 0)),
  IF(_xlpm.actual_value_month &lt;&gt; "",_xlpm.actual_value_month &amp; " ações mensais", "")
)</f>
        <v/>
      </c>
      <c r="K288" s="8" t="str" cm="1">
        <f t="array" ref="K288">_xlfn.LET(
    _xlpm.sum_month, SUM(T288:AE288),
    IF(_xlpm.sum_month = 0, "", _xlpm.sum_month &amp; "  notificações de excesso de velocidade no ano")
)</f>
        <v/>
      </c>
      <c r="L288" s="4" t="s">
        <v>133</v>
      </c>
      <c r="M288" s="19"/>
      <c r="N288" s="5" t="s">
        <v>51</v>
      </c>
      <c r="O288" s="5"/>
      <c r="P288" s="10"/>
      <c r="Q288" s="10"/>
      <c r="R288" s="11"/>
      <c r="S288" s="11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8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94"/>
      <c r="AT288" s="95"/>
      <c r="AU288" s="97"/>
      <c r="AV288" s="81"/>
      <c r="AW288" s="83">
        <f>AG288</f>
        <v>0</v>
      </c>
      <c r="AX288" s="83">
        <f t="shared" ref="AX288" si="616">AH288</f>
        <v>0</v>
      </c>
      <c r="AY288" s="83">
        <f t="shared" ref="AY288" si="617">AI288</f>
        <v>0</v>
      </c>
      <c r="AZ288" s="83">
        <f t="shared" ref="AZ288" si="618">AJ288</f>
        <v>0</v>
      </c>
      <c r="BA288" s="52"/>
      <c r="BB288" s="52"/>
      <c r="BC288" s="52"/>
      <c r="BD288" s="52"/>
      <c r="BE288" s="52"/>
      <c r="BF288" s="52"/>
      <c r="BG288" s="52"/>
      <c r="BH288" s="52"/>
      <c r="BI288" s="65"/>
      <c r="BJ288" s="68"/>
      <c r="BK288" s="59">
        <f>SUM(AW288:BH288)</f>
        <v>0</v>
      </c>
      <c r="BL288" s="59" cm="1">
        <f t="array" ref="BL288">IFERROR(SUM(AW288:INDEX(AW288:BH288, MATCH(2, 1/(AW288:BH288&lt;&gt;""), 1) - 1))/_xlfn.XLOOKUP(F288,Apuração!A:A,Apuração!B:B),0)</f>
        <v>0</v>
      </c>
      <c r="BM288" s="55"/>
      <c r="BN288" s="55"/>
      <c r="BO288" s="53">
        <f ca="1">IFERROR(_xlfn.XLOOKUP(F288,Apuração!A:A,Apuração!C:C)/_xlfn.XLOOKUP(F288,Apuração!A:A,Apuração!B:B),0)</f>
        <v>0</v>
      </c>
      <c r="BP288" s="53">
        <f ca="1">IFERROR(_xlfn.XLOOKUP(F288,Apuração!A:A,Apuração!D:D)/_xlfn.XLOOKUP(F288,Apuração!A:A,Apuração!B:B),0)</f>
        <v>0</v>
      </c>
      <c r="BQ288" s="53">
        <f ca="1">IF(BK288&gt;=BO288,0,_xlfn.XLOOKUP(F288,Apuração!A:A,Apuração!B:B)*(BO288 + (1/_xlfn.XLOOKUP(F288,Apuração!A:A,Apuração!B:B)) - BK288))</f>
        <v>0</v>
      </c>
      <c r="BR288" s="85">
        <f t="shared" ca="1" si="609"/>
        <v>0</v>
      </c>
      <c r="BS288" s="53">
        <f ca="1">IFERROR((_xlfn.XLOOKUP(F288,Apuração!A:A,Apuração!C:C)+1)/_xlfn.XLOOKUP(F288,Apuração!A:A,Apuração!B:B),0)</f>
        <v>0.14285714285714285</v>
      </c>
    </row>
    <row r="289" spans="1:71" ht="25.95" hidden="1" customHeight="1" x14ac:dyDescent="0.3">
      <c r="A289" s="23" t="s">
        <v>134</v>
      </c>
      <c r="B289" s="4" t="s">
        <v>135</v>
      </c>
      <c r="C289" s="5" t="s">
        <v>95</v>
      </c>
      <c r="D289" s="5" t="s">
        <v>36</v>
      </c>
      <c r="E289" s="4" t="str" cm="1">
        <f t="array" ref="E289">_xlfn.IFS(
F289 = "A partir de Abril", "Aguardando Execução na Distribuidora",
A289 = "CAPACITAÇÃO", "Em execução no Corporativo",
TRUE, "Em Execução na Distribuidora"
)</f>
        <v>Em Execução na Distribuidora</v>
      </c>
      <c r="F289" s="4" t="str" cm="1">
        <f t="array" ref="F289">_xlfn.IFS(
AG289 &lt;&gt; "", "Jan-Dez/26",
AH289 &lt;&gt; "", "Fev-Dez/26",
AI289 &lt;&gt; "", "Mar-Dez/26", AJ289 &lt;&gt; "", "Abr-Dez/26",
TRUE, "A partir de Junho"
)</f>
        <v>Jan-Dez/26</v>
      </c>
      <c r="G289" s="4" t="s">
        <v>37</v>
      </c>
      <c r="H289" s="7" t="s">
        <v>38</v>
      </c>
      <c r="I289" s="8" t="s">
        <v>136</v>
      </c>
      <c r="J289" s="8" t="str" cm="1">
        <f t="array" aca="1" ref="J289" ca="1">_xlfn.LET(
  _xlpm.actual_value_month, INDEX(T289:AE289, MATCH(DATE(YEAR(TODAY()), MONTH(TODAY()), 1), $T$1:$AE$1, 0)),
  IF(_xlpm.actual_value_month &lt;&gt; "",_xlpm.actual_value_month &amp; " equipes mensais", "")
)</f>
        <v>42 equipes mensais</v>
      </c>
      <c r="K289" s="8" t="str" cm="1">
        <f t="array" ref="K289">_xlfn.LET(
    _xlpm.sum_month, SUM(T289:AE289),
    IF(_xlpm.sum_month = 0, "", _xlpm.sum_month &amp; " alcançadas no ano")
)</f>
        <v>504 alcançadas no ano</v>
      </c>
      <c r="L289" s="9" t="s">
        <v>137</v>
      </c>
      <c r="M289" s="24" t="s">
        <v>138</v>
      </c>
      <c r="N289" s="5" t="s">
        <v>42</v>
      </c>
      <c r="O289" s="5" t="s">
        <v>43</v>
      </c>
      <c r="P289" s="10" t="s">
        <v>44</v>
      </c>
      <c r="Q289" s="10" t="s">
        <v>44</v>
      </c>
      <c r="R289" s="11" t="s">
        <v>66</v>
      </c>
      <c r="S289" s="11" t="s">
        <v>67</v>
      </c>
      <c r="T289" s="22">
        <v>42</v>
      </c>
      <c r="U289" s="22">
        <v>42</v>
      </c>
      <c r="V289" s="22">
        <v>42</v>
      </c>
      <c r="W289" s="22">
        <v>42</v>
      </c>
      <c r="X289" s="22">
        <v>42</v>
      </c>
      <c r="Y289" s="22">
        <v>42</v>
      </c>
      <c r="Z289" s="22">
        <v>42</v>
      </c>
      <c r="AA289" s="22">
        <v>42</v>
      </c>
      <c r="AB289" s="22">
        <v>42</v>
      </c>
      <c r="AC289" s="22">
        <v>42</v>
      </c>
      <c r="AD289" s="22">
        <v>42</v>
      </c>
      <c r="AE289" s="22">
        <v>42</v>
      </c>
      <c r="AG289" s="71">
        <v>42</v>
      </c>
      <c r="AH289" s="71">
        <v>42</v>
      </c>
      <c r="AI289" s="71">
        <v>42</v>
      </c>
      <c r="AJ289" s="71">
        <v>42</v>
      </c>
      <c r="AK289" s="71"/>
      <c r="AL289" s="71"/>
      <c r="AM289" s="71"/>
      <c r="AN289" s="71"/>
      <c r="AO289" s="71"/>
      <c r="AP289" s="71"/>
      <c r="AQ289" s="71"/>
      <c r="AR289" s="71"/>
      <c r="AS289" s="94">
        <f t="shared" ref="AS289:AS304" ca="1" si="619">IF(MONTH(TODAY())=3,SUM(T289:U289),IF(MONTH(TODAY())=4,SUM(T289:V289),IF(MONTH(TODAY())=5,SUM(T289:W289),IF(MONTH(TODAY())=6,SUM(T289:X289),IF(MONTH(TODAY())=7,SUM(T289:Y289),IF(MONTH(TODAY())=8,SUM(T289:Z289),IF(MONTH(TODAY())=9,SUM(T289:AA289),IF(MONTH(TODAY())=10,SUM(T289:AB289),IF(MONTH(TODAY())=11,SUM(T289:AC289),IF(MONTH(TODAY())=12,SUM(T289:AD289),IF(MONTH(TODAY())=1,SUM(T289:AE289),T289)))))))))))</f>
        <v>210</v>
      </c>
      <c r="AT289" s="95">
        <f>SUM(IF(AW289&lt;1.15,AG289,1.15*T289),IF(AX289&lt;1.15,AH289,1.15*U289),IF(AY289&lt;1.15,AI289,1.15*V289),IF(AZ289&lt;1.15,AJ289,1.15*W289),IF(BA289&lt;1.15,AK289,1.15*X289),IF(BB289&lt;1.15,AL289,1.15*Y289),IF(BC289&lt;1.15,AM289,1.15*Z289),IF(BD289&lt;1.15,AN289,1.15*AA289),IF(BE289&lt;1.15,AO289,1.15*AB289),IF(BF289&lt;1.15,AP289,1.15*AC289),IF(BG289&lt;1.15,AQ289,1.15*AD289),IF(BH289&lt;1.15,AR289,1.15*AE289))</f>
        <v>168</v>
      </c>
      <c r="AU289" s="97">
        <f t="shared" ref="AU289:AU304" si="620">SUM(AG289:AR289)</f>
        <v>168</v>
      </c>
      <c r="AW289" s="51">
        <f>IFERROR(IF(AG289="",0,AG289/T289),0)</f>
        <v>1</v>
      </c>
      <c r="AX289" s="51">
        <f>IFERROR(IF(AH289="",0,AH289/U289),0)</f>
        <v>1</v>
      </c>
      <c r="AY289" s="51">
        <f>IFERROR(IF(AI289="",0,AI289/V289),0)</f>
        <v>1</v>
      </c>
      <c r="AZ289" s="51">
        <f>IFERROR(IF(AJ289="",0,AJ289/W289),0)</f>
        <v>1</v>
      </c>
      <c r="BA289" s="51"/>
      <c r="BB289" s="51"/>
      <c r="BC289" s="51"/>
      <c r="BD289" s="51"/>
      <c r="BE289" s="51"/>
      <c r="BF289" s="51"/>
      <c r="BG289" s="51"/>
      <c r="BH289" s="51"/>
      <c r="BI289" s="65" cm="1">
        <f t="array" ref="BI289">IFERROR(INDEX(AW289:BH289,1,MATCH(2,1/(AW289:BH289&lt;&gt;""))),"")</f>
        <v>1</v>
      </c>
      <c r="BJ289" s="68" cm="1">
        <f t="array" ref="BJ289">IF(BM289 = "", "",IFERROR(INDEX(AW289:BH289,1,MATCH(2,1/(AW289:BH289&lt;&gt;""),1)-1),""))</f>
        <v>1</v>
      </c>
      <c r="BK289" s="58">
        <f>IF((IF(AW289&gt;=115%,115%,AW289) + IF(AX289&gt;=115%,115%,AX289) + IF(AY289&gt;=115%,115%,AY289) + (IF(AZ289&gt;=115%,115%,AZ289) + IF(BA289&gt;=115%,115%,BA289) + IF(BB289&gt;=115%,115%,BB289) + IF(BC289&gt;=115%,115%,BC289) + IF(BD289&gt;=115%,115%,BD289) + IF(BE289&gt;=115%,115%,BE289) + IF(BF289&gt;=115%,115%,BF289) + IF(BG289&gt;=115%,115%,BG289) + IF(BH289&gt;=133%,133%,BH289)))/_xlfn.XLOOKUP(F289,Apuração!A:A,Apuração!B:B)&gt;=1.15,1.15,((IF(AZ289&gt;=115%,115%,AZ289) + IF(AX289&gt;=115%,115%,AX289) + IF(AY289&gt;=115%,115%,AY289) + (IF(AW289&gt;=115%,115%,AW289) + IF(BA289&gt;=115%,115%,BA289) + IF(BB289&gt;=115%,115%,BB289) + IF(BC289&gt;=115%,115%,BC289) + IF(BD289&gt;=115%,115%,BD289) + IF(BE289&gt;=115%,115%,BE289) + IF(BF289&gt;=115%,115%,BF289) + IF(BG289&gt;=115%,115%,BG289) + IF(BH289&gt;=133%,133%,BH289)))/_xlfn.XLOOKUP(F289,Apuração!A:A,Apuração!B:B)))</f>
        <v>0.33333333333333331</v>
      </c>
      <c r="BL289" s="58" cm="1">
        <f t="array" aca="1" ref="BL289" ca="1">IF(SUM(IFERROR(IF(INDEX(AW289:INDEX(AW289:BH289, MATCH(2, 1/(AW289:BH289&lt;&gt;""), 1)-1), ROW(INDIRECT("1:" &amp; MATCH(2, 1/(AW289:BH289&lt;&gt;""), 1)-1))) &gt;= 115%, 115%, INDEX(AW289:INDEX(AW289:BH289, MATCH(2, 1/(AW289:BH289&lt;&gt;""), 1)-1), ROW(INDIRECT("1:" &amp; MATCH(2, 1/(AW289:BH289&lt;&gt;""), 1)-1)))), 0))/_xlfn.XLOOKUP(F289,Apuração!A:A,Apuração!B:B)&gt;=1.15,1.15,SUM(IFERROR(IF(INDEX(AW289:INDEX(AW289:BH289, MATCH(2, 1/(AW289:BH289&lt;&gt;""), 1)-1), ROW(INDIRECT("1:" &amp; MATCH(2, 1/(AW289:BH289&lt;&gt;""), 1)-1))) &gt;= 115%, 115%, INDEX(AW289:INDEX(AW289:BH289, MATCH(2, 1/(AW289:BH289&lt;&gt;""), 1)-1), ROW(INDIRECT("1:" &amp; MATCH(2, 1/(AW289:BH289&lt;&gt;""), 1)-1)))), 0))/_xlfn.XLOOKUP(F289,Apuração!A:A,Apuração!B:B))</f>
        <v>0.25</v>
      </c>
      <c r="BM289" s="55" cm="1">
        <f t="array" ref="BM289">IFERROR(
   INDEX($AW$1:$BH$1,
      _xlfn.AGGREGATE(14, 6, COLUMN($AW$1:$BH$1)/(AW289:BH289&lt;&gt;""), 2) - COLUMN($AW$1) + 1
   ),
"")</f>
        <v>46082</v>
      </c>
      <c r="BN289" s="55" cm="1">
        <f t="array" ref="BN289">IFERROR(INDEX($AW$1:$BH$1,1,MATCH(2,1/(AW289:BH289&lt;&gt;""))),"")</f>
        <v>46113</v>
      </c>
      <c r="BO289" s="53">
        <f ca="1">IFERROR(_xlfn.XLOOKUP(F289,Apuração!A:A,Apuração!C:C)/_xlfn.XLOOKUP(F289,Apuração!A:A,Apuração!B:B),0)</f>
        <v>0.41666666666666669</v>
      </c>
      <c r="BP289" s="53">
        <f ca="1">IFERROR(_xlfn.XLOOKUP(F289,Apuração!A:A,Apuração!D:D)/_xlfn.XLOOKUP(F289,Apuração!A:A,Apuração!B:B),0)</f>
        <v>0.33333333333333331</v>
      </c>
      <c r="BQ289" s="53">
        <f ca="1">IF(BK289&gt;=BO289,0,_xlfn.XLOOKUP(F289,Apuração!A:A,Apuração!B:B)*(BO289 + (1/_xlfn.XLOOKUP(F289,Apuração!A:A,Apuração!B:B)) - BK289))</f>
        <v>2</v>
      </c>
      <c r="BR289" s="85">
        <f t="shared" ca="1" si="609"/>
        <v>84</v>
      </c>
      <c r="BS289" s="53">
        <f ca="1">IFERROR((_xlfn.XLOOKUP(F289,Apuração!A:A,Apuração!C:C)+1)/_xlfn.XLOOKUP(F289,Apuração!A:A,Apuração!B:B),0)</f>
        <v>0.5</v>
      </c>
    </row>
    <row r="290" spans="1:71" ht="25.95" hidden="1" customHeight="1" x14ac:dyDescent="0.3">
      <c r="A290" s="42" t="s">
        <v>134</v>
      </c>
      <c r="B290" s="4" t="s">
        <v>135</v>
      </c>
      <c r="C290" s="5" t="s">
        <v>95</v>
      </c>
      <c r="D290" s="5" t="s">
        <v>36</v>
      </c>
      <c r="E290" s="4" t="str" cm="1">
        <f t="array" ref="E290">_xlfn.IFS(
F290 = "A partir de Abril", "Aguardando Execução na Distribuidora",
A290 = "CAPACITAÇÃO", "Em execução no Corporativo",
TRUE, "Em Execução na Distribuidora"
)</f>
        <v>Em Execução na Distribuidora</v>
      </c>
      <c r="F290" s="4" t="str" cm="1">
        <f t="array" ref="F290">_xlfn.IFS(
AG290 &lt;&gt; "", "Jan-Dez/26",
AH290 &lt;&gt; "", "Fev-Dez/26",
AI290 &lt;&gt; "", "Mar-Dez/26", AJ290 &lt;&gt; "", "Abr-Dez/26",
TRUE, "A partir de Junho"
)</f>
        <v>Jan-Dez/26</v>
      </c>
      <c r="G290" s="4" t="s">
        <v>37</v>
      </c>
      <c r="H290" s="7" t="s">
        <v>38</v>
      </c>
      <c r="I290" s="8" t="s">
        <v>139</v>
      </c>
      <c r="J290" s="8" t="str" cm="1">
        <f t="array" aca="1" ref="J290" ca="1">_xlfn.LET(
  _xlpm.actual_value_month, INDEX(T290:AE290, MATCH(DATE(YEAR(TODAY()), MONTH(TODAY()), 1), $T$1:$AE$1, 0)),
  IF(_xlpm.actual_value_month &lt;&gt; "",_xlpm.actual_value_month &amp; " ações mensais", "")
)</f>
        <v/>
      </c>
      <c r="K290" s="8" t="str" cm="1">
        <f t="array" ref="K290">_xlfn.LET(
    _xlpm.sum_month, SUM(T290:AE290),
    IF(_xlpm.sum_month = 0, "", _xlpm.sum_month &amp; " mensagens a serem enviadas no ano")
)</f>
        <v/>
      </c>
      <c r="L290" s="4" t="s">
        <v>140</v>
      </c>
      <c r="M290" s="24">
        <v>1</v>
      </c>
      <c r="N290" s="5" t="s">
        <v>51</v>
      </c>
      <c r="O290" s="5" t="s">
        <v>52</v>
      </c>
      <c r="P290" s="10" t="s">
        <v>44</v>
      </c>
      <c r="Q290" s="10" t="s">
        <v>44</v>
      </c>
      <c r="R290" s="11" t="s">
        <v>44</v>
      </c>
      <c r="S290" s="11" t="s">
        <v>44</v>
      </c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G290" s="71">
        <v>42</v>
      </c>
      <c r="AH290" s="71">
        <v>42</v>
      </c>
      <c r="AI290" s="71">
        <v>42</v>
      </c>
      <c r="AJ290" s="71">
        <v>42</v>
      </c>
      <c r="AK290" s="71"/>
      <c r="AL290" s="71"/>
      <c r="AM290" s="71"/>
      <c r="AN290" s="71"/>
      <c r="AO290" s="71"/>
      <c r="AP290" s="71"/>
      <c r="AQ290" s="71"/>
      <c r="AR290" s="71"/>
      <c r="AS290" s="94">
        <f t="shared" ca="1" si="619"/>
        <v>0</v>
      </c>
      <c r="AT290" s="95">
        <f>SUM(AG290:AR290)</f>
        <v>168</v>
      </c>
      <c r="AU290" s="97">
        <f t="shared" si="620"/>
        <v>168</v>
      </c>
      <c r="AW290" s="83">
        <f>AG290</f>
        <v>42</v>
      </c>
      <c r="AX290" s="83">
        <f t="shared" ref="AX290:AX291" si="621">AH290</f>
        <v>42</v>
      </c>
      <c r="AY290" s="83">
        <f t="shared" ref="AY290:AY291" si="622">AI290</f>
        <v>42</v>
      </c>
      <c r="AZ290" s="83">
        <f t="shared" ref="AZ290:AZ291" si="623">AJ290</f>
        <v>42</v>
      </c>
      <c r="BA290" s="52"/>
      <c r="BB290" s="52"/>
      <c r="BC290" s="52"/>
      <c r="BD290" s="52"/>
      <c r="BE290" s="52"/>
      <c r="BF290" s="52"/>
      <c r="BG290" s="52"/>
      <c r="BH290" s="52"/>
      <c r="BI290" s="68" cm="1">
        <f t="array" ref="BI290">IFERROR(INDEX(AW290:BH290,1,MATCH(2,1/(AW290:BH290&lt;&gt;""))),"")</f>
        <v>42</v>
      </c>
      <c r="BJ290" s="68" cm="1">
        <f t="array" ref="BJ290">IF(BM290 = "", "",IFERROR(INDEX(AW290:BH290,1,MATCH(2,1/(AW290:BH290&lt;&gt;""),1)-1),""))</f>
        <v>42</v>
      </c>
      <c r="BK290" s="59">
        <f>SUM(AW290:BH290)</f>
        <v>168</v>
      </c>
      <c r="BL290" s="59" cm="1">
        <f t="array" ref="BL290">IFERROR(SUM(AW290:INDEX(AW290:BH290, MATCH(2, 1/(AW290:BH290&lt;&gt;""), 1) - 1))/_xlfn.XLOOKUP(F290,Apuração!A:A,Apuração!B:B),0)</f>
        <v>10.5</v>
      </c>
      <c r="BM290" s="55" cm="1">
        <f t="array" ref="BM290">IFERROR(
   INDEX($AW$1:$BH$1,
      _xlfn.AGGREGATE(14, 6, COLUMN($AW$1:$BH$1)/(AW290:BH290&lt;&gt;""), 2) - COLUMN($AW$1) + 1
   ),
"")</f>
        <v>46082</v>
      </c>
      <c r="BN290" s="55" cm="1">
        <f t="array" ref="BN290">IFERROR(INDEX($AW$1:$BH$1,1,MATCH(2,1/(AW290:BH290&lt;&gt;""))),"")</f>
        <v>46113</v>
      </c>
      <c r="BO290" s="53">
        <f ca="1">IFERROR(_xlfn.XLOOKUP(F290,Apuração!A:A,Apuração!C:C)/_xlfn.XLOOKUP(F290,Apuração!A:A,Apuração!B:B),0)</f>
        <v>0.41666666666666669</v>
      </c>
      <c r="BP290" s="53">
        <f ca="1">IFERROR(_xlfn.XLOOKUP(F290,Apuração!A:A,Apuração!D:D)/_xlfn.XLOOKUP(F290,Apuração!A:A,Apuração!B:B),0)</f>
        <v>0.33333333333333331</v>
      </c>
      <c r="BQ290" s="53">
        <f ca="1">IF(BK290&gt;=BO290,0,_xlfn.XLOOKUP(F290,Apuração!A:A,Apuração!B:B)*(BO290 + (1/_xlfn.XLOOKUP(F290,Apuração!A:A,Apuração!B:B)) - BK290))</f>
        <v>0</v>
      </c>
      <c r="BR290" s="85">
        <f t="shared" ca="1" si="609"/>
        <v>0</v>
      </c>
      <c r="BS290" s="53">
        <f ca="1">IFERROR((_xlfn.XLOOKUP(F290,Apuração!A:A,Apuração!C:C)+1)/_xlfn.XLOOKUP(F290,Apuração!A:A,Apuração!B:B),0)</f>
        <v>0.5</v>
      </c>
    </row>
    <row r="291" spans="1:71" ht="25.95" hidden="1" customHeight="1" x14ac:dyDescent="0.3">
      <c r="A291" s="42" t="s">
        <v>134</v>
      </c>
      <c r="B291" s="4" t="s">
        <v>135</v>
      </c>
      <c r="C291" s="5" t="s">
        <v>95</v>
      </c>
      <c r="D291" s="5" t="s">
        <v>36</v>
      </c>
      <c r="E291" s="4" t="str" cm="1">
        <f t="array" ref="E291">_xlfn.IFS(
F291 = "A partir de Abril", "Aguardando Execução na Distribuidora",
A291 = "CAPACITAÇÃO", "Em execução no Corporativo",
TRUE, "Em Execução na Distribuidora"
)</f>
        <v>Em Execução na Distribuidora</v>
      </c>
      <c r="F291" s="4" t="str" cm="1">
        <f t="array" ref="F291">_xlfn.IFS(
AG291 &lt;&gt; "", "Jan-Dez/26",
AH291 &lt;&gt; "", "Fev-Dez/26",
AI291 &lt;&gt; "", "Mar-Dez/26", AJ291 &lt;&gt; "", "Abr-Dez/26",
TRUE, "A partir de Junho"
)</f>
        <v>Jan-Dez/26</v>
      </c>
      <c r="G291" s="4" t="s">
        <v>37</v>
      </c>
      <c r="H291" s="7" t="s">
        <v>38</v>
      </c>
      <c r="I291" s="9" t="s">
        <v>76</v>
      </c>
      <c r="J291" s="8" t="str" cm="1">
        <f t="array" aca="1" ref="J291" ca="1">_xlfn.LET(
  _xlpm.actual_value_month, INDEX(T291:AE291, MATCH(DATE(YEAR(TODAY()), MONTH(TODAY()), 1), $T$1:$AE$1, 0)),
  IF(_xlpm.actual_value_month &lt;&gt; "",_xlpm.actual_value_month &amp; " ações mensais", "")
)</f>
        <v/>
      </c>
      <c r="K291" s="8" t="str" cm="1">
        <f t="array" ref="K291">_xlfn.LET(
    _xlpm.sum_month, SUM(T291:AE291),
    IF(_xlpm.sum_month = 0, "", _xlpm.sum_month &amp; " alcançadas no ano")
)</f>
        <v/>
      </c>
      <c r="L291" s="9" t="s">
        <v>141</v>
      </c>
      <c r="M291" s="24">
        <v>1</v>
      </c>
      <c r="N291" s="5" t="s">
        <v>51</v>
      </c>
      <c r="O291" s="5" t="s">
        <v>52</v>
      </c>
      <c r="P291" s="10" t="s">
        <v>44</v>
      </c>
      <c r="Q291" s="10" t="s">
        <v>44</v>
      </c>
      <c r="R291" s="10" t="s">
        <v>44</v>
      </c>
      <c r="S291" s="10" t="s">
        <v>44</v>
      </c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G291" s="71">
        <v>42</v>
      </c>
      <c r="AH291" s="71">
        <v>42</v>
      </c>
      <c r="AI291" s="71">
        <v>42</v>
      </c>
      <c r="AJ291" s="71">
        <v>42</v>
      </c>
      <c r="AK291" s="71"/>
      <c r="AL291" s="71"/>
      <c r="AM291" s="71"/>
      <c r="AN291" s="71"/>
      <c r="AO291" s="71"/>
      <c r="AP291" s="71"/>
      <c r="AQ291" s="71"/>
      <c r="AR291" s="71"/>
      <c r="AS291" s="94">
        <f t="shared" ca="1" si="619"/>
        <v>0</v>
      </c>
      <c r="AT291" s="95">
        <f>SUM(AG291:AR291)</f>
        <v>168</v>
      </c>
      <c r="AU291" s="97">
        <f t="shared" si="620"/>
        <v>168</v>
      </c>
      <c r="AW291" s="83">
        <f>AG291</f>
        <v>42</v>
      </c>
      <c r="AX291" s="83">
        <f t="shared" si="621"/>
        <v>42</v>
      </c>
      <c r="AY291" s="83">
        <f t="shared" si="622"/>
        <v>42</v>
      </c>
      <c r="AZ291" s="83">
        <f t="shared" si="623"/>
        <v>42</v>
      </c>
      <c r="BA291" s="52"/>
      <c r="BB291" s="52"/>
      <c r="BC291" s="52"/>
      <c r="BD291" s="52"/>
      <c r="BE291" s="52"/>
      <c r="BF291" s="52"/>
      <c r="BG291" s="52"/>
      <c r="BH291" s="52"/>
      <c r="BI291" s="68" cm="1">
        <f t="array" ref="BI291">IFERROR(INDEX(AW291:BH291,1,MATCH(2,1/(AW291:BH291&lt;&gt;""))),"")</f>
        <v>42</v>
      </c>
      <c r="BJ291" s="68" cm="1">
        <f t="array" ref="BJ291">IF(BM291 = "", "",IFERROR(INDEX(AW291:BH291,1,MATCH(2,1/(AW291:BH291&lt;&gt;""),1)-1),""))</f>
        <v>42</v>
      </c>
      <c r="BK291" s="59">
        <f>SUM(AW291:BH291)</f>
        <v>168</v>
      </c>
      <c r="BL291" s="59" cm="1">
        <f t="array" ref="BL291">IFERROR(SUM(AW291:INDEX(AW291:BH291, MATCH(2, 1/(AW291:BH291&lt;&gt;""), 1) - 1))/_xlfn.XLOOKUP(F291,Apuração!A:A,Apuração!B:B),0)</f>
        <v>10.5</v>
      </c>
      <c r="BM291" s="55" cm="1">
        <f t="array" ref="BM291">IFERROR(
   INDEX($AW$1:$BH$1,
      _xlfn.AGGREGATE(14, 6, COLUMN($AW$1:$BH$1)/(AW291:BH291&lt;&gt;""), 2) - COLUMN($AW$1) + 1
   ),
"")</f>
        <v>46082</v>
      </c>
      <c r="BN291" s="55" cm="1">
        <f t="array" ref="BN291">IFERROR(INDEX($AW$1:$BH$1,1,MATCH(2,1/(AW291:BH291&lt;&gt;""))),"")</f>
        <v>46113</v>
      </c>
      <c r="BO291" s="53">
        <f ca="1">IFERROR(_xlfn.XLOOKUP(F291,Apuração!A:A,Apuração!C:C)/_xlfn.XLOOKUP(F291,Apuração!A:A,Apuração!B:B),0)</f>
        <v>0.41666666666666669</v>
      </c>
      <c r="BP291" s="53">
        <f ca="1">IFERROR(_xlfn.XLOOKUP(F291,Apuração!A:A,Apuração!D:D)/_xlfn.XLOOKUP(F291,Apuração!A:A,Apuração!B:B),0)</f>
        <v>0.33333333333333331</v>
      </c>
      <c r="BQ291" s="53">
        <f ca="1">IF(BK291&gt;=BO291,0,_xlfn.XLOOKUP(F291,Apuração!A:A,Apuração!B:B)*(BO291 + (1/_xlfn.XLOOKUP(F291,Apuração!A:A,Apuração!B:B)) - BK291))</f>
        <v>0</v>
      </c>
      <c r="BR291" s="85">
        <f t="shared" ca="1" si="609"/>
        <v>0</v>
      </c>
      <c r="BS291" s="53">
        <f ca="1">IFERROR((_xlfn.XLOOKUP(F291,Apuração!A:A,Apuração!C:C)+1)/_xlfn.XLOOKUP(F291,Apuração!A:A,Apuração!B:B),0)</f>
        <v>0.5</v>
      </c>
    </row>
    <row r="292" spans="1:71" ht="25.95" hidden="1" customHeight="1" x14ac:dyDescent="0.3">
      <c r="A292" s="23" t="s">
        <v>134</v>
      </c>
      <c r="B292" s="4" t="s">
        <v>142</v>
      </c>
      <c r="C292" s="5" t="s">
        <v>95</v>
      </c>
      <c r="D292" s="5" t="s">
        <v>36</v>
      </c>
      <c r="E292" s="4" t="str" cm="1">
        <f t="array" ref="E292">_xlfn.IFS(
F292 = "A partir de Abril", "Aguardando Execução na Distribuidora",
A292 = "CAPACITAÇÃO", "Em execução no Corporativo",
TRUE, "Em Execução na Distribuidora"
)</f>
        <v>Em Execução na Distribuidora</v>
      </c>
      <c r="F292" s="4" t="str" cm="1">
        <f t="array" ref="F292">_xlfn.IFS(
AG292 &lt;&gt; "", "Jan-Dez/26",
AH292 &lt;&gt; "", "Fev-Dez/26",
AI292 &lt;&gt; "", "Mar-Dez/26", AJ292 &lt;&gt; "", "Abr-Dez/26",
TRUE, "A partir de Junho"
)</f>
        <v>Jan-Dez/26</v>
      </c>
      <c r="G292" s="4" t="s">
        <v>37</v>
      </c>
      <c r="H292" s="7" t="s">
        <v>110</v>
      </c>
      <c r="I292" s="8" t="s">
        <v>143</v>
      </c>
      <c r="J292" s="8" t="str" cm="1">
        <f t="array" aca="1" ref="J292" ca="1">_xlfn.LET(
  _xlpm.actual_value_month, INDEX(T292:AE292, MATCH(DATE(YEAR(TODAY()), MONTH(TODAY()), 1), $T$1:$AE$1, 0)),
  IF(_xlpm.actual_value_month &lt;&gt; "",_xlpm.actual_value_month &amp; " equipes mensais", "")
)</f>
        <v>168 equipes mensais</v>
      </c>
      <c r="K292" s="8" t="str" cm="1">
        <f t="array" ref="K292">_xlfn.LET(
    _xlpm.sum_month, SUM(T292:AE292),
    IF(_xlpm.sum_month = 0, "", _xlpm.sum_month &amp; " equipes inspencionadas no ano")
)</f>
        <v>2091 equipes inspencionadas no ano</v>
      </c>
      <c r="L292" s="4" t="s">
        <v>144</v>
      </c>
      <c r="M292" s="24" t="s">
        <v>145</v>
      </c>
      <c r="N292" s="5" t="s">
        <v>42</v>
      </c>
      <c r="O292" s="5" t="s">
        <v>43</v>
      </c>
      <c r="P292" s="10" t="s">
        <v>146</v>
      </c>
      <c r="Q292" s="10" t="s">
        <v>44</v>
      </c>
      <c r="R292" s="11" t="s">
        <v>147</v>
      </c>
      <c r="S292" s="11" t="s">
        <v>44</v>
      </c>
      <c r="T292" s="22">
        <v>198</v>
      </c>
      <c r="U292" s="22">
        <v>193</v>
      </c>
      <c r="V292" s="22">
        <v>188</v>
      </c>
      <c r="W292" s="22">
        <v>168</v>
      </c>
      <c r="X292" s="22">
        <v>168</v>
      </c>
      <c r="Y292" s="22">
        <v>168</v>
      </c>
      <c r="Z292" s="22">
        <v>168</v>
      </c>
      <c r="AA292" s="22">
        <v>168</v>
      </c>
      <c r="AB292" s="22">
        <v>168</v>
      </c>
      <c r="AC292" s="22">
        <v>168</v>
      </c>
      <c r="AD292" s="22">
        <v>168</v>
      </c>
      <c r="AE292" s="22">
        <v>168</v>
      </c>
      <c r="AG292" s="71">
        <v>198</v>
      </c>
      <c r="AH292" s="71">
        <v>193</v>
      </c>
      <c r="AI292" s="71">
        <v>188</v>
      </c>
      <c r="AJ292" s="71">
        <v>197</v>
      </c>
      <c r="AK292" s="71"/>
      <c r="AL292" s="71"/>
      <c r="AM292" s="71"/>
      <c r="AN292" s="71"/>
      <c r="AO292" s="71"/>
      <c r="AP292" s="71"/>
      <c r="AQ292" s="71"/>
      <c r="AR292" s="71"/>
      <c r="AS292" s="94">
        <f t="shared" ca="1" si="619"/>
        <v>915</v>
      </c>
      <c r="AT292" s="95">
        <f>SUM(IF(AW292&lt;1.15,AG292,1.15*T292),IF(AX292&lt;1.15,AH292,1.15*U292),IF(AY292&lt;1.15,AI292,1.15*V292),IF(AZ292&lt;1.15,AJ292,1.15*W292),IF(BA292&lt;1.15,AK292,1.15*X292),IF(BB292&lt;1.15,AL292,1.15*Y292),IF(BC292&lt;1.15,AM292,1.15*Z292),IF(BD292&lt;1.15,AN292,1.15*AA292),IF(BE292&lt;1.15,AO292,1.15*AB292),IF(BF292&lt;1.15,AP292,1.15*AC292),IF(BG292&lt;1.15,AQ292,1.15*AD292),IF(BH292&lt;1.15,AR292,1.15*AE292))</f>
        <v>772.2</v>
      </c>
      <c r="AU292" s="97">
        <f t="shared" si="620"/>
        <v>776</v>
      </c>
      <c r="AW292" s="51">
        <f>IFERROR(IF(AG292="",0,AG292/T292),0)</f>
        <v>1</v>
      </c>
      <c r="AX292" s="51">
        <f>IFERROR(IF(AH292="",0,AH292/U292),0)</f>
        <v>1</v>
      </c>
      <c r="AY292" s="51">
        <f>IFERROR(IF(AI292="",0,AI292/V292),0)</f>
        <v>1</v>
      </c>
      <c r="AZ292" s="51">
        <f>IFERROR(IF(AJ292="",0,AJ292/W292),0)</f>
        <v>1.1726190476190477</v>
      </c>
      <c r="BA292" s="51"/>
      <c r="BB292" s="51"/>
      <c r="BC292" s="51"/>
      <c r="BD292" s="51"/>
      <c r="BE292" s="51"/>
      <c r="BF292" s="51"/>
      <c r="BG292" s="51"/>
      <c r="BH292" s="51"/>
      <c r="BI292" s="65" cm="1">
        <f t="array" ref="BI292">IFERROR(INDEX(AW292:BH292,1,MATCH(2,1/(AW292:BH292&lt;&gt;""))),"")</f>
        <v>1.1726190476190477</v>
      </c>
      <c r="BJ292" s="68" cm="1">
        <f t="array" ref="BJ292">IF(BM292 = "", "",IFERROR(INDEX(AW292:BH292,1,MATCH(2,1/(AW292:BH292&lt;&gt;""),1)-1),""))</f>
        <v>1</v>
      </c>
      <c r="BK292" s="58">
        <f>IF((IF(AW292&gt;=115%,115%,AW292) + IF(AX292&gt;=115%,115%,AX292) + IF(AY292&gt;=115%,115%,AY292) + (IF(AZ292&gt;=115%,115%,AZ292) + IF(BA292&gt;=115%,115%,BA292) + IF(BB292&gt;=115%,115%,BB292) + IF(BC292&gt;=115%,115%,BC292) + IF(BD292&gt;=115%,115%,BD292) + IF(BE292&gt;=115%,115%,BE292) + IF(BF292&gt;=115%,115%,BF292) + IF(BG292&gt;=115%,115%,BG292) + IF(BH292&gt;=115%,115%,BH292)))/_xlfn.XLOOKUP(F292,Apuração!A:A,Apuração!B:B)&gt;=1.15,1.15,((IF(AZ292&gt;=115%,115%,AZ292) + IF(AX292&gt;=115%,115%,AX292) + IF(AY292&gt;=115%,115%,AY292) + (IF(AW292&gt;=115%,115%,AW292) + IF(BA292&gt;=115%,115%,BA292) + IF(BB292&gt;=115%,115%,BB292) + IF(BC292&gt;=115%,115%,BC292) + IF(BD292&gt;=115%,115%,BD292) + IF(BE292&gt;=115%,115%,BE292) + IF(BF292&gt;=115%,115%,BF292) + IF(BG292&gt;=115%,115%,BG292) + IF(BH292&gt;=115%,115%,BH292)))/_xlfn.XLOOKUP(F292,Apuração!A:A,Apuração!B:B)))</f>
        <v>0.34583333333333338</v>
      </c>
      <c r="BL292" s="58" cm="1">
        <f t="array" aca="1" ref="BL292" ca="1">IF(SUM(IFERROR(IF(INDEX(AW292:INDEX(AW292:BH292, MATCH(2, 1/(AW292:BH292&lt;&gt;""), 1)-1), ROW(INDIRECT("1:" &amp; MATCH(2, 1/(AW292:BH292&lt;&gt;""), 1)-1))) &gt;= 115%, 115%, INDEX(AW292:INDEX(AW292:BH292, MATCH(2, 1/(AW292:BH292&lt;&gt;""), 1)-1), ROW(INDIRECT("1:" &amp; MATCH(2, 1/(AW292:BH292&lt;&gt;""), 1)-1)))), 0))/_xlfn.XLOOKUP(F292,Apuração!A:A,Apuração!B:B)&gt;=1.15,1.15,SUM(IFERROR(IF(INDEX(AW292:INDEX(AW292:BH292, MATCH(2, 1/(AW292:BH292&lt;&gt;""), 1)-1), ROW(INDIRECT("1:" &amp; MATCH(2, 1/(AW292:BH292&lt;&gt;""), 1)-1))) &gt;= 115%, 115%, INDEX(AW292:INDEX(AW292:BH292, MATCH(2, 1/(AW292:BH292&lt;&gt;""), 1)-1), ROW(INDIRECT("1:" &amp; MATCH(2, 1/(AW292:BH292&lt;&gt;""), 1)-1)))), 0))/_xlfn.XLOOKUP(F292,Apuração!A:A,Apuração!B:B))</f>
        <v>0.25</v>
      </c>
      <c r="BM292" s="55" cm="1">
        <f t="array" ref="BM292">IFERROR(
   INDEX($AW$1:$BH$1,
      _xlfn.AGGREGATE(14, 6, COLUMN($AW$1:$BH$1)/(AW292:BH292&lt;&gt;""), 2) - COLUMN($AW$1) + 1
   ),
"")</f>
        <v>46082</v>
      </c>
      <c r="BN292" s="55" cm="1">
        <f t="array" ref="BN292">IFERROR(INDEX($AW$1:$BH$1,1,MATCH(2,1/(AW292:BH292&lt;&gt;""))),"")</f>
        <v>46113</v>
      </c>
      <c r="BO292" s="53">
        <f ca="1">IFERROR(_xlfn.XLOOKUP(F292,Apuração!A:A,Apuração!C:C)/_xlfn.XLOOKUP(F292,Apuração!A:A,Apuração!B:B),0)</f>
        <v>0.41666666666666669</v>
      </c>
      <c r="BP292" s="53">
        <f ca="1">IFERROR(_xlfn.XLOOKUP(F292,Apuração!A:A,Apuração!D:D)/_xlfn.XLOOKUP(F292,Apuração!A:A,Apuração!B:B),0)</f>
        <v>0.33333333333333331</v>
      </c>
      <c r="BQ292" s="53">
        <f ca="1">IF(BK292&gt;=BO292,0,_xlfn.XLOOKUP(F292,Apuração!A:A,Apuração!B:B)*(BO292 + (1/_xlfn.XLOOKUP(F292,Apuração!A:A,Apuração!B:B)) - BK292))</f>
        <v>1.8499999999999994</v>
      </c>
      <c r="BR292" s="85">
        <f t="shared" ca="1" si="609"/>
        <v>310.7999999999999</v>
      </c>
      <c r="BS292" s="53">
        <f ca="1">IFERROR((_xlfn.XLOOKUP(F292,Apuração!A:A,Apuração!C:C)+1)/_xlfn.XLOOKUP(F292,Apuração!A:A,Apuração!B:B),0)</f>
        <v>0.5</v>
      </c>
    </row>
    <row r="293" spans="1:71" ht="25.95" hidden="1" customHeight="1" x14ac:dyDescent="0.3">
      <c r="A293" s="42" t="s">
        <v>134</v>
      </c>
      <c r="B293" s="4" t="s">
        <v>142</v>
      </c>
      <c r="C293" s="5" t="s">
        <v>95</v>
      </c>
      <c r="D293" s="5" t="s">
        <v>36</v>
      </c>
      <c r="E293" s="4" t="str" cm="1">
        <f t="array" ref="E293">_xlfn.IFS(
F293 = "A partir de Abril", "Aguardando Execução na Distribuidora",
A293 = "CAPACITAÇÃO", "Em execução no Corporativo",
TRUE, "Em Execução na Distribuidora"
)</f>
        <v>Em Execução na Distribuidora</v>
      </c>
      <c r="F293" s="4" t="str" cm="1">
        <f t="array" ref="F293">_xlfn.IFS(
AG293 &lt;&gt; "", "Jan-Dez/26",
AH293 &lt;&gt; "", "Fev-Dez/26",
AI293 &lt;&gt; "", "Mar-Dez/26", AJ293 &lt;&gt; "", "Abr-Dez/26",
TRUE, "A partir de Junho"
)</f>
        <v>Jan-Dez/26</v>
      </c>
      <c r="G293" s="4" t="s">
        <v>37</v>
      </c>
      <c r="H293" s="7" t="s">
        <v>110</v>
      </c>
      <c r="I293" s="8" t="s">
        <v>148</v>
      </c>
      <c r="J293" s="8" t="str" cm="1">
        <f t="array" aca="1" ref="J293" ca="1">_xlfn.LET(
  _xlpm.actual_value_month, INDEX(T293:AE293, MATCH(DATE(YEAR(TODAY()), MONTH(TODAY()), 1), $T$1:$AE$1, 0)),
  IF(_xlpm.actual_value_month &lt;&gt; "",_xlpm.actual_value_month &amp; " ações mensais", "")
)</f>
        <v/>
      </c>
      <c r="K293" s="8" t="str" cm="1">
        <f t="array" ref="K293">_xlfn.LET(
    _xlpm.sum_month, SUM(T293:AE293),
    IF(_xlpm.sum_month = 0, "", _xlpm.sum_month &amp; " NC's no ano")
)</f>
        <v/>
      </c>
      <c r="L293" s="9" t="s">
        <v>149</v>
      </c>
      <c r="M293" s="24">
        <v>1</v>
      </c>
      <c r="N293" s="5" t="s">
        <v>51</v>
      </c>
      <c r="O293" s="5" t="s">
        <v>52</v>
      </c>
      <c r="P293" s="10" t="s">
        <v>44</v>
      </c>
      <c r="Q293" s="10" t="s">
        <v>44</v>
      </c>
      <c r="R293" s="11" t="s">
        <v>44</v>
      </c>
      <c r="S293" s="11" t="s">
        <v>44</v>
      </c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G293" s="71">
        <v>30</v>
      </c>
      <c r="AH293" s="71">
        <v>37</v>
      </c>
      <c r="AI293" s="71">
        <v>20</v>
      </c>
      <c r="AJ293" s="71">
        <v>27</v>
      </c>
      <c r="AK293" s="71"/>
      <c r="AL293" s="71"/>
      <c r="AM293" s="71"/>
      <c r="AN293" s="71"/>
      <c r="AO293" s="71"/>
      <c r="AP293" s="71"/>
      <c r="AQ293" s="71"/>
      <c r="AR293" s="71"/>
      <c r="AS293" s="94">
        <f t="shared" ca="1" si="619"/>
        <v>0</v>
      </c>
      <c r="AT293" s="95">
        <f>SUM(AG293:AR293)</f>
        <v>114</v>
      </c>
      <c r="AU293" s="97">
        <f t="shared" si="620"/>
        <v>114</v>
      </c>
      <c r="AW293" s="83">
        <f>AG293</f>
        <v>30</v>
      </c>
      <c r="AX293" s="83">
        <f t="shared" ref="AX293" si="624">AH293</f>
        <v>37</v>
      </c>
      <c r="AY293" s="83">
        <f t="shared" ref="AY293" si="625">AI293</f>
        <v>20</v>
      </c>
      <c r="AZ293" s="83">
        <f t="shared" ref="AZ293" si="626">AJ293</f>
        <v>27</v>
      </c>
      <c r="BA293" s="52"/>
      <c r="BB293" s="52"/>
      <c r="BC293" s="52"/>
      <c r="BD293" s="52"/>
      <c r="BE293" s="52"/>
      <c r="BF293" s="52"/>
      <c r="BG293" s="52"/>
      <c r="BH293" s="52"/>
      <c r="BI293" s="68" cm="1">
        <f t="array" ref="BI293">IFERROR(INDEX(AW293:BH293,1,MATCH(2,1/(AW293:BH293&lt;&gt;""))),"")</f>
        <v>27</v>
      </c>
      <c r="BJ293" s="68" cm="1">
        <f t="array" ref="BJ293">IF(BM293 = "", "",IFERROR(INDEX(AW293:BH293,1,MATCH(2,1/(AW293:BH293&lt;&gt;""),1)-1),""))</f>
        <v>20</v>
      </c>
      <c r="BK293" s="59">
        <f>SUM(AW293:BH293)</f>
        <v>114</v>
      </c>
      <c r="BL293" s="59" cm="1">
        <f t="array" ref="BL293">IFERROR(SUM(AW293:INDEX(AW293:BH293, MATCH(2, 1/(AW293:BH293&lt;&gt;""), 1) - 1))/_xlfn.XLOOKUP(F293,Apuração!A:A,Apuração!B:B),0)</f>
        <v>7.25</v>
      </c>
      <c r="BM293" s="55" cm="1">
        <f t="array" ref="BM293">IFERROR(
   INDEX($AW$1:$BH$1,
      _xlfn.AGGREGATE(14, 6, COLUMN($AW$1:$BH$1)/(AW293:BH293&lt;&gt;""), 2) - COLUMN($AW$1) + 1
   ),
"")</f>
        <v>46082</v>
      </c>
      <c r="BN293" s="55" cm="1">
        <f t="array" ref="BN293">IFERROR(INDEX($AW$1:$BH$1,1,MATCH(2,1/(AW293:BH293&lt;&gt;""))),"")</f>
        <v>46113</v>
      </c>
      <c r="BO293" s="53">
        <f ca="1">IFERROR(_xlfn.XLOOKUP(F293,Apuração!A:A,Apuração!C:C)/_xlfn.XLOOKUP(F293,Apuração!A:A,Apuração!B:B),0)</f>
        <v>0.41666666666666669</v>
      </c>
      <c r="BP293" s="53">
        <f ca="1">IFERROR(_xlfn.XLOOKUP(F293,Apuração!A:A,Apuração!D:D)/_xlfn.XLOOKUP(F293,Apuração!A:A,Apuração!B:B),0)</f>
        <v>0.33333333333333331</v>
      </c>
      <c r="BQ293" s="53">
        <f ca="1">IF(BK293&gt;=BO293,0,_xlfn.XLOOKUP(F293,Apuração!A:A,Apuração!B:B)*(BO293 + (1/_xlfn.XLOOKUP(F293,Apuração!A:A,Apuração!B:B)) - BK293))</f>
        <v>0</v>
      </c>
      <c r="BR293" s="85">
        <f t="shared" ca="1" si="609"/>
        <v>0</v>
      </c>
      <c r="BS293" s="53">
        <f ca="1">IFERROR((_xlfn.XLOOKUP(F293,Apuração!A:A,Apuração!C:C)+1)/_xlfn.XLOOKUP(F293,Apuração!A:A,Apuração!B:B),0)</f>
        <v>0.5</v>
      </c>
    </row>
    <row r="294" spans="1:71" ht="25.95" hidden="1" customHeight="1" x14ac:dyDescent="0.3">
      <c r="A294" s="25" t="s">
        <v>134</v>
      </c>
      <c r="B294" s="15" t="s">
        <v>150</v>
      </c>
      <c r="C294" s="5" t="s">
        <v>95</v>
      </c>
      <c r="D294" s="5" t="s">
        <v>36</v>
      </c>
      <c r="E294" s="4" t="str" cm="1">
        <f t="array" ref="E294">_xlfn.IFS(
F294 = "A partir de Abril", "Aguardando Execução na Distribuidora",
A294 = "CAPACITAÇÃO", "Em execução no Corporativo",
TRUE, "Em Execução na Distribuidora"
)</f>
        <v>Em Execução na Distribuidora</v>
      </c>
      <c r="F294" s="4" t="str" cm="1">
        <f t="array" ref="F294">_xlfn.IFS(
AG294 &lt;&gt; "", "Jan-Dez/26",
AH294 &lt;&gt; "", "Fev-Dez/26",
AI294 &lt;&gt; "", "Mar-Dez/26", AJ294 &lt;&gt; "", "Abr-Dez/26",
TRUE, "A partir de Junho"
)</f>
        <v>Jan-Dez/26</v>
      </c>
      <c r="G294" s="15" t="s">
        <v>37</v>
      </c>
      <c r="H294" s="27" t="s">
        <v>54</v>
      </c>
      <c r="I294" s="28" t="s">
        <v>124</v>
      </c>
      <c r="J294" s="8" t="str" cm="1">
        <f t="array" aca="1" ref="J294" ca="1">_xlfn.LET(
  _xlpm.actual_value_month, INDEX(T294:AE294, MATCH(DATE(YEAR(TODAY()), MONTH(TODAY()), 1), $T$1:$AE$1, 0)),
  IF(_xlpm.actual_value_month &lt;&gt; "",_xlpm.actual_value_month &amp; " reuniões mensais", "")
)</f>
        <v/>
      </c>
      <c r="K294" s="8" t="str" cm="1">
        <f t="array" ref="K294">_xlfn.LET(
    _xlpm.sum_month, SUM(T294:AE294),
    IF(_xlpm.sum_month = 0, "", _xlpm.sum_month &amp; " atividades no ano")
)</f>
        <v>314 atividades no ano</v>
      </c>
      <c r="L294" s="29" t="s">
        <v>125</v>
      </c>
      <c r="M294" s="30" t="s">
        <v>151</v>
      </c>
      <c r="N294" s="66" t="s">
        <v>42</v>
      </c>
      <c r="O294" s="111" t="s">
        <v>52</v>
      </c>
      <c r="P294" s="31" t="s">
        <v>44</v>
      </c>
      <c r="Q294" s="31" t="s">
        <v>72</v>
      </c>
      <c r="R294" s="32" t="s">
        <v>44</v>
      </c>
      <c r="S294" s="32" t="s">
        <v>44</v>
      </c>
      <c r="T294" s="22">
        <v>93</v>
      </c>
      <c r="U294" s="22">
        <v>81</v>
      </c>
      <c r="V294" s="22">
        <v>76</v>
      </c>
      <c r="W294" s="22">
        <v>64</v>
      </c>
      <c r="X294" s="22"/>
      <c r="Y294" s="22"/>
      <c r="Z294" s="22"/>
      <c r="AA294" s="22"/>
      <c r="AB294" s="22"/>
      <c r="AC294" s="22"/>
      <c r="AD294" s="22"/>
      <c r="AE294" s="22"/>
      <c r="AG294" s="71">
        <v>93</v>
      </c>
      <c r="AH294" s="71">
        <v>81</v>
      </c>
      <c r="AI294" s="71">
        <v>76</v>
      </c>
      <c r="AJ294" s="71">
        <v>64</v>
      </c>
      <c r="AK294" s="71"/>
      <c r="AL294" s="71"/>
      <c r="AM294" s="71"/>
      <c r="AN294" s="71"/>
      <c r="AO294" s="71"/>
      <c r="AP294" s="71"/>
      <c r="AQ294" s="71"/>
      <c r="AR294" s="71"/>
      <c r="AS294" s="94">
        <f t="shared" ca="1" si="619"/>
        <v>314</v>
      </c>
      <c r="AT294" s="95">
        <f>SUM(IF(AW294&lt;1.15,AG294,1.15*T294),IF(AX294&lt;1.15,AH294,1.15*U294),IF(AY294&lt;1.15,AI294,1.15*V294),IF(AZ294&lt;1.15,AJ294,1.15*W294),IF(BA294&lt;1.15,AK294,1.15*X294),IF(BB294&lt;1.15,AL294,1.15*Y294),IF(BC294&lt;1.15,AM294,1.15*Z294),IF(BD294&lt;1.15,AN294,1.15*AA294),IF(BE294&lt;1.15,AO294,1.15*AB294),IF(BF294&lt;1.15,AP294,1.15*AC294),IF(BG294&lt;1.15,AQ294,1.15*AD294),IF(BH294&lt;1.15,AR294,1.15*AE294))</f>
        <v>314</v>
      </c>
      <c r="AU294" s="97">
        <f t="shared" si="620"/>
        <v>314</v>
      </c>
      <c r="AW294" s="51">
        <f>IFERROR(IF(AG294="",0,AG294/T294),0)</f>
        <v>1</v>
      </c>
      <c r="AX294" s="51">
        <f>IFERROR(IF(AH294="",0,AH294/U294),0)</f>
        <v>1</v>
      </c>
      <c r="AY294" s="51">
        <f>IFERROR(IF(AI294="",0,AI294/V294),0)</f>
        <v>1</v>
      </c>
      <c r="AZ294" s="51">
        <f>IFERROR(IF(AJ294="",0,AJ294/W294),0)</f>
        <v>1</v>
      </c>
      <c r="BA294" s="51"/>
      <c r="BB294" s="51"/>
      <c r="BC294" s="51"/>
      <c r="BD294" s="51"/>
      <c r="BE294" s="51"/>
      <c r="BF294" s="51"/>
      <c r="BG294" s="51"/>
      <c r="BH294" s="51"/>
      <c r="BI294" s="65" cm="1">
        <f t="array" ref="BI294">IFERROR(INDEX(AW294:BH294,1,MATCH(2,1/(AW294:BH294&lt;&gt;""))),"")</f>
        <v>1</v>
      </c>
      <c r="BJ294" s="68" cm="1">
        <f t="array" ref="BJ294">IF(BM294 = "", "",IFERROR(INDEX(AW294:BH294,1,MATCH(2,1/(AW294:BH294&lt;&gt;""),1)-1),""))</f>
        <v>1</v>
      </c>
      <c r="BK294" s="58">
        <f>IF((IF(AW294&gt;=115%,115%,AW294) + IF(AX294&gt;=115%,115%,AX294) + IF(AY294&gt;=115%,115%,AY294) + (IF(AZ294&gt;=115%,115%,AZ294) + IF(BA294&gt;=115%,115%,BA294) + IF(BB294&gt;=115%,115%,BB294) + IF(BC294&gt;=115%,115%,BC294) + IF(BD294&gt;=115%,115%,BD294) + IF(BE294&gt;=115%,115%,BE294) + IF(BF294&gt;=115%,115%,BF294) + IF(BG294&gt;=115%,115%,BG294) + IF(BH294&gt;=115%,115%,BH294)))/_xlfn.XLOOKUP(F294,Apuração!A:A,Apuração!B:B)&gt;=1.15,1.15,((IF(AZ294&gt;=115%,115%,AZ294) + IF(AX294&gt;=115%,115%,AX294) + IF(AY294&gt;=115%,115%,AY294) + (IF(AW294&gt;=115%,115%,AW294) + IF(BA294&gt;=115%,115%,BA294) + IF(BB294&gt;=115%,115%,BB294) + IF(BC294&gt;=115%,115%,BC294) + IF(BD294&gt;=115%,115%,BD294) + IF(BE294&gt;=115%,115%,BE294) + IF(BF294&gt;=115%,115%,BF294) + IF(BG294&gt;=115%,115%,BG294) + IF(BH294&gt;=115%,115%,BH294)))/_xlfn.XLOOKUP(F294,Apuração!A:A,Apuração!B:B)))</f>
        <v>0.33333333333333331</v>
      </c>
      <c r="BL294" s="58" cm="1">
        <f t="array" aca="1" ref="BL294" ca="1">IF(SUM(IFERROR(IF(INDEX(AW294:INDEX(AW294:BH294, MATCH(2, 1/(AW294:BH294&lt;&gt;""), 1)-1), ROW(INDIRECT("1:" &amp; MATCH(2, 1/(AW294:BH294&lt;&gt;""), 1)-1))) &gt;= 115%, 115%, INDEX(AW294:INDEX(AW294:BH294, MATCH(2, 1/(AW294:BH294&lt;&gt;""), 1)-1), ROW(INDIRECT("1:" &amp; MATCH(2, 1/(AW294:BH294&lt;&gt;""), 1)-1)))), 0))/_xlfn.XLOOKUP(F294,Apuração!A:A,Apuração!B:B)&gt;=1.15,1.15,SUM(IFERROR(IF(INDEX(AW294:INDEX(AW294:BH294, MATCH(2, 1/(AW294:BH294&lt;&gt;""), 1)-1), ROW(INDIRECT("1:" &amp; MATCH(2, 1/(AW294:BH294&lt;&gt;""), 1)-1))) &gt;= 115%, 115%, INDEX(AW294:INDEX(AW294:BH294, MATCH(2, 1/(AW294:BH294&lt;&gt;""), 1)-1), ROW(INDIRECT("1:" &amp; MATCH(2, 1/(AW294:BH294&lt;&gt;""), 1)-1)))), 0))/_xlfn.XLOOKUP(F294,Apuração!A:A,Apuração!B:B))</f>
        <v>0.25</v>
      </c>
      <c r="BM294" s="55" cm="1">
        <f t="array" ref="BM294">IFERROR(
   INDEX($AW$1:$BH$1,
      _xlfn.AGGREGATE(14, 6, COLUMN($AW$1:$BH$1)/(AW294:BH294&lt;&gt;""), 2) - COLUMN($AW$1) + 1
   ),
"")</f>
        <v>46082</v>
      </c>
      <c r="BN294" s="55" cm="1">
        <f t="array" ref="BN294">IFERROR(INDEX($AW$1:$BH$1,1,MATCH(2,1/(AW294:BH294&lt;&gt;""))),"")</f>
        <v>46113</v>
      </c>
      <c r="BO294" s="53">
        <f ca="1">IFERROR(_xlfn.XLOOKUP(F294,Apuração!A:A,Apuração!C:C)/_xlfn.XLOOKUP(F294,Apuração!A:A,Apuração!B:B),0)</f>
        <v>0.41666666666666669</v>
      </c>
      <c r="BP294" s="53">
        <f ca="1">IFERROR(_xlfn.XLOOKUP(F294,Apuração!A:A,Apuração!D:D)/_xlfn.XLOOKUP(F294,Apuração!A:A,Apuração!B:B),0)</f>
        <v>0.33333333333333331</v>
      </c>
      <c r="BQ294" s="53">
        <f ca="1">IF(BK294&gt;=BO294,0,_xlfn.XLOOKUP(F294,Apuração!A:A,Apuração!B:B)*(BO294 + (1/_xlfn.XLOOKUP(F294,Apuração!A:A,Apuração!B:B)) - BK294))</f>
        <v>2</v>
      </c>
      <c r="BR294" s="85">
        <f t="shared" ca="1" si="609"/>
        <v>0</v>
      </c>
      <c r="BS294" s="53">
        <f ca="1">IFERROR((_xlfn.XLOOKUP(F294,Apuração!A:A,Apuração!C:C)+1)/_xlfn.XLOOKUP(F294,Apuração!A:A,Apuração!B:B),0)</f>
        <v>0.5</v>
      </c>
    </row>
    <row r="295" spans="1:71" ht="25.95" hidden="1" customHeight="1" x14ac:dyDescent="0.3">
      <c r="A295" s="43" t="s">
        <v>134</v>
      </c>
      <c r="B295" s="4" t="s">
        <v>150</v>
      </c>
      <c r="C295" s="5" t="s">
        <v>95</v>
      </c>
      <c r="D295" s="5" t="s">
        <v>36</v>
      </c>
      <c r="E295" s="4" t="str" cm="1">
        <f t="array" ref="E295">_xlfn.IFS(
F295 = "A partir de Abril", "Aguardando Execução na Distribuidora",
A295 = "CAPACITAÇÃO", "Em execução no Corporativo",
TRUE, "Em Execução na Distribuidora"
)</f>
        <v>Em Execução na Distribuidora</v>
      </c>
      <c r="F295" s="4" t="str" cm="1">
        <f t="array" ref="F295">_xlfn.IFS(
AG295 &lt;&gt; "", "Jan-Dez/26",
AH295 &lt;&gt; "", "Fev-Dez/26",
AI295 &lt;&gt; "", "Mar-Dez/26", AJ295 &lt;&gt; "", "Abr-Dez/26",
TRUE, "A partir de Junho"
)</f>
        <v>Jan-Dez/26</v>
      </c>
      <c r="G295" s="4" t="s">
        <v>37</v>
      </c>
      <c r="H295" s="7" t="s">
        <v>54</v>
      </c>
      <c r="I295" s="8" t="s">
        <v>152</v>
      </c>
      <c r="J295" s="8" t="str" cm="1">
        <f t="array" aca="1" ref="J295" ca="1">_xlfn.LET(
  _xlpm.actual_value_month, INDEX(T295:AE295, MATCH(DATE(YEAR(TODAY()), MONTH(TODAY()), 1), $T$1:$AE$1, 0)),
  IF(_xlpm.actual_value_month &lt;&gt; "",_xlpm.actual_value_month &amp; " ações mensais", "")
)</f>
        <v/>
      </c>
      <c r="K295" s="8" t="str" cm="1">
        <f t="array" ref="K295">_xlfn.LET(
    _xlpm.sum_month, SUM(T295:AE295),
    IF(_xlpm.sum_month = 0, "", _xlpm.sum_month &amp; " reuniões ordinárias no ano")
)</f>
        <v/>
      </c>
      <c r="L295" s="9" t="s">
        <v>153</v>
      </c>
      <c r="M295" s="24">
        <v>1</v>
      </c>
      <c r="N295" s="67" t="s">
        <v>51</v>
      </c>
      <c r="O295" s="5" t="s">
        <v>52</v>
      </c>
      <c r="P295" s="10" t="s">
        <v>44</v>
      </c>
      <c r="Q295" s="10" t="s">
        <v>72</v>
      </c>
      <c r="R295" s="11" t="s">
        <v>44</v>
      </c>
      <c r="S295" s="11" t="s">
        <v>44</v>
      </c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G295" s="71">
        <v>1</v>
      </c>
      <c r="AH295" s="71">
        <v>1</v>
      </c>
      <c r="AI295" s="71">
        <v>1</v>
      </c>
      <c r="AJ295" s="71">
        <v>1</v>
      </c>
      <c r="AK295" s="71"/>
      <c r="AL295" s="71"/>
      <c r="AM295" s="71"/>
      <c r="AN295" s="71"/>
      <c r="AO295" s="71"/>
      <c r="AP295" s="71"/>
      <c r="AQ295" s="71"/>
      <c r="AR295" s="71"/>
      <c r="AS295" s="94">
        <f t="shared" ca="1" si="619"/>
        <v>0</v>
      </c>
      <c r="AT295" s="95">
        <f>SUM(AG295:AR295)</f>
        <v>4</v>
      </c>
      <c r="AU295" s="97">
        <f t="shared" si="620"/>
        <v>4</v>
      </c>
      <c r="AW295" s="83">
        <f>AG295</f>
        <v>1</v>
      </c>
      <c r="AX295" s="83">
        <f t="shared" ref="AX295:AX297" si="627">AH295</f>
        <v>1</v>
      </c>
      <c r="AY295" s="83">
        <f t="shared" ref="AY295:AY297" si="628">AI295</f>
        <v>1</v>
      </c>
      <c r="AZ295" s="83">
        <f t="shared" ref="AZ295:AZ297" si="629">AJ295</f>
        <v>1</v>
      </c>
      <c r="BA295" s="52"/>
      <c r="BB295" s="52"/>
      <c r="BC295" s="52"/>
      <c r="BD295" s="52"/>
      <c r="BE295" s="52"/>
      <c r="BF295" s="52"/>
      <c r="BG295" s="52"/>
      <c r="BH295" s="52"/>
      <c r="BI295" s="68" cm="1">
        <f t="array" ref="BI295">IFERROR(INDEX(AW295:BH295,1,MATCH(2,1/(AW295:BH295&lt;&gt;""))),"")</f>
        <v>1</v>
      </c>
      <c r="BJ295" s="68" cm="1">
        <f t="array" ref="BJ295">IF(BM295 = "", "",IFERROR(INDEX(AW295:BH295,1,MATCH(2,1/(AW295:BH295&lt;&gt;""),1)-1),""))</f>
        <v>1</v>
      </c>
      <c r="BK295" s="59">
        <f>IF((IF(AW295&gt;=150%,150%,AW295) + IF(AX295&gt;=150%,150%,AX295) + IF(AY295&gt;=150%,150%,AY295) + (IF(AW295&gt;=150%,150%,AW295) + IF(BA295&gt;=150%,150%,BA295) + IF(BB295&gt;=150%,150%,BB295) + IF(BC295&gt;=150%,150%,BC295) + IF(BD295&gt;=150%,150%,BD295) + IF(BE295&gt;=150%,150%,BE295) + IF(BF295&gt;=150%,150%,BF295) + IF(BG295&gt;=150%,150%,BG295) + IF(BH295&gt;=150%,150%,BH295)))/_xlfn.XLOOKUP(F295,Apuração!A:A,Apuração!B:B)&gt;=1.15,1.15,((IF(AW295&gt;=150%,150%,AW295) + IF(AX295&gt;=150%,150%,AX295) + IF(AY295&gt;=150%,150%,AY295) + (IF(AW295&gt;=150%,150%,AW295) + IF(BA295&gt;=150%,150%,BA295) + IF(BB295&gt;=150%,150%,BB295) + IF(BC295&gt;=150%,150%,BC295) + IF(BD295&gt;=150%,150%,BD295) + IF(BE295&gt;=150%,150%,BE295) + IF(BF295&gt;=150%,150%,BF295) + IF(BG295&gt;=150%,150%,BG295) + IF(BH295&gt;=150%,150%,BH295)))/_xlfn.XLOOKUP(F295,Apuração!A:A,Apuração!B:B)))</f>
        <v>0.33333333333333331</v>
      </c>
      <c r="BL295" s="59" cm="1">
        <f t="array" aca="1" ref="BL295" ca="1">IF(SUM(IFERROR(IF(INDEX(AW295:INDEX(AW295:BH295, MATCH(2, 1/(AW295:BH295&lt;&gt;""), 1)-1), ROW(INDIRECT("1:" &amp; MATCH(2, 1/(AW295:BH295&lt;&gt;""), 1)-1))) &gt;= 150%, 150%, INDEX(AW295:INDEX(AW295:BH295, MATCH(2, 1/(AW295:BH295&lt;&gt;""), 1)-1), ROW(INDIRECT("1:" &amp; MATCH(2, 1/(AW295:BH295&lt;&gt;""), 1)-1)))), 0))/_xlfn.XLOOKUP(F295,Apuração!A:A,Apuração!B:B)&gt;=1.15,1.15,SUM(IFERROR(IF(INDEX(AW295:INDEX(AW295:BH295, MATCH(2, 1/(AW295:BH295&lt;&gt;""), 1)-1), ROW(INDIRECT("1:" &amp; MATCH(2, 1/(AW295:BH295&lt;&gt;""), 1)-1))) &gt;= 150%, 150%, INDEX(AW295:INDEX(AW295:BH295, MATCH(2, 1/(AW295:BH295&lt;&gt;""), 1)-1), ROW(INDIRECT("1:" &amp; MATCH(2, 1/(AW295:BH295&lt;&gt;""), 1)-1)))), 0))/_xlfn.XLOOKUP(F295,Apuração!A:A,Apuração!B:B))</f>
        <v>0.25</v>
      </c>
      <c r="BM295" s="55" cm="1">
        <f t="array" ref="BM295">IFERROR(
   INDEX($AW$1:$BH$1,
      _xlfn.AGGREGATE(14, 6, COLUMN($AW$1:$BH$1)/(AW295:BH295&lt;&gt;""), 2) - COLUMN($AW$1) + 1
   ),
"")</f>
        <v>46082</v>
      </c>
      <c r="BN295" s="55" cm="1">
        <f t="array" ref="BN295">IFERROR(INDEX($AW$1:$BH$1,1,MATCH(2,1/(AW295:BH295&lt;&gt;""))),"")</f>
        <v>46113</v>
      </c>
      <c r="BO295" s="53">
        <f ca="1">IFERROR(_xlfn.XLOOKUP(F295,Apuração!A:A,Apuração!C:C)/_xlfn.XLOOKUP(F295,Apuração!A:A,Apuração!B:B),0)</f>
        <v>0.41666666666666669</v>
      </c>
      <c r="BP295" s="53">
        <f ca="1">IFERROR(_xlfn.XLOOKUP(F295,Apuração!A:A,Apuração!D:D)/_xlfn.XLOOKUP(F295,Apuração!A:A,Apuração!B:B),0)</f>
        <v>0.33333333333333331</v>
      </c>
      <c r="BQ295" s="53">
        <f ca="1">IF(BK295&gt;=BO295,0,_xlfn.XLOOKUP(F295,Apuração!A:A,Apuração!B:B)*(BO295 + (1/_xlfn.XLOOKUP(F295,Apuração!A:A,Apuração!B:B)) - BK295))</f>
        <v>2</v>
      </c>
      <c r="BR295" s="85">
        <f t="shared" ca="1" si="609"/>
        <v>0</v>
      </c>
      <c r="BS295" s="53">
        <f ca="1">IFERROR((_xlfn.XLOOKUP(F295,Apuração!A:A,Apuração!C:C)+1)/_xlfn.XLOOKUP(F295,Apuração!A:A,Apuração!B:B),0)</f>
        <v>0.5</v>
      </c>
    </row>
    <row r="296" spans="1:71" ht="25.95" hidden="1" customHeight="1" x14ac:dyDescent="0.3">
      <c r="A296" s="43" t="s">
        <v>134</v>
      </c>
      <c r="B296" s="4" t="s">
        <v>150</v>
      </c>
      <c r="C296" s="5" t="s">
        <v>95</v>
      </c>
      <c r="D296" s="5" t="s">
        <v>36</v>
      </c>
      <c r="E296" s="4" t="str" cm="1">
        <f t="array" ref="E296">_xlfn.IFS(
F296 = "A partir de Abril", "Aguardando Execução na Distribuidora",
A296 = "CAPACITAÇÃO", "Em execução no Corporativo",
TRUE, "Em Execução na Distribuidora"
)</f>
        <v>Em Execução na Distribuidora</v>
      </c>
      <c r="F296" s="4" t="str" cm="1">
        <f t="array" ref="F296">_xlfn.IFS(
AG296 &lt;&gt; "", "Jan-Dez/26",
AH296 &lt;&gt; "", "Fev-Dez/26",
AI296 &lt;&gt; "", "Mar-Dez/26", AJ296 &lt;&gt; "", "Abr-Dez/26",
TRUE, "A partir de Junho"
)</f>
        <v>Jan-Dez/26</v>
      </c>
      <c r="G296" s="4" t="s">
        <v>37</v>
      </c>
      <c r="H296" s="7" t="s">
        <v>54</v>
      </c>
      <c r="I296" s="8" t="s">
        <v>154</v>
      </c>
      <c r="J296" s="8" t="str" cm="1">
        <f t="array" aca="1" ref="J296" ca="1">_xlfn.LET(
  _xlpm.actual_value_month, INDEX(T296:AE296, MATCH(DATE(YEAR(TODAY()), MONTH(TODAY()), 1), $T$1:$AE$1, 0)),
  IF(_xlpm.actual_value_month &lt;&gt; "",_xlpm.actual_value_month &amp; " ações mensais", "")
)</f>
        <v/>
      </c>
      <c r="K296" s="8" t="str" cm="1">
        <f t="array" ref="K296">_xlfn.LET(
    _xlpm.sum_month, SUM(T296:AE296),
    IF(_xlpm.sum_month = 0, "", _xlpm.sum_month &amp; " presença de representantes no ano")
)</f>
        <v/>
      </c>
      <c r="L296" s="9" t="s">
        <v>155</v>
      </c>
      <c r="M296" s="24">
        <v>1</v>
      </c>
      <c r="N296" s="67" t="s">
        <v>51</v>
      </c>
      <c r="O296" s="111" t="s">
        <v>43</v>
      </c>
      <c r="P296" s="10" t="s">
        <v>44</v>
      </c>
      <c r="Q296" s="10" t="s">
        <v>72</v>
      </c>
      <c r="R296" s="11" t="s">
        <v>44</v>
      </c>
      <c r="S296" s="11" t="s">
        <v>44</v>
      </c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G296" s="71">
        <v>18</v>
      </c>
      <c r="AH296" s="71">
        <v>18</v>
      </c>
      <c r="AI296" s="71">
        <v>17</v>
      </c>
      <c r="AJ296" s="71">
        <v>17</v>
      </c>
      <c r="AK296" s="71"/>
      <c r="AL296" s="71"/>
      <c r="AM296" s="71"/>
      <c r="AN296" s="71"/>
      <c r="AO296" s="71"/>
      <c r="AP296" s="71"/>
      <c r="AQ296" s="71"/>
      <c r="AR296" s="71"/>
      <c r="AS296" s="94">
        <f t="shared" ca="1" si="619"/>
        <v>0</v>
      </c>
      <c r="AT296" s="95">
        <f>SUM(AG296:AR296)</f>
        <v>70</v>
      </c>
      <c r="AU296" s="97">
        <f t="shared" si="620"/>
        <v>70</v>
      </c>
      <c r="AW296" s="83">
        <f t="shared" ref="AW296:AW297" si="630">AG296</f>
        <v>18</v>
      </c>
      <c r="AX296" s="83">
        <f t="shared" si="627"/>
        <v>18</v>
      </c>
      <c r="AY296" s="83">
        <f t="shared" si="628"/>
        <v>17</v>
      </c>
      <c r="AZ296" s="83">
        <f t="shared" si="629"/>
        <v>17</v>
      </c>
      <c r="BA296" s="52"/>
      <c r="BB296" s="52"/>
      <c r="BC296" s="52"/>
      <c r="BD296" s="52"/>
      <c r="BE296" s="52"/>
      <c r="BF296" s="52"/>
      <c r="BG296" s="52"/>
      <c r="BH296" s="52"/>
      <c r="BI296" s="68" cm="1">
        <f t="array" ref="BI296">IFERROR(INDEX(AW296:BH296,1,MATCH(2,1/(AW296:BH296&lt;&gt;""))),"")</f>
        <v>17</v>
      </c>
      <c r="BJ296" s="68" cm="1">
        <f t="array" ref="BJ296">IF(BM296 = "", "",IFERROR(INDEX(AW296:BH296,1,MATCH(2,1/(AW296:BH296&lt;&gt;""),1)-1),""))</f>
        <v>17</v>
      </c>
      <c r="BK296" s="59">
        <f>IF((IF(AW296&gt;=150%,150%,AW296) + IF(AX296&gt;=150%,150%,AX296) + IF(AY296&gt;=150%,150%,AY296) + (IF(AW296&gt;=150%,150%,AW296) + IF(BA296&gt;=150%,150%,BA296) + IF(BB296&gt;=150%,150%,BB296) + IF(BC296&gt;=150%,150%,BC296) + IF(BD296&gt;=150%,150%,BD296) + IF(BE296&gt;=150%,150%,BE296) + IF(BF296&gt;=150%,150%,BF296) + IF(BG296&gt;=150%,150%,BG296) + IF(BH296&gt;=150%,150%,BH296)))/_xlfn.XLOOKUP(F296,Apuração!A:A,Apuração!B:B)&gt;=1.15,1.15,((IF(AW296&gt;=150%,150%,AW296) + IF(AX296&gt;=150%,150%,AX296) + IF(AY296&gt;=150%,150%,AY296) + (IF(AW296&gt;=150%,150%,AW296) + IF(BA296&gt;=150%,150%,BA296) + IF(BB296&gt;=150%,150%,BB296) + IF(BC296&gt;=150%,150%,BC296) + IF(BD296&gt;=150%,150%,BD296) + IF(BE296&gt;=150%,150%,BE296) + IF(BF296&gt;=150%,150%,BF296) + IF(BG296&gt;=150%,150%,BG296) + IF(BH296&gt;=150%,150%,BH296)))/_xlfn.XLOOKUP(F296,Apuração!A:A,Apuração!B:B)))</f>
        <v>0.5</v>
      </c>
      <c r="BL296" s="59" cm="1">
        <f t="array" aca="1" ref="BL296" ca="1">IF(SUM(IFERROR(IF(INDEX(AW296:INDEX(AW296:BH296, MATCH(2, 1/(AW296:BH296&lt;&gt;""), 1)-1), ROW(INDIRECT("1:" &amp; MATCH(2, 1/(AW296:BH296&lt;&gt;""), 1)-1))) &gt;= 150%, 150%, INDEX(AW296:INDEX(AW296:BH296, MATCH(2, 1/(AW296:BH296&lt;&gt;""), 1)-1), ROW(INDIRECT("1:" &amp; MATCH(2, 1/(AW296:BH296&lt;&gt;""), 1)-1)))), 0))/_xlfn.XLOOKUP(F296,Apuração!A:A,Apuração!B:B)&gt;=1.15,1.15,SUM(IFERROR(IF(INDEX(AW296:INDEX(AW296:BH296, MATCH(2, 1/(AW296:BH296&lt;&gt;""), 1)-1), ROW(INDIRECT("1:" &amp; MATCH(2, 1/(AW296:BH296&lt;&gt;""), 1)-1))) &gt;= 150%, 150%, INDEX(AW296:INDEX(AW296:BH296, MATCH(2, 1/(AW296:BH296&lt;&gt;""), 1)-1), ROW(INDIRECT("1:" &amp; MATCH(2, 1/(AW296:BH296&lt;&gt;""), 1)-1)))), 0))/_xlfn.XLOOKUP(F296,Apuração!A:A,Apuração!B:B))</f>
        <v>0.375</v>
      </c>
      <c r="BM296" s="55" cm="1">
        <f t="array" ref="BM296">IFERROR(
   INDEX($AW$1:$BH$1,
      _xlfn.AGGREGATE(14, 6, COLUMN($AW$1:$BH$1)/(AW296:BH296&lt;&gt;""), 2) - COLUMN($AW$1) + 1
   ),
"")</f>
        <v>46082</v>
      </c>
      <c r="BN296" s="55" cm="1">
        <f t="array" ref="BN296">IFERROR(INDEX($AW$1:$BH$1,1,MATCH(2,1/(AW296:BH296&lt;&gt;""))),"")</f>
        <v>46113</v>
      </c>
      <c r="BO296" s="53">
        <f ca="1">IFERROR(_xlfn.XLOOKUP(F296,Apuração!A:A,Apuração!C:C)/_xlfn.XLOOKUP(F296,Apuração!A:A,Apuração!B:B),0)</f>
        <v>0.41666666666666669</v>
      </c>
      <c r="BP296" s="53">
        <f ca="1">IFERROR(_xlfn.XLOOKUP(F296,Apuração!A:A,Apuração!D:D)/_xlfn.XLOOKUP(F296,Apuração!A:A,Apuração!B:B),0)</f>
        <v>0.33333333333333331</v>
      </c>
      <c r="BQ296" s="53">
        <f ca="1">IF(BK296&gt;=BO296,0,_xlfn.XLOOKUP(F296,Apuração!A:A,Apuração!B:B)*(BO296 + (1/_xlfn.XLOOKUP(F296,Apuração!A:A,Apuração!B:B)) - BK296))</f>
        <v>0</v>
      </c>
      <c r="BR296" s="85">
        <f t="shared" ca="1" si="609"/>
        <v>0</v>
      </c>
      <c r="BS296" s="53">
        <f ca="1">IFERROR((_xlfn.XLOOKUP(F296,Apuração!A:A,Apuração!C:C)+1)/_xlfn.XLOOKUP(F296,Apuração!A:A,Apuração!B:B),0)</f>
        <v>0.5</v>
      </c>
    </row>
    <row r="297" spans="1:71" ht="25.95" hidden="1" customHeight="1" x14ac:dyDescent="0.3">
      <c r="A297" s="43" t="s">
        <v>134</v>
      </c>
      <c r="B297" s="15" t="s">
        <v>150</v>
      </c>
      <c r="C297" s="5" t="s">
        <v>95</v>
      </c>
      <c r="D297" s="5" t="s">
        <v>36</v>
      </c>
      <c r="E297" s="4" t="str" cm="1">
        <f t="array" ref="E297">_xlfn.IFS(
F297 = "A partir de Abril", "Aguardando Execução na Distribuidora",
A297 = "CAPACITAÇÃO", "Em execução no Corporativo",
TRUE, "Em Execução na Distribuidora"
)</f>
        <v>Em Execução na Distribuidora</v>
      </c>
      <c r="F297" s="4" t="str" cm="1">
        <f t="array" ref="F297">_xlfn.IFS(
AG297 &lt;&gt; "", "Jan-Dez/26",
AH297 &lt;&gt; "", "Fev-Dez/26",
AI297 &lt;&gt; "", "Mar-Dez/26", AJ297 &lt;&gt; "", "Abr-Dez/26",
TRUE, "A partir de Junho"
)</f>
        <v>Jan-Dez/26</v>
      </c>
      <c r="G297" s="15" t="s">
        <v>37</v>
      </c>
      <c r="H297" s="27" t="s">
        <v>54</v>
      </c>
      <c r="I297" s="28" t="s">
        <v>156</v>
      </c>
      <c r="J297" s="8" t="str" cm="1">
        <f t="array" aca="1" ref="J297" ca="1">_xlfn.LET(
  _xlpm.actual_value_month, INDEX(T297:AE297, MATCH(DATE(YEAR(TODAY()), MONTH(TODAY()), 1), $T$1:$AE$1, 0)),
  IF(_xlpm.actual_value_month &lt;&gt; "",_xlpm.actual_value_month &amp; " ações mensais", "")
)</f>
        <v/>
      </c>
      <c r="K297" s="8" t="str" cm="1">
        <f t="array" ref="K297">_xlfn.LET(
    _xlpm.sum_month, SUM(T297:AE297),
    IF(_xlpm.sum_month = 0, "", _xlpm.sum_month &amp; " atividades no ano")
)</f>
        <v/>
      </c>
      <c r="L297" s="15" t="s">
        <v>157</v>
      </c>
      <c r="M297" s="30">
        <v>1</v>
      </c>
      <c r="N297" s="67" t="s">
        <v>51</v>
      </c>
      <c r="O297" s="26" t="s">
        <v>52</v>
      </c>
      <c r="P297" s="31" t="s">
        <v>44</v>
      </c>
      <c r="Q297" s="31" t="s">
        <v>44</v>
      </c>
      <c r="R297" s="32" t="s">
        <v>44</v>
      </c>
      <c r="S297" s="32" t="s">
        <v>44</v>
      </c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G297" s="71">
        <v>93</v>
      </c>
      <c r="AH297" s="71">
        <v>81</v>
      </c>
      <c r="AI297" s="71">
        <v>76</v>
      </c>
      <c r="AJ297" s="71">
        <v>64</v>
      </c>
      <c r="AK297" s="71"/>
      <c r="AL297" s="71"/>
      <c r="AM297" s="71"/>
      <c r="AN297" s="71"/>
      <c r="AO297" s="71"/>
      <c r="AP297" s="71"/>
      <c r="AQ297" s="71"/>
      <c r="AR297" s="71"/>
      <c r="AS297" s="94">
        <f t="shared" ca="1" si="619"/>
        <v>0</v>
      </c>
      <c r="AT297" s="95">
        <f>SUM(AG297:AR297)</f>
        <v>314</v>
      </c>
      <c r="AU297" s="97">
        <f t="shared" si="620"/>
        <v>314</v>
      </c>
      <c r="AW297" s="83">
        <f t="shared" si="630"/>
        <v>93</v>
      </c>
      <c r="AX297" s="83">
        <f t="shared" si="627"/>
        <v>81</v>
      </c>
      <c r="AY297" s="83">
        <f t="shared" si="628"/>
        <v>76</v>
      </c>
      <c r="AZ297" s="83">
        <f t="shared" si="629"/>
        <v>64</v>
      </c>
      <c r="BA297" s="52"/>
      <c r="BB297" s="52"/>
      <c r="BC297" s="52"/>
      <c r="BD297" s="52"/>
      <c r="BE297" s="52"/>
      <c r="BF297" s="52"/>
      <c r="BG297" s="52"/>
      <c r="BH297" s="52"/>
      <c r="BI297" s="68" cm="1">
        <f t="array" ref="BI297">IFERROR(INDEX(AW297:BH297,1,MATCH(2,1/(AW297:BH297&lt;&gt;""))),"")</f>
        <v>64</v>
      </c>
      <c r="BJ297" s="68" cm="1">
        <f t="array" ref="BJ297">IF(BM297 = "", "",IFERROR(INDEX(AW297:BH297,1,MATCH(2,1/(AW297:BH297&lt;&gt;""),1)-1),""))</f>
        <v>76</v>
      </c>
      <c r="BK297" s="59">
        <f>SUM(AW297:BH297)</f>
        <v>314</v>
      </c>
      <c r="BL297" s="59" cm="1">
        <f t="array" ref="BL297">IFERROR(SUM(AW297:INDEX(AW297:BH297, MATCH(2, 1/(AW297:BH297&lt;&gt;""), 1) - 1))/_xlfn.XLOOKUP(F297,Apuração!A:A,Apuração!B:B),0)</f>
        <v>20.833333333333332</v>
      </c>
      <c r="BM297" s="55" cm="1">
        <f t="array" ref="BM297">IFERROR(
   INDEX($AW$1:$BH$1,
      _xlfn.AGGREGATE(14, 6, COLUMN($AW$1:$BH$1)/(AW297:BH297&lt;&gt;""), 2) - COLUMN($AW$1) + 1
   ),
"")</f>
        <v>46082</v>
      </c>
      <c r="BN297" s="55" cm="1">
        <f t="array" ref="BN297">IFERROR(INDEX($AW$1:$BH$1,1,MATCH(2,1/(AW297:BH297&lt;&gt;""))),"")</f>
        <v>46113</v>
      </c>
      <c r="BO297" s="53">
        <f ca="1">IFERROR(_xlfn.XLOOKUP(F297,Apuração!A:A,Apuração!C:C)/_xlfn.XLOOKUP(F297,Apuração!A:A,Apuração!B:B),0)</f>
        <v>0.41666666666666669</v>
      </c>
      <c r="BP297" s="53">
        <f ca="1">IFERROR(_xlfn.XLOOKUP(F297,Apuração!A:A,Apuração!D:D)/_xlfn.XLOOKUP(F297,Apuração!A:A,Apuração!B:B),0)</f>
        <v>0.33333333333333331</v>
      </c>
      <c r="BQ297" s="53">
        <f ca="1">IF(BK297&gt;=BO297,0,_xlfn.XLOOKUP(F297,Apuração!A:A,Apuração!B:B)*(BO297 + (1/_xlfn.XLOOKUP(F297,Apuração!A:A,Apuração!B:B)) - BK297))</f>
        <v>0</v>
      </c>
      <c r="BR297" s="85">
        <f t="shared" ca="1" si="609"/>
        <v>0</v>
      </c>
      <c r="BS297" s="53">
        <f ca="1">IFERROR((_xlfn.XLOOKUP(F297,Apuração!A:A,Apuração!C:C)+1)/_xlfn.XLOOKUP(F297,Apuração!A:A,Apuração!B:B),0)</f>
        <v>0.5</v>
      </c>
    </row>
    <row r="298" spans="1:71" ht="25.95" hidden="1" customHeight="1" x14ac:dyDescent="0.3">
      <c r="A298" s="38" t="s">
        <v>134</v>
      </c>
      <c r="B298" s="4" t="s">
        <v>158</v>
      </c>
      <c r="C298" s="5" t="s">
        <v>95</v>
      </c>
      <c r="D298" s="5" t="s">
        <v>36</v>
      </c>
      <c r="E298" s="4" t="str" cm="1">
        <f t="array" ref="E298">_xlfn.IFS(
F298 = "A partir de Abril", "Aguardando Execução na Distribuidora",
A298 = "CAPACITAÇÃO", "Em execução no Corporativo",
TRUE, "Em Execução na Distribuidora"
)</f>
        <v>Em Execução na Distribuidora</v>
      </c>
      <c r="F298" s="4" t="str" cm="1">
        <f t="array" ref="F298">_xlfn.IFS(
AG298 &lt;&gt; "", "Jan-Dez/26",
AH298 &lt;&gt; "", "Fev-Dez/26",
AI298 &lt;&gt; "", "Mar-Dez/26", AJ298 &lt;&gt; "", "Abr-Dez/26",
TRUE, "A partir de Junho"
)</f>
        <v>Jan-Dez/26</v>
      </c>
      <c r="G298" s="4" t="s">
        <v>37</v>
      </c>
      <c r="H298" s="7" t="s">
        <v>110</v>
      </c>
      <c r="I298" s="8" t="s">
        <v>159</v>
      </c>
      <c r="J298" s="8" t="str" cm="1">
        <f t="array" aca="1" ref="J298" ca="1">_xlfn.LET(
  _xlpm.actual_value_month, INDEX(T298:AE298, MATCH(DATE(YEAR(TODAY()), MONTH(TODAY()), 1), $T$1:$AE$1, 0)),
  IF(_xlpm.actual_value_month &lt;&gt; "",_xlpm.actual_value_month &amp; " colaboradores participantes mensais", "")
)</f>
        <v>480 colaboradores participantes mensais</v>
      </c>
      <c r="K298" s="8" t="str" cm="1">
        <f t="array" ref="K298">_xlfn.LET(
    _xlpm.sum_month, SUM(T298:AE298),
    IF(_xlpm.sum_month = 0, "", _xlpm.sum_month &amp; " participações de colaboradores no ano")
)</f>
        <v>5828 participações de colaboradores no ano</v>
      </c>
      <c r="L298" s="9" t="s">
        <v>160</v>
      </c>
      <c r="M298" s="24" t="s">
        <v>161</v>
      </c>
      <c r="N298" s="5" t="s">
        <v>42</v>
      </c>
      <c r="O298" s="5" t="s">
        <v>43</v>
      </c>
      <c r="P298" s="10" t="s">
        <v>44</v>
      </c>
      <c r="Q298" s="10" t="s">
        <v>44</v>
      </c>
      <c r="R298" s="11" t="s">
        <v>147</v>
      </c>
      <c r="S298" s="11" t="s">
        <v>162</v>
      </c>
      <c r="T298" s="22">
        <v>468</v>
      </c>
      <c r="U298" s="22">
        <v>447</v>
      </c>
      <c r="V298" s="22">
        <v>593</v>
      </c>
      <c r="W298" s="22">
        <v>480</v>
      </c>
      <c r="X298" s="22">
        <v>480</v>
      </c>
      <c r="Y298" s="22">
        <v>480</v>
      </c>
      <c r="Z298" s="22">
        <v>480</v>
      </c>
      <c r="AA298" s="22">
        <v>480</v>
      </c>
      <c r="AB298" s="22">
        <v>480</v>
      </c>
      <c r="AC298" s="22">
        <v>480</v>
      </c>
      <c r="AD298" s="22">
        <v>480</v>
      </c>
      <c r="AE298" s="22">
        <v>480</v>
      </c>
      <c r="AG298" s="71">
        <v>468</v>
      </c>
      <c r="AH298" s="71">
        <v>447</v>
      </c>
      <c r="AI298" s="71">
        <v>593</v>
      </c>
      <c r="AJ298" s="71">
        <v>303</v>
      </c>
      <c r="AK298" s="71"/>
      <c r="AL298" s="125"/>
      <c r="AM298" s="71"/>
      <c r="AN298" s="71"/>
      <c r="AO298" s="71"/>
      <c r="AP298" s="71"/>
      <c r="AQ298" s="71"/>
      <c r="AR298" s="71"/>
      <c r="AS298" s="94">
        <f t="shared" ca="1" si="619"/>
        <v>2468</v>
      </c>
      <c r="AT298" s="95">
        <f>SUM(IF(AW298&lt;1.15,AG298,1.15*T298),IF(AX298&lt;1.15,AH298,1.15*U298),IF(AY298&lt;1.15,AI298,1.15*V298),IF(AZ298&lt;1.15,AJ298,1.15*W298),IF(BA298&lt;1.15,AK298,1.15*X298),IF(BB298&lt;1.15,AL298,1.15*Y298),IF(BC298&lt;1.15,AM298,1.15*Z298),IF(BD298&lt;1.15,AN298,1.15*AA298),IF(BE298&lt;1.15,AO298,1.15*AB298),IF(BF298&lt;1.15,AP298,1.15*AC298),IF(BG298&lt;1.15,AQ298,1.15*AD298),IF(BH298&lt;1.15,AR298,1.15*AE298))</f>
        <v>1811</v>
      </c>
      <c r="AU298" s="97">
        <f t="shared" si="620"/>
        <v>1811</v>
      </c>
      <c r="AW298" s="51">
        <f>IFERROR(IF(AG298="",0,AG298/T298),0)</f>
        <v>1</v>
      </c>
      <c r="AX298" s="51">
        <f>IFERROR(IF(AH298="",0,AH298/U298),0)</f>
        <v>1</v>
      </c>
      <c r="AY298" s="51">
        <f>IFERROR(IF(AI298="",0,AI298/V298),0)</f>
        <v>1</v>
      </c>
      <c r="AZ298" s="51">
        <f>IFERROR(IF(AJ298="",0,AJ298/W298),0)</f>
        <v>0.63124999999999998</v>
      </c>
      <c r="BA298" s="51"/>
      <c r="BB298" s="51"/>
      <c r="BC298" s="51"/>
      <c r="BD298" s="51"/>
      <c r="BE298" s="51"/>
      <c r="BF298" s="51"/>
      <c r="BG298" s="51"/>
      <c r="BH298" s="51"/>
      <c r="BI298" s="65" cm="1">
        <f t="array" ref="BI298">IFERROR(INDEX(AW298:BH298,1,MATCH(2,1/(AW298:BH298&lt;&gt;""))),"")</f>
        <v>0.63124999999999998</v>
      </c>
      <c r="BJ298" s="68" cm="1">
        <f t="array" ref="BJ298">IF(BM298 = "", "",IFERROR(INDEX(AW298:BH298,1,MATCH(2,1/(AW298:BH298&lt;&gt;""),1)-1),""))</f>
        <v>1</v>
      </c>
      <c r="BK298" s="58">
        <f>IF((IF(AW298&gt;=115%,115%,AW298) + IF(AX298&gt;=115%,115%,AX298) + IF(AY298&gt;=115%,115%,AY298) + (IF(AZ298&gt;=115%,115%,AZ298) + IF(BA298&gt;=115%,115%,BA298) + IF(BB298&gt;=115%,115%,BB298) + IF(BC298&gt;=115%,115%,BC298) + IF(BD298&gt;=115%,115%,BD298) + IF(BE298&gt;=115%,115%,BE298) + IF(BF298&gt;=121%,121%,BF298) + IF(BG298&gt;=115%,115%,BG298) + IF(BH298&gt;=151%,151%,BH298)))/_xlfn.XLOOKUP(F298,Apuração!A:A,Apuração!B:B)&gt;=1.15,1.15,((IF(AZ298&gt;=115%,115%,AZ298) + IF(AX298&gt;=115%,115%,AX298) + IF(AY298&gt;=115%,115%,AY298) + (IF(AW298&gt;=115%,115%,AW298) + IF(BA298&gt;=115%,115%,BA298) + IF(BB298&gt;=115%,115%,BB298) + IF(BC298&gt;=115%,115%,BC298) + IF(BD298&gt;=115%,115%,BD298) + IF(BE298&gt;=115%,115%,BE298) + IF(BF298&gt;=121%,121%,BF298) + IF(BG298&gt;=115%,115%,BG298) + IF(BH298&gt;=151%,151%,BH298)))/_xlfn.XLOOKUP(F298,Apuração!A:A,Apuração!B:B)))</f>
        <v>0.30260416666666667</v>
      </c>
      <c r="BL298" s="58" cm="1">
        <f t="array" aca="1" ref="BL298" ca="1">IF(SUM(IFERROR(IF(INDEX(AW298:INDEX(AW298:BH298, MATCH(2, 1/(AW298:BH298&lt;&gt;""), 1)-1), ROW(INDIRECT("1:" &amp; MATCH(2, 1/(AW298:BH298&lt;&gt;""), 1)-1))) &gt;= 115%, 115%, INDEX(AW298:INDEX(AW298:BH298, MATCH(2, 1/(AW298:BH298&lt;&gt;""), 1)-1), ROW(INDIRECT("1:" &amp; MATCH(2, 1/(AW298:BH298&lt;&gt;""), 1)-1)))), 0))/_xlfn.XLOOKUP(F298,Apuração!A:A,Apuração!B:B)&gt;=1.15,1.15,SUM(IFERROR(IF(INDEX(AW298:INDEX(AW298:BH298, MATCH(2, 1/(AW298:BH298&lt;&gt;""), 1)-1), ROW(INDIRECT("1:" &amp; MATCH(2, 1/(AW298:BH298&lt;&gt;""), 1)-1))) &gt;= 115%, 115%, INDEX(AW298:INDEX(AW298:BH298, MATCH(2, 1/(AW298:BH298&lt;&gt;""), 1)-1), ROW(INDIRECT("1:" &amp; MATCH(2, 1/(AW298:BH298&lt;&gt;""), 1)-1)))), 0))/_xlfn.XLOOKUP(F298,Apuração!A:A,Apuração!B:B))</f>
        <v>0.25</v>
      </c>
      <c r="BM298" s="55" cm="1">
        <f t="array" ref="BM298">IFERROR(
   INDEX($AW$1:$BH$1,
      _xlfn.AGGREGATE(14, 6, COLUMN($AW$1:$BH$1)/(AW298:BH298&lt;&gt;""), 2) - COLUMN($AW$1) + 1
   ),
"")</f>
        <v>46082</v>
      </c>
      <c r="BN298" s="55" cm="1">
        <f t="array" ref="BN298">IFERROR(INDEX($AW$1:$BH$1,1,MATCH(2,1/(AW298:BH298&lt;&gt;""))),"")</f>
        <v>46113</v>
      </c>
      <c r="BO298" s="53">
        <f ca="1">IFERROR(_xlfn.XLOOKUP(F298,Apuração!A:A,Apuração!C:C)/_xlfn.XLOOKUP(F298,Apuração!A:A,Apuração!B:B),0)</f>
        <v>0.41666666666666669</v>
      </c>
      <c r="BP298" s="53">
        <f ca="1">IFERROR(_xlfn.XLOOKUP(F298,Apuração!A:A,Apuração!D:D)/_xlfn.XLOOKUP(F298,Apuração!A:A,Apuração!B:B),0)</f>
        <v>0.33333333333333331</v>
      </c>
      <c r="BQ298" s="53">
        <f ca="1">IF(BK298&gt;=BO298,0,_xlfn.XLOOKUP(F298,Apuração!A:A,Apuração!B:B)*(BO298 + (1/_xlfn.XLOOKUP(F298,Apuração!A:A,Apuração!B:B)) - BK298))</f>
        <v>2.3687499999999999</v>
      </c>
      <c r="BR298" s="85">
        <f t="shared" ca="1" si="609"/>
        <v>1137</v>
      </c>
      <c r="BS298" s="53">
        <f ca="1">IFERROR((_xlfn.XLOOKUP(F298,Apuração!A:A,Apuração!C:C)+1)/_xlfn.XLOOKUP(F298,Apuração!A:A,Apuração!B:B),0)</f>
        <v>0.5</v>
      </c>
    </row>
    <row r="299" spans="1:71" ht="25.95" hidden="1" customHeight="1" x14ac:dyDescent="0.3">
      <c r="A299" s="42" t="s">
        <v>134</v>
      </c>
      <c r="B299" s="4" t="s">
        <v>158</v>
      </c>
      <c r="C299" s="5" t="s">
        <v>95</v>
      </c>
      <c r="D299" s="5" t="s">
        <v>36</v>
      </c>
      <c r="E299" s="4" t="str" cm="1">
        <f t="array" ref="E299">_xlfn.IFS(
F299 = "A partir de Abril", "Aguardando Execução na Distribuidora",
A299 = "CAPACITAÇÃO", "Em execução no Corporativo",
TRUE, "Em Execução na Distribuidora"
)</f>
        <v>Em Execução na Distribuidora</v>
      </c>
      <c r="F299" s="4" t="str" cm="1">
        <f t="array" ref="F299">_xlfn.IFS(
AG299 &lt;&gt; "", "Jan-Dez/26",
AH299 &lt;&gt; "", "Fev-Dez/26",
AI299 &lt;&gt; "", "Mar-Dez/26", AJ299 &lt;&gt; "", "Abr-Dez/26",
TRUE, "A partir de Junho"
)</f>
        <v>Jan-Dez/26</v>
      </c>
      <c r="G299" s="4" t="s">
        <v>37</v>
      </c>
      <c r="H299" s="7" t="s">
        <v>110</v>
      </c>
      <c r="I299" s="8" t="s">
        <v>163</v>
      </c>
      <c r="J299" s="8" t="str" cm="1">
        <f t="array" aca="1" ref="J299" ca="1">_xlfn.LET(
  _xlpm.actual_value_month, INDEX(T299:AE299, MATCH(DATE(YEAR(TODAY()), MONTH(TODAY()), 1), $T$1:$AE$1, 0)),
  IF(_xlpm.actual_value_month &lt;&gt; "",_xlpm.actual_value_month &amp; " ações mensais", "")
)</f>
        <v/>
      </c>
      <c r="K299" s="8" t="str" cm="1">
        <f t="array" ref="K299">_xlfn.LET(
    _xlpm.sum_month, SUM(T299:AE299),
    IF(_xlpm.sum_month = 0, "", _xlpm.sum_month &amp; " DSS no ano")
)</f>
        <v>6 DSS no ano</v>
      </c>
      <c r="L299" s="9" t="s">
        <v>164</v>
      </c>
      <c r="M299" s="24">
        <v>1</v>
      </c>
      <c r="N299" s="5" t="s">
        <v>51</v>
      </c>
      <c r="O299" s="111" t="s">
        <v>52</v>
      </c>
      <c r="P299" s="10" t="s">
        <v>146</v>
      </c>
      <c r="Q299" s="10" t="s">
        <v>72</v>
      </c>
      <c r="R299" s="11" t="s">
        <v>147</v>
      </c>
      <c r="S299" s="11" t="s">
        <v>162</v>
      </c>
      <c r="T299" s="22">
        <v>2</v>
      </c>
      <c r="U299" s="22">
        <v>2</v>
      </c>
      <c r="V299" s="22">
        <v>2</v>
      </c>
      <c r="W299" s="22"/>
      <c r="X299" s="22"/>
      <c r="Y299" s="22"/>
      <c r="Z299" s="22"/>
      <c r="AA299" s="22"/>
      <c r="AB299" s="22"/>
      <c r="AC299" s="22"/>
      <c r="AD299" s="22"/>
      <c r="AE299" s="22"/>
      <c r="AG299" s="71">
        <v>2</v>
      </c>
      <c r="AH299" s="71">
        <v>2</v>
      </c>
      <c r="AI299" s="71">
        <v>2</v>
      </c>
      <c r="AJ299" s="71">
        <v>2</v>
      </c>
      <c r="AK299" s="71"/>
      <c r="AL299" s="71"/>
      <c r="AM299" s="71"/>
      <c r="AN299" s="71"/>
      <c r="AO299" s="71"/>
      <c r="AP299" s="71"/>
      <c r="AQ299" s="71"/>
      <c r="AR299" s="71"/>
      <c r="AS299" s="94">
        <f t="shared" ca="1" si="619"/>
        <v>6</v>
      </c>
      <c r="AT299" s="95">
        <f>SUM(IF(AW299&lt;1.15,AG299,1.15*T299),IF(AX299&lt;1.15,AH299,1.15*U299),IF(AY299&lt;1.15,AI299,1.15*V299),IF(AZ299&lt;1.15,AJ299,1.15*W299),IF(BA299&lt;1.15,AK299,1.15*X299),IF(BB299&lt;1.15,AL299,1.15*Y299),IF(BC299&lt;1.15,AM299,1.15*Z299),IF(BD299&lt;1.15,AN299,1.15*AA299),IF(BE299&lt;1.15,AO299,1.15*AB299),IF(BF299&lt;1.15,AP299,1.15*AC299),IF(BG299&lt;1.15,AQ299,1.15*AD299),IF(BH299&lt;1.15,AR299,1.15*AE299))</f>
        <v>6.8999999999999995</v>
      </c>
      <c r="AU299" s="97">
        <f t="shared" si="620"/>
        <v>8</v>
      </c>
      <c r="AW299" s="83">
        <f>AG299</f>
        <v>2</v>
      </c>
      <c r="AX299" s="83">
        <f t="shared" ref="AX299:AX300" si="631">AH299</f>
        <v>2</v>
      </c>
      <c r="AY299" s="83">
        <f t="shared" ref="AY299:AY300" si="632">AI299</f>
        <v>2</v>
      </c>
      <c r="AZ299" s="83">
        <f t="shared" ref="AZ299:AZ300" si="633">AJ299</f>
        <v>2</v>
      </c>
      <c r="BA299" s="52"/>
      <c r="BB299" s="52"/>
      <c r="BC299" s="52"/>
      <c r="BD299" s="52"/>
      <c r="BE299" s="52"/>
      <c r="BF299" s="52"/>
      <c r="BG299" s="52"/>
      <c r="BH299" s="52"/>
      <c r="BI299" s="65" cm="1">
        <f t="array" ref="BI299">IFERROR(INDEX(AW299:BH299,1,MATCH(2,1/(AW299:BH299&lt;&gt;""))),"")</f>
        <v>2</v>
      </c>
      <c r="BJ299" s="68" cm="1">
        <f t="array" ref="BJ299">IF(BM299 = "", "",IFERROR(INDEX(AW299:BH299,1,MATCH(2,1/(AW299:BH299&lt;&gt;""),1)-1),""))</f>
        <v>2</v>
      </c>
      <c r="BK299" s="58">
        <f>IF((IF(AW299&gt;=115%,115%,AW299) + IF(AX299&gt;=115%,115%,AX299) + IF(AY299&gt;=115%,115%,AY299) + (IF(AZ299&gt;=115%,115%,AZ299) + IF(BA299&gt;=115%,115%,BA299) + IF(BB299&gt;=115%,115%,BB299) + IF(BC299&gt;=115%,115%,BC299) + IF(BD299&gt;=115%,115%,BD299) + IF(BE299&gt;=115%,115%,BE299) + IF(BF299&gt;=115%,115%,BF299) + IF(BG299&gt;=115%,115%,BG299) + IF(BH299&gt;=115%,115%,BH299)))/_xlfn.XLOOKUP(F299,Apuração!A:A,Apuração!B:B)&gt;=1.15,1.15,((IF(AZ299&gt;=115%,115%,AZ299) + IF(AX299&gt;=115%,115%,AX299) + IF(AY299&gt;=115%,115%,AY299) + (IF(AW299&gt;=115%,115%,AW299) + IF(BA299&gt;=115%,115%,BA299) + IF(BB299&gt;=115%,115%,BB299) + IF(BC299&gt;=115%,115%,BC299) + IF(BD299&gt;=115%,115%,BD299) + IF(BE299&gt;=115%,115%,BE299) + IF(BF299&gt;=115%,115%,BF299) + IF(BG299&gt;=115%,115%,BG299) + IF(BH299&gt;=115%,115%,BH299)))/_xlfn.XLOOKUP(F299,Apuração!A:A,Apuração!B:B)))</f>
        <v>0.3833333333333333</v>
      </c>
      <c r="BL299" s="58" cm="1">
        <f t="array" aca="1" ref="BL299" ca="1">IF(SUM(IFERROR(IF(INDEX(AW299:INDEX(AW299:BH299, MATCH(2, 1/(AW299:BH299&lt;&gt;""), 1)-1), ROW(INDIRECT("1:" &amp; MATCH(2, 1/(AW299:BH299&lt;&gt;""), 1)-1))) &gt;= 115%, 115%, INDEX(AW299:INDEX(AW299:BH299, MATCH(2, 1/(AW299:BH299&lt;&gt;""), 1)-1), ROW(INDIRECT("1:" &amp; MATCH(2, 1/(AW299:BH299&lt;&gt;""), 1)-1)))), 0))/_xlfn.XLOOKUP(F299,Apuração!A:A,Apuração!B:B)&gt;=1.15,1.15,SUM(IFERROR(IF(INDEX(AW299:INDEX(AW299:BH299, MATCH(2, 1/(AW299:BH299&lt;&gt;""), 1)-1), ROW(INDIRECT("1:" &amp; MATCH(2, 1/(AW299:BH299&lt;&gt;""), 1)-1))) &gt;= 115%, 115%, INDEX(AW299:INDEX(AW299:BH299, MATCH(2, 1/(AW299:BH299&lt;&gt;""), 1)-1), ROW(INDIRECT("1:" &amp; MATCH(2, 1/(AW299:BH299&lt;&gt;""), 1)-1)))), 0))/_xlfn.XLOOKUP(F299,Apuração!A:A,Apuração!B:B))</f>
        <v>0.28749999999999998</v>
      </c>
      <c r="BM299" s="55" cm="1">
        <f t="array" ref="BM299">IFERROR(
   INDEX($AW$1:$BH$1,
      _xlfn.AGGREGATE(14, 6, COLUMN($AW$1:$BH$1)/(AW299:BH299&lt;&gt;""), 2) - COLUMN($AW$1) + 1
   ),
"")</f>
        <v>46082</v>
      </c>
      <c r="BN299" s="55" cm="1">
        <f t="array" ref="BN299">IFERROR(INDEX($AW$1:$BH$1,1,MATCH(2,1/(AW299:BH299&lt;&gt;""))),"")</f>
        <v>46113</v>
      </c>
      <c r="BO299" s="53">
        <f ca="1">IFERROR(_xlfn.XLOOKUP(F299,Apuração!A:A,Apuração!C:C)/_xlfn.XLOOKUP(F299,Apuração!A:A,Apuração!B:B),0)</f>
        <v>0.41666666666666669</v>
      </c>
      <c r="BP299" s="53">
        <f ca="1">IFERROR(_xlfn.XLOOKUP(F299,Apuração!A:A,Apuração!D:D)/_xlfn.XLOOKUP(F299,Apuração!A:A,Apuração!B:B),0)</f>
        <v>0.33333333333333331</v>
      </c>
      <c r="BQ299" s="53">
        <f ca="1">IF(BK299&gt;=BO299,0,_xlfn.XLOOKUP(F299,Apuração!A:A,Apuração!B:B)*(BO299 + (1/_xlfn.XLOOKUP(F299,Apuração!A:A,Apuração!B:B)) - BK299))</f>
        <v>1.4000000000000004</v>
      </c>
      <c r="BR299" s="85">
        <f t="shared" ca="1" si="609"/>
        <v>0</v>
      </c>
      <c r="BS299" s="53">
        <f ca="1">IFERROR((_xlfn.XLOOKUP(F299,Apuração!A:A,Apuração!C:C)+1)/_xlfn.XLOOKUP(F299,Apuração!A:A,Apuração!B:B),0)</f>
        <v>0.5</v>
      </c>
    </row>
    <row r="300" spans="1:71" ht="25.95" hidden="1" customHeight="1" x14ac:dyDescent="0.3">
      <c r="A300" s="42" t="s">
        <v>134</v>
      </c>
      <c r="B300" s="4" t="s">
        <v>158</v>
      </c>
      <c r="C300" s="5" t="s">
        <v>95</v>
      </c>
      <c r="D300" s="5" t="s">
        <v>36</v>
      </c>
      <c r="E300" s="4" t="str" cm="1">
        <f t="array" ref="E300">_xlfn.IFS(
F300 = "A partir de Abril", "Aguardando Execução na Distribuidora",
A300 = "CAPACITAÇÃO", "Em execução no Corporativo",
TRUE, "Em Execução na Distribuidora"
)</f>
        <v>Em Execução na Distribuidora</v>
      </c>
      <c r="F300" s="4" t="str" cm="1">
        <f t="array" ref="F300">_xlfn.IFS(
AG300 &lt;&gt; "", "Jan-Dez/26",
AH300 &lt;&gt; "", "Fev-Dez/26",
AI300 &lt;&gt; "", "Mar-Dez/26", AJ300 &lt;&gt; "", "Abr-Dez/26",
TRUE, "A partir de Junho"
)</f>
        <v>Jan-Dez/26</v>
      </c>
      <c r="G300" s="4" t="s">
        <v>62</v>
      </c>
      <c r="H300" s="7" t="s">
        <v>38</v>
      </c>
      <c r="I300" s="8" t="s">
        <v>165</v>
      </c>
      <c r="J300" s="8" t="str" cm="1">
        <f t="array" aca="1" ref="J300" ca="1">_xlfn.LET(
  _xlpm.actual_value_month, INDEX(T300:AE300, MATCH(DATE(YEAR(TODAY()), MONTH(TODAY()), 1), $T$1:$AE$1, 0)),
  IF(_xlpm.actual_value_month &lt;&gt; "",_xlpm.actual_value_month &amp; " ações mensais", "")
)</f>
        <v/>
      </c>
      <c r="K300" s="8" t="str" cm="1">
        <f t="array" ref="K300">_xlfn.LET(
    _xlpm.sum_month, SUM(T300:AE300),
    IF(_xlpm.sum_month = 0, "", _xlpm.sum_month &amp; " participações de líderes nas agendas semanais")
)</f>
        <v/>
      </c>
      <c r="L300" s="4" t="s">
        <v>166</v>
      </c>
      <c r="M300" s="24">
        <v>1</v>
      </c>
      <c r="N300" s="5" t="s">
        <v>51</v>
      </c>
      <c r="O300" s="111" t="s">
        <v>43</v>
      </c>
      <c r="P300" s="10" t="s">
        <v>44</v>
      </c>
      <c r="Q300" s="10" t="s">
        <v>44</v>
      </c>
      <c r="R300" s="11" t="s">
        <v>44</v>
      </c>
      <c r="S300" s="11" t="s">
        <v>44</v>
      </c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G300" s="71">
        <v>0</v>
      </c>
      <c r="AH300" s="71">
        <v>0</v>
      </c>
      <c r="AI300" s="71">
        <v>0</v>
      </c>
      <c r="AJ300" s="71">
        <v>0</v>
      </c>
      <c r="AK300" s="71"/>
      <c r="AL300" s="71"/>
      <c r="AM300" s="71"/>
      <c r="AN300" s="71"/>
      <c r="AO300" s="71"/>
      <c r="AP300" s="71"/>
      <c r="AQ300" s="71"/>
      <c r="AR300" s="71"/>
      <c r="AS300" s="94">
        <f t="shared" ca="1" si="619"/>
        <v>0</v>
      </c>
      <c r="AT300" s="95">
        <f>SUM(AG300:AR300)</f>
        <v>0</v>
      </c>
      <c r="AU300" s="97">
        <f t="shared" si="620"/>
        <v>0</v>
      </c>
      <c r="AW300" s="83">
        <f>AG300</f>
        <v>0</v>
      </c>
      <c r="AX300" s="83">
        <f t="shared" si="631"/>
        <v>0</v>
      </c>
      <c r="AY300" s="83">
        <f t="shared" si="632"/>
        <v>0</v>
      </c>
      <c r="AZ300" s="83">
        <f t="shared" si="633"/>
        <v>0</v>
      </c>
      <c r="BA300" s="52"/>
      <c r="BB300" s="52"/>
      <c r="BC300" s="52"/>
      <c r="BD300" s="52"/>
      <c r="BE300" s="52"/>
      <c r="BF300" s="52"/>
      <c r="BG300" s="52"/>
      <c r="BH300" s="52"/>
      <c r="BI300" s="68" cm="1">
        <f t="array" ref="BI300">IFERROR(INDEX(AW300:BH300,1,MATCH(2,1/(AW300:BH300&lt;&gt;""))),"")</f>
        <v>0</v>
      </c>
      <c r="BJ300" s="68" cm="1">
        <f t="array" ref="BJ300">IF(BM300 = "", "",IFERROR(INDEX(AW300:BH300,1,MATCH(2,1/(AW300:BH300&lt;&gt;""),1)-1),""))</f>
        <v>0</v>
      </c>
      <c r="BK300" s="59">
        <f>IF((IF(AW300&gt;=150%,150%,AW300) + IF(AX300&gt;=150%,150%,AX300) + IF(AY300&gt;=150%,150%,AY300) + (IF(AW300&gt;=150%,150%,AW300) + IF(BA300&gt;=150%,150%,BA300) + IF(BB300&gt;=150%,150%,BB300) + IF(BC300&gt;=150%,150%,BC300) + IF(BD300&gt;=150%,150%,BD300) + IF(BE300&gt;=150%,150%,BE300) + IF(BF300&gt;=150%,150%,BF300) + IF(BG300&gt;=150%,150%,BG300) + IF(BH300&gt;=150%,150%,BH300)))/_xlfn.XLOOKUP(F300,Apuração!A:A,Apuração!B:B)&gt;=1.15,1.15,((IF(AW300&gt;=150%,150%,AW300) + IF(AX300&gt;=150%,150%,AX300) + IF(AY300&gt;=150%,150%,AY300) + (IF(AW300&gt;=150%,150%,AW300) + IF(BA300&gt;=150%,150%,BA300) + IF(BB300&gt;=150%,150%,BB300) + IF(BC300&gt;=150%,150%,BC300) + IF(BD300&gt;=150%,150%,BD300) + IF(BE300&gt;=150%,150%,BE300) + IF(BF300&gt;=150%,150%,BF300) + IF(BG300&gt;=150%,150%,BG300) + IF(BH300&gt;=150%,150%,BH300)))/_xlfn.XLOOKUP(F300,Apuração!A:A,Apuração!B:B)))</f>
        <v>0</v>
      </c>
      <c r="BL300" s="59" cm="1">
        <f t="array" aca="1" ref="BL300" ca="1">IF(SUM(IFERROR(IF(INDEX(AW300:INDEX(AW300:BH300, MATCH(2, 1/(AW300:BH300&lt;&gt;""), 1)-1), ROW(INDIRECT("1:" &amp; MATCH(2, 1/(AW300:BH300&lt;&gt;""), 1)-1))) &gt;= 150%, 150%, INDEX(AW300:INDEX(AW300:BH300, MATCH(2, 1/(AW300:BH300&lt;&gt;""), 1)-1), ROW(INDIRECT("1:" &amp; MATCH(2, 1/(AW300:BH300&lt;&gt;""), 1)-1)))), 0))/_xlfn.XLOOKUP(F300,Apuração!A:A,Apuração!B:B)&gt;=1.15,1.15,SUM(IFERROR(IF(INDEX(AW300:INDEX(AW300:BH300, MATCH(2, 1/(AW300:BH300&lt;&gt;""), 1)-1), ROW(INDIRECT("1:" &amp; MATCH(2, 1/(AW300:BH300&lt;&gt;""), 1)-1))) &gt;= 150%, 150%, INDEX(AW300:INDEX(AW300:BH300, MATCH(2, 1/(AW300:BH300&lt;&gt;""), 1)-1), ROW(INDIRECT("1:" &amp; MATCH(2, 1/(AW300:BH300&lt;&gt;""), 1)-1)))), 0))/_xlfn.XLOOKUP(F300,Apuração!A:A,Apuração!B:B))</f>
        <v>0</v>
      </c>
      <c r="BM300" s="55" cm="1">
        <f t="array" ref="BM300">IFERROR(
   INDEX($AW$1:$BH$1,
      _xlfn.AGGREGATE(14, 6, COLUMN($AW$1:$BH$1)/(AW300:BH300&lt;&gt;""), 2) - COLUMN($AW$1) + 1
   ),
"")</f>
        <v>46082</v>
      </c>
      <c r="BN300" s="55" cm="1">
        <f t="array" ref="BN300">IFERROR(INDEX($AW$1:$BH$1,1,MATCH(2,1/(AW300:BH300&lt;&gt;""))),"")</f>
        <v>46113</v>
      </c>
      <c r="BO300" s="53">
        <f ca="1">IFERROR(_xlfn.XLOOKUP(F300,Apuração!A:A,Apuração!C:C)/_xlfn.XLOOKUP(F300,Apuração!A:A,Apuração!B:B),0)</f>
        <v>0.41666666666666669</v>
      </c>
      <c r="BP300" s="53">
        <f ca="1">IFERROR(_xlfn.XLOOKUP(F300,Apuração!A:A,Apuração!D:D)/_xlfn.XLOOKUP(F300,Apuração!A:A,Apuração!B:B),0)</f>
        <v>0.33333333333333331</v>
      </c>
      <c r="BQ300" s="53">
        <f ca="1">IF(BK300&gt;=BO300,0,_xlfn.XLOOKUP(F300,Apuração!A:A,Apuração!B:B)*(BO300 + (1/_xlfn.XLOOKUP(F300,Apuração!A:A,Apuração!B:B)) - BK300))</f>
        <v>6</v>
      </c>
      <c r="BR300" s="85">
        <f t="shared" ca="1" si="609"/>
        <v>0</v>
      </c>
      <c r="BS300" s="53">
        <f ca="1">IFERROR((_xlfn.XLOOKUP(F300,Apuração!A:A,Apuração!C:C)+1)/_xlfn.XLOOKUP(F300,Apuração!A:A,Apuração!B:B),0)</f>
        <v>0.5</v>
      </c>
    </row>
    <row r="301" spans="1:71" ht="25.95" hidden="1" customHeight="1" x14ac:dyDescent="0.3">
      <c r="A301" s="23" t="s">
        <v>134</v>
      </c>
      <c r="B301" s="4" t="s">
        <v>167</v>
      </c>
      <c r="C301" s="5" t="s">
        <v>95</v>
      </c>
      <c r="D301" s="5" t="s">
        <v>36</v>
      </c>
      <c r="E301" s="4" t="str" cm="1">
        <f t="array" ref="E301">_xlfn.IFS(
F301 = "A partir de Abril", "Aguardando Execução na Distribuidora",
A301 = "CAPACITAÇÃO", "Em execução no Corporativo",
TRUE, "Em Execução na Distribuidora"
)</f>
        <v>Em Execução na Distribuidora</v>
      </c>
      <c r="F301" s="4" t="str" cm="1">
        <f t="array" ref="F301">_xlfn.IFS(
AG301 &lt;&gt; "", "Jan-Dez/26",
AH301 &lt;&gt; "", "Fev-Dez/26",
AI301 &lt;&gt; "", "Mar-Dez/26", AJ301 &lt;&gt; "", "Abr-Dez/26",
TRUE, "A partir de Junho"
)</f>
        <v>Jan-Dez/26</v>
      </c>
      <c r="G301" s="4" t="s">
        <v>37</v>
      </c>
      <c r="H301" s="7" t="s">
        <v>54</v>
      </c>
      <c r="I301" s="8" t="s">
        <v>168</v>
      </c>
      <c r="J301" s="8" t="str" cm="1">
        <f t="array" aca="1" ref="J301" ca="1">_xlfn.LET(
  _xlpm.actual_value_month, INDEX(T301:AE301, MATCH(DATE(YEAR(TODAY()), MONTH(TODAY()), 1), $T$1:$AE$1, 0)),
  IF(_xlpm.actual_value_month &lt;&gt; "",_xlpm.actual_value_month &amp; " ações mensais", "")
)</f>
        <v>4 ações mensais</v>
      </c>
      <c r="K301" s="8" t="str" cm="1">
        <f t="array" ref="K301">_xlfn.LET(
    _xlpm.sum_month, SUM(T301:AE301),
    IF(_xlpm.sum_month = 0, "", _xlpm.sum_month &amp; " atividades no ano")
)</f>
        <v>40 atividades no ano</v>
      </c>
      <c r="L301" s="9" t="s">
        <v>169</v>
      </c>
      <c r="M301" s="24" t="s">
        <v>170</v>
      </c>
      <c r="N301" s="5" t="s">
        <v>42</v>
      </c>
      <c r="O301" s="5" t="s">
        <v>43</v>
      </c>
      <c r="P301" s="10" t="s">
        <v>44</v>
      </c>
      <c r="Q301" s="10" t="s">
        <v>44</v>
      </c>
      <c r="R301" s="11" t="s">
        <v>66</v>
      </c>
      <c r="S301" s="11" t="s">
        <v>67</v>
      </c>
      <c r="T301" s="22">
        <v>2</v>
      </c>
      <c r="U301" s="22">
        <v>2</v>
      </c>
      <c r="V301" s="22">
        <v>2</v>
      </c>
      <c r="W301" s="22">
        <v>2</v>
      </c>
      <c r="X301" s="22">
        <v>4</v>
      </c>
      <c r="Y301" s="22">
        <v>4</v>
      </c>
      <c r="Z301" s="22">
        <v>4</v>
      </c>
      <c r="AA301" s="22">
        <v>4</v>
      </c>
      <c r="AB301" s="22">
        <v>4</v>
      </c>
      <c r="AC301" s="22">
        <v>4</v>
      </c>
      <c r="AD301" s="22">
        <v>4</v>
      </c>
      <c r="AE301" s="22">
        <v>4</v>
      </c>
      <c r="AG301" s="71">
        <v>2</v>
      </c>
      <c r="AH301" s="71">
        <v>2</v>
      </c>
      <c r="AI301" s="71">
        <v>2</v>
      </c>
      <c r="AJ301" s="71">
        <v>2</v>
      </c>
      <c r="AK301" s="71"/>
      <c r="AL301" s="71"/>
      <c r="AM301" s="71"/>
      <c r="AN301" s="71"/>
      <c r="AO301" s="71"/>
      <c r="AP301" s="71"/>
      <c r="AQ301" s="71"/>
      <c r="AR301" s="71"/>
      <c r="AS301" s="94">
        <f t="shared" ca="1" si="619"/>
        <v>12</v>
      </c>
      <c r="AT301" s="95">
        <f>SUM(IF(AW301&lt;1.15,AG301,1.15*T301),IF(AX301&lt;1.15,AH301,1.15*U301),IF(AY301&lt;1.15,AI301,1.15*V301),IF(AZ301&lt;1.15,AJ301,1.15*W301),IF(BA301&lt;1.15,AK301,1.15*X301),IF(BB301&lt;1.15,AL301,1.15*Y301),IF(BC301&lt;1.15,AM301,1.15*Z301),IF(BD301&lt;1.15,AN301,1.15*AA301),IF(BE301&lt;1.15,AO301,1.15*AB301),IF(BF301&lt;1.15,AP301,1.15*AC301),IF(BG301&lt;1.15,AQ301,1.15*AD301),IF(BH301&lt;1.15,AR301,1.15*AE301))</f>
        <v>8</v>
      </c>
      <c r="AU301" s="97">
        <f t="shared" si="620"/>
        <v>8</v>
      </c>
      <c r="AW301" s="51">
        <f t="shared" ref="AW301:AZ304" si="634">IFERROR(IF(AG301="",0,AG301/T301),0)</f>
        <v>1</v>
      </c>
      <c r="AX301" s="51">
        <f t="shared" si="634"/>
        <v>1</v>
      </c>
      <c r="AY301" s="51">
        <f t="shared" si="634"/>
        <v>1</v>
      </c>
      <c r="AZ301" s="51">
        <f t="shared" si="634"/>
        <v>1</v>
      </c>
      <c r="BA301" s="51"/>
      <c r="BB301" s="51"/>
      <c r="BC301" s="51"/>
      <c r="BD301" s="51"/>
      <c r="BE301" s="51"/>
      <c r="BF301" s="51"/>
      <c r="BG301" s="51"/>
      <c r="BH301" s="51"/>
      <c r="BI301" s="65" cm="1">
        <f t="array" ref="BI301">IFERROR(INDEX(AW301:BH301,1,MATCH(2,1/(AW301:BH301&lt;&gt;""))),"")</f>
        <v>1</v>
      </c>
      <c r="BJ301" s="68" cm="1">
        <f t="array" ref="BJ301">IF(BM301 = "", "",IFERROR(INDEX(AW301:BH301,1,MATCH(2,1/(AW301:BH301&lt;&gt;""),1)-1),""))</f>
        <v>1</v>
      </c>
      <c r="BK301" s="58">
        <f>IF((IF(AW301&gt;=115%,115%,AW301) + IF(AX301&gt;=115%,115%,AX301) + IF(AY301&gt;=115%,115%,AY301) + (IF(AZ301&gt;=115%,115%,AZ301) + IF(BA301&gt;=115%,115%,BA301) + IF(BB301&gt;=115%,115%,BB301) + IF(BC301&gt;=115%,115%,BC301) + IF(BD301&gt;=115%,115%,BD301) + IF(BE301&gt;=115%,115%,BE301) + IF(BF301&gt;=115%,115%,BF301) + IF(BG301&gt;=115%,115%,BG301) + IF(BH301&gt;=115%,115%,BH301)))/_xlfn.XLOOKUP(F301,Apuração!A:A,Apuração!B:B)&gt;=1.15,1.15,((IF(AZ301&gt;=115%,115%,AZ301) + IF(AX301&gt;=115%,115%,AX301) + IF(AY301&gt;=115%,115%,AY301) + (IF(AW301&gt;=115%,115%,AW301) + IF(BA301&gt;=115%,115%,BA301) + IF(BB301&gt;=115%,115%,BB301) + IF(BC301&gt;=115%,115%,BC301) + IF(BD301&gt;=115%,115%,BD301) + IF(BE301&gt;=115%,115%,BE301) + IF(BF301&gt;=115%,115%,BF301) + IF(BG301&gt;=115%,115%,BG301) + IF(BH301&gt;=115%,115%,BH301)))/_xlfn.XLOOKUP(F301,Apuração!A:A,Apuração!B:B)))</f>
        <v>0.33333333333333331</v>
      </c>
      <c r="BL301" s="58" cm="1">
        <f t="array" aca="1" ref="BL301" ca="1">IF(SUM(IFERROR(IF(INDEX(AW301:INDEX(AW301:BH301, MATCH(2, 1/(AW301:BH301&lt;&gt;""), 1)-1), ROW(INDIRECT("1:" &amp; MATCH(2, 1/(AW301:BH301&lt;&gt;""), 1)-1))) &gt;= 115%, 115%, INDEX(AW301:INDEX(AW301:BH301, MATCH(2, 1/(AW301:BH301&lt;&gt;""), 1)-1), ROW(INDIRECT("1:" &amp; MATCH(2, 1/(AW301:BH301&lt;&gt;""), 1)-1)))), 0))/_xlfn.XLOOKUP(F301,Apuração!A:A,Apuração!B:B)&gt;=1.15,1.15,SUM(IFERROR(IF(INDEX(AW301:INDEX(AW301:BH301, MATCH(2, 1/(AW301:BH301&lt;&gt;""), 1)-1), ROW(INDIRECT("1:" &amp; MATCH(2, 1/(AW301:BH301&lt;&gt;""), 1)-1))) &gt;= 115%, 115%, INDEX(AW301:INDEX(AW301:BH301, MATCH(2, 1/(AW301:BH301&lt;&gt;""), 1)-1), ROW(INDIRECT("1:" &amp; MATCH(2, 1/(AW301:BH301&lt;&gt;""), 1)-1)))), 0))/_xlfn.XLOOKUP(F301,Apuração!A:A,Apuração!B:B))</f>
        <v>0.25</v>
      </c>
      <c r="BM301" s="55" cm="1">
        <f t="array" ref="BM301">IFERROR(
   INDEX($AW$1:$BH$1,
      _xlfn.AGGREGATE(14, 6, COLUMN($AW$1:$BH$1)/(AW301:BH301&lt;&gt;""), 2) - COLUMN($AW$1) + 1
   ),
"")</f>
        <v>46082</v>
      </c>
      <c r="BN301" s="55" cm="1">
        <f t="array" ref="BN301">IFERROR(INDEX($AW$1:$BH$1,1,MATCH(2,1/(AW301:BH301&lt;&gt;""))),"")</f>
        <v>46113</v>
      </c>
      <c r="BO301" s="53">
        <f ca="1">IFERROR(_xlfn.XLOOKUP(F301,Apuração!A:A,Apuração!C:C)/_xlfn.XLOOKUP(F301,Apuração!A:A,Apuração!B:B),0)</f>
        <v>0.41666666666666669</v>
      </c>
      <c r="BP301" s="53">
        <f ca="1">IFERROR(_xlfn.XLOOKUP(F301,Apuração!A:A,Apuração!D:D)/_xlfn.XLOOKUP(F301,Apuração!A:A,Apuração!B:B),0)</f>
        <v>0.33333333333333331</v>
      </c>
      <c r="BQ301" s="53">
        <f ca="1">IF(BK301&gt;=BO301,0,_xlfn.XLOOKUP(F301,Apuração!A:A,Apuração!B:B)*(BO301 + (1/_xlfn.XLOOKUP(F301,Apuração!A:A,Apuração!B:B)) - BK301))</f>
        <v>2</v>
      </c>
      <c r="BR301" s="85">
        <f t="shared" ca="1" si="609"/>
        <v>8</v>
      </c>
      <c r="BS301" s="53">
        <f ca="1">IFERROR((_xlfn.XLOOKUP(F301,Apuração!A:A,Apuração!C:C)+1)/_xlfn.XLOOKUP(F301,Apuração!A:A,Apuração!B:B),0)</f>
        <v>0.5</v>
      </c>
    </row>
    <row r="302" spans="1:71" ht="25.95" hidden="1" customHeight="1" x14ac:dyDescent="0.3">
      <c r="A302" s="23" t="s">
        <v>134</v>
      </c>
      <c r="B302" s="4" t="s">
        <v>167</v>
      </c>
      <c r="C302" s="5" t="s">
        <v>95</v>
      </c>
      <c r="D302" s="5" t="s">
        <v>36</v>
      </c>
      <c r="E302" s="4" t="str" cm="1">
        <f t="array" ref="E302">_xlfn.IFS(
F302 = "A partir de Abril", "Aguardando Execução na Distribuidora",
A302 = "CAPACITAÇÃO", "Em execução no Corporativo",
TRUE, "Em Execução na Distribuidora"
)</f>
        <v>Em Execução na Distribuidora</v>
      </c>
      <c r="F302" s="4" t="str" cm="1">
        <f t="array" ref="F302">_xlfn.IFS(
AG302 &lt;&gt; "", "Jan-Dez/26",
AH302 &lt;&gt; "", "Fev-Dez/26",
AI302 &lt;&gt; "", "Mar-Dez/26", AJ302 &lt;&gt; "", "Abr-Dez/26",
TRUE, "A partir de Junho"
)</f>
        <v>Jan-Dez/26</v>
      </c>
      <c r="G302" s="4" t="s">
        <v>37</v>
      </c>
      <c r="H302" s="7" t="s">
        <v>54</v>
      </c>
      <c r="I302" s="8" t="s">
        <v>171</v>
      </c>
      <c r="J302" s="8" t="str" cm="1">
        <f t="array" aca="1" ref="J302" ca="1">_xlfn.LET(
  _xlpm.actual_value_month, INDEX(T302:AE302, MATCH(DATE(YEAR(TODAY()), MONTH(TODAY()), 1), $T$1:$AE$1, 0)),
  IF(_xlpm.actual_value_month &lt;&gt; "",_xlpm.actual_value_month &amp; " colaboradores alcançados mensalmentes", "")
)</f>
        <v>336 colaboradores alcançados mensalmentes</v>
      </c>
      <c r="K302" s="8" t="str" cm="1">
        <f t="array" ref="K302">_xlfn.LET(
    _xlpm.sum_month, SUM(T302:AE302),
    IF(_xlpm.sum_month = 0, "", _xlpm.sum_month &amp; " colaboradores alcançados durante no ano")
)</f>
        <v>6324 colaboradores alcançados durante no ano</v>
      </c>
      <c r="L302" s="9" t="s">
        <v>172</v>
      </c>
      <c r="M302" s="24" t="s">
        <v>173</v>
      </c>
      <c r="N302" s="5" t="s">
        <v>42</v>
      </c>
      <c r="O302" s="5" t="s">
        <v>43</v>
      </c>
      <c r="P302" s="10" t="s">
        <v>44</v>
      </c>
      <c r="Q302" s="10" t="s">
        <v>72</v>
      </c>
      <c r="R302" s="11" t="s">
        <v>66</v>
      </c>
      <c r="S302" s="11" t="s">
        <v>67</v>
      </c>
      <c r="T302" s="22">
        <v>1100</v>
      </c>
      <c r="U302" s="22">
        <v>1100</v>
      </c>
      <c r="V302" s="22">
        <v>1100</v>
      </c>
      <c r="W302" s="22">
        <v>336</v>
      </c>
      <c r="X302" s="22">
        <v>336</v>
      </c>
      <c r="Y302" s="22">
        <v>336</v>
      </c>
      <c r="Z302" s="22">
        <v>336</v>
      </c>
      <c r="AA302" s="22">
        <v>336</v>
      </c>
      <c r="AB302" s="22">
        <v>336</v>
      </c>
      <c r="AC302" s="22">
        <v>336</v>
      </c>
      <c r="AD302" s="22">
        <v>336</v>
      </c>
      <c r="AE302" s="22">
        <v>336</v>
      </c>
      <c r="AG302" s="71">
        <v>1100</v>
      </c>
      <c r="AH302" s="71">
        <v>1100</v>
      </c>
      <c r="AI302" s="71">
        <v>1100</v>
      </c>
      <c r="AJ302" s="71">
        <v>1100</v>
      </c>
      <c r="AK302" s="71"/>
      <c r="AL302" s="71"/>
      <c r="AM302" s="71"/>
      <c r="AN302" s="71"/>
      <c r="AO302" s="71"/>
      <c r="AP302" s="71"/>
      <c r="AQ302" s="71"/>
      <c r="AR302" s="71"/>
      <c r="AS302" s="94">
        <f t="shared" ca="1" si="619"/>
        <v>3972</v>
      </c>
      <c r="AT302" s="95">
        <f>SUM(IF(AW302&lt;1.15,AG302,1.15*T302),IF(AX302&lt;1.15,AH302,1.15*U302),IF(AY302&lt;1.15,AI302,1.15*V302),IF(AZ302&lt;1.15,AJ302,1.15*W302),IF(BA302&lt;1.15,AK302,1.15*X302),IF(BB302&lt;1.15,AL302,1.15*Y302),IF(BC302&lt;1.15,AM302,1.15*Z302),IF(BD302&lt;1.15,AN302,1.15*AA302),IF(BE302&lt;1.15,AO302,1.15*AB302),IF(BF302&lt;1.15,AP302,1.15*AC302),IF(BG302&lt;1.15,AQ302,1.15*AD302),IF(BH302&lt;1.15,AR302,1.15*AE302))</f>
        <v>3686.4</v>
      </c>
      <c r="AU302" s="97">
        <f t="shared" si="620"/>
        <v>4400</v>
      </c>
      <c r="AW302" s="51">
        <f t="shared" si="634"/>
        <v>1</v>
      </c>
      <c r="AX302" s="51">
        <f t="shared" si="634"/>
        <v>1</v>
      </c>
      <c r="AY302" s="51">
        <f t="shared" si="634"/>
        <v>1</v>
      </c>
      <c r="AZ302" s="51">
        <f t="shared" si="634"/>
        <v>3.2738095238095237</v>
      </c>
      <c r="BA302" s="51"/>
      <c r="BB302" s="51"/>
      <c r="BC302" s="51"/>
      <c r="BD302" s="51"/>
      <c r="BE302" s="51"/>
      <c r="BF302" s="51"/>
      <c r="BG302" s="51"/>
      <c r="BH302" s="51"/>
      <c r="BI302" s="65" cm="1">
        <f t="array" ref="BI302">IFERROR(INDEX(AW302:BH302,1,MATCH(2,1/(AW302:BH302&lt;&gt;""))),"")</f>
        <v>3.2738095238095237</v>
      </c>
      <c r="BJ302" s="68" cm="1">
        <f t="array" ref="BJ302">IF(BM302 = "", "",IFERROR(INDEX(AW302:BH302,1,MATCH(2,1/(AW302:BH302&lt;&gt;""),1)-1),""))</f>
        <v>1</v>
      </c>
      <c r="BK302" s="58">
        <f>IF((IF(AW302&gt;=115%,115%,AW302) + IF(AX302&gt;=115%,115%,AX302) + IF(AY302&gt;=115%,115%,AY302) + (IF(AZ302&gt;=115%,115%,AZ302) + IF(BA302&gt;=115%,115%,BA302) + IF(BB302&gt;=115%,115%,BB302) + IF(BC302&gt;=115%,115%,BC302) + IF(BD302&gt;=115%,115%,BD302) + IF(BE302&gt;=115%,115%,BE302) + IF(BF302&gt;=115%,115%,BF302) + IF(BG302&gt;=115%,115%,BG302) + IF(BH302&gt;=115%,115%,BH302)))/_xlfn.XLOOKUP(F302,Apuração!A:A,Apuração!B:B)&gt;=1.15,1.15,((IF(AZ302&gt;=115%,115%,AZ302) + IF(AX302&gt;=115%,115%,AX302) + IF(AY302&gt;=115%,115%,AY302) + (IF(AW302&gt;=115%,115%,AW302) + IF(BA302&gt;=115%,115%,BA302) + IF(BB302&gt;=115%,115%,BB302) + IF(BC302&gt;=115%,115%,BC302) + IF(BD302&gt;=115%,115%,BD302) + IF(BE302&gt;=115%,115%,BE302) + IF(BF302&gt;=115%,115%,BF302) + IF(BG302&gt;=115%,115%,BG302) + IF(BH302&gt;=115%,115%,BH302)))/_xlfn.XLOOKUP(F302,Apuração!A:A,Apuração!B:B)))</f>
        <v>0.34583333333333338</v>
      </c>
      <c r="BL302" s="58" cm="1">
        <f t="array" aca="1" ref="BL302" ca="1">IF(SUM(IFERROR(IF(INDEX(AW302:INDEX(AW302:BH302, MATCH(2, 1/(AW302:BH302&lt;&gt;""), 1)-1), ROW(INDIRECT("1:" &amp; MATCH(2, 1/(AW302:BH302&lt;&gt;""), 1)-1))) &gt;= 115%, 115%, INDEX(AW302:INDEX(AW302:BH302, MATCH(2, 1/(AW302:BH302&lt;&gt;""), 1)-1), ROW(INDIRECT("1:" &amp; MATCH(2, 1/(AW302:BH302&lt;&gt;""), 1)-1)))), 0))/_xlfn.XLOOKUP(F302,Apuração!A:A,Apuração!B:B)&gt;=1.15,1.15,SUM(IFERROR(IF(INDEX(AW302:INDEX(AW302:BH302, MATCH(2, 1/(AW302:BH302&lt;&gt;""), 1)-1), ROW(INDIRECT("1:" &amp; MATCH(2, 1/(AW302:BH302&lt;&gt;""), 1)-1))) &gt;= 115%, 115%, INDEX(AW302:INDEX(AW302:BH302, MATCH(2, 1/(AW302:BH302&lt;&gt;""), 1)-1), ROW(INDIRECT("1:" &amp; MATCH(2, 1/(AW302:BH302&lt;&gt;""), 1)-1)))), 0))/_xlfn.XLOOKUP(F302,Apuração!A:A,Apuração!B:B))</f>
        <v>0.25</v>
      </c>
      <c r="BM302" s="55" cm="1">
        <f t="array" ref="BM302">IFERROR(
   INDEX($AW$1:$BH$1,
      _xlfn.AGGREGATE(14, 6, COLUMN($AW$1:$BH$1)/(AW302:BH302&lt;&gt;""), 2) - COLUMN($AW$1) + 1
   ),
"")</f>
        <v>46082</v>
      </c>
      <c r="BN302" s="55" cm="1">
        <f t="array" ref="BN302">IFERROR(INDEX($AW$1:$BH$1,1,MATCH(2,1/(AW302:BH302&lt;&gt;""))),"")</f>
        <v>46113</v>
      </c>
      <c r="BO302" s="53">
        <f ca="1">IFERROR(_xlfn.XLOOKUP(F302,Apuração!A:A,Apuração!C:C)/_xlfn.XLOOKUP(F302,Apuração!A:A,Apuração!B:B),0)</f>
        <v>0.41666666666666669</v>
      </c>
      <c r="BP302" s="53">
        <f ca="1">IFERROR(_xlfn.XLOOKUP(F302,Apuração!A:A,Apuração!D:D)/_xlfn.XLOOKUP(F302,Apuração!A:A,Apuração!B:B),0)</f>
        <v>0.33333333333333331</v>
      </c>
      <c r="BQ302" s="53">
        <f ca="1">IF(BK302&gt;=BO302,0,_xlfn.XLOOKUP(F302,Apuração!A:A,Apuração!B:B)*(BO302 + (1/_xlfn.XLOOKUP(F302,Apuração!A:A,Apuração!B:B)) - BK302))</f>
        <v>1.8499999999999994</v>
      </c>
      <c r="BR302" s="85">
        <f t="shared" ca="1" si="609"/>
        <v>621.5999999999998</v>
      </c>
      <c r="BS302" s="53">
        <f ca="1">IFERROR((_xlfn.XLOOKUP(F302,Apuração!A:A,Apuração!C:C)+1)/_xlfn.XLOOKUP(F302,Apuração!A:A,Apuração!B:B),0)</f>
        <v>0.5</v>
      </c>
    </row>
    <row r="303" spans="1:71" ht="25.95" hidden="1" customHeight="1" x14ac:dyDescent="0.3">
      <c r="A303" s="23" t="s">
        <v>134</v>
      </c>
      <c r="B303" s="4" t="s">
        <v>174</v>
      </c>
      <c r="C303" s="5" t="s">
        <v>95</v>
      </c>
      <c r="D303" s="5" t="s">
        <v>36</v>
      </c>
      <c r="E303" s="4" t="s">
        <v>96</v>
      </c>
      <c r="F303" s="4" t="str" cm="1">
        <f t="array" ref="F303">_xlfn.IFS(
AG303 &lt;&gt; "", "Jan-Dez/26",
AH303 &lt;&gt; "", "Fev-Dez/26",
AI303 &lt;&gt; "", "Mar-Dez/26", AJ303 &lt;&gt; "", "Abr-Dez/26",
TRUE, "A partir de Junho"
)</f>
        <v>A partir de Junho</v>
      </c>
      <c r="G303" s="4" t="s">
        <v>62</v>
      </c>
      <c r="H303" s="7" t="s">
        <v>38</v>
      </c>
      <c r="I303" s="8" t="s">
        <v>168</v>
      </c>
      <c r="J303" s="8" t="str" cm="1">
        <f t="array" aca="1" ref="J303" ca="1">_xlfn.LET(
  _xlpm.actual_value_month, INDEX(T303:AE303, MATCH(DATE(YEAR(TODAY()), MONTH(TODAY()), 1), $T$1:$AE$1, 0)),
  IF(_xlpm.actual_value_month &lt;&gt; "",_xlpm.actual_value_month &amp; " ações mensais", "")
)</f>
        <v/>
      </c>
      <c r="K303" s="8" t="str" cm="1">
        <f t="array" ref="K303">_xlfn.LET(
    _xlpm.sum_month, SUM(T303:AE303),
    IF(_xlpm.sum_month = 0, "", _xlpm.sum_month &amp; " ações no ano")
)</f>
        <v/>
      </c>
      <c r="L303" s="9" t="s">
        <v>169</v>
      </c>
      <c r="M303" s="24">
        <v>1</v>
      </c>
      <c r="N303" s="5" t="s">
        <v>42</v>
      </c>
      <c r="O303" s="5" t="s">
        <v>43</v>
      </c>
      <c r="P303" s="10" t="s">
        <v>44</v>
      </c>
      <c r="Q303" s="10" t="s">
        <v>44</v>
      </c>
      <c r="R303" s="11" t="s">
        <v>66</v>
      </c>
      <c r="S303" s="11" t="s">
        <v>67</v>
      </c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94">
        <f t="shared" ca="1" si="619"/>
        <v>0</v>
      </c>
      <c r="AT303" s="95">
        <f>SUM(IF(AW303&lt;1.15,AG303,1.15*T303),IF(AX303&lt;1.15,AH303,1.15*U303),IF(AY303&lt;1.15,AI303,1.15*V303),IF(AZ303&lt;1.15,AJ303,1.15*W303),IF(BA303&lt;1.15,AK303,1.15*X303),IF(BB303&lt;1.15,AL303,1.15*Y303),IF(BC303&lt;1.15,AM303,1.15*Z303),IF(BD303&lt;1.15,AN303,1.15*AA303),IF(BE303&lt;1.15,AO303,1.15*AB303),IF(BF303&lt;1.15,AP303,1.15*AC303),IF(BG303&lt;1.15,AQ303,1.15*AD303),IF(BH303&lt;1.15,AR303,1.15*AE303))</f>
        <v>0</v>
      </c>
      <c r="AU303" s="97">
        <f t="shared" si="620"/>
        <v>0</v>
      </c>
      <c r="AW303" s="51">
        <f t="shared" si="634"/>
        <v>0</v>
      </c>
      <c r="AX303" s="51">
        <f t="shared" si="634"/>
        <v>0</v>
      </c>
      <c r="AY303" s="51">
        <f t="shared" si="634"/>
        <v>0</v>
      </c>
      <c r="AZ303" s="51">
        <f t="shared" si="634"/>
        <v>0</v>
      </c>
      <c r="BA303" s="51"/>
      <c r="BB303" s="51"/>
      <c r="BC303" s="51"/>
      <c r="BD303" s="51"/>
      <c r="BE303" s="51"/>
      <c r="BF303" s="51"/>
      <c r="BG303" s="51"/>
      <c r="BH303" s="51"/>
      <c r="BI303" s="65" cm="1">
        <f t="array" ref="BI303">IFERROR(INDEX(AW303:BH303,1,MATCH(2,1/(AW303:BH303&lt;&gt;""))),"")</f>
        <v>0</v>
      </c>
      <c r="BJ303" s="68" cm="1">
        <f t="array" ref="BJ303">IF(BM303 = "", "",IFERROR(INDEX(AW303:BH303,1,MATCH(2,1/(AW303:BH303&lt;&gt;""),1)-1),""))</f>
        <v>0</v>
      </c>
      <c r="BK303" s="58">
        <f>IF((IF(AW303&gt;=115%,115%,AW303) + IF(AX303&gt;=115%,115%,AX303) + IF(AY303&gt;=115%,115%,AY303) + (IF(AZ303&gt;=115%,115%,AZ303) + IF(BA303&gt;=115%,115%,BA303) + IF(BB303&gt;=115%,115%,BB303) + IF(BC303&gt;=115%,115%,BC303) + IF(BD303&gt;=115%,115%,BD303) + IF(BE303&gt;=115%,115%,BE303) + IF(BF303&gt;=115%,115%,BF303) + IF(BG303&gt;=115%,115%,BG303) + IF(BH303&gt;=115%,115%,BH303)))/_xlfn.XLOOKUP(F303,Apuração!A:A,Apuração!B:B)&gt;=1.15,1.15,((IF(AZ303&gt;=115%,115%,AZ303) + IF(AX303&gt;=115%,115%,AX303) + IF(AY303&gt;=115%,115%,AY303) + (IF(AW303&gt;=115%,115%,AW303) + IF(BA303&gt;=115%,115%,BA303) + IF(BB303&gt;=115%,115%,BB303) + IF(BC303&gt;=115%,115%,BC303) + IF(BD303&gt;=115%,115%,BD303) + IF(BE303&gt;=115%,115%,BE303) + IF(BF303&gt;=115%,115%,BF303) + IF(BG303&gt;=115%,115%,BG303) + IF(BH303&gt;=115%,115%,BH303)))/_xlfn.XLOOKUP(F303,Apuração!A:A,Apuração!B:B)))</f>
        <v>0</v>
      </c>
      <c r="BL303" s="58" cm="1">
        <f t="array" aca="1" ref="BL303" ca="1">IF(SUM(IFERROR(IF(INDEX(AW303:INDEX(AW303:BH303, MATCH(2, 1/(AW303:BH303&lt;&gt;""), 1)-1), ROW(INDIRECT("1:" &amp; MATCH(2, 1/(AW303:BH303&lt;&gt;""), 1)-1))) &gt;= 115%, 115%, INDEX(AW303:INDEX(AW303:BH303, MATCH(2, 1/(AW303:BH303&lt;&gt;""), 1)-1), ROW(INDIRECT("1:" &amp; MATCH(2, 1/(AW303:BH303&lt;&gt;""), 1)-1)))), 0))/_xlfn.XLOOKUP(F303,Apuração!A:A,Apuração!B:B)&gt;=1.15,1.15,SUM(IFERROR(IF(INDEX(AW303:INDEX(AW303:BH303, MATCH(2, 1/(AW303:BH303&lt;&gt;""), 1)-1), ROW(INDIRECT("1:" &amp; MATCH(2, 1/(AW303:BH303&lt;&gt;""), 1)-1))) &gt;= 115%, 115%, INDEX(AW303:INDEX(AW303:BH303, MATCH(2, 1/(AW303:BH303&lt;&gt;""), 1)-1), ROW(INDIRECT("1:" &amp; MATCH(2, 1/(AW303:BH303&lt;&gt;""), 1)-1)))), 0))/_xlfn.XLOOKUP(F303,Apuração!A:A,Apuração!B:B))</f>
        <v>0</v>
      </c>
      <c r="BM303" s="55" cm="1">
        <f t="array" ref="BM303">IFERROR(
   INDEX($AW$1:$BH$1,
      _xlfn.AGGREGATE(14, 6, COLUMN($AW$1:$BH$1)/(AW303:BH303&lt;&gt;""), 2) - COLUMN($AW$1) + 1
   ),
"")</f>
        <v>46082</v>
      </c>
      <c r="BN303" s="55" cm="1">
        <f t="array" ref="BN303">IFERROR(INDEX($AW$1:$BH$1,1,MATCH(2,1/(AW303:BH303&lt;&gt;""))),"")</f>
        <v>46113</v>
      </c>
      <c r="BO303" s="53">
        <f ca="1">IFERROR(_xlfn.XLOOKUP(F303,Apuração!A:A,Apuração!C:C)/_xlfn.XLOOKUP(F303,Apuração!A:A,Apuração!B:B),0)</f>
        <v>0</v>
      </c>
      <c r="BP303" s="53">
        <f ca="1">IFERROR(_xlfn.XLOOKUP(F303,Apuração!A:A,Apuração!D:D)/_xlfn.XLOOKUP(F303,Apuração!A:A,Apuração!B:B),0)</f>
        <v>0</v>
      </c>
      <c r="BQ303" s="53">
        <f ca="1">IF(BK303&gt;=BO303,0,_xlfn.XLOOKUP(F303,Apuração!A:A,Apuração!B:B)*(BO303 + (1/_xlfn.XLOOKUP(F303,Apuração!A:A,Apuração!B:B)) - BK303))</f>
        <v>0</v>
      </c>
      <c r="BR303" s="85">
        <f t="shared" ca="1" si="609"/>
        <v>0</v>
      </c>
      <c r="BS303" s="53">
        <f ca="1">IFERROR((_xlfn.XLOOKUP(F303,Apuração!A:A,Apuração!C:C)+1)/_xlfn.XLOOKUP(F303,Apuração!A:A,Apuração!B:B),0)</f>
        <v>0.14285714285714285</v>
      </c>
    </row>
    <row r="304" spans="1:71" ht="25.95" hidden="1" customHeight="1" x14ac:dyDescent="0.3">
      <c r="A304" s="23" t="s">
        <v>134</v>
      </c>
      <c r="B304" s="4" t="s">
        <v>174</v>
      </c>
      <c r="C304" s="5" t="s">
        <v>95</v>
      </c>
      <c r="D304" s="5" t="s">
        <v>36</v>
      </c>
      <c r="E304" s="4" t="s">
        <v>96</v>
      </c>
      <c r="F304" s="4" t="str" cm="1">
        <f t="array" ref="F304">_xlfn.IFS(
AG304 &lt;&gt; "", "Jan-Dez/26",
AH304 &lt;&gt; "", "Fev-Dez/26",
AI304 &lt;&gt; "", "Mar-Dez/26", AJ304 &lt;&gt; "", "Abr-Dez/26",
TRUE, "A partir de Junho"
)</f>
        <v>A partir de Junho</v>
      </c>
      <c r="G304" s="4" t="s">
        <v>62</v>
      </c>
      <c r="H304" s="7" t="s">
        <v>38</v>
      </c>
      <c r="I304" s="8" t="s">
        <v>171</v>
      </c>
      <c r="J304" s="8" t="str" cm="1">
        <f t="array" aca="1" ref="J304" ca="1">_xlfn.LET(
  _xlpm.actual_value_month, INDEX(T304:AE304, MATCH(DATE(YEAR(TODAY()), MONTH(TODAY()), 1), $T$1:$AE$1, 0)),
  IF(_xlpm.actual_value_month &lt;&gt; "",_xlpm.actual_value_month &amp; " ações mensais", "")
)</f>
        <v/>
      </c>
      <c r="K304" s="8" t="str" cm="1">
        <f t="array" ref="K304">_xlfn.LET(
    _xlpm.sum_month, SUM(T304:AE304),
    IF(_xlpm.sum_month = 0, "", _xlpm.sum_month &amp; " colaboradores impactados no ano")
)</f>
        <v/>
      </c>
      <c r="L304" s="9" t="s">
        <v>172</v>
      </c>
      <c r="M304" s="24">
        <v>1</v>
      </c>
      <c r="N304" s="5" t="s">
        <v>42</v>
      </c>
      <c r="O304" s="5" t="s">
        <v>43</v>
      </c>
      <c r="P304" s="10" t="s">
        <v>44</v>
      </c>
      <c r="Q304" s="10" t="s">
        <v>72</v>
      </c>
      <c r="R304" s="11" t="s">
        <v>66</v>
      </c>
      <c r="S304" s="11" t="s">
        <v>67</v>
      </c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94">
        <f t="shared" ca="1" si="619"/>
        <v>0</v>
      </c>
      <c r="AT304" s="95">
        <f>SUM(IF(AW304&lt;1.15,AG304,1.15*T304),IF(AX304&lt;1.15,AH304,1.15*U304),IF(AY304&lt;1.15,AI304,1.15*V304),IF(AZ304&lt;1.15,AJ304,1.15*W304),IF(BA304&lt;1.15,AK304,1.15*X304),IF(BB304&lt;1.15,AL304,1.15*Y304),IF(BC304&lt;1.15,AM304,1.15*Z304),IF(BD304&lt;1.15,AN304,1.15*AA304),IF(BE304&lt;1.15,AO304,1.15*AB304),IF(BF304&lt;1.15,AP304,1.15*AC304),IF(BG304&lt;1.15,AQ304,1.15*AD304),IF(BH304&lt;1.15,AR304,1.15*AE304))</f>
        <v>0</v>
      </c>
      <c r="AU304" s="97">
        <f t="shared" si="620"/>
        <v>0</v>
      </c>
      <c r="AW304" s="51">
        <f t="shared" si="634"/>
        <v>0</v>
      </c>
      <c r="AX304" s="51">
        <f t="shared" si="634"/>
        <v>0</v>
      </c>
      <c r="AY304" s="51">
        <f t="shared" si="634"/>
        <v>0</v>
      </c>
      <c r="AZ304" s="51">
        <f t="shared" si="634"/>
        <v>0</v>
      </c>
      <c r="BA304" s="51"/>
      <c r="BB304" s="51"/>
      <c r="BC304" s="51"/>
      <c r="BD304" s="51"/>
      <c r="BE304" s="51"/>
      <c r="BF304" s="51"/>
      <c r="BG304" s="51"/>
      <c r="BH304" s="51"/>
      <c r="BI304" s="65" cm="1">
        <f t="array" ref="BI304">IFERROR(INDEX(AW304:BH304,1,MATCH(2,1/(AW304:BH304&lt;&gt;""))),"")</f>
        <v>0</v>
      </c>
      <c r="BJ304" s="68" cm="1">
        <f t="array" ref="BJ304">IF(BM304 = "", "",IFERROR(INDEX(AW304:BH304,1,MATCH(2,1/(AW304:BH304&lt;&gt;""),1)-1),""))</f>
        <v>0</v>
      </c>
      <c r="BK304" s="58">
        <f>IF((IF(AW304&gt;=115%,115%,AW304) + IF(AX304&gt;=115%,115%,AX304) + IF(AY304&gt;=115%,115%,AY304) + (IF(AZ304&gt;=115%,115%,AZ304) + IF(BA304&gt;=133%,133%,BA304) + IF(BB304&gt;=115%,115%,BB304) + IF(BC304&gt;=115%,115%,BC304) + IF(BD304&gt;=115%,115%,BD304) + IF(BE304&gt;=115%,115%,BE304) + IF(BF304&gt;=115%,115%,BF304) + IF(BG304&gt;=115%,115%,BG304) + IF(BH304&gt;=115%,115%,BH304)))/_xlfn.XLOOKUP(F304,Apuração!A:A,Apuração!B:B)&gt;=1.15,1.15,((IF(AZ304&gt;=115%,115%,AZ304) + IF(AX304&gt;=115%,115%,AX304) + IF(AY304&gt;=115%,115%,AY304) + (IF(AW304&gt;=115%,115%,AW304) + IF(BA304&gt;=133%,133%,BA304) + IF(BB304&gt;=115%,115%,BB304) + IF(BC304&gt;=115%,115%,BC304) + IF(BD304&gt;=115%,115%,BD304) + IF(BE304&gt;=115%,115%,BE304) + IF(BF304&gt;=115%,115%,BF304) + IF(BG304&gt;=115%,115%,BG304) + IF(BH304&gt;=115%,115%,BH304)))/_xlfn.XLOOKUP(F304,Apuração!A:A,Apuração!B:B)))</f>
        <v>0</v>
      </c>
      <c r="BL304" s="58" cm="1">
        <f t="array" aca="1" ref="BL304" ca="1">IF(SUM(IFERROR(IF(INDEX(AW304:INDEX(AW304:BH304, MATCH(2, 1/(AW304:BH304&lt;&gt;""), 1)-1), ROW(INDIRECT("1:" &amp; MATCH(2, 1/(AW304:BH304&lt;&gt;""), 1)-1))) &gt;= 115%, 115%, INDEX(AW304:INDEX(AW304:BH304, MATCH(2, 1/(AW304:BH304&lt;&gt;""), 1)-1), ROW(INDIRECT("1:" &amp; MATCH(2, 1/(AW304:BH304&lt;&gt;""), 1)-1)))), 0))/_xlfn.XLOOKUP(F304,Apuração!A:A,Apuração!B:B)&gt;=1.15,1.15,SUM(IFERROR(IF(INDEX(AW304:INDEX(AW304:BH304, MATCH(2, 1/(AW304:BH304&lt;&gt;""), 1)-1), ROW(INDIRECT("1:" &amp; MATCH(2, 1/(AW304:BH304&lt;&gt;""), 1)-1))) &gt;= 115%, 115%, INDEX(AW304:INDEX(AW304:BH304, MATCH(2, 1/(AW304:BH304&lt;&gt;""), 1)-1), ROW(INDIRECT("1:" &amp; MATCH(2, 1/(AW304:BH304&lt;&gt;""), 1)-1)))), 0))/_xlfn.XLOOKUP(F304,Apuração!A:A,Apuração!B:B))</f>
        <v>0</v>
      </c>
      <c r="BM304" s="55" cm="1">
        <f t="array" ref="BM304">IFERROR(
   INDEX($AW$1:$BH$1,
      _xlfn.AGGREGATE(14, 6, COLUMN($AW$1:$BH$1)/(AW304:BH304&lt;&gt;""), 2) - COLUMN($AW$1) + 1
   ),
"")</f>
        <v>46082</v>
      </c>
      <c r="BN304" s="55" cm="1">
        <f t="array" ref="BN304">IFERROR(INDEX($AW$1:$BH$1,1,MATCH(2,1/(AW304:BH304&lt;&gt;""))),"")</f>
        <v>46113</v>
      </c>
      <c r="BO304" s="53">
        <f ca="1">IFERROR(_xlfn.XLOOKUP(F304,Apuração!A:A,Apuração!C:C)/_xlfn.XLOOKUP(F304,Apuração!A:A,Apuração!B:B),0)</f>
        <v>0</v>
      </c>
      <c r="BP304" s="53">
        <f ca="1">IFERROR(_xlfn.XLOOKUP(F304,Apuração!A:A,Apuração!D:D)/_xlfn.XLOOKUP(F304,Apuração!A:A,Apuração!B:B),0)</f>
        <v>0</v>
      </c>
      <c r="BQ304" s="53">
        <f ca="1">IF(BK304&gt;=BO304,0,_xlfn.XLOOKUP(F304,Apuração!A:A,Apuração!B:B)*(BO304 + (1/_xlfn.XLOOKUP(F304,Apuração!A:A,Apuração!B:B)) - BK304))</f>
        <v>0</v>
      </c>
      <c r="BR304" s="85">
        <f t="shared" ca="1" si="609"/>
        <v>0</v>
      </c>
      <c r="BS304" s="53">
        <f ca="1">IFERROR((_xlfn.XLOOKUP(F304,Apuração!A:A,Apuração!C:C)+1)/_xlfn.XLOOKUP(F304,Apuração!A:A,Apuração!B:B),0)</f>
        <v>0.14285714285714285</v>
      </c>
    </row>
    <row r="305" spans="1:71" ht="25.95" hidden="1" customHeight="1" x14ac:dyDescent="0.3">
      <c r="A305" s="33" t="s">
        <v>175</v>
      </c>
      <c r="B305" s="4" t="s">
        <v>176</v>
      </c>
      <c r="C305" s="5" t="s">
        <v>95</v>
      </c>
      <c r="D305" s="5" t="s">
        <v>36</v>
      </c>
      <c r="E305" s="4" t="str" cm="1">
        <f t="array" ref="E305">_xlfn.IFS(
F305 = "A partir de Abril", "Aguardando Execução na Distribuidora",
A305 = "CAPACITAÇÃO", "Em execução no Corporativo",
TRUE, "Em Execução na Distribuidora"
)</f>
        <v>Em execução no Corporativo</v>
      </c>
      <c r="F305" s="4" t="str" cm="1">
        <f t="array" ref="F305">_xlfn.IFS(
AG305 &lt;&gt; "", "Jan-Dez/26",
AH305 &lt;&gt; "", "Fev-Dez/26",
AI305 &lt;&gt; "", "Mar-Dez/26", AJ305 &lt;&gt; "", "Abr-Dez/26",
TRUE, "A partir de Junho"
)</f>
        <v>Mar-Dez/26</v>
      </c>
      <c r="G305" s="4" t="s">
        <v>37</v>
      </c>
      <c r="H305" s="7" t="s">
        <v>38</v>
      </c>
      <c r="I305" s="8" t="s">
        <v>177</v>
      </c>
      <c r="J305" s="8" t="str" cm="1">
        <f t="array" aca="1" ref="J305" ca="1">_xlfn.LET(
  _xlpm.actual_value_month, INDEX(T305:AE305, MATCH(DATE(YEAR(TODAY()), MONTH(TODAY()), 1), $T$1:$AE$1, 0)),
  IF(_xlpm.actual_value_month &lt;&gt; "", _xlpm.actual_value_month &amp; " certificados mensais", "")
)</f>
        <v>379 certificados mensais</v>
      </c>
      <c r="K305" s="8" t="str">
        <f>_xlfn.LET(
    _xlpm.month, AD305,
    IF(_xlpm.month = 0, "", _xlpm.month &amp; " certificado anuais.")
)</f>
        <v>579 certificado anuais.</v>
      </c>
      <c r="L305" s="9" t="s">
        <v>178</v>
      </c>
      <c r="M305" s="13">
        <v>1</v>
      </c>
      <c r="N305" s="5" t="s">
        <v>42</v>
      </c>
      <c r="O305" s="5" t="s">
        <v>43</v>
      </c>
      <c r="P305" s="10" t="s">
        <v>44</v>
      </c>
      <c r="Q305" s="10" t="s">
        <v>44</v>
      </c>
      <c r="R305" s="11" t="s">
        <v>179</v>
      </c>
      <c r="S305" s="11" t="s">
        <v>67</v>
      </c>
      <c r="T305" s="22"/>
      <c r="U305" s="22"/>
      <c r="V305" s="22">
        <v>179</v>
      </c>
      <c r="W305" s="22">
        <v>198</v>
      </c>
      <c r="X305" s="22">
        <v>279</v>
      </c>
      <c r="Y305" s="22">
        <v>379</v>
      </c>
      <c r="Z305" s="22">
        <v>440</v>
      </c>
      <c r="AA305" s="22">
        <v>489</v>
      </c>
      <c r="AB305" s="22">
        <v>523</v>
      </c>
      <c r="AC305" s="22">
        <v>555</v>
      </c>
      <c r="AD305" s="22">
        <v>579</v>
      </c>
      <c r="AE305" s="22"/>
      <c r="AG305" s="71"/>
      <c r="AH305" s="71"/>
      <c r="AI305" s="71">
        <v>180</v>
      </c>
      <c r="AJ305" s="71">
        <v>189</v>
      </c>
      <c r="AK305" s="71"/>
      <c r="AL305" s="71"/>
      <c r="AM305" s="71"/>
      <c r="AN305" s="71"/>
      <c r="AO305" s="71"/>
      <c r="AP305" s="71"/>
      <c r="AQ305" s="71"/>
      <c r="AR305" s="71"/>
      <c r="AS305" s="94" cm="1">
        <f t="array" ref="AS305">IFERROR(INDEX(T305:AE305,1,MATCH(2,1/(T305:AE305&lt;&gt;""))),"")</f>
        <v>579</v>
      </c>
      <c r="AT305" s="95" cm="1">
        <f t="array" ref="AT305">IFERROR(INDEX(AJ305:AR305,1,MATCH(2,1/(AJ305:AR305&lt;&gt;""))),"")</f>
        <v>189</v>
      </c>
      <c r="AU305" s="97">
        <f t="shared" ref="AU305:AU319" si="635">AT305</f>
        <v>189</v>
      </c>
      <c r="AW305" s="51">
        <f t="shared" ref="AW305" si="636">IFERROR(IF(AG305="",0,AG305/$AD305),0)</f>
        <v>0</v>
      </c>
      <c r="AX305" s="51">
        <f t="shared" ref="AX305" si="637">IFERROR(IF(AH305="",0,AH305/$AD305),0)</f>
        <v>0</v>
      </c>
      <c r="AY305" s="51">
        <f>IFERROR(IF(AI305="",0,AI305/$AD305),0)</f>
        <v>0.31088082901554404</v>
      </c>
      <c r="AZ305" s="51">
        <f>IFERROR(IF(AJ305="",0,AJ305/$AD305),0)</f>
        <v>0.32642487046632124</v>
      </c>
      <c r="BA305" s="51"/>
      <c r="BB305" s="51"/>
      <c r="BC305" s="51"/>
      <c r="BD305" s="51"/>
      <c r="BE305" s="51"/>
      <c r="BF305" s="51"/>
      <c r="BG305" s="51"/>
      <c r="BH305" s="51"/>
      <c r="BI305" s="65" cm="1">
        <f t="array" ref="BI305">IFERROR(INDEX(AW305:BH305,1,MATCH(2,1/(AW305:BH305&lt;&gt;""))),"")</f>
        <v>0.32642487046632124</v>
      </c>
      <c r="BJ305" s="68" cm="1">
        <f t="array" ref="BJ305">IF(BM305 = "", "",IFERROR(INDEX(AW305:BH305,1,MATCH(2,1/(AW305:BH305&lt;&gt;""),1)-1),""))</f>
        <v>0.31088082901554404</v>
      </c>
      <c r="BK305" s="58" cm="1">
        <f t="array" ref="BK305">IFERROR(INDEX(AW305:BH305,1,MATCH(2,1/(AW305:BH305&lt;&gt;""))),"")</f>
        <v>0.32642487046632124</v>
      </c>
      <c r="BL305" s="58" cm="1">
        <f t="array" ref="BL305">IFERROR(INDEX(AW305:BH305,1,MATCH(2,1/(AW305:BH305&lt;&gt;""),1)-1),"")</f>
        <v>0.31088082901554404</v>
      </c>
      <c r="BM305" s="55" cm="1">
        <f t="array" ref="BM305">IFERROR(
   INDEX($AW$1:$BH$1,
      _xlfn.AGGREGATE(14, 6, COLUMN($AW$1:$BH$1)/(AW305:BH305&lt;&gt;""), 2) - COLUMN($AW$1) + 1
   ),
"")</f>
        <v>46082</v>
      </c>
      <c r="BN305" s="55" cm="1">
        <f t="array" ref="BN305">IFERROR(INDEX($AW$1:$BH$1,1,MATCH(2,1/(AW305:BH305&lt;&gt;""))),"")</f>
        <v>46113</v>
      </c>
      <c r="BO305" s="119" cm="1">
        <f t="array" aca="1" ref="BO305" ca="1">_xlfn.LET(
    _xlpm.mes_num, MONTH(TODAY())-1,
    _xlpm.coluna_ajustada, IF(_xlpm.mes_num=0, 12, _xlpm.mes_num),
    _xlpm.realizado_mes_anterior, INDEX(T305:AE305, 1, _xlpm.coluna_ajustada),
    _xlpm.previsto_total, AD305,
    _xlpm.realizado_mes_anterior / _xlpm.previsto_total
)</f>
        <v>0.48186528497409326</v>
      </c>
      <c r="BP305" s="53">
        <f ca="1">IFERROR(_xlfn.XLOOKUP(F305,Apuração!A:A,Apuração!D:D)/_xlfn.XLOOKUP(F305,Apuração!A:A,Apuração!B:B),0)</f>
        <v>0.2</v>
      </c>
      <c r="BQ305" s="53">
        <f ca="1">IF(BK305&gt;=BO305,0,_xlfn.XLOOKUP(F305,Apuração!A:A,Apuração!B:B)*(BO305 + (1/_xlfn.XLOOKUP(F305,Apuração!A:A,Apuração!B:B)) - BK305))</f>
        <v>2.5544041450777204</v>
      </c>
      <c r="BR305" s="85">
        <f t="shared" ca="1" si="609"/>
        <v>1123.9378238341969</v>
      </c>
      <c r="BS305" s="53">
        <f ca="1">IFERROR((_xlfn.XLOOKUP(F305,Apuração!A:A,Apuração!C:C)+1)/_xlfn.XLOOKUP(F305,Apuração!A:A,Apuração!B:B),0)</f>
        <v>0.4</v>
      </c>
    </row>
    <row r="306" spans="1:71" ht="25.95" hidden="1" customHeight="1" x14ac:dyDescent="0.3">
      <c r="A306" s="44" t="s">
        <v>175</v>
      </c>
      <c r="B306" s="4" t="s">
        <v>176</v>
      </c>
      <c r="C306" s="5" t="s">
        <v>95</v>
      </c>
      <c r="D306" s="5" t="s">
        <v>36</v>
      </c>
      <c r="E306" s="4" t="str" cm="1">
        <f t="array" ref="E306">_xlfn.IFS(
F306 = "A partir de Abril", "Aguardando Execução na Distribuidora",
A306 = "CAPACITAÇÃO", "Em execução no Corporativo",
TRUE, "Em Execução na Distribuidora"
)</f>
        <v>Em execução no Corporativo</v>
      </c>
      <c r="F306" s="4" t="str" cm="1">
        <f t="array" ref="F306">_xlfn.IFS(
AG306 &lt;&gt; "", "Jan-Dez/26",
AH306 &lt;&gt; "", "Fev-Dez/26",
AI306 &lt;&gt; "", "Mar-Dez/26", AJ306 &lt;&gt; "", "Abr-Dez/26",
TRUE, "A partir de Junho"
)</f>
        <v>Mar-Dez/26</v>
      </c>
      <c r="G306" s="4" t="s">
        <v>37</v>
      </c>
      <c r="H306" s="7" t="s">
        <v>38</v>
      </c>
      <c r="I306" s="21" t="s">
        <v>180</v>
      </c>
      <c r="J306" s="8" t="str" cm="1">
        <f t="array" aca="1" ref="J306" ca="1">_xlfn.LET(
  _xlpm.actual_value_month, INDEX(T306:AE306, MATCH(DATE(YEAR(TODAY()), MONTH(TODAY()), 1), $T$1:$AE$1, 0)),
  IF(_xlpm.actual_value_month &lt;&gt; "", _xlpm.actual_value_month &amp; " ações mensais", "")
)</f>
        <v/>
      </c>
      <c r="K306" s="8" t="str" cm="1">
        <f t="array" ref="K306">_xlfn.LET(
    _xlpm.sum_month, SUM(T306:AE306),
    IF(_xlpm.sum_month = 0, "", _xlpm.sum_month &amp; " colaboradores treinados.")
)</f>
        <v/>
      </c>
      <c r="L306" s="9" t="s">
        <v>220</v>
      </c>
      <c r="M306" s="13">
        <v>1</v>
      </c>
      <c r="N306" s="5" t="s">
        <v>51</v>
      </c>
      <c r="O306" s="5" t="s">
        <v>52</v>
      </c>
      <c r="P306" s="10" t="s">
        <v>44</v>
      </c>
      <c r="Q306" s="10"/>
      <c r="R306" s="11" t="s">
        <v>44</v>
      </c>
      <c r="S306" s="11" t="s">
        <v>44</v>
      </c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G306" s="71"/>
      <c r="AH306" s="71"/>
      <c r="AI306" s="71">
        <v>180</v>
      </c>
      <c r="AJ306" s="71">
        <v>189</v>
      </c>
      <c r="AK306" s="71"/>
      <c r="AL306" s="71"/>
      <c r="AM306" s="71"/>
      <c r="AN306" s="71"/>
      <c r="AO306" s="71"/>
      <c r="AP306" s="71"/>
      <c r="AQ306" s="71"/>
      <c r="AR306" s="71"/>
      <c r="AS306" s="94" t="str" cm="1">
        <f t="array" ref="AS306">IFERROR(INDEX(T306:AE306,1,MATCH(2,1/(T306:AE306&lt;&gt;""))),"")</f>
        <v/>
      </c>
      <c r="AT306" s="95" cm="1">
        <f t="array" ref="AT306">IFERROR(INDEX(AJ306:AR306,1,MATCH(2,1/(AJ306:AR306&lt;&gt;""))),"")</f>
        <v>189</v>
      </c>
      <c r="AU306" s="97">
        <f t="shared" si="635"/>
        <v>189</v>
      </c>
      <c r="AW306" s="83">
        <f>AG306</f>
        <v>0</v>
      </c>
      <c r="AX306" s="52">
        <f t="shared" ref="AX306" si="638">AH306</f>
        <v>0</v>
      </c>
      <c r="AY306" s="52">
        <f t="shared" ref="AY306:AZ306" si="639">AI306</f>
        <v>180</v>
      </c>
      <c r="AZ306" s="52">
        <f t="shared" si="639"/>
        <v>189</v>
      </c>
      <c r="BA306" s="52"/>
      <c r="BB306" s="52"/>
      <c r="BC306" s="52"/>
      <c r="BD306" s="52"/>
      <c r="BE306" s="52"/>
      <c r="BF306" s="52"/>
      <c r="BG306" s="52"/>
      <c r="BH306" s="52"/>
      <c r="BI306" s="68" cm="1">
        <f t="array" ref="BI306">IFERROR(INDEX(AW306:BH306,1,MATCH(2,1/(AW306:BH306&lt;&gt;""))),"")</f>
        <v>189</v>
      </c>
      <c r="BJ306" s="68" cm="1">
        <f t="array" ref="BJ306">IF(BM306 = "", "",IFERROR(INDEX(AW306:BH306,1,MATCH(2,1/(AW306:BH306&lt;&gt;""),1)-1),""))</f>
        <v>180</v>
      </c>
      <c r="BK306" s="59">
        <f>SUM(AW306:BH306)</f>
        <v>369</v>
      </c>
      <c r="BL306" s="59" cm="1">
        <f t="array" ref="BL306">IFERROR(SUM(AW306:INDEX(AW306:BH306, MATCH(2, 1/(AW306:BH306&lt;&gt;""), 1) - 1))/_xlfn.XLOOKUP(F306,Apuração!A:A,Apuração!B:B),0)</f>
        <v>18</v>
      </c>
      <c r="BM306" s="55" cm="1">
        <f t="array" ref="BM306">IFERROR(
   INDEX($AW$1:$BH$1,
      _xlfn.AGGREGATE(14, 6, COLUMN($AW$1:$BH$1)/(AW306:BH306&lt;&gt;""), 2) - COLUMN($AW$1) + 1
   ),
"")</f>
        <v>46082</v>
      </c>
      <c r="BN306" s="55" cm="1">
        <f t="array" ref="BN306">IFERROR(INDEX($AW$1:$BH$1,1,MATCH(2,1/(AW306:BH306&lt;&gt;""))),"")</f>
        <v>46113</v>
      </c>
      <c r="BO306" s="53">
        <f ca="1">IFERROR(_xlfn.XLOOKUP(F306,Apuração!A:A,Apuração!C:C)/_xlfn.XLOOKUP(F306,Apuração!A:A,Apuração!B:B),0)</f>
        <v>0.3</v>
      </c>
      <c r="BP306" s="53">
        <f ca="1">IFERROR(_xlfn.XLOOKUP(F306,Apuração!A:A,Apuração!D:D)/_xlfn.XLOOKUP(F306,Apuração!A:A,Apuração!B:B),0)</f>
        <v>0.2</v>
      </c>
      <c r="BQ306" s="53">
        <f ca="1">IF(BK306&gt;=BO306,0,_xlfn.XLOOKUP(F306,Apuração!A:A,Apuração!B:B)*(BO306 + (1/_xlfn.XLOOKUP(F306,Apuração!A:A,Apuração!B:B)) - BK306))</f>
        <v>0</v>
      </c>
      <c r="BR306" s="85">
        <f t="shared" ca="1" si="609"/>
        <v>0</v>
      </c>
      <c r="BS306" s="53">
        <f ca="1">IFERROR((_xlfn.XLOOKUP(F306,Apuração!A:A,Apuração!C:C)+1)/_xlfn.XLOOKUP(F306,Apuração!A:A,Apuração!B:B),0)</f>
        <v>0.4</v>
      </c>
    </row>
    <row r="307" spans="1:71" ht="25.95" hidden="1" customHeight="1" x14ac:dyDescent="0.3">
      <c r="A307" s="44" t="s">
        <v>175</v>
      </c>
      <c r="B307" s="4" t="s">
        <v>176</v>
      </c>
      <c r="C307" s="5" t="s">
        <v>95</v>
      </c>
      <c r="D307" s="5" t="s">
        <v>36</v>
      </c>
      <c r="E307" s="4" t="str" cm="1">
        <f t="array" ref="E307">_xlfn.IFS(
F307 = "A partir de Abril", "Aguardando Execução na Distribuidora",
A307 = "CAPACITAÇÃO", "Em execução no Corporativo",
TRUE, "Em Execução na Distribuidora"
)</f>
        <v>Em execução no Corporativo</v>
      </c>
      <c r="F307" s="4" t="str" cm="1">
        <f t="array" ref="F307">_xlfn.IFS(
AG307 &lt;&gt; "", "Jan-Dez/26",
AH307 &lt;&gt; "", "Fev-Dez/26",
AI307 &lt;&gt; "", "Mar-Dez/26", AJ307 &lt;&gt; "", "Abr-Dez/26",
TRUE, "A partir de Junho"
)</f>
        <v>Mar-Dez/26</v>
      </c>
      <c r="G307" s="4" t="s">
        <v>37</v>
      </c>
      <c r="H307" s="7" t="s">
        <v>38</v>
      </c>
      <c r="I307" s="21" t="s">
        <v>182</v>
      </c>
      <c r="J307" s="8" t="str" cm="1">
        <f t="array" aca="1" ref="J307" ca="1">_xlfn.LET(
  _xlpm.actual_value_month, INDEX(T307:AE307, MATCH(DATE(YEAR(TODAY()), MONTH(TODAY()), 1), $T$1:$AE$1, 0)),
  IF(_xlpm.actual_value_month &lt;&gt; "", _xlpm.actual_value_month &amp; " ações mensais", "")
)</f>
        <v/>
      </c>
      <c r="K307" s="8" t="str" cm="1">
        <f t="array" ref="K307">_xlfn.LET(
    _xlpm.sum_month, SUM(T307:AE307),
    IF(_xlpm.sum_month = 0, "", _xlpm.sum_month &amp; " taxa de aprovados")
)</f>
        <v>369 taxa de aprovados</v>
      </c>
      <c r="L307" s="4" t="s">
        <v>183</v>
      </c>
      <c r="M307" s="13">
        <v>1</v>
      </c>
      <c r="N307" s="5" t="s">
        <v>51</v>
      </c>
      <c r="O307" s="5" t="s">
        <v>43</v>
      </c>
      <c r="P307" s="10" t="s">
        <v>44</v>
      </c>
      <c r="Q307" s="10" t="s">
        <v>44</v>
      </c>
      <c r="R307" s="11" t="s">
        <v>44</v>
      </c>
      <c r="S307" s="11" t="s">
        <v>44</v>
      </c>
      <c r="T307" s="22"/>
      <c r="U307" s="22"/>
      <c r="V307" s="22">
        <v>180</v>
      </c>
      <c r="W307" s="22">
        <v>189</v>
      </c>
      <c r="X307" s="22"/>
      <c r="Y307" s="22"/>
      <c r="Z307" s="22"/>
      <c r="AA307" s="22"/>
      <c r="AB307" s="22"/>
      <c r="AC307" s="22"/>
      <c r="AD307" s="22"/>
      <c r="AE307" s="22"/>
      <c r="AG307" s="71"/>
      <c r="AH307" s="71"/>
      <c r="AI307" s="71">
        <v>180</v>
      </c>
      <c r="AJ307" s="71">
        <v>189</v>
      </c>
      <c r="AK307" s="71"/>
      <c r="AL307" s="71"/>
      <c r="AM307" s="71"/>
      <c r="AN307" s="71"/>
      <c r="AO307" s="71"/>
      <c r="AP307" s="71"/>
      <c r="AQ307" s="71"/>
      <c r="AR307" s="71"/>
      <c r="AS307" s="94" cm="1">
        <f t="array" ref="AS307">IFERROR(INDEX(T307:AE307,1,MATCH(2,1/(T307:AE307&lt;&gt;""))),"")</f>
        <v>189</v>
      </c>
      <c r="AT307" s="95" cm="1">
        <f t="array" ref="AT307">IFERROR(INDEX(AJ307:AR307,1,MATCH(2,1/(AJ307:AR307&lt;&gt;""))),"")</f>
        <v>189</v>
      </c>
      <c r="AU307" s="97">
        <f t="shared" si="635"/>
        <v>189</v>
      </c>
      <c r="AW307" s="52">
        <f>IFERROR(IF(T307="",0,T307/AG307),0)</f>
        <v>0</v>
      </c>
      <c r="AX307" s="52">
        <f>IFERROR(IF(U307="",0,U307/AH307),0)</f>
        <v>0</v>
      </c>
      <c r="AY307" s="118">
        <f>IFERROR(IF(V307="",0,V307/AI307),0)</f>
        <v>1</v>
      </c>
      <c r="AZ307" s="118">
        <f>IFERROR(IF(W307="",0,W307/AJ307),0)</f>
        <v>1</v>
      </c>
      <c r="BA307" s="52"/>
      <c r="BB307" s="52"/>
      <c r="BC307" s="52"/>
      <c r="BD307" s="52"/>
      <c r="BE307" s="52"/>
      <c r="BF307" s="52"/>
      <c r="BG307" s="52"/>
      <c r="BH307" s="52"/>
      <c r="BI307" s="65" cm="1">
        <f t="array" ref="BI307">IFERROR(INDEX(AW307:BH307,1,MATCH(2,1/(AW307:BH307&lt;&gt;""))),"")</f>
        <v>1</v>
      </c>
      <c r="BJ307" s="68" cm="1">
        <f t="array" ref="BJ307">IF(BM307 = "", "",IFERROR(INDEX(AW307:BH307,1,MATCH(2,1/(AW307:BH307&lt;&gt;""),1)-1),""))</f>
        <v>1</v>
      </c>
      <c r="BK307" s="58" cm="1">
        <f t="array" ref="BK307">IFERROR(INDEX(AW307:BH307,1,MATCH(2,1/(AW307:BH307&lt;&gt;""))),"")</f>
        <v>1</v>
      </c>
      <c r="BL307" s="58" cm="1">
        <f t="array" ref="BL307">IFERROR(INDEX(AW307:BH307,1,MATCH(2,1/(AW307:BH307&lt;&gt;""),1)-1),"")</f>
        <v>1</v>
      </c>
      <c r="BM307" s="55" cm="1">
        <f t="array" ref="BM307">IFERROR(
   INDEX($AW$1:$BH$1,
      _xlfn.AGGREGATE(14, 6, COLUMN($AW$1:$BH$1)/(AW307:BH307&lt;&gt;""), 2) - COLUMN($AW$1) + 1
   ),
"")</f>
        <v>46082</v>
      </c>
      <c r="BN307" s="55" cm="1">
        <f t="array" ref="BN307">IFERROR(INDEX($AW$1:$BH$1,1,MATCH(2,1/(AW307:BH307&lt;&gt;""))),"")</f>
        <v>46113</v>
      </c>
      <c r="BO307" s="53">
        <f ca="1">IFERROR(_xlfn.XLOOKUP(F307,Apuração!A:A,Apuração!C:C)/_xlfn.XLOOKUP(F307,Apuração!A:A,Apuração!B:B),0)</f>
        <v>0.3</v>
      </c>
      <c r="BP307" s="53">
        <f ca="1">IFERROR(_xlfn.XLOOKUP(F307,Apuração!A:A,Apuração!D:D)/_xlfn.XLOOKUP(F307,Apuração!A:A,Apuração!B:B),0)</f>
        <v>0.2</v>
      </c>
      <c r="BQ307" s="53">
        <f ca="1">IF(BK307&gt;=BO307,0,_xlfn.XLOOKUP(F307,Apuração!A:A,Apuração!B:B)*(BO307 + (1/_xlfn.XLOOKUP(F307,Apuração!A:A,Apuração!B:B)) - BK307))</f>
        <v>0</v>
      </c>
      <c r="BR307" s="85">
        <f t="shared" ca="1" si="609"/>
        <v>0</v>
      </c>
      <c r="BS307" s="53">
        <f ca="1">IFERROR((_xlfn.XLOOKUP(F307,Apuração!A:A,Apuração!C:C)+1)/_xlfn.XLOOKUP(F307,Apuração!A:A,Apuração!B:B),0)</f>
        <v>0.4</v>
      </c>
    </row>
    <row r="308" spans="1:71" ht="25.95" hidden="1" customHeight="1" x14ac:dyDescent="0.3">
      <c r="A308" s="33" t="s">
        <v>175</v>
      </c>
      <c r="B308" s="4" t="s">
        <v>184</v>
      </c>
      <c r="C308" s="5" t="s">
        <v>95</v>
      </c>
      <c r="D308" s="5" t="s">
        <v>36</v>
      </c>
      <c r="E308" s="4" t="str" cm="1">
        <f t="array" ref="E308">_xlfn.IFS(
F308 = "A partir de Abril", "Aguardando Execução na Distribuidora",
A308 = "CAPACITAÇÃO", "Em execução no Corporativo",
TRUE, "Em Execução na Distribuidora"
)</f>
        <v>Em execução no Corporativo</v>
      </c>
      <c r="F308" s="4" t="str" cm="1">
        <f t="array" ref="F308">_xlfn.IFS(
AG308 &lt;&gt; "", "Jan-Dez/26",
AH308 &lt;&gt; "", "Fev-Dez/26",
AI308 &lt;&gt; "", "Mar-Dez/26", AJ308 &lt;&gt; "", "Abr-Dez/26",
TRUE, "A partir de Junho"
)</f>
        <v>Mar-Dez/26</v>
      </c>
      <c r="G308" s="4" t="s">
        <v>37</v>
      </c>
      <c r="H308" s="7" t="s">
        <v>38</v>
      </c>
      <c r="I308" s="8" t="s">
        <v>177</v>
      </c>
      <c r="J308" s="8" t="str" cm="1">
        <f t="array" aca="1" ref="J308" ca="1">_xlfn.LET(
  _xlpm.actual_value_month, INDEX(T308:AE308, MATCH(DATE(YEAR(TODAY()), MONTH(TODAY()), 1), $T$1:$AE$1, 0)),
  IF(_xlpm.actual_value_month &lt;&gt; "", _xlpm.actual_value_month &amp; " certificados mensais", "")
)</f>
        <v>318 certificados mensais</v>
      </c>
      <c r="K308" s="8" t="str">
        <f>_xlfn.LET(
    _xlpm.month, AC308,
    IF(_xlpm.month = 0, "", _xlpm.month &amp; " meta de certificados anuais")
)</f>
        <v>386 meta de certificados anuais</v>
      </c>
      <c r="L308" s="9" t="s">
        <v>185</v>
      </c>
      <c r="M308" s="13">
        <v>1</v>
      </c>
      <c r="N308" s="5" t="s">
        <v>42</v>
      </c>
      <c r="O308" s="5" t="s">
        <v>43</v>
      </c>
      <c r="P308" s="10" t="s">
        <v>146</v>
      </c>
      <c r="Q308" s="10" t="s">
        <v>44</v>
      </c>
      <c r="R308" s="11" t="s">
        <v>179</v>
      </c>
      <c r="S308" s="11" t="s">
        <v>67</v>
      </c>
      <c r="T308" s="22"/>
      <c r="U308" s="22"/>
      <c r="V308" s="22">
        <v>257</v>
      </c>
      <c r="W308" s="22">
        <f>386*0.76</f>
        <v>293.36</v>
      </c>
      <c r="X308" s="22">
        <v>298</v>
      </c>
      <c r="Y308" s="22">
        <v>318</v>
      </c>
      <c r="Z308" s="22">
        <v>337</v>
      </c>
      <c r="AA308" s="22">
        <v>355</v>
      </c>
      <c r="AB308" s="22">
        <v>373</v>
      </c>
      <c r="AC308" s="22">
        <v>386</v>
      </c>
      <c r="AD308" s="22"/>
      <c r="AE308" s="22"/>
      <c r="AG308" s="71"/>
      <c r="AH308" s="71"/>
      <c r="AI308" s="71">
        <v>258</v>
      </c>
      <c r="AJ308" s="71">
        <v>257</v>
      </c>
      <c r="AK308" s="71"/>
      <c r="AL308" s="71"/>
      <c r="AM308" s="71"/>
      <c r="AN308" s="71"/>
      <c r="AO308" s="71"/>
      <c r="AP308" s="71"/>
      <c r="AQ308" s="71"/>
      <c r="AR308" s="71"/>
      <c r="AS308" s="94" cm="1">
        <f t="array" ref="AS308">IFERROR(INDEX(T308:AE308,1,MATCH(2,1/(T308:AE308&lt;&gt;""))),"")</f>
        <v>386</v>
      </c>
      <c r="AT308" s="95" cm="1">
        <f t="array" ref="AT308">IFERROR(INDEX(AJ308:AR308,1,MATCH(2,1/(AJ308:AR308&lt;&gt;""))),"")</f>
        <v>257</v>
      </c>
      <c r="AU308" s="97">
        <f t="shared" si="635"/>
        <v>257</v>
      </c>
      <c r="AW308" s="51">
        <f t="shared" ref="AW308" si="640">IFERROR(IF(AG308="",0,AG308/$AD308),0)</f>
        <v>0</v>
      </c>
      <c r="AX308" s="51">
        <f t="shared" ref="AX308" si="641">IFERROR(IF(AH308="",0,AH308/$AD308),0)</f>
        <v>0</v>
      </c>
      <c r="AY308" s="51">
        <f>IFERROR(IF(AI308="",0,AI308/$AC308),0)</f>
        <v>0.66839378238341973</v>
      </c>
      <c r="AZ308" s="51">
        <f>IFERROR(IF(AJ308="",0,AJ308/$AC308),0)</f>
        <v>0.66580310880829019</v>
      </c>
      <c r="BA308" s="51"/>
      <c r="BB308" s="51"/>
      <c r="BC308" s="51"/>
      <c r="BD308" s="51"/>
      <c r="BE308" s="51"/>
      <c r="BF308" s="51"/>
      <c r="BG308" s="51"/>
      <c r="BH308" s="51"/>
      <c r="BI308" s="65" cm="1">
        <f t="array" ref="BI308">IFERROR(INDEX(AW308:BH308,1,MATCH(2,1/(AW308:BH308&lt;&gt;""))),"")</f>
        <v>0.66580310880829019</v>
      </c>
      <c r="BJ308" s="68" cm="1">
        <f t="array" ref="BJ308">IF(BM308 = "", "",IFERROR(INDEX(AW308:BH308,1,MATCH(2,1/(AW308:BH308&lt;&gt;""),1)-1),""))</f>
        <v>0.66839378238341973</v>
      </c>
      <c r="BK308" s="58" cm="1">
        <f t="array" ref="BK308">IFERROR(INDEX(AW308:BH308,1,MATCH(2,1/(AW308:BH308&lt;&gt;""))),"")</f>
        <v>0.66580310880829019</v>
      </c>
      <c r="BL308" s="58" cm="1">
        <f t="array" ref="BL308">IFERROR(INDEX(AW308:BH308,1,MATCH(2,1/(AW308:BH308&lt;&gt;""),1)-1),"")</f>
        <v>0.66839378238341973</v>
      </c>
      <c r="BM308" s="55" cm="1">
        <f t="array" ref="BM308">IFERROR(
   INDEX($AW$1:$BH$1,
      _xlfn.AGGREGATE(14, 6, COLUMN($AW$1:$BH$1)/(AW308:BH308&lt;&gt;""), 2) - COLUMN($AW$1) + 1
   ),
"")</f>
        <v>46082</v>
      </c>
      <c r="BN308" s="55" cm="1">
        <f t="array" ref="BN308">IFERROR(INDEX($AW$1:$BH$1,1,MATCH(2,1/(AW308:BH308&lt;&gt;""))),"")</f>
        <v>46113</v>
      </c>
      <c r="BO308" s="119" cm="1">
        <f t="array" aca="1" ref="BO308" ca="1">_xlfn.LET(
    _xlpm.mes_num, MONTH(TODAY())-1,
    _xlpm.coluna_ajustada, IF(_xlpm.mes_num=0, 12, _xlpm.mes_num),
    _xlpm.realizado_mes_anterior, INDEX(T308:AE308, 1, _xlpm.coluna_ajustada),
    _xlpm.previsto_total, AC308,
    _xlpm.realizado_mes_anterior / _xlpm.previsto_total
)</f>
        <v>0.772020725388601</v>
      </c>
      <c r="BP308" s="53">
        <f ca="1">IFERROR(_xlfn.XLOOKUP(F308,Apuração!A:A,Apuração!D:D)/_xlfn.XLOOKUP(F308,Apuração!A:A,Apuração!B:B),0)</f>
        <v>0.2</v>
      </c>
      <c r="BQ308" s="53">
        <f ca="1">IF(BK308&gt;=BO308,0,_xlfn.XLOOKUP(F308,Apuração!A:A,Apuração!B:B)*(BO308 + (1/_xlfn.XLOOKUP(F308,Apuração!A:A,Apuração!B:B)) - BK308))</f>
        <v>2.0621761658031081</v>
      </c>
      <c r="BR308" s="85">
        <f t="shared" ca="1" si="609"/>
        <v>694.95336787564747</v>
      </c>
      <c r="BS308" s="53">
        <f ca="1">IFERROR((_xlfn.XLOOKUP(F308,Apuração!A:A,Apuração!C:C)+1)/_xlfn.XLOOKUP(F308,Apuração!A:A,Apuração!B:B),0)</f>
        <v>0.4</v>
      </c>
    </row>
    <row r="309" spans="1:71" ht="25.95" hidden="1" customHeight="1" x14ac:dyDescent="0.3">
      <c r="A309" s="44" t="s">
        <v>175</v>
      </c>
      <c r="B309" s="4" t="s">
        <v>184</v>
      </c>
      <c r="C309" s="5" t="s">
        <v>95</v>
      </c>
      <c r="D309" s="5" t="s">
        <v>36</v>
      </c>
      <c r="E309" s="4" t="str" cm="1">
        <f t="array" ref="E309">_xlfn.IFS(
F309 = "A partir de Abril", "Aguardando Execução na Distribuidora",
A309 = "CAPACITAÇÃO", "Em execução no Corporativo",
TRUE, "Em Execução na Distribuidora"
)</f>
        <v>Em execução no Corporativo</v>
      </c>
      <c r="F309" s="4" t="str" cm="1">
        <f t="array" ref="F309">_xlfn.IFS(
AG309 &lt;&gt; "", "Jan-Dez/26",
AH309 &lt;&gt; "", "Fev-Dez/26",
AI309 &lt;&gt; "", "Mar-Dez/26", AJ309 &lt;&gt; "", "Abr-Dez/26",
TRUE, "A partir de Junho"
)</f>
        <v>Mar-Dez/26</v>
      </c>
      <c r="G309" s="4" t="s">
        <v>37</v>
      </c>
      <c r="H309" s="7" t="s">
        <v>38</v>
      </c>
      <c r="I309" s="21" t="s">
        <v>180</v>
      </c>
      <c r="J309" s="8" t="str" cm="1">
        <f t="array" aca="1" ref="J309" ca="1">_xlfn.LET(
  _xlpm.actual_value_month, INDEX(T309:AE309, MATCH(DATE(YEAR(TODAY()), MONTH(TODAY()), 1), $T$1:$AE$1, 0)),
  IF(_xlpm.actual_value_month &lt;&gt; "", _xlpm.actual_value_month &amp; " ações mensais", "")
)</f>
        <v/>
      </c>
      <c r="K309" s="8" t="str" cm="1">
        <f t="array" ref="K309">_xlfn.LET(
    _xlpm.sum_month, SUM(T309:AE309),
    IF(_xlpm.sum_month = 0, "", _xlpm.sum_month &amp; " colaboradores treinados.")
)</f>
        <v/>
      </c>
      <c r="L309" s="9" t="s">
        <v>220</v>
      </c>
      <c r="M309" s="13">
        <v>1</v>
      </c>
      <c r="N309" s="5" t="s">
        <v>51</v>
      </c>
      <c r="O309" s="5" t="s">
        <v>52</v>
      </c>
      <c r="P309" s="10" t="s">
        <v>146</v>
      </c>
      <c r="Q309" s="10" t="s">
        <v>44</v>
      </c>
      <c r="R309" s="11" t="s">
        <v>44</v>
      </c>
      <c r="S309" s="11" t="s">
        <v>44</v>
      </c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G309" s="71"/>
      <c r="AH309" s="71"/>
      <c r="AI309" s="71">
        <v>258</v>
      </c>
      <c r="AJ309" s="71">
        <v>257</v>
      </c>
      <c r="AK309" s="71"/>
      <c r="AL309" s="71"/>
      <c r="AM309" s="71"/>
      <c r="AN309" s="71"/>
      <c r="AO309" s="71"/>
      <c r="AP309" s="71"/>
      <c r="AQ309" s="71"/>
      <c r="AR309" s="71"/>
      <c r="AS309" s="94" t="str" cm="1">
        <f t="array" ref="AS309">IFERROR(INDEX(T309:AE309,1,MATCH(2,1/(T309:AE309&lt;&gt;""))),"")</f>
        <v/>
      </c>
      <c r="AT309" s="95" cm="1">
        <f t="array" ref="AT309">IFERROR(INDEX(AJ309:AR309,1,MATCH(2,1/(AJ309:AR309&lt;&gt;""))),"")</f>
        <v>257</v>
      </c>
      <c r="AU309" s="97">
        <f t="shared" si="635"/>
        <v>257</v>
      </c>
      <c r="AW309" s="83">
        <f>AG309</f>
        <v>0</v>
      </c>
      <c r="AX309" s="52">
        <f t="shared" ref="AX309" si="642">AH309</f>
        <v>0</v>
      </c>
      <c r="AY309" s="52">
        <f t="shared" ref="AY309:AZ309" si="643">AI309</f>
        <v>258</v>
      </c>
      <c r="AZ309" s="52">
        <f t="shared" si="643"/>
        <v>257</v>
      </c>
      <c r="BA309" s="52"/>
      <c r="BB309" s="52"/>
      <c r="BC309" s="52"/>
      <c r="BD309" s="52"/>
      <c r="BE309" s="52"/>
      <c r="BF309" s="52"/>
      <c r="BG309" s="52"/>
      <c r="BH309" s="52"/>
      <c r="BI309" s="68" cm="1">
        <f t="array" ref="BI309">IFERROR(INDEX(AW309:BH309,1,MATCH(2,1/(AW309:BH309&lt;&gt;""))),"")</f>
        <v>257</v>
      </c>
      <c r="BJ309" s="68" cm="1">
        <f t="array" ref="BJ309">IF(BM309 = "", "",IFERROR(INDEX(AW309:BH309,1,MATCH(2,1/(AW309:BH309&lt;&gt;""),1)-1),""))</f>
        <v>258</v>
      </c>
      <c r="BK309" s="59">
        <f>SUM(AW309:BH309)</f>
        <v>515</v>
      </c>
      <c r="BL309" s="59" cm="1">
        <f t="array" ref="BL309">IFERROR(SUM(AW309:INDEX(AW309:BH309, MATCH(2, 1/(AW309:BH309&lt;&gt;""), 1) - 1))/_xlfn.XLOOKUP(F309,Apuração!A:A,Apuração!B:B),0)</f>
        <v>25.8</v>
      </c>
      <c r="BM309" s="55" cm="1">
        <f t="array" ref="BM309">IFERROR(
   INDEX($AW$1:$BH$1,
      _xlfn.AGGREGATE(14, 6, COLUMN($AW$1:$BH$1)/(AW309:BH309&lt;&gt;""), 2) - COLUMN($AW$1) + 1
   ),
"")</f>
        <v>46082</v>
      </c>
      <c r="BN309" s="55" cm="1">
        <f t="array" ref="BN309">IFERROR(INDEX($AW$1:$BH$1,1,MATCH(2,1/(AW309:BH309&lt;&gt;""))),"")</f>
        <v>46113</v>
      </c>
      <c r="BO309" s="53">
        <f ca="1">IFERROR(_xlfn.XLOOKUP(F309,Apuração!A:A,Apuração!C:C)/_xlfn.XLOOKUP(F309,Apuração!A:A,Apuração!B:B),0)</f>
        <v>0.3</v>
      </c>
      <c r="BP309" s="53">
        <f ca="1">IFERROR(_xlfn.XLOOKUP(F309,Apuração!A:A,Apuração!D:D)/_xlfn.XLOOKUP(F309,Apuração!A:A,Apuração!B:B),0)</f>
        <v>0.2</v>
      </c>
      <c r="BQ309" s="53">
        <f ca="1">IF(BK309&gt;=BO309,0,_xlfn.XLOOKUP(F309,Apuração!A:A,Apuração!B:B)*(BO309 + (1/_xlfn.XLOOKUP(F309,Apuração!A:A,Apuração!B:B)) - BK309))</f>
        <v>0</v>
      </c>
      <c r="BR309" s="85">
        <f t="shared" ca="1" si="609"/>
        <v>0</v>
      </c>
      <c r="BS309" s="53">
        <f ca="1">IFERROR((_xlfn.XLOOKUP(F309,Apuração!A:A,Apuração!C:C)+1)/_xlfn.XLOOKUP(F309,Apuração!A:A,Apuração!B:B),0)</f>
        <v>0.4</v>
      </c>
    </row>
    <row r="310" spans="1:71" ht="25.95" hidden="1" customHeight="1" x14ac:dyDescent="0.3">
      <c r="A310" s="44" t="s">
        <v>175</v>
      </c>
      <c r="B310" s="4" t="s">
        <v>184</v>
      </c>
      <c r="C310" s="5" t="s">
        <v>95</v>
      </c>
      <c r="D310" s="5" t="s">
        <v>36</v>
      </c>
      <c r="E310" s="4" t="str" cm="1">
        <f t="array" ref="E310">_xlfn.IFS(
F310 = "A partir de Abril", "Aguardando Execução na Distribuidora",
A310 = "CAPACITAÇÃO", "Em execução no Corporativo",
TRUE, "Em Execução na Distribuidora"
)</f>
        <v>Em execução no Corporativo</v>
      </c>
      <c r="F310" s="4" t="str" cm="1">
        <f t="array" ref="F310">_xlfn.IFS(
AG310 &lt;&gt; "", "Jan-Dez/26",
AH310 &lt;&gt; "", "Fev-Dez/26",
AI310 &lt;&gt; "", "Mar-Dez/26", AJ310 &lt;&gt; "", "Abr-Dez/26",
TRUE, "A partir de Junho"
)</f>
        <v>Mar-Dez/26</v>
      </c>
      <c r="G310" s="4" t="s">
        <v>37</v>
      </c>
      <c r="H310" s="7" t="s">
        <v>38</v>
      </c>
      <c r="I310" s="21" t="s">
        <v>182</v>
      </c>
      <c r="J310" s="8" t="str" cm="1">
        <f t="array" aca="1" ref="J310" ca="1">_xlfn.LET(
  _xlpm.actual_value_month, INDEX(T310:AE310, MATCH(DATE(YEAR(TODAY()), MONTH(TODAY()), 1), $T$1:$AE$1, 0)),
  IF(_xlpm.actual_value_month &lt;&gt; "", _xlpm.actual_value_month &amp; " ações mensais", "")
)</f>
        <v/>
      </c>
      <c r="K310" s="8" t="str" cm="1">
        <f t="array" ref="K310">_xlfn.LET(
    _xlpm.sum_month, SUM(T310:AE310),
    IF(_xlpm.sum_month = 0, "", _xlpm.sum_month &amp; " taxa de aprovados")
)</f>
        <v>515 taxa de aprovados</v>
      </c>
      <c r="L310" s="4" t="s">
        <v>186</v>
      </c>
      <c r="M310" s="13">
        <v>1</v>
      </c>
      <c r="N310" s="5" t="s">
        <v>51</v>
      </c>
      <c r="O310" s="5" t="s">
        <v>43</v>
      </c>
      <c r="P310" s="10" t="s">
        <v>44</v>
      </c>
      <c r="Q310" s="10" t="s">
        <v>44</v>
      </c>
      <c r="R310" s="11" t="s">
        <v>44</v>
      </c>
      <c r="S310" s="11" t="s">
        <v>44</v>
      </c>
      <c r="T310" s="22"/>
      <c r="U310" s="22"/>
      <c r="V310" s="22">
        <v>258</v>
      </c>
      <c r="W310" s="22">
        <v>257</v>
      </c>
      <c r="X310" s="22"/>
      <c r="Y310" s="22"/>
      <c r="Z310" s="22"/>
      <c r="AA310" s="22"/>
      <c r="AB310" s="22"/>
      <c r="AC310" s="22"/>
      <c r="AD310" s="22"/>
      <c r="AE310" s="22"/>
      <c r="AG310" s="71"/>
      <c r="AH310" s="71"/>
      <c r="AI310" s="71">
        <v>258</v>
      </c>
      <c r="AJ310" s="71">
        <v>257</v>
      </c>
      <c r="AK310" s="71"/>
      <c r="AL310" s="71"/>
      <c r="AM310" s="71"/>
      <c r="AN310" s="71"/>
      <c r="AO310" s="71"/>
      <c r="AP310" s="71"/>
      <c r="AQ310" s="71"/>
      <c r="AR310" s="71"/>
      <c r="AS310" s="94" cm="1">
        <f t="array" ref="AS310">IFERROR(INDEX(T310:AE310,1,MATCH(2,1/(T310:AE310&lt;&gt;""))),"")</f>
        <v>257</v>
      </c>
      <c r="AT310" s="95" cm="1">
        <f t="array" ref="AT310">IFERROR(INDEX(AJ310:AR310,1,MATCH(2,1/(AJ310:AR310&lt;&gt;""))),"")</f>
        <v>257</v>
      </c>
      <c r="AU310" s="97">
        <f t="shared" si="635"/>
        <v>257</v>
      </c>
      <c r="AW310" s="52">
        <f>IFERROR(IF(T310="",0,T310/AG310),0)</f>
        <v>0</v>
      </c>
      <c r="AX310" s="52">
        <f>IFERROR(IF(U310="",0,U310/AH310),0)</f>
        <v>0</v>
      </c>
      <c r="AY310" s="118">
        <f>IFERROR(IF(V310="",0,V310/AI310),0)</f>
        <v>1</v>
      </c>
      <c r="AZ310" s="118">
        <f>IFERROR(IF(W310="",0,W310/AJ310),0)</f>
        <v>1</v>
      </c>
      <c r="BA310" s="52"/>
      <c r="BB310" s="52"/>
      <c r="BC310" s="52"/>
      <c r="BD310" s="52"/>
      <c r="BE310" s="52"/>
      <c r="BF310" s="52"/>
      <c r="BG310" s="52"/>
      <c r="BH310" s="52"/>
      <c r="BI310" s="65" cm="1">
        <f t="array" ref="BI310">IFERROR(INDEX(AW310:BH310,1,MATCH(2,1/(AW310:BH310&lt;&gt;""))),"")</f>
        <v>1</v>
      </c>
      <c r="BJ310" s="68" cm="1">
        <f t="array" ref="BJ310">IF(BM310 = "", "",IFERROR(INDEX(AW310:BH310,1,MATCH(2,1/(AW310:BH310&lt;&gt;""),1)-1),""))</f>
        <v>1</v>
      </c>
      <c r="BK310" s="58" cm="1">
        <f t="array" ref="BK310">IFERROR(INDEX(AW310:BH310,1,MATCH(2,1/(AW310:BH310&lt;&gt;""))),"")</f>
        <v>1</v>
      </c>
      <c r="BL310" s="58" cm="1">
        <f t="array" ref="BL310">IFERROR(INDEX(AW310:BH310,1,MATCH(2,1/(AW310:BH310&lt;&gt;""),1)-1),"")</f>
        <v>1</v>
      </c>
      <c r="BM310" s="55" cm="1">
        <f t="array" ref="BM310">IFERROR(
   INDEX($AW$1:$BH$1,
      _xlfn.AGGREGATE(14, 6, COLUMN($AW$1:$BH$1)/(AW310:BH310&lt;&gt;""), 2) - COLUMN($AW$1) + 1
   ),
"")</f>
        <v>46082</v>
      </c>
      <c r="BN310" s="55" cm="1">
        <f t="array" ref="BN310">IFERROR(INDEX($AW$1:$BH$1,1,MATCH(2,1/(AW310:BH310&lt;&gt;""))),"")</f>
        <v>46113</v>
      </c>
      <c r="BO310" s="53">
        <f ca="1">IFERROR(_xlfn.XLOOKUP(F310,Apuração!A:A,Apuração!C:C)/_xlfn.XLOOKUP(F310,Apuração!A:A,Apuração!B:B),0)</f>
        <v>0.3</v>
      </c>
      <c r="BP310" s="53">
        <f ca="1">IFERROR(_xlfn.XLOOKUP(F310,Apuração!A:A,Apuração!D:D)/_xlfn.XLOOKUP(F310,Apuração!A:A,Apuração!B:B),0)</f>
        <v>0.2</v>
      </c>
      <c r="BQ310" s="53">
        <f ca="1">IF(BK310&gt;=BO310,0,_xlfn.XLOOKUP(F310,Apuração!A:A,Apuração!B:B)*(BO310 + (1/_xlfn.XLOOKUP(F310,Apuração!A:A,Apuração!B:B)) - BK310))</f>
        <v>0</v>
      </c>
      <c r="BR310" s="85">
        <f t="shared" ca="1" si="609"/>
        <v>0</v>
      </c>
      <c r="BS310" s="53">
        <f ca="1">IFERROR((_xlfn.XLOOKUP(F310,Apuração!A:A,Apuração!C:C)+1)/_xlfn.XLOOKUP(F310,Apuração!A:A,Apuração!B:B),0)</f>
        <v>0.4</v>
      </c>
    </row>
    <row r="311" spans="1:71" ht="25.95" hidden="1" customHeight="1" x14ac:dyDescent="0.3">
      <c r="A311" s="33" t="s">
        <v>175</v>
      </c>
      <c r="B311" s="4" t="s">
        <v>187</v>
      </c>
      <c r="C311" s="5" t="s">
        <v>95</v>
      </c>
      <c r="D311" s="5" t="s">
        <v>36</v>
      </c>
      <c r="E311" s="4" t="s">
        <v>96</v>
      </c>
      <c r="F311" s="4" t="str" cm="1">
        <f t="array" ref="F311">_xlfn.IFS(
AG311 &lt;&gt; "", "Jan-Dez/26",
AH311 &lt;&gt; "", "Fev-Dez/26",
AI311 &lt;&gt; "", "Mar-Dez/26", AJ311 &lt;&gt; "", "Abr-Dez/26",
TRUE, "A partir de Junho"
)</f>
        <v>A partir de Junho</v>
      </c>
      <c r="G311" s="4" t="s">
        <v>62</v>
      </c>
      <c r="H311" s="7" t="s">
        <v>54</v>
      </c>
      <c r="I311" s="8" t="s">
        <v>188</v>
      </c>
      <c r="J311" s="8" t="str" cm="1">
        <f t="array" aca="1" ref="J311" ca="1">_xlfn.LET(
  _xlpm.actual_value_month, INDEX(T311:AE311, MATCH(DATE(YEAR(TODAY()), MONTH(TODAY()), 1), $T$1:$AE$1, 0)),
  IF(_xlpm.actual_value_month &lt;&gt; "", _xlpm.actual_value_month &amp; " ações mensais", "")
)</f>
        <v/>
      </c>
      <c r="K311" s="8" t="str" cm="1">
        <f t="array" ref="K311">_xlfn.LET(
    _xlpm.sum_month, SUM(T311:AE311),
    IF(_xlpm.sum_month = 0, "", _xlpm.sum_month &amp; " taxa de aderência de treinados.")
)</f>
        <v/>
      </c>
      <c r="L311" s="9" t="s">
        <v>189</v>
      </c>
      <c r="M311" s="13">
        <v>1</v>
      </c>
      <c r="N311" s="5" t="s">
        <v>42</v>
      </c>
      <c r="O311" s="5" t="s">
        <v>43</v>
      </c>
      <c r="P311" s="10" t="s">
        <v>146</v>
      </c>
      <c r="Q311" s="10" t="s">
        <v>44</v>
      </c>
      <c r="R311" s="11" t="s">
        <v>44</v>
      </c>
      <c r="S311" s="11" t="s">
        <v>44</v>
      </c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94" t="str" cm="1">
        <f t="array" ref="AS311">IFERROR(INDEX(T311:AE311,1,MATCH(2,1/(T311:AE311&lt;&gt;""))),"")</f>
        <v/>
      </c>
      <c r="AT311" s="95">
        <f>AN311</f>
        <v>0</v>
      </c>
      <c r="AU311" s="97">
        <f t="shared" si="635"/>
        <v>0</v>
      </c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65" t="str" cm="1">
        <f t="array" ref="BI311">IFERROR(INDEX(AW311:BH311,1,MATCH(2,1/(AW311:BH311&lt;&gt;""))),"")</f>
        <v/>
      </c>
      <c r="BJ311" s="68" t="str" cm="1">
        <f t="array" ref="BJ311">IF(BM311 = "", "",IFERROR(INDEX(AW311:BH311,1,MATCH(2,1/(AW311:BH311&lt;&gt;""),1)-1),""))</f>
        <v/>
      </c>
      <c r="BK311" s="58" t="str" cm="1">
        <f t="array" ref="BK311">IFERROR(INDEX(AW311:BH311,1,MATCH(2,1/(AW311:BH311&lt;&gt;""))),"")</f>
        <v/>
      </c>
      <c r="BL311" s="58" cm="1">
        <f t="array" aca="1" ref="BL311" ca="1">IF(SUM(IFERROR(IF(INDEX(AW311:INDEX(AW311:BH311, MATCH(2, 1/(AW311:BH311&lt;&gt;""), 1)-1), ROW(INDIRECT("1:" &amp; MATCH(2, 1/(AW311:BH311&lt;&gt;""), 1)-1))) &gt;= 115%, 115%, INDEX(AW311:INDEX(AW311:BH311, MATCH(2, 1/(AW311:BH311&lt;&gt;""), 1)-1), ROW(INDIRECT("1:" &amp; MATCH(2, 1/(AW311:BH311&lt;&gt;""), 1)-1)))), 0))/_xlfn.XLOOKUP(F311,Apuração!A:A,Apuração!B:B)&gt;=1.15,1.15,SUM(IFERROR(IF(INDEX(AW311:INDEX(AW311:BH311, MATCH(2, 1/(AW311:BH311&lt;&gt;""), 1)-1), ROW(INDIRECT("1:" &amp; MATCH(2, 1/(AW311:BH311&lt;&gt;""), 1)-1))) &gt;= 115%, 115%, INDEX(AW311:INDEX(AW311:BH311, MATCH(2, 1/(AW311:BH311&lt;&gt;""), 1)-1), ROW(INDIRECT("1:" &amp; MATCH(2, 1/(AW311:BH311&lt;&gt;""), 1)-1)))), 0))/_xlfn.XLOOKUP(F311,Apuração!A:A,Apuração!B:B))</f>
        <v>0</v>
      </c>
      <c r="BM311" s="55" t="str" cm="1">
        <f t="array" ref="BM311">IFERROR(
   INDEX($AW$1:$BH$1,
      _xlfn.AGGREGATE(14, 6, COLUMN($AW$1:$BH$1)/(AW311:BH311&lt;&gt;""), 2) - COLUMN($AW$1) + 1
   ),
"")</f>
        <v/>
      </c>
      <c r="BN311" s="55" t="str" cm="1">
        <f t="array" ref="BN311">IFERROR(INDEX($AW$1:$BH$1,1,MATCH(2,1/(AW311:BH311&lt;&gt;""))),"")</f>
        <v/>
      </c>
      <c r="BO311" s="53">
        <f ca="1">IFERROR(_xlfn.XLOOKUP(F311,Apuração!A:A,Apuração!C:C)/_xlfn.XLOOKUP(F311,Apuração!A:A,Apuração!B:B),0)</f>
        <v>0</v>
      </c>
      <c r="BP311" s="53">
        <f ca="1">IFERROR(_xlfn.XLOOKUP(F311,Apuração!A:A,Apuração!D:D)/_xlfn.XLOOKUP(F311,Apuração!A:A,Apuração!B:B),0)</f>
        <v>0</v>
      </c>
      <c r="BQ311" s="53">
        <f ca="1">IF(BK311&gt;=BO311,0,_xlfn.XLOOKUP(F311,Apuração!A:A,Apuração!B:B)*(BO311 + (1/_xlfn.XLOOKUP(F311,Apuração!A:A,Apuração!B:B)) - BK311))</f>
        <v>0</v>
      </c>
      <c r="BR311" s="85">
        <f t="shared" ca="1" si="609"/>
        <v>0</v>
      </c>
      <c r="BS311" s="53">
        <f ca="1">IFERROR((_xlfn.XLOOKUP(F311,Apuração!A:A,Apuração!C:C)+1)/_xlfn.XLOOKUP(F311,Apuração!A:A,Apuração!B:B),0)</f>
        <v>0.14285714285714285</v>
      </c>
    </row>
    <row r="312" spans="1:71" ht="25.95" hidden="1" customHeight="1" x14ac:dyDescent="0.3">
      <c r="A312" s="44" t="s">
        <v>175</v>
      </c>
      <c r="B312" s="4" t="s">
        <v>187</v>
      </c>
      <c r="C312" s="5" t="s">
        <v>95</v>
      </c>
      <c r="D312" s="5" t="s">
        <v>36</v>
      </c>
      <c r="E312" s="4" t="s">
        <v>96</v>
      </c>
      <c r="F312" s="4" t="str" cm="1">
        <f t="array" ref="F312">_xlfn.IFS(
AG312 &lt;&gt; "", "Jan-Dez/26",
AH312 &lt;&gt; "", "Fev-Dez/26",
AI312 &lt;&gt; "", "Mar-Dez/26", AJ312 &lt;&gt; "", "Abr-Dez/26",
TRUE, "A partir de Junho"
)</f>
        <v>A partir de Junho</v>
      </c>
      <c r="G312" s="4" t="s">
        <v>62</v>
      </c>
      <c r="H312" s="7" t="s">
        <v>54</v>
      </c>
      <c r="I312" s="21" t="s">
        <v>190</v>
      </c>
      <c r="J312" s="8" t="str" cm="1">
        <f t="array" aca="1" ref="J312" ca="1">_xlfn.LET(
  _xlpm.actual_value_month, INDEX(T312:AE312, MATCH(DATE(YEAR(TODAY()), MONTH(TODAY()), 1), $T$1:$AE$1, 0)),
  IF(_xlpm.actual_value_month &lt;&gt; "", _xlpm.actual_value_month &amp; " ações mensais", "")
)</f>
        <v/>
      </c>
      <c r="K312" s="8" t="str" cm="1">
        <f t="array" ref="K312">_xlfn.LET(
    _xlpm.sum_month, SUM(T312:AE312),
    IF(_xlpm.sum_month = 0, "", _xlpm.sum_month &amp; " treinados não mapeados.")
)</f>
        <v/>
      </c>
      <c r="L312" s="9" t="s">
        <v>191</v>
      </c>
      <c r="M312" s="13">
        <v>1</v>
      </c>
      <c r="N312" s="5" t="s">
        <v>51</v>
      </c>
      <c r="O312" s="5" t="s">
        <v>52</v>
      </c>
      <c r="P312" s="10" t="s">
        <v>146</v>
      </c>
      <c r="Q312" s="10" t="s">
        <v>44</v>
      </c>
      <c r="R312" s="11" t="s">
        <v>44</v>
      </c>
      <c r="S312" s="11" t="s">
        <v>44</v>
      </c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94" t="str" cm="1">
        <f t="array" ref="AS312">IFERROR(INDEX(T312:AE312,1,MATCH(2,1/(T312:AE312&lt;&gt;""))),"")</f>
        <v/>
      </c>
      <c r="AT312" s="95">
        <f>AN312</f>
        <v>0</v>
      </c>
      <c r="AU312" s="97">
        <f t="shared" si="635"/>
        <v>0</v>
      </c>
      <c r="AW312" s="52">
        <f>AG312</f>
        <v>0</v>
      </c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68" cm="1">
        <f t="array" ref="BI312">IFERROR(INDEX(AW312:BH312,1,MATCH(2,1/(AW312:BH312&lt;&gt;""))),"")</f>
        <v>0</v>
      </c>
      <c r="BJ312" s="68" t="str" cm="1">
        <f t="array" ref="BJ312">IF(BM312 = "", "",IFERROR(INDEX(AW312:BH312,1,MATCH(2,1/(AW312:BH312&lt;&gt;""),1)-1),""))</f>
        <v/>
      </c>
      <c r="BK312" s="59">
        <f>SUM(AW312:BH312)</f>
        <v>0</v>
      </c>
      <c r="BL312" s="59">
        <f>SUM(AW312:BE312)</f>
        <v>0</v>
      </c>
      <c r="BM312" s="55" t="str" cm="1">
        <f t="array" ref="BM312">IFERROR(
   INDEX($AW$1:$BH$1,
      _xlfn.AGGREGATE(14, 6, COLUMN($AW$1:$BH$1)/(AW312:BH312&lt;&gt;""), 2) - COLUMN($AW$1) + 1
   ),
"")</f>
        <v/>
      </c>
      <c r="BN312" s="55" cm="1">
        <f t="array" ref="BN312">IFERROR(INDEX($AW$1:$BH$1,1,MATCH(2,1/(AW312:BH312&lt;&gt;""))),"")</f>
        <v>46023</v>
      </c>
      <c r="BO312" s="53">
        <f ca="1">IFERROR(_xlfn.XLOOKUP(F312,Apuração!A:A,Apuração!C:C)/_xlfn.XLOOKUP(F312,Apuração!A:A,Apuração!B:B),0)</f>
        <v>0</v>
      </c>
      <c r="BP312" s="53">
        <f ca="1">IFERROR(_xlfn.XLOOKUP(F312,Apuração!A:A,Apuração!D:D)/_xlfn.XLOOKUP(F312,Apuração!A:A,Apuração!B:B),0)</f>
        <v>0</v>
      </c>
      <c r="BQ312" s="53">
        <f ca="1">IF(BK312&gt;=BO312,0,_xlfn.XLOOKUP(F312,Apuração!A:A,Apuração!B:B)*(BO312 + (1/_xlfn.XLOOKUP(F312,Apuração!A:A,Apuração!B:B)) - BK312))</f>
        <v>0</v>
      </c>
      <c r="BR312" s="85">
        <f t="shared" ref="BR312:BR481" ca="1" si="644">IF(BQ312=0,0,BQ312*Z312)</f>
        <v>0</v>
      </c>
      <c r="BS312" s="53">
        <f ca="1">IFERROR((_xlfn.XLOOKUP(F312,Apuração!A:A,Apuração!C:C)+1)/_xlfn.XLOOKUP(F312,Apuração!A:A,Apuração!B:B),0)</f>
        <v>0.14285714285714285</v>
      </c>
    </row>
    <row r="313" spans="1:71" ht="25.95" hidden="1" customHeight="1" x14ac:dyDescent="0.3">
      <c r="A313" s="44" t="s">
        <v>175</v>
      </c>
      <c r="B313" s="4" t="s">
        <v>187</v>
      </c>
      <c r="C313" s="5" t="s">
        <v>95</v>
      </c>
      <c r="D313" s="5" t="s">
        <v>36</v>
      </c>
      <c r="E313" s="4" t="s">
        <v>96</v>
      </c>
      <c r="F313" s="4" t="str" cm="1">
        <f t="array" ref="F313">_xlfn.IFS(
AG313 &lt;&gt; "", "Jan-Dez/26",
AH313 &lt;&gt; "", "Fev-Dez/26",
AI313 &lt;&gt; "", "Mar-Dez/26", AJ313 &lt;&gt; "", "Abr-Dez/26",
TRUE, "A partir de Junho"
)</f>
        <v>A partir de Junho</v>
      </c>
      <c r="G313" s="4" t="s">
        <v>62</v>
      </c>
      <c r="H313" s="7" t="s">
        <v>54</v>
      </c>
      <c r="I313" s="34" t="s">
        <v>192</v>
      </c>
      <c r="J313" s="8" t="str" cm="1">
        <f t="array" aca="1" ref="J313" ca="1">_xlfn.LET(
  _xlpm.actual_value_month, INDEX(T313:AE313, MATCH(DATE(YEAR(TODAY()), MONTH(TODAY()), 1), $T$1:$AE$1, 0)),
  IF(_xlpm.actual_value_month &lt;&gt; "", _xlpm.actual_value_month &amp; " ações mensais", "")
)</f>
        <v/>
      </c>
      <c r="K313" s="34" t="str" cm="1">
        <f t="array" ref="K313">_xlfn.LET(
    _xlpm.sum_month, SUM(T313:AE313),
    IF(_xlpm.sum_month = 0, "", _xlpm.sum_month &amp; " colaboradores treinados.")
)</f>
        <v/>
      </c>
      <c r="L313" s="4" t="s">
        <v>193</v>
      </c>
      <c r="M313" s="9"/>
      <c r="N313" s="5" t="s">
        <v>51</v>
      </c>
      <c r="O313" s="5" t="s">
        <v>52</v>
      </c>
      <c r="P313" s="10" t="s">
        <v>44</v>
      </c>
      <c r="Q313" s="10" t="s">
        <v>44</v>
      </c>
      <c r="R313" s="11" t="s">
        <v>44</v>
      </c>
      <c r="S313" s="11" t="s">
        <v>44</v>
      </c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94" t="str" cm="1">
        <f t="array" ref="AS313">IFERROR(INDEX(T313:AE313,1,MATCH(2,1/(T313:AE313&lt;&gt;""))),"")</f>
        <v/>
      </c>
      <c r="AT313" s="95">
        <f>AN313</f>
        <v>0</v>
      </c>
      <c r="AU313" s="97">
        <f t="shared" si="635"/>
        <v>0</v>
      </c>
      <c r="AW313" s="52">
        <f>AG313</f>
        <v>0</v>
      </c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68" cm="1">
        <f t="array" ref="BI313">IFERROR(INDEX(AW313:BH313,1,MATCH(2,1/(AW313:BH313&lt;&gt;""))),"")</f>
        <v>0</v>
      </c>
      <c r="BJ313" s="68" t="str" cm="1">
        <f t="array" ref="BJ313">IF(BM313 = "", "",IFERROR(INDEX(AW313:BH313,1,MATCH(2,1/(AW313:BH313&lt;&gt;""),1)-1),""))</f>
        <v/>
      </c>
      <c r="BK313" s="59">
        <f>SUM(AW313:BH313)</f>
        <v>0</v>
      </c>
      <c r="BL313" s="59">
        <f>SUM(AW313:BE313)</f>
        <v>0</v>
      </c>
      <c r="BM313" s="55" t="str" cm="1">
        <f t="array" ref="BM313">IFERROR(
   INDEX($AW$1:$BH$1,
      _xlfn.AGGREGATE(14, 6, COLUMN($AW$1:$BH$1)/(AW313:BH313&lt;&gt;""), 2) - COLUMN($AW$1) + 1
   ),
"")</f>
        <v/>
      </c>
      <c r="BN313" s="55" cm="1">
        <f t="array" ref="BN313">IFERROR(INDEX($AW$1:$BH$1,1,MATCH(2,1/(AW313:BH313&lt;&gt;""))),"")</f>
        <v>46023</v>
      </c>
      <c r="BO313" s="53">
        <f ca="1">IFERROR(_xlfn.XLOOKUP(F313,Apuração!A:A,Apuração!C:C)/_xlfn.XLOOKUP(F313,Apuração!A:A,Apuração!B:B),0)</f>
        <v>0</v>
      </c>
      <c r="BP313" s="53">
        <f ca="1">IFERROR(_xlfn.XLOOKUP(F313,Apuração!A:A,Apuração!D:D)/_xlfn.XLOOKUP(F313,Apuração!A:A,Apuração!B:B),0)</f>
        <v>0</v>
      </c>
      <c r="BQ313" s="53">
        <f ca="1">IF(BK313&gt;=BO313,0,_xlfn.XLOOKUP(F313,Apuração!A:A,Apuração!B:B)*(BO313 + (1/_xlfn.XLOOKUP(F313,Apuração!A:A,Apuração!B:B)) - BK313))</f>
        <v>0</v>
      </c>
      <c r="BR313" s="85">
        <f t="shared" ca="1" si="644"/>
        <v>0</v>
      </c>
      <c r="BS313" s="53">
        <f ca="1">IFERROR((_xlfn.XLOOKUP(F313,Apuração!A:A,Apuração!C:C)+1)/_xlfn.XLOOKUP(F313,Apuração!A:A,Apuração!B:B),0)</f>
        <v>0.14285714285714285</v>
      </c>
    </row>
    <row r="314" spans="1:71" ht="25.95" hidden="1" customHeight="1" x14ac:dyDescent="0.3">
      <c r="A314" s="33" t="s">
        <v>175</v>
      </c>
      <c r="B314" s="4" t="s">
        <v>194</v>
      </c>
      <c r="C314" s="5" t="s">
        <v>95</v>
      </c>
      <c r="D314" s="5" t="s">
        <v>36</v>
      </c>
      <c r="E314" s="4" t="s">
        <v>96</v>
      </c>
      <c r="F314" s="4" t="str" cm="1">
        <f t="array" ref="F314">_xlfn.IFS(
AG314 &lt;&gt; "", "Jan-Dez/26",
AH314 &lt;&gt; "", "Fev-Dez/26",
AI314 &lt;&gt; "", "Mar-Dez/26", AJ314 &lt;&gt; "", "Abr-Dez/26",
TRUE, "A partir de Junho"
)</f>
        <v>A partir de Junho</v>
      </c>
      <c r="G314" s="4" t="s">
        <v>62</v>
      </c>
      <c r="H314" s="7" t="s">
        <v>38</v>
      </c>
      <c r="I314" s="8" t="s">
        <v>177</v>
      </c>
      <c r="J314" s="8" t="str" cm="1">
        <f t="array" aca="1" ref="J314" ca="1">_xlfn.LET(
  _xlpm.actual_value_month, INDEX(T314:AE314, MATCH(DATE(YEAR(TODAY()), MONTH(TODAY()), 1), $T$1:$AE$1, 0)),
  IF(_xlpm.actual_value_month &lt;&gt; "", _xlpm.actual_value_month &amp; " ações mensais", "")
)</f>
        <v/>
      </c>
      <c r="K314" s="8" t="str" cm="1">
        <f t="array" ref="K314">_xlfn.LET(
    _xlpm.sum_month, SUM(T314:AE314),
    IF(_xlpm.sum_month = 0, "", _xlpm.sum_month &amp; " certificados gerados.")
)</f>
        <v/>
      </c>
      <c r="L314" s="9" t="s">
        <v>195</v>
      </c>
      <c r="M314" s="13">
        <v>1</v>
      </c>
      <c r="N314" s="5" t="s">
        <v>42</v>
      </c>
      <c r="O314" s="5" t="s">
        <v>43</v>
      </c>
      <c r="P314" s="10" t="s">
        <v>146</v>
      </c>
      <c r="Q314" s="10" t="s">
        <v>44</v>
      </c>
      <c r="R314" s="11" t="s">
        <v>179</v>
      </c>
      <c r="S314" s="11" t="s">
        <v>67</v>
      </c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94" t="str" cm="1">
        <f t="array" ref="AS314">IFERROR(INDEX(T314:AE314,1,MATCH(2,1/(T314:AE314&lt;&gt;""))),"")</f>
        <v/>
      </c>
      <c r="AT314" s="95" t="str" cm="1">
        <f t="array" ref="AT314">IFERROR(INDEX(AJ314:AR314,1,MATCH(2,1/(AJ314:AR314&lt;&gt;""))),"")</f>
        <v/>
      </c>
      <c r="AU314" s="97" t="str">
        <f t="shared" si="635"/>
        <v/>
      </c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65" t="str" cm="1">
        <f t="array" ref="BI314">IFERROR(INDEX(AW314:BH314,1,MATCH(2,1/(AW314:BH314&lt;&gt;""))),"")</f>
        <v/>
      </c>
      <c r="BJ314" s="68" t="str" cm="1">
        <f t="array" ref="BJ314">IF(BM314 = "", "",IFERROR(INDEX(AW314:BH314,1,MATCH(2,1/(AW314:BH314&lt;&gt;""),1)-1),""))</f>
        <v/>
      </c>
      <c r="BK314" s="58" t="str" cm="1">
        <f t="array" ref="BK314">IFERROR(INDEX(AW314:BH314,1,MATCH(2,1/(AW314:BH314&lt;&gt;""))),"")</f>
        <v/>
      </c>
      <c r="BL314" s="58" t="str" cm="1">
        <f t="array" ref="BL314">IFERROR(INDEX(AW314:BH314,1,MATCH(2,1/(AW314:BH314&lt;&gt;""),1)-1),"")</f>
        <v/>
      </c>
      <c r="BM314" s="55" t="str" cm="1">
        <f t="array" ref="BM314">IFERROR(
   INDEX($AW$1:$BH$1,
      _xlfn.AGGREGATE(14, 6, COLUMN($AW$1:$BH$1)/(AW314:BH314&lt;&gt;""), 2) - COLUMN($AW$1) + 1
   ),
"")</f>
        <v/>
      </c>
      <c r="BN314" s="55" t="str" cm="1">
        <f t="array" ref="BN314">IFERROR(INDEX($AW$1:$BH$1,1,MATCH(2,1/(AW314:BH314&lt;&gt;""))),"")</f>
        <v/>
      </c>
      <c r="BO314" s="53">
        <f ca="1">IFERROR(_xlfn.XLOOKUP(F314,Apuração!A:A,Apuração!C:C)/_xlfn.XLOOKUP(F314,Apuração!A:A,Apuração!B:B),0)</f>
        <v>0</v>
      </c>
      <c r="BP314" s="53">
        <f ca="1">IFERROR(_xlfn.XLOOKUP(F314,Apuração!A:A,Apuração!D:D)/_xlfn.XLOOKUP(F314,Apuração!A:A,Apuração!B:B),0)</f>
        <v>0</v>
      </c>
      <c r="BQ314" s="53">
        <f ca="1">IF(BK314&gt;=BO314,0,_xlfn.XLOOKUP(F314,Apuração!A:A,Apuração!B:B)*(BO314 + (1/_xlfn.XLOOKUP(F314,Apuração!A:A,Apuração!B:B)) - BK314))</f>
        <v>0</v>
      </c>
      <c r="BR314" s="85">
        <f t="shared" ca="1" si="644"/>
        <v>0</v>
      </c>
      <c r="BS314" s="53">
        <f ca="1">IFERROR((_xlfn.XLOOKUP(F314,Apuração!A:A,Apuração!C:C)+1)/_xlfn.XLOOKUP(F314,Apuração!A:A,Apuração!B:B),0)</f>
        <v>0.14285714285714285</v>
      </c>
    </row>
    <row r="315" spans="1:71" ht="25.95" hidden="1" customHeight="1" x14ac:dyDescent="0.3">
      <c r="A315" s="44" t="s">
        <v>175</v>
      </c>
      <c r="B315" s="4" t="s">
        <v>194</v>
      </c>
      <c r="C315" s="5" t="s">
        <v>95</v>
      </c>
      <c r="D315" s="5" t="s">
        <v>36</v>
      </c>
      <c r="E315" s="4" t="s">
        <v>96</v>
      </c>
      <c r="F315" s="4" t="str" cm="1">
        <f t="array" ref="F315">_xlfn.IFS(
AG315 &lt;&gt; "", "Jan-Dez/26",
AH315 &lt;&gt; "", "Fev-Dez/26",
AI315 &lt;&gt; "", "Mar-Dez/26", AJ315 &lt;&gt; "", "Abr-Dez/26",
TRUE, "A partir de Junho"
)</f>
        <v>A partir de Junho</v>
      </c>
      <c r="G315" s="4" t="s">
        <v>62</v>
      </c>
      <c r="H315" s="7" t="s">
        <v>38</v>
      </c>
      <c r="I315" s="21" t="s">
        <v>180</v>
      </c>
      <c r="J315" s="8" t="str" cm="1">
        <f t="array" aca="1" ref="J315" ca="1">_xlfn.LET(
  _xlpm.actual_value_month, INDEX(T315:AE315, MATCH(DATE(YEAR(TODAY()), MONTH(TODAY()), 1), $T$1:$AE$1, 0)),
  IF(_xlpm.actual_value_month &lt;&gt; "", _xlpm.actual_value_month &amp; " ações mensais", "")
)</f>
        <v/>
      </c>
      <c r="K315" s="34" t="str" cm="1">
        <f t="array" ref="K315">_xlfn.LET(
    _xlpm.sum_month, SUM(T315:AE315),
    IF(_xlpm.sum_month = 0, "", _xlpm.sum_month &amp; " colaboradores treinados.")
)</f>
        <v/>
      </c>
      <c r="L315" s="9" t="s">
        <v>196</v>
      </c>
      <c r="M315" s="13">
        <v>1</v>
      </c>
      <c r="N315" s="5" t="s">
        <v>51</v>
      </c>
      <c r="O315" s="5" t="s">
        <v>52</v>
      </c>
      <c r="P315" s="10" t="s">
        <v>146</v>
      </c>
      <c r="Q315" s="10" t="s">
        <v>44</v>
      </c>
      <c r="R315" s="11" t="s">
        <v>44</v>
      </c>
      <c r="S315" s="11" t="s">
        <v>44</v>
      </c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94" t="str" cm="1">
        <f t="array" ref="AS315">IFERROR(INDEX(T315:AE315,1,MATCH(2,1/(T315:AE315&lt;&gt;""))),"")</f>
        <v/>
      </c>
      <c r="AT315" s="95" t="str" cm="1">
        <f t="array" ref="AT315">IFERROR(INDEX(AJ315:AR315,1,MATCH(2,1/(AJ315:AR315&lt;&gt;""))),"")</f>
        <v/>
      </c>
      <c r="AU315" s="97" t="str">
        <f t="shared" si="635"/>
        <v/>
      </c>
      <c r="AW315" s="52">
        <f>AG315</f>
        <v>0</v>
      </c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68" cm="1">
        <f t="array" ref="BI315">IFERROR(INDEX(AW315:BH315,1,MATCH(2,1/(AW315:BH315&lt;&gt;""))),"")</f>
        <v>0</v>
      </c>
      <c r="BJ315" s="68" t="str" cm="1">
        <f t="array" ref="BJ315">IF(BM315 = "", "",IFERROR(INDEX(AW315:BH315,1,MATCH(2,1/(AW315:BH315&lt;&gt;""),1)-1),""))</f>
        <v/>
      </c>
      <c r="BK315" s="59">
        <f>SUM(AW315:BH315)</f>
        <v>0</v>
      </c>
      <c r="BL315" s="59" cm="1">
        <f t="array" ref="BL315">IFERROR(SUM(AW315:INDEX(AW315:BH315, MATCH(2, 1/(AW315:BH315&lt;&gt;""), 1) - 1))/_xlfn.XLOOKUP(F315,Apuração!A:A,Apuração!B:B),0)</f>
        <v>0</v>
      </c>
      <c r="BM315" s="55" t="str" cm="1">
        <f t="array" ref="BM315">IFERROR(
   INDEX($AW$1:$BH$1,
      _xlfn.AGGREGATE(14, 6, COLUMN($AW$1:$BH$1)/(AW315:BH315&lt;&gt;""), 2) - COLUMN($AW$1) + 1
   ),
"")</f>
        <v/>
      </c>
      <c r="BN315" s="55" cm="1">
        <f t="array" ref="BN315">IFERROR(INDEX($AW$1:$BH$1,1,MATCH(2,1/(AW315:BH315&lt;&gt;""))),"")</f>
        <v>46023</v>
      </c>
      <c r="BO315" s="53">
        <f ca="1">IFERROR(_xlfn.XLOOKUP(F315,Apuração!A:A,Apuração!C:C)/_xlfn.XLOOKUP(F315,Apuração!A:A,Apuração!B:B),0)</f>
        <v>0</v>
      </c>
      <c r="BP315" s="53">
        <f ca="1">IFERROR(_xlfn.XLOOKUP(F315,Apuração!A:A,Apuração!D:D)/_xlfn.XLOOKUP(F315,Apuração!A:A,Apuração!B:B),0)</f>
        <v>0</v>
      </c>
      <c r="BQ315" s="53">
        <f ca="1">IF(BK315&gt;=BO315,0,_xlfn.XLOOKUP(F315,Apuração!A:A,Apuração!B:B)*(BO315 + (1/_xlfn.XLOOKUP(F315,Apuração!A:A,Apuração!B:B)) - BK315))</f>
        <v>0</v>
      </c>
      <c r="BR315" s="85">
        <f t="shared" ca="1" si="644"/>
        <v>0</v>
      </c>
      <c r="BS315" s="53">
        <f ca="1">IFERROR((_xlfn.XLOOKUP(F315,Apuração!A:A,Apuração!C:C)+1)/_xlfn.XLOOKUP(F315,Apuração!A:A,Apuração!B:B),0)</f>
        <v>0.14285714285714285</v>
      </c>
    </row>
    <row r="316" spans="1:71" ht="25.95" hidden="1" customHeight="1" x14ac:dyDescent="0.3">
      <c r="A316" s="44" t="s">
        <v>175</v>
      </c>
      <c r="B316" s="4" t="s">
        <v>194</v>
      </c>
      <c r="C316" s="5" t="s">
        <v>95</v>
      </c>
      <c r="D316" s="5" t="s">
        <v>36</v>
      </c>
      <c r="E316" s="4" t="s">
        <v>96</v>
      </c>
      <c r="F316" s="4" t="str" cm="1">
        <f t="array" ref="F316">_xlfn.IFS(
AG316 &lt;&gt; "", "Jan-Dez/26",
AH316 &lt;&gt; "", "Fev-Dez/26",
AI316 &lt;&gt; "", "Mar-Dez/26", AJ316 &lt;&gt; "", "Abr-Dez/26",
TRUE, "A partir de Junho"
)</f>
        <v>A partir de Junho</v>
      </c>
      <c r="G316" s="4" t="s">
        <v>62</v>
      </c>
      <c r="H316" s="7" t="s">
        <v>38</v>
      </c>
      <c r="I316" s="21" t="s">
        <v>182</v>
      </c>
      <c r="J316" s="8" t="str" cm="1">
        <f t="array" aca="1" ref="J316" ca="1">_xlfn.LET(
  _xlpm.actual_value_month, INDEX(T316:AE316, MATCH(DATE(YEAR(TODAY()), MONTH(TODAY()), 1), $T$1:$AE$1, 0)),
  IF(_xlpm.actual_value_month &lt;&gt; "", _xlpm.actual_value_month &amp; " ações mensais", "")
)</f>
        <v/>
      </c>
      <c r="K316" s="8" t="str" cm="1">
        <f t="array" ref="K316">_xlfn.LET(
    _xlpm.sum_month, SUM(T316:AE316),
    IF(_xlpm.sum_month = 0, "", _xlpm.sum_month &amp; " taxa de aprovados")
)</f>
        <v/>
      </c>
      <c r="L316" s="4" t="s">
        <v>183</v>
      </c>
      <c r="M316" s="13">
        <v>1</v>
      </c>
      <c r="N316" s="5" t="s">
        <v>51</v>
      </c>
      <c r="O316" s="5" t="s">
        <v>43</v>
      </c>
      <c r="P316" s="10" t="s">
        <v>44</v>
      </c>
      <c r="Q316" s="10" t="s">
        <v>44</v>
      </c>
      <c r="R316" s="11" t="s">
        <v>44</v>
      </c>
      <c r="S316" s="11" t="s">
        <v>44</v>
      </c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94" t="str" cm="1">
        <f t="array" ref="AS316">IFERROR(INDEX(T316:AE316,1,MATCH(2,1/(T316:AE316&lt;&gt;""))),"")</f>
        <v/>
      </c>
      <c r="AT316" s="95" t="str" cm="1">
        <f t="array" ref="AT316">IFERROR(INDEX(AJ316:AR316,1,MATCH(2,1/(AJ316:AR316&lt;&gt;""))),"")</f>
        <v/>
      </c>
      <c r="AU316" s="97" t="str">
        <f t="shared" si="635"/>
        <v/>
      </c>
      <c r="AW316" s="51" t="str">
        <f>IFERROR(IF(AG316="","",AG316/T316),0)</f>
        <v/>
      </c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65" t="str" cm="1">
        <f t="array" ref="BI316">IFERROR(INDEX(AW316:BH316,1,MATCH(2,1/(AW316:BH316&lt;&gt;""))),"")</f>
        <v/>
      </c>
      <c r="BJ316" s="68" t="str" cm="1">
        <f t="array" ref="BJ316">IF(BM316 = "", "",IFERROR(INDEX(AW316:BH316,1,MATCH(2,1/(AW316:BH316&lt;&gt;""),1)-1),""))</f>
        <v/>
      </c>
      <c r="BK316" s="58" t="str" cm="1">
        <f t="array" ref="BK316">IFERROR(INDEX(AW316:BH316,1,MATCH(2,1/(AW316:BH316&lt;&gt;""))),"")</f>
        <v/>
      </c>
      <c r="BL316" s="58" t="str" cm="1">
        <f t="array" ref="BL316">IFERROR(INDEX(AW316:BH316,1,MATCH(2,1/(AW316:BH316&lt;&gt;""),1)-1),"")</f>
        <v/>
      </c>
      <c r="BM316" s="55" t="str" cm="1">
        <f t="array" ref="BM316">IFERROR(
   INDEX($AW$1:$BH$1,
      _xlfn.AGGREGATE(14, 6, COLUMN($AW$1:$BH$1)/(AW316:BH316&lt;&gt;""), 2) - COLUMN($AW$1) + 1
   ),
"")</f>
        <v/>
      </c>
      <c r="BN316" s="55" t="str" cm="1">
        <f t="array" ref="BN316">IFERROR(INDEX($AW$1:$BH$1,1,MATCH(2,1/(AW316:BH316&lt;&gt;""))),"")</f>
        <v/>
      </c>
      <c r="BO316" s="53">
        <f ca="1">IFERROR(_xlfn.XLOOKUP(F316,Apuração!A:A,Apuração!C:C)/_xlfn.XLOOKUP(F316,Apuração!A:A,Apuração!B:B),0)</f>
        <v>0</v>
      </c>
      <c r="BP316" s="53">
        <f ca="1">IFERROR(_xlfn.XLOOKUP(F316,Apuração!A:A,Apuração!D:D)/_xlfn.XLOOKUP(F316,Apuração!A:A,Apuração!B:B),0)</f>
        <v>0</v>
      </c>
      <c r="BQ316" s="53">
        <f ca="1">IF(BK316&gt;=BO316,0,_xlfn.XLOOKUP(F316,Apuração!A:A,Apuração!B:B)*(BO316 + (1/_xlfn.XLOOKUP(F316,Apuração!A:A,Apuração!B:B)) - BK316))</f>
        <v>0</v>
      </c>
      <c r="BR316" s="85">
        <f t="shared" ca="1" si="644"/>
        <v>0</v>
      </c>
      <c r="BS316" s="53">
        <f ca="1">IFERROR((_xlfn.XLOOKUP(F316,Apuração!A:A,Apuração!C:C)+1)/_xlfn.XLOOKUP(F316,Apuração!A:A,Apuração!B:B),0)</f>
        <v>0.14285714285714285</v>
      </c>
    </row>
    <row r="317" spans="1:71" ht="25.95" hidden="1" customHeight="1" x14ac:dyDescent="0.3">
      <c r="A317" s="33" t="s">
        <v>175</v>
      </c>
      <c r="B317" s="4" t="s">
        <v>197</v>
      </c>
      <c r="C317" s="5" t="s">
        <v>95</v>
      </c>
      <c r="D317" s="5" t="s">
        <v>36</v>
      </c>
      <c r="E317" s="4" t="s">
        <v>96</v>
      </c>
      <c r="F317" s="4" t="str" cm="1">
        <f t="array" ref="F317">_xlfn.IFS(
AG317 &lt;&gt; "", "Jan-Dez/26",
AH317 &lt;&gt; "", "Fev-Dez/26",
AI317 &lt;&gt; "", "Mar-Dez/26", AJ317 &lt;&gt; "", "Abr-Dez/26",
TRUE, "A partir de Junho"
)</f>
        <v>A partir de Junho</v>
      </c>
      <c r="G317" s="4" t="s">
        <v>62</v>
      </c>
      <c r="H317" s="7" t="s">
        <v>38</v>
      </c>
      <c r="I317" s="8" t="s">
        <v>177</v>
      </c>
      <c r="J317" s="8" t="str" cm="1">
        <f t="array" aca="1" ref="J317" ca="1">_xlfn.LET(
  _xlpm.actual_value_month, INDEX(T317:AE317, MATCH(DATE(YEAR(TODAY()), MONTH(TODAY()), 1), $T$1:$AE$1, 0)),
  IF(_xlpm.actual_value_month &lt;&gt; "", _xlpm.actual_value_month &amp; " ações mensais", "")
)</f>
        <v/>
      </c>
      <c r="K317" s="8" t="str" cm="1">
        <f t="array" ref="K317">_xlfn.LET(
    _xlpm.sum_month, SUM(T317:AE317),
    IF(_xlpm.sum_month = 0, "", _xlpm.sum_month &amp; " certificados gerados.")
)</f>
        <v/>
      </c>
      <c r="L317" s="9" t="s">
        <v>198</v>
      </c>
      <c r="M317" s="13">
        <v>1</v>
      </c>
      <c r="N317" s="5" t="s">
        <v>42</v>
      </c>
      <c r="O317" s="5" t="s">
        <v>43</v>
      </c>
      <c r="P317" s="10" t="s">
        <v>146</v>
      </c>
      <c r="Q317" s="10" t="s">
        <v>44</v>
      </c>
      <c r="R317" s="11" t="s">
        <v>179</v>
      </c>
      <c r="S317" s="11" t="s">
        <v>67</v>
      </c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94" t="str" cm="1">
        <f t="array" ref="AS317">IFERROR(INDEX(T317:AE317,1,MATCH(2,1/(T317:AE317&lt;&gt;""))),"")</f>
        <v/>
      </c>
      <c r="AT317" s="95" t="str" cm="1">
        <f t="array" ref="AT317">IFERROR(INDEX(AJ317:AR317,1,MATCH(2,1/(AJ317:AR317&lt;&gt;""))),"")</f>
        <v/>
      </c>
      <c r="AU317" s="97" t="str">
        <f t="shared" si="635"/>
        <v/>
      </c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65" t="str" cm="1">
        <f t="array" ref="BI317">IFERROR(INDEX(AW317:BH317,1,MATCH(2,1/(AW317:BH317&lt;&gt;""))),"")</f>
        <v/>
      </c>
      <c r="BJ317" s="68" t="str" cm="1">
        <f t="array" ref="BJ317">IF(BM317 = "", "",IFERROR(INDEX(AW317:BH317,1,MATCH(2,1/(AW317:BH317&lt;&gt;""),1)-1),""))</f>
        <v/>
      </c>
      <c r="BK317" s="58" t="str" cm="1">
        <f t="array" ref="BK317">IFERROR(INDEX(AW317:BH317,1,MATCH(2,1/(AW317:BH317&lt;&gt;""))),"")</f>
        <v/>
      </c>
      <c r="BL317" s="58" t="str" cm="1">
        <f t="array" ref="BL317">IFERROR(INDEX(AW317:BH317,1,MATCH(2,1/(AW317:BH317&lt;&gt;""),1)-1),"")</f>
        <v/>
      </c>
      <c r="BM317" s="55" t="str" cm="1">
        <f t="array" ref="BM317">IFERROR(
   INDEX($AW$1:$BH$1,
      _xlfn.AGGREGATE(14, 6, COLUMN($AW$1:$BH$1)/(AW317:BH317&lt;&gt;""), 2) - COLUMN($AW$1) + 1
   ),
"")</f>
        <v/>
      </c>
      <c r="BN317" s="55" t="str" cm="1">
        <f t="array" ref="BN317">IFERROR(INDEX($AW$1:$BH$1,1,MATCH(2,1/(AW317:BH317&lt;&gt;""))),"")</f>
        <v/>
      </c>
      <c r="BO317" s="53">
        <f ca="1">IFERROR(_xlfn.XLOOKUP(F317,Apuração!A:A,Apuração!C:C)/_xlfn.XLOOKUP(F317,Apuração!A:A,Apuração!B:B),0)</f>
        <v>0</v>
      </c>
      <c r="BP317" s="53">
        <f ca="1">IFERROR(_xlfn.XLOOKUP(F317,Apuração!A:A,Apuração!D:D)/_xlfn.XLOOKUP(F317,Apuração!A:A,Apuração!B:B),0)</f>
        <v>0</v>
      </c>
      <c r="BQ317" s="53">
        <f ca="1">IF(BK317&gt;=BO317,0,_xlfn.XLOOKUP(F317,Apuração!A:A,Apuração!B:B)*(BO317 + (1/_xlfn.XLOOKUP(F317,Apuração!A:A,Apuração!B:B)) - BK317))</f>
        <v>0</v>
      </c>
      <c r="BR317" s="85">
        <f t="shared" ca="1" si="644"/>
        <v>0</v>
      </c>
      <c r="BS317" s="53">
        <f ca="1">IFERROR((_xlfn.XLOOKUP(F317,Apuração!A:A,Apuração!C:C)+1)/_xlfn.XLOOKUP(F317,Apuração!A:A,Apuração!B:B),0)</f>
        <v>0.14285714285714285</v>
      </c>
    </row>
    <row r="318" spans="1:71" ht="25.95" hidden="1" customHeight="1" x14ac:dyDescent="0.3">
      <c r="A318" s="44" t="s">
        <v>175</v>
      </c>
      <c r="B318" s="4" t="s">
        <v>197</v>
      </c>
      <c r="C318" s="5" t="s">
        <v>95</v>
      </c>
      <c r="D318" s="5" t="s">
        <v>36</v>
      </c>
      <c r="E318" s="4" t="s">
        <v>96</v>
      </c>
      <c r="F318" s="4" t="str" cm="1">
        <f t="array" ref="F318">_xlfn.IFS(
AG318 &lt;&gt; "", "Jan-Dez/26",
AH318 &lt;&gt; "", "Fev-Dez/26",
AI318 &lt;&gt; "", "Mar-Dez/26", AJ318 &lt;&gt; "", "Abr-Dez/26",
TRUE, "A partir de Junho"
)</f>
        <v>A partir de Junho</v>
      </c>
      <c r="G318" s="4" t="s">
        <v>62</v>
      </c>
      <c r="H318" s="7" t="s">
        <v>38</v>
      </c>
      <c r="I318" s="21" t="s">
        <v>180</v>
      </c>
      <c r="J318" s="8" t="str" cm="1">
        <f t="array" aca="1" ref="J318" ca="1">_xlfn.LET(
  _xlpm.actual_value_month, INDEX(T318:AE318, MATCH(DATE(YEAR(TODAY()), MONTH(TODAY()), 1), $T$1:$AE$1, 0)),
  IF(_xlpm.actual_value_month &lt;&gt; "", _xlpm.actual_value_month &amp; " ações mensais", "")
)</f>
        <v/>
      </c>
      <c r="K318" s="34" t="str" cm="1">
        <f t="array" ref="K318">_xlfn.LET(
    _xlpm.sum_month, SUM(T318:AE318),
    IF(_xlpm.sum_month = 0, "", _xlpm.sum_month &amp; " colaboradores treinados.")
)</f>
        <v/>
      </c>
      <c r="L318" s="9" t="s">
        <v>199</v>
      </c>
      <c r="M318" s="13">
        <v>1</v>
      </c>
      <c r="N318" s="5" t="s">
        <v>51</v>
      </c>
      <c r="O318" s="5" t="s">
        <v>52</v>
      </c>
      <c r="P318" s="10" t="s">
        <v>146</v>
      </c>
      <c r="Q318" s="10" t="s">
        <v>44</v>
      </c>
      <c r="R318" s="11" t="s">
        <v>44</v>
      </c>
      <c r="S318" s="11" t="s">
        <v>44</v>
      </c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94" t="str" cm="1">
        <f t="array" ref="AS318">IFERROR(INDEX(T318:AE318,1,MATCH(2,1/(T318:AE318&lt;&gt;""))),"")</f>
        <v/>
      </c>
      <c r="AT318" s="95" t="str" cm="1">
        <f t="array" ref="AT318">IFERROR(INDEX(AJ318:AR318,1,MATCH(2,1/(AJ318:AR318&lt;&gt;""))),"")</f>
        <v/>
      </c>
      <c r="AU318" s="97" t="str">
        <f t="shared" si="635"/>
        <v/>
      </c>
      <c r="AW318" s="52">
        <f>AG318</f>
        <v>0</v>
      </c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68" cm="1">
        <f t="array" ref="BI318">IFERROR(INDEX(AW318:BH318,1,MATCH(2,1/(AW318:BH318&lt;&gt;""))),"")</f>
        <v>0</v>
      </c>
      <c r="BJ318" s="68" t="str" cm="1">
        <f t="array" ref="BJ318">IF(BM318 = "", "",IFERROR(INDEX(AW318:BH318,1,MATCH(2,1/(AW318:BH318&lt;&gt;""),1)-1),""))</f>
        <v/>
      </c>
      <c r="BK318" s="59">
        <f>SUM(AW318:BH318)</f>
        <v>0</v>
      </c>
      <c r="BL318" s="59" cm="1">
        <f t="array" ref="BL318">IFERROR(SUM(AW318:INDEX(AW318:BH318, MATCH(2, 1/(AW318:BH318&lt;&gt;""), 1) - 1))/_xlfn.XLOOKUP(F318,Apuração!A:A,Apuração!B:B),0)</f>
        <v>0</v>
      </c>
      <c r="BM318" s="55" t="str" cm="1">
        <f t="array" ref="BM318">IFERROR(
   INDEX($AW$1:$BH$1,
      _xlfn.AGGREGATE(14, 6, COLUMN($AW$1:$BH$1)/(AW318:BH318&lt;&gt;""), 2) - COLUMN($AW$1) + 1
   ),
"")</f>
        <v/>
      </c>
      <c r="BN318" s="55" cm="1">
        <f t="array" ref="BN318">IFERROR(INDEX($AW$1:$BH$1,1,MATCH(2,1/(AW318:BH318&lt;&gt;""))),"")</f>
        <v>46023</v>
      </c>
      <c r="BO318" s="53">
        <f ca="1">IFERROR(_xlfn.XLOOKUP(F318,Apuração!A:A,Apuração!C:C)/_xlfn.XLOOKUP(F318,Apuração!A:A,Apuração!B:B),0)</f>
        <v>0</v>
      </c>
      <c r="BP318" s="53">
        <f ca="1">IFERROR(_xlfn.XLOOKUP(F318,Apuração!A:A,Apuração!D:D)/_xlfn.XLOOKUP(F318,Apuração!A:A,Apuração!B:B),0)</f>
        <v>0</v>
      </c>
      <c r="BQ318" s="53">
        <f ca="1">IF(BK318&gt;=BO318,0,_xlfn.XLOOKUP(F318,Apuração!A:A,Apuração!B:B)*(BO318 + (1/_xlfn.XLOOKUP(F318,Apuração!A:A,Apuração!B:B)) - BK318))</f>
        <v>0</v>
      </c>
      <c r="BR318" s="85">
        <f t="shared" ca="1" si="644"/>
        <v>0</v>
      </c>
      <c r="BS318" s="53">
        <f ca="1">IFERROR((_xlfn.XLOOKUP(F318,Apuração!A:A,Apuração!C:C)+1)/_xlfn.XLOOKUP(F318,Apuração!A:A,Apuração!B:B),0)</f>
        <v>0.14285714285714285</v>
      </c>
    </row>
    <row r="319" spans="1:71" ht="25.95" hidden="1" customHeight="1" x14ac:dyDescent="0.3">
      <c r="A319" s="44" t="s">
        <v>175</v>
      </c>
      <c r="B319" s="4" t="s">
        <v>197</v>
      </c>
      <c r="C319" s="5" t="s">
        <v>95</v>
      </c>
      <c r="D319" s="5" t="s">
        <v>36</v>
      </c>
      <c r="E319" s="4" t="s">
        <v>96</v>
      </c>
      <c r="F319" s="4" t="str" cm="1">
        <f t="array" ref="F319">_xlfn.IFS(
AG319 &lt;&gt; "", "Jan-Dez/26",
AH319 &lt;&gt; "", "Fev-Dez/26",
AI319 &lt;&gt; "", "Mar-Dez/26", AJ319 &lt;&gt; "", "Abr-Dez/26",
TRUE, "A partir de Junho"
)</f>
        <v>A partir de Junho</v>
      </c>
      <c r="G319" s="4" t="s">
        <v>62</v>
      </c>
      <c r="H319" s="7" t="s">
        <v>38</v>
      </c>
      <c r="I319" s="21" t="s">
        <v>182</v>
      </c>
      <c r="J319" s="8" t="str" cm="1">
        <f t="array" aca="1" ref="J319" ca="1">_xlfn.LET(
  _xlpm.actual_value_month, INDEX(T319:AE319, MATCH(DATE(YEAR(TODAY()), MONTH(TODAY()), 1), $T$1:$AE$1, 0)),
  IF(_xlpm.actual_value_month &lt;&gt; "", _xlpm.actual_value_month &amp; " ações mensais", "")
)</f>
        <v/>
      </c>
      <c r="K319" s="8" t="str" cm="1">
        <f t="array" ref="K319">_xlfn.LET(
    _xlpm.sum_month, SUM(T319:AE319),
    IF(_xlpm.sum_month = 0, "", _xlpm.sum_month &amp; " taxa de aprovados")
)</f>
        <v/>
      </c>
      <c r="L319" s="4" t="s">
        <v>183</v>
      </c>
      <c r="M319" s="13">
        <v>1</v>
      </c>
      <c r="N319" s="5" t="s">
        <v>51</v>
      </c>
      <c r="O319" s="5" t="s">
        <v>43</v>
      </c>
      <c r="P319" s="10" t="s">
        <v>44</v>
      </c>
      <c r="Q319" s="10" t="s">
        <v>44</v>
      </c>
      <c r="R319" s="11" t="s">
        <v>44</v>
      </c>
      <c r="S319" s="11" t="s">
        <v>44</v>
      </c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94" t="str" cm="1">
        <f t="array" ref="AS319">IFERROR(INDEX(T319:AE319,1,MATCH(2,1/(T319:AE319&lt;&gt;""))),"")</f>
        <v/>
      </c>
      <c r="AT319" s="95" t="str" cm="1">
        <f t="array" ref="AT319">IFERROR(INDEX(AJ319:AR319,1,MATCH(2,1/(AJ319:AR319&lt;&gt;""))),"")</f>
        <v/>
      </c>
      <c r="AU319" s="97" t="str">
        <f t="shared" si="635"/>
        <v/>
      </c>
      <c r="AW319" s="51" t="str">
        <f>IFERROR(IF(AG319="","",AG319/T319),0)</f>
        <v/>
      </c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65" t="str" cm="1">
        <f t="array" ref="BI319">IFERROR(INDEX(AW319:BH319,1,MATCH(2,1/(AW319:BH319&lt;&gt;""))),"")</f>
        <v/>
      </c>
      <c r="BJ319" s="68" t="str" cm="1">
        <f t="array" ref="BJ319">IF(BM319 = "", "",IFERROR(INDEX(AW319:BH319,1,MATCH(2,1/(AW319:BH319&lt;&gt;""),1)-1),""))</f>
        <v/>
      </c>
      <c r="BK319" s="58" t="str" cm="1">
        <f t="array" ref="BK319">IFERROR(INDEX(AW319:BH319,1,MATCH(2,1/(AW319:BH319&lt;&gt;""))),"")</f>
        <v/>
      </c>
      <c r="BL319" s="58" t="str" cm="1">
        <f t="array" ref="BL319">IFERROR(INDEX(AW319:BH319,1,MATCH(2,1/(AW319:BH319&lt;&gt;""),1)-1),"")</f>
        <v/>
      </c>
      <c r="BM319" s="55" t="str" cm="1">
        <f t="array" ref="BM319">IFERROR(
   INDEX($AW$1:$BH$1,
      _xlfn.AGGREGATE(14, 6, COLUMN($AW$1:$BH$1)/(AW319:BH319&lt;&gt;""), 2) - COLUMN($AW$1) + 1
   ),
"")</f>
        <v/>
      </c>
      <c r="BN319" s="55" t="str" cm="1">
        <f t="array" ref="BN319">IFERROR(INDEX($AW$1:$BH$1,1,MATCH(2,1/(AW319:BH319&lt;&gt;""))),"")</f>
        <v/>
      </c>
      <c r="BO319" s="53">
        <f ca="1">IFERROR(_xlfn.XLOOKUP(F319,Apuração!A:A,Apuração!C:C)/_xlfn.XLOOKUP(F319,Apuração!A:A,Apuração!B:B),0)</f>
        <v>0</v>
      </c>
      <c r="BP319" s="53">
        <f ca="1">IFERROR(_xlfn.XLOOKUP(F319,Apuração!A:A,Apuração!D:D)/_xlfn.XLOOKUP(F319,Apuração!A:A,Apuração!B:B),0)</f>
        <v>0</v>
      </c>
      <c r="BQ319" s="53">
        <f ca="1">IF(BK319&gt;=BO319,0,_xlfn.XLOOKUP(F319,Apuração!A:A,Apuração!B:B)*(BO319 + (1/_xlfn.XLOOKUP(F319,Apuração!A:A,Apuração!B:B)) - BK319))</f>
        <v>0</v>
      </c>
      <c r="BR319" s="85">
        <f t="shared" ca="1" si="644"/>
        <v>0</v>
      </c>
      <c r="BS319" s="53">
        <f ca="1">IFERROR((_xlfn.XLOOKUP(F319,Apuração!A:A,Apuração!C:C)+1)/_xlfn.XLOOKUP(F319,Apuração!A:A,Apuração!B:B),0)</f>
        <v>0.14285714285714285</v>
      </c>
    </row>
    <row r="320" spans="1:71" ht="25.95" hidden="1" customHeight="1" x14ac:dyDescent="0.3">
      <c r="A320" s="35" t="s">
        <v>44</v>
      </c>
      <c r="B320" s="10" t="s">
        <v>44</v>
      </c>
      <c r="C320" s="5" t="s">
        <v>95</v>
      </c>
      <c r="D320" s="5" t="s">
        <v>36</v>
      </c>
      <c r="E320" s="4" t="str" cm="1">
        <f t="array" ref="E320">_xlfn.IFS(
F320 = "A partir de Abril", "Aguardando Execução na Distribuidora",
A320 = "CAPACITAÇÃO", "Em execução no Corporativo",
TRUE, "Em Execução na Distribuidora"
)</f>
        <v>Em Execução na Distribuidora</v>
      </c>
      <c r="F320" s="4" t="str" cm="1">
        <f t="array" ref="F320">_xlfn.IFS(
AG320 &lt;&gt; "", "Jan-Dez/26",
AH320 &lt;&gt; "", "Fev-Dez/26",
AI320 &lt;&gt; "", "Mar-Dez/26", AJ320 &lt;&gt; "", "Abr-Dez/26",
TRUE, "A partir de Junho"
)</f>
        <v>Jan-Dez/26</v>
      </c>
      <c r="G320" s="10" t="s">
        <v>44</v>
      </c>
      <c r="H320" s="36" t="s">
        <v>44</v>
      </c>
      <c r="I320" s="37"/>
      <c r="J320" s="37"/>
      <c r="K320" s="37"/>
      <c r="L320" s="37" t="s">
        <v>200</v>
      </c>
      <c r="M320" s="37"/>
      <c r="N320" s="5" t="s">
        <v>42</v>
      </c>
      <c r="O320" s="5" t="s">
        <v>52</v>
      </c>
      <c r="P320" s="10" t="s">
        <v>44</v>
      </c>
      <c r="Q320" s="10" t="s">
        <v>44</v>
      </c>
      <c r="R320" s="11" t="s">
        <v>44</v>
      </c>
      <c r="S320" s="11" t="s">
        <v>44</v>
      </c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G320" s="112">
        <v>0</v>
      </c>
      <c r="AH320" s="112">
        <v>0</v>
      </c>
      <c r="AI320" s="112">
        <v>0</v>
      </c>
      <c r="AJ320" s="112">
        <v>0</v>
      </c>
      <c r="AK320" s="112"/>
      <c r="AL320" s="112"/>
      <c r="AM320" s="112"/>
      <c r="AN320" s="112"/>
      <c r="AO320" s="112"/>
      <c r="AP320" s="112"/>
      <c r="AQ320" s="112"/>
      <c r="AR320" s="112"/>
      <c r="AS320" s="94"/>
      <c r="AT320" s="95"/>
      <c r="AU320" s="97"/>
      <c r="AW320" s="84">
        <f t="shared" ref="AW320:AW324" si="645">AG320</f>
        <v>0</v>
      </c>
      <c r="AX320" s="84">
        <f t="shared" ref="AX320:AX325" si="646">AH320</f>
        <v>0</v>
      </c>
      <c r="AY320" s="84">
        <f t="shared" ref="AY320:AZ325" si="647">AI320</f>
        <v>0</v>
      </c>
      <c r="AZ320" s="84">
        <f t="shared" si="647"/>
        <v>0</v>
      </c>
      <c r="BA320" s="84"/>
      <c r="BB320" s="84"/>
      <c r="BC320" s="84"/>
      <c r="BD320" s="84"/>
      <c r="BE320" s="84"/>
      <c r="BF320" s="84"/>
      <c r="BG320" s="84"/>
      <c r="BH320" s="84"/>
      <c r="BI320" s="68" cm="1">
        <f t="array" ref="BI320">IFERROR(INDEX(AW320:BH320,1,MATCH(2,1/(AW320:BH320&lt;&gt;""))),"")</f>
        <v>0</v>
      </c>
      <c r="BJ320" s="68" cm="1">
        <f t="array" ref="BJ320">IF(BM320 = "", "",IFERROR(INDEX(AW320:BH320,1,MATCH(2,1/(AW320:BH320&lt;&gt;""),1)-1),""))</f>
        <v>0</v>
      </c>
      <c r="BK320" s="57" cm="1">
        <f t="array" ref="BK320">IFERROR(INDEX(AW320:BH320,1,MATCH(2,1/(AW320:BH320&lt;&gt;""),1)),"")</f>
        <v>0</v>
      </c>
      <c r="BL320" s="57" cm="1">
        <f t="array" ref="BL320">IF(BM320 = "", "",IFERROR(INDEX(AW320:BH320,1,MATCH(2,1/(AW320:BH320&lt;&gt;""),1)-1),""))</f>
        <v>0</v>
      </c>
      <c r="BM320" s="55" cm="1">
        <f t="array" ref="BM320">IFERROR(
   INDEX($AW$1:$BH$1,
      _xlfn.AGGREGATE(14, 6, COLUMN($AW$1:$BH$1)/(AW320:BH320&lt;&gt;""), 2) - COLUMN($AW$1) + 1
   ),
"")</f>
        <v>46082</v>
      </c>
      <c r="BN320" s="55" cm="1">
        <f t="array" ref="BN320">IFERROR(INDEX($AW$1:$BH$1,1,MATCH(2,1/(AW320:BH320&lt;&gt;""))),"")</f>
        <v>46113</v>
      </c>
      <c r="BO320" s="53">
        <f ca="1">IFERROR(_xlfn.XLOOKUP(F320,Apuração!A:A,Apuração!C:C)/_xlfn.XLOOKUP(F320,Apuração!A:A,Apuração!B:B),0)</f>
        <v>0.41666666666666669</v>
      </c>
      <c r="BP320" s="53">
        <f ca="1">IFERROR(_xlfn.XLOOKUP(F320,Apuração!A:A,Apuração!D:D)/_xlfn.XLOOKUP(F320,Apuração!A:A,Apuração!B:B),0)</f>
        <v>0.33333333333333331</v>
      </c>
      <c r="BQ320" s="53">
        <f ca="1">IF(BK320&gt;=BO320,0,_xlfn.XLOOKUP(F320,Apuração!A:A,Apuração!B:B)*(BO320 + (1/_xlfn.XLOOKUP(F320,Apuração!A:A,Apuração!B:B)) - BK320))</f>
        <v>6</v>
      </c>
      <c r="BR320" s="85">
        <f t="shared" ca="1" si="644"/>
        <v>0</v>
      </c>
      <c r="BS320" s="53">
        <f ca="1">IFERROR((_xlfn.XLOOKUP(F320,Apuração!A:A,Apuração!C:C)+1)/_xlfn.XLOOKUP(F320,Apuração!A:A,Apuração!B:B),0)</f>
        <v>0.5</v>
      </c>
    </row>
    <row r="321" spans="1:71" ht="25.95" hidden="1" customHeight="1" x14ac:dyDescent="0.3">
      <c r="A321" s="35" t="s">
        <v>44</v>
      </c>
      <c r="B321" s="10" t="s">
        <v>44</v>
      </c>
      <c r="C321" s="5" t="s">
        <v>95</v>
      </c>
      <c r="D321" s="5" t="s">
        <v>36</v>
      </c>
      <c r="E321" s="4" t="str" cm="1">
        <f t="array" ref="E321">_xlfn.IFS(
F321 = "A partir de Abril", "Aguardando Execução na Distribuidora",
A321 = "CAPACITAÇÃO", "Em execução no Corporativo",
TRUE, "Em Execução na Distribuidora"
)</f>
        <v>Em Execução na Distribuidora</v>
      </c>
      <c r="F321" s="4" t="str" cm="1">
        <f t="array" ref="F321">_xlfn.IFS(
AG321 &lt;&gt; "", "Jan-Dez/26",
AH321 &lt;&gt; "", "Fev-Dez/26",
AI321 &lt;&gt; "", "Mar-Dez/26", AJ321 &lt;&gt; "", "Abr-Dez/26",
TRUE, "A partir de Junho"
)</f>
        <v>Jan-Dez/26</v>
      </c>
      <c r="G321" s="10" t="s">
        <v>44</v>
      </c>
      <c r="H321" s="36" t="s">
        <v>44</v>
      </c>
      <c r="I321" s="37"/>
      <c r="J321" s="37"/>
      <c r="K321" s="37"/>
      <c r="L321" s="37" t="s">
        <v>201</v>
      </c>
      <c r="M321" s="37"/>
      <c r="N321" s="5" t="s">
        <v>42</v>
      </c>
      <c r="O321" s="5" t="s">
        <v>52</v>
      </c>
      <c r="P321" s="10" t="s">
        <v>44</v>
      </c>
      <c r="Q321" s="10" t="s">
        <v>44</v>
      </c>
      <c r="R321" s="11" t="s">
        <v>44</v>
      </c>
      <c r="S321" s="11" t="s">
        <v>44</v>
      </c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G321" s="112">
        <v>0</v>
      </c>
      <c r="AH321" s="112">
        <v>0</v>
      </c>
      <c r="AI321" s="112">
        <v>0</v>
      </c>
      <c r="AJ321" s="112">
        <v>0</v>
      </c>
      <c r="AK321" s="112"/>
      <c r="AL321" s="112"/>
      <c r="AM321" s="112"/>
      <c r="AN321" s="112"/>
      <c r="AO321" s="112"/>
      <c r="AP321" s="112"/>
      <c r="AQ321" s="112"/>
      <c r="AR321" s="112"/>
      <c r="AS321" s="94"/>
      <c r="AT321" s="95"/>
      <c r="AU321" s="97"/>
      <c r="AW321" s="84">
        <f t="shared" si="645"/>
        <v>0</v>
      </c>
      <c r="AX321" s="84">
        <f t="shared" si="646"/>
        <v>0</v>
      </c>
      <c r="AY321" s="84">
        <f t="shared" si="647"/>
        <v>0</v>
      </c>
      <c r="AZ321" s="84">
        <f t="shared" si="647"/>
        <v>0</v>
      </c>
      <c r="BA321" s="84"/>
      <c r="BB321" s="84"/>
      <c r="BC321" s="84"/>
      <c r="BD321" s="84"/>
      <c r="BE321" s="84"/>
      <c r="BF321" s="84"/>
      <c r="BG321" s="84"/>
      <c r="BH321" s="84"/>
      <c r="BI321" s="68" cm="1">
        <f t="array" ref="BI321">IFERROR(INDEX(AW321:BH321,1,MATCH(2,1/(AW321:BH321&lt;&gt;""))),"")</f>
        <v>0</v>
      </c>
      <c r="BJ321" s="68" cm="1">
        <f t="array" ref="BJ321">IF(BM321 = "", "",IFERROR(INDEX(AW321:BH321,1,MATCH(2,1/(AW321:BH321&lt;&gt;""),1)-1),""))</f>
        <v>0</v>
      </c>
      <c r="BK321" s="57" cm="1">
        <f t="array" ref="BK321">IFERROR(INDEX(AW321:BH321,1,MATCH(2,1/(AW321:BH321&lt;&gt;""),1)),"")</f>
        <v>0</v>
      </c>
      <c r="BL321" s="57" cm="1">
        <f t="array" ref="BL321">IF(BM321 = "", "",IFERROR(INDEX(AW321:BH321,1,MATCH(2,1/(AW321:BH321&lt;&gt;""),1)-1),""))</f>
        <v>0</v>
      </c>
      <c r="BM321" s="55" cm="1">
        <f t="array" ref="BM321">IFERROR(
   INDEX($AW$1:$BH$1,
      _xlfn.AGGREGATE(14, 6, COLUMN($AW$1:$BH$1)/(AW321:BH321&lt;&gt;""), 2) - COLUMN($AW$1) + 1
   ),
"")</f>
        <v>46082</v>
      </c>
      <c r="BN321" s="55" cm="1">
        <f t="array" ref="BN321">IFERROR(INDEX($AW$1:$BH$1,1,MATCH(2,1/(AW321:BH321&lt;&gt;""))),"")</f>
        <v>46113</v>
      </c>
      <c r="BO321" s="53">
        <f ca="1">IFERROR(_xlfn.XLOOKUP(F321,Apuração!A:A,Apuração!C:C)/_xlfn.XLOOKUP(F321,Apuração!A:A,Apuração!B:B),0)</f>
        <v>0.41666666666666669</v>
      </c>
      <c r="BP321" s="53">
        <f ca="1">IFERROR(_xlfn.XLOOKUP(F321,Apuração!A:A,Apuração!D:D)/_xlfn.XLOOKUP(F321,Apuração!A:A,Apuração!B:B),0)</f>
        <v>0.33333333333333331</v>
      </c>
      <c r="BQ321" s="53">
        <f ca="1">IF(BK321&gt;=BO321,0,_xlfn.XLOOKUP(F321,Apuração!A:A,Apuração!B:B)*(BO321 + (1/_xlfn.XLOOKUP(F321,Apuração!A:A,Apuração!B:B)) - BK321))</f>
        <v>6</v>
      </c>
      <c r="BR321" s="85">
        <f t="shared" ca="1" si="644"/>
        <v>0</v>
      </c>
      <c r="BS321" s="53">
        <f ca="1">IFERROR((_xlfn.XLOOKUP(F321,Apuração!A:A,Apuração!C:C)+1)/_xlfn.XLOOKUP(F321,Apuração!A:A,Apuração!B:B),0)</f>
        <v>0.5</v>
      </c>
    </row>
    <row r="322" spans="1:71" ht="25.95" hidden="1" customHeight="1" x14ac:dyDescent="0.3">
      <c r="A322" s="35" t="s">
        <v>44</v>
      </c>
      <c r="B322" s="10" t="s">
        <v>44</v>
      </c>
      <c r="C322" s="5" t="s">
        <v>95</v>
      </c>
      <c r="D322" s="5" t="s">
        <v>36</v>
      </c>
      <c r="E322" s="4" t="str" cm="1">
        <f t="array" ref="E322">_xlfn.IFS(
F322 = "A partir de Abril", "Aguardando Execução na Distribuidora",
A322 = "CAPACITAÇÃO", "Em execução no Corporativo",
TRUE, "Em Execução na Distribuidora"
)</f>
        <v>Em Execução na Distribuidora</v>
      </c>
      <c r="F322" s="4" t="str" cm="1">
        <f t="array" ref="F322">_xlfn.IFS(
AG322 &lt;&gt; "", "Jan-Dez/26",
AH322 &lt;&gt; "", "Fev-Dez/26",
AI322 &lt;&gt; "", "Mar-Dez/26", AJ322 &lt;&gt; "", "Abr-Dez/26",
TRUE, "A partir de Junho"
)</f>
        <v>Jan-Dez/26</v>
      </c>
      <c r="G322" s="10" t="s">
        <v>44</v>
      </c>
      <c r="H322" s="36" t="s">
        <v>44</v>
      </c>
      <c r="I322" s="37"/>
      <c r="J322" s="37"/>
      <c r="K322" s="37"/>
      <c r="L322" s="37" t="s">
        <v>203</v>
      </c>
      <c r="M322" s="37"/>
      <c r="N322" s="5" t="s">
        <v>42</v>
      </c>
      <c r="O322" s="5" t="s">
        <v>52</v>
      </c>
      <c r="P322" s="10" t="s">
        <v>44</v>
      </c>
      <c r="Q322" s="10" t="s">
        <v>44</v>
      </c>
      <c r="R322" s="11" t="s">
        <v>44</v>
      </c>
      <c r="S322" s="11" t="s">
        <v>44</v>
      </c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G322" s="112">
        <v>0</v>
      </c>
      <c r="AH322" s="112">
        <v>4.7329470144215264</v>
      </c>
      <c r="AI322" s="112">
        <v>1.5406563575084449</v>
      </c>
      <c r="AJ322" s="112">
        <v>2.3199999999999998</v>
      </c>
      <c r="AK322" s="112"/>
      <c r="AL322" s="112"/>
      <c r="AM322" s="112"/>
      <c r="AN322" s="112"/>
      <c r="AO322" s="112"/>
      <c r="AP322" s="112"/>
      <c r="AQ322" s="112"/>
      <c r="AR322" s="112"/>
      <c r="AS322" s="94"/>
      <c r="AT322" s="95"/>
      <c r="AU322" s="97"/>
      <c r="AW322" s="84">
        <f t="shared" si="645"/>
        <v>0</v>
      </c>
      <c r="AX322" s="84">
        <f t="shared" si="646"/>
        <v>4.7329470144215264</v>
      </c>
      <c r="AY322" s="84">
        <f t="shared" si="647"/>
        <v>1.5406563575084449</v>
      </c>
      <c r="AZ322" s="84">
        <f t="shared" si="647"/>
        <v>2.3199999999999998</v>
      </c>
      <c r="BA322" s="84"/>
      <c r="BB322" s="84"/>
      <c r="BC322" s="84"/>
      <c r="BD322" s="84"/>
      <c r="BE322" s="84"/>
      <c r="BF322" s="84"/>
      <c r="BG322" s="84"/>
      <c r="BH322" s="84"/>
      <c r="BI322" s="68" cm="1">
        <f t="array" ref="BI322">IFERROR(INDEX(AW322:BH322,1,MATCH(2,1/(AW322:BH322&lt;&gt;""))),"")</f>
        <v>2.3199999999999998</v>
      </c>
      <c r="BJ322" s="68" cm="1">
        <f t="array" ref="BJ322">IF(BM322 = "", "",IFERROR(INDEX(AW322:BH322,1,MATCH(2,1/(AW322:BH322&lt;&gt;""),1)-1),""))</f>
        <v>1.5406563575084449</v>
      </c>
      <c r="BK322" s="57" cm="1">
        <f t="array" ref="BK322">IFERROR(INDEX(AW322:BH322,1,MATCH(2,1/(AW322:BH322&lt;&gt;""),1)),"")</f>
        <v>2.3199999999999998</v>
      </c>
      <c r="BL322" s="57" cm="1">
        <f t="array" ref="BL322">IF(BM322 = "", "",IFERROR(INDEX(AW322:BH322,1,MATCH(2,1/(AW322:BH322&lt;&gt;""),1)-1),""))</f>
        <v>1.5406563575084449</v>
      </c>
      <c r="BM322" s="55" cm="1">
        <f t="array" ref="BM322">IFERROR(
   INDEX($AW$1:$BH$1,
      _xlfn.AGGREGATE(14, 6, COLUMN($AW$1:$BH$1)/(AW322:BH322&lt;&gt;""), 2) - COLUMN($AW$1) + 1
   ),
"")</f>
        <v>46082</v>
      </c>
      <c r="BN322" s="55" cm="1">
        <f t="array" ref="BN322">IFERROR(INDEX($AW$1:$BH$1,1,MATCH(2,1/(AW322:BH322&lt;&gt;""))),"")</f>
        <v>46113</v>
      </c>
      <c r="BO322" s="53">
        <f ca="1">IFERROR(_xlfn.XLOOKUP(F322,Apuração!A:A,Apuração!C:C)/_xlfn.XLOOKUP(F322,Apuração!A:A,Apuração!B:B),0)</f>
        <v>0.41666666666666669</v>
      </c>
      <c r="BP322" s="53">
        <f ca="1">IFERROR(_xlfn.XLOOKUP(F322,Apuração!A:A,Apuração!D:D)/_xlfn.XLOOKUP(F322,Apuração!A:A,Apuração!B:B),0)</f>
        <v>0.33333333333333331</v>
      </c>
      <c r="BQ322" s="53">
        <f ca="1">IF(BK322&gt;=BO322,0,_xlfn.XLOOKUP(F322,Apuração!A:A,Apuração!B:B)*(BO322 + (1/_xlfn.XLOOKUP(F322,Apuração!A:A,Apuração!B:B)) - BK322))</f>
        <v>0</v>
      </c>
      <c r="BR322" s="85">
        <f t="shared" ca="1" si="644"/>
        <v>0</v>
      </c>
      <c r="BS322" s="53">
        <f ca="1">IFERROR((_xlfn.XLOOKUP(F322,Apuração!A:A,Apuração!C:C)+1)/_xlfn.XLOOKUP(F322,Apuração!A:A,Apuração!B:B),0)</f>
        <v>0.5</v>
      </c>
    </row>
    <row r="323" spans="1:71" ht="25.95" hidden="1" customHeight="1" x14ac:dyDescent="0.3">
      <c r="A323" s="35" t="s">
        <v>44</v>
      </c>
      <c r="B323" s="10" t="s">
        <v>44</v>
      </c>
      <c r="C323" s="5" t="s">
        <v>95</v>
      </c>
      <c r="D323" s="5" t="s">
        <v>36</v>
      </c>
      <c r="E323" s="4" t="str" cm="1">
        <f t="array" ref="E323">_xlfn.IFS(
F323 = "A partir de Abril", "Aguardando Execução na Distribuidora",
A323 = "CAPACITAÇÃO", "Em execução no Corporativo",
TRUE, "Em Execução na Distribuidora"
)</f>
        <v>Em Execução na Distribuidora</v>
      </c>
      <c r="F323" s="4" t="str" cm="1">
        <f t="array" ref="F323">_xlfn.IFS(
AG323 &lt;&gt; "", "Jan-Dez/26",
AH323 &lt;&gt; "", "Fev-Dez/26",
AI323 &lt;&gt; "", "Mar-Dez/26", AJ323 &lt;&gt; "", "Abr-Dez/26",
TRUE, "A partir de Junho"
)</f>
        <v>Jan-Dez/26</v>
      </c>
      <c r="G323" s="10" t="s">
        <v>44</v>
      </c>
      <c r="H323" s="36" t="s">
        <v>44</v>
      </c>
      <c r="I323" s="37"/>
      <c r="J323" s="37"/>
      <c r="K323" s="37"/>
      <c r="L323" s="37" t="s">
        <v>204</v>
      </c>
      <c r="M323" s="37"/>
      <c r="N323" s="5" t="s">
        <v>42</v>
      </c>
      <c r="O323" s="5" t="s">
        <v>52</v>
      </c>
      <c r="P323" s="10" t="s">
        <v>44</v>
      </c>
      <c r="Q323" s="10" t="s">
        <v>44</v>
      </c>
      <c r="R323" s="11" t="s">
        <v>44</v>
      </c>
      <c r="S323" s="11" t="s">
        <v>44</v>
      </c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G323" s="112">
        <v>0</v>
      </c>
      <c r="AH323" s="112">
        <v>0</v>
      </c>
      <c r="AI323" s="112">
        <v>0</v>
      </c>
      <c r="AJ323" s="112">
        <v>0</v>
      </c>
      <c r="AK323" s="112"/>
      <c r="AL323" s="112"/>
      <c r="AM323" s="112"/>
      <c r="AN323" s="112"/>
      <c r="AO323" s="112"/>
      <c r="AP323" s="112"/>
      <c r="AQ323" s="112"/>
      <c r="AR323" s="112"/>
      <c r="AS323" s="94"/>
      <c r="AT323" s="95"/>
      <c r="AU323" s="97"/>
      <c r="AW323" s="84">
        <f t="shared" si="645"/>
        <v>0</v>
      </c>
      <c r="AX323" s="84">
        <f t="shared" si="646"/>
        <v>0</v>
      </c>
      <c r="AY323" s="84">
        <f>AI323</f>
        <v>0</v>
      </c>
      <c r="AZ323" s="84">
        <f>AJ323</f>
        <v>0</v>
      </c>
      <c r="BA323" s="84"/>
      <c r="BB323" s="84"/>
      <c r="BC323" s="84"/>
      <c r="BD323" s="84"/>
      <c r="BE323" s="84"/>
      <c r="BF323" s="84"/>
      <c r="BG323" s="84"/>
      <c r="BH323" s="84"/>
      <c r="BI323" s="68" cm="1">
        <f t="array" ref="BI323">IFERROR(INDEX(AW323:BH323,1,MATCH(2,1/(AW323:BH323&lt;&gt;""))),"")</f>
        <v>0</v>
      </c>
      <c r="BJ323" s="68" cm="1">
        <f t="array" ref="BJ323">IF(BM323 = "", "",IFERROR(INDEX(AW323:BH323,1,MATCH(2,1/(AW323:BH323&lt;&gt;""),1)-1),""))</f>
        <v>0</v>
      </c>
      <c r="BK323" s="57" cm="1">
        <f t="array" ref="BK323">IFERROR(INDEX(AW323:BH323,1,MATCH(2,1/(AW323:BH323&lt;&gt;""),1)),"")</f>
        <v>0</v>
      </c>
      <c r="BL323" s="57" cm="1">
        <f t="array" ref="BL323">IF(BM323 = "", "",IFERROR(INDEX(AW323:BH323,1,MATCH(2,1/(AW323:BH323&lt;&gt;""),1)-1),""))</f>
        <v>0</v>
      </c>
      <c r="BM323" s="55" cm="1">
        <f t="array" ref="BM323">IFERROR(
   INDEX($AW$1:$BH$1,
      _xlfn.AGGREGATE(14, 6, COLUMN($AW$1:$BH$1)/(AW323:BH323&lt;&gt;""), 2) - COLUMN($AW$1) + 1
   ),
"")</f>
        <v>46082</v>
      </c>
      <c r="BN323" s="55" cm="1">
        <f t="array" ref="BN323">IFERROR(INDEX($AW$1:$BH$1,1,MATCH(2,1/(AW323:BH323&lt;&gt;""))),"")</f>
        <v>46113</v>
      </c>
      <c r="BO323" s="53">
        <f ca="1">IFERROR(_xlfn.XLOOKUP(F323,Apuração!A:A,Apuração!C:C)/_xlfn.XLOOKUP(F323,Apuração!A:A,Apuração!B:B),0)</f>
        <v>0.41666666666666669</v>
      </c>
      <c r="BP323" s="53">
        <f ca="1">IFERROR(_xlfn.XLOOKUP(F323,Apuração!A:A,Apuração!D:D)/_xlfn.XLOOKUP(F323,Apuração!A:A,Apuração!B:B),0)</f>
        <v>0.33333333333333331</v>
      </c>
      <c r="BQ323" s="53">
        <f ca="1">IF(BK323&gt;=BO323,0,_xlfn.XLOOKUP(F323,Apuração!A:A,Apuração!B:B)*(BO323 + (1/_xlfn.XLOOKUP(F323,Apuração!A:A,Apuração!B:B)) - BK323))</f>
        <v>6</v>
      </c>
      <c r="BR323" s="85">
        <f t="shared" ca="1" si="644"/>
        <v>0</v>
      </c>
      <c r="BS323" s="53">
        <f ca="1">IFERROR((_xlfn.XLOOKUP(F323,Apuração!A:A,Apuração!C:C)+1)/_xlfn.XLOOKUP(F323,Apuração!A:A,Apuração!B:B),0)</f>
        <v>0.5</v>
      </c>
    </row>
    <row r="324" spans="1:71" ht="25.95" hidden="1" customHeight="1" x14ac:dyDescent="0.3">
      <c r="A324" s="35" t="s">
        <v>44</v>
      </c>
      <c r="B324" s="10" t="s">
        <v>44</v>
      </c>
      <c r="C324" s="5" t="s">
        <v>95</v>
      </c>
      <c r="D324" s="5" t="s">
        <v>36</v>
      </c>
      <c r="E324" s="4" t="str" cm="1">
        <f t="array" ref="E324">_xlfn.IFS(
F324 = "A partir de Abril", "Aguardando Execução na Distribuidora",
A324 = "CAPACITAÇÃO", "Em execução no Corporativo",
TRUE, "Em Execução na Distribuidora"
)</f>
        <v>Em Execução na Distribuidora</v>
      </c>
      <c r="F324" s="4" t="str" cm="1">
        <f t="array" ref="F324">_xlfn.IFS(
AG324 &lt;&gt; "", "Jan-Dez/26",
AH324 &lt;&gt; "", "Fev-Dez/26",
AI324 &lt;&gt; "", "Mar-Dez/26", AJ324 &lt;&gt; "", "Abr-Dez/26",
TRUE, "A partir de Junho"
)</f>
        <v>Jan-Dez/26</v>
      </c>
      <c r="G324" s="10" t="s">
        <v>44</v>
      </c>
      <c r="H324" s="36" t="s">
        <v>44</v>
      </c>
      <c r="I324" s="37"/>
      <c r="J324" s="37"/>
      <c r="K324" s="37"/>
      <c r="L324" s="37" t="s">
        <v>206</v>
      </c>
      <c r="M324" s="37"/>
      <c r="N324" s="5" t="s">
        <v>42</v>
      </c>
      <c r="O324" s="5" t="s">
        <v>52</v>
      </c>
      <c r="P324" s="10" t="s">
        <v>44</v>
      </c>
      <c r="Q324" s="10" t="s">
        <v>44</v>
      </c>
      <c r="R324" s="11" t="s">
        <v>44</v>
      </c>
      <c r="S324" s="11" t="s">
        <v>44</v>
      </c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G324" s="112">
        <v>0</v>
      </c>
      <c r="AH324" s="112">
        <v>0</v>
      </c>
      <c r="AI324" s="112">
        <v>0</v>
      </c>
      <c r="AJ324" s="112">
        <v>1.1599999999999999</v>
      </c>
      <c r="AK324" s="112"/>
      <c r="AL324" s="112"/>
      <c r="AM324" s="112"/>
      <c r="AN324" s="112"/>
      <c r="AO324" s="112"/>
      <c r="AP324" s="112"/>
      <c r="AQ324" s="112"/>
      <c r="AR324" s="112"/>
      <c r="AS324" s="94"/>
      <c r="AT324" s="95"/>
      <c r="AU324" s="97"/>
      <c r="AW324" s="84">
        <f t="shared" si="645"/>
        <v>0</v>
      </c>
      <c r="AX324" s="84">
        <f t="shared" si="646"/>
        <v>0</v>
      </c>
      <c r="AY324" s="84">
        <f t="shared" si="647"/>
        <v>0</v>
      </c>
      <c r="AZ324" s="84">
        <f t="shared" si="647"/>
        <v>1.1599999999999999</v>
      </c>
      <c r="BA324" s="84"/>
      <c r="BB324" s="84"/>
      <c r="BC324" s="84"/>
      <c r="BD324" s="84"/>
      <c r="BE324" s="84"/>
      <c r="BF324" s="84"/>
      <c r="BG324" s="84"/>
      <c r="BH324" s="84"/>
      <c r="BI324" s="68" cm="1">
        <f t="array" ref="BI324">IFERROR(INDEX(AW324:BH324,1,MATCH(2,1/(AW324:BH324&lt;&gt;""))),"")</f>
        <v>1.1599999999999999</v>
      </c>
      <c r="BJ324" s="68" cm="1">
        <f t="array" ref="BJ324">IF(BM324 = "", "",IFERROR(INDEX(AW324:BH324,1,MATCH(2,1/(AW324:BH324&lt;&gt;""),1)-1),""))</f>
        <v>0</v>
      </c>
      <c r="BK324" s="57" cm="1">
        <f t="array" ref="BK324">IFERROR(INDEX(AW324:BH324,1,MATCH(2,1/(AW324:BH324&lt;&gt;""),1)),"")</f>
        <v>1.1599999999999999</v>
      </c>
      <c r="BL324" s="57" cm="1">
        <f t="array" ref="BL324">IF(BM324 = "", "",IFERROR(INDEX(AW324:BH324,1,MATCH(2,1/(AW324:BH324&lt;&gt;""),1)-1),""))</f>
        <v>0</v>
      </c>
      <c r="BM324" s="55" cm="1">
        <f t="array" ref="BM324">IFERROR(
   INDEX($AW$1:$BH$1,
      _xlfn.AGGREGATE(14, 6, COLUMN($AW$1:$BH$1)/(AW324:BH324&lt;&gt;""), 2) - COLUMN($AW$1) + 1
   ),
"")</f>
        <v>46082</v>
      </c>
      <c r="BN324" s="55" cm="1">
        <f t="array" ref="BN324">IFERROR(INDEX($AW$1:$BH$1,1,MATCH(2,1/(AW324:BH324&lt;&gt;""))),"")</f>
        <v>46113</v>
      </c>
      <c r="BO324" s="53">
        <f ca="1">IFERROR(_xlfn.XLOOKUP(F324,Apuração!A:A,Apuração!C:C)/_xlfn.XLOOKUP(F324,Apuração!A:A,Apuração!B:B),0)</f>
        <v>0.41666666666666669</v>
      </c>
      <c r="BP324" s="53">
        <f ca="1">IFERROR(_xlfn.XLOOKUP(F324,Apuração!A:A,Apuração!D:D)/_xlfn.XLOOKUP(F324,Apuração!A:A,Apuração!B:B),0)</f>
        <v>0.33333333333333331</v>
      </c>
      <c r="BQ324" s="53">
        <f ca="1">IF(BK324&gt;=BO324,0,_xlfn.XLOOKUP(F324,Apuração!A:A,Apuração!B:B)*(BO324 + (1/_xlfn.XLOOKUP(F324,Apuração!A:A,Apuração!B:B)) - BK324))</f>
        <v>0</v>
      </c>
      <c r="BR324" s="85">
        <f t="shared" ca="1" si="644"/>
        <v>0</v>
      </c>
      <c r="BS324" s="53">
        <f ca="1">IFERROR((_xlfn.XLOOKUP(F324,Apuração!A:A,Apuração!C:C)+1)/_xlfn.XLOOKUP(F324,Apuração!A:A,Apuração!B:B),0)</f>
        <v>0.5</v>
      </c>
    </row>
    <row r="325" spans="1:71" ht="25.95" hidden="1" customHeight="1" x14ac:dyDescent="0.3">
      <c r="A325" s="35" t="s">
        <v>44</v>
      </c>
      <c r="B325" s="10" t="s">
        <v>44</v>
      </c>
      <c r="C325" s="5" t="s">
        <v>95</v>
      </c>
      <c r="D325" s="5" t="s">
        <v>36</v>
      </c>
      <c r="E325" s="4" t="str" cm="1">
        <f t="array" ref="E325">_xlfn.IFS(
F325 = "A partir de Abril", "Aguardando Execução na Distribuidora",
A325 = "CAPACITAÇÃO", "Em execução no Corporativo",
TRUE, "Em Execução na Distribuidora"
)</f>
        <v>Em Execução na Distribuidora</v>
      </c>
      <c r="F325" s="4" t="str" cm="1">
        <f t="array" ref="F325">_xlfn.IFS(
AG325 &lt;&gt; "", "Jan-Dez/26",
AH325 &lt;&gt; "", "Fev-Dez/26",
AI325 &lt;&gt; "", "Mar-Dez/26", AJ325 &lt;&gt; "", "Abr-Dez/26",
TRUE, "A partir de Junho"
)</f>
        <v>A partir de Junho</v>
      </c>
      <c r="G325" s="10" t="s">
        <v>44</v>
      </c>
      <c r="H325" s="36" t="s">
        <v>44</v>
      </c>
      <c r="I325" s="37"/>
      <c r="J325" s="37"/>
      <c r="K325" s="37"/>
      <c r="L325" s="37" t="s">
        <v>207</v>
      </c>
      <c r="M325" s="37"/>
      <c r="N325" s="5" t="s">
        <v>42</v>
      </c>
      <c r="O325" s="5" t="s">
        <v>52</v>
      </c>
      <c r="P325" s="10" t="s">
        <v>44</v>
      </c>
      <c r="Q325" s="10" t="s">
        <v>44</v>
      </c>
      <c r="R325" s="11" t="s">
        <v>44</v>
      </c>
      <c r="S325" s="11" t="s">
        <v>44</v>
      </c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94"/>
      <c r="AT325" s="95"/>
      <c r="AU325" s="97"/>
      <c r="AW325" s="84">
        <f t="shared" ref="AW325:AW326" si="648">AG325</f>
        <v>0</v>
      </c>
      <c r="AX325" s="84">
        <f t="shared" si="646"/>
        <v>0</v>
      </c>
      <c r="AY325" s="84">
        <f t="shared" si="647"/>
        <v>0</v>
      </c>
      <c r="AZ325" s="84">
        <f t="shared" si="647"/>
        <v>0</v>
      </c>
      <c r="BA325" s="84"/>
      <c r="BB325" s="84"/>
      <c r="BC325" s="84"/>
      <c r="BD325" s="84"/>
      <c r="BE325" s="84"/>
      <c r="BF325" s="84"/>
      <c r="BG325" s="84"/>
      <c r="BH325" s="84"/>
      <c r="BI325" s="68" cm="1">
        <f t="array" ref="BI325">IFERROR(INDEX(AW325:BH325,1,MATCH(2,1/(AW325:BH325&lt;&gt;""))),"")</f>
        <v>0</v>
      </c>
      <c r="BJ325" s="68" cm="1">
        <f t="array" ref="BJ325">IF(BM325 = "", "",IFERROR(INDEX(AW325:BH325,1,MATCH(2,1/(AW325:BH325&lt;&gt;""),1)-1),""))</f>
        <v>0</v>
      </c>
      <c r="BK325" s="57" cm="1">
        <f t="array" ref="BK325">IFERROR(INDEX(AW325:BH325,1,MATCH(2,1/(AW325:BH325&lt;&gt;""),1)),"")</f>
        <v>0</v>
      </c>
      <c r="BL325" s="57" cm="1">
        <f t="array" ref="BL325">IF(BM325 = "", "",IFERROR(INDEX(AW325:BH325,1,MATCH(2,1/(AW325:BH325&lt;&gt;""),1)-1),""))</f>
        <v>0</v>
      </c>
      <c r="BM325" s="55" cm="1">
        <f t="array" ref="BM325">IFERROR(
   INDEX($AW$1:$BH$1,
      _xlfn.AGGREGATE(14, 6, COLUMN($AW$1:$BH$1)/(AW325:BH325&lt;&gt;""), 2) - COLUMN($AW$1) + 1
   ),
"")</f>
        <v>46082</v>
      </c>
      <c r="BN325" s="55" cm="1">
        <f t="array" ref="BN325">IFERROR(INDEX($AW$1:$BH$1,1,MATCH(2,1/(AW325:BH325&lt;&gt;""))),"")</f>
        <v>46113</v>
      </c>
      <c r="BO325" s="53">
        <f ca="1">IFERROR(_xlfn.XLOOKUP(F325,Apuração!A:A,Apuração!C:C)/_xlfn.XLOOKUP(F325,Apuração!A:A,Apuração!B:B),0)</f>
        <v>0</v>
      </c>
      <c r="BP325" s="53">
        <f ca="1">IFERROR(_xlfn.XLOOKUP(F325,Apuração!A:A,Apuração!D:D)/_xlfn.XLOOKUP(F325,Apuração!A:A,Apuração!B:B),0)</f>
        <v>0</v>
      </c>
      <c r="BQ325" s="53">
        <f ca="1">IF(BK325&gt;=BO325,0,_xlfn.XLOOKUP(F325,Apuração!A:A,Apuração!B:B)*(BO325 + (1/_xlfn.XLOOKUP(F325,Apuração!A:A,Apuração!B:B)) - BK325))</f>
        <v>0</v>
      </c>
      <c r="BR325" s="85">
        <f t="shared" ca="1" si="644"/>
        <v>0</v>
      </c>
      <c r="BS325" s="53">
        <f ca="1">IFERROR((_xlfn.XLOOKUP(F325,Apuração!A:A,Apuração!C:C)+1)/_xlfn.XLOOKUP(F325,Apuração!A:A,Apuração!B:B),0)</f>
        <v>0.14285714285714285</v>
      </c>
    </row>
    <row r="326" spans="1:71" ht="25.95" hidden="1" customHeight="1" x14ac:dyDescent="0.3">
      <c r="A326" s="35" t="s">
        <v>44</v>
      </c>
      <c r="B326" s="10" t="s">
        <v>44</v>
      </c>
      <c r="C326" s="5" t="s">
        <v>95</v>
      </c>
      <c r="D326" s="5" t="s">
        <v>36</v>
      </c>
      <c r="E326" s="4" t="str" cm="1">
        <f t="array" ref="E326">_xlfn.IFS(
F326 = "A partir de Abril", "Aguardando Execução na Distribuidora",
A326 = "CAPACITAÇÃO", "Em execução no Corporativo",
TRUE, "Em Execução na Distribuidora"
)</f>
        <v>Em Execução na Distribuidora</v>
      </c>
      <c r="F326" s="4" t="str" cm="1">
        <f t="array" ref="F326">_xlfn.IFS(
AG326 &lt;&gt; "", "Jan-Dez/26",
AH326 &lt;&gt; "", "Fev-Dez/26",
AI326 &lt;&gt; "", "Mar-Dez/26", AJ326 &lt;&gt; "", "Abr-Dez/26",
TRUE, "A partir de Junho"
)</f>
        <v>Jan-Dez/26</v>
      </c>
      <c r="G326" s="10" t="s">
        <v>44</v>
      </c>
      <c r="H326" s="36" t="s">
        <v>44</v>
      </c>
      <c r="I326" s="37"/>
      <c r="J326" s="37"/>
      <c r="K326" s="37"/>
      <c r="L326" s="37" t="s">
        <v>208</v>
      </c>
      <c r="M326" s="37"/>
      <c r="N326" s="5" t="s">
        <v>42</v>
      </c>
      <c r="O326" s="5" t="s">
        <v>52</v>
      </c>
      <c r="P326" s="10" t="s">
        <v>44</v>
      </c>
      <c r="Q326" s="10" t="s">
        <v>44</v>
      </c>
      <c r="R326" s="11" t="s">
        <v>44</v>
      </c>
      <c r="S326" s="11" t="s">
        <v>44</v>
      </c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G326" s="112">
        <v>0</v>
      </c>
      <c r="AH326" s="112">
        <v>269.14169794277899</v>
      </c>
      <c r="AI326" s="112">
        <v>88.75530438245292</v>
      </c>
      <c r="AJ326" s="112">
        <v>66.61</v>
      </c>
      <c r="AK326" s="112"/>
      <c r="AL326" s="112"/>
      <c r="AM326" s="112"/>
      <c r="AN326" s="112"/>
      <c r="AO326" s="112"/>
      <c r="AP326" s="112"/>
      <c r="AQ326" s="112"/>
      <c r="AR326" s="112"/>
      <c r="AS326" s="94"/>
      <c r="AT326" s="95"/>
      <c r="AU326" s="97"/>
      <c r="AW326" s="84">
        <f t="shared" si="648"/>
        <v>0</v>
      </c>
      <c r="AX326" s="84">
        <f t="shared" ref="AX326" si="649">AH326</f>
        <v>269.14169794277899</v>
      </c>
      <c r="AY326" s="84">
        <f t="shared" ref="AY326:AZ326" si="650">AI326</f>
        <v>88.75530438245292</v>
      </c>
      <c r="AZ326" s="84">
        <f t="shared" si="650"/>
        <v>66.61</v>
      </c>
      <c r="BA326" s="84"/>
      <c r="BB326" s="84"/>
      <c r="BC326" s="84"/>
      <c r="BD326" s="84"/>
      <c r="BE326" s="84"/>
      <c r="BF326" s="84"/>
      <c r="BG326" s="84"/>
      <c r="BH326" s="84"/>
      <c r="BI326" s="68" cm="1">
        <f t="array" ref="BI326">IFERROR(INDEX(AW326:BH326,1,MATCH(2,1/(AW326:BH326&lt;&gt;""))),"")</f>
        <v>66.61</v>
      </c>
      <c r="BJ326" s="68" cm="1">
        <f t="array" ref="BJ326">IF(BM326 = "", "",IFERROR(INDEX(AW326:BH326,1,MATCH(2,1/(AW326:BH326&lt;&gt;""),1)-1),""))</f>
        <v>88.75530438245292</v>
      </c>
      <c r="BK326" s="57" cm="1">
        <f t="array" ref="BK326">IFERROR(INDEX(AW326:BH326,1,MATCH(2,1/(AW326:BH326&lt;&gt;""),1)),"")</f>
        <v>66.61</v>
      </c>
      <c r="BL326" s="57" cm="1">
        <f t="array" ref="BL326">IF(BM326 = "", "",IFERROR(INDEX(AW326:BH326,1,MATCH(2,1/(AW326:BH326&lt;&gt;""),1)-1),""))</f>
        <v>88.75530438245292</v>
      </c>
      <c r="BM326" s="55" cm="1">
        <f t="array" ref="BM326">IFERROR(
   INDEX($AW$1:$BH$1,
      _xlfn.AGGREGATE(14, 6, COLUMN($AW$1:$BH$1)/(AW326:BH326&lt;&gt;""), 2) - COLUMN($AW$1) + 1
   ),
"")</f>
        <v>46082</v>
      </c>
      <c r="BN326" s="55" cm="1">
        <f t="array" ref="BN326">IFERROR(INDEX($AW$1:$BH$1,1,MATCH(2,1/(AW326:BH326&lt;&gt;""))),"")</f>
        <v>46113</v>
      </c>
      <c r="BO326" s="53">
        <f ca="1">IFERROR(_xlfn.XLOOKUP(F326,Apuração!A:A,Apuração!C:C)/_xlfn.XLOOKUP(F326,Apuração!A:A,Apuração!B:B),0)</f>
        <v>0.41666666666666669</v>
      </c>
      <c r="BP326" s="53">
        <f ca="1">IFERROR(_xlfn.XLOOKUP(F326,Apuração!A:A,Apuração!D:D)/_xlfn.XLOOKUP(F326,Apuração!A:A,Apuração!B:B),0)</f>
        <v>0.33333333333333331</v>
      </c>
      <c r="BQ326" s="53">
        <f ca="1">IF(BK326&gt;=BO326,0,_xlfn.XLOOKUP(F326,Apuração!A:A,Apuração!B:B)*(BO326 + (1/_xlfn.XLOOKUP(F326,Apuração!A:A,Apuração!B:B)) - BK326))</f>
        <v>0</v>
      </c>
      <c r="BR326" s="85">
        <f t="shared" ca="1" si="644"/>
        <v>0</v>
      </c>
      <c r="BS326" s="53">
        <f ca="1">IFERROR((_xlfn.XLOOKUP(F326,Apuração!A:A,Apuração!C:C)+1)/_xlfn.XLOOKUP(F326,Apuração!A:A,Apuração!B:B),0)</f>
        <v>0.5</v>
      </c>
    </row>
    <row r="327" spans="1:71" ht="25.95" hidden="1" customHeight="1" x14ac:dyDescent="0.3">
      <c r="A327" s="3" t="s">
        <v>33</v>
      </c>
      <c r="B327" s="4" t="s">
        <v>34</v>
      </c>
      <c r="C327" s="5" t="s">
        <v>97</v>
      </c>
      <c r="D327" s="5" t="s">
        <v>36</v>
      </c>
      <c r="E327" s="4" t="str" cm="1">
        <f t="array" ref="E327">_xlfn.IFS(
F327 = "A partir de Abril", "Aguardando Execução na Distribuidora",
A327 = "CAPACITAÇÃO", "Em execução no Corporativo",
TRUE, "Em Execução na Distribuidora"
)</f>
        <v>Em Execução na Distribuidora</v>
      </c>
      <c r="F327" s="4" t="str" cm="1">
        <f t="array" ref="F327">_xlfn.IFS(
AG327 &lt;&gt; "", "Jan-Dez/26",
AH327 &lt;&gt; "", "Fev-Dez/26",
AI327 &lt;&gt; "", "Mar-Dez/26", AJ327 &lt;&gt; "", "Abr-Dez/26",
TRUE, "A partir de Junho"
)</f>
        <v>Jan-Dez/26</v>
      </c>
      <c r="G327" s="6" t="s">
        <v>37</v>
      </c>
      <c r="H327" s="7" t="s">
        <v>54</v>
      </c>
      <c r="I327" s="8" t="s">
        <v>39</v>
      </c>
      <c r="J327" s="8" t="str" cm="1">
        <f t="array" aca="1" ref="J327" ca="1">_xlfn.LET(
  _xlpm.actual_value_month, INDEX(T327:AE327, MATCH(DATE(YEAR(TODAY()), MONTH(TODAY()), 1), $T$1:$AE$1, 0)),
  IF(_xlpm.actual_value_month &lt;&gt; "",_xlpm.actual_value_month &amp; " soluções mensais", "")
)</f>
        <v>10 soluções mensais</v>
      </c>
      <c r="K327" s="8" t="str" cm="1">
        <f t="array" ref="K327">_xlfn.LET(
    _xlpm.sum_month, SUM(T327:AE327),
    IF(_xlpm.sum_month = 0, "", _xlpm.sum_month &amp; " soluções implementadas no ano")
)</f>
        <v>44840 soluções implementadas no ano</v>
      </c>
      <c r="L327" s="9" t="s">
        <v>40</v>
      </c>
      <c r="M327" s="9" t="s">
        <v>41</v>
      </c>
      <c r="N327" s="5" t="s">
        <v>42</v>
      </c>
      <c r="O327" s="5" t="s">
        <v>43</v>
      </c>
      <c r="P327" s="10" t="s">
        <v>44</v>
      </c>
      <c r="Q327" s="10" t="s">
        <v>44</v>
      </c>
      <c r="R327" s="11" t="s">
        <v>45</v>
      </c>
      <c r="S327" s="11" t="s">
        <v>46</v>
      </c>
      <c r="T327" s="22">
        <v>3608</v>
      </c>
      <c r="U327" s="22">
        <v>2436</v>
      </c>
      <c r="V327" s="22">
        <v>11080</v>
      </c>
      <c r="W327" s="22">
        <v>27636</v>
      </c>
      <c r="X327" s="22">
        <v>10</v>
      </c>
      <c r="Y327" s="22">
        <v>10</v>
      </c>
      <c r="Z327" s="22">
        <v>10</v>
      </c>
      <c r="AA327" s="22">
        <v>10</v>
      </c>
      <c r="AB327" s="22">
        <v>10</v>
      </c>
      <c r="AC327" s="22">
        <v>10</v>
      </c>
      <c r="AD327" s="22">
        <v>10</v>
      </c>
      <c r="AE327" s="22">
        <v>10</v>
      </c>
      <c r="AG327" s="71">
        <v>3608</v>
      </c>
      <c r="AH327" s="71">
        <v>2436</v>
      </c>
      <c r="AI327" s="71">
        <v>11080</v>
      </c>
      <c r="AJ327" s="71">
        <v>23936</v>
      </c>
      <c r="AK327" s="71"/>
      <c r="AL327" s="71"/>
      <c r="AM327" s="71"/>
      <c r="AN327" s="71"/>
      <c r="AO327" s="71"/>
      <c r="AP327" s="71"/>
      <c r="AQ327" s="71"/>
      <c r="AR327" s="71"/>
      <c r="AS327" s="94">
        <f t="shared" ref="AS327:AS481" ca="1" si="651">IF(MONTH(TODAY())=3,SUM(T327:U327),IF(MONTH(TODAY())=4,SUM(T327:V327),IF(MONTH(TODAY())=5,SUM(T327:W327),IF(MONTH(TODAY())=6,SUM(T327:X327),IF(MONTH(TODAY())=7,SUM(T327:Y327),IF(MONTH(TODAY())=8,SUM(T327:Z327),IF(MONTH(TODAY())=9,SUM(T327:AA327),IF(MONTH(TODAY())=10,SUM(T327:AB327),IF(MONTH(TODAY())=11,SUM(T327:AC327),IF(MONTH(TODAY())=12,SUM(T327:AD327),IF(MONTH(TODAY())=1,SUM(T327:AE327),T327)))))))))))</f>
        <v>44770</v>
      </c>
      <c r="AT327" s="95">
        <f>SUM(IF(AW327&lt;1.15,AG327,1.15*T327),IF(AX327&lt;1.15,AH327,1.15*U327),IF(AY327&lt;1.15,AI327,1.15*V327),IF(AZ327&lt;1.15,AJ327,1.15*W327),IF(BA327&lt;1.15,AK327,1.15*X327),IF(BB327&lt;1.15,AL327,1.15*Y327),IF(BC327&lt;1.15,AM327,1.15*Z327),IF(BD327&lt;1.15,AN327,1.15*AA327),IF(BE327&lt;1.15,AO327,1.15*AB327),IF(BF327&lt;1.15,AP327,1.15*AC327),IF(BG327&lt;1.15,AQ327,1.15*AD327),IF(BH327&lt;1.15,AR327,1.15*AE327))</f>
        <v>41060</v>
      </c>
      <c r="AU327" s="97">
        <f t="shared" ref="AU327:AU481" si="652">SUM(AG327:AR327)</f>
        <v>41060</v>
      </c>
      <c r="AW327" s="51">
        <f>IFERROR(IF(AG327="",0,AG327/T327),0)</f>
        <v>1</v>
      </c>
      <c r="AX327" s="51">
        <f>IFERROR(IF(AH327="",0,AH327/U327),0)</f>
        <v>1</v>
      </c>
      <c r="AY327" s="51">
        <f>IFERROR(IF(AI327="",0,AI327/V327),0)</f>
        <v>1</v>
      </c>
      <c r="AZ327" s="51">
        <f>IFERROR(IF(AJ327="",0,AJ327/W327),0)</f>
        <v>0.86611665942972937</v>
      </c>
      <c r="BA327" s="51">
        <f t="shared" ref="BA327:BA337" si="653">IFERROR(IF(AK327="",0,AK327/X327),0)</f>
        <v>0</v>
      </c>
      <c r="BB327" s="51"/>
      <c r="BC327" s="51"/>
      <c r="BD327" s="51"/>
      <c r="BE327" s="51"/>
      <c r="BF327" s="51"/>
      <c r="BG327" s="51"/>
      <c r="BH327" s="51"/>
      <c r="BI327" s="65" cm="1">
        <f t="array" ref="BI327">IFERROR(INDEX(AW327:BH327,1,MATCH(2,1/(AW327:BH327&lt;&gt;""))),"")</f>
        <v>0</v>
      </c>
      <c r="BJ327" s="68" cm="1">
        <f t="array" ref="BJ327">IF(BM327 = "", "",IFERROR(INDEX(AW327:BH327,1,MATCH(2,1/(AW327:BH327&lt;&gt;""),1)-1),""))</f>
        <v>0.86611665942972937</v>
      </c>
      <c r="BK327" s="58">
        <f>IF((IF(AW327&gt;=115%,115%,AW327) + IF(AX327&gt;=115%,115%,AX327) + IF(AY327&gt;=115%,115%,AY327) + (IF(AZ327&gt;=115%,115%,AZ327) + IF(BA327&gt;=115%,115%,BA327) + IF(BB327&gt;=115%,115%,BB327) + IF(BC327&gt;=115%,115%,BC327) + IF(BD327&gt;=115%,115%,BD327) + IF(BE327&gt;=115%,115%,BE327) + IF(BF327&gt;=115%,115%,BF327) + IF(BG327&gt;=115%,115%,BG327) + IF(BH327&gt;=115%,115%,BH327)))/_xlfn.XLOOKUP(F327,Apuração!A:A,Apuração!B:B)&gt;=1.15,1.15,((IF(AZ327&gt;=115%,115%,AZ327) + IF(AX327&gt;=115%,115%,AX327) + IF(AY327&gt;=115%,115%,AY327) + (IF(AW327&gt;=115%,115%,AW327) + IF(BA327&gt;=115%,115%,BA327) + IF(BB327&gt;=115%,115%,BB327) + IF(BC327&gt;=115%,115%,BC327) + IF(BD327&gt;=115%,115%,BD327) + IF(BE327&gt;=115%,115%,BE327) + IF(BF327&gt;=115%,115%,BF327) + IF(BG327&gt;=115%,115%,BG327) + IF(BH327&gt;=115%,115%,BH327)))/_xlfn.XLOOKUP(F327,Apuração!A:A,Apuração!B:B)))</f>
        <v>0.3221763882858108</v>
      </c>
      <c r="BL327" s="58" cm="1">
        <f t="array" aca="1" ref="BL327" ca="1">IF(SUM(IFERROR(IF(INDEX(AW327:INDEX(AW327:BH327, MATCH(2, 1/(AW327:BH327&lt;&gt;""), 1)-1), ROW(INDIRECT("1:" &amp; MATCH(2, 1/(AW327:BH327&lt;&gt;""), 1)-1))) &gt;= 115%, 115%, INDEX(AW327:INDEX(AW327:BH327, MATCH(2, 1/(AW327:BH327&lt;&gt;""), 1)-1), ROW(INDIRECT("1:" &amp; MATCH(2, 1/(AW327:BH327&lt;&gt;""), 1)-1)))), 0))/_xlfn.XLOOKUP(F327,Apuração!A:A,Apuração!B:B)&gt;=1.15,1.15,SUM(IFERROR(IF(INDEX(AW327:INDEX(AW327:BH327, MATCH(2, 1/(AW327:BH327&lt;&gt;""), 1)-1), ROW(INDIRECT("1:" &amp; MATCH(2, 1/(AW327:BH327&lt;&gt;""), 1)-1))) &gt;= 115%, 115%, INDEX(AW327:INDEX(AW327:BH327, MATCH(2, 1/(AW327:BH327&lt;&gt;""), 1)-1), ROW(INDIRECT("1:" &amp; MATCH(2, 1/(AW327:BH327&lt;&gt;""), 1)-1)))), 0))/_xlfn.XLOOKUP(F327,Apuração!A:A,Apuração!B:B))</f>
        <v>0.3221763882858108</v>
      </c>
      <c r="BM327" s="55" cm="1">
        <f t="array" ref="BM327">IFERROR(
   INDEX($AW$1:$BH$1,
      _xlfn.AGGREGATE(14, 6, COLUMN($AW$1:$BH$1)/(AW327:BH327&lt;&gt;""), 2) - COLUMN($AW$1) + 1
   ),
"")</f>
        <v>46113</v>
      </c>
      <c r="BN327" s="55" cm="1">
        <f t="array" ref="BN327">IFERROR(INDEX($AW$1:$BH$1,1,MATCH(2,1/(AW327:BH327&lt;&gt;""))),"")</f>
        <v>46143</v>
      </c>
      <c r="BO327" s="53">
        <f ca="1">IFERROR(_xlfn.XLOOKUP(F327,Apuração!A:A,Apuração!C:C)/_xlfn.XLOOKUP(F327,Apuração!A:A,Apuração!B:B),0)</f>
        <v>0.41666666666666669</v>
      </c>
      <c r="BP327" s="53">
        <f ca="1">IFERROR(_xlfn.XLOOKUP(F327,Apuração!A:A,Apuração!D:D)/_xlfn.XLOOKUP(F327,Apuração!A:A,Apuração!B:B),0)</f>
        <v>0.33333333333333331</v>
      </c>
      <c r="BQ327" s="53">
        <f ca="1">IF(BK327&gt;=BO327,0,_xlfn.XLOOKUP(F327,Apuração!A:A,Apuração!B:B)*(BO327 + (1/_xlfn.XLOOKUP(F327,Apuração!A:A,Apuração!B:B)) - BK327))</f>
        <v>2.1338833405702706</v>
      </c>
      <c r="BR327" s="85">
        <f t="shared" ca="1" si="644"/>
        <v>21.338833405702708</v>
      </c>
      <c r="BS327" s="53">
        <f ca="1">IFERROR((_xlfn.XLOOKUP(F327,Apuração!A:A,Apuração!C:C)+1)/_xlfn.XLOOKUP(F327,Apuração!A:A,Apuração!B:B),0)</f>
        <v>0.5</v>
      </c>
    </row>
    <row r="328" spans="1:71" ht="25.95" hidden="1" customHeight="1" x14ac:dyDescent="0.3">
      <c r="A328" s="3" t="s">
        <v>33</v>
      </c>
      <c r="B328" s="4" t="s">
        <v>34</v>
      </c>
      <c r="C328" s="5" t="s">
        <v>97</v>
      </c>
      <c r="D328" s="5" t="s">
        <v>98</v>
      </c>
      <c r="E328" s="4" t="str" cm="1">
        <f t="array" ref="E328">_xlfn.IFS(
F328 = "A partir de Abril", "Aguardando Execução na Distribuidora",
A328 = "CAPACITAÇÃO", "Em execução no Corporativo",
TRUE, "Em Execução na Distribuidora"
)</f>
        <v>Em Execução na Distribuidora</v>
      </c>
      <c r="F328" s="4" t="str" cm="1">
        <f t="array" ref="F328">_xlfn.IFS(
AG328 &lt;&gt; "", "Jan-Dez/26",
AH328 &lt;&gt; "", "Fev-Dez/26",
AI328 &lt;&gt; "", "Mar-Dez/26", AJ328 &lt;&gt; "", "Abr-Dez/26",
TRUE, "A partir de Junho"
)</f>
        <v>Abr-Dez/26</v>
      </c>
      <c r="G328" s="6" t="s">
        <v>37</v>
      </c>
      <c r="H328" s="7" t="s">
        <v>54</v>
      </c>
      <c r="I328" s="8" t="s">
        <v>39</v>
      </c>
      <c r="J328" s="8" t="str" cm="1">
        <f t="array" aca="1" ref="J328" ca="1">_xlfn.LET(
  _xlpm.actual_value_month, INDEX(T328:AE328, MATCH(DATE(YEAR(TODAY()), MONTH(TODAY()), 1), $T$1:$AE$1, 0)),
  IF(_xlpm.actual_value_month &lt;&gt; "",_xlpm.actual_value_month &amp; " soluções mensais", "")
)</f>
        <v>1 soluções mensais</v>
      </c>
      <c r="K328" s="8" t="str" cm="1">
        <f t="array" ref="K328">_xlfn.LET(
    _xlpm.sum_month, SUM(T328:AE328),
    IF(_xlpm.sum_month = 0, "", _xlpm.sum_month &amp; " soluções implementadas no ano")
)</f>
        <v>9 soluções implementadas no ano</v>
      </c>
      <c r="L328" s="9" t="s">
        <v>40</v>
      </c>
      <c r="M328" s="9" t="s">
        <v>41</v>
      </c>
      <c r="N328" s="5" t="s">
        <v>42</v>
      </c>
      <c r="O328" s="5" t="s">
        <v>43</v>
      </c>
      <c r="P328" s="10" t="s">
        <v>44</v>
      </c>
      <c r="Q328" s="10" t="s">
        <v>44</v>
      </c>
      <c r="R328" s="11" t="s">
        <v>45</v>
      </c>
      <c r="S328" s="11" t="s">
        <v>46</v>
      </c>
      <c r="T328" s="22"/>
      <c r="U328" s="22"/>
      <c r="V328" s="22"/>
      <c r="W328" s="152">
        <v>1</v>
      </c>
      <c r="X328" s="152">
        <v>1</v>
      </c>
      <c r="Y328" s="152">
        <v>1</v>
      </c>
      <c r="Z328" s="152">
        <v>1</v>
      </c>
      <c r="AA328" s="152">
        <v>1</v>
      </c>
      <c r="AB328" s="152">
        <v>1</v>
      </c>
      <c r="AC328" s="152">
        <v>1</v>
      </c>
      <c r="AD328" s="152">
        <v>1</v>
      </c>
      <c r="AE328" s="152">
        <v>1</v>
      </c>
      <c r="AG328" s="71"/>
      <c r="AH328" s="71"/>
      <c r="AI328" s="71"/>
      <c r="AJ328" s="144">
        <v>1357</v>
      </c>
      <c r="AK328" s="71"/>
      <c r="AL328" s="71"/>
      <c r="AM328" s="71"/>
      <c r="AN328" s="71"/>
      <c r="AO328" s="71"/>
      <c r="AP328" s="71"/>
      <c r="AQ328" s="71"/>
      <c r="AR328" s="71"/>
      <c r="AS328" s="94">
        <f t="shared" ref="AS328:AS337" ca="1" si="654">IF(MONTH(TODAY())=3,SUM(T328:U328),IF(MONTH(TODAY())=4,SUM(T328:V328),IF(MONTH(TODAY())=5,SUM(T328:W328),IF(MONTH(TODAY())=6,SUM(T328:X328),IF(MONTH(TODAY())=7,SUM(T328:Y328),IF(MONTH(TODAY())=8,SUM(T328:Z328),IF(MONTH(TODAY())=9,SUM(T328:AA328),IF(MONTH(TODAY())=10,SUM(T328:AB328),IF(MONTH(TODAY())=11,SUM(T328:AC328),IF(MONTH(TODAY())=12,SUM(T328:AD328),IF(MONTH(TODAY())=1,SUM(T328:AE328),T328)))))))))))</f>
        <v>2</v>
      </c>
      <c r="AT328" s="95">
        <f t="shared" ref="AT328:AT337" si="655">SUM(IF(AW328&lt;1.15,AG328,1.15*T328),IF(AX328&lt;1.15,AH328,1.15*U328),IF(AY328&lt;1.15,AI328,1.15*V328),IF(AZ328&lt;1.15,AJ328,1.15*W328),IF(BA328&lt;1.15,AK328,1.15*X328),IF(BB328&lt;1.15,AL328,1.15*Y328),IF(BC328&lt;1.15,AM328,1.15*Z328),IF(BD328&lt;1.15,AN328,1.15*AA328),IF(BE328&lt;1.15,AO328,1.15*AB328),IF(BF328&lt;1.15,AP328,1.15*AC328),IF(BG328&lt;1.15,AQ328,1.15*AD328),IF(BH328&lt;1.15,AR328,1.15*AE328))</f>
        <v>1.1499999999999999</v>
      </c>
      <c r="AU328" s="97">
        <f t="shared" ref="AU328:AU337" si="656">SUM(AG328:AR328)</f>
        <v>1357</v>
      </c>
      <c r="AW328" s="51">
        <f t="shared" ref="AW328:AW337" si="657">IFERROR(IF(AG328="",0,AG328/T328),0)</f>
        <v>0</v>
      </c>
      <c r="AX328" s="51">
        <f t="shared" ref="AX328:AX337" si="658">IFERROR(IF(AH328="",0,AH328/U328),0)</f>
        <v>0</v>
      </c>
      <c r="AY328" s="51">
        <f t="shared" ref="AY328:AY337" si="659">IFERROR(IF(AI328="",0,AI328/V328),0)</f>
        <v>0</v>
      </c>
      <c r="AZ328" s="51">
        <f t="shared" ref="AZ328:AZ337" si="660">IFERROR(IF(AJ328="",0,AJ328/W328),0)</f>
        <v>1357</v>
      </c>
      <c r="BA328" s="51">
        <f t="shared" si="653"/>
        <v>0</v>
      </c>
      <c r="BB328" s="51"/>
      <c r="BC328" s="51"/>
      <c r="BD328" s="51"/>
      <c r="BE328" s="51"/>
      <c r="BF328" s="51"/>
      <c r="BG328" s="51"/>
      <c r="BH328" s="51"/>
      <c r="BI328" s="65" cm="1">
        <f t="array" ref="BI328">IFERROR(INDEX(AW328:BH328,1,MATCH(2,1/(AW328:BH328&lt;&gt;""))),"")</f>
        <v>0</v>
      </c>
      <c r="BJ328" s="68" cm="1">
        <f t="array" ref="BJ328">IF(BM328 = "", "",IFERROR(INDEX(AW328:BH328,1,MATCH(2,1/(AW328:BH328&lt;&gt;""),1)-1),""))</f>
        <v>1357</v>
      </c>
      <c r="BK328" s="58">
        <f>IF((IF(AW328&gt;=115%,115%,AW328) + IF(AX328&gt;=115%,115%,AX328) + IF(AY328&gt;=115%,115%,AY328) + (IF(AZ328&gt;=115%,115%,AZ328) + IF(BA328&gt;=115%,115%,BA328) + IF(BB328&gt;=115%,115%,BB328) + IF(BC328&gt;=115%,115%,BC328) + IF(BD328&gt;=115%,115%,BD328) + IF(BE328&gt;=115%,115%,BE328) + IF(BF328&gt;=115%,115%,BF328) + IF(BG328&gt;=115%,115%,BG328) + IF(BH328&gt;=115%,115%,BH328)))/_xlfn.XLOOKUP(F328,Apuração!A:A,Apuração!B:B)&gt;=1.15,1.15,((IF(AZ328&gt;=115%,115%,AZ328) + IF(AX328&gt;=115%,115%,AX328) + IF(AY328&gt;=115%,115%,AY328) + (IF(AW328&gt;=115%,115%,AW328) + IF(BA328&gt;=115%,115%,BA328) + IF(BB328&gt;=115%,115%,BB328) + IF(BC328&gt;=115%,115%,BC328) + IF(BD328&gt;=115%,115%,BD328) + IF(BE328&gt;=115%,115%,BE328) + IF(BF328&gt;=115%,115%,BF328) + IF(BG328&gt;=115%,115%,BG328) + IF(BH328&gt;=115%,115%,BH328)))/_xlfn.XLOOKUP(F328,Apuração!A:A,Apuração!B:B)))</f>
        <v>0.12777777777777777</v>
      </c>
      <c r="BL328" s="58" cm="1">
        <f t="array" aca="1" ref="BL328" ca="1">IF(SUM(IFERROR(IF(INDEX(AW328:INDEX(AW328:BH328, MATCH(2, 1/(AW328:BH328&lt;&gt;""), 1)-1), ROW(INDIRECT("1:" &amp; MATCH(2, 1/(AW328:BH328&lt;&gt;""), 1)-1))) &gt;= 115%, 115%, INDEX(AW328:INDEX(AW328:BH328, MATCH(2, 1/(AW328:BH328&lt;&gt;""), 1)-1), ROW(INDIRECT("1:" &amp; MATCH(2, 1/(AW328:BH328&lt;&gt;""), 1)-1)))), 0))/_xlfn.XLOOKUP(F328,Apuração!A:A,Apuração!B:B)&gt;=1.15,1.15,SUM(IFERROR(IF(INDEX(AW328:INDEX(AW328:BH328, MATCH(2, 1/(AW328:BH328&lt;&gt;""), 1)-1), ROW(INDIRECT("1:" &amp; MATCH(2, 1/(AW328:BH328&lt;&gt;""), 1)-1))) &gt;= 115%, 115%, INDEX(AW328:INDEX(AW328:BH328, MATCH(2, 1/(AW328:BH328&lt;&gt;""), 1)-1), ROW(INDIRECT("1:" &amp; MATCH(2, 1/(AW328:BH328&lt;&gt;""), 1)-1)))), 0))/_xlfn.XLOOKUP(F328,Apuração!A:A,Apuração!B:B))</f>
        <v>0.12777777777777777</v>
      </c>
      <c r="BM328" s="55" cm="1">
        <f t="array" ref="BM328">IFERROR(
   INDEX($AW$1:$BH$1,
      _xlfn.AGGREGATE(14, 6, COLUMN($AW$1:$BH$1)/(AW328:BH328&lt;&gt;""), 2) - COLUMN($AW$1) + 1
   ),
"")</f>
        <v>46113</v>
      </c>
      <c r="BN328" s="55" cm="1">
        <f t="array" ref="BN328">IFERROR(INDEX($AW$1:$BH$1,1,MATCH(2,1/(AW328:BH328&lt;&gt;""))),"")</f>
        <v>46143</v>
      </c>
      <c r="BO328" s="53">
        <f ca="1">IFERROR(_xlfn.XLOOKUP(F328,Apuração!A:A,Apuração!C:C)/_xlfn.XLOOKUP(F328,Apuração!A:A,Apuração!B:B),0)</f>
        <v>0.22222222222222221</v>
      </c>
      <c r="BP328" s="53">
        <f ca="1">IFERROR(_xlfn.XLOOKUP(F328,Apuração!A:A,Apuração!D:D)/_xlfn.XLOOKUP(F328,Apuração!A:A,Apuração!B:B),0)</f>
        <v>0.1111111111111111</v>
      </c>
      <c r="BQ328" s="53">
        <f ca="1">IF(BK328&gt;=BO328,0,_xlfn.XLOOKUP(F328,Apuração!A:A,Apuração!B:B)*(BO328 + (1/_xlfn.XLOOKUP(F328,Apuração!A:A,Apuração!B:B)) - BK328))</f>
        <v>1.8499999999999999</v>
      </c>
      <c r="BR328" s="85">
        <f t="shared" ref="BR328:BR337" ca="1" si="661">IF(BQ328=0,0,BQ328*Z328)</f>
        <v>1.8499999999999999</v>
      </c>
      <c r="BS328" s="53">
        <f ca="1">IFERROR((_xlfn.XLOOKUP(F328,Apuração!A:A,Apuração!C:C)+1)/_xlfn.XLOOKUP(F328,Apuração!A:A,Apuração!B:B),0)</f>
        <v>0.33333333333333331</v>
      </c>
    </row>
    <row r="329" spans="1:71" ht="25.95" hidden="1" customHeight="1" x14ac:dyDescent="0.3">
      <c r="A329" s="3" t="s">
        <v>33</v>
      </c>
      <c r="B329" s="4" t="s">
        <v>34</v>
      </c>
      <c r="C329" s="5" t="s">
        <v>97</v>
      </c>
      <c r="D329" s="5" t="s">
        <v>99</v>
      </c>
      <c r="E329" s="4" t="str" cm="1">
        <f t="array" ref="E329">_xlfn.IFS(
F329 = "A partir de Abril", "Aguardando Execução na Distribuidora",
A329 = "CAPACITAÇÃO", "Em execução no Corporativo",
TRUE, "Em Execução na Distribuidora"
)</f>
        <v>Em Execução na Distribuidora</v>
      </c>
      <c r="F329" s="4" t="str" cm="1">
        <f t="array" ref="F329">_xlfn.IFS(
AG329 &lt;&gt; "", "Jan-Dez/26",
AH329 &lt;&gt; "", "Fev-Dez/26",
AI329 &lt;&gt; "", "Mar-Dez/26", AJ329 &lt;&gt; "", "Abr-Dez/26",
TRUE, "A partir de Junho"
)</f>
        <v>Abr-Dez/26</v>
      </c>
      <c r="G329" s="6" t="s">
        <v>37</v>
      </c>
      <c r="H329" s="7" t="s">
        <v>54</v>
      </c>
      <c r="I329" s="8" t="s">
        <v>39</v>
      </c>
      <c r="J329" s="8" t="str" cm="1">
        <f t="array" aca="1" ref="J329" ca="1">_xlfn.LET(
  _xlpm.actual_value_month, INDEX(T329:AE329, MATCH(DATE(YEAR(TODAY()), MONTH(TODAY()), 1), $T$1:$AE$1, 0)),
  IF(_xlpm.actual_value_month &lt;&gt; "",_xlpm.actual_value_month &amp; " soluções mensais", "")
)</f>
        <v>1 soluções mensais</v>
      </c>
      <c r="K329" s="8" t="str" cm="1">
        <f t="array" ref="K329">_xlfn.LET(
    _xlpm.sum_month, SUM(T329:AE329),
    IF(_xlpm.sum_month = 0, "", _xlpm.sum_month &amp; " soluções implementadas no ano")
)</f>
        <v>9 soluções implementadas no ano</v>
      </c>
      <c r="L329" s="9" t="s">
        <v>40</v>
      </c>
      <c r="M329" s="9" t="s">
        <v>41</v>
      </c>
      <c r="N329" s="5" t="s">
        <v>42</v>
      </c>
      <c r="O329" s="5" t="s">
        <v>43</v>
      </c>
      <c r="P329" s="10" t="s">
        <v>44</v>
      </c>
      <c r="Q329" s="10" t="s">
        <v>44</v>
      </c>
      <c r="R329" s="11" t="s">
        <v>45</v>
      </c>
      <c r="S329" s="11" t="s">
        <v>46</v>
      </c>
      <c r="T329" s="22"/>
      <c r="U329" s="22"/>
      <c r="V329" s="22"/>
      <c r="W329" s="152">
        <v>1</v>
      </c>
      <c r="X329" s="152">
        <v>1</v>
      </c>
      <c r="Y329" s="152">
        <v>1</v>
      </c>
      <c r="Z329" s="152">
        <v>1</v>
      </c>
      <c r="AA329" s="152">
        <v>1</v>
      </c>
      <c r="AB329" s="152">
        <v>1</v>
      </c>
      <c r="AC329" s="152">
        <v>1</v>
      </c>
      <c r="AD329" s="152">
        <v>1</v>
      </c>
      <c r="AE329" s="152">
        <v>1</v>
      </c>
      <c r="AG329" s="71"/>
      <c r="AH329" s="71"/>
      <c r="AI329" s="71"/>
      <c r="AJ329" s="144">
        <v>2298</v>
      </c>
      <c r="AK329" s="71"/>
      <c r="AL329" s="71"/>
      <c r="AM329" s="71"/>
      <c r="AN329" s="71"/>
      <c r="AO329" s="71"/>
      <c r="AP329" s="71"/>
      <c r="AQ329" s="71"/>
      <c r="AR329" s="71"/>
      <c r="AS329" s="94">
        <f t="shared" ca="1" si="654"/>
        <v>2</v>
      </c>
      <c r="AT329" s="95">
        <f t="shared" si="655"/>
        <v>1.1499999999999999</v>
      </c>
      <c r="AU329" s="97">
        <f t="shared" si="656"/>
        <v>2298</v>
      </c>
      <c r="AW329" s="51">
        <f t="shared" si="657"/>
        <v>0</v>
      </c>
      <c r="AX329" s="51">
        <f t="shared" si="658"/>
        <v>0</v>
      </c>
      <c r="AY329" s="51">
        <f t="shared" si="659"/>
        <v>0</v>
      </c>
      <c r="AZ329" s="51">
        <f t="shared" si="660"/>
        <v>2298</v>
      </c>
      <c r="BA329" s="51">
        <f t="shared" si="653"/>
        <v>0</v>
      </c>
      <c r="BB329" s="51"/>
      <c r="BC329" s="51"/>
      <c r="BD329" s="51"/>
      <c r="BE329" s="51"/>
      <c r="BF329" s="51"/>
      <c r="BG329" s="51"/>
      <c r="BH329" s="51"/>
      <c r="BI329" s="65" cm="1">
        <f t="array" ref="BI329">IFERROR(INDEX(AW329:BH329,1,MATCH(2,1/(AW329:BH329&lt;&gt;""))),"")</f>
        <v>0</v>
      </c>
      <c r="BJ329" s="68" cm="1">
        <f t="array" ref="BJ329">IF(BM329 = "", "",IFERROR(INDEX(AW329:BH329,1,MATCH(2,1/(AW329:BH329&lt;&gt;""),1)-1),""))</f>
        <v>2298</v>
      </c>
      <c r="BK329" s="58">
        <f>IF((IF(AW329&gt;=115%,115%,AW329) + IF(AX329&gt;=115%,115%,AX329) + IF(AY329&gt;=115%,115%,AY329) + (IF(AZ329&gt;=115%,115%,AZ329) + IF(BA329&gt;=115%,115%,BA329) + IF(BB329&gt;=115%,115%,BB329) + IF(BC329&gt;=115%,115%,BC329) + IF(BD329&gt;=115%,115%,BD329) + IF(BE329&gt;=115%,115%,BE329) + IF(BF329&gt;=115%,115%,BF329) + IF(BG329&gt;=115%,115%,BG329) + IF(BH329&gt;=115%,115%,BH329)))/_xlfn.XLOOKUP(F329,Apuração!A:A,Apuração!B:B)&gt;=1.15,1.15,((IF(AZ329&gt;=115%,115%,AZ329) + IF(AX329&gt;=115%,115%,AX329) + IF(AY329&gt;=115%,115%,AY329) + (IF(AW329&gt;=115%,115%,AW329) + IF(BA329&gt;=115%,115%,BA329) + IF(BB329&gt;=115%,115%,BB329) + IF(BC329&gt;=115%,115%,BC329) + IF(BD329&gt;=115%,115%,BD329) + IF(BE329&gt;=115%,115%,BE329) + IF(BF329&gt;=115%,115%,BF329) + IF(BG329&gt;=115%,115%,BG329) + IF(BH329&gt;=115%,115%,BH329)))/_xlfn.XLOOKUP(F329,Apuração!A:A,Apuração!B:B)))</f>
        <v>0.12777777777777777</v>
      </c>
      <c r="BL329" s="58" cm="1">
        <f t="array" aca="1" ref="BL329" ca="1">IF(SUM(IFERROR(IF(INDEX(AW329:INDEX(AW329:BH329, MATCH(2, 1/(AW329:BH329&lt;&gt;""), 1)-1), ROW(INDIRECT("1:" &amp; MATCH(2, 1/(AW329:BH329&lt;&gt;""), 1)-1))) &gt;= 115%, 115%, INDEX(AW329:INDEX(AW329:BH329, MATCH(2, 1/(AW329:BH329&lt;&gt;""), 1)-1), ROW(INDIRECT("1:" &amp; MATCH(2, 1/(AW329:BH329&lt;&gt;""), 1)-1)))), 0))/_xlfn.XLOOKUP(F329,Apuração!A:A,Apuração!B:B)&gt;=1.15,1.15,SUM(IFERROR(IF(INDEX(AW329:INDEX(AW329:BH329, MATCH(2, 1/(AW329:BH329&lt;&gt;""), 1)-1), ROW(INDIRECT("1:" &amp; MATCH(2, 1/(AW329:BH329&lt;&gt;""), 1)-1))) &gt;= 115%, 115%, INDEX(AW329:INDEX(AW329:BH329, MATCH(2, 1/(AW329:BH329&lt;&gt;""), 1)-1), ROW(INDIRECT("1:" &amp; MATCH(2, 1/(AW329:BH329&lt;&gt;""), 1)-1)))), 0))/_xlfn.XLOOKUP(F329,Apuração!A:A,Apuração!B:B))</f>
        <v>0.12777777777777777</v>
      </c>
      <c r="BM329" s="55" cm="1">
        <f t="array" ref="BM329">IFERROR(
   INDEX($AW$1:$BH$1,
      _xlfn.AGGREGATE(14, 6, COLUMN($AW$1:$BH$1)/(AW329:BH329&lt;&gt;""), 2) - COLUMN($AW$1) + 1
   ),
"")</f>
        <v>46113</v>
      </c>
      <c r="BN329" s="55" cm="1">
        <f t="array" ref="BN329">IFERROR(INDEX($AW$1:$BH$1,1,MATCH(2,1/(AW329:BH329&lt;&gt;""))),"")</f>
        <v>46143</v>
      </c>
      <c r="BO329" s="53">
        <f ca="1">IFERROR(_xlfn.XLOOKUP(F329,Apuração!A:A,Apuração!C:C)/_xlfn.XLOOKUP(F329,Apuração!A:A,Apuração!B:B),0)</f>
        <v>0.22222222222222221</v>
      </c>
      <c r="BP329" s="53">
        <f ca="1">IFERROR(_xlfn.XLOOKUP(F329,Apuração!A:A,Apuração!D:D)/_xlfn.XLOOKUP(F329,Apuração!A:A,Apuração!B:B),0)</f>
        <v>0.1111111111111111</v>
      </c>
      <c r="BQ329" s="53">
        <f ca="1">IF(BK329&gt;=BO329,0,_xlfn.XLOOKUP(F329,Apuração!A:A,Apuração!B:B)*(BO329 + (1/_xlfn.XLOOKUP(F329,Apuração!A:A,Apuração!B:B)) - BK329))</f>
        <v>1.8499999999999999</v>
      </c>
      <c r="BR329" s="85">
        <f t="shared" ca="1" si="661"/>
        <v>1.8499999999999999</v>
      </c>
      <c r="BS329" s="53">
        <f ca="1">IFERROR((_xlfn.XLOOKUP(F329,Apuração!A:A,Apuração!C:C)+1)/_xlfn.XLOOKUP(F329,Apuração!A:A,Apuração!B:B),0)</f>
        <v>0.33333333333333331</v>
      </c>
    </row>
    <row r="330" spans="1:71" ht="25.95" hidden="1" customHeight="1" x14ac:dyDescent="0.3">
      <c r="A330" s="3" t="s">
        <v>33</v>
      </c>
      <c r="B330" s="4" t="s">
        <v>34</v>
      </c>
      <c r="C330" s="5" t="s">
        <v>97</v>
      </c>
      <c r="D330" s="5" t="s">
        <v>100</v>
      </c>
      <c r="E330" s="4" t="str" cm="1">
        <f t="array" ref="E330">_xlfn.IFS(
F330 = "A partir de Abril", "Aguardando Execução na Distribuidora",
A330 = "CAPACITAÇÃO", "Em execução no Corporativo",
TRUE, "Em Execução na Distribuidora"
)</f>
        <v>Em Execução na Distribuidora</v>
      </c>
      <c r="F330" s="4" t="str" cm="1">
        <f t="array" ref="F330">_xlfn.IFS(
AG330 &lt;&gt; "", "Jan-Dez/26",
AH330 &lt;&gt; "", "Fev-Dez/26",
AI330 &lt;&gt; "", "Mar-Dez/26", AJ330 &lt;&gt; "", "Abr-Dez/26",
TRUE, "A partir de Junho"
)</f>
        <v>Abr-Dez/26</v>
      </c>
      <c r="G330" s="6" t="s">
        <v>37</v>
      </c>
      <c r="H330" s="7" t="s">
        <v>54</v>
      </c>
      <c r="I330" s="8" t="s">
        <v>39</v>
      </c>
      <c r="J330" s="8" t="str" cm="1">
        <f t="array" aca="1" ref="J330" ca="1">_xlfn.LET(
  _xlpm.actual_value_month, INDEX(T330:AE330, MATCH(DATE(YEAR(TODAY()), MONTH(TODAY()), 1), $T$1:$AE$1, 0)),
  IF(_xlpm.actual_value_month &lt;&gt; "",_xlpm.actual_value_month &amp; " soluções mensais", "")
)</f>
        <v>1 soluções mensais</v>
      </c>
      <c r="K330" s="8" t="str" cm="1">
        <f t="array" ref="K330">_xlfn.LET(
    _xlpm.sum_month, SUM(T330:AE330),
    IF(_xlpm.sum_month = 0, "", _xlpm.sum_month &amp; " soluções implementadas no ano")
)</f>
        <v>9 soluções implementadas no ano</v>
      </c>
      <c r="L330" s="9" t="s">
        <v>40</v>
      </c>
      <c r="M330" s="9" t="s">
        <v>41</v>
      </c>
      <c r="N330" s="5" t="s">
        <v>42</v>
      </c>
      <c r="O330" s="5" t="s">
        <v>43</v>
      </c>
      <c r="P330" s="10" t="s">
        <v>44</v>
      </c>
      <c r="Q330" s="10" t="s">
        <v>44</v>
      </c>
      <c r="R330" s="11" t="s">
        <v>45</v>
      </c>
      <c r="S330" s="11" t="s">
        <v>46</v>
      </c>
      <c r="T330" s="22"/>
      <c r="U330" s="22"/>
      <c r="V330" s="22"/>
      <c r="W330" s="152">
        <v>1</v>
      </c>
      <c r="X330" s="152">
        <v>1</v>
      </c>
      <c r="Y330" s="152">
        <v>1</v>
      </c>
      <c r="Z330" s="152">
        <v>1</v>
      </c>
      <c r="AA330" s="152">
        <v>1</v>
      </c>
      <c r="AB330" s="152">
        <v>1</v>
      </c>
      <c r="AC330" s="152">
        <v>1</v>
      </c>
      <c r="AD330" s="152">
        <v>1</v>
      </c>
      <c r="AE330" s="152">
        <v>1</v>
      </c>
      <c r="AG330" s="71"/>
      <c r="AH330" s="71"/>
      <c r="AI330" s="71"/>
      <c r="AJ330" s="144">
        <v>6628</v>
      </c>
      <c r="AK330" s="71"/>
      <c r="AL330" s="71"/>
      <c r="AM330" s="71"/>
      <c r="AN330" s="71"/>
      <c r="AO330" s="71"/>
      <c r="AP330" s="71"/>
      <c r="AQ330" s="71"/>
      <c r="AR330" s="71"/>
      <c r="AS330" s="94">
        <f t="shared" ref="AS330" ca="1" si="662">IF(MONTH(TODAY())=3,SUM(T330:U330),IF(MONTH(TODAY())=4,SUM(T330:V330),IF(MONTH(TODAY())=5,SUM(T330:W330),IF(MONTH(TODAY())=6,SUM(T330:X330),IF(MONTH(TODAY())=7,SUM(T330:Y330),IF(MONTH(TODAY())=8,SUM(T330:Z330),IF(MONTH(TODAY())=9,SUM(T330:AA330),IF(MONTH(TODAY())=10,SUM(T330:AB330),IF(MONTH(TODAY())=11,SUM(T330:AC330),IF(MONTH(TODAY())=12,SUM(T330:AD330),IF(MONTH(TODAY())=1,SUM(T330:AE330),T330)))))))))))</f>
        <v>2</v>
      </c>
      <c r="AT330" s="95">
        <f t="shared" ref="AT330" si="663">SUM(IF(AW330&lt;1.15,AG330,1.15*T330),IF(AX330&lt;1.15,AH330,1.15*U330),IF(AY330&lt;1.15,AI330,1.15*V330),IF(AZ330&lt;1.15,AJ330,1.15*W330),IF(BA330&lt;1.15,AK330,1.15*X330),IF(BB330&lt;1.15,AL330,1.15*Y330),IF(BC330&lt;1.15,AM330,1.15*Z330),IF(BD330&lt;1.15,AN330,1.15*AA330),IF(BE330&lt;1.15,AO330,1.15*AB330),IF(BF330&lt;1.15,AP330,1.15*AC330),IF(BG330&lt;1.15,AQ330,1.15*AD330),IF(BH330&lt;1.15,AR330,1.15*AE330))</f>
        <v>1.1499999999999999</v>
      </c>
      <c r="AU330" s="97">
        <f t="shared" ref="AU330" si="664">SUM(AG330:AR330)</f>
        <v>6628</v>
      </c>
      <c r="AW330" s="51">
        <f t="shared" ref="AW330" si="665">IFERROR(IF(AG330="",0,AG330/T330),0)</f>
        <v>0</v>
      </c>
      <c r="AX330" s="51">
        <f t="shared" ref="AX330" si="666">IFERROR(IF(AH330="",0,AH330/U330),0)</f>
        <v>0</v>
      </c>
      <c r="AY330" s="51">
        <f t="shared" ref="AY330" si="667">IFERROR(IF(AI330="",0,AI330/V330),0)</f>
        <v>0</v>
      </c>
      <c r="AZ330" s="51">
        <f t="shared" ref="AZ330" si="668">IFERROR(IF(AJ330="",0,AJ330/W330),0)</f>
        <v>6628</v>
      </c>
      <c r="BA330" s="51">
        <f t="shared" si="653"/>
        <v>0</v>
      </c>
      <c r="BB330" s="51"/>
      <c r="BC330" s="51"/>
      <c r="BD330" s="51"/>
      <c r="BE330" s="51"/>
      <c r="BF330" s="51"/>
      <c r="BG330" s="51"/>
      <c r="BH330" s="51"/>
      <c r="BI330" s="65" cm="1">
        <f t="array" ref="BI330">IFERROR(INDEX(AW330:BH330,1,MATCH(2,1/(AW330:BH330&lt;&gt;""))),"")</f>
        <v>0</v>
      </c>
      <c r="BJ330" s="68" cm="1">
        <f t="array" ref="BJ330">IF(BM330 = "", "",IFERROR(INDEX(AW330:BH330,1,MATCH(2,1/(AW330:BH330&lt;&gt;""),1)-1),""))</f>
        <v>6628</v>
      </c>
      <c r="BK330" s="58">
        <f>IF((IF(AW330&gt;=115%,115%,AW330) + IF(AX330&gt;=115%,115%,AX330) + IF(AY330&gt;=115%,115%,AY330) + (IF(AZ330&gt;=115%,115%,AZ330) + IF(BA330&gt;=115%,115%,BA330) + IF(BB330&gt;=115%,115%,BB330) + IF(BC330&gt;=115%,115%,BC330) + IF(BD330&gt;=115%,115%,BD330) + IF(BE330&gt;=115%,115%,BE330) + IF(BF330&gt;=115%,115%,BF330) + IF(BG330&gt;=115%,115%,BG330) + IF(BH330&gt;=115%,115%,BH330)))/_xlfn.XLOOKUP(F330,Apuração!A:A,Apuração!B:B)&gt;=1.15,1.15,((IF(AZ330&gt;=115%,115%,AZ330) + IF(AX330&gt;=115%,115%,AX330) + IF(AY330&gt;=115%,115%,AY330) + (IF(AW330&gt;=115%,115%,AW330) + IF(BA330&gt;=115%,115%,BA330) + IF(BB330&gt;=115%,115%,BB330) + IF(BC330&gt;=115%,115%,BC330) + IF(BD330&gt;=115%,115%,BD330) + IF(BE330&gt;=115%,115%,BE330) + IF(BF330&gt;=115%,115%,BF330) + IF(BG330&gt;=115%,115%,BG330) + IF(BH330&gt;=115%,115%,BH330)))/_xlfn.XLOOKUP(F330,Apuração!A:A,Apuração!B:B)))</f>
        <v>0.12777777777777777</v>
      </c>
      <c r="BL330" s="58" cm="1">
        <f t="array" aca="1" ref="BL330" ca="1">IF(SUM(IFERROR(IF(INDEX(AW330:INDEX(AW330:BH330, MATCH(2, 1/(AW330:BH330&lt;&gt;""), 1)-1), ROW(INDIRECT("1:" &amp; MATCH(2, 1/(AW330:BH330&lt;&gt;""), 1)-1))) &gt;= 115%, 115%, INDEX(AW330:INDEX(AW330:BH330, MATCH(2, 1/(AW330:BH330&lt;&gt;""), 1)-1), ROW(INDIRECT("1:" &amp; MATCH(2, 1/(AW330:BH330&lt;&gt;""), 1)-1)))), 0))/_xlfn.XLOOKUP(F330,Apuração!A:A,Apuração!B:B)&gt;=1.15,1.15,SUM(IFERROR(IF(INDEX(AW330:INDEX(AW330:BH330, MATCH(2, 1/(AW330:BH330&lt;&gt;""), 1)-1), ROW(INDIRECT("1:" &amp; MATCH(2, 1/(AW330:BH330&lt;&gt;""), 1)-1))) &gt;= 115%, 115%, INDEX(AW330:INDEX(AW330:BH330, MATCH(2, 1/(AW330:BH330&lt;&gt;""), 1)-1), ROW(INDIRECT("1:" &amp; MATCH(2, 1/(AW330:BH330&lt;&gt;""), 1)-1)))), 0))/_xlfn.XLOOKUP(F330,Apuração!A:A,Apuração!B:B))</f>
        <v>0.12777777777777777</v>
      </c>
      <c r="BM330" s="55" cm="1">
        <f t="array" ref="BM330">IFERROR(
   INDEX($AW$1:$BH$1,
      _xlfn.AGGREGATE(14, 6, COLUMN($AW$1:$BH$1)/(AW330:BH330&lt;&gt;""), 2) - COLUMN($AW$1) + 1
   ),
"")</f>
        <v>46113</v>
      </c>
      <c r="BN330" s="55" cm="1">
        <f t="array" ref="BN330">IFERROR(INDEX($AW$1:$BH$1,1,MATCH(2,1/(AW330:BH330&lt;&gt;""))),"")</f>
        <v>46143</v>
      </c>
      <c r="BO330" s="53">
        <f ca="1">IFERROR(_xlfn.XLOOKUP(F330,Apuração!A:A,Apuração!C:C)/_xlfn.XLOOKUP(F330,Apuração!A:A,Apuração!B:B),0)</f>
        <v>0.22222222222222221</v>
      </c>
      <c r="BP330" s="53">
        <f ca="1">IFERROR(_xlfn.XLOOKUP(F330,Apuração!A:A,Apuração!D:D)/_xlfn.XLOOKUP(F330,Apuração!A:A,Apuração!B:B),0)</f>
        <v>0.1111111111111111</v>
      </c>
      <c r="BQ330" s="53">
        <f ca="1">IF(BK330&gt;=BO330,0,_xlfn.XLOOKUP(F330,Apuração!A:A,Apuração!B:B)*(BO330 + (1/_xlfn.XLOOKUP(F330,Apuração!A:A,Apuração!B:B)) - BK330))</f>
        <v>1.8499999999999999</v>
      </c>
      <c r="BR330" s="85">
        <f t="shared" ref="BR330" ca="1" si="669">IF(BQ330=0,0,BQ330*Z330)</f>
        <v>1.8499999999999999</v>
      </c>
      <c r="BS330" s="53">
        <f ca="1">IFERROR((_xlfn.XLOOKUP(F330,Apuração!A:A,Apuração!C:C)+1)/_xlfn.XLOOKUP(F330,Apuração!A:A,Apuração!B:B),0)</f>
        <v>0.33333333333333331</v>
      </c>
    </row>
    <row r="331" spans="1:71" ht="25.95" hidden="1" customHeight="1" x14ac:dyDescent="0.3">
      <c r="A331" s="3" t="s">
        <v>33</v>
      </c>
      <c r="B331" s="4" t="s">
        <v>34</v>
      </c>
      <c r="C331" s="5" t="s">
        <v>97</v>
      </c>
      <c r="D331" s="5" t="s">
        <v>101</v>
      </c>
      <c r="E331" s="4" t="str" cm="1">
        <f t="array" ref="E331">_xlfn.IFS(
F331 = "A partir de Abril", "Aguardando Execução na Distribuidora",
A331 = "CAPACITAÇÃO", "Em execução no Corporativo",
TRUE, "Em Execução na Distribuidora"
)</f>
        <v>Em Execução na Distribuidora</v>
      </c>
      <c r="F331" s="4" t="str" cm="1">
        <f t="array" ref="F331">_xlfn.IFS(
AG331 &lt;&gt; "", "Jan-Dez/26",
AH331 &lt;&gt; "", "Fev-Dez/26",
AI331 &lt;&gt; "", "Mar-Dez/26", AJ331 &lt;&gt; "", "Abr-Dez/26",
TRUE, "A partir de Junho"
)</f>
        <v>Abr-Dez/26</v>
      </c>
      <c r="G331" s="6" t="s">
        <v>37</v>
      </c>
      <c r="H331" s="7" t="s">
        <v>54</v>
      </c>
      <c r="I331" s="8" t="s">
        <v>39</v>
      </c>
      <c r="J331" s="8" t="str" cm="1">
        <f t="array" aca="1" ref="J331" ca="1">_xlfn.LET(
  _xlpm.actual_value_month, INDEX(T331:AE331, MATCH(DATE(YEAR(TODAY()), MONTH(TODAY()), 1), $T$1:$AE$1, 0)),
  IF(_xlpm.actual_value_month &lt;&gt; "",_xlpm.actual_value_month &amp; " soluções mensais", "")
)</f>
        <v>1 soluções mensais</v>
      </c>
      <c r="K331" s="8" t="str" cm="1">
        <f t="array" ref="K331">_xlfn.LET(
    _xlpm.sum_month, SUM(T331:AE331),
    IF(_xlpm.sum_month = 0, "", _xlpm.sum_month &amp; " soluções implementadas no ano")
)</f>
        <v>9 soluções implementadas no ano</v>
      </c>
      <c r="L331" s="9" t="s">
        <v>40</v>
      </c>
      <c r="M331" s="9" t="s">
        <v>41</v>
      </c>
      <c r="N331" s="5" t="s">
        <v>42</v>
      </c>
      <c r="O331" s="5" t="s">
        <v>43</v>
      </c>
      <c r="P331" s="10" t="s">
        <v>44</v>
      </c>
      <c r="Q331" s="10" t="s">
        <v>44</v>
      </c>
      <c r="R331" s="11" t="s">
        <v>45</v>
      </c>
      <c r="S331" s="11" t="s">
        <v>46</v>
      </c>
      <c r="T331" s="22"/>
      <c r="U331" s="22"/>
      <c r="V331" s="22"/>
      <c r="W331" s="152">
        <v>1</v>
      </c>
      <c r="X331" s="152">
        <v>1</v>
      </c>
      <c r="Y331" s="152">
        <v>1</v>
      </c>
      <c r="Z331" s="152">
        <v>1</v>
      </c>
      <c r="AA331" s="152">
        <v>1</v>
      </c>
      <c r="AB331" s="152">
        <v>1</v>
      </c>
      <c r="AC331" s="152">
        <v>1</v>
      </c>
      <c r="AD331" s="152">
        <v>1</v>
      </c>
      <c r="AE331" s="152">
        <v>1</v>
      </c>
      <c r="AG331" s="71"/>
      <c r="AH331" s="71"/>
      <c r="AI331" s="71"/>
      <c r="AJ331" s="144">
        <v>805</v>
      </c>
      <c r="AK331" s="71"/>
      <c r="AL331" s="71"/>
      <c r="AM331" s="71"/>
      <c r="AN331" s="71"/>
      <c r="AO331" s="71"/>
      <c r="AP331" s="71"/>
      <c r="AQ331" s="71"/>
      <c r="AR331" s="71"/>
      <c r="AS331" s="94">
        <f t="shared" ca="1" si="654"/>
        <v>2</v>
      </c>
      <c r="AT331" s="95">
        <f t="shared" si="655"/>
        <v>1.1499999999999999</v>
      </c>
      <c r="AU331" s="97">
        <f t="shared" si="656"/>
        <v>805</v>
      </c>
      <c r="AW331" s="51">
        <f t="shared" si="657"/>
        <v>0</v>
      </c>
      <c r="AX331" s="51">
        <f t="shared" si="658"/>
        <v>0</v>
      </c>
      <c r="AY331" s="51">
        <f t="shared" si="659"/>
        <v>0</v>
      </c>
      <c r="AZ331" s="51">
        <f t="shared" si="660"/>
        <v>805</v>
      </c>
      <c r="BA331" s="51">
        <f t="shared" si="653"/>
        <v>0</v>
      </c>
      <c r="BB331" s="51"/>
      <c r="BC331" s="51"/>
      <c r="BD331" s="51"/>
      <c r="BE331" s="51"/>
      <c r="BF331" s="51"/>
      <c r="BG331" s="51"/>
      <c r="BH331" s="51"/>
      <c r="BI331" s="65" cm="1">
        <f t="array" ref="BI331">IFERROR(INDEX(AW331:BH331,1,MATCH(2,1/(AW331:BH331&lt;&gt;""))),"")</f>
        <v>0</v>
      </c>
      <c r="BJ331" s="68" cm="1">
        <f t="array" ref="BJ331">IF(BM331 = "", "",IFERROR(INDEX(AW331:BH331,1,MATCH(2,1/(AW331:BH331&lt;&gt;""),1)-1),""))</f>
        <v>805</v>
      </c>
      <c r="BK331" s="58">
        <f>IF((IF(AW331&gt;=115%,115%,AW331) + IF(AX331&gt;=115%,115%,AX331) + IF(AY331&gt;=115%,115%,AY331) + (IF(AZ331&gt;=115%,115%,AZ331) + IF(BA331&gt;=115%,115%,BA331) + IF(BB331&gt;=115%,115%,BB331) + IF(BC331&gt;=115%,115%,BC331) + IF(BD331&gt;=115%,115%,BD331) + IF(BE331&gt;=115%,115%,BE331) + IF(BF331&gt;=115%,115%,BF331) + IF(BG331&gt;=115%,115%,BG331) + IF(BH331&gt;=115%,115%,BH331)))/_xlfn.XLOOKUP(F331,Apuração!A:A,Apuração!B:B)&gt;=1.15,1.15,((IF(AZ331&gt;=115%,115%,AZ331) + IF(AX331&gt;=115%,115%,AX331) + IF(AY331&gt;=115%,115%,AY331) + (IF(AW331&gt;=115%,115%,AW331) + IF(BA331&gt;=115%,115%,BA331) + IF(BB331&gt;=115%,115%,BB331) + IF(BC331&gt;=115%,115%,BC331) + IF(BD331&gt;=115%,115%,BD331) + IF(BE331&gt;=115%,115%,BE331) + IF(BF331&gt;=115%,115%,BF331) + IF(BG331&gt;=115%,115%,BG331) + IF(BH331&gt;=115%,115%,BH331)))/_xlfn.XLOOKUP(F331,Apuração!A:A,Apuração!B:B)))</f>
        <v>0.12777777777777777</v>
      </c>
      <c r="BL331" s="58" cm="1">
        <f t="array" aca="1" ref="BL331" ca="1">IF(SUM(IFERROR(IF(INDEX(AW331:INDEX(AW331:BH331, MATCH(2, 1/(AW331:BH331&lt;&gt;""), 1)-1), ROW(INDIRECT("1:" &amp; MATCH(2, 1/(AW331:BH331&lt;&gt;""), 1)-1))) &gt;= 115%, 115%, INDEX(AW331:INDEX(AW331:BH331, MATCH(2, 1/(AW331:BH331&lt;&gt;""), 1)-1), ROW(INDIRECT("1:" &amp; MATCH(2, 1/(AW331:BH331&lt;&gt;""), 1)-1)))), 0))/_xlfn.XLOOKUP(F331,Apuração!A:A,Apuração!B:B)&gt;=1.15,1.15,SUM(IFERROR(IF(INDEX(AW331:INDEX(AW331:BH331, MATCH(2, 1/(AW331:BH331&lt;&gt;""), 1)-1), ROW(INDIRECT("1:" &amp; MATCH(2, 1/(AW331:BH331&lt;&gt;""), 1)-1))) &gt;= 115%, 115%, INDEX(AW331:INDEX(AW331:BH331, MATCH(2, 1/(AW331:BH331&lt;&gt;""), 1)-1), ROW(INDIRECT("1:" &amp; MATCH(2, 1/(AW331:BH331&lt;&gt;""), 1)-1)))), 0))/_xlfn.XLOOKUP(F331,Apuração!A:A,Apuração!B:B))</f>
        <v>0.12777777777777777</v>
      </c>
      <c r="BM331" s="55" cm="1">
        <f t="array" ref="BM331">IFERROR(
   INDEX($AW$1:$BH$1,
      _xlfn.AGGREGATE(14, 6, COLUMN($AW$1:$BH$1)/(AW331:BH331&lt;&gt;""), 2) - COLUMN($AW$1) + 1
   ),
"")</f>
        <v>46113</v>
      </c>
      <c r="BN331" s="55" cm="1">
        <f t="array" ref="BN331">IFERROR(INDEX($AW$1:$BH$1,1,MATCH(2,1/(AW331:BH331&lt;&gt;""))),"")</f>
        <v>46143</v>
      </c>
      <c r="BO331" s="53">
        <f ca="1">IFERROR(_xlfn.XLOOKUP(F331,Apuração!A:A,Apuração!C:C)/_xlfn.XLOOKUP(F331,Apuração!A:A,Apuração!B:B),0)</f>
        <v>0.22222222222222221</v>
      </c>
      <c r="BP331" s="53">
        <f ca="1">IFERROR(_xlfn.XLOOKUP(F331,Apuração!A:A,Apuração!D:D)/_xlfn.XLOOKUP(F331,Apuração!A:A,Apuração!B:B),0)</f>
        <v>0.1111111111111111</v>
      </c>
      <c r="BQ331" s="53">
        <f ca="1">IF(BK331&gt;=BO331,0,_xlfn.XLOOKUP(F331,Apuração!A:A,Apuração!B:B)*(BO331 + (1/_xlfn.XLOOKUP(F331,Apuração!A:A,Apuração!B:B)) - BK331))</f>
        <v>1.8499999999999999</v>
      </c>
      <c r="BR331" s="85">
        <f t="shared" ca="1" si="661"/>
        <v>1.8499999999999999</v>
      </c>
      <c r="BS331" s="53">
        <f ca="1">IFERROR((_xlfn.XLOOKUP(F331,Apuração!A:A,Apuração!C:C)+1)/_xlfn.XLOOKUP(F331,Apuração!A:A,Apuração!B:B),0)</f>
        <v>0.33333333333333331</v>
      </c>
    </row>
    <row r="332" spans="1:71" ht="25.95" hidden="1" customHeight="1" x14ac:dyDescent="0.3">
      <c r="A332" s="3" t="s">
        <v>33</v>
      </c>
      <c r="B332" s="4" t="s">
        <v>34</v>
      </c>
      <c r="C332" s="5" t="s">
        <v>97</v>
      </c>
      <c r="D332" s="5" t="s">
        <v>102</v>
      </c>
      <c r="E332" s="4" t="str" cm="1">
        <f t="array" ref="E332">_xlfn.IFS(
F332 = "A partir de Abril", "Aguardando Execução na Distribuidora",
A332 = "CAPACITAÇÃO", "Em execução no Corporativo",
TRUE, "Em Execução na Distribuidora"
)</f>
        <v>Em Execução na Distribuidora</v>
      </c>
      <c r="F332" s="4" t="str" cm="1">
        <f t="array" ref="F332">_xlfn.IFS(
AG332 &lt;&gt; "", "Jan-Dez/26",
AH332 &lt;&gt; "", "Fev-Dez/26",
AI332 &lt;&gt; "", "Mar-Dez/26", AJ332 &lt;&gt; "", "Abr-Dez/26",
TRUE, "A partir de Junho"
)</f>
        <v>Abr-Dez/26</v>
      </c>
      <c r="G332" s="6" t="s">
        <v>37</v>
      </c>
      <c r="H332" s="7" t="s">
        <v>54</v>
      </c>
      <c r="I332" s="8" t="s">
        <v>39</v>
      </c>
      <c r="J332" s="8" t="str" cm="1">
        <f t="array" aca="1" ref="J332" ca="1">_xlfn.LET(
  _xlpm.actual_value_month, INDEX(T332:AE332, MATCH(DATE(YEAR(TODAY()), MONTH(TODAY()), 1), $T$1:$AE$1, 0)),
  IF(_xlpm.actual_value_month &lt;&gt; "",_xlpm.actual_value_month &amp; " soluções mensais", "")
)</f>
        <v>1 soluções mensais</v>
      </c>
      <c r="K332" s="8" t="str" cm="1">
        <f t="array" ref="K332">_xlfn.LET(
    _xlpm.sum_month, SUM(T332:AE332),
    IF(_xlpm.sum_month = 0, "", _xlpm.sum_month &amp; " soluções implementadas no ano")
)</f>
        <v>9 soluções implementadas no ano</v>
      </c>
      <c r="L332" s="9" t="s">
        <v>40</v>
      </c>
      <c r="M332" s="9" t="s">
        <v>41</v>
      </c>
      <c r="N332" s="5" t="s">
        <v>42</v>
      </c>
      <c r="O332" s="5" t="s">
        <v>43</v>
      </c>
      <c r="P332" s="10" t="s">
        <v>44</v>
      </c>
      <c r="Q332" s="10" t="s">
        <v>44</v>
      </c>
      <c r="R332" s="11" t="s">
        <v>45</v>
      </c>
      <c r="S332" s="11" t="s">
        <v>46</v>
      </c>
      <c r="T332" s="22"/>
      <c r="U332" s="22"/>
      <c r="V332" s="22"/>
      <c r="W332" s="152">
        <v>1</v>
      </c>
      <c r="X332" s="152">
        <v>1</v>
      </c>
      <c r="Y332" s="152">
        <v>1</v>
      </c>
      <c r="Z332" s="152">
        <v>1</v>
      </c>
      <c r="AA332" s="152">
        <v>1</v>
      </c>
      <c r="AB332" s="152">
        <v>1</v>
      </c>
      <c r="AC332" s="152">
        <v>1</v>
      </c>
      <c r="AD332" s="152">
        <v>1</v>
      </c>
      <c r="AE332" s="152">
        <v>1</v>
      </c>
      <c r="AG332" s="71"/>
      <c r="AH332" s="71"/>
      <c r="AI332" s="71"/>
      <c r="AJ332" s="144">
        <v>2298</v>
      </c>
      <c r="AK332" s="71"/>
      <c r="AL332" s="71"/>
      <c r="AM332" s="71"/>
      <c r="AN332" s="71"/>
      <c r="AO332" s="71"/>
      <c r="AP332" s="71"/>
      <c r="AQ332" s="71"/>
      <c r="AR332" s="71"/>
      <c r="AS332" s="94">
        <f t="shared" ca="1" si="654"/>
        <v>2</v>
      </c>
      <c r="AT332" s="95">
        <f t="shared" si="655"/>
        <v>1.1499999999999999</v>
      </c>
      <c r="AU332" s="97">
        <f t="shared" si="656"/>
        <v>2298</v>
      </c>
      <c r="AW332" s="51">
        <f t="shared" si="657"/>
        <v>0</v>
      </c>
      <c r="AX332" s="51">
        <f t="shared" si="658"/>
        <v>0</v>
      </c>
      <c r="AY332" s="51">
        <f t="shared" si="659"/>
        <v>0</v>
      </c>
      <c r="AZ332" s="51">
        <f t="shared" si="660"/>
        <v>2298</v>
      </c>
      <c r="BA332" s="51">
        <f t="shared" si="653"/>
        <v>0</v>
      </c>
      <c r="BB332" s="51"/>
      <c r="BC332" s="51"/>
      <c r="BD332" s="51"/>
      <c r="BE332" s="51"/>
      <c r="BF332" s="51"/>
      <c r="BG332" s="51"/>
      <c r="BH332" s="51"/>
      <c r="BI332" s="65" cm="1">
        <f t="array" ref="BI332">IFERROR(INDEX(AW332:BH332,1,MATCH(2,1/(AW332:BH332&lt;&gt;""))),"")</f>
        <v>0</v>
      </c>
      <c r="BJ332" s="68" cm="1">
        <f t="array" ref="BJ332">IF(BM332 = "", "",IFERROR(INDEX(AW332:BH332,1,MATCH(2,1/(AW332:BH332&lt;&gt;""),1)-1),""))</f>
        <v>2298</v>
      </c>
      <c r="BK332" s="58">
        <f>IF((IF(AW332&gt;=115%,115%,AW332) + IF(AX332&gt;=115%,115%,AX332) + IF(AY332&gt;=115%,115%,AY332) + (IF(AZ332&gt;=115%,115%,AZ332) + IF(BA332&gt;=115%,115%,BA332) + IF(BB332&gt;=115%,115%,BB332) + IF(BC332&gt;=115%,115%,BC332) + IF(BD332&gt;=115%,115%,BD332) + IF(BE332&gt;=115%,115%,BE332) + IF(BF332&gt;=115%,115%,BF332) + IF(BG332&gt;=115%,115%,BG332) + IF(BH332&gt;=115%,115%,BH332)))/_xlfn.XLOOKUP(F332,Apuração!A:A,Apuração!B:B)&gt;=1.15,1.15,((IF(AZ332&gt;=115%,115%,AZ332) + IF(AX332&gt;=115%,115%,AX332) + IF(AY332&gt;=115%,115%,AY332) + (IF(AW332&gt;=115%,115%,AW332) + IF(BA332&gt;=115%,115%,BA332) + IF(BB332&gt;=115%,115%,BB332) + IF(BC332&gt;=115%,115%,BC332) + IF(BD332&gt;=115%,115%,BD332) + IF(BE332&gt;=115%,115%,BE332) + IF(BF332&gt;=115%,115%,BF332) + IF(BG332&gt;=115%,115%,BG332) + IF(BH332&gt;=115%,115%,BH332)))/_xlfn.XLOOKUP(F332,Apuração!A:A,Apuração!B:B)))</f>
        <v>0.12777777777777777</v>
      </c>
      <c r="BL332" s="58" cm="1">
        <f t="array" aca="1" ref="BL332" ca="1">IF(SUM(IFERROR(IF(INDEX(AW332:INDEX(AW332:BH332, MATCH(2, 1/(AW332:BH332&lt;&gt;""), 1)-1), ROW(INDIRECT("1:" &amp; MATCH(2, 1/(AW332:BH332&lt;&gt;""), 1)-1))) &gt;= 115%, 115%, INDEX(AW332:INDEX(AW332:BH332, MATCH(2, 1/(AW332:BH332&lt;&gt;""), 1)-1), ROW(INDIRECT("1:" &amp; MATCH(2, 1/(AW332:BH332&lt;&gt;""), 1)-1)))), 0))/_xlfn.XLOOKUP(F332,Apuração!A:A,Apuração!B:B)&gt;=1.15,1.15,SUM(IFERROR(IF(INDEX(AW332:INDEX(AW332:BH332, MATCH(2, 1/(AW332:BH332&lt;&gt;""), 1)-1), ROW(INDIRECT("1:" &amp; MATCH(2, 1/(AW332:BH332&lt;&gt;""), 1)-1))) &gt;= 115%, 115%, INDEX(AW332:INDEX(AW332:BH332, MATCH(2, 1/(AW332:BH332&lt;&gt;""), 1)-1), ROW(INDIRECT("1:" &amp; MATCH(2, 1/(AW332:BH332&lt;&gt;""), 1)-1)))), 0))/_xlfn.XLOOKUP(F332,Apuração!A:A,Apuração!B:B))</f>
        <v>0.12777777777777777</v>
      </c>
      <c r="BM332" s="55" cm="1">
        <f t="array" ref="BM332">IFERROR(
   INDEX($AW$1:$BH$1,
      _xlfn.AGGREGATE(14, 6, COLUMN($AW$1:$BH$1)/(AW332:BH332&lt;&gt;""), 2) - COLUMN($AW$1) + 1
   ),
"")</f>
        <v>46113</v>
      </c>
      <c r="BN332" s="55" cm="1">
        <f t="array" ref="BN332">IFERROR(INDEX($AW$1:$BH$1,1,MATCH(2,1/(AW332:BH332&lt;&gt;""))),"")</f>
        <v>46143</v>
      </c>
      <c r="BO332" s="53">
        <f ca="1">IFERROR(_xlfn.XLOOKUP(F332,Apuração!A:A,Apuração!C:C)/_xlfn.XLOOKUP(F332,Apuração!A:A,Apuração!B:B),0)</f>
        <v>0.22222222222222221</v>
      </c>
      <c r="BP332" s="53">
        <f ca="1">IFERROR(_xlfn.XLOOKUP(F332,Apuração!A:A,Apuração!D:D)/_xlfn.XLOOKUP(F332,Apuração!A:A,Apuração!B:B),0)</f>
        <v>0.1111111111111111</v>
      </c>
      <c r="BQ332" s="53">
        <f ca="1">IF(BK332&gt;=BO332,0,_xlfn.XLOOKUP(F332,Apuração!A:A,Apuração!B:B)*(BO332 + (1/_xlfn.XLOOKUP(F332,Apuração!A:A,Apuração!B:B)) - BK332))</f>
        <v>1.8499999999999999</v>
      </c>
      <c r="BR332" s="85">
        <f t="shared" ca="1" si="661"/>
        <v>1.8499999999999999</v>
      </c>
      <c r="BS332" s="53">
        <f ca="1">IFERROR((_xlfn.XLOOKUP(F332,Apuração!A:A,Apuração!C:C)+1)/_xlfn.XLOOKUP(F332,Apuração!A:A,Apuração!B:B),0)</f>
        <v>0.33333333333333331</v>
      </c>
    </row>
    <row r="333" spans="1:71" ht="25.95" hidden="1" customHeight="1" x14ac:dyDescent="0.3">
      <c r="A333" s="3" t="s">
        <v>33</v>
      </c>
      <c r="B333" s="4" t="s">
        <v>34</v>
      </c>
      <c r="C333" s="5" t="s">
        <v>97</v>
      </c>
      <c r="D333" s="5" t="s">
        <v>103</v>
      </c>
      <c r="E333" s="4" t="str" cm="1">
        <f t="array" ref="E333">_xlfn.IFS(
F333 = "A partir de Abril", "Aguardando Execução na Distribuidora",
A333 = "CAPACITAÇÃO", "Em execução no Corporativo",
TRUE, "Em Execução na Distribuidora"
)</f>
        <v>Em Execução na Distribuidora</v>
      </c>
      <c r="F333" s="4" t="str" cm="1">
        <f t="array" ref="F333">_xlfn.IFS(
AG333 &lt;&gt; "", "Jan-Dez/26",
AH333 &lt;&gt; "", "Fev-Dez/26",
AI333 &lt;&gt; "", "Mar-Dez/26", AJ333 &lt;&gt; "", "Abr-Dez/26",
TRUE, "A partir de Junho"
)</f>
        <v>Abr-Dez/26</v>
      </c>
      <c r="G333" s="6" t="s">
        <v>37</v>
      </c>
      <c r="H333" s="7" t="s">
        <v>54</v>
      </c>
      <c r="I333" s="8" t="s">
        <v>39</v>
      </c>
      <c r="J333" s="8" t="str" cm="1">
        <f t="array" aca="1" ref="J333" ca="1">_xlfn.LET(
  _xlpm.actual_value_month, INDEX(T333:AE333, MATCH(DATE(YEAR(TODAY()), MONTH(TODAY()), 1), $T$1:$AE$1, 0)),
  IF(_xlpm.actual_value_month &lt;&gt; "",_xlpm.actual_value_month &amp; " soluções mensais", "")
)</f>
        <v>1 soluções mensais</v>
      </c>
      <c r="K333" s="8" t="str" cm="1">
        <f t="array" ref="K333">_xlfn.LET(
    _xlpm.sum_month, SUM(T333:AE333),
    IF(_xlpm.sum_month = 0, "", _xlpm.sum_month &amp; " soluções implementadas no ano")
)</f>
        <v>9 soluções implementadas no ano</v>
      </c>
      <c r="L333" s="9" t="s">
        <v>40</v>
      </c>
      <c r="M333" s="9" t="s">
        <v>41</v>
      </c>
      <c r="N333" s="5" t="s">
        <v>42</v>
      </c>
      <c r="O333" s="5" t="s">
        <v>43</v>
      </c>
      <c r="P333" s="10" t="s">
        <v>44</v>
      </c>
      <c r="Q333" s="10" t="s">
        <v>44</v>
      </c>
      <c r="R333" s="11" t="s">
        <v>45</v>
      </c>
      <c r="S333" s="11" t="s">
        <v>46</v>
      </c>
      <c r="T333" s="22"/>
      <c r="U333" s="22"/>
      <c r="V333" s="22"/>
      <c r="W333" s="152">
        <v>1</v>
      </c>
      <c r="X333" s="152">
        <v>1</v>
      </c>
      <c r="Y333" s="152">
        <v>1</v>
      </c>
      <c r="Z333" s="152">
        <v>1</v>
      </c>
      <c r="AA333" s="152">
        <v>1</v>
      </c>
      <c r="AB333" s="152">
        <v>1</v>
      </c>
      <c r="AC333" s="152">
        <v>1</v>
      </c>
      <c r="AD333" s="152">
        <v>1</v>
      </c>
      <c r="AE333" s="152">
        <v>1</v>
      </c>
      <c r="AG333" s="71"/>
      <c r="AH333" s="71"/>
      <c r="AI333" s="71"/>
      <c r="AJ333" s="144">
        <v>6628</v>
      </c>
      <c r="AK333" s="71"/>
      <c r="AL333" s="71"/>
      <c r="AM333" s="71"/>
      <c r="AN333" s="71"/>
      <c r="AO333" s="71"/>
      <c r="AP333" s="71"/>
      <c r="AQ333" s="71"/>
      <c r="AR333" s="71"/>
      <c r="AS333" s="94">
        <f t="shared" ca="1" si="654"/>
        <v>2</v>
      </c>
      <c r="AT333" s="95">
        <f t="shared" si="655"/>
        <v>1.1499999999999999</v>
      </c>
      <c r="AU333" s="97">
        <f t="shared" si="656"/>
        <v>6628</v>
      </c>
      <c r="AW333" s="51">
        <f t="shared" si="657"/>
        <v>0</v>
      </c>
      <c r="AX333" s="51">
        <f t="shared" si="658"/>
        <v>0</v>
      </c>
      <c r="AY333" s="51">
        <f t="shared" si="659"/>
        <v>0</v>
      </c>
      <c r="AZ333" s="51">
        <f t="shared" si="660"/>
        <v>6628</v>
      </c>
      <c r="BA333" s="51">
        <f t="shared" si="653"/>
        <v>0</v>
      </c>
      <c r="BB333" s="51"/>
      <c r="BC333" s="51"/>
      <c r="BD333" s="51"/>
      <c r="BE333" s="51"/>
      <c r="BF333" s="51"/>
      <c r="BG333" s="51"/>
      <c r="BH333" s="51"/>
      <c r="BI333" s="65" cm="1">
        <f t="array" ref="BI333">IFERROR(INDEX(AW333:BH333,1,MATCH(2,1/(AW333:BH333&lt;&gt;""))),"")</f>
        <v>0</v>
      </c>
      <c r="BJ333" s="68" cm="1">
        <f t="array" ref="BJ333">IF(BM333 = "", "",IFERROR(INDEX(AW333:BH333,1,MATCH(2,1/(AW333:BH333&lt;&gt;""),1)-1),""))</f>
        <v>6628</v>
      </c>
      <c r="BK333" s="58">
        <f>IF((IF(AW333&gt;=115%,115%,AW333) + IF(AX333&gt;=115%,115%,AX333) + IF(AY333&gt;=115%,115%,AY333) + (IF(AZ333&gt;=115%,115%,AZ333) + IF(BA333&gt;=115%,115%,BA333) + IF(BB333&gt;=115%,115%,BB333) + IF(BC333&gt;=115%,115%,BC333) + IF(BD333&gt;=115%,115%,BD333) + IF(BE333&gt;=115%,115%,BE333) + IF(BF333&gt;=115%,115%,BF333) + IF(BG333&gt;=115%,115%,BG333) + IF(BH333&gt;=115%,115%,BH333)))/_xlfn.XLOOKUP(F333,Apuração!A:A,Apuração!B:B)&gt;=1.15,1.15,((IF(AZ333&gt;=115%,115%,AZ333) + IF(AX333&gt;=115%,115%,AX333) + IF(AY333&gt;=115%,115%,AY333) + (IF(AW333&gt;=115%,115%,AW333) + IF(BA333&gt;=115%,115%,BA333) + IF(BB333&gt;=115%,115%,BB333) + IF(BC333&gt;=115%,115%,BC333) + IF(BD333&gt;=115%,115%,BD333) + IF(BE333&gt;=115%,115%,BE333) + IF(BF333&gt;=115%,115%,BF333) + IF(BG333&gt;=115%,115%,BG333) + IF(BH333&gt;=115%,115%,BH333)))/_xlfn.XLOOKUP(F333,Apuração!A:A,Apuração!B:B)))</f>
        <v>0.12777777777777777</v>
      </c>
      <c r="BL333" s="58" cm="1">
        <f t="array" aca="1" ref="BL333" ca="1">IF(SUM(IFERROR(IF(INDEX(AW333:INDEX(AW333:BH333, MATCH(2, 1/(AW333:BH333&lt;&gt;""), 1)-1), ROW(INDIRECT("1:" &amp; MATCH(2, 1/(AW333:BH333&lt;&gt;""), 1)-1))) &gt;= 115%, 115%, INDEX(AW333:INDEX(AW333:BH333, MATCH(2, 1/(AW333:BH333&lt;&gt;""), 1)-1), ROW(INDIRECT("1:" &amp; MATCH(2, 1/(AW333:BH333&lt;&gt;""), 1)-1)))), 0))/_xlfn.XLOOKUP(F333,Apuração!A:A,Apuração!B:B)&gt;=1.15,1.15,SUM(IFERROR(IF(INDEX(AW333:INDEX(AW333:BH333, MATCH(2, 1/(AW333:BH333&lt;&gt;""), 1)-1), ROW(INDIRECT("1:" &amp; MATCH(2, 1/(AW333:BH333&lt;&gt;""), 1)-1))) &gt;= 115%, 115%, INDEX(AW333:INDEX(AW333:BH333, MATCH(2, 1/(AW333:BH333&lt;&gt;""), 1)-1), ROW(INDIRECT("1:" &amp; MATCH(2, 1/(AW333:BH333&lt;&gt;""), 1)-1)))), 0))/_xlfn.XLOOKUP(F333,Apuração!A:A,Apuração!B:B))</f>
        <v>0.12777777777777777</v>
      </c>
      <c r="BM333" s="55" cm="1">
        <f t="array" ref="BM333">IFERROR(
   INDEX($AW$1:$BH$1,
      _xlfn.AGGREGATE(14, 6, COLUMN($AW$1:$BH$1)/(AW333:BH333&lt;&gt;""), 2) - COLUMN($AW$1) + 1
   ),
"")</f>
        <v>46113</v>
      </c>
      <c r="BN333" s="55" cm="1">
        <f t="array" ref="BN333">IFERROR(INDEX($AW$1:$BH$1,1,MATCH(2,1/(AW333:BH333&lt;&gt;""))),"")</f>
        <v>46143</v>
      </c>
      <c r="BO333" s="53">
        <f ca="1">IFERROR(_xlfn.XLOOKUP(F333,Apuração!A:A,Apuração!C:C)/_xlfn.XLOOKUP(F333,Apuração!A:A,Apuração!B:B),0)</f>
        <v>0.22222222222222221</v>
      </c>
      <c r="BP333" s="53">
        <f ca="1">IFERROR(_xlfn.XLOOKUP(F333,Apuração!A:A,Apuração!D:D)/_xlfn.XLOOKUP(F333,Apuração!A:A,Apuração!B:B),0)</f>
        <v>0.1111111111111111</v>
      </c>
      <c r="BQ333" s="53">
        <f ca="1">IF(BK333&gt;=BO333,0,_xlfn.XLOOKUP(F333,Apuração!A:A,Apuração!B:B)*(BO333 + (1/_xlfn.XLOOKUP(F333,Apuração!A:A,Apuração!B:B)) - BK333))</f>
        <v>1.8499999999999999</v>
      </c>
      <c r="BR333" s="85">
        <f t="shared" ca="1" si="661"/>
        <v>1.8499999999999999</v>
      </c>
      <c r="BS333" s="53">
        <f ca="1">IFERROR((_xlfn.XLOOKUP(F333,Apuração!A:A,Apuração!C:C)+1)/_xlfn.XLOOKUP(F333,Apuração!A:A,Apuração!B:B),0)</f>
        <v>0.33333333333333331</v>
      </c>
    </row>
    <row r="334" spans="1:71" ht="25.95" hidden="1" customHeight="1" x14ac:dyDescent="0.3">
      <c r="A334" s="3" t="s">
        <v>33</v>
      </c>
      <c r="B334" s="4" t="s">
        <v>34</v>
      </c>
      <c r="C334" s="5" t="s">
        <v>97</v>
      </c>
      <c r="D334" s="5" t="s">
        <v>104</v>
      </c>
      <c r="E334" s="4" t="str" cm="1">
        <f t="array" ref="E334">_xlfn.IFS(
F334 = "A partir de Abril", "Aguardando Execução na Distribuidora",
A334 = "CAPACITAÇÃO", "Em execução no Corporativo",
TRUE, "Em Execução na Distribuidora"
)</f>
        <v>Em Execução na Distribuidora</v>
      </c>
      <c r="F334" s="4" t="str" cm="1">
        <f t="array" ref="F334">_xlfn.IFS(
AG334 &lt;&gt; "", "Jan-Dez/26",
AH334 &lt;&gt; "", "Fev-Dez/26",
AI334 &lt;&gt; "", "Mar-Dez/26", AJ334 &lt;&gt; "", "Abr-Dez/26",
TRUE, "A partir de Junho"
)</f>
        <v>Abr-Dez/26</v>
      </c>
      <c r="G334" s="6" t="s">
        <v>37</v>
      </c>
      <c r="H334" s="7" t="s">
        <v>54</v>
      </c>
      <c r="I334" s="8" t="s">
        <v>39</v>
      </c>
      <c r="J334" s="8" t="str" cm="1">
        <f t="array" aca="1" ref="J334" ca="1">_xlfn.LET(
  _xlpm.actual_value_month, INDEX(T334:AE334, MATCH(DATE(YEAR(TODAY()), MONTH(TODAY()), 1), $T$1:$AE$1, 0)),
  IF(_xlpm.actual_value_month &lt;&gt; "",_xlpm.actual_value_month &amp; " soluções mensais", "")
)</f>
        <v>1 soluções mensais</v>
      </c>
      <c r="K334" s="8" t="str" cm="1">
        <f t="array" ref="K334">_xlfn.LET(
    _xlpm.sum_month, SUM(T334:AE334),
    IF(_xlpm.sum_month = 0, "", _xlpm.sum_month &amp; " soluções implementadas no ano")
)</f>
        <v>9 soluções implementadas no ano</v>
      </c>
      <c r="L334" s="9" t="s">
        <v>40</v>
      </c>
      <c r="M334" s="9" t="s">
        <v>41</v>
      </c>
      <c r="N334" s="5" t="s">
        <v>42</v>
      </c>
      <c r="O334" s="5" t="s">
        <v>43</v>
      </c>
      <c r="P334" s="10" t="s">
        <v>44</v>
      </c>
      <c r="Q334" s="10" t="s">
        <v>44</v>
      </c>
      <c r="R334" s="11" t="s">
        <v>45</v>
      </c>
      <c r="S334" s="11" t="s">
        <v>46</v>
      </c>
      <c r="T334" s="22"/>
      <c r="U334" s="22"/>
      <c r="V334" s="22"/>
      <c r="W334" s="152">
        <v>1</v>
      </c>
      <c r="X334" s="152">
        <v>1</v>
      </c>
      <c r="Y334" s="152">
        <v>1</v>
      </c>
      <c r="Z334" s="152">
        <v>1</v>
      </c>
      <c r="AA334" s="152">
        <v>1</v>
      </c>
      <c r="AB334" s="152">
        <v>1</v>
      </c>
      <c r="AC334" s="152">
        <v>1</v>
      </c>
      <c r="AD334" s="152">
        <v>1</v>
      </c>
      <c r="AE334" s="152">
        <v>1</v>
      </c>
      <c r="AG334" s="71"/>
      <c r="AH334" s="71"/>
      <c r="AI334" s="71"/>
      <c r="AJ334" s="144">
        <v>805</v>
      </c>
      <c r="AK334" s="71"/>
      <c r="AL334" s="71"/>
      <c r="AM334" s="71"/>
      <c r="AN334" s="71"/>
      <c r="AO334" s="71"/>
      <c r="AP334" s="71"/>
      <c r="AQ334" s="71"/>
      <c r="AR334" s="71"/>
      <c r="AS334" s="94">
        <f t="shared" ca="1" si="654"/>
        <v>2</v>
      </c>
      <c r="AT334" s="95">
        <f t="shared" si="655"/>
        <v>1.1499999999999999</v>
      </c>
      <c r="AU334" s="97">
        <f t="shared" si="656"/>
        <v>805</v>
      </c>
      <c r="AW334" s="51">
        <f t="shared" si="657"/>
        <v>0</v>
      </c>
      <c r="AX334" s="51">
        <f t="shared" si="658"/>
        <v>0</v>
      </c>
      <c r="AY334" s="51">
        <f t="shared" si="659"/>
        <v>0</v>
      </c>
      <c r="AZ334" s="51">
        <f t="shared" si="660"/>
        <v>805</v>
      </c>
      <c r="BA334" s="51">
        <f t="shared" si="653"/>
        <v>0</v>
      </c>
      <c r="BB334" s="51"/>
      <c r="BC334" s="51"/>
      <c r="BD334" s="51"/>
      <c r="BE334" s="51"/>
      <c r="BF334" s="51"/>
      <c r="BG334" s="51"/>
      <c r="BH334" s="51"/>
      <c r="BI334" s="65" cm="1">
        <f t="array" ref="BI334">IFERROR(INDEX(AW334:BH334,1,MATCH(2,1/(AW334:BH334&lt;&gt;""))),"")</f>
        <v>0</v>
      </c>
      <c r="BJ334" s="68" cm="1">
        <f t="array" ref="BJ334">IF(BM334 = "", "",IFERROR(INDEX(AW334:BH334,1,MATCH(2,1/(AW334:BH334&lt;&gt;""),1)-1),""))</f>
        <v>805</v>
      </c>
      <c r="BK334" s="58">
        <f>IF((IF(AW334&gt;=115%,115%,AW334) + IF(AX334&gt;=115%,115%,AX334) + IF(AY334&gt;=115%,115%,AY334) + (IF(AZ334&gt;=115%,115%,AZ334) + IF(BA334&gt;=115%,115%,BA334) + IF(BB334&gt;=115%,115%,BB334) + IF(BC334&gt;=115%,115%,BC334) + IF(BD334&gt;=115%,115%,BD334) + IF(BE334&gt;=115%,115%,BE334) + IF(BF334&gt;=115%,115%,BF334) + IF(BG334&gt;=115%,115%,BG334) + IF(BH334&gt;=115%,115%,BH334)))/_xlfn.XLOOKUP(F334,Apuração!A:A,Apuração!B:B)&gt;=1.15,1.15,((IF(AZ334&gt;=115%,115%,AZ334) + IF(AX334&gt;=115%,115%,AX334) + IF(AY334&gt;=115%,115%,AY334) + (IF(AW334&gt;=115%,115%,AW334) + IF(BA334&gt;=115%,115%,BA334) + IF(BB334&gt;=115%,115%,BB334) + IF(BC334&gt;=115%,115%,BC334) + IF(BD334&gt;=115%,115%,BD334) + IF(BE334&gt;=115%,115%,BE334) + IF(BF334&gt;=115%,115%,BF334) + IF(BG334&gt;=115%,115%,BG334) + IF(BH334&gt;=115%,115%,BH334)))/_xlfn.XLOOKUP(F334,Apuração!A:A,Apuração!B:B)))</f>
        <v>0.12777777777777777</v>
      </c>
      <c r="BL334" s="58" cm="1">
        <f t="array" aca="1" ref="BL334" ca="1">IF(SUM(IFERROR(IF(INDEX(AW334:INDEX(AW334:BH334, MATCH(2, 1/(AW334:BH334&lt;&gt;""), 1)-1), ROW(INDIRECT("1:" &amp; MATCH(2, 1/(AW334:BH334&lt;&gt;""), 1)-1))) &gt;= 115%, 115%, INDEX(AW334:INDEX(AW334:BH334, MATCH(2, 1/(AW334:BH334&lt;&gt;""), 1)-1), ROW(INDIRECT("1:" &amp; MATCH(2, 1/(AW334:BH334&lt;&gt;""), 1)-1)))), 0))/_xlfn.XLOOKUP(F334,Apuração!A:A,Apuração!B:B)&gt;=1.15,1.15,SUM(IFERROR(IF(INDEX(AW334:INDEX(AW334:BH334, MATCH(2, 1/(AW334:BH334&lt;&gt;""), 1)-1), ROW(INDIRECT("1:" &amp; MATCH(2, 1/(AW334:BH334&lt;&gt;""), 1)-1))) &gt;= 115%, 115%, INDEX(AW334:INDEX(AW334:BH334, MATCH(2, 1/(AW334:BH334&lt;&gt;""), 1)-1), ROW(INDIRECT("1:" &amp; MATCH(2, 1/(AW334:BH334&lt;&gt;""), 1)-1)))), 0))/_xlfn.XLOOKUP(F334,Apuração!A:A,Apuração!B:B))</f>
        <v>0.12777777777777777</v>
      </c>
      <c r="BM334" s="55" cm="1">
        <f t="array" ref="BM334">IFERROR(
   INDEX($AW$1:$BH$1,
      _xlfn.AGGREGATE(14, 6, COLUMN($AW$1:$BH$1)/(AW334:BH334&lt;&gt;""), 2) - COLUMN($AW$1) + 1
   ),
"")</f>
        <v>46113</v>
      </c>
      <c r="BN334" s="55" cm="1">
        <f t="array" ref="BN334">IFERROR(INDEX($AW$1:$BH$1,1,MATCH(2,1/(AW334:BH334&lt;&gt;""))),"")</f>
        <v>46143</v>
      </c>
      <c r="BO334" s="53">
        <f ca="1">IFERROR(_xlfn.XLOOKUP(F334,Apuração!A:A,Apuração!C:C)/_xlfn.XLOOKUP(F334,Apuração!A:A,Apuração!B:B),0)</f>
        <v>0.22222222222222221</v>
      </c>
      <c r="BP334" s="53">
        <f ca="1">IFERROR(_xlfn.XLOOKUP(F334,Apuração!A:A,Apuração!D:D)/_xlfn.XLOOKUP(F334,Apuração!A:A,Apuração!B:B),0)</f>
        <v>0.1111111111111111</v>
      </c>
      <c r="BQ334" s="53">
        <f ca="1">IF(BK334&gt;=BO334,0,_xlfn.XLOOKUP(F334,Apuração!A:A,Apuração!B:B)*(BO334 + (1/_xlfn.XLOOKUP(F334,Apuração!A:A,Apuração!B:B)) - BK334))</f>
        <v>1.8499999999999999</v>
      </c>
      <c r="BR334" s="85">
        <f t="shared" ca="1" si="661"/>
        <v>1.8499999999999999</v>
      </c>
      <c r="BS334" s="53">
        <f ca="1">IFERROR((_xlfn.XLOOKUP(F334,Apuração!A:A,Apuração!C:C)+1)/_xlfn.XLOOKUP(F334,Apuração!A:A,Apuração!B:B),0)</f>
        <v>0.33333333333333331</v>
      </c>
    </row>
    <row r="335" spans="1:71" ht="25.95" hidden="1" customHeight="1" x14ac:dyDescent="0.3">
      <c r="A335" s="3" t="s">
        <v>33</v>
      </c>
      <c r="B335" s="4" t="s">
        <v>34</v>
      </c>
      <c r="C335" s="5" t="s">
        <v>97</v>
      </c>
      <c r="D335" s="5" t="s">
        <v>105</v>
      </c>
      <c r="E335" s="4" t="str" cm="1">
        <f t="array" ref="E335">_xlfn.IFS(
F335 = "A partir de Abril", "Aguardando Execução na Distribuidora",
A335 = "CAPACITAÇÃO", "Em execução no Corporativo",
TRUE, "Em Execução na Distribuidora"
)</f>
        <v>Em Execução na Distribuidora</v>
      </c>
      <c r="F335" s="4" t="str" cm="1">
        <f t="array" ref="F335">_xlfn.IFS(
AG335 &lt;&gt; "", "Jan-Dez/26",
AH335 &lt;&gt; "", "Fev-Dez/26",
AI335 &lt;&gt; "", "Mar-Dez/26", AJ335 &lt;&gt; "", "Abr-Dez/26",
TRUE, "A partir de Junho"
)</f>
        <v>Abr-Dez/26</v>
      </c>
      <c r="G335" s="6" t="s">
        <v>37</v>
      </c>
      <c r="H335" s="7" t="s">
        <v>54</v>
      </c>
      <c r="I335" s="8" t="s">
        <v>39</v>
      </c>
      <c r="J335" s="8" t="str" cm="1">
        <f t="array" aca="1" ref="J335" ca="1">_xlfn.LET(
  _xlpm.actual_value_month, INDEX(T335:AE335, MATCH(DATE(YEAR(TODAY()), MONTH(TODAY()), 1), $T$1:$AE$1, 0)),
  IF(_xlpm.actual_value_month &lt;&gt; "",_xlpm.actual_value_month &amp; " soluções mensais", "")
)</f>
        <v>1 soluções mensais</v>
      </c>
      <c r="K335" s="8" t="str" cm="1">
        <f t="array" ref="K335">_xlfn.LET(
    _xlpm.sum_month, SUM(T335:AE335),
    IF(_xlpm.sum_month = 0, "", _xlpm.sum_month &amp; " soluções implementadas no ano")
)</f>
        <v>9 soluções implementadas no ano</v>
      </c>
      <c r="L335" s="9" t="s">
        <v>40</v>
      </c>
      <c r="M335" s="9" t="s">
        <v>41</v>
      </c>
      <c r="N335" s="5" t="s">
        <v>42</v>
      </c>
      <c r="O335" s="5" t="s">
        <v>43</v>
      </c>
      <c r="P335" s="10" t="s">
        <v>44</v>
      </c>
      <c r="Q335" s="10" t="s">
        <v>44</v>
      </c>
      <c r="R335" s="11" t="s">
        <v>45</v>
      </c>
      <c r="S335" s="11" t="s">
        <v>46</v>
      </c>
      <c r="T335" s="22"/>
      <c r="U335" s="22"/>
      <c r="V335" s="22"/>
      <c r="W335" s="152">
        <v>1</v>
      </c>
      <c r="X335" s="152">
        <v>1</v>
      </c>
      <c r="Y335" s="152">
        <v>1</v>
      </c>
      <c r="Z335" s="152">
        <v>1</v>
      </c>
      <c r="AA335" s="152">
        <v>1</v>
      </c>
      <c r="AB335" s="152">
        <v>1</v>
      </c>
      <c r="AC335" s="152">
        <v>1</v>
      </c>
      <c r="AD335" s="152">
        <v>1</v>
      </c>
      <c r="AE335" s="152">
        <v>1</v>
      </c>
      <c r="AG335" s="71"/>
      <c r="AH335" s="71"/>
      <c r="AI335" s="71"/>
      <c r="AJ335" s="144">
        <v>880</v>
      </c>
      <c r="AK335" s="71"/>
      <c r="AL335" s="71"/>
      <c r="AM335" s="71"/>
      <c r="AN335" s="71"/>
      <c r="AO335" s="71"/>
      <c r="AP335" s="71"/>
      <c r="AQ335" s="71"/>
      <c r="AR335" s="71"/>
      <c r="AS335" s="94">
        <f t="shared" ca="1" si="654"/>
        <v>2</v>
      </c>
      <c r="AT335" s="95">
        <f t="shared" si="655"/>
        <v>1.1499999999999999</v>
      </c>
      <c r="AU335" s="97">
        <f t="shared" si="656"/>
        <v>880</v>
      </c>
      <c r="AW335" s="51">
        <f t="shared" si="657"/>
        <v>0</v>
      </c>
      <c r="AX335" s="51">
        <f t="shared" si="658"/>
        <v>0</v>
      </c>
      <c r="AY335" s="51">
        <f t="shared" si="659"/>
        <v>0</v>
      </c>
      <c r="AZ335" s="51">
        <f t="shared" si="660"/>
        <v>880</v>
      </c>
      <c r="BA335" s="51">
        <f t="shared" si="653"/>
        <v>0</v>
      </c>
      <c r="BB335" s="51"/>
      <c r="BC335" s="51"/>
      <c r="BD335" s="51"/>
      <c r="BE335" s="51"/>
      <c r="BF335" s="51"/>
      <c r="BG335" s="51"/>
      <c r="BH335" s="51"/>
      <c r="BI335" s="65" cm="1">
        <f t="array" ref="BI335">IFERROR(INDEX(AW335:BH335,1,MATCH(2,1/(AW335:BH335&lt;&gt;""))),"")</f>
        <v>0</v>
      </c>
      <c r="BJ335" s="68" cm="1">
        <f t="array" ref="BJ335">IF(BM335 = "", "",IFERROR(INDEX(AW335:BH335,1,MATCH(2,1/(AW335:BH335&lt;&gt;""),1)-1),""))</f>
        <v>880</v>
      </c>
      <c r="BK335" s="58">
        <f>IF((IF(AW335&gt;=115%,115%,AW335) + IF(AX335&gt;=115%,115%,AX335) + IF(AY335&gt;=115%,115%,AY335) + (IF(AZ335&gt;=115%,115%,AZ335) + IF(BA335&gt;=115%,115%,BA335) + IF(BB335&gt;=115%,115%,BB335) + IF(BC335&gt;=115%,115%,BC335) + IF(BD335&gt;=115%,115%,BD335) + IF(BE335&gt;=115%,115%,BE335) + IF(BF335&gt;=115%,115%,BF335) + IF(BG335&gt;=115%,115%,BG335) + IF(BH335&gt;=115%,115%,BH335)))/_xlfn.XLOOKUP(F335,Apuração!A:A,Apuração!B:B)&gt;=1.15,1.15,((IF(AZ335&gt;=115%,115%,AZ335) + IF(AX335&gt;=115%,115%,AX335) + IF(AY335&gt;=115%,115%,AY335) + (IF(AW335&gt;=115%,115%,AW335) + IF(BA335&gt;=115%,115%,BA335) + IF(BB335&gt;=115%,115%,BB335) + IF(BC335&gt;=115%,115%,BC335) + IF(BD335&gt;=115%,115%,BD335) + IF(BE335&gt;=115%,115%,BE335) + IF(BF335&gt;=115%,115%,BF335) + IF(BG335&gt;=115%,115%,BG335) + IF(BH335&gt;=115%,115%,BH335)))/_xlfn.XLOOKUP(F335,Apuração!A:A,Apuração!B:B)))</f>
        <v>0.12777777777777777</v>
      </c>
      <c r="BL335" s="58" cm="1">
        <f t="array" aca="1" ref="BL335" ca="1">IF(SUM(IFERROR(IF(INDEX(AW335:INDEX(AW335:BH335, MATCH(2, 1/(AW335:BH335&lt;&gt;""), 1)-1), ROW(INDIRECT("1:" &amp; MATCH(2, 1/(AW335:BH335&lt;&gt;""), 1)-1))) &gt;= 115%, 115%, INDEX(AW335:INDEX(AW335:BH335, MATCH(2, 1/(AW335:BH335&lt;&gt;""), 1)-1), ROW(INDIRECT("1:" &amp; MATCH(2, 1/(AW335:BH335&lt;&gt;""), 1)-1)))), 0))/_xlfn.XLOOKUP(F335,Apuração!A:A,Apuração!B:B)&gt;=1.15,1.15,SUM(IFERROR(IF(INDEX(AW335:INDEX(AW335:BH335, MATCH(2, 1/(AW335:BH335&lt;&gt;""), 1)-1), ROW(INDIRECT("1:" &amp; MATCH(2, 1/(AW335:BH335&lt;&gt;""), 1)-1))) &gt;= 115%, 115%, INDEX(AW335:INDEX(AW335:BH335, MATCH(2, 1/(AW335:BH335&lt;&gt;""), 1)-1), ROW(INDIRECT("1:" &amp; MATCH(2, 1/(AW335:BH335&lt;&gt;""), 1)-1)))), 0))/_xlfn.XLOOKUP(F335,Apuração!A:A,Apuração!B:B))</f>
        <v>0.12777777777777777</v>
      </c>
      <c r="BM335" s="55" cm="1">
        <f t="array" ref="BM335">IFERROR(
   INDEX($AW$1:$BH$1,
      _xlfn.AGGREGATE(14, 6, COLUMN($AW$1:$BH$1)/(AW335:BH335&lt;&gt;""), 2) - COLUMN($AW$1) + 1
   ),
"")</f>
        <v>46113</v>
      </c>
      <c r="BN335" s="55" cm="1">
        <f t="array" ref="BN335">IFERROR(INDEX($AW$1:$BH$1,1,MATCH(2,1/(AW335:BH335&lt;&gt;""))),"")</f>
        <v>46143</v>
      </c>
      <c r="BO335" s="53">
        <f ca="1">IFERROR(_xlfn.XLOOKUP(F335,Apuração!A:A,Apuração!C:C)/_xlfn.XLOOKUP(F335,Apuração!A:A,Apuração!B:B),0)</f>
        <v>0.22222222222222221</v>
      </c>
      <c r="BP335" s="53">
        <f ca="1">IFERROR(_xlfn.XLOOKUP(F335,Apuração!A:A,Apuração!D:D)/_xlfn.XLOOKUP(F335,Apuração!A:A,Apuração!B:B),0)</f>
        <v>0.1111111111111111</v>
      </c>
      <c r="BQ335" s="53">
        <f ca="1">IF(BK335&gt;=BO335,0,_xlfn.XLOOKUP(F335,Apuração!A:A,Apuração!B:B)*(BO335 + (1/_xlfn.XLOOKUP(F335,Apuração!A:A,Apuração!B:B)) - BK335))</f>
        <v>1.8499999999999999</v>
      </c>
      <c r="BR335" s="85">
        <f t="shared" ca="1" si="661"/>
        <v>1.8499999999999999</v>
      </c>
      <c r="BS335" s="53">
        <f ca="1">IFERROR((_xlfn.XLOOKUP(F335,Apuração!A:A,Apuração!C:C)+1)/_xlfn.XLOOKUP(F335,Apuração!A:A,Apuração!B:B),0)</f>
        <v>0.33333333333333331</v>
      </c>
    </row>
    <row r="336" spans="1:71" ht="25.95" hidden="1" customHeight="1" x14ac:dyDescent="0.3">
      <c r="A336" s="3" t="s">
        <v>33</v>
      </c>
      <c r="B336" s="4" t="s">
        <v>34</v>
      </c>
      <c r="C336" s="5" t="s">
        <v>97</v>
      </c>
      <c r="D336" s="5" t="s">
        <v>106</v>
      </c>
      <c r="E336" s="4" t="str" cm="1">
        <f t="array" ref="E336">_xlfn.IFS(
F336 = "A partir de Abril", "Aguardando Execução na Distribuidora",
A336 = "CAPACITAÇÃO", "Em execução no Corporativo",
TRUE, "Em Execução na Distribuidora"
)</f>
        <v>Em Execução na Distribuidora</v>
      </c>
      <c r="F336" s="4" t="str" cm="1">
        <f t="array" ref="F336">_xlfn.IFS(
AG336 &lt;&gt; "", "Jan-Dez/26",
AH336 &lt;&gt; "", "Fev-Dez/26",
AI336 &lt;&gt; "", "Mar-Dez/26", AJ336 &lt;&gt; "", "Abr-Dez/26",
TRUE, "A partir de Junho"
)</f>
        <v>Abr-Dez/26</v>
      </c>
      <c r="G336" s="6" t="s">
        <v>37</v>
      </c>
      <c r="H336" s="7" t="s">
        <v>54</v>
      </c>
      <c r="I336" s="8" t="s">
        <v>39</v>
      </c>
      <c r="J336" s="8" t="str" cm="1">
        <f t="array" aca="1" ref="J336" ca="1">_xlfn.LET(
  _xlpm.actual_value_month, INDEX(T336:AE336, MATCH(DATE(YEAR(TODAY()), MONTH(TODAY()), 1), $T$1:$AE$1, 0)),
  IF(_xlpm.actual_value_month &lt;&gt; "",_xlpm.actual_value_month &amp; " soluções mensais", "")
)</f>
        <v>1 soluções mensais</v>
      </c>
      <c r="K336" s="8" t="str" cm="1">
        <f t="array" ref="K336">_xlfn.LET(
    _xlpm.sum_month, SUM(T336:AE336),
    IF(_xlpm.sum_month = 0, "", _xlpm.sum_month &amp; " soluções implementadas no ano")
)</f>
        <v>9 soluções implementadas no ano</v>
      </c>
      <c r="L336" s="9" t="s">
        <v>40</v>
      </c>
      <c r="M336" s="9" t="s">
        <v>41</v>
      </c>
      <c r="N336" s="5" t="s">
        <v>42</v>
      </c>
      <c r="O336" s="5" t="s">
        <v>43</v>
      </c>
      <c r="P336" s="10" t="s">
        <v>44</v>
      </c>
      <c r="Q336" s="10" t="s">
        <v>44</v>
      </c>
      <c r="R336" s="11" t="s">
        <v>45</v>
      </c>
      <c r="S336" s="11" t="s">
        <v>46</v>
      </c>
      <c r="T336" s="22"/>
      <c r="U336" s="22"/>
      <c r="V336" s="22"/>
      <c r="W336" s="152">
        <v>1</v>
      </c>
      <c r="X336" s="152">
        <v>1</v>
      </c>
      <c r="Y336" s="152">
        <v>1</v>
      </c>
      <c r="Z336" s="152">
        <v>1</v>
      </c>
      <c r="AA336" s="152">
        <v>1</v>
      </c>
      <c r="AB336" s="152">
        <v>1</v>
      </c>
      <c r="AC336" s="152">
        <v>1</v>
      </c>
      <c r="AD336" s="152">
        <v>1</v>
      </c>
      <c r="AE336" s="152">
        <v>1</v>
      </c>
      <c r="AG336" s="71"/>
      <c r="AH336" s="71"/>
      <c r="AI336" s="71"/>
      <c r="AJ336" s="144">
        <v>880</v>
      </c>
      <c r="AK336" s="71"/>
      <c r="AL336" s="71"/>
      <c r="AM336" s="71"/>
      <c r="AN336" s="71"/>
      <c r="AO336" s="71"/>
      <c r="AP336" s="71"/>
      <c r="AQ336" s="71"/>
      <c r="AR336" s="71"/>
      <c r="AS336" s="94">
        <f t="shared" ca="1" si="654"/>
        <v>2</v>
      </c>
      <c r="AT336" s="95">
        <f t="shared" si="655"/>
        <v>1.1499999999999999</v>
      </c>
      <c r="AU336" s="97">
        <f t="shared" si="656"/>
        <v>880</v>
      </c>
      <c r="AW336" s="51">
        <f t="shared" si="657"/>
        <v>0</v>
      </c>
      <c r="AX336" s="51">
        <f t="shared" si="658"/>
        <v>0</v>
      </c>
      <c r="AY336" s="51">
        <f t="shared" si="659"/>
        <v>0</v>
      </c>
      <c r="AZ336" s="51">
        <f t="shared" si="660"/>
        <v>880</v>
      </c>
      <c r="BA336" s="51">
        <f t="shared" si="653"/>
        <v>0</v>
      </c>
      <c r="BB336" s="51"/>
      <c r="BC336" s="51"/>
      <c r="BD336" s="51"/>
      <c r="BE336" s="51"/>
      <c r="BF336" s="51"/>
      <c r="BG336" s="51"/>
      <c r="BH336" s="51"/>
      <c r="BI336" s="65" cm="1">
        <f t="array" ref="BI336">IFERROR(INDEX(AW336:BH336,1,MATCH(2,1/(AW336:BH336&lt;&gt;""))),"")</f>
        <v>0</v>
      </c>
      <c r="BJ336" s="68" cm="1">
        <f t="array" ref="BJ336">IF(BM336 = "", "",IFERROR(INDEX(AW336:BH336,1,MATCH(2,1/(AW336:BH336&lt;&gt;""),1)-1),""))</f>
        <v>880</v>
      </c>
      <c r="BK336" s="58">
        <f>IF((IF(AW336&gt;=115%,115%,AW336) + IF(AX336&gt;=115%,115%,AX336) + IF(AY336&gt;=115%,115%,AY336) + (IF(AZ336&gt;=115%,115%,AZ336) + IF(BA336&gt;=115%,115%,BA336) + IF(BB336&gt;=115%,115%,BB336) + IF(BC336&gt;=115%,115%,BC336) + IF(BD336&gt;=115%,115%,BD336) + IF(BE336&gt;=115%,115%,BE336) + IF(BF336&gt;=115%,115%,BF336) + IF(BG336&gt;=115%,115%,BG336) + IF(BH336&gt;=115%,115%,BH336)))/_xlfn.XLOOKUP(F336,Apuração!A:A,Apuração!B:B)&gt;=1.15,1.15,((IF(AZ336&gt;=115%,115%,AZ336) + IF(AX336&gt;=115%,115%,AX336) + IF(AY336&gt;=115%,115%,AY336) + (IF(AW336&gt;=115%,115%,AW336) + IF(BA336&gt;=115%,115%,BA336) + IF(BB336&gt;=115%,115%,BB336) + IF(BC336&gt;=115%,115%,BC336) + IF(BD336&gt;=115%,115%,BD336) + IF(BE336&gt;=115%,115%,BE336) + IF(BF336&gt;=115%,115%,BF336) + IF(BG336&gt;=115%,115%,BG336) + IF(BH336&gt;=115%,115%,BH336)))/_xlfn.XLOOKUP(F336,Apuração!A:A,Apuração!B:B)))</f>
        <v>0.12777777777777777</v>
      </c>
      <c r="BL336" s="58" cm="1">
        <f t="array" aca="1" ref="BL336" ca="1">IF(SUM(IFERROR(IF(INDEX(AW336:INDEX(AW336:BH336, MATCH(2, 1/(AW336:BH336&lt;&gt;""), 1)-1), ROW(INDIRECT("1:" &amp; MATCH(2, 1/(AW336:BH336&lt;&gt;""), 1)-1))) &gt;= 115%, 115%, INDEX(AW336:INDEX(AW336:BH336, MATCH(2, 1/(AW336:BH336&lt;&gt;""), 1)-1), ROW(INDIRECT("1:" &amp; MATCH(2, 1/(AW336:BH336&lt;&gt;""), 1)-1)))), 0))/_xlfn.XLOOKUP(F336,Apuração!A:A,Apuração!B:B)&gt;=1.15,1.15,SUM(IFERROR(IF(INDEX(AW336:INDEX(AW336:BH336, MATCH(2, 1/(AW336:BH336&lt;&gt;""), 1)-1), ROW(INDIRECT("1:" &amp; MATCH(2, 1/(AW336:BH336&lt;&gt;""), 1)-1))) &gt;= 115%, 115%, INDEX(AW336:INDEX(AW336:BH336, MATCH(2, 1/(AW336:BH336&lt;&gt;""), 1)-1), ROW(INDIRECT("1:" &amp; MATCH(2, 1/(AW336:BH336&lt;&gt;""), 1)-1)))), 0))/_xlfn.XLOOKUP(F336,Apuração!A:A,Apuração!B:B))</f>
        <v>0.12777777777777777</v>
      </c>
      <c r="BM336" s="55" cm="1">
        <f t="array" ref="BM336">IFERROR(
   INDEX($AW$1:$BH$1,
      _xlfn.AGGREGATE(14, 6, COLUMN($AW$1:$BH$1)/(AW336:BH336&lt;&gt;""), 2) - COLUMN($AW$1) + 1
   ),
"")</f>
        <v>46113</v>
      </c>
      <c r="BN336" s="55" cm="1">
        <f t="array" ref="BN336">IFERROR(INDEX($AW$1:$BH$1,1,MATCH(2,1/(AW336:BH336&lt;&gt;""))),"")</f>
        <v>46143</v>
      </c>
      <c r="BO336" s="53">
        <f ca="1">IFERROR(_xlfn.XLOOKUP(F336,Apuração!A:A,Apuração!C:C)/_xlfn.XLOOKUP(F336,Apuração!A:A,Apuração!B:B),0)</f>
        <v>0.22222222222222221</v>
      </c>
      <c r="BP336" s="53">
        <f ca="1">IFERROR(_xlfn.XLOOKUP(F336,Apuração!A:A,Apuração!D:D)/_xlfn.XLOOKUP(F336,Apuração!A:A,Apuração!B:B),0)</f>
        <v>0.1111111111111111</v>
      </c>
      <c r="BQ336" s="53">
        <f ca="1">IF(BK336&gt;=BO336,0,_xlfn.XLOOKUP(F336,Apuração!A:A,Apuração!B:B)*(BO336 + (1/_xlfn.XLOOKUP(F336,Apuração!A:A,Apuração!B:B)) - BK336))</f>
        <v>1.8499999999999999</v>
      </c>
      <c r="BR336" s="85">
        <f t="shared" ca="1" si="661"/>
        <v>1.8499999999999999</v>
      </c>
      <c r="BS336" s="53">
        <f ca="1">IFERROR((_xlfn.XLOOKUP(F336,Apuração!A:A,Apuração!C:C)+1)/_xlfn.XLOOKUP(F336,Apuração!A:A,Apuração!B:B),0)</f>
        <v>0.33333333333333331</v>
      </c>
    </row>
    <row r="337" spans="1:71" ht="25.95" hidden="1" customHeight="1" x14ac:dyDescent="0.3">
      <c r="A337" s="3" t="s">
        <v>33</v>
      </c>
      <c r="B337" s="4" t="s">
        <v>34</v>
      </c>
      <c r="C337" s="5" t="s">
        <v>97</v>
      </c>
      <c r="D337" s="5" t="s">
        <v>107</v>
      </c>
      <c r="E337" s="4" t="str" cm="1">
        <f t="array" ref="E337">_xlfn.IFS(
F337 = "A partir de Abril", "Aguardando Execução na Distribuidora",
A337 = "CAPACITAÇÃO", "Em execução no Corporativo",
TRUE, "Em Execução na Distribuidora"
)</f>
        <v>Em Execução na Distribuidora</v>
      </c>
      <c r="F337" s="4" t="str" cm="1">
        <f t="array" ref="F337">_xlfn.IFS(
AG337 &lt;&gt; "", "Jan-Dez/26",
AH337 &lt;&gt; "", "Fev-Dez/26",
AI337 &lt;&gt; "", "Mar-Dez/26", AJ337 &lt;&gt; "", "Abr-Dez/26",
TRUE, "A partir de Junho"
)</f>
        <v>Abr-Dez/26</v>
      </c>
      <c r="G337" s="6" t="s">
        <v>37</v>
      </c>
      <c r="H337" s="7" t="s">
        <v>54</v>
      </c>
      <c r="I337" s="8" t="s">
        <v>39</v>
      </c>
      <c r="J337" s="8" t="str" cm="1">
        <f t="array" aca="1" ref="J337" ca="1">_xlfn.LET(
  _xlpm.actual_value_month, INDEX(T337:AE337, MATCH(DATE(YEAR(TODAY()), MONTH(TODAY()), 1), $T$1:$AE$1, 0)),
  IF(_xlpm.actual_value_month &lt;&gt; "",_xlpm.actual_value_month &amp; " soluções mensais", "")
)</f>
        <v>1 soluções mensais</v>
      </c>
      <c r="K337" s="8" t="str" cm="1">
        <f t="array" ref="K337">_xlfn.LET(
    _xlpm.sum_month, SUM(T337:AE337),
    IF(_xlpm.sum_month = 0, "", _xlpm.sum_month &amp; " soluções implementadas no ano")
)</f>
        <v>9 soluções implementadas no ano</v>
      </c>
      <c r="L337" s="9" t="s">
        <v>40</v>
      </c>
      <c r="M337" s="9" t="s">
        <v>41</v>
      </c>
      <c r="N337" s="5" t="s">
        <v>42</v>
      </c>
      <c r="O337" s="5" t="s">
        <v>43</v>
      </c>
      <c r="P337" s="10" t="s">
        <v>44</v>
      </c>
      <c r="Q337" s="10" t="s">
        <v>44</v>
      </c>
      <c r="R337" s="11" t="s">
        <v>45</v>
      </c>
      <c r="S337" s="11" t="s">
        <v>46</v>
      </c>
      <c r="T337" s="22"/>
      <c r="U337" s="22"/>
      <c r="V337" s="22"/>
      <c r="W337" s="152">
        <v>1</v>
      </c>
      <c r="X337" s="152">
        <v>1</v>
      </c>
      <c r="Y337" s="152">
        <v>1</v>
      </c>
      <c r="Z337" s="152">
        <v>1</v>
      </c>
      <c r="AA337" s="152">
        <v>1</v>
      </c>
      <c r="AB337" s="152">
        <v>1</v>
      </c>
      <c r="AC337" s="152">
        <v>1</v>
      </c>
      <c r="AD337" s="152">
        <v>1</v>
      </c>
      <c r="AE337" s="152">
        <v>1</v>
      </c>
      <c r="AG337" s="71"/>
      <c r="AH337" s="71"/>
      <c r="AI337" s="71"/>
      <c r="AJ337" s="82">
        <v>1357</v>
      </c>
      <c r="AK337" s="71"/>
      <c r="AL337" s="71"/>
      <c r="AM337" s="71"/>
      <c r="AN337" s="71"/>
      <c r="AO337" s="71"/>
      <c r="AP337" s="71"/>
      <c r="AQ337" s="71"/>
      <c r="AR337" s="71"/>
      <c r="AS337" s="94">
        <f t="shared" ca="1" si="654"/>
        <v>2</v>
      </c>
      <c r="AT337" s="95">
        <f t="shared" si="655"/>
        <v>1.1499999999999999</v>
      </c>
      <c r="AU337" s="97">
        <f t="shared" si="656"/>
        <v>1357</v>
      </c>
      <c r="AW337" s="51">
        <f t="shared" si="657"/>
        <v>0</v>
      </c>
      <c r="AX337" s="51">
        <f t="shared" si="658"/>
        <v>0</v>
      </c>
      <c r="AY337" s="51">
        <f t="shared" si="659"/>
        <v>0</v>
      </c>
      <c r="AZ337" s="51">
        <f t="shared" si="660"/>
        <v>1357</v>
      </c>
      <c r="BA337" s="51">
        <f t="shared" si="653"/>
        <v>0</v>
      </c>
      <c r="BB337" s="51"/>
      <c r="BC337" s="51"/>
      <c r="BD337" s="51"/>
      <c r="BE337" s="51"/>
      <c r="BF337" s="51"/>
      <c r="BG337" s="51"/>
      <c r="BH337" s="51"/>
      <c r="BI337" s="65" cm="1">
        <f t="array" ref="BI337">IFERROR(INDEX(AW337:BH337,1,MATCH(2,1/(AW337:BH337&lt;&gt;""))),"")</f>
        <v>0</v>
      </c>
      <c r="BJ337" s="68" cm="1">
        <f t="array" ref="BJ337">IF(BM337 = "", "",IFERROR(INDEX(AW337:BH337,1,MATCH(2,1/(AW337:BH337&lt;&gt;""),1)-1),""))</f>
        <v>1357</v>
      </c>
      <c r="BK337" s="58">
        <f>IF((IF(AW337&gt;=115%,115%,AW337) + IF(AX337&gt;=115%,115%,AX337) + IF(AY337&gt;=115%,115%,AY337) + (IF(AZ337&gt;=115%,115%,AZ337) + IF(BA337&gt;=115%,115%,BA337) + IF(BB337&gt;=115%,115%,BB337) + IF(BC337&gt;=115%,115%,BC337) + IF(BD337&gt;=115%,115%,BD337) + IF(BE337&gt;=115%,115%,BE337) + IF(BF337&gt;=115%,115%,BF337) + IF(BG337&gt;=115%,115%,BG337) + IF(BH337&gt;=115%,115%,BH337)))/_xlfn.XLOOKUP(F337,Apuração!A:A,Apuração!B:B)&gt;=1.15,1.15,((IF(AZ337&gt;=115%,115%,AZ337) + IF(AX337&gt;=115%,115%,AX337) + IF(AY337&gt;=115%,115%,AY337) + (IF(AW337&gt;=115%,115%,AW337) + IF(BA337&gt;=115%,115%,BA337) + IF(BB337&gt;=115%,115%,BB337) + IF(BC337&gt;=115%,115%,BC337) + IF(BD337&gt;=115%,115%,BD337) + IF(BE337&gt;=115%,115%,BE337) + IF(BF337&gt;=115%,115%,BF337) + IF(BG337&gt;=115%,115%,BG337) + IF(BH337&gt;=115%,115%,BH337)))/_xlfn.XLOOKUP(F337,Apuração!A:A,Apuração!B:B)))</f>
        <v>0.12777777777777777</v>
      </c>
      <c r="BL337" s="58" cm="1">
        <f t="array" aca="1" ref="BL337" ca="1">IF(SUM(IFERROR(IF(INDEX(AW337:INDEX(AW337:BH337, MATCH(2, 1/(AW337:BH337&lt;&gt;""), 1)-1), ROW(INDIRECT("1:" &amp; MATCH(2, 1/(AW337:BH337&lt;&gt;""), 1)-1))) &gt;= 115%, 115%, INDEX(AW337:INDEX(AW337:BH337, MATCH(2, 1/(AW337:BH337&lt;&gt;""), 1)-1), ROW(INDIRECT("1:" &amp; MATCH(2, 1/(AW337:BH337&lt;&gt;""), 1)-1)))), 0))/_xlfn.XLOOKUP(F337,Apuração!A:A,Apuração!B:B)&gt;=1.15,1.15,SUM(IFERROR(IF(INDEX(AW337:INDEX(AW337:BH337, MATCH(2, 1/(AW337:BH337&lt;&gt;""), 1)-1), ROW(INDIRECT("1:" &amp; MATCH(2, 1/(AW337:BH337&lt;&gt;""), 1)-1))) &gt;= 115%, 115%, INDEX(AW337:INDEX(AW337:BH337, MATCH(2, 1/(AW337:BH337&lt;&gt;""), 1)-1), ROW(INDIRECT("1:" &amp; MATCH(2, 1/(AW337:BH337&lt;&gt;""), 1)-1)))), 0))/_xlfn.XLOOKUP(F337,Apuração!A:A,Apuração!B:B))</f>
        <v>0.12777777777777777</v>
      </c>
      <c r="BM337" s="55" cm="1">
        <f t="array" ref="BM337">IFERROR(
   INDEX($AW$1:$BH$1,
      _xlfn.AGGREGATE(14, 6, COLUMN($AW$1:$BH$1)/(AW337:BH337&lt;&gt;""), 2) - COLUMN($AW$1) + 1
   ),
"")</f>
        <v>46113</v>
      </c>
      <c r="BN337" s="55" cm="1">
        <f t="array" ref="BN337">IFERROR(INDEX($AW$1:$BH$1,1,MATCH(2,1/(AW337:BH337&lt;&gt;""))),"")</f>
        <v>46143</v>
      </c>
      <c r="BO337" s="53">
        <f ca="1">IFERROR(_xlfn.XLOOKUP(F337,Apuração!A:A,Apuração!C:C)/_xlfn.XLOOKUP(F337,Apuração!A:A,Apuração!B:B),0)</f>
        <v>0.22222222222222221</v>
      </c>
      <c r="BP337" s="53">
        <f ca="1">IFERROR(_xlfn.XLOOKUP(F337,Apuração!A:A,Apuração!D:D)/_xlfn.XLOOKUP(F337,Apuração!A:A,Apuração!B:B),0)</f>
        <v>0.1111111111111111</v>
      </c>
      <c r="BQ337" s="53">
        <f ca="1">IF(BK337&gt;=BO337,0,_xlfn.XLOOKUP(F337,Apuração!A:A,Apuração!B:B)*(BO337 + (1/_xlfn.XLOOKUP(F337,Apuração!A:A,Apuração!B:B)) - BK337))</f>
        <v>1.8499999999999999</v>
      </c>
      <c r="BR337" s="85">
        <f t="shared" ca="1" si="661"/>
        <v>1.8499999999999999</v>
      </c>
      <c r="BS337" s="53">
        <f ca="1">IFERROR((_xlfn.XLOOKUP(F337,Apuração!A:A,Apuração!C:C)+1)/_xlfn.XLOOKUP(F337,Apuração!A:A,Apuração!B:B),0)</f>
        <v>0.33333333333333331</v>
      </c>
    </row>
    <row r="338" spans="1:71" ht="25.95" hidden="1" customHeight="1" x14ac:dyDescent="0.3">
      <c r="A338" s="39" t="s">
        <v>33</v>
      </c>
      <c r="B338" s="4" t="s">
        <v>34</v>
      </c>
      <c r="C338" s="5" t="s">
        <v>97</v>
      </c>
      <c r="D338" s="5" t="s">
        <v>36</v>
      </c>
      <c r="E338" s="4" t="str" cm="1">
        <f t="array" ref="E338">_xlfn.IFS(
F338 = "A partir de Abril", "Aguardando Execução na Distribuidora",
A338 = "CAPACITAÇÃO", "Em execução no Corporativo",
TRUE, "Em Execução na Distribuidora"
)</f>
        <v>Em Execução na Distribuidora</v>
      </c>
      <c r="F338" s="4" t="str" cm="1">
        <f t="array" ref="F338">_xlfn.IFS(
AG338 &lt;&gt; "", "Jan-Dez/26",
AH338 &lt;&gt; "", "Fev-Dez/26",
AI338 &lt;&gt; "", "Mar-Dez/26", AJ338 &lt;&gt; "", "Abr-Dez/26",
TRUE, "A partir de Junho"
)</f>
        <v>Jan-Dez/26</v>
      </c>
      <c r="G338" s="6" t="s">
        <v>37</v>
      </c>
      <c r="H338" s="7" t="s">
        <v>54</v>
      </c>
      <c r="I338" s="9" t="s">
        <v>49</v>
      </c>
      <c r="J338" s="8" t="str" cm="1">
        <f t="array" aca="1" ref="J338" ca="1">_xlfn.LET(
  _xlpm.actual_value_month, INDEX(T338:AE338, MATCH(DATE(YEAR(TODAY()), MONTH(TODAY()), 1), $T$1:$AE$1, 0)),
  IF(_xlpm.actual_value_month &lt;&gt; "",_xlpm.actual_value_month &amp; " ações mensais", "")
)</f>
        <v/>
      </c>
      <c r="K338" s="8" t="str" cm="1">
        <f t="array" ref="K338">_xlfn.LET(
    _xlpm.sum_month, SUM(T338:AE338),
    IF(_xlpm.sum_month = 0, "", _xlpm.sum_month &amp; " soluções implementadas no ano")
)</f>
        <v/>
      </c>
      <c r="L338" s="9" t="s">
        <v>50</v>
      </c>
      <c r="M338" s="9"/>
      <c r="N338" s="5" t="s">
        <v>51</v>
      </c>
      <c r="O338" s="5" t="s">
        <v>52</v>
      </c>
      <c r="P338" s="10" t="s">
        <v>44</v>
      </c>
      <c r="Q338" s="10" t="s">
        <v>44</v>
      </c>
      <c r="R338" s="10" t="s">
        <v>44</v>
      </c>
      <c r="S338" s="10" t="s">
        <v>44</v>
      </c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G338" s="71">
        <v>3608</v>
      </c>
      <c r="AH338" s="71">
        <v>2436</v>
      </c>
      <c r="AI338" s="71">
        <v>11080</v>
      </c>
      <c r="AJ338" s="71">
        <v>23936</v>
      </c>
      <c r="AK338" s="71"/>
      <c r="AL338" s="71"/>
      <c r="AM338" s="71"/>
      <c r="AN338" s="71"/>
      <c r="AO338" s="71"/>
      <c r="AP338" s="71"/>
      <c r="AQ338" s="71"/>
      <c r="AR338" s="71"/>
      <c r="AS338" s="94">
        <f t="shared" ca="1" si="651"/>
        <v>0</v>
      </c>
      <c r="AT338" s="95">
        <f>SUM(AG338:AR338)</f>
        <v>41060</v>
      </c>
      <c r="AU338" s="97">
        <f t="shared" si="652"/>
        <v>41060</v>
      </c>
      <c r="AW338" s="83">
        <f>AG338</f>
        <v>3608</v>
      </c>
      <c r="AX338" s="83">
        <f t="shared" ref="AX338" si="670">AH338</f>
        <v>2436</v>
      </c>
      <c r="AY338" s="83">
        <f t="shared" ref="AY338" si="671">AI338</f>
        <v>11080</v>
      </c>
      <c r="AZ338" s="83">
        <f t="shared" ref="AZ338:BA338" si="672">AJ338</f>
        <v>23936</v>
      </c>
      <c r="BA338" s="83">
        <f t="shared" si="672"/>
        <v>0</v>
      </c>
      <c r="BB338" s="100"/>
      <c r="BC338" s="100"/>
      <c r="BD338" s="100"/>
      <c r="BE338" s="100"/>
      <c r="BF338" s="100"/>
      <c r="BG338" s="100"/>
      <c r="BH338" s="100"/>
      <c r="BI338" s="68" cm="1">
        <f t="array" ref="BI338">IFERROR(INDEX(AW338:BH338,1,MATCH(2,1/(AW338:BH338&lt;&gt;""))),"")</f>
        <v>0</v>
      </c>
      <c r="BJ338" s="68" cm="1">
        <f t="array" ref="BJ338">IF(BM338 = "", "",IFERROR(INDEX(AW338:BH338,1,MATCH(2,1/(AW338:BH338&lt;&gt;""),1)-1),""))</f>
        <v>23936</v>
      </c>
      <c r="BK338" s="59">
        <f>SUM(AW338:BH338)</f>
        <v>41060</v>
      </c>
      <c r="BL338" s="59" cm="1">
        <f t="array" ref="BL338">IFERROR(SUM(AW338:INDEX(AW338:BH338, MATCH(2, 1/(AW338:BH338&lt;&gt;""), 1) - 1))/_xlfn.XLOOKUP(F338,Apuração!A:A,Apuração!B:B),0)</f>
        <v>3421.6666666666665</v>
      </c>
      <c r="BM338" s="55" cm="1">
        <f t="array" ref="BM338">IFERROR(
   INDEX($AW$1:$BH$1,
      _xlfn.AGGREGATE(14, 6, COLUMN($AW$1:$BH$1)/(AW338:BH338&lt;&gt;""), 2) - COLUMN($AW$1) + 1
   ),
"")</f>
        <v>46113</v>
      </c>
      <c r="BN338" s="55" cm="1">
        <f t="array" ref="BN338">IFERROR(INDEX($AW$1:$BH$1,1,MATCH(2,1/(AW338:BH338&lt;&gt;""))),"")</f>
        <v>46143</v>
      </c>
      <c r="BO338" s="53">
        <f ca="1">IFERROR(_xlfn.XLOOKUP(F338,Apuração!A:A,Apuração!C:C)/_xlfn.XLOOKUP(F338,Apuração!A:A,Apuração!B:B),0)</f>
        <v>0.41666666666666669</v>
      </c>
      <c r="BP338" s="53">
        <f ca="1">IFERROR(_xlfn.XLOOKUP(F338,Apuração!A:A,Apuração!D:D)/_xlfn.XLOOKUP(F338,Apuração!A:A,Apuração!B:B),0)</f>
        <v>0.33333333333333331</v>
      </c>
      <c r="BQ338" s="53">
        <f ca="1">IF(BK338&gt;=BO338,0,_xlfn.XLOOKUP(F338,Apuração!A:A,Apuração!B:B)*(BO338 + (1/_xlfn.XLOOKUP(F338,Apuração!A:A,Apuração!B:B)) - BK338))</f>
        <v>0</v>
      </c>
      <c r="BR338" s="85">
        <f t="shared" ca="1" si="644"/>
        <v>0</v>
      </c>
      <c r="BS338" s="53">
        <f ca="1">IFERROR((_xlfn.XLOOKUP(F338,Apuração!A:A,Apuração!C:C)+1)/_xlfn.XLOOKUP(F338,Apuração!A:A,Apuração!B:B),0)</f>
        <v>0.5</v>
      </c>
    </row>
    <row r="339" spans="1:71" ht="25.95" hidden="1" customHeight="1" x14ac:dyDescent="0.3">
      <c r="A339" s="39" t="s">
        <v>33</v>
      </c>
      <c r="B339" s="4" t="s">
        <v>34</v>
      </c>
      <c r="C339" s="5" t="s">
        <v>97</v>
      </c>
      <c r="D339" s="5" t="s">
        <v>98</v>
      </c>
      <c r="E339" s="4" t="str" cm="1">
        <f t="array" ref="E339">_xlfn.IFS(
F339 = "A partir de Abril", "Aguardando Execução na Distribuidora",
A339 = "CAPACITAÇÃO", "Em execução no Corporativo",
TRUE, "Em Execução na Distribuidora"
)</f>
        <v>Em Execução na Distribuidora</v>
      </c>
      <c r="F339" s="4" t="str" cm="1">
        <f t="array" ref="F339">_xlfn.IFS(
AG339 &lt;&gt; "", "Jan-Dez/26",
AH339 &lt;&gt; "", "Fev-Dez/26",
AI339 &lt;&gt; "", "Mar-Dez/26", AJ339 &lt;&gt; "", "Abr-Dez/26",
TRUE, "A partir de Junho"
)</f>
        <v>Abr-Dez/26</v>
      </c>
      <c r="G339" s="6" t="s">
        <v>37</v>
      </c>
      <c r="H339" s="7" t="s">
        <v>54</v>
      </c>
      <c r="I339" s="9" t="s">
        <v>49</v>
      </c>
      <c r="J339" s="8" t="str" cm="1">
        <f t="array" aca="1" ref="J339" ca="1">_xlfn.LET(
  _xlpm.actual_value_month, INDEX(T339:AE339, MATCH(DATE(YEAR(TODAY()), MONTH(TODAY()), 1), $T$1:$AE$1, 0)),
  IF(_xlpm.actual_value_month &lt;&gt; "",_xlpm.actual_value_month &amp; " ações mensais", "")
)</f>
        <v/>
      </c>
      <c r="K339" s="8" t="str" cm="1">
        <f t="array" ref="K339">_xlfn.LET(
    _xlpm.sum_month, SUM(T339:AE339),
    IF(_xlpm.sum_month = 0, "", _xlpm.sum_month &amp; " soluções implementadas no ano")
)</f>
        <v/>
      </c>
      <c r="L339" s="9" t="s">
        <v>50</v>
      </c>
      <c r="M339" s="9"/>
      <c r="N339" s="5" t="s">
        <v>51</v>
      </c>
      <c r="O339" s="5" t="s">
        <v>52</v>
      </c>
      <c r="P339" s="10" t="s">
        <v>44</v>
      </c>
      <c r="Q339" s="10" t="s">
        <v>44</v>
      </c>
      <c r="R339" s="10" t="s">
        <v>44</v>
      </c>
      <c r="S339" s="10" t="s">
        <v>44</v>
      </c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G339" s="71"/>
      <c r="AH339" s="71"/>
      <c r="AI339" s="71"/>
      <c r="AJ339" s="82">
        <v>1357</v>
      </c>
      <c r="AK339" s="71"/>
      <c r="AL339" s="71"/>
      <c r="AM339" s="71"/>
      <c r="AN339" s="71"/>
      <c r="AO339" s="71"/>
      <c r="AP339" s="71"/>
      <c r="AQ339" s="71"/>
      <c r="AR339" s="71"/>
      <c r="AS339" s="94">
        <f t="shared" ref="AS339:AS348" ca="1" si="673">IF(MONTH(TODAY())=3,SUM(T339:U339),IF(MONTH(TODAY())=4,SUM(T339:V339),IF(MONTH(TODAY())=5,SUM(T339:W339),IF(MONTH(TODAY())=6,SUM(T339:X339),IF(MONTH(TODAY())=7,SUM(T339:Y339),IF(MONTH(TODAY())=8,SUM(T339:Z339),IF(MONTH(TODAY())=9,SUM(T339:AA339),IF(MONTH(TODAY())=10,SUM(T339:AB339),IF(MONTH(TODAY())=11,SUM(T339:AC339),IF(MONTH(TODAY())=12,SUM(T339:AD339),IF(MONTH(TODAY())=1,SUM(T339:AE339),T339)))))))))))</f>
        <v>0</v>
      </c>
      <c r="AT339" s="95">
        <f t="shared" ref="AT339:AT348" si="674">SUM(AG339:AR339)</f>
        <v>1357</v>
      </c>
      <c r="AU339" s="97">
        <f t="shared" ref="AU339:AU348" si="675">SUM(AG339:AR339)</f>
        <v>1357</v>
      </c>
      <c r="AW339" s="83">
        <f t="shared" ref="AW339:AW348" si="676">AG339</f>
        <v>0</v>
      </c>
      <c r="AX339" s="83">
        <f t="shared" ref="AX339:AX348" si="677">AH339</f>
        <v>0</v>
      </c>
      <c r="AY339" s="83">
        <f t="shared" ref="AY339:AY348" si="678">AI339</f>
        <v>0</v>
      </c>
      <c r="AZ339" s="83">
        <f t="shared" ref="AZ339:BA348" si="679">AJ339</f>
        <v>1357</v>
      </c>
      <c r="BA339" s="83">
        <f t="shared" si="679"/>
        <v>0</v>
      </c>
      <c r="BB339" s="100"/>
      <c r="BC339" s="100"/>
      <c r="BD339" s="100"/>
      <c r="BE339" s="100"/>
      <c r="BF339" s="100"/>
      <c r="BG339" s="100"/>
      <c r="BH339" s="100"/>
      <c r="BI339" s="68" cm="1">
        <f t="array" ref="BI339">IFERROR(INDEX(AW339:BH339,1,MATCH(2,1/(AW339:BH339&lt;&gt;""))),"")</f>
        <v>0</v>
      </c>
      <c r="BJ339" s="68" cm="1">
        <f t="array" ref="BJ339">IF(BM339 = "", "",IFERROR(INDEX(AW339:BH339,1,MATCH(2,1/(AW339:BH339&lt;&gt;""),1)-1),""))</f>
        <v>1357</v>
      </c>
      <c r="BK339" s="59">
        <f t="shared" ref="BK339:BK348" si="680">SUM(AW339:BH339)</f>
        <v>1357</v>
      </c>
      <c r="BL339" s="59" cm="1">
        <f t="array" ref="BL339">IFERROR(SUM(AW339:INDEX(AW339:BH339, MATCH(2, 1/(AW339:BH339&lt;&gt;""), 1) - 1))/_xlfn.XLOOKUP(F339,Apuração!A:A,Apuração!B:B),0)</f>
        <v>150.77777777777777</v>
      </c>
      <c r="BM339" s="55" cm="1">
        <f t="array" ref="BM339">IFERROR(
   INDEX($AW$1:$BH$1,
      _xlfn.AGGREGATE(14, 6, COLUMN($AW$1:$BH$1)/(AW339:BH339&lt;&gt;""), 2) - COLUMN($AW$1) + 1
   ),
"")</f>
        <v>46113</v>
      </c>
      <c r="BN339" s="55" cm="1">
        <f t="array" ref="BN339">IFERROR(INDEX($AW$1:$BH$1,1,MATCH(2,1/(AW339:BH339&lt;&gt;""))),"")</f>
        <v>46143</v>
      </c>
      <c r="BO339" s="53">
        <f ca="1">IFERROR(_xlfn.XLOOKUP(F339,Apuração!A:A,Apuração!C:C)/_xlfn.XLOOKUP(F339,Apuração!A:A,Apuração!B:B),0)</f>
        <v>0.22222222222222221</v>
      </c>
      <c r="BP339" s="53">
        <f ca="1">IFERROR(_xlfn.XLOOKUP(F339,Apuração!A:A,Apuração!D:D)/_xlfn.XLOOKUP(F339,Apuração!A:A,Apuração!B:B),0)</f>
        <v>0.1111111111111111</v>
      </c>
      <c r="BQ339" s="53">
        <f ca="1">IF(BK339&gt;=BO339,0,_xlfn.XLOOKUP(F339,Apuração!A:A,Apuração!B:B)*(BO339 + (1/_xlfn.XLOOKUP(F339,Apuração!A:A,Apuração!B:B)) - BK339))</f>
        <v>0</v>
      </c>
      <c r="BR339" s="85">
        <f t="shared" ref="BR339:BR348" ca="1" si="681">IF(BQ339=0,0,BQ339*Z339)</f>
        <v>0</v>
      </c>
      <c r="BS339" s="53">
        <f ca="1">IFERROR((_xlfn.XLOOKUP(F339,Apuração!A:A,Apuração!C:C)+1)/_xlfn.XLOOKUP(F339,Apuração!A:A,Apuração!B:B),0)</f>
        <v>0.33333333333333331</v>
      </c>
    </row>
    <row r="340" spans="1:71" ht="25.95" hidden="1" customHeight="1" x14ac:dyDescent="0.3">
      <c r="A340" s="39" t="s">
        <v>33</v>
      </c>
      <c r="B340" s="4" t="s">
        <v>34</v>
      </c>
      <c r="C340" s="5" t="s">
        <v>97</v>
      </c>
      <c r="D340" s="5" t="s">
        <v>99</v>
      </c>
      <c r="E340" s="4" t="str" cm="1">
        <f t="array" ref="E340">_xlfn.IFS(
F340 = "A partir de Abril", "Aguardando Execução na Distribuidora",
A340 = "CAPACITAÇÃO", "Em execução no Corporativo",
TRUE, "Em Execução na Distribuidora"
)</f>
        <v>Em Execução na Distribuidora</v>
      </c>
      <c r="F340" s="4" t="str" cm="1">
        <f t="array" ref="F340">_xlfn.IFS(
AG340 &lt;&gt; "", "Jan-Dez/26",
AH340 &lt;&gt; "", "Fev-Dez/26",
AI340 &lt;&gt; "", "Mar-Dez/26", AJ340 &lt;&gt; "", "Abr-Dez/26",
TRUE, "A partir de Junho"
)</f>
        <v>Abr-Dez/26</v>
      </c>
      <c r="G340" s="6" t="s">
        <v>37</v>
      </c>
      <c r="H340" s="7" t="s">
        <v>54</v>
      </c>
      <c r="I340" s="9" t="s">
        <v>49</v>
      </c>
      <c r="J340" s="8" t="str" cm="1">
        <f t="array" aca="1" ref="J340" ca="1">_xlfn.LET(
  _xlpm.actual_value_month, INDEX(T340:AE340, MATCH(DATE(YEAR(TODAY()), MONTH(TODAY()), 1), $T$1:$AE$1, 0)),
  IF(_xlpm.actual_value_month &lt;&gt; "",_xlpm.actual_value_month &amp; " ações mensais", "")
)</f>
        <v/>
      </c>
      <c r="K340" s="8" t="str" cm="1">
        <f t="array" ref="K340">_xlfn.LET(
    _xlpm.sum_month, SUM(T340:AE340),
    IF(_xlpm.sum_month = 0, "", _xlpm.sum_month &amp; " soluções implementadas no ano")
)</f>
        <v/>
      </c>
      <c r="L340" s="9" t="s">
        <v>50</v>
      </c>
      <c r="M340" s="9"/>
      <c r="N340" s="5" t="s">
        <v>51</v>
      </c>
      <c r="O340" s="5" t="s">
        <v>52</v>
      </c>
      <c r="P340" s="10" t="s">
        <v>44</v>
      </c>
      <c r="Q340" s="10" t="s">
        <v>44</v>
      </c>
      <c r="R340" s="10" t="s">
        <v>44</v>
      </c>
      <c r="S340" s="10" t="s">
        <v>44</v>
      </c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G340" s="71"/>
      <c r="AH340" s="71"/>
      <c r="AI340" s="71"/>
      <c r="AJ340" s="71">
        <v>2298</v>
      </c>
      <c r="AK340" s="71"/>
      <c r="AL340" s="71"/>
      <c r="AM340" s="71"/>
      <c r="AN340" s="71"/>
      <c r="AO340" s="71"/>
      <c r="AP340" s="71"/>
      <c r="AQ340" s="71"/>
      <c r="AR340" s="71"/>
      <c r="AS340" s="94">
        <f t="shared" ca="1" si="673"/>
        <v>0</v>
      </c>
      <c r="AT340" s="95">
        <f t="shared" si="674"/>
        <v>2298</v>
      </c>
      <c r="AU340" s="97">
        <f t="shared" si="675"/>
        <v>2298</v>
      </c>
      <c r="AW340" s="83">
        <f t="shared" si="676"/>
        <v>0</v>
      </c>
      <c r="AX340" s="83">
        <f t="shared" si="677"/>
        <v>0</v>
      </c>
      <c r="AY340" s="83">
        <f t="shared" si="678"/>
        <v>0</v>
      </c>
      <c r="AZ340" s="83">
        <f t="shared" si="679"/>
        <v>2298</v>
      </c>
      <c r="BA340" s="83">
        <f t="shared" si="679"/>
        <v>0</v>
      </c>
      <c r="BB340" s="100"/>
      <c r="BC340" s="100"/>
      <c r="BD340" s="100"/>
      <c r="BE340" s="100"/>
      <c r="BF340" s="100"/>
      <c r="BG340" s="100"/>
      <c r="BH340" s="100"/>
      <c r="BI340" s="68" cm="1">
        <f t="array" ref="BI340">IFERROR(INDEX(AW340:BH340,1,MATCH(2,1/(AW340:BH340&lt;&gt;""))),"")</f>
        <v>0</v>
      </c>
      <c r="BJ340" s="68" cm="1">
        <f t="array" ref="BJ340">IF(BM340 = "", "",IFERROR(INDEX(AW340:BH340,1,MATCH(2,1/(AW340:BH340&lt;&gt;""),1)-1),""))</f>
        <v>2298</v>
      </c>
      <c r="BK340" s="59">
        <f t="shared" si="680"/>
        <v>2298</v>
      </c>
      <c r="BL340" s="59" cm="1">
        <f t="array" ref="BL340">IFERROR(SUM(AW340:INDEX(AW340:BH340, MATCH(2, 1/(AW340:BH340&lt;&gt;""), 1) - 1))/_xlfn.XLOOKUP(F340,Apuração!A:A,Apuração!B:B),0)</f>
        <v>255.33333333333334</v>
      </c>
      <c r="BM340" s="55" cm="1">
        <f t="array" ref="BM340">IFERROR(
   INDEX($AW$1:$BH$1,
      _xlfn.AGGREGATE(14, 6, COLUMN($AW$1:$BH$1)/(AW340:BH340&lt;&gt;""), 2) - COLUMN($AW$1) + 1
   ),
"")</f>
        <v>46113</v>
      </c>
      <c r="BN340" s="55" cm="1">
        <f t="array" ref="BN340">IFERROR(INDEX($AW$1:$BH$1,1,MATCH(2,1/(AW340:BH340&lt;&gt;""))),"")</f>
        <v>46143</v>
      </c>
      <c r="BO340" s="53">
        <f ca="1">IFERROR(_xlfn.XLOOKUP(F340,Apuração!A:A,Apuração!C:C)/_xlfn.XLOOKUP(F340,Apuração!A:A,Apuração!B:B),0)</f>
        <v>0.22222222222222221</v>
      </c>
      <c r="BP340" s="53">
        <f ca="1">IFERROR(_xlfn.XLOOKUP(F340,Apuração!A:A,Apuração!D:D)/_xlfn.XLOOKUP(F340,Apuração!A:A,Apuração!B:B),0)</f>
        <v>0.1111111111111111</v>
      </c>
      <c r="BQ340" s="53">
        <f ca="1">IF(BK340&gt;=BO340,0,_xlfn.XLOOKUP(F340,Apuração!A:A,Apuração!B:B)*(BO340 + (1/_xlfn.XLOOKUP(F340,Apuração!A:A,Apuração!B:B)) - BK340))</f>
        <v>0</v>
      </c>
      <c r="BR340" s="85">
        <f t="shared" ca="1" si="681"/>
        <v>0</v>
      </c>
      <c r="BS340" s="53">
        <f ca="1">IFERROR((_xlfn.XLOOKUP(F340,Apuração!A:A,Apuração!C:C)+1)/_xlfn.XLOOKUP(F340,Apuração!A:A,Apuração!B:B),0)</f>
        <v>0.33333333333333331</v>
      </c>
    </row>
    <row r="341" spans="1:71" ht="25.95" hidden="1" customHeight="1" x14ac:dyDescent="0.3">
      <c r="A341" s="39" t="s">
        <v>33</v>
      </c>
      <c r="B341" s="4" t="s">
        <v>34</v>
      </c>
      <c r="C341" s="5" t="s">
        <v>97</v>
      </c>
      <c r="D341" s="5" t="s">
        <v>100</v>
      </c>
      <c r="E341" s="4" t="str" cm="1">
        <f t="array" ref="E341">_xlfn.IFS(
F341 = "A partir de Abril", "Aguardando Execução na Distribuidora",
A341 = "CAPACITAÇÃO", "Em execução no Corporativo",
TRUE, "Em Execução na Distribuidora"
)</f>
        <v>Em Execução na Distribuidora</v>
      </c>
      <c r="F341" s="4" t="str" cm="1">
        <f t="array" ref="F341">_xlfn.IFS(
AG341 &lt;&gt; "", "Jan-Dez/26",
AH341 &lt;&gt; "", "Fev-Dez/26",
AI341 &lt;&gt; "", "Mar-Dez/26", AJ341 &lt;&gt; "", "Abr-Dez/26",
TRUE, "A partir de Junho"
)</f>
        <v>Abr-Dez/26</v>
      </c>
      <c r="G341" s="6" t="s">
        <v>37</v>
      </c>
      <c r="H341" s="7" t="s">
        <v>54</v>
      </c>
      <c r="I341" s="9" t="s">
        <v>49</v>
      </c>
      <c r="J341" s="8" t="str" cm="1">
        <f t="array" aca="1" ref="J341" ca="1">_xlfn.LET(
  _xlpm.actual_value_month, INDEX(T341:AE341, MATCH(DATE(YEAR(TODAY()), MONTH(TODAY()), 1), $T$1:$AE$1, 0)),
  IF(_xlpm.actual_value_month &lt;&gt; "",_xlpm.actual_value_month &amp; " ações mensais", "")
)</f>
        <v/>
      </c>
      <c r="K341" s="8" t="str" cm="1">
        <f t="array" ref="K341">_xlfn.LET(
    _xlpm.sum_month, SUM(T341:AE341),
    IF(_xlpm.sum_month = 0, "", _xlpm.sum_month &amp; " soluções implementadas no ano")
)</f>
        <v/>
      </c>
      <c r="L341" s="9" t="s">
        <v>50</v>
      </c>
      <c r="M341" s="9"/>
      <c r="N341" s="5" t="s">
        <v>51</v>
      </c>
      <c r="O341" s="5" t="s">
        <v>52</v>
      </c>
      <c r="P341" s="10" t="s">
        <v>44</v>
      </c>
      <c r="Q341" s="10" t="s">
        <v>44</v>
      </c>
      <c r="R341" s="10" t="s">
        <v>44</v>
      </c>
      <c r="S341" s="10" t="s">
        <v>44</v>
      </c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G341" s="71"/>
      <c r="AH341" s="71"/>
      <c r="AI341" s="71"/>
      <c r="AJ341" s="71">
        <v>6628</v>
      </c>
      <c r="AK341" s="71"/>
      <c r="AL341" s="71"/>
      <c r="AM341" s="71"/>
      <c r="AN341" s="71"/>
      <c r="AO341" s="71"/>
      <c r="AP341" s="71"/>
      <c r="AQ341" s="71"/>
      <c r="AR341" s="71"/>
      <c r="AS341" s="94">
        <f t="shared" ca="1" si="673"/>
        <v>0</v>
      </c>
      <c r="AT341" s="95">
        <f t="shared" si="674"/>
        <v>6628</v>
      </c>
      <c r="AU341" s="97">
        <f t="shared" si="675"/>
        <v>6628</v>
      </c>
      <c r="AW341" s="83">
        <f t="shared" si="676"/>
        <v>0</v>
      </c>
      <c r="AX341" s="83">
        <f t="shared" si="677"/>
        <v>0</v>
      </c>
      <c r="AY341" s="83">
        <f t="shared" si="678"/>
        <v>0</v>
      </c>
      <c r="AZ341" s="83">
        <f t="shared" si="679"/>
        <v>6628</v>
      </c>
      <c r="BA341" s="83">
        <f t="shared" si="679"/>
        <v>0</v>
      </c>
      <c r="BB341" s="100"/>
      <c r="BC341" s="100"/>
      <c r="BD341" s="100"/>
      <c r="BE341" s="100"/>
      <c r="BF341" s="100"/>
      <c r="BG341" s="100"/>
      <c r="BH341" s="100"/>
      <c r="BI341" s="68" cm="1">
        <f t="array" ref="BI341">IFERROR(INDEX(AW341:BH341,1,MATCH(2,1/(AW341:BH341&lt;&gt;""))),"")</f>
        <v>0</v>
      </c>
      <c r="BJ341" s="68" cm="1">
        <f t="array" ref="BJ341">IF(BM341 = "", "",IFERROR(INDEX(AW341:BH341,1,MATCH(2,1/(AW341:BH341&lt;&gt;""),1)-1),""))</f>
        <v>6628</v>
      </c>
      <c r="BK341" s="59">
        <f t="shared" si="680"/>
        <v>6628</v>
      </c>
      <c r="BL341" s="59" cm="1">
        <f t="array" ref="BL341">IFERROR(SUM(AW341:INDEX(AW341:BH341, MATCH(2, 1/(AW341:BH341&lt;&gt;""), 1) - 1))/_xlfn.XLOOKUP(F341,Apuração!A:A,Apuração!B:B),0)</f>
        <v>736.44444444444446</v>
      </c>
      <c r="BM341" s="55" cm="1">
        <f t="array" ref="BM341">IFERROR(
   INDEX($AW$1:$BH$1,
      _xlfn.AGGREGATE(14, 6, COLUMN($AW$1:$BH$1)/(AW341:BH341&lt;&gt;""), 2) - COLUMN($AW$1) + 1
   ),
"")</f>
        <v>46113</v>
      </c>
      <c r="BN341" s="55" cm="1">
        <f t="array" ref="BN341">IFERROR(INDEX($AW$1:$BH$1,1,MATCH(2,1/(AW341:BH341&lt;&gt;""))),"")</f>
        <v>46143</v>
      </c>
      <c r="BO341" s="53">
        <f ca="1">IFERROR(_xlfn.XLOOKUP(F341,Apuração!A:A,Apuração!C:C)/_xlfn.XLOOKUP(F341,Apuração!A:A,Apuração!B:B),0)</f>
        <v>0.22222222222222221</v>
      </c>
      <c r="BP341" s="53">
        <f ca="1">IFERROR(_xlfn.XLOOKUP(F341,Apuração!A:A,Apuração!D:D)/_xlfn.XLOOKUP(F341,Apuração!A:A,Apuração!B:B),0)</f>
        <v>0.1111111111111111</v>
      </c>
      <c r="BQ341" s="53">
        <f ca="1">IF(BK341&gt;=BO341,0,_xlfn.XLOOKUP(F341,Apuração!A:A,Apuração!B:B)*(BO341 + (1/_xlfn.XLOOKUP(F341,Apuração!A:A,Apuração!B:B)) - BK341))</f>
        <v>0</v>
      </c>
      <c r="BR341" s="85">
        <f t="shared" ca="1" si="681"/>
        <v>0</v>
      </c>
      <c r="BS341" s="53">
        <f ca="1">IFERROR((_xlfn.XLOOKUP(F341,Apuração!A:A,Apuração!C:C)+1)/_xlfn.XLOOKUP(F341,Apuração!A:A,Apuração!B:B),0)</f>
        <v>0.33333333333333331</v>
      </c>
    </row>
    <row r="342" spans="1:71" ht="25.95" hidden="1" customHeight="1" x14ac:dyDescent="0.3">
      <c r="A342" s="39" t="s">
        <v>33</v>
      </c>
      <c r="B342" s="4" t="s">
        <v>34</v>
      </c>
      <c r="C342" s="5" t="s">
        <v>97</v>
      </c>
      <c r="D342" s="5" t="s">
        <v>101</v>
      </c>
      <c r="E342" s="4" t="str" cm="1">
        <f t="array" ref="E342">_xlfn.IFS(
F342 = "A partir de Abril", "Aguardando Execução na Distribuidora",
A342 = "CAPACITAÇÃO", "Em execução no Corporativo",
TRUE, "Em Execução na Distribuidora"
)</f>
        <v>Em Execução na Distribuidora</v>
      </c>
      <c r="F342" s="4" t="str" cm="1">
        <f t="array" ref="F342">_xlfn.IFS(
AG342 &lt;&gt; "", "Jan-Dez/26",
AH342 &lt;&gt; "", "Fev-Dez/26",
AI342 &lt;&gt; "", "Mar-Dez/26", AJ342 &lt;&gt; "", "Abr-Dez/26",
TRUE, "A partir de Junho"
)</f>
        <v>Abr-Dez/26</v>
      </c>
      <c r="G342" s="6" t="s">
        <v>37</v>
      </c>
      <c r="H342" s="7" t="s">
        <v>54</v>
      </c>
      <c r="I342" s="9" t="s">
        <v>49</v>
      </c>
      <c r="J342" s="8" t="str" cm="1">
        <f t="array" aca="1" ref="J342" ca="1">_xlfn.LET(
  _xlpm.actual_value_month, INDEX(T342:AE342, MATCH(DATE(YEAR(TODAY()), MONTH(TODAY()), 1), $T$1:$AE$1, 0)),
  IF(_xlpm.actual_value_month &lt;&gt; "",_xlpm.actual_value_month &amp; " ações mensais", "")
)</f>
        <v/>
      </c>
      <c r="K342" s="8" t="str" cm="1">
        <f t="array" ref="K342">_xlfn.LET(
    _xlpm.sum_month, SUM(T342:AE342),
    IF(_xlpm.sum_month = 0, "", _xlpm.sum_month &amp; " soluções implementadas no ano")
)</f>
        <v/>
      </c>
      <c r="L342" s="9" t="s">
        <v>50</v>
      </c>
      <c r="M342" s="9"/>
      <c r="N342" s="5" t="s">
        <v>51</v>
      </c>
      <c r="O342" s="5" t="s">
        <v>52</v>
      </c>
      <c r="P342" s="10" t="s">
        <v>44</v>
      </c>
      <c r="Q342" s="10" t="s">
        <v>44</v>
      </c>
      <c r="R342" s="10" t="s">
        <v>44</v>
      </c>
      <c r="S342" s="10" t="s">
        <v>44</v>
      </c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G342" s="71"/>
      <c r="AH342" s="71"/>
      <c r="AI342" s="71"/>
      <c r="AJ342" s="82">
        <v>805</v>
      </c>
      <c r="AK342" s="71"/>
      <c r="AL342" s="71"/>
      <c r="AM342" s="71"/>
      <c r="AN342" s="71"/>
      <c r="AO342" s="71"/>
      <c r="AP342" s="71"/>
      <c r="AQ342" s="71"/>
      <c r="AR342" s="71"/>
      <c r="AS342" s="94">
        <f t="shared" ca="1" si="673"/>
        <v>0</v>
      </c>
      <c r="AT342" s="95">
        <f t="shared" si="674"/>
        <v>805</v>
      </c>
      <c r="AU342" s="97">
        <f t="shared" si="675"/>
        <v>805</v>
      </c>
      <c r="AW342" s="83">
        <f t="shared" si="676"/>
        <v>0</v>
      </c>
      <c r="AX342" s="83">
        <f t="shared" si="677"/>
        <v>0</v>
      </c>
      <c r="AY342" s="83">
        <f t="shared" si="678"/>
        <v>0</v>
      </c>
      <c r="AZ342" s="83">
        <f t="shared" si="679"/>
        <v>805</v>
      </c>
      <c r="BA342" s="83">
        <f t="shared" si="679"/>
        <v>0</v>
      </c>
      <c r="BB342" s="100"/>
      <c r="BC342" s="100"/>
      <c r="BD342" s="100"/>
      <c r="BE342" s="100"/>
      <c r="BF342" s="100"/>
      <c r="BG342" s="100"/>
      <c r="BH342" s="100"/>
      <c r="BI342" s="68" cm="1">
        <f t="array" ref="BI342">IFERROR(INDEX(AW342:BH342,1,MATCH(2,1/(AW342:BH342&lt;&gt;""))),"")</f>
        <v>0</v>
      </c>
      <c r="BJ342" s="68" cm="1">
        <f t="array" ref="BJ342">IF(BM342 = "", "",IFERROR(INDEX(AW342:BH342,1,MATCH(2,1/(AW342:BH342&lt;&gt;""),1)-1),""))</f>
        <v>805</v>
      </c>
      <c r="BK342" s="59">
        <f t="shared" si="680"/>
        <v>805</v>
      </c>
      <c r="BL342" s="59" cm="1">
        <f t="array" ref="BL342">IFERROR(SUM(AW342:INDEX(AW342:BH342, MATCH(2, 1/(AW342:BH342&lt;&gt;""), 1) - 1))/_xlfn.XLOOKUP(F342,Apuração!A:A,Apuração!B:B),0)</f>
        <v>89.444444444444443</v>
      </c>
      <c r="BM342" s="55" cm="1">
        <f t="array" ref="BM342">IFERROR(
   INDEX($AW$1:$BH$1,
      _xlfn.AGGREGATE(14, 6, COLUMN($AW$1:$BH$1)/(AW342:BH342&lt;&gt;""), 2) - COLUMN($AW$1) + 1
   ),
"")</f>
        <v>46113</v>
      </c>
      <c r="BN342" s="55" cm="1">
        <f t="array" ref="BN342">IFERROR(INDEX($AW$1:$BH$1,1,MATCH(2,1/(AW342:BH342&lt;&gt;""))),"")</f>
        <v>46143</v>
      </c>
      <c r="BO342" s="53">
        <f ca="1">IFERROR(_xlfn.XLOOKUP(F342,Apuração!A:A,Apuração!C:C)/_xlfn.XLOOKUP(F342,Apuração!A:A,Apuração!B:B),0)</f>
        <v>0.22222222222222221</v>
      </c>
      <c r="BP342" s="53">
        <f ca="1">IFERROR(_xlfn.XLOOKUP(F342,Apuração!A:A,Apuração!D:D)/_xlfn.XLOOKUP(F342,Apuração!A:A,Apuração!B:B),0)</f>
        <v>0.1111111111111111</v>
      </c>
      <c r="BQ342" s="53">
        <f ca="1">IF(BK342&gt;=BO342,0,_xlfn.XLOOKUP(F342,Apuração!A:A,Apuração!B:B)*(BO342 + (1/_xlfn.XLOOKUP(F342,Apuração!A:A,Apuração!B:B)) - BK342))</f>
        <v>0</v>
      </c>
      <c r="BR342" s="85">
        <f t="shared" ca="1" si="681"/>
        <v>0</v>
      </c>
      <c r="BS342" s="53">
        <f ca="1">IFERROR((_xlfn.XLOOKUP(F342,Apuração!A:A,Apuração!C:C)+1)/_xlfn.XLOOKUP(F342,Apuração!A:A,Apuração!B:B),0)</f>
        <v>0.33333333333333331</v>
      </c>
    </row>
    <row r="343" spans="1:71" ht="25.95" hidden="1" customHeight="1" x14ac:dyDescent="0.3">
      <c r="A343" s="39" t="s">
        <v>33</v>
      </c>
      <c r="B343" s="4" t="s">
        <v>34</v>
      </c>
      <c r="C343" s="5" t="s">
        <v>97</v>
      </c>
      <c r="D343" s="5" t="s">
        <v>102</v>
      </c>
      <c r="E343" s="4" t="str" cm="1">
        <f t="array" ref="E343">_xlfn.IFS(
F343 = "A partir de Abril", "Aguardando Execução na Distribuidora",
A343 = "CAPACITAÇÃO", "Em execução no Corporativo",
TRUE, "Em Execução na Distribuidora"
)</f>
        <v>Em Execução na Distribuidora</v>
      </c>
      <c r="F343" s="4" t="str" cm="1">
        <f t="array" ref="F343">_xlfn.IFS(
AG343 &lt;&gt; "", "Jan-Dez/26",
AH343 &lt;&gt; "", "Fev-Dez/26",
AI343 &lt;&gt; "", "Mar-Dez/26", AJ343 &lt;&gt; "", "Abr-Dez/26",
TRUE, "A partir de Junho"
)</f>
        <v>Abr-Dez/26</v>
      </c>
      <c r="G343" s="6" t="s">
        <v>37</v>
      </c>
      <c r="H343" s="7" t="s">
        <v>54</v>
      </c>
      <c r="I343" s="9" t="s">
        <v>49</v>
      </c>
      <c r="J343" s="8" t="str" cm="1">
        <f t="array" aca="1" ref="J343" ca="1">_xlfn.LET(
  _xlpm.actual_value_month, INDEX(T343:AE343, MATCH(DATE(YEAR(TODAY()), MONTH(TODAY()), 1), $T$1:$AE$1, 0)),
  IF(_xlpm.actual_value_month &lt;&gt; "",_xlpm.actual_value_month &amp; " ações mensais", "")
)</f>
        <v/>
      </c>
      <c r="K343" s="8" t="str" cm="1">
        <f t="array" ref="K343">_xlfn.LET(
    _xlpm.sum_month, SUM(T343:AE343),
    IF(_xlpm.sum_month = 0, "", _xlpm.sum_month &amp; " soluções implementadas no ano")
)</f>
        <v/>
      </c>
      <c r="L343" s="9" t="s">
        <v>50</v>
      </c>
      <c r="M343" s="9"/>
      <c r="N343" s="5" t="s">
        <v>51</v>
      </c>
      <c r="O343" s="5" t="s">
        <v>52</v>
      </c>
      <c r="P343" s="10" t="s">
        <v>44</v>
      </c>
      <c r="Q343" s="10" t="s">
        <v>44</v>
      </c>
      <c r="R343" s="10" t="s">
        <v>44</v>
      </c>
      <c r="S343" s="10" t="s">
        <v>44</v>
      </c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G343" s="71"/>
      <c r="AH343" s="71"/>
      <c r="AI343" s="71"/>
      <c r="AJ343" s="71">
        <v>2298</v>
      </c>
      <c r="AK343" s="71"/>
      <c r="AL343" s="71"/>
      <c r="AM343" s="71"/>
      <c r="AN343" s="71"/>
      <c r="AO343" s="71"/>
      <c r="AP343" s="71"/>
      <c r="AQ343" s="71"/>
      <c r="AR343" s="71"/>
      <c r="AS343" s="94">
        <f t="shared" ca="1" si="673"/>
        <v>0</v>
      </c>
      <c r="AT343" s="95">
        <f t="shared" si="674"/>
        <v>2298</v>
      </c>
      <c r="AU343" s="97">
        <f t="shared" si="675"/>
        <v>2298</v>
      </c>
      <c r="AW343" s="83">
        <f t="shared" si="676"/>
        <v>0</v>
      </c>
      <c r="AX343" s="83">
        <f t="shared" si="677"/>
        <v>0</v>
      </c>
      <c r="AY343" s="83">
        <f t="shared" si="678"/>
        <v>0</v>
      </c>
      <c r="AZ343" s="83">
        <f t="shared" si="679"/>
        <v>2298</v>
      </c>
      <c r="BA343" s="83">
        <f t="shared" si="679"/>
        <v>0</v>
      </c>
      <c r="BB343" s="100"/>
      <c r="BC343" s="100"/>
      <c r="BD343" s="100"/>
      <c r="BE343" s="100"/>
      <c r="BF343" s="100"/>
      <c r="BG343" s="100"/>
      <c r="BH343" s="100"/>
      <c r="BI343" s="68" cm="1">
        <f t="array" ref="BI343">IFERROR(INDEX(AW343:BH343,1,MATCH(2,1/(AW343:BH343&lt;&gt;""))),"")</f>
        <v>0</v>
      </c>
      <c r="BJ343" s="68" cm="1">
        <f t="array" ref="BJ343">IF(BM343 = "", "",IFERROR(INDEX(AW343:BH343,1,MATCH(2,1/(AW343:BH343&lt;&gt;""),1)-1),""))</f>
        <v>2298</v>
      </c>
      <c r="BK343" s="59">
        <f t="shared" si="680"/>
        <v>2298</v>
      </c>
      <c r="BL343" s="59" cm="1">
        <f t="array" ref="BL343">IFERROR(SUM(AW343:INDEX(AW343:BH343, MATCH(2, 1/(AW343:BH343&lt;&gt;""), 1) - 1))/_xlfn.XLOOKUP(F343,Apuração!A:A,Apuração!B:B),0)</f>
        <v>255.33333333333334</v>
      </c>
      <c r="BM343" s="55" cm="1">
        <f t="array" ref="BM343">IFERROR(
   INDEX($AW$1:$BH$1,
      _xlfn.AGGREGATE(14, 6, COLUMN($AW$1:$BH$1)/(AW343:BH343&lt;&gt;""), 2) - COLUMN($AW$1) + 1
   ),
"")</f>
        <v>46113</v>
      </c>
      <c r="BN343" s="55" cm="1">
        <f t="array" ref="BN343">IFERROR(INDEX($AW$1:$BH$1,1,MATCH(2,1/(AW343:BH343&lt;&gt;""))),"")</f>
        <v>46143</v>
      </c>
      <c r="BO343" s="53">
        <f ca="1">IFERROR(_xlfn.XLOOKUP(F343,Apuração!A:A,Apuração!C:C)/_xlfn.XLOOKUP(F343,Apuração!A:A,Apuração!B:B),0)</f>
        <v>0.22222222222222221</v>
      </c>
      <c r="BP343" s="53">
        <f ca="1">IFERROR(_xlfn.XLOOKUP(F343,Apuração!A:A,Apuração!D:D)/_xlfn.XLOOKUP(F343,Apuração!A:A,Apuração!B:B),0)</f>
        <v>0.1111111111111111</v>
      </c>
      <c r="BQ343" s="53">
        <f ca="1">IF(BK343&gt;=BO343,0,_xlfn.XLOOKUP(F343,Apuração!A:A,Apuração!B:B)*(BO343 + (1/_xlfn.XLOOKUP(F343,Apuração!A:A,Apuração!B:B)) - BK343))</f>
        <v>0</v>
      </c>
      <c r="BR343" s="85">
        <f t="shared" ca="1" si="681"/>
        <v>0</v>
      </c>
      <c r="BS343" s="53">
        <f ca="1">IFERROR((_xlfn.XLOOKUP(F343,Apuração!A:A,Apuração!C:C)+1)/_xlfn.XLOOKUP(F343,Apuração!A:A,Apuração!B:B),0)</f>
        <v>0.33333333333333331</v>
      </c>
    </row>
    <row r="344" spans="1:71" ht="25.95" hidden="1" customHeight="1" x14ac:dyDescent="0.3">
      <c r="A344" s="39" t="s">
        <v>33</v>
      </c>
      <c r="B344" s="4" t="s">
        <v>34</v>
      </c>
      <c r="C344" s="5" t="s">
        <v>97</v>
      </c>
      <c r="D344" s="5" t="s">
        <v>103</v>
      </c>
      <c r="E344" s="4" t="str" cm="1">
        <f t="array" ref="E344">_xlfn.IFS(
F344 = "A partir de Abril", "Aguardando Execução na Distribuidora",
A344 = "CAPACITAÇÃO", "Em execução no Corporativo",
TRUE, "Em Execução na Distribuidora"
)</f>
        <v>Em Execução na Distribuidora</v>
      </c>
      <c r="F344" s="4" t="str" cm="1">
        <f t="array" ref="F344">_xlfn.IFS(
AG344 &lt;&gt; "", "Jan-Dez/26",
AH344 &lt;&gt; "", "Fev-Dez/26",
AI344 &lt;&gt; "", "Mar-Dez/26", AJ344 &lt;&gt; "", "Abr-Dez/26",
TRUE, "A partir de Junho"
)</f>
        <v>Abr-Dez/26</v>
      </c>
      <c r="G344" s="6" t="s">
        <v>37</v>
      </c>
      <c r="H344" s="7" t="s">
        <v>54</v>
      </c>
      <c r="I344" s="9" t="s">
        <v>49</v>
      </c>
      <c r="J344" s="8" t="str" cm="1">
        <f t="array" aca="1" ref="J344" ca="1">_xlfn.LET(
  _xlpm.actual_value_month, INDEX(T344:AE344, MATCH(DATE(YEAR(TODAY()), MONTH(TODAY()), 1), $T$1:$AE$1, 0)),
  IF(_xlpm.actual_value_month &lt;&gt; "",_xlpm.actual_value_month &amp; " ações mensais", "")
)</f>
        <v/>
      </c>
      <c r="K344" s="8" t="str" cm="1">
        <f t="array" ref="K344">_xlfn.LET(
    _xlpm.sum_month, SUM(T344:AE344),
    IF(_xlpm.sum_month = 0, "", _xlpm.sum_month &amp; " soluções implementadas no ano")
)</f>
        <v/>
      </c>
      <c r="L344" s="9" t="s">
        <v>50</v>
      </c>
      <c r="M344" s="9"/>
      <c r="N344" s="5" t="s">
        <v>51</v>
      </c>
      <c r="O344" s="5" t="s">
        <v>52</v>
      </c>
      <c r="P344" s="10" t="s">
        <v>44</v>
      </c>
      <c r="Q344" s="10" t="s">
        <v>44</v>
      </c>
      <c r="R344" s="10" t="s">
        <v>44</v>
      </c>
      <c r="S344" s="10" t="s">
        <v>44</v>
      </c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G344" s="71"/>
      <c r="AH344" s="71"/>
      <c r="AI344" s="71"/>
      <c r="AJ344" s="71">
        <v>6628</v>
      </c>
      <c r="AK344" s="71"/>
      <c r="AL344" s="71"/>
      <c r="AM344" s="71"/>
      <c r="AN344" s="71"/>
      <c r="AO344" s="71"/>
      <c r="AP344" s="71"/>
      <c r="AQ344" s="71"/>
      <c r="AR344" s="71"/>
      <c r="AS344" s="94">
        <f t="shared" ca="1" si="673"/>
        <v>0</v>
      </c>
      <c r="AT344" s="95">
        <f t="shared" si="674"/>
        <v>6628</v>
      </c>
      <c r="AU344" s="97">
        <f t="shared" si="675"/>
        <v>6628</v>
      </c>
      <c r="AW344" s="83">
        <f t="shared" si="676"/>
        <v>0</v>
      </c>
      <c r="AX344" s="83">
        <f t="shared" si="677"/>
        <v>0</v>
      </c>
      <c r="AY344" s="83">
        <f t="shared" si="678"/>
        <v>0</v>
      </c>
      <c r="AZ344" s="83">
        <f t="shared" si="679"/>
        <v>6628</v>
      </c>
      <c r="BA344" s="83">
        <f t="shared" si="679"/>
        <v>0</v>
      </c>
      <c r="BB344" s="100"/>
      <c r="BC344" s="100"/>
      <c r="BD344" s="100"/>
      <c r="BE344" s="100"/>
      <c r="BF344" s="100"/>
      <c r="BG344" s="100"/>
      <c r="BH344" s="100"/>
      <c r="BI344" s="68" cm="1">
        <f t="array" ref="BI344">IFERROR(INDEX(AW344:BH344,1,MATCH(2,1/(AW344:BH344&lt;&gt;""))),"")</f>
        <v>0</v>
      </c>
      <c r="BJ344" s="68" cm="1">
        <f t="array" ref="BJ344">IF(BM344 = "", "",IFERROR(INDEX(AW344:BH344,1,MATCH(2,1/(AW344:BH344&lt;&gt;""),1)-1),""))</f>
        <v>6628</v>
      </c>
      <c r="BK344" s="59">
        <f t="shared" si="680"/>
        <v>6628</v>
      </c>
      <c r="BL344" s="59" cm="1">
        <f t="array" ref="BL344">IFERROR(SUM(AW344:INDEX(AW344:BH344, MATCH(2, 1/(AW344:BH344&lt;&gt;""), 1) - 1))/_xlfn.XLOOKUP(F344,Apuração!A:A,Apuração!B:B),0)</f>
        <v>736.44444444444446</v>
      </c>
      <c r="BM344" s="55" cm="1">
        <f t="array" ref="BM344">IFERROR(
   INDEX($AW$1:$BH$1,
      _xlfn.AGGREGATE(14, 6, COLUMN($AW$1:$BH$1)/(AW344:BH344&lt;&gt;""), 2) - COLUMN($AW$1) + 1
   ),
"")</f>
        <v>46113</v>
      </c>
      <c r="BN344" s="55" cm="1">
        <f t="array" ref="BN344">IFERROR(INDEX($AW$1:$BH$1,1,MATCH(2,1/(AW344:BH344&lt;&gt;""))),"")</f>
        <v>46143</v>
      </c>
      <c r="BO344" s="53">
        <f ca="1">IFERROR(_xlfn.XLOOKUP(F344,Apuração!A:A,Apuração!C:C)/_xlfn.XLOOKUP(F344,Apuração!A:A,Apuração!B:B),0)</f>
        <v>0.22222222222222221</v>
      </c>
      <c r="BP344" s="53">
        <f ca="1">IFERROR(_xlfn.XLOOKUP(F344,Apuração!A:A,Apuração!D:D)/_xlfn.XLOOKUP(F344,Apuração!A:A,Apuração!B:B),0)</f>
        <v>0.1111111111111111</v>
      </c>
      <c r="BQ344" s="53">
        <f ca="1">IF(BK344&gt;=BO344,0,_xlfn.XLOOKUP(F344,Apuração!A:A,Apuração!B:B)*(BO344 + (1/_xlfn.XLOOKUP(F344,Apuração!A:A,Apuração!B:B)) - BK344))</f>
        <v>0</v>
      </c>
      <c r="BR344" s="85">
        <f t="shared" ca="1" si="681"/>
        <v>0</v>
      </c>
      <c r="BS344" s="53">
        <f ca="1">IFERROR((_xlfn.XLOOKUP(F344,Apuração!A:A,Apuração!C:C)+1)/_xlfn.XLOOKUP(F344,Apuração!A:A,Apuração!B:B),0)</f>
        <v>0.33333333333333331</v>
      </c>
    </row>
    <row r="345" spans="1:71" ht="25.95" hidden="1" customHeight="1" x14ac:dyDescent="0.3">
      <c r="A345" s="39" t="s">
        <v>33</v>
      </c>
      <c r="B345" s="4" t="s">
        <v>34</v>
      </c>
      <c r="C345" s="5" t="s">
        <v>97</v>
      </c>
      <c r="D345" s="5" t="s">
        <v>104</v>
      </c>
      <c r="E345" s="4" t="str" cm="1">
        <f t="array" ref="E345">_xlfn.IFS(
F345 = "A partir de Abril", "Aguardando Execução na Distribuidora",
A345 = "CAPACITAÇÃO", "Em execução no Corporativo",
TRUE, "Em Execução na Distribuidora"
)</f>
        <v>Em Execução na Distribuidora</v>
      </c>
      <c r="F345" s="4" t="str" cm="1">
        <f t="array" ref="F345">_xlfn.IFS(
AG345 &lt;&gt; "", "Jan-Dez/26",
AH345 &lt;&gt; "", "Fev-Dez/26",
AI345 &lt;&gt; "", "Mar-Dez/26", AJ345 &lt;&gt; "", "Abr-Dez/26",
TRUE, "A partir de Junho"
)</f>
        <v>Abr-Dez/26</v>
      </c>
      <c r="G345" s="6" t="s">
        <v>37</v>
      </c>
      <c r="H345" s="7" t="s">
        <v>54</v>
      </c>
      <c r="I345" s="9" t="s">
        <v>49</v>
      </c>
      <c r="J345" s="8" t="str" cm="1">
        <f t="array" aca="1" ref="J345" ca="1">_xlfn.LET(
  _xlpm.actual_value_month, INDEX(T345:AE345, MATCH(DATE(YEAR(TODAY()), MONTH(TODAY()), 1), $T$1:$AE$1, 0)),
  IF(_xlpm.actual_value_month &lt;&gt; "",_xlpm.actual_value_month &amp; " ações mensais", "")
)</f>
        <v/>
      </c>
      <c r="K345" s="8" t="str" cm="1">
        <f t="array" ref="K345">_xlfn.LET(
    _xlpm.sum_month, SUM(T345:AE345),
    IF(_xlpm.sum_month = 0, "", _xlpm.sum_month &amp; " soluções implementadas no ano")
)</f>
        <v/>
      </c>
      <c r="L345" s="9" t="s">
        <v>50</v>
      </c>
      <c r="M345" s="9"/>
      <c r="N345" s="5" t="s">
        <v>51</v>
      </c>
      <c r="O345" s="5" t="s">
        <v>52</v>
      </c>
      <c r="P345" s="10" t="s">
        <v>44</v>
      </c>
      <c r="Q345" s="10" t="s">
        <v>44</v>
      </c>
      <c r="R345" s="10" t="s">
        <v>44</v>
      </c>
      <c r="S345" s="10" t="s">
        <v>44</v>
      </c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G345" s="71"/>
      <c r="AH345" s="71"/>
      <c r="AI345" s="71"/>
      <c r="AJ345" s="82">
        <v>805</v>
      </c>
      <c r="AK345" s="71"/>
      <c r="AL345" s="71"/>
      <c r="AM345" s="71"/>
      <c r="AN345" s="71"/>
      <c r="AO345" s="71"/>
      <c r="AP345" s="71"/>
      <c r="AQ345" s="71"/>
      <c r="AR345" s="71"/>
      <c r="AS345" s="94">
        <f t="shared" ca="1" si="673"/>
        <v>0</v>
      </c>
      <c r="AT345" s="95">
        <f t="shared" si="674"/>
        <v>805</v>
      </c>
      <c r="AU345" s="97">
        <f t="shared" si="675"/>
        <v>805</v>
      </c>
      <c r="AW345" s="83">
        <f t="shared" si="676"/>
        <v>0</v>
      </c>
      <c r="AX345" s="83">
        <f t="shared" si="677"/>
        <v>0</v>
      </c>
      <c r="AY345" s="83">
        <f t="shared" si="678"/>
        <v>0</v>
      </c>
      <c r="AZ345" s="83">
        <f t="shared" si="679"/>
        <v>805</v>
      </c>
      <c r="BA345" s="83">
        <f t="shared" si="679"/>
        <v>0</v>
      </c>
      <c r="BB345" s="100"/>
      <c r="BC345" s="100"/>
      <c r="BD345" s="100"/>
      <c r="BE345" s="100"/>
      <c r="BF345" s="100"/>
      <c r="BG345" s="100"/>
      <c r="BH345" s="100"/>
      <c r="BI345" s="68" cm="1">
        <f t="array" ref="BI345">IFERROR(INDEX(AW345:BH345,1,MATCH(2,1/(AW345:BH345&lt;&gt;""))),"")</f>
        <v>0</v>
      </c>
      <c r="BJ345" s="68" cm="1">
        <f t="array" ref="BJ345">IF(BM345 = "", "",IFERROR(INDEX(AW345:BH345,1,MATCH(2,1/(AW345:BH345&lt;&gt;""),1)-1),""))</f>
        <v>805</v>
      </c>
      <c r="BK345" s="59">
        <f t="shared" si="680"/>
        <v>805</v>
      </c>
      <c r="BL345" s="59" cm="1">
        <f t="array" ref="BL345">IFERROR(SUM(AW345:INDEX(AW345:BH345, MATCH(2, 1/(AW345:BH345&lt;&gt;""), 1) - 1))/_xlfn.XLOOKUP(F345,Apuração!A:A,Apuração!B:B),0)</f>
        <v>89.444444444444443</v>
      </c>
      <c r="BM345" s="55" cm="1">
        <f t="array" ref="BM345">IFERROR(
   INDEX($AW$1:$BH$1,
      _xlfn.AGGREGATE(14, 6, COLUMN($AW$1:$BH$1)/(AW345:BH345&lt;&gt;""), 2) - COLUMN($AW$1) + 1
   ),
"")</f>
        <v>46113</v>
      </c>
      <c r="BN345" s="55" cm="1">
        <f t="array" ref="BN345">IFERROR(INDEX($AW$1:$BH$1,1,MATCH(2,1/(AW345:BH345&lt;&gt;""))),"")</f>
        <v>46143</v>
      </c>
      <c r="BO345" s="53">
        <f ca="1">IFERROR(_xlfn.XLOOKUP(F345,Apuração!A:A,Apuração!C:C)/_xlfn.XLOOKUP(F345,Apuração!A:A,Apuração!B:B),0)</f>
        <v>0.22222222222222221</v>
      </c>
      <c r="BP345" s="53">
        <f ca="1">IFERROR(_xlfn.XLOOKUP(F345,Apuração!A:A,Apuração!D:D)/_xlfn.XLOOKUP(F345,Apuração!A:A,Apuração!B:B),0)</f>
        <v>0.1111111111111111</v>
      </c>
      <c r="BQ345" s="53">
        <f ca="1">IF(BK345&gt;=BO345,0,_xlfn.XLOOKUP(F345,Apuração!A:A,Apuração!B:B)*(BO345 + (1/_xlfn.XLOOKUP(F345,Apuração!A:A,Apuração!B:B)) - BK345))</f>
        <v>0</v>
      </c>
      <c r="BR345" s="85">
        <f t="shared" ca="1" si="681"/>
        <v>0</v>
      </c>
      <c r="BS345" s="53">
        <f ca="1">IFERROR((_xlfn.XLOOKUP(F345,Apuração!A:A,Apuração!C:C)+1)/_xlfn.XLOOKUP(F345,Apuração!A:A,Apuração!B:B),0)</f>
        <v>0.33333333333333331</v>
      </c>
    </row>
    <row r="346" spans="1:71" ht="25.95" hidden="1" customHeight="1" x14ac:dyDescent="0.3">
      <c r="A346" s="39" t="s">
        <v>33</v>
      </c>
      <c r="B346" s="4" t="s">
        <v>34</v>
      </c>
      <c r="C346" s="5" t="s">
        <v>97</v>
      </c>
      <c r="D346" s="5" t="s">
        <v>105</v>
      </c>
      <c r="E346" s="4" t="str" cm="1">
        <f t="array" ref="E346">_xlfn.IFS(
F346 = "A partir de Abril", "Aguardando Execução na Distribuidora",
A346 = "CAPACITAÇÃO", "Em execução no Corporativo",
TRUE, "Em Execução na Distribuidora"
)</f>
        <v>Em Execução na Distribuidora</v>
      </c>
      <c r="F346" s="4" t="str" cm="1">
        <f t="array" ref="F346">_xlfn.IFS(
AG346 &lt;&gt; "", "Jan-Dez/26",
AH346 &lt;&gt; "", "Fev-Dez/26",
AI346 &lt;&gt; "", "Mar-Dez/26", AJ346 &lt;&gt; "", "Abr-Dez/26",
TRUE, "A partir de Junho"
)</f>
        <v>Abr-Dez/26</v>
      </c>
      <c r="G346" s="6" t="s">
        <v>37</v>
      </c>
      <c r="H346" s="7" t="s">
        <v>54</v>
      </c>
      <c r="I346" s="9" t="s">
        <v>49</v>
      </c>
      <c r="J346" s="8" t="str" cm="1">
        <f t="array" aca="1" ref="J346" ca="1">_xlfn.LET(
  _xlpm.actual_value_month, INDEX(T346:AE346, MATCH(DATE(YEAR(TODAY()), MONTH(TODAY()), 1), $T$1:$AE$1, 0)),
  IF(_xlpm.actual_value_month &lt;&gt; "",_xlpm.actual_value_month &amp; " ações mensais", "")
)</f>
        <v/>
      </c>
      <c r="K346" s="8" t="str" cm="1">
        <f t="array" ref="K346">_xlfn.LET(
    _xlpm.sum_month, SUM(T346:AE346),
    IF(_xlpm.sum_month = 0, "", _xlpm.sum_month &amp; " soluções implementadas no ano")
)</f>
        <v/>
      </c>
      <c r="L346" s="9" t="s">
        <v>50</v>
      </c>
      <c r="M346" s="9"/>
      <c r="N346" s="5" t="s">
        <v>51</v>
      </c>
      <c r="O346" s="5" t="s">
        <v>52</v>
      </c>
      <c r="P346" s="10" t="s">
        <v>44</v>
      </c>
      <c r="Q346" s="10" t="s">
        <v>44</v>
      </c>
      <c r="R346" s="10" t="s">
        <v>44</v>
      </c>
      <c r="S346" s="10" t="s">
        <v>44</v>
      </c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G346" s="71"/>
      <c r="AH346" s="71"/>
      <c r="AI346" s="71"/>
      <c r="AJ346" s="82">
        <v>880</v>
      </c>
      <c r="AK346" s="71"/>
      <c r="AL346" s="71"/>
      <c r="AM346" s="71"/>
      <c r="AN346" s="71"/>
      <c r="AO346" s="71"/>
      <c r="AP346" s="71"/>
      <c r="AQ346" s="71"/>
      <c r="AR346" s="71"/>
      <c r="AS346" s="94">
        <f t="shared" ca="1" si="673"/>
        <v>0</v>
      </c>
      <c r="AT346" s="95">
        <f t="shared" si="674"/>
        <v>880</v>
      </c>
      <c r="AU346" s="97">
        <f t="shared" si="675"/>
        <v>880</v>
      </c>
      <c r="AW346" s="83">
        <f t="shared" si="676"/>
        <v>0</v>
      </c>
      <c r="AX346" s="83">
        <f t="shared" si="677"/>
        <v>0</v>
      </c>
      <c r="AY346" s="83">
        <f t="shared" si="678"/>
        <v>0</v>
      </c>
      <c r="AZ346" s="83">
        <f t="shared" si="679"/>
        <v>880</v>
      </c>
      <c r="BA346" s="83">
        <f t="shared" si="679"/>
        <v>0</v>
      </c>
      <c r="BB346" s="100"/>
      <c r="BC346" s="100"/>
      <c r="BD346" s="100"/>
      <c r="BE346" s="100"/>
      <c r="BF346" s="100"/>
      <c r="BG346" s="100"/>
      <c r="BH346" s="100"/>
      <c r="BI346" s="68" cm="1">
        <f t="array" ref="BI346">IFERROR(INDEX(AW346:BH346,1,MATCH(2,1/(AW346:BH346&lt;&gt;""))),"")</f>
        <v>0</v>
      </c>
      <c r="BJ346" s="68" cm="1">
        <f t="array" ref="BJ346">IF(BM346 = "", "",IFERROR(INDEX(AW346:BH346,1,MATCH(2,1/(AW346:BH346&lt;&gt;""),1)-1),""))</f>
        <v>880</v>
      </c>
      <c r="BK346" s="59">
        <f t="shared" si="680"/>
        <v>880</v>
      </c>
      <c r="BL346" s="59" cm="1">
        <f t="array" ref="BL346">IFERROR(SUM(AW346:INDEX(AW346:BH346, MATCH(2, 1/(AW346:BH346&lt;&gt;""), 1) - 1))/_xlfn.XLOOKUP(F346,Apuração!A:A,Apuração!B:B),0)</f>
        <v>97.777777777777771</v>
      </c>
      <c r="BM346" s="55" cm="1">
        <f t="array" ref="BM346">IFERROR(
   INDEX($AW$1:$BH$1,
      _xlfn.AGGREGATE(14, 6, COLUMN($AW$1:$BH$1)/(AW346:BH346&lt;&gt;""), 2) - COLUMN($AW$1) + 1
   ),
"")</f>
        <v>46113</v>
      </c>
      <c r="BN346" s="55" cm="1">
        <f t="array" ref="BN346">IFERROR(INDEX($AW$1:$BH$1,1,MATCH(2,1/(AW346:BH346&lt;&gt;""))),"")</f>
        <v>46143</v>
      </c>
      <c r="BO346" s="53">
        <f ca="1">IFERROR(_xlfn.XLOOKUP(F346,Apuração!A:A,Apuração!C:C)/_xlfn.XLOOKUP(F346,Apuração!A:A,Apuração!B:B),0)</f>
        <v>0.22222222222222221</v>
      </c>
      <c r="BP346" s="53">
        <f ca="1">IFERROR(_xlfn.XLOOKUP(F346,Apuração!A:A,Apuração!D:D)/_xlfn.XLOOKUP(F346,Apuração!A:A,Apuração!B:B),0)</f>
        <v>0.1111111111111111</v>
      </c>
      <c r="BQ346" s="53">
        <f ca="1">IF(BK346&gt;=BO346,0,_xlfn.XLOOKUP(F346,Apuração!A:A,Apuração!B:B)*(BO346 + (1/_xlfn.XLOOKUP(F346,Apuração!A:A,Apuração!B:B)) - BK346))</f>
        <v>0</v>
      </c>
      <c r="BR346" s="85">
        <f t="shared" ca="1" si="681"/>
        <v>0</v>
      </c>
      <c r="BS346" s="53">
        <f ca="1">IFERROR((_xlfn.XLOOKUP(F346,Apuração!A:A,Apuração!C:C)+1)/_xlfn.XLOOKUP(F346,Apuração!A:A,Apuração!B:B),0)</f>
        <v>0.33333333333333331</v>
      </c>
    </row>
    <row r="347" spans="1:71" ht="25.95" hidden="1" customHeight="1" x14ac:dyDescent="0.3">
      <c r="A347" s="39" t="s">
        <v>33</v>
      </c>
      <c r="B347" s="4" t="s">
        <v>34</v>
      </c>
      <c r="C347" s="5" t="s">
        <v>97</v>
      </c>
      <c r="D347" s="5" t="s">
        <v>106</v>
      </c>
      <c r="E347" s="4" t="str" cm="1">
        <f t="array" ref="E347">_xlfn.IFS(
F347 = "A partir de Abril", "Aguardando Execução na Distribuidora",
A347 = "CAPACITAÇÃO", "Em execução no Corporativo",
TRUE, "Em Execução na Distribuidora"
)</f>
        <v>Em Execução na Distribuidora</v>
      </c>
      <c r="F347" s="4" t="str" cm="1">
        <f t="array" ref="F347">_xlfn.IFS(
AG347 &lt;&gt; "", "Jan-Dez/26",
AH347 &lt;&gt; "", "Fev-Dez/26",
AI347 &lt;&gt; "", "Mar-Dez/26", AJ347 &lt;&gt; "", "Abr-Dez/26",
TRUE, "A partir de Junho"
)</f>
        <v>Abr-Dez/26</v>
      </c>
      <c r="G347" s="6" t="s">
        <v>37</v>
      </c>
      <c r="H347" s="7" t="s">
        <v>54</v>
      </c>
      <c r="I347" s="9" t="s">
        <v>49</v>
      </c>
      <c r="J347" s="8" t="str" cm="1">
        <f t="array" aca="1" ref="J347" ca="1">_xlfn.LET(
  _xlpm.actual_value_month, INDEX(T347:AE347, MATCH(DATE(YEAR(TODAY()), MONTH(TODAY()), 1), $T$1:$AE$1, 0)),
  IF(_xlpm.actual_value_month &lt;&gt; "",_xlpm.actual_value_month &amp; " ações mensais", "")
)</f>
        <v/>
      </c>
      <c r="K347" s="8" t="str" cm="1">
        <f t="array" ref="K347">_xlfn.LET(
    _xlpm.sum_month, SUM(T347:AE347),
    IF(_xlpm.sum_month = 0, "", _xlpm.sum_month &amp; " soluções implementadas no ano")
)</f>
        <v/>
      </c>
      <c r="L347" s="9" t="s">
        <v>50</v>
      </c>
      <c r="M347" s="9"/>
      <c r="N347" s="5" t="s">
        <v>51</v>
      </c>
      <c r="O347" s="5" t="s">
        <v>52</v>
      </c>
      <c r="P347" s="10" t="s">
        <v>44</v>
      </c>
      <c r="Q347" s="10" t="s">
        <v>44</v>
      </c>
      <c r="R347" s="10" t="s">
        <v>44</v>
      </c>
      <c r="S347" s="10" t="s">
        <v>44</v>
      </c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G347" s="71"/>
      <c r="AH347" s="71"/>
      <c r="AI347" s="71"/>
      <c r="AJ347" s="82">
        <v>880</v>
      </c>
      <c r="AK347" s="71"/>
      <c r="AL347" s="71"/>
      <c r="AM347" s="71"/>
      <c r="AN347" s="71"/>
      <c r="AO347" s="71"/>
      <c r="AP347" s="71"/>
      <c r="AQ347" s="71"/>
      <c r="AR347" s="71"/>
      <c r="AS347" s="94">
        <f t="shared" ca="1" si="673"/>
        <v>0</v>
      </c>
      <c r="AT347" s="95">
        <f t="shared" si="674"/>
        <v>880</v>
      </c>
      <c r="AU347" s="97">
        <f t="shared" si="675"/>
        <v>880</v>
      </c>
      <c r="AW347" s="83">
        <f t="shared" si="676"/>
        <v>0</v>
      </c>
      <c r="AX347" s="83">
        <f t="shared" si="677"/>
        <v>0</v>
      </c>
      <c r="AY347" s="83">
        <f t="shared" si="678"/>
        <v>0</v>
      </c>
      <c r="AZ347" s="83">
        <f t="shared" si="679"/>
        <v>880</v>
      </c>
      <c r="BA347" s="83">
        <f t="shared" si="679"/>
        <v>0</v>
      </c>
      <c r="BB347" s="100"/>
      <c r="BC347" s="100"/>
      <c r="BD347" s="100"/>
      <c r="BE347" s="100"/>
      <c r="BF347" s="100"/>
      <c r="BG347" s="100"/>
      <c r="BH347" s="100"/>
      <c r="BI347" s="68" cm="1">
        <f t="array" ref="BI347">IFERROR(INDEX(AW347:BH347,1,MATCH(2,1/(AW347:BH347&lt;&gt;""))),"")</f>
        <v>0</v>
      </c>
      <c r="BJ347" s="68" cm="1">
        <f t="array" ref="BJ347">IF(BM347 = "", "",IFERROR(INDEX(AW347:BH347,1,MATCH(2,1/(AW347:BH347&lt;&gt;""),1)-1),""))</f>
        <v>880</v>
      </c>
      <c r="BK347" s="59">
        <f t="shared" si="680"/>
        <v>880</v>
      </c>
      <c r="BL347" s="59" cm="1">
        <f t="array" ref="BL347">IFERROR(SUM(AW347:INDEX(AW347:BH347, MATCH(2, 1/(AW347:BH347&lt;&gt;""), 1) - 1))/_xlfn.XLOOKUP(F347,Apuração!A:A,Apuração!B:B),0)</f>
        <v>97.777777777777771</v>
      </c>
      <c r="BM347" s="55" cm="1">
        <f t="array" ref="BM347">IFERROR(
   INDEX($AW$1:$BH$1,
      _xlfn.AGGREGATE(14, 6, COLUMN($AW$1:$BH$1)/(AW347:BH347&lt;&gt;""), 2) - COLUMN($AW$1) + 1
   ),
"")</f>
        <v>46113</v>
      </c>
      <c r="BN347" s="55" cm="1">
        <f t="array" ref="BN347">IFERROR(INDEX($AW$1:$BH$1,1,MATCH(2,1/(AW347:BH347&lt;&gt;""))),"")</f>
        <v>46143</v>
      </c>
      <c r="BO347" s="53">
        <f ca="1">IFERROR(_xlfn.XLOOKUP(F347,Apuração!A:A,Apuração!C:C)/_xlfn.XLOOKUP(F347,Apuração!A:A,Apuração!B:B),0)</f>
        <v>0.22222222222222221</v>
      </c>
      <c r="BP347" s="53">
        <f ca="1">IFERROR(_xlfn.XLOOKUP(F347,Apuração!A:A,Apuração!D:D)/_xlfn.XLOOKUP(F347,Apuração!A:A,Apuração!B:B),0)</f>
        <v>0.1111111111111111</v>
      </c>
      <c r="BQ347" s="53">
        <f ca="1">IF(BK347&gt;=BO347,0,_xlfn.XLOOKUP(F347,Apuração!A:A,Apuração!B:B)*(BO347 + (1/_xlfn.XLOOKUP(F347,Apuração!A:A,Apuração!B:B)) - BK347))</f>
        <v>0</v>
      </c>
      <c r="BR347" s="85">
        <f t="shared" ca="1" si="681"/>
        <v>0</v>
      </c>
      <c r="BS347" s="53">
        <f ca="1">IFERROR((_xlfn.XLOOKUP(F347,Apuração!A:A,Apuração!C:C)+1)/_xlfn.XLOOKUP(F347,Apuração!A:A,Apuração!B:B),0)</f>
        <v>0.33333333333333331</v>
      </c>
    </row>
    <row r="348" spans="1:71" ht="25.95" hidden="1" customHeight="1" x14ac:dyDescent="0.3">
      <c r="A348" s="39" t="s">
        <v>33</v>
      </c>
      <c r="B348" s="4" t="s">
        <v>34</v>
      </c>
      <c r="C348" s="5" t="s">
        <v>97</v>
      </c>
      <c r="D348" s="5" t="s">
        <v>107</v>
      </c>
      <c r="E348" s="4" t="str" cm="1">
        <f t="array" ref="E348">_xlfn.IFS(
F348 = "A partir de Abril", "Aguardando Execução na Distribuidora",
A348 = "CAPACITAÇÃO", "Em execução no Corporativo",
TRUE, "Em Execução na Distribuidora"
)</f>
        <v>Em Execução na Distribuidora</v>
      </c>
      <c r="F348" s="4" t="str" cm="1">
        <f t="array" ref="F348">_xlfn.IFS(
AG348 &lt;&gt; "", "Jan-Dez/26",
AH348 &lt;&gt; "", "Fev-Dez/26",
AI348 &lt;&gt; "", "Mar-Dez/26", AJ348 &lt;&gt; "", "Abr-Dez/26",
TRUE, "A partir de Junho"
)</f>
        <v>Abr-Dez/26</v>
      </c>
      <c r="G348" s="6" t="s">
        <v>37</v>
      </c>
      <c r="H348" s="7" t="s">
        <v>54</v>
      </c>
      <c r="I348" s="9" t="s">
        <v>49</v>
      </c>
      <c r="J348" s="8" t="str" cm="1">
        <f t="array" aca="1" ref="J348" ca="1">_xlfn.LET(
  _xlpm.actual_value_month, INDEX(T348:AE348, MATCH(DATE(YEAR(TODAY()), MONTH(TODAY()), 1), $T$1:$AE$1, 0)),
  IF(_xlpm.actual_value_month &lt;&gt; "",_xlpm.actual_value_month &amp; " ações mensais", "")
)</f>
        <v/>
      </c>
      <c r="K348" s="8" t="str" cm="1">
        <f t="array" ref="K348">_xlfn.LET(
    _xlpm.sum_month, SUM(T348:AE348),
    IF(_xlpm.sum_month = 0, "", _xlpm.sum_month &amp; " soluções implementadas no ano")
)</f>
        <v/>
      </c>
      <c r="L348" s="9" t="s">
        <v>50</v>
      </c>
      <c r="M348" s="9"/>
      <c r="N348" s="5" t="s">
        <v>51</v>
      </c>
      <c r="O348" s="5" t="s">
        <v>52</v>
      </c>
      <c r="P348" s="10" t="s">
        <v>44</v>
      </c>
      <c r="Q348" s="10" t="s">
        <v>44</v>
      </c>
      <c r="R348" s="10" t="s">
        <v>44</v>
      </c>
      <c r="S348" s="10" t="s">
        <v>44</v>
      </c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G348" s="71"/>
      <c r="AH348" s="71"/>
      <c r="AI348" s="71"/>
      <c r="AJ348" s="82">
        <v>1357</v>
      </c>
      <c r="AK348" s="71"/>
      <c r="AL348" s="71"/>
      <c r="AM348" s="71"/>
      <c r="AN348" s="71"/>
      <c r="AO348" s="71"/>
      <c r="AP348" s="71"/>
      <c r="AQ348" s="71"/>
      <c r="AR348" s="71"/>
      <c r="AS348" s="94">
        <f t="shared" ca="1" si="673"/>
        <v>0</v>
      </c>
      <c r="AT348" s="95">
        <f t="shared" si="674"/>
        <v>1357</v>
      </c>
      <c r="AU348" s="97">
        <f t="shared" si="675"/>
        <v>1357</v>
      </c>
      <c r="AW348" s="83">
        <f t="shared" si="676"/>
        <v>0</v>
      </c>
      <c r="AX348" s="83">
        <f t="shared" si="677"/>
        <v>0</v>
      </c>
      <c r="AY348" s="83">
        <f t="shared" si="678"/>
        <v>0</v>
      </c>
      <c r="AZ348" s="83">
        <f t="shared" si="679"/>
        <v>1357</v>
      </c>
      <c r="BA348" s="83">
        <f t="shared" si="679"/>
        <v>0</v>
      </c>
      <c r="BB348" s="100"/>
      <c r="BC348" s="100"/>
      <c r="BD348" s="100"/>
      <c r="BE348" s="100"/>
      <c r="BF348" s="100"/>
      <c r="BG348" s="100"/>
      <c r="BH348" s="100"/>
      <c r="BI348" s="68" cm="1">
        <f t="array" ref="BI348">IFERROR(INDEX(AW348:BH348,1,MATCH(2,1/(AW348:BH348&lt;&gt;""))),"")</f>
        <v>0</v>
      </c>
      <c r="BJ348" s="68" cm="1">
        <f t="array" ref="BJ348">IF(BM348 = "", "",IFERROR(INDEX(AW348:BH348,1,MATCH(2,1/(AW348:BH348&lt;&gt;""),1)-1),""))</f>
        <v>1357</v>
      </c>
      <c r="BK348" s="59">
        <f t="shared" si="680"/>
        <v>1357</v>
      </c>
      <c r="BL348" s="59" cm="1">
        <f t="array" ref="BL348">IFERROR(SUM(AW348:INDEX(AW348:BH348, MATCH(2, 1/(AW348:BH348&lt;&gt;""), 1) - 1))/_xlfn.XLOOKUP(F348,Apuração!A:A,Apuração!B:B),0)</f>
        <v>150.77777777777777</v>
      </c>
      <c r="BM348" s="55" cm="1">
        <f t="array" ref="BM348">IFERROR(
   INDEX($AW$1:$BH$1,
      _xlfn.AGGREGATE(14, 6, COLUMN($AW$1:$BH$1)/(AW348:BH348&lt;&gt;""), 2) - COLUMN($AW$1) + 1
   ),
"")</f>
        <v>46113</v>
      </c>
      <c r="BN348" s="55" cm="1">
        <f t="array" ref="BN348">IFERROR(INDEX($AW$1:$BH$1,1,MATCH(2,1/(AW348:BH348&lt;&gt;""))),"")</f>
        <v>46143</v>
      </c>
      <c r="BO348" s="53">
        <f ca="1">IFERROR(_xlfn.XLOOKUP(F348,Apuração!A:A,Apuração!C:C)/_xlfn.XLOOKUP(F348,Apuração!A:A,Apuração!B:B),0)</f>
        <v>0.22222222222222221</v>
      </c>
      <c r="BP348" s="53">
        <f ca="1">IFERROR(_xlfn.XLOOKUP(F348,Apuração!A:A,Apuração!D:D)/_xlfn.XLOOKUP(F348,Apuração!A:A,Apuração!B:B),0)</f>
        <v>0.1111111111111111</v>
      </c>
      <c r="BQ348" s="53">
        <f ca="1">IF(BK348&gt;=BO348,0,_xlfn.XLOOKUP(F348,Apuração!A:A,Apuração!B:B)*(BO348 + (1/_xlfn.XLOOKUP(F348,Apuração!A:A,Apuração!B:B)) - BK348))</f>
        <v>0</v>
      </c>
      <c r="BR348" s="85">
        <f t="shared" ca="1" si="681"/>
        <v>0</v>
      </c>
      <c r="BS348" s="53">
        <f ca="1">IFERROR((_xlfn.XLOOKUP(F348,Apuração!A:A,Apuração!C:C)+1)/_xlfn.XLOOKUP(F348,Apuração!A:A,Apuração!B:B),0)</f>
        <v>0.33333333333333331</v>
      </c>
    </row>
    <row r="349" spans="1:71" ht="25.95" hidden="1" customHeight="1" x14ac:dyDescent="0.3">
      <c r="A349" s="3" t="s">
        <v>33</v>
      </c>
      <c r="B349" s="4" t="s">
        <v>53</v>
      </c>
      <c r="C349" s="5" t="s">
        <v>97</v>
      </c>
      <c r="D349" s="5" t="s">
        <v>36</v>
      </c>
      <c r="E349" s="4" t="str" cm="1">
        <f t="array" ref="E349">_xlfn.IFS(
F349 = "A partir de Abril", "Aguardando Execução na Distribuidora",
A349 = "CAPACITAÇÃO", "Em execução no Corporativo",
TRUE, "Em Execução na Distribuidora"
)</f>
        <v>Em Execução na Distribuidora</v>
      </c>
      <c r="F349" s="4" t="str" cm="1">
        <f t="array" ref="F349">_xlfn.IFS(
AG349 &lt;&gt; "", "Jan-Dez/26",
AH349 &lt;&gt; "", "Fev-Dez/26",
AI349 &lt;&gt; "", "Mar-Dez/26", AJ349 &lt;&gt; "", "Abr-Dez/26",
TRUE, "A partir de Junho"
)</f>
        <v>Jan-Dez/26</v>
      </c>
      <c r="G349" s="4" t="s">
        <v>37</v>
      </c>
      <c r="H349" s="7" t="s">
        <v>54</v>
      </c>
      <c r="I349" s="8" t="s">
        <v>55</v>
      </c>
      <c r="J349" s="8" t="str" cm="1">
        <f t="array" aca="1" ref="J349" ca="1">_xlfn.LET(
  _xlpm.actual_value_month, INDEX(T349:AE349, MATCH(DATE(YEAR(TODAY()), MONTH(TODAY()), 1), $T$1:$AE$1, 0)),
  IF(_xlpm.actual_value_month &lt;&gt; "",_xlpm.actual_value_month &amp; " eventos mensais", "")
)</f>
        <v>10 eventos mensais</v>
      </c>
      <c r="K349" s="14" t="str" cm="1">
        <f t="array" ref="K349">_xlfn.LET(
    _xlpm.sum_month, SUM(T349:AE349),
    IF(_xlpm.sum_month = 0, "", _xlpm.sum_month &amp; "  eventos no ano")
)</f>
        <v>114  eventos no ano</v>
      </c>
      <c r="L349" s="9" t="s">
        <v>56</v>
      </c>
      <c r="M349" s="13" t="s">
        <v>57</v>
      </c>
      <c r="N349" s="5" t="s">
        <v>42</v>
      </c>
      <c r="O349" s="5" t="s">
        <v>43</v>
      </c>
      <c r="P349" s="10" t="s">
        <v>58</v>
      </c>
      <c r="Q349" s="10" t="s">
        <v>44</v>
      </c>
      <c r="R349" s="11" t="s">
        <v>45</v>
      </c>
      <c r="S349" s="11" t="s">
        <v>46</v>
      </c>
      <c r="T349" s="22">
        <v>7</v>
      </c>
      <c r="U349" s="22">
        <v>7</v>
      </c>
      <c r="V349" s="22">
        <v>10</v>
      </c>
      <c r="W349" s="22">
        <v>10</v>
      </c>
      <c r="X349" s="22">
        <v>10</v>
      </c>
      <c r="Y349" s="22">
        <v>10</v>
      </c>
      <c r="Z349" s="22">
        <v>10</v>
      </c>
      <c r="AA349" s="22">
        <v>10</v>
      </c>
      <c r="AB349" s="22">
        <v>10</v>
      </c>
      <c r="AC349" s="22">
        <v>10</v>
      </c>
      <c r="AD349" s="22">
        <v>10</v>
      </c>
      <c r="AE349" s="22">
        <v>10</v>
      </c>
      <c r="AG349" s="71">
        <v>7</v>
      </c>
      <c r="AH349" s="71">
        <v>7</v>
      </c>
      <c r="AI349" s="71">
        <v>10</v>
      </c>
      <c r="AJ349" s="71">
        <v>10</v>
      </c>
      <c r="AK349" s="71">
        <v>484</v>
      </c>
      <c r="AL349" s="71"/>
      <c r="AM349" s="71"/>
      <c r="AN349" s="71"/>
      <c r="AO349" s="71"/>
      <c r="AP349" s="71"/>
      <c r="AQ349" s="71"/>
      <c r="AR349" s="71"/>
      <c r="AS349" s="94">
        <f t="shared" ca="1" si="651"/>
        <v>44</v>
      </c>
      <c r="AT349" s="95">
        <f>SUM(IF(AW349&lt;1.15,AG349,1.15*T349),IF(AX349&lt;1.15,AH349,1.15*U349),IF(AY349&lt;1.15,AI349,1.15*V349),IF(AZ349&lt;1.15,AJ349,1.15*W349),IF(BA349&lt;1.15,AK349,1.15*X349),IF(BB349&lt;1.15,AL349,1.15*Y349),IF(BC349&lt;1.15,AM349,1.15*Z349),IF(BD349&lt;1.15,AN349,1.15*AA349),IF(BE349&lt;1.15,AO349,1.15*AB349),IF(BF349&lt;1.15,AP349,1.15*AC349),IF(BG349&lt;1.15,AQ349,1.15*AD349),IF(BH349&lt;1.15,AR349,1.15*AE349))</f>
        <v>45.5</v>
      </c>
      <c r="AU349" s="97">
        <f t="shared" si="652"/>
        <v>518</v>
      </c>
      <c r="AW349" s="51">
        <f>IFERROR(IF(AG349="",0,AG349/T349),0)</f>
        <v>1</v>
      </c>
      <c r="AX349" s="51">
        <f>IFERROR(IF(AH349="",0,AH349/U349),0)</f>
        <v>1</v>
      </c>
      <c r="AY349" s="51">
        <f>IFERROR(IF(AI349="",0,AI349/V349),0)</f>
        <v>1</v>
      </c>
      <c r="AZ349" s="51">
        <f>IFERROR(IF(AJ349="",0,AJ349/W349),0)</f>
        <v>1</v>
      </c>
      <c r="BA349" s="51">
        <f>IFERROR(IF(AK349="",0,AK349/X349),0)</f>
        <v>48.4</v>
      </c>
      <c r="BB349" s="51"/>
      <c r="BC349" s="51"/>
      <c r="BD349" s="51"/>
      <c r="BE349" s="51"/>
      <c r="BF349" s="51"/>
      <c r="BG349" s="51"/>
      <c r="BH349" s="51"/>
      <c r="BI349" s="65" cm="1">
        <f t="array" ref="BI349">IFERROR(INDEX(AW349:BH349,1,MATCH(2,1/(AW349:BH349&lt;&gt;""))),"")</f>
        <v>48.4</v>
      </c>
      <c r="BJ349" s="68" cm="1">
        <f t="array" ref="BJ349">IF(BM349 = "", "",IFERROR(INDEX(AW349:BH349,1,MATCH(2,1/(AW349:BH349&lt;&gt;""),1)-1),""))</f>
        <v>1</v>
      </c>
      <c r="BK349" s="58">
        <f>IF((IF(AW349&gt;=115%,115%,AW349) + IF(AX349&gt;=115%,115%,AX349) + IF(AY349&gt;=115%,115%,AY349) + (IF(AZ349&gt;=115%,115%,AZ349) + IF(BA349&gt;=115%,115%,BA349) + IF(BB349&gt;=115%,115%,BB349) + IF(BC349&gt;=115%,115%,BC349) + IF(BD349&gt;=115%,115%,BD349) + IF(BE349&gt;=115%,115%,BE349) + IF(BF349&gt;=115%,115%,BF349) + IF(BG349&gt;=115%,115%,BG349) + IF(BH349&gt;=115%,115%,BH349)))/_xlfn.XLOOKUP(F349,Apuração!A:A,Apuração!B:B)&gt;=1.15,1.15,((IF(AZ349&gt;=115%,115%,AZ349) + IF(AX349&gt;=115%,115%,AX349) + IF(AY349&gt;=115%,115%,AY349) + (IF(AW349&gt;=115%,115%,AW349) + IF(BA349&gt;=115%,115%,BA349) + IF(BB349&gt;=115%,115%,BB349) + IF(BC349&gt;=115%,115%,BC349) + IF(BD349&gt;=115%,115%,BD349) + IF(BE349&gt;=115%,115%,BE349) + IF(BF349&gt;=115%,115%,BF349) + IF(BG349&gt;=115%,115%,BG349) + IF(BH349&gt;=115%,115%,BH349)))/_xlfn.XLOOKUP(F349,Apuração!A:A,Apuração!B:B)))</f>
        <v>0.4291666666666667</v>
      </c>
      <c r="BL349" s="58" cm="1">
        <f t="array" aca="1" ref="BL349" ca="1">IF(SUM(IFERROR(IF(INDEX(AW349:INDEX(AW349:BH349, MATCH(2, 1/(AW349:BH349&lt;&gt;""), 1)-1), ROW(INDIRECT("1:" &amp; MATCH(2, 1/(AW349:BH349&lt;&gt;""), 1)-1))) &gt;= 115%, 115%, INDEX(AW349:INDEX(AW349:BH349, MATCH(2, 1/(AW349:BH349&lt;&gt;""), 1)-1), ROW(INDIRECT("1:" &amp; MATCH(2, 1/(AW349:BH349&lt;&gt;""), 1)-1)))), 0))/_xlfn.XLOOKUP(F349,Apuração!A:A,Apuração!B:B)&gt;=1.15,1.15,SUM(IFERROR(IF(INDEX(AW349:INDEX(AW349:BH349, MATCH(2, 1/(AW349:BH349&lt;&gt;""), 1)-1), ROW(INDIRECT("1:" &amp; MATCH(2, 1/(AW349:BH349&lt;&gt;""), 1)-1))) &gt;= 115%, 115%, INDEX(AW349:INDEX(AW349:BH349, MATCH(2, 1/(AW349:BH349&lt;&gt;""), 1)-1), ROW(INDIRECT("1:" &amp; MATCH(2, 1/(AW349:BH349&lt;&gt;""), 1)-1)))), 0))/_xlfn.XLOOKUP(F349,Apuração!A:A,Apuração!B:B))</f>
        <v>0.33333333333333331</v>
      </c>
      <c r="BM349" s="55" cm="1">
        <f t="array" ref="BM349">IFERROR(
   INDEX($AW$1:$BH$1,
      _xlfn.AGGREGATE(14, 6, COLUMN($AW$1:$BH$1)/(AW349:BH349&lt;&gt;""), 2) - COLUMN($AW$1) + 1
   ),
"")</f>
        <v>46113</v>
      </c>
      <c r="BN349" s="55" cm="1">
        <f t="array" ref="BN349">IFERROR(INDEX($AW$1:$BH$1,1,MATCH(2,1/(AW349:BH349&lt;&gt;""))),"")</f>
        <v>46143</v>
      </c>
      <c r="BO349" s="53">
        <f ca="1">IFERROR(_xlfn.XLOOKUP(F349,Apuração!A:A,Apuração!C:C)/_xlfn.XLOOKUP(F349,Apuração!A:A,Apuração!B:B),0)</f>
        <v>0.41666666666666669</v>
      </c>
      <c r="BP349" s="53">
        <f ca="1">IFERROR(_xlfn.XLOOKUP(F349,Apuração!A:A,Apuração!D:D)/_xlfn.XLOOKUP(F349,Apuração!A:A,Apuração!B:B),0)</f>
        <v>0.33333333333333331</v>
      </c>
      <c r="BQ349" s="53">
        <f ca="1">IF(BK349&gt;=BO349,0,_xlfn.XLOOKUP(F349,Apuração!A:A,Apuração!B:B)*(BO349 + (1/_xlfn.XLOOKUP(F349,Apuração!A:A,Apuração!B:B)) - BK349))</f>
        <v>0</v>
      </c>
      <c r="BR349" s="85">
        <f t="shared" ca="1" si="644"/>
        <v>0</v>
      </c>
      <c r="BS349" s="53">
        <f ca="1">IFERROR((_xlfn.XLOOKUP(F349,Apuração!A:A,Apuração!C:C)+1)/_xlfn.XLOOKUP(F349,Apuração!A:A,Apuração!B:B),0)</f>
        <v>0.5</v>
      </c>
    </row>
    <row r="350" spans="1:71" ht="25.95" hidden="1" customHeight="1" x14ac:dyDescent="0.3">
      <c r="A350" s="3" t="s">
        <v>33</v>
      </c>
      <c r="B350" s="4" t="s">
        <v>53</v>
      </c>
      <c r="C350" s="5" t="s">
        <v>97</v>
      </c>
      <c r="D350" s="5" t="s">
        <v>98</v>
      </c>
      <c r="E350" s="4" t="str" cm="1">
        <f t="array" ref="E350">_xlfn.IFS(
F350 = "A partir de Abril", "Aguardando Execução na Distribuidora",
A350 = "CAPACITAÇÃO", "Em execução no Corporativo",
TRUE, "Em Execução na Distribuidora"
)</f>
        <v>Em Execução na Distribuidora</v>
      </c>
      <c r="F350" s="4" t="str" cm="1">
        <f t="array" ref="F350">_xlfn.IFS(
AG350 &lt;&gt; "", "Jan-Dez/26",
AH350 &lt;&gt; "", "Fev-Dez/26",
AI350 &lt;&gt; "", "Mar-Dez/26", AJ350 &lt;&gt; "", "Abr-Dez/26",
TRUE, "A partir de Junho"
)</f>
        <v>Abr-Dez/26</v>
      </c>
      <c r="G350" s="4" t="s">
        <v>37</v>
      </c>
      <c r="H350" s="7" t="s">
        <v>54</v>
      </c>
      <c r="I350" s="8" t="s">
        <v>55</v>
      </c>
      <c r="J350" s="8" t="str" cm="1">
        <f t="array" aca="1" ref="J350" ca="1">_xlfn.LET(
  _xlpm.actual_value_month, INDEX(T350:AE350, MATCH(DATE(YEAR(TODAY()), MONTH(TODAY()), 1), $T$1:$AE$1, 0)),
  IF(_xlpm.actual_value_month &lt;&gt; "",_xlpm.actual_value_month &amp; " eventos mensais", "")
)</f>
        <v>1 eventos mensais</v>
      </c>
      <c r="K350" s="14" t="str" cm="1">
        <f t="array" ref="K350">_xlfn.LET(
    _xlpm.sum_month, SUM(T350:AE350),
    IF(_xlpm.sum_month = 0, "", _xlpm.sum_month &amp; "  eventos no ano")
)</f>
        <v>9  eventos no ano</v>
      </c>
      <c r="L350" s="9" t="s">
        <v>56</v>
      </c>
      <c r="M350" s="13" t="s">
        <v>57</v>
      </c>
      <c r="N350" s="5" t="s">
        <v>42</v>
      </c>
      <c r="O350" s="5" t="s">
        <v>43</v>
      </c>
      <c r="P350" s="10" t="s">
        <v>58</v>
      </c>
      <c r="Q350" s="10" t="s">
        <v>44</v>
      </c>
      <c r="R350" s="11" t="s">
        <v>45</v>
      </c>
      <c r="S350" s="11" t="s">
        <v>46</v>
      </c>
      <c r="T350" s="22"/>
      <c r="U350" s="22"/>
      <c r="V350" s="22"/>
      <c r="W350" s="152">
        <v>1</v>
      </c>
      <c r="X350" s="152">
        <v>1</v>
      </c>
      <c r="Y350" s="152">
        <v>1</v>
      </c>
      <c r="Z350" s="152">
        <v>1</v>
      </c>
      <c r="AA350" s="152">
        <v>1</v>
      </c>
      <c r="AB350" s="152">
        <v>1</v>
      </c>
      <c r="AC350" s="152">
        <v>1</v>
      </c>
      <c r="AD350" s="152">
        <v>1</v>
      </c>
      <c r="AE350" s="152">
        <v>1</v>
      </c>
      <c r="AG350" s="71"/>
      <c r="AH350" s="71"/>
      <c r="AI350" s="71"/>
      <c r="AJ350" s="82">
        <v>1</v>
      </c>
      <c r="AK350" s="71">
        <v>53</v>
      </c>
      <c r="AL350" s="71"/>
      <c r="AM350" s="71"/>
      <c r="AN350" s="71"/>
      <c r="AO350" s="71"/>
      <c r="AP350" s="71"/>
      <c r="AQ350" s="71"/>
      <c r="AR350" s="71"/>
      <c r="AS350" s="94">
        <f t="shared" ref="AS350:AS359" ca="1" si="682">IF(MONTH(TODAY())=3,SUM(T350:U350),IF(MONTH(TODAY())=4,SUM(T350:V350),IF(MONTH(TODAY())=5,SUM(T350:W350),IF(MONTH(TODAY())=6,SUM(T350:X350),IF(MONTH(TODAY())=7,SUM(T350:Y350),IF(MONTH(TODAY())=8,SUM(T350:Z350),IF(MONTH(TODAY())=9,SUM(T350:AA350),IF(MONTH(TODAY())=10,SUM(T350:AB350),IF(MONTH(TODAY())=11,SUM(T350:AC350),IF(MONTH(TODAY())=12,SUM(T350:AD350),IF(MONTH(TODAY())=1,SUM(T350:AE350),T350)))))))))))</f>
        <v>2</v>
      </c>
      <c r="AT350" s="95">
        <f t="shared" ref="AT350:AT359" si="683">SUM(IF(AW350&lt;1.15,AG350,1.15*T350),IF(AX350&lt;1.15,AH350,1.15*U350),IF(AY350&lt;1.15,AI350,1.15*V350),IF(AZ350&lt;1.15,AJ350,1.15*W350),IF(BA350&lt;1.15,AK350,1.15*X350),IF(BB350&lt;1.15,AL350,1.15*Y350),IF(BC350&lt;1.15,AM350,1.15*Z350),IF(BD350&lt;1.15,AN350,1.15*AA350),IF(BE350&lt;1.15,AO350,1.15*AB350),IF(BF350&lt;1.15,AP350,1.15*AC350),IF(BG350&lt;1.15,AQ350,1.15*AD350),IF(BH350&lt;1.15,AR350,1.15*AE350))</f>
        <v>2.15</v>
      </c>
      <c r="AU350" s="97">
        <f t="shared" ref="AU350:AU359" si="684">SUM(AG350:AR350)</f>
        <v>54</v>
      </c>
      <c r="AW350" s="51">
        <f t="shared" ref="AW350:AW359" si="685">IFERROR(IF(AG350="",0,AG350/T350),0)</f>
        <v>0</v>
      </c>
      <c r="AX350" s="51">
        <f t="shared" ref="AX350:AX359" si="686">IFERROR(IF(AH350="",0,AH350/U350),0)</f>
        <v>0</v>
      </c>
      <c r="AY350" s="51">
        <f t="shared" ref="AY350:AY359" si="687">IFERROR(IF(AI350="",0,AI350/V350),0)</f>
        <v>0</v>
      </c>
      <c r="AZ350" s="51">
        <f t="shared" ref="AZ350:AZ359" si="688">IFERROR(IF(AJ350="",0,AJ350/W350),0)</f>
        <v>1</v>
      </c>
      <c r="BA350" s="51">
        <f t="shared" ref="BA350:BA359" si="689">IFERROR(IF(AK350="",0,AK350/X350),0)</f>
        <v>53</v>
      </c>
      <c r="BB350" s="51"/>
      <c r="BC350" s="51"/>
      <c r="BD350" s="51"/>
      <c r="BE350" s="51"/>
      <c r="BF350" s="51"/>
      <c r="BG350" s="51"/>
      <c r="BH350" s="51"/>
      <c r="BI350" s="65" cm="1">
        <f t="array" ref="BI350">IFERROR(INDEX(AW350:BH350,1,MATCH(2,1/(AW350:BH350&lt;&gt;""))),"")</f>
        <v>53</v>
      </c>
      <c r="BJ350" s="68" cm="1">
        <f t="array" ref="BJ350">IF(BM350 = "", "",IFERROR(INDEX(AW350:BH350,1,MATCH(2,1/(AW350:BH350&lt;&gt;""),1)-1),""))</f>
        <v>1</v>
      </c>
      <c r="BK350" s="58">
        <f>IF((IF(AW350&gt;=115%,115%,AW350) + IF(AX350&gt;=115%,115%,AX350) + IF(AY350&gt;=115%,115%,AY350) + (IF(AZ350&gt;=115%,115%,AZ350) + IF(BA350&gt;=115%,115%,BA350) + IF(BB350&gt;=115%,115%,BB350) + IF(BC350&gt;=115%,115%,BC350) + IF(BD350&gt;=115%,115%,BD350) + IF(BE350&gt;=115%,115%,BE350) + IF(BF350&gt;=115%,115%,BF350) + IF(BG350&gt;=115%,115%,BG350) + IF(BH350&gt;=115%,115%,BH350)))/_xlfn.XLOOKUP(F350,Apuração!A:A,Apuração!B:B)&gt;=1.15,1.15,((IF(AZ350&gt;=115%,115%,AZ350) + IF(AX350&gt;=115%,115%,AX350) + IF(AY350&gt;=115%,115%,AY350) + (IF(AW350&gt;=115%,115%,AW350) + IF(BA350&gt;=115%,115%,BA350) + IF(BB350&gt;=115%,115%,BB350) + IF(BC350&gt;=115%,115%,BC350) + IF(BD350&gt;=115%,115%,BD350) + IF(BE350&gt;=115%,115%,BE350) + IF(BF350&gt;=115%,115%,BF350) + IF(BG350&gt;=115%,115%,BG350) + IF(BH350&gt;=115%,115%,BH350)))/_xlfn.XLOOKUP(F350,Apuração!A:A,Apuração!B:B)))</f>
        <v>0.23888888888888887</v>
      </c>
      <c r="BL350" s="58" cm="1">
        <f t="array" aca="1" ref="BL350" ca="1">IF(SUM(IFERROR(IF(INDEX(AW350:INDEX(AW350:BH350, MATCH(2, 1/(AW350:BH350&lt;&gt;""), 1)-1), ROW(INDIRECT("1:" &amp; MATCH(2, 1/(AW350:BH350&lt;&gt;""), 1)-1))) &gt;= 115%, 115%, INDEX(AW350:INDEX(AW350:BH350, MATCH(2, 1/(AW350:BH350&lt;&gt;""), 1)-1), ROW(INDIRECT("1:" &amp; MATCH(2, 1/(AW350:BH350&lt;&gt;""), 1)-1)))), 0))/_xlfn.XLOOKUP(F350,Apuração!A:A,Apuração!B:B)&gt;=1.15,1.15,SUM(IFERROR(IF(INDEX(AW350:INDEX(AW350:BH350, MATCH(2, 1/(AW350:BH350&lt;&gt;""), 1)-1), ROW(INDIRECT("1:" &amp; MATCH(2, 1/(AW350:BH350&lt;&gt;""), 1)-1))) &gt;= 115%, 115%, INDEX(AW350:INDEX(AW350:BH350, MATCH(2, 1/(AW350:BH350&lt;&gt;""), 1)-1), ROW(INDIRECT("1:" &amp; MATCH(2, 1/(AW350:BH350&lt;&gt;""), 1)-1)))), 0))/_xlfn.XLOOKUP(F350,Apuração!A:A,Apuração!B:B))</f>
        <v>0.1111111111111111</v>
      </c>
      <c r="BM350" s="55" cm="1">
        <f t="array" ref="BM350">IFERROR(
   INDEX($AW$1:$BH$1,
      _xlfn.AGGREGATE(14, 6, COLUMN($AW$1:$BH$1)/(AW350:BH350&lt;&gt;""), 2) - COLUMN($AW$1) + 1
   ),
"")</f>
        <v>46113</v>
      </c>
      <c r="BN350" s="55" cm="1">
        <f t="array" ref="BN350">IFERROR(INDEX($AW$1:$BH$1,1,MATCH(2,1/(AW350:BH350&lt;&gt;""))),"")</f>
        <v>46143</v>
      </c>
      <c r="BO350" s="53">
        <f ca="1">IFERROR(_xlfn.XLOOKUP(F350,Apuração!A:A,Apuração!C:C)/_xlfn.XLOOKUP(F350,Apuração!A:A,Apuração!B:B),0)</f>
        <v>0.22222222222222221</v>
      </c>
      <c r="BP350" s="53">
        <f ca="1">IFERROR(_xlfn.XLOOKUP(F350,Apuração!A:A,Apuração!D:D)/_xlfn.XLOOKUP(F350,Apuração!A:A,Apuração!B:B),0)</f>
        <v>0.1111111111111111</v>
      </c>
      <c r="BQ350" s="53">
        <f ca="1">IF(BK350&gt;=BO350,0,_xlfn.XLOOKUP(F350,Apuração!A:A,Apuração!B:B)*(BO350 + (1/_xlfn.XLOOKUP(F350,Apuração!A:A,Apuração!B:B)) - BK350))</f>
        <v>0</v>
      </c>
      <c r="BR350" s="85">
        <f t="shared" ref="BR350:BR359" ca="1" si="690">IF(BQ350=0,0,BQ350*Z350)</f>
        <v>0</v>
      </c>
      <c r="BS350" s="53">
        <f ca="1">IFERROR((_xlfn.XLOOKUP(F350,Apuração!A:A,Apuração!C:C)+1)/_xlfn.XLOOKUP(F350,Apuração!A:A,Apuração!B:B),0)</f>
        <v>0.33333333333333331</v>
      </c>
    </row>
    <row r="351" spans="1:71" ht="25.95" hidden="1" customHeight="1" x14ac:dyDescent="0.3">
      <c r="A351" s="3" t="s">
        <v>33</v>
      </c>
      <c r="B351" s="4" t="s">
        <v>53</v>
      </c>
      <c r="C351" s="5" t="s">
        <v>97</v>
      </c>
      <c r="D351" s="5" t="s">
        <v>99</v>
      </c>
      <c r="E351" s="4" t="str" cm="1">
        <f t="array" ref="E351">_xlfn.IFS(
F351 = "A partir de Abril", "Aguardando Execução na Distribuidora",
A351 = "CAPACITAÇÃO", "Em execução no Corporativo",
TRUE, "Em Execução na Distribuidora"
)</f>
        <v>Em Execução na Distribuidora</v>
      </c>
      <c r="F351" s="4" t="str" cm="1">
        <f t="array" ref="F351">_xlfn.IFS(
AG351 &lt;&gt; "", "Jan-Dez/26",
AH351 &lt;&gt; "", "Fev-Dez/26",
AI351 &lt;&gt; "", "Mar-Dez/26", AJ351 &lt;&gt; "", "Abr-Dez/26",
TRUE, "A partir de Junho"
)</f>
        <v>Abr-Dez/26</v>
      </c>
      <c r="G351" s="4" t="s">
        <v>37</v>
      </c>
      <c r="H351" s="7" t="s">
        <v>54</v>
      </c>
      <c r="I351" s="8" t="s">
        <v>55</v>
      </c>
      <c r="J351" s="8" t="str" cm="1">
        <f t="array" aca="1" ref="J351" ca="1">_xlfn.LET(
  _xlpm.actual_value_month, INDEX(T351:AE351, MATCH(DATE(YEAR(TODAY()), MONTH(TODAY()), 1), $T$1:$AE$1, 0)),
  IF(_xlpm.actual_value_month &lt;&gt; "",_xlpm.actual_value_month &amp; " eventos mensais", "")
)</f>
        <v>1 eventos mensais</v>
      </c>
      <c r="K351" s="14" t="str" cm="1">
        <f t="array" ref="K351">_xlfn.LET(
    _xlpm.sum_month, SUM(T351:AE351),
    IF(_xlpm.sum_month = 0, "", _xlpm.sum_month &amp; "  eventos no ano")
)</f>
        <v>9  eventos no ano</v>
      </c>
      <c r="L351" s="9" t="s">
        <v>56</v>
      </c>
      <c r="M351" s="13" t="s">
        <v>57</v>
      </c>
      <c r="N351" s="5" t="s">
        <v>42</v>
      </c>
      <c r="O351" s="5" t="s">
        <v>43</v>
      </c>
      <c r="P351" s="10" t="s">
        <v>58</v>
      </c>
      <c r="Q351" s="10" t="s">
        <v>44</v>
      </c>
      <c r="R351" s="11" t="s">
        <v>45</v>
      </c>
      <c r="S351" s="11" t="s">
        <v>46</v>
      </c>
      <c r="T351" s="22"/>
      <c r="U351" s="22"/>
      <c r="V351" s="22"/>
      <c r="W351" s="152">
        <v>1</v>
      </c>
      <c r="X351" s="152">
        <v>1</v>
      </c>
      <c r="Y351" s="152">
        <v>1</v>
      </c>
      <c r="Z351" s="152">
        <v>1</v>
      </c>
      <c r="AA351" s="152">
        <v>1</v>
      </c>
      <c r="AB351" s="152">
        <v>1</v>
      </c>
      <c r="AC351" s="152">
        <v>1</v>
      </c>
      <c r="AD351" s="152">
        <v>1</v>
      </c>
      <c r="AE351" s="152">
        <v>1</v>
      </c>
      <c r="AG351" s="71"/>
      <c r="AH351" s="71"/>
      <c r="AI351" s="71"/>
      <c r="AJ351" s="82">
        <v>1</v>
      </c>
      <c r="AK351" s="71">
        <v>35</v>
      </c>
      <c r="AL351" s="71"/>
      <c r="AM351" s="71"/>
      <c r="AN351" s="71"/>
      <c r="AO351" s="71"/>
      <c r="AP351" s="71"/>
      <c r="AQ351" s="71"/>
      <c r="AR351" s="71"/>
      <c r="AS351" s="94">
        <f t="shared" ca="1" si="682"/>
        <v>2</v>
      </c>
      <c r="AT351" s="95">
        <f t="shared" si="683"/>
        <v>2.15</v>
      </c>
      <c r="AU351" s="97">
        <f t="shared" si="684"/>
        <v>36</v>
      </c>
      <c r="AW351" s="51">
        <f t="shared" si="685"/>
        <v>0</v>
      </c>
      <c r="AX351" s="51">
        <f t="shared" si="686"/>
        <v>0</v>
      </c>
      <c r="AY351" s="51">
        <f t="shared" si="687"/>
        <v>0</v>
      </c>
      <c r="AZ351" s="51">
        <f t="shared" si="688"/>
        <v>1</v>
      </c>
      <c r="BA351" s="51">
        <f t="shared" si="689"/>
        <v>35</v>
      </c>
      <c r="BB351" s="51"/>
      <c r="BC351" s="51"/>
      <c r="BD351" s="51"/>
      <c r="BE351" s="51"/>
      <c r="BF351" s="51"/>
      <c r="BG351" s="51"/>
      <c r="BH351" s="51"/>
      <c r="BI351" s="65" cm="1">
        <f t="array" ref="BI351">IFERROR(INDEX(AW351:BH351,1,MATCH(2,1/(AW351:BH351&lt;&gt;""))),"")</f>
        <v>35</v>
      </c>
      <c r="BJ351" s="68" cm="1">
        <f t="array" ref="BJ351">IF(BM351 = "", "",IFERROR(INDEX(AW351:BH351,1,MATCH(2,1/(AW351:BH351&lt;&gt;""),1)-1),""))</f>
        <v>1</v>
      </c>
      <c r="BK351" s="58">
        <f>IF((IF(AW351&gt;=115%,115%,AW351) + IF(AX351&gt;=115%,115%,AX351) + IF(AY351&gt;=115%,115%,AY351) + (IF(AZ351&gt;=115%,115%,AZ351) + IF(BA351&gt;=115%,115%,BA351) + IF(BB351&gt;=115%,115%,BB351) + IF(BC351&gt;=115%,115%,BC351) + IF(BD351&gt;=115%,115%,BD351) + IF(BE351&gt;=115%,115%,BE351) + IF(BF351&gt;=115%,115%,BF351) + IF(BG351&gt;=115%,115%,BG351) + IF(BH351&gt;=115%,115%,BH351)))/_xlfn.XLOOKUP(F351,Apuração!A:A,Apuração!B:B)&gt;=1.15,1.15,((IF(AZ351&gt;=115%,115%,AZ351) + IF(AX351&gt;=115%,115%,AX351) + IF(AY351&gt;=115%,115%,AY351) + (IF(AW351&gt;=115%,115%,AW351) + IF(BA351&gt;=115%,115%,BA351) + IF(BB351&gt;=115%,115%,BB351) + IF(BC351&gt;=115%,115%,BC351) + IF(BD351&gt;=115%,115%,BD351) + IF(BE351&gt;=115%,115%,BE351) + IF(BF351&gt;=115%,115%,BF351) + IF(BG351&gt;=115%,115%,BG351) + IF(BH351&gt;=115%,115%,BH351)))/_xlfn.XLOOKUP(F351,Apuração!A:A,Apuração!B:B)))</f>
        <v>0.23888888888888887</v>
      </c>
      <c r="BL351" s="58" cm="1">
        <f t="array" aca="1" ref="BL351" ca="1">IF(SUM(IFERROR(IF(INDEX(AW351:INDEX(AW351:BH351, MATCH(2, 1/(AW351:BH351&lt;&gt;""), 1)-1), ROW(INDIRECT("1:" &amp; MATCH(2, 1/(AW351:BH351&lt;&gt;""), 1)-1))) &gt;= 115%, 115%, INDEX(AW351:INDEX(AW351:BH351, MATCH(2, 1/(AW351:BH351&lt;&gt;""), 1)-1), ROW(INDIRECT("1:" &amp; MATCH(2, 1/(AW351:BH351&lt;&gt;""), 1)-1)))), 0))/_xlfn.XLOOKUP(F351,Apuração!A:A,Apuração!B:B)&gt;=1.15,1.15,SUM(IFERROR(IF(INDEX(AW351:INDEX(AW351:BH351, MATCH(2, 1/(AW351:BH351&lt;&gt;""), 1)-1), ROW(INDIRECT("1:" &amp; MATCH(2, 1/(AW351:BH351&lt;&gt;""), 1)-1))) &gt;= 115%, 115%, INDEX(AW351:INDEX(AW351:BH351, MATCH(2, 1/(AW351:BH351&lt;&gt;""), 1)-1), ROW(INDIRECT("1:" &amp; MATCH(2, 1/(AW351:BH351&lt;&gt;""), 1)-1)))), 0))/_xlfn.XLOOKUP(F351,Apuração!A:A,Apuração!B:B))</f>
        <v>0.1111111111111111</v>
      </c>
      <c r="BM351" s="55" cm="1">
        <f t="array" ref="BM351">IFERROR(
   INDEX($AW$1:$BH$1,
      _xlfn.AGGREGATE(14, 6, COLUMN($AW$1:$BH$1)/(AW351:BH351&lt;&gt;""), 2) - COLUMN($AW$1) + 1
   ),
"")</f>
        <v>46113</v>
      </c>
      <c r="BN351" s="55" cm="1">
        <f t="array" ref="BN351">IFERROR(INDEX($AW$1:$BH$1,1,MATCH(2,1/(AW351:BH351&lt;&gt;""))),"")</f>
        <v>46143</v>
      </c>
      <c r="BO351" s="53">
        <f ca="1">IFERROR(_xlfn.XLOOKUP(F351,Apuração!A:A,Apuração!C:C)/_xlfn.XLOOKUP(F351,Apuração!A:A,Apuração!B:B),0)</f>
        <v>0.22222222222222221</v>
      </c>
      <c r="BP351" s="53">
        <f ca="1">IFERROR(_xlfn.XLOOKUP(F351,Apuração!A:A,Apuração!D:D)/_xlfn.XLOOKUP(F351,Apuração!A:A,Apuração!B:B),0)</f>
        <v>0.1111111111111111</v>
      </c>
      <c r="BQ351" s="53">
        <f ca="1">IF(BK351&gt;=BO351,0,_xlfn.XLOOKUP(F351,Apuração!A:A,Apuração!B:B)*(BO351 + (1/_xlfn.XLOOKUP(F351,Apuração!A:A,Apuração!B:B)) - BK351))</f>
        <v>0</v>
      </c>
      <c r="BR351" s="85">
        <f t="shared" ca="1" si="690"/>
        <v>0</v>
      </c>
      <c r="BS351" s="53">
        <f ca="1">IFERROR((_xlfn.XLOOKUP(F351,Apuração!A:A,Apuração!C:C)+1)/_xlfn.XLOOKUP(F351,Apuração!A:A,Apuração!B:B),0)</f>
        <v>0.33333333333333331</v>
      </c>
    </row>
    <row r="352" spans="1:71" ht="25.95" hidden="1" customHeight="1" x14ac:dyDescent="0.3">
      <c r="A352" s="3" t="s">
        <v>33</v>
      </c>
      <c r="B352" s="4" t="s">
        <v>53</v>
      </c>
      <c r="C352" s="5" t="s">
        <v>97</v>
      </c>
      <c r="D352" s="5" t="s">
        <v>100</v>
      </c>
      <c r="E352" s="4" t="str" cm="1">
        <f t="array" ref="E352">_xlfn.IFS(
F352 = "A partir de Abril", "Aguardando Execução na Distribuidora",
A352 = "CAPACITAÇÃO", "Em execução no Corporativo",
TRUE, "Em Execução na Distribuidora"
)</f>
        <v>Em Execução na Distribuidora</v>
      </c>
      <c r="F352" s="4" t="str" cm="1">
        <f t="array" ref="F352">_xlfn.IFS(
AG352 &lt;&gt; "", "Jan-Dez/26",
AH352 &lt;&gt; "", "Fev-Dez/26",
AI352 &lt;&gt; "", "Mar-Dez/26", AJ352 &lt;&gt; "", "Abr-Dez/26",
TRUE, "A partir de Junho"
)</f>
        <v>Abr-Dez/26</v>
      </c>
      <c r="G352" s="4" t="s">
        <v>37</v>
      </c>
      <c r="H352" s="7" t="s">
        <v>54</v>
      </c>
      <c r="I352" s="8" t="s">
        <v>55</v>
      </c>
      <c r="J352" s="8" t="str" cm="1">
        <f t="array" aca="1" ref="J352" ca="1">_xlfn.LET(
  _xlpm.actual_value_month, INDEX(T352:AE352, MATCH(DATE(YEAR(TODAY()), MONTH(TODAY()), 1), $T$1:$AE$1, 0)),
  IF(_xlpm.actual_value_month &lt;&gt; "",_xlpm.actual_value_month &amp; " eventos mensais", "")
)</f>
        <v>1 eventos mensais</v>
      </c>
      <c r="K352" s="14" t="str" cm="1">
        <f t="array" ref="K352">_xlfn.LET(
    _xlpm.sum_month, SUM(T352:AE352),
    IF(_xlpm.sum_month = 0, "", _xlpm.sum_month &amp; "  eventos no ano")
)</f>
        <v>9  eventos no ano</v>
      </c>
      <c r="L352" s="9" t="s">
        <v>56</v>
      </c>
      <c r="M352" s="13" t="s">
        <v>57</v>
      </c>
      <c r="N352" s="5" t="s">
        <v>42</v>
      </c>
      <c r="O352" s="5" t="s">
        <v>43</v>
      </c>
      <c r="P352" s="10" t="s">
        <v>58</v>
      </c>
      <c r="Q352" s="10" t="s">
        <v>44</v>
      </c>
      <c r="R352" s="11" t="s">
        <v>45</v>
      </c>
      <c r="S352" s="11" t="s">
        <v>46</v>
      </c>
      <c r="T352" s="22"/>
      <c r="U352" s="22"/>
      <c r="V352" s="22"/>
      <c r="W352" s="152">
        <v>1</v>
      </c>
      <c r="X352" s="152">
        <v>1</v>
      </c>
      <c r="Y352" s="152">
        <v>1</v>
      </c>
      <c r="Z352" s="152">
        <v>1</v>
      </c>
      <c r="AA352" s="152">
        <v>1</v>
      </c>
      <c r="AB352" s="152">
        <v>1</v>
      </c>
      <c r="AC352" s="152">
        <v>1</v>
      </c>
      <c r="AD352" s="152">
        <v>1</v>
      </c>
      <c r="AE352" s="152">
        <v>1</v>
      </c>
      <c r="AG352" s="71"/>
      <c r="AH352" s="71"/>
      <c r="AI352" s="71"/>
      <c r="AJ352" s="82">
        <v>0</v>
      </c>
      <c r="AK352" s="71">
        <v>72</v>
      </c>
      <c r="AL352" s="71"/>
      <c r="AM352" s="71"/>
      <c r="AN352" s="71"/>
      <c r="AO352" s="71"/>
      <c r="AP352" s="71"/>
      <c r="AQ352" s="71"/>
      <c r="AR352" s="71"/>
      <c r="AS352" s="94">
        <f t="shared" ca="1" si="682"/>
        <v>2</v>
      </c>
      <c r="AT352" s="95">
        <f t="shared" si="683"/>
        <v>1.1499999999999999</v>
      </c>
      <c r="AU352" s="97">
        <f t="shared" si="684"/>
        <v>72</v>
      </c>
      <c r="AW352" s="51">
        <f t="shared" si="685"/>
        <v>0</v>
      </c>
      <c r="AX352" s="51">
        <f t="shared" si="686"/>
        <v>0</v>
      </c>
      <c r="AY352" s="51">
        <f t="shared" si="687"/>
        <v>0</v>
      </c>
      <c r="AZ352" s="51">
        <f t="shared" si="688"/>
        <v>0</v>
      </c>
      <c r="BA352" s="51">
        <f t="shared" si="689"/>
        <v>72</v>
      </c>
      <c r="BB352" s="51"/>
      <c r="BC352" s="51"/>
      <c r="BD352" s="51"/>
      <c r="BE352" s="51"/>
      <c r="BF352" s="51"/>
      <c r="BG352" s="51"/>
      <c r="BH352" s="51"/>
      <c r="BI352" s="65" cm="1">
        <f t="array" ref="BI352">IFERROR(INDEX(AW352:BH352,1,MATCH(2,1/(AW352:BH352&lt;&gt;""))),"")</f>
        <v>72</v>
      </c>
      <c r="BJ352" s="68" cm="1">
        <f t="array" ref="BJ352">IF(BM352 = "", "",IFERROR(INDEX(AW352:BH352,1,MATCH(2,1/(AW352:BH352&lt;&gt;""),1)-1),""))</f>
        <v>0</v>
      </c>
      <c r="BK352" s="58">
        <f>IF((IF(AW352&gt;=115%,115%,AW352) + IF(AX352&gt;=115%,115%,AX352) + IF(AY352&gt;=115%,115%,AY352) + (IF(AZ352&gt;=115%,115%,AZ352) + IF(BA352&gt;=115%,115%,BA352) + IF(BB352&gt;=115%,115%,BB352) + IF(BC352&gt;=115%,115%,BC352) + IF(BD352&gt;=115%,115%,BD352) + IF(BE352&gt;=115%,115%,BE352) + IF(BF352&gt;=115%,115%,BF352) + IF(BG352&gt;=115%,115%,BG352) + IF(BH352&gt;=115%,115%,BH352)))/_xlfn.XLOOKUP(F352,Apuração!A:A,Apuração!B:B)&gt;=1.15,1.15,((IF(AZ352&gt;=115%,115%,AZ352) + IF(AX352&gt;=115%,115%,AX352) + IF(AY352&gt;=115%,115%,AY352) + (IF(AW352&gt;=115%,115%,AW352) + IF(BA352&gt;=115%,115%,BA352) + IF(BB352&gt;=115%,115%,BB352) + IF(BC352&gt;=115%,115%,BC352) + IF(BD352&gt;=115%,115%,BD352) + IF(BE352&gt;=115%,115%,BE352) + IF(BF352&gt;=115%,115%,BF352) + IF(BG352&gt;=115%,115%,BG352) + IF(BH352&gt;=115%,115%,BH352)))/_xlfn.XLOOKUP(F352,Apuração!A:A,Apuração!B:B)))</f>
        <v>0.12777777777777777</v>
      </c>
      <c r="BL352" s="58" cm="1">
        <f t="array" aca="1" ref="BL352" ca="1">IF(SUM(IFERROR(IF(INDEX(AW352:INDEX(AW352:BH352, MATCH(2, 1/(AW352:BH352&lt;&gt;""), 1)-1), ROW(INDIRECT("1:" &amp; MATCH(2, 1/(AW352:BH352&lt;&gt;""), 1)-1))) &gt;= 115%, 115%, INDEX(AW352:INDEX(AW352:BH352, MATCH(2, 1/(AW352:BH352&lt;&gt;""), 1)-1), ROW(INDIRECT("1:" &amp; MATCH(2, 1/(AW352:BH352&lt;&gt;""), 1)-1)))), 0))/_xlfn.XLOOKUP(F352,Apuração!A:A,Apuração!B:B)&gt;=1.15,1.15,SUM(IFERROR(IF(INDEX(AW352:INDEX(AW352:BH352, MATCH(2, 1/(AW352:BH352&lt;&gt;""), 1)-1), ROW(INDIRECT("1:" &amp; MATCH(2, 1/(AW352:BH352&lt;&gt;""), 1)-1))) &gt;= 115%, 115%, INDEX(AW352:INDEX(AW352:BH352, MATCH(2, 1/(AW352:BH352&lt;&gt;""), 1)-1), ROW(INDIRECT("1:" &amp; MATCH(2, 1/(AW352:BH352&lt;&gt;""), 1)-1)))), 0))/_xlfn.XLOOKUP(F352,Apuração!A:A,Apuração!B:B))</f>
        <v>0</v>
      </c>
      <c r="BM352" s="55" cm="1">
        <f t="array" ref="BM352">IFERROR(
   INDEX($AW$1:$BH$1,
      _xlfn.AGGREGATE(14, 6, COLUMN($AW$1:$BH$1)/(AW352:BH352&lt;&gt;""), 2) - COLUMN($AW$1) + 1
   ),
"")</f>
        <v>46113</v>
      </c>
      <c r="BN352" s="55" cm="1">
        <f t="array" ref="BN352">IFERROR(INDEX($AW$1:$BH$1,1,MATCH(2,1/(AW352:BH352&lt;&gt;""))),"")</f>
        <v>46143</v>
      </c>
      <c r="BO352" s="53">
        <f ca="1">IFERROR(_xlfn.XLOOKUP(F352,Apuração!A:A,Apuração!C:C)/_xlfn.XLOOKUP(F352,Apuração!A:A,Apuração!B:B),0)</f>
        <v>0.22222222222222221</v>
      </c>
      <c r="BP352" s="53">
        <f ca="1">IFERROR(_xlfn.XLOOKUP(F352,Apuração!A:A,Apuração!D:D)/_xlfn.XLOOKUP(F352,Apuração!A:A,Apuração!B:B),0)</f>
        <v>0.1111111111111111</v>
      </c>
      <c r="BQ352" s="53">
        <f ca="1">IF(BK352&gt;=BO352,0,_xlfn.XLOOKUP(F352,Apuração!A:A,Apuração!B:B)*(BO352 + (1/_xlfn.XLOOKUP(F352,Apuração!A:A,Apuração!B:B)) - BK352))</f>
        <v>1.8499999999999999</v>
      </c>
      <c r="BR352" s="85">
        <f t="shared" ca="1" si="690"/>
        <v>1.8499999999999999</v>
      </c>
      <c r="BS352" s="53">
        <f ca="1">IFERROR((_xlfn.XLOOKUP(F352,Apuração!A:A,Apuração!C:C)+1)/_xlfn.XLOOKUP(F352,Apuração!A:A,Apuração!B:B),0)</f>
        <v>0.33333333333333331</v>
      </c>
    </row>
    <row r="353" spans="1:71" ht="25.95" hidden="1" customHeight="1" x14ac:dyDescent="0.3">
      <c r="A353" s="3" t="s">
        <v>33</v>
      </c>
      <c r="B353" s="4" t="s">
        <v>53</v>
      </c>
      <c r="C353" s="5" t="s">
        <v>97</v>
      </c>
      <c r="D353" s="5" t="s">
        <v>101</v>
      </c>
      <c r="E353" s="4" t="str" cm="1">
        <f t="array" ref="E353">_xlfn.IFS(
F353 = "A partir de Abril", "Aguardando Execução na Distribuidora",
A353 = "CAPACITAÇÃO", "Em execução no Corporativo",
TRUE, "Em Execução na Distribuidora"
)</f>
        <v>Em Execução na Distribuidora</v>
      </c>
      <c r="F353" s="4" t="str" cm="1">
        <f t="array" ref="F353">_xlfn.IFS(
AG353 &lt;&gt; "", "Jan-Dez/26",
AH353 &lt;&gt; "", "Fev-Dez/26",
AI353 &lt;&gt; "", "Mar-Dez/26", AJ353 &lt;&gt; "", "Abr-Dez/26",
TRUE, "A partir de Junho"
)</f>
        <v>Abr-Dez/26</v>
      </c>
      <c r="G353" s="4" t="s">
        <v>37</v>
      </c>
      <c r="H353" s="7" t="s">
        <v>54</v>
      </c>
      <c r="I353" s="8" t="s">
        <v>55</v>
      </c>
      <c r="J353" s="8" t="str" cm="1">
        <f t="array" aca="1" ref="J353" ca="1">_xlfn.LET(
  _xlpm.actual_value_month, INDEX(T353:AE353, MATCH(DATE(YEAR(TODAY()), MONTH(TODAY()), 1), $T$1:$AE$1, 0)),
  IF(_xlpm.actual_value_month &lt;&gt; "",_xlpm.actual_value_month &amp; " eventos mensais", "")
)</f>
        <v>1 eventos mensais</v>
      </c>
      <c r="K353" s="14" t="str" cm="1">
        <f t="array" ref="K353">_xlfn.LET(
    _xlpm.sum_month, SUM(T353:AE353),
    IF(_xlpm.sum_month = 0, "", _xlpm.sum_month &amp; "  eventos no ano")
)</f>
        <v>9  eventos no ano</v>
      </c>
      <c r="L353" s="9" t="s">
        <v>56</v>
      </c>
      <c r="M353" s="13" t="s">
        <v>57</v>
      </c>
      <c r="N353" s="5" t="s">
        <v>42</v>
      </c>
      <c r="O353" s="5" t="s">
        <v>43</v>
      </c>
      <c r="P353" s="10" t="s">
        <v>58</v>
      </c>
      <c r="Q353" s="10" t="s">
        <v>44</v>
      </c>
      <c r="R353" s="11" t="s">
        <v>45</v>
      </c>
      <c r="S353" s="11" t="s">
        <v>46</v>
      </c>
      <c r="T353" s="22"/>
      <c r="U353" s="22"/>
      <c r="V353" s="22"/>
      <c r="W353" s="152">
        <v>1</v>
      </c>
      <c r="X353" s="152">
        <v>1</v>
      </c>
      <c r="Y353" s="152">
        <v>1</v>
      </c>
      <c r="Z353" s="152">
        <v>1</v>
      </c>
      <c r="AA353" s="152">
        <v>1</v>
      </c>
      <c r="AB353" s="152">
        <v>1</v>
      </c>
      <c r="AC353" s="152">
        <v>1</v>
      </c>
      <c r="AD353" s="152">
        <v>1</v>
      </c>
      <c r="AE353" s="152">
        <v>1</v>
      </c>
      <c r="AG353" s="71"/>
      <c r="AH353" s="71"/>
      <c r="AI353" s="71"/>
      <c r="AJ353" s="82">
        <v>1</v>
      </c>
      <c r="AK353" s="71">
        <v>47</v>
      </c>
      <c r="AL353" s="71"/>
      <c r="AM353" s="71"/>
      <c r="AN353" s="71"/>
      <c r="AO353" s="71"/>
      <c r="AP353" s="71"/>
      <c r="AQ353" s="71"/>
      <c r="AR353" s="71"/>
      <c r="AS353" s="94">
        <f t="shared" ca="1" si="682"/>
        <v>2</v>
      </c>
      <c r="AT353" s="95">
        <f t="shared" si="683"/>
        <v>2.15</v>
      </c>
      <c r="AU353" s="97">
        <f t="shared" si="684"/>
        <v>48</v>
      </c>
      <c r="AW353" s="51">
        <f t="shared" si="685"/>
        <v>0</v>
      </c>
      <c r="AX353" s="51">
        <f t="shared" si="686"/>
        <v>0</v>
      </c>
      <c r="AY353" s="51">
        <f t="shared" si="687"/>
        <v>0</v>
      </c>
      <c r="AZ353" s="51">
        <f t="shared" si="688"/>
        <v>1</v>
      </c>
      <c r="BA353" s="51">
        <f t="shared" si="689"/>
        <v>47</v>
      </c>
      <c r="BB353" s="51"/>
      <c r="BC353" s="51"/>
      <c r="BD353" s="51"/>
      <c r="BE353" s="51"/>
      <c r="BF353" s="51"/>
      <c r="BG353" s="51"/>
      <c r="BH353" s="51"/>
      <c r="BI353" s="65" cm="1">
        <f t="array" ref="BI353">IFERROR(INDEX(AW353:BH353,1,MATCH(2,1/(AW353:BH353&lt;&gt;""))),"")</f>
        <v>47</v>
      </c>
      <c r="BJ353" s="68" cm="1">
        <f t="array" ref="BJ353">IF(BM353 = "", "",IFERROR(INDEX(AW353:BH353,1,MATCH(2,1/(AW353:BH353&lt;&gt;""),1)-1),""))</f>
        <v>1</v>
      </c>
      <c r="BK353" s="58">
        <f>IF((IF(AW353&gt;=115%,115%,AW353) + IF(AX353&gt;=115%,115%,AX353) + IF(AY353&gt;=115%,115%,AY353) + (IF(AZ353&gt;=115%,115%,AZ353) + IF(BA353&gt;=115%,115%,BA353) + IF(BB353&gt;=115%,115%,BB353) + IF(BC353&gt;=115%,115%,BC353) + IF(BD353&gt;=115%,115%,BD353) + IF(BE353&gt;=115%,115%,BE353) + IF(BF353&gt;=115%,115%,BF353) + IF(BG353&gt;=115%,115%,BG353) + IF(BH353&gt;=115%,115%,BH353)))/_xlfn.XLOOKUP(F353,Apuração!A:A,Apuração!B:B)&gt;=1.15,1.15,((IF(AZ353&gt;=115%,115%,AZ353) + IF(AX353&gt;=115%,115%,AX353) + IF(AY353&gt;=115%,115%,AY353) + (IF(AW353&gt;=115%,115%,AW353) + IF(BA353&gt;=115%,115%,BA353) + IF(BB353&gt;=115%,115%,BB353) + IF(BC353&gt;=115%,115%,BC353) + IF(BD353&gt;=115%,115%,BD353) + IF(BE353&gt;=115%,115%,BE353) + IF(BF353&gt;=115%,115%,BF353) + IF(BG353&gt;=115%,115%,BG353) + IF(BH353&gt;=115%,115%,BH353)))/_xlfn.XLOOKUP(F353,Apuração!A:A,Apuração!B:B)))</f>
        <v>0.23888888888888887</v>
      </c>
      <c r="BL353" s="58" cm="1">
        <f t="array" aca="1" ref="BL353" ca="1">IF(SUM(IFERROR(IF(INDEX(AW353:INDEX(AW353:BH353, MATCH(2, 1/(AW353:BH353&lt;&gt;""), 1)-1), ROW(INDIRECT("1:" &amp; MATCH(2, 1/(AW353:BH353&lt;&gt;""), 1)-1))) &gt;= 115%, 115%, INDEX(AW353:INDEX(AW353:BH353, MATCH(2, 1/(AW353:BH353&lt;&gt;""), 1)-1), ROW(INDIRECT("1:" &amp; MATCH(2, 1/(AW353:BH353&lt;&gt;""), 1)-1)))), 0))/_xlfn.XLOOKUP(F353,Apuração!A:A,Apuração!B:B)&gt;=1.15,1.15,SUM(IFERROR(IF(INDEX(AW353:INDEX(AW353:BH353, MATCH(2, 1/(AW353:BH353&lt;&gt;""), 1)-1), ROW(INDIRECT("1:" &amp; MATCH(2, 1/(AW353:BH353&lt;&gt;""), 1)-1))) &gt;= 115%, 115%, INDEX(AW353:INDEX(AW353:BH353, MATCH(2, 1/(AW353:BH353&lt;&gt;""), 1)-1), ROW(INDIRECT("1:" &amp; MATCH(2, 1/(AW353:BH353&lt;&gt;""), 1)-1)))), 0))/_xlfn.XLOOKUP(F353,Apuração!A:A,Apuração!B:B))</f>
        <v>0.1111111111111111</v>
      </c>
      <c r="BM353" s="55" cm="1">
        <f t="array" ref="BM353">IFERROR(
   INDEX($AW$1:$BH$1,
      _xlfn.AGGREGATE(14, 6, COLUMN($AW$1:$BH$1)/(AW353:BH353&lt;&gt;""), 2) - COLUMN($AW$1) + 1
   ),
"")</f>
        <v>46113</v>
      </c>
      <c r="BN353" s="55" cm="1">
        <f t="array" ref="BN353">IFERROR(INDEX($AW$1:$BH$1,1,MATCH(2,1/(AW353:BH353&lt;&gt;""))),"")</f>
        <v>46143</v>
      </c>
      <c r="BO353" s="53">
        <f ca="1">IFERROR(_xlfn.XLOOKUP(F353,Apuração!A:A,Apuração!C:C)/_xlfn.XLOOKUP(F353,Apuração!A:A,Apuração!B:B),0)</f>
        <v>0.22222222222222221</v>
      </c>
      <c r="BP353" s="53">
        <f ca="1">IFERROR(_xlfn.XLOOKUP(F353,Apuração!A:A,Apuração!D:D)/_xlfn.XLOOKUP(F353,Apuração!A:A,Apuração!B:B),0)</f>
        <v>0.1111111111111111</v>
      </c>
      <c r="BQ353" s="53">
        <f ca="1">IF(BK353&gt;=BO353,0,_xlfn.XLOOKUP(F353,Apuração!A:A,Apuração!B:B)*(BO353 + (1/_xlfn.XLOOKUP(F353,Apuração!A:A,Apuração!B:B)) - BK353))</f>
        <v>0</v>
      </c>
      <c r="BR353" s="85">
        <f t="shared" ca="1" si="690"/>
        <v>0</v>
      </c>
      <c r="BS353" s="53">
        <f ca="1">IFERROR((_xlfn.XLOOKUP(F353,Apuração!A:A,Apuração!C:C)+1)/_xlfn.XLOOKUP(F353,Apuração!A:A,Apuração!B:B),0)</f>
        <v>0.33333333333333331</v>
      </c>
    </row>
    <row r="354" spans="1:71" ht="25.95" hidden="1" customHeight="1" x14ac:dyDescent="0.3">
      <c r="A354" s="3" t="s">
        <v>33</v>
      </c>
      <c r="B354" s="4" t="s">
        <v>53</v>
      </c>
      <c r="C354" s="5" t="s">
        <v>97</v>
      </c>
      <c r="D354" s="5" t="s">
        <v>102</v>
      </c>
      <c r="E354" s="4" t="str" cm="1">
        <f t="array" ref="E354">_xlfn.IFS(
F354 = "A partir de Abril", "Aguardando Execução na Distribuidora",
A354 = "CAPACITAÇÃO", "Em execução no Corporativo",
TRUE, "Em Execução na Distribuidora"
)</f>
        <v>Em Execução na Distribuidora</v>
      </c>
      <c r="F354" s="4" t="str" cm="1">
        <f t="array" ref="F354">_xlfn.IFS(
AG354 &lt;&gt; "", "Jan-Dez/26",
AH354 &lt;&gt; "", "Fev-Dez/26",
AI354 &lt;&gt; "", "Mar-Dez/26", AJ354 &lt;&gt; "", "Abr-Dez/26",
TRUE, "A partir de Junho"
)</f>
        <v>Abr-Dez/26</v>
      </c>
      <c r="G354" s="4" t="s">
        <v>37</v>
      </c>
      <c r="H354" s="7" t="s">
        <v>54</v>
      </c>
      <c r="I354" s="8" t="s">
        <v>55</v>
      </c>
      <c r="J354" s="8" t="str" cm="1">
        <f t="array" aca="1" ref="J354" ca="1">_xlfn.LET(
  _xlpm.actual_value_month, INDEX(T354:AE354, MATCH(DATE(YEAR(TODAY()), MONTH(TODAY()), 1), $T$1:$AE$1, 0)),
  IF(_xlpm.actual_value_month &lt;&gt; "",_xlpm.actual_value_month &amp; " eventos mensais", "")
)</f>
        <v>1 eventos mensais</v>
      </c>
      <c r="K354" s="14" t="str" cm="1">
        <f t="array" ref="K354">_xlfn.LET(
    _xlpm.sum_month, SUM(T354:AE354),
    IF(_xlpm.sum_month = 0, "", _xlpm.sum_month &amp; "  eventos no ano")
)</f>
        <v>9  eventos no ano</v>
      </c>
      <c r="L354" s="9" t="s">
        <v>56</v>
      </c>
      <c r="M354" s="13" t="s">
        <v>57</v>
      </c>
      <c r="N354" s="5" t="s">
        <v>42</v>
      </c>
      <c r="O354" s="5" t="s">
        <v>43</v>
      </c>
      <c r="P354" s="10" t="s">
        <v>58</v>
      </c>
      <c r="Q354" s="10" t="s">
        <v>44</v>
      </c>
      <c r="R354" s="11" t="s">
        <v>45</v>
      </c>
      <c r="S354" s="11" t="s">
        <v>46</v>
      </c>
      <c r="T354" s="22"/>
      <c r="U354" s="22"/>
      <c r="V354" s="22"/>
      <c r="W354" s="152">
        <v>1</v>
      </c>
      <c r="X354" s="152">
        <v>1</v>
      </c>
      <c r="Y354" s="152">
        <v>1</v>
      </c>
      <c r="Z354" s="152">
        <v>1</v>
      </c>
      <c r="AA354" s="152">
        <v>1</v>
      </c>
      <c r="AB354" s="152">
        <v>1</v>
      </c>
      <c r="AC354" s="152">
        <v>1</v>
      </c>
      <c r="AD354" s="152">
        <v>1</v>
      </c>
      <c r="AE354" s="152">
        <v>1</v>
      </c>
      <c r="AG354" s="71"/>
      <c r="AH354" s="71"/>
      <c r="AI354" s="71"/>
      <c r="AJ354" s="82">
        <v>7</v>
      </c>
      <c r="AK354" s="71">
        <v>41</v>
      </c>
      <c r="AL354" s="71"/>
      <c r="AM354" s="71"/>
      <c r="AN354" s="71"/>
      <c r="AO354" s="71"/>
      <c r="AP354" s="71"/>
      <c r="AQ354" s="71"/>
      <c r="AR354" s="71"/>
      <c r="AS354" s="94">
        <f t="shared" ca="1" si="682"/>
        <v>2</v>
      </c>
      <c r="AT354" s="95">
        <f t="shared" si="683"/>
        <v>2.2999999999999998</v>
      </c>
      <c r="AU354" s="97">
        <f t="shared" si="684"/>
        <v>48</v>
      </c>
      <c r="AW354" s="51">
        <f t="shared" si="685"/>
        <v>0</v>
      </c>
      <c r="AX354" s="51">
        <f t="shared" si="686"/>
        <v>0</v>
      </c>
      <c r="AY354" s="51">
        <f t="shared" si="687"/>
        <v>0</v>
      </c>
      <c r="AZ354" s="51">
        <f t="shared" si="688"/>
        <v>7</v>
      </c>
      <c r="BA354" s="51">
        <f t="shared" si="689"/>
        <v>41</v>
      </c>
      <c r="BB354" s="51"/>
      <c r="BC354" s="51"/>
      <c r="BD354" s="51"/>
      <c r="BE354" s="51"/>
      <c r="BF354" s="51"/>
      <c r="BG354" s="51"/>
      <c r="BH354" s="51"/>
      <c r="BI354" s="65" cm="1">
        <f t="array" ref="BI354">IFERROR(INDEX(AW354:BH354,1,MATCH(2,1/(AW354:BH354&lt;&gt;""))),"")</f>
        <v>41</v>
      </c>
      <c r="BJ354" s="68" cm="1">
        <f t="array" ref="BJ354">IF(BM354 = "", "",IFERROR(INDEX(AW354:BH354,1,MATCH(2,1/(AW354:BH354&lt;&gt;""),1)-1),""))</f>
        <v>7</v>
      </c>
      <c r="BK354" s="58">
        <f>IF((IF(AW354&gt;=115%,115%,AW354) + IF(AX354&gt;=115%,115%,AX354) + IF(AY354&gt;=115%,115%,AY354) + (IF(AZ354&gt;=115%,115%,AZ354) + IF(BA354&gt;=115%,115%,BA354) + IF(BB354&gt;=115%,115%,BB354) + IF(BC354&gt;=115%,115%,BC354) + IF(BD354&gt;=115%,115%,BD354) + IF(BE354&gt;=115%,115%,BE354) + IF(BF354&gt;=115%,115%,BF354) + IF(BG354&gt;=115%,115%,BG354) + IF(BH354&gt;=115%,115%,BH354)))/_xlfn.XLOOKUP(F354,Apuração!A:A,Apuração!B:B)&gt;=1.15,1.15,((IF(AZ354&gt;=115%,115%,AZ354) + IF(AX354&gt;=115%,115%,AX354) + IF(AY354&gt;=115%,115%,AY354) + (IF(AW354&gt;=115%,115%,AW354) + IF(BA354&gt;=115%,115%,BA354) + IF(BB354&gt;=115%,115%,BB354) + IF(BC354&gt;=115%,115%,BC354) + IF(BD354&gt;=115%,115%,BD354) + IF(BE354&gt;=115%,115%,BE354) + IF(BF354&gt;=115%,115%,BF354) + IF(BG354&gt;=115%,115%,BG354) + IF(BH354&gt;=115%,115%,BH354)))/_xlfn.XLOOKUP(F354,Apuração!A:A,Apuração!B:B)))</f>
        <v>0.25555555555555554</v>
      </c>
      <c r="BL354" s="58" cm="1">
        <f t="array" aca="1" ref="BL354" ca="1">IF(SUM(IFERROR(IF(INDEX(AW354:INDEX(AW354:BH354, MATCH(2, 1/(AW354:BH354&lt;&gt;""), 1)-1), ROW(INDIRECT("1:" &amp; MATCH(2, 1/(AW354:BH354&lt;&gt;""), 1)-1))) &gt;= 115%, 115%, INDEX(AW354:INDEX(AW354:BH354, MATCH(2, 1/(AW354:BH354&lt;&gt;""), 1)-1), ROW(INDIRECT("1:" &amp; MATCH(2, 1/(AW354:BH354&lt;&gt;""), 1)-1)))), 0))/_xlfn.XLOOKUP(F354,Apuração!A:A,Apuração!B:B)&gt;=1.15,1.15,SUM(IFERROR(IF(INDEX(AW354:INDEX(AW354:BH354, MATCH(2, 1/(AW354:BH354&lt;&gt;""), 1)-1), ROW(INDIRECT("1:" &amp; MATCH(2, 1/(AW354:BH354&lt;&gt;""), 1)-1))) &gt;= 115%, 115%, INDEX(AW354:INDEX(AW354:BH354, MATCH(2, 1/(AW354:BH354&lt;&gt;""), 1)-1), ROW(INDIRECT("1:" &amp; MATCH(2, 1/(AW354:BH354&lt;&gt;""), 1)-1)))), 0))/_xlfn.XLOOKUP(F354,Apuração!A:A,Apuração!B:B))</f>
        <v>0.12777777777777777</v>
      </c>
      <c r="BM354" s="55" cm="1">
        <f t="array" ref="BM354">IFERROR(
   INDEX($AW$1:$BH$1,
      _xlfn.AGGREGATE(14, 6, COLUMN($AW$1:$BH$1)/(AW354:BH354&lt;&gt;""), 2) - COLUMN($AW$1) + 1
   ),
"")</f>
        <v>46113</v>
      </c>
      <c r="BN354" s="55" cm="1">
        <f t="array" ref="BN354">IFERROR(INDEX($AW$1:$BH$1,1,MATCH(2,1/(AW354:BH354&lt;&gt;""))),"")</f>
        <v>46143</v>
      </c>
      <c r="BO354" s="53">
        <f ca="1">IFERROR(_xlfn.XLOOKUP(F354,Apuração!A:A,Apuração!C:C)/_xlfn.XLOOKUP(F354,Apuração!A:A,Apuração!B:B),0)</f>
        <v>0.22222222222222221</v>
      </c>
      <c r="BP354" s="53">
        <f ca="1">IFERROR(_xlfn.XLOOKUP(F354,Apuração!A:A,Apuração!D:D)/_xlfn.XLOOKUP(F354,Apuração!A:A,Apuração!B:B),0)</f>
        <v>0.1111111111111111</v>
      </c>
      <c r="BQ354" s="53">
        <f ca="1">IF(BK354&gt;=BO354,0,_xlfn.XLOOKUP(F354,Apuração!A:A,Apuração!B:B)*(BO354 + (1/_xlfn.XLOOKUP(F354,Apuração!A:A,Apuração!B:B)) - BK354))</f>
        <v>0</v>
      </c>
      <c r="BR354" s="85">
        <f t="shared" ca="1" si="690"/>
        <v>0</v>
      </c>
      <c r="BS354" s="53">
        <f ca="1">IFERROR((_xlfn.XLOOKUP(F354,Apuração!A:A,Apuração!C:C)+1)/_xlfn.XLOOKUP(F354,Apuração!A:A,Apuração!B:B),0)</f>
        <v>0.33333333333333331</v>
      </c>
    </row>
    <row r="355" spans="1:71" ht="25.95" hidden="1" customHeight="1" x14ac:dyDescent="0.3">
      <c r="A355" s="3" t="s">
        <v>33</v>
      </c>
      <c r="B355" s="4" t="s">
        <v>53</v>
      </c>
      <c r="C355" s="5" t="s">
        <v>97</v>
      </c>
      <c r="D355" s="5" t="s">
        <v>103</v>
      </c>
      <c r="E355" s="4" t="str" cm="1">
        <f t="array" ref="E355">_xlfn.IFS(
F355 = "A partir de Abril", "Aguardando Execução na Distribuidora",
A355 = "CAPACITAÇÃO", "Em execução no Corporativo",
TRUE, "Em Execução na Distribuidora"
)</f>
        <v>Em Execução na Distribuidora</v>
      </c>
      <c r="F355" s="4" t="str" cm="1">
        <f t="array" ref="F355">_xlfn.IFS(
AG355 &lt;&gt; "", "Jan-Dez/26",
AH355 &lt;&gt; "", "Fev-Dez/26",
AI355 &lt;&gt; "", "Mar-Dez/26", AJ355 &lt;&gt; "", "Abr-Dez/26",
TRUE, "A partir de Junho"
)</f>
        <v>Abr-Dez/26</v>
      </c>
      <c r="G355" s="4" t="s">
        <v>37</v>
      </c>
      <c r="H355" s="7" t="s">
        <v>54</v>
      </c>
      <c r="I355" s="8" t="s">
        <v>55</v>
      </c>
      <c r="J355" s="8" t="str" cm="1">
        <f t="array" aca="1" ref="J355" ca="1">_xlfn.LET(
  _xlpm.actual_value_month, INDEX(T355:AE355, MATCH(DATE(YEAR(TODAY()), MONTH(TODAY()), 1), $T$1:$AE$1, 0)),
  IF(_xlpm.actual_value_month &lt;&gt; "",_xlpm.actual_value_month &amp; " eventos mensais", "")
)</f>
        <v>1 eventos mensais</v>
      </c>
      <c r="K355" s="14" t="str" cm="1">
        <f t="array" ref="K355">_xlfn.LET(
    _xlpm.sum_month, SUM(T355:AE355),
    IF(_xlpm.sum_month = 0, "", _xlpm.sum_month &amp; "  eventos no ano")
)</f>
        <v>9  eventos no ano</v>
      </c>
      <c r="L355" s="9" t="s">
        <v>56</v>
      </c>
      <c r="M355" s="13" t="s">
        <v>57</v>
      </c>
      <c r="N355" s="5" t="s">
        <v>42</v>
      </c>
      <c r="O355" s="5" t="s">
        <v>43</v>
      </c>
      <c r="P355" s="10" t="s">
        <v>58</v>
      </c>
      <c r="Q355" s="10" t="s">
        <v>44</v>
      </c>
      <c r="R355" s="11" t="s">
        <v>45</v>
      </c>
      <c r="S355" s="11" t="s">
        <v>46</v>
      </c>
      <c r="T355" s="22"/>
      <c r="U355" s="22"/>
      <c r="V355" s="22"/>
      <c r="W355" s="152">
        <v>1</v>
      </c>
      <c r="X355" s="152">
        <v>1</v>
      </c>
      <c r="Y355" s="152">
        <v>1</v>
      </c>
      <c r="Z355" s="152">
        <v>1</v>
      </c>
      <c r="AA355" s="152">
        <v>1</v>
      </c>
      <c r="AB355" s="152">
        <v>1</v>
      </c>
      <c r="AC355" s="152">
        <v>1</v>
      </c>
      <c r="AD355" s="152">
        <v>1</v>
      </c>
      <c r="AE355" s="152">
        <v>1</v>
      </c>
      <c r="AG355" s="71"/>
      <c r="AH355" s="71"/>
      <c r="AI355" s="71"/>
      <c r="AJ355" s="82">
        <v>0</v>
      </c>
      <c r="AK355" s="71">
        <v>59</v>
      </c>
      <c r="AL355" s="71"/>
      <c r="AM355" s="71"/>
      <c r="AN355" s="71"/>
      <c r="AO355" s="71"/>
      <c r="AP355" s="71"/>
      <c r="AQ355" s="71"/>
      <c r="AR355" s="71"/>
      <c r="AS355" s="94">
        <f t="shared" ca="1" si="682"/>
        <v>2</v>
      </c>
      <c r="AT355" s="95">
        <f t="shared" si="683"/>
        <v>1.1499999999999999</v>
      </c>
      <c r="AU355" s="97">
        <f t="shared" si="684"/>
        <v>59</v>
      </c>
      <c r="AW355" s="51">
        <f t="shared" si="685"/>
        <v>0</v>
      </c>
      <c r="AX355" s="51">
        <f t="shared" si="686"/>
        <v>0</v>
      </c>
      <c r="AY355" s="51">
        <f t="shared" si="687"/>
        <v>0</v>
      </c>
      <c r="AZ355" s="51">
        <f t="shared" si="688"/>
        <v>0</v>
      </c>
      <c r="BA355" s="51">
        <f t="shared" si="689"/>
        <v>59</v>
      </c>
      <c r="BB355" s="51"/>
      <c r="BC355" s="51"/>
      <c r="BD355" s="51"/>
      <c r="BE355" s="51"/>
      <c r="BF355" s="51"/>
      <c r="BG355" s="51"/>
      <c r="BH355" s="51"/>
      <c r="BI355" s="65" cm="1">
        <f t="array" ref="BI355">IFERROR(INDEX(AW355:BH355,1,MATCH(2,1/(AW355:BH355&lt;&gt;""))),"")</f>
        <v>59</v>
      </c>
      <c r="BJ355" s="68" cm="1">
        <f t="array" ref="BJ355">IF(BM355 = "", "",IFERROR(INDEX(AW355:BH355,1,MATCH(2,1/(AW355:BH355&lt;&gt;""),1)-1),""))</f>
        <v>0</v>
      </c>
      <c r="BK355" s="58">
        <f>IF((IF(AW355&gt;=115%,115%,AW355) + IF(AX355&gt;=115%,115%,AX355) + IF(AY355&gt;=115%,115%,AY355) + (IF(AZ355&gt;=115%,115%,AZ355) + IF(BA355&gt;=115%,115%,BA355) + IF(BB355&gt;=115%,115%,BB355) + IF(BC355&gt;=115%,115%,BC355) + IF(BD355&gt;=115%,115%,BD355) + IF(BE355&gt;=115%,115%,BE355) + IF(BF355&gt;=115%,115%,BF355) + IF(BG355&gt;=115%,115%,BG355) + IF(BH355&gt;=115%,115%,BH355)))/_xlfn.XLOOKUP(F355,Apuração!A:A,Apuração!B:B)&gt;=1.15,1.15,((IF(AZ355&gt;=115%,115%,AZ355) + IF(AX355&gt;=115%,115%,AX355) + IF(AY355&gt;=115%,115%,AY355) + (IF(AW355&gt;=115%,115%,AW355) + IF(BA355&gt;=115%,115%,BA355) + IF(BB355&gt;=115%,115%,BB355) + IF(BC355&gt;=115%,115%,BC355) + IF(BD355&gt;=115%,115%,BD355) + IF(BE355&gt;=115%,115%,BE355) + IF(BF355&gt;=115%,115%,BF355) + IF(BG355&gt;=115%,115%,BG355) + IF(BH355&gt;=115%,115%,BH355)))/_xlfn.XLOOKUP(F355,Apuração!A:A,Apuração!B:B)))</f>
        <v>0.12777777777777777</v>
      </c>
      <c r="BL355" s="58" cm="1">
        <f t="array" aca="1" ref="BL355" ca="1">IF(SUM(IFERROR(IF(INDEX(AW355:INDEX(AW355:BH355, MATCH(2, 1/(AW355:BH355&lt;&gt;""), 1)-1), ROW(INDIRECT("1:" &amp; MATCH(2, 1/(AW355:BH355&lt;&gt;""), 1)-1))) &gt;= 115%, 115%, INDEX(AW355:INDEX(AW355:BH355, MATCH(2, 1/(AW355:BH355&lt;&gt;""), 1)-1), ROW(INDIRECT("1:" &amp; MATCH(2, 1/(AW355:BH355&lt;&gt;""), 1)-1)))), 0))/_xlfn.XLOOKUP(F355,Apuração!A:A,Apuração!B:B)&gt;=1.15,1.15,SUM(IFERROR(IF(INDEX(AW355:INDEX(AW355:BH355, MATCH(2, 1/(AW355:BH355&lt;&gt;""), 1)-1), ROW(INDIRECT("1:" &amp; MATCH(2, 1/(AW355:BH355&lt;&gt;""), 1)-1))) &gt;= 115%, 115%, INDEX(AW355:INDEX(AW355:BH355, MATCH(2, 1/(AW355:BH355&lt;&gt;""), 1)-1), ROW(INDIRECT("1:" &amp; MATCH(2, 1/(AW355:BH355&lt;&gt;""), 1)-1)))), 0))/_xlfn.XLOOKUP(F355,Apuração!A:A,Apuração!B:B))</f>
        <v>0</v>
      </c>
      <c r="BM355" s="55" cm="1">
        <f t="array" ref="BM355">IFERROR(
   INDEX($AW$1:$BH$1,
      _xlfn.AGGREGATE(14, 6, COLUMN($AW$1:$BH$1)/(AW355:BH355&lt;&gt;""), 2) - COLUMN($AW$1) + 1
   ),
"")</f>
        <v>46113</v>
      </c>
      <c r="BN355" s="55" cm="1">
        <f t="array" ref="BN355">IFERROR(INDEX($AW$1:$BH$1,1,MATCH(2,1/(AW355:BH355&lt;&gt;""))),"")</f>
        <v>46143</v>
      </c>
      <c r="BO355" s="53">
        <f ca="1">IFERROR(_xlfn.XLOOKUP(F355,Apuração!A:A,Apuração!C:C)/_xlfn.XLOOKUP(F355,Apuração!A:A,Apuração!B:B),0)</f>
        <v>0.22222222222222221</v>
      </c>
      <c r="BP355" s="53">
        <f ca="1">IFERROR(_xlfn.XLOOKUP(F355,Apuração!A:A,Apuração!D:D)/_xlfn.XLOOKUP(F355,Apuração!A:A,Apuração!B:B),0)</f>
        <v>0.1111111111111111</v>
      </c>
      <c r="BQ355" s="53">
        <f ca="1">IF(BK355&gt;=BO355,0,_xlfn.XLOOKUP(F355,Apuração!A:A,Apuração!B:B)*(BO355 + (1/_xlfn.XLOOKUP(F355,Apuração!A:A,Apuração!B:B)) - BK355))</f>
        <v>1.8499999999999999</v>
      </c>
      <c r="BR355" s="85">
        <f t="shared" ca="1" si="690"/>
        <v>1.8499999999999999</v>
      </c>
      <c r="BS355" s="53">
        <f ca="1">IFERROR((_xlfn.XLOOKUP(F355,Apuração!A:A,Apuração!C:C)+1)/_xlfn.XLOOKUP(F355,Apuração!A:A,Apuração!B:B),0)</f>
        <v>0.33333333333333331</v>
      </c>
    </row>
    <row r="356" spans="1:71" ht="25.95" hidden="1" customHeight="1" x14ac:dyDescent="0.3">
      <c r="A356" s="3" t="s">
        <v>33</v>
      </c>
      <c r="B356" s="4" t="s">
        <v>53</v>
      </c>
      <c r="C356" s="5" t="s">
        <v>97</v>
      </c>
      <c r="D356" s="5" t="s">
        <v>104</v>
      </c>
      <c r="E356" s="4" t="str" cm="1">
        <f t="array" ref="E356">_xlfn.IFS(
F356 = "A partir de Abril", "Aguardando Execução na Distribuidora",
A356 = "CAPACITAÇÃO", "Em execução no Corporativo",
TRUE, "Em Execução na Distribuidora"
)</f>
        <v>Em Execução na Distribuidora</v>
      </c>
      <c r="F356" s="4" t="str" cm="1">
        <f t="array" ref="F356">_xlfn.IFS(
AG356 &lt;&gt; "", "Jan-Dez/26",
AH356 &lt;&gt; "", "Fev-Dez/26",
AI356 &lt;&gt; "", "Mar-Dez/26", AJ356 &lt;&gt; "", "Abr-Dez/26",
TRUE, "A partir de Junho"
)</f>
        <v>Abr-Dez/26</v>
      </c>
      <c r="G356" s="4" t="s">
        <v>37</v>
      </c>
      <c r="H356" s="7" t="s">
        <v>54</v>
      </c>
      <c r="I356" s="8" t="s">
        <v>55</v>
      </c>
      <c r="J356" s="8" t="str" cm="1">
        <f t="array" aca="1" ref="J356" ca="1">_xlfn.LET(
  _xlpm.actual_value_month, INDEX(T356:AE356, MATCH(DATE(YEAR(TODAY()), MONTH(TODAY()), 1), $T$1:$AE$1, 0)),
  IF(_xlpm.actual_value_month &lt;&gt; "",_xlpm.actual_value_month &amp; " eventos mensais", "")
)</f>
        <v>1 eventos mensais</v>
      </c>
      <c r="K356" s="14" t="str" cm="1">
        <f t="array" ref="K356">_xlfn.LET(
    _xlpm.sum_month, SUM(T356:AE356),
    IF(_xlpm.sum_month = 0, "", _xlpm.sum_month &amp; "  eventos no ano")
)</f>
        <v>9  eventos no ano</v>
      </c>
      <c r="L356" s="9" t="s">
        <v>56</v>
      </c>
      <c r="M356" s="13" t="s">
        <v>57</v>
      </c>
      <c r="N356" s="5" t="s">
        <v>42</v>
      </c>
      <c r="O356" s="5" t="s">
        <v>43</v>
      </c>
      <c r="P356" s="10" t="s">
        <v>58</v>
      </c>
      <c r="Q356" s="10" t="s">
        <v>44</v>
      </c>
      <c r="R356" s="11" t="s">
        <v>45</v>
      </c>
      <c r="S356" s="11" t="s">
        <v>46</v>
      </c>
      <c r="T356" s="22"/>
      <c r="U356" s="22"/>
      <c r="V356" s="22"/>
      <c r="W356" s="152">
        <v>1</v>
      </c>
      <c r="X356" s="152">
        <v>1</v>
      </c>
      <c r="Y356" s="152">
        <v>1</v>
      </c>
      <c r="Z356" s="152">
        <v>1</v>
      </c>
      <c r="AA356" s="152">
        <v>1</v>
      </c>
      <c r="AB356" s="152">
        <v>1</v>
      </c>
      <c r="AC356" s="152">
        <v>1</v>
      </c>
      <c r="AD356" s="152">
        <v>1</v>
      </c>
      <c r="AE356" s="152">
        <v>1</v>
      </c>
      <c r="AG356" s="71"/>
      <c r="AH356" s="71"/>
      <c r="AI356" s="71"/>
      <c r="AJ356" s="82">
        <v>0</v>
      </c>
      <c r="AK356" s="71">
        <v>29</v>
      </c>
      <c r="AL356" s="71"/>
      <c r="AM356" s="71"/>
      <c r="AN356" s="71"/>
      <c r="AO356" s="71"/>
      <c r="AP356" s="71"/>
      <c r="AQ356" s="71"/>
      <c r="AR356" s="71"/>
      <c r="AS356" s="94">
        <f t="shared" ca="1" si="682"/>
        <v>2</v>
      </c>
      <c r="AT356" s="95">
        <f t="shared" si="683"/>
        <v>1.1499999999999999</v>
      </c>
      <c r="AU356" s="97">
        <f t="shared" si="684"/>
        <v>29</v>
      </c>
      <c r="AW356" s="51">
        <f t="shared" si="685"/>
        <v>0</v>
      </c>
      <c r="AX356" s="51">
        <f t="shared" si="686"/>
        <v>0</v>
      </c>
      <c r="AY356" s="51">
        <f t="shared" si="687"/>
        <v>0</v>
      </c>
      <c r="AZ356" s="51">
        <f t="shared" si="688"/>
        <v>0</v>
      </c>
      <c r="BA356" s="51">
        <f t="shared" si="689"/>
        <v>29</v>
      </c>
      <c r="BB356" s="51"/>
      <c r="BC356" s="51"/>
      <c r="BD356" s="51"/>
      <c r="BE356" s="51"/>
      <c r="BF356" s="51"/>
      <c r="BG356" s="51"/>
      <c r="BH356" s="51"/>
      <c r="BI356" s="65" cm="1">
        <f t="array" ref="BI356">IFERROR(INDEX(AW356:BH356,1,MATCH(2,1/(AW356:BH356&lt;&gt;""))),"")</f>
        <v>29</v>
      </c>
      <c r="BJ356" s="68" cm="1">
        <f t="array" ref="BJ356">IF(BM356 = "", "",IFERROR(INDEX(AW356:BH356,1,MATCH(2,1/(AW356:BH356&lt;&gt;""),1)-1),""))</f>
        <v>0</v>
      </c>
      <c r="BK356" s="58">
        <f>IF((IF(AW356&gt;=115%,115%,AW356) + IF(AX356&gt;=115%,115%,AX356) + IF(AY356&gt;=115%,115%,AY356) + (IF(AZ356&gt;=115%,115%,AZ356) + IF(BA356&gt;=115%,115%,BA356) + IF(BB356&gt;=115%,115%,BB356) + IF(BC356&gt;=115%,115%,BC356) + IF(BD356&gt;=115%,115%,BD356) + IF(BE356&gt;=115%,115%,BE356) + IF(BF356&gt;=115%,115%,BF356) + IF(BG356&gt;=115%,115%,BG356) + IF(BH356&gt;=115%,115%,BH356)))/_xlfn.XLOOKUP(F356,Apuração!A:A,Apuração!B:B)&gt;=1.15,1.15,((IF(AZ356&gt;=115%,115%,AZ356) + IF(AX356&gt;=115%,115%,AX356) + IF(AY356&gt;=115%,115%,AY356) + (IF(AW356&gt;=115%,115%,AW356) + IF(BA356&gt;=115%,115%,BA356) + IF(BB356&gt;=115%,115%,BB356) + IF(BC356&gt;=115%,115%,BC356) + IF(BD356&gt;=115%,115%,BD356) + IF(BE356&gt;=115%,115%,BE356) + IF(BF356&gt;=115%,115%,BF356) + IF(BG356&gt;=115%,115%,BG356) + IF(BH356&gt;=115%,115%,BH356)))/_xlfn.XLOOKUP(F356,Apuração!A:A,Apuração!B:B)))</f>
        <v>0.12777777777777777</v>
      </c>
      <c r="BL356" s="58" cm="1">
        <f t="array" aca="1" ref="BL356" ca="1">IF(SUM(IFERROR(IF(INDEX(AW356:INDEX(AW356:BH356, MATCH(2, 1/(AW356:BH356&lt;&gt;""), 1)-1), ROW(INDIRECT("1:" &amp; MATCH(2, 1/(AW356:BH356&lt;&gt;""), 1)-1))) &gt;= 115%, 115%, INDEX(AW356:INDEX(AW356:BH356, MATCH(2, 1/(AW356:BH356&lt;&gt;""), 1)-1), ROW(INDIRECT("1:" &amp; MATCH(2, 1/(AW356:BH356&lt;&gt;""), 1)-1)))), 0))/_xlfn.XLOOKUP(F356,Apuração!A:A,Apuração!B:B)&gt;=1.15,1.15,SUM(IFERROR(IF(INDEX(AW356:INDEX(AW356:BH356, MATCH(2, 1/(AW356:BH356&lt;&gt;""), 1)-1), ROW(INDIRECT("1:" &amp; MATCH(2, 1/(AW356:BH356&lt;&gt;""), 1)-1))) &gt;= 115%, 115%, INDEX(AW356:INDEX(AW356:BH356, MATCH(2, 1/(AW356:BH356&lt;&gt;""), 1)-1), ROW(INDIRECT("1:" &amp; MATCH(2, 1/(AW356:BH356&lt;&gt;""), 1)-1)))), 0))/_xlfn.XLOOKUP(F356,Apuração!A:A,Apuração!B:B))</f>
        <v>0</v>
      </c>
      <c r="BM356" s="55" cm="1">
        <f t="array" ref="BM356">IFERROR(
   INDEX($AW$1:$BH$1,
      _xlfn.AGGREGATE(14, 6, COLUMN($AW$1:$BH$1)/(AW356:BH356&lt;&gt;""), 2) - COLUMN($AW$1) + 1
   ),
"")</f>
        <v>46113</v>
      </c>
      <c r="BN356" s="55" cm="1">
        <f t="array" ref="BN356">IFERROR(INDEX($AW$1:$BH$1,1,MATCH(2,1/(AW356:BH356&lt;&gt;""))),"")</f>
        <v>46143</v>
      </c>
      <c r="BO356" s="53">
        <f ca="1">IFERROR(_xlfn.XLOOKUP(F356,Apuração!A:A,Apuração!C:C)/_xlfn.XLOOKUP(F356,Apuração!A:A,Apuração!B:B),0)</f>
        <v>0.22222222222222221</v>
      </c>
      <c r="BP356" s="53">
        <f ca="1">IFERROR(_xlfn.XLOOKUP(F356,Apuração!A:A,Apuração!D:D)/_xlfn.XLOOKUP(F356,Apuração!A:A,Apuração!B:B),0)</f>
        <v>0.1111111111111111</v>
      </c>
      <c r="BQ356" s="53">
        <f ca="1">IF(BK356&gt;=BO356,0,_xlfn.XLOOKUP(F356,Apuração!A:A,Apuração!B:B)*(BO356 + (1/_xlfn.XLOOKUP(F356,Apuração!A:A,Apuração!B:B)) - BK356))</f>
        <v>1.8499999999999999</v>
      </c>
      <c r="BR356" s="85">
        <f t="shared" ca="1" si="690"/>
        <v>1.8499999999999999</v>
      </c>
      <c r="BS356" s="53">
        <f ca="1">IFERROR((_xlfn.XLOOKUP(F356,Apuração!A:A,Apuração!C:C)+1)/_xlfn.XLOOKUP(F356,Apuração!A:A,Apuração!B:B),0)</f>
        <v>0.33333333333333331</v>
      </c>
    </row>
    <row r="357" spans="1:71" ht="25.95" hidden="1" customHeight="1" x14ac:dyDescent="0.3">
      <c r="A357" s="3" t="s">
        <v>33</v>
      </c>
      <c r="B357" s="4" t="s">
        <v>53</v>
      </c>
      <c r="C357" s="5" t="s">
        <v>97</v>
      </c>
      <c r="D357" s="5" t="s">
        <v>105</v>
      </c>
      <c r="E357" s="4" t="str" cm="1">
        <f t="array" ref="E357">_xlfn.IFS(
F357 = "A partir de Abril", "Aguardando Execução na Distribuidora",
A357 = "CAPACITAÇÃO", "Em execução no Corporativo",
TRUE, "Em Execução na Distribuidora"
)</f>
        <v>Em Execução na Distribuidora</v>
      </c>
      <c r="F357" s="4" t="str" cm="1">
        <f t="array" ref="F357">_xlfn.IFS(
AG357 &lt;&gt; "", "Jan-Dez/26",
AH357 &lt;&gt; "", "Fev-Dez/26",
AI357 &lt;&gt; "", "Mar-Dez/26", AJ357 &lt;&gt; "", "Abr-Dez/26",
TRUE, "A partir de Junho"
)</f>
        <v>Abr-Dez/26</v>
      </c>
      <c r="G357" s="4" t="s">
        <v>37</v>
      </c>
      <c r="H357" s="7" t="s">
        <v>54</v>
      </c>
      <c r="I357" s="8" t="s">
        <v>55</v>
      </c>
      <c r="J357" s="8" t="str" cm="1">
        <f t="array" aca="1" ref="J357" ca="1">_xlfn.LET(
  _xlpm.actual_value_month, INDEX(T357:AE357, MATCH(DATE(YEAR(TODAY()), MONTH(TODAY()), 1), $T$1:$AE$1, 0)),
  IF(_xlpm.actual_value_month &lt;&gt; "",_xlpm.actual_value_month &amp; " eventos mensais", "")
)</f>
        <v>1 eventos mensais</v>
      </c>
      <c r="K357" s="14" t="str" cm="1">
        <f t="array" ref="K357">_xlfn.LET(
    _xlpm.sum_month, SUM(T357:AE357),
    IF(_xlpm.sum_month = 0, "", _xlpm.sum_month &amp; "  eventos no ano")
)</f>
        <v>9  eventos no ano</v>
      </c>
      <c r="L357" s="9" t="s">
        <v>56</v>
      </c>
      <c r="M357" s="13" t="s">
        <v>57</v>
      </c>
      <c r="N357" s="5" t="s">
        <v>42</v>
      </c>
      <c r="O357" s="5" t="s">
        <v>43</v>
      </c>
      <c r="P357" s="10" t="s">
        <v>58</v>
      </c>
      <c r="Q357" s="10" t="s">
        <v>44</v>
      </c>
      <c r="R357" s="11" t="s">
        <v>45</v>
      </c>
      <c r="S357" s="11" t="s">
        <v>46</v>
      </c>
      <c r="T357" s="22"/>
      <c r="U357" s="22"/>
      <c r="V357" s="22"/>
      <c r="W357" s="152">
        <v>1</v>
      </c>
      <c r="X357" s="152">
        <v>1</v>
      </c>
      <c r="Y357" s="152">
        <v>1</v>
      </c>
      <c r="Z357" s="152">
        <v>1</v>
      </c>
      <c r="AA357" s="152">
        <v>1</v>
      </c>
      <c r="AB357" s="152">
        <v>1</v>
      </c>
      <c r="AC357" s="152">
        <v>1</v>
      </c>
      <c r="AD357" s="152">
        <v>1</v>
      </c>
      <c r="AE357" s="152">
        <v>1</v>
      </c>
      <c r="AG357" s="71"/>
      <c r="AH357" s="71"/>
      <c r="AI357" s="71"/>
      <c r="AJ357" s="82">
        <v>0</v>
      </c>
      <c r="AK357" s="71">
        <v>51</v>
      </c>
      <c r="AL357" s="71"/>
      <c r="AM357" s="71"/>
      <c r="AN357" s="71"/>
      <c r="AO357" s="71"/>
      <c r="AP357" s="71"/>
      <c r="AQ357" s="71"/>
      <c r="AR357" s="71"/>
      <c r="AS357" s="94">
        <f t="shared" ca="1" si="682"/>
        <v>2</v>
      </c>
      <c r="AT357" s="95">
        <f t="shared" si="683"/>
        <v>1.1499999999999999</v>
      </c>
      <c r="AU357" s="97">
        <f t="shared" si="684"/>
        <v>51</v>
      </c>
      <c r="AW357" s="51">
        <f t="shared" si="685"/>
        <v>0</v>
      </c>
      <c r="AX357" s="51">
        <f t="shared" si="686"/>
        <v>0</v>
      </c>
      <c r="AY357" s="51">
        <f t="shared" si="687"/>
        <v>0</v>
      </c>
      <c r="AZ357" s="51">
        <f t="shared" si="688"/>
        <v>0</v>
      </c>
      <c r="BA357" s="51">
        <f t="shared" si="689"/>
        <v>51</v>
      </c>
      <c r="BB357" s="51"/>
      <c r="BC357" s="51"/>
      <c r="BD357" s="51"/>
      <c r="BE357" s="51"/>
      <c r="BF357" s="51"/>
      <c r="BG357" s="51"/>
      <c r="BH357" s="51"/>
      <c r="BI357" s="65" cm="1">
        <f t="array" ref="BI357">IFERROR(INDEX(AW357:BH357,1,MATCH(2,1/(AW357:BH357&lt;&gt;""))),"")</f>
        <v>51</v>
      </c>
      <c r="BJ357" s="68" cm="1">
        <f t="array" ref="BJ357">IF(BM357 = "", "",IFERROR(INDEX(AW357:BH357,1,MATCH(2,1/(AW357:BH357&lt;&gt;""),1)-1),""))</f>
        <v>0</v>
      </c>
      <c r="BK357" s="58">
        <f>IF((IF(AW357&gt;=115%,115%,AW357) + IF(AX357&gt;=115%,115%,AX357) + IF(AY357&gt;=115%,115%,AY357) + (IF(AZ357&gt;=115%,115%,AZ357) + IF(BA357&gt;=115%,115%,BA357) + IF(BB357&gt;=115%,115%,BB357) + IF(BC357&gt;=115%,115%,BC357) + IF(BD357&gt;=115%,115%,BD357) + IF(BE357&gt;=115%,115%,BE357) + IF(BF357&gt;=115%,115%,BF357) + IF(BG357&gt;=115%,115%,BG357) + IF(BH357&gt;=115%,115%,BH357)))/_xlfn.XLOOKUP(F357,Apuração!A:A,Apuração!B:B)&gt;=1.15,1.15,((IF(AZ357&gt;=115%,115%,AZ357) + IF(AX357&gt;=115%,115%,AX357) + IF(AY357&gt;=115%,115%,AY357) + (IF(AW357&gt;=115%,115%,AW357) + IF(BA357&gt;=115%,115%,BA357) + IF(BB357&gt;=115%,115%,BB357) + IF(BC357&gt;=115%,115%,BC357) + IF(BD357&gt;=115%,115%,BD357) + IF(BE357&gt;=115%,115%,BE357) + IF(BF357&gt;=115%,115%,BF357) + IF(BG357&gt;=115%,115%,BG357) + IF(BH357&gt;=115%,115%,BH357)))/_xlfn.XLOOKUP(F357,Apuração!A:A,Apuração!B:B)))</f>
        <v>0.12777777777777777</v>
      </c>
      <c r="BL357" s="58" cm="1">
        <f t="array" aca="1" ref="BL357" ca="1">IF(SUM(IFERROR(IF(INDEX(AW357:INDEX(AW357:BH357, MATCH(2, 1/(AW357:BH357&lt;&gt;""), 1)-1), ROW(INDIRECT("1:" &amp; MATCH(2, 1/(AW357:BH357&lt;&gt;""), 1)-1))) &gt;= 115%, 115%, INDEX(AW357:INDEX(AW357:BH357, MATCH(2, 1/(AW357:BH357&lt;&gt;""), 1)-1), ROW(INDIRECT("1:" &amp; MATCH(2, 1/(AW357:BH357&lt;&gt;""), 1)-1)))), 0))/_xlfn.XLOOKUP(F357,Apuração!A:A,Apuração!B:B)&gt;=1.15,1.15,SUM(IFERROR(IF(INDEX(AW357:INDEX(AW357:BH357, MATCH(2, 1/(AW357:BH357&lt;&gt;""), 1)-1), ROW(INDIRECT("1:" &amp; MATCH(2, 1/(AW357:BH357&lt;&gt;""), 1)-1))) &gt;= 115%, 115%, INDEX(AW357:INDEX(AW357:BH357, MATCH(2, 1/(AW357:BH357&lt;&gt;""), 1)-1), ROW(INDIRECT("1:" &amp; MATCH(2, 1/(AW357:BH357&lt;&gt;""), 1)-1)))), 0))/_xlfn.XLOOKUP(F357,Apuração!A:A,Apuração!B:B))</f>
        <v>0</v>
      </c>
      <c r="BM357" s="55" cm="1">
        <f t="array" ref="BM357">IFERROR(
   INDEX($AW$1:$BH$1,
      _xlfn.AGGREGATE(14, 6, COLUMN($AW$1:$BH$1)/(AW357:BH357&lt;&gt;""), 2) - COLUMN($AW$1) + 1
   ),
"")</f>
        <v>46113</v>
      </c>
      <c r="BN357" s="55" cm="1">
        <f t="array" ref="BN357">IFERROR(INDEX($AW$1:$BH$1,1,MATCH(2,1/(AW357:BH357&lt;&gt;""))),"")</f>
        <v>46143</v>
      </c>
      <c r="BO357" s="53">
        <f ca="1">IFERROR(_xlfn.XLOOKUP(F357,Apuração!A:A,Apuração!C:C)/_xlfn.XLOOKUP(F357,Apuração!A:A,Apuração!B:B),0)</f>
        <v>0.22222222222222221</v>
      </c>
      <c r="BP357" s="53">
        <f ca="1">IFERROR(_xlfn.XLOOKUP(F357,Apuração!A:A,Apuração!D:D)/_xlfn.XLOOKUP(F357,Apuração!A:A,Apuração!B:B),0)</f>
        <v>0.1111111111111111</v>
      </c>
      <c r="BQ357" s="53">
        <f ca="1">IF(BK357&gt;=BO357,0,_xlfn.XLOOKUP(F357,Apuração!A:A,Apuração!B:B)*(BO357 + (1/_xlfn.XLOOKUP(F357,Apuração!A:A,Apuração!B:B)) - BK357))</f>
        <v>1.8499999999999999</v>
      </c>
      <c r="BR357" s="85">
        <f t="shared" ca="1" si="690"/>
        <v>1.8499999999999999</v>
      </c>
      <c r="BS357" s="53">
        <f ca="1">IFERROR((_xlfn.XLOOKUP(F357,Apuração!A:A,Apuração!C:C)+1)/_xlfn.XLOOKUP(F357,Apuração!A:A,Apuração!B:B),0)</f>
        <v>0.33333333333333331</v>
      </c>
    </row>
    <row r="358" spans="1:71" ht="25.95" hidden="1" customHeight="1" x14ac:dyDescent="0.3">
      <c r="A358" s="3" t="s">
        <v>33</v>
      </c>
      <c r="B358" s="4" t="s">
        <v>53</v>
      </c>
      <c r="C358" s="5" t="s">
        <v>97</v>
      </c>
      <c r="D358" s="5" t="s">
        <v>106</v>
      </c>
      <c r="E358" s="4" t="str" cm="1">
        <f t="array" ref="E358">_xlfn.IFS(
F358 = "A partir de Abril", "Aguardando Execução na Distribuidora",
A358 = "CAPACITAÇÃO", "Em execução no Corporativo",
TRUE, "Em Execução na Distribuidora"
)</f>
        <v>Em Execução na Distribuidora</v>
      </c>
      <c r="F358" s="4" t="str" cm="1">
        <f t="array" ref="F358">_xlfn.IFS(
AG358 &lt;&gt; "", "Jan-Dez/26",
AH358 &lt;&gt; "", "Fev-Dez/26",
AI358 &lt;&gt; "", "Mar-Dez/26", AJ358 &lt;&gt; "", "Abr-Dez/26",
TRUE, "A partir de Junho"
)</f>
        <v>Abr-Dez/26</v>
      </c>
      <c r="G358" s="4" t="s">
        <v>37</v>
      </c>
      <c r="H358" s="7" t="s">
        <v>54</v>
      </c>
      <c r="I358" s="8" t="s">
        <v>55</v>
      </c>
      <c r="J358" s="8" t="str" cm="1">
        <f t="array" aca="1" ref="J358" ca="1">_xlfn.LET(
  _xlpm.actual_value_month, INDEX(T358:AE358, MATCH(DATE(YEAR(TODAY()), MONTH(TODAY()), 1), $T$1:$AE$1, 0)),
  IF(_xlpm.actual_value_month &lt;&gt; "",_xlpm.actual_value_month &amp; " eventos mensais", "")
)</f>
        <v>1 eventos mensais</v>
      </c>
      <c r="K358" s="14" t="str" cm="1">
        <f t="array" ref="K358">_xlfn.LET(
    _xlpm.sum_month, SUM(T358:AE358),
    IF(_xlpm.sum_month = 0, "", _xlpm.sum_month &amp; "  eventos no ano")
)</f>
        <v>9  eventos no ano</v>
      </c>
      <c r="L358" s="9" t="s">
        <v>56</v>
      </c>
      <c r="M358" s="13" t="s">
        <v>57</v>
      </c>
      <c r="N358" s="5" t="s">
        <v>42</v>
      </c>
      <c r="O358" s="5" t="s">
        <v>43</v>
      </c>
      <c r="P358" s="10" t="s">
        <v>58</v>
      </c>
      <c r="Q358" s="10" t="s">
        <v>44</v>
      </c>
      <c r="R358" s="11" t="s">
        <v>45</v>
      </c>
      <c r="S358" s="11" t="s">
        <v>46</v>
      </c>
      <c r="T358" s="22"/>
      <c r="U358" s="22"/>
      <c r="V358" s="22"/>
      <c r="W358" s="152">
        <v>1</v>
      </c>
      <c r="X358" s="152">
        <v>1</v>
      </c>
      <c r="Y358" s="152">
        <v>1</v>
      </c>
      <c r="Z358" s="152">
        <v>1</v>
      </c>
      <c r="AA358" s="152">
        <v>1</v>
      </c>
      <c r="AB358" s="152">
        <v>1</v>
      </c>
      <c r="AC358" s="152">
        <v>1</v>
      </c>
      <c r="AD358" s="152">
        <v>1</v>
      </c>
      <c r="AE358" s="152">
        <v>1</v>
      </c>
      <c r="AG358" s="71"/>
      <c r="AH358" s="71"/>
      <c r="AI358" s="71"/>
      <c r="AJ358" s="82">
        <v>0</v>
      </c>
      <c r="AK358" s="71">
        <v>53</v>
      </c>
      <c r="AL358" s="71"/>
      <c r="AM358" s="71"/>
      <c r="AN358" s="71"/>
      <c r="AO358" s="71"/>
      <c r="AP358" s="71"/>
      <c r="AQ358" s="71"/>
      <c r="AR358" s="71"/>
      <c r="AS358" s="94">
        <f t="shared" ca="1" si="682"/>
        <v>2</v>
      </c>
      <c r="AT358" s="95">
        <f t="shared" si="683"/>
        <v>1.1499999999999999</v>
      </c>
      <c r="AU358" s="97">
        <f t="shared" si="684"/>
        <v>53</v>
      </c>
      <c r="AW358" s="51">
        <f t="shared" si="685"/>
        <v>0</v>
      </c>
      <c r="AX358" s="51">
        <f t="shared" si="686"/>
        <v>0</v>
      </c>
      <c r="AY358" s="51">
        <f t="shared" si="687"/>
        <v>0</v>
      </c>
      <c r="AZ358" s="51">
        <f t="shared" si="688"/>
        <v>0</v>
      </c>
      <c r="BA358" s="51">
        <f t="shared" si="689"/>
        <v>53</v>
      </c>
      <c r="BB358" s="51"/>
      <c r="BC358" s="51"/>
      <c r="BD358" s="51"/>
      <c r="BE358" s="51"/>
      <c r="BF358" s="51"/>
      <c r="BG358" s="51"/>
      <c r="BH358" s="51"/>
      <c r="BI358" s="65" cm="1">
        <f t="array" ref="BI358">IFERROR(INDEX(AW358:BH358,1,MATCH(2,1/(AW358:BH358&lt;&gt;""))),"")</f>
        <v>53</v>
      </c>
      <c r="BJ358" s="68" cm="1">
        <f t="array" ref="BJ358">IF(BM358 = "", "",IFERROR(INDEX(AW358:BH358,1,MATCH(2,1/(AW358:BH358&lt;&gt;""),1)-1),""))</f>
        <v>0</v>
      </c>
      <c r="BK358" s="58">
        <f>IF((IF(AW358&gt;=115%,115%,AW358) + IF(AX358&gt;=115%,115%,AX358) + IF(AY358&gt;=115%,115%,AY358) + (IF(AZ358&gt;=115%,115%,AZ358) + IF(BA358&gt;=115%,115%,BA358) + IF(BB358&gt;=115%,115%,BB358) + IF(BC358&gt;=115%,115%,BC358) + IF(BD358&gt;=115%,115%,BD358) + IF(BE358&gt;=115%,115%,BE358) + IF(BF358&gt;=115%,115%,BF358) + IF(BG358&gt;=115%,115%,BG358) + IF(BH358&gt;=115%,115%,BH358)))/_xlfn.XLOOKUP(F358,Apuração!A:A,Apuração!B:B)&gt;=1.15,1.15,((IF(AZ358&gt;=115%,115%,AZ358) + IF(AX358&gt;=115%,115%,AX358) + IF(AY358&gt;=115%,115%,AY358) + (IF(AW358&gt;=115%,115%,AW358) + IF(BA358&gt;=115%,115%,BA358) + IF(BB358&gt;=115%,115%,BB358) + IF(BC358&gt;=115%,115%,BC358) + IF(BD358&gt;=115%,115%,BD358) + IF(BE358&gt;=115%,115%,BE358) + IF(BF358&gt;=115%,115%,BF358) + IF(BG358&gt;=115%,115%,BG358) + IF(BH358&gt;=115%,115%,BH358)))/_xlfn.XLOOKUP(F358,Apuração!A:A,Apuração!B:B)))</f>
        <v>0.12777777777777777</v>
      </c>
      <c r="BL358" s="58" cm="1">
        <f t="array" aca="1" ref="BL358" ca="1">IF(SUM(IFERROR(IF(INDEX(AW358:INDEX(AW358:BH358, MATCH(2, 1/(AW358:BH358&lt;&gt;""), 1)-1), ROW(INDIRECT("1:" &amp; MATCH(2, 1/(AW358:BH358&lt;&gt;""), 1)-1))) &gt;= 115%, 115%, INDEX(AW358:INDEX(AW358:BH358, MATCH(2, 1/(AW358:BH358&lt;&gt;""), 1)-1), ROW(INDIRECT("1:" &amp; MATCH(2, 1/(AW358:BH358&lt;&gt;""), 1)-1)))), 0))/_xlfn.XLOOKUP(F358,Apuração!A:A,Apuração!B:B)&gt;=1.15,1.15,SUM(IFERROR(IF(INDEX(AW358:INDEX(AW358:BH358, MATCH(2, 1/(AW358:BH358&lt;&gt;""), 1)-1), ROW(INDIRECT("1:" &amp; MATCH(2, 1/(AW358:BH358&lt;&gt;""), 1)-1))) &gt;= 115%, 115%, INDEX(AW358:INDEX(AW358:BH358, MATCH(2, 1/(AW358:BH358&lt;&gt;""), 1)-1), ROW(INDIRECT("1:" &amp; MATCH(2, 1/(AW358:BH358&lt;&gt;""), 1)-1)))), 0))/_xlfn.XLOOKUP(F358,Apuração!A:A,Apuração!B:B))</f>
        <v>0</v>
      </c>
      <c r="BM358" s="55" cm="1">
        <f t="array" ref="BM358">IFERROR(
   INDEX($AW$1:$BH$1,
      _xlfn.AGGREGATE(14, 6, COLUMN($AW$1:$BH$1)/(AW358:BH358&lt;&gt;""), 2) - COLUMN($AW$1) + 1
   ),
"")</f>
        <v>46113</v>
      </c>
      <c r="BN358" s="55" cm="1">
        <f t="array" ref="BN358">IFERROR(INDEX($AW$1:$BH$1,1,MATCH(2,1/(AW358:BH358&lt;&gt;""))),"")</f>
        <v>46143</v>
      </c>
      <c r="BO358" s="53">
        <f ca="1">IFERROR(_xlfn.XLOOKUP(F358,Apuração!A:A,Apuração!C:C)/_xlfn.XLOOKUP(F358,Apuração!A:A,Apuração!B:B),0)</f>
        <v>0.22222222222222221</v>
      </c>
      <c r="BP358" s="53">
        <f ca="1">IFERROR(_xlfn.XLOOKUP(F358,Apuração!A:A,Apuração!D:D)/_xlfn.XLOOKUP(F358,Apuração!A:A,Apuração!B:B),0)</f>
        <v>0.1111111111111111</v>
      </c>
      <c r="BQ358" s="53">
        <f ca="1">IF(BK358&gt;=BO358,0,_xlfn.XLOOKUP(F358,Apuração!A:A,Apuração!B:B)*(BO358 + (1/_xlfn.XLOOKUP(F358,Apuração!A:A,Apuração!B:B)) - BK358))</f>
        <v>1.8499999999999999</v>
      </c>
      <c r="BR358" s="85">
        <f t="shared" ca="1" si="690"/>
        <v>1.8499999999999999</v>
      </c>
      <c r="BS358" s="53">
        <f ca="1">IFERROR((_xlfn.XLOOKUP(F358,Apuração!A:A,Apuração!C:C)+1)/_xlfn.XLOOKUP(F358,Apuração!A:A,Apuração!B:B),0)</f>
        <v>0.33333333333333331</v>
      </c>
    </row>
    <row r="359" spans="1:71" ht="25.95" hidden="1" customHeight="1" x14ac:dyDescent="0.3">
      <c r="A359" s="3" t="s">
        <v>33</v>
      </c>
      <c r="B359" s="4" t="s">
        <v>53</v>
      </c>
      <c r="C359" s="5" t="s">
        <v>97</v>
      </c>
      <c r="D359" s="5" t="s">
        <v>107</v>
      </c>
      <c r="E359" s="4" t="str" cm="1">
        <f t="array" ref="E359">_xlfn.IFS(
F359 = "A partir de Abril", "Aguardando Execução na Distribuidora",
A359 = "CAPACITAÇÃO", "Em execução no Corporativo",
TRUE, "Em Execução na Distribuidora"
)</f>
        <v>Em Execução na Distribuidora</v>
      </c>
      <c r="F359" s="4" t="str" cm="1">
        <f t="array" ref="F359">_xlfn.IFS(
AG359 &lt;&gt; "", "Jan-Dez/26",
AH359 &lt;&gt; "", "Fev-Dez/26",
AI359 &lt;&gt; "", "Mar-Dez/26", AJ359 &lt;&gt; "", "Abr-Dez/26",
TRUE, "A partir de Junho"
)</f>
        <v>Abr-Dez/26</v>
      </c>
      <c r="G359" s="4" t="s">
        <v>37</v>
      </c>
      <c r="H359" s="7" t="s">
        <v>54</v>
      </c>
      <c r="I359" s="8" t="s">
        <v>55</v>
      </c>
      <c r="J359" s="8" t="str" cm="1">
        <f t="array" aca="1" ref="J359" ca="1">_xlfn.LET(
  _xlpm.actual_value_month, INDEX(T359:AE359, MATCH(DATE(YEAR(TODAY()), MONTH(TODAY()), 1), $T$1:$AE$1, 0)),
  IF(_xlpm.actual_value_month &lt;&gt; "",_xlpm.actual_value_month &amp; " eventos mensais", "")
)</f>
        <v>1 eventos mensais</v>
      </c>
      <c r="K359" s="14" t="str" cm="1">
        <f t="array" ref="K359">_xlfn.LET(
    _xlpm.sum_month, SUM(T359:AE359),
    IF(_xlpm.sum_month = 0, "", _xlpm.sum_month &amp; "  eventos no ano")
)</f>
        <v>9  eventos no ano</v>
      </c>
      <c r="L359" s="9" t="s">
        <v>56</v>
      </c>
      <c r="M359" s="13" t="s">
        <v>57</v>
      </c>
      <c r="N359" s="5" t="s">
        <v>42</v>
      </c>
      <c r="O359" s="5" t="s">
        <v>43</v>
      </c>
      <c r="P359" s="10" t="s">
        <v>58</v>
      </c>
      <c r="Q359" s="10" t="s">
        <v>44</v>
      </c>
      <c r="R359" s="11" t="s">
        <v>45</v>
      </c>
      <c r="S359" s="11" t="s">
        <v>46</v>
      </c>
      <c r="T359" s="22"/>
      <c r="U359" s="22"/>
      <c r="V359" s="22"/>
      <c r="W359" s="152">
        <v>1</v>
      </c>
      <c r="X359" s="152">
        <v>1</v>
      </c>
      <c r="Y359" s="152">
        <v>1</v>
      </c>
      <c r="Z359" s="152">
        <v>1</v>
      </c>
      <c r="AA359" s="152">
        <v>1</v>
      </c>
      <c r="AB359" s="152">
        <v>1</v>
      </c>
      <c r="AC359" s="152">
        <v>1</v>
      </c>
      <c r="AD359" s="152">
        <v>1</v>
      </c>
      <c r="AE359" s="152">
        <v>1</v>
      </c>
      <c r="AG359" s="71"/>
      <c r="AH359" s="71"/>
      <c r="AI359" s="71"/>
      <c r="AJ359" s="82">
        <v>0</v>
      </c>
      <c r="AK359" s="71">
        <v>44</v>
      </c>
      <c r="AL359" s="71"/>
      <c r="AM359" s="71"/>
      <c r="AN359" s="71"/>
      <c r="AO359" s="71"/>
      <c r="AP359" s="71"/>
      <c r="AQ359" s="71"/>
      <c r="AR359" s="71"/>
      <c r="AS359" s="94">
        <f t="shared" ca="1" si="682"/>
        <v>2</v>
      </c>
      <c r="AT359" s="95">
        <f t="shared" si="683"/>
        <v>1.1499999999999999</v>
      </c>
      <c r="AU359" s="97">
        <f t="shared" si="684"/>
        <v>44</v>
      </c>
      <c r="AW359" s="51">
        <f t="shared" si="685"/>
        <v>0</v>
      </c>
      <c r="AX359" s="51">
        <f t="shared" si="686"/>
        <v>0</v>
      </c>
      <c r="AY359" s="51">
        <f t="shared" si="687"/>
        <v>0</v>
      </c>
      <c r="AZ359" s="51">
        <f t="shared" si="688"/>
        <v>0</v>
      </c>
      <c r="BA359" s="51">
        <f t="shared" si="689"/>
        <v>44</v>
      </c>
      <c r="BB359" s="51"/>
      <c r="BC359" s="51"/>
      <c r="BD359" s="51"/>
      <c r="BE359" s="51"/>
      <c r="BF359" s="51"/>
      <c r="BG359" s="51"/>
      <c r="BH359" s="51"/>
      <c r="BI359" s="65" cm="1">
        <f t="array" ref="BI359">IFERROR(INDEX(AW359:BH359,1,MATCH(2,1/(AW359:BH359&lt;&gt;""))),"")</f>
        <v>44</v>
      </c>
      <c r="BJ359" s="68" cm="1">
        <f t="array" ref="BJ359">IF(BM359 = "", "",IFERROR(INDEX(AW359:BH359,1,MATCH(2,1/(AW359:BH359&lt;&gt;""),1)-1),""))</f>
        <v>0</v>
      </c>
      <c r="BK359" s="58">
        <f>IF((IF(AW359&gt;=115%,115%,AW359) + IF(AX359&gt;=115%,115%,AX359) + IF(AY359&gt;=115%,115%,AY359) + (IF(AZ359&gt;=115%,115%,AZ359) + IF(BA359&gt;=115%,115%,BA359) + IF(BB359&gt;=115%,115%,BB359) + IF(BC359&gt;=115%,115%,BC359) + IF(BD359&gt;=115%,115%,BD359) + IF(BE359&gt;=115%,115%,BE359) + IF(BF359&gt;=115%,115%,BF359) + IF(BG359&gt;=115%,115%,BG359) + IF(BH359&gt;=115%,115%,BH359)))/_xlfn.XLOOKUP(F359,Apuração!A:A,Apuração!B:B)&gt;=1.15,1.15,((IF(AZ359&gt;=115%,115%,AZ359) + IF(AX359&gt;=115%,115%,AX359) + IF(AY359&gt;=115%,115%,AY359) + (IF(AW359&gt;=115%,115%,AW359) + IF(BA359&gt;=115%,115%,BA359) + IF(BB359&gt;=115%,115%,BB359) + IF(BC359&gt;=115%,115%,BC359) + IF(BD359&gt;=115%,115%,BD359) + IF(BE359&gt;=115%,115%,BE359) + IF(BF359&gt;=115%,115%,BF359) + IF(BG359&gt;=115%,115%,BG359) + IF(BH359&gt;=115%,115%,BH359)))/_xlfn.XLOOKUP(F359,Apuração!A:A,Apuração!B:B)))</f>
        <v>0.12777777777777777</v>
      </c>
      <c r="BL359" s="58" cm="1">
        <f t="array" aca="1" ref="BL359" ca="1">IF(SUM(IFERROR(IF(INDEX(AW359:INDEX(AW359:BH359, MATCH(2, 1/(AW359:BH359&lt;&gt;""), 1)-1), ROW(INDIRECT("1:" &amp; MATCH(2, 1/(AW359:BH359&lt;&gt;""), 1)-1))) &gt;= 115%, 115%, INDEX(AW359:INDEX(AW359:BH359, MATCH(2, 1/(AW359:BH359&lt;&gt;""), 1)-1), ROW(INDIRECT("1:" &amp; MATCH(2, 1/(AW359:BH359&lt;&gt;""), 1)-1)))), 0))/_xlfn.XLOOKUP(F359,Apuração!A:A,Apuração!B:B)&gt;=1.15,1.15,SUM(IFERROR(IF(INDEX(AW359:INDEX(AW359:BH359, MATCH(2, 1/(AW359:BH359&lt;&gt;""), 1)-1), ROW(INDIRECT("1:" &amp; MATCH(2, 1/(AW359:BH359&lt;&gt;""), 1)-1))) &gt;= 115%, 115%, INDEX(AW359:INDEX(AW359:BH359, MATCH(2, 1/(AW359:BH359&lt;&gt;""), 1)-1), ROW(INDIRECT("1:" &amp; MATCH(2, 1/(AW359:BH359&lt;&gt;""), 1)-1)))), 0))/_xlfn.XLOOKUP(F359,Apuração!A:A,Apuração!B:B))</f>
        <v>0</v>
      </c>
      <c r="BM359" s="55" cm="1">
        <f t="array" ref="BM359">IFERROR(
   INDEX($AW$1:$BH$1,
      _xlfn.AGGREGATE(14, 6, COLUMN($AW$1:$BH$1)/(AW359:BH359&lt;&gt;""), 2) - COLUMN($AW$1) + 1
   ),
"")</f>
        <v>46113</v>
      </c>
      <c r="BN359" s="55" cm="1">
        <f t="array" ref="BN359">IFERROR(INDEX($AW$1:$BH$1,1,MATCH(2,1/(AW359:BH359&lt;&gt;""))),"")</f>
        <v>46143</v>
      </c>
      <c r="BO359" s="53">
        <f ca="1">IFERROR(_xlfn.XLOOKUP(F359,Apuração!A:A,Apuração!C:C)/_xlfn.XLOOKUP(F359,Apuração!A:A,Apuração!B:B),0)</f>
        <v>0.22222222222222221</v>
      </c>
      <c r="BP359" s="53">
        <f ca="1">IFERROR(_xlfn.XLOOKUP(F359,Apuração!A:A,Apuração!D:D)/_xlfn.XLOOKUP(F359,Apuração!A:A,Apuração!B:B),0)</f>
        <v>0.1111111111111111</v>
      </c>
      <c r="BQ359" s="53">
        <f ca="1">IF(BK359&gt;=BO359,0,_xlfn.XLOOKUP(F359,Apuração!A:A,Apuração!B:B)*(BO359 + (1/_xlfn.XLOOKUP(F359,Apuração!A:A,Apuração!B:B)) - BK359))</f>
        <v>1.8499999999999999</v>
      </c>
      <c r="BR359" s="85">
        <f t="shared" ca="1" si="690"/>
        <v>1.8499999999999999</v>
      </c>
      <c r="BS359" s="53">
        <f ca="1">IFERROR((_xlfn.XLOOKUP(F359,Apuração!A:A,Apuração!C:C)+1)/_xlfn.XLOOKUP(F359,Apuração!A:A,Apuração!B:B),0)</f>
        <v>0.33333333333333331</v>
      </c>
    </row>
    <row r="360" spans="1:71" ht="25.95" hidden="1" customHeight="1" x14ac:dyDescent="0.3">
      <c r="A360" s="39" t="s">
        <v>33</v>
      </c>
      <c r="B360" s="4" t="s">
        <v>53</v>
      </c>
      <c r="C360" s="5" t="s">
        <v>97</v>
      </c>
      <c r="D360" s="5" t="s">
        <v>36</v>
      </c>
      <c r="E360" s="4" t="str" cm="1">
        <f t="array" ref="E360">_xlfn.IFS(
F360 = "A partir de Abril", "Aguardando Execução na Distribuidora",
A360 = "CAPACITAÇÃO", "Em execução no Corporativo",
TRUE, "Em Execução na Distribuidora"
)</f>
        <v>Em Execução na Distribuidora</v>
      </c>
      <c r="F360" s="4" t="str" cm="1">
        <f t="array" ref="F360">_xlfn.IFS(
AG360 &lt;&gt; "", "Jan-Dez/26",
AH360 &lt;&gt; "", "Fev-Dez/26",
AI360 &lt;&gt; "", "Mar-Dez/26", AJ360 &lt;&gt; "", "Abr-Dez/26",
TRUE, "A partir de Junho"
)</f>
        <v>Jan-Dez/26</v>
      </c>
      <c r="G360" s="4" t="s">
        <v>37</v>
      </c>
      <c r="H360" s="7" t="s">
        <v>54</v>
      </c>
      <c r="I360" s="8" t="s">
        <v>59</v>
      </c>
      <c r="J360" s="8" t="str" cm="1">
        <f t="array" aca="1" ref="J360" ca="1">_xlfn.LET(
  _xlpm.actual_value_month, INDEX(T360:AE360, MATCH(DATE(YEAR(TODAY()), MONTH(TODAY()), 1), $T$1:$AE$1, 0)),
  IF(_xlpm.actual_value_month &lt;&gt; "",_xlpm.actual_value_month &amp; " ações mensais", "")
)</f>
        <v/>
      </c>
      <c r="K360" s="12" t="str" cm="1">
        <f t="array" ref="K360">_xlfn.LET(
    _xlpm.sum_month, SUM(T360:AE360),
    IF(_xlpm.sum_month = 0, "", _xlpm.sum_month &amp; " pessoas impactadas no ano")
)</f>
        <v>2772 pessoas impactadas no ano</v>
      </c>
      <c r="L360" s="9" t="s">
        <v>59</v>
      </c>
      <c r="M360" s="13">
        <v>1</v>
      </c>
      <c r="N360" s="5" t="s">
        <v>51</v>
      </c>
      <c r="O360" s="5" t="s">
        <v>52</v>
      </c>
      <c r="P360" s="10" t="s">
        <v>44</v>
      </c>
      <c r="Q360" s="10" t="s">
        <v>44</v>
      </c>
      <c r="R360" s="11" t="s">
        <v>44</v>
      </c>
      <c r="S360" s="11" t="s">
        <v>44</v>
      </c>
      <c r="T360" s="22">
        <v>1056</v>
      </c>
      <c r="U360" s="22">
        <v>412</v>
      </c>
      <c r="V360" s="22">
        <v>1304</v>
      </c>
      <c r="W360" s="22"/>
      <c r="X360" s="22"/>
      <c r="Y360" s="22"/>
      <c r="Z360" s="22"/>
      <c r="AA360" s="22"/>
      <c r="AB360" s="22"/>
      <c r="AC360" s="22"/>
      <c r="AD360" s="22"/>
      <c r="AE360" s="22"/>
      <c r="AG360" s="71">
        <v>1056</v>
      </c>
      <c r="AH360" s="71">
        <v>412</v>
      </c>
      <c r="AI360" s="71">
        <v>1304</v>
      </c>
      <c r="AJ360" s="71">
        <v>14581</v>
      </c>
      <c r="AK360" s="71">
        <v>2648</v>
      </c>
      <c r="AL360" s="71"/>
      <c r="AM360" s="71"/>
      <c r="AN360" s="71"/>
      <c r="AO360" s="71"/>
      <c r="AP360" s="71"/>
      <c r="AQ360" s="71"/>
      <c r="AR360" s="71"/>
      <c r="AS360" s="94">
        <f t="shared" ca="1" si="651"/>
        <v>2772</v>
      </c>
      <c r="AT360" s="95">
        <f>SUM(AG360:AR360)</f>
        <v>20001</v>
      </c>
      <c r="AU360" s="97">
        <f t="shared" si="652"/>
        <v>20001</v>
      </c>
      <c r="AW360" s="83">
        <f>AG360</f>
        <v>1056</v>
      </c>
      <c r="AX360" s="83">
        <f t="shared" ref="AX360" si="691">AH360</f>
        <v>412</v>
      </c>
      <c r="AY360" s="83">
        <f t="shared" ref="AY360" si="692">AI360</f>
        <v>1304</v>
      </c>
      <c r="AZ360" s="83">
        <f t="shared" ref="AZ360:BA360" si="693">AJ360</f>
        <v>14581</v>
      </c>
      <c r="BA360" s="83">
        <f t="shared" si="693"/>
        <v>2648</v>
      </c>
      <c r="BB360" s="52"/>
      <c r="BC360" s="52"/>
      <c r="BD360" s="52"/>
      <c r="BE360" s="52"/>
      <c r="BF360" s="52"/>
      <c r="BG360" s="52"/>
      <c r="BH360" s="52"/>
      <c r="BI360" s="68" cm="1">
        <f t="array" ref="BI360">IFERROR(INDEX(AW360:BH360,1,MATCH(2,1/(AW360:BH360&lt;&gt;""))),"")</f>
        <v>2648</v>
      </c>
      <c r="BJ360" s="68" cm="1">
        <f t="array" ref="BJ360">IF(BM360 = "", "",IFERROR(INDEX(AW360:BH360,1,MATCH(2,1/(AW360:BH360&lt;&gt;""),1)-1),""))</f>
        <v>14581</v>
      </c>
      <c r="BK360" s="59">
        <f>SUM(AW360:BH360)</f>
        <v>20001</v>
      </c>
      <c r="BL360" s="59" cm="1">
        <f t="array" ref="BL360">IFERROR(SUM(AW360:INDEX(AW360:BH360, MATCH(2, 1/(AW360:BH360&lt;&gt;""), 1) - 1))/_xlfn.XLOOKUP(F360,Apuração!A:A,Apuração!B:B),0)</f>
        <v>1446.0833333333333</v>
      </c>
      <c r="BM360" s="55" cm="1">
        <f t="array" ref="BM360">IFERROR(
   INDEX($AW$1:$BH$1,
      _xlfn.AGGREGATE(14, 6, COLUMN($AW$1:$BH$1)/(AW360:BH360&lt;&gt;""), 2) - COLUMN($AW$1) + 1
   ),
"")</f>
        <v>46113</v>
      </c>
      <c r="BN360" s="55" cm="1">
        <f t="array" ref="BN360">IFERROR(INDEX($AW$1:$BH$1,1,MATCH(2,1/(AW360:BH360&lt;&gt;""))),"")</f>
        <v>46143</v>
      </c>
      <c r="BO360" s="53">
        <f ca="1">IFERROR(_xlfn.XLOOKUP(F360,Apuração!A:A,Apuração!C:C)/_xlfn.XLOOKUP(F360,Apuração!A:A,Apuração!B:B),0)</f>
        <v>0.41666666666666669</v>
      </c>
      <c r="BP360" s="53">
        <f ca="1">IFERROR(_xlfn.XLOOKUP(F360,Apuração!A:A,Apuração!D:D)/_xlfn.XLOOKUP(F360,Apuração!A:A,Apuração!B:B),0)</f>
        <v>0.33333333333333331</v>
      </c>
      <c r="BQ360" s="53">
        <f ca="1">IF(BK360&gt;=BO360,0,_xlfn.XLOOKUP(F360,Apuração!A:A,Apuração!B:B)*(BO360 + (1/_xlfn.XLOOKUP(F360,Apuração!A:A,Apuração!B:B)) - BK360))</f>
        <v>0</v>
      </c>
      <c r="BR360" s="85">
        <f t="shared" ca="1" si="644"/>
        <v>0</v>
      </c>
      <c r="BS360" s="53">
        <f ca="1">IFERROR((_xlfn.XLOOKUP(F360,Apuração!A:A,Apuração!C:C)+1)/_xlfn.XLOOKUP(F360,Apuração!A:A,Apuração!B:B),0)</f>
        <v>0.5</v>
      </c>
    </row>
    <row r="361" spans="1:71" ht="25.95" hidden="1" customHeight="1" x14ac:dyDescent="0.3">
      <c r="A361" s="39" t="s">
        <v>33</v>
      </c>
      <c r="B361" s="4" t="s">
        <v>53</v>
      </c>
      <c r="C361" s="5" t="s">
        <v>97</v>
      </c>
      <c r="D361" s="5" t="s">
        <v>98</v>
      </c>
      <c r="E361" s="4" t="str" cm="1">
        <f t="array" ref="E361">_xlfn.IFS(
F361 = "A partir de Abril", "Aguardando Execução na Distribuidora",
A361 = "CAPACITAÇÃO", "Em execução no Corporativo",
TRUE, "Em Execução na Distribuidora"
)</f>
        <v>Em Execução na Distribuidora</v>
      </c>
      <c r="F361" s="4" t="str" cm="1">
        <f t="array" ref="F361">_xlfn.IFS(
AG361 &lt;&gt; "", "Jan-Dez/26",
AH361 &lt;&gt; "", "Fev-Dez/26",
AI361 &lt;&gt; "", "Mar-Dez/26", AJ361 &lt;&gt; "", "Abr-Dez/26",
TRUE, "A partir de Junho"
)</f>
        <v>Abr-Dez/26</v>
      </c>
      <c r="G361" s="4" t="s">
        <v>37</v>
      </c>
      <c r="H361" s="7" t="s">
        <v>54</v>
      </c>
      <c r="I361" s="8" t="s">
        <v>59</v>
      </c>
      <c r="J361" s="8" t="str" cm="1">
        <f t="array" aca="1" ref="J361" ca="1">_xlfn.LET(
  _xlpm.actual_value_month, INDEX(T361:AE361, MATCH(DATE(YEAR(TODAY()), MONTH(TODAY()), 1), $T$1:$AE$1, 0)),
  IF(_xlpm.actual_value_month &lt;&gt; "",_xlpm.actual_value_month &amp; " ações mensais", "")
)</f>
        <v/>
      </c>
      <c r="K361" s="12" t="str" cm="1">
        <f t="array" ref="K361">_xlfn.LET(
    _xlpm.sum_month, SUM(T361:AE361),
    IF(_xlpm.sum_month = 0, "", _xlpm.sum_month &amp; " pessoas impactadas no ano")
)</f>
        <v/>
      </c>
      <c r="L361" s="9" t="s">
        <v>59</v>
      </c>
      <c r="M361" s="13">
        <v>1</v>
      </c>
      <c r="N361" s="5" t="s">
        <v>51</v>
      </c>
      <c r="O361" s="5" t="s">
        <v>52</v>
      </c>
      <c r="P361" s="10" t="s">
        <v>44</v>
      </c>
      <c r="Q361" s="10" t="s">
        <v>44</v>
      </c>
      <c r="R361" s="11" t="s">
        <v>44</v>
      </c>
      <c r="S361" s="11" t="s">
        <v>44</v>
      </c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G361" s="71"/>
      <c r="AH361" s="71"/>
      <c r="AI361" s="71"/>
      <c r="AJ361" s="71">
        <v>7500</v>
      </c>
      <c r="AK361" s="71">
        <v>265</v>
      </c>
      <c r="AL361" s="71"/>
      <c r="AM361" s="71"/>
      <c r="AN361" s="71"/>
      <c r="AO361" s="71"/>
      <c r="AP361" s="71"/>
      <c r="AQ361" s="71"/>
      <c r="AR361" s="71"/>
      <c r="AS361" s="94">
        <f t="shared" ref="AS361:AS370" ca="1" si="694">IF(MONTH(TODAY())=3,SUM(T361:U361),IF(MONTH(TODAY())=4,SUM(T361:V361),IF(MONTH(TODAY())=5,SUM(T361:W361),IF(MONTH(TODAY())=6,SUM(T361:X361),IF(MONTH(TODAY())=7,SUM(T361:Y361),IF(MONTH(TODAY())=8,SUM(T361:Z361),IF(MONTH(TODAY())=9,SUM(T361:AA361),IF(MONTH(TODAY())=10,SUM(T361:AB361),IF(MONTH(TODAY())=11,SUM(T361:AC361),IF(MONTH(TODAY())=12,SUM(T361:AD361),IF(MONTH(TODAY())=1,SUM(T361:AE361),T361)))))))))))</f>
        <v>0</v>
      </c>
      <c r="AT361" s="95">
        <f t="shared" ref="AT361:AT370" si="695">SUM(AG361:AR361)</f>
        <v>7765</v>
      </c>
      <c r="AU361" s="97">
        <f t="shared" ref="AU361:AU370" si="696">SUM(AG361:AR361)</f>
        <v>7765</v>
      </c>
      <c r="AW361" s="83">
        <f t="shared" ref="AW361:AW370" si="697">AG361</f>
        <v>0</v>
      </c>
      <c r="AX361" s="83">
        <f t="shared" ref="AX361:AX370" si="698">AH361</f>
        <v>0</v>
      </c>
      <c r="AY361" s="83">
        <f t="shared" ref="AY361:AY370" si="699">AI361</f>
        <v>0</v>
      </c>
      <c r="AZ361" s="83">
        <f t="shared" ref="AZ361:BA370" si="700">AJ361</f>
        <v>7500</v>
      </c>
      <c r="BA361" s="83">
        <f t="shared" si="700"/>
        <v>265</v>
      </c>
      <c r="BB361" s="52"/>
      <c r="BC361" s="52"/>
      <c r="BD361" s="52"/>
      <c r="BE361" s="52"/>
      <c r="BF361" s="52"/>
      <c r="BG361" s="52"/>
      <c r="BH361" s="52"/>
      <c r="BI361" s="68" cm="1">
        <f t="array" ref="BI361">IFERROR(INDEX(AW361:BH361,1,MATCH(2,1/(AW361:BH361&lt;&gt;""))),"")</f>
        <v>265</v>
      </c>
      <c r="BJ361" s="68" cm="1">
        <f t="array" ref="BJ361">IF(BM361 = "", "",IFERROR(INDEX(AW361:BH361,1,MATCH(2,1/(AW361:BH361&lt;&gt;""),1)-1),""))</f>
        <v>7500</v>
      </c>
      <c r="BK361" s="59">
        <f t="shared" ref="BK361:BK370" si="701">SUM(AW361:BH361)</f>
        <v>7765</v>
      </c>
      <c r="BL361" s="59" cm="1">
        <f t="array" ref="BL361">IFERROR(SUM(AW361:INDEX(AW361:BH361, MATCH(2, 1/(AW361:BH361&lt;&gt;""), 1) - 1))/_xlfn.XLOOKUP(F361,Apuração!A:A,Apuração!B:B),0)</f>
        <v>833.33333333333337</v>
      </c>
      <c r="BM361" s="55" cm="1">
        <f t="array" ref="BM361">IFERROR(
   INDEX($AW$1:$BH$1,
      _xlfn.AGGREGATE(14, 6, COLUMN($AW$1:$BH$1)/(AW361:BH361&lt;&gt;""), 2) - COLUMN($AW$1) + 1
   ),
"")</f>
        <v>46113</v>
      </c>
      <c r="BN361" s="55" cm="1">
        <f t="array" ref="BN361">IFERROR(INDEX($AW$1:$BH$1,1,MATCH(2,1/(AW361:BH361&lt;&gt;""))),"")</f>
        <v>46143</v>
      </c>
      <c r="BO361" s="53">
        <f ca="1">IFERROR(_xlfn.XLOOKUP(F361,Apuração!A:A,Apuração!C:C)/_xlfn.XLOOKUP(F361,Apuração!A:A,Apuração!B:B),0)</f>
        <v>0.22222222222222221</v>
      </c>
      <c r="BP361" s="53">
        <f ca="1">IFERROR(_xlfn.XLOOKUP(F361,Apuração!A:A,Apuração!D:D)/_xlfn.XLOOKUP(F361,Apuração!A:A,Apuração!B:B),0)</f>
        <v>0.1111111111111111</v>
      </c>
      <c r="BQ361" s="53">
        <f ca="1">IF(BK361&gt;=BO361,0,_xlfn.XLOOKUP(F361,Apuração!A:A,Apuração!B:B)*(BO361 + (1/_xlfn.XLOOKUP(F361,Apuração!A:A,Apuração!B:B)) - BK361))</f>
        <v>0</v>
      </c>
      <c r="BR361" s="85">
        <f t="shared" ref="BR361:BR370" ca="1" si="702">IF(BQ361=0,0,BQ361*Z361)</f>
        <v>0</v>
      </c>
      <c r="BS361" s="53">
        <f ca="1">IFERROR((_xlfn.XLOOKUP(F361,Apuração!A:A,Apuração!C:C)+1)/_xlfn.XLOOKUP(F361,Apuração!A:A,Apuração!B:B),0)</f>
        <v>0.33333333333333331</v>
      </c>
    </row>
    <row r="362" spans="1:71" ht="25.95" hidden="1" customHeight="1" x14ac:dyDescent="0.3">
      <c r="A362" s="39" t="s">
        <v>33</v>
      </c>
      <c r="B362" s="4" t="s">
        <v>53</v>
      </c>
      <c r="C362" s="5" t="s">
        <v>97</v>
      </c>
      <c r="D362" s="5" t="s">
        <v>99</v>
      </c>
      <c r="E362" s="4" t="str" cm="1">
        <f t="array" ref="E362">_xlfn.IFS(
F362 = "A partir de Abril", "Aguardando Execução na Distribuidora",
A362 = "CAPACITAÇÃO", "Em execução no Corporativo",
TRUE, "Em Execução na Distribuidora"
)</f>
        <v>Em Execução na Distribuidora</v>
      </c>
      <c r="F362" s="4" t="str" cm="1">
        <f t="array" ref="F362">_xlfn.IFS(
AG362 &lt;&gt; "", "Jan-Dez/26",
AH362 &lt;&gt; "", "Fev-Dez/26",
AI362 &lt;&gt; "", "Mar-Dez/26", AJ362 &lt;&gt; "", "Abr-Dez/26",
TRUE, "A partir de Junho"
)</f>
        <v>Abr-Dez/26</v>
      </c>
      <c r="G362" s="4" t="s">
        <v>37</v>
      </c>
      <c r="H362" s="7" t="s">
        <v>54</v>
      </c>
      <c r="I362" s="8" t="s">
        <v>59</v>
      </c>
      <c r="J362" s="8" t="str" cm="1">
        <f t="array" aca="1" ref="J362" ca="1">_xlfn.LET(
  _xlpm.actual_value_month, INDEX(T362:AE362, MATCH(DATE(YEAR(TODAY()), MONTH(TODAY()), 1), $T$1:$AE$1, 0)),
  IF(_xlpm.actual_value_month &lt;&gt; "",_xlpm.actual_value_month &amp; " ações mensais", "")
)</f>
        <v/>
      </c>
      <c r="K362" s="12" t="str" cm="1">
        <f t="array" ref="K362">_xlfn.LET(
    _xlpm.sum_month, SUM(T362:AE362),
    IF(_xlpm.sum_month = 0, "", _xlpm.sum_month &amp; " pessoas impactadas no ano")
)</f>
        <v/>
      </c>
      <c r="L362" s="9" t="s">
        <v>59</v>
      </c>
      <c r="M362" s="13">
        <v>1</v>
      </c>
      <c r="N362" s="5" t="s">
        <v>51</v>
      </c>
      <c r="O362" s="5" t="s">
        <v>52</v>
      </c>
      <c r="P362" s="10" t="s">
        <v>44</v>
      </c>
      <c r="Q362" s="10" t="s">
        <v>44</v>
      </c>
      <c r="R362" s="11" t="s">
        <v>44</v>
      </c>
      <c r="S362" s="11" t="s">
        <v>44</v>
      </c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G362" s="71"/>
      <c r="AH362" s="71"/>
      <c r="AI362" s="71"/>
      <c r="AJ362" s="82">
        <v>4</v>
      </c>
      <c r="AK362" s="71">
        <v>200</v>
      </c>
      <c r="AL362" s="71"/>
      <c r="AM362" s="71"/>
      <c r="AN362" s="71"/>
      <c r="AO362" s="71"/>
      <c r="AP362" s="71"/>
      <c r="AQ362" s="71"/>
      <c r="AR362" s="71"/>
      <c r="AS362" s="94">
        <f t="shared" ca="1" si="694"/>
        <v>0</v>
      </c>
      <c r="AT362" s="95">
        <f t="shared" si="695"/>
        <v>204</v>
      </c>
      <c r="AU362" s="97">
        <f t="shared" si="696"/>
        <v>204</v>
      </c>
      <c r="AW362" s="83">
        <f t="shared" si="697"/>
        <v>0</v>
      </c>
      <c r="AX362" s="83">
        <f t="shared" si="698"/>
        <v>0</v>
      </c>
      <c r="AY362" s="83">
        <f t="shared" si="699"/>
        <v>0</v>
      </c>
      <c r="AZ362" s="83">
        <f t="shared" si="700"/>
        <v>4</v>
      </c>
      <c r="BA362" s="83">
        <f t="shared" si="700"/>
        <v>200</v>
      </c>
      <c r="BB362" s="52"/>
      <c r="BC362" s="52"/>
      <c r="BD362" s="52"/>
      <c r="BE362" s="52"/>
      <c r="BF362" s="52"/>
      <c r="BG362" s="52"/>
      <c r="BH362" s="52"/>
      <c r="BI362" s="68" cm="1">
        <f t="array" ref="BI362">IFERROR(INDEX(AW362:BH362,1,MATCH(2,1/(AW362:BH362&lt;&gt;""))),"")</f>
        <v>200</v>
      </c>
      <c r="BJ362" s="68" cm="1">
        <f t="array" ref="BJ362">IF(BM362 = "", "",IFERROR(INDEX(AW362:BH362,1,MATCH(2,1/(AW362:BH362&lt;&gt;""),1)-1),""))</f>
        <v>4</v>
      </c>
      <c r="BK362" s="59">
        <f t="shared" si="701"/>
        <v>204</v>
      </c>
      <c r="BL362" s="59" cm="1">
        <f t="array" ref="BL362">IFERROR(SUM(AW362:INDEX(AW362:BH362, MATCH(2, 1/(AW362:BH362&lt;&gt;""), 1) - 1))/_xlfn.XLOOKUP(F362,Apuração!A:A,Apuração!B:B),0)</f>
        <v>0.44444444444444442</v>
      </c>
      <c r="BM362" s="55" cm="1">
        <f t="array" ref="BM362">IFERROR(
   INDEX($AW$1:$BH$1,
      _xlfn.AGGREGATE(14, 6, COLUMN($AW$1:$BH$1)/(AW362:BH362&lt;&gt;""), 2) - COLUMN($AW$1) + 1
   ),
"")</f>
        <v>46113</v>
      </c>
      <c r="BN362" s="55" cm="1">
        <f t="array" ref="BN362">IFERROR(INDEX($AW$1:$BH$1,1,MATCH(2,1/(AW362:BH362&lt;&gt;""))),"")</f>
        <v>46143</v>
      </c>
      <c r="BO362" s="53">
        <f ca="1">IFERROR(_xlfn.XLOOKUP(F362,Apuração!A:A,Apuração!C:C)/_xlfn.XLOOKUP(F362,Apuração!A:A,Apuração!B:B),0)</f>
        <v>0.22222222222222221</v>
      </c>
      <c r="BP362" s="53">
        <f ca="1">IFERROR(_xlfn.XLOOKUP(F362,Apuração!A:A,Apuração!D:D)/_xlfn.XLOOKUP(F362,Apuração!A:A,Apuração!B:B),0)</f>
        <v>0.1111111111111111</v>
      </c>
      <c r="BQ362" s="53">
        <f ca="1">IF(BK362&gt;=BO362,0,_xlfn.XLOOKUP(F362,Apuração!A:A,Apuração!B:B)*(BO362 + (1/_xlfn.XLOOKUP(F362,Apuração!A:A,Apuração!B:B)) - BK362))</f>
        <v>0</v>
      </c>
      <c r="BR362" s="85">
        <f t="shared" ca="1" si="702"/>
        <v>0</v>
      </c>
      <c r="BS362" s="53">
        <f ca="1">IFERROR((_xlfn.XLOOKUP(F362,Apuração!A:A,Apuração!C:C)+1)/_xlfn.XLOOKUP(F362,Apuração!A:A,Apuração!B:B),0)</f>
        <v>0.33333333333333331</v>
      </c>
    </row>
    <row r="363" spans="1:71" ht="25.95" hidden="1" customHeight="1" x14ac:dyDescent="0.3">
      <c r="A363" s="39" t="s">
        <v>33</v>
      </c>
      <c r="B363" s="4" t="s">
        <v>53</v>
      </c>
      <c r="C363" s="5" t="s">
        <v>97</v>
      </c>
      <c r="D363" s="5" t="s">
        <v>100</v>
      </c>
      <c r="E363" s="4" t="str" cm="1">
        <f t="array" ref="E363">_xlfn.IFS(
F363 = "A partir de Abril", "Aguardando Execução na Distribuidora",
A363 = "CAPACITAÇÃO", "Em execução no Corporativo",
TRUE, "Em Execução na Distribuidora"
)</f>
        <v>Em Execução na Distribuidora</v>
      </c>
      <c r="F363" s="4" t="str" cm="1">
        <f t="array" ref="F363">_xlfn.IFS(
AG363 &lt;&gt; "", "Jan-Dez/26",
AH363 &lt;&gt; "", "Fev-Dez/26",
AI363 &lt;&gt; "", "Mar-Dez/26", AJ363 &lt;&gt; "", "Abr-Dez/26",
TRUE, "A partir de Junho"
)</f>
        <v>Abr-Dez/26</v>
      </c>
      <c r="G363" s="4" t="s">
        <v>37</v>
      </c>
      <c r="H363" s="7" t="s">
        <v>54</v>
      </c>
      <c r="I363" s="8" t="s">
        <v>59</v>
      </c>
      <c r="J363" s="8" t="str" cm="1">
        <f t="array" aca="1" ref="J363" ca="1">_xlfn.LET(
  _xlpm.actual_value_month, INDEX(T363:AE363, MATCH(DATE(YEAR(TODAY()), MONTH(TODAY()), 1), $T$1:$AE$1, 0)),
  IF(_xlpm.actual_value_month &lt;&gt; "",_xlpm.actual_value_month &amp; " ações mensais", "")
)</f>
        <v/>
      </c>
      <c r="K363" s="12" t="str" cm="1">
        <f t="array" ref="K363">_xlfn.LET(
    _xlpm.sum_month, SUM(T363:AE363),
    IF(_xlpm.sum_month = 0, "", _xlpm.sum_month &amp; " pessoas impactadas no ano")
)</f>
        <v/>
      </c>
      <c r="L363" s="9" t="s">
        <v>59</v>
      </c>
      <c r="M363" s="13">
        <v>1</v>
      </c>
      <c r="N363" s="5" t="s">
        <v>51</v>
      </c>
      <c r="O363" s="5" t="s">
        <v>52</v>
      </c>
      <c r="P363" s="10" t="s">
        <v>44</v>
      </c>
      <c r="Q363" s="10" t="s">
        <v>44</v>
      </c>
      <c r="R363" s="11" t="s">
        <v>44</v>
      </c>
      <c r="S363" s="11" t="s">
        <v>44</v>
      </c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G363" s="71"/>
      <c r="AH363" s="71"/>
      <c r="AI363" s="71"/>
      <c r="AJ363" s="82">
        <v>0</v>
      </c>
      <c r="AK363" s="71">
        <v>365</v>
      </c>
      <c r="AL363" s="71"/>
      <c r="AM363" s="71"/>
      <c r="AN363" s="71"/>
      <c r="AO363" s="71"/>
      <c r="AP363" s="71"/>
      <c r="AQ363" s="71"/>
      <c r="AR363" s="71"/>
      <c r="AS363" s="94">
        <f t="shared" ca="1" si="694"/>
        <v>0</v>
      </c>
      <c r="AT363" s="95">
        <f t="shared" si="695"/>
        <v>365</v>
      </c>
      <c r="AU363" s="97">
        <f t="shared" si="696"/>
        <v>365</v>
      </c>
      <c r="AW363" s="83">
        <f t="shared" si="697"/>
        <v>0</v>
      </c>
      <c r="AX363" s="83">
        <f t="shared" si="698"/>
        <v>0</v>
      </c>
      <c r="AY363" s="83">
        <f t="shared" si="699"/>
        <v>0</v>
      </c>
      <c r="AZ363" s="83">
        <f t="shared" si="700"/>
        <v>0</v>
      </c>
      <c r="BA363" s="83">
        <f t="shared" si="700"/>
        <v>365</v>
      </c>
      <c r="BB363" s="52"/>
      <c r="BC363" s="52"/>
      <c r="BD363" s="52"/>
      <c r="BE363" s="52"/>
      <c r="BF363" s="52"/>
      <c r="BG363" s="52"/>
      <c r="BH363" s="52"/>
      <c r="BI363" s="68" cm="1">
        <f t="array" ref="BI363">IFERROR(INDEX(AW363:BH363,1,MATCH(2,1/(AW363:BH363&lt;&gt;""))),"")</f>
        <v>365</v>
      </c>
      <c r="BJ363" s="68" cm="1">
        <f t="array" ref="BJ363">IF(BM363 = "", "",IFERROR(INDEX(AW363:BH363,1,MATCH(2,1/(AW363:BH363&lt;&gt;""),1)-1),""))</f>
        <v>0</v>
      </c>
      <c r="BK363" s="59">
        <f t="shared" si="701"/>
        <v>365</v>
      </c>
      <c r="BL363" s="59" cm="1">
        <f t="array" ref="BL363">IFERROR(SUM(AW363:INDEX(AW363:BH363, MATCH(2, 1/(AW363:BH363&lt;&gt;""), 1) - 1))/_xlfn.XLOOKUP(F363,Apuração!A:A,Apuração!B:B),0)</f>
        <v>0</v>
      </c>
      <c r="BM363" s="55" cm="1">
        <f t="array" ref="BM363">IFERROR(
   INDEX($AW$1:$BH$1,
      _xlfn.AGGREGATE(14, 6, COLUMN($AW$1:$BH$1)/(AW363:BH363&lt;&gt;""), 2) - COLUMN($AW$1) + 1
   ),
"")</f>
        <v>46113</v>
      </c>
      <c r="BN363" s="55" cm="1">
        <f t="array" ref="BN363">IFERROR(INDEX($AW$1:$BH$1,1,MATCH(2,1/(AW363:BH363&lt;&gt;""))),"")</f>
        <v>46143</v>
      </c>
      <c r="BO363" s="53">
        <f ca="1">IFERROR(_xlfn.XLOOKUP(F363,Apuração!A:A,Apuração!C:C)/_xlfn.XLOOKUP(F363,Apuração!A:A,Apuração!B:B),0)</f>
        <v>0.22222222222222221</v>
      </c>
      <c r="BP363" s="53">
        <f ca="1">IFERROR(_xlfn.XLOOKUP(F363,Apuração!A:A,Apuração!D:D)/_xlfn.XLOOKUP(F363,Apuração!A:A,Apuração!B:B),0)</f>
        <v>0.1111111111111111</v>
      </c>
      <c r="BQ363" s="53">
        <f ca="1">IF(BK363&gt;=BO363,0,_xlfn.XLOOKUP(F363,Apuração!A:A,Apuração!B:B)*(BO363 + (1/_xlfn.XLOOKUP(F363,Apuração!A:A,Apuração!B:B)) - BK363))</f>
        <v>0</v>
      </c>
      <c r="BR363" s="85">
        <f t="shared" ca="1" si="702"/>
        <v>0</v>
      </c>
      <c r="BS363" s="53">
        <f ca="1">IFERROR((_xlfn.XLOOKUP(F363,Apuração!A:A,Apuração!C:C)+1)/_xlfn.XLOOKUP(F363,Apuração!A:A,Apuração!B:B),0)</f>
        <v>0.33333333333333331</v>
      </c>
    </row>
    <row r="364" spans="1:71" ht="25.95" hidden="1" customHeight="1" x14ac:dyDescent="0.3">
      <c r="A364" s="39" t="s">
        <v>33</v>
      </c>
      <c r="B364" s="4" t="s">
        <v>53</v>
      </c>
      <c r="C364" s="5" t="s">
        <v>97</v>
      </c>
      <c r="D364" s="5" t="s">
        <v>101</v>
      </c>
      <c r="E364" s="4" t="str" cm="1">
        <f t="array" ref="E364">_xlfn.IFS(
F364 = "A partir de Abril", "Aguardando Execução na Distribuidora",
A364 = "CAPACITAÇÃO", "Em execução no Corporativo",
TRUE, "Em Execução na Distribuidora"
)</f>
        <v>Em Execução na Distribuidora</v>
      </c>
      <c r="F364" s="4" t="str" cm="1">
        <f t="array" ref="F364">_xlfn.IFS(
AG364 &lt;&gt; "", "Jan-Dez/26",
AH364 &lt;&gt; "", "Fev-Dez/26",
AI364 &lt;&gt; "", "Mar-Dez/26", AJ364 &lt;&gt; "", "Abr-Dez/26",
TRUE, "A partir de Junho"
)</f>
        <v>Abr-Dez/26</v>
      </c>
      <c r="G364" s="4" t="s">
        <v>37</v>
      </c>
      <c r="H364" s="7" t="s">
        <v>54</v>
      </c>
      <c r="I364" s="8" t="s">
        <v>59</v>
      </c>
      <c r="J364" s="8" t="str" cm="1">
        <f t="array" aca="1" ref="J364" ca="1">_xlfn.LET(
  _xlpm.actual_value_month, INDEX(T364:AE364, MATCH(DATE(YEAR(TODAY()), MONTH(TODAY()), 1), $T$1:$AE$1, 0)),
  IF(_xlpm.actual_value_month &lt;&gt; "",_xlpm.actual_value_month &amp; " ações mensais", "")
)</f>
        <v/>
      </c>
      <c r="K364" s="12" t="str" cm="1">
        <f t="array" ref="K364">_xlfn.LET(
    _xlpm.sum_month, SUM(T364:AE364),
    IF(_xlpm.sum_month = 0, "", _xlpm.sum_month &amp; " pessoas impactadas no ano")
)</f>
        <v/>
      </c>
      <c r="L364" s="9" t="s">
        <v>59</v>
      </c>
      <c r="M364" s="13">
        <v>1</v>
      </c>
      <c r="N364" s="5" t="s">
        <v>51</v>
      </c>
      <c r="O364" s="5" t="s">
        <v>52</v>
      </c>
      <c r="P364" s="10" t="s">
        <v>44</v>
      </c>
      <c r="Q364" s="10" t="s">
        <v>44</v>
      </c>
      <c r="R364" s="11" t="s">
        <v>44</v>
      </c>
      <c r="S364" s="11" t="s">
        <v>44</v>
      </c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G364" s="71"/>
      <c r="AH364" s="71"/>
      <c r="AI364" s="71"/>
      <c r="AJ364" s="71">
        <v>6879</v>
      </c>
      <c r="AK364" s="71">
        <v>235</v>
      </c>
      <c r="AL364" s="71"/>
      <c r="AM364" s="71"/>
      <c r="AN364" s="71"/>
      <c r="AO364" s="71"/>
      <c r="AP364" s="71"/>
      <c r="AQ364" s="71"/>
      <c r="AR364" s="71"/>
      <c r="AS364" s="94">
        <f t="shared" ca="1" si="694"/>
        <v>0</v>
      </c>
      <c r="AT364" s="95">
        <f t="shared" si="695"/>
        <v>7114</v>
      </c>
      <c r="AU364" s="97">
        <f t="shared" si="696"/>
        <v>7114</v>
      </c>
      <c r="AW364" s="83">
        <f t="shared" si="697"/>
        <v>0</v>
      </c>
      <c r="AX364" s="83">
        <f t="shared" si="698"/>
        <v>0</v>
      </c>
      <c r="AY364" s="83">
        <f t="shared" si="699"/>
        <v>0</v>
      </c>
      <c r="AZ364" s="83">
        <f t="shared" si="700"/>
        <v>6879</v>
      </c>
      <c r="BA364" s="83">
        <f t="shared" si="700"/>
        <v>235</v>
      </c>
      <c r="BB364" s="52"/>
      <c r="BC364" s="52"/>
      <c r="BD364" s="52"/>
      <c r="BE364" s="52"/>
      <c r="BF364" s="52"/>
      <c r="BG364" s="52"/>
      <c r="BH364" s="52"/>
      <c r="BI364" s="68" cm="1">
        <f t="array" ref="BI364">IFERROR(INDEX(AW364:BH364,1,MATCH(2,1/(AW364:BH364&lt;&gt;""))),"")</f>
        <v>235</v>
      </c>
      <c r="BJ364" s="68" cm="1">
        <f t="array" ref="BJ364">IF(BM364 = "", "",IFERROR(INDEX(AW364:BH364,1,MATCH(2,1/(AW364:BH364&lt;&gt;""),1)-1),""))</f>
        <v>6879</v>
      </c>
      <c r="BK364" s="59">
        <f t="shared" si="701"/>
        <v>7114</v>
      </c>
      <c r="BL364" s="59" cm="1">
        <f t="array" ref="BL364">IFERROR(SUM(AW364:INDEX(AW364:BH364, MATCH(2, 1/(AW364:BH364&lt;&gt;""), 1) - 1))/_xlfn.XLOOKUP(F364,Apuração!A:A,Apuração!B:B),0)</f>
        <v>764.33333333333337</v>
      </c>
      <c r="BM364" s="55" cm="1">
        <f t="array" ref="BM364">IFERROR(
   INDEX($AW$1:$BH$1,
      _xlfn.AGGREGATE(14, 6, COLUMN($AW$1:$BH$1)/(AW364:BH364&lt;&gt;""), 2) - COLUMN($AW$1) + 1
   ),
"")</f>
        <v>46113</v>
      </c>
      <c r="BN364" s="55" cm="1">
        <f t="array" ref="BN364">IFERROR(INDEX($AW$1:$BH$1,1,MATCH(2,1/(AW364:BH364&lt;&gt;""))),"")</f>
        <v>46143</v>
      </c>
      <c r="BO364" s="53">
        <f ca="1">IFERROR(_xlfn.XLOOKUP(F364,Apuração!A:A,Apuração!C:C)/_xlfn.XLOOKUP(F364,Apuração!A:A,Apuração!B:B),0)</f>
        <v>0.22222222222222221</v>
      </c>
      <c r="BP364" s="53">
        <f ca="1">IFERROR(_xlfn.XLOOKUP(F364,Apuração!A:A,Apuração!D:D)/_xlfn.XLOOKUP(F364,Apuração!A:A,Apuração!B:B),0)</f>
        <v>0.1111111111111111</v>
      </c>
      <c r="BQ364" s="53">
        <f ca="1">IF(BK364&gt;=BO364,0,_xlfn.XLOOKUP(F364,Apuração!A:A,Apuração!B:B)*(BO364 + (1/_xlfn.XLOOKUP(F364,Apuração!A:A,Apuração!B:B)) - BK364))</f>
        <v>0</v>
      </c>
      <c r="BR364" s="85">
        <f t="shared" ca="1" si="702"/>
        <v>0</v>
      </c>
      <c r="BS364" s="53">
        <f ca="1">IFERROR((_xlfn.XLOOKUP(F364,Apuração!A:A,Apuração!C:C)+1)/_xlfn.XLOOKUP(F364,Apuração!A:A,Apuração!B:B),0)</f>
        <v>0.33333333333333331</v>
      </c>
    </row>
    <row r="365" spans="1:71" ht="25.95" hidden="1" customHeight="1" x14ac:dyDescent="0.3">
      <c r="A365" s="39" t="s">
        <v>33</v>
      </c>
      <c r="B365" s="4" t="s">
        <v>53</v>
      </c>
      <c r="C365" s="5" t="s">
        <v>97</v>
      </c>
      <c r="D365" s="5" t="s">
        <v>102</v>
      </c>
      <c r="E365" s="4" t="str" cm="1">
        <f t="array" ref="E365">_xlfn.IFS(
F365 = "A partir de Abril", "Aguardando Execução na Distribuidora",
A365 = "CAPACITAÇÃO", "Em execução no Corporativo",
TRUE, "Em Execução na Distribuidora"
)</f>
        <v>Em Execução na Distribuidora</v>
      </c>
      <c r="F365" s="4" t="str" cm="1">
        <f t="array" ref="F365">_xlfn.IFS(
AG365 &lt;&gt; "", "Jan-Dez/26",
AH365 &lt;&gt; "", "Fev-Dez/26",
AI365 &lt;&gt; "", "Mar-Dez/26", AJ365 &lt;&gt; "", "Abr-Dez/26",
TRUE, "A partir de Junho"
)</f>
        <v>Abr-Dez/26</v>
      </c>
      <c r="G365" s="4" t="s">
        <v>37</v>
      </c>
      <c r="H365" s="7" t="s">
        <v>54</v>
      </c>
      <c r="I365" s="8" t="s">
        <v>59</v>
      </c>
      <c r="J365" s="8" t="str" cm="1">
        <f t="array" aca="1" ref="J365" ca="1">_xlfn.LET(
  _xlpm.actual_value_month, INDEX(T365:AE365, MATCH(DATE(YEAR(TODAY()), MONTH(TODAY()), 1), $T$1:$AE$1, 0)),
  IF(_xlpm.actual_value_month &lt;&gt; "",_xlpm.actual_value_month &amp; " ações mensais", "")
)</f>
        <v/>
      </c>
      <c r="K365" s="12" t="str" cm="1">
        <f t="array" ref="K365">_xlfn.LET(
    _xlpm.sum_month, SUM(T365:AE365),
    IF(_xlpm.sum_month = 0, "", _xlpm.sum_month &amp; " pessoas impactadas no ano")
)</f>
        <v/>
      </c>
      <c r="L365" s="9" t="s">
        <v>59</v>
      </c>
      <c r="M365" s="13">
        <v>1</v>
      </c>
      <c r="N365" s="5" t="s">
        <v>51</v>
      </c>
      <c r="O365" s="5" t="s">
        <v>52</v>
      </c>
      <c r="P365" s="10" t="s">
        <v>44</v>
      </c>
      <c r="Q365" s="10" t="s">
        <v>44</v>
      </c>
      <c r="R365" s="11" t="s">
        <v>44</v>
      </c>
      <c r="S365" s="11" t="s">
        <v>44</v>
      </c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G365" s="71"/>
      <c r="AH365" s="71"/>
      <c r="AI365" s="71"/>
      <c r="AJ365" s="82">
        <v>198</v>
      </c>
      <c r="AK365" s="71">
        <v>358</v>
      </c>
      <c r="AL365" s="71"/>
      <c r="AM365" s="71"/>
      <c r="AN365" s="71"/>
      <c r="AO365" s="71"/>
      <c r="AP365" s="71"/>
      <c r="AQ365" s="71"/>
      <c r="AR365" s="71"/>
      <c r="AS365" s="94">
        <f t="shared" ca="1" si="694"/>
        <v>0</v>
      </c>
      <c r="AT365" s="95">
        <f t="shared" si="695"/>
        <v>556</v>
      </c>
      <c r="AU365" s="97">
        <f t="shared" si="696"/>
        <v>556</v>
      </c>
      <c r="AW365" s="83">
        <f t="shared" si="697"/>
        <v>0</v>
      </c>
      <c r="AX365" s="83">
        <f t="shared" si="698"/>
        <v>0</v>
      </c>
      <c r="AY365" s="83">
        <f t="shared" si="699"/>
        <v>0</v>
      </c>
      <c r="AZ365" s="83">
        <f t="shared" si="700"/>
        <v>198</v>
      </c>
      <c r="BA365" s="83">
        <f t="shared" si="700"/>
        <v>358</v>
      </c>
      <c r="BB365" s="52"/>
      <c r="BC365" s="52"/>
      <c r="BD365" s="52"/>
      <c r="BE365" s="52"/>
      <c r="BF365" s="52"/>
      <c r="BG365" s="52"/>
      <c r="BH365" s="52"/>
      <c r="BI365" s="68" cm="1">
        <f t="array" ref="BI365">IFERROR(INDEX(AW365:BH365,1,MATCH(2,1/(AW365:BH365&lt;&gt;""))),"")</f>
        <v>358</v>
      </c>
      <c r="BJ365" s="68" cm="1">
        <f t="array" ref="BJ365">IF(BM365 = "", "",IFERROR(INDEX(AW365:BH365,1,MATCH(2,1/(AW365:BH365&lt;&gt;""),1)-1),""))</f>
        <v>198</v>
      </c>
      <c r="BK365" s="59">
        <f t="shared" si="701"/>
        <v>556</v>
      </c>
      <c r="BL365" s="59" cm="1">
        <f t="array" ref="BL365">IFERROR(SUM(AW365:INDEX(AW365:BH365, MATCH(2, 1/(AW365:BH365&lt;&gt;""), 1) - 1))/_xlfn.XLOOKUP(F365,Apuração!A:A,Apuração!B:B),0)</f>
        <v>22</v>
      </c>
      <c r="BM365" s="55" cm="1">
        <f t="array" ref="BM365">IFERROR(
   INDEX($AW$1:$BH$1,
      _xlfn.AGGREGATE(14, 6, COLUMN($AW$1:$BH$1)/(AW365:BH365&lt;&gt;""), 2) - COLUMN($AW$1) + 1
   ),
"")</f>
        <v>46113</v>
      </c>
      <c r="BN365" s="55" cm="1">
        <f t="array" ref="BN365">IFERROR(INDEX($AW$1:$BH$1,1,MATCH(2,1/(AW365:BH365&lt;&gt;""))),"")</f>
        <v>46143</v>
      </c>
      <c r="BO365" s="53">
        <f ca="1">IFERROR(_xlfn.XLOOKUP(F365,Apuração!A:A,Apuração!C:C)/_xlfn.XLOOKUP(F365,Apuração!A:A,Apuração!B:B),0)</f>
        <v>0.22222222222222221</v>
      </c>
      <c r="BP365" s="53">
        <f ca="1">IFERROR(_xlfn.XLOOKUP(F365,Apuração!A:A,Apuração!D:D)/_xlfn.XLOOKUP(F365,Apuração!A:A,Apuração!B:B),0)</f>
        <v>0.1111111111111111</v>
      </c>
      <c r="BQ365" s="53">
        <f ca="1">IF(BK365&gt;=BO365,0,_xlfn.XLOOKUP(F365,Apuração!A:A,Apuração!B:B)*(BO365 + (1/_xlfn.XLOOKUP(F365,Apuração!A:A,Apuração!B:B)) - BK365))</f>
        <v>0</v>
      </c>
      <c r="BR365" s="85">
        <f t="shared" ca="1" si="702"/>
        <v>0</v>
      </c>
      <c r="BS365" s="53">
        <f ca="1">IFERROR((_xlfn.XLOOKUP(F365,Apuração!A:A,Apuração!C:C)+1)/_xlfn.XLOOKUP(F365,Apuração!A:A,Apuração!B:B),0)</f>
        <v>0.33333333333333331</v>
      </c>
    </row>
    <row r="366" spans="1:71" ht="25.95" hidden="1" customHeight="1" x14ac:dyDescent="0.3">
      <c r="A366" s="39" t="s">
        <v>33</v>
      </c>
      <c r="B366" s="4" t="s">
        <v>53</v>
      </c>
      <c r="C366" s="5" t="s">
        <v>97</v>
      </c>
      <c r="D366" s="5" t="s">
        <v>103</v>
      </c>
      <c r="E366" s="4" t="str" cm="1">
        <f t="array" ref="E366">_xlfn.IFS(
F366 = "A partir de Abril", "Aguardando Execução na Distribuidora",
A366 = "CAPACITAÇÃO", "Em execução no Corporativo",
TRUE, "Em Execução na Distribuidora"
)</f>
        <v>Em Execução na Distribuidora</v>
      </c>
      <c r="F366" s="4" t="str" cm="1">
        <f t="array" ref="F366">_xlfn.IFS(
AG366 &lt;&gt; "", "Jan-Dez/26",
AH366 &lt;&gt; "", "Fev-Dez/26",
AI366 &lt;&gt; "", "Mar-Dez/26", AJ366 &lt;&gt; "", "Abr-Dez/26",
TRUE, "A partir de Junho"
)</f>
        <v>Abr-Dez/26</v>
      </c>
      <c r="G366" s="4" t="s">
        <v>37</v>
      </c>
      <c r="H366" s="7" t="s">
        <v>54</v>
      </c>
      <c r="I366" s="8" t="s">
        <v>59</v>
      </c>
      <c r="J366" s="8" t="str" cm="1">
        <f t="array" aca="1" ref="J366" ca="1">_xlfn.LET(
  _xlpm.actual_value_month, INDEX(T366:AE366, MATCH(DATE(YEAR(TODAY()), MONTH(TODAY()), 1), $T$1:$AE$1, 0)),
  IF(_xlpm.actual_value_month &lt;&gt; "",_xlpm.actual_value_month &amp; " ações mensais", "")
)</f>
        <v/>
      </c>
      <c r="K366" s="12" t="str" cm="1">
        <f t="array" ref="K366">_xlfn.LET(
    _xlpm.sum_month, SUM(T366:AE366),
    IF(_xlpm.sum_month = 0, "", _xlpm.sum_month &amp; " pessoas impactadas no ano")
)</f>
        <v/>
      </c>
      <c r="L366" s="9" t="s">
        <v>59</v>
      </c>
      <c r="M366" s="13">
        <v>1</v>
      </c>
      <c r="N366" s="5" t="s">
        <v>51</v>
      </c>
      <c r="O366" s="5" t="s">
        <v>52</v>
      </c>
      <c r="P366" s="10" t="s">
        <v>44</v>
      </c>
      <c r="Q366" s="10" t="s">
        <v>44</v>
      </c>
      <c r="R366" s="11" t="s">
        <v>44</v>
      </c>
      <c r="S366" s="11" t="s">
        <v>44</v>
      </c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G366" s="71"/>
      <c r="AH366" s="71"/>
      <c r="AI366" s="71"/>
      <c r="AJ366" s="82">
        <v>0</v>
      </c>
      <c r="AK366" s="71">
        <v>295</v>
      </c>
      <c r="AL366" s="71"/>
      <c r="AM366" s="71"/>
      <c r="AN366" s="71"/>
      <c r="AO366" s="71"/>
      <c r="AP366" s="71"/>
      <c r="AQ366" s="71"/>
      <c r="AR366" s="71"/>
      <c r="AS366" s="94">
        <f t="shared" ca="1" si="694"/>
        <v>0</v>
      </c>
      <c r="AT366" s="95">
        <f t="shared" si="695"/>
        <v>295</v>
      </c>
      <c r="AU366" s="97">
        <f t="shared" si="696"/>
        <v>295</v>
      </c>
      <c r="AW366" s="83">
        <f t="shared" si="697"/>
        <v>0</v>
      </c>
      <c r="AX366" s="83">
        <f t="shared" si="698"/>
        <v>0</v>
      </c>
      <c r="AY366" s="83">
        <f t="shared" si="699"/>
        <v>0</v>
      </c>
      <c r="AZ366" s="83">
        <f t="shared" si="700"/>
        <v>0</v>
      </c>
      <c r="BA366" s="83">
        <f t="shared" si="700"/>
        <v>295</v>
      </c>
      <c r="BB366" s="52"/>
      <c r="BC366" s="52"/>
      <c r="BD366" s="52"/>
      <c r="BE366" s="52"/>
      <c r="BF366" s="52"/>
      <c r="BG366" s="52"/>
      <c r="BH366" s="52"/>
      <c r="BI366" s="68" cm="1">
        <f t="array" ref="BI366">IFERROR(INDEX(AW366:BH366,1,MATCH(2,1/(AW366:BH366&lt;&gt;""))),"")</f>
        <v>295</v>
      </c>
      <c r="BJ366" s="68" cm="1">
        <f t="array" ref="BJ366">IF(BM366 = "", "",IFERROR(INDEX(AW366:BH366,1,MATCH(2,1/(AW366:BH366&lt;&gt;""),1)-1),""))</f>
        <v>0</v>
      </c>
      <c r="BK366" s="59">
        <f t="shared" si="701"/>
        <v>295</v>
      </c>
      <c r="BL366" s="59" cm="1">
        <f t="array" ref="BL366">IFERROR(SUM(AW366:INDEX(AW366:BH366, MATCH(2, 1/(AW366:BH366&lt;&gt;""), 1) - 1))/_xlfn.XLOOKUP(F366,Apuração!A:A,Apuração!B:B),0)</f>
        <v>0</v>
      </c>
      <c r="BM366" s="55" cm="1">
        <f t="array" ref="BM366">IFERROR(
   INDEX($AW$1:$BH$1,
      _xlfn.AGGREGATE(14, 6, COLUMN($AW$1:$BH$1)/(AW366:BH366&lt;&gt;""), 2) - COLUMN($AW$1) + 1
   ),
"")</f>
        <v>46113</v>
      </c>
      <c r="BN366" s="55" cm="1">
        <f t="array" ref="BN366">IFERROR(INDEX($AW$1:$BH$1,1,MATCH(2,1/(AW366:BH366&lt;&gt;""))),"")</f>
        <v>46143</v>
      </c>
      <c r="BO366" s="53">
        <f ca="1">IFERROR(_xlfn.XLOOKUP(F366,Apuração!A:A,Apuração!C:C)/_xlfn.XLOOKUP(F366,Apuração!A:A,Apuração!B:B),0)</f>
        <v>0.22222222222222221</v>
      </c>
      <c r="BP366" s="53">
        <f ca="1">IFERROR(_xlfn.XLOOKUP(F366,Apuração!A:A,Apuração!D:D)/_xlfn.XLOOKUP(F366,Apuração!A:A,Apuração!B:B),0)</f>
        <v>0.1111111111111111</v>
      </c>
      <c r="BQ366" s="53">
        <f ca="1">IF(BK366&gt;=BO366,0,_xlfn.XLOOKUP(F366,Apuração!A:A,Apuração!B:B)*(BO366 + (1/_xlfn.XLOOKUP(F366,Apuração!A:A,Apuração!B:B)) - BK366))</f>
        <v>0</v>
      </c>
      <c r="BR366" s="85">
        <f t="shared" ca="1" si="702"/>
        <v>0</v>
      </c>
      <c r="BS366" s="53">
        <f ca="1">IFERROR((_xlfn.XLOOKUP(F366,Apuração!A:A,Apuração!C:C)+1)/_xlfn.XLOOKUP(F366,Apuração!A:A,Apuração!B:B),0)</f>
        <v>0.33333333333333331</v>
      </c>
    </row>
    <row r="367" spans="1:71" ht="25.95" hidden="1" customHeight="1" x14ac:dyDescent="0.3">
      <c r="A367" s="39" t="s">
        <v>33</v>
      </c>
      <c r="B367" s="4" t="s">
        <v>53</v>
      </c>
      <c r="C367" s="5" t="s">
        <v>97</v>
      </c>
      <c r="D367" s="5" t="s">
        <v>104</v>
      </c>
      <c r="E367" s="4" t="str" cm="1">
        <f t="array" ref="E367">_xlfn.IFS(
F367 = "A partir de Abril", "Aguardando Execução na Distribuidora",
A367 = "CAPACITAÇÃO", "Em execução no Corporativo",
TRUE, "Em Execução na Distribuidora"
)</f>
        <v>Em Execução na Distribuidora</v>
      </c>
      <c r="F367" s="4" t="str" cm="1">
        <f t="array" ref="F367">_xlfn.IFS(
AG367 &lt;&gt; "", "Jan-Dez/26",
AH367 &lt;&gt; "", "Fev-Dez/26",
AI367 &lt;&gt; "", "Mar-Dez/26", AJ367 &lt;&gt; "", "Abr-Dez/26",
TRUE, "A partir de Junho"
)</f>
        <v>Abr-Dez/26</v>
      </c>
      <c r="G367" s="4" t="s">
        <v>37</v>
      </c>
      <c r="H367" s="7" t="s">
        <v>54</v>
      </c>
      <c r="I367" s="8" t="s">
        <v>59</v>
      </c>
      <c r="J367" s="8" t="str" cm="1">
        <f t="array" aca="1" ref="J367" ca="1">_xlfn.LET(
  _xlpm.actual_value_month, INDEX(T367:AE367, MATCH(DATE(YEAR(TODAY()), MONTH(TODAY()), 1), $T$1:$AE$1, 0)),
  IF(_xlpm.actual_value_month &lt;&gt; "",_xlpm.actual_value_month &amp; " ações mensais", "")
)</f>
        <v/>
      </c>
      <c r="K367" s="12" t="str" cm="1">
        <f t="array" ref="K367">_xlfn.LET(
    _xlpm.sum_month, SUM(T367:AE367),
    IF(_xlpm.sum_month = 0, "", _xlpm.sum_month &amp; " pessoas impactadas no ano")
)</f>
        <v/>
      </c>
      <c r="L367" s="9" t="s">
        <v>59</v>
      </c>
      <c r="M367" s="13">
        <v>1</v>
      </c>
      <c r="N367" s="5" t="s">
        <v>51</v>
      </c>
      <c r="O367" s="5" t="s">
        <v>52</v>
      </c>
      <c r="P367" s="10" t="s">
        <v>44</v>
      </c>
      <c r="Q367" s="10" t="s">
        <v>44</v>
      </c>
      <c r="R367" s="11" t="s">
        <v>44</v>
      </c>
      <c r="S367" s="11" t="s">
        <v>44</v>
      </c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G367" s="71"/>
      <c r="AH367" s="71"/>
      <c r="AI367" s="71"/>
      <c r="AJ367" s="82">
        <v>0</v>
      </c>
      <c r="AK367" s="71">
        <v>145</v>
      </c>
      <c r="AL367" s="71"/>
      <c r="AM367" s="71"/>
      <c r="AN367" s="71"/>
      <c r="AO367" s="71"/>
      <c r="AP367" s="71"/>
      <c r="AQ367" s="71"/>
      <c r="AR367" s="71"/>
      <c r="AS367" s="94">
        <f t="shared" ca="1" si="694"/>
        <v>0</v>
      </c>
      <c r="AT367" s="95">
        <f t="shared" si="695"/>
        <v>145</v>
      </c>
      <c r="AU367" s="97">
        <f t="shared" si="696"/>
        <v>145</v>
      </c>
      <c r="AW367" s="83">
        <f t="shared" si="697"/>
        <v>0</v>
      </c>
      <c r="AX367" s="83">
        <f t="shared" si="698"/>
        <v>0</v>
      </c>
      <c r="AY367" s="83">
        <f t="shared" si="699"/>
        <v>0</v>
      </c>
      <c r="AZ367" s="83">
        <f t="shared" si="700"/>
        <v>0</v>
      </c>
      <c r="BA367" s="83">
        <f t="shared" si="700"/>
        <v>145</v>
      </c>
      <c r="BB367" s="52"/>
      <c r="BC367" s="52"/>
      <c r="BD367" s="52"/>
      <c r="BE367" s="52"/>
      <c r="BF367" s="52"/>
      <c r="BG367" s="52"/>
      <c r="BH367" s="52"/>
      <c r="BI367" s="68" cm="1">
        <f t="array" ref="BI367">IFERROR(INDEX(AW367:BH367,1,MATCH(2,1/(AW367:BH367&lt;&gt;""))),"")</f>
        <v>145</v>
      </c>
      <c r="BJ367" s="68" cm="1">
        <f t="array" ref="BJ367">IF(BM367 = "", "",IFERROR(INDEX(AW367:BH367,1,MATCH(2,1/(AW367:BH367&lt;&gt;""),1)-1),""))</f>
        <v>0</v>
      </c>
      <c r="BK367" s="59">
        <f t="shared" si="701"/>
        <v>145</v>
      </c>
      <c r="BL367" s="59" cm="1">
        <f t="array" ref="BL367">IFERROR(SUM(AW367:INDEX(AW367:BH367, MATCH(2, 1/(AW367:BH367&lt;&gt;""), 1) - 1))/_xlfn.XLOOKUP(F367,Apuração!A:A,Apuração!B:B),0)</f>
        <v>0</v>
      </c>
      <c r="BM367" s="55" cm="1">
        <f t="array" ref="BM367">IFERROR(
   INDEX($AW$1:$BH$1,
      _xlfn.AGGREGATE(14, 6, COLUMN($AW$1:$BH$1)/(AW367:BH367&lt;&gt;""), 2) - COLUMN($AW$1) + 1
   ),
"")</f>
        <v>46113</v>
      </c>
      <c r="BN367" s="55" cm="1">
        <f t="array" ref="BN367">IFERROR(INDEX($AW$1:$BH$1,1,MATCH(2,1/(AW367:BH367&lt;&gt;""))),"")</f>
        <v>46143</v>
      </c>
      <c r="BO367" s="53">
        <f ca="1">IFERROR(_xlfn.XLOOKUP(F367,Apuração!A:A,Apuração!C:C)/_xlfn.XLOOKUP(F367,Apuração!A:A,Apuração!B:B),0)</f>
        <v>0.22222222222222221</v>
      </c>
      <c r="BP367" s="53">
        <f ca="1">IFERROR(_xlfn.XLOOKUP(F367,Apuração!A:A,Apuração!D:D)/_xlfn.XLOOKUP(F367,Apuração!A:A,Apuração!B:B),0)</f>
        <v>0.1111111111111111</v>
      </c>
      <c r="BQ367" s="53">
        <f ca="1">IF(BK367&gt;=BO367,0,_xlfn.XLOOKUP(F367,Apuração!A:A,Apuração!B:B)*(BO367 + (1/_xlfn.XLOOKUP(F367,Apuração!A:A,Apuração!B:B)) - BK367))</f>
        <v>0</v>
      </c>
      <c r="BR367" s="85">
        <f t="shared" ca="1" si="702"/>
        <v>0</v>
      </c>
      <c r="BS367" s="53">
        <f ca="1">IFERROR((_xlfn.XLOOKUP(F367,Apuração!A:A,Apuração!C:C)+1)/_xlfn.XLOOKUP(F367,Apuração!A:A,Apuração!B:B),0)</f>
        <v>0.33333333333333331</v>
      </c>
    </row>
    <row r="368" spans="1:71" ht="25.95" hidden="1" customHeight="1" x14ac:dyDescent="0.3">
      <c r="A368" s="39" t="s">
        <v>33</v>
      </c>
      <c r="B368" s="4" t="s">
        <v>53</v>
      </c>
      <c r="C368" s="5" t="s">
        <v>97</v>
      </c>
      <c r="D368" s="5" t="s">
        <v>105</v>
      </c>
      <c r="E368" s="4" t="str" cm="1">
        <f t="array" ref="E368">_xlfn.IFS(
F368 = "A partir de Abril", "Aguardando Execução na Distribuidora",
A368 = "CAPACITAÇÃO", "Em execução no Corporativo",
TRUE, "Em Execução na Distribuidora"
)</f>
        <v>Em Execução na Distribuidora</v>
      </c>
      <c r="F368" s="4" t="str" cm="1">
        <f t="array" ref="F368">_xlfn.IFS(
AG368 &lt;&gt; "", "Jan-Dez/26",
AH368 &lt;&gt; "", "Fev-Dez/26",
AI368 &lt;&gt; "", "Mar-Dez/26", AJ368 &lt;&gt; "", "Abr-Dez/26",
TRUE, "A partir de Junho"
)</f>
        <v>Abr-Dez/26</v>
      </c>
      <c r="G368" s="4" t="s">
        <v>37</v>
      </c>
      <c r="H368" s="7" t="s">
        <v>54</v>
      </c>
      <c r="I368" s="8" t="s">
        <v>59</v>
      </c>
      <c r="J368" s="8" t="str" cm="1">
        <f t="array" aca="1" ref="J368" ca="1">_xlfn.LET(
  _xlpm.actual_value_month, INDEX(T368:AE368, MATCH(DATE(YEAR(TODAY()), MONTH(TODAY()), 1), $T$1:$AE$1, 0)),
  IF(_xlpm.actual_value_month &lt;&gt; "",_xlpm.actual_value_month &amp; " ações mensais", "")
)</f>
        <v/>
      </c>
      <c r="K368" s="12" t="str" cm="1">
        <f t="array" ref="K368">_xlfn.LET(
    _xlpm.sum_month, SUM(T368:AE368),
    IF(_xlpm.sum_month = 0, "", _xlpm.sum_month &amp; " pessoas impactadas no ano")
)</f>
        <v/>
      </c>
      <c r="L368" s="9" t="s">
        <v>59</v>
      </c>
      <c r="M368" s="13">
        <v>1</v>
      </c>
      <c r="N368" s="5" t="s">
        <v>51</v>
      </c>
      <c r="O368" s="5" t="s">
        <v>52</v>
      </c>
      <c r="P368" s="10" t="s">
        <v>44</v>
      </c>
      <c r="Q368" s="10" t="s">
        <v>44</v>
      </c>
      <c r="R368" s="11" t="s">
        <v>44</v>
      </c>
      <c r="S368" s="11" t="s">
        <v>44</v>
      </c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G368" s="71"/>
      <c r="AH368" s="71"/>
      <c r="AI368" s="71"/>
      <c r="AJ368" s="82">
        <v>0</v>
      </c>
      <c r="AK368" s="71">
        <v>300</v>
      </c>
      <c r="AL368" s="71"/>
      <c r="AM368" s="71"/>
      <c r="AN368" s="71"/>
      <c r="AO368" s="71"/>
      <c r="AP368" s="71"/>
      <c r="AQ368" s="71"/>
      <c r="AR368" s="71"/>
      <c r="AS368" s="94">
        <f t="shared" ca="1" si="694"/>
        <v>0</v>
      </c>
      <c r="AT368" s="95">
        <f t="shared" si="695"/>
        <v>300</v>
      </c>
      <c r="AU368" s="97">
        <f t="shared" si="696"/>
        <v>300</v>
      </c>
      <c r="AW368" s="83">
        <f t="shared" si="697"/>
        <v>0</v>
      </c>
      <c r="AX368" s="83">
        <f t="shared" si="698"/>
        <v>0</v>
      </c>
      <c r="AY368" s="83">
        <f t="shared" si="699"/>
        <v>0</v>
      </c>
      <c r="AZ368" s="83">
        <f t="shared" si="700"/>
        <v>0</v>
      </c>
      <c r="BA368" s="83">
        <f t="shared" si="700"/>
        <v>300</v>
      </c>
      <c r="BB368" s="52"/>
      <c r="BC368" s="52"/>
      <c r="BD368" s="52"/>
      <c r="BE368" s="52"/>
      <c r="BF368" s="52"/>
      <c r="BG368" s="52"/>
      <c r="BH368" s="52"/>
      <c r="BI368" s="68" cm="1">
        <f t="array" ref="BI368">IFERROR(INDEX(AW368:BH368,1,MATCH(2,1/(AW368:BH368&lt;&gt;""))),"")</f>
        <v>300</v>
      </c>
      <c r="BJ368" s="68" cm="1">
        <f t="array" ref="BJ368">IF(BM368 = "", "",IFERROR(INDEX(AW368:BH368,1,MATCH(2,1/(AW368:BH368&lt;&gt;""),1)-1),""))</f>
        <v>0</v>
      </c>
      <c r="BK368" s="59">
        <f t="shared" si="701"/>
        <v>300</v>
      </c>
      <c r="BL368" s="59" cm="1">
        <f t="array" ref="BL368">IFERROR(SUM(AW368:INDEX(AW368:BH368, MATCH(2, 1/(AW368:BH368&lt;&gt;""), 1) - 1))/_xlfn.XLOOKUP(F368,Apuração!A:A,Apuração!B:B),0)</f>
        <v>0</v>
      </c>
      <c r="BM368" s="55" cm="1">
        <f t="array" ref="BM368">IFERROR(
   INDEX($AW$1:$BH$1,
      _xlfn.AGGREGATE(14, 6, COLUMN($AW$1:$BH$1)/(AW368:BH368&lt;&gt;""), 2) - COLUMN($AW$1) + 1
   ),
"")</f>
        <v>46113</v>
      </c>
      <c r="BN368" s="55" cm="1">
        <f t="array" ref="BN368">IFERROR(INDEX($AW$1:$BH$1,1,MATCH(2,1/(AW368:BH368&lt;&gt;""))),"")</f>
        <v>46143</v>
      </c>
      <c r="BO368" s="53">
        <f ca="1">IFERROR(_xlfn.XLOOKUP(F368,Apuração!A:A,Apuração!C:C)/_xlfn.XLOOKUP(F368,Apuração!A:A,Apuração!B:B),0)</f>
        <v>0.22222222222222221</v>
      </c>
      <c r="BP368" s="53">
        <f ca="1">IFERROR(_xlfn.XLOOKUP(F368,Apuração!A:A,Apuração!D:D)/_xlfn.XLOOKUP(F368,Apuração!A:A,Apuração!B:B),0)</f>
        <v>0.1111111111111111</v>
      </c>
      <c r="BQ368" s="53">
        <f ca="1">IF(BK368&gt;=BO368,0,_xlfn.XLOOKUP(F368,Apuração!A:A,Apuração!B:B)*(BO368 + (1/_xlfn.XLOOKUP(F368,Apuração!A:A,Apuração!B:B)) - BK368))</f>
        <v>0</v>
      </c>
      <c r="BR368" s="85">
        <f t="shared" ca="1" si="702"/>
        <v>0</v>
      </c>
      <c r="BS368" s="53">
        <f ca="1">IFERROR((_xlfn.XLOOKUP(F368,Apuração!A:A,Apuração!C:C)+1)/_xlfn.XLOOKUP(F368,Apuração!A:A,Apuração!B:B),0)</f>
        <v>0.33333333333333331</v>
      </c>
    </row>
    <row r="369" spans="1:71" ht="25.95" hidden="1" customHeight="1" x14ac:dyDescent="0.3">
      <c r="A369" s="39" t="s">
        <v>33</v>
      </c>
      <c r="B369" s="4" t="s">
        <v>53</v>
      </c>
      <c r="C369" s="5" t="s">
        <v>97</v>
      </c>
      <c r="D369" s="5" t="s">
        <v>106</v>
      </c>
      <c r="E369" s="4" t="str" cm="1">
        <f t="array" ref="E369">_xlfn.IFS(
F369 = "A partir de Abril", "Aguardando Execução na Distribuidora",
A369 = "CAPACITAÇÃO", "Em execução no Corporativo",
TRUE, "Em Execução na Distribuidora"
)</f>
        <v>Em Execução na Distribuidora</v>
      </c>
      <c r="F369" s="4" t="str" cm="1">
        <f t="array" ref="F369">_xlfn.IFS(
AG369 &lt;&gt; "", "Jan-Dez/26",
AH369 &lt;&gt; "", "Fev-Dez/26",
AI369 &lt;&gt; "", "Mar-Dez/26", AJ369 &lt;&gt; "", "Abr-Dez/26",
TRUE, "A partir de Junho"
)</f>
        <v>Abr-Dez/26</v>
      </c>
      <c r="G369" s="4" t="s">
        <v>37</v>
      </c>
      <c r="H369" s="7" t="s">
        <v>54</v>
      </c>
      <c r="I369" s="8" t="s">
        <v>59</v>
      </c>
      <c r="J369" s="8" t="str" cm="1">
        <f t="array" aca="1" ref="J369" ca="1">_xlfn.LET(
  _xlpm.actual_value_month, INDEX(T369:AE369, MATCH(DATE(YEAR(TODAY()), MONTH(TODAY()), 1), $T$1:$AE$1, 0)),
  IF(_xlpm.actual_value_month &lt;&gt; "",_xlpm.actual_value_month &amp; " ações mensais", "")
)</f>
        <v/>
      </c>
      <c r="K369" s="12" t="str" cm="1">
        <f t="array" ref="K369">_xlfn.LET(
    _xlpm.sum_month, SUM(T369:AE369),
    IF(_xlpm.sum_month = 0, "", _xlpm.sum_month &amp; " pessoas impactadas no ano")
)</f>
        <v/>
      </c>
      <c r="L369" s="9" t="s">
        <v>59</v>
      </c>
      <c r="M369" s="13">
        <v>1</v>
      </c>
      <c r="N369" s="5" t="s">
        <v>51</v>
      </c>
      <c r="O369" s="5" t="s">
        <v>52</v>
      </c>
      <c r="P369" s="10" t="s">
        <v>44</v>
      </c>
      <c r="Q369" s="10" t="s">
        <v>44</v>
      </c>
      <c r="R369" s="11" t="s">
        <v>44</v>
      </c>
      <c r="S369" s="11" t="s">
        <v>44</v>
      </c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G369" s="71"/>
      <c r="AH369" s="71"/>
      <c r="AI369" s="71"/>
      <c r="AJ369" s="82">
        <v>0</v>
      </c>
      <c r="AK369" s="71">
        <v>265</v>
      </c>
      <c r="AL369" s="71"/>
      <c r="AM369" s="71"/>
      <c r="AN369" s="71"/>
      <c r="AO369" s="71"/>
      <c r="AP369" s="71"/>
      <c r="AQ369" s="71"/>
      <c r="AR369" s="71"/>
      <c r="AS369" s="94">
        <f t="shared" ca="1" si="694"/>
        <v>0</v>
      </c>
      <c r="AT369" s="95">
        <f t="shared" si="695"/>
        <v>265</v>
      </c>
      <c r="AU369" s="97">
        <f t="shared" si="696"/>
        <v>265</v>
      </c>
      <c r="AW369" s="83">
        <f t="shared" si="697"/>
        <v>0</v>
      </c>
      <c r="AX369" s="83">
        <f t="shared" si="698"/>
        <v>0</v>
      </c>
      <c r="AY369" s="83">
        <f t="shared" si="699"/>
        <v>0</v>
      </c>
      <c r="AZ369" s="83">
        <f t="shared" si="700"/>
        <v>0</v>
      </c>
      <c r="BA369" s="83">
        <f t="shared" si="700"/>
        <v>265</v>
      </c>
      <c r="BB369" s="52"/>
      <c r="BC369" s="52"/>
      <c r="BD369" s="52"/>
      <c r="BE369" s="52"/>
      <c r="BF369" s="52"/>
      <c r="BG369" s="52"/>
      <c r="BH369" s="52"/>
      <c r="BI369" s="68" cm="1">
        <f t="array" ref="BI369">IFERROR(INDEX(AW369:BH369,1,MATCH(2,1/(AW369:BH369&lt;&gt;""))),"")</f>
        <v>265</v>
      </c>
      <c r="BJ369" s="68" cm="1">
        <f t="array" ref="BJ369">IF(BM369 = "", "",IFERROR(INDEX(AW369:BH369,1,MATCH(2,1/(AW369:BH369&lt;&gt;""),1)-1),""))</f>
        <v>0</v>
      </c>
      <c r="BK369" s="59">
        <f t="shared" si="701"/>
        <v>265</v>
      </c>
      <c r="BL369" s="59" cm="1">
        <f t="array" ref="BL369">IFERROR(SUM(AW369:INDEX(AW369:BH369, MATCH(2, 1/(AW369:BH369&lt;&gt;""), 1) - 1))/_xlfn.XLOOKUP(F369,Apuração!A:A,Apuração!B:B),0)</f>
        <v>0</v>
      </c>
      <c r="BM369" s="55" cm="1">
        <f t="array" ref="BM369">IFERROR(
   INDEX($AW$1:$BH$1,
      _xlfn.AGGREGATE(14, 6, COLUMN($AW$1:$BH$1)/(AW369:BH369&lt;&gt;""), 2) - COLUMN($AW$1) + 1
   ),
"")</f>
        <v>46113</v>
      </c>
      <c r="BN369" s="55" cm="1">
        <f t="array" ref="BN369">IFERROR(INDEX($AW$1:$BH$1,1,MATCH(2,1/(AW369:BH369&lt;&gt;""))),"")</f>
        <v>46143</v>
      </c>
      <c r="BO369" s="53">
        <f ca="1">IFERROR(_xlfn.XLOOKUP(F369,Apuração!A:A,Apuração!C:C)/_xlfn.XLOOKUP(F369,Apuração!A:A,Apuração!B:B),0)</f>
        <v>0.22222222222222221</v>
      </c>
      <c r="BP369" s="53">
        <f ca="1">IFERROR(_xlfn.XLOOKUP(F369,Apuração!A:A,Apuração!D:D)/_xlfn.XLOOKUP(F369,Apuração!A:A,Apuração!B:B),0)</f>
        <v>0.1111111111111111</v>
      </c>
      <c r="BQ369" s="53">
        <f ca="1">IF(BK369&gt;=BO369,0,_xlfn.XLOOKUP(F369,Apuração!A:A,Apuração!B:B)*(BO369 + (1/_xlfn.XLOOKUP(F369,Apuração!A:A,Apuração!B:B)) - BK369))</f>
        <v>0</v>
      </c>
      <c r="BR369" s="85">
        <f t="shared" ca="1" si="702"/>
        <v>0</v>
      </c>
      <c r="BS369" s="53">
        <f ca="1">IFERROR((_xlfn.XLOOKUP(F369,Apuração!A:A,Apuração!C:C)+1)/_xlfn.XLOOKUP(F369,Apuração!A:A,Apuração!B:B),0)</f>
        <v>0.33333333333333331</v>
      </c>
    </row>
    <row r="370" spans="1:71" ht="25.95" hidden="1" customHeight="1" x14ac:dyDescent="0.3">
      <c r="A370" s="39" t="s">
        <v>33</v>
      </c>
      <c r="B370" s="4" t="s">
        <v>53</v>
      </c>
      <c r="C370" s="5" t="s">
        <v>97</v>
      </c>
      <c r="D370" s="5" t="s">
        <v>107</v>
      </c>
      <c r="E370" s="4" t="str" cm="1">
        <f t="array" ref="E370">_xlfn.IFS(
F370 = "A partir de Abril", "Aguardando Execução na Distribuidora",
A370 = "CAPACITAÇÃO", "Em execução no Corporativo",
TRUE, "Em Execução na Distribuidora"
)</f>
        <v>Em Execução na Distribuidora</v>
      </c>
      <c r="F370" s="4" t="str" cm="1">
        <f t="array" ref="F370">_xlfn.IFS(
AG370 &lt;&gt; "", "Jan-Dez/26",
AH370 &lt;&gt; "", "Fev-Dez/26",
AI370 &lt;&gt; "", "Mar-Dez/26", AJ370 &lt;&gt; "", "Abr-Dez/26",
TRUE, "A partir de Junho"
)</f>
        <v>Abr-Dez/26</v>
      </c>
      <c r="G370" s="4" t="s">
        <v>37</v>
      </c>
      <c r="H370" s="7" t="s">
        <v>54</v>
      </c>
      <c r="I370" s="8" t="s">
        <v>59</v>
      </c>
      <c r="J370" s="8" t="str" cm="1">
        <f t="array" aca="1" ref="J370" ca="1">_xlfn.LET(
  _xlpm.actual_value_month, INDEX(T370:AE370, MATCH(DATE(YEAR(TODAY()), MONTH(TODAY()), 1), $T$1:$AE$1, 0)),
  IF(_xlpm.actual_value_month &lt;&gt; "",_xlpm.actual_value_month &amp; " ações mensais", "")
)</f>
        <v/>
      </c>
      <c r="K370" s="12" t="str" cm="1">
        <f t="array" ref="K370">_xlfn.LET(
    _xlpm.sum_month, SUM(T370:AE370),
    IF(_xlpm.sum_month = 0, "", _xlpm.sum_month &amp; " pessoas impactadas no ano")
)</f>
        <v/>
      </c>
      <c r="L370" s="9" t="s">
        <v>59</v>
      </c>
      <c r="M370" s="13">
        <v>1</v>
      </c>
      <c r="N370" s="5" t="s">
        <v>51</v>
      </c>
      <c r="O370" s="5" t="s">
        <v>52</v>
      </c>
      <c r="P370" s="10" t="s">
        <v>44</v>
      </c>
      <c r="Q370" s="10" t="s">
        <v>44</v>
      </c>
      <c r="R370" s="11" t="s">
        <v>44</v>
      </c>
      <c r="S370" s="11" t="s">
        <v>44</v>
      </c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G370" s="71"/>
      <c r="AH370" s="71"/>
      <c r="AI370" s="71"/>
      <c r="AJ370" s="82">
        <v>0</v>
      </c>
      <c r="AK370" s="71">
        <v>220</v>
      </c>
      <c r="AL370" s="71"/>
      <c r="AM370" s="71"/>
      <c r="AN370" s="71"/>
      <c r="AO370" s="71"/>
      <c r="AP370" s="71"/>
      <c r="AQ370" s="71"/>
      <c r="AR370" s="71"/>
      <c r="AS370" s="94">
        <f t="shared" ca="1" si="694"/>
        <v>0</v>
      </c>
      <c r="AT370" s="95">
        <f t="shared" si="695"/>
        <v>220</v>
      </c>
      <c r="AU370" s="97">
        <f t="shared" si="696"/>
        <v>220</v>
      </c>
      <c r="AW370" s="83">
        <f t="shared" si="697"/>
        <v>0</v>
      </c>
      <c r="AX370" s="83">
        <f t="shared" si="698"/>
        <v>0</v>
      </c>
      <c r="AY370" s="83">
        <f t="shared" si="699"/>
        <v>0</v>
      </c>
      <c r="AZ370" s="83">
        <f t="shared" si="700"/>
        <v>0</v>
      </c>
      <c r="BA370" s="83">
        <f t="shared" si="700"/>
        <v>220</v>
      </c>
      <c r="BB370" s="52"/>
      <c r="BC370" s="52"/>
      <c r="BD370" s="52"/>
      <c r="BE370" s="52"/>
      <c r="BF370" s="52"/>
      <c r="BG370" s="52"/>
      <c r="BH370" s="52"/>
      <c r="BI370" s="68" cm="1">
        <f t="array" ref="BI370">IFERROR(INDEX(AW370:BH370,1,MATCH(2,1/(AW370:BH370&lt;&gt;""))),"")</f>
        <v>220</v>
      </c>
      <c r="BJ370" s="68" cm="1">
        <f t="array" ref="BJ370">IF(BM370 = "", "",IFERROR(INDEX(AW370:BH370,1,MATCH(2,1/(AW370:BH370&lt;&gt;""),1)-1),""))</f>
        <v>0</v>
      </c>
      <c r="BK370" s="59">
        <f t="shared" si="701"/>
        <v>220</v>
      </c>
      <c r="BL370" s="59" cm="1">
        <f t="array" ref="BL370">IFERROR(SUM(AW370:INDEX(AW370:BH370, MATCH(2, 1/(AW370:BH370&lt;&gt;""), 1) - 1))/_xlfn.XLOOKUP(F370,Apuração!A:A,Apuração!B:B),0)</f>
        <v>0</v>
      </c>
      <c r="BM370" s="55" cm="1">
        <f t="array" ref="BM370">IFERROR(
   INDEX($AW$1:$BH$1,
      _xlfn.AGGREGATE(14, 6, COLUMN($AW$1:$BH$1)/(AW370:BH370&lt;&gt;""), 2) - COLUMN($AW$1) + 1
   ),
"")</f>
        <v>46113</v>
      </c>
      <c r="BN370" s="55" cm="1">
        <f t="array" ref="BN370">IFERROR(INDEX($AW$1:$BH$1,1,MATCH(2,1/(AW370:BH370&lt;&gt;""))),"")</f>
        <v>46143</v>
      </c>
      <c r="BO370" s="53">
        <f ca="1">IFERROR(_xlfn.XLOOKUP(F370,Apuração!A:A,Apuração!C:C)/_xlfn.XLOOKUP(F370,Apuração!A:A,Apuração!B:B),0)</f>
        <v>0.22222222222222221</v>
      </c>
      <c r="BP370" s="53">
        <f ca="1">IFERROR(_xlfn.XLOOKUP(F370,Apuração!A:A,Apuração!D:D)/_xlfn.XLOOKUP(F370,Apuração!A:A,Apuração!B:B),0)</f>
        <v>0.1111111111111111</v>
      </c>
      <c r="BQ370" s="53">
        <f ca="1">IF(BK370&gt;=BO370,0,_xlfn.XLOOKUP(F370,Apuração!A:A,Apuração!B:B)*(BO370 + (1/_xlfn.XLOOKUP(F370,Apuração!A:A,Apuração!B:B)) - BK370))</f>
        <v>0</v>
      </c>
      <c r="BR370" s="85">
        <f t="shared" ca="1" si="702"/>
        <v>0</v>
      </c>
      <c r="BS370" s="53">
        <f ca="1">IFERROR((_xlfn.XLOOKUP(F370,Apuração!A:A,Apuração!C:C)+1)/_xlfn.XLOOKUP(F370,Apuração!A:A,Apuração!B:B),0)</f>
        <v>0.33333333333333331</v>
      </c>
    </row>
    <row r="371" spans="1:71" ht="25.95" hidden="1" customHeight="1" x14ac:dyDescent="0.3">
      <c r="A371" s="3" t="s">
        <v>33</v>
      </c>
      <c r="B371" s="4" t="s">
        <v>60</v>
      </c>
      <c r="C371" s="5" t="s">
        <v>97</v>
      </c>
      <c r="D371" s="5" t="s">
        <v>36</v>
      </c>
      <c r="E371" s="4" t="str" cm="1">
        <f t="array" ref="E371">_xlfn.IFS(
F371 = "A partir de Abril", "Aguardando Execução na Distribuidora",
A371 = "CAPACITAÇÃO", "Em execução no Corporativo",
TRUE, "Em Execução na Distribuidora"
)</f>
        <v>Em Execução na Distribuidora</v>
      </c>
      <c r="F371" s="4" t="str" cm="1">
        <f t="array" ref="F371">_xlfn.IFS(
AG371 &lt;&gt; "", "Jan-Dez/26",
AH371 &lt;&gt; "", "Fev-Dez/26",
AI371 &lt;&gt; "", "Mar-Dez/26", AJ371 &lt;&gt; "", "Abr-Dez/26",
TRUE, "A partir de Junho"
)</f>
        <v>Jan-Dez/26</v>
      </c>
      <c r="G371" s="16" t="s">
        <v>37</v>
      </c>
      <c r="H371" s="7" t="s">
        <v>38</v>
      </c>
      <c r="I371" s="8" t="s">
        <v>63</v>
      </c>
      <c r="J371" s="8" t="str" cm="1">
        <f t="array" aca="1" ref="J371" ca="1">_xlfn.LET(
  _xlpm.actual_value_month, INDEX(T371:AE371, MATCH(DATE(YEAR(TODAY()), MONTH(TODAY()), 1), $T$1:$AE$1, 0)),
  IF(_xlpm.actual_value_month &lt;&gt; "",_xlpm.actual_value_month &amp; " ações mensais", "")
)</f>
        <v/>
      </c>
      <c r="K371" s="17" t="str" cm="1">
        <f t="array" ref="K371">_xlfn.LET(
    _xlpm.sum_month, SUM(T371:AE371),
    IF(_xlpm.sum_month = 0, "", _xlpm.sum_month &amp; " eventos realizados")
)</f>
        <v>284 eventos realizados</v>
      </c>
      <c r="L371" s="9" t="s">
        <v>64</v>
      </c>
      <c r="M371" s="13" t="s">
        <v>65</v>
      </c>
      <c r="N371" s="5" t="s">
        <v>42</v>
      </c>
      <c r="O371" s="5" t="s">
        <v>43</v>
      </c>
      <c r="P371" s="10" t="s">
        <v>44</v>
      </c>
      <c r="Q371" s="10" t="s">
        <v>44</v>
      </c>
      <c r="R371" s="11" t="s">
        <v>66</v>
      </c>
      <c r="S371" s="11" t="s">
        <v>67</v>
      </c>
      <c r="T371" s="22">
        <v>7</v>
      </c>
      <c r="U371" s="22">
        <v>7</v>
      </c>
      <c r="V371" s="22">
        <v>5</v>
      </c>
      <c r="W371" s="22">
        <v>255</v>
      </c>
      <c r="X371" s="22">
        <v>10</v>
      </c>
      <c r="Y371" s="22"/>
      <c r="Z371" s="22"/>
      <c r="AA371" s="22"/>
      <c r="AB371" s="22"/>
      <c r="AC371" s="22"/>
      <c r="AD371" s="22"/>
      <c r="AE371" s="22"/>
      <c r="AG371" s="71">
        <v>7</v>
      </c>
      <c r="AH371" s="71">
        <v>7</v>
      </c>
      <c r="AI371" s="71">
        <v>5</v>
      </c>
      <c r="AJ371" s="71">
        <v>255</v>
      </c>
      <c r="AK371" s="71">
        <v>10</v>
      </c>
      <c r="AL371" s="71"/>
      <c r="AM371" s="71"/>
      <c r="AN371" s="71"/>
      <c r="AO371" s="71"/>
      <c r="AP371" s="71"/>
      <c r="AQ371" s="71"/>
      <c r="AR371" s="71"/>
      <c r="AS371" s="94">
        <f t="shared" ca="1" si="651"/>
        <v>284</v>
      </c>
      <c r="AT371" s="95">
        <f>SUM(IF(AW371&lt;1.15,AG371,1.15*T371),IF(AX371&lt;1.15,AH371,1.15*U371),IF(AY371&lt;1.15,AI371,1.15*V371),IF(AZ371&lt;1.15,AJ371,1.15*W371),IF(BA371&lt;1.15,AK371,1.15*X371),IF(BB371&lt;1.15,AL371,1.15*Y371),IF(BC371&lt;1.15,AM371,1.15*Z371),IF(BD371&lt;1.15,AN371,1.15*AA371),IF(BE371&lt;1.15,AO371,1.15*AB371),IF(BF371&lt;1.15,AP371,1.15*AC371),IF(BG371&lt;1.15,AQ371,1.15*AD371),IF(BH371&lt;1.15,AR371,1.15*AE371))</f>
        <v>284</v>
      </c>
      <c r="AU371" s="97">
        <f t="shared" si="652"/>
        <v>284</v>
      </c>
      <c r="AW371" s="51">
        <f>IFERROR(IF(AG371="",0,AG371/T371),0)</f>
        <v>1</v>
      </c>
      <c r="AX371" s="51">
        <f>IFERROR(IF(AH371="",0,AH371/U371),0)</f>
        <v>1</v>
      </c>
      <c r="AY371" s="51">
        <f>IFERROR(IF(AI371="",0,AI371/V371),0)</f>
        <v>1</v>
      </c>
      <c r="AZ371" s="51">
        <f>IFERROR(IF(AJ371="",0,AJ371/W371),0)</f>
        <v>1</v>
      </c>
      <c r="BA371" s="51">
        <f>IFERROR(IF(AK371="",0,AK371/X371),0)</f>
        <v>1</v>
      </c>
      <c r="BB371" s="51"/>
      <c r="BC371" s="51"/>
      <c r="BD371" s="51"/>
      <c r="BE371" s="51"/>
      <c r="BF371" s="51"/>
      <c r="BG371" s="51"/>
      <c r="BH371" s="51"/>
      <c r="BI371" s="65" cm="1">
        <f t="array" ref="BI371">IFERROR(INDEX(AW371:BH371,1,MATCH(2,1/(AW371:BH371&lt;&gt;""))),"")</f>
        <v>1</v>
      </c>
      <c r="BJ371" s="68" cm="1">
        <f t="array" ref="BJ371">IF(BM371 = "", "",IFERROR(INDEX(AW371:BH371,1,MATCH(2,1/(AW371:BH371&lt;&gt;""),1)-1),""))</f>
        <v>1</v>
      </c>
      <c r="BK371" s="58">
        <f>IF((IF(AW371&gt;=115%,115%,AW371) + IF(AX371&gt;=115%,115%,AX371) + IF(AY371&gt;=115%,115%,AY371) + (IF(AZ371&gt;=115%,115%,AZ371) + IF(BA371&gt;=115%,115%,BA371) + IF(BB371&gt;=115%,115%,BB371) + IF(BC371&gt;=115%,115%,BC371) + IF(BD371&gt;=115%,115%,BD371) + IF(BE371&gt;=115%,115%,BE371) + IF(BF371&gt;=115%,115%,BF371) + IF(BG371&gt;=115%,115%,BG371) + IF(BH371&gt;=115%,115%,BH371)))/_xlfn.XLOOKUP(F371,Apuração!A:A,Apuração!B:B)&gt;=1.15,1.15,((IF(AZ371&gt;=115%,115%,AZ371) + IF(AX371&gt;=115%,115%,AX371) + IF(AY371&gt;=115%,115%,AY371) + (IF(AW371&gt;=115%,115%,AW371) + IF(BA371&gt;=115%,115%,BA371) + IF(BB371&gt;=115%,115%,BB371) + IF(BC371&gt;=115%,115%,BC371) + IF(BD371&gt;=115%,115%,BD371) + IF(BE371&gt;=115%,115%,BE371) + IF(BF371&gt;=115%,115%,BF371) + IF(BG371&gt;=115%,115%,BG371) + IF(BH371&gt;=115%,115%,BH371)))/_xlfn.XLOOKUP(F371,Apuração!A:A,Apuração!B:B)))</f>
        <v>0.41666666666666669</v>
      </c>
      <c r="BL371" s="58" cm="1">
        <f t="array" aca="1" ref="BL371" ca="1">IF(SUM(IFERROR(IF(INDEX(AW371:INDEX(AW371:BH371, MATCH(2, 1/(AW371:BH371&lt;&gt;""), 1)-1), ROW(INDIRECT("1:" &amp; MATCH(2, 1/(AW371:BH371&lt;&gt;""), 1)-1))) &gt;= 115%, 115%, INDEX(AW371:INDEX(AW371:BH371, MATCH(2, 1/(AW371:BH371&lt;&gt;""), 1)-1), ROW(INDIRECT("1:" &amp; MATCH(2, 1/(AW371:BH371&lt;&gt;""), 1)-1)))), 0))/_xlfn.XLOOKUP(F371,Apuração!A:A,Apuração!B:B)&gt;=1.15,1.15,SUM(IFERROR(IF(INDEX(AW371:INDEX(AW371:BH371, MATCH(2, 1/(AW371:BH371&lt;&gt;""), 1)-1), ROW(INDIRECT("1:" &amp; MATCH(2, 1/(AW371:BH371&lt;&gt;""), 1)-1))) &gt;= 115%, 115%, INDEX(AW371:INDEX(AW371:BH371, MATCH(2, 1/(AW371:BH371&lt;&gt;""), 1)-1), ROW(INDIRECT("1:" &amp; MATCH(2, 1/(AW371:BH371&lt;&gt;""), 1)-1)))), 0))/_xlfn.XLOOKUP(F371,Apuração!A:A,Apuração!B:B))</f>
        <v>0.33333333333333331</v>
      </c>
      <c r="BM371" s="55" cm="1">
        <f t="array" ref="BM371">IFERROR(
   INDEX($AW$1:$BH$1,
      _xlfn.AGGREGATE(14, 6, COLUMN($AW$1:$BH$1)/(AW371:BH371&lt;&gt;""), 2) - COLUMN($AW$1) + 1
   ),
"")</f>
        <v>46113</v>
      </c>
      <c r="BN371" s="55" cm="1">
        <f t="array" ref="BN371">IFERROR(INDEX($AW$1:$BH$1,1,MATCH(2,1/(AW371:BH371&lt;&gt;""))),"")</f>
        <v>46143</v>
      </c>
      <c r="BO371" s="53">
        <f ca="1">IFERROR(_xlfn.XLOOKUP(F371,Apuração!A:A,Apuração!C:C)/_xlfn.XLOOKUP(F371,Apuração!A:A,Apuração!B:B),0)</f>
        <v>0.41666666666666669</v>
      </c>
      <c r="BP371" s="53">
        <f ca="1">IFERROR(_xlfn.XLOOKUP(F371,Apuração!A:A,Apuração!D:D)/_xlfn.XLOOKUP(F371,Apuração!A:A,Apuração!B:B),0)</f>
        <v>0.33333333333333331</v>
      </c>
      <c r="BQ371" s="53">
        <f ca="1">IF(BK371&gt;=BO371,0,_xlfn.XLOOKUP(F371,Apuração!A:A,Apuração!B:B)*(BO371 + (1/_xlfn.XLOOKUP(F371,Apuração!A:A,Apuração!B:B)) - BK371))</f>
        <v>0</v>
      </c>
      <c r="BR371" s="85">
        <f t="shared" ca="1" si="644"/>
        <v>0</v>
      </c>
      <c r="BS371" s="53">
        <f ca="1">IFERROR((_xlfn.XLOOKUP(F371,Apuração!A:A,Apuração!C:C)+1)/_xlfn.XLOOKUP(F371,Apuração!A:A,Apuração!B:B),0)</f>
        <v>0.5</v>
      </c>
    </row>
    <row r="372" spans="1:71" ht="25.95" hidden="1" customHeight="1" x14ac:dyDescent="0.3">
      <c r="A372" s="3" t="s">
        <v>33</v>
      </c>
      <c r="B372" s="4" t="s">
        <v>60</v>
      </c>
      <c r="C372" s="5" t="s">
        <v>97</v>
      </c>
      <c r="D372" s="5" t="s">
        <v>98</v>
      </c>
      <c r="E372" s="4" t="str" cm="1">
        <f t="array" ref="E372">_xlfn.IFS(
F372 = "A partir de Abril", "Aguardando Execução na Distribuidora",
A372 = "CAPACITAÇÃO", "Em execução no Corporativo",
TRUE, "Em Execução na Distribuidora"
)</f>
        <v>Em Execução na Distribuidora</v>
      </c>
      <c r="F372" s="4" t="str" cm="1">
        <f t="array" ref="F372">_xlfn.IFS(
AG372 &lt;&gt; "", "Jan-Dez/26",
AH372 &lt;&gt; "", "Fev-Dez/26",
AI372 &lt;&gt; "", "Mar-Dez/26", AJ372 &lt;&gt; "", "Abr-Dez/26",
TRUE, "A partir de Junho"
)</f>
        <v>Abr-Dez/26</v>
      </c>
      <c r="G372" s="16" t="s">
        <v>37</v>
      </c>
      <c r="H372" s="7" t="s">
        <v>38</v>
      </c>
      <c r="I372" s="8" t="s">
        <v>63</v>
      </c>
      <c r="J372" s="8" t="str" cm="1">
        <f t="array" aca="1" ref="J372" ca="1">_xlfn.LET(
  _xlpm.actual_value_month, INDEX(T372:AE372, MATCH(DATE(YEAR(TODAY()), MONTH(TODAY()), 1), $T$1:$AE$1, 0)),
  IF(_xlpm.actual_value_month &lt;&gt; "",_xlpm.actual_value_month &amp; " ações mensais", "")
)</f>
        <v/>
      </c>
      <c r="K372" s="17" t="str" cm="1">
        <f t="array" ref="K372">_xlfn.LET(
    _xlpm.sum_month, SUM(T372:AE372),
    IF(_xlpm.sum_month = 0, "", _xlpm.sum_month &amp; " eventos realizados")
)</f>
        <v/>
      </c>
      <c r="L372" s="9" t="s">
        <v>64</v>
      </c>
      <c r="M372" s="13" t="s">
        <v>65</v>
      </c>
      <c r="N372" s="5" t="s">
        <v>42</v>
      </c>
      <c r="O372" s="5" t="s">
        <v>43</v>
      </c>
      <c r="P372" s="10" t="s">
        <v>44</v>
      </c>
      <c r="Q372" s="10" t="s">
        <v>44</v>
      </c>
      <c r="R372" s="11" t="s">
        <v>66</v>
      </c>
      <c r="S372" s="11" t="s">
        <v>67</v>
      </c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G372" s="71"/>
      <c r="AH372" s="71"/>
      <c r="AI372" s="71"/>
      <c r="AJ372" s="82">
        <v>0</v>
      </c>
      <c r="AK372" s="71"/>
      <c r="AL372" s="71"/>
      <c r="AM372" s="71"/>
      <c r="AN372" s="71"/>
      <c r="AO372" s="71"/>
      <c r="AP372" s="71"/>
      <c r="AQ372" s="71"/>
      <c r="AR372" s="71"/>
      <c r="AS372" s="94">
        <f t="shared" ref="AS372:AS381" ca="1" si="703">IF(MONTH(TODAY())=3,SUM(T372:U372),IF(MONTH(TODAY())=4,SUM(T372:V372),IF(MONTH(TODAY())=5,SUM(T372:W372),IF(MONTH(TODAY())=6,SUM(T372:X372),IF(MONTH(TODAY())=7,SUM(T372:Y372),IF(MONTH(TODAY())=8,SUM(T372:Z372),IF(MONTH(TODAY())=9,SUM(T372:AA372),IF(MONTH(TODAY())=10,SUM(T372:AB372),IF(MONTH(TODAY())=11,SUM(T372:AC372),IF(MONTH(TODAY())=12,SUM(T372:AD372),IF(MONTH(TODAY())=1,SUM(T372:AE372),T372)))))))))))</f>
        <v>0</v>
      </c>
      <c r="AT372" s="95">
        <f t="shared" ref="AT372:AT381" si="704">SUM(IF(AW372&lt;1.15,AG372,1.15*T372),IF(AX372&lt;1.15,AH372,1.15*U372),IF(AY372&lt;1.15,AI372,1.15*V372),IF(AZ372&lt;1.15,AJ372,1.15*W372),IF(BA372&lt;1.15,AK372,1.15*X372),IF(BB372&lt;1.15,AL372,1.15*Y372),IF(BC372&lt;1.15,AM372,1.15*Z372),IF(BD372&lt;1.15,AN372,1.15*AA372),IF(BE372&lt;1.15,AO372,1.15*AB372),IF(BF372&lt;1.15,AP372,1.15*AC372),IF(BG372&lt;1.15,AQ372,1.15*AD372),IF(BH372&lt;1.15,AR372,1.15*AE372))</f>
        <v>0</v>
      </c>
      <c r="AU372" s="97">
        <f t="shared" ref="AU372:AU381" si="705">SUM(AG372:AR372)</f>
        <v>0</v>
      </c>
      <c r="AW372" s="51">
        <f t="shared" ref="AW372:AW381" si="706">IFERROR(IF(AG372="",0,AG372/T372),0)</f>
        <v>0</v>
      </c>
      <c r="AX372" s="51">
        <f t="shared" ref="AX372:AX381" si="707">IFERROR(IF(AH372="",0,AH372/U372),0)</f>
        <v>0</v>
      </c>
      <c r="AY372" s="51">
        <f t="shared" ref="AY372:AY381" si="708">IFERROR(IF(AI372="",0,AI372/V372),0)</f>
        <v>0</v>
      </c>
      <c r="AZ372" s="51">
        <f t="shared" ref="AZ372:AZ381" si="709">IFERROR(IF(AJ372="",0,AJ372/W372),0)</f>
        <v>0</v>
      </c>
      <c r="BA372" s="51">
        <f t="shared" ref="BA372:BA381" si="710">IFERROR(IF(AK372="",0,AK372/X372),0)</f>
        <v>0</v>
      </c>
      <c r="BB372" s="51"/>
      <c r="BC372" s="51"/>
      <c r="BD372" s="51"/>
      <c r="BE372" s="51"/>
      <c r="BF372" s="51"/>
      <c r="BG372" s="51"/>
      <c r="BH372" s="51"/>
      <c r="BI372" s="65" cm="1">
        <f t="array" ref="BI372">IFERROR(INDEX(AW372:BH372,1,MATCH(2,1/(AW372:BH372&lt;&gt;""))),"")</f>
        <v>0</v>
      </c>
      <c r="BJ372" s="68" cm="1">
        <f t="array" ref="BJ372">IF(BM372 = "", "",IFERROR(INDEX(AW372:BH372,1,MATCH(2,1/(AW372:BH372&lt;&gt;""),1)-1),""))</f>
        <v>0</v>
      </c>
      <c r="BK372" s="58">
        <f>IF((IF(AW372&gt;=115%,115%,AW372) + IF(AX372&gt;=115%,115%,AX372) + IF(AY372&gt;=115%,115%,AY372) + (IF(AZ372&gt;=115%,115%,AZ372) + IF(BA372&gt;=115%,115%,BA372) + IF(BB372&gt;=115%,115%,BB372) + IF(BC372&gt;=115%,115%,BC372) + IF(BD372&gt;=115%,115%,BD372) + IF(BE372&gt;=115%,115%,BE372) + IF(BF372&gt;=115%,115%,BF372) + IF(BG372&gt;=115%,115%,BG372) + IF(BH372&gt;=115%,115%,BH372)))/_xlfn.XLOOKUP(F372,Apuração!A:A,Apuração!B:B)&gt;=1.15,1.15,((IF(AZ372&gt;=115%,115%,AZ372) + IF(AX372&gt;=115%,115%,AX372) + IF(AY372&gt;=115%,115%,AY372) + (IF(AW372&gt;=115%,115%,AW372) + IF(BA372&gt;=115%,115%,BA372) + IF(BB372&gt;=115%,115%,BB372) + IF(BC372&gt;=115%,115%,BC372) + IF(BD372&gt;=115%,115%,BD372) + IF(BE372&gt;=115%,115%,BE372) + IF(BF372&gt;=115%,115%,BF372) + IF(BG372&gt;=115%,115%,BG372) + IF(BH372&gt;=115%,115%,BH372)))/_xlfn.XLOOKUP(F372,Apuração!A:A,Apuração!B:B)))</f>
        <v>0</v>
      </c>
      <c r="BL372" s="58" cm="1">
        <f t="array" aca="1" ref="BL372" ca="1">IF(SUM(IFERROR(IF(INDEX(AW372:INDEX(AW372:BH372, MATCH(2, 1/(AW372:BH372&lt;&gt;""), 1)-1), ROW(INDIRECT("1:" &amp; MATCH(2, 1/(AW372:BH372&lt;&gt;""), 1)-1))) &gt;= 115%, 115%, INDEX(AW372:INDEX(AW372:BH372, MATCH(2, 1/(AW372:BH372&lt;&gt;""), 1)-1), ROW(INDIRECT("1:" &amp; MATCH(2, 1/(AW372:BH372&lt;&gt;""), 1)-1)))), 0))/_xlfn.XLOOKUP(F372,Apuração!A:A,Apuração!B:B)&gt;=1.15,1.15,SUM(IFERROR(IF(INDEX(AW372:INDEX(AW372:BH372, MATCH(2, 1/(AW372:BH372&lt;&gt;""), 1)-1), ROW(INDIRECT("1:" &amp; MATCH(2, 1/(AW372:BH372&lt;&gt;""), 1)-1))) &gt;= 115%, 115%, INDEX(AW372:INDEX(AW372:BH372, MATCH(2, 1/(AW372:BH372&lt;&gt;""), 1)-1), ROW(INDIRECT("1:" &amp; MATCH(2, 1/(AW372:BH372&lt;&gt;""), 1)-1)))), 0))/_xlfn.XLOOKUP(F372,Apuração!A:A,Apuração!B:B))</f>
        <v>0</v>
      </c>
      <c r="BM372" s="55" cm="1">
        <f t="array" ref="BM372">IFERROR(
   INDEX($AW$1:$BH$1,
      _xlfn.AGGREGATE(14, 6, COLUMN($AW$1:$BH$1)/(AW372:BH372&lt;&gt;""), 2) - COLUMN($AW$1) + 1
   ),
"")</f>
        <v>46113</v>
      </c>
      <c r="BN372" s="55" cm="1">
        <f t="array" ref="BN372">IFERROR(INDEX($AW$1:$BH$1,1,MATCH(2,1/(AW372:BH372&lt;&gt;""))),"")</f>
        <v>46143</v>
      </c>
      <c r="BO372" s="53">
        <f ca="1">IFERROR(_xlfn.XLOOKUP(F372,Apuração!A:A,Apuração!C:C)/_xlfn.XLOOKUP(F372,Apuração!A:A,Apuração!B:B),0)</f>
        <v>0.22222222222222221</v>
      </c>
      <c r="BP372" s="53">
        <f ca="1">IFERROR(_xlfn.XLOOKUP(F372,Apuração!A:A,Apuração!D:D)/_xlfn.XLOOKUP(F372,Apuração!A:A,Apuração!B:B),0)</f>
        <v>0.1111111111111111</v>
      </c>
      <c r="BQ372" s="53">
        <f ca="1">IF(BK372&gt;=BO372,0,_xlfn.XLOOKUP(F372,Apuração!A:A,Apuração!B:B)*(BO372 + (1/_xlfn.XLOOKUP(F372,Apuração!A:A,Apuração!B:B)) - BK372))</f>
        <v>3</v>
      </c>
      <c r="BR372" s="85">
        <f t="shared" ref="BR372:BR381" ca="1" si="711">IF(BQ372=0,0,BQ372*Z372)</f>
        <v>0</v>
      </c>
      <c r="BS372" s="53">
        <f ca="1">IFERROR((_xlfn.XLOOKUP(F372,Apuração!A:A,Apuração!C:C)+1)/_xlfn.XLOOKUP(F372,Apuração!A:A,Apuração!B:B),0)</f>
        <v>0.33333333333333331</v>
      </c>
    </row>
    <row r="373" spans="1:71" ht="25.95" hidden="1" customHeight="1" x14ac:dyDescent="0.3">
      <c r="A373" s="3" t="s">
        <v>33</v>
      </c>
      <c r="B373" s="4" t="s">
        <v>60</v>
      </c>
      <c r="C373" s="5" t="s">
        <v>97</v>
      </c>
      <c r="D373" s="5" t="s">
        <v>99</v>
      </c>
      <c r="E373" s="4" t="str" cm="1">
        <f t="array" ref="E373">_xlfn.IFS(
F373 = "A partir de Abril", "Aguardando Execução na Distribuidora",
A373 = "CAPACITAÇÃO", "Em execução no Corporativo",
TRUE, "Em Execução na Distribuidora"
)</f>
        <v>Em Execução na Distribuidora</v>
      </c>
      <c r="F373" s="4" t="str" cm="1">
        <f t="array" ref="F373">_xlfn.IFS(
AG373 &lt;&gt; "", "Jan-Dez/26",
AH373 &lt;&gt; "", "Fev-Dez/26",
AI373 &lt;&gt; "", "Mar-Dez/26", AJ373 &lt;&gt; "", "Abr-Dez/26",
TRUE, "A partir de Junho"
)</f>
        <v>Abr-Dez/26</v>
      </c>
      <c r="G373" s="16" t="s">
        <v>37</v>
      </c>
      <c r="H373" s="7" t="s">
        <v>38</v>
      </c>
      <c r="I373" s="8" t="s">
        <v>63</v>
      </c>
      <c r="J373" s="8" t="str" cm="1">
        <f t="array" aca="1" ref="J373" ca="1">_xlfn.LET(
  _xlpm.actual_value_month, INDEX(T373:AE373, MATCH(DATE(YEAR(TODAY()), MONTH(TODAY()), 1), $T$1:$AE$1, 0)),
  IF(_xlpm.actual_value_month &lt;&gt; "",_xlpm.actual_value_month &amp; " ações mensais", "")
)</f>
        <v/>
      </c>
      <c r="K373" s="17" t="str" cm="1">
        <f t="array" ref="K373">_xlfn.LET(
    _xlpm.sum_month, SUM(T373:AE373),
    IF(_xlpm.sum_month = 0, "", _xlpm.sum_month &amp; " eventos realizados")
)</f>
        <v/>
      </c>
      <c r="L373" s="9" t="s">
        <v>64</v>
      </c>
      <c r="M373" s="13" t="s">
        <v>65</v>
      </c>
      <c r="N373" s="5" t="s">
        <v>42</v>
      </c>
      <c r="O373" s="5" t="s">
        <v>43</v>
      </c>
      <c r="P373" s="10" t="s">
        <v>44</v>
      </c>
      <c r="Q373" s="10" t="s">
        <v>44</v>
      </c>
      <c r="R373" s="11" t="s">
        <v>66</v>
      </c>
      <c r="S373" s="11" t="s">
        <v>67</v>
      </c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G373" s="71"/>
      <c r="AH373" s="71"/>
      <c r="AI373" s="71"/>
      <c r="AJ373" s="82">
        <v>0</v>
      </c>
      <c r="AK373" s="71"/>
      <c r="AL373" s="71"/>
      <c r="AM373" s="71"/>
      <c r="AN373" s="71"/>
      <c r="AO373" s="71"/>
      <c r="AP373" s="71"/>
      <c r="AQ373" s="71"/>
      <c r="AR373" s="71"/>
      <c r="AS373" s="94">
        <f t="shared" ca="1" si="703"/>
        <v>0</v>
      </c>
      <c r="AT373" s="95">
        <f t="shared" si="704"/>
        <v>0</v>
      </c>
      <c r="AU373" s="97">
        <f t="shared" si="705"/>
        <v>0</v>
      </c>
      <c r="AW373" s="51">
        <f t="shared" si="706"/>
        <v>0</v>
      </c>
      <c r="AX373" s="51">
        <f t="shared" si="707"/>
        <v>0</v>
      </c>
      <c r="AY373" s="51">
        <f t="shared" si="708"/>
        <v>0</v>
      </c>
      <c r="AZ373" s="51">
        <f t="shared" si="709"/>
        <v>0</v>
      </c>
      <c r="BA373" s="51">
        <f t="shared" si="710"/>
        <v>0</v>
      </c>
      <c r="BB373" s="51"/>
      <c r="BC373" s="51"/>
      <c r="BD373" s="51"/>
      <c r="BE373" s="51"/>
      <c r="BF373" s="51"/>
      <c r="BG373" s="51"/>
      <c r="BH373" s="51"/>
      <c r="BI373" s="65" cm="1">
        <f t="array" ref="BI373">IFERROR(INDEX(AW373:BH373,1,MATCH(2,1/(AW373:BH373&lt;&gt;""))),"")</f>
        <v>0</v>
      </c>
      <c r="BJ373" s="68" cm="1">
        <f t="array" ref="BJ373">IF(BM373 = "", "",IFERROR(INDEX(AW373:BH373,1,MATCH(2,1/(AW373:BH373&lt;&gt;""),1)-1),""))</f>
        <v>0</v>
      </c>
      <c r="BK373" s="58">
        <f>IF((IF(AW373&gt;=115%,115%,AW373) + IF(AX373&gt;=115%,115%,AX373) + IF(AY373&gt;=115%,115%,AY373) + (IF(AZ373&gt;=115%,115%,AZ373) + IF(BA373&gt;=115%,115%,BA373) + IF(BB373&gt;=115%,115%,BB373) + IF(BC373&gt;=115%,115%,BC373) + IF(BD373&gt;=115%,115%,BD373) + IF(BE373&gt;=115%,115%,BE373) + IF(BF373&gt;=115%,115%,BF373) + IF(BG373&gt;=115%,115%,BG373) + IF(BH373&gt;=115%,115%,BH373)))/_xlfn.XLOOKUP(F373,Apuração!A:A,Apuração!B:B)&gt;=1.15,1.15,((IF(AZ373&gt;=115%,115%,AZ373) + IF(AX373&gt;=115%,115%,AX373) + IF(AY373&gt;=115%,115%,AY373) + (IF(AW373&gt;=115%,115%,AW373) + IF(BA373&gt;=115%,115%,BA373) + IF(BB373&gt;=115%,115%,BB373) + IF(BC373&gt;=115%,115%,BC373) + IF(BD373&gt;=115%,115%,BD373) + IF(BE373&gt;=115%,115%,BE373) + IF(BF373&gt;=115%,115%,BF373) + IF(BG373&gt;=115%,115%,BG373) + IF(BH373&gt;=115%,115%,BH373)))/_xlfn.XLOOKUP(F373,Apuração!A:A,Apuração!B:B)))</f>
        <v>0</v>
      </c>
      <c r="BL373" s="58" cm="1">
        <f t="array" aca="1" ref="BL373" ca="1">IF(SUM(IFERROR(IF(INDEX(AW373:INDEX(AW373:BH373, MATCH(2, 1/(AW373:BH373&lt;&gt;""), 1)-1), ROW(INDIRECT("1:" &amp; MATCH(2, 1/(AW373:BH373&lt;&gt;""), 1)-1))) &gt;= 115%, 115%, INDEX(AW373:INDEX(AW373:BH373, MATCH(2, 1/(AW373:BH373&lt;&gt;""), 1)-1), ROW(INDIRECT("1:" &amp; MATCH(2, 1/(AW373:BH373&lt;&gt;""), 1)-1)))), 0))/_xlfn.XLOOKUP(F373,Apuração!A:A,Apuração!B:B)&gt;=1.15,1.15,SUM(IFERROR(IF(INDEX(AW373:INDEX(AW373:BH373, MATCH(2, 1/(AW373:BH373&lt;&gt;""), 1)-1), ROW(INDIRECT("1:" &amp; MATCH(2, 1/(AW373:BH373&lt;&gt;""), 1)-1))) &gt;= 115%, 115%, INDEX(AW373:INDEX(AW373:BH373, MATCH(2, 1/(AW373:BH373&lt;&gt;""), 1)-1), ROW(INDIRECT("1:" &amp; MATCH(2, 1/(AW373:BH373&lt;&gt;""), 1)-1)))), 0))/_xlfn.XLOOKUP(F373,Apuração!A:A,Apuração!B:B))</f>
        <v>0</v>
      </c>
      <c r="BM373" s="55" cm="1">
        <f t="array" ref="BM373">IFERROR(
   INDEX($AW$1:$BH$1,
      _xlfn.AGGREGATE(14, 6, COLUMN($AW$1:$BH$1)/(AW373:BH373&lt;&gt;""), 2) - COLUMN($AW$1) + 1
   ),
"")</f>
        <v>46113</v>
      </c>
      <c r="BN373" s="55" cm="1">
        <f t="array" ref="BN373">IFERROR(INDEX($AW$1:$BH$1,1,MATCH(2,1/(AW373:BH373&lt;&gt;""))),"")</f>
        <v>46143</v>
      </c>
      <c r="BO373" s="53">
        <f ca="1">IFERROR(_xlfn.XLOOKUP(F373,Apuração!A:A,Apuração!C:C)/_xlfn.XLOOKUP(F373,Apuração!A:A,Apuração!B:B),0)</f>
        <v>0.22222222222222221</v>
      </c>
      <c r="BP373" s="53">
        <f ca="1">IFERROR(_xlfn.XLOOKUP(F373,Apuração!A:A,Apuração!D:D)/_xlfn.XLOOKUP(F373,Apuração!A:A,Apuração!B:B),0)</f>
        <v>0.1111111111111111</v>
      </c>
      <c r="BQ373" s="53">
        <f ca="1">IF(BK373&gt;=BO373,0,_xlfn.XLOOKUP(F373,Apuração!A:A,Apuração!B:B)*(BO373 + (1/_xlfn.XLOOKUP(F373,Apuração!A:A,Apuração!B:B)) - BK373))</f>
        <v>3</v>
      </c>
      <c r="BR373" s="85">
        <f t="shared" ca="1" si="711"/>
        <v>0</v>
      </c>
      <c r="BS373" s="53">
        <f ca="1">IFERROR((_xlfn.XLOOKUP(F373,Apuração!A:A,Apuração!C:C)+1)/_xlfn.XLOOKUP(F373,Apuração!A:A,Apuração!B:B),0)</f>
        <v>0.33333333333333331</v>
      </c>
    </row>
    <row r="374" spans="1:71" ht="25.95" hidden="1" customHeight="1" x14ac:dyDescent="0.3">
      <c r="A374" s="3" t="s">
        <v>33</v>
      </c>
      <c r="B374" s="4" t="s">
        <v>60</v>
      </c>
      <c r="C374" s="5" t="s">
        <v>97</v>
      </c>
      <c r="D374" s="5" t="s">
        <v>100</v>
      </c>
      <c r="E374" s="4" t="str" cm="1">
        <f t="array" ref="E374">_xlfn.IFS(
F374 = "A partir de Abril", "Aguardando Execução na Distribuidora",
A374 = "CAPACITAÇÃO", "Em execução no Corporativo",
TRUE, "Em Execução na Distribuidora"
)</f>
        <v>Em Execução na Distribuidora</v>
      </c>
      <c r="F374" s="4" t="str" cm="1">
        <f t="array" ref="F374">_xlfn.IFS(
AG374 &lt;&gt; "", "Jan-Dez/26",
AH374 &lt;&gt; "", "Fev-Dez/26",
AI374 &lt;&gt; "", "Mar-Dez/26", AJ374 &lt;&gt; "", "Abr-Dez/26",
TRUE, "A partir de Junho"
)</f>
        <v>Abr-Dez/26</v>
      </c>
      <c r="G374" s="16" t="s">
        <v>37</v>
      </c>
      <c r="H374" s="7" t="s">
        <v>38</v>
      </c>
      <c r="I374" s="8" t="s">
        <v>63</v>
      </c>
      <c r="J374" s="8" t="str" cm="1">
        <f t="array" aca="1" ref="J374" ca="1">_xlfn.LET(
  _xlpm.actual_value_month, INDEX(T374:AE374, MATCH(DATE(YEAR(TODAY()), MONTH(TODAY()), 1), $T$1:$AE$1, 0)),
  IF(_xlpm.actual_value_month &lt;&gt; "",_xlpm.actual_value_month &amp; " ações mensais", "")
)</f>
        <v/>
      </c>
      <c r="K374" s="17" t="str" cm="1">
        <f t="array" ref="K374">_xlfn.LET(
    _xlpm.sum_month, SUM(T374:AE374),
    IF(_xlpm.sum_month = 0, "", _xlpm.sum_month &amp; " eventos realizados")
)</f>
        <v>21 eventos realizados</v>
      </c>
      <c r="L374" s="9" t="s">
        <v>64</v>
      </c>
      <c r="M374" s="13" t="s">
        <v>65</v>
      </c>
      <c r="N374" s="5" t="s">
        <v>42</v>
      </c>
      <c r="O374" s="5" t="s">
        <v>43</v>
      </c>
      <c r="P374" s="10" t="s">
        <v>44</v>
      </c>
      <c r="Q374" s="10" t="s">
        <v>44</v>
      </c>
      <c r="R374" s="11" t="s">
        <v>66</v>
      </c>
      <c r="S374" s="11" t="s">
        <v>67</v>
      </c>
      <c r="T374" s="22"/>
      <c r="U374" s="22"/>
      <c r="V374" s="22"/>
      <c r="W374" s="22">
        <v>20</v>
      </c>
      <c r="X374" s="22">
        <v>1</v>
      </c>
      <c r="Y374" s="22"/>
      <c r="Z374" s="22"/>
      <c r="AA374" s="22"/>
      <c r="AB374" s="22"/>
      <c r="AC374" s="22"/>
      <c r="AD374" s="22"/>
      <c r="AE374" s="22"/>
      <c r="AG374" s="71"/>
      <c r="AH374" s="71"/>
      <c r="AI374" s="71"/>
      <c r="AJ374" s="82">
        <v>20</v>
      </c>
      <c r="AK374" s="71">
        <v>1</v>
      </c>
      <c r="AL374" s="71"/>
      <c r="AM374" s="71"/>
      <c r="AN374" s="71"/>
      <c r="AO374" s="71"/>
      <c r="AP374" s="71"/>
      <c r="AQ374" s="71"/>
      <c r="AR374" s="71"/>
      <c r="AS374" s="94">
        <f t="shared" ca="1" si="703"/>
        <v>21</v>
      </c>
      <c r="AT374" s="95">
        <f t="shared" si="704"/>
        <v>21</v>
      </c>
      <c r="AU374" s="97">
        <f t="shared" si="705"/>
        <v>21</v>
      </c>
      <c r="AW374" s="51">
        <f t="shared" si="706"/>
        <v>0</v>
      </c>
      <c r="AX374" s="51">
        <f t="shared" si="707"/>
        <v>0</v>
      </c>
      <c r="AY374" s="51">
        <f t="shared" si="708"/>
        <v>0</v>
      </c>
      <c r="AZ374" s="51">
        <f t="shared" si="709"/>
        <v>1</v>
      </c>
      <c r="BA374" s="51">
        <f t="shared" si="710"/>
        <v>1</v>
      </c>
      <c r="BB374" s="51"/>
      <c r="BC374" s="51"/>
      <c r="BD374" s="51"/>
      <c r="BE374" s="51"/>
      <c r="BF374" s="51"/>
      <c r="BG374" s="51"/>
      <c r="BH374" s="51"/>
      <c r="BI374" s="65" cm="1">
        <f t="array" ref="BI374">IFERROR(INDEX(AW374:BH374,1,MATCH(2,1/(AW374:BH374&lt;&gt;""))),"")</f>
        <v>1</v>
      </c>
      <c r="BJ374" s="68" cm="1">
        <f t="array" ref="BJ374">IF(BM374 = "", "",IFERROR(INDEX(AW374:BH374,1,MATCH(2,1/(AW374:BH374&lt;&gt;""),1)-1),""))</f>
        <v>1</v>
      </c>
      <c r="BK374" s="58">
        <f>IF((IF(AW374&gt;=115%,115%,AW374) + IF(AX374&gt;=115%,115%,AX374) + IF(AY374&gt;=115%,115%,AY374) + (IF(AZ374&gt;=115%,115%,AZ374) + IF(BA374&gt;=115%,115%,BA374) + IF(BB374&gt;=115%,115%,BB374) + IF(BC374&gt;=115%,115%,BC374) + IF(BD374&gt;=115%,115%,BD374) + IF(BE374&gt;=115%,115%,BE374) + IF(BF374&gt;=115%,115%,BF374) + IF(BG374&gt;=115%,115%,BG374) + IF(BH374&gt;=115%,115%,BH374)))/_xlfn.XLOOKUP(F374,Apuração!A:A,Apuração!B:B)&gt;=1.15,1.15,((IF(AZ374&gt;=115%,115%,AZ374) + IF(AX374&gt;=115%,115%,AX374) + IF(AY374&gt;=115%,115%,AY374) + (IF(AW374&gt;=115%,115%,AW374) + IF(BA374&gt;=115%,115%,BA374) + IF(BB374&gt;=115%,115%,BB374) + IF(BC374&gt;=115%,115%,BC374) + IF(BD374&gt;=115%,115%,BD374) + IF(BE374&gt;=115%,115%,BE374) + IF(BF374&gt;=115%,115%,BF374) + IF(BG374&gt;=115%,115%,BG374) + IF(BH374&gt;=115%,115%,BH374)))/_xlfn.XLOOKUP(F374,Apuração!A:A,Apuração!B:B)))</f>
        <v>0.22222222222222221</v>
      </c>
      <c r="BL374" s="58" cm="1">
        <f t="array" aca="1" ref="BL374" ca="1">IF(SUM(IFERROR(IF(INDEX(AW374:INDEX(AW374:BH374, MATCH(2, 1/(AW374:BH374&lt;&gt;""), 1)-1), ROW(INDIRECT("1:" &amp; MATCH(2, 1/(AW374:BH374&lt;&gt;""), 1)-1))) &gt;= 115%, 115%, INDEX(AW374:INDEX(AW374:BH374, MATCH(2, 1/(AW374:BH374&lt;&gt;""), 1)-1), ROW(INDIRECT("1:" &amp; MATCH(2, 1/(AW374:BH374&lt;&gt;""), 1)-1)))), 0))/_xlfn.XLOOKUP(F374,Apuração!A:A,Apuração!B:B)&gt;=1.15,1.15,SUM(IFERROR(IF(INDEX(AW374:INDEX(AW374:BH374, MATCH(2, 1/(AW374:BH374&lt;&gt;""), 1)-1), ROW(INDIRECT("1:" &amp; MATCH(2, 1/(AW374:BH374&lt;&gt;""), 1)-1))) &gt;= 115%, 115%, INDEX(AW374:INDEX(AW374:BH374, MATCH(2, 1/(AW374:BH374&lt;&gt;""), 1)-1), ROW(INDIRECT("1:" &amp; MATCH(2, 1/(AW374:BH374&lt;&gt;""), 1)-1)))), 0))/_xlfn.XLOOKUP(F374,Apuração!A:A,Apuração!B:B))</f>
        <v>0.1111111111111111</v>
      </c>
      <c r="BM374" s="55" cm="1">
        <f t="array" ref="BM374">IFERROR(
   INDEX($AW$1:$BH$1,
      _xlfn.AGGREGATE(14, 6, COLUMN($AW$1:$BH$1)/(AW374:BH374&lt;&gt;""), 2) - COLUMN($AW$1) + 1
   ),
"")</f>
        <v>46113</v>
      </c>
      <c r="BN374" s="55" cm="1">
        <f t="array" ref="BN374">IFERROR(INDEX($AW$1:$BH$1,1,MATCH(2,1/(AW374:BH374&lt;&gt;""))),"")</f>
        <v>46143</v>
      </c>
      <c r="BO374" s="53">
        <f ca="1">IFERROR(_xlfn.XLOOKUP(F374,Apuração!A:A,Apuração!C:C)/_xlfn.XLOOKUP(F374,Apuração!A:A,Apuração!B:B),0)</f>
        <v>0.22222222222222221</v>
      </c>
      <c r="BP374" s="53">
        <f ca="1">IFERROR(_xlfn.XLOOKUP(F374,Apuração!A:A,Apuração!D:D)/_xlfn.XLOOKUP(F374,Apuração!A:A,Apuração!B:B),0)</f>
        <v>0.1111111111111111</v>
      </c>
      <c r="BQ374" s="53">
        <f ca="1">IF(BK374&gt;=BO374,0,_xlfn.XLOOKUP(F374,Apuração!A:A,Apuração!B:B)*(BO374 + (1/_xlfn.XLOOKUP(F374,Apuração!A:A,Apuração!B:B)) - BK374))</f>
        <v>0</v>
      </c>
      <c r="BR374" s="85">
        <f t="shared" ca="1" si="711"/>
        <v>0</v>
      </c>
      <c r="BS374" s="53">
        <f ca="1">IFERROR((_xlfn.XLOOKUP(F374,Apuração!A:A,Apuração!C:C)+1)/_xlfn.XLOOKUP(F374,Apuração!A:A,Apuração!B:B),0)</f>
        <v>0.33333333333333331</v>
      </c>
    </row>
    <row r="375" spans="1:71" ht="25.95" hidden="1" customHeight="1" x14ac:dyDescent="0.3">
      <c r="A375" s="3" t="s">
        <v>33</v>
      </c>
      <c r="B375" s="4" t="s">
        <v>60</v>
      </c>
      <c r="C375" s="5" t="s">
        <v>97</v>
      </c>
      <c r="D375" s="5" t="s">
        <v>101</v>
      </c>
      <c r="E375" s="4" t="str" cm="1">
        <f t="array" ref="E375">_xlfn.IFS(
F375 = "A partir de Abril", "Aguardando Execução na Distribuidora",
A375 = "CAPACITAÇÃO", "Em execução no Corporativo",
TRUE, "Em Execução na Distribuidora"
)</f>
        <v>Em Execução na Distribuidora</v>
      </c>
      <c r="F375" s="4" t="str" cm="1">
        <f t="array" ref="F375">_xlfn.IFS(
AG375 &lt;&gt; "", "Jan-Dez/26",
AH375 &lt;&gt; "", "Fev-Dez/26",
AI375 &lt;&gt; "", "Mar-Dez/26", AJ375 &lt;&gt; "", "Abr-Dez/26",
TRUE, "A partir de Junho"
)</f>
        <v>Abr-Dez/26</v>
      </c>
      <c r="G375" s="16" t="s">
        <v>37</v>
      </c>
      <c r="H375" s="7" t="s">
        <v>38</v>
      </c>
      <c r="I375" s="8" t="s">
        <v>63</v>
      </c>
      <c r="J375" s="8" t="str" cm="1">
        <f t="array" aca="1" ref="J375" ca="1">_xlfn.LET(
  _xlpm.actual_value_month, INDEX(T375:AE375, MATCH(DATE(YEAR(TODAY()), MONTH(TODAY()), 1), $T$1:$AE$1, 0)),
  IF(_xlpm.actual_value_month &lt;&gt; "",_xlpm.actual_value_month &amp; " ações mensais", "")
)</f>
        <v/>
      </c>
      <c r="K375" s="17" t="str" cm="1">
        <f t="array" ref="K375">_xlfn.LET(
    _xlpm.sum_month, SUM(T375:AE375),
    IF(_xlpm.sum_month = 0, "", _xlpm.sum_month &amp; " eventos realizados")
)</f>
        <v/>
      </c>
      <c r="L375" s="9" t="s">
        <v>64</v>
      </c>
      <c r="M375" s="13" t="s">
        <v>65</v>
      </c>
      <c r="N375" s="5" t="s">
        <v>42</v>
      </c>
      <c r="O375" s="5" t="s">
        <v>43</v>
      </c>
      <c r="P375" s="10" t="s">
        <v>44</v>
      </c>
      <c r="Q375" s="10" t="s">
        <v>44</v>
      </c>
      <c r="R375" s="11" t="s">
        <v>66</v>
      </c>
      <c r="S375" s="11" t="s">
        <v>67</v>
      </c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G375" s="71"/>
      <c r="AH375" s="71"/>
      <c r="AI375" s="71"/>
      <c r="AJ375" s="82">
        <v>102</v>
      </c>
      <c r="AK375" s="71"/>
      <c r="AL375" s="71"/>
      <c r="AM375" s="71"/>
      <c r="AN375" s="71"/>
      <c r="AO375" s="71"/>
      <c r="AP375" s="71"/>
      <c r="AQ375" s="71"/>
      <c r="AR375" s="71"/>
      <c r="AS375" s="94">
        <f t="shared" ca="1" si="703"/>
        <v>0</v>
      </c>
      <c r="AT375" s="95">
        <f t="shared" si="704"/>
        <v>102</v>
      </c>
      <c r="AU375" s="97">
        <f t="shared" si="705"/>
        <v>102</v>
      </c>
      <c r="AW375" s="51">
        <f t="shared" si="706"/>
        <v>0</v>
      </c>
      <c r="AX375" s="51">
        <f t="shared" si="707"/>
        <v>0</v>
      </c>
      <c r="AY375" s="51">
        <f t="shared" si="708"/>
        <v>0</v>
      </c>
      <c r="AZ375" s="51">
        <f t="shared" si="709"/>
        <v>0</v>
      </c>
      <c r="BA375" s="51">
        <f t="shared" si="710"/>
        <v>0</v>
      </c>
      <c r="BB375" s="51"/>
      <c r="BC375" s="51"/>
      <c r="BD375" s="51"/>
      <c r="BE375" s="51"/>
      <c r="BF375" s="51"/>
      <c r="BG375" s="51"/>
      <c r="BH375" s="51"/>
      <c r="BI375" s="65" cm="1">
        <f t="array" ref="BI375">IFERROR(INDEX(AW375:BH375,1,MATCH(2,1/(AW375:BH375&lt;&gt;""))),"")</f>
        <v>0</v>
      </c>
      <c r="BJ375" s="68" cm="1">
        <f t="array" ref="BJ375">IF(BM375 = "", "",IFERROR(INDEX(AW375:BH375,1,MATCH(2,1/(AW375:BH375&lt;&gt;""),1)-1),""))</f>
        <v>0</v>
      </c>
      <c r="BK375" s="58">
        <f>IF((IF(AW375&gt;=115%,115%,AW375) + IF(AX375&gt;=115%,115%,AX375) + IF(AY375&gt;=115%,115%,AY375) + (IF(AZ375&gt;=115%,115%,AZ375) + IF(BA375&gt;=115%,115%,BA375) + IF(BB375&gt;=115%,115%,BB375) + IF(BC375&gt;=115%,115%,BC375) + IF(BD375&gt;=115%,115%,BD375) + IF(BE375&gt;=115%,115%,BE375) + IF(BF375&gt;=115%,115%,BF375) + IF(BG375&gt;=115%,115%,BG375) + IF(BH375&gt;=115%,115%,BH375)))/_xlfn.XLOOKUP(F375,Apuração!A:A,Apuração!B:B)&gt;=1.15,1.15,((IF(AZ375&gt;=115%,115%,AZ375) + IF(AX375&gt;=115%,115%,AX375) + IF(AY375&gt;=115%,115%,AY375) + (IF(AW375&gt;=115%,115%,AW375) + IF(BA375&gt;=115%,115%,BA375) + IF(BB375&gt;=115%,115%,BB375) + IF(BC375&gt;=115%,115%,BC375) + IF(BD375&gt;=115%,115%,BD375) + IF(BE375&gt;=115%,115%,BE375) + IF(BF375&gt;=115%,115%,BF375) + IF(BG375&gt;=115%,115%,BG375) + IF(BH375&gt;=115%,115%,BH375)))/_xlfn.XLOOKUP(F375,Apuração!A:A,Apuração!B:B)))</f>
        <v>0</v>
      </c>
      <c r="BL375" s="58" cm="1">
        <f t="array" aca="1" ref="BL375" ca="1">IF(SUM(IFERROR(IF(INDEX(AW375:INDEX(AW375:BH375, MATCH(2, 1/(AW375:BH375&lt;&gt;""), 1)-1), ROW(INDIRECT("1:" &amp; MATCH(2, 1/(AW375:BH375&lt;&gt;""), 1)-1))) &gt;= 115%, 115%, INDEX(AW375:INDEX(AW375:BH375, MATCH(2, 1/(AW375:BH375&lt;&gt;""), 1)-1), ROW(INDIRECT("1:" &amp; MATCH(2, 1/(AW375:BH375&lt;&gt;""), 1)-1)))), 0))/_xlfn.XLOOKUP(F375,Apuração!A:A,Apuração!B:B)&gt;=1.15,1.15,SUM(IFERROR(IF(INDEX(AW375:INDEX(AW375:BH375, MATCH(2, 1/(AW375:BH375&lt;&gt;""), 1)-1), ROW(INDIRECT("1:" &amp; MATCH(2, 1/(AW375:BH375&lt;&gt;""), 1)-1))) &gt;= 115%, 115%, INDEX(AW375:INDEX(AW375:BH375, MATCH(2, 1/(AW375:BH375&lt;&gt;""), 1)-1), ROW(INDIRECT("1:" &amp; MATCH(2, 1/(AW375:BH375&lt;&gt;""), 1)-1)))), 0))/_xlfn.XLOOKUP(F375,Apuração!A:A,Apuração!B:B))</f>
        <v>0</v>
      </c>
      <c r="BM375" s="55" cm="1">
        <f t="array" ref="BM375">IFERROR(
   INDEX($AW$1:$BH$1,
      _xlfn.AGGREGATE(14, 6, COLUMN($AW$1:$BH$1)/(AW375:BH375&lt;&gt;""), 2) - COLUMN($AW$1) + 1
   ),
"")</f>
        <v>46113</v>
      </c>
      <c r="BN375" s="55" cm="1">
        <f t="array" ref="BN375">IFERROR(INDEX($AW$1:$BH$1,1,MATCH(2,1/(AW375:BH375&lt;&gt;""))),"")</f>
        <v>46143</v>
      </c>
      <c r="BO375" s="53">
        <f ca="1">IFERROR(_xlfn.XLOOKUP(F375,Apuração!A:A,Apuração!C:C)/_xlfn.XLOOKUP(F375,Apuração!A:A,Apuração!B:B),0)</f>
        <v>0.22222222222222221</v>
      </c>
      <c r="BP375" s="53">
        <f ca="1">IFERROR(_xlfn.XLOOKUP(F375,Apuração!A:A,Apuração!D:D)/_xlfn.XLOOKUP(F375,Apuração!A:A,Apuração!B:B),0)</f>
        <v>0.1111111111111111</v>
      </c>
      <c r="BQ375" s="53">
        <f ca="1">IF(BK375&gt;=BO375,0,_xlfn.XLOOKUP(F375,Apuração!A:A,Apuração!B:B)*(BO375 + (1/_xlfn.XLOOKUP(F375,Apuração!A:A,Apuração!B:B)) - BK375))</f>
        <v>3</v>
      </c>
      <c r="BR375" s="85">
        <f t="shared" ca="1" si="711"/>
        <v>0</v>
      </c>
      <c r="BS375" s="53">
        <f ca="1">IFERROR((_xlfn.XLOOKUP(F375,Apuração!A:A,Apuração!C:C)+1)/_xlfn.XLOOKUP(F375,Apuração!A:A,Apuração!B:B),0)</f>
        <v>0.33333333333333331</v>
      </c>
    </row>
    <row r="376" spans="1:71" ht="25.95" hidden="1" customHeight="1" x14ac:dyDescent="0.3">
      <c r="A376" s="3" t="s">
        <v>33</v>
      </c>
      <c r="B376" s="4" t="s">
        <v>60</v>
      </c>
      <c r="C376" s="5" t="s">
        <v>97</v>
      </c>
      <c r="D376" s="5" t="s">
        <v>102</v>
      </c>
      <c r="E376" s="4" t="str" cm="1">
        <f t="array" ref="E376">_xlfn.IFS(
F376 = "A partir de Abril", "Aguardando Execução na Distribuidora",
A376 = "CAPACITAÇÃO", "Em execução no Corporativo",
TRUE, "Em Execução na Distribuidora"
)</f>
        <v>Em Execução na Distribuidora</v>
      </c>
      <c r="F376" s="4" t="str" cm="1">
        <f t="array" ref="F376">_xlfn.IFS(
AG376 &lt;&gt; "", "Jan-Dez/26",
AH376 &lt;&gt; "", "Fev-Dez/26",
AI376 &lt;&gt; "", "Mar-Dez/26", AJ376 &lt;&gt; "", "Abr-Dez/26",
TRUE, "A partir de Junho"
)</f>
        <v>Abr-Dez/26</v>
      </c>
      <c r="G376" s="16" t="s">
        <v>37</v>
      </c>
      <c r="H376" s="7" t="s">
        <v>38</v>
      </c>
      <c r="I376" s="8" t="s">
        <v>63</v>
      </c>
      <c r="J376" s="8" t="str" cm="1">
        <f t="array" aca="1" ref="J376" ca="1">_xlfn.LET(
  _xlpm.actual_value_month, INDEX(T376:AE376, MATCH(DATE(YEAR(TODAY()), MONTH(TODAY()), 1), $T$1:$AE$1, 0)),
  IF(_xlpm.actual_value_month &lt;&gt; "",_xlpm.actual_value_month &amp; " ações mensais", "")
)</f>
        <v/>
      </c>
      <c r="K376" s="17" t="str" cm="1">
        <f t="array" ref="K376">_xlfn.LET(
    _xlpm.sum_month, SUM(T376:AE376),
    IF(_xlpm.sum_month = 0, "", _xlpm.sum_month &amp; " eventos realizados")
)</f>
        <v/>
      </c>
      <c r="L376" s="9" t="s">
        <v>64</v>
      </c>
      <c r="M376" s="13" t="s">
        <v>65</v>
      </c>
      <c r="N376" s="5" t="s">
        <v>42</v>
      </c>
      <c r="O376" s="5" t="s">
        <v>43</v>
      </c>
      <c r="P376" s="10" t="s">
        <v>44</v>
      </c>
      <c r="Q376" s="10" t="s">
        <v>44</v>
      </c>
      <c r="R376" s="11" t="s">
        <v>66</v>
      </c>
      <c r="S376" s="11" t="s">
        <v>67</v>
      </c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G376" s="71"/>
      <c r="AH376" s="71"/>
      <c r="AI376" s="71"/>
      <c r="AJ376" s="82">
        <v>0</v>
      </c>
      <c r="AK376" s="71"/>
      <c r="AL376" s="71"/>
      <c r="AM376" s="71"/>
      <c r="AN376" s="71"/>
      <c r="AO376" s="71"/>
      <c r="AP376" s="71"/>
      <c r="AQ376" s="71"/>
      <c r="AR376" s="71"/>
      <c r="AS376" s="94">
        <f t="shared" ca="1" si="703"/>
        <v>0</v>
      </c>
      <c r="AT376" s="95">
        <f t="shared" si="704"/>
        <v>0</v>
      </c>
      <c r="AU376" s="97">
        <f t="shared" si="705"/>
        <v>0</v>
      </c>
      <c r="AW376" s="51">
        <f t="shared" si="706"/>
        <v>0</v>
      </c>
      <c r="AX376" s="51">
        <f t="shared" si="707"/>
        <v>0</v>
      </c>
      <c r="AY376" s="51">
        <f t="shared" si="708"/>
        <v>0</v>
      </c>
      <c r="AZ376" s="51">
        <f t="shared" si="709"/>
        <v>0</v>
      </c>
      <c r="BA376" s="51">
        <f t="shared" si="710"/>
        <v>0</v>
      </c>
      <c r="BB376" s="51"/>
      <c r="BC376" s="51"/>
      <c r="BD376" s="51"/>
      <c r="BE376" s="51"/>
      <c r="BF376" s="51"/>
      <c r="BG376" s="51"/>
      <c r="BH376" s="51"/>
      <c r="BI376" s="65" cm="1">
        <f t="array" ref="BI376">IFERROR(INDEX(AW376:BH376,1,MATCH(2,1/(AW376:BH376&lt;&gt;""))),"")</f>
        <v>0</v>
      </c>
      <c r="BJ376" s="68" cm="1">
        <f t="array" ref="BJ376">IF(BM376 = "", "",IFERROR(INDEX(AW376:BH376,1,MATCH(2,1/(AW376:BH376&lt;&gt;""),1)-1),""))</f>
        <v>0</v>
      </c>
      <c r="BK376" s="58">
        <f>IF((IF(AW376&gt;=115%,115%,AW376) + IF(AX376&gt;=115%,115%,AX376) + IF(AY376&gt;=115%,115%,AY376) + (IF(AZ376&gt;=115%,115%,AZ376) + IF(BA376&gt;=115%,115%,BA376) + IF(BB376&gt;=115%,115%,BB376) + IF(BC376&gt;=115%,115%,BC376) + IF(BD376&gt;=115%,115%,BD376) + IF(BE376&gt;=115%,115%,BE376) + IF(BF376&gt;=115%,115%,BF376) + IF(BG376&gt;=115%,115%,BG376) + IF(BH376&gt;=115%,115%,BH376)))/_xlfn.XLOOKUP(F376,Apuração!A:A,Apuração!B:B)&gt;=1.15,1.15,((IF(AZ376&gt;=115%,115%,AZ376) + IF(AX376&gt;=115%,115%,AX376) + IF(AY376&gt;=115%,115%,AY376) + (IF(AW376&gt;=115%,115%,AW376) + IF(BA376&gt;=115%,115%,BA376) + IF(BB376&gt;=115%,115%,BB376) + IF(BC376&gt;=115%,115%,BC376) + IF(BD376&gt;=115%,115%,BD376) + IF(BE376&gt;=115%,115%,BE376) + IF(BF376&gt;=115%,115%,BF376) + IF(BG376&gt;=115%,115%,BG376) + IF(BH376&gt;=115%,115%,BH376)))/_xlfn.XLOOKUP(F376,Apuração!A:A,Apuração!B:B)))</f>
        <v>0</v>
      </c>
      <c r="BL376" s="58" cm="1">
        <f t="array" aca="1" ref="BL376" ca="1">IF(SUM(IFERROR(IF(INDEX(AW376:INDEX(AW376:BH376, MATCH(2, 1/(AW376:BH376&lt;&gt;""), 1)-1), ROW(INDIRECT("1:" &amp; MATCH(2, 1/(AW376:BH376&lt;&gt;""), 1)-1))) &gt;= 115%, 115%, INDEX(AW376:INDEX(AW376:BH376, MATCH(2, 1/(AW376:BH376&lt;&gt;""), 1)-1), ROW(INDIRECT("1:" &amp; MATCH(2, 1/(AW376:BH376&lt;&gt;""), 1)-1)))), 0))/_xlfn.XLOOKUP(F376,Apuração!A:A,Apuração!B:B)&gt;=1.15,1.15,SUM(IFERROR(IF(INDEX(AW376:INDEX(AW376:BH376, MATCH(2, 1/(AW376:BH376&lt;&gt;""), 1)-1), ROW(INDIRECT("1:" &amp; MATCH(2, 1/(AW376:BH376&lt;&gt;""), 1)-1))) &gt;= 115%, 115%, INDEX(AW376:INDEX(AW376:BH376, MATCH(2, 1/(AW376:BH376&lt;&gt;""), 1)-1), ROW(INDIRECT("1:" &amp; MATCH(2, 1/(AW376:BH376&lt;&gt;""), 1)-1)))), 0))/_xlfn.XLOOKUP(F376,Apuração!A:A,Apuração!B:B))</f>
        <v>0</v>
      </c>
      <c r="BM376" s="55" cm="1">
        <f t="array" ref="BM376">IFERROR(
   INDEX($AW$1:$BH$1,
      _xlfn.AGGREGATE(14, 6, COLUMN($AW$1:$BH$1)/(AW376:BH376&lt;&gt;""), 2) - COLUMN($AW$1) + 1
   ),
"")</f>
        <v>46113</v>
      </c>
      <c r="BN376" s="55" cm="1">
        <f t="array" ref="BN376">IFERROR(INDEX($AW$1:$BH$1,1,MATCH(2,1/(AW376:BH376&lt;&gt;""))),"")</f>
        <v>46143</v>
      </c>
      <c r="BO376" s="53">
        <f ca="1">IFERROR(_xlfn.XLOOKUP(F376,Apuração!A:A,Apuração!C:C)/_xlfn.XLOOKUP(F376,Apuração!A:A,Apuração!B:B),0)</f>
        <v>0.22222222222222221</v>
      </c>
      <c r="BP376" s="53">
        <f ca="1">IFERROR(_xlfn.XLOOKUP(F376,Apuração!A:A,Apuração!D:D)/_xlfn.XLOOKUP(F376,Apuração!A:A,Apuração!B:B),0)</f>
        <v>0.1111111111111111</v>
      </c>
      <c r="BQ376" s="53">
        <f ca="1">IF(BK376&gt;=BO376,0,_xlfn.XLOOKUP(F376,Apuração!A:A,Apuração!B:B)*(BO376 + (1/_xlfn.XLOOKUP(F376,Apuração!A:A,Apuração!B:B)) - BK376))</f>
        <v>3</v>
      </c>
      <c r="BR376" s="85">
        <f t="shared" ca="1" si="711"/>
        <v>0</v>
      </c>
      <c r="BS376" s="53">
        <f ca="1">IFERROR((_xlfn.XLOOKUP(F376,Apuração!A:A,Apuração!C:C)+1)/_xlfn.XLOOKUP(F376,Apuração!A:A,Apuração!B:B),0)</f>
        <v>0.33333333333333331</v>
      </c>
    </row>
    <row r="377" spans="1:71" ht="25.95" hidden="1" customHeight="1" x14ac:dyDescent="0.3">
      <c r="A377" s="3" t="s">
        <v>33</v>
      </c>
      <c r="B377" s="4" t="s">
        <v>60</v>
      </c>
      <c r="C377" s="5" t="s">
        <v>97</v>
      </c>
      <c r="D377" s="5" t="s">
        <v>103</v>
      </c>
      <c r="E377" s="4" t="str" cm="1">
        <f t="array" ref="E377">_xlfn.IFS(
F377 = "A partir de Abril", "Aguardando Execução na Distribuidora",
A377 = "CAPACITAÇÃO", "Em execução no Corporativo",
TRUE, "Em Execução na Distribuidora"
)</f>
        <v>Em Execução na Distribuidora</v>
      </c>
      <c r="F377" s="4" t="str" cm="1">
        <f t="array" ref="F377">_xlfn.IFS(
AG377 &lt;&gt; "", "Jan-Dez/26",
AH377 &lt;&gt; "", "Fev-Dez/26",
AI377 &lt;&gt; "", "Mar-Dez/26", AJ377 &lt;&gt; "", "Abr-Dez/26",
TRUE, "A partir de Junho"
)</f>
        <v>Abr-Dez/26</v>
      </c>
      <c r="G377" s="16" t="s">
        <v>37</v>
      </c>
      <c r="H377" s="7" t="s">
        <v>38</v>
      </c>
      <c r="I377" s="8" t="s">
        <v>63</v>
      </c>
      <c r="J377" s="8" t="str" cm="1">
        <f t="array" aca="1" ref="J377" ca="1">_xlfn.LET(
  _xlpm.actual_value_month, INDEX(T377:AE377, MATCH(DATE(YEAR(TODAY()), MONTH(TODAY()), 1), $T$1:$AE$1, 0)),
  IF(_xlpm.actual_value_month &lt;&gt; "",_xlpm.actual_value_month &amp; " ações mensais", "")
)</f>
        <v/>
      </c>
      <c r="K377" s="17" t="str" cm="1">
        <f t="array" ref="K377">_xlfn.LET(
    _xlpm.sum_month, SUM(T377:AE377),
    IF(_xlpm.sum_month = 0, "", _xlpm.sum_month &amp; " eventos realizados")
)</f>
        <v>7 eventos realizados</v>
      </c>
      <c r="L377" s="9" t="s">
        <v>64</v>
      </c>
      <c r="M377" s="13" t="s">
        <v>65</v>
      </c>
      <c r="N377" s="5" t="s">
        <v>42</v>
      </c>
      <c r="O377" s="5" t="s">
        <v>43</v>
      </c>
      <c r="P377" s="10" t="s">
        <v>44</v>
      </c>
      <c r="Q377" s="10" t="s">
        <v>44</v>
      </c>
      <c r="R377" s="11" t="s">
        <v>66</v>
      </c>
      <c r="S377" s="11" t="s">
        <v>67</v>
      </c>
      <c r="T377" s="22"/>
      <c r="U377" s="22"/>
      <c r="V377" s="22"/>
      <c r="W377" s="22">
        <v>7</v>
      </c>
      <c r="X377" s="22"/>
      <c r="Y377" s="22"/>
      <c r="Z377" s="22"/>
      <c r="AA377" s="22"/>
      <c r="AB377" s="22"/>
      <c r="AC377" s="22"/>
      <c r="AD377" s="22"/>
      <c r="AE377" s="22"/>
      <c r="AG377" s="71"/>
      <c r="AH377" s="71"/>
      <c r="AI377" s="71"/>
      <c r="AJ377" s="82">
        <v>9</v>
      </c>
      <c r="AK377" s="71">
        <v>7</v>
      </c>
      <c r="AL377" s="71"/>
      <c r="AM377" s="71"/>
      <c r="AN377" s="71"/>
      <c r="AO377" s="71"/>
      <c r="AP377" s="71"/>
      <c r="AQ377" s="71"/>
      <c r="AR377" s="71"/>
      <c r="AS377" s="94">
        <f t="shared" ca="1" si="703"/>
        <v>7</v>
      </c>
      <c r="AT377" s="95">
        <f t="shared" si="704"/>
        <v>15.049999999999999</v>
      </c>
      <c r="AU377" s="97">
        <f t="shared" si="705"/>
        <v>16</v>
      </c>
      <c r="AW377" s="51">
        <f t="shared" si="706"/>
        <v>0</v>
      </c>
      <c r="AX377" s="51">
        <f t="shared" si="707"/>
        <v>0</v>
      </c>
      <c r="AY377" s="51">
        <f t="shared" si="708"/>
        <v>0</v>
      </c>
      <c r="AZ377" s="51">
        <f t="shared" si="709"/>
        <v>1.2857142857142858</v>
      </c>
      <c r="BA377" s="51">
        <f t="shared" si="710"/>
        <v>0</v>
      </c>
      <c r="BB377" s="51"/>
      <c r="BC377" s="51"/>
      <c r="BD377" s="51"/>
      <c r="BE377" s="51"/>
      <c r="BF377" s="51"/>
      <c r="BG377" s="51"/>
      <c r="BH377" s="51"/>
      <c r="BI377" s="65" cm="1">
        <f t="array" ref="BI377">IFERROR(INDEX(AW377:BH377,1,MATCH(2,1/(AW377:BH377&lt;&gt;""))),"")</f>
        <v>0</v>
      </c>
      <c r="BJ377" s="68" cm="1">
        <f t="array" ref="BJ377">IF(BM377 = "", "",IFERROR(INDEX(AW377:BH377,1,MATCH(2,1/(AW377:BH377&lt;&gt;""),1)-1),""))</f>
        <v>1.2857142857142858</v>
      </c>
      <c r="BK377" s="58">
        <f>IF((IF(AW377&gt;=115%,115%,AW377) + IF(AX377&gt;=115%,115%,AX377) + IF(AY377&gt;=115%,115%,AY377) + (IF(AZ377&gt;=115%,115%,AZ377) + IF(BA377&gt;=115%,115%,BA377) + IF(BB377&gt;=115%,115%,BB377) + IF(BC377&gt;=115%,115%,BC377) + IF(BD377&gt;=115%,115%,BD377) + IF(BE377&gt;=115%,115%,BE377) + IF(BF377&gt;=115%,115%,BF377) + IF(BG377&gt;=115%,115%,BG377) + IF(BH377&gt;=115%,115%,BH377)))/_xlfn.XLOOKUP(F377,Apuração!A:A,Apuração!B:B)&gt;=1.15,1.15,((IF(AZ377&gt;=115%,115%,AZ377) + IF(AX377&gt;=115%,115%,AX377) + IF(AY377&gt;=115%,115%,AY377) + (IF(AW377&gt;=115%,115%,AW377) + IF(BA377&gt;=115%,115%,BA377) + IF(BB377&gt;=115%,115%,BB377) + IF(BC377&gt;=115%,115%,BC377) + IF(BD377&gt;=115%,115%,BD377) + IF(BE377&gt;=115%,115%,BE377) + IF(BF377&gt;=115%,115%,BF377) + IF(BG377&gt;=115%,115%,BG377) + IF(BH377&gt;=115%,115%,BH377)))/_xlfn.XLOOKUP(F377,Apuração!A:A,Apuração!B:B)))</f>
        <v>0.12777777777777777</v>
      </c>
      <c r="BL377" s="58" cm="1">
        <f t="array" aca="1" ref="BL377" ca="1">IF(SUM(IFERROR(IF(INDEX(AW377:INDEX(AW377:BH377, MATCH(2, 1/(AW377:BH377&lt;&gt;""), 1)-1), ROW(INDIRECT("1:" &amp; MATCH(2, 1/(AW377:BH377&lt;&gt;""), 1)-1))) &gt;= 115%, 115%, INDEX(AW377:INDEX(AW377:BH377, MATCH(2, 1/(AW377:BH377&lt;&gt;""), 1)-1), ROW(INDIRECT("1:" &amp; MATCH(2, 1/(AW377:BH377&lt;&gt;""), 1)-1)))), 0))/_xlfn.XLOOKUP(F377,Apuração!A:A,Apuração!B:B)&gt;=1.15,1.15,SUM(IFERROR(IF(INDEX(AW377:INDEX(AW377:BH377, MATCH(2, 1/(AW377:BH377&lt;&gt;""), 1)-1), ROW(INDIRECT("1:" &amp; MATCH(2, 1/(AW377:BH377&lt;&gt;""), 1)-1))) &gt;= 115%, 115%, INDEX(AW377:INDEX(AW377:BH377, MATCH(2, 1/(AW377:BH377&lt;&gt;""), 1)-1), ROW(INDIRECT("1:" &amp; MATCH(2, 1/(AW377:BH377&lt;&gt;""), 1)-1)))), 0))/_xlfn.XLOOKUP(F377,Apuração!A:A,Apuração!B:B))</f>
        <v>0.12777777777777777</v>
      </c>
      <c r="BM377" s="55" cm="1">
        <f t="array" ref="BM377">IFERROR(
   INDEX($AW$1:$BH$1,
      _xlfn.AGGREGATE(14, 6, COLUMN($AW$1:$BH$1)/(AW377:BH377&lt;&gt;""), 2) - COLUMN($AW$1) + 1
   ),
"")</f>
        <v>46113</v>
      </c>
      <c r="BN377" s="55" cm="1">
        <f t="array" ref="BN377">IFERROR(INDEX($AW$1:$BH$1,1,MATCH(2,1/(AW377:BH377&lt;&gt;""))),"")</f>
        <v>46143</v>
      </c>
      <c r="BO377" s="53">
        <f ca="1">IFERROR(_xlfn.XLOOKUP(F377,Apuração!A:A,Apuração!C:C)/_xlfn.XLOOKUP(F377,Apuração!A:A,Apuração!B:B),0)</f>
        <v>0.22222222222222221</v>
      </c>
      <c r="BP377" s="53">
        <f ca="1">IFERROR(_xlfn.XLOOKUP(F377,Apuração!A:A,Apuração!D:D)/_xlfn.XLOOKUP(F377,Apuração!A:A,Apuração!B:B),0)</f>
        <v>0.1111111111111111</v>
      </c>
      <c r="BQ377" s="53">
        <f ca="1">IF(BK377&gt;=BO377,0,_xlfn.XLOOKUP(F377,Apuração!A:A,Apuração!B:B)*(BO377 + (1/_xlfn.XLOOKUP(F377,Apuração!A:A,Apuração!B:B)) - BK377))</f>
        <v>1.8499999999999999</v>
      </c>
      <c r="BR377" s="85">
        <f t="shared" ca="1" si="711"/>
        <v>0</v>
      </c>
      <c r="BS377" s="53">
        <f ca="1">IFERROR((_xlfn.XLOOKUP(F377,Apuração!A:A,Apuração!C:C)+1)/_xlfn.XLOOKUP(F377,Apuração!A:A,Apuração!B:B),0)</f>
        <v>0.33333333333333331</v>
      </c>
    </row>
    <row r="378" spans="1:71" ht="25.95" hidden="1" customHeight="1" x14ac:dyDescent="0.3">
      <c r="A378" s="3" t="s">
        <v>33</v>
      </c>
      <c r="B378" s="4" t="s">
        <v>60</v>
      </c>
      <c r="C378" s="5" t="s">
        <v>97</v>
      </c>
      <c r="D378" s="5" t="s">
        <v>104</v>
      </c>
      <c r="E378" s="4" t="str" cm="1">
        <f t="array" ref="E378">_xlfn.IFS(
F378 = "A partir de Abril", "Aguardando Execução na Distribuidora",
A378 = "CAPACITAÇÃO", "Em execução no Corporativo",
TRUE, "Em Execução na Distribuidora"
)</f>
        <v>Em Execução na Distribuidora</v>
      </c>
      <c r="F378" s="4" t="str" cm="1">
        <f t="array" ref="F378">_xlfn.IFS(
AG378 &lt;&gt; "", "Jan-Dez/26",
AH378 &lt;&gt; "", "Fev-Dez/26",
AI378 &lt;&gt; "", "Mar-Dez/26", AJ378 &lt;&gt; "", "Abr-Dez/26",
TRUE, "A partir de Junho"
)</f>
        <v>Abr-Dez/26</v>
      </c>
      <c r="G378" s="16" t="s">
        <v>37</v>
      </c>
      <c r="H378" s="7" t="s">
        <v>38</v>
      </c>
      <c r="I378" s="8" t="s">
        <v>63</v>
      </c>
      <c r="J378" s="8" t="str" cm="1">
        <f t="array" aca="1" ref="J378" ca="1">_xlfn.LET(
  _xlpm.actual_value_month, INDEX(T378:AE378, MATCH(DATE(YEAR(TODAY()), MONTH(TODAY()), 1), $T$1:$AE$1, 0)),
  IF(_xlpm.actual_value_month &lt;&gt; "",_xlpm.actual_value_month &amp; " ações mensais", "")
)</f>
        <v/>
      </c>
      <c r="K378" s="17" t="str" cm="1">
        <f t="array" ref="K378">_xlfn.LET(
    _xlpm.sum_month, SUM(T378:AE378),
    IF(_xlpm.sum_month = 0, "", _xlpm.sum_month &amp; " eventos realizados")
)</f>
        <v>1 eventos realizados</v>
      </c>
      <c r="L378" s="9" t="s">
        <v>64</v>
      </c>
      <c r="M378" s="13" t="s">
        <v>65</v>
      </c>
      <c r="N378" s="5" t="s">
        <v>42</v>
      </c>
      <c r="O378" s="5" t="s">
        <v>43</v>
      </c>
      <c r="P378" s="10" t="s">
        <v>44</v>
      </c>
      <c r="Q378" s="10" t="s">
        <v>44</v>
      </c>
      <c r="R378" s="11" t="s">
        <v>66</v>
      </c>
      <c r="S378" s="11" t="s">
        <v>67</v>
      </c>
      <c r="T378" s="22"/>
      <c r="U378" s="22"/>
      <c r="V378" s="22"/>
      <c r="W378" s="22">
        <v>1</v>
      </c>
      <c r="X378" s="22"/>
      <c r="Y378" s="22"/>
      <c r="Z378" s="22"/>
      <c r="AA378" s="22"/>
      <c r="AB378" s="22"/>
      <c r="AC378" s="22"/>
      <c r="AD378" s="22"/>
      <c r="AE378" s="22"/>
      <c r="AG378" s="71"/>
      <c r="AH378" s="71"/>
      <c r="AI378" s="71"/>
      <c r="AJ378" s="82">
        <v>0</v>
      </c>
      <c r="AK378" s="71">
        <v>1</v>
      </c>
      <c r="AL378" s="71"/>
      <c r="AM378" s="71"/>
      <c r="AN378" s="71"/>
      <c r="AO378" s="71"/>
      <c r="AP378" s="71"/>
      <c r="AQ378" s="71"/>
      <c r="AR378" s="71"/>
      <c r="AS378" s="94">
        <f t="shared" ca="1" si="703"/>
        <v>1</v>
      </c>
      <c r="AT378" s="95">
        <f t="shared" si="704"/>
        <v>1</v>
      </c>
      <c r="AU378" s="97">
        <f t="shared" si="705"/>
        <v>1</v>
      </c>
      <c r="AW378" s="51">
        <f t="shared" si="706"/>
        <v>0</v>
      </c>
      <c r="AX378" s="51">
        <f t="shared" si="707"/>
        <v>0</v>
      </c>
      <c r="AY378" s="51">
        <f t="shared" si="708"/>
        <v>0</v>
      </c>
      <c r="AZ378" s="51">
        <f t="shared" si="709"/>
        <v>0</v>
      </c>
      <c r="BA378" s="51">
        <f t="shared" si="710"/>
        <v>0</v>
      </c>
      <c r="BB378" s="51"/>
      <c r="BC378" s="51"/>
      <c r="BD378" s="51"/>
      <c r="BE378" s="51"/>
      <c r="BF378" s="51"/>
      <c r="BG378" s="51"/>
      <c r="BH378" s="51"/>
      <c r="BI378" s="65" cm="1">
        <f t="array" ref="BI378">IFERROR(INDEX(AW378:BH378,1,MATCH(2,1/(AW378:BH378&lt;&gt;""))),"")</f>
        <v>0</v>
      </c>
      <c r="BJ378" s="68" cm="1">
        <f t="array" ref="BJ378">IF(BM378 = "", "",IFERROR(INDEX(AW378:BH378,1,MATCH(2,1/(AW378:BH378&lt;&gt;""),1)-1),""))</f>
        <v>0</v>
      </c>
      <c r="BK378" s="58">
        <f>IF((IF(AW378&gt;=115%,115%,AW378) + IF(AX378&gt;=115%,115%,AX378) + IF(AY378&gt;=115%,115%,AY378) + (IF(AZ378&gt;=115%,115%,AZ378) + IF(BA378&gt;=115%,115%,BA378) + IF(BB378&gt;=115%,115%,BB378) + IF(BC378&gt;=115%,115%,BC378) + IF(BD378&gt;=115%,115%,BD378) + IF(BE378&gt;=115%,115%,BE378) + IF(BF378&gt;=115%,115%,BF378) + IF(BG378&gt;=115%,115%,BG378) + IF(BH378&gt;=115%,115%,BH378)))/_xlfn.XLOOKUP(F378,Apuração!A:A,Apuração!B:B)&gt;=1.15,1.15,((IF(AZ378&gt;=115%,115%,AZ378) + IF(AX378&gt;=115%,115%,AX378) + IF(AY378&gt;=115%,115%,AY378) + (IF(AW378&gt;=115%,115%,AW378) + IF(BA378&gt;=115%,115%,BA378) + IF(BB378&gt;=115%,115%,BB378) + IF(BC378&gt;=115%,115%,BC378) + IF(BD378&gt;=115%,115%,BD378) + IF(BE378&gt;=115%,115%,BE378) + IF(BF378&gt;=115%,115%,BF378) + IF(BG378&gt;=115%,115%,BG378) + IF(BH378&gt;=115%,115%,BH378)))/_xlfn.XLOOKUP(F378,Apuração!A:A,Apuração!B:B)))</f>
        <v>0</v>
      </c>
      <c r="BL378" s="58" cm="1">
        <f t="array" aca="1" ref="BL378" ca="1">IF(SUM(IFERROR(IF(INDEX(AW378:INDEX(AW378:BH378, MATCH(2, 1/(AW378:BH378&lt;&gt;""), 1)-1), ROW(INDIRECT("1:" &amp; MATCH(2, 1/(AW378:BH378&lt;&gt;""), 1)-1))) &gt;= 115%, 115%, INDEX(AW378:INDEX(AW378:BH378, MATCH(2, 1/(AW378:BH378&lt;&gt;""), 1)-1), ROW(INDIRECT("1:" &amp; MATCH(2, 1/(AW378:BH378&lt;&gt;""), 1)-1)))), 0))/_xlfn.XLOOKUP(F378,Apuração!A:A,Apuração!B:B)&gt;=1.15,1.15,SUM(IFERROR(IF(INDEX(AW378:INDEX(AW378:BH378, MATCH(2, 1/(AW378:BH378&lt;&gt;""), 1)-1), ROW(INDIRECT("1:" &amp; MATCH(2, 1/(AW378:BH378&lt;&gt;""), 1)-1))) &gt;= 115%, 115%, INDEX(AW378:INDEX(AW378:BH378, MATCH(2, 1/(AW378:BH378&lt;&gt;""), 1)-1), ROW(INDIRECT("1:" &amp; MATCH(2, 1/(AW378:BH378&lt;&gt;""), 1)-1)))), 0))/_xlfn.XLOOKUP(F378,Apuração!A:A,Apuração!B:B))</f>
        <v>0</v>
      </c>
      <c r="BM378" s="55" cm="1">
        <f t="array" ref="BM378">IFERROR(
   INDEX($AW$1:$BH$1,
      _xlfn.AGGREGATE(14, 6, COLUMN($AW$1:$BH$1)/(AW378:BH378&lt;&gt;""), 2) - COLUMN($AW$1) + 1
   ),
"")</f>
        <v>46113</v>
      </c>
      <c r="BN378" s="55" cm="1">
        <f t="array" ref="BN378">IFERROR(INDEX($AW$1:$BH$1,1,MATCH(2,1/(AW378:BH378&lt;&gt;""))),"")</f>
        <v>46143</v>
      </c>
      <c r="BO378" s="53">
        <f ca="1">IFERROR(_xlfn.XLOOKUP(F378,Apuração!A:A,Apuração!C:C)/_xlfn.XLOOKUP(F378,Apuração!A:A,Apuração!B:B),0)</f>
        <v>0.22222222222222221</v>
      </c>
      <c r="BP378" s="53">
        <f ca="1">IFERROR(_xlfn.XLOOKUP(F378,Apuração!A:A,Apuração!D:D)/_xlfn.XLOOKUP(F378,Apuração!A:A,Apuração!B:B),0)</f>
        <v>0.1111111111111111</v>
      </c>
      <c r="BQ378" s="53">
        <f ca="1">IF(BK378&gt;=BO378,0,_xlfn.XLOOKUP(F378,Apuração!A:A,Apuração!B:B)*(BO378 + (1/_xlfn.XLOOKUP(F378,Apuração!A:A,Apuração!B:B)) - BK378))</f>
        <v>3</v>
      </c>
      <c r="BR378" s="85">
        <f t="shared" ca="1" si="711"/>
        <v>0</v>
      </c>
      <c r="BS378" s="53">
        <f ca="1">IFERROR((_xlfn.XLOOKUP(F378,Apuração!A:A,Apuração!C:C)+1)/_xlfn.XLOOKUP(F378,Apuração!A:A,Apuração!B:B),0)</f>
        <v>0.33333333333333331</v>
      </c>
    </row>
    <row r="379" spans="1:71" ht="25.95" hidden="1" customHeight="1" x14ac:dyDescent="0.3">
      <c r="A379" s="3" t="s">
        <v>33</v>
      </c>
      <c r="B379" s="4" t="s">
        <v>60</v>
      </c>
      <c r="C379" s="5" t="s">
        <v>97</v>
      </c>
      <c r="D379" s="5" t="s">
        <v>105</v>
      </c>
      <c r="E379" s="4" t="str" cm="1">
        <f t="array" ref="E379">_xlfn.IFS(
F379 = "A partir de Abril", "Aguardando Execução na Distribuidora",
A379 = "CAPACITAÇÃO", "Em execução no Corporativo",
TRUE, "Em Execução na Distribuidora"
)</f>
        <v>Em Execução na Distribuidora</v>
      </c>
      <c r="F379" s="4" t="str" cm="1">
        <f t="array" ref="F379">_xlfn.IFS(
AG379 &lt;&gt; "", "Jan-Dez/26",
AH379 &lt;&gt; "", "Fev-Dez/26",
AI379 &lt;&gt; "", "Mar-Dez/26", AJ379 &lt;&gt; "", "Abr-Dez/26",
TRUE, "A partir de Junho"
)</f>
        <v>Abr-Dez/26</v>
      </c>
      <c r="G379" s="16" t="s">
        <v>37</v>
      </c>
      <c r="H379" s="7" t="s">
        <v>38</v>
      </c>
      <c r="I379" s="8" t="s">
        <v>63</v>
      </c>
      <c r="J379" s="8" t="str" cm="1">
        <f t="array" aca="1" ref="J379" ca="1">_xlfn.LET(
  _xlpm.actual_value_month, INDEX(T379:AE379, MATCH(DATE(YEAR(TODAY()), MONTH(TODAY()), 1), $T$1:$AE$1, 0)),
  IF(_xlpm.actual_value_month &lt;&gt; "",_xlpm.actual_value_month &amp; " ações mensais", "")
)</f>
        <v/>
      </c>
      <c r="K379" s="17" t="str" cm="1">
        <f t="array" ref="K379">_xlfn.LET(
    _xlpm.sum_month, SUM(T379:AE379),
    IF(_xlpm.sum_month = 0, "", _xlpm.sum_month &amp; " eventos realizados")
)</f>
        <v/>
      </c>
      <c r="L379" s="9" t="s">
        <v>64</v>
      </c>
      <c r="M379" s="13" t="s">
        <v>65</v>
      </c>
      <c r="N379" s="5" t="s">
        <v>42</v>
      </c>
      <c r="O379" s="5" t="s">
        <v>43</v>
      </c>
      <c r="P379" s="10" t="s">
        <v>44</v>
      </c>
      <c r="Q379" s="10" t="s">
        <v>44</v>
      </c>
      <c r="R379" s="11" t="s">
        <v>66</v>
      </c>
      <c r="S379" s="11" t="s">
        <v>67</v>
      </c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G379" s="71"/>
      <c r="AH379" s="71"/>
      <c r="AI379" s="71"/>
      <c r="AJ379" s="82">
        <v>0</v>
      </c>
      <c r="AK379" s="71"/>
      <c r="AL379" s="71"/>
      <c r="AM379" s="71"/>
      <c r="AN379" s="71"/>
      <c r="AO379" s="71"/>
      <c r="AP379" s="71"/>
      <c r="AQ379" s="71"/>
      <c r="AR379" s="71"/>
      <c r="AS379" s="94">
        <f t="shared" ca="1" si="703"/>
        <v>0</v>
      </c>
      <c r="AT379" s="95">
        <f t="shared" si="704"/>
        <v>0</v>
      </c>
      <c r="AU379" s="97">
        <f t="shared" si="705"/>
        <v>0</v>
      </c>
      <c r="AW379" s="51">
        <f t="shared" si="706"/>
        <v>0</v>
      </c>
      <c r="AX379" s="51">
        <f t="shared" si="707"/>
        <v>0</v>
      </c>
      <c r="AY379" s="51">
        <f t="shared" si="708"/>
        <v>0</v>
      </c>
      <c r="AZ379" s="51">
        <f t="shared" si="709"/>
        <v>0</v>
      </c>
      <c r="BA379" s="51">
        <f t="shared" si="710"/>
        <v>0</v>
      </c>
      <c r="BB379" s="51"/>
      <c r="BC379" s="51"/>
      <c r="BD379" s="51"/>
      <c r="BE379" s="51"/>
      <c r="BF379" s="51"/>
      <c r="BG379" s="51"/>
      <c r="BH379" s="51"/>
      <c r="BI379" s="65" cm="1">
        <f t="array" ref="BI379">IFERROR(INDEX(AW379:BH379,1,MATCH(2,1/(AW379:BH379&lt;&gt;""))),"")</f>
        <v>0</v>
      </c>
      <c r="BJ379" s="68" cm="1">
        <f t="array" ref="BJ379">IF(BM379 = "", "",IFERROR(INDEX(AW379:BH379,1,MATCH(2,1/(AW379:BH379&lt;&gt;""),1)-1),""))</f>
        <v>0</v>
      </c>
      <c r="BK379" s="58">
        <f>IF((IF(AW379&gt;=115%,115%,AW379) + IF(AX379&gt;=115%,115%,AX379) + IF(AY379&gt;=115%,115%,AY379) + (IF(AZ379&gt;=115%,115%,AZ379) + IF(BA379&gt;=115%,115%,BA379) + IF(BB379&gt;=115%,115%,BB379) + IF(BC379&gt;=115%,115%,BC379) + IF(BD379&gt;=115%,115%,BD379) + IF(BE379&gt;=115%,115%,BE379) + IF(BF379&gt;=115%,115%,BF379) + IF(BG379&gt;=115%,115%,BG379) + IF(BH379&gt;=115%,115%,BH379)))/_xlfn.XLOOKUP(F379,Apuração!A:A,Apuração!B:B)&gt;=1.15,1.15,((IF(AZ379&gt;=115%,115%,AZ379) + IF(AX379&gt;=115%,115%,AX379) + IF(AY379&gt;=115%,115%,AY379) + (IF(AW379&gt;=115%,115%,AW379) + IF(BA379&gt;=115%,115%,BA379) + IF(BB379&gt;=115%,115%,BB379) + IF(BC379&gt;=115%,115%,BC379) + IF(BD379&gt;=115%,115%,BD379) + IF(BE379&gt;=115%,115%,BE379) + IF(BF379&gt;=115%,115%,BF379) + IF(BG379&gt;=115%,115%,BG379) + IF(BH379&gt;=115%,115%,BH379)))/_xlfn.XLOOKUP(F379,Apuração!A:A,Apuração!B:B)))</f>
        <v>0</v>
      </c>
      <c r="BL379" s="58" cm="1">
        <f t="array" aca="1" ref="BL379" ca="1">IF(SUM(IFERROR(IF(INDEX(AW379:INDEX(AW379:BH379, MATCH(2, 1/(AW379:BH379&lt;&gt;""), 1)-1), ROW(INDIRECT("1:" &amp; MATCH(2, 1/(AW379:BH379&lt;&gt;""), 1)-1))) &gt;= 115%, 115%, INDEX(AW379:INDEX(AW379:BH379, MATCH(2, 1/(AW379:BH379&lt;&gt;""), 1)-1), ROW(INDIRECT("1:" &amp; MATCH(2, 1/(AW379:BH379&lt;&gt;""), 1)-1)))), 0))/_xlfn.XLOOKUP(F379,Apuração!A:A,Apuração!B:B)&gt;=1.15,1.15,SUM(IFERROR(IF(INDEX(AW379:INDEX(AW379:BH379, MATCH(2, 1/(AW379:BH379&lt;&gt;""), 1)-1), ROW(INDIRECT("1:" &amp; MATCH(2, 1/(AW379:BH379&lt;&gt;""), 1)-1))) &gt;= 115%, 115%, INDEX(AW379:INDEX(AW379:BH379, MATCH(2, 1/(AW379:BH379&lt;&gt;""), 1)-1), ROW(INDIRECT("1:" &amp; MATCH(2, 1/(AW379:BH379&lt;&gt;""), 1)-1)))), 0))/_xlfn.XLOOKUP(F379,Apuração!A:A,Apuração!B:B))</f>
        <v>0</v>
      </c>
      <c r="BM379" s="55" cm="1">
        <f t="array" ref="BM379">IFERROR(
   INDEX($AW$1:$BH$1,
      _xlfn.AGGREGATE(14, 6, COLUMN($AW$1:$BH$1)/(AW379:BH379&lt;&gt;""), 2) - COLUMN($AW$1) + 1
   ),
"")</f>
        <v>46113</v>
      </c>
      <c r="BN379" s="55" cm="1">
        <f t="array" ref="BN379">IFERROR(INDEX($AW$1:$BH$1,1,MATCH(2,1/(AW379:BH379&lt;&gt;""))),"")</f>
        <v>46143</v>
      </c>
      <c r="BO379" s="53">
        <f ca="1">IFERROR(_xlfn.XLOOKUP(F379,Apuração!A:A,Apuração!C:C)/_xlfn.XLOOKUP(F379,Apuração!A:A,Apuração!B:B),0)</f>
        <v>0.22222222222222221</v>
      </c>
      <c r="BP379" s="53">
        <f ca="1">IFERROR(_xlfn.XLOOKUP(F379,Apuração!A:A,Apuração!D:D)/_xlfn.XLOOKUP(F379,Apuração!A:A,Apuração!B:B),0)</f>
        <v>0.1111111111111111</v>
      </c>
      <c r="BQ379" s="53">
        <f ca="1">IF(BK379&gt;=BO379,0,_xlfn.XLOOKUP(F379,Apuração!A:A,Apuração!B:B)*(BO379 + (1/_xlfn.XLOOKUP(F379,Apuração!A:A,Apuração!B:B)) - BK379))</f>
        <v>3</v>
      </c>
      <c r="BR379" s="85">
        <f t="shared" ca="1" si="711"/>
        <v>0</v>
      </c>
      <c r="BS379" s="53">
        <f ca="1">IFERROR((_xlfn.XLOOKUP(F379,Apuração!A:A,Apuração!C:C)+1)/_xlfn.XLOOKUP(F379,Apuração!A:A,Apuração!B:B),0)</f>
        <v>0.33333333333333331</v>
      </c>
    </row>
    <row r="380" spans="1:71" ht="25.95" hidden="1" customHeight="1" x14ac:dyDescent="0.3">
      <c r="A380" s="3" t="s">
        <v>33</v>
      </c>
      <c r="B380" s="4" t="s">
        <v>60</v>
      </c>
      <c r="C380" s="5" t="s">
        <v>97</v>
      </c>
      <c r="D380" s="5" t="s">
        <v>106</v>
      </c>
      <c r="E380" s="4" t="str" cm="1">
        <f t="array" ref="E380">_xlfn.IFS(
F380 = "A partir de Abril", "Aguardando Execução na Distribuidora",
A380 = "CAPACITAÇÃO", "Em execução no Corporativo",
TRUE, "Em Execução na Distribuidora"
)</f>
        <v>Em Execução na Distribuidora</v>
      </c>
      <c r="F380" s="4" t="str" cm="1">
        <f t="array" ref="F380">_xlfn.IFS(
AG380 &lt;&gt; "", "Jan-Dez/26",
AH380 &lt;&gt; "", "Fev-Dez/26",
AI380 &lt;&gt; "", "Mar-Dez/26", AJ380 &lt;&gt; "", "Abr-Dez/26",
TRUE, "A partir de Junho"
)</f>
        <v>Abr-Dez/26</v>
      </c>
      <c r="G380" s="16" t="s">
        <v>37</v>
      </c>
      <c r="H380" s="7" t="s">
        <v>38</v>
      </c>
      <c r="I380" s="8" t="s">
        <v>63</v>
      </c>
      <c r="J380" s="8" t="str" cm="1">
        <f t="array" aca="1" ref="J380" ca="1">_xlfn.LET(
  _xlpm.actual_value_month, INDEX(T380:AE380, MATCH(DATE(YEAR(TODAY()), MONTH(TODAY()), 1), $T$1:$AE$1, 0)),
  IF(_xlpm.actual_value_month &lt;&gt; "",_xlpm.actual_value_month &amp; " ações mensais", "")
)</f>
        <v/>
      </c>
      <c r="K380" s="17" t="str" cm="1">
        <f t="array" ref="K380">_xlfn.LET(
    _xlpm.sum_month, SUM(T380:AE380),
    IF(_xlpm.sum_month = 0, "", _xlpm.sum_month &amp; " eventos realizados")
)</f>
        <v/>
      </c>
      <c r="L380" s="9" t="s">
        <v>64</v>
      </c>
      <c r="M380" s="13" t="s">
        <v>65</v>
      </c>
      <c r="N380" s="5" t="s">
        <v>42</v>
      </c>
      <c r="O380" s="5" t="s">
        <v>43</v>
      </c>
      <c r="P380" s="10" t="s">
        <v>44</v>
      </c>
      <c r="Q380" s="10" t="s">
        <v>44</v>
      </c>
      <c r="R380" s="11" t="s">
        <v>66</v>
      </c>
      <c r="S380" s="11" t="s">
        <v>67</v>
      </c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G380" s="71"/>
      <c r="AH380" s="71"/>
      <c r="AI380" s="71"/>
      <c r="AJ380" s="82">
        <v>20</v>
      </c>
      <c r="AK380" s="71"/>
      <c r="AL380" s="71"/>
      <c r="AM380" s="71"/>
      <c r="AN380" s="71"/>
      <c r="AO380" s="71"/>
      <c r="AP380" s="71"/>
      <c r="AQ380" s="71"/>
      <c r="AR380" s="71"/>
      <c r="AS380" s="94">
        <f t="shared" ca="1" si="703"/>
        <v>0</v>
      </c>
      <c r="AT380" s="95">
        <f t="shared" si="704"/>
        <v>20</v>
      </c>
      <c r="AU380" s="97">
        <f t="shared" si="705"/>
        <v>20</v>
      </c>
      <c r="AW380" s="51">
        <f t="shared" si="706"/>
        <v>0</v>
      </c>
      <c r="AX380" s="51">
        <f t="shared" si="707"/>
        <v>0</v>
      </c>
      <c r="AY380" s="51">
        <f t="shared" si="708"/>
        <v>0</v>
      </c>
      <c r="AZ380" s="51">
        <f t="shared" si="709"/>
        <v>0</v>
      </c>
      <c r="BA380" s="51">
        <f t="shared" si="710"/>
        <v>0</v>
      </c>
      <c r="BB380" s="51"/>
      <c r="BC380" s="51"/>
      <c r="BD380" s="51"/>
      <c r="BE380" s="51"/>
      <c r="BF380" s="51"/>
      <c r="BG380" s="51"/>
      <c r="BH380" s="51"/>
      <c r="BI380" s="65" cm="1">
        <f t="array" ref="BI380">IFERROR(INDEX(AW380:BH380,1,MATCH(2,1/(AW380:BH380&lt;&gt;""))),"")</f>
        <v>0</v>
      </c>
      <c r="BJ380" s="68" cm="1">
        <f t="array" ref="BJ380">IF(BM380 = "", "",IFERROR(INDEX(AW380:BH380,1,MATCH(2,1/(AW380:BH380&lt;&gt;""),1)-1),""))</f>
        <v>0</v>
      </c>
      <c r="BK380" s="58">
        <f>IF((IF(AW380&gt;=115%,115%,AW380) + IF(AX380&gt;=115%,115%,AX380) + IF(AY380&gt;=115%,115%,AY380) + (IF(AZ380&gt;=115%,115%,AZ380) + IF(BA380&gt;=115%,115%,BA380) + IF(BB380&gt;=115%,115%,BB380) + IF(BC380&gt;=115%,115%,BC380) + IF(BD380&gt;=115%,115%,BD380) + IF(BE380&gt;=115%,115%,BE380) + IF(BF380&gt;=115%,115%,BF380) + IF(BG380&gt;=115%,115%,BG380) + IF(BH380&gt;=115%,115%,BH380)))/_xlfn.XLOOKUP(F380,Apuração!A:A,Apuração!B:B)&gt;=1.15,1.15,((IF(AZ380&gt;=115%,115%,AZ380) + IF(AX380&gt;=115%,115%,AX380) + IF(AY380&gt;=115%,115%,AY380) + (IF(AW380&gt;=115%,115%,AW380) + IF(BA380&gt;=115%,115%,BA380) + IF(BB380&gt;=115%,115%,BB380) + IF(BC380&gt;=115%,115%,BC380) + IF(BD380&gt;=115%,115%,BD380) + IF(BE380&gt;=115%,115%,BE380) + IF(BF380&gt;=115%,115%,BF380) + IF(BG380&gt;=115%,115%,BG380) + IF(BH380&gt;=115%,115%,BH380)))/_xlfn.XLOOKUP(F380,Apuração!A:A,Apuração!B:B)))</f>
        <v>0</v>
      </c>
      <c r="BL380" s="58" cm="1">
        <f t="array" aca="1" ref="BL380" ca="1">IF(SUM(IFERROR(IF(INDEX(AW380:INDEX(AW380:BH380, MATCH(2, 1/(AW380:BH380&lt;&gt;""), 1)-1), ROW(INDIRECT("1:" &amp; MATCH(2, 1/(AW380:BH380&lt;&gt;""), 1)-1))) &gt;= 115%, 115%, INDEX(AW380:INDEX(AW380:BH380, MATCH(2, 1/(AW380:BH380&lt;&gt;""), 1)-1), ROW(INDIRECT("1:" &amp; MATCH(2, 1/(AW380:BH380&lt;&gt;""), 1)-1)))), 0))/_xlfn.XLOOKUP(F380,Apuração!A:A,Apuração!B:B)&gt;=1.15,1.15,SUM(IFERROR(IF(INDEX(AW380:INDEX(AW380:BH380, MATCH(2, 1/(AW380:BH380&lt;&gt;""), 1)-1), ROW(INDIRECT("1:" &amp; MATCH(2, 1/(AW380:BH380&lt;&gt;""), 1)-1))) &gt;= 115%, 115%, INDEX(AW380:INDEX(AW380:BH380, MATCH(2, 1/(AW380:BH380&lt;&gt;""), 1)-1), ROW(INDIRECT("1:" &amp; MATCH(2, 1/(AW380:BH380&lt;&gt;""), 1)-1)))), 0))/_xlfn.XLOOKUP(F380,Apuração!A:A,Apuração!B:B))</f>
        <v>0</v>
      </c>
      <c r="BM380" s="55" cm="1">
        <f t="array" ref="BM380">IFERROR(
   INDEX($AW$1:$BH$1,
      _xlfn.AGGREGATE(14, 6, COLUMN($AW$1:$BH$1)/(AW380:BH380&lt;&gt;""), 2) - COLUMN($AW$1) + 1
   ),
"")</f>
        <v>46113</v>
      </c>
      <c r="BN380" s="55" cm="1">
        <f t="array" ref="BN380">IFERROR(INDEX($AW$1:$BH$1,1,MATCH(2,1/(AW380:BH380&lt;&gt;""))),"")</f>
        <v>46143</v>
      </c>
      <c r="BO380" s="53">
        <f ca="1">IFERROR(_xlfn.XLOOKUP(F380,Apuração!A:A,Apuração!C:C)/_xlfn.XLOOKUP(F380,Apuração!A:A,Apuração!B:B),0)</f>
        <v>0.22222222222222221</v>
      </c>
      <c r="BP380" s="53">
        <f ca="1">IFERROR(_xlfn.XLOOKUP(F380,Apuração!A:A,Apuração!D:D)/_xlfn.XLOOKUP(F380,Apuração!A:A,Apuração!B:B),0)</f>
        <v>0.1111111111111111</v>
      </c>
      <c r="BQ380" s="53">
        <f ca="1">IF(BK380&gt;=BO380,0,_xlfn.XLOOKUP(F380,Apuração!A:A,Apuração!B:B)*(BO380 + (1/_xlfn.XLOOKUP(F380,Apuração!A:A,Apuração!B:B)) - BK380))</f>
        <v>3</v>
      </c>
      <c r="BR380" s="85">
        <f t="shared" ca="1" si="711"/>
        <v>0</v>
      </c>
      <c r="BS380" s="53">
        <f ca="1">IFERROR((_xlfn.XLOOKUP(F380,Apuração!A:A,Apuração!C:C)+1)/_xlfn.XLOOKUP(F380,Apuração!A:A,Apuração!B:B),0)</f>
        <v>0.33333333333333331</v>
      </c>
    </row>
    <row r="381" spans="1:71" ht="25.95" hidden="1" customHeight="1" x14ac:dyDescent="0.3">
      <c r="A381" s="3" t="s">
        <v>33</v>
      </c>
      <c r="B381" s="4" t="s">
        <v>60</v>
      </c>
      <c r="C381" s="5" t="s">
        <v>97</v>
      </c>
      <c r="D381" s="5" t="s">
        <v>107</v>
      </c>
      <c r="E381" s="4" t="str" cm="1">
        <f t="array" ref="E381">_xlfn.IFS(
F381 = "A partir de Abril", "Aguardando Execução na Distribuidora",
A381 = "CAPACITAÇÃO", "Em execução no Corporativo",
TRUE, "Em Execução na Distribuidora"
)</f>
        <v>Em Execução na Distribuidora</v>
      </c>
      <c r="F381" s="4" t="str" cm="1">
        <f t="array" ref="F381">_xlfn.IFS(
AG381 &lt;&gt; "", "Jan-Dez/26",
AH381 &lt;&gt; "", "Fev-Dez/26",
AI381 &lt;&gt; "", "Mar-Dez/26", AJ381 &lt;&gt; "", "Abr-Dez/26",
TRUE, "A partir de Junho"
)</f>
        <v>Abr-Dez/26</v>
      </c>
      <c r="G381" s="16" t="s">
        <v>37</v>
      </c>
      <c r="H381" s="7" t="s">
        <v>38</v>
      </c>
      <c r="I381" s="8" t="s">
        <v>63</v>
      </c>
      <c r="J381" s="8" t="str" cm="1">
        <f t="array" aca="1" ref="J381" ca="1">_xlfn.LET(
  _xlpm.actual_value_month, INDEX(T381:AE381, MATCH(DATE(YEAR(TODAY()), MONTH(TODAY()), 1), $T$1:$AE$1, 0)),
  IF(_xlpm.actual_value_month &lt;&gt; "",_xlpm.actual_value_month &amp; " ações mensais", "")
)</f>
        <v/>
      </c>
      <c r="K381" s="17" t="str" cm="1">
        <f t="array" ref="K381">_xlfn.LET(
    _xlpm.sum_month, SUM(T381:AE381),
    IF(_xlpm.sum_month = 0, "", _xlpm.sum_month &amp; " eventos realizados")
)</f>
        <v>1 eventos realizados</v>
      </c>
      <c r="L381" s="9" t="s">
        <v>64</v>
      </c>
      <c r="M381" s="13" t="s">
        <v>65</v>
      </c>
      <c r="N381" s="5" t="s">
        <v>42</v>
      </c>
      <c r="O381" s="5" t="s">
        <v>43</v>
      </c>
      <c r="P381" s="10" t="s">
        <v>44</v>
      </c>
      <c r="Q381" s="10" t="s">
        <v>44</v>
      </c>
      <c r="R381" s="11" t="s">
        <v>66</v>
      </c>
      <c r="S381" s="11" t="s">
        <v>67</v>
      </c>
      <c r="T381" s="22"/>
      <c r="U381" s="22"/>
      <c r="V381" s="22"/>
      <c r="W381" s="22">
        <v>1</v>
      </c>
      <c r="X381" s="22"/>
      <c r="Y381" s="22"/>
      <c r="Z381" s="22"/>
      <c r="AA381" s="22"/>
      <c r="AB381" s="22"/>
      <c r="AC381" s="22"/>
      <c r="AD381" s="22"/>
      <c r="AE381" s="22"/>
      <c r="AG381" s="71"/>
      <c r="AH381" s="71"/>
      <c r="AI381" s="71"/>
      <c r="AJ381" s="82">
        <v>104</v>
      </c>
      <c r="AK381" s="71">
        <v>1</v>
      </c>
      <c r="AL381" s="71"/>
      <c r="AM381" s="71"/>
      <c r="AN381" s="71"/>
      <c r="AO381" s="71"/>
      <c r="AP381" s="71"/>
      <c r="AQ381" s="71"/>
      <c r="AR381" s="71"/>
      <c r="AS381" s="94">
        <f t="shared" ca="1" si="703"/>
        <v>1</v>
      </c>
      <c r="AT381" s="95">
        <f t="shared" si="704"/>
        <v>2.15</v>
      </c>
      <c r="AU381" s="97">
        <f t="shared" si="705"/>
        <v>105</v>
      </c>
      <c r="AW381" s="51">
        <f t="shared" si="706"/>
        <v>0</v>
      </c>
      <c r="AX381" s="51">
        <f t="shared" si="707"/>
        <v>0</v>
      </c>
      <c r="AY381" s="51">
        <f t="shared" si="708"/>
        <v>0</v>
      </c>
      <c r="AZ381" s="51">
        <f t="shared" si="709"/>
        <v>104</v>
      </c>
      <c r="BA381" s="51">
        <f t="shared" si="710"/>
        <v>0</v>
      </c>
      <c r="BB381" s="51"/>
      <c r="BC381" s="51"/>
      <c r="BD381" s="51"/>
      <c r="BE381" s="51"/>
      <c r="BF381" s="51"/>
      <c r="BG381" s="51"/>
      <c r="BH381" s="51"/>
      <c r="BI381" s="65" cm="1">
        <f t="array" ref="BI381">IFERROR(INDEX(AW381:BH381,1,MATCH(2,1/(AW381:BH381&lt;&gt;""))),"")</f>
        <v>0</v>
      </c>
      <c r="BJ381" s="68" cm="1">
        <f t="array" ref="BJ381">IF(BM381 = "", "",IFERROR(INDEX(AW381:BH381,1,MATCH(2,1/(AW381:BH381&lt;&gt;""),1)-1),""))</f>
        <v>104</v>
      </c>
      <c r="BK381" s="58">
        <f>IF((IF(AW381&gt;=115%,115%,AW381) + IF(AX381&gt;=115%,115%,AX381) + IF(AY381&gt;=115%,115%,AY381) + (IF(AZ381&gt;=115%,115%,AZ381) + IF(BA381&gt;=115%,115%,BA381) + IF(BB381&gt;=115%,115%,BB381) + IF(BC381&gt;=115%,115%,BC381) + IF(BD381&gt;=115%,115%,BD381) + IF(BE381&gt;=115%,115%,BE381) + IF(BF381&gt;=115%,115%,BF381) + IF(BG381&gt;=115%,115%,BG381) + IF(BH381&gt;=115%,115%,BH381)))/_xlfn.XLOOKUP(F381,Apuração!A:A,Apuração!B:B)&gt;=1.15,1.15,((IF(AZ381&gt;=115%,115%,AZ381) + IF(AX381&gt;=115%,115%,AX381) + IF(AY381&gt;=115%,115%,AY381) + (IF(AW381&gt;=115%,115%,AW381) + IF(BA381&gt;=115%,115%,BA381) + IF(BB381&gt;=115%,115%,BB381) + IF(BC381&gt;=115%,115%,BC381) + IF(BD381&gt;=115%,115%,BD381) + IF(BE381&gt;=115%,115%,BE381) + IF(BF381&gt;=115%,115%,BF381) + IF(BG381&gt;=115%,115%,BG381) + IF(BH381&gt;=115%,115%,BH381)))/_xlfn.XLOOKUP(F381,Apuração!A:A,Apuração!B:B)))</f>
        <v>0.12777777777777777</v>
      </c>
      <c r="BL381" s="58" cm="1">
        <f t="array" aca="1" ref="BL381" ca="1">IF(SUM(IFERROR(IF(INDEX(AW381:INDEX(AW381:BH381, MATCH(2, 1/(AW381:BH381&lt;&gt;""), 1)-1), ROW(INDIRECT("1:" &amp; MATCH(2, 1/(AW381:BH381&lt;&gt;""), 1)-1))) &gt;= 115%, 115%, INDEX(AW381:INDEX(AW381:BH381, MATCH(2, 1/(AW381:BH381&lt;&gt;""), 1)-1), ROW(INDIRECT("1:" &amp; MATCH(2, 1/(AW381:BH381&lt;&gt;""), 1)-1)))), 0))/_xlfn.XLOOKUP(F381,Apuração!A:A,Apuração!B:B)&gt;=1.15,1.15,SUM(IFERROR(IF(INDEX(AW381:INDEX(AW381:BH381, MATCH(2, 1/(AW381:BH381&lt;&gt;""), 1)-1), ROW(INDIRECT("1:" &amp; MATCH(2, 1/(AW381:BH381&lt;&gt;""), 1)-1))) &gt;= 115%, 115%, INDEX(AW381:INDEX(AW381:BH381, MATCH(2, 1/(AW381:BH381&lt;&gt;""), 1)-1), ROW(INDIRECT("1:" &amp; MATCH(2, 1/(AW381:BH381&lt;&gt;""), 1)-1)))), 0))/_xlfn.XLOOKUP(F381,Apuração!A:A,Apuração!B:B))</f>
        <v>0.12777777777777777</v>
      </c>
      <c r="BM381" s="55" cm="1">
        <f t="array" ref="BM381">IFERROR(
   INDEX($AW$1:$BH$1,
      _xlfn.AGGREGATE(14, 6, COLUMN($AW$1:$BH$1)/(AW381:BH381&lt;&gt;""), 2) - COLUMN($AW$1) + 1
   ),
"")</f>
        <v>46113</v>
      </c>
      <c r="BN381" s="55" cm="1">
        <f t="array" ref="BN381">IFERROR(INDEX($AW$1:$BH$1,1,MATCH(2,1/(AW381:BH381&lt;&gt;""))),"")</f>
        <v>46143</v>
      </c>
      <c r="BO381" s="53">
        <f ca="1">IFERROR(_xlfn.XLOOKUP(F381,Apuração!A:A,Apuração!C:C)/_xlfn.XLOOKUP(F381,Apuração!A:A,Apuração!B:B),0)</f>
        <v>0.22222222222222221</v>
      </c>
      <c r="BP381" s="53">
        <f ca="1">IFERROR(_xlfn.XLOOKUP(F381,Apuração!A:A,Apuração!D:D)/_xlfn.XLOOKUP(F381,Apuração!A:A,Apuração!B:B),0)</f>
        <v>0.1111111111111111</v>
      </c>
      <c r="BQ381" s="53">
        <f ca="1">IF(BK381&gt;=BO381,0,_xlfn.XLOOKUP(F381,Apuração!A:A,Apuração!B:B)*(BO381 + (1/_xlfn.XLOOKUP(F381,Apuração!A:A,Apuração!B:B)) - BK381))</f>
        <v>1.8499999999999999</v>
      </c>
      <c r="BR381" s="85">
        <f t="shared" ca="1" si="711"/>
        <v>0</v>
      </c>
      <c r="BS381" s="53">
        <f ca="1">IFERROR((_xlfn.XLOOKUP(F381,Apuração!A:A,Apuração!C:C)+1)/_xlfn.XLOOKUP(F381,Apuração!A:A,Apuração!B:B),0)</f>
        <v>0.33333333333333331</v>
      </c>
    </row>
    <row r="382" spans="1:71" ht="25.95" hidden="1" customHeight="1" x14ac:dyDescent="0.3">
      <c r="A382" s="39" t="s">
        <v>33</v>
      </c>
      <c r="B382" s="4" t="s">
        <v>60</v>
      </c>
      <c r="C382" s="5" t="s">
        <v>97</v>
      </c>
      <c r="D382" s="5" t="s">
        <v>36</v>
      </c>
      <c r="E382" s="4" t="str" cm="1">
        <f t="array" ref="E382">_xlfn.IFS(
F382 = "A partir de Abril", "Aguardando Execução na Distribuidora",
A382 = "CAPACITAÇÃO", "Em execução no Corporativo",
TRUE, "Em Execução na Distribuidora"
)</f>
        <v>Em Execução na Distribuidora</v>
      </c>
      <c r="F382" s="4" t="str" cm="1">
        <f t="array" ref="F382">_xlfn.IFS(
AG382 &lt;&gt; "", "Jan-Dez/26",
AH382 &lt;&gt; "", "Fev-Dez/26",
AI382 &lt;&gt; "", "Mar-Dez/26", AJ382 &lt;&gt; "", "Abr-Dez/26",
TRUE, "A partir de Junho"
)</f>
        <v>Jan-Dez/26</v>
      </c>
      <c r="G382" s="4" t="s">
        <v>37</v>
      </c>
      <c r="H382" s="7" t="s">
        <v>38</v>
      </c>
      <c r="I382" s="8" t="s">
        <v>68</v>
      </c>
      <c r="J382" s="8" t="str" cm="1">
        <f t="array" aca="1" ref="J382" ca="1">_xlfn.LET(
  _xlpm.actual_value_month, INDEX(T382:AE382, MATCH(DATE(YEAR(TODAY()), MONTH(TODAY()), 1), $T$1:$AE$1, 0)),
  IF(_xlpm.actual_value_month &lt;&gt; "",_xlpm.actual_value_month &amp; " ações mensais", "")
)</f>
        <v/>
      </c>
      <c r="K382" s="18" t="str" cm="1">
        <f t="array" ref="K382">_xlfn.LET(
    _xlpm.sum_month, SUM(T382:AE382),
    IF(_xlpm.sum_month = 0, "", _xlpm.sum_month &amp; " notificações.")
)</f>
        <v>747 notificações.</v>
      </c>
      <c r="L382" s="4" t="s">
        <v>69</v>
      </c>
      <c r="M382" s="19">
        <v>1</v>
      </c>
      <c r="N382" s="5" t="s">
        <v>51</v>
      </c>
      <c r="O382" s="5" t="s">
        <v>43</v>
      </c>
      <c r="P382" s="10" t="s">
        <v>44</v>
      </c>
      <c r="Q382" s="10" t="s">
        <v>44</v>
      </c>
      <c r="R382" s="11" t="s">
        <v>44</v>
      </c>
      <c r="S382" s="11" t="s">
        <v>44</v>
      </c>
      <c r="T382" s="22">
        <v>171</v>
      </c>
      <c r="U382" s="22">
        <v>171</v>
      </c>
      <c r="V382" s="22">
        <v>150</v>
      </c>
      <c r="W382" s="22">
        <v>255</v>
      </c>
      <c r="X382" s="22"/>
      <c r="Y382" s="22"/>
      <c r="Z382" s="22"/>
      <c r="AA382" s="22"/>
      <c r="AB382" s="22"/>
      <c r="AC382" s="22"/>
      <c r="AD382" s="22"/>
      <c r="AE382" s="22"/>
      <c r="AG382" s="71">
        <v>171</v>
      </c>
      <c r="AH382" s="71">
        <v>171</v>
      </c>
      <c r="AI382" s="71">
        <v>150</v>
      </c>
      <c r="AJ382" s="71">
        <v>255</v>
      </c>
      <c r="AK382" s="71">
        <v>0</v>
      </c>
      <c r="AL382" s="71"/>
      <c r="AM382" s="71"/>
      <c r="AN382" s="71"/>
      <c r="AO382" s="71"/>
      <c r="AP382" s="71"/>
      <c r="AQ382" s="71"/>
      <c r="AR382" s="71"/>
      <c r="AS382" s="94">
        <f t="shared" ca="1" si="651"/>
        <v>747</v>
      </c>
      <c r="AT382" s="95">
        <f>SUM(AG382:AR382)</f>
        <v>747</v>
      </c>
      <c r="AU382" s="97">
        <f t="shared" si="652"/>
        <v>747</v>
      </c>
      <c r="AW382" s="83">
        <f>AG382</f>
        <v>171</v>
      </c>
      <c r="AX382" s="83">
        <f t="shared" ref="AX382" si="712">AH382</f>
        <v>171</v>
      </c>
      <c r="AY382" s="83">
        <f t="shared" ref="AY382" si="713">AI382</f>
        <v>150</v>
      </c>
      <c r="AZ382" s="83">
        <f t="shared" ref="AZ382:BA392" si="714">AJ382</f>
        <v>255</v>
      </c>
      <c r="BA382" s="83">
        <f t="shared" si="714"/>
        <v>0</v>
      </c>
      <c r="BB382" s="52"/>
      <c r="BC382" s="52"/>
      <c r="BD382" s="52"/>
      <c r="BE382" s="52"/>
      <c r="BF382" s="52"/>
      <c r="BG382" s="52"/>
      <c r="BH382" s="52"/>
      <c r="BI382" s="68" cm="1">
        <f t="array" ref="BI382">IFERROR(INDEX(AW382:BH382,1,MATCH(2,1/(AW382:BH382&lt;&gt;""))),"")</f>
        <v>0</v>
      </c>
      <c r="BJ382" s="68" cm="1">
        <f t="array" ref="BJ382">IF(BM382 = "", "",IFERROR(INDEX(AW382:BH382,1,MATCH(2,1/(AW382:BH382&lt;&gt;""),1)-1),""))</f>
        <v>255</v>
      </c>
      <c r="BK382" s="59">
        <f>IF((IF(AW382&gt;=150%,150%,AW382) + IF(AX382&gt;=150%,150%,AX382) + IF(AY382&gt;=150%,150%,AY382) + (IF(AW382&gt;=150%,150%,AW382) + IF(BA382&gt;=150%,150%,BA382) + IF(BB382&gt;=150%,150%,BB382) + IF(BC382&gt;=150%,150%,BC382) + IF(BD382&gt;=150%,150%,BD382) + IF(BE382&gt;=150%,150%,BE382) + IF(BF382&gt;=150%,150%,BF382) + IF(BG382&gt;=150%,150%,BG382) + IF(BH382&gt;=150%,150%,BH382)))/_xlfn.XLOOKUP(F382,Apuração!A:A,Apuração!B:B)&gt;=1.15,1.15,((IF(AW382&gt;=150%,150%,AW382) + IF(AX382&gt;=150%,150%,AX382) + IF(AY382&gt;=150%,150%,AY382) + (IF(AW382&gt;=150%,150%,AW382) + IF(BA382&gt;=150%,150%,BA382) + IF(BB382&gt;=150%,150%,BB382) + IF(BC382&gt;=150%,150%,BC382) + IF(BD382&gt;=150%,150%,BD382) + IF(BE382&gt;=150%,150%,BE382) + IF(BF382&gt;=150%,150%,BF382) + IF(BG382&gt;=150%,150%,BG382) + IF(BH382&gt;=150%,150%,BH382)))/_xlfn.XLOOKUP(F382,Apuração!A:A,Apuração!B:B)))</f>
        <v>0.5</v>
      </c>
      <c r="BL382" s="59" cm="1">
        <f t="array" aca="1" ref="BL382" ca="1">IF(SUM(IFERROR(IF(INDEX(AW382:INDEX(AW382:BH382, MATCH(2, 1/(AW382:BH382&lt;&gt;""), 1)-1), ROW(INDIRECT("1:" &amp; MATCH(2, 1/(AW382:BH382&lt;&gt;""), 1)-1))) &gt;= 150%, 150%, INDEX(AW382:INDEX(AW382:BH382, MATCH(2, 1/(AW382:BH382&lt;&gt;""), 1)-1), ROW(INDIRECT("1:" &amp; MATCH(2, 1/(AW382:BH382&lt;&gt;""), 1)-1)))), 0))/_xlfn.XLOOKUP(F382,Apuração!A:A,Apuração!B:B)&gt;=1.15,1.15,SUM(IFERROR(IF(INDEX(AW382:INDEX(AW382:BH382, MATCH(2, 1/(AW382:BH382&lt;&gt;""), 1)-1), ROW(INDIRECT("1:" &amp; MATCH(2, 1/(AW382:BH382&lt;&gt;""), 1)-1))) &gt;= 150%, 150%, INDEX(AW382:INDEX(AW382:BH382, MATCH(2, 1/(AW382:BH382&lt;&gt;""), 1)-1), ROW(INDIRECT("1:" &amp; MATCH(2, 1/(AW382:BH382&lt;&gt;""), 1)-1)))), 0))/_xlfn.XLOOKUP(F382,Apuração!A:A,Apuração!B:B))</f>
        <v>0.5</v>
      </c>
      <c r="BM382" s="55" cm="1">
        <f t="array" ref="BM382">IFERROR(
   INDEX($AW$1:$BH$1,
      _xlfn.AGGREGATE(14, 6, COLUMN($AW$1:$BH$1)/(AW382:BH382&lt;&gt;""), 2) - COLUMN($AW$1) + 1
   ),
"")</f>
        <v>46113</v>
      </c>
      <c r="BN382" s="55" cm="1">
        <f t="array" ref="BN382">IFERROR(INDEX($AW$1:$BH$1,1,MATCH(2,1/(AW382:BH382&lt;&gt;""))),"")</f>
        <v>46143</v>
      </c>
      <c r="BO382" s="53">
        <f ca="1">IFERROR(_xlfn.XLOOKUP(F382,Apuração!A:A,Apuração!C:C)/_xlfn.XLOOKUP(F382,Apuração!A:A,Apuração!B:B),0)</f>
        <v>0.41666666666666669</v>
      </c>
      <c r="BP382" s="53">
        <f ca="1">IFERROR(_xlfn.XLOOKUP(F382,Apuração!A:A,Apuração!D:D)/_xlfn.XLOOKUP(F382,Apuração!A:A,Apuração!B:B),0)</f>
        <v>0.33333333333333331</v>
      </c>
      <c r="BQ382" s="53">
        <f ca="1">IF(BK382&gt;=BO382,0,_xlfn.XLOOKUP(F382,Apuração!A:A,Apuração!B:B)*(BO382 + (1/_xlfn.XLOOKUP(F382,Apuração!A:A,Apuração!B:B)) - BK382))</f>
        <v>0</v>
      </c>
      <c r="BR382" s="85">
        <f t="shared" ca="1" si="644"/>
        <v>0</v>
      </c>
      <c r="BS382" s="53">
        <f ca="1">IFERROR((_xlfn.XLOOKUP(F382,Apuração!A:A,Apuração!C:C)+1)/_xlfn.XLOOKUP(F382,Apuração!A:A,Apuração!B:B),0)</f>
        <v>0.5</v>
      </c>
    </row>
    <row r="383" spans="1:71" ht="25.95" hidden="1" customHeight="1" x14ac:dyDescent="0.3">
      <c r="A383" s="39" t="s">
        <v>33</v>
      </c>
      <c r="B383" s="4" t="s">
        <v>60</v>
      </c>
      <c r="C383" s="5" t="s">
        <v>97</v>
      </c>
      <c r="D383" s="5" t="s">
        <v>98</v>
      </c>
      <c r="E383" s="4" t="str" cm="1">
        <f t="array" ref="E383">_xlfn.IFS(
F383 = "A partir de Abril", "Aguardando Execução na Distribuidora",
A383 = "CAPACITAÇÃO", "Em execução no Corporativo",
TRUE, "Em Execução na Distribuidora"
)</f>
        <v>Em Execução na Distribuidora</v>
      </c>
      <c r="F383" s="4" t="str" cm="1">
        <f t="array" ref="F383">_xlfn.IFS(
AG383 &lt;&gt; "", "Jan-Dez/26",
AH383 &lt;&gt; "", "Fev-Dez/26",
AI383 &lt;&gt; "", "Mar-Dez/26", AJ383 &lt;&gt; "", "Abr-Dez/26",
TRUE, "A partir de Junho"
)</f>
        <v>Abr-Dez/26</v>
      </c>
      <c r="G383" s="4" t="s">
        <v>37</v>
      </c>
      <c r="H383" s="7" t="s">
        <v>38</v>
      </c>
      <c r="I383" s="8" t="s">
        <v>68</v>
      </c>
      <c r="J383" s="8" t="str" cm="1">
        <f t="array" aca="1" ref="J383" ca="1">_xlfn.LET(
  _xlpm.actual_value_month, INDEX(T383:AE383, MATCH(DATE(YEAR(TODAY()), MONTH(TODAY()), 1), $T$1:$AE$1, 0)),
  IF(_xlpm.actual_value_month &lt;&gt; "",_xlpm.actual_value_month &amp; " ações mensais", "")
)</f>
        <v/>
      </c>
      <c r="K383" s="18" t="str" cm="1">
        <f t="array" ref="K383">_xlfn.LET(
    _xlpm.sum_month, SUM(T383:AE383),
    IF(_xlpm.sum_month = 0, "", _xlpm.sum_month &amp; " notificações.")
)</f>
        <v/>
      </c>
      <c r="L383" s="4" t="s">
        <v>69</v>
      </c>
      <c r="M383" s="19">
        <v>1</v>
      </c>
      <c r="N383" s="5" t="s">
        <v>51</v>
      </c>
      <c r="O383" s="5" t="s">
        <v>43</v>
      </c>
      <c r="P383" s="10" t="s">
        <v>44</v>
      </c>
      <c r="Q383" s="10" t="s">
        <v>44</v>
      </c>
      <c r="R383" s="11" t="s">
        <v>44</v>
      </c>
      <c r="S383" s="11" t="s">
        <v>44</v>
      </c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G383" s="71"/>
      <c r="AH383" s="71"/>
      <c r="AI383" s="71"/>
      <c r="AJ383" s="82">
        <v>0</v>
      </c>
      <c r="AK383" s="71"/>
      <c r="AL383" s="71"/>
      <c r="AM383" s="71"/>
      <c r="AN383" s="71"/>
      <c r="AO383" s="71"/>
      <c r="AP383" s="71"/>
      <c r="AQ383" s="71"/>
      <c r="AR383" s="71"/>
      <c r="AS383" s="94">
        <f t="shared" ref="AS383:AS392" ca="1" si="715">IF(MONTH(TODAY())=3,SUM(T383:U383),IF(MONTH(TODAY())=4,SUM(T383:V383),IF(MONTH(TODAY())=5,SUM(T383:W383),IF(MONTH(TODAY())=6,SUM(T383:X383),IF(MONTH(TODAY())=7,SUM(T383:Y383),IF(MONTH(TODAY())=8,SUM(T383:Z383),IF(MONTH(TODAY())=9,SUM(T383:AA383),IF(MONTH(TODAY())=10,SUM(T383:AB383),IF(MONTH(TODAY())=11,SUM(T383:AC383),IF(MONTH(TODAY())=12,SUM(T383:AD383),IF(MONTH(TODAY())=1,SUM(T383:AE383),T383)))))))))))</f>
        <v>0</v>
      </c>
      <c r="AT383" s="95">
        <f t="shared" ref="AT383:AT392" si="716">SUM(AG383:AR383)</f>
        <v>0</v>
      </c>
      <c r="AU383" s="97">
        <f t="shared" ref="AU383:AU392" si="717">SUM(AG383:AR383)</f>
        <v>0</v>
      </c>
      <c r="AW383" s="83">
        <f t="shared" ref="AW383:AW392" si="718">AG383</f>
        <v>0</v>
      </c>
      <c r="AX383" s="83">
        <f t="shared" ref="AX383:AX392" si="719">AH383</f>
        <v>0</v>
      </c>
      <c r="AY383" s="83">
        <f t="shared" ref="AY383:AY392" si="720">AI383</f>
        <v>0</v>
      </c>
      <c r="AZ383" s="83">
        <f t="shared" ref="AZ383:AZ392" si="721">AJ383</f>
        <v>0</v>
      </c>
      <c r="BA383" s="83">
        <f t="shared" si="714"/>
        <v>0</v>
      </c>
      <c r="BB383" s="52"/>
      <c r="BC383" s="52"/>
      <c r="BD383" s="52"/>
      <c r="BE383" s="52"/>
      <c r="BF383" s="52"/>
      <c r="BG383" s="52"/>
      <c r="BH383" s="52"/>
      <c r="BI383" s="68" cm="1">
        <f t="array" ref="BI383">IFERROR(INDEX(AW383:BH383,1,MATCH(2,1/(AW383:BH383&lt;&gt;""))),"")</f>
        <v>0</v>
      </c>
      <c r="BJ383" s="68" cm="1">
        <f t="array" ref="BJ383">IF(BM383 = "", "",IFERROR(INDEX(AW383:BH383,1,MATCH(2,1/(AW383:BH383&lt;&gt;""),1)-1),""))</f>
        <v>0</v>
      </c>
      <c r="BK383" s="59">
        <f>IF((IF(AW383&gt;=150%,150%,AW383) + IF(AX383&gt;=150%,150%,AX383) + IF(AY383&gt;=150%,150%,AY383) + (IF(AW383&gt;=150%,150%,AW383) + IF(BA383&gt;=150%,150%,BA383) + IF(BB383&gt;=150%,150%,BB383) + IF(BC383&gt;=150%,150%,BC383) + IF(BD383&gt;=150%,150%,BD383) + IF(BE383&gt;=150%,150%,BE383) + IF(BF383&gt;=150%,150%,BF383) + IF(BG383&gt;=150%,150%,BG383) + IF(BH383&gt;=150%,150%,BH383)))/_xlfn.XLOOKUP(F383,Apuração!A:A,Apuração!B:B)&gt;=1.15,1.15,((IF(AW383&gt;=150%,150%,AW383) + IF(AX383&gt;=150%,150%,AX383) + IF(AY383&gt;=150%,150%,AY383) + (IF(AW383&gt;=150%,150%,AW383) + IF(BA383&gt;=150%,150%,BA383) + IF(BB383&gt;=150%,150%,BB383) + IF(BC383&gt;=150%,150%,BC383) + IF(BD383&gt;=150%,150%,BD383) + IF(BE383&gt;=150%,150%,BE383) + IF(BF383&gt;=150%,150%,BF383) + IF(BG383&gt;=150%,150%,BG383) + IF(BH383&gt;=150%,150%,BH383)))/_xlfn.XLOOKUP(F383,Apuração!A:A,Apuração!B:B)))</f>
        <v>0</v>
      </c>
      <c r="BL383" s="59" cm="1">
        <f t="array" aca="1" ref="BL383" ca="1">IF(SUM(IFERROR(IF(INDEX(AW383:INDEX(AW383:BH383, MATCH(2, 1/(AW383:BH383&lt;&gt;""), 1)-1), ROW(INDIRECT("1:" &amp; MATCH(2, 1/(AW383:BH383&lt;&gt;""), 1)-1))) &gt;= 150%, 150%, INDEX(AW383:INDEX(AW383:BH383, MATCH(2, 1/(AW383:BH383&lt;&gt;""), 1)-1), ROW(INDIRECT("1:" &amp; MATCH(2, 1/(AW383:BH383&lt;&gt;""), 1)-1)))), 0))/_xlfn.XLOOKUP(F383,Apuração!A:A,Apuração!B:B)&gt;=1.15,1.15,SUM(IFERROR(IF(INDEX(AW383:INDEX(AW383:BH383, MATCH(2, 1/(AW383:BH383&lt;&gt;""), 1)-1), ROW(INDIRECT("1:" &amp; MATCH(2, 1/(AW383:BH383&lt;&gt;""), 1)-1))) &gt;= 150%, 150%, INDEX(AW383:INDEX(AW383:BH383, MATCH(2, 1/(AW383:BH383&lt;&gt;""), 1)-1), ROW(INDIRECT("1:" &amp; MATCH(2, 1/(AW383:BH383&lt;&gt;""), 1)-1)))), 0))/_xlfn.XLOOKUP(F383,Apuração!A:A,Apuração!B:B))</f>
        <v>0</v>
      </c>
      <c r="BM383" s="55" cm="1">
        <f t="array" ref="BM383">IFERROR(
   INDEX($AW$1:$BH$1,
      _xlfn.AGGREGATE(14, 6, COLUMN($AW$1:$BH$1)/(AW383:BH383&lt;&gt;""), 2) - COLUMN($AW$1) + 1
   ),
"")</f>
        <v>46113</v>
      </c>
      <c r="BN383" s="55" cm="1">
        <f t="array" ref="BN383">IFERROR(INDEX($AW$1:$BH$1,1,MATCH(2,1/(AW383:BH383&lt;&gt;""))),"")</f>
        <v>46143</v>
      </c>
      <c r="BO383" s="53">
        <f ca="1">IFERROR(_xlfn.XLOOKUP(F383,Apuração!A:A,Apuração!C:C)/_xlfn.XLOOKUP(F383,Apuração!A:A,Apuração!B:B),0)</f>
        <v>0.22222222222222221</v>
      </c>
      <c r="BP383" s="53">
        <f ca="1">IFERROR(_xlfn.XLOOKUP(F383,Apuração!A:A,Apuração!D:D)/_xlfn.XLOOKUP(F383,Apuração!A:A,Apuração!B:B),0)</f>
        <v>0.1111111111111111</v>
      </c>
      <c r="BQ383" s="53">
        <f ca="1">IF(BK383&gt;=BO383,0,_xlfn.XLOOKUP(F383,Apuração!A:A,Apuração!B:B)*(BO383 + (1/_xlfn.XLOOKUP(F383,Apuração!A:A,Apuração!B:B)) - BK383))</f>
        <v>3</v>
      </c>
      <c r="BR383" s="85">
        <f t="shared" ref="BR383:BR392" ca="1" si="722">IF(BQ383=0,0,BQ383*Z383)</f>
        <v>0</v>
      </c>
      <c r="BS383" s="53">
        <f ca="1">IFERROR((_xlfn.XLOOKUP(F383,Apuração!A:A,Apuração!C:C)+1)/_xlfn.XLOOKUP(F383,Apuração!A:A,Apuração!B:B),0)</f>
        <v>0.33333333333333331</v>
      </c>
    </row>
    <row r="384" spans="1:71" ht="25.95" hidden="1" customHeight="1" x14ac:dyDescent="0.3">
      <c r="A384" s="39" t="s">
        <v>33</v>
      </c>
      <c r="B384" s="4" t="s">
        <v>60</v>
      </c>
      <c r="C384" s="5" t="s">
        <v>97</v>
      </c>
      <c r="D384" s="5" t="s">
        <v>99</v>
      </c>
      <c r="E384" s="4" t="str" cm="1">
        <f t="array" ref="E384">_xlfn.IFS(
F384 = "A partir de Abril", "Aguardando Execução na Distribuidora",
A384 = "CAPACITAÇÃO", "Em execução no Corporativo",
TRUE, "Em Execução na Distribuidora"
)</f>
        <v>Em Execução na Distribuidora</v>
      </c>
      <c r="F384" s="4" t="str" cm="1">
        <f t="array" ref="F384">_xlfn.IFS(
AG384 &lt;&gt; "", "Jan-Dez/26",
AH384 &lt;&gt; "", "Fev-Dez/26",
AI384 &lt;&gt; "", "Mar-Dez/26", AJ384 &lt;&gt; "", "Abr-Dez/26",
TRUE, "A partir de Junho"
)</f>
        <v>Abr-Dez/26</v>
      </c>
      <c r="G384" s="4" t="s">
        <v>37</v>
      </c>
      <c r="H384" s="7" t="s">
        <v>38</v>
      </c>
      <c r="I384" s="8" t="s">
        <v>68</v>
      </c>
      <c r="J384" s="8" t="str" cm="1">
        <f t="array" aca="1" ref="J384" ca="1">_xlfn.LET(
  _xlpm.actual_value_month, INDEX(T384:AE384, MATCH(DATE(YEAR(TODAY()), MONTH(TODAY()), 1), $T$1:$AE$1, 0)),
  IF(_xlpm.actual_value_month &lt;&gt; "",_xlpm.actual_value_month &amp; " ações mensais", "")
)</f>
        <v/>
      </c>
      <c r="K384" s="18" t="str" cm="1">
        <f t="array" ref="K384">_xlfn.LET(
    _xlpm.sum_month, SUM(T384:AE384),
    IF(_xlpm.sum_month = 0, "", _xlpm.sum_month &amp; " notificações.")
)</f>
        <v/>
      </c>
      <c r="L384" s="4" t="s">
        <v>69</v>
      </c>
      <c r="M384" s="19">
        <v>1</v>
      </c>
      <c r="N384" s="5" t="s">
        <v>51</v>
      </c>
      <c r="O384" s="5" t="s">
        <v>43</v>
      </c>
      <c r="P384" s="10" t="s">
        <v>44</v>
      </c>
      <c r="Q384" s="10" t="s">
        <v>44</v>
      </c>
      <c r="R384" s="11" t="s">
        <v>44</v>
      </c>
      <c r="S384" s="11" t="s">
        <v>44</v>
      </c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G384" s="71"/>
      <c r="AH384" s="71"/>
      <c r="AI384" s="71"/>
      <c r="AJ384" s="82">
        <v>0</v>
      </c>
      <c r="AK384" s="71"/>
      <c r="AL384" s="71"/>
      <c r="AM384" s="71"/>
      <c r="AN384" s="71"/>
      <c r="AO384" s="71"/>
      <c r="AP384" s="71"/>
      <c r="AQ384" s="71"/>
      <c r="AR384" s="71"/>
      <c r="AS384" s="94">
        <f t="shared" ca="1" si="715"/>
        <v>0</v>
      </c>
      <c r="AT384" s="95">
        <f t="shared" si="716"/>
        <v>0</v>
      </c>
      <c r="AU384" s="97">
        <f t="shared" si="717"/>
        <v>0</v>
      </c>
      <c r="AW384" s="83">
        <f t="shared" si="718"/>
        <v>0</v>
      </c>
      <c r="AX384" s="83">
        <f t="shared" si="719"/>
        <v>0</v>
      </c>
      <c r="AY384" s="83">
        <f t="shared" si="720"/>
        <v>0</v>
      </c>
      <c r="AZ384" s="83">
        <f t="shared" si="721"/>
        <v>0</v>
      </c>
      <c r="BA384" s="83">
        <f t="shared" si="714"/>
        <v>0</v>
      </c>
      <c r="BB384" s="52"/>
      <c r="BC384" s="52"/>
      <c r="BD384" s="52"/>
      <c r="BE384" s="52"/>
      <c r="BF384" s="52"/>
      <c r="BG384" s="52"/>
      <c r="BH384" s="52"/>
      <c r="BI384" s="68" cm="1">
        <f t="array" ref="BI384">IFERROR(INDEX(AW384:BH384,1,MATCH(2,1/(AW384:BH384&lt;&gt;""))),"")</f>
        <v>0</v>
      </c>
      <c r="BJ384" s="68" cm="1">
        <f t="array" ref="BJ384">IF(BM384 = "", "",IFERROR(INDEX(AW384:BH384,1,MATCH(2,1/(AW384:BH384&lt;&gt;""),1)-1),""))</f>
        <v>0</v>
      </c>
      <c r="BK384" s="59">
        <f>IF((IF(AW384&gt;=150%,150%,AW384) + IF(AX384&gt;=150%,150%,AX384) + IF(AY384&gt;=150%,150%,AY384) + (IF(AW384&gt;=150%,150%,AW384) + IF(BA384&gt;=150%,150%,BA384) + IF(BB384&gt;=150%,150%,BB384) + IF(BC384&gt;=150%,150%,BC384) + IF(BD384&gt;=150%,150%,BD384) + IF(BE384&gt;=150%,150%,BE384) + IF(BF384&gt;=150%,150%,BF384) + IF(BG384&gt;=150%,150%,BG384) + IF(BH384&gt;=150%,150%,BH384)))/_xlfn.XLOOKUP(F384,Apuração!A:A,Apuração!B:B)&gt;=1.15,1.15,((IF(AW384&gt;=150%,150%,AW384) + IF(AX384&gt;=150%,150%,AX384) + IF(AY384&gt;=150%,150%,AY384) + (IF(AW384&gt;=150%,150%,AW384) + IF(BA384&gt;=150%,150%,BA384) + IF(BB384&gt;=150%,150%,BB384) + IF(BC384&gt;=150%,150%,BC384) + IF(BD384&gt;=150%,150%,BD384) + IF(BE384&gt;=150%,150%,BE384) + IF(BF384&gt;=150%,150%,BF384) + IF(BG384&gt;=150%,150%,BG384) + IF(BH384&gt;=150%,150%,BH384)))/_xlfn.XLOOKUP(F384,Apuração!A:A,Apuração!B:B)))</f>
        <v>0</v>
      </c>
      <c r="BL384" s="59" cm="1">
        <f t="array" aca="1" ref="BL384" ca="1">IF(SUM(IFERROR(IF(INDEX(AW384:INDEX(AW384:BH384, MATCH(2, 1/(AW384:BH384&lt;&gt;""), 1)-1), ROW(INDIRECT("1:" &amp; MATCH(2, 1/(AW384:BH384&lt;&gt;""), 1)-1))) &gt;= 150%, 150%, INDEX(AW384:INDEX(AW384:BH384, MATCH(2, 1/(AW384:BH384&lt;&gt;""), 1)-1), ROW(INDIRECT("1:" &amp; MATCH(2, 1/(AW384:BH384&lt;&gt;""), 1)-1)))), 0))/_xlfn.XLOOKUP(F384,Apuração!A:A,Apuração!B:B)&gt;=1.15,1.15,SUM(IFERROR(IF(INDEX(AW384:INDEX(AW384:BH384, MATCH(2, 1/(AW384:BH384&lt;&gt;""), 1)-1), ROW(INDIRECT("1:" &amp; MATCH(2, 1/(AW384:BH384&lt;&gt;""), 1)-1))) &gt;= 150%, 150%, INDEX(AW384:INDEX(AW384:BH384, MATCH(2, 1/(AW384:BH384&lt;&gt;""), 1)-1), ROW(INDIRECT("1:" &amp; MATCH(2, 1/(AW384:BH384&lt;&gt;""), 1)-1)))), 0))/_xlfn.XLOOKUP(F384,Apuração!A:A,Apuração!B:B))</f>
        <v>0</v>
      </c>
      <c r="BM384" s="55" cm="1">
        <f t="array" ref="BM384">IFERROR(
   INDEX($AW$1:$BH$1,
      _xlfn.AGGREGATE(14, 6, COLUMN($AW$1:$BH$1)/(AW384:BH384&lt;&gt;""), 2) - COLUMN($AW$1) + 1
   ),
"")</f>
        <v>46113</v>
      </c>
      <c r="BN384" s="55" cm="1">
        <f t="array" ref="BN384">IFERROR(INDEX($AW$1:$BH$1,1,MATCH(2,1/(AW384:BH384&lt;&gt;""))),"")</f>
        <v>46143</v>
      </c>
      <c r="BO384" s="53">
        <f ca="1">IFERROR(_xlfn.XLOOKUP(F384,Apuração!A:A,Apuração!C:C)/_xlfn.XLOOKUP(F384,Apuração!A:A,Apuração!B:B),0)</f>
        <v>0.22222222222222221</v>
      </c>
      <c r="BP384" s="53">
        <f ca="1">IFERROR(_xlfn.XLOOKUP(F384,Apuração!A:A,Apuração!D:D)/_xlfn.XLOOKUP(F384,Apuração!A:A,Apuração!B:B),0)</f>
        <v>0.1111111111111111</v>
      </c>
      <c r="BQ384" s="53">
        <f ca="1">IF(BK384&gt;=BO384,0,_xlfn.XLOOKUP(F384,Apuração!A:A,Apuração!B:B)*(BO384 + (1/_xlfn.XLOOKUP(F384,Apuração!A:A,Apuração!B:B)) - BK384))</f>
        <v>3</v>
      </c>
      <c r="BR384" s="85">
        <f t="shared" ca="1" si="722"/>
        <v>0</v>
      </c>
      <c r="BS384" s="53">
        <f ca="1">IFERROR((_xlfn.XLOOKUP(F384,Apuração!A:A,Apuração!C:C)+1)/_xlfn.XLOOKUP(F384,Apuração!A:A,Apuração!B:B),0)</f>
        <v>0.33333333333333331</v>
      </c>
    </row>
    <row r="385" spans="1:71" ht="25.95" hidden="1" customHeight="1" x14ac:dyDescent="0.3">
      <c r="A385" s="39" t="s">
        <v>33</v>
      </c>
      <c r="B385" s="4" t="s">
        <v>60</v>
      </c>
      <c r="C385" s="5" t="s">
        <v>97</v>
      </c>
      <c r="D385" s="5" t="s">
        <v>100</v>
      </c>
      <c r="E385" s="4" t="str" cm="1">
        <f t="array" ref="E385">_xlfn.IFS(
F385 = "A partir de Abril", "Aguardando Execução na Distribuidora",
A385 = "CAPACITAÇÃO", "Em execução no Corporativo",
TRUE, "Em Execução na Distribuidora"
)</f>
        <v>Em Execução na Distribuidora</v>
      </c>
      <c r="F385" s="4" t="str" cm="1">
        <f t="array" ref="F385">_xlfn.IFS(
AG385 &lt;&gt; "", "Jan-Dez/26",
AH385 &lt;&gt; "", "Fev-Dez/26",
AI385 &lt;&gt; "", "Mar-Dez/26", AJ385 &lt;&gt; "", "Abr-Dez/26",
TRUE, "A partir de Junho"
)</f>
        <v>Abr-Dez/26</v>
      </c>
      <c r="G385" s="4" t="s">
        <v>37</v>
      </c>
      <c r="H385" s="7" t="s">
        <v>38</v>
      </c>
      <c r="I385" s="8" t="s">
        <v>68</v>
      </c>
      <c r="J385" s="8" t="str" cm="1">
        <f t="array" aca="1" ref="J385" ca="1">_xlfn.LET(
  _xlpm.actual_value_month, INDEX(T385:AE385, MATCH(DATE(YEAR(TODAY()), MONTH(TODAY()), 1), $T$1:$AE$1, 0)),
  IF(_xlpm.actual_value_month &lt;&gt; "",_xlpm.actual_value_month &amp; " ações mensais", "")
)</f>
        <v/>
      </c>
      <c r="K385" s="18" t="str" cm="1">
        <f t="array" ref="K385">_xlfn.LET(
    _xlpm.sum_month, SUM(T385:AE385),
    IF(_xlpm.sum_month = 0, "", _xlpm.sum_month &amp; " notificações.")
)</f>
        <v/>
      </c>
      <c r="L385" s="4" t="s">
        <v>69</v>
      </c>
      <c r="M385" s="19">
        <v>1</v>
      </c>
      <c r="N385" s="5" t="s">
        <v>51</v>
      </c>
      <c r="O385" s="5" t="s">
        <v>43</v>
      </c>
      <c r="P385" s="10" t="s">
        <v>44</v>
      </c>
      <c r="Q385" s="10" t="s">
        <v>44</v>
      </c>
      <c r="R385" s="11" t="s">
        <v>44</v>
      </c>
      <c r="S385" s="11" t="s">
        <v>44</v>
      </c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G385" s="71"/>
      <c r="AH385" s="71"/>
      <c r="AI385" s="71"/>
      <c r="AJ385" s="82">
        <v>20</v>
      </c>
      <c r="AK385" s="71">
        <v>0</v>
      </c>
      <c r="AL385" s="71"/>
      <c r="AM385" s="71"/>
      <c r="AN385" s="71"/>
      <c r="AO385" s="71"/>
      <c r="AP385" s="71"/>
      <c r="AQ385" s="71"/>
      <c r="AR385" s="71"/>
      <c r="AS385" s="94">
        <f t="shared" ca="1" si="715"/>
        <v>0</v>
      </c>
      <c r="AT385" s="95">
        <f t="shared" si="716"/>
        <v>20</v>
      </c>
      <c r="AU385" s="97">
        <f t="shared" si="717"/>
        <v>20</v>
      </c>
      <c r="AW385" s="83">
        <f t="shared" si="718"/>
        <v>0</v>
      </c>
      <c r="AX385" s="83">
        <f t="shared" si="719"/>
        <v>0</v>
      </c>
      <c r="AY385" s="83">
        <f t="shared" si="720"/>
        <v>0</v>
      </c>
      <c r="AZ385" s="83">
        <f t="shared" si="721"/>
        <v>20</v>
      </c>
      <c r="BA385" s="83">
        <f t="shared" si="714"/>
        <v>0</v>
      </c>
      <c r="BB385" s="52"/>
      <c r="BC385" s="52"/>
      <c r="BD385" s="52"/>
      <c r="BE385" s="52"/>
      <c r="BF385" s="52"/>
      <c r="BG385" s="52"/>
      <c r="BH385" s="52"/>
      <c r="BI385" s="68" cm="1">
        <f t="array" ref="BI385">IFERROR(INDEX(AW385:BH385,1,MATCH(2,1/(AW385:BH385&lt;&gt;""))),"")</f>
        <v>0</v>
      </c>
      <c r="BJ385" s="68" cm="1">
        <f t="array" ref="BJ385">IF(BM385 = "", "",IFERROR(INDEX(AW385:BH385,1,MATCH(2,1/(AW385:BH385&lt;&gt;""),1)-1),""))</f>
        <v>20</v>
      </c>
      <c r="BK385" s="59">
        <f>IF((IF(AW385&gt;=150%,150%,AW385) + IF(AX385&gt;=150%,150%,AX385) + IF(AY385&gt;=150%,150%,AY385) + (IF(AW385&gt;=150%,150%,AW385) + IF(BA385&gt;=150%,150%,BA385) + IF(BB385&gt;=150%,150%,BB385) + IF(BC385&gt;=150%,150%,BC385) + IF(BD385&gt;=150%,150%,BD385) + IF(BE385&gt;=150%,150%,BE385) + IF(BF385&gt;=150%,150%,BF385) + IF(BG385&gt;=150%,150%,BG385) + IF(BH385&gt;=150%,150%,BH385)))/_xlfn.XLOOKUP(F385,Apuração!A:A,Apuração!B:B)&gt;=1.15,1.15,((IF(AW385&gt;=150%,150%,AW385) + IF(AX385&gt;=150%,150%,AX385) + IF(AY385&gt;=150%,150%,AY385) + (IF(AW385&gt;=150%,150%,AW385) + IF(BA385&gt;=150%,150%,BA385) + IF(BB385&gt;=150%,150%,BB385) + IF(BC385&gt;=150%,150%,BC385) + IF(BD385&gt;=150%,150%,BD385) + IF(BE385&gt;=150%,150%,BE385) + IF(BF385&gt;=150%,150%,BF385) + IF(BG385&gt;=150%,150%,BG385) + IF(BH385&gt;=150%,150%,BH385)))/_xlfn.XLOOKUP(F385,Apuração!A:A,Apuração!B:B)))</f>
        <v>0</v>
      </c>
      <c r="BL385" s="59" cm="1">
        <f t="array" aca="1" ref="BL385" ca="1">IF(SUM(IFERROR(IF(INDEX(AW385:INDEX(AW385:BH385, MATCH(2, 1/(AW385:BH385&lt;&gt;""), 1)-1), ROW(INDIRECT("1:" &amp; MATCH(2, 1/(AW385:BH385&lt;&gt;""), 1)-1))) &gt;= 150%, 150%, INDEX(AW385:INDEX(AW385:BH385, MATCH(2, 1/(AW385:BH385&lt;&gt;""), 1)-1), ROW(INDIRECT("1:" &amp; MATCH(2, 1/(AW385:BH385&lt;&gt;""), 1)-1)))), 0))/_xlfn.XLOOKUP(F385,Apuração!A:A,Apuração!B:B)&gt;=1.15,1.15,SUM(IFERROR(IF(INDEX(AW385:INDEX(AW385:BH385, MATCH(2, 1/(AW385:BH385&lt;&gt;""), 1)-1), ROW(INDIRECT("1:" &amp; MATCH(2, 1/(AW385:BH385&lt;&gt;""), 1)-1))) &gt;= 150%, 150%, INDEX(AW385:INDEX(AW385:BH385, MATCH(2, 1/(AW385:BH385&lt;&gt;""), 1)-1), ROW(INDIRECT("1:" &amp; MATCH(2, 1/(AW385:BH385&lt;&gt;""), 1)-1)))), 0))/_xlfn.XLOOKUP(F385,Apuração!A:A,Apuração!B:B))</f>
        <v>0.16666666666666666</v>
      </c>
      <c r="BM385" s="55" cm="1">
        <f t="array" ref="BM385">IFERROR(
   INDEX($AW$1:$BH$1,
      _xlfn.AGGREGATE(14, 6, COLUMN($AW$1:$BH$1)/(AW385:BH385&lt;&gt;""), 2) - COLUMN($AW$1) + 1
   ),
"")</f>
        <v>46113</v>
      </c>
      <c r="BN385" s="55" cm="1">
        <f t="array" ref="BN385">IFERROR(INDEX($AW$1:$BH$1,1,MATCH(2,1/(AW385:BH385&lt;&gt;""))),"")</f>
        <v>46143</v>
      </c>
      <c r="BO385" s="53">
        <f ca="1">IFERROR(_xlfn.XLOOKUP(F385,Apuração!A:A,Apuração!C:C)/_xlfn.XLOOKUP(F385,Apuração!A:A,Apuração!B:B),0)</f>
        <v>0.22222222222222221</v>
      </c>
      <c r="BP385" s="53">
        <f ca="1">IFERROR(_xlfn.XLOOKUP(F385,Apuração!A:A,Apuração!D:D)/_xlfn.XLOOKUP(F385,Apuração!A:A,Apuração!B:B),0)</f>
        <v>0.1111111111111111</v>
      </c>
      <c r="BQ385" s="53">
        <f ca="1">IF(BK385&gt;=BO385,0,_xlfn.XLOOKUP(F385,Apuração!A:A,Apuração!B:B)*(BO385 + (1/_xlfn.XLOOKUP(F385,Apuração!A:A,Apuração!B:B)) - BK385))</f>
        <v>3</v>
      </c>
      <c r="BR385" s="85">
        <f t="shared" ca="1" si="722"/>
        <v>0</v>
      </c>
      <c r="BS385" s="53">
        <f ca="1">IFERROR((_xlfn.XLOOKUP(F385,Apuração!A:A,Apuração!C:C)+1)/_xlfn.XLOOKUP(F385,Apuração!A:A,Apuração!B:B),0)</f>
        <v>0.33333333333333331</v>
      </c>
    </row>
    <row r="386" spans="1:71" ht="25.95" hidden="1" customHeight="1" x14ac:dyDescent="0.3">
      <c r="A386" s="39" t="s">
        <v>33</v>
      </c>
      <c r="B386" s="4" t="s">
        <v>60</v>
      </c>
      <c r="C386" s="5" t="s">
        <v>97</v>
      </c>
      <c r="D386" s="5" t="s">
        <v>101</v>
      </c>
      <c r="E386" s="4" t="str" cm="1">
        <f t="array" ref="E386">_xlfn.IFS(
F386 = "A partir de Abril", "Aguardando Execução na Distribuidora",
A386 = "CAPACITAÇÃO", "Em execução no Corporativo",
TRUE, "Em Execução na Distribuidora"
)</f>
        <v>Em Execução na Distribuidora</v>
      </c>
      <c r="F386" s="4" t="str" cm="1">
        <f t="array" ref="F386">_xlfn.IFS(
AG386 &lt;&gt; "", "Jan-Dez/26",
AH386 &lt;&gt; "", "Fev-Dez/26",
AI386 &lt;&gt; "", "Mar-Dez/26", AJ386 &lt;&gt; "", "Abr-Dez/26",
TRUE, "A partir de Junho"
)</f>
        <v>Abr-Dez/26</v>
      </c>
      <c r="G386" s="4" t="s">
        <v>37</v>
      </c>
      <c r="H386" s="7" t="s">
        <v>38</v>
      </c>
      <c r="I386" s="8" t="s">
        <v>68</v>
      </c>
      <c r="J386" s="8" t="str" cm="1">
        <f t="array" aca="1" ref="J386" ca="1">_xlfn.LET(
  _xlpm.actual_value_month, INDEX(T386:AE386, MATCH(DATE(YEAR(TODAY()), MONTH(TODAY()), 1), $T$1:$AE$1, 0)),
  IF(_xlpm.actual_value_month &lt;&gt; "",_xlpm.actual_value_month &amp; " ações mensais", "")
)</f>
        <v/>
      </c>
      <c r="K386" s="18" t="str" cm="1">
        <f t="array" ref="K386">_xlfn.LET(
    _xlpm.sum_month, SUM(T386:AE386),
    IF(_xlpm.sum_month = 0, "", _xlpm.sum_month &amp; " notificações.")
)</f>
        <v/>
      </c>
      <c r="L386" s="4" t="s">
        <v>69</v>
      </c>
      <c r="M386" s="19">
        <v>1</v>
      </c>
      <c r="N386" s="5" t="s">
        <v>51</v>
      </c>
      <c r="O386" s="5" t="s">
        <v>43</v>
      </c>
      <c r="P386" s="10" t="s">
        <v>44</v>
      </c>
      <c r="Q386" s="10" t="s">
        <v>44</v>
      </c>
      <c r="R386" s="11" t="s">
        <v>44</v>
      </c>
      <c r="S386" s="11" t="s">
        <v>44</v>
      </c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G386" s="71"/>
      <c r="AH386" s="71"/>
      <c r="AI386" s="71"/>
      <c r="AJ386" s="82">
        <v>102</v>
      </c>
      <c r="AK386" s="71"/>
      <c r="AL386" s="71"/>
      <c r="AM386" s="71"/>
      <c r="AN386" s="71"/>
      <c r="AO386" s="71"/>
      <c r="AP386" s="71"/>
      <c r="AQ386" s="71"/>
      <c r="AR386" s="71"/>
      <c r="AS386" s="94">
        <f t="shared" ca="1" si="715"/>
        <v>0</v>
      </c>
      <c r="AT386" s="95">
        <f t="shared" si="716"/>
        <v>102</v>
      </c>
      <c r="AU386" s="97">
        <f t="shared" si="717"/>
        <v>102</v>
      </c>
      <c r="AW386" s="83">
        <f t="shared" si="718"/>
        <v>0</v>
      </c>
      <c r="AX386" s="83">
        <f t="shared" si="719"/>
        <v>0</v>
      </c>
      <c r="AY386" s="83">
        <f t="shared" si="720"/>
        <v>0</v>
      </c>
      <c r="AZ386" s="83">
        <f t="shared" si="721"/>
        <v>102</v>
      </c>
      <c r="BA386" s="83">
        <f t="shared" si="714"/>
        <v>0</v>
      </c>
      <c r="BB386" s="52"/>
      <c r="BC386" s="52"/>
      <c r="BD386" s="52"/>
      <c r="BE386" s="52"/>
      <c r="BF386" s="52"/>
      <c r="BG386" s="52"/>
      <c r="BH386" s="52"/>
      <c r="BI386" s="68" cm="1">
        <f t="array" ref="BI386">IFERROR(INDEX(AW386:BH386,1,MATCH(2,1/(AW386:BH386&lt;&gt;""))),"")</f>
        <v>0</v>
      </c>
      <c r="BJ386" s="68" cm="1">
        <f t="array" ref="BJ386">IF(BM386 = "", "",IFERROR(INDEX(AW386:BH386,1,MATCH(2,1/(AW386:BH386&lt;&gt;""),1)-1),""))</f>
        <v>102</v>
      </c>
      <c r="BK386" s="59">
        <f>IF((IF(AW386&gt;=150%,150%,AW386) + IF(AX386&gt;=150%,150%,AX386) + IF(AY386&gt;=150%,150%,AY386) + (IF(AW386&gt;=150%,150%,AW386) + IF(BA386&gt;=150%,150%,BA386) + IF(BB386&gt;=150%,150%,BB386) + IF(BC386&gt;=150%,150%,BC386) + IF(BD386&gt;=150%,150%,BD386) + IF(BE386&gt;=150%,150%,BE386) + IF(BF386&gt;=150%,150%,BF386) + IF(BG386&gt;=150%,150%,BG386) + IF(BH386&gt;=150%,150%,BH386)))/_xlfn.XLOOKUP(F386,Apuração!A:A,Apuração!B:B)&gt;=1.15,1.15,((IF(AW386&gt;=150%,150%,AW386) + IF(AX386&gt;=150%,150%,AX386) + IF(AY386&gt;=150%,150%,AY386) + (IF(AW386&gt;=150%,150%,AW386) + IF(BA386&gt;=150%,150%,BA386) + IF(BB386&gt;=150%,150%,BB386) + IF(BC386&gt;=150%,150%,BC386) + IF(BD386&gt;=150%,150%,BD386) + IF(BE386&gt;=150%,150%,BE386) + IF(BF386&gt;=150%,150%,BF386) + IF(BG386&gt;=150%,150%,BG386) + IF(BH386&gt;=150%,150%,BH386)))/_xlfn.XLOOKUP(F386,Apuração!A:A,Apuração!B:B)))</f>
        <v>0</v>
      </c>
      <c r="BL386" s="59" cm="1">
        <f t="array" aca="1" ref="BL386" ca="1">IF(SUM(IFERROR(IF(INDEX(AW386:INDEX(AW386:BH386, MATCH(2, 1/(AW386:BH386&lt;&gt;""), 1)-1), ROW(INDIRECT("1:" &amp; MATCH(2, 1/(AW386:BH386&lt;&gt;""), 1)-1))) &gt;= 150%, 150%, INDEX(AW386:INDEX(AW386:BH386, MATCH(2, 1/(AW386:BH386&lt;&gt;""), 1)-1), ROW(INDIRECT("1:" &amp; MATCH(2, 1/(AW386:BH386&lt;&gt;""), 1)-1)))), 0))/_xlfn.XLOOKUP(F386,Apuração!A:A,Apuração!B:B)&gt;=1.15,1.15,SUM(IFERROR(IF(INDEX(AW386:INDEX(AW386:BH386, MATCH(2, 1/(AW386:BH386&lt;&gt;""), 1)-1), ROW(INDIRECT("1:" &amp; MATCH(2, 1/(AW386:BH386&lt;&gt;""), 1)-1))) &gt;= 150%, 150%, INDEX(AW386:INDEX(AW386:BH386, MATCH(2, 1/(AW386:BH386&lt;&gt;""), 1)-1), ROW(INDIRECT("1:" &amp; MATCH(2, 1/(AW386:BH386&lt;&gt;""), 1)-1)))), 0))/_xlfn.XLOOKUP(F386,Apuração!A:A,Apuração!B:B))</f>
        <v>0.16666666666666666</v>
      </c>
      <c r="BM386" s="55" cm="1">
        <f t="array" ref="BM386">IFERROR(
   INDEX($AW$1:$BH$1,
      _xlfn.AGGREGATE(14, 6, COLUMN($AW$1:$BH$1)/(AW386:BH386&lt;&gt;""), 2) - COLUMN($AW$1) + 1
   ),
"")</f>
        <v>46113</v>
      </c>
      <c r="BN386" s="55" cm="1">
        <f t="array" ref="BN386">IFERROR(INDEX($AW$1:$BH$1,1,MATCH(2,1/(AW386:BH386&lt;&gt;""))),"")</f>
        <v>46143</v>
      </c>
      <c r="BO386" s="53">
        <f ca="1">IFERROR(_xlfn.XLOOKUP(F386,Apuração!A:A,Apuração!C:C)/_xlfn.XLOOKUP(F386,Apuração!A:A,Apuração!B:B),0)</f>
        <v>0.22222222222222221</v>
      </c>
      <c r="BP386" s="53">
        <f ca="1">IFERROR(_xlfn.XLOOKUP(F386,Apuração!A:A,Apuração!D:D)/_xlfn.XLOOKUP(F386,Apuração!A:A,Apuração!B:B),0)</f>
        <v>0.1111111111111111</v>
      </c>
      <c r="BQ386" s="53">
        <f ca="1">IF(BK386&gt;=BO386,0,_xlfn.XLOOKUP(F386,Apuração!A:A,Apuração!B:B)*(BO386 + (1/_xlfn.XLOOKUP(F386,Apuração!A:A,Apuração!B:B)) - BK386))</f>
        <v>3</v>
      </c>
      <c r="BR386" s="85">
        <f t="shared" ca="1" si="722"/>
        <v>0</v>
      </c>
      <c r="BS386" s="53">
        <f ca="1">IFERROR((_xlfn.XLOOKUP(F386,Apuração!A:A,Apuração!C:C)+1)/_xlfn.XLOOKUP(F386,Apuração!A:A,Apuração!B:B),0)</f>
        <v>0.33333333333333331</v>
      </c>
    </row>
    <row r="387" spans="1:71" ht="25.95" hidden="1" customHeight="1" x14ac:dyDescent="0.3">
      <c r="A387" s="39" t="s">
        <v>33</v>
      </c>
      <c r="B387" s="4" t="s">
        <v>60</v>
      </c>
      <c r="C387" s="5" t="s">
        <v>97</v>
      </c>
      <c r="D387" s="5" t="s">
        <v>102</v>
      </c>
      <c r="E387" s="4" t="str" cm="1">
        <f t="array" ref="E387">_xlfn.IFS(
F387 = "A partir de Abril", "Aguardando Execução na Distribuidora",
A387 = "CAPACITAÇÃO", "Em execução no Corporativo",
TRUE, "Em Execução na Distribuidora"
)</f>
        <v>Em Execução na Distribuidora</v>
      </c>
      <c r="F387" s="4" t="str" cm="1">
        <f t="array" ref="F387">_xlfn.IFS(
AG387 &lt;&gt; "", "Jan-Dez/26",
AH387 &lt;&gt; "", "Fev-Dez/26",
AI387 &lt;&gt; "", "Mar-Dez/26", AJ387 &lt;&gt; "", "Abr-Dez/26",
TRUE, "A partir de Junho"
)</f>
        <v>Abr-Dez/26</v>
      </c>
      <c r="G387" s="4" t="s">
        <v>37</v>
      </c>
      <c r="H387" s="7" t="s">
        <v>38</v>
      </c>
      <c r="I387" s="8" t="s">
        <v>68</v>
      </c>
      <c r="J387" s="8" t="str" cm="1">
        <f t="array" aca="1" ref="J387" ca="1">_xlfn.LET(
  _xlpm.actual_value_month, INDEX(T387:AE387, MATCH(DATE(YEAR(TODAY()), MONTH(TODAY()), 1), $T$1:$AE$1, 0)),
  IF(_xlpm.actual_value_month &lt;&gt; "",_xlpm.actual_value_month &amp; " ações mensais", "")
)</f>
        <v/>
      </c>
      <c r="K387" s="18" t="str" cm="1">
        <f t="array" ref="K387">_xlfn.LET(
    _xlpm.sum_month, SUM(T387:AE387),
    IF(_xlpm.sum_month = 0, "", _xlpm.sum_month &amp; " notificações.")
)</f>
        <v/>
      </c>
      <c r="L387" s="4" t="s">
        <v>69</v>
      </c>
      <c r="M387" s="19">
        <v>1</v>
      </c>
      <c r="N387" s="5" t="s">
        <v>51</v>
      </c>
      <c r="O387" s="5" t="s">
        <v>43</v>
      </c>
      <c r="P387" s="10" t="s">
        <v>44</v>
      </c>
      <c r="Q387" s="10" t="s">
        <v>44</v>
      </c>
      <c r="R387" s="11" t="s">
        <v>44</v>
      </c>
      <c r="S387" s="11" t="s">
        <v>44</v>
      </c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G387" s="71"/>
      <c r="AH387" s="71"/>
      <c r="AI387" s="71"/>
      <c r="AJ387" s="82">
        <v>0</v>
      </c>
      <c r="AK387" s="71"/>
      <c r="AL387" s="71"/>
      <c r="AM387" s="71"/>
      <c r="AN387" s="71"/>
      <c r="AO387" s="71"/>
      <c r="AP387" s="71"/>
      <c r="AQ387" s="71"/>
      <c r="AR387" s="71"/>
      <c r="AS387" s="94">
        <f t="shared" ca="1" si="715"/>
        <v>0</v>
      </c>
      <c r="AT387" s="95">
        <f t="shared" si="716"/>
        <v>0</v>
      </c>
      <c r="AU387" s="97">
        <f t="shared" si="717"/>
        <v>0</v>
      </c>
      <c r="AW387" s="83">
        <f t="shared" si="718"/>
        <v>0</v>
      </c>
      <c r="AX387" s="83">
        <f t="shared" si="719"/>
        <v>0</v>
      </c>
      <c r="AY387" s="83">
        <f t="shared" si="720"/>
        <v>0</v>
      </c>
      <c r="AZ387" s="83">
        <f t="shared" si="721"/>
        <v>0</v>
      </c>
      <c r="BA387" s="83">
        <f t="shared" si="714"/>
        <v>0</v>
      </c>
      <c r="BB387" s="52"/>
      <c r="BC387" s="52"/>
      <c r="BD387" s="52"/>
      <c r="BE387" s="52"/>
      <c r="BF387" s="52"/>
      <c r="BG387" s="52"/>
      <c r="BH387" s="52"/>
      <c r="BI387" s="68" cm="1">
        <f t="array" ref="BI387">IFERROR(INDEX(AW387:BH387,1,MATCH(2,1/(AW387:BH387&lt;&gt;""))),"")</f>
        <v>0</v>
      </c>
      <c r="BJ387" s="68" cm="1">
        <f t="array" ref="BJ387">IF(BM387 = "", "",IFERROR(INDEX(AW387:BH387,1,MATCH(2,1/(AW387:BH387&lt;&gt;""),1)-1),""))</f>
        <v>0</v>
      </c>
      <c r="BK387" s="59">
        <f>IF((IF(AW387&gt;=150%,150%,AW387) + IF(AX387&gt;=150%,150%,AX387) + IF(AY387&gt;=150%,150%,AY387) + (IF(AW387&gt;=150%,150%,AW387) + IF(BA387&gt;=150%,150%,BA387) + IF(BB387&gt;=150%,150%,BB387) + IF(BC387&gt;=150%,150%,BC387) + IF(BD387&gt;=150%,150%,BD387) + IF(BE387&gt;=150%,150%,BE387) + IF(BF387&gt;=150%,150%,BF387) + IF(BG387&gt;=150%,150%,BG387) + IF(BH387&gt;=150%,150%,BH387)))/_xlfn.XLOOKUP(F387,Apuração!A:A,Apuração!B:B)&gt;=1.15,1.15,((IF(AW387&gt;=150%,150%,AW387) + IF(AX387&gt;=150%,150%,AX387) + IF(AY387&gt;=150%,150%,AY387) + (IF(AW387&gt;=150%,150%,AW387) + IF(BA387&gt;=150%,150%,BA387) + IF(BB387&gt;=150%,150%,BB387) + IF(BC387&gt;=150%,150%,BC387) + IF(BD387&gt;=150%,150%,BD387) + IF(BE387&gt;=150%,150%,BE387) + IF(BF387&gt;=150%,150%,BF387) + IF(BG387&gt;=150%,150%,BG387) + IF(BH387&gt;=150%,150%,BH387)))/_xlfn.XLOOKUP(F387,Apuração!A:A,Apuração!B:B)))</f>
        <v>0</v>
      </c>
      <c r="BL387" s="59" cm="1">
        <f t="array" aca="1" ref="BL387" ca="1">IF(SUM(IFERROR(IF(INDEX(AW387:INDEX(AW387:BH387, MATCH(2, 1/(AW387:BH387&lt;&gt;""), 1)-1), ROW(INDIRECT("1:" &amp; MATCH(2, 1/(AW387:BH387&lt;&gt;""), 1)-1))) &gt;= 150%, 150%, INDEX(AW387:INDEX(AW387:BH387, MATCH(2, 1/(AW387:BH387&lt;&gt;""), 1)-1), ROW(INDIRECT("1:" &amp; MATCH(2, 1/(AW387:BH387&lt;&gt;""), 1)-1)))), 0))/_xlfn.XLOOKUP(F387,Apuração!A:A,Apuração!B:B)&gt;=1.15,1.15,SUM(IFERROR(IF(INDEX(AW387:INDEX(AW387:BH387, MATCH(2, 1/(AW387:BH387&lt;&gt;""), 1)-1), ROW(INDIRECT("1:" &amp; MATCH(2, 1/(AW387:BH387&lt;&gt;""), 1)-1))) &gt;= 150%, 150%, INDEX(AW387:INDEX(AW387:BH387, MATCH(2, 1/(AW387:BH387&lt;&gt;""), 1)-1), ROW(INDIRECT("1:" &amp; MATCH(2, 1/(AW387:BH387&lt;&gt;""), 1)-1)))), 0))/_xlfn.XLOOKUP(F387,Apuração!A:A,Apuração!B:B))</f>
        <v>0</v>
      </c>
      <c r="BM387" s="55" cm="1">
        <f t="array" ref="BM387">IFERROR(
   INDEX($AW$1:$BH$1,
      _xlfn.AGGREGATE(14, 6, COLUMN($AW$1:$BH$1)/(AW387:BH387&lt;&gt;""), 2) - COLUMN($AW$1) + 1
   ),
"")</f>
        <v>46113</v>
      </c>
      <c r="BN387" s="55" cm="1">
        <f t="array" ref="BN387">IFERROR(INDEX($AW$1:$BH$1,1,MATCH(2,1/(AW387:BH387&lt;&gt;""))),"")</f>
        <v>46143</v>
      </c>
      <c r="BO387" s="53">
        <f ca="1">IFERROR(_xlfn.XLOOKUP(F387,Apuração!A:A,Apuração!C:C)/_xlfn.XLOOKUP(F387,Apuração!A:A,Apuração!B:B),0)</f>
        <v>0.22222222222222221</v>
      </c>
      <c r="BP387" s="53">
        <f ca="1">IFERROR(_xlfn.XLOOKUP(F387,Apuração!A:A,Apuração!D:D)/_xlfn.XLOOKUP(F387,Apuração!A:A,Apuração!B:B),0)</f>
        <v>0.1111111111111111</v>
      </c>
      <c r="BQ387" s="53">
        <f ca="1">IF(BK387&gt;=BO387,0,_xlfn.XLOOKUP(F387,Apuração!A:A,Apuração!B:B)*(BO387 + (1/_xlfn.XLOOKUP(F387,Apuração!A:A,Apuração!B:B)) - BK387))</f>
        <v>3</v>
      </c>
      <c r="BR387" s="85">
        <f t="shared" ca="1" si="722"/>
        <v>0</v>
      </c>
      <c r="BS387" s="53">
        <f ca="1">IFERROR((_xlfn.XLOOKUP(F387,Apuração!A:A,Apuração!C:C)+1)/_xlfn.XLOOKUP(F387,Apuração!A:A,Apuração!B:B),0)</f>
        <v>0.33333333333333331</v>
      </c>
    </row>
    <row r="388" spans="1:71" ht="25.95" hidden="1" customHeight="1" x14ac:dyDescent="0.3">
      <c r="A388" s="39" t="s">
        <v>33</v>
      </c>
      <c r="B388" s="4" t="s">
        <v>60</v>
      </c>
      <c r="C388" s="5" t="s">
        <v>97</v>
      </c>
      <c r="D388" s="5" t="s">
        <v>103</v>
      </c>
      <c r="E388" s="4" t="str" cm="1">
        <f t="array" ref="E388">_xlfn.IFS(
F388 = "A partir de Abril", "Aguardando Execução na Distribuidora",
A388 = "CAPACITAÇÃO", "Em execução no Corporativo",
TRUE, "Em Execução na Distribuidora"
)</f>
        <v>Em Execução na Distribuidora</v>
      </c>
      <c r="F388" s="4" t="str" cm="1">
        <f t="array" ref="F388">_xlfn.IFS(
AG388 &lt;&gt; "", "Jan-Dez/26",
AH388 &lt;&gt; "", "Fev-Dez/26",
AI388 &lt;&gt; "", "Mar-Dez/26", AJ388 &lt;&gt; "", "Abr-Dez/26",
TRUE, "A partir de Junho"
)</f>
        <v>Abr-Dez/26</v>
      </c>
      <c r="G388" s="4" t="s">
        <v>37</v>
      </c>
      <c r="H388" s="7" t="s">
        <v>38</v>
      </c>
      <c r="I388" s="8" t="s">
        <v>68</v>
      </c>
      <c r="J388" s="8" t="str" cm="1">
        <f t="array" aca="1" ref="J388" ca="1">_xlfn.LET(
  _xlpm.actual_value_month, INDEX(T388:AE388, MATCH(DATE(YEAR(TODAY()), MONTH(TODAY()), 1), $T$1:$AE$1, 0)),
  IF(_xlpm.actual_value_month &lt;&gt; "",_xlpm.actual_value_month &amp; " ações mensais", "")
)</f>
        <v/>
      </c>
      <c r="K388" s="18" t="str" cm="1">
        <f t="array" ref="K388">_xlfn.LET(
    _xlpm.sum_month, SUM(T388:AE388),
    IF(_xlpm.sum_month = 0, "", _xlpm.sum_month &amp; " notificações.")
)</f>
        <v/>
      </c>
      <c r="L388" s="4" t="s">
        <v>69</v>
      </c>
      <c r="M388" s="19">
        <v>1</v>
      </c>
      <c r="N388" s="5" t="s">
        <v>51</v>
      </c>
      <c r="O388" s="5" t="s">
        <v>43</v>
      </c>
      <c r="P388" s="10" t="s">
        <v>44</v>
      </c>
      <c r="Q388" s="10" t="s">
        <v>44</v>
      </c>
      <c r="R388" s="11" t="s">
        <v>44</v>
      </c>
      <c r="S388" s="11" t="s">
        <v>44</v>
      </c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G388" s="71"/>
      <c r="AH388" s="71"/>
      <c r="AI388" s="71"/>
      <c r="AJ388" s="82">
        <v>9</v>
      </c>
      <c r="AK388" s="71">
        <v>0</v>
      </c>
      <c r="AL388" s="71"/>
      <c r="AM388" s="71"/>
      <c r="AN388" s="71"/>
      <c r="AO388" s="71"/>
      <c r="AP388" s="71"/>
      <c r="AQ388" s="71"/>
      <c r="AR388" s="71"/>
      <c r="AS388" s="94">
        <f t="shared" ca="1" si="715"/>
        <v>0</v>
      </c>
      <c r="AT388" s="95">
        <f t="shared" si="716"/>
        <v>9</v>
      </c>
      <c r="AU388" s="97">
        <f t="shared" si="717"/>
        <v>9</v>
      </c>
      <c r="AW388" s="83">
        <f t="shared" si="718"/>
        <v>0</v>
      </c>
      <c r="AX388" s="83">
        <f t="shared" si="719"/>
        <v>0</v>
      </c>
      <c r="AY388" s="83">
        <f t="shared" si="720"/>
        <v>0</v>
      </c>
      <c r="AZ388" s="83">
        <f t="shared" si="721"/>
        <v>9</v>
      </c>
      <c r="BA388" s="83">
        <f t="shared" si="714"/>
        <v>0</v>
      </c>
      <c r="BB388" s="52"/>
      <c r="BC388" s="52"/>
      <c r="BD388" s="52"/>
      <c r="BE388" s="52"/>
      <c r="BF388" s="52"/>
      <c r="BG388" s="52"/>
      <c r="BH388" s="52"/>
      <c r="BI388" s="68" cm="1">
        <f t="array" ref="BI388">IFERROR(INDEX(AW388:BH388,1,MATCH(2,1/(AW388:BH388&lt;&gt;""))),"")</f>
        <v>0</v>
      </c>
      <c r="BJ388" s="68" cm="1">
        <f t="array" ref="BJ388">IF(BM388 = "", "",IFERROR(INDEX(AW388:BH388,1,MATCH(2,1/(AW388:BH388&lt;&gt;""),1)-1),""))</f>
        <v>9</v>
      </c>
      <c r="BK388" s="59">
        <f>IF((IF(AW388&gt;=150%,150%,AW388) + IF(AX388&gt;=150%,150%,AX388) + IF(AY388&gt;=150%,150%,AY388) + (IF(AW388&gt;=150%,150%,AW388) + IF(BA388&gt;=150%,150%,BA388) + IF(BB388&gt;=150%,150%,BB388) + IF(BC388&gt;=150%,150%,BC388) + IF(BD388&gt;=150%,150%,BD388) + IF(BE388&gt;=150%,150%,BE388) + IF(BF388&gt;=150%,150%,BF388) + IF(BG388&gt;=150%,150%,BG388) + IF(BH388&gt;=150%,150%,BH388)))/_xlfn.XLOOKUP(F388,Apuração!A:A,Apuração!B:B)&gt;=1.15,1.15,((IF(AW388&gt;=150%,150%,AW388) + IF(AX388&gt;=150%,150%,AX388) + IF(AY388&gt;=150%,150%,AY388) + (IF(AW388&gt;=150%,150%,AW388) + IF(BA388&gt;=150%,150%,BA388) + IF(BB388&gt;=150%,150%,BB388) + IF(BC388&gt;=150%,150%,BC388) + IF(BD388&gt;=150%,150%,BD388) + IF(BE388&gt;=150%,150%,BE388) + IF(BF388&gt;=150%,150%,BF388) + IF(BG388&gt;=150%,150%,BG388) + IF(BH388&gt;=150%,150%,BH388)))/_xlfn.XLOOKUP(F388,Apuração!A:A,Apuração!B:B)))</f>
        <v>0</v>
      </c>
      <c r="BL388" s="59" cm="1">
        <f t="array" aca="1" ref="BL388" ca="1">IF(SUM(IFERROR(IF(INDEX(AW388:INDEX(AW388:BH388, MATCH(2, 1/(AW388:BH388&lt;&gt;""), 1)-1), ROW(INDIRECT("1:" &amp; MATCH(2, 1/(AW388:BH388&lt;&gt;""), 1)-1))) &gt;= 150%, 150%, INDEX(AW388:INDEX(AW388:BH388, MATCH(2, 1/(AW388:BH388&lt;&gt;""), 1)-1), ROW(INDIRECT("1:" &amp; MATCH(2, 1/(AW388:BH388&lt;&gt;""), 1)-1)))), 0))/_xlfn.XLOOKUP(F388,Apuração!A:A,Apuração!B:B)&gt;=1.15,1.15,SUM(IFERROR(IF(INDEX(AW388:INDEX(AW388:BH388, MATCH(2, 1/(AW388:BH388&lt;&gt;""), 1)-1), ROW(INDIRECT("1:" &amp; MATCH(2, 1/(AW388:BH388&lt;&gt;""), 1)-1))) &gt;= 150%, 150%, INDEX(AW388:INDEX(AW388:BH388, MATCH(2, 1/(AW388:BH388&lt;&gt;""), 1)-1), ROW(INDIRECT("1:" &amp; MATCH(2, 1/(AW388:BH388&lt;&gt;""), 1)-1)))), 0))/_xlfn.XLOOKUP(F388,Apuração!A:A,Apuração!B:B))</f>
        <v>0.16666666666666666</v>
      </c>
      <c r="BM388" s="55" cm="1">
        <f t="array" ref="BM388">IFERROR(
   INDEX($AW$1:$BH$1,
      _xlfn.AGGREGATE(14, 6, COLUMN($AW$1:$BH$1)/(AW388:BH388&lt;&gt;""), 2) - COLUMN($AW$1) + 1
   ),
"")</f>
        <v>46113</v>
      </c>
      <c r="BN388" s="55" cm="1">
        <f t="array" ref="BN388">IFERROR(INDEX($AW$1:$BH$1,1,MATCH(2,1/(AW388:BH388&lt;&gt;""))),"")</f>
        <v>46143</v>
      </c>
      <c r="BO388" s="53">
        <f ca="1">IFERROR(_xlfn.XLOOKUP(F388,Apuração!A:A,Apuração!C:C)/_xlfn.XLOOKUP(F388,Apuração!A:A,Apuração!B:B),0)</f>
        <v>0.22222222222222221</v>
      </c>
      <c r="BP388" s="53">
        <f ca="1">IFERROR(_xlfn.XLOOKUP(F388,Apuração!A:A,Apuração!D:D)/_xlfn.XLOOKUP(F388,Apuração!A:A,Apuração!B:B),0)</f>
        <v>0.1111111111111111</v>
      </c>
      <c r="BQ388" s="53">
        <f ca="1">IF(BK388&gt;=BO388,0,_xlfn.XLOOKUP(F388,Apuração!A:A,Apuração!B:B)*(BO388 + (1/_xlfn.XLOOKUP(F388,Apuração!A:A,Apuração!B:B)) - BK388))</f>
        <v>3</v>
      </c>
      <c r="BR388" s="85">
        <f t="shared" ca="1" si="722"/>
        <v>0</v>
      </c>
      <c r="BS388" s="53">
        <f ca="1">IFERROR((_xlfn.XLOOKUP(F388,Apuração!A:A,Apuração!C:C)+1)/_xlfn.XLOOKUP(F388,Apuração!A:A,Apuração!B:B),0)</f>
        <v>0.33333333333333331</v>
      </c>
    </row>
    <row r="389" spans="1:71" ht="25.95" hidden="1" customHeight="1" x14ac:dyDescent="0.3">
      <c r="A389" s="39" t="s">
        <v>33</v>
      </c>
      <c r="B389" s="4" t="s">
        <v>60</v>
      </c>
      <c r="C389" s="5" t="s">
        <v>97</v>
      </c>
      <c r="D389" s="5" t="s">
        <v>104</v>
      </c>
      <c r="E389" s="4" t="str" cm="1">
        <f t="array" ref="E389">_xlfn.IFS(
F389 = "A partir de Abril", "Aguardando Execução na Distribuidora",
A389 = "CAPACITAÇÃO", "Em execução no Corporativo",
TRUE, "Em Execução na Distribuidora"
)</f>
        <v>Em Execução na Distribuidora</v>
      </c>
      <c r="F389" s="4" t="str" cm="1">
        <f t="array" ref="F389">_xlfn.IFS(
AG389 &lt;&gt; "", "Jan-Dez/26",
AH389 &lt;&gt; "", "Fev-Dez/26",
AI389 &lt;&gt; "", "Mar-Dez/26", AJ389 &lt;&gt; "", "Abr-Dez/26",
TRUE, "A partir de Junho"
)</f>
        <v>Abr-Dez/26</v>
      </c>
      <c r="G389" s="4" t="s">
        <v>37</v>
      </c>
      <c r="H389" s="7" t="s">
        <v>38</v>
      </c>
      <c r="I389" s="8" t="s">
        <v>68</v>
      </c>
      <c r="J389" s="8" t="str" cm="1">
        <f t="array" aca="1" ref="J389" ca="1">_xlfn.LET(
  _xlpm.actual_value_month, INDEX(T389:AE389, MATCH(DATE(YEAR(TODAY()), MONTH(TODAY()), 1), $T$1:$AE$1, 0)),
  IF(_xlpm.actual_value_month &lt;&gt; "",_xlpm.actual_value_month &amp; " ações mensais", "")
)</f>
        <v/>
      </c>
      <c r="K389" s="18" t="str" cm="1">
        <f t="array" ref="K389">_xlfn.LET(
    _xlpm.sum_month, SUM(T389:AE389),
    IF(_xlpm.sum_month = 0, "", _xlpm.sum_month &amp; " notificações.")
)</f>
        <v/>
      </c>
      <c r="L389" s="4" t="s">
        <v>69</v>
      </c>
      <c r="M389" s="19">
        <v>1</v>
      </c>
      <c r="N389" s="5" t="s">
        <v>51</v>
      </c>
      <c r="O389" s="5" t="s">
        <v>43</v>
      </c>
      <c r="P389" s="10" t="s">
        <v>44</v>
      </c>
      <c r="Q389" s="10" t="s">
        <v>44</v>
      </c>
      <c r="R389" s="11" t="s">
        <v>44</v>
      </c>
      <c r="S389" s="11" t="s">
        <v>44</v>
      </c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G389" s="71"/>
      <c r="AH389" s="71"/>
      <c r="AI389" s="71"/>
      <c r="AJ389" s="82">
        <v>0</v>
      </c>
      <c r="AK389" s="71">
        <v>0</v>
      </c>
      <c r="AL389" s="71"/>
      <c r="AM389" s="71"/>
      <c r="AN389" s="71"/>
      <c r="AO389" s="71"/>
      <c r="AP389" s="71"/>
      <c r="AQ389" s="71"/>
      <c r="AR389" s="71"/>
      <c r="AS389" s="94">
        <f t="shared" ca="1" si="715"/>
        <v>0</v>
      </c>
      <c r="AT389" s="95">
        <f t="shared" si="716"/>
        <v>0</v>
      </c>
      <c r="AU389" s="97">
        <f t="shared" si="717"/>
        <v>0</v>
      </c>
      <c r="AW389" s="83">
        <f t="shared" si="718"/>
        <v>0</v>
      </c>
      <c r="AX389" s="83">
        <f t="shared" si="719"/>
        <v>0</v>
      </c>
      <c r="AY389" s="83">
        <f t="shared" si="720"/>
        <v>0</v>
      </c>
      <c r="AZ389" s="83">
        <f t="shared" si="721"/>
        <v>0</v>
      </c>
      <c r="BA389" s="83">
        <f t="shared" si="714"/>
        <v>0</v>
      </c>
      <c r="BB389" s="52"/>
      <c r="BC389" s="52"/>
      <c r="BD389" s="52"/>
      <c r="BE389" s="52"/>
      <c r="BF389" s="52"/>
      <c r="BG389" s="52"/>
      <c r="BH389" s="52"/>
      <c r="BI389" s="68" cm="1">
        <f t="array" ref="BI389">IFERROR(INDEX(AW389:BH389,1,MATCH(2,1/(AW389:BH389&lt;&gt;""))),"")</f>
        <v>0</v>
      </c>
      <c r="BJ389" s="68" cm="1">
        <f t="array" ref="BJ389">IF(BM389 = "", "",IFERROR(INDEX(AW389:BH389,1,MATCH(2,1/(AW389:BH389&lt;&gt;""),1)-1),""))</f>
        <v>0</v>
      </c>
      <c r="BK389" s="59">
        <f>IF((IF(AW389&gt;=150%,150%,AW389) + IF(AX389&gt;=150%,150%,AX389) + IF(AY389&gt;=150%,150%,AY389) + (IF(AW389&gt;=150%,150%,AW389) + IF(BA389&gt;=150%,150%,BA389) + IF(BB389&gt;=150%,150%,BB389) + IF(BC389&gt;=150%,150%,BC389) + IF(BD389&gt;=150%,150%,BD389) + IF(BE389&gt;=150%,150%,BE389) + IF(BF389&gt;=150%,150%,BF389) + IF(BG389&gt;=150%,150%,BG389) + IF(BH389&gt;=150%,150%,BH389)))/_xlfn.XLOOKUP(F389,Apuração!A:A,Apuração!B:B)&gt;=1.15,1.15,((IF(AW389&gt;=150%,150%,AW389) + IF(AX389&gt;=150%,150%,AX389) + IF(AY389&gt;=150%,150%,AY389) + (IF(AW389&gt;=150%,150%,AW389) + IF(BA389&gt;=150%,150%,BA389) + IF(BB389&gt;=150%,150%,BB389) + IF(BC389&gt;=150%,150%,BC389) + IF(BD389&gt;=150%,150%,BD389) + IF(BE389&gt;=150%,150%,BE389) + IF(BF389&gt;=150%,150%,BF389) + IF(BG389&gt;=150%,150%,BG389) + IF(BH389&gt;=150%,150%,BH389)))/_xlfn.XLOOKUP(F389,Apuração!A:A,Apuração!B:B)))</f>
        <v>0</v>
      </c>
      <c r="BL389" s="59" cm="1">
        <f t="array" aca="1" ref="BL389" ca="1">IF(SUM(IFERROR(IF(INDEX(AW389:INDEX(AW389:BH389, MATCH(2, 1/(AW389:BH389&lt;&gt;""), 1)-1), ROW(INDIRECT("1:" &amp; MATCH(2, 1/(AW389:BH389&lt;&gt;""), 1)-1))) &gt;= 150%, 150%, INDEX(AW389:INDEX(AW389:BH389, MATCH(2, 1/(AW389:BH389&lt;&gt;""), 1)-1), ROW(INDIRECT("1:" &amp; MATCH(2, 1/(AW389:BH389&lt;&gt;""), 1)-1)))), 0))/_xlfn.XLOOKUP(F389,Apuração!A:A,Apuração!B:B)&gt;=1.15,1.15,SUM(IFERROR(IF(INDEX(AW389:INDEX(AW389:BH389, MATCH(2, 1/(AW389:BH389&lt;&gt;""), 1)-1), ROW(INDIRECT("1:" &amp; MATCH(2, 1/(AW389:BH389&lt;&gt;""), 1)-1))) &gt;= 150%, 150%, INDEX(AW389:INDEX(AW389:BH389, MATCH(2, 1/(AW389:BH389&lt;&gt;""), 1)-1), ROW(INDIRECT("1:" &amp; MATCH(2, 1/(AW389:BH389&lt;&gt;""), 1)-1)))), 0))/_xlfn.XLOOKUP(F389,Apuração!A:A,Apuração!B:B))</f>
        <v>0</v>
      </c>
      <c r="BM389" s="55" cm="1">
        <f t="array" ref="BM389">IFERROR(
   INDEX($AW$1:$BH$1,
      _xlfn.AGGREGATE(14, 6, COLUMN($AW$1:$BH$1)/(AW389:BH389&lt;&gt;""), 2) - COLUMN($AW$1) + 1
   ),
"")</f>
        <v>46113</v>
      </c>
      <c r="BN389" s="55" cm="1">
        <f t="array" ref="BN389">IFERROR(INDEX($AW$1:$BH$1,1,MATCH(2,1/(AW389:BH389&lt;&gt;""))),"")</f>
        <v>46143</v>
      </c>
      <c r="BO389" s="53">
        <f ca="1">IFERROR(_xlfn.XLOOKUP(F389,Apuração!A:A,Apuração!C:C)/_xlfn.XLOOKUP(F389,Apuração!A:A,Apuração!B:B),0)</f>
        <v>0.22222222222222221</v>
      </c>
      <c r="BP389" s="53">
        <f ca="1">IFERROR(_xlfn.XLOOKUP(F389,Apuração!A:A,Apuração!D:D)/_xlfn.XLOOKUP(F389,Apuração!A:A,Apuração!B:B),0)</f>
        <v>0.1111111111111111</v>
      </c>
      <c r="BQ389" s="53">
        <f ca="1">IF(BK389&gt;=BO389,0,_xlfn.XLOOKUP(F389,Apuração!A:A,Apuração!B:B)*(BO389 + (1/_xlfn.XLOOKUP(F389,Apuração!A:A,Apuração!B:B)) - BK389))</f>
        <v>3</v>
      </c>
      <c r="BR389" s="85">
        <f t="shared" ca="1" si="722"/>
        <v>0</v>
      </c>
      <c r="BS389" s="53">
        <f ca="1">IFERROR((_xlfn.XLOOKUP(F389,Apuração!A:A,Apuração!C:C)+1)/_xlfn.XLOOKUP(F389,Apuração!A:A,Apuração!B:B),0)</f>
        <v>0.33333333333333331</v>
      </c>
    </row>
    <row r="390" spans="1:71" ht="25.95" hidden="1" customHeight="1" x14ac:dyDescent="0.3">
      <c r="A390" s="39" t="s">
        <v>33</v>
      </c>
      <c r="B390" s="4" t="s">
        <v>60</v>
      </c>
      <c r="C390" s="5" t="s">
        <v>97</v>
      </c>
      <c r="D390" s="5" t="s">
        <v>105</v>
      </c>
      <c r="E390" s="4" t="str" cm="1">
        <f t="array" ref="E390">_xlfn.IFS(
F390 = "A partir de Abril", "Aguardando Execução na Distribuidora",
A390 = "CAPACITAÇÃO", "Em execução no Corporativo",
TRUE, "Em Execução na Distribuidora"
)</f>
        <v>Em Execução na Distribuidora</v>
      </c>
      <c r="F390" s="4" t="str" cm="1">
        <f t="array" ref="F390">_xlfn.IFS(
AG390 &lt;&gt; "", "Jan-Dez/26",
AH390 &lt;&gt; "", "Fev-Dez/26",
AI390 &lt;&gt; "", "Mar-Dez/26", AJ390 &lt;&gt; "", "Abr-Dez/26",
TRUE, "A partir de Junho"
)</f>
        <v>Abr-Dez/26</v>
      </c>
      <c r="G390" s="4" t="s">
        <v>37</v>
      </c>
      <c r="H390" s="7" t="s">
        <v>38</v>
      </c>
      <c r="I390" s="8" t="s">
        <v>68</v>
      </c>
      <c r="J390" s="8" t="str" cm="1">
        <f t="array" aca="1" ref="J390" ca="1">_xlfn.LET(
  _xlpm.actual_value_month, INDEX(T390:AE390, MATCH(DATE(YEAR(TODAY()), MONTH(TODAY()), 1), $T$1:$AE$1, 0)),
  IF(_xlpm.actual_value_month &lt;&gt; "",_xlpm.actual_value_month &amp; " ações mensais", "")
)</f>
        <v/>
      </c>
      <c r="K390" s="18" t="str" cm="1">
        <f t="array" ref="K390">_xlfn.LET(
    _xlpm.sum_month, SUM(T390:AE390),
    IF(_xlpm.sum_month = 0, "", _xlpm.sum_month &amp; " notificações.")
)</f>
        <v/>
      </c>
      <c r="L390" s="4" t="s">
        <v>69</v>
      </c>
      <c r="M390" s="19">
        <v>1</v>
      </c>
      <c r="N390" s="5" t="s">
        <v>51</v>
      </c>
      <c r="O390" s="5" t="s">
        <v>43</v>
      </c>
      <c r="P390" s="10" t="s">
        <v>44</v>
      </c>
      <c r="Q390" s="10" t="s">
        <v>44</v>
      </c>
      <c r="R390" s="11" t="s">
        <v>44</v>
      </c>
      <c r="S390" s="11" t="s">
        <v>44</v>
      </c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G390" s="71"/>
      <c r="AH390" s="71"/>
      <c r="AI390" s="71"/>
      <c r="AJ390" s="82">
        <v>0</v>
      </c>
      <c r="AK390" s="71"/>
      <c r="AL390" s="71"/>
      <c r="AM390" s="71"/>
      <c r="AN390" s="71"/>
      <c r="AO390" s="71"/>
      <c r="AP390" s="71"/>
      <c r="AQ390" s="71"/>
      <c r="AR390" s="71"/>
      <c r="AS390" s="94">
        <f t="shared" ca="1" si="715"/>
        <v>0</v>
      </c>
      <c r="AT390" s="95">
        <f t="shared" si="716"/>
        <v>0</v>
      </c>
      <c r="AU390" s="97">
        <f t="shared" si="717"/>
        <v>0</v>
      </c>
      <c r="AW390" s="83">
        <f t="shared" si="718"/>
        <v>0</v>
      </c>
      <c r="AX390" s="83">
        <f t="shared" si="719"/>
        <v>0</v>
      </c>
      <c r="AY390" s="83">
        <f t="shared" si="720"/>
        <v>0</v>
      </c>
      <c r="AZ390" s="83">
        <f t="shared" si="721"/>
        <v>0</v>
      </c>
      <c r="BA390" s="83">
        <f t="shared" si="714"/>
        <v>0</v>
      </c>
      <c r="BB390" s="52"/>
      <c r="BC390" s="52"/>
      <c r="BD390" s="52"/>
      <c r="BE390" s="52"/>
      <c r="BF390" s="52"/>
      <c r="BG390" s="52"/>
      <c r="BH390" s="52"/>
      <c r="BI390" s="68" cm="1">
        <f t="array" ref="BI390">IFERROR(INDEX(AW390:BH390,1,MATCH(2,1/(AW390:BH390&lt;&gt;""))),"")</f>
        <v>0</v>
      </c>
      <c r="BJ390" s="68" cm="1">
        <f t="array" ref="BJ390">IF(BM390 = "", "",IFERROR(INDEX(AW390:BH390,1,MATCH(2,1/(AW390:BH390&lt;&gt;""),1)-1),""))</f>
        <v>0</v>
      </c>
      <c r="BK390" s="59">
        <f>IF((IF(AW390&gt;=150%,150%,AW390) + IF(AX390&gt;=150%,150%,AX390) + IF(AY390&gt;=150%,150%,AY390) + (IF(AW390&gt;=150%,150%,AW390) + IF(BA390&gt;=150%,150%,BA390) + IF(BB390&gt;=150%,150%,BB390) + IF(BC390&gt;=150%,150%,BC390) + IF(BD390&gt;=150%,150%,BD390) + IF(BE390&gt;=150%,150%,BE390) + IF(BF390&gt;=150%,150%,BF390) + IF(BG390&gt;=150%,150%,BG390) + IF(BH390&gt;=150%,150%,BH390)))/_xlfn.XLOOKUP(F390,Apuração!A:A,Apuração!B:B)&gt;=1.15,1.15,((IF(AW390&gt;=150%,150%,AW390) + IF(AX390&gt;=150%,150%,AX390) + IF(AY390&gt;=150%,150%,AY390) + (IF(AW390&gt;=150%,150%,AW390) + IF(BA390&gt;=150%,150%,BA390) + IF(BB390&gt;=150%,150%,BB390) + IF(BC390&gt;=150%,150%,BC390) + IF(BD390&gt;=150%,150%,BD390) + IF(BE390&gt;=150%,150%,BE390) + IF(BF390&gt;=150%,150%,BF390) + IF(BG390&gt;=150%,150%,BG390) + IF(BH390&gt;=150%,150%,BH390)))/_xlfn.XLOOKUP(F390,Apuração!A:A,Apuração!B:B)))</f>
        <v>0</v>
      </c>
      <c r="BL390" s="59" cm="1">
        <f t="array" aca="1" ref="BL390" ca="1">IF(SUM(IFERROR(IF(INDEX(AW390:INDEX(AW390:BH390, MATCH(2, 1/(AW390:BH390&lt;&gt;""), 1)-1), ROW(INDIRECT("1:" &amp; MATCH(2, 1/(AW390:BH390&lt;&gt;""), 1)-1))) &gt;= 150%, 150%, INDEX(AW390:INDEX(AW390:BH390, MATCH(2, 1/(AW390:BH390&lt;&gt;""), 1)-1), ROW(INDIRECT("1:" &amp; MATCH(2, 1/(AW390:BH390&lt;&gt;""), 1)-1)))), 0))/_xlfn.XLOOKUP(F390,Apuração!A:A,Apuração!B:B)&gt;=1.15,1.15,SUM(IFERROR(IF(INDEX(AW390:INDEX(AW390:BH390, MATCH(2, 1/(AW390:BH390&lt;&gt;""), 1)-1), ROW(INDIRECT("1:" &amp; MATCH(2, 1/(AW390:BH390&lt;&gt;""), 1)-1))) &gt;= 150%, 150%, INDEX(AW390:INDEX(AW390:BH390, MATCH(2, 1/(AW390:BH390&lt;&gt;""), 1)-1), ROW(INDIRECT("1:" &amp; MATCH(2, 1/(AW390:BH390&lt;&gt;""), 1)-1)))), 0))/_xlfn.XLOOKUP(F390,Apuração!A:A,Apuração!B:B))</f>
        <v>0</v>
      </c>
      <c r="BM390" s="55" cm="1">
        <f t="array" ref="BM390">IFERROR(
   INDEX($AW$1:$BH$1,
      _xlfn.AGGREGATE(14, 6, COLUMN($AW$1:$BH$1)/(AW390:BH390&lt;&gt;""), 2) - COLUMN($AW$1) + 1
   ),
"")</f>
        <v>46113</v>
      </c>
      <c r="BN390" s="55" cm="1">
        <f t="array" ref="BN390">IFERROR(INDEX($AW$1:$BH$1,1,MATCH(2,1/(AW390:BH390&lt;&gt;""))),"")</f>
        <v>46143</v>
      </c>
      <c r="BO390" s="53">
        <f ca="1">IFERROR(_xlfn.XLOOKUP(F390,Apuração!A:A,Apuração!C:C)/_xlfn.XLOOKUP(F390,Apuração!A:A,Apuração!B:B),0)</f>
        <v>0.22222222222222221</v>
      </c>
      <c r="BP390" s="53">
        <f ca="1">IFERROR(_xlfn.XLOOKUP(F390,Apuração!A:A,Apuração!D:D)/_xlfn.XLOOKUP(F390,Apuração!A:A,Apuração!B:B),0)</f>
        <v>0.1111111111111111</v>
      </c>
      <c r="BQ390" s="53">
        <f ca="1">IF(BK390&gt;=BO390,0,_xlfn.XLOOKUP(F390,Apuração!A:A,Apuração!B:B)*(BO390 + (1/_xlfn.XLOOKUP(F390,Apuração!A:A,Apuração!B:B)) - BK390))</f>
        <v>3</v>
      </c>
      <c r="BR390" s="85">
        <f t="shared" ca="1" si="722"/>
        <v>0</v>
      </c>
      <c r="BS390" s="53">
        <f ca="1">IFERROR((_xlfn.XLOOKUP(F390,Apuração!A:A,Apuração!C:C)+1)/_xlfn.XLOOKUP(F390,Apuração!A:A,Apuração!B:B),0)</f>
        <v>0.33333333333333331</v>
      </c>
    </row>
    <row r="391" spans="1:71" ht="25.95" hidden="1" customHeight="1" x14ac:dyDescent="0.3">
      <c r="A391" s="39" t="s">
        <v>33</v>
      </c>
      <c r="B391" s="4" t="s">
        <v>60</v>
      </c>
      <c r="C391" s="5" t="s">
        <v>97</v>
      </c>
      <c r="D391" s="5" t="s">
        <v>106</v>
      </c>
      <c r="E391" s="4" t="str" cm="1">
        <f t="array" ref="E391">_xlfn.IFS(
F391 = "A partir de Abril", "Aguardando Execução na Distribuidora",
A391 = "CAPACITAÇÃO", "Em execução no Corporativo",
TRUE, "Em Execução na Distribuidora"
)</f>
        <v>Em Execução na Distribuidora</v>
      </c>
      <c r="F391" s="4" t="str" cm="1">
        <f t="array" ref="F391">_xlfn.IFS(
AG391 &lt;&gt; "", "Jan-Dez/26",
AH391 &lt;&gt; "", "Fev-Dez/26",
AI391 &lt;&gt; "", "Mar-Dez/26", AJ391 &lt;&gt; "", "Abr-Dez/26",
TRUE, "A partir de Junho"
)</f>
        <v>Abr-Dez/26</v>
      </c>
      <c r="G391" s="4" t="s">
        <v>37</v>
      </c>
      <c r="H391" s="7" t="s">
        <v>38</v>
      </c>
      <c r="I391" s="8" t="s">
        <v>68</v>
      </c>
      <c r="J391" s="8" t="str" cm="1">
        <f t="array" aca="1" ref="J391" ca="1">_xlfn.LET(
  _xlpm.actual_value_month, INDEX(T391:AE391, MATCH(DATE(YEAR(TODAY()), MONTH(TODAY()), 1), $T$1:$AE$1, 0)),
  IF(_xlpm.actual_value_month &lt;&gt; "",_xlpm.actual_value_month &amp; " ações mensais", "")
)</f>
        <v/>
      </c>
      <c r="K391" s="18" t="str" cm="1">
        <f t="array" ref="K391">_xlfn.LET(
    _xlpm.sum_month, SUM(T391:AE391),
    IF(_xlpm.sum_month = 0, "", _xlpm.sum_month &amp; " notificações.")
)</f>
        <v/>
      </c>
      <c r="L391" s="4" t="s">
        <v>69</v>
      </c>
      <c r="M391" s="19">
        <v>1</v>
      </c>
      <c r="N391" s="5" t="s">
        <v>51</v>
      </c>
      <c r="O391" s="5" t="s">
        <v>43</v>
      </c>
      <c r="P391" s="10" t="s">
        <v>44</v>
      </c>
      <c r="Q391" s="10" t="s">
        <v>44</v>
      </c>
      <c r="R391" s="11" t="s">
        <v>44</v>
      </c>
      <c r="S391" s="11" t="s">
        <v>44</v>
      </c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G391" s="71"/>
      <c r="AH391" s="71"/>
      <c r="AI391" s="71"/>
      <c r="AJ391" s="82">
        <v>20</v>
      </c>
      <c r="AK391" s="71"/>
      <c r="AL391" s="71"/>
      <c r="AM391" s="71"/>
      <c r="AN391" s="71"/>
      <c r="AO391" s="71"/>
      <c r="AP391" s="71"/>
      <c r="AQ391" s="71"/>
      <c r="AR391" s="71"/>
      <c r="AS391" s="94">
        <f t="shared" ca="1" si="715"/>
        <v>0</v>
      </c>
      <c r="AT391" s="95">
        <f t="shared" si="716"/>
        <v>20</v>
      </c>
      <c r="AU391" s="97">
        <f t="shared" si="717"/>
        <v>20</v>
      </c>
      <c r="AW391" s="83">
        <f t="shared" si="718"/>
        <v>0</v>
      </c>
      <c r="AX391" s="83">
        <f t="shared" si="719"/>
        <v>0</v>
      </c>
      <c r="AY391" s="83">
        <f t="shared" si="720"/>
        <v>0</v>
      </c>
      <c r="AZ391" s="83">
        <f t="shared" si="721"/>
        <v>20</v>
      </c>
      <c r="BA391" s="83">
        <f t="shared" si="714"/>
        <v>0</v>
      </c>
      <c r="BB391" s="52"/>
      <c r="BC391" s="52"/>
      <c r="BD391" s="52"/>
      <c r="BE391" s="52"/>
      <c r="BF391" s="52"/>
      <c r="BG391" s="52"/>
      <c r="BH391" s="52"/>
      <c r="BI391" s="68" cm="1">
        <f t="array" ref="BI391">IFERROR(INDEX(AW391:BH391,1,MATCH(2,1/(AW391:BH391&lt;&gt;""))),"")</f>
        <v>0</v>
      </c>
      <c r="BJ391" s="68" cm="1">
        <f t="array" ref="BJ391">IF(BM391 = "", "",IFERROR(INDEX(AW391:BH391,1,MATCH(2,1/(AW391:BH391&lt;&gt;""),1)-1),""))</f>
        <v>20</v>
      </c>
      <c r="BK391" s="59">
        <f>IF((IF(AW391&gt;=150%,150%,AW391) + IF(AX391&gt;=150%,150%,AX391) + IF(AY391&gt;=150%,150%,AY391) + (IF(AW391&gt;=150%,150%,AW391) + IF(BA391&gt;=150%,150%,BA391) + IF(BB391&gt;=150%,150%,BB391) + IF(BC391&gt;=150%,150%,BC391) + IF(BD391&gt;=150%,150%,BD391) + IF(BE391&gt;=150%,150%,BE391) + IF(BF391&gt;=150%,150%,BF391) + IF(BG391&gt;=150%,150%,BG391) + IF(BH391&gt;=150%,150%,BH391)))/_xlfn.XLOOKUP(F391,Apuração!A:A,Apuração!B:B)&gt;=1.15,1.15,((IF(AW391&gt;=150%,150%,AW391) + IF(AX391&gt;=150%,150%,AX391) + IF(AY391&gt;=150%,150%,AY391) + (IF(AW391&gt;=150%,150%,AW391) + IF(BA391&gt;=150%,150%,BA391) + IF(BB391&gt;=150%,150%,BB391) + IF(BC391&gt;=150%,150%,BC391) + IF(BD391&gt;=150%,150%,BD391) + IF(BE391&gt;=150%,150%,BE391) + IF(BF391&gt;=150%,150%,BF391) + IF(BG391&gt;=150%,150%,BG391) + IF(BH391&gt;=150%,150%,BH391)))/_xlfn.XLOOKUP(F391,Apuração!A:A,Apuração!B:B)))</f>
        <v>0</v>
      </c>
      <c r="BL391" s="59" cm="1">
        <f t="array" aca="1" ref="BL391" ca="1">IF(SUM(IFERROR(IF(INDEX(AW391:INDEX(AW391:BH391, MATCH(2, 1/(AW391:BH391&lt;&gt;""), 1)-1), ROW(INDIRECT("1:" &amp; MATCH(2, 1/(AW391:BH391&lt;&gt;""), 1)-1))) &gt;= 150%, 150%, INDEX(AW391:INDEX(AW391:BH391, MATCH(2, 1/(AW391:BH391&lt;&gt;""), 1)-1), ROW(INDIRECT("1:" &amp; MATCH(2, 1/(AW391:BH391&lt;&gt;""), 1)-1)))), 0))/_xlfn.XLOOKUP(F391,Apuração!A:A,Apuração!B:B)&gt;=1.15,1.15,SUM(IFERROR(IF(INDEX(AW391:INDEX(AW391:BH391, MATCH(2, 1/(AW391:BH391&lt;&gt;""), 1)-1), ROW(INDIRECT("1:" &amp; MATCH(2, 1/(AW391:BH391&lt;&gt;""), 1)-1))) &gt;= 150%, 150%, INDEX(AW391:INDEX(AW391:BH391, MATCH(2, 1/(AW391:BH391&lt;&gt;""), 1)-1), ROW(INDIRECT("1:" &amp; MATCH(2, 1/(AW391:BH391&lt;&gt;""), 1)-1)))), 0))/_xlfn.XLOOKUP(F391,Apuração!A:A,Apuração!B:B))</f>
        <v>0.16666666666666666</v>
      </c>
      <c r="BM391" s="55" cm="1">
        <f t="array" ref="BM391">IFERROR(
   INDEX($AW$1:$BH$1,
      _xlfn.AGGREGATE(14, 6, COLUMN($AW$1:$BH$1)/(AW391:BH391&lt;&gt;""), 2) - COLUMN($AW$1) + 1
   ),
"")</f>
        <v>46113</v>
      </c>
      <c r="BN391" s="55" cm="1">
        <f t="array" ref="BN391">IFERROR(INDEX($AW$1:$BH$1,1,MATCH(2,1/(AW391:BH391&lt;&gt;""))),"")</f>
        <v>46143</v>
      </c>
      <c r="BO391" s="53">
        <f ca="1">IFERROR(_xlfn.XLOOKUP(F391,Apuração!A:A,Apuração!C:C)/_xlfn.XLOOKUP(F391,Apuração!A:A,Apuração!B:B),0)</f>
        <v>0.22222222222222221</v>
      </c>
      <c r="BP391" s="53">
        <f ca="1">IFERROR(_xlfn.XLOOKUP(F391,Apuração!A:A,Apuração!D:D)/_xlfn.XLOOKUP(F391,Apuração!A:A,Apuração!B:B),0)</f>
        <v>0.1111111111111111</v>
      </c>
      <c r="BQ391" s="53">
        <f ca="1">IF(BK391&gt;=BO391,0,_xlfn.XLOOKUP(F391,Apuração!A:A,Apuração!B:B)*(BO391 + (1/_xlfn.XLOOKUP(F391,Apuração!A:A,Apuração!B:B)) - BK391))</f>
        <v>3</v>
      </c>
      <c r="BR391" s="85">
        <f t="shared" ca="1" si="722"/>
        <v>0</v>
      </c>
      <c r="BS391" s="53">
        <f ca="1">IFERROR((_xlfn.XLOOKUP(F391,Apuração!A:A,Apuração!C:C)+1)/_xlfn.XLOOKUP(F391,Apuração!A:A,Apuração!B:B),0)</f>
        <v>0.33333333333333331</v>
      </c>
    </row>
    <row r="392" spans="1:71" ht="25.95" hidden="1" customHeight="1" x14ac:dyDescent="0.3">
      <c r="A392" s="39" t="s">
        <v>33</v>
      </c>
      <c r="B392" s="4" t="s">
        <v>60</v>
      </c>
      <c r="C392" s="5" t="s">
        <v>97</v>
      </c>
      <c r="D392" s="5" t="s">
        <v>107</v>
      </c>
      <c r="E392" s="4" t="str" cm="1">
        <f t="array" ref="E392">_xlfn.IFS(
F392 = "A partir de Abril", "Aguardando Execução na Distribuidora",
A392 = "CAPACITAÇÃO", "Em execução no Corporativo",
TRUE, "Em Execução na Distribuidora"
)</f>
        <v>Em Execução na Distribuidora</v>
      </c>
      <c r="F392" s="4" t="str" cm="1">
        <f t="array" ref="F392">_xlfn.IFS(
AG392 &lt;&gt; "", "Jan-Dez/26",
AH392 &lt;&gt; "", "Fev-Dez/26",
AI392 &lt;&gt; "", "Mar-Dez/26", AJ392 &lt;&gt; "", "Abr-Dez/26",
TRUE, "A partir de Junho"
)</f>
        <v>Abr-Dez/26</v>
      </c>
      <c r="G392" s="4" t="s">
        <v>37</v>
      </c>
      <c r="H392" s="7" t="s">
        <v>38</v>
      </c>
      <c r="I392" s="8" t="s">
        <v>68</v>
      </c>
      <c r="J392" s="8" t="str" cm="1">
        <f t="array" aca="1" ref="J392" ca="1">_xlfn.LET(
  _xlpm.actual_value_month, INDEX(T392:AE392, MATCH(DATE(YEAR(TODAY()), MONTH(TODAY()), 1), $T$1:$AE$1, 0)),
  IF(_xlpm.actual_value_month &lt;&gt; "",_xlpm.actual_value_month &amp; " ações mensais", "")
)</f>
        <v/>
      </c>
      <c r="K392" s="18" t="str" cm="1">
        <f t="array" ref="K392">_xlfn.LET(
    _xlpm.sum_month, SUM(T392:AE392),
    IF(_xlpm.sum_month = 0, "", _xlpm.sum_month &amp; " notificações.")
)</f>
        <v/>
      </c>
      <c r="L392" s="4" t="s">
        <v>69</v>
      </c>
      <c r="M392" s="19">
        <v>1</v>
      </c>
      <c r="N392" s="5" t="s">
        <v>51</v>
      </c>
      <c r="O392" s="5" t="s">
        <v>43</v>
      </c>
      <c r="P392" s="10" t="s">
        <v>44</v>
      </c>
      <c r="Q392" s="10" t="s">
        <v>44</v>
      </c>
      <c r="R392" s="11" t="s">
        <v>44</v>
      </c>
      <c r="S392" s="11" t="s">
        <v>44</v>
      </c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G392" s="71"/>
      <c r="AH392" s="71"/>
      <c r="AI392" s="71"/>
      <c r="AJ392" s="82">
        <v>104</v>
      </c>
      <c r="AK392" s="71">
        <v>0</v>
      </c>
      <c r="AL392" s="71"/>
      <c r="AM392" s="71"/>
      <c r="AN392" s="71"/>
      <c r="AO392" s="71"/>
      <c r="AP392" s="71"/>
      <c r="AQ392" s="71"/>
      <c r="AR392" s="71"/>
      <c r="AS392" s="94">
        <f t="shared" ca="1" si="715"/>
        <v>0</v>
      </c>
      <c r="AT392" s="95">
        <f t="shared" si="716"/>
        <v>104</v>
      </c>
      <c r="AU392" s="97">
        <f t="shared" si="717"/>
        <v>104</v>
      </c>
      <c r="AW392" s="83">
        <f t="shared" si="718"/>
        <v>0</v>
      </c>
      <c r="AX392" s="83">
        <f t="shared" si="719"/>
        <v>0</v>
      </c>
      <c r="AY392" s="83">
        <f t="shared" si="720"/>
        <v>0</v>
      </c>
      <c r="AZ392" s="83">
        <f t="shared" si="721"/>
        <v>104</v>
      </c>
      <c r="BA392" s="83">
        <f t="shared" si="714"/>
        <v>0</v>
      </c>
      <c r="BB392" s="52"/>
      <c r="BC392" s="52"/>
      <c r="BD392" s="52"/>
      <c r="BE392" s="52"/>
      <c r="BF392" s="52"/>
      <c r="BG392" s="52"/>
      <c r="BH392" s="52"/>
      <c r="BI392" s="68" cm="1">
        <f t="array" ref="BI392">IFERROR(INDEX(AW392:BH392,1,MATCH(2,1/(AW392:BH392&lt;&gt;""))),"")</f>
        <v>0</v>
      </c>
      <c r="BJ392" s="68" cm="1">
        <f t="array" ref="BJ392">IF(BM392 = "", "",IFERROR(INDEX(AW392:BH392,1,MATCH(2,1/(AW392:BH392&lt;&gt;""),1)-1),""))</f>
        <v>104</v>
      </c>
      <c r="BK392" s="59">
        <f>IF((IF(AW392&gt;=150%,150%,AW392) + IF(AX392&gt;=150%,150%,AX392) + IF(AY392&gt;=150%,150%,AY392) + (IF(AW392&gt;=150%,150%,AW392) + IF(BA392&gt;=150%,150%,BA392) + IF(BB392&gt;=150%,150%,BB392) + IF(BC392&gt;=150%,150%,BC392) + IF(BD392&gt;=150%,150%,BD392) + IF(BE392&gt;=150%,150%,BE392) + IF(BF392&gt;=150%,150%,BF392) + IF(BG392&gt;=150%,150%,BG392) + IF(BH392&gt;=150%,150%,BH392)))/_xlfn.XLOOKUP(F392,Apuração!A:A,Apuração!B:B)&gt;=1.15,1.15,((IF(AW392&gt;=150%,150%,AW392) + IF(AX392&gt;=150%,150%,AX392) + IF(AY392&gt;=150%,150%,AY392) + (IF(AW392&gt;=150%,150%,AW392) + IF(BA392&gt;=150%,150%,BA392) + IF(BB392&gt;=150%,150%,BB392) + IF(BC392&gt;=150%,150%,BC392) + IF(BD392&gt;=150%,150%,BD392) + IF(BE392&gt;=150%,150%,BE392) + IF(BF392&gt;=150%,150%,BF392) + IF(BG392&gt;=150%,150%,BG392) + IF(BH392&gt;=150%,150%,BH392)))/_xlfn.XLOOKUP(F392,Apuração!A:A,Apuração!B:B)))</f>
        <v>0</v>
      </c>
      <c r="BL392" s="59" cm="1">
        <f t="array" aca="1" ref="BL392" ca="1">IF(SUM(IFERROR(IF(INDEX(AW392:INDEX(AW392:BH392, MATCH(2, 1/(AW392:BH392&lt;&gt;""), 1)-1), ROW(INDIRECT("1:" &amp; MATCH(2, 1/(AW392:BH392&lt;&gt;""), 1)-1))) &gt;= 150%, 150%, INDEX(AW392:INDEX(AW392:BH392, MATCH(2, 1/(AW392:BH392&lt;&gt;""), 1)-1), ROW(INDIRECT("1:" &amp; MATCH(2, 1/(AW392:BH392&lt;&gt;""), 1)-1)))), 0))/_xlfn.XLOOKUP(F392,Apuração!A:A,Apuração!B:B)&gt;=1.15,1.15,SUM(IFERROR(IF(INDEX(AW392:INDEX(AW392:BH392, MATCH(2, 1/(AW392:BH392&lt;&gt;""), 1)-1), ROW(INDIRECT("1:" &amp; MATCH(2, 1/(AW392:BH392&lt;&gt;""), 1)-1))) &gt;= 150%, 150%, INDEX(AW392:INDEX(AW392:BH392, MATCH(2, 1/(AW392:BH392&lt;&gt;""), 1)-1), ROW(INDIRECT("1:" &amp; MATCH(2, 1/(AW392:BH392&lt;&gt;""), 1)-1)))), 0))/_xlfn.XLOOKUP(F392,Apuração!A:A,Apuração!B:B))</f>
        <v>0.16666666666666666</v>
      </c>
      <c r="BM392" s="55" cm="1">
        <f t="array" ref="BM392">IFERROR(
   INDEX($AW$1:$BH$1,
      _xlfn.AGGREGATE(14, 6, COLUMN($AW$1:$BH$1)/(AW392:BH392&lt;&gt;""), 2) - COLUMN($AW$1) + 1
   ),
"")</f>
        <v>46113</v>
      </c>
      <c r="BN392" s="55" cm="1">
        <f t="array" ref="BN392">IFERROR(INDEX($AW$1:$BH$1,1,MATCH(2,1/(AW392:BH392&lt;&gt;""))),"")</f>
        <v>46143</v>
      </c>
      <c r="BO392" s="53">
        <f ca="1">IFERROR(_xlfn.XLOOKUP(F392,Apuração!A:A,Apuração!C:C)/_xlfn.XLOOKUP(F392,Apuração!A:A,Apuração!B:B),0)</f>
        <v>0.22222222222222221</v>
      </c>
      <c r="BP392" s="53">
        <f ca="1">IFERROR(_xlfn.XLOOKUP(F392,Apuração!A:A,Apuração!D:D)/_xlfn.XLOOKUP(F392,Apuração!A:A,Apuração!B:B),0)</f>
        <v>0.1111111111111111</v>
      </c>
      <c r="BQ392" s="53">
        <f ca="1">IF(BK392&gt;=BO392,0,_xlfn.XLOOKUP(F392,Apuração!A:A,Apuração!B:B)*(BO392 + (1/_xlfn.XLOOKUP(F392,Apuração!A:A,Apuração!B:B)) - BK392))</f>
        <v>3</v>
      </c>
      <c r="BR392" s="85">
        <f t="shared" ca="1" si="722"/>
        <v>0</v>
      </c>
      <c r="BS392" s="53">
        <f ca="1">IFERROR((_xlfn.XLOOKUP(F392,Apuração!A:A,Apuração!C:C)+1)/_xlfn.XLOOKUP(F392,Apuração!A:A,Apuração!B:B),0)</f>
        <v>0.33333333333333331</v>
      </c>
    </row>
    <row r="393" spans="1:71" ht="25.95" hidden="1" customHeight="1" x14ac:dyDescent="0.3">
      <c r="A393" s="3" t="s">
        <v>33</v>
      </c>
      <c r="B393" s="4" t="s">
        <v>70</v>
      </c>
      <c r="C393" s="5" t="s">
        <v>97</v>
      </c>
      <c r="D393" s="5" t="s">
        <v>36</v>
      </c>
      <c r="E393" s="4" t="str" cm="1">
        <f t="array" ref="E393">_xlfn.IFS(
F393 = "A partir de Abril", "Aguardando Execução na Distribuidora",
A393 = "CAPACITAÇÃO", "Em execução no Corporativo",
TRUE, "Em Execução na Distribuidora"
)</f>
        <v>Em Execução na Distribuidora</v>
      </c>
      <c r="F393" s="4" t="str" cm="1">
        <f t="array" ref="F393">_xlfn.IFS(
AG393 &lt;&gt; "", "Jan-Dez/26",
AH393 &lt;&gt; "", "Fev-Dez/26",
AI393 &lt;&gt; "", "Mar-Dez/26", AJ393 &lt;&gt; "", "Abr-Dez/26",
TRUE, "A partir de Junho"
)</f>
        <v>Jan-Dez/26</v>
      </c>
      <c r="G393" s="4" t="s">
        <v>37</v>
      </c>
      <c r="H393" s="7" t="s">
        <v>54</v>
      </c>
      <c r="I393" s="8" t="s">
        <v>55</v>
      </c>
      <c r="J393" s="8" t="str" cm="1">
        <f t="array" aca="1" ref="J393" ca="1">_xlfn.LET(
  _xlpm.actual_value_month, INDEX(T393:AE393, MATCH(DATE(YEAR(TODAY()), MONTH(TODAY()), 1), $T$1:$AE$1, 0)),
  IF(_xlpm.actual_value_month &lt;&gt; "",_xlpm.actual_value_month &amp; " eventos mensais", "")
)</f>
        <v>10 eventos mensais</v>
      </c>
      <c r="K393" s="14" t="str" cm="1">
        <f t="array" ref="K393">_xlfn.LET(
    _xlpm.sum_month, SUM(T393:AE393),
    IF(_xlpm.sum_month = 0, "", _xlpm.sum_month &amp; "  eventos no ano")
)</f>
        <v>104  eventos no ano</v>
      </c>
      <c r="L393" s="9" t="s">
        <v>56</v>
      </c>
      <c r="M393" s="13" t="s">
        <v>71</v>
      </c>
      <c r="N393" s="5" t="s">
        <v>42</v>
      </c>
      <c r="O393" s="5" t="s">
        <v>43</v>
      </c>
      <c r="P393" s="10" t="s">
        <v>58</v>
      </c>
      <c r="Q393" s="10" t="s">
        <v>72</v>
      </c>
      <c r="R393" s="11" t="s">
        <v>45</v>
      </c>
      <c r="S393" s="11" t="s">
        <v>46</v>
      </c>
      <c r="T393" s="22">
        <v>3</v>
      </c>
      <c r="U393" s="22">
        <v>6</v>
      </c>
      <c r="V393" s="22">
        <v>5</v>
      </c>
      <c r="W393" s="22">
        <v>10</v>
      </c>
      <c r="X393" s="22">
        <v>10</v>
      </c>
      <c r="Y393" s="22">
        <v>10</v>
      </c>
      <c r="Z393" s="22">
        <v>10</v>
      </c>
      <c r="AA393" s="22">
        <v>10</v>
      </c>
      <c r="AB393" s="22">
        <v>10</v>
      </c>
      <c r="AC393" s="22">
        <v>10</v>
      </c>
      <c r="AD393" s="22">
        <v>10</v>
      </c>
      <c r="AE393" s="22">
        <v>10</v>
      </c>
      <c r="AG393" s="71">
        <v>3</v>
      </c>
      <c r="AH393" s="71">
        <v>6</v>
      </c>
      <c r="AI393" s="71">
        <v>5</v>
      </c>
      <c r="AJ393" s="71">
        <v>25</v>
      </c>
      <c r="AK393" s="71">
        <v>6</v>
      </c>
      <c r="AL393" s="71"/>
      <c r="AM393" s="71"/>
      <c r="AN393" s="71"/>
      <c r="AO393" s="71"/>
      <c r="AP393" s="71"/>
      <c r="AQ393" s="71"/>
      <c r="AR393" s="71"/>
      <c r="AS393" s="94">
        <f t="shared" ca="1" si="651"/>
        <v>34</v>
      </c>
      <c r="AT393" s="95">
        <f>SUM(IF(AW393&lt;1.15,AG393,1.15*T393),IF(AX393&lt;1.15,AH393,1.15*U393),IF(AY393&lt;1.15,AI393,1.15*V393),IF(AZ393&lt;1.15,AJ393,1.15*W393),IF(BA393&lt;1.15,AK393,1.15*X393),IF(BB393&lt;1.15,AL393,1.15*Y393),IF(BC393&lt;1.15,AM393,1.15*Z393),IF(BD393&lt;1.15,AN393,1.15*AA393),IF(BE393&lt;1.15,AO393,1.15*AB393),IF(BF393&lt;1.15,AP393,1.15*AC393),IF(BG393&lt;1.15,AQ393,1.15*AD393),IF(BH393&lt;1.15,AR393,1.15*AE393))</f>
        <v>31.5</v>
      </c>
      <c r="AU393" s="97">
        <f t="shared" si="652"/>
        <v>45</v>
      </c>
      <c r="AW393" s="51">
        <f>IFERROR(IF(AG393="",0,AG393/T393),0)</f>
        <v>1</v>
      </c>
      <c r="AX393" s="51">
        <f>IFERROR(IF(AH393="",0,AH393/U393),0)</f>
        <v>1</v>
      </c>
      <c r="AY393" s="51">
        <f>IFERROR(IF(AI393="",0,AI393/V393),0)</f>
        <v>1</v>
      </c>
      <c r="AZ393" s="51">
        <f>IFERROR(IF(AJ393="",0,AJ393/W393),0)</f>
        <v>2.5</v>
      </c>
      <c r="BA393" s="51">
        <f>IFERROR(IF(AK393="",0,AK393/X393),0)</f>
        <v>0.6</v>
      </c>
      <c r="BB393" s="51"/>
      <c r="BC393" s="51"/>
      <c r="BD393" s="51"/>
      <c r="BE393" s="51"/>
      <c r="BF393" s="51"/>
      <c r="BG393" s="51"/>
      <c r="BH393" s="51"/>
      <c r="BI393" s="65" cm="1">
        <f t="array" ref="BI393">IFERROR(INDEX(AW393:BH393,1,MATCH(2,1/(AW393:BH393&lt;&gt;""))),"")</f>
        <v>0.6</v>
      </c>
      <c r="BJ393" s="68" cm="1">
        <f t="array" ref="BJ393">IF(BM393 = "", "",IFERROR(INDEX(AW393:BH393,1,MATCH(2,1/(AW393:BH393&lt;&gt;""),1)-1),""))</f>
        <v>2.5</v>
      </c>
      <c r="BK393" s="58">
        <f>IF((IF(AW393&gt;=115%,115%,AW393) + IF(AX393&gt;=115%,115%,AX393) + IF(AY393&gt;=115%,115%,AY393) + (IF(AZ393&gt;=115%,115%,AZ393) + IF(BA393&gt;=115%,115%,BA393) + IF(BB393&gt;=115%,115%,BB393) + IF(BC393&gt;=115%,115%,BC393) + IF(BD393&gt;=115%,115%,BD393) + IF(BE393&gt;=115%,115%,BE393) + IF(BF393&gt;=115%,115%,BF393) + IF(BG393&gt;=115%,115%,BG393) + IF(BH393&gt;=115%,115%,BH393)))/_xlfn.XLOOKUP(F393,Apuração!A:A,Apuração!B:B)&gt;=1.15,1.15,((IF(AZ393&gt;=115%,115%,AZ393) + IF(AX393&gt;=115%,115%,AX393) + IF(AY393&gt;=115%,115%,AY393) + (IF(AW393&gt;=115%,115%,AW393) + IF(BA393&gt;=115%,115%,BA393) + IF(BB393&gt;=115%,115%,BB393) + IF(BC393&gt;=115%,115%,BC393) + IF(BD393&gt;=115%,115%,BD393) + IF(BE393&gt;=115%,115%,BE393) + IF(BF393&gt;=115%,115%,BF393) + IF(BG393&gt;=115%,115%,BG393) + IF(BH393&gt;=115%,115%,BH393)))/_xlfn.XLOOKUP(F393,Apuração!A:A,Apuração!B:B)))</f>
        <v>0.39583333333333331</v>
      </c>
      <c r="BL393" s="58" cm="1">
        <f t="array" aca="1" ref="BL393" ca="1">IF(SUM(IFERROR(IF(INDEX(AW393:INDEX(AW393:BH393, MATCH(2, 1/(AW393:BH393&lt;&gt;""), 1)-1), ROW(INDIRECT("1:" &amp; MATCH(2, 1/(AW393:BH393&lt;&gt;""), 1)-1))) &gt;= 115%, 115%, INDEX(AW393:INDEX(AW393:BH393, MATCH(2, 1/(AW393:BH393&lt;&gt;""), 1)-1), ROW(INDIRECT("1:" &amp; MATCH(2, 1/(AW393:BH393&lt;&gt;""), 1)-1)))), 0))/_xlfn.XLOOKUP(F393,Apuração!A:A,Apuração!B:B)&gt;=1.15,1.15,SUM(IFERROR(IF(INDEX(AW393:INDEX(AW393:BH393, MATCH(2, 1/(AW393:BH393&lt;&gt;""), 1)-1), ROW(INDIRECT("1:" &amp; MATCH(2, 1/(AW393:BH393&lt;&gt;""), 1)-1))) &gt;= 115%, 115%, INDEX(AW393:INDEX(AW393:BH393, MATCH(2, 1/(AW393:BH393&lt;&gt;""), 1)-1), ROW(INDIRECT("1:" &amp; MATCH(2, 1/(AW393:BH393&lt;&gt;""), 1)-1)))), 0))/_xlfn.XLOOKUP(F393,Apuração!A:A,Apuração!B:B))</f>
        <v>0.34583333333333338</v>
      </c>
      <c r="BM393" s="55" cm="1">
        <f t="array" ref="BM393">IFERROR(
   INDEX($AW$1:$BH$1,
      _xlfn.AGGREGATE(14, 6, COLUMN($AW$1:$BH$1)/(AW393:BH393&lt;&gt;""), 2) - COLUMN($AW$1) + 1
   ),
"")</f>
        <v>46113</v>
      </c>
      <c r="BN393" s="55" cm="1">
        <f t="array" ref="BN393">IFERROR(INDEX($AW$1:$BH$1,1,MATCH(2,1/(AW393:BH393&lt;&gt;""))),"")</f>
        <v>46143</v>
      </c>
      <c r="BO393" s="53">
        <f ca="1">IFERROR(_xlfn.XLOOKUP(F393,Apuração!A:A,Apuração!C:C)/_xlfn.XLOOKUP(F393,Apuração!A:A,Apuração!B:B),0)</f>
        <v>0.41666666666666669</v>
      </c>
      <c r="BP393" s="53">
        <f ca="1">IFERROR(_xlfn.XLOOKUP(F393,Apuração!A:A,Apuração!D:D)/_xlfn.XLOOKUP(F393,Apuração!A:A,Apuração!B:B),0)</f>
        <v>0.33333333333333331</v>
      </c>
      <c r="BQ393" s="53">
        <f ca="1">IF(BK393&gt;=BO393,0,_xlfn.XLOOKUP(F393,Apuração!A:A,Apuração!B:B)*(BO393 + (1/_xlfn.XLOOKUP(F393,Apuração!A:A,Apuração!B:B)) - BK393))</f>
        <v>1.2500000000000002</v>
      </c>
      <c r="BR393" s="85">
        <f t="shared" ca="1" si="644"/>
        <v>12.500000000000002</v>
      </c>
      <c r="BS393" s="53">
        <f ca="1">IFERROR((_xlfn.XLOOKUP(F393,Apuração!A:A,Apuração!C:C)+1)/_xlfn.XLOOKUP(F393,Apuração!A:A,Apuração!B:B),0)</f>
        <v>0.5</v>
      </c>
    </row>
    <row r="394" spans="1:71" ht="25.95" hidden="1" customHeight="1" x14ac:dyDescent="0.3">
      <c r="A394" s="3" t="s">
        <v>33</v>
      </c>
      <c r="B394" s="4" t="s">
        <v>70</v>
      </c>
      <c r="C394" s="5" t="s">
        <v>97</v>
      </c>
      <c r="D394" s="5" t="s">
        <v>98</v>
      </c>
      <c r="E394" s="4" t="str" cm="1">
        <f t="array" ref="E394">_xlfn.IFS(
F394 = "A partir de Abril", "Aguardando Execução na Distribuidora",
A394 = "CAPACITAÇÃO", "Em execução no Corporativo",
TRUE, "Em Execução na Distribuidora"
)</f>
        <v>Em Execução na Distribuidora</v>
      </c>
      <c r="F394" s="4" t="str" cm="1">
        <f t="array" ref="F394">_xlfn.IFS(
AG394 &lt;&gt; "", "Jan-Dez/26",
AH394 &lt;&gt; "", "Fev-Dez/26",
AI394 &lt;&gt; "", "Mar-Dez/26", AJ394 &lt;&gt; "", "Abr-Dez/26",
TRUE, "A partir de Junho"
)</f>
        <v>Abr-Dez/26</v>
      </c>
      <c r="G394" s="4" t="s">
        <v>37</v>
      </c>
      <c r="H394" s="7" t="s">
        <v>54</v>
      </c>
      <c r="I394" s="8" t="s">
        <v>55</v>
      </c>
      <c r="J394" s="8" t="str" cm="1">
        <f t="array" aca="1" ref="J394" ca="1">_xlfn.LET(
  _xlpm.actual_value_month, INDEX(T394:AE394, MATCH(DATE(YEAR(TODAY()), MONTH(TODAY()), 1), $T$1:$AE$1, 0)),
  IF(_xlpm.actual_value_month &lt;&gt; "",_xlpm.actual_value_month &amp; " eventos mensais", "")
)</f>
        <v>1 eventos mensais</v>
      </c>
      <c r="K394" s="14" t="str" cm="1">
        <f t="array" ref="K394">_xlfn.LET(
    _xlpm.sum_month, SUM(T394:AE394),
    IF(_xlpm.sum_month = 0, "", _xlpm.sum_month &amp; "  eventos no ano")
)</f>
        <v>9  eventos no ano</v>
      </c>
      <c r="L394" s="9" t="s">
        <v>56</v>
      </c>
      <c r="M394" s="13" t="s">
        <v>71</v>
      </c>
      <c r="N394" s="5" t="s">
        <v>42</v>
      </c>
      <c r="O394" s="5" t="s">
        <v>43</v>
      </c>
      <c r="P394" s="10" t="s">
        <v>58</v>
      </c>
      <c r="Q394" s="10" t="s">
        <v>72</v>
      </c>
      <c r="R394" s="11" t="s">
        <v>45</v>
      </c>
      <c r="S394" s="11" t="s">
        <v>46</v>
      </c>
      <c r="T394" s="22"/>
      <c r="U394" s="22"/>
      <c r="V394" s="22"/>
      <c r="W394" s="152">
        <v>1</v>
      </c>
      <c r="X394" s="152">
        <v>1</v>
      </c>
      <c r="Y394" s="152">
        <v>1</v>
      </c>
      <c r="Z394" s="152">
        <v>1</v>
      </c>
      <c r="AA394" s="152">
        <v>1</v>
      </c>
      <c r="AB394" s="152">
        <v>1</v>
      </c>
      <c r="AC394" s="152">
        <v>1</v>
      </c>
      <c r="AD394" s="152">
        <v>1</v>
      </c>
      <c r="AE394" s="152">
        <v>1</v>
      </c>
      <c r="AG394" s="71"/>
      <c r="AH394" s="71"/>
      <c r="AI394" s="71"/>
      <c r="AJ394" s="82">
        <v>5</v>
      </c>
      <c r="AK394" s="71">
        <v>1</v>
      </c>
      <c r="AL394" s="71"/>
      <c r="AM394" s="71"/>
      <c r="AN394" s="71"/>
      <c r="AO394" s="71"/>
      <c r="AP394" s="71"/>
      <c r="AQ394" s="71"/>
      <c r="AR394" s="71"/>
      <c r="AS394" s="94">
        <f t="shared" ref="AS394:AS403" ca="1" si="723">IF(MONTH(TODAY())=3,SUM(T394:U394),IF(MONTH(TODAY())=4,SUM(T394:V394),IF(MONTH(TODAY())=5,SUM(T394:W394),IF(MONTH(TODAY())=6,SUM(T394:X394),IF(MONTH(TODAY())=7,SUM(T394:Y394),IF(MONTH(TODAY())=8,SUM(T394:Z394),IF(MONTH(TODAY())=9,SUM(T394:AA394),IF(MONTH(TODAY())=10,SUM(T394:AB394),IF(MONTH(TODAY())=11,SUM(T394:AC394),IF(MONTH(TODAY())=12,SUM(T394:AD394),IF(MONTH(TODAY())=1,SUM(T394:AE394),T394)))))))))))</f>
        <v>2</v>
      </c>
      <c r="AT394" s="95">
        <f t="shared" ref="AT394:AT403" si="724">SUM(IF(AW394&lt;1.15,AG394,1.15*T394),IF(AX394&lt;1.15,AH394,1.15*U394),IF(AY394&lt;1.15,AI394,1.15*V394),IF(AZ394&lt;1.15,AJ394,1.15*W394),IF(BA394&lt;1.15,AK394,1.15*X394),IF(BB394&lt;1.15,AL394,1.15*Y394),IF(BC394&lt;1.15,AM394,1.15*Z394),IF(BD394&lt;1.15,AN394,1.15*AA394),IF(BE394&lt;1.15,AO394,1.15*AB394),IF(BF394&lt;1.15,AP394,1.15*AC394),IF(BG394&lt;1.15,AQ394,1.15*AD394),IF(BH394&lt;1.15,AR394,1.15*AE394))</f>
        <v>2.15</v>
      </c>
      <c r="AU394" s="97">
        <f t="shared" ref="AU394:AU403" si="725">SUM(AG394:AR394)</f>
        <v>6</v>
      </c>
      <c r="AW394" s="51">
        <f t="shared" ref="AW394:AW403" si="726">IFERROR(IF(AG394="",0,AG394/T394),0)</f>
        <v>0</v>
      </c>
      <c r="AX394" s="51">
        <f t="shared" ref="AX394:AX403" si="727">IFERROR(IF(AH394="",0,AH394/U394),0)</f>
        <v>0</v>
      </c>
      <c r="AY394" s="51">
        <f t="shared" ref="AY394:AY403" si="728">IFERROR(IF(AI394="",0,AI394/V394),0)</f>
        <v>0</v>
      </c>
      <c r="AZ394" s="51">
        <f t="shared" ref="AZ394:AZ403" si="729">IFERROR(IF(AJ394="",0,AJ394/W394),0)</f>
        <v>5</v>
      </c>
      <c r="BA394" s="51">
        <f t="shared" ref="BA394:BA403" si="730">IFERROR(IF(AK394="",0,AK394/X394),0)</f>
        <v>1</v>
      </c>
      <c r="BB394" s="51"/>
      <c r="BC394" s="51"/>
      <c r="BD394" s="51"/>
      <c r="BE394" s="51"/>
      <c r="BF394" s="51"/>
      <c r="BG394" s="51"/>
      <c r="BH394" s="51"/>
      <c r="BI394" s="65" cm="1">
        <f t="array" ref="BI394">IFERROR(INDEX(AW394:BH394,1,MATCH(2,1/(AW394:BH394&lt;&gt;""))),"")</f>
        <v>1</v>
      </c>
      <c r="BJ394" s="68" cm="1">
        <f t="array" ref="BJ394">IF(BM394 = "", "",IFERROR(INDEX(AW394:BH394,1,MATCH(2,1/(AW394:BH394&lt;&gt;""),1)-1),""))</f>
        <v>5</v>
      </c>
      <c r="BK394" s="58">
        <f>IF((IF(AW394&gt;=115%,115%,AW394) + IF(AX394&gt;=115%,115%,AX394) + IF(AY394&gt;=115%,115%,AY394) + (IF(AZ394&gt;=115%,115%,AZ394) + IF(BA394&gt;=115%,115%,BA394) + IF(BB394&gt;=115%,115%,BB394) + IF(BC394&gt;=115%,115%,BC394) + IF(BD394&gt;=115%,115%,BD394) + IF(BE394&gt;=115%,115%,BE394) + IF(BF394&gt;=115%,115%,BF394) + IF(BG394&gt;=115%,115%,BG394) + IF(BH394&gt;=115%,115%,BH394)))/_xlfn.XLOOKUP(F394,Apuração!A:A,Apuração!B:B)&gt;=1.15,1.15,((IF(AZ394&gt;=115%,115%,AZ394) + IF(AX394&gt;=115%,115%,AX394) + IF(AY394&gt;=115%,115%,AY394) + (IF(AW394&gt;=115%,115%,AW394) + IF(BA394&gt;=115%,115%,BA394) + IF(BB394&gt;=115%,115%,BB394) + IF(BC394&gt;=115%,115%,BC394) + IF(BD394&gt;=115%,115%,BD394) + IF(BE394&gt;=115%,115%,BE394) + IF(BF394&gt;=115%,115%,BF394) + IF(BG394&gt;=115%,115%,BG394) + IF(BH394&gt;=115%,115%,BH394)))/_xlfn.XLOOKUP(F394,Apuração!A:A,Apuração!B:B)))</f>
        <v>0.23888888888888887</v>
      </c>
      <c r="BL394" s="58" cm="1">
        <f t="array" aca="1" ref="BL394" ca="1">IF(SUM(IFERROR(IF(INDEX(AW394:INDEX(AW394:BH394, MATCH(2, 1/(AW394:BH394&lt;&gt;""), 1)-1), ROW(INDIRECT("1:" &amp; MATCH(2, 1/(AW394:BH394&lt;&gt;""), 1)-1))) &gt;= 115%, 115%, INDEX(AW394:INDEX(AW394:BH394, MATCH(2, 1/(AW394:BH394&lt;&gt;""), 1)-1), ROW(INDIRECT("1:" &amp; MATCH(2, 1/(AW394:BH394&lt;&gt;""), 1)-1)))), 0))/_xlfn.XLOOKUP(F394,Apuração!A:A,Apuração!B:B)&gt;=1.15,1.15,SUM(IFERROR(IF(INDEX(AW394:INDEX(AW394:BH394, MATCH(2, 1/(AW394:BH394&lt;&gt;""), 1)-1), ROW(INDIRECT("1:" &amp; MATCH(2, 1/(AW394:BH394&lt;&gt;""), 1)-1))) &gt;= 115%, 115%, INDEX(AW394:INDEX(AW394:BH394, MATCH(2, 1/(AW394:BH394&lt;&gt;""), 1)-1), ROW(INDIRECT("1:" &amp; MATCH(2, 1/(AW394:BH394&lt;&gt;""), 1)-1)))), 0))/_xlfn.XLOOKUP(F394,Apuração!A:A,Apuração!B:B))</f>
        <v>0.12777777777777777</v>
      </c>
      <c r="BM394" s="55" cm="1">
        <f t="array" ref="BM394">IFERROR(
   INDEX($AW$1:$BH$1,
      _xlfn.AGGREGATE(14, 6, COLUMN($AW$1:$BH$1)/(AW394:BH394&lt;&gt;""), 2) - COLUMN($AW$1) + 1
   ),
"")</f>
        <v>46113</v>
      </c>
      <c r="BN394" s="55" cm="1">
        <f t="array" ref="BN394">IFERROR(INDEX($AW$1:$BH$1,1,MATCH(2,1/(AW394:BH394&lt;&gt;""))),"")</f>
        <v>46143</v>
      </c>
      <c r="BO394" s="53">
        <f ca="1">IFERROR(_xlfn.XLOOKUP(F394,Apuração!A:A,Apuração!C:C)/_xlfn.XLOOKUP(F394,Apuração!A:A,Apuração!B:B),0)</f>
        <v>0.22222222222222221</v>
      </c>
      <c r="BP394" s="53">
        <f ca="1">IFERROR(_xlfn.XLOOKUP(F394,Apuração!A:A,Apuração!D:D)/_xlfn.XLOOKUP(F394,Apuração!A:A,Apuração!B:B),0)</f>
        <v>0.1111111111111111</v>
      </c>
      <c r="BQ394" s="53">
        <f ca="1">IF(BK394&gt;=BO394,0,_xlfn.XLOOKUP(F394,Apuração!A:A,Apuração!B:B)*(BO394 + (1/_xlfn.XLOOKUP(F394,Apuração!A:A,Apuração!B:B)) - BK394))</f>
        <v>0</v>
      </c>
      <c r="BR394" s="85">
        <f t="shared" ref="BR394:BR403" ca="1" si="731">IF(BQ394=0,0,BQ394*Z394)</f>
        <v>0</v>
      </c>
      <c r="BS394" s="53">
        <f ca="1">IFERROR((_xlfn.XLOOKUP(F394,Apuração!A:A,Apuração!C:C)+1)/_xlfn.XLOOKUP(F394,Apuração!A:A,Apuração!B:B),0)</f>
        <v>0.33333333333333331</v>
      </c>
    </row>
    <row r="395" spans="1:71" ht="25.95" hidden="1" customHeight="1" x14ac:dyDescent="0.3">
      <c r="A395" s="3" t="s">
        <v>33</v>
      </c>
      <c r="B395" s="4" t="s">
        <v>70</v>
      </c>
      <c r="C395" s="5" t="s">
        <v>97</v>
      </c>
      <c r="D395" s="5" t="s">
        <v>99</v>
      </c>
      <c r="E395" s="4" t="str" cm="1">
        <f t="array" ref="E395">_xlfn.IFS(
F395 = "A partir de Abril", "Aguardando Execução na Distribuidora",
A395 = "CAPACITAÇÃO", "Em execução no Corporativo",
TRUE, "Em Execução na Distribuidora"
)</f>
        <v>Em Execução na Distribuidora</v>
      </c>
      <c r="F395" s="4" t="str" cm="1">
        <f t="array" ref="F395">_xlfn.IFS(
AG395 &lt;&gt; "", "Jan-Dez/26",
AH395 &lt;&gt; "", "Fev-Dez/26",
AI395 &lt;&gt; "", "Mar-Dez/26", AJ395 &lt;&gt; "", "Abr-Dez/26",
TRUE, "A partir de Junho"
)</f>
        <v>Abr-Dez/26</v>
      </c>
      <c r="G395" s="4" t="s">
        <v>37</v>
      </c>
      <c r="H395" s="7" t="s">
        <v>54</v>
      </c>
      <c r="I395" s="8" t="s">
        <v>55</v>
      </c>
      <c r="J395" s="8" t="str" cm="1">
        <f t="array" aca="1" ref="J395" ca="1">_xlfn.LET(
  _xlpm.actual_value_month, INDEX(T395:AE395, MATCH(DATE(YEAR(TODAY()), MONTH(TODAY()), 1), $T$1:$AE$1, 0)),
  IF(_xlpm.actual_value_month &lt;&gt; "",_xlpm.actual_value_month &amp; " eventos mensais", "")
)</f>
        <v>1 eventos mensais</v>
      </c>
      <c r="K395" s="14" t="str" cm="1">
        <f t="array" ref="K395">_xlfn.LET(
    _xlpm.sum_month, SUM(T395:AE395),
    IF(_xlpm.sum_month = 0, "", _xlpm.sum_month &amp; "  eventos no ano")
)</f>
        <v>9  eventos no ano</v>
      </c>
      <c r="L395" s="9" t="s">
        <v>56</v>
      </c>
      <c r="M395" s="13" t="s">
        <v>71</v>
      </c>
      <c r="N395" s="5" t="s">
        <v>42</v>
      </c>
      <c r="O395" s="5" t="s">
        <v>43</v>
      </c>
      <c r="P395" s="10" t="s">
        <v>58</v>
      </c>
      <c r="Q395" s="10" t="s">
        <v>72</v>
      </c>
      <c r="R395" s="11" t="s">
        <v>45</v>
      </c>
      <c r="S395" s="11" t="s">
        <v>46</v>
      </c>
      <c r="T395" s="22"/>
      <c r="U395" s="22"/>
      <c r="V395" s="22"/>
      <c r="W395" s="152">
        <v>1</v>
      </c>
      <c r="X395" s="152">
        <v>1</v>
      </c>
      <c r="Y395" s="152">
        <v>1</v>
      </c>
      <c r="Z395" s="152">
        <v>1</v>
      </c>
      <c r="AA395" s="152">
        <v>1</v>
      </c>
      <c r="AB395" s="152">
        <v>1</v>
      </c>
      <c r="AC395" s="152">
        <v>1</v>
      </c>
      <c r="AD395" s="152">
        <v>1</v>
      </c>
      <c r="AE395" s="152">
        <v>1</v>
      </c>
      <c r="AG395" s="71"/>
      <c r="AH395" s="71"/>
      <c r="AI395" s="71"/>
      <c r="AJ395" s="82">
        <v>0</v>
      </c>
      <c r="AK395" s="71"/>
      <c r="AL395" s="71"/>
      <c r="AM395" s="71"/>
      <c r="AN395" s="71"/>
      <c r="AO395" s="71"/>
      <c r="AP395" s="71"/>
      <c r="AQ395" s="71"/>
      <c r="AR395" s="71"/>
      <c r="AS395" s="94">
        <f t="shared" ca="1" si="723"/>
        <v>2</v>
      </c>
      <c r="AT395" s="95">
        <f t="shared" si="724"/>
        <v>0</v>
      </c>
      <c r="AU395" s="97">
        <f t="shared" si="725"/>
        <v>0</v>
      </c>
      <c r="AW395" s="51">
        <f t="shared" si="726"/>
        <v>0</v>
      </c>
      <c r="AX395" s="51">
        <f t="shared" si="727"/>
        <v>0</v>
      </c>
      <c r="AY395" s="51">
        <f t="shared" si="728"/>
        <v>0</v>
      </c>
      <c r="AZ395" s="51">
        <f t="shared" si="729"/>
        <v>0</v>
      </c>
      <c r="BA395" s="51">
        <f t="shared" si="730"/>
        <v>0</v>
      </c>
      <c r="BB395" s="51"/>
      <c r="BC395" s="51"/>
      <c r="BD395" s="51"/>
      <c r="BE395" s="51"/>
      <c r="BF395" s="51"/>
      <c r="BG395" s="51"/>
      <c r="BH395" s="51"/>
      <c r="BI395" s="65" cm="1">
        <f t="array" ref="BI395">IFERROR(INDEX(AW395:BH395,1,MATCH(2,1/(AW395:BH395&lt;&gt;""))),"")</f>
        <v>0</v>
      </c>
      <c r="BJ395" s="68" cm="1">
        <f t="array" ref="BJ395">IF(BM395 = "", "",IFERROR(INDEX(AW395:BH395,1,MATCH(2,1/(AW395:BH395&lt;&gt;""),1)-1),""))</f>
        <v>0</v>
      </c>
      <c r="BK395" s="58">
        <f>IF((IF(AW395&gt;=115%,115%,AW395) + IF(AX395&gt;=115%,115%,AX395) + IF(AY395&gt;=115%,115%,AY395) + (IF(AZ395&gt;=115%,115%,AZ395) + IF(BA395&gt;=115%,115%,BA395) + IF(BB395&gt;=115%,115%,BB395) + IF(BC395&gt;=115%,115%,BC395) + IF(BD395&gt;=115%,115%,BD395) + IF(BE395&gt;=115%,115%,BE395) + IF(BF395&gt;=115%,115%,BF395) + IF(BG395&gt;=115%,115%,BG395) + IF(BH395&gt;=115%,115%,BH395)))/_xlfn.XLOOKUP(F395,Apuração!A:A,Apuração!B:B)&gt;=1.15,1.15,((IF(AZ395&gt;=115%,115%,AZ395) + IF(AX395&gt;=115%,115%,AX395) + IF(AY395&gt;=115%,115%,AY395) + (IF(AW395&gt;=115%,115%,AW395) + IF(BA395&gt;=115%,115%,BA395) + IF(BB395&gt;=115%,115%,BB395) + IF(BC395&gt;=115%,115%,BC395) + IF(BD395&gt;=115%,115%,BD395) + IF(BE395&gt;=115%,115%,BE395) + IF(BF395&gt;=115%,115%,BF395) + IF(BG395&gt;=115%,115%,BG395) + IF(BH395&gt;=115%,115%,BH395)))/_xlfn.XLOOKUP(F395,Apuração!A:A,Apuração!B:B)))</f>
        <v>0</v>
      </c>
      <c r="BL395" s="58" cm="1">
        <f t="array" aca="1" ref="BL395" ca="1">IF(SUM(IFERROR(IF(INDEX(AW395:INDEX(AW395:BH395, MATCH(2, 1/(AW395:BH395&lt;&gt;""), 1)-1), ROW(INDIRECT("1:" &amp; MATCH(2, 1/(AW395:BH395&lt;&gt;""), 1)-1))) &gt;= 115%, 115%, INDEX(AW395:INDEX(AW395:BH395, MATCH(2, 1/(AW395:BH395&lt;&gt;""), 1)-1), ROW(INDIRECT("1:" &amp; MATCH(2, 1/(AW395:BH395&lt;&gt;""), 1)-1)))), 0))/_xlfn.XLOOKUP(F395,Apuração!A:A,Apuração!B:B)&gt;=1.15,1.15,SUM(IFERROR(IF(INDEX(AW395:INDEX(AW395:BH395, MATCH(2, 1/(AW395:BH395&lt;&gt;""), 1)-1), ROW(INDIRECT("1:" &amp; MATCH(2, 1/(AW395:BH395&lt;&gt;""), 1)-1))) &gt;= 115%, 115%, INDEX(AW395:INDEX(AW395:BH395, MATCH(2, 1/(AW395:BH395&lt;&gt;""), 1)-1), ROW(INDIRECT("1:" &amp; MATCH(2, 1/(AW395:BH395&lt;&gt;""), 1)-1)))), 0))/_xlfn.XLOOKUP(F395,Apuração!A:A,Apuração!B:B))</f>
        <v>0</v>
      </c>
      <c r="BM395" s="55" cm="1">
        <f t="array" ref="BM395">IFERROR(
   INDEX($AW$1:$BH$1,
      _xlfn.AGGREGATE(14, 6, COLUMN($AW$1:$BH$1)/(AW395:BH395&lt;&gt;""), 2) - COLUMN($AW$1) + 1
   ),
"")</f>
        <v>46113</v>
      </c>
      <c r="BN395" s="55" cm="1">
        <f t="array" ref="BN395">IFERROR(INDEX($AW$1:$BH$1,1,MATCH(2,1/(AW395:BH395&lt;&gt;""))),"")</f>
        <v>46143</v>
      </c>
      <c r="BO395" s="53">
        <f ca="1">IFERROR(_xlfn.XLOOKUP(F395,Apuração!A:A,Apuração!C:C)/_xlfn.XLOOKUP(F395,Apuração!A:A,Apuração!B:B),0)</f>
        <v>0.22222222222222221</v>
      </c>
      <c r="BP395" s="53">
        <f ca="1">IFERROR(_xlfn.XLOOKUP(F395,Apuração!A:A,Apuração!D:D)/_xlfn.XLOOKUP(F395,Apuração!A:A,Apuração!B:B),0)</f>
        <v>0.1111111111111111</v>
      </c>
      <c r="BQ395" s="53">
        <f ca="1">IF(BK395&gt;=BO395,0,_xlfn.XLOOKUP(F395,Apuração!A:A,Apuração!B:B)*(BO395 + (1/_xlfn.XLOOKUP(F395,Apuração!A:A,Apuração!B:B)) - BK395))</f>
        <v>3</v>
      </c>
      <c r="BR395" s="85">
        <f t="shared" ca="1" si="731"/>
        <v>3</v>
      </c>
      <c r="BS395" s="53">
        <f ca="1">IFERROR((_xlfn.XLOOKUP(F395,Apuração!A:A,Apuração!C:C)+1)/_xlfn.XLOOKUP(F395,Apuração!A:A,Apuração!B:B),0)</f>
        <v>0.33333333333333331</v>
      </c>
    </row>
    <row r="396" spans="1:71" ht="25.95" hidden="1" customHeight="1" x14ac:dyDescent="0.3">
      <c r="A396" s="3" t="s">
        <v>33</v>
      </c>
      <c r="B396" s="4" t="s">
        <v>70</v>
      </c>
      <c r="C396" s="5" t="s">
        <v>97</v>
      </c>
      <c r="D396" s="5" t="s">
        <v>100</v>
      </c>
      <c r="E396" s="4" t="str" cm="1">
        <f t="array" ref="E396">_xlfn.IFS(
F396 = "A partir de Abril", "Aguardando Execução na Distribuidora",
A396 = "CAPACITAÇÃO", "Em execução no Corporativo",
TRUE, "Em Execução na Distribuidora"
)</f>
        <v>Em Execução na Distribuidora</v>
      </c>
      <c r="F396" s="4" t="str" cm="1">
        <f t="array" ref="F396">_xlfn.IFS(
AG396 &lt;&gt; "", "Jan-Dez/26",
AH396 &lt;&gt; "", "Fev-Dez/26",
AI396 &lt;&gt; "", "Mar-Dez/26", AJ396 &lt;&gt; "", "Abr-Dez/26",
TRUE, "A partir de Junho"
)</f>
        <v>Abr-Dez/26</v>
      </c>
      <c r="G396" s="4" t="s">
        <v>37</v>
      </c>
      <c r="H396" s="7" t="s">
        <v>54</v>
      </c>
      <c r="I396" s="8" t="s">
        <v>55</v>
      </c>
      <c r="J396" s="8" t="str" cm="1">
        <f t="array" aca="1" ref="J396" ca="1">_xlfn.LET(
  _xlpm.actual_value_month, INDEX(T396:AE396, MATCH(DATE(YEAR(TODAY()), MONTH(TODAY()), 1), $T$1:$AE$1, 0)),
  IF(_xlpm.actual_value_month &lt;&gt; "",_xlpm.actual_value_month &amp; " eventos mensais", "")
)</f>
        <v>1 eventos mensais</v>
      </c>
      <c r="K396" s="14" t="str" cm="1">
        <f t="array" ref="K396">_xlfn.LET(
    _xlpm.sum_month, SUM(T396:AE396),
    IF(_xlpm.sum_month = 0, "", _xlpm.sum_month &amp; "  eventos no ano")
)</f>
        <v>9  eventos no ano</v>
      </c>
      <c r="L396" s="9" t="s">
        <v>56</v>
      </c>
      <c r="M396" s="13" t="s">
        <v>71</v>
      </c>
      <c r="N396" s="5" t="s">
        <v>42</v>
      </c>
      <c r="O396" s="5" t="s">
        <v>43</v>
      </c>
      <c r="P396" s="10" t="s">
        <v>58</v>
      </c>
      <c r="Q396" s="10" t="s">
        <v>72</v>
      </c>
      <c r="R396" s="11" t="s">
        <v>45</v>
      </c>
      <c r="S396" s="11" t="s">
        <v>46</v>
      </c>
      <c r="T396" s="22"/>
      <c r="U396" s="22"/>
      <c r="V396" s="22"/>
      <c r="W396" s="152">
        <v>1</v>
      </c>
      <c r="X396" s="152">
        <v>1</v>
      </c>
      <c r="Y396" s="152">
        <v>1</v>
      </c>
      <c r="Z396" s="152">
        <v>1</v>
      </c>
      <c r="AA396" s="152">
        <v>1</v>
      </c>
      <c r="AB396" s="152">
        <v>1</v>
      </c>
      <c r="AC396" s="152">
        <v>1</v>
      </c>
      <c r="AD396" s="152">
        <v>1</v>
      </c>
      <c r="AE396" s="152">
        <v>1</v>
      </c>
      <c r="AG396" s="71"/>
      <c r="AH396" s="71"/>
      <c r="AI396" s="71"/>
      <c r="AJ396" s="82">
        <v>0</v>
      </c>
      <c r="AK396" s="71"/>
      <c r="AL396" s="71"/>
      <c r="AM396" s="71"/>
      <c r="AN396" s="71"/>
      <c r="AO396" s="71"/>
      <c r="AP396" s="71"/>
      <c r="AQ396" s="71"/>
      <c r="AR396" s="71"/>
      <c r="AS396" s="94">
        <f t="shared" ca="1" si="723"/>
        <v>2</v>
      </c>
      <c r="AT396" s="95">
        <f t="shared" si="724"/>
        <v>0</v>
      </c>
      <c r="AU396" s="97">
        <f t="shared" si="725"/>
        <v>0</v>
      </c>
      <c r="AW396" s="51">
        <f t="shared" si="726"/>
        <v>0</v>
      </c>
      <c r="AX396" s="51">
        <f t="shared" si="727"/>
        <v>0</v>
      </c>
      <c r="AY396" s="51">
        <f t="shared" si="728"/>
        <v>0</v>
      </c>
      <c r="AZ396" s="51">
        <f t="shared" si="729"/>
        <v>0</v>
      </c>
      <c r="BA396" s="51">
        <f t="shared" si="730"/>
        <v>0</v>
      </c>
      <c r="BB396" s="51"/>
      <c r="BC396" s="51"/>
      <c r="BD396" s="51"/>
      <c r="BE396" s="51"/>
      <c r="BF396" s="51"/>
      <c r="BG396" s="51"/>
      <c r="BH396" s="51"/>
      <c r="BI396" s="65" cm="1">
        <f t="array" ref="BI396">IFERROR(INDEX(AW396:BH396,1,MATCH(2,1/(AW396:BH396&lt;&gt;""))),"")</f>
        <v>0</v>
      </c>
      <c r="BJ396" s="68" cm="1">
        <f t="array" ref="BJ396">IF(BM396 = "", "",IFERROR(INDEX(AW396:BH396,1,MATCH(2,1/(AW396:BH396&lt;&gt;""),1)-1),""))</f>
        <v>0</v>
      </c>
      <c r="BK396" s="58">
        <f>IF((IF(AW396&gt;=115%,115%,AW396) + IF(AX396&gt;=115%,115%,AX396) + IF(AY396&gt;=115%,115%,AY396) + (IF(AZ396&gt;=115%,115%,AZ396) + IF(BA396&gt;=115%,115%,BA396) + IF(BB396&gt;=115%,115%,BB396) + IF(BC396&gt;=115%,115%,BC396) + IF(BD396&gt;=115%,115%,BD396) + IF(BE396&gt;=115%,115%,BE396) + IF(BF396&gt;=115%,115%,BF396) + IF(BG396&gt;=115%,115%,BG396) + IF(BH396&gt;=115%,115%,BH396)))/_xlfn.XLOOKUP(F396,Apuração!A:A,Apuração!B:B)&gt;=1.15,1.15,((IF(AZ396&gt;=115%,115%,AZ396) + IF(AX396&gt;=115%,115%,AX396) + IF(AY396&gt;=115%,115%,AY396) + (IF(AW396&gt;=115%,115%,AW396) + IF(BA396&gt;=115%,115%,BA396) + IF(BB396&gt;=115%,115%,BB396) + IF(BC396&gt;=115%,115%,BC396) + IF(BD396&gt;=115%,115%,BD396) + IF(BE396&gt;=115%,115%,BE396) + IF(BF396&gt;=115%,115%,BF396) + IF(BG396&gt;=115%,115%,BG396) + IF(BH396&gt;=115%,115%,BH396)))/_xlfn.XLOOKUP(F396,Apuração!A:A,Apuração!B:B)))</f>
        <v>0</v>
      </c>
      <c r="BL396" s="58" cm="1">
        <f t="array" aca="1" ref="BL396" ca="1">IF(SUM(IFERROR(IF(INDEX(AW396:INDEX(AW396:BH396, MATCH(2, 1/(AW396:BH396&lt;&gt;""), 1)-1), ROW(INDIRECT("1:" &amp; MATCH(2, 1/(AW396:BH396&lt;&gt;""), 1)-1))) &gt;= 115%, 115%, INDEX(AW396:INDEX(AW396:BH396, MATCH(2, 1/(AW396:BH396&lt;&gt;""), 1)-1), ROW(INDIRECT("1:" &amp; MATCH(2, 1/(AW396:BH396&lt;&gt;""), 1)-1)))), 0))/_xlfn.XLOOKUP(F396,Apuração!A:A,Apuração!B:B)&gt;=1.15,1.15,SUM(IFERROR(IF(INDEX(AW396:INDEX(AW396:BH396, MATCH(2, 1/(AW396:BH396&lt;&gt;""), 1)-1), ROW(INDIRECT("1:" &amp; MATCH(2, 1/(AW396:BH396&lt;&gt;""), 1)-1))) &gt;= 115%, 115%, INDEX(AW396:INDEX(AW396:BH396, MATCH(2, 1/(AW396:BH396&lt;&gt;""), 1)-1), ROW(INDIRECT("1:" &amp; MATCH(2, 1/(AW396:BH396&lt;&gt;""), 1)-1)))), 0))/_xlfn.XLOOKUP(F396,Apuração!A:A,Apuração!B:B))</f>
        <v>0</v>
      </c>
      <c r="BM396" s="55" cm="1">
        <f t="array" ref="BM396">IFERROR(
   INDEX($AW$1:$BH$1,
      _xlfn.AGGREGATE(14, 6, COLUMN($AW$1:$BH$1)/(AW396:BH396&lt;&gt;""), 2) - COLUMN($AW$1) + 1
   ),
"")</f>
        <v>46113</v>
      </c>
      <c r="BN396" s="55" cm="1">
        <f t="array" ref="BN396">IFERROR(INDEX($AW$1:$BH$1,1,MATCH(2,1/(AW396:BH396&lt;&gt;""))),"")</f>
        <v>46143</v>
      </c>
      <c r="BO396" s="53">
        <f ca="1">IFERROR(_xlfn.XLOOKUP(F396,Apuração!A:A,Apuração!C:C)/_xlfn.XLOOKUP(F396,Apuração!A:A,Apuração!B:B),0)</f>
        <v>0.22222222222222221</v>
      </c>
      <c r="BP396" s="53">
        <f ca="1">IFERROR(_xlfn.XLOOKUP(F396,Apuração!A:A,Apuração!D:D)/_xlfn.XLOOKUP(F396,Apuração!A:A,Apuração!B:B),0)</f>
        <v>0.1111111111111111</v>
      </c>
      <c r="BQ396" s="53">
        <f ca="1">IF(BK396&gt;=BO396,0,_xlfn.XLOOKUP(F396,Apuração!A:A,Apuração!B:B)*(BO396 + (1/_xlfn.XLOOKUP(F396,Apuração!A:A,Apuração!B:B)) - BK396))</f>
        <v>3</v>
      </c>
      <c r="BR396" s="85">
        <f t="shared" ca="1" si="731"/>
        <v>3</v>
      </c>
      <c r="BS396" s="53">
        <f ca="1">IFERROR((_xlfn.XLOOKUP(F396,Apuração!A:A,Apuração!C:C)+1)/_xlfn.XLOOKUP(F396,Apuração!A:A,Apuração!B:B),0)</f>
        <v>0.33333333333333331</v>
      </c>
    </row>
    <row r="397" spans="1:71" ht="25.95" hidden="1" customHeight="1" x14ac:dyDescent="0.3">
      <c r="A397" s="3" t="s">
        <v>33</v>
      </c>
      <c r="B397" s="4" t="s">
        <v>70</v>
      </c>
      <c r="C397" s="5" t="s">
        <v>97</v>
      </c>
      <c r="D397" s="5" t="s">
        <v>101</v>
      </c>
      <c r="E397" s="4" t="str" cm="1">
        <f t="array" ref="E397">_xlfn.IFS(
F397 = "A partir de Abril", "Aguardando Execução na Distribuidora",
A397 = "CAPACITAÇÃO", "Em execução no Corporativo",
TRUE, "Em Execução na Distribuidora"
)</f>
        <v>Em Execução na Distribuidora</v>
      </c>
      <c r="F397" s="4" t="str" cm="1">
        <f t="array" ref="F397">_xlfn.IFS(
AG397 &lt;&gt; "", "Jan-Dez/26",
AH397 &lt;&gt; "", "Fev-Dez/26",
AI397 &lt;&gt; "", "Mar-Dez/26", AJ397 &lt;&gt; "", "Abr-Dez/26",
TRUE, "A partir de Junho"
)</f>
        <v>Abr-Dez/26</v>
      </c>
      <c r="G397" s="4" t="s">
        <v>37</v>
      </c>
      <c r="H397" s="7" t="s">
        <v>54</v>
      </c>
      <c r="I397" s="8" t="s">
        <v>55</v>
      </c>
      <c r="J397" s="8" t="str" cm="1">
        <f t="array" aca="1" ref="J397" ca="1">_xlfn.LET(
  _xlpm.actual_value_month, INDEX(T397:AE397, MATCH(DATE(YEAR(TODAY()), MONTH(TODAY()), 1), $T$1:$AE$1, 0)),
  IF(_xlpm.actual_value_month &lt;&gt; "",_xlpm.actual_value_month &amp; " eventos mensais", "")
)</f>
        <v>1 eventos mensais</v>
      </c>
      <c r="K397" s="14" t="str" cm="1">
        <f t="array" ref="K397">_xlfn.LET(
    _xlpm.sum_month, SUM(T397:AE397),
    IF(_xlpm.sum_month = 0, "", _xlpm.sum_month &amp; "  eventos no ano")
)</f>
        <v>9  eventos no ano</v>
      </c>
      <c r="L397" s="9" t="s">
        <v>56</v>
      </c>
      <c r="M397" s="13" t="s">
        <v>71</v>
      </c>
      <c r="N397" s="5" t="s">
        <v>42</v>
      </c>
      <c r="O397" s="5" t="s">
        <v>43</v>
      </c>
      <c r="P397" s="10" t="s">
        <v>58</v>
      </c>
      <c r="Q397" s="10" t="s">
        <v>72</v>
      </c>
      <c r="R397" s="11" t="s">
        <v>45</v>
      </c>
      <c r="S397" s="11" t="s">
        <v>46</v>
      </c>
      <c r="T397" s="22"/>
      <c r="U397" s="22"/>
      <c r="V397" s="22"/>
      <c r="W397" s="152">
        <v>1</v>
      </c>
      <c r="X397" s="152">
        <v>1</v>
      </c>
      <c r="Y397" s="152">
        <v>1</v>
      </c>
      <c r="Z397" s="152">
        <v>1</v>
      </c>
      <c r="AA397" s="152">
        <v>1</v>
      </c>
      <c r="AB397" s="152">
        <v>1</v>
      </c>
      <c r="AC397" s="152">
        <v>1</v>
      </c>
      <c r="AD397" s="152">
        <v>1</v>
      </c>
      <c r="AE397" s="152">
        <v>1</v>
      </c>
      <c r="AG397" s="71"/>
      <c r="AH397" s="71"/>
      <c r="AI397" s="71"/>
      <c r="AJ397" s="82">
        <v>10</v>
      </c>
      <c r="AK397" s="71">
        <v>2</v>
      </c>
      <c r="AL397" s="71"/>
      <c r="AM397" s="71"/>
      <c r="AN397" s="71"/>
      <c r="AO397" s="71"/>
      <c r="AP397" s="71"/>
      <c r="AQ397" s="71"/>
      <c r="AR397" s="71"/>
      <c r="AS397" s="94">
        <f t="shared" ca="1" si="723"/>
        <v>2</v>
      </c>
      <c r="AT397" s="95">
        <f t="shared" si="724"/>
        <v>2.2999999999999998</v>
      </c>
      <c r="AU397" s="97">
        <f t="shared" si="725"/>
        <v>12</v>
      </c>
      <c r="AW397" s="51">
        <f t="shared" si="726"/>
        <v>0</v>
      </c>
      <c r="AX397" s="51">
        <f t="shared" si="727"/>
        <v>0</v>
      </c>
      <c r="AY397" s="51">
        <f t="shared" si="728"/>
        <v>0</v>
      </c>
      <c r="AZ397" s="51">
        <f t="shared" si="729"/>
        <v>10</v>
      </c>
      <c r="BA397" s="51">
        <f t="shared" si="730"/>
        <v>2</v>
      </c>
      <c r="BB397" s="51"/>
      <c r="BC397" s="51"/>
      <c r="BD397" s="51"/>
      <c r="BE397" s="51"/>
      <c r="BF397" s="51"/>
      <c r="BG397" s="51"/>
      <c r="BH397" s="51"/>
      <c r="BI397" s="65" cm="1">
        <f t="array" ref="BI397">IFERROR(INDEX(AW397:BH397,1,MATCH(2,1/(AW397:BH397&lt;&gt;""))),"")</f>
        <v>2</v>
      </c>
      <c r="BJ397" s="68" cm="1">
        <f t="array" ref="BJ397">IF(BM397 = "", "",IFERROR(INDEX(AW397:BH397,1,MATCH(2,1/(AW397:BH397&lt;&gt;""),1)-1),""))</f>
        <v>10</v>
      </c>
      <c r="BK397" s="58">
        <f>IF((IF(AW397&gt;=115%,115%,AW397) + IF(AX397&gt;=115%,115%,AX397) + IF(AY397&gt;=115%,115%,AY397) + (IF(AZ397&gt;=115%,115%,AZ397) + IF(BA397&gt;=115%,115%,BA397) + IF(BB397&gt;=115%,115%,BB397) + IF(BC397&gt;=115%,115%,BC397) + IF(BD397&gt;=115%,115%,BD397) + IF(BE397&gt;=115%,115%,BE397) + IF(BF397&gt;=115%,115%,BF397) + IF(BG397&gt;=115%,115%,BG397) + IF(BH397&gt;=115%,115%,BH397)))/_xlfn.XLOOKUP(F397,Apuração!A:A,Apuração!B:B)&gt;=1.15,1.15,((IF(AZ397&gt;=115%,115%,AZ397) + IF(AX397&gt;=115%,115%,AX397) + IF(AY397&gt;=115%,115%,AY397) + (IF(AW397&gt;=115%,115%,AW397) + IF(BA397&gt;=115%,115%,BA397) + IF(BB397&gt;=115%,115%,BB397) + IF(BC397&gt;=115%,115%,BC397) + IF(BD397&gt;=115%,115%,BD397) + IF(BE397&gt;=115%,115%,BE397) + IF(BF397&gt;=115%,115%,BF397) + IF(BG397&gt;=115%,115%,BG397) + IF(BH397&gt;=115%,115%,BH397)))/_xlfn.XLOOKUP(F397,Apuração!A:A,Apuração!B:B)))</f>
        <v>0.25555555555555554</v>
      </c>
      <c r="BL397" s="58" cm="1">
        <f t="array" aca="1" ref="BL397" ca="1">IF(SUM(IFERROR(IF(INDEX(AW397:INDEX(AW397:BH397, MATCH(2, 1/(AW397:BH397&lt;&gt;""), 1)-1), ROW(INDIRECT("1:" &amp; MATCH(2, 1/(AW397:BH397&lt;&gt;""), 1)-1))) &gt;= 115%, 115%, INDEX(AW397:INDEX(AW397:BH397, MATCH(2, 1/(AW397:BH397&lt;&gt;""), 1)-1), ROW(INDIRECT("1:" &amp; MATCH(2, 1/(AW397:BH397&lt;&gt;""), 1)-1)))), 0))/_xlfn.XLOOKUP(F397,Apuração!A:A,Apuração!B:B)&gt;=1.15,1.15,SUM(IFERROR(IF(INDEX(AW397:INDEX(AW397:BH397, MATCH(2, 1/(AW397:BH397&lt;&gt;""), 1)-1), ROW(INDIRECT("1:" &amp; MATCH(2, 1/(AW397:BH397&lt;&gt;""), 1)-1))) &gt;= 115%, 115%, INDEX(AW397:INDEX(AW397:BH397, MATCH(2, 1/(AW397:BH397&lt;&gt;""), 1)-1), ROW(INDIRECT("1:" &amp; MATCH(2, 1/(AW397:BH397&lt;&gt;""), 1)-1)))), 0))/_xlfn.XLOOKUP(F397,Apuração!A:A,Apuração!B:B))</f>
        <v>0.12777777777777777</v>
      </c>
      <c r="BM397" s="55" cm="1">
        <f t="array" ref="BM397">IFERROR(
   INDEX($AW$1:$BH$1,
      _xlfn.AGGREGATE(14, 6, COLUMN($AW$1:$BH$1)/(AW397:BH397&lt;&gt;""), 2) - COLUMN($AW$1) + 1
   ),
"")</f>
        <v>46113</v>
      </c>
      <c r="BN397" s="55" cm="1">
        <f t="array" ref="BN397">IFERROR(INDEX($AW$1:$BH$1,1,MATCH(2,1/(AW397:BH397&lt;&gt;""))),"")</f>
        <v>46143</v>
      </c>
      <c r="BO397" s="53">
        <f ca="1">IFERROR(_xlfn.XLOOKUP(F397,Apuração!A:A,Apuração!C:C)/_xlfn.XLOOKUP(F397,Apuração!A:A,Apuração!B:B),0)</f>
        <v>0.22222222222222221</v>
      </c>
      <c r="BP397" s="53">
        <f ca="1">IFERROR(_xlfn.XLOOKUP(F397,Apuração!A:A,Apuração!D:D)/_xlfn.XLOOKUP(F397,Apuração!A:A,Apuração!B:B),0)</f>
        <v>0.1111111111111111</v>
      </c>
      <c r="BQ397" s="53">
        <f ca="1">IF(BK397&gt;=BO397,0,_xlfn.XLOOKUP(F397,Apuração!A:A,Apuração!B:B)*(BO397 + (1/_xlfn.XLOOKUP(F397,Apuração!A:A,Apuração!B:B)) - BK397))</f>
        <v>0</v>
      </c>
      <c r="BR397" s="85">
        <f t="shared" ca="1" si="731"/>
        <v>0</v>
      </c>
      <c r="BS397" s="53">
        <f ca="1">IFERROR((_xlfn.XLOOKUP(F397,Apuração!A:A,Apuração!C:C)+1)/_xlfn.XLOOKUP(F397,Apuração!A:A,Apuração!B:B),0)</f>
        <v>0.33333333333333331</v>
      </c>
    </row>
    <row r="398" spans="1:71" ht="25.95" hidden="1" customHeight="1" x14ac:dyDescent="0.3">
      <c r="A398" s="3" t="s">
        <v>33</v>
      </c>
      <c r="B398" s="4" t="s">
        <v>70</v>
      </c>
      <c r="C398" s="5" t="s">
        <v>97</v>
      </c>
      <c r="D398" s="5" t="s">
        <v>102</v>
      </c>
      <c r="E398" s="4" t="str" cm="1">
        <f t="array" ref="E398">_xlfn.IFS(
F398 = "A partir de Abril", "Aguardando Execução na Distribuidora",
A398 = "CAPACITAÇÃO", "Em execução no Corporativo",
TRUE, "Em Execução na Distribuidora"
)</f>
        <v>Em Execução na Distribuidora</v>
      </c>
      <c r="F398" s="4" t="str" cm="1">
        <f t="array" ref="F398">_xlfn.IFS(
AG398 &lt;&gt; "", "Jan-Dez/26",
AH398 &lt;&gt; "", "Fev-Dez/26",
AI398 &lt;&gt; "", "Mar-Dez/26", AJ398 &lt;&gt; "", "Abr-Dez/26",
TRUE, "A partir de Junho"
)</f>
        <v>Abr-Dez/26</v>
      </c>
      <c r="G398" s="4" t="s">
        <v>37</v>
      </c>
      <c r="H398" s="7" t="s">
        <v>54</v>
      </c>
      <c r="I398" s="8" t="s">
        <v>55</v>
      </c>
      <c r="J398" s="8" t="str" cm="1">
        <f t="array" aca="1" ref="J398" ca="1">_xlfn.LET(
  _xlpm.actual_value_month, INDEX(T398:AE398, MATCH(DATE(YEAR(TODAY()), MONTH(TODAY()), 1), $T$1:$AE$1, 0)),
  IF(_xlpm.actual_value_month &lt;&gt; "",_xlpm.actual_value_month &amp; " eventos mensais", "")
)</f>
        <v>1 eventos mensais</v>
      </c>
      <c r="K398" s="14" t="str" cm="1">
        <f t="array" ref="K398">_xlfn.LET(
    _xlpm.sum_month, SUM(T398:AE398),
    IF(_xlpm.sum_month = 0, "", _xlpm.sum_month &amp; "  eventos no ano")
)</f>
        <v>9  eventos no ano</v>
      </c>
      <c r="L398" s="9" t="s">
        <v>56</v>
      </c>
      <c r="M398" s="13" t="s">
        <v>71</v>
      </c>
      <c r="N398" s="5" t="s">
        <v>42</v>
      </c>
      <c r="O398" s="5" t="s">
        <v>43</v>
      </c>
      <c r="P398" s="10" t="s">
        <v>58</v>
      </c>
      <c r="Q398" s="10" t="s">
        <v>72</v>
      </c>
      <c r="R398" s="11" t="s">
        <v>45</v>
      </c>
      <c r="S398" s="11" t="s">
        <v>46</v>
      </c>
      <c r="T398" s="22"/>
      <c r="U398" s="22"/>
      <c r="V398" s="22"/>
      <c r="W398" s="152">
        <v>1</v>
      </c>
      <c r="X398" s="152">
        <v>1</v>
      </c>
      <c r="Y398" s="152">
        <v>1</v>
      </c>
      <c r="Z398" s="152">
        <v>1</v>
      </c>
      <c r="AA398" s="152">
        <v>1</v>
      </c>
      <c r="AB398" s="152">
        <v>1</v>
      </c>
      <c r="AC398" s="152">
        <v>1</v>
      </c>
      <c r="AD398" s="152">
        <v>1</v>
      </c>
      <c r="AE398" s="152">
        <v>1</v>
      </c>
      <c r="AG398" s="71"/>
      <c r="AH398" s="71"/>
      <c r="AI398" s="71"/>
      <c r="AJ398" s="82">
        <v>1</v>
      </c>
      <c r="AK398" s="71"/>
      <c r="AL398" s="71"/>
      <c r="AM398" s="71"/>
      <c r="AN398" s="71"/>
      <c r="AO398" s="71"/>
      <c r="AP398" s="71"/>
      <c r="AQ398" s="71"/>
      <c r="AR398" s="71"/>
      <c r="AS398" s="94">
        <f t="shared" ca="1" si="723"/>
        <v>2</v>
      </c>
      <c r="AT398" s="95">
        <f t="shared" si="724"/>
        <v>1</v>
      </c>
      <c r="AU398" s="97">
        <f t="shared" si="725"/>
        <v>1</v>
      </c>
      <c r="AW398" s="51">
        <f t="shared" si="726"/>
        <v>0</v>
      </c>
      <c r="AX398" s="51">
        <f t="shared" si="727"/>
        <v>0</v>
      </c>
      <c r="AY398" s="51">
        <f t="shared" si="728"/>
        <v>0</v>
      </c>
      <c r="AZ398" s="51">
        <f t="shared" si="729"/>
        <v>1</v>
      </c>
      <c r="BA398" s="51">
        <f t="shared" si="730"/>
        <v>0</v>
      </c>
      <c r="BB398" s="51"/>
      <c r="BC398" s="51"/>
      <c r="BD398" s="51"/>
      <c r="BE398" s="51"/>
      <c r="BF398" s="51"/>
      <c r="BG398" s="51"/>
      <c r="BH398" s="51"/>
      <c r="BI398" s="65" cm="1">
        <f t="array" ref="BI398">IFERROR(INDEX(AW398:BH398,1,MATCH(2,1/(AW398:BH398&lt;&gt;""))),"")</f>
        <v>0</v>
      </c>
      <c r="BJ398" s="68" cm="1">
        <f t="array" ref="BJ398">IF(BM398 = "", "",IFERROR(INDEX(AW398:BH398,1,MATCH(2,1/(AW398:BH398&lt;&gt;""),1)-1),""))</f>
        <v>1</v>
      </c>
      <c r="BK398" s="58">
        <f>IF((IF(AW398&gt;=115%,115%,AW398) + IF(AX398&gt;=115%,115%,AX398) + IF(AY398&gt;=115%,115%,AY398) + (IF(AZ398&gt;=115%,115%,AZ398) + IF(BA398&gt;=115%,115%,BA398) + IF(BB398&gt;=115%,115%,BB398) + IF(BC398&gt;=115%,115%,BC398) + IF(BD398&gt;=115%,115%,BD398) + IF(BE398&gt;=115%,115%,BE398) + IF(BF398&gt;=115%,115%,BF398) + IF(BG398&gt;=115%,115%,BG398) + IF(BH398&gt;=115%,115%,BH398)))/_xlfn.XLOOKUP(F398,Apuração!A:A,Apuração!B:B)&gt;=1.15,1.15,((IF(AZ398&gt;=115%,115%,AZ398) + IF(AX398&gt;=115%,115%,AX398) + IF(AY398&gt;=115%,115%,AY398) + (IF(AW398&gt;=115%,115%,AW398) + IF(BA398&gt;=115%,115%,BA398) + IF(BB398&gt;=115%,115%,BB398) + IF(BC398&gt;=115%,115%,BC398) + IF(BD398&gt;=115%,115%,BD398) + IF(BE398&gt;=115%,115%,BE398) + IF(BF398&gt;=115%,115%,BF398) + IF(BG398&gt;=115%,115%,BG398) + IF(BH398&gt;=115%,115%,BH398)))/_xlfn.XLOOKUP(F398,Apuração!A:A,Apuração!B:B)))</f>
        <v>0.1111111111111111</v>
      </c>
      <c r="BL398" s="58" cm="1">
        <f t="array" aca="1" ref="BL398" ca="1">IF(SUM(IFERROR(IF(INDEX(AW398:INDEX(AW398:BH398, MATCH(2, 1/(AW398:BH398&lt;&gt;""), 1)-1), ROW(INDIRECT("1:" &amp; MATCH(2, 1/(AW398:BH398&lt;&gt;""), 1)-1))) &gt;= 115%, 115%, INDEX(AW398:INDEX(AW398:BH398, MATCH(2, 1/(AW398:BH398&lt;&gt;""), 1)-1), ROW(INDIRECT("1:" &amp; MATCH(2, 1/(AW398:BH398&lt;&gt;""), 1)-1)))), 0))/_xlfn.XLOOKUP(F398,Apuração!A:A,Apuração!B:B)&gt;=1.15,1.15,SUM(IFERROR(IF(INDEX(AW398:INDEX(AW398:BH398, MATCH(2, 1/(AW398:BH398&lt;&gt;""), 1)-1), ROW(INDIRECT("1:" &amp; MATCH(2, 1/(AW398:BH398&lt;&gt;""), 1)-1))) &gt;= 115%, 115%, INDEX(AW398:INDEX(AW398:BH398, MATCH(2, 1/(AW398:BH398&lt;&gt;""), 1)-1), ROW(INDIRECT("1:" &amp; MATCH(2, 1/(AW398:BH398&lt;&gt;""), 1)-1)))), 0))/_xlfn.XLOOKUP(F398,Apuração!A:A,Apuração!B:B))</f>
        <v>0.1111111111111111</v>
      </c>
      <c r="BM398" s="55" cm="1">
        <f t="array" ref="BM398">IFERROR(
   INDEX($AW$1:$BH$1,
      _xlfn.AGGREGATE(14, 6, COLUMN($AW$1:$BH$1)/(AW398:BH398&lt;&gt;""), 2) - COLUMN($AW$1) + 1
   ),
"")</f>
        <v>46113</v>
      </c>
      <c r="BN398" s="55" cm="1">
        <f t="array" ref="BN398">IFERROR(INDEX($AW$1:$BH$1,1,MATCH(2,1/(AW398:BH398&lt;&gt;""))),"")</f>
        <v>46143</v>
      </c>
      <c r="BO398" s="53">
        <f ca="1">IFERROR(_xlfn.XLOOKUP(F398,Apuração!A:A,Apuração!C:C)/_xlfn.XLOOKUP(F398,Apuração!A:A,Apuração!B:B),0)</f>
        <v>0.22222222222222221</v>
      </c>
      <c r="BP398" s="53">
        <f ca="1">IFERROR(_xlfn.XLOOKUP(F398,Apuração!A:A,Apuração!D:D)/_xlfn.XLOOKUP(F398,Apuração!A:A,Apuração!B:B),0)</f>
        <v>0.1111111111111111</v>
      </c>
      <c r="BQ398" s="53">
        <f ca="1">IF(BK398&gt;=BO398,0,_xlfn.XLOOKUP(F398,Apuração!A:A,Apuração!B:B)*(BO398 + (1/_xlfn.XLOOKUP(F398,Apuração!A:A,Apuração!B:B)) - BK398))</f>
        <v>2</v>
      </c>
      <c r="BR398" s="85">
        <f t="shared" ca="1" si="731"/>
        <v>2</v>
      </c>
      <c r="BS398" s="53">
        <f ca="1">IFERROR((_xlfn.XLOOKUP(F398,Apuração!A:A,Apuração!C:C)+1)/_xlfn.XLOOKUP(F398,Apuração!A:A,Apuração!B:B),0)</f>
        <v>0.33333333333333331</v>
      </c>
    </row>
    <row r="399" spans="1:71" ht="25.95" hidden="1" customHeight="1" x14ac:dyDescent="0.3">
      <c r="A399" s="3" t="s">
        <v>33</v>
      </c>
      <c r="B399" s="4" t="s">
        <v>70</v>
      </c>
      <c r="C399" s="5" t="s">
        <v>97</v>
      </c>
      <c r="D399" s="5" t="s">
        <v>103</v>
      </c>
      <c r="E399" s="4" t="str" cm="1">
        <f t="array" ref="E399">_xlfn.IFS(
F399 = "A partir de Abril", "Aguardando Execução na Distribuidora",
A399 = "CAPACITAÇÃO", "Em execução no Corporativo",
TRUE, "Em Execução na Distribuidora"
)</f>
        <v>Em Execução na Distribuidora</v>
      </c>
      <c r="F399" s="4" t="str" cm="1">
        <f t="array" ref="F399">_xlfn.IFS(
AG399 &lt;&gt; "", "Jan-Dez/26",
AH399 &lt;&gt; "", "Fev-Dez/26",
AI399 &lt;&gt; "", "Mar-Dez/26", AJ399 &lt;&gt; "", "Abr-Dez/26",
TRUE, "A partir de Junho"
)</f>
        <v>Abr-Dez/26</v>
      </c>
      <c r="G399" s="4" t="s">
        <v>37</v>
      </c>
      <c r="H399" s="7" t="s">
        <v>54</v>
      </c>
      <c r="I399" s="8" t="s">
        <v>55</v>
      </c>
      <c r="J399" s="8" t="str" cm="1">
        <f t="array" aca="1" ref="J399" ca="1">_xlfn.LET(
  _xlpm.actual_value_month, INDEX(T399:AE399, MATCH(DATE(YEAR(TODAY()), MONTH(TODAY()), 1), $T$1:$AE$1, 0)),
  IF(_xlpm.actual_value_month &lt;&gt; "",_xlpm.actual_value_month &amp; " eventos mensais", "")
)</f>
        <v>1 eventos mensais</v>
      </c>
      <c r="K399" s="14" t="str" cm="1">
        <f t="array" ref="K399">_xlfn.LET(
    _xlpm.sum_month, SUM(T399:AE399),
    IF(_xlpm.sum_month = 0, "", _xlpm.sum_month &amp; "  eventos no ano")
)</f>
        <v>9  eventos no ano</v>
      </c>
      <c r="L399" s="9" t="s">
        <v>56</v>
      </c>
      <c r="M399" s="13" t="s">
        <v>71</v>
      </c>
      <c r="N399" s="5" t="s">
        <v>42</v>
      </c>
      <c r="O399" s="5" t="s">
        <v>43</v>
      </c>
      <c r="P399" s="10" t="s">
        <v>58</v>
      </c>
      <c r="Q399" s="10" t="s">
        <v>72</v>
      </c>
      <c r="R399" s="11" t="s">
        <v>45</v>
      </c>
      <c r="S399" s="11" t="s">
        <v>46</v>
      </c>
      <c r="T399" s="22"/>
      <c r="U399" s="22"/>
      <c r="V399" s="22"/>
      <c r="W399" s="152">
        <v>1</v>
      </c>
      <c r="X399" s="152">
        <v>1</v>
      </c>
      <c r="Y399" s="152">
        <v>1</v>
      </c>
      <c r="Z399" s="152">
        <v>1</v>
      </c>
      <c r="AA399" s="152">
        <v>1</v>
      </c>
      <c r="AB399" s="152">
        <v>1</v>
      </c>
      <c r="AC399" s="152">
        <v>1</v>
      </c>
      <c r="AD399" s="152">
        <v>1</v>
      </c>
      <c r="AE399" s="152">
        <v>1</v>
      </c>
      <c r="AG399" s="71"/>
      <c r="AH399" s="71"/>
      <c r="AI399" s="71"/>
      <c r="AJ399" s="82">
        <v>6</v>
      </c>
      <c r="AK399" s="71">
        <v>1</v>
      </c>
      <c r="AL399" s="71"/>
      <c r="AM399" s="71"/>
      <c r="AN399" s="71"/>
      <c r="AO399" s="71"/>
      <c r="AP399" s="71"/>
      <c r="AQ399" s="71"/>
      <c r="AR399" s="71"/>
      <c r="AS399" s="94">
        <f t="shared" ca="1" si="723"/>
        <v>2</v>
      </c>
      <c r="AT399" s="95">
        <f t="shared" si="724"/>
        <v>2.15</v>
      </c>
      <c r="AU399" s="97">
        <f t="shared" si="725"/>
        <v>7</v>
      </c>
      <c r="AW399" s="51">
        <f t="shared" si="726"/>
        <v>0</v>
      </c>
      <c r="AX399" s="51">
        <f t="shared" si="727"/>
        <v>0</v>
      </c>
      <c r="AY399" s="51">
        <f t="shared" si="728"/>
        <v>0</v>
      </c>
      <c r="AZ399" s="51">
        <f t="shared" si="729"/>
        <v>6</v>
      </c>
      <c r="BA399" s="51">
        <f t="shared" si="730"/>
        <v>1</v>
      </c>
      <c r="BB399" s="51"/>
      <c r="BC399" s="51"/>
      <c r="BD399" s="51"/>
      <c r="BE399" s="51"/>
      <c r="BF399" s="51"/>
      <c r="BG399" s="51"/>
      <c r="BH399" s="51"/>
      <c r="BI399" s="65" cm="1">
        <f t="array" ref="BI399">IFERROR(INDEX(AW399:BH399,1,MATCH(2,1/(AW399:BH399&lt;&gt;""))),"")</f>
        <v>1</v>
      </c>
      <c r="BJ399" s="68" cm="1">
        <f t="array" ref="BJ399">IF(BM399 = "", "",IFERROR(INDEX(AW399:BH399,1,MATCH(2,1/(AW399:BH399&lt;&gt;""),1)-1),""))</f>
        <v>6</v>
      </c>
      <c r="BK399" s="58">
        <f>IF((IF(AW399&gt;=115%,115%,AW399) + IF(AX399&gt;=115%,115%,AX399) + IF(AY399&gt;=115%,115%,AY399) + (IF(AZ399&gt;=115%,115%,AZ399) + IF(BA399&gt;=115%,115%,BA399) + IF(BB399&gt;=115%,115%,BB399) + IF(BC399&gt;=115%,115%,BC399) + IF(BD399&gt;=115%,115%,BD399) + IF(BE399&gt;=115%,115%,BE399) + IF(BF399&gt;=115%,115%,BF399) + IF(BG399&gt;=115%,115%,BG399) + IF(BH399&gt;=115%,115%,BH399)))/_xlfn.XLOOKUP(F399,Apuração!A:A,Apuração!B:B)&gt;=1.15,1.15,((IF(AZ399&gt;=115%,115%,AZ399) + IF(AX399&gt;=115%,115%,AX399) + IF(AY399&gt;=115%,115%,AY399) + (IF(AW399&gt;=115%,115%,AW399) + IF(BA399&gt;=115%,115%,BA399) + IF(BB399&gt;=115%,115%,BB399) + IF(BC399&gt;=115%,115%,BC399) + IF(BD399&gt;=115%,115%,BD399) + IF(BE399&gt;=115%,115%,BE399) + IF(BF399&gt;=115%,115%,BF399) + IF(BG399&gt;=115%,115%,BG399) + IF(BH399&gt;=115%,115%,BH399)))/_xlfn.XLOOKUP(F399,Apuração!A:A,Apuração!B:B)))</f>
        <v>0.23888888888888887</v>
      </c>
      <c r="BL399" s="58" cm="1">
        <f t="array" aca="1" ref="BL399" ca="1">IF(SUM(IFERROR(IF(INDEX(AW399:INDEX(AW399:BH399, MATCH(2, 1/(AW399:BH399&lt;&gt;""), 1)-1), ROW(INDIRECT("1:" &amp; MATCH(2, 1/(AW399:BH399&lt;&gt;""), 1)-1))) &gt;= 115%, 115%, INDEX(AW399:INDEX(AW399:BH399, MATCH(2, 1/(AW399:BH399&lt;&gt;""), 1)-1), ROW(INDIRECT("1:" &amp; MATCH(2, 1/(AW399:BH399&lt;&gt;""), 1)-1)))), 0))/_xlfn.XLOOKUP(F399,Apuração!A:A,Apuração!B:B)&gt;=1.15,1.15,SUM(IFERROR(IF(INDEX(AW399:INDEX(AW399:BH399, MATCH(2, 1/(AW399:BH399&lt;&gt;""), 1)-1), ROW(INDIRECT("1:" &amp; MATCH(2, 1/(AW399:BH399&lt;&gt;""), 1)-1))) &gt;= 115%, 115%, INDEX(AW399:INDEX(AW399:BH399, MATCH(2, 1/(AW399:BH399&lt;&gt;""), 1)-1), ROW(INDIRECT("1:" &amp; MATCH(2, 1/(AW399:BH399&lt;&gt;""), 1)-1)))), 0))/_xlfn.XLOOKUP(F399,Apuração!A:A,Apuração!B:B))</f>
        <v>0.12777777777777777</v>
      </c>
      <c r="BM399" s="55" cm="1">
        <f t="array" ref="BM399">IFERROR(
   INDEX($AW$1:$BH$1,
      _xlfn.AGGREGATE(14, 6, COLUMN($AW$1:$BH$1)/(AW399:BH399&lt;&gt;""), 2) - COLUMN($AW$1) + 1
   ),
"")</f>
        <v>46113</v>
      </c>
      <c r="BN399" s="55" cm="1">
        <f t="array" ref="BN399">IFERROR(INDEX($AW$1:$BH$1,1,MATCH(2,1/(AW399:BH399&lt;&gt;""))),"")</f>
        <v>46143</v>
      </c>
      <c r="BO399" s="53">
        <f ca="1">IFERROR(_xlfn.XLOOKUP(F399,Apuração!A:A,Apuração!C:C)/_xlfn.XLOOKUP(F399,Apuração!A:A,Apuração!B:B),0)</f>
        <v>0.22222222222222221</v>
      </c>
      <c r="BP399" s="53">
        <f ca="1">IFERROR(_xlfn.XLOOKUP(F399,Apuração!A:A,Apuração!D:D)/_xlfn.XLOOKUP(F399,Apuração!A:A,Apuração!B:B),0)</f>
        <v>0.1111111111111111</v>
      </c>
      <c r="BQ399" s="53">
        <f ca="1">IF(BK399&gt;=BO399,0,_xlfn.XLOOKUP(F399,Apuração!A:A,Apuração!B:B)*(BO399 + (1/_xlfn.XLOOKUP(F399,Apuração!A:A,Apuração!B:B)) - BK399))</f>
        <v>0</v>
      </c>
      <c r="BR399" s="85">
        <f t="shared" ca="1" si="731"/>
        <v>0</v>
      </c>
      <c r="BS399" s="53">
        <f ca="1">IFERROR((_xlfn.XLOOKUP(F399,Apuração!A:A,Apuração!C:C)+1)/_xlfn.XLOOKUP(F399,Apuração!A:A,Apuração!B:B),0)</f>
        <v>0.33333333333333331</v>
      </c>
    </row>
    <row r="400" spans="1:71" ht="25.95" hidden="1" customHeight="1" x14ac:dyDescent="0.3">
      <c r="A400" s="3" t="s">
        <v>33</v>
      </c>
      <c r="B400" s="4" t="s">
        <v>70</v>
      </c>
      <c r="C400" s="5" t="s">
        <v>97</v>
      </c>
      <c r="D400" s="5" t="s">
        <v>104</v>
      </c>
      <c r="E400" s="4" t="str" cm="1">
        <f t="array" ref="E400">_xlfn.IFS(
F400 = "A partir de Abril", "Aguardando Execução na Distribuidora",
A400 = "CAPACITAÇÃO", "Em execução no Corporativo",
TRUE, "Em Execução na Distribuidora"
)</f>
        <v>Em Execução na Distribuidora</v>
      </c>
      <c r="F400" s="4" t="str" cm="1">
        <f t="array" ref="F400">_xlfn.IFS(
AG400 &lt;&gt; "", "Jan-Dez/26",
AH400 &lt;&gt; "", "Fev-Dez/26",
AI400 &lt;&gt; "", "Mar-Dez/26", AJ400 &lt;&gt; "", "Abr-Dez/26",
TRUE, "A partir de Junho"
)</f>
        <v>Abr-Dez/26</v>
      </c>
      <c r="G400" s="4" t="s">
        <v>37</v>
      </c>
      <c r="H400" s="7" t="s">
        <v>54</v>
      </c>
      <c r="I400" s="8" t="s">
        <v>55</v>
      </c>
      <c r="J400" s="8" t="str" cm="1">
        <f t="array" aca="1" ref="J400" ca="1">_xlfn.LET(
  _xlpm.actual_value_month, INDEX(T400:AE400, MATCH(DATE(YEAR(TODAY()), MONTH(TODAY()), 1), $T$1:$AE$1, 0)),
  IF(_xlpm.actual_value_month &lt;&gt; "",_xlpm.actual_value_month &amp; " eventos mensais", "")
)</f>
        <v>1 eventos mensais</v>
      </c>
      <c r="K400" s="14" t="str" cm="1">
        <f t="array" ref="K400">_xlfn.LET(
    _xlpm.sum_month, SUM(T400:AE400),
    IF(_xlpm.sum_month = 0, "", _xlpm.sum_month &amp; "  eventos no ano")
)</f>
        <v>9  eventos no ano</v>
      </c>
      <c r="L400" s="9" t="s">
        <v>56</v>
      </c>
      <c r="M400" s="13" t="s">
        <v>71</v>
      </c>
      <c r="N400" s="5" t="s">
        <v>42</v>
      </c>
      <c r="O400" s="5" t="s">
        <v>43</v>
      </c>
      <c r="P400" s="10" t="s">
        <v>58</v>
      </c>
      <c r="Q400" s="10" t="s">
        <v>72</v>
      </c>
      <c r="R400" s="11" t="s">
        <v>45</v>
      </c>
      <c r="S400" s="11" t="s">
        <v>46</v>
      </c>
      <c r="T400" s="22"/>
      <c r="U400" s="22"/>
      <c r="V400" s="22"/>
      <c r="W400" s="152">
        <v>1</v>
      </c>
      <c r="X400" s="152">
        <v>1</v>
      </c>
      <c r="Y400" s="152">
        <v>1</v>
      </c>
      <c r="Z400" s="152">
        <v>1</v>
      </c>
      <c r="AA400" s="152">
        <v>1</v>
      </c>
      <c r="AB400" s="152">
        <v>1</v>
      </c>
      <c r="AC400" s="152">
        <v>1</v>
      </c>
      <c r="AD400" s="152">
        <v>1</v>
      </c>
      <c r="AE400" s="152">
        <v>1</v>
      </c>
      <c r="AG400" s="71"/>
      <c r="AH400" s="71"/>
      <c r="AI400" s="71"/>
      <c r="AJ400" s="82">
        <v>3</v>
      </c>
      <c r="AK400" s="71"/>
      <c r="AL400" s="71"/>
      <c r="AM400" s="71"/>
      <c r="AN400" s="71"/>
      <c r="AO400" s="71"/>
      <c r="AP400" s="71"/>
      <c r="AQ400" s="71"/>
      <c r="AR400" s="71"/>
      <c r="AS400" s="94">
        <f t="shared" ca="1" si="723"/>
        <v>2</v>
      </c>
      <c r="AT400" s="95">
        <f t="shared" si="724"/>
        <v>1.1499999999999999</v>
      </c>
      <c r="AU400" s="97">
        <f t="shared" si="725"/>
        <v>3</v>
      </c>
      <c r="AW400" s="51">
        <f t="shared" si="726"/>
        <v>0</v>
      </c>
      <c r="AX400" s="51">
        <f t="shared" si="727"/>
        <v>0</v>
      </c>
      <c r="AY400" s="51">
        <f t="shared" si="728"/>
        <v>0</v>
      </c>
      <c r="AZ400" s="51">
        <f t="shared" si="729"/>
        <v>3</v>
      </c>
      <c r="BA400" s="51">
        <f t="shared" si="730"/>
        <v>0</v>
      </c>
      <c r="BB400" s="51"/>
      <c r="BC400" s="51"/>
      <c r="BD400" s="51"/>
      <c r="BE400" s="51"/>
      <c r="BF400" s="51"/>
      <c r="BG400" s="51"/>
      <c r="BH400" s="51"/>
      <c r="BI400" s="65" cm="1">
        <f t="array" ref="BI400">IFERROR(INDEX(AW400:BH400,1,MATCH(2,1/(AW400:BH400&lt;&gt;""))),"")</f>
        <v>0</v>
      </c>
      <c r="BJ400" s="68" cm="1">
        <f t="array" ref="BJ400">IF(BM400 = "", "",IFERROR(INDEX(AW400:BH400,1,MATCH(2,1/(AW400:BH400&lt;&gt;""),1)-1),""))</f>
        <v>3</v>
      </c>
      <c r="BK400" s="58">
        <f>IF((IF(AW400&gt;=115%,115%,AW400) + IF(AX400&gt;=115%,115%,AX400) + IF(AY400&gt;=115%,115%,AY400) + (IF(AZ400&gt;=115%,115%,AZ400) + IF(BA400&gt;=115%,115%,BA400) + IF(BB400&gt;=115%,115%,BB400) + IF(BC400&gt;=115%,115%,BC400) + IF(BD400&gt;=115%,115%,BD400) + IF(BE400&gt;=115%,115%,BE400) + IF(BF400&gt;=115%,115%,BF400) + IF(BG400&gt;=115%,115%,BG400) + IF(BH400&gt;=115%,115%,BH400)))/_xlfn.XLOOKUP(F400,Apuração!A:A,Apuração!B:B)&gt;=1.15,1.15,((IF(AZ400&gt;=115%,115%,AZ400) + IF(AX400&gt;=115%,115%,AX400) + IF(AY400&gt;=115%,115%,AY400) + (IF(AW400&gt;=115%,115%,AW400) + IF(BA400&gt;=115%,115%,BA400) + IF(BB400&gt;=115%,115%,BB400) + IF(BC400&gt;=115%,115%,BC400) + IF(BD400&gt;=115%,115%,BD400) + IF(BE400&gt;=115%,115%,BE400) + IF(BF400&gt;=115%,115%,BF400) + IF(BG400&gt;=115%,115%,BG400) + IF(BH400&gt;=115%,115%,BH400)))/_xlfn.XLOOKUP(F400,Apuração!A:A,Apuração!B:B)))</f>
        <v>0.12777777777777777</v>
      </c>
      <c r="BL400" s="58" cm="1">
        <f t="array" aca="1" ref="BL400" ca="1">IF(SUM(IFERROR(IF(INDEX(AW400:INDEX(AW400:BH400, MATCH(2, 1/(AW400:BH400&lt;&gt;""), 1)-1), ROW(INDIRECT("1:" &amp; MATCH(2, 1/(AW400:BH400&lt;&gt;""), 1)-1))) &gt;= 115%, 115%, INDEX(AW400:INDEX(AW400:BH400, MATCH(2, 1/(AW400:BH400&lt;&gt;""), 1)-1), ROW(INDIRECT("1:" &amp; MATCH(2, 1/(AW400:BH400&lt;&gt;""), 1)-1)))), 0))/_xlfn.XLOOKUP(F400,Apuração!A:A,Apuração!B:B)&gt;=1.15,1.15,SUM(IFERROR(IF(INDEX(AW400:INDEX(AW400:BH400, MATCH(2, 1/(AW400:BH400&lt;&gt;""), 1)-1), ROW(INDIRECT("1:" &amp; MATCH(2, 1/(AW400:BH400&lt;&gt;""), 1)-1))) &gt;= 115%, 115%, INDEX(AW400:INDEX(AW400:BH400, MATCH(2, 1/(AW400:BH400&lt;&gt;""), 1)-1), ROW(INDIRECT("1:" &amp; MATCH(2, 1/(AW400:BH400&lt;&gt;""), 1)-1)))), 0))/_xlfn.XLOOKUP(F400,Apuração!A:A,Apuração!B:B))</f>
        <v>0.12777777777777777</v>
      </c>
      <c r="BM400" s="55" cm="1">
        <f t="array" ref="BM400">IFERROR(
   INDEX($AW$1:$BH$1,
      _xlfn.AGGREGATE(14, 6, COLUMN($AW$1:$BH$1)/(AW400:BH400&lt;&gt;""), 2) - COLUMN($AW$1) + 1
   ),
"")</f>
        <v>46113</v>
      </c>
      <c r="BN400" s="55" cm="1">
        <f t="array" ref="BN400">IFERROR(INDEX($AW$1:$BH$1,1,MATCH(2,1/(AW400:BH400&lt;&gt;""))),"")</f>
        <v>46143</v>
      </c>
      <c r="BO400" s="53">
        <f ca="1">IFERROR(_xlfn.XLOOKUP(F400,Apuração!A:A,Apuração!C:C)/_xlfn.XLOOKUP(F400,Apuração!A:A,Apuração!B:B),0)</f>
        <v>0.22222222222222221</v>
      </c>
      <c r="BP400" s="53">
        <f ca="1">IFERROR(_xlfn.XLOOKUP(F400,Apuração!A:A,Apuração!D:D)/_xlfn.XLOOKUP(F400,Apuração!A:A,Apuração!B:B),0)</f>
        <v>0.1111111111111111</v>
      </c>
      <c r="BQ400" s="53">
        <f ca="1">IF(BK400&gt;=BO400,0,_xlfn.XLOOKUP(F400,Apuração!A:A,Apuração!B:B)*(BO400 + (1/_xlfn.XLOOKUP(F400,Apuração!A:A,Apuração!B:B)) - BK400))</f>
        <v>1.8499999999999999</v>
      </c>
      <c r="BR400" s="85">
        <f t="shared" ca="1" si="731"/>
        <v>1.8499999999999999</v>
      </c>
      <c r="BS400" s="53">
        <f ca="1">IFERROR((_xlfn.XLOOKUP(F400,Apuração!A:A,Apuração!C:C)+1)/_xlfn.XLOOKUP(F400,Apuração!A:A,Apuração!B:B),0)</f>
        <v>0.33333333333333331</v>
      </c>
    </row>
    <row r="401" spans="1:71" ht="25.95" hidden="1" customHeight="1" x14ac:dyDescent="0.3">
      <c r="A401" s="3" t="s">
        <v>33</v>
      </c>
      <c r="B401" s="4" t="s">
        <v>70</v>
      </c>
      <c r="C401" s="5" t="s">
        <v>97</v>
      </c>
      <c r="D401" s="5" t="s">
        <v>105</v>
      </c>
      <c r="E401" s="4" t="str" cm="1">
        <f t="array" ref="E401">_xlfn.IFS(
F401 = "A partir de Abril", "Aguardando Execução na Distribuidora",
A401 = "CAPACITAÇÃO", "Em execução no Corporativo",
TRUE, "Em Execução na Distribuidora"
)</f>
        <v>Em Execução na Distribuidora</v>
      </c>
      <c r="F401" s="4" t="str" cm="1">
        <f t="array" ref="F401">_xlfn.IFS(
AG401 &lt;&gt; "", "Jan-Dez/26",
AH401 &lt;&gt; "", "Fev-Dez/26",
AI401 &lt;&gt; "", "Mar-Dez/26", AJ401 &lt;&gt; "", "Abr-Dez/26",
TRUE, "A partir de Junho"
)</f>
        <v>Abr-Dez/26</v>
      </c>
      <c r="G401" s="4" t="s">
        <v>37</v>
      </c>
      <c r="H401" s="7" t="s">
        <v>54</v>
      </c>
      <c r="I401" s="8" t="s">
        <v>55</v>
      </c>
      <c r="J401" s="8" t="str" cm="1">
        <f t="array" aca="1" ref="J401" ca="1">_xlfn.LET(
  _xlpm.actual_value_month, INDEX(T401:AE401, MATCH(DATE(YEAR(TODAY()), MONTH(TODAY()), 1), $T$1:$AE$1, 0)),
  IF(_xlpm.actual_value_month &lt;&gt; "",_xlpm.actual_value_month &amp; " eventos mensais", "")
)</f>
        <v>1 eventos mensais</v>
      </c>
      <c r="K401" s="14" t="str" cm="1">
        <f t="array" ref="K401">_xlfn.LET(
    _xlpm.sum_month, SUM(T401:AE401),
    IF(_xlpm.sum_month = 0, "", _xlpm.sum_month &amp; "  eventos no ano")
)</f>
        <v>9  eventos no ano</v>
      </c>
      <c r="L401" s="9" t="s">
        <v>56</v>
      </c>
      <c r="M401" s="13" t="s">
        <v>71</v>
      </c>
      <c r="N401" s="5" t="s">
        <v>42</v>
      </c>
      <c r="O401" s="5" t="s">
        <v>43</v>
      </c>
      <c r="P401" s="10" t="s">
        <v>58</v>
      </c>
      <c r="Q401" s="10" t="s">
        <v>72</v>
      </c>
      <c r="R401" s="11" t="s">
        <v>45</v>
      </c>
      <c r="S401" s="11" t="s">
        <v>46</v>
      </c>
      <c r="T401" s="22"/>
      <c r="U401" s="22"/>
      <c r="V401" s="22"/>
      <c r="W401" s="152">
        <v>1</v>
      </c>
      <c r="X401" s="152">
        <v>1</v>
      </c>
      <c r="Y401" s="152">
        <v>1</v>
      </c>
      <c r="Z401" s="152">
        <v>1</v>
      </c>
      <c r="AA401" s="152">
        <v>1</v>
      </c>
      <c r="AB401" s="152">
        <v>1</v>
      </c>
      <c r="AC401" s="152">
        <v>1</v>
      </c>
      <c r="AD401" s="152">
        <v>1</v>
      </c>
      <c r="AE401" s="152">
        <v>1</v>
      </c>
      <c r="AG401" s="71"/>
      <c r="AH401" s="71"/>
      <c r="AI401" s="71"/>
      <c r="AJ401" s="82">
        <v>0</v>
      </c>
      <c r="AK401" s="71"/>
      <c r="AL401" s="71"/>
      <c r="AM401" s="71"/>
      <c r="AN401" s="71"/>
      <c r="AO401" s="71"/>
      <c r="AP401" s="71"/>
      <c r="AQ401" s="71"/>
      <c r="AR401" s="71"/>
      <c r="AS401" s="94">
        <f t="shared" ca="1" si="723"/>
        <v>2</v>
      </c>
      <c r="AT401" s="95">
        <f t="shared" si="724"/>
        <v>0</v>
      </c>
      <c r="AU401" s="97">
        <f t="shared" si="725"/>
        <v>0</v>
      </c>
      <c r="AW401" s="51">
        <f t="shared" si="726"/>
        <v>0</v>
      </c>
      <c r="AX401" s="51">
        <f t="shared" si="727"/>
        <v>0</v>
      </c>
      <c r="AY401" s="51">
        <f t="shared" si="728"/>
        <v>0</v>
      </c>
      <c r="AZ401" s="51">
        <f t="shared" si="729"/>
        <v>0</v>
      </c>
      <c r="BA401" s="51">
        <f t="shared" si="730"/>
        <v>0</v>
      </c>
      <c r="BB401" s="51"/>
      <c r="BC401" s="51"/>
      <c r="BD401" s="51"/>
      <c r="BE401" s="51"/>
      <c r="BF401" s="51"/>
      <c r="BG401" s="51"/>
      <c r="BH401" s="51"/>
      <c r="BI401" s="65" cm="1">
        <f t="array" ref="BI401">IFERROR(INDEX(AW401:BH401,1,MATCH(2,1/(AW401:BH401&lt;&gt;""))),"")</f>
        <v>0</v>
      </c>
      <c r="BJ401" s="68" cm="1">
        <f t="array" ref="BJ401">IF(BM401 = "", "",IFERROR(INDEX(AW401:BH401,1,MATCH(2,1/(AW401:BH401&lt;&gt;""),1)-1),""))</f>
        <v>0</v>
      </c>
      <c r="BK401" s="58">
        <f>IF((IF(AW401&gt;=115%,115%,AW401) + IF(AX401&gt;=115%,115%,AX401) + IF(AY401&gt;=115%,115%,AY401) + (IF(AZ401&gt;=115%,115%,AZ401) + IF(BA401&gt;=115%,115%,BA401) + IF(BB401&gt;=115%,115%,BB401) + IF(BC401&gt;=115%,115%,BC401) + IF(BD401&gt;=115%,115%,BD401) + IF(BE401&gt;=115%,115%,BE401) + IF(BF401&gt;=115%,115%,BF401) + IF(BG401&gt;=115%,115%,BG401) + IF(BH401&gt;=115%,115%,BH401)))/_xlfn.XLOOKUP(F401,Apuração!A:A,Apuração!B:B)&gt;=1.15,1.15,((IF(AZ401&gt;=115%,115%,AZ401) + IF(AX401&gt;=115%,115%,AX401) + IF(AY401&gt;=115%,115%,AY401) + (IF(AW401&gt;=115%,115%,AW401) + IF(BA401&gt;=115%,115%,BA401) + IF(BB401&gt;=115%,115%,BB401) + IF(BC401&gt;=115%,115%,BC401) + IF(BD401&gt;=115%,115%,BD401) + IF(BE401&gt;=115%,115%,BE401) + IF(BF401&gt;=115%,115%,BF401) + IF(BG401&gt;=115%,115%,BG401) + IF(BH401&gt;=115%,115%,BH401)))/_xlfn.XLOOKUP(F401,Apuração!A:A,Apuração!B:B)))</f>
        <v>0</v>
      </c>
      <c r="BL401" s="58" cm="1">
        <f t="array" aca="1" ref="BL401" ca="1">IF(SUM(IFERROR(IF(INDEX(AW401:INDEX(AW401:BH401, MATCH(2, 1/(AW401:BH401&lt;&gt;""), 1)-1), ROW(INDIRECT("1:" &amp; MATCH(2, 1/(AW401:BH401&lt;&gt;""), 1)-1))) &gt;= 115%, 115%, INDEX(AW401:INDEX(AW401:BH401, MATCH(2, 1/(AW401:BH401&lt;&gt;""), 1)-1), ROW(INDIRECT("1:" &amp; MATCH(2, 1/(AW401:BH401&lt;&gt;""), 1)-1)))), 0))/_xlfn.XLOOKUP(F401,Apuração!A:A,Apuração!B:B)&gt;=1.15,1.15,SUM(IFERROR(IF(INDEX(AW401:INDEX(AW401:BH401, MATCH(2, 1/(AW401:BH401&lt;&gt;""), 1)-1), ROW(INDIRECT("1:" &amp; MATCH(2, 1/(AW401:BH401&lt;&gt;""), 1)-1))) &gt;= 115%, 115%, INDEX(AW401:INDEX(AW401:BH401, MATCH(2, 1/(AW401:BH401&lt;&gt;""), 1)-1), ROW(INDIRECT("1:" &amp; MATCH(2, 1/(AW401:BH401&lt;&gt;""), 1)-1)))), 0))/_xlfn.XLOOKUP(F401,Apuração!A:A,Apuração!B:B))</f>
        <v>0</v>
      </c>
      <c r="BM401" s="55" cm="1">
        <f t="array" ref="BM401">IFERROR(
   INDEX($AW$1:$BH$1,
      _xlfn.AGGREGATE(14, 6, COLUMN($AW$1:$BH$1)/(AW401:BH401&lt;&gt;""), 2) - COLUMN($AW$1) + 1
   ),
"")</f>
        <v>46113</v>
      </c>
      <c r="BN401" s="55" cm="1">
        <f t="array" ref="BN401">IFERROR(INDEX($AW$1:$BH$1,1,MATCH(2,1/(AW401:BH401&lt;&gt;""))),"")</f>
        <v>46143</v>
      </c>
      <c r="BO401" s="53">
        <f ca="1">IFERROR(_xlfn.XLOOKUP(F401,Apuração!A:A,Apuração!C:C)/_xlfn.XLOOKUP(F401,Apuração!A:A,Apuração!B:B),0)</f>
        <v>0.22222222222222221</v>
      </c>
      <c r="BP401" s="53">
        <f ca="1">IFERROR(_xlfn.XLOOKUP(F401,Apuração!A:A,Apuração!D:D)/_xlfn.XLOOKUP(F401,Apuração!A:A,Apuração!B:B),0)</f>
        <v>0.1111111111111111</v>
      </c>
      <c r="BQ401" s="53">
        <f ca="1">IF(BK401&gt;=BO401,0,_xlfn.XLOOKUP(F401,Apuração!A:A,Apuração!B:B)*(BO401 + (1/_xlfn.XLOOKUP(F401,Apuração!A:A,Apuração!B:B)) - BK401))</f>
        <v>3</v>
      </c>
      <c r="BR401" s="85">
        <f t="shared" ca="1" si="731"/>
        <v>3</v>
      </c>
      <c r="BS401" s="53">
        <f ca="1">IFERROR((_xlfn.XLOOKUP(F401,Apuração!A:A,Apuração!C:C)+1)/_xlfn.XLOOKUP(F401,Apuração!A:A,Apuração!B:B),0)</f>
        <v>0.33333333333333331</v>
      </c>
    </row>
    <row r="402" spans="1:71" ht="25.95" hidden="1" customHeight="1" x14ac:dyDescent="0.3">
      <c r="A402" s="3" t="s">
        <v>33</v>
      </c>
      <c r="B402" s="4" t="s">
        <v>70</v>
      </c>
      <c r="C402" s="5" t="s">
        <v>97</v>
      </c>
      <c r="D402" s="5" t="s">
        <v>106</v>
      </c>
      <c r="E402" s="4" t="str" cm="1">
        <f t="array" ref="E402">_xlfn.IFS(
F402 = "A partir de Abril", "Aguardando Execução na Distribuidora",
A402 = "CAPACITAÇÃO", "Em execução no Corporativo",
TRUE, "Em Execução na Distribuidora"
)</f>
        <v>Em Execução na Distribuidora</v>
      </c>
      <c r="F402" s="4" t="str" cm="1">
        <f t="array" ref="F402">_xlfn.IFS(
AG402 &lt;&gt; "", "Jan-Dez/26",
AH402 &lt;&gt; "", "Fev-Dez/26",
AI402 &lt;&gt; "", "Mar-Dez/26", AJ402 &lt;&gt; "", "Abr-Dez/26",
TRUE, "A partir de Junho"
)</f>
        <v>Abr-Dez/26</v>
      </c>
      <c r="G402" s="4" t="s">
        <v>37</v>
      </c>
      <c r="H402" s="7" t="s">
        <v>54</v>
      </c>
      <c r="I402" s="8" t="s">
        <v>55</v>
      </c>
      <c r="J402" s="8" t="str" cm="1">
        <f t="array" aca="1" ref="J402" ca="1">_xlfn.LET(
  _xlpm.actual_value_month, INDEX(T402:AE402, MATCH(DATE(YEAR(TODAY()), MONTH(TODAY()), 1), $T$1:$AE$1, 0)),
  IF(_xlpm.actual_value_month &lt;&gt; "",_xlpm.actual_value_month &amp; " eventos mensais", "")
)</f>
        <v>1 eventos mensais</v>
      </c>
      <c r="K402" s="14" t="str" cm="1">
        <f t="array" ref="K402">_xlfn.LET(
    _xlpm.sum_month, SUM(T402:AE402),
    IF(_xlpm.sum_month = 0, "", _xlpm.sum_month &amp; "  eventos no ano")
)</f>
        <v>9  eventos no ano</v>
      </c>
      <c r="L402" s="9" t="s">
        <v>56</v>
      </c>
      <c r="M402" s="13" t="s">
        <v>71</v>
      </c>
      <c r="N402" s="5" t="s">
        <v>42</v>
      </c>
      <c r="O402" s="5" t="s">
        <v>43</v>
      </c>
      <c r="P402" s="10" t="s">
        <v>58</v>
      </c>
      <c r="Q402" s="10" t="s">
        <v>72</v>
      </c>
      <c r="R402" s="11" t="s">
        <v>45</v>
      </c>
      <c r="S402" s="11" t="s">
        <v>46</v>
      </c>
      <c r="T402" s="22"/>
      <c r="U402" s="22"/>
      <c r="V402" s="22"/>
      <c r="W402" s="152">
        <v>1</v>
      </c>
      <c r="X402" s="152">
        <v>1</v>
      </c>
      <c r="Y402" s="152">
        <v>1</v>
      </c>
      <c r="Z402" s="152">
        <v>1</v>
      </c>
      <c r="AA402" s="152">
        <v>1</v>
      </c>
      <c r="AB402" s="152">
        <v>1</v>
      </c>
      <c r="AC402" s="152">
        <v>1</v>
      </c>
      <c r="AD402" s="152">
        <v>1</v>
      </c>
      <c r="AE402" s="152">
        <v>1</v>
      </c>
      <c r="AG402" s="71"/>
      <c r="AH402" s="71"/>
      <c r="AI402" s="71"/>
      <c r="AJ402" s="82">
        <v>0</v>
      </c>
      <c r="AK402" s="71"/>
      <c r="AL402" s="71"/>
      <c r="AM402" s="71"/>
      <c r="AN402" s="71"/>
      <c r="AO402" s="71"/>
      <c r="AP402" s="71"/>
      <c r="AQ402" s="71"/>
      <c r="AR402" s="71"/>
      <c r="AS402" s="94">
        <f t="shared" ca="1" si="723"/>
        <v>2</v>
      </c>
      <c r="AT402" s="95">
        <f t="shared" si="724"/>
        <v>0</v>
      </c>
      <c r="AU402" s="97">
        <f t="shared" si="725"/>
        <v>0</v>
      </c>
      <c r="AW402" s="51">
        <f t="shared" si="726"/>
        <v>0</v>
      </c>
      <c r="AX402" s="51">
        <f t="shared" si="727"/>
        <v>0</v>
      </c>
      <c r="AY402" s="51">
        <f t="shared" si="728"/>
        <v>0</v>
      </c>
      <c r="AZ402" s="51">
        <f t="shared" si="729"/>
        <v>0</v>
      </c>
      <c r="BA402" s="51">
        <f t="shared" si="730"/>
        <v>0</v>
      </c>
      <c r="BB402" s="51"/>
      <c r="BC402" s="51"/>
      <c r="BD402" s="51"/>
      <c r="BE402" s="51"/>
      <c r="BF402" s="51"/>
      <c r="BG402" s="51"/>
      <c r="BH402" s="51"/>
      <c r="BI402" s="65" cm="1">
        <f t="array" ref="BI402">IFERROR(INDEX(AW402:BH402,1,MATCH(2,1/(AW402:BH402&lt;&gt;""))),"")</f>
        <v>0</v>
      </c>
      <c r="BJ402" s="68" cm="1">
        <f t="array" ref="BJ402">IF(BM402 = "", "",IFERROR(INDEX(AW402:BH402,1,MATCH(2,1/(AW402:BH402&lt;&gt;""),1)-1),""))</f>
        <v>0</v>
      </c>
      <c r="BK402" s="58">
        <f>IF((IF(AW402&gt;=115%,115%,AW402) + IF(AX402&gt;=115%,115%,AX402) + IF(AY402&gt;=115%,115%,AY402) + (IF(AZ402&gt;=115%,115%,AZ402) + IF(BA402&gt;=115%,115%,BA402) + IF(BB402&gt;=115%,115%,BB402) + IF(BC402&gt;=115%,115%,BC402) + IF(BD402&gt;=115%,115%,BD402) + IF(BE402&gt;=115%,115%,BE402) + IF(BF402&gt;=115%,115%,BF402) + IF(BG402&gt;=115%,115%,BG402) + IF(BH402&gt;=115%,115%,BH402)))/_xlfn.XLOOKUP(F402,Apuração!A:A,Apuração!B:B)&gt;=1.15,1.15,((IF(AZ402&gt;=115%,115%,AZ402) + IF(AX402&gt;=115%,115%,AX402) + IF(AY402&gt;=115%,115%,AY402) + (IF(AW402&gt;=115%,115%,AW402) + IF(BA402&gt;=115%,115%,BA402) + IF(BB402&gt;=115%,115%,BB402) + IF(BC402&gt;=115%,115%,BC402) + IF(BD402&gt;=115%,115%,BD402) + IF(BE402&gt;=115%,115%,BE402) + IF(BF402&gt;=115%,115%,BF402) + IF(BG402&gt;=115%,115%,BG402) + IF(BH402&gt;=115%,115%,BH402)))/_xlfn.XLOOKUP(F402,Apuração!A:A,Apuração!B:B)))</f>
        <v>0</v>
      </c>
      <c r="BL402" s="58" cm="1">
        <f t="array" aca="1" ref="BL402" ca="1">IF(SUM(IFERROR(IF(INDEX(AW402:INDEX(AW402:BH402, MATCH(2, 1/(AW402:BH402&lt;&gt;""), 1)-1), ROW(INDIRECT("1:" &amp; MATCH(2, 1/(AW402:BH402&lt;&gt;""), 1)-1))) &gt;= 115%, 115%, INDEX(AW402:INDEX(AW402:BH402, MATCH(2, 1/(AW402:BH402&lt;&gt;""), 1)-1), ROW(INDIRECT("1:" &amp; MATCH(2, 1/(AW402:BH402&lt;&gt;""), 1)-1)))), 0))/_xlfn.XLOOKUP(F402,Apuração!A:A,Apuração!B:B)&gt;=1.15,1.15,SUM(IFERROR(IF(INDEX(AW402:INDEX(AW402:BH402, MATCH(2, 1/(AW402:BH402&lt;&gt;""), 1)-1), ROW(INDIRECT("1:" &amp; MATCH(2, 1/(AW402:BH402&lt;&gt;""), 1)-1))) &gt;= 115%, 115%, INDEX(AW402:INDEX(AW402:BH402, MATCH(2, 1/(AW402:BH402&lt;&gt;""), 1)-1), ROW(INDIRECT("1:" &amp; MATCH(2, 1/(AW402:BH402&lt;&gt;""), 1)-1)))), 0))/_xlfn.XLOOKUP(F402,Apuração!A:A,Apuração!B:B))</f>
        <v>0</v>
      </c>
      <c r="BM402" s="55" cm="1">
        <f t="array" ref="BM402">IFERROR(
   INDEX($AW$1:$BH$1,
      _xlfn.AGGREGATE(14, 6, COLUMN($AW$1:$BH$1)/(AW402:BH402&lt;&gt;""), 2) - COLUMN($AW$1) + 1
   ),
"")</f>
        <v>46113</v>
      </c>
      <c r="BN402" s="55" cm="1">
        <f t="array" ref="BN402">IFERROR(INDEX($AW$1:$BH$1,1,MATCH(2,1/(AW402:BH402&lt;&gt;""))),"")</f>
        <v>46143</v>
      </c>
      <c r="BO402" s="53">
        <f ca="1">IFERROR(_xlfn.XLOOKUP(F402,Apuração!A:A,Apuração!C:C)/_xlfn.XLOOKUP(F402,Apuração!A:A,Apuração!B:B),0)</f>
        <v>0.22222222222222221</v>
      </c>
      <c r="BP402" s="53">
        <f ca="1">IFERROR(_xlfn.XLOOKUP(F402,Apuração!A:A,Apuração!D:D)/_xlfn.XLOOKUP(F402,Apuração!A:A,Apuração!B:B),0)</f>
        <v>0.1111111111111111</v>
      </c>
      <c r="BQ402" s="53">
        <f ca="1">IF(BK402&gt;=BO402,0,_xlfn.XLOOKUP(F402,Apuração!A:A,Apuração!B:B)*(BO402 + (1/_xlfn.XLOOKUP(F402,Apuração!A:A,Apuração!B:B)) - BK402))</f>
        <v>3</v>
      </c>
      <c r="BR402" s="85">
        <f t="shared" ca="1" si="731"/>
        <v>3</v>
      </c>
      <c r="BS402" s="53">
        <f ca="1">IFERROR((_xlfn.XLOOKUP(F402,Apuração!A:A,Apuração!C:C)+1)/_xlfn.XLOOKUP(F402,Apuração!A:A,Apuração!B:B),0)</f>
        <v>0.33333333333333331</v>
      </c>
    </row>
    <row r="403" spans="1:71" ht="25.95" hidden="1" customHeight="1" x14ac:dyDescent="0.3">
      <c r="A403" s="3" t="s">
        <v>33</v>
      </c>
      <c r="B403" s="4" t="s">
        <v>70</v>
      </c>
      <c r="C403" s="5" t="s">
        <v>97</v>
      </c>
      <c r="D403" s="5" t="s">
        <v>107</v>
      </c>
      <c r="E403" s="4" t="str" cm="1">
        <f t="array" ref="E403">_xlfn.IFS(
F403 = "A partir de Abril", "Aguardando Execução na Distribuidora",
A403 = "CAPACITAÇÃO", "Em execução no Corporativo",
TRUE, "Em Execução na Distribuidora"
)</f>
        <v>Em Execução na Distribuidora</v>
      </c>
      <c r="F403" s="4" t="str" cm="1">
        <f t="array" ref="F403">_xlfn.IFS(
AG403 &lt;&gt; "", "Jan-Dez/26",
AH403 &lt;&gt; "", "Fev-Dez/26",
AI403 &lt;&gt; "", "Mar-Dez/26", AJ403 &lt;&gt; "", "Abr-Dez/26",
TRUE, "A partir de Junho"
)</f>
        <v>Abr-Dez/26</v>
      </c>
      <c r="G403" s="4" t="s">
        <v>37</v>
      </c>
      <c r="H403" s="7" t="s">
        <v>54</v>
      </c>
      <c r="I403" s="8" t="s">
        <v>55</v>
      </c>
      <c r="J403" s="8" t="str" cm="1">
        <f t="array" aca="1" ref="J403" ca="1">_xlfn.LET(
  _xlpm.actual_value_month, INDEX(T403:AE403, MATCH(DATE(YEAR(TODAY()), MONTH(TODAY()), 1), $T$1:$AE$1, 0)),
  IF(_xlpm.actual_value_month &lt;&gt; "",_xlpm.actual_value_month &amp; " eventos mensais", "")
)</f>
        <v>1 eventos mensais</v>
      </c>
      <c r="K403" s="14" t="str" cm="1">
        <f t="array" ref="K403">_xlfn.LET(
    _xlpm.sum_month, SUM(T403:AE403),
    IF(_xlpm.sum_month = 0, "", _xlpm.sum_month &amp; "  eventos no ano")
)</f>
        <v>9  eventos no ano</v>
      </c>
      <c r="L403" s="9" t="s">
        <v>56</v>
      </c>
      <c r="M403" s="13" t="s">
        <v>71</v>
      </c>
      <c r="N403" s="5" t="s">
        <v>42</v>
      </c>
      <c r="O403" s="5" t="s">
        <v>43</v>
      </c>
      <c r="P403" s="10" t="s">
        <v>58</v>
      </c>
      <c r="Q403" s="10" t="s">
        <v>72</v>
      </c>
      <c r="R403" s="11" t="s">
        <v>45</v>
      </c>
      <c r="S403" s="11" t="s">
        <v>46</v>
      </c>
      <c r="T403" s="22"/>
      <c r="U403" s="22"/>
      <c r="V403" s="22"/>
      <c r="W403" s="152">
        <v>1</v>
      </c>
      <c r="X403" s="152">
        <v>1</v>
      </c>
      <c r="Y403" s="152">
        <v>1</v>
      </c>
      <c r="Z403" s="152">
        <v>1</v>
      </c>
      <c r="AA403" s="152">
        <v>1</v>
      </c>
      <c r="AB403" s="152">
        <v>1</v>
      </c>
      <c r="AC403" s="152">
        <v>1</v>
      </c>
      <c r="AD403" s="152">
        <v>1</v>
      </c>
      <c r="AE403" s="152">
        <v>1</v>
      </c>
      <c r="AG403" s="71"/>
      <c r="AH403" s="71"/>
      <c r="AI403" s="71"/>
      <c r="AJ403" s="82">
        <v>0</v>
      </c>
      <c r="AK403" s="71">
        <v>2</v>
      </c>
      <c r="AL403" s="71"/>
      <c r="AM403" s="71"/>
      <c r="AN403" s="71"/>
      <c r="AO403" s="71"/>
      <c r="AP403" s="71"/>
      <c r="AQ403" s="71"/>
      <c r="AR403" s="71"/>
      <c r="AS403" s="94">
        <f t="shared" ca="1" si="723"/>
        <v>2</v>
      </c>
      <c r="AT403" s="95">
        <f t="shared" si="724"/>
        <v>1.1499999999999999</v>
      </c>
      <c r="AU403" s="97">
        <f t="shared" si="725"/>
        <v>2</v>
      </c>
      <c r="AW403" s="51">
        <f t="shared" si="726"/>
        <v>0</v>
      </c>
      <c r="AX403" s="51">
        <f t="shared" si="727"/>
        <v>0</v>
      </c>
      <c r="AY403" s="51">
        <f t="shared" si="728"/>
        <v>0</v>
      </c>
      <c r="AZ403" s="51">
        <f t="shared" si="729"/>
        <v>0</v>
      </c>
      <c r="BA403" s="51">
        <f t="shared" si="730"/>
        <v>2</v>
      </c>
      <c r="BB403" s="51"/>
      <c r="BC403" s="51"/>
      <c r="BD403" s="51"/>
      <c r="BE403" s="51"/>
      <c r="BF403" s="51"/>
      <c r="BG403" s="51"/>
      <c r="BH403" s="51"/>
      <c r="BI403" s="65" cm="1">
        <f t="array" ref="BI403">IFERROR(INDEX(AW403:BH403,1,MATCH(2,1/(AW403:BH403&lt;&gt;""))),"")</f>
        <v>2</v>
      </c>
      <c r="BJ403" s="68" cm="1">
        <f t="array" ref="BJ403">IF(BM403 = "", "",IFERROR(INDEX(AW403:BH403,1,MATCH(2,1/(AW403:BH403&lt;&gt;""),1)-1),""))</f>
        <v>0</v>
      </c>
      <c r="BK403" s="58">
        <f>IF((IF(AW403&gt;=115%,115%,AW403) + IF(AX403&gt;=115%,115%,AX403) + IF(AY403&gt;=115%,115%,AY403) + (IF(AZ403&gt;=115%,115%,AZ403) + IF(BA403&gt;=115%,115%,BA403) + IF(BB403&gt;=115%,115%,BB403) + IF(BC403&gt;=115%,115%,BC403) + IF(BD403&gt;=115%,115%,BD403) + IF(BE403&gt;=115%,115%,BE403) + IF(BF403&gt;=115%,115%,BF403) + IF(BG403&gt;=115%,115%,BG403) + IF(BH403&gt;=115%,115%,BH403)))/_xlfn.XLOOKUP(F403,Apuração!A:A,Apuração!B:B)&gt;=1.15,1.15,((IF(AZ403&gt;=115%,115%,AZ403) + IF(AX403&gt;=115%,115%,AX403) + IF(AY403&gt;=115%,115%,AY403) + (IF(AW403&gt;=115%,115%,AW403) + IF(BA403&gt;=115%,115%,BA403) + IF(BB403&gt;=115%,115%,BB403) + IF(BC403&gt;=115%,115%,BC403) + IF(BD403&gt;=115%,115%,BD403) + IF(BE403&gt;=115%,115%,BE403) + IF(BF403&gt;=115%,115%,BF403) + IF(BG403&gt;=115%,115%,BG403) + IF(BH403&gt;=115%,115%,BH403)))/_xlfn.XLOOKUP(F403,Apuração!A:A,Apuração!B:B)))</f>
        <v>0.12777777777777777</v>
      </c>
      <c r="BL403" s="58" cm="1">
        <f t="array" aca="1" ref="BL403" ca="1">IF(SUM(IFERROR(IF(INDEX(AW403:INDEX(AW403:BH403, MATCH(2, 1/(AW403:BH403&lt;&gt;""), 1)-1), ROW(INDIRECT("1:" &amp; MATCH(2, 1/(AW403:BH403&lt;&gt;""), 1)-1))) &gt;= 115%, 115%, INDEX(AW403:INDEX(AW403:BH403, MATCH(2, 1/(AW403:BH403&lt;&gt;""), 1)-1), ROW(INDIRECT("1:" &amp; MATCH(2, 1/(AW403:BH403&lt;&gt;""), 1)-1)))), 0))/_xlfn.XLOOKUP(F403,Apuração!A:A,Apuração!B:B)&gt;=1.15,1.15,SUM(IFERROR(IF(INDEX(AW403:INDEX(AW403:BH403, MATCH(2, 1/(AW403:BH403&lt;&gt;""), 1)-1), ROW(INDIRECT("1:" &amp; MATCH(2, 1/(AW403:BH403&lt;&gt;""), 1)-1))) &gt;= 115%, 115%, INDEX(AW403:INDEX(AW403:BH403, MATCH(2, 1/(AW403:BH403&lt;&gt;""), 1)-1), ROW(INDIRECT("1:" &amp; MATCH(2, 1/(AW403:BH403&lt;&gt;""), 1)-1)))), 0))/_xlfn.XLOOKUP(F403,Apuração!A:A,Apuração!B:B))</f>
        <v>0</v>
      </c>
      <c r="BM403" s="55" cm="1">
        <f t="array" ref="BM403">IFERROR(
   INDEX($AW$1:$BH$1,
      _xlfn.AGGREGATE(14, 6, COLUMN($AW$1:$BH$1)/(AW403:BH403&lt;&gt;""), 2) - COLUMN($AW$1) + 1
   ),
"")</f>
        <v>46113</v>
      </c>
      <c r="BN403" s="55" cm="1">
        <f t="array" ref="BN403">IFERROR(INDEX($AW$1:$BH$1,1,MATCH(2,1/(AW403:BH403&lt;&gt;""))),"")</f>
        <v>46143</v>
      </c>
      <c r="BO403" s="53">
        <f ca="1">IFERROR(_xlfn.XLOOKUP(F403,Apuração!A:A,Apuração!C:C)/_xlfn.XLOOKUP(F403,Apuração!A:A,Apuração!B:B),0)</f>
        <v>0.22222222222222221</v>
      </c>
      <c r="BP403" s="53">
        <f ca="1">IFERROR(_xlfn.XLOOKUP(F403,Apuração!A:A,Apuração!D:D)/_xlfn.XLOOKUP(F403,Apuração!A:A,Apuração!B:B),0)</f>
        <v>0.1111111111111111</v>
      </c>
      <c r="BQ403" s="53">
        <f ca="1">IF(BK403&gt;=BO403,0,_xlfn.XLOOKUP(F403,Apuração!A:A,Apuração!B:B)*(BO403 + (1/_xlfn.XLOOKUP(F403,Apuração!A:A,Apuração!B:B)) - BK403))</f>
        <v>1.8499999999999999</v>
      </c>
      <c r="BR403" s="85">
        <f t="shared" ca="1" si="731"/>
        <v>1.8499999999999999</v>
      </c>
      <c r="BS403" s="53">
        <f ca="1">IFERROR((_xlfn.XLOOKUP(F403,Apuração!A:A,Apuração!C:C)+1)/_xlfn.XLOOKUP(F403,Apuração!A:A,Apuração!B:B),0)</f>
        <v>0.33333333333333331</v>
      </c>
    </row>
    <row r="404" spans="1:71" ht="25.95" hidden="1" customHeight="1" x14ac:dyDescent="0.3">
      <c r="A404" s="39" t="s">
        <v>33</v>
      </c>
      <c r="B404" s="4" t="s">
        <v>70</v>
      </c>
      <c r="C404" s="5" t="s">
        <v>97</v>
      </c>
      <c r="D404" s="5" t="s">
        <v>36</v>
      </c>
      <c r="E404" s="4" t="str" cm="1">
        <f t="array" ref="E404">_xlfn.IFS(
F404 = "A partir de Abril", "Aguardando Execução na Distribuidora",
A404 = "CAPACITAÇÃO", "Em execução no Corporativo",
TRUE, "Em Execução na Distribuidora"
)</f>
        <v>Em Execução na Distribuidora</v>
      </c>
      <c r="F404" s="4" t="str" cm="1">
        <f t="array" ref="F404">_xlfn.IFS(
AG404 &lt;&gt; "", "Jan-Dez/26",
AH404 &lt;&gt; "", "Fev-Dez/26",
AI404 &lt;&gt; "", "Mar-Dez/26", AJ404 &lt;&gt; "", "Abr-Dez/26",
TRUE, "A partir de Junho"
)</f>
        <v>Jan-Dez/26</v>
      </c>
      <c r="G404" s="4" t="s">
        <v>37</v>
      </c>
      <c r="H404" s="7" t="s">
        <v>54</v>
      </c>
      <c r="I404" s="8" t="s">
        <v>59</v>
      </c>
      <c r="J404" s="8" t="str" cm="1">
        <f t="array" aca="1" ref="J404" ca="1">_xlfn.LET(
  _xlpm.actual_value_month, INDEX(T404:AE404, MATCH(DATE(YEAR(TODAY()), MONTH(TODAY()), 1), $T$1:$AE$1, 0)),
  IF(_xlpm.actual_value_month &lt;&gt; "",_xlpm.actual_value_month &amp; " ações mensais", "")
)</f>
        <v/>
      </c>
      <c r="K404" s="14" t="str" cm="1">
        <f t="array" ref="K404">_xlfn.LET(
    _xlpm.sum_month, SUM(T404:AE404),
    IF(_xlpm.sum_month = 0, "", _xlpm.sum_month &amp; " pessoas impactadas no ano.")
)</f>
        <v/>
      </c>
      <c r="L404" s="9" t="s">
        <v>59</v>
      </c>
      <c r="M404" s="13">
        <v>1</v>
      </c>
      <c r="N404" s="5" t="s">
        <v>51</v>
      </c>
      <c r="O404" s="5" t="s">
        <v>52</v>
      </c>
      <c r="P404" s="10" t="s">
        <v>44</v>
      </c>
      <c r="Q404" s="10" t="s">
        <v>44</v>
      </c>
      <c r="R404" s="11" t="s">
        <v>44</v>
      </c>
      <c r="S404" s="11" t="s">
        <v>44</v>
      </c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G404" s="71">
        <v>6</v>
      </c>
      <c r="AH404" s="71">
        <v>34</v>
      </c>
      <c r="AI404" s="71">
        <v>11</v>
      </c>
      <c r="AJ404" s="71">
        <v>25</v>
      </c>
      <c r="AK404" s="71">
        <v>9</v>
      </c>
      <c r="AL404" s="71"/>
      <c r="AM404" s="71"/>
      <c r="AN404" s="71"/>
      <c r="AO404" s="71"/>
      <c r="AP404" s="71"/>
      <c r="AQ404" s="71"/>
      <c r="AR404" s="71"/>
      <c r="AS404" s="94">
        <f t="shared" ca="1" si="651"/>
        <v>0</v>
      </c>
      <c r="AT404" s="95">
        <f>SUM(AG404:AR404)</f>
        <v>85</v>
      </c>
      <c r="AU404" s="97">
        <f t="shared" si="652"/>
        <v>85</v>
      </c>
      <c r="AW404" s="83">
        <f>AG404</f>
        <v>6</v>
      </c>
      <c r="AX404" s="83">
        <f t="shared" ref="AX404" si="732">AH404</f>
        <v>34</v>
      </c>
      <c r="AY404" s="83">
        <f t="shared" ref="AY404" si="733">AI404</f>
        <v>11</v>
      </c>
      <c r="AZ404" s="83">
        <f>AJ404</f>
        <v>25</v>
      </c>
      <c r="BA404" s="83">
        <f t="shared" ref="BA404:BA414" si="734">AK404</f>
        <v>9</v>
      </c>
      <c r="BB404" s="52"/>
      <c r="BC404" s="52"/>
      <c r="BD404" s="52"/>
      <c r="BE404" s="52"/>
      <c r="BF404" s="52"/>
      <c r="BG404" s="52"/>
      <c r="BH404" s="52"/>
      <c r="BI404" s="68" cm="1">
        <f t="array" ref="BI404">IFERROR(INDEX(AW404:BH404,1,MATCH(2,1/(AW404:BH404&lt;&gt;""))),"")</f>
        <v>9</v>
      </c>
      <c r="BJ404" s="68" cm="1">
        <f t="array" ref="BJ404">IF(BM404 = "", "",IFERROR(INDEX(AW404:BH404,1,MATCH(2,1/(AW404:BH404&lt;&gt;""),1)-1),""))</f>
        <v>25</v>
      </c>
      <c r="BK404" s="59">
        <f>SUM(AW404:BH404)</f>
        <v>85</v>
      </c>
      <c r="BL404" s="59" cm="1">
        <f t="array" ref="BL404">IFERROR(SUM(AW404:INDEX(AW404:BH404, MATCH(2, 1/(AW404:BH404&lt;&gt;""), 1) - 1))/_xlfn.XLOOKUP(F404,Apuração!A:A,Apuração!B:B),0)</f>
        <v>6.333333333333333</v>
      </c>
      <c r="BM404" s="55" cm="1">
        <f t="array" ref="BM404">IFERROR(
   INDEX($AW$1:$BH$1,
      _xlfn.AGGREGATE(14, 6, COLUMN($AW$1:$BH$1)/(AW404:BH404&lt;&gt;""), 2) - COLUMN($AW$1) + 1
   ),
"")</f>
        <v>46113</v>
      </c>
      <c r="BN404" s="55" cm="1">
        <f t="array" ref="BN404">IFERROR(INDEX($AW$1:$BH$1,1,MATCH(2,1/(AW404:BH404&lt;&gt;""))),"")</f>
        <v>46143</v>
      </c>
      <c r="BO404" s="53">
        <f ca="1">IFERROR(_xlfn.XLOOKUP(F404,Apuração!A:A,Apuração!C:C)/_xlfn.XLOOKUP(F404,Apuração!A:A,Apuração!B:B),0)</f>
        <v>0.41666666666666669</v>
      </c>
      <c r="BP404" s="53">
        <f ca="1">IFERROR(_xlfn.XLOOKUP(F404,Apuração!A:A,Apuração!D:D)/_xlfn.XLOOKUP(F404,Apuração!A:A,Apuração!B:B),0)</f>
        <v>0.33333333333333331</v>
      </c>
      <c r="BQ404" s="53">
        <f ca="1">IF(BK404&gt;=BO404,0,_xlfn.XLOOKUP(F404,Apuração!A:A,Apuração!B:B)*(BO404 + (1/_xlfn.XLOOKUP(F404,Apuração!A:A,Apuração!B:B)) - BK404))</f>
        <v>0</v>
      </c>
      <c r="BR404" s="85">
        <f t="shared" ca="1" si="644"/>
        <v>0</v>
      </c>
      <c r="BS404" s="53">
        <f ca="1">IFERROR((_xlfn.XLOOKUP(F404,Apuração!A:A,Apuração!C:C)+1)/_xlfn.XLOOKUP(F404,Apuração!A:A,Apuração!B:B),0)</f>
        <v>0.5</v>
      </c>
    </row>
    <row r="405" spans="1:71" ht="25.95" hidden="1" customHeight="1" x14ac:dyDescent="0.3">
      <c r="A405" s="39" t="s">
        <v>33</v>
      </c>
      <c r="B405" s="4" t="s">
        <v>70</v>
      </c>
      <c r="C405" s="5" t="s">
        <v>97</v>
      </c>
      <c r="D405" s="5" t="s">
        <v>98</v>
      </c>
      <c r="E405" s="4" t="str" cm="1">
        <f t="array" ref="E405">_xlfn.IFS(
F405 = "A partir de Abril", "Aguardando Execução na Distribuidora",
A405 = "CAPACITAÇÃO", "Em execução no Corporativo",
TRUE, "Em Execução na Distribuidora"
)</f>
        <v>Em Execução na Distribuidora</v>
      </c>
      <c r="F405" s="4" t="str" cm="1">
        <f t="array" ref="F405">_xlfn.IFS(
AG405 &lt;&gt; "", "Jan-Dez/26",
AH405 &lt;&gt; "", "Fev-Dez/26",
AI405 &lt;&gt; "", "Mar-Dez/26", AJ405 &lt;&gt; "", "Abr-Dez/26",
TRUE, "A partir de Junho"
)</f>
        <v>Abr-Dez/26</v>
      </c>
      <c r="G405" s="4" t="s">
        <v>37</v>
      </c>
      <c r="H405" s="7" t="s">
        <v>54</v>
      </c>
      <c r="I405" s="8" t="s">
        <v>59</v>
      </c>
      <c r="J405" s="8" t="str" cm="1">
        <f t="array" aca="1" ref="J405" ca="1">_xlfn.LET(
  _xlpm.actual_value_month, INDEX(T405:AE405, MATCH(DATE(YEAR(TODAY()), MONTH(TODAY()), 1), $T$1:$AE$1, 0)),
  IF(_xlpm.actual_value_month &lt;&gt; "",_xlpm.actual_value_month &amp; " ações mensais", "")
)</f>
        <v/>
      </c>
      <c r="K405" s="14" t="str" cm="1">
        <f t="array" ref="K405">_xlfn.LET(
    _xlpm.sum_month, SUM(T405:AE405),
    IF(_xlpm.sum_month = 0, "", _xlpm.sum_month &amp; " pessoas impactadas no ano.")
)</f>
        <v/>
      </c>
      <c r="L405" s="9" t="s">
        <v>59</v>
      </c>
      <c r="M405" s="13">
        <v>1</v>
      </c>
      <c r="N405" s="5" t="s">
        <v>51</v>
      </c>
      <c r="O405" s="5" t="s">
        <v>52</v>
      </c>
      <c r="P405" s="10" t="s">
        <v>44</v>
      </c>
      <c r="Q405" s="10" t="s">
        <v>44</v>
      </c>
      <c r="R405" s="11" t="s">
        <v>44</v>
      </c>
      <c r="S405" s="11" t="s">
        <v>44</v>
      </c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G405" s="71"/>
      <c r="AH405" s="71"/>
      <c r="AI405" s="71"/>
      <c r="AJ405" s="82">
        <v>5</v>
      </c>
      <c r="AK405" s="71">
        <v>1</v>
      </c>
      <c r="AL405" s="71"/>
      <c r="AM405" s="71"/>
      <c r="AN405" s="71"/>
      <c r="AO405" s="71"/>
      <c r="AP405" s="71"/>
      <c r="AQ405" s="71"/>
      <c r="AR405" s="71"/>
      <c r="AS405" s="94">
        <f t="shared" ref="AS405:AS414" ca="1" si="735">IF(MONTH(TODAY())=3,SUM(T405:U405),IF(MONTH(TODAY())=4,SUM(T405:V405),IF(MONTH(TODAY())=5,SUM(T405:W405),IF(MONTH(TODAY())=6,SUM(T405:X405),IF(MONTH(TODAY())=7,SUM(T405:Y405),IF(MONTH(TODAY())=8,SUM(T405:Z405),IF(MONTH(TODAY())=9,SUM(T405:AA405),IF(MONTH(TODAY())=10,SUM(T405:AB405),IF(MONTH(TODAY())=11,SUM(T405:AC405),IF(MONTH(TODAY())=12,SUM(T405:AD405),IF(MONTH(TODAY())=1,SUM(T405:AE405),T405)))))))))))</f>
        <v>0</v>
      </c>
      <c r="AT405" s="95">
        <f t="shared" ref="AT405:AT414" si="736">SUM(AG405:AR405)</f>
        <v>6</v>
      </c>
      <c r="AU405" s="97">
        <f t="shared" ref="AU405:AU414" si="737">SUM(AG405:AR405)</f>
        <v>6</v>
      </c>
      <c r="AW405" s="83">
        <f t="shared" ref="AW405:AW414" si="738">AG405</f>
        <v>0</v>
      </c>
      <c r="AX405" s="83">
        <f t="shared" ref="AX405:AX414" si="739">AH405</f>
        <v>0</v>
      </c>
      <c r="AY405" s="83">
        <f t="shared" ref="AY405:AY414" si="740">AI405</f>
        <v>0</v>
      </c>
      <c r="AZ405" s="83">
        <f t="shared" ref="AZ405:AZ414" si="741">AJ405</f>
        <v>5</v>
      </c>
      <c r="BA405" s="83">
        <f t="shared" si="734"/>
        <v>1</v>
      </c>
      <c r="BB405" s="52"/>
      <c r="BC405" s="52"/>
      <c r="BD405" s="52"/>
      <c r="BE405" s="52"/>
      <c r="BF405" s="52"/>
      <c r="BG405" s="52"/>
      <c r="BH405" s="52"/>
      <c r="BI405" s="68" cm="1">
        <f t="array" ref="BI405">IFERROR(INDEX(AW405:BH405,1,MATCH(2,1/(AW405:BH405&lt;&gt;""))),"")</f>
        <v>1</v>
      </c>
      <c r="BJ405" s="68" cm="1">
        <f t="array" ref="BJ405">IF(BM405 = "", "",IFERROR(INDEX(AW405:BH405,1,MATCH(2,1/(AW405:BH405&lt;&gt;""),1)-1),""))</f>
        <v>5</v>
      </c>
      <c r="BK405" s="59">
        <f t="shared" ref="BK405:BK414" si="742">SUM(AW405:BH405)</f>
        <v>6</v>
      </c>
      <c r="BL405" s="59" cm="1">
        <f t="array" ref="BL405">IFERROR(SUM(AW405:INDEX(AW405:BH405, MATCH(2, 1/(AW405:BH405&lt;&gt;""), 1) - 1))/_xlfn.XLOOKUP(F405,Apuração!A:A,Apuração!B:B),0)</f>
        <v>0.55555555555555558</v>
      </c>
      <c r="BM405" s="55" cm="1">
        <f t="array" ref="BM405">IFERROR(
   INDEX($AW$1:$BH$1,
      _xlfn.AGGREGATE(14, 6, COLUMN($AW$1:$BH$1)/(AW405:BH405&lt;&gt;""), 2) - COLUMN($AW$1) + 1
   ),
"")</f>
        <v>46113</v>
      </c>
      <c r="BN405" s="55" cm="1">
        <f t="array" ref="BN405">IFERROR(INDEX($AW$1:$BH$1,1,MATCH(2,1/(AW405:BH405&lt;&gt;""))),"")</f>
        <v>46143</v>
      </c>
      <c r="BO405" s="53">
        <f ca="1">IFERROR(_xlfn.XLOOKUP(F405,Apuração!A:A,Apuração!C:C)/_xlfn.XLOOKUP(F405,Apuração!A:A,Apuração!B:B),0)</f>
        <v>0.22222222222222221</v>
      </c>
      <c r="BP405" s="53">
        <f ca="1">IFERROR(_xlfn.XLOOKUP(F405,Apuração!A:A,Apuração!D:D)/_xlfn.XLOOKUP(F405,Apuração!A:A,Apuração!B:B),0)</f>
        <v>0.1111111111111111</v>
      </c>
      <c r="BQ405" s="53">
        <f ca="1">IF(BK405&gt;=BO405,0,_xlfn.XLOOKUP(F405,Apuração!A:A,Apuração!B:B)*(BO405 + (1/_xlfn.XLOOKUP(F405,Apuração!A:A,Apuração!B:B)) - BK405))</f>
        <v>0</v>
      </c>
      <c r="BR405" s="85">
        <f t="shared" ref="BR405:BR414" ca="1" si="743">IF(BQ405=0,0,BQ405*Z405)</f>
        <v>0</v>
      </c>
      <c r="BS405" s="53">
        <f ca="1">IFERROR((_xlfn.XLOOKUP(F405,Apuração!A:A,Apuração!C:C)+1)/_xlfn.XLOOKUP(F405,Apuração!A:A,Apuração!B:B),0)</f>
        <v>0.33333333333333331</v>
      </c>
    </row>
    <row r="406" spans="1:71" ht="25.95" hidden="1" customHeight="1" x14ac:dyDescent="0.3">
      <c r="A406" s="39" t="s">
        <v>33</v>
      </c>
      <c r="B406" s="4" t="s">
        <v>70</v>
      </c>
      <c r="C406" s="5" t="s">
        <v>97</v>
      </c>
      <c r="D406" s="5" t="s">
        <v>99</v>
      </c>
      <c r="E406" s="4" t="str" cm="1">
        <f t="array" ref="E406">_xlfn.IFS(
F406 = "A partir de Abril", "Aguardando Execução na Distribuidora",
A406 = "CAPACITAÇÃO", "Em execução no Corporativo",
TRUE, "Em Execução na Distribuidora"
)</f>
        <v>Em Execução na Distribuidora</v>
      </c>
      <c r="F406" s="4" t="str" cm="1">
        <f t="array" ref="F406">_xlfn.IFS(
AG406 &lt;&gt; "", "Jan-Dez/26",
AH406 &lt;&gt; "", "Fev-Dez/26",
AI406 &lt;&gt; "", "Mar-Dez/26", AJ406 &lt;&gt; "", "Abr-Dez/26",
TRUE, "A partir de Junho"
)</f>
        <v>Abr-Dez/26</v>
      </c>
      <c r="G406" s="4" t="s">
        <v>37</v>
      </c>
      <c r="H406" s="7" t="s">
        <v>54</v>
      </c>
      <c r="I406" s="8" t="s">
        <v>59</v>
      </c>
      <c r="J406" s="8" t="str" cm="1">
        <f t="array" aca="1" ref="J406" ca="1">_xlfn.LET(
  _xlpm.actual_value_month, INDEX(T406:AE406, MATCH(DATE(YEAR(TODAY()), MONTH(TODAY()), 1), $T$1:$AE$1, 0)),
  IF(_xlpm.actual_value_month &lt;&gt; "",_xlpm.actual_value_month &amp; " ações mensais", "")
)</f>
        <v/>
      </c>
      <c r="K406" s="14" t="str" cm="1">
        <f t="array" ref="K406">_xlfn.LET(
    _xlpm.sum_month, SUM(T406:AE406),
    IF(_xlpm.sum_month = 0, "", _xlpm.sum_month &amp; " pessoas impactadas no ano.")
)</f>
        <v/>
      </c>
      <c r="L406" s="9" t="s">
        <v>59</v>
      </c>
      <c r="M406" s="13">
        <v>1</v>
      </c>
      <c r="N406" s="5" t="s">
        <v>51</v>
      </c>
      <c r="O406" s="5" t="s">
        <v>52</v>
      </c>
      <c r="P406" s="10" t="s">
        <v>44</v>
      </c>
      <c r="Q406" s="10" t="s">
        <v>44</v>
      </c>
      <c r="R406" s="11" t="s">
        <v>44</v>
      </c>
      <c r="S406" s="11" t="s">
        <v>44</v>
      </c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G406" s="71"/>
      <c r="AH406" s="71"/>
      <c r="AI406" s="71"/>
      <c r="AJ406" s="82">
        <v>0</v>
      </c>
      <c r="AK406" s="71"/>
      <c r="AL406" s="71"/>
      <c r="AM406" s="71"/>
      <c r="AN406" s="71"/>
      <c r="AO406" s="71"/>
      <c r="AP406" s="71"/>
      <c r="AQ406" s="71"/>
      <c r="AR406" s="71"/>
      <c r="AS406" s="94">
        <f t="shared" ca="1" si="735"/>
        <v>0</v>
      </c>
      <c r="AT406" s="95">
        <f t="shared" si="736"/>
        <v>0</v>
      </c>
      <c r="AU406" s="97">
        <f t="shared" si="737"/>
        <v>0</v>
      </c>
      <c r="AW406" s="83">
        <f t="shared" si="738"/>
        <v>0</v>
      </c>
      <c r="AX406" s="83">
        <f t="shared" si="739"/>
        <v>0</v>
      </c>
      <c r="AY406" s="83">
        <f t="shared" si="740"/>
        <v>0</v>
      </c>
      <c r="AZ406" s="83">
        <f t="shared" si="741"/>
        <v>0</v>
      </c>
      <c r="BA406" s="83">
        <f t="shared" si="734"/>
        <v>0</v>
      </c>
      <c r="BB406" s="52"/>
      <c r="BC406" s="52"/>
      <c r="BD406" s="52"/>
      <c r="BE406" s="52"/>
      <c r="BF406" s="52"/>
      <c r="BG406" s="52"/>
      <c r="BH406" s="52"/>
      <c r="BI406" s="68" cm="1">
        <f t="array" ref="BI406">IFERROR(INDEX(AW406:BH406,1,MATCH(2,1/(AW406:BH406&lt;&gt;""))),"")</f>
        <v>0</v>
      </c>
      <c r="BJ406" s="68" cm="1">
        <f t="array" ref="BJ406">IF(BM406 = "", "",IFERROR(INDEX(AW406:BH406,1,MATCH(2,1/(AW406:BH406&lt;&gt;""),1)-1),""))</f>
        <v>0</v>
      </c>
      <c r="BK406" s="59">
        <f t="shared" si="742"/>
        <v>0</v>
      </c>
      <c r="BL406" s="59" cm="1">
        <f t="array" ref="BL406">IFERROR(SUM(AW406:INDEX(AW406:BH406, MATCH(2, 1/(AW406:BH406&lt;&gt;""), 1) - 1))/_xlfn.XLOOKUP(F406,Apuração!A:A,Apuração!B:B),0)</f>
        <v>0</v>
      </c>
      <c r="BM406" s="55" cm="1">
        <f t="array" ref="BM406">IFERROR(
   INDEX($AW$1:$BH$1,
      _xlfn.AGGREGATE(14, 6, COLUMN($AW$1:$BH$1)/(AW406:BH406&lt;&gt;""), 2) - COLUMN($AW$1) + 1
   ),
"")</f>
        <v>46113</v>
      </c>
      <c r="BN406" s="55" cm="1">
        <f t="array" ref="BN406">IFERROR(INDEX($AW$1:$BH$1,1,MATCH(2,1/(AW406:BH406&lt;&gt;""))),"")</f>
        <v>46143</v>
      </c>
      <c r="BO406" s="53">
        <f ca="1">IFERROR(_xlfn.XLOOKUP(F406,Apuração!A:A,Apuração!C:C)/_xlfn.XLOOKUP(F406,Apuração!A:A,Apuração!B:B),0)</f>
        <v>0.22222222222222221</v>
      </c>
      <c r="BP406" s="53">
        <f ca="1">IFERROR(_xlfn.XLOOKUP(F406,Apuração!A:A,Apuração!D:D)/_xlfn.XLOOKUP(F406,Apuração!A:A,Apuração!B:B),0)</f>
        <v>0.1111111111111111</v>
      </c>
      <c r="BQ406" s="53">
        <f ca="1">IF(BK406&gt;=BO406,0,_xlfn.XLOOKUP(F406,Apuração!A:A,Apuração!B:B)*(BO406 + (1/_xlfn.XLOOKUP(F406,Apuração!A:A,Apuração!B:B)) - BK406))</f>
        <v>3</v>
      </c>
      <c r="BR406" s="85">
        <f t="shared" ca="1" si="743"/>
        <v>0</v>
      </c>
      <c r="BS406" s="53">
        <f ca="1">IFERROR((_xlfn.XLOOKUP(F406,Apuração!A:A,Apuração!C:C)+1)/_xlfn.XLOOKUP(F406,Apuração!A:A,Apuração!B:B),0)</f>
        <v>0.33333333333333331</v>
      </c>
    </row>
    <row r="407" spans="1:71" ht="25.95" hidden="1" customHeight="1" x14ac:dyDescent="0.3">
      <c r="A407" s="39" t="s">
        <v>33</v>
      </c>
      <c r="B407" s="4" t="s">
        <v>70</v>
      </c>
      <c r="C407" s="5" t="s">
        <v>97</v>
      </c>
      <c r="D407" s="5" t="s">
        <v>100</v>
      </c>
      <c r="E407" s="4" t="str" cm="1">
        <f t="array" ref="E407">_xlfn.IFS(
F407 = "A partir de Abril", "Aguardando Execução na Distribuidora",
A407 = "CAPACITAÇÃO", "Em execução no Corporativo",
TRUE, "Em Execução na Distribuidora"
)</f>
        <v>Em Execução na Distribuidora</v>
      </c>
      <c r="F407" s="4" t="str" cm="1">
        <f t="array" ref="F407">_xlfn.IFS(
AG407 &lt;&gt; "", "Jan-Dez/26",
AH407 &lt;&gt; "", "Fev-Dez/26",
AI407 &lt;&gt; "", "Mar-Dez/26", AJ407 &lt;&gt; "", "Abr-Dez/26",
TRUE, "A partir de Junho"
)</f>
        <v>Abr-Dez/26</v>
      </c>
      <c r="G407" s="4" t="s">
        <v>37</v>
      </c>
      <c r="H407" s="7" t="s">
        <v>54</v>
      </c>
      <c r="I407" s="8" t="s">
        <v>59</v>
      </c>
      <c r="J407" s="8" t="str" cm="1">
        <f t="array" aca="1" ref="J407" ca="1">_xlfn.LET(
  _xlpm.actual_value_month, INDEX(T407:AE407, MATCH(DATE(YEAR(TODAY()), MONTH(TODAY()), 1), $T$1:$AE$1, 0)),
  IF(_xlpm.actual_value_month &lt;&gt; "",_xlpm.actual_value_month &amp; " ações mensais", "")
)</f>
        <v/>
      </c>
      <c r="K407" s="14" t="str" cm="1">
        <f t="array" ref="K407">_xlfn.LET(
    _xlpm.sum_month, SUM(T407:AE407),
    IF(_xlpm.sum_month = 0, "", _xlpm.sum_month &amp; " pessoas impactadas no ano.")
)</f>
        <v/>
      </c>
      <c r="L407" s="9" t="s">
        <v>59</v>
      </c>
      <c r="M407" s="13">
        <v>1</v>
      </c>
      <c r="N407" s="5" t="s">
        <v>51</v>
      </c>
      <c r="O407" s="5" t="s">
        <v>52</v>
      </c>
      <c r="P407" s="10" t="s">
        <v>44</v>
      </c>
      <c r="Q407" s="10" t="s">
        <v>44</v>
      </c>
      <c r="R407" s="11" t="s">
        <v>44</v>
      </c>
      <c r="S407" s="11" t="s">
        <v>44</v>
      </c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G407" s="71"/>
      <c r="AH407" s="71"/>
      <c r="AI407" s="71"/>
      <c r="AJ407" s="82">
        <v>0</v>
      </c>
      <c r="AK407" s="71"/>
      <c r="AL407" s="71"/>
      <c r="AM407" s="71"/>
      <c r="AN407" s="71"/>
      <c r="AO407" s="71"/>
      <c r="AP407" s="71"/>
      <c r="AQ407" s="71"/>
      <c r="AR407" s="71"/>
      <c r="AS407" s="94">
        <f t="shared" ca="1" si="735"/>
        <v>0</v>
      </c>
      <c r="AT407" s="95">
        <f t="shared" si="736"/>
        <v>0</v>
      </c>
      <c r="AU407" s="97">
        <f t="shared" si="737"/>
        <v>0</v>
      </c>
      <c r="AW407" s="83">
        <f t="shared" si="738"/>
        <v>0</v>
      </c>
      <c r="AX407" s="83">
        <f t="shared" si="739"/>
        <v>0</v>
      </c>
      <c r="AY407" s="83">
        <f t="shared" si="740"/>
        <v>0</v>
      </c>
      <c r="AZ407" s="83">
        <f t="shared" si="741"/>
        <v>0</v>
      </c>
      <c r="BA407" s="83">
        <f t="shared" si="734"/>
        <v>0</v>
      </c>
      <c r="BB407" s="52"/>
      <c r="BC407" s="52"/>
      <c r="BD407" s="52"/>
      <c r="BE407" s="52"/>
      <c r="BF407" s="52"/>
      <c r="BG407" s="52"/>
      <c r="BH407" s="52"/>
      <c r="BI407" s="68" cm="1">
        <f t="array" ref="BI407">IFERROR(INDEX(AW407:BH407,1,MATCH(2,1/(AW407:BH407&lt;&gt;""))),"")</f>
        <v>0</v>
      </c>
      <c r="BJ407" s="68" cm="1">
        <f t="array" ref="BJ407">IF(BM407 = "", "",IFERROR(INDEX(AW407:BH407,1,MATCH(2,1/(AW407:BH407&lt;&gt;""),1)-1),""))</f>
        <v>0</v>
      </c>
      <c r="BK407" s="59">
        <f t="shared" si="742"/>
        <v>0</v>
      </c>
      <c r="BL407" s="59" cm="1">
        <f t="array" ref="BL407">IFERROR(SUM(AW407:INDEX(AW407:BH407, MATCH(2, 1/(AW407:BH407&lt;&gt;""), 1) - 1))/_xlfn.XLOOKUP(F407,Apuração!A:A,Apuração!B:B),0)</f>
        <v>0</v>
      </c>
      <c r="BM407" s="55" cm="1">
        <f t="array" ref="BM407">IFERROR(
   INDEX($AW$1:$BH$1,
      _xlfn.AGGREGATE(14, 6, COLUMN($AW$1:$BH$1)/(AW407:BH407&lt;&gt;""), 2) - COLUMN($AW$1) + 1
   ),
"")</f>
        <v>46113</v>
      </c>
      <c r="BN407" s="55" cm="1">
        <f t="array" ref="BN407">IFERROR(INDEX($AW$1:$BH$1,1,MATCH(2,1/(AW407:BH407&lt;&gt;""))),"")</f>
        <v>46143</v>
      </c>
      <c r="BO407" s="53">
        <f ca="1">IFERROR(_xlfn.XLOOKUP(F407,Apuração!A:A,Apuração!C:C)/_xlfn.XLOOKUP(F407,Apuração!A:A,Apuração!B:B),0)</f>
        <v>0.22222222222222221</v>
      </c>
      <c r="BP407" s="53">
        <f ca="1">IFERROR(_xlfn.XLOOKUP(F407,Apuração!A:A,Apuração!D:D)/_xlfn.XLOOKUP(F407,Apuração!A:A,Apuração!B:B),0)</f>
        <v>0.1111111111111111</v>
      </c>
      <c r="BQ407" s="53">
        <f ca="1">IF(BK407&gt;=BO407,0,_xlfn.XLOOKUP(F407,Apuração!A:A,Apuração!B:B)*(BO407 + (1/_xlfn.XLOOKUP(F407,Apuração!A:A,Apuração!B:B)) - BK407))</f>
        <v>3</v>
      </c>
      <c r="BR407" s="85">
        <f t="shared" ca="1" si="743"/>
        <v>0</v>
      </c>
      <c r="BS407" s="53">
        <f ca="1">IFERROR((_xlfn.XLOOKUP(F407,Apuração!A:A,Apuração!C:C)+1)/_xlfn.XLOOKUP(F407,Apuração!A:A,Apuração!B:B),0)</f>
        <v>0.33333333333333331</v>
      </c>
    </row>
    <row r="408" spans="1:71" ht="25.95" hidden="1" customHeight="1" x14ac:dyDescent="0.3">
      <c r="A408" s="39" t="s">
        <v>33</v>
      </c>
      <c r="B408" s="4" t="s">
        <v>70</v>
      </c>
      <c r="C408" s="5" t="s">
        <v>97</v>
      </c>
      <c r="D408" s="5" t="s">
        <v>101</v>
      </c>
      <c r="E408" s="4" t="str" cm="1">
        <f t="array" ref="E408">_xlfn.IFS(
F408 = "A partir de Abril", "Aguardando Execução na Distribuidora",
A408 = "CAPACITAÇÃO", "Em execução no Corporativo",
TRUE, "Em Execução na Distribuidora"
)</f>
        <v>Em Execução na Distribuidora</v>
      </c>
      <c r="F408" s="4" t="str" cm="1">
        <f t="array" ref="F408">_xlfn.IFS(
AG408 &lt;&gt; "", "Jan-Dez/26",
AH408 &lt;&gt; "", "Fev-Dez/26",
AI408 &lt;&gt; "", "Mar-Dez/26", AJ408 &lt;&gt; "", "Abr-Dez/26",
TRUE, "A partir de Junho"
)</f>
        <v>Abr-Dez/26</v>
      </c>
      <c r="G408" s="4" t="s">
        <v>37</v>
      </c>
      <c r="H408" s="7" t="s">
        <v>54</v>
      </c>
      <c r="I408" s="8" t="s">
        <v>59</v>
      </c>
      <c r="J408" s="8" t="str" cm="1">
        <f t="array" aca="1" ref="J408" ca="1">_xlfn.LET(
  _xlpm.actual_value_month, INDEX(T408:AE408, MATCH(DATE(YEAR(TODAY()), MONTH(TODAY()), 1), $T$1:$AE$1, 0)),
  IF(_xlpm.actual_value_month &lt;&gt; "",_xlpm.actual_value_month &amp; " ações mensais", "")
)</f>
        <v/>
      </c>
      <c r="K408" s="14" t="str" cm="1">
        <f t="array" ref="K408">_xlfn.LET(
    _xlpm.sum_month, SUM(T408:AE408),
    IF(_xlpm.sum_month = 0, "", _xlpm.sum_month &amp; " pessoas impactadas no ano.")
)</f>
        <v/>
      </c>
      <c r="L408" s="9" t="s">
        <v>59</v>
      </c>
      <c r="M408" s="13">
        <v>1</v>
      </c>
      <c r="N408" s="5" t="s">
        <v>51</v>
      </c>
      <c r="O408" s="5" t="s">
        <v>52</v>
      </c>
      <c r="P408" s="10" t="s">
        <v>44</v>
      </c>
      <c r="Q408" s="10" t="s">
        <v>44</v>
      </c>
      <c r="R408" s="11" t="s">
        <v>44</v>
      </c>
      <c r="S408" s="11" t="s">
        <v>44</v>
      </c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G408" s="71"/>
      <c r="AH408" s="71"/>
      <c r="AI408" s="71"/>
      <c r="AJ408" s="82">
        <v>10</v>
      </c>
      <c r="AK408" s="71">
        <v>4</v>
      </c>
      <c r="AL408" s="71"/>
      <c r="AM408" s="71"/>
      <c r="AN408" s="71"/>
      <c r="AO408" s="71"/>
      <c r="AP408" s="71"/>
      <c r="AQ408" s="71"/>
      <c r="AR408" s="71"/>
      <c r="AS408" s="94">
        <f t="shared" ca="1" si="735"/>
        <v>0</v>
      </c>
      <c r="AT408" s="95">
        <f t="shared" si="736"/>
        <v>14</v>
      </c>
      <c r="AU408" s="97">
        <f t="shared" si="737"/>
        <v>14</v>
      </c>
      <c r="AW408" s="83">
        <f t="shared" si="738"/>
        <v>0</v>
      </c>
      <c r="AX408" s="83">
        <f t="shared" si="739"/>
        <v>0</v>
      </c>
      <c r="AY408" s="83">
        <f t="shared" si="740"/>
        <v>0</v>
      </c>
      <c r="AZ408" s="83">
        <f t="shared" si="741"/>
        <v>10</v>
      </c>
      <c r="BA408" s="83">
        <f t="shared" si="734"/>
        <v>4</v>
      </c>
      <c r="BB408" s="52"/>
      <c r="BC408" s="52"/>
      <c r="BD408" s="52"/>
      <c r="BE408" s="52"/>
      <c r="BF408" s="52"/>
      <c r="BG408" s="52"/>
      <c r="BH408" s="52"/>
      <c r="BI408" s="68" cm="1">
        <f t="array" ref="BI408">IFERROR(INDEX(AW408:BH408,1,MATCH(2,1/(AW408:BH408&lt;&gt;""))),"")</f>
        <v>4</v>
      </c>
      <c r="BJ408" s="68" cm="1">
        <f t="array" ref="BJ408">IF(BM408 = "", "",IFERROR(INDEX(AW408:BH408,1,MATCH(2,1/(AW408:BH408&lt;&gt;""),1)-1),""))</f>
        <v>10</v>
      </c>
      <c r="BK408" s="59">
        <f t="shared" si="742"/>
        <v>14</v>
      </c>
      <c r="BL408" s="59" cm="1">
        <f t="array" ref="BL408">IFERROR(SUM(AW408:INDEX(AW408:BH408, MATCH(2, 1/(AW408:BH408&lt;&gt;""), 1) - 1))/_xlfn.XLOOKUP(F408,Apuração!A:A,Apuração!B:B),0)</f>
        <v>1.1111111111111112</v>
      </c>
      <c r="BM408" s="55" cm="1">
        <f t="array" ref="BM408">IFERROR(
   INDEX($AW$1:$BH$1,
      _xlfn.AGGREGATE(14, 6, COLUMN($AW$1:$BH$1)/(AW408:BH408&lt;&gt;""), 2) - COLUMN($AW$1) + 1
   ),
"")</f>
        <v>46113</v>
      </c>
      <c r="BN408" s="55" cm="1">
        <f t="array" ref="BN408">IFERROR(INDEX($AW$1:$BH$1,1,MATCH(2,1/(AW408:BH408&lt;&gt;""))),"")</f>
        <v>46143</v>
      </c>
      <c r="BO408" s="53">
        <f ca="1">IFERROR(_xlfn.XLOOKUP(F408,Apuração!A:A,Apuração!C:C)/_xlfn.XLOOKUP(F408,Apuração!A:A,Apuração!B:B),0)</f>
        <v>0.22222222222222221</v>
      </c>
      <c r="BP408" s="53">
        <f ca="1">IFERROR(_xlfn.XLOOKUP(F408,Apuração!A:A,Apuração!D:D)/_xlfn.XLOOKUP(F408,Apuração!A:A,Apuração!B:B),0)</f>
        <v>0.1111111111111111</v>
      </c>
      <c r="BQ408" s="53">
        <f ca="1">IF(BK408&gt;=BO408,0,_xlfn.XLOOKUP(F408,Apuração!A:A,Apuração!B:B)*(BO408 + (1/_xlfn.XLOOKUP(F408,Apuração!A:A,Apuração!B:B)) - BK408))</f>
        <v>0</v>
      </c>
      <c r="BR408" s="85">
        <f t="shared" ca="1" si="743"/>
        <v>0</v>
      </c>
      <c r="BS408" s="53">
        <f ca="1">IFERROR((_xlfn.XLOOKUP(F408,Apuração!A:A,Apuração!C:C)+1)/_xlfn.XLOOKUP(F408,Apuração!A:A,Apuração!B:B),0)</f>
        <v>0.33333333333333331</v>
      </c>
    </row>
    <row r="409" spans="1:71" ht="25.95" hidden="1" customHeight="1" x14ac:dyDescent="0.3">
      <c r="A409" s="39" t="s">
        <v>33</v>
      </c>
      <c r="B409" s="4" t="s">
        <v>70</v>
      </c>
      <c r="C409" s="5" t="s">
        <v>97</v>
      </c>
      <c r="D409" s="5" t="s">
        <v>102</v>
      </c>
      <c r="E409" s="4" t="str" cm="1">
        <f t="array" ref="E409">_xlfn.IFS(
F409 = "A partir de Abril", "Aguardando Execução na Distribuidora",
A409 = "CAPACITAÇÃO", "Em execução no Corporativo",
TRUE, "Em Execução na Distribuidora"
)</f>
        <v>Em Execução na Distribuidora</v>
      </c>
      <c r="F409" s="4" t="str" cm="1">
        <f t="array" ref="F409">_xlfn.IFS(
AG409 &lt;&gt; "", "Jan-Dez/26",
AH409 &lt;&gt; "", "Fev-Dez/26",
AI409 &lt;&gt; "", "Mar-Dez/26", AJ409 &lt;&gt; "", "Abr-Dez/26",
TRUE, "A partir de Junho"
)</f>
        <v>Abr-Dez/26</v>
      </c>
      <c r="G409" s="4" t="s">
        <v>37</v>
      </c>
      <c r="H409" s="7" t="s">
        <v>54</v>
      </c>
      <c r="I409" s="8" t="s">
        <v>59</v>
      </c>
      <c r="J409" s="8" t="str" cm="1">
        <f t="array" aca="1" ref="J409" ca="1">_xlfn.LET(
  _xlpm.actual_value_month, INDEX(T409:AE409, MATCH(DATE(YEAR(TODAY()), MONTH(TODAY()), 1), $T$1:$AE$1, 0)),
  IF(_xlpm.actual_value_month &lt;&gt; "",_xlpm.actual_value_month &amp; " ações mensais", "")
)</f>
        <v/>
      </c>
      <c r="K409" s="14" t="str" cm="1">
        <f t="array" ref="K409">_xlfn.LET(
    _xlpm.sum_month, SUM(T409:AE409),
    IF(_xlpm.sum_month = 0, "", _xlpm.sum_month &amp; " pessoas impactadas no ano.")
)</f>
        <v/>
      </c>
      <c r="L409" s="9" t="s">
        <v>59</v>
      </c>
      <c r="M409" s="13">
        <v>1</v>
      </c>
      <c r="N409" s="5" t="s">
        <v>51</v>
      </c>
      <c r="O409" s="5" t="s">
        <v>52</v>
      </c>
      <c r="P409" s="10" t="s">
        <v>44</v>
      </c>
      <c r="Q409" s="10" t="s">
        <v>44</v>
      </c>
      <c r="R409" s="11" t="s">
        <v>44</v>
      </c>
      <c r="S409" s="11" t="s">
        <v>44</v>
      </c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G409" s="71"/>
      <c r="AH409" s="71"/>
      <c r="AI409" s="71"/>
      <c r="AJ409" s="82">
        <v>1</v>
      </c>
      <c r="AK409" s="71"/>
      <c r="AL409" s="71"/>
      <c r="AM409" s="71"/>
      <c r="AN409" s="71"/>
      <c r="AO409" s="71"/>
      <c r="AP409" s="71"/>
      <c r="AQ409" s="71"/>
      <c r="AR409" s="71"/>
      <c r="AS409" s="94">
        <f t="shared" ca="1" si="735"/>
        <v>0</v>
      </c>
      <c r="AT409" s="95">
        <f t="shared" si="736"/>
        <v>1</v>
      </c>
      <c r="AU409" s="97">
        <f t="shared" si="737"/>
        <v>1</v>
      </c>
      <c r="AW409" s="83">
        <f t="shared" si="738"/>
        <v>0</v>
      </c>
      <c r="AX409" s="83">
        <f t="shared" si="739"/>
        <v>0</v>
      </c>
      <c r="AY409" s="83">
        <f t="shared" si="740"/>
        <v>0</v>
      </c>
      <c r="AZ409" s="83">
        <f t="shared" si="741"/>
        <v>1</v>
      </c>
      <c r="BA409" s="83">
        <f t="shared" si="734"/>
        <v>0</v>
      </c>
      <c r="BB409" s="52"/>
      <c r="BC409" s="52"/>
      <c r="BD409" s="52"/>
      <c r="BE409" s="52"/>
      <c r="BF409" s="52"/>
      <c r="BG409" s="52"/>
      <c r="BH409" s="52"/>
      <c r="BI409" s="68" cm="1">
        <f t="array" ref="BI409">IFERROR(INDEX(AW409:BH409,1,MATCH(2,1/(AW409:BH409&lt;&gt;""))),"")</f>
        <v>0</v>
      </c>
      <c r="BJ409" s="68" cm="1">
        <f t="array" ref="BJ409">IF(BM409 = "", "",IFERROR(INDEX(AW409:BH409,1,MATCH(2,1/(AW409:BH409&lt;&gt;""),1)-1),""))</f>
        <v>1</v>
      </c>
      <c r="BK409" s="59">
        <f t="shared" si="742"/>
        <v>1</v>
      </c>
      <c r="BL409" s="59" cm="1">
        <f t="array" ref="BL409">IFERROR(SUM(AW409:INDEX(AW409:BH409, MATCH(2, 1/(AW409:BH409&lt;&gt;""), 1) - 1))/_xlfn.XLOOKUP(F409,Apuração!A:A,Apuração!B:B),0)</f>
        <v>0.1111111111111111</v>
      </c>
      <c r="BM409" s="55" cm="1">
        <f t="array" ref="BM409">IFERROR(
   INDEX($AW$1:$BH$1,
      _xlfn.AGGREGATE(14, 6, COLUMN($AW$1:$BH$1)/(AW409:BH409&lt;&gt;""), 2) - COLUMN($AW$1) + 1
   ),
"")</f>
        <v>46113</v>
      </c>
      <c r="BN409" s="55" cm="1">
        <f t="array" ref="BN409">IFERROR(INDEX($AW$1:$BH$1,1,MATCH(2,1/(AW409:BH409&lt;&gt;""))),"")</f>
        <v>46143</v>
      </c>
      <c r="BO409" s="53">
        <f ca="1">IFERROR(_xlfn.XLOOKUP(F409,Apuração!A:A,Apuração!C:C)/_xlfn.XLOOKUP(F409,Apuração!A:A,Apuração!B:B),0)</f>
        <v>0.22222222222222221</v>
      </c>
      <c r="BP409" s="53">
        <f ca="1">IFERROR(_xlfn.XLOOKUP(F409,Apuração!A:A,Apuração!D:D)/_xlfn.XLOOKUP(F409,Apuração!A:A,Apuração!B:B),0)</f>
        <v>0.1111111111111111</v>
      </c>
      <c r="BQ409" s="53">
        <f ca="1">IF(BK409&gt;=BO409,0,_xlfn.XLOOKUP(F409,Apuração!A:A,Apuração!B:B)*(BO409 + (1/_xlfn.XLOOKUP(F409,Apuração!A:A,Apuração!B:B)) - BK409))</f>
        <v>0</v>
      </c>
      <c r="BR409" s="85">
        <f t="shared" ca="1" si="743"/>
        <v>0</v>
      </c>
      <c r="BS409" s="53">
        <f ca="1">IFERROR((_xlfn.XLOOKUP(F409,Apuração!A:A,Apuração!C:C)+1)/_xlfn.XLOOKUP(F409,Apuração!A:A,Apuração!B:B),0)</f>
        <v>0.33333333333333331</v>
      </c>
    </row>
    <row r="410" spans="1:71" ht="25.95" hidden="1" customHeight="1" x14ac:dyDescent="0.3">
      <c r="A410" s="39" t="s">
        <v>33</v>
      </c>
      <c r="B410" s="4" t="s">
        <v>70</v>
      </c>
      <c r="C410" s="5" t="s">
        <v>97</v>
      </c>
      <c r="D410" s="5" t="s">
        <v>103</v>
      </c>
      <c r="E410" s="4" t="str" cm="1">
        <f t="array" ref="E410">_xlfn.IFS(
F410 = "A partir de Abril", "Aguardando Execução na Distribuidora",
A410 = "CAPACITAÇÃO", "Em execução no Corporativo",
TRUE, "Em Execução na Distribuidora"
)</f>
        <v>Em Execução na Distribuidora</v>
      </c>
      <c r="F410" s="4" t="str" cm="1">
        <f t="array" ref="F410">_xlfn.IFS(
AG410 &lt;&gt; "", "Jan-Dez/26",
AH410 &lt;&gt; "", "Fev-Dez/26",
AI410 &lt;&gt; "", "Mar-Dez/26", AJ410 &lt;&gt; "", "Abr-Dez/26",
TRUE, "A partir de Junho"
)</f>
        <v>Abr-Dez/26</v>
      </c>
      <c r="G410" s="4" t="s">
        <v>37</v>
      </c>
      <c r="H410" s="7" t="s">
        <v>54</v>
      </c>
      <c r="I410" s="8" t="s">
        <v>59</v>
      </c>
      <c r="J410" s="8" t="str" cm="1">
        <f t="array" aca="1" ref="J410" ca="1">_xlfn.LET(
  _xlpm.actual_value_month, INDEX(T410:AE410, MATCH(DATE(YEAR(TODAY()), MONTH(TODAY()), 1), $T$1:$AE$1, 0)),
  IF(_xlpm.actual_value_month &lt;&gt; "",_xlpm.actual_value_month &amp; " ações mensais", "")
)</f>
        <v/>
      </c>
      <c r="K410" s="14" t="str" cm="1">
        <f t="array" ref="K410">_xlfn.LET(
    _xlpm.sum_month, SUM(T410:AE410),
    IF(_xlpm.sum_month = 0, "", _xlpm.sum_month &amp; " pessoas impactadas no ano.")
)</f>
        <v/>
      </c>
      <c r="L410" s="9" t="s">
        <v>59</v>
      </c>
      <c r="M410" s="13">
        <v>1</v>
      </c>
      <c r="N410" s="5" t="s">
        <v>51</v>
      </c>
      <c r="O410" s="5" t="s">
        <v>52</v>
      </c>
      <c r="P410" s="10" t="s">
        <v>44</v>
      </c>
      <c r="Q410" s="10" t="s">
        <v>44</v>
      </c>
      <c r="R410" s="11" t="s">
        <v>44</v>
      </c>
      <c r="S410" s="11" t="s">
        <v>44</v>
      </c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G410" s="71"/>
      <c r="AH410" s="71"/>
      <c r="AI410" s="71"/>
      <c r="AJ410" s="82">
        <v>6</v>
      </c>
      <c r="AK410" s="71">
        <v>2</v>
      </c>
      <c r="AL410" s="71"/>
      <c r="AM410" s="71"/>
      <c r="AN410" s="71"/>
      <c r="AO410" s="71"/>
      <c r="AP410" s="71"/>
      <c r="AQ410" s="71"/>
      <c r="AR410" s="71"/>
      <c r="AS410" s="94">
        <f t="shared" ca="1" si="735"/>
        <v>0</v>
      </c>
      <c r="AT410" s="95">
        <f t="shared" si="736"/>
        <v>8</v>
      </c>
      <c r="AU410" s="97">
        <f t="shared" si="737"/>
        <v>8</v>
      </c>
      <c r="AW410" s="83">
        <f t="shared" si="738"/>
        <v>0</v>
      </c>
      <c r="AX410" s="83">
        <f t="shared" si="739"/>
        <v>0</v>
      </c>
      <c r="AY410" s="83">
        <f t="shared" si="740"/>
        <v>0</v>
      </c>
      <c r="AZ410" s="83">
        <f t="shared" si="741"/>
        <v>6</v>
      </c>
      <c r="BA410" s="83">
        <f t="shared" si="734"/>
        <v>2</v>
      </c>
      <c r="BB410" s="52"/>
      <c r="BC410" s="52"/>
      <c r="BD410" s="52"/>
      <c r="BE410" s="52"/>
      <c r="BF410" s="52"/>
      <c r="BG410" s="52"/>
      <c r="BH410" s="52"/>
      <c r="BI410" s="68" cm="1">
        <f t="array" ref="BI410">IFERROR(INDEX(AW410:BH410,1,MATCH(2,1/(AW410:BH410&lt;&gt;""))),"")</f>
        <v>2</v>
      </c>
      <c r="BJ410" s="68" cm="1">
        <f t="array" ref="BJ410">IF(BM410 = "", "",IFERROR(INDEX(AW410:BH410,1,MATCH(2,1/(AW410:BH410&lt;&gt;""),1)-1),""))</f>
        <v>6</v>
      </c>
      <c r="BK410" s="59">
        <f t="shared" si="742"/>
        <v>8</v>
      </c>
      <c r="BL410" s="59" cm="1">
        <f t="array" ref="BL410">IFERROR(SUM(AW410:INDEX(AW410:BH410, MATCH(2, 1/(AW410:BH410&lt;&gt;""), 1) - 1))/_xlfn.XLOOKUP(F410,Apuração!A:A,Apuração!B:B),0)</f>
        <v>0.66666666666666663</v>
      </c>
      <c r="BM410" s="55" cm="1">
        <f t="array" ref="BM410">IFERROR(
   INDEX($AW$1:$BH$1,
      _xlfn.AGGREGATE(14, 6, COLUMN($AW$1:$BH$1)/(AW410:BH410&lt;&gt;""), 2) - COLUMN($AW$1) + 1
   ),
"")</f>
        <v>46113</v>
      </c>
      <c r="BN410" s="55" cm="1">
        <f t="array" ref="BN410">IFERROR(INDEX($AW$1:$BH$1,1,MATCH(2,1/(AW410:BH410&lt;&gt;""))),"")</f>
        <v>46143</v>
      </c>
      <c r="BO410" s="53">
        <f ca="1">IFERROR(_xlfn.XLOOKUP(F410,Apuração!A:A,Apuração!C:C)/_xlfn.XLOOKUP(F410,Apuração!A:A,Apuração!B:B),0)</f>
        <v>0.22222222222222221</v>
      </c>
      <c r="BP410" s="53">
        <f ca="1">IFERROR(_xlfn.XLOOKUP(F410,Apuração!A:A,Apuração!D:D)/_xlfn.XLOOKUP(F410,Apuração!A:A,Apuração!B:B),0)</f>
        <v>0.1111111111111111</v>
      </c>
      <c r="BQ410" s="53">
        <f ca="1">IF(BK410&gt;=BO410,0,_xlfn.XLOOKUP(F410,Apuração!A:A,Apuração!B:B)*(BO410 + (1/_xlfn.XLOOKUP(F410,Apuração!A:A,Apuração!B:B)) - BK410))</f>
        <v>0</v>
      </c>
      <c r="BR410" s="85">
        <f t="shared" ca="1" si="743"/>
        <v>0</v>
      </c>
      <c r="BS410" s="53">
        <f ca="1">IFERROR((_xlfn.XLOOKUP(F410,Apuração!A:A,Apuração!C:C)+1)/_xlfn.XLOOKUP(F410,Apuração!A:A,Apuração!B:B),0)</f>
        <v>0.33333333333333331</v>
      </c>
    </row>
    <row r="411" spans="1:71" ht="25.95" hidden="1" customHeight="1" x14ac:dyDescent="0.3">
      <c r="A411" s="39" t="s">
        <v>33</v>
      </c>
      <c r="B411" s="4" t="s">
        <v>70</v>
      </c>
      <c r="C411" s="5" t="s">
        <v>97</v>
      </c>
      <c r="D411" s="5" t="s">
        <v>104</v>
      </c>
      <c r="E411" s="4" t="str" cm="1">
        <f t="array" ref="E411">_xlfn.IFS(
F411 = "A partir de Abril", "Aguardando Execução na Distribuidora",
A411 = "CAPACITAÇÃO", "Em execução no Corporativo",
TRUE, "Em Execução na Distribuidora"
)</f>
        <v>Em Execução na Distribuidora</v>
      </c>
      <c r="F411" s="4" t="str" cm="1">
        <f t="array" ref="F411">_xlfn.IFS(
AG411 &lt;&gt; "", "Jan-Dez/26",
AH411 &lt;&gt; "", "Fev-Dez/26",
AI411 &lt;&gt; "", "Mar-Dez/26", AJ411 &lt;&gt; "", "Abr-Dez/26",
TRUE, "A partir de Junho"
)</f>
        <v>Abr-Dez/26</v>
      </c>
      <c r="G411" s="4" t="s">
        <v>37</v>
      </c>
      <c r="H411" s="7" t="s">
        <v>54</v>
      </c>
      <c r="I411" s="8" t="s">
        <v>59</v>
      </c>
      <c r="J411" s="8" t="str" cm="1">
        <f t="array" aca="1" ref="J411" ca="1">_xlfn.LET(
  _xlpm.actual_value_month, INDEX(T411:AE411, MATCH(DATE(YEAR(TODAY()), MONTH(TODAY()), 1), $T$1:$AE$1, 0)),
  IF(_xlpm.actual_value_month &lt;&gt; "",_xlpm.actual_value_month &amp; " ações mensais", "")
)</f>
        <v/>
      </c>
      <c r="K411" s="14" t="str" cm="1">
        <f t="array" ref="K411">_xlfn.LET(
    _xlpm.sum_month, SUM(T411:AE411),
    IF(_xlpm.sum_month = 0, "", _xlpm.sum_month &amp; " pessoas impactadas no ano.")
)</f>
        <v/>
      </c>
      <c r="L411" s="9" t="s">
        <v>59</v>
      </c>
      <c r="M411" s="13">
        <v>1</v>
      </c>
      <c r="N411" s="5" t="s">
        <v>51</v>
      </c>
      <c r="O411" s="5" t="s">
        <v>52</v>
      </c>
      <c r="P411" s="10" t="s">
        <v>44</v>
      </c>
      <c r="Q411" s="10" t="s">
        <v>44</v>
      </c>
      <c r="R411" s="11" t="s">
        <v>44</v>
      </c>
      <c r="S411" s="11" t="s">
        <v>44</v>
      </c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G411" s="71"/>
      <c r="AH411" s="71"/>
      <c r="AI411" s="71"/>
      <c r="AJ411" s="82">
        <v>3</v>
      </c>
      <c r="AK411" s="71"/>
      <c r="AL411" s="71"/>
      <c r="AM411" s="71"/>
      <c r="AN411" s="71"/>
      <c r="AO411" s="71"/>
      <c r="AP411" s="71"/>
      <c r="AQ411" s="71"/>
      <c r="AR411" s="71"/>
      <c r="AS411" s="94">
        <f t="shared" ca="1" si="735"/>
        <v>0</v>
      </c>
      <c r="AT411" s="95">
        <f t="shared" si="736"/>
        <v>3</v>
      </c>
      <c r="AU411" s="97">
        <f t="shared" si="737"/>
        <v>3</v>
      </c>
      <c r="AW411" s="83">
        <f t="shared" si="738"/>
        <v>0</v>
      </c>
      <c r="AX411" s="83">
        <f t="shared" si="739"/>
        <v>0</v>
      </c>
      <c r="AY411" s="83">
        <f t="shared" si="740"/>
        <v>0</v>
      </c>
      <c r="AZ411" s="83">
        <f t="shared" si="741"/>
        <v>3</v>
      </c>
      <c r="BA411" s="83">
        <f t="shared" si="734"/>
        <v>0</v>
      </c>
      <c r="BB411" s="52"/>
      <c r="BC411" s="52"/>
      <c r="BD411" s="52"/>
      <c r="BE411" s="52"/>
      <c r="BF411" s="52"/>
      <c r="BG411" s="52"/>
      <c r="BH411" s="52"/>
      <c r="BI411" s="68" cm="1">
        <f t="array" ref="BI411">IFERROR(INDEX(AW411:BH411,1,MATCH(2,1/(AW411:BH411&lt;&gt;""))),"")</f>
        <v>0</v>
      </c>
      <c r="BJ411" s="68" cm="1">
        <f t="array" ref="BJ411">IF(BM411 = "", "",IFERROR(INDEX(AW411:BH411,1,MATCH(2,1/(AW411:BH411&lt;&gt;""),1)-1),""))</f>
        <v>3</v>
      </c>
      <c r="BK411" s="59">
        <f t="shared" si="742"/>
        <v>3</v>
      </c>
      <c r="BL411" s="59" cm="1">
        <f t="array" ref="BL411">IFERROR(SUM(AW411:INDEX(AW411:BH411, MATCH(2, 1/(AW411:BH411&lt;&gt;""), 1) - 1))/_xlfn.XLOOKUP(F411,Apuração!A:A,Apuração!B:B),0)</f>
        <v>0.33333333333333331</v>
      </c>
      <c r="BM411" s="55" cm="1">
        <f t="array" ref="BM411">IFERROR(
   INDEX($AW$1:$BH$1,
      _xlfn.AGGREGATE(14, 6, COLUMN($AW$1:$BH$1)/(AW411:BH411&lt;&gt;""), 2) - COLUMN($AW$1) + 1
   ),
"")</f>
        <v>46113</v>
      </c>
      <c r="BN411" s="55" cm="1">
        <f t="array" ref="BN411">IFERROR(INDEX($AW$1:$BH$1,1,MATCH(2,1/(AW411:BH411&lt;&gt;""))),"")</f>
        <v>46143</v>
      </c>
      <c r="BO411" s="53">
        <f ca="1">IFERROR(_xlfn.XLOOKUP(F411,Apuração!A:A,Apuração!C:C)/_xlfn.XLOOKUP(F411,Apuração!A:A,Apuração!B:B),0)</f>
        <v>0.22222222222222221</v>
      </c>
      <c r="BP411" s="53">
        <f ca="1">IFERROR(_xlfn.XLOOKUP(F411,Apuração!A:A,Apuração!D:D)/_xlfn.XLOOKUP(F411,Apuração!A:A,Apuração!B:B),0)</f>
        <v>0.1111111111111111</v>
      </c>
      <c r="BQ411" s="53">
        <f ca="1">IF(BK411&gt;=BO411,0,_xlfn.XLOOKUP(F411,Apuração!A:A,Apuração!B:B)*(BO411 + (1/_xlfn.XLOOKUP(F411,Apuração!A:A,Apuração!B:B)) - BK411))</f>
        <v>0</v>
      </c>
      <c r="BR411" s="85">
        <f t="shared" ca="1" si="743"/>
        <v>0</v>
      </c>
      <c r="BS411" s="53">
        <f ca="1">IFERROR((_xlfn.XLOOKUP(F411,Apuração!A:A,Apuração!C:C)+1)/_xlfn.XLOOKUP(F411,Apuração!A:A,Apuração!B:B),0)</f>
        <v>0.33333333333333331</v>
      </c>
    </row>
    <row r="412" spans="1:71" ht="25.95" hidden="1" customHeight="1" x14ac:dyDescent="0.3">
      <c r="A412" s="39" t="s">
        <v>33</v>
      </c>
      <c r="B412" s="4" t="s">
        <v>70</v>
      </c>
      <c r="C412" s="5" t="s">
        <v>97</v>
      </c>
      <c r="D412" s="5" t="s">
        <v>105</v>
      </c>
      <c r="E412" s="4" t="str" cm="1">
        <f t="array" ref="E412">_xlfn.IFS(
F412 = "A partir de Abril", "Aguardando Execução na Distribuidora",
A412 = "CAPACITAÇÃO", "Em execução no Corporativo",
TRUE, "Em Execução na Distribuidora"
)</f>
        <v>Em Execução na Distribuidora</v>
      </c>
      <c r="F412" s="4" t="str" cm="1">
        <f t="array" ref="F412">_xlfn.IFS(
AG412 &lt;&gt; "", "Jan-Dez/26",
AH412 &lt;&gt; "", "Fev-Dez/26",
AI412 &lt;&gt; "", "Mar-Dez/26", AJ412 &lt;&gt; "", "Abr-Dez/26",
TRUE, "A partir de Junho"
)</f>
        <v>Abr-Dez/26</v>
      </c>
      <c r="G412" s="4" t="s">
        <v>37</v>
      </c>
      <c r="H412" s="7" t="s">
        <v>54</v>
      </c>
      <c r="I412" s="8" t="s">
        <v>59</v>
      </c>
      <c r="J412" s="8" t="str" cm="1">
        <f t="array" aca="1" ref="J412" ca="1">_xlfn.LET(
  _xlpm.actual_value_month, INDEX(T412:AE412, MATCH(DATE(YEAR(TODAY()), MONTH(TODAY()), 1), $T$1:$AE$1, 0)),
  IF(_xlpm.actual_value_month &lt;&gt; "",_xlpm.actual_value_month &amp; " ações mensais", "")
)</f>
        <v/>
      </c>
      <c r="K412" s="14" t="str" cm="1">
        <f t="array" ref="K412">_xlfn.LET(
    _xlpm.sum_month, SUM(T412:AE412),
    IF(_xlpm.sum_month = 0, "", _xlpm.sum_month &amp; " pessoas impactadas no ano.")
)</f>
        <v/>
      </c>
      <c r="L412" s="9" t="s">
        <v>59</v>
      </c>
      <c r="M412" s="13">
        <v>1</v>
      </c>
      <c r="N412" s="5" t="s">
        <v>51</v>
      </c>
      <c r="O412" s="5" t="s">
        <v>52</v>
      </c>
      <c r="P412" s="10" t="s">
        <v>44</v>
      </c>
      <c r="Q412" s="10" t="s">
        <v>44</v>
      </c>
      <c r="R412" s="11" t="s">
        <v>44</v>
      </c>
      <c r="S412" s="11" t="s">
        <v>44</v>
      </c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G412" s="71"/>
      <c r="AH412" s="71"/>
      <c r="AI412" s="71"/>
      <c r="AJ412" s="82">
        <v>0</v>
      </c>
      <c r="AK412" s="71"/>
      <c r="AL412" s="71"/>
      <c r="AM412" s="71"/>
      <c r="AN412" s="71"/>
      <c r="AO412" s="71"/>
      <c r="AP412" s="71"/>
      <c r="AQ412" s="71"/>
      <c r="AR412" s="71"/>
      <c r="AS412" s="94">
        <f t="shared" ca="1" si="735"/>
        <v>0</v>
      </c>
      <c r="AT412" s="95">
        <f t="shared" si="736"/>
        <v>0</v>
      </c>
      <c r="AU412" s="97">
        <f t="shared" si="737"/>
        <v>0</v>
      </c>
      <c r="AW412" s="83">
        <f t="shared" si="738"/>
        <v>0</v>
      </c>
      <c r="AX412" s="83">
        <f t="shared" si="739"/>
        <v>0</v>
      </c>
      <c r="AY412" s="83">
        <f t="shared" si="740"/>
        <v>0</v>
      </c>
      <c r="AZ412" s="83">
        <f t="shared" si="741"/>
        <v>0</v>
      </c>
      <c r="BA412" s="83">
        <f t="shared" si="734"/>
        <v>0</v>
      </c>
      <c r="BB412" s="52"/>
      <c r="BC412" s="52"/>
      <c r="BD412" s="52"/>
      <c r="BE412" s="52"/>
      <c r="BF412" s="52"/>
      <c r="BG412" s="52"/>
      <c r="BH412" s="52"/>
      <c r="BI412" s="68" cm="1">
        <f t="array" ref="BI412">IFERROR(INDEX(AW412:BH412,1,MATCH(2,1/(AW412:BH412&lt;&gt;""))),"")</f>
        <v>0</v>
      </c>
      <c r="BJ412" s="68" cm="1">
        <f t="array" ref="BJ412">IF(BM412 = "", "",IFERROR(INDEX(AW412:BH412,1,MATCH(2,1/(AW412:BH412&lt;&gt;""),1)-1),""))</f>
        <v>0</v>
      </c>
      <c r="BK412" s="59">
        <f t="shared" si="742"/>
        <v>0</v>
      </c>
      <c r="BL412" s="59" cm="1">
        <f t="array" ref="BL412">IFERROR(SUM(AW412:INDEX(AW412:BH412, MATCH(2, 1/(AW412:BH412&lt;&gt;""), 1) - 1))/_xlfn.XLOOKUP(F412,Apuração!A:A,Apuração!B:B),0)</f>
        <v>0</v>
      </c>
      <c r="BM412" s="55" cm="1">
        <f t="array" ref="BM412">IFERROR(
   INDEX($AW$1:$BH$1,
      _xlfn.AGGREGATE(14, 6, COLUMN($AW$1:$BH$1)/(AW412:BH412&lt;&gt;""), 2) - COLUMN($AW$1) + 1
   ),
"")</f>
        <v>46113</v>
      </c>
      <c r="BN412" s="55" cm="1">
        <f t="array" ref="BN412">IFERROR(INDEX($AW$1:$BH$1,1,MATCH(2,1/(AW412:BH412&lt;&gt;""))),"")</f>
        <v>46143</v>
      </c>
      <c r="BO412" s="53">
        <f ca="1">IFERROR(_xlfn.XLOOKUP(F412,Apuração!A:A,Apuração!C:C)/_xlfn.XLOOKUP(F412,Apuração!A:A,Apuração!B:B),0)</f>
        <v>0.22222222222222221</v>
      </c>
      <c r="BP412" s="53">
        <f ca="1">IFERROR(_xlfn.XLOOKUP(F412,Apuração!A:A,Apuração!D:D)/_xlfn.XLOOKUP(F412,Apuração!A:A,Apuração!B:B),0)</f>
        <v>0.1111111111111111</v>
      </c>
      <c r="BQ412" s="53">
        <f ca="1">IF(BK412&gt;=BO412,0,_xlfn.XLOOKUP(F412,Apuração!A:A,Apuração!B:B)*(BO412 + (1/_xlfn.XLOOKUP(F412,Apuração!A:A,Apuração!B:B)) - BK412))</f>
        <v>3</v>
      </c>
      <c r="BR412" s="85">
        <f t="shared" ca="1" si="743"/>
        <v>0</v>
      </c>
      <c r="BS412" s="53">
        <f ca="1">IFERROR((_xlfn.XLOOKUP(F412,Apuração!A:A,Apuração!C:C)+1)/_xlfn.XLOOKUP(F412,Apuração!A:A,Apuração!B:B),0)</f>
        <v>0.33333333333333331</v>
      </c>
    </row>
    <row r="413" spans="1:71" ht="25.95" hidden="1" customHeight="1" x14ac:dyDescent="0.3">
      <c r="A413" s="39" t="s">
        <v>33</v>
      </c>
      <c r="B413" s="4" t="s">
        <v>70</v>
      </c>
      <c r="C413" s="5" t="s">
        <v>97</v>
      </c>
      <c r="D413" s="5" t="s">
        <v>106</v>
      </c>
      <c r="E413" s="4" t="str" cm="1">
        <f t="array" ref="E413">_xlfn.IFS(
F413 = "A partir de Abril", "Aguardando Execução na Distribuidora",
A413 = "CAPACITAÇÃO", "Em execução no Corporativo",
TRUE, "Em Execução na Distribuidora"
)</f>
        <v>Em Execução na Distribuidora</v>
      </c>
      <c r="F413" s="4" t="str" cm="1">
        <f t="array" ref="F413">_xlfn.IFS(
AG413 &lt;&gt; "", "Jan-Dez/26",
AH413 &lt;&gt; "", "Fev-Dez/26",
AI413 &lt;&gt; "", "Mar-Dez/26", AJ413 &lt;&gt; "", "Abr-Dez/26",
TRUE, "A partir de Junho"
)</f>
        <v>Abr-Dez/26</v>
      </c>
      <c r="G413" s="4" t="s">
        <v>37</v>
      </c>
      <c r="H413" s="7" t="s">
        <v>54</v>
      </c>
      <c r="I413" s="8" t="s">
        <v>59</v>
      </c>
      <c r="J413" s="8" t="str" cm="1">
        <f t="array" aca="1" ref="J413" ca="1">_xlfn.LET(
  _xlpm.actual_value_month, INDEX(T413:AE413, MATCH(DATE(YEAR(TODAY()), MONTH(TODAY()), 1), $T$1:$AE$1, 0)),
  IF(_xlpm.actual_value_month &lt;&gt; "",_xlpm.actual_value_month &amp; " ações mensais", "")
)</f>
        <v/>
      </c>
      <c r="K413" s="14" t="str" cm="1">
        <f t="array" ref="K413">_xlfn.LET(
    _xlpm.sum_month, SUM(T413:AE413),
    IF(_xlpm.sum_month = 0, "", _xlpm.sum_month &amp; " pessoas impactadas no ano.")
)</f>
        <v/>
      </c>
      <c r="L413" s="9" t="s">
        <v>59</v>
      </c>
      <c r="M413" s="13">
        <v>1</v>
      </c>
      <c r="N413" s="5" t="s">
        <v>51</v>
      </c>
      <c r="O413" s="5" t="s">
        <v>52</v>
      </c>
      <c r="P413" s="10" t="s">
        <v>44</v>
      </c>
      <c r="Q413" s="10" t="s">
        <v>44</v>
      </c>
      <c r="R413" s="11" t="s">
        <v>44</v>
      </c>
      <c r="S413" s="11" t="s">
        <v>44</v>
      </c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G413" s="71"/>
      <c r="AH413" s="71"/>
      <c r="AI413" s="71"/>
      <c r="AJ413" s="82">
        <v>0</v>
      </c>
      <c r="AK413" s="71"/>
      <c r="AL413" s="71"/>
      <c r="AM413" s="71"/>
      <c r="AN413" s="71"/>
      <c r="AO413" s="71"/>
      <c r="AP413" s="71"/>
      <c r="AQ413" s="71"/>
      <c r="AR413" s="71"/>
      <c r="AS413" s="94">
        <f t="shared" ca="1" si="735"/>
        <v>0</v>
      </c>
      <c r="AT413" s="95">
        <f t="shared" si="736"/>
        <v>0</v>
      </c>
      <c r="AU413" s="97">
        <f t="shared" si="737"/>
        <v>0</v>
      </c>
      <c r="AW413" s="83">
        <f t="shared" si="738"/>
        <v>0</v>
      </c>
      <c r="AX413" s="83">
        <f t="shared" si="739"/>
        <v>0</v>
      </c>
      <c r="AY413" s="83">
        <f t="shared" si="740"/>
        <v>0</v>
      </c>
      <c r="AZ413" s="83">
        <f t="shared" si="741"/>
        <v>0</v>
      </c>
      <c r="BA413" s="83">
        <f t="shared" si="734"/>
        <v>0</v>
      </c>
      <c r="BB413" s="52"/>
      <c r="BC413" s="52"/>
      <c r="BD413" s="52"/>
      <c r="BE413" s="52"/>
      <c r="BF413" s="52"/>
      <c r="BG413" s="52"/>
      <c r="BH413" s="52"/>
      <c r="BI413" s="68" cm="1">
        <f t="array" ref="BI413">IFERROR(INDEX(AW413:BH413,1,MATCH(2,1/(AW413:BH413&lt;&gt;""))),"")</f>
        <v>0</v>
      </c>
      <c r="BJ413" s="68" cm="1">
        <f t="array" ref="BJ413">IF(BM413 = "", "",IFERROR(INDEX(AW413:BH413,1,MATCH(2,1/(AW413:BH413&lt;&gt;""),1)-1),""))</f>
        <v>0</v>
      </c>
      <c r="BK413" s="59">
        <f t="shared" si="742"/>
        <v>0</v>
      </c>
      <c r="BL413" s="59" cm="1">
        <f t="array" ref="BL413">IFERROR(SUM(AW413:INDEX(AW413:BH413, MATCH(2, 1/(AW413:BH413&lt;&gt;""), 1) - 1))/_xlfn.XLOOKUP(F413,Apuração!A:A,Apuração!B:B),0)</f>
        <v>0</v>
      </c>
      <c r="BM413" s="55" cm="1">
        <f t="array" ref="BM413">IFERROR(
   INDEX($AW$1:$BH$1,
      _xlfn.AGGREGATE(14, 6, COLUMN($AW$1:$BH$1)/(AW413:BH413&lt;&gt;""), 2) - COLUMN($AW$1) + 1
   ),
"")</f>
        <v>46113</v>
      </c>
      <c r="BN413" s="55" cm="1">
        <f t="array" ref="BN413">IFERROR(INDEX($AW$1:$BH$1,1,MATCH(2,1/(AW413:BH413&lt;&gt;""))),"")</f>
        <v>46143</v>
      </c>
      <c r="BO413" s="53">
        <f ca="1">IFERROR(_xlfn.XLOOKUP(F413,Apuração!A:A,Apuração!C:C)/_xlfn.XLOOKUP(F413,Apuração!A:A,Apuração!B:B),0)</f>
        <v>0.22222222222222221</v>
      </c>
      <c r="BP413" s="53">
        <f ca="1">IFERROR(_xlfn.XLOOKUP(F413,Apuração!A:A,Apuração!D:D)/_xlfn.XLOOKUP(F413,Apuração!A:A,Apuração!B:B),0)</f>
        <v>0.1111111111111111</v>
      </c>
      <c r="BQ413" s="53">
        <f ca="1">IF(BK413&gt;=BO413,0,_xlfn.XLOOKUP(F413,Apuração!A:A,Apuração!B:B)*(BO413 + (1/_xlfn.XLOOKUP(F413,Apuração!A:A,Apuração!B:B)) - BK413))</f>
        <v>3</v>
      </c>
      <c r="BR413" s="85">
        <f t="shared" ca="1" si="743"/>
        <v>0</v>
      </c>
      <c r="BS413" s="53">
        <f ca="1">IFERROR((_xlfn.XLOOKUP(F413,Apuração!A:A,Apuração!C:C)+1)/_xlfn.XLOOKUP(F413,Apuração!A:A,Apuração!B:B),0)</f>
        <v>0.33333333333333331</v>
      </c>
    </row>
    <row r="414" spans="1:71" ht="25.95" hidden="1" customHeight="1" x14ac:dyDescent="0.3">
      <c r="A414" s="39" t="s">
        <v>33</v>
      </c>
      <c r="B414" s="4" t="s">
        <v>70</v>
      </c>
      <c r="C414" s="5" t="s">
        <v>97</v>
      </c>
      <c r="D414" s="5" t="s">
        <v>107</v>
      </c>
      <c r="E414" s="4" t="str" cm="1">
        <f t="array" ref="E414">_xlfn.IFS(
F414 = "A partir de Abril", "Aguardando Execução na Distribuidora",
A414 = "CAPACITAÇÃO", "Em execução no Corporativo",
TRUE, "Em Execução na Distribuidora"
)</f>
        <v>Em Execução na Distribuidora</v>
      </c>
      <c r="F414" s="4" t="str" cm="1">
        <f t="array" ref="F414">_xlfn.IFS(
AG414 &lt;&gt; "", "Jan-Dez/26",
AH414 &lt;&gt; "", "Fev-Dez/26",
AI414 &lt;&gt; "", "Mar-Dez/26", AJ414 &lt;&gt; "", "Abr-Dez/26",
TRUE, "A partir de Junho"
)</f>
        <v>Abr-Dez/26</v>
      </c>
      <c r="G414" s="4" t="s">
        <v>37</v>
      </c>
      <c r="H414" s="7" t="s">
        <v>54</v>
      </c>
      <c r="I414" s="8" t="s">
        <v>59</v>
      </c>
      <c r="J414" s="8" t="str" cm="1">
        <f t="array" aca="1" ref="J414" ca="1">_xlfn.LET(
  _xlpm.actual_value_month, INDEX(T414:AE414, MATCH(DATE(YEAR(TODAY()), MONTH(TODAY()), 1), $T$1:$AE$1, 0)),
  IF(_xlpm.actual_value_month &lt;&gt; "",_xlpm.actual_value_month &amp; " ações mensais", "")
)</f>
        <v/>
      </c>
      <c r="K414" s="14" t="str" cm="1">
        <f t="array" ref="K414">_xlfn.LET(
    _xlpm.sum_month, SUM(T414:AE414),
    IF(_xlpm.sum_month = 0, "", _xlpm.sum_month &amp; " pessoas impactadas no ano.")
)</f>
        <v/>
      </c>
      <c r="L414" s="9" t="s">
        <v>59</v>
      </c>
      <c r="M414" s="13">
        <v>1</v>
      </c>
      <c r="N414" s="5" t="s">
        <v>51</v>
      </c>
      <c r="O414" s="5" t="s">
        <v>52</v>
      </c>
      <c r="P414" s="10" t="s">
        <v>44</v>
      </c>
      <c r="Q414" s="10" t="s">
        <v>44</v>
      </c>
      <c r="R414" s="11" t="s">
        <v>44</v>
      </c>
      <c r="S414" s="11" t="s">
        <v>44</v>
      </c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G414" s="71"/>
      <c r="AH414" s="71"/>
      <c r="AI414" s="71"/>
      <c r="AJ414" s="82">
        <v>0</v>
      </c>
      <c r="AK414" s="71">
        <v>2</v>
      </c>
      <c r="AL414" s="71"/>
      <c r="AM414" s="71"/>
      <c r="AN414" s="71"/>
      <c r="AO414" s="71"/>
      <c r="AP414" s="71"/>
      <c r="AQ414" s="71"/>
      <c r="AR414" s="71"/>
      <c r="AS414" s="94">
        <f t="shared" ca="1" si="735"/>
        <v>0</v>
      </c>
      <c r="AT414" s="95">
        <f t="shared" si="736"/>
        <v>2</v>
      </c>
      <c r="AU414" s="97">
        <f t="shared" si="737"/>
        <v>2</v>
      </c>
      <c r="AW414" s="83">
        <f t="shared" si="738"/>
        <v>0</v>
      </c>
      <c r="AX414" s="83">
        <f t="shared" si="739"/>
        <v>0</v>
      </c>
      <c r="AY414" s="83">
        <f t="shared" si="740"/>
        <v>0</v>
      </c>
      <c r="AZ414" s="83">
        <f t="shared" si="741"/>
        <v>0</v>
      </c>
      <c r="BA414" s="83">
        <f t="shared" si="734"/>
        <v>2</v>
      </c>
      <c r="BB414" s="52"/>
      <c r="BC414" s="52"/>
      <c r="BD414" s="52"/>
      <c r="BE414" s="52"/>
      <c r="BF414" s="52"/>
      <c r="BG414" s="52"/>
      <c r="BH414" s="52"/>
      <c r="BI414" s="68" cm="1">
        <f t="array" ref="BI414">IFERROR(INDEX(AW414:BH414,1,MATCH(2,1/(AW414:BH414&lt;&gt;""))),"")</f>
        <v>2</v>
      </c>
      <c r="BJ414" s="68" cm="1">
        <f t="array" ref="BJ414">IF(BM414 = "", "",IFERROR(INDEX(AW414:BH414,1,MATCH(2,1/(AW414:BH414&lt;&gt;""),1)-1),""))</f>
        <v>0</v>
      </c>
      <c r="BK414" s="59">
        <f t="shared" si="742"/>
        <v>2</v>
      </c>
      <c r="BL414" s="59" cm="1">
        <f t="array" ref="BL414">IFERROR(SUM(AW414:INDEX(AW414:BH414, MATCH(2, 1/(AW414:BH414&lt;&gt;""), 1) - 1))/_xlfn.XLOOKUP(F414,Apuração!A:A,Apuração!B:B),0)</f>
        <v>0</v>
      </c>
      <c r="BM414" s="55" cm="1">
        <f t="array" ref="BM414">IFERROR(
   INDEX($AW$1:$BH$1,
      _xlfn.AGGREGATE(14, 6, COLUMN($AW$1:$BH$1)/(AW414:BH414&lt;&gt;""), 2) - COLUMN($AW$1) + 1
   ),
"")</f>
        <v>46113</v>
      </c>
      <c r="BN414" s="55" cm="1">
        <f t="array" ref="BN414">IFERROR(INDEX($AW$1:$BH$1,1,MATCH(2,1/(AW414:BH414&lt;&gt;""))),"")</f>
        <v>46143</v>
      </c>
      <c r="BO414" s="53">
        <f ca="1">IFERROR(_xlfn.XLOOKUP(F414,Apuração!A:A,Apuração!C:C)/_xlfn.XLOOKUP(F414,Apuração!A:A,Apuração!B:B),0)</f>
        <v>0.22222222222222221</v>
      </c>
      <c r="BP414" s="53">
        <f ca="1">IFERROR(_xlfn.XLOOKUP(F414,Apuração!A:A,Apuração!D:D)/_xlfn.XLOOKUP(F414,Apuração!A:A,Apuração!B:B),0)</f>
        <v>0.1111111111111111</v>
      </c>
      <c r="BQ414" s="53">
        <f ca="1">IF(BK414&gt;=BO414,0,_xlfn.XLOOKUP(F414,Apuração!A:A,Apuração!B:B)*(BO414 + (1/_xlfn.XLOOKUP(F414,Apuração!A:A,Apuração!B:B)) - BK414))</f>
        <v>0</v>
      </c>
      <c r="BR414" s="85">
        <f t="shared" ca="1" si="743"/>
        <v>0</v>
      </c>
      <c r="BS414" s="53">
        <f ca="1">IFERROR((_xlfn.XLOOKUP(F414,Apuração!A:A,Apuração!C:C)+1)/_xlfn.XLOOKUP(F414,Apuração!A:A,Apuração!B:B),0)</f>
        <v>0.33333333333333331</v>
      </c>
    </row>
    <row r="415" spans="1:71" ht="25.95" hidden="1" customHeight="1" x14ac:dyDescent="0.3">
      <c r="A415" s="3" t="s">
        <v>33</v>
      </c>
      <c r="B415" s="4" t="s">
        <v>73</v>
      </c>
      <c r="C415" s="5" t="s">
        <v>97</v>
      </c>
      <c r="D415" s="5" t="s">
        <v>36</v>
      </c>
      <c r="E415" s="4" t="str" cm="1">
        <f t="array" ref="E415">_xlfn.IFS(
F415 = "A partir de Abril", "Aguardando Execução na Distribuidora",
A415 = "CAPACITAÇÃO", "Em execução no Corporativo",
TRUE, "Em Execução na Distribuidora"
)</f>
        <v>Em Execução na Distribuidora</v>
      </c>
      <c r="F415" s="4" t="str" cm="1">
        <f t="array" ref="F415">_xlfn.IFS(
AG415 &lt;&gt; "", "Jan-Dez/26",
AH415 &lt;&gt; "", "Fev-Dez/26",
AI415 &lt;&gt; "", "Mar-Dez/26", AJ415 &lt;&gt; "", "Abr-Dez/26",
TRUE, "A partir de Junho"
)</f>
        <v>Jan-Dez/26</v>
      </c>
      <c r="G415" s="4" t="s">
        <v>37</v>
      </c>
      <c r="H415" s="7" t="s">
        <v>54</v>
      </c>
      <c r="I415" s="8" t="s">
        <v>55</v>
      </c>
      <c r="J415" s="8" t="str" cm="1">
        <f t="array" aca="1" ref="J415" ca="1">_xlfn.LET(
  _xlpm.actual_value_month, INDEX(T415:AE415, MATCH(DATE(YEAR(TODAY()), MONTH(TODAY()), 1), $T$1:$AE$1, 0)),
  IF(_xlpm.actual_value_month &lt;&gt; "",_xlpm.actual_value_month &amp; " eventos mensais", "")
)</f>
        <v>20 eventos mensais</v>
      </c>
      <c r="K415" s="14" t="str" cm="1">
        <f t="array" ref="K415">_xlfn.LET(
    _xlpm.sum_month, SUM(T415:AE415),
    IF(_xlpm.sum_month = 0, "", _xlpm.sum_month &amp; "  eventos no ano")
)</f>
        <v>189  eventos no ano</v>
      </c>
      <c r="L415" s="9" t="s">
        <v>64</v>
      </c>
      <c r="M415" s="13" t="s">
        <v>74</v>
      </c>
      <c r="N415" s="5" t="s">
        <v>42</v>
      </c>
      <c r="O415" s="5" t="s">
        <v>43</v>
      </c>
      <c r="P415" s="10" t="s">
        <v>44</v>
      </c>
      <c r="Q415" s="10" t="s">
        <v>75</v>
      </c>
      <c r="R415" s="11" t="s">
        <v>44</v>
      </c>
      <c r="S415" s="11" t="s">
        <v>44</v>
      </c>
      <c r="T415" s="22">
        <v>3</v>
      </c>
      <c r="U415" s="22">
        <v>1</v>
      </c>
      <c r="V415" s="22">
        <v>5</v>
      </c>
      <c r="W415" s="22">
        <v>20</v>
      </c>
      <c r="X415" s="22">
        <v>20</v>
      </c>
      <c r="Y415" s="22">
        <v>20</v>
      </c>
      <c r="Z415" s="22">
        <v>20</v>
      </c>
      <c r="AA415" s="22">
        <v>20</v>
      </c>
      <c r="AB415" s="22">
        <v>20</v>
      </c>
      <c r="AC415" s="22">
        <v>20</v>
      </c>
      <c r="AD415" s="22">
        <v>20</v>
      </c>
      <c r="AE415" s="22">
        <v>20</v>
      </c>
      <c r="AG415" s="71">
        <v>3</v>
      </c>
      <c r="AH415" s="71">
        <v>1</v>
      </c>
      <c r="AI415" s="71">
        <v>5</v>
      </c>
      <c r="AJ415" s="71">
        <v>10</v>
      </c>
      <c r="AK415" s="71">
        <v>2</v>
      </c>
      <c r="AL415" s="71"/>
      <c r="AM415" s="71"/>
      <c r="AN415" s="71"/>
      <c r="AO415" s="71"/>
      <c r="AP415" s="71"/>
      <c r="AQ415" s="71"/>
      <c r="AR415" s="71"/>
      <c r="AS415" s="94">
        <f t="shared" ca="1" si="651"/>
        <v>49</v>
      </c>
      <c r="AT415" s="95">
        <f>SUM(IF(AW415&lt;1.15,AG415,1.15*T415),IF(AX415&lt;1.15,AH415,1.15*U415),IF(AY415&lt;1.15,AI415,1.15*V415),IF(AZ415&lt;1.15,AJ415,1.15*W415),IF(BA415&lt;1.15,AK415,1.15*X415),IF(BB415&lt;1.15,AL415,1.15*Y415),IF(BC415&lt;1.15,AM415,1.15*Z415),IF(BD415&lt;1.15,AN415,1.15*AA415),IF(BE415&lt;1.15,AO415,1.15*AB415),IF(BF415&lt;1.15,AP415,1.15*AC415),IF(BG415&lt;1.15,AQ415,1.15*AD415),IF(BH415&lt;1.15,AR415,1.15*AE415))</f>
        <v>21</v>
      </c>
      <c r="AU415" s="97">
        <f t="shared" si="652"/>
        <v>21</v>
      </c>
      <c r="AW415" s="51">
        <f>IFERROR(IF(AG415="",0,AG415/T415),0)</f>
        <v>1</v>
      </c>
      <c r="AX415" s="51">
        <f>IFERROR(IF(AH415="",0,AH415/U415),0)</f>
        <v>1</v>
      </c>
      <c r="AY415" s="51">
        <f>IFERROR(IF(AI415="",0,AI415/V415),0)</f>
        <v>1</v>
      </c>
      <c r="AZ415" s="51">
        <f>IFERROR(IF(AJ415="",0,AJ415/W415),0)</f>
        <v>0.5</v>
      </c>
      <c r="BA415" s="51">
        <f>IFERROR(IF(AK415="",0,AK415/X415),0)</f>
        <v>0.1</v>
      </c>
      <c r="BB415" s="51"/>
      <c r="BC415" s="51"/>
      <c r="BD415" s="51"/>
      <c r="BE415" s="51"/>
      <c r="BF415" s="51"/>
      <c r="BG415" s="51"/>
      <c r="BH415" s="51"/>
      <c r="BI415" s="65" cm="1">
        <f t="array" ref="BI415">IFERROR(INDEX(AW415:BH415,1,MATCH(2,1/(AW415:BH415&lt;&gt;""))),"")</f>
        <v>0.1</v>
      </c>
      <c r="BJ415" s="68" cm="1">
        <f t="array" ref="BJ415">IF(BM415 = "", "",IFERROR(INDEX(AW415:BH415,1,MATCH(2,1/(AW415:BH415&lt;&gt;""),1)-1),""))</f>
        <v>0.5</v>
      </c>
      <c r="BK415" s="58">
        <f>IF((IF(AW415&gt;=115%,115%,AW415) + IF(AX415&gt;=115%,115%,AX415) + IF(AY415&gt;=115%,115%,AY415) + (IF(AZ415&gt;=200%,200%,AZ415) + IF(BA415&gt;=115%,115%,BA415) + IF(BB415&gt;=200%,200%,BB415) + IF(BC415&gt;=115%,115%,BC415) + IF(BD415&gt;=115%,115%,BD415) + IF(BE415&gt;=115%,115%,BE415) + IF(BF415&gt;=167%,167%,BF415) + IF(BG415&gt;=115%,115%,BG415) + IF(BH415&gt;=115%,115%,BH415)))/_xlfn.XLOOKUP(F415,Apuração!A:A,Apuração!B:B)&gt;=1.15,1.15,((IF(AZ415&gt;=200%,200%,AZ415) + IF(AX415&gt;=115%,115%,AX415) + IF(AY415&gt;=115%,115%,AY415) + (IF(AW415&gt;=115%,115%,AW415) + IF(BA415&gt;=115%,115%,BA415) + IF(BB415&gt;=200%,200%,BB415) + IF(BC415&gt;=115%,115%,BC415) + IF(BD415&gt;=115%,115%,BD415) + IF(BE415&gt;=115%,115%,BE415) + IF(BF415&gt;=167%,167%,BF415) + IF(BG415&gt;=115%,115%,BG415) + IF(BH415&gt;=115%,115%,BH415)))/_xlfn.XLOOKUP(F415,Apuração!A:A,Apuração!B:B)))</f>
        <v>0.3</v>
      </c>
      <c r="BL415" s="58" cm="1">
        <f t="array" aca="1" ref="BL415" ca="1">IF(SUM(IFERROR(IF(INDEX(AW415:INDEX(AW415:BH415, MATCH(2, 1/(AW415:BH415&lt;&gt;""), 1)-1), ROW(INDIRECT("1:" &amp; MATCH(2, 1/(AW415:BH415&lt;&gt;""), 1)-1))) &gt;= 115%, 115%, INDEX(AW415:INDEX(AW415:BH415, MATCH(2, 1/(AW415:BH415&lt;&gt;""), 1)-1), ROW(INDIRECT("1:" &amp; MATCH(2, 1/(AW415:BH415&lt;&gt;""), 1)-1)))), 0))/_xlfn.XLOOKUP(F415,Apuração!A:A,Apuração!B:B)&gt;=1.15,1.15,SUM(IFERROR(IF(INDEX(AW415:INDEX(AW415:BH415, MATCH(2, 1/(AW415:BH415&lt;&gt;""), 1)-1), ROW(INDIRECT("1:" &amp; MATCH(2, 1/(AW415:BH415&lt;&gt;""), 1)-1))) &gt;= 115%, 115%, INDEX(AW415:INDEX(AW415:BH415, MATCH(2, 1/(AW415:BH415&lt;&gt;""), 1)-1), ROW(INDIRECT("1:" &amp; MATCH(2, 1/(AW415:BH415&lt;&gt;""), 1)-1)))), 0))/_xlfn.XLOOKUP(F415,Apuração!A:A,Apuração!B:B))</f>
        <v>0.29166666666666669</v>
      </c>
      <c r="BM415" s="55" cm="1">
        <f t="array" ref="BM415">IFERROR(
   INDEX($AW$1:$BH$1,
      _xlfn.AGGREGATE(14, 6, COLUMN($AW$1:$BH$1)/(AW415:BH415&lt;&gt;""), 2) - COLUMN($AW$1) + 1
   ),
"")</f>
        <v>46113</v>
      </c>
      <c r="BN415" s="55" cm="1">
        <f t="array" ref="BN415">IFERROR(INDEX($AW$1:$BH$1,1,MATCH(2,1/(AW415:BH415&lt;&gt;""))),"")</f>
        <v>46143</v>
      </c>
      <c r="BO415" s="53">
        <f ca="1">IFERROR(_xlfn.XLOOKUP(F415,Apuração!A:A,Apuração!C:C)/_xlfn.XLOOKUP(F415,Apuração!A:A,Apuração!B:B),0)</f>
        <v>0.41666666666666669</v>
      </c>
      <c r="BP415" s="53">
        <f ca="1">IFERROR(_xlfn.XLOOKUP(F415,Apuração!A:A,Apuração!D:D)/_xlfn.XLOOKUP(F415,Apuração!A:A,Apuração!B:B),0)</f>
        <v>0.33333333333333331</v>
      </c>
      <c r="BQ415" s="53">
        <f ca="1">IF(BK415&gt;=BO415,0,_xlfn.XLOOKUP(F415,Apuração!A:A,Apuração!B:B)*(BO415 + (1/_xlfn.XLOOKUP(F415,Apuração!A:A,Apuração!B:B)) - BK415))</f>
        <v>2.4000000000000004</v>
      </c>
      <c r="BR415" s="85">
        <f t="shared" ca="1" si="644"/>
        <v>48.000000000000007</v>
      </c>
      <c r="BS415" s="53">
        <f ca="1">IFERROR((_xlfn.XLOOKUP(F415,Apuração!A:A,Apuração!C:C)+1)/_xlfn.XLOOKUP(F415,Apuração!A:A,Apuração!B:B),0)</f>
        <v>0.5</v>
      </c>
    </row>
    <row r="416" spans="1:71" ht="25.95" hidden="1" customHeight="1" x14ac:dyDescent="0.3">
      <c r="A416" s="3" t="s">
        <v>33</v>
      </c>
      <c r="B416" s="4" t="s">
        <v>73</v>
      </c>
      <c r="C416" s="5" t="s">
        <v>97</v>
      </c>
      <c r="D416" s="5" t="s">
        <v>98</v>
      </c>
      <c r="E416" s="4" t="str" cm="1">
        <f t="array" ref="E416">_xlfn.IFS(
F416 = "A partir de Abril", "Aguardando Execução na Distribuidora",
A416 = "CAPACITAÇÃO", "Em execução no Corporativo",
TRUE, "Em Execução na Distribuidora"
)</f>
        <v>Em Execução na Distribuidora</v>
      </c>
      <c r="F416" s="4" t="str" cm="1">
        <f t="array" ref="F416">_xlfn.IFS(
AG416 &lt;&gt; "", "Jan-Dez/26",
AH416 &lt;&gt; "", "Fev-Dez/26",
AI416 &lt;&gt; "", "Mar-Dez/26", AJ416 &lt;&gt; "", "Abr-Dez/26",
TRUE, "A partir de Junho"
)</f>
        <v>Abr-Dez/26</v>
      </c>
      <c r="G416" s="4" t="s">
        <v>37</v>
      </c>
      <c r="H416" s="7" t="s">
        <v>54</v>
      </c>
      <c r="I416" s="8" t="s">
        <v>55</v>
      </c>
      <c r="J416" s="8" t="str" cm="1">
        <f t="array" aca="1" ref="J416" ca="1">_xlfn.LET(
  _xlpm.actual_value_month, INDEX(T416:AE416, MATCH(DATE(YEAR(TODAY()), MONTH(TODAY()), 1), $T$1:$AE$1, 0)),
  IF(_xlpm.actual_value_month &lt;&gt; "",_xlpm.actual_value_month &amp; " eventos mensais", "")
)</f>
        <v>2 eventos mensais</v>
      </c>
      <c r="K416" s="14" t="str" cm="1">
        <f t="array" ref="K416">_xlfn.LET(
    _xlpm.sum_month, SUM(T416:AE416),
    IF(_xlpm.sum_month = 0, "", _xlpm.sum_month &amp; "  eventos no ano")
)</f>
        <v>18  eventos no ano</v>
      </c>
      <c r="L416" s="9" t="s">
        <v>64</v>
      </c>
      <c r="M416" s="13" t="s">
        <v>74</v>
      </c>
      <c r="N416" s="5" t="s">
        <v>42</v>
      </c>
      <c r="O416" s="5" t="s">
        <v>43</v>
      </c>
      <c r="P416" s="10" t="s">
        <v>44</v>
      </c>
      <c r="Q416" s="10" t="s">
        <v>75</v>
      </c>
      <c r="R416" s="11" t="s">
        <v>44</v>
      </c>
      <c r="S416" s="11" t="s">
        <v>44</v>
      </c>
      <c r="T416" s="22"/>
      <c r="U416" s="22"/>
      <c r="V416" s="22"/>
      <c r="W416" s="143">
        <v>2</v>
      </c>
      <c r="X416" s="143">
        <v>2</v>
      </c>
      <c r="Y416" s="143">
        <v>2</v>
      </c>
      <c r="Z416" s="143">
        <v>2</v>
      </c>
      <c r="AA416" s="143">
        <v>2</v>
      </c>
      <c r="AB416" s="143">
        <v>2</v>
      </c>
      <c r="AC416" s="143">
        <v>2</v>
      </c>
      <c r="AD416" s="143">
        <v>2</v>
      </c>
      <c r="AE416" s="143">
        <v>2</v>
      </c>
      <c r="AG416" s="71"/>
      <c r="AH416" s="71"/>
      <c r="AI416" s="71"/>
      <c r="AJ416" s="82">
        <v>0</v>
      </c>
      <c r="AK416" s="71"/>
      <c r="AL416" s="71"/>
      <c r="AM416" s="71"/>
      <c r="AN416" s="71"/>
      <c r="AO416" s="71"/>
      <c r="AP416" s="71"/>
      <c r="AQ416" s="71"/>
      <c r="AR416" s="71"/>
      <c r="AS416" s="94">
        <f t="shared" ref="AS416:AS425" ca="1" si="744">IF(MONTH(TODAY())=3,SUM(T416:U416),IF(MONTH(TODAY())=4,SUM(T416:V416),IF(MONTH(TODAY())=5,SUM(T416:W416),IF(MONTH(TODAY())=6,SUM(T416:X416),IF(MONTH(TODAY())=7,SUM(T416:Y416),IF(MONTH(TODAY())=8,SUM(T416:Z416),IF(MONTH(TODAY())=9,SUM(T416:AA416),IF(MONTH(TODAY())=10,SUM(T416:AB416),IF(MONTH(TODAY())=11,SUM(T416:AC416),IF(MONTH(TODAY())=12,SUM(T416:AD416),IF(MONTH(TODAY())=1,SUM(T416:AE416),T416)))))))))))</f>
        <v>4</v>
      </c>
      <c r="AT416" s="95">
        <f t="shared" ref="AT416:AT425" si="745">SUM(IF(AW416&lt;1.15,AG416,1.15*T416),IF(AX416&lt;1.15,AH416,1.15*U416),IF(AY416&lt;1.15,AI416,1.15*V416),IF(AZ416&lt;1.15,AJ416,1.15*W416),IF(BA416&lt;1.15,AK416,1.15*X416),IF(BB416&lt;1.15,AL416,1.15*Y416),IF(BC416&lt;1.15,AM416,1.15*Z416),IF(BD416&lt;1.15,AN416,1.15*AA416),IF(BE416&lt;1.15,AO416,1.15*AB416),IF(BF416&lt;1.15,AP416,1.15*AC416),IF(BG416&lt;1.15,AQ416,1.15*AD416),IF(BH416&lt;1.15,AR416,1.15*AE416))</f>
        <v>0</v>
      </c>
      <c r="AU416" s="97">
        <f t="shared" ref="AU416:AU425" si="746">SUM(AG416:AR416)</f>
        <v>0</v>
      </c>
      <c r="AW416" s="51">
        <f t="shared" ref="AW416:AW425" si="747">IFERROR(IF(AG416="",0,AG416/T416),0)</f>
        <v>0</v>
      </c>
      <c r="AX416" s="51">
        <f t="shared" ref="AX416:AX425" si="748">IFERROR(IF(AH416="",0,AH416/U416),0)</f>
        <v>0</v>
      </c>
      <c r="AY416" s="51">
        <f t="shared" ref="AY416:AY425" si="749">IFERROR(IF(AI416="",0,AI416/V416),0)</f>
        <v>0</v>
      </c>
      <c r="AZ416" s="51">
        <f t="shared" ref="AZ416:AZ425" si="750">IFERROR(IF(AJ416="",0,AJ416/W416),0)</f>
        <v>0</v>
      </c>
      <c r="BA416" s="51">
        <f t="shared" ref="BA416:BA425" si="751">IFERROR(IF(AK416="",0,AK416/X416),0)</f>
        <v>0</v>
      </c>
      <c r="BB416" s="51"/>
      <c r="BC416" s="51"/>
      <c r="BD416" s="51"/>
      <c r="BE416" s="51"/>
      <c r="BF416" s="51"/>
      <c r="BG416" s="51"/>
      <c r="BH416" s="51"/>
      <c r="BI416" s="65" cm="1">
        <f t="array" ref="BI416">IFERROR(INDEX(AW416:BH416,1,MATCH(2,1/(AW416:BH416&lt;&gt;""))),"")</f>
        <v>0</v>
      </c>
      <c r="BJ416" s="68" cm="1">
        <f t="array" ref="BJ416">IF(BM416 = "", "",IFERROR(INDEX(AW416:BH416,1,MATCH(2,1/(AW416:BH416&lt;&gt;""),1)-1),""))</f>
        <v>0</v>
      </c>
      <c r="BK416" s="58">
        <f>IF((IF(AW416&gt;=115%,115%,AW416) + IF(AX416&gt;=115%,115%,AX416) + IF(AY416&gt;=115%,115%,AY416) + (IF(AZ416&gt;=200%,200%,AZ416) + IF(BA416&gt;=115%,115%,BA416) + IF(BB416&gt;=200%,200%,BB416) + IF(BC416&gt;=115%,115%,BC416) + IF(BD416&gt;=115%,115%,BD416) + IF(BE416&gt;=115%,115%,BE416) + IF(BF416&gt;=167%,167%,BF416) + IF(BG416&gt;=115%,115%,BG416) + IF(BH416&gt;=115%,115%,BH416)))/_xlfn.XLOOKUP(F416,Apuração!A:A,Apuração!B:B)&gt;=1.15,1.15,((IF(AZ416&gt;=200%,200%,AZ416) + IF(AX416&gt;=115%,115%,AX416) + IF(AY416&gt;=115%,115%,AY416) + (IF(AW416&gt;=115%,115%,AW416) + IF(BA416&gt;=115%,115%,BA416) + IF(BB416&gt;=200%,200%,BB416) + IF(BC416&gt;=115%,115%,BC416) + IF(BD416&gt;=115%,115%,BD416) + IF(BE416&gt;=115%,115%,BE416) + IF(BF416&gt;=167%,167%,BF416) + IF(BG416&gt;=115%,115%,BG416) + IF(BH416&gt;=115%,115%,BH416)))/_xlfn.XLOOKUP(F416,Apuração!A:A,Apuração!B:B)))</f>
        <v>0</v>
      </c>
      <c r="BL416" s="58" cm="1">
        <f t="array" aca="1" ref="BL416" ca="1">IF(SUM(IFERROR(IF(INDEX(AW416:INDEX(AW416:BH416, MATCH(2, 1/(AW416:BH416&lt;&gt;""), 1)-1), ROW(INDIRECT("1:" &amp; MATCH(2, 1/(AW416:BH416&lt;&gt;""), 1)-1))) &gt;= 115%, 115%, INDEX(AW416:INDEX(AW416:BH416, MATCH(2, 1/(AW416:BH416&lt;&gt;""), 1)-1), ROW(INDIRECT("1:" &amp; MATCH(2, 1/(AW416:BH416&lt;&gt;""), 1)-1)))), 0))/_xlfn.XLOOKUP(F416,Apuração!A:A,Apuração!B:B)&gt;=1.15,1.15,SUM(IFERROR(IF(INDEX(AW416:INDEX(AW416:BH416, MATCH(2, 1/(AW416:BH416&lt;&gt;""), 1)-1), ROW(INDIRECT("1:" &amp; MATCH(2, 1/(AW416:BH416&lt;&gt;""), 1)-1))) &gt;= 115%, 115%, INDEX(AW416:INDEX(AW416:BH416, MATCH(2, 1/(AW416:BH416&lt;&gt;""), 1)-1), ROW(INDIRECT("1:" &amp; MATCH(2, 1/(AW416:BH416&lt;&gt;""), 1)-1)))), 0))/_xlfn.XLOOKUP(F416,Apuração!A:A,Apuração!B:B))</f>
        <v>0</v>
      </c>
      <c r="BM416" s="55" cm="1">
        <f t="array" ref="BM416">IFERROR(
   INDEX($AW$1:$BH$1,
      _xlfn.AGGREGATE(14, 6, COLUMN($AW$1:$BH$1)/(AW416:BH416&lt;&gt;""), 2) - COLUMN($AW$1) + 1
   ),
"")</f>
        <v>46113</v>
      </c>
      <c r="BN416" s="55" cm="1">
        <f t="array" ref="BN416">IFERROR(INDEX($AW$1:$BH$1,1,MATCH(2,1/(AW416:BH416&lt;&gt;""))),"")</f>
        <v>46143</v>
      </c>
      <c r="BO416" s="53">
        <f ca="1">IFERROR(_xlfn.XLOOKUP(F416,Apuração!A:A,Apuração!C:C)/_xlfn.XLOOKUP(F416,Apuração!A:A,Apuração!B:B),0)</f>
        <v>0.22222222222222221</v>
      </c>
      <c r="BP416" s="53">
        <f ca="1">IFERROR(_xlfn.XLOOKUP(F416,Apuração!A:A,Apuração!D:D)/_xlfn.XLOOKUP(F416,Apuração!A:A,Apuração!B:B),0)</f>
        <v>0.1111111111111111</v>
      </c>
      <c r="BQ416" s="53">
        <f ca="1">IF(BK416&gt;=BO416,0,_xlfn.XLOOKUP(F416,Apuração!A:A,Apuração!B:B)*(BO416 + (1/_xlfn.XLOOKUP(F416,Apuração!A:A,Apuração!B:B)) - BK416))</f>
        <v>3</v>
      </c>
      <c r="BR416" s="85">
        <f t="shared" ref="BR416:BR425" ca="1" si="752">IF(BQ416=0,0,BQ416*Z416)</f>
        <v>6</v>
      </c>
      <c r="BS416" s="53">
        <f ca="1">IFERROR((_xlfn.XLOOKUP(F416,Apuração!A:A,Apuração!C:C)+1)/_xlfn.XLOOKUP(F416,Apuração!A:A,Apuração!B:B),0)</f>
        <v>0.33333333333333331</v>
      </c>
    </row>
    <row r="417" spans="1:71" ht="25.95" hidden="1" customHeight="1" x14ac:dyDescent="0.3">
      <c r="A417" s="3" t="s">
        <v>33</v>
      </c>
      <c r="B417" s="4" t="s">
        <v>73</v>
      </c>
      <c r="C417" s="5" t="s">
        <v>97</v>
      </c>
      <c r="D417" s="5" t="s">
        <v>99</v>
      </c>
      <c r="E417" s="4" t="str" cm="1">
        <f t="array" ref="E417">_xlfn.IFS(
F417 = "A partir de Abril", "Aguardando Execução na Distribuidora",
A417 = "CAPACITAÇÃO", "Em execução no Corporativo",
TRUE, "Em Execução na Distribuidora"
)</f>
        <v>Em Execução na Distribuidora</v>
      </c>
      <c r="F417" s="4" t="str" cm="1">
        <f t="array" ref="F417">_xlfn.IFS(
AG417 &lt;&gt; "", "Jan-Dez/26",
AH417 &lt;&gt; "", "Fev-Dez/26",
AI417 &lt;&gt; "", "Mar-Dez/26", AJ417 &lt;&gt; "", "Abr-Dez/26",
TRUE, "A partir de Junho"
)</f>
        <v>Abr-Dez/26</v>
      </c>
      <c r="G417" s="4" t="s">
        <v>37</v>
      </c>
      <c r="H417" s="7" t="s">
        <v>54</v>
      </c>
      <c r="I417" s="8" t="s">
        <v>55</v>
      </c>
      <c r="J417" s="8" t="str" cm="1">
        <f t="array" aca="1" ref="J417" ca="1">_xlfn.LET(
  _xlpm.actual_value_month, INDEX(T417:AE417, MATCH(DATE(YEAR(TODAY()), MONTH(TODAY()), 1), $T$1:$AE$1, 0)),
  IF(_xlpm.actual_value_month &lt;&gt; "",_xlpm.actual_value_month &amp; " eventos mensais", "")
)</f>
        <v>2 eventos mensais</v>
      </c>
      <c r="K417" s="14" t="str" cm="1">
        <f t="array" ref="K417">_xlfn.LET(
    _xlpm.sum_month, SUM(T417:AE417),
    IF(_xlpm.sum_month = 0, "", _xlpm.sum_month &amp; "  eventos no ano")
)</f>
        <v>18  eventos no ano</v>
      </c>
      <c r="L417" s="9" t="s">
        <v>64</v>
      </c>
      <c r="M417" s="13" t="s">
        <v>74</v>
      </c>
      <c r="N417" s="5" t="s">
        <v>42</v>
      </c>
      <c r="O417" s="5" t="s">
        <v>43</v>
      </c>
      <c r="P417" s="10" t="s">
        <v>44</v>
      </c>
      <c r="Q417" s="10" t="s">
        <v>75</v>
      </c>
      <c r="R417" s="11" t="s">
        <v>44</v>
      </c>
      <c r="S417" s="11" t="s">
        <v>44</v>
      </c>
      <c r="T417" s="22"/>
      <c r="U417" s="22"/>
      <c r="V417" s="22"/>
      <c r="W417" s="143">
        <v>2</v>
      </c>
      <c r="X417" s="143">
        <v>2</v>
      </c>
      <c r="Y417" s="143">
        <v>2</v>
      </c>
      <c r="Z417" s="143">
        <v>2</v>
      </c>
      <c r="AA417" s="143">
        <v>2</v>
      </c>
      <c r="AB417" s="143">
        <v>2</v>
      </c>
      <c r="AC417" s="143">
        <v>2</v>
      </c>
      <c r="AD417" s="143">
        <v>2</v>
      </c>
      <c r="AE417" s="143">
        <v>2</v>
      </c>
      <c r="AG417" s="71"/>
      <c r="AH417" s="71"/>
      <c r="AI417" s="71"/>
      <c r="AJ417" s="82">
        <v>0</v>
      </c>
      <c r="AK417" s="71"/>
      <c r="AL417" s="71"/>
      <c r="AM417" s="71"/>
      <c r="AN417" s="71"/>
      <c r="AO417" s="71"/>
      <c r="AP417" s="71"/>
      <c r="AQ417" s="71"/>
      <c r="AR417" s="71"/>
      <c r="AS417" s="94">
        <f t="shared" ca="1" si="744"/>
        <v>4</v>
      </c>
      <c r="AT417" s="95">
        <f t="shared" si="745"/>
        <v>0</v>
      </c>
      <c r="AU417" s="97">
        <f t="shared" si="746"/>
        <v>0</v>
      </c>
      <c r="AW417" s="51">
        <f t="shared" si="747"/>
        <v>0</v>
      </c>
      <c r="AX417" s="51">
        <f t="shared" si="748"/>
        <v>0</v>
      </c>
      <c r="AY417" s="51">
        <f t="shared" si="749"/>
        <v>0</v>
      </c>
      <c r="AZ417" s="51">
        <f t="shared" si="750"/>
        <v>0</v>
      </c>
      <c r="BA417" s="51">
        <f t="shared" si="751"/>
        <v>0</v>
      </c>
      <c r="BB417" s="51"/>
      <c r="BC417" s="51"/>
      <c r="BD417" s="51"/>
      <c r="BE417" s="51"/>
      <c r="BF417" s="51"/>
      <c r="BG417" s="51"/>
      <c r="BH417" s="51"/>
      <c r="BI417" s="65" cm="1">
        <f t="array" ref="BI417">IFERROR(INDEX(AW417:BH417,1,MATCH(2,1/(AW417:BH417&lt;&gt;""))),"")</f>
        <v>0</v>
      </c>
      <c r="BJ417" s="68" cm="1">
        <f t="array" ref="BJ417">IF(BM417 = "", "",IFERROR(INDEX(AW417:BH417,1,MATCH(2,1/(AW417:BH417&lt;&gt;""),1)-1),""))</f>
        <v>0</v>
      </c>
      <c r="BK417" s="58">
        <f>IF((IF(AW417&gt;=115%,115%,AW417) + IF(AX417&gt;=115%,115%,AX417) + IF(AY417&gt;=115%,115%,AY417) + (IF(AZ417&gt;=200%,200%,AZ417) + IF(BA417&gt;=115%,115%,BA417) + IF(BB417&gt;=200%,200%,BB417) + IF(BC417&gt;=115%,115%,BC417) + IF(BD417&gt;=115%,115%,BD417) + IF(BE417&gt;=115%,115%,BE417) + IF(BF417&gt;=167%,167%,BF417) + IF(BG417&gt;=115%,115%,BG417) + IF(BH417&gt;=115%,115%,BH417)))/_xlfn.XLOOKUP(F417,Apuração!A:A,Apuração!B:B)&gt;=1.15,1.15,((IF(AZ417&gt;=200%,200%,AZ417) + IF(AX417&gt;=115%,115%,AX417) + IF(AY417&gt;=115%,115%,AY417) + (IF(AW417&gt;=115%,115%,AW417) + IF(BA417&gt;=115%,115%,BA417) + IF(BB417&gt;=200%,200%,BB417) + IF(BC417&gt;=115%,115%,BC417) + IF(BD417&gt;=115%,115%,BD417) + IF(BE417&gt;=115%,115%,BE417) + IF(BF417&gt;=167%,167%,BF417) + IF(BG417&gt;=115%,115%,BG417) + IF(BH417&gt;=115%,115%,BH417)))/_xlfn.XLOOKUP(F417,Apuração!A:A,Apuração!B:B)))</f>
        <v>0</v>
      </c>
      <c r="BL417" s="58" cm="1">
        <f t="array" aca="1" ref="BL417" ca="1">IF(SUM(IFERROR(IF(INDEX(AW417:INDEX(AW417:BH417, MATCH(2, 1/(AW417:BH417&lt;&gt;""), 1)-1), ROW(INDIRECT("1:" &amp; MATCH(2, 1/(AW417:BH417&lt;&gt;""), 1)-1))) &gt;= 115%, 115%, INDEX(AW417:INDEX(AW417:BH417, MATCH(2, 1/(AW417:BH417&lt;&gt;""), 1)-1), ROW(INDIRECT("1:" &amp; MATCH(2, 1/(AW417:BH417&lt;&gt;""), 1)-1)))), 0))/_xlfn.XLOOKUP(F417,Apuração!A:A,Apuração!B:B)&gt;=1.15,1.15,SUM(IFERROR(IF(INDEX(AW417:INDEX(AW417:BH417, MATCH(2, 1/(AW417:BH417&lt;&gt;""), 1)-1), ROW(INDIRECT("1:" &amp; MATCH(2, 1/(AW417:BH417&lt;&gt;""), 1)-1))) &gt;= 115%, 115%, INDEX(AW417:INDEX(AW417:BH417, MATCH(2, 1/(AW417:BH417&lt;&gt;""), 1)-1), ROW(INDIRECT("1:" &amp; MATCH(2, 1/(AW417:BH417&lt;&gt;""), 1)-1)))), 0))/_xlfn.XLOOKUP(F417,Apuração!A:A,Apuração!B:B))</f>
        <v>0</v>
      </c>
      <c r="BM417" s="55" cm="1">
        <f t="array" ref="BM417">IFERROR(
   INDEX($AW$1:$BH$1,
      _xlfn.AGGREGATE(14, 6, COLUMN($AW$1:$BH$1)/(AW417:BH417&lt;&gt;""), 2) - COLUMN($AW$1) + 1
   ),
"")</f>
        <v>46113</v>
      </c>
      <c r="BN417" s="55" cm="1">
        <f t="array" ref="BN417">IFERROR(INDEX($AW$1:$BH$1,1,MATCH(2,1/(AW417:BH417&lt;&gt;""))),"")</f>
        <v>46143</v>
      </c>
      <c r="BO417" s="53">
        <f ca="1">IFERROR(_xlfn.XLOOKUP(F417,Apuração!A:A,Apuração!C:C)/_xlfn.XLOOKUP(F417,Apuração!A:A,Apuração!B:B),0)</f>
        <v>0.22222222222222221</v>
      </c>
      <c r="BP417" s="53">
        <f ca="1">IFERROR(_xlfn.XLOOKUP(F417,Apuração!A:A,Apuração!D:D)/_xlfn.XLOOKUP(F417,Apuração!A:A,Apuração!B:B),0)</f>
        <v>0.1111111111111111</v>
      </c>
      <c r="BQ417" s="53">
        <f ca="1">IF(BK417&gt;=BO417,0,_xlfn.XLOOKUP(F417,Apuração!A:A,Apuração!B:B)*(BO417 + (1/_xlfn.XLOOKUP(F417,Apuração!A:A,Apuração!B:B)) - BK417))</f>
        <v>3</v>
      </c>
      <c r="BR417" s="85">
        <f t="shared" ca="1" si="752"/>
        <v>6</v>
      </c>
      <c r="BS417" s="53">
        <f ca="1">IFERROR((_xlfn.XLOOKUP(F417,Apuração!A:A,Apuração!C:C)+1)/_xlfn.XLOOKUP(F417,Apuração!A:A,Apuração!B:B),0)</f>
        <v>0.33333333333333331</v>
      </c>
    </row>
    <row r="418" spans="1:71" ht="25.95" hidden="1" customHeight="1" x14ac:dyDescent="0.3">
      <c r="A418" s="3" t="s">
        <v>33</v>
      </c>
      <c r="B418" s="4" t="s">
        <v>73</v>
      </c>
      <c r="C418" s="5" t="s">
        <v>97</v>
      </c>
      <c r="D418" s="5" t="s">
        <v>100</v>
      </c>
      <c r="E418" s="4" t="str" cm="1">
        <f t="array" ref="E418">_xlfn.IFS(
F418 = "A partir de Abril", "Aguardando Execução na Distribuidora",
A418 = "CAPACITAÇÃO", "Em execução no Corporativo",
TRUE, "Em Execução na Distribuidora"
)</f>
        <v>Em Execução na Distribuidora</v>
      </c>
      <c r="F418" s="4" t="str" cm="1">
        <f t="array" ref="F418">_xlfn.IFS(
AG418 &lt;&gt; "", "Jan-Dez/26",
AH418 &lt;&gt; "", "Fev-Dez/26",
AI418 &lt;&gt; "", "Mar-Dez/26", AJ418 &lt;&gt; "", "Abr-Dez/26",
TRUE, "A partir de Junho"
)</f>
        <v>Abr-Dez/26</v>
      </c>
      <c r="G418" s="4" t="s">
        <v>37</v>
      </c>
      <c r="H418" s="7" t="s">
        <v>54</v>
      </c>
      <c r="I418" s="8" t="s">
        <v>55</v>
      </c>
      <c r="J418" s="8" t="str" cm="1">
        <f t="array" aca="1" ref="J418" ca="1">_xlfn.LET(
  _xlpm.actual_value_month, INDEX(T418:AE418, MATCH(DATE(YEAR(TODAY()), MONTH(TODAY()), 1), $T$1:$AE$1, 0)),
  IF(_xlpm.actual_value_month &lt;&gt; "",_xlpm.actual_value_month &amp; " eventos mensais", "")
)</f>
        <v>2 eventos mensais</v>
      </c>
      <c r="K418" s="14" t="str" cm="1">
        <f t="array" ref="K418">_xlfn.LET(
    _xlpm.sum_month, SUM(T418:AE418),
    IF(_xlpm.sum_month = 0, "", _xlpm.sum_month &amp; "  eventos no ano")
)</f>
        <v>18  eventos no ano</v>
      </c>
      <c r="L418" s="9" t="s">
        <v>64</v>
      </c>
      <c r="M418" s="13" t="s">
        <v>74</v>
      </c>
      <c r="N418" s="5" t="s">
        <v>42</v>
      </c>
      <c r="O418" s="5" t="s">
        <v>43</v>
      </c>
      <c r="P418" s="10" t="s">
        <v>44</v>
      </c>
      <c r="Q418" s="10" t="s">
        <v>75</v>
      </c>
      <c r="R418" s="11" t="s">
        <v>44</v>
      </c>
      <c r="S418" s="11" t="s">
        <v>44</v>
      </c>
      <c r="T418" s="22"/>
      <c r="U418" s="22"/>
      <c r="V418" s="22"/>
      <c r="W418" s="143">
        <v>2</v>
      </c>
      <c r="X418" s="143">
        <v>2</v>
      </c>
      <c r="Y418" s="143">
        <v>2</v>
      </c>
      <c r="Z418" s="143">
        <v>2</v>
      </c>
      <c r="AA418" s="143">
        <v>2</v>
      </c>
      <c r="AB418" s="143">
        <v>2</v>
      </c>
      <c r="AC418" s="143">
        <v>2</v>
      </c>
      <c r="AD418" s="143">
        <v>2</v>
      </c>
      <c r="AE418" s="143">
        <v>2</v>
      </c>
      <c r="AG418" s="71"/>
      <c r="AH418" s="71"/>
      <c r="AI418" s="71"/>
      <c r="AJ418" s="82">
        <v>2</v>
      </c>
      <c r="AK418" s="71"/>
      <c r="AL418" s="71"/>
      <c r="AM418" s="71"/>
      <c r="AN418" s="71"/>
      <c r="AO418" s="71"/>
      <c r="AP418" s="71"/>
      <c r="AQ418" s="71"/>
      <c r="AR418" s="71"/>
      <c r="AS418" s="94">
        <f t="shared" ca="1" si="744"/>
        <v>4</v>
      </c>
      <c r="AT418" s="95">
        <f t="shared" si="745"/>
        <v>2</v>
      </c>
      <c r="AU418" s="97">
        <f t="shared" si="746"/>
        <v>2</v>
      </c>
      <c r="AW418" s="51">
        <f t="shared" si="747"/>
        <v>0</v>
      </c>
      <c r="AX418" s="51">
        <f t="shared" si="748"/>
        <v>0</v>
      </c>
      <c r="AY418" s="51">
        <f t="shared" si="749"/>
        <v>0</v>
      </c>
      <c r="AZ418" s="51">
        <f t="shared" si="750"/>
        <v>1</v>
      </c>
      <c r="BA418" s="51">
        <f t="shared" si="751"/>
        <v>0</v>
      </c>
      <c r="BB418" s="51"/>
      <c r="BC418" s="51"/>
      <c r="BD418" s="51"/>
      <c r="BE418" s="51"/>
      <c r="BF418" s="51"/>
      <c r="BG418" s="51"/>
      <c r="BH418" s="51"/>
      <c r="BI418" s="65" cm="1">
        <f t="array" ref="BI418">IFERROR(INDEX(AW418:BH418,1,MATCH(2,1/(AW418:BH418&lt;&gt;""))),"")</f>
        <v>0</v>
      </c>
      <c r="BJ418" s="68" cm="1">
        <f t="array" ref="BJ418">IF(BM418 = "", "",IFERROR(INDEX(AW418:BH418,1,MATCH(2,1/(AW418:BH418&lt;&gt;""),1)-1),""))</f>
        <v>1</v>
      </c>
      <c r="BK418" s="58">
        <f>IF((IF(AW418&gt;=115%,115%,AW418) + IF(AX418&gt;=115%,115%,AX418) + IF(AY418&gt;=115%,115%,AY418) + (IF(AZ418&gt;=200%,200%,AZ418) + IF(BA418&gt;=115%,115%,BA418) + IF(BB418&gt;=200%,200%,BB418) + IF(BC418&gt;=115%,115%,BC418) + IF(BD418&gt;=115%,115%,BD418) + IF(BE418&gt;=115%,115%,BE418) + IF(BF418&gt;=167%,167%,BF418) + IF(BG418&gt;=115%,115%,BG418) + IF(BH418&gt;=115%,115%,BH418)))/_xlfn.XLOOKUP(F418,Apuração!A:A,Apuração!B:B)&gt;=1.15,1.15,((IF(AZ418&gt;=200%,200%,AZ418) + IF(AX418&gt;=115%,115%,AX418) + IF(AY418&gt;=115%,115%,AY418) + (IF(AW418&gt;=115%,115%,AW418) + IF(BA418&gt;=115%,115%,BA418) + IF(BB418&gt;=200%,200%,BB418) + IF(BC418&gt;=115%,115%,BC418) + IF(BD418&gt;=115%,115%,BD418) + IF(BE418&gt;=115%,115%,BE418) + IF(BF418&gt;=167%,167%,BF418) + IF(BG418&gt;=115%,115%,BG418) + IF(BH418&gt;=115%,115%,BH418)))/_xlfn.XLOOKUP(F418,Apuração!A:A,Apuração!B:B)))</f>
        <v>0.1111111111111111</v>
      </c>
      <c r="BL418" s="58" cm="1">
        <f t="array" aca="1" ref="BL418" ca="1">IF(SUM(IFERROR(IF(INDEX(AW418:INDEX(AW418:BH418, MATCH(2, 1/(AW418:BH418&lt;&gt;""), 1)-1), ROW(INDIRECT("1:" &amp; MATCH(2, 1/(AW418:BH418&lt;&gt;""), 1)-1))) &gt;= 115%, 115%, INDEX(AW418:INDEX(AW418:BH418, MATCH(2, 1/(AW418:BH418&lt;&gt;""), 1)-1), ROW(INDIRECT("1:" &amp; MATCH(2, 1/(AW418:BH418&lt;&gt;""), 1)-1)))), 0))/_xlfn.XLOOKUP(F418,Apuração!A:A,Apuração!B:B)&gt;=1.15,1.15,SUM(IFERROR(IF(INDEX(AW418:INDEX(AW418:BH418, MATCH(2, 1/(AW418:BH418&lt;&gt;""), 1)-1), ROW(INDIRECT("1:" &amp; MATCH(2, 1/(AW418:BH418&lt;&gt;""), 1)-1))) &gt;= 115%, 115%, INDEX(AW418:INDEX(AW418:BH418, MATCH(2, 1/(AW418:BH418&lt;&gt;""), 1)-1), ROW(INDIRECT("1:" &amp; MATCH(2, 1/(AW418:BH418&lt;&gt;""), 1)-1)))), 0))/_xlfn.XLOOKUP(F418,Apuração!A:A,Apuração!B:B))</f>
        <v>0.1111111111111111</v>
      </c>
      <c r="BM418" s="55" cm="1">
        <f t="array" ref="BM418">IFERROR(
   INDEX($AW$1:$BH$1,
      _xlfn.AGGREGATE(14, 6, COLUMN($AW$1:$BH$1)/(AW418:BH418&lt;&gt;""), 2) - COLUMN($AW$1) + 1
   ),
"")</f>
        <v>46113</v>
      </c>
      <c r="BN418" s="55" cm="1">
        <f t="array" ref="BN418">IFERROR(INDEX($AW$1:$BH$1,1,MATCH(2,1/(AW418:BH418&lt;&gt;""))),"")</f>
        <v>46143</v>
      </c>
      <c r="BO418" s="53">
        <f ca="1">IFERROR(_xlfn.XLOOKUP(F418,Apuração!A:A,Apuração!C:C)/_xlfn.XLOOKUP(F418,Apuração!A:A,Apuração!B:B),0)</f>
        <v>0.22222222222222221</v>
      </c>
      <c r="BP418" s="53">
        <f ca="1">IFERROR(_xlfn.XLOOKUP(F418,Apuração!A:A,Apuração!D:D)/_xlfn.XLOOKUP(F418,Apuração!A:A,Apuração!B:B),0)</f>
        <v>0.1111111111111111</v>
      </c>
      <c r="BQ418" s="53">
        <f ca="1">IF(BK418&gt;=BO418,0,_xlfn.XLOOKUP(F418,Apuração!A:A,Apuração!B:B)*(BO418 + (1/_xlfn.XLOOKUP(F418,Apuração!A:A,Apuração!B:B)) - BK418))</f>
        <v>2</v>
      </c>
      <c r="BR418" s="85">
        <f t="shared" ca="1" si="752"/>
        <v>4</v>
      </c>
      <c r="BS418" s="53">
        <f ca="1">IFERROR((_xlfn.XLOOKUP(F418,Apuração!A:A,Apuração!C:C)+1)/_xlfn.XLOOKUP(F418,Apuração!A:A,Apuração!B:B),0)</f>
        <v>0.33333333333333331</v>
      </c>
    </row>
    <row r="419" spans="1:71" ht="25.95" hidden="1" customHeight="1" x14ac:dyDescent="0.3">
      <c r="A419" s="3" t="s">
        <v>33</v>
      </c>
      <c r="B419" s="4" t="s">
        <v>73</v>
      </c>
      <c r="C419" s="5" t="s">
        <v>97</v>
      </c>
      <c r="D419" s="5" t="s">
        <v>101</v>
      </c>
      <c r="E419" s="4" t="str" cm="1">
        <f t="array" ref="E419">_xlfn.IFS(
F419 = "A partir de Abril", "Aguardando Execução na Distribuidora",
A419 = "CAPACITAÇÃO", "Em execução no Corporativo",
TRUE, "Em Execução na Distribuidora"
)</f>
        <v>Em Execução na Distribuidora</v>
      </c>
      <c r="F419" s="4" t="str" cm="1">
        <f t="array" ref="F419">_xlfn.IFS(
AG419 &lt;&gt; "", "Jan-Dez/26",
AH419 &lt;&gt; "", "Fev-Dez/26",
AI419 &lt;&gt; "", "Mar-Dez/26", AJ419 &lt;&gt; "", "Abr-Dez/26",
TRUE, "A partir de Junho"
)</f>
        <v>Abr-Dez/26</v>
      </c>
      <c r="G419" s="4" t="s">
        <v>37</v>
      </c>
      <c r="H419" s="7" t="s">
        <v>54</v>
      </c>
      <c r="I419" s="8" t="s">
        <v>55</v>
      </c>
      <c r="J419" s="8" t="str" cm="1">
        <f t="array" aca="1" ref="J419" ca="1">_xlfn.LET(
  _xlpm.actual_value_month, INDEX(T419:AE419, MATCH(DATE(YEAR(TODAY()), MONTH(TODAY()), 1), $T$1:$AE$1, 0)),
  IF(_xlpm.actual_value_month &lt;&gt; "",_xlpm.actual_value_month &amp; " eventos mensais", "")
)</f>
        <v>2 eventos mensais</v>
      </c>
      <c r="K419" s="14" t="str" cm="1">
        <f t="array" ref="K419">_xlfn.LET(
    _xlpm.sum_month, SUM(T419:AE419),
    IF(_xlpm.sum_month = 0, "", _xlpm.sum_month &amp; "  eventos no ano")
)</f>
        <v>18  eventos no ano</v>
      </c>
      <c r="L419" s="9" t="s">
        <v>64</v>
      </c>
      <c r="M419" s="13" t="s">
        <v>74</v>
      </c>
      <c r="N419" s="5" t="s">
        <v>42</v>
      </c>
      <c r="O419" s="5" t="s">
        <v>43</v>
      </c>
      <c r="P419" s="10" t="s">
        <v>44</v>
      </c>
      <c r="Q419" s="10" t="s">
        <v>75</v>
      </c>
      <c r="R419" s="11" t="s">
        <v>44</v>
      </c>
      <c r="S419" s="11" t="s">
        <v>44</v>
      </c>
      <c r="T419" s="22"/>
      <c r="U419" s="22"/>
      <c r="V419" s="22"/>
      <c r="W419" s="143">
        <v>2</v>
      </c>
      <c r="X419" s="143">
        <v>2</v>
      </c>
      <c r="Y419" s="143">
        <v>2</v>
      </c>
      <c r="Z419" s="143">
        <v>2</v>
      </c>
      <c r="AA419" s="143">
        <v>2</v>
      </c>
      <c r="AB419" s="143">
        <v>2</v>
      </c>
      <c r="AC419" s="143">
        <v>2</v>
      </c>
      <c r="AD419" s="143">
        <v>2</v>
      </c>
      <c r="AE419" s="143">
        <v>2</v>
      </c>
      <c r="AG419" s="71"/>
      <c r="AH419" s="71"/>
      <c r="AI419" s="71"/>
      <c r="AJ419" s="82">
        <v>0</v>
      </c>
      <c r="AK419" s="71"/>
      <c r="AL419" s="71"/>
      <c r="AM419" s="71"/>
      <c r="AN419" s="71"/>
      <c r="AO419" s="71"/>
      <c r="AP419" s="71"/>
      <c r="AQ419" s="71"/>
      <c r="AR419" s="71"/>
      <c r="AS419" s="94">
        <f t="shared" ca="1" si="744"/>
        <v>4</v>
      </c>
      <c r="AT419" s="95">
        <f t="shared" si="745"/>
        <v>0</v>
      </c>
      <c r="AU419" s="97">
        <f t="shared" si="746"/>
        <v>0</v>
      </c>
      <c r="AW419" s="51">
        <f t="shared" si="747"/>
        <v>0</v>
      </c>
      <c r="AX419" s="51">
        <f t="shared" si="748"/>
        <v>0</v>
      </c>
      <c r="AY419" s="51">
        <f t="shared" si="749"/>
        <v>0</v>
      </c>
      <c r="AZ419" s="51">
        <f t="shared" si="750"/>
        <v>0</v>
      </c>
      <c r="BA419" s="51">
        <f t="shared" si="751"/>
        <v>0</v>
      </c>
      <c r="BB419" s="51"/>
      <c r="BC419" s="51"/>
      <c r="BD419" s="51"/>
      <c r="BE419" s="51"/>
      <c r="BF419" s="51"/>
      <c r="BG419" s="51"/>
      <c r="BH419" s="51"/>
      <c r="BI419" s="65" cm="1">
        <f t="array" ref="BI419">IFERROR(INDEX(AW419:BH419,1,MATCH(2,1/(AW419:BH419&lt;&gt;""))),"")</f>
        <v>0</v>
      </c>
      <c r="BJ419" s="68" cm="1">
        <f t="array" ref="BJ419">IF(BM419 = "", "",IFERROR(INDEX(AW419:BH419,1,MATCH(2,1/(AW419:BH419&lt;&gt;""),1)-1),""))</f>
        <v>0</v>
      </c>
      <c r="BK419" s="58">
        <f>IF((IF(AW419&gt;=115%,115%,AW419) + IF(AX419&gt;=115%,115%,AX419) + IF(AY419&gt;=115%,115%,AY419) + (IF(AZ419&gt;=200%,200%,AZ419) + IF(BA419&gt;=115%,115%,BA419) + IF(BB419&gt;=200%,200%,BB419) + IF(BC419&gt;=115%,115%,BC419) + IF(BD419&gt;=115%,115%,BD419) + IF(BE419&gt;=115%,115%,BE419) + IF(BF419&gt;=167%,167%,BF419) + IF(BG419&gt;=115%,115%,BG419) + IF(BH419&gt;=115%,115%,BH419)))/_xlfn.XLOOKUP(F419,Apuração!A:A,Apuração!B:B)&gt;=1.15,1.15,((IF(AZ419&gt;=200%,200%,AZ419) + IF(AX419&gt;=115%,115%,AX419) + IF(AY419&gt;=115%,115%,AY419) + (IF(AW419&gt;=115%,115%,AW419) + IF(BA419&gt;=115%,115%,BA419) + IF(BB419&gt;=200%,200%,BB419) + IF(BC419&gt;=115%,115%,BC419) + IF(BD419&gt;=115%,115%,BD419) + IF(BE419&gt;=115%,115%,BE419) + IF(BF419&gt;=167%,167%,BF419) + IF(BG419&gt;=115%,115%,BG419) + IF(BH419&gt;=115%,115%,BH419)))/_xlfn.XLOOKUP(F419,Apuração!A:A,Apuração!B:B)))</f>
        <v>0</v>
      </c>
      <c r="BL419" s="58" cm="1">
        <f t="array" aca="1" ref="BL419" ca="1">IF(SUM(IFERROR(IF(INDEX(AW419:INDEX(AW419:BH419, MATCH(2, 1/(AW419:BH419&lt;&gt;""), 1)-1), ROW(INDIRECT("1:" &amp; MATCH(2, 1/(AW419:BH419&lt;&gt;""), 1)-1))) &gt;= 115%, 115%, INDEX(AW419:INDEX(AW419:BH419, MATCH(2, 1/(AW419:BH419&lt;&gt;""), 1)-1), ROW(INDIRECT("1:" &amp; MATCH(2, 1/(AW419:BH419&lt;&gt;""), 1)-1)))), 0))/_xlfn.XLOOKUP(F419,Apuração!A:A,Apuração!B:B)&gt;=1.15,1.15,SUM(IFERROR(IF(INDEX(AW419:INDEX(AW419:BH419, MATCH(2, 1/(AW419:BH419&lt;&gt;""), 1)-1), ROW(INDIRECT("1:" &amp; MATCH(2, 1/(AW419:BH419&lt;&gt;""), 1)-1))) &gt;= 115%, 115%, INDEX(AW419:INDEX(AW419:BH419, MATCH(2, 1/(AW419:BH419&lt;&gt;""), 1)-1), ROW(INDIRECT("1:" &amp; MATCH(2, 1/(AW419:BH419&lt;&gt;""), 1)-1)))), 0))/_xlfn.XLOOKUP(F419,Apuração!A:A,Apuração!B:B))</f>
        <v>0</v>
      </c>
      <c r="BM419" s="55" cm="1">
        <f t="array" ref="BM419">IFERROR(
   INDEX($AW$1:$BH$1,
      _xlfn.AGGREGATE(14, 6, COLUMN($AW$1:$BH$1)/(AW419:BH419&lt;&gt;""), 2) - COLUMN($AW$1) + 1
   ),
"")</f>
        <v>46113</v>
      </c>
      <c r="BN419" s="55" cm="1">
        <f t="array" ref="BN419">IFERROR(INDEX($AW$1:$BH$1,1,MATCH(2,1/(AW419:BH419&lt;&gt;""))),"")</f>
        <v>46143</v>
      </c>
      <c r="BO419" s="53">
        <f ca="1">IFERROR(_xlfn.XLOOKUP(F419,Apuração!A:A,Apuração!C:C)/_xlfn.XLOOKUP(F419,Apuração!A:A,Apuração!B:B),0)</f>
        <v>0.22222222222222221</v>
      </c>
      <c r="BP419" s="53">
        <f ca="1">IFERROR(_xlfn.XLOOKUP(F419,Apuração!A:A,Apuração!D:D)/_xlfn.XLOOKUP(F419,Apuração!A:A,Apuração!B:B),0)</f>
        <v>0.1111111111111111</v>
      </c>
      <c r="BQ419" s="53">
        <f ca="1">IF(BK419&gt;=BO419,0,_xlfn.XLOOKUP(F419,Apuração!A:A,Apuração!B:B)*(BO419 + (1/_xlfn.XLOOKUP(F419,Apuração!A:A,Apuração!B:B)) - BK419))</f>
        <v>3</v>
      </c>
      <c r="BR419" s="85">
        <f t="shared" ca="1" si="752"/>
        <v>6</v>
      </c>
      <c r="BS419" s="53">
        <f ca="1">IFERROR((_xlfn.XLOOKUP(F419,Apuração!A:A,Apuração!C:C)+1)/_xlfn.XLOOKUP(F419,Apuração!A:A,Apuração!B:B),0)</f>
        <v>0.33333333333333331</v>
      </c>
    </row>
    <row r="420" spans="1:71" ht="25.95" hidden="1" customHeight="1" x14ac:dyDescent="0.3">
      <c r="A420" s="3" t="s">
        <v>33</v>
      </c>
      <c r="B420" s="4" t="s">
        <v>73</v>
      </c>
      <c r="C420" s="5" t="s">
        <v>97</v>
      </c>
      <c r="D420" s="5" t="s">
        <v>102</v>
      </c>
      <c r="E420" s="4" t="str" cm="1">
        <f t="array" ref="E420">_xlfn.IFS(
F420 = "A partir de Abril", "Aguardando Execução na Distribuidora",
A420 = "CAPACITAÇÃO", "Em execução no Corporativo",
TRUE, "Em Execução na Distribuidora"
)</f>
        <v>Em Execução na Distribuidora</v>
      </c>
      <c r="F420" s="4" t="str" cm="1">
        <f t="array" ref="F420">_xlfn.IFS(
AG420 &lt;&gt; "", "Jan-Dez/26",
AH420 &lt;&gt; "", "Fev-Dez/26",
AI420 &lt;&gt; "", "Mar-Dez/26", AJ420 &lt;&gt; "", "Abr-Dez/26",
TRUE, "A partir de Junho"
)</f>
        <v>Abr-Dez/26</v>
      </c>
      <c r="G420" s="4" t="s">
        <v>37</v>
      </c>
      <c r="H420" s="7" t="s">
        <v>54</v>
      </c>
      <c r="I420" s="8" t="s">
        <v>55</v>
      </c>
      <c r="J420" s="8" t="str" cm="1">
        <f t="array" aca="1" ref="J420" ca="1">_xlfn.LET(
  _xlpm.actual_value_month, INDEX(T420:AE420, MATCH(DATE(YEAR(TODAY()), MONTH(TODAY()), 1), $T$1:$AE$1, 0)),
  IF(_xlpm.actual_value_month &lt;&gt; "",_xlpm.actual_value_month &amp; " eventos mensais", "")
)</f>
        <v>2 eventos mensais</v>
      </c>
      <c r="K420" s="14" t="str" cm="1">
        <f t="array" ref="K420">_xlfn.LET(
    _xlpm.sum_month, SUM(T420:AE420),
    IF(_xlpm.sum_month = 0, "", _xlpm.sum_month &amp; "  eventos no ano")
)</f>
        <v>18  eventos no ano</v>
      </c>
      <c r="L420" s="9" t="s">
        <v>64</v>
      </c>
      <c r="M420" s="13" t="s">
        <v>74</v>
      </c>
      <c r="N420" s="5" t="s">
        <v>42</v>
      </c>
      <c r="O420" s="5" t="s">
        <v>43</v>
      </c>
      <c r="P420" s="10" t="s">
        <v>44</v>
      </c>
      <c r="Q420" s="10" t="s">
        <v>75</v>
      </c>
      <c r="R420" s="11" t="s">
        <v>44</v>
      </c>
      <c r="S420" s="11" t="s">
        <v>44</v>
      </c>
      <c r="T420" s="22"/>
      <c r="U420" s="22"/>
      <c r="V420" s="22"/>
      <c r="W420" s="143">
        <v>2</v>
      </c>
      <c r="X420" s="143">
        <v>2</v>
      </c>
      <c r="Y420" s="143">
        <v>2</v>
      </c>
      <c r="Z420" s="143">
        <v>2</v>
      </c>
      <c r="AA420" s="143">
        <v>2</v>
      </c>
      <c r="AB420" s="143">
        <v>2</v>
      </c>
      <c r="AC420" s="143">
        <v>2</v>
      </c>
      <c r="AD420" s="143">
        <v>2</v>
      </c>
      <c r="AE420" s="143">
        <v>2</v>
      </c>
      <c r="AG420" s="71"/>
      <c r="AH420" s="71"/>
      <c r="AI420" s="71"/>
      <c r="AJ420" s="82">
        <v>0</v>
      </c>
      <c r="AK420" s="71"/>
      <c r="AL420" s="71"/>
      <c r="AM420" s="71"/>
      <c r="AN420" s="71"/>
      <c r="AO420" s="71"/>
      <c r="AP420" s="71"/>
      <c r="AQ420" s="71"/>
      <c r="AR420" s="71"/>
      <c r="AS420" s="94">
        <f t="shared" ca="1" si="744"/>
        <v>4</v>
      </c>
      <c r="AT420" s="95">
        <f t="shared" si="745"/>
        <v>0</v>
      </c>
      <c r="AU420" s="97">
        <f t="shared" si="746"/>
        <v>0</v>
      </c>
      <c r="AW420" s="51">
        <f t="shared" si="747"/>
        <v>0</v>
      </c>
      <c r="AX420" s="51">
        <f t="shared" si="748"/>
        <v>0</v>
      </c>
      <c r="AY420" s="51">
        <f t="shared" si="749"/>
        <v>0</v>
      </c>
      <c r="AZ420" s="51">
        <f t="shared" si="750"/>
        <v>0</v>
      </c>
      <c r="BA420" s="51">
        <f t="shared" si="751"/>
        <v>0</v>
      </c>
      <c r="BB420" s="51"/>
      <c r="BC420" s="51"/>
      <c r="BD420" s="51"/>
      <c r="BE420" s="51"/>
      <c r="BF420" s="51"/>
      <c r="BG420" s="51"/>
      <c r="BH420" s="51"/>
      <c r="BI420" s="65" cm="1">
        <f t="array" ref="BI420">IFERROR(INDEX(AW420:BH420,1,MATCH(2,1/(AW420:BH420&lt;&gt;""))),"")</f>
        <v>0</v>
      </c>
      <c r="BJ420" s="68" cm="1">
        <f t="array" ref="BJ420">IF(BM420 = "", "",IFERROR(INDEX(AW420:BH420,1,MATCH(2,1/(AW420:BH420&lt;&gt;""),1)-1),""))</f>
        <v>0</v>
      </c>
      <c r="BK420" s="58">
        <f>IF((IF(AW420&gt;=115%,115%,AW420) + IF(AX420&gt;=115%,115%,AX420) + IF(AY420&gt;=115%,115%,AY420) + (IF(AZ420&gt;=200%,200%,AZ420) + IF(BA420&gt;=115%,115%,BA420) + IF(BB420&gt;=200%,200%,BB420) + IF(BC420&gt;=115%,115%,BC420) + IF(BD420&gt;=115%,115%,BD420) + IF(BE420&gt;=115%,115%,BE420) + IF(BF420&gt;=167%,167%,BF420) + IF(BG420&gt;=115%,115%,BG420) + IF(BH420&gt;=115%,115%,BH420)))/_xlfn.XLOOKUP(F420,Apuração!A:A,Apuração!B:B)&gt;=1.15,1.15,((IF(AZ420&gt;=200%,200%,AZ420) + IF(AX420&gt;=115%,115%,AX420) + IF(AY420&gt;=115%,115%,AY420) + (IF(AW420&gt;=115%,115%,AW420) + IF(BA420&gt;=115%,115%,BA420) + IF(BB420&gt;=200%,200%,BB420) + IF(BC420&gt;=115%,115%,BC420) + IF(BD420&gt;=115%,115%,BD420) + IF(BE420&gt;=115%,115%,BE420) + IF(BF420&gt;=167%,167%,BF420) + IF(BG420&gt;=115%,115%,BG420) + IF(BH420&gt;=115%,115%,BH420)))/_xlfn.XLOOKUP(F420,Apuração!A:A,Apuração!B:B)))</f>
        <v>0</v>
      </c>
      <c r="BL420" s="58" cm="1">
        <f t="array" aca="1" ref="BL420" ca="1">IF(SUM(IFERROR(IF(INDEX(AW420:INDEX(AW420:BH420, MATCH(2, 1/(AW420:BH420&lt;&gt;""), 1)-1), ROW(INDIRECT("1:" &amp; MATCH(2, 1/(AW420:BH420&lt;&gt;""), 1)-1))) &gt;= 115%, 115%, INDEX(AW420:INDEX(AW420:BH420, MATCH(2, 1/(AW420:BH420&lt;&gt;""), 1)-1), ROW(INDIRECT("1:" &amp; MATCH(2, 1/(AW420:BH420&lt;&gt;""), 1)-1)))), 0))/_xlfn.XLOOKUP(F420,Apuração!A:A,Apuração!B:B)&gt;=1.15,1.15,SUM(IFERROR(IF(INDEX(AW420:INDEX(AW420:BH420, MATCH(2, 1/(AW420:BH420&lt;&gt;""), 1)-1), ROW(INDIRECT("1:" &amp; MATCH(2, 1/(AW420:BH420&lt;&gt;""), 1)-1))) &gt;= 115%, 115%, INDEX(AW420:INDEX(AW420:BH420, MATCH(2, 1/(AW420:BH420&lt;&gt;""), 1)-1), ROW(INDIRECT("1:" &amp; MATCH(2, 1/(AW420:BH420&lt;&gt;""), 1)-1)))), 0))/_xlfn.XLOOKUP(F420,Apuração!A:A,Apuração!B:B))</f>
        <v>0</v>
      </c>
      <c r="BM420" s="55" cm="1">
        <f t="array" ref="BM420">IFERROR(
   INDEX($AW$1:$BH$1,
      _xlfn.AGGREGATE(14, 6, COLUMN($AW$1:$BH$1)/(AW420:BH420&lt;&gt;""), 2) - COLUMN($AW$1) + 1
   ),
"")</f>
        <v>46113</v>
      </c>
      <c r="BN420" s="55" cm="1">
        <f t="array" ref="BN420">IFERROR(INDEX($AW$1:$BH$1,1,MATCH(2,1/(AW420:BH420&lt;&gt;""))),"")</f>
        <v>46143</v>
      </c>
      <c r="BO420" s="53">
        <f ca="1">IFERROR(_xlfn.XLOOKUP(F420,Apuração!A:A,Apuração!C:C)/_xlfn.XLOOKUP(F420,Apuração!A:A,Apuração!B:B),0)</f>
        <v>0.22222222222222221</v>
      </c>
      <c r="BP420" s="53">
        <f ca="1">IFERROR(_xlfn.XLOOKUP(F420,Apuração!A:A,Apuração!D:D)/_xlfn.XLOOKUP(F420,Apuração!A:A,Apuração!B:B),0)</f>
        <v>0.1111111111111111</v>
      </c>
      <c r="BQ420" s="53">
        <f ca="1">IF(BK420&gt;=BO420,0,_xlfn.XLOOKUP(F420,Apuração!A:A,Apuração!B:B)*(BO420 + (1/_xlfn.XLOOKUP(F420,Apuração!A:A,Apuração!B:B)) - BK420))</f>
        <v>3</v>
      </c>
      <c r="BR420" s="85">
        <f t="shared" ca="1" si="752"/>
        <v>6</v>
      </c>
      <c r="BS420" s="53">
        <f ca="1">IFERROR((_xlfn.XLOOKUP(F420,Apuração!A:A,Apuração!C:C)+1)/_xlfn.XLOOKUP(F420,Apuração!A:A,Apuração!B:B),0)</f>
        <v>0.33333333333333331</v>
      </c>
    </row>
    <row r="421" spans="1:71" ht="25.95" hidden="1" customHeight="1" x14ac:dyDescent="0.3">
      <c r="A421" s="3" t="s">
        <v>33</v>
      </c>
      <c r="B421" s="4" t="s">
        <v>73</v>
      </c>
      <c r="C421" s="5" t="s">
        <v>97</v>
      </c>
      <c r="D421" s="5" t="s">
        <v>103</v>
      </c>
      <c r="E421" s="4" t="str" cm="1">
        <f t="array" ref="E421">_xlfn.IFS(
F421 = "A partir de Abril", "Aguardando Execução na Distribuidora",
A421 = "CAPACITAÇÃO", "Em execução no Corporativo",
TRUE, "Em Execução na Distribuidora"
)</f>
        <v>Em Execução na Distribuidora</v>
      </c>
      <c r="F421" s="4" t="str" cm="1">
        <f t="array" ref="F421">_xlfn.IFS(
AG421 &lt;&gt; "", "Jan-Dez/26",
AH421 &lt;&gt; "", "Fev-Dez/26",
AI421 &lt;&gt; "", "Mar-Dez/26", AJ421 &lt;&gt; "", "Abr-Dez/26",
TRUE, "A partir de Junho"
)</f>
        <v>Abr-Dez/26</v>
      </c>
      <c r="G421" s="4" t="s">
        <v>37</v>
      </c>
      <c r="H421" s="7" t="s">
        <v>54</v>
      </c>
      <c r="I421" s="8" t="s">
        <v>55</v>
      </c>
      <c r="J421" s="8" t="str" cm="1">
        <f t="array" aca="1" ref="J421" ca="1">_xlfn.LET(
  _xlpm.actual_value_month, INDEX(T421:AE421, MATCH(DATE(YEAR(TODAY()), MONTH(TODAY()), 1), $T$1:$AE$1, 0)),
  IF(_xlpm.actual_value_month &lt;&gt; "",_xlpm.actual_value_month &amp; " eventos mensais", "")
)</f>
        <v>2 eventos mensais</v>
      </c>
      <c r="K421" s="14" t="str" cm="1">
        <f t="array" ref="K421">_xlfn.LET(
    _xlpm.sum_month, SUM(T421:AE421),
    IF(_xlpm.sum_month = 0, "", _xlpm.sum_month &amp; "  eventos no ano")
)</f>
        <v>18  eventos no ano</v>
      </c>
      <c r="L421" s="9" t="s">
        <v>64</v>
      </c>
      <c r="M421" s="13" t="s">
        <v>74</v>
      </c>
      <c r="N421" s="5" t="s">
        <v>42</v>
      </c>
      <c r="O421" s="5" t="s">
        <v>43</v>
      </c>
      <c r="P421" s="10" t="s">
        <v>44</v>
      </c>
      <c r="Q421" s="10" t="s">
        <v>75</v>
      </c>
      <c r="R421" s="11" t="s">
        <v>44</v>
      </c>
      <c r="S421" s="11" t="s">
        <v>44</v>
      </c>
      <c r="T421" s="22"/>
      <c r="U421" s="22"/>
      <c r="V421" s="22"/>
      <c r="W421" s="143">
        <v>2</v>
      </c>
      <c r="X421" s="143">
        <v>2</v>
      </c>
      <c r="Y421" s="143">
        <v>2</v>
      </c>
      <c r="Z421" s="143">
        <v>2</v>
      </c>
      <c r="AA421" s="143">
        <v>2</v>
      </c>
      <c r="AB421" s="143">
        <v>2</v>
      </c>
      <c r="AC421" s="143">
        <v>2</v>
      </c>
      <c r="AD421" s="143">
        <v>2</v>
      </c>
      <c r="AE421" s="143">
        <v>2</v>
      </c>
      <c r="AG421" s="71"/>
      <c r="AH421" s="71"/>
      <c r="AI421" s="71"/>
      <c r="AJ421" s="82">
        <v>7</v>
      </c>
      <c r="AK421" s="71"/>
      <c r="AL421" s="71"/>
      <c r="AM421" s="71"/>
      <c r="AN421" s="71"/>
      <c r="AO421" s="71"/>
      <c r="AP421" s="71"/>
      <c r="AQ421" s="71"/>
      <c r="AR421" s="71"/>
      <c r="AS421" s="94">
        <f t="shared" ca="1" si="744"/>
        <v>4</v>
      </c>
      <c r="AT421" s="95">
        <f t="shared" si="745"/>
        <v>2.2999999999999998</v>
      </c>
      <c r="AU421" s="97">
        <f t="shared" si="746"/>
        <v>7</v>
      </c>
      <c r="AW421" s="51">
        <f t="shared" si="747"/>
        <v>0</v>
      </c>
      <c r="AX421" s="51">
        <f t="shared" si="748"/>
        <v>0</v>
      </c>
      <c r="AY421" s="51">
        <f t="shared" si="749"/>
        <v>0</v>
      </c>
      <c r="AZ421" s="51">
        <f t="shared" si="750"/>
        <v>3.5</v>
      </c>
      <c r="BA421" s="51">
        <f t="shared" si="751"/>
        <v>0</v>
      </c>
      <c r="BB421" s="51"/>
      <c r="BC421" s="51"/>
      <c r="BD421" s="51"/>
      <c r="BE421" s="51"/>
      <c r="BF421" s="51"/>
      <c r="BG421" s="51"/>
      <c r="BH421" s="51"/>
      <c r="BI421" s="65" cm="1">
        <f t="array" ref="BI421">IFERROR(INDEX(AW421:BH421,1,MATCH(2,1/(AW421:BH421&lt;&gt;""))),"")</f>
        <v>0</v>
      </c>
      <c r="BJ421" s="68" cm="1">
        <f t="array" ref="BJ421">IF(BM421 = "", "",IFERROR(INDEX(AW421:BH421,1,MATCH(2,1/(AW421:BH421&lt;&gt;""),1)-1),""))</f>
        <v>3.5</v>
      </c>
      <c r="BK421" s="58">
        <f>IF((IF(AW421&gt;=115%,115%,AW421) + IF(AX421&gt;=115%,115%,AX421) + IF(AY421&gt;=115%,115%,AY421) + (IF(AZ421&gt;=200%,200%,AZ421) + IF(BA421&gt;=115%,115%,BA421) + IF(BB421&gt;=200%,200%,BB421) + IF(BC421&gt;=115%,115%,BC421) + IF(BD421&gt;=115%,115%,BD421) + IF(BE421&gt;=115%,115%,BE421) + IF(BF421&gt;=167%,167%,BF421) + IF(BG421&gt;=115%,115%,BG421) + IF(BH421&gt;=115%,115%,BH421)))/_xlfn.XLOOKUP(F421,Apuração!A:A,Apuração!B:B)&gt;=1.15,1.15,((IF(AZ421&gt;=200%,200%,AZ421) + IF(AX421&gt;=115%,115%,AX421) + IF(AY421&gt;=115%,115%,AY421) + (IF(AW421&gt;=115%,115%,AW421) + IF(BA421&gt;=115%,115%,BA421) + IF(BB421&gt;=200%,200%,BB421) + IF(BC421&gt;=115%,115%,BC421) + IF(BD421&gt;=115%,115%,BD421) + IF(BE421&gt;=115%,115%,BE421) + IF(BF421&gt;=167%,167%,BF421) + IF(BG421&gt;=115%,115%,BG421) + IF(BH421&gt;=115%,115%,BH421)))/_xlfn.XLOOKUP(F421,Apuração!A:A,Apuração!B:B)))</f>
        <v>0.22222222222222221</v>
      </c>
      <c r="BL421" s="58" cm="1">
        <f t="array" aca="1" ref="BL421" ca="1">IF(SUM(IFERROR(IF(INDEX(AW421:INDEX(AW421:BH421, MATCH(2, 1/(AW421:BH421&lt;&gt;""), 1)-1), ROW(INDIRECT("1:" &amp; MATCH(2, 1/(AW421:BH421&lt;&gt;""), 1)-1))) &gt;= 115%, 115%, INDEX(AW421:INDEX(AW421:BH421, MATCH(2, 1/(AW421:BH421&lt;&gt;""), 1)-1), ROW(INDIRECT("1:" &amp; MATCH(2, 1/(AW421:BH421&lt;&gt;""), 1)-1)))), 0))/_xlfn.XLOOKUP(F421,Apuração!A:A,Apuração!B:B)&gt;=1.15,1.15,SUM(IFERROR(IF(INDEX(AW421:INDEX(AW421:BH421, MATCH(2, 1/(AW421:BH421&lt;&gt;""), 1)-1), ROW(INDIRECT("1:" &amp; MATCH(2, 1/(AW421:BH421&lt;&gt;""), 1)-1))) &gt;= 115%, 115%, INDEX(AW421:INDEX(AW421:BH421, MATCH(2, 1/(AW421:BH421&lt;&gt;""), 1)-1), ROW(INDIRECT("1:" &amp; MATCH(2, 1/(AW421:BH421&lt;&gt;""), 1)-1)))), 0))/_xlfn.XLOOKUP(F421,Apuração!A:A,Apuração!B:B))</f>
        <v>0.12777777777777777</v>
      </c>
      <c r="BM421" s="55" cm="1">
        <f t="array" ref="BM421">IFERROR(
   INDEX($AW$1:$BH$1,
      _xlfn.AGGREGATE(14, 6, COLUMN($AW$1:$BH$1)/(AW421:BH421&lt;&gt;""), 2) - COLUMN($AW$1) + 1
   ),
"")</f>
        <v>46113</v>
      </c>
      <c r="BN421" s="55" cm="1">
        <f t="array" ref="BN421">IFERROR(INDEX($AW$1:$BH$1,1,MATCH(2,1/(AW421:BH421&lt;&gt;""))),"")</f>
        <v>46143</v>
      </c>
      <c r="BO421" s="53">
        <f ca="1">IFERROR(_xlfn.XLOOKUP(F421,Apuração!A:A,Apuração!C:C)/_xlfn.XLOOKUP(F421,Apuração!A:A,Apuração!B:B),0)</f>
        <v>0.22222222222222221</v>
      </c>
      <c r="BP421" s="53">
        <f ca="1">IFERROR(_xlfn.XLOOKUP(F421,Apuração!A:A,Apuração!D:D)/_xlfn.XLOOKUP(F421,Apuração!A:A,Apuração!B:B),0)</f>
        <v>0.1111111111111111</v>
      </c>
      <c r="BQ421" s="53">
        <f ca="1">IF(BK421&gt;=BO421,0,_xlfn.XLOOKUP(F421,Apuração!A:A,Apuração!B:B)*(BO421 + (1/_xlfn.XLOOKUP(F421,Apuração!A:A,Apuração!B:B)) - BK421))</f>
        <v>0</v>
      </c>
      <c r="BR421" s="85">
        <f t="shared" ca="1" si="752"/>
        <v>0</v>
      </c>
      <c r="BS421" s="53">
        <f ca="1">IFERROR((_xlfn.XLOOKUP(F421,Apuração!A:A,Apuração!C:C)+1)/_xlfn.XLOOKUP(F421,Apuração!A:A,Apuração!B:B),0)</f>
        <v>0.33333333333333331</v>
      </c>
    </row>
    <row r="422" spans="1:71" ht="25.95" hidden="1" customHeight="1" x14ac:dyDescent="0.3">
      <c r="A422" s="3" t="s">
        <v>33</v>
      </c>
      <c r="B422" s="4" t="s">
        <v>73</v>
      </c>
      <c r="C422" s="5" t="s">
        <v>97</v>
      </c>
      <c r="D422" s="5" t="s">
        <v>104</v>
      </c>
      <c r="E422" s="4" t="str" cm="1">
        <f t="array" ref="E422">_xlfn.IFS(
F422 = "A partir de Abril", "Aguardando Execução na Distribuidora",
A422 = "CAPACITAÇÃO", "Em execução no Corporativo",
TRUE, "Em Execução na Distribuidora"
)</f>
        <v>Em Execução na Distribuidora</v>
      </c>
      <c r="F422" s="4" t="str" cm="1">
        <f t="array" ref="F422">_xlfn.IFS(
AG422 &lt;&gt; "", "Jan-Dez/26",
AH422 &lt;&gt; "", "Fev-Dez/26",
AI422 &lt;&gt; "", "Mar-Dez/26", AJ422 &lt;&gt; "", "Abr-Dez/26",
TRUE, "A partir de Junho"
)</f>
        <v>Abr-Dez/26</v>
      </c>
      <c r="G422" s="4" t="s">
        <v>37</v>
      </c>
      <c r="H422" s="7" t="s">
        <v>54</v>
      </c>
      <c r="I422" s="8" t="s">
        <v>55</v>
      </c>
      <c r="J422" s="8" t="str" cm="1">
        <f t="array" aca="1" ref="J422" ca="1">_xlfn.LET(
  _xlpm.actual_value_month, INDEX(T422:AE422, MATCH(DATE(YEAR(TODAY()), MONTH(TODAY()), 1), $T$1:$AE$1, 0)),
  IF(_xlpm.actual_value_month &lt;&gt; "",_xlpm.actual_value_month &amp; " eventos mensais", "")
)</f>
        <v>2 eventos mensais</v>
      </c>
      <c r="K422" s="14" t="str" cm="1">
        <f t="array" ref="K422">_xlfn.LET(
    _xlpm.sum_month, SUM(T422:AE422),
    IF(_xlpm.sum_month = 0, "", _xlpm.sum_month &amp; "  eventos no ano")
)</f>
        <v>18  eventos no ano</v>
      </c>
      <c r="L422" s="9" t="s">
        <v>64</v>
      </c>
      <c r="M422" s="13" t="s">
        <v>74</v>
      </c>
      <c r="N422" s="5" t="s">
        <v>42</v>
      </c>
      <c r="O422" s="5" t="s">
        <v>43</v>
      </c>
      <c r="P422" s="10" t="s">
        <v>44</v>
      </c>
      <c r="Q422" s="10" t="s">
        <v>75</v>
      </c>
      <c r="R422" s="11" t="s">
        <v>44</v>
      </c>
      <c r="S422" s="11" t="s">
        <v>44</v>
      </c>
      <c r="T422" s="22"/>
      <c r="U422" s="22"/>
      <c r="V422" s="22"/>
      <c r="W422" s="143">
        <v>2</v>
      </c>
      <c r="X422" s="143">
        <v>2</v>
      </c>
      <c r="Y422" s="143">
        <v>2</v>
      </c>
      <c r="Z422" s="143">
        <v>2</v>
      </c>
      <c r="AA422" s="143">
        <v>2</v>
      </c>
      <c r="AB422" s="143">
        <v>2</v>
      </c>
      <c r="AC422" s="143">
        <v>2</v>
      </c>
      <c r="AD422" s="143">
        <v>2</v>
      </c>
      <c r="AE422" s="143">
        <v>2</v>
      </c>
      <c r="AG422" s="71"/>
      <c r="AH422" s="71"/>
      <c r="AI422" s="71"/>
      <c r="AJ422" s="82">
        <v>0</v>
      </c>
      <c r="AK422" s="71"/>
      <c r="AL422" s="71"/>
      <c r="AM422" s="71"/>
      <c r="AN422" s="71"/>
      <c r="AO422" s="71"/>
      <c r="AP422" s="71"/>
      <c r="AQ422" s="71"/>
      <c r="AR422" s="71"/>
      <c r="AS422" s="94">
        <f t="shared" ca="1" si="744"/>
        <v>4</v>
      </c>
      <c r="AT422" s="95">
        <f t="shared" si="745"/>
        <v>0</v>
      </c>
      <c r="AU422" s="97">
        <f t="shared" si="746"/>
        <v>0</v>
      </c>
      <c r="AW422" s="51">
        <f t="shared" si="747"/>
        <v>0</v>
      </c>
      <c r="AX422" s="51">
        <f t="shared" si="748"/>
        <v>0</v>
      </c>
      <c r="AY422" s="51">
        <f t="shared" si="749"/>
        <v>0</v>
      </c>
      <c r="AZ422" s="51">
        <f t="shared" si="750"/>
        <v>0</v>
      </c>
      <c r="BA422" s="51">
        <f t="shared" si="751"/>
        <v>0</v>
      </c>
      <c r="BB422" s="51"/>
      <c r="BC422" s="51"/>
      <c r="BD422" s="51"/>
      <c r="BE422" s="51"/>
      <c r="BF422" s="51"/>
      <c r="BG422" s="51"/>
      <c r="BH422" s="51"/>
      <c r="BI422" s="65" cm="1">
        <f t="array" ref="BI422">IFERROR(INDEX(AW422:BH422,1,MATCH(2,1/(AW422:BH422&lt;&gt;""))),"")</f>
        <v>0</v>
      </c>
      <c r="BJ422" s="68" cm="1">
        <f t="array" ref="BJ422">IF(BM422 = "", "",IFERROR(INDEX(AW422:BH422,1,MATCH(2,1/(AW422:BH422&lt;&gt;""),1)-1),""))</f>
        <v>0</v>
      </c>
      <c r="BK422" s="58">
        <f>IF((IF(AW422&gt;=115%,115%,AW422) + IF(AX422&gt;=115%,115%,AX422) + IF(AY422&gt;=115%,115%,AY422) + (IF(AZ422&gt;=200%,200%,AZ422) + IF(BA422&gt;=115%,115%,BA422) + IF(BB422&gt;=200%,200%,BB422) + IF(BC422&gt;=115%,115%,BC422) + IF(BD422&gt;=115%,115%,BD422) + IF(BE422&gt;=115%,115%,BE422) + IF(BF422&gt;=167%,167%,BF422) + IF(BG422&gt;=115%,115%,BG422) + IF(BH422&gt;=115%,115%,BH422)))/_xlfn.XLOOKUP(F422,Apuração!A:A,Apuração!B:B)&gt;=1.15,1.15,((IF(AZ422&gt;=200%,200%,AZ422) + IF(AX422&gt;=115%,115%,AX422) + IF(AY422&gt;=115%,115%,AY422) + (IF(AW422&gt;=115%,115%,AW422) + IF(BA422&gt;=115%,115%,BA422) + IF(BB422&gt;=200%,200%,BB422) + IF(BC422&gt;=115%,115%,BC422) + IF(BD422&gt;=115%,115%,BD422) + IF(BE422&gt;=115%,115%,BE422) + IF(BF422&gt;=167%,167%,BF422) + IF(BG422&gt;=115%,115%,BG422) + IF(BH422&gt;=115%,115%,BH422)))/_xlfn.XLOOKUP(F422,Apuração!A:A,Apuração!B:B)))</f>
        <v>0</v>
      </c>
      <c r="BL422" s="58" cm="1">
        <f t="array" aca="1" ref="BL422" ca="1">IF(SUM(IFERROR(IF(INDEX(AW422:INDEX(AW422:BH422, MATCH(2, 1/(AW422:BH422&lt;&gt;""), 1)-1), ROW(INDIRECT("1:" &amp; MATCH(2, 1/(AW422:BH422&lt;&gt;""), 1)-1))) &gt;= 115%, 115%, INDEX(AW422:INDEX(AW422:BH422, MATCH(2, 1/(AW422:BH422&lt;&gt;""), 1)-1), ROW(INDIRECT("1:" &amp; MATCH(2, 1/(AW422:BH422&lt;&gt;""), 1)-1)))), 0))/_xlfn.XLOOKUP(F422,Apuração!A:A,Apuração!B:B)&gt;=1.15,1.15,SUM(IFERROR(IF(INDEX(AW422:INDEX(AW422:BH422, MATCH(2, 1/(AW422:BH422&lt;&gt;""), 1)-1), ROW(INDIRECT("1:" &amp; MATCH(2, 1/(AW422:BH422&lt;&gt;""), 1)-1))) &gt;= 115%, 115%, INDEX(AW422:INDEX(AW422:BH422, MATCH(2, 1/(AW422:BH422&lt;&gt;""), 1)-1), ROW(INDIRECT("1:" &amp; MATCH(2, 1/(AW422:BH422&lt;&gt;""), 1)-1)))), 0))/_xlfn.XLOOKUP(F422,Apuração!A:A,Apuração!B:B))</f>
        <v>0</v>
      </c>
      <c r="BM422" s="55" cm="1">
        <f t="array" ref="BM422">IFERROR(
   INDEX($AW$1:$BH$1,
      _xlfn.AGGREGATE(14, 6, COLUMN($AW$1:$BH$1)/(AW422:BH422&lt;&gt;""), 2) - COLUMN($AW$1) + 1
   ),
"")</f>
        <v>46113</v>
      </c>
      <c r="BN422" s="55" cm="1">
        <f t="array" ref="BN422">IFERROR(INDEX($AW$1:$BH$1,1,MATCH(2,1/(AW422:BH422&lt;&gt;""))),"")</f>
        <v>46143</v>
      </c>
      <c r="BO422" s="53">
        <f ca="1">IFERROR(_xlfn.XLOOKUP(F422,Apuração!A:A,Apuração!C:C)/_xlfn.XLOOKUP(F422,Apuração!A:A,Apuração!B:B),0)</f>
        <v>0.22222222222222221</v>
      </c>
      <c r="BP422" s="53">
        <f ca="1">IFERROR(_xlfn.XLOOKUP(F422,Apuração!A:A,Apuração!D:D)/_xlfn.XLOOKUP(F422,Apuração!A:A,Apuração!B:B),0)</f>
        <v>0.1111111111111111</v>
      </c>
      <c r="BQ422" s="53">
        <f ca="1">IF(BK422&gt;=BO422,0,_xlfn.XLOOKUP(F422,Apuração!A:A,Apuração!B:B)*(BO422 + (1/_xlfn.XLOOKUP(F422,Apuração!A:A,Apuração!B:B)) - BK422))</f>
        <v>3</v>
      </c>
      <c r="BR422" s="85">
        <f t="shared" ca="1" si="752"/>
        <v>6</v>
      </c>
      <c r="BS422" s="53">
        <f ca="1">IFERROR((_xlfn.XLOOKUP(F422,Apuração!A:A,Apuração!C:C)+1)/_xlfn.XLOOKUP(F422,Apuração!A:A,Apuração!B:B),0)</f>
        <v>0.33333333333333331</v>
      </c>
    </row>
    <row r="423" spans="1:71" ht="25.95" hidden="1" customHeight="1" x14ac:dyDescent="0.3">
      <c r="A423" s="3" t="s">
        <v>33</v>
      </c>
      <c r="B423" s="4" t="s">
        <v>73</v>
      </c>
      <c r="C423" s="5" t="s">
        <v>97</v>
      </c>
      <c r="D423" s="5" t="s">
        <v>105</v>
      </c>
      <c r="E423" s="4" t="str" cm="1">
        <f t="array" ref="E423">_xlfn.IFS(
F423 = "A partir de Abril", "Aguardando Execução na Distribuidora",
A423 = "CAPACITAÇÃO", "Em execução no Corporativo",
TRUE, "Em Execução na Distribuidora"
)</f>
        <v>Em Execução na Distribuidora</v>
      </c>
      <c r="F423" s="4" t="str" cm="1">
        <f t="array" ref="F423">_xlfn.IFS(
AG423 &lt;&gt; "", "Jan-Dez/26",
AH423 &lt;&gt; "", "Fev-Dez/26",
AI423 &lt;&gt; "", "Mar-Dez/26", AJ423 &lt;&gt; "", "Abr-Dez/26",
TRUE, "A partir de Junho"
)</f>
        <v>Abr-Dez/26</v>
      </c>
      <c r="G423" s="4" t="s">
        <v>37</v>
      </c>
      <c r="H423" s="7" t="s">
        <v>54</v>
      </c>
      <c r="I423" s="8" t="s">
        <v>55</v>
      </c>
      <c r="J423" s="8" t="str" cm="1">
        <f t="array" aca="1" ref="J423" ca="1">_xlfn.LET(
  _xlpm.actual_value_month, INDEX(T423:AE423, MATCH(DATE(YEAR(TODAY()), MONTH(TODAY()), 1), $T$1:$AE$1, 0)),
  IF(_xlpm.actual_value_month &lt;&gt; "",_xlpm.actual_value_month &amp; " eventos mensais", "")
)</f>
        <v>2 eventos mensais</v>
      </c>
      <c r="K423" s="14" t="str" cm="1">
        <f t="array" ref="K423">_xlfn.LET(
    _xlpm.sum_month, SUM(T423:AE423),
    IF(_xlpm.sum_month = 0, "", _xlpm.sum_month &amp; "  eventos no ano")
)</f>
        <v>18  eventos no ano</v>
      </c>
      <c r="L423" s="9" t="s">
        <v>64</v>
      </c>
      <c r="M423" s="13" t="s">
        <v>74</v>
      </c>
      <c r="N423" s="5" t="s">
        <v>42</v>
      </c>
      <c r="O423" s="5" t="s">
        <v>43</v>
      </c>
      <c r="P423" s="10" t="s">
        <v>44</v>
      </c>
      <c r="Q423" s="10" t="s">
        <v>75</v>
      </c>
      <c r="R423" s="11" t="s">
        <v>44</v>
      </c>
      <c r="S423" s="11" t="s">
        <v>44</v>
      </c>
      <c r="T423" s="22"/>
      <c r="U423" s="22"/>
      <c r="V423" s="22"/>
      <c r="W423" s="143">
        <v>2</v>
      </c>
      <c r="X423" s="143">
        <v>2</v>
      </c>
      <c r="Y423" s="143">
        <v>2</v>
      </c>
      <c r="Z423" s="143">
        <v>2</v>
      </c>
      <c r="AA423" s="143">
        <v>2</v>
      </c>
      <c r="AB423" s="143">
        <v>2</v>
      </c>
      <c r="AC423" s="143">
        <v>2</v>
      </c>
      <c r="AD423" s="143">
        <v>2</v>
      </c>
      <c r="AE423" s="143">
        <v>2</v>
      </c>
      <c r="AG423" s="71"/>
      <c r="AH423" s="71"/>
      <c r="AI423" s="71"/>
      <c r="AJ423" s="82">
        <v>1</v>
      </c>
      <c r="AK423" s="71"/>
      <c r="AL423" s="71"/>
      <c r="AM423" s="71"/>
      <c r="AN423" s="71"/>
      <c r="AO423" s="71"/>
      <c r="AP423" s="71"/>
      <c r="AQ423" s="71"/>
      <c r="AR423" s="71"/>
      <c r="AS423" s="94">
        <f t="shared" ca="1" si="744"/>
        <v>4</v>
      </c>
      <c r="AT423" s="95">
        <f t="shared" si="745"/>
        <v>1</v>
      </c>
      <c r="AU423" s="97">
        <f t="shared" si="746"/>
        <v>1</v>
      </c>
      <c r="AW423" s="51">
        <f t="shared" si="747"/>
        <v>0</v>
      </c>
      <c r="AX423" s="51">
        <f t="shared" si="748"/>
        <v>0</v>
      </c>
      <c r="AY423" s="51">
        <f t="shared" si="749"/>
        <v>0</v>
      </c>
      <c r="AZ423" s="51">
        <f t="shared" si="750"/>
        <v>0.5</v>
      </c>
      <c r="BA423" s="51">
        <f t="shared" si="751"/>
        <v>0</v>
      </c>
      <c r="BB423" s="51"/>
      <c r="BC423" s="51"/>
      <c r="BD423" s="51"/>
      <c r="BE423" s="51"/>
      <c r="BF423" s="51"/>
      <c r="BG423" s="51"/>
      <c r="BH423" s="51"/>
      <c r="BI423" s="65" cm="1">
        <f t="array" ref="BI423">IFERROR(INDEX(AW423:BH423,1,MATCH(2,1/(AW423:BH423&lt;&gt;""))),"")</f>
        <v>0</v>
      </c>
      <c r="BJ423" s="68" cm="1">
        <f t="array" ref="BJ423">IF(BM423 = "", "",IFERROR(INDEX(AW423:BH423,1,MATCH(2,1/(AW423:BH423&lt;&gt;""),1)-1),""))</f>
        <v>0.5</v>
      </c>
      <c r="BK423" s="58">
        <f>IF((IF(AW423&gt;=115%,115%,AW423) + IF(AX423&gt;=115%,115%,AX423) + IF(AY423&gt;=115%,115%,AY423) + (IF(AZ423&gt;=200%,200%,AZ423) + IF(BA423&gt;=115%,115%,BA423) + IF(BB423&gt;=200%,200%,BB423) + IF(BC423&gt;=115%,115%,BC423) + IF(BD423&gt;=115%,115%,BD423) + IF(BE423&gt;=115%,115%,BE423) + IF(BF423&gt;=167%,167%,BF423) + IF(BG423&gt;=115%,115%,BG423) + IF(BH423&gt;=115%,115%,BH423)))/_xlfn.XLOOKUP(F423,Apuração!A:A,Apuração!B:B)&gt;=1.15,1.15,((IF(AZ423&gt;=200%,200%,AZ423) + IF(AX423&gt;=115%,115%,AX423) + IF(AY423&gt;=115%,115%,AY423) + (IF(AW423&gt;=115%,115%,AW423) + IF(BA423&gt;=115%,115%,BA423) + IF(BB423&gt;=200%,200%,BB423) + IF(BC423&gt;=115%,115%,BC423) + IF(BD423&gt;=115%,115%,BD423) + IF(BE423&gt;=115%,115%,BE423) + IF(BF423&gt;=167%,167%,BF423) + IF(BG423&gt;=115%,115%,BG423) + IF(BH423&gt;=115%,115%,BH423)))/_xlfn.XLOOKUP(F423,Apuração!A:A,Apuração!B:B)))</f>
        <v>5.5555555555555552E-2</v>
      </c>
      <c r="BL423" s="58" cm="1">
        <f t="array" aca="1" ref="BL423" ca="1">IF(SUM(IFERROR(IF(INDEX(AW423:INDEX(AW423:BH423, MATCH(2, 1/(AW423:BH423&lt;&gt;""), 1)-1), ROW(INDIRECT("1:" &amp; MATCH(2, 1/(AW423:BH423&lt;&gt;""), 1)-1))) &gt;= 115%, 115%, INDEX(AW423:INDEX(AW423:BH423, MATCH(2, 1/(AW423:BH423&lt;&gt;""), 1)-1), ROW(INDIRECT("1:" &amp; MATCH(2, 1/(AW423:BH423&lt;&gt;""), 1)-1)))), 0))/_xlfn.XLOOKUP(F423,Apuração!A:A,Apuração!B:B)&gt;=1.15,1.15,SUM(IFERROR(IF(INDEX(AW423:INDEX(AW423:BH423, MATCH(2, 1/(AW423:BH423&lt;&gt;""), 1)-1), ROW(INDIRECT("1:" &amp; MATCH(2, 1/(AW423:BH423&lt;&gt;""), 1)-1))) &gt;= 115%, 115%, INDEX(AW423:INDEX(AW423:BH423, MATCH(2, 1/(AW423:BH423&lt;&gt;""), 1)-1), ROW(INDIRECT("1:" &amp; MATCH(2, 1/(AW423:BH423&lt;&gt;""), 1)-1)))), 0))/_xlfn.XLOOKUP(F423,Apuração!A:A,Apuração!B:B))</f>
        <v>5.5555555555555552E-2</v>
      </c>
      <c r="BM423" s="55" cm="1">
        <f t="array" ref="BM423">IFERROR(
   INDEX($AW$1:$BH$1,
      _xlfn.AGGREGATE(14, 6, COLUMN($AW$1:$BH$1)/(AW423:BH423&lt;&gt;""), 2) - COLUMN($AW$1) + 1
   ),
"")</f>
        <v>46113</v>
      </c>
      <c r="BN423" s="55" cm="1">
        <f t="array" ref="BN423">IFERROR(INDEX($AW$1:$BH$1,1,MATCH(2,1/(AW423:BH423&lt;&gt;""))),"")</f>
        <v>46143</v>
      </c>
      <c r="BO423" s="53">
        <f ca="1">IFERROR(_xlfn.XLOOKUP(F423,Apuração!A:A,Apuração!C:C)/_xlfn.XLOOKUP(F423,Apuração!A:A,Apuração!B:B),0)</f>
        <v>0.22222222222222221</v>
      </c>
      <c r="BP423" s="53">
        <f ca="1">IFERROR(_xlfn.XLOOKUP(F423,Apuração!A:A,Apuração!D:D)/_xlfn.XLOOKUP(F423,Apuração!A:A,Apuração!B:B),0)</f>
        <v>0.1111111111111111</v>
      </c>
      <c r="BQ423" s="53">
        <f ca="1">IF(BK423&gt;=BO423,0,_xlfn.XLOOKUP(F423,Apuração!A:A,Apuração!B:B)*(BO423 + (1/_xlfn.XLOOKUP(F423,Apuração!A:A,Apuração!B:B)) - BK423))</f>
        <v>2.5</v>
      </c>
      <c r="BR423" s="85">
        <f t="shared" ca="1" si="752"/>
        <v>5</v>
      </c>
      <c r="BS423" s="53">
        <f ca="1">IFERROR((_xlfn.XLOOKUP(F423,Apuração!A:A,Apuração!C:C)+1)/_xlfn.XLOOKUP(F423,Apuração!A:A,Apuração!B:B),0)</f>
        <v>0.33333333333333331</v>
      </c>
    </row>
    <row r="424" spans="1:71" ht="25.95" hidden="1" customHeight="1" x14ac:dyDescent="0.3">
      <c r="A424" s="3" t="s">
        <v>33</v>
      </c>
      <c r="B424" s="4" t="s">
        <v>73</v>
      </c>
      <c r="C424" s="5" t="s">
        <v>97</v>
      </c>
      <c r="D424" s="5" t="s">
        <v>106</v>
      </c>
      <c r="E424" s="4" t="str" cm="1">
        <f t="array" ref="E424">_xlfn.IFS(
F424 = "A partir de Abril", "Aguardando Execução na Distribuidora",
A424 = "CAPACITAÇÃO", "Em execução no Corporativo",
TRUE, "Em Execução na Distribuidora"
)</f>
        <v>Em Execução na Distribuidora</v>
      </c>
      <c r="F424" s="4" t="str" cm="1">
        <f t="array" ref="F424">_xlfn.IFS(
AG424 &lt;&gt; "", "Jan-Dez/26",
AH424 &lt;&gt; "", "Fev-Dez/26",
AI424 &lt;&gt; "", "Mar-Dez/26", AJ424 &lt;&gt; "", "Abr-Dez/26",
TRUE, "A partir de Junho"
)</f>
        <v>Abr-Dez/26</v>
      </c>
      <c r="G424" s="4" t="s">
        <v>37</v>
      </c>
      <c r="H424" s="7" t="s">
        <v>54</v>
      </c>
      <c r="I424" s="8" t="s">
        <v>55</v>
      </c>
      <c r="J424" s="8" t="str" cm="1">
        <f t="array" aca="1" ref="J424" ca="1">_xlfn.LET(
  _xlpm.actual_value_month, INDEX(T424:AE424, MATCH(DATE(YEAR(TODAY()), MONTH(TODAY()), 1), $T$1:$AE$1, 0)),
  IF(_xlpm.actual_value_month &lt;&gt; "",_xlpm.actual_value_month &amp; " eventos mensais", "")
)</f>
        <v>2 eventos mensais</v>
      </c>
      <c r="K424" s="14" t="str" cm="1">
        <f t="array" ref="K424">_xlfn.LET(
    _xlpm.sum_month, SUM(T424:AE424),
    IF(_xlpm.sum_month = 0, "", _xlpm.sum_month &amp; "  eventos no ano")
)</f>
        <v>18  eventos no ano</v>
      </c>
      <c r="L424" s="9" t="s">
        <v>64</v>
      </c>
      <c r="M424" s="13" t="s">
        <v>74</v>
      </c>
      <c r="N424" s="5" t="s">
        <v>42</v>
      </c>
      <c r="O424" s="5" t="s">
        <v>43</v>
      </c>
      <c r="P424" s="10" t="s">
        <v>44</v>
      </c>
      <c r="Q424" s="10" t="s">
        <v>75</v>
      </c>
      <c r="R424" s="11" t="s">
        <v>44</v>
      </c>
      <c r="S424" s="11" t="s">
        <v>44</v>
      </c>
      <c r="T424" s="22"/>
      <c r="U424" s="22"/>
      <c r="V424" s="22"/>
      <c r="W424" s="143">
        <v>2</v>
      </c>
      <c r="X424" s="143">
        <v>2</v>
      </c>
      <c r="Y424" s="143">
        <v>2</v>
      </c>
      <c r="Z424" s="143">
        <v>2</v>
      </c>
      <c r="AA424" s="143">
        <v>2</v>
      </c>
      <c r="AB424" s="143">
        <v>2</v>
      </c>
      <c r="AC424" s="143">
        <v>2</v>
      </c>
      <c r="AD424" s="143">
        <v>2</v>
      </c>
      <c r="AE424" s="143">
        <v>2</v>
      </c>
      <c r="AG424" s="71"/>
      <c r="AH424" s="71"/>
      <c r="AI424" s="71"/>
      <c r="AJ424" s="82">
        <v>0</v>
      </c>
      <c r="AK424" s="71">
        <v>1</v>
      </c>
      <c r="AL424" s="71"/>
      <c r="AM424" s="71"/>
      <c r="AN424" s="71"/>
      <c r="AO424" s="71"/>
      <c r="AP424" s="71"/>
      <c r="AQ424" s="71"/>
      <c r="AR424" s="71"/>
      <c r="AS424" s="94">
        <f t="shared" ca="1" si="744"/>
        <v>4</v>
      </c>
      <c r="AT424" s="95">
        <f t="shared" si="745"/>
        <v>1</v>
      </c>
      <c r="AU424" s="97">
        <f t="shared" si="746"/>
        <v>1</v>
      </c>
      <c r="AW424" s="51">
        <f t="shared" si="747"/>
        <v>0</v>
      </c>
      <c r="AX424" s="51">
        <f t="shared" si="748"/>
        <v>0</v>
      </c>
      <c r="AY424" s="51">
        <f t="shared" si="749"/>
        <v>0</v>
      </c>
      <c r="AZ424" s="51">
        <f t="shared" si="750"/>
        <v>0</v>
      </c>
      <c r="BA424" s="51">
        <f t="shared" si="751"/>
        <v>0.5</v>
      </c>
      <c r="BB424" s="51"/>
      <c r="BC424" s="51"/>
      <c r="BD424" s="51"/>
      <c r="BE424" s="51"/>
      <c r="BF424" s="51"/>
      <c r="BG424" s="51"/>
      <c r="BH424" s="51"/>
      <c r="BI424" s="65" cm="1">
        <f t="array" ref="BI424">IFERROR(INDEX(AW424:BH424,1,MATCH(2,1/(AW424:BH424&lt;&gt;""))),"")</f>
        <v>0.5</v>
      </c>
      <c r="BJ424" s="68" cm="1">
        <f t="array" ref="BJ424">IF(BM424 = "", "",IFERROR(INDEX(AW424:BH424,1,MATCH(2,1/(AW424:BH424&lt;&gt;""),1)-1),""))</f>
        <v>0</v>
      </c>
      <c r="BK424" s="58">
        <f>IF((IF(AW424&gt;=115%,115%,AW424) + IF(AX424&gt;=115%,115%,AX424) + IF(AY424&gt;=115%,115%,AY424) + (IF(AZ424&gt;=200%,200%,AZ424) + IF(BA424&gt;=115%,115%,BA424) + IF(BB424&gt;=200%,200%,BB424) + IF(BC424&gt;=115%,115%,BC424) + IF(BD424&gt;=115%,115%,BD424) + IF(BE424&gt;=115%,115%,BE424) + IF(BF424&gt;=167%,167%,BF424) + IF(BG424&gt;=115%,115%,BG424) + IF(BH424&gt;=115%,115%,BH424)))/_xlfn.XLOOKUP(F424,Apuração!A:A,Apuração!B:B)&gt;=1.15,1.15,((IF(AZ424&gt;=200%,200%,AZ424) + IF(AX424&gt;=115%,115%,AX424) + IF(AY424&gt;=115%,115%,AY424) + (IF(AW424&gt;=115%,115%,AW424) + IF(BA424&gt;=115%,115%,BA424) + IF(BB424&gt;=200%,200%,BB424) + IF(BC424&gt;=115%,115%,BC424) + IF(BD424&gt;=115%,115%,BD424) + IF(BE424&gt;=115%,115%,BE424) + IF(BF424&gt;=167%,167%,BF424) + IF(BG424&gt;=115%,115%,BG424) + IF(BH424&gt;=115%,115%,BH424)))/_xlfn.XLOOKUP(F424,Apuração!A:A,Apuração!B:B)))</f>
        <v>5.5555555555555552E-2</v>
      </c>
      <c r="BL424" s="58" cm="1">
        <f t="array" aca="1" ref="BL424" ca="1">IF(SUM(IFERROR(IF(INDEX(AW424:INDEX(AW424:BH424, MATCH(2, 1/(AW424:BH424&lt;&gt;""), 1)-1), ROW(INDIRECT("1:" &amp; MATCH(2, 1/(AW424:BH424&lt;&gt;""), 1)-1))) &gt;= 115%, 115%, INDEX(AW424:INDEX(AW424:BH424, MATCH(2, 1/(AW424:BH424&lt;&gt;""), 1)-1), ROW(INDIRECT("1:" &amp; MATCH(2, 1/(AW424:BH424&lt;&gt;""), 1)-1)))), 0))/_xlfn.XLOOKUP(F424,Apuração!A:A,Apuração!B:B)&gt;=1.15,1.15,SUM(IFERROR(IF(INDEX(AW424:INDEX(AW424:BH424, MATCH(2, 1/(AW424:BH424&lt;&gt;""), 1)-1), ROW(INDIRECT("1:" &amp; MATCH(2, 1/(AW424:BH424&lt;&gt;""), 1)-1))) &gt;= 115%, 115%, INDEX(AW424:INDEX(AW424:BH424, MATCH(2, 1/(AW424:BH424&lt;&gt;""), 1)-1), ROW(INDIRECT("1:" &amp; MATCH(2, 1/(AW424:BH424&lt;&gt;""), 1)-1)))), 0))/_xlfn.XLOOKUP(F424,Apuração!A:A,Apuração!B:B))</f>
        <v>0</v>
      </c>
      <c r="BM424" s="55" cm="1">
        <f t="array" ref="BM424">IFERROR(
   INDEX($AW$1:$BH$1,
      _xlfn.AGGREGATE(14, 6, COLUMN($AW$1:$BH$1)/(AW424:BH424&lt;&gt;""), 2) - COLUMN($AW$1) + 1
   ),
"")</f>
        <v>46113</v>
      </c>
      <c r="BN424" s="55" cm="1">
        <f t="array" ref="BN424">IFERROR(INDEX($AW$1:$BH$1,1,MATCH(2,1/(AW424:BH424&lt;&gt;""))),"")</f>
        <v>46143</v>
      </c>
      <c r="BO424" s="53">
        <f ca="1">IFERROR(_xlfn.XLOOKUP(F424,Apuração!A:A,Apuração!C:C)/_xlfn.XLOOKUP(F424,Apuração!A:A,Apuração!B:B),0)</f>
        <v>0.22222222222222221</v>
      </c>
      <c r="BP424" s="53">
        <f ca="1">IFERROR(_xlfn.XLOOKUP(F424,Apuração!A:A,Apuração!D:D)/_xlfn.XLOOKUP(F424,Apuração!A:A,Apuração!B:B),0)</f>
        <v>0.1111111111111111</v>
      </c>
      <c r="BQ424" s="53">
        <f ca="1">IF(BK424&gt;=BO424,0,_xlfn.XLOOKUP(F424,Apuração!A:A,Apuração!B:B)*(BO424 + (1/_xlfn.XLOOKUP(F424,Apuração!A:A,Apuração!B:B)) - BK424))</f>
        <v>2.5</v>
      </c>
      <c r="BR424" s="85">
        <f t="shared" ca="1" si="752"/>
        <v>5</v>
      </c>
      <c r="BS424" s="53">
        <f ca="1">IFERROR((_xlfn.XLOOKUP(F424,Apuração!A:A,Apuração!C:C)+1)/_xlfn.XLOOKUP(F424,Apuração!A:A,Apuração!B:B),0)</f>
        <v>0.33333333333333331</v>
      </c>
    </row>
    <row r="425" spans="1:71" ht="25.95" hidden="1" customHeight="1" x14ac:dyDescent="0.3">
      <c r="A425" s="3" t="s">
        <v>33</v>
      </c>
      <c r="B425" s="4" t="s">
        <v>73</v>
      </c>
      <c r="C425" s="5" t="s">
        <v>97</v>
      </c>
      <c r="D425" s="5" t="s">
        <v>107</v>
      </c>
      <c r="E425" s="4" t="str" cm="1">
        <f t="array" ref="E425">_xlfn.IFS(
F425 = "A partir de Abril", "Aguardando Execução na Distribuidora",
A425 = "CAPACITAÇÃO", "Em execução no Corporativo",
TRUE, "Em Execução na Distribuidora"
)</f>
        <v>Em Execução na Distribuidora</v>
      </c>
      <c r="F425" s="4" t="str" cm="1">
        <f t="array" ref="F425">_xlfn.IFS(
AG425 &lt;&gt; "", "Jan-Dez/26",
AH425 &lt;&gt; "", "Fev-Dez/26",
AI425 &lt;&gt; "", "Mar-Dez/26", AJ425 &lt;&gt; "", "Abr-Dez/26",
TRUE, "A partir de Junho"
)</f>
        <v>Abr-Dez/26</v>
      </c>
      <c r="G425" s="4" t="s">
        <v>37</v>
      </c>
      <c r="H425" s="7" t="s">
        <v>54</v>
      </c>
      <c r="I425" s="8" t="s">
        <v>55</v>
      </c>
      <c r="J425" s="8" t="str" cm="1">
        <f t="array" aca="1" ref="J425" ca="1">_xlfn.LET(
  _xlpm.actual_value_month, INDEX(T425:AE425, MATCH(DATE(YEAR(TODAY()), MONTH(TODAY()), 1), $T$1:$AE$1, 0)),
  IF(_xlpm.actual_value_month &lt;&gt; "",_xlpm.actual_value_month &amp; " eventos mensais", "")
)</f>
        <v>2 eventos mensais</v>
      </c>
      <c r="K425" s="14" t="str" cm="1">
        <f t="array" ref="K425">_xlfn.LET(
    _xlpm.sum_month, SUM(T425:AE425),
    IF(_xlpm.sum_month = 0, "", _xlpm.sum_month &amp; "  eventos no ano")
)</f>
        <v>18  eventos no ano</v>
      </c>
      <c r="L425" s="9" t="s">
        <v>64</v>
      </c>
      <c r="M425" s="13" t="s">
        <v>74</v>
      </c>
      <c r="N425" s="5" t="s">
        <v>42</v>
      </c>
      <c r="O425" s="5" t="s">
        <v>43</v>
      </c>
      <c r="P425" s="10" t="s">
        <v>44</v>
      </c>
      <c r="Q425" s="10" t="s">
        <v>75</v>
      </c>
      <c r="R425" s="11" t="s">
        <v>44</v>
      </c>
      <c r="S425" s="11" t="s">
        <v>44</v>
      </c>
      <c r="T425" s="22"/>
      <c r="U425" s="22"/>
      <c r="V425" s="22"/>
      <c r="W425" s="143">
        <v>2</v>
      </c>
      <c r="X425" s="143">
        <v>2</v>
      </c>
      <c r="Y425" s="143">
        <v>2</v>
      </c>
      <c r="Z425" s="143">
        <v>2</v>
      </c>
      <c r="AA425" s="143">
        <v>2</v>
      </c>
      <c r="AB425" s="143">
        <v>2</v>
      </c>
      <c r="AC425" s="143">
        <v>2</v>
      </c>
      <c r="AD425" s="143">
        <v>2</v>
      </c>
      <c r="AE425" s="143">
        <v>2</v>
      </c>
      <c r="AG425" s="71"/>
      <c r="AH425" s="71"/>
      <c r="AI425" s="71"/>
      <c r="AJ425" s="82">
        <v>0</v>
      </c>
      <c r="AK425" s="71">
        <v>1</v>
      </c>
      <c r="AL425" s="71"/>
      <c r="AM425" s="71"/>
      <c r="AN425" s="71"/>
      <c r="AO425" s="71"/>
      <c r="AP425" s="71"/>
      <c r="AQ425" s="71"/>
      <c r="AR425" s="71"/>
      <c r="AS425" s="94">
        <f t="shared" ca="1" si="744"/>
        <v>4</v>
      </c>
      <c r="AT425" s="95">
        <f t="shared" si="745"/>
        <v>1</v>
      </c>
      <c r="AU425" s="97">
        <f t="shared" si="746"/>
        <v>1</v>
      </c>
      <c r="AW425" s="51">
        <f t="shared" si="747"/>
        <v>0</v>
      </c>
      <c r="AX425" s="51">
        <f t="shared" si="748"/>
        <v>0</v>
      </c>
      <c r="AY425" s="51">
        <f t="shared" si="749"/>
        <v>0</v>
      </c>
      <c r="AZ425" s="51">
        <f t="shared" si="750"/>
        <v>0</v>
      </c>
      <c r="BA425" s="51">
        <f t="shared" si="751"/>
        <v>0.5</v>
      </c>
      <c r="BB425" s="51"/>
      <c r="BC425" s="51"/>
      <c r="BD425" s="51"/>
      <c r="BE425" s="51"/>
      <c r="BF425" s="51"/>
      <c r="BG425" s="51"/>
      <c r="BH425" s="51"/>
      <c r="BI425" s="65" cm="1">
        <f t="array" ref="BI425">IFERROR(INDEX(AW425:BH425,1,MATCH(2,1/(AW425:BH425&lt;&gt;""))),"")</f>
        <v>0.5</v>
      </c>
      <c r="BJ425" s="68" cm="1">
        <f t="array" ref="BJ425">IF(BM425 = "", "",IFERROR(INDEX(AW425:BH425,1,MATCH(2,1/(AW425:BH425&lt;&gt;""),1)-1),""))</f>
        <v>0</v>
      </c>
      <c r="BK425" s="58">
        <f>IF((IF(AW425&gt;=115%,115%,AW425) + IF(AX425&gt;=115%,115%,AX425) + IF(AY425&gt;=115%,115%,AY425) + (IF(AZ425&gt;=200%,200%,AZ425) + IF(BA425&gt;=115%,115%,BA425) + IF(BB425&gt;=200%,200%,BB425) + IF(BC425&gt;=115%,115%,BC425) + IF(BD425&gt;=115%,115%,BD425) + IF(BE425&gt;=115%,115%,BE425) + IF(BF425&gt;=167%,167%,BF425) + IF(BG425&gt;=115%,115%,BG425) + IF(BH425&gt;=115%,115%,BH425)))/_xlfn.XLOOKUP(F425,Apuração!A:A,Apuração!B:B)&gt;=1.15,1.15,((IF(AZ425&gt;=200%,200%,AZ425) + IF(AX425&gt;=115%,115%,AX425) + IF(AY425&gt;=115%,115%,AY425) + (IF(AW425&gt;=115%,115%,AW425) + IF(BA425&gt;=115%,115%,BA425) + IF(BB425&gt;=200%,200%,BB425) + IF(BC425&gt;=115%,115%,BC425) + IF(BD425&gt;=115%,115%,BD425) + IF(BE425&gt;=115%,115%,BE425) + IF(BF425&gt;=167%,167%,BF425) + IF(BG425&gt;=115%,115%,BG425) + IF(BH425&gt;=115%,115%,BH425)))/_xlfn.XLOOKUP(F425,Apuração!A:A,Apuração!B:B)))</f>
        <v>5.5555555555555552E-2</v>
      </c>
      <c r="BL425" s="58" cm="1">
        <f t="array" aca="1" ref="BL425" ca="1">IF(SUM(IFERROR(IF(INDEX(AW425:INDEX(AW425:BH425, MATCH(2, 1/(AW425:BH425&lt;&gt;""), 1)-1), ROW(INDIRECT("1:" &amp; MATCH(2, 1/(AW425:BH425&lt;&gt;""), 1)-1))) &gt;= 115%, 115%, INDEX(AW425:INDEX(AW425:BH425, MATCH(2, 1/(AW425:BH425&lt;&gt;""), 1)-1), ROW(INDIRECT("1:" &amp; MATCH(2, 1/(AW425:BH425&lt;&gt;""), 1)-1)))), 0))/_xlfn.XLOOKUP(F425,Apuração!A:A,Apuração!B:B)&gt;=1.15,1.15,SUM(IFERROR(IF(INDEX(AW425:INDEX(AW425:BH425, MATCH(2, 1/(AW425:BH425&lt;&gt;""), 1)-1), ROW(INDIRECT("1:" &amp; MATCH(2, 1/(AW425:BH425&lt;&gt;""), 1)-1))) &gt;= 115%, 115%, INDEX(AW425:INDEX(AW425:BH425, MATCH(2, 1/(AW425:BH425&lt;&gt;""), 1)-1), ROW(INDIRECT("1:" &amp; MATCH(2, 1/(AW425:BH425&lt;&gt;""), 1)-1)))), 0))/_xlfn.XLOOKUP(F425,Apuração!A:A,Apuração!B:B))</f>
        <v>0</v>
      </c>
      <c r="BM425" s="55" cm="1">
        <f t="array" ref="BM425">IFERROR(
   INDEX($AW$1:$BH$1,
      _xlfn.AGGREGATE(14, 6, COLUMN($AW$1:$BH$1)/(AW425:BH425&lt;&gt;""), 2) - COLUMN($AW$1) + 1
   ),
"")</f>
        <v>46113</v>
      </c>
      <c r="BN425" s="55" cm="1">
        <f t="array" ref="BN425">IFERROR(INDEX($AW$1:$BH$1,1,MATCH(2,1/(AW425:BH425&lt;&gt;""))),"")</f>
        <v>46143</v>
      </c>
      <c r="BO425" s="53">
        <f ca="1">IFERROR(_xlfn.XLOOKUP(F425,Apuração!A:A,Apuração!C:C)/_xlfn.XLOOKUP(F425,Apuração!A:A,Apuração!B:B),0)</f>
        <v>0.22222222222222221</v>
      </c>
      <c r="BP425" s="53">
        <f ca="1">IFERROR(_xlfn.XLOOKUP(F425,Apuração!A:A,Apuração!D:D)/_xlfn.XLOOKUP(F425,Apuração!A:A,Apuração!B:B),0)</f>
        <v>0.1111111111111111</v>
      </c>
      <c r="BQ425" s="53">
        <f ca="1">IF(BK425&gt;=BO425,0,_xlfn.XLOOKUP(F425,Apuração!A:A,Apuração!B:B)*(BO425 + (1/_xlfn.XLOOKUP(F425,Apuração!A:A,Apuração!B:B)) - BK425))</f>
        <v>2.5</v>
      </c>
      <c r="BR425" s="85">
        <f t="shared" ca="1" si="752"/>
        <v>5</v>
      </c>
      <c r="BS425" s="53">
        <f ca="1">IFERROR((_xlfn.XLOOKUP(F425,Apuração!A:A,Apuração!C:C)+1)/_xlfn.XLOOKUP(F425,Apuração!A:A,Apuração!B:B),0)</f>
        <v>0.33333333333333331</v>
      </c>
    </row>
    <row r="426" spans="1:71" ht="25.95" hidden="1" customHeight="1" x14ac:dyDescent="0.3">
      <c r="A426" s="39" t="s">
        <v>33</v>
      </c>
      <c r="B426" s="4" t="s">
        <v>73</v>
      </c>
      <c r="C426" s="5" t="s">
        <v>97</v>
      </c>
      <c r="D426" s="5" t="s">
        <v>36</v>
      </c>
      <c r="E426" s="4" t="str" cm="1">
        <f t="array" ref="E426">_xlfn.IFS(
F426 = "A partir de Abril", "Aguardando Execução na Distribuidora",
A426 = "CAPACITAÇÃO", "Em execução no Corporativo",
TRUE, "Em Execução na Distribuidora"
)</f>
        <v>Em Execução na Distribuidora</v>
      </c>
      <c r="F426" s="4" t="str" cm="1">
        <f t="array" ref="F426">_xlfn.IFS(
AG426 &lt;&gt; "", "Jan-Dez/26",
AH426 &lt;&gt; "", "Fev-Dez/26",
AI426 &lt;&gt; "", "Mar-Dez/26", AJ426 &lt;&gt; "", "Abr-Dez/26",
TRUE, "A partir de Junho"
)</f>
        <v>Jan-Dez/26</v>
      </c>
      <c r="G426" s="4" t="s">
        <v>37</v>
      </c>
      <c r="H426" s="7" t="s">
        <v>54</v>
      </c>
      <c r="I426" s="9" t="s">
        <v>76</v>
      </c>
      <c r="J426" s="8" t="str" cm="1">
        <f t="array" aca="1" ref="J426" ca="1">_xlfn.LET(
  _xlpm.actual_value_month, INDEX(T426:AE426, MATCH(DATE(YEAR(TODAY()), MONTH(TODAY()), 1), $T$1:$AE$1, 0)),
  IF(_xlpm.actual_value_month &lt;&gt; "",_xlpm.actual_value_month &amp; " ações mensais", "")
)</f>
        <v/>
      </c>
      <c r="K426" s="14" t="str" cm="1">
        <f t="array" ref="K426">_xlfn.LET(
    _xlpm.sum_month, SUM(T426:AE426),
    IF(_xlpm.sum_month = 0, "", _xlpm.sum_month &amp; " pessoas impactadas no ano.")
)</f>
        <v/>
      </c>
      <c r="L426" s="9" t="s">
        <v>76</v>
      </c>
      <c r="M426" s="13">
        <v>1</v>
      </c>
      <c r="N426" s="5" t="s">
        <v>51</v>
      </c>
      <c r="O426" s="5" t="s">
        <v>52</v>
      </c>
      <c r="P426" s="10" t="s">
        <v>44</v>
      </c>
      <c r="Q426" s="10" t="s">
        <v>44</v>
      </c>
      <c r="R426" s="11" t="s">
        <v>44</v>
      </c>
      <c r="S426" s="11" t="s">
        <v>44</v>
      </c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G426" s="71">
        <v>82</v>
      </c>
      <c r="AH426" s="71">
        <v>250</v>
      </c>
      <c r="AI426" s="71">
        <v>1190</v>
      </c>
      <c r="AJ426" s="71">
        <v>282</v>
      </c>
      <c r="AK426" s="71">
        <v>140</v>
      </c>
      <c r="AL426" s="71"/>
      <c r="AM426" s="71"/>
      <c r="AN426" s="71"/>
      <c r="AO426" s="71"/>
      <c r="AP426" s="71"/>
      <c r="AQ426" s="71"/>
      <c r="AR426" s="71"/>
      <c r="AS426" s="94">
        <f t="shared" ca="1" si="651"/>
        <v>0</v>
      </c>
      <c r="AT426" s="95">
        <f>SUM(AG426:AR426)</f>
        <v>1944</v>
      </c>
      <c r="AU426" s="97">
        <f t="shared" si="652"/>
        <v>1944</v>
      </c>
      <c r="AW426" s="83">
        <f>AG426</f>
        <v>82</v>
      </c>
      <c r="AX426" s="83">
        <f t="shared" ref="AX426" si="753">AH426</f>
        <v>250</v>
      </c>
      <c r="AY426" s="83">
        <f t="shared" ref="AY426" si="754">AI426</f>
        <v>1190</v>
      </c>
      <c r="AZ426" s="83">
        <f t="shared" ref="AZ426:BA436" si="755">AJ426</f>
        <v>282</v>
      </c>
      <c r="BA426" s="83">
        <f t="shared" si="755"/>
        <v>140</v>
      </c>
      <c r="BB426" s="52"/>
      <c r="BC426" s="52"/>
      <c r="BD426" s="52"/>
      <c r="BE426" s="52"/>
      <c r="BF426" s="52"/>
      <c r="BG426" s="52"/>
      <c r="BH426" s="52"/>
      <c r="BI426" s="68" cm="1">
        <f t="array" ref="BI426">IFERROR(INDEX(AW426:BH426,1,MATCH(2,1/(AW426:BH426&lt;&gt;""))),"")</f>
        <v>140</v>
      </c>
      <c r="BJ426" s="68" cm="1">
        <f t="array" ref="BJ426">IF(BM426 = "", "",IFERROR(INDEX(AW426:BH426,1,MATCH(2,1/(AW426:BH426&lt;&gt;""),1)-1),""))</f>
        <v>282</v>
      </c>
      <c r="BK426" s="59">
        <f>SUM(AW426:BH426)</f>
        <v>1944</v>
      </c>
      <c r="BL426" s="59" cm="1">
        <f t="array" ref="BL426">IFERROR(SUM(AW426:INDEX(AW426:BH426, MATCH(2, 1/(AW426:BH426&lt;&gt;""), 1) - 1))/_xlfn.XLOOKUP(F426,Apuração!A:A,Apuração!B:B),0)</f>
        <v>150.33333333333334</v>
      </c>
      <c r="BM426" s="55" cm="1">
        <f t="array" ref="BM426">IFERROR(
   INDEX($AW$1:$BH$1,
      _xlfn.AGGREGATE(14, 6, COLUMN($AW$1:$BH$1)/(AW426:BH426&lt;&gt;""), 2) - COLUMN($AW$1) + 1
   ),
"")</f>
        <v>46113</v>
      </c>
      <c r="BN426" s="55" cm="1">
        <f t="array" ref="BN426">IFERROR(INDEX($AW$1:$BH$1,1,MATCH(2,1/(AW426:BH426&lt;&gt;""))),"")</f>
        <v>46143</v>
      </c>
      <c r="BO426" s="53">
        <f ca="1">IFERROR(_xlfn.XLOOKUP(F426,Apuração!A:A,Apuração!C:C)/_xlfn.XLOOKUP(F426,Apuração!A:A,Apuração!B:B),0)</f>
        <v>0.41666666666666669</v>
      </c>
      <c r="BP426" s="53">
        <f ca="1">IFERROR(_xlfn.XLOOKUP(F426,Apuração!A:A,Apuração!D:D)/_xlfn.XLOOKUP(F426,Apuração!A:A,Apuração!B:B),0)</f>
        <v>0.33333333333333331</v>
      </c>
      <c r="BQ426" s="53">
        <f ca="1">IF(BK426&gt;=BO426,0,_xlfn.XLOOKUP(F426,Apuração!A:A,Apuração!B:B)*(BO426 + (1/_xlfn.XLOOKUP(F426,Apuração!A:A,Apuração!B:B)) - BK426))</f>
        <v>0</v>
      </c>
      <c r="BR426" s="85">
        <f t="shared" ca="1" si="644"/>
        <v>0</v>
      </c>
      <c r="BS426" s="53">
        <f ca="1">IFERROR((_xlfn.XLOOKUP(F426,Apuração!A:A,Apuração!C:C)+1)/_xlfn.XLOOKUP(F426,Apuração!A:A,Apuração!B:B),0)</f>
        <v>0.5</v>
      </c>
    </row>
    <row r="427" spans="1:71" ht="25.95" hidden="1" customHeight="1" x14ac:dyDescent="0.3">
      <c r="A427" s="39" t="s">
        <v>33</v>
      </c>
      <c r="B427" s="4" t="s">
        <v>73</v>
      </c>
      <c r="C427" s="5" t="s">
        <v>97</v>
      </c>
      <c r="D427" s="5" t="s">
        <v>98</v>
      </c>
      <c r="E427" s="4" t="str" cm="1">
        <f t="array" ref="E427">_xlfn.IFS(
F427 = "A partir de Abril", "Aguardando Execução na Distribuidora",
A427 = "CAPACITAÇÃO", "Em execução no Corporativo",
TRUE, "Em Execução na Distribuidora"
)</f>
        <v>Em Execução na Distribuidora</v>
      </c>
      <c r="F427" s="4" t="str" cm="1">
        <f t="array" ref="F427">_xlfn.IFS(
AG427 &lt;&gt; "", "Jan-Dez/26",
AH427 &lt;&gt; "", "Fev-Dez/26",
AI427 &lt;&gt; "", "Mar-Dez/26", AJ427 &lt;&gt; "", "Abr-Dez/26",
TRUE, "A partir de Junho"
)</f>
        <v>Abr-Dez/26</v>
      </c>
      <c r="G427" s="4" t="s">
        <v>37</v>
      </c>
      <c r="H427" s="7" t="s">
        <v>54</v>
      </c>
      <c r="I427" s="9" t="s">
        <v>76</v>
      </c>
      <c r="J427" s="8" t="str" cm="1">
        <f t="array" aca="1" ref="J427" ca="1">_xlfn.LET(
  _xlpm.actual_value_month, INDEX(T427:AE427, MATCH(DATE(YEAR(TODAY()), MONTH(TODAY()), 1), $T$1:$AE$1, 0)),
  IF(_xlpm.actual_value_month &lt;&gt; "",_xlpm.actual_value_month &amp; " ações mensais", "")
)</f>
        <v/>
      </c>
      <c r="K427" s="14" t="str" cm="1">
        <f t="array" ref="K427">_xlfn.LET(
    _xlpm.sum_month, SUM(T427:AE427),
    IF(_xlpm.sum_month = 0, "", _xlpm.sum_month &amp; " pessoas impactadas no ano.")
)</f>
        <v/>
      </c>
      <c r="L427" s="9" t="s">
        <v>76</v>
      </c>
      <c r="M427" s="13">
        <v>1</v>
      </c>
      <c r="N427" s="5" t="s">
        <v>51</v>
      </c>
      <c r="O427" s="5" t="s">
        <v>52</v>
      </c>
      <c r="P427" s="10" t="s">
        <v>44</v>
      </c>
      <c r="Q427" s="10" t="s">
        <v>44</v>
      </c>
      <c r="R427" s="11" t="s">
        <v>44</v>
      </c>
      <c r="S427" s="11" t="s">
        <v>44</v>
      </c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G427" s="71"/>
      <c r="AH427" s="71"/>
      <c r="AI427" s="71"/>
      <c r="AJ427" s="82">
        <v>0</v>
      </c>
      <c r="AK427" s="71"/>
      <c r="AL427" s="71"/>
      <c r="AM427" s="71"/>
      <c r="AN427" s="71"/>
      <c r="AO427" s="71"/>
      <c r="AP427" s="71"/>
      <c r="AQ427" s="71"/>
      <c r="AR427" s="71"/>
      <c r="AS427" s="94">
        <f t="shared" ref="AS427:AS436" ca="1" si="756">IF(MONTH(TODAY())=3,SUM(T427:U427),IF(MONTH(TODAY())=4,SUM(T427:V427),IF(MONTH(TODAY())=5,SUM(T427:W427),IF(MONTH(TODAY())=6,SUM(T427:X427),IF(MONTH(TODAY())=7,SUM(T427:Y427),IF(MONTH(TODAY())=8,SUM(T427:Z427),IF(MONTH(TODAY())=9,SUM(T427:AA427),IF(MONTH(TODAY())=10,SUM(T427:AB427),IF(MONTH(TODAY())=11,SUM(T427:AC427),IF(MONTH(TODAY())=12,SUM(T427:AD427),IF(MONTH(TODAY())=1,SUM(T427:AE427),T427)))))))))))</f>
        <v>0</v>
      </c>
      <c r="AT427" s="95">
        <f t="shared" ref="AT427:AT436" si="757">SUM(AG427:AR427)</f>
        <v>0</v>
      </c>
      <c r="AU427" s="97">
        <f t="shared" ref="AU427:AU436" si="758">SUM(AG427:AR427)</f>
        <v>0</v>
      </c>
      <c r="AW427" s="83">
        <f t="shared" ref="AW427:AW436" si="759">AG427</f>
        <v>0</v>
      </c>
      <c r="AX427" s="83">
        <f t="shared" ref="AX427:AX436" si="760">AH427</f>
        <v>0</v>
      </c>
      <c r="AY427" s="83">
        <f t="shared" ref="AY427:AY436" si="761">AI427</f>
        <v>0</v>
      </c>
      <c r="AZ427" s="83">
        <f t="shared" ref="AZ427:AZ436" si="762">AJ427</f>
        <v>0</v>
      </c>
      <c r="BA427" s="83">
        <f t="shared" si="755"/>
        <v>0</v>
      </c>
      <c r="BB427" s="52"/>
      <c r="BC427" s="52"/>
      <c r="BD427" s="52"/>
      <c r="BE427" s="52"/>
      <c r="BF427" s="52"/>
      <c r="BG427" s="52"/>
      <c r="BH427" s="52"/>
      <c r="BI427" s="68" cm="1">
        <f t="array" ref="BI427">IFERROR(INDEX(AW427:BH427,1,MATCH(2,1/(AW427:BH427&lt;&gt;""))),"")</f>
        <v>0</v>
      </c>
      <c r="BJ427" s="68" cm="1">
        <f t="array" ref="BJ427">IF(BM427 = "", "",IFERROR(INDEX(AW427:BH427,1,MATCH(2,1/(AW427:BH427&lt;&gt;""),1)-1),""))</f>
        <v>0</v>
      </c>
      <c r="BK427" s="59">
        <f t="shared" ref="BK427:BK436" si="763">SUM(AW427:BH427)</f>
        <v>0</v>
      </c>
      <c r="BL427" s="59" cm="1">
        <f t="array" ref="BL427">IFERROR(SUM(AW427:INDEX(AW427:BH427, MATCH(2, 1/(AW427:BH427&lt;&gt;""), 1) - 1))/_xlfn.XLOOKUP(F427,Apuração!A:A,Apuração!B:B),0)</f>
        <v>0</v>
      </c>
      <c r="BM427" s="55" cm="1">
        <f t="array" ref="BM427">IFERROR(
   INDEX($AW$1:$BH$1,
      _xlfn.AGGREGATE(14, 6, COLUMN($AW$1:$BH$1)/(AW427:BH427&lt;&gt;""), 2) - COLUMN($AW$1) + 1
   ),
"")</f>
        <v>46113</v>
      </c>
      <c r="BN427" s="55" cm="1">
        <f t="array" ref="BN427">IFERROR(INDEX($AW$1:$BH$1,1,MATCH(2,1/(AW427:BH427&lt;&gt;""))),"")</f>
        <v>46143</v>
      </c>
      <c r="BO427" s="53">
        <f ca="1">IFERROR(_xlfn.XLOOKUP(F427,Apuração!A:A,Apuração!C:C)/_xlfn.XLOOKUP(F427,Apuração!A:A,Apuração!B:B),0)</f>
        <v>0.22222222222222221</v>
      </c>
      <c r="BP427" s="53">
        <f ca="1">IFERROR(_xlfn.XLOOKUP(F427,Apuração!A:A,Apuração!D:D)/_xlfn.XLOOKUP(F427,Apuração!A:A,Apuração!B:B),0)</f>
        <v>0.1111111111111111</v>
      </c>
      <c r="BQ427" s="53">
        <f ca="1">IF(BK427&gt;=BO427,0,_xlfn.XLOOKUP(F427,Apuração!A:A,Apuração!B:B)*(BO427 + (1/_xlfn.XLOOKUP(F427,Apuração!A:A,Apuração!B:B)) - BK427))</f>
        <v>3</v>
      </c>
      <c r="BR427" s="85">
        <f t="shared" ref="BR427:BR436" ca="1" si="764">IF(BQ427=0,0,BQ427*Z427)</f>
        <v>0</v>
      </c>
      <c r="BS427" s="53">
        <f ca="1">IFERROR((_xlfn.XLOOKUP(F427,Apuração!A:A,Apuração!C:C)+1)/_xlfn.XLOOKUP(F427,Apuração!A:A,Apuração!B:B),0)</f>
        <v>0.33333333333333331</v>
      </c>
    </row>
    <row r="428" spans="1:71" ht="25.95" hidden="1" customHeight="1" x14ac:dyDescent="0.3">
      <c r="A428" s="39" t="s">
        <v>33</v>
      </c>
      <c r="B428" s="4" t="s">
        <v>73</v>
      </c>
      <c r="C428" s="5" t="s">
        <v>97</v>
      </c>
      <c r="D428" s="5" t="s">
        <v>99</v>
      </c>
      <c r="E428" s="4" t="str" cm="1">
        <f t="array" ref="E428">_xlfn.IFS(
F428 = "A partir de Abril", "Aguardando Execução na Distribuidora",
A428 = "CAPACITAÇÃO", "Em execução no Corporativo",
TRUE, "Em Execução na Distribuidora"
)</f>
        <v>Em Execução na Distribuidora</v>
      </c>
      <c r="F428" s="4" t="str" cm="1">
        <f t="array" ref="F428">_xlfn.IFS(
AG428 &lt;&gt; "", "Jan-Dez/26",
AH428 &lt;&gt; "", "Fev-Dez/26",
AI428 &lt;&gt; "", "Mar-Dez/26", AJ428 &lt;&gt; "", "Abr-Dez/26",
TRUE, "A partir de Junho"
)</f>
        <v>Abr-Dez/26</v>
      </c>
      <c r="G428" s="4" t="s">
        <v>37</v>
      </c>
      <c r="H428" s="7" t="s">
        <v>54</v>
      </c>
      <c r="I428" s="9" t="s">
        <v>76</v>
      </c>
      <c r="J428" s="8" t="str" cm="1">
        <f t="array" aca="1" ref="J428" ca="1">_xlfn.LET(
  _xlpm.actual_value_month, INDEX(T428:AE428, MATCH(DATE(YEAR(TODAY()), MONTH(TODAY()), 1), $T$1:$AE$1, 0)),
  IF(_xlpm.actual_value_month &lt;&gt; "",_xlpm.actual_value_month &amp; " ações mensais", "")
)</f>
        <v/>
      </c>
      <c r="K428" s="14" t="str" cm="1">
        <f t="array" ref="K428">_xlfn.LET(
    _xlpm.sum_month, SUM(T428:AE428),
    IF(_xlpm.sum_month = 0, "", _xlpm.sum_month &amp; " pessoas impactadas no ano.")
)</f>
        <v/>
      </c>
      <c r="L428" s="9" t="s">
        <v>76</v>
      </c>
      <c r="M428" s="13">
        <v>1</v>
      </c>
      <c r="N428" s="5" t="s">
        <v>51</v>
      </c>
      <c r="O428" s="5" t="s">
        <v>52</v>
      </c>
      <c r="P428" s="10" t="s">
        <v>44</v>
      </c>
      <c r="Q428" s="10" t="s">
        <v>44</v>
      </c>
      <c r="R428" s="11" t="s">
        <v>44</v>
      </c>
      <c r="S428" s="11" t="s">
        <v>44</v>
      </c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G428" s="71"/>
      <c r="AH428" s="71"/>
      <c r="AI428" s="71"/>
      <c r="AJ428" s="82">
        <v>0</v>
      </c>
      <c r="AK428" s="71"/>
      <c r="AL428" s="71"/>
      <c r="AM428" s="71"/>
      <c r="AN428" s="71"/>
      <c r="AO428" s="71"/>
      <c r="AP428" s="71"/>
      <c r="AQ428" s="71"/>
      <c r="AR428" s="71"/>
      <c r="AS428" s="94">
        <f t="shared" ca="1" si="756"/>
        <v>0</v>
      </c>
      <c r="AT428" s="95">
        <f t="shared" si="757"/>
        <v>0</v>
      </c>
      <c r="AU428" s="97">
        <f t="shared" si="758"/>
        <v>0</v>
      </c>
      <c r="AW428" s="83">
        <f t="shared" si="759"/>
        <v>0</v>
      </c>
      <c r="AX428" s="83">
        <f t="shared" si="760"/>
        <v>0</v>
      </c>
      <c r="AY428" s="83">
        <f t="shared" si="761"/>
        <v>0</v>
      </c>
      <c r="AZ428" s="83">
        <f t="shared" si="762"/>
        <v>0</v>
      </c>
      <c r="BA428" s="83">
        <f t="shared" si="755"/>
        <v>0</v>
      </c>
      <c r="BB428" s="52"/>
      <c r="BC428" s="52"/>
      <c r="BD428" s="52"/>
      <c r="BE428" s="52"/>
      <c r="BF428" s="52"/>
      <c r="BG428" s="52"/>
      <c r="BH428" s="52"/>
      <c r="BI428" s="68" cm="1">
        <f t="array" ref="BI428">IFERROR(INDEX(AW428:BH428,1,MATCH(2,1/(AW428:BH428&lt;&gt;""))),"")</f>
        <v>0</v>
      </c>
      <c r="BJ428" s="68" cm="1">
        <f t="array" ref="BJ428">IF(BM428 = "", "",IFERROR(INDEX(AW428:BH428,1,MATCH(2,1/(AW428:BH428&lt;&gt;""),1)-1),""))</f>
        <v>0</v>
      </c>
      <c r="BK428" s="59">
        <f t="shared" si="763"/>
        <v>0</v>
      </c>
      <c r="BL428" s="59" cm="1">
        <f t="array" ref="BL428">IFERROR(SUM(AW428:INDEX(AW428:BH428, MATCH(2, 1/(AW428:BH428&lt;&gt;""), 1) - 1))/_xlfn.XLOOKUP(F428,Apuração!A:A,Apuração!B:B),0)</f>
        <v>0</v>
      </c>
      <c r="BM428" s="55" cm="1">
        <f t="array" ref="BM428">IFERROR(
   INDEX($AW$1:$BH$1,
      _xlfn.AGGREGATE(14, 6, COLUMN($AW$1:$BH$1)/(AW428:BH428&lt;&gt;""), 2) - COLUMN($AW$1) + 1
   ),
"")</f>
        <v>46113</v>
      </c>
      <c r="BN428" s="55" cm="1">
        <f t="array" ref="BN428">IFERROR(INDEX($AW$1:$BH$1,1,MATCH(2,1/(AW428:BH428&lt;&gt;""))),"")</f>
        <v>46143</v>
      </c>
      <c r="BO428" s="53">
        <f ca="1">IFERROR(_xlfn.XLOOKUP(F428,Apuração!A:A,Apuração!C:C)/_xlfn.XLOOKUP(F428,Apuração!A:A,Apuração!B:B),0)</f>
        <v>0.22222222222222221</v>
      </c>
      <c r="BP428" s="53">
        <f ca="1">IFERROR(_xlfn.XLOOKUP(F428,Apuração!A:A,Apuração!D:D)/_xlfn.XLOOKUP(F428,Apuração!A:A,Apuração!B:B),0)</f>
        <v>0.1111111111111111</v>
      </c>
      <c r="BQ428" s="53">
        <f ca="1">IF(BK428&gt;=BO428,0,_xlfn.XLOOKUP(F428,Apuração!A:A,Apuração!B:B)*(BO428 + (1/_xlfn.XLOOKUP(F428,Apuração!A:A,Apuração!B:B)) - BK428))</f>
        <v>3</v>
      </c>
      <c r="BR428" s="85">
        <f t="shared" ca="1" si="764"/>
        <v>0</v>
      </c>
      <c r="BS428" s="53">
        <f ca="1">IFERROR((_xlfn.XLOOKUP(F428,Apuração!A:A,Apuração!C:C)+1)/_xlfn.XLOOKUP(F428,Apuração!A:A,Apuração!B:B),0)</f>
        <v>0.33333333333333331</v>
      </c>
    </row>
    <row r="429" spans="1:71" ht="25.95" hidden="1" customHeight="1" x14ac:dyDescent="0.3">
      <c r="A429" s="39" t="s">
        <v>33</v>
      </c>
      <c r="B429" s="4" t="s">
        <v>73</v>
      </c>
      <c r="C429" s="5" t="s">
        <v>97</v>
      </c>
      <c r="D429" s="5" t="s">
        <v>100</v>
      </c>
      <c r="E429" s="4" t="str" cm="1">
        <f t="array" ref="E429">_xlfn.IFS(
F429 = "A partir de Abril", "Aguardando Execução na Distribuidora",
A429 = "CAPACITAÇÃO", "Em execução no Corporativo",
TRUE, "Em Execução na Distribuidora"
)</f>
        <v>Em Execução na Distribuidora</v>
      </c>
      <c r="F429" s="4" t="str" cm="1">
        <f t="array" ref="F429">_xlfn.IFS(
AG429 &lt;&gt; "", "Jan-Dez/26",
AH429 &lt;&gt; "", "Fev-Dez/26",
AI429 &lt;&gt; "", "Mar-Dez/26", AJ429 &lt;&gt; "", "Abr-Dez/26",
TRUE, "A partir de Junho"
)</f>
        <v>Abr-Dez/26</v>
      </c>
      <c r="G429" s="4" t="s">
        <v>37</v>
      </c>
      <c r="H429" s="7" t="s">
        <v>54</v>
      </c>
      <c r="I429" s="9" t="s">
        <v>76</v>
      </c>
      <c r="J429" s="8" t="str" cm="1">
        <f t="array" aca="1" ref="J429" ca="1">_xlfn.LET(
  _xlpm.actual_value_month, INDEX(T429:AE429, MATCH(DATE(YEAR(TODAY()), MONTH(TODAY()), 1), $T$1:$AE$1, 0)),
  IF(_xlpm.actual_value_month &lt;&gt; "",_xlpm.actual_value_month &amp; " ações mensais", "")
)</f>
        <v/>
      </c>
      <c r="K429" s="14" t="str" cm="1">
        <f t="array" ref="K429">_xlfn.LET(
    _xlpm.sum_month, SUM(T429:AE429),
    IF(_xlpm.sum_month = 0, "", _xlpm.sum_month &amp; " pessoas impactadas no ano.")
)</f>
        <v/>
      </c>
      <c r="L429" s="9" t="s">
        <v>76</v>
      </c>
      <c r="M429" s="13">
        <v>1</v>
      </c>
      <c r="N429" s="5" t="s">
        <v>51</v>
      </c>
      <c r="O429" s="5" t="s">
        <v>52</v>
      </c>
      <c r="P429" s="10" t="s">
        <v>44</v>
      </c>
      <c r="Q429" s="10" t="s">
        <v>44</v>
      </c>
      <c r="R429" s="11" t="s">
        <v>44</v>
      </c>
      <c r="S429" s="11" t="s">
        <v>44</v>
      </c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G429" s="71"/>
      <c r="AH429" s="71"/>
      <c r="AI429" s="71"/>
      <c r="AJ429" s="82">
        <v>50</v>
      </c>
      <c r="AK429" s="71"/>
      <c r="AL429" s="71"/>
      <c r="AM429" s="71"/>
      <c r="AN429" s="71"/>
      <c r="AO429" s="71"/>
      <c r="AP429" s="71"/>
      <c r="AQ429" s="71"/>
      <c r="AR429" s="71"/>
      <c r="AS429" s="94">
        <f t="shared" ca="1" si="756"/>
        <v>0</v>
      </c>
      <c r="AT429" s="95">
        <f t="shared" si="757"/>
        <v>50</v>
      </c>
      <c r="AU429" s="97">
        <f t="shared" si="758"/>
        <v>50</v>
      </c>
      <c r="AW429" s="83">
        <f t="shared" si="759"/>
        <v>0</v>
      </c>
      <c r="AX429" s="83">
        <f t="shared" si="760"/>
        <v>0</v>
      </c>
      <c r="AY429" s="83">
        <f t="shared" si="761"/>
        <v>0</v>
      </c>
      <c r="AZ429" s="83">
        <f t="shared" si="762"/>
        <v>50</v>
      </c>
      <c r="BA429" s="83">
        <f t="shared" si="755"/>
        <v>0</v>
      </c>
      <c r="BB429" s="52"/>
      <c r="BC429" s="52"/>
      <c r="BD429" s="52"/>
      <c r="BE429" s="52"/>
      <c r="BF429" s="52"/>
      <c r="BG429" s="52"/>
      <c r="BH429" s="52"/>
      <c r="BI429" s="68" cm="1">
        <f t="array" ref="BI429">IFERROR(INDEX(AW429:BH429,1,MATCH(2,1/(AW429:BH429&lt;&gt;""))),"")</f>
        <v>0</v>
      </c>
      <c r="BJ429" s="68" cm="1">
        <f t="array" ref="BJ429">IF(BM429 = "", "",IFERROR(INDEX(AW429:BH429,1,MATCH(2,1/(AW429:BH429&lt;&gt;""),1)-1),""))</f>
        <v>50</v>
      </c>
      <c r="BK429" s="59">
        <f t="shared" si="763"/>
        <v>50</v>
      </c>
      <c r="BL429" s="59" cm="1">
        <f t="array" ref="BL429">IFERROR(SUM(AW429:INDEX(AW429:BH429, MATCH(2, 1/(AW429:BH429&lt;&gt;""), 1) - 1))/_xlfn.XLOOKUP(F429,Apuração!A:A,Apuração!B:B),0)</f>
        <v>5.5555555555555554</v>
      </c>
      <c r="BM429" s="55" cm="1">
        <f t="array" ref="BM429">IFERROR(
   INDEX($AW$1:$BH$1,
      _xlfn.AGGREGATE(14, 6, COLUMN($AW$1:$BH$1)/(AW429:BH429&lt;&gt;""), 2) - COLUMN($AW$1) + 1
   ),
"")</f>
        <v>46113</v>
      </c>
      <c r="BN429" s="55" cm="1">
        <f t="array" ref="BN429">IFERROR(INDEX($AW$1:$BH$1,1,MATCH(2,1/(AW429:BH429&lt;&gt;""))),"")</f>
        <v>46143</v>
      </c>
      <c r="BO429" s="53">
        <f ca="1">IFERROR(_xlfn.XLOOKUP(F429,Apuração!A:A,Apuração!C:C)/_xlfn.XLOOKUP(F429,Apuração!A:A,Apuração!B:B),0)</f>
        <v>0.22222222222222221</v>
      </c>
      <c r="BP429" s="53">
        <f ca="1">IFERROR(_xlfn.XLOOKUP(F429,Apuração!A:A,Apuração!D:D)/_xlfn.XLOOKUP(F429,Apuração!A:A,Apuração!B:B),0)</f>
        <v>0.1111111111111111</v>
      </c>
      <c r="BQ429" s="53">
        <f ca="1">IF(BK429&gt;=BO429,0,_xlfn.XLOOKUP(F429,Apuração!A:A,Apuração!B:B)*(BO429 + (1/_xlfn.XLOOKUP(F429,Apuração!A:A,Apuração!B:B)) - BK429))</f>
        <v>0</v>
      </c>
      <c r="BR429" s="85">
        <f t="shared" ca="1" si="764"/>
        <v>0</v>
      </c>
      <c r="BS429" s="53">
        <f ca="1">IFERROR((_xlfn.XLOOKUP(F429,Apuração!A:A,Apuração!C:C)+1)/_xlfn.XLOOKUP(F429,Apuração!A:A,Apuração!B:B),0)</f>
        <v>0.33333333333333331</v>
      </c>
    </row>
    <row r="430" spans="1:71" ht="25.95" hidden="1" customHeight="1" x14ac:dyDescent="0.3">
      <c r="A430" s="39" t="s">
        <v>33</v>
      </c>
      <c r="B430" s="4" t="s">
        <v>73</v>
      </c>
      <c r="C430" s="5" t="s">
        <v>97</v>
      </c>
      <c r="D430" s="5" t="s">
        <v>101</v>
      </c>
      <c r="E430" s="4" t="str" cm="1">
        <f t="array" ref="E430">_xlfn.IFS(
F430 = "A partir de Abril", "Aguardando Execução na Distribuidora",
A430 = "CAPACITAÇÃO", "Em execução no Corporativo",
TRUE, "Em Execução na Distribuidora"
)</f>
        <v>Em Execução na Distribuidora</v>
      </c>
      <c r="F430" s="4" t="str" cm="1">
        <f t="array" ref="F430">_xlfn.IFS(
AG430 &lt;&gt; "", "Jan-Dez/26",
AH430 &lt;&gt; "", "Fev-Dez/26",
AI430 &lt;&gt; "", "Mar-Dez/26", AJ430 &lt;&gt; "", "Abr-Dez/26",
TRUE, "A partir de Junho"
)</f>
        <v>Abr-Dez/26</v>
      </c>
      <c r="G430" s="4" t="s">
        <v>37</v>
      </c>
      <c r="H430" s="7" t="s">
        <v>54</v>
      </c>
      <c r="I430" s="9" t="s">
        <v>76</v>
      </c>
      <c r="J430" s="8" t="str" cm="1">
        <f t="array" aca="1" ref="J430" ca="1">_xlfn.LET(
  _xlpm.actual_value_month, INDEX(T430:AE430, MATCH(DATE(YEAR(TODAY()), MONTH(TODAY()), 1), $T$1:$AE$1, 0)),
  IF(_xlpm.actual_value_month &lt;&gt; "",_xlpm.actual_value_month &amp; " ações mensais", "")
)</f>
        <v/>
      </c>
      <c r="K430" s="14" t="str" cm="1">
        <f t="array" ref="K430">_xlfn.LET(
    _xlpm.sum_month, SUM(T430:AE430),
    IF(_xlpm.sum_month = 0, "", _xlpm.sum_month &amp; " pessoas impactadas no ano.")
)</f>
        <v/>
      </c>
      <c r="L430" s="9" t="s">
        <v>76</v>
      </c>
      <c r="M430" s="13">
        <v>1</v>
      </c>
      <c r="N430" s="5" t="s">
        <v>51</v>
      </c>
      <c r="O430" s="5" t="s">
        <v>52</v>
      </c>
      <c r="P430" s="10" t="s">
        <v>44</v>
      </c>
      <c r="Q430" s="10" t="s">
        <v>44</v>
      </c>
      <c r="R430" s="11" t="s">
        <v>44</v>
      </c>
      <c r="S430" s="11" t="s">
        <v>44</v>
      </c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G430" s="71"/>
      <c r="AH430" s="71"/>
      <c r="AI430" s="71"/>
      <c r="AJ430" s="82">
        <v>0</v>
      </c>
      <c r="AK430" s="71"/>
      <c r="AL430" s="71"/>
      <c r="AM430" s="71"/>
      <c r="AN430" s="71"/>
      <c r="AO430" s="71"/>
      <c r="AP430" s="71"/>
      <c r="AQ430" s="71"/>
      <c r="AR430" s="71"/>
      <c r="AS430" s="94">
        <f t="shared" ca="1" si="756"/>
        <v>0</v>
      </c>
      <c r="AT430" s="95">
        <f t="shared" si="757"/>
        <v>0</v>
      </c>
      <c r="AU430" s="97">
        <f t="shared" si="758"/>
        <v>0</v>
      </c>
      <c r="AW430" s="83">
        <f t="shared" si="759"/>
        <v>0</v>
      </c>
      <c r="AX430" s="83">
        <f t="shared" si="760"/>
        <v>0</v>
      </c>
      <c r="AY430" s="83">
        <f t="shared" si="761"/>
        <v>0</v>
      </c>
      <c r="AZ430" s="83">
        <f t="shared" si="762"/>
        <v>0</v>
      </c>
      <c r="BA430" s="83">
        <f t="shared" si="755"/>
        <v>0</v>
      </c>
      <c r="BB430" s="52"/>
      <c r="BC430" s="52"/>
      <c r="BD430" s="52"/>
      <c r="BE430" s="52"/>
      <c r="BF430" s="52"/>
      <c r="BG430" s="52"/>
      <c r="BH430" s="52"/>
      <c r="BI430" s="68" cm="1">
        <f t="array" ref="BI430">IFERROR(INDEX(AW430:BH430,1,MATCH(2,1/(AW430:BH430&lt;&gt;""))),"")</f>
        <v>0</v>
      </c>
      <c r="BJ430" s="68" cm="1">
        <f t="array" ref="BJ430">IF(BM430 = "", "",IFERROR(INDEX(AW430:BH430,1,MATCH(2,1/(AW430:BH430&lt;&gt;""),1)-1),""))</f>
        <v>0</v>
      </c>
      <c r="BK430" s="59">
        <f t="shared" si="763"/>
        <v>0</v>
      </c>
      <c r="BL430" s="59" cm="1">
        <f t="array" ref="BL430">IFERROR(SUM(AW430:INDEX(AW430:BH430, MATCH(2, 1/(AW430:BH430&lt;&gt;""), 1) - 1))/_xlfn.XLOOKUP(F430,Apuração!A:A,Apuração!B:B),0)</f>
        <v>0</v>
      </c>
      <c r="BM430" s="55" cm="1">
        <f t="array" ref="BM430">IFERROR(
   INDEX($AW$1:$BH$1,
      _xlfn.AGGREGATE(14, 6, COLUMN($AW$1:$BH$1)/(AW430:BH430&lt;&gt;""), 2) - COLUMN($AW$1) + 1
   ),
"")</f>
        <v>46113</v>
      </c>
      <c r="BN430" s="55" cm="1">
        <f t="array" ref="BN430">IFERROR(INDEX($AW$1:$BH$1,1,MATCH(2,1/(AW430:BH430&lt;&gt;""))),"")</f>
        <v>46143</v>
      </c>
      <c r="BO430" s="53">
        <f ca="1">IFERROR(_xlfn.XLOOKUP(F430,Apuração!A:A,Apuração!C:C)/_xlfn.XLOOKUP(F430,Apuração!A:A,Apuração!B:B),0)</f>
        <v>0.22222222222222221</v>
      </c>
      <c r="BP430" s="53">
        <f ca="1">IFERROR(_xlfn.XLOOKUP(F430,Apuração!A:A,Apuração!D:D)/_xlfn.XLOOKUP(F430,Apuração!A:A,Apuração!B:B),0)</f>
        <v>0.1111111111111111</v>
      </c>
      <c r="BQ430" s="53">
        <f ca="1">IF(BK430&gt;=BO430,0,_xlfn.XLOOKUP(F430,Apuração!A:A,Apuração!B:B)*(BO430 + (1/_xlfn.XLOOKUP(F430,Apuração!A:A,Apuração!B:B)) - BK430))</f>
        <v>3</v>
      </c>
      <c r="BR430" s="85">
        <f t="shared" ca="1" si="764"/>
        <v>0</v>
      </c>
      <c r="BS430" s="53">
        <f ca="1">IFERROR((_xlfn.XLOOKUP(F430,Apuração!A:A,Apuração!C:C)+1)/_xlfn.XLOOKUP(F430,Apuração!A:A,Apuração!B:B),0)</f>
        <v>0.33333333333333331</v>
      </c>
    </row>
    <row r="431" spans="1:71" ht="25.95" hidden="1" customHeight="1" x14ac:dyDescent="0.3">
      <c r="A431" s="39" t="s">
        <v>33</v>
      </c>
      <c r="B431" s="4" t="s">
        <v>73</v>
      </c>
      <c r="C431" s="5" t="s">
        <v>97</v>
      </c>
      <c r="D431" s="5" t="s">
        <v>102</v>
      </c>
      <c r="E431" s="4" t="str" cm="1">
        <f t="array" ref="E431">_xlfn.IFS(
F431 = "A partir de Abril", "Aguardando Execução na Distribuidora",
A431 = "CAPACITAÇÃO", "Em execução no Corporativo",
TRUE, "Em Execução na Distribuidora"
)</f>
        <v>Em Execução na Distribuidora</v>
      </c>
      <c r="F431" s="4" t="str" cm="1">
        <f t="array" ref="F431">_xlfn.IFS(
AG431 &lt;&gt; "", "Jan-Dez/26",
AH431 &lt;&gt; "", "Fev-Dez/26",
AI431 &lt;&gt; "", "Mar-Dez/26", AJ431 &lt;&gt; "", "Abr-Dez/26",
TRUE, "A partir de Junho"
)</f>
        <v>Abr-Dez/26</v>
      </c>
      <c r="G431" s="4" t="s">
        <v>37</v>
      </c>
      <c r="H431" s="7" t="s">
        <v>54</v>
      </c>
      <c r="I431" s="9" t="s">
        <v>76</v>
      </c>
      <c r="J431" s="8" t="str" cm="1">
        <f t="array" aca="1" ref="J431" ca="1">_xlfn.LET(
  _xlpm.actual_value_month, INDEX(T431:AE431, MATCH(DATE(YEAR(TODAY()), MONTH(TODAY()), 1), $T$1:$AE$1, 0)),
  IF(_xlpm.actual_value_month &lt;&gt; "",_xlpm.actual_value_month &amp; " ações mensais", "")
)</f>
        <v/>
      </c>
      <c r="K431" s="14" t="str" cm="1">
        <f t="array" ref="K431">_xlfn.LET(
    _xlpm.sum_month, SUM(T431:AE431),
    IF(_xlpm.sum_month = 0, "", _xlpm.sum_month &amp; " pessoas impactadas no ano.")
)</f>
        <v/>
      </c>
      <c r="L431" s="9" t="s">
        <v>76</v>
      </c>
      <c r="M431" s="13">
        <v>1</v>
      </c>
      <c r="N431" s="5" t="s">
        <v>51</v>
      </c>
      <c r="O431" s="5" t="s">
        <v>52</v>
      </c>
      <c r="P431" s="10" t="s">
        <v>44</v>
      </c>
      <c r="Q431" s="10" t="s">
        <v>44</v>
      </c>
      <c r="R431" s="11" t="s">
        <v>44</v>
      </c>
      <c r="S431" s="11" t="s">
        <v>44</v>
      </c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G431" s="71"/>
      <c r="AH431" s="71"/>
      <c r="AI431" s="71"/>
      <c r="AJ431" s="82">
        <v>0</v>
      </c>
      <c r="AK431" s="71"/>
      <c r="AL431" s="71"/>
      <c r="AM431" s="71"/>
      <c r="AN431" s="71"/>
      <c r="AO431" s="71"/>
      <c r="AP431" s="71"/>
      <c r="AQ431" s="71"/>
      <c r="AR431" s="71"/>
      <c r="AS431" s="94">
        <f t="shared" ca="1" si="756"/>
        <v>0</v>
      </c>
      <c r="AT431" s="95">
        <f t="shared" si="757"/>
        <v>0</v>
      </c>
      <c r="AU431" s="97">
        <f t="shared" si="758"/>
        <v>0</v>
      </c>
      <c r="AW431" s="83">
        <f t="shared" si="759"/>
        <v>0</v>
      </c>
      <c r="AX431" s="83">
        <f t="shared" si="760"/>
        <v>0</v>
      </c>
      <c r="AY431" s="83">
        <f t="shared" si="761"/>
        <v>0</v>
      </c>
      <c r="AZ431" s="83">
        <f t="shared" si="762"/>
        <v>0</v>
      </c>
      <c r="BA431" s="83">
        <f t="shared" si="755"/>
        <v>0</v>
      </c>
      <c r="BB431" s="52"/>
      <c r="BC431" s="52"/>
      <c r="BD431" s="52"/>
      <c r="BE431" s="52"/>
      <c r="BF431" s="52"/>
      <c r="BG431" s="52"/>
      <c r="BH431" s="52"/>
      <c r="BI431" s="68" cm="1">
        <f t="array" ref="BI431">IFERROR(INDEX(AW431:BH431,1,MATCH(2,1/(AW431:BH431&lt;&gt;""))),"")</f>
        <v>0</v>
      </c>
      <c r="BJ431" s="68" cm="1">
        <f t="array" ref="BJ431">IF(BM431 = "", "",IFERROR(INDEX(AW431:BH431,1,MATCH(2,1/(AW431:BH431&lt;&gt;""),1)-1),""))</f>
        <v>0</v>
      </c>
      <c r="BK431" s="59">
        <f t="shared" si="763"/>
        <v>0</v>
      </c>
      <c r="BL431" s="59" cm="1">
        <f t="array" ref="BL431">IFERROR(SUM(AW431:INDEX(AW431:BH431, MATCH(2, 1/(AW431:BH431&lt;&gt;""), 1) - 1))/_xlfn.XLOOKUP(F431,Apuração!A:A,Apuração!B:B),0)</f>
        <v>0</v>
      </c>
      <c r="BM431" s="55" cm="1">
        <f t="array" ref="BM431">IFERROR(
   INDEX($AW$1:$BH$1,
      _xlfn.AGGREGATE(14, 6, COLUMN($AW$1:$BH$1)/(AW431:BH431&lt;&gt;""), 2) - COLUMN($AW$1) + 1
   ),
"")</f>
        <v>46113</v>
      </c>
      <c r="BN431" s="55" cm="1">
        <f t="array" ref="BN431">IFERROR(INDEX($AW$1:$BH$1,1,MATCH(2,1/(AW431:BH431&lt;&gt;""))),"")</f>
        <v>46143</v>
      </c>
      <c r="BO431" s="53">
        <f ca="1">IFERROR(_xlfn.XLOOKUP(F431,Apuração!A:A,Apuração!C:C)/_xlfn.XLOOKUP(F431,Apuração!A:A,Apuração!B:B),0)</f>
        <v>0.22222222222222221</v>
      </c>
      <c r="BP431" s="53">
        <f ca="1">IFERROR(_xlfn.XLOOKUP(F431,Apuração!A:A,Apuração!D:D)/_xlfn.XLOOKUP(F431,Apuração!A:A,Apuração!B:B),0)</f>
        <v>0.1111111111111111</v>
      </c>
      <c r="BQ431" s="53">
        <f ca="1">IF(BK431&gt;=BO431,0,_xlfn.XLOOKUP(F431,Apuração!A:A,Apuração!B:B)*(BO431 + (1/_xlfn.XLOOKUP(F431,Apuração!A:A,Apuração!B:B)) - BK431))</f>
        <v>3</v>
      </c>
      <c r="BR431" s="85">
        <f t="shared" ca="1" si="764"/>
        <v>0</v>
      </c>
      <c r="BS431" s="53">
        <f ca="1">IFERROR((_xlfn.XLOOKUP(F431,Apuração!A:A,Apuração!C:C)+1)/_xlfn.XLOOKUP(F431,Apuração!A:A,Apuração!B:B),0)</f>
        <v>0.33333333333333331</v>
      </c>
    </row>
    <row r="432" spans="1:71" ht="25.95" hidden="1" customHeight="1" x14ac:dyDescent="0.3">
      <c r="A432" s="39" t="s">
        <v>33</v>
      </c>
      <c r="B432" s="4" t="s">
        <v>73</v>
      </c>
      <c r="C432" s="5" t="s">
        <v>97</v>
      </c>
      <c r="D432" s="5" t="s">
        <v>103</v>
      </c>
      <c r="E432" s="4" t="str" cm="1">
        <f t="array" ref="E432">_xlfn.IFS(
F432 = "A partir de Abril", "Aguardando Execução na Distribuidora",
A432 = "CAPACITAÇÃO", "Em execução no Corporativo",
TRUE, "Em Execução na Distribuidora"
)</f>
        <v>Em Execução na Distribuidora</v>
      </c>
      <c r="F432" s="4" t="str" cm="1">
        <f t="array" ref="F432">_xlfn.IFS(
AG432 &lt;&gt; "", "Jan-Dez/26",
AH432 &lt;&gt; "", "Fev-Dez/26",
AI432 &lt;&gt; "", "Mar-Dez/26", AJ432 &lt;&gt; "", "Abr-Dez/26",
TRUE, "A partir de Junho"
)</f>
        <v>Abr-Dez/26</v>
      </c>
      <c r="G432" s="4" t="s">
        <v>37</v>
      </c>
      <c r="H432" s="7" t="s">
        <v>54</v>
      </c>
      <c r="I432" s="9" t="s">
        <v>76</v>
      </c>
      <c r="J432" s="8" t="str" cm="1">
        <f t="array" aca="1" ref="J432" ca="1">_xlfn.LET(
  _xlpm.actual_value_month, INDEX(T432:AE432, MATCH(DATE(YEAR(TODAY()), MONTH(TODAY()), 1), $T$1:$AE$1, 0)),
  IF(_xlpm.actual_value_month &lt;&gt; "",_xlpm.actual_value_month &amp; " ações mensais", "")
)</f>
        <v/>
      </c>
      <c r="K432" s="14" t="str" cm="1">
        <f t="array" ref="K432">_xlfn.LET(
    _xlpm.sum_month, SUM(T432:AE432),
    IF(_xlpm.sum_month = 0, "", _xlpm.sum_month &amp; " pessoas impactadas no ano.")
)</f>
        <v/>
      </c>
      <c r="L432" s="9" t="s">
        <v>76</v>
      </c>
      <c r="M432" s="13">
        <v>1</v>
      </c>
      <c r="N432" s="5" t="s">
        <v>51</v>
      </c>
      <c r="O432" s="5" t="s">
        <v>52</v>
      </c>
      <c r="P432" s="10" t="s">
        <v>44</v>
      </c>
      <c r="Q432" s="10" t="s">
        <v>44</v>
      </c>
      <c r="R432" s="11" t="s">
        <v>44</v>
      </c>
      <c r="S432" s="11" t="s">
        <v>44</v>
      </c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G432" s="71"/>
      <c r="AH432" s="71"/>
      <c r="AI432" s="71"/>
      <c r="AJ432" s="82">
        <v>229</v>
      </c>
      <c r="AK432" s="71"/>
      <c r="AL432" s="71"/>
      <c r="AM432" s="71"/>
      <c r="AN432" s="71"/>
      <c r="AO432" s="71"/>
      <c r="AP432" s="71"/>
      <c r="AQ432" s="71"/>
      <c r="AR432" s="71"/>
      <c r="AS432" s="94">
        <f t="shared" ca="1" si="756"/>
        <v>0</v>
      </c>
      <c r="AT432" s="95">
        <f t="shared" si="757"/>
        <v>229</v>
      </c>
      <c r="AU432" s="97">
        <f t="shared" si="758"/>
        <v>229</v>
      </c>
      <c r="AW432" s="83">
        <f t="shared" si="759"/>
        <v>0</v>
      </c>
      <c r="AX432" s="83">
        <f t="shared" si="760"/>
        <v>0</v>
      </c>
      <c r="AY432" s="83">
        <f t="shared" si="761"/>
        <v>0</v>
      </c>
      <c r="AZ432" s="83">
        <f t="shared" si="762"/>
        <v>229</v>
      </c>
      <c r="BA432" s="83">
        <f t="shared" si="755"/>
        <v>0</v>
      </c>
      <c r="BB432" s="52"/>
      <c r="BC432" s="52"/>
      <c r="BD432" s="52"/>
      <c r="BE432" s="52"/>
      <c r="BF432" s="52"/>
      <c r="BG432" s="52"/>
      <c r="BH432" s="52"/>
      <c r="BI432" s="68" cm="1">
        <f t="array" ref="BI432">IFERROR(INDEX(AW432:BH432,1,MATCH(2,1/(AW432:BH432&lt;&gt;""))),"")</f>
        <v>0</v>
      </c>
      <c r="BJ432" s="68" cm="1">
        <f t="array" ref="BJ432">IF(BM432 = "", "",IFERROR(INDEX(AW432:BH432,1,MATCH(2,1/(AW432:BH432&lt;&gt;""),1)-1),""))</f>
        <v>229</v>
      </c>
      <c r="BK432" s="59">
        <f t="shared" si="763"/>
        <v>229</v>
      </c>
      <c r="BL432" s="59" cm="1">
        <f t="array" ref="BL432">IFERROR(SUM(AW432:INDEX(AW432:BH432, MATCH(2, 1/(AW432:BH432&lt;&gt;""), 1) - 1))/_xlfn.XLOOKUP(F432,Apuração!A:A,Apuração!B:B),0)</f>
        <v>25.444444444444443</v>
      </c>
      <c r="BM432" s="55" cm="1">
        <f t="array" ref="BM432">IFERROR(
   INDEX($AW$1:$BH$1,
      _xlfn.AGGREGATE(14, 6, COLUMN($AW$1:$BH$1)/(AW432:BH432&lt;&gt;""), 2) - COLUMN($AW$1) + 1
   ),
"")</f>
        <v>46113</v>
      </c>
      <c r="BN432" s="55" cm="1">
        <f t="array" ref="BN432">IFERROR(INDEX($AW$1:$BH$1,1,MATCH(2,1/(AW432:BH432&lt;&gt;""))),"")</f>
        <v>46143</v>
      </c>
      <c r="BO432" s="53">
        <f ca="1">IFERROR(_xlfn.XLOOKUP(F432,Apuração!A:A,Apuração!C:C)/_xlfn.XLOOKUP(F432,Apuração!A:A,Apuração!B:B),0)</f>
        <v>0.22222222222222221</v>
      </c>
      <c r="BP432" s="53">
        <f ca="1">IFERROR(_xlfn.XLOOKUP(F432,Apuração!A:A,Apuração!D:D)/_xlfn.XLOOKUP(F432,Apuração!A:A,Apuração!B:B),0)</f>
        <v>0.1111111111111111</v>
      </c>
      <c r="BQ432" s="53">
        <f ca="1">IF(BK432&gt;=BO432,0,_xlfn.XLOOKUP(F432,Apuração!A:A,Apuração!B:B)*(BO432 + (1/_xlfn.XLOOKUP(F432,Apuração!A:A,Apuração!B:B)) - BK432))</f>
        <v>0</v>
      </c>
      <c r="BR432" s="85">
        <f t="shared" ca="1" si="764"/>
        <v>0</v>
      </c>
      <c r="BS432" s="53">
        <f ca="1">IFERROR((_xlfn.XLOOKUP(F432,Apuração!A:A,Apuração!C:C)+1)/_xlfn.XLOOKUP(F432,Apuração!A:A,Apuração!B:B),0)</f>
        <v>0.33333333333333331</v>
      </c>
    </row>
    <row r="433" spans="1:71" ht="25.95" hidden="1" customHeight="1" x14ac:dyDescent="0.3">
      <c r="A433" s="39" t="s">
        <v>33</v>
      </c>
      <c r="B433" s="4" t="s">
        <v>73</v>
      </c>
      <c r="C433" s="5" t="s">
        <v>97</v>
      </c>
      <c r="D433" s="5" t="s">
        <v>104</v>
      </c>
      <c r="E433" s="4" t="str" cm="1">
        <f t="array" ref="E433">_xlfn.IFS(
F433 = "A partir de Abril", "Aguardando Execução na Distribuidora",
A433 = "CAPACITAÇÃO", "Em execução no Corporativo",
TRUE, "Em Execução na Distribuidora"
)</f>
        <v>Em Execução na Distribuidora</v>
      </c>
      <c r="F433" s="4" t="str" cm="1">
        <f t="array" ref="F433">_xlfn.IFS(
AG433 &lt;&gt; "", "Jan-Dez/26",
AH433 &lt;&gt; "", "Fev-Dez/26",
AI433 &lt;&gt; "", "Mar-Dez/26", AJ433 &lt;&gt; "", "Abr-Dez/26",
TRUE, "A partir de Junho"
)</f>
        <v>Abr-Dez/26</v>
      </c>
      <c r="G433" s="4" t="s">
        <v>37</v>
      </c>
      <c r="H433" s="7" t="s">
        <v>54</v>
      </c>
      <c r="I433" s="9" t="s">
        <v>76</v>
      </c>
      <c r="J433" s="8" t="str" cm="1">
        <f t="array" aca="1" ref="J433" ca="1">_xlfn.LET(
  _xlpm.actual_value_month, INDEX(T433:AE433, MATCH(DATE(YEAR(TODAY()), MONTH(TODAY()), 1), $T$1:$AE$1, 0)),
  IF(_xlpm.actual_value_month &lt;&gt; "",_xlpm.actual_value_month &amp; " ações mensais", "")
)</f>
        <v/>
      </c>
      <c r="K433" s="14" t="str" cm="1">
        <f t="array" ref="K433">_xlfn.LET(
    _xlpm.sum_month, SUM(T433:AE433),
    IF(_xlpm.sum_month = 0, "", _xlpm.sum_month &amp; " pessoas impactadas no ano.")
)</f>
        <v/>
      </c>
      <c r="L433" s="9" t="s">
        <v>76</v>
      </c>
      <c r="M433" s="13">
        <v>1</v>
      </c>
      <c r="N433" s="5" t="s">
        <v>51</v>
      </c>
      <c r="O433" s="5" t="s">
        <v>52</v>
      </c>
      <c r="P433" s="10" t="s">
        <v>44</v>
      </c>
      <c r="Q433" s="10" t="s">
        <v>44</v>
      </c>
      <c r="R433" s="11" t="s">
        <v>44</v>
      </c>
      <c r="S433" s="11" t="s">
        <v>44</v>
      </c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G433" s="71"/>
      <c r="AH433" s="71"/>
      <c r="AI433" s="71"/>
      <c r="AJ433" s="82">
        <v>0</v>
      </c>
      <c r="AK433" s="71"/>
      <c r="AL433" s="71"/>
      <c r="AM433" s="71"/>
      <c r="AN433" s="71"/>
      <c r="AO433" s="71"/>
      <c r="AP433" s="71"/>
      <c r="AQ433" s="71"/>
      <c r="AR433" s="71"/>
      <c r="AS433" s="94">
        <f t="shared" ca="1" si="756"/>
        <v>0</v>
      </c>
      <c r="AT433" s="95">
        <f t="shared" si="757"/>
        <v>0</v>
      </c>
      <c r="AU433" s="97">
        <f t="shared" si="758"/>
        <v>0</v>
      </c>
      <c r="AW433" s="83">
        <f t="shared" si="759"/>
        <v>0</v>
      </c>
      <c r="AX433" s="83">
        <f t="shared" si="760"/>
        <v>0</v>
      </c>
      <c r="AY433" s="83">
        <f t="shared" si="761"/>
        <v>0</v>
      </c>
      <c r="AZ433" s="83">
        <f t="shared" si="762"/>
        <v>0</v>
      </c>
      <c r="BA433" s="83">
        <f t="shared" si="755"/>
        <v>0</v>
      </c>
      <c r="BB433" s="52"/>
      <c r="BC433" s="52"/>
      <c r="BD433" s="52"/>
      <c r="BE433" s="52"/>
      <c r="BF433" s="52"/>
      <c r="BG433" s="52"/>
      <c r="BH433" s="52"/>
      <c r="BI433" s="68" cm="1">
        <f t="array" ref="BI433">IFERROR(INDEX(AW433:BH433,1,MATCH(2,1/(AW433:BH433&lt;&gt;""))),"")</f>
        <v>0</v>
      </c>
      <c r="BJ433" s="68" cm="1">
        <f t="array" ref="BJ433">IF(BM433 = "", "",IFERROR(INDEX(AW433:BH433,1,MATCH(2,1/(AW433:BH433&lt;&gt;""),1)-1),""))</f>
        <v>0</v>
      </c>
      <c r="BK433" s="59">
        <f t="shared" si="763"/>
        <v>0</v>
      </c>
      <c r="BL433" s="59" cm="1">
        <f t="array" ref="BL433">IFERROR(SUM(AW433:INDEX(AW433:BH433, MATCH(2, 1/(AW433:BH433&lt;&gt;""), 1) - 1))/_xlfn.XLOOKUP(F433,Apuração!A:A,Apuração!B:B),0)</f>
        <v>0</v>
      </c>
      <c r="BM433" s="55" cm="1">
        <f t="array" ref="BM433">IFERROR(
   INDEX($AW$1:$BH$1,
      _xlfn.AGGREGATE(14, 6, COLUMN($AW$1:$BH$1)/(AW433:BH433&lt;&gt;""), 2) - COLUMN($AW$1) + 1
   ),
"")</f>
        <v>46113</v>
      </c>
      <c r="BN433" s="55" cm="1">
        <f t="array" ref="BN433">IFERROR(INDEX($AW$1:$BH$1,1,MATCH(2,1/(AW433:BH433&lt;&gt;""))),"")</f>
        <v>46143</v>
      </c>
      <c r="BO433" s="53">
        <f ca="1">IFERROR(_xlfn.XLOOKUP(F433,Apuração!A:A,Apuração!C:C)/_xlfn.XLOOKUP(F433,Apuração!A:A,Apuração!B:B),0)</f>
        <v>0.22222222222222221</v>
      </c>
      <c r="BP433" s="53">
        <f ca="1">IFERROR(_xlfn.XLOOKUP(F433,Apuração!A:A,Apuração!D:D)/_xlfn.XLOOKUP(F433,Apuração!A:A,Apuração!B:B),0)</f>
        <v>0.1111111111111111</v>
      </c>
      <c r="BQ433" s="53">
        <f ca="1">IF(BK433&gt;=BO433,0,_xlfn.XLOOKUP(F433,Apuração!A:A,Apuração!B:B)*(BO433 + (1/_xlfn.XLOOKUP(F433,Apuração!A:A,Apuração!B:B)) - BK433))</f>
        <v>3</v>
      </c>
      <c r="BR433" s="85">
        <f t="shared" ca="1" si="764"/>
        <v>0</v>
      </c>
      <c r="BS433" s="53">
        <f ca="1">IFERROR((_xlfn.XLOOKUP(F433,Apuração!A:A,Apuração!C:C)+1)/_xlfn.XLOOKUP(F433,Apuração!A:A,Apuração!B:B),0)</f>
        <v>0.33333333333333331</v>
      </c>
    </row>
    <row r="434" spans="1:71" ht="25.95" hidden="1" customHeight="1" x14ac:dyDescent="0.3">
      <c r="A434" s="39" t="s">
        <v>33</v>
      </c>
      <c r="B434" s="4" t="s">
        <v>73</v>
      </c>
      <c r="C434" s="5" t="s">
        <v>97</v>
      </c>
      <c r="D434" s="5" t="s">
        <v>105</v>
      </c>
      <c r="E434" s="4" t="str" cm="1">
        <f t="array" ref="E434">_xlfn.IFS(
F434 = "A partir de Abril", "Aguardando Execução na Distribuidora",
A434 = "CAPACITAÇÃO", "Em execução no Corporativo",
TRUE, "Em Execução na Distribuidora"
)</f>
        <v>Em Execução na Distribuidora</v>
      </c>
      <c r="F434" s="4" t="str" cm="1">
        <f t="array" ref="F434">_xlfn.IFS(
AG434 &lt;&gt; "", "Jan-Dez/26",
AH434 &lt;&gt; "", "Fev-Dez/26",
AI434 &lt;&gt; "", "Mar-Dez/26", AJ434 &lt;&gt; "", "Abr-Dez/26",
TRUE, "A partir de Junho"
)</f>
        <v>Abr-Dez/26</v>
      </c>
      <c r="G434" s="4" t="s">
        <v>37</v>
      </c>
      <c r="H434" s="7" t="s">
        <v>54</v>
      </c>
      <c r="I434" s="9" t="s">
        <v>76</v>
      </c>
      <c r="J434" s="8" t="str" cm="1">
        <f t="array" aca="1" ref="J434" ca="1">_xlfn.LET(
  _xlpm.actual_value_month, INDEX(T434:AE434, MATCH(DATE(YEAR(TODAY()), MONTH(TODAY()), 1), $T$1:$AE$1, 0)),
  IF(_xlpm.actual_value_month &lt;&gt; "",_xlpm.actual_value_month &amp; " ações mensais", "")
)</f>
        <v/>
      </c>
      <c r="K434" s="14" t="str" cm="1">
        <f t="array" ref="K434">_xlfn.LET(
    _xlpm.sum_month, SUM(T434:AE434),
    IF(_xlpm.sum_month = 0, "", _xlpm.sum_month &amp; " pessoas impactadas no ano.")
)</f>
        <v/>
      </c>
      <c r="L434" s="9" t="s">
        <v>76</v>
      </c>
      <c r="M434" s="13">
        <v>1</v>
      </c>
      <c r="N434" s="5" t="s">
        <v>51</v>
      </c>
      <c r="O434" s="5" t="s">
        <v>52</v>
      </c>
      <c r="P434" s="10" t="s">
        <v>44</v>
      </c>
      <c r="Q434" s="10" t="s">
        <v>44</v>
      </c>
      <c r="R434" s="11" t="s">
        <v>44</v>
      </c>
      <c r="S434" s="11" t="s">
        <v>44</v>
      </c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G434" s="71"/>
      <c r="AH434" s="71"/>
      <c r="AI434" s="71"/>
      <c r="AJ434" s="82">
        <v>3</v>
      </c>
      <c r="AK434" s="71"/>
      <c r="AL434" s="71"/>
      <c r="AM434" s="71"/>
      <c r="AN434" s="71"/>
      <c r="AO434" s="71"/>
      <c r="AP434" s="71"/>
      <c r="AQ434" s="71"/>
      <c r="AR434" s="71"/>
      <c r="AS434" s="94">
        <f t="shared" ca="1" si="756"/>
        <v>0</v>
      </c>
      <c r="AT434" s="95">
        <f t="shared" si="757"/>
        <v>3</v>
      </c>
      <c r="AU434" s="97">
        <f t="shared" si="758"/>
        <v>3</v>
      </c>
      <c r="AW434" s="83">
        <f t="shared" si="759"/>
        <v>0</v>
      </c>
      <c r="AX434" s="83">
        <f t="shared" si="760"/>
        <v>0</v>
      </c>
      <c r="AY434" s="83">
        <f t="shared" si="761"/>
        <v>0</v>
      </c>
      <c r="AZ434" s="83">
        <f t="shared" si="762"/>
        <v>3</v>
      </c>
      <c r="BA434" s="83">
        <f t="shared" si="755"/>
        <v>0</v>
      </c>
      <c r="BB434" s="52"/>
      <c r="BC434" s="52"/>
      <c r="BD434" s="52"/>
      <c r="BE434" s="52"/>
      <c r="BF434" s="52"/>
      <c r="BG434" s="52"/>
      <c r="BH434" s="52"/>
      <c r="BI434" s="68" cm="1">
        <f t="array" ref="BI434">IFERROR(INDEX(AW434:BH434,1,MATCH(2,1/(AW434:BH434&lt;&gt;""))),"")</f>
        <v>0</v>
      </c>
      <c r="BJ434" s="68" cm="1">
        <f t="array" ref="BJ434">IF(BM434 = "", "",IFERROR(INDEX(AW434:BH434,1,MATCH(2,1/(AW434:BH434&lt;&gt;""),1)-1),""))</f>
        <v>3</v>
      </c>
      <c r="BK434" s="59">
        <f t="shared" si="763"/>
        <v>3</v>
      </c>
      <c r="BL434" s="59" cm="1">
        <f t="array" ref="BL434">IFERROR(SUM(AW434:INDEX(AW434:BH434, MATCH(2, 1/(AW434:BH434&lt;&gt;""), 1) - 1))/_xlfn.XLOOKUP(F434,Apuração!A:A,Apuração!B:B),0)</f>
        <v>0.33333333333333331</v>
      </c>
      <c r="BM434" s="55" cm="1">
        <f t="array" ref="BM434">IFERROR(
   INDEX($AW$1:$BH$1,
      _xlfn.AGGREGATE(14, 6, COLUMN($AW$1:$BH$1)/(AW434:BH434&lt;&gt;""), 2) - COLUMN($AW$1) + 1
   ),
"")</f>
        <v>46113</v>
      </c>
      <c r="BN434" s="55" cm="1">
        <f t="array" ref="BN434">IFERROR(INDEX($AW$1:$BH$1,1,MATCH(2,1/(AW434:BH434&lt;&gt;""))),"")</f>
        <v>46143</v>
      </c>
      <c r="BO434" s="53">
        <f ca="1">IFERROR(_xlfn.XLOOKUP(F434,Apuração!A:A,Apuração!C:C)/_xlfn.XLOOKUP(F434,Apuração!A:A,Apuração!B:B),0)</f>
        <v>0.22222222222222221</v>
      </c>
      <c r="BP434" s="53">
        <f ca="1">IFERROR(_xlfn.XLOOKUP(F434,Apuração!A:A,Apuração!D:D)/_xlfn.XLOOKUP(F434,Apuração!A:A,Apuração!B:B),0)</f>
        <v>0.1111111111111111</v>
      </c>
      <c r="BQ434" s="53">
        <f ca="1">IF(BK434&gt;=BO434,0,_xlfn.XLOOKUP(F434,Apuração!A:A,Apuração!B:B)*(BO434 + (1/_xlfn.XLOOKUP(F434,Apuração!A:A,Apuração!B:B)) - BK434))</f>
        <v>0</v>
      </c>
      <c r="BR434" s="85">
        <f t="shared" ca="1" si="764"/>
        <v>0</v>
      </c>
      <c r="BS434" s="53">
        <f ca="1">IFERROR((_xlfn.XLOOKUP(F434,Apuração!A:A,Apuração!C:C)+1)/_xlfn.XLOOKUP(F434,Apuração!A:A,Apuração!B:B),0)</f>
        <v>0.33333333333333331</v>
      </c>
    </row>
    <row r="435" spans="1:71" ht="25.95" hidden="1" customHeight="1" x14ac:dyDescent="0.3">
      <c r="A435" s="39" t="s">
        <v>33</v>
      </c>
      <c r="B435" s="4" t="s">
        <v>73</v>
      </c>
      <c r="C435" s="5" t="s">
        <v>97</v>
      </c>
      <c r="D435" s="5" t="s">
        <v>106</v>
      </c>
      <c r="E435" s="4" t="str" cm="1">
        <f t="array" ref="E435">_xlfn.IFS(
F435 = "A partir de Abril", "Aguardando Execução na Distribuidora",
A435 = "CAPACITAÇÃO", "Em execução no Corporativo",
TRUE, "Em Execução na Distribuidora"
)</f>
        <v>Em Execução na Distribuidora</v>
      </c>
      <c r="F435" s="4" t="str" cm="1">
        <f t="array" ref="F435">_xlfn.IFS(
AG435 &lt;&gt; "", "Jan-Dez/26",
AH435 &lt;&gt; "", "Fev-Dez/26",
AI435 &lt;&gt; "", "Mar-Dez/26", AJ435 &lt;&gt; "", "Abr-Dez/26",
TRUE, "A partir de Junho"
)</f>
        <v>Abr-Dez/26</v>
      </c>
      <c r="G435" s="4" t="s">
        <v>37</v>
      </c>
      <c r="H435" s="7" t="s">
        <v>54</v>
      </c>
      <c r="I435" s="9" t="s">
        <v>76</v>
      </c>
      <c r="J435" s="8" t="str" cm="1">
        <f t="array" aca="1" ref="J435" ca="1">_xlfn.LET(
  _xlpm.actual_value_month, INDEX(T435:AE435, MATCH(DATE(YEAR(TODAY()), MONTH(TODAY()), 1), $T$1:$AE$1, 0)),
  IF(_xlpm.actual_value_month &lt;&gt; "",_xlpm.actual_value_month &amp; " ações mensais", "")
)</f>
        <v/>
      </c>
      <c r="K435" s="14" t="str" cm="1">
        <f t="array" ref="K435">_xlfn.LET(
    _xlpm.sum_month, SUM(T435:AE435),
    IF(_xlpm.sum_month = 0, "", _xlpm.sum_month &amp; " pessoas impactadas no ano.")
)</f>
        <v/>
      </c>
      <c r="L435" s="9" t="s">
        <v>76</v>
      </c>
      <c r="M435" s="13">
        <v>1</v>
      </c>
      <c r="N435" s="5" t="s">
        <v>51</v>
      </c>
      <c r="O435" s="5" t="s">
        <v>52</v>
      </c>
      <c r="P435" s="10" t="s">
        <v>44</v>
      </c>
      <c r="Q435" s="10" t="s">
        <v>44</v>
      </c>
      <c r="R435" s="11" t="s">
        <v>44</v>
      </c>
      <c r="S435" s="11" t="s">
        <v>44</v>
      </c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G435" s="71"/>
      <c r="AH435" s="71"/>
      <c r="AI435" s="71"/>
      <c r="AJ435" s="82">
        <v>0</v>
      </c>
      <c r="AK435" s="71">
        <v>120</v>
      </c>
      <c r="AL435" s="71"/>
      <c r="AM435" s="71"/>
      <c r="AN435" s="71"/>
      <c r="AO435" s="71"/>
      <c r="AP435" s="71"/>
      <c r="AQ435" s="71"/>
      <c r="AR435" s="71"/>
      <c r="AS435" s="94">
        <f t="shared" ca="1" si="756"/>
        <v>0</v>
      </c>
      <c r="AT435" s="95">
        <f t="shared" si="757"/>
        <v>120</v>
      </c>
      <c r="AU435" s="97">
        <f t="shared" si="758"/>
        <v>120</v>
      </c>
      <c r="AW435" s="83">
        <f t="shared" si="759"/>
        <v>0</v>
      </c>
      <c r="AX435" s="83">
        <f t="shared" si="760"/>
        <v>0</v>
      </c>
      <c r="AY435" s="83">
        <f t="shared" si="761"/>
        <v>0</v>
      </c>
      <c r="AZ435" s="83">
        <f t="shared" si="762"/>
        <v>0</v>
      </c>
      <c r="BA435" s="83">
        <f t="shared" si="755"/>
        <v>120</v>
      </c>
      <c r="BB435" s="52"/>
      <c r="BC435" s="52"/>
      <c r="BD435" s="52"/>
      <c r="BE435" s="52"/>
      <c r="BF435" s="52"/>
      <c r="BG435" s="52"/>
      <c r="BH435" s="52"/>
      <c r="BI435" s="68" cm="1">
        <f t="array" ref="BI435">IFERROR(INDEX(AW435:BH435,1,MATCH(2,1/(AW435:BH435&lt;&gt;""))),"")</f>
        <v>120</v>
      </c>
      <c r="BJ435" s="68" cm="1">
        <f t="array" ref="BJ435">IF(BM435 = "", "",IFERROR(INDEX(AW435:BH435,1,MATCH(2,1/(AW435:BH435&lt;&gt;""),1)-1),""))</f>
        <v>0</v>
      </c>
      <c r="BK435" s="59">
        <f t="shared" si="763"/>
        <v>120</v>
      </c>
      <c r="BL435" s="59" cm="1">
        <f t="array" ref="BL435">IFERROR(SUM(AW435:INDEX(AW435:BH435, MATCH(2, 1/(AW435:BH435&lt;&gt;""), 1) - 1))/_xlfn.XLOOKUP(F435,Apuração!A:A,Apuração!B:B),0)</f>
        <v>0</v>
      </c>
      <c r="BM435" s="55" cm="1">
        <f t="array" ref="BM435">IFERROR(
   INDEX($AW$1:$BH$1,
      _xlfn.AGGREGATE(14, 6, COLUMN($AW$1:$BH$1)/(AW435:BH435&lt;&gt;""), 2) - COLUMN($AW$1) + 1
   ),
"")</f>
        <v>46113</v>
      </c>
      <c r="BN435" s="55" cm="1">
        <f t="array" ref="BN435">IFERROR(INDEX($AW$1:$BH$1,1,MATCH(2,1/(AW435:BH435&lt;&gt;""))),"")</f>
        <v>46143</v>
      </c>
      <c r="BO435" s="53">
        <f ca="1">IFERROR(_xlfn.XLOOKUP(F435,Apuração!A:A,Apuração!C:C)/_xlfn.XLOOKUP(F435,Apuração!A:A,Apuração!B:B),0)</f>
        <v>0.22222222222222221</v>
      </c>
      <c r="BP435" s="53">
        <f ca="1">IFERROR(_xlfn.XLOOKUP(F435,Apuração!A:A,Apuração!D:D)/_xlfn.XLOOKUP(F435,Apuração!A:A,Apuração!B:B),0)</f>
        <v>0.1111111111111111</v>
      </c>
      <c r="BQ435" s="53">
        <f ca="1">IF(BK435&gt;=BO435,0,_xlfn.XLOOKUP(F435,Apuração!A:A,Apuração!B:B)*(BO435 + (1/_xlfn.XLOOKUP(F435,Apuração!A:A,Apuração!B:B)) - BK435))</f>
        <v>0</v>
      </c>
      <c r="BR435" s="85">
        <f t="shared" ca="1" si="764"/>
        <v>0</v>
      </c>
      <c r="BS435" s="53">
        <f ca="1">IFERROR((_xlfn.XLOOKUP(F435,Apuração!A:A,Apuração!C:C)+1)/_xlfn.XLOOKUP(F435,Apuração!A:A,Apuração!B:B),0)</f>
        <v>0.33333333333333331</v>
      </c>
    </row>
    <row r="436" spans="1:71" ht="25.95" hidden="1" customHeight="1" x14ac:dyDescent="0.3">
      <c r="A436" s="39" t="s">
        <v>33</v>
      </c>
      <c r="B436" s="4" t="s">
        <v>73</v>
      </c>
      <c r="C436" s="5" t="s">
        <v>97</v>
      </c>
      <c r="D436" s="5" t="s">
        <v>107</v>
      </c>
      <c r="E436" s="4" t="str" cm="1">
        <f t="array" ref="E436">_xlfn.IFS(
F436 = "A partir de Abril", "Aguardando Execução na Distribuidora",
A436 = "CAPACITAÇÃO", "Em execução no Corporativo",
TRUE, "Em Execução na Distribuidora"
)</f>
        <v>Em Execução na Distribuidora</v>
      </c>
      <c r="F436" s="4" t="str" cm="1">
        <f t="array" ref="F436">_xlfn.IFS(
AG436 &lt;&gt; "", "Jan-Dez/26",
AH436 &lt;&gt; "", "Fev-Dez/26",
AI436 &lt;&gt; "", "Mar-Dez/26", AJ436 &lt;&gt; "", "Abr-Dez/26",
TRUE, "A partir de Junho"
)</f>
        <v>Abr-Dez/26</v>
      </c>
      <c r="G436" s="4" t="s">
        <v>37</v>
      </c>
      <c r="H436" s="7" t="s">
        <v>54</v>
      </c>
      <c r="I436" s="9" t="s">
        <v>76</v>
      </c>
      <c r="J436" s="8" t="str" cm="1">
        <f t="array" aca="1" ref="J436" ca="1">_xlfn.LET(
  _xlpm.actual_value_month, INDEX(T436:AE436, MATCH(DATE(YEAR(TODAY()), MONTH(TODAY()), 1), $T$1:$AE$1, 0)),
  IF(_xlpm.actual_value_month &lt;&gt; "",_xlpm.actual_value_month &amp; " ações mensais", "")
)</f>
        <v/>
      </c>
      <c r="K436" s="14" t="str" cm="1">
        <f t="array" ref="K436">_xlfn.LET(
    _xlpm.sum_month, SUM(T436:AE436),
    IF(_xlpm.sum_month = 0, "", _xlpm.sum_month &amp; " pessoas impactadas no ano.")
)</f>
        <v/>
      </c>
      <c r="L436" s="9" t="s">
        <v>76</v>
      </c>
      <c r="M436" s="13">
        <v>1</v>
      </c>
      <c r="N436" s="5" t="s">
        <v>51</v>
      </c>
      <c r="O436" s="5" t="s">
        <v>52</v>
      </c>
      <c r="P436" s="10" t="s">
        <v>44</v>
      </c>
      <c r="Q436" s="10" t="s">
        <v>44</v>
      </c>
      <c r="R436" s="11" t="s">
        <v>44</v>
      </c>
      <c r="S436" s="11" t="s">
        <v>44</v>
      </c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G436" s="71"/>
      <c r="AH436" s="71"/>
      <c r="AI436" s="71"/>
      <c r="AJ436" s="82">
        <v>0</v>
      </c>
      <c r="AK436" s="71">
        <v>20</v>
      </c>
      <c r="AL436" s="71"/>
      <c r="AM436" s="71"/>
      <c r="AN436" s="71"/>
      <c r="AO436" s="71"/>
      <c r="AP436" s="71"/>
      <c r="AQ436" s="71"/>
      <c r="AR436" s="71"/>
      <c r="AS436" s="94">
        <f t="shared" ca="1" si="756"/>
        <v>0</v>
      </c>
      <c r="AT436" s="95">
        <f t="shared" si="757"/>
        <v>20</v>
      </c>
      <c r="AU436" s="97">
        <f t="shared" si="758"/>
        <v>20</v>
      </c>
      <c r="AW436" s="83">
        <f t="shared" si="759"/>
        <v>0</v>
      </c>
      <c r="AX436" s="83">
        <f t="shared" si="760"/>
        <v>0</v>
      </c>
      <c r="AY436" s="83">
        <f t="shared" si="761"/>
        <v>0</v>
      </c>
      <c r="AZ436" s="83">
        <f t="shared" si="762"/>
        <v>0</v>
      </c>
      <c r="BA436" s="83">
        <f t="shared" si="755"/>
        <v>20</v>
      </c>
      <c r="BB436" s="52"/>
      <c r="BC436" s="52"/>
      <c r="BD436" s="52"/>
      <c r="BE436" s="52"/>
      <c r="BF436" s="52"/>
      <c r="BG436" s="52"/>
      <c r="BH436" s="52"/>
      <c r="BI436" s="68" cm="1">
        <f t="array" ref="BI436">IFERROR(INDEX(AW436:BH436,1,MATCH(2,1/(AW436:BH436&lt;&gt;""))),"")</f>
        <v>20</v>
      </c>
      <c r="BJ436" s="68" cm="1">
        <f t="array" ref="BJ436">IF(BM436 = "", "",IFERROR(INDEX(AW436:BH436,1,MATCH(2,1/(AW436:BH436&lt;&gt;""),1)-1),""))</f>
        <v>0</v>
      </c>
      <c r="BK436" s="59">
        <f t="shared" si="763"/>
        <v>20</v>
      </c>
      <c r="BL436" s="59" cm="1">
        <f t="array" ref="BL436">IFERROR(SUM(AW436:INDEX(AW436:BH436, MATCH(2, 1/(AW436:BH436&lt;&gt;""), 1) - 1))/_xlfn.XLOOKUP(F436,Apuração!A:A,Apuração!B:B),0)</f>
        <v>0</v>
      </c>
      <c r="BM436" s="55" cm="1">
        <f t="array" ref="BM436">IFERROR(
   INDEX($AW$1:$BH$1,
      _xlfn.AGGREGATE(14, 6, COLUMN($AW$1:$BH$1)/(AW436:BH436&lt;&gt;""), 2) - COLUMN($AW$1) + 1
   ),
"")</f>
        <v>46113</v>
      </c>
      <c r="BN436" s="55" cm="1">
        <f t="array" ref="BN436">IFERROR(INDEX($AW$1:$BH$1,1,MATCH(2,1/(AW436:BH436&lt;&gt;""))),"")</f>
        <v>46143</v>
      </c>
      <c r="BO436" s="53">
        <f ca="1">IFERROR(_xlfn.XLOOKUP(F436,Apuração!A:A,Apuração!C:C)/_xlfn.XLOOKUP(F436,Apuração!A:A,Apuração!B:B),0)</f>
        <v>0.22222222222222221</v>
      </c>
      <c r="BP436" s="53">
        <f ca="1">IFERROR(_xlfn.XLOOKUP(F436,Apuração!A:A,Apuração!D:D)/_xlfn.XLOOKUP(F436,Apuração!A:A,Apuração!B:B),0)</f>
        <v>0.1111111111111111</v>
      </c>
      <c r="BQ436" s="53">
        <f ca="1">IF(BK436&gt;=BO436,0,_xlfn.XLOOKUP(F436,Apuração!A:A,Apuração!B:B)*(BO436 + (1/_xlfn.XLOOKUP(F436,Apuração!A:A,Apuração!B:B)) - BK436))</f>
        <v>0</v>
      </c>
      <c r="BR436" s="85">
        <f t="shared" ca="1" si="764"/>
        <v>0</v>
      </c>
      <c r="BS436" s="53">
        <f ca="1">IFERROR((_xlfn.XLOOKUP(F436,Apuração!A:A,Apuração!C:C)+1)/_xlfn.XLOOKUP(F436,Apuração!A:A,Apuração!B:B),0)</f>
        <v>0.33333333333333331</v>
      </c>
    </row>
    <row r="437" spans="1:71" ht="25.95" hidden="1" customHeight="1" x14ac:dyDescent="0.3">
      <c r="A437" s="3" t="s">
        <v>33</v>
      </c>
      <c r="B437" s="4" t="s">
        <v>77</v>
      </c>
      <c r="C437" s="5" t="s">
        <v>97</v>
      </c>
      <c r="D437" s="5" t="s">
        <v>36</v>
      </c>
      <c r="E437" s="4" t="str" cm="1">
        <f t="array" ref="E437">_xlfn.IFS(
F437 = "A partir de Abril", "Aguardando Execução na Distribuidora",
A437 = "CAPACITAÇÃO", "Em execução no Corporativo",
TRUE, "Em Execução na Distribuidora"
)</f>
        <v>Em Execução na Distribuidora</v>
      </c>
      <c r="F437" s="4" t="str" cm="1">
        <f t="array" ref="F437">_xlfn.IFS(
AG437 &lt;&gt; "", "Jan-Dez/26",
AH437 &lt;&gt; "", "Fev-Dez/26",
AI437 &lt;&gt; "", "Mar-Dez/26", AJ437 &lt;&gt; "", "Abr-Dez/26",
TRUE, "A partir de Junho"
)</f>
        <v>Jan-Dez/26</v>
      </c>
      <c r="G437" s="4" t="s">
        <v>37</v>
      </c>
      <c r="H437" s="7" t="s">
        <v>54</v>
      </c>
      <c r="I437" s="8" t="s">
        <v>78</v>
      </c>
      <c r="J437" s="8" t="str" cm="1">
        <f t="array" aca="1" ref="J437" ca="1">_xlfn.LET(
  _xlpm.actual_value_month, INDEX(T437:AE437, MATCH(DATE(YEAR(TODAY()), MONTH(TODAY()), 1), $T$1:$AE$1, 0)),
  IF(_xlpm.actual_value_month &lt;&gt; "",_xlpm.actual_value_month &amp; " eventos mensais", "")
)</f>
        <v>40 eventos mensais</v>
      </c>
      <c r="K437" s="8" t="str" cm="1">
        <f t="array" ref="K437">_xlfn.LET(
    _xlpm.sum_month, SUM(T437:AE437),
    IF(_xlpm.sum_month = 0, "", _xlpm.sum_month &amp; " eventos no ano.")
)</f>
        <v>395 eventos no ano.</v>
      </c>
      <c r="L437" s="9" t="s">
        <v>56</v>
      </c>
      <c r="M437" s="13" t="s">
        <v>79</v>
      </c>
      <c r="N437" s="5" t="s">
        <v>42</v>
      </c>
      <c r="O437" s="5" t="s">
        <v>43</v>
      </c>
      <c r="P437" s="10" t="s">
        <v>44</v>
      </c>
      <c r="Q437" s="10" t="s">
        <v>44</v>
      </c>
      <c r="R437" s="11" t="s">
        <v>44</v>
      </c>
      <c r="S437" s="11" t="s">
        <v>44</v>
      </c>
      <c r="T437" s="22">
        <v>10</v>
      </c>
      <c r="U437" s="22">
        <v>10</v>
      </c>
      <c r="V437" s="22">
        <v>15</v>
      </c>
      <c r="W437" s="22">
        <v>40</v>
      </c>
      <c r="X437" s="22">
        <v>40</v>
      </c>
      <c r="Y437" s="22">
        <v>40</v>
      </c>
      <c r="Z437" s="22">
        <v>40</v>
      </c>
      <c r="AA437" s="22">
        <v>40</v>
      </c>
      <c r="AB437" s="22">
        <v>40</v>
      </c>
      <c r="AC437" s="22">
        <v>40</v>
      </c>
      <c r="AD437" s="22">
        <v>40</v>
      </c>
      <c r="AE437" s="22">
        <v>40</v>
      </c>
      <c r="AG437" s="71">
        <v>10</v>
      </c>
      <c r="AH437" s="71">
        <v>10</v>
      </c>
      <c r="AI437" s="71">
        <v>15</v>
      </c>
      <c r="AJ437" s="71">
        <v>40</v>
      </c>
      <c r="AK437" s="71">
        <v>41</v>
      </c>
      <c r="AL437" s="71"/>
      <c r="AM437" s="71"/>
      <c r="AN437" s="71"/>
      <c r="AO437" s="71"/>
      <c r="AP437" s="71"/>
      <c r="AQ437" s="71"/>
      <c r="AR437" s="71"/>
      <c r="AS437" s="94">
        <f t="shared" ca="1" si="651"/>
        <v>115</v>
      </c>
      <c r="AT437" s="95">
        <f>SUM(IF(AW437&lt;1.15,AG437,1.15*T437),IF(AX437&lt;1.15,AH437,1.15*U437),IF(AY437&lt;1.15,AI437,1.15*V437),IF(AZ437&lt;1.15,AJ437,1.15*W437),IF(BA437&lt;1.15,AK437,1.15*X437),IF(BB437&lt;1.15,AL437,1.15*Y437),IF(BC437&lt;1.15,AM437,1.15*Z437),IF(BD437&lt;1.15,AN437,1.15*AA437),IF(BE437&lt;1.15,AO437,1.15*AB437),IF(BF437&lt;1.15,AP437,1.15*AC437),IF(BG437&lt;1.15,AQ437,1.15*AD437),IF(BH437&lt;1.15,AR437,1.15*AE437))</f>
        <v>116</v>
      </c>
      <c r="AU437" s="97">
        <f t="shared" si="652"/>
        <v>116</v>
      </c>
      <c r="AW437" s="51">
        <f>IFERROR(IF(AG437="",0,AG437/T437),0)</f>
        <v>1</v>
      </c>
      <c r="AX437" s="51">
        <f>IFERROR(IF(AH437="",0,AH437/U437),0)</f>
        <v>1</v>
      </c>
      <c r="AY437" s="51">
        <f>IFERROR(IF(AI437="",0,AI437/V437),0)</f>
        <v>1</v>
      </c>
      <c r="AZ437" s="51">
        <f>IFERROR(IF(AJ437="",0,AJ437/W437),0)</f>
        <v>1</v>
      </c>
      <c r="BA437" s="51">
        <f>IFERROR(IF(AK437="",0,AK437/X437),0)</f>
        <v>1.0249999999999999</v>
      </c>
      <c r="BB437" s="51"/>
      <c r="BC437" s="51"/>
      <c r="BD437" s="51"/>
      <c r="BE437" s="51"/>
      <c r="BF437" s="51"/>
      <c r="BG437" s="51"/>
      <c r="BH437" s="51"/>
      <c r="BI437" s="65" cm="1">
        <f t="array" ref="BI437">IFERROR(INDEX(AW437:BH437,1,MATCH(2,1/(AW437:BH437&lt;&gt;""))),"")</f>
        <v>1.0249999999999999</v>
      </c>
      <c r="BJ437" s="68" cm="1">
        <f t="array" ref="BJ437">IF(BM437 = "", "",IFERROR(INDEX(AW437:BH437,1,MATCH(2,1/(AW437:BH437&lt;&gt;""),1)-1),""))</f>
        <v>1</v>
      </c>
      <c r="BK437" s="58">
        <f>IF((IF(AW437&gt;=115%,115%,AW437) + IF(AX437&gt;=115%,115%,AX437) + IF(AY437&gt;=115%,115%,AY437) + (IF(AZ437&gt;=115%,115%,AZ437) + IF(BA437&gt;=115%,115%,BA437) + IF(BB437&gt;=115%,115%,BB437) + IF(BC437&gt;=115%,115%,BC437) + IF(BD437&gt;=115%,115%,BD437) + IF(BE437&gt;=115%,115%,BE437) + IF(BF437&gt;=115%,115%,BF437) + IF(BG437&gt;=115%,115%,BG437) + IF(BH437&gt;=115%,115%,BH437)))/_xlfn.XLOOKUP(F437,Apuração!A:A,Apuração!B:B)&gt;=1.15,1.15,((IF(AZ437&gt;=115%,115%,AZ437) + IF(AX437&gt;=115%,115%,AX437) + IF(AY437&gt;=115%,115%,AY437) + (IF(AW437&gt;=115%,115%,AW437) + IF(BA437&gt;=115%,115%,BA437) + IF(BB437&gt;=115%,115%,BB437) + IF(BC437&gt;=115%,115%,BC437) + IF(BD437&gt;=115%,115%,BD437) + IF(BE437&gt;=115%,115%,BE437) + IF(BF437&gt;=115%,115%,BF437) + IF(BG437&gt;=115%,115%,BG437) + IF(BH437&gt;=115%,115%,BH437)))/_xlfn.XLOOKUP(F437,Apuração!A:A,Apuração!B:B)))</f>
        <v>0.41875000000000001</v>
      </c>
      <c r="BL437" s="58" cm="1">
        <f t="array" aca="1" ref="BL437" ca="1">IF(SUM(IFERROR(IF(INDEX(AW437:INDEX(AW437:BH437, MATCH(2, 1/(AW437:BH437&lt;&gt;""), 1)-1), ROW(INDIRECT("1:" &amp; MATCH(2, 1/(AW437:BH437&lt;&gt;""), 1)-1))) &gt;= 115%, 115%, INDEX(AW437:INDEX(AW437:BH437, MATCH(2, 1/(AW437:BH437&lt;&gt;""), 1)-1), ROW(INDIRECT("1:" &amp; MATCH(2, 1/(AW437:BH437&lt;&gt;""), 1)-1)))), 0))/_xlfn.XLOOKUP(F437,Apuração!A:A,Apuração!B:B)&gt;=1.15,1.15,SUM(IFERROR(IF(INDEX(AW437:INDEX(AW437:BH437, MATCH(2, 1/(AW437:BH437&lt;&gt;""), 1)-1), ROW(INDIRECT("1:" &amp; MATCH(2, 1/(AW437:BH437&lt;&gt;""), 1)-1))) &gt;= 115%, 115%, INDEX(AW437:INDEX(AW437:BH437, MATCH(2, 1/(AW437:BH437&lt;&gt;""), 1)-1), ROW(INDIRECT("1:" &amp; MATCH(2, 1/(AW437:BH437&lt;&gt;""), 1)-1)))), 0))/_xlfn.XLOOKUP(F437,Apuração!A:A,Apuração!B:B))</f>
        <v>0.33333333333333331</v>
      </c>
      <c r="BM437" s="55" cm="1">
        <f t="array" ref="BM437">IFERROR(
   INDEX($AW$1:$BH$1,
      _xlfn.AGGREGATE(14, 6, COLUMN($AW$1:$BH$1)/(AW437:BH437&lt;&gt;""), 2) - COLUMN($AW$1) + 1
   ),
"")</f>
        <v>46113</v>
      </c>
      <c r="BN437" s="55" cm="1">
        <f t="array" ref="BN437">IFERROR(INDEX($AW$1:$BH$1,1,MATCH(2,1/(AW437:BH437&lt;&gt;""))),"")</f>
        <v>46143</v>
      </c>
      <c r="BO437" s="53">
        <f ca="1">IFERROR(_xlfn.XLOOKUP(F437,Apuração!A:A,Apuração!C:C)/_xlfn.XLOOKUP(F437,Apuração!A:A,Apuração!B:B),0)</f>
        <v>0.41666666666666669</v>
      </c>
      <c r="BP437" s="53">
        <f ca="1">IFERROR(_xlfn.XLOOKUP(F437,Apuração!A:A,Apuração!D:D)/_xlfn.XLOOKUP(F437,Apuração!A:A,Apuração!B:B),0)</f>
        <v>0.33333333333333331</v>
      </c>
      <c r="BQ437" s="53">
        <f ca="1">IF(BK437&gt;=BO437,0,_xlfn.XLOOKUP(F437,Apuração!A:A,Apuração!B:B)*(BO437 + (1/_xlfn.XLOOKUP(F437,Apuração!A:A,Apuração!B:B)) - BK437))</f>
        <v>0</v>
      </c>
      <c r="BR437" s="85">
        <f t="shared" ca="1" si="644"/>
        <v>0</v>
      </c>
      <c r="BS437" s="53">
        <f ca="1">IFERROR((_xlfn.XLOOKUP(F437,Apuração!A:A,Apuração!C:C)+1)/_xlfn.XLOOKUP(F437,Apuração!A:A,Apuração!B:B),0)</f>
        <v>0.5</v>
      </c>
    </row>
    <row r="438" spans="1:71" ht="25.95" hidden="1" customHeight="1" x14ac:dyDescent="0.3">
      <c r="A438" s="3" t="s">
        <v>33</v>
      </c>
      <c r="B438" s="4" t="s">
        <v>77</v>
      </c>
      <c r="C438" s="5" t="s">
        <v>97</v>
      </c>
      <c r="D438" s="5" t="s">
        <v>98</v>
      </c>
      <c r="E438" s="4" t="str" cm="1">
        <f t="array" ref="E438">_xlfn.IFS(
F438 = "A partir de Abril", "Aguardando Execução na Distribuidora",
A438 = "CAPACITAÇÃO", "Em execução no Corporativo",
TRUE, "Em Execução na Distribuidora"
)</f>
        <v>Em Execução na Distribuidora</v>
      </c>
      <c r="F438" s="4" t="str" cm="1">
        <f t="array" ref="F438">_xlfn.IFS(
AG438 &lt;&gt; "", "Jan-Dez/26",
AH438 &lt;&gt; "", "Fev-Dez/26",
AI438 &lt;&gt; "", "Mar-Dez/26", AJ438 &lt;&gt; "", "Abr-Dez/26",
TRUE, "A partir de Junho"
)</f>
        <v>Abr-Dez/26</v>
      </c>
      <c r="G438" s="4" t="s">
        <v>37</v>
      </c>
      <c r="H438" s="7" t="s">
        <v>54</v>
      </c>
      <c r="I438" s="8" t="s">
        <v>78</v>
      </c>
      <c r="J438" s="8" t="str" cm="1">
        <f t="array" aca="1" ref="J438" ca="1">_xlfn.LET(
  _xlpm.actual_value_month, INDEX(T438:AE438, MATCH(DATE(YEAR(TODAY()), MONTH(TODAY()), 1), $T$1:$AE$1, 0)),
  IF(_xlpm.actual_value_month &lt;&gt; "",_xlpm.actual_value_month &amp; " eventos mensais", "")
)</f>
        <v>4 eventos mensais</v>
      </c>
      <c r="K438" s="8" t="str" cm="1">
        <f t="array" ref="K438">_xlfn.LET(
    _xlpm.sum_month, SUM(T438:AE438),
    IF(_xlpm.sum_month = 0, "", _xlpm.sum_month &amp; " eventos no ano.")
)</f>
        <v>36 eventos no ano.</v>
      </c>
      <c r="L438" s="9" t="s">
        <v>56</v>
      </c>
      <c r="M438" s="13" t="s">
        <v>79</v>
      </c>
      <c r="N438" s="5" t="s">
        <v>42</v>
      </c>
      <c r="O438" s="5" t="s">
        <v>43</v>
      </c>
      <c r="P438" s="10" t="s">
        <v>44</v>
      </c>
      <c r="Q438" s="10" t="s">
        <v>44</v>
      </c>
      <c r="R438" s="11" t="s">
        <v>44</v>
      </c>
      <c r="S438" s="11" t="s">
        <v>44</v>
      </c>
      <c r="T438" s="22"/>
      <c r="U438" s="22"/>
      <c r="V438" s="22"/>
      <c r="W438" s="143">
        <v>4</v>
      </c>
      <c r="X438" s="143">
        <v>4</v>
      </c>
      <c r="Y438" s="143">
        <v>4</v>
      </c>
      <c r="Z438" s="143">
        <v>4</v>
      </c>
      <c r="AA438" s="143">
        <v>4</v>
      </c>
      <c r="AB438" s="143">
        <v>4</v>
      </c>
      <c r="AC438" s="143">
        <v>4</v>
      </c>
      <c r="AD438" s="143">
        <v>4</v>
      </c>
      <c r="AE438" s="143">
        <v>4</v>
      </c>
      <c r="AG438" s="71"/>
      <c r="AH438" s="71"/>
      <c r="AI438" s="71"/>
      <c r="AJ438" s="82">
        <v>4</v>
      </c>
      <c r="AK438" s="71">
        <v>3</v>
      </c>
      <c r="AL438" s="71"/>
      <c r="AM438" s="71"/>
      <c r="AN438" s="71"/>
      <c r="AO438" s="71"/>
      <c r="AP438" s="71"/>
      <c r="AQ438" s="71"/>
      <c r="AR438" s="71"/>
      <c r="AS438" s="94">
        <f t="shared" ref="AS438:AS447" ca="1" si="765">IF(MONTH(TODAY())=3,SUM(T438:U438),IF(MONTH(TODAY())=4,SUM(T438:V438),IF(MONTH(TODAY())=5,SUM(T438:W438),IF(MONTH(TODAY())=6,SUM(T438:X438),IF(MONTH(TODAY())=7,SUM(T438:Y438),IF(MONTH(TODAY())=8,SUM(T438:Z438),IF(MONTH(TODAY())=9,SUM(T438:AA438),IF(MONTH(TODAY())=10,SUM(T438:AB438),IF(MONTH(TODAY())=11,SUM(T438:AC438),IF(MONTH(TODAY())=12,SUM(T438:AD438),IF(MONTH(TODAY())=1,SUM(T438:AE438),T438)))))))))))</f>
        <v>8</v>
      </c>
      <c r="AT438" s="95">
        <f t="shared" ref="AT438:AT447" si="766">SUM(IF(AW438&lt;1.15,AG438,1.15*T438),IF(AX438&lt;1.15,AH438,1.15*U438),IF(AY438&lt;1.15,AI438,1.15*V438),IF(AZ438&lt;1.15,AJ438,1.15*W438),IF(BA438&lt;1.15,AK438,1.15*X438),IF(BB438&lt;1.15,AL438,1.15*Y438),IF(BC438&lt;1.15,AM438,1.15*Z438),IF(BD438&lt;1.15,AN438,1.15*AA438),IF(BE438&lt;1.15,AO438,1.15*AB438),IF(BF438&lt;1.15,AP438,1.15*AC438),IF(BG438&lt;1.15,AQ438,1.15*AD438),IF(BH438&lt;1.15,AR438,1.15*AE438))</f>
        <v>7</v>
      </c>
      <c r="AU438" s="97">
        <f t="shared" ref="AU438:AU447" si="767">SUM(AG438:AR438)</f>
        <v>7</v>
      </c>
      <c r="AW438" s="51">
        <f t="shared" ref="AW438:AW447" si="768">IFERROR(IF(AG438="",0,AG438/T438),0)</f>
        <v>0</v>
      </c>
      <c r="AX438" s="51">
        <f t="shared" ref="AX438:AX447" si="769">IFERROR(IF(AH438="",0,AH438/U438),0)</f>
        <v>0</v>
      </c>
      <c r="AY438" s="51">
        <f t="shared" ref="AY438:AY447" si="770">IFERROR(IF(AI438="",0,AI438/V438),0)</f>
        <v>0</v>
      </c>
      <c r="AZ438" s="51">
        <f t="shared" ref="AZ438:AZ447" si="771">IFERROR(IF(AJ438="",0,AJ438/W438),0)</f>
        <v>1</v>
      </c>
      <c r="BA438" s="51">
        <f t="shared" ref="BA438:BA447" si="772">IFERROR(IF(AK438="",0,AK438/X438),0)</f>
        <v>0.75</v>
      </c>
      <c r="BB438" s="51"/>
      <c r="BC438" s="51"/>
      <c r="BD438" s="51"/>
      <c r="BE438" s="51"/>
      <c r="BF438" s="51"/>
      <c r="BG438" s="51"/>
      <c r="BH438" s="51"/>
      <c r="BI438" s="65" cm="1">
        <f t="array" ref="BI438">IFERROR(INDEX(AW438:BH438,1,MATCH(2,1/(AW438:BH438&lt;&gt;""))),"")</f>
        <v>0.75</v>
      </c>
      <c r="BJ438" s="68" cm="1">
        <f t="array" ref="BJ438">IF(BM438 = "", "",IFERROR(INDEX(AW438:BH438,1,MATCH(2,1/(AW438:BH438&lt;&gt;""),1)-1),""))</f>
        <v>1</v>
      </c>
      <c r="BK438" s="58">
        <f>IF((IF(AW438&gt;=115%,115%,AW438) + IF(AX438&gt;=115%,115%,AX438) + IF(AY438&gt;=115%,115%,AY438) + (IF(AZ438&gt;=115%,115%,AZ438) + IF(BA438&gt;=115%,115%,BA438) + IF(BB438&gt;=115%,115%,BB438) + IF(BC438&gt;=115%,115%,BC438) + IF(BD438&gt;=115%,115%,BD438) + IF(BE438&gt;=115%,115%,BE438) + IF(BF438&gt;=115%,115%,BF438) + IF(BG438&gt;=115%,115%,BG438) + IF(BH438&gt;=115%,115%,BH438)))/_xlfn.XLOOKUP(F438,Apuração!A:A,Apuração!B:B)&gt;=1.15,1.15,((IF(AZ438&gt;=115%,115%,AZ438) + IF(AX438&gt;=115%,115%,AX438) + IF(AY438&gt;=115%,115%,AY438) + (IF(AW438&gt;=115%,115%,AW438) + IF(BA438&gt;=115%,115%,BA438) + IF(BB438&gt;=115%,115%,BB438) + IF(BC438&gt;=115%,115%,BC438) + IF(BD438&gt;=115%,115%,BD438) + IF(BE438&gt;=115%,115%,BE438) + IF(BF438&gt;=115%,115%,BF438) + IF(BG438&gt;=115%,115%,BG438) + IF(BH438&gt;=115%,115%,BH438)))/_xlfn.XLOOKUP(F438,Apuração!A:A,Apuração!B:B)))</f>
        <v>0.19444444444444445</v>
      </c>
      <c r="BL438" s="58" cm="1">
        <f t="array" aca="1" ref="BL438" ca="1">IF(SUM(IFERROR(IF(INDEX(AW438:INDEX(AW438:BH438, MATCH(2, 1/(AW438:BH438&lt;&gt;""), 1)-1), ROW(INDIRECT("1:" &amp; MATCH(2, 1/(AW438:BH438&lt;&gt;""), 1)-1))) &gt;= 115%, 115%, INDEX(AW438:INDEX(AW438:BH438, MATCH(2, 1/(AW438:BH438&lt;&gt;""), 1)-1), ROW(INDIRECT("1:" &amp; MATCH(2, 1/(AW438:BH438&lt;&gt;""), 1)-1)))), 0))/_xlfn.XLOOKUP(F438,Apuração!A:A,Apuração!B:B)&gt;=1.15,1.15,SUM(IFERROR(IF(INDEX(AW438:INDEX(AW438:BH438, MATCH(2, 1/(AW438:BH438&lt;&gt;""), 1)-1), ROW(INDIRECT("1:" &amp; MATCH(2, 1/(AW438:BH438&lt;&gt;""), 1)-1))) &gt;= 115%, 115%, INDEX(AW438:INDEX(AW438:BH438, MATCH(2, 1/(AW438:BH438&lt;&gt;""), 1)-1), ROW(INDIRECT("1:" &amp; MATCH(2, 1/(AW438:BH438&lt;&gt;""), 1)-1)))), 0))/_xlfn.XLOOKUP(F438,Apuração!A:A,Apuração!B:B))</f>
        <v>0.1111111111111111</v>
      </c>
      <c r="BM438" s="55" cm="1">
        <f t="array" ref="BM438">IFERROR(
   INDEX($AW$1:$BH$1,
      _xlfn.AGGREGATE(14, 6, COLUMN($AW$1:$BH$1)/(AW438:BH438&lt;&gt;""), 2) - COLUMN($AW$1) + 1
   ),
"")</f>
        <v>46113</v>
      </c>
      <c r="BN438" s="55" cm="1">
        <f t="array" ref="BN438">IFERROR(INDEX($AW$1:$BH$1,1,MATCH(2,1/(AW438:BH438&lt;&gt;""))),"")</f>
        <v>46143</v>
      </c>
      <c r="BO438" s="53">
        <f ca="1">IFERROR(_xlfn.XLOOKUP(F438,Apuração!A:A,Apuração!C:C)/_xlfn.XLOOKUP(F438,Apuração!A:A,Apuração!B:B),0)</f>
        <v>0.22222222222222221</v>
      </c>
      <c r="BP438" s="53">
        <f ca="1">IFERROR(_xlfn.XLOOKUP(F438,Apuração!A:A,Apuração!D:D)/_xlfn.XLOOKUP(F438,Apuração!A:A,Apuração!B:B),0)</f>
        <v>0.1111111111111111</v>
      </c>
      <c r="BQ438" s="53">
        <f ca="1">IF(BK438&gt;=BO438,0,_xlfn.XLOOKUP(F438,Apuração!A:A,Apuração!B:B)*(BO438 + (1/_xlfn.XLOOKUP(F438,Apuração!A:A,Apuração!B:B)) - BK438))</f>
        <v>1.2499999999999998</v>
      </c>
      <c r="BR438" s="85">
        <f t="shared" ref="BR438:BR447" ca="1" si="773">IF(BQ438=0,0,BQ438*Z438)</f>
        <v>4.9999999999999991</v>
      </c>
      <c r="BS438" s="53">
        <f ca="1">IFERROR((_xlfn.XLOOKUP(F438,Apuração!A:A,Apuração!C:C)+1)/_xlfn.XLOOKUP(F438,Apuração!A:A,Apuração!B:B),0)</f>
        <v>0.33333333333333331</v>
      </c>
    </row>
    <row r="439" spans="1:71" ht="25.95" hidden="1" customHeight="1" x14ac:dyDescent="0.3">
      <c r="A439" s="3" t="s">
        <v>33</v>
      </c>
      <c r="B439" s="4" t="s">
        <v>77</v>
      </c>
      <c r="C439" s="5" t="s">
        <v>97</v>
      </c>
      <c r="D439" s="5" t="s">
        <v>99</v>
      </c>
      <c r="E439" s="4" t="str" cm="1">
        <f t="array" ref="E439">_xlfn.IFS(
F439 = "A partir de Abril", "Aguardando Execução na Distribuidora",
A439 = "CAPACITAÇÃO", "Em execução no Corporativo",
TRUE, "Em Execução na Distribuidora"
)</f>
        <v>Em Execução na Distribuidora</v>
      </c>
      <c r="F439" s="4" t="str" cm="1">
        <f t="array" ref="F439">_xlfn.IFS(
AG439 &lt;&gt; "", "Jan-Dez/26",
AH439 &lt;&gt; "", "Fev-Dez/26",
AI439 &lt;&gt; "", "Mar-Dez/26", AJ439 &lt;&gt; "", "Abr-Dez/26",
TRUE, "A partir de Junho"
)</f>
        <v>Abr-Dez/26</v>
      </c>
      <c r="G439" s="4" t="s">
        <v>37</v>
      </c>
      <c r="H439" s="7" t="s">
        <v>54</v>
      </c>
      <c r="I439" s="8" t="s">
        <v>78</v>
      </c>
      <c r="J439" s="8" t="str" cm="1">
        <f t="array" aca="1" ref="J439" ca="1">_xlfn.LET(
  _xlpm.actual_value_month, INDEX(T439:AE439, MATCH(DATE(YEAR(TODAY()), MONTH(TODAY()), 1), $T$1:$AE$1, 0)),
  IF(_xlpm.actual_value_month &lt;&gt; "",_xlpm.actual_value_month &amp; " eventos mensais", "")
)</f>
        <v>4 eventos mensais</v>
      </c>
      <c r="K439" s="8" t="str" cm="1">
        <f t="array" ref="K439">_xlfn.LET(
    _xlpm.sum_month, SUM(T439:AE439),
    IF(_xlpm.sum_month = 0, "", _xlpm.sum_month &amp; " eventos no ano.")
)</f>
        <v>36 eventos no ano.</v>
      </c>
      <c r="L439" s="9" t="s">
        <v>56</v>
      </c>
      <c r="M439" s="13" t="s">
        <v>79</v>
      </c>
      <c r="N439" s="5" t="s">
        <v>42</v>
      </c>
      <c r="O439" s="5" t="s">
        <v>43</v>
      </c>
      <c r="P439" s="10" t="s">
        <v>44</v>
      </c>
      <c r="Q439" s="10" t="s">
        <v>44</v>
      </c>
      <c r="R439" s="11" t="s">
        <v>44</v>
      </c>
      <c r="S439" s="11" t="s">
        <v>44</v>
      </c>
      <c r="T439" s="22"/>
      <c r="U439" s="22"/>
      <c r="V439" s="22"/>
      <c r="W439" s="143">
        <v>4</v>
      </c>
      <c r="X439" s="143">
        <v>4</v>
      </c>
      <c r="Y439" s="143">
        <v>4</v>
      </c>
      <c r="Z439" s="143">
        <v>4</v>
      </c>
      <c r="AA439" s="143">
        <v>4</v>
      </c>
      <c r="AB439" s="143">
        <v>4</v>
      </c>
      <c r="AC439" s="143">
        <v>4</v>
      </c>
      <c r="AD439" s="143">
        <v>4</v>
      </c>
      <c r="AE439" s="143">
        <v>4</v>
      </c>
      <c r="AG439" s="71"/>
      <c r="AH439" s="71"/>
      <c r="AI439" s="71"/>
      <c r="AJ439" s="82">
        <v>4</v>
      </c>
      <c r="AK439" s="71"/>
      <c r="AL439" s="71"/>
      <c r="AM439" s="71"/>
      <c r="AN439" s="71"/>
      <c r="AO439" s="71"/>
      <c r="AP439" s="71"/>
      <c r="AQ439" s="71"/>
      <c r="AR439" s="71"/>
      <c r="AS439" s="94">
        <f t="shared" ca="1" si="765"/>
        <v>8</v>
      </c>
      <c r="AT439" s="95">
        <f t="shared" si="766"/>
        <v>4</v>
      </c>
      <c r="AU439" s="97">
        <f t="shared" si="767"/>
        <v>4</v>
      </c>
      <c r="AW439" s="51">
        <f t="shared" si="768"/>
        <v>0</v>
      </c>
      <c r="AX439" s="51">
        <f t="shared" si="769"/>
        <v>0</v>
      </c>
      <c r="AY439" s="51">
        <f t="shared" si="770"/>
        <v>0</v>
      </c>
      <c r="AZ439" s="51">
        <f t="shared" si="771"/>
        <v>1</v>
      </c>
      <c r="BA439" s="51">
        <f t="shared" si="772"/>
        <v>0</v>
      </c>
      <c r="BB439" s="51"/>
      <c r="BC439" s="51"/>
      <c r="BD439" s="51"/>
      <c r="BE439" s="51"/>
      <c r="BF439" s="51"/>
      <c r="BG439" s="51"/>
      <c r="BH439" s="51"/>
      <c r="BI439" s="65" cm="1">
        <f t="array" ref="BI439">IFERROR(INDEX(AW439:BH439,1,MATCH(2,1/(AW439:BH439&lt;&gt;""))),"")</f>
        <v>0</v>
      </c>
      <c r="BJ439" s="68" cm="1">
        <f t="array" ref="BJ439">IF(BM439 = "", "",IFERROR(INDEX(AW439:BH439,1,MATCH(2,1/(AW439:BH439&lt;&gt;""),1)-1),""))</f>
        <v>1</v>
      </c>
      <c r="BK439" s="58">
        <f>IF((IF(AW439&gt;=115%,115%,AW439) + IF(AX439&gt;=115%,115%,AX439) + IF(AY439&gt;=115%,115%,AY439) + (IF(AZ439&gt;=115%,115%,AZ439) + IF(BA439&gt;=115%,115%,BA439) + IF(BB439&gt;=115%,115%,BB439) + IF(BC439&gt;=115%,115%,BC439) + IF(BD439&gt;=115%,115%,BD439) + IF(BE439&gt;=115%,115%,BE439) + IF(BF439&gt;=115%,115%,BF439) + IF(BG439&gt;=115%,115%,BG439) + IF(BH439&gt;=115%,115%,BH439)))/_xlfn.XLOOKUP(F439,Apuração!A:A,Apuração!B:B)&gt;=1.15,1.15,((IF(AZ439&gt;=115%,115%,AZ439) + IF(AX439&gt;=115%,115%,AX439) + IF(AY439&gt;=115%,115%,AY439) + (IF(AW439&gt;=115%,115%,AW439) + IF(BA439&gt;=115%,115%,BA439) + IF(BB439&gt;=115%,115%,BB439) + IF(BC439&gt;=115%,115%,BC439) + IF(BD439&gt;=115%,115%,BD439) + IF(BE439&gt;=115%,115%,BE439) + IF(BF439&gt;=115%,115%,BF439) + IF(BG439&gt;=115%,115%,BG439) + IF(BH439&gt;=115%,115%,BH439)))/_xlfn.XLOOKUP(F439,Apuração!A:A,Apuração!B:B)))</f>
        <v>0.1111111111111111</v>
      </c>
      <c r="BL439" s="58" cm="1">
        <f t="array" aca="1" ref="BL439" ca="1">IF(SUM(IFERROR(IF(INDEX(AW439:INDEX(AW439:BH439, MATCH(2, 1/(AW439:BH439&lt;&gt;""), 1)-1), ROW(INDIRECT("1:" &amp; MATCH(2, 1/(AW439:BH439&lt;&gt;""), 1)-1))) &gt;= 115%, 115%, INDEX(AW439:INDEX(AW439:BH439, MATCH(2, 1/(AW439:BH439&lt;&gt;""), 1)-1), ROW(INDIRECT("1:" &amp; MATCH(2, 1/(AW439:BH439&lt;&gt;""), 1)-1)))), 0))/_xlfn.XLOOKUP(F439,Apuração!A:A,Apuração!B:B)&gt;=1.15,1.15,SUM(IFERROR(IF(INDEX(AW439:INDEX(AW439:BH439, MATCH(2, 1/(AW439:BH439&lt;&gt;""), 1)-1), ROW(INDIRECT("1:" &amp; MATCH(2, 1/(AW439:BH439&lt;&gt;""), 1)-1))) &gt;= 115%, 115%, INDEX(AW439:INDEX(AW439:BH439, MATCH(2, 1/(AW439:BH439&lt;&gt;""), 1)-1), ROW(INDIRECT("1:" &amp; MATCH(2, 1/(AW439:BH439&lt;&gt;""), 1)-1)))), 0))/_xlfn.XLOOKUP(F439,Apuração!A:A,Apuração!B:B))</f>
        <v>0.1111111111111111</v>
      </c>
      <c r="BM439" s="55" cm="1">
        <f t="array" ref="BM439">IFERROR(
   INDEX($AW$1:$BH$1,
      _xlfn.AGGREGATE(14, 6, COLUMN($AW$1:$BH$1)/(AW439:BH439&lt;&gt;""), 2) - COLUMN($AW$1) + 1
   ),
"")</f>
        <v>46113</v>
      </c>
      <c r="BN439" s="55" cm="1">
        <f t="array" ref="BN439">IFERROR(INDEX($AW$1:$BH$1,1,MATCH(2,1/(AW439:BH439&lt;&gt;""))),"")</f>
        <v>46143</v>
      </c>
      <c r="BO439" s="53">
        <f ca="1">IFERROR(_xlfn.XLOOKUP(F439,Apuração!A:A,Apuração!C:C)/_xlfn.XLOOKUP(F439,Apuração!A:A,Apuração!B:B),0)</f>
        <v>0.22222222222222221</v>
      </c>
      <c r="BP439" s="53">
        <f ca="1">IFERROR(_xlfn.XLOOKUP(F439,Apuração!A:A,Apuração!D:D)/_xlfn.XLOOKUP(F439,Apuração!A:A,Apuração!B:B),0)</f>
        <v>0.1111111111111111</v>
      </c>
      <c r="BQ439" s="53">
        <f ca="1">IF(BK439&gt;=BO439,0,_xlfn.XLOOKUP(F439,Apuração!A:A,Apuração!B:B)*(BO439 + (1/_xlfn.XLOOKUP(F439,Apuração!A:A,Apuração!B:B)) - BK439))</f>
        <v>2</v>
      </c>
      <c r="BR439" s="85">
        <f t="shared" ca="1" si="773"/>
        <v>8</v>
      </c>
      <c r="BS439" s="53">
        <f ca="1">IFERROR((_xlfn.XLOOKUP(F439,Apuração!A:A,Apuração!C:C)+1)/_xlfn.XLOOKUP(F439,Apuração!A:A,Apuração!B:B),0)</f>
        <v>0.33333333333333331</v>
      </c>
    </row>
    <row r="440" spans="1:71" ht="25.95" hidden="1" customHeight="1" x14ac:dyDescent="0.3">
      <c r="A440" s="3" t="s">
        <v>33</v>
      </c>
      <c r="B440" s="4" t="s">
        <v>77</v>
      </c>
      <c r="C440" s="5" t="s">
        <v>97</v>
      </c>
      <c r="D440" s="5" t="s">
        <v>100</v>
      </c>
      <c r="E440" s="4" t="str" cm="1">
        <f t="array" ref="E440">_xlfn.IFS(
F440 = "A partir de Abril", "Aguardando Execução na Distribuidora",
A440 = "CAPACITAÇÃO", "Em execução no Corporativo",
TRUE, "Em Execução na Distribuidora"
)</f>
        <v>Em Execução na Distribuidora</v>
      </c>
      <c r="F440" s="4" t="str" cm="1">
        <f t="array" ref="F440">_xlfn.IFS(
AG440 &lt;&gt; "", "Jan-Dez/26",
AH440 &lt;&gt; "", "Fev-Dez/26",
AI440 &lt;&gt; "", "Mar-Dez/26", AJ440 &lt;&gt; "", "Abr-Dez/26",
TRUE, "A partir de Junho"
)</f>
        <v>Abr-Dez/26</v>
      </c>
      <c r="G440" s="4" t="s">
        <v>37</v>
      </c>
      <c r="H440" s="7" t="s">
        <v>54</v>
      </c>
      <c r="I440" s="8" t="s">
        <v>78</v>
      </c>
      <c r="J440" s="8" t="str" cm="1">
        <f t="array" aca="1" ref="J440" ca="1">_xlfn.LET(
  _xlpm.actual_value_month, INDEX(T440:AE440, MATCH(DATE(YEAR(TODAY()), MONTH(TODAY()), 1), $T$1:$AE$1, 0)),
  IF(_xlpm.actual_value_month &lt;&gt; "",_xlpm.actual_value_month &amp; " eventos mensais", "")
)</f>
        <v>4 eventos mensais</v>
      </c>
      <c r="K440" s="8" t="str" cm="1">
        <f t="array" ref="K440">_xlfn.LET(
    _xlpm.sum_month, SUM(T440:AE440),
    IF(_xlpm.sum_month = 0, "", _xlpm.sum_month &amp; " eventos no ano.")
)</f>
        <v>36 eventos no ano.</v>
      </c>
      <c r="L440" s="9" t="s">
        <v>56</v>
      </c>
      <c r="M440" s="13" t="s">
        <v>79</v>
      </c>
      <c r="N440" s="5" t="s">
        <v>42</v>
      </c>
      <c r="O440" s="5" t="s">
        <v>43</v>
      </c>
      <c r="P440" s="10" t="s">
        <v>44</v>
      </c>
      <c r="Q440" s="10" t="s">
        <v>44</v>
      </c>
      <c r="R440" s="11" t="s">
        <v>44</v>
      </c>
      <c r="S440" s="11" t="s">
        <v>44</v>
      </c>
      <c r="T440" s="22"/>
      <c r="U440" s="22"/>
      <c r="V440" s="22"/>
      <c r="W440" s="143">
        <v>4</v>
      </c>
      <c r="X440" s="143">
        <v>4</v>
      </c>
      <c r="Y440" s="143">
        <v>4</v>
      </c>
      <c r="Z440" s="143">
        <v>4</v>
      </c>
      <c r="AA440" s="143">
        <v>4</v>
      </c>
      <c r="AB440" s="143">
        <v>4</v>
      </c>
      <c r="AC440" s="143">
        <v>4</v>
      </c>
      <c r="AD440" s="143">
        <v>4</v>
      </c>
      <c r="AE440" s="143">
        <v>4</v>
      </c>
      <c r="AG440" s="71"/>
      <c r="AH440" s="71"/>
      <c r="AI440" s="71"/>
      <c r="AJ440" s="82">
        <v>4</v>
      </c>
      <c r="AK440" s="71">
        <v>16</v>
      </c>
      <c r="AL440" s="71"/>
      <c r="AM440" s="71"/>
      <c r="AN440" s="71"/>
      <c r="AO440" s="71"/>
      <c r="AP440" s="71"/>
      <c r="AQ440" s="71"/>
      <c r="AR440" s="71"/>
      <c r="AS440" s="94">
        <f t="shared" ca="1" si="765"/>
        <v>8</v>
      </c>
      <c r="AT440" s="95">
        <f t="shared" si="766"/>
        <v>8.6</v>
      </c>
      <c r="AU440" s="97">
        <f t="shared" si="767"/>
        <v>20</v>
      </c>
      <c r="AW440" s="51">
        <f t="shared" si="768"/>
        <v>0</v>
      </c>
      <c r="AX440" s="51">
        <f t="shared" si="769"/>
        <v>0</v>
      </c>
      <c r="AY440" s="51">
        <f t="shared" si="770"/>
        <v>0</v>
      </c>
      <c r="AZ440" s="51">
        <f t="shared" si="771"/>
        <v>1</v>
      </c>
      <c r="BA440" s="51">
        <f t="shared" si="772"/>
        <v>4</v>
      </c>
      <c r="BB440" s="51"/>
      <c r="BC440" s="51"/>
      <c r="BD440" s="51"/>
      <c r="BE440" s="51"/>
      <c r="BF440" s="51"/>
      <c r="BG440" s="51"/>
      <c r="BH440" s="51"/>
      <c r="BI440" s="65" cm="1">
        <f t="array" ref="BI440">IFERROR(INDEX(AW440:BH440,1,MATCH(2,1/(AW440:BH440&lt;&gt;""))),"")</f>
        <v>4</v>
      </c>
      <c r="BJ440" s="68" cm="1">
        <f t="array" ref="BJ440">IF(BM440 = "", "",IFERROR(INDEX(AW440:BH440,1,MATCH(2,1/(AW440:BH440&lt;&gt;""),1)-1),""))</f>
        <v>1</v>
      </c>
      <c r="BK440" s="58">
        <f>IF((IF(AW440&gt;=115%,115%,AW440) + IF(AX440&gt;=115%,115%,AX440) + IF(AY440&gt;=115%,115%,AY440) + (IF(AZ440&gt;=115%,115%,AZ440) + IF(BA440&gt;=115%,115%,BA440) + IF(BB440&gt;=115%,115%,BB440) + IF(BC440&gt;=115%,115%,BC440) + IF(BD440&gt;=115%,115%,BD440) + IF(BE440&gt;=115%,115%,BE440) + IF(BF440&gt;=115%,115%,BF440) + IF(BG440&gt;=115%,115%,BG440) + IF(BH440&gt;=115%,115%,BH440)))/_xlfn.XLOOKUP(F440,Apuração!A:A,Apuração!B:B)&gt;=1.15,1.15,((IF(AZ440&gt;=115%,115%,AZ440) + IF(AX440&gt;=115%,115%,AX440) + IF(AY440&gt;=115%,115%,AY440) + (IF(AW440&gt;=115%,115%,AW440) + IF(BA440&gt;=115%,115%,BA440) + IF(BB440&gt;=115%,115%,BB440) + IF(BC440&gt;=115%,115%,BC440) + IF(BD440&gt;=115%,115%,BD440) + IF(BE440&gt;=115%,115%,BE440) + IF(BF440&gt;=115%,115%,BF440) + IF(BG440&gt;=115%,115%,BG440) + IF(BH440&gt;=115%,115%,BH440)))/_xlfn.XLOOKUP(F440,Apuração!A:A,Apuração!B:B)))</f>
        <v>0.23888888888888887</v>
      </c>
      <c r="BL440" s="58" cm="1">
        <f t="array" aca="1" ref="BL440" ca="1">IF(SUM(IFERROR(IF(INDEX(AW440:INDEX(AW440:BH440, MATCH(2, 1/(AW440:BH440&lt;&gt;""), 1)-1), ROW(INDIRECT("1:" &amp; MATCH(2, 1/(AW440:BH440&lt;&gt;""), 1)-1))) &gt;= 115%, 115%, INDEX(AW440:INDEX(AW440:BH440, MATCH(2, 1/(AW440:BH440&lt;&gt;""), 1)-1), ROW(INDIRECT("1:" &amp; MATCH(2, 1/(AW440:BH440&lt;&gt;""), 1)-1)))), 0))/_xlfn.XLOOKUP(F440,Apuração!A:A,Apuração!B:B)&gt;=1.15,1.15,SUM(IFERROR(IF(INDEX(AW440:INDEX(AW440:BH440, MATCH(2, 1/(AW440:BH440&lt;&gt;""), 1)-1), ROW(INDIRECT("1:" &amp; MATCH(2, 1/(AW440:BH440&lt;&gt;""), 1)-1))) &gt;= 115%, 115%, INDEX(AW440:INDEX(AW440:BH440, MATCH(2, 1/(AW440:BH440&lt;&gt;""), 1)-1), ROW(INDIRECT("1:" &amp; MATCH(2, 1/(AW440:BH440&lt;&gt;""), 1)-1)))), 0))/_xlfn.XLOOKUP(F440,Apuração!A:A,Apuração!B:B))</f>
        <v>0.1111111111111111</v>
      </c>
      <c r="BM440" s="55" cm="1">
        <f t="array" ref="BM440">IFERROR(
   INDEX($AW$1:$BH$1,
      _xlfn.AGGREGATE(14, 6, COLUMN($AW$1:$BH$1)/(AW440:BH440&lt;&gt;""), 2) - COLUMN($AW$1) + 1
   ),
"")</f>
        <v>46113</v>
      </c>
      <c r="BN440" s="55" cm="1">
        <f t="array" ref="BN440">IFERROR(INDEX($AW$1:$BH$1,1,MATCH(2,1/(AW440:BH440&lt;&gt;""))),"")</f>
        <v>46143</v>
      </c>
      <c r="BO440" s="53">
        <f ca="1">IFERROR(_xlfn.XLOOKUP(F440,Apuração!A:A,Apuração!C:C)/_xlfn.XLOOKUP(F440,Apuração!A:A,Apuração!B:B),0)</f>
        <v>0.22222222222222221</v>
      </c>
      <c r="BP440" s="53">
        <f ca="1">IFERROR(_xlfn.XLOOKUP(F440,Apuração!A:A,Apuração!D:D)/_xlfn.XLOOKUP(F440,Apuração!A:A,Apuração!B:B),0)</f>
        <v>0.1111111111111111</v>
      </c>
      <c r="BQ440" s="53">
        <f ca="1">IF(BK440&gt;=BO440,0,_xlfn.XLOOKUP(F440,Apuração!A:A,Apuração!B:B)*(BO440 + (1/_xlfn.XLOOKUP(F440,Apuração!A:A,Apuração!B:B)) - BK440))</f>
        <v>0</v>
      </c>
      <c r="BR440" s="85">
        <f t="shared" ca="1" si="773"/>
        <v>0</v>
      </c>
      <c r="BS440" s="53">
        <f ca="1">IFERROR((_xlfn.XLOOKUP(F440,Apuração!A:A,Apuração!C:C)+1)/_xlfn.XLOOKUP(F440,Apuração!A:A,Apuração!B:B),0)</f>
        <v>0.33333333333333331</v>
      </c>
    </row>
    <row r="441" spans="1:71" ht="25.95" hidden="1" customHeight="1" x14ac:dyDescent="0.3">
      <c r="A441" s="3" t="s">
        <v>33</v>
      </c>
      <c r="B441" s="4" t="s">
        <v>77</v>
      </c>
      <c r="C441" s="5" t="s">
        <v>97</v>
      </c>
      <c r="D441" s="5" t="s">
        <v>101</v>
      </c>
      <c r="E441" s="4" t="str" cm="1">
        <f t="array" ref="E441">_xlfn.IFS(
F441 = "A partir de Abril", "Aguardando Execução na Distribuidora",
A441 = "CAPACITAÇÃO", "Em execução no Corporativo",
TRUE, "Em Execução na Distribuidora"
)</f>
        <v>Em Execução na Distribuidora</v>
      </c>
      <c r="F441" s="4" t="str" cm="1">
        <f t="array" ref="F441">_xlfn.IFS(
AG441 &lt;&gt; "", "Jan-Dez/26",
AH441 &lt;&gt; "", "Fev-Dez/26",
AI441 &lt;&gt; "", "Mar-Dez/26", AJ441 &lt;&gt; "", "Abr-Dez/26",
TRUE, "A partir de Junho"
)</f>
        <v>Abr-Dez/26</v>
      </c>
      <c r="G441" s="4" t="s">
        <v>37</v>
      </c>
      <c r="H441" s="7" t="s">
        <v>54</v>
      </c>
      <c r="I441" s="8" t="s">
        <v>78</v>
      </c>
      <c r="J441" s="8" t="str" cm="1">
        <f t="array" aca="1" ref="J441" ca="1">_xlfn.LET(
  _xlpm.actual_value_month, INDEX(T441:AE441, MATCH(DATE(YEAR(TODAY()), MONTH(TODAY()), 1), $T$1:$AE$1, 0)),
  IF(_xlpm.actual_value_month &lt;&gt; "",_xlpm.actual_value_month &amp; " eventos mensais", "")
)</f>
        <v>4 eventos mensais</v>
      </c>
      <c r="K441" s="8" t="str" cm="1">
        <f t="array" ref="K441">_xlfn.LET(
    _xlpm.sum_month, SUM(T441:AE441),
    IF(_xlpm.sum_month = 0, "", _xlpm.sum_month &amp; " eventos no ano.")
)</f>
        <v>36 eventos no ano.</v>
      </c>
      <c r="L441" s="9" t="s">
        <v>56</v>
      </c>
      <c r="M441" s="13" t="s">
        <v>79</v>
      </c>
      <c r="N441" s="5" t="s">
        <v>42</v>
      </c>
      <c r="O441" s="5" t="s">
        <v>43</v>
      </c>
      <c r="P441" s="10" t="s">
        <v>44</v>
      </c>
      <c r="Q441" s="10" t="s">
        <v>44</v>
      </c>
      <c r="R441" s="11" t="s">
        <v>44</v>
      </c>
      <c r="S441" s="11" t="s">
        <v>44</v>
      </c>
      <c r="T441" s="22"/>
      <c r="U441" s="22"/>
      <c r="V441" s="22"/>
      <c r="W441" s="143">
        <v>4</v>
      </c>
      <c r="X441" s="143">
        <v>4</v>
      </c>
      <c r="Y441" s="143">
        <v>4</v>
      </c>
      <c r="Z441" s="143">
        <v>4</v>
      </c>
      <c r="AA441" s="143">
        <v>4</v>
      </c>
      <c r="AB441" s="143">
        <v>4</v>
      </c>
      <c r="AC441" s="143">
        <v>4</v>
      </c>
      <c r="AD441" s="143">
        <v>4</v>
      </c>
      <c r="AE441" s="143">
        <v>4</v>
      </c>
      <c r="AG441" s="71"/>
      <c r="AH441" s="71"/>
      <c r="AI441" s="71"/>
      <c r="AJ441" s="82">
        <v>4</v>
      </c>
      <c r="AK441" s="71">
        <v>7</v>
      </c>
      <c r="AL441" s="71"/>
      <c r="AM441" s="71"/>
      <c r="AN441" s="71"/>
      <c r="AO441" s="71"/>
      <c r="AP441" s="71"/>
      <c r="AQ441" s="71"/>
      <c r="AR441" s="71"/>
      <c r="AS441" s="94">
        <f t="shared" ca="1" si="765"/>
        <v>8</v>
      </c>
      <c r="AT441" s="95">
        <f t="shared" si="766"/>
        <v>8.6</v>
      </c>
      <c r="AU441" s="97">
        <f t="shared" si="767"/>
        <v>11</v>
      </c>
      <c r="AW441" s="51">
        <f t="shared" si="768"/>
        <v>0</v>
      </c>
      <c r="AX441" s="51">
        <f t="shared" si="769"/>
        <v>0</v>
      </c>
      <c r="AY441" s="51">
        <f t="shared" si="770"/>
        <v>0</v>
      </c>
      <c r="AZ441" s="51">
        <f t="shared" si="771"/>
        <v>1</v>
      </c>
      <c r="BA441" s="51">
        <f t="shared" si="772"/>
        <v>1.75</v>
      </c>
      <c r="BB441" s="51"/>
      <c r="BC441" s="51"/>
      <c r="BD441" s="51"/>
      <c r="BE441" s="51"/>
      <c r="BF441" s="51"/>
      <c r="BG441" s="51"/>
      <c r="BH441" s="51"/>
      <c r="BI441" s="65" cm="1">
        <f t="array" ref="BI441">IFERROR(INDEX(AW441:BH441,1,MATCH(2,1/(AW441:BH441&lt;&gt;""))),"")</f>
        <v>1.75</v>
      </c>
      <c r="BJ441" s="68" cm="1">
        <f t="array" ref="BJ441">IF(BM441 = "", "",IFERROR(INDEX(AW441:BH441,1,MATCH(2,1/(AW441:BH441&lt;&gt;""),1)-1),""))</f>
        <v>1</v>
      </c>
      <c r="BK441" s="58">
        <f>IF((IF(AW441&gt;=115%,115%,AW441) + IF(AX441&gt;=115%,115%,AX441) + IF(AY441&gt;=115%,115%,AY441) + (IF(AZ441&gt;=115%,115%,AZ441) + IF(BA441&gt;=115%,115%,BA441) + IF(BB441&gt;=115%,115%,BB441) + IF(BC441&gt;=115%,115%,BC441) + IF(BD441&gt;=115%,115%,BD441) + IF(BE441&gt;=115%,115%,BE441) + IF(BF441&gt;=115%,115%,BF441) + IF(BG441&gt;=115%,115%,BG441) + IF(BH441&gt;=115%,115%,BH441)))/_xlfn.XLOOKUP(F441,Apuração!A:A,Apuração!B:B)&gt;=1.15,1.15,((IF(AZ441&gt;=115%,115%,AZ441) + IF(AX441&gt;=115%,115%,AX441) + IF(AY441&gt;=115%,115%,AY441) + (IF(AW441&gt;=115%,115%,AW441) + IF(BA441&gt;=115%,115%,BA441) + IF(BB441&gt;=115%,115%,BB441) + IF(BC441&gt;=115%,115%,BC441) + IF(BD441&gt;=115%,115%,BD441) + IF(BE441&gt;=115%,115%,BE441) + IF(BF441&gt;=115%,115%,BF441) + IF(BG441&gt;=115%,115%,BG441) + IF(BH441&gt;=115%,115%,BH441)))/_xlfn.XLOOKUP(F441,Apuração!A:A,Apuração!B:B)))</f>
        <v>0.23888888888888887</v>
      </c>
      <c r="BL441" s="58" cm="1">
        <f t="array" aca="1" ref="BL441" ca="1">IF(SUM(IFERROR(IF(INDEX(AW441:INDEX(AW441:BH441, MATCH(2, 1/(AW441:BH441&lt;&gt;""), 1)-1), ROW(INDIRECT("1:" &amp; MATCH(2, 1/(AW441:BH441&lt;&gt;""), 1)-1))) &gt;= 115%, 115%, INDEX(AW441:INDEX(AW441:BH441, MATCH(2, 1/(AW441:BH441&lt;&gt;""), 1)-1), ROW(INDIRECT("1:" &amp; MATCH(2, 1/(AW441:BH441&lt;&gt;""), 1)-1)))), 0))/_xlfn.XLOOKUP(F441,Apuração!A:A,Apuração!B:B)&gt;=1.15,1.15,SUM(IFERROR(IF(INDEX(AW441:INDEX(AW441:BH441, MATCH(2, 1/(AW441:BH441&lt;&gt;""), 1)-1), ROW(INDIRECT("1:" &amp; MATCH(2, 1/(AW441:BH441&lt;&gt;""), 1)-1))) &gt;= 115%, 115%, INDEX(AW441:INDEX(AW441:BH441, MATCH(2, 1/(AW441:BH441&lt;&gt;""), 1)-1), ROW(INDIRECT("1:" &amp; MATCH(2, 1/(AW441:BH441&lt;&gt;""), 1)-1)))), 0))/_xlfn.XLOOKUP(F441,Apuração!A:A,Apuração!B:B))</f>
        <v>0.1111111111111111</v>
      </c>
      <c r="BM441" s="55" cm="1">
        <f t="array" ref="BM441">IFERROR(
   INDEX($AW$1:$BH$1,
      _xlfn.AGGREGATE(14, 6, COLUMN($AW$1:$BH$1)/(AW441:BH441&lt;&gt;""), 2) - COLUMN($AW$1) + 1
   ),
"")</f>
        <v>46113</v>
      </c>
      <c r="BN441" s="55" cm="1">
        <f t="array" ref="BN441">IFERROR(INDEX($AW$1:$BH$1,1,MATCH(2,1/(AW441:BH441&lt;&gt;""))),"")</f>
        <v>46143</v>
      </c>
      <c r="BO441" s="53">
        <f ca="1">IFERROR(_xlfn.XLOOKUP(F441,Apuração!A:A,Apuração!C:C)/_xlfn.XLOOKUP(F441,Apuração!A:A,Apuração!B:B),0)</f>
        <v>0.22222222222222221</v>
      </c>
      <c r="BP441" s="53">
        <f ca="1">IFERROR(_xlfn.XLOOKUP(F441,Apuração!A:A,Apuração!D:D)/_xlfn.XLOOKUP(F441,Apuração!A:A,Apuração!B:B),0)</f>
        <v>0.1111111111111111</v>
      </c>
      <c r="BQ441" s="53">
        <f ca="1">IF(BK441&gt;=BO441,0,_xlfn.XLOOKUP(F441,Apuração!A:A,Apuração!B:B)*(BO441 + (1/_xlfn.XLOOKUP(F441,Apuração!A:A,Apuração!B:B)) - BK441))</f>
        <v>0</v>
      </c>
      <c r="BR441" s="85">
        <f t="shared" ca="1" si="773"/>
        <v>0</v>
      </c>
      <c r="BS441" s="53">
        <f ca="1">IFERROR((_xlfn.XLOOKUP(F441,Apuração!A:A,Apuração!C:C)+1)/_xlfn.XLOOKUP(F441,Apuração!A:A,Apuração!B:B),0)</f>
        <v>0.33333333333333331</v>
      </c>
    </row>
    <row r="442" spans="1:71" ht="25.95" hidden="1" customHeight="1" x14ac:dyDescent="0.3">
      <c r="A442" s="3" t="s">
        <v>33</v>
      </c>
      <c r="B442" s="4" t="s">
        <v>77</v>
      </c>
      <c r="C442" s="5" t="s">
        <v>97</v>
      </c>
      <c r="D442" s="5" t="s">
        <v>102</v>
      </c>
      <c r="E442" s="4" t="str" cm="1">
        <f t="array" ref="E442">_xlfn.IFS(
F442 = "A partir de Abril", "Aguardando Execução na Distribuidora",
A442 = "CAPACITAÇÃO", "Em execução no Corporativo",
TRUE, "Em Execução na Distribuidora"
)</f>
        <v>Em Execução na Distribuidora</v>
      </c>
      <c r="F442" s="4" t="str" cm="1">
        <f t="array" ref="F442">_xlfn.IFS(
AG442 &lt;&gt; "", "Jan-Dez/26",
AH442 &lt;&gt; "", "Fev-Dez/26",
AI442 &lt;&gt; "", "Mar-Dez/26", AJ442 &lt;&gt; "", "Abr-Dez/26",
TRUE, "A partir de Junho"
)</f>
        <v>Abr-Dez/26</v>
      </c>
      <c r="G442" s="4" t="s">
        <v>37</v>
      </c>
      <c r="H442" s="7" t="s">
        <v>54</v>
      </c>
      <c r="I442" s="8" t="s">
        <v>78</v>
      </c>
      <c r="J442" s="8" t="str" cm="1">
        <f t="array" aca="1" ref="J442" ca="1">_xlfn.LET(
  _xlpm.actual_value_month, INDEX(T442:AE442, MATCH(DATE(YEAR(TODAY()), MONTH(TODAY()), 1), $T$1:$AE$1, 0)),
  IF(_xlpm.actual_value_month &lt;&gt; "",_xlpm.actual_value_month &amp; " eventos mensais", "")
)</f>
        <v>4 eventos mensais</v>
      </c>
      <c r="K442" s="8" t="str" cm="1">
        <f t="array" ref="K442">_xlfn.LET(
    _xlpm.sum_month, SUM(T442:AE442),
    IF(_xlpm.sum_month = 0, "", _xlpm.sum_month &amp; " eventos no ano.")
)</f>
        <v>36 eventos no ano.</v>
      </c>
      <c r="L442" s="9" t="s">
        <v>56</v>
      </c>
      <c r="M442" s="13" t="s">
        <v>79</v>
      </c>
      <c r="N442" s="5" t="s">
        <v>42</v>
      </c>
      <c r="O442" s="5" t="s">
        <v>43</v>
      </c>
      <c r="P442" s="10" t="s">
        <v>44</v>
      </c>
      <c r="Q442" s="10" t="s">
        <v>44</v>
      </c>
      <c r="R442" s="11" t="s">
        <v>44</v>
      </c>
      <c r="S442" s="11" t="s">
        <v>44</v>
      </c>
      <c r="T442" s="22"/>
      <c r="U442" s="22"/>
      <c r="V442" s="22"/>
      <c r="W442" s="143">
        <v>4</v>
      </c>
      <c r="X442" s="143">
        <v>4</v>
      </c>
      <c r="Y442" s="143">
        <v>4</v>
      </c>
      <c r="Z442" s="143">
        <v>4</v>
      </c>
      <c r="AA442" s="143">
        <v>4</v>
      </c>
      <c r="AB442" s="143">
        <v>4</v>
      </c>
      <c r="AC442" s="143">
        <v>4</v>
      </c>
      <c r="AD442" s="143">
        <v>4</v>
      </c>
      <c r="AE442" s="143">
        <v>4</v>
      </c>
      <c r="AG442" s="71"/>
      <c r="AH442" s="71"/>
      <c r="AI442" s="71"/>
      <c r="AJ442" s="82">
        <v>4</v>
      </c>
      <c r="AK442" s="71"/>
      <c r="AL442" s="71"/>
      <c r="AM442" s="71"/>
      <c r="AN442" s="71"/>
      <c r="AO442" s="71"/>
      <c r="AP442" s="71"/>
      <c r="AQ442" s="71"/>
      <c r="AR442" s="71"/>
      <c r="AS442" s="94">
        <f t="shared" ca="1" si="765"/>
        <v>8</v>
      </c>
      <c r="AT442" s="95">
        <f t="shared" si="766"/>
        <v>4</v>
      </c>
      <c r="AU442" s="97">
        <f t="shared" si="767"/>
        <v>4</v>
      </c>
      <c r="AW442" s="51">
        <f t="shared" si="768"/>
        <v>0</v>
      </c>
      <c r="AX442" s="51">
        <f t="shared" si="769"/>
        <v>0</v>
      </c>
      <c r="AY442" s="51">
        <f t="shared" si="770"/>
        <v>0</v>
      </c>
      <c r="AZ442" s="51">
        <f t="shared" si="771"/>
        <v>1</v>
      </c>
      <c r="BA442" s="51">
        <f t="shared" si="772"/>
        <v>0</v>
      </c>
      <c r="BB442" s="51"/>
      <c r="BC442" s="51"/>
      <c r="BD442" s="51"/>
      <c r="BE442" s="51"/>
      <c r="BF442" s="51"/>
      <c r="BG442" s="51"/>
      <c r="BH442" s="51"/>
      <c r="BI442" s="65" cm="1">
        <f t="array" ref="BI442">IFERROR(INDEX(AW442:BH442,1,MATCH(2,1/(AW442:BH442&lt;&gt;""))),"")</f>
        <v>0</v>
      </c>
      <c r="BJ442" s="68" cm="1">
        <f t="array" ref="BJ442">IF(BM442 = "", "",IFERROR(INDEX(AW442:BH442,1,MATCH(2,1/(AW442:BH442&lt;&gt;""),1)-1),""))</f>
        <v>1</v>
      </c>
      <c r="BK442" s="58">
        <f>IF((IF(AW442&gt;=115%,115%,AW442) + IF(AX442&gt;=115%,115%,AX442) + IF(AY442&gt;=115%,115%,AY442) + (IF(AZ442&gt;=115%,115%,AZ442) + IF(BA442&gt;=115%,115%,BA442) + IF(BB442&gt;=115%,115%,BB442) + IF(BC442&gt;=115%,115%,BC442) + IF(BD442&gt;=115%,115%,BD442) + IF(BE442&gt;=115%,115%,BE442) + IF(BF442&gt;=115%,115%,BF442) + IF(BG442&gt;=115%,115%,BG442) + IF(BH442&gt;=115%,115%,BH442)))/_xlfn.XLOOKUP(F442,Apuração!A:A,Apuração!B:B)&gt;=1.15,1.15,((IF(AZ442&gt;=115%,115%,AZ442) + IF(AX442&gt;=115%,115%,AX442) + IF(AY442&gt;=115%,115%,AY442) + (IF(AW442&gt;=115%,115%,AW442) + IF(BA442&gt;=115%,115%,BA442) + IF(BB442&gt;=115%,115%,BB442) + IF(BC442&gt;=115%,115%,BC442) + IF(BD442&gt;=115%,115%,BD442) + IF(BE442&gt;=115%,115%,BE442) + IF(BF442&gt;=115%,115%,BF442) + IF(BG442&gt;=115%,115%,BG442) + IF(BH442&gt;=115%,115%,BH442)))/_xlfn.XLOOKUP(F442,Apuração!A:A,Apuração!B:B)))</f>
        <v>0.1111111111111111</v>
      </c>
      <c r="BL442" s="58" cm="1">
        <f t="array" aca="1" ref="BL442" ca="1">IF(SUM(IFERROR(IF(INDEX(AW442:INDEX(AW442:BH442, MATCH(2, 1/(AW442:BH442&lt;&gt;""), 1)-1), ROW(INDIRECT("1:" &amp; MATCH(2, 1/(AW442:BH442&lt;&gt;""), 1)-1))) &gt;= 115%, 115%, INDEX(AW442:INDEX(AW442:BH442, MATCH(2, 1/(AW442:BH442&lt;&gt;""), 1)-1), ROW(INDIRECT("1:" &amp; MATCH(2, 1/(AW442:BH442&lt;&gt;""), 1)-1)))), 0))/_xlfn.XLOOKUP(F442,Apuração!A:A,Apuração!B:B)&gt;=1.15,1.15,SUM(IFERROR(IF(INDEX(AW442:INDEX(AW442:BH442, MATCH(2, 1/(AW442:BH442&lt;&gt;""), 1)-1), ROW(INDIRECT("1:" &amp; MATCH(2, 1/(AW442:BH442&lt;&gt;""), 1)-1))) &gt;= 115%, 115%, INDEX(AW442:INDEX(AW442:BH442, MATCH(2, 1/(AW442:BH442&lt;&gt;""), 1)-1), ROW(INDIRECT("1:" &amp; MATCH(2, 1/(AW442:BH442&lt;&gt;""), 1)-1)))), 0))/_xlfn.XLOOKUP(F442,Apuração!A:A,Apuração!B:B))</f>
        <v>0.1111111111111111</v>
      </c>
      <c r="BM442" s="55" cm="1">
        <f t="array" ref="BM442">IFERROR(
   INDEX($AW$1:$BH$1,
      _xlfn.AGGREGATE(14, 6, COLUMN($AW$1:$BH$1)/(AW442:BH442&lt;&gt;""), 2) - COLUMN($AW$1) + 1
   ),
"")</f>
        <v>46113</v>
      </c>
      <c r="BN442" s="55" cm="1">
        <f t="array" ref="BN442">IFERROR(INDEX($AW$1:$BH$1,1,MATCH(2,1/(AW442:BH442&lt;&gt;""))),"")</f>
        <v>46143</v>
      </c>
      <c r="BO442" s="53">
        <f ca="1">IFERROR(_xlfn.XLOOKUP(F442,Apuração!A:A,Apuração!C:C)/_xlfn.XLOOKUP(F442,Apuração!A:A,Apuração!B:B),0)</f>
        <v>0.22222222222222221</v>
      </c>
      <c r="BP442" s="53">
        <f ca="1">IFERROR(_xlfn.XLOOKUP(F442,Apuração!A:A,Apuração!D:D)/_xlfn.XLOOKUP(F442,Apuração!A:A,Apuração!B:B),0)</f>
        <v>0.1111111111111111</v>
      </c>
      <c r="BQ442" s="53">
        <f ca="1">IF(BK442&gt;=BO442,0,_xlfn.XLOOKUP(F442,Apuração!A:A,Apuração!B:B)*(BO442 + (1/_xlfn.XLOOKUP(F442,Apuração!A:A,Apuração!B:B)) - BK442))</f>
        <v>2</v>
      </c>
      <c r="BR442" s="85">
        <f t="shared" ca="1" si="773"/>
        <v>8</v>
      </c>
      <c r="BS442" s="53">
        <f ca="1">IFERROR((_xlfn.XLOOKUP(F442,Apuração!A:A,Apuração!C:C)+1)/_xlfn.XLOOKUP(F442,Apuração!A:A,Apuração!B:B),0)</f>
        <v>0.33333333333333331</v>
      </c>
    </row>
    <row r="443" spans="1:71" ht="25.95" hidden="1" customHeight="1" x14ac:dyDescent="0.3">
      <c r="A443" s="3" t="s">
        <v>33</v>
      </c>
      <c r="B443" s="4" t="s">
        <v>77</v>
      </c>
      <c r="C443" s="5" t="s">
        <v>97</v>
      </c>
      <c r="D443" s="5" t="s">
        <v>103</v>
      </c>
      <c r="E443" s="4" t="str" cm="1">
        <f t="array" ref="E443">_xlfn.IFS(
F443 = "A partir de Abril", "Aguardando Execução na Distribuidora",
A443 = "CAPACITAÇÃO", "Em execução no Corporativo",
TRUE, "Em Execução na Distribuidora"
)</f>
        <v>Em Execução na Distribuidora</v>
      </c>
      <c r="F443" s="4" t="str" cm="1">
        <f t="array" ref="F443">_xlfn.IFS(
AG443 &lt;&gt; "", "Jan-Dez/26",
AH443 &lt;&gt; "", "Fev-Dez/26",
AI443 &lt;&gt; "", "Mar-Dez/26", AJ443 &lt;&gt; "", "Abr-Dez/26",
TRUE, "A partir de Junho"
)</f>
        <v>Abr-Dez/26</v>
      </c>
      <c r="G443" s="4" t="s">
        <v>37</v>
      </c>
      <c r="H443" s="7" t="s">
        <v>54</v>
      </c>
      <c r="I443" s="8" t="s">
        <v>78</v>
      </c>
      <c r="J443" s="8" t="str" cm="1">
        <f t="array" aca="1" ref="J443" ca="1">_xlfn.LET(
  _xlpm.actual_value_month, INDEX(T443:AE443, MATCH(DATE(YEAR(TODAY()), MONTH(TODAY()), 1), $T$1:$AE$1, 0)),
  IF(_xlpm.actual_value_month &lt;&gt; "",_xlpm.actual_value_month &amp; " eventos mensais", "")
)</f>
        <v>4 eventos mensais</v>
      </c>
      <c r="K443" s="8" t="str" cm="1">
        <f t="array" ref="K443">_xlfn.LET(
    _xlpm.sum_month, SUM(T443:AE443),
    IF(_xlpm.sum_month = 0, "", _xlpm.sum_month &amp; " eventos no ano.")
)</f>
        <v>36 eventos no ano.</v>
      </c>
      <c r="L443" s="9" t="s">
        <v>56</v>
      </c>
      <c r="M443" s="13" t="s">
        <v>79</v>
      </c>
      <c r="N443" s="5" t="s">
        <v>42</v>
      </c>
      <c r="O443" s="5" t="s">
        <v>43</v>
      </c>
      <c r="P443" s="10" t="s">
        <v>44</v>
      </c>
      <c r="Q443" s="10" t="s">
        <v>44</v>
      </c>
      <c r="R443" s="11" t="s">
        <v>44</v>
      </c>
      <c r="S443" s="11" t="s">
        <v>44</v>
      </c>
      <c r="T443" s="22"/>
      <c r="U443" s="22"/>
      <c r="V443" s="22"/>
      <c r="W443" s="143">
        <v>4</v>
      </c>
      <c r="X443" s="143">
        <v>4</v>
      </c>
      <c r="Y443" s="143">
        <v>4</v>
      </c>
      <c r="Z443" s="143">
        <v>4</v>
      </c>
      <c r="AA443" s="143">
        <v>4</v>
      </c>
      <c r="AB443" s="143">
        <v>4</v>
      </c>
      <c r="AC443" s="143">
        <v>4</v>
      </c>
      <c r="AD443" s="143">
        <v>4</v>
      </c>
      <c r="AE443" s="143">
        <v>4</v>
      </c>
      <c r="AG443" s="71"/>
      <c r="AH443" s="71"/>
      <c r="AI443" s="71"/>
      <c r="AJ443" s="82">
        <v>4</v>
      </c>
      <c r="AK443" s="71">
        <v>3</v>
      </c>
      <c r="AL443" s="71"/>
      <c r="AM443" s="71"/>
      <c r="AN443" s="71"/>
      <c r="AO443" s="71"/>
      <c r="AP443" s="71"/>
      <c r="AQ443" s="71"/>
      <c r="AR443" s="71"/>
      <c r="AS443" s="94">
        <f t="shared" ca="1" si="765"/>
        <v>8</v>
      </c>
      <c r="AT443" s="95">
        <f t="shared" si="766"/>
        <v>7</v>
      </c>
      <c r="AU443" s="97">
        <f t="shared" si="767"/>
        <v>7</v>
      </c>
      <c r="AW443" s="51">
        <f t="shared" si="768"/>
        <v>0</v>
      </c>
      <c r="AX443" s="51">
        <f t="shared" si="769"/>
        <v>0</v>
      </c>
      <c r="AY443" s="51">
        <f t="shared" si="770"/>
        <v>0</v>
      </c>
      <c r="AZ443" s="51">
        <f t="shared" si="771"/>
        <v>1</v>
      </c>
      <c r="BA443" s="51">
        <f t="shared" si="772"/>
        <v>0.75</v>
      </c>
      <c r="BB443" s="51"/>
      <c r="BC443" s="51"/>
      <c r="BD443" s="51"/>
      <c r="BE443" s="51"/>
      <c r="BF443" s="51"/>
      <c r="BG443" s="51"/>
      <c r="BH443" s="51"/>
      <c r="BI443" s="65" cm="1">
        <f t="array" ref="BI443">IFERROR(INDEX(AW443:BH443,1,MATCH(2,1/(AW443:BH443&lt;&gt;""))),"")</f>
        <v>0.75</v>
      </c>
      <c r="BJ443" s="68" cm="1">
        <f t="array" ref="BJ443">IF(BM443 = "", "",IFERROR(INDEX(AW443:BH443,1,MATCH(2,1/(AW443:BH443&lt;&gt;""),1)-1),""))</f>
        <v>1</v>
      </c>
      <c r="BK443" s="58">
        <f>IF((IF(AW443&gt;=115%,115%,AW443) + IF(AX443&gt;=115%,115%,AX443) + IF(AY443&gt;=115%,115%,AY443) + (IF(AZ443&gt;=115%,115%,AZ443) + IF(BA443&gt;=115%,115%,BA443) + IF(BB443&gt;=115%,115%,BB443) + IF(BC443&gt;=115%,115%,BC443) + IF(BD443&gt;=115%,115%,BD443) + IF(BE443&gt;=115%,115%,BE443) + IF(BF443&gt;=115%,115%,BF443) + IF(BG443&gt;=115%,115%,BG443) + IF(BH443&gt;=115%,115%,BH443)))/_xlfn.XLOOKUP(F443,Apuração!A:A,Apuração!B:B)&gt;=1.15,1.15,((IF(AZ443&gt;=115%,115%,AZ443) + IF(AX443&gt;=115%,115%,AX443) + IF(AY443&gt;=115%,115%,AY443) + (IF(AW443&gt;=115%,115%,AW443) + IF(BA443&gt;=115%,115%,BA443) + IF(BB443&gt;=115%,115%,BB443) + IF(BC443&gt;=115%,115%,BC443) + IF(BD443&gt;=115%,115%,BD443) + IF(BE443&gt;=115%,115%,BE443) + IF(BF443&gt;=115%,115%,BF443) + IF(BG443&gt;=115%,115%,BG443) + IF(BH443&gt;=115%,115%,BH443)))/_xlfn.XLOOKUP(F443,Apuração!A:A,Apuração!B:B)))</f>
        <v>0.19444444444444445</v>
      </c>
      <c r="BL443" s="58" cm="1">
        <f t="array" aca="1" ref="BL443" ca="1">IF(SUM(IFERROR(IF(INDEX(AW443:INDEX(AW443:BH443, MATCH(2, 1/(AW443:BH443&lt;&gt;""), 1)-1), ROW(INDIRECT("1:" &amp; MATCH(2, 1/(AW443:BH443&lt;&gt;""), 1)-1))) &gt;= 115%, 115%, INDEX(AW443:INDEX(AW443:BH443, MATCH(2, 1/(AW443:BH443&lt;&gt;""), 1)-1), ROW(INDIRECT("1:" &amp; MATCH(2, 1/(AW443:BH443&lt;&gt;""), 1)-1)))), 0))/_xlfn.XLOOKUP(F443,Apuração!A:A,Apuração!B:B)&gt;=1.15,1.15,SUM(IFERROR(IF(INDEX(AW443:INDEX(AW443:BH443, MATCH(2, 1/(AW443:BH443&lt;&gt;""), 1)-1), ROW(INDIRECT("1:" &amp; MATCH(2, 1/(AW443:BH443&lt;&gt;""), 1)-1))) &gt;= 115%, 115%, INDEX(AW443:INDEX(AW443:BH443, MATCH(2, 1/(AW443:BH443&lt;&gt;""), 1)-1), ROW(INDIRECT("1:" &amp; MATCH(2, 1/(AW443:BH443&lt;&gt;""), 1)-1)))), 0))/_xlfn.XLOOKUP(F443,Apuração!A:A,Apuração!B:B))</f>
        <v>0.1111111111111111</v>
      </c>
      <c r="BM443" s="55" cm="1">
        <f t="array" ref="BM443">IFERROR(
   INDEX($AW$1:$BH$1,
      _xlfn.AGGREGATE(14, 6, COLUMN($AW$1:$BH$1)/(AW443:BH443&lt;&gt;""), 2) - COLUMN($AW$1) + 1
   ),
"")</f>
        <v>46113</v>
      </c>
      <c r="BN443" s="55" cm="1">
        <f t="array" ref="BN443">IFERROR(INDEX($AW$1:$BH$1,1,MATCH(2,1/(AW443:BH443&lt;&gt;""))),"")</f>
        <v>46143</v>
      </c>
      <c r="BO443" s="53">
        <f ca="1">IFERROR(_xlfn.XLOOKUP(F443,Apuração!A:A,Apuração!C:C)/_xlfn.XLOOKUP(F443,Apuração!A:A,Apuração!B:B),0)</f>
        <v>0.22222222222222221</v>
      </c>
      <c r="BP443" s="53">
        <f ca="1">IFERROR(_xlfn.XLOOKUP(F443,Apuração!A:A,Apuração!D:D)/_xlfn.XLOOKUP(F443,Apuração!A:A,Apuração!B:B),0)</f>
        <v>0.1111111111111111</v>
      </c>
      <c r="BQ443" s="53">
        <f ca="1">IF(BK443&gt;=BO443,0,_xlfn.XLOOKUP(F443,Apuração!A:A,Apuração!B:B)*(BO443 + (1/_xlfn.XLOOKUP(F443,Apuração!A:A,Apuração!B:B)) - BK443))</f>
        <v>1.2499999999999998</v>
      </c>
      <c r="BR443" s="85">
        <f t="shared" ca="1" si="773"/>
        <v>4.9999999999999991</v>
      </c>
      <c r="BS443" s="53">
        <f ca="1">IFERROR((_xlfn.XLOOKUP(F443,Apuração!A:A,Apuração!C:C)+1)/_xlfn.XLOOKUP(F443,Apuração!A:A,Apuração!B:B),0)</f>
        <v>0.33333333333333331</v>
      </c>
    </row>
    <row r="444" spans="1:71" ht="25.95" hidden="1" customHeight="1" x14ac:dyDescent="0.3">
      <c r="A444" s="3" t="s">
        <v>33</v>
      </c>
      <c r="B444" s="4" t="s">
        <v>77</v>
      </c>
      <c r="C444" s="5" t="s">
        <v>97</v>
      </c>
      <c r="D444" s="5" t="s">
        <v>104</v>
      </c>
      <c r="E444" s="4" t="str" cm="1">
        <f t="array" ref="E444">_xlfn.IFS(
F444 = "A partir de Abril", "Aguardando Execução na Distribuidora",
A444 = "CAPACITAÇÃO", "Em execução no Corporativo",
TRUE, "Em Execução na Distribuidora"
)</f>
        <v>Em Execução na Distribuidora</v>
      </c>
      <c r="F444" s="4" t="str" cm="1">
        <f t="array" ref="F444">_xlfn.IFS(
AG444 &lt;&gt; "", "Jan-Dez/26",
AH444 &lt;&gt; "", "Fev-Dez/26",
AI444 &lt;&gt; "", "Mar-Dez/26", AJ444 &lt;&gt; "", "Abr-Dez/26",
TRUE, "A partir de Junho"
)</f>
        <v>Abr-Dez/26</v>
      </c>
      <c r="G444" s="4" t="s">
        <v>37</v>
      </c>
      <c r="H444" s="7" t="s">
        <v>54</v>
      </c>
      <c r="I444" s="8" t="s">
        <v>78</v>
      </c>
      <c r="J444" s="8" t="str" cm="1">
        <f t="array" aca="1" ref="J444" ca="1">_xlfn.LET(
  _xlpm.actual_value_month, INDEX(T444:AE444, MATCH(DATE(YEAR(TODAY()), MONTH(TODAY()), 1), $T$1:$AE$1, 0)),
  IF(_xlpm.actual_value_month &lt;&gt; "",_xlpm.actual_value_month &amp; " eventos mensais", "")
)</f>
        <v>4 eventos mensais</v>
      </c>
      <c r="K444" s="8" t="str" cm="1">
        <f t="array" ref="K444">_xlfn.LET(
    _xlpm.sum_month, SUM(T444:AE444),
    IF(_xlpm.sum_month = 0, "", _xlpm.sum_month &amp; " eventos no ano.")
)</f>
        <v>36 eventos no ano.</v>
      </c>
      <c r="L444" s="9" t="s">
        <v>56</v>
      </c>
      <c r="M444" s="13" t="s">
        <v>79</v>
      </c>
      <c r="N444" s="5" t="s">
        <v>42</v>
      </c>
      <c r="O444" s="5" t="s">
        <v>43</v>
      </c>
      <c r="P444" s="10" t="s">
        <v>44</v>
      </c>
      <c r="Q444" s="10" t="s">
        <v>44</v>
      </c>
      <c r="R444" s="11" t="s">
        <v>44</v>
      </c>
      <c r="S444" s="11" t="s">
        <v>44</v>
      </c>
      <c r="T444" s="22"/>
      <c r="U444" s="22"/>
      <c r="V444" s="22"/>
      <c r="W444" s="143">
        <v>4</v>
      </c>
      <c r="X444" s="143">
        <v>4</v>
      </c>
      <c r="Y444" s="143">
        <v>4</v>
      </c>
      <c r="Z444" s="143">
        <v>4</v>
      </c>
      <c r="AA444" s="143">
        <v>4</v>
      </c>
      <c r="AB444" s="143">
        <v>4</v>
      </c>
      <c r="AC444" s="143">
        <v>4</v>
      </c>
      <c r="AD444" s="143">
        <v>4</v>
      </c>
      <c r="AE444" s="143">
        <v>4</v>
      </c>
      <c r="AG444" s="71"/>
      <c r="AH444" s="71"/>
      <c r="AI444" s="71"/>
      <c r="AJ444" s="82">
        <v>4</v>
      </c>
      <c r="AK444" s="71">
        <v>2</v>
      </c>
      <c r="AL444" s="71"/>
      <c r="AM444" s="71"/>
      <c r="AN444" s="71"/>
      <c r="AO444" s="71"/>
      <c r="AP444" s="71"/>
      <c r="AQ444" s="71"/>
      <c r="AR444" s="71"/>
      <c r="AS444" s="94">
        <f t="shared" ca="1" si="765"/>
        <v>8</v>
      </c>
      <c r="AT444" s="95">
        <f t="shared" si="766"/>
        <v>6</v>
      </c>
      <c r="AU444" s="97">
        <f t="shared" si="767"/>
        <v>6</v>
      </c>
      <c r="AW444" s="51">
        <f t="shared" si="768"/>
        <v>0</v>
      </c>
      <c r="AX444" s="51">
        <f t="shared" si="769"/>
        <v>0</v>
      </c>
      <c r="AY444" s="51">
        <f t="shared" si="770"/>
        <v>0</v>
      </c>
      <c r="AZ444" s="51">
        <f t="shared" si="771"/>
        <v>1</v>
      </c>
      <c r="BA444" s="51">
        <f t="shared" si="772"/>
        <v>0.5</v>
      </c>
      <c r="BB444" s="51"/>
      <c r="BC444" s="51"/>
      <c r="BD444" s="51"/>
      <c r="BE444" s="51"/>
      <c r="BF444" s="51"/>
      <c r="BG444" s="51"/>
      <c r="BH444" s="51"/>
      <c r="BI444" s="65" cm="1">
        <f t="array" ref="BI444">IFERROR(INDEX(AW444:BH444,1,MATCH(2,1/(AW444:BH444&lt;&gt;""))),"")</f>
        <v>0.5</v>
      </c>
      <c r="BJ444" s="68" cm="1">
        <f t="array" ref="BJ444">IF(BM444 = "", "",IFERROR(INDEX(AW444:BH444,1,MATCH(2,1/(AW444:BH444&lt;&gt;""),1)-1),""))</f>
        <v>1</v>
      </c>
      <c r="BK444" s="58">
        <f>IF((IF(AW444&gt;=115%,115%,AW444) + IF(AX444&gt;=115%,115%,AX444) + IF(AY444&gt;=115%,115%,AY444) + (IF(AZ444&gt;=115%,115%,AZ444) + IF(BA444&gt;=115%,115%,BA444) + IF(BB444&gt;=115%,115%,BB444) + IF(BC444&gt;=115%,115%,BC444) + IF(BD444&gt;=115%,115%,BD444) + IF(BE444&gt;=115%,115%,BE444) + IF(BF444&gt;=115%,115%,BF444) + IF(BG444&gt;=115%,115%,BG444) + IF(BH444&gt;=115%,115%,BH444)))/_xlfn.XLOOKUP(F444,Apuração!A:A,Apuração!B:B)&gt;=1.15,1.15,((IF(AZ444&gt;=115%,115%,AZ444) + IF(AX444&gt;=115%,115%,AX444) + IF(AY444&gt;=115%,115%,AY444) + (IF(AW444&gt;=115%,115%,AW444) + IF(BA444&gt;=115%,115%,BA444) + IF(BB444&gt;=115%,115%,BB444) + IF(BC444&gt;=115%,115%,BC444) + IF(BD444&gt;=115%,115%,BD444) + IF(BE444&gt;=115%,115%,BE444) + IF(BF444&gt;=115%,115%,BF444) + IF(BG444&gt;=115%,115%,BG444) + IF(BH444&gt;=115%,115%,BH444)))/_xlfn.XLOOKUP(F444,Apuração!A:A,Apuração!B:B)))</f>
        <v>0.16666666666666666</v>
      </c>
      <c r="BL444" s="58" cm="1">
        <f t="array" aca="1" ref="BL444" ca="1">IF(SUM(IFERROR(IF(INDEX(AW444:INDEX(AW444:BH444, MATCH(2, 1/(AW444:BH444&lt;&gt;""), 1)-1), ROW(INDIRECT("1:" &amp; MATCH(2, 1/(AW444:BH444&lt;&gt;""), 1)-1))) &gt;= 115%, 115%, INDEX(AW444:INDEX(AW444:BH444, MATCH(2, 1/(AW444:BH444&lt;&gt;""), 1)-1), ROW(INDIRECT("1:" &amp; MATCH(2, 1/(AW444:BH444&lt;&gt;""), 1)-1)))), 0))/_xlfn.XLOOKUP(F444,Apuração!A:A,Apuração!B:B)&gt;=1.15,1.15,SUM(IFERROR(IF(INDEX(AW444:INDEX(AW444:BH444, MATCH(2, 1/(AW444:BH444&lt;&gt;""), 1)-1), ROW(INDIRECT("1:" &amp; MATCH(2, 1/(AW444:BH444&lt;&gt;""), 1)-1))) &gt;= 115%, 115%, INDEX(AW444:INDEX(AW444:BH444, MATCH(2, 1/(AW444:BH444&lt;&gt;""), 1)-1), ROW(INDIRECT("1:" &amp; MATCH(2, 1/(AW444:BH444&lt;&gt;""), 1)-1)))), 0))/_xlfn.XLOOKUP(F444,Apuração!A:A,Apuração!B:B))</f>
        <v>0.1111111111111111</v>
      </c>
      <c r="BM444" s="55" cm="1">
        <f t="array" ref="BM444">IFERROR(
   INDEX($AW$1:$BH$1,
      _xlfn.AGGREGATE(14, 6, COLUMN($AW$1:$BH$1)/(AW444:BH444&lt;&gt;""), 2) - COLUMN($AW$1) + 1
   ),
"")</f>
        <v>46113</v>
      </c>
      <c r="BN444" s="55" cm="1">
        <f t="array" ref="BN444">IFERROR(INDEX($AW$1:$BH$1,1,MATCH(2,1/(AW444:BH444&lt;&gt;""))),"")</f>
        <v>46143</v>
      </c>
      <c r="BO444" s="53">
        <f ca="1">IFERROR(_xlfn.XLOOKUP(F444,Apuração!A:A,Apuração!C:C)/_xlfn.XLOOKUP(F444,Apuração!A:A,Apuração!B:B),0)</f>
        <v>0.22222222222222221</v>
      </c>
      <c r="BP444" s="53">
        <f ca="1">IFERROR(_xlfn.XLOOKUP(F444,Apuração!A:A,Apuração!D:D)/_xlfn.XLOOKUP(F444,Apuração!A:A,Apuração!B:B),0)</f>
        <v>0.1111111111111111</v>
      </c>
      <c r="BQ444" s="53">
        <f ca="1">IF(BK444&gt;=BO444,0,_xlfn.XLOOKUP(F444,Apuração!A:A,Apuração!B:B)*(BO444 + (1/_xlfn.XLOOKUP(F444,Apuração!A:A,Apuração!B:B)) - BK444))</f>
        <v>1.5</v>
      </c>
      <c r="BR444" s="85">
        <f t="shared" ca="1" si="773"/>
        <v>6</v>
      </c>
      <c r="BS444" s="53">
        <f ca="1">IFERROR((_xlfn.XLOOKUP(F444,Apuração!A:A,Apuração!C:C)+1)/_xlfn.XLOOKUP(F444,Apuração!A:A,Apuração!B:B),0)</f>
        <v>0.33333333333333331</v>
      </c>
    </row>
    <row r="445" spans="1:71" ht="25.95" hidden="1" customHeight="1" x14ac:dyDescent="0.3">
      <c r="A445" s="3" t="s">
        <v>33</v>
      </c>
      <c r="B445" s="4" t="s">
        <v>77</v>
      </c>
      <c r="C445" s="5" t="s">
        <v>97</v>
      </c>
      <c r="D445" s="5" t="s">
        <v>105</v>
      </c>
      <c r="E445" s="4" t="str" cm="1">
        <f t="array" ref="E445">_xlfn.IFS(
F445 = "A partir de Abril", "Aguardando Execução na Distribuidora",
A445 = "CAPACITAÇÃO", "Em execução no Corporativo",
TRUE, "Em Execução na Distribuidora"
)</f>
        <v>Em Execução na Distribuidora</v>
      </c>
      <c r="F445" s="4" t="str" cm="1">
        <f t="array" ref="F445">_xlfn.IFS(
AG445 &lt;&gt; "", "Jan-Dez/26",
AH445 &lt;&gt; "", "Fev-Dez/26",
AI445 &lt;&gt; "", "Mar-Dez/26", AJ445 &lt;&gt; "", "Abr-Dez/26",
TRUE, "A partir de Junho"
)</f>
        <v>Abr-Dez/26</v>
      </c>
      <c r="G445" s="4" t="s">
        <v>37</v>
      </c>
      <c r="H445" s="7" t="s">
        <v>54</v>
      </c>
      <c r="I445" s="8" t="s">
        <v>78</v>
      </c>
      <c r="J445" s="8" t="str" cm="1">
        <f t="array" aca="1" ref="J445" ca="1">_xlfn.LET(
  _xlpm.actual_value_month, INDEX(T445:AE445, MATCH(DATE(YEAR(TODAY()), MONTH(TODAY()), 1), $T$1:$AE$1, 0)),
  IF(_xlpm.actual_value_month &lt;&gt; "",_xlpm.actual_value_month &amp; " eventos mensais", "")
)</f>
        <v>4 eventos mensais</v>
      </c>
      <c r="K445" s="8" t="str" cm="1">
        <f t="array" ref="K445">_xlfn.LET(
    _xlpm.sum_month, SUM(T445:AE445),
    IF(_xlpm.sum_month = 0, "", _xlpm.sum_month &amp; " eventos no ano.")
)</f>
        <v>36 eventos no ano.</v>
      </c>
      <c r="L445" s="9" t="s">
        <v>56</v>
      </c>
      <c r="M445" s="13" t="s">
        <v>79</v>
      </c>
      <c r="N445" s="5" t="s">
        <v>42</v>
      </c>
      <c r="O445" s="5" t="s">
        <v>43</v>
      </c>
      <c r="P445" s="10" t="s">
        <v>44</v>
      </c>
      <c r="Q445" s="10" t="s">
        <v>44</v>
      </c>
      <c r="R445" s="11" t="s">
        <v>44</v>
      </c>
      <c r="S445" s="11" t="s">
        <v>44</v>
      </c>
      <c r="T445" s="22"/>
      <c r="U445" s="22"/>
      <c r="V445" s="22"/>
      <c r="W445" s="143">
        <v>4</v>
      </c>
      <c r="X445" s="143">
        <v>4</v>
      </c>
      <c r="Y445" s="143">
        <v>4</v>
      </c>
      <c r="Z445" s="143">
        <v>4</v>
      </c>
      <c r="AA445" s="143">
        <v>4</v>
      </c>
      <c r="AB445" s="143">
        <v>4</v>
      </c>
      <c r="AC445" s="143">
        <v>4</v>
      </c>
      <c r="AD445" s="143">
        <v>4</v>
      </c>
      <c r="AE445" s="143">
        <v>4</v>
      </c>
      <c r="AG445" s="71"/>
      <c r="AH445" s="71"/>
      <c r="AI445" s="71"/>
      <c r="AJ445" s="82">
        <v>4</v>
      </c>
      <c r="AK445" s="71">
        <v>5</v>
      </c>
      <c r="AL445" s="71"/>
      <c r="AM445" s="71"/>
      <c r="AN445" s="71"/>
      <c r="AO445" s="71"/>
      <c r="AP445" s="71"/>
      <c r="AQ445" s="71"/>
      <c r="AR445" s="71"/>
      <c r="AS445" s="94">
        <f t="shared" ca="1" si="765"/>
        <v>8</v>
      </c>
      <c r="AT445" s="95">
        <f t="shared" si="766"/>
        <v>8.6</v>
      </c>
      <c r="AU445" s="97">
        <f t="shared" si="767"/>
        <v>9</v>
      </c>
      <c r="AW445" s="51">
        <f t="shared" si="768"/>
        <v>0</v>
      </c>
      <c r="AX445" s="51">
        <f t="shared" si="769"/>
        <v>0</v>
      </c>
      <c r="AY445" s="51">
        <f t="shared" si="770"/>
        <v>0</v>
      </c>
      <c r="AZ445" s="51">
        <f t="shared" si="771"/>
        <v>1</v>
      </c>
      <c r="BA445" s="51">
        <f t="shared" si="772"/>
        <v>1.25</v>
      </c>
      <c r="BB445" s="51"/>
      <c r="BC445" s="51"/>
      <c r="BD445" s="51"/>
      <c r="BE445" s="51"/>
      <c r="BF445" s="51"/>
      <c r="BG445" s="51"/>
      <c r="BH445" s="51"/>
      <c r="BI445" s="65" cm="1">
        <f t="array" ref="BI445">IFERROR(INDEX(AW445:BH445,1,MATCH(2,1/(AW445:BH445&lt;&gt;""))),"")</f>
        <v>1.25</v>
      </c>
      <c r="BJ445" s="68" cm="1">
        <f t="array" ref="BJ445">IF(BM445 = "", "",IFERROR(INDEX(AW445:BH445,1,MATCH(2,1/(AW445:BH445&lt;&gt;""),1)-1),""))</f>
        <v>1</v>
      </c>
      <c r="BK445" s="58">
        <f>IF((IF(AW445&gt;=115%,115%,AW445) + IF(AX445&gt;=115%,115%,AX445) + IF(AY445&gt;=115%,115%,AY445) + (IF(AZ445&gt;=115%,115%,AZ445) + IF(BA445&gt;=115%,115%,BA445) + IF(BB445&gt;=115%,115%,BB445) + IF(BC445&gt;=115%,115%,BC445) + IF(BD445&gt;=115%,115%,BD445) + IF(BE445&gt;=115%,115%,BE445) + IF(BF445&gt;=115%,115%,BF445) + IF(BG445&gt;=115%,115%,BG445) + IF(BH445&gt;=115%,115%,BH445)))/_xlfn.XLOOKUP(F445,Apuração!A:A,Apuração!B:B)&gt;=1.15,1.15,((IF(AZ445&gt;=115%,115%,AZ445) + IF(AX445&gt;=115%,115%,AX445) + IF(AY445&gt;=115%,115%,AY445) + (IF(AW445&gt;=115%,115%,AW445) + IF(BA445&gt;=115%,115%,BA445) + IF(BB445&gt;=115%,115%,BB445) + IF(BC445&gt;=115%,115%,BC445) + IF(BD445&gt;=115%,115%,BD445) + IF(BE445&gt;=115%,115%,BE445) + IF(BF445&gt;=115%,115%,BF445) + IF(BG445&gt;=115%,115%,BG445) + IF(BH445&gt;=115%,115%,BH445)))/_xlfn.XLOOKUP(F445,Apuração!A:A,Apuração!B:B)))</f>
        <v>0.23888888888888887</v>
      </c>
      <c r="BL445" s="58" cm="1">
        <f t="array" aca="1" ref="BL445" ca="1">IF(SUM(IFERROR(IF(INDEX(AW445:INDEX(AW445:BH445, MATCH(2, 1/(AW445:BH445&lt;&gt;""), 1)-1), ROW(INDIRECT("1:" &amp; MATCH(2, 1/(AW445:BH445&lt;&gt;""), 1)-1))) &gt;= 115%, 115%, INDEX(AW445:INDEX(AW445:BH445, MATCH(2, 1/(AW445:BH445&lt;&gt;""), 1)-1), ROW(INDIRECT("1:" &amp; MATCH(2, 1/(AW445:BH445&lt;&gt;""), 1)-1)))), 0))/_xlfn.XLOOKUP(F445,Apuração!A:A,Apuração!B:B)&gt;=1.15,1.15,SUM(IFERROR(IF(INDEX(AW445:INDEX(AW445:BH445, MATCH(2, 1/(AW445:BH445&lt;&gt;""), 1)-1), ROW(INDIRECT("1:" &amp; MATCH(2, 1/(AW445:BH445&lt;&gt;""), 1)-1))) &gt;= 115%, 115%, INDEX(AW445:INDEX(AW445:BH445, MATCH(2, 1/(AW445:BH445&lt;&gt;""), 1)-1), ROW(INDIRECT("1:" &amp; MATCH(2, 1/(AW445:BH445&lt;&gt;""), 1)-1)))), 0))/_xlfn.XLOOKUP(F445,Apuração!A:A,Apuração!B:B))</f>
        <v>0.1111111111111111</v>
      </c>
      <c r="BM445" s="55" cm="1">
        <f t="array" ref="BM445">IFERROR(
   INDEX($AW$1:$BH$1,
      _xlfn.AGGREGATE(14, 6, COLUMN($AW$1:$BH$1)/(AW445:BH445&lt;&gt;""), 2) - COLUMN($AW$1) + 1
   ),
"")</f>
        <v>46113</v>
      </c>
      <c r="BN445" s="55" cm="1">
        <f t="array" ref="BN445">IFERROR(INDEX($AW$1:$BH$1,1,MATCH(2,1/(AW445:BH445&lt;&gt;""))),"")</f>
        <v>46143</v>
      </c>
      <c r="BO445" s="53">
        <f ca="1">IFERROR(_xlfn.XLOOKUP(F445,Apuração!A:A,Apuração!C:C)/_xlfn.XLOOKUP(F445,Apuração!A:A,Apuração!B:B),0)</f>
        <v>0.22222222222222221</v>
      </c>
      <c r="BP445" s="53">
        <f ca="1">IFERROR(_xlfn.XLOOKUP(F445,Apuração!A:A,Apuração!D:D)/_xlfn.XLOOKUP(F445,Apuração!A:A,Apuração!B:B),0)</f>
        <v>0.1111111111111111</v>
      </c>
      <c r="BQ445" s="53">
        <f ca="1">IF(BK445&gt;=BO445,0,_xlfn.XLOOKUP(F445,Apuração!A:A,Apuração!B:B)*(BO445 + (1/_xlfn.XLOOKUP(F445,Apuração!A:A,Apuração!B:B)) - BK445))</f>
        <v>0</v>
      </c>
      <c r="BR445" s="85">
        <f t="shared" ca="1" si="773"/>
        <v>0</v>
      </c>
      <c r="BS445" s="53">
        <f ca="1">IFERROR((_xlfn.XLOOKUP(F445,Apuração!A:A,Apuração!C:C)+1)/_xlfn.XLOOKUP(F445,Apuração!A:A,Apuração!B:B),0)</f>
        <v>0.33333333333333331</v>
      </c>
    </row>
    <row r="446" spans="1:71" ht="25.95" hidden="1" customHeight="1" x14ac:dyDescent="0.3">
      <c r="A446" s="3" t="s">
        <v>33</v>
      </c>
      <c r="B446" s="4" t="s">
        <v>77</v>
      </c>
      <c r="C446" s="5" t="s">
        <v>97</v>
      </c>
      <c r="D446" s="5" t="s">
        <v>106</v>
      </c>
      <c r="E446" s="4" t="str" cm="1">
        <f t="array" ref="E446">_xlfn.IFS(
F446 = "A partir de Abril", "Aguardando Execução na Distribuidora",
A446 = "CAPACITAÇÃO", "Em execução no Corporativo",
TRUE, "Em Execução na Distribuidora"
)</f>
        <v>Em Execução na Distribuidora</v>
      </c>
      <c r="F446" s="4" t="str" cm="1">
        <f t="array" ref="F446">_xlfn.IFS(
AG446 &lt;&gt; "", "Jan-Dez/26",
AH446 &lt;&gt; "", "Fev-Dez/26",
AI446 &lt;&gt; "", "Mar-Dez/26", AJ446 &lt;&gt; "", "Abr-Dez/26",
TRUE, "A partir de Junho"
)</f>
        <v>Abr-Dez/26</v>
      </c>
      <c r="G446" s="4" t="s">
        <v>37</v>
      </c>
      <c r="H446" s="7" t="s">
        <v>54</v>
      </c>
      <c r="I446" s="8" t="s">
        <v>78</v>
      </c>
      <c r="J446" s="8" t="str" cm="1">
        <f t="array" aca="1" ref="J446" ca="1">_xlfn.LET(
  _xlpm.actual_value_month, INDEX(T446:AE446, MATCH(DATE(YEAR(TODAY()), MONTH(TODAY()), 1), $T$1:$AE$1, 0)),
  IF(_xlpm.actual_value_month &lt;&gt; "",_xlpm.actual_value_month &amp; " eventos mensais", "")
)</f>
        <v>4 eventos mensais</v>
      </c>
      <c r="K446" s="8" t="str" cm="1">
        <f t="array" ref="K446">_xlfn.LET(
    _xlpm.sum_month, SUM(T446:AE446),
    IF(_xlpm.sum_month = 0, "", _xlpm.sum_month &amp; " eventos no ano.")
)</f>
        <v>36 eventos no ano.</v>
      </c>
      <c r="L446" s="9" t="s">
        <v>56</v>
      </c>
      <c r="M446" s="13" t="s">
        <v>79</v>
      </c>
      <c r="N446" s="5" t="s">
        <v>42</v>
      </c>
      <c r="O446" s="5" t="s">
        <v>43</v>
      </c>
      <c r="P446" s="10" t="s">
        <v>44</v>
      </c>
      <c r="Q446" s="10" t="s">
        <v>44</v>
      </c>
      <c r="R446" s="11" t="s">
        <v>44</v>
      </c>
      <c r="S446" s="11" t="s">
        <v>44</v>
      </c>
      <c r="T446" s="22"/>
      <c r="U446" s="22"/>
      <c r="V446" s="22"/>
      <c r="W446" s="143">
        <v>4</v>
      </c>
      <c r="X446" s="143">
        <v>4</v>
      </c>
      <c r="Y446" s="143">
        <v>4</v>
      </c>
      <c r="Z446" s="143">
        <v>4</v>
      </c>
      <c r="AA446" s="143">
        <v>4</v>
      </c>
      <c r="AB446" s="143">
        <v>4</v>
      </c>
      <c r="AC446" s="143">
        <v>4</v>
      </c>
      <c r="AD446" s="143">
        <v>4</v>
      </c>
      <c r="AE446" s="143">
        <v>4</v>
      </c>
      <c r="AG446" s="71"/>
      <c r="AH446" s="71"/>
      <c r="AI446" s="71"/>
      <c r="AJ446" s="82">
        <v>4</v>
      </c>
      <c r="AK446" s="71">
        <v>4</v>
      </c>
      <c r="AL446" s="71"/>
      <c r="AM446" s="71"/>
      <c r="AN446" s="71"/>
      <c r="AO446" s="71"/>
      <c r="AP446" s="71"/>
      <c r="AQ446" s="71"/>
      <c r="AR446" s="71"/>
      <c r="AS446" s="94">
        <f t="shared" ca="1" si="765"/>
        <v>8</v>
      </c>
      <c r="AT446" s="95">
        <f t="shared" si="766"/>
        <v>8</v>
      </c>
      <c r="AU446" s="97">
        <f t="shared" si="767"/>
        <v>8</v>
      </c>
      <c r="AW446" s="51">
        <f t="shared" si="768"/>
        <v>0</v>
      </c>
      <c r="AX446" s="51">
        <f t="shared" si="769"/>
        <v>0</v>
      </c>
      <c r="AY446" s="51">
        <f t="shared" si="770"/>
        <v>0</v>
      </c>
      <c r="AZ446" s="51">
        <f t="shared" si="771"/>
        <v>1</v>
      </c>
      <c r="BA446" s="51">
        <f t="shared" si="772"/>
        <v>1</v>
      </c>
      <c r="BB446" s="51"/>
      <c r="BC446" s="51"/>
      <c r="BD446" s="51"/>
      <c r="BE446" s="51"/>
      <c r="BF446" s="51"/>
      <c r="BG446" s="51"/>
      <c r="BH446" s="51"/>
      <c r="BI446" s="65" cm="1">
        <f t="array" ref="BI446">IFERROR(INDEX(AW446:BH446,1,MATCH(2,1/(AW446:BH446&lt;&gt;""))),"")</f>
        <v>1</v>
      </c>
      <c r="BJ446" s="68" cm="1">
        <f t="array" ref="BJ446">IF(BM446 = "", "",IFERROR(INDEX(AW446:BH446,1,MATCH(2,1/(AW446:BH446&lt;&gt;""),1)-1),""))</f>
        <v>1</v>
      </c>
      <c r="BK446" s="58">
        <f>IF((IF(AW446&gt;=115%,115%,AW446) + IF(AX446&gt;=115%,115%,AX446) + IF(AY446&gt;=115%,115%,AY446) + (IF(AZ446&gt;=115%,115%,AZ446) + IF(BA446&gt;=115%,115%,BA446) + IF(BB446&gt;=115%,115%,BB446) + IF(BC446&gt;=115%,115%,BC446) + IF(BD446&gt;=115%,115%,BD446) + IF(BE446&gt;=115%,115%,BE446) + IF(BF446&gt;=115%,115%,BF446) + IF(BG446&gt;=115%,115%,BG446) + IF(BH446&gt;=115%,115%,BH446)))/_xlfn.XLOOKUP(F446,Apuração!A:A,Apuração!B:B)&gt;=1.15,1.15,((IF(AZ446&gt;=115%,115%,AZ446) + IF(AX446&gt;=115%,115%,AX446) + IF(AY446&gt;=115%,115%,AY446) + (IF(AW446&gt;=115%,115%,AW446) + IF(BA446&gt;=115%,115%,BA446) + IF(BB446&gt;=115%,115%,BB446) + IF(BC446&gt;=115%,115%,BC446) + IF(BD446&gt;=115%,115%,BD446) + IF(BE446&gt;=115%,115%,BE446) + IF(BF446&gt;=115%,115%,BF446) + IF(BG446&gt;=115%,115%,BG446) + IF(BH446&gt;=115%,115%,BH446)))/_xlfn.XLOOKUP(F446,Apuração!A:A,Apuração!B:B)))</f>
        <v>0.22222222222222221</v>
      </c>
      <c r="BL446" s="58" cm="1">
        <f t="array" aca="1" ref="BL446" ca="1">IF(SUM(IFERROR(IF(INDEX(AW446:INDEX(AW446:BH446, MATCH(2, 1/(AW446:BH446&lt;&gt;""), 1)-1), ROW(INDIRECT("1:" &amp; MATCH(2, 1/(AW446:BH446&lt;&gt;""), 1)-1))) &gt;= 115%, 115%, INDEX(AW446:INDEX(AW446:BH446, MATCH(2, 1/(AW446:BH446&lt;&gt;""), 1)-1), ROW(INDIRECT("1:" &amp; MATCH(2, 1/(AW446:BH446&lt;&gt;""), 1)-1)))), 0))/_xlfn.XLOOKUP(F446,Apuração!A:A,Apuração!B:B)&gt;=1.15,1.15,SUM(IFERROR(IF(INDEX(AW446:INDEX(AW446:BH446, MATCH(2, 1/(AW446:BH446&lt;&gt;""), 1)-1), ROW(INDIRECT("1:" &amp; MATCH(2, 1/(AW446:BH446&lt;&gt;""), 1)-1))) &gt;= 115%, 115%, INDEX(AW446:INDEX(AW446:BH446, MATCH(2, 1/(AW446:BH446&lt;&gt;""), 1)-1), ROW(INDIRECT("1:" &amp; MATCH(2, 1/(AW446:BH446&lt;&gt;""), 1)-1)))), 0))/_xlfn.XLOOKUP(F446,Apuração!A:A,Apuração!B:B))</f>
        <v>0.1111111111111111</v>
      </c>
      <c r="BM446" s="55" cm="1">
        <f t="array" ref="BM446">IFERROR(
   INDEX($AW$1:$BH$1,
      _xlfn.AGGREGATE(14, 6, COLUMN($AW$1:$BH$1)/(AW446:BH446&lt;&gt;""), 2) - COLUMN($AW$1) + 1
   ),
"")</f>
        <v>46113</v>
      </c>
      <c r="BN446" s="55" cm="1">
        <f t="array" ref="BN446">IFERROR(INDEX($AW$1:$BH$1,1,MATCH(2,1/(AW446:BH446&lt;&gt;""))),"")</f>
        <v>46143</v>
      </c>
      <c r="BO446" s="53">
        <f ca="1">IFERROR(_xlfn.XLOOKUP(F446,Apuração!A:A,Apuração!C:C)/_xlfn.XLOOKUP(F446,Apuração!A:A,Apuração!B:B),0)</f>
        <v>0.22222222222222221</v>
      </c>
      <c r="BP446" s="53">
        <f ca="1">IFERROR(_xlfn.XLOOKUP(F446,Apuração!A:A,Apuração!D:D)/_xlfn.XLOOKUP(F446,Apuração!A:A,Apuração!B:B),0)</f>
        <v>0.1111111111111111</v>
      </c>
      <c r="BQ446" s="53">
        <f ca="1">IF(BK446&gt;=BO446,0,_xlfn.XLOOKUP(F446,Apuração!A:A,Apuração!B:B)*(BO446 + (1/_xlfn.XLOOKUP(F446,Apuração!A:A,Apuração!B:B)) - BK446))</f>
        <v>0</v>
      </c>
      <c r="BR446" s="85">
        <f t="shared" ca="1" si="773"/>
        <v>0</v>
      </c>
      <c r="BS446" s="53">
        <f ca="1">IFERROR((_xlfn.XLOOKUP(F446,Apuração!A:A,Apuração!C:C)+1)/_xlfn.XLOOKUP(F446,Apuração!A:A,Apuração!B:B),0)</f>
        <v>0.33333333333333331</v>
      </c>
    </row>
    <row r="447" spans="1:71" ht="25.95" hidden="1" customHeight="1" x14ac:dyDescent="0.3">
      <c r="A447" s="3" t="s">
        <v>33</v>
      </c>
      <c r="B447" s="4" t="s">
        <v>77</v>
      </c>
      <c r="C447" s="5" t="s">
        <v>97</v>
      </c>
      <c r="D447" s="5" t="s">
        <v>107</v>
      </c>
      <c r="E447" s="4" t="str" cm="1">
        <f t="array" ref="E447">_xlfn.IFS(
F447 = "A partir de Abril", "Aguardando Execução na Distribuidora",
A447 = "CAPACITAÇÃO", "Em execução no Corporativo",
TRUE, "Em Execução na Distribuidora"
)</f>
        <v>Em Execução na Distribuidora</v>
      </c>
      <c r="F447" s="4" t="str" cm="1">
        <f t="array" ref="F447">_xlfn.IFS(
AG447 &lt;&gt; "", "Jan-Dez/26",
AH447 &lt;&gt; "", "Fev-Dez/26",
AI447 &lt;&gt; "", "Mar-Dez/26", AJ447 &lt;&gt; "", "Abr-Dez/26",
TRUE, "A partir de Junho"
)</f>
        <v>Abr-Dez/26</v>
      </c>
      <c r="G447" s="4" t="s">
        <v>37</v>
      </c>
      <c r="H447" s="7" t="s">
        <v>54</v>
      </c>
      <c r="I447" s="8" t="s">
        <v>78</v>
      </c>
      <c r="J447" s="8" t="str" cm="1">
        <f t="array" aca="1" ref="J447" ca="1">_xlfn.LET(
  _xlpm.actual_value_month, INDEX(T447:AE447, MATCH(DATE(YEAR(TODAY()), MONTH(TODAY()), 1), $T$1:$AE$1, 0)),
  IF(_xlpm.actual_value_month &lt;&gt; "",_xlpm.actual_value_month &amp; " eventos mensais", "")
)</f>
        <v>4 eventos mensais</v>
      </c>
      <c r="K447" s="8" t="str" cm="1">
        <f t="array" ref="K447">_xlfn.LET(
    _xlpm.sum_month, SUM(T447:AE447),
    IF(_xlpm.sum_month = 0, "", _xlpm.sum_month &amp; " eventos no ano.")
)</f>
        <v>36 eventos no ano.</v>
      </c>
      <c r="L447" s="9" t="s">
        <v>56</v>
      </c>
      <c r="M447" s="13" t="s">
        <v>79</v>
      </c>
      <c r="N447" s="5" t="s">
        <v>42</v>
      </c>
      <c r="O447" s="5" t="s">
        <v>43</v>
      </c>
      <c r="P447" s="10" t="s">
        <v>44</v>
      </c>
      <c r="Q447" s="10" t="s">
        <v>44</v>
      </c>
      <c r="R447" s="11" t="s">
        <v>44</v>
      </c>
      <c r="S447" s="11" t="s">
        <v>44</v>
      </c>
      <c r="T447" s="22"/>
      <c r="U447" s="22"/>
      <c r="V447" s="22"/>
      <c r="W447" s="143">
        <v>4</v>
      </c>
      <c r="X447" s="143">
        <v>4</v>
      </c>
      <c r="Y447" s="143">
        <v>4</v>
      </c>
      <c r="Z447" s="143">
        <v>4</v>
      </c>
      <c r="AA447" s="143">
        <v>4</v>
      </c>
      <c r="AB447" s="143">
        <v>4</v>
      </c>
      <c r="AC447" s="143">
        <v>4</v>
      </c>
      <c r="AD447" s="143">
        <v>4</v>
      </c>
      <c r="AE447" s="143">
        <v>4</v>
      </c>
      <c r="AG447" s="71"/>
      <c r="AH447" s="71"/>
      <c r="AI447" s="71"/>
      <c r="AJ447" s="82">
        <v>4</v>
      </c>
      <c r="AK447" s="71">
        <v>1</v>
      </c>
      <c r="AL447" s="71"/>
      <c r="AM447" s="71"/>
      <c r="AN447" s="71"/>
      <c r="AO447" s="71"/>
      <c r="AP447" s="71"/>
      <c r="AQ447" s="71"/>
      <c r="AR447" s="71"/>
      <c r="AS447" s="94">
        <f t="shared" ca="1" si="765"/>
        <v>8</v>
      </c>
      <c r="AT447" s="95">
        <f t="shared" si="766"/>
        <v>5</v>
      </c>
      <c r="AU447" s="97">
        <f t="shared" si="767"/>
        <v>5</v>
      </c>
      <c r="AW447" s="51">
        <f t="shared" si="768"/>
        <v>0</v>
      </c>
      <c r="AX447" s="51">
        <f t="shared" si="769"/>
        <v>0</v>
      </c>
      <c r="AY447" s="51">
        <f t="shared" si="770"/>
        <v>0</v>
      </c>
      <c r="AZ447" s="51">
        <f t="shared" si="771"/>
        <v>1</v>
      </c>
      <c r="BA447" s="51">
        <f t="shared" si="772"/>
        <v>0.25</v>
      </c>
      <c r="BB447" s="51"/>
      <c r="BC447" s="51"/>
      <c r="BD447" s="51"/>
      <c r="BE447" s="51"/>
      <c r="BF447" s="51"/>
      <c r="BG447" s="51"/>
      <c r="BH447" s="51"/>
      <c r="BI447" s="65" cm="1">
        <f t="array" ref="BI447">IFERROR(INDEX(AW447:BH447,1,MATCH(2,1/(AW447:BH447&lt;&gt;""))),"")</f>
        <v>0.25</v>
      </c>
      <c r="BJ447" s="68" cm="1">
        <f t="array" ref="BJ447">IF(BM447 = "", "",IFERROR(INDEX(AW447:BH447,1,MATCH(2,1/(AW447:BH447&lt;&gt;""),1)-1),""))</f>
        <v>1</v>
      </c>
      <c r="BK447" s="58">
        <f>IF((IF(AW447&gt;=115%,115%,AW447) + IF(AX447&gt;=115%,115%,AX447) + IF(AY447&gt;=115%,115%,AY447) + (IF(AZ447&gt;=115%,115%,AZ447) + IF(BA447&gt;=115%,115%,BA447) + IF(BB447&gt;=115%,115%,BB447) + IF(BC447&gt;=115%,115%,BC447) + IF(BD447&gt;=115%,115%,BD447) + IF(BE447&gt;=115%,115%,BE447) + IF(BF447&gt;=115%,115%,BF447) + IF(BG447&gt;=115%,115%,BG447) + IF(BH447&gt;=115%,115%,BH447)))/_xlfn.XLOOKUP(F447,Apuração!A:A,Apuração!B:B)&gt;=1.15,1.15,((IF(AZ447&gt;=115%,115%,AZ447) + IF(AX447&gt;=115%,115%,AX447) + IF(AY447&gt;=115%,115%,AY447) + (IF(AW447&gt;=115%,115%,AW447) + IF(BA447&gt;=115%,115%,BA447) + IF(BB447&gt;=115%,115%,BB447) + IF(BC447&gt;=115%,115%,BC447) + IF(BD447&gt;=115%,115%,BD447) + IF(BE447&gt;=115%,115%,BE447) + IF(BF447&gt;=115%,115%,BF447) + IF(BG447&gt;=115%,115%,BG447) + IF(BH447&gt;=115%,115%,BH447)))/_xlfn.XLOOKUP(F447,Apuração!A:A,Apuração!B:B)))</f>
        <v>0.1388888888888889</v>
      </c>
      <c r="BL447" s="58" cm="1">
        <f t="array" aca="1" ref="BL447" ca="1">IF(SUM(IFERROR(IF(INDEX(AW447:INDEX(AW447:BH447, MATCH(2, 1/(AW447:BH447&lt;&gt;""), 1)-1), ROW(INDIRECT("1:" &amp; MATCH(2, 1/(AW447:BH447&lt;&gt;""), 1)-1))) &gt;= 115%, 115%, INDEX(AW447:INDEX(AW447:BH447, MATCH(2, 1/(AW447:BH447&lt;&gt;""), 1)-1), ROW(INDIRECT("1:" &amp; MATCH(2, 1/(AW447:BH447&lt;&gt;""), 1)-1)))), 0))/_xlfn.XLOOKUP(F447,Apuração!A:A,Apuração!B:B)&gt;=1.15,1.15,SUM(IFERROR(IF(INDEX(AW447:INDEX(AW447:BH447, MATCH(2, 1/(AW447:BH447&lt;&gt;""), 1)-1), ROW(INDIRECT("1:" &amp; MATCH(2, 1/(AW447:BH447&lt;&gt;""), 1)-1))) &gt;= 115%, 115%, INDEX(AW447:INDEX(AW447:BH447, MATCH(2, 1/(AW447:BH447&lt;&gt;""), 1)-1), ROW(INDIRECT("1:" &amp; MATCH(2, 1/(AW447:BH447&lt;&gt;""), 1)-1)))), 0))/_xlfn.XLOOKUP(F447,Apuração!A:A,Apuração!B:B))</f>
        <v>0.1111111111111111</v>
      </c>
      <c r="BM447" s="55" cm="1">
        <f t="array" ref="BM447">IFERROR(
   INDEX($AW$1:$BH$1,
      _xlfn.AGGREGATE(14, 6, COLUMN($AW$1:$BH$1)/(AW447:BH447&lt;&gt;""), 2) - COLUMN($AW$1) + 1
   ),
"")</f>
        <v>46113</v>
      </c>
      <c r="BN447" s="55" cm="1">
        <f t="array" ref="BN447">IFERROR(INDEX($AW$1:$BH$1,1,MATCH(2,1/(AW447:BH447&lt;&gt;""))),"")</f>
        <v>46143</v>
      </c>
      <c r="BO447" s="53">
        <f ca="1">IFERROR(_xlfn.XLOOKUP(F447,Apuração!A:A,Apuração!C:C)/_xlfn.XLOOKUP(F447,Apuração!A:A,Apuração!B:B),0)</f>
        <v>0.22222222222222221</v>
      </c>
      <c r="BP447" s="53">
        <f ca="1">IFERROR(_xlfn.XLOOKUP(F447,Apuração!A:A,Apuração!D:D)/_xlfn.XLOOKUP(F447,Apuração!A:A,Apuração!B:B),0)</f>
        <v>0.1111111111111111</v>
      </c>
      <c r="BQ447" s="53">
        <f ca="1">IF(BK447&gt;=BO447,0,_xlfn.XLOOKUP(F447,Apuração!A:A,Apuração!B:B)*(BO447 + (1/_xlfn.XLOOKUP(F447,Apuração!A:A,Apuração!B:B)) - BK447))</f>
        <v>1.7499999999999998</v>
      </c>
      <c r="BR447" s="85">
        <f t="shared" ca="1" si="773"/>
        <v>6.9999999999999991</v>
      </c>
      <c r="BS447" s="53">
        <f ca="1">IFERROR((_xlfn.XLOOKUP(F447,Apuração!A:A,Apuração!C:C)+1)/_xlfn.XLOOKUP(F447,Apuração!A:A,Apuração!B:B),0)</f>
        <v>0.33333333333333331</v>
      </c>
    </row>
    <row r="448" spans="1:71" ht="25.95" hidden="1" customHeight="1" x14ac:dyDescent="0.3">
      <c r="A448" s="39" t="s">
        <v>33</v>
      </c>
      <c r="B448" s="4" t="s">
        <v>77</v>
      </c>
      <c r="C448" s="5" t="s">
        <v>97</v>
      </c>
      <c r="D448" s="5" t="s">
        <v>36</v>
      </c>
      <c r="E448" s="4" t="str" cm="1">
        <f t="array" ref="E448">_xlfn.IFS(
F448 = "A partir de Abril", "Aguardando Execução na Distribuidora",
A448 = "CAPACITAÇÃO", "Em execução no Corporativo",
TRUE, "Em Execução na Distribuidora"
)</f>
        <v>Em Execução na Distribuidora</v>
      </c>
      <c r="F448" s="4" t="str" cm="1">
        <f t="array" ref="F448">_xlfn.IFS(
AG448 &lt;&gt; "", "Jan-Dez/26",
AH448 &lt;&gt; "", "Fev-Dez/26",
AI448 &lt;&gt; "", "Mar-Dez/26", AJ448 &lt;&gt; "", "Abr-Dez/26",
TRUE, "A partir de Junho"
)</f>
        <v>Jan-Dez/26</v>
      </c>
      <c r="G448" s="4" t="s">
        <v>37</v>
      </c>
      <c r="H448" s="7" t="s">
        <v>54</v>
      </c>
      <c r="I448" s="9" t="s">
        <v>76</v>
      </c>
      <c r="J448" s="8" t="str" cm="1">
        <f t="array" aca="1" ref="J448" ca="1">_xlfn.LET(
  _xlpm.actual_value_month, INDEX(T448:AE448, MATCH(DATE(YEAR(TODAY()), MONTH(TODAY()), 1), $T$1:$AE$1, 0)),
  IF(_xlpm.actual_value_month &lt;&gt; "",_xlpm.actual_value_month &amp; " ações mensais", "")
)</f>
        <v/>
      </c>
      <c r="K448" s="8" t="str" cm="1">
        <f t="array" ref="K448">_xlfn.LET(
    _xlpm.sum_month, SUM(T448:AE448),
    IF(_xlpm.sum_month = 0, "", _xlpm.sum_month &amp; " pessoas impactadas no ano.")
)</f>
        <v/>
      </c>
      <c r="L448" s="9" t="s">
        <v>76</v>
      </c>
      <c r="M448" s="19">
        <v>1</v>
      </c>
      <c r="N448" s="5" t="s">
        <v>51</v>
      </c>
      <c r="O448" s="5" t="s">
        <v>52</v>
      </c>
      <c r="P448" s="10" t="s">
        <v>44</v>
      </c>
      <c r="Q448" s="10" t="s">
        <v>44</v>
      </c>
      <c r="R448" s="11" t="s">
        <v>44</v>
      </c>
      <c r="S448" s="11" t="s">
        <v>44</v>
      </c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G448" s="71">
        <v>201093</v>
      </c>
      <c r="AH448" s="71">
        <v>142270</v>
      </c>
      <c r="AI448" s="71">
        <v>142270</v>
      </c>
      <c r="AJ448" s="71">
        <v>999982</v>
      </c>
      <c r="AK448" s="71">
        <f>SUM(AK449:AK458)</f>
        <v>15262770</v>
      </c>
      <c r="AL448" s="71"/>
      <c r="AM448" s="71"/>
      <c r="AN448" s="71"/>
      <c r="AO448" s="71"/>
      <c r="AP448" s="71"/>
      <c r="AQ448" s="71"/>
      <c r="AR448" s="71"/>
      <c r="AS448" s="94">
        <f t="shared" ca="1" si="651"/>
        <v>0</v>
      </c>
      <c r="AT448" s="95">
        <f>SUM(AG448:AR448)</f>
        <v>16748385</v>
      </c>
      <c r="AU448" s="97">
        <f t="shared" si="652"/>
        <v>16748385</v>
      </c>
      <c r="AW448" s="83">
        <f>AG448</f>
        <v>201093</v>
      </c>
      <c r="AX448" s="83">
        <f t="shared" ref="AX448" si="774">AH448</f>
        <v>142270</v>
      </c>
      <c r="AY448" s="83">
        <f t="shared" ref="AY448" si="775">AI448</f>
        <v>142270</v>
      </c>
      <c r="AZ448" s="83">
        <f t="shared" ref="AZ448:BA458" si="776">AJ448</f>
        <v>999982</v>
      </c>
      <c r="BA448" s="83">
        <f t="shared" si="776"/>
        <v>15262770</v>
      </c>
      <c r="BB448" s="100"/>
      <c r="BC448" s="100"/>
      <c r="BD448" s="100"/>
      <c r="BE448" s="100"/>
      <c r="BF448" s="100"/>
      <c r="BG448" s="100"/>
      <c r="BH448" s="100"/>
      <c r="BI448" s="68" cm="1">
        <f t="array" ref="BI448">IFERROR(INDEX(AW448:BH448,1,MATCH(2,1/(AW448:BH448&lt;&gt;""))),"")</f>
        <v>15262770</v>
      </c>
      <c r="BJ448" s="68" cm="1">
        <f t="array" ref="BJ448">IF(BM448 = "", "",IFERROR(INDEX(AW448:BH448,1,MATCH(2,1/(AW448:BH448&lt;&gt;""),1)-1),""))</f>
        <v>999982</v>
      </c>
      <c r="BK448" s="59">
        <f>SUM(AW448:BH448)</f>
        <v>16748385</v>
      </c>
      <c r="BL448" s="59" cm="1">
        <f t="array" ref="BL448">IFERROR(SUM(AW448:INDEX(AW448:BH448, MATCH(2, 1/(AW448:BH448&lt;&gt;""), 1) - 1))/_xlfn.XLOOKUP(F448,Apuração!A:A,Apuração!B:B),0)</f>
        <v>123801.25</v>
      </c>
      <c r="BM448" s="55" cm="1">
        <f t="array" ref="BM448">IFERROR(
   INDEX($AW$1:$BH$1,
      _xlfn.AGGREGATE(14, 6, COLUMN($AW$1:$BH$1)/(AW448:BH448&lt;&gt;""), 2) - COLUMN($AW$1) + 1
   ),
"")</f>
        <v>46113</v>
      </c>
      <c r="BN448" s="55" cm="1">
        <f t="array" ref="BN448">IFERROR(INDEX($AW$1:$BH$1,1,MATCH(2,1/(AW448:BH448&lt;&gt;""))),"")</f>
        <v>46143</v>
      </c>
      <c r="BO448" s="53">
        <f ca="1">IFERROR(_xlfn.XLOOKUP(F448,Apuração!A:A,Apuração!C:C)/_xlfn.XLOOKUP(F448,Apuração!A:A,Apuração!B:B),0)</f>
        <v>0.41666666666666669</v>
      </c>
      <c r="BP448" s="53">
        <f ca="1">IFERROR(_xlfn.XLOOKUP(F448,Apuração!A:A,Apuração!D:D)/_xlfn.XLOOKUP(F448,Apuração!A:A,Apuração!B:B),0)</f>
        <v>0.33333333333333331</v>
      </c>
      <c r="BQ448" s="53">
        <f ca="1">IF(BK448&gt;=BO448,0,_xlfn.XLOOKUP(F448,Apuração!A:A,Apuração!B:B)*(BO448 + (1/_xlfn.XLOOKUP(F448,Apuração!A:A,Apuração!B:B)) - BK448))</f>
        <v>0</v>
      </c>
      <c r="BR448" s="85">
        <f t="shared" ca="1" si="644"/>
        <v>0</v>
      </c>
      <c r="BS448" s="53">
        <f ca="1">IFERROR((_xlfn.XLOOKUP(F448,Apuração!A:A,Apuração!C:C)+1)/_xlfn.XLOOKUP(F448,Apuração!A:A,Apuração!B:B),0)</f>
        <v>0.5</v>
      </c>
    </row>
    <row r="449" spans="1:71" ht="25.95" hidden="1" customHeight="1" x14ac:dyDescent="0.3">
      <c r="A449" s="39" t="s">
        <v>33</v>
      </c>
      <c r="B449" s="4" t="s">
        <v>77</v>
      </c>
      <c r="C449" s="5" t="s">
        <v>97</v>
      </c>
      <c r="D449" s="5" t="s">
        <v>98</v>
      </c>
      <c r="E449" s="4" t="str" cm="1">
        <f t="array" ref="E449">_xlfn.IFS(
F449 = "A partir de Abril", "Aguardando Execução na Distribuidora",
A449 = "CAPACITAÇÃO", "Em execução no Corporativo",
TRUE, "Em Execução na Distribuidora"
)</f>
        <v>Em Execução na Distribuidora</v>
      </c>
      <c r="F449" s="4" t="str" cm="1">
        <f t="array" ref="F449">_xlfn.IFS(
AG449 &lt;&gt; "", "Jan-Dez/26",
AH449 &lt;&gt; "", "Fev-Dez/26",
AI449 &lt;&gt; "", "Mar-Dez/26", AJ449 &lt;&gt; "", "Abr-Dez/26",
TRUE, "A partir de Junho"
)</f>
        <v>Abr-Dez/26</v>
      </c>
      <c r="G449" s="4" t="s">
        <v>37</v>
      </c>
      <c r="H449" s="7" t="s">
        <v>54</v>
      </c>
      <c r="I449" s="9" t="s">
        <v>76</v>
      </c>
      <c r="J449" s="8" t="str" cm="1">
        <f t="array" aca="1" ref="J449" ca="1">_xlfn.LET(
  _xlpm.actual_value_month, INDEX(T449:AE449, MATCH(DATE(YEAR(TODAY()), MONTH(TODAY()), 1), $T$1:$AE$1, 0)),
  IF(_xlpm.actual_value_month &lt;&gt; "",_xlpm.actual_value_month &amp; " ações mensais", "")
)</f>
        <v/>
      </c>
      <c r="K449" s="8" t="str" cm="1">
        <f t="array" ref="K449">_xlfn.LET(
    _xlpm.sum_month, SUM(T449:AE449),
    IF(_xlpm.sum_month = 0, "", _xlpm.sum_month &amp; " pessoas impactadas no ano.")
)</f>
        <v/>
      </c>
      <c r="L449" s="9" t="s">
        <v>76</v>
      </c>
      <c r="M449" s="19">
        <v>1</v>
      </c>
      <c r="N449" s="5" t="s">
        <v>51</v>
      </c>
      <c r="O449" s="5" t="s">
        <v>52</v>
      </c>
      <c r="P449" s="10" t="s">
        <v>44</v>
      </c>
      <c r="Q449" s="10" t="s">
        <v>44</v>
      </c>
      <c r="R449" s="11" t="s">
        <v>44</v>
      </c>
      <c r="S449" s="11" t="s">
        <v>44</v>
      </c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G449" s="71"/>
      <c r="AH449" s="71"/>
      <c r="AI449" s="71"/>
      <c r="AJ449" s="71">
        <v>16379</v>
      </c>
      <c r="AK449" s="71">
        <v>185448</v>
      </c>
      <c r="AL449" s="71"/>
      <c r="AM449" s="71"/>
      <c r="AN449" s="71"/>
      <c r="AO449" s="71"/>
      <c r="AP449" s="71"/>
      <c r="AQ449" s="71"/>
      <c r="AR449" s="71"/>
      <c r="AS449" s="94">
        <f t="shared" ref="AS449:AS458" ca="1" si="777">IF(MONTH(TODAY())=3,SUM(T449:U449),IF(MONTH(TODAY())=4,SUM(T449:V449),IF(MONTH(TODAY())=5,SUM(T449:W449),IF(MONTH(TODAY())=6,SUM(T449:X449),IF(MONTH(TODAY())=7,SUM(T449:Y449),IF(MONTH(TODAY())=8,SUM(T449:Z449),IF(MONTH(TODAY())=9,SUM(T449:AA449),IF(MONTH(TODAY())=10,SUM(T449:AB449),IF(MONTH(TODAY())=11,SUM(T449:AC449),IF(MONTH(TODAY())=12,SUM(T449:AD449),IF(MONTH(TODAY())=1,SUM(T449:AE449),T449)))))))))))</f>
        <v>0</v>
      </c>
      <c r="AT449" s="95">
        <f t="shared" ref="AT449:AT458" si="778">SUM(AG449:AR449)</f>
        <v>201827</v>
      </c>
      <c r="AU449" s="97">
        <f t="shared" ref="AU449:AU458" si="779">SUM(AG449:AR449)</f>
        <v>201827</v>
      </c>
      <c r="AW449" s="83">
        <f t="shared" ref="AW449:AW458" si="780">AG449</f>
        <v>0</v>
      </c>
      <c r="AX449" s="83">
        <f t="shared" ref="AX449:AX458" si="781">AH449</f>
        <v>0</v>
      </c>
      <c r="AY449" s="83">
        <f t="shared" ref="AY449:AY458" si="782">AI449</f>
        <v>0</v>
      </c>
      <c r="AZ449" s="83">
        <f t="shared" ref="AZ449:AZ458" si="783">AJ449</f>
        <v>16379</v>
      </c>
      <c r="BA449" s="83">
        <f t="shared" si="776"/>
        <v>185448</v>
      </c>
      <c r="BB449" s="100"/>
      <c r="BC449" s="100"/>
      <c r="BD449" s="100"/>
      <c r="BE449" s="100"/>
      <c r="BF449" s="100"/>
      <c r="BG449" s="100"/>
      <c r="BH449" s="100"/>
      <c r="BI449" s="68" cm="1">
        <f t="array" ref="BI449">IFERROR(INDEX(AW449:BH449,1,MATCH(2,1/(AW449:BH449&lt;&gt;""))),"")</f>
        <v>185448</v>
      </c>
      <c r="BJ449" s="68" cm="1">
        <f t="array" ref="BJ449">IF(BM449 = "", "",IFERROR(INDEX(AW449:BH449,1,MATCH(2,1/(AW449:BH449&lt;&gt;""),1)-1),""))</f>
        <v>16379</v>
      </c>
      <c r="BK449" s="59">
        <f t="shared" ref="BK449:BK458" si="784">SUM(AW449:BH449)</f>
        <v>201827</v>
      </c>
      <c r="BL449" s="59" cm="1">
        <f t="array" ref="BL449">IFERROR(SUM(AW449:INDEX(AW449:BH449, MATCH(2, 1/(AW449:BH449&lt;&gt;""), 1) - 1))/_xlfn.XLOOKUP(F449,Apuração!A:A,Apuração!B:B),0)</f>
        <v>1819.8888888888889</v>
      </c>
      <c r="BM449" s="55" cm="1">
        <f t="array" ref="BM449">IFERROR(
   INDEX($AW$1:$BH$1,
      _xlfn.AGGREGATE(14, 6, COLUMN($AW$1:$BH$1)/(AW449:BH449&lt;&gt;""), 2) - COLUMN($AW$1) + 1
   ),
"")</f>
        <v>46113</v>
      </c>
      <c r="BN449" s="55" cm="1">
        <f t="array" ref="BN449">IFERROR(INDEX($AW$1:$BH$1,1,MATCH(2,1/(AW449:BH449&lt;&gt;""))),"")</f>
        <v>46143</v>
      </c>
      <c r="BO449" s="53">
        <f ca="1">IFERROR(_xlfn.XLOOKUP(F449,Apuração!A:A,Apuração!C:C)/_xlfn.XLOOKUP(F449,Apuração!A:A,Apuração!B:B),0)</f>
        <v>0.22222222222222221</v>
      </c>
      <c r="BP449" s="53">
        <f ca="1">IFERROR(_xlfn.XLOOKUP(F449,Apuração!A:A,Apuração!D:D)/_xlfn.XLOOKUP(F449,Apuração!A:A,Apuração!B:B),0)</f>
        <v>0.1111111111111111</v>
      </c>
      <c r="BQ449" s="53">
        <f ca="1">IF(BK449&gt;=BO449,0,_xlfn.XLOOKUP(F449,Apuração!A:A,Apuração!B:B)*(BO449 + (1/_xlfn.XLOOKUP(F449,Apuração!A:A,Apuração!B:B)) - BK449))</f>
        <v>0</v>
      </c>
      <c r="BR449" s="85">
        <f t="shared" ref="BR449:BR458" ca="1" si="785">IF(BQ449=0,0,BQ449*Z449)</f>
        <v>0</v>
      </c>
      <c r="BS449" s="53">
        <f ca="1">IFERROR((_xlfn.XLOOKUP(F449,Apuração!A:A,Apuração!C:C)+1)/_xlfn.XLOOKUP(F449,Apuração!A:A,Apuração!B:B),0)</f>
        <v>0.33333333333333331</v>
      </c>
    </row>
    <row r="450" spans="1:71" ht="25.95" hidden="1" customHeight="1" x14ac:dyDescent="0.3">
      <c r="A450" s="39" t="s">
        <v>33</v>
      </c>
      <c r="B450" s="4" t="s">
        <v>77</v>
      </c>
      <c r="C450" s="5" t="s">
        <v>97</v>
      </c>
      <c r="D450" s="5" t="s">
        <v>99</v>
      </c>
      <c r="E450" s="4" t="str" cm="1">
        <f t="array" ref="E450">_xlfn.IFS(
F450 = "A partir de Abril", "Aguardando Execução na Distribuidora",
A450 = "CAPACITAÇÃO", "Em execução no Corporativo",
TRUE, "Em Execução na Distribuidora"
)</f>
        <v>Em Execução na Distribuidora</v>
      </c>
      <c r="F450" s="4" t="str" cm="1">
        <f t="array" ref="F450">_xlfn.IFS(
AG450 &lt;&gt; "", "Jan-Dez/26",
AH450 &lt;&gt; "", "Fev-Dez/26",
AI450 &lt;&gt; "", "Mar-Dez/26", AJ450 &lt;&gt; "", "Abr-Dez/26",
TRUE, "A partir de Junho"
)</f>
        <v>Abr-Dez/26</v>
      </c>
      <c r="G450" s="4" t="s">
        <v>37</v>
      </c>
      <c r="H450" s="7" t="s">
        <v>54</v>
      </c>
      <c r="I450" s="9" t="s">
        <v>76</v>
      </c>
      <c r="J450" s="8" t="str" cm="1">
        <f t="array" aca="1" ref="J450" ca="1">_xlfn.LET(
  _xlpm.actual_value_month, INDEX(T450:AE450, MATCH(DATE(YEAR(TODAY()), MONTH(TODAY()), 1), $T$1:$AE$1, 0)),
  IF(_xlpm.actual_value_month &lt;&gt; "",_xlpm.actual_value_month &amp; " ações mensais", "")
)</f>
        <v/>
      </c>
      <c r="K450" s="8" t="str" cm="1">
        <f t="array" ref="K450">_xlfn.LET(
    _xlpm.sum_month, SUM(T450:AE450),
    IF(_xlpm.sum_month = 0, "", _xlpm.sum_month &amp; " pessoas impactadas no ano.")
)</f>
        <v/>
      </c>
      <c r="L450" s="9" t="s">
        <v>76</v>
      </c>
      <c r="M450" s="19">
        <v>1</v>
      </c>
      <c r="N450" s="5" t="s">
        <v>51</v>
      </c>
      <c r="O450" s="5" t="s">
        <v>52</v>
      </c>
      <c r="P450" s="10" t="s">
        <v>44</v>
      </c>
      <c r="Q450" s="10" t="s">
        <v>44</v>
      </c>
      <c r="R450" s="11" t="s">
        <v>44</v>
      </c>
      <c r="S450" s="11" t="s">
        <v>44</v>
      </c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G450" s="71"/>
      <c r="AH450" s="71"/>
      <c r="AI450" s="71"/>
      <c r="AJ450" s="71">
        <v>53625</v>
      </c>
      <c r="AK450" s="71"/>
      <c r="AL450" s="71"/>
      <c r="AM450" s="71"/>
      <c r="AN450" s="71"/>
      <c r="AO450" s="71"/>
      <c r="AP450" s="71"/>
      <c r="AQ450" s="71"/>
      <c r="AR450" s="71"/>
      <c r="AS450" s="94">
        <f t="shared" ca="1" si="777"/>
        <v>0</v>
      </c>
      <c r="AT450" s="95">
        <f t="shared" si="778"/>
        <v>53625</v>
      </c>
      <c r="AU450" s="97">
        <f t="shared" si="779"/>
        <v>53625</v>
      </c>
      <c r="AW450" s="83">
        <f t="shared" si="780"/>
        <v>0</v>
      </c>
      <c r="AX450" s="83">
        <f t="shared" si="781"/>
        <v>0</v>
      </c>
      <c r="AY450" s="83">
        <f t="shared" si="782"/>
        <v>0</v>
      </c>
      <c r="AZ450" s="83">
        <f t="shared" si="783"/>
        <v>53625</v>
      </c>
      <c r="BA450" s="83">
        <f t="shared" si="776"/>
        <v>0</v>
      </c>
      <c r="BB450" s="100"/>
      <c r="BC450" s="100"/>
      <c r="BD450" s="100"/>
      <c r="BE450" s="100"/>
      <c r="BF450" s="100"/>
      <c r="BG450" s="100"/>
      <c r="BH450" s="100"/>
      <c r="BI450" s="68" cm="1">
        <f t="array" ref="BI450">IFERROR(INDEX(AW450:BH450,1,MATCH(2,1/(AW450:BH450&lt;&gt;""))),"")</f>
        <v>0</v>
      </c>
      <c r="BJ450" s="68" cm="1">
        <f t="array" ref="BJ450">IF(BM450 = "", "",IFERROR(INDEX(AW450:BH450,1,MATCH(2,1/(AW450:BH450&lt;&gt;""),1)-1),""))</f>
        <v>53625</v>
      </c>
      <c r="BK450" s="59">
        <f t="shared" si="784"/>
        <v>53625</v>
      </c>
      <c r="BL450" s="59" cm="1">
        <f t="array" ref="BL450">IFERROR(SUM(AW450:INDEX(AW450:BH450, MATCH(2, 1/(AW450:BH450&lt;&gt;""), 1) - 1))/_xlfn.XLOOKUP(F450,Apuração!A:A,Apuração!B:B),0)</f>
        <v>5958.333333333333</v>
      </c>
      <c r="BM450" s="55" cm="1">
        <f t="array" ref="BM450">IFERROR(
   INDEX($AW$1:$BH$1,
      _xlfn.AGGREGATE(14, 6, COLUMN($AW$1:$BH$1)/(AW450:BH450&lt;&gt;""), 2) - COLUMN($AW$1) + 1
   ),
"")</f>
        <v>46113</v>
      </c>
      <c r="BN450" s="55" cm="1">
        <f t="array" ref="BN450">IFERROR(INDEX($AW$1:$BH$1,1,MATCH(2,1/(AW450:BH450&lt;&gt;""))),"")</f>
        <v>46143</v>
      </c>
      <c r="BO450" s="53">
        <f ca="1">IFERROR(_xlfn.XLOOKUP(F450,Apuração!A:A,Apuração!C:C)/_xlfn.XLOOKUP(F450,Apuração!A:A,Apuração!B:B),0)</f>
        <v>0.22222222222222221</v>
      </c>
      <c r="BP450" s="53">
        <f ca="1">IFERROR(_xlfn.XLOOKUP(F450,Apuração!A:A,Apuração!D:D)/_xlfn.XLOOKUP(F450,Apuração!A:A,Apuração!B:B),0)</f>
        <v>0.1111111111111111</v>
      </c>
      <c r="BQ450" s="53">
        <f ca="1">IF(BK450&gt;=BO450,0,_xlfn.XLOOKUP(F450,Apuração!A:A,Apuração!B:B)*(BO450 + (1/_xlfn.XLOOKUP(F450,Apuração!A:A,Apuração!B:B)) - BK450))</f>
        <v>0</v>
      </c>
      <c r="BR450" s="85">
        <f t="shared" ca="1" si="785"/>
        <v>0</v>
      </c>
      <c r="BS450" s="53">
        <f ca="1">IFERROR((_xlfn.XLOOKUP(F450,Apuração!A:A,Apuração!C:C)+1)/_xlfn.XLOOKUP(F450,Apuração!A:A,Apuração!B:B),0)</f>
        <v>0.33333333333333331</v>
      </c>
    </row>
    <row r="451" spans="1:71" ht="25.95" hidden="1" customHeight="1" x14ac:dyDescent="0.3">
      <c r="A451" s="39" t="s">
        <v>33</v>
      </c>
      <c r="B451" s="4" t="s">
        <v>77</v>
      </c>
      <c r="C451" s="5" t="s">
        <v>97</v>
      </c>
      <c r="D451" s="5" t="s">
        <v>100</v>
      </c>
      <c r="E451" s="4" t="str" cm="1">
        <f t="array" ref="E451">_xlfn.IFS(
F451 = "A partir de Abril", "Aguardando Execução na Distribuidora",
A451 = "CAPACITAÇÃO", "Em execução no Corporativo",
TRUE, "Em Execução na Distribuidora"
)</f>
        <v>Em Execução na Distribuidora</v>
      </c>
      <c r="F451" s="4" t="str" cm="1">
        <f t="array" ref="F451">_xlfn.IFS(
AG451 &lt;&gt; "", "Jan-Dez/26",
AH451 &lt;&gt; "", "Fev-Dez/26",
AI451 &lt;&gt; "", "Mar-Dez/26", AJ451 &lt;&gt; "", "Abr-Dez/26",
TRUE, "A partir de Junho"
)</f>
        <v>Abr-Dez/26</v>
      </c>
      <c r="G451" s="4" t="s">
        <v>37</v>
      </c>
      <c r="H451" s="7" t="s">
        <v>54</v>
      </c>
      <c r="I451" s="9" t="s">
        <v>76</v>
      </c>
      <c r="J451" s="8" t="str" cm="1">
        <f t="array" aca="1" ref="J451" ca="1">_xlfn.LET(
  _xlpm.actual_value_month, INDEX(T451:AE451, MATCH(DATE(YEAR(TODAY()), MONTH(TODAY()), 1), $T$1:$AE$1, 0)),
  IF(_xlpm.actual_value_month &lt;&gt; "",_xlpm.actual_value_month &amp; " ações mensais", "")
)</f>
        <v/>
      </c>
      <c r="K451" s="8" t="str" cm="1">
        <f t="array" ref="K451">_xlfn.LET(
    _xlpm.sum_month, SUM(T451:AE451),
    IF(_xlpm.sum_month = 0, "", _xlpm.sum_month &amp; " pessoas impactadas no ano.")
)</f>
        <v/>
      </c>
      <c r="L451" s="9" t="s">
        <v>76</v>
      </c>
      <c r="M451" s="19">
        <v>1</v>
      </c>
      <c r="N451" s="5" t="s">
        <v>51</v>
      </c>
      <c r="O451" s="5" t="s">
        <v>52</v>
      </c>
      <c r="P451" s="10" t="s">
        <v>44</v>
      </c>
      <c r="Q451" s="10" t="s">
        <v>44</v>
      </c>
      <c r="R451" s="11" t="s">
        <v>44</v>
      </c>
      <c r="S451" s="11" t="s">
        <v>44</v>
      </c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G451" s="71"/>
      <c r="AH451" s="71"/>
      <c r="AI451" s="71"/>
      <c r="AJ451" s="71">
        <v>318704</v>
      </c>
      <c r="AK451" s="71">
        <v>14248281</v>
      </c>
      <c r="AL451" s="71"/>
      <c r="AM451" s="71"/>
      <c r="AN451" s="71"/>
      <c r="AO451" s="71"/>
      <c r="AP451" s="71"/>
      <c r="AQ451" s="71"/>
      <c r="AR451" s="71"/>
      <c r="AS451" s="94">
        <f t="shared" ca="1" si="777"/>
        <v>0</v>
      </c>
      <c r="AT451" s="95">
        <f t="shared" si="778"/>
        <v>14566985</v>
      </c>
      <c r="AU451" s="97">
        <f t="shared" si="779"/>
        <v>14566985</v>
      </c>
      <c r="AW451" s="83">
        <f t="shared" si="780"/>
        <v>0</v>
      </c>
      <c r="AX451" s="83">
        <f t="shared" si="781"/>
        <v>0</v>
      </c>
      <c r="AY451" s="83">
        <f t="shared" si="782"/>
        <v>0</v>
      </c>
      <c r="AZ451" s="83">
        <f t="shared" si="783"/>
        <v>318704</v>
      </c>
      <c r="BA451" s="83">
        <f t="shared" si="776"/>
        <v>14248281</v>
      </c>
      <c r="BB451" s="100"/>
      <c r="BC451" s="100"/>
      <c r="BD451" s="100"/>
      <c r="BE451" s="100"/>
      <c r="BF451" s="100"/>
      <c r="BG451" s="100"/>
      <c r="BH451" s="100"/>
      <c r="BI451" s="68" cm="1">
        <f t="array" ref="BI451">IFERROR(INDEX(AW451:BH451,1,MATCH(2,1/(AW451:BH451&lt;&gt;""))),"")</f>
        <v>14248281</v>
      </c>
      <c r="BJ451" s="68" cm="1">
        <f t="array" ref="BJ451">IF(BM451 = "", "",IFERROR(INDEX(AW451:BH451,1,MATCH(2,1/(AW451:BH451&lt;&gt;""),1)-1),""))</f>
        <v>318704</v>
      </c>
      <c r="BK451" s="59">
        <f t="shared" si="784"/>
        <v>14566985</v>
      </c>
      <c r="BL451" s="59" cm="1">
        <f t="array" ref="BL451">IFERROR(SUM(AW451:INDEX(AW451:BH451, MATCH(2, 1/(AW451:BH451&lt;&gt;""), 1) - 1))/_xlfn.XLOOKUP(F451,Apuração!A:A,Apuração!B:B),0)</f>
        <v>35411.555555555555</v>
      </c>
      <c r="BM451" s="55" cm="1">
        <f t="array" ref="BM451">IFERROR(
   INDEX($AW$1:$BH$1,
      _xlfn.AGGREGATE(14, 6, COLUMN($AW$1:$BH$1)/(AW451:BH451&lt;&gt;""), 2) - COLUMN($AW$1) + 1
   ),
"")</f>
        <v>46113</v>
      </c>
      <c r="BN451" s="55" cm="1">
        <f t="array" ref="BN451">IFERROR(INDEX($AW$1:$BH$1,1,MATCH(2,1/(AW451:BH451&lt;&gt;""))),"")</f>
        <v>46143</v>
      </c>
      <c r="BO451" s="53">
        <f ca="1">IFERROR(_xlfn.XLOOKUP(F451,Apuração!A:A,Apuração!C:C)/_xlfn.XLOOKUP(F451,Apuração!A:A,Apuração!B:B),0)</f>
        <v>0.22222222222222221</v>
      </c>
      <c r="BP451" s="53">
        <f ca="1">IFERROR(_xlfn.XLOOKUP(F451,Apuração!A:A,Apuração!D:D)/_xlfn.XLOOKUP(F451,Apuração!A:A,Apuração!B:B),0)</f>
        <v>0.1111111111111111</v>
      </c>
      <c r="BQ451" s="53">
        <f ca="1">IF(BK451&gt;=BO451,0,_xlfn.XLOOKUP(F451,Apuração!A:A,Apuração!B:B)*(BO451 + (1/_xlfn.XLOOKUP(F451,Apuração!A:A,Apuração!B:B)) - BK451))</f>
        <v>0</v>
      </c>
      <c r="BR451" s="85">
        <f t="shared" ca="1" si="785"/>
        <v>0</v>
      </c>
      <c r="BS451" s="53">
        <f ca="1">IFERROR((_xlfn.XLOOKUP(F451,Apuração!A:A,Apuração!C:C)+1)/_xlfn.XLOOKUP(F451,Apuração!A:A,Apuração!B:B),0)</f>
        <v>0.33333333333333331</v>
      </c>
    </row>
    <row r="452" spans="1:71" ht="25.95" hidden="1" customHeight="1" x14ac:dyDescent="0.3">
      <c r="A452" s="39" t="s">
        <v>33</v>
      </c>
      <c r="B452" s="4" t="s">
        <v>77</v>
      </c>
      <c r="C452" s="5" t="s">
        <v>97</v>
      </c>
      <c r="D452" s="5" t="s">
        <v>101</v>
      </c>
      <c r="E452" s="4" t="str" cm="1">
        <f t="array" ref="E452">_xlfn.IFS(
F452 = "A partir de Abril", "Aguardando Execução na Distribuidora",
A452 = "CAPACITAÇÃO", "Em execução no Corporativo",
TRUE, "Em Execução na Distribuidora"
)</f>
        <v>Em Execução na Distribuidora</v>
      </c>
      <c r="F452" s="4" t="str" cm="1">
        <f t="array" ref="F452">_xlfn.IFS(
AG452 &lt;&gt; "", "Jan-Dez/26",
AH452 &lt;&gt; "", "Fev-Dez/26",
AI452 &lt;&gt; "", "Mar-Dez/26", AJ452 &lt;&gt; "", "Abr-Dez/26",
TRUE, "A partir de Junho"
)</f>
        <v>Abr-Dez/26</v>
      </c>
      <c r="G452" s="4" t="s">
        <v>37</v>
      </c>
      <c r="H452" s="7" t="s">
        <v>54</v>
      </c>
      <c r="I452" s="9" t="s">
        <v>76</v>
      </c>
      <c r="J452" s="8" t="str" cm="1">
        <f t="array" aca="1" ref="J452" ca="1">_xlfn.LET(
  _xlpm.actual_value_month, INDEX(T452:AE452, MATCH(DATE(YEAR(TODAY()), MONTH(TODAY()), 1), $T$1:$AE$1, 0)),
  IF(_xlpm.actual_value_month &lt;&gt; "",_xlpm.actual_value_month &amp; " ações mensais", "")
)</f>
        <v/>
      </c>
      <c r="K452" s="8" t="str" cm="1">
        <f t="array" ref="K452">_xlfn.LET(
    _xlpm.sum_month, SUM(T452:AE452),
    IF(_xlpm.sum_month = 0, "", _xlpm.sum_month &amp; " pessoas impactadas no ano.")
)</f>
        <v/>
      </c>
      <c r="L452" s="9" t="s">
        <v>76</v>
      </c>
      <c r="M452" s="19">
        <v>1</v>
      </c>
      <c r="N452" s="5" t="s">
        <v>51</v>
      </c>
      <c r="O452" s="5" t="s">
        <v>52</v>
      </c>
      <c r="P452" s="10" t="s">
        <v>44</v>
      </c>
      <c r="Q452" s="10" t="s">
        <v>44</v>
      </c>
      <c r="R452" s="11" t="s">
        <v>44</v>
      </c>
      <c r="S452" s="11" t="s">
        <v>44</v>
      </c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G452" s="71"/>
      <c r="AH452" s="71"/>
      <c r="AI452" s="71"/>
      <c r="AJ452" s="71">
        <v>3277</v>
      </c>
      <c r="AK452" s="71">
        <v>113525</v>
      </c>
      <c r="AL452" s="71"/>
      <c r="AM452" s="71"/>
      <c r="AN452" s="71"/>
      <c r="AO452" s="71"/>
      <c r="AP452" s="71"/>
      <c r="AQ452" s="71"/>
      <c r="AR452" s="71"/>
      <c r="AS452" s="94">
        <f t="shared" ca="1" si="777"/>
        <v>0</v>
      </c>
      <c r="AT452" s="95">
        <f t="shared" si="778"/>
        <v>116802</v>
      </c>
      <c r="AU452" s="97">
        <f t="shared" si="779"/>
        <v>116802</v>
      </c>
      <c r="AW452" s="83">
        <f t="shared" si="780"/>
        <v>0</v>
      </c>
      <c r="AX452" s="83">
        <f t="shared" si="781"/>
        <v>0</v>
      </c>
      <c r="AY452" s="83">
        <f t="shared" si="782"/>
        <v>0</v>
      </c>
      <c r="AZ452" s="83">
        <f t="shared" si="783"/>
        <v>3277</v>
      </c>
      <c r="BA452" s="83">
        <f t="shared" si="776"/>
        <v>113525</v>
      </c>
      <c r="BB452" s="100"/>
      <c r="BC452" s="100"/>
      <c r="BD452" s="100"/>
      <c r="BE452" s="100"/>
      <c r="BF452" s="100"/>
      <c r="BG452" s="100"/>
      <c r="BH452" s="100"/>
      <c r="BI452" s="68" cm="1">
        <f t="array" ref="BI452">IFERROR(INDEX(AW452:BH452,1,MATCH(2,1/(AW452:BH452&lt;&gt;""))),"")</f>
        <v>113525</v>
      </c>
      <c r="BJ452" s="68" cm="1">
        <f t="array" ref="BJ452">IF(BM452 = "", "",IFERROR(INDEX(AW452:BH452,1,MATCH(2,1/(AW452:BH452&lt;&gt;""),1)-1),""))</f>
        <v>3277</v>
      </c>
      <c r="BK452" s="59">
        <f t="shared" si="784"/>
        <v>116802</v>
      </c>
      <c r="BL452" s="59" cm="1">
        <f t="array" ref="BL452">IFERROR(SUM(AW452:INDEX(AW452:BH452, MATCH(2, 1/(AW452:BH452&lt;&gt;""), 1) - 1))/_xlfn.XLOOKUP(F452,Apuração!A:A,Apuração!B:B),0)</f>
        <v>364.11111111111109</v>
      </c>
      <c r="BM452" s="55" cm="1">
        <f t="array" ref="BM452">IFERROR(
   INDEX($AW$1:$BH$1,
      _xlfn.AGGREGATE(14, 6, COLUMN($AW$1:$BH$1)/(AW452:BH452&lt;&gt;""), 2) - COLUMN($AW$1) + 1
   ),
"")</f>
        <v>46113</v>
      </c>
      <c r="BN452" s="55" cm="1">
        <f t="array" ref="BN452">IFERROR(INDEX($AW$1:$BH$1,1,MATCH(2,1/(AW452:BH452&lt;&gt;""))),"")</f>
        <v>46143</v>
      </c>
      <c r="BO452" s="53">
        <f ca="1">IFERROR(_xlfn.XLOOKUP(F452,Apuração!A:A,Apuração!C:C)/_xlfn.XLOOKUP(F452,Apuração!A:A,Apuração!B:B),0)</f>
        <v>0.22222222222222221</v>
      </c>
      <c r="BP452" s="53">
        <f ca="1">IFERROR(_xlfn.XLOOKUP(F452,Apuração!A:A,Apuração!D:D)/_xlfn.XLOOKUP(F452,Apuração!A:A,Apuração!B:B),0)</f>
        <v>0.1111111111111111</v>
      </c>
      <c r="BQ452" s="53">
        <f ca="1">IF(BK452&gt;=BO452,0,_xlfn.XLOOKUP(F452,Apuração!A:A,Apuração!B:B)*(BO452 + (1/_xlfn.XLOOKUP(F452,Apuração!A:A,Apuração!B:B)) - BK452))</f>
        <v>0</v>
      </c>
      <c r="BR452" s="85">
        <f t="shared" ca="1" si="785"/>
        <v>0</v>
      </c>
      <c r="BS452" s="53">
        <f ca="1">IFERROR((_xlfn.XLOOKUP(F452,Apuração!A:A,Apuração!C:C)+1)/_xlfn.XLOOKUP(F452,Apuração!A:A,Apuração!B:B),0)</f>
        <v>0.33333333333333331</v>
      </c>
    </row>
    <row r="453" spans="1:71" ht="25.95" hidden="1" customHeight="1" x14ac:dyDescent="0.3">
      <c r="A453" s="39" t="s">
        <v>33</v>
      </c>
      <c r="B453" s="4" t="s">
        <v>77</v>
      </c>
      <c r="C453" s="5" t="s">
        <v>97</v>
      </c>
      <c r="D453" s="5" t="s">
        <v>102</v>
      </c>
      <c r="E453" s="4" t="str" cm="1">
        <f t="array" ref="E453">_xlfn.IFS(
F453 = "A partir de Abril", "Aguardando Execução na Distribuidora",
A453 = "CAPACITAÇÃO", "Em execução no Corporativo",
TRUE, "Em Execução na Distribuidora"
)</f>
        <v>Em Execução na Distribuidora</v>
      </c>
      <c r="F453" s="4" t="str" cm="1">
        <f t="array" ref="F453">_xlfn.IFS(
AG453 &lt;&gt; "", "Jan-Dez/26",
AH453 &lt;&gt; "", "Fev-Dez/26",
AI453 &lt;&gt; "", "Mar-Dez/26", AJ453 &lt;&gt; "", "Abr-Dez/26",
TRUE, "A partir de Junho"
)</f>
        <v>Abr-Dez/26</v>
      </c>
      <c r="G453" s="4" t="s">
        <v>37</v>
      </c>
      <c r="H453" s="7" t="s">
        <v>54</v>
      </c>
      <c r="I453" s="9" t="s">
        <v>76</v>
      </c>
      <c r="J453" s="8" t="str" cm="1">
        <f t="array" aca="1" ref="J453" ca="1">_xlfn.LET(
  _xlpm.actual_value_month, INDEX(T453:AE453, MATCH(DATE(YEAR(TODAY()), MONTH(TODAY()), 1), $T$1:$AE$1, 0)),
  IF(_xlpm.actual_value_month &lt;&gt; "",_xlpm.actual_value_month &amp; " ações mensais", "")
)</f>
        <v/>
      </c>
      <c r="K453" s="8" t="str" cm="1">
        <f t="array" ref="K453">_xlfn.LET(
    _xlpm.sum_month, SUM(T453:AE453),
    IF(_xlpm.sum_month = 0, "", _xlpm.sum_month &amp; " pessoas impactadas no ano.")
)</f>
        <v/>
      </c>
      <c r="L453" s="9" t="s">
        <v>76</v>
      </c>
      <c r="M453" s="19">
        <v>1</v>
      </c>
      <c r="N453" s="5" t="s">
        <v>51</v>
      </c>
      <c r="O453" s="5" t="s">
        <v>52</v>
      </c>
      <c r="P453" s="10" t="s">
        <v>44</v>
      </c>
      <c r="Q453" s="10" t="s">
        <v>44</v>
      </c>
      <c r="R453" s="11" t="s">
        <v>44</v>
      </c>
      <c r="S453" s="11" t="s">
        <v>44</v>
      </c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G453" s="71"/>
      <c r="AH453" s="71"/>
      <c r="AI453" s="71"/>
      <c r="AJ453" s="71">
        <v>1649</v>
      </c>
      <c r="AK453" s="71"/>
      <c r="AL453" s="71"/>
      <c r="AM453" s="71"/>
      <c r="AN453" s="71"/>
      <c r="AO453" s="71"/>
      <c r="AP453" s="71"/>
      <c r="AQ453" s="71"/>
      <c r="AR453" s="71"/>
      <c r="AS453" s="94">
        <f t="shared" ca="1" si="777"/>
        <v>0</v>
      </c>
      <c r="AT453" s="95">
        <f t="shared" si="778"/>
        <v>1649</v>
      </c>
      <c r="AU453" s="97">
        <f t="shared" si="779"/>
        <v>1649</v>
      </c>
      <c r="AW453" s="83">
        <f t="shared" si="780"/>
        <v>0</v>
      </c>
      <c r="AX453" s="83">
        <f t="shared" si="781"/>
        <v>0</v>
      </c>
      <c r="AY453" s="83">
        <f t="shared" si="782"/>
        <v>0</v>
      </c>
      <c r="AZ453" s="83">
        <f t="shared" si="783"/>
        <v>1649</v>
      </c>
      <c r="BA453" s="83">
        <f t="shared" si="776"/>
        <v>0</v>
      </c>
      <c r="BB453" s="100"/>
      <c r="BC453" s="100"/>
      <c r="BD453" s="100"/>
      <c r="BE453" s="100"/>
      <c r="BF453" s="100"/>
      <c r="BG453" s="100"/>
      <c r="BH453" s="100"/>
      <c r="BI453" s="68" cm="1">
        <f t="array" ref="BI453">IFERROR(INDEX(AW453:BH453,1,MATCH(2,1/(AW453:BH453&lt;&gt;""))),"")</f>
        <v>0</v>
      </c>
      <c r="BJ453" s="68" cm="1">
        <f t="array" ref="BJ453">IF(BM453 = "", "",IFERROR(INDEX(AW453:BH453,1,MATCH(2,1/(AW453:BH453&lt;&gt;""),1)-1),""))</f>
        <v>1649</v>
      </c>
      <c r="BK453" s="59">
        <f t="shared" si="784"/>
        <v>1649</v>
      </c>
      <c r="BL453" s="59" cm="1">
        <f t="array" ref="BL453">IFERROR(SUM(AW453:INDEX(AW453:BH453, MATCH(2, 1/(AW453:BH453&lt;&gt;""), 1) - 1))/_xlfn.XLOOKUP(F453,Apuração!A:A,Apuração!B:B),0)</f>
        <v>183.22222222222223</v>
      </c>
      <c r="BM453" s="55" cm="1">
        <f t="array" ref="BM453">IFERROR(
   INDEX($AW$1:$BH$1,
      _xlfn.AGGREGATE(14, 6, COLUMN($AW$1:$BH$1)/(AW453:BH453&lt;&gt;""), 2) - COLUMN($AW$1) + 1
   ),
"")</f>
        <v>46113</v>
      </c>
      <c r="BN453" s="55" cm="1">
        <f t="array" ref="BN453">IFERROR(INDEX($AW$1:$BH$1,1,MATCH(2,1/(AW453:BH453&lt;&gt;""))),"")</f>
        <v>46143</v>
      </c>
      <c r="BO453" s="53">
        <f ca="1">IFERROR(_xlfn.XLOOKUP(F453,Apuração!A:A,Apuração!C:C)/_xlfn.XLOOKUP(F453,Apuração!A:A,Apuração!B:B),0)</f>
        <v>0.22222222222222221</v>
      </c>
      <c r="BP453" s="53">
        <f ca="1">IFERROR(_xlfn.XLOOKUP(F453,Apuração!A:A,Apuração!D:D)/_xlfn.XLOOKUP(F453,Apuração!A:A,Apuração!B:B),0)</f>
        <v>0.1111111111111111</v>
      </c>
      <c r="BQ453" s="53">
        <f ca="1">IF(BK453&gt;=BO453,0,_xlfn.XLOOKUP(F453,Apuração!A:A,Apuração!B:B)*(BO453 + (1/_xlfn.XLOOKUP(F453,Apuração!A:A,Apuração!B:B)) - BK453))</f>
        <v>0</v>
      </c>
      <c r="BR453" s="85">
        <f t="shared" ca="1" si="785"/>
        <v>0</v>
      </c>
      <c r="BS453" s="53">
        <f ca="1">IFERROR((_xlfn.XLOOKUP(F453,Apuração!A:A,Apuração!C:C)+1)/_xlfn.XLOOKUP(F453,Apuração!A:A,Apuração!B:B),0)</f>
        <v>0.33333333333333331</v>
      </c>
    </row>
    <row r="454" spans="1:71" ht="25.95" hidden="1" customHeight="1" x14ac:dyDescent="0.3">
      <c r="A454" s="39" t="s">
        <v>33</v>
      </c>
      <c r="B454" s="4" t="s">
        <v>77</v>
      </c>
      <c r="C454" s="5" t="s">
        <v>97</v>
      </c>
      <c r="D454" s="5" t="s">
        <v>103</v>
      </c>
      <c r="E454" s="4" t="str" cm="1">
        <f t="array" ref="E454">_xlfn.IFS(
F454 = "A partir de Abril", "Aguardando Execução na Distribuidora",
A454 = "CAPACITAÇÃO", "Em execução no Corporativo",
TRUE, "Em Execução na Distribuidora"
)</f>
        <v>Em Execução na Distribuidora</v>
      </c>
      <c r="F454" s="4" t="str" cm="1">
        <f t="array" ref="F454">_xlfn.IFS(
AG454 &lt;&gt; "", "Jan-Dez/26",
AH454 &lt;&gt; "", "Fev-Dez/26",
AI454 &lt;&gt; "", "Mar-Dez/26", AJ454 &lt;&gt; "", "Abr-Dez/26",
TRUE, "A partir de Junho"
)</f>
        <v>Abr-Dez/26</v>
      </c>
      <c r="G454" s="4" t="s">
        <v>37</v>
      </c>
      <c r="H454" s="7" t="s">
        <v>54</v>
      </c>
      <c r="I454" s="9" t="s">
        <v>76</v>
      </c>
      <c r="J454" s="8" t="str" cm="1">
        <f t="array" aca="1" ref="J454" ca="1">_xlfn.LET(
  _xlpm.actual_value_month, INDEX(T454:AE454, MATCH(DATE(YEAR(TODAY()), MONTH(TODAY()), 1), $T$1:$AE$1, 0)),
  IF(_xlpm.actual_value_month &lt;&gt; "",_xlpm.actual_value_month &amp; " ações mensais", "")
)</f>
        <v/>
      </c>
      <c r="K454" s="8" t="str" cm="1">
        <f t="array" ref="K454">_xlfn.LET(
    _xlpm.sum_month, SUM(T454:AE454),
    IF(_xlpm.sum_month = 0, "", _xlpm.sum_month &amp; " pessoas impactadas no ano.")
)</f>
        <v/>
      </c>
      <c r="L454" s="9" t="s">
        <v>76</v>
      </c>
      <c r="M454" s="19">
        <v>1</v>
      </c>
      <c r="N454" s="5" t="s">
        <v>51</v>
      </c>
      <c r="O454" s="5" t="s">
        <v>52</v>
      </c>
      <c r="P454" s="10" t="s">
        <v>44</v>
      </c>
      <c r="Q454" s="10" t="s">
        <v>44</v>
      </c>
      <c r="R454" s="11" t="s">
        <v>44</v>
      </c>
      <c r="S454" s="11" t="s">
        <v>44</v>
      </c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G454" s="71"/>
      <c r="AH454" s="71"/>
      <c r="AI454" s="71"/>
      <c r="AJ454" s="71">
        <v>524896</v>
      </c>
      <c r="AK454" s="71">
        <v>544736</v>
      </c>
      <c r="AL454" s="71"/>
      <c r="AM454" s="71"/>
      <c r="AN454" s="71"/>
      <c r="AO454" s="71"/>
      <c r="AP454" s="71"/>
      <c r="AQ454" s="71"/>
      <c r="AR454" s="71"/>
      <c r="AS454" s="94">
        <f t="shared" ca="1" si="777"/>
        <v>0</v>
      </c>
      <c r="AT454" s="95">
        <f t="shared" si="778"/>
        <v>1069632</v>
      </c>
      <c r="AU454" s="97">
        <f t="shared" si="779"/>
        <v>1069632</v>
      </c>
      <c r="AW454" s="83">
        <f t="shared" si="780"/>
        <v>0</v>
      </c>
      <c r="AX454" s="83">
        <f t="shared" si="781"/>
        <v>0</v>
      </c>
      <c r="AY454" s="83">
        <f t="shared" si="782"/>
        <v>0</v>
      </c>
      <c r="AZ454" s="83">
        <f t="shared" si="783"/>
        <v>524896</v>
      </c>
      <c r="BA454" s="83">
        <f t="shared" si="776"/>
        <v>544736</v>
      </c>
      <c r="BB454" s="100"/>
      <c r="BC454" s="100"/>
      <c r="BD454" s="100"/>
      <c r="BE454" s="100"/>
      <c r="BF454" s="100"/>
      <c r="BG454" s="100"/>
      <c r="BH454" s="100"/>
      <c r="BI454" s="68" cm="1">
        <f t="array" ref="BI454">IFERROR(INDEX(AW454:BH454,1,MATCH(2,1/(AW454:BH454&lt;&gt;""))),"")</f>
        <v>544736</v>
      </c>
      <c r="BJ454" s="68" cm="1">
        <f t="array" ref="BJ454">IF(BM454 = "", "",IFERROR(INDEX(AW454:BH454,1,MATCH(2,1/(AW454:BH454&lt;&gt;""),1)-1),""))</f>
        <v>524896</v>
      </c>
      <c r="BK454" s="59">
        <f t="shared" si="784"/>
        <v>1069632</v>
      </c>
      <c r="BL454" s="59" cm="1">
        <f t="array" ref="BL454">IFERROR(SUM(AW454:INDEX(AW454:BH454, MATCH(2, 1/(AW454:BH454&lt;&gt;""), 1) - 1))/_xlfn.XLOOKUP(F454,Apuração!A:A,Apuração!B:B),0)</f>
        <v>58321.777777777781</v>
      </c>
      <c r="BM454" s="55" cm="1">
        <f t="array" ref="BM454">IFERROR(
   INDEX($AW$1:$BH$1,
      _xlfn.AGGREGATE(14, 6, COLUMN($AW$1:$BH$1)/(AW454:BH454&lt;&gt;""), 2) - COLUMN($AW$1) + 1
   ),
"")</f>
        <v>46113</v>
      </c>
      <c r="BN454" s="55" cm="1">
        <f t="array" ref="BN454">IFERROR(INDEX($AW$1:$BH$1,1,MATCH(2,1/(AW454:BH454&lt;&gt;""))),"")</f>
        <v>46143</v>
      </c>
      <c r="BO454" s="53">
        <f ca="1">IFERROR(_xlfn.XLOOKUP(F454,Apuração!A:A,Apuração!C:C)/_xlfn.XLOOKUP(F454,Apuração!A:A,Apuração!B:B),0)</f>
        <v>0.22222222222222221</v>
      </c>
      <c r="BP454" s="53">
        <f ca="1">IFERROR(_xlfn.XLOOKUP(F454,Apuração!A:A,Apuração!D:D)/_xlfn.XLOOKUP(F454,Apuração!A:A,Apuração!B:B),0)</f>
        <v>0.1111111111111111</v>
      </c>
      <c r="BQ454" s="53">
        <f ca="1">IF(BK454&gt;=BO454,0,_xlfn.XLOOKUP(F454,Apuração!A:A,Apuração!B:B)*(BO454 + (1/_xlfn.XLOOKUP(F454,Apuração!A:A,Apuração!B:B)) - BK454))</f>
        <v>0</v>
      </c>
      <c r="BR454" s="85">
        <f t="shared" ca="1" si="785"/>
        <v>0</v>
      </c>
      <c r="BS454" s="53">
        <f ca="1">IFERROR((_xlfn.XLOOKUP(F454,Apuração!A:A,Apuração!C:C)+1)/_xlfn.XLOOKUP(F454,Apuração!A:A,Apuração!B:B),0)</f>
        <v>0.33333333333333331</v>
      </c>
    </row>
    <row r="455" spans="1:71" ht="25.95" hidden="1" customHeight="1" x14ac:dyDescent="0.3">
      <c r="A455" s="39" t="s">
        <v>33</v>
      </c>
      <c r="B455" s="4" t="s">
        <v>77</v>
      </c>
      <c r="C455" s="5" t="s">
        <v>97</v>
      </c>
      <c r="D455" s="5" t="s">
        <v>104</v>
      </c>
      <c r="E455" s="4" t="str" cm="1">
        <f t="array" ref="E455">_xlfn.IFS(
F455 = "A partir de Abril", "Aguardando Execução na Distribuidora",
A455 = "CAPACITAÇÃO", "Em execução no Corporativo",
TRUE, "Em Execução na Distribuidora"
)</f>
        <v>Em Execução na Distribuidora</v>
      </c>
      <c r="F455" s="4" t="str" cm="1">
        <f t="array" ref="F455">_xlfn.IFS(
AG455 &lt;&gt; "", "Jan-Dez/26",
AH455 &lt;&gt; "", "Fev-Dez/26",
AI455 &lt;&gt; "", "Mar-Dez/26", AJ455 &lt;&gt; "", "Abr-Dez/26",
TRUE, "A partir de Junho"
)</f>
        <v>Abr-Dez/26</v>
      </c>
      <c r="G455" s="4" t="s">
        <v>37</v>
      </c>
      <c r="H455" s="7" t="s">
        <v>54</v>
      </c>
      <c r="I455" s="9" t="s">
        <v>76</v>
      </c>
      <c r="J455" s="8" t="str" cm="1">
        <f t="array" aca="1" ref="J455" ca="1">_xlfn.LET(
  _xlpm.actual_value_month, INDEX(T455:AE455, MATCH(DATE(YEAR(TODAY()), MONTH(TODAY()), 1), $T$1:$AE$1, 0)),
  IF(_xlpm.actual_value_month &lt;&gt; "",_xlpm.actual_value_month &amp; " ações mensais", "")
)</f>
        <v/>
      </c>
      <c r="K455" s="8" t="str" cm="1">
        <f t="array" ref="K455">_xlfn.LET(
    _xlpm.sum_month, SUM(T455:AE455),
    IF(_xlpm.sum_month = 0, "", _xlpm.sum_month &amp; " pessoas impactadas no ano.")
)</f>
        <v/>
      </c>
      <c r="L455" s="9" t="s">
        <v>76</v>
      </c>
      <c r="M455" s="19">
        <v>1</v>
      </c>
      <c r="N455" s="5" t="s">
        <v>51</v>
      </c>
      <c r="O455" s="5" t="s">
        <v>52</v>
      </c>
      <c r="P455" s="10" t="s">
        <v>44</v>
      </c>
      <c r="Q455" s="10" t="s">
        <v>44</v>
      </c>
      <c r="R455" s="11" t="s">
        <v>44</v>
      </c>
      <c r="S455" s="11" t="s">
        <v>44</v>
      </c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G455" s="71"/>
      <c r="AH455" s="71"/>
      <c r="AI455" s="71"/>
      <c r="AJ455" s="71">
        <v>7695</v>
      </c>
      <c r="AK455" s="71">
        <v>87676</v>
      </c>
      <c r="AL455" s="71"/>
      <c r="AM455" s="71"/>
      <c r="AN455" s="71"/>
      <c r="AO455" s="71"/>
      <c r="AP455" s="71"/>
      <c r="AQ455" s="71"/>
      <c r="AR455" s="71"/>
      <c r="AS455" s="94">
        <f t="shared" ca="1" si="777"/>
        <v>0</v>
      </c>
      <c r="AT455" s="95">
        <f t="shared" si="778"/>
        <v>95371</v>
      </c>
      <c r="AU455" s="97">
        <f t="shared" si="779"/>
        <v>95371</v>
      </c>
      <c r="AW455" s="83">
        <f t="shared" si="780"/>
        <v>0</v>
      </c>
      <c r="AX455" s="83">
        <f t="shared" si="781"/>
        <v>0</v>
      </c>
      <c r="AY455" s="83">
        <f t="shared" si="782"/>
        <v>0</v>
      </c>
      <c r="AZ455" s="83">
        <f t="shared" si="783"/>
        <v>7695</v>
      </c>
      <c r="BA455" s="83">
        <f t="shared" si="776"/>
        <v>87676</v>
      </c>
      <c r="BB455" s="100"/>
      <c r="BC455" s="100"/>
      <c r="BD455" s="100"/>
      <c r="BE455" s="100"/>
      <c r="BF455" s="100"/>
      <c r="BG455" s="100"/>
      <c r="BH455" s="100"/>
      <c r="BI455" s="68" cm="1">
        <f t="array" ref="BI455">IFERROR(INDEX(AW455:BH455,1,MATCH(2,1/(AW455:BH455&lt;&gt;""))),"")</f>
        <v>87676</v>
      </c>
      <c r="BJ455" s="68" cm="1">
        <f t="array" ref="BJ455">IF(BM455 = "", "",IFERROR(INDEX(AW455:BH455,1,MATCH(2,1/(AW455:BH455&lt;&gt;""),1)-1),""))</f>
        <v>7695</v>
      </c>
      <c r="BK455" s="59">
        <f t="shared" si="784"/>
        <v>95371</v>
      </c>
      <c r="BL455" s="59" cm="1">
        <f t="array" ref="BL455">IFERROR(SUM(AW455:INDEX(AW455:BH455, MATCH(2, 1/(AW455:BH455&lt;&gt;""), 1) - 1))/_xlfn.XLOOKUP(F455,Apuração!A:A,Apuração!B:B),0)</f>
        <v>855</v>
      </c>
      <c r="BM455" s="55" cm="1">
        <f t="array" ref="BM455">IFERROR(
   INDEX($AW$1:$BH$1,
      _xlfn.AGGREGATE(14, 6, COLUMN($AW$1:$BH$1)/(AW455:BH455&lt;&gt;""), 2) - COLUMN($AW$1) + 1
   ),
"")</f>
        <v>46113</v>
      </c>
      <c r="BN455" s="55" cm="1">
        <f t="array" ref="BN455">IFERROR(INDEX($AW$1:$BH$1,1,MATCH(2,1/(AW455:BH455&lt;&gt;""))),"")</f>
        <v>46143</v>
      </c>
      <c r="BO455" s="53">
        <f ca="1">IFERROR(_xlfn.XLOOKUP(F455,Apuração!A:A,Apuração!C:C)/_xlfn.XLOOKUP(F455,Apuração!A:A,Apuração!B:B),0)</f>
        <v>0.22222222222222221</v>
      </c>
      <c r="BP455" s="53">
        <f ca="1">IFERROR(_xlfn.XLOOKUP(F455,Apuração!A:A,Apuração!D:D)/_xlfn.XLOOKUP(F455,Apuração!A:A,Apuração!B:B),0)</f>
        <v>0.1111111111111111</v>
      </c>
      <c r="BQ455" s="53">
        <f ca="1">IF(BK455&gt;=BO455,0,_xlfn.XLOOKUP(F455,Apuração!A:A,Apuração!B:B)*(BO455 + (1/_xlfn.XLOOKUP(F455,Apuração!A:A,Apuração!B:B)) - BK455))</f>
        <v>0</v>
      </c>
      <c r="BR455" s="85">
        <f t="shared" ca="1" si="785"/>
        <v>0</v>
      </c>
      <c r="BS455" s="53">
        <f ca="1">IFERROR((_xlfn.XLOOKUP(F455,Apuração!A:A,Apuração!C:C)+1)/_xlfn.XLOOKUP(F455,Apuração!A:A,Apuração!B:B),0)</f>
        <v>0.33333333333333331</v>
      </c>
    </row>
    <row r="456" spans="1:71" ht="25.95" hidden="1" customHeight="1" x14ac:dyDescent="0.3">
      <c r="A456" s="39" t="s">
        <v>33</v>
      </c>
      <c r="B456" s="4" t="s">
        <v>77</v>
      </c>
      <c r="C456" s="5" t="s">
        <v>97</v>
      </c>
      <c r="D456" s="5" t="s">
        <v>105</v>
      </c>
      <c r="E456" s="4" t="str" cm="1">
        <f t="array" ref="E456">_xlfn.IFS(
F456 = "A partir de Abril", "Aguardando Execução na Distribuidora",
A456 = "CAPACITAÇÃO", "Em execução no Corporativo",
TRUE, "Em Execução na Distribuidora"
)</f>
        <v>Em Execução na Distribuidora</v>
      </c>
      <c r="F456" s="4" t="str" cm="1">
        <f t="array" ref="F456">_xlfn.IFS(
AG456 &lt;&gt; "", "Jan-Dez/26",
AH456 &lt;&gt; "", "Fev-Dez/26",
AI456 &lt;&gt; "", "Mar-Dez/26", AJ456 &lt;&gt; "", "Abr-Dez/26",
TRUE, "A partir de Junho"
)</f>
        <v>Abr-Dez/26</v>
      </c>
      <c r="G456" s="4" t="s">
        <v>37</v>
      </c>
      <c r="H456" s="7" t="s">
        <v>54</v>
      </c>
      <c r="I456" s="9" t="s">
        <v>76</v>
      </c>
      <c r="J456" s="8" t="str" cm="1">
        <f t="array" aca="1" ref="J456" ca="1">_xlfn.LET(
  _xlpm.actual_value_month, INDEX(T456:AE456, MATCH(DATE(YEAR(TODAY()), MONTH(TODAY()), 1), $T$1:$AE$1, 0)),
  IF(_xlpm.actual_value_month &lt;&gt; "",_xlpm.actual_value_month &amp; " ações mensais", "")
)</f>
        <v/>
      </c>
      <c r="K456" s="8" t="str" cm="1">
        <f t="array" ref="K456">_xlfn.LET(
    _xlpm.sum_month, SUM(T456:AE456),
    IF(_xlpm.sum_month = 0, "", _xlpm.sum_month &amp; " pessoas impactadas no ano.")
)</f>
        <v/>
      </c>
      <c r="L456" s="9" t="s">
        <v>76</v>
      </c>
      <c r="M456" s="19">
        <v>1</v>
      </c>
      <c r="N456" s="5" t="s">
        <v>51</v>
      </c>
      <c r="O456" s="5" t="s">
        <v>52</v>
      </c>
      <c r="P456" s="10" t="s">
        <v>44</v>
      </c>
      <c r="Q456" s="10" t="s">
        <v>44</v>
      </c>
      <c r="R456" s="11" t="s">
        <v>44</v>
      </c>
      <c r="S456" s="11" t="s">
        <v>44</v>
      </c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G456" s="71"/>
      <c r="AH456" s="71"/>
      <c r="AI456" s="71"/>
      <c r="AJ456" s="71">
        <v>26355</v>
      </c>
      <c r="AK456" s="71">
        <v>21032</v>
      </c>
      <c r="AL456" s="71"/>
      <c r="AM456" s="71"/>
      <c r="AN456" s="71"/>
      <c r="AO456" s="71"/>
      <c r="AP456" s="71"/>
      <c r="AQ456" s="71"/>
      <c r="AR456" s="71"/>
      <c r="AS456" s="94">
        <f t="shared" ca="1" si="777"/>
        <v>0</v>
      </c>
      <c r="AT456" s="95">
        <f t="shared" si="778"/>
        <v>47387</v>
      </c>
      <c r="AU456" s="97">
        <f t="shared" si="779"/>
        <v>47387</v>
      </c>
      <c r="AW456" s="83">
        <f t="shared" si="780"/>
        <v>0</v>
      </c>
      <c r="AX456" s="83">
        <f t="shared" si="781"/>
        <v>0</v>
      </c>
      <c r="AY456" s="83">
        <f t="shared" si="782"/>
        <v>0</v>
      </c>
      <c r="AZ456" s="83">
        <f t="shared" si="783"/>
        <v>26355</v>
      </c>
      <c r="BA456" s="83">
        <f t="shared" si="776"/>
        <v>21032</v>
      </c>
      <c r="BB456" s="100"/>
      <c r="BC456" s="100"/>
      <c r="BD456" s="100"/>
      <c r="BE456" s="100"/>
      <c r="BF456" s="100"/>
      <c r="BG456" s="100"/>
      <c r="BH456" s="100"/>
      <c r="BI456" s="68" cm="1">
        <f t="array" ref="BI456">IFERROR(INDEX(AW456:BH456,1,MATCH(2,1/(AW456:BH456&lt;&gt;""))),"")</f>
        <v>21032</v>
      </c>
      <c r="BJ456" s="68" cm="1">
        <f t="array" ref="BJ456">IF(BM456 = "", "",IFERROR(INDEX(AW456:BH456,1,MATCH(2,1/(AW456:BH456&lt;&gt;""),1)-1),""))</f>
        <v>26355</v>
      </c>
      <c r="BK456" s="59">
        <f t="shared" si="784"/>
        <v>47387</v>
      </c>
      <c r="BL456" s="59" cm="1">
        <f t="array" ref="BL456">IFERROR(SUM(AW456:INDEX(AW456:BH456, MATCH(2, 1/(AW456:BH456&lt;&gt;""), 1) - 1))/_xlfn.XLOOKUP(F456,Apuração!A:A,Apuração!B:B),0)</f>
        <v>2928.3333333333335</v>
      </c>
      <c r="BM456" s="55" cm="1">
        <f t="array" ref="BM456">IFERROR(
   INDEX($AW$1:$BH$1,
      _xlfn.AGGREGATE(14, 6, COLUMN($AW$1:$BH$1)/(AW456:BH456&lt;&gt;""), 2) - COLUMN($AW$1) + 1
   ),
"")</f>
        <v>46113</v>
      </c>
      <c r="BN456" s="55" cm="1">
        <f t="array" ref="BN456">IFERROR(INDEX($AW$1:$BH$1,1,MATCH(2,1/(AW456:BH456&lt;&gt;""))),"")</f>
        <v>46143</v>
      </c>
      <c r="BO456" s="53">
        <f ca="1">IFERROR(_xlfn.XLOOKUP(F456,Apuração!A:A,Apuração!C:C)/_xlfn.XLOOKUP(F456,Apuração!A:A,Apuração!B:B),0)</f>
        <v>0.22222222222222221</v>
      </c>
      <c r="BP456" s="53">
        <f ca="1">IFERROR(_xlfn.XLOOKUP(F456,Apuração!A:A,Apuração!D:D)/_xlfn.XLOOKUP(F456,Apuração!A:A,Apuração!B:B),0)</f>
        <v>0.1111111111111111</v>
      </c>
      <c r="BQ456" s="53">
        <f ca="1">IF(BK456&gt;=BO456,0,_xlfn.XLOOKUP(F456,Apuração!A:A,Apuração!B:B)*(BO456 + (1/_xlfn.XLOOKUP(F456,Apuração!A:A,Apuração!B:B)) - BK456))</f>
        <v>0</v>
      </c>
      <c r="BR456" s="85">
        <f t="shared" ca="1" si="785"/>
        <v>0</v>
      </c>
      <c r="BS456" s="53">
        <f ca="1">IFERROR((_xlfn.XLOOKUP(F456,Apuração!A:A,Apuração!C:C)+1)/_xlfn.XLOOKUP(F456,Apuração!A:A,Apuração!B:B),0)</f>
        <v>0.33333333333333331</v>
      </c>
    </row>
    <row r="457" spans="1:71" ht="25.95" hidden="1" customHeight="1" x14ac:dyDescent="0.3">
      <c r="A457" s="39" t="s">
        <v>33</v>
      </c>
      <c r="B457" s="4" t="s">
        <v>77</v>
      </c>
      <c r="C457" s="5" t="s">
        <v>97</v>
      </c>
      <c r="D457" s="5" t="s">
        <v>106</v>
      </c>
      <c r="E457" s="4" t="str" cm="1">
        <f t="array" ref="E457">_xlfn.IFS(
F457 = "A partir de Abril", "Aguardando Execução na Distribuidora",
A457 = "CAPACITAÇÃO", "Em execução no Corporativo",
TRUE, "Em Execução na Distribuidora"
)</f>
        <v>Em Execução na Distribuidora</v>
      </c>
      <c r="F457" s="4" t="str" cm="1">
        <f t="array" ref="F457">_xlfn.IFS(
AG457 &lt;&gt; "", "Jan-Dez/26",
AH457 &lt;&gt; "", "Fev-Dez/26",
AI457 &lt;&gt; "", "Mar-Dez/26", AJ457 &lt;&gt; "", "Abr-Dez/26",
TRUE, "A partir de Junho"
)</f>
        <v>Abr-Dez/26</v>
      </c>
      <c r="G457" s="4" t="s">
        <v>37</v>
      </c>
      <c r="H457" s="7" t="s">
        <v>54</v>
      </c>
      <c r="I457" s="9" t="s">
        <v>76</v>
      </c>
      <c r="J457" s="8" t="str" cm="1">
        <f t="array" aca="1" ref="J457" ca="1">_xlfn.LET(
  _xlpm.actual_value_month, INDEX(T457:AE457, MATCH(DATE(YEAR(TODAY()), MONTH(TODAY()), 1), $T$1:$AE$1, 0)),
  IF(_xlpm.actual_value_month &lt;&gt; "",_xlpm.actual_value_month &amp; " ações mensais", "")
)</f>
        <v/>
      </c>
      <c r="K457" s="8" t="str" cm="1">
        <f t="array" ref="K457">_xlfn.LET(
    _xlpm.sum_month, SUM(T457:AE457),
    IF(_xlpm.sum_month = 0, "", _xlpm.sum_month &amp; " pessoas impactadas no ano.")
)</f>
        <v/>
      </c>
      <c r="L457" s="9" t="s">
        <v>76</v>
      </c>
      <c r="M457" s="19">
        <v>1</v>
      </c>
      <c r="N457" s="5" t="s">
        <v>51</v>
      </c>
      <c r="O457" s="5" t="s">
        <v>52</v>
      </c>
      <c r="P457" s="10" t="s">
        <v>44</v>
      </c>
      <c r="Q457" s="10" t="s">
        <v>44</v>
      </c>
      <c r="R457" s="11" t="s">
        <v>44</v>
      </c>
      <c r="S457" s="11" t="s">
        <v>44</v>
      </c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G457" s="71"/>
      <c r="AH457" s="71"/>
      <c r="AI457" s="71"/>
      <c r="AJ457" s="71">
        <v>19022</v>
      </c>
      <c r="AK457" s="71">
        <v>60379</v>
      </c>
      <c r="AL457" s="71"/>
      <c r="AM457" s="71"/>
      <c r="AN457" s="71"/>
      <c r="AO457" s="71"/>
      <c r="AP457" s="71"/>
      <c r="AQ457" s="71"/>
      <c r="AR457" s="71"/>
      <c r="AS457" s="94">
        <f t="shared" ca="1" si="777"/>
        <v>0</v>
      </c>
      <c r="AT457" s="95">
        <f t="shared" si="778"/>
        <v>79401</v>
      </c>
      <c r="AU457" s="97">
        <f t="shared" si="779"/>
        <v>79401</v>
      </c>
      <c r="AW457" s="83">
        <f t="shared" si="780"/>
        <v>0</v>
      </c>
      <c r="AX457" s="83">
        <f t="shared" si="781"/>
        <v>0</v>
      </c>
      <c r="AY457" s="83">
        <f t="shared" si="782"/>
        <v>0</v>
      </c>
      <c r="AZ457" s="83">
        <f t="shared" si="783"/>
        <v>19022</v>
      </c>
      <c r="BA457" s="83">
        <f t="shared" si="776"/>
        <v>60379</v>
      </c>
      <c r="BB457" s="100"/>
      <c r="BC457" s="100"/>
      <c r="BD457" s="100"/>
      <c r="BE457" s="100"/>
      <c r="BF457" s="100"/>
      <c r="BG457" s="100"/>
      <c r="BH457" s="100"/>
      <c r="BI457" s="68" cm="1">
        <f t="array" ref="BI457">IFERROR(INDEX(AW457:BH457,1,MATCH(2,1/(AW457:BH457&lt;&gt;""))),"")</f>
        <v>60379</v>
      </c>
      <c r="BJ457" s="68" cm="1">
        <f t="array" ref="BJ457">IF(BM457 = "", "",IFERROR(INDEX(AW457:BH457,1,MATCH(2,1/(AW457:BH457&lt;&gt;""),1)-1),""))</f>
        <v>19022</v>
      </c>
      <c r="BK457" s="59">
        <f t="shared" si="784"/>
        <v>79401</v>
      </c>
      <c r="BL457" s="59" cm="1">
        <f t="array" ref="BL457">IFERROR(SUM(AW457:INDEX(AW457:BH457, MATCH(2, 1/(AW457:BH457&lt;&gt;""), 1) - 1))/_xlfn.XLOOKUP(F457,Apuração!A:A,Apuração!B:B),0)</f>
        <v>2113.5555555555557</v>
      </c>
      <c r="BM457" s="55" cm="1">
        <f t="array" ref="BM457">IFERROR(
   INDEX($AW$1:$BH$1,
      _xlfn.AGGREGATE(14, 6, COLUMN($AW$1:$BH$1)/(AW457:BH457&lt;&gt;""), 2) - COLUMN($AW$1) + 1
   ),
"")</f>
        <v>46113</v>
      </c>
      <c r="BN457" s="55" cm="1">
        <f t="array" ref="BN457">IFERROR(INDEX($AW$1:$BH$1,1,MATCH(2,1/(AW457:BH457&lt;&gt;""))),"")</f>
        <v>46143</v>
      </c>
      <c r="BO457" s="53">
        <f ca="1">IFERROR(_xlfn.XLOOKUP(F457,Apuração!A:A,Apuração!C:C)/_xlfn.XLOOKUP(F457,Apuração!A:A,Apuração!B:B),0)</f>
        <v>0.22222222222222221</v>
      </c>
      <c r="BP457" s="53">
        <f ca="1">IFERROR(_xlfn.XLOOKUP(F457,Apuração!A:A,Apuração!D:D)/_xlfn.XLOOKUP(F457,Apuração!A:A,Apuração!B:B),0)</f>
        <v>0.1111111111111111</v>
      </c>
      <c r="BQ457" s="53">
        <f ca="1">IF(BK457&gt;=BO457,0,_xlfn.XLOOKUP(F457,Apuração!A:A,Apuração!B:B)*(BO457 + (1/_xlfn.XLOOKUP(F457,Apuração!A:A,Apuração!B:B)) - BK457))</f>
        <v>0</v>
      </c>
      <c r="BR457" s="85">
        <f t="shared" ca="1" si="785"/>
        <v>0</v>
      </c>
      <c r="BS457" s="53">
        <f ca="1">IFERROR((_xlfn.XLOOKUP(F457,Apuração!A:A,Apuração!C:C)+1)/_xlfn.XLOOKUP(F457,Apuração!A:A,Apuração!B:B),0)</f>
        <v>0.33333333333333331</v>
      </c>
    </row>
    <row r="458" spans="1:71" ht="25.95" hidden="1" customHeight="1" x14ac:dyDescent="0.3">
      <c r="A458" s="39" t="s">
        <v>33</v>
      </c>
      <c r="B458" s="4" t="s">
        <v>77</v>
      </c>
      <c r="C458" s="5" t="s">
        <v>97</v>
      </c>
      <c r="D458" s="5" t="s">
        <v>107</v>
      </c>
      <c r="E458" s="4" t="str" cm="1">
        <f t="array" ref="E458">_xlfn.IFS(
F458 = "A partir de Abril", "Aguardando Execução na Distribuidora",
A458 = "CAPACITAÇÃO", "Em execução no Corporativo",
TRUE, "Em Execução na Distribuidora"
)</f>
        <v>Em Execução na Distribuidora</v>
      </c>
      <c r="F458" s="4" t="str" cm="1">
        <f t="array" ref="F458">_xlfn.IFS(
AG458 &lt;&gt; "", "Jan-Dez/26",
AH458 &lt;&gt; "", "Fev-Dez/26",
AI458 &lt;&gt; "", "Mar-Dez/26", AJ458 &lt;&gt; "", "Abr-Dez/26",
TRUE, "A partir de Junho"
)</f>
        <v>Abr-Dez/26</v>
      </c>
      <c r="G458" s="4" t="s">
        <v>37</v>
      </c>
      <c r="H458" s="7" t="s">
        <v>54</v>
      </c>
      <c r="I458" s="9" t="s">
        <v>76</v>
      </c>
      <c r="J458" s="8" t="str" cm="1">
        <f t="array" aca="1" ref="J458" ca="1">_xlfn.LET(
  _xlpm.actual_value_month, INDEX(T458:AE458, MATCH(DATE(YEAR(TODAY()), MONTH(TODAY()), 1), $T$1:$AE$1, 0)),
  IF(_xlpm.actual_value_month &lt;&gt; "",_xlpm.actual_value_month &amp; " ações mensais", "")
)</f>
        <v/>
      </c>
      <c r="K458" s="8" t="str" cm="1">
        <f t="array" ref="K458">_xlfn.LET(
    _xlpm.sum_month, SUM(T458:AE458),
    IF(_xlpm.sum_month = 0, "", _xlpm.sum_month &amp; " pessoas impactadas no ano.")
)</f>
        <v/>
      </c>
      <c r="L458" s="9" t="s">
        <v>76</v>
      </c>
      <c r="M458" s="19">
        <v>1</v>
      </c>
      <c r="N458" s="5" t="s">
        <v>51</v>
      </c>
      <c r="O458" s="5" t="s">
        <v>52</v>
      </c>
      <c r="P458" s="10" t="s">
        <v>44</v>
      </c>
      <c r="Q458" s="10" t="s">
        <v>44</v>
      </c>
      <c r="R458" s="11" t="s">
        <v>44</v>
      </c>
      <c r="S458" s="11" t="s">
        <v>44</v>
      </c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G458" s="71"/>
      <c r="AH458" s="71"/>
      <c r="AI458" s="71"/>
      <c r="AJ458" s="71">
        <v>28380</v>
      </c>
      <c r="AK458" s="71">
        <v>1693</v>
      </c>
      <c r="AL458" s="71"/>
      <c r="AM458" s="71"/>
      <c r="AN458" s="71"/>
      <c r="AO458" s="71"/>
      <c r="AP458" s="71"/>
      <c r="AQ458" s="71"/>
      <c r="AR458" s="71"/>
      <c r="AS458" s="94">
        <f t="shared" ca="1" si="777"/>
        <v>0</v>
      </c>
      <c r="AT458" s="95">
        <f t="shared" si="778"/>
        <v>30073</v>
      </c>
      <c r="AU458" s="97">
        <f t="shared" si="779"/>
        <v>30073</v>
      </c>
      <c r="AW458" s="83">
        <f t="shared" si="780"/>
        <v>0</v>
      </c>
      <c r="AX458" s="83">
        <f t="shared" si="781"/>
        <v>0</v>
      </c>
      <c r="AY458" s="83">
        <f t="shared" si="782"/>
        <v>0</v>
      </c>
      <c r="AZ458" s="83">
        <f t="shared" si="783"/>
        <v>28380</v>
      </c>
      <c r="BA458" s="83">
        <f t="shared" si="776"/>
        <v>1693</v>
      </c>
      <c r="BB458" s="100"/>
      <c r="BC458" s="100"/>
      <c r="BD458" s="100"/>
      <c r="BE458" s="100"/>
      <c r="BF458" s="100"/>
      <c r="BG458" s="100"/>
      <c r="BH458" s="100"/>
      <c r="BI458" s="68" cm="1">
        <f t="array" ref="BI458">IFERROR(INDEX(AW458:BH458,1,MATCH(2,1/(AW458:BH458&lt;&gt;""))),"")</f>
        <v>1693</v>
      </c>
      <c r="BJ458" s="68" cm="1">
        <f t="array" ref="BJ458">IF(BM458 = "", "",IFERROR(INDEX(AW458:BH458,1,MATCH(2,1/(AW458:BH458&lt;&gt;""),1)-1),""))</f>
        <v>28380</v>
      </c>
      <c r="BK458" s="59">
        <f t="shared" si="784"/>
        <v>30073</v>
      </c>
      <c r="BL458" s="59" cm="1">
        <f t="array" ref="BL458">IFERROR(SUM(AW458:INDEX(AW458:BH458, MATCH(2, 1/(AW458:BH458&lt;&gt;""), 1) - 1))/_xlfn.XLOOKUP(F458,Apuração!A:A,Apuração!B:B),0)</f>
        <v>3153.3333333333335</v>
      </c>
      <c r="BM458" s="55" cm="1">
        <f t="array" ref="BM458">IFERROR(
   INDEX($AW$1:$BH$1,
      _xlfn.AGGREGATE(14, 6, COLUMN($AW$1:$BH$1)/(AW458:BH458&lt;&gt;""), 2) - COLUMN($AW$1) + 1
   ),
"")</f>
        <v>46113</v>
      </c>
      <c r="BN458" s="55" cm="1">
        <f t="array" ref="BN458">IFERROR(INDEX($AW$1:$BH$1,1,MATCH(2,1/(AW458:BH458&lt;&gt;""))),"")</f>
        <v>46143</v>
      </c>
      <c r="BO458" s="53">
        <f ca="1">IFERROR(_xlfn.XLOOKUP(F458,Apuração!A:A,Apuração!C:C)/_xlfn.XLOOKUP(F458,Apuração!A:A,Apuração!B:B),0)</f>
        <v>0.22222222222222221</v>
      </c>
      <c r="BP458" s="53">
        <f ca="1">IFERROR(_xlfn.XLOOKUP(F458,Apuração!A:A,Apuração!D:D)/_xlfn.XLOOKUP(F458,Apuração!A:A,Apuração!B:B),0)</f>
        <v>0.1111111111111111</v>
      </c>
      <c r="BQ458" s="53">
        <f ca="1">IF(BK458&gt;=BO458,0,_xlfn.XLOOKUP(F458,Apuração!A:A,Apuração!B:B)*(BO458 + (1/_xlfn.XLOOKUP(F458,Apuração!A:A,Apuração!B:B)) - BK458))</f>
        <v>0</v>
      </c>
      <c r="BR458" s="85">
        <f t="shared" ca="1" si="785"/>
        <v>0</v>
      </c>
      <c r="BS458" s="53">
        <f ca="1">IFERROR((_xlfn.XLOOKUP(F458,Apuração!A:A,Apuração!C:C)+1)/_xlfn.XLOOKUP(F458,Apuração!A:A,Apuração!B:B),0)</f>
        <v>0.33333333333333331</v>
      </c>
    </row>
    <row r="459" spans="1:71" ht="25.95" hidden="1" customHeight="1" x14ac:dyDescent="0.3">
      <c r="A459" s="3" t="s">
        <v>33</v>
      </c>
      <c r="B459" s="4" t="s">
        <v>81</v>
      </c>
      <c r="C459" s="5" t="s">
        <v>97</v>
      </c>
      <c r="D459" s="5" t="s">
        <v>36</v>
      </c>
      <c r="E459" s="4" t="str" cm="1">
        <f t="array" ref="E459">_xlfn.IFS(
F459 = "A partir de Abril", "Aguardando Execução na Distribuidora",
A459 = "CAPACITAÇÃO", "Em execução no Corporativo",
TRUE, "Em Execução na Distribuidora"
)</f>
        <v>Em Execução na Distribuidora</v>
      </c>
      <c r="F459" s="4" t="str" cm="1">
        <f t="array" ref="F459">_xlfn.IFS(
AG459 &lt;&gt; "", "Jan-Dez/26",
AH459 &lt;&gt; "", "Fev-Dez/26",
AI459 &lt;&gt; "", "Mar-Dez/26", AJ459 &lt;&gt; "", "Abr-Dez/26",
TRUE, "A partir de Junho"
)</f>
        <v>Jan-Dez/26</v>
      </c>
      <c r="G459" s="4" t="s">
        <v>37</v>
      </c>
      <c r="H459" s="7" t="s">
        <v>54</v>
      </c>
      <c r="I459" s="8" t="s">
        <v>55</v>
      </c>
      <c r="J459" s="8" t="str" cm="1">
        <f t="array" aca="1" ref="J459" ca="1">_xlfn.LET(
  _xlpm.actual_value_month, INDEX(T459:AE459, MATCH(DATE(YEAR(TODAY()), MONTH(TODAY()), 1), $T$1:$AE$1, 0)),
  IF(_xlpm.actual_value_month &lt;&gt; "",_xlpm.actual_value_month &amp; " eventos mensais", "")
)</f>
        <v>20 eventos mensais</v>
      </c>
      <c r="K459" s="8" t="str" cm="1">
        <f t="array" ref="K459">_xlfn.LET(
    _xlpm.sum_month, SUM(T459:AE459),
    IF(_xlpm.sum_month = 0, "", _xlpm.sum_month &amp; "  eventos no ano")
)</f>
        <v>188  eventos no ano</v>
      </c>
      <c r="L459" s="9" t="s">
        <v>82</v>
      </c>
      <c r="M459" s="13" t="s">
        <v>83</v>
      </c>
      <c r="N459" s="5" t="s">
        <v>42</v>
      </c>
      <c r="O459" s="5" t="s">
        <v>43</v>
      </c>
      <c r="P459" s="10" t="s">
        <v>44</v>
      </c>
      <c r="Q459" s="10" t="s">
        <v>44</v>
      </c>
      <c r="R459" s="11" t="s">
        <v>44</v>
      </c>
      <c r="S459" s="11" t="s">
        <v>44</v>
      </c>
      <c r="T459" s="22">
        <v>5</v>
      </c>
      <c r="U459" s="22">
        <v>2</v>
      </c>
      <c r="V459" s="22">
        <v>1</v>
      </c>
      <c r="W459" s="22">
        <v>20</v>
      </c>
      <c r="X459" s="22">
        <v>20</v>
      </c>
      <c r="Y459" s="22">
        <v>20</v>
      </c>
      <c r="Z459" s="22">
        <v>20</v>
      </c>
      <c r="AA459" s="22">
        <v>20</v>
      </c>
      <c r="AB459" s="22">
        <v>20</v>
      </c>
      <c r="AC459" s="22">
        <v>20</v>
      </c>
      <c r="AD459" s="22">
        <v>20</v>
      </c>
      <c r="AE459" s="22">
        <v>20</v>
      </c>
      <c r="AG459" s="71">
        <v>5</v>
      </c>
      <c r="AH459" s="71">
        <v>2</v>
      </c>
      <c r="AI459" s="71">
        <v>1</v>
      </c>
      <c r="AJ459" s="71">
        <v>0</v>
      </c>
      <c r="AK459" s="71">
        <v>3</v>
      </c>
      <c r="AL459" s="71"/>
      <c r="AM459" s="71"/>
      <c r="AN459" s="71"/>
      <c r="AO459" s="71"/>
      <c r="AP459" s="71"/>
      <c r="AQ459" s="71"/>
      <c r="AR459" s="71"/>
      <c r="AS459" s="94">
        <f t="shared" ca="1" si="651"/>
        <v>48</v>
      </c>
      <c r="AT459" s="95">
        <f>SUM(IF(AW459&lt;1.15,AG459,1.15*T459),IF(AX459&lt;1.15,AH459,1.15*U459),IF(AY459&lt;1.15,AI459,1.15*V459),IF(AZ459&lt;1.15,AJ459,1.15*W459),IF(BA459&lt;1.15,AK459,1.15*X459),IF(BB459&lt;1.15,AL459,1.15*Y459),IF(BC459&lt;1.15,AM459,1.15*Z459),IF(BD459&lt;1.15,AN459,1.15*AA459),IF(BE459&lt;1.15,AO459,1.15*AB459),IF(BF459&lt;1.15,AP459,1.15*AC459),IF(BG459&lt;1.15,AQ459,1.15*AD459),IF(BH459&lt;1.15,AR459,1.15*AE459))</f>
        <v>11</v>
      </c>
      <c r="AU459" s="97">
        <f t="shared" si="652"/>
        <v>11</v>
      </c>
      <c r="AW459" s="51">
        <f>IFERROR(IF(AG459="",0,AG459/T459),0)</f>
        <v>1</v>
      </c>
      <c r="AX459" s="51">
        <f>IFERROR(IF(AH459="",0,AH459/U459),0)</f>
        <v>1</v>
      </c>
      <c r="AY459" s="51">
        <f>IFERROR(IF(AI459="",0,AI459/V459),0)</f>
        <v>1</v>
      </c>
      <c r="AZ459" s="51">
        <f>IFERROR(IF(AJ459="",0,AJ459/W459),0)</f>
        <v>0</v>
      </c>
      <c r="BA459" s="51">
        <f>IFERROR(IF(AK459="",0,AK459/X459),0)</f>
        <v>0.15</v>
      </c>
      <c r="BB459" s="51"/>
      <c r="BC459" s="51"/>
      <c r="BD459" s="51"/>
      <c r="BE459" s="51"/>
      <c r="BF459" s="51"/>
      <c r="BG459" s="51"/>
      <c r="BH459" s="51"/>
      <c r="BI459" s="65" cm="1">
        <f t="array" ref="BI459">IFERROR(INDEX(AW459:BH459,1,MATCH(2,1/(AW459:BH459&lt;&gt;""))),"")</f>
        <v>0.15</v>
      </c>
      <c r="BJ459" s="68" cm="1">
        <f t="array" ref="BJ459">IF(BM459 = "", "",IFERROR(INDEX(AW459:BH459,1,MATCH(2,1/(AW459:BH459&lt;&gt;""),1)-1),""))</f>
        <v>0</v>
      </c>
      <c r="BK459" s="58">
        <f>IF((IF(AW459&gt;=115%,115%,AW459) + IF(AX459&gt;=115%,115%,AX459) + IF(AY459&gt;=115%,115%,AY459) + (IF(AZ459&gt;=200%,200%,AZ459) + IF(BA459&gt;=120%,120%,BA459) + IF(BB459&gt;=115%,115%,BB459) + IF(BC459&gt;=115%,115%,BC459) + IF(BD459&gt;=115%,115%,BD459) + IF(BE459&gt;=115%,115%,BE459) + IF(BF459&gt;=115%,115%,BF459) + IF(BG459&gt;=115%,115%,BG459) + IF(BH459&gt;=115%,115%,BH459)))/_xlfn.XLOOKUP(F459,Apuração!A:A,Apuração!B:B)&gt;=1.15,1.15,((IF(AZ459&gt;=200%,200%,AZ459) + IF(AX459&gt;=115%,115%,AX459) + IF(AY459&gt;=115%,115%,AY459) + (IF(AW459&gt;=115%,115%,AW459) + IF(BA459&gt;=120%,120%,BA459) + IF(BB459&gt;=115%,115%,BB459) + IF(BC459&gt;=115%,115%,BC459) + IF(BD459&gt;=115%,115%,BD459) + IF(BE459&gt;=115%,115%,BE459) + IF(BF459&gt;=115%,115%,BF459) + IF(BG459&gt;=115%,115%,BG459) + IF(BH459&gt;=115%,115%,BH459)))/_xlfn.XLOOKUP(F459,Apuração!A:A,Apuração!B:B)))</f>
        <v>0.26250000000000001</v>
      </c>
      <c r="BL459" s="58" cm="1">
        <f t="array" aca="1" ref="BL459" ca="1">IF(SUM(IFERROR(IF(INDEX(AW459:INDEX(AW459:BH459, MATCH(2, 1/(AW459:BH459&lt;&gt;""), 1)-1), ROW(INDIRECT("1:" &amp; MATCH(2, 1/(AW459:BH459&lt;&gt;""), 1)-1))) &gt;= 115%, 115%, INDEX(AW459:INDEX(AW459:BH459, MATCH(2, 1/(AW459:BH459&lt;&gt;""), 1)-1), ROW(INDIRECT("1:" &amp; MATCH(2, 1/(AW459:BH459&lt;&gt;""), 1)-1)))), 0))/_xlfn.XLOOKUP(F459,Apuração!A:A,Apuração!B:B)&gt;=1.15,1.15,SUM(IFERROR(IF(INDEX(AW459:INDEX(AW459:BH459, MATCH(2, 1/(AW459:BH459&lt;&gt;""), 1)-1), ROW(INDIRECT("1:" &amp; MATCH(2, 1/(AW459:BH459&lt;&gt;""), 1)-1))) &gt;= 115%, 115%, INDEX(AW459:INDEX(AW459:BH459, MATCH(2, 1/(AW459:BH459&lt;&gt;""), 1)-1), ROW(INDIRECT("1:" &amp; MATCH(2, 1/(AW459:BH459&lt;&gt;""), 1)-1)))), 0))/_xlfn.XLOOKUP(F459,Apuração!A:A,Apuração!B:B))</f>
        <v>0.25</v>
      </c>
      <c r="BM459" s="55" cm="1">
        <f t="array" ref="BM459">IFERROR(
   INDEX($AW$1:$BH$1,
      _xlfn.AGGREGATE(14, 6, COLUMN($AW$1:$BH$1)/(AW459:BH459&lt;&gt;""), 2) - COLUMN($AW$1) + 1
   ),
"")</f>
        <v>46113</v>
      </c>
      <c r="BN459" s="55" cm="1">
        <f t="array" ref="BN459">IFERROR(INDEX($AW$1:$BH$1,1,MATCH(2,1/(AW459:BH459&lt;&gt;""))),"")</f>
        <v>46143</v>
      </c>
      <c r="BO459" s="53">
        <f ca="1">IFERROR(_xlfn.XLOOKUP(F459,Apuração!A:A,Apuração!C:C)/_xlfn.XLOOKUP(F459,Apuração!A:A,Apuração!B:B),0)</f>
        <v>0.41666666666666669</v>
      </c>
      <c r="BP459" s="53">
        <f ca="1">IFERROR(_xlfn.XLOOKUP(F459,Apuração!A:A,Apuração!D:D)/_xlfn.XLOOKUP(F459,Apuração!A:A,Apuração!B:B),0)</f>
        <v>0.33333333333333331</v>
      </c>
      <c r="BQ459" s="53">
        <f ca="1">IF(BK459&gt;=BO459,0,_xlfn.XLOOKUP(F459,Apuração!A:A,Apuração!B:B)*(BO459 + (1/_xlfn.XLOOKUP(F459,Apuração!A:A,Apuração!B:B)) - BK459))</f>
        <v>2.8499999999999996</v>
      </c>
      <c r="BR459" s="85">
        <f t="shared" ca="1" si="644"/>
        <v>56.999999999999993</v>
      </c>
      <c r="BS459" s="53">
        <f ca="1">IFERROR((_xlfn.XLOOKUP(F459,Apuração!A:A,Apuração!C:C)+1)/_xlfn.XLOOKUP(F459,Apuração!A:A,Apuração!B:B),0)</f>
        <v>0.5</v>
      </c>
    </row>
    <row r="460" spans="1:71" ht="25.95" hidden="1" customHeight="1" x14ac:dyDescent="0.3">
      <c r="A460" s="3" t="s">
        <v>33</v>
      </c>
      <c r="B460" s="4" t="s">
        <v>81</v>
      </c>
      <c r="C460" s="5" t="s">
        <v>97</v>
      </c>
      <c r="D460" s="5" t="s">
        <v>98</v>
      </c>
      <c r="E460" s="4" t="str" cm="1">
        <f t="array" ref="E460">_xlfn.IFS(
F460 = "A partir de Abril", "Aguardando Execução na Distribuidora",
A460 = "CAPACITAÇÃO", "Em execução no Corporativo",
TRUE, "Em Execução na Distribuidora"
)</f>
        <v>Em Execução na Distribuidora</v>
      </c>
      <c r="F460" s="4" t="str" cm="1">
        <f t="array" ref="F460">_xlfn.IFS(
AG460 &lt;&gt; "", "Jan-Dez/26",
AH460 &lt;&gt; "", "Fev-Dez/26",
AI460 &lt;&gt; "", "Mar-Dez/26", AJ460 &lt;&gt; "", "Abr-Dez/26",
TRUE, "A partir de Junho"
)</f>
        <v>Abr-Dez/26</v>
      </c>
      <c r="G460" s="4" t="s">
        <v>37</v>
      </c>
      <c r="H460" s="7" t="s">
        <v>54</v>
      </c>
      <c r="I460" s="8" t="s">
        <v>55</v>
      </c>
      <c r="J460" s="8" t="str" cm="1">
        <f t="array" aca="1" ref="J460" ca="1">_xlfn.LET(
  _xlpm.actual_value_month, INDEX(T460:AE460, MATCH(DATE(YEAR(TODAY()), MONTH(TODAY()), 1), $T$1:$AE$1, 0)),
  IF(_xlpm.actual_value_month &lt;&gt; "",_xlpm.actual_value_month &amp; " eventos mensais", "")
)</f>
        <v>2 eventos mensais</v>
      </c>
      <c r="K460" s="8" t="str" cm="1">
        <f t="array" ref="K460">_xlfn.LET(
    _xlpm.sum_month, SUM(T460:AE460),
    IF(_xlpm.sum_month = 0, "", _xlpm.sum_month &amp; "  eventos no ano")
)</f>
        <v>18  eventos no ano</v>
      </c>
      <c r="L460" s="9" t="s">
        <v>82</v>
      </c>
      <c r="M460" s="13" t="s">
        <v>83</v>
      </c>
      <c r="N460" s="5" t="s">
        <v>42</v>
      </c>
      <c r="O460" s="5" t="s">
        <v>43</v>
      </c>
      <c r="P460" s="10" t="s">
        <v>44</v>
      </c>
      <c r="Q460" s="10" t="s">
        <v>44</v>
      </c>
      <c r="R460" s="11" t="s">
        <v>44</v>
      </c>
      <c r="S460" s="11" t="s">
        <v>44</v>
      </c>
      <c r="T460" s="22"/>
      <c r="U460" s="22"/>
      <c r="V460" s="22"/>
      <c r="W460" s="143">
        <v>2</v>
      </c>
      <c r="X460" s="143">
        <v>2</v>
      </c>
      <c r="Y460" s="143">
        <v>2</v>
      </c>
      <c r="Z460" s="143">
        <v>2</v>
      </c>
      <c r="AA460" s="143">
        <v>2</v>
      </c>
      <c r="AB460" s="143">
        <v>2</v>
      </c>
      <c r="AC460" s="143">
        <v>2</v>
      </c>
      <c r="AD460" s="143">
        <v>2</v>
      </c>
      <c r="AE460" s="143">
        <v>2</v>
      </c>
      <c r="AG460" s="71"/>
      <c r="AH460" s="71"/>
      <c r="AI460" s="71"/>
      <c r="AJ460" s="82">
        <v>0</v>
      </c>
      <c r="AK460" s="71"/>
      <c r="AL460" s="71"/>
      <c r="AM460" s="71"/>
      <c r="AN460" s="71"/>
      <c r="AO460" s="71"/>
      <c r="AP460" s="71"/>
      <c r="AQ460" s="71"/>
      <c r="AR460" s="71"/>
      <c r="AS460" s="94">
        <f t="shared" ref="AS460:AS469" ca="1" si="786">IF(MONTH(TODAY())=3,SUM(T460:U460),IF(MONTH(TODAY())=4,SUM(T460:V460),IF(MONTH(TODAY())=5,SUM(T460:W460),IF(MONTH(TODAY())=6,SUM(T460:X460),IF(MONTH(TODAY())=7,SUM(T460:Y460),IF(MONTH(TODAY())=8,SUM(T460:Z460),IF(MONTH(TODAY())=9,SUM(T460:AA460),IF(MONTH(TODAY())=10,SUM(T460:AB460),IF(MONTH(TODAY())=11,SUM(T460:AC460),IF(MONTH(TODAY())=12,SUM(T460:AD460),IF(MONTH(TODAY())=1,SUM(T460:AE460),T460)))))))))))</f>
        <v>4</v>
      </c>
      <c r="AT460" s="95">
        <f t="shared" ref="AT460:AT469" si="787">SUM(IF(AW460&lt;1.15,AG460,1.15*T460),IF(AX460&lt;1.15,AH460,1.15*U460),IF(AY460&lt;1.15,AI460,1.15*V460),IF(AZ460&lt;1.15,AJ460,1.15*W460),IF(BA460&lt;1.15,AK460,1.15*X460),IF(BB460&lt;1.15,AL460,1.15*Y460),IF(BC460&lt;1.15,AM460,1.15*Z460),IF(BD460&lt;1.15,AN460,1.15*AA460),IF(BE460&lt;1.15,AO460,1.15*AB460),IF(BF460&lt;1.15,AP460,1.15*AC460),IF(BG460&lt;1.15,AQ460,1.15*AD460),IF(BH460&lt;1.15,AR460,1.15*AE460))</f>
        <v>0</v>
      </c>
      <c r="AU460" s="97">
        <f t="shared" ref="AU460:AU469" si="788">SUM(AG460:AR460)</f>
        <v>0</v>
      </c>
      <c r="AW460" s="51">
        <f t="shared" ref="AW460:AW469" si="789">IFERROR(IF(AG460="",0,AG460/T460),0)</f>
        <v>0</v>
      </c>
      <c r="AX460" s="51">
        <f t="shared" ref="AX460:AX469" si="790">IFERROR(IF(AH460="",0,AH460/U460),0)</f>
        <v>0</v>
      </c>
      <c r="AY460" s="51">
        <f t="shared" ref="AY460:AY469" si="791">IFERROR(IF(AI460="",0,AI460/V460),0)</f>
        <v>0</v>
      </c>
      <c r="AZ460" s="51">
        <f t="shared" ref="AZ460:AZ469" si="792">IFERROR(IF(AJ460="",0,AJ460/W460),0)</f>
        <v>0</v>
      </c>
      <c r="BA460" s="51">
        <f t="shared" ref="BA460:BA469" si="793">IFERROR(IF(AK460="",0,AK460/X460),0)</f>
        <v>0</v>
      </c>
      <c r="BB460" s="51"/>
      <c r="BC460" s="51"/>
      <c r="BD460" s="51"/>
      <c r="BE460" s="51"/>
      <c r="BF460" s="51"/>
      <c r="BG460" s="51"/>
      <c r="BH460" s="51"/>
      <c r="BI460" s="65" cm="1">
        <f t="array" ref="BI460">IFERROR(INDEX(AW460:BH460,1,MATCH(2,1/(AW460:BH460&lt;&gt;""))),"")</f>
        <v>0</v>
      </c>
      <c r="BJ460" s="68" cm="1">
        <f t="array" ref="BJ460">IF(BM460 = "", "",IFERROR(INDEX(AW460:BH460,1,MATCH(2,1/(AW460:BH460&lt;&gt;""),1)-1),""))</f>
        <v>0</v>
      </c>
      <c r="BK460" s="58">
        <f>IF((IF(AW460&gt;=115%,115%,AW460) + IF(AX460&gt;=115%,115%,AX460) + IF(AY460&gt;=115%,115%,AY460) + (IF(AZ460&gt;=200%,200%,AZ460) + IF(BA460&gt;=120%,120%,BA460) + IF(BB460&gt;=115%,115%,BB460) + IF(BC460&gt;=115%,115%,BC460) + IF(BD460&gt;=115%,115%,BD460) + IF(BE460&gt;=115%,115%,BE460) + IF(BF460&gt;=115%,115%,BF460) + IF(BG460&gt;=115%,115%,BG460) + IF(BH460&gt;=115%,115%,BH460)))/_xlfn.XLOOKUP(F460,Apuração!A:A,Apuração!B:B)&gt;=1.15,1.15,((IF(AZ460&gt;=200%,200%,AZ460) + IF(AX460&gt;=115%,115%,AX460) + IF(AY460&gt;=115%,115%,AY460) + (IF(AW460&gt;=115%,115%,AW460) + IF(BA460&gt;=120%,120%,BA460) + IF(BB460&gt;=115%,115%,BB460) + IF(BC460&gt;=115%,115%,BC460) + IF(BD460&gt;=115%,115%,BD460) + IF(BE460&gt;=115%,115%,BE460) + IF(BF460&gt;=115%,115%,BF460) + IF(BG460&gt;=115%,115%,BG460) + IF(BH460&gt;=115%,115%,BH460)))/_xlfn.XLOOKUP(F460,Apuração!A:A,Apuração!B:B)))</f>
        <v>0</v>
      </c>
      <c r="BL460" s="58" cm="1">
        <f t="array" aca="1" ref="BL460" ca="1">IF(SUM(IFERROR(IF(INDEX(AW460:INDEX(AW460:BH460, MATCH(2, 1/(AW460:BH460&lt;&gt;""), 1)-1), ROW(INDIRECT("1:" &amp; MATCH(2, 1/(AW460:BH460&lt;&gt;""), 1)-1))) &gt;= 115%, 115%, INDEX(AW460:INDEX(AW460:BH460, MATCH(2, 1/(AW460:BH460&lt;&gt;""), 1)-1), ROW(INDIRECT("1:" &amp; MATCH(2, 1/(AW460:BH460&lt;&gt;""), 1)-1)))), 0))/_xlfn.XLOOKUP(F460,Apuração!A:A,Apuração!B:B)&gt;=1.15,1.15,SUM(IFERROR(IF(INDEX(AW460:INDEX(AW460:BH460, MATCH(2, 1/(AW460:BH460&lt;&gt;""), 1)-1), ROW(INDIRECT("1:" &amp; MATCH(2, 1/(AW460:BH460&lt;&gt;""), 1)-1))) &gt;= 115%, 115%, INDEX(AW460:INDEX(AW460:BH460, MATCH(2, 1/(AW460:BH460&lt;&gt;""), 1)-1), ROW(INDIRECT("1:" &amp; MATCH(2, 1/(AW460:BH460&lt;&gt;""), 1)-1)))), 0))/_xlfn.XLOOKUP(F460,Apuração!A:A,Apuração!B:B))</f>
        <v>0</v>
      </c>
      <c r="BM460" s="55" cm="1">
        <f t="array" ref="BM460">IFERROR(
   INDEX($AW$1:$BH$1,
      _xlfn.AGGREGATE(14, 6, COLUMN($AW$1:$BH$1)/(AW460:BH460&lt;&gt;""), 2) - COLUMN($AW$1) + 1
   ),
"")</f>
        <v>46113</v>
      </c>
      <c r="BN460" s="55" cm="1">
        <f t="array" ref="BN460">IFERROR(INDEX($AW$1:$BH$1,1,MATCH(2,1/(AW460:BH460&lt;&gt;""))),"")</f>
        <v>46143</v>
      </c>
      <c r="BO460" s="53">
        <f ca="1">IFERROR(_xlfn.XLOOKUP(F460,Apuração!A:A,Apuração!C:C)/_xlfn.XLOOKUP(F460,Apuração!A:A,Apuração!B:B),0)</f>
        <v>0.22222222222222221</v>
      </c>
      <c r="BP460" s="53">
        <f ca="1">IFERROR(_xlfn.XLOOKUP(F460,Apuração!A:A,Apuração!D:D)/_xlfn.XLOOKUP(F460,Apuração!A:A,Apuração!B:B),0)</f>
        <v>0.1111111111111111</v>
      </c>
      <c r="BQ460" s="53">
        <f ca="1">IF(BK460&gt;=BO460,0,_xlfn.XLOOKUP(F460,Apuração!A:A,Apuração!B:B)*(BO460 + (1/_xlfn.XLOOKUP(F460,Apuração!A:A,Apuração!B:B)) - BK460))</f>
        <v>3</v>
      </c>
      <c r="BR460" s="85">
        <f t="shared" ref="BR460:BR469" ca="1" si="794">IF(BQ460=0,0,BQ460*Z460)</f>
        <v>6</v>
      </c>
      <c r="BS460" s="53">
        <f ca="1">IFERROR((_xlfn.XLOOKUP(F460,Apuração!A:A,Apuração!C:C)+1)/_xlfn.XLOOKUP(F460,Apuração!A:A,Apuração!B:B),0)</f>
        <v>0.33333333333333331</v>
      </c>
    </row>
    <row r="461" spans="1:71" ht="25.95" hidden="1" customHeight="1" x14ac:dyDescent="0.3">
      <c r="A461" s="3" t="s">
        <v>33</v>
      </c>
      <c r="B461" s="4" t="s">
        <v>81</v>
      </c>
      <c r="C461" s="5" t="s">
        <v>97</v>
      </c>
      <c r="D461" s="5" t="s">
        <v>99</v>
      </c>
      <c r="E461" s="4" t="str" cm="1">
        <f t="array" ref="E461">_xlfn.IFS(
F461 = "A partir de Abril", "Aguardando Execução na Distribuidora",
A461 = "CAPACITAÇÃO", "Em execução no Corporativo",
TRUE, "Em Execução na Distribuidora"
)</f>
        <v>Em Execução na Distribuidora</v>
      </c>
      <c r="F461" s="4" t="str" cm="1">
        <f t="array" ref="F461">_xlfn.IFS(
AG461 &lt;&gt; "", "Jan-Dez/26",
AH461 &lt;&gt; "", "Fev-Dez/26",
AI461 &lt;&gt; "", "Mar-Dez/26", AJ461 &lt;&gt; "", "Abr-Dez/26",
TRUE, "A partir de Junho"
)</f>
        <v>Abr-Dez/26</v>
      </c>
      <c r="G461" s="4" t="s">
        <v>37</v>
      </c>
      <c r="H461" s="7" t="s">
        <v>54</v>
      </c>
      <c r="I461" s="8" t="s">
        <v>55</v>
      </c>
      <c r="J461" s="8" t="str" cm="1">
        <f t="array" aca="1" ref="J461" ca="1">_xlfn.LET(
  _xlpm.actual_value_month, INDEX(T461:AE461, MATCH(DATE(YEAR(TODAY()), MONTH(TODAY()), 1), $T$1:$AE$1, 0)),
  IF(_xlpm.actual_value_month &lt;&gt; "",_xlpm.actual_value_month &amp; " eventos mensais", "")
)</f>
        <v>2 eventos mensais</v>
      </c>
      <c r="K461" s="8" t="str" cm="1">
        <f t="array" ref="K461">_xlfn.LET(
    _xlpm.sum_month, SUM(T461:AE461),
    IF(_xlpm.sum_month = 0, "", _xlpm.sum_month &amp; "  eventos no ano")
)</f>
        <v>18  eventos no ano</v>
      </c>
      <c r="L461" s="9" t="s">
        <v>82</v>
      </c>
      <c r="M461" s="13" t="s">
        <v>83</v>
      </c>
      <c r="N461" s="5" t="s">
        <v>42</v>
      </c>
      <c r="O461" s="5" t="s">
        <v>43</v>
      </c>
      <c r="P461" s="10" t="s">
        <v>44</v>
      </c>
      <c r="Q461" s="10" t="s">
        <v>44</v>
      </c>
      <c r="R461" s="11" t="s">
        <v>44</v>
      </c>
      <c r="S461" s="11" t="s">
        <v>44</v>
      </c>
      <c r="T461" s="22"/>
      <c r="U461" s="22"/>
      <c r="V461" s="22"/>
      <c r="W461" s="143">
        <v>2</v>
      </c>
      <c r="X461" s="143">
        <v>2</v>
      </c>
      <c r="Y461" s="143">
        <v>2</v>
      </c>
      <c r="Z461" s="143">
        <v>2</v>
      </c>
      <c r="AA461" s="143">
        <v>2</v>
      </c>
      <c r="AB461" s="143">
        <v>2</v>
      </c>
      <c r="AC461" s="143">
        <v>2</v>
      </c>
      <c r="AD461" s="143">
        <v>2</v>
      </c>
      <c r="AE461" s="143">
        <v>2</v>
      </c>
      <c r="AG461" s="71"/>
      <c r="AH461" s="71"/>
      <c r="AI461" s="71"/>
      <c r="AJ461" s="82">
        <v>0</v>
      </c>
      <c r="AK461" s="71"/>
      <c r="AL461" s="71"/>
      <c r="AM461" s="71"/>
      <c r="AN461" s="71"/>
      <c r="AO461" s="71"/>
      <c r="AP461" s="71"/>
      <c r="AQ461" s="71"/>
      <c r="AR461" s="71"/>
      <c r="AS461" s="94">
        <f t="shared" ca="1" si="786"/>
        <v>4</v>
      </c>
      <c r="AT461" s="95">
        <f t="shared" si="787"/>
        <v>0</v>
      </c>
      <c r="AU461" s="97">
        <f t="shared" si="788"/>
        <v>0</v>
      </c>
      <c r="AW461" s="51">
        <f t="shared" si="789"/>
        <v>0</v>
      </c>
      <c r="AX461" s="51">
        <f t="shared" si="790"/>
        <v>0</v>
      </c>
      <c r="AY461" s="51">
        <f t="shared" si="791"/>
        <v>0</v>
      </c>
      <c r="AZ461" s="51">
        <f t="shared" si="792"/>
        <v>0</v>
      </c>
      <c r="BA461" s="51">
        <f t="shared" si="793"/>
        <v>0</v>
      </c>
      <c r="BB461" s="51"/>
      <c r="BC461" s="51"/>
      <c r="BD461" s="51"/>
      <c r="BE461" s="51"/>
      <c r="BF461" s="51"/>
      <c r="BG461" s="51"/>
      <c r="BH461" s="51"/>
      <c r="BI461" s="65" cm="1">
        <f t="array" ref="BI461">IFERROR(INDEX(AW461:BH461,1,MATCH(2,1/(AW461:BH461&lt;&gt;""))),"")</f>
        <v>0</v>
      </c>
      <c r="BJ461" s="68" cm="1">
        <f t="array" ref="BJ461">IF(BM461 = "", "",IFERROR(INDEX(AW461:BH461,1,MATCH(2,1/(AW461:BH461&lt;&gt;""),1)-1),""))</f>
        <v>0</v>
      </c>
      <c r="BK461" s="58">
        <f>IF((IF(AW461&gt;=115%,115%,AW461) + IF(AX461&gt;=115%,115%,AX461) + IF(AY461&gt;=115%,115%,AY461) + (IF(AZ461&gt;=200%,200%,AZ461) + IF(BA461&gt;=120%,120%,BA461) + IF(BB461&gt;=115%,115%,BB461) + IF(BC461&gt;=115%,115%,BC461) + IF(BD461&gt;=115%,115%,BD461) + IF(BE461&gt;=115%,115%,BE461) + IF(BF461&gt;=115%,115%,BF461) + IF(BG461&gt;=115%,115%,BG461) + IF(BH461&gt;=115%,115%,BH461)))/_xlfn.XLOOKUP(F461,Apuração!A:A,Apuração!B:B)&gt;=1.15,1.15,((IF(AZ461&gt;=200%,200%,AZ461) + IF(AX461&gt;=115%,115%,AX461) + IF(AY461&gt;=115%,115%,AY461) + (IF(AW461&gt;=115%,115%,AW461) + IF(BA461&gt;=120%,120%,BA461) + IF(BB461&gt;=115%,115%,BB461) + IF(BC461&gt;=115%,115%,BC461) + IF(BD461&gt;=115%,115%,BD461) + IF(BE461&gt;=115%,115%,BE461) + IF(BF461&gt;=115%,115%,BF461) + IF(BG461&gt;=115%,115%,BG461) + IF(BH461&gt;=115%,115%,BH461)))/_xlfn.XLOOKUP(F461,Apuração!A:A,Apuração!B:B)))</f>
        <v>0</v>
      </c>
      <c r="BL461" s="58" cm="1">
        <f t="array" aca="1" ref="BL461" ca="1">IF(SUM(IFERROR(IF(INDEX(AW461:INDEX(AW461:BH461, MATCH(2, 1/(AW461:BH461&lt;&gt;""), 1)-1), ROW(INDIRECT("1:" &amp; MATCH(2, 1/(AW461:BH461&lt;&gt;""), 1)-1))) &gt;= 115%, 115%, INDEX(AW461:INDEX(AW461:BH461, MATCH(2, 1/(AW461:BH461&lt;&gt;""), 1)-1), ROW(INDIRECT("1:" &amp; MATCH(2, 1/(AW461:BH461&lt;&gt;""), 1)-1)))), 0))/_xlfn.XLOOKUP(F461,Apuração!A:A,Apuração!B:B)&gt;=1.15,1.15,SUM(IFERROR(IF(INDEX(AW461:INDEX(AW461:BH461, MATCH(2, 1/(AW461:BH461&lt;&gt;""), 1)-1), ROW(INDIRECT("1:" &amp; MATCH(2, 1/(AW461:BH461&lt;&gt;""), 1)-1))) &gt;= 115%, 115%, INDEX(AW461:INDEX(AW461:BH461, MATCH(2, 1/(AW461:BH461&lt;&gt;""), 1)-1), ROW(INDIRECT("1:" &amp; MATCH(2, 1/(AW461:BH461&lt;&gt;""), 1)-1)))), 0))/_xlfn.XLOOKUP(F461,Apuração!A:A,Apuração!B:B))</f>
        <v>0</v>
      </c>
      <c r="BM461" s="55" cm="1">
        <f t="array" ref="BM461">IFERROR(
   INDEX($AW$1:$BH$1,
      _xlfn.AGGREGATE(14, 6, COLUMN($AW$1:$BH$1)/(AW461:BH461&lt;&gt;""), 2) - COLUMN($AW$1) + 1
   ),
"")</f>
        <v>46113</v>
      </c>
      <c r="BN461" s="55" cm="1">
        <f t="array" ref="BN461">IFERROR(INDEX($AW$1:$BH$1,1,MATCH(2,1/(AW461:BH461&lt;&gt;""))),"")</f>
        <v>46143</v>
      </c>
      <c r="BO461" s="53">
        <f ca="1">IFERROR(_xlfn.XLOOKUP(F461,Apuração!A:A,Apuração!C:C)/_xlfn.XLOOKUP(F461,Apuração!A:A,Apuração!B:B),0)</f>
        <v>0.22222222222222221</v>
      </c>
      <c r="BP461" s="53">
        <f ca="1">IFERROR(_xlfn.XLOOKUP(F461,Apuração!A:A,Apuração!D:D)/_xlfn.XLOOKUP(F461,Apuração!A:A,Apuração!B:B),0)</f>
        <v>0.1111111111111111</v>
      </c>
      <c r="BQ461" s="53">
        <f ca="1">IF(BK461&gt;=BO461,0,_xlfn.XLOOKUP(F461,Apuração!A:A,Apuração!B:B)*(BO461 + (1/_xlfn.XLOOKUP(F461,Apuração!A:A,Apuração!B:B)) - BK461))</f>
        <v>3</v>
      </c>
      <c r="BR461" s="85">
        <f t="shared" ca="1" si="794"/>
        <v>6</v>
      </c>
      <c r="BS461" s="53">
        <f ca="1">IFERROR((_xlfn.XLOOKUP(F461,Apuração!A:A,Apuração!C:C)+1)/_xlfn.XLOOKUP(F461,Apuração!A:A,Apuração!B:B),0)</f>
        <v>0.33333333333333331</v>
      </c>
    </row>
    <row r="462" spans="1:71" ht="25.95" hidden="1" customHeight="1" x14ac:dyDescent="0.3">
      <c r="A462" s="3" t="s">
        <v>33</v>
      </c>
      <c r="B462" s="4" t="s">
        <v>81</v>
      </c>
      <c r="C462" s="5" t="s">
        <v>97</v>
      </c>
      <c r="D462" s="5" t="s">
        <v>100</v>
      </c>
      <c r="E462" s="4" t="str" cm="1">
        <f t="array" ref="E462">_xlfn.IFS(
F462 = "A partir de Abril", "Aguardando Execução na Distribuidora",
A462 = "CAPACITAÇÃO", "Em execução no Corporativo",
TRUE, "Em Execução na Distribuidora"
)</f>
        <v>Em Execução na Distribuidora</v>
      </c>
      <c r="F462" s="4" t="str" cm="1">
        <f t="array" ref="F462">_xlfn.IFS(
AG462 &lt;&gt; "", "Jan-Dez/26",
AH462 &lt;&gt; "", "Fev-Dez/26",
AI462 &lt;&gt; "", "Mar-Dez/26", AJ462 &lt;&gt; "", "Abr-Dez/26",
TRUE, "A partir de Junho"
)</f>
        <v>Abr-Dez/26</v>
      </c>
      <c r="G462" s="4" t="s">
        <v>37</v>
      </c>
      <c r="H462" s="7" t="s">
        <v>54</v>
      </c>
      <c r="I462" s="8" t="s">
        <v>55</v>
      </c>
      <c r="J462" s="8" t="str" cm="1">
        <f t="array" aca="1" ref="J462" ca="1">_xlfn.LET(
  _xlpm.actual_value_month, INDEX(T462:AE462, MATCH(DATE(YEAR(TODAY()), MONTH(TODAY()), 1), $T$1:$AE$1, 0)),
  IF(_xlpm.actual_value_month &lt;&gt; "",_xlpm.actual_value_month &amp; " eventos mensais", "")
)</f>
        <v>2 eventos mensais</v>
      </c>
      <c r="K462" s="8" t="str" cm="1">
        <f t="array" ref="K462">_xlfn.LET(
    _xlpm.sum_month, SUM(T462:AE462),
    IF(_xlpm.sum_month = 0, "", _xlpm.sum_month &amp; "  eventos no ano")
)</f>
        <v>18  eventos no ano</v>
      </c>
      <c r="L462" s="9" t="s">
        <v>82</v>
      </c>
      <c r="M462" s="13" t="s">
        <v>83</v>
      </c>
      <c r="N462" s="5" t="s">
        <v>42</v>
      </c>
      <c r="O462" s="5" t="s">
        <v>43</v>
      </c>
      <c r="P462" s="10" t="s">
        <v>44</v>
      </c>
      <c r="Q462" s="10" t="s">
        <v>44</v>
      </c>
      <c r="R462" s="11" t="s">
        <v>44</v>
      </c>
      <c r="S462" s="11" t="s">
        <v>44</v>
      </c>
      <c r="T462" s="22"/>
      <c r="U462" s="22"/>
      <c r="V462" s="22"/>
      <c r="W462" s="143">
        <v>2</v>
      </c>
      <c r="X462" s="143">
        <v>2</v>
      </c>
      <c r="Y462" s="143">
        <v>2</v>
      </c>
      <c r="Z462" s="143">
        <v>2</v>
      </c>
      <c r="AA462" s="143">
        <v>2</v>
      </c>
      <c r="AB462" s="143">
        <v>2</v>
      </c>
      <c r="AC462" s="143">
        <v>2</v>
      </c>
      <c r="AD462" s="143">
        <v>2</v>
      </c>
      <c r="AE462" s="143">
        <v>2</v>
      </c>
      <c r="AG462" s="71"/>
      <c r="AH462" s="71"/>
      <c r="AI462" s="71"/>
      <c r="AJ462" s="82">
        <v>0</v>
      </c>
      <c r="AK462" s="71"/>
      <c r="AL462" s="71"/>
      <c r="AM462" s="71"/>
      <c r="AN462" s="71"/>
      <c r="AO462" s="71"/>
      <c r="AP462" s="71"/>
      <c r="AQ462" s="71"/>
      <c r="AR462" s="71"/>
      <c r="AS462" s="94">
        <f t="shared" ca="1" si="786"/>
        <v>4</v>
      </c>
      <c r="AT462" s="95">
        <f t="shared" si="787"/>
        <v>0</v>
      </c>
      <c r="AU462" s="97">
        <f t="shared" si="788"/>
        <v>0</v>
      </c>
      <c r="AW462" s="51">
        <f t="shared" si="789"/>
        <v>0</v>
      </c>
      <c r="AX462" s="51">
        <f t="shared" si="790"/>
        <v>0</v>
      </c>
      <c r="AY462" s="51">
        <f t="shared" si="791"/>
        <v>0</v>
      </c>
      <c r="AZ462" s="51">
        <f t="shared" si="792"/>
        <v>0</v>
      </c>
      <c r="BA462" s="51">
        <f t="shared" si="793"/>
        <v>0</v>
      </c>
      <c r="BB462" s="51"/>
      <c r="BC462" s="51"/>
      <c r="BD462" s="51"/>
      <c r="BE462" s="51"/>
      <c r="BF462" s="51"/>
      <c r="BG462" s="51"/>
      <c r="BH462" s="51"/>
      <c r="BI462" s="65" cm="1">
        <f t="array" ref="BI462">IFERROR(INDEX(AW462:BH462,1,MATCH(2,1/(AW462:BH462&lt;&gt;""))),"")</f>
        <v>0</v>
      </c>
      <c r="BJ462" s="68" cm="1">
        <f t="array" ref="BJ462">IF(BM462 = "", "",IFERROR(INDEX(AW462:BH462,1,MATCH(2,1/(AW462:BH462&lt;&gt;""),1)-1),""))</f>
        <v>0</v>
      </c>
      <c r="BK462" s="58">
        <f>IF((IF(AW462&gt;=115%,115%,AW462) + IF(AX462&gt;=115%,115%,AX462) + IF(AY462&gt;=115%,115%,AY462) + (IF(AZ462&gt;=200%,200%,AZ462) + IF(BA462&gt;=120%,120%,BA462) + IF(BB462&gt;=115%,115%,BB462) + IF(BC462&gt;=115%,115%,BC462) + IF(BD462&gt;=115%,115%,BD462) + IF(BE462&gt;=115%,115%,BE462) + IF(BF462&gt;=115%,115%,BF462) + IF(BG462&gt;=115%,115%,BG462) + IF(BH462&gt;=115%,115%,BH462)))/_xlfn.XLOOKUP(F462,Apuração!A:A,Apuração!B:B)&gt;=1.15,1.15,((IF(AZ462&gt;=200%,200%,AZ462) + IF(AX462&gt;=115%,115%,AX462) + IF(AY462&gt;=115%,115%,AY462) + (IF(AW462&gt;=115%,115%,AW462) + IF(BA462&gt;=120%,120%,BA462) + IF(BB462&gt;=115%,115%,BB462) + IF(BC462&gt;=115%,115%,BC462) + IF(BD462&gt;=115%,115%,BD462) + IF(BE462&gt;=115%,115%,BE462) + IF(BF462&gt;=115%,115%,BF462) + IF(BG462&gt;=115%,115%,BG462) + IF(BH462&gt;=115%,115%,BH462)))/_xlfn.XLOOKUP(F462,Apuração!A:A,Apuração!B:B)))</f>
        <v>0</v>
      </c>
      <c r="BL462" s="58" cm="1">
        <f t="array" aca="1" ref="BL462" ca="1">IF(SUM(IFERROR(IF(INDEX(AW462:INDEX(AW462:BH462, MATCH(2, 1/(AW462:BH462&lt;&gt;""), 1)-1), ROW(INDIRECT("1:" &amp; MATCH(2, 1/(AW462:BH462&lt;&gt;""), 1)-1))) &gt;= 115%, 115%, INDEX(AW462:INDEX(AW462:BH462, MATCH(2, 1/(AW462:BH462&lt;&gt;""), 1)-1), ROW(INDIRECT("1:" &amp; MATCH(2, 1/(AW462:BH462&lt;&gt;""), 1)-1)))), 0))/_xlfn.XLOOKUP(F462,Apuração!A:A,Apuração!B:B)&gt;=1.15,1.15,SUM(IFERROR(IF(INDEX(AW462:INDEX(AW462:BH462, MATCH(2, 1/(AW462:BH462&lt;&gt;""), 1)-1), ROW(INDIRECT("1:" &amp; MATCH(2, 1/(AW462:BH462&lt;&gt;""), 1)-1))) &gt;= 115%, 115%, INDEX(AW462:INDEX(AW462:BH462, MATCH(2, 1/(AW462:BH462&lt;&gt;""), 1)-1), ROW(INDIRECT("1:" &amp; MATCH(2, 1/(AW462:BH462&lt;&gt;""), 1)-1)))), 0))/_xlfn.XLOOKUP(F462,Apuração!A:A,Apuração!B:B))</f>
        <v>0</v>
      </c>
      <c r="BM462" s="55" cm="1">
        <f t="array" ref="BM462">IFERROR(
   INDEX($AW$1:$BH$1,
      _xlfn.AGGREGATE(14, 6, COLUMN($AW$1:$BH$1)/(AW462:BH462&lt;&gt;""), 2) - COLUMN($AW$1) + 1
   ),
"")</f>
        <v>46113</v>
      </c>
      <c r="BN462" s="55" cm="1">
        <f t="array" ref="BN462">IFERROR(INDEX($AW$1:$BH$1,1,MATCH(2,1/(AW462:BH462&lt;&gt;""))),"")</f>
        <v>46143</v>
      </c>
      <c r="BO462" s="53">
        <f ca="1">IFERROR(_xlfn.XLOOKUP(F462,Apuração!A:A,Apuração!C:C)/_xlfn.XLOOKUP(F462,Apuração!A:A,Apuração!B:B),0)</f>
        <v>0.22222222222222221</v>
      </c>
      <c r="BP462" s="53">
        <f ca="1">IFERROR(_xlfn.XLOOKUP(F462,Apuração!A:A,Apuração!D:D)/_xlfn.XLOOKUP(F462,Apuração!A:A,Apuração!B:B),0)</f>
        <v>0.1111111111111111</v>
      </c>
      <c r="BQ462" s="53">
        <f ca="1">IF(BK462&gt;=BO462,0,_xlfn.XLOOKUP(F462,Apuração!A:A,Apuração!B:B)*(BO462 + (1/_xlfn.XLOOKUP(F462,Apuração!A:A,Apuração!B:B)) - BK462))</f>
        <v>3</v>
      </c>
      <c r="BR462" s="85">
        <f t="shared" ca="1" si="794"/>
        <v>6</v>
      </c>
      <c r="BS462" s="53">
        <f ca="1">IFERROR((_xlfn.XLOOKUP(F462,Apuração!A:A,Apuração!C:C)+1)/_xlfn.XLOOKUP(F462,Apuração!A:A,Apuração!B:B),0)</f>
        <v>0.33333333333333331</v>
      </c>
    </row>
    <row r="463" spans="1:71" ht="25.95" hidden="1" customHeight="1" x14ac:dyDescent="0.3">
      <c r="A463" s="3" t="s">
        <v>33</v>
      </c>
      <c r="B463" s="4" t="s">
        <v>81</v>
      </c>
      <c r="C463" s="5" t="s">
        <v>97</v>
      </c>
      <c r="D463" s="5" t="s">
        <v>101</v>
      </c>
      <c r="E463" s="4" t="str" cm="1">
        <f t="array" ref="E463">_xlfn.IFS(
F463 = "A partir de Abril", "Aguardando Execução na Distribuidora",
A463 = "CAPACITAÇÃO", "Em execução no Corporativo",
TRUE, "Em Execução na Distribuidora"
)</f>
        <v>Em Execução na Distribuidora</v>
      </c>
      <c r="F463" s="4" t="str" cm="1">
        <f t="array" ref="F463">_xlfn.IFS(
AG463 &lt;&gt; "", "Jan-Dez/26",
AH463 &lt;&gt; "", "Fev-Dez/26",
AI463 &lt;&gt; "", "Mar-Dez/26", AJ463 &lt;&gt; "", "Abr-Dez/26",
TRUE, "A partir de Junho"
)</f>
        <v>Abr-Dez/26</v>
      </c>
      <c r="G463" s="4" t="s">
        <v>37</v>
      </c>
      <c r="H463" s="7" t="s">
        <v>54</v>
      </c>
      <c r="I463" s="8" t="s">
        <v>55</v>
      </c>
      <c r="J463" s="8" t="str" cm="1">
        <f t="array" aca="1" ref="J463" ca="1">_xlfn.LET(
  _xlpm.actual_value_month, INDEX(T463:AE463, MATCH(DATE(YEAR(TODAY()), MONTH(TODAY()), 1), $T$1:$AE$1, 0)),
  IF(_xlpm.actual_value_month &lt;&gt; "",_xlpm.actual_value_month &amp; " eventos mensais", "")
)</f>
        <v>2 eventos mensais</v>
      </c>
      <c r="K463" s="8" t="str" cm="1">
        <f t="array" ref="K463">_xlfn.LET(
    _xlpm.sum_month, SUM(T463:AE463),
    IF(_xlpm.sum_month = 0, "", _xlpm.sum_month &amp; "  eventos no ano")
)</f>
        <v>18  eventos no ano</v>
      </c>
      <c r="L463" s="9" t="s">
        <v>82</v>
      </c>
      <c r="M463" s="13" t="s">
        <v>83</v>
      </c>
      <c r="N463" s="5" t="s">
        <v>42</v>
      </c>
      <c r="O463" s="5" t="s">
        <v>43</v>
      </c>
      <c r="P463" s="10" t="s">
        <v>44</v>
      </c>
      <c r="Q463" s="10" t="s">
        <v>44</v>
      </c>
      <c r="R463" s="11" t="s">
        <v>44</v>
      </c>
      <c r="S463" s="11" t="s">
        <v>44</v>
      </c>
      <c r="T463" s="22"/>
      <c r="U463" s="22"/>
      <c r="V463" s="22"/>
      <c r="W463" s="143">
        <v>2</v>
      </c>
      <c r="X463" s="143">
        <v>2</v>
      </c>
      <c r="Y463" s="143">
        <v>2</v>
      </c>
      <c r="Z463" s="143">
        <v>2</v>
      </c>
      <c r="AA463" s="143">
        <v>2</v>
      </c>
      <c r="AB463" s="143">
        <v>2</v>
      </c>
      <c r="AC463" s="143">
        <v>2</v>
      </c>
      <c r="AD463" s="143">
        <v>2</v>
      </c>
      <c r="AE463" s="143">
        <v>2</v>
      </c>
      <c r="AG463" s="71"/>
      <c r="AH463" s="71"/>
      <c r="AI463" s="71"/>
      <c r="AJ463" s="82">
        <v>0</v>
      </c>
      <c r="AK463" s="71"/>
      <c r="AL463" s="71"/>
      <c r="AM463" s="71"/>
      <c r="AN463" s="71"/>
      <c r="AO463" s="71"/>
      <c r="AP463" s="71"/>
      <c r="AQ463" s="71"/>
      <c r="AR463" s="71"/>
      <c r="AS463" s="94">
        <f t="shared" ca="1" si="786"/>
        <v>4</v>
      </c>
      <c r="AT463" s="95">
        <f t="shared" si="787"/>
        <v>0</v>
      </c>
      <c r="AU463" s="97">
        <f t="shared" si="788"/>
        <v>0</v>
      </c>
      <c r="AW463" s="51">
        <f t="shared" si="789"/>
        <v>0</v>
      </c>
      <c r="AX463" s="51">
        <f t="shared" si="790"/>
        <v>0</v>
      </c>
      <c r="AY463" s="51">
        <f t="shared" si="791"/>
        <v>0</v>
      </c>
      <c r="AZ463" s="51">
        <f t="shared" si="792"/>
        <v>0</v>
      </c>
      <c r="BA463" s="51">
        <f t="shared" si="793"/>
        <v>0</v>
      </c>
      <c r="BB463" s="51"/>
      <c r="BC463" s="51"/>
      <c r="BD463" s="51"/>
      <c r="BE463" s="51"/>
      <c r="BF463" s="51"/>
      <c r="BG463" s="51"/>
      <c r="BH463" s="51"/>
      <c r="BI463" s="65" cm="1">
        <f t="array" ref="BI463">IFERROR(INDEX(AW463:BH463,1,MATCH(2,1/(AW463:BH463&lt;&gt;""))),"")</f>
        <v>0</v>
      </c>
      <c r="BJ463" s="68" cm="1">
        <f t="array" ref="BJ463">IF(BM463 = "", "",IFERROR(INDEX(AW463:BH463,1,MATCH(2,1/(AW463:BH463&lt;&gt;""),1)-1),""))</f>
        <v>0</v>
      </c>
      <c r="BK463" s="58">
        <f>IF((IF(AW463&gt;=115%,115%,AW463) + IF(AX463&gt;=115%,115%,AX463) + IF(AY463&gt;=115%,115%,AY463) + (IF(AZ463&gt;=200%,200%,AZ463) + IF(BA463&gt;=120%,120%,BA463) + IF(BB463&gt;=115%,115%,BB463) + IF(BC463&gt;=115%,115%,BC463) + IF(BD463&gt;=115%,115%,BD463) + IF(BE463&gt;=115%,115%,BE463) + IF(BF463&gt;=115%,115%,BF463) + IF(BG463&gt;=115%,115%,BG463) + IF(BH463&gt;=115%,115%,BH463)))/_xlfn.XLOOKUP(F463,Apuração!A:A,Apuração!B:B)&gt;=1.15,1.15,((IF(AZ463&gt;=200%,200%,AZ463) + IF(AX463&gt;=115%,115%,AX463) + IF(AY463&gt;=115%,115%,AY463) + (IF(AW463&gt;=115%,115%,AW463) + IF(BA463&gt;=120%,120%,BA463) + IF(BB463&gt;=115%,115%,BB463) + IF(BC463&gt;=115%,115%,BC463) + IF(BD463&gt;=115%,115%,BD463) + IF(BE463&gt;=115%,115%,BE463) + IF(BF463&gt;=115%,115%,BF463) + IF(BG463&gt;=115%,115%,BG463) + IF(BH463&gt;=115%,115%,BH463)))/_xlfn.XLOOKUP(F463,Apuração!A:A,Apuração!B:B)))</f>
        <v>0</v>
      </c>
      <c r="BL463" s="58" cm="1">
        <f t="array" aca="1" ref="BL463" ca="1">IF(SUM(IFERROR(IF(INDEX(AW463:INDEX(AW463:BH463, MATCH(2, 1/(AW463:BH463&lt;&gt;""), 1)-1), ROW(INDIRECT("1:" &amp; MATCH(2, 1/(AW463:BH463&lt;&gt;""), 1)-1))) &gt;= 115%, 115%, INDEX(AW463:INDEX(AW463:BH463, MATCH(2, 1/(AW463:BH463&lt;&gt;""), 1)-1), ROW(INDIRECT("1:" &amp; MATCH(2, 1/(AW463:BH463&lt;&gt;""), 1)-1)))), 0))/_xlfn.XLOOKUP(F463,Apuração!A:A,Apuração!B:B)&gt;=1.15,1.15,SUM(IFERROR(IF(INDEX(AW463:INDEX(AW463:BH463, MATCH(2, 1/(AW463:BH463&lt;&gt;""), 1)-1), ROW(INDIRECT("1:" &amp; MATCH(2, 1/(AW463:BH463&lt;&gt;""), 1)-1))) &gt;= 115%, 115%, INDEX(AW463:INDEX(AW463:BH463, MATCH(2, 1/(AW463:BH463&lt;&gt;""), 1)-1), ROW(INDIRECT("1:" &amp; MATCH(2, 1/(AW463:BH463&lt;&gt;""), 1)-1)))), 0))/_xlfn.XLOOKUP(F463,Apuração!A:A,Apuração!B:B))</f>
        <v>0</v>
      </c>
      <c r="BM463" s="55" cm="1">
        <f t="array" ref="BM463">IFERROR(
   INDEX($AW$1:$BH$1,
      _xlfn.AGGREGATE(14, 6, COLUMN($AW$1:$BH$1)/(AW463:BH463&lt;&gt;""), 2) - COLUMN($AW$1) + 1
   ),
"")</f>
        <v>46113</v>
      </c>
      <c r="BN463" s="55" cm="1">
        <f t="array" ref="BN463">IFERROR(INDEX($AW$1:$BH$1,1,MATCH(2,1/(AW463:BH463&lt;&gt;""))),"")</f>
        <v>46143</v>
      </c>
      <c r="BO463" s="53">
        <f ca="1">IFERROR(_xlfn.XLOOKUP(F463,Apuração!A:A,Apuração!C:C)/_xlfn.XLOOKUP(F463,Apuração!A:A,Apuração!B:B),0)</f>
        <v>0.22222222222222221</v>
      </c>
      <c r="BP463" s="53">
        <f ca="1">IFERROR(_xlfn.XLOOKUP(F463,Apuração!A:A,Apuração!D:D)/_xlfn.XLOOKUP(F463,Apuração!A:A,Apuração!B:B),0)</f>
        <v>0.1111111111111111</v>
      </c>
      <c r="BQ463" s="53">
        <f ca="1">IF(BK463&gt;=BO463,0,_xlfn.XLOOKUP(F463,Apuração!A:A,Apuração!B:B)*(BO463 + (1/_xlfn.XLOOKUP(F463,Apuração!A:A,Apuração!B:B)) - BK463))</f>
        <v>3</v>
      </c>
      <c r="BR463" s="85">
        <f t="shared" ca="1" si="794"/>
        <v>6</v>
      </c>
      <c r="BS463" s="53">
        <f ca="1">IFERROR((_xlfn.XLOOKUP(F463,Apuração!A:A,Apuração!C:C)+1)/_xlfn.XLOOKUP(F463,Apuração!A:A,Apuração!B:B),0)</f>
        <v>0.33333333333333331</v>
      </c>
    </row>
    <row r="464" spans="1:71" ht="25.95" hidden="1" customHeight="1" x14ac:dyDescent="0.3">
      <c r="A464" s="3" t="s">
        <v>33</v>
      </c>
      <c r="B464" s="4" t="s">
        <v>81</v>
      </c>
      <c r="C464" s="5" t="s">
        <v>97</v>
      </c>
      <c r="D464" s="5" t="s">
        <v>102</v>
      </c>
      <c r="E464" s="4" t="str" cm="1">
        <f t="array" ref="E464">_xlfn.IFS(
F464 = "A partir de Abril", "Aguardando Execução na Distribuidora",
A464 = "CAPACITAÇÃO", "Em execução no Corporativo",
TRUE, "Em Execução na Distribuidora"
)</f>
        <v>Em Execução na Distribuidora</v>
      </c>
      <c r="F464" s="4" t="str" cm="1">
        <f t="array" ref="F464">_xlfn.IFS(
AG464 &lt;&gt; "", "Jan-Dez/26",
AH464 &lt;&gt; "", "Fev-Dez/26",
AI464 &lt;&gt; "", "Mar-Dez/26", AJ464 &lt;&gt; "", "Abr-Dez/26",
TRUE, "A partir de Junho"
)</f>
        <v>Abr-Dez/26</v>
      </c>
      <c r="G464" s="4" t="s">
        <v>37</v>
      </c>
      <c r="H464" s="7" t="s">
        <v>54</v>
      </c>
      <c r="I464" s="8" t="s">
        <v>55</v>
      </c>
      <c r="J464" s="8" t="str" cm="1">
        <f t="array" aca="1" ref="J464" ca="1">_xlfn.LET(
  _xlpm.actual_value_month, INDEX(T464:AE464, MATCH(DATE(YEAR(TODAY()), MONTH(TODAY()), 1), $T$1:$AE$1, 0)),
  IF(_xlpm.actual_value_month &lt;&gt; "",_xlpm.actual_value_month &amp; " eventos mensais", "")
)</f>
        <v>2 eventos mensais</v>
      </c>
      <c r="K464" s="8" t="str" cm="1">
        <f t="array" ref="K464">_xlfn.LET(
    _xlpm.sum_month, SUM(T464:AE464),
    IF(_xlpm.sum_month = 0, "", _xlpm.sum_month &amp; "  eventos no ano")
)</f>
        <v>18  eventos no ano</v>
      </c>
      <c r="L464" s="9" t="s">
        <v>82</v>
      </c>
      <c r="M464" s="13" t="s">
        <v>83</v>
      </c>
      <c r="N464" s="5" t="s">
        <v>42</v>
      </c>
      <c r="O464" s="5" t="s">
        <v>43</v>
      </c>
      <c r="P464" s="10" t="s">
        <v>44</v>
      </c>
      <c r="Q464" s="10" t="s">
        <v>44</v>
      </c>
      <c r="R464" s="11" t="s">
        <v>44</v>
      </c>
      <c r="S464" s="11" t="s">
        <v>44</v>
      </c>
      <c r="T464" s="22"/>
      <c r="U464" s="22"/>
      <c r="V464" s="22"/>
      <c r="W464" s="143">
        <v>2</v>
      </c>
      <c r="X464" s="143">
        <v>2</v>
      </c>
      <c r="Y464" s="143">
        <v>2</v>
      </c>
      <c r="Z464" s="143">
        <v>2</v>
      </c>
      <c r="AA464" s="143">
        <v>2</v>
      </c>
      <c r="AB464" s="143">
        <v>2</v>
      </c>
      <c r="AC464" s="143">
        <v>2</v>
      </c>
      <c r="AD464" s="143">
        <v>2</v>
      </c>
      <c r="AE464" s="143">
        <v>2</v>
      </c>
      <c r="AG464" s="71"/>
      <c r="AH464" s="71"/>
      <c r="AI464" s="71"/>
      <c r="AJ464" s="82">
        <v>0</v>
      </c>
      <c r="AK464" s="71">
        <v>1</v>
      </c>
      <c r="AL464" s="71"/>
      <c r="AM464" s="71"/>
      <c r="AN464" s="71"/>
      <c r="AO464" s="71"/>
      <c r="AP464" s="71"/>
      <c r="AQ464" s="71"/>
      <c r="AR464" s="71"/>
      <c r="AS464" s="94">
        <f t="shared" ca="1" si="786"/>
        <v>4</v>
      </c>
      <c r="AT464" s="95">
        <f t="shared" si="787"/>
        <v>1</v>
      </c>
      <c r="AU464" s="97">
        <f t="shared" si="788"/>
        <v>1</v>
      </c>
      <c r="AW464" s="51">
        <f t="shared" si="789"/>
        <v>0</v>
      </c>
      <c r="AX464" s="51">
        <f t="shared" si="790"/>
        <v>0</v>
      </c>
      <c r="AY464" s="51">
        <f t="shared" si="791"/>
        <v>0</v>
      </c>
      <c r="AZ464" s="51">
        <f t="shared" si="792"/>
        <v>0</v>
      </c>
      <c r="BA464" s="51">
        <f t="shared" si="793"/>
        <v>0.5</v>
      </c>
      <c r="BB464" s="51"/>
      <c r="BC464" s="51"/>
      <c r="BD464" s="51"/>
      <c r="BE464" s="51"/>
      <c r="BF464" s="51"/>
      <c r="BG464" s="51"/>
      <c r="BH464" s="51"/>
      <c r="BI464" s="65" cm="1">
        <f t="array" ref="BI464">IFERROR(INDEX(AW464:BH464,1,MATCH(2,1/(AW464:BH464&lt;&gt;""))),"")</f>
        <v>0.5</v>
      </c>
      <c r="BJ464" s="68" cm="1">
        <f t="array" ref="BJ464">IF(BM464 = "", "",IFERROR(INDEX(AW464:BH464,1,MATCH(2,1/(AW464:BH464&lt;&gt;""),1)-1),""))</f>
        <v>0</v>
      </c>
      <c r="BK464" s="58">
        <f>IF((IF(AW464&gt;=115%,115%,AW464) + IF(AX464&gt;=115%,115%,AX464) + IF(AY464&gt;=115%,115%,AY464) + (IF(AZ464&gt;=200%,200%,AZ464) + IF(BA464&gt;=120%,120%,BA464) + IF(BB464&gt;=115%,115%,BB464) + IF(BC464&gt;=115%,115%,BC464) + IF(BD464&gt;=115%,115%,BD464) + IF(BE464&gt;=115%,115%,BE464) + IF(BF464&gt;=115%,115%,BF464) + IF(BG464&gt;=115%,115%,BG464) + IF(BH464&gt;=115%,115%,BH464)))/_xlfn.XLOOKUP(F464,Apuração!A:A,Apuração!B:B)&gt;=1.15,1.15,((IF(AZ464&gt;=200%,200%,AZ464) + IF(AX464&gt;=115%,115%,AX464) + IF(AY464&gt;=115%,115%,AY464) + (IF(AW464&gt;=115%,115%,AW464) + IF(BA464&gt;=120%,120%,BA464) + IF(BB464&gt;=115%,115%,BB464) + IF(BC464&gt;=115%,115%,BC464) + IF(BD464&gt;=115%,115%,BD464) + IF(BE464&gt;=115%,115%,BE464) + IF(BF464&gt;=115%,115%,BF464) + IF(BG464&gt;=115%,115%,BG464) + IF(BH464&gt;=115%,115%,BH464)))/_xlfn.XLOOKUP(F464,Apuração!A:A,Apuração!B:B)))</f>
        <v>5.5555555555555552E-2</v>
      </c>
      <c r="BL464" s="58" cm="1">
        <f t="array" aca="1" ref="BL464" ca="1">IF(SUM(IFERROR(IF(INDEX(AW464:INDEX(AW464:BH464, MATCH(2, 1/(AW464:BH464&lt;&gt;""), 1)-1), ROW(INDIRECT("1:" &amp; MATCH(2, 1/(AW464:BH464&lt;&gt;""), 1)-1))) &gt;= 115%, 115%, INDEX(AW464:INDEX(AW464:BH464, MATCH(2, 1/(AW464:BH464&lt;&gt;""), 1)-1), ROW(INDIRECT("1:" &amp; MATCH(2, 1/(AW464:BH464&lt;&gt;""), 1)-1)))), 0))/_xlfn.XLOOKUP(F464,Apuração!A:A,Apuração!B:B)&gt;=1.15,1.15,SUM(IFERROR(IF(INDEX(AW464:INDEX(AW464:BH464, MATCH(2, 1/(AW464:BH464&lt;&gt;""), 1)-1), ROW(INDIRECT("1:" &amp; MATCH(2, 1/(AW464:BH464&lt;&gt;""), 1)-1))) &gt;= 115%, 115%, INDEX(AW464:INDEX(AW464:BH464, MATCH(2, 1/(AW464:BH464&lt;&gt;""), 1)-1), ROW(INDIRECT("1:" &amp; MATCH(2, 1/(AW464:BH464&lt;&gt;""), 1)-1)))), 0))/_xlfn.XLOOKUP(F464,Apuração!A:A,Apuração!B:B))</f>
        <v>0</v>
      </c>
      <c r="BM464" s="55" cm="1">
        <f t="array" ref="BM464">IFERROR(
   INDEX($AW$1:$BH$1,
      _xlfn.AGGREGATE(14, 6, COLUMN($AW$1:$BH$1)/(AW464:BH464&lt;&gt;""), 2) - COLUMN($AW$1) + 1
   ),
"")</f>
        <v>46113</v>
      </c>
      <c r="BN464" s="55" cm="1">
        <f t="array" ref="BN464">IFERROR(INDEX($AW$1:$BH$1,1,MATCH(2,1/(AW464:BH464&lt;&gt;""))),"")</f>
        <v>46143</v>
      </c>
      <c r="BO464" s="53">
        <f ca="1">IFERROR(_xlfn.XLOOKUP(F464,Apuração!A:A,Apuração!C:C)/_xlfn.XLOOKUP(F464,Apuração!A:A,Apuração!B:B),0)</f>
        <v>0.22222222222222221</v>
      </c>
      <c r="BP464" s="53">
        <f ca="1">IFERROR(_xlfn.XLOOKUP(F464,Apuração!A:A,Apuração!D:D)/_xlfn.XLOOKUP(F464,Apuração!A:A,Apuração!B:B),0)</f>
        <v>0.1111111111111111</v>
      </c>
      <c r="BQ464" s="53">
        <f ca="1">IF(BK464&gt;=BO464,0,_xlfn.XLOOKUP(F464,Apuração!A:A,Apuração!B:B)*(BO464 + (1/_xlfn.XLOOKUP(F464,Apuração!A:A,Apuração!B:B)) - BK464))</f>
        <v>2.5</v>
      </c>
      <c r="BR464" s="85">
        <f t="shared" ca="1" si="794"/>
        <v>5</v>
      </c>
      <c r="BS464" s="53">
        <f ca="1">IFERROR((_xlfn.XLOOKUP(F464,Apuração!A:A,Apuração!C:C)+1)/_xlfn.XLOOKUP(F464,Apuração!A:A,Apuração!B:B),0)</f>
        <v>0.33333333333333331</v>
      </c>
    </row>
    <row r="465" spans="1:71" ht="25.95" hidden="1" customHeight="1" x14ac:dyDescent="0.3">
      <c r="A465" s="3" t="s">
        <v>33</v>
      </c>
      <c r="B465" s="4" t="s">
        <v>81</v>
      </c>
      <c r="C465" s="5" t="s">
        <v>97</v>
      </c>
      <c r="D465" s="5" t="s">
        <v>103</v>
      </c>
      <c r="E465" s="4" t="str" cm="1">
        <f t="array" ref="E465">_xlfn.IFS(
F465 = "A partir de Abril", "Aguardando Execução na Distribuidora",
A465 = "CAPACITAÇÃO", "Em execução no Corporativo",
TRUE, "Em Execução na Distribuidora"
)</f>
        <v>Em Execução na Distribuidora</v>
      </c>
      <c r="F465" s="4" t="str" cm="1">
        <f t="array" ref="F465">_xlfn.IFS(
AG465 &lt;&gt; "", "Jan-Dez/26",
AH465 &lt;&gt; "", "Fev-Dez/26",
AI465 &lt;&gt; "", "Mar-Dez/26", AJ465 &lt;&gt; "", "Abr-Dez/26",
TRUE, "A partir de Junho"
)</f>
        <v>Abr-Dez/26</v>
      </c>
      <c r="G465" s="4" t="s">
        <v>37</v>
      </c>
      <c r="H465" s="7" t="s">
        <v>54</v>
      </c>
      <c r="I465" s="8" t="s">
        <v>55</v>
      </c>
      <c r="J465" s="8" t="str" cm="1">
        <f t="array" aca="1" ref="J465" ca="1">_xlfn.LET(
  _xlpm.actual_value_month, INDEX(T465:AE465, MATCH(DATE(YEAR(TODAY()), MONTH(TODAY()), 1), $T$1:$AE$1, 0)),
  IF(_xlpm.actual_value_month &lt;&gt; "",_xlpm.actual_value_month &amp; " eventos mensais", "")
)</f>
        <v>2 eventos mensais</v>
      </c>
      <c r="K465" s="8" t="str" cm="1">
        <f t="array" ref="K465">_xlfn.LET(
    _xlpm.sum_month, SUM(T465:AE465),
    IF(_xlpm.sum_month = 0, "", _xlpm.sum_month &amp; "  eventos no ano")
)</f>
        <v>18  eventos no ano</v>
      </c>
      <c r="L465" s="9" t="s">
        <v>82</v>
      </c>
      <c r="M465" s="13" t="s">
        <v>83</v>
      </c>
      <c r="N465" s="5" t="s">
        <v>42</v>
      </c>
      <c r="O465" s="5" t="s">
        <v>43</v>
      </c>
      <c r="P465" s="10" t="s">
        <v>44</v>
      </c>
      <c r="Q465" s="10" t="s">
        <v>44</v>
      </c>
      <c r="R465" s="11" t="s">
        <v>44</v>
      </c>
      <c r="S465" s="11" t="s">
        <v>44</v>
      </c>
      <c r="T465" s="22"/>
      <c r="U465" s="22"/>
      <c r="V465" s="22"/>
      <c r="W465" s="143">
        <v>2</v>
      </c>
      <c r="X465" s="143">
        <v>2</v>
      </c>
      <c r="Y465" s="143">
        <v>2</v>
      </c>
      <c r="Z465" s="143">
        <v>2</v>
      </c>
      <c r="AA465" s="143">
        <v>2</v>
      </c>
      <c r="AB465" s="143">
        <v>2</v>
      </c>
      <c r="AC465" s="143">
        <v>2</v>
      </c>
      <c r="AD465" s="143">
        <v>2</v>
      </c>
      <c r="AE465" s="143">
        <v>2</v>
      </c>
      <c r="AG465" s="71"/>
      <c r="AH465" s="71"/>
      <c r="AI465" s="71"/>
      <c r="AJ465" s="82">
        <v>0</v>
      </c>
      <c r="AK465" s="71">
        <v>1</v>
      </c>
      <c r="AL465" s="71"/>
      <c r="AM465" s="71"/>
      <c r="AN465" s="71"/>
      <c r="AO465" s="71"/>
      <c r="AP465" s="71"/>
      <c r="AQ465" s="71"/>
      <c r="AR465" s="71"/>
      <c r="AS465" s="94">
        <f t="shared" ca="1" si="786"/>
        <v>4</v>
      </c>
      <c r="AT465" s="95">
        <f t="shared" si="787"/>
        <v>1</v>
      </c>
      <c r="AU465" s="97">
        <f t="shared" si="788"/>
        <v>1</v>
      </c>
      <c r="AW465" s="51">
        <f t="shared" si="789"/>
        <v>0</v>
      </c>
      <c r="AX465" s="51">
        <f t="shared" si="790"/>
        <v>0</v>
      </c>
      <c r="AY465" s="51">
        <f t="shared" si="791"/>
        <v>0</v>
      </c>
      <c r="AZ465" s="51">
        <f t="shared" si="792"/>
        <v>0</v>
      </c>
      <c r="BA465" s="51">
        <f t="shared" si="793"/>
        <v>0.5</v>
      </c>
      <c r="BB465" s="51"/>
      <c r="BC465" s="51"/>
      <c r="BD465" s="51"/>
      <c r="BE465" s="51"/>
      <c r="BF465" s="51"/>
      <c r="BG465" s="51"/>
      <c r="BH465" s="51"/>
      <c r="BI465" s="65" cm="1">
        <f t="array" ref="BI465">IFERROR(INDEX(AW465:BH465,1,MATCH(2,1/(AW465:BH465&lt;&gt;""))),"")</f>
        <v>0.5</v>
      </c>
      <c r="BJ465" s="68" cm="1">
        <f t="array" ref="BJ465">IF(BM465 = "", "",IFERROR(INDEX(AW465:BH465,1,MATCH(2,1/(AW465:BH465&lt;&gt;""),1)-1),""))</f>
        <v>0</v>
      </c>
      <c r="BK465" s="58">
        <f>IF((IF(AW465&gt;=115%,115%,AW465) + IF(AX465&gt;=115%,115%,AX465) + IF(AY465&gt;=115%,115%,AY465) + (IF(AZ465&gt;=200%,200%,AZ465) + IF(BA465&gt;=120%,120%,BA465) + IF(BB465&gt;=115%,115%,BB465) + IF(BC465&gt;=115%,115%,BC465) + IF(BD465&gt;=115%,115%,BD465) + IF(BE465&gt;=115%,115%,BE465) + IF(BF465&gt;=115%,115%,BF465) + IF(BG465&gt;=115%,115%,BG465) + IF(BH465&gt;=115%,115%,BH465)))/_xlfn.XLOOKUP(F465,Apuração!A:A,Apuração!B:B)&gt;=1.15,1.15,((IF(AZ465&gt;=200%,200%,AZ465) + IF(AX465&gt;=115%,115%,AX465) + IF(AY465&gt;=115%,115%,AY465) + (IF(AW465&gt;=115%,115%,AW465) + IF(BA465&gt;=120%,120%,BA465) + IF(BB465&gt;=115%,115%,BB465) + IF(BC465&gt;=115%,115%,BC465) + IF(BD465&gt;=115%,115%,BD465) + IF(BE465&gt;=115%,115%,BE465) + IF(BF465&gt;=115%,115%,BF465) + IF(BG465&gt;=115%,115%,BG465) + IF(BH465&gt;=115%,115%,BH465)))/_xlfn.XLOOKUP(F465,Apuração!A:A,Apuração!B:B)))</f>
        <v>5.5555555555555552E-2</v>
      </c>
      <c r="BL465" s="58" cm="1">
        <f t="array" aca="1" ref="BL465" ca="1">IF(SUM(IFERROR(IF(INDEX(AW465:INDEX(AW465:BH465, MATCH(2, 1/(AW465:BH465&lt;&gt;""), 1)-1), ROW(INDIRECT("1:" &amp; MATCH(2, 1/(AW465:BH465&lt;&gt;""), 1)-1))) &gt;= 115%, 115%, INDEX(AW465:INDEX(AW465:BH465, MATCH(2, 1/(AW465:BH465&lt;&gt;""), 1)-1), ROW(INDIRECT("1:" &amp; MATCH(2, 1/(AW465:BH465&lt;&gt;""), 1)-1)))), 0))/_xlfn.XLOOKUP(F465,Apuração!A:A,Apuração!B:B)&gt;=1.15,1.15,SUM(IFERROR(IF(INDEX(AW465:INDEX(AW465:BH465, MATCH(2, 1/(AW465:BH465&lt;&gt;""), 1)-1), ROW(INDIRECT("1:" &amp; MATCH(2, 1/(AW465:BH465&lt;&gt;""), 1)-1))) &gt;= 115%, 115%, INDEX(AW465:INDEX(AW465:BH465, MATCH(2, 1/(AW465:BH465&lt;&gt;""), 1)-1), ROW(INDIRECT("1:" &amp; MATCH(2, 1/(AW465:BH465&lt;&gt;""), 1)-1)))), 0))/_xlfn.XLOOKUP(F465,Apuração!A:A,Apuração!B:B))</f>
        <v>0</v>
      </c>
      <c r="BM465" s="55" cm="1">
        <f t="array" ref="BM465">IFERROR(
   INDEX($AW$1:$BH$1,
      _xlfn.AGGREGATE(14, 6, COLUMN($AW$1:$BH$1)/(AW465:BH465&lt;&gt;""), 2) - COLUMN($AW$1) + 1
   ),
"")</f>
        <v>46113</v>
      </c>
      <c r="BN465" s="55" cm="1">
        <f t="array" ref="BN465">IFERROR(INDEX($AW$1:$BH$1,1,MATCH(2,1/(AW465:BH465&lt;&gt;""))),"")</f>
        <v>46143</v>
      </c>
      <c r="BO465" s="53">
        <f ca="1">IFERROR(_xlfn.XLOOKUP(F465,Apuração!A:A,Apuração!C:C)/_xlfn.XLOOKUP(F465,Apuração!A:A,Apuração!B:B),0)</f>
        <v>0.22222222222222221</v>
      </c>
      <c r="BP465" s="53">
        <f ca="1">IFERROR(_xlfn.XLOOKUP(F465,Apuração!A:A,Apuração!D:D)/_xlfn.XLOOKUP(F465,Apuração!A:A,Apuração!B:B),0)</f>
        <v>0.1111111111111111</v>
      </c>
      <c r="BQ465" s="53">
        <f ca="1">IF(BK465&gt;=BO465,0,_xlfn.XLOOKUP(F465,Apuração!A:A,Apuração!B:B)*(BO465 + (1/_xlfn.XLOOKUP(F465,Apuração!A:A,Apuração!B:B)) - BK465))</f>
        <v>2.5</v>
      </c>
      <c r="BR465" s="85">
        <f t="shared" ca="1" si="794"/>
        <v>5</v>
      </c>
      <c r="BS465" s="53">
        <f ca="1">IFERROR((_xlfn.XLOOKUP(F465,Apuração!A:A,Apuração!C:C)+1)/_xlfn.XLOOKUP(F465,Apuração!A:A,Apuração!B:B),0)</f>
        <v>0.33333333333333331</v>
      </c>
    </row>
    <row r="466" spans="1:71" ht="25.95" hidden="1" customHeight="1" x14ac:dyDescent="0.3">
      <c r="A466" s="3" t="s">
        <v>33</v>
      </c>
      <c r="B466" s="4" t="s">
        <v>81</v>
      </c>
      <c r="C466" s="5" t="s">
        <v>97</v>
      </c>
      <c r="D466" s="5" t="s">
        <v>104</v>
      </c>
      <c r="E466" s="4" t="str" cm="1">
        <f t="array" ref="E466">_xlfn.IFS(
F466 = "A partir de Abril", "Aguardando Execução na Distribuidora",
A466 = "CAPACITAÇÃO", "Em execução no Corporativo",
TRUE, "Em Execução na Distribuidora"
)</f>
        <v>Em Execução na Distribuidora</v>
      </c>
      <c r="F466" s="4" t="str" cm="1">
        <f t="array" ref="F466">_xlfn.IFS(
AG466 &lt;&gt; "", "Jan-Dez/26",
AH466 &lt;&gt; "", "Fev-Dez/26",
AI466 &lt;&gt; "", "Mar-Dez/26", AJ466 &lt;&gt; "", "Abr-Dez/26",
TRUE, "A partir de Junho"
)</f>
        <v>Abr-Dez/26</v>
      </c>
      <c r="G466" s="4" t="s">
        <v>37</v>
      </c>
      <c r="H466" s="7" t="s">
        <v>54</v>
      </c>
      <c r="I466" s="8" t="s">
        <v>55</v>
      </c>
      <c r="J466" s="8" t="str" cm="1">
        <f t="array" aca="1" ref="J466" ca="1">_xlfn.LET(
  _xlpm.actual_value_month, INDEX(T466:AE466, MATCH(DATE(YEAR(TODAY()), MONTH(TODAY()), 1), $T$1:$AE$1, 0)),
  IF(_xlpm.actual_value_month &lt;&gt; "",_xlpm.actual_value_month &amp; " eventos mensais", "")
)</f>
        <v>2 eventos mensais</v>
      </c>
      <c r="K466" s="8" t="str" cm="1">
        <f t="array" ref="K466">_xlfn.LET(
    _xlpm.sum_month, SUM(T466:AE466),
    IF(_xlpm.sum_month = 0, "", _xlpm.sum_month &amp; "  eventos no ano")
)</f>
        <v>18  eventos no ano</v>
      </c>
      <c r="L466" s="9" t="s">
        <v>82</v>
      </c>
      <c r="M466" s="13" t="s">
        <v>83</v>
      </c>
      <c r="N466" s="5" t="s">
        <v>42</v>
      </c>
      <c r="O466" s="5" t="s">
        <v>43</v>
      </c>
      <c r="P466" s="10" t="s">
        <v>44</v>
      </c>
      <c r="Q466" s="10" t="s">
        <v>44</v>
      </c>
      <c r="R466" s="11" t="s">
        <v>44</v>
      </c>
      <c r="S466" s="11" t="s">
        <v>44</v>
      </c>
      <c r="T466" s="22"/>
      <c r="U466" s="22"/>
      <c r="V466" s="22"/>
      <c r="W466" s="143">
        <v>2</v>
      </c>
      <c r="X466" s="143">
        <v>2</v>
      </c>
      <c r="Y466" s="143">
        <v>2</v>
      </c>
      <c r="Z466" s="143">
        <v>2</v>
      </c>
      <c r="AA466" s="143">
        <v>2</v>
      </c>
      <c r="AB466" s="143">
        <v>2</v>
      </c>
      <c r="AC466" s="143">
        <v>2</v>
      </c>
      <c r="AD466" s="143">
        <v>2</v>
      </c>
      <c r="AE466" s="143">
        <v>2</v>
      </c>
      <c r="AG466" s="71"/>
      <c r="AH466" s="71"/>
      <c r="AI466" s="71"/>
      <c r="AJ466" s="82">
        <v>0</v>
      </c>
      <c r="AK466" s="71"/>
      <c r="AL466" s="71"/>
      <c r="AM466" s="71"/>
      <c r="AN466" s="71"/>
      <c r="AO466" s="71"/>
      <c r="AP466" s="71"/>
      <c r="AQ466" s="71"/>
      <c r="AR466" s="71"/>
      <c r="AS466" s="94">
        <f t="shared" ca="1" si="786"/>
        <v>4</v>
      </c>
      <c r="AT466" s="95">
        <f t="shared" si="787"/>
        <v>0</v>
      </c>
      <c r="AU466" s="97">
        <f t="shared" si="788"/>
        <v>0</v>
      </c>
      <c r="AW466" s="51">
        <f t="shared" si="789"/>
        <v>0</v>
      </c>
      <c r="AX466" s="51">
        <f t="shared" si="790"/>
        <v>0</v>
      </c>
      <c r="AY466" s="51">
        <f t="shared" si="791"/>
        <v>0</v>
      </c>
      <c r="AZ466" s="51">
        <f t="shared" si="792"/>
        <v>0</v>
      </c>
      <c r="BA466" s="51">
        <f t="shared" si="793"/>
        <v>0</v>
      </c>
      <c r="BB466" s="51"/>
      <c r="BC466" s="51"/>
      <c r="BD466" s="51"/>
      <c r="BE466" s="51"/>
      <c r="BF466" s="51"/>
      <c r="BG466" s="51"/>
      <c r="BH466" s="51"/>
      <c r="BI466" s="65" cm="1">
        <f t="array" ref="BI466">IFERROR(INDEX(AW466:BH466,1,MATCH(2,1/(AW466:BH466&lt;&gt;""))),"")</f>
        <v>0</v>
      </c>
      <c r="BJ466" s="68" cm="1">
        <f t="array" ref="BJ466">IF(BM466 = "", "",IFERROR(INDEX(AW466:BH466,1,MATCH(2,1/(AW466:BH466&lt;&gt;""),1)-1),""))</f>
        <v>0</v>
      </c>
      <c r="BK466" s="58">
        <f>IF((IF(AW466&gt;=115%,115%,AW466) + IF(AX466&gt;=115%,115%,AX466) + IF(AY466&gt;=115%,115%,AY466) + (IF(AZ466&gt;=200%,200%,AZ466) + IF(BA466&gt;=120%,120%,BA466) + IF(BB466&gt;=115%,115%,BB466) + IF(BC466&gt;=115%,115%,BC466) + IF(BD466&gt;=115%,115%,BD466) + IF(BE466&gt;=115%,115%,BE466) + IF(BF466&gt;=115%,115%,BF466) + IF(BG466&gt;=115%,115%,BG466) + IF(BH466&gt;=115%,115%,BH466)))/_xlfn.XLOOKUP(F466,Apuração!A:A,Apuração!B:B)&gt;=1.15,1.15,((IF(AZ466&gt;=200%,200%,AZ466) + IF(AX466&gt;=115%,115%,AX466) + IF(AY466&gt;=115%,115%,AY466) + (IF(AW466&gt;=115%,115%,AW466) + IF(BA466&gt;=120%,120%,BA466) + IF(BB466&gt;=115%,115%,BB466) + IF(BC466&gt;=115%,115%,BC466) + IF(BD466&gt;=115%,115%,BD466) + IF(BE466&gt;=115%,115%,BE466) + IF(BF466&gt;=115%,115%,BF466) + IF(BG466&gt;=115%,115%,BG466) + IF(BH466&gt;=115%,115%,BH466)))/_xlfn.XLOOKUP(F466,Apuração!A:A,Apuração!B:B)))</f>
        <v>0</v>
      </c>
      <c r="BL466" s="58" cm="1">
        <f t="array" aca="1" ref="BL466" ca="1">IF(SUM(IFERROR(IF(INDEX(AW466:INDEX(AW466:BH466, MATCH(2, 1/(AW466:BH466&lt;&gt;""), 1)-1), ROW(INDIRECT("1:" &amp; MATCH(2, 1/(AW466:BH466&lt;&gt;""), 1)-1))) &gt;= 115%, 115%, INDEX(AW466:INDEX(AW466:BH466, MATCH(2, 1/(AW466:BH466&lt;&gt;""), 1)-1), ROW(INDIRECT("1:" &amp; MATCH(2, 1/(AW466:BH466&lt;&gt;""), 1)-1)))), 0))/_xlfn.XLOOKUP(F466,Apuração!A:A,Apuração!B:B)&gt;=1.15,1.15,SUM(IFERROR(IF(INDEX(AW466:INDEX(AW466:BH466, MATCH(2, 1/(AW466:BH466&lt;&gt;""), 1)-1), ROW(INDIRECT("1:" &amp; MATCH(2, 1/(AW466:BH466&lt;&gt;""), 1)-1))) &gt;= 115%, 115%, INDEX(AW466:INDEX(AW466:BH466, MATCH(2, 1/(AW466:BH466&lt;&gt;""), 1)-1), ROW(INDIRECT("1:" &amp; MATCH(2, 1/(AW466:BH466&lt;&gt;""), 1)-1)))), 0))/_xlfn.XLOOKUP(F466,Apuração!A:A,Apuração!B:B))</f>
        <v>0</v>
      </c>
      <c r="BM466" s="55" cm="1">
        <f t="array" ref="BM466">IFERROR(
   INDEX($AW$1:$BH$1,
      _xlfn.AGGREGATE(14, 6, COLUMN($AW$1:$BH$1)/(AW466:BH466&lt;&gt;""), 2) - COLUMN($AW$1) + 1
   ),
"")</f>
        <v>46113</v>
      </c>
      <c r="BN466" s="55" cm="1">
        <f t="array" ref="BN466">IFERROR(INDEX($AW$1:$BH$1,1,MATCH(2,1/(AW466:BH466&lt;&gt;""))),"")</f>
        <v>46143</v>
      </c>
      <c r="BO466" s="53">
        <f ca="1">IFERROR(_xlfn.XLOOKUP(F466,Apuração!A:A,Apuração!C:C)/_xlfn.XLOOKUP(F466,Apuração!A:A,Apuração!B:B),0)</f>
        <v>0.22222222222222221</v>
      </c>
      <c r="BP466" s="53">
        <f ca="1">IFERROR(_xlfn.XLOOKUP(F466,Apuração!A:A,Apuração!D:D)/_xlfn.XLOOKUP(F466,Apuração!A:A,Apuração!B:B),0)</f>
        <v>0.1111111111111111</v>
      </c>
      <c r="BQ466" s="53">
        <f ca="1">IF(BK466&gt;=BO466,0,_xlfn.XLOOKUP(F466,Apuração!A:A,Apuração!B:B)*(BO466 + (1/_xlfn.XLOOKUP(F466,Apuração!A:A,Apuração!B:B)) - BK466))</f>
        <v>3</v>
      </c>
      <c r="BR466" s="85">
        <f t="shared" ca="1" si="794"/>
        <v>6</v>
      </c>
      <c r="BS466" s="53">
        <f ca="1">IFERROR((_xlfn.XLOOKUP(F466,Apuração!A:A,Apuração!C:C)+1)/_xlfn.XLOOKUP(F466,Apuração!A:A,Apuração!B:B),0)</f>
        <v>0.33333333333333331</v>
      </c>
    </row>
    <row r="467" spans="1:71" ht="25.95" hidden="1" customHeight="1" x14ac:dyDescent="0.3">
      <c r="A467" s="3" t="s">
        <v>33</v>
      </c>
      <c r="B467" s="4" t="s">
        <v>81</v>
      </c>
      <c r="C467" s="5" t="s">
        <v>97</v>
      </c>
      <c r="D467" s="5" t="s">
        <v>105</v>
      </c>
      <c r="E467" s="4" t="str" cm="1">
        <f t="array" ref="E467">_xlfn.IFS(
F467 = "A partir de Abril", "Aguardando Execução na Distribuidora",
A467 = "CAPACITAÇÃO", "Em execução no Corporativo",
TRUE, "Em Execução na Distribuidora"
)</f>
        <v>Em Execução na Distribuidora</v>
      </c>
      <c r="F467" s="4" t="str" cm="1">
        <f t="array" ref="F467">_xlfn.IFS(
AG467 &lt;&gt; "", "Jan-Dez/26",
AH467 &lt;&gt; "", "Fev-Dez/26",
AI467 &lt;&gt; "", "Mar-Dez/26", AJ467 &lt;&gt; "", "Abr-Dez/26",
TRUE, "A partir de Junho"
)</f>
        <v>Abr-Dez/26</v>
      </c>
      <c r="G467" s="4" t="s">
        <v>37</v>
      </c>
      <c r="H467" s="7" t="s">
        <v>54</v>
      </c>
      <c r="I467" s="8" t="s">
        <v>55</v>
      </c>
      <c r="J467" s="8" t="str" cm="1">
        <f t="array" aca="1" ref="J467" ca="1">_xlfn.LET(
  _xlpm.actual_value_month, INDEX(T467:AE467, MATCH(DATE(YEAR(TODAY()), MONTH(TODAY()), 1), $T$1:$AE$1, 0)),
  IF(_xlpm.actual_value_month &lt;&gt; "",_xlpm.actual_value_month &amp; " eventos mensais", "")
)</f>
        <v>2 eventos mensais</v>
      </c>
      <c r="K467" s="8" t="str" cm="1">
        <f t="array" ref="K467">_xlfn.LET(
    _xlpm.sum_month, SUM(T467:AE467),
    IF(_xlpm.sum_month = 0, "", _xlpm.sum_month &amp; "  eventos no ano")
)</f>
        <v>18  eventos no ano</v>
      </c>
      <c r="L467" s="9" t="s">
        <v>82</v>
      </c>
      <c r="M467" s="13" t="s">
        <v>83</v>
      </c>
      <c r="N467" s="5" t="s">
        <v>42</v>
      </c>
      <c r="O467" s="5" t="s">
        <v>43</v>
      </c>
      <c r="P467" s="10" t="s">
        <v>44</v>
      </c>
      <c r="Q467" s="10" t="s">
        <v>44</v>
      </c>
      <c r="R467" s="11" t="s">
        <v>44</v>
      </c>
      <c r="S467" s="11" t="s">
        <v>44</v>
      </c>
      <c r="T467" s="22"/>
      <c r="U467" s="22"/>
      <c r="V467" s="22"/>
      <c r="W467" s="143">
        <v>2</v>
      </c>
      <c r="X467" s="143">
        <v>2</v>
      </c>
      <c r="Y467" s="143">
        <v>2</v>
      </c>
      <c r="Z467" s="143">
        <v>2</v>
      </c>
      <c r="AA467" s="143">
        <v>2</v>
      </c>
      <c r="AB467" s="143">
        <v>2</v>
      </c>
      <c r="AC467" s="143">
        <v>2</v>
      </c>
      <c r="AD467" s="143">
        <v>2</v>
      </c>
      <c r="AE467" s="143">
        <v>2</v>
      </c>
      <c r="AG467" s="71"/>
      <c r="AH467" s="71"/>
      <c r="AI467" s="71"/>
      <c r="AJ467" s="82">
        <v>0</v>
      </c>
      <c r="AK467" s="71"/>
      <c r="AL467" s="71"/>
      <c r="AM467" s="71"/>
      <c r="AN467" s="71"/>
      <c r="AO467" s="71"/>
      <c r="AP467" s="71"/>
      <c r="AQ467" s="71"/>
      <c r="AR467" s="71"/>
      <c r="AS467" s="94">
        <f t="shared" ca="1" si="786"/>
        <v>4</v>
      </c>
      <c r="AT467" s="95">
        <f t="shared" si="787"/>
        <v>0</v>
      </c>
      <c r="AU467" s="97">
        <f t="shared" si="788"/>
        <v>0</v>
      </c>
      <c r="AW467" s="51">
        <f t="shared" si="789"/>
        <v>0</v>
      </c>
      <c r="AX467" s="51">
        <f t="shared" si="790"/>
        <v>0</v>
      </c>
      <c r="AY467" s="51">
        <f t="shared" si="791"/>
        <v>0</v>
      </c>
      <c r="AZ467" s="51">
        <f t="shared" si="792"/>
        <v>0</v>
      </c>
      <c r="BA467" s="51">
        <f t="shared" si="793"/>
        <v>0</v>
      </c>
      <c r="BB467" s="51"/>
      <c r="BC467" s="51"/>
      <c r="BD467" s="51"/>
      <c r="BE467" s="51"/>
      <c r="BF467" s="51"/>
      <c r="BG467" s="51"/>
      <c r="BH467" s="51"/>
      <c r="BI467" s="65" cm="1">
        <f t="array" ref="BI467">IFERROR(INDEX(AW467:BH467,1,MATCH(2,1/(AW467:BH467&lt;&gt;""))),"")</f>
        <v>0</v>
      </c>
      <c r="BJ467" s="68" cm="1">
        <f t="array" ref="BJ467">IF(BM467 = "", "",IFERROR(INDEX(AW467:BH467,1,MATCH(2,1/(AW467:BH467&lt;&gt;""),1)-1),""))</f>
        <v>0</v>
      </c>
      <c r="BK467" s="58">
        <f>IF((IF(AW467&gt;=115%,115%,AW467) + IF(AX467&gt;=115%,115%,AX467) + IF(AY467&gt;=115%,115%,AY467) + (IF(AZ467&gt;=200%,200%,AZ467) + IF(BA467&gt;=120%,120%,BA467) + IF(BB467&gt;=115%,115%,BB467) + IF(BC467&gt;=115%,115%,BC467) + IF(BD467&gt;=115%,115%,BD467) + IF(BE467&gt;=115%,115%,BE467) + IF(BF467&gt;=115%,115%,BF467) + IF(BG467&gt;=115%,115%,BG467) + IF(BH467&gt;=115%,115%,BH467)))/_xlfn.XLOOKUP(F467,Apuração!A:A,Apuração!B:B)&gt;=1.15,1.15,((IF(AZ467&gt;=200%,200%,AZ467) + IF(AX467&gt;=115%,115%,AX467) + IF(AY467&gt;=115%,115%,AY467) + (IF(AW467&gt;=115%,115%,AW467) + IF(BA467&gt;=120%,120%,BA467) + IF(BB467&gt;=115%,115%,BB467) + IF(BC467&gt;=115%,115%,BC467) + IF(BD467&gt;=115%,115%,BD467) + IF(BE467&gt;=115%,115%,BE467) + IF(BF467&gt;=115%,115%,BF467) + IF(BG467&gt;=115%,115%,BG467) + IF(BH467&gt;=115%,115%,BH467)))/_xlfn.XLOOKUP(F467,Apuração!A:A,Apuração!B:B)))</f>
        <v>0</v>
      </c>
      <c r="BL467" s="58" cm="1">
        <f t="array" aca="1" ref="BL467" ca="1">IF(SUM(IFERROR(IF(INDEX(AW467:INDEX(AW467:BH467, MATCH(2, 1/(AW467:BH467&lt;&gt;""), 1)-1), ROW(INDIRECT("1:" &amp; MATCH(2, 1/(AW467:BH467&lt;&gt;""), 1)-1))) &gt;= 115%, 115%, INDEX(AW467:INDEX(AW467:BH467, MATCH(2, 1/(AW467:BH467&lt;&gt;""), 1)-1), ROW(INDIRECT("1:" &amp; MATCH(2, 1/(AW467:BH467&lt;&gt;""), 1)-1)))), 0))/_xlfn.XLOOKUP(F467,Apuração!A:A,Apuração!B:B)&gt;=1.15,1.15,SUM(IFERROR(IF(INDEX(AW467:INDEX(AW467:BH467, MATCH(2, 1/(AW467:BH467&lt;&gt;""), 1)-1), ROW(INDIRECT("1:" &amp; MATCH(2, 1/(AW467:BH467&lt;&gt;""), 1)-1))) &gt;= 115%, 115%, INDEX(AW467:INDEX(AW467:BH467, MATCH(2, 1/(AW467:BH467&lt;&gt;""), 1)-1), ROW(INDIRECT("1:" &amp; MATCH(2, 1/(AW467:BH467&lt;&gt;""), 1)-1)))), 0))/_xlfn.XLOOKUP(F467,Apuração!A:A,Apuração!B:B))</f>
        <v>0</v>
      </c>
      <c r="BM467" s="55" cm="1">
        <f t="array" ref="BM467">IFERROR(
   INDEX($AW$1:$BH$1,
      _xlfn.AGGREGATE(14, 6, COLUMN($AW$1:$BH$1)/(AW467:BH467&lt;&gt;""), 2) - COLUMN($AW$1) + 1
   ),
"")</f>
        <v>46113</v>
      </c>
      <c r="BN467" s="55" cm="1">
        <f t="array" ref="BN467">IFERROR(INDEX($AW$1:$BH$1,1,MATCH(2,1/(AW467:BH467&lt;&gt;""))),"")</f>
        <v>46143</v>
      </c>
      <c r="BO467" s="53">
        <f ca="1">IFERROR(_xlfn.XLOOKUP(F467,Apuração!A:A,Apuração!C:C)/_xlfn.XLOOKUP(F467,Apuração!A:A,Apuração!B:B),0)</f>
        <v>0.22222222222222221</v>
      </c>
      <c r="BP467" s="53">
        <f ca="1">IFERROR(_xlfn.XLOOKUP(F467,Apuração!A:A,Apuração!D:D)/_xlfn.XLOOKUP(F467,Apuração!A:A,Apuração!B:B),0)</f>
        <v>0.1111111111111111</v>
      </c>
      <c r="BQ467" s="53">
        <f ca="1">IF(BK467&gt;=BO467,0,_xlfn.XLOOKUP(F467,Apuração!A:A,Apuração!B:B)*(BO467 + (1/_xlfn.XLOOKUP(F467,Apuração!A:A,Apuração!B:B)) - BK467))</f>
        <v>3</v>
      </c>
      <c r="BR467" s="85">
        <f t="shared" ca="1" si="794"/>
        <v>6</v>
      </c>
      <c r="BS467" s="53">
        <f ca="1">IFERROR((_xlfn.XLOOKUP(F467,Apuração!A:A,Apuração!C:C)+1)/_xlfn.XLOOKUP(F467,Apuração!A:A,Apuração!B:B),0)</f>
        <v>0.33333333333333331</v>
      </c>
    </row>
    <row r="468" spans="1:71" ht="25.95" hidden="1" customHeight="1" x14ac:dyDescent="0.3">
      <c r="A468" s="3" t="s">
        <v>33</v>
      </c>
      <c r="B468" s="4" t="s">
        <v>81</v>
      </c>
      <c r="C468" s="5" t="s">
        <v>97</v>
      </c>
      <c r="D468" s="5" t="s">
        <v>106</v>
      </c>
      <c r="E468" s="4" t="str" cm="1">
        <f t="array" ref="E468">_xlfn.IFS(
F468 = "A partir de Abril", "Aguardando Execução na Distribuidora",
A468 = "CAPACITAÇÃO", "Em execução no Corporativo",
TRUE, "Em Execução na Distribuidora"
)</f>
        <v>Em Execução na Distribuidora</v>
      </c>
      <c r="F468" s="4" t="str" cm="1">
        <f t="array" ref="F468">_xlfn.IFS(
AG468 &lt;&gt; "", "Jan-Dez/26",
AH468 &lt;&gt; "", "Fev-Dez/26",
AI468 &lt;&gt; "", "Mar-Dez/26", AJ468 &lt;&gt; "", "Abr-Dez/26",
TRUE, "A partir de Junho"
)</f>
        <v>Abr-Dez/26</v>
      </c>
      <c r="G468" s="4" t="s">
        <v>37</v>
      </c>
      <c r="H468" s="7" t="s">
        <v>54</v>
      </c>
      <c r="I468" s="8" t="s">
        <v>55</v>
      </c>
      <c r="J468" s="8" t="str" cm="1">
        <f t="array" aca="1" ref="J468" ca="1">_xlfn.LET(
  _xlpm.actual_value_month, INDEX(T468:AE468, MATCH(DATE(YEAR(TODAY()), MONTH(TODAY()), 1), $T$1:$AE$1, 0)),
  IF(_xlpm.actual_value_month &lt;&gt; "",_xlpm.actual_value_month &amp; " eventos mensais", "")
)</f>
        <v>2 eventos mensais</v>
      </c>
      <c r="K468" s="8" t="str" cm="1">
        <f t="array" ref="K468">_xlfn.LET(
    _xlpm.sum_month, SUM(T468:AE468),
    IF(_xlpm.sum_month = 0, "", _xlpm.sum_month &amp; "  eventos no ano")
)</f>
        <v>18  eventos no ano</v>
      </c>
      <c r="L468" s="9" t="s">
        <v>82</v>
      </c>
      <c r="M468" s="13" t="s">
        <v>83</v>
      </c>
      <c r="N468" s="5" t="s">
        <v>42</v>
      </c>
      <c r="O468" s="5" t="s">
        <v>43</v>
      </c>
      <c r="P468" s="10" t="s">
        <v>44</v>
      </c>
      <c r="Q468" s="10" t="s">
        <v>44</v>
      </c>
      <c r="R468" s="11" t="s">
        <v>44</v>
      </c>
      <c r="S468" s="11" t="s">
        <v>44</v>
      </c>
      <c r="T468" s="22"/>
      <c r="U468" s="22"/>
      <c r="V468" s="22"/>
      <c r="W468" s="143">
        <v>2</v>
      </c>
      <c r="X468" s="143">
        <v>2</v>
      </c>
      <c r="Y468" s="143">
        <v>2</v>
      </c>
      <c r="Z468" s="143">
        <v>2</v>
      </c>
      <c r="AA468" s="143">
        <v>2</v>
      </c>
      <c r="AB468" s="143">
        <v>2</v>
      </c>
      <c r="AC468" s="143">
        <v>2</v>
      </c>
      <c r="AD468" s="143">
        <v>2</v>
      </c>
      <c r="AE468" s="143">
        <v>2</v>
      </c>
      <c r="AG468" s="71"/>
      <c r="AH468" s="71"/>
      <c r="AI468" s="71"/>
      <c r="AJ468" s="82">
        <v>0</v>
      </c>
      <c r="AK468" s="71"/>
      <c r="AL468" s="71"/>
      <c r="AM468" s="71"/>
      <c r="AN468" s="71"/>
      <c r="AO468" s="71"/>
      <c r="AP468" s="71"/>
      <c r="AQ468" s="71"/>
      <c r="AR468" s="71"/>
      <c r="AS468" s="94">
        <f t="shared" ca="1" si="786"/>
        <v>4</v>
      </c>
      <c r="AT468" s="95">
        <f t="shared" si="787"/>
        <v>0</v>
      </c>
      <c r="AU468" s="97">
        <f t="shared" si="788"/>
        <v>0</v>
      </c>
      <c r="AW468" s="51">
        <f t="shared" si="789"/>
        <v>0</v>
      </c>
      <c r="AX468" s="51">
        <f t="shared" si="790"/>
        <v>0</v>
      </c>
      <c r="AY468" s="51">
        <f t="shared" si="791"/>
        <v>0</v>
      </c>
      <c r="AZ468" s="51">
        <f t="shared" si="792"/>
        <v>0</v>
      </c>
      <c r="BA468" s="51">
        <f t="shared" si="793"/>
        <v>0</v>
      </c>
      <c r="BB468" s="51"/>
      <c r="BC468" s="51"/>
      <c r="BD468" s="51"/>
      <c r="BE468" s="51"/>
      <c r="BF468" s="51"/>
      <c r="BG468" s="51"/>
      <c r="BH468" s="51"/>
      <c r="BI468" s="65" cm="1">
        <f t="array" ref="BI468">IFERROR(INDEX(AW468:BH468,1,MATCH(2,1/(AW468:BH468&lt;&gt;""))),"")</f>
        <v>0</v>
      </c>
      <c r="BJ468" s="68" cm="1">
        <f t="array" ref="BJ468">IF(BM468 = "", "",IFERROR(INDEX(AW468:BH468,1,MATCH(2,1/(AW468:BH468&lt;&gt;""),1)-1),""))</f>
        <v>0</v>
      </c>
      <c r="BK468" s="58">
        <f>IF((IF(AW468&gt;=115%,115%,AW468) + IF(AX468&gt;=115%,115%,AX468) + IF(AY468&gt;=115%,115%,AY468) + (IF(AZ468&gt;=200%,200%,AZ468) + IF(BA468&gt;=120%,120%,BA468) + IF(BB468&gt;=115%,115%,BB468) + IF(BC468&gt;=115%,115%,BC468) + IF(BD468&gt;=115%,115%,BD468) + IF(BE468&gt;=115%,115%,BE468) + IF(BF468&gt;=115%,115%,BF468) + IF(BG468&gt;=115%,115%,BG468) + IF(BH468&gt;=115%,115%,BH468)))/_xlfn.XLOOKUP(F468,Apuração!A:A,Apuração!B:B)&gt;=1.15,1.15,((IF(AZ468&gt;=200%,200%,AZ468) + IF(AX468&gt;=115%,115%,AX468) + IF(AY468&gt;=115%,115%,AY468) + (IF(AW468&gt;=115%,115%,AW468) + IF(BA468&gt;=120%,120%,BA468) + IF(BB468&gt;=115%,115%,BB468) + IF(BC468&gt;=115%,115%,BC468) + IF(BD468&gt;=115%,115%,BD468) + IF(BE468&gt;=115%,115%,BE468) + IF(BF468&gt;=115%,115%,BF468) + IF(BG468&gt;=115%,115%,BG468) + IF(BH468&gt;=115%,115%,BH468)))/_xlfn.XLOOKUP(F468,Apuração!A:A,Apuração!B:B)))</f>
        <v>0</v>
      </c>
      <c r="BL468" s="58" cm="1">
        <f t="array" aca="1" ref="BL468" ca="1">IF(SUM(IFERROR(IF(INDEX(AW468:INDEX(AW468:BH468, MATCH(2, 1/(AW468:BH468&lt;&gt;""), 1)-1), ROW(INDIRECT("1:" &amp; MATCH(2, 1/(AW468:BH468&lt;&gt;""), 1)-1))) &gt;= 115%, 115%, INDEX(AW468:INDEX(AW468:BH468, MATCH(2, 1/(AW468:BH468&lt;&gt;""), 1)-1), ROW(INDIRECT("1:" &amp; MATCH(2, 1/(AW468:BH468&lt;&gt;""), 1)-1)))), 0))/_xlfn.XLOOKUP(F468,Apuração!A:A,Apuração!B:B)&gt;=1.15,1.15,SUM(IFERROR(IF(INDEX(AW468:INDEX(AW468:BH468, MATCH(2, 1/(AW468:BH468&lt;&gt;""), 1)-1), ROW(INDIRECT("1:" &amp; MATCH(2, 1/(AW468:BH468&lt;&gt;""), 1)-1))) &gt;= 115%, 115%, INDEX(AW468:INDEX(AW468:BH468, MATCH(2, 1/(AW468:BH468&lt;&gt;""), 1)-1), ROW(INDIRECT("1:" &amp; MATCH(2, 1/(AW468:BH468&lt;&gt;""), 1)-1)))), 0))/_xlfn.XLOOKUP(F468,Apuração!A:A,Apuração!B:B))</f>
        <v>0</v>
      </c>
      <c r="BM468" s="55" cm="1">
        <f t="array" ref="BM468">IFERROR(
   INDEX($AW$1:$BH$1,
      _xlfn.AGGREGATE(14, 6, COLUMN($AW$1:$BH$1)/(AW468:BH468&lt;&gt;""), 2) - COLUMN($AW$1) + 1
   ),
"")</f>
        <v>46113</v>
      </c>
      <c r="BN468" s="55" cm="1">
        <f t="array" ref="BN468">IFERROR(INDEX($AW$1:$BH$1,1,MATCH(2,1/(AW468:BH468&lt;&gt;""))),"")</f>
        <v>46143</v>
      </c>
      <c r="BO468" s="53">
        <f ca="1">IFERROR(_xlfn.XLOOKUP(F468,Apuração!A:A,Apuração!C:C)/_xlfn.XLOOKUP(F468,Apuração!A:A,Apuração!B:B),0)</f>
        <v>0.22222222222222221</v>
      </c>
      <c r="BP468" s="53">
        <f ca="1">IFERROR(_xlfn.XLOOKUP(F468,Apuração!A:A,Apuração!D:D)/_xlfn.XLOOKUP(F468,Apuração!A:A,Apuração!B:B),0)</f>
        <v>0.1111111111111111</v>
      </c>
      <c r="BQ468" s="53">
        <f ca="1">IF(BK468&gt;=BO468,0,_xlfn.XLOOKUP(F468,Apuração!A:A,Apuração!B:B)*(BO468 + (1/_xlfn.XLOOKUP(F468,Apuração!A:A,Apuração!B:B)) - BK468))</f>
        <v>3</v>
      </c>
      <c r="BR468" s="85">
        <f t="shared" ca="1" si="794"/>
        <v>6</v>
      </c>
      <c r="BS468" s="53">
        <f ca="1">IFERROR((_xlfn.XLOOKUP(F468,Apuração!A:A,Apuração!C:C)+1)/_xlfn.XLOOKUP(F468,Apuração!A:A,Apuração!B:B),0)</f>
        <v>0.33333333333333331</v>
      </c>
    </row>
    <row r="469" spans="1:71" ht="25.95" hidden="1" customHeight="1" x14ac:dyDescent="0.3">
      <c r="A469" s="3" t="s">
        <v>33</v>
      </c>
      <c r="B469" s="4" t="s">
        <v>81</v>
      </c>
      <c r="C469" s="5" t="s">
        <v>97</v>
      </c>
      <c r="D469" s="5" t="s">
        <v>107</v>
      </c>
      <c r="E469" s="4" t="str" cm="1">
        <f t="array" ref="E469">_xlfn.IFS(
F469 = "A partir de Abril", "Aguardando Execução na Distribuidora",
A469 = "CAPACITAÇÃO", "Em execução no Corporativo",
TRUE, "Em Execução na Distribuidora"
)</f>
        <v>Em Execução na Distribuidora</v>
      </c>
      <c r="F469" s="4" t="str" cm="1">
        <f t="array" ref="F469">_xlfn.IFS(
AG469 &lt;&gt; "", "Jan-Dez/26",
AH469 &lt;&gt; "", "Fev-Dez/26",
AI469 &lt;&gt; "", "Mar-Dez/26", AJ469 &lt;&gt; "", "Abr-Dez/26",
TRUE, "A partir de Junho"
)</f>
        <v>Abr-Dez/26</v>
      </c>
      <c r="G469" s="4" t="s">
        <v>37</v>
      </c>
      <c r="H469" s="7" t="s">
        <v>54</v>
      </c>
      <c r="I469" s="8" t="s">
        <v>55</v>
      </c>
      <c r="J469" s="8" t="str" cm="1">
        <f t="array" aca="1" ref="J469" ca="1">_xlfn.LET(
  _xlpm.actual_value_month, INDEX(T469:AE469, MATCH(DATE(YEAR(TODAY()), MONTH(TODAY()), 1), $T$1:$AE$1, 0)),
  IF(_xlpm.actual_value_month &lt;&gt; "",_xlpm.actual_value_month &amp; " eventos mensais", "")
)</f>
        <v>2 eventos mensais</v>
      </c>
      <c r="K469" s="8" t="str" cm="1">
        <f t="array" ref="K469">_xlfn.LET(
    _xlpm.sum_month, SUM(T469:AE469),
    IF(_xlpm.sum_month = 0, "", _xlpm.sum_month &amp; "  eventos no ano")
)</f>
        <v>18  eventos no ano</v>
      </c>
      <c r="L469" s="9" t="s">
        <v>82</v>
      </c>
      <c r="M469" s="13" t="s">
        <v>83</v>
      </c>
      <c r="N469" s="5" t="s">
        <v>42</v>
      </c>
      <c r="O469" s="5" t="s">
        <v>43</v>
      </c>
      <c r="P469" s="10" t="s">
        <v>44</v>
      </c>
      <c r="Q469" s="10" t="s">
        <v>44</v>
      </c>
      <c r="R469" s="11" t="s">
        <v>44</v>
      </c>
      <c r="S469" s="11" t="s">
        <v>44</v>
      </c>
      <c r="T469" s="22"/>
      <c r="U469" s="22"/>
      <c r="V469" s="22"/>
      <c r="W469" s="143">
        <v>2</v>
      </c>
      <c r="X469" s="143">
        <v>2</v>
      </c>
      <c r="Y469" s="143">
        <v>2</v>
      </c>
      <c r="Z469" s="143">
        <v>2</v>
      </c>
      <c r="AA469" s="143">
        <v>2</v>
      </c>
      <c r="AB469" s="143">
        <v>2</v>
      </c>
      <c r="AC469" s="143">
        <v>2</v>
      </c>
      <c r="AD469" s="143">
        <v>2</v>
      </c>
      <c r="AE469" s="143">
        <v>2</v>
      </c>
      <c r="AG469" s="71"/>
      <c r="AH469" s="71"/>
      <c r="AI469" s="71"/>
      <c r="AJ469" s="82">
        <v>0</v>
      </c>
      <c r="AK469" s="71">
        <v>1</v>
      </c>
      <c r="AL469" s="71"/>
      <c r="AM469" s="71"/>
      <c r="AN469" s="71"/>
      <c r="AO469" s="71"/>
      <c r="AP469" s="71"/>
      <c r="AQ469" s="71"/>
      <c r="AR469" s="71"/>
      <c r="AS469" s="94">
        <f t="shared" ca="1" si="786"/>
        <v>4</v>
      </c>
      <c r="AT469" s="95">
        <f t="shared" si="787"/>
        <v>1</v>
      </c>
      <c r="AU469" s="97">
        <f t="shared" si="788"/>
        <v>1</v>
      </c>
      <c r="AW469" s="51">
        <f t="shared" si="789"/>
        <v>0</v>
      </c>
      <c r="AX469" s="51">
        <f t="shared" si="790"/>
        <v>0</v>
      </c>
      <c r="AY469" s="51">
        <f t="shared" si="791"/>
        <v>0</v>
      </c>
      <c r="AZ469" s="51">
        <f t="shared" si="792"/>
        <v>0</v>
      </c>
      <c r="BA469" s="51">
        <f t="shared" si="793"/>
        <v>0.5</v>
      </c>
      <c r="BB469" s="51"/>
      <c r="BC469" s="51"/>
      <c r="BD469" s="51"/>
      <c r="BE469" s="51"/>
      <c r="BF469" s="51"/>
      <c r="BG469" s="51"/>
      <c r="BH469" s="51"/>
      <c r="BI469" s="65" cm="1">
        <f t="array" ref="BI469">IFERROR(INDEX(AW469:BH469,1,MATCH(2,1/(AW469:BH469&lt;&gt;""))),"")</f>
        <v>0.5</v>
      </c>
      <c r="BJ469" s="68" cm="1">
        <f t="array" ref="BJ469">IF(BM469 = "", "",IFERROR(INDEX(AW469:BH469,1,MATCH(2,1/(AW469:BH469&lt;&gt;""),1)-1),""))</f>
        <v>0</v>
      </c>
      <c r="BK469" s="58">
        <f>IF((IF(AW469&gt;=115%,115%,AW469) + IF(AX469&gt;=115%,115%,AX469) + IF(AY469&gt;=115%,115%,AY469) + (IF(AZ469&gt;=200%,200%,AZ469) + IF(BA469&gt;=120%,120%,BA469) + IF(BB469&gt;=115%,115%,BB469) + IF(BC469&gt;=115%,115%,BC469) + IF(BD469&gt;=115%,115%,BD469) + IF(BE469&gt;=115%,115%,BE469) + IF(BF469&gt;=115%,115%,BF469) + IF(BG469&gt;=115%,115%,BG469) + IF(BH469&gt;=115%,115%,BH469)))/_xlfn.XLOOKUP(F469,Apuração!A:A,Apuração!B:B)&gt;=1.15,1.15,((IF(AZ469&gt;=200%,200%,AZ469) + IF(AX469&gt;=115%,115%,AX469) + IF(AY469&gt;=115%,115%,AY469) + (IF(AW469&gt;=115%,115%,AW469) + IF(BA469&gt;=120%,120%,BA469) + IF(BB469&gt;=115%,115%,BB469) + IF(BC469&gt;=115%,115%,BC469) + IF(BD469&gt;=115%,115%,BD469) + IF(BE469&gt;=115%,115%,BE469) + IF(BF469&gt;=115%,115%,BF469) + IF(BG469&gt;=115%,115%,BG469) + IF(BH469&gt;=115%,115%,BH469)))/_xlfn.XLOOKUP(F469,Apuração!A:A,Apuração!B:B)))</f>
        <v>5.5555555555555552E-2</v>
      </c>
      <c r="BL469" s="58" cm="1">
        <f t="array" aca="1" ref="BL469" ca="1">IF(SUM(IFERROR(IF(INDEX(AW469:INDEX(AW469:BH469, MATCH(2, 1/(AW469:BH469&lt;&gt;""), 1)-1), ROW(INDIRECT("1:" &amp; MATCH(2, 1/(AW469:BH469&lt;&gt;""), 1)-1))) &gt;= 115%, 115%, INDEX(AW469:INDEX(AW469:BH469, MATCH(2, 1/(AW469:BH469&lt;&gt;""), 1)-1), ROW(INDIRECT("1:" &amp; MATCH(2, 1/(AW469:BH469&lt;&gt;""), 1)-1)))), 0))/_xlfn.XLOOKUP(F469,Apuração!A:A,Apuração!B:B)&gt;=1.15,1.15,SUM(IFERROR(IF(INDEX(AW469:INDEX(AW469:BH469, MATCH(2, 1/(AW469:BH469&lt;&gt;""), 1)-1), ROW(INDIRECT("1:" &amp; MATCH(2, 1/(AW469:BH469&lt;&gt;""), 1)-1))) &gt;= 115%, 115%, INDEX(AW469:INDEX(AW469:BH469, MATCH(2, 1/(AW469:BH469&lt;&gt;""), 1)-1), ROW(INDIRECT("1:" &amp; MATCH(2, 1/(AW469:BH469&lt;&gt;""), 1)-1)))), 0))/_xlfn.XLOOKUP(F469,Apuração!A:A,Apuração!B:B))</f>
        <v>0</v>
      </c>
      <c r="BM469" s="55" cm="1">
        <f t="array" ref="BM469">IFERROR(
   INDEX($AW$1:$BH$1,
      _xlfn.AGGREGATE(14, 6, COLUMN($AW$1:$BH$1)/(AW469:BH469&lt;&gt;""), 2) - COLUMN($AW$1) + 1
   ),
"")</f>
        <v>46113</v>
      </c>
      <c r="BN469" s="55" cm="1">
        <f t="array" ref="BN469">IFERROR(INDEX($AW$1:$BH$1,1,MATCH(2,1/(AW469:BH469&lt;&gt;""))),"")</f>
        <v>46143</v>
      </c>
      <c r="BO469" s="53">
        <f ca="1">IFERROR(_xlfn.XLOOKUP(F469,Apuração!A:A,Apuração!C:C)/_xlfn.XLOOKUP(F469,Apuração!A:A,Apuração!B:B),0)</f>
        <v>0.22222222222222221</v>
      </c>
      <c r="BP469" s="53">
        <f ca="1">IFERROR(_xlfn.XLOOKUP(F469,Apuração!A:A,Apuração!D:D)/_xlfn.XLOOKUP(F469,Apuração!A:A,Apuração!B:B),0)</f>
        <v>0.1111111111111111</v>
      </c>
      <c r="BQ469" s="53">
        <f ca="1">IF(BK469&gt;=BO469,0,_xlfn.XLOOKUP(F469,Apuração!A:A,Apuração!B:B)*(BO469 + (1/_xlfn.XLOOKUP(F469,Apuração!A:A,Apuração!B:B)) - BK469))</f>
        <v>2.5</v>
      </c>
      <c r="BR469" s="85">
        <f t="shared" ca="1" si="794"/>
        <v>5</v>
      </c>
      <c r="BS469" s="53">
        <f ca="1">IFERROR((_xlfn.XLOOKUP(F469,Apuração!A:A,Apuração!C:C)+1)/_xlfn.XLOOKUP(F469,Apuração!A:A,Apuração!B:B),0)</f>
        <v>0.33333333333333331</v>
      </c>
    </row>
    <row r="470" spans="1:71" ht="25.95" hidden="1" customHeight="1" x14ac:dyDescent="0.3">
      <c r="A470" s="39" t="s">
        <v>33</v>
      </c>
      <c r="B470" s="4" t="s">
        <v>81</v>
      </c>
      <c r="C470" s="5" t="s">
        <v>97</v>
      </c>
      <c r="D470" s="5" t="s">
        <v>36</v>
      </c>
      <c r="E470" s="4" t="str" cm="1">
        <f t="array" ref="E470">_xlfn.IFS(
F470 = "A partir de Abril", "Aguardando Execução na Distribuidora",
A470 = "CAPACITAÇÃO", "Em execução no Corporativo",
TRUE, "Em Execução na Distribuidora"
)</f>
        <v>Em Execução na Distribuidora</v>
      </c>
      <c r="F470" s="4" t="str" cm="1">
        <f t="array" ref="F470">_xlfn.IFS(
AG470 &lt;&gt; "", "Jan-Dez/26",
AH470 &lt;&gt; "", "Fev-Dez/26",
AI470 &lt;&gt; "", "Mar-Dez/26", AJ470 &lt;&gt; "", "Abr-Dez/26",
TRUE, "A partir de Junho"
)</f>
        <v>Jan-Dez/26</v>
      </c>
      <c r="G470" s="4" t="s">
        <v>37</v>
      </c>
      <c r="H470" s="7" t="s">
        <v>54</v>
      </c>
      <c r="I470" s="9" t="s">
        <v>76</v>
      </c>
      <c r="J470" s="8" t="str" cm="1">
        <f t="array" aca="1" ref="J470" ca="1">_xlfn.LET(
  _xlpm.actual_value_month, INDEX(T470:AE470, MATCH(DATE(YEAR(TODAY()), MONTH(TODAY()), 1), $T$1:$AE$1, 0)),
  IF(_xlpm.actual_value_month &lt;&gt; "",_xlpm.actual_value_month &amp; " ações mensais", "")
)</f>
        <v/>
      </c>
      <c r="K470" s="8" t="str" cm="1">
        <f t="array" ref="K470">_xlfn.LET(
    _xlpm.sum_month, SUM(T470:AE470),
    IF(_xlpm.sum_month = 0, "", _xlpm.sum_month &amp; " público impactado no ano.")
)</f>
        <v/>
      </c>
      <c r="L470" s="9" t="s">
        <v>76</v>
      </c>
      <c r="M470" s="13">
        <v>1</v>
      </c>
      <c r="N470" s="5" t="s">
        <v>51</v>
      </c>
      <c r="O470" s="5" t="s">
        <v>52</v>
      </c>
      <c r="P470" s="10" t="s">
        <v>44</v>
      </c>
      <c r="Q470" s="10" t="s">
        <v>44</v>
      </c>
      <c r="R470" s="11" t="s">
        <v>44</v>
      </c>
      <c r="S470" s="11" t="s">
        <v>44</v>
      </c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G470" s="71">
        <v>14</v>
      </c>
      <c r="AH470" s="71">
        <v>4</v>
      </c>
      <c r="AI470" s="71">
        <v>1</v>
      </c>
      <c r="AJ470" s="71">
        <v>0</v>
      </c>
      <c r="AK470" s="71">
        <v>4</v>
      </c>
      <c r="AL470" s="71"/>
      <c r="AM470" s="71"/>
      <c r="AN470" s="71"/>
      <c r="AO470" s="71"/>
      <c r="AP470" s="71"/>
      <c r="AQ470" s="71"/>
      <c r="AR470" s="71"/>
      <c r="AS470" s="94">
        <f t="shared" ca="1" si="651"/>
        <v>0</v>
      </c>
      <c r="AT470" s="95">
        <f>SUM(AG470:AR470)</f>
        <v>23</v>
      </c>
      <c r="AU470" s="97">
        <f t="shared" si="652"/>
        <v>23</v>
      </c>
      <c r="AW470" s="83">
        <f>AG470</f>
        <v>14</v>
      </c>
      <c r="AX470" s="83">
        <f t="shared" ref="AX470" si="795">AH470</f>
        <v>4</v>
      </c>
      <c r="AY470" s="83">
        <f t="shared" ref="AY470" si="796">AI470</f>
        <v>1</v>
      </c>
      <c r="AZ470" s="83">
        <f t="shared" ref="AZ470:BA480" si="797">AJ470</f>
        <v>0</v>
      </c>
      <c r="BA470" s="83">
        <f t="shared" si="797"/>
        <v>4</v>
      </c>
      <c r="BB470" s="52"/>
      <c r="BC470" s="52"/>
      <c r="BD470" s="52"/>
      <c r="BE470" s="52"/>
      <c r="BF470" s="52"/>
      <c r="BG470" s="52"/>
      <c r="BH470" s="52"/>
      <c r="BI470" s="68" cm="1">
        <f t="array" ref="BI470">IFERROR(INDEX(AW470:BH470,1,MATCH(2,1/(AW470:BH470&lt;&gt;""))),"")</f>
        <v>4</v>
      </c>
      <c r="BJ470" s="68" cm="1">
        <f t="array" ref="BJ470">IF(BM470 = "", "",IFERROR(INDEX(AW470:BH470,1,MATCH(2,1/(AW470:BH470&lt;&gt;""),1)-1),""))</f>
        <v>0</v>
      </c>
      <c r="BK470" s="59">
        <f>SUM(AW470:BH470)</f>
        <v>23</v>
      </c>
      <c r="BL470" s="59" cm="1">
        <f t="array" ref="BL470">IFERROR(SUM(AW470:INDEX(AW470:BH470, MATCH(2, 1/(AW470:BH470&lt;&gt;""), 1) - 1))/_xlfn.XLOOKUP(F470,Apuração!A:A,Apuração!B:B),0)</f>
        <v>1.5833333333333333</v>
      </c>
      <c r="BM470" s="55" cm="1">
        <f t="array" ref="BM470">IFERROR(
   INDEX($AW$1:$BH$1,
      _xlfn.AGGREGATE(14, 6, COLUMN($AW$1:$BH$1)/(AW470:BH470&lt;&gt;""), 2) - COLUMN($AW$1) + 1
   ),
"")</f>
        <v>46113</v>
      </c>
      <c r="BN470" s="55" cm="1">
        <f t="array" ref="BN470">IFERROR(INDEX($AW$1:$BH$1,1,MATCH(2,1/(AW470:BH470&lt;&gt;""))),"")</f>
        <v>46143</v>
      </c>
      <c r="BO470" s="53">
        <f ca="1">IFERROR(_xlfn.XLOOKUP(F470,Apuração!A:A,Apuração!C:C)/_xlfn.XLOOKUP(F470,Apuração!A:A,Apuração!B:B),0)</f>
        <v>0.41666666666666669</v>
      </c>
      <c r="BP470" s="53">
        <f ca="1">IFERROR(_xlfn.XLOOKUP(F470,Apuração!A:A,Apuração!D:D)/_xlfn.XLOOKUP(F470,Apuração!A:A,Apuração!B:B),0)</f>
        <v>0.33333333333333331</v>
      </c>
      <c r="BQ470" s="53">
        <f ca="1">IF(BK470&gt;=BO470,0,_xlfn.XLOOKUP(F470,Apuração!A:A,Apuração!B:B)*(BO470 + (1/_xlfn.XLOOKUP(F470,Apuração!A:A,Apuração!B:B)) - BK470))</f>
        <v>0</v>
      </c>
      <c r="BR470" s="85">
        <f t="shared" ca="1" si="644"/>
        <v>0</v>
      </c>
      <c r="BS470" s="53">
        <f ca="1">IFERROR((_xlfn.XLOOKUP(F470,Apuração!A:A,Apuração!C:C)+1)/_xlfn.XLOOKUP(F470,Apuração!A:A,Apuração!B:B),0)</f>
        <v>0.5</v>
      </c>
    </row>
    <row r="471" spans="1:71" ht="25.95" hidden="1" customHeight="1" x14ac:dyDescent="0.3">
      <c r="A471" s="39" t="s">
        <v>33</v>
      </c>
      <c r="B471" s="4" t="s">
        <v>81</v>
      </c>
      <c r="C471" s="5" t="s">
        <v>97</v>
      </c>
      <c r="D471" s="5" t="s">
        <v>98</v>
      </c>
      <c r="E471" s="4" t="str" cm="1">
        <f t="array" ref="E471">_xlfn.IFS(
F471 = "A partir de Abril", "Aguardando Execução na Distribuidora",
A471 = "CAPACITAÇÃO", "Em execução no Corporativo",
TRUE, "Em Execução na Distribuidora"
)</f>
        <v>Em Execução na Distribuidora</v>
      </c>
      <c r="F471" s="4" t="str" cm="1">
        <f t="array" ref="F471">_xlfn.IFS(
AG471 &lt;&gt; "", "Jan-Dez/26",
AH471 &lt;&gt; "", "Fev-Dez/26",
AI471 &lt;&gt; "", "Mar-Dez/26", AJ471 &lt;&gt; "", "Abr-Dez/26",
TRUE, "A partir de Junho"
)</f>
        <v>Abr-Dez/26</v>
      </c>
      <c r="G471" s="4" t="s">
        <v>37</v>
      </c>
      <c r="H471" s="7" t="s">
        <v>54</v>
      </c>
      <c r="I471" s="9" t="s">
        <v>76</v>
      </c>
      <c r="J471" s="8" t="str" cm="1">
        <f t="array" aca="1" ref="J471" ca="1">_xlfn.LET(
  _xlpm.actual_value_month, INDEX(T471:AE471, MATCH(DATE(YEAR(TODAY()), MONTH(TODAY()), 1), $T$1:$AE$1, 0)),
  IF(_xlpm.actual_value_month &lt;&gt; "",_xlpm.actual_value_month &amp; " ações mensais", "")
)</f>
        <v/>
      </c>
      <c r="K471" s="8" t="str" cm="1">
        <f t="array" ref="K471">_xlfn.LET(
    _xlpm.sum_month, SUM(T471:AE471),
    IF(_xlpm.sum_month = 0, "", _xlpm.sum_month &amp; " público impactado no ano.")
)</f>
        <v/>
      </c>
      <c r="L471" s="9" t="s">
        <v>76</v>
      </c>
      <c r="M471" s="13">
        <v>1</v>
      </c>
      <c r="N471" s="5" t="s">
        <v>51</v>
      </c>
      <c r="O471" s="5" t="s">
        <v>52</v>
      </c>
      <c r="P471" s="10" t="s">
        <v>44</v>
      </c>
      <c r="Q471" s="10" t="s">
        <v>44</v>
      </c>
      <c r="R471" s="11" t="s">
        <v>44</v>
      </c>
      <c r="S471" s="11" t="s">
        <v>44</v>
      </c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G471" s="71"/>
      <c r="AH471" s="71"/>
      <c r="AI471" s="71"/>
      <c r="AJ471" s="82">
        <v>0</v>
      </c>
      <c r="AK471" s="71"/>
      <c r="AL471" s="71"/>
      <c r="AM471" s="71"/>
      <c r="AN471" s="71"/>
      <c r="AO471" s="71"/>
      <c r="AP471" s="71"/>
      <c r="AQ471" s="71"/>
      <c r="AR471" s="71"/>
      <c r="AS471" s="94">
        <f t="shared" ref="AS471:AS480" ca="1" si="798">IF(MONTH(TODAY())=3,SUM(T471:U471),IF(MONTH(TODAY())=4,SUM(T471:V471),IF(MONTH(TODAY())=5,SUM(T471:W471),IF(MONTH(TODAY())=6,SUM(T471:X471),IF(MONTH(TODAY())=7,SUM(T471:Y471),IF(MONTH(TODAY())=8,SUM(T471:Z471),IF(MONTH(TODAY())=9,SUM(T471:AA471),IF(MONTH(TODAY())=10,SUM(T471:AB471),IF(MONTH(TODAY())=11,SUM(T471:AC471),IF(MONTH(TODAY())=12,SUM(T471:AD471),IF(MONTH(TODAY())=1,SUM(T471:AE471),T471)))))))))))</f>
        <v>0</v>
      </c>
      <c r="AT471" s="95">
        <f t="shared" ref="AT471:AT480" si="799">SUM(AG471:AR471)</f>
        <v>0</v>
      </c>
      <c r="AU471" s="97">
        <f t="shared" ref="AU471:AU480" si="800">SUM(AG471:AR471)</f>
        <v>0</v>
      </c>
      <c r="AW471" s="83">
        <f t="shared" ref="AW471:AW480" si="801">AG471</f>
        <v>0</v>
      </c>
      <c r="AX471" s="83">
        <f t="shared" ref="AX471:AX480" si="802">AH471</f>
        <v>0</v>
      </c>
      <c r="AY471" s="83">
        <f t="shared" ref="AY471:AY480" si="803">AI471</f>
        <v>0</v>
      </c>
      <c r="AZ471" s="83">
        <f t="shared" ref="AZ471:AZ480" si="804">AJ471</f>
        <v>0</v>
      </c>
      <c r="BA471" s="83">
        <f t="shared" si="797"/>
        <v>0</v>
      </c>
      <c r="BB471" s="52"/>
      <c r="BC471" s="52"/>
      <c r="BD471" s="52"/>
      <c r="BE471" s="52"/>
      <c r="BF471" s="52"/>
      <c r="BG471" s="52"/>
      <c r="BH471" s="52"/>
      <c r="BI471" s="68" cm="1">
        <f t="array" ref="BI471">IFERROR(INDEX(AW471:BH471,1,MATCH(2,1/(AW471:BH471&lt;&gt;""))),"")</f>
        <v>0</v>
      </c>
      <c r="BJ471" s="68" cm="1">
        <f t="array" ref="BJ471">IF(BM471 = "", "",IFERROR(INDEX(AW471:BH471,1,MATCH(2,1/(AW471:BH471&lt;&gt;""),1)-1),""))</f>
        <v>0</v>
      </c>
      <c r="BK471" s="59">
        <f t="shared" ref="BK471:BK480" si="805">SUM(AW471:BH471)</f>
        <v>0</v>
      </c>
      <c r="BL471" s="59" cm="1">
        <f t="array" ref="BL471">IFERROR(SUM(AW471:INDEX(AW471:BH471, MATCH(2, 1/(AW471:BH471&lt;&gt;""), 1) - 1))/_xlfn.XLOOKUP(F471,Apuração!A:A,Apuração!B:B),0)</f>
        <v>0</v>
      </c>
      <c r="BM471" s="55" cm="1">
        <f t="array" ref="BM471">IFERROR(
   INDEX($AW$1:$BH$1,
      _xlfn.AGGREGATE(14, 6, COLUMN($AW$1:$BH$1)/(AW471:BH471&lt;&gt;""), 2) - COLUMN($AW$1) + 1
   ),
"")</f>
        <v>46113</v>
      </c>
      <c r="BN471" s="55" cm="1">
        <f t="array" ref="BN471">IFERROR(INDEX($AW$1:$BH$1,1,MATCH(2,1/(AW471:BH471&lt;&gt;""))),"")</f>
        <v>46143</v>
      </c>
      <c r="BO471" s="53">
        <f ca="1">IFERROR(_xlfn.XLOOKUP(F471,Apuração!A:A,Apuração!C:C)/_xlfn.XLOOKUP(F471,Apuração!A:A,Apuração!B:B),0)</f>
        <v>0.22222222222222221</v>
      </c>
      <c r="BP471" s="53">
        <f ca="1">IFERROR(_xlfn.XLOOKUP(F471,Apuração!A:A,Apuração!D:D)/_xlfn.XLOOKUP(F471,Apuração!A:A,Apuração!B:B),0)</f>
        <v>0.1111111111111111</v>
      </c>
      <c r="BQ471" s="53">
        <f ca="1">IF(BK471&gt;=BO471,0,_xlfn.XLOOKUP(F471,Apuração!A:A,Apuração!B:B)*(BO471 + (1/_xlfn.XLOOKUP(F471,Apuração!A:A,Apuração!B:B)) - BK471))</f>
        <v>3</v>
      </c>
      <c r="BR471" s="85">
        <f t="shared" ref="BR471:BR480" ca="1" si="806">IF(BQ471=0,0,BQ471*Z471)</f>
        <v>0</v>
      </c>
      <c r="BS471" s="53">
        <f ca="1">IFERROR((_xlfn.XLOOKUP(F471,Apuração!A:A,Apuração!C:C)+1)/_xlfn.XLOOKUP(F471,Apuração!A:A,Apuração!B:B),0)</f>
        <v>0.33333333333333331</v>
      </c>
    </row>
    <row r="472" spans="1:71" ht="25.95" hidden="1" customHeight="1" x14ac:dyDescent="0.3">
      <c r="A472" s="39" t="s">
        <v>33</v>
      </c>
      <c r="B472" s="4" t="s">
        <v>81</v>
      </c>
      <c r="C472" s="5" t="s">
        <v>97</v>
      </c>
      <c r="D472" s="5" t="s">
        <v>99</v>
      </c>
      <c r="E472" s="4" t="str" cm="1">
        <f t="array" ref="E472">_xlfn.IFS(
F472 = "A partir de Abril", "Aguardando Execução na Distribuidora",
A472 = "CAPACITAÇÃO", "Em execução no Corporativo",
TRUE, "Em Execução na Distribuidora"
)</f>
        <v>Em Execução na Distribuidora</v>
      </c>
      <c r="F472" s="4" t="str" cm="1">
        <f t="array" ref="F472">_xlfn.IFS(
AG472 &lt;&gt; "", "Jan-Dez/26",
AH472 &lt;&gt; "", "Fev-Dez/26",
AI472 &lt;&gt; "", "Mar-Dez/26", AJ472 &lt;&gt; "", "Abr-Dez/26",
TRUE, "A partir de Junho"
)</f>
        <v>Abr-Dez/26</v>
      </c>
      <c r="G472" s="4" t="s">
        <v>37</v>
      </c>
      <c r="H472" s="7" t="s">
        <v>54</v>
      </c>
      <c r="I472" s="9" t="s">
        <v>76</v>
      </c>
      <c r="J472" s="8" t="str" cm="1">
        <f t="array" aca="1" ref="J472" ca="1">_xlfn.LET(
  _xlpm.actual_value_month, INDEX(T472:AE472, MATCH(DATE(YEAR(TODAY()), MONTH(TODAY()), 1), $T$1:$AE$1, 0)),
  IF(_xlpm.actual_value_month &lt;&gt; "",_xlpm.actual_value_month &amp; " ações mensais", "")
)</f>
        <v/>
      </c>
      <c r="K472" s="8" t="str" cm="1">
        <f t="array" ref="K472">_xlfn.LET(
    _xlpm.sum_month, SUM(T472:AE472),
    IF(_xlpm.sum_month = 0, "", _xlpm.sum_month &amp; " público impactado no ano.")
)</f>
        <v/>
      </c>
      <c r="L472" s="9" t="s">
        <v>76</v>
      </c>
      <c r="M472" s="13">
        <v>1</v>
      </c>
      <c r="N472" s="5" t="s">
        <v>51</v>
      </c>
      <c r="O472" s="5" t="s">
        <v>52</v>
      </c>
      <c r="P472" s="10" t="s">
        <v>44</v>
      </c>
      <c r="Q472" s="10" t="s">
        <v>44</v>
      </c>
      <c r="R472" s="11" t="s">
        <v>44</v>
      </c>
      <c r="S472" s="11" t="s">
        <v>44</v>
      </c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G472" s="71"/>
      <c r="AH472" s="71"/>
      <c r="AI472" s="71"/>
      <c r="AJ472" s="82">
        <v>0</v>
      </c>
      <c r="AK472" s="71"/>
      <c r="AL472" s="71"/>
      <c r="AM472" s="71"/>
      <c r="AN472" s="71"/>
      <c r="AO472" s="71"/>
      <c r="AP472" s="71"/>
      <c r="AQ472" s="71"/>
      <c r="AR472" s="71"/>
      <c r="AS472" s="94">
        <f t="shared" ca="1" si="798"/>
        <v>0</v>
      </c>
      <c r="AT472" s="95">
        <f t="shared" si="799"/>
        <v>0</v>
      </c>
      <c r="AU472" s="97">
        <f t="shared" si="800"/>
        <v>0</v>
      </c>
      <c r="AW472" s="83">
        <f t="shared" si="801"/>
        <v>0</v>
      </c>
      <c r="AX472" s="83">
        <f t="shared" si="802"/>
        <v>0</v>
      </c>
      <c r="AY472" s="83">
        <f t="shared" si="803"/>
        <v>0</v>
      </c>
      <c r="AZ472" s="83">
        <f t="shared" si="804"/>
        <v>0</v>
      </c>
      <c r="BA472" s="83">
        <f t="shared" si="797"/>
        <v>0</v>
      </c>
      <c r="BB472" s="52"/>
      <c r="BC472" s="52"/>
      <c r="BD472" s="52"/>
      <c r="BE472" s="52"/>
      <c r="BF472" s="52"/>
      <c r="BG472" s="52"/>
      <c r="BH472" s="52"/>
      <c r="BI472" s="68" cm="1">
        <f t="array" ref="BI472">IFERROR(INDEX(AW472:BH472,1,MATCH(2,1/(AW472:BH472&lt;&gt;""))),"")</f>
        <v>0</v>
      </c>
      <c r="BJ472" s="68" cm="1">
        <f t="array" ref="BJ472">IF(BM472 = "", "",IFERROR(INDEX(AW472:BH472,1,MATCH(2,1/(AW472:BH472&lt;&gt;""),1)-1),""))</f>
        <v>0</v>
      </c>
      <c r="BK472" s="59">
        <f t="shared" si="805"/>
        <v>0</v>
      </c>
      <c r="BL472" s="59" cm="1">
        <f t="array" ref="BL472">IFERROR(SUM(AW472:INDEX(AW472:BH472, MATCH(2, 1/(AW472:BH472&lt;&gt;""), 1) - 1))/_xlfn.XLOOKUP(F472,Apuração!A:A,Apuração!B:B),0)</f>
        <v>0</v>
      </c>
      <c r="BM472" s="55" cm="1">
        <f t="array" ref="BM472">IFERROR(
   INDEX($AW$1:$BH$1,
      _xlfn.AGGREGATE(14, 6, COLUMN($AW$1:$BH$1)/(AW472:BH472&lt;&gt;""), 2) - COLUMN($AW$1) + 1
   ),
"")</f>
        <v>46113</v>
      </c>
      <c r="BN472" s="55" cm="1">
        <f t="array" ref="BN472">IFERROR(INDEX($AW$1:$BH$1,1,MATCH(2,1/(AW472:BH472&lt;&gt;""))),"")</f>
        <v>46143</v>
      </c>
      <c r="BO472" s="53">
        <f ca="1">IFERROR(_xlfn.XLOOKUP(F472,Apuração!A:A,Apuração!C:C)/_xlfn.XLOOKUP(F472,Apuração!A:A,Apuração!B:B),0)</f>
        <v>0.22222222222222221</v>
      </c>
      <c r="BP472" s="53">
        <f ca="1">IFERROR(_xlfn.XLOOKUP(F472,Apuração!A:A,Apuração!D:D)/_xlfn.XLOOKUP(F472,Apuração!A:A,Apuração!B:B),0)</f>
        <v>0.1111111111111111</v>
      </c>
      <c r="BQ472" s="53">
        <f ca="1">IF(BK472&gt;=BO472,0,_xlfn.XLOOKUP(F472,Apuração!A:A,Apuração!B:B)*(BO472 + (1/_xlfn.XLOOKUP(F472,Apuração!A:A,Apuração!B:B)) - BK472))</f>
        <v>3</v>
      </c>
      <c r="BR472" s="85">
        <f t="shared" ca="1" si="806"/>
        <v>0</v>
      </c>
      <c r="BS472" s="53">
        <f ca="1">IFERROR((_xlfn.XLOOKUP(F472,Apuração!A:A,Apuração!C:C)+1)/_xlfn.XLOOKUP(F472,Apuração!A:A,Apuração!B:B),0)</f>
        <v>0.33333333333333331</v>
      </c>
    </row>
    <row r="473" spans="1:71" ht="25.95" hidden="1" customHeight="1" x14ac:dyDescent="0.3">
      <c r="A473" s="39" t="s">
        <v>33</v>
      </c>
      <c r="B473" s="4" t="s">
        <v>81</v>
      </c>
      <c r="C473" s="5" t="s">
        <v>97</v>
      </c>
      <c r="D473" s="5" t="s">
        <v>100</v>
      </c>
      <c r="E473" s="4" t="str" cm="1">
        <f t="array" ref="E473">_xlfn.IFS(
F473 = "A partir de Abril", "Aguardando Execução na Distribuidora",
A473 = "CAPACITAÇÃO", "Em execução no Corporativo",
TRUE, "Em Execução na Distribuidora"
)</f>
        <v>Em Execução na Distribuidora</v>
      </c>
      <c r="F473" s="4" t="str" cm="1">
        <f t="array" ref="F473">_xlfn.IFS(
AG473 &lt;&gt; "", "Jan-Dez/26",
AH473 &lt;&gt; "", "Fev-Dez/26",
AI473 &lt;&gt; "", "Mar-Dez/26", AJ473 &lt;&gt; "", "Abr-Dez/26",
TRUE, "A partir de Junho"
)</f>
        <v>Abr-Dez/26</v>
      </c>
      <c r="G473" s="4" t="s">
        <v>37</v>
      </c>
      <c r="H473" s="7" t="s">
        <v>54</v>
      </c>
      <c r="I473" s="9" t="s">
        <v>76</v>
      </c>
      <c r="J473" s="8" t="str" cm="1">
        <f t="array" aca="1" ref="J473" ca="1">_xlfn.LET(
  _xlpm.actual_value_month, INDEX(T473:AE473, MATCH(DATE(YEAR(TODAY()), MONTH(TODAY()), 1), $T$1:$AE$1, 0)),
  IF(_xlpm.actual_value_month &lt;&gt; "",_xlpm.actual_value_month &amp; " ações mensais", "")
)</f>
        <v/>
      </c>
      <c r="K473" s="8" t="str" cm="1">
        <f t="array" ref="K473">_xlfn.LET(
    _xlpm.sum_month, SUM(T473:AE473),
    IF(_xlpm.sum_month = 0, "", _xlpm.sum_month &amp; " público impactado no ano.")
)</f>
        <v/>
      </c>
      <c r="L473" s="9" t="s">
        <v>76</v>
      </c>
      <c r="M473" s="13">
        <v>1</v>
      </c>
      <c r="N473" s="5" t="s">
        <v>51</v>
      </c>
      <c r="O473" s="5" t="s">
        <v>52</v>
      </c>
      <c r="P473" s="10" t="s">
        <v>44</v>
      </c>
      <c r="Q473" s="10" t="s">
        <v>44</v>
      </c>
      <c r="R473" s="11" t="s">
        <v>44</v>
      </c>
      <c r="S473" s="11" t="s">
        <v>44</v>
      </c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G473" s="71"/>
      <c r="AH473" s="71"/>
      <c r="AI473" s="71"/>
      <c r="AJ473" s="82">
        <v>0</v>
      </c>
      <c r="AK473" s="71"/>
      <c r="AL473" s="71"/>
      <c r="AM473" s="71"/>
      <c r="AN473" s="71"/>
      <c r="AO473" s="71"/>
      <c r="AP473" s="71"/>
      <c r="AQ473" s="71"/>
      <c r="AR473" s="71"/>
      <c r="AS473" s="94">
        <f t="shared" ca="1" si="798"/>
        <v>0</v>
      </c>
      <c r="AT473" s="95">
        <f t="shared" si="799"/>
        <v>0</v>
      </c>
      <c r="AU473" s="97">
        <f t="shared" si="800"/>
        <v>0</v>
      </c>
      <c r="AW473" s="83">
        <f t="shared" si="801"/>
        <v>0</v>
      </c>
      <c r="AX473" s="83">
        <f t="shared" si="802"/>
        <v>0</v>
      </c>
      <c r="AY473" s="83">
        <f t="shared" si="803"/>
        <v>0</v>
      </c>
      <c r="AZ473" s="83">
        <f t="shared" si="804"/>
        <v>0</v>
      </c>
      <c r="BA473" s="83">
        <f t="shared" si="797"/>
        <v>0</v>
      </c>
      <c r="BB473" s="52"/>
      <c r="BC473" s="52"/>
      <c r="BD473" s="52"/>
      <c r="BE473" s="52"/>
      <c r="BF473" s="52"/>
      <c r="BG473" s="52"/>
      <c r="BH473" s="52"/>
      <c r="BI473" s="68" cm="1">
        <f t="array" ref="BI473">IFERROR(INDEX(AW473:BH473,1,MATCH(2,1/(AW473:BH473&lt;&gt;""))),"")</f>
        <v>0</v>
      </c>
      <c r="BJ473" s="68" cm="1">
        <f t="array" ref="BJ473">IF(BM473 = "", "",IFERROR(INDEX(AW473:BH473,1,MATCH(2,1/(AW473:BH473&lt;&gt;""),1)-1),""))</f>
        <v>0</v>
      </c>
      <c r="BK473" s="59">
        <f t="shared" si="805"/>
        <v>0</v>
      </c>
      <c r="BL473" s="59" cm="1">
        <f t="array" ref="BL473">IFERROR(SUM(AW473:INDEX(AW473:BH473, MATCH(2, 1/(AW473:BH473&lt;&gt;""), 1) - 1))/_xlfn.XLOOKUP(F473,Apuração!A:A,Apuração!B:B),0)</f>
        <v>0</v>
      </c>
      <c r="BM473" s="55" cm="1">
        <f t="array" ref="BM473">IFERROR(
   INDEX($AW$1:$BH$1,
      _xlfn.AGGREGATE(14, 6, COLUMN($AW$1:$BH$1)/(AW473:BH473&lt;&gt;""), 2) - COLUMN($AW$1) + 1
   ),
"")</f>
        <v>46113</v>
      </c>
      <c r="BN473" s="55" cm="1">
        <f t="array" ref="BN473">IFERROR(INDEX($AW$1:$BH$1,1,MATCH(2,1/(AW473:BH473&lt;&gt;""))),"")</f>
        <v>46143</v>
      </c>
      <c r="BO473" s="53">
        <f ca="1">IFERROR(_xlfn.XLOOKUP(F473,Apuração!A:A,Apuração!C:C)/_xlfn.XLOOKUP(F473,Apuração!A:A,Apuração!B:B),0)</f>
        <v>0.22222222222222221</v>
      </c>
      <c r="BP473" s="53">
        <f ca="1">IFERROR(_xlfn.XLOOKUP(F473,Apuração!A:A,Apuração!D:D)/_xlfn.XLOOKUP(F473,Apuração!A:A,Apuração!B:B),0)</f>
        <v>0.1111111111111111</v>
      </c>
      <c r="BQ473" s="53">
        <f ca="1">IF(BK473&gt;=BO473,0,_xlfn.XLOOKUP(F473,Apuração!A:A,Apuração!B:B)*(BO473 + (1/_xlfn.XLOOKUP(F473,Apuração!A:A,Apuração!B:B)) - BK473))</f>
        <v>3</v>
      </c>
      <c r="BR473" s="85">
        <f t="shared" ca="1" si="806"/>
        <v>0</v>
      </c>
      <c r="BS473" s="53">
        <f ca="1">IFERROR((_xlfn.XLOOKUP(F473,Apuração!A:A,Apuração!C:C)+1)/_xlfn.XLOOKUP(F473,Apuração!A:A,Apuração!B:B),0)</f>
        <v>0.33333333333333331</v>
      </c>
    </row>
    <row r="474" spans="1:71" ht="25.95" hidden="1" customHeight="1" x14ac:dyDescent="0.3">
      <c r="A474" s="39" t="s">
        <v>33</v>
      </c>
      <c r="B474" s="4" t="s">
        <v>81</v>
      </c>
      <c r="C474" s="5" t="s">
        <v>97</v>
      </c>
      <c r="D474" s="5" t="s">
        <v>101</v>
      </c>
      <c r="E474" s="4" t="str" cm="1">
        <f t="array" ref="E474">_xlfn.IFS(
F474 = "A partir de Abril", "Aguardando Execução na Distribuidora",
A474 = "CAPACITAÇÃO", "Em execução no Corporativo",
TRUE, "Em Execução na Distribuidora"
)</f>
        <v>Em Execução na Distribuidora</v>
      </c>
      <c r="F474" s="4" t="str" cm="1">
        <f t="array" ref="F474">_xlfn.IFS(
AG474 &lt;&gt; "", "Jan-Dez/26",
AH474 &lt;&gt; "", "Fev-Dez/26",
AI474 &lt;&gt; "", "Mar-Dez/26", AJ474 &lt;&gt; "", "Abr-Dez/26",
TRUE, "A partir de Junho"
)</f>
        <v>Abr-Dez/26</v>
      </c>
      <c r="G474" s="4" t="s">
        <v>37</v>
      </c>
      <c r="H474" s="7" t="s">
        <v>54</v>
      </c>
      <c r="I474" s="9" t="s">
        <v>76</v>
      </c>
      <c r="J474" s="8" t="str" cm="1">
        <f t="array" aca="1" ref="J474" ca="1">_xlfn.LET(
  _xlpm.actual_value_month, INDEX(T474:AE474, MATCH(DATE(YEAR(TODAY()), MONTH(TODAY()), 1), $T$1:$AE$1, 0)),
  IF(_xlpm.actual_value_month &lt;&gt; "",_xlpm.actual_value_month &amp; " ações mensais", "")
)</f>
        <v/>
      </c>
      <c r="K474" s="8" t="str" cm="1">
        <f t="array" ref="K474">_xlfn.LET(
    _xlpm.sum_month, SUM(T474:AE474),
    IF(_xlpm.sum_month = 0, "", _xlpm.sum_month &amp; " público impactado no ano.")
)</f>
        <v/>
      </c>
      <c r="L474" s="9" t="s">
        <v>76</v>
      </c>
      <c r="M474" s="13">
        <v>1</v>
      </c>
      <c r="N474" s="5" t="s">
        <v>51</v>
      </c>
      <c r="O474" s="5" t="s">
        <v>52</v>
      </c>
      <c r="P474" s="10" t="s">
        <v>44</v>
      </c>
      <c r="Q474" s="10" t="s">
        <v>44</v>
      </c>
      <c r="R474" s="11" t="s">
        <v>44</v>
      </c>
      <c r="S474" s="11" t="s">
        <v>44</v>
      </c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G474" s="71"/>
      <c r="AH474" s="71"/>
      <c r="AI474" s="71"/>
      <c r="AJ474" s="82">
        <v>0</v>
      </c>
      <c r="AK474" s="71"/>
      <c r="AL474" s="71"/>
      <c r="AM474" s="71"/>
      <c r="AN474" s="71"/>
      <c r="AO474" s="71"/>
      <c r="AP474" s="71"/>
      <c r="AQ474" s="71"/>
      <c r="AR474" s="71"/>
      <c r="AS474" s="94">
        <f t="shared" ca="1" si="798"/>
        <v>0</v>
      </c>
      <c r="AT474" s="95">
        <f t="shared" si="799"/>
        <v>0</v>
      </c>
      <c r="AU474" s="97">
        <f t="shared" si="800"/>
        <v>0</v>
      </c>
      <c r="AW474" s="83">
        <f t="shared" si="801"/>
        <v>0</v>
      </c>
      <c r="AX474" s="83">
        <f t="shared" si="802"/>
        <v>0</v>
      </c>
      <c r="AY474" s="83">
        <f t="shared" si="803"/>
        <v>0</v>
      </c>
      <c r="AZ474" s="83">
        <f t="shared" si="804"/>
        <v>0</v>
      </c>
      <c r="BA474" s="83">
        <f t="shared" si="797"/>
        <v>0</v>
      </c>
      <c r="BB474" s="52"/>
      <c r="BC474" s="52"/>
      <c r="BD474" s="52"/>
      <c r="BE474" s="52"/>
      <c r="BF474" s="52"/>
      <c r="BG474" s="52"/>
      <c r="BH474" s="52"/>
      <c r="BI474" s="68" cm="1">
        <f t="array" ref="BI474">IFERROR(INDEX(AW474:BH474,1,MATCH(2,1/(AW474:BH474&lt;&gt;""))),"")</f>
        <v>0</v>
      </c>
      <c r="BJ474" s="68" cm="1">
        <f t="array" ref="BJ474">IF(BM474 = "", "",IFERROR(INDEX(AW474:BH474,1,MATCH(2,1/(AW474:BH474&lt;&gt;""),1)-1),""))</f>
        <v>0</v>
      </c>
      <c r="BK474" s="59">
        <f t="shared" si="805"/>
        <v>0</v>
      </c>
      <c r="BL474" s="59" cm="1">
        <f t="array" ref="BL474">IFERROR(SUM(AW474:INDEX(AW474:BH474, MATCH(2, 1/(AW474:BH474&lt;&gt;""), 1) - 1))/_xlfn.XLOOKUP(F474,Apuração!A:A,Apuração!B:B),0)</f>
        <v>0</v>
      </c>
      <c r="BM474" s="55" cm="1">
        <f t="array" ref="BM474">IFERROR(
   INDEX($AW$1:$BH$1,
      _xlfn.AGGREGATE(14, 6, COLUMN($AW$1:$BH$1)/(AW474:BH474&lt;&gt;""), 2) - COLUMN($AW$1) + 1
   ),
"")</f>
        <v>46113</v>
      </c>
      <c r="BN474" s="55" cm="1">
        <f t="array" ref="BN474">IFERROR(INDEX($AW$1:$BH$1,1,MATCH(2,1/(AW474:BH474&lt;&gt;""))),"")</f>
        <v>46143</v>
      </c>
      <c r="BO474" s="53">
        <f ca="1">IFERROR(_xlfn.XLOOKUP(F474,Apuração!A:A,Apuração!C:C)/_xlfn.XLOOKUP(F474,Apuração!A:A,Apuração!B:B),0)</f>
        <v>0.22222222222222221</v>
      </c>
      <c r="BP474" s="53">
        <f ca="1">IFERROR(_xlfn.XLOOKUP(F474,Apuração!A:A,Apuração!D:D)/_xlfn.XLOOKUP(F474,Apuração!A:A,Apuração!B:B),0)</f>
        <v>0.1111111111111111</v>
      </c>
      <c r="BQ474" s="53">
        <f ca="1">IF(BK474&gt;=BO474,0,_xlfn.XLOOKUP(F474,Apuração!A:A,Apuração!B:B)*(BO474 + (1/_xlfn.XLOOKUP(F474,Apuração!A:A,Apuração!B:B)) - BK474))</f>
        <v>3</v>
      </c>
      <c r="BR474" s="85">
        <f t="shared" ca="1" si="806"/>
        <v>0</v>
      </c>
      <c r="BS474" s="53">
        <f ca="1">IFERROR((_xlfn.XLOOKUP(F474,Apuração!A:A,Apuração!C:C)+1)/_xlfn.XLOOKUP(F474,Apuração!A:A,Apuração!B:B),0)</f>
        <v>0.33333333333333331</v>
      </c>
    </row>
    <row r="475" spans="1:71" ht="25.95" hidden="1" customHeight="1" x14ac:dyDescent="0.3">
      <c r="A475" s="39" t="s">
        <v>33</v>
      </c>
      <c r="B475" s="4" t="s">
        <v>81</v>
      </c>
      <c r="C475" s="5" t="s">
        <v>97</v>
      </c>
      <c r="D475" s="5" t="s">
        <v>102</v>
      </c>
      <c r="E475" s="4" t="str" cm="1">
        <f t="array" ref="E475">_xlfn.IFS(
F475 = "A partir de Abril", "Aguardando Execução na Distribuidora",
A475 = "CAPACITAÇÃO", "Em execução no Corporativo",
TRUE, "Em Execução na Distribuidora"
)</f>
        <v>Em Execução na Distribuidora</v>
      </c>
      <c r="F475" s="4" t="str" cm="1">
        <f t="array" ref="F475">_xlfn.IFS(
AG475 &lt;&gt; "", "Jan-Dez/26",
AH475 &lt;&gt; "", "Fev-Dez/26",
AI475 &lt;&gt; "", "Mar-Dez/26", AJ475 &lt;&gt; "", "Abr-Dez/26",
TRUE, "A partir de Junho"
)</f>
        <v>Abr-Dez/26</v>
      </c>
      <c r="G475" s="4" t="s">
        <v>37</v>
      </c>
      <c r="H475" s="7" t="s">
        <v>54</v>
      </c>
      <c r="I475" s="9" t="s">
        <v>76</v>
      </c>
      <c r="J475" s="8" t="str" cm="1">
        <f t="array" aca="1" ref="J475" ca="1">_xlfn.LET(
  _xlpm.actual_value_month, INDEX(T475:AE475, MATCH(DATE(YEAR(TODAY()), MONTH(TODAY()), 1), $T$1:$AE$1, 0)),
  IF(_xlpm.actual_value_month &lt;&gt; "",_xlpm.actual_value_month &amp; " ações mensais", "")
)</f>
        <v/>
      </c>
      <c r="K475" s="8" t="str" cm="1">
        <f t="array" ref="K475">_xlfn.LET(
    _xlpm.sum_month, SUM(T475:AE475),
    IF(_xlpm.sum_month = 0, "", _xlpm.sum_month &amp; " público impactado no ano.")
)</f>
        <v/>
      </c>
      <c r="L475" s="9" t="s">
        <v>76</v>
      </c>
      <c r="M475" s="13">
        <v>1</v>
      </c>
      <c r="N475" s="5" t="s">
        <v>51</v>
      </c>
      <c r="O475" s="5" t="s">
        <v>52</v>
      </c>
      <c r="P475" s="10" t="s">
        <v>44</v>
      </c>
      <c r="Q475" s="10" t="s">
        <v>44</v>
      </c>
      <c r="R475" s="11" t="s">
        <v>44</v>
      </c>
      <c r="S475" s="11" t="s">
        <v>44</v>
      </c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G475" s="71"/>
      <c r="AH475" s="71"/>
      <c r="AI475" s="71"/>
      <c r="AJ475" s="82">
        <v>0</v>
      </c>
      <c r="AK475" s="71">
        <v>2</v>
      </c>
      <c r="AL475" s="71"/>
      <c r="AM475" s="71"/>
      <c r="AN475" s="71"/>
      <c r="AO475" s="71"/>
      <c r="AP475" s="71"/>
      <c r="AQ475" s="71"/>
      <c r="AR475" s="71"/>
      <c r="AS475" s="94">
        <f t="shared" ca="1" si="798"/>
        <v>0</v>
      </c>
      <c r="AT475" s="95">
        <f t="shared" si="799"/>
        <v>2</v>
      </c>
      <c r="AU475" s="97">
        <f t="shared" si="800"/>
        <v>2</v>
      </c>
      <c r="AW475" s="83">
        <f t="shared" si="801"/>
        <v>0</v>
      </c>
      <c r="AX475" s="83">
        <f t="shared" si="802"/>
        <v>0</v>
      </c>
      <c r="AY475" s="83">
        <f t="shared" si="803"/>
        <v>0</v>
      </c>
      <c r="AZ475" s="83">
        <f t="shared" si="804"/>
        <v>0</v>
      </c>
      <c r="BA475" s="83">
        <f t="shared" si="797"/>
        <v>2</v>
      </c>
      <c r="BB475" s="52"/>
      <c r="BC475" s="52"/>
      <c r="BD475" s="52"/>
      <c r="BE475" s="52"/>
      <c r="BF475" s="52"/>
      <c r="BG475" s="52"/>
      <c r="BH475" s="52"/>
      <c r="BI475" s="68" cm="1">
        <f t="array" ref="BI475">IFERROR(INDEX(AW475:BH475,1,MATCH(2,1/(AW475:BH475&lt;&gt;""))),"")</f>
        <v>2</v>
      </c>
      <c r="BJ475" s="68" cm="1">
        <f t="array" ref="BJ475">IF(BM475 = "", "",IFERROR(INDEX(AW475:BH475,1,MATCH(2,1/(AW475:BH475&lt;&gt;""),1)-1),""))</f>
        <v>0</v>
      </c>
      <c r="BK475" s="59">
        <f t="shared" si="805"/>
        <v>2</v>
      </c>
      <c r="BL475" s="59" cm="1">
        <f t="array" ref="BL475">IFERROR(SUM(AW475:INDEX(AW475:BH475, MATCH(2, 1/(AW475:BH475&lt;&gt;""), 1) - 1))/_xlfn.XLOOKUP(F475,Apuração!A:A,Apuração!B:B),0)</f>
        <v>0</v>
      </c>
      <c r="BM475" s="55" cm="1">
        <f t="array" ref="BM475">IFERROR(
   INDEX($AW$1:$BH$1,
      _xlfn.AGGREGATE(14, 6, COLUMN($AW$1:$BH$1)/(AW475:BH475&lt;&gt;""), 2) - COLUMN($AW$1) + 1
   ),
"")</f>
        <v>46113</v>
      </c>
      <c r="BN475" s="55" cm="1">
        <f t="array" ref="BN475">IFERROR(INDEX($AW$1:$BH$1,1,MATCH(2,1/(AW475:BH475&lt;&gt;""))),"")</f>
        <v>46143</v>
      </c>
      <c r="BO475" s="53">
        <f ca="1">IFERROR(_xlfn.XLOOKUP(F475,Apuração!A:A,Apuração!C:C)/_xlfn.XLOOKUP(F475,Apuração!A:A,Apuração!B:B),0)</f>
        <v>0.22222222222222221</v>
      </c>
      <c r="BP475" s="53">
        <f ca="1">IFERROR(_xlfn.XLOOKUP(F475,Apuração!A:A,Apuração!D:D)/_xlfn.XLOOKUP(F475,Apuração!A:A,Apuração!B:B),0)</f>
        <v>0.1111111111111111</v>
      </c>
      <c r="BQ475" s="53">
        <f ca="1">IF(BK475&gt;=BO475,0,_xlfn.XLOOKUP(F475,Apuração!A:A,Apuração!B:B)*(BO475 + (1/_xlfn.XLOOKUP(F475,Apuração!A:A,Apuração!B:B)) - BK475))</f>
        <v>0</v>
      </c>
      <c r="BR475" s="85">
        <f t="shared" ca="1" si="806"/>
        <v>0</v>
      </c>
      <c r="BS475" s="53">
        <f ca="1">IFERROR((_xlfn.XLOOKUP(F475,Apuração!A:A,Apuração!C:C)+1)/_xlfn.XLOOKUP(F475,Apuração!A:A,Apuração!B:B),0)</f>
        <v>0.33333333333333331</v>
      </c>
    </row>
    <row r="476" spans="1:71" ht="25.95" hidden="1" customHeight="1" x14ac:dyDescent="0.3">
      <c r="A476" s="39" t="s">
        <v>33</v>
      </c>
      <c r="B476" s="4" t="s">
        <v>81</v>
      </c>
      <c r="C476" s="5" t="s">
        <v>97</v>
      </c>
      <c r="D476" s="5" t="s">
        <v>103</v>
      </c>
      <c r="E476" s="4" t="str" cm="1">
        <f t="array" ref="E476">_xlfn.IFS(
F476 = "A partir de Abril", "Aguardando Execução na Distribuidora",
A476 = "CAPACITAÇÃO", "Em execução no Corporativo",
TRUE, "Em Execução na Distribuidora"
)</f>
        <v>Em Execução na Distribuidora</v>
      </c>
      <c r="F476" s="4" t="str" cm="1">
        <f t="array" ref="F476">_xlfn.IFS(
AG476 &lt;&gt; "", "Jan-Dez/26",
AH476 &lt;&gt; "", "Fev-Dez/26",
AI476 &lt;&gt; "", "Mar-Dez/26", AJ476 &lt;&gt; "", "Abr-Dez/26",
TRUE, "A partir de Junho"
)</f>
        <v>Abr-Dez/26</v>
      </c>
      <c r="G476" s="4" t="s">
        <v>37</v>
      </c>
      <c r="H476" s="7" t="s">
        <v>54</v>
      </c>
      <c r="I476" s="9" t="s">
        <v>76</v>
      </c>
      <c r="J476" s="8" t="str" cm="1">
        <f t="array" aca="1" ref="J476" ca="1">_xlfn.LET(
  _xlpm.actual_value_month, INDEX(T476:AE476, MATCH(DATE(YEAR(TODAY()), MONTH(TODAY()), 1), $T$1:$AE$1, 0)),
  IF(_xlpm.actual_value_month &lt;&gt; "",_xlpm.actual_value_month &amp; " ações mensais", "")
)</f>
        <v/>
      </c>
      <c r="K476" s="8" t="str" cm="1">
        <f t="array" ref="K476">_xlfn.LET(
    _xlpm.sum_month, SUM(T476:AE476),
    IF(_xlpm.sum_month = 0, "", _xlpm.sum_month &amp; " público impactado no ano.")
)</f>
        <v/>
      </c>
      <c r="L476" s="9" t="s">
        <v>76</v>
      </c>
      <c r="M476" s="13">
        <v>1</v>
      </c>
      <c r="N476" s="5" t="s">
        <v>51</v>
      </c>
      <c r="O476" s="5" t="s">
        <v>52</v>
      </c>
      <c r="P476" s="10" t="s">
        <v>44</v>
      </c>
      <c r="Q476" s="10" t="s">
        <v>44</v>
      </c>
      <c r="R476" s="11" t="s">
        <v>44</v>
      </c>
      <c r="S476" s="11" t="s">
        <v>44</v>
      </c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G476" s="71"/>
      <c r="AH476" s="71"/>
      <c r="AI476" s="71"/>
      <c r="AJ476" s="82">
        <v>0</v>
      </c>
      <c r="AK476" s="71">
        <v>1</v>
      </c>
      <c r="AL476" s="71"/>
      <c r="AM476" s="71"/>
      <c r="AN476" s="71"/>
      <c r="AO476" s="71"/>
      <c r="AP476" s="71"/>
      <c r="AQ476" s="71"/>
      <c r="AR476" s="71"/>
      <c r="AS476" s="94">
        <f t="shared" ca="1" si="798"/>
        <v>0</v>
      </c>
      <c r="AT476" s="95">
        <f t="shared" si="799"/>
        <v>1</v>
      </c>
      <c r="AU476" s="97">
        <f t="shared" si="800"/>
        <v>1</v>
      </c>
      <c r="AW476" s="83">
        <f t="shared" si="801"/>
        <v>0</v>
      </c>
      <c r="AX476" s="83">
        <f t="shared" si="802"/>
        <v>0</v>
      </c>
      <c r="AY476" s="83">
        <f t="shared" si="803"/>
        <v>0</v>
      </c>
      <c r="AZ476" s="83">
        <f t="shared" si="804"/>
        <v>0</v>
      </c>
      <c r="BA476" s="83">
        <f t="shared" si="797"/>
        <v>1</v>
      </c>
      <c r="BB476" s="52"/>
      <c r="BC476" s="52"/>
      <c r="BD476" s="52"/>
      <c r="BE476" s="52"/>
      <c r="BF476" s="52"/>
      <c r="BG476" s="52"/>
      <c r="BH476" s="52"/>
      <c r="BI476" s="68" cm="1">
        <f t="array" ref="BI476">IFERROR(INDEX(AW476:BH476,1,MATCH(2,1/(AW476:BH476&lt;&gt;""))),"")</f>
        <v>1</v>
      </c>
      <c r="BJ476" s="68" cm="1">
        <f t="array" ref="BJ476">IF(BM476 = "", "",IFERROR(INDEX(AW476:BH476,1,MATCH(2,1/(AW476:BH476&lt;&gt;""),1)-1),""))</f>
        <v>0</v>
      </c>
      <c r="BK476" s="59">
        <f t="shared" si="805"/>
        <v>1</v>
      </c>
      <c r="BL476" s="59" cm="1">
        <f t="array" ref="BL476">IFERROR(SUM(AW476:INDEX(AW476:BH476, MATCH(2, 1/(AW476:BH476&lt;&gt;""), 1) - 1))/_xlfn.XLOOKUP(F476,Apuração!A:A,Apuração!B:B),0)</f>
        <v>0</v>
      </c>
      <c r="BM476" s="55" cm="1">
        <f t="array" ref="BM476">IFERROR(
   INDEX($AW$1:$BH$1,
      _xlfn.AGGREGATE(14, 6, COLUMN($AW$1:$BH$1)/(AW476:BH476&lt;&gt;""), 2) - COLUMN($AW$1) + 1
   ),
"")</f>
        <v>46113</v>
      </c>
      <c r="BN476" s="55" cm="1">
        <f t="array" ref="BN476">IFERROR(INDEX($AW$1:$BH$1,1,MATCH(2,1/(AW476:BH476&lt;&gt;""))),"")</f>
        <v>46143</v>
      </c>
      <c r="BO476" s="53">
        <f ca="1">IFERROR(_xlfn.XLOOKUP(F476,Apuração!A:A,Apuração!C:C)/_xlfn.XLOOKUP(F476,Apuração!A:A,Apuração!B:B),0)</f>
        <v>0.22222222222222221</v>
      </c>
      <c r="BP476" s="53">
        <f ca="1">IFERROR(_xlfn.XLOOKUP(F476,Apuração!A:A,Apuração!D:D)/_xlfn.XLOOKUP(F476,Apuração!A:A,Apuração!B:B),0)</f>
        <v>0.1111111111111111</v>
      </c>
      <c r="BQ476" s="53">
        <f ca="1">IF(BK476&gt;=BO476,0,_xlfn.XLOOKUP(F476,Apuração!A:A,Apuração!B:B)*(BO476 + (1/_xlfn.XLOOKUP(F476,Apuração!A:A,Apuração!B:B)) - BK476))</f>
        <v>0</v>
      </c>
      <c r="BR476" s="85">
        <f t="shared" ca="1" si="806"/>
        <v>0</v>
      </c>
      <c r="BS476" s="53">
        <f ca="1">IFERROR((_xlfn.XLOOKUP(F476,Apuração!A:A,Apuração!C:C)+1)/_xlfn.XLOOKUP(F476,Apuração!A:A,Apuração!B:B),0)</f>
        <v>0.33333333333333331</v>
      </c>
    </row>
    <row r="477" spans="1:71" ht="25.95" hidden="1" customHeight="1" x14ac:dyDescent="0.3">
      <c r="A477" s="39" t="s">
        <v>33</v>
      </c>
      <c r="B477" s="4" t="s">
        <v>81</v>
      </c>
      <c r="C477" s="5" t="s">
        <v>97</v>
      </c>
      <c r="D477" s="5" t="s">
        <v>104</v>
      </c>
      <c r="E477" s="4" t="str" cm="1">
        <f t="array" ref="E477">_xlfn.IFS(
F477 = "A partir de Abril", "Aguardando Execução na Distribuidora",
A477 = "CAPACITAÇÃO", "Em execução no Corporativo",
TRUE, "Em Execução na Distribuidora"
)</f>
        <v>Em Execução na Distribuidora</v>
      </c>
      <c r="F477" s="4" t="str" cm="1">
        <f t="array" ref="F477">_xlfn.IFS(
AG477 &lt;&gt; "", "Jan-Dez/26",
AH477 &lt;&gt; "", "Fev-Dez/26",
AI477 &lt;&gt; "", "Mar-Dez/26", AJ477 &lt;&gt; "", "Abr-Dez/26",
TRUE, "A partir de Junho"
)</f>
        <v>Abr-Dez/26</v>
      </c>
      <c r="G477" s="4" t="s">
        <v>37</v>
      </c>
      <c r="H477" s="7" t="s">
        <v>54</v>
      </c>
      <c r="I477" s="9" t="s">
        <v>76</v>
      </c>
      <c r="J477" s="8" t="str" cm="1">
        <f t="array" aca="1" ref="J477" ca="1">_xlfn.LET(
  _xlpm.actual_value_month, INDEX(T477:AE477, MATCH(DATE(YEAR(TODAY()), MONTH(TODAY()), 1), $T$1:$AE$1, 0)),
  IF(_xlpm.actual_value_month &lt;&gt; "",_xlpm.actual_value_month &amp; " ações mensais", "")
)</f>
        <v/>
      </c>
      <c r="K477" s="8" t="str" cm="1">
        <f t="array" ref="K477">_xlfn.LET(
    _xlpm.sum_month, SUM(T477:AE477),
    IF(_xlpm.sum_month = 0, "", _xlpm.sum_month &amp; " público impactado no ano.")
)</f>
        <v/>
      </c>
      <c r="L477" s="9" t="s">
        <v>76</v>
      </c>
      <c r="M477" s="13">
        <v>1</v>
      </c>
      <c r="N477" s="5" t="s">
        <v>51</v>
      </c>
      <c r="O477" s="5" t="s">
        <v>52</v>
      </c>
      <c r="P477" s="10" t="s">
        <v>44</v>
      </c>
      <c r="Q477" s="10" t="s">
        <v>44</v>
      </c>
      <c r="R477" s="11" t="s">
        <v>44</v>
      </c>
      <c r="S477" s="11" t="s">
        <v>44</v>
      </c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G477" s="71"/>
      <c r="AH477" s="71"/>
      <c r="AI477" s="71"/>
      <c r="AJ477" s="82">
        <v>0</v>
      </c>
      <c r="AK477" s="71"/>
      <c r="AL477" s="71"/>
      <c r="AM477" s="71"/>
      <c r="AN477" s="71"/>
      <c r="AO477" s="71"/>
      <c r="AP477" s="71"/>
      <c r="AQ477" s="71"/>
      <c r="AR477" s="71"/>
      <c r="AS477" s="94">
        <f t="shared" ca="1" si="798"/>
        <v>0</v>
      </c>
      <c r="AT477" s="95">
        <f t="shared" si="799"/>
        <v>0</v>
      </c>
      <c r="AU477" s="97">
        <f t="shared" si="800"/>
        <v>0</v>
      </c>
      <c r="AW477" s="83">
        <f t="shared" si="801"/>
        <v>0</v>
      </c>
      <c r="AX477" s="83">
        <f t="shared" si="802"/>
        <v>0</v>
      </c>
      <c r="AY477" s="83">
        <f t="shared" si="803"/>
        <v>0</v>
      </c>
      <c r="AZ477" s="83">
        <f t="shared" si="804"/>
        <v>0</v>
      </c>
      <c r="BA477" s="83">
        <f t="shared" si="797"/>
        <v>0</v>
      </c>
      <c r="BB477" s="52"/>
      <c r="BC477" s="52"/>
      <c r="BD477" s="52"/>
      <c r="BE477" s="52"/>
      <c r="BF477" s="52"/>
      <c r="BG477" s="52"/>
      <c r="BH477" s="52"/>
      <c r="BI477" s="68" cm="1">
        <f t="array" ref="BI477">IFERROR(INDEX(AW477:BH477,1,MATCH(2,1/(AW477:BH477&lt;&gt;""))),"")</f>
        <v>0</v>
      </c>
      <c r="BJ477" s="68" cm="1">
        <f t="array" ref="BJ477">IF(BM477 = "", "",IFERROR(INDEX(AW477:BH477,1,MATCH(2,1/(AW477:BH477&lt;&gt;""),1)-1),""))</f>
        <v>0</v>
      </c>
      <c r="BK477" s="59">
        <f t="shared" si="805"/>
        <v>0</v>
      </c>
      <c r="BL477" s="59" cm="1">
        <f t="array" ref="BL477">IFERROR(SUM(AW477:INDEX(AW477:BH477, MATCH(2, 1/(AW477:BH477&lt;&gt;""), 1) - 1))/_xlfn.XLOOKUP(F477,Apuração!A:A,Apuração!B:B),0)</f>
        <v>0</v>
      </c>
      <c r="BM477" s="55" cm="1">
        <f t="array" ref="BM477">IFERROR(
   INDEX($AW$1:$BH$1,
      _xlfn.AGGREGATE(14, 6, COLUMN($AW$1:$BH$1)/(AW477:BH477&lt;&gt;""), 2) - COLUMN($AW$1) + 1
   ),
"")</f>
        <v>46113</v>
      </c>
      <c r="BN477" s="55" cm="1">
        <f t="array" ref="BN477">IFERROR(INDEX($AW$1:$BH$1,1,MATCH(2,1/(AW477:BH477&lt;&gt;""))),"")</f>
        <v>46143</v>
      </c>
      <c r="BO477" s="53">
        <f ca="1">IFERROR(_xlfn.XLOOKUP(F477,Apuração!A:A,Apuração!C:C)/_xlfn.XLOOKUP(F477,Apuração!A:A,Apuração!B:B),0)</f>
        <v>0.22222222222222221</v>
      </c>
      <c r="BP477" s="53">
        <f ca="1">IFERROR(_xlfn.XLOOKUP(F477,Apuração!A:A,Apuração!D:D)/_xlfn.XLOOKUP(F477,Apuração!A:A,Apuração!B:B),0)</f>
        <v>0.1111111111111111</v>
      </c>
      <c r="BQ477" s="53">
        <f ca="1">IF(BK477&gt;=BO477,0,_xlfn.XLOOKUP(F477,Apuração!A:A,Apuração!B:B)*(BO477 + (1/_xlfn.XLOOKUP(F477,Apuração!A:A,Apuração!B:B)) - BK477))</f>
        <v>3</v>
      </c>
      <c r="BR477" s="85">
        <f t="shared" ca="1" si="806"/>
        <v>0</v>
      </c>
      <c r="BS477" s="53">
        <f ca="1">IFERROR((_xlfn.XLOOKUP(F477,Apuração!A:A,Apuração!C:C)+1)/_xlfn.XLOOKUP(F477,Apuração!A:A,Apuração!B:B),0)</f>
        <v>0.33333333333333331</v>
      </c>
    </row>
    <row r="478" spans="1:71" ht="25.95" hidden="1" customHeight="1" x14ac:dyDescent="0.3">
      <c r="A478" s="39" t="s">
        <v>33</v>
      </c>
      <c r="B478" s="4" t="s">
        <v>81</v>
      </c>
      <c r="C478" s="5" t="s">
        <v>97</v>
      </c>
      <c r="D478" s="5" t="s">
        <v>105</v>
      </c>
      <c r="E478" s="4" t="str" cm="1">
        <f t="array" ref="E478">_xlfn.IFS(
F478 = "A partir de Abril", "Aguardando Execução na Distribuidora",
A478 = "CAPACITAÇÃO", "Em execução no Corporativo",
TRUE, "Em Execução na Distribuidora"
)</f>
        <v>Em Execução na Distribuidora</v>
      </c>
      <c r="F478" s="4" t="str" cm="1">
        <f t="array" ref="F478">_xlfn.IFS(
AG478 &lt;&gt; "", "Jan-Dez/26",
AH478 &lt;&gt; "", "Fev-Dez/26",
AI478 &lt;&gt; "", "Mar-Dez/26", AJ478 &lt;&gt; "", "Abr-Dez/26",
TRUE, "A partir de Junho"
)</f>
        <v>Abr-Dez/26</v>
      </c>
      <c r="G478" s="4" t="s">
        <v>37</v>
      </c>
      <c r="H478" s="7" t="s">
        <v>54</v>
      </c>
      <c r="I478" s="9" t="s">
        <v>76</v>
      </c>
      <c r="J478" s="8" t="str" cm="1">
        <f t="array" aca="1" ref="J478" ca="1">_xlfn.LET(
  _xlpm.actual_value_month, INDEX(T478:AE478, MATCH(DATE(YEAR(TODAY()), MONTH(TODAY()), 1), $T$1:$AE$1, 0)),
  IF(_xlpm.actual_value_month &lt;&gt; "",_xlpm.actual_value_month &amp; " ações mensais", "")
)</f>
        <v/>
      </c>
      <c r="K478" s="8" t="str" cm="1">
        <f t="array" ref="K478">_xlfn.LET(
    _xlpm.sum_month, SUM(T478:AE478),
    IF(_xlpm.sum_month = 0, "", _xlpm.sum_month &amp; " público impactado no ano.")
)</f>
        <v/>
      </c>
      <c r="L478" s="9" t="s">
        <v>76</v>
      </c>
      <c r="M478" s="13">
        <v>1</v>
      </c>
      <c r="N478" s="5" t="s">
        <v>51</v>
      </c>
      <c r="O478" s="5" t="s">
        <v>52</v>
      </c>
      <c r="P478" s="10" t="s">
        <v>44</v>
      </c>
      <c r="Q478" s="10" t="s">
        <v>44</v>
      </c>
      <c r="R478" s="11" t="s">
        <v>44</v>
      </c>
      <c r="S478" s="11" t="s">
        <v>44</v>
      </c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G478" s="71"/>
      <c r="AH478" s="71"/>
      <c r="AI478" s="71"/>
      <c r="AJ478" s="82">
        <v>0</v>
      </c>
      <c r="AK478" s="71"/>
      <c r="AL478" s="71"/>
      <c r="AM478" s="71"/>
      <c r="AN478" s="71"/>
      <c r="AO478" s="71"/>
      <c r="AP478" s="71"/>
      <c r="AQ478" s="71"/>
      <c r="AR478" s="71"/>
      <c r="AS478" s="94">
        <f t="shared" ca="1" si="798"/>
        <v>0</v>
      </c>
      <c r="AT478" s="95">
        <f t="shared" si="799"/>
        <v>0</v>
      </c>
      <c r="AU478" s="97">
        <f t="shared" si="800"/>
        <v>0</v>
      </c>
      <c r="AW478" s="83">
        <f t="shared" si="801"/>
        <v>0</v>
      </c>
      <c r="AX478" s="83">
        <f t="shared" si="802"/>
        <v>0</v>
      </c>
      <c r="AY478" s="83">
        <f t="shared" si="803"/>
        <v>0</v>
      </c>
      <c r="AZ478" s="83">
        <f t="shared" si="804"/>
        <v>0</v>
      </c>
      <c r="BA478" s="83">
        <f t="shared" si="797"/>
        <v>0</v>
      </c>
      <c r="BB478" s="52"/>
      <c r="BC478" s="52"/>
      <c r="BD478" s="52"/>
      <c r="BE478" s="52"/>
      <c r="BF478" s="52"/>
      <c r="BG478" s="52"/>
      <c r="BH478" s="52"/>
      <c r="BI478" s="68" cm="1">
        <f t="array" ref="BI478">IFERROR(INDEX(AW478:BH478,1,MATCH(2,1/(AW478:BH478&lt;&gt;""))),"")</f>
        <v>0</v>
      </c>
      <c r="BJ478" s="68" cm="1">
        <f t="array" ref="BJ478">IF(BM478 = "", "",IFERROR(INDEX(AW478:BH478,1,MATCH(2,1/(AW478:BH478&lt;&gt;""),1)-1),""))</f>
        <v>0</v>
      </c>
      <c r="BK478" s="59">
        <f t="shared" si="805"/>
        <v>0</v>
      </c>
      <c r="BL478" s="59" cm="1">
        <f t="array" ref="BL478">IFERROR(SUM(AW478:INDEX(AW478:BH478, MATCH(2, 1/(AW478:BH478&lt;&gt;""), 1) - 1))/_xlfn.XLOOKUP(F478,Apuração!A:A,Apuração!B:B),0)</f>
        <v>0</v>
      </c>
      <c r="BM478" s="55" cm="1">
        <f t="array" ref="BM478">IFERROR(
   INDEX($AW$1:$BH$1,
      _xlfn.AGGREGATE(14, 6, COLUMN($AW$1:$BH$1)/(AW478:BH478&lt;&gt;""), 2) - COLUMN($AW$1) + 1
   ),
"")</f>
        <v>46113</v>
      </c>
      <c r="BN478" s="55" cm="1">
        <f t="array" ref="BN478">IFERROR(INDEX($AW$1:$BH$1,1,MATCH(2,1/(AW478:BH478&lt;&gt;""))),"")</f>
        <v>46143</v>
      </c>
      <c r="BO478" s="53">
        <f ca="1">IFERROR(_xlfn.XLOOKUP(F478,Apuração!A:A,Apuração!C:C)/_xlfn.XLOOKUP(F478,Apuração!A:A,Apuração!B:B),0)</f>
        <v>0.22222222222222221</v>
      </c>
      <c r="BP478" s="53">
        <f ca="1">IFERROR(_xlfn.XLOOKUP(F478,Apuração!A:A,Apuração!D:D)/_xlfn.XLOOKUP(F478,Apuração!A:A,Apuração!B:B),0)</f>
        <v>0.1111111111111111</v>
      </c>
      <c r="BQ478" s="53">
        <f ca="1">IF(BK478&gt;=BO478,0,_xlfn.XLOOKUP(F478,Apuração!A:A,Apuração!B:B)*(BO478 + (1/_xlfn.XLOOKUP(F478,Apuração!A:A,Apuração!B:B)) - BK478))</f>
        <v>3</v>
      </c>
      <c r="BR478" s="85">
        <f t="shared" ca="1" si="806"/>
        <v>0</v>
      </c>
      <c r="BS478" s="53">
        <f ca="1">IFERROR((_xlfn.XLOOKUP(F478,Apuração!A:A,Apuração!C:C)+1)/_xlfn.XLOOKUP(F478,Apuração!A:A,Apuração!B:B),0)</f>
        <v>0.33333333333333331</v>
      </c>
    </row>
    <row r="479" spans="1:71" ht="25.95" hidden="1" customHeight="1" x14ac:dyDescent="0.3">
      <c r="A479" s="39" t="s">
        <v>33</v>
      </c>
      <c r="B479" s="4" t="s">
        <v>81</v>
      </c>
      <c r="C479" s="5" t="s">
        <v>97</v>
      </c>
      <c r="D479" s="5" t="s">
        <v>106</v>
      </c>
      <c r="E479" s="4" t="str" cm="1">
        <f t="array" ref="E479">_xlfn.IFS(
F479 = "A partir de Abril", "Aguardando Execução na Distribuidora",
A479 = "CAPACITAÇÃO", "Em execução no Corporativo",
TRUE, "Em Execução na Distribuidora"
)</f>
        <v>Em Execução na Distribuidora</v>
      </c>
      <c r="F479" s="4" t="str" cm="1">
        <f t="array" ref="F479">_xlfn.IFS(
AG479 &lt;&gt; "", "Jan-Dez/26",
AH479 &lt;&gt; "", "Fev-Dez/26",
AI479 &lt;&gt; "", "Mar-Dez/26", AJ479 &lt;&gt; "", "Abr-Dez/26",
TRUE, "A partir de Junho"
)</f>
        <v>Abr-Dez/26</v>
      </c>
      <c r="G479" s="4" t="s">
        <v>37</v>
      </c>
      <c r="H479" s="7" t="s">
        <v>54</v>
      </c>
      <c r="I479" s="9" t="s">
        <v>76</v>
      </c>
      <c r="J479" s="8" t="str" cm="1">
        <f t="array" aca="1" ref="J479" ca="1">_xlfn.LET(
  _xlpm.actual_value_month, INDEX(T479:AE479, MATCH(DATE(YEAR(TODAY()), MONTH(TODAY()), 1), $T$1:$AE$1, 0)),
  IF(_xlpm.actual_value_month &lt;&gt; "",_xlpm.actual_value_month &amp; " ações mensais", "")
)</f>
        <v/>
      </c>
      <c r="K479" s="8" t="str" cm="1">
        <f t="array" ref="K479">_xlfn.LET(
    _xlpm.sum_month, SUM(T479:AE479),
    IF(_xlpm.sum_month = 0, "", _xlpm.sum_month &amp; " público impactado no ano.")
)</f>
        <v/>
      </c>
      <c r="L479" s="9" t="s">
        <v>76</v>
      </c>
      <c r="M479" s="13">
        <v>1</v>
      </c>
      <c r="N479" s="5" t="s">
        <v>51</v>
      </c>
      <c r="O479" s="5" t="s">
        <v>52</v>
      </c>
      <c r="P479" s="10" t="s">
        <v>44</v>
      </c>
      <c r="Q479" s="10" t="s">
        <v>44</v>
      </c>
      <c r="R479" s="11" t="s">
        <v>44</v>
      </c>
      <c r="S479" s="11" t="s">
        <v>44</v>
      </c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G479" s="71"/>
      <c r="AH479" s="71"/>
      <c r="AI479" s="71"/>
      <c r="AJ479" s="82">
        <v>0</v>
      </c>
      <c r="AK479" s="71"/>
      <c r="AL479" s="71"/>
      <c r="AM479" s="71"/>
      <c r="AN479" s="71"/>
      <c r="AO479" s="71"/>
      <c r="AP479" s="71"/>
      <c r="AQ479" s="71"/>
      <c r="AR479" s="71"/>
      <c r="AS479" s="94">
        <f t="shared" ca="1" si="798"/>
        <v>0</v>
      </c>
      <c r="AT479" s="95">
        <f t="shared" si="799"/>
        <v>0</v>
      </c>
      <c r="AU479" s="97">
        <f t="shared" si="800"/>
        <v>0</v>
      </c>
      <c r="AW479" s="83">
        <f t="shared" si="801"/>
        <v>0</v>
      </c>
      <c r="AX479" s="83">
        <f t="shared" si="802"/>
        <v>0</v>
      </c>
      <c r="AY479" s="83">
        <f t="shared" si="803"/>
        <v>0</v>
      </c>
      <c r="AZ479" s="83">
        <f t="shared" si="804"/>
        <v>0</v>
      </c>
      <c r="BA479" s="83">
        <f t="shared" si="797"/>
        <v>0</v>
      </c>
      <c r="BB479" s="52"/>
      <c r="BC479" s="52"/>
      <c r="BD479" s="52"/>
      <c r="BE479" s="52"/>
      <c r="BF479" s="52"/>
      <c r="BG479" s="52"/>
      <c r="BH479" s="52"/>
      <c r="BI479" s="68" cm="1">
        <f t="array" ref="BI479">IFERROR(INDEX(AW479:BH479,1,MATCH(2,1/(AW479:BH479&lt;&gt;""))),"")</f>
        <v>0</v>
      </c>
      <c r="BJ479" s="68" cm="1">
        <f t="array" ref="BJ479">IF(BM479 = "", "",IFERROR(INDEX(AW479:BH479,1,MATCH(2,1/(AW479:BH479&lt;&gt;""),1)-1),""))</f>
        <v>0</v>
      </c>
      <c r="BK479" s="59">
        <f t="shared" si="805"/>
        <v>0</v>
      </c>
      <c r="BL479" s="59" cm="1">
        <f t="array" ref="BL479">IFERROR(SUM(AW479:INDEX(AW479:BH479, MATCH(2, 1/(AW479:BH479&lt;&gt;""), 1) - 1))/_xlfn.XLOOKUP(F479,Apuração!A:A,Apuração!B:B),0)</f>
        <v>0</v>
      </c>
      <c r="BM479" s="55" cm="1">
        <f t="array" ref="BM479">IFERROR(
   INDEX($AW$1:$BH$1,
      _xlfn.AGGREGATE(14, 6, COLUMN($AW$1:$BH$1)/(AW479:BH479&lt;&gt;""), 2) - COLUMN($AW$1) + 1
   ),
"")</f>
        <v>46113</v>
      </c>
      <c r="BN479" s="55" cm="1">
        <f t="array" ref="BN479">IFERROR(INDEX($AW$1:$BH$1,1,MATCH(2,1/(AW479:BH479&lt;&gt;""))),"")</f>
        <v>46143</v>
      </c>
      <c r="BO479" s="53">
        <f ca="1">IFERROR(_xlfn.XLOOKUP(F479,Apuração!A:A,Apuração!C:C)/_xlfn.XLOOKUP(F479,Apuração!A:A,Apuração!B:B),0)</f>
        <v>0.22222222222222221</v>
      </c>
      <c r="BP479" s="53">
        <f ca="1">IFERROR(_xlfn.XLOOKUP(F479,Apuração!A:A,Apuração!D:D)/_xlfn.XLOOKUP(F479,Apuração!A:A,Apuração!B:B),0)</f>
        <v>0.1111111111111111</v>
      </c>
      <c r="BQ479" s="53">
        <f ca="1">IF(BK479&gt;=BO479,0,_xlfn.XLOOKUP(F479,Apuração!A:A,Apuração!B:B)*(BO479 + (1/_xlfn.XLOOKUP(F479,Apuração!A:A,Apuração!B:B)) - BK479))</f>
        <v>3</v>
      </c>
      <c r="BR479" s="85">
        <f t="shared" ca="1" si="806"/>
        <v>0</v>
      </c>
      <c r="BS479" s="53">
        <f ca="1">IFERROR((_xlfn.XLOOKUP(F479,Apuração!A:A,Apuração!C:C)+1)/_xlfn.XLOOKUP(F479,Apuração!A:A,Apuração!B:B),0)</f>
        <v>0.33333333333333331</v>
      </c>
    </row>
    <row r="480" spans="1:71" ht="25.95" hidden="1" customHeight="1" x14ac:dyDescent="0.3">
      <c r="A480" s="39" t="s">
        <v>33</v>
      </c>
      <c r="B480" s="4" t="s">
        <v>81</v>
      </c>
      <c r="C480" s="5" t="s">
        <v>97</v>
      </c>
      <c r="D480" s="5" t="s">
        <v>107</v>
      </c>
      <c r="E480" s="4" t="str" cm="1">
        <f t="array" ref="E480">_xlfn.IFS(
F480 = "A partir de Abril", "Aguardando Execução na Distribuidora",
A480 = "CAPACITAÇÃO", "Em execução no Corporativo",
TRUE, "Em Execução na Distribuidora"
)</f>
        <v>Em Execução na Distribuidora</v>
      </c>
      <c r="F480" s="4" t="str" cm="1">
        <f t="array" ref="F480">_xlfn.IFS(
AG480 &lt;&gt; "", "Jan-Dez/26",
AH480 &lt;&gt; "", "Fev-Dez/26",
AI480 &lt;&gt; "", "Mar-Dez/26", AJ480 &lt;&gt; "", "Abr-Dez/26",
TRUE, "A partir de Junho"
)</f>
        <v>Abr-Dez/26</v>
      </c>
      <c r="G480" s="4" t="s">
        <v>37</v>
      </c>
      <c r="H480" s="7" t="s">
        <v>54</v>
      </c>
      <c r="I480" s="9" t="s">
        <v>76</v>
      </c>
      <c r="J480" s="8" t="str" cm="1">
        <f t="array" aca="1" ref="J480" ca="1">_xlfn.LET(
  _xlpm.actual_value_month, INDEX(T480:AE480, MATCH(DATE(YEAR(TODAY()), MONTH(TODAY()), 1), $T$1:$AE$1, 0)),
  IF(_xlpm.actual_value_month &lt;&gt; "",_xlpm.actual_value_month &amp; " ações mensais", "")
)</f>
        <v/>
      </c>
      <c r="K480" s="8" t="str" cm="1">
        <f t="array" ref="K480">_xlfn.LET(
    _xlpm.sum_month, SUM(T480:AE480),
    IF(_xlpm.sum_month = 0, "", _xlpm.sum_month &amp; " público impactado no ano.")
)</f>
        <v/>
      </c>
      <c r="L480" s="9" t="s">
        <v>76</v>
      </c>
      <c r="M480" s="13">
        <v>1</v>
      </c>
      <c r="N480" s="5" t="s">
        <v>51</v>
      </c>
      <c r="O480" s="5" t="s">
        <v>52</v>
      </c>
      <c r="P480" s="10" t="s">
        <v>44</v>
      </c>
      <c r="Q480" s="10" t="s">
        <v>44</v>
      </c>
      <c r="R480" s="11" t="s">
        <v>44</v>
      </c>
      <c r="S480" s="11" t="s">
        <v>44</v>
      </c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G480" s="71"/>
      <c r="AH480" s="71"/>
      <c r="AI480" s="71"/>
      <c r="AJ480" s="82">
        <v>0</v>
      </c>
      <c r="AK480" s="71">
        <v>1</v>
      </c>
      <c r="AL480" s="71"/>
      <c r="AM480" s="71"/>
      <c r="AN480" s="71"/>
      <c r="AO480" s="71"/>
      <c r="AP480" s="71"/>
      <c r="AQ480" s="71"/>
      <c r="AR480" s="71"/>
      <c r="AS480" s="94">
        <f t="shared" ca="1" si="798"/>
        <v>0</v>
      </c>
      <c r="AT480" s="95">
        <f t="shared" si="799"/>
        <v>1</v>
      </c>
      <c r="AU480" s="97">
        <f t="shared" si="800"/>
        <v>1</v>
      </c>
      <c r="AW480" s="83">
        <f t="shared" si="801"/>
        <v>0</v>
      </c>
      <c r="AX480" s="83">
        <f t="shared" si="802"/>
        <v>0</v>
      </c>
      <c r="AY480" s="83">
        <f t="shared" si="803"/>
        <v>0</v>
      </c>
      <c r="AZ480" s="83">
        <f t="shared" si="804"/>
        <v>0</v>
      </c>
      <c r="BA480" s="83">
        <f t="shared" si="797"/>
        <v>1</v>
      </c>
      <c r="BB480" s="52"/>
      <c r="BC480" s="52"/>
      <c r="BD480" s="52"/>
      <c r="BE480" s="52"/>
      <c r="BF480" s="52"/>
      <c r="BG480" s="52"/>
      <c r="BH480" s="52"/>
      <c r="BI480" s="68" cm="1">
        <f t="array" ref="BI480">IFERROR(INDEX(AW480:BH480,1,MATCH(2,1/(AW480:BH480&lt;&gt;""))),"")</f>
        <v>1</v>
      </c>
      <c r="BJ480" s="68" cm="1">
        <f t="array" ref="BJ480">IF(BM480 = "", "",IFERROR(INDEX(AW480:BH480,1,MATCH(2,1/(AW480:BH480&lt;&gt;""),1)-1),""))</f>
        <v>0</v>
      </c>
      <c r="BK480" s="59">
        <f t="shared" si="805"/>
        <v>1</v>
      </c>
      <c r="BL480" s="59" cm="1">
        <f t="array" ref="BL480">IFERROR(SUM(AW480:INDEX(AW480:BH480, MATCH(2, 1/(AW480:BH480&lt;&gt;""), 1) - 1))/_xlfn.XLOOKUP(F480,Apuração!A:A,Apuração!B:B),0)</f>
        <v>0</v>
      </c>
      <c r="BM480" s="55" cm="1">
        <f t="array" ref="BM480">IFERROR(
   INDEX($AW$1:$BH$1,
      _xlfn.AGGREGATE(14, 6, COLUMN($AW$1:$BH$1)/(AW480:BH480&lt;&gt;""), 2) - COLUMN($AW$1) + 1
   ),
"")</f>
        <v>46113</v>
      </c>
      <c r="BN480" s="55" cm="1">
        <f t="array" ref="BN480">IFERROR(INDEX($AW$1:$BH$1,1,MATCH(2,1/(AW480:BH480&lt;&gt;""))),"")</f>
        <v>46143</v>
      </c>
      <c r="BO480" s="53">
        <f ca="1">IFERROR(_xlfn.XLOOKUP(F480,Apuração!A:A,Apuração!C:C)/_xlfn.XLOOKUP(F480,Apuração!A:A,Apuração!B:B),0)</f>
        <v>0.22222222222222221</v>
      </c>
      <c r="BP480" s="53">
        <f ca="1">IFERROR(_xlfn.XLOOKUP(F480,Apuração!A:A,Apuração!D:D)/_xlfn.XLOOKUP(F480,Apuração!A:A,Apuração!B:B),0)</f>
        <v>0.1111111111111111</v>
      </c>
      <c r="BQ480" s="53">
        <f ca="1">IF(BK480&gt;=BO480,0,_xlfn.XLOOKUP(F480,Apuração!A:A,Apuração!B:B)*(BO480 + (1/_xlfn.XLOOKUP(F480,Apuração!A:A,Apuração!B:B)) - BK480))</f>
        <v>0</v>
      </c>
      <c r="BR480" s="85">
        <f t="shared" ca="1" si="806"/>
        <v>0</v>
      </c>
      <c r="BS480" s="53">
        <f ca="1">IFERROR((_xlfn.XLOOKUP(F480,Apuração!A:A,Apuração!C:C)+1)/_xlfn.XLOOKUP(F480,Apuração!A:A,Apuração!B:B),0)</f>
        <v>0.33333333333333331</v>
      </c>
    </row>
    <row r="481" spans="1:71" ht="25.95" hidden="1" customHeight="1" x14ac:dyDescent="0.3">
      <c r="A481" s="3" t="s">
        <v>33</v>
      </c>
      <c r="B481" s="4" t="s">
        <v>84</v>
      </c>
      <c r="C481" s="5" t="s">
        <v>97</v>
      </c>
      <c r="D481" s="5" t="s">
        <v>36</v>
      </c>
      <c r="E481" s="4" t="s">
        <v>96</v>
      </c>
      <c r="F481" s="4" t="str" cm="1">
        <f t="array" ref="F481">_xlfn.IFS(
AG481 &lt;&gt; "", "Jan-Dez/26",
AH481 &lt;&gt; "", "Fev-Dez/26",
AI481 &lt;&gt; "", "Mar-Dez/26", AJ481 &lt;&gt; "", "Abr-Dez/26",
TRUE, "A partir de Junho"
)</f>
        <v>A partir de Junho</v>
      </c>
      <c r="G481" s="4" t="s">
        <v>62</v>
      </c>
      <c r="H481" s="7" t="s">
        <v>38</v>
      </c>
      <c r="I481" s="8" t="s">
        <v>55</v>
      </c>
      <c r="J481" s="8" t="str" cm="1">
        <f t="array" aca="1" ref="J481" ca="1">_xlfn.LET(
  _xlpm.actual_value_month, INDEX(T481:AE481, MATCH(DATE(YEAR(TODAY()), MONTH(TODAY()), 1), $T$1:$AE$1, 0)),
  IF(_xlpm.actual_value_month &lt;&gt; "",_xlpm.actual_value_month &amp; " ações mensais", "")
)</f>
        <v>10 ações mensais</v>
      </c>
      <c r="K481" s="14" t="str" cm="1">
        <f t="array" ref="K481">_xlfn.LET(
    _xlpm.sum_month, SUM(T481:AE481),
    IF(_xlpm.sum_month = 0, "", _xlpm.sum_month &amp; " eventos realizados")
)</f>
        <v>90 eventos realizados</v>
      </c>
      <c r="L481" s="9" t="s">
        <v>56</v>
      </c>
      <c r="M481" s="13" t="s">
        <v>86</v>
      </c>
      <c r="N481" s="5" t="s">
        <v>42</v>
      </c>
      <c r="O481" s="5" t="s">
        <v>43</v>
      </c>
      <c r="P481" s="10" t="s">
        <v>44</v>
      </c>
      <c r="Q481" s="10" t="s">
        <v>44</v>
      </c>
      <c r="R481" s="11" t="s">
        <v>44</v>
      </c>
      <c r="S481" s="11" t="s">
        <v>44</v>
      </c>
      <c r="T481" s="22"/>
      <c r="U481" s="22"/>
      <c r="V481" s="22"/>
      <c r="W481" s="22">
        <v>10</v>
      </c>
      <c r="X481" s="22">
        <v>10</v>
      </c>
      <c r="Y481" s="22">
        <v>10</v>
      </c>
      <c r="Z481" s="22">
        <v>10</v>
      </c>
      <c r="AA481" s="22">
        <v>10</v>
      </c>
      <c r="AB481" s="22">
        <v>10</v>
      </c>
      <c r="AC481" s="22">
        <v>10</v>
      </c>
      <c r="AD481" s="22">
        <v>10</v>
      </c>
      <c r="AE481" s="22">
        <v>10</v>
      </c>
      <c r="AG481" s="71"/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  <c r="AR481" s="71"/>
      <c r="AS481" s="94">
        <f t="shared" ca="1" si="651"/>
        <v>20</v>
      </c>
      <c r="AT481" s="95">
        <f>SUM(IF(AW481&lt;1.15,AG481,1.15*T481),IF(AX481&lt;1.15,AH481,1.15*U481),IF(AY481&lt;1.15,AI481,1.15*V481),IF(AZ481&lt;1.15,AJ481,1.15*W481),IF(BA481&lt;1.15,AK481,1.15*X481),IF(BB481&lt;1.15,AL481,1.15*Y481),IF(BC481&lt;1.15,AM481,1.15*Z481),IF(BD481&lt;1.15,AN481,1.15*AA481),IF(BE481&lt;1.15,AO481,1.15*AB481),IF(BF481&lt;1.15,AP481,1.15*AC481),IF(BG481&lt;1.15,AQ481,1.15*AD481),IF(BH481&lt;1.15,AR481,1.15*AE481))</f>
        <v>0</v>
      </c>
      <c r="AU481" s="97">
        <f t="shared" si="652"/>
        <v>0</v>
      </c>
      <c r="AW481" s="51">
        <f>IFERROR(IF(AG481="",0,AG481/T481),0)</f>
        <v>0</v>
      </c>
      <c r="AX481" s="51">
        <f>IFERROR(IF(AH481="",0,AH481/U481),0)</f>
        <v>0</v>
      </c>
      <c r="AY481" s="51">
        <f>IFERROR(IF(AI481="",0,AI481/V481),0)</f>
        <v>0</v>
      </c>
      <c r="AZ481" s="51">
        <f>IFERROR(IF(AJ481="",0,AJ481/W481),0)</f>
        <v>0</v>
      </c>
      <c r="BA481" s="51">
        <f>IFERROR(IF(AK481="",0,AK481/X481),0)</f>
        <v>0</v>
      </c>
      <c r="BB481" s="51"/>
      <c r="BC481" s="51"/>
      <c r="BD481" s="51"/>
      <c r="BE481" s="51"/>
      <c r="BF481" s="51"/>
      <c r="BG481" s="51"/>
      <c r="BH481" s="51"/>
      <c r="BI481" s="65" cm="1">
        <f t="array" ref="BI481">IFERROR(INDEX(AW481:BH481,1,MATCH(2,1/(AW481:BH481&lt;&gt;""))),"")</f>
        <v>0</v>
      </c>
      <c r="BJ481" s="68" cm="1">
        <f t="array" ref="BJ481">IF(BM481 = "", "",IFERROR(INDEX(AW481:BH481,1,MATCH(2,1/(AW481:BH481&lt;&gt;""),1)-1),""))</f>
        <v>0</v>
      </c>
      <c r="BK481" s="58">
        <f>IF((IF(AW481&gt;=115%,115%,AW481) + IF(AX481&gt;=115%,115%,AX481) + IF(AY481&gt;=115%,115%,AY481) + (IF(AZ481&gt;=115%,115%,AZ481) + IF(BA481&gt;=115%,115%,BA481) + IF(BB481&gt;=115%,115%,BB481) + IF(BC481&gt;=115%,115%,BC481) + IF(BD481&gt;=115%,115%,BD481) + IF(BE481&gt;=115%,115%,BE481) + IF(BF481&gt;=115%,115%,BF481) + IF(BG481&gt;=115%,115%,BG481) + IF(BH481&gt;=115%,115%,BH481)))/_xlfn.XLOOKUP(F481,Apuração!A:A,Apuração!B:B)&gt;=1.15,1.15,((IF(AZ481&gt;=115%,115%,AZ481) + IF(AX481&gt;=115%,115%,AX481) + IF(AY481&gt;=115%,115%,AY481) + (IF(AW481&gt;=115%,115%,AW481) + IF(BA481&gt;=115%,115%,BA481) + IF(BB481&gt;=115%,115%,BB481) + IF(BC481&gt;=115%,115%,BC481) + IF(BD481&gt;=115%,115%,BD481) + IF(BE481&gt;=115%,115%,BE481) + IF(BF481&gt;=115%,115%,BF481) + IF(BG481&gt;=115%,115%,BG481) + IF(BH481&gt;=115%,115%,BH481)))/_xlfn.XLOOKUP(F481,Apuração!A:A,Apuração!B:B)))</f>
        <v>0</v>
      </c>
      <c r="BL481" s="58" cm="1">
        <f t="array" aca="1" ref="BL481" ca="1">IF(SUM(IFERROR(IF(INDEX(AW481:INDEX(AW481:BH481, MATCH(2, 1/(AW481:BH481&lt;&gt;""), 1)-1), ROW(INDIRECT("1:" &amp; MATCH(2, 1/(AW481:BH481&lt;&gt;""), 1)-1))) &gt;= 115%, 115%, INDEX(AW481:INDEX(AW481:BH481, MATCH(2, 1/(AW481:BH481&lt;&gt;""), 1)-1), ROW(INDIRECT("1:" &amp; MATCH(2, 1/(AW481:BH481&lt;&gt;""), 1)-1)))), 0))/_xlfn.XLOOKUP(F481,Apuração!A:A,Apuração!B:B)&gt;=1.15,1.15,SUM(IFERROR(IF(INDEX(AW481:INDEX(AW481:BH481, MATCH(2, 1/(AW481:BH481&lt;&gt;""), 1)-1), ROW(INDIRECT("1:" &amp; MATCH(2, 1/(AW481:BH481&lt;&gt;""), 1)-1))) &gt;= 115%, 115%, INDEX(AW481:INDEX(AW481:BH481, MATCH(2, 1/(AW481:BH481&lt;&gt;""), 1)-1), ROW(INDIRECT("1:" &amp; MATCH(2, 1/(AW481:BH481&lt;&gt;""), 1)-1)))), 0))/_xlfn.XLOOKUP(F481,Apuração!A:A,Apuração!B:B))</f>
        <v>0</v>
      </c>
      <c r="BM481" s="55" cm="1">
        <f t="array" ref="BM481">IFERROR(
   INDEX($AW$1:$BH$1,
      _xlfn.AGGREGATE(14, 6, COLUMN($AW$1:$BH$1)/(AW481:BH481&lt;&gt;""), 2) - COLUMN($AW$1) + 1
   ),
"")</f>
        <v>46113</v>
      </c>
      <c r="BN481" s="55" cm="1">
        <f t="array" ref="BN481">IFERROR(INDEX($AW$1:$BH$1,1,MATCH(2,1/(AW481:BH481&lt;&gt;""))),"")</f>
        <v>46143</v>
      </c>
      <c r="BO481" s="53">
        <f ca="1">IFERROR(_xlfn.XLOOKUP(F481,Apuração!A:A,Apuração!C:C)/_xlfn.XLOOKUP(F481,Apuração!A:A,Apuração!B:B),0)</f>
        <v>0</v>
      </c>
      <c r="BP481" s="53">
        <f ca="1">IFERROR(_xlfn.XLOOKUP(F481,Apuração!A:A,Apuração!D:D)/_xlfn.XLOOKUP(F481,Apuração!A:A,Apuração!B:B),0)</f>
        <v>0</v>
      </c>
      <c r="BQ481" s="53">
        <f ca="1">IF(BK481&gt;=BO481,0,_xlfn.XLOOKUP(F481,Apuração!A:A,Apuração!B:B)*(BO481 + (1/_xlfn.XLOOKUP(F481,Apuração!A:A,Apuração!B:B)) - BK481))</f>
        <v>0</v>
      </c>
      <c r="BR481" s="85">
        <f t="shared" ca="1" si="644"/>
        <v>0</v>
      </c>
      <c r="BS481" s="53">
        <f ca="1">IFERROR((_xlfn.XLOOKUP(F481,Apuração!A:A,Apuração!C:C)+1)/_xlfn.XLOOKUP(F481,Apuração!A:A,Apuração!B:B),0)</f>
        <v>0.14285714285714285</v>
      </c>
    </row>
    <row r="482" spans="1:71" ht="25.95" hidden="1" customHeight="1" x14ac:dyDescent="0.3">
      <c r="A482" s="3" t="s">
        <v>33</v>
      </c>
      <c r="B482" s="4" t="s">
        <v>84</v>
      </c>
      <c r="C482" s="5" t="s">
        <v>97</v>
      </c>
      <c r="D482" s="5" t="s">
        <v>98</v>
      </c>
      <c r="E482" s="4" t="s">
        <v>96</v>
      </c>
      <c r="F482" s="4" t="str" cm="1">
        <f t="array" ref="F482">_xlfn.IFS(
AG482 &lt;&gt; "", "Jan-Dez/26",
AH482 &lt;&gt; "", "Fev-Dez/26",
AI482 &lt;&gt; "", "Mar-Dez/26", AJ482 &lt;&gt; "", "Abr-Dez/26",
TRUE, "A partir de Junho"
)</f>
        <v>A partir de Junho</v>
      </c>
      <c r="G482" s="4" t="s">
        <v>62</v>
      </c>
      <c r="H482" s="7" t="s">
        <v>38</v>
      </c>
      <c r="I482" s="8" t="s">
        <v>55</v>
      </c>
      <c r="J482" s="8" t="str" cm="1">
        <f t="array" aca="1" ref="J482" ca="1">_xlfn.LET(
  _xlpm.actual_value_month, INDEX(T482:AE482, MATCH(DATE(YEAR(TODAY()), MONTH(TODAY()), 1), $T$1:$AE$1, 0)),
  IF(_xlpm.actual_value_month &lt;&gt; "",_xlpm.actual_value_month &amp; " ações mensais", "")
)</f>
        <v>1 ações mensais</v>
      </c>
      <c r="K482" s="14" t="str" cm="1">
        <f t="array" ref="K482">_xlfn.LET(
    _xlpm.sum_month, SUM(T482:AE482),
    IF(_xlpm.sum_month = 0, "", _xlpm.sum_month &amp; " eventos realizados")
)</f>
        <v>9 eventos realizados</v>
      </c>
      <c r="L482" s="9" t="s">
        <v>56</v>
      </c>
      <c r="M482" s="13" t="s">
        <v>86</v>
      </c>
      <c r="N482" s="5" t="s">
        <v>42</v>
      </c>
      <c r="O482" s="5" t="s">
        <v>43</v>
      </c>
      <c r="P482" s="10" t="s">
        <v>44</v>
      </c>
      <c r="Q482" s="10" t="s">
        <v>44</v>
      </c>
      <c r="R482" s="11" t="s">
        <v>44</v>
      </c>
      <c r="S482" s="11" t="s">
        <v>44</v>
      </c>
      <c r="T482" s="22"/>
      <c r="U482" s="22"/>
      <c r="V482" s="22"/>
      <c r="W482" s="143">
        <v>1</v>
      </c>
      <c r="X482" s="143">
        <v>1</v>
      </c>
      <c r="Y482" s="143">
        <v>1</v>
      </c>
      <c r="Z482" s="143">
        <v>1</v>
      </c>
      <c r="AA482" s="143">
        <v>1</v>
      </c>
      <c r="AB482" s="143">
        <v>1</v>
      </c>
      <c r="AC482" s="143">
        <v>1</v>
      </c>
      <c r="AD482" s="143">
        <v>1</v>
      </c>
      <c r="AE482" s="143">
        <v>1</v>
      </c>
      <c r="AG482" s="71"/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  <c r="AR482" s="71"/>
      <c r="AS482" s="94">
        <f t="shared" ref="AS482:AS491" ca="1" si="807">IF(MONTH(TODAY())=3,SUM(T482:U482),IF(MONTH(TODAY())=4,SUM(T482:V482),IF(MONTH(TODAY())=5,SUM(T482:W482),IF(MONTH(TODAY())=6,SUM(T482:X482),IF(MONTH(TODAY())=7,SUM(T482:Y482),IF(MONTH(TODAY())=8,SUM(T482:Z482),IF(MONTH(TODAY())=9,SUM(T482:AA482),IF(MONTH(TODAY())=10,SUM(T482:AB482),IF(MONTH(TODAY())=11,SUM(T482:AC482),IF(MONTH(TODAY())=12,SUM(T482:AD482),IF(MONTH(TODAY())=1,SUM(T482:AE482),T482)))))))))))</f>
        <v>2</v>
      </c>
      <c r="AT482" s="95">
        <f t="shared" ref="AT482:AT491" si="808">SUM(IF(AW482&lt;1.15,AG482,1.15*T482),IF(AX482&lt;1.15,AH482,1.15*U482),IF(AY482&lt;1.15,AI482,1.15*V482),IF(AZ482&lt;1.15,AJ482,1.15*W482),IF(BA482&lt;1.15,AK482,1.15*X482),IF(BB482&lt;1.15,AL482,1.15*Y482),IF(BC482&lt;1.15,AM482,1.15*Z482),IF(BD482&lt;1.15,AN482,1.15*AA482),IF(BE482&lt;1.15,AO482,1.15*AB482),IF(BF482&lt;1.15,AP482,1.15*AC482),IF(BG482&lt;1.15,AQ482,1.15*AD482),IF(BH482&lt;1.15,AR482,1.15*AE482))</f>
        <v>0</v>
      </c>
      <c r="AU482" s="97">
        <f t="shared" ref="AU482:AU491" si="809">SUM(AG482:AR482)</f>
        <v>0</v>
      </c>
      <c r="AW482" s="51">
        <f t="shared" ref="AW482:AW491" si="810">IFERROR(IF(AG482="",0,AG482/T482),0)</f>
        <v>0</v>
      </c>
      <c r="AX482" s="51">
        <f t="shared" ref="AX482:AX491" si="811">IFERROR(IF(AH482="",0,AH482/U482),0)</f>
        <v>0</v>
      </c>
      <c r="AY482" s="51">
        <f t="shared" ref="AY482:AY491" si="812">IFERROR(IF(AI482="",0,AI482/V482),0)</f>
        <v>0</v>
      </c>
      <c r="AZ482" s="51">
        <f t="shared" ref="AZ482:AZ491" si="813">IFERROR(IF(AJ482="",0,AJ482/W482),0)</f>
        <v>0</v>
      </c>
      <c r="BA482" s="51">
        <f t="shared" ref="BA482:BA491" si="814">IFERROR(IF(AK482="",0,AK482/X482),0)</f>
        <v>0</v>
      </c>
      <c r="BB482" s="51"/>
      <c r="BC482" s="51"/>
      <c r="BD482" s="51"/>
      <c r="BE482" s="51"/>
      <c r="BF482" s="51"/>
      <c r="BG482" s="51"/>
      <c r="BH482" s="51"/>
      <c r="BI482" s="65" cm="1">
        <f t="array" ref="BI482">IFERROR(INDEX(AW482:BH482,1,MATCH(2,1/(AW482:BH482&lt;&gt;""))),"")</f>
        <v>0</v>
      </c>
      <c r="BJ482" s="68" cm="1">
        <f t="array" ref="BJ482">IF(BM482 = "", "",IFERROR(INDEX(AW482:BH482,1,MATCH(2,1/(AW482:BH482&lt;&gt;""),1)-1),""))</f>
        <v>0</v>
      </c>
      <c r="BK482" s="58">
        <f>IF((IF(AW482&gt;=115%,115%,AW482) + IF(AX482&gt;=115%,115%,AX482) + IF(AY482&gt;=115%,115%,AY482) + (IF(AZ482&gt;=115%,115%,AZ482) + IF(BA482&gt;=115%,115%,BA482) + IF(BB482&gt;=115%,115%,BB482) + IF(BC482&gt;=115%,115%,BC482) + IF(BD482&gt;=115%,115%,BD482) + IF(BE482&gt;=115%,115%,BE482) + IF(BF482&gt;=115%,115%,BF482) + IF(BG482&gt;=115%,115%,BG482) + IF(BH482&gt;=115%,115%,BH482)))/_xlfn.XLOOKUP(F482,Apuração!A:A,Apuração!B:B)&gt;=1.15,1.15,((IF(AZ482&gt;=115%,115%,AZ482) + IF(AX482&gt;=115%,115%,AX482) + IF(AY482&gt;=115%,115%,AY482) + (IF(AW482&gt;=115%,115%,AW482) + IF(BA482&gt;=115%,115%,BA482) + IF(BB482&gt;=115%,115%,BB482) + IF(BC482&gt;=115%,115%,BC482) + IF(BD482&gt;=115%,115%,BD482) + IF(BE482&gt;=115%,115%,BE482) + IF(BF482&gt;=115%,115%,BF482) + IF(BG482&gt;=115%,115%,BG482) + IF(BH482&gt;=115%,115%,BH482)))/_xlfn.XLOOKUP(F482,Apuração!A:A,Apuração!B:B)))</f>
        <v>0</v>
      </c>
      <c r="BL482" s="58" cm="1">
        <f t="array" aca="1" ref="BL482" ca="1">IF(SUM(IFERROR(IF(INDEX(AW482:INDEX(AW482:BH482, MATCH(2, 1/(AW482:BH482&lt;&gt;""), 1)-1), ROW(INDIRECT("1:" &amp; MATCH(2, 1/(AW482:BH482&lt;&gt;""), 1)-1))) &gt;= 115%, 115%, INDEX(AW482:INDEX(AW482:BH482, MATCH(2, 1/(AW482:BH482&lt;&gt;""), 1)-1), ROW(INDIRECT("1:" &amp; MATCH(2, 1/(AW482:BH482&lt;&gt;""), 1)-1)))), 0))/_xlfn.XLOOKUP(F482,Apuração!A:A,Apuração!B:B)&gt;=1.15,1.15,SUM(IFERROR(IF(INDEX(AW482:INDEX(AW482:BH482, MATCH(2, 1/(AW482:BH482&lt;&gt;""), 1)-1), ROW(INDIRECT("1:" &amp; MATCH(2, 1/(AW482:BH482&lt;&gt;""), 1)-1))) &gt;= 115%, 115%, INDEX(AW482:INDEX(AW482:BH482, MATCH(2, 1/(AW482:BH482&lt;&gt;""), 1)-1), ROW(INDIRECT("1:" &amp; MATCH(2, 1/(AW482:BH482&lt;&gt;""), 1)-1)))), 0))/_xlfn.XLOOKUP(F482,Apuração!A:A,Apuração!B:B))</f>
        <v>0</v>
      </c>
      <c r="BM482" s="55" cm="1">
        <f t="array" ref="BM482">IFERROR(
   INDEX($AW$1:$BH$1,
      _xlfn.AGGREGATE(14, 6, COLUMN($AW$1:$BH$1)/(AW482:BH482&lt;&gt;""), 2) - COLUMN($AW$1) + 1
   ),
"")</f>
        <v>46113</v>
      </c>
      <c r="BN482" s="55" cm="1">
        <f t="array" ref="BN482">IFERROR(INDEX($AW$1:$BH$1,1,MATCH(2,1/(AW482:BH482&lt;&gt;""))),"")</f>
        <v>46143</v>
      </c>
      <c r="BO482" s="53">
        <f ca="1">IFERROR(_xlfn.XLOOKUP(F482,Apuração!A:A,Apuração!C:C)/_xlfn.XLOOKUP(F482,Apuração!A:A,Apuração!B:B),0)</f>
        <v>0</v>
      </c>
      <c r="BP482" s="53">
        <f ca="1">IFERROR(_xlfn.XLOOKUP(F482,Apuração!A:A,Apuração!D:D)/_xlfn.XLOOKUP(F482,Apuração!A:A,Apuração!B:B),0)</f>
        <v>0</v>
      </c>
      <c r="BQ482" s="53">
        <f ca="1">IF(BK482&gt;=BO482,0,_xlfn.XLOOKUP(F482,Apuração!A:A,Apuração!B:B)*(BO482 + (1/_xlfn.XLOOKUP(F482,Apuração!A:A,Apuração!B:B)) - BK482))</f>
        <v>0</v>
      </c>
      <c r="BR482" s="85">
        <f t="shared" ref="BR482:BR491" ca="1" si="815">IF(BQ482=0,0,BQ482*Z482)</f>
        <v>0</v>
      </c>
      <c r="BS482" s="53">
        <f ca="1">IFERROR((_xlfn.XLOOKUP(F482,Apuração!A:A,Apuração!C:C)+1)/_xlfn.XLOOKUP(F482,Apuração!A:A,Apuração!B:B),0)</f>
        <v>0.14285714285714285</v>
      </c>
    </row>
    <row r="483" spans="1:71" ht="25.95" hidden="1" customHeight="1" x14ac:dyDescent="0.3">
      <c r="A483" s="3" t="s">
        <v>33</v>
      </c>
      <c r="B483" s="4" t="s">
        <v>84</v>
      </c>
      <c r="C483" s="5" t="s">
        <v>97</v>
      </c>
      <c r="D483" s="5" t="s">
        <v>99</v>
      </c>
      <c r="E483" s="4" t="s">
        <v>96</v>
      </c>
      <c r="F483" s="4" t="str" cm="1">
        <f t="array" ref="F483">_xlfn.IFS(
AG483 &lt;&gt; "", "Jan-Dez/26",
AH483 &lt;&gt; "", "Fev-Dez/26",
AI483 &lt;&gt; "", "Mar-Dez/26", AJ483 &lt;&gt; "", "Abr-Dez/26",
TRUE, "A partir de Junho"
)</f>
        <v>A partir de Junho</v>
      </c>
      <c r="G483" s="4" t="s">
        <v>62</v>
      </c>
      <c r="H483" s="7" t="s">
        <v>38</v>
      </c>
      <c r="I483" s="8" t="s">
        <v>55</v>
      </c>
      <c r="J483" s="8" t="str" cm="1">
        <f t="array" aca="1" ref="J483" ca="1">_xlfn.LET(
  _xlpm.actual_value_month, INDEX(T483:AE483, MATCH(DATE(YEAR(TODAY()), MONTH(TODAY()), 1), $T$1:$AE$1, 0)),
  IF(_xlpm.actual_value_month &lt;&gt; "",_xlpm.actual_value_month &amp; " ações mensais", "")
)</f>
        <v>1 ações mensais</v>
      </c>
      <c r="K483" s="14" t="str" cm="1">
        <f t="array" ref="K483">_xlfn.LET(
    _xlpm.sum_month, SUM(T483:AE483),
    IF(_xlpm.sum_month = 0, "", _xlpm.sum_month &amp; " eventos realizados")
)</f>
        <v>9 eventos realizados</v>
      </c>
      <c r="L483" s="9" t="s">
        <v>56</v>
      </c>
      <c r="M483" s="13" t="s">
        <v>86</v>
      </c>
      <c r="N483" s="5" t="s">
        <v>42</v>
      </c>
      <c r="O483" s="5" t="s">
        <v>43</v>
      </c>
      <c r="P483" s="10" t="s">
        <v>44</v>
      </c>
      <c r="Q483" s="10" t="s">
        <v>44</v>
      </c>
      <c r="R483" s="11" t="s">
        <v>44</v>
      </c>
      <c r="S483" s="11" t="s">
        <v>44</v>
      </c>
      <c r="T483" s="22"/>
      <c r="U483" s="22"/>
      <c r="V483" s="22"/>
      <c r="W483" s="143">
        <v>1</v>
      </c>
      <c r="X483" s="143">
        <v>1</v>
      </c>
      <c r="Y483" s="143">
        <v>1</v>
      </c>
      <c r="Z483" s="143">
        <v>1</v>
      </c>
      <c r="AA483" s="143">
        <v>1</v>
      </c>
      <c r="AB483" s="143">
        <v>1</v>
      </c>
      <c r="AC483" s="143">
        <v>1</v>
      </c>
      <c r="AD483" s="143">
        <v>1</v>
      </c>
      <c r="AE483" s="143">
        <v>1</v>
      </c>
      <c r="AG483" s="71"/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  <c r="AR483" s="71"/>
      <c r="AS483" s="94">
        <f t="shared" ca="1" si="807"/>
        <v>2</v>
      </c>
      <c r="AT483" s="95">
        <f t="shared" si="808"/>
        <v>0</v>
      </c>
      <c r="AU483" s="97">
        <f t="shared" si="809"/>
        <v>0</v>
      </c>
      <c r="AW483" s="51">
        <f t="shared" si="810"/>
        <v>0</v>
      </c>
      <c r="AX483" s="51">
        <f t="shared" si="811"/>
        <v>0</v>
      </c>
      <c r="AY483" s="51">
        <f t="shared" si="812"/>
        <v>0</v>
      </c>
      <c r="AZ483" s="51">
        <f t="shared" si="813"/>
        <v>0</v>
      </c>
      <c r="BA483" s="51">
        <f t="shared" si="814"/>
        <v>0</v>
      </c>
      <c r="BB483" s="51"/>
      <c r="BC483" s="51"/>
      <c r="BD483" s="51"/>
      <c r="BE483" s="51"/>
      <c r="BF483" s="51"/>
      <c r="BG483" s="51"/>
      <c r="BH483" s="51"/>
      <c r="BI483" s="65" cm="1">
        <f t="array" ref="BI483">IFERROR(INDEX(AW483:BH483,1,MATCH(2,1/(AW483:BH483&lt;&gt;""))),"")</f>
        <v>0</v>
      </c>
      <c r="BJ483" s="68" cm="1">
        <f t="array" ref="BJ483">IF(BM483 = "", "",IFERROR(INDEX(AW483:BH483,1,MATCH(2,1/(AW483:BH483&lt;&gt;""),1)-1),""))</f>
        <v>0</v>
      </c>
      <c r="BK483" s="58">
        <f>IF((IF(AW483&gt;=115%,115%,AW483) + IF(AX483&gt;=115%,115%,AX483) + IF(AY483&gt;=115%,115%,AY483) + (IF(AZ483&gt;=115%,115%,AZ483) + IF(BA483&gt;=115%,115%,BA483) + IF(BB483&gt;=115%,115%,BB483) + IF(BC483&gt;=115%,115%,BC483) + IF(BD483&gt;=115%,115%,BD483) + IF(BE483&gt;=115%,115%,BE483) + IF(BF483&gt;=115%,115%,BF483) + IF(BG483&gt;=115%,115%,BG483) + IF(BH483&gt;=115%,115%,BH483)))/_xlfn.XLOOKUP(F483,Apuração!A:A,Apuração!B:B)&gt;=1.15,1.15,((IF(AZ483&gt;=115%,115%,AZ483) + IF(AX483&gt;=115%,115%,AX483) + IF(AY483&gt;=115%,115%,AY483) + (IF(AW483&gt;=115%,115%,AW483) + IF(BA483&gt;=115%,115%,BA483) + IF(BB483&gt;=115%,115%,BB483) + IF(BC483&gt;=115%,115%,BC483) + IF(BD483&gt;=115%,115%,BD483) + IF(BE483&gt;=115%,115%,BE483) + IF(BF483&gt;=115%,115%,BF483) + IF(BG483&gt;=115%,115%,BG483) + IF(BH483&gt;=115%,115%,BH483)))/_xlfn.XLOOKUP(F483,Apuração!A:A,Apuração!B:B)))</f>
        <v>0</v>
      </c>
      <c r="BL483" s="58" cm="1">
        <f t="array" aca="1" ref="BL483" ca="1">IF(SUM(IFERROR(IF(INDEX(AW483:INDEX(AW483:BH483, MATCH(2, 1/(AW483:BH483&lt;&gt;""), 1)-1), ROW(INDIRECT("1:" &amp; MATCH(2, 1/(AW483:BH483&lt;&gt;""), 1)-1))) &gt;= 115%, 115%, INDEX(AW483:INDEX(AW483:BH483, MATCH(2, 1/(AW483:BH483&lt;&gt;""), 1)-1), ROW(INDIRECT("1:" &amp; MATCH(2, 1/(AW483:BH483&lt;&gt;""), 1)-1)))), 0))/_xlfn.XLOOKUP(F483,Apuração!A:A,Apuração!B:B)&gt;=1.15,1.15,SUM(IFERROR(IF(INDEX(AW483:INDEX(AW483:BH483, MATCH(2, 1/(AW483:BH483&lt;&gt;""), 1)-1), ROW(INDIRECT("1:" &amp; MATCH(2, 1/(AW483:BH483&lt;&gt;""), 1)-1))) &gt;= 115%, 115%, INDEX(AW483:INDEX(AW483:BH483, MATCH(2, 1/(AW483:BH483&lt;&gt;""), 1)-1), ROW(INDIRECT("1:" &amp; MATCH(2, 1/(AW483:BH483&lt;&gt;""), 1)-1)))), 0))/_xlfn.XLOOKUP(F483,Apuração!A:A,Apuração!B:B))</f>
        <v>0</v>
      </c>
      <c r="BM483" s="55" cm="1">
        <f t="array" ref="BM483">IFERROR(
   INDEX($AW$1:$BH$1,
      _xlfn.AGGREGATE(14, 6, COLUMN($AW$1:$BH$1)/(AW483:BH483&lt;&gt;""), 2) - COLUMN($AW$1) + 1
   ),
"")</f>
        <v>46113</v>
      </c>
      <c r="BN483" s="55" cm="1">
        <f t="array" ref="BN483">IFERROR(INDEX($AW$1:$BH$1,1,MATCH(2,1/(AW483:BH483&lt;&gt;""))),"")</f>
        <v>46143</v>
      </c>
      <c r="BO483" s="53">
        <f ca="1">IFERROR(_xlfn.XLOOKUP(F483,Apuração!A:A,Apuração!C:C)/_xlfn.XLOOKUP(F483,Apuração!A:A,Apuração!B:B),0)</f>
        <v>0</v>
      </c>
      <c r="BP483" s="53">
        <f ca="1">IFERROR(_xlfn.XLOOKUP(F483,Apuração!A:A,Apuração!D:D)/_xlfn.XLOOKUP(F483,Apuração!A:A,Apuração!B:B),0)</f>
        <v>0</v>
      </c>
      <c r="BQ483" s="53">
        <f ca="1">IF(BK483&gt;=BO483,0,_xlfn.XLOOKUP(F483,Apuração!A:A,Apuração!B:B)*(BO483 + (1/_xlfn.XLOOKUP(F483,Apuração!A:A,Apuração!B:B)) - BK483))</f>
        <v>0</v>
      </c>
      <c r="BR483" s="85">
        <f t="shared" ca="1" si="815"/>
        <v>0</v>
      </c>
      <c r="BS483" s="53">
        <f ca="1">IFERROR((_xlfn.XLOOKUP(F483,Apuração!A:A,Apuração!C:C)+1)/_xlfn.XLOOKUP(F483,Apuração!A:A,Apuração!B:B),0)</f>
        <v>0.14285714285714285</v>
      </c>
    </row>
    <row r="484" spans="1:71" ht="25.95" hidden="1" customHeight="1" x14ac:dyDescent="0.3">
      <c r="A484" s="3" t="s">
        <v>33</v>
      </c>
      <c r="B484" s="4" t="s">
        <v>84</v>
      </c>
      <c r="C484" s="5" t="s">
        <v>97</v>
      </c>
      <c r="D484" s="5" t="s">
        <v>100</v>
      </c>
      <c r="E484" s="4" t="s">
        <v>96</v>
      </c>
      <c r="F484" s="4" t="str" cm="1">
        <f t="array" ref="F484">_xlfn.IFS(
AG484 &lt;&gt; "", "Jan-Dez/26",
AH484 &lt;&gt; "", "Fev-Dez/26",
AI484 &lt;&gt; "", "Mar-Dez/26", AJ484 &lt;&gt; "", "Abr-Dez/26",
TRUE, "A partir de Junho"
)</f>
        <v>A partir de Junho</v>
      </c>
      <c r="G484" s="4" t="s">
        <v>62</v>
      </c>
      <c r="H484" s="7" t="s">
        <v>38</v>
      </c>
      <c r="I484" s="8" t="s">
        <v>55</v>
      </c>
      <c r="J484" s="8" t="str" cm="1">
        <f t="array" aca="1" ref="J484" ca="1">_xlfn.LET(
  _xlpm.actual_value_month, INDEX(T484:AE484, MATCH(DATE(YEAR(TODAY()), MONTH(TODAY()), 1), $T$1:$AE$1, 0)),
  IF(_xlpm.actual_value_month &lt;&gt; "",_xlpm.actual_value_month &amp; " ações mensais", "")
)</f>
        <v>1 ações mensais</v>
      </c>
      <c r="K484" s="14" t="str" cm="1">
        <f t="array" ref="K484">_xlfn.LET(
    _xlpm.sum_month, SUM(T484:AE484),
    IF(_xlpm.sum_month = 0, "", _xlpm.sum_month &amp; " eventos realizados")
)</f>
        <v>9 eventos realizados</v>
      </c>
      <c r="L484" s="9" t="s">
        <v>56</v>
      </c>
      <c r="M484" s="13" t="s">
        <v>86</v>
      </c>
      <c r="N484" s="5" t="s">
        <v>42</v>
      </c>
      <c r="O484" s="5" t="s">
        <v>43</v>
      </c>
      <c r="P484" s="10" t="s">
        <v>44</v>
      </c>
      <c r="Q484" s="10" t="s">
        <v>44</v>
      </c>
      <c r="R484" s="11" t="s">
        <v>44</v>
      </c>
      <c r="S484" s="11" t="s">
        <v>44</v>
      </c>
      <c r="T484" s="22"/>
      <c r="U484" s="22"/>
      <c r="V484" s="22"/>
      <c r="W484" s="143">
        <v>1</v>
      </c>
      <c r="X484" s="143">
        <v>1</v>
      </c>
      <c r="Y484" s="143">
        <v>1</v>
      </c>
      <c r="Z484" s="143">
        <v>1</v>
      </c>
      <c r="AA484" s="143">
        <v>1</v>
      </c>
      <c r="AB484" s="143">
        <v>1</v>
      </c>
      <c r="AC484" s="143">
        <v>1</v>
      </c>
      <c r="AD484" s="143">
        <v>1</v>
      </c>
      <c r="AE484" s="143">
        <v>1</v>
      </c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  <c r="AS484" s="94">
        <f t="shared" ca="1" si="807"/>
        <v>2</v>
      </c>
      <c r="AT484" s="95">
        <f t="shared" si="808"/>
        <v>0</v>
      </c>
      <c r="AU484" s="97">
        <f t="shared" si="809"/>
        <v>0</v>
      </c>
      <c r="AW484" s="51">
        <f t="shared" si="810"/>
        <v>0</v>
      </c>
      <c r="AX484" s="51">
        <f t="shared" si="811"/>
        <v>0</v>
      </c>
      <c r="AY484" s="51">
        <f t="shared" si="812"/>
        <v>0</v>
      </c>
      <c r="AZ484" s="51">
        <f t="shared" si="813"/>
        <v>0</v>
      </c>
      <c r="BA484" s="51">
        <f t="shared" si="814"/>
        <v>0</v>
      </c>
      <c r="BB484" s="51"/>
      <c r="BC484" s="51"/>
      <c r="BD484" s="51"/>
      <c r="BE484" s="51"/>
      <c r="BF484" s="51"/>
      <c r="BG484" s="51"/>
      <c r="BH484" s="51"/>
      <c r="BI484" s="65" cm="1">
        <f t="array" ref="BI484">IFERROR(INDEX(AW484:BH484,1,MATCH(2,1/(AW484:BH484&lt;&gt;""))),"")</f>
        <v>0</v>
      </c>
      <c r="BJ484" s="68" cm="1">
        <f t="array" ref="BJ484">IF(BM484 = "", "",IFERROR(INDEX(AW484:BH484,1,MATCH(2,1/(AW484:BH484&lt;&gt;""),1)-1),""))</f>
        <v>0</v>
      </c>
      <c r="BK484" s="58">
        <f>IF((IF(AW484&gt;=115%,115%,AW484) + IF(AX484&gt;=115%,115%,AX484) + IF(AY484&gt;=115%,115%,AY484) + (IF(AZ484&gt;=115%,115%,AZ484) + IF(BA484&gt;=115%,115%,BA484) + IF(BB484&gt;=115%,115%,BB484) + IF(BC484&gt;=115%,115%,BC484) + IF(BD484&gt;=115%,115%,BD484) + IF(BE484&gt;=115%,115%,BE484) + IF(BF484&gt;=115%,115%,BF484) + IF(BG484&gt;=115%,115%,BG484) + IF(BH484&gt;=115%,115%,BH484)))/_xlfn.XLOOKUP(F484,Apuração!A:A,Apuração!B:B)&gt;=1.15,1.15,((IF(AZ484&gt;=115%,115%,AZ484) + IF(AX484&gt;=115%,115%,AX484) + IF(AY484&gt;=115%,115%,AY484) + (IF(AW484&gt;=115%,115%,AW484) + IF(BA484&gt;=115%,115%,BA484) + IF(BB484&gt;=115%,115%,BB484) + IF(BC484&gt;=115%,115%,BC484) + IF(BD484&gt;=115%,115%,BD484) + IF(BE484&gt;=115%,115%,BE484) + IF(BF484&gt;=115%,115%,BF484) + IF(BG484&gt;=115%,115%,BG484) + IF(BH484&gt;=115%,115%,BH484)))/_xlfn.XLOOKUP(F484,Apuração!A:A,Apuração!B:B)))</f>
        <v>0</v>
      </c>
      <c r="BL484" s="58" cm="1">
        <f t="array" aca="1" ref="BL484" ca="1">IF(SUM(IFERROR(IF(INDEX(AW484:INDEX(AW484:BH484, MATCH(2, 1/(AW484:BH484&lt;&gt;""), 1)-1), ROW(INDIRECT("1:" &amp; MATCH(2, 1/(AW484:BH484&lt;&gt;""), 1)-1))) &gt;= 115%, 115%, INDEX(AW484:INDEX(AW484:BH484, MATCH(2, 1/(AW484:BH484&lt;&gt;""), 1)-1), ROW(INDIRECT("1:" &amp; MATCH(2, 1/(AW484:BH484&lt;&gt;""), 1)-1)))), 0))/_xlfn.XLOOKUP(F484,Apuração!A:A,Apuração!B:B)&gt;=1.15,1.15,SUM(IFERROR(IF(INDEX(AW484:INDEX(AW484:BH484, MATCH(2, 1/(AW484:BH484&lt;&gt;""), 1)-1), ROW(INDIRECT("1:" &amp; MATCH(2, 1/(AW484:BH484&lt;&gt;""), 1)-1))) &gt;= 115%, 115%, INDEX(AW484:INDEX(AW484:BH484, MATCH(2, 1/(AW484:BH484&lt;&gt;""), 1)-1), ROW(INDIRECT("1:" &amp; MATCH(2, 1/(AW484:BH484&lt;&gt;""), 1)-1)))), 0))/_xlfn.XLOOKUP(F484,Apuração!A:A,Apuração!B:B))</f>
        <v>0</v>
      </c>
      <c r="BM484" s="55" cm="1">
        <f t="array" ref="BM484">IFERROR(
   INDEX($AW$1:$BH$1,
      _xlfn.AGGREGATE(14, 6, COLUMN($AW$1:$BH$1)/(AW484:BH484&lt;&gt;""), 2) - COLUMN($AW$1) + 1
   ),
"")</f>
        <v>46113</v>
      </c>
      <c r="BN484" s="55" cm="1">
        <f t="array" ref="BN484">IFERROR(INDEX($AW$1:$BH$1,1,MATCH(2,1/(AW484:BH484&lt;&gt;""))),"")</f>
        <v>46143</v>
      </c>
      <c r="BO484" s="53">
        <f ca="1">IFERROR(_xlfn.XLOOKUP(F484,Apuração!A:A,Apuração!C:C)/_xlfn.XLOOKUP(F484,Apuração!A:A,Apuração!B:B),0)</f>
        <v>0</v>
      </c>
      <c r="BP484" s="53">
        <f ca="1">IFERROR(_xlfn.XLOOKUP(F484,Apuração!A:A,Apuração!D:D)/_xlfn.XLOOKUP(F484,Apuração!A:A,Apuração!B:B),0)</f>
        <v>0</v>
      </c>
      <c r="BQ484" s="53">
        <f ca="1">IF(BK484&gt;=BO484,0,_xlfn.XLOOKUP(F484,Apuração!A:A,Apuração!B:B)*(BO484 + (1/_xlfn.XLOOKUP(F484,Apuração!A:A,Apuração!B:B)) - BK484))</f>
        <v>0</v>
      </c>
      <c r="BR484" s="85">
        <f t="shared" ca="1" si="815"/>
        <v>0</v>
      </c>
      <c r="BS484" s="53">
        <f ca="1">IFERROR((_xlfn.XLOOKUP(F484,Apuração!A:A,Apuração!C:C)+1)/_xlfn.XLOOKUP(F484,Apuração!A:A,Apuração!B:B),0)</f>
        <v>0.14285714285714285</v>
      </c>
    </row>
    <row r="485" spans="1:71" ht="25.95" hidden="1" customHeight="1" x14ac:dyDescent="0.3">
      <c r="A485" s="3" t="s">
        <v>33</v>
      </c>
      <c r="B485" s="4" t="s">
        <v>84</v>
      </c>
      <c r="C485" s="5" t="s">
        <v>97</v>
      </c>
      <c r="D485" s="5" t="s">
        <v>101</v>
      </c>
      <c r="E485" s="4" t="s">
        <v>96</v>
      </c>
      <c r="F485" s="4" t="str" cm="1">
        <f t="array" ref="F485">_xlfn.IFS(
AG485 &lt;&gt; "", "Jan-Dez/26",
AH485 &lt;&gt; "", "Fev-Dez/26",
AI485 &lt;&gt; "", "Mar-Dez/26", AJ485 &lt;&gt; "", "Abr-Dez/26",
TRUE, "A partir de Junho"
)</f>
        <v>A partir de Junho</v>
      </c>
      <c r="G485" s="4" t="s">
        <v>62</v>
      </c>
      <c r="H485" s="7" t="s">
        <v>38</v>
      </c>
      <c r="I485" s="8" t="s">
        <v>55</v>
      </c>
      <c r="J485" s="8" t="str" cm="1">
        <f t="array" aca="1" ref="J485" ca="1">_xlfn.LET(
  _xlpm.actual_value_month, INDEX(T485:AE485, MATCH(DATE(YEAR(TODAY()), MONTH(TODAY()), 1), $T$1:$AE$1, 0)),
  IF(_xlpm.actual_value_month &lt;&gt; "",_xlpm.actual_value_month &amp; " ações mensais", "")
)</f>
        <v>1 ações mensais</v>
      </c>
      <c r="K485" s="14" t="str" cm="1">
        <f t="array" ref="K485">_xlfn.LET(
    _xlpm.sum_month, SUM(T485:AE485),
    IF(_xlpm.sum_month = 0, "", _xlpm.sum_month &amp; " eventos realizados")
)</f>
        <v>9 eventos realizados</v>
      </c>
      <c r="L485" s="9" t="s">
        <v>56</v>
      </c>
      <c r="M485" s="13" t="s">
        <v>86</v>
      </c>
      <c r="N485" s="5" t="s">
        <v>42</v>
      </c>
      <c r="O485" s="5" t="s">
        <v>43</v>
      </c>
      <c r="P485" s="10" t="s">
        <v>44</v>
      </c>
      <c r="Q485" s="10" t="s">
        <v>44</v>
      </c>
      <c r="R485" s="11" t="s">
        <v>44</v>
      </c>
      <c r="S485" s="11" t="s">
        <v>44</v>
      </c>
      <c r="T485" s="22"/>
      <c r="U485" s="22"/>
      <c r="V485" s="22"/>
      <c r="W485" s="143">
        <v>1</v>
      </c>
      <c r="X485" s="143">
        <v>1</v>
      </c>
      <c r="Y485" s="143">
        <v>1</v>
      </c>
      <c r="Z485" s="143">
        <v>1</v>
      </c>
      <c r="AA485" s="143">
        <v>1</v>
      </c>
      <c r="AB485" s="143">
        <v>1</v>
      </c>
      <c r="AC485" s="143">
        <v>1</v>
      </c>
      <c r="AD485" s="143">
        <v>1</v>
      </c>
      <c r="AE485" s="143">
        <v>1</v>
      </c>
      <c r="AG485" s="71"/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  <c r="AR485" s="71"/>
      <c r="AS485" s="94">
        <f t="shared" ca="1" si="807"/>
        <v>2</v>
      </c>
      <c r="AT485" s="95">
        <f t="shared" si="808"/>
        <v>0</v>
      </c>
      <c r="AU485" s="97">
        <f t="shared" si="809"/>
        <v>0</v>
      </c>
      <c r="AW485" s="51">
        <f t="shared" si="810"/>
        <v>0</v>
      </c>
      <c r="AX485" s="51">
        <f t="shared" si="811"/>
        <v>0</v>
      </c>
      <c r="AY485" s="51">
        <f t="shared" si="812"/>
        <v>0</v>
      </c>
      <c r="AZ485" s="51">
        <f t="shared" si="813"/>
        <v>0</v>
      </c>
      <c r="BA485" s="51">
        <f t="shared" si="814"/>
        <v>0</v>
      </c>
      <c r="BB485" s="51"/>
      <c r="BC485" s="51"/>
      <c r="BD485" s="51"/>
      <c r="BE485" s="51"/>
      <c r="BF485" s="51"/>
      <c r="BG485" s="51"/>
      <c r="BH485" s="51"/>
      <c r="BI485" s="65" cm="1">
        <f t="array" ref="BI485">IFERROR(INDEX(AW485:BH485,1,MATCH(2,1/(AW485:BH485&lt;&gt;""))),"")</f>
        <v>0</v>
      </c>
      <c r="BJ485" s="68" cm="1">
        <f t="array" ref="BJ485">IF(BM485 = "", "",IFERROR(INDEX(AW485:BH485,1,MATCH(2,1/(AW485:BH485&lt;&gt;""),1)-1),""))</f>
        <v>0</v>
      </c>
      <c r="BK485" s="58">
        <f>IF((IF(AW485&gt;=115%,115%,AW485) + IF(AX485&gt;=115%,115%,AX485) + IF(AY485&gt;=115%,115%,AY485) + (IF(AZ485&gt;=115%,115%,AZ485) + IF(BA485&gt;=115%,115%,BA485) + IF(BB485&gt;=115%,115%,BB485) + IF(BC485&gt;=115%,115%,BC485) + IF(BD485&gt;=115%,115%,BD485) + IF(BE485&gt;=115%,115%,BE485) + IF(BF485&gt;=115%,115%,BF485) + IF(BG485&gt;=115%,115%,BG485) + IF(BH485&gt;=115%,115%,BH485)))/_xlfn.XLOOKUP(F485,Apuração!A:A,Apuração!B:B)&gt;=1.15,1.15,((IF(AZ485&gt;=115%,115%,AZ485) + IF(AX485&gt;=115%,115%,AX485) + IF(AY485&gt;=115%,115%,AY485) + (IF(AW485&gt;=115%,115%,AW485) + IF(BA485&gt;=115%,115%,BA485) + IF(BB485&gt;=115%,115%,BB485) + IF(BC485&gt;=115%,115%,BC485) + IF(BD485&gt;=115%,115%,BD485) + IF(BE485&gt;=115%,115%,BE485) + IF(BF485&gt;=115%,115%,BF485) + IF(BG485&gt;=115%,115%,BG485) + IF(BH485&gt;=115%,115%,BH485)))/_xlfn.XLOOKUP(F485,Apuração!A:A,Apuração!B:B)))</f>
        <v>0</v>
      </c>
      <c r="BL485" s="58" cm="1">
        <f t="array" aca="1" ref="BL485" ca="1">IF(SUM(IFERROR(IF(INDEX(AW485:INDEX(AW485:BH485, MATCH(2, 1/(AW485:BH485&lt;&gt;""), 1)-1), ROW(INDIRECT("1:" &amp; MATCH(2, 1/(AW485:BH485&lt;&gt;""), 1)-1))) &gt;= 115%, 115%, INDEX(AW485:INDEX(AW485:BH485, MATCH(2, 1/(AW485:BH485&lt;&gt;""), 1)-1), ROW(INDIRECT("1:" &amp; MATCH(2, 1/(AW485:BH485&lt;&gt;""), 1)-1)))), 0))/_xlfn.XLOOKUP(F485,Apuração!A:A,Apuração!B:B)&gt;=1.15,1.15,SUM(IFERROR(IF(INDEX(AW485:INDEX(AW485:BH485, MATCH(2, 1/(AW485:BH485&lt;&gt;""), 1)-1), ROW(INDIRECT("1:" &amp; MATCH(2, 1/(AW485:BH485&lt;&gt;""), 1)-1))) &gt;= 115%, 115%, INDEX(AW485:INDEX(AW485:BH485, MATCH(2, 1/(AW485:BH485&lt;&gt;""), 1)-1), ROW(INDIRECT("1:" &amp; MATCH(2, 1/(AW485:BH485&lt;&gt;""), 1)-1)))), 0))/_xlfn.XLOOKUP(F485,Apuração!A:A,Apuração!B:B))</f>
        <v>0</v>
      </c>
      <c r="BM485" s="55" cm="1">
        <f t="array" ref="BM485">IFERROR(
   INDEX($AW$1:$BH$1,
      _xlfn.AGGREGATE(14, 6, COLUMN($AW$1:$BH$1)/(AW485:BH485&lt;&gt;""), 2) - COLUMN($AW$1) + 1
   ),
"")</f>
        <v>46113</v>
      </c>
      <c r="BN485" s="55" cm="1">
        <f t="array" ref="BN485">IFERROR(INDEX($AW$1:$BH$1,1,MATCH(2,1/(AW485:BH485&lt;&gt;""))),"")</f>
        <v>46143</v>
      </c>
      <c r="BO485" s="53">
        <f ca="1">IFERROR(_xlfn.XLOOKUP(F485,Apuração!A:A,Apuração!C:C)/_xlfn.XLOOKUP(F485,Apuração!A:A,Apuração!B:B),0)</f>
        <v>0</v>
      </c>
      <c r="BP485" s="53">
        <f ca="1">IFERROR(_xlfn.XLOOKUP(F485,Apuração!A:A,Apuração!D:D)/_xlfn.XLOOKUP(F485,Apuração!A:A,Apuração!B:B),0)</f>
        <v>0</v>
      </c>
      <c r="BQ485" s="53">
        <f ca="1">IF(BK485&gt;=BO485,0,_xlfn.XLOOKUP(F485,Apuração!A:A,Apuração!B:B)*(BO485 + (1/_xlfn.XLOOKUP(F485,Apuração!A:A,Apuração!B:B)) - BK485))</f>
        <v>0</v>
      </c>
      <c r="BR485" s="85">
        <f t="shared" ca="1" si="815"/>
        <v>0</v>
      </c>
      <c r="BS485" s="53">
        <f ca="1">IFERROR((_xlfn.XLOOKUP(F485,Apuração!A:A,Apuração!C:C)+1)/_xlfn.XLOOKUP(F485,Apuração!A:A,Apuração!B:B),0)</f>
        <v>0.14285714285714285</v>
      </c>
    </row>
    <row r="486" spans="1:71" ht="25.95" hidden="1" customHeight="1" x14ac:dyDescent="0.3">
      <c r="A486" s="3" t="s">
        <v>33</v>
      </c>
      <c r="B486" s="4" t="s">
        <v>84</v>
      </c>
      <c r="C486" s="5" t="s">
        <v>97</v>
      </c>
      <c r="D486" s="5" t="s">
        <v>102</v>
      </c>
      <c r="E486" s="4" t="s">
        <v>96</v>
      </c>
      <c r="F486" s="4" t="str" cm="1">
        <f t="array" ref="F486">_xlfn.IFS(
AG486 &lt;&gt; "", "Jan-Dez/26",
AH486 &lt;&gt; "", "Fev-Dez/26",
AI486 &lt;&gt; "", "Mar-Dez/26", AJ486 &lt;&gt; "", "Abr-Dez/26",
TRUE, "A partir de Junho"
)</f>
        <v>A partir de Junho</v>
      </c>
      <c r="G486" s="4" t="s">
        <v>62</v>
      </c>
      <c r="H486" s="7" t="s">
        <v>38</v>
      </c>
      <c r="I486" s="8" t="s">
        <v>55</v>
      </c>
      <c r="J486" s="8" t="str" cm="1">
        <f t="array" aca="1" ref="J486" ca="1">_xlfn.LET(
  _xlpm.actual_value_month, INDEX(T486:AE486, MATCH(DATE(YEAR(TODAY()), MONTH(TODAY()), 1), $T$1:$AE$1, 0)),
  IF(_xlpm.actual_value_month &lt;&gt; "",_xlpm.actual_value_month &amp; " ações mensais", "")
)</f>
        <v>1 ações mensais</v>
      </c>
      <c r="K486" s="14" t="str" cm="1">
        <f t="array" ref="K486">_xlfn.LET(
    _xlpm.sum_month, SUM(T486:AE486),
    IF(_xlpm.sum_month = 0, "", _xlpm.sum_month &amp; " eventos realizados")
)</f>
        <v>9 eventos realizados</v>
      </c>
      <c r="L486" s="9" t="s">
        <v>56</v>
      </c>
      <c r="M486" s="13" t="s">
        <v>86</v>
      </c>
      <c r="N486" s="5" t="s">
        <v>42</v>
      </c>
      <c r="O486" s="5" t="s">
        <v>43</v>
      </c>
      <c r="P486" s="10" t="s">
        <v>44</v>
      </c>
      <c r="Q486" s="10" t="s">
        <v>44</v>
      </c>
      <c r="R486" s="11" t="s">
        <v>44</v>
      </c>
      <c r="S486" s="11" t="s">
        <v>44</v>
      </c>
      <c r="T486" s="22"/>
      <c r="U486" s="22"/>
      <c r="V486" s="22"/>
      <c r="W486" s="143">
        <v>1</v>
      </c>
      <c r="X486" s="143">
        <v>1</v>
      </c>
      <c r="Y486" s="143">
        <v>1</v>
      </c>
      <c r="Z486" s="143">
        <v>1</v>
      </c>
      <c r="AA486" s="143">
        <v>1</v>
      </c>
      <c r="AB486" s="143">
        <v>1</v>
      </c>
      <c r="AC486" s="143">
        <v>1</v>
      </c>
      <c r="AD486" s="143">
        <v>1</v>
      </c>
      <c r="AE486" s="143">
        <v>1</v>
      </c>
      <c r="AG486" s="71"/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  <c r="AS486" s="94">
        <f t="shared" ca="1" si="807"/>
        <v>2</v>
      </c>
      <c r="AT486" s="95">
        <f t="shared" si="808"/>
        <v>0</v>
      </c>
      <c r="AU486" s="97">
        <f t="shared" si="809"/>
        <v>0</v>
      </c>
      <c r="AW486" s="51">
        <f t="shared" si="810"/>
        <v>0</v>
      </c>
      <c r="AX486" s="51">
        <f t="shared" si="811"/>
        <v>0</v>
      </c>
      <c r="AY486" s="51">
        <f t="shared" si="812"/>
        <v>0</v>
      </c>
      <c r="AZ486" s="51">
        <f t="shared" si="813"/>
        <v>0</v>
      </c>
      <c r="BA486" s="51">
        <f t="shared" si="814"/>
        <v>0</v>
      </c>
      <c r="BB486" s="51"/>
      <c r="BC486" s="51"/>
      <c r="BD486" s="51"/>
      <c r="BE486" s="51"/>
      <c r="BF486" s="51"/>
      <c r="BG486" s="51"/>
      <c r="BH486" s="51"/>
      <c r="BI486" s="65" cm="1">
        <f t="array" ref="BI486">IFERROR(INDEX(AW486:BH486,1,MATCH(2,1/(AW486:BH486&lt;&gt;""))),"")</f>
        <v>0</v>
      </c>
      <c r="BJ486" s="68" cm="1">
        <f t="array" ref="BJ486">IF(BM486 = "", "",IFERROR(INDEX(AW486:BH486,1,MATCH(2,1/(AW486:BH486&lt;&gt;""),1)-1),""))</f>
        <v>0</v>
      </c>
      <c r="BK486" s="58">
        <f>IF((IF(AW486&gt;=115%,115%,AW486) + IF(AX486&gt;=115%,115%,AX486) + IF(AY486&gt;=115%,115%,AY486) + (IF(AZ486&gt;=115%,115%,AZ486) + IF(BA486&gt;=115%,115%,BA486) + IF(BB486&gt;=115%,115%,BB486) + IF(BC486&gt;=115%,115%,BC486) + IF(BD486&gt;=115%,115%,BD486) + IF(BE486&gt;=115%,115%,BE486) + IF(BF486&gt;=115%,115%,BF486) + IF(BG486&gt;=115%,115%,BG486) + IF(BH486&gt;=115%,115%,BH486)))/_xlfn.XLOOKUP(F486,Apuração!A:A,Apuração!B:B)&gt;=1.15,1.15,((IF(AZ486&gt;=115%,115%,AZ486) + IF(AX486&gt;=115%,115%,AX486) + IF(AY486&gt;=115%,115%,AY486) + (IF(AW486&gt;=115%,115%,AW486) + IF(BA486&gt;=115%,115%,BA486) + IF(BB486&gt;=115%,115%,BB486) + IF(BC486&gt;=115%,115%,BC486) + IF(BD486&gt;=115%,115%,BD486) + IF(BE486&gt;=115%,115%,BE486) + IF(BF486&gt;=115%,115%,BF486) + IF(BG486&gt;=115%,115%,BG486) + IF(BH486&gt;=115%,115%,BH486)))/_xlfn.XLOOKUP(F486,Apuração!A:A,Apuração!B:B)))</f>
        <v>0</v>
      </c>
      <c r="BL486" s="58" cm="1">
        <f t="array" aca="1" ref="BL486" ca="1">IF(SUM(IFERROR(IF(INDEX(AW486:INDEX(AW486:BH486, MATCH(2, 1/(AW486:BH486&lt;&gt;""), 1)-1), ROW(INDIRECT("1:" &amp; MATCH(2, 1/(AW486:BH486&lt;&gt;""), 1)-1))) &gt;= 115%, 115%, INDEX(AW486:INDEX(AW486:BH486, MATCH(2, 1/(AW486:BH486&lt;&gt;""), 1)-1), ROW(INDIRECT("1:" &amp; MATCH(2, 1/(AW486:BH486&lt;&gt;""), 1)-1)))), 0))/_xlfn.XLOOKUP(F486,Apuração!A:A,Apuração!B:B)&gt;=1.15,1.15,SUM(IFERROR(IF(INDEX(AW486:INDEX(AW486:BH486, MATCH(2, 1/(AW486:BH486&lt;&gt;""), 1)-1), ROW(INDIRECT("1:" &amp; MATCH(2, 1/(AW486:BH486&lt;&gt;""), 1)-1))) &gt;= 115%, 115%, INDEX(AW486:INDEX(AW486:BH486, MATCH(2, 1/(AW486:BH486&lt;&gt;""), 1)-1), ROW(INDIRECT("1:" &amp; MATCH(2, 1/(AW486:BH486&lt;&gt;""), 1)-1)))), 0))/_xlfn.XLOOKUP(F486,Apuração!A:A,Apuração!B:B))</f>
        <v>0</v>
      </c>
      <c r="BM486" s="55" cm="1">
        <f t="array" ref="BM486">IFERROR(
   INDEX($AW$1:$BH$1,
      _xlfn.AGGREGATE(14, 6, COLUMN($AW$1:$BH$1)/(AW486:BH486&lt;&gt;""), 2) - COLUMN($AW$1) + 1
   ),
"")</f>
        <v>46113</v>
      </c>
      <c r="BN486" s="55" cm="1">
        <f t="array" ref="BN486">IFERROR(INDEX($AW$1:$BH$1,1,MATCH(2,1/(AW486:BH486&lt;&gt;""))),"")</f>
        <v>46143</v>
      </c>
      <c r="BO486" s="53">
        <f ca="1">IFERROR(_xlfn.XLOOKUP(F486,Apuração!A:A,Apuração!C:C)/_xlfn.XLOOKUP(F486,Apuração!A:A,Apuração!B:B),0)</f>
        <v>0</v>
      </c>
      <c r="BP486" s="53">
        <f ca="1">IFERROR(_xlfn.XLOOKUP(F486,Apuração!A:A,Apuração!D:D)/_xlfn.XLOOKUP(F486,Apuração!A:A,Apuração!B:B),0)</f>
        <v>0</v>
      </c>
      <c r="BQ486" s="53">
        <f ca="1">IF(BK486&gt;=BO486,0,_xlfn.XLOOKUP(F486,Apuração!A:A,Apuração!B:B)*(BO486 + (1/_xlfn.XLOOKUP(F486,Apuração!A:A,Apuração!B:B)) - BK486))</f>
        <v>0</v>
      </c>
      <c r="BR486" s="85">
        <f t="shared" ca="1" si="815"/>
        <v>0</v>
      </c>
      <c r="BS486" s="53">
        <f ca="1">IFERROR((_xlfn.XLOOKUP(F486,Apuração!A:A,Apuração!C:C)+1)/_xlfn.XLOOKUP(F486,Apuração!A:A,Apuração!B:B),0)</f>
        <v>0.14285714285714285</v>
      </c>
    </row>
    <row r="487" spans="1:71" ht="25.95" hidden="1" customHeight="1" x14ac:dyDescent="0.3">
      <c r="A487" s="3" t="s">
        <v>33</v>
      </c>
      <c r="B487" s="4" t="s">
        <v>84</v>
      </c>
      <c r="C487" s="5" t="s">
        <v>97</v>
      </c>
      <c r="D487" s="5" t="s">
        <v>103</v>
      </c>
      <c r="E487" s="4" t="s">
        <v>96</v>
      </c>
      <c r="F487" s="4" t="str" cm="1">
        <f t="array" ref="F487">_xlfn.IFS(
AG487 &lt;&gt; "", "Jan-Dez/26",
AH487 &lt;&gt; "", "Fev-Dez/26",
AI487 &lt;&gt; "", "Mar-Dez/26", AJ487 &lt;&gt; "", "Abr-Dez/26",
TRUE, "A partir de Junho"
)</f>
        <v>A partir de Junho</v>
      </c>
      <c r="G487" s="4" t="s">
        <v>62</v>
      </c>
      <c r="H487" s="7" t="s">
        <v>38</v>
      </c>
      <c r="I487" s="8" t="s">
        <v>55</v>
      </c>
      <c r="J487" s="8" t="str" cm="1">
        <f t="array" aca="1" ref="J487" ca="1">_xlfn.LET(
  _xlpm.actual_value_month, INDEX(T487:AE487, MATCH(DATE(YEAR(TODAY()), MONTH(TODAY()), 1), $T$1:$AE$1, 0)),
  IF(_xlpm.actual_value_month &lt;&gt; "",_xlpm.actual_value_month &amp; " ações mensais", "")
)</f>
        <v>1 ações mensais</v>
      </c>
      <c r="K487" s="14" t="str" cm="1">
        <f t="array" ref="K487">_xlfn.LET(
    _xlpm.sum_month, SUM(T487:AE487),
    IF(_xlpm.sum_month = 0, "", _xlpm.sum_month &amp; " eventos realizados")
)</f>
        <v>9 eventos realizados</v>
      </c>
      <c r="L487" s="9" t="s">
        <v>56</v>
      </c>
      <c r="M487" s="13" t="s">
        <v>86</v>
      </c>
      <c r="N487" s="5" t="s">
        <v>42</v>
      </c>
      <c r="O487" s="5" t="s">
        <v>43</v>
      </c>
      <c r="P487" s="10" t="s">
        <v>44</v>
      </c>
      <c r="Q487" s="10" t="s">
        <v>44</v>
      </c>
      <c r="R487" s="11" t="s">
        <v>44</v>
      </c>
      <c r="S487" s="11" t="s">
        <v>44</v>
      </c>
      <c r="T487" s="22"/>
      <c r="U487" s="22"/>
      <c r="V487" s="22"/>
      <c r="W487" s="143">
        <v>1</v>
      </c>
      <c r="X487" s="143">
        <v>1</v>
      </c>
      <c r="Y487" s="143">
        <v>1</v>
      </c>
      <c r="Z487" s="143">
        <v>1</v>
      </c>
      <c r="AA487" s="143">
        <v>1</v>
      </c>
      <c r="AB487" s="143">
        <v>1</v>
      </c>
      <c r="AC487" s="143">
        <v>1</v>
      </c>
      <c r="AD487" s="143">
        <v>1</v>
      </c>
      <c r="AE487" s="143">
        <v>1</v>
      </c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1"/>
      <c r="AS487" s="94">
        <f t="shared" ca="1" si="807"/>
        <v>2</v>
      </c>
      <c r="AT487" s="95">
        <f t="shared" si="808"/>
        <v>0</v>
      </c>
      <c r="AU487" s="97">
        <f t="shared" si="809"/>
        <v>0</v>
      </c>
      <c r="AW487" s="51">
        <f t="shared" si="810"/>
        <v>0</v>
      </c>
      <c r="AX487" s="51">
        <f t="shared" si="811"/>
        <v>0</v>
      </c>
      <c r="AY487" s="51">
        <f t="shared" si="812"/>
        <v>0</v>
      </c>
      <c r="AZ487" s="51">
        <f t="shared" si="813"/>
        <v>0</v>
      </c>
      <c r="BA487" s="51">
        <f t="shared" si="814"/>
        <v>0</v>
      </c>
      <c r="BB487" s="51"/>
      <c r="BC487" s="51"/>
      <c r="BD487" s="51"/>
      <c r="BE487" s="51"/>
      <c r="BF487" s="51"/>
      <c r="BG487" s="51"/>
      <c r="BH487" s="51"/>
      <c r="BI487" s="65" cm="1">
        <f t="array" ref="BI487">IFERROR(INDEX(AW487:BH487,1,MATCH(2,1/(AW487:BH487&lt;&gt;""))),"")</f>
        <v>0</v>
      </c>
      <c r="BJ487" s="68" cm="1">
        <f t="array" ref="BJ487">IF(BM487 = "", "",IFERROR(INDEX(AW487:BH487,1,MATCH(2,1/(AW487:BH487&lt;&gt;""),1)-1),""))</f>
        <v>0</v>
      </c>
      <c r="BK487" s="58">
        <f>IF((IF(AW487&gt;=115%,115%,AW487) + IF(AX487&gt;=115%,115%,AX487) + IF(AY487&gt;=115%,115%,AY487) + (IF(AZ487&gt;=115%,115%,AZ487) + IF(BA487&gt;=115%,115%,BA487) + IF(BB487&gt;=115%,115%,BB487) + IF(BC487&gt;=115%,115%,BC487) + IF(BD487&gt;=115%,115%,BD487) + IF(BE487&gt;=115%,115%,BE487) + IF(BF487&gt;=115%,115%,BF487) + IF(BG487&gt;=115%,115%,BG487) + IF(BH487&gt;=115%,115%,BH487)))/_xlfn.XLOOKUP(F487,Apuração!A:A,Apuração!B:B)&gt;=1.15,1.15,((IF(AZ487&gt;=115%,115%,AZ487) + IF(AX487&gt;=115%,115%,AX487) + IF(AY487&gt;=115%,115%,AY487) + (IF(AW487&gt;=115%,115%,AW487) + IF(BA487&gt;=115%,115%,BA487) + IF(BB487&gt;=115%,115%,BB487) + IF(BC487&gt;=115%,115%,BC487) + IF(BD487&gt;=115%,115%,BD487) + IF(BE487&gt;=115%,115%,BE487) + IF(BF487&gt;=115%,115%,BF487) + IF(BG487&gt;=115%,115%,BG487) + IF(BH487&gt;=115%,115%,BH487)))/_xlfn.XLOOKUP(F487,Apuração!A:A,Apuração!B:B)))</f>
        <v>0</v>
      </c>
      <c r="BL487" s="58" cm="1">
        <f t="array" aca="1" ref="BL487" ca="1">IF(SUM(IFERROR(IF(INDEX(AW487:INDEX(AW487:BH487, MATCH(2, 1/(AW487:BH487&lt;&gt;""), 1)-1), ROW(INDIRECT("1:" &amp; MATCH(2, 1/(AW487:BH487&lt;&gt;""), 1)-1))) &gt;= 115%, 115%, INDEX(AW487:INDEX(AW487:BH487, MATCH(2, 1/(AW487:BH487&lt;&gt;""), 1)-1), ROW(INDIRECT("1:" &amp; MATCH(2, 1/(AW487:BH487&lt;&gt;""), 1)-1)))), 0))/_xlfn.XLOOKUP(F487,Apuração!A:A,Apuração!B:B)&gt;=1.15,1.15,SUM(IFERROR(IF(INDEX(AW487:INDEX(AW487:BH487, MATCH(2, 1/(AW487:BH487&lt;&gt;""), 1)-1), ROW(INDIRECT("1:" &amp; MATCH(2, 1/(AW487:BH487&lt;&gt;""), 1)-1))) &gt;= 115%, 115%, INDEX(AW487:INDEX(AW487:BH487, MATCH(2, 1/(AW487:BH487&lt;&gt;""), 1)-1), ROW(INDIRECT("1:" &amp; MATCH(2, 1/(AW487:BH487&lt;&gt;""), 1)-1)))), 0))/_xlfn.XLOOKUP(F487,Apuração!A:A,Apuração!B:B))</f>
        <v>0</v>
      </c>
      <c r="BM487" s="55" cm="1">
        <f t="array" ref="BM487">IFERROR(
   INDEX($AW$1:$BH$1,
      _xlfn.AGGREGATE(14, 6, COLUMN($AW$1:$BH$1)/(AW487:BH487&lt;&gt;""), 2) - COLUMN($AW$1) + 1
   ),
"")</f>
        <v>46113</v>
      </c>
      <c r="BN487" s="55" cm="1">
        <f t="array" ref="BN487">IFERROR(INDEX($AW$1:$BH$1,1,MATCH(2,1/(AW487:BH487&lt;&gt;""))),"")</f>
        <v>46143</v>
      </c>
      <c r="BO487" s="53">
        <f ca="1">IFERROR(_xlfn.XLOOKUP(F487,Apuração!A:A,Apuração!C:C)/_xlfn.XLOOKUP(F487,Apuração!A:A,Apuração!B:B),0)</f>
        <v>0</v>
      </c>
      <c r="BP487" s="53">
        <f ca="1">IFERROR(_xlfn.XLOOKUP(F487,Apuração!A:A,Apuração!D:D)/_xlfn.XLOOKUP(F487,Apuração!A:A,Apuração!B:B),0)</f>
        <v>0</v>
      </c>
      <c r="BQ487" s="53">
        <f ca="1">IF(BK487&gt;=BO487,0,_xlfn.XLOOKUP(F487,Apuração!A:A,Apuração!B:B)*(BO487 + (1/_xlfn.XLOOKUP(F487,Apuração!A:A,Apuração!B:B)) - BK487))</f>
        <v>0</v>
      </c>
      <c r="BR487" s="85">
        <f t="shared" ca="1" si="815"/>
        <v>0</v>
      </c>
      <c r="BS487" s="53">
        <f ca="1">IFERROR((_xlfn.XLOOKUP(F487,Apuração!A:A,Apuração!C:C)+1)/_xlfn.XLOOKUP(F487,Apuração!A:A,Apuração!B:B),0)</f>
        <v>0.14285714285714285</v>
      </c>
    </row>
    <row r="488" spans="1:71" ht="25.95" hidden="1" customHeight="1" x14ac:dyDescent="0.3">
      <c r="A488" s="3" t="s">
        <v>33</v>
      </c>
      <c r="B488" s="4" t="s">
        <v>84</v>
      </c>
      <c r="C488" s="5" t="s">
        <v>97</v>
      </c>
      <c r="D488" s="5" t="s">
        <v>104</v>
      </c>
      <c r="E488" s="4" t="s">
        <v>96</v>
      </c>
      <c r="F488" s="4" t="str" cm="1">
        <f t="array" ref="F488">_xlfn.IFS(
AG488 &lt;&gt; "", "Jan-Dez/26",
AH488 &lt;&gt; "", "Fev-Dez/26",
AI488 &lt;&gt; "", "Mar-Dez/26", AJ488 &lt;&gt; "", "Abr-Dez/26",
TRUE, "A partir de Junho"
)</f>
        <v>A partir de Junho</v>
      </c>
      <c r="G488" s="4" t="s">
        <v>62</v>
      </c>
      <c r="H488" s="7" t="s">
        <v>38</v>
      </c>
      <c r="I488" s="8" t="s">
        <v>55</v>
      </c>
      <c r="J488" s="8" t="str" cm="1">
        <f t="array" aca="1" ref="J488" ca="1">_xlfn.LET(
  _xlpm.actual_value_month, INDEX(T488:AE488, MATCH(DATE(YEAR(TODAY()), MONTH(TODAY()), 1), $T$1:$AE$1, 0)),
  IF(_xlpm.actual_value_month &lt;&gt; "",_xlpm.actual_value_month &amp; " ações mensais", "")
)</f>
        <v>1 ações mensais</v>
      </c>
      <c r="K488" s="14" t="str" cm="1">
        <f t="array" ref="K488">_xlfn.LET(
    _xlpm.sum_month, SUM(T488:AE488),
    IF(_xlpm.sum_month = 0, "", _xlpm.sum_month &amp; " eventos realizados")
)</f>
        <v>9 eventos realizados</v>
      </c>
      <c r="L488" s="9" t="s">
        <v>56</v>
      </c>
      <c r="M488" s="13" t="s">
        <v>86</v>
      </c>
      <c r="N488" s="5" t="s">
        <v>42</v>
      </c>
      <c r="O488" s="5" t="s">
        <v>43</v>
      </c>
      <c r="P488" s="10" t="s">
        <v>44</v>
      </c>
      <c r="Q488" s="10" t="s">
        <v>44</v>
      </c>
      <c r="R488" s="11" t="s">
        <v>44</v>
      </c>
      <c r="S488" s="11" t="s">
        <v>44</v>
      </c>
      <c r="T488" s="22"/>
      <c r="U488" s="22"/>
      <c r="V488" s="22"/>
      <c r="W488" s="143">
        <v>1</v>
      </c>
      <c r="X488" s="143">
        <v>1</v>
      </c>
      <c r="Y488" s="143">
        <v>1</v>
      </c>
      <c r="Z488" s="143">
        <v>1</v>
      </c>
      <c r="AA488" s="143">
        <v>1</v>
      </c>
      <c r="AB488" s="143">
        <v>1</v>
      </c>
      <c r="AC488" s="143">
        <v>1</v>
      </c>
      <c r="AD488" s="143">
        <v>1</v>
      </c>
      <c r="AE488" s="143">
        <v>1</v>
      </c>
      <c r="AG488" s="71"/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  <c r="AR488" s="71"/>
      <c r="AS488" s="94">
        <f t="shared" ca="1" si="807"/>
        <v>2</v>
      </c>
      <c r="AT488" s="95">
        <f t="shared" si="808"/>
        <v>0</v>
      </c>
      <c r="AU488" s="97">
        <f t="shared" si="809"/>
        <v>0</v>
      </c>
      <c r="AW488" s="51">
        <f t="shared" si="810"/>
        <v>0</v>
      </c>
      <c r="AX488" s="51">
        <f t="shared" si="811"/>
        <v>0</v>
      </c>
      <c r="AY488" s="51">
        <f t="shared" si="812"/>
        <v>0</v>
      </c>
      <c r="AZ488" s="51">
        <f t="shared" si="813"/>
        <v>0</v>
      </c>
      <c r="BA488" s="51">
        <f t="shared" si="814"/>
        <v>0</v>
      </c>
      <c r="BB488" s="51"/>
      <c r="BC488" s="51"/>
      <c r="BD488" s="51"/>
      <c r="BE488" s="51"/>
      <c r="BF488" s="51"/>
      <c r="BG488" s="51"/>
      <c r="BH488" s="51"/>
      <c r="BI488" s="65" cm="1">
        <f t="array" ref="BI488">IFERROR(INDEX(AW488:BH488,1,MATCH(2,1/(AW488:BH488&lt;&gt;""))),"")</f>
        <v>0</v>
      </c>
      <c r="BJ488" s="68" cm="1">
        <f t="array" ref="BJ488">IF(BM488 = "", "",IFERROR(INDEX(AW488:BH488,1,MATCH(2,1/(AW488:BH488&lt;&gt;""),1)-1),""))</f>
        <v>0</v>
      </c>
      <c r="BK488" s="58">
        <f>IF((IF(AW488&gt;=115%,115%,AW488) + IF(AX488&gt;=115%,115%,AX488) + IF(AY488&gt;=115%,115%,AY488) + (IF(AZ488&gt;=115%,115%,AZ488) + IF(BA488&gt;=115%,115%,BA488) + IF(BB488&gt;=115%,115%,BB488) + IF(BC488&gt;=115%,115%,BC488) + IF(BD488&gt;=115%,115%,BD488) + IF(BE488&gt;=115%,115%,BE488) + IF(BF488&gt;=115%,115%,BF488) + IF(BG488&gt;=115%,115%,BG488) + IF(BH488&gt;=115%,115%,BH488)))/_xlfn.XLOOKUP(F488,Apuração!A:A,Apuração!B:B)&gt;=1.15,1.15,((IF(AZ488&gt;=115%,115%,AZ488) + IF(AX488&gt;=115%,115%,AX488) + IF(AY488&gt;=115%,115%,AY488) + (IF(AW488&gt;=115%,115%,AW488) + IF(BA488&gt;=115%,115%,BA488) + IF(BB488&gt;=115%,115%,BB488) + IF(BC488&gt;=115%,115%,BC488) + IF(BD488&gt;=115%,115%,BD488) + IF(BE488&gt;=115%,115%,BE488) + IF(BF488&gt;=115%,115%,BF488) + IF(BG488&gt;=115%,115%,BG488) + IF(BH488&gt;=115%,115%,BH488)))/_xlfn.XLOOKUP(F488,Apuração!A:A,Apuração!B:B)))</f>
        <v>0</v>
      </c>
      <c r="BL488" s="58" cm="1">
        <f t="array" aca="1" ref="BL488" ca="1">IF(SUM(IFERROR(IF(INDEX(AW488:INDEX(AW488:BH488, MATCH(2, 1/(AW488:BH488&lt;&gt;""), 1)-1), ROW(INDIRECT("1:" &amp; MATCH(2, 1/(AW488:BH488&lt;&gt;""), 1)-1))) &gt;= 115%, 115%, INDEX(AW488:INDEX(AW488:BH488, MATCH(2, 1/(AW488:BH488&lt;&gt;""), 1)-1), ROW(INDIRECT("1:" &amp; MATCH(2, 1/(AW488:BH488&lt;&gt;""), 1)-1)))), 0))/_xlfn.XLOOKUP(F488,Apuração!A:A,Apuração!B:B)&gt;=1.15,1.15,SUM(IFERROR(IF(INDEX(AW488:INDEX(AW488:BH488, MATCH(2, 1/(AW488:BH488&lt;&gt;""), 1)-1), ROW(INDIRECT("1:" &amp; MATCH(2, 1/(AW488:BH488&lt;&gt;""), 1)-1))) &gt;= 115%, 115%, INDEX(AW488:INDEX(AW488:BH488, MATCH(2, 1/(AW488:BH488&lt;&gt;""), 1)-1), ROW(INDIRECT("1:" &amp; MATCH(2, 1/(AW488:BH488&lt;&gt;""), 1)-1)))), 0))/_xlfn.XLOOKUP(F488,Apuração!A:A,Apuração!B:B))</f>
        <v>0</v>
      </c>
      <c r="BM488" s="55" cm="1">
        <f t="array" ref="BM488">IFERROR(
   INDEX($AW$1:$BH$1,
      _xlfn.AGGREGATE(14, 6, COLUMN($AW$1:$BH$1)/(AW488:BH488&lt;&gt;""), 2) - COLUMN($AW$1) + 1
   ),
"")</f>
        <v>46113</v>
      </c>
      <c r="BN488" s="55" cm="1">
        <f t="array" ref="BN488">IFERROR(INDEX($AW$1:$BH$1,1,MATCH(2,1/(AW488:BH488&lt;&gt;""))),"")</f>
        <v>46143</v>
      </c>
      <c r="BO488" s="53">
        <f ca="1">IFERROR(_xlfn.XLOOKUP(F488,Apuração!A:A,Apuração!C:C)/_xlfn.XLOOKUP(F488,Apuração!A:A,Apuração!B:B),0)</f>
        <v>0</v>
      </c>
      <c r="BP488" s="53">
        <f ca="1">IFERROR(_xlfn.XLOOKUP(F488,Apuração!A:A,Apuração!D:D)/_xlfn.XLOOKUP(F488,Apuração!A:A,Apuração!B:B),0)</f>
        <v>0</v>
      </c>
      <c r="BQ488" s="53">
        <f ca="1">IF(BK488&gt;=BO488,0,_xlfn.XLOOKUP(F488,Apuração!A:A,Apuração!B:B)*(BO488 + (1/_xlfn.XLOOKUP(F488,Apuração!A:A,Apuração!B:B)) - BK488))</f>
        <v>0</v>
      </c>
      <c r="BR488" s="85">
        <f t="shared" ca="1" si="815"/>
        <v>0</v>
      </c>
      <c r="BS488" s="53">
        <f ca="1">IFERROR((_xlfn.XLOOKUP(F488,Apuração!A:A,Apuração!C:C)+1)/_xlfn.XLOOKUP(F488,Apuração!A:A,Apuração!B:B),0)</f>
        <v>0.14285714285714285</v>
      </c>
    </row>
    <row r="489" spans="1:71" ht="25.95" hidden="1" customHeight="1" x14ac:dyDescent="0.3">
      <c r="A489" s="3" t="s">
        <v>33</v>
      </c>
      <c r="B489" s="4" t="s">
        <v>84</v>
      </c>
      <c r="C489" s="5" t="s">
        <v>97</v>
      </c>
      <c r="D489" s="5" t="s">
        <v>105</v>
      </c>
      <c r="E489" s="4" t="s">
        <v>96</v>
      </c>
      <c r="F489" s="4" t="str" cm="1">
        <f t="array" ref="F489">_xlfn.IFS(
AG489 &lt;&gt; "", "Jan-Dez/26",
AH489 &lt;&gt; "", "Fev-Dez/26",
AI489 &lt;&gt; "", "Mar-Dez/26", AJ489 &lt;&gt; "", "Abr-Dez/26",
TRUE, "A partir de Junho"
)</f>
        <v>A partir de Junho</v>
      </c>
      <c r="G489" s="4" t="s">
        <v>62</v>
      </c>
      <c r="H489" s="7" t="s">
        <v>38</v>
      </c>
      <c r="I489" s="8" t="s">
        <v>55</v>
      </c>
      <c r="J489" s="8" t="str" cm="1">
        <f t="array" aca="1" ref="J489" ca="1">_xlfn.LET(
  _xlpm.actual_value_month, INDEX(T489:AE489, MATCH(DATE(YEAR(TODAY()), MONTH(TODAY()), 1), $T$1:$AE$1, 0)),
  IF(_xlpm.actual_value_month &lt;&gt; "",_xlpm.actual_value_month &amp; " ações mensais", "")
)</f>
        <v>1 ações mensais</v>
      </c>
      <c r="K489" s="14" t="str" cm="1">
        <f t="array" ref="K489">_xlfn.LET(
    _xlpm.sum_month, SUM(T489:AE489),
    IF(_xlpm.sum_month = 0, "", _xlpm.sum_month &amp; " eventos realizados")
)</f>
        <v>9 eventos realizados</v>
      </c>
      <c r="L489" s="9" t="s">
        <v>56</v>
      </c>
      <c r="M489" s="13" t="s">
        <v>86</v>
      </c>
      <c r="N489" s="5" t="s">
        <v>42</v>
      </c>
      <c r="O489" s="5" t="s">
        <v>43</v>
      </c>
      <c r="P489" s="10" t="s">
        <v>44</v>
      </c>
      <c r="Q489" s="10" t="s">
        <v>44</v>
      </c>
      <c r="R489" s="11" t="s">
        <v>44</v>
      </c>
      <c r="S489" s="11" t="s">
        <v>44</v>
      </c>
      <c r="T489" s="22"/>
      <c r="U489" s="22"/>
      <c r="V489" s="22"/>
      <c r="W489" s="143">
        <v>1</v>
      </c>
      <c r="X489" s="143">
        <v>1</v>
      </c>
      <c r="Y489" s="143">
        <v>1</v>
      </c>
      <c r="Z489" s="143">
        <v>1</v>
      </c>
      <c r="AA489" s="143">
        <v>1</v>
      </c>
      <c r="AB489" s="143">
        <v>1</v>
      </c>
      <c r="AC489" s="143">
        <v>1</v>
      </c>
      <c r="AD489" s="143">
        <v>1</v>
      </c>
      <c r="AE489" s="143">
        <v>1</v>
      </c>
      <c r="AG489" s="71"/>
      <c r="AH489" s="71"/>
      <c r="AI489" s="71"/>
      <c r="AJ489" s="71"/>
      <c r="AK489" s="71"/>
      <c r="AL489" s="71"/>
      <c r="AM489" s="71"/>
      <c r="AN489" s="71"/>
      <c r="AO489" s="71"/>
      <c r="AP489" s="71"/>
      <c r="AQ489" s="71"/>
      <c r="AR489" s="71"/>
      <c r="AS489" s="94">
        <f t="shared" ca="1" si="807"/>
        <v>2</v>
      </c>
      <c r="AT489" s="95">
        <f t="shared" si="808"/>
        <v>0</v>
      </c>
      <c r="AU489" s="97">
        <f t="shared" si="809"/>
        <v>0</v>
      </c>
      <c r="AW489" s="51">
        <f t="shared" si="810"/>
        <v>0</v>
      </c>
      <c r="AX489" s="51">
        <f t="shared" si="811"/>
        <v>0</v>
      </c>
      <c r="AY489" s="51">
        <f t="shared" si="812"/>
        <v>0</v>
      </c>
      <c r="AZ489" s="51">
        <f t="shared" si="813"/>
        <v>0</v>
      </c>
      <c r="BA489" s="51">
        <f t="shared" si="814"/>
        <v>0</v>
      </c>
      <c r="BB489" s="51"/>
      <c r="BC489" s="51"/>
      <c r="BD489" s="51"/>
      <c r="BE489" s="51"/>
      <c r="BF489" s="51"/>
      <c r="BG489" s="51"/>
      <c r="BH489" s="51"/>
      <c r="BI489" s="65" cm="1">
        <f t="array" ref="BI489">IFERROR(INDEX(AW489:BH489,1,MATCH(2,1/(AW489:BH489&lt;&gt;""))),"")</f>
        <v>0</v>
      </c>
      <c r="BJ489" s="68" cm="1">
        <f t="array" ref="BJ489">IF(BM489 = "", "",IFERROR(INDEX(AW489:BH489,1,MATCH(2,1/(AW489:BH489&lt;&gt;""),1)-1),""))</f>
        <v>0</v>
      </c>
      <c r="BK489" s="58">
        <f>IF((IF(AW489&gt;=115%,115%,AW489) + IF(AX489&gt;=115%,115%,AX489) + IF(AY489&gt;=115%,115%,AY489) + (IF(AZ489&gt;=115%,115%,AZ489) + IF(BA489&gt;=115%,115%,BA489) + IF(BB489&gt;=115%,115%,BB489) + IF(BC489&gt;=115%,115%,BC489) + IF(BD489&gt;=115%,115%,BD489) + IF(BE489&gt;=115%,115%,BE489) + IF(BF489&gt;=115%,115%,BF489) + IF(BG489&gt;=115%,115%,BG489) + IF(BH489&gt;=115%,115%,BH489)))/_xlfn.XLOOKUP(F489,Apuração!A:A,Apuração!B:B)&gt;=1.15,1.15,((IF(AZ489&gt;=115%,115%,AZ489) + IF(AX489&gt;=115%,115%,AX489) + IF(AY489&gt;=115%,115%,AY489) + (IF(AW489&gt;=115%,115%,AW489) + IF(BA489&gt;=115%,115%,BA489) + IF(BB489&gt;=115%,115%,BB489) + IF(BC489&gt;=115%,115%,BC489) + IF(BD489&gt;=115%,115%,BD489) + IF(BE489&gt;=115%,115%,BE489) + IF(BF489&gt;=115%,115%,BF489) + IF(BG489&gt;=115%,115%,BG489) + IF(BH489&gt;=115%,115%,BH489)))/_xlfn.XLOOKUP(F489,Apuração!A:A,Apuração!B:B)))</f>
        <v>0</v>
      </c>
      <c r="BL489" s="58" cm="1">
        <f t="array" aca="1" ref="BL489" ca="1">IF(SUM(IFERROR(IF(INDEX(AW489:INDEX(AW489:BH489, MATCH(2, 1/(AW489:BH489&lt;&gt;""), 1)-1), ROW(INDIRECT("1:" &amp; MATCH(2, 1/(AW489:BH489&lt;&gt;""), 1)-1))) &gt;= 115%, 115%, INDEX(AW489:INDEX(AW489:BH489, MATCH(2, 1/(AW489:BH489&lt;&gt;""), 1)-1), ROW(INDIRECT("1:" &amp; MATCH(2, 1/(AW489:BH489&lt;&gt;""), 1)-1)))), 0))/_xlfn.XLOOKUP(F489,Apuração!A:A,Apuração!B:B)&gt;=1.15,1.15,SUM(IFERROR(IF(INDEX(AW489:INDEX(AW489:BH489, MATCH(2, 1/(AW489:BH489&lt;&gt;""), 1)-1), ROW(INDIRECT("1:" &amp; MATCH(2, 1/(AW489:BH489&lt;&gt;""), 1)-1))) &gt;= 115%, 115%, INDEX(AW489:INDEX(AW489:BH489, MATCH(2, 1/(AW489:BH489&lt;&gt;""), 1)-1), ROW(INDIRECT("1:" &amp; MATCH(2, 1/(AW489:BH489&lt;&gt;""), 1)-1)))), 0))/_xlfn.XLOOKUP(F489,Apuração!A:A,Apuração!B:B))</f>
        <v>0</v>
      </c>
      <c r="BM489" s="55" cm="1">
        <f t="array" ref="BM489">IFERROR(
   INDEX($AW$1:$BH$1,
      _xlfn.AGGREGATE(14, 6, COLUMN($AW$1:$BH$1)/(AW489:BH489&lt;&gt;""), 2) - COLUMN($AW$1) + 1
   ),
"")</f>
        <v>46113</v>
      </c>
      <c r="BN489" s="55" cm="1">
        <f t="array" ref="BN489">IFERROR(INDEX($AW$1:$BH$1,1,MATCH(2,1/(AW489:BH489&lt;&gt;""))),"")</f>
        <v>46143</v>
      </c>
      <c r="BO489" s="53">
        <f ca="1">IFERROR(_xlfn.XLOOKUP(F489,Apuração!A:A,Apuração!C:C)/_xlfn.XLOOKUP(F489,Apuração!A:A,Apuração!B:B),0)</f>
        <v>0</v>
      </c>
      <c r="BP489" s="53">
        <f ca="1">IFERROR(_xlfn.XLOOKUP(F489,Apuração!A:A,Apuração!D:D)/_xlfn.XLOOKUP(F489,Apuração!A:A,Apuração!B:B),0)</f>
        <v>0</v>
      </c>
      <c r="BQ489" s="53">
        <f ca="1">IF(BK489&gt;=BO489,0,_xlfn.XLOOKUP(F489,Apuração!A:A,Apuração!B:B)*(BO489 + (1/_xlfn.XLOOKUP(F489,Apuração!A:A,Apuração!B:B)) - BK489))</f>
        <v>0</v>
      </c>
      <c r="BR489" s="85">
        <f t="shared" ca="1" si="815"/>
        <v>0</v>
      </c>
      <c r="BS489" s="53">
        <f ca="1">IFERROR((_xlfn.XLOOKUP(F489,Apuração!A:A,Apuração!C:C)+1)/_xlfn.XLOOKUP(F489,Apuração!A:A,Apuração!B:B),0)</f>
        <v>0.14285714285714285</v>
      </c>
    </row>
    <row r="490" spans="1:71" ht="25.95" hidden="1" customHeight="1" x14ac:dyDescent="0.3">
      <c r="A490" s="3" t="s">
        <v>33</v>
      </c>
      <c r="B490" s="4" t="s">
        <v>84</v>
      </c>
      <c r="C490" s="5" t="s">
        <v>97</v>
      </c>
      <c r="D490" s="5" t="s">
        <v>106</v>
      </c>
      <c r="E490" s="4" t="s">
        <v>96</v>
      </c>
      <c r="F490" s="4" t="str" cm="1">
        <f t="array" ref="F490">_xlfn.IFS(
AG490 &lt;&gt; "", "Jan-Dez/26",
AH490 &lt;&gt; "", "Fev-Dez/26",
AI490 &lt;&gt; "", "Mar-Dez/26", AJ490 &lt;&gt; "", "Abr-Dez/26",
TRUE, "A partir de Junho"
)</f>
        <v>A partir de Junho</v>
      </c>
      <c r="G490" s="4" t="s">
        <v>62</v>
      </c>
      <c r="H490" s="7" t="s">
        <v>38</v>
      </c>
      <c r="I490" s="8" t="s">
        <v>55</v>
      </c>
      <c r="J490" s="8" t="str" cm="1">
        <f t="array" aca="1" ref="J490" ca="1">_xlfn.LET(
  _xlpm.actual_value_month, INDEX(T490:AE490, MATCH(DATE(YEAR(TODAY()), MONTH(TODAY()), 1), $T$1:$AE$1, 0)),
  IF(_xlpm.actual_value_month &lt;&gt; "",_xlpm.actual_value_month &amp; " ações mensais", "")
)</f>
        <v>1 ações mensais</v>
      </c>
      <c r="K490" s="14" t="str" cm="1">
        <f t="array" ref="K490">_xlfn.LET(
    _xlpm.sum_month, SUM(T490:AE490),
    IF(_xlpm.sum_month = 0, "", _xlpm.sum_month &amp; " eventos realizados")
)</f>
        <v>9 eventos realizados</v>
      </c>
      <c r="L490" s="9" t="s">
        <v>56</v>
      </c>
      <c r="M490" s="13" t="s">
        <v>86</v>
      </c>
      <c r="N490" s="5" t="s">
        <v>42</v>
      </c>
      <c r="O490" s="5" t="s">
        <v>43</v>
      </c>
      <c r="P490" s="10" t="s">
        <v>44</v>
      </c>
      <c r="Q490" s="10" t="s">
        <v>44</v>
      </c>
      <c r="R490" s="11" t="s">
        <v>44</v>
      </c>
      <c r="S490" s="11" t="s">
        <v>44</v>
      </c>
      <c r="T490" s="22"/>
      <c r="U490" s="22"/>
      <c r="V490" s="22"/>
      <c r="W490" s="143">
        <v>1</v>
      </c>
      <c r="X490" s="143">
        <v>1</v>
      </c>
      <c r="Y490" s="143">
        <v>1</v>
      </c>
      <c r="Z490" s="143">
        <v>1</v>
      </c>
      <c r="AA490" s="143">
        <v>1</v>
      </c>
      <c r="AB490" s="143">
        <v>1</v>
      </c>
      <c r="AC490" s="143">
        <v>1</v>
      </c>
      <c r="AD490" s="143">
        <v>1</v>
      </c>
      <c r="AE490" s="143">
        <v>1</v>
      </c>
      <c r="AG490" s="71"/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  <c r="AR490" s="71"/>
      <c r="AS490" s="94">
        <f t="shared" ca="1" si="807"/>
        <v>2</v>
      </c>
      <c r="AT490" s="95">
        <f t="shared" si="808"/>
        <v>0</v>
      </c>
      <c r="AU490" s="97">
        <f t="shared" si="809"/>
        <v>0</v>
      </c>
      <c r="AW490" s="51">
        <f t="shared" si="810"/>
        <v>0</v>
      </c>
      <c r="AX490" s="51">
        <f t="shared" si="811"/>
        <v>0</v>
      </c>
      <c r="AY490" s="51">
        <f t="shared" si="812"/>
        <v>0</v>
      </c>
      <c r="AZ490" s="51">
        <f t="shared" si="813"/>
        <v>0</v>
      </c>
      <c r="BA490" s="51">
        <f t="shared" si="814"/>
        <v>0</v>
      </c>
      <c r="BB490" s="51"/>
      <c r="BC490" s="51"/>
      <c r="BD490" s="51"/>
      <c r="BE490" s="51"/>
      <c r="BF490" s="51"/>
      <c r="BG490" s="51"/>
      <c r="BH490" s="51"/>
      <c r="BI490" s="65" cm="1">
        <f t="array" ref="BI490">IFERROR(INDEX(AW490:BH490,1,MATCH(2,1/(AW490:BH490&lt;&gt;""))),"")</f>
        <v>0</v>
      </c>
      <c r="BJ490" s="68" cm="1">
        <f t="array" ref="BJ490">IF(BM490 = "", "",IFERROR(INDEX(AW490:BH490,1,MATCH(2,1/(AW490:BH490&lt;&gt;""),1)-1),""))</f>
        <v>0</v>
      </c>
      <c r="BK490" s="58">
        <f>IF((IF(AW490&gt;=115%,115%,AW490) + IF(AX490&gt;=115%,115%,AX490) + IF(AY490&gt;=115%,115%,AY490) + (IF(AZ490&gt;=115%,115%,AZ490) + IF(BA490&gt;=115%,115%,BA490) + IF(BB490&gt;=115%,115%,BB490) + IF(BC490&gt;=115%,115%,BC490) + IF(BD490&gt;=115%,115%,BD490) + IF(BE490&gt;=115%,115%,BE490) + IF(BF490&gt;=115%,115%,BF490) + IF(BG490&gt;=115%,115%,BG490) + IF(BH490&gt;=115%,115%,BH490)))/_xlfn.XLOOKUP(F490,Apuração!A:A,Apuração!B:B)&gt;=1.15,1.15,((IF(AZ490&gt;=115%,115%,AZ490) + IF(AX490&gt;=115%,115%,AX490) + IF(AY490&gt;=115%,115%,AY490) + (IF(AW490&gt;=115%,115%,AW490) + IF(BA490&gt;=115%,115%,BA490) + IF(BB490&gt;=115%,115%,BB490) + IF(BC490&gt;=115%,115%,BC490) + IF(BD490&gt;=115%,115%,BD490) + IF(BE490&gt;=115%,115%,BE490) + IF(BF490&gt;=115%,115%,BF490) + IF(BG490&gt;=115%,115%,BG490) + IF(BH490&gt;=115%,115%,BH490)))/_xlfn.XLOOKUP(F490,Apuração!A:A,Apuração!B:B)))</f>
        <v>0</v>
      </c>
      <c r="BL490" s="58" cm="1">
        <f t="array" aca="1" ref="BL490" ca="1">IF(SUM(IFERROR(IF(INDEX(AW490:INDEX(AW490:BH490, MATCH(2, 1/(AW490:BH490&lt;&gt;""), 1)-1), ROW(INDIRECT("1:" &amp; MATCH(2, 1/(AW490:BH490&lt;&gt;""), 1)-1))) &gt;= 115%, 115%, INDEX(AW490:INDEX(AW490:BH490, MATCH(2, 1/(AW490:BH490&lt;&gt;""), 1)-1), ROW(INDIRECT("1:" &amp; MATCH(2, 1/(AW490:BH490&lt;&gt;""), 1)-1)))), 0))/_xlfn.XLOOKUP(F490,Apuração!A:A,Apuração!B:B)&gt;=1.15,1.15,SUM(IFERROR(IF(INDEX(AW490:INDEX(AW490:BH490, MATCH(2, 1/(AW490:BH490&lt;&gt;""), 1)-1), ROW(INDIRECT("1:" &amp; MATCH(2, 1/(AW490:BH490&lt;&gt;""), 1)-1))) &gt;= 115%, 115%, INDEX(AW490:INDEX(AW490:BH490, MATCH(2, 1/(AW490:BH490&lt;&gt;""), 1)-1), ROW(INDIRECT("1:" &amp; MATCH(2, 1/(AW490:BH490&lt;&gt;""), 1)-1)))), 0))/_xlfn.XLOOKUP(F490,Apuração!A:A,Apuração!B:B))</f>
        <v>0</v>
      </c>
      <c r="BM490" s="55" cm="1">
        <f t="array" ref="BM490">IFERROR(
   INDEX($AW$1:$BH$1,
      _xlfn.AGGREGATE(14, 6, COLUMN($AW$1:$BH$1)/(AW490:BH490&lt;&gt;""), 2) - COLUMN($AW$1) + 1
   ),
"")</f>
        <v>46113</v>
      </c>
      <c r="BN490" s="55" cm="1">
        <f t="array" ref="BN490">IFERROR(INDEX($AW$1:$BH$1,1,MATCH(2,1/(AW490:BH490&lt;&gt;""))),"")</f>
        <v>46143</v>
      </c>
      <c r="BO490" s="53">
        <f ca="1">IFERROR(_xlfn.XLOOKUP(F490,Apuração!A:A,Apuração!C:C)/_xlfn.XLOOKUP(F490,Apuração!A:A,Apuração!B:B),0)</f>
        <v>0</v>
      </c>
      <c r="BP490" s="53">
        <f ca="1">IFERROR(_xlfn.XLOOKUP(F490,Apuração!A:A,Apuração!D:D)/_xlfn.XLOOKUP(F490,Apuração!A:A,Apuração!B:B),0)</f>
        <v>0</v>
      </c>
      <c r="BQ490" s="53">
        <f ca="1">IF(BK490&gt;=BO490,0,_xlfn.XLOOKUP(F490,Apuração!A:A,Apuração!B:B)*(BO490 + (1/_xlfn.XLOOKUP(F490,Apuração!A:A,Apuração!B:B)) - BK490))</f>
        <v>0</v>
      </c>
      <c r="BR490" s="85">
        <f t="shared" ca="1" si="815"/>
        <v>0</v>
      </c>
      <c r="BS490" s="53">
        <f ca="1">IFERROR((_xlfn.XLOOKUP(F490,Apuração!A:A,Apuração!C:C)+1)/_xlfn.XLOOKUP(F490,Apuração!A:A,Apuração!B:B),0)</f>
        <v>0.14285714285714285</v>
      </c>
    </row>
    <row r="491" spans="1:71" ht="25.95" hidden="1" customHeight="1" x14ac:dyDescent="0.3">
      <c r="A491" s="3" t="s">
        <v>33</v>
      </c>
      <c r="B491" s="4" t="s">
        <v>84</v>
      </c>
      <c r="C491" s="5" t="s">
        <v>97</v>
      </c>
      <c r="D491" s="5" t="s">
        <v>107</v>
      </c>
      <c r="E491" s="4" t="s">
        <v>96</v>
      </c>
      <c r="F491" s="4" t="str" cm="1">
        <f t="array" ref="F491">_xlfn.IFS(
AG491 &lt;&gt; "", "Jan-Dez/26",
AH491 &lt;&gt; "", "Fev-Dez/26",
AI491 &lt;&gt; "", "Mar-Dez/26", AJ491 &lt;&gt; "", "Abr-Dez/26",
TRUE, "A partir de Junho"
)</f>
        <v>A partir de Junho</v>
      </c>
      <c r="G491" s="4" t="s">
        <v>62</v>
      </c>
      <c r="H491" s="7" t="s">
        <v>38</v>
      </c>
      <c r="I491" s="8" t="s">
        <v>55</v>
      </c>
      <c r="J491" s="8" t="str" cm="1">
        <f t="array" aca="1" ref="J491" ca="1">_xlfn.LET(
  _xlpm.actual_value_month, INDEX(T491:AE491, MATCH(DATE(YEAR(TODAY()), MONTH(TODAY()), 1), $T$1:$AE$1, 0)),
  IF(_xlpm.actual_value_month &lt;&gt; "",_xlpm.actual_value_month &amp; " ações mensais", "")
)</f>
        <v>1 ações mensais</v>
      </c>
      <c r="K491" s="14" t="str" cm="1">
        <f t="array" ref="K491">_xlfn.LET(
    _xlpm.sum_month, SUM(T491:AE491),
    IF(_xlpm.sum_month = 0, "", _xlpm.sum_month &amp; " eventos realizados")
)</f>
        <v>9 eventos realizados</v>
      </c>
      <c r="L491" s="9" t="s">
        <v>56</v>
      </c>
      <c r="M491" s="13" t="s">
        <v>86</v>
      </c>
      <c r="N491" s="5" t="s">
        <v>42</v>
      </c>
      <c r="O491" s="5" t="s">
        <v>43</v>
      </c>
      <c r="P491" s="10" t="s">
        <v>44</v>
      </c>
      <c r="Q491" s="10" t="s">
        <v>44</v>
      </c>
      <c r="R491" s="11" t="s">
        <v>44</v>
      </c>
      <c r="S491" s="11" t="s">
        <v>44</v>
      </c>
      <c r="T491" s="22"/>
      <c r="U491" s="22"/>
      <c r="V491" s="22"/>
      <c r="W491" s="143">
        <v>1</v>
      </c>
      <c r="X491" s="143">
        <v>1</v>
      </c>
      <c r="Y491" s="143">
        <v>1</v>
      </c>
      <c r="Z491" s="143">
        <v>1</v>
      </c>
      <c r="AA491" s="143">
        <v>1</v>
      </c>
      <c r="AB491" s="143">
        <v>1</v>
      </c>
      <c r="AC491" s="143">
        <v>1</v>
      </c>
      <c r="AD491" s="143">
        <v>1</v>
      </c>
      <c r="AE491" s="143">
        <v>1</v>
      </c>
      <c r="AG491" s="71"/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  <c r="AR491" s="71"/>
      <c r="AS491" s="94">
        <f t="shared" ca="1" si="807"/>
        <v>2</v>
      </c>
      <c r="AT491" s="95">
        <f t="shared" si="808"/>
        <v>0</v>
      </c>
      <c r="AU491" s="97">
        <f t="shared" si="809"/>
        <v>0</v>
      </c>
      <c r="AW491" s="51">
        <f t="shared" si="810"/>
        <v>0</v>
      </c>
      <c r="AX491" s="51">
        <f t="shared" si="811"/>
        <v>0</v>
      </c>
      <c r="AY491" s="51">
        <f t="shared" si="812"/>
        <v>0</v>
      </c>
      <c r="AZ491" s="51">
        <f t="shared" si="813"/>
        <v>0</v>
      </c>
      <c r="BA491" s="51">
        <f t="shared" si="814"/>
        <v>0</v>
      </c>
      <c r="BB491" s="51"/>
      <c r="BC491" s="51"/>
      <c r="BD491" s="51"/>
      <c r="BE491" s="51"/>
      <c r="BF491" s="51"/>
      <c r="BG491" s="51"/>
      <c r="BH491" s="51"/>
      <c r="BI491" s="65" cm="1">
        <f t="array" ref="BI491">IFERROR(INDEX(AW491:BH491,1,MATCH(2,1/(AW491:BH491&lt;&gt;""))),"")</f>
        <v>0</v>
      </c>
      <c r="BJ491" s="68" cm="1">
        <f t="array" ref="BJ491">IF(BM491 = "", "",IFERROR(INDEX(AW491:BH491,1,MATCH(2,1/(AW491:BH491&lt;&gt;""),1)-1),""))</f>
        <v>0</v>
      </c>
      <c r="BK491" s="58">
        <f>IF((IF(AW491&gt;=115%,115%,AW491) + IF(AX491&gt;=115%,115%,AX491) + IF(AY491&gt;=115%,115%,AY491) + (IF(AZ491&gt;=115%,115%,AZ491) + IF(BA491&gt;=115%,115%,BA491) + IF(BB491&gt;=115%,115%,BB491) + IF(BC491&gt;=115%,115%,BC491) + IF(BD491&gt;=115%,115%,BD491) + IF(BE491&gt;=115%,115%,BE491) + IF(BF491&gt;=115%,115%,BF491) + IF(BG491&gt;=115%,115%,BG491) + IF(BH491&gt;=115%,115%,BH491)))/_xlfn.XLOOKUP(F491,Apuração!A:A,Apuração!B:B)&gt;=1.15,1.15,((IF(AZ491&gt;=115%,115%,AZ491) + IF(AX491&gt;=115%,115%,AX491) + IF(AY491&gt;=115%,115%,AY491) + (IF(AW491&gt;=115%,115%,AW491) + IF(BA491&gt;=115%,115%,BA491) + IF(BB491&gt;=115%,115%,BB491) + IF(BC491&gt;=115%,115%,BC491) + IF(BD491&gt;=115%,115%,BD491) + IF(BE491&gt;=115%,115%,BE491) + IF(BF491&gt;=115%,115%,BF491) + IF(BG491&gt;=115%,115%,BG491) + IF(BH491&gt;=115%,115%,BH491)))/_xlfn.XLOOKUP(F491,Apuração!A:A,Apuração!B:B)))</f>
        <v>0</v>
      </c>
      <c r="BL491" s="58" cm="1">
        <f t="array" aca="1" ref="BL491" ca="1">IF(SUM(IFERROR(IF(INDEX(AW491:INDEX(AW491:BH491, MATCH(2, 1/(AW491:BH491&lt;&gt;""), 1)-1), ROW(INDIRECT("1:" &amp; MATCH(2, 1/(AW491:BH491&lt;&gt;""), 1)-1))) &gt;= 115%, 115%, INDEX(AW491:INDEX(AW491:BH491, MATCH(2, 1/(AW491:BH491&lt;&gt;""), 1)-1), ROW(INDIRECT("1:" &amp; MATCH(2, 1/(AW491:BH491&lt;&gt;""), 1)-1)))), 0))/_xlfn.XLOOKUP(F491,Apuração!A:A,Apuração!B:B)&gt;=1.15,1.15,SUM(IFERROR(IF(INDEX(AW491:INDEX(AW491:BH491, MATCH(2, 1/(AW491:BH491&lt;&gt;""), 1)-1), ROW(INDIRECT("1:" &amp; MATCH(2, 1/(AW491:BH491&lt;&gt;""), 1)-1))) &gt;= 115%, 115%, INDEX(AW491:INDEX(AW491:BH491, MATCH(2, 1/(AW491:BH491&lt;&gt;""), 1)-1), ROW(INDIRECT("1:" &amp; MATCH(2, 1/(AW491:BH491&lt;&gt;""), 1)-1)))), 0))/_xlfn.XLOOKUP(F491,Apuração!A:A,Apuração!B:B))</f>
        <v>0</v>
      </c>
      <c r="BM491" s="55" cm="1">
        <f t="array" ref="BM491">IFERROR(
   INDEX($AW$1:$BH$1,
      _xlfn.AGGREGATE(14, 6, COLUMN($AW$1:$BH$1)/(AW491:BH491&lt;&gt;""), 2) - COLUMN($AW$1) + 1
   ),
"")</f>
        <v>46113</v>
      </c>
      <c r="BN491" s="55" cm="1">
        <f t="array" ref="BN491">IFERROR(INDEX($AW$1:$BH$1,1,MATCH(2,1/(AW491:BH491&lt;&gt;""))),"")</f>
        <v>46143</v>
      </c>
      <c r="BO491" s="53">
        <f ca="1">IFERROR(_xlfn.XLOOKUP(F491,Apuração!A:A,Apuração!C:C)/_xlfn.XLOOKUP(F491,Apuração!A:A,Apuração!B:B),0)</f>
        <v>0</v>
      </c>
      <c r="BP491" s="53">
        <f ca="1">IFERROR(_xlfn.XLOOKUP(F491,Apuração!A:A,Apuração!D:D)/_xlfn.XLOOKUP(F491,Apuração!A:A,Apuração!B:B),0)</f>
        <v>0</v>
      </c>
      <c r="BQ491" s="53">
        <f ca="1">IF(BK491&gt;=BO491,0,_xlfn.XLOOKUP(F491,Apuração!A:A,Apuração!B:B)*(BO491 + (1/_xlfn.XLOOKUP(F491,Apuração!A:A,Apuração!B:B)) - BK491))</f>
        <v>0</v>
      </c>
      <c r="BR491" s="85">
        <f t="shared" ca="1" si="815"/>
        <v>0</v>
      </c>
      <c r="BS491" s="53">
        <f ca="1">IFERROR((_xlfn.XLOOKUP(F491,Apuração!A:A,Apuração!C:C)+1)/_xlfn.XLOOKUP(F491,Apuração!A:A,Apuração!B:B),0)</f>
        <v>0.14285714285714285</v>
      </c>
    </row>
    <row r="492" spans="1:71" ht="25.95" hidden="1" customHeight="1" x14ac:dyDescent="0.3">
      <c r="A492" s="39" t="s">
        <v>33</v>
      </c>
      <c r="B492" s="4" t="s">
        <v>84</v>
      </c>
      <c r="C492" s="5" t="s">
        <v>97</v>
      </c>
      <c r="D492" s="5" t="s">
        <v>36</v>
      </c>
      <c r="E492" s="4" t="s">
        <v>96</v>
      </c>
      <c r="F492" s="4" t="str" cm="1">
        <f t="array" ref="F492">_xlfn.IFS(
AG492 &lt;&gt; "", "Jan-Dez/26",
AH492 &lt;&gt; "", "Fev-Dez/26",
AI492 &lt;&gt; "", "Mar-Dez/26", AJ492 &lt;&gt; "", "Abr-Dez/26",
TRUE, "A partir de Junho"
)</f>
        <v>A partir de Junho</v>
      </c>
      <c r="G492" s="4" t="s">
        <v>62</v>
      </c>
      <c r="H492" s="7" t="s">
        <v>38</v>
      </c>
      <c r="I492" s="9" t="s">
        <v>76</v>
      </c>
      <c r="J492" s="8" t="str" cm="1">
        <f t="array" aca="1" ref="J492" ca="1">_xlfn.LET(
  _xlpm.actual_value_month, INDEX(T492:AE492, MATCH(DATE(YEAR(TODAY()), MONTH(TODAY()), 1), $T$1:$AE$1, 0)),
  IF(_xlpm.actual_value_month &lt;&gt; "",_xlpm.actual_value_month &amp; " ações mensais", "")
)</f>
        <v/>
      </c>
      <c r="K492" s="14" t="str" cm="1">
        <f t="array" ref="K492">_xlfn.LET(
    _xlpm.sum_month, SUM(T492:AE492),
    IF(_xlpm.sum_month = 0, "", _xlpm.sum_month &amp; " público impactado no ano.")
)</f>
        <v/>
      </c>
      <c r="L492" s="9" t="s">
        <v>76</v>
      </c>
      <c r="M492" s="13">
        <v>1</v>
      </c>
      <c r="N492" s="5" t="s">
        <v>51</v>
      </c>
      <c r="O492" s="5" t="s">
        <v>52</v>
      </c>
      <c r="P492" s="10" t="s">
        <v>44</v>
      </c>
      <c r="Q492" s="10" t="s">
        <v>44</v>
      </c>
      <c r="R492" s="11" t="s">
        <v>44</v>
      </c>
      <c r="S492" s="11" t="s">
        <v>44</v>
      </c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G492" s="71"/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  <c r="AR492" s="71"/>
      <c r="AS492" s="94">
        <f t="shared" ref="AS492" ca="1" si="816">IF(MONTH(TODAY())=3,SUM(T492:U492),IF(MONTH(TODAY())=4,SUM(T492:V492),IF(MONTH(TODAY())=5,SUM(T492:W492),IF(MONTH(TODAY())=6,SUM(T492:X492),IF(MONTH(TODAY())=7,SUM(T492:Y492),IF(MONTH(TODAY())=8,SUM(T492:Z492),IF(MONTH(TODAY())=9,SUM(T492:AA492),IF(MONTH(TODAY())=10,SUM(T492:AB492),IF(MONTH(TODAY())=11,SUM(T492:AC492),IF(MONTH(TODAY())=12,SUM(T492:AD492),IF(MONTH(TODAY())=1,SUM(T492:AE492),T492)))))))))))</f>
        <v>0</v>
      </c>
      <c r="AT492" s="95">
        <f>SUM(AG492:AR492)</f>
        <v>0</v>
      </c>
      <c r="AU492" s="97">
        <f t="shared" ref="AU492" si="817">SUM(AG492:AR492)</f>
        <v>0</v>
      </c>
      <c r="AW492" s="83">
        <f>AG492</f>
        <v>0</v>
      </c>
      <c r="AX492" s="83">
        <f t="shared" ref="AX492" si="818">AH492</f>
        <v>0</v>
      </c>
      <c r="AY492" s="83">
        <f t="shared" ref="AY492" si="819">AI492</f>
        <v>0</v>
      </c>
      <c r="AZ492" s="83">
        <f t="shared" ref="AZ492:BA502" si="820">AJ492</f>
        <v>0</v>
      </c>
      <c r="BA492" s="83">
        <f t="shared" si="820"/>
        <v>0</v>
      </c>
      <c r="BB492" s="52"/>
      <c r="BC492" s="52"/>
      <c r="BD492" s="52"/>
      <c r="BE492" s="52"/>
      <c r="BF492" s="52"/>
      <c r="BG492" s="52"/>
      <c r="BH492" s="52"/>
      <c r="BI492" s="68" cm="1">
        <f t="array" ref="BI492">IFERROR(INDEX(AW492:BH492,1,MATCH(2,1/(AW492:BH492&lt;&gt;""))),"")</f>
        <v>0</v>
      </c>
      <c r="BJ492" s="68" cm="1">
        <f t="array" ref="BJ492">IF(BM492 = "", "",IFERROR(INDEX(AW492:BH492,1,MATCH(2,1/(AW492:BH492&lt;&gt;""),1)-1),""))</f>
        <v>0</v>
      </c>
      <c r="BK492" s="59">
        <f>SUM(AW492:BH492)</f>
        <v>0</v>
      </c>
      <c r="BL492" s="59" cm="1">
        <f t="array" ref="BL492">IFERROR(SUM(AW492:INDEX(AW492:BH492, MATCH(2, 1/(AW492:BH492&lt;&gt;""), 1) - 1))/_xlfn.XLOOKUP(F492,Apuração!A:A,Apuração!B:B),0)</f>
        <v>0</v>
      </c>
      <c r="BM492" s="55" cm="1">
        <f t="array" ref="BM492">IFERROR(
   INDEX($AW$1:$BH$1,
      _xlfn.AGGREGATE(14, 6, COLUMN($AW$1:$BH$1)/(AW492:BH492&lt;&gt;""), 2) - COLUMN($AW$1) + 1
   ),
"")</f>
        <v>46113</v>
      </c>
      <c r="BN492" s="55" cm="1">
        <f t="array" ref="BN492">IFERROR(INDEX($AW$1:$BH$1,1,MATCH(2,1/(AW492:BH492&lt;&gt;""))),"")</f>
        <v>46143</v>
      </c>
      <c r="BO492" s="53">
        <f ca="1">IFERROR(_xlfn.XLOOKUP(F492,Apuração!A:A,Apuração!C:C)/_xlfn.XLOOKUP(F492,Apuração!A:A,Apuração!B:B),0)</f>
        <v>0</v>
      </c>
      <c r="BP492" s="53">
        <f ca="1">IFERROR(_xlfn.XLOOKUP(F492,Apuração!A:A,Apuração!D:D)/_xlfn.XLOOKUP(F492,Apuração!A:A,Apuração!B:B),0)</f>
        <v>0</v>
      </c>
      <c r="BQ492" s="53">
        <f ca="1">IF(BK492&gt;=BO492,0,_xlfn.XLOOKUP(F492,Apuração!A:A,Apuração!B:B)*(BO492 + (1/_xlfn.XLOOKUP(F492,Apuração!A:A,Apuração!B:B)) - BK492))</f>
        <v>0</v>
      </c>
      <c r="BR492" s="85">
        <f t="shared" ref="BR492" ca="1" si="821">IF(BQ492=0,0,BQ492*Z492)</f>
        <v>0</v>
      </c>
      <c r="BS492" s="53">
        <f ca="1">IFERROR((_xlfn.XLOOKUP(F492,Apuração!A:A,Apuração!C:C)+1)/_xlfn.XLOOKUP(F492,Apuração!A:A,Apuração!B:B),0)</f>
        <v>0.14285714285714285</v>
      </c>
    </row>
    <row r="493" spans="1:71" ht="25.95" hidden="1" customHeight="1" x14ac:dyDescent="0.3">
      <c r="A493" s="39" t="s">
        <v>33</v>
      </c>
      <c r="B493" s="4" t="s">
        <v>84</v>
      </c>
      <c r="C493" s="5" t="s">
        <v>97</v>
      </c>
      <c r="D493" s="5" t="s">
        <v>98</v>
      </c>
      <c r="E493" s="4" t="s">
        <v>96</v>
      </c>
      <c r="F493" s="4" t="str" cm="1">
        <f t="array" ref="F493">_xlfn.IFS(
AG493 &lt;&gt; "", "Jan-Dez/26",
AH493 &lt;&gt; "", "Fev-Dez/26",
AI493 &lt;&gt; "", "Mar-Dez/26", AJ493 &lt;&gt; "", "Abr-Dez/26",
TRUE, "A partir de Junho"
)</f>
        <v>A partir de Junho</v>
      </c>
      <c r="G493" s="4" t="s">
        <v>62</v>
      </c>
      <c r="H493" s="7" t="s">
        <v>38</v>
      </c>
      <c r="I493" s="9" t="s">
        <v>76</v>
      </c>
      <c r="J493" s="8" t="str" cm="1">
        <f t="array" aca="1" ref="J493" ca="1">_xlfn.LET(
  _xlpm.actual_value_month, INDEX(T493:AE493, MATCH(DATE(YEAR(TODAY()), MONTH(TODAY()), 1), $T$1:$AE$1, 0)),
  IF(_xlpm.actual_value_month &lt;&gt; "",_xlpm.actual_value_month &amp; " ações mensais", "")
)</f>
        <v/>
      </c>
      <c r="K493" s="14" t="str" cm="1">
        <f t="array" ref="K493">_xlfn.LET(
    _xlpm.sum_month, SUM(T493:AE493),
    IF(_xlpm.sum_month = 0, "", _xlpm.sum_month &amp; " público impactado no ano.")
)</f>
        <v/>
      </c>
      <c r="L493" s="9" t="s">
        <v>76</v>
      </c>
      <c r="M493" s="13">
        <v>1</v>
      </c>
      <c r="N493" s="5" t="s">
        <v>51</v>
      </c>
      <c r="O493" s="5" t="s">
        <v>52</v>
      </c>
      <c r="P493" s="10" t="s">
        <v>44</v>
      </c>
      <c r="Q493" s="10" t="s">
        <v>44</v>
      </c>
      <c r="R493" s="11" t="s">
        <v>44</v>
      </c>
      <c r="S493" s="11" t="s">
        <v>44</v>
      </c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G493" s="71"/>
      <c r="AH493" s="71"/>
      <c r="AI493" s="71"/>
      <c r="AJ493" s="71"/>
      <c r="AK493" s="71"/>
      <c r="AL493" s="71"/>
      <c r="AM493" s="71"/>
      <c r="AN493" s="71"/>
      <c r="AO493" s="71"/>
      <c r="AP493" s="71"/>
      <c r="AQ493" s="71"/>
      <c r="AR493" s="71"/>
      <c r="AS493" s="94">
        <f t="shared" ref="AS493:AS502" ca="1" si="822">IF(MONTH(TODAY())=3,SUM(T493:U493),IF(MONTH(TODAY())=4,SUM(T493:V493),IF(MONTH(TODAY())=5,SUM(T493:W493),IF(MONTH(TODAY())=6,SUM(T493:X493),IF(MONTH(TODAY())=7,SUM(T493:Y493),IF(MONTH(TODAY())=8,SUM(T493:Z493),IF(MONTH(TODAY())=9,SUM(T493:AA493),IF(MONTH(TODAY())=10,SUM(T493:AB493),IF(MONTH(TODAY())=11,SUM(T493:AC493),IF(MONTH(TODAY())=12,SUM(T493:AD493),IF(MONTH(TODAY())=1,SUM(T493:AE493),T493)))))))))))</f>
        <v>0</v>
      </c>
      <c r="AT493" s="95">
        <f t="shared" ref="AT493:AT502" si="823">SUM(AG493:AR493)</f>
        <v>0</v>
      </c>
      <c r="AU493" s="97">
        <f t="shared" ref="AU493:AU502" si="824">SUM(AG493:AR493)</f>
        <v>0</v>
      </c>
      <c r="AW493" s="83">
        <f t="shared" ref="AW493:AW502" si="825">AG493</f>
        <v>0</v>
      </c>
      <c r="AX493" s="83">
        <f t="shared" ref="AX493:AX502" si="826">AH493</f>
        <v>0</v>
      </c>
      <c r="AY493" s="83">
        <f t="shared" ref="AY493:AY502" si="827">AI493</f>
        <v>0</v>
      </c>
      <c r="AZ493" s="83">
        <f t="shared" ref="AZ493:AZ502" si="828">AJ493</f>
        <v>0</v>
      </c>
      <c r="BA493" s="83">
        <f t="shared" si="820"/>
        <v>0</v>
      </c>
      <c r="BB493" s="52"/>
      <c r="BC493" s="52"/>
      <c r="BD493" s="52"/>
      <c r="BE493" s="52"/>
      <c r="BF493" s="52"/>
      <c r="BG493" s="52"/>
      <c r="BH493" s="52"/>
      <c r="BI493" s="68" cm="1">
        <f t="array" ref="BI493">IFERROR(INDEX(AW493:BH493,1,MATCH(2,1/(AW493:BH493&lt;&gt;""))),"")</f>
        <v>0</v>
      </c>
      <c r="BJ493" s="68" cm="1">
        <f t="array" ref="BJ493">IF(BM493 = "", "",IFERROR(INDEX(AW493:BH493,1,MATCH(2,1/(AW493:BH493&lt;&gt;""),1)-1),""))</f>
        <v>0</v>
      </c>
      <c r="BK493" s="59">
        <f t="shared" ref="BK493:BK502" si="829">SUM(AW493:BH493)</f>
        <v>0</v>
      </c>
      <c r="BL493" s="59" cm="1">
        <f t="array" ref="BL493">IFERROR(SUM(AW493:INDEX(AW493:BH493, MATCH(2, 1/(AW493:BH493&lt;&gt;""), 1) - 1))/_xlfn.XLOOKUP(F493,Apuração!A:A,Apuração!B:B),0)</f>
        <v>0</v>
      </c>
      <c r="BM493" s="55" cm="1">
        <f t="array" ref="BM493">IFERROR(
   INDEX($AW$1:$BH$1,
      _xlfn.AGGREGATE(14, 6, COLUMN($AW$1:$BH$1)/(AW493:BH493&lt;&gt;""), 2) - COLUMN($AW$1) + 1
   ),
"")</f>
        <v>46113</v>
      </c>
      <c r="BN493" s="55" cm="1">
        <f t="array" ref="BN493">IFERROR(INDEX($AW$1:$BH$1,1,MATCH(2,1/(AW493:BH493&lt;&gt;""))),"")</f>
        <v>46143</v>
      </c>
      <c r="BO493" s="53">
        <f ca="1">IFERROR(_xlfn.XLOOKUP(F493,Apuração!A:A,Apuração!C:C)/_xlfn.XLOOKUP(F493,Apuração!A:A,Apuração!B:B),0)</f>
        <v>0</v>
      </c>
      <c r="BP493" s="53">
        <f ca="1">IFERROR(_xlfn.XLOOKUP(F493,Apuração!A:A,Apuração!D:D)/_xlfn.XLOOKUP(F493,Apuração!A:A,Apuração!B:B),0)</f>
        <v>0</v>
      </c>
      <c r="BQ493" s="53">
        <f ca="1">IF(BK493&gt;=BO493,0,_xlfn.XLOOKUP(F493,Apuração!A:A,Apuração!B:B)*(BO493 + (1/_xlfn.XLOOKUP(F493,Apuração!A:A,Apuração!B:B)) - BK493))</f>
        <v>0</v>
      </c>
      <c r="BR493" s="85">
        <f t="shared" ref="BR493:BR502" ca="1" si="830">IF(BQ493=0,0,BQ493*Z493)</f>
        <v>0</v>
      </c>
      <c r="BS493" s="53">
        <f ca="1">IFERROR((_xlfn.XLOOKUP(F493,Apuração!A:A,Apuração!C:C)+1)/_xlfn.XLOOKUP(F493,Apuração!A:A,Apuração!B:B),0)</f>
        <v>0.14285714285714285</v>
      </c>
    </row>
    <row r="494" spans="1:71" ht="25.95" hidden="1" customHeight="1" x14ac:dyDescent="0.3">
      <c r="A494" s="39" t="s">
        <v>33</v>
      </c>
      <c r="B494" s="4" t="s">
        <v>84</v>
      </c>
      <c r="C494" s="5" t="s">
        <v>97</v>
      </c>
      <c r="D494" s="5" t="s">
        <v>99</v>
      </c>
      <c r="E494" s="4" t="s">
        <v>96</v>
      </c>
      <c r="F494" s="4" t="str" cm="1">
        <f t="array" ref="F494">_xlfn.IFS(
AG494 &lt;&gt; "", "Jan-Dez/26",
AH494 &lt;&gt; "", "Fev-Dez/26",
AI494 &lt;&gt; "", "Mar-Dez/26", AJ494 &lt;&gt; "", "Abr-Dez/26",
TRUE, "A partir de Junho"
)</f>
        <v>A partir de Junho</v>
      </c>
      <c r="G494" s="4" t="s">
        <v>62</v>
      </c>
      <c r="H494" s="7" t="s">
        <v>38</v>
      </c>
      <c r="I494" s="9" t="s">
        <v>76</v>
      </c>
      <c r="J494" s="8" t="str" cm="1">
        <f t="array" aca="1" ref="J494" ca="1">_xlfn.LET(
  _xlpm.actual_value_month, INDEX(T494:AE494, MATCH(DATE(YEAR(TODAY()), MONTH(TODAY()), 1), $T$1:$AE$1, 0)),
  IF(_xlpm.actual_value_month &lt;&gt; "",_xlpm.actual_value_month &amp; " ações mensais", "")
)</f>
        <v/>
      </c>
      <c r="K494" s="14" t="str" cm="1">
        <f t="array" ref="K494">_xlfn.LET(
    _xlpm.sum_month, SUM(T494:AE494),
    IF(_xlpm.sum_month = 0, "", _xlpm.sum_month &amp; " público impactado no ano.")
)</f>
        <v/>
      </c>
      <c r="L494" s="9" t="s">
        <v>76</v>
      </c>
      <c r="M494" s="13">
        <v>1</v>
      </c>
      <c r="N494" s="5" t="s">
        <v>51</v>
      </c>
      <c r="O494" s="5" t="s">
        <v>52</v>
      </c>
      <c r="P494" s="10" t="s">
        <v>44</v>
      </c>
      <c r="Q494" s="10" t="s">
        <v>44</v>
      </c>
      <c r="R494" s="11" t="s">
        <v>44</v>
      </c>
      <c r="S494" s="11" t="s">
        <v>44</v>
      </c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G494" s="71"/>
      <c r="AH494" s="71"/>
      <c r="AI494" s="71"/>
      <c r="AJ494" s="71"/>
      <c r="AK494" s="71"/>
      <c r="AL494" s="71"/>
      <c r="AM494" s="71"/>
      <c r="AN494" s="71"/>
      <c r="AO494" s="71"/>
      <c r="AP494" s="71"/>
      <c r="AQ494" s="71"/>
      <c r="AR494" s="71"/>
      <c r="AS494" s="94">
        <f t="shared" ca="1" si="822"/>
        <v>0</v>
      </c>
      <c r="AT494" s="95">
        <f t="shared" si="823"/>
        <v>0</v>
      </c>
      <c r="AU494" s="97">
        <f t="shared" si="824"/>
        <v>0</v>
      </c>
      <c r="AW494" s="83">
        <f t="shared" si="825"/>
        <v>0</v>
      </c>
      <c r="AX494" s="83">
        <f t="shared" si="826"/>
        <v>0</v>
      </c>
      <c r="AY494" s="83">
        <f t="shared" si="827"/>
        <v>0</v>
      </c>
      <c r="AZ494" s="83">
        <f t="shared" si="828"/>
        <v>0</v>
      </c>
      <c r="BA494" s="83">
        <f t="shared" si="820"/>
        <v>0</v>
      </c>
      <c r="BB494" s="52"/>
      <c r="BC494" s="52"/>
      <c r="BD494" s="52"/>
      <c r="BE494" s="52"/>
      <c r="BF494" s="52"/>
      <c r="BG494" s="52"/>
      <c r="BH494" s="52"/>
      <c r="BI494" s="68" cm="1">
        <f t="array" ref="BI494">IFERROR(INDEX(AW494:BH494,1,MATCH(2,1/(AW494:BH494&lt;&gt;""))),"")</f>
        <v>0</v>
      </c>
      <c r="BJ494" s="68" cm="1">
        <f t="array" ref="BJ494">IF(BM494 = "", "",IFERROR(INDEX(AW494:BH494,1,MATCH(2,1/(AW494:BH494&lt;&gt;""),1)-1),""))</f>
        <v>0</v>
      </c>
      <c r="BK494" s="59">
        <f t="shared" si="829"/>
        <v>0</v>
      </c>
      <c r="BL494" s="59" cm="1">
        <f t="array" ref="BL494">IFERROR(SUM(AW494:INDEX(AW494:BH494, MATCH(2, 1/(AW494:BH494&lt;&gt;""), 1) - 1))/_xlfn.XLOOKUP(F494,Apuração!A:A,Apuração!B:B),0)</f>
        <v>0</v>
      </c>
      <c r="BM494" s="55" cm="1">
        <f t="array" ref="BM494">IFERROR(
   INDEX($AW$1:$BH$1,
      _xlfn.AGGREGATE(14, 6, COLUMN($AW$1:$BH$1)/(AW494:BH494&lt;&gt;""), 2) - COLUMN($AW$1) + 1
   ),
"")</f>
        <v>46113</v>
      </c>
      <c r="BN494" s="55" cm="1">
        <f t="array" ref="BN494">IFERROR(INDEX($AW$1:$BH$1,1,MATCH(2,1/(AW494:BH494&lt;&gt;""))),"")</f>
        <v>46143</v>
      </c>
      <c r="BO494" s="53">
        <f ca="1">IFERROR(_xlfn.XLOOKUP(F494,Apuração!A:A,Apuração!C:C)/_xlfn.XLOOKUP(F494,Apuração!A:A,Apuração!B:B),0)</f>
        <v>0</v>
      </c>
      <c r="BP494" s="53">
        <f ca="1">IFERROR(_xlfn.XLOOKUP(F494,Apuração!A:A,Apuração!D:D)/_xlfn.XLOOKUP(F494,Apuração!A:A,Apuração!B:B),0)</f>
        <v>0</v>
      </c>
      <c r="BQ494" s="53">
        <f ca="1">IF(BK494&gt;=BO494,0,_xlfn.XLOOKUP(F494,Apuração!A:A,Apuração!B:B)*(BO494 + (1/_xlfn.XLOOKUP(F494,Apuração!A:A,Apuração!B:B)) - BK494))</f>
        <v>0</v>
      </c>
      <c r="BR494" s="85">
        <f t="shared" ca="1" si="830"/>
        <v>0</v>
      </c>
      <c r="BS494" s="53">
        <f ca="1">IFERROR((_xlfn.XLOOKUP(F494,Apuração!A:A,Apuração!C:C)+1)/_xlfn.XLOOKUP(F494,Apuração!A:A,Apuração!B:B),0)</f>
        <v>0.14285714285714285</v>
      </c>
    </row>
    <row r="495" spans="1:71" ht="25.95" hidden="1" customHeight="1" x14ac:dyDescent="0.3">
      <c r="A495" s="39" t="s">
        <v>33</v>
      </c>
      <c r="B495" s="4" t="s">
        <v>84</v>
      </c>
      <c r="C495" s="5" t="s">
        <v>97</v>
      </c>
      <c r="D495" s="5" t="s">
        <v>100</v>
      </c>
      <c r="E495" s="4" t="s">
        <v>96</v>
      </c>
      <c r="F495" s="4" t="str" cm="1">
        <f t="array" ref="F495">_xlfn.IFS(
AG495 &lt;&gt; "", "Jan-Dez/26",
AH495 &lt;&gt; "", "Fev-Dez/26",
AI495 &lt;&gt; "", "Mar-Dez/26", AJ495 &lt;&gt; "", "Abr-Dez/26",
TRUE, "A partir de Junho"
)</f>
        <v>A partir de Junho</v>
      </c>
      <c r="G495" s="4" t="s">
        <v>62</v>
      </c>
      <c r="H495" s="7" t="s">
        <v>38</v>
      </c>
      <c r="I495" s="9" t="s">
        <v>76</v>
      </c>
      <c r="J495" s="8" t="str" cm="1">
        <f t="array" aca="1" ref="J495" ca="1">_xlfn.LET(
  _xlpm.actual_value_month, INDEX(T495:AE495, MATCH(DATE(YEAR(TODAY()), MONTH(TODAY()), 1), $T$1:$AE$1, 0)),
  IF(_xlpm.actual_value_month &lt;&gt; "",_xlpm.actual_value_month &amp; " ações mensais", "")
)</f>
        <v/>
      </c>
      <c r="K495" s="14" t="str" cm="1">
        <f t="array" ref="K495">_xlfn.LET(
    _xlpm.sum_month, SUM(T495:AE495),
    IF(_xlpm.sum_month = 0, "", _xlpm.sum_month &amp; " público impactado no ano.")
)</f>
        <v/>
      </c>
      <c r="L495" s="9" t="s">
        <v>76</v>
      </c>
      <c r="M495" s="13">
        <v>1</v>
      </c>
      <c r="N495" s="5" t="s">
        <v>51</v>
      </c>
      <c r="O495" s="5" t="s">
        <v>52</v>
      </c>
      <c r="P495" s="10" t="s">
        <v>44</v>
      </c>
      <c r="Q495" s="10" t="s">
        <v>44</v>
      </c>
      <c r="R495" s="11" t="s">
        <v>44</v>
      </c>
      <c r="S495" s="11" t="s">
        <v>44</v>
      </c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G495" s="71"/>
      <c r="AH495" s="71"/>
      <c r="AI495" s="71"/>
      <c r="AJ495" s="71"/>
      <c r="AK495" s="71"/>
      <c r="AL495" s="71"/>
      <c r="AM495" s="71"/>
      <c r="AN495" s="71"/>
      <c r="AO495" s="71"/>
      <c r="AP495" s="71"/>
      <c r="AQ495" s="71"/>
      <c r="AR495" s="71"/>
      <c r="AS495" s="94">
        <f t="shared" ca="1" si="822"/>
        <v>0</v>
      </c>
      <c r="AT495" s="95">
        <f t="shared" si="823"/>
        <v>0</v>
      </c>
      <c r="AU495" s="97">
        <f t="shared" si="824"/>
        <v>0</v>
      </c>
      <c r="AW495" s="83">
        <f t="shared" si="825"/>
        <v>0</v>
      </c>
      <c r="AX495" s="83">
        <f t="shared" si="826"/>
        <v>0</v>
      </c>
      <c r="AY495" s="83">
        <f t="shared" si="827"/>
        <v>0</v>
      </c>
      <c r="AZ495" s="83">
        <f t="shared" si="828"/>
        <v>0</v>
      </c>
      <c r="BA495" s="83">
        <f t="shared" si="820"/>
        <v>0</v>
      </c>
      <c r="BB495" s="52"/>
      <c r="BC495" s="52"/>
      <c r="BD495" s="52"/>
      <c r="BE495" s="52"/>
      <c r="BF495" s="52"/>
      <c r="BG495" s="52"/>
      <c r="BH495" s="52"/>
      <c r="BI495" s="68" cm="1">
        <f t="array" ref="BI495">IFERROR(INDEX(AW495:BH495,1,MATCH(2,1/(AW495:BH495&lt;&gt;""))),"")</f>
        <v>0</v>
      </c>
      <c r="BJ495" s="68" cm="1">
        <f t="array" ref="BJ495">IF(BM495 = "", "",IFERROR(INDEX(AW495:BH495,1,MATCH(2,1/(AW495:BH495&lt;&gt;""),1)-1),""))</f>
        <v>0</v>
      </c>
      <c r="BK495" s="59">
        <f t="shared" si="829"/>
        <v>0</v>
      </c>
      <c r="BL495" s="59" cm="1">
        <f t="array" ref="BL495">IFERROR(SUM(AW495:INDEX(AW495:BH495, MATCH(2, 1/(AW495:BH495&lt;&gt;""), 1) - 1))/_xlfn.XLOOKUP(F495,Apuração!A:A,Apuração!B:B),0)</f>
        <v>0</v>
      </c>
      <c r="BM495" s="55" cm="1">
        <f t="array" ref="BM495">IFERROR(
   INDEX($AW$1:$BH$1,
      _xlfn.AGGREGATE(14, 6, COLUMN($AW$1:$BH$1)/(AW495:BH495&lt;&gt;""), 2) - COLUMN($AW$1) + 1
   ),
"")</f>
        <v>46113</v>
      </c>
      <c r="BN495" s="55" cm="1">
        <f t="array" ref="BN495">IFERROR(INDEX($AW$1:$BH$1,1,MATCH(2,1/(AW495:BH495&lt;&gt;""))),"")</f>
        <v>46143</v>
      </c>
      <c r="BO495" s="53">
        <f ca="1">IFERROR(_xlfn.XLOOKUP(F495,Apuração!A:A,Apuração!C:C)/_xlfn.XLOOKUP(F495,Apuração!A:A,Apuração!B:B),0)</f>
        <v>0</v>
      </c>
      <c r="BP495" s="53">
        <f ca="1">IFERROR(_xlfn.XLOOKUP(F495,Apuração!A:A,Apuração!D:D)/_xlfn.XLOOKUP(F495,Apuração!A:A,Apuração!B:B),0)</f>
        <v>0</v>
      </c>
      <c r="BQ495" s="53">
        <f ca="1">IF(BK495&gt;=BO495,0,_xlfn.XLOOKUP(F495,Apuração!A:A,Apuração!B:B)*(BO495 + (1/_xlfn.XLOOKUP(F495,Apuração!A:A,Apuração!B:B)) - BK495))</f>
        <v>0</v>
      </c>
      <c r="BR495" s="85">
        <f t="shared" ca="1" si="830"/>
        <v>0</v>
      </c>
      <c r="BS495" s="53">
        <f ca="1">IFERROR((_xlfn.XLOOKUP(F495,Apuração!A:A,Apuração!C:C)+1)/_xlfn.XLOOKUP(F495,Apuração!A:A,Apuração!B:B),0)</f>
        <v>0.14285714285714285</v>
      </c>
    </row>
    <row r="496" spans="1:71" ht="25.95" hidden="1" customHeight="1" x14ac:dyDescent="0.3">
      <c r="A496" s="39" t="s">
        <v>33</v>
      </c>
      <c r="B496" s="4" t="s">
        <v>84</v>
      </c>
      <c r="C496" s="5" t="s">
        <v>97</v>
      </c>
      <c r="D496" s="5" t="s">
        <v>101</v>
      </c>
      <c r="E496" s="4" t="s">
        <v>96</v>
      </c>
      <c r="F496" s="4" t="str" cm="1">
        <f t="array" ref="F496">_xlfn.IFS(
AG496 &lt;&gt; "", "Jan-Dez/26",
AH496 &lt;&gt; "", "Fev-Dez/26",
AI496 &lt;&gt; "", "Mar-Dez/26", AJ496 &lt;&gt; "", "Abr-Dez/26",
TRUE, "A partir de Junho"
)</f>
        <v>A partir de Junho</v>
      </c>
      <c r="G496" s="4" t="s">
        <v>62</v>
      </c>
      <c r="H496" s="7" t="s">
        <v>38</v>
      </c>
      <c r="I496" s="9" t="s">
        <v>76</v>
      </c>
      <c r="J496" s="8" t="str" cm="1">
        <f t="array" aca="1" ref="J496" ca="1">_xlfn.LET(
  _xlpm.actual_value_month, INDEX(T496:AE496, MATCH(DATE(YEAR(TODAY()), MONTH(TODAY()), 1), $T$1:$AE$1, 0)),
  IF(_xlpm.actual_value_month &lt;&gt; "",_xlpm.actual_value_month &amp; " ações mensais", "")
)</f>
        <v/>
      </c>
      <c r="K496" s="14" t="str" cm="1">
        <f t="array" ref="K496">_xlfn.LET(
    _xlpm.sum_month, SUM(T496:AE496),
    IF(_xlpm.sum_month = 0, "", _xlpm.sum_month &amp; " público impactado no ano.")
)</f>
        <v/>
      </c>
      <c r="L496" s="9" t="s">
        <v>76</v>
      </c>
      <c r="M496" s="13">
        <v>1</v>
      </c>
      <c r="N496" s="5" t="s">
        <v>51</v>
      </c>
      <c r="O496" s="5" t="s">
        <v>52</v>
      </c>
      <c r="P496" s="10" t="s">
        <v>44</v>
      </c>
      <c r="Q496" s="10" t="s">
        <v>44</v>
      </c>
      <c r="R496" s="11" t="s">
        <v>44</v>
      </c>
      <c r="S496" s="11" t="s">
        <v>44</v>
      </c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G496" s="71"/>
      <c r="AH496" s="71"/>
      <c r="AI496" s="71"/>
      <c r="AJ496" s="71"/>
      <c r="AK496" s="71"/>
      <c r="AL496" s="71"/>
      <c r="AM496" s="71"/>
      <c r="AN496" s="71"/>
      <c r="AO496" s="71"/>
      <c r="AP496" s="71"/>
      <c r="AQ496" s="71"/>
      <c r="AR496" s="71"/>
      <c r="AS496" s="94">
        <f t="shared" ca="1" si="822"/>
        <v>0</v>
      </c>
      <c r="AT496" s="95">
        <f t="shared" si="823"/>
        <v>0</v>
      </c>
      <c r="AU496" s="97">
        <f t="shared" si="824"/>
        <v>0</v>
      </c>
      <c r="AW496" s="83">
        <f t="shared" si="825"/>
        <v>0</v>
      </c>
      <c r="AX496" s="83">
        <f t="shared" si="826"/>
        <v>0</v>
      </c>
      <c r="AY496" s="83">
        <f t="shared" si="827"/>
        <v>0</v>
      </c>
      <c r="AZ496" s="83">
        <f t="shared" si="828"/>
        <v>0</v>
      </c>
      <c r="BA496" s="83">
        <f t="shared" si="820"/>
        <v>0</v>
      </c>
      <c r="BB496" s="52"/>
      <c r="BC496" s="52"/>
      <c r="BD496" s="52"/>
      <c r="BE496" s="52"/>
      <c r="BF496" s="52"/>
      <c r="BG496" s="52"/>
      <c r="BH496" s="52"/>
      <c r="BI496" s="68" cm="1">
        <f t="array" ref="BI496">IFERROR(INDEX(AW496:BH496,1,MATCH(2,1/(AW496:BH496&lt;&gt;""))),"")</f>
        <v>0</v>
      </c>
      <c r="BJ496" s="68" cm="1">
        <f t="array" ref="BJ496">IF(BM496 = "", "",IFERROR(INDEX(AW496:BH496,1,MATCH(2,1/(AW496:BH496&lt;&gt;""),1)-1),""))</f>
        <v>0</v>
      </c>
      <c r="BK496" s="59">
        <f t="shared" si="829"/>
        <v>0</v>
      </c>
      <c r="BL496" s="59" cm="1">
        <f t="array" ref="BL496">IFERROR(SUM(AW496:INDEX(AW496:BH496, MATCH(2, 1/(AW496:BH496&lt;&gt;""), 1) - 1))/_xlfn.XLOOKUP(F496,Apuração!A:A,Apuração!B:B),0)</f>
        <v>0</v>
      </c>
      <c r="BM496" s="55" cm="1">
        <f t="array" ref="BM496">IFERROR(
   INDEX($AW$1:$BH$1,
      _xlfn.AGGREGATE(14, 6, COLUMN($AW$1:$BH$1)/(AW496:BH496&lt;&gt;""), 2) - COLUMN($AW$1) + 1
   ),
"")</f>
        <v>46113</v>
      </c>
      <c r="BN496" s="55" cm="1">
        <f t="array" ref="BN496">IFERROR(INDEX($AW$1:$BH$1,1,MATCH(2,1/(AW496:BH496&lt;&gt;""))),"")</f>
        <v>46143</v>
      </c>
      <c r="BO496" s="53">
        <f ca="1">IFERROR(_xlfn.XLOOKUP(F496,Apuração!A:A,Apuração!C:C)/_xlfn.XLOOKUP(F496,Apuração!A:A,Apuração!B:B),0)</f>
        <v>0</v>
      </c>
      <c r="BP496" s="53">
        <f ca="1">IFERROR(_xlfn.XLOOKUP(F496,Apuração!A:A,Apuração!D:D)/_xlfn.XLOOKUP(F496,Apuração!A:A,Apuração!B:B),0)</f>
        <v>0</v>
      </c>
      <c r="BQ496" s="53">
        <f ca="1">IF(BK496&gt;=BO496,0,_xlfn.XLOOKUP(F496,Apuração!A:A,Apuração!B:B)*(BO496 + (1/_xlfn.XLOOKUP(F496,Apuração!A:A,Apuração!B:B)) - BK496))</f>
        <v>0</v>
      </c>
      <c r="BR496" s="85">
        <f t="shared" ca="1" si="830"/>
        <v>0</v>
      </c>
      <c r="BS496" s="53">
        <f ca="1">IFERROR((_xlfn.XLOOKUP(F496,Apuração!A:A,Apuração!C:C)+1)/_xlfn.XLOOKUP(F496,Apuração!A:A,Apuração!B:B),0)</f>
        <v>0.14285714285714285</v>
      </c>
    </row>
    <row r="497" spans="1:71" ht="25.95" hidden="1" customHeight="1" x14ac:dyDescent="0.3">
      <c r="A497" s="39" t="s">
        <v>33</v>
      </c>
      <c r="B497" s="4" t="s">
        <v>84</v>
      </c>
      <c r="C497" s="5" t="s">
        <v>97</v>
      </c>
      <c r="D497" s="5" t="s">
        <v>102</v>
      </c>
      <c r="E497" s="4" t="s">
        <v>96</v>
      </c>
      <c r="F497" s="4" t="str" cm="1">
        <f t="array" ref="F497">_xlfn.IFS(
AG497 &lt;&gt; "", "Jan-Dez/26",
AH497 &lt;&gt; "", "Fev-Dez/26",
AI497 &lt;&gt; "", "Mar-Dez/26", AJ497 &lt;&gt; "", "Abr-Dez/26",
TRUE, "A partir de Junho"
)</f>
        <v>A partir de Junho</v>
      </c>
      <c r="G497" s="4" t="s">
        <v>62</v>
      </c>
      <c r="H497" s="7" t="s">
        <v>38</v>
      </c>
      <c r="I497" s="9" t="s">
        <v>76</v>
      </c>
      <c r="J497" s="8" t="str" cm="1">
        <f t="array" aca="1" ref="J497" ca="1">_xlfn.LET(
  _xlpm.actual_value_month, INDEX(T497:AE497, MATCH(DATE(YEAR(TODAY()), MONTH(TODAY()), 1), $T$1:$AE$1, 0)),
  IF(_xlpm.actual_value_month &lt;&gt; "",_xlpm.actual_value_month &amp; " ações mensais", "")
)</f>
        <v/>
      </c>
      <c r="K497" s="14" t="str" cm="1">
        <f t="array" ref="K497">_xlfn.LET(
    _xlpm.sum_month, SUM(T497:AE497),
    IF(_xlpm.sum_month = 0, "", _xlpm.sum_month &amp; " público impactado no ano.")
)</f>
        <v/>
      </c>
      <c r="L497" s="9" t="s">
        <v>76</v>
      </c>
      <c r="M497" s="13">
        <v>1</v>
      </c>
      <c r="N497" s="5" t="s">
        <v>51</v>
      </c>
      <c r="O497" s="5" t="s">
        <v>52</v>
      </c>
      <c r="P497" s="10" t="s">
        <v>44</v>
      </c>
      <c r="Q497" s="10" t="s">
        <v>44</v>
      </c>
      <c r="R497" s="11" t="s">
        <v>44</v>
      </c>
      <c r="S497" s="11" t="s">
        <v>44</v>
      </c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G497" s="71"/>
      <c r="AH497" s="71"/>
      <c r="AI497" s="71"/>
      <c r="AJ497" s="71"/>
      <c r="AK497" s="71"/>
      <c r="AL497" s="71"/>
      <c r="AM497" s="71"/>
      <c r="AN497" s="71"/>
      <c r="AO497" s="71"/>
      <c r="AP497" s="71"/>
      <c r="AQ497" s="71"/>
      <c r="AR497" s="71"/>
      <c r="AS497" s="94">
        <f t="shared" ca="1" si="822"/>
        <v>0</v>
      </c>
      <c r="AT497" s="95">
        <f t="shared" si="823"/>
        <v>0</v>
      </c>
      <c r="AU497" s="97">
        <f t="shared" si="824"/>
        <v>0</v>
      </c>
      <c r="AW497" s="83">
        <f t="shared" si="825"/>
        <v>0</v>
      </c>
      <c r="AX497" s="83">
        <f t="shared" si="826"/>
        <v>0</v>
      </c>
      <c r="AY497" s="83">
        <f t="shared" si="827"/>
        <v>0</v>
      </c>
      <c r="AZ497" s="83">
        <f t="shared" si="828"/>
        <v>0</v>
      </c>
      <c r="BA497" s="83">
        <f t="shared" si="820"/>
        <v>0</v>
      </c>
      <c r="BB497" s="52"/>
      <c r="BC497" s="52"/>
      <c r="BD497" s="52"/>
      <c r="BE497" s="52"/>
      <c r="BF497" s="52"/>
      <c r="BG497" s="52"/>
      <c r="BH497" s="52"/>
      <c r="BI497" s="68" cm="1">
        <f t="array" ref="BI497">IFERROR(INDEX(AW497:BH497,1,MATCH(2,1/(AW497:BH497&lt;&gt;""))),"")</f>
        <v>0</v>
      </c>
      <c r="BJ497" s="68" cm="1">
        <f t="array" ref="BJ497">IF(BM497 = "", "",IFERROR(INDEX(AW497:BH497,1,MATCH(2,1/(AW497:BH497&lt;&gt;""),1)-1),""))</f>
        <v>0</v>
      </c>
      <c r="BK497" s="59">
        <f t="shared" si="829"/>
        <v>0</v>
      </c>
      <c r="BL497" s="59" cm="1">
        <f t="array" ref="BL497">IFERROR(SUM(AW497:INDEX(AW497:BH497, MATCH(2, 1/(AW497:BH497&lt;&gt;""), 1) - 1))/_xlfn.XLOOKUP(F497,Apuração!A:A,Apuração!B:B),0)</f>
        <v>0</v>
      </c>
      <c r="BM497" s="55" cm="1">
        <f t="array" ref="BM497">IFERROR(
   INDEX($AW$1:$BH$1,
      _xlfn.AGGREGATE(14, 6, COLUMN($AW$1:$BH$1)/(AW497:BH497&lt;&gt;""), 2) - COLUMN($AW$1) + 1
   ),
"")</f>
        <v>46113</v>
      </c>
      <c r="BN497" s="55" cm="1">
        <f t="array" ref="BN497">IFERROR(INDEX($AW$1:$BH$1,1,MATCH(2,1/(AW497:BH497&lt;&gt;""))),"")</f>
        <v>46143</v>
      </c>
      <c r="BO497" s="53">
        <f ca="1">IFERROR(_xlfn.XLOOKUP(F497,Apuração!A:A,Apuração!C:C)/_xlfn.XLOOKUP(F497,Apuração!A:A,Apuração!B:B),0)</f>
        <v>0</v>
      </c>
      <c r="BP497" s="53">
        <f ca="1">IFERROR(_xlfn.XLOOKUP(F497,Apuração!A:A,Apuração!D:D)/_xlfn.XLOOKUP(F497,Apuração!A:A,Apuração!B:B),0)</f>
        <v>0</v>
      </c>
      <c r="BQ497" s="53">
        <f ca="1">IF(BK497&gt;=BO497,0,_xlfn.XLOOKUP(F497,Apuração!A:A,Apuração!B:B)*(BO497 + (1/_xlfn.XLOOKUP(F497,Apuração!A:A,Apuração!B:B)) - BK497))</f>
        <v>0</v>
      </c>
      <c r="BR497" s="85">
        <f t="shared" ca="1" si="830"/>
        <v>0</v>
      </c>
      <c r="BS497" s="53">
        <f ca="1">IFERROR((_xlfn.XLOOKUP(F497,Apuração!A:A,Apuração!C:C)+1)/_xlfn.XLOOKUP(F497,Apuração!A:A,Apuração!B:B),0)</f>
        <v>0.14285714285714285</v>
      </c>
    </row>
    <row r="498" spans="1:71" ht="25.95" hidden="1" customHeight="1" x14ac:dyDescent="0.3">
      <c r="A498" s="39" t="s">
        <v>33</v>
      </c>
      <c r="B498" s="4" t="s">
        <v>84</v>
      </c>
      <c r="C498" s="5" t="s">
        <v>97</v>
      </c>
      <c r="D498" s="5" t="s">
        <v>103</v>
      </c>
      <c r="E498" s="4" t="s">
        <v>96</v>
      </c>
      <c r="F498" s="4" t="str" cm="1">
        <f t="array" ref="F498">_xlfn.IFS(
AG498 &lt;&gt; "", "Jan-Dez/26",
AH498 &lt;&gt; "", "Fev-Dez/26",
AI498 &lt;&gt; "", "Mar-Dez/26", AJ498 &lt;&gt; "", "Abr-Dez/26",
TRUE, "A partir de Junho"
)</f>
        <v>A partir de Junho</v>
      </c>
      <c r="G498" s="4" t="s">
        <v>62</v>
      </c>
      <c r="H498" s="7" t="s">
        <v>38</v>
      </c>
      <c r="I498" s="9" t="s">
        <v>76</v>
      </c>
      <c r="J498" s="8" t="str" cm="1">
        <f t="array" aca="1" ref="J498" ca="1">_xlfn.LET(
  _xlpm.actual_value_month, INDEX(T498:AE498, MATCH(DATE(YEAR(TODAY()), MONTH(TODAY()), 1), $T$1:$AE$1, 0)),
  IF(_xlpm.actual_value_month &lt;&gt; "",_xlpm.actual_value_month &amp; " ações mensais", "")
)</f>
        <v/>
      </c>
      <c r="K498" s="14" t="str" cm="1">
        <f t="array" ref="K498">_xlfn.LET(
    _xlpm.sum_month, SUM(T498:AE498),
    IF(_xlpm.sum_month = 0, "", _xlpm.sum_month &amp; " público impactado no ano.")
)</f>
        <v/>
      </c>
      <c r="L498" s="9" t="s">
        <v>76</v>
      </c>
      <c r="M498" s="13">
        <v>1</v>
      </c>
      <c r="N498" s="5" t="s">
        <v>51</v>
      </c>
      <c r="O498" s="5" t="s">
        <v>52</v>
      </c>
      <c r="P498" s="10" t="s">
        <v>44</v>
      </c>
      <c r="Q498" s="10" t="s">
        <v>44</v>
      </c>
      <c r="R498" s="11" t="s">
        <v>44</v>
      </c>
      <c r="S498" s="11" t="s">
        <v>44</v>
      </c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G498" s="71"/>
      <c r="AH498" s="71"/>
      <c r="AI498" s="71"/>
      <c r="AJ498" s="71"/>
      <c r="AK498" s="71"/>
      <c r="AL498" s="71"/>
      <c r="AM498" s="71"/>
      <c r="AN498" s="71"/>
      <c r="AO498" s="71"/>
      <c r="AP498" s="71"/>
      <c r="AQ498" s="71"/>
      <c r="AR498" s="71"/>
      <c r="AS498" s="94">
        <f t="shared" ca="1" si="822"/>
        <v>0</v>
      </c>
      <c r="AT498" s="95">
        <f t="shared" si="823"/>
        <v>0</v>
      </c>
      <c r="AU498" s="97">
        <f t="shared" si="824"/>
        <v>0</v>
      </c>
      <c r="AW498" s="83">
        <f t="shared" si="825"/>
        <v>0</v>
      </c>
      <c r="AX498" s="83">
        <f t="shared" si="826"/>
        <v>0</v>
      </c>
      <c r="AY498" s="83">
        <f t="shared" si="827"/>
        <v>0</v>
      </c>
      <c r="AZ498" s="83">
        <f t="shared" si="828"/>
        <v>0</v>
      </c>
      <c r="BA498" s="83">
        <f t="shared" si="820"/>
        <v>0</v>
      </c>
      <c r="BB498" s="52"/>
      <c r="BC498" s="52"/>
      <c r="BD498" s="52"/>
      <c r="BE498" s="52"/>
      <c r="BF498" s="52"/>
      <c r="BG498" s="52"/>
      <c r="BH498" s="52"/>
      <c r="BI498" s="68" cm="1">
        <f t="array" ref="BI498">IFERROR(INDEX(AW498:BH498,1,MATCH(2,1/(AW498:BH498&lt;&gt;""))),"")</f>
        <v>0</v>
      </c>
      <c r="BJ498" s="68" cm="1">
        <f t="array" ref="BJ498">IF(BM498 = "", "",IFERROR(INDEX(AW498:BH498,1,MATCH(2,1/(AW498:BH498&lt;&gt;""),1)-1),""))</f>
        <v>0</v>
      </c>
      <c r="BK498" s="59">
        <f t="shared" si="829"/>
        <v>0</v>
      </c>
      <c r="BL498" s="59" cm="1">
        <f t="array" ref="BL498">IFERROR(SUM(AW498:INDEX(AW498:BH498, MATCH(2, 1/(AW498:BH498&lt;&gt;""), 1) - 1))/_xlfn.XLOOKUP(F498,Apuração!A:A,Apuração!B:B),0)</f>
        <v>0</v>
      </c>
      <c r="BM498" s="55" cm="1">
        <f t="array" ref="BM498">IFERROR(
   INDEX($AW$1:$BH$1,
      _xlfn.AGGREGATE(14, 6, COLUMN($AW$1:$BH$1)/(AW498:BH498&lt;&gt;""), 2) - COLUMN($AW$1) + 1
   ),
"")</f>
        <v>46113</v>
      </c>
      <c r="BN498" s="55" cm="1">
        <f t="array" ref="BN498">IFERROR(INDEX($AW$1:$BH$1,1,MATCH(2,1/(AW498:BH498&lt;&gt;""))),"")</f>
        <v>46143</v>
      </c>
      <c r="BO498" s="53">
        <f ca="1">IFERROR(_xlfn.XLOOKUP(F498,Apuração!A:A,Apuração!C:C)/_xlfn.XLOOKUP(F498,Apuração!A:A,Apuração!B:B),0)</f>
        <v>0</v>
      </c>
      <c r="BP498" s="53">
        <f ca="1">IFERROR(_xlfn.XLOOKUP(F498,Apuração!A:A,Apuração!D:D)/_xlfn.XLOOKUP(F498,Apuração!A:A,Apuração!B:B),0)</f>
        <v>0</v>
      </c>
      <c r="BQ498" s="53">
        <f ca="1">IF(BK498&gt;=BO498,0,_xlfn.XLOOKUP(F498,Apuração!A:A,Apuração!B:B)*(BO498 + (1/_xlfn.XLOOKUP(F498,Apuração!A:A,Apuração!B:B)) - BK498))</f>
        <v>0</v>
      </c>
      <c r="BR498" s="85">
        <f t="shared" ca="1" si="830"/>
        <v>0</v>
      </c>
      <c r="BS498" s="53">
        <f ca="1">IFERROR((_xlfn.XLOOKUP(F498,Apuração!A:A,Apuração!C:C)+1)/_xlfn.XLOOKUP(F498,Apuração!A:A,Apuração!B:B),0)</f>
        <v>0.14285714285714285</v>
      </c>
    </row>
    <row r="499" spans="1:71" ht="25.95" hidden="1" customHeight="1" x14ac:dyDescent="0.3">
      <c r="A499" s="39" t="s">
        <v>33</v>
      </c>
      <c r="B499" s="4" t="s">
        <v>84</v>
      </c>
      <c r="C499" s="5" t="s">
        <v>97</v>
      </c>
      <c r="D499" s="5" t="s">
        <v>104</v>
      </c>
      <c r="E499" s="4" t="s">
        <v>96</v>
      </c>
      <c r="F499" s="4" t="str" cm="1">
        <f t="array" ref="F499">_xlfn.IFS(
AG499 &lt;&gt; "", "Jan-Dez/26",
AH499 &lt;&gt; "", "Fev-Dez/26",
AI499 &lt;&gt; "", "Mar-Dez/26", AJ499 &lt;&gt; "", "Abr-Dez/26",
TRUE, "A partir de Junho"
)</f>
        <v>A partir de Junho</v>
      </c>
      <c r="G499" s="4" t="s">
        <v>62</v>
      </c>
      <c r="H499" s="7" t="s">
        <v>38</v>
      </c>
      <c r="I499" s="9" t="s">
        <v>76</v>
      </c>
      <c r="J499" s="8" t="str" cm="1">
        <f t="array" aca="1" ref="J499" ca="1">_xlfn.LET(
  _xlpm.actual_value_month, INDEX(T499:AE499, MATCH(DATE(YEAR(TODAY()), MONTH(TODAY()), 1), $T$1:$AE$1, 0)),
  IF(_xlpm.actual_value_month &lt;&gt; "",_xlpm.actual_value_month &amp; " ações mensais", "")
)</f>
        <v/>
      </c>
      <c r="K499" s="14" t="str" cm="1">
        <f t="array" ref="K499">_xlfn.LET(
    _xlpm.sum_month, SUM(T499:AE499),
    IF(_xlpm.sum_month = 0, "", _xlpm.sum_month &amp; " público impactado no ano.")
)</f>
        <v/>
      </c>
      <c r="L499" s="9" t="s">
        <v>76</v>
      </c>
      <c r="M499" s="13">
        <v>1</v>
      </c>
      <c r="N499" s="5" t="s">
        <v>51</v>
      </c>
      <c r="O499" s="5" t="s">
        <v>52</v>
      </c>
      <c r="P499" s="10" t="s">
        <v>44</v>
      </c>
      <c r="Q499" s="10" t="s">
        <v>44</v>
      </c>
      <c r="R499" s="11" t="s">
        <v>44</v>
      </c>
      <c r="S499" s="11" t="s">
        <v>44</v>
      </c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G499" s="71"/>
      <c r="AH499" s="71"/>
      <c r="AI499" s="71"/>
      <c r="AJ499" s="71"/>
      <c r="AK499" s="71"/>
      <c r="AL499" s="71"/>
      <c r="AM499" s="71"/>
      <c r="AN499" s="71"/>
      <c r="AO499" s="71"/>
      <c r="AP499" s="71"/>
      <c r="AQ499" s="71"/>
      <c r="AR499" s="71"/>
      <c r="AS499" s="94">
        <f t="shared" ca="1" si="822"/>
        <v>0</v>
      </c>
      <c r="AT499" s="95">
        <f t="shared" si="823"/>
        <v>0</v>
      </c>
      <c r="AU499" s="97">
        <f t="shared" si="824"/>
        <v>0</v>
      </c>
      <c r="AW499" s="83">
        <f t="shared" si="825"/>
        <v>0</v>
      </c>
      <c r="AX499" s="83">
        <f t="shared" si="826"/>
        <v>0</v>
      </c>
      <c r="AY499" s="83">
        <f t="shared" si="827"/>
        <v>0</v>
      </c>
      <c r="AZ499" s="83">
        <f t="shared" si="828"/>
        <v>0</v>
      </c>
      <c r="BA499" s="83">
        <f t="shared" si="820"/>
        <v>0</v>
      </c>
      <c r="BB499" s="52"/>
      <c r="BC499" s="52"/>
      <c r="BD499" s="52"/>
      <c r="BE499" s="52"/>
      <c r="BF499" s="52"/>
      <c r="BG499" s="52"/>
      <c r="BH499" s="52"/>
      <c r="BI499" s="68" cm="1">
        <f t="array" ref="BI499">IFERROR(INDEX(AW499:BH499,1,MATCH(2,1/(AW499:BH499&lt;&gt;""))),"")</f>
        <v>0</v>
      </c>
      <c r="BJ499" s="68" cm="1">
        <f t="array" ref="BJ499">IF(BM499 = "", "",IFERROR(INDEX(AW499:BH499,1,MATCH(2,1/(AW499:BH499&lt;&gt;""),1)-1),""))</f>
        <v>0</v>
      </c>
      <c r="BK499" s="59">
        <f t="shared" si="829"/>
        <v>0</v>
      </c>
      <c r="BL499" s="59" cm="1">
        <f t="array" ref="BL499">IFERROR(SUM(AW499:INDEX(AW499:BH499, MATCH(2, 1/(AW499:BH499&lt;&gt;""), 1) - 1))/_xlfn.XLOOKUP(F499,Apuração!A:A,Apuração!B:B),0)</f>
        <v>0</v>
      </c>
      <c r="BM499" s="55" cm="1">
        <f t="array" ref="BM499">IFERROR(
   INDEX($AW$1:$BH$1,
      _xlfn.AGGREGATE(14, 6, COLUMN($AW$1:$BH$1)/(AW499:BH499&lt;&gt;""), 2) - COLUMN($AW$1) + 1
   ),
"")</f>
        <v>46113</v>
      </c>
      <c r="BN499" s="55" cm="1">
        <f t="array" ref="BN499">IFERROR(INDEX($AW$1:$BH$1,1,MATCH(2,1/(AW499:BH499&lt;&gt;""))),"")</f>
        <v>46143</v>
      </c>
      <c r="BO499" s="53">
        <f ca="1">IFERROR(_xlfn.XLOOKUP(F499,Apuração!A:A,Apuração!C:C)/_xlfn.XLOOKUP(F499,Apuração!A:A,Apuração!B:B),0)</f>
        <v>0</v>
      </c>
      <c r="BP499" s="53">
        <f ca="1">IFERROR(_xlfn.XLOOKUP(F499,Apuração!A:A,Apuração!D:D)/_xlfn.XLOOKUP(F499,Apuração!A:A,Apuração!B:B),0)</f>
        <v>0</v>
      </c>
      <c r="BQ499" s="53">
        <f ca="1">IF(BK499&gt;=BO499,0,_xlfn.XLOOKUP(F499,Apuração!A:A,Apuração!B:B)*(BO499 + (1/_xlfn.XLOOKUP(F499,Apuração!A:A,Apuração!B:B)) - BK499))</f>
        <v>0</v>
      </c>
      <c r="BR499" s="85">
        <f t="shared" ca="1" si="830"/>
        <v>0</v>
      </c>
      <c r="BS499" s="53">
        <f ca="1">IFERROR((_xlfn.XLOOKUP(F499,Apuração!A:A,Apuração!C:C)+1)/_xlfn.XLOOKUP(F499,Apuração!A:A,Apuração!B:B),0)</f>
        <v>0.14285714285714285</v>
      </c>
    </row>
    <row r="500" spans="1:71" ht="25.95" hidden="1" customHeight="1" x14ac:dyDescent="0.3">
      <c r="A500" s="39" t="s">
        <v>33</v>
      </c>
      <c r="B500" s="4" t="s">
        <v>84</v>
      </c>
      <c r="C500" s="5" t="s">
        <v>97</v>
      </c>
      <c r="D500" s="5" t="s">
        <v>105</v>
      </c>
      <c r="E500" s="4" t="s">
        <v>96</v>
      </c>
      <c r="F500" s="4" t="str" cm="1">
        <f t="array" ref="F500">_xlfn.IFS(
AG500 &lt;&gt; "", "Jan-Dez/26",
AH500 &lt;&gt; "", "Fev-Dez/26",
AI500 &lt;&gt; "", "Mar-Dez/26", AJ500 &lt;&gt; "", "Abr-Dez/26",
TRUE, "A partir de Junho"
)</f>
        <v>A partir de Junho</v>
      </c>
      <c r="G500" s="4" t="s">
        <v>62</v>
      </c>
      <c r="H500" s="7" t="s">
        <v>38</v>
      </c>
      <c r="I500" s="9" t="s">
        <v>76</v>
      </c>
      <c r="J500" s="8" t="str" cm="1">
        <f t="array" aca="1" ref="J500" ca="1">_xlfn.LET(
  _xlpm.actual_value_month, INDEX(T500:AE500, MATCH(DATE(YEAR(TODAY()), MONTH(TODAY()), 1), $T$1:$AE$1, 0)),
  IF(_xlpm.actual_value_month &lt;&gt; "",_xlpm.actual_value_month &amp; " ações mensais", "")
)</f>
        <v/>
      </c>
      <c r="K500" s="14" t="str" cm="1">
        <f t="array" ref="K500">_xlfn.LET(
    _xlpm.sum_month, SUM(T500:AE500),
    IF(_xlpm.sum_month = 0, "", _xlpm.sum_month &amp; " público impactado no ano.")
)</f>
        <v/>
      </c>
      <c r="L500" s="9" t="s">
        <v>76</v>
      </c>
      <c r="M500" s="13">
        <v>1</v>
      </c>
      <c r="N500" s="5" t="s">
        <v>51</v>
      </c>
      <c r="O500" s="5" t="s">
        <v>52</v>
      </c>
      <c r="P500" s="10" t="s">
        <v>44</v>
      </c>
      <c r="Q500" s="10" t="s">
        <v>44</v>
      </c>
      <c r="R500" s="11" t="s">
        <v>44</v>
      </c>
      <c r="S500" s="11" t="s">
        <v>44</v>
      </c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G500" s="71"/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  <c r="AR500" s="71"/>
      <c r="AS500" s="94">
        <f t="shared" ca="1" si="822"/>
        <v>0</v>
      </c>
      <c r="AT500" s="95">
        <f t="shared" si="823"/>
        <v>0</v>
      </c>
      <c r="AU500" s="97">
        <f t="shared" si="824"/>
        <v>0</v>
      </c>
      <c r="AW500" s="83">
        <f t="shared" si="825"/>
        <v>0</v>
      </c>
      <c r="AX500" s="83">
        <f t="shared" si="826"/>
        <v>0</v>
      </c>
      <c r="AY500" s="83">
        <f t="shared" si="827"/>
        <v>0</v>
      </c>
      <c r="AZ500" s="83">
        <f t="shared" si="828"/>
        <v>0</v>
      </c>
      <c r="BA500" s="83">
        <f t="shared" si="820"/>
        <v>0</v>
      </c>
      <c r="BB500" s="52"/>
      <c r="BC500" s="52"/>
      <c r="BD500" s="52"/>
      <c r="BE500" s="52"/>
      <c r="BF500" s="52"/>
      <c r="BG500" s="52"/>
      <c r="BH500" s="52"/>
      <c r="BI500" s="68" cm="1">
        <f t="array" ref="BI500">IFERROR(INDEX(AW500:BH500,1,MATCH(2,1/(AW500:BH500&lt;&gt;""))),"")</f>
        <v>0</v>
      </c>
      <c r="BJ500" s="68" cm="1">
        <f t="array" ref="BJ500">IF(BM500 = "", "",IFERROR(INDEX(AW500:BH500,1,MATCH(2,1/(AW500:BH500&lt;&gt;""),1)-1),""))</f>
        <v>0</v>
      </c>
      <c r="BK500" s="59">
        <f t="shared" si="829"/>
        <v>0</v>
      </c>
      <c r="BL500" s="59" cm="1">
        <f t="array" ref="BL500">IFERROR(SUM(AW500:INDEX(AW500:BH500, MATCH(2, 1/(AW500:BH500&lt;&gt;""), 1) - 1))/_xlfn.XLOOKUP(F500,Apuração!A:A,Apuração!B:B),0)</f>
        <v>0</v>
      </c>
      <c r="BM500" s="55" cm="1">
        <f t="array" ref="BM500">IFERROR(
   INDEX($AW$1:$BH$1,
      _xlfn.AGGREGATE(14, 6, COLUMN($AW$1:$BH$1)/(AW500:BH500&lt;&gt;""), 2) - COLUMN($AW$1) + 1
   ),
"")</f>
        <v>46113</v>
      </c>
      <c r="BN500" s="55" cm="1">
        <f t="array" ref="BN500">IFERROR(INDEX($AW$1:$BH$1,1,MATCH(2,1/(AW500:BH500&lt;&gt;""))),"")</f>
        <v>46143</v>
      </c>
      <c r="BO500" s="53">
        <f ca="1">IFERROR(_xlfn.XLOOKUP(F500,Apuração!A:A,Apuração!C:C)/_xlfn.XLOOKUP(F500,Apuração!A:A,Apuração!B:B),0)</f>
        <v>0</v>
      </c>
      <c r="BP500" s="53">
        <f ca="1">IFERROR(_xlfn.XLOOKUP(F500,Apuração!A:A,Apuração!D:D)/_xlfn.XLOOKUP(F500,Apuração!A:A,Apuração!B:B),0)</f>
        <v>0</v>
      </c>
      <c r="BQ500" s="53">
        <f ca="1">IF(BK500&gt;=BO500,0,_xlfn.XLOOKUP(F500,Apuração!A:A,Apuração!B:B)*(BO500 + (1/_xlfn.XLOOKUP(F500,Apuração!A:A,Apuração!B:B)) - BK500))</f>
        <v>0</v>
      </c>
      <c r="BR500" s="85">
        <f t="shared" ca="1" si="830"/>
        <v>0</v>
      </c>
      <c r="BS500" s="53">
        <f ca="1">IFERROR((_xlfn.XLOOKUP(F500,Apuração!A:A,Apuração!C:C)+1)/_xlfn.XLOOKUP(F500,Apuração!A:A,Apuração!B:B),0)</f>
        <v>0.14285714285714285</v>
      </c>
    </row>
    <row r="501" spans="1:71" ht="25.95" hidden="1" customHeight="1" x14ac:dyDescent="0.3">
      <c r="A501" s="39" t="s">
        <v>33</v>
      </c>
      <c r="B501" s="4" t="s">
        <v>84</v>
      </c>
      <c r="C501" s="5" t="s">
        <v>97</v>
      </c>
      <c r="D501" s="5" t="s">
        <v>106</v>
      </c>
      <c r="E501" s="4" t="s">
        <v>96</v>
      </c>
      <c r="F501" s="4" t="str" cm="1">
        <f t="array" ref="F501">_xlfn.IFS(
AG501 &lt;&gt; "", "Jan-Dez/26",
AH501 &lt;&gt; "", "Fev-Dez/26",
AI501 &lt;&gt; "", "Mar-Dez/26", AJ501 &lt;&gt; "", "Abr-Dez/26",
TRUE, "A partir de Junho"
)</f>
        <v>A partir de Junho</v>
      </c>
      <c r="G501" s="4" t="s">
        <v>62</v>
      </c>
      <c r="H501" s="7" t="s">
        <v>38</v>
      </c>
      <c r="I501" s="9" t="s">
        <v>76</v>
      </c>
      <c r="J501" s="8" t="str" cm="1">
        <f t="array" aca="1" ref="J501" ca="1">_xlfn.LET(
  _xlpm.actual_value_month, INDEX(T501:AE501, MATCH(DATE(YEAR(TODAY()), MONTH(TODAY()), 1), $T$1:$AE$1, 0)),
  IF(_xlpm.actual_value_month &lt;&gt; "",_xlpm.actual_value_month &amp; " ações mensais", "")
)</f>
        <v/>
      </c>
      <c r="K501" s="14" t="str" cm="1">
        <f t="array" ref="K501">_xlfn.LET(
    _xlpm.sum_month, SUM(T501:AE501),
    IF(_xlpm.sum_month = 0, "", _xlpm.sum_month &amp; " público impactado no ano.")
)</f>
        <v/>
      </c>
      <c r="L501" s="9" t="s">
        <v>76</v>
      </c>
      <c r="M501" s="13">
        <v>1</v>
      </c>
      <c r="N501" s="5" t="s">
        <v>51</v>
      </c>
      <c r="O501" s="5" t="s">
        <v>52</v>
      </c>
      <c r="P501" s="10" t="s">
        <v>44</v>
      </c>
      <c r="Q501" s="10" t="s">
        <v>44</v>
      </c>
      <c r="R501" s="11" t="s">
        <v>44</v>
      </c>
      <c r="S501" s="11" t="s">
        <v>44</v>
      </c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G501" s="71"/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  <c r="AR501" s="71"/>
      <c r="AS501" s="94">
        <f t="shared" ca="1" si="822"/>
        <v>0</v>
      </c>
      <c r="AT501" s="95">
        <f t="shared" si="823"/>
        <v>0</v>
      </c>
      <c r="AU501" s="97">
        <f t="shared" si="824"/>
        <v>0</v>
      </c>
      <c r="AW501" s="83">
        <f t="shared" si="825"/>
        <v>0</v>
      </c>
      <c r="AX501" s="83">
        <f t="shared" si="826"/>
        <v>0</v>
      </c>
      <c r="AY501" s="83">
        <f t="shared" si="827"/>
        <v>0</v>
      </c>
      <c r="AZ501" s="83">
        <f t="shared" si="828"/>
        <v>0</v>
      </c>
      <c r="BA501" s="83">
        <f t="shared" si="820"/>
        <v>0</v>
      </c>
      <c r="BB501" s="52"/>
      <c r="BC501" s="52"/>
      <c r="BD501" s="52"/>
      <c r="BE501" s="52"/>
      <c r="BF501" s="52"/>
      <c r="BG501" s="52"/>
      <c r="BH501" s="52"/>
      <c r="BI501" s="68" cm="1">
        <f t="array" ref="BI501">IFERROR(INDEX(AW501:BH501,1,MATCH(2,1/(AW501:BH501&lt;&gt;""))),"")</f>
        <v>0</v>
      </c>
      <c r="BJ501" s="68" cm="1">
        <f t="array" ref="BJ501">IF(BM501 = "", "",IFERROR(INDEX(AW501:BH501,1,MATCH(2,1/(AW501:BH501&lt;&gt;""),1)-1),""))</f>
        <v>0</v>
      </c>
      <c r="BK501" s="59">
        <f t="shared" si="829"/>
        <v>0</v>
      </c>
      <c r="BL501" s="59" cm="1">
        <f t="array" ref="BL501">IFERROR(SUM(AW501:INDEX(AW501:BH501, MATCH(2, 1/(AW501:BH501&lt;&gt;""), 1) - 1))/_xlfn.XLOOKUP(F501,Apuração!A:A,Apuração!B:B),0)</f>
        <v>0</v>
      </c>
      <c r="BM501" s="55" cm="1">
        <f t="array" ref="BM501">IFERROR(
   INDEX($AW$1:$BH$1,
      _xlfn.AGGREGATE(14, 6, COLUMN($AW$1:$BH$1)/(AW501:BH501&lt;&gt;""), 2) - COLUMN($AW$1) + 1
   ),
"")</f>
        <v>46113</v>
      </c>
      <c r="BN501" s="55" cm="1">
        <f t="array" ref="BN501">IFERROR(INDEX($AW$1:$BH$1,1,MATCH(2,1/(AW501:BH501&lt;&gt;""))),"")</f>
        <v>46143</v>
      </c>
      <c r="BO501" s="53">
        <f ca="1">IFERROR(_xlfn.XLOOKUP(F501,Apuração!A:A,Apuração!C:C)/_xlfn.XLOOKUP(F501,Apuração!A:A,Apuração!B:B),0)</f>
        <v>0</v>
      </c>
      <c r="BP501" s="53">
        <f ca="1">IFERROR(_xlfn.XLOOKUP(F501,Apuração!A:A,Apuração!D:D)/_xlfn.XLOOKUP(F501,Apuração!A:A,Apuração!B:B),0)</f>
        <v>0</v>
      </c>
      <c r="BQ501" s="53">
        <f ca="1">IF(BK501&gt;=BO501,0,_xlfn.XLOOKUP(F501,Apuração!A:A,Apuração!B:B)*(BO501 + (1/_xlfn.XLOOKUP(F501,Apuração!A:A,Apuração!B:B)) - BK501))</f>
        <v>0</v>
      </c>
      <c r="BR501" s="85">
        <f t="shared" ca="1" si="830"/>
        <v>0</v>
      </c>
      <c r="BS501" s="53">
        <f ca="1">IFERROR((_xlfn.XLOOKUP(F501,Apuração!A:A,Apuração!C:C)+1)/_xlfn.XLOOKUP(F501,Apuração!A:A,Apuração!B:B),0)</f>
        <v>0.14285714285714285</v>
      </c>
    </row>
    <row r="502" spans="1:71" ht="25.95" hidden="1" customHeight="1" x14ac:dyDescent="0.3">
      <c r="A502" s="39" t="s">
        <v>33</v>
      </c>
      <c r="B502" s="4" t="s">
        <v>84</v>
      </c>
      <c r="C502" s="5" t="s">
        <v>97</v>
      </c>
      <c r="D502" s="5" t="s">
        <v>107</v>
      </c>
      <c r="E502" s="4" t="s">
        <v>96</v>
      </c>
      <c r="F502" s="4" t="str" cm="1">
        <f t="array" ref="F502">_xlfn.IFS(
AG502 &lt;&gt; "", "Jan-Dez/26",
AH502 &lt;&gt; "", "Fev-Dez/26",
AI502 &lt;&gt; "", "Mar-Dez/26", AJ502 &lt;&gt; "", "Abr-Dez/26",
TRUE, "A partir de Junho"
)</f>
        <v>A partir de Junho</v>
      </c>
      <c r="G502" s="4" t="s">
        <v>62</v>
      </c>
      <c r="H502" s="7" t="s">
        <v>38</v>
      </c>
      <c r="I502" s="9" t="s">
        <v>76</v>
      </c>
      <c r="J502" s="8" t="str" cm="1">
        <f t="array" aca="1" ref="J502" ca="1">_xlfn.LET(
  _xlpm.actual_value_month, INDEX(T502:AE502, MATCH(DATE(YEAR(TODAY()), MONTH(TODAY()), 1), $T$1:$AE$1, 0)),
  IF(_xlpm.actual_value_month &lt;&gt; "",_xlpm.actual_value_month &amp; " ações mensais", "")
)</f>
        <v/>
      </c>
      <c r="K502" s="14" t="str" cm="1">
        <f t="array" ref="K502">_xlfn.LET(
    _xlpm.sum_month, SUM(T502:AE502),
    IF(_xlpm.sum_month = 0, "", _xlpm.sum_month &amp; " público impactado no ano.")
)</f>
        <v/>
      </c>
      <c r="L502" s="9" t="s">
        <v>76</v>
      </c>
      <c r="M502" s="13">
        <v>1</v>
      </c>
      <c r="N502" s="5" t="s">
        <v>51</v>
      </c>
      <c r="O502" s="5" t="s">
        <v>52</v>
      </c>
      <c r="P502" s="10" t="s">
        <v>44</v>
      </c>
      <c r="Q502" s="10" t="s">
        <v>44</v>
      </c>
      <c r="R502" s="11" t="s">
        <v>44</v>
      </c>
      <c r="S502" s="11" t="s">
        <v>44</v>
      </c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  <c r="AS502" s="94">
        <f t="shared" ca="1" si="822"/>
        <v>0</v>
      </c>
      <c r="AT502" s="95">
        <f t="shared" si="823"/>
        <v>0</v>
      </c>
      <c r="AU502" s="97">
        <f t="shared" si="824"/>
        <v>0</v>
      </c>
      <c r="AW502" s="83">
        <f t="shared" si="825"/>
        <v>0</v>
      </c>
      <c r="AX502" s="83">
        <f t="shared" si="826"/>
        <v>0</v>
      </c>
      <c r="AY502" s="83">
        <f t="shared" si="827"/>
        <v>0</v>
      </c>
      <c r="AZ502" s="83">
        <f t="shared" si="828"/>
        <v>0</v>
      </c>
      <c r="BA502" s="83">
        <f t="shared" si="820"/>
        <v>0</v>
      </c>
      <c r="BB502" s="52"/>
      <c r="BC502" s="52"/>
      <c r="BD502" s="52"/>
      <c r="BE502" s="52"/>
      <c r="BF502" s="52"/>
      <c r="BG502" s="52"/>
      <c r="BH502" s="52"/>
      <c r="BI502" s="68" cm="1">
        <f t="array" ref="BI502">IFERROR(INDEX(AW502:BH502,1,MATCH(2,1/(AW502:BH502&lt;&gt;""))),"")</f>
        <v>0</v>
      </c>
      <c r="BJ502" s="68" cm="1">
        <f t="array" ref="BJ502">IF(BM502 = "", "",IFERROR(INDEX(AW502:BH502,1,MATCH(2,1/(AW502:BH502&lt;&gt;""),1)-1),""))</f>
        <v>0</v>
      </c>
      <c r="BK502" s="59">
        <f t="shared" si="829"/>
        <v>0</v>
      </c>
      <c r="BL502" s="59" cm="1">
        <f t="array" ref="BL502">IFERROR(SUM(AW502:INDEX(AW502:BH502, MATCH(2, 1/(AW502:BH502&lt;&gt;""), 1) - 1))/_xlfn.XLOOKUP(F502,Apuração!A:A,Apuração!B:B),0)</f>
        <v>0</v>
      </c>
      <c r="BM502" s="55" cm="1">
        <f t="array" ref="BM502">IFERROR(
   INDEX($AW$1:$BH$1,
      _xlfn.AGGREGATE(14, 6, COLUMN($AW$1:$BH$1)/(AW502:BH502&lt;&gt;""), 2) - COLUMN($AW$1) + 1
   ),
"")</f>
        <v>46113</v>
      </c>
      <c r="BN502" s="55" cm="1">
        <f t="array" ref="BN502">IFERROR(INDEX($AW$1:$BH$1,1,MATCH(2,1/(AW502:BH502&lt;&gt;""))),"")</f>
        <v>46143</v>
      </c>
      <c r="BO502" s="53">
        <f ca="1">IFERROR(_xlfn.XLOOKUP(F502,Apuração!A:A,Apuração!C:C)/_xlfn.XLOOKUP(F502,Apuração!A:A,Apuração!B:B),0)</f>
        <v>0</v>
      </c>
      <c r="BP502" s="53">
        <f ca="1">IFERROR(_xlfn.XLOOKUP(F502,Apuração!A:A,Apuração!D:D)/_xlfn.XLOOKUP(F502,Apuração!A:A,Apuração!B:B),0)</f>
        <v>0</v>
      </c>
      <c r="BQ502" s="53">
        <f ca="1">IF(BK502&gt;=BO502,0,_xlfn.XLOOKUP(F502,Apuração!A:A,Apuração!B:B)*(BO502 + (1/_xlfn.XLOOKUP(F502,Apuração!A:A,Apuração!B:B)) - BK502))</f>
        <v>0</v>
      </c>
      <c r="BR502" s="85">
        <f t="shared" ca="1" si="830"/>
        <v>0</v>
      </c>
      <c r="BS502" s="53">
        <f ca="1">IFERROR((_xlfn.XLOOKUP(F502,Apuração!A:A,Apuração!C:C)+1)/_xlfn.XLOOKUP(F502,Apuração!A:A,Apuração!B:B),0)</f>
        <v>0.14285714285714285</v>
      </c>
    </row>
    <row r="503" spans="1:71" ht="25.95" hidden="1" customHeight="1" x14ac:dyDescent="0.3">
      <c r="A503" s="20" t="s">
        <v>87</v>
      </c>
      <c r="B503" s="4" t="s">
        <v>88</v>
      </c>
      <c r="C503" s="5" t="s">
        <v>221</v>
      </c>
      <c r="D503" s="5" t="s">
        <v>36</v>
      </c>
      <c r="E503" s="4" t="s">
        <v>96</v>
      </c>
      <c r="F503" s="4" t="str" cm="1">
        <f t="array" ref="F503">_xlfn.IFS(
AG503 &lt;&gt; "", "Jan-Dez/26",
AH503 &lt;&gt; "", "Fev-Dez/26",
AI503 &lt;&gt; "", "Mar-Dez/26", AJ503 &lt;&gt; "", "Abr-Dez/26",
TRUE, "A partir de Junho"
)</f>
        <v>A partir de Junho</v>
      </c>
      <c r="G503" s="4" t="s">
        <v>62</v>
      </c>
      <c r="H503" s="7" t="s">
        <v>38</v>
      </c>
      <c r="I503" s="9" t="s">
        <v>89</v>
      </c>
      <c r="J503" s="21" t="str" cm="1">
        <f t="array" aca="1" ref="J503" ca="1">_xlfn.LET(
  _xlpm.actual_value_month, INDEX(T503:AE503, MATCH(DATE(YEAR(TODAY()), MONTH(TODAY()), 1), $T$1:$AE$1, 0)),
  IF(_xlpm.actual_value_month &lt;&gt; "",_xlpm.actual_value_month &amp; " ações mensais", "")
)</f>
        <v/>
      </c>
      <c r="K503" s="8" t="str" cm="1">
        <f t="array" ref="K503">_xlfn.LET(
    _xlpm.sum_month, SUM(T503:AE503),
    IF(_xlpm.sum_month = 0, "", _xlpm.sum_month &amp; " certificados gerados no ano")
)</f>
        <v/>
      </c>
      <c r="L503" s="4" t="s">
        <v>90</v>
      </c>
      <c r="M503" s="19"/>
      <c r="N503" s="5" t="s">
        <v>42</v>
      </c>
      <c r="O503" s="5"/>
      <c r="P503" s="10"/>
      <c r="Q503" s="10"/>
      <c r="R503" s="10"/>
      <c r="S503" s="10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G503" s="71"/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  <c r="AR503" s="71"/>
      <c r="AS503" s="94">
        <f ca="1">AE503*BO503</f>
        <v>0</v>
      </c>
      <c r="AT503" s="95" t="str" cm="1">
        <f t="array" ref="AT503">IFERROR(INDEX(AJ503:AR503,1,MATCH(2,1/(AJ503:AR503&lt;&gt;""))),"")</f>
        <v/>
      </c>
      <c r="AU503" s="97" t="str">
        <f>AT503</f>
        <v/>
      </c>
      <c r="AW503" s="51">
        <f>IFERROR(IF(AG503="",0,AG503/T503),0)</f>
        <v>0</v>
      </c>
      <c r="AX503" s="51">
        <f>IFERROR(IF(AH503="",0,AH503/U503),0)</f>
        <v>0</v>
      </c>
      <c r="AY503" s="51">
        <f>IFERROR(IF(AI503="",0,AI503/V503),0)</f>
        <v>0</v>
      </c>
      <c r="AZ503" s="51">
        <f>IFERROR(IF(AJ503="",0,AJ503/W503),0)</f>
        <v>0</v>
      </c>
      <c r="BA503" s="51"/>
      <c r="BB503" s="51"/>
      <c r="BC503" s="51"/>
      <c r="BD503" s="51"/>
      <c r="BE503" s="51"/>
      <c r="BF503" s="51"/>
      <c r="BG503" s="51"/>
      <c r="BH503" s="51"/>
      <c r="BI503" s="65" cm="1">
        <f t="array" ref="BI503">IFERROR(INDEX(AW503:BH503,1,MATCH(2,1/(AW503:BH503&lt;&gt;""))),"")</f>
        <v>0</v>
      </c>
      <c r="BJ503" s="68" cm="1">
        <f t="array" ref="BJ503">IF(BM503 = "", "",IFERROR(INDEX(AW503:BH503,1,MATCH(2,1/(AW503:BH503&lt;&gt;""),1)-1),""))</f>
        <v>0</v>
      </c>
      <c r="BK503" s="58">
        <f>IF((IF(AW503&gt;=115%,115%,AW503) + IF(AX503&gt;=115%,115%,AX503) + IF(AY503&gt;=115%,115%,AY503) + (IF(AZ503&gt;=115%,115%,AZ503) + IF(BA503&gt;=115%,115%,BA503) + IF(BB503&gt;=115%,115%,BB503) + IF(BC503&gt;=115%,115%,BC503) + IF(BD503&gt;=115%,115%,BD503) + IF(BE503&gt;=115%,115%,BE503) + IF(BF503&gt;=115%,115%,BF503) + IF(BG503&gt;=115%,115%,BG503) + IF(BH503&gt;=115%,115%,BH503)))/_xlfn.XLOOKUP(F503,Apuração!A:A,Apuração!B:B)&gt;=1.15,1.15,((IF(AZ503&gt;=115%,115%,AZ503) + IF(AX503&gt;=115%,115%,AX503) + IF(AY503&gt;=115%,115%,AY503) + (IF(AW503&gt;=115%,115%,AW503) + IF(BA503&gt;=115%,115%,BA503) + IF(BB503&gt;=115%,115%,BB503) + IF(BC503&gt;=115%,115%,BC503) + IF(BD503&gt;=115%,115%,BD503) + IF(BE503&gt;=115%,115%,BE503) + IF(BF503&gt;=115%,115%,BF503) + IF(BG503&gt;=115%,115%,BG503) + IF(BH503&gt;=115%,115%,BH503)))/_xlfn.XLOOKUP(F503,Apuração!A:A,Apuração!B:B)))</f>
        <v>0</v>
      </c>
      <c r="BL503" s="58" cm="1">
        <f t="array" aca="1" ref="BL503" ca="1">IF(SUM(IFERROR(IF(INDEX(AW503:INDEX(AW503:BH503, MATCH(2, 1/(AW503:BH503&lt;&gt;""), 1)-1), ROW(INDIRECT("1:" &amp; MATCH(2, 1/(AW503:BH503&lt;&gt;""), 1)-1))) &gt;= 115%, 115%, INDEX(AW503:INDEX(AW503:BH503, MATCH(2, 1/(AW503:BH503&lt;&gt;""), 1)-1), ROW(INDIRECT("1:" &amp; MATCH(2, 1/(AW503:BH503&lt;&gt;""), 1)-1)))), 0))/_xlfn.XLOOKUP(F503,Apuração!A:A,Apuração!B:B)&gt;=1.15,1.15,SUM(IFERROR(IF(INDEX(AW503:INDEX(AW503:BH503, MATCH(2, 1/(AW503:BH503&lt;&gt;""), 1)-1), ROW(INDIRECT("1:" &amp; MATCH(2, 1/(AW503:BH503&lt;&gt;""), 1)-1))) &gt;= 115%, 115%, INDEX(AW503:INDEX(AW503:BH503, MATCH(2, 1/(AW503:BH503&lt;&gt;""), 1)-1), ROW(INDIRECT("1:" &amp; MATCH(2, 1/(AW503:BH503&lt;&gt;""), 1)-1)))), 0))/_xlfn.XLOOKUP(F503,Apuração!A:A,Apuração!B:B))</f>
        <v>0</v>
      </c>
      <c r="BM503" s="55" cm="1">
        <f t="array" ref="BM503">IFERROR(
   INDEX($AW$1:$BH$1,
      _xlfn.AGGREGATE(14, 6, COLUMN($AW$1:$BH$1)/(AW503:BH503&lt;&gt;""), 2) - COLUMN($AW$1) + 1
   ),
"")</f>
        <v>46082</v>
      </c>
      <c r="BN503" s="55" cm="1">
        <f t="array" ref="BN503">IFERROR(INDEX($AW$1:$BH$1,1,MATCH(2,1/(AW503:BH503&lt;&gt;""))),"")</f>
        <v>46113</v>
      </c>
      <c r="BO503" s="53">
        <f ca="1">IFERROR(_xlfn.XLOOKUP(F503,Apuração!A:A,Apuração!C:C)/_xlfn.XLOOKUP(F503,Apuração!A:A,Apuração!B:B),0)</f>
        <v>0</v>
      </c>
      <c r="BP503" s="53">
        <f ca="1">IFERROR(_xlfn.XLOOKUP(F503,Apuração!A:A,Apuração!D:D)/_xlfn.XLOOKUP(F503,Apuração!A:A,Apuração!B:B),0)</f>
        <v>0</v>
      </c>
      <c r="BQ503" s="53">
        <f ca="1">IF(BK503&gt;=BO503,0,_xlfn.XLOOKUP(F503,Apuração!A:A,Apuração!B:B)*(BO503 + (1/_xlfn.XLOOKUP(F503,Apuração!A:A,Apuração!B:B)) - BK503))</f>
        <v>0</v>
      </c>
      <c r="BR503" s="85">
        <f ca="1">IF(BQ503=0,0,BQ503*Z503)</f>
        <v>0</v>
      </c>
      <c r="BS503" s="53">
        <f ca="1">IFERROR((_xlfn.XLOOKUP(F503,Apuração!A:A,Apuração!C:C)+1)/_xlfn.XLOOKUP(F503,Apuração!A:A,Apuração!B:B),0)</f>
        <v>0.14285714285714285</v>
      </c>
    </row>
    <row r="504" spans="1:71" ht="25.95" hidden="1" customHeight="1" x14ac:dyDescent="0.3">
      <c r="A504" s="20" t="s">
        <v>87</v>
      </c>
      <c r="B504" s="4" t="s">
        <v>88</v>
      </c>
      <c r="C504" s="5" t="s">
        <v>221</v>
      </c>
      <c r="D504" s="5" t="s">
        <v>212</v>
      </c>
      <c r="E504" s="4" t="s">
        <v>96</v>
      </c>
      <c r="F504" s="4" t="str" cm="1">
        <f t="array" ref="F504">_xlfn.IFS(
AG504 &lt;&gt; "", "Jan-Dez/26",
AH504 &lt;&gt; "", "Fev-Dez/26",
AI504 &lt;&gt; "", "Mar-Dez/26", AJ504 &lt;&gt; "", "Abr-Dez/26",
TRUE, "A partir de Junho"
)</f>
        <v>A partir de Junho</v>
      </c>
      <c r="G504" s="4" t="s">
        <v>62</v>
      </c>
      <c r="H504" s="7" t="s">
        <v>38</v>
      </c>
      <c r="I504" s="9" t="s">
        <v>89</v>
      </c>
      <c r="J504" s="21" t="str" cm="1">
        <f t="array" aca="1" ref="J504" ca="1">_xlfn.LET(
  _xlpm.actual_value_month, INDEX(T504:AE504, MATCH(DATE(YEAR(TODAY()), MONTH(TODAY()), 1), $T$1:$AE$1, 0)),
  IF(_xlpm.actual_value_month &lt;&gt; "",_xlpm.actual_value_month &amp; " ações mensais", "")
)</f>
        <v/>
      </c>
      <c r="K504" s="8" t="str" cm="1">
        <f t="array" ref="K504">_xlfn.LET(
    _xlpm.sum_month, SUM(T504:AE504),
    IF(_xlpm.sum_month = 0, "", _xlpm.sum_month &amp; " certificados gerados no ano")
)</f>
        <v/>
      </c>
      <c r="L504" s="4" t="s">
        <v>90</v>
      </c>
      <c r="M504" s="19"/>
      <c r="N504" s="5" t="s">
        <v>42</v>
      </c>
      <c r="O504" s="5"/>
      <c r="P504" s="10"/>
      <c r="Q504" s="10"/>
      <c r="R504" s="10"/>
      <c r="S504" s="10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  <c r="AS504" s="94">
        <f t="shared" ref="AS504:AS505" ca="1" si="831">AE504*BO504</f>
        <v>0</v>
      </c>
      <c r="AT504" s="95" t="str" cm="1">
        <f t="array" ref="AT504">IFERROR(INDEX(AJ504:AR504,1,MATCH(2,1/(AJ504:AR504&lt;&gt;""))),"")</f>
        <v/>
      </c>
      <c r="AU504" s="97" t="str">
        <f t="shared" ref="AU504:AU505" si="832">AT504</f>
        <v/>
      </c>
      <c r="AW504" s="51">
        <f t="shared" ref="AW504:AW505" si="833">IFERROR(IF(AG504="",0,AG504/T504),0)</f>
        <v>0</v>
      </c>
      <c r="AX504" s="51">
        <f t="shared" ref="AX504:AX505" si="834">IFERROR(IF(AH504="",0,AH504/U504),0)</f>
        <v>0</v>
      </c>
      <c r="AY504" s="51">
        <f t="shared" ref="AY504:AY505" si="835">IFERROR(IF(AI504="",0,AI504/V504),0)</f>
        <v>0</v>
      </c>
      <c r="AZ504" s="51">
        <f t="shared" ref="AZ504:AZ505" si="836">IFERROR(IF(AJ504="",0,AJ504/W504),0)</f>
        <v>0</v>
      </c>
      <c r="BA504" s="51"/>
      <c r="BB504" s="51"/>
      <c r="BC504" s="51"/>
      <c r="BD504" s="51"/>
      <c r="BE504" s="51"/>
      <c r="BF504" s="51"/>
      <c r="BG504" s="51"/>
      <c r="BH504" s="51"/>
      <c r="BI504" s="65" cm="1">
        <f t="array" ref="BI504">IFERROR(INDEX(AW504:BH504,1,MATCH(2,1/(AW504:BH504&lt;&gt;""))),"")</f>
        <v>0</v>
      </c>
      <c r="BJ504" s="68" cm="1">
        <f t="array" ref="BJ504">IF(BM504 = "", "",IFERROR(INDEX(AW504:BH504,1,MATCH(2,1/(AW504:BH504&lt;&gt;""),1)-1),""))</f>
        <v>0</v>
      </c>
      <c r="BK504" s="58">
        <f>IF((IF(AW504&gt;=115%,115%,AW504) + IF(AX504&gt;=115%,115%,AX504) + IF(AY504&gt;=115%,115%,AY504) + (IF(AZ504&gt;=115%,115%,AZ504) + IF(BA504&gt;=115%,115%,BA504) + IF(BB504&gt;=115%,115%,BB504) + IF(BC504&gt;=115%,115%,BC504) + IF(BD504&gt;=115%,115%,BD504) + IF(BE504&gt;=115%,115%,BE504) + IF(BF504&gt;=115%,115%,BF504) + IF(BG504&gt;=115%,115%,BG504) + IF(BH504&gt;=115%,115%,BH504)))/_xlfn.XLOOKUP(F504,Apuração!A:A,Apuração!B:B)&gt;=1.15,1.15,((IF(AZ504&gt;=115%,115%,AZ504) + IF(AX504&gt;=115%,115%,AX504) + IF(AY504&gt;=115%,115%,AY504) + (IF(AW504&gt;=115%,115%,AW504) + IF(BA504&gt;=115%,115%,BA504) + IF(BB504&gt;=115%,115%,BB504) + IF(BC504&gt;=115%,115%,BC504) + IF(BD504&gt;=115%,115%,BD504) + IF(BE504&gt;=115%,115%,BE504) + IF(BF504&gt;=115%,115%,BF504) + IF(BG504&gt;=115%,115%,BG504) + IF(BH504&gt;=115%,115%,BH504)))/_xlfn.XLOOKUP(F504,Apuração!A:A,Apuração!B:B)))</f>
        <v>0</v>
      </c>
      <c r="BL504" s="58" cm="1">
        <f t="array" aca="1" ref="BL504" ca="1">IF(SUM(IFERROR(IF(INDEX(AW504:INDEX(AW504:BH504, MATCH(2, 1/(AW504:BH504&lt;&gt;""), 1)-1), ROW(INDIRECT("1:" &amp; MATCH(2, 1/(AW504:BH504&lt;&gt;""), 1)-1))) &gt;= 115%, 115%, INDEX(AW504:INDEX(AW504:BH504, MATCH(2, 1/(AW504:BH504&lt;&gt;""), 1)-1), ROW(INDIRECT("1:" &amp; MATCH(2, 1/(AW504:BH504&lt;&gt;""), 1)-1)))), 0))/_xlfn.XLOOKUP(F504,Apuração!A:A,Apuração!B:B)&gt;=1.15,1.15,SUM(IFERROR(IF(INDEX(AW504:INDEX(AW504:BH504, MATCH(2, 1/(AW504:BH504&lt;&gt;""), 1)-1), ROW(INDIRECT("1:" &amp; MATCH(2, 1/(AW504:BH504&lt;&gt;""), 1)-1))) &gt;= 115%, 115%, INDEX(AW504:INDEX(AW504:BH504, MATCH(2, 1/(AW504:BH504&lt;&gt;""), 1)-1), ROW(INDIRECT("1:" &amp; MATCH(2, 1/(AW504:BH504&lt;&gt;""), 1)-1)))), 0))/_xlfn.XLOOKUP(F504,Apuração!A:A,Apuração!B:B))</f>
        <v>0</v>
      </c>
      <c r="BM504" s="55" cm="1">
        <f t="array" ref="BM504">IFERROR(
   INDEX($AW$1:$BH$1,
      _xlfn.AGGREGATE(14, 6, COLUMN($AW$1:$BH$1)/(AW504:BH504&lt;&gt;""), 2) - COLUMN($AW$1) + 1
   ),
"")</f>
        <v>46082</v>
      </c>
      <c r="BN504" s="55" cm="1">
        <f t="array" ref="BN504">IFERROR(INDEX($AW$1:$BH$1,1,MATCH(2,1/(AW504:BH504&lt;&gt;""))),"")</f>
        <v>46113</v>
      </c>
      <c r="BO504" s="53">
        <f ca="1">IFERROR(_xlfn.XLOOKUP(F504,Apuração!A:A,Apuração!C:C)/_xlfn.XLOOKUP(F504,Apuração!A:A,Apuração!B:B),0)</f>
        <v>0</v>
      </c>
      <c r="BP504" s="53">
        <f ca="1">IFERROR(_xlfn.XLOOKUP(F504,Apuração!A:A,Apuração!D:D)/_xlfn.XLOOKUP(F504,Apuração!A:A,Apuração!B:B),0)</f>
        <v>0</v>
      </c>
      <c r="BQ504" s="53">
        <f ca="1">IF(BK504&gt;=BO504,0,_xlfn.XLOOKUP(F504,Apuração!A:A,Apuração!B:B)*(BO504 + (1/_xlfn.XLOOKUP(F504,Apuração!A:A,Apuração!B:B)) - BK504))</f>
        <v>0</v>
      </c>
      <c r="BR504" s="85">
        <f t="shared" ref="BR504:BR505" ca="1" si="837">IF(BQ504=0,0,BQ504*Z504)</f>
        <v>0</v>
      </c>
      <c r="BS504" s="53">
        <f ca="1">IFERROR((_xlfn.XLOOKUP(F504,Apuração!A:A,Apuração!C:C)+1)/_xlfn.XLOOKUP(F504,Apuração!A:A,Apuração!B:B),0)</f>
        <v>0.14285714285714285</v>
      </c>
    </row>
    <row r="505" spans="1:71" ht="25.95" hidden="1" customHeight="1" x14ac:dyDescent="0.3">
      <c r="A505" s="20" t="s">
        <v>87</v>
      </c>
      <c r="B505" s="4" t="s">
        <v>88</v>
      </c>
      <c r="C505" s="5" t="s">
        <v>221</v>
      </c>
      <c r="D505" s="5" t="s">
        <v>213</v>
      </c>
      <c r="E505" s="4" t="s">
        <v>96</v>
      </c>
      <c r="F505" s="4" t="str" cm="1">
        <f t="array" ref="F505">_xlfn.IFS(
AG505 &lt;&gt; "", "Jan-Dez/26",
AH505 &lt;&gt; "", "Fev-Dez/26",
AI505 &lt;&gt; "", "Mar-Dez/26", AJ505 &lt;&gt; "", "Abr-Dez/26",
TRUE, "A partir de Junho"
)</f>
        <v>A partir de Junho</v>
      </c>
      <c r="G505" s="4" t="s">
        <v>62</v>
      </c>
      <c r="H505" s="7" t="s">
        <v>38</v>
      </c>
      <c r="I505" s="9" t="s">
        <v>89</v>
      </c>
      <c r="J505" s="21" t="str" cm="1">
        <f t="array" aca="1" ref="J505" ca="1">_xlfn.LET(
  _xlpm.actual_value_month, INDEX(T505:AE505, MATCH(DATE(YEAR(TODAY()), MONTH(TODAY()), 1), $T$1:$AE$1, 0)),
  IF(_xlpm.actual_value_month &lt;&gt; "",_xlpm.actual_value_month &amp; " ações mensais", "")
)</f>
        <v/>
      </c>
      <c r="K505" s="8" t="str" cm="1">
        <f t="array" ref="K505">_xlfn.LET(
    _xlpm.sum_month, SUM(T505:AE505),
    IF(_xlpm.sum_month = 0, "", _xlpm.sum_month &amp; " certificados gerados no ano")
)</f>
        <v/>
      </c>
      <c r="L505" s="4" t="s">
        <v>90</v>
      </c>
      <c r="M505" s="19"/>
      <c r="N505" s="5" t="s">
        <v>42</v>
      </c>
      <c r="O505" s="5"/>
      <c r="P505" s="10"/>
      <c r="Q505" s="10"/>
      <c r="R505" s="10"/>
      <c r="S505" s="10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1"/>
      <c r="AS505" s="94">
        <f t="shared" ca="1" si="831"/>
        <v>0</v>
      </c>
      <c r="AT505" s="95" t="str" cm="1">
        <f t="array" ref="AT505">IFERROR(INDEX(AJ505:AR505,1,MATCH(2,1/(AJ505:AR505&lt;&gt;""))),"")</f>
        <v/>
      </c>
      <c r="AU505" s="97" t="str">
        <f t="shared" si="832"/>
        <v/>
      </c>
      <c r="AW505" s="51">
        <f t="shared" si="833"/>
        <v>0</v>
      </c>
      <c r="AX505" s="51">
        <f t="shared" si="834"/>
        <v>0</v>
      </c>
      <c r="AY505" s="51">
        <f t="shared" si="835"/>
        <v>0</v>
      </c>
      <c r="AZ505" s="51">
        <f t="shared" si="836"/>
        <v>0</v>
      </c>
      <c r="BA505" s="51"/>
      <c r="BB505" s="51"/>
      <c r="BC505" s="51"/>
      <c r="BD505" s="51"/>
      <c r="BE505" s="51"/>
      <c r="BF505" s="51"/>
      <c r="BG505" s="51"/>
      <c r="BH505" s="51"/>
      <c r="BI505" s="65" cm="1">
        <f t="array" ref="BI505">IFERROR(INDEX(AW505:BH505,1,MATCH(2,1/(AW505:BH505&lt;&gt;""))),"")</f>
        <v>0</v>
      </c>
      <c r="BJ505" s="68" cm="1">
        <f t="array" ref="BJ505">IF(BM505 = "", "",IFERROR(INDEX(AW505:BH505,1,MATCH(2,1/(AW505:BH505&lt;&gt;""),1)-1),""))</f>
        <v>0</v>
      </c>
      <c r="BK505" s="58">
        <f>IF((IF(AW505&gt;=115%,115%,AW505) + IF(AX505&gt;=115%,115%,AX505) + IF(AY505&gt;=115%,115%,AY505) + (IF(AZ505&gt;=115%,115%,AZ505) + IF(BA505&gt;=115%,115%,BA505) + IF(BB505&gt;=115%,115%,BB505) + IF(BC505&gt;=115%,115%,BC505) + IF(BD505&gt;=115%,115%,BD505) + IF(BE505&gt;=115%,115%,BE505) + IF(BF505&gt;=115%,115%,BF505) + IF(BG505&gt;=115%,115%,BG505) + IF(BH505&gt;=115%,115%,BH505)))/_xlfn.XLOOKUP(F505,Apuração!A:A,Apuração!B:B)&gt;=1.15,1.15,((IF(AZ505&gt;=115%,115%,AZ505) + IF(AX505&gt;=115%,115%,AX505) + IF(AY505&gt;=115%,115%,AY505) + (IF(AW505&gt;=115%,115%,AW505) + IF(BA505&gt;=115%,115%,BA505) + IF(BB505&gt;=115%,115%,BB505) + IF(BC505&gt;=115%,115%,BC505) + IF(BD505&gt;=115%,115%,BD505) + IF(BE505&gt;=115%,115%,BE505) + IF(BF505&gt;=115%,115%,BF505) + IF(BG505&gt;=115%,115%,BG505) + IF(BH505&gt;=115%,115%,BH505)))/_xlfn.XLOOKUP(F505,Apuração!A:A,Apuração!B:B)))</f>
        <v>0</v>
      </c>
      <c r="BL505" s="58" cm="1">
        <f t="array" aca="1" ref="BL505" ca="1">IF(SUM(IFERROR(IF(INDEX(AW505:INDEX(AW505:BH505, MATCH(2, 1/(AW505:BH505&lt;&gt;""), 1)-1), ROW(INDIRECT("1:" &amp; MATCH(2, 1/(AW505:BH505&lt;&gt;""), 1)-1))) &gt;= 115%, 115%, INDEX(AW505:INDEX(AW505:BH505, MATCH(2, 1/(AW505:BH505&lt;&gt;""), 1)-1), ROW(INDIRECT("1:" &amp; MATCH(2, 1/(AW505:BH505&lt;&gt;""), 1)-1)))), 0))/_xlfn.XLOOKUP(F505,Apuração!A:A,Apuração!B:B)&gt;=1.15,1.15,SUM(IFERROR(IF(INDEX(AW505:INDEX(AW505:BH505, MATCH(2, 1/(AW505:BH505&lt;&gt;""), 1)-1), ROW(INDIRECT("1:" &amp; MATCH(2, 1/(AW505:BH505&lt;&gt;""), 1)-1))) &gt;= 115%, 115%, INDEX(AW505:INDEX(AW505:BH505, MATCH(2, 1/(AW505:BH505&lt;&gt;""), 1)-1), ROW(INDIRECT("1:" &amp; MATCH(2, 1/(AW505:BH505&lt;&gt;""), 1)-1)))), 0))/_xlfn.XLOOKUP(F505,Apuração!A:A,Apuração!B:B))</f>
        <v>0</v>
      </c>
      <c r="BM505" s="55" cm="1">
        <f t="array" ref="BM505">IFERROR(
   INDEX($AW$1:$BH$1,
      _xlfn.AGGREGATE(14, 6, COLUMN($AW$1:$BH$1)/(AW505:BH505&lt;&gt;""), 2) - COLUMN($AW$1) + 1
   ),
"")</f>
        <v>46082</v>
      </c>
      <c r="BN505" s="55" cm="1">
        <f t="array" ref="BN505">IFERROR(INDEX($AW$1:$BH$1,1,MATCH(2,1/(AW505:BH505&lt;&gt;""))),"")</f>
        <v>46113</v>
      </c>
      <c r="BO505" s="53">
        <f ca="1">IFERROR(_xlfn.XLOOKUP(F505,Apuração!A:A,Apuração!C:C)/_xlfn.XLOOKUP(F505,Apuração!A:A,Apuração!B:B),0)</f>
        <v>0</v>
      </c>
      <c r="BP505" s="53">
        <f ca="1">IFERROR(_xlfn.XLOOKUP(F505,Apuração!A:A,Apuração!D:D)/_xlfn.XLOOKUP(F505,Apuração!A:A,Apuração!B:B),0)</f>
        <v>0</v>
      </c>
      <c r="BQ505" s="53">
        <f ca="1">IF(BK505&gt;=BO505,0,_xlfn.XLOOKUP(F505,Apuração!A:A,Apuração!B:B)*(BO505 + (1/_xlfn.XLOOKUP(F505,Apuração!A:A,Apuração!B:B)) - BK505))</f>
        <v>0</v>
      </c>
      <c r="BR505" s="85">
        <f t="shared" ca="1" si="837"/>
        <v>0</v>
      </c>
      <c r="BS505" s="53">
        <f ca="1">IFERROR((_xlfn.XLOOKUP(F505,Apuração!A:A,Apuração!C:C)+1)/_xlfn.XLOOKUP(F505,Apuração!A:A,Apuração!B:B),0)</f>
        <v>0.14285714285714285</v>
      </c>
    </row>
    <row r="506" spans="1:71" ht="25.95" hidden="1" customHeight="1" x14ac:dyDescent="0.3">
      <c r="A506" s="40" t="s">
        <v>87</v>
      </c>
      <c r="B506" s="4" t="s">
        <v>88</v>
      </c>
      <c r="C506" s="5" t="s">
        <v>221</v>
      </c>
      <c r="D506" s="5" t="s">
        <v>36</v>
      </c>
      <c r="E506" s="4" t="s">
        <v>96</v>
      </c>
      <c r="F506" s="4" t="str" cm="1">
        <f t="array" ref="F506">_xlfn.IFS(
AG506 &lt;&gt; "", "Jan-Dez/26",
AH506 &lt;&gt; "", "Fev-Dez/26",
AI506 &lt;&gt; "", "Mar-Dez/26", AJ506 &lt;&gt; "", "Abr-Dez/26",
TRUE, "A partir de Junho"
)</f>
        <v>A partir de Junho</v>
      </c>
      <c r="G506" s="4" t="s">
        <v>62</v>
      </c>
      <c r="H506" s="7" t="s">
        <v>38</v>
      </c>
      <c r="I506" s="9" t="s">
        <v>91</v>
      </c>
      <c r="J506" s="21" t="str" cm="1">
        <f t="array" aca="1" ref="J506" ca="1">_xlfn.LET(
  _xlpm.actual_value_month, INDEX(T506:AE506, MATCH(DATE(YEAR(TODAY()), MONTH(TODAY()), 1), $T$1:$AE$1, 0)),
  IF(_xlpm.actual_value_month &lt;&gt; "",_xlpm.actual_value_month &amp; " ações mensais", "")
)</f>
        <v/>
      </c>
      <c r="K506" s="8" t="str" cm="1">
        <f t="array" ref="K506">_xlfn.LET(
    _xlpm.sum_month, SUM(T506:AE506),
    IF(_xlpm.sum_month = 0, "", _xlpm.sum_month &amp; " certificados gerados no ano")
)</f>
        <v/>
      </c>
      <c r="L506" s="4" t="s">
        <v>92</v>
      </c>
      <c r="M506" s="19"/>
      <c r="N506" s="5" t="s">
        <v>51</v>
      </c>
      <c r="O506" s="5"/>
      <c r="P506" s="10"/>
      <c r="Q506" s="10"/>
      <c r="R506" s="10"/>
      <c r="S506" s="10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  <c r="AS506" s="94">
        <f ca="1">AE506*BO506</f>
        <v>0</v>
      </c>
      <c r="AT506" s="95" t="str" cm="1">
        <f t="array" ref="AT506">IFERROR(INDEX(AJ506:AR506,1,MATCH(2,1/(AJ506:AR506&lt;&gt;""))),"")</f>
        <v/>
      </c>
      <c r="AU506" s="97" t="str">
        <f>AT506</f>
        <v/>
      </c>
      <c r="AW506" s="83">
        <f>AG506</f>
        <v>0</v>
      </c>
      <c r="AX506" s="83">
        <f t="shared" ref="AX506:AX511" si="838">AH506</f>
        <v>0</v>
      </c>
      <c r="AY506" s="83">
        <f t="shared" ref="AY506:AY511" si="839">AI506</f>
        <v>0</v>
      </c>
      <c r="AZ506" s="83">
        <f t="shared" ref="AZ506:BA511" si="840">AJ506</f>
        <v>0</v>
      </c>
      <c r="BA506" s="52"/>
      <c r="BB506" s="52"/>
      <c r="BC506" s="52"/>
      <c r="BD506" s="52"/>
      <c r="BE506" s="52"/>
      <c r="BF506" s="52"/>
      <c r="BG506" s="52"/>
      <c r="BH506" s="52"/>
      <c r="BI506" s="68" cm="1">
        <f t="array" ref="BI506">IFERROR(INDEX(AW506:BH506,1,MATCH(2,1/(AW506:BH506&lt;&gt;""))),"")</f>
        <v>0</v>
      </c>
      <c r="BJ506" s="68" cm="1">
        <f t="array" ref="BJ506">IF(BM506 = "", "",IFERROR(INDEX(AW506:BH506,1,MATCH(2,1/(AW506:BH506&lt;&gt;""),1)-1),""))</f>
        <v>0</v>
      </c>
      <c r="BK506" s="59">
        <f>SUM(AW506:BH506)</f>
        <v>0</v>
      </c>
      <c r="BL506" s="59" cm="1">
        <f t="array" ref="BL506">IFERROR(SUM(AW506:INDEX(AW506:BH506, MATCH(2, 1/(AW506:BH506&lt;&gt;""), 1) - 1))/_xlfn.XLOOKUP(F506,Apuração!A:A,Apuração!B:B),0)</f>
        <v>0</v>
      </c>
      <c r="BM506" s="55" cm="1">
        <f t="array" ref="BM506">IFERROR(
   INDEX($AW$1:$BH$1,
      _xlfn.AGGREGATE(14, 6, COLUMN($AW$1:$BH$1)/(AW506:BH506&lt;&gt;""), 2) - COLUMN($AW$1) + 1
   ),
"")</f>
        <v>46082</v>
      </c>
      <c r="BN506" s="55" cm="1">
        <f t="array" ref="BN506">IFERROR(INDEX($AW$1:$BH$1,1,MATCH(2,1/(AW506:BH506&lt;&gt;""))),"")</f>
        <v>46113</v>
      </c>
      <c r="BO506" s="53">
        <f ca="1">IFERROR(_xlfn.XLOOKUP(F506,Apuração!A:A,Apuração!C:C)/_xlfn.XLOOKUP(F506,Apuração!A:A,Apuração!B:B),0)</f>
        <v>0</v>
      </c>
      <c r="BP506" s="53">
        <f ca="1">IFERROR(_xlfn.XLOOKUP(F506,Apuração!A:A,Apuração!D:D)/_xlfn.XLOOKUP(F506,Apuração!A:A,Apuração!B:B),0)</f>
        <v>0</v>
      </c>
      <c r="BQ506" s="53">
        <f ca="1">IF(BK506&gt;=BO506,0,_xlfn.XLOOKUP(F506,Apuração!A:A,Apuração!B:B)*(BO506 + (1/_xlfn.XLOOKUP(F506,Apuração!A:A,Apuração!B:B)) - BK506))</f>
        <v>0</v>
      </c>
      <c r="BR506" s="85">
        <f t="shared" ref="BR506:BR539" ca="1" si="841">IF(BQ506=0,0,BQ506*Z506)</f>
        <v>0</v>
      </c>
      <c r="BS506" s="53">
        <f ca="1">IFERROR((_xlfn.XLOOKUP(F506,Apuração!A:A,Apuração!C:C)+1)/_xlfn.XLOOKUP(F506,Apuração!A:A,Apuração!B:B),0)</f>
        <v>0.14285714285714285</v>
      </c>
    </row>
    <row r="507" spans="1:71" ht="25.95" hidden="1" customHeight="1" x14ac:dyDescent="0.3">
      <c r="A507" s="40" t="s">
        <v>87</v>
      </c>
      <c r="B507" s="4" t="s">
        <v>88</v>
      </c>
      <c r="C507" s="5" t="s">
        <v>221</v>
      </c>
      <c r="D507" s="5" t="s">
        <v>212</v>
      </c>
      <c r="E507" s="4" t="s">
        <v>96</v>
      </c>
      <c r="F507" s="4" t="str" cm="1">
        <f t="array" ref="F507">_xlfn.IFS(
AG507 &lt;&gt; "", "Jan-Dez/26",
AH507 &lt;&gt; "", "Fev-Dez/26",
AI507 &lt;&gt; "", "Mar-Dez/26", AJ507 &lt;&gt; "", "Abr-Dez/26",
TRUE, "A partir de Junho"
)</f>
        <v>A partir de Junho</v>
      </c>
      <c r="G507" s="4" t="s">
        <v>62</v>
      </c>
      <c r="H507" s="7" t="s">
        <v>38</v>
      </c>
      <c r="I507" s="9" t="s">
        <v>91</v>
      </c>
      <c r="J507" s="21" t="str" cm="1">
        <f t="array" aca="1" ref="J507" ca="1">_xlfn.LET(
  _xlpm.actual_value_month, INDEX(T507:AE507, MATCH(DATE(YEAR(TODAY()), MONTH(TODAY()), 1), $T$1:$AE$1, 0)),
  IF(_xlpm.actual_value_month &lt;&gt; "",_xlpm.actual_value_month &amp; " ações mensais", "")
)</f>
        <v/>
      </c>
      <c r="K507" s="8" t="str" cm="1">
        <f t="array" ref="K507">_xlfn.LET(
    _xlpm.sum_month, SUM(T507:AE507),
    IF(_xlpm.sum_month = 0, "", _xlpm.sum_month &amp; " certificados gerados no ano")
)</f>
        <v/>
      </c>
      <c r="L507" s="4" t="s">
        <v>92</v>
      </c>
      <c r="M507" s="19"/>
      <c r="N507" s="5" t="s">
        <v>51</v>
      </c>
      <c r="O507" s="5"/>
      <c r="P507" s="10"/>
      <c r="Q507" s="10"/>
      <c r="R507" s="10"/>
      <c r="S507" s="10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G507" s="71"/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  <c r="AR507" s="71"/>
      <c r="AS507" s="94">
        <f t="shared" ref="AS507:AS508" ca="1" si="842">AE507*BO507</f>
        <v>0</v>
      </c>
      <c r="AT507" s="95" t="str" cm="1">
        <f t="array" ref="AT507">IFERROR(INDEX(AJ507:AR507,1,MATCH(2,1/(AJ507:AR507&lt;&gt;""))),"")</f>
        <v/>
      </c>
      <c r="AU507" s="97" t="str">
        <f t="shared" ref="AU507:AU508" si="843">AT507</f>
        <v/>
      </c>
      <c r="AW507" s="83">
        <f t="shared" ref="AW507:AW508" si="844">AG507</f>
        <v>0</v>
      </c>
      <c r="AX507" s="83">
        <f t="shared" ref="AX507:AX508" si="845">AH507</f>
        <v>0</v>
      </c>
      <c r="AY507" s="83">
        <f t="shared" ref="AY507:AY508" si="846">AI507</f>
        <v>0</v>
      </c>
      <c r="AZ507" s="83">
        <f t="shared" ref="AZ507:AZ508" si="847">AJ507</f>
        <v>0</v>
      </c>
      <c r="BA507" s="52"/>
      <c r="BB507" s="52"/>
      <c r="BC507" s="52"/>
      <c r="BD507" s="52"/>
      <c r="BE507" s="52"/>
      <c r="BF507" s="52"/>
      <c r="BG507" s="52"/>
      <c r="BH507" s="52"/>
      <c r="BI507" s="68" cm="1">
        <f t="array" ref="BI507">IFERROR(INDEX(AW507:BH507,1,MATCH(2,1/(AW507:BH507&lt;&gt;""))),"")</f>
        <v>0</v>
      </c>
      <c r="BJ507" s="68" cm="1">
        <f t="array" ref="BJ507">IF(BM507 = "", "",IFERROR(INDEX(AW507:BH507,1,MATCH(2,1/(AW507:BH507&lt;&gt;""),1)-1),""))</f>
        <v>0</v>
      </c>
      <c r="BK507" s="59">
        <f t="shared" ref="BK507:BK508" si="848">SUM(AW507:BH507)</f>
        <v>0</v>
      </c>
      <c r="BL507" s="59" cm="1">
        <f t="array" ref="BL507">IFERROR(SUM(AW507:INDEX(AW507:BH507, MATCH(2, 1/(AW507:BH507&lt;&gt;""), 1) - 1))/_xlfn.XLOOKUP(F507,Apuração!A:A,Apuração!B:B),0)</f>
        <v>0</v>
      </c>
      <c r="BM507" s="55" cm="1">
        <f t="array" ref="BM507">IFERROR(
   INDEX($AW$1:$BH$1,
      _xlfn.AGGREGATE(14, 6, COLUMN($AW$1:$BH$1)/(AW507:BH507&lt;&gt;""), 2) - COLUMN($AW$1) + 1
   ),
"")</f>
        <v>46082</v>
      </c>
      <c r="BN507" s="55" cm="1">
        <f t="array" ref="BN507">IFERROR(INDEX($AW$1:$BH$1,1,MATCH(2,1/(AW507:BH507&lt;&gt;""))),"")</f>
        <v>46113</v>
      </c>
      <c r="BO507" s="53">
        <f ca="1">IFERROR(_xlfn.XLOOKUP(F507,Apuração!A:A,Apuração!C:C)/_xlfn.XLOOKUP(F507,Apuração!A:A,Apuração!B:B),0)</f>
        <v>0</v>
      </c>
      <c r="BP507" s="53">
        <f ca="1">IFERROR(_xlfn.XLOOKUP(F507,Apuração!A:A,Apuração!D:D)/_xlfn.XLOOKUP(F507,Apuração!A:A,Apuração!B:B),0)</f>
        <v>0</v>
      </c>
      <c r="BQ507" s="53">
        <f ca="1">IF(BK507&gt;=BO507,0,_xlfn.XLOOKUP(F507,Apuração!A:A,Apuração!B:B)*(BO507 + (1/_xlfn.XLOOKUP(F507,Apuração!A:A,Apuração!B:B)) - BK507))</f>
        <v>0</v>
      </c>
      <c r="BR507" s="85">
        <f t="shared" ref="BR507:BR508" ca="1" si="849">IF(BQ507=0,0,BQ507*Z507)</f>
        <v>0</v>
      </c>
      <c r="BS507" s="53">
        <f ca="1">IFERROR((_xlfn.XLOOKUP(F507,Apuração!A:A,Apuração!C:C)+1)/_xlfn.XLOOKUP(F507,Apuração!A:A,Apuração!B:B),0)</f>
        <v>0.14285714285714285</v>
      </c>
    </row>
    <row r="508" spans="1:71" ht="25.95" hidden="1" customHeight="1" x14ac:dyDescent="0.3">
      <c r="A508" s="40" t="s">
        <v>87</v>
      </c>
      <c r="B508" s="4" t="s">
        <v>88</v>
      </c>
      <c r="C508" s="5" t="s">
        <v>221</v>
      </c>
      <c r="D508" s="5" t="s">
        <v>213</v>
      </c>
      <c r="E508" s="4" t="s">
        <v>96</v>
      </c>
      <c r="F508" s="4" t="str" cm="1">
        <f t="array" ref="F508">_xlfn.IFS(
AG508 &lt;&gt; "", "Jan-Dez/26",
AH508 &lt;&gt; "", "Fev-Dez/26",
AI508 &lt;&gt; "", "Mar-Dez/26", AJ508 &lt;&gt; "", "Abr-Dez/26",
TRUE, "A partir de Junho"
)</f>
        <v>A partir de Junho</v>
      </c>
      <c r="G508" s="4" t="s">
        <v>62</v>
      </c>
      <c r="H508" s="7" t="s">
        <v>38</v>
      </c>
      <c r="I508" s="9" t="s">
        <v>91</v>
      </c>
      <c r="J508" s="21" t="str" cm="1">
        <f t="array" aca="1" ref="J508" ca="1">_xlfn.LET(
  _xlpm.actual_value_month, INDEX(T508:AE508, MATCH(DATE(YEAR(TODAY()), MONTH(TODAY()), 1), $T$1:$AE$1, 0)),
  IF(_xlpm.actual_value_month &lt;&gt; "",_xlpm.actual_value_month &amp; " ações mensais", "")
)</f>
        <v/>
      </c>
      <c r="K508" s="8" t="str" cm="1">
        <f t="array" ref="K508">_xlfn.LET(
    _xlpm.sum_month, SUM(T508:AE508),
    IF(_xlpm.sum_month = 0, "", _xlpm.sum_month &amp; " certificados gerados no ano")
)</f>
        <v/>
      </c>
      <c r="L508" s="4" t="s">
        <v>92</v>
      </c>
      <c r="M508" s="19"/>
      <c r="N508" s="5" t="s">
        <v>51</v>
      </c>
      <c r="O508" s="5"/>
      <c r="P508" s="10"/>
      <c r="Q508" s="10"/>
      <c r="R508" s="10"/>
      <c r="S508" s="10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  <c r="AS508" s="94">
        <f t="shared" ca="1" si="842"/>
        <v>0</v>
      </c>
      <c r="AT508" s="95" t="str" cm="1">
        <f t="array" ref="AT508">IFERROR(INDEX(AJ508:AR508,1,MATCH(2,1/(AJ508:AR508&lt;&gt;""))),"")</f>
        <v/>
      </c>
      <c r="AU508" s="97" t="str">
        <f t="shared" si="843"/>
        <v/>
      </c>
      <c r="AW508" s="83">
        <f t="shared" si="844"/>
        <v>0</v>
      </c>
      <c r="AX508" s="83">
        <f t="shared" si="845"/>
        <v>0</v>
      </c>
      <c r="AY508" s="83">
        <f t="shared" si="846"/>
        <v>0</v>
      </c>
      <c r="AZ508" s="83">
        <f t="shared" si="847"/>
        <v>0</v>
      </c>
      <c r="BA508" s="52"/>
      <c r="BB508" s="52"/>
      <c r="BC508" s="52"/>
      <c r="BD508" s="52"/>
      <c r="BE508" s="52"/>
      <c r="BF508" s="52"/>
      <c r="BG508" s="52"/>
      <c r="BH508" s="52"/>
      <c r="BI508" s="68" cm="1">
        <f t="array" ref="BI508">IFERROR(INDEX(AW508:BH508,1,MATCH(2,1/(AW508:BH508&lt;&gt;""))),"")</f>
        <v>0</v>
      </c>
      <c r="BJ508" s="68" cm="1">
        <f t="array" ref="BJ508">IF(BM508 = "", "",IFERROR(INDEX(AW508:BH508,1,MATCH(2,1/(AW508:BH508&lt;&gt;""),1)-1),""))</f>
        <v>0</v>
      </c>
      <c r="BK508" s="59">
        <f t="shared" si="848"/>
        <v>0</v>
      </c>
      <c r="BL508" s="59" cm="1">
        <f t="array" ref="BL508">IFERROR(SUM(AW508:INDEX(AW508:BH508, MATCH(2, 1/(AW508:BH508&lt;&gt;""), 1) - 1))/_xlfn.XLOOKUP(F508,Apuração!A:A,Apuração!B:B),0)</f>
        <v>0</v>
      </c>
      <c r="BM508" s="55" cm="1">
        <f t="array" ref="BM508">IFERROR(
   INDEX($AW$1:$BH$1,
      _xlfn.AGGREGATE(14, 6, COLUMN($AW$1:$BH$1)/(AW508:BH508&lt;&gt;""), 2) - COLUMN($AW$1) + 1
   ),
"")</f>
        <v>46082</v>
      </c>
      <c r="BN508" s="55" cm="1">
        <f t="array" ref="BN508">IFERROR(INDEX($AW$1:$BH$1,1,MATCH(2,1/(AW508:BH508&lt;&gt;""))),"")</f>
        <v>46113</v>
      </c>
      <c r="BO508" s="53">
        <f ca="1">IFERROR(_xlfn.XLOOKUP(F508,Apuração!A:A,Apuração!C:C)/_xlfn.XLOOKUP(F508,Apuração!A:A,Apuração!B:B),0)</f>
        <v>0</v>
      </c>
      <c r="BP508" s="53">
        <f ca="1">IFERROR(_xlfn.XLOOKUP(F508,Apuração!A:A,Apuração!D:D)/_xlfn.XLOOKUP(F508,Apuração!A:A,Apuração!B:B),0)</f>
        <v>0</v>
      </c>
      <c r="BQ508" s="53">
        <f ca="1">IF(BK508&gt;=BO508,0,_xlfn.XLOOKUP(F508,Apuração!A:A,Apuração!B:B)*(BO508 + (1/_xlfn.XLOOKUP(F508,Apuração!A:A,Apuração!B:B)) - BK508))</f>
        <v>0</v>
      </c>
      <c r="BR508" s="85">
        <f t="shared" ca="1" si="849"/>
        <v>0</v>
      </c>
      <c r="BS508" s="53">
        <f ca="1">IFERROR((_xlfn.XLOOKUP(F508,Apuração!A:A,Apuração!C:C)+1)/_xlfn.XLOOKUP(F508,Apuração!A:A,Apuração!B:B),0)</f>
        <v>0.14285714285714285</v>
      </c>
    </row>
    <row r="509" spans="1:71" ht="25.95" hidden="1" customHeight="1" x14ac:dyDescent="0.3">
      <c r="A509" s="40" t="s">
        <v>87</v>
      </c>
      <c r="B509" s="4" t="s">
        <v>88</v>
      </c>
      <c r="C509" s="5" t="s">
        <v>221</v>
      </c>
      <c r="D509" s="5" t="s">
        <v>36</v>
      </c>
      <c r="E509" s="4" t="s">
        <v>96</v>
      </c>
      <c r="F509" s="4" t="str" cm="1">
        <f t="array" ref="F509">_xlfn.IFS(
AG509 &lt;&gt; "", "Jan-Dez/26",
AH509 &lt;&gt; "", "Fev-Dez/26",
AI509 &lt;&gt; "", "Mar-Dez/26", AJ509 &lt;&gt; "", "Abr-Dez/26",
TRUE, "A partir de Junho"
)</f>
        <v>A partir de Junho</v>
      </c>
      <c r="G509" s="4" t="s">
        <v>62</v>
      </c>
      <c r="H509" s="7" t="s">
        <v>38</v>
      </c>
      <c r="I509" s="9" t="s">
        <v>93</v>
      </c>
      <c r="J509" s="21" t="str" cm="1">
        <f t="array" aca="1" ref="J509" ca="1">_xlfn.LET(
  _xlpm.actual_value_month, INDEX(T509:AE509, MATCH(DATE(YEAR(TODAY()), MONTH(TODAY()), 1), $T$1:$AE$1, 0)),
  IF(_xlpm.actual_value_month &lt;&gt; "",_xlpm.actual_value_month &amp; " ações mensais", "")
)</f>
        <v/>
      </c>
      <c r="K509" s="8" t="str" cm="1">
        <f t="array" ref="K509">_xlfn.LET(
    _xlpm.sum_month, SUM(T509:AE509),
    IF(_xlpm.sum_month = 0, "", _xlpm.sum_month &amp; " certificados gerados no ano")
)</f>
        <v/>
      </c>
      <c r="L509" s="4" t="s">
        <v>94</v>
      </c>
      <c r="M509" s="19"/>
      <c r="N509" s="5" t="s">
        <v>51</v>
      </c>
      <c r="O509" s="5"/>
      <c r="P509" s="10"/>
      <c r="Q509" s="10"/>
      <c r="R509" s="10"/>
      <c r="S509" s="10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94">
        <f ca="1">AE509*BO509</f>
        <v>0</v>
      </c>
      <c r="AT509" s="95" t="str" cm="1">
        <f t="array" ref="AT509">IFERROR(INDEX(AJ509:AR509,1,MATCH(2,1/(AJ509:AR509&lt;&gt;""))),"")</f>
        <v/>
      </c>
      <c r="AU509" s="97" t="str">
        <f>AT509</f>
        <v/>
      </c>
      <c r="AW509" s="83">
        <f>AG509</f>
        <v>0</v>
      </c>
      <c r="AX509" s="83">
        <f t="shared" si="838"/>
        <v>0</v>
      </c>
      <c r="AY509" s="83">
        <f t="shared" si="839"/>
        <v>0</v>
      </c>
      <c r="AZ509" s="83">
        <f t="shared" si="840"/>
        <v>0</v>
      </c>
      <c r="BA509" s="51"/>
      <c r="BB509" s="51"/>
      <c r="BC509" s="51"/>
      <c r="BD509" s="51"/>
      <c r="BE509" s="51"/>
      <c r="BF509" s="51"/>
      <c r="BG509" s="51"/>
      <c r="BH509" s="51"/>
      <c r="BI509" s="65" cm="1">
        <f t="array" ref="BI509">IFERROR(INDEX(AW509:BH509,1,MATCH(2,1/(AW509:BH509&lt;&gt;""))),"")</f>
        <v>0</v>
      </c>
      <c r="BJ509" s="68" cm="1">
        <f t="array" ref="BJ509">IF(BM509 = "", "",IFERROR(INDEX(AW509:BH509,1,MATCH(2,1/(AW509:BH509&lt;&gt;""),1)-1),""))</f>
        <v>0</v>
      </c>
      <c r="BK509" s="58">
        <f>IF((IF(AW509&gt;=115%,115%,AW509) + IF(AX509&gt;=115%,115%,AX509) + IF(AY509&gt;=115%,115%,AY509) + (IF(AZ509&gt;=115%,115%,AZ509) + IF(BA509&gt;=115%,115%,BA509) + IF(BB509&gt;=115%,115%,BB509) + IF(BC509&gt;=115%,115%,BC509) + IF(BD509&gt;=115%,115%,BD509) + IF(BE509&gt;=115%,115%,BE509) + IF(BF509&gt;=115%,115%,BF509) + IF(BG509&gt;=115%,115%,BG509) + IF(BH509&gt;=115%,115%,BH509)))/_xlfn.XLOOKUP(F509,Apuração!A:A,Apuração!B:B)&gt;=1.15,1.15,((IF(AZ509&gt;=115%,115%,AZ509) + IF(AX509&gt;=115%,115%,AX509) + IF(AY509&gt;=115%,115%,AY509) + (IF(AW509&gt;=115%,115%,AW509) + IF(BA509&gt;=115%,115%,BA509) + IF(BB509&gt;=115%,115%,BB509) + IF(BC509&gt;=115%,115%,BC509) + IF(BD509&gt;=115%,115%,BD509) + IF(BE509&gt;=115%,115%,BE509) + IF(BF509&gt;=115%,115%,BF509) + IF(BG509&gt;=115%,115%,BG509) + IF(BH509&gt;=115%,115%,BH509)))/_xlfn.XLOOKUP(F509,Apuração!A:A,Apuração!B:B)))</f>
        <v>0</v>
      </c>
      <c r="BL509" s="58" cm="1">
        <f t="array" aca="1" ref="BL509" ca="1">IF(SUM(IFERROR(IF(INDEX(AW509:INDEX(AW509:BH509, MATCH(2, 1/(AW509:BH509&lt;&gt;""), 1)-1), ROW(INDIRECT("1:" &amp; MATCH(2, 1/(AW509:BH509&lt;&gt;""), 1)-1))) &gt;= 115%, 115%, INDEX(AW509:INDEX(AW509:BH509, MATCH(2, 1/(AW509:BH509&lt;&gt;""), 1)-1), ROW(INDIRECT("1:" &amp; MATCH(2, 1/(AW509:BH509&lt;&gt;""), 1)-1)))), 0))/_xlfn.XLOOKUP(F509,Apuração!A:A,Apuração!B:B)&gt;=1.15,1.15,SUM(IFERROR(IF(INDEX(AW509:INDEX(AW509:BH509, MATCH(2, 1/(AW509:BH509&lt;&gt;""), 1)-1), ROW(INDIRECT("1:" &amp; MATCH(2, 1/(AW509:BH509&lt;&gt;""), 1)-1))) &gt;= 115%, 115%, INDEX(AW509:INDEX(AW509:BH509, MATCH(2, 1/(AW509:BH509&lt;&gt;""), 1)-1), ROW(INDIRECT("1:" &amp; MATCH(2, 1/(AW509:BH509&lt;&gt;""), 1)-1)))), 0))/_xlfn.XLOOKUP(F509,Apuração!A:A,Apuração!B:B))</f>
        <v>0</v>
      </c>
      <c r="BM509" s="55" cm="1">
        <f t="array" ref="BM509">IFERROR(
   INDEX($AW$1:$BH$1,
      _xlfn.AGGREGATE(14, 6, COLUMN($AW$1:$BH$1)/(AW509:BH509&lt;&gt;""), 2) - COLUMN($AW$1) + 1
   ),
"")</f>
        <v>46082</v>
      </c>
      <c r="BN509" s="55" cm="1">
        <f t="array" ref="BN509">IFERROR(INDEX($AW$1:$BH$1,1,MATCH(2,1/(AW509:BH509&lt;&gt;""))),"")</f>
        <v>46113</v>
      </c>
      <c r="BO509" s="53">
        <f ca="1">IFERROR(_xlfn.XLOOKUP(F509,Apuração!A:A,Apuração!C:C)/_xlfn.XLOOKUP(F509,Apuração!A:A,Apuração!B:B),0)</f>
        <v>0</v>
      </c>
      <c r="BP509" s="53">
        <f ca="1">IFERROR(_xlfn.XLOOKUP(F509,Apuração!A:A,Apuração!D:D)/_xlfn.XLOOKUP(F509,Apuração!A:A,Apuração!B:B),0)</f>
        <v>0</v>
      </c>
      <c r="BQ509" s="53">
        <f ca="1">IF(BK509&gt;=BO509,0,_xlfn.XLOOKUP(F509,Apuração!A:A,Apuração!B:B)*(BO509 + (1/_xlfn.XLOOKUP(F509,Apuração!A:A,Apuração!B:B)) - BK509))</f>
        <v>0</v>
      </c>
      <c r="BR509" s="85">
        <f t="shared" ca="1" si="841"/>
        <v>0</v>
      </c>
      <c r="BS509" s="53">
        <f ca="1">IFERROR((_xlfn.XLOOKUP(F509,Apuração!A:A,Apuração!C:C)+1)/_xlfn.XLOOKUP(F509,Apuração!A:A,Apuração!B:B),0)</f>
        <v>0.14285714285714285</v>
      </c>
    </row>
    <row r="510" spans="1:71" ht="25.95" hidden="1" customHeight="1" x14ac:dyDescent="0.3">
      <c r="A510" s="40" t="s">
        <v>87</v>
      </c>
      <c r="B510" s="4" t="s">
        <v>88</v>
      </c>
      <c r="C510" s="5" t="s">
        <v>35</v>
      </c>
      <c r="D510" s="5" t="s">
        <v>47</v>
      </c>
      <c r="E510" s="4" t="s">
        <v>85</v>
      </c>
      <c r="F510" s="4" t="str" cm="1">
        <f t="array" ref="F510">_xlfn.IFS(
AG510 &lt;&gt; "", "Jan-Dez/26",
AH510 &lt;&gt; "", "Fev-Dez/26",
AI510 &lt;&gt; "", "Mar-Dez/26", AJ510 &lt;&gt; "", "Abr-Dez/26",
TRUE, "A partir de Junho"
)</f>
        <v>A partir de Junho</v>
      </c>
      <c r="G510" s="4" t="s">
        <v>62</v>
      </c>
      <c r="H510" s="7" t="s">
        <v>38</v>
      </c>
      <c r="I510" s="9" t="s">
        <v>93</v>
      </c>
      <c r="J510" s="21" t="str" cm="1">
        <f t="array" aca="1" ref="J510" ca="1">_xlfn.LET(
  _xlpm.actual_value_month, INDEX(T510:AE510, MATCH(DATE(YEAR(TODAY()), MONTH(TODAY()), 1), $T$1:$AE$1, 0)),
  IF(_xlpm.actual_value_month &lt;&gt; "",_xlpm.actual_value_month &amp; " ações mensais", "")
)</f>
        <v/>
      </c>
      <c r="K510" s="8" t="str" cm="1">
        <f t="array" ref="K510">_xlfn.LET(
    _xlpm.sum_month, SUM(T510:AE510),
    IF(_xlpm.sum_month = 0, "", _xlpm.sum_month &amp; " certificados gerados no ano")
)</f>
        <v/>
      </c>
      <c r="L510" s="4" t="s">
        <v>94</v>
      </c>
      <c r="M510" s="19"/>
      <c r="N510" s="5" t="s">
        <v>51</v>
      </c>
      <c r="O510" s="5"/>
      <c r="P510" s="10"/>
      <c r="Q510" s="10"/>
      <c r="R510" s="10"/>
      <c r="S510" s="10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G510" s="71"/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  <c r="AR510" s="71"/>
      <c r="AS510" s="94">
        <f t="shared" ref="AS510:AS511" ca="1" si="850">AE510*BO510</f>
        <v>0</v>
      </c>
      <c r="AT510" s="95" t="str" cm="1">
        <f t="array" ref="AT510">IFERROR(INDEX(AJ510:AR510,1,MATCH(2,1/(AJ510:AR510&lt;&gt;""))),"")</f>
        <v/>
      </c>
      <c r="AU510" s="97" t="str">
        <f t="shared" ref="AU510:AU511" si="851">AT510</f>
        <v/>
      </c>
      <c r="AW510" s="83">
        <f t="shared" ref="AW510:AW511" si="852">AG510</f>
        <v>0</v>
      </c>
      <c r="AX510" s="83">
        <f t="shared" si="838"/>
        <v>0</v>
      </c>
      <c r="AY510" s="83">
        <f t="shared" si="839"/>
        <v>0</v>
      </c>
      <c r="AZ510" s="83">
        <f t="shared" si="840"/>
        <v>0</v>
      </c>
      <c r="BA510" s="83">
        <f t="shared" si="840"/>
        <v>0</v>
      </c>
      <c r="BB510" s="51"/>
      <c r="BC510" s="51"/>
      <c r="BD510" s="51"/>
      <c r="BE510" s="51"/>
      <c r="BF510" s="51"/>
      <c r="BG510" s="51"/>
      <c r="BH510" s="51"/>
      <c r="BI510" s="65" cm="1">
        <f t="array" ref="BI510">IFERROR(INDEX(AW510:BH510,1,MATCH(2,1/(AW510:BH510&lt;&gt;""))),"")</f>
        <v>0</v>
      </c>
      <c r="BJ510" s="68" cm="1">
        <f t="array" ref="BJ510">IF(BM510 = "", "",IFERROR(INDEX(AW510:BH510,1,MATCH(2,1/(AW510:BH510&lt;&gt;""),1)-1),""))</f>
        <v>0</v>
      </c>
      <c r="BK510" s="58">
        <f>IF((IF(AW510&gt;=115%,115%,AW510) + IF(AX510&gt;=115%,115%,AX510) + IF(AY510&gt;=115%,115%,AY510) + (IF(AZ510&gt;=115%,115%,AZ510) + IF(BA510&gt;=115%,115%,BA510) + IF(BB510&gt;=115%,115%,BB510) + IF(BC510&gt;=115%,115%,BC510) + IF(BD510&gt;=115%,115%,BD510) + IF(BE510&gt;=115%,115%,BE510) + IF(BF510&gt;=115%,115%,BF510) + IF(BG510&gt;=115%,115%,BG510) + IF(BH510&gt;=115%,115%,BH510)))/_xlfn.XLOOKUP(F510,Apuração!A:A,Apuração!B:B)&gt;=1.15,1.15,((IF(AZ510&gt;=115%,115%,AZ510) + IF(AX510&gt;=115%,115%,AX510) + IF(AY510&gt;=115%,115%,AY510) + (IF(AW510&gt;=115%,115%,AW510) + IF(BA510&gt;=115%,115%,BA510) + IF(BB510&gt;=115%,115%,BB510) + IF(BC510&gt;=115%,115%,BC510) + IF(BD510&gt;=115%,115%,BD510) + IF(BE510&gt;=115%,115%,BE510) + IF(BF510&gt;=115%,115%,BF510) + IF(BG510&gt;=115%,115%,BG510) + IF(BH510&gt;=115%,115%,BH510)))/_xlfn.XLOOKUP(F510,Apuração!A:A,Apuração!B:B)))</f>
        <v>0</v>
      </c>
      <c r="BL510" s="58" cm="1">
        <f t="array" aca="1" ref="BL510" ca="1">IF(SUM(IFERROR(IF(INDEX(AW510:INDEX(AW510:BH510, MATCH(2, 1/(AW510:BH510&lt;&gt;""), 1)-1), ROW(INDIRECT("1:" &amp; MATCH(2, 1/(AW510:BH510&lt;&gt;""), 1)-1))) &gt;= 115%, 115%, INDEX(AW510:INDEX(AW510:BH510, MATCH(2, 1/(AW510:BH510&lt;&gt;""), 1)-1), ROW(INDIRECT("1:" &amp; MATCH(2, 1/(AW510:BH510&lt;&gt;""), 1)-1)))), 0))/_xlfn.XLOOKUP(F510,Apuração!A:A,Apuração!B:B)&gt;=1.15,1.15,SUM(IFERROR(IF(INDEX(AW510:INDEX(AW510:BH510, MATCH(2, 1/(AW510:BH510&lt;&gt;""), 1)-1), ROW(INDIRECT("1:" &amp; MATCH(2, 1/(AW510:BH510&lt;&gt;""), 1)-1))) &gt;= 115%, 115%, INDEX(AW510:INDEX(AW510:BH510, MATCH(2, 1/(AW510:BH510&lt;&gt;""), 1)-1), ROW(INDIRECT("1:" &amp; MATCH(2, 1/(AW510:BH510&lt;&gt;""), 1)-1)))), 0))/_xlfn.XLOOKUP(F510,Apuração!A:A,Apuração!B:B))</f>
        <v>0</v>
      </c>
      <c r="BM510" s="55" cm="1">
        <f t="array" ref="BM510">IFERROR(
   INDEX($AW$1:$BH$1,
      _xlfn.AGGREGATE(14, 6, COLUMN($AW$1:$BH$1)/(AW510:BH510&lt;&gt;""), 2) - COLUMN($AW$1) + 1
   ),
"")</f>
        <v>46113</v>
      </c>
      <c r="BN510" s="55" cm="1">
        <f t="array" ref="BN510">IFERROR(INDEX($AW$1:$BH$1,1,MATCH(2,1/(AW510:BH510&lt;&gt;""))),"")</f>
        <v>46143</v>
      </c>
      <c r="BO510" s="53">
        <f ca="1">IFERROR(_xlfn.XLOOKUP(F510,Apuração!A:A,Apuração!C:C)/_xlfn.XLOOKUP(F510,Apuração!A:A,Apuração!B:B),0)</f>
        <v>0</v>
      </c>
      <c r="BP510" s="53">
        <f ca="1">IFERROR(_xlfn.XLOOKUP(F510,Apuração!A:A,Apuração!D:D)/_xlfn.XLOOKUP(F510,Apuração!A:A,Apuração!B:B),0)</f>
        <v>0</v>
      </c>
      <c r="BQ510" s="53">
        <f ca="1">IF(BK510&gt;=BO510,0,_xlfn.XLOOKUP(F510,Apuração!A:A,Apuração!B:B)*(BO510 + (1/_xlfn.XLOOKUP(F510,Apuração!A:A,Apuração!B:B)) - BK510))</f>
        <v>0</v>
      </c>
      <c r="BR510" s="85">
        <f t="shared" ca="1" si="841"/>
        <v>0</v>
      </c>
      <c r="BS510" s="53">
        <f ca="1">IFERROR((_xlfn.XLOOKUP(F510,Apuração!A:A,Apuração!C:C)+1)/_xlfn.XLOOKUP(F510,Apuração!A:A,Apuração!B:B),0)</f>
        <v>0.14285714285714285</v>
      </c>
    </row>
    <row r="511" spans="1:71" ht="25.95" hidden="1" customHeight="1" x14ac:dyDescent="0.3">
      <c r="A511" s="40" t="s">
        <v>87</v>
      </c>
      <c r="B511" s="4" t="s">
        <v>88</v>
      </c>
      <c r="C511" s="5" t="s">
        <v>35</v>
      </c>
      <c r="D511" s="5" t="s">
        <v>48</v>
      </c>
      <c r="E511" s="4" t="s">
        <v>85</v>
      </c>
      <c r="F511" s="4" t="str" cm="1">
        <f t="array" ref="F511">_xlfn.IFS(
AG511 &lt;&gt; "", "Jan-Dez/26",
AH511 &lt;&gt; "", "Fev-Dez/26",
AI511 &lt;&gt; "", "Mar-Dez/26", AJ511 &lt;&gt; "", "Abr-Dez/26",
TRUE, "A partir de Junho"
)</f>
        <v>A partir de Junho</v>
      </c>
      <c r="G511" s="4" t="s">
        <v>62</v>
      </c>
      <c r="H511" s="7" t="s">
        <v>38</v>
      </c>
      <c r="I511" s="9" t="s">
        <v>93</v>
      </c>
      <c r="J511" s="21" t="str" cm="1">
        <f t="array" aca="1" ref="J511" ca="1">_xlfn.LET(
  _xlpm.actual_value_month, INDEX(T511:AE511, MATCH(DATE(YEAR(TODAY()), MONTH(TODAY()), 1), $T$1:$AE$1, 0)),
  IF(_xlpm.actual_value_month &lt;&gt; "",_xlpm.actual_value_month &amp; " ações mensais", "")
)</f>
        <v/>
      </c>
      <c r="K511" s="8" t="str" cm="1">
        <f t="array" ref="K511">_xlfn.LET(
    _xlpm.sum_month, SUM(T511:AE511),
    IF(_xlpm.sum_month = 0, "", _xlpm.sum_month &amp; " certificados gerados no ano")
)</f>
        <v/>
      </c>
      <c r="L511" s="4" t="s">
        <v>94</v>
      </c>
      <c r="M511" s="19"/>
      <c r="N511" s="5" t="s">
        <v>51</v>
      </c>
      <c r="O511" s="5"/>
      <c r="P511" s="10"/>
      <c r="Q511" s="10"/>
      <c r="R511" s="10"/>
      <c r="S511" s="10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G511" s="71"/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  <c r="AR511" s="71"/>
      <c r="AS511" s="94">
        <f t="shared" ca="1" si="850"/>
        <v>0</v>
      </c>
      <c r="AT511" s="95" t="str" cm="1">
        <f t="array" ref="AT511">IFERROR(INDEX(AJ511:AR511,1,MATCH(2,1/(AJ511:AR511&lt;&gt;""))),"")</f>
        <v/>
      </c>
      <c r="AU511" s="97" t="str">
        <f t="shared" si="851"/>
        <v/>
      </c>
      <c r="AW511" s="83">
        <f t="shared" si="852"/>
        <v>0</v>
      </c>
      <c r="AX511" s="83">
        <f t="shared" si="838"/>
        <v>0</v>
      </c>
      <c r="AY511" s="83">
        <f t="shared" si="839"/>
        <v>0</v>
      </c>
      <c r="AZ511" s="83">
        <f t="shared" si="840"/>
        <v>0</v>
      </c>
      <c r="BA511" s="83">
        <f t="shared" si="840"/>
        <v>0</v>
      </c>
      <c r="BB511" s="51"/>
      <c r="BC511" s="51"/>
      <c r="BD511" s="51"/>
      <c r="BE511" s="51"/>
      <c r="BF511" s="51"/>
      <c r="BG511" s="51"/>
      <c r="BH511" s="51"/>
      <c r="BI511" s="65" cm="1">
        <f t="array" ref="BI511">IFERROR(INDEX(AW511:BH511,1,MATCH(2,1/(AW511:BH511&lt;&gt;""))),"")</f>
        <v>0</v>
      </c>
      <c r="BJ511" s="68" cm="1">
        <f t="array" ref="BJ511">IF(BM511 = "", "",IFERROR(INDEX(AW511:BH511,1,MATCH(2,1/(AW511:BH511&lt;&gt;""),1)-1),""))</f>
        <v>0</v>
      </c>
      <c r="BK511" s="58">
        <f>IF((IF(AW511&gt;=115%,115%,AW511) + IF(AX511&gt;=115%,115%,AX511) + IF(AY511&gt;=115%,115%,AY511) + (IF(AZ511&gt;=115%,115%,AZ511) + IF(BA511&gt;=115%,115%,BA511) + IF(BB511&gt;=115%,115%,BB511) + IF(BC511&gt;=115%,115%,BC511) + IF(BD511&gt;=115%,115%,BD511) + IF(BE511&gt;=115%,115%,BE511) + IF(BF511&gt;=115%,115%,BF511) + IF(BG511&gt;=115%,115%,BG511) + IF(BH511&gt;=115%,115%,BH511)))/_xlfn.XLOOKUP(F511,Apuração!A:A,Apuração!B:B)&gt;=1.15,1.15,((IF(AZ511&gt;=115%,115%,AZ511) + IF(AX511&gt;=115%,115%,AX511) + IF(AY511&gt;=115%,115%,AY511) + (IF(AW511&gt;=115%,115%,AW511) + IF(BA511&gt;=115%,115%,BA511) + IF(BB511&gt;=115%,115%,BB511) + IF(BC511&gt;=115%,115%,BC511) + IF(BD511&gt;=115%,115%,BD511) + IF(BE511&gt;=115%,115%,BE511) + IF(BF511&gt;=115%,115%,BF511) + IF(BG511&gt;=115%,115%,BG511) + IF(BH511&gt;=115%,115%,BH511)))/_xlfn.XLOOKUP(F511,Apuração!A:A,Apuração!B:B)))</f>
        <v>0</v>
      </c>
      <c r="BL511" s="58" cm="1">
        <f t="array" aca="1" ref="BL511" ca="1">IF(SUM(IFERROR(IF(INDEX(AW511:INDEX(AW511:BH511, MATCH(2, 1/(AW511:BH511&lt;&gt;""), 1)-1), ROW(INDIRECT("1:" &amp; MATCH(2, 1/(AW511:BH511&lt;&gt;""), 1)-1))) &gt;= 115%, 115%, INDEX(AW511:INDEX(AW511:BH511, MATCH(2, 1/(AW511:BH511&lt;&gt;""), 1)-1), ROW(INDIRECT("1:" &amp; MATCH(2, 1/(AW511:BH511&lt;&gt;""), 1)-1)))), 0))/_xlfn.XLOOKUP(F511,Apuração!A:A,Apuração!B:B)&gt;=1.15,1.15,SUM(IFERROR(IF(INDEX(AW511:INDEX(AW511:BH511, MATCH(2, 1/(AW511:BH511&lt;&gt;""), 1)-1), ROW(INDIRECT("1:" &amp; MATCH(2, 1/(AW511:BH511&lt;&gt;""), 1)-1))) &gt;= 115%, 115%, INDEX(AW511:INDEX(AW511:BH511, MATCH(2, 1/(AW511:BH511&lt;&gt;""), 1)-1), ROW(INDIRECT("1:" &amp; MATCH(2, 1/(AW511:BH511&lt;&gt;""), 1)-1)))), 0))/_xlfn.XLOOKUP(F511,Apuração!A:A,Apuração!B:B))</f>
        <v>0</v>
      </c>
      <c r="BM511" s="55" cm="1">
        <f t="array" ref="BM511">IFERROR(
   INDEX($AW$1:$BH$1,
      _xlfn.AGGREGATE(14, 6, COLUMN($AW$1:$BH$1)/(AW511:BH511&lt;&gt;""), 2) - COLUMN($AW$1) + 1
   ),
"")</f>
        <v>46113</v>
      </c>
      <c r="BN511" s="55" cm="1">
        <f t="array" ref="BN511">IFERROR(INDEX($AW$1:$BH$1,1,MATCH(2,1/(AW511:BH511&lt;&gt;""))),"")</f>
        <v>46143</v>
      </c>
      <c r="BO511" s="53">
        <f ca="1">IFERROR(_xlfn.XLOOKUP(F511,Apuração!A:A,Apuração!C:C)/_xlfn.XLOOKUP(F511,Apuração!A:A,Apuração!B:B),0)</f>
        <v>0</v>
      </c>
      <c r="BP511" s="53">
        <f ca="1">IFERROR(_xlfn.XLOOKUP(F511,Apuração!A:A,Apuração!D:D)/_xlfn.XLOOKUP(F511,Apuração!A:A,Apuração!B:B),0)</f>
        <v>0</v>
      </c>
      <c r="BQ511" s="53">
        <f ca="1">IF(BK511&gt;=BO511,0,_xlfn.XLOOKUP(F511,Apuração!A:A,Apuração!B:B)*(BO511 + (1/_xlfn.XLOOKUP(F511,Apuração!A:A,Apuração!B:B)) - BK511))</f>
        <v>0</v>
      </c>
      <c r="BR511" s="85">
        <f t="shared" ca="1" si="841"/>
        <v>0</v>
      </c>
      <c r="BS511" s="53">
        <f ca="1">IFERROR((_xlfn.XLOOKUP(F511,Apuração!A:A,Apuração!C:C)+1)/_xlfn.XLOOKUP(F511,Apuração!A:A,Apuração!B:B),0)</f>
        <v>0.14285714285714285</v>
      </c>
    </row>
    <row r="512" spans="1:71" ht="25.95" hidden="1" customHeight="1" x14ac:dyDescent="0.3">
      <c r="A512" s="20" t="s">
        <v>87</v>
      </c>
      <c r="B512" s="4" t="s">
        <v>222</v>
      </c>
      <c r="C512" s="5" t="s">
        <v>35</v>
      </c>
      <c r="D512" s="5" t="s">
        <v>36</v>
      </c>
      <c r="E512" s="4" t="str" cm="1">
        <f t="array" ref="E512">_xlfn.IFS(
F512 = "A partir de Abril", "Aguardando Execução na Distribuidora",
A512 = "CAPACITAÇÃO", "Em execução no Corporativo",
TRUE, "Em Execução na Distribuidora"
)</f>
        <v>Em Execução na Distribuidora</v>
      </c>
      <c r="F512" s="4" t="str" cm="1">
        <f t="array" ref="F512">_xlfn.IFS(
AG512 &lt;&gt; "", "Jan-Dez/26",
AH512 &lt;&gt; "", "Fev-Dez/26",
AI512 &lt;&gt; "", "Mar-Dez/26", AJ512 &lt;&gt; "", "Abr-Dez/26",
TRUE, "A partir de Junho"
)</f>
        <v>Jan-Dez/26</v>
      </c>
      <c r="G512" s="7" t="s">
        <v>37</v>
      </c>
      <c r="H512" s="7" t="s">
        <v>38</v>
      </c>
      <c r="I512" s="8" t="s">
        <v>223</v>
      </c>
      <c r="J512" s="21" t="str" cm="1">
        <f t="array" aca="1" ref="J512" ca="1">_xlfn.LET(
  _xlpm.actual_value_month, INDEX(T512:AE512, MATCH(DATE(YEAR(TODAY()), MONTH(TODAY()), 1), $T$1:$AE$1, 0)),
  IF(_xlpm.actual_value_month &lt;&gt; "",_xlpm.actual_value_month &amp; " inspeções mensais", "")
)</f>
        <v>196 inspeções mensais</v>
      </c>
      <c r="K512" s="8" t="str" cm="1">
        <f t="array" ref="K512">_xlfn.LET(
    _xlpm.sum_month, SUM(T512:AE512),
    IF(_xlpm.sum_month = 0, "", _xlpm.sum_month &amp; " inspeções realizadas no ano")
)</f>
        <v>3119 inspeções realizadas no ano</v>
      </c>
      <c r="L512" s="4" t="s">
        <v>144</v>
      </c>
      <c r="M512" s="19" t="s">
        <v>224</v>
      </c>
      <c r="N512" s="5" t="s">
        <v>42</v>
      </c>
      <c r="O512" s="5" t="s">
        <v>43</v>
      </c>
      <c r="P512" s="10" t="s">
        <v>44</v>
      </c>
      <c r="Q512" s="10" t="s">
        <v>72</v>
      </c>
      <c r="R512" s="11" t="s">
        <v>225</v>
      </c>
      <c r="S512" s="11" t="s">
        <v>44</v>
      </c>
      <c r="T512" s="22">
        <v>564</v>
      </c>
      <c r="U512" s="22">
        <v>585</v>
      </c>
      <c r="V512" s="22">
        <v>206</v>
      </c>
      <c r="W512" s="22">
        <v>196</v>
      </c>
      <c r="X512" s="22">
        <v>196</v>
      </c>
      <c r="Y512" s="22">
        <v>196</v>
      </c>
      <c r="Z512" s="22">
        <v>196</v>
      </c>
      <c r="AA512" s="22">
        <v>196</v>
      </c>
      <c r="AB512" s="22">
        <v>196</v>
      </c>
      <c r="AC512" s="22">
        <v>196</v>
      </c>
      <c r="AD512" s="22">
        <v>196</v>
      </c>
      <c r="AE512" s="22">
        <v>196</v>
      </c>
      <c r="AG512" s="71">
        <v>564</v>
      </c>
      <c r="AH512" s="71">
        <v>585</v>
      </c>
      <c r="AI512" s="71">
        <v>206</v>
      </c>
      <c r="AJ512" s="71">
        <v>173</v>
      </c>
      <c r="AK512" s="71">
        <v>143</v>
      </c>
      <c r="AL512" s="71"/>
      <c r="AM512" s="71"/>
      <c r="AN512" s="71"/>
      <c r="AO512" s="71"/>
      <c r="AP512" s="71"/>
      <c r="AQ512" s="71"/>
      <c r="AR512" s="71"/>
      <c r="AS512" s="94">
        <f t="shared" ref="AS512:AS539" ca="1" si="853">IF(MONTH(TODAY())=3,SUM(T512:U512),IF(MONTH(TODAY())=4,SUM(T512:V512),IF(MONTH(TODAY())=5,SUM(T512:W512),IF(MONTH(TODAY())=6,SUM(T512:X512),IF(MONTH(TODAY())=7,SUM(T512:Y512),IF(MONTH(TODAY())=8,SUM(T512:Z512),IF(MONTH(TODAY())=9,SUM(T512:AA512),IF(MONTH(TODAY())=10,SUM(T512:AB512),IF(MONTH(TODAY())=11,SUM(T512:AC512),IF(MONTH(TODAY())=12,SUM(T512:AD512),IF(MONTH(TODAY())=1,SUM(T512:AE512),T512)))))))))))</f>
        <v>1747</v>
      </c>
      <c r="AT512" s="95">
        <f>SUM(IF(AW512&lt;1.15,AG512,1.15*T512),IF(AX512&lt;1.15,AH512,1.15*U512),IF(AY512&lt;1.15,AI512,1.15*V512),IF(AZ512&lt;1.15,AJ512,1.15*W512),IF(BA512&lt;1.15,AK512,1.15*X512),IF(BB512&lt;1.15,AL512,1.15*Y512),IF(BC512&lt;1.15,AM512,1.15*Z512),IF(BD512&lt;1.15,AN512,1.15*AA512),IF(BE512&lt;1.15,AO512,1.15*AB512),IF(BF512&lt;1.15,AP512,1.15*AC512),IF(BG512&lt;1.15,AQ512,1.15*AD512),IF(BH512&lt;1.15,AR512,1.15*AE512))</f>
        <v>1671</v>
      </c>
      <c r="AU512" s="97">
        <f t="shared" ref="AU512:AU539" si="854">SUM(AG512:AR512)</f>
        <v>1671</v>
      </c>
      <c r="AW512" s="51">
        <f>IFERROR(IF(AG512="",0,AG512/T512),0)</f>
        <v>1</v>
      </c>
      <c r="AX512" s="51">
        <f>IFERROR(IF(AH512="",0,AH512/U512),0)</f>
        <v>1</v>
      </c>
      <c r="AY512" s="51">
        <f>IFERROR(IF(AI512="",0,AI512/V512),0)</f>
        <v>1</v>
      </c>
      <c r="AZ512" s="51">
        <f>IFERROR(IF(AJ512="",0,AJ512/W512),0)</f>
        <v>0.88265306122448983</v>
      </c>
      <c r="BA512" s="51">
        <f t="shared" ref="BA512:BA514" si="855">IFERROR(IF(AK512="",0,AK512/X512),0)</f>
        <v>0.72959183673469385</v>
      </c>
      <c r="BB512" s="51"/>
      <c r="BC512" s="51"/>
      <c r="BD512" s="51"/>
      <c r="BE512" s="51"/>
      <c r="BF512" s="51"/>
      <c r="BG512" s="51"/>
      <c r="BH512" s="51"/>
      <c r="BI512" s="65" cm="1">
        <f t="array" ref="BI512">IFERROR(INDEX(AW512:BH512,1,MATCH(2,1/(AW512:BH512&lt;&gt;""))),"")</f>
        <v>0.72959183673469385</v>
      </c>
      <c r="BJ512" s="68" cm="1">
        <f t="array" ref="BJ512">IF(BM512 = "", "",IFERROR(INDEX(AW512:BH512,1,MATCH(2,1/(AW512:BH512&lt;&gt;""),1)-1),""))</f>
        <v>0.88265306122448983</v>
      </c>
      <c r="BK512" s="58">
        <f>IF((IF(AW512&gt;=115%,115%,AW512) + IF(AX512&gt;=115%,115%,AX512) + IF(AY512&gt;=115%,115%,AY512) + (IF(AZ512&gt;=115%,115%,AZ512) + IF(BA512&gt;=115%,115%,BA512) + IF(BB512&gt;=115%,115%,BB512) + IF(BC512&gt;=115%,115%,BC512) + IF(BD512&gt;=115%,115%,BD512) + IF(BE512&gt;=115%,115%,BE512) + IF(BF512&gt;=115%,115%,BF512) + IF(BG512&gt;=115%,115%,BG512) + IF(BH512&gt;=115%,115%,BH512)))/_xlfn.XLOOKUP(F512,Apuração!A:A,Apuração!B:B)&gt;=1.15,1.15,((IF(AZ512&gt;=115%,115%,AZ512) + IF(AX512&gt;=115%,115%,AX512) + IF(AY512&gt;=115%,115%,AY512) + (IF(AW512&gt;=115%,115%,AW512) + IF(BA512&gt;=115%,115%,BA512) + IF(BB512&gt;=115%,115%,BB512) + IF(BC512&gt;=115%,115%,BC512) + IF(BD512&gt;=115%,115%,BD512) + IF(BE512&gt;=115%,115%,BE512) + IF(BF512&gt;=115%,115%,BF512) + IF(BG512&gt;=115%,115%,BG512) + IF(BH512&gt;=115%,115%,BH512)))/_xlfn.XLOOKUP(F512,Apuração!A:A,Apuração!B:B)))</f>
        <v>0.38435374149659868</v>
      </c>
      <c r="BL512" s="58" cm="1">
        <f t="array" aca="1" ref="BL512" ca="1">IF(SUM(IFERROR(IF(INDEX(AW512:INDEX(AW512:BH512, MATCH(2, 1/(AW512:BH512&lt;&gt;""), 1)-1), ROW(INDIRECT("1:" &amp; MATCH(2, 1/(AW512:BH512&lt;&gt;""), 1)-1))) &gt;= 115%, 115%, INDEX(AW512:INDEX(AW512:BH512, MATCH(2, 1/(AW512:BH512&lt;&gt;""), 1)-1), ROW(INDIRECT("1:" &amp; MATCH(2, 1/(AW512:BH512&lt;&gt;""), 1)-1)))), 0))/_xlfn.XLOOKUP(F512,Apuração!A:A,Apuração!B:B)&gt;=1.15,1.15,SUM(IFERROR(IF(INDEX(AW512:INDEX(AW512:BH512, MATCH(2, 1/(AW512:BH512&lt;&gt;""), 1)-1), ROW(INDIRECT("1:" &amp; MATCH(2, 1/(AW512:BH512&lt;&gt;""), 1)-1))) &gt;= 115%, 115%, INDEX(AW512:INDEX(AW512:BH512, MATCH(2, 1/(AW512:BH512&lt;&gt;""), 1)-1), ROW(INDIRECT("1:" &amp; MATCH(2, 1/(AW512:BH512&lt;&gt;""), 1)-1)))), 0))/_xlfn.XLOOKUP(F512,Apuração!A:A,Apuração!B:B))</f>
        <v>0.32355442176870747</v>
      </c>
      <c r="BM512" s="55" cm="1">
        <f t="array" ref="BM512">IFERROR(
   INDEX($AW$1:$BH$1,
      _xlfn.AGGREGATE(14, 6, COLUMN($AW$1:$BH$1)/(AW512:BH512&lt;&gt;""), 2) - COLUMN($AW$1) + 1
   ),
"")</f>
        <v>46113</v>
      </c>
      <c r="BN512" s="55" cm="1">
        <f t="array" ref="BN512">IFERROR(INDEX($AW$1:$BH$1,1,MATCH(2,1/(AW512:BH512&lt;&gt;""))),"")</f>
        <v>46143</v>
      </c>
      <c r="BO512" s="53">
        <f ca="1">IFERROR(_xlfn.XLOOKUP(F512,Apuração!A:A,Apuração!C:C)/_xlfn.XLOOKUP(F512,Apuração!A:A,Apuração!B:B),0)</f>
        <v>0.41666666666666669</v>
      </c>
      <c r="BP512" s="53">
        <f ca="1">IFERROR(_xlfn.XLOOKUP(F512,Apuração!A:A,Apuração!D:D)/_xlfn.XLOOKUP(F512,Apuração!A:A,Apuração!B:B),0)</f>
        <v>0.33333333333333331</v>
      </c>
      <c r="BQ512" s="53">
        <f ca="1">IF(BK512&gt;=BO512,0,_xlfn.XLOOKUP(F512,Apuração!A:A,Apuração!B:B)*(BO512 + (1/_xlfn.XLOOKUP(F512,Apuração!A:A,Apuração!B:B)) - BK512))</f>
        <v>1.3877551020408159</v>
      </c>
      <c r="BR512" s="85">
        <f t="shared" ca="1" si="841"/>
        <v>271.99999999999989</v>
      </c>
      <c r="BS512" s="53">
        <f ca="1">IFERROR((_xlfn.XLOOKUP(F512,Apuração!A:A,Apuração!C:C)+1)/_xlfn.XLOOKUP(F512,Apuração!A:A,Apuração!B:B),0)</f>
        <v>0.5</v>
      </c>
    </row>
    <row r="513" spans="1:71" ht="25.95" hidden="1" customHeight="1" x14ac:dyDescent="0.3">
      <c r="A513" s="20" t="s">
        <v>87</v>
      </c>
      <c r="B513" s="4" t="s">
        <v>222</v>
      </c>
      <c r="C513" s="5" t="s">
        <v>35</v>
      </c>
      <c r="D513" s="5" t="s">
        <v>47</v>
      </c>
      <c r="E513" s="4" t="str" cm="1">
        <f t="array" ref="E513">_xlfn.IFS(
F513 = "A partir de Abril", "Aguardando Execução na Distribuidora",
A513 = "CAPACITAÇÃO", "Em execução no Corporativo",
TRUE, "Em Execução na Distribuidora"
)</f>
        <v>Em Execução na Distribuidora</v>
      </c>
      <c r="F513" s="4" t="str" cm="1">
        <f t="array" ref="F513">_xlfn.IFS(
AG513 &lt;&gt; "", "Jan-Dez/26",
AH513 &lt;&gt; "", "Fev-Dez/26",
AI513 &lt;&gt; "", "Mar-Dez/26", AJ513 &lt;&gt; "", "Abr-Dez/26",
TRUE, "A partir de Junho"
)</f>
        <v>Jan-Dez/26</v>
      </c>
      <c r="G513" s="7" t="s">
        <v>37</v>
      </c>
      <c r="H513" s="7" t="s">
        <v>38</v>
      </c>
      <c r="I513" s="8" t="s">
        <v>223</v>
      </c>
      <c r="J513" s="21" t="str" cm="1">
        <f t="array" aca="1" ref="J513" ca="1">_xlfn.LET(
  _xlpm.actual_value_month, INDEX(T513:AE513, MATCH(DATE(YEAR(TODAY()), MONTH(TODAY()), 1), $T$1:$AE$1, 0)),
  IF(_xlpm.actual_value_month &lt;&gt; "",_xlpm.actual_value_month &amp; " inspeções mensais", "")
)</f>
        <v>119 inspeções mensais</v>
      </c>
      <c r="K513" s="8" t="str" cm="1">
        <f t="array" ref="K513">_xlfn.LET(
    _xlpm.sum_month, SUM(T513:AE513),
    IF(_xlpm.sum_month = 0, "", _xlpm.sum_month &amp; " inspeções realizadas no ano")
)</f>
        <v>1802 inspeções realizadas no ano</v>
      </c>
      <c r="L513" s="4" t="s">
        <v>144</v>
      </c>
      <c r="M513" s="19" t="s">
        <v>224</v>
      </c>
      <c r="N513" s="5" t="s">
        <v>42</v>
      </c>
      <c r="O513" s="5" t="s">
        <v>43</v>
      </c>
      <c r="P513" s="10" t="s">
        <v>44</v>
      </c>
      <c r="Q513" s="10" t="s">
        <v>72</v>
      </c>
      <c r="R513" s="11" t="s">
        <v>225</v>
      </c>
      <c r="S513" s="11" t="s">
        <v>44</v>
      </c>
      <c r="T513" s="143">
        <v>305</v>
      </c>
      <c r="U513" s="143">
        <v>323</v>
      </c>
      <c r="V513" s="143">
        <v>103</v>
      </c>
      <c r="W513" s="143">
        <v>119</v>
      </c>
      <c r="X513" s="143">
        <v>119</v>
      </c>
      <c r="Y513" s="143">
        <v>119</v>
      </c>
      <c r="Z513" s="143">
        <v>119</v>
      </c>
      <c r="AA513" s="143">
        <v>119</v>
      </c>
      <c r="AB513" s="143">
        <v>119</v>
      </c>
      <c r="AC513" s="143">
        <v>119</v>
      </c>
      <c r="AD513" s="143">
        <v>119</v>
      </c>
      <c r="AE513" s="143">
        <v>119</v>
      </c>
      <c r="AG513" s="82">
        <v>305</v>
      </c>
      <c r="AH513" s="82">
        <v>323</v>
      </c>
      <c r="AI513" s="82">
        <v>103</v>
      </c>
      <c r="AJ513" s="82">
        <v>92</v>
      </c>
      <c r="AK513" s="71">
        <v>75</v>
      </c>
      <c r="AL513" s="71"/>
      <c r="AM513" s="71"/>
      <c r="AN513" s="71"/>
      <c r="AO513" s="71"/>
      <c r="AP513" s="71"/>
      <c r="AQ513" s="71"/>
      <c r="AR513" s="71"/>
      <c r="AS513" s="94">
        <f t="shared" ref="AS513:AS514" ca="1" si="856">IF(MONTH(TODAY())=3,SUM(T513:U513),IF(MONTH(TODAY())=4,SUM(T513:V513),IF(MONTH(TODAY())=5,SUM(T513:W513),IF(MONTH(TODAY())=6,SUM(T513:X513),IF(MONTH(TODAY())=7,SUM(T513:Y513),IF(MONTH(TODAY())=8,SUM(T513:Z513),IF(MONTH(TODAY())=9,SUM(T513:AA513),IF(MONTH(TODAY())=10,SUM(T513:AB513),IF(MONTH(TODAY())=11,SUM(T513:AC513),IF(MONTH(TODAY())=12,SUM(T513:AD513),IF(MONTH(TODAY())=1,SUM(T513:AE513),T513)))))))))))</f>
        <v>969</v>
      </c>
      <c r="AT513" s="95">
        <f t="shared" ref="AT513:AT514" si="857">SUM(IF(AW513&lt;1.15,AG513,1.15*T513),IF(AX513&lt;1.15,AH513,1.15*U513),IF(AY513&lt;1.15,AI513,1.15*V513),IF(AZ513&lt;1.15,AJ513,1.15*W513),IF(BA513&lt;1.15,AK513,1.15*X513),IF(BB513&lt;1.15,AL513,1.15*Y513),IF(BC513&lt;1.15,AM513,1.15*Z513),IF(BD513&lt;1.15,AN513,1.15*AA513),IF(BE513&lt;1.15,AO513,1.15*AB513),IF(BF513&lt;1.15,AP513,1.15*AC513),IF(BG513&lt;1.15,AQ513,1.15*AD513),IF(BH513&lt;1.15,AR513,1.15*AE513))</f>
        <v>898</v>
      </c>
      <c r="AU513" s="97">
        <f t="shared" ref="AU513:AU514" si="858">SUM(AG513:AR513)</f>
        <v>898</v>
      </c>
      <c r="AW513" s="51">
        <f t="shared" ref="AW513:AW514" si="859">IFERROR(IF(AG513="",0,AG513/T513),0)</f>
        <v>1</v>
      </c>
      <c r="AX513" s="51">
        <f t="shared" ref="AX513:AX514" si="860">IFERROR(IF(AH513="",0,AH513/U513),0)</f>
        <v>1</v>
      </c>
      <c r="AY513" s="51">
        <f t="shared" ref="AY513:AY514" si="861">IFERROR(IF(AI513="",0,AI513/V513),0)</f>
        <v>1</v>
      </c>
      <c r="AZ513" s="51">
        <f t="shared" ref="AZ513:AZ514" si="862">IFERROR(IF(AJ513="",0,AJ513/W513),0)</f>
        <v>0.77310924369747902</v>
      </c>
      <c r="BA513" s="51">
        <f t="shared" si="855"/>
        <v>0.63025210084033612</v>
      </c>
      <c r="BB513" s="51"/>
      <c r="BC513" s="51"/>
      <c r="BD513" s="51"/>
      <c r="BE513" s="51"/>
      <c r="BF513" s="51"/>
      <c r="BG513" s="51"/>
      <c r="BH513" s="51"/>
      <c r="BI513" s="65" cm="1">
        <f t="array" ref="BI513">IFERROR(INDEX(AW513:BH513,1,MATCH(2,1/(AW513:BH513&lt;&gt;""))),"")</f>
        <v>0.63025210084033612</v>
      </c>
      <c r="BJ513" s="68" cm="1">
        <f t="array" ref="BJ513">IF(BM513 = "", "",IFERROR(INDEX(AW513:BH513,1,MATCH(2,1/(AW513:BH513&lt;&gt;""),1)-1),""))</f>
        <v>0.77310924369747902</v>
      </c>
      <c r="BK513" s="58">
        <f>IF((IF(AW513&gt;=115%,115%,AW513) + IF(AX513&gt;=115%,115%,AX513) + IF(AY513&gt;=115%,115%,AY513) + (IF(AZ513&gt;=115%,115%,AZ513) + IF(BA513&gt;=115%,115%,BA513) + IF(BB513&gt;=115%,115%,BB513) + IF(BC513&gt;=115%,115%,BC513) + IF(BD513&gt;=115%,115%,BD513) + IF(BE513&gt;=115%,115%,BE513) + IF(BF513&gt;=115%,115%,BF513) + IF(BG513&gt;=115%,115%,BG513) + IF(BH513&gt;=115%,115%,BH513)))/_xlfn.XLOOKUP(F513,Apuração!A:A,Apuração!B:B)&gt;=1.15,1.15,((IF(AZ513&gt;=115%,115%,AZ513) + IF(AX513&gt;=115%,115%,AX513) + IF(AY513&gt;=115%,115%,AY513) + (IF(AW513&gt;=115%,115%,AW513) + IF(BA513&gt;=115%,115%,BA513) + IF(BB513&gt;=115%,115%,BB513) + IF(BC513&gt;=115%,115%,BC513) + IF(BD513&gt;=115%,115%,BD513) + IF(BE513&gt;=115%,115%,BE513) + IF(BF513&gt;=115%,115%,BF513) + IF(BG513&gt;=115%,115%,BG513) + IF(BH513&gt;=115%,115%,BH513)))/_xlfn.XLOOKUP(F513,Apuração!A:A,Apuração!B:B)))</f>
        <v>0.36694677871148462</v>
      </c>
      <c r="BL513" s="58" cm="1">
        <f t="array" aca="1" ref="BL513" ca="1">IF(SUM(IFERROR(IF(INDEX(AW513:INDEX(AW513:BH513, MATCH(2, 1/(AW513:BH513&lt;&gt;""), 1)-1), ROW(INDIRECT("1:" &amp; MATCH(2, 1/(AW513:BH513&lt;&gt;""), 1)-1))) &gt;= 115%, 115%, INDEX(AW513:INDEX(AW513:BH513, MATCH(2, 1/(AW513:BH513&lt;&gt;""), 1)-1), ROW(INDIRECT("1:" &amp; MATCH(2, 1/(AW513:BH513&lt;&gt;""), 1)-1)))), 0))/_xlfn.XLOOKUP(F513,Apuração!A:A,Apuração!B:B)&gt;=1.15,1.15,SUM(IFERROR(IF(INDEX(AW513:INDEX(AW513:BH513, MATCH(2, 1/(AW513:BH513&lt;&gt;""), 1)-1), ROW(INDIRECT("1:" &amp; MATCH(2, 1/(AW513:BH513&lt;&gt;""), 1)-1))) &gt;= 115%, 115%, INDEX(AW513:INDEX(AW513:BH513, MATCH(2, 1/(AW513:BH513&lt;&gt;""), 1)-1), ROW(INDIRECT("1:" &amp; MATCH(2, 1/(AW513:BH513&lt;&gt;""), 1)-1)))), 0))/_xlfn.XLOOKUP(F513,Apuração!A:A,Apuração!B:B))</f>
        <v>0.31442577030812324</v>
      </c>
      <c r="BM513" s="55" cm="1">
        <f t="array" ref="BM513">IFERROR(
   INDEX($AW$1:$BH$1,
      _xlfn.AGGREGATE(14, 6, COLUMN($AW$1:$BH$1)/(AW513:BH513&lt;&gt;""), 2) - COLUMN($AW$1) + 1
   ),
"")</f>
        <v>46113</v>
      </c>
      <c r="BN513" s="55" cm="1">
        <f t="array" ref="BN513">IFERROR(INDEX($AW$1:$BH$1,1,MATCH(2,1/(AW513:BH513&lt;&gt;""))),"")</f>
        <v>46143</v>
      </c>
      <c r="BO513" s="53">
        <f ca="1">IFERROR(_xlfn.XLOOKUP(F513,Apuração!A:A,Apuração!C:C)/_xlfn.XLOOKUP(F513,Apuração!A:A,Apuração!B:B),0)</f>
        <v>0.41666666666666669</v>
      </c>
      <c r="BP513" s="53">
        <f ca="1">IFERROR(_xlfn.XLOOKUP(F513,Apuração!A:A,Apuração!D:D)/_xlfn.XLOOKUP(F513,Apuração!A:A,Apuração!B:B),0)</f>
        <v>0.33333333333333331</v>
      </c>
      <c r="BQ513" s="53">
        <f ca="1">IF(BK513&gt;=BO513,0,_xlfn.XLOOKUP(F513,Apuração!A:A,Apuração!B:B)*(BO513 + (1/_xlfn.XLOOKUP(F513,Apuração!A:A,Apuração!B:B)) - BK513))</f>
        <v>1.5966386554621845</v>
      </c>
      <c r="BR513" s="85">
        <f t="shared" ref="BR513:BR514" ca="1" si="863">IF(BQ513=0,0,BQ513*Z513)</f>
        <v>189.99999999999997</v>
      </c>
      <c r="BS513" s="53">
        <f ca="1">IFERROR((_xlfn.XLOOKUP(F513,Apuração!A:A,Apuração!C:C)+1)/_xlfn.XLOOKUP(F513,Apuração!A:A,Apuração!B:B),0)</f>
        <v>0.5</v>
      </c>
    </row>
    <row r="514" spans="1:71" ht="25.95" hidden="1" customHeight="1" x14ac:dyDescent="0.3">
      <c r="A514" s="20" t="s">
        <v>87</v>
      </c>
      <c r="B514" s="4" t="s">
        <v>222</v>
      </c>
      <c r="C514" s="5" t="s">
        <v>35</v>
      </c>
      <c r="D514" s="5" t="s">
        <v>48</v>
      </c>
      <c r="E514" s="4" t="str" cm="1">
        <f t="array" ref="E514">_xlfn.IFS(
F514 = "A partir de Abril", "Aguardando Execução na Distribuidora",
A514 = "CAPACITAÇÃO", "Em execução no Corporativo",
TRUE, "Em Execução na Distribuidora"
)</f>
        <v>Em Execução na Distribuidora</v>
      </c>
      <c r="F514" s="4" t="str" cm="1">
        <f t="array" ref="F514">_xlfn.IFS(
AG514 &lt;&gt; "", "Jan-Dez/26",
AH514 &lt;&gt; "", "Fev-Dez/26",
AI514 &lt;&gt; "", "Mar-Dez/26", AJ514 &lt;&gt; "", "Abr-Dez/26",
TRUE, "A partir de Junho"
)</f>
        <v>Jan-Dez/26</v>
      </c>
      <c r="G514" s="7" t="s">
        <v>37</v>
      </c>
      <c r="H514" s="7" t="s">
        <v>38</v>
      </c>
      <c r="I514" s="8" t="s">
        <v>223</v>
      </c>
      <c r="J514" s="21" t="str" cm="1">
        <f t="array" aca="1" ref="J514" ca="1">_xlfn.LET(
  _xlpm.actual_value_month, INDEX(T514:AE514, MATCH(DATE(YEAR(TODAY()), MONTH(TODAY()), 1), $T$1:$AE$1, 0)),
  IF(_xlpm.actual_value_month &lt;&gt; "",_xlpm.actual_value_month &amp; " inspeções mensais", "")
)</f>
        <v>77 inspeções mensais</v>
      </c>
      <c r="K514" s="8" t="str" cm="1">
        <f t="array" ref="K514">_xlfn.LET(
    _xlpm.sum_month, SUM(T514:AE514),
    IF(_xlpm.sum_month = 0, "", _xlpm.sum_month &amp; " inspeções realizadas no ano")
)</f>
        <v>1317 inspeções realizadas no ano</v>
      </c>
      <c r="L514" s="4" t="s">
        <v>144</v>
      </c>
      <c r="M514" s="19" t="s">
        <v>224</v>
      </c>
      <c r="N514" s="5" t="s">
        <v>42</v>
      </c>
      <c r="O514" s="5" t="s">
        <v>43</v>
      </c>
      <c r="P514" s="10" t="s">
        <v>44</v>
      </c>
      <c r="Q514" s="10" t="s">
        <v>72</v>
      </c>
      <c r="R514" s="11" t="s">
        <v>225</v>
      </c>
      <c r="S514" s="11" t="s">
        <v>44</v>
      </c>
      <c r="T514" s="143">
        <v>259</v>
      </c>
      <c r="U514" s="143">
        <v>262</v>
      </c>
      <c r="V514" s="143">
        <v>103</v>
      </c>
      <c r="W514" s="143">
        <v>77</v>
      </c>
      <c r="X514" s="143">
        <v>77</v>
      </c>
      <c r="Y514" s="143">
        <v>77</v>
      </c>
      <c r="Z514" s="143">
        <v>77</v>
      </c>
      <c r="AA514" s="143">
        <v>77</v>
      </c>
      <c r="AB514" s="143">
        <v>77</v>
      </c>
      <c r="AC514" s="143">
        <v>77</v>
      </c>
      <c r="AD514" s="143">
        <v>77</v>
      </c>
      <c r="AE514" s="143">
        <v>77</v>
      </c>
      <c r="AG514" s="82">
        <v>259</v>
      </c>
      <c r="AH514" s="82">
        <v>262</v>
      </c>
      <c r="AI514" s="82">
        <v>103</v>
      </c>
      <c r="AJ514" s="82">
        <v>81</v>
      </c>
      <c r="AK514" s="71">
        <v>68</v>
      </c>
      <c r="AL514" s="71"/>
      <c r="AM514" s="71"/>
      <c r="AN514" s="71"/>
      <c r="AO514" s="71"/>
      <c r="AP514" s="71"/>
      <c r="AQ514" s="71"/>
      <c r="AR514" s="71"/>
      <c r="AS514" s="94">
        <f t="shared" ca="1" si="856"/>
        <v>778</v>
      </c>
      <c r="AT514" s="95">
        <f t="shared" si="857"/>
        <v>773</v>
      </c>
      <c r="AU514" s="97">
        <f t="shared" si="858"/>
        <v>773</v>
      </c>
      <c r="AW514" s="51">
        <f t="shared" si="859"/>
        <v>1</v>
      </c>
      <c r="AX514" s="51">
        <f t="shared" si="860"/>
        <v>1</v>
      </c>
      <c r="AY514" s="51">
        <f t="shared" si="861"/>
        <v>1</v>
      </c>
      <c r="AZ514" s="51">
        <f t="shared" si="862"/>
        <v>1.051948051948052</v>
      </c>
      <c r="BA514" s="51">
        <f t="shared" si="855"/>
        <v>0.88311688311688308</v>
      </c>
      <c r="BB514" s="51"/>
      <c r="BC514" s="51"/>
      <c r="BD514" s="51"/>
      <c r="BE514" s="51"/>
      <c r="BF514" s="51"/>
      <c r="BG514" s="51"/>
      <c r="BH514" s="51"/>
      <c r="BI514" s="65" cm="1">
        <f t="array" ref="BI514">IFERROR(INDEX(AW514:BH514,1,MATCH(2,1/(AW514:BH514&lt;&gt;""))),"")</f>
        <v>0.88311688311688308</v>
      </c>
      <c r="BJ514" s="68" cm="1">
        <f t="array" ref="BJ514">IF(BM514 = "", "",IFERROR(INDEX(AW514:BH514,1,MATCH(2,1/(AW514:BH514&lt;&gt;""),1)-1),""))</f>
        <v>1.051948051948052</v>
      </c>
      <c r="BK514" s="58">
        <f>IF((IF(AW514&gt;=115%,115%,AW514) + IF(AX514&gt;=115%,115%,AX514) + IF(AY514&gt;=115%,115%,AY514) + (IF(AZ514&gt;=115%,115%,AZ514) + IF(BA514&gt;=115%,115%,BA514) + IF(BB514&gt;=115%,115%,BB514) + IF(BC514&gt;=115%,115%,BC514) + IF(BD514&gt;=115%,115%,BD514) + IF(BE514&gt;=115%,115%,BE514) + IF(BF514&gt;=115%,115%,BF514) + IF(BG514&gt;=115%,115%,BG514) + IF(BH514&gt;=115%,115%,BH514)))/_xlfn.XLOOKUP(F514,Apuração!A:A,Apuração!B:B)&gt;=1.15,1.15,((IF(AZ514&gt;=115%,115%,AZ514) + IF(AX514&gt;=115%,115%,AX514) + IF(AY514&gt;=115%,115%,AY514) + (IF(AW514&gt;=115%,115%,AW514) + IF(BA514&gt;=115%,115%,BA514) + IF(BB514&gt;=115%,115%,BB514) + IF(BC514&gt;=115%,115%,BC514) + IF(BD514&gt;=115%,115%,BD514) + IF(BE514&gt;=115%,115%,BE514) + IF(BF514&gt;=115%,115%,BF514) + IF(BG514&gt;=115%,115%,BG514) + IF(BH514&gt;=115%,115%,BH514)))/_xlfn.XLOOKUP(F514,Apuração!A:A,Apuração!B:B)))</f>
        <v>0.41125541125541121</v>
      </c>
      <c r="BL514" s="58" cm="1">
        <f t="array" aca="1" ref="BL514" ca="1">IF(SUM(IFERROR(IF(INDEX(AW514:INDEX(AW514:BH514, MATCH(2, 1/(AW514:BH514&lt;&gt;""), 1)-1), ROW(INDIRECT("1:" &amp; MATCH(2, 1/(AW514:BH514&lt;&gt;""), 1)-1))) &gt;= 115%, 115%, INDEX(AW514:INDEX(AW514:BH514, MATCH(2, 1/(AW514:BH514&lt;&gt;""), 1)-1), ROW(INDIRECT("1:" &amp; MATCH(2, 1/(AW514:BH514&lt;&gt;""), 1)-1)))), 0))/_xlfn.XLOOKUP(F514,Apuração!A:A,Apuração!B:B)&gt;=1.15,1.15,SUM(IFERROR(IF(INDEX(AW514:INDEX(AW514:BH514, MATCH(2, 1/(AW514:BH514&lt;&gt;""), 1)-1), ROW(INDIRECT("1:" &amp; MATCH(2, 1/(AW514:BH514&lt;&gt;""), 1)-1))) &gt;= 115%, 115%, INDEX(AW514:INDEX(AW514:BH514, MATCH(2, 1/(AW514:BH514&lt;&gt;""), 1)-1), ROW(INDIRECT("1:" &amp; MATCH(2, 1/(AW514:BH514&lt;&gt;""), 1)-1)))), 0))/_xlfn.XLOOKUP(F514,Apuração!A:A,Apuração!B:B))</f>
        <v>0.33766233766233772</v>
      </c>
      <c r="BM514" s="55" cm="1">
        <f t="array" ref="BM514">IFERROR(
   INDEX($AW$1:$BH$1,
      _xlfn.AGGREGATE(14, 6, COLUMN($AW$1:$BH$1)/(AW514:BH514&lt;&gt;""), 2) - COLUMN($AW$1) + 1
   ),
"")</f>
        <v>46113</v>
      </c>
      <c r="BN514" s="55" cm="1">
        <f t="array" ref="BN514">IFERROR(INDEX($AW$1:$BH$1,1,MATCH(2,1/(AW514:BH514&lt;&gt;""))),"")</f>
        <v>46143</v>
      </c>
      <c r="BO514" s="53">
        <f ca="1">IFERROR(_xlfn.XLOOKUP(F514,Apuração!A:A,Apuração!C:C)/_xlfn.XLOOKUP(F514,Apuração!A:A,Apuração!B:B),0)</f>
        <v>0.41666666666666669</v>
      </c>
      <c r="BP514" s="53">
        <f ca="1">IFERROR(_xlfn.XLOOKUP(F514,Apuração!A:A,Apuração!D:D)/_xlfn.XLOOKUP(F514,Apuração!A:A,Apuração!B:B),0)</f>
        <v>0.33333333333333331</v>
      </c>
      <c r="BQ514" s="53">
        <f ca="1">IF(BK514&gt;=BO514,0,_xlfn.XLOOKUP(F514,Apuração!A:A,Apuração!B:B)*(BO514 + (1/_xlfn.XLOOKUP(F514,Apuração!A:A,Apuração!B:B)) - BK514))</f>
        <v>1.0649350649350655</v>
      </c>
      <c r="BR514" s="85">
        <f t="shared" ca="1" si="863"/>
        <v>82.000000000000043</v>
      </c>
      <c r="BS514" s="53">
        <f ca="1">IFERROR((_xlfn.XLOOKUP(F514,Apuração!A:A,Apuração!C:C)+1)/_xlfn.XLOOKUP(F514,Apuração!A:A,Apuração!B:B),0)</f>
        <v>0.5</v>
      </c>
    </row>
    <row r="515" spans="1:71" ht="25.95" hidden="1" customHeight="1" x14ac:dyDescent="0.3">
      <c r="A515" s="40" t="s">
        <v>87</v>
      </c>
      <c r="B515" s="4" t="s">
        <v>222</v>
      </c>
      <c r="C515" s="5" t="s">
        <v>35</v>
      </c>
      <c r="D515" s="5" t="s">
        <v>36</v>
      </c>
      <c r="E515" s="4" t="str" cm="1">
        <f t="array" ref="E515">_xlfn.IFS(
F515 = "A partir de Abril", "Aguardando Execução na Distribuidora",
A515 = "CAPACITAÇÃO", "Em execução no Corporativo",
TRUE, "Em Execução na Distribuidora"
)</f>
        <v>Em Execução na Distribuidora</v>
      </c>
      <c r="F515" s="4" t="str" cm="1">
        <f t="array" ref="F515">_xlfn.IFS(
AG515 &lt;&gt; "", "Jan-Dez/26",
AH515 &lt;&gt; "", "Fev-Dez/26",
AI515 &lt;&gt; "", "Mar-Dez/26", AJ515 &lt;&gt; "", "Abr-Dez/26",
TRUE, "A partir de Junho"
)</f>
        <v>Jan-Dez/26</v>
      </c>
      <c r="G515" s="7" t="s">
        <v>37</v>
      </c>
      <c r="H515" s="7" t="s">
        <v>38</v>
      </c>
      <c r="I515" s="8" t="s">
        <v>148</v>
      </c>
      <c r="J515" s="21" t="str" cm="1">
        <f t="array" aca="1" ref="J515" ca="1">_xlfn.LET(
  _xlpm.actual_value_month, INDEX(T515:AE515, MATCH(DATE(YEAR(TODAY()), MONTH(TODAY()), 1), $T$1:$AE$1, 0)),
  IF(_xlpm.actual_value_month &lt;&gt; "",_xlpm.actual_value_month &amp; " ações mensais", "")
)</f>
        <v/>
      </c>
      <c r="K515" s="8" t="str" cm="1">
        <f t="array" ref="K515">_xlfn.LET(
    _xlpm.sum_month, SUM(T515:AE515),
    IF(_xlpm.sum_month = 0, "", _xlpm.sum_month &amp; " NC's no ano")
)</f>
        <v/>
      </c>
      <c r="L515" s="9" t="s">
        <v>149</v>
      </c>
      <c r="M515" s="4"/>
      <c r="N515" s="5" t="s">
        <v>51</v>
      </c>
      <c r="O515" s="5" t="s">
        <v>52</v>
      </c>
      <c r="P515" s="10" t="s">
        <v>44</v>
      </c>
      <c r="Q515" s="10" t="s">
        <v>44</v>
      </c>
      <c r="R515" s="11" t="s">
        <v>44</v>
      </c>
      <c r="S515" s="11" t="s">
        <v>44</v>
      </c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G515" s="71">
        <v>34</v>
      </c>
      <c r="AH515" s="71">
        <v>38</v>
      </c>
      <c r="AI515" s="71">
        <v>26</v>
      </c>
      <c r="AJ515" s="71">
        <v>22</v>
      </c>
      <c r="AK515" s="71">
        <v>14</v>
      </c>
      <c r="AL515" s="71"/>
      <c r="AM515" s="71"/>
      <c r="AN515" s="71"/>
      <c r="AO515" s="71"/>
      <c r="AP515" s="71"/>
      <c r="AQ515" s="71"/>
      <c r="AR515" s="71"/>
      <c r="AS515" s="94">
        <f t="shared" ca="1" si="853"/>
        <v>0</v>
      </c>
      <c r="AT515" s="95">
        <f>SUM(AG515:AR515)</f>
        <v>134</v>
      </c>
      <c r="AU515" s="97">
        <f t="shared" si="854"/>
        <v>134</v>
      </c>
      <c r="AW515" s="83">
        <f>AG515</f>
        <v>34</v>
      </c>
      <c r="AX515" s="83">
        <f t="shared" ref="AX515" si="864">AH515</f>
        <v>38</v>
      </c>
      <c r="AY515" s="83">
        <f t="shared" ref="AY515" si="865">AI515</f>
        <v>26</v>
      </c>
      <c r="AZ515" s="83">
        <f t="shared" ref="AZ515:BA515" si="866">AJ515</f>
        <v>22</v>
      </c>
      <c r="BA515" s="83">
        <f t="shared" si="866"/>
        <v>14</v>
      </c>
      <c r="BB515" s="52"/>
      <c r="BC515" s="52"/>
      <c r="BD515" s="52"/>
      <c r="BE515" s="52"/>
      <c r="BF515" s="52"/>
      <c r="BG515" s="52"/>
      <c r="BH515" s="52"/>
      <c r="BI515" s="68" cm="1">
        <f t="array" ref="BI515">IFERROR(INDEX(AW515:BH515,1,MATCH(2,1/(AW515:BH515&lt;&gt;""))),"")</f>
        <v>14</v>
      </c>
      <c r="BJ515" s="68" cm="1">
        <f t="array" ref="BJ515">IF(BM515 = "", "",IFERROR(INDEX(AW515:BH515,1,MATCH(2,1/(AW515:BH515&lt;&gt;""),1)-1),""))</f>
        <v>22</v>
      </c>
      <c r="BK515" s="59">
        <f>SUM(AW515:BH515)</f>
        <v>134</v>
      </c>
      <c r="BL515" s="59" cm="1">
        <f t="array" ref="BL515">IFERROR(SUM(AW515:INDEX(AW515:BH515, MATCH(2, 1/(AW515:BH515&lt;&gt;""), 1) - 1))/_xlfn.XLOOKUP(F515,Apuração!A:A,Apuração!B:B),0)</f>
        <v>10</v>
      </c>
      <c r="BM515" s="55" cm="1">
        <f t="array" ref="BM515">IFERROR(
   INDEX($AW$1:$BH$1,
      _xlfn.AGGREGATE(14, 6, COLUMN($AW$1:$BH$1)/(AW515:BH515&lt;&gt;""), 2) - COLUMN($AW$1) + 1
   ),
"")</f>
        <v>46113</v>
      </c>
      <c r="BN515" s="55" cm="1">
        <f t="array" ref="BN515">IFERROR(INDEX($AW$1:$BH$1,1,MATCH(2,1/(AW515:BH515&lt;&gt;""))),"")</f>
        <v>46143</v>
      </c>
      <c r="BO515" s="53">
        <f ca="1">IFERROR(_xlfn.XLOOKUP(F515,Apuração!A:A,Apuração!C:C)/_xlfn.XLOOKUP(F515,Apuração!A:A,Apuração!B:B),0)</f>
        <v>0.41666666666666669</v>
      </c>
      <c r="BP515" s="53">
        <f ca="1">IFERROR(_xlfn.XLOOKUP(F515,Apuração!A:A,Apuração!D:D)/_xlfn.XLOOKUP(F515,Apuração!A:A,Apuração!B:B),0)</f>
        <v>0.33333333333333331</v>
      </c>
      <c r="BQ515" s="53">
        <f ca="1">IF(BK515&gt;=BO515,0,_xlfn.XLOOKUP(F515,Apuração!A:A,Apuração!B:B)*(BO515 + (1/_xlfn.XLOOKUP(F515,Apuração!A:A,Apuração!B:B)) - BK515))</f>
        <v>0</v>
      </c>
      <c r="BR515" s="85">
        <f t="shared" ca="1" si="841"/>
        <v>0</v>
      </c>
      <c r="BS515" s="53">
        <f ca="1">IFERROR((_xlfn.XLOOKUP(F515,Apuração!A:A,Apuração!C:C)+1)/_xlfn.XLOOKUP(F515,Apuração!A:A,Apuração!B:B),0)</f>
        <v>0.5</v>
      </c>
    </row>
    <row r="516" spans="1:71" ht="25.95" hidden="1" customHeight="1" x14ac:dyDescent="0.3">
      <c r="A516" s="20" t="s">
        <v>87</v>
      </c>
      <c r="B516" s="134" t="s">
        <v>222</v>
      </c>
      <c r="C516" s="5" t="s">
        <v>95</v>
      </c>
      <c r="D516" s="5" t="s">
        <v>36</v>
      </c>
      <c r="E516" s="4" t="str" cm="1">
        <f t="array" ref="E516">_xlfn.IFS(
F516 = "A partir de Abril", "Aguardando Execução na Distribuidora",
A516 = "CAPACITAÇÃO", "Em execução no Corporativo",
TRUE, "Em Execução na Distribuidora"
)</f>
        <v>Em Execução na Distribuidora</v>
      </c>
      <c r="F516" s="4" t="s">
        <v>226</v>
      </c>
      <c r="G516" s="7" t="s">
        <v>37</v>
      </c>
      <c r="H516" s="7" t="s">
        <v>38</v>
      </c>
      <c r="I516" s="8" t="s">
        <v>223</v>
      </c>
      <c r="J516" s="21" t="str" cm="1">
        <f t="array" aca="1" ref="J516" ca="1">_xlfn.LET(
  _xlpm.actual_value_month, INDEX(T516:AE516, MATCH(DATE(YEAR(TODAY()), MONTH(TODAY()), 1), $T$1:$AE$1, 0)),
  IF(_xlpm.actual_value_month &lt;&gt; "",_xlpm.actual_value_month &amp; " inspeções mensais", "")
)</f>
        <v/>
      </c>
      <c r="K516" s="8" t="str" cm="1">
        <f t="array" ref="K516">_xlfn.LET(
    _xlpm.sum_month, SUM(T516:AE516),
    IF(_xlpm.sum_month = 0, "", _xlpm.sum_month &amp; " inspeções realizadas no ano")
)</f>
        <v>332 inspeções realizadas no ano</v>
      </c>
      <c r="L516" s="4" t="s">
        <v>144</v>
      </c>
      <c r="M516" s="19" t="s">
        <v>224</v>
      </c>
      <c r="N516" s="5" t="s">
        <v>42</v>
      </c>
      <c r="O516" s="5" t="s">
        <v>43</v>
      </c>
      <c r="P516" s="10" t="s">
        <v>44</v>
      </c>
      <c r="Q516" s="10" t="s">
        <v>72</v>
      </c>
      <c r="R516" s="11" t="s">
        <v>225</v>
      </c>
      <c r="S516" s="11" t="s">
        <v>44</v>
      </c>
      <c r="T516" s="22">
        <v>62</v>
      </c>
      <c r="U516" s="22"/>
      <c r="V516" s="22"/>
      <c r="W516" s="22"/>
      <c r="X516" s="22">
        <v>90</v>
      </c>
      <c r="Y516" s="22"/>
      <c r="Z516" s="22"/>
      <c r="AA516" s="22">
        <v>90</v>
      </c>
      <c r="AB516" s="22"/>
      <c r="AC516" s="22"/>
      <c r="AD516" s="22">
        <v>90</v>
      </c>
      <c r="AE516" s="22"/>
      <c r="AG516" s="71">
        <v>62</v>
      </c>
      <c r="AH516" s="71">
        <v>0</v>
      </c>
      <c r="AI516" s="71">
        <v>0</v>
      </c>
      <c r="AJ516" s="71">
        <v>0</v>
      </c>
      <c r="AK516" s="71">
        <v>90</v>
      </c>
      <c r="AL516" s="71"/>
      <c r="AM516" s="71"/>
      <c r="AN516" s="71"/>
      <c r="AO516" s="71"/>
      <c r="AP516" s="71"/>
      <c r="AQ516" s="71"/>
      <c r="AR516" s="71"/>
      <c r="AS516" s="94">
        <f t="shared" ca="1" si="853"/>
        <v>152</v>
      </c>
      <c r="AT516" s="95">
        <f>SUM(IF(AW516&lt;1.15,AG516,1.15*T516),IF(AX516&lt;1.15,AH516,1.15*U516),IF(AY516&lt;1.15,AI516,1.15*V516),IF(AZ516&lt;1.15,AJ516,1.15*W516),IF(BA516&lt;1.15,AK516,1.15*X516),IF(BB516&lt;1.15,AL516,1.15*Y516),IF(BC516&lt;1.15,AM516,1.15*Z516),IF(BD516&lt;1.15,AN516,1.15*AA516),IF(BE516&lt;1.15,AO516,1.15*AB516),IF(BF516&lt;1.15,AP516,1.15*AC516),IF(BG516&lt;1.15,AQ516,1.15*AD516),IF(BH516&lt;1.15,AR516,1.15*AE516))</f>
        <v>152</v>
      </c>
      <c r="AU516" s="97">
        <f t="shared" si="854"/>
        <v>152</v>
      </c>
      <c r="AW516" s="51">
        <f>IFERROR(IF(AG516="",0,AG516/T516),0)</f>
        <v>1</v>
      </c>
      <c r="AX516" s="51">
        <f>IFERROR(IF(AH516="",0,AH516/U516),0)</f>
        <v>0</v>
      </c>
      <c r="AY516" s="51">
        <f>IFERROR(IF(AI516="",0,AI516/V516),0)</f>
        <v>0</v>
      </c>
      <c r="AZ516" s="51">
        <f>IFERROR(IF(AJ516="",0,AJ516/W516),0)</f>
        <v>0</v>
      </c>
      <c r="BA516" s="51">
        <f>IFERROR(IF(AK516="",0,AK516/X516),0)</f>
        <v>1</v>
      </c>
      <c r="BB516" s="51"/>
      <c r="BC516" s="51"/>
      <c r="BD516" s="51"/>
      <c r="BE516" s="51"/>
      <c r="BF516" s="51"/>
      <c r="BG516" s="51"/>
      <c r="BH516" s="51"/>
      <c r="BI516" s="65" cm="1">
        <f t="array" ref="BI516">IFERROR(INDEX(AW516:BH516,1,MATCH(2,1/(AW516:BH516&lt;&gt;""))),"")</f>
        <v>1</v>
      </c>
      <c r="BJ516" s="68" cm="1">
        <f t="array" ref="BJ516">IF(BM516 = "", "",IFERROR(INDEX(AW516:BH516,1,MATCH(2,1/(AW516:BH516&lt;&gt;""),1)-1),""))</f>
        <v>0</v>
      </c>
      <c r="BK516" s="58">
        <f>IF((IF(AW516&gt;=115%,115%,AW516) + IF(AX516&gt;=115%,115%,AX516) + IF(AY516&gt;=115%,115%,AY516) + (IF(AZ516&gt;=115%,115%,AZ516) + IF(BA516&gt;=115%,115%,BA516) + IF(BB516&gt;=115%,115%,BB516) + IF(BC516&gt;=115%,115%,BC516) + IF(BD516&gt;=115%,115%,BD516) + IF(BE516&gt;=115%,115%,BE516) + IF(BF516&gt;=115%,115%,BF516) + IF(BG516&gt;=115%,115%,BG516) + IF(BH516&gt;=115%,115%,BH516)))/_xlfn.XLOOKUP(F516,Apuração!A:A,Apuração!B:B)&gt;=1.15,1.15,((IF(AZ516&gt;=115%,115%,AZ516) + IF(AX516&gt;=115%,115%,AX516) + IF(AY516&gt;=115%,115%,AY516) + (IF(AW516&gt;=115%,115%,AW516) + IF(BA516&gt;=115%,115%,BA516) + IF(BB516&gt;=115%,115%,BB516) + IF(BC516&gt;=115%,115%,BC516) + IF(BD516&gt;=115%,115%,BD516) + IF(BE516&gt;=115%,115%,BE516) + IF(BF516&gt;=115%,115%,BF516) + IF(BG516&gt;=115%,115%,BG516) + IF(BH516&gt;=115%,115%,BH516)))/_xlfn.XLOOKUP(F516,Apuração!A:A,Apuração!B:B)))</f>
        <v>0.5</v>
      </c>
      <c r="BL516" s="58" cm="1">
        <f t="array" aca="1" ref="BL516" ca="1">IF(SUM(IFERROR(IF(INDEX(AW516:INDEX(AW516:BH516, MATCH(2, 1/(AW516:BH516&lt;&gt;""), 1)-1), ROW(INDIRECT("1:" &amp; MATCH(2, 1/(AW516:BH516&lt;&gt;""), 1)-1))) &gt;= 115%, 115%, INDEX(AW516:INDEX(AW516:BH516, MATCH(2, 1/(AW516:BH516&lt;&gt;""), 1)-1), ROW(INDIRECT("1:" &amp; MATCH(2, 1/(AW516:BH516&lt;&gt;""), 1)-1)))), 0))/_xlfn.XLOOKUP(F516,Apuração!A:A,Apuração!B:B)&gt;=1.15,1.15,SUM(IFERROR(IF(INDEX(AW516:INDEX(AW516:BH516, MATCH(2, 1/(AW516:BH516&lt;&gt;""), 1)-1), ROW(INDIRECT("1:" &amp; MATCH(2, 1/(AW516:BH516&lt;&gt;""), 1)-1))) &gt;= 115%, 115%, INDEX(AW516:INDEX(AW516:BH516, MATCH(2, 1/(AW516:BH516&lt;&gt;""), 1)-1), ROW(INDIRECT("1:" &amp; MATCH(2, 1/(AW516:BH516&lt;&gt;""), 1)-1)))), 0))/_xlfn.XLOOKUP(F516,Apuração!A:A,Apuração!B:B))</f>
        <v>0.25</v>
      </c>
      <c r="BM516" s="55" cm="1">
        <f t="array" ref="BM516">IFERROR(
   INDEX($AW$1:$BH$1,
      _xlfn.AGGREGATE(14, 6, COLUMN($AW$1:$BH$1)/(AW516:BH516&lt;&gt;""), 2) - COLUMN($AW$1) + 1
   ),
"")</f>
        <v>46113</v>
      </c>
      <c r="BN516" s="55" cm="1">
        <f t="array" ref="BN516">IFERROR(INDEX($AW$1:$BH$1,1,MATCH(2,1/(AW516:BH516&lt;&gt;""))),"")</f>
        <v>46143</v>
      </c>
      <c r="BO516" s="53">
        <f>IFERROR(_xlfn.XLOOKUP(F516,Apuração!A:A,Apuração!C:C)/_xlfn.XLOOKUP(F516,Apuração!A:A,Apuração!B:B),0)</f>
        <v>0.5</v>
      </c>
      <c r="BP516" s="53">
        <f ca="1">IFERROR(_xlfn.XLOOKUP(F516,Apuração!A:A,Apuração!D:D)/_xlfn.XLOOKUP(F516,Apuração!A:A,Apuração!B:B),0)</f>
        <v>0.25</v>
      </c>
      <c r="BQ516" s="53">
        <f>IF(BK516&gt;=BO516,0,_xlfn.XLOOKUP(F516,Apuração!A:A,Apuração!B:B)*(BO516 + (1/_xlfn.XLOOKUP(F516,Apuração!A:A,Apuração!B:B)) - BK516))</f>
        <v>0</v>
      </c>
      <c r="BR516" s="85">
        <f t="shared" si="841"/>
        <v>0</v>
      </c>
      <c r="BS516" s="53">
        <f>IFERROR((_xlfn.XLOOKUP(F516,Apuração!A:A,Apuração!C:C)+1)/_xlfn.XLOOKUP(F516,Apuração!A:A,Apuração!B:B),0)</f>
        <v>0.75</v>
      </c>
    </row>
    <row r="517" spans="1:71" ht="25.95" hidden="1" customHeight="1" x14ac:dyDescent="0.3">
      <c r="A517" s="40" t="s">
        <v>87</v>
      </c>
      <c r="B517" s="4" t="s">
        <v>222</v>
      </c>
      <c r="C517" s="5" t="s">
        <v>95</v>
      </c>
      <c r="D517" s="5" t="s">
        <v>36</v>
      </c>
      <c r="E517" s="4" t="str" cm="1">
        <f t="array" ref="E517">_xlfn.IFS(
F517 = "A partir de Abril", "Aguardando Execução na Distribuidora",
A517 = "CAPACITAÇÃO", "Em execução no Corporativo",
TRUE, "Em Execução na Distribuidora"
)</f>
        <v>Em Execução na Distribuidora</v>
      </c>
      <c r="F517" s="4" t="s">
        <v>226</v>
      </c>
      <c r="G517" s="7" t="s">
        <v>37</v>
      </c>
      <c r="H517" s="7" t="s">
        <v>38</v>
      </c>
      <c r="I517" s="8" t="s">
        <v>148</v>
      </c>
      <c r="J517" s="21" t="str" cm="1">
        <f t="array" aca="1" ref="J517" ca="1">_xlfn.LET(
  _xlpm.actual_value_month, INDEX(T517:AE517, MATCH(DATE(YEAR(TODAY()), MONTH(TODAY()), 1), $T$1:$AE$1, 0)),
  IF(_xlpm.actual_value_month &lt;&gt; "",_xlpm.actual_value_month &amp; " ações mensais", "")
)</f>
        <v/>
      </c>
      <c r="K517" s="8" t="str" cm="1">
        <f t="array" ref="K517">_xlfn.LET(
    _xlpm.sum_month, SUM(T517:AE517),
    IF(_xlpm.sum_month = 0, "", _xlpm.sum_month &amp; " NC's no ano")
)</f>
        <v/>
      </c>
      <c r="L517" s="9" t="s">
        <v>149</v>
      </c>
      <c r="M517" s="4"/>
      <c r="N517" s="5" t="s">
        <v>51</v>
      </c>
      <c r="O517" s="5" t="s">
        <v>52</v>
      </c>
      <c r="P517" s="10" t="s">
        <v>44</v>
      </c>
      <c r="Q517" s="10" t="s">
        <v>44</v>
      </c>
      <c r="R517" s="11" t="s">
        <v>44</v>
      </c>
      <c r="S517" s="11" t="s">
        <v>44</v>
      </c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G517" s="71">
        <v>52</v>
      </c>
      <c r="AH517" s="71">
        <v>0</v>
      </c>
      <c r="AI517" s="71">
        <v>0</v>
      </c>
      <c r="AJ517" s="71">
        <v>0</v>
      </c>
      <c r="AK517" s="71">
        <v>48</v>
      </c>
      <c r="AL517" s="71"/>
      <c r="AM517" s="71"/>
      <c r="AN517" s="71"/>
      <c r="AO517" s="71"/>
      <c r="AP517" s="71"/>
      <c r="AQ517" s="71"/>
      <c r="AR517" s="71"/>
      <c r="AS517" s="94">
        <f t="shared" ca="1" si="853"/>
        <v>0</v>
      </c>
      <c r="AT517" s="95">
        <f>SUM(AG517:AR517)</f>
        <v>100</v>
      </c>
      <c r="AU517" s="97">
        <f t="shared" si="854"/>
        <v>100</v>
      </c>
      <c r="AW517" s="83">
        <f>AG517</f>
        <v>52</v>
      </c>
      <c r="AX517" s="83">
        <f t="shared" ref="AX517:AX527" si="867">AH517</f>
        <v>0</v>
      </c>
      <c r="AY517" s="83">
        <f t="shared" ref="AY517:AY527" si="868">AI517</f>
        <v>0</v>
      </c>
      <c r="AZ517" s="83">
        <f t="shared" ref="AZ517:BA527" si="869">AJ517</f>
        <v>0</v>
      </c>
      <c r="BA517" s="83">
        <f t="shared" si="869"/>
        <v>48</v>
      </c>
      <c r="BB517" s="52"/>
      <c r="BC517" s="52"/>
      <c r="BD517" s="52"/>
      <c r="BE517" s="52"/>
      <c r="BF517" s="52"/>
      <c r="BG517" s="52"/>
      <c r="BH517" s="52"/>
      <c r="BI517" s="68" cm="1">
        <f t="array" ref="BI517">IFERROR(INDEX(AW517:BH517,1,MATCH(2,1/(AW517:BH517&lt;&gt;""))),"")</f>
        <v>48</v>
      </c>
      <c r="BJ517" s="68" cm="1">
        <f t="array" ref="BJ517">IF(BM517 = "", "",IFERROR(INDEX(AW517:BH517,1,MATCH(2,1/(AW517:BH517&lt;&gt;""),1)-1),""))</f>
        <v>0</v>
      </c>
      <c r="BK517" s="59">
        <f>SUM(AW517:BH517)</f>
        <v>100</v>
      </c>
      <c r="BL517" s="59" cm="1">
        <f t="array" ref="BL517">IFERROR(SUM(AW517:INDEX(AW517:BH517, MATCH(2, 1/(AW517:BH517&lt;&gt;""), 1) - 1))/_xlfn.XLOOKUP(F517,Apuração!A:A,Apuração!B:B),0)</f>
        <v>13</v>
      </c>
      <c r="BM517" s="55" cm="1">
        <f t="array" ref="BM517">IFERROR(
   INDEX($AW$1:$BH$1,
      _xlfn.AGGREGATE(14, 6, COLUMN($AW$1:$BH$1)/(AW517:BH517&lt;&gt;""), 2) - COLUMN($AW$1) + 1
   ),
"")</f>
        <v>46113</v>
      </c>
      <c r="BN517" s="55" cm="1">
        <f t="array" ref="BN517">IFERROR(INDEX($AW$1:$BH$1,1,MATCH(2,1/(AW517:BH517&lt;&gt;""))),"")</f>
        <v>46143</v>
      </c>
      <c r="BO517" s="53">
        <f>IFERROR(_xlfn.XLOOKUP(F517,Apuração!A:A,Apuração!C:C)/_xlfn.XLOOKUP(F517,Apuração!A:A,Apuração!B:B),0)</f>
        <v>0.5</v>
      </c>
      <c r="BP517" s="53">
        <f ca="1">IFERROR(_xlfn.XLOOKUP(F517,Apuração!A:A,Apuração!D:D)/_xlfn.XLOOKUP(F517,Apuração!A:A,Apuração!B:B),0)</f>
        <v>0.25</v>
      </c>
      <c r="BQ517" s="53">
        <f>IF(BK517&gt;=BO517,0,_xlfn.XLOOKUP(F517,Apuração!A:A,Apuração!B:B)*(BO517 + (1/_xlfn.XLOOKUP(F517,Apuração!A:A,Apuração!B:B)) - BK517))</f>
        <v>0</v>
      </c>
      <c r="BR517" s="85">
        <f t="shared" si="841"/>
        <v>0</v>
      </c>
      <c r="BS517" s="53">
        <f>IFERROR((_xlfn.XLOOKUP(F517,Apuração!A:A,Apuração!C:C)+1)/_xlfn.XLOOKUP(F517,Apuração!A:A,Apuração!B:B),0)</f>
        <v>0.75</v>
      </c>
    </row>
    <row r="518" spans="1:71" ht="25.95" hidden="1" customHeight="1" x14ac:dyDescent="0.3">
      <c r="A518" s="40" t="s">
        <v>87</v>
      </c>
      <c r="B518" s="4" t="s">
        <v>88</v>
      </c>
      <c r="C518" s="5" t="s">
        <v>97</v>
      </c>
      <c r="D518" s="5" t="s">
        <v>98</v>
      </c>
      <c r="E518" s="4" t="s">
        <v>96</v>
      </c>
      <c r="F518" s="4" t="str" cm="1">
        <f t="array" ref="F518">_xlfn.IFS(
AG518 &lt;&gt; "", "Jan-Dez/26",
AH518 &lt;&gt; "", "Fev-Dez/26",
AI518 &lt;&gt; "", "Mar-Dez/26", AJ518 &lt;&gt; "", "Abr-Dez/26",
TRUE, "A partir de Junho"
)</f>
        <v>A partir de Junho</v>
      </c>
      <c r="G518" s="4" t="s">
        <v>62</v>
      </c>
      <c r="H518" s="7" t="s">
        <v>38</v>
      </c>
      <c r="I518" s="9" t="s">
        <v>93</v>
      </c>
      <c r="J518" s="21" t="str" cm="1">
        <f t="array" aca="1" ref="J518" ca="1">_xlfn.LET(
  _xlpm.actual_value_month, INDEX(T518:AE518, MATCH(DATE(YEAR(TODAY()), MONTH(TODAY()), 1), $T$1:$AE$1, 0)),
  IF(_xlpm.actual_value_month &lt;&gt; "",_xlpm.actual_value_month &amp; " ações mensais", "")
)</f>
        <v/>
      </c>
      <c r="K518" s="8" t="str" cm="1">
        <f t="array" ref="K518">_xlfn.LET(
    _xlpm.sum_month, SUM(T518:AE518),
    IF(_xlpm.sum_month = 0, "", _xlpm.sum_month &amp; " certificados gerados no ano")
)</f>
        <v/>
      </c>
      <c r="L518" s="4" t="s">
        <v>94</v>
      </c>
      <c r="M518" s="19"/>
      <c r="N518" s="5" t="s">
        <v>51</v>
      </c>
      <c r="O518" s="5"/>
      <c r="P518" s="10"/>
      <c r="Q518" s="10"/>
      <c r="R518" s="10"/>
      <c r="S518" s="10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G518" s="71"/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  <c r="AR518" s="71"/>
      <c r="AS518" s="94">
        <f t="shared" ref="AS518:AS527" ca="1" si="870">AE518*BO518</f>
        <v>0</v>
      </c>
      <c r="AT518" s="95" t="str" cm="1">
        <f t="array" ref="AT518">IFERROR(INDEX(AJ518:AR518,1,MATCH(2,1/(AJ518:AR518&lt;&gt;""))),"")</f>
        <v/>
      </c>
      <c r="AU518" s="97" t="str">
        <f t="shared" ref="AU518:AU527" si="871">AT518</f>
        <v/>
      </c>
      <c r="AW518" s="83">
        <f t="shared" ref="AW518:AW527" si="872">AG518</f>
        <v>0</v>
      </c>
      <c r="AX518" s="83">
        <f t="shared" si="867"/>
        <v>0</v>
      </c>
      <c r="AY518" s="83">
        <f t="shared" si="868"/>
        <v>0</v>
      </c>
      <c r="AZ518" s="83">
        <f t="shared" si="869"/>
        <v>0</v>
      </c>
      <c r="BA518" s="51"/>
      <c r="BB518" s="51"/>
      <c r="BC518" s="51"/>
      <c r="BD518" s="51"/>
      <c r="BE518" s="51"/>
      <c r="BF518" s="51"/>
      <c r="BG518" s="51"/>
      <c r="BH518" s="51"/>
      <c r="BI518" s="65" cm="1">
        <f t="array" ref="BI518">IFERROR(INDEX(AW518:BH518,1,MATCH(2,1/(AW518:BH518&lt;&gt;""))),"")</f>
        <v>0</v>
      </c>
      <c r="BJ518" s="68" cm="1">
        <f t="array" ref="BJ518">IF(BM518 = "", "",IFERROR(INDEX(AW518:BH518,1,MATCH(2,1/(AW518:BH518&lt;&gt;""),1)-1),""))</f>
        <v>0</v>
      </c>
      <c r="BK518" s="58">
        <f>IF((IF(AW518&gt;=115%,115%,AW518) + IF(AX518&gt;=115%,115%,AX518) + IF(AY518&gt;=115%,115%,AY518) + (IF(AZ518&gt;=115%,115%,AZ518) + IF(BA518&gt;=115%,115%,BA518) + IF(BB518&gt;=115%,115%,BB518) + IF(BC518&gt;=115%,115%,BC518) + IF(BD518&gt;=115%,115%,BD518) + IF(BE518&gt;=115%,115%,BE518) + IF(BF518&gt;=115%,115%,BF518) + IF(BG518&gt;=115%,115%,BG518) + IF(BH518&gt;=115%,115%,BH518)))/_xlfn.XLOOKUP(F518,Apuração!A:A,Apuração!B:B)&gt;=1.15,1.15,((IF(AZ518&gt;=115%,115%,AZ518) + IF(AX518&gt;=115%,115%,AX518) + IF(AY518&gt;=115%,115%,AY518) + (IF(AW518&gt;=115%,115%,AW518) + IF(BA518&gt;=115%,115%,BA518) + IF(BB518&gt;=115%,115%,BB518) + IF(BC518&gt;=115%,115%,BC518) + IF(BD518&gt;=115%,115%,BD518) + IF(BE518&gt;=115%,115%,BE518) + IF(BF518&gt;=115%,115%,BF518) + IF(BG518&gt;=115%,115%,BG518) + IF(BH518&gt;=115%,115%,BH518)))/_xlfn.XLOOKUP(F518,Apuração!A:A,Apuração!B:B)))</f>
        <v>0</v>
      </c>
      <c r="BL518" s="58" cm="1">
        <f t="array" aca="1" ref="BL518" ca="1">IF(SUM(IFERROR(IF(INDEX(AW518:INDEX(AW518:BH518, MATCH(2, 1/(AW518:BH518&lt;&gt;""), 1)-1), ROW(INDIRECT("1:" &amp; MATCH(2, 1/(AW518:BH518&lt;&gt;""), 1)-1))) &gt;= 115%, 115%, INDEX(AW518:INDEX(AW518:BH518, MATCH(2, 1/(AW518:BH518&lt;&gt;""), 1)-1), ROW(INDIRECT("1:" &amp; MATCH(2, 1/(AW518:BH518&lt;&gt;""), 1)-1)))), 0))/_xlfn.XLOOKUP(F518,Apuração!A:A,Apuração!B:B)&gt;=1.15,1.15,SUM(IFERROR(IF(INDEX(AW518:INDEX(AW518:BH518, MATCH(2, 1/(AW518:BH518&lt;&gt;""), 1)-1), ROW(INDIRECT("1:" &amp; MATCH(2, 1/(AW518:BH518&lt;&gt;""), 1)-1))) &gt;= 115%, 115%, INDEX(AW518:INDEX(AW518:BH518, MATCH(2, 1/(AW518:BH518&lt;&gt;""), 1)-1), ROW(INDIRECT("1:" &amp; MATCH(2, 1/(AW518:BH518&lt;&gt;""), 1)-1)))), 0))/_xlfn.XLOOKUP(F518,Apuração!A:A,Apuração!B:B))</f>
        <v>0</v>
      </c>
      <c r="BM518" s="55" cm="1">
        <f t="array" ref="BM518">IFERROR(
   INDEX($AW$1:$BH$1,
      _xlfn.AGGREGATE(14, 6, COLUMN($AW$1:$BH$1)/(AW518:BH518&lt;&gt;""), 2) - COLUMN($AW$1) + 1
   ),
"")</f>
        <v>46082</v>
      </c>
      <c r="BN518" s="55" cm="1">
        <f t="array" ref="BN518">IFERROR(INDEX($AW$1:$BH$1,1,MATCH(2,1/(AW518:BH518&lt;&gt;""))),"")</f>
        <v>46113</v>
      </c>
      <c r="BO518" s="53">
        <f ca="1">IFERROR(_xlfn.XLOOKUP(F518,Apuração!A:A,Apuração!C:C)/_xlfn.XLOOKUP(F518,Apuração!A:A,Apuração!B:B),0)</f>
        <v>0</v>
      </c>
      <c r="BP518" s="53">
        <f ca="1">IFERROR(_xlfn.XLOOKUP(F518,Apuração!A:A,Apuração!D:D)/_xlfn.XLOOKUP(F518,Apuração!A:A,Apuração!B:B),0)</f>
        <v>0</v>
      </c>
      <c r="BQ518" s="53">
        <f ca="1">IF(BK518&gt;=BO518,0,_xlfn.XLOOKUP(F518,Apuração!A:A,Apuração!B:B)*(BO518 + (1/_xlfn.XLOOKUP(F518,Apuração!A:A,Apuração!B:B)) - BK518))</f>
        <v>0</v>
      </c>
      <c r="BR518" s="85">
        <f t="shared" ca="1" si="841"/>
        <v>0</v>
      </c>
      <c r="BS518" s="53">
        <f ca="1">IFERROR((_xlfn.XLOOKUP(F518,Apuração!A:A,Apuração!C:C)+1)/_xlfn.XLOOKUP(F518,Apuração!A:A,Apuração!B:B),0)</f>
        <v>0.14285714285714285</v>
      </c>
    </row>
    <row r="519" spans="1:71" ht="25.95" hidden="1" customHeight="1" x14ac:dyDescent="0.3">
      <c r="A519" s="40" t="s">
        <v>87</v>
      </c>
      <c r="B519" s="4" t="s">
        <v>88</v>
      </c>
      <c r="C519" s="5" t="s">
        <v>97</v>
      </c>
      <c r="D519" s="5" t="s">
        <v>99</v>
      </c>
      <c r="E519" s="4" t="s">
        <v>96</v>
      </c>
      <c r="F519" s="4" t="str" cm="1">
        <f t="array" ref="F519">_xlfn.IFS(
AG519 &lt;&gt; "", "Jan-Dez/26",
AH519 &lt;&gt; "", "Fev-Dez/26",
AI519 &lt;&gt; "", "Mar-Dez/26", AJ519 &lt;&gt; "", "Abr-Dez/26",
TRUE, "A partir de Junho"
)</f>
        <v>A partir de Junho</v>
      </c>
      <c r="G519" s="4" t="s">
        <v>62</v>
      </c>
      <c r="H519" s="7" t="s">
        <v>38</v>
      </c>
      <c r="I519" s="9" t="s">
        <v>93</v>
      </c>
      <c r="J519" s="21" t="str" cm="1">
        <f t="array" aca="1" ref="J519" ca="1">_xlfn.LET(
  _xlpm.actual_value_month, INDEX(T519:AE519, MATCH(DATE(YEAR(TODAY()), MONTH(TODAY()), 1), $T$1:$AE$1, 0)),
  IF(_xlpm.actual_value_month &lt;&gt; "",_xlpm.actual_value_month &amp; " ações mensais", "")
)</f>
        <v/>
      </c>
      <c r="K519" s="8" t="str" cm="1">
        <f t="array" ref="K519">_xlfn.LET(
    _xlpm.sum_month, SUM(T519:AE519),
    IF(_xlpm.sum_month = 0, "", _xlpm.sum_month &amp; " certificados gerados no ano")
)</f>
        <v/>
      </c>
      <c r="L519" s="4" t="s">
        <v>94</v>
      </c>
      <c r="M519" s="19"/>
      <c r="N519" s="5" t="s">
        <v>51</v>
      </c>
      <c r="O519" s="5"/>
      <c r="P519" s="10"/>
      <c r="Q519" s="10"/>
      <c r="R519" s="10"/>
      <c r="S519" s="10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G519" s="71"/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  <c r="AR519" s="71"/>
      <c r="AS519" s="94">
        <f t="shared" ca="1" si="870"/>
        <v>0</v>
      </c>
      <c r="AT519" s="95" t="str" cm="1">
        <f t="array" ref="AT519">IFERROR(INDEX(AJ519:AR519,1,MATCH(2,1/(AJ519:AR519&lt;&gt;""))),"")</f>
        <v/>
      </c>
      <c r="AU519" s="97" t="str">
        <f t="shared" si="871"/>
        <v/>
      </c>
      <c r="AW519" s="83">
        <f t="shared" si="872"/>
        <v>0</v>
      </c>
      <c r="AX519" s="83">
        <f t="shared" si="867"/>
        <v>0</v>
      </c>
      <c r="AY519" s="83">
        <f t="shared" si="868"/>
        <v>0</v>
      </c>
      <c r="AZ519" s="83">
        <f t="shared" si="869"/>
        <v>0</v>
      </c>
      <c r="BA519" s="51"/>
      <c r="BB519" s="51"/>
      <c r="BC519" s="51"/>
      <c r="BD519" s="51"/>
      <c r="BE519" s="51"/>
      <c r="BF519" s="51"/>
      <c r="BG519" s="51"/>
      <c r="BH519" s="51"/>
      <c r="BI519" s="65" cm="1">
        <f t="array" ref="BI519">IFERROR(INDEX(AW519:BH519,1,MATCH(2,1/(AW519:BH519&lt;&gt;""))),"")</f>
        <v>0</v>
      </c>
      <c r="BJ519" s="68" cm="1">
        <f t="array" ref="BJ519">IF(BM519 = "", "",IFERROR(INDEX(AW519:BH519,1,MATCH(2,1/(AW519:BH519&lt;&gt;""),1)-1),""))</f>
        <v>0</v>
      </c>
      <c r="BK519" s="58">
        <f>IF((IF(AW519&gt;=115%,115%,AW519) + IF(AX519&gt;=115%,115%,AX519) + IF(AY519&gt;=115%,115%,AY519) + (IF(AZ519&gt;=115%,115%,AZ519) + IF(BA519&gt;=115%,115%,BA519) + IF(BB519&gt;=115%,115%,BB519) + IF(BC519&gt;=115%,115%,BC519) + IF(BD519&gt;=115%,115%,BD519) + IF(BE519&gt;=115%,115%,BE519) + IF(BF519&gt;=115%,115%,BF519) + IF(BG519&gt;=115%,115%,BG519) + IF(BH519&gt;=115%,115%,BH519)))/_xlfn.XLOOKUP(F519,Apuração!A:A,Apuração!B:B)&gt;=1.15,1.15,((IF(AZ519&gt;=115%,115%,AZ519) + IF(AX519&gt;=115%,115%,AX519) + IF(AY519&gt;=115%,115%,AY519) + (IF(AW519&gt;=115%,115%,AW519) + IF(BA519&gt;=115%,115%,BA519) + IF(BB519&gt;=115%,115%,BB519) + IF(BC519&gt;=115%,115%,BC519) + IF(BD519&gt;=115%,115%,BD519) + IF(BE519&gt;=115%,115%,BE519) + IF(BF519&gt;=115%,115%,BF519) + IF(BG519&gt;=115%,115%,BG519) + IF(BH519&gt;=115%,115%,BH519)))/_xlfn.XLOOKUP(F519,Apuração!A:A,Apuração!B:B)))</f>
        <v>0</v>
      </c>
      <c r="BL519" s="58" cm="1">
        <f t="array" aca="1" ref="BL519" ca="1">IF(SUM(IFERROR(IF(INDEX(AW519:INDEX(AW519:BH519, MATCH(2, 1/(AW519:BH519&lt;&gt;""), 1)-1), ROW(INDIRECT("1:" &amp; MATCH(2, 1/(AW519:BH519&lt;&gt;""), 1)-1))) &gt;= 115%, 115%, INDEX(AW519:INDEX(AW519:BH519, MATCH(2, 1/(AW519:BH519&lt;&gt;""), 1)-1), ROW(INDIRECT("1:" &amp; MATCH(2, 1/(AW519:BH519&lt;&gt;""), 1)-1)))), 0))/_xlfn.XLOOKUP(F519,Apuração!A:A,Apuração!B:B)&gt;=1.15,1.15,SUM(IFERROR(IF(INDEX(AW519:INDEX(AW519:BH519, MATCH(2, 1/(AW519:BH519&lt;&gt;""), 1)-1), ROW(INDIRECT("1:" &amp; MATCH(2, 1/(AW519:BH519&lt;&gt;""), 1)-1))) &gt;= 115%, 115%, INDEX(AW519:INDEX(AW519:BH519, MATCH(2, 1/(AW519:BH519&lt;&gt;""), 1)-1), ROW(INDIRECT("1:" &amp; MATCH(2, 1/(AW519:BH519&lt;&gt;""), 1)-1)))), 0))/_xlfn.XLOOKUP(F519,Apuração!A:A,Apuração!B:B))</f>
        <v>0</v>
      </c>
      <c r="BM519" s="55" cm="1">
        <f t="array" ref="BM519">IFERROR(
   INDEX($AW$1:$BH$1,
      _xlfn.AGGREGATE(14, 6, COLUMN($AW$1:$BH$1)/(AW519:BH519&lt;&gt;""), 2) - COLUMN($AW$1) + 1
   ),
"")</f>
        <v>46082</v>
      </c>
      <c r="BN519" s="55" cm="1">
        <f t="array" ref="BN519">IFERROR(INDEX($AW$1:$BH$1,1,MATCH(2,1/(AW519:BH519&lt;&gt;""))),"")</f>
        <v>46113</v>
      </c>
      <c r="BO519" s="53">
        <f ca="1">IFERROR(_xlfn.XLOOKUP(F519,Apuração!A:A,Apuração!C:C)/_xlfn.XLOOKUP(F519,Apuração!A:A,Apuração!B:B),0)</f>
        <v>0</v>
      </c>
      <c r="BP519" s="53">
        <f ca="1">IFERROR(_xlfn.XLOOKUP(F519,Apuração!A:A,Apuração!D:D)/_xlfn.XLOOKUP(F519,Apuração!A:A,Apuração!B:B),0)</f>
        <v>0</v>
      </c>
      <c r="BQ519" s="53">
        <f ca="1">IF(BK519&gt;=BO519,0,_xlfn.XLOOKUP(F519,Apuração!A:A,Apuração!B:B)*(BO519 + (1/_xlfn.XLOOKUP(F519,Apuração!A:A,Apuração!B:B)) - BK519))</f>
        <v>0</v>
      </c>
      <c r="BR519" s="85">
        <f t="shared" ca="1" si="841"/>
        <v>0</v>
      </c>
      <c r="BS519" s="53">
        <f ca="1">IFERROR((_xlfn.XLOOKUP(F519,Apuração!A:A,Apuração!C:C)+1)/_xlfn.XLOOKUP(F519,Apuração!A:A,Apuração!B:B),0)</f>
        <v>0.14285714285714285</v>
      </c>
    </row>
    <row r="520" spans="1:71" ht="25.95" hidden="1" customHeight="1" x14ac:dyDescent="0.3">
      <c r="A520" s="40" t="s">
        <v>87</v>
      </c>
      <c r="B520" s="4" t="s">
        <v>88</v>
      </c>
      <c r="C520" s="5" t="s">
        <v>97</v>
      </c>
      <c r="D520" s="5" t="s">
        <v>100</v>
      </c>
      <c r="E520" s="4" t="s">
        <v>96</v>
      </c>
      <c r="F520" s="4" t="str" cm="1">
        <f t="array" ref="F520">_xlfn.IFS(
AG520 &lt;&gt; "", "Jan-Dez/26",
AH520 &lt;&gt; "", "Fev-Dez/26",
AI520 &lt;&gt; "", "Mar-Dez/26", AJ520 &lt;&gt; "", "Abr-Dez/26",
TRUE, "A partir de Junho"
)</f>
        <v>A partir de Junho</v>
      </c>
      <c r="G520" s="4" t="s">
        <v>62</v>
      </c>
      <c r="H520" s="7" t="s">
        <v>38</v>
      </c>
      <c r="I520" s="9" t="s">
        <v>93</v>
      </c>
      <c r="J520" s="21" t="str" cm="1">
        <f t="array" aca="1" ref="J520" ca="1">_xlfn.LET(
  _xlpm.actual_value_month, INDEX(T520:AE520, MATCH(DATE(YEAR(TODAY()), MONTH(TODAY()), 1), $T$1:$AE$1, 0)),
  IF(_xlpm.actual_value_month &lt;&gt; "",_xlpm.actual_value_month &amp; " ações mensais", "")
)</f>
        <v/>
      </c>
      <c r="K520" s="8" t="str" cm="1">
        <f t="array" ref="K520">_xlfn.LET(
    _xlpm.sum_month, SUM(T520:AE520),
    IF(_xlpm.sum_month = 0, "", _xlpm.sum_month &amp; " certificados gerados no ano")
)</f>
        <v/>
      </c>
      <c r="L520" s="4" t="s">
        <v>94</v>
      </c>
      <c r="M520" s="19"/>
      <c r="N520" s="5" t="s">
        <v>51</v>
      </c>
      <c r="O520" s="5"/>
      <c r="P520" s="10"/>
      <c r="Q520" s="10"/>
      <c r="R520" s="10"/>
      <c r="S520" s="10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G520" s="71"/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  <c r="AR520" s="71"/>
      <c r="AS520" s="94">
        <f t="shared" ca="1" si="870"/>
        <v>0</v>
      </c>
      <c r="AT520" s="95" t="str" cm="1">
        <f t="array" ref="AT520">IFERROR(INDEX(AJ520:AR520,1,MATCH(2,1/(AJ520:AR520&lt;&gt;""))),"")</f>
        <v/>
      </c>
      <c r="AU520" s="97" t="str">
        <f t="shared" si="871"/>
        <v/>
      </c>
      <c r="AW520" s="83">
        <f t="shared" si="872"/>
        <v>0</v>
      </c>
      <c r="AX520" s="83">
        <f t="shared" si="867"/>
        <v>0</v>
      </c>
      <c r="AY520" s="83">
        <f t="shared" si="868"/>
        <v>0</v>
      </c>
      <c r="AZ520" s="83">
        <f t="shared" si="869"/>
        <v>0</v>
      </c>
      <c r="BA520" s="51"/>
      <c r="BB520" s="51"/>
      <c r="BC520" s="51"/>
      <c r="BD520" s="51"/>
      <c r="BE520" s="51"/>
      <c r="BF520" s="51"/>
      <c r="BG520" s="51"/>
      <c r="BH520" s="51"/>
      <c r="BI520" s="65" cm="1">
        <f t="array" ref="BI520">IFERROR(INDEX(AW520:BH520,1,MATCH(2,1/(AW520:BH520&lt;&gt;""))),"")</f>
        <v>0</v>
      </c>
      <c r="BJ520" s="68" cm="1">
        <f t="array" ref="BJ520">IF(BM520 = "", "",IFERROR(INDEX(AW520:BH520,1,MATCH(2,1/(AW520:BH520&lt;&gt;""),1)-1),""))</f>
        <v>0</v>
      </c>
      <c r="BK520" s="58">
        <f>IF((IF(AW520&gt;=115%,115%,AW520) + IF(AX520&gt;=115%,115%,AX520) + IF(AY520&gt;=115%,115%,AY520) + (IF(AZ520&gt;=115%,115%,AZ520) + IF(BA520&gt;=115%,115%,BA520) + IF(BB520&gt;=115%,115%,BB520) + IF(BC520&gt;=115%,115%,BC520) + IF(BD520&gt;=115%,115%,BD520) + IF(BE520&gt;=115%,115%,BE520) + IF(BF520&gt;=115%,115%,BF520) + IF(BG520&gt;=115%,115%,BG520) + IF(BH520&gt;=115%,115%,BH520)))/_xlfn.XLOOKUP(F520,Apuração!A:A,Apuração!B:B)&gt;=1.15,1.15,((IF(AZ520&gt;=115%,115%,AZ520) + IF(AX520&gt;=115%,115%,AX520) + IF(AY520&gt;=115%,115%,AY520) + (IF(AW520&gt;=115%,115%,AW520) + IF(BA520&gt;=115%,115%,BA520) + IF(BB520&gt;=115%,115%,BB520) + IF(BC520&gt;=115%,115%,BC520) + IF(BD520&gt;=115%,115%,BD520) + IF(BE520&gt;=115%,115%,BE520) + IF(BF520&gt;=115%,115%,BF520) + IF(BG520&gt;=115%,115%,BG520) + IF(BH520&gt;=115%,115%,BH520)))/_xlfn.XLOOKUP(F520,Apuração!A:A,Apuração!B:B)))</f>
        <v>0</v>
      </c>
      <c r="BL520" s="58" cm="1">
        <f t="array" aca="1" ref="BL520" ca="1">IF(SUM(IFERROR(IF(INDEX(AW520:INDEX(AW520:BH520, MATCH(2, 1/(AW520:BH520&lt;&gt;""), 1)-1), ROW(INDIRECT("1:" &amp; MATCH(2, 1/(AW520:BH520&lt;&gt;""), 1)-1))) &gt;= 115%, 115%, INDEX(AW520:INDEX(AW520:BH520, MATCH(2, 1/(AW520:BH520&lt;&gt;""), 1)-1), ROW(INDIRECT("1:" &amp; MATCH(2, 1/(AW520:BH520&lt;&gt;""), 1)-1)))), 0))/_xlfn.XLOOKUP(F520,Apuração!A:A,Apuração!B:B)&gt;=1.15,1.15,SUM(IFERROR(IF(INDEX(AW520:INDEX(AW520:BH520, MATCH(2, 1/(AW520:BH520&lt;&gt;""), 1)-1), ROW(INDIRECT("1:" &amp; MATCH(2, 1/(AW520:BH520&lt;&gt;""), 1)-1))) &gt;= 115%, 115%, INDEX(AW520:INDEX(AW520:BH520, MATCH(2, 1/(AW520:BH520&lt;&gt;""), 1)-1), ROW(INDIRECT("1:" &amp; MATCH(2, 1/(AW520:BH520&lt;&gt;""), 1)-1)))), 0))/_xlfn.XLOOKUP(F520,Apuração!A:A,Apuração!B:B))</f>
        <v>0</v>
      </c>
      <c r="BM520" s="55" cm="1">
        <f t="array" ref="BM520">IFERROR(
   INDEX($AW$1:$BH$1,
      _xlfn.AGGREGATE(14, 6, COLUMN($AW$1:$BH$1)/(AW520:BH520&lt;&gt;""), 2) - COLUMN($AW$1) + 1
   ),
"")</f>
        <v>46082</v>
      </c>
      <c r="BN520" s="55" cm="1">
        <f t="array" ref="BN520">IFERROR(INDEX($AW$1:$BH$1,1,MATCH(2,1/(AW520:BH520&lt;&gt;""))),"")</f>
        <v>46113</v>
      </c>
      <c r="BO520" s="53">
        <f ca="1">IFERROR(_xlfn.XLOOKUP(F520,Apuração!A:A,Apuração!C:C)/_xlfn.XLOOKUP(F520,Apuração!A:A,Apuração!B:B),0)</f>
        <v>0</v>
      </c>
      <c r="BP520" s="53">
        <f ca="1">IFERROR(_xlfn.XLOOKUP(F520,Apuração!A:A,Apuração!D:D)/_xlfn.XLOOKUP(F520,Apuração!A:A,Apuração!B:B),0)</f>
        <v>0</v>
      </c>
      <c r="BQ520" s="53">
        <f ca="1">IF(BK520&gt;=BO520,0,_xlfn.XLOOKUP(F520,Apuração!A:A,Apuração!B:B)*(BO520 + (1/_xlfn.XLOOKUP(F520,Apuração!A:A,Apuração!B:B)) - BK520))</f>
        <v>0</v>
      </c>
      <c r="BR520" s="85">
        <f t="shared" ca="1" si="841"/>
        <v>0</v>
      </c>
      <c r="BS520" s="53">
        <f ca="1">IFERROR((_xlfn.XLOOKUP(F520,Apuração!A:A,Apuração!C:C)+1)/_xlfn.XLOOKUP(F520,Apuração!A:A,Apuração!B:B),0)</f>
        <v>0.14285714285714285</v>
      </c>
    </row>
    <row r="521" spans="1:71" ht="25.95" hidden="1" customHeight="1" x14ac:dyDescent="0.3">
      <c r="A521" s="40" t="s">
        <v>87</v>
      </c>
      <c r="B521" s="4" t="s">
        <v>88</v>
      </c>
      <c r="C521" s="5" t="s">
        <v>97</v>
      </c>
      <c r="D521" s="5" t="s">
        <v>101</v>
      </c>
      <c r="E521" s="4" t="s">
        <v>96</v>
      </c>
      <c r="F521" s="4" t="str" cm="1">
        <f t="array" ref="F521">_xlfn.IFS(
AG521 &lt;&gt; "", "Jan-Dez/26",
AH521 &lt;&gt; "", "Fev-Dez/26",
AI521 &lt;&gt; "", "Mar-Dez/26", AJ521 &lt;&gt; "", "Abr-Dez/26",
TRUE, "A partir de Junho"
)</f>
        <v>A partir de Junho</v>
      </c>
      <c r="G521" s="4" t="s">
        <v>62</v>
      </c>
      <c r="H521" s="7" t="s">
        <v>38</v>
      </c>
      <c r="I521" s="9" t="s">
        <v>93</v>
      </c>
      <c r="J521" s="21" t="str" cm="1">
        <f t="array" aca="1" ref="J521" ca="1">_xlfn.LET(
  _xlpm.actual_value_month, INDEX(T521:AE521, MATCH(DATE(YEAR(TODAY()), MONTH(TODAY()), 1), $T$1:$AE$1, 0)),
  IF(_xlpm.actual_value_month &lt;&gt; "",_xlpm.actual_value_month &amp; " ações mensais", "")
)</f>
        <v/>
      </c>
      <c r="K521" s="8" t="str" cm="1">
        <f t="array" ref="K521">_xlfn.LET(
    _xlpm.sum_month, SUM(T521:AE521),
    IF(_xlpm.sum_month = 0, "", _xlpm.sum_month &amp; " certificados gerados no ano")
)</f>
        <v/>
      </c>
      <c r="L521" s="4" t="s">
        <v>94</v>
      </c>
      <c r="M521" s="19"/>
      <c r="N521" s="5" t="s">
        <v>51</v>
      </c>
      <c r="O521" s="5"/>
      <c r="P521" s="10"/>
      <c r="Q521" s="10"/>
      <c r="R521" s="10"/>
      <c r="S521" s="10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G521" s="71"/>
      <c r="AH521" s="71"/>
      <c r="AI521" s="71"/>
      <c r="AJ521" s="71"/>
      <c r="AK521" s="71"/>
      <c r="AL521" s="71"/>
      <c r="AM521" s="71"/>
      <c r="AN521" s="71"/>
      <c r="AO521" s="71"/>
      <c r="AP521" s="71"/>
      <c r="AQ521" s="71"/>
      <c r="AR521" s="71"/>
      <c r="AS521" s="94">
        <f t="shared" ca="1" si="870"/>
        <v>0</v>
      </c>
      <c r="AT521" s="95" t="str" cm="1">
        <f t="array" ref="AT521">IFERROR(INDEX(AJ521:AR521,1,MATCH(2,1/(AJ521:AR521&lt;&gt;""))),"")</f>
        <v/>
      </c>
      <c r="AU521" s="97" t="str">
        <f t="shared" si="871"/>
        <v/>
      </c>
      <c r="AW521" s="83">
        <f t="shared" si="872"/>
        <v>0</v>
      </c>
      <c r="AX521" s="83">
        <f t="shared" si="867"/>
        <v>0</v>
      </c>
      <c r="AY521" s="83">
        <f t="shared" si="868"/>
        <v>0</v>
      </c>
      <c r="AZ521" s="83">
        <f t="shared" si="869"/>
        <v>0</v>
      </c>
      <c r="BA521" s="51"/>
      <c r="BB521" s="51"/>
      <c r="BC521" s="51"/>
      <c r="BD521" s="51"/>
      <c r="BE521" s="51"/>
      <c r="BF521" s="51"/>
      <c r="BG521" s="51"/>
      <c r="BH521" s="51"/>
      <c r="BI521" s="65" cm="1">
        <f t="array" ref="BI521">IFERROR(INDEX(AW521:BH521,1,MATCH(2,1/(AW521:BH521&lt;&gt;""))),"")</f>
        <v>0</v>
      </c>
      <c r="BJ521" s="68" cm="1">
        <f t="array" ref="BJ521">IF(BM521 = "", "",IFERROR(INDEX(AW521:BH521,1,MATCH(2,1/(AW521:BH521&lt;&gt;""),1)-1),""))</f>
        <v>0</v>
      </c>
      <c r="BK521" s="58">
        <f>IF((IF(AW521&gt;=115%,115%,AW521) + IF(AX521&gt;=115%,115%,AX521) + IF(AY521&gt;=115%,115%,AY521) + (IF(AZ521&gt;=115%,115%,AZ521) + IF(BA521&gt;=115%,115%,BA521) + IF(BB521&gt;=115%,115%,BB521) + IF(BC521&gt;=115%,115%,BC521) + IF(BD521&gt;=115%,115%,BD521) + IF(BE521&gt;=115%,115%,BE521) + IF(BF521&gt;=115%,115%,BF521) + IF(BG521&gt;=115%,115%,BG521) + IF(BH521&gt;=115%,115%,BH521)))/_xlfn.XLOOKUP(F521,Apuração!A:A,Apuração!B:B)&gt;=1.15,1.15,((IF(AZ521&gt;=115%,115%,AZ521) + IF(AX521&gt;=115%,115%,AX521) + IF(AY521&gt;=115%,115%,AY521) + (IF(AW521&gt;=115%,115%,AW521) + IF(BA521&gt;=115%,115%,BA521) + IF(BB521&gt;=115%,115%,BB521) + IF(BC521&gt;=115%,115%,BC521) + IF(BD521&gt;=115%,115%,BD521) + IF(BE521&gt;=115%,115%,BE521) + IF(BF521&gt;=115%,115%,BF521) + IF(BG521&gt;=115%,115%,BG521) + IF(BH521&gt;=115%,115%,BH521)))/_xlfn.XLOOKUP(F521,Apuração!A:A,Apuração!B:B)))</f>
        <v>0</v>
      </c>
      <c r="BL521" s="58" cm="1">
        <f t="array" aca="1" ref="BL521" ca="1">IF(SUM(IFERROR(IF(INDEX(AW521:INDEX(AW521:BH521, MATCH(2, 1/(AW521:BH521&lt;&gt;""), 1)-1), ROW(INDIRECT("1:" &amp; MATCH(2, 1/(AW521:BH521&lt;&gt;""), 1)-1))) &gt;= 115%, 115%, INDEX(AW521:INDEX(AW521:BH521, MATCH(2, 1/(AW521:BH521&lt;&gt;""), 1)-1), ROW(INDIRECT("1:" &amp; MATCH(2, 1/(AW521:BH521&lt;&gt;""), 1)-1)))), 0))/_xlfn.XLOOKUP(F521,Apuração!A:A,Apuração!B:B)&gt;=1.15,1.15,SUM(IFERROR(IF(INDEX(AW521:INDEX(AW521:BH521, MATCH(2, 1/(AW521:BH521&lt;&gt;""), 1)-1), ROW(INDIRECT("1:" &amp; MATCH(2, 1/(AW521:BH521&lt;&gt;""), 1)-1))) &gt;= 115%, 115%, INDEX(AW521:INDEX(AW521:BH521, MATCH(2, 1/(AW521:BH521&lt;&gt;""), 1)-1), ROW(INDIRECT("1:" &amp; MATCH(2, 1/(AW521:BH521&lt;&gt;""), 1)-1)))), 0))/_xlfn.XLOOKUP(F521,Apuração!A:A,Apuração!B:B))</f>
        <v>0</v>
      </c>
      <c r="BM521" s="55" cm="1">
        <f t="array" ref="BM521">IFERROR(
   INDEX($AW$1:$BH$1,
      _xlfn.AGGREGATE(14, 6, COLUMN($AW$1:$BH$1)/(AW521:BH521&lt;&gt;""), 2) - COLUMN($AW$1) + 1
   ),
"")</f>
        <v>46082</v>
      </c>
      <c r="BN521" s="55" cm="1">
        <f t="array" ref="BN521">IFERROR(INDEX($AW$1:$BH$1,1,MATCH(2,1/(AW521:BH521&lt;&gt;""))),"")</f>
        <v>46113</v>
      </c>
      <c r="BO521" s="53">
        <f ca="1">IFERROR(_xlfn.XLOOKUP(F521,Apuração!A:A,Apuração!C:C)/_xlfn.XLOOKUP(F521,Apuração!A:A,Apuração!B:B),0)</f>
        <v>0</v>
      </c>
      <c r="BP521" s="53">
        <f ca="1">IFERROR(_xlfn.XLOOKUP(F521,Apuração!A:A,Apuração!D:D)/_xlfn.XLOOKUP(F521,Apuração!A:A,Apuração!B:B),0)</f>
        <v>0</v>
      </c>
      <c r="BQ521" s="53">
        <f ca="1">IF(BK521&gt;=BO521,0,_xlfn.XLOOKUP(F521,Apuração!A:A,Apuração!B:B)*(BO521 + (1/_xlfn.XLOOKUP(F521,Apuração!A:A,Apuração!B:B)) - BK521))</f>
        <v>0</v>
      </c>
      <c r="BR521" s="85">
        <f t="shared" ca="1" si="841"/>
        <v>0</v>
      </c>
      <c r="BS521" s="53">
        <f ca="1">IFERROR((_xlfn.XLOOKUP(F521,Apuração!A:A,Apuração!C:C)+1)/_xlfn.XLOOKUP(F521,Apuração!A:A,Apuração!B:B),0)</f>
        <v>0.14285714285714285</v>
      </c>
    </row>
    <row r="522" spans="1:71" ht="25.95" hidden="1" customHeight="1" x14ac:dyDescent="0.3">
      <c r="A522" s="40" t="s">
        <v>87</v>
      </c>
      <c r="B522" s="4" t="s">
        <v>88</v>
      </c>
      <c r="C522" s="5" t="s">
        <v>97</v>
      </c>
      <c r="D522" s="5" t="s">
        <v>102</v>
      </c>
      <c r="E522" s="4" t="s">
        <v>96</v>
      </c>
      <c r="F522" s="4" t="str" cm="1">
        <f t="array" ref="F522">_xlfn.IFS(
AG522 &lt;&gt; "", "Jan-Dez/26",
AH522 &lt;&gt; "", "Fev-Dez/26",
AI522 &lt;&gt; "", "Mar-Dez/26", AJ522 &lt;&gt; "", "Abr-Dez/26",
TRUE, "A partir de Junho"
)</f>
        <v>A partir de Junho</v>
      </c>
      <c r="G522" s="4" t="s">
        <v>62</v>
      </c>
      <c r="H522" s="7" t="s">
        <v>38</v>
      </c>
      <c r="I522" s="9" t="s">
        <v>93</v>
      </c>
      <c r="J522" s="21" t="str" cm="1">
        <f t="array" aca="1" ref="J522" ca="1">_xlfn.LET(
  _xlpm.actual_value_month, INDEX(T522:AE522, MATCH(DATE(YEAR(TODAY()), MONTH(TODAY()), 1), $T$1:$AE$1, 0)),
  IF(_xlpm.actual_value_month &lt;&gt; "",_xlpm.actual_value_month &amp; " ações mensais", "")
)</f>
        <v/>
      </c>
      <c r="K522" s="8" t="str" cm="1">
        <f t="array" ref="K522">_xlfn.LET(
    _xlpm.sum_month, SUM(T522:AE522),
    IF(_xlpm.sum_month = 0, "", _xlpm.sum_month &amp; " certificados gerados no ano")
)</f>
        <v/>
      </c>
      <c r="L522" s="4" t="s">
        <v>94</v>
      </c>
      <c r="M522" s="19"/>
      <c r="N522" s="5" t="s">
        <v>51</v>
      </c>
      <c r="O522" s="5"/>
      <c r="P522" s="10"/>
      <c r="Q522" s="10"/>
      <c r="R522" s="10"/>
      <c r="S522" s="10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G522" s="71"/>
      <c r="AH522" s="71"/>
      <c r="AI522" s="71"/>
      <c r="AJ522" s="71"/>
      <c r="AK522" s="71"/>
      <c r="AL522" s="71"/>
      <c r="AM522" s="71"/>
      <c r="AN522" s="71"/>
      <c r="AO522" s="71"/>
      <c r="AP522" s="71"/>
      <c r="AQ522" s="71"/>
      <c r="AR522" s="71"/>
      <c r="AS522" s="94">
        <f t="shared" ca="1" si="870"/>
        <v>0</v>
      </c>
      <c r="AT522" s="95" t="str" cm="1">
        <f t="array" ref="AT522">IFERROR(INDEX(AJ522:AR522,1,MATCH(2,1/(AJ522:AR522&lt;&gt;""))),"")</f>
        <v/>
      </c>
      <c r="AU522" s="97" t="str">
        <f t="shared" si="871"/>
        <v/>
      </c>
      <c r="AW522" s="83">
        <f t="shared" si="872"/>
        <v>0</v>
      </c>
      <c r="AX522" s="83">
        <f t="shared" si="867"/>
        <v>0</v>
      </c>
      <c r="AY522" s="83">
        <f t="shared" si="868"/>
        <v>0</v>
      </c>
      <c r="AZ522" s="83">
        <f t="shared" si="869"/>
        <v>0</v>
      </c>
      <c r="BA522" s="51"/>
      <c r="BB522" s="51"/>
      <c r="BC522" s="51"/>
      <c r="BD522" s="51"/>
      <c r="BE522" s="51"/>
      <c r="BF522" s="51"/>
      <c r="BG522" s="51"/>
      <c r="BH522" s="51"/>
      <c r="BI522" s="65" cm="1">
        <f t="array" ref="BI522">IFERROR(INDEX(AW522:BH522,1,MATCH(2,1/(AW522:BH522&lt;&gt;""))),"")</f>
        <v>0</v>
      </c>
      <c r="BJ522" s="68" cm="1">
        <f t="array" ref="BJ522">IF(BM522 = "", "",IFERROR(INDEX(AW522:BH522,1,MATCH(2,1/(AW522:BH522&lt;&gt;""),1)-1),""))</f>
        <v>0</v>
      </c>
      <c r="BK522" s="58">
        <f>IF((IF(AW522&gt;=115%,115%,AW522) + IF(AX522&gt;=115%,115%,AX522) + IF(AY522&gt;=115%,115%,AY522) + (IF(AZ522&gt;=115%,115%,AZ522) + IF(BA522&gt;=115%,115%,BA522) + IF(BB522&gt;=115%,115%,BB522) + IF(BC522&gt;=115%,115%,BC522) + IF(BD522&gt;=115%,115%,BD522) + IF(BE522&gt;=115%,115%,BE522) + IF(BF522&gt;=115%,115%,BF522) + IF(BG522&gt;=115%,115%,BG522) + IF(BH522&gt;=115%,115%,BH522)))/_xlfn.XLOOKUP(F522,Apuração!A:A,Apuração!B:B)&gt;=1.15,1.15,((IF(AZ522&gt;=115%,115%,AZ522) + IF(AX522&gt;=115%,115%,AX522) + IF(AY522&gt;=115%,115%,AY522) + (IF(AW522&gt;=115%,115%,AW522) + IF(BA522&gt;=115%,115%,BA522) + IF(BB522&gt;=115%,115%,BB522) + IF(BC522&gt;=115%,115%,BC522) + IF(BD522&gt;=115%,115%,BD522) + IF(BE522&gt;=115%,115%,BE522) + IF(BF522&gt;=115%,115%,BF522) + IF(BG522&gt;=115%,115%,BG522) + IF(BH522&gt;=115%,115%,BH522)))/_xlfn.XLOOKUP(F522,Apuração!A:A,Apuração!B:B)))</f>
        <v>0</v>
      </c>
      <c r="BL522" s="58" cm="1">
        <f t="array" aca="1" ref="BL522" ca="1">IF(SUM(IFERROR(IF(INDEX(AW522:INDEX(AW522:BH522, MATCH(2, 1/(AW522:BH522&lt;&gt;""), 1)-1), ROW(INDIRECT("1:" &amp; MATCH(2, 1/(AW522:BH522&lt;&gt;""), 1)-1))) &gt;= 115%, 115%, INDEX(AW522:INDEX(AW522:BH522, MATCH(2, 1/(AW522:BH522&lt;&gt;""), 1)-1), ROW(INDIRECT("1:" &amp; MATCH(2, 1/(AW522:BH522&lt;&gt;""), 1)-1)))), 0))/_xlfn.XLOOKUP(F522,Apuração!A:A,Apuração!B:B)&gt;=1.15,1.15,SUM(IFERROR(IF(INDEX(AW522:INDEX(AW522:BH522, MATCH(2, 1/(AW522:BH522&lt;&gt;""), 1)-1), ROW(INDIRECT("1:" &amp; MATCH(2, 1/(AW522:BH522&lt;&gt;""), 1)-1))) &gt;= 115%, 115%, INDEX(AW522:INDEX(AW522:BH522, MATCH(2, 1/(AW522:BH522&lt;&gt;""), 1)-1), ROW(INDIRECT("1:" &amp; MATCH(2, 1/(AW522:BH522&lt;&gt;""), 1)-1)))), 0))/_xlfn.XLOOKUP(F522,Apuração!A:A,Apuração!B:B))</f>
        <v>0</v>
      </c>
      <c r="BM522" s="55" cm="1">
        <f t="array" ref="BM522">IFERROR(
   INDEX($AW$1:$BH$1,
      _xlfn.AGGREGATE(14, 6, COLUMN($AW$1:$BH$1)/(AW522:BH522&lt;&gt;""), 2) - COLUMN($AW$1) + 1
   ),
"")</f>
        <v>46082</v>
      </c>
      <c r="BN522" s="55" cm="1">
        <f t="array" ref="BN522">IFERROR(INDEX($AW$1:$BH$1,1,MATCH(2,1/(AW522:BH522&lt;&gt;""))),"")</f>
        <v>46113</v>
      </c>
      <c r="BO522" s="53">
        <f ca="1">IFERROR(_xlfn.XLOOKUP(F522,Apuração!A:A,Apuração!C:C)/_xlfn.XLOOKUP(F522,Apuração!A:A,Apuração!B:B),0)</f>
        <v>0</v>
      </c>
      <c r="BP522" s="53">
        <f ca="1">IFERROR(_xlfn.XLOOKUP(F522,Apuração!A:A,Apuração!D:D)/_xlfn.XLOOKUP(F522,Apuração!A:A,Apuração!B:B),0)</f>
        <v>0</v>
      </c>
      <c r="BQ522" s="53">
        <f ca="1">IF(BK522&gt;=BO522,0,_xlfn.XLOOKUP(F522,Apuração!A:A,Apuração!B:B)*(BO522 + (1/_xlfn.XLOOKUP(F522,Apuração!A:A,Apuração!B:B)) - BK522))</f>
        <v>0</v>
      </c>
      <c r="BR522" s="85">
        <f t="shared" ca="1" si="841"/>
        <v>0</v>
      </c>
      <c r="BS522" s="53">
        <f ca="1">IFERROR((_xlfn.XLOOKUP(F522,Apuração!A:A,Apuração!C:C)+1)/_xlfn.XLOOKUP(F522,Apuração!A:A,Apuração!B:B),0)</f>
        <v>0.14285714285714285</v>
      </c>
    </row>
    <row r="523" spans="1:71" ht="25.95" hidden="1" customHeight="1" x14ac:dyDescent="0.3">
      <c r="A523" s="40" t="s">
        <v>87</v>
      </c>
      <c r="B523" s="4" t="s">
        <v>88</v>
      </c>
      <c r="C523" s="5" t="s">
        <v>97</v>
      </c>
      <c r="D523" s="5" t="s">
        <v>103</v>
      </c>
      <c r="E523" s="4" t="s">
        <v>96</v>
      </c>
      <c r="F523" s="4" t="str" cm="1">
        <f t="array" ref="F523">_xlfn.IFS(
AG523 &lt;&gt; "", "Jan-Dez/26",
AH523 &lt;&gt; "", "Fev-Dez/26",
AI523 &lt;&gt; "", "Mar-Dez/26", AJ523 &lt;&gt; "", "Abr-Dez/26",
TRUE, "A partir de Junho"
)</f>
        <v>A partir de Junho</v>
      </c>
      <c r="G523" s="4" t="s">
        <v>62</v>
      </c>
      <c r="H523" s="7" t="s">
        <v>38</v>
      </c>
      <c r="I523" s="9" t="s">
        <v>93</v>
      </c>
      <c r="J523" s="21" t="str" cm="1">
        <f t="array" aca="1" ref="J523" ca="1">_xlfn.LET(
  _xlpm.actual_value_month, INDEX(T523:AE523, MATCH(DATE(YEAR(TODAY()), MONTH(TODAY()), 1), $T$1:$AE$1, 0)),
  IF(_xlpm.actual_value_month &lt;&gt; "",_xlpm.actual_value_month &amp; " ações mensais", "")
)</f>
        <v/>
      </c>
      <c r="K523" s="8" t="str" cm="1">
        <f t="array" ref="K523">_xlfn.LET(
    _xlpm.sum_month, SUM(T523:AE523),
    IF(_xlpm.sum_month = 0, "", _xlpm.sum_month &amp; " certificados gerados no ano")
)</f>
        <v/>
      </c>
      <c r="L523" s="4" t="s">
        <v>94</v>
      </c>
      <c r="M523" s="19"/>
      <c r="N523" s="5" t="s">
        <v>51</v>
      </c>
      <c r="O523" s="5"/>
      <c r="P523" s="10"/>
      <c r="Q523" s="10"/>
      <c r="R523" s="10"/>
      <c r="S523" s="10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G523" s="71"/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  <c r="AR523" s="71"/>
      <c r="AS523" s="94">
        <f t="shared" ca="1" si="870"/>
        <v>0</v>
      </c>
      <c r="AT523" s="95" t="str" cm="1">
        <f t="array" ref="AT523">IFERROR(INDEX(AJ523:AR523,1,MATCH(2,1/(AJ523:AR523&lt;&gt;""))),"")</f>
        <v/>
      </c>
      <c r="AU523" s="97" t="str">
        <f t="shared" si="871"/>
        <v/>
      </c>
      <c r="AW523" s="83">
        <f t="shared" si="872"/>
        <v>0</v>
      </c>
      <c r="AX523" s="83">
        <f t="shared" si="867"/>
        <v>0</v>
      </c>
      <c r="AY523" s="83">
        <f t="shared" si="868"/>
        <v>0</v>
      </c>
      <c r="AZ523" s="83">
        <f t="shared" si="869"/>
        <v>0</v>
      </c>
      <c r="BA523" s="51"/>
      <c r="BB523" s="51"/>
      <c r="BC523" s="51"/>
      <c r="BD523" s="51"/>
      <c r="BE523" s="51"/>
      <c r="BF523" s="51"/>
      <c r="BG523" s="51"/>
      <c r="BH523" s="51"/>
      <c r="BI523" s="65" cm="1">
        <f t="array" ref="BI523">IFERROR(INDEX(AW523:BH523,1,MATCH(2,1/(AW523:BH523&lt;&gt;""))),"")</f>
        <v>0</v>
      </c>
      <c r="BJ523" s="68" cm="1">
        <f t="array" ref="BJ523">IF(BM523 = "", "",IFERROR(INDEX(AW523:BH523,1,MATCH(2,1/(AW523:BH523&lt;&gt;""),1)-1),""))</f>
        <v>0</v>
      </c>
      <c r="BK523" s="58">
        <f>IF((IF(AW523&gt;=115%,115%,AW523) + IF(AX523&gt;=115%,115%,AX523) + IF(AY523&gt;=115%,115%,AY523) + (IF(AZ523&gt;=115%,115%,AZ523) + IF(BA523&gt;=115%,115%,BA523) + IF(BB523&gt;=115%,115%,BB523) + IF(BC523&gt;=115%,115%,BC523) + IF(BD523&gt;=115%,115%,BD523) + IF(BE523&gt;=115%,115%,BE523) + IF(BF523&gt;=115%,115%,BF523) + IF(BG523&gt;=115%,115%,BG523) + IF(BH523&gt;=115%,115%,BH523)))/_xlfn.XLOOKUP(F523,Apuração!A:A,Apuração!B:B)&gt;=1.15,1.15,((IF(AZ523&gt;=115%,115%,AZ523) + IF(AX523&gt;=115%,115%,AX523) + IF(AY523&gt;=115%,115%,AY523) + (IF(AW523&gt;=115%,115%,AW523) + IF(BA523&gt;=115%,115%,BA523) + IF(BB523&gt;=115%,115%,BB523) + IF(BC523&gt;=115%,115%,BC523) + IF(BD523&gt;=115%,115%,BD523) + IF(BE523&gt;=115%,115%,BE523) + IF(BF523&gt;=115%,115%,BF523) + IF(BG523&gt;=115%,115%,BG523) + IF(BH523&gt;=115%,115%,BH523)))/_xlfn.XLOOKUP(F523,Apuração!A:A,Apuração!B:B)))</f>
        <v>0</v>
      </c>
      <c r="BL523" s="58" cm="1">
        <f t="array" aca="1" ref="BL523" ca="1">IF(SUM(IFERROR(IF(INDEX(AW523:INDEX(AW523:BH523, MATCH(2, 1/(AW523:BH523&lt;&gt;""), 1)-1), ROW(INDIRECT("1:" &amp; MATCH(2, 1/(AW523:BH523&lt;&gt;""), 1)-1))) &gt;= 115%, 115%, INDEX(AW523:INDEX(AW523:BH523, MATCH(2, 1/(AW523:BH523&lt;&gt;""), 1)-1), ROW(INDIRECT("1:" &amp; MATCH(2, 1/(AW523:BH523&lt;&gt;""), 1)-1)))), 0))/_xlfn.XLOOKUP(F523,Apuração!A:A,Apuração!B:B)&gt;=1.15,1.15,SUM(IFERROR(IF(INDEX(AW523:INDEX(AW523:BH523, MATCH(2, 1/(AW523:BH523&lt;&gt;""), 1)-1), ROW(INDIRECT("1:" &amp; MATCH(2, 1/(AW523:BH523&lt;&gt;""), 1)-1))) &gt;= 115%, 115%, INDEX(AW523:INDEX(AW523:BH523, MATCH(2, 1/(AW523:BH523&lt;&gt;""), 1)-1), ROW(INDIRECT("1:" &amp; MATCH(2, 1/(AW523:BH523&lt;&gt;""), 1)-1)))), 0))/_xlfn.XLOOKUP(F523,Apuração!A:A,Apuração!B:B))</f>
        <v>0</v>
      </c>
      <c r="BM523" s="55" cm="1">
        <f t="array" ref="BM523">IFERROR(
   INDEX($AW$1:$BH$1,
      _xlfn.AGGREGATE(14, 6, COLUMN($AW$1:$BH$1)/(AW523:BH523&lt;&gt;""), 2) - COLUMN($AW$1) + 1
   ),
"")</f>
        <v>46082</v>
      </c>
      <c r="BN523" s="55" cm="1">
        <f t="array" ref="BN523">IFERROR(INDEX($AW$1:$BH$1,1,MATCH(2,1/(AW523:BH523&lt;&gt;""))),"")</f>
        <v>46113</v>
      </c>
      <c r="BO523" s="53">
        <f ca="1">IFERROR(_xlfn.XLOOKUP(F523,Apuração!A:A,Apuração!C:C)/_xlfn.XLOOKUP(F523,Apuração!A:A,Apuração!B:B),0)</f>
        <v>0</v>
      </c>
      <c r="BP523" s="53">
        <f ca="1">IFERROR(_xlfn.XLOOKUP(F523,Apuração!A:A,Apuração!D:D)/_xlfn.XLOOKUP(F523,Apuração!A:A,Apuração!B:B),0)</f>
        <v>0</v>
      </c>
      <c r="BQ523" s="53">
        <f ca="1">IF(BK523&gt;=BO523,0,_xlfn.XLOOKUP(F523,Apuração!A:A,Apuração!B:B)*(BO523 + (1/_xlfn.XLOOKUP(F523,Apuração!A:A,Apuração!B:B)) - BK523))</f>
        <v>0</v>
      </c>
      <c r="BR523" s="85">
        <f t="shared" ca="1" si="841"/>
        <v>0</v>
      </c>
      <c r="BS523" s="53">
        <f ca="1">IFERROR((_xlfn.XLOOKUP(F523,Apuração!A:A,Apuração!C:C)+1)/_xlfn.XLOOKUP(F523,Apuração!A:A,Apuração!B:B),0)</f>
        <v>0.14285714285714285</v>
      </c>
    </row>
    <row r="524" spans="1:71" ht="25.95" hidden="1" customHeight="1" x14ac:dyDescent="0.3">
      <c r="A524" s="40" t="s">
        <v>87</v>
      </c>
      <c r="B524" s="4" t="s">
        <v>88</v>
      </c>
      <c r="C524" s="5" t="s">
        <v>97</v>
      </c>
      <c r="D524" s="5" t="s">
        <v>104</v>
      </c>
      <c r="E524" s="4" t="s">
        <v>96</v>
      </c>
      <c r="F524" s="4" t="str" cm="1">
        <f t="array" ref="F524">_xlfn.IFS(
AG524 &lt;&gt; "", "Jan-Dez/26",
AH524 &lt;&gt; "", "Fev-Dez/26",
AI524 &lt;&gt; "", "Mar-Dez/26", AJ524 &lt;&gt; "", "Abr-Dez/26",
TRUE, "A partir de Junho"
)</f>
        <v>A partir de Junho</v>
      </c>
      <c r="G524" s="4" t="s">
        <v>62</v>
      </c>
      <c r="H524" s="7" t="s">
        <v>38</v>
      </c>
      <c r="I524" s="9" t="s">
        <v>93</v>
      </c>
      <c r="J524" s="21" t="str" cm="1">
        <f t="array" aca="1" ref="J524" ca="1">_xlfn.LET(
  _xlpm.actual_value_month, INDEX(T524:AE524, MATCH(DATE(YEAR(TODAY()), MONTH(TODAY()), 1), $T$1:$AE$1, 0)),
  IF(_xlpm.actual_value_month &lt;&gt; "",_xlpm.actual_value_month &amp; " ações mensais", "")
)</f>
        <v/>
      </c>
      <c r="K524" s="8" t="str" cm="1">
        <f t="array" ref="K524">_xlfn.LET(
    _xlpm.sum_month, SUM(T524:AE524),
    IF(_xlpm.sum_month = 0, "", _xlpm.sum_month &amp; " certificados gerados no ano")
)</f>
        <v/>
      </c>
      <c r="L524" s="4" t="s">
        <v>94</v>
      </c>
      <c r="M524" s="19"/>
      <c r="N524" s="5" t="s">
        <v>51</v>
      </c>
      <c r="O524" s="5"/>
      <c r="P524" s="10"/>
      <c r="Q524" s="10"/>
      <c r="R524" s="10"/>
      <c r="S524" s="10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G524" s="71"/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  <c r="AR524" s="71"/>
      <c r="AS524" s="94">
        <f t="shared" ca="1" si="870"/>
        <v>0</v>
      </c>
      <c r="AT524" s="95" t="str" cm="1">
        <f t="array" ref="AT524">IFERROR(INDEX(AJ524:AR524,1,MATCH(2,1/(AJ524:AR524&lt;&gt;""))),"")</f>
        <v/>
      </c>
      <c r="AU524" s="97" t="str">
        <f t="shared" si="871"/>
        <v/>
      </c>
      <c r="AW524" s="83">
        <f t="shared" si="872"/>
        <v>0</v>
      </c>
      <c r="AX524" s="83">
        <f t="shared" si="867"/>
        <v>0</v>
      </c>
      <c r="AY524" s="83">
        <f t="shared" si="868"/>
        <v>0</v>
      </c>
      <c r="AZ524" s="83">
        <f t="shared" si="869"/>
        <v>0</v>
      </c>
      <c r="BA524" s="51"/>
      <c r="BB524" s="51"/>
      <c r="BC524" s="51"/>
      <c r="BD524" s="51"/>
      <c r="BE524" s="51"/>
      <c r="BF524" s="51"/>
      <c r="BG524" s="51"/>
      <c r="BH524" s="51"/>
      <c r="BI524" s="65" cm="1">
        <f t="array" ref="BI524">IFERROR(INDEX(AW524:BH524,1,MATCH(2,1/(AW524:BH524&lt;&gt;""))),"")</f>
        <v>0</v>
      </c>
      <c r="BJ524" s="68" cm="1">
        <f t="array" ref="BJ524">IF(BM524 = "", "",IFERROR(INDEX(AW524:BH524,1,MATCH(2,1/(AW524:BH524&lt;&gt;""),1)-1),""))</f>
        <v>0</v>
      </c>
      <c r="BK524" s="58">
        <f>IF((IF(AW524&gt;=115%,115%,AW524) + IF(AX524&gt;=115%,115%,AX524) + IF(AY524&gt;=115%,115%,AY524) + (IF(AZ524&gt;=115%,115%,AZ524) + IF(BA524&gt;=115%,115%,BA524) + IF(BB524&gt;=115%,115%,BB524) + IF(BC524&gt;=115%,115%,BC524) + IF(BD524&gt;=115%,115%,BD524) + IF(BE524&gt;=115%,115%,BE524) + IF(BF524&gt;=115%,115%,BF524) + IF(BG524&gt;=115%,115%,BG524) + IF(BH524&gt;=115%,115%,BH524)))/_xlfn.XLOOKUP(F524,Apuração!A:A,Apuração!B:B)&gt;=1.15,1.15,((IF(AZ524&gt;=115%,115%,AZ524) + IF(AX524&gt;=115%,115%,AX524) + IF(AY524&gt;=115%,115%,AY524) + (IF(AW524&gt;=115%,115%,AW524) + IF(BA524&gt;=115%,115%,BA524) + IF(BB524&gt;=115%,115%,BB524) + IF(BC524&gt;=115%,115%,BC524) + IF(BD524&gt;=115%,115%,BD524) + IF(BE524&gt;=115%,115%,BE524) + IF(BF524&gt;=115%,115%,BF524) + IF(BG524&gt;=115%,115%,BG524) + IF(BH524&gt;=115%,115%,BH524)))/_xlfn.XLOOKUP(F524,Apuração!A:A,Apuração!B:B)))</f>
        <v>0</v>
      </c>
      <c r="BL524" s="58" cm="1">
        <f t="array" aca="1" ref="BL524" ca="1">IF(SUM(IFERROR(IF(INDEX(AW524:INDEX(AW524:BH524, MATCH(2, 1/(AW524:BH524&lt;&gt;""), 1)-1), ROW(INDIRECT("1:" &amp; MATCH(2, 1/(AW524:BH524&lt;&gt;""), 1)-1))) &gt;= 115%, 115%, INDEX(AW524:INDEX(AW524:BH524, MATCH(2, 1/(AW524:BH524&lt;&gt;""), 1)-1), ROW(INDIRECT("1:" &amp; MATCH(2, 1/(AW524:BH524&lt;&gt;""), 1)-1)))), 0))/_xlfn.XLOOKUP(F524,Apuração!A:A,Apuração!B:B)&gt;=1.15,1.15,SUM(IFERROR(IF(INDEX(AW524:INDEX(AW524:BH524, MATCH(2, 1/(AW524:BH524&lt;&gt;""), 1)-1), ROW(INDIRECT("1:" &amp; MATCH(2, 1/(AW524:BH524&lt;&gt;""), 1)-1))) &gt;= 115%, 115%, INDEX(AW524:INDEX(AW524:BH524, MATCH(2, 1/(AW524:BH524&lt;&gt;""), 1)-1), ROW(INDIRECT("1:" &amp; MATCH(2, 1/(AW524:BH524&lt;&gt;""), 1)-1)))), 0))/_xlfn.XLOOKUP(F524,Apuração!A:A,Apuração!B:B))</f>
        <v>0</v>
      </c>
      <c r="BM524" s="55" cm="1">
        <f t="array" ref="BM524">IFERROR(
   INDEX($AW$1:$BH$1,
      _xlfn.AGGREGATE(14, 6, COLUMN($AW$1:$BH$1)/(AW524:BH524&lt;&gt;""), 2) - COLUMN($AW$1) + 1
   ),
"")</f>
        <v>46082</v>
      </c>
      <c r="BN524" s="55" cm="1">
        <f t="array" ref="BN524">IFERROR(INDEX($AW$1:$BH$1,1,MATCH(2,1/(AW524:BH524&lt;&gt;""))),"")</f>
        <v>46113</v>
      </c>
      <c r="BO524" s="53">
        <f ca="1">IFERROR(_xlfn.XLOOKUP(F524,Apuração!A:A,Apuração!C:C)/_xlfn.XLOOKUP(F524,Apuração!A:A,Apuração!B:B),0)</f>
        <v>0</v>
      </c>
      <c r="BP524" s="53">
        <f ca="1">IFERROR(_xlfn.XLOOKUP(F524,Apuração!A:A,Apuração!D:D)/_xlfn.XLOOKUP(F524,Apuração!A:A,Apuração!B:B),0)</f>
        <v>0</v>
      </c>
      <c r="BQ524" s="53">
        <f ca="1">IF(BK524&gt;=BO524,0,_xlfn.XLOOKUP(F524,Apuração!A:A,Apuração!B:B)*(BO524 + (1/_xlfn.XLOOKUP(F524,Apuração!A:A,Apuração!B:B)) - BK524))</f>
        <v>0</v>
      </c>
      <c r="BR524" s="85">
        <f t="shared" ca="1" si="841"/>
        <v>0</v>
      </c>
      <c r="BS524" s="53">
        <f ca="1">IFERROR((_xlfn.XLOOKUP(F524,Apuração!A:A,Apuração!C:C)+1)/_xlfn.XLOOKUP(F524,Apuração!A:A,Apuração!B:B),0)</f>
        <v>0.14285714285714285</v>
      </c>
    </row>
    <row r="525" spans="1:71" ht="25.95" hidden="1" customHeight="1" x14ac:dyDescent="0.3">
      <c r="A525" s="40" t="s">
        <v>87</v>
      </c>
      <c r="B525" s="4" t="s">
        <v>88</v>
      </c>
      <c r="C525" s="5" t="s">
        <v>97</v>
      </c>
      <c r="D525" s="5" t="s">
        <v>105</v>
      </c>
      <c r="E525" s="4" t="s">
        <v>96</v>
      </c>
      <c r="F525" s="4" t="str" cm="1">
        <f t="array" ref="F525">_xlfn.IFS(
AG525 &lt;&gt; "", "Jan-Dez/26",
AH525 &lt;&gt; "", "Fev-Dez/26",
AI525 &lt;&gt; "", "Mar-Dez/26", AJ525 &lt;&gt; "", "Abr-Dez/26",
TRUE, "A partir de Junho"
)</f>
        <v>A partir de Junho</v>
      </c>
      <c r="G525" s="4" t="s">
        <v>62</v>
      </c>
      <c r="H525" s="7" t="s">
        <v>38</v>
      </c>
      <c r="I525" s="9" t="s">
        <v>93</v>
      </c>
      <c r="J525" s="21" t="str" cm="1">
        <f t="array" aca="1" ref="J525" ca="1">_xlfn.LET(
  _xlpm.actual_value_month, INDEX(T525:AE525, MATCH(DATE(YEAR(TODAY()), MONTH(TODAY()), 1), $T$1:$AE$1, 0)),
  IF(_xlpm.actual_value_month &lt;&gt; "",_xlpm.actual_value_month &amp; " ações mensais", "")
)</f>
        <v/>
      </c>
      <c r="K525" s="8" t="str" cm="1">
        <f t="array" ref="K525">_xlfn.LET(
    _xlpm.sum_month, SUM(T525:AE525),
    IF(_xlpm.sum_month = 0, "", _xlpm.sum_month &amp; " certificados gerados no ano")
)</f>
        <v/>
      </c>
      <c r="L525" s="4" t="s">
        <v>94</v>
      </c>
      <c r="M525" s="19"/>
      <c r="N525" s="5" t="s">
        <v>51</v>
      </c>
      <c r="O525" s="5"/>
      <c r="P525" s="10"/>
      <c r="Q525" s="10"/>
      <c r="R525" s="10"/>
      <c r="S525" s="10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G525" s="71"/>
      <c r="AH525" s="71"/>
      <c r="AI525" s="71"/>
      <c r="AJ525" s="71"/>
      <c r="AK525" s="71"/>
      <c r="AL525" s="71"/>
      <c r="AM525" s="71"/>
      <c r="AN525" s="71"/>
      <c r="AO525" s="71"/>
      <c r="AP525" s="71"/>
      <c r="AQ525" s="71"/>
      <c r="AR525" s="71"/>
      <c r="AS525" s="94">
        <f t="shared" ca="1" si="870"/>
        <v>0</v>
      </c>
      <c r="AT525" s="95" t="str" cm="1">
        <f t="array" ref="AT525">IFERROR(INDEX(AJ525:AR525,1,MATCH(2,1/(AJ525:AR525&lt;&gt;""))),"")</f>
        <v/>
      </c>
      <c r="AU525" s="97" t="str">
        <f t="shared" si="871"/>
        <v/>
      </c>
      <c r="AW525" s="83">
        <f t="shared" si="872"/>
        <v>0</v>
      </c>
      <c r="AX525" s="83">
        <f t="shared" si="867"/>
        <v>0</v>
      </c>
      <c r="AY525" s="83">
        <f t="shared" si="868"/>
        <v>0</v>
      </c>
      <c r="AZ525" s="83">
        <f t="shared" si="869"/>
        <v>0</v>
      </c>
      <c r="BA525" s="51"/>
      <c r="BB525" s="51"/>
      <c r="BC525" s="51"/>
      <c r="BD525" s="51"/>
      <c r="BE525" s="51"/>
      <c r="BF525" s="51"/>
      <c r="BG525" s="51"/>
      <c r="BH525" s="51"/>
      <c r="BI525" s="65" cm="1">
        <f t="array" ref="BI525">IFERROR(INDEX(AW525:BH525,1,MATCH(2,1/(AW525:BH525&lt;&gt;""))),"")</f>
        <v>0</v>
      </c>
      <c r="BJ525" s="68" cm="1">
        <f t="array" ref="BJ525">IF(BM525 = "", "",IFERROR(INDEX(AW525:BH525,1,MATCH(2,1/(AW525:BH525&lt;&gt;""),1)-1),""))</f>
        <v>0</v>
      </c>
      <c r="BK525" s="58">
        <f>IF((IF(AW525&gt;=115%,115%,AW525) + IF(AX525&gt;=115%,115%,AX525) + IF(AY525&gt;=115%,115%,AY525) + (IF(AZ525&gt;=115%,115%,AZ525) + IF(BA525&gt;=115%,115%,BA525) + IF(BB525&gt;=115%,115%,BB525) + IF(BC525&gt;=115%,115%,BC525) + IF(BD525&gt;=115%,115%,BD525) + IF(BE525&gt;=115%,115%,BE525) + IF(BF525&gt;=115%,115%,BF525) + IF(BG525&gt;=115%,115%,BG525) + IF(BH525&gt;=115%,115%,BH525)))/_xlfn.XLOOKUP(F525,Apuração!A:A,Apuração!B:B)&gt;=1.15,1.15,((IF(AZ525&gt;=115%,115%,AZ525) + IF(AX525&gt;=115%,115%,AX525) + IF(AY525&gt;=115%,115%,AY525) + (IF(AW525&gt;=115%,115%,AW525) + IF(BA525&gt;=115%,115%,BA525) + IF(BB525&gt;=115%,115%,BB525) + IF(BC525&gt;=115%,115%,BC525) + IF(BD525&gt;=115%,115%,BD525) + IF(BE525&gt;=115%,115%,BE525) + IF(BF525&gt;=115%,115%,BF525) + IF(BG525&gt;=115%,115%,BG525) + IF(BH525&gt;=115%,115%,BH525)))/_xlfn.XLOOKUP(F525,Apuração!A:A,Apuração!B:B)))</f>
        <v>0</v>
      </c>
      <c r="BL525" s="58" cm="1">
        <f t="array" aca="1" ref="BL525" ca="1">IF(SUM(IFERROR(IF(INDEX(AW525:INDEX(AW525:BH525, MATCH(2, 1/(AW525:BH525&lt;&gt;""), 1)-1), ROW(INDIRECT("1:" &amp; MATCH(2, 1/(AW525:BH525&lt;&gt;""), 1)-1))) &gt;= 115%, 115%, INDEX(AW525:INDEX(AW525:BH525, MATCH(2, 1/(AW525:BH525&lt;&gt;""), 1)-1), ROW(INDIRECT("1:" &amp; MATCH(2, 1/(AW525:BH525&lt;&gt;""), 1)-1)))), 0))/_xlfn.XLOOKUP(F525,Apuração!A:A,Apuração!B:B)&gt;=1.15,1.15,SUM(IFERROR(IF(INDEX(AW525:INDEX(AW525:BH525, MATCH(2, 1/(AW525:BH525&lt;&gt;""), 1)-1), ROW(INDIRECT("1:" &amp; MATCH(2, 1/(AW525:BH525&lt;&gt;""), 1)-1))) &gt;= 115%, 115%, INDEX(AW525:INDEX(AW525:BH525, MATCH(2, 1/(AW525:BH525&lt;&gt;""), 1)-1), ROW(INDIRECT("1:" &amp; MATCH(2, 1/(AW525:BH525&lt;&gt;""), 1)-1)))), 0))/_xlfn.XLOOKUP(F525,Apuração!A:A,Apuração!B:B))</f>
        <v>0</v>
      </c>
      <c r="BM525" s="55" cm="1">
        <f t="array" ref="BM525">IFERROR(
   INDEX($AW$1:$BH$1,
      _xlfn.AGGREGATE(14, 6, COLUMN($AW$1:$BH$1)/(AW525:BH525&lt;&gt;""), 2) - COLUMN($AW$1) + 1
   ),
"")</f>
        <v>46082</v>
      </c>
      <c r="BN525" s="55" cm="1">
        <f t="array" ref="BN525">IFERROR(INDEX($AW$1:$BH$1,1,MATCH(2,1/(AW525:BH525&lt;&gt;""))),"")</f>
        <v>46113</v>
      </c>
      <c r="BO525" s="53">
        <f ca="1">IFERROR(_xlfn.XLOOKUP(F525,Apuração!A:A,Apuração!C:C)/_xlfn.XLOOKUP(F525,Apuração!A:A,Apuração!B:B),0)</f>
        <v>0</v>
      </c>
      <c r="BP525" s="53">
        <f ca="1">IFERROR(_xlfn.XLOOKUP(F525,Apuração!A:A,Apuração!D:D)/_xlfn.XLOOKUP(F525,Apuração!A:A,Apuração!B:B),0)</f>
        <v>0</v>
      </c>
      <c r="BQ525" s="53">
        <f ca="1">IF(BK525&gt;=BO525,0,_xlfn.XLOOKUP(F525,Apuração!A:A,Apuração!B:B)*(BO525 + (1/_xlfn.XLOOKUP(F525,Apuração!A:A,Apuração!B:B)) - BK525))</f>
        <v>0</v>
      </c>
      <c r="BR525" s="85">
        <f t="shared" ca="1" si="841"/>
        <v>0</v>
      </c>
      <c r="BS525" s="53">
        <f ca="1">IFERROR((_xlfn.XLOOKUP(F525,Apuração!A:A,Apuração!C:C)+1)/_xlfn.XLOOKUP(F525,Apuração!A:A,Apuração!B:B),0)</f>
        <v>0.14285714285714285</v>
      </c>
    </row>
    <row r="526" spans="1:71" ht="25.95" hidden="1" customHeight="1" x14ac:dyDescent="0.3">
      <c r="A526" s="40" t="s">
        <v>87</v>
      </c>
      <c r="B526" s="4" t="s">
        <v>88</v>
      </c>
      <c r="C526" s="5" t="s">
        <v>97</v>
      </c>
      <c r="D526" s="5" t="s">
        <v>106</v>
      </c>
      <c r="E526" s="4" t="s">
        <v>96</v>
      </c>
      <c r="F526" s="4" t="str" cm="1">
        <f t="array" ref="F526">_xlfn.IFS(
AG526 &lt;&gt; "", "Jan-Dez/26",
AH526 &lt;&gt; "", "Fev-Dez/26",
AI526 &lt;&gt; "", "Mar-Dez/26", AJ526 &lt;&gt; "", "Abr-Dez/26",
TRUE, "A partir de Junho"
)</f>
        <v>A partir de Junho</v>
      </c>
      <c r="G526" s="4" t="s">
        <v>62</v>
      </c>
      <c r="H526" s="7" t="s">
        <v>38</v>
      </c>
      <c r="I526" s="9" t="s">
        <v>93</v>
      </c>
      <c r="J526" s="21" t="str" cm="1">
        <f t="array" aca="1" ref="J526" ca="1">_xlfn.LET(
  _xlpm.actual_value_month, INDEX(T526:AE526, MATCH(DATE(YEAR(TODAY()), MONTH(TODAY()), 1), $T$1:$AE$1, 0)),
  IF(_xlpm.actual_value_month &lt;&gt; "",_xlpm.actual_value_month &amp; " ações mensais", "")
)</f>
        <v/>
      </c>
      <c r="K526" s="8" t="str" cm="1">
        <f t="array" ref="K526">_xlfn.LET(
    _xlpm.sum_month, SUM(T526:AE526),
    IF(_xlpm.sum_month = 0, "", _xlpm.sum_month &amp; " certificados gerados no ano")
)</f>
        <v/>
      </c>
      <c r="L526" s="4" t="s">
        <v>94</v>
      </c>
      <c r="M526" s="19"/>
      <c r="N526" s="5" t="s">
        <v>51</v>
      </c>
      <c r="O526" s="5"/>
      <c r="P526" s="10"/>
      <c r="Q526" s="10"/>
      <c r="R526" s="10"/>
      <c r="S526" s="10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G526" s="71"/>
      <c r="AH526" s="71"/>
      <c r="AI526" s="71"/>
      <c r="AJ526" s="71"/>
      <c r="AK526" s="71"/>
      <c r="AL526" s="71"/>
      <c r="AM526" s="71"/>
      <c r="AN526" s="71"/>
      <c r="AO526" s="71"/>
      <c r="AP526" s="71"/>
      <c r="AQ526" s="71"/>
      <c r="AR526" s="71"/>
      <c r="AS526" s="94">
        <f t="shared" ca="1" si="870"/>
        <v>0</v>
      </c>
      <c r="AT526" s="95" t="str" cm="1">
        <f t="array" ref="AT526">IFERROR(INDEX(AJ526:AR526,1,MATCH(2,1/(AJ526:AR526&lt;&gt;""))),"")</f>
        <v/>
      </c>
      <c r="AU526" s="97" t="str">
        <f t="shared" si="871"/>
        <v/>
      </c>
      <c r="AW526" s="83">
        <f t="shared" si="872"/>
        <v>0</v>
      </c>
      <c r="AX526" s="83">
        <f t="shared" si="867"/>
        <v>0</v>
      </c>
      <c r="AY526" s="83">
        <f t="shared" si="868"/>
        <v>0</v>
      </c>
      <c r="AZ526" s="83">
        <f t="shared" si="869"/>
        <v>0</v>
      </c>
      <c r="BA526" s="51"/>
      <c r="BB526" s="51"/>
      <c r="BC526" s="51"/>
      <c r="BD526" s="51"/>
      <c r="BE526" s="51"/>
      <c r="BF526" s="51"/>
      <c r="BG526" s="51"/>
      <c r="BH526" s="51"/>
      <c r="BI526" s="65" cm="1">
        <f t="array" ref="BI526">IFERROR(INDEX(AW526:BH526,1,MATCH(2,1/(AW526:BH526&lt;&gt;""))),"")</f>
        <v>0</v>
      </c>
      <c r="BJ526" s="68" cm="1">
        <f t="array" ref="BJ526">IF(BM526 = "", "",IFERROR(INDEX(AW526:BH526,1,MATCH(2,1/(AW526:BH526&lt;&gt;""),1)-1),""))</f>
        <v>0</v>
      </c>
      <c r="BK526" s="58">
        <f>IF((IF(AW526&gt;=115%,115%,AW526) + IF(AX526&gt;=115%,115%,AX526) + IF(AY526&gt;=115%,115%,AY526) + (IF(AZ526&gt;=115%,115%,AZ526) + IF(BA526&gt;=115%,115%,BA526) + IF(BB526&gt;=115%,115%,BB526) + IF(BC526&gt;=115%,115%,BC526) + IF(BD526&gt;=115%,115%,BD526) + IF(BE526&gt;=115%,115%,BE526) + IF(BF526&gt;=115%,115%,BF526) + IF(BG526&gt;=115%,115%,BG526) + IF(BH526&gt;=115%,115%,BH526)))/_xlfn.XLOOKUP(F526,Apuração!A:A,Apuração!B:B)&gt;=1.15,1.15,((IF(AZ526&gt;=115%,115%,AZ526) + IF(AX526&gt;=115%,115%,AX526) + IF(AY526&gt;=115%,115%,AY526) + (IF(AW526&gt;=115%,115%,AW526) + IF(BA526&gt;=115%,115%,BA526) + IF(BB526&gt;=115%,115%,BB526) + IF(BC526&gt;=115%,115%,BC526) + IF(BD526&gt;=115%,115%,BD526) + IF(BE526&gt;=115%,115%,BE526) + IF(BF526&gt;=115%,115%,BF526) + IF(BG526&gt;=115%,115%,BG526) + IF(BH526&gt;=115%,115%,BH526)))/_xlfn.XLOOKUP(F526,Apuração!A:A,Apuração!B:B)))</f>
        <v>0</v>
      </c>
      <c r="BL526" s="58" cm="1">
        <f t="array" aca="1" ref="BL526" ca="1">IF(SUM(IFERROR(IF(INDEX(AW526:INDEX(AW526:BH526, MATCH(2, 1/(AW526:BH526&lt;&gt;""), 1)-1), ROW(INDIRECT("1:" &amp; MATCH(2, 1/(AW526:BH526&lt;&gt;""), 1)-1))) &gt;= 115%, 115%, INDEX(AW526:INDEX(AW526:BH526, MATCH(2, 1/(AW526:BH526&lt;&gt;""), 1)-1), ROW(INDIRECT("1:" &amp; MATCH(2, 1/(AW526:BH526&lt;&gt;""), 1)-1)))), 0))/_xlfn.XLOOKUP(F526,Apuração!A:A,Apuração!B:B)&gt;=1.15,1.15,SUM(IFERROR(IF(INDEX(AW526:INDEX(AW526:BH526, MATCH(2, 1/(AW526:BH526&lt;&gt;""), 1)-1), ROW(INDIRECT("1:" &amp; MATCH(2, 1/(AW526:BH526&lt;&gt;""), 1)-1))) &gt;= 115%, 115%, INDEX(AW526:INDEX(AW526:BH526, MATCH(2, 1/(AW526:BH526&lt;&gt;""), 1)-1), ROW(INDIRECT("1:" &amp; MATCH(2, 1/(AW526:BH526&lt;&gt;""), 1)-1)))), 0))/_xlfn.XLOOKUP(F526,Apuração!A:A,Apuração!B:B))</f>
        <v>0</v>
      </c>
      <c r="BM526" s="55" cm="1">
        <f t="array" ref="BM526">IFERROR(
   INDEX($AW$1:$BH$1,
      _xlfn.AGGREGATE(14, 6, COLUMN($AW$1:$BH$1)/(AW526:BH526&lt;&gt;""), 2) - COLUMN($AW$1) + 1
   ),
"")</f>
        <v>46082</v>
      </c>
      <c r="BN526" s="55" cm="1">
        <f t="array" ref="BN526">IFERROR(INDEX($AW$1:$BH$1,1,MATCH(2,1/(AW526:BH526&lt;&gt;""))),"")</f>
        <v>46113</v>
      </c>
      <c r="BO526" s="53">
        <f ca="1">IFERROR(_xlfn.XLOOKUP(F526,Apuração!A:A,Apuração!C:C)/_xlfn.XLOOKUP(F526,Apuração!A:A,Apuração!B:B),0)</f>
        <v>0</v>
      </c>
      <c r="BP526" s="53">
        <f ca="1">IFERROR(_xlfn.XLOOKUP(F526,Apuração!A:A,Apuração!D:D)/_xlfn.XLOOKUP(F526,Apuração!A:A,Apuração!B:B),0)</f>
        <v>0</v>
      </c>
      <c r="BQ526" s="53">
        <f ca="1">IF(BK526&gt;=BO526,0,_xlfn.XLOOKUP(F526,Apuração!A:A,Apuração!B:B)*(BO526 + (1/_xlfn.XLOOKUP(F526,Apuração!A:A,Apuração!B:B)) - BK526))</f>
        <v>0</v>
      </c>
      <c r="BR526" s="85">
        <f t="shared" ca="1" si="841"/>
        <v>0</v>
      </c>
      <c r="BS526" s="53">
        <f ca="1">IFERROR((_xlfn.XLOOKUP(F526,Apuração!A:A,Apuração!C:C)+1)/_xlfn.XLOOKUP(F526,Apuração!A:A,Apuração!B:B),0)</f>
        <v>0.14285714285714285</v>
      </c>
    </row>
    <row r="527" spans="1:71" ht="25.95" hidden="1" customHeight="1" x14ac:dyDescent="0.3">
      <c r="A527" s="40" t="s">
        <v>87</v>
      </c>
      <c r="B527" s="4" t="s">
        <v>88</v>
      </c>
      <c r="C527" s="5" t="s">
        <v>97</v>
      </c>
      <c r="D527" s="5" t="s">
        <v>107</v>
      </c>
      <c r="E527" s="4" t="s">
        <v>96</v>
      </c>
      <c r="F527" s="4" t="str" cm="1">
        <f t="array" ref="F527">_xlfn.IFS(
AG527 &lt;&gt; "", "Jan-Dez/26",
AH527 &lt;&gt; "", "Fev-Dez/26",
AI527 &lt;&gt; "", "Mar-Dez/26", AJ527 &lt;&gt; "", "Abr-Dez/26",
TRUE, "A partir de Junho"
)</f>
        <v>A partir de Junho</v>
      </c>
      <c r="G527" s="4" t="s">
        <v>62</v>
      </c>
      <c r="H527" s="7" t="s">
        <v>38</v>
      </c>
      <c r="I527" s="9" t="s">
        <v>93</v>
      </c>
      <c r="J527" s="21" t="str" cm="1">
        <f t="array" aca="1" ref="J527" ca="1">_xlfn.LET(
  _xlpm.actual_value_month, INDEX(T527:AE527, MATCH(DATE(YEAR(TODAY()), MONTH(TODAY()), 1), $T$1:$AE$1, 0)),
  IF(_xlpm.actual_value_month &lt;&gt; "",_xlpm.actual_value_month &amp; " ações mensais", "")
)</f>
        <v/>
      </c>
      <c r="K527" s="8" t="str" cm="1">
        <f t="array" ref="K527">_xlfn.LET(
    _xlpm.sum_month, SUM(T527:AE527),
    IF(_xlpm.sum_month = 0, "", _xlpm.sum_month &amp; " certificados gerados no ano")
)</f>
        <v/>
      </c>
      <c r="L527" s="4" t="s">
        <v>94</v>
      </c>
      <c r="M527" s="19"/>
      <c r="N527" s="5" t="s">
        <v>51</v>
      </c>
      <c r="O527" s="5"/>
      <c r="P527" s="10"/>
      <c r="Q527" s="10"/>
      <c r="R527" s="10"/>
      <c r="S527" s="10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G527" s="71"/>
      <c r="AH527" s="71"/>
      <c r="AI527" s="71"/>
      <c r="AJ527" s="71"/>
      <c r="AK527" s="71"/>
      <c r="AL527" s="71"/>
      <c r="AM527" s="71"/>
      <c r="AN527" s="71"/>
      <c r="AO527" s="71"/>
      <c r="AP527" s="71"/>
      <c r="AQ527" s="71"/>
      <c r="AR527" s="71"/>
      <c r="AS527" s="94">
        <f t="shared" ca="1" si="870"/>
        <v>0</v>
      </c>
      <c r="AT527" s="95" t="str" cm="1">
        <f t="array" ref="AT527">IFERROR(INDEX(AJ527:AR527,1,MATCH(2,1/(AJ527:AR527&lt;&gt;""))),"")</f>
        <v/>
      </c>
      <c r="AU527" s="97" t="str">
        <f t="shared" si="871"/>
        <v/>
      </c>
      <c r="AW527" s="83">
        <f t="shared" si="872"/>
        <v>0</v>
      </c>
      <c r="AX527" s="83">
        <f t="shared" si="867"/>
        <v>0</v>
      </c>
      <c r="AY527" s="83">
        <f t="shared" si="868"/>
        <v>0</v>
      </c>
      <c r="AZ527" s="83">
        <f t="shared" si="869"/>
        <v>0</v>
      </c>
      <c r="BA527" s="51"/>
      <c r="BB527" s="51"/>
      <c r="BC527" s="51"/>
      <c r="BD527" s="51"/>
      <c r="BE527" s="51"/>
      <c r="BF527" s="51"/>
      <c r="BG527" s="51"/>
      <c r="BH527" s="51"/>
      <c r="BI527" s="65" cm="1">
        <f t="array" ref="BI527">IFERROR(INDEX(AW527:BH527,1,MATCH(2,1/(AW527:BH527&lt;&gt;""))),"")</f>
        <v>0</v>
      </c>
      <c r="BJ527" s="68" cm="1">
        <f t="array" ref="BJ527">IF(BM527 = "", "",IFERROR(INDEX(AW527:BH527,1,MATCH(2,1/(AW527:BH527&lt;&gt;""),1)-1),""))</f>
        <v>0</v>
      </c>
      <c r="BK527" s="58">
        <f>IF((IF(AW527&gt;=115%,115%,AW527) + IF(AX527&gt;=115%,115%,AX527) + IF(AY527&gt;=115%,115%,AY527) + (IF(AZ527&gt;=115%,115%,AZ527) + IF(BA527&gt;=115%,115%,BA527) + IF(BB527&gt;=115%,115%,BB527) + IF(BC527&gt;=115%,115%,BC527) + IF(BD527&gt;=115%,115%,BD527) + IF(BE527&gt;=115%,115%,BE527) + IF(BF527&gt;=115%,115%,BF527) + IF(BG527&gt;=115%,115%,BG527) + IF(BH527&gt;=115%,115%,BH527)))/_xlfn.XLOOKUP(F527,Apuração!A:A,Apuração!B:B)&gt;=1.15,1.15,((IF(AZ527&gt;=115%,115%,AZ527) + IF(AX527&gt;=115%,115%,AX527) + IF(AY527&gt;=115%,115%,AY527) + (IF(AW527&gt;=115%,115%,AW527) + IF(BA527&gt;=115%,115%,BA527) + IF(BB527&gt;=115%,115%,BB527) + IF(BC527&gt;=115%,115%,BC527) + IF(BD527&gt;=115%,115%,BD527) + IF(BE527&gt;=115%,115%,BE527) + IF(BF527&gt;=115%,115%,BF527) + IF(BG527&gt;=115%,115%,BG527) + IF(BH527&gt;=115%,115%,BH527)))/_xlfn.XLOOKUP(F527,Apuração!A:A,Apuração!B:B)))</f>
        <v>0</v>
      </c>
      <c r="BL527" s="58" cm="1">
        <f t="array" aca="1" ref="BL527" ca="1">IF(SUM(IFERROR(IF(INDEX(AW527:INDEX(AW527:BH527, MATCH(2, 1/(AW527:BH527&lt;&gt;""), 1)-1), ROW(INDIRECT("1:" &amp; MATCH(2, 1/(AW527:BH527&lt;&gt;""), 1)-1))) &gt;= 115%, 115%, INDEX(AW527:INDEX(AW527:BH527, MATCH(2, 1/(AW527:BH527&lt;&gt;""), 1)-1), ROW(INDIRECT("1:" &amp; MATCH(2, 1/(AW527:BH527&lt;&gt;""), 1)-1)))), 0))/_xlfn.XLOOKUP(F527,Apuração!A:A,Apuração!B:B)&gt;=1.15,1.15,SUM(IFERROR(IF(INDEX(AW527:INDEX(AW527:BH527, MATCH(2, 1/(AW527:BH527&lt;&gt;""), 1)-1), ROW(INDIRECT("1:" &amp; MATCH(2, 1/(AW527:BH527&lt;&gt;""), 1)-1))) &gt;= 115%, 115%, INDEX(AW527:INDEX(AW527:BH527, MATCH(2, 1/(AW527:BH527&lt;&gt;""), 1)-1), ROW(INDIRECT("1:" &amp; MATCH(2, 1/(AW527:BH527&lt;&gt;""), 1)-1)))), 0))/_xlfn.XLOOKUP(F527,Apuração!A:A,Apuração!B:B))</f>
        <v>0</v>
      </c>
      <c r="BM527" s="55" cm="1">
        <f t="array" ref="BM527">IFERROR(
   INDEX($AW$1:$BH$1,
      _xlfn.AGGREGATE(14, 6, COLUMN($AW$1:$BH$1)/(AW527:BH527&lt;&gt;""), 2) - COLUMN($AW$1) + 1
   ),
"")</f>
        <v>46082</v>
      </c>
      <c r="BN527" s="55" cm="1">
        <f t="array" ref="BN527">IFERROR(INDEX($AW$1:$BH$1,1,MATCH(2,1/(AW527:BH527&lt;&gt;""))),"")</f>
        <v>46113</v>
      </c>
      <c r="BO527" s="53">
        <f ca="1">IFERROR(_xlfn.XLOOKUP(F527,Apuração!A:A,Apuração!C:C)/_xlfn.XLOOKUP(F527,Apuração!A:A,Apuração!B:B),0)</f>
        <v>0</v>
      </c>
      <c r="BP527" s="53">
        <f ca="1">IFERROR(_xlfn.XLOOKUP(F527,Apuração!A:A,Apuração!D:D)/_xlfn.XLOOKUP(F527,Apuração!A:A,Apuração!B:B),0)</f>
        <v>0</v>
      </c>
      <c r="BQ527" s="53">
        <f ca="1">IF(BK527&gt;=BO527,0,_xlfn.XLOOKUP(F527,Apuração!A:A,Apuração!B:B)*(BO527 + (1/_xlfn.XLOOKUP(F527,Apuração!A:A,Apuração!B:B)) - BK527))</f>
        <v>0</v>
      </c>
      <c r="BR527" s="85">
        <f t="shared" ca="1" si="841"/>
        <v>0</v>
      </c>
      <c r="BS527" s="53">
        <f ca="1">IFERROR((_xlfn.XLOOKUP(F527,Apuração!A:A,Apuração!C:C)+1)/_xlfn.XLOOKUP(F527,Apuração!A:A,Apuração!B:B),0)</f>
        <v>0.14285714285714285</v>
      </c>
    </row>
    <row r="528" spans="1:71" ht="25.95" hidden="1" customHeight="1" x14ac:dyDescent="0.3">
      <c r="A528" s="20" t="s">
        <v>87</v>
      </c>
      <c r="B528" s="4" t="s">
        <v>222</v>
      </c>
      <c r="C528" s="5" t="s">
        <v>97</v>
      </c>
      <c r="D528" s="5" t="s">
        <v>36</v>
      </c>
      <c r="E528" s="4" t="str" cm="1">
        <f t="array" ref="E528">_xlfn.IFS(
F528 = "A partir de Abril", "Aguardando Execução na Distribuidora",
A528 = "CAPACITAÇÃO", "Em execução no Corporativo",
TRUE, "Em Execução na Distribuidora"
)</f>
        <v>Em Execução na Distribuidora</v>
      </c>
      <c r="F528" s="4" t="str" cm="1">
        <f t="array" ref="F528">_xlfn.IFS(
AG528 &lt;&gt; "", "Jan-Dez/26",
AH528 &lt;&gt; "", "Fev-Dez/26",
AI528 &lt;&gt; "", "Mar-Dez/26", AJ528 &lt;&gt; "", "Abr-Dez/26",
TRUE, "A partir de Junho"
)</f>
        <v>Jan-Dez/26</v>
      </c>
      <c r="G528" s="7" t="s">
        <v>37</v>
      </c>
      <c r="H528" s="7" t="s">
        <v>38</v>
      </c>
      <c r="I528" s="8" t="s">
        <v>223</v>
      </c>
      <c r="J528" s="21" t="str" cm="1">
        <f t="array" aca="1" ref="J528" ca="1">_xlfn.LET(
  _xlpm.actual_value_month, INDEX(T528:AE528, MATCH(DATE(YEAR(TODAY()), MONTH(TODAY()), 1), $T$1:$AE$1, 0)),
  IF(_xlpm.actual_value_month &lt;&gt; "",_xlpm.actual_value_month &amp; " inspeções mensais", "")
)</f>
        <v>397 inspeções mensais</v>
      </c>
      <c r="K528" s="8" t="str" cm="1">
        <f t="array" ref="K528">_xlfn.LET(
    _xlpm.sum_month, SUM(T528:AE528),
    IF(_xlpm.sum_month = 0, "", _xlpm.sum_month &amp; " inspeções realizadas no ano")
)</f>
        <v>5704 inspeções realizadas no ano</v>
      </c>
      <c r="L528" s="4" t="s">
        <v>144</v>
      </c>
      <c r="M528" s="19" t="s">
        <v>224</v>
      </c>
      <c r="N528" s="5" t="s">
        <v>42</v>
      </c>
      <c r="O528" s="5" t="s">
        <v>43</v>
      </c>
      <c r="P528" s="10" t="s">
        <v>44</v>
      </c>
      <c r="Q528" s="10" t="s">
        <v>72</v>
      </c>
      <c r="R528" s="11" t="s">
        <v>225</v>
      </c>
      <c r="S528" s="11" t="s">
        <v>44</v>
      </c>
      <c r="T528" s="22">
        <v>523</v>
      </c>
      <c r="U528" s="22">
        <v>569</v>
      </c>
      <c r="V528" s="22">
        <v>1039</v>
      </c>
      <c r="W528" s="22">
        <v>397</v>
      </c>
      <c r="X528" s="22">
        <v>397</v>
      </c>
      <c r="Y528" s="22">
        <v>397</v>
      </c>
      <c r="Z528" s="22">
        <v>397</v>
      </c>
      <c r="AA528" s="22">
        <v>397</v>
      </c>
      <c r="AB528" s="22">
        <v>397</v>
      </c>
      <c r="AC528" s="22">
        <v>397</v>
      </c>
      <c r="AD528" s="22">
        <v>397</v>
      </c>
      <c r="AE528" s="22">
        <v>397</v>
      </c>
      <c r="AG528" s="71">
        <v>523</v>
      </c>
      <c r="AH528" s="71">
        <v>569</v>
      </c>
      <c r="AI528" s="71">
        <v>1039</v>
      </c>
      <c r="AJ528" s="71">
        <v>1057</v>
      </c>
      <c r="AK528" s="71">
        <v>1150</v>
      </c>
      <c r="AL528" s="71"/>
      <c r="AM528" s="71"/>
      <c r="AN528" s="71"/>
      <c r="AO528" s="71"/>
      <c r="AP528" s="71"/>
      <c r="AQ528" s="71"/>
      <c r="AR528" s="71"/>
      <c r="AS528" s="94">
        <f t="shared" ca="1" si="853"/>
        <v>2925</v>
      </c>
      <c r="AT528" s="95">
        <f>SUM(IF(AW528&lt;1.15,AG528,1.15*T528),IF(AX528&lt;1.15,AH528,1.15*U528),IF(AY528&lt;1.15,AI528,1.15*V528),IF(AZ528&lt;1.15,AJ528,1.15*W528),IF(BA528&lt;1.15,AK528,1.15*X528),IF(BB528&lt;1.15,AL528,1.15*Y528),IF(BC528&lt;1.15,AM528,1.15*Z528),IF(BD528&lt;1.15,AN528,1.15*AA528),IF(BE528&lt;1.15,AO528,1.15*AB528),IF(BF528&lt;1.15,AP528,1.15*AC528),IF(BG528&lt;1.15,AQ528,1.15*AD528),IF(BH528&lt;1.15,AR528,1.15*AE528))</f>
        <v>3044.1000000000004</v>
      </c>
      <c r="AU528" s="97">
        <f t="shared" si="854"/>
        <v>4338</v>
      </c>
      <c r="AW528" s="51">
        <f>IFERROR(IF(AG528="",0,AG528/T528),0)</f>
        <v>1</v>
      </c>
      <c r="AX528" s="51">
        <f>IFERROR(IF(AH528="",0,AH528/U528),0)</f>
        <v>1</v>
      </c>
      <c r="AY528" s="51">
        <f>IFERROR(IF(AI528="",0,AI528/V528),0)</f>
        <v>1</v>
      </c>
      <c r="AZ528" s="51">
        <f>IFERROR(IF(AJ528="",0,AJ528/W528),0)</f>
        <v>2.6624685138539044</v>
      </c>
      <c r="BA528" s="51">
        <f t="shared" ref="BA528:BA538" si="873">IFERROR(IF(AK528="",0,AK528/X528),0)</f>
        <v>2.8967254408060454</v>
      </c>
      <c r="BB528" s="51"/>
      <c r="BC528" s="51"/>
      <c r="BD528" s="51"/>
      <c r="BE528" s="51"/>
      <c r="BF528" s="51"/>
      <c r="BG528" s="51"/>
      <c r="BH528" s="51"/>
      <c r="BI528" s="65" cm="1">
        <f t="array" ref="BI528">IFERROR(INDEX(AW528:BH528,1,MATCH(2,1/(AW528:BH528&lt;&gt;""))),"")</f>
        <v>2.8967254408060454</v>
      </c>
      <c r="BJ528" s="68" cm="1">
        <f t="array" ref="BJ528">IF(BM528 = "", "",IFERROR(INDEX(AW528:BH528,1,MATCH(2,1/(AW528:BH528&lt;&gt;""),1)-1),""))</f>
        <v>2.6624685138539044</v>
      </c>
      <c r="BK528" s="58">
        <f>IF((IF(AW528&gt;=115%,115%,AW528) + IF(AX528&gt;=115%,115%,AX528) + IF(AY528&gt;=115%,115%,AY528) + (IF(AZ528&gt;=163%,163%,AZ528) + IF(BA528&gt;=115%,115%,BA528) + IF(BB528&gt;=115%,115%,BB528) + IF(BC528&gt;=115%,115%,BC528) + IF(BD528&gt;=115%,115%,BD528) + IF(BE528&gt;=115%,115%,BE528) + IF(BF528&gt;=115%,115%,BF528) + IF(BG528&gt;=115%,115%,BG528) + IF(BH528&gt;=115%,115%,BH528)))/_xlfn.XLOOKUP(F528,Apuração!A:A,Apuração!B:B)&gt;=1.15,1.15,((IF(AZ528&gt;=163%,163%,AZ528) + IF(AX528&gt;=115%,115%,AX528) + IF(AY528&gt;=115%,115%,AY528) + (IF(AW528&gt;=115%,115%,AW528) + IF(BA528&gt;=115%,115%,BA528) + IF(BB528&gt;=115%,115%,BB528) + IF(BC528&gt;=115%,115%,BC528) + IF(BD528&gt;=115%,115%,BD528) + IF(BE528&gt;=115%,115%,BE528) + IF(BF528&gt;=115%,115%,BF528) + IF(BG528&gt;=115%,115%,BG528) + IF(BH528&gt;=115%,115%,BH528)))/_xlfn.XLOOKUP(F528,Apuração!A:A,Apuração!B:B)))</f>
        <v>0.48166666666666663</v>
      </c>
      <c r="BL528" s="58" cm="1">
        <f t="array" aca="1" ref="BL528" ca="1">IF(SUM(IFERROR(IF(INDEX(AW528:INDEX(AW528:BH528, MATCH(2, 1/(AW528:BH528&lt;&gt;""), 1)-1), ROW(INDIRECT("1:" &amp; MATCH(2, 1/(AW528:BH528&lt;&gt;""), 1)-1))) &gt;= 115%, 115%, INDEX(AW528:INDEX(AW528:BH528, MATCH(2, 1/(AW528:BH528&lt;&gt;""), 1)-1), ROW(INDIRECT("1:" &amp; MATCH(2, 1/(AW528:BH528&lt;&gt;""), 1)-1)))), 0))/_xlfn.XLOOKUP(F528,Apuração!A:A,Apuração!B:B)&gt;=1.15,1.15,SUM(IFERROR(IF(INDEX(AW528:INDEX(AW528:BH528, MATCH(2, 1/(AW528:BH528&lt;&gt;""), 1)-1), ROW(INDIRECT("1:" &amp; MATCH(2, 1/(AW528:BH528&lt;&gt;""), 1)-1))) &gt;= 115%, 115%, INDEX(AW528:INDEX(AW528:BH528, MATCH(2, 1/(AW528:BH528&lt;&gt;""), 1)-1), ROW(INDIRECT("1:" &amp; MATCH(2, 1/(AW528:BH528&lt;&gt;""), 1)-1)))), 0))/_xlfn.XLOOKUP(F528,Apuração!A:A,Apuração!B:B))</f>
        <v>0.34583333333333338</v>
      </c>
      <c r="BM528" s="55" cm="1">
        <f t="array" ref="BM528">IFERROR(
   INDEX($AW$1:$BH$1,
      _xlfn.AGGREGATE(14, 6, COLUMN($AW$1:$BH$1)/(AW528:BH528&lt;&gt;""), 2) - COLUMN($AW$1) + 1
   ),
"")</f>
        <v>46113</v>
      </c>
      <c r="BN528" s="55" cm="1">
        <f t="array" ref="BN528">IFERROR(INDEX($AW$1:$BH$1,1,MATCH(2,1/(AW528:BH528&lt;&gt;""))),"")</f>
        <v>46143</v>
      </c>
      <c r="BO528" s="53">
        <f ca="1">IFERROR(_xlfn.XLOOKUP(F528,Apuração!A:A,Apuração!C:C)/_xlfn.XLOOKUP(F528,Apuração!A:A,Apuração!B:B),0)</f>
        <v>0.41666666666666669</v>
      </c>
      <c r="BP528" s="53">
        <f ca="1">IFERROR(_xlfn.XLOOKUP(F528,Apuração!A:A,Apuração!D:D)/_xlfn.XLOOKUP(F528,Apuração!A:A,Apuração!B:B),0)</f>
        <v>0.33333333333333331</v>
      </c>
      <c r="BQ528" s="53">
        <f ca="1">IF(BK528&gt;=BO528,0,_xlfn.XLOOKUP(F528,Apuração!A:A,Apuração!B:B)*(BO528 + (1/_xlfn.XLOOKUP(F528,Apuração!A:A,Apuração!B:B)) - BK528))</f>
        <v>0</v>
      </c>
      <c r="BR528" s="85">
        <f t="shared" ca="1" si="841"/>
        <v>0</v>
      </c>
      <c r="BS528" s="53">
        <f ca="1">IFERROR((_xlfn.XLOOKUP(F528,Apuração!A:A,Apuração!C:C)+1)/_xlfn.XLOOKUP(F528,Apuração!A:A,Apuração!B:B),0)</f>
        <v>0.5</v>
      </c>
    </row>
    <row r="529" spans="1:71" ht="25.95" hidden="1" customHeight="1" x14ac:dyDescent="0.3">
      <c r="A529" s="20" t="s">
        <v>87</v>
      </c>
      <c r="B529" s="4" t="s">
        <v>222</v>
      </c>
      <c r="C529" s="5" t="s">
        <v>97</v>
      </c>
      <c r="D529" s="5" t="s">
        <v>98</v>
      </c>
      <c r="E529" s="4" t="str" cm="1">
        <f t="array" ref="E529">_xlfn.IFS(
F529 = "A partir de Abril", "Aguardando Execução na Distribuidora",
A529 = "CAPACITAÇÃO", "Em execução no Corporativo",
TRUE, "Em Execução na Distribuidora"
)</f>
        <v>Em Execução na Distribuidora</v>
      </c>
      <c r="F529" s="4" t="str" cm="1">
        <f t="array" ref="F529">_xlfn.IFS(
AG529 &lt;&gt; "", "Jan-Dez/26",
AH529 &lt;&gt; "", "Fev-Dez/26",
AI529 &lt;&gt; "", "Mar-Dez/26", AJ529 &lt;&gt; "", "Abr-Dez/26",
TRUE, "A partir de Junho"
)</f>
        <v>Jan-Dez/26</v>
      </c>
      <c r="G529" s="7" t="s">
        <v>37</v>
      </c>
      <c r="H529" s="7" t="s">
        <v>38</v>
      </c>
      <c r="I529" s="8" t="s">
        <v>223</v>
      </c>
      <c r="J529" s="21" t="str" cm="1">
        <f t="array" aca="1" ref="J529" ca="1">_xlfn.LET(
  _xlpm.actual_value_month, INDEX(T529:AE529, MATCH(DATE(YEAR(TODAY()), MONTH(TODAY()), 1), $T$1:$AE$1, 0)),
  IF(_xlpm.actual_value_month &lt;&gt; "",_xlpm.actual_value_month &amp; " inspeções mensais", "")
)</f>
        <v>32 inspeções mensais</v>
      </c>
      <c r="K529" s="8" t="str" cm="1">
        <f t="array" ref="K529">_xlfn.LET(
    _xlpm.sum_month, SUM(T529:AE529),
    IF(_xlpm.sum_month = 0, "", _xlpm.sum_month &amp; " inspeções realizadas no ano")
)</f>
        <v>459 inspeções realizadas no ano</v>
      </c>
      <c r="L529" s="4" t="s">
        <v>144</v>
      </c>
      <c r="M529" s="19" t="s">
        <v>224</v>
      </c>
      <c r="N529" s="5" t="s">
        <v>42</v>
      </c>
      <c r="O529" s="5" t="s">
        <v>43</v>
      </c>
      <c r="P529" s="10" t="s">
        <v>44</v>
      </c>
      <c r="Q529" s="10" t="s">
        <v>72</v>
      </c>
      <c r="R529" s="11" t="s">
        <v>225</v>
      </c>
      <c r="S529" s="11" t="s">
        <v>44</v>
      </c>
      <c r="T529" s="143">
        <v>60</v>
      </c>
      <c r="U529" s="143">
        <v>53</v>
      </c>
      <c r="V529" s="143">
        <v>58</v>
      </c>
      <c r="W529" s="143">
        <v>32</v>
      </c>
      <c r="X529" s="143">
        <v>32</v>
      </c>
      <c r="Y529" s="143">
        <v>32</v>
      </c>
      <c r="Z529" s="143">
        <v>32</v>
      </c>
      <c r="AA529" s="143">
        <v>32</v>
      </c>
      <c r="AB529" s="143">
        <v>32</v>
      </c>
      <c r="AC529" s="143">
        <v>32</v>
      </c>
      <c r="AD529" s="143">
        <v>32</v>
      </c>
      <c r="AE529" s="143">
        <v>32</v>
      </c>
      <c r="AG529" s="71">
        <v>60</v>
      </c>
      <c r="AH529" s="71">
        <v>53</v>
      </c>
      <c r="AI529" s="71">
        <v>58</v>
      </c>
      <c r="AJ529" s="71">
        <v>51</v>
      </c>
      <c r="AK529" s="71">
        <v>66</v>
      </c>
      <c r="AL529" s="71"/>
      <c r="AM529" s="71"/>
      <c r="AN529" s="71"/>
      <c r="AO529" s="71"/>
      <c r="AP529" s="71"/>
      <c r="AQ529" s="71"/>
      <c r="AR529" s="71"/>
      <c r="AS529" s="94">
        <f t="shared" ref="AS529:AS538" ca="1" si="874">IF(MONTH(TODAY())=3,SUM(T529:U529),IF(MONTH(TODAY())=4,SUM(T529:V529),IF(MONTH(TODAY())=5,SUM(T529:W529),IF(MONTH(TODAY())=6,SUM(T529:X529),IF(MONTH(TODAY())=7,SUM(T529:Y529),IF(MONTH(TODAY())=8,SUM(T529:Z529),IF(MONTH(TODAY())=9,SUM(T529:AA529),IF(MONTH(TODAY())=10,SUM(T529:AB529),IF(MONTH(TODAY())=11,SUM(T529:AC529),IF(MONTH(TODAY())=12,SUM(T529:AD529),IF(MONTH(TODAY())=1,SUM(T529:AE529),T529)))))))))))</f>
        <v>235</v>
      </c>
      <c r="AT529" s="95">
        <f t="shared" ref="AT529:AT538" si="875">SUM(IF(AW529&lt;1.15,AG529,1.15*T529),IF(AX529&lt;1.15,AH529,1.15*U529),IF(AY529&lt;1.15,AI529,1.15*V529),IF(AZ529&lt;1.15,AJ529,1.15*W529),IF(BA529&lt;1.15,AK529,1.15*X529),IF(BB529&lt;1.15,AL529,1.15*Y529),IF(BC529&lt;1.15,AM529,1.15*Z529),IF(BD529&lt;1.15,AN529,1.15*AA529),IF(BE529&lt;1.15,AO529,1.15*AB529),IF(BF529&lt;1.15,AP529,1.15*AC529),IF(BG529&lt;1.15,AQ529,1.15*AD529),IF(BH529&lt;1.15,AR529,1.15*AE529))</f>
        <v>244.60000000000002</v>
      </c>
      <c r="AU529" s="97">
        <f t="shared" ref="AU529:AU538" si="876">SUM(AG529:AR529)</f>
        <v>288</v>
      </c>
      <c r="AW529" s="51">
        <f t="shared" ref="AW529:AW538" si="877">IFERROR(IF(AG529="",0,AG529/T529),0)</f>
        <v>1</v>
      </c>
      <c r="AX529" s="51">
        <f t="shared" ref="AX529:AX538" si="878">IFERROR(IF(AH529="",0,AH529/U529),0)</f>
        <v>1</v>
      </c>
      <c r="AY529" s="51">
        <f t="shared" ref="AY529:AY538" si="879">IFERROR(IF(AI529="",0,AI529/V529),0)</f>
        <v>1</v>
      </c>
      <c r="AZ529" s="51">
        <f t="shared" ref="AZ529:AZ538" si="880">IFERROR(IF(AJ529="",0,AJ529/W529),0)</f>
        <v>1.59375</v>
      </c>
      <c r="BA529" s="51">
        <f t="shared" si="873"/>
        <v>2.0625</v>
      </c>
      <c r="BB529" s="51"/>
      <c r="BC529" s="51"/>
      <c r="BD529" s="51"/>
      <c r="BE529" s="51"/>
      <c r="BF529" s="51"/>
      <c r="BG529" s="51"/>
      <c r="BH529" s="51"/>
      <c r="BI529" s="65" cm="1">
        <f t="array" ref="BI529">IFERROR(INDEX(AW529:BH529,1,MATCH(2,1/(AW529:BH529&lt;&gt;""))),"")</f>
        <v>2.0625</v>
      </c>
      <c r="BJ529" s="68" cm="1">
        <f t="array" ref="BJ529">IF(BM529 = "", "",IFERROR(INDEX(AW529:BH529,1,MATCH(2,1/(AW529:BH529&lt;&gt;""),1)-1),""))</f>
        <v>1.59375</v>
      </c>
      <c r="BK529" s="58">
        <f>IF((IF(AW529&gt;=115%,115%,AW529) + IF(AX529&gt;=115%,115%,AX529) + IF(AY529&gt;=115%,115%,AY529) + (IF(AZ529&gt;=163%,163%,AZ529) + IF(BA529&gt;=115%,115%,BA529) + IF(BB529&gt;=115%,115%,BB529) + IF(BC529&gt;=115%,115%,BC529) + IF(BD529&gt;=115%,115%,BD529) + IF(BE529&gt;=115%,115%,BE529) + IF(BF529&gt;=115%,115%,BF529) + IF(BG529&gt;=115%,115%,BG529) + IF(BH529&gt;=115%,115%,BH529)))/_xlfn.XLOOKUP(F529,Apuração!A:A,Apuração!B:B)&gt;=1.15,1.15,((IF(AZ529&gt;=163%,163%,AZ529) + IF(AX529&gt;=115%,115%,AX529) + IF(AY529&gt;=115%,115%,AY529) + (IF(AW529&gt;=115%,115%,AW529) + IF(BA529&gt;=115%,115%,BA529) + IF(BB529&gt;=115%,115%,BB529) + IF(BC529&gt;=115%,115%,BC529) + IF(BD529&gt;=115%,115%,BD529) + IF(BE529&gt;=115%,115%,BE529) + IF(BF529&gt;=115%,115%,BF529) + IF(BG529&gt;=115%,115%,BG529) + IF(BH529&gt;=115%,115%,BH529)))/_xlfn.XLOOKUP(F529,Apuração!A:A,Apuração!B:B)))</f>
        <v>0.47864583333333338</v>
      </c>
      <c r="BL529" s="58" cm="1">
        <f t="array" aca="1" ref="BL529" ca="1">IF(SUM(IFERROR(IF(INDEX(AW529:INDEX(AW529:BH529, MATCH(2, 1/(AW529:BH529&lt;&gt;""), 1)-1), ROW(INDIRECT("1:" &amp; MATCH(2, 1/(AW529:BH529&lt;&gt;""), 1)-1))) &gt;= 115%, 115%, INDEX(AW529:INDEX(AW529:BH529, MATCH(2, 1/(AW529:BH529&lt;&gt;""), 1)-1), ROW(INDIRECT("1:" &amp; MATCH(2, 1/(AW529:BH529&lt;&gt;""), 1)-1)))), 0))/_xlfn.XLOOKUP(F529,Apuração!A:A,Apuração!B:B)&gt;=1.15,1.15,SUM(IFERROR(IF(INDEX(AW529:INDEX(AW529:BH529, MATCH(2, 1/(AW529:BH529&lt;&gt;""), 1)-1), ROW(INDIRECT("1:" &amp; MATCH(2, 1/(AW529:BH529&lt;&gt;""), 1)-1))) &gt;= 115%, 115%, INDEX(AW529:INDEX(AW529:BH529, MATCH(2, 1/(AW529:BH529&lt;&gt;""), 1)-1), ROW(INDIRECT("1:" &amp; MATCH(2, 1/(AW529:BH529&lt;&gt;""), 1)-1)))), 0))/_xlfn.XLOOKUP(F529,Apuração!A:A,Apuração!B:B))</f>
        <v>0.34583333333333338</v>
      </c>
      <c r="BM529" s="55" cm="1">
        <f t="array" ref="BM529">IFERROR(
   INDEX($AW$1:$BH$1,
      _xlfn.AGGREGATE(14, 6, COLUMN($AW$1:$BH$1)/(AW529:BH529&lt;&gt;""), 2) - COLUMN($AW$1) + 1
   ),
"")</f>
        <v>46113</v>
      </c>
      <c r="BN529" s="55" cm="1">
        <f t="array" ref="BN529">IFERROR(INDEX($AW$1:$BH$1,1,MATCH(2,1/(AW529:BH529&lt;&gt;""))),"")</f>
        <v>46143</v>
      </c>
      <c r="BO529" s="53">
        <f ca="1">IFERROR(_xlfn.XLOOKUP(F529,Apuração!A:A,Apuração!C:C)/_xlfn.XLOOKUP(F529,Apuração!A:A,Apuração!B:B),0)</f>
        <v>0.41666666666666669</v>
      </c>
      <c r="BP529" s="53">
        <f ca="1">IFERROR(_xlfn.XLOOKUP(F529,Apuração!A:A,Apuração!D:D)/_xlfn.XLOOKUP(F529,Apuração!A:A,Apuração!B:B),0)</f>
        <v>0.33333333333333331</v>
      </c>
      <c r="BQ529" s="53">
        <f ca="1">IF(BK529&gt;=BO529,0,_xlfn.XLOOKUP(F529,Apuração!A:A,Apuração!B:B)*(BO529 + (1/_xlfn.XLOOKUP(F529,Apuração!A:A,Apuração!B:B)) - BK529))</f>
        <v>0</v>
      </c>
      <c r="BR529" s="85">
        <f t="shared" ref="BR529:BR538" ca="1" si="881">IF(BQ529=0,0,BQ529*Z529)</f>
        <v>0</v>
      </c>
      <c r="BS529" s="53">
        <f ca="1">IFERROR((_xlfn.XLOOKUP(F529,Apuração!A:A,Apuração!C:C)+1)/_xlfn.XLOOKUP(F529,Apuração!A:A,Apuração!B:B),0)</f>
        <v>0.5</v>
      </c>
    </row>
    <row r="530" spans="1:71" ht="25.95" hidden="1" customHeight="1" x14ac:dyDescent="0.3">
      <c r="A530" s="20" t="s">
        <v>87</v>
      </c>
      <c r="B530" s="4" t="s">
        <v>222</v>
      </c>
      <c r="C530" s="5" t="s">
        <v>97</v>
      </c>
      <c r="D530" s="5" t="s">
        <v>99</v>
      </c>
      <c r="E530" s="4" t="str" cm="1">
        <f t="array" ref="E530">_xlfn.IFS(
F530 = "A partir de Abril", "Aguardando Execução na Distribuidora",
A530 = "CAPACITAÇÃO", "Em execução no Corporativo",
TRUE, "Em Execução na Distribuidora"
)</f>
        <v>Em Execução na Distribuidora</v>
      </c>
      <c r="F530" s="4" t="str" cm="1">
        <f t="array" ref="F530">_xlfn.IFS(
AG530 &lt;&gt; "", "Jan-Dez/26",
AH530 &lt;&gt; "", "Fev-Dez/26",
AI530 &lt;&gt; "", "Mar-Dez/26", AJ530 &lt;&gt; "", "Abr-Dez/26",
TRUE, "A partir de Junho"
)</f>
        <v>Jan-Dez/26</v>
      </c>
      <c r="G530" s="7" t="s">
        <v>37</v>
      </c>
      <c r="H530" s="7" t="s">
        <v>38</v>
      </c>
      <c r="I530" s="8" t="s">
        <v>223</v>
      </c>
      <c r="J530" s="21" t="str" cm="1">
        <f t="array" aca="1" ref="J530" ca="1">_xlfn.LET(
  _xlpm.actual_value_month, INDEX(T530:AE530, MATCH(DATE(YEAR(TODAY()), MONTH(TODAY()), 1), $T$1:$AE$1, 0)),
  IF(_xlpm.actual_value_month &lt;&gt; "",_xlpm.actual_value_month &amp; " inspeções mensais", "")
)</f>
        <v>34 inspeções mensais</v>
      </c>
      <c r="K530" s="8" t="str" cm="1">
        <f t="array" ref="K530">_xlfn.LET(
    _xlpm.sum_month, SUM(T530:AE530),
    IF(_xlpm.sum_month = 0, "", _xlpm.sum_month &amp; " inspeções realizadas no ano")
)</f>
        <v>390 inspeções realizadas no ano</v>
      </c>
      <c r="L530" s="4" t="s">
        <v>144</v>
      </c>
      <c r="M530" s="19" t="s">
        <v>224</v>
      </c>
      <c r="N530" s="5" t="s">
        <v>42</v>
      </c>
      <c r="O530" s="5" t="s">
        <v>43</v>
      </c>
      <c r="P530" s="10" t="s">
        <v>44</v>
      </c>
      <c r="Q530" s="10" t="s">
        <v>72</v>
      </c>
      <c r="R530" s="11" t="s">
        <v>225</v>
      </c>
      <c r="S530" s="11" t="s">
        <v>44</v>
      </c>
      <c r="T530" s="143">
        <v>29</v>
      </c>
      <c r="U530" s="143">
        <v>27</v>
      </c>
      <c r="V530" s="143">
        <v>28</v>
      </c>
      <c r="W530" s="143">
        <v>34</v>
      </c>
      <c r="X530" s="143">
        <v>34</v>
      </c>
      <c r="Y530" s="143">
        <v>34</v>
      </c>
      <c r="Z530" s="143">
        <v>34</v>
      </c>
      <c r="AA530" s="143">
        <v>34</v>
      </c>
      <c r="AB530" s="143">
        <v>34</v>
      </c>
      <c r="AC530" s="143">
        <v>34</v>
      </c>
      <c r="AD530" s="143">
        <v>34</v>
      </c>
      <c r="AE530" s="143">
        <v>34</v>
      </c>
      <c r="AG530" s="71">
        <v>29</v>
      </c>
      <c r="AH530" s="71">
        <v>27</v>
      </c>
      <c r="AI530" s="71">
        <v>28</v>
      </c>
      <c r="AJ530" s="71">
        <v>15</v>
      </c>
      <c r="AK530" s="71">
        <v>30</v>
      </c>
      <c r="AL530" s="71"/>
      <c r="AM530" s="71"/>
      <c r="AN530" s="71"/>
      <c r="AO530" s="71"/>
      <c r="AP530" s="71"/>
      <c r="AQ530" s="71"/>
      <c r="AR530" s="71"/>
      <c r="AS530" s="94">
        <f t="shared" ca="1" si="874"/>
        <v>152</v>
      </c>
      <c r="AT530" s="95">
        <f t="shared" si="875"/>
        <v>129</v>
      </c>
      <c r="AU530" s="97">
        <f t="shared" si="876"/>
        <v>129</v>
      </c>
      <c r="AW530" s="51">
        <f t="shared" si="877"/>
        <v>1</v>
      </c>
      <c r="AX530" s="51">
        <f t="shared" si="878"/>
        <v>1</v>
      </c>
      <c r="AY530" s="51">
        <f t="shared" si="879"/>
        <v>1</v>
      </c>
      <c r="AZ530" s="51">
        <f t="shared" si="880"/>
        <v>0.44117647058823528</v>
      </c>
      <c r="BA530" s="51">
        <f t="shared" si="873"/>
        <v>0.88235294117647056</v>
      </c>
      <c r="BB530" s="51"/>
      <c r="BC530" s="51"/>
      <c r="BD530" s="51"/>
      <c r="BE530" s="51"/>
      <c r="BF530" s="51"/>
      <c r="BG530" s="51"/>
      <c r="BH530" s="51"/>
      <c r="BI530" s="65" cm="1">
        <f t="array" ref="BI530">IFERROR(INDEX(AW530:BH530,1,MATCH(2,1/(AW530:BH530&lt;&gt;""))),"")</f>
        <v>0.88235294117647056</v>
      </c>
      <c r="BJ530" s="68" cm="1">
        <f t="array" ref="BJ530">IF(BM530 = "", "",IFERROR(INDEX(AW530:BH530,1,MATCH(2,1/(AW530:BH530&lt;&gt;""),1)-1),""))</f>
        <v>0.44117647058823528</v>
      </c>
      <c r="BK530" s="58">
        <f>IF((IF(AW530&gt;=115%,115%,AW530) + IF(AX530&gt;=115%,115%,AX530) + IF(AY530&gt;=115%,115%,AY530) + (IF(AZ530&gt;=163%,163%,AZ530) + IF(BA530&gt;=115%,115%,BA530) + IF(BB530&gt;=115%,115%,BB530) + IF(BC530&gt;=115%,115%,BC530) + IF(BD530&gt;=115%,115%,BD530) + IF(BE530&gt;=115%,115%,BE530) + IF(BF530&gt;=115%,115%,BF530) + IF(BG530&gt;=115%,115%,BG530) + IF(BH530&gt;=115%,115%,BH530)))/_xlfn.XLOOKUP(F530,Apuração!A:A,Apuração!B:B)&gt;=1.15,1.15,((IF(AZ530&gt;=163%,163%,AZ530) + IF(AX530&gt;=115%,115%,AX530) + IF(AY530&gt;=115%,115%,AY530) + (IF(AW530&gt;=115%,115%,AW530) + IF(BA530&gt;=115%,115%,BA530) + IF(BB530&gt;=115%,115%,BB530) + IF(BC530&gt;=115%,115%,BC530) + IF(BD530&gt;=115%,115%,BD530) + IF(BE530&gt;=115%,115%,BE530) + IF(BF530&gt;=115%,115%,BF530) + IF(BG530&gt;=115%,115%,BG530) + IF(BH530&gt;=115%,115%,BH530)))/_xlfn.XLOOKUP(F530,Apuração!A:A,Apuração!B:B)))</f>
        <v>0.36029411764705888</v>
      </c>
      <c r="BL530" s="58" cm="1">
        <f t="array" aca="1" ref="BL530" ca="1">IF(SUM(IFERROR(IF(INDEX(AW530:INDEX(AW530:BH530, MATCH(2, 1/(AW530:BH530&lt;&gt;""), 1)-1), ROW(INDIRECT("1:" &amp; MATCH(2, 1/(AW530:BH530&lt;&gt;""), 1)-1))) &gt;= 115%, 115%, INDEX(AW530:INDEX(AW530:BH530, MATCH(2, 1/(AW530:BH530&lt;&gt;""), 1)-1), ROW(INDIRECT("1:" &amp; MATCH(2, 1/(AW530:BH530&lt;&gt;""), 1)-1)))), 0))/_xlfn.XLOOKUP(F530,Apuração!A:A,Apuração!B:B)&gt;=1.15,1.15,SUM(IFERROR(IF(INDEX(AW530:INDEX(AW530:BH530, MATCH(2, 1/(AW530:BH530&lt;&gt;""), 1)-1), ROW(INDIRECT("1:" &amp; MATCH(2, 1/(AW530:BH530&lt;&gt;""), 1)-1))) &gt;= 115%, 115%, INDEX(AW530:INDEX(AW530:BH530, MATCH(2, 1/(AW530:BH530&lt;&gt;""), 1)-1), ROW(INDIRECT("1:" &amp; MATCH(2, 1/(AW530:BH530&lt;&gt;""), 1)-1)))), 0))/_xlfn.XLOOKUP(F530,Apuração!A:A,Apuração!B:B))</f>
        <v>0.28676470588235298</v>
      </c>
      <c r="BM530" s="55" cm="1">
        <f t="array" ref="BM530">IFERROR(
   INDEX($AW$1:$BH$1,
      _xlfn.AGGREGATE(14, 6, COLUMN($AW$1:$BH$1)/(AW530:BH530&lt;&gt;""), 2) - COLUMN($AW$1) + 1
   ),
"")</f>
        <v>46113</v>
      </c>
      <c r="BN530" s="55" cm="1">
        <f t="array" ref="BN530">IFERROR(INDEX($AW$1:$BH$1,1,MATCH(2,1/(AW530:BH530&lt;&gt;""))),"")</f>
        <v>46143</v>
      </c>
      <c r="BO530" s="53">
        <f ca="1">IFERROR(_xlfn.XLOOKUP(F530,Apuração!A:A,Apuração!C:C)/_xlfn.XLOOKUP(F530,Apuração!A:A,Apuração!B:B),0)</f>
        <v>0.41666666666666669</v>
      </c>
      <c r="BP530" s="53">
        <f ca="1">IFERROR(_xlfn.XLOOKUP(F530,Apuração!A:A,Apuração!D:D)/_xlfn.XLOOKUP(F530,Apuração!A:A,Apuração!B:B),0)</f>
        <v>0.33333333333333331</v>
      </c>
      <c r="BQ530" s="53">
        <f ca="1">IF(BK530&gt;=BO530,0,_xlfn.XLOOKUP(F530,Apuração!A:A,Apuração!B:B)*(BO530 + (1/_xlfn.XLOOKUP(F530,Apuração!A:A,Apuração!B:B)) - BK530))</f>
        <v>1.6764705882352935</v>
      </c>
      <c r="BR530" s="85">
        <f t="shared" ca="1" si="881"/>
        <v>56.999999999999979</v>
      </c>
      <c r="BS530" s="53">
        <f ca="1">IFERROR((_xlfn.XLOOKUP(F530,Apuração!A:A,Apuração!C:C)+1)/_xlfn.XLOOKUP(F530,Apuração!A:A,Apuração!B:B),0)</f>
        <v>0.5</v>
      </c>
    </row>
    <row r="531" spans="1:71" ht="25.95" hidden="1" customHeight="1" x14ac:dyDescent="0.3">
      <c r="A531" s="20" t="s">
        <v>87</v>
      </c>
      <c r="B531" s="4" t="s">
        <v>222</v>
      </c>
      <c r="C531" s="5" t="s">
        <v>97</v>
      </c>
      <c r="D531" s="5" t="s">
        <v>100</v>
      </c>
      <c r="E531" s="4" t="str" cm="1">
        <f t="array" ref="E531">_xlfn.IFS(
F531 = "A partir de Abril", "Aguardando Execução na Distribuidora",
A531 = "CAPACITAÇÃO", "Em execução no Corporativo",
TRUE, "Em Execução na Distribuidora"
)</f>
        <v>Em Execução na Distribuidora</v>
      </c>
      <c r="F531" s="4" t="str" cm="1">
        <f t="array" ref="F531">_xlfn.IFS(
AG531 &lt;&gt; "", "Jan-Dez/26",
AH531 &lt;&gt; "", "Fev-Dez/26",
AI531 &lt;&gt; "", "Mar-Dez/26", AJ531 &lt;&gt; "", "Abr-Dez/26",
TRUE, "A partir de Junho"
)</f>
        <v>Jan-Dez/26</v>
      </c>
      <c r="G531" s="7" t="s">
        <v>37</v>
      </c>
      <c r="H531" s="7" t="s">
        <v>38</v>
      </c>
      <c r="I531" s="8" t="s">
        <v>223</v>
      </c>
      <c r="J531" s="21" t="str" cm="1">
        <f t="array" aca="1" ref="J531" ca="1">_xlfn.LET(
  _xlpm.actual_value_month, INDEX(T531:AE531, MATCH(DATE(YEAR(TODAY()), MONTH(TODAY()), 1), $T$1:$AE$1, 0)),
  IF(_xlpm.actual_value_month &lt;&gt; "",_xlpm.actual_value_month &amp; " inspeções mensais", "")
)</f>
        <v>119 inspeções mensais</v>
      </c>
      <c r="K531" s="8" t="str" cm="1">
        <f t="array" ref="K531">_xlfn.LET(
    _xlpm.sum_month, SUM(T531:AE531),
    IF(_xlpm.sum_month = 0, "", _xlpm.sum_month &amp; " inspeções realizadas no ano")
)</f>
        <v>1509 inspeções realizadas no ano</v>
      </c>
      <c r="L531" s="4" t="s">
        <v>144</v>
      </c>
      <c r="M531" s="19" t="s">
        <v>224</v>
      </c>
      <c r="N531" s="5" t="s">
        <v>42</v>
      </c>
      <c r="O531" s="5" t="s">
        <v>43</v>
      </c>
      <c r="P531" s="10" t="s">
        <v>44</v>
      </c>
      <c r="Q531" s="10" t="s">
        <v>72</v>
      </c>
      <c r="R531" s="11" t="s">
        <v>225</v>
      </c>
      <c r="S531" s="11" t="s">
        <v>44</v>
      </c>
      <c r="T531" s="143">
        <v>23</v>
      </c>
      <c r="U531" s="143">
        <v>96</v>
      </c>
      <c r="V531" s="143">
        <v>319</v>
      </c>
      <c r="W531" s="143">
        <v>119</v>
      </c>
      <c r="X531" s="143">
        <v>119</v>
      </c>
      <c r="Y531" s="143">
        <v>119</v>
      </c>
      <c r="Z531" s="143">
        <v>119</v>
      </c>
      <c r="AA531" s="143">
        <v>119</v>
      </c>
      <c r="AB531" s="143">
        <v>119</v>
      </c>
      <c r="AC531" s="143">
        <v>119</v>
      </c>
      <c r="AD531" s="143">
        <v>119</v>
      </c>
      <c r="AE531" s="143">
        <v>119</v>
      </c>
      <c r="AG531" s="71">
        <v>23</v>
      </c>
      <c r="AH531" s="71">
        <v>96</v>
      </c>
      <c r="AI531" s="71">
        <v>319</v>
      </c>
      <c r="AJ531" s="71">
        <v>326</v>
      </c>
      <c r="AK531" s="71">
        <v>296</v>
      </c>
      <c r="AL531" s="71"/>
      <c r="AM531" s="71"/>
      <c r="AN531" s="71"/>
      <c r="AO531" s="71"/>
      <c r="AP531" s="71"/>
      <c r="AQ531" s="71"/>
      <c r="AR531" s="71"/>
      <c r="AS531" s="94">
        <f t="shared" ca="1" si="874"/>
        <v>676</v>
      </c>
      <c r="AT531" s="95">
        <f t="shared" si="875"/>
        <v>711.7</v>
      </c>
      <c r="AU531" s="97">
        <f t="shared" si="876"/>
        <v>1060</v>
      </c>
      <c r="AW531" s="51">
        <f t="shared" si="877"/>
        <v>1</v>
      </c>
      <c r="AX531" s="51">
        <f t="shared" si="878"/>
        <v>1</v>
      </c>
      <c r="AY531" s="51">
        <f t="shared" si="879"/>
        <v>1</v>
      </c>
      <c r="AZ531" s="51">
        <f t="shared" si="880"/>
        <v>2.7394957983193278</v>
      </c>
      <c r="BA531" s="51">
        <f t="shared" si="873"/>
        <v>2.4873949579831933</v>
      </c>
      <c r="BB531" s="51"/>
      <c r="BC531" s="51"/>
      <c r="BD531" s="51"/>
      <c r="BE531" s="51"/>
      <c r="BF531" s="51"/>
      <c r="BG531" s="51"/>
      <c r="BH531" s="51"/>
      <c r="BI531" s="65" cm="1">
        <f t="array" ref="BI531">IFERROR(INDEX(AW531:BH531,1,MATCH(2,1/(AW531:BH531&lt;&gt;""))),"")</f>
        <v>2.4873949579831933</v>
      </c>
      <c r="BJ531" s="68" cm="1">
        <f t="array" ref="BJ531">IF(BM531 = "", "",IFERROR(INDEX(AW531:BH531,1,MATCH(2,1/(AW531:BH531&lt;&gt;""),1)-1),""))</f>
        <v>2.7394957983193278</v>
      </c>
      <c r="BK531" s="58">
        <f>IF((IF(AW531&gt;=115%,115%,AW531) + IF(AX531&gt;=115%,115%,AX531) + IF(AY531&gt;=115%,115%,AY531) + (IF(AZ531&gt;=163%,163%,AZ531) + IF(BA531&gt;=115%,115%,BA531) + IF(BB531&gt;=115%,115%,BB531) + IF(BC531&gt;=115%,115%,BC531) + IF(BD531&gt;=115%,115%,BD531) + IF(BE531&gt;=115%,115%,BE531) + IF(BF531&gt;=115%,115%,BF531) + IF(BG531&gt;=115%,115%,BG531) + IF(BH531&gt;=115%,115%,BH531)))/_xlfn.XLOOKUP(F531,Apuração!A:A,Apuração!B:B)&gt;=1.15,1.15,((IF(AZ531&gt;=163%,163%,AZ531) + IF(AX531&gt;=115%,115%,AX531) + IF(AY531&gt;=115%,115%,AY531) + (IF(AW531&gt;=115%,115%,AW531) + IF(BA531&gt;=115%,115%,BA531) + IF(BB531&gt;=115%,115%,BB531) + IF(BC531&gt;=115%,115%,BC531) + IF(BD531&gt;=115%,115%,BD531) + IF(BE531&gt;=115%,115%,BE531) + IF(BF531&gt;=115%,115%,BF531) + IF(BG531&gt;=115%,115%,BG531) + IF(BH531&gt;=115%,115%,BH531)))/_xlfn.XLOOKUP(F531,Apuração!A:A,Apuração!B:B)))</f>
        <v>0.48166666666666663</v>
      </c>
      <c r="BL531" s="58" cm="1">
        <f t="array" aca="1" ref="BL531" ca="1">IF(SUM(IFERROR(IF(INDEX(AW531:INDEX(AW531:BH531, MATCH(2, 1/(AW531:BH531&lt;&gt;""), 1)-1), ROW(INDIRECT("1:" &amp; MATCH(2, 1/(AW531:BH531&lt;&gt;""), 1)-1))) &gt;= 115%, 115%, INDEX(AW531:INDEX(AW531:BH531, MATCH(2, 1/(AW531:BH531&lt;&gt;""), 1)-1), ROW(INDIRECT("1:" &amp; MATCH(2, 1/(AW531:BH531&lt;&gt;""), 1)-1)))), 0))/_xlfn.XLOOKUP(F531,Apuração!A:A,Apuração!B:B)&gt;=1.15,1.15,SUM(IFERROR(IF(INDEX(AW531:INDEX(AW531:BH531, MATCH(2, 1/(AW531:BH531&lt;&gt;""), 1)-1), ROW(INDIRECT("1:" &amp; MATCH(2, 1/(AW531:BH531&lt;&gt;""), 1)-1))) &gt;= 115%, 115%, INDEX(AW531:INDEX(AW531:BH531, MATCH(2, 1/(AW531:BH531&lt;&gt;""), 1)-1), ROW(INDIRECT("1:" &amp; MATCH(2, 1/(AW531:BH531&lt;&gt;""), 1)-1)))), 0))/_xlfn.XLOOKUP(F531,Apuração!A:A,Apuração!B:B))</f>
        <v>0.34583333333333338</v>
      </c>
      <c r="BM531" s="55" cm="1">
        <f t="array" ref="BM531">IFERROR(
   INDEX($AW$1:$BH$1,
      _xlfn.AGGREGATE(14, 6, COLUMN($AW$1:$BH$1)/(AW531:BH531&lt;&gt;""), 2) - COLUMN($AW$1) + 1
   ),
"")</f>
        <v>46113</v>
      </c>
      <c r="BN531" s="55" cm="1">
        <f t="array" ref="BN531">IFERROR(INDEX($AW$1:$BH$1,1,MATCH(2,1/(AW531:BH531&lt;&gt;""))),"")</f>
        <v>46143</v>
      </c>
      <c r="BO531" s="53">
        <f ca="1">IFERROR(_xlfn.XLOOKUP(F531,Apuração!A:A,Apuração!C:C)/_xlfn.XLOOKUP(F531,Apuração!A:A,Apuração!B:B),0)</f>
        <v>0.41666666666666669</v>
      </c>
      <c r="BP531" s="53">
        <f ca="1">IFERROR(_xlfn.XLOOKUP(F531,Apuração!A:A,Apuração!D:D)/_xlfn.XLOOKUP(F531,Apuração!A:A,Apuração!B:B),0)</f>
        <v>0.33333333333333331</v>
      </c>
      <c r="BQ531" s="53">
        <f ca="1">IF(BK531&gt;=BO531,0,_xlfn.XLOOKUP(F531,Apuração!A:A,Apuração!B:B)*(BO531 + (1/_xlfn.XLOOKUP(F531,Apuração!A:A,Apuração!B:B)) - BK531))</f>
        <v>0</v>
      </c>
      <c r="BR531" s="85">
        <f t="shared" ca="1" si="881"/>
        <v>0</v>
      </c>
      <c r="BS531" s="53">
        <f ca="1">IFERROR((_xlfn.XLOOKUP(F531,Apuração!A:A,Apuração!C:C)+1)/_xlfn.XLOOKUP(F531,Apuração!A:A,Apuração!B:B),0)</f>
        <v>0.5</v>
      </c>
    </row>
    <row r="532" spans="1:71" ht="25.95" hidden="1" customHeight="1" x14ac:dyDescent="0.3">
      <c r="A532" s="20" t="s">
        <v>87</v>
      </c>
      <c r="B532" s="4" t="s">
        <v>222</v>
      </c>
      <c r="C532" s="5" t="s">
        <v>97</v>
      </c>
      <c r="D532" s="5" t="s">
        <v>101</v>
      </c>
      <c r="E532" s="4" t="str" cm="1">
        <f t="array" ref="E532">_xlfn.IFS(
F532 = "A partir de Abril", "Aguardando Execução na Distribuidora",
A532 = "CAPACITAÇÃO", "Em execução no Corporativo",
TRUE, "Em Execução na Distribuidora"
)</f>
        <v>Em Execução na Distribuidora</v>
      </c>
      <c r="F532" s="4" t="str" cm="1">
        <f t="array" ref="F532">_xlfn.IFS(
AG532 &lt;&gt; "", "Jan-Dez/26",
AH532 &lt;&gt; "", "Fev-Dez/26",
AI532 &lt;&gt; "", "Mar-Dez/26", AJ532 &lt;&gt; "", "Abr-Dez/26",
TRUE, "A partir de Junho"
)</f>
        <v>Jan-Dez/26</v>
      </c>
      <c r="G532" s="7" t="s">
        <v>37</v>
      </c>
      <c r="H532" s="7" t="s">
        <v>38</v>
      </c>
      <c r="I532" s="8" t="s">
        <v>223</v>
      </c>
      <c r="J532" s="21" t="str" cm="1">
        <f t="array" aca="1" ref="J532" ca="1">_xlfn.LET(
  _xlpm.actual_value_month, INDEX(T532:AE532, MATCH(DATE(YEAR(TODAY()), MONTH(TODAY()), 1), $T$1:$AE$1, 0)),
  IF(_xlpm.actual_value_month &lt;&gt; "",_xlpm.actual_value_month &amp; " inspeções mensais", "")
)</f>
        <v>22 inspeções mensais</v>
      </c>
      <c r="K532" s="8" t="str" cm="1">
        <f t="array" ref="K532">_xlfn.LET(
    _xlpm.sum_month, SUM(T532:AE532),
    IF(_xlpm.sum_month = 0, "", _xlpm.sum_month &amp; " inspeções realizadas no ano")
)</f>
        <v>363 inspeções realizadas no ano</v>
      </c>
      <c r="L532" s="4" t="s">
        <v>144</v>
      </c>
      <c r="M532" s="19" t="s">
        <v>224</v>
      </c>
      <c r="N532" s="5" t="s">
        <v>42</v>
      </c>
      <c r="O532" s="5" t="s">
        <v>43</v>
      </c>
      <c r="P532" s="10" t="s">
        <v>44</v>
      </c>
      <c r="Q532" s="10" t="s">
        <v>72</v>
      </c>
      <c r="R532" s="11" t="s">
        <v>225</v>
      </c>
      <c r="S532" s="11" t="s">
        <v>44</v>
      </c>
      <c r="T532" s="143">
        <v>55</v>
      </c>
      <c r="U532" s="143">
        <v>51</v>
      </c>
      <c r="V532" s="143">
        <v>59</v>
      </c>
      <c r="W532" s="143">
        <v>22</v>
      </c>
      <c r="X532" s="143">
        <v>22</v>
      </c>
      <c r="Y532" s="143">
        <v>22</v>
      </c>
      <c r="Z532" s="143">
        <v>22</v>
      </c>
      <c r="AA532" s="143">
        <v>22</v>
      </c>
      <c r="AB532" s="143">
        <v>22</v>
      </c>
      <c r="AC532" s="143">
        <v>22</v>
      </c>
      <c r="AD532" s="143">
        <v>22</v>
      </c>
      <c r="AE532" s="143">
        <v>22</v>
      </c>
      <c r="AG532" s="71">
        <v>55</v>
      </c>
      <c r="AH532" s="71">
        <v>51</v>
      </c>
      <c r="AI532" s="71">
        <v>59</v>
      </c>
      <c r="AJ532" s="71">
        <v>50</v>
      </c>
      <c r="AK532" s="71">
        <v>56</v>
      </c>
      <c r="AL532" s="71"/>
      <c r="AM532" s="71"/>
      <c r="AN532" s="71"/>
      <c r="AO532" s="71"/>
      <c r="AP532" s="71"/>
      <c r="AQ532" s="71"/>
      <c r="AR532" s="71"/>
      <c r="AS532" s="94">
        <f t="shared" ca="1" si="874"/>
        <v>209</v>
      </c>
      <c r="AT532" s="95">
        <f t="shared" si="875"/>
        <v>215.60000000000002</v>
      </c>
      <c r="AU532" s="97">
        <f t="shared" si="876"/>
        <v>271</v>
      </c>
      <c r="AW532" s="51">
        <f t="shared" si="877"/>
        <v>1</v>
      </c>
      <c r="AX532" s="51">
        <f t="shared" si="878"/>
        <v>1</v>
      </c>
      <c r="AY532" s="51">
        <f t="shared" si="879"/>
        <v>1</v>
      </c>
      <c r="AZ532" s="51">
        <f t="shared" si="880"/>
        <v>2.2727272727272729</v>
      </c>
      <c r="BA532" s="51">
        <f t="shared" si="873"/>
        <v>2.5454545454545454</v>
      </c>
      <c r="BB532" s="51"/>
      <c r="BC532" s="51"/>
      <c r="BD532" s="51"/>
      <c r="BE532" s="51"/>
      <c r="BF532" s="51"/>
      <c r="BG532" s="51"/>
      <c r="BH532" s="51"/>
      <c r="BI532" s="65" cm="1">
        <f t="array" ref="BI532">IFERROR(INDEX(AW532:BH532,1,MATCH(2,1/(AW532:BH532&lt;&gt;""))),"")</f>
        <v>2.5454545454545454</v>
      </c>
      <c r="BJ532" s="68" cm="1">
        <f t="array" ref="BJ532">IF(BM532 = "", "",IFERROR(INDEX(AW532:BH532,1,MATCH(2,1/(AW532:BH532&lt;&gt;""),1)-1),""))</f>
        <v>2.2727272727272729</v>
      </c>
      <c r="BK532" s="58">
        <f>IF((IF(AW532&gt;=115%,115%,AW532) + IF(AX532&gt;=115%,115%,AX532) + IF(AY532&gt;=115%,115%,AY532) + (IF(AZ532&gt;=163%,163%,AZ532) + IF(BA532&gt;=115%,115%,BA532) + IF(BB532&gt;=115%,115%,BB532) + IF(BC532&gt;=115%,115%,BC532) + IF(BD532&gt;=115%,115%,BD532) + IF(BE532&gt;=115%,115%,BE532) + IF(BF532&gt;=115%,115%,BF532) + IF(BG532&gt;=115%,115%,BG532) + IF(BH532&gt;=115%,115%,BH532)))/_xlfn.XLOOKUP(F532,Apuração!A:A,Apuração!B:B)&gt;=1.15,1.15,((IF(AZ532&gt;=163%,163%,AZ532) + IF(AX532&gt;=115%,115%,AX532) + IF(AY532&gt;=115%,115%,AY532) + (IF(AW532&gt;=115%,115%,AW532) + IF(BA532&gt;=115%,115%,BA532) + IF(BB532&gt;=115%,115%,BB532) + IF(BC532&gt;=115%,115%,BC532) + IF(BD532&gt;=115%,115%,BD532) + IF(BE532&gt;=115%,115%,BE532) + IF(BF532&gt;=115%,115%,BF532) + IF(BG532&gt;=115%,115%,BG532) + IF(BH532&gt;=115%,115%,BH532)))/_xlfn.XLOOKUP(F532,Apuração!A:A,Apuração!B:B)))</f>
        <v>0.48166666666666663</v>
      </c>
      <c r="BL532" s="58" cm="1">
        <f t="array" aca="1" ref="BL532" ca="1">IF(SUM(IFERROR(IF(INDEX(AW532:INDEX(AW532:BH532, MATCH(2, 1/(AW532:BH532&lt;&gt;""), 1)-1), ROW(INDIRECT("1:" &amp; MATCH(2, 1/(AW532:BH532&lt;&gt;""), 1)-1))) &gt;= 115%, 115%, INDEX(AW532:INDEX(AW532:BH532, MATCH(2, 1/(AW532:BH532&lt;&gt;""), 1)-1), ROW(INDIRECT("1:" &amp; MATCH(2, 1/(AW532:BH532&lt;&gt;""), 1)-1)))), 0))/_xlfn.XLOOKUP(F532,Apuração!A:A,Apuração!B:B)&gt;=1.15,1.15,SUM(IFERROR(IF(INDEX(AW532:INDEX(AW532:BH532, MATCH(2, 1/(AW532:BH532&lt;&gt;""), 1)-1), ROW(INDIRECT("1:" &amp; MATCH(2, 1/(AW532:BH532&lt;&gt;""), 1)-1))) &gt;= 115%, 115%, INDEX(AW532:INDEX(AW532:BH532, MATCH(2, 1/(AW532:BH532&lt;&gt;""), 1)-1), ROW(INDIRECT("1:" &amp; MATCH(2, 1/(AW532:BH532&lt;&gt;""), 1)-1)))), 0))/_xlfn.XLOOKUP(F532,Apuração!A:A,Apuração!B:B))</f>
        <v>0.34583333333333338</v>
      </c>
      <c r="BM532" s="55" cm="1">
        <f t="array" ref="BM532">IFERROR(
   INDEX($AW$1:$BH$1,
      _xlfn.AGGREGATE(14, 6, COLUMN($AW$1:$BH$1)/(AW532:BH532&lt;&gt;""), 2) - COLUMN($AW$1) + 1
   ),
"")</f>
        <v>46113</v>
      </c>
      <c r="BN532" s="55" cm="1">
        <f t="array" ref="BN532">IFERROR(INDEX($AW$1:$BH$1,1,MATCH(2,1/(AW532:BH532&lt;&gt;""))),"")</f>
        <v>46143</v>
      </c>
      <c r="BO532" s="53">
        <f ca="1">IFERROR(_xlfn.XLOOKUP(F532,Apuração!A:A,Apuração!C:C)/_xlfn.XLOOKUP(F532,Apuração!A:A,Apuração!B:B),0)</f>
        <v>0.41666666666666669</v>
      </c>
      <c r="BP532" s="53">
        <f ca="1">IFERROR(_xlfn.XLOOKUP(F532,Apuração!A:A,Apuração!D:D)/_xlfn.XLOOKUP(F532,Apuração!A:A,Apuração!B:B),0)</f>
        <v>0.33333333333333331</v>
      </c>
      <c r="BQ532" s="53">
        <f ca="1">IF(BK532&gt;=BO532,0,_xlfn.XLOOKUP(F532,Apuração!A:A,Apuração!B:B)*(BO532 + (1/_xlfn.XLOOKUP(F532,Apuração!A:A,Apuração!B:B)) - BK532))</f>
        <v>0</v>
      </c>
      <c r="BR532" s="85">
        <f t="shared" ca="1" si="881"/>
        <v>0</v>
      </c>
      <c r="BS532" s="53">
        <f ca="1">IFERROR((_xlfn.XLOOKUP(F532,Apuração!A:A,Apuração!C:C)+1)/_xlfn.XLOOKUP(F532,Apuração!A:A,Apuração!B:B),0)</f>
        <v>0.5</v>
      </c>
    </row>
    <row r="533" spans="1:71" ht="25.95" hidden="1" customHeight="1" x14ac:dyDescent="0.3">
      <c r="A533" s="20" t="s">
        <v>87</v>
      </c>
      <c r="B533" s="4" t="s">
        <v>222</v>
      </c>
      <c r="C533" s="5" t="s">
        <v>97</v>
      </c>
      <c r="D533" s="5" t="s">
        <v>102</v>
      </c>
      <c r="E533" s="4" t="str" cm="1">
        <f t="array" ref="E533">_xlfn.IFS(
F533 = "A partir de Abril", "Aguardando Execução na Distribuidora",
A533 = "CAPACITAÇÃO", "Em execução no Corporativo",
TRUE, "Em Execução na Distribuidora"
)</f>
        <v>Em Execução na Distribuidora</v>
      </c>
      <c r="F533" s="4" t="str" cm="1">
        <f t="array" ref="F533">_xlfn.IFS(
AG533 &lt;&gt; "", "Jan-Dez/26",
AH533 &lt;&gt; "", "Fev-Dez/26",
AI533 &lt;&gt; "", "Mar-Dez/26", AJ533 &lt;&gt; "", "Abr-Dez/26",
TRUE, "A partir de Junho"
)</f>
        <v>Jan-Dez/26</v>
      </c>
      <c r="G533" s="7" t="s">
        <v>37</v>
      </c>
      <c r="H533" s="7" t="s">
        <v>38</v>
      </c>
      <c r="I533" s="8" t="s">
        <v>223</v>
      </c>
      <c r="J533" s="21" t="str" cm="1">
        <f t="array" aca="1" ref="J533" ca="1">_xlfn.LET(
  _xlpm.actual_value_month, INDEX(T533:AE533, MATCH(DATE(YEAR(TODAY()), MONTH(TODAY()), 1), $T$1:$AE$1, 0)),
  IF(_xlpm.actual_value_month &lt;&gt; "",_xlpm.actual_value_month &amp; " inspeções mensais", "")
)</f>
        <v>14 inspeções mensais</v>
      </c>
      <c r="K533" s="8" t="str" cm="1">
        <f t="array" ref="K533">_xlfn.LET(
    _xlpm.sum_month, SUM(T533:AE533),
    IF(_xlpm.sum_month = 0, "", _xlpm.sum_month &amp; " inspeções realizadas no ano")
)</f>
        <v>228 inspeções realizadas no ano</v>
      </c>
      <c r="L533" s="4" t="s">
        <v>144</v>
      </c>
      <c r="M533" s="19" t="s">
        <v>224</v>
      </c>
      <c r="N533" s="5" t="s">
        <v>42</v>
      </c>
      <c r="O533" s="5" t="s">
        <v>43</v>
      </c>
      <c r="P533" s="10" t="s">
        <v>44</v>
      </c>
      <c r="Q533" s="10" t="s">
        <v>72</v>
      </c>
      <c r="R533" s="11" t="s">
        <v>225</v>
      </c>
      <c r="S533" s="11" t="s">
        <v>44</v>
      </c>
      <c r="T533" s="143">
        <v>42</v>
      </c>
      <c r="U533" s="143">
        <v>28</v>
      </c>
      <c r="V533" s="143">
        <v>32</v>
      </c>
      <c r="W533" s="143">
        <v>14</v>
      </c>
      <c r="X533" s="143">
        <v>14</v>
      </c>
      <c r="Y533" s="143">
        <v>14</v>
      </c>
      <c r="Z533" s="143">
        <v>14</v>
      </c>
      <c r="AA533" s="143">
        <v>14</v>
      </c>
      <c r="AB533" s="143">
        <v>14</v>
      </c>
      <c r="AC533" s="143">
        <v>14</v>
      </c>
      <c r="AD533" s="143">
        <v>14</v>
      </c>
      <c r="AE533" s="143">
        <v>14</v>
      </c>
      <c r="AG533" s="71">
        <v>42</v>
      </c>
      <c r="AH533" s="71">
        <v>28</v>
      </c>
      <c r="AI533" s="71">
        <v>32</v>
      </c>
      <c r="AJ533" s="71">
        <v>38</v>
      </c>
      <c r="AK533" s="71">
        <v>27</v>
      </c>
      <c r="AL533" s="71"/>
      <c r="AM533" s="71"/>
      <c r="AN533" s="71"/>
      <c r="AO533" s="71"/>
      <c r="AP533" s="71"/>
      <c r="AQ533" s="71"/>
      <c r="AR533" s="71"/>
      <c r="AS533" s="94">
        <f t="shared" ca="1" si="874"/>
        <v>130</v>
      </c>
      <c r="AT533" s="95">
        <f t="shared" si="875"/>
        <v>134.19999999999999</v>
      </c>
      <c r="AU533" s="97">
        <f t="shared" si="876"/>
        <v>167</v>
      </c>
      <c r="AW533" s="51">
        <f t="shared" si="877"/>
        <v>1</v>
      </c>
      <c r="AX533" s="51">
        <f t="shared" si="878"/>
        <v>1</v>
      </c>
      <c r="AY533" s="51">
        <f t="shared" si="879"/>
        <v>1</v>
      </c>
      <c r="AZ533" s="51">
        <f t="shared" si="880"/>
        <v>2.7142857142857144</v>
      </c>
      <c r="BA533" s="51">
        <f t="shared" si="873"/>
        <v>1.9285714285714286</v>
      </c>
      <c r="BB533" s="51"/>
      <c r="BC533" s="51"/>
      <c r="BD533" s="51"/>
      <c r="BE533" s="51"/>
      <c r="BF533" s="51"/>
      <c r="BG533" s="51"/>
      <c r="BH533" s="51"/>
      <c r="BI533" s="65" cm="1">
        <f t="array" ref="BI533">IFERROR(INDEX(AW533:BH533,1,MATCH(2,1/(AW533:BH533&lt;&gt;""))),"")</f>
        <v>1.9285714285714286</v>
      </c>
      <c r="BJ533" s="68" cm="1">
        <f t="array" ref="BJ533">IF(BM533 = "", "",IFERROR(INDEX(AW533:BH533,1,MATCH(2,1/(AW533:BH533&lt;&gt;""),1)-1),""))</f>
        <v>2.7142857142857144</v>
      </c>
      <c r="BK533" s="58">
        <f>IF((IF(AW533&gt;=115%,115%,AW533) + IF(AX533&gt;=115%,115%,AX533) + IF(AY533&gt;=115%,115%,AY533) + (IF(AZ533&gt;=163%,163%,AZ533) + IF(BA533&gt;=115%,115%,BA533) + IF(BB533&gt;=115%,115%,BB533) + IF(BC533&gt;=115%,115%,BC533) + IF(BD533&gt;=115%,115%,BD533) + IF(BE533&gt;=115%,115%,BE533) + IF(BF533&gt;=115%,115%,BF533) + IF(BG533&gt;=115%,115%,BG533) + IF(BH533&gt;=115%,115%,BH533)))/_xlfn.XLOOKUP(F533,Apuração!A:A,Apuração!B:B)&gt;=1.15,1.15,((IF(AZ533&gt;=163%,163%,AZ533) + IF(AX533&gt;=115%,115%,AX533) + IF(AY533&gt;=115%,115%,AY533) + (IF(AW533&gt;=115%,115%,AW533) + IF(BA533&gt;=115%,115%,BA533) + IF(BB533&gt;=115%,115%,BB533) + IF(BC533&gt;=115%,115%,BC533) + IF(BD533&gt;=115%,115%,BD533) + IF(BE533&gt;=115%,115%,BE533) + IF(BF533&gt;=115%,115%,BF533) + IF(BG533&gt;=115%,115%,BG533) + IF(BH533&gt;=115%,115%,BH533)))/_xlfn.XLOOKUP(F533,Apuração!A:A,Apuração!B:B)))</f>
        <v>0.48166666666666663</v>
      </c>
      <c r="BL533" s="58" cm="1">
        <f t="array" aca="1" ref="BL533" ca="1">IF(SUM(IFERROR(IF(INDEX(AW533:INDEX(AW533:BH533, MATCH(2, 1/(AW533:BH533&lt;&gt;""), 1)-1), ROW(INDIRECT("1:" &amp; MATCH(2, 1/(AW533:BH533&lt;&gt;""), 1)-1))) &gt;= 115%, 115%, INDEX(AW533:INDEX(AW533:BH533, MATCH(2, 1/(AW533:BH533&lt;&gt;""), 1)-1), ROW(INDIRECT("1:" &amp; MATCH(2, 1/(AW533:BH533&lt;&gt;""), 1)-1)))), 0))/_xlfn.XLOOKUP(F533,Apuração!A:A,Apuração!B:B)&gt;=1.15,1.15,SUM(IFERROR(IF(INDEX(AW533:INDEX(AW533:BH533, MATCH(2, 1/(AW533:BH533&lt;&gt;""), 1)-1), ROW(INDIRECT("1:" &amp; MATCH(2, 1/(AW533:BH533&lt;&gt;""), 1)-1))) &gt;= 115%, 115%, INDEX(AW533:INDEX(AW533:BH533, MATCH(2, 1/(AW533:BH533&lt;&gt;""), 1)-1), ROW(INDIRECT("1:" &amp; MATCH(2, 1/(AW533:BH533&lt;&gt;""), 1)-1)))), 0))/_xlfn.XLOOKUP(F533,Apuração!A:A,Apuração!B:B))</f>
        <v>0.34583333333333338</v>
      </c>
      <c r="BM533" s="55" cm="1">
        <f t="array" ref="BM533">IFERROR(
   INDEX($AW$1:$BH$1,
      _xlfn.AGGREGATE(14, 6, COLUMN($AW$1:$BH$1)/(AW533:BH533&lt;&gt;""), 2) - COLUMN($AW$1) + 1
   ),
"")</f>
        <v>46113</v>
      </c>
      <c r="BN533" s="55" cm="1">
        <f t="array" ref="BN533">IFERROR(INDEX($AW$1:$BH$1,1,MATCH(2,1/(AW533:BH533&lt;&gt;""))),"")</f>
        <v>46143</v>
      </c>
      <c r="BO533" s="53">
        <f ca="1">IFERROR(_xlfn.XLOOKUP(F533,Apuração!A:A,Apuração!C:C)/_xlfn.XLOOKUP(F533,Apuração!A:A,Apuração!B:B),0)</f>
        <v>0.41666666666666669</v>
      </c>
      <c r="BP533" s="53">
        <f ca="1">IFERROR(_xlfn.XLOOKUP(F533,Apuração!A:A,Apuração!D:D)/_xlfn.XLOOKUP(F533,Apuração!A:A,Apuração!B:B),0)</f>
        <v>0.33333333333333331</v>
      </c>
      <c r="BQ533" s="53">
        <f ca="1">IF(BK533&gt;=BO533,0,_xlfn.XLOOKUP(F533,Apuração!A:A,Apuração!B:B)*(BO533 + (1/_xlfn.XLOOKUP(F533,Apuração!A:A,Apuração!B:B)) - BK533))</f>
        <v>0</v>
      </c>
      <c r="BR533" s="85">
        <f t="shared" ca="1" si="881"/>
        <v>0</v>
      </c>
      <c r="BS533" s="53">
        <f ca="1">IFERROR((_xlfn.XLOOKUP(F533,Apuração!A:A,Apuração!C:C)+1)/_xlfn.XLOOKUP(F533,Apuração!A:A,Apuração!B:B),0)</f>
        <v>0.5</v>
      </c>
    </row>
    <row r="534" spans="1:71" ht="25.95" hidden="1" customHeight="1" x14ac:dyDescent="0.3">
      <c r="A534" s="20" t="s">
        <v>87</v>
      </c>
      <c r="B534" s="4" t="s">
        <v>222</v>
      </c>
      <c r="C534" s="5" t="s">
        <v>97</v>
      </c>
      <c r="D534" s="5" t="s">
        <v>103</v>
      </c>
      <c r="E534" s="4" t="str" cm="1">
        <f t="array" ref="E534">_xlfn.IFS(
F534 = "A partir de Abril", "Aguardando Execução na Distribuidora",
A534 = "CAPACITAÇÃO", "Em execução no Corporativo",
TRUE, "Em Execução na Distribuidora"
)</f>
        <v>Em Execução na Distribuidora</v>
      </c>
      <c r="F534" s="4" t="str" cm="1">
        <f t="array" ref="F534">_xlfn.IFS(
AG534 &lt;&gt; "", "Jan-Dez/26",
AH534 &lt;&gt; "", "Fev-Dez/26",
AI534 &lt;&gt; "", "Mar-Dez/26", AJ534 &lt;&gt; "", "Abr-Dez/26",
TRUE, "A partir de Junho"
)</f>
        <v>Jan-Dez/26</v>
      </c>
      <c r="G534" s="7" t="s">
        <v>37</v>
      </c>
      <c r="H534" s="7" t="s">
        <v>38</v>
      </c>
      <c r="I534" s="8" t="s">
        <v>223</v>
      </c>
      <c r="J534" s="21" t="str" cm="1">
        <f t="array" aca="1" ref="J534" ca="1">_xlfn.LET(
  _xlpm.actual_value_month, INDEX(T534:AE534, MATCH(DATE(YEAR(TODAY()), MONTH(TODAY()), 1), $T$1:$AE$1, 0)),
  IF(_xlpm.actual_value_month &lt;&gt; "",_xlpm.actual_value_month &amp; " inspeções mensais", "")
)</f>
        <v>31 inspeções mensais</v>
      </c>
      <c r="K534" s="8" t="str" cm="1">
        <f t="array" ref="K534">_xlfn.LET(
    _xlpm.sum_month, SUM(T534:AE534),
    IF(_xlpm.sum_month = 0, "", _xlpm.sum_month &amp; " inspeções realizadas no ano")
)</f>
        <v>976 inspeções realizadas no ano</v>
      </c>
      <c r="L534" s="4" t="s">
        <v>144</v>
      </c>
      <c r="M534" s="19" t="s">
        <v>224</v>
      </c>
      <c r="N534" s="5" t="s">
        <v>42</v>
      </c>
      <c r="O534" s="5" t="s">
        <v>43</v>
      </c>
      <c r="P534" s="10" t="s">
        <v>44</v>
      </c>
      <c r="Q534" s="10" t="s">
        <v>72</v>
      </c>
      <c r="R534" s="11" t="s">
        <v>225</v>
      </c>
      <c r="S534" s="11" t="s">
        <v>44</v>
      </c>
      <c r="T534" s="143">
        <v>156</v>
      </c>
      <c r="U534" s="143">
        <v>154</v>
      </c>
      <c r="V534" s="143">
        <v>387</v>
      </c>
      <c r="W534" s="143">
        <v>31</v>
      </c>
      <c r="X534" s="143">
        <v>31</v>
      </c>
      <c r="Y534" s="143">
        <v>31</v>
      </c>
      <c r="Z534" s="143">
        <v>31</v>
      </c>
      <c r="AA534" s="143">
        <v>31</v>
      </c>
      <c r="AB534" s="143">
        <v>31</v>
      </c>
      <c r="AC534" s="143">
        <v>31</v>
      </c>
      <c r="AD534" s="143">
        <v>31</v>
      </c>
      <c r="AE534" s="143">
        <v>31</v>
      </c>
      <c r="AG534" s="71">
        <v>156</v>
      </c>
      <c r="AH534" s="71">
        <v>154</v>
      </c>
      <c r="AI534" s="71">
        <v>387</v>
      </c>
      <c r="AJ534" s="71">
        <v>415</v>
      </c>
      <c r="AK534" s="71">
        <v>457</v>
      </c>
      <c r="AL534" s="71"/>
      <c r="AM534" s="71"/>
      <c r="AN534" s="71"/>
      <c r="AO534" s="71"/>
      <c r="AP534" s="71"/>
      <c r="AQ534" s="71"/>
      <c r="AR534" s="71"/>
      <c r="AS534" s="94">
        <f t="shared" ca="1" si="874"/>
        <v>759</v>
      </c>
      <c r="AT534" s="95">
        <f t="shared" si="875"/>
        <v>768.3</v>
      </c>
      <c r="AU534" s="97">
        <f t="shared" si="876"/>
        <v>1569</v>
      </c>
      <c r="AW534" s="51">
        <f t="shared" si="877"/>
        <v>1</v>
      </c>
      <c r="AX534" s="51">
        <f t="shared" si="878"/>
        <v>1</v>
      </c>
      <c r="AY534" s="51">
        <f t="shared" si="879"/>
        <v>1</v>
      </c>
      <c r="AZ534" s="51">
        <f t="shared" si="880"/>
        <v>13.387096774193548</v>
      </c>
      <c r="BA534" s="51">
        <f t="shared" si="873"/>
        <v>14.741935483870968</v>
      </c>
      <c r="BB534" s="51"/>
      <c r="BC534" s="51"/>
      <c r="BD534" s="51"/>
      <c r="BE534" s="51"/>
      <c r="BF534" s="51"/>
      <c r="BG534" s="51"/>
      <c r="BH534" s="51"/>
      <c r="BI534" s="65" cm="1">
        <f t="array" ref="BI534">IFERROR(INDEX(AW534:BH534,1,MATCH(2,1/(AW534:BH534&lt;&gt;""))),"")</f>
        <v>14.741935483870968</v>
      </c>
      <c r="BJ534" s="68" cm="1">
        <f t="array" ref="BJ534">IF(BM534 = "", "",IFERROR(INDEX(AW534:BH534,1,MATCH(2,1/(AW534:BH534&lt;&gt;""),1)-1),""))</f>
        <v>13.387096774193548</v>
      </c>
      <c r="BK534" s="58">
        <f>IF((IF(AW534&gt;=115%,115%,AW534) + IF(AX534&gt;=115%,115%,AX534) + IF(AY534&gt;=115%,115%,AY534) + (IF(AZ534&gt;=163%,163%,AZ534) + IF(BA534&gt;=115%,115%,BA534) + IF(BB534&gt;=115%,115%,BB534) + IF(BC534&gt;=115%,115%,BC534) + IF(BD534&gt;=115%,115%,BD534) + IF(BE534&gt;=115%,115%,BE534) + IF(BF534&gt;=115%,115%,BF534) + IF(BG534&gt;=115%,115%,BG534) + IF(BH534&gt;=115%,115%,BH534)))/_xlfn.XLOOKUP(F534,Apuração!A:A,Apuração!B:B)&gt;=1.15,1.15,((IF(AZ534&gt;=163%,163%,AZ534) + IF(AX534&gt;=115%,115%,AX534) + IF(AY534&gt;=115%,115%,AY534) + (IF(AW534&gt;=115%,115%,AW534) + IF(BA534&gt;=115%,115%,BA534) + IF(BB534&gt;=115%,115%,BB534) + IF(BC534&gt;=115%,115%,BC534) + IF(BD534&gt;=115%,115%,BD534) + IF(BE534&gt;=115%,115%,BE534) + IF(BF534&gt;=115%,115%,BF534) + IF(BG534&gt;=115%,115%,BG534) + IF(BH534&gt;=115%,115%,BH534)))/_xlfn.XLOOKUP(F534,Apuração!A:A,Apuração!B:B)))</f>
        <v>0.48166666666666663</v>
      </c>
      <c r="BL534" s="58" cm="1">
        <f t="array" aca="1" ref="BL534" ca="1">IF(SUM(IFERROR(IF(INDEX(AW534:INDEX(AW534:BH534, MATCH(2, 1/(AW534:BH534&lt;&gt;""), 1)-1), ROW(INDIRECT("1:" &amp; MATCH(2, 1/(AW534:BH534&lt;&gt;""), 1)-1))) &gt;= 115%, 115%, INDEX(AW534:INDEX(AW534:BH534, MATCH(2, 1/(AW534:BH534&lt;&gt;""), 1)-1), ROW(INDIRECT("1:" &amp; MATCH(2, 1/(AW534:BH534&lt;&gt;""), 1)-1)))), 0))/_xlfn.XLOOKUP(F534,Apuração!A:A,Apuração!B:B)&gt;=1.15,1.15,SUM(IFERROR(IF(INDEX(AW534:INDEX(AW534:BH534, MATCH(2, 1/(AW534:BH534&lt;&gt;""), 1)-1), ROW(INDIRECT("1:" &amp; MATCH(2, 1/(AW534:BH534&lt;&gt;""), 1)-1))) &gt;= 115%, 115%, INDEX(AW534:INDEX(AW534:BH534, MATCH(2, 1/(AW534:BH534&lt;&gt;""), 1)-1), ROW(INDIRECT("1:" &amp; MATCH(2, 1/(AW534:BH534&lt;&gt;""), 1)-1)))), 0))/_xlfn.XLOOKUP(F534,Apuração!A:A,Apuração!B:B))</f>
        <v>0.34583333333333338</v>
      </c>
      <c r="BM534" s="55" cm="1">
        <f t="array" ref="BM534">IFERROR(
   INDEX($AW$1:$BH$1,
      _xlfn.AGGREGATE(14, 6, COLUMN($AW$1:$BH$1)/(AW534:BH534&lt;&gt;""), 2) - COLUMN($AW$1) + 1
   ),
"")</f>
        <v>46113</v>
      </c>
      <c r="BN534" s="55" cm="1">
        <f t="array" ref="BN534">IFERROR(INDEX($AW$1:$BH$1,1,MATCH(2,1/(AW534:BH534&lt;&gt;""))),"")</f>
        <v>46143</v>
      </c>
      <c r="BO534" s="53">
        <f ca="1">IFERROR(_xlfn.XLOOKUP(F534,Apuração!A:A,Apuração!C:C)/_xlfn.XLOOKUP(F534,Apuração!A:A,Apuração!B:B),0)</f>
        <v>0.41666666666666669</v>
      </c>
      <c r="BP534" s="53">
        <f ca="1">IFERROR(_xlfn.XLOOKUP(F534,Apuração!A:A,Apuração!D:D)/_xlfn.XLOOKUP(F534,Apuração!A:A,Apuração!B:B),0)</f>
        <v>0.33333333333333331</v>
      </c>
      <c r="BQ534" s="53">
        <f ca="1">IF(BK534&gt;=BO534,0,_xlfn.XLOOKUP(F534,Apuração!A:A,Apuração!B:B)*(BO534 + (1/_xlfn.XLOOKUP(F534,Apuração!A:A,Apuração!B:B)) - BK534))</f>
        <v>0</v>
      </c>
      <c r="BR534" s="85">
        <f t="shared" ca="1" si="881"/>
        <v>0</v>
      </c>
      <c r="BS534" s="53">
        <f ca="1">IFERROR((_xlfn.XLOOKUP(F534,Apuração!A:A,Apuração!C:C)+1)/_xlfn.XLOOKUP(F534,Apuração!A:A,Apuração!B:B),0)</f>
        <v>0.5</v>
      </c>
    </row>
    <row r="535" spans="1:71" ht="25.95" hidden="1" customHeight="1" x14ac:dyDescent="0.3">
      <c r="A535" s="20" t="s">
        <v>87</v>
      </c>
      <c r="B535" s="4" t="s">
        <v>222</v>
      </c>
      <c r="C535" s="5" t="s">
        <v>97</v>
      </c>
      <c r="D535" s="5" t="s">
        <v>104</v>
      </c>
      <c r="E535" s="4" t="str" cm="1">
        <f t="array" ref="E535">_xlfn.IFS(
F535 = "A partir de Abril", "Aguardando Execução na Distribuidora",
A535 = "CAPACITAÇÃO", "Em execução no Corporativo",
TRUE, "Em Execução na Distribuidora"
)</f>
        <v>Em Execução na Distribuidora</v>
      </c>
      <c r="F535" s="4" t="str" cm="1">
        <f t="array" ref="F535">_xlfn.IFS(
AG535 &lt;&gt; "", "Jan-Dez/26",
AH535 &lt;&gt; "", "Fev-Dez/26",
AI535 &lt;&gt; "", "Mar-Dez/26", AJ535 &lt;&gt; "", "Abr-Dez/26",
TRUE, "A partir de Junho"
)</f>
        <v>Jan-Dez/26</v>
      </c>
      <c r="G535" s="7" t="s">
        <v>37</v>
      </c>
      <c r="H535" s="7" t="s">
        <v>38</v>
      </c>
      <c r="I535" s="8" t="s">
        <v>223</v>
      </c>
      <c r="J535" s="21" t="str" cm="1">
        <f t="array" aca="1" ref="J535" ca="1">_xlfn.LET(
  _xlpm.actual_value_month, INDEX(T535:AE535, MATCH(DATE(YEAR(TODAY()), MONTH(TODAY()), 1), $T$1:$AE$1, 0)),
  IF(_xlpm.actual_value_month &lt;&gt; "",_xlpm.actual_value_month &amp; " inspeções mensais", "")
)</f>
        <v>48 inspeções mensais</v>
      </c>
      <c r="K535" s="8" t="str" cm="1">
        <f t="array" ref="K535">_xlfn.LET(
    _xlpm.sum_month, SUM(T535:AE535),
    IF(_xlpm.sum_month = 0, "", _xlpm.sum_month &amp; " inspeções realizadas no ano")
)</f>
        <v>588 inspeções realizadas no ano</v>
      </c>
      <c r="L535" s="4" t="s">
        <v>144</v>
      </c>
      <c r="M535" s="19" t="s">
        <v>224</v>
      </c>
      <c r="N535" s="5" t="s">
        <v>42</v>
      </c>
      <c r="O535" s="5" t="s">
        <v>43</v>
      </c>
      <c r="P535" s="10" t="s">
        <v>44</v>
      </c>
      <c r="Q535" s="10" t="s">
        <v>72</v>
      </c>
      <c r="R535" s="11" t="s">
        <v>225</v>
      </c>
      <c r="S535" s="11" t="s">
        <v>44</v>
      </c>
      <c r="T535" s="143">
        <v>46</v>
      </c>
      <c r="U535" s="143">
        <v>57</v>
      </c>
      <c r="V535" s="143">
        <v>53</v>
      </c>
      <c r="W535" s="143">
        <v>48</v>
      </c>
      <c r="X535" s="143">
        <v>48</v>
      </c>
      <c r="Y535" s="143">
        <v>48</v>
      </c>
      <c r="Z535" s="143">
        <v>48</v>
      </c>
      <c r="AA535" s="143">
        <v>48</v>
      </c>
      <c r="AB535" s="143">
        <v>48</v>
      </c>
      <c r="AC535" s="143">
        <v>48</v>
      </c>
      <c r="AD535" s="143">
        <v>48</v>
      </c>
      <c r="AE535" s="143">
        <v>48</v>
      </c>
      <c r="AG535" s="71">
        <v>46</v>
      </c>
      <c r="AH535" s="71">
        <v>57</v>
      </c>
      <c r="AI535" s="71">
        <v>53</v>
      </c>
      <c r="AJ535" s="71">
        <v>31</v>
      </c>
      <c r="AK535" s="71">
        <v>51</v>
      </c>
      <c r="AL535" s="71"/>
      <c r="AM535" s="71"/>
      <c r="AN535" s="71"/>
      <c r="AO535" s="71"/>
      <c r="AP535" s="71"/>
      <c r="AQ535" s="71"/>
      <c r="AR535" s="71"/>
      <c r="AS535" s="94">
        <f t="shared" ca="1" si="874"/>
        <v>252</v>
      </c>
      <c r="AT535" s="95">
        <f t="shared" si="875"/>
        <v>238</v>
      </c>
      <c r="AU535" s="97">
        <f t="shared" si="876"/>
        <v>238</v>
      </c>
      <c r="AW535" s="51">
        <f t="shared" si="877"/>
        <v>1</v>
      </c>
      <c r="AX535" s="51">
        <f t="shared" si="878"/>
        <v>1</v>
      </c>
      <c r="AY535" s="51">
        <f t="shared" si="879"/>
        <v>1</v>
      </c>
      <c r="AZ535" s="51">
        <f t="shared" si="880"/>
        <v>0.64583333333333337</v>
      </c>
      <c r="BA535" s="51">
        <f t="shared" si="873"/>
        <v>1.0625</v>
      </c>
      <c r="BB535" s="51"/>
      <c r="BC535" s="51"/>
      <c r="BD535" s="51"/>
      <c r="BE535" s="51"/>
      <c r="BF535" s="51"/>
      <c r="BG535" s="51"/>
      <c r="BH535" s="51"/>
      <c r="BI535" s="65" cm="1">
        <f t="array" ref="BI535">IFERROR(INDEX(AW535:BH535,1,MATCH(2,1/(AW535:BH535&lt;&gt;""))),"")</f>
        <v>1.0625</v>
      </c>
      <c r="BJ535" s="68" cm="1">
        <f t="array" ref="BJ535">IF(BM535 = "", "",IFERROR(INDEX(AW535:BH535,1,MATCH(2,1/(AW535:BH535&lt;&gt;""),1)-1),""))</f>
        <v>0.64583333333333337</v>
      </c>
      <c r="BK535" s="58">
        <f>IF((IF(AW535&gt;=115%,115%,AW535) + IF(AX535&gt;=115%,115%,AX535) + IF(AY535&gt;=115%,115%,AY535) + (IF(AZ535&gt;=163%,163%,AZ535) + IF(BA535&gt;=115%,115%,BA535) + IF(BB535&gt;=115%,115%,BB535) + IF(BC535&gt;=115%,115%,BC535) + IF(BD535&gt;=115%,115%,BD535) + IF(BE535&gt;=115%,115%,BE535) + IF(BF535&gt;=115%,115%,BF535) + IF(BG535&gt;=115%,115%,BG535) + IF(BH535&gt;=115%,115%,BH535)))/_xlfn.XLOOKUP(F535,Apuração!A:A,Apuração!B:B)&gt;=1.15,1.15,((IF(AZ535&gt;=163%,163%,AZ535) + IF(AX535&gt;=115%,115%,AX535) + IF(AY535&gt;=115%,115%,AY535) + (IF(AW535&gt;=115%,115%,AW535) + IF(BA535&gt;=115%,115%,BA535) + IF(BB535&gt;=115%,115%,BB535) + IF(BC535&gt;=115%,115%,BC535) + IF(BD535&gt;=115%,115%,BD535) + IF(BE535&gt;=115%,115%,BE535) + IF(BF535&gt;=115%,115%,BF535) + IF(BG535&gt;=115%,115%,BG535) + IF(BH535&gt;=115%,115%,BH535)))/_xlfn.XLOOKUP(F535,Apuração!A:A,Apuração!B:B)))</f>
        <v>0.39236111111111116</v>
      </c>
      <c r="BL535" s="58" cm="1">
        <f t="array" aca="1" ref="BL535" ca="1">IF(SUM(IFERROR(IF(INDEX(AW535:INDEX(AW535:BH535, MATCH(2, 1/(AW535:BH535&lt;&gt;""), 1)-1), ROW(INDIRECT("1:" &amp; MATCH(2, 1/(AW535:BH535&lt;&gt;""), 1)-1))) &gt;= 115%, 115%, INDEX(AW535:INDEX(AW535:BH535, MATCH(2, 1/(AW535:BH535&lt;&gt;""), 1)-1), ROW(INDIRECT("1:" &amp; MATCH(2, 1/(AW535:BH535&lt;&gt;""), 1)-1)))), 0))/_xlfn.XLOOKUP(F535,Apuração!A:A,Apuração!B:B)&gt;=1.15,1.15,SUM(IFERROR(IF(INDEX(AW535:INDEX(AW535:BH535, MATCH(2, 1/(AW535:BH535&lt;&gt;""), 1)-1), ROW(INDIRECT("1:" &amp; MATCH(2, 1/(AW535:BH535&lt;&gt;""), 1)-1))) &gt;= 115%, 115%, INDEX(AW535:INDEX(AW535:BH535, MATCH(2, 1/(AW535:BH535&lt;&gt;""), 1)-1), ROW(INDIRECT("1:" &amp; MATCH(2, 1/(AW535:BH535&lt;&gt;""), 1)-1)))), 0))/_xlfn.XLOOKUP(F535,Apuração!A:A,Apuração!B:B))</f>
        <v>0.30381944444444448</v>
      </c>
      <c r="BM535" s="55" cm="1">
        <f t="array" ref="BM535">IFERROR(
   INDEX($AW$1:$BH$1,
      _xlfn.AGGREGATE(14, 6, COLUMN($AW$1:$BH$1)/(AW535:BH535&lt;&gt;""), 2) - COLUMN($AW$1) + 1
   ),
"")</f>
        <v>46113</v>
      </c>
      <c r="BN535" s="55" cm="1">
        <f t="array" ref="BN535">IFERROR(INDEX($AW$1:$BH$1,1,MATCH(2,1/(AW535:BH535&lt;&gt;""))),"")</f>
        <v>46143</v>
      </c>
      <c r="BO535" s="53">
        <f ca="1">IFERROR(_xlfn.XLOOKUP(F535,Apuração!A:A,Apuração!C:C)/_xlfn.XLOOKUP(F535,Apuração!A:A,Apuração!B:B),0)</f>
        <v>0.41666666666666669</v>
      </c>
      <c r="BP535" s="53">
        <f ca="1">IFERROR(_xlfn.XLOOKUP(F535,Apuração!A:A,Apuração!D:D)/_xlfn.XLOOKUP(F535,Apuração!A:A,Apuração!B:B),0)</f>
        <v>0.33333333333333331</v>
      </c>
      <c r="BQ535" s="53">
        <f ca="1">IF(BK535&gt;=BO535,0,_xlfn.XLOOKUP(F535,Apuração!A:A,Apuração!B:B)*(BO535 + (1/_xlfn.XLOOKUP(F535,Apuração!A:A,Apuração!B:B)) - BK535))</f>
        <v>1.2916666666666661</v>
      </c>
      <c r="BR535" s="85">
        <f t="shared" ca="1" si="881"/>
        <v>61.999999999999972</v>
      </c>
      <c r="BS535" s="53">
        <f ca="1">IFERROR((_xlfn.XLOOKUP(F535,Apuração!A:A,Apuração!C:C)+1)/_xlfn.XLOOKUP(F535,Apuração!A:A,Apuração!B:B),0)</f>
        <v>0.5</v>
      </c>
    </row>
    <row r="536" spans="1:71" ht="25.95" hidden="1" customHeight="1" x14ac:dyDescent="0.3">
      <c r="A536" s="20" t="s">
        <v>87</v>
      </c>
      <c r="B536" s="4" t="s">
        <v>222</v>
      </c>
      <c r="C536" s="5" t="s">
        <v>97</v>
      </c>
      <c r="D536" s="5" t="s">
        <v>105</v>
      </c>
      <c r="E536" s="4" t="str" cm="1">
        <f t="array" ref="E536">_xlfn.IFS(
F536 = "A partir de Abril", "Aguardando Execução na Distribuidora",
A536 = "CAPACITAÇÃO", "Em execução no Corporativo",
TRUE, "Em Execução na Distribuidora"
)</f>
        <v>Em Execução na Distribuidora</v>
      </c>
      <c r="F536" s="4" t="str" cm="1">
        <f t="array" ref="F536">_xlfn.IFS(
AG536 &lt;&gt; "", "Jan-Dez/26",
AH536 &lt;&gt; "", "Fev-Dez/26",
AI536 &lt;&gt; "", "Mar-Dez/26", AJ536 &lt;&gt; "", "Abr-Dez/26",
TRUE, "A partir de Junho"
)</f>
        <v>Jan-Dez/26</v>
      </c>
      <c r="G536" s="7" t="s">
        <v>37</v>
      </c>
      <c r="H536" s="7" t="s">
        <v>38</v>
      </c>
      <c r="I536" s="8" t="s">
        <v>223</v>
      </c>
      <c r="J536" s="21" t="str" cm="1">
        <f t="array" aca="1" ref="J536" ca="1">_xlfn.LET(
  _xlpm.actual_value_month, INDEX(T536:AE536, MATCH(DATE(YEAR(TODAY()), MONTH(TODAY()), 1), $T$1:$AE$1, 0)),
  IF(_xlpm.actual_value_month &lt;&gt; "",_xlpm.actual_value_month &amp; " inspeções mensais", "")
)</f>
        <v>9 inspeções mensais</v>
      </c>
      <c r="K536" s="8" t="str" cm="1">
        <f t="array" ref="K536">_xlfn.LET(
    _xlpm.sum_month, SUM(T536:AE536),
    IF(_xlpm.sum_month = 0, "", _xlpm.sum_month &amp; " inspeções realizadas no ano")
)</f>
        <v>172 inspeções realizadas no ano</v>
      </c>
      <c r="L536" s="4" t="s">
        <v>144</v>
      </c>
      <c r="M536" s="19" t="s">
        <v>224</v>
      </c>
      <c r="N536" s="5" t="s">
        <v>42</v>
      </c>
      <c r="O536" s="5" t="s">
        <v>43</v>
      </c>
      <c r="P536" s="10" t="s">
        <v>44</v>
      </c>
      <c r="Q536" s="10" t="s">
        <v>72</v>
      </c>
      <c r="R536" s="11" t="s">
        <v>225</v>
      </c>
      <c r="S536" s="11" t="s">
        <v>44</v>
      </c>
      <c r="T536" s="143">
        <v>31</v>
      </c>
      <c r="U536" s="143">
        <v>27</v>
      </c>
      <c r="V536" s="143">
        <v>33</v>
      </c>
      <c r="W536" s="143">
        <v>9</v>
      </c>
      <c r="X536" s="143">
        <v>9</v>
      </c>
      <c r="Y536" s="143">
        <v>9</v>
      </c>
      <c r="Z536" s="143">
        <v>9</v>
      </c>
      <c r="AA536" s="143">
        <v>9</v>
      </c>
      <c r="AB536" s="143">
        <v>9</v>
      </c>
      <c r="AC536" s="143">
        <v>9</v>
      </c>
      <c r="AD536" s="143">
        <v>9</v>
      </c>
      <c r="AE536" s="143">
        <v>9</v>
      </c>
      <c r="AG536" s="71">
        <v>31</v>
      </c>
      <c r="AH536" s="71">
        <v>27</v>
      </c>
      <c r="AI536" s="71">
        <v>33</v>
      </c>
      <c r="AJ536" s="71">
        <v>42</v>
      </c>
      <c r="AK536" s="71">
        <v>24</v>
      </c>
      <c r="AL536" s="71"/>
      <c r="AM536" s="71"/>
      <c r="AN536" s="71"/>
      <c r="AO536" s="71"/>
      <c r="AP536" s="71"/>
      <c r="AQ536" s="71"/>
      <c r="AR536" s="71"/>
      <c r="AS536" s="94">
        <f t="shared" ca="1" si="874"/>
        <v>109</v>
      </c>
      <c r="AT536" s="95">
        <f t="shared" si="875"/>
        <v>111.69999999999999</v>
      </c>
      <c r="AU536" s="97">
        <f t="shared" si="876"/>
        <v>157</v>
      </c>
      <c r="AW536" s="51">
        <f t="shared" si="877"/>
        <v>1</v>
      </c>
      <c r="AX536" s="51">
        <f t="shared" si="878"/>
        <v>1</v>
      </c>
      <c r="AY536" s="51">
        <f t="shared" si="879"/>
        <v>1</v>
      </c>
      <c r="AZ536" s="51">
        <f t="shared" si="880"/>
        <v>4.666666666666667</v>
      </c>
      <c r="BA536" s="51">
        <f t="shared" si="873"/>
        <v>2.6666666666666665</v>
      </c>
      <c r="BB536" s="51"/>
      <c r="BC536" s="51"/>
      <c r="BD536" s="51"/>
      <c r="BE536" s="51"/>
      <c r="BF536" s="51"/>
      <c r="BG536" s="51"/>
      <c r="BH536" s="51"/>
      <c r="BI536" s="65" cm="1">
        <f t="array" ref="BI536">IFERROR(INDEX(AW536:BH536,1,MATCH(2,1/(AW536:BH536&lt;&gt;""))),"")</f>
        <v>2.6666666666666665</v>
      </c>
      <c r="BJ536" s="68" cm="1">
        <f t="array" ref="BJ536">IF(BM536 = "", "",IFERROR(INDEX(AW536:BH536,1,MATCH(2,1/(AW536:BH536&lt;&gt;""),1)-1),""))</f>
        <v>4.666666666666667</v>
      </c>
      <c r="BK536" s="58">
        <f>IF((IF(AW536&gt;=115%,115%,AW536) + IF(AX536&gt;=115%,115%,AX536) + IF(AY536&gt;=115%,115%,AY536) + (IF(AZ536&gt;=163%,163%,AZ536) + IF(BA536&gt;=115%,115%,BA536) + IF(BB536&gt;=115%,115%,BB536) + IF(BC536&gt;=115%,115%,BC536) + IF(BD536&gt;=115%,115%,BD536) + IF(BE536&gt;=115%,115%,BE536) + IF(BF536&gt;=115%,115%,BF536) + IF(BG536&gt;=115%,115%,BG536) + IF(BH536&gt;=115%,115%,BH536)))/_xlfn.XLOOKUP(F536,Apuração!A:A,Apuração!B:B)&gt;=1.15,1.15,((IF(AZ536&gt;=163%,163%,AZ536) + IF(AX536&gt;=115%,115%,AX536) + IF(AY536&gt;=115%,115%,AY536) + (IF(AW536&gt;=115%,115%,AW536) + IF(BA536&gt;=115%,115%,BA536) + IF(BB536&gt;=115%,115%,BB536) + IF(BC536&gt;=115%,115%,BC536) + IF(BD536&gt;=115%,115%,BD536) + IF(BE536&gt;=115%,115%,BE536) + IF(BF536&gt;=115%,115%,BF536) + IF(BG536&gt;=115%,115%,BG536) + IF(BH536&gt;=115%,115%,BH536)))/_xlfn.XLOOKUP(F536,Apuração!A:A,Apuração!B:B)))</f>
        <v>0.48166666666666663</v>
      </c>
      <c r="BL536" s="58" cm="1">
        <f t="array" aca="1" ref="BL536" ca="1">IF(SUM(IFERROR(IF(INDEX(AW536:INDEX(AW536:BH536, MATCH(2, 1/(AW536:BH536&lt;&gt;""), 1)-1), ROW(INDIRECT("1:" &amp; MATCH(2, 1/(AW536:BH536&lt;&gt;""), 1)-1))) &gt;= 115%, 115%, INDEX(AW536:INDEX(AW536:BH536, MATCH(2, 1/(AW536:BH536&lt;&gt;""), 1)-1), ROW(INDIRECT("1:" &amp; MATCH(2, 1/(AW536:BH536&lt;&gt;""), 1)-1)))), 0))/_xlfn.XLOOKUP(F536,Apuração!A:A,Apuração!B:B)&gt;=1.15,1.15,SUM(IFERROR(IF(INDEX(AW536:INDEX(AW536:BH536, MATCH(2, 1/(AW536:BH536&lt;&gt;""), 1)-1), ROW(INDIRECT("1:" &amp; MATCH(2, 1/(AW536:BH536&lt;&gt;""), 1)-1))) &gt;= 115%, 115%, INDEX(AW536:INDEX(AW536:BH536, MATCH(2, 1/(AW536:BH536&lt;&gt;""), 1)-1), ROW(INDIRECT("1:" &amp; MATCH(2, 1/(AW536:BH536&lt;&gt;""), 1)-1)))), 0))/_xlfn.XLOOKUP(F536,Apuração!A:A,Apuração!B:B))</f>
        <v>0.34583333333333338</v>
      </c>
      <c r="BM536" s="55" cm="1">
        <f t="array" ref="BM536">IFERROR(
   INDEX($AW$1:$BH$1,
      _xlfn.AGGREGATE(14, 6, COLUMN($AW$1:$BH$1)/(AW536:BH536&lt;&gt;""), 2) - COLUMN($AW$1) + 1
   ),
"")</f>
        <v>46113</v>
      </c>
      <c r="BN536" s="55" cm="1">
        <f t="array" ref="BN536">IFERROR(INDEX($AW$1:$BH$1,1,MATCH(2,1/(AW536:BH536&lt;&gt;""))),"")</f>
        <v>46143</v>
      </c>
      <c r="BO536" s="53">
        <f ca="1">IFERROR(_xlfn.XLOOKUP(F536,Apuração!A:A,Apuração!C:C)/_xlfn.XLOOKUP(F536,Apuração!A:A,Apuração!B:B),0)</f>
        <v>0.41666666666666669</v>
      </c>
      <c r="BP536" s="53">
        <f ca="1">IFERROR(_xlfn.XLOOKUP(F536,Apuração!A:A,Apuração!D:D)/_xlfn.XLOOKUP(F536,Apuração!A:A,Apuração!B:B),0)</f>
        <v>0.33333333333333331</v>
      </c>
      <c r="BQ536" s="53">
        <f ca="1">IF(BK536&gt;=BO536,0,_xlfn.XLOOKUP(F536,Apuração!A:A,Apuração!B:B)*(BO536 + (1/_xlfn.XLOOKUP(F536,Apuração!A:A,Apuração!B:B)) - BK536))</f>
        <v>0</v>
      </c>
      <c r="BR536" s="85">
        <f t="shared" ca="1" si="881"/>
        <v>0</v>
      </c>
      <c r="BS536" s="53">
        <f ca="1">IFERROR((_xlfn.XLOOKUP(F536,Apuração!A:A,Apuração!C:C)+1)/_xlfn.XLOOKUP(F536,Apuração!A:A,Apuração!B:B),0)</f>
        <v>0.5</v>
      </c>
    </row>
    <row r="537" spans="1:71" ht="25.95" hidden="1" customHeight="1" x14ac:dyDescent="0.3">
      <c r="A537" s="20" t="s">
        <v>87</v>
      </c>
      <c r="B537" s="4" t="s">
        <v>222</v>
      </c>
      <c r="C537" s="5" t="s">
        <v>97</v>
      </c>
      <c r="D537" s="5" t="s">
        <v>106</v>
      </c>
      <c r="E537" s="4" t="str" cm="1">
        <f t="array" ref="E537">_xlfn.IFS(
F537 = "A partir de Abril", "Aguardando Execução na Distribuidora",
A537 = "CAPACITAÇÃO", "Em execução no Corporativo",
TRUE, "Em Execução na Distribuidora"
)</f>
        <v>Em Execução na Distribuidora</v>
      </c>
      <c r="F537" s="4" t="str" cm="1">
        <f t="array" ref="F537">_xlfn.IFS(
AG537 &lt;&gt; "", "Jan-Dez/26",
AH537 &lt;&gt; "", "Fev-Dez/26",
AI537 &lt;&gt; "", "Mar-Dez/26", AJ537 &lt;&gt; "", "Abr-Dez/26",
TRUE, "A partir de Junho"
)</f>
        <v>Jan-Dez/26</v>
      </c>
      <c r="G537" s="7" t="s">
        <v>37</v>
      </c>
      <c r="H537" s="7" t="s">
        <v>38</v>
      </c>
      <c r="I537" s="8" t="s">
        <v>223</v>
      </c>
      <c r="J537" s="21" t="str" cm="1">
        <f t="array" aca="1" ref="J537" ca="1">_xlfn.LET(
  _xlpm.actual_value_month, INDEX(T537:AE537, MATCH(DATE(YEAR(TODAY()), MONTH(TODAY()), 1), $T$1:$AE$1, 0)),
  IF(_xlpm.actual_value_month &lt;&gt; "",_xlpm.actual_value_month &amp; " inspeções mensais", "")
)</f>
        <v>27 inspeções mensais</v>
      </c>
      <c r="K537" s="8" t="str" cm="1">
        <f t="array" ref="K537">_xlfn.LET(
    _xlpm.sum_month, SUM(T537:AE537),
    IF(_xlpm.sum_month = 0, "", _xlpm.sum_month &amp; " inspeções realizadas no ano")
)</f>
        <v>398 inspeções realizadas no ano</v>
      </c>
      <c r="L537" s="4" t="s">
        <v>144</v>
      </c>
      <c r="M537" s="19" t="s">
        <v>224</v>
      </c>
      <c r="N537" s="5" t="s">
        <v>42</v>
      </c>
      <c r="O537" s="5" t="s">
        <v>43</v>
      </c>
      <c r="P537" s="10" t="s">
        <v>44</v>
      </c>
      <c r="Q537" s="10" t="s">
        <v>72</v>
      </c>
      <c r="R537" s="11" t="s">
        <v>225</v>
      </c>
      <c r="S537" s="11" t="s">
        <v>44</v>
      </c>
      <c r="T537" s="143">
        <v>53</v>
      </c>
      <c r="U537" s="143">
        <v>51</v>
      </c>
      <c r="V537" s="143">
        <v>51</v>
      </c>
      <c r="W537" s="143">
        <v>27</v>
      </c>
      <c r="X537" s="143">
        <v>27</v>
      </c>
      <c r="Y537" s="143">
        <v>27</v>
      </c>
      <c r="Z537" s="143">
        <v>27</v>
      </c>
      <c r="AA537" s="143">
        <v>27</v>
      </c>
      <c r="AB537" s="143">
        <v>27</v>
      </c>
      <c r="AC537" s="143">
        <v>27</v>
      </c>
      <c r="AD537" s="143">
        <v>27</v>
      </c>
      <c r="AE537" s="143">
        <v>27</v>
      </c>
      <c r="AG537" s="71">
        <v>53</v>
      </c>
      <c r="AH537" s="71">
        <v>51</v>
      </c>
      <c r="AI537" s="71">
        <v>51</v>
      </c>
      <c r="AJ537" s="71">
        <v>52</v>
      </c>
      <c r="AK537" s="71">
        <v>106</v>
      </c>
      <c r="AL537" s="71"/>
      <c r="AM537" s="71"/>
      <c r="AN537" s="71"/>
      <c r="AO537" s="71"/>
      <c r="AP537" s="71"/>
      <c r="AQ537" s="71"/>
      <c r="AR537" s="71"/>
      <c r="AS537" s="94">
        <f t="shared" ca="1" si="874"/>
        <v>209</v>
      </c>
      <c r="AT537" s="95">
        <f t="shared" si="875"/>
        <v>217.10000000000002</v>
      </c>
      <c r="AU537" s="97">
        <f t="shared" si="876"/>
        <v>313</v>
      </c>
      <c r="AW537" s="51">
        <f t="shared" si="877"/>
        <v>1</v>
      </c>
      <c r="AX537" s="51">
        <f t="shared" si="878"/>
        <v>1</v>
      </c>
      <c r="AY537" s="51">
        <f t="shared" si="879"/>
        <v>1</v>
      </c>
      <c r="AZ537" s="51">
        <f t="shared" si="880"/>
        <v>1.9259259259259258</v>
      </c>
      <c r="BA537" s="51">
        <f t="shared" si="873"/>
        <v>3.925925925925926</v>
      </c>
      <c r="BB537" s="51"/>
      <c r="BC537" s="51"/>
      <c r="BD537" s="51"/>
      <c r="BE537" s="51"/>
      <c r="BF537" s="51"/>
      <c r="BG537" s="51"/>
      <c r="BH537" s="51"/>
      <c r="BI537" s="65" cm="1">
        <f t="array" ref="BI537">IFERROR(INDEX(AW537:BH537,1,MATCH(2,1/(AW537:BH537&lt;&gt;""))),"")</f>
        <v>3.925925925925926</v>
      </c>
      <c r="BJ537" s="68" cm="1">
        <f t="array" ref="BJ537">IF(BM537 = "", "",IFERROR(INDEX(AW537:BH537,1,MATCH(2,1/(AW537:BH537&lt;&gt;""),1)-1),""))</f>
        <v>1.9259259259259258</v>
      </c>
      <c r="BK537" s="58">
        <f>IF((IF(AW537&gt;=115%,115%,AW537) + IF(AX537&gt;=115%,115%,AX537) + IF(AY537&gt;=115%,115%,AY537) + (IF(AZ537&gt;=163%,163%,AZ537) + IF(BA537&gt;=115%,115%,BA537) + IF(BB537&gt;=115%,115%,BB537) + IF(BC537&gt;=115%,115%,BC537) + IF(BD537&gt;=115%,115%,BD537) + IF(BE537&gt;=115%,115%,BE537) + IF(BF537&gt;=115%,115%,BF537) + IF(BG537&gt;=115%,115%,BG537) + IF(BH537&gt;=115%,115%,BH537)))/_xlfn.XLOOKUP(F537,Apuração!A:A,Apuração!B:B)&gt;=1.15,1.15,((IF(AZ537&gt;=163%,163%,AZ537) + IF(AX537&gt;=115%,115%,AX537) + IF(AY537&gt;=115%,115%,AY537) + (IF(AW537&gt;=115%,115%,AW537) + IF(BA537&gt;=115%,115%,BA537) + IF(BB537&gt;=115%,115%,BB537) + IF(BC537&gt;=115%,115%,BC537) + IF(BD537&gt;=115%,115%,BD537) + IF(BE537&gt;=115%,115%,BE537) + IF(BF537&gt;=115%,115%,BF537) + IF(BG537&gt;=115%,115%,BG537) + IF(BH537&gt;=115%,115%,BH537)))/_xlfn.XLOOKUP(F537,Apuração!A:A,Apuração!B:B)))</f>
        <v>0.48166666666666663</v>
      </c>
      <c r="BL537" s="58" cm="1">
        <f t="array" aca="1" ref="BL537" ca="1">IF(SUM(IFERROR(IF(INDEX(AW537:INDEX(AW537:BH537, MATCH(2, 1/(AW537:BH537&lt;&gt;""), 1)-1), ROW(INDIRECT("1:" &amp; MATCH(2, 1/(AW537:BH537&lt;&gt;""), 1)-1))) &gt;= 115%, 115%, INDEX(AW537:INDEX(AW537:BH537, MATCH(2, 1/(AW537:BH537&lt;&gt;""), 1)-1), ROW(INDIRECT("1:" &amp; MATCH(2, 1/(AW537:BH537&lt;&gt;""), 1)-1)))), 0))/_xlfn.XLOOKUP(F537,Apuração!A:A,Apuração!B:B)&gt;=1.15,1.15,SUM(IFERROR(IF(INDEX(AW537:INDEX(AW537:BH537, MATCH(2, 1/(AW537:BH537&lt;&gt;""), 1)-1), ROW(INDIRECT("1:" &amp; MATCH(2, 1/(AW537:BH537&lt;&gt;""), 1)-1))) &gt;= 115%, 115%, INDEX(AW537:INDEX(AW537:BH537, MATCH(2, 1/(AW537:BH537&lt;&gt;""), 1)-1), ROW(INDIRECT("1:" &amp; MATCH(2, 1/(AW537:BH537&lt;&gt;""), 1)-1)))), 0))/_xlfn.XLOOKUP(F537,Apuração!A:A,Apuração!B:B))</f>
        <v>0.34583333333333338</v>
      </c>
      <c r="BM537" s="55" cm="1">
        <f t="array" ref="BM537">IFERROR(
   INDEX($AW$1:$BH$1,
      _xlfn.AGGREGATE(14, 6, COLUMN($AW$1:$BH$1)/(AW537:BH537&lt;&gt;""), 2) - COLUMN($AW$1) + 1
   ),
"")</f>
        <v>46113</v>
      </c>
      <c r="BN537" s="55" cm="1">
        <f t="array" ref="BN537">IFERROR(INDEX($AW$1:$BH$1,1,MATCH(2,1/(AW537:BH537&lt;&gt;""))),"")</f>
        <v>46143</v>
      </c>
      <c r="BO537" s="53">
        <f ca="1">IFERROR(_xlfn.XLOOKUP(F537,Apuração!A:A,Apuração!C:C)/_xlfn.XLOOKUP(F537,Apuração!A:A,Apuração!B:B),0)</f>
        <v>0.41666666666666669</v>
      </c>
      <c r="BP537" s="53">
        <f ca="1">IFERROR(_xlfn.XLOOKUP(F537,Apuração!A:A,Apuração!D:D)/_xlfn.XLOOKUP(F537,Apuração!A:A,Apuração!B:B),0)</f>
        <v>0.33333333333333331</v>
      </c>
      <c r="BQ537" s="53">
        <f ca="1">IF(BK537&gt;=BO537,0,_xlfn.XLOOKUP(F537,Apuração!A:A,Apuração!B:B)*(BO537 + (1/_xlfn.XLOOKUP(F537,Apuração!A:A,Apuração!B:B)) - BK537))</f>
        <v>0</v>
      </c>
      <c r="BR537" s="85">
        <f t="shared" ca="1" si="881"/>
        <v>0</v>
      </c>
      <c r="BS537" s="53">
        <f ca="1">IFERROR((_xlfn.XLOOKUP(F537,Apuração!A:A,Apuração!C:C)+1)/_xlfn.XLOOKUP(F537,Apuração!A:A,Apuração!B:B),0)</f>
        <v>0.5</v>
      </c>
    </row>
    <row r="538" spans="1:71" ht="25.95" hidden="1" customHeight="1" x14ac:dyDescent="0.3">
      <c r="A538" s="20" t="s">
        <v>87</v>
      </c>
      <c r="B538" s="4" t="s">
        <v>222</v>
      </c>
      <c r="C538" s="5" t="s">
        <v>97</v>
      </c>
      <c r="D538" s="5" t="s">
        <v>107</v>
      </c>
      <c r="E538" s="4" t="str" cm="1">
        <f t="array" ref="E538">_xlfn.IFS(
F538 = "A partir de Abril", "Aguardando Execução na Distribuidora",
A538 = "CAPACITAÇÃO", "Em execução no Corporativo",
TRUE, "Em Execução na Distribuidora"
)</f>
        <v>Em Execução na Distribuidora</v>
      </c>
      <c r="F538" s="4" t="str" cm="1">
        <f t="array" ref="F538">_xlfn.IFS(
AG538 &lt;&gt; "", "Jan-Dez/26",
AH538 &lt;&gt; "", "Fev-Dez/26",
AI538 &lt;&gt; "", "Mar-Dez/26", AJ538 &lt;&gt; "", "Abr-Dez/26",
TRUE, "A partir de Junho"
)</f>
        <v>Jan-Dez/26</v>
      </c>
      <c r="G538" s="7" t="s">
        <v>37</v>
      </c>
      <c r="H538" s="7" t="s">
        <v>38</v>
      </c>
      <c r="I538" s="8" t="s">
        <v>223</v>
      </c>
      <c r="J538" s="21" t="str" cm="1">
        <f t="array" aca="1" ref="J538" ca="1">_xlfn.LET(
  _xlpm.actual_value_month, INDEX(T538:AE538, MATCH(DATE(YEAR(TODAY()), MONTH(TODAY()), 1), $T$1:$AE$1, 0)),
  IF(_xlpm.actual_value_month &lt;&gt; "",_xlpm.actual_value_month &amp; " inspeções mensais", "")
)</f>
        <v>15 inspeções mensais</v>
      </c>
      <c r="K538" s="8" t="str" cm="1">
        <f t="array" ref="K538">_xlfn.LET(
    _xlpm.sum_month, SUM(T538:AE538),
    IF(_xlpm.sum_month = 0, "", _xlpm.sum_month &amp; " inspeções realizadas no ano")
)</f>
        <v>207 inspeções realizadas no ano</v>
      </c>
      <c r="L538" s="4" t="s">
        <v>144</v>
      </c>
      <c r="M538" s="19" t="s">
        <v>224</v>
      </c>
      <c r="N538" s="5" t="s">
        <v>42</v>
      </c>
      <c r="O538" s="5" t="s">
        <v>43</v>
      </c>
      <c r="P538" s="10" t="s">
        <v>44</v>
      </c>
      <c r="Q538" s="10" t="s">
        <v>72</v>
      </c>
      <c r="R538" s="11" t="s">
        <v>225</v>
      </c>
      <c r="S538" s="11" t="s">
        <v>44</v>
      </c>
      <c r="T538" s="143">
        <v>28</v>
      </c>
      <c r="U538" s="143">
        <v>25</v>
      </c>
      <c r="V538" s="143">
        <v>19</v>
      </c>
      <c r="W538" s="143">
        <v>15</v>
      </c>
      <c r="X538" s="143">
        <v>15</v>
      </c>
      <c r="Y538" s="143">
        <v>15</v>
      </c>
      <c r="Z538" s="143">
        <v>15</v>
      </c>
      <c r="AA538" s="143">
        <v>15</v>
      </c>
      <c r="AB538" s="143">
        <v>15</v>
      </c>
      <c r="AC538" s="143">
        <v>15</v>
      </c>
      <c r="AD538" s="143">
        <v>15</v>
      </c>
      <c r="AE538" s="143">
        <v>15</v>
      </c>
      <c r="AG538" s="71">
        <v>28</v>
      </c>
      <c r="AH538" s="71">
        <v>25</v>
      </c>
      <c r="AI538" s="71">
        <v>19</v>
      </c>
      <c r="AJ538" s="71">
        <v>37</v>
      </c>
      <c r="AK538" s="71">
        <v>37</v>
      </c>
      <c r="AL538" s="71"/>
      <c r="AM538" s="71"/>
      <c r="AN538" s="71"/>
      <c r="AO538" s="71"/>
      <c r="AP538" s="71"/>
      <c r="AQ538" s="71"/>
      <c r="AR538" s="71"/>
      <c r="AS538" s="94">
        <f t="shared" ca="1" si="874"/>
        <v>102</v>
      </c>
      <c r="AT538" s="95">
        <f t="shared" si="875"/>
        <v>106.5</v>
      </c>
      <c r="AU538" s="97">
        <f t="shared" si="876"/>
        <v>146</v>
      </c>
      <c r="AW538" s="51">
        <f t="shared" si="877"/>
        <v>1</v>
      </c>
      <c r="AX538" s="51">
        <f t="shared" si="878"/>
        <v>1</v>
      </c>
      <c r="AY538" s="51">
        <f t="shared" si="879"/>
        <v>1</v>
      </c>
      <c r="AZ538" s="51">
        <f t="shared" si="880"/>
        <v>2.4666666666666668</v>
      </c>
      <c r="BA538" s="51">
        <f t="shared" si="873"/>
        <v>2.4666666666666668</v>
      </c>
      <c r="BB538" s="51"/>
      <c r="BC538" s="51"/>
      <c r="BD538" s="51"/>
      <c r="BE538" s="51"/>
      <c r="BF538" s="51"/>
      <c r="BG538" s="51"/>
      <c r="BH538" s="51"/>
      <c r="BI538" s="65" cm="1">
        <f t="array" ref="BI538">IFERROR(INDEX(AW538:BH538,1,MATCH(2,1/(AW538:BH538&lt;&gt;""))),"")</f>
        <v>2.4666666666666668</v>
      </c>
      <c r="BJ538" s="68" cm="1">
        <f t="array" ref="BJ538">IF(BM538 = "", "",IFERROR(INDEX(AW538:BH538,1,MATCH(2,1/(AW538:BH538&lt;&gt;""),1)-1),""))</f>
        <v>2.4666666666666668</v>
      </c>
      <c r="BK538" s="58">
        <f>IF((IF(AW538&gt;=115%,115%,AW538) + IF(AX538&gt;=115%,115%,AX538) + IF(AY538&gt;=115%,115%,AY538) + (IF(AZ538&gt;=163%,163%,AZ538) + IF(BA538&gt;=115%,115%,BA538) + IF(BB538&gt;=115%,115%,BB538) + IF(BC538&gt;=115%,115%,BC538) + IF(BD538&gt;=115%,115%,BD538) + IF(BE538&gt;=115%,115%,BE538) + IF(BF538&gt;=115%,115%,BF538) + IF(BG538&gt;=115%,115%,BG538) + IF(BH538&gt;=115%,115%,BH538)))/_xlfn.XLOOKUP(F538,Apuração!A:A,Apuração!B:B)&gt;=1.15,1.15,((IF(AZ538&gt;=163%,163%,AZ538) + IF(AX538&gt;=115%,115%,AX538) + IF(AY538&gt;=115%,115%,AY538) + (IF(AW538&gt;=115%,115%,AW538) + IF(BA538&gt;=115%,115%,BA538) + IF(BB538&gt;=115%,115%,BB538) + IF(BC538&gt;=115%,115%,BC538) + IF(BD538&gt;=115%,115%,BD538) + IF(BE538&gt;=115%,115%,BE538) + IF(BF538&gt;=115%,115%,BF538) + IF(BG538&gt;=115%,115%,BG538) + IF(BH538&gt;=115%,115%,BH538)))/_xlfn.XLOOKUP(F538,Apuração!A:A,Apuração!B:B)))</f>
        <v>0.48166666666666663</v>
      </c>
      <c r="BL538" s="58" cm="1">
        <f t="array" aca="1" ref="BL538" ca="1">IF(SUM(IFERROR(IF(INDEX(AW538:INDEX(AW538:BH538, MATCH(2, 1/(AW538:BH538&lt;&gt;""), 1)-1), ROW(INDIRECT("1:" &amp; MATCH(2, 1/(AW538:BH538&lt;&gt;""), 1)-1))) &gt;= 115%, 115%, INDEX(AW538:INDEX(AW538:BH538, MATCH(2, 1/(AW538:BH538&lt;&gt;""), 1)-1), ROW(INDIRECT("1:" &amp; MATCH(2, 1/(AW538:BH538&lt;&gt;""), 1)-1)))), 0))/_xlfn.XLOOKUP(F538,Apuração!A:A,Apuração!B:B)&gt;=1.15,1.15,SUM(IFERROR(IF(INDEX(AW538:INDEX(AW538:BH538, MATCH(2, 1/(AW538:BH538&lt;&gt;""), 1)-1), ROW(INDIRECT("1:" &amp; MATCH(2, 1/(AW538:BH538&lt;&gt;""), 1)-1))) &gt;= 115%, 115%, INDEX(AW538:INDEX(AW538:BH538, MATCH(2, 1/(AW538:BH538&lt;&gt;""), 1)-1), ROW(INDIRECT("1:" &amp; MATCH(2, 1/(AW538:BH538&lt;&gt;""), 1)-1)))), 0))/_xlfn.XLOOKUP(F538,Apuração!A:A,Apuração!B:B))</f>
        <v>0.34583333333333338</v>
      </c>
      <c r="BM538" s="55" cm="1">
        <f t="array" ref="BM538">IFERROR(
   INDEX($AW$1:$BH$1,
      _xlfn.AGGREGATE(14, 6, COLUMN($AW$1:$BH$1)/(AW538:BH538&lt;&gt;""), 2) - COLUMN($AW$1) + 1
   ),
"")</f>
        <v>46113</v>
      </c>
      <c r="BN538" s="55" cm="1">
        <f t="array" ref="BN538">IFERROR(INDEX($AW$1:$BH$1,1,MATCH(2,1/(AW538:BH538&lt;&gt;""))),"")</f>
        <v>46143</v>
      </c>
      <c r="BO538" s="53">
        <f ca="1">IFERROR(_xlfn.XLOOKUP(F538,Apuração!A:A,Apuração!C:C)/_xlfn.XLOOKUP(F538,Apuração!A:A,Apuração!B:B),0)</f>
        <v>0.41666666666666669</v>
      </c>
      <c r="BP538" s="53">
        <f ca="1">IFERROR(_xlfn.XLOOKUP(F538,Apuração!A:A,Apuração!D:D)/_xlfn.XLOOKUP(F538,Apuração!A:A,Apuração!B:B),0)</f>
        <v>0.33333333333333331</v>
      </c>
      <c r="BQ538" s="53">
        <f ca="1">IF(BK538&gt;=BO538,0,_xlfn.XLOOKUP(F538,Apuração!A:A,Apuração!B:B)*(BO538 + (1/_xlfn.XLOOKUP(F538,Apuração!A:A,Apuração!B:B)) - BK538))</f>
        <v>0</v>
      </c>
      <c r="BR538" s="85">
        <f t="shared" ca="1" si="881"/>
        <v>0</v>
      </c>
      <c r="BS538" s="53">
        <f ca="1">IFERROR((_xlfn.XLOOKUP(F538,Apuração!A:A,Apuração!C:C)+1)/_xlfn.XLOOKUP(F538,Apuração!A:A,Apuração!B:B),0)</f>
        <v>0.5</v>
      </c>
    </row>
    <row r="539" spans="1:71" ht="25.95" hidden="1" customHeight="1" x14ac:dyDescent="0.3">
      <c r="A539" s="40" t="s">
        <v>87</v>
      </c>
      <c r="B539" s="4" t="s">
        <v>222</v>
      </c>
      <c r="C539" s="5" t="s">
        <v>97</v>
      </c>
      <c r="D539" s="5" t="s">
        <v>36</v>
      </c>
      <c r="E539" s="4" t="str" cm="1">
        <f t="array" ref="E539">_xlfn.IFS(
F539 = "A partir de Abril", "Aguardando Execução na Distribuidora",
A539 = "CAPACITAÇÃO", "Em execução no Corporativo",
TRUE, "Em Execução na Distribuidora"
)</f>
        <v>Em Execução na Distribuidora</v>
      </c>
      <c r="F539" s="4" t="str" cm="1">
        <f t="array" ref="F539">_xlfn.IFS(
AG539 &lt;&gt; "", "Jan-Dez/26",
AH539 &lt;&gt; "", "Fev-Dez/26",
AI539 &lt;&gt; "", "Mar-Dez/26", AJ539 &lt;&gt; "", "Abr-Dez/26",
TRUE, "A partir de Junho"
)</f>
        <v>Jan-Dez/26</v>
      </c>
      <c r="G539" s="7" t="s">
        <v>37</v>
      </c>
      <c r="H539" s="7" t="s">
        <v>38</v>
      </c>
      <c r="I539" s="8" t="s">
        <v>148</v>
      </c>
      <c r="J539" s="21" t="str" cm="1">
        <f t="array" aca="1" ref="J539" ca="1">_xlfn.LET(
  _xlpm.actual_value_month, INDEX(T539:AE539, MATCH(DATE(YEAR(TODAY()), MONTH(TODAY()), 1), $T$1:$AE$1, 0)),
  IF(_xlpm.actual_value_month &lt;&gt; "",_xlpm.actual_value_month &amp; " ações mensais", "")
)</f>
        <v/>
      </c>
      <c r="K539" s="8" t="str" cm="1">
        <f t="array" ref="K539">_xlfn.LET(
    _xlpm.sum_month, SUM(T539:AE539),
    IF(_xlpm.sum_month = 0, "", _xlpm.sum_month &amp; " NC's no ano")
)</f>
        <v/>
      </c>
      <c r="L539" s="9" t="s">
        <v>149</v>
      </c>
      <c r="M539" s="4"/>
      <c r="N539" s="5" t="s">
        <v>51</v>
      </c>
      <c r="O539" s="5" t="s">
        <v>52</v>
      </c>
      <c r="P539" s="10" t="s">
        <v>44</v>
      </c>
      <c r="Q539" s="10" t="s">
        <v>44</v>
      </c>
      <c r="R539" s="11" t="s">
        <v>44</v>
      </c>
      <c r="S539" s="11" t="s">
        <v>44</v>
      </c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G539" s="71">
        <v>26</v>
      </c>
      <c r="AH539" s="71">
        <v>35</v>
      </c>
      <c r="AI539" s="71">
        <v>63</v>
      </c>
      <c r="AJ539" s="71">
        <v>70</v>
      </c>
      <c r="AK539" s="71">
        <v>72</v>
      </c>
      <c r="AL539" s="71"/>
      <c r="AM539" s="71"/>
      <c r="AN539" s="71"/>
      <c r="AO539" s="71"/>
      <c r="AP539" s="71"/>
      <c r="AQ539" s="71"/>
      <c r="AR539" s="71"/>
      <c r="AS539" s="94">
        <f t="shared" ca="1" si="853"/>
        <v>0</v>
      </c>
      <c r="AT539" s="95">
        <f>SUM(AG539:AR539)</f>
        <v>266</v>
      </c>
      <c r="AU539" s="97">
        <f t="shared" si="854"/>
        <v>266</v>
      </c>
      <c r="AW539" s="83">
        <f>AG539</f>
        <v>26</v>
      </c>
      <c r="AX539" s="83">
        <f t="shared" ref="AX539:AX562" si="882">AH539</f>
        <v>35</v>
      </c>
      <c r="AY539" s="83">
        <f t="shared" ref="AY539:AY562" si="883">AI539</f>
        <v>63</v>
      </c>
      <c r="AZ539" s="83">
        <f t="shared" ref="AZ539:BA562" si="884">AJ539</f>
        <v>70</v>
      </c>
      <c r="BA539" s="83">
        <f t="shared" si="884"/>
        <v>72</v>
      </c>
      <c r="BB539" s="52"/>
      <c r="BC539" s="52"/>
      <c r="BD539" s="52"/>
      <c r="BE539" s="52"/>
      <c r="BF539" s="52"/>
      <c r="BG539" s="52"/>
      <c r="BH539" s="52"/>
      <c r="BI539" s="68" cm="1">
        <f t="array" ref="BI539">IFERROR(INDEX(AW539:BH539,1,MATCH(2,1/(AW539:BH539&lt;&gt;""))),"")</f>
        <v>72</v>
      </c>
      <c r="BJ539" s="68" cm="1">
        <f t="array" ref="BJ539">IF(BM539 = "", "",IFERROR(INDEX(AW539:BH539,1,MATCH(2,1/(AW539:BH539&lt;&gt;""),1)-1),""))</f>
        <v>70</v>
      </c>
      <c r="BK539" s="59">
        <f>SUM(AW539:BH539)</f>
        <v>266</v>
      </c>
      <c r="BL539" s="59" cm="1">
        <f t="array" ref="BL539">IFERROR(SUM(AW539:INDEX(AW539:BH539, MATCH(2, 1/(AW539:BH539&lt;&gt;""), 1) - 1))/_xlfn.XLOOKUP(F539,Apuração!A:A,Apuração!B:B),0)</f>
        <v>16.166666666666668</v>
      </c>
      <c r="BM539" s="55" cm="1">
        <f t="array" ref="BM539">IFERROR(
   INDEX($AW$1:$BH$1,
      _xlfn.AGGREGATE(14, 6, COLUMN($AW$1:$BH$1)/(AW539:BH539&lt;&gt;""), 2) - COLUMN($AW$1) + 1
   ),
"")</f>
        <v>46113</v>
      </c>
      <c r="BN539" s="55" cm="1">
        <f t="array" ref="BN539">IFERROR(INDEX($AW$1:$BH$1,1,MATCH(2,1/(AW539:BH539&lt;&gt;""))),"")</f>
        <v>46143</v>
      </c>
      <c r="BO539" s="53">
        <f ca="1">IFERROR(_xlfn.XLOOKUP(F539,Apuração!A:A,Apuração!C:C)/_xlfn.XLOOKUP(F539,Apuração!A:A,Apuração!B:B),0)</f>
        <v>0.41666666666666669</v>
      </c>
      <c r="BP539" s="53">
        <f ca="1">IFERROR(_xlfn.XLOOKUP(F539,Apuração!A:A,Apuração!D:D)/_xlfn.XLOOKUP(F539,Apuração!A:A,Apuração!B:B),0)</f>
        <v>0.33333333333333331</v>
      </c>
      <c r="BQ539" s="53">
        <f ca="1">IF(BK539&gt;=BO539,0,_xlfn.XLOOKUP(F539,Apuração!A:A,Apuração!B:B)*(BO539 + (1/_xlfn.XLOOKUP(F539,Apuração!A:A,Apuração!B:B)) - BK539))</f>
        <v>0</v>
      </c>
      <c r="BR539" s="85">
        <f t="shared" ca="1" si="841"/>
        <v>0</v>
      </c>
      <c r="BS539" s="53">
        <f ca="1">IFERROR((_xlfn.XLOOKUP(F539,Apuração!A:A,Apuração!C:C)+1)/_xlfn.XLOOKUP(F539,Apuração!A:A,Apuração!B:B),0)</f>
        <v>0.5</v>
      </c>
    </row>
    <row r="540" spans="1:71" ht="25.95" hidden="1" customHeight="1" x14ac:dyDescent="0.3">
      <c r="A540" s="70" t="s">
        <v>108</v>
      </c>
      <c r="B540" s="4" t="s">
        <v>109</v>
      </c>
      <c r="C540" s="5" t="s">
        <v>97</v>
      </c>
      <c r="D540" s="5" t="s">
        <v>36</v>
      </c>
      <c r="E540" s="4" t="s">
        <v>61</v>
      </c>
      <c r="F540" s="4" t="str" cm="1">
        <f t="array" ref="F540">_xlfn.IFS(
AG540 &lt;&gt; "", "Jan-Dez/26",
AH540 &lt;&gt; "", "Fev-Dez/26",
AI540 &lt;&gt; "", "Mar-Dez/26", AJ540 &lt;&gt; "", "Abr-Dez/26",
TRUE, "A partir de Junho"
)</f>
        <v>A partir de Junho</v>
      </c>
      <c r="G540" s="4" t="s">
        <v>62</v>
      </c>
      <c r="H540" s="7" t="s">
        <v>110</v>
      </c>
      <c r="I540" s="8"/>
      <c r="J540" s="8" t="str" cm="1">
        <f t="array" aca="1" ref="J540" ca="1">_xlfn.LET(
  _xlpm.actual_value_month, INDEX(T540:AE540, MATCH(DATE(YEAR(TODAY()), MONTH(TODAY()), 1), $T$1:$AE$1, 0)),
  IF(_xlpm.actual_value_month &lt;&gt; "",_xlpm.actual_value_month &amp; " ações mensais", "")
)</f>
        <v/>
      </c>
      <c r="K540" s="8" t="str" cm="1">
        <f t="array" ref="K540">_xlfn.LET(
    _xlpm.sum_month, SUM(T540:AE540),
    IF(_xlpm.sum_month = 0, "", _xlpm.sum_month &amp; " veículos com telemetria no ano")
)</f>
        <v/>
      </c>
      <c r="L540" s="9" t="s">
        <v>111</v>
      </c>
      <c r="M540" s="13">
        <v>1</v>
      </c>
      <c r="N540" s="5" t="s">
        <v>51</v>
      </c>
      <c r="O540" s="5" t="s">
        <v>52</v>
      </c>
      <c r="P540" s="10" t="s">
        <v>44</v>
      </c>
      <c r="Q540" s="10" t="s">
        <v>44</v>
      </c>
      <c r="R540" s="11" t="s">
        <v>44</v>
      </c>
      <c r="S540" s="11" t="s">
        <v>44</v>
      </c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G540" s="71"/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  <c r="AR540" s="71"/>
      <c r="AS540" s="94">
        <v>0</v>
      </c>
      <c r="AT540" s="95">
        <v>0</v>
      </c>
      <c r="AU540" s="97">
        <v>0</v>
      </c>
      <c r="AW540" s="83">
        <f t="shared" ref="AW540:AW562" si="885">AG540</f>
        <v>0</v>
      </c>
      <c r="AX540" s="83">
        <f t="shared" si="882"/>
        <v>0</v>
      </c>
      <c r="AY540" s="83">
        <f t="shared" si="883"/>
        <v>0</v>
      </c>
      <c r="AZ540" s="83">
        <f t="shared" si="884"/>
        <v>0</v>
      </c>
      <c r="BA540" s="52"/>
      <c r="BB540" s="52"/>
      <c r="BC540" s="52"/>
      <c r="BD540" s="52"/>
      <c r="BE540" s="52"/>
      <c r="BF540" s="52"/>
      <c r="BG540" s="52"/>
      <c r="BH540" s="52"/>
      <c r="BI540" s="68">
        <v>0</v>
      </c>
      <c r="BJ540" s="68">
        <v>0</v>
      </c>
      <c r="BK540" s="59">
        <v>0</v>
      </c>
      <c r="BL540" s="59">
        <v>0</v>
      </c>
      <c r="BM540" s="55">
        <v>46054</v>
      </c>
      <c r="BN540" s="55">
        <v>46082</v>
      </c>
      <c r="BO540" s="53">
        <v>0</v>
      </c>
      <c r="BP540" s="53">
        <v>0</v>
      </c>
      <c r="BQ540" s="53">
        <v>0</v>
      </c>
      <c r="BR540" s="85">
        <v>0</v>
      </c>
      <c r="BS540" s="53">
        <v>0.1111111111111111</v>
      </c>
    </row>
    <row r="541" spans="1:71" ht="25.95" hidden="1" customHeight="1" x14ac:dyDescent="0.3">
      <c r="A541" s="70" t="s">
        <v>108</v>
      </c>
      <c r="B541" s="4" t="s">
        <v>109</v>
      </c>
      <c r="C541" s="5" t="s">
        <v>97</v>
      </c>
      <c r="D541" s="5" t="s">
        <v>98</v>
      </c>
      <c r="E541" s="4" t="s">
        <v>61</v>
      </c>
      <c r="F541" s="4" t="str" cm="1">
        <f t="array" ref="F541">_xlfn.IFS(
AG541 &lt;&gt; "", "Jan-Dez/26",
AH541 &lt;&gt; "", "Fev-Dez/26",
AI541 &lt;&gt; "", "Mar-Dez/26", AJ541 &lt;&gt; "", "Abr-Dez/26",
TRUE, "A partir de Junho"
)</f>
        <v>A partir de Junho</v>
      </c>
      <c r="G541" s="4" t="s">
        <v>62</v>
      </c>
      <c r="H541" s="7" t="s">
        <v>110</v>
      </c>
      <c r="I541" s="8"/>
      <c r="J541" s="8" t="str" cm="1">
        <f t="array" aca="1" ref="J541" ca="1">_xlfn.LET(
  _xlpm.actual_value_month, INDEX(T541:AE541, MATCH(DATE(YEAR(TODAY()), MONTH(TODAY()), 1), $T$1:$AE$1, 0)),
  IF(_xlpm.actual_value_month &lt;&gt; "",_xlpm.actual_value_month &amp; " ações mensais", "")
)</f>
        <v/>
      </c>
      <c r="K541" s="8" t="str" cm="1">
        <f t="array" ref="K541">_xlfn.LET(
    _xlpm.sum_month, SUM(T541:AE541),
    IF(_xlpm.sum_month = 0, "", _xlpm.sum_month &amp; " veículos com telemetria no ano")
)</f>
        <v/>
      </c>
      <c r="L541" s="9" t="s">
        <v>111</v>
      </c>
      <c r="M541" s="13">
        <v>1</v>
      </c>
      <c r="N541" s="5" t="s">
        <v>51</v>
      </c>
      <c r="O541" s="5" t="s">
        <v>52</v>
      </c>
      <c r="P541" s="10" t="s">
        <v>44</v>
      </c>
      <c r="Q541" s="10" t="s">
        <v>44</v>
      </c>
      <c r="R541" s="11" t="s">
        <v>44</v>
      </c>
      <c r="S541" s="11" t="s">
        <v>44</v>
      </c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G541" s="71"/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  <c r="AR541" s="71"/>
      <c r="AS541" s="94">
        <v>0</v>
      </c>
      <c r="AT541" s="95">
        <v>0</v>
      </c>
      <c r="AU541" s="97">
        <v>0</v>
      </c>
      <c r="AW541" s="83">
        <f t="shared" ref="AW541:AW549" si="886">AG541</f>
        <v>0</v>
      </c>
      <c r="AX541" s="83">
        <f t="shared" ref="AX541:AX549" si="887">AH541</f>
        <v>0</v>
      </c>
      <c r="AY541" s="83">
        <f t="shared" ref="AY541:AY549" si="888">AI541</f>
        <v>0</v>
      </c>
      <c r="AZ541" s="83">
        <f t="shared" ref="AZ541:AZ549" si="889">AJ541</f>
        <v>0</v>
      </c>
      <c r="BA541" s="52"/>
      <c r="BB541" s="52"/>
      <c r="BC541" s="52"/>
      <c r="BD541" s="52"/>
      <c r="BE541" s="52"/>
      <c r="BF541" s="52"/>
      <c r="BG541" s="52"/>
      <c r="BH541" s="52"/>
      <c r="BI541" s="68">
        <v>0</v>
      </c>
      <c r="BJ541" s="68">
        <v>0</v>
      </c>
      <c r="BK541" s="59">
        <v>0</v>
      </c>
      <c r="BL541" s="59">
        <v>0</v>
      </c>
      <c r="BM541" s="55">
        <v>46054</v>
      </c>
      <c r="BN541" s="55">
        <v>46082</v>
      </c>
      <c r="BO541" s="53">
        <v>0</v>
      </c>
      <c r="BP541" s="53">
        <v>0</v>
      </c>
      <c r="BQ541" s="53">
        <v>0</v>
      </c>
      <c r="BR541" s="85">
        <v>0</v>
      </c>
      <c r="BS541" s="53">
        <v>0.1111111111111111</v>
      </c>
    </row>
    <row r="542" spans="1:71" ht="25.95" hidden="1" customHeight="1" x14ac:dyDescent="0.3">
      <c r="A542" s="70" t="s">
        <v>108</v>
      </c>
      <c r="B542" s="4" t="s">
        <v>109</v>
      </c>
      <c r="C542" s="5" t="s">
        <v>97</v>
      </c>
      <c r="D542" s="5" t="s">
        <v>99</v>
      </c>
      <c r="E542" s="4" t="s">
        <v>61</v>
      </c>
      <c r="F542" s="4" t="str" cm="1">
        <f t="array" ref="F542">_xlfn.IFS(
AG542 &lt;&gt; "", "Jan-Dez/26",
AH542 &lt;&gt; "", "Fev-Dez/26",
AI542 &lt;&gt; "", "Mar-Dez/26", AJ542 &lt;&gt; "", "Abr-Dez/26",
TRUE, "A partir de Junho"
)</f>
        <v>A partir de Junho</v>
      </c>
      <c r="G542" s="4" t="s">
        <v>62</v>
      </c>
      <c r="H542" s="7" t="s">
        <v>110</v>
      </c>
      <c r="I542" s="8"/>
      <c r="J542" s="8" t="str" cm="1">
        <f t="array" aca="1" ref="J542" ca="1">_xlfn.LET(
  _xlpm.actual_value_month, INDEX(T542:AE542, MATCH(DATE(YEAR(TODAY()), MONTH(TODAY()), 1), $T$1:$AE$1, 0)),
  IF(_xlpm.actual_value_month &lt;&gt; "",_xlpm.actual_value_month &amp; " ações mensais", "")
)</f>
        <v/>
      </c>
      <c r="K542" s="8" t="str" cm="1">
        <f t="array" ref="K542">_xlfn.LET(
    _xlpm.sum_month, SUM(T542:AE542),
    IF(_xlpm.sum_month = 0, "", _xlpm.sum_month &amp; " veículos com telemetria no ano")
)</f>
        <v/>
      </c>
      <c r="L542" s="9" t="s">
        <v>111</v>
      </c>
      <c r="M542" s="13">
        <v>1</v>
      </c>
      <c r="N542" s="5" t="s">
        <v>51</v>
      </c>
      <c r="O542" s="5" t="s">
        <v>52</v>
      </c>
      <c r="P542" s="10" t="s">
        <v>44</v>
      </c>
      <c r="Q542" s="10" t="s">
        <v>44</v>
      </c>
      <c r="R542" s="11" t="s">
        <v>44</v>
      </c>
      <c r="S542" s="11" t="s">
        <v>44</v>
      </c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G542" s="71"/>
      <c r="AH542" s="71"/>
      <c r="AI542" s="71"/>
      <c r="AJ542" s="71"/>
      <c r="AK542" s="71"/>
      <c r="AL542" s="71"/>
      <c r="AM542" s="71"/>
      <c r="AN542" s="71"/>
      <c r="AO542" s="71"/>
      <c r="AP542" s="71"/>
      <c r="AQ542" s="71"/>
      <c r="AR542" s="71"/>
      <c r="AS542" s="94">
        <v>0</v>
      </c>
      <c r="AT542" s="95">
        <v>0</v>
      </c>
      <c r="AU542" s="97">
        <v>0</v>
      </c>
      <c r="AW542" s="83">
        <f t="shared" si="886"/>
        <v>0</v>
      </c>
      <c r="AX542" s="83">
        <f t="shared" si="887"/>
        <v>0</v>
      </c>
      <c r="AY542" s="83">
        <f t="shared" si="888"/>
        <v>0</v>
      </c>
      <c r="AZ542" s="83">
        <f t="shared" si="889"/>
        <v>0</v>
      </c>
      <c r="BA542" s="52"/>
      <c r="BB542" s="52"/>
      <c r="BC542" s="52"/>
      <c r="BD542" s="52"/>
      <c r="BE542" s="52"/>
      <c r="BF542" s="52"/>
      <c r="BG542" s="52"/>
      <c r="BH542" s="52"/>
      <c r="BI542" s="68">
        <v>0</v>
      </c>
      <c r="BJ542" s="68">
        <v>0</v>
      </c>
      <c r="BK542" s="59">
        <v>0</v>
      </c>
      <c r="BL542" s="59">
        <v>0</v>
      </c>
      <c r="BM542" s="55">
        <v>46054</v>
      </c>
      <c r="BN542" s="55">
        <v>46082</v>
      </c>
      <c r="BO542" s="53">
        <v>0</v>
      </c>
      <c r="BP542" s="53">
        <v>0</v>
      </c>
      <c r="BQ542" s="53">
        <v>0</v>
      </c>
      <c r="BR542" s="85">
        <v>0</v>
      </c>
      <c r="BS542" s="53">
        <v>0.1111111111111111</v>
      </c>
    </row>
    <row r="543" spans="1:71" ht="25.95" hidden="1" customHeight="1" x14ac:dyDescent="0.3">
      <c r="A543" s="70" t="s">
        <v>108</v>
      </c>
      <c r="B543" s="4" t="s">
        <v>109</v>
      </c>
      <c r="C543" s="5" t="s">
        <v>97</v>
      </c>
      <c r="D543" s="5" t="s">
        <v>100</v>
      </c>
      <c r="E543" s="4" t="s">
        <v>61</v>
      </c>
      <c r="F543" s="4" t="str" cm="1">
        <f t="array" ref="F543">_xlfn.IFS(
AG543 &lt;&gt; "", "Jan-Dez/26",
AH543 &lt;&gt; "", "Fev-Dez/26",
AI543 &lt;&gt; "", "Mar-Dez/26", AJ543 &lt;&gt; "", "Abr-Dez/26",
TRUE, "A partir de Junho"
)</f>
        <v>A partir de Junho</v>
      </c>
      <c r="G543" s="4" t="s">
        <v>62</v>
      </c>
      <c r="H543" s="7" t="s">
        <v>110</v>
      </c>
      <c r="I543" s="8"/>
      <c r="J543" s="8" t="str" cm="1">
        <f t="array" aca="1" ref="J543" ca="1">_xlfn.LET(
  _xlpm.actual_value_month, INDEX(T543:AE543, MATCH(DATE(YEAR(TODAY()), MONTH(TODAY()), 1), $T$1:$AE$1, 0)),
  IF(_xlpm.actual_value_month &lt;&gt; "",_xlpm.actual_value_month &amp; " ações mensais", "")
)</f>
        <v/>
      </c>
      <c r="K543" s="8" t="str" cm="1">
        <f t="array" ref="K543">_xlfn.LET(
    _xlpm.sum_month, SUM(T543:AE543),
    IF(_xlpm.sum_month = 0, "", _xlpm.sum_month &amp; " veículos com telemetria no ano")
)</f>
        <v/>
      </c>
      <c r="L543" s="9" t="s">
        <v>111</v>
      </c>
      <c r="M543" s="13">
        <v>1</v>
      </c>
      <c r="N543" s="5" t="s">
        <v>51</v>
      </c>
      <c r="O543" s="5" t="s">
        <v>52</v>
      </c>
      <c r="P543" s="10" t="s">
        <v>44</v>
      </c>
      <c r="Q543" s="10" t="s">
        <v>44</v>
      </c>
      <c r="R543" s="11" t="s">
        <v>44</v>
      </c>
      <c r="S543" s="11" t="s">
        <v>44</v>
      </c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G543" s="71"/>
      <c r="AH543" s="71"/>
      <c r="AI543" s="71"/>
      <c r="AJ543" s="71"/>
      <c r="AK543" s="71"/>
      <c r="AL543" s="71"/>
      <c r="AM543" s="71"/>
      <c r="AN543" s="71"/>
      <c r="AO543" s="71"/>
      <c r="AP543" s="71"/>
      <c r="AQ543" s="71"/>
      <c r="AR543" s="71"/>
      <c r="AS543" s="94">
        <v>0</v>
      </c>
      <c r="AT543" s="95">
        <v>0</v>
      </c>
      <c r="AU543" s="97">
        <v>0</v>
      </c>
      <c r="AW543" s="83">
        <f t="shared" si="886"/>
        <v>0</v>
      </c>
      <c r="AX543" s="83">
        <f t="shared" si="887"/>
        <v>0</v>
      </c>
      <c r="AY543" s="83">
        <f t="shared" si="888"/>
        <v>0</v>
      </c>
      <c r="AZ543" s="83">
        <f t="shared" si="889"/>
        <v>0</v>
      </c>
      <c r="BA543" s="52"/>
      <c r="BB543" s="52"/>
      <c r="BC543" s="52"/>
      <c r="BD543" s="52"/>
      <c r="BE543" s="52"/>
      <c r="BF543" s="52"/>
      <c r="BG543" s="52"/>
      <c r="BH543" s="52"/>
      <c r="BI543" s="68">
        <v>0</v>
      </c>
      <c r="BJ543" s="68">
        <v>0</v>
      </c>
      <c r="BK543" s="59">
        <v>0</v>
      </c>
      <c r="BL543" s="59">
        <v>0</v>
      </c>
      <c r="BM543" s="55">
        <v>46054</v>
      </c>
      <c r="BN543" s="55">
        <v>46082</v>
      </c>
      <c r="BO543" s="53">
        <v>0</v>
      </c>
      <c r="BP543" s="53">
        <v>0</v>
      </c>
      <c r="BQ543" s="53">
        <v>0</v>
      </c>
      <c r="BR543" s="85">
        <v>0</v>
      </c>
      <c r="BS543" s="53">
        <v>0.1111111111111111</v>
      </c>
    </row>
    <row r="544" spans="1:71" ht="25.95" hidden="1" customHeight="1" x14ac:dyDescent="0.3">
      <c r="A544" s="70" t="s">
        <v>108</v>
      </c>
      <c r="B544" s="4" t="s">
        <v>109</v>
      </c>
      <c r="C544" s="5" t="s">
        <v>97</v>
      </c>
      <c r="D544" s="5" t="s">
        <v>101</v>
      </c>
      <c r="E544" s="4" t="s">
        <v>61</v>
      </c>
      <c r="F544" s="4" t="str" cm="1">
        <f t="array" ref="F544">_xlfn.IFS(
AG544 &lt;&gt; "", "Jan-Dez/26",
AH544 &lt;&gt; "", "Fev-Dez/26",
AI544 &lt;&gt; "", "Mar-Dez/26", AJ544 &lt;&gt; "", "Abr-Dez/26",
TRUE, "A partir de Junho"
)</f>
        <v>A partir de Junho</v>
      </c>
      <c r="G544" s="4" t="s">
        <v>62</v>
      </c>
      <c r="H544" s="7" t="s">
        <v>110</v>
      </c>
      <c r="I544" s="8"/>
      <c r="J544" s="8" t="str" cm="1">
        <f t="array" aca="1" ref="J544" ca="1">_xlfn.LET(
  _xlpm.actual_value_month, INDEX(T544:AE544, MATCH(DATE(YEAR(TODAY()), MONTH(TODAY()), 1), $T$1:$AE$1, 0)),
  IF(_xlpm.actual_value_month &lt;&gt; "",_xlpm.actual_value_month &amp; " ações mensais", "")
)</f>
        <v/>
      </c>
      <c r="K544" s="8" t="str" cm="1">
        <f t="array" ref="K544">_xlfn.LET(
    _xlpm.sum_month, SUM(T544:AE544),
    IF(_xlpm.sum_month = 0, "", _xlpm.sum_month &amp; " veículos com telemetria no ano")
)</f>
        <v/>
      </c>
      <c r="L544" s="9" t="s">
        <v>111</v>
      </c>
      <c r="M544" s="13">
        <v>1</v>
      </c>
      <c r="N544" s="5" t="s">
        <v>51</v>
      </c>
      <c r="O544" s="5" t="s">
        <v>52</v>
      </c>
      <c r="P544" s="10" t="s">
        <v>44</v>
      </c>
      <c r="Q544" s="10" t="s">
        <v>44</v>
      </c>
      <c r="R544" s="11" t="s">
        <v>44</v>
      </c>
      <c r="S544" s="11" t="s">
        <v>44</v>
      </c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G544" s="71"/>
      <c r="AH544" s="71"/>
      <c r="AI544" s="71"/>
      <c r="AJ544" s="71"/>
      <c r="AK544" s="71"/>
      <c r="AL544" s="71"/>
      <c r="AM544" s="71"/>
      <c r="AN544" s="71"/>
      <c r="AO544" s="71"/>
      <c r="AP544" s="71"/>
      <c r="AQ544" s="71"/>
      <c r="AR544" s="71"/>
      <c r="AS544" s="94">
        <v>0</v>
      </c>
      <c r="AT544" s="95">
        <v>0</v>
      </c>
      <c r="AU544" s="97">
        <v>0</v>
      </c>
      <c r="AW544" s="83">
        <f t="shared" si="886"/>
        <v>0</v>
      </c>
      <c r="AX544" s="83">
        <f t="shared" si="887"/>
        <v>0</v>
      </c>
      <c r="AY544" s="83">
        <f t="shared" si="888"/>
        <v>0</v>
      </c>
      <c r="AZ544" s="83">
        <f t="shared" si="889"/>
        <v>0</v>
      </c>
      <c r="BA544" s="52"/>
      <c r="BB544" s="52"/>
      <c r="BC544" s="52"/>
      <c r="BD544" s="52"/>
      <c r="BE544" s="52"/>
      <c r="BF544" s="52"/>
      <c r="BG544" s="52"/>
      <c r="BH544" s="52"/>
      <c r="BI544" s="68">
        <v>0</v>
      </c>
      <c r="BJ544" s="68">
        <v>0</v>
      </c>
      <c r="BK544" s="59">
        <v>0</v>
      </c>
      <c r="BL544" s="59">
        <v>0</v>
      </c>
      <c r="BM544" s="55">
        <v>46054</v>
      </c>
      <c r="BN544" s="55">
        <v>46082</v>
      </c>
      <c r="BO544" s="53">
        <v>0</v>
      </c>
      <c r="BP544" s="53">
        <v>0</v>
      </c>
      <c r="BQ544" s="53">
        <v>0</v>
      </c>
      <c r="BR544" s="85">
        <v>0</v>
      </c>
      <c r="BS544" s="53">
        <v>0.1111111111111111</v>
      </c>
    </row>
    <row r="545" spans="1:71" ht="25.95" hidden="1" customHeight="1" x14ac:dyDescent="0.3">
      <c r="A545" s="70" t="s">
        <v>108</v>
      </c>
      <c r="B545" s="4" t="s">
        <v>109</v>
      </c>
      <c r="C545" s="5" t="s">
        <v>97</v>
      </c>
      <c r="D545" s="5" t="s">
        <v>102</v>
      </c>
      <c r="E545" s="4" t="s">
        <v>61</v>
      </c>
      <c r="F545" s="4" t="str" cm="1">
        <f t="array" ref="F545">_xlfn.IFS(
AG545 &lt;&gt; "", "Jan-Dez/26",
AH545 &lt;&gt; "", "Fev-Dez/26",
AI545 &lt;&gt; "", "Mar-Dez/26", AJ545 &lt;&gt; "", "Abr-Dez/26",
TRUE, "A partir de Junho"
)</f>
        <v>A partir de Junho</v>
      </c>
      <c r="G545" s="4" t="s">
        <v>62</v>
      </c>
      <c r="H545" s="7" t="s">
        <v>110</v>
      </c>
      <c r="I545" s="8"/>
      <c r="J545" s="8" t="str" cm="1">
        <f t="array" aca="1" ref="J545" ca="1">_xlfn.LET(
  _xlpm.actual_value_month, INDEX(T545:AE545, MATCH(DATE(YEAR(TODAY()), MONTH(TODAY()), 1), $T$1:$AE$1, 0)),
  IF(_xlpm.actual_value_month &lt;&gt; "",_xlpm.actual_value_month &amp; " ações mensais", "")
)</f>
        <v/>
      </c>
      <c r="K545" s="8" t="str" cm="1">
        <f t="array" ref="K545">_xlfn.LET(
    _xlpm.sum_month, SUM(T545:AE545),
    IF(_xlpm.sum_month = 0, "", _xlpm.sum_month &amp; " veículos com telemetria no ano")
)</f>
        <v/>
      </c>
      <c r="L545" s="9" t="s">
        <v>111</v>
      </c>
      <c r="M545" s="13">
        <v>1</v>
      </c>
      <c r="N545" s="5" t="s">
        <v>51</v>
      </c>
      <c r="O545" s="5" t="s">
        <v>52</v>
      </c>
      <c r="P545" s="10" t="s">
        <v>44</v>
      </c>
      <c r="Q545" s="10" t="s">
        <v>44</v>
      </c>
      <c r="R545" s="11" t="s">
        <v>44</v>
      </c>
      <c r="S545" s="11" t="s">
        <v>44</v>
      </c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G545" s="71"/>
      <c r="AH545" s="71"/>
      <c r="AI545" s="71"/>
      <c r="AJ545" s="71"/>
      <c r="AK545" s="71"/>
      <c r="AL545" s="71"/>
      <c r="AM545" s="71"/>
      <c r="AN545" s="71"/>
      <c r="AO545" s="71"/>
      <c r="AP545" s="71"/>
      <c r="AQ545" s="71"/>
      <c r="AR545" s="71"/>
      <c r="AS545" s="94">
        <v>0</v>
      </c>
      <c r="AT545" s="95">
        <v>0</v>
      </c>
      <c r="AU545" s="97">
        <v>0</v>
      </c>
      <c r="AW545" s="83">
        <f t="shared" si="886"/>
        <v>0</v>
      </c>
      <c r="AX545" s="83">
        <f t="shared" si="887"/>
        <v>0</v>
      </c>
      <c r="AY545" s="83">
        <f t="shared" si="888"/>
        <v>0</v>
      </c>
      <c r="AZ545" s="83">
        <f t="shared" si="889"/>
        <v>0</v>
      </c>
      <c r="BA545" s="52"/>
      <c r="BB545" s="52"/>
      <c r="BC545" s="52"/>
      <c r="BD545" s="52"/>
      <c r="BE545" s="52"/>
      <c r="BF545" s="52"/>
      <c r="BG545" s="52"/>
      <c r="BH545" s="52"/>
      <c r="BI545" s="68">
        <v>0</v>
      </c>
      <c r="BJ545" s="68">
        <v>0</v>
      </c>
      <c r="BK545" s="59">
        <v>0</v>
      </c>
      <c r="BL545" s="59">
        <v>0</v>
      </c>
      <c r="BM545" s="55">
        <v>46054</v>
      </c>
      <c r="BN545" s="55">
        <v>46082</v>
      </c>
      <c r="BO545" s="53">
        <v>0</v>
      </c>
      <c r="BP545" s="53">
        <v>0</v>
      </c>
      <c r="BQ545" s="53">
        <v>0</v>
      </c>
      <c r="BR545" s="85">
        <v>0</v>
      </c>
      <c r="BS545" s="53">
        <v>0.1111111111111111</v>
      </c>
    </row>
    <row r="546" spans="1:71" ht="25.95" hidden="1" customHeight="1" x14ac:dyDescent="0.3">
      <c r="A546" s="70" t="s">
        <v>108</v>
      </c>
      <c r="B546" s="4" t="s">
        <v>109</v>
      </c>
      <c r="C546" s="5" t="s">
        <v>97</v>
      </c>
      <c r="D546" s="5" t="s">
        <v>103</v>
      </c>
      <c r="E546" s="4" t="s">
        <v>61</v>
      </c>
      <c r="F546" s="4" t="str" cm="1">
        <f t="array" ref="F546">_xlfn.IFS(
AG546 &lt;&gt; "", "Jan-Dez/26",
AH546 &lt;&gt; "", "Fev-Dez/26",
AI546 &lt;&gt; "", "Mar-Dez/26", AJ546 &lt;&gt; "", "Abr-Dez/26",
TRUE, "A partir de Junho"
)</f>
        <v>A partir de Junho</v>
      </c>
      <c r="G546" s="4" t="s">
        <v>62</v>
      </c>
      <c r="H546" s="7" t="s">
        <v>110</v>
      </c>
      <c r="I546" s="8"/>
      <c r="J546" s="8" t="str" cm="1">
        <f t="array" aca="1" ref="J546" ca="1">_xlfn.LET(
  _xlpm.actual_value_month, INDEX(T546:AE546, MATCH(DATE(YEAR(TODAY()), MONTH(TODAY()), 1), $T$1:$AE$1, 0)),
  IF(_xlpm.actual_value_month &lt;&gt; "",_xlpm.actual_value_month &amp; " ações mensais", "")
)</f>
        <v/>
      </c>
      <c r="K546" s="8" t="str" cm="1">
        <f t="array" ref="K546">_xlfn.LET(
    _xlpm.sum_month, SUM(T546:AE546),
    IF(_xlpm.sum_month = 0, "", _xlpm.sum_month &amp; " veículos com telemetria no ano")
)</f>
        <v/>
      </c>
      <c r="L546" s="9" t="s">
        <v>111</v>
      </c>
      <c r="M546" s="13">
        <v>1</v>
      </c>
      <c r="N546" s="5" t="s">
        <v>51</v>
      </c>
      <c r="O546" s="5" t="s">
        <v>52</v>
      </c>
      <c r="P546" s="10" t="s">
        <v>44</v>
      </c>
      <c r="Q546" s="10" t="s">
        <v>44</v>
      </c>
      <c r="R546" s="11" t="s">
        <v>44</v>
      </c>
      <c r="S546" s="11" t="s">
        <v>44</v>
      </c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G546" s="71"/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  <c r="AR546" s="71"/>
      <c r="AS546" s="94">
        <v>0</v>
      </c>
      <c r="AT546" s="95">
        <v>0</v>
      </c>
      <c r="AU546" s="97">
        <v>0</v>
      </c>
      <c r="AW546" s="83">
        <f t="shared" si="886"/>
        <v>0</v>
      </c>
      <c r="AX546" s="83">
        <f t="shared" si="887"/>
        <v>0</v>
      </c>
      <c r="AY546" s="83">
        <f t="shared" si="888"/>
        <v>0</v>
      </c>
      <c r="AZ546" s="83">
        <f t="shared" si="889"/>
        <v>0</v>
      </c>
      <c r="BA546" s="52"/>
      <c r="BB546" s="52"/>
      <c r="BC546" s="52"/>
      <c r="BD546" s="52"/>
      <c r="BE546" s="52"/>
      <c r="BF546" s="52"/>
      <c r="BG546" s="52"/>
      <c r="BH546" s="52"/>
      <c r="BI546" s="68">
        <v>0</v>
      </c>
      <c r="BJ546" s="68">
        <v>0</v>
      </c>
      <c r="BK546" s="59">
        <v>0</v>
      </c>
      <c r="BL546" s="59">
        <v>0</v>
      </c>
      <c r="BM546" s="55">
        <v>46054</v>
      </c>
      <c r="BN546" s="55">
        <v>46082</v>
      </c>
      <c r="BO546" s="53">
        <v>0</v>
      </c>
      <c r="BP546" s="53">
        <v>0</v>
      </c>
      <c r="BQ546" s="53">
        <v>0</v>
      </c>
      <c r="BR546" s="85">
        <v>0</v>
      </c>
      <c r="BS546" s="53">
        <v>0.1111111111111111</v>
      </c>
    </row>
    <row r="547" spans="1:71" ht="25.95" hidden="1" customHeight="1" x14ac:dyDescent="0.3">
      <c r="A547" s="70" t="s">
        <v>108</v>
      </c>
      <c r="B547" s="4" t="s">
        <v>109</v>
      </c>
      <c r="C547" s="5" t="s">
        <v>97</v>
      </c>
      <c r="D547" s="5" t="s">
        <v>104</v>
      </c>
      <c r="E547" s="4" t="s">
        <v>61</v>
      </c>
      <c r="F547" s="4" t="str" cm="1">
        <f t="array" ref="F547">_xlfn.IFS(
AG547 &lt;&gt; "", "Jan-Dez/26",
AH547 &lt;&gt; "", "Fev-Dez/26",
AI547 &lt;&gt; "", "Mar-Dez/26", AJ547 &lt;&gt; "", "Abr-Dez/26",
TRUE, "A partir de Junho"
)</f>
        <v>A partir de Junho</v>
      </c>
      <c r="G547" s="4" t="s">
        <v>62</v>
      </c>
      <c r="H547" s="7" t="s">
        <v>110</v>
      </c>
      <c r="I547" s="8"/>
      <c r="J547" s="8" t="str" cm="1">
        <f t="array" aca="1" ref="J547" ca="1">_xlfn.LET(
  _xlpm.actual_value_month, INDEX(T547:AE547, MATCH(DATE(YEAR(TODAY()), MONTH(TODAY()), 1), $T$1:$AE$1, 0)),
  IF(_xlpm.actual_value_month &lt;&gt; "",_xlpm.actual_value_month &amp; " ações mensais", "")
)</f>
        <v/>
      </c>
      <c r="K547" s="8" t="str" cm="1">
        <f t="array" ref="K547">_xlfn.LET(
    _xlpm.sum_month, SUM(T547:AE547),
    IF(_xlpm.sum_month = 0, "", _xlpm.sum_month &amp; " veículos com telemetria no ano")
)</f>
        <v/>
      </c>
      <c r="L547" s="9" t="s">
        <v>111</v>
      </c>
      <c r="M547" s="13">
        <v>1</v>
      </c>
      <c r="N547" s="5" t="s">
        <v>51</v>
      </c>
      <c r="O547" s="5" t="s">
        <v>52</v>
      </c>
      <c r="P547" s="10" t="s">
        <v>44</v>
      </c>
      <c r="Q547" s="10" t="s">
        <v>44</v>
      </c>
      <c r="R547" s="11" t="s">
        <v>44</v>
      </c>
      <c r="S547" s="11" t="s">
        <v>44</v>
      </c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G547" s="71"/>
      <c r="AH547" s="71"/>
      <c r="AI547" s="71"/>
      <c r="AJ547" s="71"/>
      <c r="AK547" s="71"/>
      <c r="AL547" s="71"/>
      <c r="AM547" s="71"/>
      <c r="AN547" s="71"/>
      <c r="AO547" s="71"/>
      <c r="AP547" s="71"/>
      <c r="AQ547" s="71"/>
      <c r="AR547" s="71"/>
      <c r="AS547" s="94">
        <v>0</v>
      </c>
      <c r="AT547" s="95">
        <v>0</v>
      </c>
      <c r="AU547" s="97">
        <v>0</v>
      </c>
      <c r="AW547" s="83">
        <f t="shared" si="886"/>
        <v>0</v>
      </c>
      <c r="AX547" s="83">
        <f t="shared" si="887"/>
        <v>0</v>
      </c>
      <c r="AY547" s="83">
        <f t="shared" si="888"/>
        <v>0</v>
      </c>
      <c r="AZ547" s="83">
        <f t="shared" si="889"/>
        <v>0</v>
      </c>
      <c r="BA547" s="52"/>
      <c r="BB547" s="52"/>
      <c r="BC547" s="52"/>
      <c r="BD547" s="52"/>
      <c r="BE547" s="52"/>
      <c r="BF547" s="52"/>
      <c r="BG547" s="52"/>
      <c r="BH547" s="52"/>
      <c r="BI547" s="68">
        <v>0</v>
      </c>
      <c r="BJ547" s="68">
        <v>0</v>
      </c>
      <c r="BK547" s="59">
        <v>0</v>
      </c>
      <c r="BL547" s="59">
        <v>0</v>
      </c>
      <c r="BM547" s="55">
        <v>46054</v>
      </c>
      <c r="BN547" s="55">
        <v>46082</v>
      </c>
      <c r="BO547" s="53">
        <v>0</v>
      </c>
      <c r="BP547" s="53">
        <v>0</v>
      </c>
      <c r="BQ547" s="53">
        <v>0</v>
      </c>
      <c r="BR547" s="85">
        <v>0</v>
      </c>
      <c r="BS547" s="53">
        <v>0.1111111111111111</v>
      </c>
    </row>
    <row r="548" spans="1:71" ht="25.95" hidden="1" customHeight="1" x14ac:dyDescent="0.3">
      <c r="A548" s="70" t="s">
        <v>108</v>
      </c>
      <c r="B548" s="4" t="s">
        <v>109</v>
      </c>
      <c r="C548" s="5" t="s">
        <v>97</v>
      </c>
      <c r="D548" s="5" t="s">
        <v>105</v>
      </c>
      <c r="E548" s="4" t="s">
        <v>61</v>
      </c>
      <c r="F548" s="4" t="str" cm="1">
        <f t="array" ref="F548">_xlfn.IFS(
AG548 &lt;&gt; "", "Jan-Dez/26",
AH548 &lt;&gt; "", "Fev-Dez/26",
AI548 &lt;&gt; "", "Mar-Dez/26", AJ548 &lt;&gt; "", "Abr-Dez/26",
TRUE, "A partir de Junho"
)</f>
        <v>A partir de Junho</v>
      </c>
      <c r="G548" s="4" t="s">
        <v>62</v>
      </c>
      <c r="H548" s="7" t="s">
        <v>110</v>
      </c>
      <c r="I548" s="8"/>
      <c r="J548" s="8" t="str" cm="1">
        <f t="array" aca="1" ref="J548" ca="1">_xlfn.LET(
  _xlpm.actual_value_month, INDEX(T548:AE548, MATCH(DATE(YEAR(TODAY()), MONTH(TODAY()), 1), $T$1:$AE$1, 0)),
  IF(_xlpm.actual_value_month &lt;&gt; "",_xlpm.actual_value_month &amp; " ações mensais", "")
)</f>
        <v/>
      </c>
      <c r="K548" s="8" t="str" cm="1">
        <f t="array" ref="K548">_xlfn.LET(
    _xlpm.sum_month, SUM(T548:AE548),
    IF(_xlpm.sum_month = 0, "", _xlpm.sum_month &amp; " veículos com telemetria no ano")
)</f>
        <v/>
      </c>
      <c r="L548" s="9" t="s">
        <v>111</v>
      </c>
      <c r="M548" s="13">
        <v>1</v>
      </c>
      <c r="N548" s="5" t="s">
        <v>51</v>
      </c>
      <c r="O548" s="5" t="s">
        <v>52</v>
      </c>
      <c r="P548" s="10" t="s">
        <v>44</v>
      </c>
      <c r="Q548" s="10" t="s">
        <v>44</v>
      </c>
      <c r="R548" s="11" t="s">
        <v>44</v>
      </c>
      <c r="S548" s="11" t="s">
        <v>44</v>
      </c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G548" s="71"/>
      <c r="AH548" s="71"/>
      <c r="AI548" s="71"/>
      <c r="AJ548" s="71"/>
      <c r="AK548" s="71"/>
      <c r="AL548" s="71"/>
      <c r="AM548" s="71"/>
      <c r="AN548" s="71"/>
      <c r="AO548" s="71"/>
      <c r="AP548" s="71"/>
      <c r="AQ548" s="71"/>
      <c r="AR548" s="71"/>
      <c r="AS548" s="94">
        <v>0</v>
      </c>
      <c r="AT548" s="95">
        <v>0</v>
      </c>
      <c r="AU548" s="97">
        <v>0</v>
      </c>
      <c r="AW548" s="83">
        <f t="shared" si="886"/>
        <v>0</v>
      </c>
      <c r="AX548" s="83">
        <f t="shared" si="887"/>
        <v>0</v>
      </c>
      <c r="AY548" s="83">
        <f t="shared" si="888"/>
        <v>0</v>
      </c>
      <c r="AZ548" s="83">
        <f t="shared" si="889"/>
        <v>0</v>
      </c>
      <c r="BA548" s="52"/>
      <c r="BB548" s="52"/>
      <c r="BC548" s="52"/>
      <c r="BD548" s="52"/>
      <c r="BE548" s="52"/>
      <c r="BF548" s="52"/>
      <c r="BG548" s="52"/>
      <c r="BH548" s="52"/>
      <c r="BI548" s="68">
        <v>0</v>
      </c>
      <c r="BJ548" s="68">
        <v>0</v>
      </c>
      <c r="BK548" s="59">
        <v>0</v>
      </c>
      <c r="BL548" s="59">
        <v>0</v>
      </c>
      <c r="BM548" s="55">
        <v>46054</v>
      </c>
      <c r="BN548" s="55">
        <v>46082</v>
      </c>
      <c r="BO548" s="53">
        <v>0</v>
      </c>
      <c r="BP548" s="53">
        <v>0</v>
      </c>
      <c r="BQ548" s="53">
        <v>0</v>
      </c>
      <c r="BR548" s="85">
        <v>0</v>
      </c>
      <c r="BS548" s="53">
        <v>0.1111111111111111</v>
      </c>
    </row>
    <row r="549" spans="1:71" ht="25.95" hidden="1" customHeight="1" x14ac:dyDescent="0.3">
      <c r="A549" s="70" t="s">
        <v>108</v>
      </c>
      <c r="B549" s="4" t="s">
        <v>109</v>
      </c>
      <c r="C549" s="5" t="s">
        <v>97</v>
      </c>
      <c r="D549" s="5" t="s">
        <v>106</v>
      </c>
      <c r="E549" s="4" t="s">
        <v>61</v>
      </c>
      <c r="F549" s="4" t="str" cm="1">
        <f t="array" ref="F549">_xlfn.IFS(
AG549 &lt;&gt; "", "Jan-Dez/26",
AH549 &lt;&gt; "", "Fev-Dez/26",
AI549 &lt;&gt; "", "Mar-Dez/26", AJ549 &lt;&gt; "", "Abr-Dez/26",
TRUE, "A partir de Junho"
)</f>
        <v>A partir de Junho</v>
      </c>
      <c r="G549" s="4" t="s">
        <v>62</v>
      </c>
      <c r="H549" s="7" t="s">
        <v>110</v>
      </c>
      <c r="I549" s="8"/>
      <c r="J549" s="8" t="str" cm="1">
        <f t="array" aca="1" ref="J549" ca="1">_xlfn.LET(
  _xlpm.actual_value_month, INDEX(T549:AE549, MATCH(DATE(YEAR(TODAY()), MONTH(TODAY()), 1), $T$1:$AE$1, 0)),
  IF(_xlpm.actual_value_month &lt;&gt; "",_xlpm.actual_value_month &amp; " ações mensais", "")
)</f>
        <v/>
      </c>
      <c r="K549" s="8" t="str" cm="1">
        <f t="array" ref="K549">_xlfn.LET(
    _xlpm.sum_month, SUM(T549:AE549),
    IF(_xlpm.sum_month = 0, "", _xlpm.sum_month &amp; " veículos com telemetria no ano")
)</f>
        <v/>
      </c>
      <c r="L549" s="9" t="s">
        <v>111</v>
      </c>
      <c r="M549" s="13">
        <v>1</v>
      </c>
      <c r="N549" s="5" t="s">
        <v>51</v>
      </c>
      <c r="O549" s="5" t="s">
        <v>52</v>
      </c>
      <c r="P549" s="10" t="s">
        <v>44</v>
      </c>
      <c r="Q549" s="10" t="s">
        <v>44</v>
      </c>
      <c r="R549" s="11" t="s">
        <v>44</v>
      </c>
      <c r="S549" s="11" t="s">
        <v>44</v>
      </c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G549" s="71"/>
      <c r="AH549" s="71"/>
      <c r="AI549" s="71"/>
      <c r="AJ549" s="71"/>
      <c r="AK549" s="71"/>
      <c r="AL549" s="71"/>
      <c r="AM549" s="71"/>
      <c r="AN549" s="71"/>
      <c r="AO549" s="71"/>
      <c r="AP549" s="71"/>
      <c r="AQ549" s="71"/>
      <c r="AR549" s="71"/>
      <c r="AS549" s="94">
        <v>0</v>
      </c>
      <c r="AT549" s="95">
        <v>0</v>
      </c>
      <c r="AU549" s="97">
        <v>0</v>
      </c>
      <c r="AW549" s="83">
        <f t="shared" si="886"/>
        <v>0</v>
      </c>
      <c r="AX549" s="83">
        <f t="shared" si="887"/>
        <v>0</v>
      </c>
      <c r="AY549" s="83">
        <f t="shared" si="888"/>
        <v>0</v>
      </c>
      <c r="AZ549" s="83">
        <f t="shared" si="889"/>
        <v>0</v>
      </c>
      <c r="BA549" s="52"/>
      <c r="BB549" s="52"/>
      <c r="BC549" s="52"/>
      <c r="BD549" s="52"/>
      <c r="BE549" s="52"/>
      <c r="BF549" s="52"/>
      <c r="BG549" s="52"/>
      <c r="BH549" s="52"/>
      <c r="BI549" s="68">
        <v>0</v>
      </c>
      <c r="BJ549" s="68">
        <v>0</v>
      </c>
      <c r="BK549" s="59">
        <v>0</v>
      </c>
      <c r="BL549" s="59">
        <v>0</v>
      </c>
      <c r="BM549" s="55">
        <v>46054</v>
      </c>
      <c r="BN549" s="55">
        <v>46082</v>
      </c>
      <c r="BO549" s="53">
        <v>0</v>
      </c>
      <c r="BP549" s="53">
        <v>0</v>
      </c>
      <c r="BQ549" s="53">
        <v>0</v>
      </c>
      <c r="BR549" s="85">
        <v>0</v>
      </c>
      <c r="BS549" s="53">
        <v>0.1111111111111111</v>
      </c>
    </row>
    <row r="550" spans="1:71" ht="25.95" hidden="1" customHeight="1" x14ac:dyDescent="0.3">
      <c r="A550" s="70" t="s">
        <v>108</v>
      </c>
      <c r="B550" s="4" t="s">
        <v>109</v>
      </c>
      <c r="C550" s="5" t="s">
        <v>97</v>
      </c>
      <c r="D550" s="5" t="s">
        <v>107</v>
      </c>
      <c r="E550" s="4" t="s">
        <v>61</v>
      </c>
      <c r="F550" s="4" t="str" cm="1">
        <f t="array" ref="F550">_xlfn.IFS(
AG550 &lt;&gt; "", "Jan-Dez/26",
AH550 &lt;&gt; "", "Fev-Dez/26",
AI550 &lt;&gt; "", "Mar-Dez/26", AJ550 &lt;&gt; "", "Abr-Dez/26",
TRUE, "A partir de Junho"
)</f>
        <v>A partir de Junho</v>
      </c>
      <c r="G550" s="4" t="s">
        <v>62</v>
      </c>
      <c r="H550" s="7" t="s">
        <v>110</v>
      </c>
      <c r="I550" s="8"/>
      <c r="J550" s="8" t="str" cm="1">
        <f t="array" aca="1" ref="J550" ca="1">_xlfn.LET(
  _xlpm.actual_value_month, INDEX(T550:AE550, MATCH(DATE(YEAR(TODAY()), MONTH(TODAY()), 1), $T$1:$AE$1, 0)),
  IF(_xlpm.actual_value_month &lt;&gt; "",_xlpm.actual_value_month &amp; " ações mensais", "")
)</f>
        <v/>
      </c>
      <c r="K550" s="8" t="str" cm="1">
        <f t="array" ref="K550">_xlfn.LET(
    _xlpm.sum_month, SUM(T550:AE550),
    IF(_xlpm.sum_month = 0, "", _xlpm.sum_month &amp; " veículos com telemetria no ano")
)</f>
        <v/>
      </c>
      <c r="L550" s="9" t="s">
        <v>111</v>
      </c>
      <c r="M550" s="13">
        <v>1</v>
      </c>
      <c r="N550" s="5" t="s">
        <v>51</v>
      </c>
      <c r="O550" s="5" t="s">
        <v>52</v>
      </c>
      <c r="P550" s="10" t="s">
        <v>44</v>
      </c>
      <c r="Q550" s="10" t="s">
        <v>44</v>
      </c>
      <c r="R550" s="11" t="s">
        <v>44</v>
      </c>
      <c r="S550" s="11" t="s">
        <v>44</v>
      </c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G550" s="71"/>
      <c r="AH550" s="71"/>
      <c r="AI550" s="71"/>
      <c r="AJ550" s="71"/>
      <c r="AK550" s="71"/>
      <c r="AL550" s="71"/>
      <c r="AM550" s="71"/>
      <c r="AN550" s="71"/>
      <c r="AO550" s="71"/>
      <c r="AP550" s="71"/>
      <c r="AQ550" s="71"/>
      <c r="AR550" s="71"/>
      <c r="AS550" s="94">
        <v>0</v>
      </c>
      <c r="AT550" s="95">
        <v>0</v>
      </c>
      <c r="AU550" s="97">
        <v>0</v>
      </c>
      <c r="AW550" s="83">
        <f t="shared" ref="AW550" si="890">AG550</f>
        <v>0</v>
      </c>
      <c r="AX550" s="83">
        <f t="shared" ref="AX550" si="891">AH550</f>
        <v>0</v>
      </c>
      <c r="AY550" s="83">
        <f t="shared" ref="AY550" si="892">AI550</f>
        <v>0</v>
      </c>
      <c r="AZ550" s="83">
        <f t="shared" ref="AZ550" si="893">AJ550</f>
        <v>0</v>
      </c>
      <c r="BA550" s="52"/>
      <c r="BB550" s="52"/>
      <c r="BC550" s="52"/>
      <c r="BD550" s="52"/>
      <c r="BE550" s="52"/>
      <c r="BF550" s="52"/>
      <c r="BG550" s="52"/>
      <c r="BH550" s="52"/>
      <c r="BI550" s="68">
        <v>0</v>
      </c>
      <c r="BJ550" s="68">
        <v>0</v>
      </c>
      <c r="BK550" s="59">
        <v>0</v>
      </c>
      <c r="BL550" s="59">
        <v>0</v>
      </c>
      <c r="BM550" s="55">
        <v>46054</v>
      </c>
      <c r="BN550" s="55">
        <v>46082</v>
      </c>
      <c r="BO550" s="53">
        <v>0</v>
      </c>
      <c r="BP550" s="53">
        <v>0</v>
      </c>
      <c r="BQ550" s="53">
        <v>0</v>
      </c>
      <c r="BR550" s="85">
        <v>0</v>
      </c>
      <c r="BS550" s="53">
        <v>0.1111111111111111</v>
      </c>
    </row>
    <row r="551" spans="1:71" ht="25.95" hidden="1" customHeight="1" x14ac:dyDescent="0.3">
      <c r="A551" s="70" t="s">
        <v>108</v>
      </c>
      <c r="B551" s="4" t="s">
        <v>109</v>
      </c>
      <c r="C551" s="5" t="s">
        <v>97</v>
      </c>
      <c r="D551" s="5" t="s">
        <v>36</v>
      </c>
      <c r="E551" s="4" t="s">
        <v>61</v>
      </c>
      <c r="F551" s="4" t="str" cm="1">
        <f t="array" ref="F551">_xlfn.IFS(
AG551 &lt;&gt; "", "Jan-Dez/26",
AH551 &lt;&gt; "", "Fev-Dez/26",
AI551 &lt;&gt; "", "Mar-Dez/26", AJ551 &lt;&gt; "", "Abr-Dez/26",
TRUE, "A partir de Junho"
)</f>
        <v>A partir de Junho</v>
      </c>
      <c r="G551" s="4" t="s">
        <v>62</v>
      </c>
      <c r="H551" s="7" t="s">
        <v>110</v>
      </c>
      <c r="I551" s="8"/>
      <c r="J551" s="8" t="str" cm="1">
        <f t="array" aca="1" ref="J551" ca="1">_xlfn.LET(
  _xlpm.actual_value_month, INDEX(T551:AE551, MATCH(DATE(YEAR(TODAY()), MONTH(TODAY()), 1), $T$1:$AE$1, 0)),
  IF(_xlpm.actual_value_month &lt;&gt; "",_xlpm.actual_value_month &amp; " ações mensais", "")
)</f>
        <v/>
      </c>
      <c r="K551" s="8" t="str" cm="1">
        <f t="array" ref="K551">_xlfn.LET(
    _xlpm.sum_month, SUM(T551:AE551),
    IF(_xlpm.sum_month = 0, "", _xlpm.sum_month &amp; " telemetria implementada no ano")
)</f>
        <v/>
      </c>
      <c r="L551" s="9" t="s">
        <v>112</v>
      </c>
      <c r="M551" s="13">
        <v>1</v>
      </c>
      <c r="N551" s="5" t="s">
        <v>51</v>
      </c>
      <c r="O551" s="5" t="s">
        <v>43</v>
      </c>
      <c r="P551" s="10" t="s">
        <v>44</v>
      </c>
      <c r="Q551" s="10" t="s">
        <v>44</v>
      </c>
      <c r="R551" s="11" t="s">
        <v>44</v>
      </c>
      <c r="S551" s="11" t="s">
        <v>44</v>
      </c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G551" s="71"/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  <c r="AR551" s="71"/>
      <c r="AS551" s="94">
        <v>0</v>
      </c>
      <c r="AT551" s="95">
        <v>0</v>
      </c>
      <c r="AU551" s="97">
        <v>0</v>
      </c>
      <c r="AW551" s="83">
        <f t="shared" si="885"/>
        <v>0</v>
      </c>
      <c r="AX551" s="83">
        <f t="shared" si="882"/>
        <v>0</v>
      </c>
      <c r="AY551" s="83">
        <f t="shared" si="883"/>
        <v>0</v>
      </c>
      <c r="AZ551" s="83">
        <f t="shared" si="884"/>
        <v>0</v>
      </c>
      <c r="BA551" s="52"/>
      <c r="BB551" s="52"/>
      <c r="BC551" s="52"/>
      <c r="BD551" s="52"/>
      <c r="BE551" s="52"/>
      <c r="BF551" s="52"/>
      <c r="BG551" s="52"/>
      <c r="BH551" s="52"/>
      <c r="BI551" s="68">
        <v>0</v>
      </c>
      <c r="BJ551" s="68">
        <v>0</v>
      </c>
      <c r="BK551" s="59">
        <v>0</v>
      </c>
      <c r="BL551" s="59">
        <v>0</v>
      </c>
      <c r="BM551" s="55">
        <v>46054</v>
      </c>
      <c r="BN551" s="55">
        <v>46082</v>
      </c>
      <c r="BO551" s="53">
        <v>0</v>
      </c>
      <c r="BP551" s="53">
        <v>0</v>
      </c>
      <c r="BQ551" s="53">
        <v>0</v>
      </c>
      <c r="BR551" s="85">
        <v>0</v>
      </c>
      <c r="BS551" s="53">
        <v>0.1111111111111111</v>
      </c>
    </row>
    <row r="552" spans="1:71" ht="25.95" hidden="1" customHeight="1" x14ac:dyDescent="0.3">
      <c r="A552" s="70" t="s">
        <v>108</v>
      </c>
      <c r="B552" s="4" t="s">
        <v>109</v>
      </c>
      <c r="C552" s="5" t="s">
        <v>97</v>
      </c>
      <c r="D552" s="5" t="s">
        <v>98</v>
      </c>
      <c r="E552" s="4" t="s">
        <v>61</v>
      </c>
      <c r="F552" s="4" t="str" cm="1">
        <f t="array" ref="F552">_xlfn.IFS(
AG552 &lt;&gt; "", "Jan-Dez/26",
AH552 &lt;&gt; "", "Fev-Dez/26",
AI552 &lt;&gt; "", "Mar-Dez/26", AJ552 &lt;&gt; "", "Abr-Dez/26",
TRUE, "A partir de Junho"
)</f>
        <v>A partir de Junho</v>
      </c>
      <c r="G552" s="4" t="s">
        <v>62</v>
      </c>
      <c r="H552" s="7" t="s">
        <v>110</v>
      </c>
      <c r="I552" s="8"/>
      <c r="J552" s="8" t="str" cm="1">
        <f t="array" aca="1" ref="J552" ca="1">_xlfn.LET(
  _xlpm.actual_value_month, INDEX(T552:AE552, MATCH(DATE(YEAR(TODAY()), MONTH(TODAY()), 1), $T$1:$AE$1, 0)),
  IF(_xlpm.actual_value_month &lt;&gt; "",_xlpm.actual_value_month &amp; " ações mensais", "")
)</f>
        <v/>
      </c>
      <c r="K552" s="8" t="str" cm="1">
        <f t="array" ref="K552">_xlfn.LET(
    _xlpm.sum_month, SUM(T552:AE552),
    IF(_xlpm.sum_month = 0, "", _xlpm.sum_month &amp; " telemetria implementada no ano")
)</f>
        <v/>
      </c>
      <c r="L552" s="9" t="s">
        <v>112</v>
      </c>
      <c r="M552" s="13">
        <v>1</v>
      </c>
      <c r="N552" s="5" t="s">
        <v>51</v>
      </c>
      <c r="O552" s="5" t="s">
        <v>43</v>
      </c>
      <c r="P552" s="10" t="s">
        <v>44</v>
      </c>
      <c r="Q552" s="10" t="s">
        <v>44</v>
      </c>
      <c r="R552" s="11" t="s">
        <v>44</v>
      </c>
      <c r="S552" s="11" t="s">
        <v>44</v>
      </c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G552" s="71"/>
      <c r="AH552" s="71"/>
      <c r="AI552" s="71"/>
      <c r="AJ552" s="71"/>
      <c r="AK552" s="71"/>
      <c r="AL552" s="71"/>
      <c r="AM552" s="71"/>
      <c r="AN552" s="71"/>
      <c r="AO552" s="71"/>
      <c r="AP552" s="71"/>
      <c r="AQ552" s="71"/>
      <c r="AR552" s="71"/>
      <c r="AS552" s="94">
        <v>0</v>
      </c>
      <c r="AT552" s="95">
        <v>0</v>
      </c>
      <c r="AU552" s="97">
        <v>0</v>
      </c>
      <c r="AW552" s="83">
        <f t="shared" ref="AW552:AW561" si="894">AG552</f>
        <v>0</v>
      </c>
      <c r="AX552" s="83">
        <f t="shared" ref="AX552:AX561" si="895">AH552</f>
        <v>0</v>
      </c>
      <c r="AY552" s="83">
        <f t="shared" ref="AY552:AY561" si="896">AI552</f>
        <v>0</v>
      </c>
      <c r="AZ552" s="83">
        <f t="shared" ref="AZ552:AZ561" si="897">AJ552</f>
        <v>0</v>
      </c>
      <c r="BA552" s="52"/>
      <c r="BB552" s="52"/>
      <c r="BC552" s="52"/>
      <c r="BD552" s="52"/>
      <c r="BE552" s="52"/>
      <c r="BF552" s="52"/>
      <c r="BG552" s="52"/>
      <c r="BH552" s="52"/>
      <c r="BI552" s="68">
        <v>0</v>
      </c>
      <c r="BJ552" s="68">
        <v>0</v>
      </c>
      <c r="BK552" s="59">
        <v>0</v>
      </c>
      <c r="BL552" s="59">
        <v>0</v>
      </c>
      <c r="BM552" s="55">
        <v>46054</v>
      </c>
      <c r="BN552" s="55">
        <v>46082</v>
      </c>
      <c r="BO552" s="53">
        <v>0</v>
      </c>
      <c r="BP552" s="53">
        <v>0</v>
      </c>
      <c r="BQ552" s="53">
        <v>0</v>
      </c>
      <c r="BR552" s="85">
        <v>0</v>
      </c>
      <c r="BS552" s="53">
        <v>0.1111111111111111</v>
      </c>
    </row>
    <row r="553" spans="1:71" ht="25.95" hidden="1" customHeight="1" x14ac:dyDescent="0.3">
      <c r="A553" s="70" t="s">
        <v>108</v>
      </c>
      <c r="B553" s="4" t="s">
        <v>109</v>
      </c>
      <c r="C553" s="5" t="s">
        <v>97</v>
      </c>
      <c r="D553" s="5" t="s">
        <v>99</v>
      </c>
      <c r="E553" s="4" t="s">
        <v>61</v>
      </c>
      <c r="F553" s="4" t="str" cm="1">
        <f t="array" ref="F553">_xlfn.IFS(
AG553 &lt;&gt; "", "Jan-Dez/26",
AH553 &lt;&gt; "", "Fev-Dez/26",
AI553 &lt;&gt; "", "Mar-Dez/26", AJ553 &lt;&gt; "", "Abr-Dez/26",
TRUE, "A partir de Junho"
)</f>
        <v>A partir de Junho</v>
      </c>
      <c r="G553" s="4" t="s">
        <v>62</v>
      </c>
      <c r="H553" s="7" t="s">
        <v>110</v>
      </c>
      <c r="I553" s="8"/>
      <c r="J553" s="8" t="str" cm="1">
        <f t="array" aca="1" ref="J553" ca="1">_xlfn.LET(
  _xlpm.actual_value_month, INDEX(T553:AE553, MATCH(DATE(YEAR(TODAY()), MONTH(TODAY()), 1), $T$1:$AE$1, 0)),
  IF(_xlpm.actual_value_month &lt;&gt; "",_xlpm.actual_value_month &amp; " ações mensais", "")
)</f>
        <v/>
      </c>
      <c r="K553" s="8" t="str" cm="1">
        <f t="array" ref="K553">_xlfn.LET(
    _xlpm.sum_month, SUM(T553:AE553),
    IF(_xlpm.sum_month = 0, "", _xlpm.sum_month &amp; " telemetria implementada no ano")
)</f>
        <v/>
      </c>
      <c r="L553" s="9" t="s">
        <v>112</v>
      </c>
      <c r="M553" s="13">
        <v>1</v>
      </c>
      <c r="N553" s="5" t="s">
        <v>51</v>
      </c>
      <c r="O553" s="5" t="s">
        <v>43</v>
      </c>
      <c r="P553" s="10" t="s">
        <v>44</v>
      </c>
      <c r="Q553" s="10" t="s">
        <v>44</v>
      </c>
      <c r="R553" s="11" t="s">
        <v>44</v>
      </c>
      <c r="S553" s="11" t="s">
        <v>44</v>
      </c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G553" s="71"/>
      <c r="AH553" s="71"/>
      <c r="AI553" s="71"/>
      <c r="AJ553" s="71"/>
      <c r="AK553" s="71"/>
      <c r="AL553" s="71"/>
      <c r="AM553" s="71"/>
      <c r="AN553" s="71"/>
      <c r="AO553" s="71"/>
      <c r="AP553" s="71"/>
      <c r="AQ553" s="71"/>
      <c r="AR553" s="71"/>
      <c r="AS553" s="94">
        <v>0</v>
      </c>
      <c r="AT553" s="95">
        <v>0</v>
      </c>
      <c r="AU553" s="97">
        <v>0</v>
      </c>
      <c r="AW553" s="83">
        <f t="shared" si="894"/>
        <v>0</v>
      </c>
      <c r="AX553" s="83">
        <f t="shared" si="895"/>
        <v>0</v>
      </c>
      <c r="AY553" s="83">
        <f t="shared" si="896"/>
        <v>0</v>
      </c>
      <c r="AZ553" s="83">
        <f t="shared" si="897"/>
        <v>0</v>
      </c>
      <c r="BA553" s="52"/>
      <c r="BB553" s="52"/>
      <c r="BC553" s="52"/>
      <c r="BD553" s="52"/>
      <c r="BE553" s="52"/>
      <c r="BF553" s="52"/>
      <c r="BG553" s="52"/>
      <c r="BH553" s="52"/>
      <c r="BI553" s="68">
        <v>0</v>
      </c>
      <c r="BJ553" s="68">
        <v>0</v>
      </c>
      <c r="BK553" s="59">
        <v>0</v>
      </c>
      <c r="BL553" s="59">
        <v>0</v>
      </c>
      <c r="BM553" s="55">
        <v>46054</v>
      </c>
      <c r="BN553" s="55">
        <v>46082</v>
      </c>
      <c r="BO553" s="53">
        <v>0</v>
      </c>
      <c r="BP553" s="53">
        <v>0</v>
      </c>
      <c r="BQ553" s="53">
        <v>0</v>
      </c>
      <c r="BR553" s="85">
        <v>0</v>
      </c>
      <c r="BS553" s="53">
        <v>0.1111111111111111</v>
      </c>
    </row>
    <row r="554" spans="1:71" ht="25.95" hidden="1" customHeight="1" x14ac:dyDescent="0.3">
      <c r="A554" s="70" t="s">
        <v>108</v>
      </c>
      <c r="B554" s="4" t="s">
        <v>109</v>
      </c>
      <c r="C554" s="5" t="s">
        <v>97</v>
      </c>
      <c r="D554" s="5" t="s">
        <v>100</v>
      </c>
      <c r="E554" s="4" t="s">
        <v>61</v>
      </c>
      <c r="F554" s="4" t="str" cm="1">
        <f t="array" ref="F554">_xlfn.IFS(
AG554 &lt;&gt; "", "Jan-Dez/26",
AH554 &lt;&gt; "", "Fev-Dez/26",
AI554 &lt;&gt; "", "Mar-Dez/26", AJ554 &lt;&gt; "", "Abr-Dez/26",
TRUE, "A partir de Junho"
)</f>
        <v>A partir de Junho</v>
      </c>
      <c r="G554" s="4" t="s">
        <v>62</v>
      </c>
      <c r="H554" s="7" t="s">
        <v>110</v>
      </c>
      <c r="I554" s="8"/>
      <c r="J554" s="8" t="str" cm="1">
        <f t="array" aca="1" ref="J554" ca="1">_xlfn.LET(
  _xlpm.actual_value_month, INDEX(T554:AE554, MATCH(DATE(YEAR(TODAY()), MONTH(TODAY()), 1), $T$1:$AE$1, 0)),
  IF(_xlpm.actual_value_month &lt;&gt; "",_xlpm.actual_value_month &amp; " ações mensais", "")
)</f>
        <v/>
      </c>
      <c r="K554" s="8" t="str" cm="1">
        <f t="array" ref="K554">_xlfn.LET(
    _xlpm.sum_month, SUM(T554:AE554),
    IF(_xlpm.sum_month = 0, "", _xlpm.sum_month &amp; " telemetria implementada no ano")
)</f>
        <v/>
      </c>
      <c r="L554" s="9" t="s">
        <v>112</v>
      </c>
      <c r="M554" s="13">
        <v>1</v>
      </c>
      <c r="N554" s="5" t="s">
        <v>51</v>
      </c>
      <c r="O554" s="5" t="s">
        <v>43</v>
      </c>
      <c r="P554" s="10" t="s">
        <v>44</v>
      </c>
      <c r="Q554" s="10" t="s">
        <v>44</v>
      </c>
      <c r="R554" s="11" t="s">
        <v>44</v>
      </c>
      <c r="S554" s="11" t="s">
        <v>44</v>
      </c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G554" s="71"/>
      <c r="AH554" s="71"/>
      <c r="AI554" s="71"/>
      <c r="AJ554" s="71"/>
      <c r="AK554" s="71"/>
      <c r="AL554" s="71"/>
      <c r="AM554" s="71"/>
      <c r="AN554" s="71"/>
      <c r="AO554" s="71"/>
      <c r="AP554" s="71"/>
      <c r="AQ554" s="71"/>
      <c r="AR554" s="71"/>
      <c r="AS554" s="94">
        <v>0</v>
      </c>
      <c r="AT554" s="95">
        <v>0</v>
      </c>
      <c r="AU554" s="97">
        <v>0</v>
      </c>
      <c r="AW554" s="83">
        <f t="shared" si="894"/>
        <v>0</v>
      </c>
      <c r="AX554" s="83">
        <f t="shared" si="895"/>
        <v>0</v>
      </c>
      <c r="AY554" s="83">
        <f t="shared" si="896"/>
        <v>0</v>
      </c>
      <c r="AZ554" s="83">
        <f t="shared" si="897"/>
        <v>0</v>
      </c>
      <c r="BA554" s="52"/>
      <c r="BB554" s="52"/>
      <c r="BC554" s="52"/>
      <c r="BD554" s="52"/>
      <c r="BE554" s="52"/>
      <c r="BF554" s="52"/>
      <c r="BG554" s="52"/>
      <c r="BH554" s="52"/>
      <c r="BI554" s="68">
        <v>0</v>
      </c>
      <c r="BJ554" s="68">
        <v>0</v>
      </c>
      <c r="BK554" s="59">
        <v>0</v>
      </c>
      <c r="BL554" s="59">
        <v>0</v>
      </c>
      <c r="BM554" s="55">
        <v>46054</v>
      </c>
      <c r="BN554" s="55">
        <v>46082</v>
      </c>
      <c r="BO554" s="53">
        <v>0</v>
      </c>
      <c r="BP554" s="53">
        <v>0</v>
      </c>
      <c r="BQ554" s="53">
        <v>0</v>
      </c>
      <c r="BR554" s="85">
        <v>0</v>
      </c>
      <c r="BS554" s="53">
        <v>0.1111111111111111</v>
      </c>
    </row>
    <row r="555" spans="1:71" ht="25.95" hidden="1" customHeight="1" x14ac:dyDescent="0.3">
      <c r="A555" s="70" t="s">
        <v>108</v>
      </c>
      <c r="B555" s="4" t="s">
        <v>109</v>
      </c>
      <c r="C555" s="5" t="s">
        <v>97</v>
      </c>
      <c r="D555" s="5" t="s">
        <v>101</v>
      </c>
      <c r="E555" s="4" t="s">
        <v>61</v>
      </c>
      <c r="F555" s="4" t="str" cm="1">
        <f t="array" ref="F555">_xlfn.IFS(
AG555 &lt;&gt; "", "Jan-Dez/26",
AH555 &lt;&gt; "", "Fev-Dez/26",
AI555 &lt;&gt; "", "Mar-Dez/26", AJ555 &lt;&gt; "", "Abr-Dez/26",
TRUE, "A partir de Junho"
)</f>
        <v>A partir de Junho</v>
      </c>
      <c r="G555" s="4" t="s">
        <v>62</v>
      </c>
      <c r="H555" s="7" t="s">
        <v>110</v>
      </c>
      <c r="I555" s="8"/>
      <c r="J555" s="8" t="str" cm="1">
        <f t="array" aca="1" ref="J555" ca="1">_xlfn.LET(
  _xlpm.actual_value_month, INDEX(T555:AE555, MATCH(DATE(YEAR(TODAY()), MONTH(TODAY()), 1), $T$1:$AE$1, 0)),
  IF(_xlpm.actual_value_month &lt;&gt; "",_xlpm.actual_value_month &amp; " ações mensais", "")
)</f>
        <v/>
      </c>
      <c r="K555" s="8" t="str" cm="1">
        <f t="array" ref="K555">_xlfn.LET(
    _xlpm.sum_month, SUM(T555:AE555),
    IF(_xlpm.sum_month = 0, "", _xlpm.sum_month &amp; " telemetria implementada no ano")
)</f>
        <v/>
      </c>
      <c r="L555" s="9" t="s">
        <v>112</v>
      </c>
      <c r="M555" s="13">
        <v>1</v>
      </c>
      <c r="N555" s="5" t="s">
        <v>51</v>
      </c>
      <c r="O555" s="5" t="s">
        <v>43</v>
      </c>
      <c r="P555" s="10" t="s">
        <v>44</v>
      </c>
      <c r="Q555" s="10" t="s">
        <v>44</v>
      </c>
      <c r="R555" s="11" t="s">
        <v>44</v>
      </c>
      <c r="S555" s="11" t="s">
        <v>44</v>
      </c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G555" s="71"/>
      <c r="AH555" s="71"/>
      <c r="AI555" s="71"/>
      <c r="AJ555" s="71"/>
      <c r="AK555" s="71"/>
      <c r="AL555" s="71"/>
      <c r="AM555" s="71"/>
      <c r="AN555" s="71"/>
      <c r="AO555" s="71"/>
      <c r="AP555" s="71"/>
      <c r="AQ555" s="71"/>
      <c r="AR555" s="71"/>
      <c r="AS555" s="94">
        <v>0</v>
      </c>
      <c r="AT555" s="95">
        <v>0</v>
      </c>
      <c r="AU555" s="97">
        <v>0</v>
      </c>
      <c r="AW555" s="83">
        <f t="shared" si="894"/>
        <v>0</v>
      </c>
      <c r="AX555" s="83">
        <f t="shared" si="895"/>
        <v>0</v>
      </c>
      <c r="AY555" s="83">
        <f t="shared" si="896"/>
        <v>0</v>
      </c>
      <c r="AZ555" s="83">
        <f t="shared" si="897"/>
        <v>0</v>
      </c>
      <c r="BA555" s="52"/>
      <c r="BB555" s="52"/>
      <c r="BC555" s="52"/>
      <c r="BD555" s="52"/>
      <c r="BE555" s="52"/>
      <c r="BF555" s="52"/>
      <c r="BG555" s="52"/>
      <c r="BH555" s="52"/>
      <c r="BI555" s="68">
        <v>0</v>
      </c>
      <c r="BJ555" s="68">
        <v>0</v>
      </c>
      <c r="BK555" s="59">
        <v>0</v>
      </c>
      <c r="BL555" s="59">
        <v>0</v>
      </c>
      <c r="BM555" s="55">
        <v>46054</v>
      </c>
      <c r="BN555" s="55">
        <v>46082</v>
      </c>
      <c r="BO555" s="53">
        <v>0</v>
      </c>
      <c r="BP555" s="53">
        <v>0</v>
      </c>
      <c r="BQ555" s="53">
        <v>0</v>
      </c>
      <c r="BR555" s="85">
        <v>0</v>
      </c>
      <c r="BS555" s="53">
        <v>0.1111111111111111</v>
      </c>
    </row>
    <row r="556" spans="1:71" ht="25.95" hidden="1" customHeight="1" x14ac:dyDescent="0.3">
      <c r="A556" s="70" t="s">
        <v>108</v>
      </c>
      <c r="B556" s="4" t="s">
        <v>109</v>
      </c>
      <c r="C556" s="5" t="s">
        <v>97</v>
      </c>
      <c r="D556" s="5" t="s">
        <v>102</v>
      </c>
      <c r="E556" s="4" t="s">
        <v>61</v>
      </c>
      <c r="F556" s="4" t="str" cm="1">
        <f t="array" ref="F556">_xlfn.IFS(
AG556 &lt;&gt; "", "Jan-Dez/26",
AH556 &lt;&gt; "", "Fev-Dez/26",
AI556 &lt;&gt; "", "Mar-Dez/26", AJ556 &lt;&gt; "", "Abr-Dez/26",
TRUE, "A partir de Junho"
)</f>
        <v>A partir de Junho</v>
      </c>
      <c r="G556" s="4" t="s">
        <v>62</v>
      </c>
      <c r="H556" s="7" t="s">
        <v>110</v>
      </c>
      <c r="I556" s="8"/>
      <c r="J556" s="8" t="str" cm="1">
        <f t="array" aca="1" ref="J556" ca="1">_xlfn.LET(
  _xlpm.actual_value_month, INDEX(T556:AE556, MATCH(DATE(YEAR(TODAY()), MONTH(TODAY()), 1), $T$1:$AE$1, 0)),
  IF(_xlpm.actual_value_month &lt;&gt; "",_xlpm.actual_value_month &amp; " ações mensais", "")
)</f>
        <v/>
      </c>
      <c r="K556" s="8" t="str" cm="1">
        <f t="array" ref="K556">_xlfn.LET(
    _xlpm.sum_month, SUM(T556:AE556),
    IF(_xlpm.sum_month = 0, "", _xlpm.sum_month &amp; " telemetria implementada no ano")
)</f>
        <v/>
      </c>
      <c r="L556" s="9" t="s">
        <v>112</v>
      </c>
      <c r="M556" s="13">
        <v>1</v>
      </c>
      <c r="N556" s="5" t="s">
        <v>51</v>
      </c>
      <c r="O556" s="5" t="s">
        <v>43</v>
      </c>
      <c r="P556" s="10" t="s">
        <v>44</v>
      </c>
      <c r="Q556" s="10" t="s">
        <v>44</v>
      </c>
      <c r="R556" s="11" t="s">
        <v>44</v>
      </c>
      <c r="S556" s="11" t="s">
        <v>44</v>
      </c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G556" s="71"/>
      <c r="AH556" s="71"/>
      <c r="AI556" s="71"/>
      <c r="AJ556" s="71"/>
      <c r="AK556" s="71"/>
      <c r="AL556" s="71"/>
      <c r="AM556" s="71"/>
      <c r="AN556" s="71"/>
      <c r="AO556" s="71"/>
      <c r="AP556" s="71"/>
      <c r="AQ556" s="71"/>
      <c r="AR556" s="71"/>
      <c r="AS556" s="94">
        <v>0</v>
      </c>
      <c r="AT556" s="95">
        <v>0</v>
      </c>
      <c r="AU556" s="97">
        <v>0</v>
      </c>
      <c r="AW556" s="83">
        <f t="shared" si="894"/>
        <v>0</v>
      </c>
      <c r="AX556" s="83">
        <f t="shared" si="895"/>
        <v>0</v>
      </c>
      <c r="AY556" s="83">
        <f t="shared" si="896"/>
        <v>0</v>
      </c>
      <c r="AZ556" s="83">
        <f t="shared" si="897"/>
        <v>0</v>
      </c>
      <c r="BA556" s="52"/>
      <c r="BB556" s="52"/>
      <c r="BC556" s="52"/>
      <c r="BD556" s="52"/>
      <c r="BE556" s="52"/>
      <c r="BF556" s="52"/>
      <c r="BG556" s="52"/>
      <c r="BH556" s="52"/>
      <c r="BI556" s="68">
        <v>0</v>
      </c>
      <c r="BJ556" s="68">
        <v>0</v>
      </c>
      <c r="BK556" s="59">
        <v>0</v>
      </c>
      <c r="BL556" s="59">
        <v>0</v>
      </c>
      <c r="BM556" s="55">
        <v>46054</v>
      </c>
      <c r="BN556" s="55">
        <v>46082</v>
      </c>
      <c r="BO556" s="53">
        <v>0</v>
      </c>
      <c r="BP556" s="53">
        <v>0</v>
      </c>
      <c r="BQ556" s="53">
        <v>0</v>
      </c>
      <c r="BR556" s="85">
        <v>0</v>
      </c>
      <c r="BS556" s="53">
        <v>0.1111111111111111</v>
      </c>
    </row>
    <row r="557" spans="1:71" ht="25.95" hidden="1" customHeight="1" x14ac:dyDescent="0.3">
      <c r="A557" s="70" t="s">
        <v>108</v>
      </c>
      <c r="B557" s="4" t="s">
        <v>109</v>
      </c>
      <c r="C557" s="5" t="s">
        <v>97</v>
      </c>
      <c r="D557" s="5" t="s">
        <v>103</v>
      </c>
      <c r="E557" s="4" t="s">
        <v>61</v>
      </c>
      <c r="F557" s="4" t="str" cm="1">
        <f t="array" ref="F557">_xlfn.IFS(
AG557 &lt;&gt; "", "Jan-Dez/26",
AH557 &lt;&gt; "", "Fev-Dez/26",
AI557 &lt;&gt; "", "Mar-Dez/26", AJ557 &lt;&gt; "", "Abr-Dez/26",
TRUE, "A partir de Junho"
)</f>
        <v>A partir de Junho</v>
      </c>
      <c r="G557" s="4" t="s">
        <v>62</v>
      </c>
      <c r="H557" s="7" t="s">
        <v>110</v>
      </c>
      <c r="I557" s="8"/>
      <c r="J557" s="8" t="str" cm="1">
        <f t="array" aca="1" ref="J557" ca="1">_xlfn.LET(
  _xlpm.actual_value_month, INDEX(T557:AE557, MATCH(DATE(YEAR(TODAY()), MONTH(TODAY()), 1), $T$1:$AE$1, 0)),
  IF(_xlpm.actual_value_month &lt;&gt; "",_xlpm.actual_value_month &amp; " ações mensais", "")
)</f>
        <v/>
      </c>
      <c r="K557" s="8" t="str" cm="1">
        <f t="array" ref="K557">_xlfn.LET(
    _xlpm.sum_month, SUM(T557:AE557),
    IF(_xlpm.sum_month = 0, "", _xlpm.sum_month &amp; " telemetria implementada no ano")
)</f>
        <v/>
      </c>
      <c r="L557" s="9" t="s">
        <v>112</v>
      </c>
      <c r="M557" s="13">
        <v>1</v>
      </c>
      <c r="N557" s="5" t="s">
        <v>51</v>
      </c>
      <c r="O557" s="5" t="s">
        <v>43</v>
      </c>
      <c r="P557" s="10" t="s">
        <v>44</v>
      </c>
      <c r="Q557" s="10" t="s">
        <v>44</v>
      </c>
      <c r="R557" s="11" t="s">
        <v>44</v>
      </c>
      <c r="S557" s="11" t="s">
        <v>44</v>
      </c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G557" s="71"/>
      <c r="AH557" s="71"/>
      <c r="AI557" s="71"/>
      <c r="AJ557" s="71"/>
      <c r="AK557" s="71"/>
      <c r="AL557" s="71"/>
      <c r="AM557" s="71"/>
      <c r="AN557" s="71"/>
      <c r="AO557" s="71"/>
      <c r="AP557" s="71"/>
      <c r="AQ557" s="71"/>
      <c r="AR557" s="71"/>
      <c r="AS557" s="94">
        <v>0</v>
      </c>
      <c r="AT557" s="95">
        <v>0</v>
      </c>
      <c r="AU557" s="97">
        <v>0</v>
      </c>
      <c r="AW557" s="83">
        <f t="shared" si="894"/>
        <v>0</v>
      </c>
      <c r="AX557" s="83">
        <f t="shared" si="895"/>
        <v>0</v>
      </c>
      <c r="AY557" s="83">
        <f t="shared" si="896"/>
        <v>0</v>
      </c>
      <c r="AZ557" s="83">
        <f t="shared" si="897"/>
        <v>0</v>
      </c>
      <c r="BA557" s="52"/>
      <c r="BB557" s="52"/>
      <c r="BC557" s="52"/>
      <c r="BD557" s="52"/>
      <c r="BE557" s="52"/>
      <c r="BF557" s="52"/>
      <c r="BG557" s="52"/>
      <c r="BH557" s="52"/>
      <c r="BI557" s="68">
        <v>0</v>
      </c>
      <c r="BJ557" s="68">
        <v>0</v>
      </c>
      <c r="BK557" s="59">
        <v>0</v>
      </c>
      <c r="BL557" s="59">
        <v>0</v>
      </c>
      <c r="BM557" s="55">
        <v>46054</v>
      </c>
      <c r="BN557" s="55">
        <v>46082</v>
      </c>
      <c r="BO557" s="53">
        <v>0</v>
      </c>
      <c r="BP557" s="53">
        <v>0</v>
      </c>
      <c r="BQ557" s="53">
        <v>0</v>
      </c>
      <c r="BR557" s="85">
        <v>0</v>
      </c>
      <c r="BS557" s="53">
        <v>0.1111111111111111</v>
      </c>
    </row>
    <row r="558" spans="1:71" ht="25.95" hidden="1" customHeight="1" x14ac:dyDescent="0.3">
      <c r="A558" s="70" t="s">
        <v>108</v>
      </c>
      <c r="B558" s="4" t="s">
        <v>109</v>
      </c>
      <c r="C558" s="5" t="s">
        <v>97</v>
      </c>
      <c r="D558" s="5" t="s">
        <v>104</v>
      </c>
      <c r="E558" s="4" t="s">
        <v>61</v>
      </c>
      <c r="F558" s="4" t="str" cm="1">
        <f t="array" ref="F558">_xlfn.IFS(
AG558 &lt;&gt; "", "Jan-Dez/26",
AH558 &lt;&gt; "", "Fev-Dez/26",
AI558 &lt;&gt; "", "Mar-Dez/26", AJ558 &lt;&gt; "", "Abr-Dez/26",
TRUE, "A partir de Junho"
)</f>
        <v>A partir de Junho</v>
      </c>
      <c r="G558" s="4" t="s">
        <v>62</v>
      </c>
      <c r="H558" s="7" t="s">
        <v>110</v>
      </c>
      <c r="I558" s="8"/>
      <c r="J558" s="8" t="str" cm="1">
        <f t="array" aca="1" ref="J558" ca="1">_xlfn.LET(
  _xlpm.actual_value_month, INDEX(T558:AE558, MATCH(DATE(YEAR(TODAY()), MONTH(TODAY()), 1), $T$1:$AE$1, 0)),
  IF(_xlpm.actual_value_month &lt;&gt; "",_xlpm.actual_value_month &amp; " ações mensais", "")
)</f>
        <v/>
      </c>
      <c r="K558" s="8" t="str" cm="1">
        <f t="array" ref="K558">_xlfn.LET(
    _xlpm.sum_month, SUM(T558:AE558),
    IF(_xlpm.sum_month = 0, "", _xlpm.sum_month &amp; " telemetria implementada no ano")
)</f>
        <v/>
      </c>
      <c r="L558" s="9" t="s">
        <v>112</v>
      </c>
      <c r="M558" s="13">
        <v>1</v>
      </c>
      <c r="N558" s="5" t="s">
        <v>51</v>
      </c>
      <c r="O558" s="5" t="s">
        <v>43</v>
      </c>
      <c r="P558" s="10" t="s">
        <v>44</v>
      </c>
      <c r="Q558" s="10" t="s">
        <v>44</v>
      </c>
      <c r="R558" s="11" t="s">
        <v>44</v>
      </c>
      <c r="S558" s="11" t="s">
        <v>44</v>
      </c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G558" s="71"/>
      <c r="AH558" s="71"/>
      <c r="AI558" s="71"/>
      <c r="AJ558" s="71"/>
      <c r="AK558" s="71"/>
      <c r="AL558" s="71"/>
      <c r="AM558" s="71"/>
      <c r="AN558" s="71"/>
      <c r="AO558" s="71"/>
      <c r="AP558" s="71"/>
      <c r="AQ558" s="71"/>
      <c r="AR558" s="71"/>
      <c r="AS558" s="94">
        <v>0</v>
      </c>
      <c r="AT558" s="95">
        <v>0</v>
      </c>
      <c r="AU558" s="97">
        <v>0</v>
      </c>
      <c r="AW558" s="83">
        <f t="shared" si="894"/>
        <v>0</v>
      </c>
      <c r="AX558" s="83">
        <f t="shared" si="895"/>
        <v>0</v>
      </c>
      <c r="AY558" s="83">
        <f t="shared" si="896"/>
        <v>0</v>
      </c>
      <c r="AZ558" s="83">
        <f t="shared" si="897"/>
        <v>0</v>
      </c>
      <c r="BA558" s="52"/>
      <c r="BB558" s="52"/>
      <c r="BC558" s="52"/>
      <c r="BD558" s="52"/>
      <c r="BE558" s="52"/>
      <c r="BF558" s="52"/>
      <c r="BG558" s="52"/>
      <c r="BH558" s="52"/>
      <c r="BI558" s="68">
        <v>0</v>
      </c>
      <c r="BJ558" s="68">
        <v>0</v>
      </c>
      <c r="BK558" s="59">
        <v>0</v>
      </c>
      <c r="BL558" s="59">
        <v>0</v>
      </c>
      <c r="BM558" s="55">
        <v>46054</v>
      </c>
      <c r="BN558" s="55">
        <v>46082</v>
      </c>
      <c r="BO558" s="53">
        <v>0</v>
      </c>
      <c r="BP558" s="53">
        <v>0</v>
      </c>
      <c r="BQ558" s="53">
        <v>0</v>
      </c>
      <c r="BR558" s="85">
        <v>0</v>
      </c>
      <c r="BS558" s="53">
        <v>0.1111111111111111</v>
      </c>
    </row>
    <row r="559" spans="1:71" ht="25.95" hidden="1" customHeight="1" x14ac:dyDescent="0.3">
      <c r="A559" s="70" t="s">
        <v>108</v>
      </c>
      <c r="B559" s="4" t="s">
        <v>109</v>
      </c>
      <c r="C559" s="5" t="s">
        <v>97</v>
      </c>
      <c r="D559" s="5" t="s">
        <v>105</v>
      </c>
      <c r="E559" s="4" t="s">
        <v>61</v>
      </c>
      <c r="F559" s="4" t="str" cm="1">
        <f t="array" ref="F559">_xlfn.IFS(
AG559 &lt;&gt; "", "Jan-Dez/26",
AH559 &lt;&gt; "", "Fev-Dez/26",
AI559 &lt;&gt; "", "Mar-Dez/26", AJ559 &lt;&gt; "", "Abr-Dez/26",
TRUE, "A partir de Junho"
)</f>
        <v>A partir de Junho</v>
      </c>
      <c r="G559" s="4" t="s">
        <v>62</v>
      </c>
      <c r="H559" s="7" t="s">
        <v>110</v>
      </c>
      <c r="I559" s="8"/>
      <c r="J559" s="8" t="str" cm="1">
        <f t="array" aca="1" ref="J559" ca="1">_xlfn.LET(
  _xlpm.actual_value_month, INDEX(T559:AE559, MATCH(DATE(YEAR(TODAY()), MONTH(TODAY()), 1), $T$1:$AE$1, 0)),
  IF(_xlpm.actual_value_month &lt;&gt; "",_xlpm.actual_value_month &amp; " ações mensais", "")
)</f>
        <v/>
      </c>
      <c r="K559" s="8" t="str" cm="1">
        <f t="array" ref="K559">_xlfn.LET(
    _xlpm.sum_month, SUM(T559:AE559),
    IF(_xlpm.sum_month = 0, "", _xlpm.sum_month &amp; " telemetria implementada no ano")
)</f>
        <v/>
      </c>
      <c r="L559" s="9" t="s">
        <v>112</v>
      </c>
      <c r="M559" s="13">
        <v>1</v>
      </c>
      <c r="N559" s="5" t="s">
        <v>51</v>
      </c>
      <c r="O559" s="5" t="s">
        <v>43</v>
      </c>
      <c r="P559" s="10" t="s">
        <v>44</v>
      </c>
      <c r="Q559" s="10" t="s">
        <v>44</v>
      </c>
      <c r="R559" s="11" t="s">
        <v>44</v>
      </c>
      <c r="S559" s="11" t="s">
        <v>44</v>
      </c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G559" s="71"/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  <c r="AR559" s="71"/>
      <c r="AS559" s="94">
        <v>0</v>
      </c>
      <c r="AT559" s="95">
        <v>0</v>
      </c>
      <c r="AU559" s="97">
        <v>0</v>
      </c>
      <c r="AW559" s="83">
        <f t="shared" si="894"/>
        <v>0</v>
      </c>
      <c r="AX559" s="83">
        <f t="shared" si="895"/>
        <v>0</v>
      </c>
      <c r="AY559" s="83">
        <f t="shared" si="896"/>
        <v>0</v>
      </c>
      <c r="AZ559" s="83">
        <f t="shared" si="897"/>
        <v>0</v>
      </c>
      <c r="BA559" s="52"/>
      <c r="BB559" s="52"/>
      <c r="BC559" s="52"/>
      <c r="BD559" s="52"/>
      <c r="BE559" s="52"/>
      <c r="BF559" s="52"/>
      <c r="BG559" s="52"/>
      <c r="BH559" s="52"/>
      <c r="BI559" s="68">
        <v>0</v>
      </c>
      <c r="BJ559" s="68">
        <v>0</v>
      </c>
      <c r="BK559" s="59">
        <v>0</v>
      </c>
      <c r="BL559" s="59">
        <v>0</v>
      </c>
      <c r="BM559" s="55">
        <v>46054</v>
      </c>
      <c r="BN559" s="55">
        <v>46082</v>
      </c>
      <c r="BO559" s="53">
        <v>0</v>
      </c>
      <c r="BP559" s="53">
        <v>0</v>
      </c>
      <c r="BQ559" s="53">
        <v>0</v>
      </c>
      <c r="BR559" s="85">
        <v>0</v>
      </c>
      <c r="BS559" s="53">
        <v>0.1111111111111111</v>
      </c>
    </row>
    <row r="560" spans="1:71" ht="25.95" hidden="1" customHeight="1" x14ac:dyDescent="0.3">
      <c r="A560" s="70" t="s">
        <v>108</v>
      </c>
      <c r="B560" s="4" t="s">
        <v>109</v>
      </c>
      <c r="C560" s="5" t="s">
        <v>97</v>
      </c>
      <c r="D560" s="5" t="s">
        <v>106</v>
      </c>
      <c r="E560" s="4" t="s">
        <v>61</v>
      </c>
      <c r="F560" s="4" t="str" cm="1">
        <f t="array" ref="F560">_xlfn.IFS(
AG560 &lt;&gt; "", "Jan-Dez/26",
AH560 &lt;&gt; "", "Fev-Dez/26",
AI560 &lt;&gt; "", "Mar-Dez/26", AJ560 &lt;&gt; "", "Abr-Dez/26",
TRUE, "A partir de Junho"
)</f>
        <v>A partir de Junho</v>
      </c>
      <c r="G560" s="4" t="s">
        <v>62</v>
      </c>
      <c r="H560" s="7" t="s">
        <v>110</v>
      </c>
      <c r="I560" s="8"/>
      <c r="J560" s="8" t="str" cm="1">
        <f t="array" aca="1" ref="J560" ca="1">_xlfn.LET(
  _xlpm.actual_value_month, INDEX(T560:AE560, MATCH(DATE(YEAR(TODAY()), MONTH(TODAY()), 1), $T$1:$AE$1, 0)),
  IF(_xlpm.actual_value_month &lt;&gt; "",_xlpm.actual_value_month &amp; " ações mensais", "")
)</f>
        <v/>
      </c>
      <c r="K560" s="8" t="str" cm="1">
        <f t="array" ref="K560">_xlfn.LET(
    _xlpm.sum_month, SUM(T560:AE560),
    IF(_xlpm.sum_month = 0, "", _xlpm.sum_month &amp; " telemetria implementada no ano")
)</f>
        <v/>
      </c>
      <c r="L560" s="9" t="s">
        <v>112</v>
      </c>
      <c r="M560" s="13">
        <v>1</v>
      </c>
      <c r="N560" s="5" t="s">
        <v>51</v>
      </c>
      <c r="O560" s="5" t="s">
        <v>43</v>
      </c>
      <c r="P560" s="10" t="s">
        <v>44</v>
      </c>
      <c r="Q560" s="10" t="s">
        <v>44</v>
      </c>
      <c r="R560" s="11" t="s">
        <v>44</v>
      </c>
      <c r="S560" s="11" t="s">
        <v>44</v>
      </c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G560" s="71"/>
      <c r="AH560" s="71"/>
      <c r="AI560" s="71"/>
      <c r="AJ560" s="71"/>
      <c r="AK560" s="71"/>
      <c r="AL560" s="71"/>
      <c r="AM560" s="71"/>
      <c r="AN560" s="71"/>
      <c r="AO560" s="71"/>
      <c r="AP560" s="71"/>
      <c r="AQ560" s="71"/>
      <c r="AR560" s="71"/>
      <c r="AS560" s="94">
        <v>0</v>
      </c>
      <c r="AT560" s="95">
        <v>0</v>
      </c>
      <c r="AU560" s="97">
        <v>0</v>
      </c>
      <c r="AW560" s="83">
        <f t="shared" si="894"/>
        <v>0</v>
      </c>
      <c r="AX560" s="83">
        <f t="shared" si="895"/>
        <v>0</v>
      </c>
      <c r="AY560" s="83">
        <f t="shared" si="896"/>
        <v>0</v>
      </c>
      <c r="AZ560" s="83">
        <f t="shared" si="897"/>
        <v>0</v>
      </c>
      <c r="BA560" s="52"/>
      <c r="BB560" s="52"/>
      <c r="BC560" s="52"/>
      <c r="BD560" s="52"/>
      <c r="BE560" s="52"/>
      <c r="BF560" s="52"/>
      <c r="BG560" s="52"/>
      <c r="BH560" s="52"/>
      <c r="BI560" s="68">
        <v>0</v>
      </c>
      <c r="BJ560" s="68">
        <v>0</v>
      </c>
      <c r="BK560" s="59">
        <v>0</v>
      </c>
      <c r="BL560" s="59">
        <v>0</v>
      </c>
      <c r="BM560" s="55">
        <v>46054</v>
      </c>
      <c r="BN560" s="55">
        <v>46082</v>
      </c>
      <c r="BO560" s="53">
        <v>0</v>
      </c>
      <c r="BP560" s="53">
        <v>0</v>
      </c>
      <c r="BQ560" s="53">
        <v>0</v>
      </c>
      <c r="BR560" s="85">
        <v>0</v>
      </c>
      <c r="BS560" s="53">
        <v>0.1111111111111111</v>
      </c>
    </row>
    <row r="561" spans="1:71" ht="25.95" hidden="1" customHeight="1" x14ac:dyDescent="0.3">
      <c r="A561" s="70" t="s">
        <v>108</v>
      </c>
      <c r="B561" s="4" t="s">
        <v>109</v>
      </c>
      <c r="C561" s="5" t="s">
        <v>97</v>
      </c>
      <c r="D561" s="5" t="s">
        <v>107</v>
      </c>
      <c r="E561" s="4" t="s">
        <v>61</v>
      </c>
      <c r="F561" s="4" t="str" cm="1">
        <f t="array" ref="F561">_xlfn.IFS(
AG561 &lt;&gt; "", "Jan-Dez/26",
AH561 &lt;&gt; "", "Fev-Dez/26",
AI561 &lt;&gt; "", "Mar-Dez/26", AJ561 &lt;&gt; "", "Abr-Dez/26",
TRUE, "A partir de Junho"
)</f>
        <v>A partir de Junho</v>
      </c>
      <c r="G561" s="4" t="s">
        <v>62</v>
      </c>
      <c r="H561" s="7" t="s">
        <v>110</v>
      </c>
      <c r="I561" s="8"/>
      <c r="J561" s="8" t="str" cm="1">
        <f t="array" aca="1" ref="J561" ca="1">_xlfn.LET(
  _xlpm.actual_value_month, INDEX(T561:AE561, MATCH(DATE(YEAR(TODAY()), MONTH(TODAY()), 1), $T$1:$AE$1, 0)),
  IF(_xlpm.actual_value_month &lt;&gt; "",_xlpm.actual_value_month &amp; " ações mensais", "")
)</f>
        <v/>
      </c>
      <c r="K561" s="8" t="str" cm="1">
        <f t="array" ref="K561">_xlfn.LET(
    _xlpm.sum_month, SUM(T561:AE561),
    IF(_xlpm.sum_month = 0, "", _xlpm.sum_month &amp; " telemetria implementada no ano")
)</f>
        <v/>
      </c>
      <c r="L561" s="9" t="s">
        <v>112</v>
      </c>
      <c r="M561" s="13">
        <v>1</v>
      </c>
      <c r="N561" s="5" t="s">
        <v>51</v>
      </c>
      <c r="O561" s="5" t="s">
        <v>43</v>
      </c>
      <c r="P561" s="10" t="s">
        <v>44</v>
      </c>
      <c r="Q561" s="10" t="s">
        <v>44</v>
      </c>
      <c r="R561" s="11" t="s">
        <v>44</v>
      </c>
      <c r="S561" s="11" t="s">
        <v>44</v>
      </c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G561" s="71"/>
      <c r="AH561" s="71"/>
      <c r="AI561" s="71"/>
      <c r="AJ561" s="71"/>
      <c r="AK561" s="71"/>
      <c r="AL561" s="71"/>
      <c r="AM561" s="71"/>
      <c r="AN561" s="71"/>
      <c r="AO561" s="71"/>
      <c r="AP561" s="71"/>
      <c r="AQ561" s="71"/>
      <c r="AR561" s="71"/>
      <c r="AS561" s="94">
        <v>0</v>
      </c>
      <c r="AT561" s="95">
        <v>0</v>
      </c>
      <c r="AU561" s="97">
        <v>0</v>
      </c>
      <c r="AW561" s="83">
        <f t="shared" si="894"/>
        <v>0</v>
      </c>
      <c r="AX561" s="83">
        <f t="shared" si="895"/>
        <v>0</v>
      </c>
      <c r="AY561" s="83">
        <f t="shared" si="896"/>
        <v>0</v>
      </c>
      <c r="AZ561" s="83">
        <f t="shared" si="897"/>
        <v>0</v>
      </c>
      <c r="BA561" s="52"/>
      <c r="BB561" s="52"/>
      <c r="BC561" s="52"/>
      <c r="BD561" s="52"/>
      <c r="BE561" s="52"/>
      <c r="BF561" s="52"/>
      <c r="BG561" s="52"/>
      <c r="BH561" s="52"/>
      <c r="BI561" s="68">
        <v>0</v>
      </c>
      <c r="BJ561" s="68">
        <v>0</v>
      </c>
      <c r="BK561" s="59">
        <v>0</v>
      </c>
      <c r="BL561" s="59">
        <v>0</v>
      </c>
      <c r="BM561" s="55">
        <v>46054</v>
      </c>
      <c r="BN561" s="55">
        <v>46082</v>
      </c>
      <c r="BO561" s="53">
        <v>0</v>
      </c>
      <c r="BP561" s="53">
        <v>0</v>
      </c>
      <c r="BQ561" s="53">
        <v>0</v>
      </c>
      <c r="BR561" s="85">
        <v>0</v>
      </c>
      <c r="BS561" s="53">
        <v>0.1111111111111111</v>
      </c>
    </row>
    <row r="562" spans="1:71" ht="25.95" hidden="1" customHeight="1" x14ac:dyDescent="0.3">
      <c r="A562" s="70" t="s">
        <v>108</v>
      </c>
      <c r="B562" s="4" t="s">
        <v>109</v>
      </c>
      <c r="C562" s="5" t="s">
        <v>97</v>
      </c>
      <c r="D562" s="5" t="s">
        <v>36</v>
      </c>
      <c r="E562" s="4" t="str" cm="1">
        <f t="array" ref="E562">_xlfn.IFS(
F562 = "A partir de Abril", "Aguardando Execução na Distribuidora",
A562 = "CAPACITAÇÃO", "Em execução no Corporativo",
TRUE, "Em Execução na Distribuidora"
)</f>
        <v>Em Execução na Distribuidora</v>
      </c>
      <c r="F562" s="4" t="str" cm="1">
        <f t="array" ref="F562">_xlfn.IFS(
AG562 &lt;&gt; "", "Jan-Dez/26",
AH562 &lt;&gt; "", "Fev-Dez/26",
AI562 &lt;&gt; "", "Mar-Dez/26", AJ562 &lt;&gt; "", "Abr-Dez/26",
TRUE, "A partir de Junho"
)</f>
        <v>Jan-Dez/26</v>
      </c>
      <c r="G562" s="4" t="s">
        <v>37</v>
      </c>
      <c r="H562" s="7" t="s">
        <v>38</v>
      </c>
      <c r="I562" s="8" t="s">
        <v>113</v>
      </c>
      <c r="J562" s="8" t="str" cm="1">
        <f t="array" aca="1" ref="J562" ca="1">_xlfn.LET(
  _xlpm.actual_value_month, INDEX(T562:AE562, MATCH(DATE(YEAR(TODAY()), MONTH(TODAY()), 1), $T$1:$AE$1, 0)),
  IF(_xlpm.actual_value_month &lt;&gt; "",_xlpm.actual_value_month &amp; " ações mensais", "")
)</f>
        <v/>
      </c>
      <c r="K562" s="8" t="str" cm="1">
        <f t="array" ref="K562">_xlfn.LET(
    _xlpm.sum_month, SUM(T562:AE562),
    IF(_xlpm.sum_month = 0, "", _xlpm.sum_month &amp; " empresas com a prática de controle de telemetria no ano")
)</f>
        <v/>
      </c>
      <c r="L562" s="9" t="s">
        <v>114</v>
      </c>
      <c r="M562" s="13">
        <v>1</v>
      </c>
      <c r="N562" s="5" t="s">
        <v>51</v>
      </c>
      <c r="O562" s="5" t="s">
        <v>52</v>
      </c>
      <c r="P562" s="10" t="s">
        <v>44</v>
      </c>
      <c r="Q562" s="10" t="s">
        <v>44</v>
      </c>
      <c r="R562" s="11" t="s">
        <v>44</v>
      </c>
      <c r="S562" s="11" t="s">
        <v>44</v>
      </c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G562" s="71">
        <v>1</v>
      </c>
      <c r="AH562" s="71">
        <v>1</v>
      </c>
      <c r="AI562" s="71">
        <v>1</v>
      </c>
      <c r="AJ562" s="71">
        <v>1</v>
      </c>
      <c r="AK562" s="71"/>
      <c r="AL562" s="71"/>
      <c r="AM562" s="71"/>
      <c r="AN562" s="71"/>
      <c r="AO562" s="71"/>
      <c r="AP562" s="71"/>
      <c r="AQ562" s="71"/>
      <c r="AR562" s="71"/>
      <c r="AS562" s="94">
        <f ca="1">IF(MONTH(TODAY())=3,SUM(T562:U562),IF(MONTH(TODAY())=4,SUM(T562:V562),IF(MONTH(TODAY())=5,SUM(T562:W562),IF(MONTH(TODAY())=6,SUM(T562:X562),IF(MONTH(TODAY())=7,SUM(T562:Y562),IF(MONTH(TODAY())=8,SUM(T562:Z562),IF(MONTH(TODAY())=9,SUM(T562:AA562),IF(MONTH(TODAY())=10,SUM(T562:AB562),IF(MONTH(TODAY())=11,SUM(T562:AC562),IF(MONTH(TODAY())=12,SUM(T562:AD562),IF(MONTH(TODAY())=1,SUM(T562:AE562),T562)))))))))))</f>
        <v>0</v>
      </c>
      <c r="AT562" s="95">
        <f>SUM(AG562:AR562)</f>
        <v>4</v>
      </c>
      <c r="AU562" s="97">
        <f>SUM(AG562:AR562)</f>
        <v>4</v>
      </c>
      <c r="AW562" s="83">
        <f t="shared" si="885"/>
        <v>1</v>
      </c>
      <c r="AX562" s="83">
        <f t="shared" si="882"/>
        <v>1</v>
      </c>
      <c r="AY562" s="83">
        <f t="shared" si="883"/>
        <v>1</v>
      </c>
      <c r="AZ562" s="83">
        <f t="shared" si="884"/>
        <v>1</v>
      </c>
      <c r="BA562" s="52"/>
      <c r="BB562" s="52"/>
      <c r="BC562" s="52"/>
      <c r="BD562" s="52"/>
      <c r="BE562" s="52"/>
      <c r="BF562" s="52"/>
      <c r="BG562" s="52"/>
      <c r="BH562" s="52"/>
      <c r="BI562" s="68" cm="1">
        <f t="array" ref="BI562">IFERROR(INDEX(AW562:BH562,1,MATCH(2,1/(AW562:BH562&lt;&gt;""))),"")</f>
        <v>1</v>
      </c>
      <c r="BJ562" s="68" cm="1">
        <f t="array" ref="BJ562">IF(BM562 = "", "",IFERROR(INDEX(AW562:BH562,1,MATCH(2,1/(AW562:BH562&lt;&gt;""),1)-1),""))</f>
        <v>1</v>
      </c>
      <c r="BK562" s="59">
        <f>SUM(AW562:BH562)</f>
        <v>4</v>
      </c>
      <c r="BL562" s="59" cm="1">
        <f t="array" ref="BL562">IFERROR(SUM(AW562:INDEX(AW562:BH562, MATCH(2, 1/(AW562:BH562&lt;&gt;""), 1) - 1)),0)</f>
        <v>3</v>
      </c>
      <c r="BM562" s="55" cm="1">
        <f t="array" ref="BM562">IFERROR(
   INDEX($AW$1:$BH$1,
      _xlfn.AGGREGATE(14, 6, COLUMN($AW$1:$BH$1)/(AW562:BH562&lt;&gt;""), 2) - COLUMN($AW$1) + 1
   ),
"")</f>
        <v>46082</v>
      </c>
      <c r="BN562" s="55" cm="1">
        <f t="array" ref="BN562">IFERROR(INDEX($AW$1:$BH$1,1,MATCH(2,1/(AW562:BH562&lt;&gt;""))),"")</f>
        <v>46113</v>
      </c>
      <c r="BO562" s="53">
        <f ca="1">IFERROR(_xlfn.XLOOKUP(F562,Apuração!A:A,Apuração!C:C)/_xlfn.XLOOKUP(F562,Apuração!A:A,Apuração!B:B),0)</f>
        <v>0.41666666666666669</v>
      </c>
      <c r="BP562" s="53">
        <f ca="1">IFERROR(_xlfn.XLOOKUP(F562,Apuração!A:A,Apuração!D:D)/_xlfn.XLOOKUP(F562,Apuração!A:A,Apuração!B:B),0)</f>
        <v>0.33333333333333331</v>
      </c>
      <c r="BQ562" s="53">
        <f ca="1">IF(BK562&gt;=BO562,0,_xlfn.XLOOKUP(F562,Apuração!A:A,Apuração!B:B)*(BO562 + (1/_xlfn.XLOOKUP(F562,Apuração!A:A,Apuração!B:B)) - BK562))</f>
        <v>0</v>
      </c>
      <c r="BR562" s="85">
        <f t="shared" ref="BR562:BR903" ca="1" si="898">IF(BQ562=0,0,BQ562*Z562)</f>
        <v>0</v>
      </c>
      <c r="BS562" s="53">
        <f ca="1">IFERROR((_xlfn.XLOOKUP(F562,Apuração!A:A,Apuração!C:C)+1)/_xlfn.XLOOKUP(F562,Apuração!A:A,Apuração!B:B),0)</f>
        <v>0.5</v>
      </c>
    </row>
    <row r="563" spans="1:71" ht="25.95" hidden="1" customHeight="1" x14ac:dyDescent="0.3">
      <c r="A563" s="70" t="s">
        <v>108</v>
      </c>
      <c r="B563" s="4" t="s">
        <v>109</v>
      </c>
      <c r="C563" s="5" t="s">
        <v>97</v>
      </c>
      <c r="D563" s="5" t="s">
        <v>98</v>
      </c>
      <c r="E563" s="4" t="str" cm="1">
        <f t="array" ref="E563">_xlfn.IFS(
F563 = "A partir de Abril", "Aguardando Execução na Distribuidora",
A563 = "CAPACITAÇÃO", "Em execução no Corporativo",
TRUE, "Em Execução na Distribuidora"
)</f>
        <v>Em Execução na Distribuidora</v>
      </c>
      <c r="F563" s="4" t="str" cm="1">
        <f t="array" ref="F563">_xlfn.IFS(
AG563 &lt;&gt; "", "Jan-Dez/26",
AH563 &lt;&gt; "", "Fev-Dez/26",
AI563 &lt;&gt; "", "Mar-Dez/26", AJ563 &lt;&gt; "", "Abr-Dez/26",
TRUE, "A partir de Junho"
)</f>
        <v>A partir de Junho</v>
      </c>
      <c r="G563" s="4" t="s">
        <v>37</v>
      </c>
      <c r="H563" s="7" t="s">
        <v>38</v>
      </c>
      <c r="I563" s="8" t="s">
        <v>113</v>
      </c>
      <c r="J563" s="8" t="str" cm="1">
        <f t="array" aca="1" ref="J563" ca="1">_xlfn.LET(
  _xlpm.actual_value_month, INDEX(T563:AE563, MATCH(DATE(YEAR(TODAY()), MONTH(TODAY()), 1), $T$1:$AE$1, 0)),
  IF(_xlpm.actual_value_month &lt;&gt; "",_xlpm.actual_value_month &amp; " ações mensais", "")
)</f>
        <v/>
      </c>
      <c r="K563" s="8" t="str" cm="1">
        <f t="array" ref="K563">_xlfn.LET(
    _xlpm.sum_month, SUM(T563:AE563),
    IF(_xlpm.sum_month = 0, "", _xlpm.sum_month &amp; " empresas com a prática de controle de telemetria no ano")
)</f>
        <v/>
      </c>
      <c r="L563" s="9" t="s">
        <v>114</v>
      </c>
      <c r="M563" s="13">
        <v>1</v>
      </c>
      <c r="N563" s="5" t="s">
        <v>51</v>
      </c>
      <c r="O563" s="5" t="s">
        <v>52</v>
      </c>
      <c r="P563" s="10" t="s">
        <v>44</v>
      </c>
      <c r="Q563" s="10" t="s">
        <v>44</v>
      </c>
      <c r="R563" s="11" t="s">
        <v>44</v>
      </c>
      <c r="S563" s="11" t="s">
        <v>44</v>
      </c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G563" s="71"/>
      <c r="AH563" s="71"/>
      <c r="AI563" s="71"/>
      <c r="AJ563" s="71"/>
      <c r="AK563" s="71"/>
      <c r="AL563" s="71"/>
      <c r="AM563" s="71"/>
      <c r="AN563" s="71"/>
      <c r="AO563" s="71"/>
      <c r="AP563" s="71"/>
      <c r="AQ563" s="71"/>
      <c r="AR563" s="71"/>
      <c r="AS563" s="94">
        <f t="shared" ref="AS563:AS572" ca="1" si="899">IF(MONTH(TODAY())=3,SUM(T563:U563),IF(MONTH(TODAY())=4,SUM(T563:V563),IF(MONTH(TODAY())=5,SUM(T563:W563),IF(MONTH(TODAY())=6,SUM(T563:X563),IF(MONTH(TODAY())=7,SUM(T563:Y563),IF(MONTH(TODAY())=8,SUM(T563:Z563),IF(MONTH(TODAY())=9,SUM(T563:AA563),IF(MONTH(TODAY())=10,SUM(T563:AB563),IF(MONTH(TODAY())=11,SUM(T563:AC563),IF(MONTH(TODAY())=12,SUM(T563:AD563),IF(MONTH(TODAY())=1,SUM(T563:AE563),T563)))))))))))</f>
        <v>0</v>
      </c>
      <c r="AT563" s="95">
        <f t="shared" ref="AT563:AT572" si="900">SUM(AG563:AR563)</f>
        <v>0</v>
      </c>
      <c r="AU563" s="97">
        <f t="shared" ref="AU563:AU572" si="901">SUM(AG563:AR563)</f>
        <v>0</v>
      </c>
      <c r="AW563" s="83">
        <f t="shared" ref="AW563:AW572" si="902">AG563</f>
        <v>0</v>
      </c>
      <c r="AX563" s="83">
        <f t="shared" ref="AX563:AX572" si="903">AH563</f>
        <v>0</v>
      </c>
      <c r="AY563" s="83">
        <f t="shared" ref="AY563:AY572" si="904">AI563</f>
        <v>0</v>
      </c>
      <c r="AZ563" s="83">
        <f t="shared" ref="AZ563:AZ572" si="905">AJ563</f>
        <v>0</v>
      </c>
      <c r="BA563" s="52"/>
      <c r="BB563" s="52"/>
      <c r="BC563" s="52"/>
      <c r="BD563" s="52"/>
      <c r="BE563" s="52"/>
      <c r="BF563" s="52"/>
      <c r="BG563" s="52"/>
      <c r="BH563" s="52"/>
      <c r="BI563" s="68" cm="1">
        <f t="array" ref="BI563">IFERROR(INDEX(AW563:BH563,1,MATCH(2,1/(AW563:BH563&lt;&gt;""))),"")</f>
        <v>0</v>
      </c>
      <c r="BJ563" s="68" cm="1">
        <f t="array" ref="BJ563">IF(BM563 = "", "",IFERROR(INDEX(AW563:BH563,1,MATCH(2,1/(AW563:BH563&lt;&gt;""),1)-1),""))</f>
        <v>0</v>
      </c>
      <c r="BK563" s="59">
        <f t="shared" ref="BK563:BK572" si="906">SUM(AW563:BH563)</f>
        <v>0</v>
      </c>
      <c r="BL563" s="59" cm="1">
        <f t="array" ref="BL563">IFERROR(SUM(AW563:INDEX(AW563:BH563, MATCH(2, 1/(AW563:BH563&lt;&gt;""), 1) - 1)),0)</f>
        <v>0</v>
      </c>
      <c r="BM563" s="55" cm="1">
        <f t="array" ref="BM563">IFERROR(
   INDEX($AW$1:$BH$1,
      _xlfn.AGGREGATE(14, 6, COLUMN($AW$1:$BH$1)/(AW563:BH563&lt;&gt;""), 2) - COLUMN($AW$1) + 1
   ),
"")</f>
        <v>46082</v>
      </c>
      <c r="BN563" s="55" cm="1">
        <f t="array" ref="BN563">IFERROR(INDEX($AW$1:$BH$1,1,MATCH(2,1/(AW563:BH563&lt;&gt;""))),"")</f>
        <v>46113</v>
      </c>
      <c r="BO563" s="53">
        <f ca="1">IFERROR(_xlfn.XLOOKUP(F563,Apuração!A:A,Apuração!C:C)/_xlfn.XLOOKUP(F563,Apuração!A:A,Apuração!B:B),0)</f>
        <v>0</v>
      </c>
      <c r="BP563" s="53">
        <f ca="1">IFERROR(_xlfn.XLOOKUP(F563,Apuração!A:A,Apuração!D:D)/_xlfn.XLOOKUP(F563,Apuração!A:A,Apuração!B:B),0)</f>
        <v>0</v>
      </c>
      <c r="BQ563" s="53">
        <f ca="1">IF(BK563&gt;=BO563,0,_xlfn.XLOOKUP(F563,Apuração!A:A,Apuração!B:B)*(BO563 + (1/_xlfn.XLOOKUP(F563,Apuração!A:A,Apuração!B:B)) - BK563))</f>
        <v>0</v>
      </c>
      <c r="BR563" s="85">
        <f t="shared" ref="BR563:BR572" ca="1" si="907">IF(BQ563=0,0,BQ563*Z563)</f>
        <v>0</v>
      </c>
      <c r="BS563" s="53">
        <f ca="1">IFERROR((_xlfn.XLOOKUP(F563,Apuração!A:A,Apuração!C:C)+1)/_xlfn.XLOOKUP(F563,Apuração!A:A,Apuração!B:B),0)</f>
        <v>0.14285714285714285</v>
      </c>
    </row>
    <row r="564" spans="1:71" ht="25.95" hidden="1" customHeight="1" x14ac:dyDescent="0.3">
      <c r="A564" s="70" t="s">
        <v>108</v>
      </c>
      <c r="B564" s="4" t="s">
        <v>109</v>
      </c>
      <c r="C564" s="5" t="s">
        <v>97</v>
      </c>
      <c r="D564" s="5" t="s">
        <v>99</v>
      </c>
      <c r="E564" s="4" t="str" cm="1">
        <f t="array" ref="E564">_xlfn.IFS(
F564 = "A partir de Abril", "Aguardando Execução na Distribuidora",
A564 = "CAPACITAÇÃO", "Em execução no Corporativo",
TRUE, "Em Execução na Distribuidora"
)</f>
        <v>Em Execução na Distribuidora</v>
      </c>
      <c r="F564" s="4" t="str" cm="1">
        <f t="array" ref="F564">_xlfn.IFS(
AG564 &lt;&gt; "", "Jan-Dez/26",
AH564 &lt;&gt; "", "Fev-Dez/26",
AI564 &lt;&gt; "", "Mar-Dez/26", AJ564 &lt;&gt; "", "Abr-Dez/26",
TRUE, "A partir de Junho"
)</f>
        <v>A partir de Junho</v>
      </c>
      <c r="G564" s="4" t="s">
        <v>37</v>
      </c>
      <c r="H564" s="7" t="s">
        <v>38</v>
      </c>
      <c r="I564" s="8" t="s">
        <v>113</v>
      </c>
      <c r="J564" s="8" t="str" cm="1">
        <f t="array" aca="1" ref="J564" ca="1">_xlfn.LET(
  _xlpm.actual_value_month, INDEX(T564:AE564, MATCH(DATE(YEAR(TODAY()), MONTH(TODAY()), 1), $T$1:$AE$1, 0)),
  IF(_xlpm.actual_value_month &lt;&gt; "",_xlpm.actual_value_month &amp; " ações mensais", "")
)</f>
        <v/>
      </c>
      <c r="K564" s="8" t="str" cm="1">
        <f t="array" ref="K564">_xlfn.LET(
    _xlpm.sum_month, SUM(T564:AE564),
    IF(_xlpm.sum_month = 0, "", _xlpm.sum_month &amp; " empresas com a prática de controle de telemetria no ano")
)</f>
        <v/>
      </c>
      <c r="L564" s="9" t="s">
        <v>114</v>
      </c>
      <c r="M564" s="13">
        <v>1</v>
      </c>
      <c r="N564" s="5" t="s">
        <v>51</v>
      </c>
      <c r="O564" s="5" t="s">
        <v>52</v>
      </c>
      <c r="P564" s="10" t="s">
        <v>44</v>
      </c>
      <c r="Q564" s="10" t="s">
        <v>44</v>
      </c>
      <c r="R564" s="11" t="s">
        <v>44</v>
      </c>
      <c r="S564" s="11" t="s">
        <v>44</v>
      </c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G564" s="71"/>
      <c r="AH564" s="71"/>
      <c r="AI564" s="71"/>
      <c r="AJ564" s="71"/>
      <c r="AK564" s="71"/>
      <c r="AL564" s="71"/>
      <c r="AM564" s="71"/>
      <c r="AN564" s="71"/>
      <c r="AO564" s="71"/>
      <c r="AP564" s="71"/>
      <c r="AQ564" s="71"/>
      <c r="AR564" s="71"/>
      <c r="AS564" s="94">
        <f t="shared" ca="1" si="899"/>
        <v>0</v>
      </c>
      <c r="AT564" s="95">
        <f t="shared" si="900"/>
        <v>0</v>
      </c>
      <c r="AU564" s="97">
        <f t="shared" si="901"/>
        <v>0</v>
      </c>
      <c r="AW564" s="83">
        <f t="shared" si="902"/>
        <v>0</v>
      </c>
      <c r="AX564" s="83">
        <f t="shared" si="903"/>
        <v>0</v>
      </c>
      <c r="AY564" s="83">
        <f t="shared" si="904"/>
        <v>0</v>
      </c>
      <c r="AZ564" s="83">
        <f t="shared" si="905"/>
        <v>0</v>
      </c>
      <c r="BA564" s="52"/>
      <c r="BB564" s="52"/>
      <c r="BC564" s="52"/>
      <c r="BD564" s="52"/>
      <c r="BE564" s="52"/>
      <c r="BF564" s="52"/>
      <c r="BG564" s="52"/>
      <c r="BH564" s="52"/>
      <c r="BI564" s="68" cm="1">
        <f t="array" ref="BI564">IFERROR(INDEX(AW564:BH564,1,MATCH(2,1/(AW564:BH564&lt;&gt;""))),"")</f>
        <v>0</v>
      </c>
      <c r="BJ564" s="68" cm="1">
        <f t="array" ref="BJ564">IF(BM564 = "", "",IFERROR(INDEX(AW564:BH564,1,MATCH(2,1/(AW564:BH564&lt;&gt;""),1)-1),""))</f>
        <v>0</v>
      </c>
      <c r="BK564" s="59">
        <f t="shared" si="906"/>
        <v>0</v>
      </c>
      <c r="BL564" s="59" cm="1">
        <f t="array" ref="BL564">IFERROR(SUM(AW564:INDEX(AW564:BH564, MATCH(2, 1/(AW564:BH564&lt;&gt;""), 1) - 1)),0)</f>
        <v>0</v>
      </c>
      <c r="BM564" s="55" cm="1">
        <f t="array" ref="BM564">IFERROR(
   INDEX($AW$1:$BH$1,
      _xlfn.AGGREGATE(14, 6, COLUMN($AW$1:$BH$1)/(AW564:BH564&lt;&gt;""), 2) - COLUMN($AW$1) + 1
   ),
"")</f>
        <v>46082</v>
      </c>
      <c r="BN564" s="55" cm="1">
        <f t="array" ref="BN564">IFERROR(INDEX($AW$1:$BH$1,1,MATCH(2,1/(AW564:BH564&lt;&gt;""))),"")</f>
        <v>46113</v>
      </c>
      <c r="BO564" s="53">
        <f ca="1">IFERROR(_xlfn.XLOOKUP(F564,Apuração!A:A,Apuração!C:C)/_xlfn.XLOOKUP(F564,Apuração!A:A,Apuração!B:B),0)</f>
        <v>0</v>
      </c>
      <c r="BP564" s="53">
        <f ca="1">IFERROR(_xlfn.XLOOKUP(F564,Apuração!A:A,Apuração!D:D)/_xlfn.XLOOKUP(F564,Apuração!A:A,Apuração!B:B),0)</f>
        <v>0</v>
      </c>
      <c r="BQ564" s="53">
        <f ca="1">IF(BK564&gt;=BO564,0,_xlfn.XLOOKUP(F564,Apuração!A:A,Apuração!B:B)*(BO564 + (1/_xlfn.XLOOKUP(F564,Apuração!A:A,Apuração!B:B)) - BK564))</f>
        <v>0</v>
      </c>
      <c r="BR564" s="85">
        <f t="shared" ca="1" si="907"/>
        <v>0</v>
      </c>
      <c r="BS564" s="53">
        <f ca="1">IFERROR((_xlfn.XLOOKUP(F564,Apuração!A:A,Apuração!C:C)+1)/_xlfn.XLOOKUP(F564,Apuração!A:A,Apuração!B:B),0)</f>
        <v>0.14285714285714285</v>
      </c>
    </row>
    <row r="565" spans="1:71" ht="25.95" hidden="1" customHeight="1" x14ac:dyDescent="0.3">
      <c r="A565" s="70" t="s">
        <v>108</v>
      </c>
      <c r="B565" s="4" t="s">
        <v>109</v>
      </c>
      <c r="C565" s="5" t="s">
        <v>97</v>
      </c>
      <c r="D565" s="5" t="s">
        <v>100</v>
      </c>
      <c r="E565" s="4" t="str" cm="1">
        <f t="array" ref="E565">_xlfn.IFS(
F565 = "A partir de Abril", "Aguardando Execução na Distribuidora",
A565 = "CAPACITAÇÃO", "Em execução no Corporativo",
TRUE, "Em Execução na Distribuidora"
)</f>
        <v>Em Execução na Distribuidora</v>
      </c>
      <c r="F565" s="4" t="str" cm="1">
        <f t="array" ref="F565">_xlfn.IFS(
AG565 &lt;&gt; "", "Jan-Dez/26",
AH565 &lt;&gt; "", "Fev-Dez/26",
AI565 &lt;&gt; "", "Mar-Dez/26", AJ565 &lt;&gt; "", "Abr-Dez/26",
TRUE, "A partir de Junho"
)</f>
        <v>A partir de Junho</v>
      </c>
      <c r="G565" s="4" t="s">
        <v>37</v>
      </c>
      <c r="H565" s="7" t="s">
        <v>38</v>
      </c>
      <c r="I565" s="8" t="s">
        <v>113</v>
      </c>
      <c r="J565" s="8" t="str" cm="1">
        <f t="array" aca="1" ref="J565" ca="1">_xlfn.LET(
  _xlpm.actual_value_month, INDEX(T565:AE565, MATCH(DATE(YEAR(TODAY()), MONTH(TODAY()), 1), $T$1:$AE$1, 0)),
  IF(_xlpm.actual_value_month &lt;&gt; "",_xlpm.actual_value_month &amp; " ações mensais", "")
)</f>
        <v/>
      </c>
      <c r="K565" s="8" t="str" cm="1">
        <f t="array" ref="K565">_xlfn.LET(
    _xlpm.sum_month, SUM(T565:AE565),
    IF(_xlpm.sum_month = 0, "", _xlpm.sum_month &amp; " empresas com a prática de controle de telemetria no ano")
)</f>
        <v/>
      </c>
      <c r="L565" s="9" t="s">
        <v>114</v>
      </c>
      <c r="M565" s="13">
        <v>1</v>
      </c>
      <c r="N565" s="5" t="s">
        <v>51</v>
      </c>
      <c r="O565" s="5" t="s">
        <v>52</v>
      </c>
      <c r="P565" s="10" t="s">
        <v>44</v>
      </c>
      <c r="Q565" s="10" t="s">
        <v>44</v>
      </c>
      <c r="R565" s="11" t="s">
        <v>44</v>
      </c>
      <c r="S565" s="11" t="s">
        <v>44</v>
      </c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G565" s="71"/>
      <c r="AH565" s="71"/>
      <c r="AI565" s="71"/>
      <c r="AJ565" s="71"/>
      <c r="AK565" s="71"/>
      <c r="AL565" s="71"/>
      <c r="AM565" s="71"/>
      <c r="AN565" s="71"/>
      <c r="AO565" s="71"/>
      <c r="AP565" s="71"/>
      <c r="AQ565" s="71"/>
      <c r="AR565" s="71"/>
      <c r="AS565" s="94">
        <f t="shared" ca="1" si="899"/>
        <v>0</v>
      </c>
      <c r="AT565" s="95">
        <f t="shared" si="900"/>
        <v>0</v>
      </c>
      <c r="AU565" s="97">
        <f t="shared" si="901"/>
        <v>0</v>
      </c>
      <c r="AW565" s="83">
        <f t="shared" si="902"/>
        <v>0</v>
      </c>
      <c r="AX565" s="83">
        <f t="shared" si="903"/>
        <v>0</v>
      </c>
      <c r="AY565" s="83">
        <f t="shared" si="904"/>
        <v>0</v>
      </c>
      <c r="AZ565" s="83">
        <f t="shared" si="905"/>
        <v>0</v>
      </c>
      <c r="BA565" s="52"/>
      <c r="BB565" s="52"/>
      <c r="BC565" s="52"/>
      <c r="BD565" s="52"/>
      <c r="BE565" s="52"/>
      <c r="BF565" s="52"/>
      <c r="BG565" s="52"/>
      <c r="BH565" s="52"/>
      <c r="BI565" s="68" cm="1">
        <f t="array" ref="BI565">IFERROR(INDEX(AW565:BH565,1,MATCH(2,1/(AW565:BH565&lt;&gt;""))),"")</f>
        <v>0</v>
      </c>
      <c r="BJ565" s="68" cm="1">
        <f t="array" ref="BJ565">IF(BM565 = "", "",IFERROR(INDEX(AW565:BH565,1,MATCH(2,1/(AW565:BH565&lt;&gt;""),1)-1),""))</f>
        <v>0</v>
      </c>
      <c r="BK565" s="59">
        <f t="shared" si="906"/>
        <v>0</v>
      </c>
      <c r="BL565" s="59" cm="1">
        <f t="array" ref="BL565">IFERROR(SUM(AW565:INDEX(AW565:BH565, MATCH(2, 1/(AW565:BH565&lt;&gt;""), 1) - 1)),0)</f>
        <v>0</v>
      </c>
      <c r="BM565" s="55" cm="1">
        <f t="array" ref="BM565">IFERROR(
   INDEX($AW$1:$BH$1,
      _xlfn.AGGREGATE(14, 6, COLUMN($AW$1:$BH$1)/(AW565:BH565&lt;&gt;""), 2) - COLUMN($AW$1) + 1
   ),
"")</f>
        <v>46082</v>
      </c>
      <c r="BN565" s="55" cm="1">
        <f t="array" ref="BN565">IFERROR(INDEX($AW$1:$BH$1,1,MATCH(2,1/(AW565:BH565&lt;&gt;""))),"")</f>
        <v>46113</v>
      </c>
      <c r="BO565" s="53">
        <f ca="1">IFERROR(_xlfn.XLOOKUP(F565,Apuração!A:A,Apuração!C:C)/_xlfn.XLOOKUP(F565,Apuração!A:A,Apuração!B:B),0)</f>
        <v>0</v>
      </c>
      <c r="BP565" s="53">
        <f ca="1">IFERROR(_xlfn.XLOOKUP(F565,Apuração!A:A,Apuração!D:D)/_xlfn.XLOOKUP(F565,Apuração!A:A,Apuração!B:B),0)</f>
        <v>0</v>
      </c>
      <c r="BQ565" s="53">
        <f ca="1">IF(BK565&gt;=BO565,0,_xlfn.XLOOKUP(F565,Apuração!A:A,Apuração!B:B)*(BO565 + (1/_xlfn.XLOOKUP(F565,Apuração!A:A,Apuração!B:B)) - BK565))</f>
        <v>0</v>
      </c>
      <c r="BR565" s="85">
        <f t="shared" ca="1" si="907"/>
        <v>0</v>
      </c>
      <c r="BS565" s="53">
        <f ca="1">IFERROR((_xlfn.XLOOKUP(F565,Apuração!A:A,Apuração!C:C)+1)/_xlfn.XLOOKUP(F565,Apuração!A:A,Apuração!B:B),0)</f>
        <v>0.14285714285714285</v>
      </c>
    </row>
    <row r="566" spans="1:71" ht="25.95" hidden="1" customHeight="1" x14ac:dyDescent="0.3">
      <c r="A566" s="70" t="s">
        <v>108</v>
      </c>
      <c r="B566" s="4" t="s">
        <v>109</v>
      </c>
      <c r="C566" s="5" t="s">
        <v>97</v>
      </c>
      <c r="D566" s="5" t="s">
        <v>101</v>
      </c>
      <c r="E566" s="4" t="str" cm="1">
        <f t="array" ref="E566">_xlfn.IFS(
F566 = "A partir de Abril", "Aguardando Execução na Distribuidora",
A566 = "CAPACITAÇÃO", "Em execução no Corporativo",
TRUE, "Em Execução na Distribuidora"
)</f>
        <v>Em Execução na Distribuidora</v>
      </c>
      <c r="F566" s="4" t="str" cm="1">
        <f t="array" ref="F566">_xlfn.IFS(
AG566 &lt;&gt; "", "Jan-Dez/26",
AH566 &lt;&gt; "", "Fev-Dez/26",
AI566 &lt;&gt; "", "Mar-Dez/26", AJ566 &lt;&gt; "", "Abr-Dez/26",
TRUE, "A partir de Junho"
)</f>
        <v>A partir de Junho</v>
      </c>
      <c r="G566" s="4" t="s">
        <v>37</v>
      </c>
      <c r="H566" s="7" t="s">
        <v>38</v>
      </c>
      <c r="I566" s="8" t="s">
        <v>113</v>
      </c>
      <c r="J566" s="8" t="str" cm="1">
        <f t="array" aca="1" ref="J566" ca="1">_xlfn.LET(
  _xlpm.actual_value_month, INDEX(T566:AE566, MATCH(DATE(YEAR(TODAY()), MONTH(TODAY()), 1), $T$1:$AE$1, 0)),
  IF(_xlpm.actual_value_month &lt;&gt; "",_xlpm.actual_value_month &amp; " ações mensais", "")
)</f>
        <v/>
      </c>
      <c r="K566" s="8" t="str" cm="1">
        <f t="array" ref="K566">_xlfn.LET(
    _xlpm.sum_month, SUM(T566:AE566),
    IF(_xlpm.sum_month = 0, "", _xlpm.sum_month &amp; " empresas com a prática de controle de telemetria no ano")
)</f>
        <v/>
      </c>
      <c r="L566" s="9" t="s">
        <v>114</v>
      </c>
      <c r="M566" s="13">
        <v>1</v>
      </c>
      <c r="N566" s="5" t="s">
        <v>51</v>
      </c>
      <c r="O566" s="5" t="s">
        <v>52</v>
      </c>
      <c r="P566" s="10" t="s">
        <v>44</v>
      </c>
      <c r="Q566" s="10" t="s">
        <v>44</v>
      </c>
      <c r="R566" s="11" t="s">
        <v>44</v>
      </c>
      <c r="S566" s="11" t="s">
        <v>44</v>
      </c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G566" s="71"/>
      <c r="AH566" s="71"/>
      <c r="AI566" s="71"/>
      <c r="AJ566" s="71"/>
      <c r="AK566" s="71"/>
      <c r="AL566" s="71"/>
      <c r="AM566" s="71"/>
      <c r="AN566" s="71"/>
      <c r="AO566" s="71"/>
      <c r="AP566" s="71"/>
      <c r="AQ566" s="71"/>
      <c r="AR566" s="71"/>
      <c r="AS566" s="94">
        <f t="shared" ca="1" si="899"/>
        <v>0</v>
      </c>
      <c r="AT566" s="95">
        <f t="shared" si="900"/>
        <v>0</v>
      </c>
      <c r="AU566" s="97">
        <f t="shared" si="901"/>
        <v>0</v>
      </c>
      <c r="AW566" s="83">
        <f t="shared" si="902"/>
        <v>0</v>
      </c>
      <c r="AX566" s="83">
        <f t="shared" si="903"/>
        <v>0</v>
      </c>
      <c r="AY566" s="83">
        <f t="shared" si="904"/>
        <v>0</v>
      </c>
      <c r="AZ566" s="83">
        <f t="shared" si="905"/>
        <v>0</v>
      </c>
      <c r="BA566" s="52"/>
      <c r="BB566" s="52"/>
      <c r="BC566" s="52"/>
      <c r="BD566" s="52"/>
      <c r="BE566" s="52"/>
      <c r="BF566" s="52"/>
      <c r="BG566" s="52"/>
      <c r="BH566" s="52"/>
      <c r="BI566" s="68" cm="1">
        <f t="array" ref="BI566">IFERROR(INDEX(AW566:BH566,1,MATCH(2,1/(AW566:BH566&lt;&gt;""))),"")</f>
        <v>0</v>
      </c>
      <c r="BJ566" s="68" cm="1">
        <f t="array" ref="BJ566">IF(BM566 = "", "",IFERROR(INDEX(AW566:BH566,1,MATCH(2,1/(AW566:BH566&lt;&gt;""),1)-1),""))</f>
        <v>0</v>
      </c>
      <c r="BK566" s="59">
        <f t="shared" si="906"/>
        <v>0</v>
      </c>
      <c r="BL566" s="59" cm="1">
        <f t="array" ref="BL566">IFERROR(SUM(AW566:INDEX(AW566:BH566, MATCH(2, 1/(AW566:BH566&lt;&gt;""), 1) - 1)),0)</f>
        <v>0</v>
      </c>
      <c r="BM566" s="55" cm="1">
        <f t="array" ref="BM566">IFERROR(
   INDEX($AW$1:$BH$1,
      _xlfn.AGGREGATE(14, 6, COLUMN($AW$1:$BH$1)/(AW566:BH566&lt;&gt;""), 2) - COLUMN($AW$1) + 1
   ),
"")</f>
        <v>46082</v>
      </c>
      <c r="BN566" s="55" cm="1">
        <f t="array" ref="BN566">IFERROR(INDEX($AW$1:$BH$1,1,MATCH(2,1/(AW566:BH566&lt;&gt;""))),"")</f>
        <v>46113</v>
      </c>
      <c r="BO566" s="53">
        <f ca="1">IFERROR(_xlfn.XLOOKUP(F566,Apuração!A:A,Apuração!C:C)/_xlfn.XLOOKUP(F566,Apuração!A:A,Apuração!B:B),0)</f>
        <v>0</v>
      </c>
      <c r="BP566" s="53">
        <f ca="1">IFERROR(_xlfn.XLOOKUP(F566,Apuração!A:A,Apuração!D:D)/_xlfn.XLOOKUP(F566,Apuração!A:A,Apuração!B:B),0)</f>
        <v>0</v>
      </c>
      <c r="BQ566" s="53">
        <f ca="1">IF(BK566&gt;=BO566,0,_xlfn.XLOOKUP(F566,Apuração!A:A,Apuração!B:B)*(BO566 + (1/_xlfn.XLOOKUP(F566,Apuração!A:A,Apuração!B:B)) - BK566))</f>
        <v>0</v>
      </c>
      <c r="BR566" s="85">
        <f t="shared" ca="1" si="907"/>
        <v>0</v>
      </c>
      <c r="BS566" s="53">
        <f ca="1">IFERROR((_xlfn.XLOOKUP(F566,Apuração!A:A,Apuração!C:C)+1)/_xlfn.XLOOKUP(F566,Apuração!A:A,Apuração!B:B),0)</f>
        <v>0.14285714285714285</v>
      </c>
    </row>
    <row r="567" spans="1:71" ht="25.95" hidden="1" customHeight="1" x14ac:dyDescent="0.3">
      <c r="A567" s="70" t="s">
        <v>108</v>
      </c>
      <c r="B567" s="4" t="s">
        <v>109</v>
      </c>
      <c r="C567" s="5" t="s">
        <v>97</v>
      </c>
      <c r="D567" s="5" t="s">
        <v>102</v>
      </c>
      <c r="E567" s="4" t="str" cm="1">
        <f t="array" ref="E567">_xlfn.IFS(
F567 = "A partir de Abril", "Aguardando Execução na Distribuidora",
A567 = "CAPACITAÇÃO", "Em execução no Corporativo",
TRUE, "Em Execução na Distribuidora"
)</f>
        <v>Em Execução na Distribuidora</v>
      </c>
      <c r="F567" s="4" t="str" cm="1">
        <f t="array" ref="F567">_xlfn.IFS(
AG567 &lt;&gt; "", "Jan-Dez/26",
AH567 &lt;&gt; "", "Fev-Dez/26",
AI567 &lt;&gt; "", "Mar-Dez/26", AJ567 &lt;&gt; "", "Abr-Dez/26",
TRUE, "A partir de Junho"
)</f>
        <v>A partir de Junho</v>
      </c>
      <c r="G567" s="4" t="s">
        <v>37</v>
      </c>
      <c r="H567" s="7" t="s">
        <v>38</v>
      </c>
      <c r="I567" s="8" t="s">
        <v>113</v>
      </c>
      <c r="J567" s="8" t="str" cm="1">
        <f t="array" aca="1" ref="J567" ca="1">_xlfn.LET(
  _xlpm.actual_value_month, INDEX(T567:AE567, MATCH(DATE(YEAR(TODAY()), MONTH(TODAY()), 1), $T$1:$AE$1, 0)),
  IF(_xlpm.actual_value_month &lt;&gt; "",_xlpm.actual_value_month &amp; " ações mensais", "")
)</f>
        <v/>
      </c>
      <c r="K567" s="8" t="str" cm="1">
        <f t="array" ref="K567">_xlfn.LET(
    _xlpm.sum_month, SUM(T567:AE567),
    IF(_xlpm.sum_month = 0, "", _xlpm.sum_month &amp; " empresas com a prática de controle de telemetria no ano")
)</f>
        <v/>
      </c>
      <c r="L567" s="9" t="s">
        <v>114</v>
      </c>
      <c r="M567" s="13">
        <v>1</v>
      </c>
      <c r="N567" s="5" t="s">
        <v>51</v>
      </c>
      <c r="O567" s="5" t="s">
        <v>52</v>
      </c>
      <c r="P567" s="10" t="s">
        <v>44</v>
      </c>
      <c r="Q567" s="10" t="s">
        <v>44</v>
      </c>
      <c r="R567" s="11" t="s">
        <v>44</v>
      </c>
      <c r="S567" s="11" t="s">
        <v>44</v>
      </c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G567" s="71"/>
      <c r="AH567" s="71"/>
      <c r="AI567" s="71"/>
      <c r="AJ567" s="71"/>
      <c r="AK567" s="71"/>
      <c r="AL567" s="71"/>
      <c r="AM567" s="71"/>
      <c r="AN567" s="71"/>
      <c r="AO567" s="71"/>
      <c r="AP567" s="71"/>
      <c r="AQ567" s="71"/>
      <c r="AR567" s="71"/>
      <c r="AS567" s="94">
        <f t="shared" ca="1" si="899"/>
        <v>0</v>
      </c>
      <c r="AT567" s="95">
        <f t="shared" si="900"/>
        <v>0</v>
      </c>
      <c r="AU567" s="97">
        <f t="shared" si="901"/>
        <v>0</v>
      </c>
      <c r="AW567" s="83">
        <f t="shared" si="902"/>
        <v>0</v>
      </c>
      <c r="AX567" s="83">
        <f t="shared" si="903"/>
        <v>0</v>
      </c>
      <c r="AY567" s="83">
        <f t="shared" si="904"/>
        <v>0</v>
      </c>
      <c r="AZ567" s="83">
        <f t="shared" si="905"/>
        <v>0</v>
      </c>
      <c r="BA567" s="52"/>
      <c r="BB567" s="52"/>
      <c r="BC567" s="52"/>
      <c r="BD567" s="52"/>
      <c r="BE567" s="52"/>
      <c r="BF567" s="52"/>
      <c r="BG567" s="52"/>
      <c r="BH567" s="52"/>
      <c r="BI567" s="68" cm="1">
        <f t="array" ref="BI567">IFERROR(INDEX(AW567:BH567,1,MATCH(2,1/(AW567:BH567&lt;&gt;""))),"")</f>
        <v>0</v>
      </c>
      <c r="BJ567" s="68" cm="1">
        <f t="array" ref="BJ567">IF(BM567 = "", "",IFERROR(INDEX(AW567:BH567,1,MATCH(2,1/(AW567:BH567&lt;&gt;""),1)-1),""))</f>
        <v>0</v>
      </c>
      <c r="BK567" s="59">
        <f t="shared" si="906"/>
        <v>0</v>
      </c>
      <c r="BL567" s="59" cm="1">
        <f t="array" ref="BL567">IFERROR(SUM(AW567:INDEX(AW567:BH567, MATCH(2, 1/(AW567:BH567&lt;&gt;""), 1) - 1)),0)</f>
        <v>0</v>
      </c>
      <c r="BM567" s="55" cm="1">
        <f t="array" ref="BM567">IFERROR(
   INDEX($AW$1:$BH$1,
      _xlfn.AGGREGATE(14, 6, COLUMN($AW$1:$BH$1)/(AW567:BH567&lt;&gt;""), 2) - COLUMN($AW$1) + 1
   ),
"")</f>
        <v>46082</v>
      </c>
      <c r="BN567" s="55" cm="1">
        <f t="array" ref="BN567">IFERROR(INDEX($AW$1:$BH$1,1,MATCH(2,1/(AW567:BH567&lt;&gt;""))),"")</f>
        <v>46113</v>
      </c>
      <c r="BO567" s="53">
        <f ca="1">IFERROR(_xlfn.XLOOKUP(F567,Apuração!A:A,Apuração!C:C)/_xlfn.XLOOKUP(F567,Apuração!A:A,Apuração!B:B),0)</f>
        <v>0</v>
      </c>
      <c r="BP567" s="53">
        <f ca="1">IFERROR(_xlfn.XLOOKUP(F567,Apuração!A:A,Apuração!D:D)/_xlfn.XLOOKUP(F567,Apuração!A:A,Apuração!B:B),0)</f>
        <v>0</v>
      </c>
      <c r="BQ567" s="53">
        <f ca="1">IF(BK567&gt;=BO567,0,_xlfn.XLOOKUP(F567,Apuração!A:A,Apuração!B:B)*(BO567 + (1/_xlfn.XLOOKUP(F567,Apuração!A:A,Apuração!B:B)) - BK567))</f>
        <v>0</v>
      </c>
      <c r="BR567" s="85">
        <f t="shared" ca="1" si="907"/>
        <v>0</v>
      </c>
      <c r="BS567" s="53">
        <f ca="1">IFERROR((_xlfn.XLOOKUP(F567,Apuração!A:A,Apuração!C:C)+1)/_xlfn.XLOOKUP(F567,Apuração!A:A,Apuração!B:B),0)</f>
        <v>0.14285714285714285</v>
      </c>
    </row>
    <row r="568" spans="1:71" ht="25.95" hidden="1" customHeight="1" x14ac:dyDescent="0.3">
      <c r="A568" s="70" t="s">
        <v>108</v>
      </c>
      <c r="B568" s="4" t="s">
        <v>109</v>
      </c>
      <c r="C568" s="5" t="s">
        <v>97</v>
      </c>
      <c r="D568" s="5" t="s">
        <v>103</v>
      </c>
      <c r="E568" s="4" t="str" cm="1">
        <f t="array" ref="E568">_xlfn.IFS(
F568 = "A partir de Abril", "Aguardando Execução na Distribuidora",
A568 = "CAPACITAÇÃO", "Em execução no Corporativo",
TRUE, "Em Execução na Distribuidora"
)</f>
        <v>Em Execução na Distribuidora</v>
      </c>
      <c r="F568" s="4" t="str" cm="1">
        <f t="array" ref="F568">_xlfn.IFS(
AG568 &lt;&gt; "", "Jan-Dez/26",
AH568 &lt;&gt; "", "Fev-Dez/26",
AI568 &lt;&gt; "", "Mar-Dez/26", AJ568 &lt;&gt; "", "Abr-Dez/26",
TRUE, "A partir de Junho"
)</f>
        <v>A partir de Junho</v>
      </c>
      <c r="G568" s="4" t="s">
        <v>37</v>
      </c>
      <c r="H568" s="7" t="s">
        <v>38</v>
      </c>
      <c r="I568" s="8" t="s">
        <v>113</v>
      </c>
      <c r="J568" s="8" t="str" cm="1">
        <f t="array" aca="1" ref="J568" ca="1">_xlfn.LET(
  _xlpm.actual_value_month, INDEX(T568:AE568, MATCH(DATE(YEAR(TODAY()), MONTH(TODAY()), 1), $T$1:$AE$1, 0)),
  IF(_xlpm.actual_value_month &lt;&gt; "",_xlpm.actual_value_month &amp; " ações mensais", "")
)</f>
        <v/>
      </c>
      <c r="K568" s="8" t="str" cm="1">
        <f t="array" ref="K568">_xlfn.LET(
    _xlpm.sum_month, SUM(T568:AE568),
    IF(_xlpm.sum_month = 0, "", _xlpm.sum_month &amp; " empresas com a prática de controle de telemetria no ano")
)</f>
        <v/>
      </c>
      <c r="L568" s="9" t="s">
        <v>114</v>
      </c>
      <c r="M568" s="13">
        <v>1</v>
      </c>
      <c r="N568" s="5" t="s">
        <v>51</v>
      </c>
      <c r="O568" s="5" t="s">
        <v>52</v>
      </c>
      <c r="P568" s="10" t="s">
        <v>44</v>
      </c>
      <c r="Q568" s="10" t="s">
        <v>44</v>
      </c>
      <c r="R568" s="11" t="s">
        <v>44</v>
      </c>
      <c r="S568" s="11" t="s">
        <v>44</v>
      </c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G568" s="71"/>
      <c r="AH568" s="71"/>
      <c r="AI568" s="71"/>
      <c r="AJ568" s="71"/>
      <c r="AK568" s="71"/>
      <c r="AL568" s="71"/>
      <c r="AM568" s="71"/>
      <c r="AN568" s="71"/>
      <c r="AO568" s="71"/>
      <c r="AP568" s="71"/>
      <c r="AQ568" s="71"/>
      <c r="AR568" s="71"/>
      <c r="AS568" s="94">
        <f t="shared" ca="1" si="899"/>
        <v>0</v>
      </c>
      <c r="AT568" s="95">
        <f t="shared" si="900"/>
        <v>0</v>
      </c>
      <c r="AU568" s="97">
        <f t="shared" si="901"/>
        <v>0</v>
      </c>
      <c r="AW568" s="83">
        <f t="shared" si="902"/>
        <v>0</v>
      </c>
      <c r="AX568" s="83">
        <f t="shared" si="903"/>
        <v>0</v>
      </c>
      <c r="AY568" s="83">
        <f t="shared" si="904"/>
        <v>0</v>
      </c>
      <c r="AZ568" s="83">
        <f t="shared" si="905"/>
        <v>0</v>
      </c>
      <c r="BA568" s="52"/>
      <c r="BB568" s="52"/>
      <c r="BC568" s="52"/>
      <c r="BD568" s="52"/>
      <c r="BE568" s="52"/>
      <c r="BF568" s="52"/>
      <c r="BG568" s="52"/>
      <c r="BH568" s="52"/>
      <c r="BI568" s="68" cm="1">
        <f t="array" ref="BI568">IFERROR(INDEX(AW568:BH568,1,MATCH(2,1/(AW568:BH568&lt;&gt;""))),"")</f>
        <v>0</v>
      </c>
      <c r="BJ568" s="68" cm="1">
        <f t="array" ref="BJ568">IF(BM568 = "", "",IFERROR(INDEX(AW568:BH568,1,MATCH(2,1/(AW568:BH568&lt;&gt;""),1)-1),""))</f>
        <v>0</v>
      </c>
      <c r="BK568" s="59">
        <f t="shared" si="906"/>
        <v>0</v>
      </c>
      <c r="BL568" s="59" cm="1">
        <f t="array" ref="BL568">IFERROR(SUM(AW568:INDEX(AW568:BH568, MATCH(2, 1/(AW568:BH568&lt;&gt;""), 1) - 1)),0)</f>
        <v>0</v>
      </c>
      <c r="BM568" s="55" cm="1">
        <f t="array" ref="BM568">IFERROR(
   INDEX($AW$1:$BH$1,
      _xlfn.AGGREGATE(14, 6, COLUMN($AW$1:$BH$1)/(AW568:BH568&lt;&gt;""), 2) - COLUMN($AW$1) + 1
   ),
"")</f>
        <v>46082</v>
      </c>
      <c r="BN568" s="55" cm="1">
        <f t="array" ref="BN568">IFERROR(INDEX($AW$1:$BH$1,1,MATCH(2,1/(AW568:BH568&lt;&gt;""))),"")</f>
        <v>46113</v>
      </c>
      <c r="BO568" s="53">
        <f ca="1">IFERROR(_xlfn.XLOOKUP(F568,Apuração!A:A,Apuração!C:C)/_xlfn.XLOOKUP(F568,Apuração!A:A,Apuração!B:B),0)</f>
        <v>0</v>
      </c>
      <c r="BP568" s="53">
        <f ca="1">IFERROR(_xlfn.XLOOKUP(F568,Apuração!A:A,Apuração!D:D)/_xlfn.XLOOKUP(F568,Apuração!A:A,Apuração!B:B),0)</f>
        <v>0</v>
      </c>
      <c r="BQ568" s="53">
        <f ca="1">IF(BK568&gt;=BO568,0,_xlfn.XLOOKUP(F568,Apuração!A:A,Apuração!B:B)*(BO568 + (1/_xlfn.XLOOKUP(F568,Apuração!A:A,Apuração!B:B)) - BK568))</f>
        <v>0</v>
      </c>
      <c r="BR568" s="85">
        <f t="shared" ca="1" si="907"/>
        <v>0</v>
      </c>
      <c r="BS568" s="53">
        <f ca="1">IFERROR((_xlfn.XLOOKUP(F568,Apuração!A:A,Apuração!C:C)+1)/_xlfn.XLOOKUP(F568,Apuração!A:A,Apuração!B:B),0)</f>
        <v>0.14285714285714285</v>
      </c>
    </row>
    <row r="569" spans="1:71" ht="25.95" hidden="1" customHeight="1" x14ac:dyDescent="0.3">
      <c r="A569" s="70" t="s">
        <v>108</v>
      </c>
      <c r="B569" s="4" t="s">
        <v>109</v>
      </c>
      <c r="C569" s="5" t="s">
        <v>97</v>
      </c>
      <c r="D569" s="5" t="s">
        <v>104</v>
      </c>
      <c r="E569" s="4" t="str" cm="1">
        <f t="array" ref="E569">_xlfn.IFS(
F569 = "A partir de Abril", "Aguardando Execução na Distribuidora",
A569 = "CAPACITAÇÃO", "Em execução no Corporativo",
TRUE, "Em Execução na Distribuidora"
)</f>
        <v>Em Execução na Distribuidora</v>
      </c>
      <c r="F569" s="4" t="str" cm="1">
        <f t="array" ref="F569">_xlfn.IFS(
AG569 &lt;&gt; "", "Jan-Dez/26",
AH569 &lt;&gt; "", "Fev-Dez/26",
AI569 &lt;&gt; "", "Mar-Dez/26", AJ569 &lt;&gt; "", "Abr-Dez/26",
TRUE, "A partir de Junho"
)</f>
        <v>A partir de Junho</v>
      </c>
      <c r="G569" s="4" t="s">
        <v>37</v>
      </c>
      <c r="H569" s="7" t="s">
        <v>38</v>
      </c>
      <c r="I569" s="8" t="s">
        <v>113</v>
      </c>
      <c r="J569" s="8" t="str" cm="1">
        <f t="array" aca="1" ref="J569" ca="1">_xlfn.LET(
  _xlpm.actual_value_month, INDEX(T569:AE569, MATCH(DATE(YEAR(TODAY()), MONTH(TODAY()), 1), $T$1:$AE$1, 0)),
  IF(_xlpm.actual_value_month &lt;&gt; "",_xlpm.actual_value_month &amp; " ações mensais", "")
)</f>
        <v/>
      </c>
      <c r="K569" s="8" t="str" cm="1">
        <f t="array" ref="K569">_xlfn.LET(
    _xlpm.sum_month, SUM(T569:AE569),
    IF(_xlpm.sum_month = 0, "", _xlpm.sum_month &amp; " empresas com a prática de controle de telemetria no ano")
)</f>
        <v/>
      </c>
      <c r="L569" s="9" t="s">
        <v>114</v>
      </c>
      <c r="M569" s="13">
        <v>1</v>
      </c>
      <c r="N569" s="5" t="s">
        <v>51</v>
      </c>
      <c r="O569" s="5" t="s">
        <v>52</v>
      </c>
      <c r="P569" s="10" t="s">
        <v>44</v>
      </c>
      <c r="Q569" s="10" t="s">
        <v>44</v>
      </c>
      <c r="R569" s="11" t="s">
        <v>44</v>
      </c>
      <c r="S569" s="11" t="s">
        <v>44</v>
      </c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G569" s="71"/>
      <c r="AH569" s="71"/>
      <c r="AI569" s="71"/>
      <c r="AJ569" s="71"/>
      <c r="AK569" s="71"/>
      <c r="AL569" s="71"/>
      <c r="AM569" s="71"/>
      <c r="AN569" s="71"/>
      <c r="AO569" s="71"/>
      <c r="AP569" s="71"/>
      <c r="AQ569" s="71"/>
      <c r="AR569" s="71"/>
      <c r="AS569" s="94">
        <f t="shared" ca="1" si="899"/>
        <v>0</v>
      </c>
      <c r="AT569" s="95">
        <f t="shared" si="900"/>
        <v>0</v>
      </c>
      <c r="AU569" s="97">
        <f t="shared" si="901"/>
        <v>0</v>
      </c>
      <c r="AW569" s="83">
        <f t="shared" si="902"/>
        <v>0</v>
      </c>
      <c r="AX569" s="83">
        <f t="shared" si="903"/>
        <v>0</v>
      </c>
      <c r="AY569" s="83">
        <f t="shared" si="904"/>
        <v>0</v>
      </c>
      <c r="AZ569" s="83">
        <f t="shared" si="905"/>
        <v>0</v>
      </c>
      <c r="BA569" s="52"/>
      <c r="BB569" s="52"/>
      <c r="BC569" s="52"/>
      <c r="BD569" s="52"/>
      <c r="BE569" s="52"/>
      <c r="BF569" s="52"/>
      <c r="BG569" s="52"/>
      <c r="BH569" s="52"/>
      <c r="BI569" s="68" cm="1">
        <f t="array" ref="BI569">IFERROR(INDEX(AW569:BH569,1,MATCH(2,1/(AW569:BH569&lt;&gt;""))),"")</f>
        <v>0</v>
      </c>
      <c r="BJ569" s="68" cm="1">
        <f t="array" ref="BJ569">IF(BM569 = "", "",IFERROR(INDEX(AW569:BH569,1,MATCH(2,1/(AW569:BH569&lt;&gt;""),1)-1),""))</f>
        <v>0</v>
      </c>
      <c r="BK569" s="59">
        <f t="shared" si="906"/>
        <v>0</v>
      </c>
      <c r="BL569" s="59" cm="1">
        <f t="array" ref="BL569">IFERROR(SUM(AW569:INDEX(AW569:BH569, MATCH(2, 1/(AW569:BH569&lt;&gt;""), 1) - 1)),0)</f>
        <v>0</v>
      </c>
      <c r="BM569" s="55" cm="1">
        <f t="array" ref="BM569">IFERROR(
   INDEX($AW$1:$BH$1,
      _xlfn.AGGREGATE(14, 6, COLUMN($AW$1:$BH$1)/(AW569:BH569&lt;&gt;""), 2) - COLUMN($AW$1) + 1
   ),
"")</f>
        <v>46082</v>
      </c>
      <c r="BN569" s="55" cm="1">
        <f t="array" ref="BN569">IFERROR(INDEX($AW$1:$BH$1,1,MATCH(2,1/(AW569:BH569&lt;&gt;""))),"")</f>
        <v>46113</v>
      </c>
      <c r="BO569" s="53">
        <f ca="1">IFERROR(_xlfn.XLOOKUP(F569,Apuração!A:A,Apuração!C:C)/_xlfn.XLOOKUP(F569,Apuração!A:A,Apuração!B:B),0)</f>
        <v>0</v>
      </c>
      <c r="BP569" s="53">
        <f ca="1">IFERROR(_xlfn.XLOOKUP(F569,Apuração!A:A,Apuração!D:D)/_xlfn.XLOOKUP(F569,Apuração!A:A,Apuração!B:B),0)</f>
        <v>0</v>
      </c>
      <c r="BQ569" s="53">
        <f ca="1">IF(BK569&gt;=BO569,0,_xlfn.XLOOKUP(F569,Apuração!A:A,Apuração!B:B)*(BO569 + (1/_xlfn.XLOOKUP(F569,Apuração!A:A,Apuração!B:B)) - BK569))</f>
        <v>0</v>
      </c>
      <c r="BR569" s="85">
        <f t="shared" ca="1" si="907"/>
        <v>0</v>
      </c>
      <c r="BS569" s="53">
        <f ca="1">IFERROR((_xlfn.XLOOKUP(F569,Apuração!A:A,Apuração!C:C)+1)/_xlfn.XLOOKUP(F569,Apuração!A:A,Apuração!B:B),0)</f>
        <v>0.14285714285714285</v>
      </c>
    </row>
    <row r="570" spans="1:71" ht="25.95" hidden="1" customHeight="1" x14ac:dyDescent="0.3">
      <c r="A570" s="70" t="s">
        <v>108</v>
      </c>
      <c r="B570" s="4" t="s">
        <v>109</v>
      </c>
      <c r="C570" s="5" t="s">
        <v>97</v>
      </c>
      <c r="D570" s="5" t="s">
        <v>105</v>
      </c>
      <c r="E570" s="4" t="str" cm="1">
        <f t="array" ref="E570">_xlfn.IFS(
F570 = "A partir de Abril", "Aguardando Execução na Distribuidora",
A570 = "CAPACITAÇÃO", "Em execução no Corporativo",
TRUE, "Em Execução na Distribuidora"
)</f>
        <v>Em Execução na Distribuidora</v>
      </c>
      <c r="F570" s="4" t="str" cm="1">
        <f t="array" ref="F570">_xlfn.IFS(
AG570 &lt;&gt; "", "Jan-Dez/26",
AH570 &lt;&gt; "", "Fev-Dez/26",
AI570 &lt;&gt; "", "Mar-Dez/26", AJ570 &lt;&gt; "", "Abr-Dez/26",
TRUE, "A partir de Junho"
)</f>
        <v>A partir de Junho</v>
      </c>
      <c r="G570" s="4" t="s">
        <v>37</v>
      </c>
      <c r="H570" s="7" t="s">
        <v>38</v>
      </c>
      <c r="I570" s="8" t="s">
        <v>113</v>
      </c>
      <c r="J570" s="8" t="str" cm="1">
        <f t="array" aca="1" ref="J570" ca="1">_xlfn.LET(
  _xlpm.actual_value_month, INDEX(T570:AE570, MATCH(DATE(YEAR(TODAY()), MONTH(TODAY()), 1), $T$1:$AE$1, 0)),
  IF(_xlpm.actual_value_month &lt;&gt; "",_xlpm.actual_value_month &amp; " ações mensais", "")
)</f>
        <v/>
      </c>
      <c r="K570" s="8" t="str" cm="1">
        <f t="array" ref="K570">_xlfn.LET(
    _xlpm.sum_month, SUM(T570:AE570),
    IF(_xlpm.sum_month = 0, "", _xlpm.sum_month &amp; " empresas com a prática de controle de telemetria no ano")
)</f>
        <v/>
      </c>
      <c r="L570" s="9" t="s">
        <v>114</v>
      </c>
      <c r="M570" s="13">
        <v>1</v>
      </c>
      <c r="N570" s="5" t="s">
        <v>51</v>
      </c>
      <c r="O570" s="5" t="s">
        <v>52</v>
      </c>
      <c r="P570" s="10" t="s">
        <v>44</v>
      </c>
      <c r="Q570" s="10" t="s">
        <v>44</v>
      </c>
      <c r="R570" s="11" t="s">
        <v>44</v>
      </c>
      <c r="S570" s="11" t="s">
        <v>44</v>
      </c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G570" s="71"/>
      <c r="AH570" s="71"/>
      <c r="AI570" s="71"/>
      <c r="AJ570" s="71"/>
      <c r="AK570" s="71"/>
      <c r="AL570" s="71"/>
      <c r="AM570" s="71"/>
      <c r="AN570" s="71"/>
      <c r="AO570" s="71"/>
      <c r="AP570" s="71"/>
      <c r="AQ570" s="71"/>
      <c r="AR570" s="71"/>
      <c r="AS570" s="94">
        <f t="shared" ca="1" si="899"/>
        <v>0</v>
      </c>
      <c r="AT570" s="95">
        <f t="shared" si="900"/>
        <v>0</v>
      </c>
      <c r="AU570" s="97">
        <f t="shared" si="901"/>
        <v>0</v>
      </c>
      <c r="AW570" s="83">
        <f t="shared" si="902"/>
        <v>0</v>
      </c>
      <c r="AX570" s="83">
        <f t="shared" si="903"/>
        <v>0</v>
      </c>
      <c r="AY570" s="83">
        <f t="shared" si="904"/>
        <v>0</v>
      </c>
      <c r="AZ570" s="83">
        <f t="shared" si="905"/>
        <v>0</v>
      </c>
      <c r="BA570" s="52"/>
      <c r="BB570" s="52"/>
      <c r="BC570" s="52"/>
      <c r="BD570" s="52"/>
      <c r="BE570" s="52"/>
      <c r="BF570" s="52"/>
      <c r="BG570" s="52"/>
      <c r="BH570" s="52"/>
      <c r="BI570" s="68" cm="1">
        <f t="array" ref="BI570">IFERROR(INDEX(AW570:BH570,1,MATCH(2,1/(AW570:BH570&lt;&gt;""))),"")</f>
        <v>0</v>
      </c>
      <c r="BJ570" s="68" cm="1">
        <f t="array" ref="BJ570">IF(BM570 = "", "",IFERROR(INDEX(AW570:BH570,1,MATCH(2,1/(AW570:BH570&lt;&gt;""),1)-1),""))</f>
        <v>0</v>
      </c>
      <c r="BK570" s="59">
        <f t="shared" si="906"/>
        <v>0</v>
      </c>
      <c r="BL570" s="59" cm="1">
        <f t="array" ref="BL570">IFERROR(SUM(AW570:INDEX(AW570:BH570, MATCH(2, 1/(AW570:BH570&lt;&gt;""), 1) - 1)),0)</f>
        <v>0</v>
      </c>
      <c r="BM570" s="55" cm="1">
        <f t="array" ref="BM570">IFERROR(
   INDEX($AW$1:$BH$1,
      _xlfn.AGGREGATE(14, 6, COLUMN($AW$1:$BH$1)/(AW570:BH570&lt;&gt;""), 2) - COLUMN($AW$1) + 1
   ),
"")</f>
        <v>46082</v>
      </c>
      <c r="BN570" s="55" cm="1">
        <f t="array" ref="BN570">IFERROR(INDEX($AW$1:$BH$1,1,MATCH(2,1/(AW570:BH570&lt;&gt;""))),"")</f>
        <v>46113</v>
      </c>
      <c r="BO570" s="53">
        <f ca="1">IFERROR(_xlfn.XLOOKUP(F570,Apuração!A:A,Apuração!C:C)/_xlfn.XLOOKUP(F570,Apuração!A:A,Apuração!B:B),0)</f>
        <v>0</v>
      </c>
      <c r="BP570" s="53">
        <f ca="1">IFERROR(_xlfn.XLOOKUP(F570,Apuração!A:A,Apuração!D:D)/_xlfn.XLOOKUP(F570,Apuração!A:A,Apuração!B:B),0)</f>
        <v>0</v>
      </c>
      <c r="BQ570" s="53">
        <f ca="1">IF(BK570&gt;=BO570,0,_xlfn.XLOOKUP(F570,Apuração!A:A,Apuração!B:B)*(BO570 + (1/_xlfn.XLOOKUP(F570,Apuração!A:A,Apuração!B:B)) - BK570))</f>
        <v>0</v>
      </c>
      <c r="BR570" s="85">
        <f t="shared" ca="1" si="907"/>
        <v>0</v>
      </c>
      <c r="BS570" s="53">
        <f ca="1">IFERROR((_xlfn.XLOOKUP(F570,Apuração!A:A,Apuração!C:C)+1)/_xlfn.XLOOKUP(F570,Apuração!A:A,Apuração!B:B),0)</f>
        <v>0.14285714285714285</v>
      </c>
    </row>
    <row r="571" spans="1:71" ht="25.95" hidden="1" customHeight="1" x14ac:dyDescent="0.3">
      <c r="A571" s="70" t="s">
        <v>108</v>
      </c>
      <c r="B571" s="4" t="s">
        <v>109</v>
      </c>
      <c r="C571" s="5" t="s">
        <v>97</v>
      </c>
      <c r="D571" s="5" t="s">
        <v>106</v>
      </c>
      <c r="E571" s="4" t="str" cm="1">
        <f t="array" ref="E571">_xlfn.IFS(
F571 = "A partir de Abril", "Aguardando Execução na Distribuidora",
A571 = "CAPACITAÇÃO", "Em execução no Corporativo",
TRUE, "Em Execução na Distribuidora"
)</f>
        <v>Em Execução na Distribuidora</v>
      </c>
      <c r="F571" s="4" t="str" cm="1">
        <f t="array" ref="F571">_xlfn.IFS(
AG571 &lt;&gt; "", "Jan-Dez/26",
AH571 &lt;&gt; "", "Fev-Dez/26",
AI571 &lt;&gt; "", "Mar-Dez/26", AJ571 &lt;&gt; "", "Abr-Dez/26",
TRUE, "A partir de Junho"
)</f>
        <v>A partir de Junho</v>
      </c>
      <c r="G571" s="4" t="s">
        <v>37</v>
      </c>
      <c r="H571" s="7" t="s">
        <v>38</v>
      </c>
      <c r="I571" s="8" t="s">
        <v>113</v>
      </c>
      <c r="J571" s="8" t="str" cm="1">
        <f t="array" aca="1" ref="J571" ca="1">_xlfn.LET(
  _xlpm.actual_value_month, INDEX(T571:AE571, MATCH(DATE(YEAR(TODAY()), MONTH(TODAY()), 1), $T$1:$AE$1, 0)),
  IF(_xlpm.actual_value_month &lt;&gt; "",_xlpm.actual_value_month &amp; " ações mensais", "")
)</f>
        <v/>
      </c>
      <c r="K571" s="8" t="str" cm="1">
        <f t="array" ref="K571">_xlfn.LET(
    _xlpm.sum_month, SUM(T571:AE571),
    IF(_xlpm.sum_month = 0, "", _xlpm.sum_month &amp; " empresas com a prática de controle de telemetria no ano")
)</f>
        <v/>
      </c>
      <c r="L571" s="9" t="s">
        <v>114</v>
      </c>
      <c r="M571" s="13">
        <v>1</v>
      </c>
      <c r="N571" s="5" t="s">
        <v>51</v>
      </c>
      <c r="O571" s="5" t="s">
        <v>52</v>
      </c>
      <c r="P571" s="10" t="s">
        <v>44</v>
      </c>
      <c r="Q571" s="10" t="s">
        <v>44</v>
      </c>
      <c r="R571" s="11" t="s">
        <v>44</v>
      </c>
      <c r="S571" s="11" t="s">
        <v>44</v>
      </c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G571" s="71"/>
      <c r="AH571" s="71"/>
      <c r="AI571" s="71"/>
      <c r="AJ571" s="71"/>
      <c r="AK571" s="71"/>
      <c r="AL571" s="71"/>
      <c r="AM571" s="71"/>
      <c r="AN571" s="71"/>
      <c r="AO571" s="71"/>
      <c r="AP571" s="71"/>
      <c r="AQ571" s="71"/>
      <c r="AR571" s="71"/>
      <c r="AS571" s="94">
        <f t="shared" ca="1" si="899"/>
        <v>0</v>
      </c>
      <c r="AT571" s="95">
        <f t="shared" si="900"/>
        <v>0</v>
      </c>
      <c r="AU571" s="97">
        <f t="shared" si="901"/>
        <v>0</v>
      </c>
      <c r="AW571" s="83">
        <f t="shared" si="902"/>
        <v>0</v>
      </c>
      <c r="AX571" s="83">
        <f t="shared" si="903"/>
        <v>0</v>
      </c>
      <c r="AY571" s="83">
        <f t="shared" si="904"/>
        <v>0</v>
      </c>
      <c r="AZ571" s="83">
        <f t="shared" si="905"/>
        <v>0</v>
      </c>
      <c r="BA571" s="52"/>
      <c r="BB571" s="52"/>
      <c r="BC571" s="52"/>
      <c r="BD571" s="52"/>
      <c r="BE571" s="52"/>
      <c r="BF571" s="52"/>
      <c r="BG571" s="52"/>
      <c r="BH571" s="52"/>
      <c r="BI571" s="68" cm="1">
        <f t="array" ref="BI571">IFERROR(INDEX(AW571:BH571,1,MATCH(2,1/(AW571:BH571&lt;&gt;""))),"")</f>
        <v>0</v>
      </c>
      <c r="BJ571" s="68" cm="1">
        <f t="array" ref="BJ571">IF(BM571 = "", "",IFERROR(INDEX(AW571:BH571,1,MATCH(2,1/(AW571:BH571&lt;&gt;""),1)-1),""))</f>
        <v>0</v>
      </c>
      <c r="BK571" s="59">
        <f t="shared" si="906"/>
        <v>0</v>
      </c>
      <c r="BL571" s="59" cm="1">
        <f t="array" ref="BL571">IFERROR(SUM(AW571:INDEX(AW571:BH571, MATCH(2, 1/(AW571:BH571&lt;&gt;""), 1) - 1)),0)</f>
        <v>0</v>
      </c>
      <c r="BM571" s="55" cm="1">
        <f t="array" ref="BM571">IFERROR(
   INDEX($AW$1:$BH$1,
      _xlfn.AGGREGATE(14, 6, COLUMN($AW$1:$BH$1)/(AW571:BH571&lt;&gt;""), 2) - COLUMN($AW$1) + 1
   ),
"")</f>
        <v>46082</v>
      </c>
      <c r="BN571" s="55" cm="1">
        <f t="array" ref="BN571">IFERROR(INDEX($AW$1:$BH$1,1,MATCH(2,1/(AW571:BH571&lt;&gt;""))),"")</f>
        <v>46113</v>
      </c>
      <c r="BO571" s="53">
        <f ca="1">IFERROR(_xlfn.XLOOKUP(F571,Apuração!A:A,Apuração!C:C)/_xlfn.XLOOKUP(F571,Apuração!A:A,Apuração!B:B),0)</f>
        <v>0</v>
      </c>
      <c r="BP571" s="53">
        <f ca="1">IFERROR(_xlfn.XLOOKUP(F571,Apuração!A:A,Apuração!D:D)/_xlfn.XLOOKUP(F571,Apuração!A:A,Apuração!B:B),0)</f>
        <v>0</v>
      </c>
      <c r="BQ571" s="53">
        <f ca="1">IF(BK571&gt;=BO571,0,_xlfn.XLOOKUP(F571,Apuração!A:A,Apuração!B:B)*(BO571 + (1/_xlfn.XLOOKUP(F571,Apuração!A:A,Apuração!B:B)) - BK571))</f>
        <v>0</v>
      </c>
      <c r="BR571" s="85">
        <f t="shared" ca="1" si="907"/>
        <v>0</v>
      </c>
      <c r="BS571" s="53">
        <f ca="1">IFERROR((_xlfn.XLOOKUP(F571,Apuração!A:A,Apuração!C:C)+1)/_xlfn.XLOOKUP(F571,Apuração!A:A,Apuração!B:B),0)</f>
        <v>0.14285714285714285</v>
      </c>
    </row>
    <row r="572" spans="1:71" ht="25.95" hidden="1" customHeight="1" x14ac:dyDescent="0.3">
      <c r="A572" s="70" t="s">
        <v>108</v>
      </c>
      <c r="B572" s="4" t="s">
        <v>109</v>
      </c>
      <c r="C572" s="5" t="s">
        <v>97</v>
      </c>
      <c r="D572" s="5" t="s">
        <v>107</v>
      </c>
      <c r="E572" s="4" t="str" cm="1">
        <f t="array" ref="E572">_xlfn.IFS(
F572 = "A partir de Abril", "Aguardando Execução na Distribuidora",
A572 = "CAPACITAÇÃO", "Em execução no Corporativo",
TRUE, "Em Execução na Distribuidora"
)</f>
        <v>Em Execução na Distribuidora</v>
      </c>
      <c r="F572" s="4" t="str" cm="1">
        <f t="array" ref="F572">_xlfn.IFS(
AG572 &lt;&gt; "", "Jan-Dez/26",
AH572 &lt;&gt; "", "Fev-Dez/26",
AI572 &lt;&gt; "", "Mar-Dez/26", AJ572 &lt;&gt; "", "Abr-Dez/26",
TRUE, "A partir de Junho"
)</f>
        <v>A partir de Junho</v>
      </c>
      <c r="G572" s="4" t="s">
        <v>37</v>
      </c>
      <c r="H572" s="7" t="s">
        <v>38</v>
      </c>
      <c r="I572" s="8" t="s">
        <v>113</v>
      </c>
      <c r="J572" s="8" t="str" cm="1">
        <f t="array" aca="1" ref="J572" ca="1">_xlfn.LET(
  _xlpm.actual_value_month, INDEX(T572:AE572, MATCH(DATE(YEAR(TODAY()), MONTH(TODAY()), 1), $T$1:$AE$1, 0)),
  IF(_xlpm.actual_value_month &lt;&gt; "",_xlpm.actual_value_month &amp; " ações mensais", "")
)</f>
        <v/>
      </c>
      <c r="K572" s="8" t="str" cm="1">
        <f t="array" ref="K572">_xlfn.LET(
    _xlpm.sum_month, SUM(T572:AE572),
    IF(_xlpm.sum_month = 0, "", _xlpm.sum_month &amp; " empresas com a prática de controle de telemetria no ano")
)</f>
        <v/>
      </c>
      <c r="L572" s="9" t="s">
        <v>114</v>
      </c>
      <c r="M572" s="13">
        <v>1</v>
      </c>
      <c r="N572" s="5" t="s">
        <v>51</v>
      </c>
      <c r="O572" s="5" t="s">
        <v>52</v>
      </c>
      <c r="P572" s="10" t="s">
        <v>44</v>
      </c>
      <c r="Q572" s="10" t="s">
        <v>44</v>
      </c>
      <c r="R572" s="11" t="s">
        <v>44</v>
      </c>
      <c r="S572" s="11" t="s">
        <v>44</v>
      </c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G572" s="71"/>
      <c r="AH572" s="71"/>
      <c r="AI572" s="71"/>
      <c r="AJ572" s="71"/>
      <c r="AK572" s="71"/>
      <c r="AL572" s="71"/>
      <c r="AM572" s="71"/>
      <c r="AN572" s="71"/>
      <c r="AO572" s="71"/>
      <c r="AP572" s="71"/>
      <c r="AQ572" s="71"/>
      <c r="AR572" s="71"/>
      <c r="AS572" s="94">
        <f t="shared" ca="1" si="899"/>
        <v>0</v>
      </c>
      <c r="AT572" s="95">
        <f t="shared" si="900"/>
        <v>0</v>
      </c>
      <c r="AU572" s="97">
        <f t="shared" si="901"/>
        <v>0</v>
      </c>
      <c r="AW572" s="83">
        <f t="shared" si="902"/>
        <v>0</v>
      </c>
      <c r="AX572" s="83">
        <f t="shared" si="903"/>
        <v>0</v>
      </c>
      <c r="AY572" s="83">
        <f t="shared" si="904"/>
        <v>0</v>
      </c>
      <c r="AZ572" s="83">
        <f t="shared" si="905"/>
        <v>0</v>
      </c>
      <c r="BA572" s="52"/>
      <c r="BB572" s="52"/>
      <c r="BC572" s="52"/>
      <c r="BD572" s="52"/>
      <c r="BE572" s="52"/>
      <c r="BF572" s="52"/>
      <c r="BG572" s="52"/>
      <c r="BH572" s="52"/>
      <c r="BI572" s="68" cm="1">
        <f t="array" ref="BI572">IFERROR(INDEX(AW572:BH572,1,MATCH(2,1/(AW572:BH572&lt;&gt;""))),"")</f>
        <v>0</v>
      </c>
      <c r="BJ572" s="68" cm="1">
        <f t="array" ref="BJ572">IF(BM572 = "", "",IFERROR(INDEX(AW572:BH572,1,MATCH(2,1/(AW572:BH572&lt;&gt;""),1)-1),""))</f>
        <v>0</v>
      </c>
      <c r="BK572" s="59">
        <f t="shared" si="906"/>
        <v>0</v>
      </c>
      <c r="BL572" s="59" cm="1">
        <f t="array" ref="BL572">IFERROR(SUM(AW572:INDEX(AW572:BH572, MATCH(2, 1/(AW572:BH572&lt;&gt;""), 1) - 1)),0)</f>
        <v>0</v>
      </c>
      <c r="BM572" s="55" cm="1">
        <f t="array" ref="BM572">IFERROR(
   INDEX($AW$1:$BH$1,
      _xlfn.AGGREGATE(14, 6, COLUMN($AW$1:$BH$1)/(AW572:BH572&lt;&gt;""), 2) - COLUMN($AW$1) + 1
   ),
"")</f>
        <v>46082</v>
      </c>
      <c r="BN572" s="55" cm="1">
        <f t="array" ref="BN572">IFERROR(INDEX($AW$1:$BH$1,1,MATCH(2,1/(AW572:BH572&lt;&gt;""))),"")</f>
        <v>46113</v>
      </c>
      <c r="BO572" s="53">
        <f ca="1">IFERROR(_xlfn.XLOOKUP(F572,Apuração!A:A,Apuração!C:C)/_xlfn.XLOOKUP(F572,Apuração!A:A,Apuração!B:B),0)</f>
        <v>0</v>
      </c>
      <c r="BP572" s="53">
        <f ca="1">IFERROR(_xlfn.XLOOKUP(F572,Apuração!A:A,Apuração!D:D)/_xlfn.XLOOKUP(F572,Apuração!A:A,Apuração!B:B),0)</f>
        <v>0</v>
      </c>
      <c r="BQ572" s="53">
        <f ca="1">IF(BK572&gt;=BO572,0,_xlfn.XLOOKUP(F572,Apuração!A:A,Apuração!B:B)*(BO572 + (1/_xlfn.XLOOKUP(F572,Apuração!A:A,Apuração!B:B)) - BK572))</f>
        <v>0</v>
      </c>
      <c r="BR572" s="85">
        <f t="shared" ca="1" si="907"/>
        <v>0</v>
      </c>
      <c r="BS572" s="53">
        <f ca="1">IFERROR((_xlfn.XLOOKUP(F572,Apuração!A:A,Apuração!C:C)+1)/_xlfn.XLOOKUP(F572,Apuração!A:A,Apuração!B:B),0)</f>
        <v>0.14285714285714285</v>
      </c>
    </row>
    <row r="573" spans="1:71" ht="25.95" hidden="1" customHeight="1" x14ac:dyDescent="0.3">
      <c r="A573" s="41" t="s">
        <v>108</v>
      </c>
      <c r="B573" s="4" t="s">
        <v>109</v>
      </c>
      <c r="C573" s="5" t="s">
        <v>97</v>
      </c>
      <c r="D573" s="5" t="s">
        <v>36</v>
      </c>
      <c r="E573" s="4" t="str" cm="1">
        <f t="array" ref="E573">_xlfn.IFS(
F573 = "A partir de Abril", "Aguardando Execução na Distribuidora",
A573 = "CAPACITAÇÃO", "Em execução no Corporativo",
TRUE, "Em Execução na Distribuidora"
)</f>
        <v>Em Execução na Distribuidora</v>
      </c>
      <c r="F573" s="4" t="str" cm="1">
        <f t="array" ref="F573">_xlfn.IFS(
AG573 &lt;&gt; "", "Jan-Dez/26",
AH573 &lt;&gt; "", "Fev-Dez/26",
AI573 &lt;&gt; "", "Mar-Dez/26", AJ573 &lt;&gt; "", "Abr-Dez/26",
TRUE, "A partir de Junho"
)</f>
        <v>Jan-Dez/26</v>
      </c>
      <c r="G573" s="4" t="s">
        <v>37</v>
      </c>
      <c r="H573" s="7" t="s">
        <v>38</v>
      </c>
      <c r="I573" s="4" t="s">
        <v>115</v>
      </c>
      <c r="J573" s="8" t="str" cm="1">
        <f t="array" aca="1" ref="J573" ca="1">_xlfn.LET(
  _xlpm.actual_value_month, INDEX(T573:AE573, MATCH(DATE(YEAR(TODAY()), MONTH(TODAY()), 1), $T$1:$AE$1, 0)),
  IF(_xlpm.actual_value_month &lt;&gt; "",_xlpm.actual_value_month &amp; " redução de notificações mensais", "")
)</f>
        <v>1311 redução de notificações mensais</v>
      </c>
      <c r="K573" s="8" t="str" cm="1">
        <f t="array" ref="K573">_xlfn.LET(
    _xlpm.sum_month, SUM(T573:AE573),
    IF(_xlpm.sum_month = 0, "", _xlpm.sum_month &amp; " taxa de redução das notificações de excesso de velocidade no ano")
)</f>
        <v>13345 taxa de redução das notificações de excesso de velocidade no ano</v>
      </c>
      <c r="L573" s="4" t="s">
        <v>116</v>
      </c>
      <c r="M573" s="4"/>
      <c r="N573" s="45" t="s">
        <v>42</v>
      </c>
      <c r="O573" s="5" t="s">
        <v>43</v>
      </c>
      <c r="P573" s="10" t="s">
        <v>44</v>
      </c>
      <c r="Q573" s="10" t="s">
        <v>44</v>
      </c>
      <c r="R573" s="11" t="s">
        <v>44</v>
      </c>
      <c r="S573" s="11" t="s">
        <v>44</v>
      </c>
      <c r="T573" s="22">
        <v>1223</v>
      </c>
      <c r="U573" s="22">
        <v>353</v>
      </c>
      <c r="V573" s="22">
        <v>1549</v>
      </c>
      <c r="W573" s="22">
        <v>1549</v>
      </c>
      <c r="X573" s="22">
        <v>1425</v>
      </c>
      <c r="Y573" s="22">
        <v>1311</v>
      </c>
      <c r="Z573" s="22">
        <v>1206</v>
      </c>
      <c r="AA573" s="22">
        <v>1110</v>
      </c>
      <c r="AB573" s="22">
        <v>1021</v>
      </c>
      <c r="AC573" s="22">
        <v>939</v>
      </c>
      <c r="AD573" s="22">
        <v>864</v>
      </c>
      <c r="AE573" s="22">
        <v>795</v>
      </c>
      <c r="AG573" s="71">
        <v>1223</v>
      </c>
      <c r="AH573" s="71">
        <v>353</v>
      </c>
      <c r="AI573" s="71">
        <v>1549</v>
      </c>
      <c r="AJ573" s="71">
        <v>2523</v>
      </c>
      <c r="AK573" s="71"/>
      <c r="AL573" s="71"/>
      <c r="AM573" s="71"/>
      <c r="AN573" s="71"/>
      <c r="AO573" s="71"/>
      <c r="AP573" s="71"/>
      <c r="AQ573" s="71"/>
      <c r="AR573" s="71"/>
      <c r="AS573" s="94">
        <f ca="1">IF(MONTH(TODAY())=3,SUM(T573:U573),IF(MONTH(TODAY())=4,SUM(T573:V573),IF(MONTH(TODAY())=5,SUM(T573:W573),IF(MONTH(TODAY())=6,SUM(T573:X573),IF(MONTH(TODAY())=7,SUM(T573:Y573),IF(MONTH(TODAY())=8,SUM(T573:Z573),IF(MONTH(TODAY())=9,SUM(T573:AA573),IF(MONTH(TODAY())=10,SUM(T573:AB573),IF(MONTH(TODAY())=11,SUM(T573:AC573),IF(MONTH(TODAY())=12,SUM(T573:AD573),IF(MONTH(TODAY())=1,SUM(T573:AE573),T573)))))))))))</f>
        <v>6099</v>
      </c>
      <c r="AT573" s="95">
        <f>SUM(IF(AW573&lt;1.15,AG573,1.15*T573),IF(AX573&lt;1.15,AH573,1.15*U573),IF(AY573&lt;1.15,AI573,1.15*V573),IF(AZ573&lt;1.15,AJ573,1.15*W573),IF(BA573&lt;1.15,AK573,1.15*X573),IF(BB573&lt;1.15,AL573,1.15*Y573),IF(BC573&lt;1.15,AM573,1.15*Z573),IF(BD573&lt;1.15,AN573,1.15*AA573),IF(BE573&lt;1.15,AO573,1.15*AB573),IF(BF573&lt;1.15,AP573,1.15*AC573),IF(BG573&lt;1.15,AQ573,1.15*AD573),IF(BH573&lt;1.15,AR573,1.15*AE573))</f>
        <v>5648</v>
      </c>
      <c r="AU573" s="97">
        <f>SUM(AG573:AR573)</f>
        <v>5648</v>
      </c>
      <c r="AW573" s="51">
        <f>IF(ISBLANK(AG573),0,IF(1+((AG573-T573)/T573)&gt;=1, 1-((AG573-T573)/AG573),
IF(1+((AG573-T573)/T573)&lt;=0,1.15,IF(1+((AG573-T573)/T573)&lt;=0.33,1.1,
IF(1+((AG573-T573)/T573)&lt;=0.66,1.05,
IF(AG573&lt;=T573,1))))))</f>
        <v>1</v>
      </c>
      <c r="AX573" s="51">
        <f>IF(ISBLANK(AH573),0,IF(1+((AH573-U573)/U573)&gt;=1, 1-((AH573-U573)/AH573),
IF(1+((AH573-U573)/U573)&lt;=0,1.15,IF(1+((AH573-U573)/U573)&lt;=0.33,1.1,
IF(1+((AH573-U573)/U573)&lt;=0.66,1.05,
IF(AH573&lt;=U573,1))))))</f>
        <v>1</v>
      </c>
      <c r="AY573" s="51">
        <f>IF(ISBLANK(AI573),0,IF(1+((AI573-V573)/V573)&gt;=1, 1-((AI573-V573)/AI573),
IF(1+((AI573-V573)/V573)&lt;=0,1.15,IF(1+((AI573-V573)/V573)&lt;=0.33,1.1,
IF(1+((AI573-V573)/V573)&lt;=0.66,1.05,
IF(AI573&lt;=V573,1))))))</f>
        <v>1</v>
      </c>
      <c r="AZ573" s="51">
        <f>IF(ISBLANK(AJ573),0,IF(1+((AJ573-W573)/W573)&gt;=1, 1-((AJ573-W573)/AJ573),
IF(1+((AJ573-W573)/W573)&lt;=0,1.15,IF(1+((AJ573-W573)/W573)&lt;=0.33,1.1,
IF(1+((AJ573-W573)/W573)&lt;=0.66,1.05,
IF(AJ573&lt;=W573,1))))))</f>
        <v>0.61395164486722154</v>
      </c>
      <c r="BA573" s="51"/>
      <c r="BB573" s="51"/>
      <c r="BC573" s="51"/>
      <c r="BD573" s="51"/>
      <c r="BE573" s="51"/>
      <c r="BF573" s="51"/>
      <c r="BG573" s="51"/>
      <c r="BH573" s="51"/>
      <c r="BI573" s="80" cm="1">
        <f t="array" ref="BI573">IFERROR(INDEX(AW573:BH573,1,MATCH(2,1/(AW573:BH573&lt;&gt;""))),"")</f>
        <v>0.61395164486722154</v>
      </c>
      <c r="BJ573" s="68" cm="1">
        <f t="array" ref="BJ573">IF(BM573 = "", "",IFERROR(INDEX(AW573:BH573,1,MATCH(2,1/(AW573:BH573&lt;&gt;""),1)-1),""))</f>
        <v>1</v>
      </c>
      <c r="BK573" s="58">
        <f>IF((IF(AW573&gt;=115%,115%,AW573) + IF(AX573&gt;=115%,115%,AX573) + IF(AY573&gt;=115%,115%,AY573) + (IF(AZ573&gt;=115%,115%,AZ573) + IF(BA573&gt;=115%,115%,BA573) + IF(BB573&gt;=115%,115%,BB573) + IF(BC573&gt;=115%,115%,BC573) + IF(BD573&gt;=115%,115%,BD573) + IF(BE573&gt;=115%,115%,BE573) + IF(BF573&gt;=115%,115%,BF573) + IF(BG573&gt;=115%,115%,BG573) + IF(BH573&gt;=115%,115%,BH573)))/_xlfn.XLOOKUP(F573,Apuração!A:A,Apuração!B:B)&gt;=1.15,1.15,((IF(AZ573&gt;=115%,115%,AZ573) + IF(AX573&gt;=115%,115%,AX573) + IF(AY573&gt;=115%,115%,AY573) + (IF(AW573&gt;=115%,115%,AW573) + IF(BA573&gt;=115%,115%,BA573) + IF(BB573&gt;=115%,115%,BB573) + IF(BC573&gt;=115%,115%,BC573) + IF(BD573&gt;=115%,115%,BD573) + IF(BE573&gt;=115%,115%,BE573) + IF(BF573&gt;=115%,115%,BF573) + IF(BG573&gt;=115%,115%,BG573) + IF(BH573&gt;=115%,115%,BH573)))/_xlfn.XLOOKUP(F573,Apuração!A:A,Apuração!B:B)))</f>
        <v>0.30116263707226848</v>
      </c>
      <c r="BL573" s="58" cm="1">
        <f t="array" aca="1" ref="BL573" ca="1">IF(SUM(IFERROR(IF(INDEX(AW573:INDEX(AW573:BH573, MATCH(2, 1/(AW573:BH573&lt;&gt;""), 1)-1), ROW(INDIRECT("1:" &amp; MATCH(2, 1/(AW573:BH573&lt;&gt;""), 1)-1))) &gt;= 115%, 115%, INDEX(AW573:INDEX(AW573:BH573, MATCH(2, 1/(AW573:BH573&lt;&gt;""), 1)-1), ROW(INDIRECT("1:" &amp; MATCH(2, 1/(AW573:BH573&lt;&gt;""), 1)-1)))), 0))/_xlfn.XLOOKUP(F573,Apuração!A:A,Apuração!B:B)&gt;=1.15,1.15,SUM(IFERROR(IF(INDEX(AW573:INDEX(AW573:BH573, MATCH(2, 1/(AW573:BH573&lt;&gt;""), 1)-1), ROW(INDIRECT("1:" &amp; MATCH(2, 1/(AW573:BH573&lt;&gt;""), 1)-1))) &gt;= 115%, 115%, INDEX(AW573:INDEX(AW573:BH573, MATCH(2, 1/(AW573:BH573&lt;&gt;""), 1)-1), ROW(INDIRECT("1:" &amp; MATCH(2, 1/(AW573:BH573&lt;&gt;""), 1)-1)))), 0))/_xlfn.XLOOKUP(F573,Apuração!A:A,Apuração!B:B))</f>
        <v>0.25</v>
      </c>
      <c r="BM573" s="55" cm="1">
        <f t="array" ref="BM573">IFERROR(
   INDEX($AW$1:$BH$1,
      _xlfn.AGGREGATE(14, 6, COLUMN($AW$1:$BH$1)/(AW573:BH573&lt;&gt;""), 2) - COLUMN($AW$1) + 1
   ),
"")</f>
        <v>46082</v>
      </c>
      <c r="BN573" s="55" cm="1">
        <f t="array" ref="BN573">IFERROR(INDEX($AW$1:$BH$1,1,MATCH(2,1/(AW573:BH573&lt;&gt;""))),"")</f>
        <v>46113</v>
      </c>
      <c r="BO573" s="53">
        <f ca="1">IFERROR(_xlfn.XLOOKUP(F573,Apuração!A:A,Apuração!C:C)/_xlfn.XLOOKUP(F573,Apuração!A:A,Apuração!B:B),0)</f>
        <v>0.41666666666666669</v>
      </c>
      <c r="BP573" s="53">
        <f ca="1">IFERROR(_xlfn.XLOOKUP(F573,Apuração!A:A,Apuração!D:D)/_xlfn.XLOOKUP(F573,Apuração!A:A,Apuração!B:B),0)</f>
        <v>0.33333333333333331</v>
      </c>
      <c r="BQ573" s="53">
        <f ca="1">IF(BK573&gt;=BO573,0,_xlfn.XLOOKUP(F573,Apuração!A:A,Apuração!B:B)*(BO573 + (1/_xlfn.XLOOKUP(F573,Apuração!A:A,Apuração!B:B)) - BK573))</f>
        <v>2.386048355132778</v>
      </c>
      <c r="BR573" s="85">
        <f t="shared" ca="1" si="898"/>
        <v>2877.5743162901304</v>
      </c>
      <c r="BS573" s="53">
        <f ca="1">IFERROR((_xlfn.XLOOKUP(F573,Apuração!A:A,Apuração!C:C)+1)/_xlfn.XLOOKUP(F573,Apuração!A:A,Apuração!B:B),0)</f>
        <v>0.5</v>
      </c>
    </row>
    <row r="574" spans="1:71" ht="25.95" hidden="1" customHeight="1" x14ac:dyDescent="0.3">
      <c r="A574" s="41" t="s">
        <v>108</v>
      </c>
      <c r="B574" s="4" t="s">
        <v>109</v>
      </c>
      <c r="C574" s="5" t="s">
        <v>97</v>
      </c>
      <c r="D574" s="5" t="s">
        <v>98</v>
      </c>
      <c r="E574" s="4" t="str" cm="1">
        <f t="array" ref="E574">_xlfn.IFS(
F574 = "A partir de Abril", "Aguardando Execução na Distribuidora",
A574 = "CAPACITAÇÃO", "Em execução no Corporativo",
TRUE, "Em Execução na Distribuidora"
)</f>
        <v>Em Execução na Distribuidora</v>
      </c>
      <c r="F574" s="4" t="str" cm="1">
        <f t="array" ref="F574">_xlfn.IFS(
AG574 &lt;&gt; "", "Jan-Dez/26",
AH574 &lt;&gt; "", "Fev-Dez/26",
AI574 &lt;&gt; "", "Mar-Dez/26", AJ574 &lt;&gt; "", "Abr-Dez/26",
TRUE, "A partir de Junho"
)</f>
        <v>A partir de Junho</v>
      </c>
      <c r="G574" s="4" t="s">
        <v>37</v>
      </c>
      <c r="H574" s="7" t="s">
        <v>38</v>
      </c>
      <c r="I574" s="4" t="s">
        <v>115</v>
      </c>
      <c r="J574" s="8" t="str" cm="1">
        <f t="array" aca="1" ref="J574" ca="1">_xlfn.LET(
  _xlpm.actual_value_month, INDEX(T574:AE574, MATCH(DATE(YEAR(TODAY()), MONTH(TODAY()), 1), $T$1:$AE$1, 0)),
  IF(_xlpm.actual_value_month &lt;&gt; "",_xlpm.actual_value_month &amp; " redução de notificações mensais", "")
)</f>
        <v>43 redução de notificações mensais</v>
      </c>
      <c r="K574" s="8" t="str" cm="1">
        <f t="array" ref="K574">_xlfn.LET(
    _xlpm.sum_month, SUM(T574:AE574),
    IF(_xlpm.sum_month = 0, "", _xlpm.sum_month &amp; " taxa de redução das notificações de excesso de velocidade no ano")
)</f>
        <v>387 taxa de redução das notificações de excesso de velocidade no ano</v>
      </c>
      <c r="L574" s="4" t="s">
        <v>116</v>
      </c>
      <c r="M574" s="4"/>
      <c r="N574" s="45" t="s">
        <v>42</v>
      </c>
      <c r="O574" s="5" t="s">
        <v>43</v>
      </c>
      <c r="P574" s="10" t="s">
        <v>44</v>
      </c>
      <c r="Q574" s="10" t="s">
        <v>44</v>
      </c>
      <c r="R574" s="11" t="s">
        <v>44</v>
      </c>
      <c r="S574" s="11" t="s">
        <v>44</v>
      </c>
      <c r="T574" s="22"/>
      <c r="U574" s="22"/>
      <c r="V574" s="22"/>
      <c r="W574" s="143">
        <v>43</v>
      </c>
      <c r="X574" s="143">
        <v>43</v>
      </c>
      <c r="Y574" s="143">
        <v>43</v>
      </c>
      <c r="Z574" s="143">
        <v>43</v>
      </c>
      <c r="AA574" s="143">
        <v>43</v>
      </c>
      <c r="AB574" s="143">
        <v>43</v>
      </c>
      <c r="AC574" s="143">
        <v>43</v>
      </c>
      <c r="AD574" s="143">
        <v>43</v>
      </c>
      <c r="AE574" s="143">
        <v>43</v>
      </c>
      <c r="AG574" s="71"/>
      <c r="AH574" s="71"/>
      <c r="AI574" s="71"/>
      <c r="AJ574" s="71"/>
      <c r="AK574" s="71"/>
      <c r="AL574" s="71"/>
      <c r="AM574" s="71"/>
      <c r="AN574" s="71"/>
      <c r="AO574" s="71"/>
      <c r="AP574" s="71"/>
      <c r="AQ574" s="71"/>
      <c r="AR574" s="71"/>
      <c r="AS574" s="94">
        <f t="shared" ref="AS574:AS583" ca="1" si="908">IF(MONTH(TODAY())=3,SUM(T574:U574),IF(MONTH(TODAY())=4,SUM(T574:V574),IF(MONTH(TODAY())=5,SUM(T574:W574),IF(MONTH(TODAY())=6,SUM(T574:X574),IF(MONTH(TODAY())=7,SUM(T574:Y574),IF(MONTH(TODAY())=8,SUM(T574:Z574),IF(MONTH(TODAY())=9,SUM(T574:AA574),IF(MONTH(TODAY())=10,SUM(T574:AB574),IF(MONTH(TODAY())=11,SUM(T574:AC574),IF(MONTH(TODAY())=12,SUM(T574:AD574),IF(MONTH(TODAY())=1,SUM(T574:AE574),T574)))))))))))</f>
        <v>86</v>
      </c>
      <c r="AT574" s="95">
        <f t="shared" ref="AT574:AT583" si="909">SUM(IF(AW574&lt;1.15,AG574,1.15*T574),IF(AX574&lt;1.15,AH574,1.15*U574),IF(AY574&lt;1.15,AI574,1.15*V574),IF(AZ574&lt;1.15,AJ574,1.15*W574),IF(BA574&lt;1.15,AK574,1.15*X574),IF(BB574&lt;1.15,AL574,1.15*Y574),IF(BC574&lt;1.15,AM574,1.15*Z574),IF(BD574&lt;1.15,AN574,1.15*AA574),IF(BE574&lt;1.15,AO574,1.15*AB574),IF(BF574&lt;1.15,AP574,1.15*AC574),IF(BG574&lt;1.15,AQ574,1.15*AD574),IF(BH574&lt;1.15,AR574,1.15*AE574))</f>
        <v>0</v>
      </c>
      <c r="AU574" s="97">
        <f t="shared" ref="AU574:AU583" si="910">SUM(AG574:AR574)</f>
        <v>0</v>
      </c>
      <c r="AW574" s="51">
        <f t="shared" ref="AW574:AW583" si="911">IF(ISBLANK(AG574),0,IF(1+((AG574-T574)/T574)&gt;=1, 1-((AG574-T574)/AG574),
IF(1+((AG574-T574)/T574)&lt;=0,1.15,IF(1+((AG574-T574)/T574)&lt;=0.33,1.1,
IF(1+((AG574-T574)/T574)&lt;=0.66,1.05,
IF(AG574&lt;=T574,1))))))</f>
        <v>0</v>
      </c>
      <c r="AX574" s="51">
        <f t="shared" ref="AX574:AX583" si="912">IF(ISBLANK(AH574),0,IF(1+((AH574-U574)/U574)&gt;=1, 1-((AH574-U574)/AH574),
IF(1+((AH574-U574)/U574)&lt;=0,1.15,IF(1+((AH574-U574)/U574)&lt;=0.33,1.1,
IF(1+((AH574-U574)/U574)&lt;=0.66,1.05,
IF(AH574&lt;=U574,1))))))</f>
        <v>0</v>
      </c>
      <c r="AY574" s="51">
        <f t="shared" ref="AY574:AY583" si="913">IF(ISBLANK(AI574),0,IF(1+((AI574-V574)/V574)&gt;=1, 1-((AI574-V574)/AI574),
IF(1+((AI574-V574)/V574)&lt;=0,1.15,IF(1+((AI574-V574)/V574)&lt;=0.33,1.1,
IF(1+((AI574-V574)/V574)&lt;=0.66,1.05,
IF(AI574&lt;=V574,1))))))</f>
        <v>0</v>
      </c>
      <c r="AZ574" s="51">
        <f t="shared" ref="AZ574:AZ583" si="914">IF(ISBLANK(AJ574),0,IF(1+((AJ574-W574)/W574)&gt;=1, 1-((AJ574-W574)/AJ574),
IF(1+((AJ574-W574)/W574)&lt;=0,1.15,IF(1+((AJ574-W574)/W574)&lt;=0.33,1.1,
IF(1+((AJ574-W574)/W574)&lt;=0.66,1.05,
IF(AJ574&lt;=W574,1))))))</f>
        <v>0</v>
      </c>
      <c r="BA574" s="51"/>
      <c r="BB574" s="51"/>
      <c r="BC574" s="51"/>
      <c r="BD574" s="51"/>
      <c r="BE574" s="51"/>
      <c r="BF574" s="51"/>
      <c r="BG574" s="51"/>
      <c r="BH574" s="51"/>
      <c r="BI574" s="80" cm="1">
        <f t="array" ref="BI574">IFERROR(INDEX(AW574:BH574,1,MATCH(2,1/(AW574:BH574&lt;&gt;""))),"")</f>
        <v>0</v>
      </c>
      <c r="BJ574" s="68" cm="1">
        <f t="array" ref="BJ574">IF(BM574 = "", "",IFERROR(INDEX(AW574:BH574,1,MATCH(2,1/(AW574:BH574&lt;&gt;""),1)-1),""))</f>
        <v>0</v>
      </c>
      <c r="BK574" s="58">
        <f>IF((IF(AW574&gt;=115%,115%,AW574) + IF(AX574&gt;=115%,115%,AX574) + IF(AY574&gt;=115%,115%,AY574) + (IF(AZ574&gt;=115%,115%,AZ574) + IF(BA574&gt;=115%,115%,BA574) + IF(BB574&gt;=115%,115%,BB574) + IF(BC574&gt;=115%,115%,BC574) + IF(BD574&gt;=115%,115%,BD574) + IF(BE574&gt;=115%,115%,BE574) + IF(BF574&gt;=115%,115%,BF574) + IF(BG574&gt;=115%,115%,BG574) + IF(BH574&gt;=115%,115%,BH574)))/_xlfn.XLOOKUP(F574,Apuração!A:A,Apuração!B:B)&gt;=1.15,1.15,((IF(AZ574&gt;=115%,115%,AZ574) + IF(AX574&gt;=115%,115%,AX574) + IF(AY574&gt;=115%,115%,AY574) + (IF(AW574&gt;=115%,115%,AW574) + IF(BA574&gt;=115%,115%,BA574) + IF(BB574&gt;=115%,115%,BB574) + IF(BC574&gt;=115%,115%,BC574) + IF(BD574&gt;=115%,115%,BD574) + IF(BE574&gt;=115%,115%,BE574) + IF(BF574&gt;=115%,115%,BF574) + IF(BG574&gt;=115%,115%,BG574) + IF(BH574&gt;=115%,115%,BH574)))/_xlfn.XLOOKUP(F574,Apuração!A:A,Apuração!B:B)))</f>
        <v>0</v>
      </c>
      <c r="BL574" s="58" cm="1">
        <f t="array" aca="1" ref="BL574" ca="1">IF(SUM(IFERROR(IF(INDEX(AW574:INDEX(AW574:BH574, MATCH(2, 1/(AW574:BH574&lt;&gt;""), 1)-1), ROW(INDIRECT("1:" &amp; MATCH(2, 1/(AW574:BH574&lt;&gt;""), 1)-1))) &gt;= 115%, 115%, INDEX(AW574:INDEX(AW574:BH574, MATCH(2, 1/(AW574:BH574&lt;&gt;""), 1)-1), ROW(INDIRECT("1:" &amp; MATCH(2, 1/(AW574:BH574&lt;&gt;""), 1)-1)))), 0))/_xlfn.XLOOKUP(F574,Apuração!A:A,Apuração!B:B)&gt;=1.15,1.15,SUM(IFERROR(IF(INDEX(AW574:INDEX(AW574:BH574, MATCH(2, 1/(AW574:BH574&lt;&gt;""), 1)-1), ROW(INDIRECT("1:" &amp; MATCH(2, 1/(AW574:BH574&lt;&gt;""), 1)-1))) &gt;= 115%, 115%, INDEX(AW574:INDEX(AW574:BH574, MATCH(2, 1/(AW574:BH574&lt;&gt;""), 1)-1), ROW(INDIRECT("1:" &amp; MATCH(2, 1/(AW574:BH574&lt;&gt;""), 1)-1)))), 0))/_xlfn.XLOOKUP(F574,Apuração!A:A,Apuração!B:B))</f>
        <v>0</v>
      </c>
      <c r="BM574" s="55" cm="1">
        <f t="array" ref="BM574">IFERROR(
   INDEX($AW$1:$BH$1,
      _xlfn.AGGREGATE(14, 6, COLUMN($AW$1:$BH$1)/(AW574:BH574&lt;&gt;""), 2) - COLUMN($AW$1) + 1
   ),
"")</f>
        <v>46082</v>
      </c>
      <c r="BN574" s="55" cm="1">
        <f t="array" ref="BN574">IFERROR(INDEX($AW$1:$BH$1,1,MATCH(2,1/(AW574:BH574&lt;&gt;""))),"")</f>
        <v>46113</v>
      </c>
      <c r="BO574" s="53">
        <f ca="1">IFERROR(_xlfn.XLOOKUP(F574,Apuração!A:A,Apuração!C:C)/_xlfn.XLOOKUP(F574,Apuração!A:A,Apuração!B:B),0)</f>
        <v>0</v>
      </c>
      <c r="BP574" s="53">
        <f ca="1">IFERROR(_xlfn.XLOOKUP(F574,Apuração!A:A,Apuração!D:D)/_xlfn.XLOOKUP(F574,Apuração!A:A,Apuração!B:B),0)</f>
        <v>0</v>
      </c>
      <c r="BQ574" s="53">
        <f ca="1">IF(BK574&gt;=BO574,0,_xlfn.XLOOKUP(F574,Apuração!A:A,Apuração!B:B)*(BO574 + (1/_xlfn.XLOOKUP(F574,Apuração!A:A,Apuração!B:B)) - BK574))</f>
        <v>0</v>
      </c>
      <c r="BR574" s="85">
        <f t="shared" ref="BR574:BR583" ca="1" si="915">IF(BQ574=0,0,BQ574*Z574)</f>
        <v>0</v>
      </c>
      <c r="BS574" s="53">
        <f ca="1">IFERROR((_xlfn.XLOOKUP(F574,Apuração!A:A,Apuração!C:C)+1)/_xlfn.XLOOKUP(F574,Apuração!A:A,Apuração!B:B),0)</f>
        <v>0.14285714285714285</v>
      </c>
    </row>
    <row r="575" spans="1:71" ht="25.95" hidden="1" customHeight="1" x14ac:dyDescent="0.3">
      <c r="A575" s="41" t="s">
        <v>108</v>
      </c>
      <c r="B575" s="4" t="s">
        <v>109</v>
      </c>
      <c r="C575" s="5" t="s">
        <v>97</v>
      </c>
      <c r="D575" s="5" t="s">
        <v>99</v>
      </c>
      <c r="E575" s="4" t="str" cm="1">
        <f t="array" ref="E575">_xlfn.IFS(
F575 = "A partir de Abril", "Aguardando Execução na Distribuidora",
A575 = "CAPACITAÇÃO", "Em execução no Corporativo",
TRUE, "Em Execução na Distribuidora"
)</f>
        <v>Em Execução na Distribuidora</v>
      </c>
      <c r="F575" s="4" t="str" cm="1">
        <f t="array" ref="F575">_xlfn.IFS(
AG575 &lt;&gt; "", "Jan-Dez/26",
AH575 &lt;&gt; "", "Fev-Dez/26",
AI575 &lt;&gt; "", "Mar-Dez/26", AJ575 &lt;&gt; "", "Abr-Dez/26",
TRUE, "A partir de Junho"
)</f>
        <v>A partir de Junho</v>
      </c>
      <c r="G575" s="4" t="s">
        <v>37</v>
      </c>
      <c r="H575" s="7" t="s">
        <v>38</v>
      </c>
      <c r="I575" s="4" t="s">
        <v>115</v>
      </c>
      <c r="J575" s="8" t="str" cm="1">
        <f t="array" aca="1" ref="J575" ca="1">_xlfn.LET(
  _xlpm.actual_value_month, INDEX(T575:AE575, MATCH(DATE(YEAR(TODAY()), MONTH(TODAY()), 1), $T$1:$AE$1, 0)),
  IF(_xlpm.actual_value_month &lt;&gt; "",_xlpm.actual_value_month &amp; " redução de notificações mensais", "")
)</f>
        <v>43 redução de notificações mensais</v>
      </c>
      <c r="K575" s="8" t="str" cm="1">
        <f t="array" ref="K575">_xlfn.LET(
    _xlpm.sum_month, SUM(T575:AE575),
    IF(_xlpm.sum_month = 0, "", _xlpm.sum_month &amp; " taxa de redução das notificações de excesso de velocidade no ano")
)</f>
        <v>387 taxa de redução das notificações de excesso de velocidade no ano</v>
      </c>
      <c r="L575" s="4" t="s">
        <v>116</v>
      </c>
      <c r="M575" s="4"/>
      <c r="N575" s="45" t="s">
        <v>42</v>
      </c>
      <c r="O575" s="5" t="s">
        <v>43</v>
      </c>
      <c r="P575" s="10" t="s">
        <v>44</v>
      </c>
      <c r="Q575" s="10" t="s">
        <v>44</v>
      </c>
      <c r="R575" s="11" t="s">
        <v>44</v>
      </c>
      <c r="S575" s="11" t="s">
        <v>44</v>
      </c>
      <c r="T575" s="22"/>
      <c r="U575" s="22"/>
      <c r="V575" s="22"/>
      <c r="W575" s="143">
        <v>43</v>
      </c>
      <c r="X575" s="143">
        <v>43</v>
      </c>
      <c r="Y575" s="143">
        <v>43</v>
      </c>
      <c r="Z575" s="143">
        <v>43</v>
      </c>
      <c r="AA575" s="143">
        <v>43</v>
      </c>
      <c r="AB575" s="143">
        <v>43</v>
      </c>
      <c r="AC575" s="143">
        <v>43</v>
      </c>
      <c r="AD575" s="143">
        <v>43</v>
      </c>
      <c r="AE575" s="143">
        <v>43</v>
      </c>
      <c r="AG575" s="71"/>
      <c r="AH575" s="71"/>
      <c r="AI575" s="71"/>
      <c r="AJ575" s="71"/>
      <c r="AK575" s="71"/>
      <c r="AL575" s="71"/>
      <c r="AM575" s="71"/>
      <c r="AN575" s="71"/>
      <c r="AO575" s="71"/>
      <c r="AP575" s="71"/>
      <c r="AQ575" s="71"/>
      <c r="AR575" s="71"/>
      <c r="AS575" s="94">
        <f t="shared" ca="1" si="908"/>
        <v>86</v>
      </c>
      <c r="AT575" s="95">
        <f t="shared" si="909"/>
        <v>0</v>
      </c>
      <c r="AU575" s="97">
        <f t="shared" si="910"/>
        <v>0</v>
      </c>
      <c r="AW575" s="51">
        <f t="shared" si="911"/>
        <v>0</v>
      </c>
      <c r="AX575" s="51">
        <f t="shared" si="912"/>
        <v>0</v>
      </c>
      <c r="AY575" s="51">
        <f t="shared" si="913"/>
        <v>0</v>
      </c>
      <c r="AZ575" s="51">
        <f t="shared" si="914"/>
        <v>0</v>
      </c>
      <c r="BA575" s="51"/>
      <c r="BB575" s="51"/>
      <c r="BC575" s="51"/>
      <c r="BD575" s="51"/>
      <c r="BE575" s="51"/>
      <c r="BF575" s="51"/>
      <c r="BG575" s="51"/>
      <c r="BH575" s="51"/>
      <c r="BI575" s="80" cm="1">
        <f t="array" ref="BI575">IFERROR(INDEX(AW575:BH575,1,MATCH(2,1/(AW575:BH575&lt;&gt;""))),"")</f>
        <v>0</v>
      </c>
      <c r="BJ575" s="68" cm="1">
        <f t="array" ref="BJ575">IF(BM575 = "", "",IFERROR(INDEX(AW575:BH575,1,MATCH(2,1/(AW575:BH575&lt;&gt;""),1)-1),""))</f>
        <v>0</v>
      </c>
      <c r="BK575" s="58">
        <f>IF((IF(AW575&gt;=115%,115%,AW575) + IF(AX575&gt;=115%,115%,AX575) + IF(AY575&gt;=115%,115%,AY575) + (IF(AZ575&gt;=115%,115%,AZ575) + IF(BA575&gt;=115%,115%,BA575) + IF(BB575&gt;=115%,115%,BB575) + IF(BC575&gt;=115%,115%,BC575) + IF(BD575&gt;=115%,115%,BD575) + IF(BE575&gt;=115%,115%,BE575) + IF(BF575&gt;=115%,115%,BF575) + IF(BG575&gt;=115%,115%,BG575) + IF(BH575&gt;=115%,115%,BH575)))/_xlfn.XLOOKUP(F575,Apuração!A:A,Apuração!B:B)&gt;=1.15,1.15,((IF(AZ575&gt;=115%,115%,AZ575) + IF(AX575&gt;=115%,115%,AX575) + IF(AY575&gt;=115%,115%,AY575) + (IF(AW575&gt;=115%,115%,AW575) + IF(BA575&gt;=115%,115%,BA575) + IF(BB575&gt;=115%,115%,BB575) + IF(BC575&gt;=115%,115%,BC575) + IF(BD575&gt;=115%,115%,BD575) + IF(BE575&gt;=115%,115%,BE575) + IF(BF575&gt;=115%,115%,BF575) + IF(BG575&gt;=115%,115%,BG575) + IF(BH575&gt;=115%,115%,BH575)))/_xlfn.XLOOKUP(F575,Apuração!A:A,Apuração!B:B)))</f>
        <v>0</v>
      </c>
      <c r="BL575" s="58" cm="1">
        <f t="array" aca="1" ref="BL575" ca="1">IF(SUM(IFERROR(IF(INDEX(AW575:INDEX(AW575:BH575, MATCH(2, 1/(AW575:BH575&lt;&gt;""), 1)-1), ROW(INDIRECT("1:" &amp; MATCH(2, 1/(AW575:BH575&lt;&gt;""), 1)-1))) &gt;= 115%, 115%, INDEX(AW575:INDEX(AW575:BH575, MATCH(2, 1/(AW575:BH575&lt;&gt;""), 1)-1), ROW(INDIRECT("1:" &amp; MATCH(2, 1/(AW575:BH575&lt;&gt;""), 1)-1)))), 0))/_xlfn.XLOOKUP(F575,Apuração!A:A,Apuração!B:B)&gt;=1.15,1.15,SUM(IFERROR(IF(INDEX(AW575:INDEX(AW575:BH575, MATCH(2, 1/(AW575:BH575&lt;&gt;""), 1)-1), ROW(INDIRECT("1:" &amp; MATCH(2, 1/(AW575:BH575&lt;&gt;""), 1)-1))) &gt;= 115%, 115%, INDEX(AW575:INDEX(AW575:BH575, MATCH(2, 1/(AW575:BH575&lt;&gt;""), 1)-1), ROW(INDIRECT("1:" &amp; MATCH(2, 1/(AW575:BH575&lt;&gt;""), 1)-1)))), 0))/_xlfn.XLOOKUP(F575,Apuração!A:A,Apuração!B:B))</f>
        <v>0</v>
      </c>
      <c r="BM575" s="55" cm="1">
        <f t="array" ref="BM575">IFERROR(
   INDEX($AW$1:$BH$1,
      _xlfn.AGGREGATE(14, 6, COLUMN($AW$1:$BH$1)/(AW575:BH575&lt;&gt;""), 2) - COLUMN($AW$1) + 1
   ),
"")</f>
        <v>46082</v>
      </c>
      <c r="BN575" s="55" cm="1">
        <f t="array" ref="BN575">IFERROR(INDEX($AW$1:$BH$1,1,MATCH(2,1/(AW575:BH575&lt;&gt;""))),"")</f>
        <v>46113</v>
      </c>
      <c r="BO575" s="53">
        <f ca="1">IFERROR(_xlfn.XLOOKUP(F575,Apuração!A:A,Apuração!C:C)/_xlfn.XLOOKUP(F575,Apuração!A:A,Apuração!B:B),0)</f>
        <v>0</v>
      </c>
      <c r="BP575" s="53">
        <f ca="1">IFERROR(_xlfn.XLOOKUP(F575,Apuração!A:A,Apuração!D:D)/_xlfn.XLOOKUP(F575,Apuração!A:A,Apuração!B:B),0)</f>
        <v>0</v>
      </c>
      <c r="BQ575" s="53">
        <f ca="1">IF(BK575&gt;=BO575,0,_xlfn.XLOOKUP(F575,Apuração!A:A,Apuração!B:B)*(BO575 + (1/_xlfn.XLOOKUP(F575,Apuração!A:A,Apuração!B:B)) - BK575))</f>
        <v>0</v>
      </c>
      <c r="BR575" s="85">
        <f t="shared" ca="1" si="915"/>
        <v>0</v>
      </c>
      <c r="BS575" s="53">
        <f ca="1">IFERROR((_xlfn.XLOOKUP(F575,Apuração!A:A,Apuração!C:C)+1)/_xlfn.XLOOKUP(F575,Apuração!A:A,Apuração!B:B),0)</f>
        <v>0.14285714285714285</v>
      </c>
    </row>
    <row r="576" spans="1:71" ht="25.95" hidden="1" customHeight="1" x14ac:dyDescent="0.3">
      <c r="A576" s="41" t="s">
        <v>108</v>
      </c>
      <c r="B576" s="4" t="s">
        <v>109</v>
      </c>
      <c r="C576" s="5" t="s">
        <v>97</v>
      </c>
      <c r="D576" s="5" t="s">
        <v>100</v>
      </c>
      <c r="E576" s="4" t="str" cm="1">
        <f t="array" ref="E576">_xlfn.IFS(
F576 = "A partir de Abril", "Aguardando Execução na Distribuidora",
A576 = "CAPACITAÇÃO", "Em execução no Corporativo",
TRUE, "Em Execução na Distribuidora"
)</f>
        <v>Em Execução na Distribuidora</v>
      </c>
      <c r="F576" s="4" t="str" cm="1">
        <f t="array" ref="F576">_xlfn.IFS(
AG576 &lt;&gt; "", "Jan-Dez/26",
AH576 &lt;&gt; "", "Fev-Dez/26",
AI576 &lt;&gt; "", "Mar-Dez/26", AJ576 &lt;&gt; "", "Abr-Dez/26",
TRUE, "A partir de Junho"
)</f>
        <v>A partir de Junho</v>
      </c>
      <c r="G576" s="4" t="s">
        <v>37</v>
      </c>
      <c r="H576" s="7" t="s">
        <v>38</v>
      </c>
      <c r="I576" s="4" t="s">
        <v>115</v>
      </c>
      <c r="J576" s="8" t="str" cm="1">
        <f t="array" aca="1" ref="J576" ca="1">_xlfn.LET(
  _xlpm.actual_value_month, INDEX(T576:AE576, MATCH(DATE(YEAR(TODAY()), MONTH(TODAY()), 1), $T$1:$AE$1, 0)),
  IF(_xlpm.actual_value_month &lt;&gt; "",_xlpm.actual_value_month &amp; " redução de notificações mensais", "")
)</f>
        <v>43 redução de notificações mensais</v>
      </c>
      <c r="K576" s="8" t="str" cm="1">
        <f t="array" ref="K576">_xlfn.LET(
    _xlpm.sum_month, SUM(T576:AE576),
    IF(_xlpm.sum_month = 0, "", _xlpm.sum_month &amp; " taxa de redução das notificações de excesso de velocidade no ano")
)</f>
        <v>387 taxa de redução das notificações de excesso de velocidade no ano</v>
      </c>
      <c r="L576" s="4" t="s">
        <v>116</v>
      </c>
      <c r="M576" s="4"/>
      <c r="N576" s="45" t="s">
        <v>42</v>
      </c>
      <c r="O576" s="5" t="s">
        <v>43</v>
      </c>
      <c r="P576" s="10" t="s">
        <v>44</v>
      </c>
      <c r="Q576" s="10" t="s">
        <v>44</v>
      </c>
      <c r="R576" s="11" t="s">
        <v>44</v>
      </c>
      <c r="S576" s="11" t="s">
        <v>44</v>
      </c>
      <c r="T576" s="22"/>
      <c r="U576" s="22"/>
      <c r="V576" s="22"/>
      <c r="W576" s="143">
        <v>43</v>
      </c>
      <c r="X576" s="143">
        <v>43</v>
      </c>
      <c r="Y576" s="143">
        <v>43</v>
      </c>
      <c r="Z576" s="143">
        <v>43</v>
      </c>
      <c r="AA576" s="143">
        <v>43</v>
      </c>
      <c r="AB576" s="143">
        <v>43</v>
      </c>
      <c r="AC576" s="143">
        <v>43</v>
      </c>
      <c r="AD576" s="143">
        <v>43</v>
      </c>
      <c r="AE576" s="143">
        <v>43</v>
      </c>
      <c r="AG576" s="71"/>
      <c r="AH576" s="71"/>
      <c r="AI576" s="71"/>
      <c r="AJ576" s="71"/>
      <c r="AK576" s="71"/>
      <c r="AL576" s="71"/>
      <c r="AM576" s="71"/>
      <c r="AN576" s="71"/>
      <c r="AO576" s="71"/>
      <c r="AP576" s="71"/>
      <c r="AQ576" s="71"/>
      <c r="AR576" s="71"/>
      <c r="AS576" s="94">
        <f t="shared" ca="1" si="908"/>
        <v>86</v>
      </c>
      <c r="AT576" s="95">
        <f t="shared" si="909"/>
        <v>0</v>
      </c>
      <c r="AU576" s="97">
        <f t="shared" si="910"/>
        <v>0</v>
      </c>
      <c r="AW576" s="51">
        <f t="shared" si="911"/>
        <v>0</v>
      </c>
      <c r="AX576" s="51">
        <f t="shared" si="912"/>
        <v>0</v>
      </c>
      <c r="AY576" s="51">
        <f t="shared" si="913"/>
        <v>0</v>
      </c>
      <c r="AZ576" s="51">
        <f t="shared" si="914"/>
        <v>0</v>
      </c>
      <c r="BA576" s="51"/>
      <c r="BB576" s="51"/>
      <c r="BC576" s="51"/>
      <c r="BD576" s="51"/>
      <c r="BE576" s="51"/>
      <c r="BF576" s="51"/>
      <c r="BG576" s="51"/>
      <c r="BH576" s="51"/>
      <c r="BI576" s="80" cm="1">
        <f t="array" ref="BI576">IFERROR(INDEX(AW576:BH576,1,MATCH(2,1/(AW576:BH576&lt;&gt;""))),"")</f>
        <v>0</v>
      </c>
      <c r="BJ576" s="68" cm="1">
        <f t="array" ref="BJ576">IF(BM576 = "", "",IFERROR(INDEX(AW576:BH576,1,MATCH(2,1/(AW576:BH576&lt;&gt;""),1)-1),""))</f>
        <v>0</v>
      </c>
      <c r="BK576" s="58">
        <f>IF((IF(AW576&gt;=115%,115%,AW576) + IF(AX576&gt;=115%,115%,AX576) + IF(AY576&gt;=115%,115%,AY576) + (IF(AZ576&gt;=115%,115%,AZ576) + IF(BA576&gt;=115%,115%,BA576) + IF(BB576&gt;=115%,115%,BB576) + IF(BC576&gt;=115%,115%,BC576) + IF(BD576&gt;=115%,115%,BD576) + IF(BE576&gt;=115%,115%,BE576) + IF(BF576&gt;=115%,115%,BF576) + IF(BG576&gt;=115%,115%,BG576) + IF(BH576&gt;=115%,115%,BH576)))/_xlfn.XLOOKUP(F576,Apuração!A:A,Apuração!B:B)&gt;=1.15,1.15,((IF(AZ576&gt;=115%,115%,AZ576) + IF(AX576&gt;=115%,115%,AX576) + IF(AY576&gt;=115%,115%,AY576) + (IF(AW576&gt;=115%,115%,AW576) + IF(BA576&gt;=115%,115%,BA576) + IF(BB576&gt;=115%,115%,BB576) + IF(BC576&gt;=115%,115%,BC576) + IF(BD576&gt;=115%,115%,BD576) + IF(BE576&gt;=115%,115%,BE576) + IF(BF576&gt;=115%,115%,BF576) + IF(BG576&gt;=115%,115%,BG576) + IF(BH576&gt;=115%,115%,BH576)))/_xlfn.XLOOKUP(F576,Apuração!A:A,Apuração!B:B)))</f>
        <v>0</v>
      </c>
      <c r="BL576" s="58" cm="1">
        <f t="array" aca="1" ref="BL576" ca="1">IF(SUM(IFERROR(IF(INDEX(AW576:INDEX(AW576:BH576, MATCH(2, 1/(AW576:BH576&lt;&gt;""), 1)-1), ROW(INDIRECT("1:" &amp; MATCH(2, 1/(AW576:BH576&lt;&gt;""), 1)-1))) &gt;= 115%, 115%, INDEX(AW576:INDEX(AW576:BH576, MATCH(2, 1/(AW576:BH576&lt;&gt;""), 1)-1), ROW(INDIRECT("1:" &amp; MATCH(2, 1/(AW576:BH576&lt;&gt;""), 1)-1)))), 0))/_xlfn.XLOOKUP(F576,Apuração!A:A,Apuração!B:B)&gt;=1.15,1.15,SUM(IFERROR(IF(INDEX(AW576:INDEX(AW576:BH576, MATCH(2, 1/(AW576:BH576&lt;&gt;""), 1)-1), ROW(INDIRECT("1:" &amp; MATCH(2, 1/(AW576:BH576&lt;&gt;""), 1)-1))) &gt;= 115%, 115%, INDEX(AW576:INDEX(AW576:BH576, MATCH(2, 1/(AW576:BH576&lt;&gt;""), 1)-1), ROW(INDIRECT("1:" &amp; MATCH(2, 1/(AW576:BH576&lt;&gt;""), 1)-1)))), 0))/_xlfn.XLOOKUP(F576,Apuração!A:A,Apuração!B:B))</f>
        <v>0</v>
      </c>
      <c r="BM576" s="55" cm="1">
        <f t="array" ref="BM576">IFERROR(
   INDEX($AW$1:$BH$1,
      _xlfn.AGGREGATE(14, 6, COLUMN($AW$1:$BH$1)/(AW576:BH576&lt;&gt;""), 2) - COLUMN($AW$1) + 1
   ),
"")</f>
        <v>46082</v>
      </c>
      <c r="BN576" s="55" cm="1">
        <f t="array" ref="BN576">IFERROR(INDEX($AW$1:$BH$1,1,MATCH(2,1/(AW576:BH576&lt;&gt;""))),"")</f>
        <v>46113</v>
      </c>
      <c r="BO576" s="53">
        <f ca="1">IFERROR(_xlfn.XLOOKUP(F576,Apuração!A:A,Apuração!C:C)/_xlfn.XLOOKUP(F576,Apuração!A:A,Apuração!B:B),0)</f>
        <v>0</v>
      </c>
      <c r="BP576" s="53">
        <f ca="1">IFERROR(_xlfn.XLOOKUP(F576,Apuração!A:A,Apuração!D:D)/_xlfn.XLOOKUP(F576,Apuração!A:A,Apuração!B:B),0)</f>
        <v>0</v>
      </c>
      <c r="BQ576" s="53">
        <f ca="1">IF(BK576&gt;=BO576,0,_xlfn.XLOOKUP(F576,Apuração!A:A,Apuração!B:B)*(BO576 + (1/_xlfn.XLOOKUP(F576,Apuração!A:A,Apuração!B:B)) - BK576))</f>
        <v>0</v>
      </c>
      <c r="BR576" s="85">
        <f t="shared" ca="1" si="915"/>
        <v>0</v>
      </c>
      <c r="BS576" s="53">
        <f ca="1">IFERROR((_xlfn.XLOOKUP(F576,Apuração!A:A,Apuração!C:C)+1)/_xlfn.XLOOKUP(F576,Apuração!A:A,Apuração!B:B),0)</f>
        <v>0.14285714285714285</v>
      </c>
    </row>
    <row r="577" spans="1:71" ht="25.95" hidden="1" customHeight="1" x14ac:dyDescent="0.3">
      <c r="A577" s="41" t="s">
        <v>108</v>
      </c>
      <c r="B577" s="4" t="s">
        <v>109</v>
      </c>
      <c r="C577" s="5" t="s">
        <v>97</v>
      </c>
      <c r="D577" s="5" t="s">
        <v>101</v>
      </c>
      <c r="E577" s="4" t="str" cm="1">
        <f t="array" ref="E577">_xlfn.IFS(
F577 = "A partir de Abril", "Aguardando Execução na Distribuidora",
A577 = "CAPACITAÇÃO", "Em execução no Corporativo",
TRUE, "Em Execução na Distribuidora"
)</f>
        <v>Em Execução na Distribuidora</v>
      </c>
      <c r="F577" s="4" t="str" cm="1">
        <f t="array" ref="F577">_xlfn.IFS(
AG577 &lt;&gt; "", "Jan-Dez/26",
AH577 &lt;&gt; "", "Fev-Dez/26",
AI577 &lt;&gt; "", "Mar-Dez/26", AJ577 &lt;&gt; "", "Abr-Dez/26",
TRUE, "A partir de Junho"
)</f>
        <v>A partir de Junho</v>
      </c>
      <c r="G577" s="4" t="s">
        <v>37</v>
      </c>
      <c r="H577" s="7" t="s">
        <v>38</v>
      </c>
      <c r="I577" s="4" t="s">
        <v>115</v>
      </c>
      <c r="J577" s="8" t="str" cm="1">
        <f t="array" aca="1" ref="J577" ca="1">_xlfn.LET(
  _xlpm.actual_value_month, INDEX(T577:AE577, MATCH(DATE(YEAR(TODAY()), MONTH(TODAY()), 1), $T$1:$AE$1, 0)),
  IF(_xlpm.actual_value_month &lt;&gt; "",_xlpm.actual_value_month &amp; " redução de notificações mensais", "")
)</f>
        <v>43 redução de notificações mensais</v>
      </c>
      <c r="K577" s="8" t="str" cm="1">
        <f t="array" ref="K577">_xlfn.LET(
    _xlpm.sum_month, SUM(T577:AE577),
    IF(_xlpm.sum_month = 0, "", _xlpm.sum_month &amp; " taxa de redução das notificações de excesso de velocidade no ano")
)</f>
        <v>387 taxa de redução das notificações de excesso de velocidade no ano</v>
      </c>
      <c r="L577" s="4" t="s">
        <v>116</v>
      </c>
      <c r="M577" s="4"/>
      <c r="N577" s="45" t="s">
        <v>42</v>
      </c>
      <c r="O577" s="5" t="s">
        <v>43</v>
      </c>
      <c r="P577" s="10" t="s">
        <v>44</v>
      </c>
      <c r="Q577" s="10" t="s">
        <v>44</v>
      </c>
      <c r="R577" s="11" t="s">
        <v>44</v>
      </c>
      <c r="S577" s="11" t="s">
        <v>44</v>
      </c>
      <c r="T577" s="22"/>
      <c r="U577" s="22"/>
      <c r="V577" s="22"/>
      <c r="W577" s="143">
        <v>43</v>
      </c>
      <c r="X577" s="143">
        <v>43</v>
      </c>
      <c r="Y577" s="143">
        <v>43</v>
      </c>
      <c r="Z577" s="143">
        <v>43</v>
      </c>
      <c r="AA577" s="143">
        <v>43</v>
      </c>
      <c r="AB577" s="143">
        <v>43</v>
      </c>
      <c r="AC577" s="143">
        <v>43</v>
      </c>
      <c r="AD577" s="143">
        <v>43</v>
      </c>
      <c r="AE577" s="143">
        <v>43</v>
      </c>
      <c r="AG577" s="71"/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  <c r="AR577" s="71"/>
      <c r="AS577" s="94">
        <f t="shared" ca="1" si="908"/>
        <v>86</v>
      </c>
      <c r="AT577" s="95">
        <f t="shared" si="909"/>
        <v>0</v>
      </c>
      <c r="AU577" s="97">
        <f t="shared" si="910"/>
        <v>0</v>
      </c>
      <c r="AW577" s="51">
        <f t="shared" si="911"/>
        <v>0</v>
      </c>
      <c r="AX577" s="51">
        <f t="shared" si="912"/>
        <v>0</v>
      </c>
      <c r="AY577" s="51">
        <f t="shared" si="913"/>
        <v>0</v>
      </c>
      <c r="AZ577" s="51">
        <f t="shared" si="914"/>
        <v>0</v>
      </c>
      <c r="BA577" s="51"/>
      <c r="BB577" s="51"/>
      <c r="BC577" s="51"/>
      <c r="BD577" s="51"/>
      <c r="BE577" s="51"/>
      <c r="BF577" s="51"/>
      <c r="BG577" s="51"/>
      <c r="BH577" s="51"/>
      <c r="BI577" s="80" cm="1">
        <f t="array" ref="BI577">IFERROR(INDEX(AW577:BH577,1,MATCH(2,1/(AW577:BH577&lt;&gt;""))),"")</f>
        <v>0</v>
      </c>
      <c r="BJ577" s="68" cm="1">
        <f t="array" ref="BJ577">IF(BM577 = "", "",IFERROR(INDEX(AW577:BH577,1,MATCH(2,1/(AW577:BH577&lt;&gt;""),1)-1),""))</f>
        <v>0</v>
      </c>
      <c r="BK577" s="58">
        <f>IF((IF(AW577&gt;=115%,115%,AW577) + IF(AX577&gt;=115%,115%,AX577) + IF(AY577&gt;=115%,115%,AY577) + (IF(AZ577&gt;=115%,115%,AZ577) + IF(BA577&gt;=115%,115%,BA577) + IF(BB577&gt;=115%,115%,BB577) + IF(BC577&gt;=115%,115%,BC577) + IF(BD577&gt;=115%,115%,BD577) + IF(BE577&gt;=115%,115%,BE577) + IF(BF577&gt;=115%,115%,BF577) + IF(BG577&gt;=115%,115%,BG577) + IF(BH577&gt;=115%,115%,BH577)))/_xlfn.XLOOKUP(F577,Apuração!A:A,Apuração!B:B)&gt;=1.15,1.15,((IF(AZ577&gt;=115%,115%,AZ577) + IF(AX577&gt;=115%,115%,AX577) + IF(AY577&gt;=115%,115%,AY577) + (IF(AW577&gt;=115%,115%,AW577) + IF(BA577&gt;=115%,115%,BA577) + IF(BB577&gt;=115%,115%,BB577) + IF(BC577&gt;=115%,115%,BC577) + IF(BD577&gt;=115%,115%,BD577) + IF(BE577&gt;=115%,115%,BE577) + IF(BF577&gt;=115%,115%,BF577) + IF(BG577&gt;=115%,115%,BG577) + IF(BH577&gt;=115%,115%,BH577)))/_xlfn.XLOOKUP(F577,Apuração!A:A,Apuração!B:B)))</f>
        <v>0</v>
      </c>
      <c r="BL577" s="58" cm="1">
        <f t="array" aca="1" ref="BL577" ca="1">IF(SUM(IFERROR(IF(INDEX(AW577:INDEX(AW577:BH577, MATCH(2, 1/(AW577:BH577&lt;&gt;""), 1)-1), ROW(INDIRECT("1:" &amp; MATCH(2, 1/(AW577:BH577&lt;&gt;""), 1)-1))) &gt;= 115%, 115%, INDEX(AW577:INDEX(AW577:BH577, MATCH(2, 1/(AW577:BH577&lt;&gt;""), 1)-1), ROW(INDIRECT("1:" &amp; MATCH(2, 1/(AW577:BH577&lt;&gt;""), 1)-1)))), 0))/_xlfn.XLOOKUP(F577,Apuração!A:A,Apuração!B:B)&gt;=1.15,1.15,SUM(IFERROR(IF(INDEX(AW577:INDEX(AW577:BH577, MATCH(2, 1/(AW577:BH577&lt;&gt;""), 1)-1), ROW(INDIRECT("1:" &amp; MATCH(2, 1/(AW577:BH577&lt;&gt;""), 1)-1))) &gt;= 115%, 115%, INDEX(AW577:INDEX(AW577:BH577, MATCH(2, 1/(AW577:BH577&lt;&gt;""), 1)-1), ROW(INDIRECT("1:" &amp; MATCH(2, 1/(AW577:BH577&lt;&gt;""), 1)-1)))), 0))/_xlfn.XLOOKUP(F577,Apuração!A:A,Apuração!B:B))</f>
        <v>0</v>
      </c>
      <c r="BM577" s="55" cm="1">
        <f t="array" ref="BM577">IFERROR(
   INDEX($AW$1:$BH$1,
      _xlfn.AGGREGATE(14, 6, COLUMN($AW$1:$BH$1)/(AW577:BH577&lt;&gt;""), 2) - COLUMN($AW$1) + 1
   ),
"")</f>
        <v>46082</v>
      </c>
      <c r="BN577" s="55" cm="1">
        <f t="array" ref="BN577">IFERROR(INDEX($AW$1:$BH$1,1,MATCH(2,1/(AW577:BH577&lt;&gt;""))),"")</f>
        <v>46113</v>
      </c>
      <c r="BO577" s="53">
        <f ca="1">IFERROR(_xlfn.XLOOKUP(F577,Apuração!A:A,Apuração!C:C)/_xlfn.XLOOKUP(F577,Apuração!A:A,Apuração!B:B),0)</f>
        <v>0</v>
      </c>
      <c r="BP577" s="53">
        <f ca="1">IFERROR(_xlfn.XLOOKUP(F577,Apuração!A:A,Apuração!D:D)/_xlfn.XLOOKUP(F577,Apuração!A:A,Apuração!B:B),0)</f>
        <v>0</v>
      </c>
      <c r="BQ577" s="53">
        <f ca="1">IF(BK577&gt;=BO577,0,_xlfn.XLOOKUP(F577,Apuração!A:A,Apuração!B:B)*(BO577 + (1/_xlfn.XLOOKUP(F577,Apuração!A:A,Apuração!B:B)) - BK577))</f>
        <v>0</v>
      </c>
      <c r="BR577" s="85">
        <f t="shared" ca="1" si="915"/>
        <v>0</v>
      </c>
      <c r="BS577" s="53">
        <f ca="1">IFERROR((_xlfn.XLOOKUP(F577,Apuração!A:A,Apuração!C:C)+1)/_xlfn.XLOOKUP(F577,Apuração!A:A,Apuração!B:B),0)</f>
        <v>0.14285714285714285</v>
      </c>
    </row>
    <row r="578" spans="1:71" ht="25.95" hidden="1" customHeight="1" x14ac:dyDescent="0.3">
      <c r="A578" s="41" t="s">
        <v>108</v>
      </c>
      <c r="B578" s="4" t="s">
        <v>109</v>
      </c>
      <c r="C578" s="5" t="s">
        <v>97</v>
      </c>
      <c r="D578" s="5" t="s">
        <v>102</v>
      </c>
      <c r="E578" s="4" t="str" cm="1">
        <f t="array" ref="E578">_xlfn.IFS(
F578 = "A partir de Abril", "Aguardando Execução na Distribuidora",
A578 = "CAPACITAÇÃO", "Em execução no Corporativo",
TRUE, "Em Execução na Distribuidora"
)</f>
        <v>Em Execução na Distribuidora</v>
      </c>
      <c r="F578" s="4" t="str" cm="1">
        <f t="array" ref="F578">_xlfn.IFS(
AG578 &lt;&gt; "", "Jan-Dez/26",
AH578 &lt;&gt; "", "Fev-Dez/26",
AI578 &lt;&gt; "", "Mar-Dez/26", AJ578 &lt;&gt; "", "Abr-Dez/26",
TRUE, "A partir de Junho"
)</f>
        <v>A partir de Junho</v>
      </c>
      <c r="G578" s="4" t="s">
        <v>37</v>
      </c>
      <c r="H578" s="7" t="s">
        <v>38</v>
      </c>
      <c r="I578" s="4" t="s">
        <v>115</v>
      </c>
      <c r="J578" s="8" t="str" cm="1">
        <f t="array" aca="1" ref="J578" ca="1">_xlfn.LET(
  _xlpm.actual_value_month, INDEX(T578:AE578, MATCH(DATE(YEAR(TODAY()), MONTH(TODAY()), 1), $T$1:$AE$1, 0)),
  IF(_xlpm.actual_value_month &lt;&gt; "",_xlpm.actual_value_month &amp; " redução de notificações mensais", "")
)</f>
        <v>43 redução de notificações mensais</v>
      </c>
      <c r="K578" s="8" t="str" cm="1">
        <f t="array" ref="K578">_xlfn.LET(
    _xlpm.sum_month, SUM(T578:AE578),
    IF(_xlpm.sum_month = 0, "", _xlpm.sum_month &amp; " taxa de redução das notificações de excesso de velocidade no ano")
)</f>
        <v>387 taxa de redução das notificações de excesso de velocidade no ano</v>
      </c>
      <c r="L578" s="4" t="s">
        <v>116</v>
      </c>
      <c r="M578" s="4"/>
      <c r="N578" s="45" t="s">
        <v>42</v>
      </c>
      <c r="O578" s="5" t="s">
        <v>43</v>
      </c>
      <c r="P578" s="10" t="s">
        <v>44</v>
      </c>
      <c r="Q578" s="10" t="s">
        <v>44</v>
      </c>
      <c r="R578" s="11" t="s">
        <v>44</v>
      </c>
      <c r="S578" s="11" t="s">
        <v>44</v>
      </c>
      <c r="T578" s="22"/>
      <c r="U578" s="22"/>
      <c r="V578" s="22"/>
      <c r="W578" s="143">
        <v>43</v>
      </c>
      <c r="X578" s="143">
        <v>43</v>
      </c>
      <c r="Y578" s="143">
        <v>43</v>
      </c>
      <c r="Z578" s="143">
        <v>43</v>
      </c>
      <c r="AA578" s="143">
        <v>43</v>
      </c>
      <c r="AB578" s="143">
        <v>43</v>
      </c>
      <c r="AC578" s="143">
        <v>43</v>
      </c>
      <c r="AD578" s="143">
        <v>43</v>
      </c>
      <c r="AE578" s="143">
        <v>43</v>
      </c>
      <c r="AG578" s="71"/>
      <c r="AH578" s="71"/>
      <c r="AI578" s="71"/>
      <c r="AJ578" s="71"/>
      <c r="AK578" s="71"/>
      <c r="AL578" s="71"/>
      <c r="AM578" s="71"/>
      <c r="AN578" s="71"/>
      <c r="AO578" s="71"/>
      <c r="AP578" s="71"/>
      <c r="AQ578" s="71"/>
      <c r="AR578" s="71"/>
      <c r="AS578" s="94">
        <f t="shared" ca="1" si="908"/>
        <v>86</v>
      </c>
      <c r="AT578" s="95">
        <f t="shared" si="909"/>
        <v>0</v>
      </c>
      <c r="AU578" s="97">
        <f t="shared" si="910"/>
        <v>0</v>
      </c>
      <c r="AW578" s="51">
        <f t="shared" si="911"/>
        <v>0</v>
      </c>
      <c r="AX578" s="51">
        <f t="shared" si="912"/>
        <v>0</v>
      </c>
      <c r="AY578" s="51">
        <f t="shared" si="913"/>
        <v>0</v>
      </c>
      <c r="AZ578" s="51">
        <f t="shared" si="914"/>
        <v>0</v>
      </c>
      <c r="BA578" s="51"/>
      <c r="BB578" s="51"/>
      <c r="BC578" s="51"/>
      <c r="BD578" s="51"/>
      <c r="BE578" s="51"/>
      <c r="BF578" s="51"/>
      <c r="BG578" s="51"/>
      <c r="BH578" s="51"/>
      <c r="BI578" s="80" cm="1">
        <f t="array" ref="BI578">IFERROR(INDEX(AW578:BH578,1,MATCH(2,1/(AW578:BH578&lt;&gt;""))),"")</f>
        <v>0</v>
      </c>
      <c r="BJ578" s="68" cm="1">
        <f t="array" ref="BJ578">IF(BM578 = "", "",IFERROR(INDEX(AW578:BH578,1,MATCH(2,1/(AW578:BH578&lt;&gt;""),1)-1),""))</f>
        <v>0</v>
      </c>
      <c r="BK578" s="58">
        <f>IF((IF(AW578&gt;=115%,115%,AW578) + IF(AX578&gt;=115%,115%,AX578) + IF(AY578&gt;=115%,115%,AY578) + (IF(AZ578&gt;=115%,115%,AZ578) + IF(BA578&gt;=115%,115%,BA578) + IF(BB578&gt;=115%,115%,BB578) + IF(BC578&gt;=115%,115%,BC578) + IF(BD578&gt;=115%,115%,BD578) + IF(BE578&gt;=115%,115%,BE578) + IF(BF578&gt;=115%,115%,BF578) + IF(BG578&gt;=115%,115%,BG578) + IF(BH578&gt;=115%,115%,BH578)))/_xlfn.XLOOKUP(F578,Apuração!A:A,Apuração!B:B)&gt;=1.15,1.15,((IF(AZ578&gt;=115%,115%,AZ578) + IF(AX578&gt;=115%,115%,AX578) + IF(AY578&gt;=115%,115%,AY578) + (IF(AW578&gt;=115%,115%,AW578) + IF(BA578&gt;=115%,115%,BA578) + IF(BB578&gt;=115%,115%,BB578) + IF(BC578&gt;=115%,115%,BC578) + IF(BD578&gt;=115%,115%,BD578) + IF(BE578&gt;=115%,115%,BE578) + IF(BF578&gt;=115%,115%,BF578) + IF(BG578&gt;=115%,115%,BG578) + IF(BH578&gt;=115%,115%,BH578)))/_xlfn.XLOOKUP(F578,Apuração!A:A,Apuração!B:B)))</f>
        <v>0</v>
      </c>
      <c r="BL578" s="58" cm="1">
        <f t="array" aca="1" ref="BL578" ca="1">IF(SUM(IFERROR(IF(INDEX(AW578:INDEX(AW578:BH578, MATCH(2, 1/(AW578:BH578&lt;&gt;""), 1)-1), ROW(INDIRECT("1:" &amp; MATCH(2, 1/(AW578:BH578&lt;&gt;""), 1)-1))) &gt;= 115%, 115%, INDEX(AW578:INDEX(AW578:BH578, MATCH(2, 1/(AW578:BH578&lt;&gt;""), 1)-1), ROW(INDIRECT("1:" &amp; MATCH(2, 1/(AW578:BH578&lt;&gt;""), 1)-1)))), 0))/_xlfn.XLOOKUP(F578,Apuração!A:A,Apuração!B:B)&gt;=1.15,1.15,SUM(IFERROR(IF(INDEX(AW578:INDEX(AW578:BH578, MATCH(2, 1/(AW578:BH578&lt;&gt;""), 1)-1), ROW(INDIRECT("1:" &amp; MATCH(2, 1/(AW578:BH578&lt;&gt;""), 1)-1))) &gt;= 115%, 115%, INDEX(AW578:INDEX(AW578:BH578, MATCH(2, 1/(AW578:BH578&lt;&gt;""), 1)-1), ROW(INDIRECT("1:" &amp; MATCH(2, 1/(AW578:BH578&lt;&gt;""), 1)-1)))), 0))/_xlfn.XLOOKUP(F578,Apuração!A:A,Apuração!B:B))</f>
        <v>0</v>
      </c>
      <c r="BM578" s="55" cm="1">
        <f t="array" ref="BM578">IFERROR(
   INDEX($AW$1:$BH$1,
      _xlfn.AGGREGATE(14, 6, COLUMN($AW$1:$BH$1)/(AW578:BH578&lt;&gt;""), 2) - COLUMN($AW$1) + 1
   ),
"")</f>
        <v>46082</v>
      </c>
      <c r="BN578" s="55" cm="1">
        <f t="array" ref="BN578">IFERROR(INDEX($AW$1:$BH$1,1,MATCH(2,1/(AW578:BH578&lt;&gt;""))),"")</f>
        <v>46113</v>
      </c>
      <c r="BO578" s="53">
        <f ca="1">IFERROR(_xlfn.XLOOKUP(F578,Apuração!A:A,Apuração!C:C)/_xlfn.XLOOKUP(F578,Apuração!A:A,Apuração!B:B),0)</f>
        <v>0</v>
      </c>
      <c r="BP578" s="53">
        <f ca="1">IFERROR(_xlfn.XLOOKUP(F578,Apuração!A:A,Apuração!D:D)/_xlfn.XLOOKUP(F578,Apuração!A:A,Apuração!B:B),0)</f>
        <v>0</v>
      </c>
      <c r="BQ578" s="53">
        <f ca="1">IF(BK578&gt;=BO578,0,_xlfn.XLOOKUP(F578,Apuração!A:A,Apuração!B:B)*(BO578 + (1/_xlfn.XLOOKUP(F578,Apuração!A:A,Apuração!B:B)) - BK578))</f>
        <v>0</v>
      </c>
      <c r="BR578" s="85">
        <f t="shared" ca="1" si="915"/>
        <v>0</v>
      </c>
      <c r="BS578" s="53">
        <f ca="1">IFERROR((_xlfn.XLOOKUP(F578,Apuração!A:A,Apuração!C:C)+1)/_xlfn.XLOOKUP(F578,Apuração!A:A,Apuração!B:B),0)</f>
        <v>0.14285714285714285</v>
      </c>
    </row>
    <row r="579" spans="1:71" ht="25.95" hidden="1" customHeight="1" x14ac:dyDescent="0.3">
      <c r="A579" s="41" t="s">
        <v>108</v>
      </c>
      <c r="B579" s="4" t="s">
        <v>109</v>
      </c>
      <c r="C579" s="5" t="s">
        <v>97</v>
      </c>
      <c r="D579" s="5" t="s">
        <v>103</v>
      </c>
      <c r="E579" s="4" t="str" cm="1">
        <f t="array" ref="E579">_xlfn.IFS(
F579 = "A partir de Abril", "Aguardando Execução na Distribuidora",
A579 = "CAPACITAÇÃO", "Em execução no Corporativo",
TRUE, "Em Execução na Distribuidora"
)</f>
        <v>Em Execução na Distribuidora</v>
      </c>
      <c r="F579" s="4" t="str" cm="1">
        <f t="array" ref="F579">_xlfn.IFS(
AG579 &lt;&gt; "", "Jan-Dez/26",
AH579 &lt;&gt; "", "Fev-Dez/26",
AI579 &lt;&gt; "", "Mar-Dez/26", AJ579 &lt;&gt; "", "Abr-Dez/26",
TRUE, "A partir de Junho"
)</f>
        <v>A partir de Junho</v>
      </c>
      <c r="G579" s="4" t="s">
        <v>37</v>
      </c>
      <c r="H579" s="7" t="s">
        <v>38</v>
      </c>
      <c r="I579" s="4" t="s">
        <v>115</v>
      </c>
      <c r="J579" s="8" t="str" cm="1">
        <f t="array" aca="1" ref="J579" ca="1">_xlfn.LET(
  _xlpm.actual_value_month, INDEX(T579:AE579, MATCH(DATE(YEAR(TODAY()), MONTH(TODAY()), 1), $T$1:$AE$1, 0)),
  IF(_xlpm.actual_value_month &lt;&gt; "",_xlpm.actual_value_month &amp; " redução de notificações mensais", "")
)</f>
        <v>43 redução de notificações mensais</v>
      </c>
      <c r="K579" s="8" t="str" cm="1">
        <f t="array" ref="K579">_xlfn.LET(
    _xlpm.sum_month, SUM(T579:AE579),
    IF(_xlpm.sum_month = 0, "", _xlpm.sum_month &amp; " taxa de redução das notificações de excesso de velocidade no ano")
)</f>
        <v>387 taxa de redução das notificações de excesso de velocidade no ano</v>
      </c>
      <c r="L579" s="4" t="s">
        <v>116</v>
      </c>
      <c r="M579" s="4"/>
      <c r="N579" s="45" t="s">
        <v>42</v>
      </c>
      <c r="O579" s="5" t="s">
        <v>43</v>
      </c>
      <c r="P579" s="10" t="s">
        <v>44</v>
      </c>
      <c r="Q579" s="10" t="s">
        <v>44</v>
      </c>
      <c r="R579" s="11" t="s">
        <v>44</v>
      </c>
      <c r="S579" s="11" t="s">
        <v>44</v>
      </c>
      <c r="T579" s="22"/>
      <c r="U579" s="22"/>
      <c r="V579" s="22"/>
      <c r="W579" s="143">
        <v>43</v>
      </c>
      <c r="X579" s="143">
        <v>43</v>
      </c>
      <c r="Y579" s="143">
        <v>43</v>
      </c>
      <c r="Z579" s="143">
        <v>43</v>
      </c>
      <c r="AA579" s="143">
        <v>43</v>
      </c>
      <c r="AB579" s="143">
        <v>43</v>
      </c>
      <c r="AC579" s="143">
        <v>43</v>
      </c>
      <c r="AD579" s="143">
        <v>43</v>
      </c>
      <c r="AE579" s="143">
        <v>43</v>
      </c>
      <c r="AG579" s="71"/>
      <c r="AH579" s="71"/>
      <c r="AI579" s="71"/>
      <c r="AJ579" s="71"/>
      <c r="AK579" s="71"/>
      <c r="AL579" s="71"/>
      <c r="AM579" s="71"/>
      <c r="AN579" s="71"/>
      <c r="AO579" s="71"/>
      <c r="AP579" s="71"/>
      <c r="AQ579" s="71"/>
      <c r="AR579" s="71"/>
      <c r="AS579" s="94">
        <f t="shared" ca="1" si="908"/>
        <v>86</v>
      </c>
      <c r="AT579" s="95">
        <f t="shared" si="909"/>
        <v>0</v>
      </c>
      <c r="AU579" s="97">
        <f t="shared" si="910"/>
        <v>0</v>
      </c>
      <c r="AW579" s="51">
        <f t="shared" si="911"/>
        <v>0</v>
      </c>
      <c r="AX579" s="51">
        <f t="shared" si="912"/>
        <v>0</v>
      </c>
      <c r="AY579" s="51">
        <f t="shared" si="913"/>
        <v>0</v>
      </c>
      <c r="AZ579" s="51">
        <f t="shared" si="914"/>
        <v>0</v>
      </c>
      <c r="BA579" s="51"/>
      <c r="BB579" s="51"/>
      <c r="BC579" s="51"/>
      <c r="BD579" s="51"/>
      <c r="BE579" s="51"/>
      <c r="BF579" s="51"/>
      <c r="BG579" s="51"/>
      <c r="BH579" s="51"/>
      <c r="BI579" s="80" cm="1">
        <f t="array" ref="BI579">IFERROR(INDEX(AW579:BH579,1,MATCH(2,1/(AW579:BH579&lt;&gt;""))),"")</f>
        <v>0</v>
      </c>
      <c r="BJ579" s="68" cm="1">
        <f t="array" ref="BJ579">IF(BM579 = "", "",IFERROR(INDEX(AW579:BH579,1,MATCH(2,1/(AW579:BH579&lt;&gt;""),1)-1),""))</f>
        <v>0</v>
      </c>
      <c r="BK579" s="58">
        <f>IF((IF(AW579&gt;=115%,115%,AW579) + IF(AX579&gt;=115%,115%,AX579) + IF(AY579&gt;=115%,115%,AY579) + (IF(AZ579&gt;=115%,115%,AZ579) + IF(BA579&gt;=115%,115%,BA579) + IF(BB579&gt;=115%,115%,BB579) + IF(BC579&gt;=115%,115%,BC579) + IF(BD579&gt;=115%,115%,BD579) + IF(BE579&gt;=115%,115%,BE579) + IF(BF579&gt;=115%,115%,BF579) + IF(BG579&gt;=115%,115%,BG579) + IF(BH579&gt;=115%,115%,BH579)))/_xlfn.XLOOKUP(F579,Apuração!A:A,Apuração!B:B)&gt;=1.15,1.15,((IF(AZ579&gt;=115%,115%,AZ579) + IF(AX579&gt;=115%,115%,AX579) + IF(AY579&gt;=115%,115%,AY579) + (IF(AW579&gt;=115%,115%,AW579) + IF(BA579&gt;=115%,115%,BA579) + IF(BB579&gt;=115%,115%,BB579) + IF(BC579&gt;=115%,115%,BC579) + IF(BD579&gt;=115%,115%,BD579) + IF(BE579&gt;=115%,115%,BE579) + IF(BF579&gt;=115%,115%,BF579) + IF(BG579&gt;=115%,115%,BG579) + IF(BH579&gt;=115%,115%,BH579)))/_xlfn.XLOOKUP(F579,Apuração!A:A,Apuração!B:B)))</f>
        <v>0</v>
      </c>
      <c r="BL579" s="58" cm="1">
        <f t="array" aca="1" ref="BL579" ca="1">IF(SUM(IFERROR(IF(INDEX(AW579:INDEX(AW579:BH579, MATCH(2, 1/(AW579:BH579&lt;&gt;""), 1)-1), ROW(INDIRECT("1:" &amp; MATCH(2, 1/(AW579:BH579&lt;&gt;""), 1)-1))) &gt;= 115%, 115%, INDEX(AW579:INDEX(AW579:BH579, MATCH(2, 1/(AW579:BH579&lt;&gt;""), 1)-1), ROW(INDIRECT("1:" &amp; MATCH(2, 1/(AW579:BH579&lt;&gt;""), 1)-1)))), 0))/_xlfn.XLOOKUP(F579,Apuração!A:A,Apuração!B:B)&gt;=1.15,1.15,SUM(IFERROR(IF(INDEX(AW579:INDEX(AW579:BH579, MATCH(2, 1/(AW579:BH579&lt;&gt;""), 1)-1), ROW(INDIRECT("1:" &amp; MATCH(2, 1/(AW579:BH579&lt;&gt;""), 1)-1))) &gt;= 115%, 115%, INDEX(AW579:INDEX(AW579:BH579, MATCH(2, 1/(AW579:BH579&lt;&gt;""), 1)-1), ROW(INDIRECT("1:" &amp; MATCH(2, 1/(AW579:BH579&lt;&gt;""), 1)-1)))), 0))/_xlfn.XLOOKUP(F579,Apuração!A:A,Apuração!B:B))</f>
        <v>0</v>
      </c>
      <c r="BM579" s="55" cm="1">
        <f t="array" ref="BM579">IFERROR(
   INDEX($AW$1:$BH$1,
      _xlfn.AGGREGATE(14, 6, COLUMN($AW$1:$BH$1)/(AW579:BH579&lt;&gt;""), 2) - COLUMN($AW$1) + 1
   ),
"")</f>
        <v>46082</v>
      </c>
      <c r="BN579" s="55" cm="1">
        <f t="array" ref="BN579">IFERROR(INDEX($AW$1:$BH$1,1,MATCH(2,1/(AW579:BH579&lt;&gt;""))),"")</f>
        <v>46113</v>
      </c>
      <c r="BO579" s="53">
        <f ca="1">IFERROR(_xlfn.XLOOKUP(F579,Apuração!A:A,Apuração!C:C)/_xlfn.XLOOKUP(F579,Apuração!A:A,Apuração!B:B),0)</f>
        <v>0</v>
      </c>
      <c r="BP579" s="53">
        <f ca="1">IFERROR(_xlfn.XLOOKUP(F579,Apuração!A:A,Apuração!D:D)/_xlfn.XLOOKUP(F579,Apuração!A:A,Apuração!B:B),0)</f>
        <v>0</v>
      </c>
      <c r="BQ579" s="53">
        <f ca="1">IF(BK579&gt;=BO579,0,_xlfn.XLOOKUP(F579,Apuração!A:A,Apuração!B:B)*(BO579 + (1/_xlfn.XLOOKUP(F579,Apuração!A:A,Apuração!B:B)) - BK579))</f>
        <v>0</v>
      </c>
      <c r="BR579" s="85">
        <f t="shared" ca="1" si="915"/>
        <v>0</v>
      </c>
      <c r="BS579" s="53">
        <f ca="1">IFERROR((_xlfn.XLOOKUP(F579,Apuração!A:A,Apuração!C:C)+1)/_xlfn.XLOOKUP(F579,Apuração!A:A,Apuração!B:B),0)</f>
        <v>0.14285714285714285</v>
      </c>
    </row>
    <row r="580" spans="1:71" ht="25.95" hidden="1" customHeight="1" x14ac:dyDescent="0.3">
      <c r="A580" s="41" t="s">
        <v>108</v>
      </c>
      <c r="B580" s="4" t="s">
        <v>109</v>
      </c>
      <c r="C580" s="5" t="s">
        <v>97</v>
      </c>
      <c r="D580" s="5" t="s">
        <v>104</v>
      </c>
      <c r="E580" s="4" t="str" cm="1">
        <f t="array" ref="E580">_xlfn.IFS(
F580 = "A partir de Abril", "Aguardando Execução na Distribuidora",
A580 = "CAPACITAÇÃO", "Em execução no Corporativo",
TRUE, "Em Execução na Distribuidora"
)</f>
        <v>Em Execução na Distribuidora</v>
      </c>
      <c r="F580" s="4" t="str" cm="1">
        <f t="array" ref="F580">_xlfn.IFS(
AG580 &lt;&gt; "", "Jan-Dez/26",
AH580 &lt;&gt; "", "Fev-Dez/26",
AI580 &lt;&gt; "", "Mar-Dez/26", AJ580 &lt;&gt; "", "Abr-Dez/26",
TRUE, "A partir de Junho"
)</f>
        <v>A partir de Junho</v>
      </c>
      <c r="G580" s="4" t="s">
        <v>37</v>
      </c>
      <c r="H580" s="7" t="s">
        <v>38</v>
      </c>
      <c r="I580" s="4" t="s">
        <v>115</v>
      </c>
      <c r="J580" s="8" t="str" cm="1">
        <f t="array" aca="1" ref="J580" ca="1">_xlfn.LET(
  _xlpm.actual_value_month, INDEX(T580:AE580, MATCH(DATE(YEAR(TODAY()), MONTH(TODAY()), 1), $T$1:$AE$1, 0)),
  IF(_xlpm.actual_value_month &lt;&gt; "",_xlpm.actual_value_month &amp; " redução de notificações mensais", "")
)</f>
        <v>43 redução de notificações mensais</v>
      </c>
      <c r="K580" s="8" t="str" cm="1">
        <f t="array" ref="K580">_xlfn.LET(
    _xlpm.sum_month, SUM(T580:AE580),
    IF(_xlpm.sum_month = 0, "", _xlpm.sum_month &amp; " taxa de redução das notificações de excesso de velocidade no ano")
)</f>
        <v>387 taxa de redução das notificações de excesso de velocidade no ano</v>
      </c>
      <c r="L580" s="4" t="s">
        <v>116</v>
      </c>
      <c r="M580" s="4"/>
      <c r="N580" s="45" t="s">
        <v>42</v>
      </c>
      <c r="O580" s="5" t="s">
        <v>43</v>
      </c>
      <c r="P580" s="10" t="s">
        <v>44</v>
      </c>
      <c r="Q580" s="10" t="s">
        <v>44</v>
      </c>
      <c r="R580" s="11" t="s">
        <v>44</v>
      </c>
      <c r="S580" s="11" t="s">
        <v>44</v>
      </c>
      <c r="T580" s="22"/>
      <c r="U580" s="22"/>
      <c r="V580" s="22"/>
      <c r="W580" s="143">
        <v>43</v>
      </c>
      <c r="X580" s="143">
        <v>43</v>
      </c>
      <c r="Y580" s="143">
        <v>43</v>
      </c>
      <c r="Z580" s="143">
        <v>43</v>
      </c>
      <c r="AA580" s="143">
        <v>43</v>
      </c>
      <c r="AB580" s="143">
        <v>43</v>
      </c>
      <c r="AC580" s="143">
        <v>43</v>
      </c>
      <c r="AD580" s="143">
        <v>43</v>
      </c>
      <c r="AE580" s="143">
        <v>43</v>
      </c>
      <c r="AG580" s="71"/>
      <c r="AH580" s="71"/>
      <c r="AI580" s="71"/>
      <c r="AJ580" s="71"/>
      <c r="AK580" s="71"/>
      <c r="AL580" s="71"/>
      <c r="AM580" s="71"/>
      <c r="AN580" s="71"/>
      <c r="AO580" s="71"/>
      <c r="AP580" s="71"/>
      <c r="AQ580" s="71"/>
      <c r="AR580" s="71"/>
      <c r="AS580" s="94">
        <f t="shared" ca="1" si="908"/>
        <v>86</v>
      </c>
      <c r="AT580" s="95">
        <f t="shared" si="909"/>
        <v>0</v>
      </c>
      <c r="AU580" s="97">
        <f t="shared" si="910"/>
        <v>0</v>
      </c>
      <c r="AW580" s="51">
        <f t="shared" si="911"/>
        <v>0</v>
      </c>
      <c r="AX580" s="51">
        <f t="shared" si="912"/>
        <v>0</v>
      </c>
      <c r="AY580" s="51">
        <f t="shared" si="913"/>
        <v>0</v>
      </c>
      <c r="AZ580" s="51">
        <f t="shared" si="914"/>
        <v>0</v>
      </c>
      <c r="BA580" s="51"/>
      <c r="BB580" s="51"/>
      <c r="BC580" s="51"/>
      <c r="BD580" s="51"/>
      <c r="BE580" s="51"/>
      <c r="BF580" s="51"/>
      <c r="BG580" s="51"/>
      <c r="BH580" s="51"/>
      <c r="BI580" s="80" cm="1">
        <f t="array" ref="BI580">IFERROR(INDEX(AW580:BH580,1,MATCH(2,1/(AW580:BH580&lt;&gt;""))),"")</f>
        <v>0</v>
      </c>
      <c r="BJ580" s="68" cm="1">
        <f t="array" ref="BJ580">IF(BM580 = "", "",IFERROR(INDEX(AW580:BH580,1,MATCH(2,1/(AW580:BH580&lt;&gt;""),1)-1),""))</f>
        <v>0</v>
      </c>
      <c r="BK580" s="58">
        <f>IF((IF(AW580&gt;=115%,115%,AW580) + IF(AX580&gt;=115%,115%,AX580) + IF(AY580&gt;=115%,115%,AY580) + (IF(AZ580&gt;=115%,115%,AZ580) + IF(BA580&gt;=115%,115%,BA580) + IF(BB580&gt;=115%,115%,BB580) + IF(BC580&gt;=115%,115%,BC580) + IF(BD580&gt;=115%,115%,BD580) + IF(BE580&gt;=115%,115%,BE580) + IF(BF580&gt;=115%,115%,BF580) + IF(BG580&gt;=115%,115%,BG580) + IF(BH580&gt;=115%,115%,BH580)))/_xlfn.XLOOKUP(F580,Apuração!A:A,Apuração!B:B)&gt;=1.15,1.15,((IF(AZ580&gt;=115%,115%,AZ580) + IF(AX580&gt;=115%,115%,AX580) + IF(AY580&gt;=115%,115%,AY580) + (IF(AW580&gt;=115%,115%,AW580) + IF(BA580&gt;=115%,115%,BA580) + IF(BB580&gt;=115%,115%,BB580) + IF(BC580&gt;=115%,115%,BC580) + IF(BD580&gt;=115%,115%,BD580) + IF(BE580&gt;=115%,115%,BE580) + IF(BF580&gt;=115%,115%,BF580) + IF(BG580&gt;=115%,115%,BG580) + IF(BH580&gt;=115%,115%,BH580)))/_xlfn.XLOOKUP(F580,Apuração!A:A,Apuração!B:B)))</f>
        <v>0</v>
      </c>
      <c r="BL580" s="58" cm="1">
        <f t="array" aca="1" ref="BL580" ca="1">IF(SUM(IFERROR(IF(INDEX(AW580:INDEX(AW580:BH580, MATCH(2, 1/(AW580:BH580&lt;&gt;""), 1)-1), ROW(INDIRECT("1:" &amp; MATCH(2, 1/(AW580:BH580&lt;&gt;""), 1)-1))) &gt;= 115%, 115%, INDEX(AW580:INDEX(AW580:BH580, MATCH(2, 1/(AW580:BH580&lt;&gt;""), 1)-1), ROW(INDIRECT("1:" &amp; MATCH(2, 1/(AW580:BH580&lt;&gt;""), 1)-1)))), 0))/_xlfn.XLOOKUP(F580,Apuração!A:A,Apuração!B:B)&gt;=1.15,1.15,SUM(IFERROR(IF(INDEX(AW580:INDEX(AW580:BH580, MATCH(2, 1/(AW580:BH580&lt;&gt;""), 1)-1), ROW(INDIRECT("1:" &amp; MATCH(2, 1/(AW580:BH580&lt;&gt;""), 1)-1))) &gt;= 115%, 115%, INDEX(AW580:INDEX(AW580:BH580, MATCH(2, 1/(AW580:BH580&lt;&gt;""), 1)-1), ROW(INDIRECT("1:" &amp; MATCH(2, 1/(AW580:BH580&lt;&gt;""), 1)-1)))), 0))/_xlfn.XLOOKUP(F580,Apuração!A:A,Apuração!B:B))</f>
        <v>0</v>
      </c>
      <c r="BM580" s="55" cm="1">
        <f t="array" ref="BM580">IFERROR(
   INDEX($AW$1:$BH$1,
      _xlfn.AGGREGATE(14, 6, COLUMN($AW$1:$BH$1)/(AW580:BH580&lt;&gt;""), 2) - COLUMN($AW$1) + 1
   ),
"")</f>
        <v>46082</v>
      </c>
      <c r="BN580" s="55" cm="1">
        <f t="array" ref="BN580">IFERROR(INDEX($AW$1:$BH$1,1,MATCH(2,1/(AW580:BH580&lt;&gt;""))),"")</f>
        <v>46113</v>
      </c>
      <c r="BO580" s="53">
        <f ca="1">IFERROR(_xlfn.XLOOKUP(F580,Apuração!A:A,Apuração!C:C)/_xlfn.XLOOKUP(F580,Apuração!A:A,Apuração!B:B),0)</f>
        <v>0</v>
      </c>
      <c r="BP580" s="53">
        <f ca="1">IFERROR(_xlfn.XLOOKUP(F580,Apuração!A:A,Apuração!D:D)/_xlfn.XLOOKUP(F580,Apuração!A:A,Apuração!B:B),0)</f>
        <v>0</v>
      </c>
      <c r="BQ580" s="53">
        <f ca="1">IF(BK580&gt;=BO580,0,_xlfn.XLOOKUP(F580,Apuração!A:A,Apuração!B:B)*(BO580 + (1/_xlfn.XLOOKUP(F580,Apuração!A:A,Apuração!B:B)) - BK580))</f>
        <v>0</v>
      </c>
      <c r="BR580" s="85">
        <f t="shared" ca="1" si="915"/>
        <v>0</v>
      </c>
      <c r="BS580" s="53">
        <f ca="1">IFERROR((_xlfn.XLOOKUP(F580,Apuração!A:A,Apuração!C:C)+1)/_xlfn.XLOOKUP(F580,Apuração!A:A,Apuração!B:B),0)</f>
        <v>0.14285714285714285</v>
      </c>
    </row>
    <row r="581" spans="1:71" ht="25.95" hidden="1" customHeight="1" x14ac:dyDescent="0.3">
      <c r="A581" s="41" t="s">
        <v>108</v>
      </c>
      <c r="B581" s="4" t="s">
        <v>109</v>
      </c>
      <c r="C581" s="5" t="s">
        <v>97</v>
      </c>
      <c r="D581" s="5" t="s">
        <v>105</v>
      </c>
      <c r="E581" s="4" t="str" cm="1">
        <f t="array" ref="E581">_xlfn.IFS(
F581 = "A partir de Abril", "Aguardando Execução na Distribuidora",
A581 = "CAPACITAÇÃO", "Em execução no Corporativo",
TRUE, "Em Execução na Distribuidora"
)</f>
        <v>Em Execução na Distribuidora</v>
      </c>
      <c r="F581" s="4" t="str" cm="1">
        <f t="array" ref="F581">_xlfn.IFS(
AG581 &lt;&gt; "", "Jan-Dez/26",
AH581 &lt;&gt; "", "Fev-Dez/26",
AI581 &lt;&gt; "", "Mar-Dez/26", AJ581 &lt;&gt; "", "Abr-Dez/26",
TRUE, "A partir de Junho"
)</f>
        <v>A partir de Junho</v>
      </c>
      <c r="G581" s="4" t="s">
        <v>37</v>
      </c>
      <c r="H581" s="7" t="s">
        <v>38</v>
      </c>
      <c r="I581" s="4" t="s">
        <v>115</v>
      </c>
      <c r="J581" s="8" t="str" cm="1">
        <f t="array" aca="1" ref="J581" ca="1">_xlfn.LET(
  _xlpm.actual_value_month, INDEX(T581:AE581, MATCH(DATE(YEAR(TODAY()), MONTH(TODAY()), 1), $T$1:$AE$1, 0)),
  IF(_xlpm.actual_value_month &lt;&gt; "",_xlpm.actual_value_month &amp; " redução de notificações mensais", "")
)</f>
        <v>43 redução de notificações mensais</v>
      </c>
      <c r="K581" s="8" t="str" cm="1">
        <f t="array" ref="K581">_xlfn.LET(
    _xlpm.sum_month, SUM(T581:AE581),
    IF(_xlpm.sum_month = 0, "", _xlpm.sum_month &amp; " taxa de redução das notificações de excesso de velocidade no ano")
)</f>
        <v>387 taxa de redução das notificações de excesso de velocidade no ano</v>
      </c>
      <c r="L581" s="4" t="s">
        <v>116</v>
      </c>
      <c r="M581" s="4"/>
      <c r="N581" s="45" t="s">
        <v>42</v>
      </c>
      <c r="O581" s="5" t="s">
        <v>43</v>
      </c>
      <c r="P581" s="10" t="s">
        <v>44</v>
      </c>
      <c r="Q581" s="10" t="s">
        <v>44</v>
      </c>
      <c r="R581" s="11" t="s">
        <v>44</v>
      </c>
      <c r="S581" s="11" t="s">
        <v>44</v>
      </c>
      <c r="T581" s="22"/>
      <c r="U581" s="22"/>
      <c r="V581" s="22"/>
      <c r="W581" s="143">
        <v>43</v>
      </c>
      <c r="X581" s="143">
        <v>43</v>
      </c>
      <c r="Y581" s="143">
        <v>43</v>
      </c>
      <c r="Z581" s="143">
        <v>43</v>
      </c>
      <c r="AA581" s="143">
        <v>43</v>
      </c>
      <c r="AB581" s="143">
        <v>43</v>
      </c>
      <c r="AC581" s="143">
        <v>43</v>
      </c>
      <c r="AD581" s="143">
        <v>43</v>
      </c>
      <c r="AE581" s="143">
        <v>43</v>
      </c>
      <c r="AG581" s="71"/>
      <c r="AH581" s="71"/>
      <c r="AI581" s="71"/>
      <c r="AJ581" s="71"/>
      <c r="AK581" s="71"/>
      <c r="AL581" s="71"/>
      <c r="AM581" s="71"/>
      <c r="AN581" s="71"/>
      <c r="AO581" s="71"/>
      <c r="AP581" s="71"/>
      <c r="AQ581" s="71"/>
      <c r="AR581" s="71"/>
      <c r="AS581" s="94">
        <f t="shared" ca="1" si="908"/>
        <v>86</v>
      </c>
      <c r="AT581" s="95">
        <f t="shared" si="909"/>
        <v>0</v>
      </c>
      <c r="AU581" s="97">
        <f t="shared" si="910"/>
        <v>0</v>
      </c>
      <c r="AW581" s="51">
        <f t="shared" si="911"/>
        <v>0</v>
      </c>
      <c r="AX581" s="51">
        <f t="shared" si="912"/>
        <v>0</v>
      </c>
      <c r="AY581" s="51">
        <f t="shared" si="913"/>
        <v>0</v>
      </c>
      <c r="AZ581" s="51">
        <f t="shared" si="914"/>
        <v>0</v>
      </c>
      <c r="BA581" s="51"/>
      <c r="BB581" s="51"/>
      <c r="BC581" s="51"/>
      <c r="BD581" s="51"/>
      <c r="BE581" s="51"/>
      <c r="BF581" s="51"/>
      <c r="BG581" s="51"/>
      <c r="BH581" s="51"/>
      <c r="BI581" s="80" cm="1">
        <f t="array" ref="BI581">IFERROR(INDEX(AW581:BH581,1,MATCH(2,1/(AW581:BH581&lt;&gt;""))),"")</f>
        <v>0</v>
      </c>
      <c r="BJ581" s="68" cm="1">
        <f t="array" ref="BJ581">IF(BM581 = "", "",IFERROR(INDEX(AW581:BH581,1,MATCH(2,1/(AW581:BH581&lt;&gt;""),1)-1),""))</f>
        <v>0</v>
      </c>
      <c r="BK581" s="58">
        <f>IF((IF(AW581&gt;=115%,115%,AW581) + IF(AX581&gt;=115%,115%,AX581) + IF(AY581&gt;=115%,115%,AY581) + (IF(AZ581&gt;=115%,115%,AZ581) + IF(BA581&gt;=115%,115%,BA581) + IF(BB581&gt;=115%,115%,BB581) + IF(BC581&gt;=115%,115%,BC581) + IF(BD581&gt;=115%,115%,BD581) + IF(BE581&gt;=115%,115%,BE581) + IF(BF581&gt;=115%,115%,BF581) + IF(BG581&gt;=115%,115%,BG581) + IF(BH581&gt;=115%,115%,BH581)))/_xlfn.XLOOKUP(F581,Apuração!A:A,Apuração!B:B)&gt;=1.15,1.15,((IF(AZ581&gt;=115%,115%,AZ581) + IF(AX581&gt;=115%,115%,AX581) + IF(AY581&gt;=115%,115%,AY581) + (IF(AW581&gt;=115%,115%,AW581) + IF(BA581&gt;=115%,115%,BA581) + IF(BB581&gt;=115%,115%,BB581) + IF(BC581&gt;=115%,115%,BC581) + IF(BD581&gt;=115%,115%,BD581) + IF(BE581&gt;=115%,115%,BE581) + IF(BF581&gt;=115%,115%,BF581) + IF(BG581&gt;=115%,115%,BG581) + IF(BH581&gt;=115%,115%,BH581)))/_xlfn.XLOOKUP(F581,Apuração!A:A,Apuração!B:B)))</f>
        <v>0</v>
      </c>
      <c r="BL581" s="58" cm="1">
        <f t="array" aca="1" ref="BL581" ca="1">IF(SUM(IFERROR(IF(INDEX(AW581:INDEX(AW581:BH581, MATCH(2, 1/(AW581:BH581&lt;&gt;""), 1)-1), ROW(INDIRECT("1:" &amp; MATCH(2, 1/(AW581:BH581&lt;&gt;""), 1)-1))) &gt;= 115%, 115%, INDEX(AW581:INDEX(AW581:BH581, MATCH(2, 1/(AW581:BH581&lt;&gt;""), 1)-1), ROW(INDIRECT("1:" &amp; MATCH(2, 1/(AW581:BH581&lt;&gt;""), 1)-1)))), 0))/_xlfn.XLOOKUP(F581,Apuração!A:A,Apuração!B:B)&gt;=1.15,1.15,SUM(IFERROR(IF(INDEX(AW581:INDEX(AW581:BH581, MATCH(2, 1/(AW581:BH581&lt;&gt;""), 1)-1), ROW(INDIRECT("1:" &amp; MATCH(2, 1/(AW581:BH581&lt;&gt;""), 1)-1))) &gt;= 115%, 115%, INDEX(AW581:INDEX(AW581:BH581, MATCH(2, 1/(AW581:BH581&lt;&gt;""), 1)-1), ROW(INDIRECT("1:" &amp; MATCH(2, 1/(AW581:BH581&lt;&gt;""), 1)-1)))), 0))/_xlfn.XLOOKUP(F581,Apuração!A:A,Apuração!B:B))</f>
        <v>0</v>
      </c>
      <c r="BM581" s="55" cm="1">
        <f t="array" ref="BM581">IFERROR(
   INDEX($AW$1:$BH$1,
      _xlfn.AGGREGATE(14, 6, COLUMN($AW$1:$BH$1)/(AW581:BH581&lt;&gt;""), 2) - COLUMN($AW$1) + 1
   ),
"")</f>
        <v>46082</v>
      </c>
      <c r="BN581" s="55" cm="1">
        <f t="array" ref="BN581">IFERROR(INDEX($AW$1:$BH$1,1,MATCH(2,1/(AW581:BH581&lt;&gt;""))),"")</f>
        <v>46113</v>
      </c>
      <c r="BO581" s="53">
        <f ca="1">IFERROR(_xlfn.XLOOKUP(F581,Apuração!A:A,Apuração!C:C)/_xlfn.XLOOKUP(F581,Apuração!A:A,Apuração!B:B),0)</f>
        <v>0</v>
      </c>
      <c r="BP581" s="53">
        <f ca="1">IFERROR(_xlfn.XLOOKUP(F581,Apuração!A:A,Apuração!D:D)/_xlfn.XLOOKUP(F581,Apuração!A:A,Apuração!B:B),0)</f>
        <v>0</v>
      </c>
      <c r="BQ581" s="53">
        <f ca="1">IF(BK581&gt;=BO581,0,_xlfn.XLOOKUP(F581,Apuração!A:A,Apuração!B:B)*(BO581 + (1/_xlfn.XLOOKUP(F581,Apuração!A:A,Apuração!B:B)) - BK581))</f>
        <v>0</v>
      </c>
      <c r="BR581" s="85">
        <f t="shared" ca="1" si="915"/>
        <v>0</v>
      </c>
      <c r="BS581" s="53">
        <f ca="1">IFERROR((_xlfn.XLOOKUP(F581,Apuração!A:A,Apuração!C:C)+1)/_xlfn.XLOOKUP(F581,Apuração!A:A,Apuração!B:B),0)</f>
        <v>0.14285714285714285</v>
      </c>
    </row>
    <row r="582" spans="1:71" ht="25.95" hidden="1" customHeight="1" x14ac:dyDescent="0.3">
      <c r="A582" s="41" t="s">
        <v>108</v>
      </c>
      <c r="B582" s="4" t="s">
        <v>109</v>
      </c>
      <c r="C582" s="5" t="s">
        <v>97</v>
      </c>
      <c r="D582" s="5" t="s">
        <v>106</v>
      </c>
      <c r="E582" s="4" t="str" cm="1">
        <f t="array" ref="E582">_xlfn.IFS(
F582 = "A partir de Abril", "Aguardando Execução na Distribuidora",
A582 = "CAPACITAÇÃO", "Em execução no Corporativo",
TRUE, "Em Execução na Distribuidora"
)</f>
        <v>Em Execução na Distribuidora</v>
      </c>
      <c r="F582" s="4" t="str" cm="1">
        <f t="array" ref="F582">_xlfn.IFS(
AG582 &lt;&gt; "", "Jan-Dez/26",
AH582 &lt;&gt; "", "Fev-Dez/26",
AI582 &lt;&gt; "", "Mar-Dez/26", AJ582 &lt;&gt; "", "Abr-Dez/26",
TRUE, "A partir de Junho"
)</f>
        <v>A partir de Junho</v>
      </c>
      <c r="G582" s="4" t="s">
        <v>37</v>
      </c>
      <c r="H582" s="7" t="s">
        <v>38</v>
      </c>
      <c r="I582" s="4" t="s">
        <v>115</v>
      </c>
      <c r="J582" s="8" t="str" cm="1">
        <f t="array" aca="1" ref="J582" ca="1">_xlfn.LET(
  _xlpm.actual_value_month, INDEX(T582:AE582, MATCH(DATE(YEAR(TODAY()), MONTH(TODAY()), 1), $T$1:$AE$1, 0)),
  IF(_xlpm.actual_value_month &lt;&gt; "",_xlpm.actual_value_month &amp; " redução de notificações mensais", "")
)</f>
        <v>43 redução de notificações mensais</v>
      </c>
      <c r="K582" s="8" t="str" cm="1">
        <f t="array" ref="K582">_xlfn.LET(
    _xlpm.sum_month, SUM(T582:AE582),
    IF(_xlpm.sum_month = 0, "", _xlpm.sum_month &amp; " taxa de redução das notificações de excesso de velocidade no ano")
)</f>
        <v>387 taxa de redução das notificações de excesso de velocidade no ano</v>
      </c>
      <c r="L582" s="4" t="s">
        <v>116</v>
      </c>
      <c r="M582" s="4"/>
      <c r="N582" s="45" t="s">
        <v>42</v>
      </c>
      <c r="O582" s="5" t="s">
        <v>43</v>
      </c>
      <c r="P582" s="10" t="s">
        <v>44</v>
      </c>
      <c r="Q582" s="10" t="s">
        <v>44</v>
      </c>
      <c r="R582" s="11" t="s">
        <v>44</v>
      </c>
      <c r="S582" s="11" t="s">
        <v>44</v>
      </c>
      <c r="T582" s="22"/>
      <c r="U582" s="22"/>
      <c r="V582" s="22"/>
      <c r="W582" s="143">
        <v>43</v>
      </c>
      <c r="X582" s="143">
        <v>43</v>
      </c>
      <c r="Y582" s="143">
        <v>43</v>
      </c>
      <c r="Z582" s="143">
        <v>43</v>
      </c>
      <c r="AA582" s="143">
        <v>43</v>
      </c>
      <c r="AB582" s="143">
        <v>43</v>
      </c>
      <c r="AC582" s="143">
        <v>43</v>
      </c>
      <c r="AD582" s="143">
        <v>43</v>
      </c>
      <c r="AE582" s="143">
        <v>43</v>
      </c>
      <c r="AG582" s="71"/>
      <c r="AH582" s="71"/>
      <c r="AI582" s="71"/>
      <c r="AJ582" s="71"/>
      <c r="AK582" s="71"/>
      <c r="AL582" s="71"/>
      <c r="AM582" s="71"/>
      <c r="AN582" s="71"/>
      <c r="AO582" s="71"/>
      <c r="AP582" s="71"/>
      <c r="AQ582" s="71"/>
      <c r="AR582" s="71"/>
      <c r="AS582" s="94">
        <f t="shared" ca="1" si="908"/>
        <v>86</v>
      </c>
      <c r="AT582" s="95">
        <f t="shared" si="909"/>
        <v>0</v>
      </c>
      <c r="AU582" s="97">
        <f t="shared" si="910"/>
        <v>0</v>
      </c>
      <c r="AW582" s="51">
        <f t="shared" si="911"/>
        <v>0</v>
      </c>
      <c r="AX582" s="51">
        <f t="shared" si="912"/>
        <v>0</v>
      </c>
      <c r="AY582" s="51">
        <f t="shared" si="913"/>
        <v>0</v>
      </c>
      <c r="AZ582" s="51">
        <f t="shared" si="914"/>
        <v>0</v>
      </c>
      <c r="BA582" s="51"/>
      <c r="BB582" s="51"/>
      <c r="BC582" s="51"/>
      <c r="BD582" s="51"/>
      <c r="BE582" s="51"/>
      <c r="BF582" s="51"/>
      <c r="BG582" s="51"/>
      <c r="BH582" s="51"/>
      <c r="BI582" s="80" cm="1">
        <f t="array" ref="BI582">IFERROR(INDEX(AW582:BH582,1,MATCH(2,1/(AW582:BH582&lt;&gt;""))),"")</f>
        <v>0</v>
      </c>
      <c r="BJ582" s="68" cm="1">
        <f t="array" ref="BJ582">IF(BM582 = "", "",IFERROR(INDEX(AW582:BH582,1,MATCH(2,1/(AW582:BH582&lt;&gt;""),1)-1),""))</f>
        <v>0</v>
      </c>
      <c r="BK582" s="58">
        <f>IF((IF(AW582&gt;=115%,115%,AW582) + IF(AX582&gt;=115%,115%,AX582) + IF(AY582&gt;=115%,115%,AY582) + (IF(AZ582&gt;=115%,115%,AZ582) + IF(BA582&gt;=115%,115%,BA582) + IF(BB582&gt;=115%,115%,BB582) + IF(BC582&gt;=115%,115%,BC582) + IF(BD582&gt;=115%,115%,BD582) + IF(BE582&gt;=115%,115%,BE582) + IF(BF582&gt;=115%,115%,BF582) + IF(BG582&gt;=115%,115%,BG582) + IF(BH582&gt;=115%,115%,BH582)))/_xlfn.XLOOKUP(F582,Apuração!A:A,Apuração!B:B)&gt;=1.15,1.15,((IF(AZ582&gt;=115%,115%,AZ582) + IF(AX582&gt;=115%,115%,AX582) + IF(AY582&gt;=115%,115%,AY582) + (IF(AW582&gt;=115%,115%,AW582) + IF(BA582&gt;=115%,115%,BA582) + IF(BB582&gt;=115%,115%,BB582) + IF(BC582&gt;=115%,115%,BC582) + IF(BD582&gt;=115%,115%,BD582) + IF(BE582&gt;=115%,115%,BE582) + IF(BF582&gt;=115%,115%,BF582) + IF(BG582&gt;=115%,115%,BG582) + IF(BH582&gt;=115%,115%,BH582)))/_xlfn.XLOOKUP(F582,Apuração!A:A,Apuração!B:B)))</f>
        <v>0</v>
      </c>
      <c r="BL582" s="58" cm="1">
        <f t="array" aca="1" ref="BL582" ca="1">IF(SUM(IFERROR(IF(INDEX(AW582:INDEX(AW582:BH582, MATCH(2, 1/(AW582:BH582&lt;&gt;""), 1)-1), ROW(INDIRECT("1:" &amp; MATCH(2, 1/(AW582:BH582&lt;&gt;""), 1)-1))) &gt;= 115%, 115%, INDEX(AW582:INDEX(AW582:BH582, MATCH(2, 1/(AW582:BH582&lt;&gt;""), 1)-1), ROW(INDIRECT("1:" &amp; MATCH(2, 1/(AW582:BH582&lt;&gt;""), 1)-1)))), 0))/_xlfn.XLOOKUP(F582,Apuração!A:A,Apuração!B:B)&gt;=1.15,1.15,SUM(IFERROR(IF(INDEX(AW582:INDEX(AW582:BH582, MATCH(2, 1/(AW582:BH582&lt;&gt;""), 1)-1), ROW(INDIRECT("1:" &amp; MATCH(2, 1/(AW582:BH582&lt;&gt;""), 1)-1))) &gt;= 115%, 115%, INDEX(AW582:INDEX(AW582:BH582, MATCH(2, 1/(AW582:BH582&lt;&gt;""), 1)-1), ROW(INDIRECT("1:" &amp; MATCH(2, 1/(AW582:BH582&lt;&gt;""), 1)-1)))), 0))/_xlfn.XLOOKUP(F582,Apuração!A:A,Apuração!B:B))</f>
        <v>0</v>
      </c>
      <c r="BM582" s="55" cm="1">
        <f t="array" ref="BM582">IFERROR(
   INDEX($AW$1:$BH$1,
      _xlfn.AGGREGATE(14, 6, COLUMN($AW$1:$BH$1)/(AW582:BH582&lt;&gt;""), 2) - COLUMN($AW$1) + 1
   ),
"")</f>
        <v>46082</v>
      </c>
      <c r="BN582" s="55" cm="1">
        <f t="array" ref="BN582">IFERROR(INDEX($AW$1:$BH$1,1,MATCH(2,1/(AW582:BH582&lt;&gt;""))),"")</f>
        <v>46113</v>
      </c>
      <c r="BO582" s="53">
        <f ca="1">IFERROR(_xlfn.XLOOKUP(F582,Apuração!A:A,Apuração!C:C)/_xlfn.XLOOKUP(F582,Apuração!A:A,Apuração!B:B),0)</f>
        <v>0</v>
      </c>
      <c r="BP582" s="53">
        <f ca="1">IFERROR(_xlfn.XLOOKUP(F582,Apuração!A:A,Apuração!D:D)/_xlfn.XLOOKUP(F582,Apuração!A:A,Apuração!B:B),0)</f>
        <v>0</v>
      </c>
      <c r="BQ582" s="53">
        <f ca="1">IF(BK582&gt;=BO582,0,_xlfn.XLOOKUP(F582,Apuração!A:A,Apuração!B:B)*(BO582 + (1/_xlfn.XLOOKUP(F582,Apuração!A:A,Apuração!B:B)) - BK582))</f>
        <v>0</v>
      </c>
      <c r="BR582" s="85">
        <f t="shared" ca="1" si="915"/>
        <v>0</v>
      </c>
      <c r="BS582" s="53">
        <f ca="1">IFERROR((_xlfn.XLOOKUP(F582,Apuração!A:A,Apuração!C:C)+1)/_xlfn.XLOOKUP(F582,Apuração!A:A,Apuração!B:B),0)</f>
        <v>0.14285714285714285</v>
      </c>
    </row>
    <row r="583" spans="1:71" ht="25.95" hidden="1" customHeight="1" x14ac:dyDescent="0.3">
      <c r="A583" s="41" t="s">
        <v>108</v>
      </c>
      <c r="B583" s="4" t="s">
        <v>109</v>
      </c>
      <c r="C583" s="5" t="s">
        <v>97</v>
      </c>
      <c r="D583" s="5" t="s">
        <v>107</v>
      </c>
      <c r="E583" s="4" t="str" cm="1">
        <f t="array" ref="E583">_xlfn.IFS(
F583 = "A partir de Abril", "Aguardando Execução na Distribuidora",
A583 = "CAPACITAÇÃO", "Em execução no Corporativo",
TRUE, "Em Execução na Distribuidora"
)</f>
        <v>Em Execução na Distribuidora</v>
      </c>
      <c r="F583" s="4" t="str" cm="1">
        <f t="array" ref="F583">_xlfn.IFS(
AG583 &lt;&gt; "", "Jan-Dez/26",
AH583 &lt;&gt; "", "Fev-Dez/26",
AI583 &lt;&gt; "", "Mar-Dez/26", AJ583 &lt;&gt; "", "Abr-Dez/26",
TRUE, "A partir de Junho"
)</f>
        <v>A partir de Junho</v>
      </c>
      <c r="G583" s="4" t="s">
        <v>37</v>
      </c>
      <c r="H583" s="7" t="s">
        <v>38</v>
      </c>
      <c r="I583" s="4" t="s">
        <v>115</v>
      </c>
      <c r="J583" s="8" t="str" cm="1">
        <f t="array" aca="1" ref="J583" ca="1">_xlfn.LET(
  _xlpm.actual_value_month, INDEX(T583:AE583, MATCH(DATE(YEAR(TODAY()), MONTH(TODAY()), 1), $T$1:$AE$1, 0)),
  IF(_xlpm.actual_value_month &lt;&gt; "",_xlpm.actual_value_month &amp; " redução de notificações mensais", "")
)</f>
        <v>43 redução de notificações mensais</v>
      </c>
      <c r="K583" s="8" t="str" cm="1">
        <f t="array" ref="K583">_xlfn.LET(
    _xlpm.sum_month, SUM(T583:AE583),
    IF(_xlpm.sum_month = 0, "", _xlpm.sum_month &amp; " taxa de redução das notificações de excesso de velocidade no ano")
)</f>
        <v>387 taxa de redução das notificações de excesso de velocidade no ano</v>
      </c>
      <c r="L583" s="4" t="s">
        <v>116</v>
      </c>
      <c r="M583" s="4"/>
      <c r="N583" s="45" t="s">
        <v>42</v>
      </c>
      <c r="O583" s="5" t="s">
        <v>43</v>
      </c>
      <c r="P583" s="10" t="s">
        <v>44</v>
      </c>
      <c r="Q583" s="10" t="s">
        <v>44</v>
      </c>
      <c r="R583" s="11" t="s">
        <v>44</v>
      </c>
      <c r="S583" s="11" t="s">
        <v>44</v>
      </c>
      <c r="T583" s="22"/>
      <c r="U583" s="22"/>
      <c r="V583" s="22"/>
      <c r="W583" s="143">
        <v>43</v>
      </c>
      <c r="X583" s="143">
        <v>43</v>
      </c>
      <c r="Y583" s="143">
        <v>43</v>
      </c>
      <c r="Z583" s="143">
        <v>43</v>
      </c>
      <c r="AA583" s="143">
        <v>43</v>
      </c>
      <c r="AB583" s="143">
        <v>43</v>
      </c>
      <c r="AC583" s="143">
        <v>43</v>
      </c>
      <c r="AD583" s="143">
        <v>43</v>
      </c>
      <c r="AE583" s="143">
        <v>43</v>
      </c>
      <c r="AG583" s="71"/>
      <c r="AH583" s="71"/>
      <c r="AI583" s="71"/>
      <c r="AJ583" s="71"/>
      <c r="AK583" s="71"/>
      <c r="AL583" s="71"/>
      <c r="AM583" s="71"/>
      <c r="AN583" s="71"/>
      <c r="AO583" s="71"/>
      <c r="AP583" s="71"/>
      <c r="AQ583" s="71"/>
      <c r="AR583" s="71"/>
      <c r="AS583" s="94">
        <f t="shared" ca="1" si="908"/>
        <v>86</v>
      </c>
      <c r="AT583" s="95">
        <f t="shared" si="909"/>
        <v>0</v>
      </c>
      <c r="AU583" s="97">
        <f t="shared" si="910"/>
        <v>0</v>
      </c>
      <c r="AW583" s="51">
        <f t="shared" si="911"/>
        <v>0</v>
      </c>
      <c r="AX583" s="51">
        <f t="shared" si="912"/>
        <v>0</v>
      </c>
      <c r="AY583" s="51">
        <f t="shared" si="913"/>
        <v>0</v>
      </c>
      <c r="AZ583" s="51">
        <f t="shared" si="914"/>
        <v>0</v>
      </c>
      <c r="BA583" s="51"/>
      <c r="BB583" s="51"/>
      <c r="BC583" s="51"/>
      <c r="BD583" s="51"/>
      <c r="BE583" s="51"/>
      <c r="BF583" s="51"/>
      <c r="BG583" s="51"/>
      <c r="BH583" s="51"/>
      <c r="BI583" s="80" cm="1">
        <f t="array" ref="BI583">IFERROR(INDEX(AW583:BH583,1,MATCH(2,1/(AW583:BH583&lt;&gt;""))),"")</f>
        <v>0</v>
      </c>
      <c r="BJ583" s="68" cm="1">
        <f t="array" ref="BJ583">IF(BM583 = "", "",IFERROR(INDEX(AW583:BH583,1,MATCH(2,1/(AW583:BH583&lt;&gt;""),1)-1),""))</f>
        <v>0</v>
      </c>
      <c r="BK583" s="58">
        <f>IF((IF(AW583&gt;=115%,115%,AW583) + IF(AX583&gt;=115%,115%,AX583) + IF(AY583&gt;=115%,115%,AY583) + (IF(AZ583&gt;=115%,115%,AZ583) + IF(BA583&gt;=115%,115%,BA583) + IF(BB583&gt;=115%,115%,BB583) + IF(BC583&gt;=115%,115%,BC583) + IF(BD583&gt;=115%,115%,BD583) + IF(BE583&gt;=115%,115%,BE583) + IF(BF583&gt;=115%,115%,BF583) + IF(BG583&gt;=115%,115%,BG583) + IF(BH583&gt;=115%,115%,BH583)))/_xlfn.XLOOKUP(F583,Apuração!A:A,Apuração!B:B)&gt;=1.15,1.15,((IF(AZ583&gt;=115%,115%,AZ583) + IF(AX583&gt;=115%,115%,AX583) + IF(AY583&gt;=115%,115%,AY583) + (IF(AW583&gt;=115%,115%,AW583) + IF(BA583&gt;=115%,115%,BA583) + IF(BB583&gt;=115%,115%,BB583) + IF(BC583&gt;=115%,115%,BC583) + IF(BD583&gt;=115%,115%,BD583) + IF(BE583&gt;=115%,115%,BE583) + IF(BF583&gt;=115%,115%,BF583) + IF(BG583&gt;=115%,115%,BG583) + IF(BH583&gt;=115%,115%,BH583)))/_xlfn.XLOOKUP(F583,Apuração!A:A,Apuração!B:B)))</f>
        <v>0</v>
      </c>
      <c r="BL583" s="58" cm="1">
        <f t="array" aca="1" ref="BL583" ca="1">IF(SUM(IFERROR(IF(INDEX(AW583:INDEX(AW583:BH583, MATCH(2, 1/(AW583:BH583&lt;&gt;""), 1)-1), ROW(INDIRECT("1:" &amp; MATCH(2, 1/(AW583:BH583&lt;&gt;""), 1)-1))) &gt;= 115%, 115%, INDEX(AW583:INDEX(AW583:BH583, MATCH(2, 1/(AW583:BH583&lt;&gt;""), 1)-1), ROW(INDIRECT("1:" &amp; MATCH(2, 1/(AW583:BH583&lt;&gt;""), 1)-1)))), 0))/_xlfn.XLOOKUP(F583,Apuração!A:A,Apuração!B:B)&gt;=1.15,1.15,SUM(IFERROR(IF(INDEX(AW583:INDEX(AW583:BH583, MATCH(2, 1/(AW583:BH583&lt;&gt;""), 1)-1), ROW(INDIRECT("1:" &amp; MATCH(2, 1/(AW583:BH583&lt;&gt;""), 1)-1))) &gt;= 115%, 115%, INDEX(AW583:INDEX(AW583:BH583, MATCH(2, 1/(AW583:BH583&lt;&gt;""), 1)-1), ROW(INDIRECT("1:" &amp; MATCH(2, 1/(AW583:BH583&lt;&gt;""), 1)-1)))), 0))/_xlfn.XLOOKUP(F583,Apuração!A:A,Apuração!B:B))</f>
        <v>0</v>
      </c>
      <c r="BM583" s="55" cm="1">
        <f t="array" ref="BM583">IFERROR(
   INDEX($AW$1:$BH$1,
      _xlfn.AGGREGATE(14, 6, COLUMN($AW$1:$BH$1)/(AW583:BH583&lt;&gt;""), 2) - COLUMN($AW$1) + 1
   ),
"")</f>
        <v>46082</v>
      </c>
      <c r="BN583" s="55" cm="1">
        <f t="array" ref="BN583">IFERROR(INDEX($AW$1:$BH$1,1,MATCH(2,1/(AW583:BH583&lt;&gt;""))),"")</f>
        <v>46113</v>
      </c>
      <c r="BO583" s="53">
        <f ca="1">IFERROR(_xlfn.XLOOKUP(F583,Apuração!A:A,Apuração!C:C)/_xlfn.XLOOKUP(F583,Apuração!A:A,Apuração!B:B),0)</f>
        <v>0</v>
      </c>
      <c r="BP583" s="53">
        <f ca="1">IFERROR(_xlfn.XLOOKUP(F583,Apuração!A:A,Apuração!D:D)/_xlfn.XLOOKUP(F583,Apuração!A:A,Apuração!B:B),0)</f>
        <v>0</v>
      </c>
      <c r="BQ583" s="53">
        <f ca="1">IF(BK583&gt;=BO583,0,_xlfn.XLOOKUP(F583,Apuração!A:A,Apuração!B:B)*(BO583 + (1/_xlfn.XLOOKUP(F583,Apuração!A:A,Apuração!B:B)) - BK583))</f>
        <v>0</v>
      </c>
      <c r="BR583" s="85">
        <f t="shared" ca="1" si="915"/>
        <v>0</v>
      </c>
      <c r="BS583" s="53">
        <f ca="1">IFERROR((_xlfn.XLOOKUP(F583,Apuração!A:A,Apuração!C:C)+1)/_xlfn.XLOOKUP(F583,Apuração!A:A,Apuração!B:B),0)</f>
        <v>0.14285714285714285</v>
      </c>
    </row>
    <row r="584" spans="1:71" ht="25.95" hidden="1" customHeight="1" x14ac:dyDescent="0.3">
      <c r="A584" s="70" t="s">
        <v>108</v>
      </c>
      <c r="B584" s="4" t="s">
        <v>117</v>
      </c>
      <c r="C584" s="5" t="s">
        <v>97</v>
      </c>
      <c r="D584" s="5" t="s">
        <v>36</v>
      </c>
      <c r="E584" s="4" t="s">
        <v>118</v>
      </c>
      <c r="F584" s="4" t="str" cm="1">
        <f t="array" ref="F584">_xlfn.IFS(
AG584 &lt;&gt; "", "Jan-Dez/26",
AH584 &lt;&gt; "", "Fev-Dez/26",
AI584 &lt;&gt; "", "Mar-Dez/26", AJ584 &lt;&gt; "", "Abr-Dez/26",
TRUE, "A partir de Junho"
)</f>
        <v>Jan-Dez/26</v>
      </c>
      <c r="G584" s="4" t="s">
        <v>37</v>
      </c>
      <c r="H584" s="7" t="s">
        <v>38</v>
      </c>
      <c r="I584" s="4" t="s">
        <v>119</v>
      </c>
      <c r="J584" s="8" t="str" cm="1">
        <f t="array" aca="1" ref="J584" ca="1">_xlfn.LET(
  _xlpm.actual_value_month, INDEX(T584:AE584, MATCH(DATE(YEAR(TODAY()), MONTH(TODAY()), 1), $T$1:$AE$1, 0)),
  IF(_xlpm.actual_value_month &lt;&gt; "",_xlpm.actual_value_month &amp; " ações mensais", "")
)</f>
        <v/>
      </c>
      <c r="K584" s="8" t="str" cm="1">
        <f t="array" ref="K584">_xlfn.LET(
    _xlpm.sum_month, SUM(T584:AE584),
    IF(_xlpm.sum_month = 0, "", _xlpm.sum_month &amp; " NC's no ano")
)</f>
        <v/>
      </c>
      <c r="L584" s="4" t="s">
        <v>120</v>
      </c>
      <c r="M584" s="19"/>
      <c r="N584" s="5" t="s">
        <v>51</v>
      </c>
      <c r="O584" s="5"/>
      <c r="P584" s="10"/>
      <c r="Q584" s="10"/>
      <c r="R584" s="11"/>
      <c r="S584" s="11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81"/>
      <c r="AG584" s="71">
        <v>4298</v>
      </c>
      <c r="AH584" s="71">
        <v>5588</v>
      </c>
      <c r="AI584" s="71">
        <v>4879</v>
      </c>
      <c r="AJ584" s="71"/>
      <c r="AK584" s="71"/>
      <c r="AL584" s="71"/>
      <c r="AM584" s="71"/>
      <c r="AN584" s="71"/>
      <c r="AO584" s="71"/>
      <c r="AP584" s="71"/>
      <c r="AQ584" s="71"/>
      <c r="AR584" s="71"/>
      <c r="AS584" s="94"/>
      <c r="AT584" s="95"/>
      <c r="AU584" s="97"/>
      <c r="AV584" s="81"/>
      <c r="AW584" s="83">
        <f>AG584</f>
        <v>4298</v>
      </c>
      <c r="AX584" s="83">
        <f t="shared" ref="AX584:AX595" si="916">AH584</f>
        <v>5588</v>
      </c>
      <c r="AY584" s="83">
        <f t="shared" ref="AY584:AY595" si="917">AI584</f>
        <v>4879</v>
      </c>
      <c r="AZ584" s="83">
        <f t="shared" ref="AZ584:AZ595" si="918">AJ584</f>
        <v>0</v>
      </c>
      <c r="BA584" s="83"/>
      <c r="BB584" s="83"/>
      <c r="BC584" s="83"/>
      <c r="BD584" s="83"/>
      <c r="BE584" s="83"/>
      <c r="BF584" s="83"/>
      <c r="BG584" s="83"/>
      <c r="BH584" s="83"/>
      <c r="BI584" s="65"/>
      <c r="BJ584" s="68"/>
      <c r="BK584" s="59">
        <f>SUM(AW584:BH584)</f>
        <v>14765</v>
      </c>
      <c r="BL584" s="59" cm="1">
        <f t="array" ref="BL584">IFERROR(SUM(AW584:INDEX(AW584:BH584, MATCH(2, 1/(AW584:BH584&lt;&gt;""), 1) - 1))/_xlfn.XLOOKUP(F584,Apuração!A:A,Apuração!B:B),0)</f>
        <v>1230.4166666666667</v>
      </c>
      <c r="BM584" s="55"/>
      <c r="BN584" s="55"/>
      <c r="BO584" s="53">
        <f ca="1">IFERROR(_xlfn.XLOOKUP(F584,Apuração!A:A,Apuração!C:C)/_xlfn.XLOOKUP(F584,Apuração!A:A,Apuração!B:B),0)</f>
        <v>0.41666666666666669</v>
      </c>
      <c r="BP584" s="53">
        <f ca="1">IFERROR(_xlfn.XLOOKUP(F584,Apuração!A:A,Apuração!D:D)/_xlfn.XLOOKUP(F584,Apuração!A:A,Apuração!B:B),0)</f>
        <v>0.33333333333333331</v>
      </c>
      <c r="BQ584" s="53">
        <f ca="1">IF(BK584&gt;=BO584,0,_xlfn.XLOOKUP(F584,Apuração!A:A,Apuração!B:B)*(BO584 + (1/_xlfn.XLOOKUP(F584,Apuração!A:A,Apuração!B:B)) - BK584))</f>
        <v>0</v>
      </c>
      <c r="BR584" s="85">
        <f t="shared" ca="1" si="898"/>
        <v>0</v>
      </c>
      <c r="BS584" s="53">
        <f ca="1">IFERROR((_xlfn.XLOOKUP(F584,Apuração!A:A,Apuração!C:C)+1)/_xlfn.XLOOKUP(F584,Apuração!A:A,Apuração!B:B),0)</f>
        <v>0.5</v>
      </c>
    </row>
    <row r="585" spans="1:71" ht="25.95" hidden="1" customHeight="1" x14ac:dyDescent="0.3">
      <c r="A585" s="70" t="s">
        <v>108</v>
      </c>
      <c r="B585" s="4" t="s">
        <v>117</v>
      </c>
      <c r="C585" s="5" t="s">
        <v>97</v>
      </c>
      <c r="D585" s="5" t="s">
        <v>98</v>
      </c>
      <c r="E585" s="4" t="s">
        <v>118</v>
      </c>
      <c r="F585" s="4" t="str" cm="1">
        <f t="array" ref="F585">_xlfn.IFS(
AG585 &lt;&gt; "", "Jan-Dez/26",
AH585 &lt;&gt; "", "Fev-Dez/26",
AI585 &lt;&gt; "", "Mar-Dez/26", AJ585 &lt;&gt; "", "Abr-Dez/26",
TRUE, "A partir de Junho"
)</f>
        <v>A partir de Junho</v>
      </c>
      <c r="G585" s="4" t="s">
        <v>37</v>
      </c>
      <c r="H585" s="7" t="s">
        <v>38</v>
      </c>
      <c r="I585" s="4" t="s">
        <v>119</v>
      </c>
      <c r="J585" s="8" t="str" cm="1">
        <f t="array" aca="1" ref="J585" ca="1">_xlfn.LET(
  _xlpm.actual_value_month, INDEX(T585:AE585, MATCH(DATE(YEAR(TODAY()), MONTH(TODAY()), 1), $T$1:$AE$1, 0)),
  IF(_xlpm.actual_value_month &lt;&gt; "",_xlpm.actual_value_month &amp; " ações mensais", "")
)</f>
        <v/>
      </c>
      <c r="K585" s="8" t="str" cm="1">
        <f t="array" ref="K585">_xlfn.LET(
    _xlpm.sum_month, SUM(T585:AE585),
    IF(_xlpm.sum_month = 0, "", _xlpm.sum_month &amp; " NC's no ano")
)</f>
        <v/>
      </c>
      <c r="L585" s="4" t="s">
        <v>120</v>
      </c>
      <c r="M585" s="19"/>
      <c r="N585" s="5" t="s">
        <v>51</v>
      </c>
      <c r="O585" s="5"/>
      <c r="P585" s="10"/>
      <c r="Q585" s="10"/>
      <c r="R585" s="11"/>
      <c r="S585" s="11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81"/>
      <c r="AG585" s="71"/>
      <c r="AH585" s="71"/>
      <c r="AI585" s="71"/>
      <c r="AJ585" s="71"/>
      <c r="AK585" s="71"/>
      <c r="AL585" s="71"/>
      <c r="AM585" s="71"/>
      <c r="AN585" s="71"/>
      <c r="AO585" s="71"/>
      <c r="AP585" s="71"/>
      <c r="AQ585" s="71"/>
      <c r="AR585" s="71"/>
      <c r="AS585" s="94"/>
      <c r="AT585" s="95"/>
      <c r="AU585" s="97"/>
      <c r="AV585" s="81"/>
      <c r="AW585" s="83">
        <f t="shared" ref="AW585:AW594" si="919">AG585</f>
        <v>0</v>
      </c>
      <c r="AX585" s="83">
        <f t="shared" ref="AX585:AX594" si="920">AH585</f>
        <v>0</v>
      </c>
      <c r="AY585" s="83">
        <f t="shared" ref="AY585:AY594" si="921">AI585</f>
        <v>0</v>
      </c>
      <c r="AZ585" s="83">
        <f t="shared" ref="AZ585:AZ594" si="922">AJ585</f>
        <v>0</v>
      </c>
      <c r="BA585" s="83"/>
      <c r="BB585" s="83"/>
      <c r="BC585" s="83"/>
      <c r="BD585" s="83"/>
      <c r="BE585" s="83"/>
      <c r="BF585" s="83"/>
      <c r="BG585" s="83"/>
      <c r="BH585" s="83"/>
      <c r="BI585" s="65"/>
      <c r="BJ585" s="68"/>
      <c r="BK585" s="59">
        <f t="shared" ref="BK585:BK594" si="923">SUM(AW585:BH585)</f>
        <v>0</v>
      </c>
      <c r="BL585" s="59" cm="1">
        <f t="array" ref="BL585">IFERROR(SUM(AW585:INDEX(AW585:BH585, MATCH(2, 1/(AW585:BH585&lt;&gt;""), 1) - 1))/_xlfn.XLOOKUP(F585,Apuração!A:A,Apuração!B:B),0)</f>
        <v>0</v>
      </c>
      <c r="BM585" s="55"/>
      <c r="BN585" s="55"/>
      <c r="BO585" s="53">
        <f ca="1">IFERROR(_xlfn.XLOOKUP(F585,Apuração!A:A,Apuração!C:C)/_xlfn.XLOOKUP(F585,Apuração!A:A,Apuração!B:B),0)</f>
        <v>0</v>
      </c>
      <c r="BP585" s="53">
        <f ca="1">IFERROR(_xlfn.XLOOKUP(F585,Apuração!A:A,Apuração!D:D)/_xlfn.XLOOKUP(F585,Apuração!A:A,Apuração!B:B),0)</f>
        <v>0</v>
      </c>
      <c r="BQ585" s="53">
        <f ca="1">IF(BK585&gt;=BO585,0,_xlfn.XLOOKUP(F585,Apuração!A:A,Apuração!B:B)*(BO585 + (1/_xlfn.XLOOKUP(F585,Apuração!A:A,Apuração!B:B)) - BK585))</f>
        <v>0</v>
      </c>
      <c r="BR585" s="85">
        <f t="shared" ref="BR585:BR594" ca="1" si="924">IF(BQ585=0,0,BQ585*Z585)</f>
        <v>0</v>
      </c>
      <c r="BS585" s="53">
        <f ca="1">IFERROR((_xlfn.XLOOKUP(F585,Apuração!A:A,Apuração!C:C)+1)/_xlfn.XLOOKUP(F585,Apuração!A:A,Apuração!B:B),0)</f>
        <v>0.14285714285714285</v>
      </c>
    </row>
    <row r="586" spans="1:71" ht="25.95" hidden="1" customHeight="1" x14ac:dyDescent="0.3">
      <c r="A586" s="70" t="s">
        <v>108</v>
      </c>
      <c r="B586" s="4" t="s">
        <v>117</v>
      </c>
      <c r="C586" s="5" t="s">
        <v>97</v>
      </c>
      <c r="D586" s="5" t="s">
        <v>99</v>
      </c>
      <c r="E586" s="4" t="s">
        <v>118</v>
      </c>
      <c r="F586" s="4" t="str" cm="1">
        <f t="array" ref="F586">_xlfn.IFS(
AG586 &lt;&gt; "", "Jan-Dez/26",
AH586 &lt;&gt; "", "Fev-Dez/26",
AI586 &lt;&gt; "", "Mar-Dez/26", AJ586 &lt;&gt; "", "Abr-Dez/26",
TRUE, "A partir de Junho"
)</f>
        <v>A partir de Junho</v>
      </c>
      <c r="G586" s="4" t="s">
        <v>37</v>
      </c>
      <c r="H586" s="7" t="s">
        <v>38</v>
      </c>
      <c r="I586" s="4" t="s">
        <v>119</v>
      </c>
      <c r="J586" s="8" t="str" cm="1">
        <f t="array" aca="1" ref="J586" ca="1">_xlfn.LET(
  _xlpm.actual_value_month, INDEX(T586:AE586, MATCH(DATE(YEAR(TODAY()), MONTH(TODAY()), 1), $T$1:$AE$1, 0)),
  IF(_xlpm.actual_value_month &lt;&gt; "",_xlpm.actual_value_month &amp; " ações mensais", "")
)</f>
        <v/>
      </c>
      <c r="K586" s="8" t="str" cm="1">
        <f t="array" ref="K586">_xlfn.LET(
    _xlpm.sum_month, SUM(T586:AE586),
    IF(_xlpm.sum_month = 0, "", _xlpm.sum_month &amp; " NC's no ano")
)</f>
        <v/>
      </c>
      <c r="L586" s="4" t="s">
        <v>120</v>
      </c>
      <c r="M586" s="19"/>
      <c r="N586" s="5" t="s">
        <v>51</v>
      </c>
      <c r="O586" s="5"/>
      <c r="P586" s="10"/>
      <c r="Q586" s="10"/>
      <c r="R586" s="11"/>
      <c r="S586" s="11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81"/>
      <c r="AG586" s="71"/>
      <c r="AH586" s="71"/>
      <c r="AI586" s="71"/>
      <c r="AJ586" s="71"/>
      <c r="AK586" s="71"/>
      <c r="AL586" s="71"/>
      <c r="AM586" s="71"/>
      <c r="AN586" s="71"/>
      <c r="AO586" s="71"/>
      <c r="AP586" s="71"/>
      <c r="AQ586" s="71"/>
      <c r="AR586" s="71"/>
      <c r="AS586" s="94"/>
      <c r="AT586" s="95"/>
      <c r="AU586" s="97"/>
      <c r="AV586" s="81"/>
      <c r="AW586" s="83">
        <f t="shared" si="919"/>
        <v>0</v>
      </c>
      <c r="AX586" s="83">
        <f t="shared" si="920"/>
        <v>0</v>
      </c>
      <c r="AY586" s="83">
        <f t="shared" si="921"/>
        <v>0</v>
      </c>
      <c r="AZ586" s="83">
        <f t="shared" si="922"/>
        <v>0</v>
      </c>
      <c r="BA586" s="83"/>
      <c r="BB586" s="83"/>
      <c r="BC586" s="83"/>
      <c r="BD586" s="83"/>
      <c r="BE586" s="83"/>
      <c r="BF586" s="83"/>
      <c r="BG586" s="83"/>
      <c r="BH586" s="83"/>
      <c r="BI586" s="65"/>
      <c r="BJ586" s="68"/>
      <c r="BK586" s="59">
        <f t="shared" si="923"/>
        <v>0</v>
      </c>
      <c r="BL586" s="59" cm="1">
        <f t="array" ref="BL586">IFERROR(SUM(AW586:INDEX(AW586:BH586, MATCH(2, 1/(AW586:BH586&lt;&gt;""), 1) - 1))/_xlfn.XLOOKUP(F586,Apuração!A:A,Apuração!B:B),0)</f>
        <v>0</v>
      </c>
      <c r="BM586" s="55"/>
      <c r="BN586" s="55"/>
      <c r="BO586" s="53">
        <f ca="1">IFERROR(_xlfn.XLOOKUP(F586,Apuração!A:A,Apuração!C:C)/_xlfn.XLOOKUP(F586,Apuração!A:A,Apuração!B:B),0)</f>
        <v>0</v>
      </c>
      <c r="BP586" s="53">
        <f ca="1">IFERROR(_xlfn.XLOOKUP(F586,Apuração!A:A,Apuração!D:D)/_xlfn.XLOOKUP(F586,Apuração!A:A,Apuração!B:B),0)</f>
        <v>0</v>
      </c>
      <c r="BQ586" s="53">
        <f ca="1">IF(BK586&gt;=BO586,0,_xlfn.XLOOKUP(F586,Apuração!A:A,Apuração!B:B)*(BO586 + (1/_xlfn.XLOOKUP(F586,Apuração!A:A,Apuração!B:B)) - BK586))</f>
        <v>0</v>
      </c>
      <c r="BR586" s="85">
        <f t="shared" ca="1" si="924"/>
        <v>0</v>
      </c>
      <c r="BS586" s="53">
        <f ca="1">IFERROR((_xlfn.XLOOKUP(F586,Apuração!A:A,Apuração!C:C)+1)/_xlfn.XLOOKUP(F586,Apuração!A:A,Apuração!B:B),0)</f>
        <v>0.14285714285714285</v>
      </c>
    </row>
    <row r="587" spans="1:71" ht="25.95" hidden="1" customHeight="1" x14ac:dyDescent="0.3">
      <c r="A587" s="70" t="s">
        <v>108</v>
      </c>
      <c r="B587" s="4" t="s">
        <v>117</v>
      </c>
      <c r="C587" s="5" t="s">
        <v>97</v>
      </c>
      <c r="D587" s="5" t="s">
        <v>100</v>
      </c>
      <c r="E587" s="4" t="s">
        <v>118</v>
      </c>
      <c r="F587" s="4" t="str" cm="1">
        <f t="array" ref="F587">_xlfn.IFS(
AG587 &lt;&gt; "", "Jan-Dez/26",
AH587 &lt;&gt; "", "Fev-Dez/26",
AI587 &lt;&gt; "", "Mar-Dez/26", AJ587 &lt;&gt; "", "Abr-Dez/26",
TRUE, "A partir de Junho"
)</f>
        <v>A partir de Junho</v>
      </c>
      <c r="G587" s="4" t="s">
        <v>37</v>
      </c>
      <c r="H587" s="7" t="s">
        <v>38</v>
      </c>
      <c r="I587" s="4" t="s">
        <v>119</v>
      </c>
      <c r="J587" s="8" t="str" cm="1">
        <f t="array" aca="1" ref="J587" ca="1">_xlfn.LET(
  _xlpm.actual_value_month, INDEX(T587:AE587, MATCH(DATE(YEAR(TODAY()), MONTH(TODAY()), 1), $T$1:$AE$1, 0)),
  IF(_xlpm.actual_value_month &lt;&gt; "",_xlpm.actual_value_month &amp; " ações mensais", "")
)</f>
        <v/>
      </c>
      <c r="K587" s="8" t="str" cm="1">
        <f t="array" ref="K587">_xlfn.LET(
    _xlpm.sum_month, SUM(T587:AE587),
    IF(_xlpm.sum_month = 0, "", _xlpm.sum_month &amp; " NC's no ano")
)</f>
        <v/>
      </c>
      <c r="L587" s="4" t="s">
        <v>120</v>
      </c>
      <c r="M587" s="19"/>
      <c r="N587" s="5" t="s">
        <v>51</v>
      </c>
      <c r="O587" s="5"/>
      <c r="P587" s="10"/>
      <c r="Q587" s="10"/>
      <c r="R587" s="11"/>
      <c r="S587" s="11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8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1"/>
      <c r="AQ587" s="71"/>
      <c r="AR587" s="71"/>
      <c r="AS587" s="94"/>
      <c r="AT587" s="95"/>
      <c r="AU587" s="97"/>
      <c r="AV587" s="81"/>
      <c r="AW587" s="83">
        <f t="shared" si="919"/>
        <v>0</v>
      </c>
      <c r="AX587" s="83">
        <f t="shared" si="920"/>
        <v>0</v>
      </c>
      <c r="AY587" s="83">
        <f t="shared" si="921"/>
        <v>0</v>
      </c>
      <c r="AZ587" s="83">
        <f t="shared" si="922"/>
        <v>0</v>
      </c>
      <c r="BA587" s="83"/>
      <c r="BB587" s="83"/>
      <c r="BC587" s="83"/>
      <c r="BD587" s="83"/>
      <c r="BE587" s="83"/>
      <c r="BF587" s="83"/>
      <c r="BG587" s="83"/>
      <c r="BH587" s="83"/>
      <c r="BI587" s="65"/>
      <c r="BJ587" s="68"/>
      <c r="BK587" s="59">
        <f t="shared" si="923"/>
        <v>0</v>
      </c>
      <c r="BL587" s="59" cm="1">
        <f t="array" ref="BL587">IFERROR(SUM(AW587:INDEX(AW587:BH587, MATCH(2, 1/(AW587:BH587&lt;&gt;""), 1) - 1))/_xlfn.XLOOKUP(F587,Apuração!A:A,Apuração!B:B),0)</f>
        <v>0</v>
      </c>
      <c r="BM587" s="55"/>
      <c r="BN587" s="55"/>
      <c r="BO587" s="53">
        <f ca="1">IFERROR(_xlfn.XLOOKUP(F587,Apuração!A:A,Apuração!C:C)/_xlfn.XLOOKUP(F587,Apuração!A:A,Apuração!B:B),0)</f>
        <v>0</v>
      </c>
      <c r="BP587" s="53">
        <f ca="1">IFERROR(_xlfn.XLOOKUP(F587,Apuração!A:A,Apuração!D:D)/_xlfn.XLOOKUP(F587,Apuração!A:A,Apuração!B:B),0)</f>
        <v>0</v>
      </c>
      <c r="BQ587" s="53">
        <f ca="1">IF(BK587&gt;=BO587,0,_xlfn.XLOOKUP(F587,Apuração!A:A,Apuração!B:B)*(BO587 + (1/_xlfn.XLOOKUP(F587,Apuração!A:A,Apuração!B:B)) - BK587))</f>
        <v>0</v>
      </c>
      <c r="BR587" s="85">
        <f t="shared" ca="1" si="924"/>
        <v>0</v>
      </c>
      <c r="BS587" s="53">
        <f ca="1">IFERROR((_xlfn.XLOOKUP(F587,Apuração!A:A,Apuração!C:C)+1)/_xlfn.XLOOKUP(F587,Apuração!A:A,Apuração!B:B),0)</f>
        <v>0.14285714285714285</v>
      </c>
    </row>
    <row r="588" spans="1:71" ht="25.95" hidden="1" customHeight="1" x14ac:dyDescent="0.3">
      <c r="A588" s="70" t="s">
        <v>108</v>
      </c>
      <c r="B588" s="4" t="s">
        <v>117</v>
      </c>
      <c r="C588" s="5" t="s">
        <v>97</v>
      </c>
      <c r="D588" s="5" t="s">
        <v>101</v>
      </c>
      <c r="E588" s="4" t="s">
        <v>118</v>
      </c>
      <c r="F588" s="4" t="str" cm="1">
        <f t="array" ref="F588">_xlfn.IFS(
AG588 &lt;&gt; "", "Jan-Dez/26",
AH588 &lt;&gt; "", "Fev-Dez/26",
AI588 &lt;&gt; "", "Mar-Dez/26", AJ588 &lt;&gt; "", "Abr-Dez/26",
TRUE, "A partir de Junho"
)</f>
        <v>A partir de Junho</v>
      </c>
      <c r="G588" s="4" t="s">
        <v>37</v>
      </c>
      <c r="H588" s="7" t="s">
        <v>38</v>
      </c>
      <c r="I588" s="4" t="s">
        <v>119</v>
      </c>
      <c r="J588" s="8" t="str" cm="1">
        <f t="array" aca="1" ref="J588" ca="1">_xlfn.LET(
  _xlpm.actual_value_month, INDEX(T588:AE588, MATCH(DATE(YEAR(TODAY()), MONTH(TODAY()), 1), $T$1:$AE$1, 0)),
  IF(_xlpm.actual_value_month &lt;&gt; "",_xlpm.actual_value_month &amp; " ações mensais", "")
)</f>
        <v/>
      </c>
      <c r="K588" s="8" t="str" cm="1">
        <f t="array" ref="K588">_xlfn.LET(
    _xlpm.sum_month, SUM(T588:AE588),
    IF(_xlpm.sum_month = 0, "", _xlpm.sum_month &amp; " NC's no ano")
)</f>
        <v/>
      </c>
      <c r="L588" s="4" t="s">
        <v>120</v>
      </c>
      <c r="M588" s="19"/>
      <c r="N588" s="5" t="s">
        <v>51</v>
      </c>
      <c r="O588" s="5"/>
      <c r="P588" s="10"/>
      <c r="Q588" s="10"/>
      <c r="R588" s="11"/>
      <c r="S588" s="11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8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1"/>
      <c r="AQ588" s="71"/>
      <c r="AR588" s="71"/>
      <c r="AS588" s="94"/>
      <c r="AT588" s="95"/>
      <c r="AU588" s="97"/>
      <c r="AV588" s="81"/>
      <c r="AW588" s="83">
        <f t="shared" si="919"/>
        <v>0</v>
      </c>
      <c r="AX588" s="83">
        <f t="shared" si="920"/>
        <v>0</v>
      </c>
      <c r="AY588" s="83">
        <f t="shared" si="921"/>
        <v>0</v>
      </c>
      <c r="AZ588" s="83">
        <f t="shared" si="922"/>
        <v>0</v>
      </c>
      <c r="BA588" s="83"/>
      <c r="BB588" s="83"/>
      <c r="BC588" s="83"/>
      <c r="BD588" s="83"/>
      <c r="BE588" s="83"/>
      <c r="BF588" s="83"/>
      <c r="BG588" s="83"/>
      <c r="BH588" s="83"/>
      <c r="BI588" s="65"/>
      <c r="BJ588" s="68"/>
      <c r="BK588" s="59">
        <f t="shared" si="923"/>
        <v>0</v>
      </c>
      <c r="BL588" s="59" cm="1">
        <f t="array" ref="BL588">IFERROR(SUM(AW588:INDEX(AW588:BH588, MATCH(2, 1/(AW588:BH588&lt;&gt;""), 1) - 1))/_xlfn.XLOOKUP(F588,Apuração!A:A,Apuração!B:B),0)</f>
        <v>0</v>
      </c>
      <c r="BM588" s="55"/>
      <c r="BN588" s="55"/>
      <c r="BO588" s="53">
        <f ca="1">IFERROR(_xlfn.XLOOKUP(F588,Apuração!A:A,Apuração!C:C)/_xlfn.XLOOKUP(F588,Apuração!A:A,Apuração!B:B),0)</f>
        <v>0</v>
      </c>
      <c r="BP588" s="53">
        <f ca="1">IFERROR(_xlfn.XLOOKUP(F588,Apuração!A:A,Apuração!D:D)/_xlfn.XLOOKUP(F588,Apuração!A:A,Apuração!B:B),0)</f>
        <v>0</v>
      </c>
      <c r="BQ588" s="53">
        <f ca="1">IF(BK588&gt;=BO588,0,_xlfn.XLOOKUP(F588,Apuração!A:A,Apuração!B:B)*(BO588 + (1/_xlfn.XLOOKUP(F588,Apuração!A:A,Apuração!B:B)) - BK588))</f>
        <v>0</v>
      </c>
      <c r="BR588" s="85">
        <f t="shared" ca="1" si="924"/>
        <v>0</v>
      </c>
      <c r="BS588" s="53">
        <f ca="1">IFERROR((_xlfn.XLOOKUP(F588,Apuração!A:A,Apuração!C:C)+1)/_xlfn.XLOOKUP(F588,Apuração!A:A,Apuração!B:B),0)</f>
        <v>0.14285714285714285</v>
      </c>
    </row>
    <row r="589" spans="1:71" ht="25.95" hidden="1" customHeight="1" x14ac:dyDescent="0.3">
      <c r="A589" s="70" t="s">
        <v>108</v>
      </c>
      <c r="B589" s="4" t="s">
        <v>117</v>
      </c>
      <c r="C589" s="5" t="s">
        <v>97</v>
      </c>
      <c r="D589" s="5" t="s">
        <v>102</v>
      </c>
      <c r="E589" s="4" t="s">
        <v>118</v>
      </c>
      <c r="F589" s="4" t="str" cm="1">
        <f t="array" ref="F589">_xlfn.IFS(
AG589 &lt;&gt; "", "Jan-Dez/26",
AH589 &lt;&gt; "", "Fev-Dez/26",
AI589 &lt;&gt; "", "Mar-Dez/26", AJ589 &lt;&gt; "", "Abr-Dez/26",
TRUE, "A partir de Junho"
)</f>
        <v>A partir de Junho</v>
      </c>
      <c r="G589" s="4" t="s">
        <v>37</v>
      </c>
      <c r="H589" s="7" t="s">
        <v>38</v>
      </c>
      <c r="I589" s="4" t="s">
        <v>119</v>
      </c>
      <c r="J589" s="8" t="str" cm="1">
        <f t="array" aca="1" ref="J589" ca="1">_xlfn.LET(
  _xlpm.actual_value_month, INDEX(T589:AE589, MATCH(DATE(YEAR(TODAY()), MONTH(TODAY()), 1), $T$1:$AE$1, 0)),
  IF(_xlpm.actual_value_month &lt;&gt; "",_xlpm.actual_value_month &amp; " ações mensais", "")
)</f>
        <v/>
      </c>
      <c r="K589" s="8" t="str" cm="1">
        <f t="array" ref="K589">_xlfn.LET(
    _xlpm.sum_month, SUM(T589:AE589),
    IF(_xlpm.sum_month = 0, "", _xlpm.sum_month &amp; " NC's no ano")
)</f>
        <v/>
      </c>
      <c r="L589" s="4" t="s">
        <v>120</v>
      </c>
      <c r="M589" s="19"/>
      <c r="N589" s="5" t="s">
        <v>51</v>
      </c>
      <c r="O589" s="5"/>
      <c r="P589" s="10"/>
      <c r="Q589" s="10"/>
      <c r="R589" s="11"/>
      <c r="S589" s="11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81"/>
      <c r="AG589" s="71"/>
      <c r="AH589" s="71"/>
      <c r="AI589" s="71"/>
      <c r="AJ589" s="71"/>
      <c r="AK589" s="71"/>
      <c r="AL589" s="71"/>
      <c r="AM589" s="71"/>
      <c r="AN589" s="71"/>
      <c r="AO589" s="71"/>
      <c r="AP589" s="71"/>
      <c r="AQ589" s="71"/>
      <c r="AR589" s="71"/>
      <c r="AS589" s="94"/>
      <c r="AT589" s="95"/>
      <c r="AU589" s="97"/>
      <c r="AV589" s="81"/>
      <c r="AW589" s="83">
        <f t="shared" si="919"/>
        <v>0</v>
      </c>
      <c r="AX589" s="83">
        <f t="shared" si="920"/>
        <v>0</v>
      </c>
      <c r="AY589" s="83">
        <f t="shared" si="921"/>
        <v>0</v>
      </c>
      <c r="AZ589" s="83">
        <f t="shared" si="922"/>
        <v>0</v>
      </c>
      <c r="BA589" s="83"/>
      <c r="BB589" s="83"/>
      <c r="BC589" s="83"/>
      <c r="BD589" s="83"/>
      <c r="BE589" s="83"/>
      <c r="BF589" s="83"/>
      <c r="BG589" s="83"/>
      <c r="BH589" s="83"/>
      <c r="BI589" s="65"/>
      <c r="BJ589" s="68"/>
      <c r="BK589" s="59">
        <f t="shared" si="923"/>
        <v>0</v>
      </c>
      <c r="BL589" s="59" cm="1">
        <f t="array" ref="BL589">IFERROR(SUM(AW589:INDEX(AW589:BH589, MATCH(2, 1/(AW589:BH589&lt;&gt;""), 1) - 1))/_xlfn.XLOOKUP(F589,Apuração!A:A,Apuração!B:B),0)</f>
        <v>0</v>
      </c>
      <c r="BM589" s="55"/>
      <c r="BN589" s="55"/>
      <c r="BO589" s="53">
        <f ca="1">IFERROR(_xlfn.XLOOKUP(F589,Apuração!A:A,Apuração!C:C)/_xlfn.XLOOKUP(F589,Apuração!A:A,Apuração!B:B),0)</f>
        <v>0</v>
      </c>
      <c r="BP589" s="53">
        <f ca="1">IFERROR(_xlfn.XLOOKUP(F589,Apuração!A:A,Apuração!D:D)/_xlfn.XLOOKUP(F589,Apuração!A:A,Apuração!B:B),0)</f>
        <v>0</v>
      </c>
      <c r="BQ589" s="53">
        <f ca="1">IF(BK589&gt;=BO589,0,_xlfn.XLOOKUP(F589,Apuração!A:A,Apuração!B:B)*(BO589 + (1/_xlfn.XLOOKUP(F589,Apuração!A:A,Apuração!B:B)) - BK589))</f>
        <v>0</v>
      </c>
      <c r="BR589" s="85">
        <f t="shared" ca="1" si="924"/>
        <v>0</v>
      </c>
      <c r="BS589" s="53">
        <f ca="1">IFERROR((_xlfn.XLOOKUP(F589,Apuração!A:A,Apuração!C:C)+1)/_xlfn.XLOOKUP(F589,Apuração!A:A,Apuração!B:B),0)</f>
        <v>0.14285714285714285</v>
      </c>
    </row>
    <row r="590" spans="1:71" ht="25.95" hidden="1" customHeight="1" x14ac:dyDescent="0.3">
      <c r="A590" s="70" t="s">
        <v>108</v>
      </c>
      <c r="B590" s="4" t="s">
        <v>117</v>
      </c>
      <c r="C590" s="5" t="s">
        <v>97</v>
      </c>
      <c r="D590" s="5" t="s">
        <v>103</v>
      </c>
      <c r="E590" s="4" t="s">
        <v>118</v>
      </c>
      <c r="F590" s="4" t="str" cm="1">
        <f t="array" ref="F590">_xlfn.IFS(
AG590 &lt;&gt; "", "Jan-Dez/26",
AH590 &lt;&gt; "", "Fev-Dez/26",
AI590 &lt;&gt; "", "Mar-Dez/26", AJ590 &lt;&gt; "", "Abr-Dez/26",
TRUE, "A partir de Junho"
)</f>
        <v>A partir de Junho</v>
      </c>
      <c r="G590" s="4" t="s">
        <v>37</v>
      </c>
      <c r="H590" s="7" t="s">
        <v>38</v>
      </c>
      <c r="I590" s="4" t="s">
        <v>119</v>
      </c>
      <c r="J590" s="8" t="str" cm="1">
        <f t="array" aca="1" ref="J590" ca="1">_xlfn.LET(
  _xlpm.actual_value_month, INDEX(T590:AE590, MATCH(DATE(YEAR(TODAY()), MONTH(TODAY()), 1), $T$1:$AE$1, 0)),
  IF(_xlpm.actual_value_month &lt;&gt; "",_xlpm.actual_value_month &amp; " ações mensais", "")
)</f>
        <v/>
      </c>
      <c r="K590" s="8" t="str" cm="1">
        <f t="array" ref="K590">_xlfn.LET(
    _xlpm.sum_month, SUM(T590:AE590),
    IF(_xlpm.sum_month = 0, "", _xlpm.sum_month &amp; " NC's no ano")
)</f>
        <v/>
      </c>
      <c r="L590" s="4" t="s">
        <v>120</v>
      </c>
      <c r="M590" s="19"/>
      <c r="N590" s="5" t="s">
        <v>51</v>
      </c>
      <c r="O590" s="5"/>
      <c r="P590" s="10"/>
      <c r="Q590" s="10"/>
      <c r="R590" s="11"/>
      <c r="S590" s="11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8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  <c r="AS590" s="94"/>
      <c r="AT590" s="95"/>
      <c r="AU590" s="97"/>
      <c r="AV590" s="81"/>
      <c r="AW590" s="83">
        <f t="shared" si="919"/>
        <v>0</v>
      </c>
      <c r="AX590" s="83">
        <f t="shared" si="920"/>
        <v>0</v>
      </c>
      <c r="AY590" s="83">
        <f t="shared" si="921"/>
        <v>0</v>
      </c>
      <c r="AZ590" s="83">
        <f t="shared" si="922"/>
        <v>0</v>
      </c>
      <c r="BA590" s="83"/>
      <c r="BB590" s="83"/>
      <c r="BC590" s="83"/>
      <c r="BD590" s="83"/>
      <c r="BE590" s="83"/>
      <c r="BF590" s="83"/>
      <c r="BG590" s="83"/>
      <c r="BH590" s="83"/>
      <c r="BI590" s="65"/>
      <c r="BJ590" s="68"/>
      <c r="BK590" s="59">
        <f t="shared" si="923"/>
        <v>0</v>
      </c>
      <c r="BL590" s="59" cm="1">
        <f t="array" ref="BL590">IFERROR(SUM(AW590:INDEX(AW590:BH590, MATCH(2, 1/(AW590:BH590&lt;&gt;""), 1) - 1))/_xlfn.XLOOKUP(F590,Apuração!A:A,Apuração!B:B),0)</f>
        <v>0</v>
      </c>
      <c r="BM590" s="55"/>
      <c r="BN590" s="55"/>
      <c r="BO590" s="53">
        <f ca="1">IFERROR(_xlfn.XLOOKUP(F590,Apuração!A:A,Apuração!C:C)/_xlfn.XLOOKUP(F590,Apuração!A:A,Apuração!B:B),0)</f>
        <v>0</v>
      </c>
      <c r="BP590" s="53">
        <f ca="1">IFERROR(_xlfn.XLOOKUP(F590,Apuração!A:A,Apuração!D:D)/_xlfn.XLOOKUP(F590,Apuração!A:A,Apuração!B:B),0)</f>
        <v>0</v>
      </c>
      <c r="BQ590" s="53">
        <f ca="1">IF(BK590&gt;=BO590,0,_xlfn.XLOOKUP(F590,Apuração!A:A,Apuração!B:B)*(BO590 + (1/_xlfn.XLOOKUP(F590,Apuração!A:A,Apuração!B:B)) - BK590))</f>
        <v>0</v>
      </c>
      <c r="BR590" s="85">
        <f t="shared" ca="1" si="924"/>
        <v>0</v>
      </c>
      <c r="BS590" s="53">
        <f ca="1">IFERROR((_xlfn.XLOOKUP(F590,Apuração!A:A,Apuração!C:C)+1)/_xlfn.XLOOKUP(F590,Apuração!A:A,Apuração!B:B),0)</f>
        <v>0.14285714285714285</v>
      </c>
    </row>
    <row r="591" spans="1:71" ht="25.95" hidden="1" customHeight="1" x14ac:dyDescent="0.3">
      <c r="A591" s="70" t="s">
        <v>108</v>
      </c>
      <c r="B591" s="4" t="s">
        <v>117</v>
      </c>
      <c r="C591" s="5" t="s">
        <v>97</v>
      </c>
      <c r="D591" s="5" t="s">
        <v>104</v>
      </c>
      <c r="E591" s="4" t="s">
        <v>118</v>
      </c>
      <c r="F591" s="4" t="str" cm="1">
        <f t="array" ref="F591">_xlfn.IFS(
AG591 &lt;&gt; "", "Jan-Dez/26",
AH591 &lt;&gt; "", "Fev-Dez/26",
AI591 &lt;&gt; "", "Mar-Dez/26", AJ591 &lt;&gt; "", "Abr-Dez/26",
TRUE, "A partir de Junho"
)</f>
        <v>A partir de Junho</v>
      </c>
      <c r="G591" s="4" t="s">
        <v>37</v>
      </c>
      <c r="H591" s="7" t="s">
        <v>38</v>
      </c>
      <c r="I591" s="4" t="s">
        <v>119</v>
      </c>
      <c r="J591" s="8" t="str" cm="1">
        <f t="array" aca="1" ref="J591" ca="1">_xlfn.LET(
  _xlpm.actual_value_month, INDEX(T591:AE591, MATCH(DATE(YEAR(TODAY()), MONTH(TODAY()), 1), $T$1:$AE$1, 0)),
  IF(_xlpm.actual_value_month &lt;&gt; "",_xlpm.actual_value_month &amp; " ações mensais", "")
)</f>
        <v/>
      </c>
      <c r="K591" s="8" t="str" cm="1">
        <f t="array" ref="K591">_xlfn.LET(
    _xlpm.sum_month, SUM(T591:AE591),
    IF(_xlpm.sum_month = 0, "", _xlpm.sum_month &amp; " NC's no ano")
)</f>
        <v/>
      </c>
      <c r="L591" s="4" t="s">
        <v>120</v>
      </c>
      <c r="M591" s="19"/>
      <c r="N591" s="5" t="s">
        <v>51</v>
      </c>
      <c r="O591" s="5"/>
      <c r="P591" s="10"/>
      <c r="Q591" s="10"/>
      <c r="R591" s="11"/>
      <c r="S591" s="11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8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  <c r="AS591" s="94"/>
      <c r="AT591" s="95"/>
      <c r="AU591" s="97"/>
      <c r="AV591" s="81"/>
      <c r="AW591" s="83">
        <f t="shared" si="919"/>
        <v>0</v>
      </c>
      <c r="AX591" s="83">
        <f t="shared" si="920"/>
        <v>0</v>
      </c>
      <c r="AY591" s="83">
        <f t="shared" si="921"/>
        <v>0</v>
      </c>
      <c r="AZ591" s="83">
        <f t="shared" si="922"/>
        <v>0</v>
      </c>
      <c r="BA591" s="83"/>
      <c r="BB591" s="83"/>
      <c r="BC591" s="83"/>
      <c r="BD591" s="83"/>
      <c r="BE591" s="83"/>
      <c r="BF591" s="83"/>
      <c r="BG591" s="83"/>
      <c r="BH591" s="83"/>
      <c r="BI591" s="65"/>
      <c r="BJ591" s="68"/>
      <c r="BK591" s="59">
        <f t="shared" si="923"/>
        <v>0</v>
      </c>
      <c r="BL591" s="59" cm="1">
        <f t="array" ref="BL591">IFERROR(SUM(AW591:INDEX(AW591:BH591, MATCH(2, 1/(AW591:BH591&lt;&gt;""), 1) - 1))/_xlfn.XLOOKUP(F591,Apuração!A:A,Apuração!B:B),0)</f>
        <v>0</v>
      </c>
      <c r="BM591" s="55"/>
      <c r="BN591" s="55"/>
      <c r="BO591" s="53">
        <f ca="1">IFERROR(_xlfn.XLOOKUP(F591,Apuração!A:A,Apuração!C:C)/_xlfn.XLOOKUP(F591,Apuração!A:A,Apuração!B:B),0)</f>
        <v>0</v>
      </c>
      <c r="BP591" s="53">
        <f ca="1">IFERROR(_xlfn.XLOOKUP(F591,Apuração!A:A,Apuração!D:D)/_xlfn.XLOOKUP(F591,Apuração!A:A,Apuração!B:B),0)</f>
        <v>0</v>
      </c>
      <c r="BQ591" s="53">
        <f ca="1">IF(BK591&gt;=BO591,0,_xlfn.XLOOKUP(F591,Apuração!A:A,Apuração!B:B)*(BO591 + (1/_xlfn.XLOOKUP(F591,Apuração!A:A,Apuração!B:B)) - BK591))</f>
        <v>0</v>
      </c>
      <c r="BR591" s="85">
        <f t="shared" ca="1" si="924"/>
        <v>0</v>
      </c>
      <c r="BS591" s="53">
        <f ca="1">IFERROR((_xlfn.XLOOKUP(F591,Apuração!A:A,Apuração!C:C)+1)/_xlfn.XLOOKUP(F591,Apuração!A:A,Apuração!B:B),0)</f>
        <v>0.14285714285714285</v>
      </c>
    </row>
    <row r="592" spans="1:71" ht="25.95" hidden="1" customHeight="1" x14ac:dyDescent="0.3">
      <c r="A592" s="70" t="s">
        <v>108</v>
      </c>
      <c r="B592" s="4" t="s">
        <v>117</v>
      </c>
      <c r="C592" s="5" t="s">
        <v>97</v>
      </c>
      <c r="D592" s="5" t="s">
        <v>105</v>
      </c>
      <c r="E592" s="4" t="s">
        <v>118</v>
      </c>
      <c r="F592" s="4" t="str" cm="1">
        <f t="array" ref="F592">_xlfn.IFS(
AG592 &lt;&gt; "", "Jan-Dez/26",
AH592 &lt;&gt; "", "Fev-Dez/26",
AI592 &lt;&gt; "", "Mar-Dez/26", AJ592 &lt;&gt; "", "Abr-Dez/26",
TRUE, "A partir de Junho"
)</f>
        <v>A partir de Junho</v>
      </c>
      <c r="G592" s="4" t="s">
        <v>37</v>
      </c>
      <c r="H592" s="7" t="s">
        <v>38</v>
      </c>
      <c r="I592" s="4" t="s">
        <v>119</v>
      </c>
      <c r="J592" s="8" t="str" cm="1">
        <f t="array" aca="1" ref="J592" ca="1">_xlfn.LET(
  _xlpm.actual_value_month, INDEX(T592:AE592, MATCH(DATE(YEAR(TODAY()), MONTH(TODAY()), 1), $T$1:$AE$1, 0)),
  IF(_xlpm.actual_value_month &lt;&gt; "",_xlpm.actual_value_month &amp; " ações mensais", "")
)</f>
        <v/>
      </c>
      <c r="K592" s="8" t="str" cm="1">
        <f t="array" ref="K592">_xlfn.LET(
    _xlpm.sum_month, SUM(T592:AE592),
    IF(_xlpm.sum_month = 0, "", _xlpm.sum_month &amp; " NC's no ano")
)</f>
        <v/>
      </c>
      <c r="L592" s="4" t="s">
        <v>120</v>
      </c>
      <c r="M592" s="19"/>
      <c r="N592" s="5" t="s">
        <v>51</v>
      </c>
      <c r="O592" s="5"/>
      <c r="P592" s="10"/>
      <c r="Q592" s="10"/>
      <c r="R592" s="11"/>
      <c r="S592" s="11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8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  <c r="AS592" s="94"/>
      <c r="AT592" s="95"/>
      <c r="AU592" s="97"/>
      <c r="AV592" s="81"/>
      <c r="AW592" s="83">
        <f t="shared" si="919"/>
        <v>0</v>
      </c>
      <c r="AX592" s="83">
        <f t="shared" si="920"/>
        <v>0</v>
      </c>
      <c r="AY592" s="83">
        <f t="shared" si="921"/>
        <v>0</v>
      </c>
      <c r="AZ592" s="83">
        <f t="shared" si="922"/>
        <v>0</v>
      </c>
      <c r="BA592" s="83"/>
      <c r="BB592" s="83"/>
      <c r="BC592" s="83"/>
      <c r="BD592" s="83"/>
      <c r="BE592" s="83"/>
      <c r="BF592" s="83"/>
      <c r="BG592" s="83"/>
      <c r="BH592" s="83"/>
      <c r="BI592" s="65"/>
      <c r="BJ592" s="68"/>
      <c r="BK592" s="59">
        <f t="shared" si="923"/>
        <v>0</v>
      </c>
      <c r="BL592" s="59" cm="1">
        <f t="array" ref="BL592">IFERROR(SUM(AW592:INDEX(AW592:BH592, MATCH(2, 1/(AW592:BH592&lt;&gt;""), 1) - 1))/_xlfn.XLOOKUP(F592,Apuração!A:A,Apuração!B:B),0)</f>
        <v>0</v>
      </c>
      <c r="BM592" s="55"/>
      <c r="BN592" s="55"/>
      <c r="BO592" s="53">
        <f ca="1">IFERROR(_xlfn.XLOOKUP(F592,Apuração!A:A,Apuração!C:C)/_xlfn.XLOOKUP(F592,Apuração!A:A,Apuração!B:B),0)</f>
        <v>0</v>
      </c>
      <c r="BP592" s="53">
        <f ca="1">IFERROR(_xlfn.XLOOKUP(F592,Apuração!A:A,Apuração!D:D)/_xlfn.XLOOKUP(F592,Apuração!A:A,Apuração!B:B),0)</f>
        <v>0</v>
      </c>
      <c r="BQ592" s="53">
        <f ca="1">IF(BK592&gt;=BO592,0,_xlfn.XLOOKUP(F592,Apuração!A:A,Apuração!B:B)*(BO592 + (1/_xlfn.XLOOKUP(F592,Apuração!A:A,Apuração!B:B)) - BK592))</f>
        <v>0</v>
      </c>
      <c r="BR592" s="85">
        <f t="shared" ca="1" si="924"/>
        <v>0</v>
      </c>
      <c r="BS592" s="53">
        <f ca="1">IFERROR((_xlfn.XLOOKUP(F592,Apuração!A:A,Apuração!C:C)+1)/_xlfn.XLOOKUP(F592,Apuração!A:A,Apuração!B:B),0)</f>
        <v>0.14285714285714285</v>
      </c>
    </row>
    <row r="593" spans="1:71" ht="25.95" hidden="1" customHeight="1" x14ac:dyDescent="0.3">
      <c r="A593" s="70" t="s">
        <v>108</v>
      </c>
      <c r="B593" s="4" t="s">
        <v>117</v>
      </c>
      <c r="C593" s="5" t="s">
        <v>97</v>
      </c>
      <c r="D593" s="5" t="s">
        <v>106</v>
      </c>
      <c r="E593" s="4" t="s">
        <v>118</v>
      </c>
      <c r="F593" s="4" t="str" cm="1">
        <f t="array" ref="F593">_xlfn.IFS(
AG593 &lt;&gt; "", "Jan-Dez/26",
AH593 &lt;&gt; "", "Fev-Dez/26",
AI593 &lt;&gt; "", "Mar-Dez/26", AJ593 &lt;&gt; "", "Abr-Dez/26",
TRUE, "A partir de Junho"
)</f>
        <v>A partir de Junho</v>
      </c>
      <c r="G593" s="4" t="s">
        <v>37</v>
      </c>
      <c r="H593" s="7" t="s">
        <v>38</v>
      </c>
      <c r="I593" s="4" t="s">
        <v>119</v>
      </c>
      <c r="J593" s="8" t="str" cm="1">
        <f t="array" aca="1" ref="J593" ca="1">_xlfn.LET(
  _xlpm.actual_value_month, INDEX(T593:AE593, MATCH(DATE(YEAR(TODAY()), MONTH(TODAY()), 1), $T$1:$AE$1, 0)),
  IF(_xlpm.actual_value_month &lt;&gt; "",_xlpm.actual_value_month &amp; " ações mensais", "")
)</f>
        <v/>
      </c>
      <c r="K593" s="8" t="str" cm="1">
        <f t="array" ref="K593">_xlfn.LET(
    _xlpm.sum_month, SUM(T593:AE593),
    IF(_xlpm.sum_month = 0, "", _xlpm.sum_month &amp; " NC's no ano")
)</f>
        <v/>
      </c>
      <c r="L593" s="4" t="s">
        <v>120</v>
      </c>
      <c r="M593" s="19"/>
      <c r="N593" s="5" t="s">
        <v>51</v>
      </c>
      <c r="O593" s="5"/>
      <c r="P593" s="10"/>
      <c r="Q593" s="10"/>
      <c r="R593" s="11"/>
      <c r="S593" s="11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8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  <c r="AS593" s="94"/>
      <c r="AT593" s="95"/>
      <c r="AU593" s="97"/>
      <c r="AV593" s="81"/>
      <c r="AW593" s="83">
        <f t="shared" si="919"/>
        <v>0</v>
      </c>
      <c r="AX593" s="83">
        <f t="shared" si="920"/>
        <v>0</v>
      </c>
      <c r="AY593" s="83">
        <f t="shared" si="921"/>
        <v>0</v>
      </c>
      <c r="AZ593" s="83">
        <f t="shared" si="922"/>
        <v>0</v>
      </c>
      <c r="BA593" s="83"/>
      <c r="BB593" s="83"/>
      <c r="BC593" s="83"/>
      <c r="BD593" s="83"/>
      <c r="BE593" s="83"/>
      <c r="BF593" s="83"/>
      <c r="BG593" s="83"/>
      <c r="BH593" s="83"/>
      <c r="BI593" s="65"/>
      <c r="BJ593" s="68"/>
      <c r="BK593" s="59">
        <f t="shared" si="923"/>
        <v>0</v>
      </c>
      <c r="BL593" s="59" cm="1">
        <f t="array" ref="BL593">IFERROR(SUM(AW593:INDEX(AW593:BH593, MATCH(2, 1/(AW593:BH593&lt;&gt;""), 1) - 1))/_xlfn.XLOOKUP(F593,Apuração!A:A,Apuração!B:B),0)</f>
        <v>0</v>
      </c>
      <c r="BM593" s="55"/>
      <c r="BN593" s="55"/>
      <c r="BO593" s="53">
        <f ca="1">IFERROR(_xlfn.XLOOKUP(F593,Apuração!A:A,Apuração!C:C)/_xlfn.XLOOKUP(F593,Apuração!A:A,Apuração!B:B),0)</f>
        <v>0</v>
      </c>
      <c r="BP593" s="53">
        <f ca="1">IFERROR(_xlfn.XLOOKUP(F593,Apuração!A:A,Apuração!D:D)/_xlfn.XLOOKUP(F593,Apuração!A:A,Apuração!B:B),0)</f>
        <v>0</v>
      </c>
      <c r="BQ593" s="53">
        <f ca="1">IF(BK593&gt;=BO593,0,_xlfn.XLOOKUP(F593,Apuração!A:A,Apuração!B:B)*(BO593 + (1/_xlfn.XLOOKUP(F593,Apuração!A:A,Apuração!B:B)) - BK593))</f>
        <v>0</v>
      </c>
      <c r="BR593" s="85">
        <f t="shared" ca="1" si="924"/>
        <v>0</v>
      </c>
      <c r="BS593" s="53">
        <f ca="1">IFERROR((_xlfn.XLOOKUP(F593,Apuração!A:A,Apuração!C:C)+1)/_xlfn.XLOOKUP(F593,Apuração!A:A,Apuração!B:B),0)</f>
        <v>0.14285714285714285</v>
      </c>
    </row>
    <row r="594" spans="1:71" ht="25.95" hidden="1" customHeight="1" x14ac:dyDescent="0.3">
      <c r="A594" s="70" t="s">
        <v>108</v>
      </c>
      <c r="B594" s="4" t="s">
        <v>117</v>
      </c>
      <c r="C594" s="5" t="s">
        <v>97</v>
      </c>
      <c r="D594" s="5" t="s">
        <v>107</v>
      </c>
      <c r="E594" s="4" t="s">
        <v>118</v>
      </c>
      <c r="F594" s="4" t="str" cm="1">
        <f t="array" ref="F594">_xlfn.IFS(
AG594 &lt;&gt; "", "Jan-Dez/26",
AH594 &lt;&gt; "", "Fev-Dez/26",
AI594 &lt;&gt; "", "Mar-Dez/26", AJ594 &lt;&gt; "", "Abr-Dez/26",
TRUE, "A partir de Junho"
)</f>
        <v>A partir de Junho</v>
      </c>
      <c r="G594" s="4" t="s">
        <v>37</v>
      </c>
      <c r="H594" s="7" t="s">
        <v>38</v>
      </c>
      <c r="I594" s="4" t="s">
        <v>119</v>
      </c>
      <c r="J594" s="8" t="str" cm="1">
        <f t="array" aca="1" ref="J594" ca="1">_xlfn.LET(
  _xlpm.actual_value_month, INDEX(T594:AE594, MATCH(DATE(YEAR(TODAY()), MONTH(TODAY()), 1), $T$1:$AE$1, 0)),
  IF(_xlpm.actual_value_month &lt;&gt; "",_xlpm.actual_value_month &amp; " ações mensais", "")
)</f>
        <v/>
      </c>
      <c r="K594" s="8" t="str" cm="1">
        <f t="array" ref="K594">_xlfn.LET(
    _xlpm.sum_month, SUM(T594:AE594),
    IF(_xlpm.sum_month = 0, "", _xlpm.sum_month &amp; " NC's no ano")
)</f>
        <v/>
      </c>
      <c r="L594" s="4" t="s">
        <v>120</v>
      </c>
      <c r="M594" s="19"/>
      <c r="N594" s="5" t="s">
        <v>51</v>
      </c>
      <c r="O594" s="5"/>
      <c r="P594" s="10"/>
      <c r="Q594" s="10"/>
      <c r="R594" s="11"/>
      <c r="S594" s="11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8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  <c r="AS594" s="94"/>
      <c r="AT594" s="95"/>
      <c r="AU594" s="97"/>
      <c r="AV594" s="81"/>
      <c r="AW594" s="83">
        <f t="shared" si="919"/>
        <v>0</v>
      </c>
      <c r="AX594" s="83">
        <f t="shared" si="920"/>
        <v>0</v>
      </c>
      <c r="AY594" s="83">
        <f t="shared" si="921"/>
        <v>0</v>
      </c>
      <c r="AZ594" s="83">
        <f t="shared" si="922"/>
        <v>0</v>
      </c>
      <c r="BA594" s="83"/>
      <c r="BB594" s="83"/>
      <c r="BC594" s="83"/>
      <c r="BD594" s="83"/>
      <c r="BE594" s="83"/>
      <c r="BF594" s="83"/>
      <c r="BG594" s="83"/>
      <c r="BH594" s="83"/>
      <c r="BI594" s="65"/>
      <c r="BJ594" s="68"/>
      <c r="BK594" s="59">
        <f t="shared" si="923"/>
        <v>0</v>
      </c>
      <c r="BL594" s="59" cm="1">
        <f t="array" ref="BL594">IFERROR(SUM(AW594:INDEX(AW594:BH594, MATCH(2, 1/(AW594:BH594&lt;&gt;""), 1) - 1))/_xlfn.XLOOKUP(F594,Apuração!A:A,Apuração!B:B),0)</f>
        <v>0</v>
      </c>
      <c r="BM594" s="55"/>
      <c r="BN594" s="55"/>
      <c r="BO594" s="53">
        <f ca="1">IFERROR(_xlfn.XLOOKUP(F594,Apuração!A:A,Apuração!C:C)/_xlfn.XLOOKUP(F594,Apuração!A:A,Apuração!B:B),0)</f>
        <v>0</v>
      </c>
      <c r="BP594" s="53">
        <f ca="1">IFERROR(_xlfn.XLOOKUP(F594,Apuração!A:A,Apuração!D:D)/_xlfn.XLOOKUP(F594,Apuração!A:A,Apuração!B:B),0)</f>
        <v>0</v>
      </c>
      <c r="BQ594" s="53">
        <f ca="1">IF(BK594&gt;=BO594,0,_xlfn.XLOOKUP(F594,Apuração!A:A,Apuração!B:B)*(BO594 + (1/_xlfn.XLOOKUP(F594,Apuração!A:A,Apuração!B:B)) - BK594))</f>
        <v>0</v>
      </c>
      <c r="BR594" s="85">
        <f t="shared" ca="1" si="924"/>
        <v>0</v>
      </c>
      <c r="BS594" s="53">
        <f ca="1">IFERROR((_xlfn.XLOOKUP(F594,Apuração!A:A,Apuração!C:C)+1)/_xlfn.XLOOKUP(F594,Apuração!A:A,Apuração!B:B),0)</f>
        <v>0.14285714285714285</v>
      </c>
    </row>
    <row r="595" spans="1:71" ht="25.95" hidden="1" customHeight="1" x14ac:dyDescent="0.3">
      <c r="A595" s="70" t="s">
        <v>108</v>
      </c>
      <c r="B595" s="4" t="s">
        <v>117</v>
      </c>
      <c r="C595" s="5" t="s">
        <v>97</v>
      </c>
      <c r="D595" s="5" t="s">
        <v>36</v>
      </c>
      <c r="E595" s="4" t="s">
        <v>118</v>
      </c>
      <c r="F595" s="4" t="str" cm="1">
        <f t="array" ref="F595">_xlfn.IFS(
AG595 &lt;&gt; "", "Jan-Dez/26",
AH595 &lt;&gt; "", "Fev-Dez/26",
AI595 &lt;&gt; "", "Mar-Dez/26", AJ595 &lt;&gt; "", "Abr-Dez/26",
TRUE, "A partir de Junho"
)</f>
        <v>Jan-Dez/26</v>
      </c>
      <c r="G595" s="4" t="s">
        <v>37</v>
      </c>
      <c r="H595" s="7" t="s">
        <v>38</v>
      </c>
      <c r="I595" s="4" t="s">
        <v>121</v>
      </c>
      <c r="J595" s="8" t="str" cm="1">
        <f t="array" aca="1" ref="J595" ca="1">_xlfn.LET(
  _xlpm.actual_value_month, INDEX(T595:AE595, MATCH(DATE(YEAR(TODAY()), MONTH(TODAY()), 1), $T$1:$AE$1, 0)),
  IF(_xlpm.actual_value_month &lt;&gt; "",_xlpm.actual_value_month &amp; " ações mensais", "")
)</f>
        <v/>
      </c>
      <c r="K595" s="8" t="str" cm="1">
        <f t="array" ref="K595">_xlfn.LET(
    _xlpm.sum_month, SUM(T595:AE595),
    IF(_xlpm.sum_month = 0, "", _xlpm.sum_month &amp; " empresas monitoradas no ano")
)</f>
        <v/>
      </c>
      <c r="L595" s="4" t="s">
        <v>122</v>
      </c>
      <c r="M595" s="19"/>
      <c r="N595" s="5" t="s">
        <v>51</v>
      </c>
      <c r="O595" s="5"/>
      <c r="P595" s="10"/>
      <c r="Q595" s="10"/>
      <c r="R595" s="11"/>
      <c r="S595" s="11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81"/>
      <c r="AG595" s="71">
        <v>50</v>
      </c>
      <c r="AH595" s="71">
        <v>52</v>
      </c>
      <c r="AI595" s="71">
        <v>53</v>
      </c>
      <c r="AJ595" s="71"/>
      <c r="AK595" s="71"/>
      <c r="AL595" s="71"/>
      <c r="AM595" s="71"/>
      <c r="AN595" s="71"/>
      <c r="AO595" s="71"/>
      <c r="AP595" s="71"/>
      <c r="AQ595" s="71"/>
      <c r="AR595" s="71"/>
      <c r="AS595" s="94"/>
      <c r="AT595" s="95"/>
      <c r="AU595" s="97"/>
      <c r="AV595" s="81"/>
      <c r="AW595" s="83">
        <f>AG595</f>
        <v>50</v>
      </c>
      <c r="AX595" s="83">
        <f t="shared" si="916"/>
        <v>52</v>
      </c>
      <c r="AY595" s="83">
        <f t="shared" si="917"/>
        <v>53</v>
      </c>
      <c r="AZ595" s="83">
        <f t="shared" si="918"/>
        <v>0</v>
      </c>
      <c r="BA595" s="83"/>
      <c r="BB595" s="83"/>
      <c r="BC595" s="83"/>
      <c r="BD595" s="83"/>
      <c r="BE595" s="83"/>
      <c r="BF595" s="83"/>
      <c r="BG595" s="83"/>
      <c r="BH595" s="83"/>
      <c r="BI595" s="65"/>
      <c r="BJ595" s="68"/>
      <c r="BK595" s="59">
        <f>SUM(AW595:BH595)</f>
        <v>155</v>
      </c>
      <c r="BL595" s="59" cm="1">
        <f t="array" ref="BL595">IFERROR(SUM(AW595:INDEX(AW595:BH595, MATCH(2, 1/(AW595:BH595&lt;&gt;""), 1) - 1))/_xlfn.XLOOKUP(F595,Apuração!A:A,Apuração!B:B),0)</f>
        <v>12.916666666666666</v>
      </c>
      <c r="BM595" s="55"/>
      <c r="BN595" s="55"/>
      <c r="BO595" s="53">
        <f ca="1">IFERROR(_xlfn.XLOOKUP(F595,Apuração!A:A,Apuração!C:C)/_xlfn.XLOOKUP(F595,Apuração!A:A,Apuração!B:B),0)</f>
        <v>0.41666666666666669</v>
      </c>
      <c r="BP595" s="53">
        <f ca="1">IFERROR(_xlfn.XLOOKUP(F595,Apuração!A:A,Apuração!D:D)/_xlfn.XLOOKUP(F595,Apuração!A:A,Apuração!B:B),0)</f>
        <v>0.33333333333333331</v>
      </c>
      <c r="BQ595" s="53">
        <f ca="1">IF(BK595&gt;=BO595,0,_xlfn.XLOOKUP(F595,Apuração!A:A,Apuração!B:B)*(BO595 + (1/_xlfn.XLOOKUP(F595,Apuração!A:A,Apuração!B:B)) - BK595))</f>
        <v>0</v>
      </c>
      <c r="BR595" s="85">
        <f t="shared" ca="1" si="898"/>
        <v>0</v>
      </c>
      <c r="BS595" s="53">
        <f ca="1">IFERROR((_xlfn.XLOOKUP(F595,Apuração!A:A,Apuração!C:C)+1)/_xlfn.XLOOKUP(F595,Apuração!A:A,Apuração!B:B),0)</f>
        <v>0.5</v>
      </c>
    </row>
    <row r="596" spans="1:71" ht="25.95" hidden="1" customHeight="1" x14ac:dyDescent="0.3">
      <c r="A596" s="70" t="s">
        <v>108</v>
      </c>
      <c r="B596" s="4" t="s">
        <v>117</v>
      </c>
      <c r="C596" s="5" t="s">
        <v>97</v>
      </c>
      <c r="D596" s="5" t="s">
        <v>98</v>
      </c>
      <c r="E596" s="4" t="s">
        <v>118</v>
      </c>
      <c r="F596" s="4" t="str" cm="1">
        <f t="array" ref="F596">_xlfn.IFS(
AG596 &lt;&gt; "", "Jan-Dez/26",
AH596 &lt;&gt; "", "Fev-Dez/26",
AI596 &lt;&gt; "", "Mar-Dez/26", AJ596 &lt;&gt; "", "Abr-Dez/26",
TRUE, "A partir de Junho"
)</f>
        <v>A partir de Junho</v>
      </c>
      <c r="G596" s="4" t="s">
        <v>37</v>
      </c>
      <c r="H596" s="7" t="s">
        <v>38</v>
      </c>
      <c r="I596" s="4" t="s">
        <v>121</v>
      </c>
      <c r="J596" s="8" t="str" cm="1">
        <f t="array" aca="1" ref="J596" ca="1">_xlfn.LET(
  _xlpm.actual_value_month, INDEX(T596:AE596, MATCH(DATE(YEAR(TODAY()), MONTH(TODAY()), 1), $T$1:$AE$1, 0)),
  IF(_xlpm.actual_value_month &lt;&gt; "",_xlpm.actual_value_month &amp; " ações mensais", "")
)</f>
        <v/>
      </c>
      <c r="K596" s="8" t="str" cm="1">
        <f t="array" ref="K596">_xlfn.LET(
    _xlpm.sum_month, SUM(T596:AE596),
    IF(_xlpm.sum_month = 0, "", _xlpm.sum_month &amp; " empresas monitoradas no ano")
)</f>
        <v/>
      </c>
      <c r="L596" s="4" t="s">
        <v>122</v>
      </c>
      <c r="M596" s="19"/>
      <c r="N596" s="5" t="s">
        <v>51</v>
      </c>
      <c r="O596" s="5"/>
      <c r="P596" s="10"/>
      <c r="Q596" s="10"/>
      <c r="R596" s="11"/>
      <c r="S596" s="11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8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94"/>
      <c r="AT596" s="95"/>
      <c r="AU596" s="97"/>
      <c r="AV596" s="81"/>
      <c r="AW596" s="83">
        <f t="shared" ref="AW596:AW605" si="925">AG596</f>
        <v>0</v>
      </c>
      <c r="AX596" s="83">
        <f t="shared" ref="AX596:AX605" si="926">AH596</f>
        <v>0</v>
      </c>
      <c r="AY596" s="83">
        <f t="shared" ref="AY596:AY605" si="927">AI596</f>
        <v>0</v>
      </c>
      <c r="AZ596" s="83">
        <f t="shared" ref="AZ596:AZ605" si="928">AJ596</f>
        <v>0</v>
      </c>
      <c r="BA596" s="83"/>
      <c r="BB596" s="83"/>
      <c r="BC596" s="83"/>
      <c r="BD596" s="83"/>
      <c r="BE596" s="83"/>
      <c r="BF596" s="83"/>
      <c r="BG596" s="83"/>
      <c r="BH596" s="83"/>
      <c r="BI596" s="65"/>
      <c r="BJ596" s="68"/>
      <c r="BK596" s="59">
        <f t="shared" ref="BK596:BK605" si="929">SUM(AW596:BH596)</f>
        <v>0</v>
      </c>
      <c r="BL596" s="59" cm="1">
        <f t="array" ref="BL596">IFERROR(SUM(AW596:INDEX(AW596:BH596, MATCH(2, 1/(AW596:BH596&lt;&gt;""), 1) - 1))/_xlfn.XLOOKUP(F596,Apuração!A:A,Apuração!B:B),0)</f>
        <v>0</v>
      </c>
      <c r="BM596" s="55"/>
      <c r="BN596" s="55"/>
      <c r="BO596" s="53">
        <f ca="1">IFERROR(_xlfn.XLOOKUP(F596,Apuração!A:A,Apuração!C:C)/_xlfn.XLOOKUP(F596,Apuração!A:A,Apuração!B:B),0)</f>
        <v>0</v>
      </c>
      <c r="BP596" s="53">
        <f ca="1">IFERROR(_xlfn.XLOOKUP(F596,Apuração!A:A,Apuração!D:D)/_xlfn.XLOOKUP(F596,Apuração!A:A,Apuração!B:B),0)</f>
        <v>0</v>
      </c>
      <c r="BQ596" s="53">
        <f ca="1">IF(BK596&gt;=BO596,0,_xlfn.XLOOKUP(F596,Apuração!A:A,Apuração!B:B)*(BO596 + (1/_xlfn.XLOOKUP(F596,Apuração!A:A,Apuração!B:B)) - BK596))</f>
        <v>0</v>
      </c>
      <c r="BR596" s="85">
        <f t="shared" ref="BR596:BR605" ca="1" si="930">IF(BQ596=0,0,BQ596*Z596)</f>
        <v>0</v>
      </c>
      <c r="BS596" s="53">
        <f ca="1">IFERROR((_xlfn.XLOOKUP(F596,Apuração!A:A,Apuração!C:C)+1)/_xlfn.XLOOKUP(F596,Apuração!A:A,Apuração!B:B),0)</f>
        <v>0.14285714285714285</v>
      </c>
    </row>
    <row r="597" spans="1:71" ht="25.95" hidden="1" customHeight="1" x14ac:dyDescent="0.3">
      <c r="A597" s="70" t="s">
        <v>108</v>
      </c>
      <c r="B597" s="4" t="s">
        <v>117</v>
      </c>
      <c r="C597" s="5" t="s">
        <v>97</v>
      </c>
      <c r="D597" s="5" t="s">
        <v>99</v>
      </c>
      <c r="E597" s="4" t="s">
        <v>118</v>
      </c>
      <c r="F597" s="4" t="str" cm="1">
        <f t="array" ref="F597">_xlfn.IFS(
AG597 &lt;&gt; "", "Jan-Dez/26",
AH597 &lt;&gt; "", "Fev-Dez/26",
AI597 &lt;&gt; "", "Mar-Dez/26", AJ597 &lt;&gt; "", "Abr-Dez/26",
TRUE, "A partir de Junho"
)</f>
        <v>A partir de Junho</v>
      </c>
      <c r="G597" s="4" t="s">
        <v>37</v>
      </c>
      <c r="H597" s="7" t="s">
        <v>38</v>
      </c>
      <c r="I597" s="4" t="s">
        <v>121</v>
      </c>
      <c r="J597" s="8" t="str" cm="1">
        <f t="array" aca="1" ref="J597" ca="1">_xlfn.LET(
  _xlpm.actual_value_month, INDEX(T597:AE597, MATCH(DATE(YEAR(TODAY()), MONTH(TODAY()), 1), $T$1:$AE$1, 0)),
  IF(_xlpm.actual_value_month &lt;&gt; "",_xlpm.actual_value_month &amp; " ações mensais", "")
)</f>
        <v/>
      </c>
      <c r="K597" s="8" t="str" cm="1">
        <f t="array" ref="K597">_xlfn.LET(
    _xlpm.sum_month, SUM(T597:AE597),
    IF(_xlpm.sum_month = 0, "", _xlpm.sum_month &amp; " empresas monitoradas no ano")
)</f>
        <v/>
      </c>
      <c r="L597" s="4" t="s">
        <v>122</v>
      </c>
      <c r="M597" s="19"/>
      <c r="N597" s="5" t="s">
        <v>51</v>
      </c>
      <c r="O597" s="5"/>
      <c r="P597" s="10"/>
      <c r="Q597" s="10"/>
      <c r="R597" s="11"/>
      <c r="S597" s="11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8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94"/>
      <c r="AT597" s="95"/>
      <c r="AU597" s="97"/>
      <c r="AV597" s="81"/>
      <c r="AW597" s="83">
        <f t="shared" si="925"/>
        <v>0</v>
      </c>
      <c r="AX597" s="83">
        <f t="shared" si="926"/>
        <v>0</v>
      </c>
      <c r="AY597" s="83">
        <f t="shared" si="927"/>
        <v>0</v>
      </c>
      <c r="AZ597" s="83">
        <f t="shared" si="928"/>
        <v>0</v>
      </c>
      <c r="BA597" s="83"/>
      <c r="BB597" s="83"/>
      <c r="BC597" s="83"/>
      <c r="BD597" s="83"/>
      <c r="BE597" s="83"/>
      <c r="BF597" s="83"/>
      <c r="BG597" s="83"/>
      <c r="BH597" s="83"/>
      <c r="BI597" s="65"/>
      <c r="BJ597" s="68"/>
      <c r="BK597" s="59">
        <f t="shared" si="929"/>
        <v>0</v>
      </c>
      <c r="BL597" s="59" cm="1">
        <f t="array" ref="BL597">IFERROR(SUM(AW597:INDEX(AW597:BH597, MATCH(2, 1/(AW597:BH597&lt;&gt;""), 1) - 1))/_xlfn.XLOOKUP(F597,Apuração!A:A,Apuração!B:B),0)</f>
        <v>0</v>
      </c>
      <c r="BM597" s="55"/>
      <c r="BN597" s="55"/>
      <c r="BO597" s="53">
        <f ca="1">IFERROR(_xlfn.XLOOKUP(F597,Apuração!A:A,Apuração!C:C)/_xlfn.XLOOKUP(F597,Apuração!A:A,Apuração!B:B),0)</f>
        <v>0</v>
      </c>
      <c r="BP597" s="53">
        <f ca="1">IFERROR(_xlfn.XLOOKUP(F597,Apuração!A:A,Apuração!D:D)/_xlfn.XLOOKUP(F597,Apuração!A:A,Apuração!B:B),0)</f>
        <v>0</v>
      </c>
      <c r="BQ597" s="53">
        <f ca="1">IF(BK597&gt;=BO597,0,_xlfn.XLOOKUP(F597,Apuração!A:A,Apuração!B:B)*(BO597 + (1/_xlfn.XLOOKUP(F597,Apuração!A:A,Apuração!B:B)) - BK597))</f>
        <v>0</v>
      </c>
      <c r="BR597" s="85">
        <f t="shared" ca="1" si="930"/>
        <v>0</v>
      </c>
      <c r="BS597" s="53">
        <f ca="1">IFERROR((_xlfn.XLOOKUP(F597,Apuração!A:A,Apuração!C:C)+1)/_xlfn.XLOOKUP(F597,Apuração!A:A,Apuração!B:B),0)</f>
        <v>0.14285714285714285</v>
      </c>
    </row>
    <row r="598" spans="1:71" ht="25.95" hidden="1" customHeight="1" x14ac:dyDescent="0.3">
      <c r="A598" s="70" t="s">
        <v>108</v>
      </c>
      <c r="B598" s="4" t="s">
        <v>117</v>
      </c>
      <c r="C598" s="5" t="s">
        <v>97</v>
      </c>
      <c r="D598" s="5" t="s">
        <v>100</v>
      </c>
      <c r="E598" s="4" t="s">
        <v>118</v>
      </c>
      <c r="F598" s="4" t="str" cm="1">
        <f t="array" ref="F598">_xlfn.IFS(
AG598 &lt;&gt; "", "Jan-Dez/26",
AH598 &lt;&gt; "", "Fev-Dez/26",
AI598 &lt;&gt; "", "Mar-Dez/26", AJ598 &lt;&gt; "", "Abr-Dez/26",
TRUE, "A partir de Junho"
)</f>
        <v>A partir de Junho</v>
      </c>
      <c r="G598" s="4" t="s">
        <v>37</v>
      </c>
      <c r="H598" s="7" t="s">
        <v>38</v>
      </c>
      <c r="I598" s="4" t="s">
        <v>121</v>
      </c>
      <c r="J598" s="8" t="str" cm="1">
        <f t="array" aca="1" ref="J598" ca="1">_xlfn.LET(
  _xlpm.actual_value_month, INDEX(T598:AE598, MATCH(DATE(YEAR(TODAY()), MONTH(TODAY()), 1), $T$1:$AE$1, 0)),
  IF(_xlpm.actual_value_month &lt;&gt; "",_xlpm.actual_value_month &amp; " ações mensais", "")
)</f>
        <v/>
      </c>
      <c r="K598" s="8" t="str" cm="1">
        <f t="array" ref="K598">_xlfn.LET(
    _xlpm.sum_month, SUM(T598:AE598),
    IF(_xlpm.sum_month = 0, "", _xlpm.sum_month &amp; " empresas monitoradas no ano")
)</f>
        <v/>
      </c>
      <c r="L598" s="4" t="s">
        <v>122</v>
      </c>
      <c r="M598" s="19"/>
      <c r="N598" s="5" t="s">
        <v>51</v>
      </c>
      <c r="O598" s="5"/>
      <c r="P598" s="10"/>
      <c r="Q598" s="10"/>
      <c r="R598" s="11"/>
      <c r="S598" s="11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8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94"/>
      <c r="AT598" s="95"/>
      <c r="AU598" s="97"/>
      <c r="AV598" s="81"/>
      <c r="AW598" s="83">
        <f t="shared" si="925"/>
        <v>0</v>
      </c>
      <c r="AX598" s="83">
        <f t="shared" si="926"/>
        <v>0</v>
      </c>
      <c r="AY598" s="83">
        <f t="shared" si="927"/>
        <v>0</v>
      </c>
      <c r="AZ598" s="83">
        <f t="shared" si="928"/>
        <v>0</v>
      </c>
      <c r="BA598" s="83"/>
      <c r="BB598" s="83"/>
      <c r="BC598" s="83"/>
      <c r="BD598" s="83"/>
      <c r="BE598" s="83"/>
      <c r="BF598" s="83"/>
      <c r="BG598" s="83"/>
      <c r="BH598" s="83"/>
      <c r="BI598" s="65"/>
      <c r="BJ598" s="68"/>
      <c r="BK598" s="59">
        <f t="shared" si="929"/>
        <v>0</v>
      </c>
      <c r="BL598" s="59" cm="1">
        <f t="array" ref="BL598">IFERROR(SUM(AW598:INDEX(AW598:BH598, MATCH(2, 1/(AW598:BH598&lt;&gt;""), 1) - 1))/_xlfn.XLOOKUP(F598,Apuração!A:A,Apuração!B:B),0)</f>
        <v>0</v>
      </c>
      <c r="BM598" s="55"/>
      <c r="BN598" s="55"/>
      <c r="BO598" s="53">
        <f ca="1">IFERROR(_xlfn.XLOOKUP(F598,Apuração!A:A,Apuração!C:C)/_xlfn.XLOOKUP(F598,Apuração!A:A,Apuração!B:B),0)</f>
        <v>0</v>
      </c>
      <c r="BP598" s="53">
        <f ca="1">IFERROR(_xlfn.XLOOKUP(F598,Apuração!A:A,Apuração!D:D)/_xlfn.XLOOKUP(F598,Apuração!A:A,Apuração!B:B),0)</f>
        <v>0</v>
      </c>
      <c r="BQ598" s="53">
        <f ca="1">IF(BK598&gt;=BO598,0,_xlfn.XLOOKUP(F598,Apuração!A:A,Apuração!B:B)*(BO598 + (1/_xlfn.XLOOKUP(F598,Apuração!A:A,Apuração!B:B)) - BK598))</f>
        <v>0</v>
      </c>
      <c r="BR598" s="85">
        <f t="shared" ca="1" si="930"/>
        <v>0</v>
      </c>
      <c r="BS598" s="53">
        <f ca="1">IFERROR((_xlfn.XLOOKUP(F598,Apuração!A:A,Apuração!C:C)+1)/_xlfn.XLOOKUP(F598,Apuração!A:A,Apuração!B:B),0)</f>
        <v>0.14285714285714285</v>
      </c>
    </row>
    <row r="599" spans="1:71" ht="25.95" hidden="1" customHeight="1" x14ac:dyDescent="0.3">
      <c r="A599" s="70" t="s">
        <v>108</v>
      </c>
      <c r="B599" s="4" t="s">
        <v>117</v>
      </c>
      <c r="C599" s="5" t="s">
        <v>97</v>
      </c>
      <c r="D599" s="5" t="s">
        <v>101</v>
      </c>
      <c r="E599" s="4" t="s">
        <v>118</v>
      </c>
      <c r="F599" s="4" t="str" cm="1">
        <f t="array" ref="F599">_xlfn.IFS(
AG599 &lt;&gt; "", "Jan-Dez/26",
AH599 &lt;&gt; "", "Fev-Dez/26",
AI599 &lt;&gt; "", "Mar-Dez/26", AJ599 &lt;&gt; "", "Abr-Dez/26",
TRUE, "A partir de Junho"
)</f>
        <v>A partir de Junho</v>
      </c>
      <c r="G599" s="4" t="s">
        <v>37</v>
      </c>
      <c r="H599" s="7" t="s">
        <v>38</v>
      </c>
      <c r="I599" s="4" t="s">
        <v>121</v>
      </c>
      <c r="J599" s="8" t="str" cm="1">
        <f t="array" aca="1" ref="J599" ca="1">_xlfn.LET(
  _xlpm.actual_value_month, INDEX(T599:AE599, MATCH(DATE(YEAR(TODAY()), MONTH(TODAY()), 1), $T$1:$AE$1, 0)),
  IF(_xlpm.actual_value_month &lt;&gt; "",_xlpm.actual_value_month &amp; " ações mensais", "")
)</f>
        <v/>
      </c>
      <c r="K599" s="8" t="str" cm="1">
        <f t="array" ref="K599">_xlfn.LET(
    _xlpm.sum_month, SUM(T599:AE599),
    IF(_xlpm.sum_month = 0, "", _xlpm.sum_month &amp; " empresas monitoradas no ano")
)</f>
        <v/>
      </c>
      <c r="L599" s="4" t="s">
        <v>122</v>
      </c>
      <c r="M599" s="19"/>
      <c r="N599" s="5" t="s">
        <v>51</v>
      </c>
      <c r="O599" s="5"/>
      <c r="P599" s="10"/>
      <c r="Q599" s="10"/>
      <c r="R599" s="11"/>
      <c r="S599" s="11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8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94"/>
      <c r="AT599" s="95"/>
      <c r="AU599" s="97"/>
      <c r="AV599" s="81"/>
      <c r="AW599" s="83">
        <f t="shared" si="925"/>
        <v>0</v>
      </c>
      <c r="AX599" s="83">
        <f t="shared" si="926"/>
        <v>0</v>
      </c>
      <c r="AY599" s="83">
        <f t="shared" si="927"/>
        <v>0</v>
      </c>
      <c r="AZ599" s="83">
        <f t="shared" si="928"/>
        <v>0</v>
      </c>
      <c r="BA599" s="83"/>
      <c r="BB599" s="83"/>
      <c r="BC599" s="83"/>
      <c r="BD599" s="83"/>
      <c r="BE599" s="83"/>
      <c r="BF599" s="83"/>
      <c r="BG599" s="83"/>
      <c r="BH599" s="83"/>
      <c r="BI599" s="65"/>
      <c r="BJ599" s="68"/>
      <c r="BK599" s="59">
        <f t="shared" si="929"/>
        <v>0</v>
      </c>
      <c r="BL599" s="59" cm="1">
        <f t="array" ref="BL599">IFERROR(SUM(AW599:INDEX(AW599:BH599, MATCH(2, 1/(AW599:BH599&lt;&gt;""), 1) - 1))/_xlfn.XLOOKUP(F599,Apuração!A:A,Apuração!B:B),0)</f>
        <v>0</v>
      </c>
      <c r="BM599" s="55"/>
      <c r="BN599" s="55"/>
      <c r="BO599" s="53">
        <f ca="1">IFERROR(_xlfn.XLOOKUP(F599,Apuração!A:A,Apuração!C:C)/_xlfn.XLOOKUP(F599,Apuração!A:A,Apuração!B:B),0)</f>
        <v>0</v>
      </c>
      <c r="BP599" s="53">
        <f ca="1">IFERROR(_xlfn.XLOOKUP(F599,Apuração!A:A,Apuração!D:D)/_xlfn.XLOOKUP(F599,Apuração!A:A,Apuração!B:B),0)</f>
        <v>0</v>
      </c>
      <c r="BQ599" s="53">
        <f ca="1">IF(BK599&gt;=BO599,0,_xlfn.XLOOKUP(F599,Apuração!A:A,Apuração!B:B)*(BO599 + (1/_xlfn.XLOOKUP(F599,Apuração!A:A,Apuração!B:B)) - BK599))</f>
        <v>0</v>
      </c>
      <c r="BR599" s="85">
        <f t="shared" ca="1" si="930"/>
        <v>0</v>
      </c>
      <c r="BS599" s="53">
        <f ca="1">IFERROR((_xlfn.XLOOKUP(F599,Apuração!A:A,Apuração!C:C)+1)/_xlfn.XLOOKUP(F599,Apuração!A:A,Apuração!B:B),0)</f>
        <v>0.14285714285714285</v>
      </c>
    </row>
    <row r="600" spans="1:71" ht="25.95" hidden="1" customHeight="1" x14ac:dyDescent="0.3">
      <c r="A600" s="70" t="s">
        <v>108</v>
      </c>
      <c r="B600" s="4" t="s">
        <v>117</v>
      </c>
      <c r="C600" s="5" t="s">
        <v>97</v>
      </c>
      <c r="D600" s="5" t="s">
        <v>102</v>
      </c>
      <c r="E600" s="4" t="s">
        <v>118</v>
      </c>
      <c r="F600" s="4" t="str" cm="1">
        <f t="array" ref="F600">_xlfn.IFS(
AG600 &lt;&gt; "", "Jan-Dez/26",
AH600 &lt;&gt; "", "Fev-Dez/26",
AI600 &lt;&gt; "", "Mar-Dez/26", AJ600 &lt;&gt; "", "Abr-Dez/26",
TRUE, "A partir de Junho"
)</f>
        <v>A partir de Junho</v>
      </c>
      <c r="G600" s="4" t="s">
        <v>37</v>
      </c>
      <c r="H600" s="7" t="s">
        <v>38</v>
      </c>
      <c r="I600" s="4" t="s">
        <v>121</v>
      </c>
      <c r="J600" s="8" t="str" cm="1">
        <f t="array" aca="1" ref="J600" ca="1">_xlfn.LET(
  _xlpm.actual_value_month, INDEX(T600:AE600, MATCH(DATE(YEAR(TODAY()), MONTH(TODAY()), 1), $T$1:$AE$1, 0)),
  IF(_xlpm.actual_value_month &lt;&gt; "",_xlpm.actual_value_month &amp; " ações mensais", "")
)</f>
        <v/>
      </c>
      <c r="K600" s="8" t="str" cm="1">
        <f t="array" ref="K600">_xlfn.LET(
    _xlpm.sum_month, SUM(T600:AE600),
    IF(_xlpm.sum_month = 0, "", _xlpm.sum_month &amp; " empresas monitoradas no ano")
)</f>
        <v/>
      </c>
      <c r="L600" s="4" t="s">
        <v>122</v>
      </c>
      <c r="M600" s="19"/>
      <c r="N600" s="5" t="s">
        <v>51</v>
      </c>
      <c r="O600" s="5"/>
      <c r="P600" s="10"/>
      <c r="Q600" s="10"/>
      <c r="R600" s="11"/>
      <c r="S600" s="11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8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94"/>
      <c r="AT600" s="95"/>
      <c r="AU600" s="97"/>
      <c r="AV600" s="81"/>
      <c r="AW600" s="83">
        <f t="shared" si="925"/>
        <v>0</v>
      </c>
      <c r="AX600" s="83">
        <f t="shared" si="926"/>
        <v>0</v>
      </c>
      <c r="AY600" s="83">
        <f t="shared" si="927"/>
        <v>0</v>
      </c>
      <c r="AZ600" s="83">
        <f t="shared" si="928"/>
        <v>0</v>
      </c>
      <c r="BA600" s="83"/>
      <c r="BB600" s="83"/>
      <c r="BC600" s="83"/>
      <c r="BD600" s="83"/>
      <c r="BE600" s="83"/>
      <c r="BF600" s="83"/>
      <c r="BG600" s="83"/>
      <c r="BH600" s="83"/>
      <c r="BI600" s="65"/>
      <c r="BJ600" s="68"/>
      <c r="BK600" s="59">
        <f t="shared" si="929"/>
        <v>0</v>
      </c>
      <c r="BL600" s="59" cm="1">
        <f t="array" ref="BL600">IFERROR(SUM(AW600:INDEX(AW600:BH600, MATCH(2, 1/(AW600:BH600&lt;&gt;""), 1) - 1))/_xlfn.XLOOKUP(F600,Apuração!A:A,Apuração!B:B),0)</f>
        <v>0</v>
      </c>
      <c r="BM600" s="55"/>
      <c r="BN600" s="55"/>
      <c r="BO600" s="53">
        <f ca="1">IFERROR(_xlfn.XLOOKUP(F600,Apuração!A:A,Apuração!C:C)/_xlfn.XLOOKUP(F600,Apuração!A:A,Apuração!B:B),0)</f>
        <v>0</v>
      </c>
      <c r="BP600" s="53">
        <f ca="1">IFERROR(_xlfn.XLOOKUP(F600,Apuração!A:A,Apuração!D:D)/_xlfn.XLOOKUP(F600,Apuração!A:A,Apuração!B:B),0)</f>
        <v>0</v>
      </c>
      <c r="BQ600" s="53">
        <f ca="1">IF(BK600&gt;=BO600,0,_xlfn.XLOOKUP(F600,Apuração!A:A,Apuração!B:B)*(BO600 + (1/_xlfn.XLOOKUP(F600,Apuração!A:A,Apuração!B:B)) - BK600))</f>
        <v>0</v>
      </c>
      <c r="BR600" s="85">
        <f t="shared" ca="1" si="930"/>
        <v>0</v>
      </c>
      <c r="BS600" s="53">
        <f ca="1">IFERROR((_xlfn.XLOOKUP(F600,Apuração!A:A,Apuração!C:C)+1)/_xlfn.XLOOKUP(F600,Apuração!A:A,Apuração!B:B),0)</f>
        <v>0.14285714285714285</v>
      </c>
    </row>
    <row r="601" spans="1:71" ht="25.95" hidden="1" customHeight="1" x14ac:dyDescent="0.3">
      <c r="A601" s="70" t="s">
        <v>108</v>
      </c>
      <c r="B601" s="4" t="s">
        <v>117</v>
      </c>
      <c r="C601" s="5" t="s">
        <v>97</v>
      </c>
      <c r="D601" s="5" t="s">
        <v>103</v>
      </c>
      <c r="E601" s="4" t="s">
        <v>118</v>
      </c>
      <c r="F601" s="4" t="str" cm="1">
        <f t="array" ref="F601">_xlfn.IFS(
AG601 &lt;&gt; "", "Jan-Dez/26",
AH601 &lt;&gt; "", "Fev-Dez/26",
AI601 &lt;&gt; "", "Mar-Dez/26", AJ601 &lt;&gt; "", "Abr-Dez/26",
TRUE, "A partir de Junho"
)</f>
        <v>A partir de Junho</v>
      </c>
      <c r="G601" s="4" t="s">
        <v>37</v>
      </c>
      <c r="H601" s="7" t="s">
        <v>38</v>
      </c>
      <c r="I601" s="4" t="s">
        <v>121</v>
      </c>
      <c r="J601" s="8" t="str" cm="1">
        <f t="array" aca="1" ref="J601" ca="1">_xlfn.LET(
  _xlpm.actual_value_month, INDEX(T601:AE601, MATCH(DATE(YEAR(TODAY()), MONTH(TODAY()), 1), $T$1:$AE$1, 0)),
  IF(_xlpm.actual_value_month &lt;&gt; "",_xlpm.actual_value_month &amp; " ações mensais", "")
)</f>
        <v/>
      </c>
      <c r="K601" s="8" t="str" cm="1">
        <f t="array" ref="K601">_xlfn.LET(
    _xlpm.sum_month, SUM(T601:AE601),
    IF(_xlpm.sum_month = 0, "", _xlpm.sum_month &amp; " empresas monitoradas no ano")
)</f>
        <v/>
      </c>
      <c r="L601" s="4" t="s">
        <v>122</v>
      </c>
      <c r="M601" s="19"/>
      <c r="N601" s="5" t="s">
        <v>51</v>
      </c>
      <c r="O601" s="5"/>
      <c r="P601" s="10"/>
      <c r="Q601" s="10"/>
      <c r="R601" s="11"/>
      <c r="S601" s="11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8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94"/>
      <c r="AT601" s="95"/>
      <c r="AU601" s="97"/>
      <c r="AV601" s="81"/>
      <c r="AW601" s="83">
        <f t="shared" si="925"/>
        <v>0</v>
      </c>
      <c r="AX601" s="83">
        <f t="shared" si="926"/>
        <v>0</v>
      </c>
      <c r="AY601" s="83">
        <f t="shared" si="927"/>
        <v>0</v>
      </c>
      <c r="AZ601" s="83">
        <f t="shared" si="928"/>
        <v>0</v>
      </c>
      <c r="BA601" s="83"/>
      <c r="BB601" s="83"/>
      <c r="BC601" s="83"/>
      <c r="BD601" s="83"/>
      <c r="BE601" s="83"/>
      <c r="BF601" s="83"/>
      <c r="BG601" s="83"/>
      <c r="BH601" s="83"/>
      <c r="BI601" s="65"/>
      <c r="BJ601" s="68"/>
      <c r="BK601" s="59">
        <f t="shared" si="929"/>
        <v>0</v>
      </c>
      <c r="BL601" s="59" cm="1">
        <f t="array" ref="BL601">IFERROR(SUM(AW601:INDEX(AW601:BH601, MATCH(2, 1/(AW601:BH601&lt;&gt;""), 1) - 1))/_xlfn.XLOOKUP(F601,Apuração!A:A,Apuração!B:B),0)</f>
        <v>0</v>
      </c>
      <c r="BM601" s="55"/>
      <c r="BN601" s="55"/>
      <c r="BO601" s="53">
        <f ca="1">IFERROR(_xlfn.XLOOKUP(F601,Apuração!A:A,Apuração!C:C)/_xlfn.XLOOKUP(F601,Apuração!A:A,Apuração!B:B),0)</f>
        <v>0</v>
      </c>
      <c r="BP601" s="53">
        <f ca="1">IFERROR(_xlfn.XLOOKUP(F601,Apuração!A:A,Apuração!D:D)/_xlfn.XLOOKUP(F601,Apuração!A:A,Apuração!B:B),0)</f>
        <v>0</v>
      </c>
      <c r="BQ601" s="53">
        <f ca="1">IF(BK601&gt;=BO601,0,_xlfn.XLOOKUP(F601,Apuração!A:A,Apuração!B:B)*(BO601 + (1/_xlfn.XLOOKUP(F601,Apuração!A:A,Apuração!B:B)) - BK601))</f>
        <v>0</v>
      </c>
      <c r="BR601" s="85">
        <f t="shared" ca="1" si="930"/>
        <v>0</v>
      </c>
      <c r="BS601" s="53">
        <f ca="1">IFERROR((_xlfn.XLOOKUP(F601,Apuração!A:A,Apuração!C:C)+1)/_xlfn.XLOOKUP(F601,Apuração!A:A,Apuração!B:B),0)</f>
        <v>0.14285714285714285</v>
      </c>
    </row>
    <row r="602" spans="1:71" ht="25.95" hidden="1" customHeight="1" x14ac:dyDescent="0.3">
      <c r="A602" s="70" t="s">
        <v>108</v>
      </c>
      <c r="B602" s="4" t="s">
        <v>117</v>
      </c>
      <c r="C602" s="5" t="s">
        <v>97</v>
      </c>
      <c r="D602" s="5" t="s">
        <v>104</v>
      </c>
      <c r="E602" s="4" t="s">
        <v>118</v>
      </c>
      <c r="F602" s="4" t="str" cm="1">
        <f t="array" ref="F602">_xlfn.IFS(
AG602 &lt;&gt; "", "Jan-Dez/26",
AH602 &lt;&gt; "", "Fev-Dez/26",
AI602 &lt;&gt; "", "Mar-Dez/26", AJ602 &lt;&gt; "", "Abr-Dez/26",
TRUE, "A partir de Junho"
)</f>
        <v>A partir de Junho</v>
      </c>
      <c r="G602" s="4" t="s">
        <v>37</v>
      </c>
      <c r="H602" s="7" t="s">
        <v>38</v>
      </c>
      <c r="I602" s="4" t="s">
        <v>121</v>
      </c>
      <c r="J602" s="8" t="str" cm="1">
        <f t="array" aca="1" ref="J602" ca="1">_xlfn.LET(
  _xlpm.actual_value_month, INDEX(T602:AE602, MATCH(DATE(YEAR(TODAY()), MONTH(TODAY()), 1), $T$1:$AE$1, 0)),
  IF(_xlpm.actual_value_month &lt;&gt; "",_xlpm.actual_value_month &amp; " ações mensais", "")
)</f>
        <v/>
      </c>
      <c r="K602" s="8" t="str" cm="1">
        <f t="array" ref="K602">_xlfn.LET(
    _xlpm.sum_month, SUM(T602:AE602),
    IF(_xlpm.sum_month = 0, "", _xlpm.sum_month &amp; " empresas monitoradas no ano")
)</f>
        <v/>
      </c>
      <c r="L602" s="4" t="s">
        <v>122</v>
      </c>
      <c r="M602" s="19"/>
      <c r="N602" s="5" t="s">
        <v>51</v>
      </c>
      <c r="O602" s="5"/>
      <c r="P602" s="10"/>
      <c r="Q602" s="10"/>
      <c r="R602" s="11"/>
      <c r="S602" s="11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8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94"/>
      <c r="AT602" s="95"/>
      <c r="AU602" s="97"/>
      <c r="AV602" s="81"/>
      <c r="AW602" s="83">
        <f t="shared" si="925"/>
        <v>0</v>
      </c>
      <c r="AX602" s="83">
        <f t="shared" si="926"/>
        <v>0</v>
      </c>
      <c r="AY602" s="83">
        <f t="shared" si="927"/>
        <v>0</v>
      </c>
      <c r="AZ602" s="83">
        <f t="shared" si="928"/>
        <v>0</v>
      </c>
      <c r="BA602" s="83"/>
      <c r="BB602" s="83"/>
      <c r="BC602" s="83"/>
      <c r="BD602" s="83"/>
      <c r="BE602" s="83"/>
      <c r="BF602" s="83"/>
      <c r="BG602" s="83"/>
      <c r="BH602" s="83"/>
      <c r="BI602" s="65"/>
      <c r="BJ602" s="68"/>
      <c r="BK602" s="59">
        <f t="shared" si="929"/>
        <v>0</v>
      </c>
      <c r="BL602" s="59" cm="1">
        <f t="array" ref="BL602">IFERROR(SUM(AW602:INDEX(AW602:BH602, MATCH(2, 1/(AW602:BH602&lt;&gt;""), 1) - 1))/_xlfn.XLOOKUP(F602,Apuração!A:A,Apuração!B:B),0)</f>
        <v>0</v>
      </c>
      <c r="BM602" s="55"/>
      <c r="BN602" s="55"/>
      <c r="BO602" s="53">
        <f ca="1">IFERROR(_xlfn.XLOOKUP(F602,Apuração!A:A,Apuração!C:C)/_xlfn.XLOOKUP(F602,Apuração!A:A,Apuração!B:B),0)</f>
        <v>0</v>
      </c>
      <c r="BP602" s="53">
        <f ca="1">IFERROR(_xlfn.XLOOKUP(F602,Apuração!A:A,Apuração!D:D)/_xlfn.XLOOKUP(F602,Apuração!A:A,Apuração!B:B),0)</f>
        <v>0</v>
      </c>
      <c r="BQ602" s="53">
        <f ca="1">IF(BK602&gt;=BO602,0,_xlfn.XLOOKUP(F602,Apuração!A:A,Apuração!B:B)*(BO602 + (1/_xlfn.XLOOKUP(F602,Apuração!A:A,Apuração!B:B)) - BK602))</f>
        <v>0</v>
      </c>
      <c r="BR602" s="85">
        <f t="shared" ca="1" si="930"/>
        <v>0</v>
      </c>
      <c r="BS602" s="53">
        <f ca="1">IFERROR((_xlfn.XLOOKUP(F602,Apuração!A:A,Apuração!C:C)+1)/_xlfn.XLOOKUP(F602,Apuração!A:A,Apuração!B:B),0)</f>
        <v>0.14285714285714285</v>
      </c>
    </row>
    <row r="603" spans="1:71" ht="25.95" hidden="1" customHeight="1" x14ac:dyDescent="0.3">
      <c r="A603" s="70" t="s">
        <v>108</v>
      </c>
      <c r="B603" s="4" t="s">
        <v>117</v>
      </c>
      <c r="C603" s="5" t="s">
        <v>97</v>
      </c>
      <c r="D603" s="5" t="s">
        <v>105</v>
      </c>
      <c r="E603" s="4" t="s">
        <v>118</v>
      </c>
      <c r="F603" s="4" t="str" cm="1">
        <f t="array" ref="F603">_xlfn.IFS(
AG603 &lt;&gt; "", "Jan-Dez/26",
AH603 &lt;&gt; "", "Fev-Dez/26",
AI603 &lt;&gt; "", "Mar-Dez/26", AJ603 &lt;&gt; "", "Abr-Dez/26",
TRUE, "A partir de Junho"
)</f>
        <v>A partir de Junho</v>
      </c>
      <c r="G603" s="4" t="s">
        <v>37</v>
      </c>
      <c r="H603" s="7" t="s">
        <v>38</v>
      </c>
      <c r="I603" s="4" t="s">
        <v>121</v>
      </c>
      <c r="J603" s="8" t="str" cm="1">
        <f t="array" aca="1" ref="J603" ca="1">_xlfn.LET(
  _xlpm.actual_value_month, INDEX(T603:AE603, MATCH(DATE(YEAR(TODAY()), MONTH(TODAY()), 1), $T$1:$AE$1, 0)),
  IF(_xlpm.actual_value_month &lt;&gt; "",_xlpm.actual_value_month &amp; " ações mensais", "")
)</f>
        <v/>
      </c>
      <c r="K603" s="8" t="str" cm="1">
        <f t="array" ref="K603">_xlfn.LET(
    _xlpm.sum_month, SUM(T603:AE603),
    IF(_xlpm.sum_month = 0, "", _xlpm.sum_month &amp; " empresas monitoradas no ano")
)</f>
        <v/>
      </c>
      <c r="L603" s="4" t="s">
        <v>122</v>
      </c>
      <c r="M603" s="19"/>
      <c r="N603" s="5" t="s">
        <v>51</v>
      </c>
      <c r="O603" s="5"/>
      <c r="P603" s="10"/>
      <c r="Q603" s="10"/>
      <c r="R603" s="11"/>
      <c r="S603" s="11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8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94"/>
      <c r="AT603" s="95"/>
      <c r="AU603" s="97"/>
      <c r="AV603" s="81"/>
      <c r="AW603" s="83">
        <f t="shared" si="925"/>
        <v>0</v>
      </c>
      <c r="AX603" s="83">
        <f t="shared" si="926"/>
        <v>0</v>
      </c>
      <c r="AY603" s="83">
        <f t="shared" si="927"/>
        <v>0</v>
      </c>
      <c r="AZ603" s="83">
        <f t="shared" si="928"/>
        <v>0</v>
      </c>
      <c r="BA603" s="83"/>
      <c r="BB603" s="83"/>
      <c r="BC603" s="83"/>
      <c r="BD603" s="83"/>
      <c r="BE603" s="83"/>
      <c r="BF603" s="83"/>
      <c r="BG603" s="83"/>
      <c r="BH603" s="83"/>
      <c r="BI603" s="65"/>
      <c r="BJ603" s="68"/>
      <c r="BK603" s="59">
        <f t="shared" si="929"/>
        <v>0</v>
      </c>
      <c r="BL603" s="59" cm="1">
        <f t="array" ref="BL603">IFERROR(SUM(AW603:INDEX(AW603:BH603, MATCH(2, 1/(AW603:BH603&lt;&gt;""), 1) - 1))/_xlfn.XLOOKUP(F603,Apuração!A:A,Apuração!B:B),0)</f>
        <v>0</v>
      </c>
      <c r="BM603" s="55"/>
      <c r="BN603" s="55"/>
      <c r="BO603" s="53">
        <f ca="1">IFERROR(_xlfn.XLOOKUP(F603,Apuração!A:A,Apuração!C:C)/_xlfn.XLOOKUP(F603,Apuração!A:A,Apuração!B:B),0)</f>
        <v>0</v>
      </c>
      <c r="BP603" s="53">
        <f ca="1">IFERROR(_xlfn.XLOOKUP(F603,Apuração!A:A,Apuração!D:D)/_xlfn.XLOOKUP(F603,Apuração!A:A,Apuração!B:B),0)</f>
        <v>0</v>
      </c>
      <c r="BQ603" s="53">
        <f ca="1">IF(BK603&gt;=BO603,0,_xlfn.XLOOKUP(F603,Apuração!A:A,Apuração!B:B)*(BO603 + (1/_xlfn.XLOOKUP(F603,Apuração!A:A,Apuração!B:B)) - BK603))</f>
        <v>0</v>
      </c>
      <c r="BR603" s="85">
        <f t="shared" ca="1" si="930"/>
        <v>0</v>
      </c>
      <c r="BS603" s="53">
        <f ca="1">IFERROR((_xlfn.XLOOKUP(F603,Apuração!A:A,Apuração!C:C)+1)/_xlfn.XLOOKUP(F603,Apuração!A:A,Apuração!B:B),0)</f>
        <v>0.14285714285714285</v>
      </c>
    </row>
    <row r="604" spans="1:71" ht="25.95" hidden="1" customHeight="1" x14ac:dyDescent="0.3">
      <c r="A604" s="70" t="s">
        <v>108</v>
      </c>
      <c r="B604" s="4" t="s">
        <v>117</v>
      </c>
      <c r="C604" s="5" t="s">
        <v>97</v>
      </c>
      <c r="D604" s="5" t="s">
        <v>106</v>
      </c>
      <c r="E604" s="4" t="s">
        <v>118</v>
      </c>
      <c r="F604" s="4" t="str" cm="1">
        <f t="array" ref="F604">_xlfn.IFS(
AG604 &lt;&gt; "", "Jan-Dez/26",
AH604 &lt;&gt; "", "Fev-Dez/26",
AI604 &lt;&gt; "", "Mar-Dez/26", AJ604 &lt;&gt; "", "Abr-Dez/26",
TRUE, "A partir de Junho"
)</f>
        <v>A partir de Junho</v>
      </c>
      <c r="G604" s="4" t="s">
        <v>37</v>
      </c>
      <c r="H604" s="7" t="s">
        <v>38</v>
      </c>
      <c r="I604" s="4" t="s">
        <v>121</v>
      </c>
      <c r="J604" s="8" t="str" cm="1">
        <f t="array" aca="1" ref="J604" ca="1">_xlfn.LET(
  _xlpm.actual_value_month, INDEX(T604:AE604, MATCH(DATE(YEAR(TODAY()), MONTH(TODAY()), 1), $T$1:$AE$1, 0)),
  IF(_xlpm.actual_value_month &lt;&gt; "",_xlpm.actual_value_month &amp; " ações mensais", "")
)</f>
        <v/>
      </c>
      <c r="K604" s="8" t="str" cm="1">
        <f t="array" ref="K604">_xlfn.LET(
    _xlpm.sum_month, SUM(T604:AE604),
    IF(_xlpm.sum_month = 0, "", _xlpm.sum_month &amp; " empresas monitoradas no ano")
)</f>
        <v/>
      </c>
      <c r="L604" s="4" t="s">
        <v>122</v>
      </c>
      <c r="M604" s="19"/>
      <c r="N604" s="5" t="s">
        <v>51</v>
      </c>
      <c r="O604" s="5"/>
      <c r="P604" s="10"/>
      <c r="Q604" s="10"/>
      <c r="R604" s="11"/>
      <c r="S604" s="11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8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94"/>
      <c r="AT604" s="95"/>
      <c r="AU604" s="97"/>
      <c r="AV604" s="81"/>
      <c r="AW604" s="83">
        <f t="shared" si="925"/>
        <v>0</v>
      </c>
      <c r="AX604" s="83">
        <f t="shared" si="926"/>
        <v>0</v>
      </c>
      <c r="AY604" s="83">
        <f t="shared" si="927"/>
        <v>0</v>
      </c>
      <c r="AZ604" s="83">
        <f t="shared" si="928"/>
        <v>0</v>
      </c>
      <c r="BA604" s="83"/>
      <c r="BB604" s="83"/>
      <c r="BC604" s="83"/>
      <c r="BD604" s="83"/>
      <c r="BE604" s="83"/>
      <c r="BF604" s="83"/>
      <c r="BG604" s="83"/>
      <c r="BH604" s="83"/>
      <c r="BI604" s="65"/>
      <c r="BJ604" s="68"/>
      <c r="BK604" s="59">
        <f t="shared" si="929"/>
        <v>0</v>
      </c>
      <c r="BL604" s="59" cm="1">
        <f t="array" ref="BL604">IFERROR(SUM(AW604:INDEX(AW604:BH604, MATCH(2, 1/(AW604:BH604&lt;&gt;""), 1) - 1))/_xlfn.XLOOKUP(F604,Apuração!A:A,Apuração!B:B),0)</f>
        <v>0</v>
      </c>
      <c r="BM604" s="55"/>
      <c r="BN604" s="55"/>
      <c r="BO604" s="53">
        <f ca="1">IFERROR(_xlfn.XLOOKUP(F604,Apuração!A:A,Apuração!C:C)/_xlfn.XLOOKUP(F604,Apuração!A:A,Apuração!B:B),0)</f>
        <v>0</v>
      </c>
      <c r="BP604" s="53">
        <f ca="1">IFERROR(_xlfn.XLOOKUP(F604,Apuração!A:A,Apuração!D:D)/_xlfn.XLOOKUP(F604,Apuração!A:A,Apuração!B:B),0)</f>
        <v>0</v>
      </c>
      <c r="BQ604" s="53">
        <f ca="1">IF(BK604&gt;=BO604,0,_xlfn.XLOOKUP(F604,Apuração!A:A,Apuração!B:B)*(BO604 + (1/_xlfn.XLOOKUP(F604,Apuração!A:A,Apuração!B:B)) - BK604))</f>
        <v>0</v>
      </c>
      <c r="BR604" s="85">
        <f t="shared" ca="1" si="930"/>
        <v>0</v>
      </c>
      <c r="BS604" s="53">
        <f ca="1">IFERROR((_xlfn.XLOOKUP(F604,Apuração!A:A,Apuração!C:C)+1)/_xlfn.XLOOKUP(F604,Apuração!A:A,Apuração!B:B),0)</f>
        <v>0.14285714285714285</v>
      </c>
    </row>
    <row r="605" spans="1:71" ht="25.95" hidden="1" customHeight="1" x14ac:dyDescent="0.3">
      <c r="A605" s="70" t="s">
        <v>108</v>
      </c>
      <c r="B605" s="4" t="s">
        <v>117</v>
      </c>
      <c r="C605" s="5" t="s">
        <v>97</v>
      </c>
      <c r="D605" s="5" t="s">
        <v>107</v>
      </c>
      <c r="E605" s="4" t="s">
        <v>118</v>
      </c>
      <c r="F605" s="4" t="str" cm="1">
        <f t="array" ref="F605">_xlfn.IFS(
AG605 &lt;&gt; "", "Jan-Dez/26",
AH605 &lt;&gt; "", "Fev-Dez/26",
AI605 &lt;&gt; "", "Mar-Dez/26", AJ605 &lt;&gt; "", "Abr-Dez/26",
TRUE, "A partir de Junho"
)</f>
        <v>A partir de Junho</v>
      </c>
      <c r="G605" s="4" t="s">
        <v>37</v>
      </c>
      <c r="H605" s="7" t="s">
        <v>38</v>
      </c>
      <c r="I605" s="4" t="s">
        <v>121</v>
      </c>
      <c r="J605" s="8" t="str" cm="1">
        <f t="array" aca="1" ref="J605" ca="1">_xlfn.LET(
  _xlpm.actual_value_month, INDEX(T605:AE605, MATCH(DATE(YEAR(TODAY()), MONTH(TODAY()), 1), $T$1:$AE$1, 0)),
  IF(_xlpm.actual_value_month &lt;&gt; "",_xlpm.actual_value_month &amp; " ações mensais", "")
)</f>
        <v/>
      </c>
      <c r="K605" s="8" t="str" cm="1">
        <f t="array" ref="K605">_xlfn.LET(
    _xlpm.sum_month, SUM(T605:AE605),
    IF(_xlpm.sum_month = 0, "", _xlpm.sum_month &amp; " empresas monitoradas no ano")
)</f>
        <v/>
      </c>
      <c r="L605" s="4" t="s">
        <v>122</v>
      </c>
      <c r="M605" s="19"/>
      <c r="N605" s="5" t="s">
        <v>51</v>
      </c>
      <c r="O605" s="5"/>
      <c r="P605" s="10"/>
      <c r="Q605" s="10"/>
      <c r="R605" s="11"/>
      <c r="S605" s="11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8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94"/>
      <c r="AT605" s="95"/>
      <c r="AU605" s="97"/>
      <c r="AV605" s="81"/>
      <c r="AW605" s="83">
        <f t="shared" si="925"/>
        <v>0</v>
      </c>
      <c r="AX605" s="83">
        <f t="shared" si="926"/>
        <v>0</v>
      </c>
      <c r="AY605" s="83">
        <f t="shared" si="927"/>
        <v>0</v>
      </c>
      <c r="AZ605" s="83">
        <f t="shared" si="928"/>
        <v>0</v>
      </c>
      <c r="BA605" s="83"/>
      <c r="BB605" s="83"/>
      <c r="BC605" s="83"/>
      <c r="BD605" s="83"/>
      <c r="BE605" s="83"/>
      <c r="BF605" s="83"/>
      <c r="BG605" s="83"/>
      <c r="BH605" s="83"/>
      <c r="BI605" s="65"/>
      <c r="BJ605" s="68"/>
      <c r="BK605" s="59">
        <f t="shared" si="929"/>
        <v>0</v>
      </c>
      <c r="BL605" s="59" cm="1">
        <f t="array" ref="BL605">IFERROR(SUM(AW605:INDEX(AW605:BH605, MATCH(2, 1/(AW605:BH605&lt;&gt;""), 1) - 1))/_xlfn.XLOOKUP(F605,Apuração!A:A,Apuração!B:B),0)</f>
        <v>0</v>
      </c>
      <c r="BM605" s="55"/>
      <c r="BN605" s="55"/>
      <c r="BO605" s="53">
        <f ca="1">IFERROR(_xlfn.XLOOKUP(F605,Apuração!A:A,Apuração!C:C)/_xlfn.XLOOKUP(F605,Apuração!A:A,Apuração!B:B),0)</f>
        <v>0</v>
      </c>
      <c r="BP605" s="53">
        <f ca="1">IFERROR(_xlfn.XLOOKUP(F605,Apuração!A:A,Apuração!D:D)/_xlfn.XLOOKUP(F605,Apuração!A:A,Apuração!B:B),0)</f>
        <v>0</v>
      </c>
      <c r="BQ605" s="53">
        <f ca="1">IF(BK605&gt;=BO605,0,_xlfn.XLOOKUP(F605,Apuração!A:A,Apuração!B:B)*(BO605 + (1/_xlfn.XLOOKUP(F605,Apuração!A:A,Apuração!B:B)) - BK605))</f>
        <v>0</v>
      </c>
      <c r="BR605" s="85">
        <f t="shared" ca="1" si="930"/>
        <v>0</v>
      </c>
      <c r="BS605" s="53">
        <f ca="1">IFERROR((_xlfn.XLOOKUP(F605,Apuração!A:A,Apuração!C:C)+1)/_xlfn.XLOOKUP(F605,Apuração!A:A,Apuração!B:B),0)</f>
        <v>0.14285714285714285</v>
      </c>
    </row>
    <row r="606" spans="1:71" ht="25.95" hidden="1" customHeight="1" x14ac:dyDescent="0.3">
      <c r="A606" s="41" t="s">
        <v>108</v>
      </c>
      <c r="B606" s="4" t="s">
        <v>123</v>
      </c>
      <c r="C606" s="5" t="s">
        <v>97</v>
      </c>
      <c r="D606" s="5" t="s">
        <v>36</v>
      </c>
      <c r="E606" s="4" t="s">
        <v>61</v>
      </c>
      <c r="F606" s="4" t="str" cm="1">
        <f t="array" ref="F606">_xlfn.IFS(
AG606 &lt;&gt; "", "Jan-Dez/26",
AH606 &lt;&gt; "", "Fev-Dez/26",
AI606 &lt;&gt; "", "Mar-Dez/26", AJ606 &lt;&gt; "", "Abr-Dez/26",
TRUE, "A partir de Junho"
)</f>
        <v>A partir de Junho</v>
      </c>
      <c r="G606" s="4" t="s">
        <v>62</v>
      </c>
      <c r="H606" s="7" t="s">
        <v>38</v>
      </c>
      <c r="I606" s="28" t="s">
        <v>124</v>
      </c>
      <c r="J606" s="8" t="str" cm="1">
        <f t="array" aca="1" ref="J606" ca="1">_xlfn.LET(
  _xlpm.actual_value_month, INDEX(T606:AE606, MATCH(DATE(YEAR(TODAY()), MONTH(TODAY()), 1), $T$1:$AE$1, 0)),
  IF(_xlpm.actual_value_month &lt;&gt; "",_xlpm.actual_value_month &amp; " ações mensais", "")
)</f>
        <v/>
      </c>
      <c r="K606" s="8" t="str" cm="1">
        <f t="array" ref="K606">_xlfn.LET(
    _xlpm.sum_month, SUM(T606:AE606),
    IF(_xlpm.sum_month = 0, "", _xlpm.sum_month &amp; " atividades no ano")
)</f>
        <v/>
      </c>
      <c r="L606" s="4" t="s">
        <v>125</v>
      </c>
      <c r="M606" s="19"/>
      <c r="N606" s="5" t="s">
        <v>42</v>
      </c>
      <c r="O606" s="5"/>
      <c r="P606" s="10"/>
      <c r="Q606" s="10"/>
      <c r="R606" s="11"/>
      <c r="S606" s="11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8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94"/>
      <c r="AT606" s="95"/>
      <c r="AU606" s="97"/>
      <c r="AV606" s="81"/>
      <c r="AW606" s="51">
        <f>IFERROR(IF(AG606="",0,AG606/T606),0)</f>
        <v>0</v>
      </c>
      <c r="AX606" s="51">
        <f>IFERROR(IF(AH606="",0,AH606/U606),0)</f>
        <v>0</v>
      </c>
      <c r="AY606" s="51">
        <f>IFERROR(IF(AI606="",0,AI606/V606),0)</f>
        <v>0</v>
      </c>
      <c r="AZ606" s="51">
        <f>IFERROR(IF(AJ606="",0,AJ606/W606),0)</f>
        <v>0</v>
      </c>
      <c r="BA606" s="51"/>
      <c r="BB606" s="51"/>
      <c r="BC606" s="51"/>
      <c r="BD606" s="51"/>
      <c r="BE606" s="51"/>
      <c r="BF606" s="51"/>
      <c r="BG606" s="51"/>
      <c r="BH606" s="51"/>
      <c r="BI606" s="65"/>
      <c r="BJ606" s="68"/>
      <c r="BK606" s="58">
        <f>IF((IF(AW606&gt;=115%,115%,AW606) + IF(AX606&gt;=115%,115%,AX606) + IF(AY606&gt;=115%,115%,AY606) + (IF(AZ606&gt;=115%,115%,AZ606) + IF(BA606&gt;=115%,115%,BA606) + IF(BB606&gt;=115%,115%,BB606) + IF(BC606&gt;=115%,115%,BC606) + IF(BD606&gt;=115%,115%,BD606) + IF(BE606&gt;=115%,115%,BE606) + IF(BF606&gt;=115%,115%,BF606) + IF(BG606&gt;=115%,115%,BG606) + IF(BH606&gt;=115%,115%,BH606)))/_xlfn.XLOOKUP(F606,Apuração!A:A,Apuração!B:B)&gt;=1.15,1.15,((IF(AZ606&gt;=115%,115%,AZ606) + IF(AX606&gt;=115%,115%,AX606) + IF(AY606&gt;=115%,115%,AY606) + (IF(AW606&gt;=115%,115%,AW606) + IF(BA606&gt;=115%,115%,BA606) + IF(BB606&gt;=115%,115%,BB606) + IF(BC606&gt;=115%,115%,BC606) + IF(BD606&gt;=115%,115%,BD606) + IF(BE606&gt;=115%,115%,BE606) + IF(BF606&gt;=115%,115%,BF606) + IF(BG606&gt;=115%,115%,BG606) + IF(BH606&gt;=115%,115%,BH606)))/_xlfn.XLOOKUP(F606,Apuração!A:A,Apuração!B:B)))</f>
        <v>0</v>
      </c>
      <c r="BL606" s="58" cm="1">
        <f t="array" aca="1" ref="BL606" ca="1">IF(SUM(IFERROR(IF(INDEX(AW606:INDEX(AW606:BH606, MATCH(2, 1/(AW606:BH606&lt;&gt;""), 1)-1), ROW(INDIRECT("1:" &amp; MATCH(2, 1/(AW606:BH606&lt;&gt;""), 1)-1))) &gt;= 115%, 115%, INDEX(AW606:INDEX(AW606:BH606, MATCH(2, 1/(AW606:BH606&lt;&gt;""), 1)-1), ROW(INDIRECT("1:" &amp; MATCH(2, 1/(AW606:BH606&lt;&gt;""), 1)-1)))), 0))/_xlfn.XLOOKUP(F606,Apuração!A:A,Apuração!B:B)&gt;=1.15,1.15,SUM(IFERROR(IF(INDEX(AW606:INDEX(AW606:BH606, MATCH(2, 1/(AW606:BH606&lt;&gt;""), 1)-1), ROW(INDIRECT("1:" &amp; MATCH(2, 1/(AW606:BH606&lt;&gt;""), 1)-1))) &gt;= 115%, 115%, INDEX(AW606:INDEX(AW606:BH606, MATCH(2, 1/(AW606:BH606&lt;&gt;""), 1)-1), ROW(INDIRECT("1:" &amp; MATCH(2, 1/(AW606:BH606&lt;&gt;""), 1)-1)))), 0))/_xlfn.XLOOKUP(F606,Apuração!A:A,Apuração!B:B))</f>
        <v>0</v>
      </c>
      <c r="BM606" s="55"/>
      <c r="BN606" s="55"/>
      <c r="BO606" s="53">
        <f ca="1">IFERROR(_xlfn.XLOOKUP(F606,Apuração!A:A,Apuração!C:C)/_xlfn.XLOOKUP(F606,Apuração!A:A,Apuração!B:B),0)</f>
        <v>0</v>
      </c>
      <c r="BP606" s="53">
        <f ca="1">IFERROR(_xlfn.XLOOKUP(F606,Apuração!A:A,Apuração!D:D)/_xlfn.XLOOKUP(F606,Apuração!A:A,Apuração!B:B),0)</f>
        <v>0</v>
      </c>
      <c r="BQ606" s="53">
        <f ca="1">IF(BK606&gt;=BO606,0,_xlfn.XLOOKUP(F606,Apuração!A:A,Apuração!B:B)*(BO606 + (1/_xlfn.XLOOKUP(F606,Apuração!A:A,Apuração!B:B)) - BK606))</f>
        <v>0</v>
      </c>
      <c r="BR606" s="85">
        <f t="shared" ca="1" si="898"/>
        <v>0</v>
      </c>
      <c r="BS606" s="53">
        <f ca="1">IFERROR((_xlfn.XLOOKUP(F606,Apuração!A:A,Apuração!C:C)+1)/_xlfn.XLOOKUP(F606,Apuração!A:A,Apuração!B:B),0)</f>
        <v>0.14285714285714285</v>
      </c>
    </row>
    <row r="607" spans="1:71" ht="25.95" hidden="1" customHeight="1" x14ac:dyDescent="0.3">
      <c r="A607" s="41" t="s">
        <v>108</v>
      </c>
      <c r="B607" s="4" t="s">
        <v>123</v>
      </c>
      <c r="C607" s="5" t="s">
        <v>97</v>
      </c>
      <c r="D607" s="5" t="s">
        <v>98</v>
      </c>
      <c r="E607" s="4" t="s">
        <v>61</v>
      </c>
      <c r="F607" s="4" t="str" cm="1">
        <f t="array" ref="F607">_xlfn.IFS(
AG607 &lt;&gt; "", "Jan-Dez/26",
AH607 &lt;&gt; "", "Fev-Dez/26",
AI607 &lt;&gt; "", "Mar-Dez/26", AJ607 &lt;&gt; "", "Abr-Dez/26",
TRUE, "A partir de Junho"
)</f>
        <v>A partir de Junho</v>
      </c>
      <c r="G607" s="4" t="s">
        <v>62</v>
      </c>
      <c r="H607" s="7" t="s">
        <v>38</v>
      </c>
      <c r="I607" s="28" t="s">
        <v>124</v>
      </c>
      <c r="J607" s="8" t="str" cm="1">
        <f t="array" aca="1" ref="J607" ca="1">_xlfn.LET(
  _xlpm.actual_value_month, INDEX(T607:AE607, MATCH(DATE(YEAR(TODAY()), MONTH(TODAY()), 1), $T$1:$AE$1, 0)),
  IF(_xlpm.actual_value_month &lt;&gt; "",_xlpm.actual_value_month &amp; " ações mensais", "")
)</f>
        <v/>
      </c>
      <c r="K607" s="8" t="str" cm="1">
        <f t="array" ref="K607">_xlfn.LET(
    _xlpm.sum_month, SUM(T607:AE607),
    IF(_xlpm.sum_month = 0, "", _xlpm.sum_month &amp; " atividades no ano")
)</f>
        <v/>
      </c>
      <c r="L607" s="4" t="s">
        <v>125</v>
      </c>
      <c r="M607" s="19"/>
      <c r="N607" s="5" t="s">
        <v>42</v>
      </c>
      <c r="O607" s="5"/>
      <c r="P607" s="10"/>
      <c r="Q607" s="10"/>
      <c r="R607" s="11"/>
      <c r="S607" s="11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8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94"/>
      <c r="AT607" s="95"/>
      <c r="AU607" s="97"/>
      <c r="AV607" s="81"/>
      <c r="AW607" s="51">
        <f t="shared" ref="AW607:AW616" si="931">IFERROR(IF(AG607="",0,AG607/T607),0)</f>
        <v>0</v>
      </c>
      <c r="AX607" s="51">
        <f t="shared" ref="AX607:AX616" si="932">IFERROR(IF(AH607="",0,AH607/U607),0)</f>
        <v>0</v>
      </c>
      <c r="AY607" s="51">
        <f t="shared" ref="AY607:AY616" si="933">IFERROR(IF(AI607="",0,AI607/V607),0)</f>
        <v>0</v>
      </c>
      <c r="AZ607" s="51">
        <f t="shared" ref="AZ607:AZ616" si="934">IFERROR(IF(AJ607="",0,AJ607/W607),0)</f>
        <v>0</v>
      </c>
      <c r="BA607" s="51"/>
      <c r="BB607" s="51"/>
      <c r="BC607" s="51"/>
      <c r="BD607" s="51"/>
      <c r="BE607" s="51"/>
      <c r="BF607" s="51"/>
      <c r="BG607" s="51"/>
      <c r="BH607" s="51"/>
      <c r="BI607" s="65"/>
      <c r="BJ607" s="68"/>
      <c r="BK607" s="58">
        <f>IF((IF(AW607&gt;=115%,115%,AW607) + IF(AX607&gt;=115%,115%,AX607) + IF(AY607&gt;=115%,115%,AY607) + (IF(AZ607&gt;=115%,115%,AZ607) + IF(BA607&gt;=115%,115%,BA607) + IF(BB607&gt;=115%,115%,BB607) + IF(BC607&gt;=115%,115%,BC607) + IF(BD607&gt;=115%,115%,BD607) + IF(BE607&gt;=115%,115%,BE607) + IF(BF607&gt;=115%,115%,BF607) + IF(BG607&gt;=115%,115%,BG607) + IF(BH607&gt;=115%,115%,BH607)))/_xlfn.XLOOKUP(F607,Apuração!A:A,Apuração!B:B)&gt;=1.15,1.15,((IF(AZ607&gt;=115%,115%,AZ607) + IF(AX607&gt;=115%,115%,AX607) + IF(AY607&gt;=115%,115%,AY607) + (IF(AW607&gt;=115%,115%,AW607) + IF(BA607&gt;=115%,115%,BA607) + IF(BB607&gt;=115%,115%,BB607) + IF(BC607&gt;=115%,115%,BC607) + IF(BD607&gt;=115%,115%,BD607) + IF(BE607&gt;=115%,115%,BE607) + IF(BF607&gt;=115%,115%,BF607) + IF(BG607&gt;=115%,115%,BG607) + IF(BH607&gt;=115%,115%,BH607)))/_xlfn.XLOOKUP(F607,Apuração!A:A,Apuração!B:B)))</f>
        <v>0</v>
      </c>
      <c r="BL607" s="58" cm="1">
        <f t="array" aca="1" ref="BL607" ca="1">IF(SUM(IFERROR(IF(INDEX(AW607:INDEX(AW607:BH607, MATCH(2, 1/(AW607:BH607&lt;&gt;""), 1)-1), ROW(INDIRECT("1:" &amp; MATCH(2, 1/(AW607:BH607&lt;&gt;""), 1)-1))) &gt;= 115%, 115%, INDEX(AW607:INDEX(AW607:BH607, MATCH(2, 1/(AW607:BH607&lt;&gt;""), 1)-1), ROW(INDIRECT("1:" &amp; MATCH(2, 1/(AW607:BH607&lt;&gt;""), 1)-1)))), 0))/_xlfn.XLOOKUP(F607,Apuração!A:A,Apuração!B:B)&gt;=1.15,1.15,SUM(IFERROR(IF(INDEX(AW607:INDEX(AW607:BH607, MATCH(2, 1/(AW607:BH607&lt;&gt;""), 1)-1), ROW(INDIRECT("1:" &amp; MATCH(2, 1/(AW607:BH607&lt;&gt;""), 1)-1))) &gt;= 115%, 115%, INDEX(AW607:INDEX(AW607:BH607, MATCH(2, 1/(AW607:BH607&lt;&gt;""), 1)-1), ROW(INDIRECT("1:" &amp; MATCH(2, 1/(AW607:BH607&lt;&gt;""), 1)-1)))), 0))/_xlfn.XLOOKUP(F607,Apuração!A:A,Apuração!B:B))</f>
        <v>0</v>
      </c>
      <c r="BM607" s="55"/>
      <c r="BN607" s="55"/>
      <c r="BO607" s="53">
        <f ca="1">IFERROR(_xlfn.XLOOKUP(F607,Apuração!A:A,Apuração!C:C)/_xlfn.XLOOKUP(F607,Apuração!A:A,Apuração!B:B),0)</f>
        <v>0</v>
      </c>
      <c r="BP607" s="53">
        <f ca="1">IFERROR(_xlfn.XLOOKUP(F607,Apuração!A:A,Apuração!D:D)/_xlfn.XLOOKUP(F607,Apuração!A:A,Apuração!B:B),0)</f>
        <v>0</v>
      </c>
      <c r="BQ607" s="53">
        <f ca="1">IF(BK607&gt;=BO607,0,_xlfn.XLOOKUP(F607,Apuração!A:A,Apuração!B:B)*(BO607 + (1/_xlfn.XLOOKUP(F607,Apuração!A:A,Apuração!B:B)) - BK607))</f>
        <v>0</v>
      </c>
      <c r="BR607" s="85">
        <f t="shared" ref="BR607:BR616" ca="1" si="935">IF(BQ607=0,0,BQ607*Z607)</f>
        <v>0</v>
      </c>
      <c r="BS607" s="53">
        <f ca="1">IFERROR((_xlfn.XLOOKUP(F607,Apuração!A:A,Apuração!C:C)+1)/_xlfn.XLOOKUP(F607,Apuração!A:A,Apuração!B:B),0)</f>
        <v>0.14285714285714285</v>
      </c>
    </row>
    <row r="608" spans="1:71" ht="25.95" hidden="1" customHeight="1" x14ac:dyDescent="0.3">
      <c r="A608" s="41" t="s">
        <v>108</v>
      </c>
      <c r="B608" s="4" t="s">
        <v>123</v>
      </c>
      <c r="C608" s="5" t="s">
        <v>97</v>
      </c>
      <c r="D608" s="5" t="s">
        <v>99</v>
      </c>
      <c r="E608" s="4" t="s">
        <v>61</v>
      </c>
      <c r="F608" s="4" t="str" cm="1">
        <f t="array" ref="F608">_xlfn.IFS(
AG608 &lt;&gt; "", "Jan-Dez/26",
AH608 &lt;&gt; "", "Fev-Dez/26",
AI608 &lt;&gt; "", "Mar-Dez/26", AJ608 &lt;&gt; "", "Abr-Dez/26",
TRUE, "A partir de Junho"
)</f>
        <v>A partir de Junho</v>
      </c>
      <c r="G608" s="4" t="s">
        <v>62</v>
      </c>
      <c r="H608" s="7" t="s">
        <v>38</v>
      </c>
      <c r="I608" s="28" t="s">
        <v>124</v>
      </c>
      <c r="J608" s="8" t="str" cm="1">
        <f t="array" aca="1" ref="J608" ca="1">_xlfn.LET(
  _xlpm.actual_value_month, INDEX(T608:AE608, MATCH(DATE(YEAR(TODAY()), MONTH(TODAY()), 1), $T$1:$AE$1, 0)),
  IF(_xlpm.actual_value_month &lt;&gt; "",_xlpm.actual_value_month &amp; " ações mensais", "")
)</f>
        <v/>
      </c>
      <c r="K608" s="8" t="str" cm="1">
        <f t="array" ref="K608">_xlfn.LET(
    _xlpm.sum_month, SUM(T608:AE608),
    IF(_xlpm.sum_month = 0, "", _xlpm.sum_month &amp; " atividades no ano")
)</f>
        <v/>
      </c>
      <c r="L608" s="4" t="s">
        <v>125</v>
      </c>
      <c r="M608" s="19"/>
      <c r="N608" s="5" t="s">
        <v>42</v>
      </c>
      <c r="O608" s="5"/>
      <c r="P608" s="10"/>
      <c r="Q608" s="10"/>
      <c r="R608" s="11"/>
      <c r="S608" s="11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8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94"/>
      <c r="AT608" s="95"/>
      <c r="AU608" s="97"/>
      <c r="AV608" s="81"/>
      <c r="AW608" s="51">
        <f t="shared" si="931"/>
        <v>0</v>
      </c>
      <c r="AX608" s="51">
        <f t="shared" si="932"/>
        <v>0</v>
      </c>
      <c r="AY608" s="51">
        <f t="shared" si="933"/>
        <v>0</v>
      </c>
      <c r="AZ608" s="51">
        <f t="shared" si="934"/>
        <v>0</v>
      </c>
      <c r="BA608" s="51"/>
      <c r="BB608" s="51"/>
      <c r="BC608" s="51"/>
      <c r="BD608" s="51"/>
      <c r="BE608" s="51"/>
      <c r="BF608" s="51"/>
      <c r="BG608" s="51"/>
      <c r="BH608" s="51"/>
      <c r="BI608" s="65"/>
      <c r="BJ608" s="68"/>
      <c r="BK608" s="58">
        <f>IF((IF(AW608&gt;=115%,115%,AW608) + IF(AX608&gt;=115%,115%,AX608) + IF(AY608&gt;=115%,115%,AY608) + (IF(AZ608&gt;=115%,115%,AZ608) + IF(BA608&gt;=115%,115%,BA608) + IF(BB608&gt;=115%,115%,BB608) + IF(BC608&gt;=115%,115%,BC608) + IF(BD608&gt;=115%,115%,BD608) + IF(BE608&gt;=115%,115%,BE608) + IF(BF608&gt;=115%,115%,BF608) + IF(BG608&gt;=115%,115%,BG608) + IF(BH608&gt;=115%,115%,BH608)))/_xlfn.XLOOKUP(F608,Apuração!A:A,Apuração!B:B)&gt;=1.15,1.15,((IF(AZ608&gt;=115%,115%,AZ608) + IF(AX608&gt;=115%,115%,AX608) + IF(AY608&gt;=115%,115%,AY608) + (IF(AW608&gt;=115%,115%,AW608) + IF(BA608&gt;=115%,115%,BA608) + IF(BB608&gt;=115%,115%,BB608) + IF(BC608&gt;=115%,115%,BC608) + IF(BD608&gt;=115%,115%,BD608) + IF(BE608&gt;=115%,115%,BE608) + IF(BF608&gt;=115%,115%,BF608) + IF(BG608&gt;=115%,115%,BG608) + IF(BH608&gt;=115%,115%,BH608)))/_xlfn.XLOOKUP(F608,Apuração!A:A,Apuração!B:B)))</f>
        <v>0</v>
      </c>
      <c r="BL608" s="58" cm="1">
        <f t="array" aca="1" ref="BL608" ca="1">IF(SUM(IFERROR(IF(INDEX(AW608:INDEX(AW608:BH608, MATCH(2, 1/(AW608:BH608&lt;&gt;""), 1)-1), ROW(INDIRECT("1:" &amp; MATCH(2, 1/(AW608:BH608&lt;&gt;""), 1)-1))) &gt;= 115%, 115%, INDEX(AW608:INDEX(AW608:BH608, MATCH(2, 1/(AW608:BH608&lt;&gt;""), 1)-1), ROW(INDIRECT("1:" &amp; MATCH(2, 1/(AW608:BH608&lt;&gt;""), 1)-1)))), 0))/_xlfn.XLOOKUP(F608,Apuração!A:A,Apuração!B:B)&gt;=1.15,1.15,SUM(IFERROR(IF(INDEX(AW608:INDEX(AW608:BH608, MATCH(2, 1/(AW608:BH608&lt;&gt;""), 1)-1), ROW(INDIRECT("1:" &amp; MATCH(2, 1/(AW608:BH608&lt;&gt;""), 1)-1))) &gt;= 115%, 115%, INDEX(AW608:INDEX(AW608:BH608, MATCH(2, 1/(AW608:BH608&lt;&gt;""), 1)-1), ROW(INDIRECT("1:" &amp; MATCH(2, 1/(AW608:BH608&lt;&gt;""), 1)-1)))), 0))/_xlfn.XLOOKUP(F608,Apuração!A:A,Apuração!B:B))</f>
        <v>0</v>
      </c>
      <c r="BM608" s="55"/>
      <c r="BN608" s="55"/>
      <c r="BO608" s="53">
        <f ca="1">IFERROR(_xlfn.XLOOKUP(F608,Apuração!A:A,Apuração!C:C)/_xlfn.XLOOKUP(F608,Apuração!A:A,Apuração!B:B),0)</f>
        <v>0</v>
      </c>
      <c r="BP608" s="53">
        <f ca="1">IFERROR(_xlfn.XLOOKUP(F608,Apuração!A:A,Apuração!D:D)/_xlfn.XLOOKUP(F608,Apuração!A:A,Apuração!B:B),0)</f>
        <v>0</v>
      </c>
      <c r="BQ608" s="53">
        <f ca="1">IF(BK608&gt;=BO608,0,_xlfn.XLOOKUP(F608,Apuração!A:A,Apuração!B:B)*(BO608 + (1/_xlfn.XLOOKUP(F608,Apuração!A:A,Apuração!B:B)) - BK608))</f>
        <v>0</v>
      </c>
      <c r="BR608" s="85">
        <f t="shared" ca="1" si="935"/>
        <v>0</v>
      </c>
      <c r="BS608" s="53">
        <f ca="1">IFERROR((_xlfn.XLOOKUP(F608,Apuração!A:A,Apuração!C:C)+1)/_xlfn.XLOOKUP(F608,Apuração!A:A,Apuração!B:B),0)</f>
        <v>0.14285714285714285</v>
      </c>
    </row>
    <row r="609" spans="1:71" ht="25.95" hidden="1" customHeight="1" x14ac:dyDescent="0.3">
      <c r="A609" s="41" t="s">
        <v>108</v>
      </c>
      <c r="B609" s="4" t="s">
        <v>123</v>
      </c>
      <c r="C609" s="5" t="s">
        <v>97</v>
      </c>
      <c r="D609" s="5" t="s">
        <v>100</v>
      </c>
      <c r="E609" s="4" t="s">
        <v>61</v>
      </c>
      <c r="F609" s="4" t="str" cm="1">
        <f t="array" ref="F609">_xlfn.IFS(
AG609 &lt;&gt; "", "Jan-Dez/26",
AH609 &lt;&gt; "", "Fev-Dez/26",
AI609 &lt;&gt; "", "Mar-Dez/26", AJ609 &lt;&gt; "", "Abr-Dez/26",
TRUE, "A partir de Junho"
)</f>
        <v>A partir de Junho</v>
      </c>
      <c r="G609" s="4" t="s">
        <v>62</v>
      </c>
      <c r="H609" s="7" t="s">
        <v>38</v>
      </c>
      <c r="I609" s="28" t="s">
        <v>124</v>
      </c>
      <c r="J609" s="8" t="str" cm="1">
        <f t="array" aca="1" ref="J609" ca="1">_xlfn.LET(
  _xlpm.actual_value_month, INDEX(T609:AE609, MATCH(DATE(YEAR(TODAY()), MONTH(TODAY()), 1), $T$1:$AE$1, 0)),
  IF(_xlpm.actual_value_month &lt;&gt; "",_xlpm.actual_value_month &amp; " ações mensais", "")
)</f>
        <v/>
      </c>
      <c r="K609" s="8" t="str" cm="1">
        <f t="array" ref="K609">_xlfn.LET(
    _xlpm.sum_month, SUM(T609:AE609),
    IF(_xlpm.sum_month = 0, "", _xlpm.sum_month &amp; " atividades no ano")
)</f>
        <v/>
      </c>
      <c r="L609" s="4" t="s">
        <v>125</v>
      </c>
      <c r="M609" s="19"/>
      <c r="N609" s="5" t="s">
        <v>42</v>
      </c>
      <c r="O609" s="5"/>
      <c r="P609" s="10"/>
      <c r="Q609" s="10"/>
      <c r="R609" s="11"/>
      <c r="S609" s="11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8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94"/>
      <c r="AT609" s="95"/>
      <c r="AU609" s="97"/>
      <c r="AV609" s="81"/>
      <c r="AW609" s="51">
        <f t="shared" si="931"/>
        <v>0</v>
      </c>
      <c r="AX609" s="51">
        <f t="shared" si="932"/>
        <v>0</v>
      </c>
      <c r="AY609" s="51">
        <f t="shared" si="933"/>
        <v>0</v>
      </c>
      <c r="AZ609" s="51">
        <f t="shared" si="934"/>
        <v>0</v>
      </c>
      <c r="BA609" s="51"/>
      <c r="BB609" s="51"/>
      <c r="BC609" s="51"/>
      <c r="BD609" s="51"/>
      <c r="BE609" s="51"/>
      <c r="BF609" s="51"/>
      <c r="BG609" s="51"/>
      <c r="BH609" s="51"/>
      <c r="BI609" s="65"/>
      <c r="BJ609" s="68"/>
      <c r="BK609" s="58">
        <f>IF((IF(AW609&gt;=115%,115%,AW609) + IF(AX609&gt;=115%,115%,AX609) + IF(AY609&gt;=115%,115%,AY609) + (IF(AZ609&gt;=115%,115%,AZ609) + IF(BA609&gt;=115%,115%,BA609) + IF(BB609&gt;=115%,115%,BB609) + IF(BC609&gt;=115%,115%,BC609) + IF(BD609&gt;=115%,115%,BD609) + IF(BE609&gt;=115%,115%,BE609) + IF(BF609&gt;=115%,115%,BF609) + IF(BG609&gt;=115%,115%,BG609) + IF(BH609&gt;=115%,115%,BH609)))/_xlfn.XLOOKUP(F609,Apuração!A:A,Apuração!B:B)&gt;=1.15,1.15,((IF(AZ609&gt;=115%,115%,AZ609) + IF(AX609&gt;=115%,115%,AX609) + IF(AY609&gt;=115%,115%,AY609) + (IF(AW609&gt;=115%,115%,AW609) + IF(BA609&gt;=115%,115%,BA609) + IF(BB609&gt;=115%,115%,BB609) + IF(BC609&gt;=115%,115%,BC609) + IF(BD609&gt;=115%,115%,BD609) + IF(BE609&gt;=115%,115%,BE609) + IF(BF609&gt;=115%,115%,BF609) + IF(BG609&gt;=115%,115%,BG609) + IF(BH609&gt;=115%,115%,BH609)))/_xlfn.XLOOKUP(F609,Apuração!A:A,Apuração!B:B)))</f>
        <v>0</v>
      </c>
      <c r="BL609" s="58" cm="1">
        <f t="array" aca="1" ref="BL609" ca="1">IF(SUM(IFERROR(IF(INDEX(AW609:INDEX(AW609:BH609, MATCH(2, 1/(AW609:BH609&lt;&gt;""), 1)-1), ROW(INDIRECT("1:" &amp; MATCH(2, 1/(AW609:BH609&lt;&gt;""), 1)-1))) &gt;= 115%, 115%, INDEX(AW609:INDEX(AW609:BH609, MATCH(2, 1/(AW609:BH609&lt;&gt;""), 1)-1), ROW(INDIRECT("1:" &amp; MATCH(2, 1/(AW609:BH609&lt;&gt;""), 1)-1)))), 0))/_xlfn.XLOOKUP(F609,Apuração!A:A,Apuração!B:B)&gt;=1.15,1.15,SUM(IFERROR(IF(INDEX(AW609:INDEX(AW609:BH609, MATCH(2, 1/(AW609:BH609&lt;&gt;""), 1)-1), ROW(INDIRECT("1:" &amp; MATCH(2, 1/(AW609:BH609&lt;&gt;""), 1)-1))) &gt;= 115%, 115%, INDEX(AW609:INDEX(AW609:BH609, MATCH(2, 1/(AW609:BH609&lt;&gt;""), 1)-1), ROW(INDIRECT("1:" &amp; MATCH(2, 1/(AW609:BH609&lt;&gt;""), 1)-1)))), 0))/_xlfn.XLOOKUP(F609,Apuração!A:A,Apuração!B:B))</f>
        <v>0</v>
      </c>
      <c r="BM609" s="55"/>
      <c r="BN609" s="55"/>
      <c r="BO609" s="53">
        <f ca="1">IFERROR(_xlfn.XLOOKUP(F609,Apuração!A:A,Apuração!C:C)/_xlfn.XLOOKUP(F609,Apuração!A:A,Apuração!B:B),0)</f>
        <v>0</v>
      </c>
      <c r="BP609" s="53">
        <f ca="1">IFERROR(_xlfn.XLOOKUP(F609,Apuração!A:A,Apuração!D:D)/_xlfn.XLOOKUP(F609,Apuração!A:A,Apuração!B:B),0)</f>
        <v>0</v>
      </c>
      <c r="BQ609" s="53">
        <f ca="1">IF(BK609&gt;=BO609,0,_xlfn.XLOOKUP(F609,Apuração!A:A,Apuração!B:B)*(BO609 + (1/_xlfn.XLOOKUP(F609,Apuração!A:A,Apuração!B:B)) - BK609))</f>
        <v>0</v>
      </c>
      <c r="BR609" s="85">
        <f t="shared" ca="1" si="935"/>
        <v>0</v>
      </c>
      <c r="BS609" s="53">
        <f ca="1">IFERROR((_xlfn.XLOOKUP(F609,Apuração!A:A,Apuração!C:C)+1)/_xlfn.XLOOKUP(F609,Apuração!A:A,Apuração!B:B),0)</f>
        <v>0.14285714285714285</v>
      </c>
    </row>
    <row r="610" spans="1:71" ht="25.95" hidden="1" customHeight="1" x14ac:dyDescent="0.3">
      <c r="A610" s="41" t="s">
        <v>108</v>
      </c>
      <c r="B610" s="4" t="s">
        <v>123</v>
      </c>
      <c r="C610" s="5" t="s">
        <v>97</v>
      </c>
      <c r="D610" s="5" t="s">
        <v>101</v>
      </c>
      <c r="E610" s="4" t="s">
        <v>61</v>
      </c>
      <c r="F610" s="4" t="str" cm="1">
        <f t="array" ref="F610">_xlfn.IFS(
AG610 &lt;&gt; "", "Jan-Dez/26",
AH610 &lt;&gt; "", "Fev-Dez/26",
AI610 &lt;&gt; "", "Mar-Dez/26", AJ610 &lt;&gt; "", "Abr-Dez/26",
TRUE, "A partir de Junho"
)</f>
        <v>A partir de Junho</v>
      </c>
      <c r="G610" s="4" t="s">
        <v>62</v>
      </c>
      <c r="H610" s="7" t="s">
        <v>38</v>
      </c>
      <c r="I610" s="28" t="s">
        <v>124</v>
      </c>
      <c r="J610" s="8" t="str" cm="1">
        <f t="array" aca="1" ref="J610" ca="1">_xlfn.LET(
  _xlpm.actual_value_month, INDEX(T610:AE610, MATCH(DATE(YEAR(TODAY()), MONTH(TODAY()), 1), $T$1:$AE$1, 0)),
  IF(_xlpm.actual_value_month &lt;&gt; "",_xlpm.actual_value_month &amp; " ações mensais", "")
)</f>
        <v/>
      </c>
      <c r="K610" s="8" t="str" cm="1">
        <f t="array" ref="K610">_xlfn.LET(
    _xlpm.sum_month, SUM(T610:AE610),
    IF(_xlpm.sum_month = 0, "", _xlpm.sum_month &amp; " atividades no ano")
)</f>
        <v/>
      </c>
      <c r="L610" s="4" t="s">
        <v>125</v>
      </c>
      <c r="M610" s="19"/>
      <c r="N610" s="5" t="s">
        <v>42</v>
      </c>
      <c r="O610" s="5"/>
      <c r="P610" s="10"/>
      <c r="Q610" s="10"/>
      <c r="R610" s="11"/>
      <c r="S610" s="11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8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94"/>
      <c r="AT610" s="95"/>
      <c r="AU610" s="97"/>
      <c r="AV610" s="81"/>
      <c r="AW610" s="51">
        <f t="shared" si="931"/>
        <v>0</v>
      </c>
      <c r="AX610" s="51">
        <f t="shared" si="932"/>
        <v>0</v>
      </c>
      <c r="AY610" s="51">
        <f t="shared" si="933"/>
        <v>0</v>
      </c>
      <c r="AZ610" s="51">
        <f t="shared" si="934"/>
        <v>0</v>
      </c>
      <c r="BA610" s="51"/>
      <c r="BB610" s="51"/>
      <c r="BC610" s="51"/>
      <c r="BD610" s="51"/>
      <c r="BE610" s="51"/>
      <c r="BF610" s="51"/>
      <c r="BG610" s="51"/>
      <c r="BH610" s="51"/>
      <c r="BI610" s="65"/>
      <c r="BJ610" s="68"/>
      <c r="BK610" s="58">
        <f>IF((IF(AW610&gt;=115%,115%,AW610) + IF(AX610&gt;=115%,115%,AX610) + IF(AY610&gt;=115%,115%,AY610) + (IF(AZ610&gt;=115%,115%,AZ610) + IF(BA610&gt;=115%,115%,BA610) + IF(BB610&gt;=115%,115%,BB610) + IF(BC610&gt;=115%,115%,BC610) + IF(BD610&gt;=115%,115%,BD610) + IF(BE610&gt;=115%,115%,BE610) + IF(BF610&gt;=115%,115%,BF610) + IF(BG610&gt;=115%,115%,BG610) + IF(BH610&gt;=115%,115%,BH610)))/_xlfn.XLOOKUP(F610,Apuração!A:A,Apuração!B:B)&gt;=1.15,1.15,((IF(AZ610&gt;=115%,115%,AZ610) + IF(AX610&gt;=115%,115%,AX610) + IF(AY610&gt;=115%,115%,AY610) + (IF(AW610&gt;=115%,115%,AW610) + IF(BA610&gt;=115%,115%,BA610) + IF(BB610&gt;=115%,115%,BB610) + IF(BC610&gt;=115%,115%,BC610) + IF(BD610&gt;=115%,115%,BD610) + IF(BE610&gt;=115%,115%,BE610) + IF(BF610&gt;=115%,115%,BF610) + IF(BG610&gt;=115%,115%,BG610) + IF(BH610&gt;=115%,115%,BH610)))/_xlfn.XLOOKUP(F610,Apuração!A:A,Apuração!B:B)))</f>
        <v>0</v>
      </c>
      <c r="BL610" s="58" cm="1">
        <f t="array" aca="1" ref="BL610" ca="1">IF(SUM(IFERROR(IF(INDEX(AW610:INDEX(AW610:BH610, MATCH(2, 1/(AW610:BH610&lt;&gt;""), 1)-1), ROW(INDIRECT("1:" &amp; MATCH(2, 1/(AW610:BH610&lt;&gt;""), 1)-1))) &gt;= 115%, 115%, INDEX(AW610:INDEX(AW610:BH610, MATCH(2, 1/(AW610:BH610&lt;&gt;""), 1)-1), ROW(INDIRECT("1:" &amp; MATCH(2, 1/(AW610:BH610&lt;&gt;""), 1)-1)))), 0))/_xlfn.XLOOKUP(F610,Apuração!A:A,Apuração!B:B)&gt;=1.15,1.15,SUM(IFERROR(IF(INDEX(AW610:INDEX(AW610:BH610, MATCH(2, 1/(AW610:BH610&lt;&gt;""), 1)-1), ROW(INDIRECT("1:" &amp; MATCH(2, 1/(AW610:BH610&lt;&gt;""), 1)-1))) &gt;= 115%, 115%, INDEX(AW610:INDEX(AW610:BH610, MATCH(2, 1/(AW610:BH610&lt;&gt;""), 1)-1), ROW(INDIRECT("1:" &amp; MATCH(2, 1/(AW610:BH610&lt;&gt;""), 1)-1)))), 0))/_xlfn.XLOOKUP(F610,Apuração!A:A,Apuração!B:B))</f>
        <v>0</v>
      </c>
      <c r="BM610" s="55"/>
      <c r="BN610" s="55"/>
      <c r="BO610" s="53">
        <f ca="1">IFERROR(_xlfn.XLOOKUP(F610,Apuração!A:A,Apuração!C:C)/_xlfn.XLOOKUP(F610,Apuração!A:A,Apuração!B:B),0)</f>
        <v>0</v>
      </c>
      <c r="BP610" s="53">
        <f ca="1">IFERROR(_xlfn.XLOOKUP(F610,Apuração!A:A,Apuração!D:D)/_xlfn.XLOOKUP(F610,Apuração!A:A,Apuração!B:B),0)</f>
        <v>0</v>
      </c>
      <c r="BQ610" s="53">
        <f ca="1">IF(BK610&gt;=BO610,0,_xlfn.XLOOKUP(F610,Apuração!A:A,Apuração!B:B)*(BO610 + (1/_xlfn.XLOOKUP(F610,Apuração!A:A,Apuração!B:B)) - BK610))</f>
        <v>0</v>
      </c>
      <c r="BR610" s="85">
        <f t="shared" ca="1" si="935"/>
        <v>0</v>
      </c>
      <c r="BS610" s="53">
        <f ca="1">IFERROR((_xlfn.XLOOKUP(F610,Apuração!A:A,Apuração!C:C)+1)/_xlfn.XLOOKUP(F610,Apuração!A:A,Apuração!B:B),0)</f>
        <v>0.14285714285714285</v>
      </c>
    </row>
    <row r="611" spans="1:71" ht="25.95" hidden="1" customHeight="1" x14ac:dyDescent="0.3">
      <c r="A611" s="41" t="s">
        <v>108</v>
      </c>
      <c r="B611" s="4" t="s">
        <v>123</v>
      </c>
      <c r="C611" s="5" t="s">
        <v>97</v>
      </c>
      <c r="D611" s="5" t="s">
        <v>102</v>
      </c>
      <c r="E611" s="4" t="s">
        <v>61</v>
      </c>
      <c r="F611" s="4" t="str" cm="1">
        <f t="array" ref="F611">_xlfn.IFS(
AG611 &lt;&gt; "", "Jan-Dez/26",
AH611 &lt;&gt; "", "Fev-Dez/26",
AI611 &lt;&gt; "", "Mar-Dez/26", AJ611 &lt;&gt; "", "Abr-Dez/26",
TRUE, "A partir de Junho"
)</f>
        <v>A partir de Junho</v>
      </c>
      <c r="G611" s="4" t="s">
        <v>62</v>
      </c>
      <c r="H611" s="7" t="s">
        <v>38</v>
      </c>
      <c r="I611" s="28" t="s">
        <v>124</v>
      </c>
      <c r="J611" s="8" t="str" cm="1">
        <f t="array" aca="1" ref="J611" ca="1">_xlfn.LET(
  _xlpm.actual_value_month, INDEX(T611:AE611, MATCH(DATE(YEAR(TODAY()), MONTH(TODAY()), 1), $T$1:$AE$1, 0)),
  IF(_xlpm.actual_value_month &lt;&gt; "",_xlpm.actual_value_month &amp; " ações mensais", "")
)</f>
        <v/>
      </c>
      <c r="K611" s="8" t="str" cm="1">
        <f t="array" ref="K611">_xlfn.LET(
    _xlpm.sum_month, SUM(T611:AE611),
    IF(_xlpm.sum_month = 0, "", _xlpm.sum_month &amp; " atividades no ano")
)</f>
        <v/>
      </c>
      <c r="L611" s="4" t="s">
        <v>125</v>
      </c>
      <c r="M611" s="19"/>
      <c r="N611" s="5" t="s">
        <v>42</v>
      </c>
      <c r="O611" s="5"/>
      <c r="P611" s="10"/>
      <c r="Q611" s="10"/>
      <c r="R611" s="11"/>
      <c r="S611" s="11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81"/>
      <c r="AG611" s="71"/>
      <c r="AH611" s="71"/>
      <c r="AI611" s="71"/>
      <c r="AJ611" s="71"/>
      <c r="AK611" s="71"/>
      <c r="AL611" s="71"/>
      <c r="AM611" s="71"/>
      <c r="AN611" s="71"/>
      <c r="AO611" s="71"/>
      <c r="AP611" s="71"/>
      <c r="AQ611" s="71"/>
      <c r="AR611" s="71"/>
      <c r="AS611" s="94"/>
      <c r="AT611" s="95"/>
      <c r="AU611" s="97"/>
      <c r="AV611" s="81"/>
      <c r="AW611" s="51">
        <f t="shared" si="931"/>
        <v>0</v>
      </c>
      <c r="AX611" s="51">
        <f t="shared" si="932"/>
        <v>0</v>
      </c>
      <c r="AY611" s="51">
        <f t="shared" si="933"/>
        <v>0</v>
      </c>
      <c r="AZ611" s="51">
        <f t="shared" si="934"/>
        <v>0</v>
      </c>
      <c r="BA611" s="51"/>
      <c r="BB611" s="51"/>
      <c r="BC611" s="51"/>
      <c r="BD611" s="51"/>
      <c r="BE611" s="51"/>
      <c r="BF611" s="51"/>
      <c r="BG611" s="51"/>
      <c r="BH611" s="51"/>
      <c r="BI611" s="65"/>
      <c r="BJ611" s="68"/>
      <c r="BK611" s="58">
        <f>IF((IF(AW611&gt;=115%,115%,AW611) + IF(AX611&gt;=115%,115%,AX611) + IF(AY611&gt;=115%,115%,AY611) + (IF(AZ611&gt;=115%,115%,AZ611) + IF(BA611&gt;=115%,115%,BA611) + IF(BB611&gt;=115%,115%,BB611) + IF(BC611&gt;=115%,115%,BC611) + IF(BD611&gt;=115%,115%,BD611) + IF(BE611&gt;=115%,115%,BE611) + IF(BF611&gt;=115%,115%,BF611) + IF(BG611&gt;=115%,115%,BG611) + IF(BH611&gt;=115%,115%,BH611)))/_xlfn.XLOOKUP(F611,Apuração!A:A,Apuração!B:B)&gt;=1.15,1.15,((IF(AZ611&gt;=115%,115%,AZ611) + IF(AX611&gt;=115%,115%,AX611) + IF(AY611&gt;=115%,115%,AY611) + (IF(AW611&gt;=115%,115%,AW611) + IF(BA611&gt;=115%,115%,BA611) + IF(BB611&gt;=115%,115%,BB611) + IF(BC611&gt;=115%,115%,BC611) + IF(BD611&gt;=115%,115%,BD611) + IF(BE611&gt;=115%,115%,BE611) + IF(BF611&gt;=115%,115%,BF611) + IF(BG611&gt;=115%,115%,BG611) + IF(BH611&gt;=115%,115%,BH611)))/_xlfn.XLOOKUP(F611,Apuração!A:A,Apuração!B:B)))</f>
        <v>0</v>
      </c>
      <c r="BL611" s="58" cm="1">
        <f t="array" aca="1" ref="BL611" ca="1">IF(SUM(IFERROR(IF(INDEX(AW611:INDEX(AW611:BH611, MATCH(2, 1/(AW611:BH611&lt;&gt;""), 1)-1), ROW(INDIRECT("1:" &amp; MATCH(2, 1/(AW611:BH611&lt;&gt;""), 1)-1))) &gt;= 115%, 115%, INDEX(AW611:INDEX(AW611:BH611, MATCH(2, 1/(AW611:BH611&lt;&gt;""), 1)-1), ROW(INDIRECT("1:" &amp; MATCH(2, 1/(AW611:BH611&lt;&gt;""), 1)-1)))), 0))/_xlfn.XLOOKUP(F611,Apuração!A:A,Apuração!B:B)&gt;=1.15,1.15,SUM(IFERROR(IF(INDEX(AW611:INDEX(AW611:BH611, MATCH(2, 1/(AW611:BH611&lt;&gt;""), 1)-1), ROW(INDIRECT("1:" &amp; MATCH(2, 1/(AW611:BH611&lt;&gt;""), 1)-1))) &gt;= 115%, 115%, INDEX(AW611:INDEX(AW611:BH611, MATCH(2, 1/(AW611:BH611&lt;&gt;""), 1)-1), ROW(INDIRECT("1:" &amp; MATCH(2, 1/(AW611:BH611&lt;&gt;""), 1)-1)))), 0))/_xlfn.XLOOKUP(F611,Apuração!A:A,Apuração!B:B))</f>
        <v>0</v>
      </c>
      <c r="BM611" s="55"/>
      <c r="BN611" s="55"/>
      <c r="BO611" s="53">
        <f ca="1">IFERROR(_xlfn.XLOOKUP(F611,Apuração!A:A,Apuração!C:C)/_xlfn.XLOOKUP(F611,Apuração!A:A,Apuração!B:B),0)</f>
        <v>0</v>
      </c>
      <c r="BP611" s="53">
        <f ca="1">IFERROR(_xlfn.XLOOKUP(F611,Apuração!A:A,Apuração!D:D)/_xlfn.XLOOKUP(F611,Apuração!A:A,Apuração!B:B),0)</f>
        <v>0</v>
      </c>
      <c r="BQ611" s="53">
        <f ca="1">IF(BK611&gt;=BO611,0,_xlfn.XLOOKUP(F611,Apuração!A:A,Apuração!B:B)*(BO611 + (1/_xlfn.XLOOKUP(F611,Apuração!A:A,Apuração!B:B)) - BK611))</f>
        <v>0</v>
      </c>
      <c r="BR611" s="85">
        <f t="shared" ca="1" si="935"/>
        <v>0</v>
      </c>
      <c r="BS611" s="53">
        <f ca="1">IFERROR((_xlfn.XLOOKUP(F611,Apuração!A:A,Apuração!C:C)+1)/_xlfn.XLOOKUP(F611,Apuração!A:A,Apuração!B:B),0)</f>
        <v>0.14285714285714285</v>
      </c>
    </row>
    <row r="612" spans="1:71" ht="25.95" hidden="1" customHeight="1" x14ac:dyDescent="0.3">
      <c r="A612" s="41" t="s">
        <v>108</v>
      </c>
      <c r="B612" s="4" t="s">
        <v>123</v>
      </c>
      <c r="C612" s="5" t="s">
        <v>97</v>
      </c>
      <c r="D612" s="5" t="s">
        <v>103</v>
      </c>
      <c r="E612" s="4" t="s">
        <v>61</v>
      </c>
      <c r="F612" s="4" t="str" cm="1">
        <f t="array" ref="F612">_xlfn.IFS(
AG612 &lt;&gt; "", "Jan-Dez/26",
AH612 &lt;&gt; "", "Fev-Dez/26",
AI612 &lt;&gt; "", "Mar-Dez/26", AJ612 &lt;&gt; "", "Abr-Dez/26",
TRUE, "A partir de Junho"
)</f>
        <v>A partir de Junho</v>
      </c>
      <c r="G612" s="4" t="s">
        <v>62</v>
      </c>
      <c r="H612" s="7" t="s">
        <v>38</v>
      </c>
      <c r="I612" s="28" t="s">
        <v>124</v>
      </c>
      <c r="J612" s="8" t="str" cm="1">
        <f t="array" aca="1" ref="J612" ca="1">_xlfn.LET(
  _xlpm.actual_value_month, INDEX(T612:AE612, MATCH(DATE(YEAR(TODAY()), MONTH(TODAY()), 1), $T$1:$AE$1, 0)),
  IF(_xlpm.actual_value_month &lt;&gt; "",_xlpm.actual_value_month &amp; " ações mensais", "")
)</f>
        <v/>
      </c>
      <c r="K612" s="8" t="str" cm="1">
        <f t="array" ref="K612">_xlfn.LET(
    _xlpm.sum_month, SUM(T612:AE612),
    IF(_xlpm.sum_month = 0, "", _xlpm.sum_month &amp; " atividades no ano")
)</f>
        <v/>
      </c>
      <c r="L612" s="4" t="s">
        <v>125</v>
      </c>
      <c r="M612" s="19"/>
      <c r="N612" s="5" t="s">
        <v>42</v>
      </c>
      <c r="O612" s="5"/>
      <c r="P612" s="10"/>
      <c r="Q612" s="10"/>
      <c r="R612" s="11"/>
      <c r="S612" s="11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81"/>
      <c r="AG612" s="71"/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  <c r="AR612" s="71"/>
      <c r="AS612" s="94"/>
      <c r="AT612" s="95"/>
      <c r="AU612" s="97"/>
      <c r="AV612" s="81"/>
      <c r="AW612" s="51">
        <f t="shared" si="931"/>
        <v>0</v>
      </c>
      <c r="AX612" s="51">
        <f t="shared" si="932"/>
        <v>0</v>
      </c>
      <c r="AY612" s="51">
        <f t="shared" si="933"/>
        <v>0</v>
      </c>
      <c r="AZ612" s="51">
        <f t="shared" si="934"/>
        <v>0</v>
      </c>
      <c r="BA612" s="51"/>
      <c r="BB612" s="51"/>
      <c r="BC612" s="51"/>
      <c r="BD612" s="51"/>
      <c r="BE612" s="51"/>
      <c r="BF612" s="51"/>
      <c r="BG612" s="51"/>
      <c r="BH612" s="51"/>
      <c r="BI612" s="65"/>
      <c r="BJ612" s="68"/>
      <c r="BK612" s="58">
        <f>IF((IF(AW612&gt;=115%,115%,AW612) + IF(AX612&gt;=115%,115%,AX612) + IF(AY612&gt;=115%,115%,AY612) + (IF(AZ612&gt;=115%,115%,AZ612) + IF(BA612&gt;=115%,115%,BA612) + IF(BB612&gt;=115%,115%,BB612) + IF(BC612&gt;=115%,115%,BC612) + IF(BD612&gt;=115%,115%,BD612) + IF(BE612&gt;=115%,115%,BE612) + IF(BF612&gt;=115%,115%,BF612) + IF(BG612&gt;=115%,115%,BG612) + IF(BH612&gt;=115%,115%,BH612)))/_xlfn.XLOOKUP(F612,Apuração!A:A,Apuração!B:B)&gt;=1.15,1.15,((IF(AZ612&gt;=115%,115%,AZ612) + IF(AX612&gt;=115%,115%,AX612) + IF(AY612&gt;=115%,115%,AY612) + (IF(AW612&gt;=115%,115%,AW612) + IF(BA612&gt;=115%,115%,BA612) + IF(BB612&gt;=115%,115%,BB612) + IF(BC612&gt;=115%,115%,BC612) + IF(BD612&gt;=115%,115%,BD612) + IF(BE612&gt;=115%,115%,BE612) + IF(BF612&gt;=115%,115%,BF612) + IF(BG612&gt;=115%,115%,BG612) + IF(BH612&gt;=115%,115%,BH612)))/_xlfn.XLOOKUP(F612,Apuração!A:A,Apuração!B:B)))</f>
        <v>0</v>
      </c>
      <c r="BL612" s="58" cm="1">
        <f t="array" aca="1" ref="BL612" ca="1">IF(SUM(IFERROR(IF(INDEX(AW612:INDEX(AW612:BH612, MATCH(2, 1/(AW612:BH612&lt;&gt;""), 1)-1), ROW(INDIRECT("1:" &amp; MATCH(2, 1/(AW612:BH612&lt;&gt;""), 1)-1))) &gt;= 115%, 115%, INDEX(AW612:INDEX(AW612:BH612, MATCH(2, 1/(AW612:BH612&lt;&gt;""), 1)-1), ROW(INDIRECT("1:" &amp; MATCH(2, 1/(AW612:BH612&lt;&gt;""), 1)-1)))), 0))/_xlfn.XLOOKUP(F612,Apuração!A:A,Apuração!B:B)&gt;=1.15,1.15,SUM(IFERROR(IF(INDEX(AW612:INDEX(AW612:BH612, MATCH(2, 1/(AW612:BH612&lt;&gt;""), 1)-1), ROW(INDIRECT("1:" &amp; MATCH(2, 1/(AW612:BH612&lt;&gt;""), 1)-1))) &gt;= 115%, 115%, INDEX(AW612:INDEX(AW612:BH612, MATCH(2, 1/(AW612:BH612&lt;&gt;""), 1)-1), ROW(INDIRECT("1:" &amp; MATCH(2, 1/(AW612:BH612&lt;&gt;""), 1)-1)))), 0))/_xlfn.XLOOKUP(F612,Apuração!A:A,Apuração!B:B))</f>
        <v>0</v>
      </c>
      <c r="BM612" s="55"/>
      <c r="BN612" s="55"/>
      <c r="BO612" s="53">
        <f ca="1">IFERROR(_xlfn.XLOOKUP(F612,Apuração!A:A,Apuração!C:C)/_xlfn.XLOOKUP(F612,Apuração!A:A,Apuração!B:B),0)</f>
        <v>0</v>
      </c>
      <c r="BP612" s="53">
        <f ca="1">IFERROR(_xlfn.XLOOKUP(F612,Apuração!A:A,Apuração!D:D)/_xlfn.XLOOKUP(F612,Apuração!A:A,Apuração!B:B),0)</f>
        <v>0</v>
      </c>
      <c r="BQ612" s="53">
        <f ca="1">IF(BK612&gt;=BO612,0,_xlfn.XLOOKUP(F612,Apuração!A:A,Apuração!B:B)*(BO612 + (1/_xlfn.XLOOKUP(F612,Apuração!A:A,Apuração!B:B)) - BK612))</f>
        <v>0</v>
      </c>
      <c r="BR612" s="85">
        <f t="shared" ca="1" si="935"/>
        <v>0</v>
      </c>
      <c r="BS612" s="53">
        <f ca="1">IFERROR((_xlfn.XLOOKUP(F612,Apuração!A:A,Apuração!C:C)+1)/_xlfn.XLOOKUP(F612,Apuração!A:A,Apuração!B:B),0)</f>
        <v>0.14285714285714285</v>
      </c>
    </row>
    <row r="613" spans="1:71" ht="25.95" hidden="1" customHeight="1" x14ac:dyDescent="0.3">
      <c r="A613" s="41" t="s">
        <v>108</v>
      </c>
      <c r="B613" s="4" t="s">
        <v>123</v>
      </c>
      <c r="C613" s="5" t="s">
        <v>97</v>
      </c>
      <c r="D613" s="5" t="s">
        <v>104</v>
      </c>
      <c r="E613" s="4" t="s">
        <v>61</v>
      </c>
      <c r="F613" s="4" t="str" cm="1">
        <f t="array" ref="F613">_xlfn.IFS(
AG613 &lt;&gt; "", "Jan-Dez/26",
AH613 &lt;&gt; "", "Fev-Dez/26",
AI613 &lt;&gt; "", "Mar-Dez/26", AJ613 &lt;&gt; "", "Abr-Dez/26",
TRUE, "A partir de Junho"
)</f>
        <v>A partir de Junho</v>
      </c>
      <c r="G613" s="4" t="s">
        <v>62</v>
      </c>
      <c r="H613" s="7" t="s">
        <v>38</v>
      </c>
      <c r="I613" s="28" t="s">
        <v>124</v>
      </c>
      <c r="J613" s="8" t="str" cm="1">
        <f t="array" aca="1" ref="J613" ca="1">_xlfn.LET(
  _xlpm.actual_value_month, INDEX(T613:AE613, MATCH(DATE(YEAR(TODAY()), MONTH(TODAY()), 1), $T$1:$AE$1, 0)),
  IF(_xlpm.actual_value_month &lt;&gt; "",_xlpm.actual_value_month &amp; " ações mensais", "")
)</f>
        <v/>
      </c>
      <c r="K613" s="8" t="str" cm="1">
        <f t="array" ref="K613">_xlfn.LET(
    _xlpm.sum_month, SUM(T613:AE613),
    IF(_xlpm.sum_month = 0, "", _xlpm.sum_month &amp; " atividades no ano")
)</f>
        <v/>
      </c>
      <c r="L613" s="4" t="s">
        <v>125</v>
      </c>
      <c r="M613" s="19"/>
      <c r="N613" s="5" t="s">
        <v>42</v>
      </c>
      <c r="O613" s="5"/>
      <c r="P613" s="10"/>
      <c r="Q613" s="10"/>
      <c r="R613" s="11"/>
      <c r="S613" s="11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8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1"/>
      <c r="AS613" s="94"/>
      <c r="AT613" s="95"/>
      <c r="AU613" s="97"/>
      <c r="AV613" s="81"/>
      <c r="AW613" s="51">
        <f t="shared" si="931"/>
        <v>0</v>
      </c>
      <c r="AX613" s="51">
        <f t="shared" si="932"/>
        <v>0</v>
      </c>
      <c r="AY613" s="51">
        <f t="shared" si="933"/>
        <v>0</v>
      </c>
      <c r="AZ613" s="51">
        <f t="shared" si="934"/>
        <v>0</v>
      </c>
      <c r="BA613" s="51"/>
      <c r="BB613" s="51"/>
      <c r="BC613" s="51"/>
      <c r="BD613" s="51"/>
      <c r="BE613" s="51"/>
      <c r="BF613" s="51"/>
      <c r="BG613" s="51"/>
      <c r="BH613" s="51"/>
      <c r="BI613" s="65"/>
      <c r="BJ613" s="68"/>
      <c r="BK613" s="58">
        <f>IF((IF(AW613&gt;=115%,115%,AW613) + IF(AX613&gt;=115%,115%,AX613) + IF(AY613&gt;=115%,115%,AY613) + (IF(AZ613&gt;=115%,115%,AZ613) + IF(BA613&gt;=115%,115%,BA613) + IF(BB613&gt;=115%,115%,BB613) + IF(BC613&gt;=115%,115%,BC613) + IF(BD613&gt;=115%,115%,BD613) + IF(BE613&gt;=115%,115%,BE613) + IF(BF613&gt;=115%,115%,BF613) + IF(BG613&gt;=115%,115%,BG613) + IF(BH613&gt;=115%,115%,BH613)))/_xlfn.XLOOKUP(F613,Apuração!A:A,Apuração!B:B)&gt;=1.15,1.15,((IF(AZ613&gt;=115%,115%,AZ613) + IF(AX613&gt;=115%,115%,AX613) + IF(AY613&gt;=115%,115%,AY613) + (IF(AW613&gt;=115%,115%,AW613) + IF(BA613&gt;=115%,115%,BA613) + IF(BB613&gt;=115%,115%,BB613) + IF(BC613&gt;=115%,115%,BC613) + IF(BD613&gt;=115%,115%,BD613) + IF(BE613&gt;=115%,115%,BE613) + IF(BF613&gt;=115%,115%,BF613) + IF(BG613&gt;=115%,115%,BG613) + IF(BH613&gt;=115%,115%,BH613)))/_xlfn.XLOOKUP(F613,Apuração!A:A,Apuração!B:B)))</f>
        <v>0</v>
      </c>
      <c r="BL613" s="58" cm="1">
        <f t="array" aca="1" ref="BL613" ca="1">IF(SUM(IFERROR(IF(INDEX(AW613:INDEX(AW613:BH613, MATCH(2, 1/(AW613:BH613&lt;&gt;""), 1)-1), ROW(INDIRECT("1:" &amp; MATCH(2, 1/(AW613:BH613&lt;&gt;""), 1)-1))) &gt;= 115%, 115%, INDEX(AW613:INDEX(AW613:BH613, MATCH(2, 1/(AW613:BH613&lt;&gt;""), 1)-1), ROW(INDIRECT("1:" &amp; MATCH(2, 1/(AW613:BH613&lt;&gt;""), 1)-1)))), 0))/_xlfn.XLOOKUP(F613,Apuração!A:A,Apuração!B:B)&gt;=1.15,1.15,SUM(IFERROR(IF(INDEX(AW613:INDEX(AW613:BH613, MATCH(2, 1/(AW613:BH613&lt;&gt;""), 1)-1), ROW(INDIRECT("1:" &amp; MATCH(2, 1/(AW613:BH613&lt;&gt;""), 1)-1))) &gt;= 115%, 115%, INDEX(AW613:INDEX(AW613:BH613, MATCH(2, 1/(AW613:BH613&lt;&gt;""), 1)-1), ROW(INDIRECT("1:" &amp; MATCH(2, 1/(AW613:BH613&lt;&gt;""), 1)-1)))), 0))/_xlfn.XLOOKUP(F613,Apuração!A:A,Apuração!B:B))</f>
        <v>0</v>
      </c>
      <c r="BM613" s="55"/>
      <c r="BN613" s="55"/>
      <c r="BO613" s="53">
        <f ca="1">IFERROR(_xlfn.XLOOKUP(F613,Apuração!A:A,Apuração!C:C)/_xlfn.XLOOKUP(F613,Apuração!A:A,Apuração!B:B),0)</f>
        <v>0</v>
      </c>
      <c r="BP613" s="53">
        <f ca="1">IFERROR(_xlfn.XLOOKUP(F613,Apuração!A:A,Apuração!D:D)/_xlfn.XLOOKUP(F613,Apuração!A:A,Apuração!B:B),0)</f>
        <v>0</v>
      </c>
      <c r="BQ613" s="53">
        <f ca="1">IF(BK613&gt;=BO613,0,_xlfn.XLOOKUP(F613,Apuração!A:A,Apuração!B:B)*(BO613 + (1/_xlfn.XLOOKUP(F613,Apuração!A:A,Apuração!B:B)) - BK613))</f>
        <v>0</v>
      </c>
      <c r="BR613" s="85">
        <f t="shared" ca="1" si="935"/>
        <v>0</v>
      </c>
      <c r="BS613" s="53">
        <f ca="1">IFERROR((_xlfn.XLOOKUP(F613,Apuração!A:A,Apuração!C:C)+1)/_xlfn.XLOOKUP(F613,Apuração!A:A,Apuração!B:B),0)</f>
        <v>0.14285714285714285</v>
      </c>
    </row>
    <row r="614" spans="1:71" ht="25.95" hidden="1" customHeight="1" x14ac:dyDescent="0.3">
      <c r="A614" s="41" t="s">
        <v>108</v>
      </c>
      <c r="B614" s="4" t="s">
        <v>123</v>
      </c>
      <c r="C614" s="5" t="s">
        <v>97</v>
      </c>
      <c r="D614" s="5" t="s">
        <v>105</v>
      </c>
      <c r="E614" s="4" t="s">
        <v>61</v>
      </c>
      <c r="F614" s="4" t="str" cm="1">
        <f t="array" ref="F614">_xlfn.IFS(
AG614 &lt;&gt; "", "Jan-Dez/26",
AH614 &lt;&gt; "", "Fev-Dez/26",
AI614 &lt;&gt; "", "Mar-Dez/26", AJ614 &lt;&gt; "", "Abr-Dez/26",
TRUE, "A partir de Junho"
)</f>
        <v>A partir de Junho</v>
      </c>
      <c r="G614" s="4" t="s">
        <v>62</v>
      </c>
      <c r="H614" s="7" t="s">
        <v>38</v>
      </c>
      <c r="I614" s="28" t="s">
        <v>124</v>
      </c>
      <c r="J614" s="8" t="str" cm="1">
        <f t="array" aca="1" ref="J614" ca="1">_xlfn.LET(
  _xlpm.actual_value_month, INDEX(T614:AE614, MATCH(DATE(YEAR(TODAY()), MONTH(TODAY()), 1), $T$1:$AE$1, 0)),
  IF(_xlpm.actual_value_month &lt;&gt; "",_xlpm.actual_value_month &amp; " ações mensais", "")
)</f>
        <v/>
      </c>
      <c r="K614" s="8" t="str" cm="1">
        <f t="array" ref="K614">_xlfn.LET(
    _xlpm.sum_month, SUM(T614:AE614),
    IF(_xlpm.sum_month = 0, "", _xlpm.sum_month &amp; " atividades no ano")
)</f>
        <v/>
      </c>
      <c r="L614" s="4" t="s">
        <v>125</v>
      </c>
      <c r="M614" s="19"/>
      <c r="N614" s="5" t="s">
        <v>42</v>
      </c>
      <c r="O614" s="5"/>
      <c r="P614" s="10"/>
      <c r="Q614" s="10"/>
      <c r="R614" s="11"/>
      <c r="S614" s="11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81"/>
      <c r="AG614" s="71"/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  <c r="AR614" s="71"/>
      <c r="AS614" s="94"/>
      <c r="AT614" s="95"/>
      <c r="AU614" s="97"/>
      <c r="AV614" s="81"/>
      <c r="AW614" s="51">
        <f t="shared" si="931"/>
        <v>0</v>
      </c>
      <c r="AX614" s="51">
        <f t="shared" si="932"/>
        <v>0</v>
      </c>
      <c r="AY614" s="51">
        <f t="shared" si="933"/>
        <v>0</v>
      </c>
      <c r="AZ614" s="51">
        <f t="shared" si="934"/>
        <v>0</v>
      </c>
      <c r="BA614" s="51"/>
      <c r="BB614" s="51"/>
      <c r="BC614" s="51"/>
      <c r="BD614" s="51"/>
      <c r="BE614" s="51"/>
      <c r="BF614" s="51"/>
      <c r="BG614" s="51"/>
      <c r="BH614" s="51"/>
      <c r="BI614" s="65"/>
      <c r="BJ614" s="68"/>
      <c r="BK614" s="58">
        <f>IF((IF(AW614&gt;=115%,115%,AW614) + IF(AX614&gt;=115%,115%,AX614) + IF(AY614&gt;=115%,115%,AY614) + (IF(AZ614&gt;=115%,115%,AZ614) + IF(BA614&gt;=115%,115%,BA614) + IF(BB614&gt;=115%,115%,BB614) + IF(BC614&gt;=115%,115%,BC614) + IF(BD614&gt;=115%,115%,BD614) + IF(BE614&gt;=115%,115%,BE614) + IF(BF614&gt;=115%,115%,BF614) + IF(BG614&gt;=115%,115%,BG614) + IF(BH614&gt;=115%,115%,BH614)))/_xlfn.XLOOKUP(F614,Apuração!A:A,Apuração!B:B)&gt;=1.15,1.15,((IF(AZ614&gt;=115%,115%,AZ614) + IF(AX614&gt;=115%,115%,AX614) + IF(AY614&gt;=115%,115%,AY614) + (IF(AW614&gt;=115%,115%,AW614) + IF(BA614&gt;=115%,115%,BA614) + IF(BB614&gt;=115%,115%,BB614) + IF(BC614&gt;=115%,115%,BC614) + IF(BD614&gt;=115%,115%,BD614) + IF(BE614&gt;=115%,115%,BE614) + IF(BF614&gt;=115%,115%,BF614) + IF(BG614&gt;=115%,115%,BG614) + IF(BH614&gt;=115%,115%,BH614)))/_xlfn.XLOOKUP(F614,Apuração!A:A,Apuração!B:B)))</f>
        <v>0</v>
      </c>
      <c r="BL614" s="58" cm="1">
        <f t="array" aca="1" ref="BL614" ca="1">IF(SUM(IFERROR(IF(INDEX(AW614:INDEX(AW614:BH614, MATCH(2, 1/(AW614:BH614&lt;&gt;""), 1)-1), ROW(INDIRECT("1:" &amp; MATCH(2, 1/(AW614:BH614&lt;&gt;""), 1)-1))) &gt;= 115%, 115%, INDEX(AW614:INDEX(AW614:BH614, MATCH(2, 1/(AW614:BH614&lt;&gt;""), 1)-1), ROW(INDIRECT("1:" &amp; MATCH(2, 1/(AW614:BH614&lt;&gt;""), 1)-1)))), 0))/_xlfn.XLOOKUP(F614,Apuração!A:A,Apuração!B:B)&gt;=1.15,1.15,SUM(IFERROR(IF(INDEX(AW614:INDEX(AW614:BH614, MATCH(2, 1/(AW614:BH614&lt;&gt;""), 1)-1), ROW(INDIRECT("1:" &amp; MATCH(2, 1/(AW614:BH614&lt;&gt;""), 1)-1))) &gt;= 115%, 115%, INDEX(AW614:INDEX(AW614:BH614, MATCH(2, 1/(AW614:BH614&lt;&gt;""), 1)-1), ROW(INDIRECT("1:" &amp; MATCH(2, 1/(AW614:BH614&lt;&gt;""), 1)-1)))), 0))/_xlfn.XLOOKUP(F614,Apuração!A:A,Apuração!B:B))</f>
        <v>0</v>
      </c>
      <c r="BM614" s="55"/>
      <c r="BN614" s="55"/>
      <c r="BO614" s="53">
        <f ca="1">IFERROR(_xlfn.XLOOKUP(F614,Apuração!A:A,Apuração!C:C)/_xlfn.XLOOKUP(F614,Apuração!A:A,Apuração!B:B),0)</f>
        <v>0</v>
      </c>
      <c r="BP614" s="53">
        <f ca="1">IFERROR(_xlfn.XLOOKUP(F614,Apuração!A:A,Apuração!D:D)/_xlfn.XLOOKUP(F614,Apuração!A:A,Apuração!B:B),0)</f>
        <v>0</v>
      </c>
      <c r="BQ614" s="53">
        <f ca="1">IF(BK614&gt;=BO614,0,_xlfn.XLOOKUP(F614,Apuração!A:A,Apuração!B:B)*(BO614 + (1/_xlfn.XLOOKUP(F614,Apuração!A:A,Apuração!B:B)) - BK614))</f>
        <v>0</v>
      </c>
      <c r="BR614" s="85">
        <f t="shared" ca="1" si="935"/>
        <v>0</v>
      </c>
      <c r="BS614" s="53">
        <f ca="1">IFERROR((_xlfn.XLOOKUP(F614,Apuração!A:A,Apuração!C:C)+1)/_xlfn.XLOOKUP(F614,Apuração!A:A,Apuração!B:B),0)</f>
        <v>0.14285714285714285</v>
      </c>
    </row>
    <row r="615" spans="1:71" ht="25.95" hidden="1" customHeight="1" x14ac:dyDescent="0.3">
      <c r="A615" s="41" t="s">
        <v>108</v>
      </c>
      <c r="B615" s="4" t="s">
        <v>123</v>
      </c>
      <c r="C615" s="5" t="s">
        <v>97</v>
      </c>
      <c r="D615" s="5" t="s">
        <v>106</v>
      </c>
      <c r="E615" s="4" t="s">
        <v>61</v>
      </c>
      <c r="F615" s="4" t="str" cm="1">
        <f t="array" ref="F615">_xlfn.IFS(
AG615 &lt;&gt; "", "Jan-Dez/26",
AH615 &lt;&gt; "", "Fev-Dez/26",
AI615 &lt;&gt; "", "Mar-Dez/26", AJ615 &lt;&gt; "", "Abr-Dez/26",
TRUE, "A partir de Junho"
)</f>
        <v>A partir de Junho</v>
      </c>
      <c r="G615" s="4" t="s">
        <v>62</v>
      </c>
      <c r="H615" s="7" t="s">
        <v>38</v>
      </c>
      <c r="I615" s="28" t="s">
        <v>124</v>
      </c>
      <c r="J615" s="8" t="str" cm="1">
        <f t="array" aca="1" ref="J615" ca="1">_xlfn.LET(
  _xlpm.actual_value_month, INDEX(T615:AE615, MATCH(DATE(YEAR(TODAY()), MONTH(TODAY()), 1), $T$1:$AE$1, 0)),
  IF(_xlpm.actual_value_month &lt;&gt; "",_xlpm.actual_value_month &amp; " ações mensais", "")
)</f>
        <v/>
      </c>
      <c r="K615" s="8" t="str" cm="1">
        <f t="array" ref="K615">_xlfn.LET(
    _xlpm.sum_month, SUM(T615:AE615),
    IF(_xlpm.sum_month = 0, "", _xlpm.sum_month &amp; " atividades no ano")
)</f>
        <v/>
      </c>
      <c r="L615" s="4" t="s">
        <v>125</v>
      </c>
      <c r="M615" s="19"/>
      <c r="N615" s="5" t="s">
        <v>42</v>
      </c>
      <c r="O615" s="5"/>
      <c r="P615" s="10"/>
      <c r="Q615" s="10"/>
      <c r="R615" s="11"/>
      <c r="S615" s="11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81"/>
      <c r="AG615" s="71"/>
      <c r="AH615" s="71"/>
      <c r="AI615" s="71"/>
      <c r="AJ615" s="71"/>
      <c r="AK615" s="71"/>
      <c r="AL615" s="71"/>
      <c r="AM615" s="71"/>
      <c r="AN615" s="71"/>
      <c r="AO615" s="71"/>
      <c r="AP615" s="71"/>
      <c r="AQ615" s="71"/>
      <c r="AR615" s="71"/>
      <c r="AS615" s="94"/>
      <c r="AT615" s="95"/>
      <c r="AU615" s="97"/>
      <c r="AV615" s="81"/>
      <c r="AW615" s="51">
        <f t="shared" si="931"/>
        <v>0</v>
      </c>
      <c r="AX615" s="51">
        <f t="shared" si="932"/>
        <v>0</v>
      </c>
      <c r="AY615" s="51">
        <f t="shared" si="933"/>
        <v>0</v>
      </c>
      <c r="AZ615" s="51">
        <f t="shared" si="934"/>
        <v>0</v>
      </c>
      <c r="BA615" s="51"/>
      <c r="BB615" s="51"/>
      <c r="BC615" s="51"/>
      <c r="BD615" s="51"/>
      <c r="BE615" s="51"/>
      <c r="BF615" s="51"/>
      <c r="BG615" s="51"/>
      <c r="BH615" s="51"/>
      <c r="BI615" s="65"/>
      <c r="BJ615" s="68"/>
      <c r="BK615" s="58">
        <f>IF((IF(AW615&gt;=115%,115%,AW615) + IF(AX615&gt;=115%,115%,AX615) + IF(AY615&gt;=115%,115%,AY615) + (IF(AZ615&gt;=115%,115%,AZ615) + IF(BA615&gt;=115%,115%,BA615) + IF(BB615&gt;=115%,115%,BB615) + IF(BC615&gt;=115%,115%,BC615) + IF(BD615&gt;=115%,115%,BD615) + IF(BE615&gt;=115%,115%,BE615) + IF(BF615&gt;=115%,115%,BF615) + IF(BG615&gt;=115%,115%,BG615) + IF(BH615&gt;=115%,115%,BH615)))/_xlfn.XLOOKUP(F615,Apuração!A:A,Apuração!B:B)&gt;=1.15,1.15,((IF(AZ615&gt;=115%,115%,AZ615) + IF(AX615&gt;=115%,115%,AX615) + IF(AY615&gt;=115%,115%,AY615) + (IF(AW615&gt;=115%,115%,AW615) + IF(BA615&gt;=115%,115%,BA615) + IF(BB615&gt;=115%,115%,BB615) + IF(BC615&gt;=115%,115%,BC615) + IF(BD615&gt;=115%,115%,BD615) + IF(BE615&gt;=115%,115%,BE615) + IF(BF615&gt;=115%,115%,BF615) + IF(BG615&gt;=115%,115%,BG615) + IF(BH615&gt;=115%,115%,BH615)))/_xlfn.XLOOKUP(F615,Apuração!A:A,Apuração!B:B)))</f>
        <v>0</v>
      </c>
      <c r="BL615" s="58" cm="1">
        <f t="array" aca="1" ref="BL615" ca="1">IF(SUM(IFERROR(IF(INDEX(AW615:INDEX(AW615:BH615, MATCH(2, 1/(AW615:BH615&lt;&gt;""), 1)-1), ROW(INDIRECT("1:" &amp; MATCH(2, 1/(AW615:BH615&lt;&gt;""), 1)-1))) &gt;= 115%, 115%, INDEX(AW615:INDEX(AW615:BH615, MATCH(2, 1/(AW615:BH615&lt;&gt;""), 1)-1), ROW(INDIRECT("1:" &amp; MATCH(2, 1/(AW615:BH615&lt;&gt;""), 1)-1)))), 0))/_xlfn.XLOOKUP(F615,Apuração!A:A,Apuração!B:B)&gt;=1.15,1.15,SUM(IFERROR(IF(INDEX(AW615:INDEX(AW615:BH615, MATCH(2, 1/(AW615:BH615&lt;&gt;""), 1)-1), ROW(INDIRECT("1:" &amp; MATCH(2, 1/(AW615:BH615&lt;&gt;""), 1)-1))) &gt;= 115%, 115%, INDEX(AW615:INDEX(AW615:BH615, MATCH(2, 1/(AW615:BH615&lt;&gt;""), 1)-1), ROW(INDIRECT("1:" &amp; MATCH(2, 1/(AW615:BH615&lt;&gt;""), 1)-1)))), 0))/_xlfn.XLOOKUP(F615,Apuração!A:A,Apuração!B:B))</f>
        <v>0</v>
      </c>
      <c r="BM615" s="55"/>
      <c r="BN615" s="55"/>
      <c r="BO615" s="53">
        <f ca="1">IFERROR(_xlfn.XLOOKUP(F615,Apuração!A:A,Apuração!C:C)/_xlfn.XLOOKUP(F615,Apuração!A:A,Apuração!B:B),0)</f>
        <v>0</v>
      </c>
      <c r="BP615" s="53">
        <f ca="1">IFERROR(_xlfn.XLOOKUP(F615,Apuração!A:A,Apuração!D:D)/_xlfn.XLOOKUP(F615,Apuração!A:A,Apuração!B:B),0)</f>
        <v>0</v>
      </c>
      <c r="BQ615" s="53">
        <f ca="1">IF(BK615&gt;=BO615,0,_xlfn.XLOOKUP(F615,Apuração!A:A,Apuração!B:B)*(BO615 + (1/_xlfn.XLOOKUP(F615,Apuração!A:A,Apuração!B:B)) - BK615))</f>
        <v>0</v>
      </c>
      <c r="BR615" s="85">
        <f t="shared" ca="1" si="935"/>
        <v>0</v>
      </c>
      <c r="BS615" s="53">
        <f ca="1">IFERROR((_xlfn.XLOOKUP(F615,Apuração!A:A,Apuração!C:C)+1)/_xlfn.XLOOKUP(F615,Apuração!A:A,Apuração!B:B),0)</f>
        <v>0.14285714285714285</v>
      </c>
    </row>
    <row r="616" spans="1:71" ht="25.95" hidden="1" customHeight="1" x14ac:dyDescent="0.3">
      <c r="A616" s="41" t="s">
        <v>108</v>
      </c>
      <c r="B616" s="4" t="s">
        <v>123</v>
      </c>
      <c r="C616" s="5" t="s">
        <v>97</v>
      </c>
      <c r="D616" s="5" t="s">
        <v>107</v>
      </c>
      <c r="E616" s="4" t="s">
        <v>61</v>
      </c>
      <c r="F616" s="4" t="str" cm="1">
        <f t="array" ref="F616">_xlfn.IFS(
AG616 &lt;&gt; "", "Jan-Dez/26",
AH616 &lt;&gt; "", "Fev-Dez/26",
AI616 &lt;&gt; "", "Mar-Dez/26", AJ616 &lt;&gt; "", "Abr-Dez/26",
TRUE, "A partir de Junho"
)</f>
        <v>A partir de Junho</v>
      </c>
      <c r="G616" s="4" t="s">
        <v>62</v>
      </c>
      <c r="H616" s="7" t="s">
        <v>38</v>
      </c>
      <c r="I616" s="28" t="s">
        <v>124</v>
      </c>
      <c r="J616" s="8" t="str" cm="1">
        <f t="array" aca="1" ref="J616" ca="1">_xlfn.LET(
  _xlpm.actual_value_month, INDEX(T616:AE616, MATCH(DATE(YEAR(TODAY()), MONTH(TODAY()), 1), $T$1:$AE$1, 0)),
  IF(_xlpm.actual_value_month &lt;&gt; "",_xlpm.actual_value_month &amp; " ações mensais", "")
)</f>
        <v/>
      </c>
      <c r="K616" s="8" t="str" cm="1">
        <f t="array" ref="K616">_xlfn.LET(
    _xlpm.sum_month, SUM(T616:AE616),
    IF(_xlpm.sum_month = 0, "", _xlpm.sum_month &amp; " atividades no ano")
)</f>
        <v/>
      </c>
      <c r="L616" s="4" t="s">
        <v>125</v>
      </c>
      <c r="M616" s="19"/>
      <c r="N616" s="5" t="s">
        <v>42</v>
      </c>
      <c r="O616" s="5"/>
      <c r="P616" s="10"/>
      <c r="Q616" s="10"/>
      <c r="R616" s="11"/>
      <c r="S616" s="11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81"/>
      <c r="AG616" s="71"/>
      <c r="AH616" s="71"/>
      <c r="AI616" s="71"/>
      <c r="AJ616" s="71"/>
      <c r="AK616" s="71"/>
      <c r="AL616" s="71"/>
      <c r="AM616" s="71"/>
      <c r="AN616" s="71"/>
      <c r="AO616" s="71"/>
      <c r="AP616" s="71"/>
      <c r="AQ616" s="71"/>
      <c r="AR616" s="71"/>
      <c r="AS616" s="94"/>
      <c r="AT616" s="95"/>
      <c r="AU616" s="97"/>
      <c r="AV616" s="81"/>
      <c r="AW616" s="51">
        <f t="shared" si="931"/>
        <v>0</v>
      </c>
      <c r="AX616" s="51">
        <f t="shared" si="932"/>
        <v>0</v>
      </c>
      <c r="AY616" s="51">
        <f t="shared" si="933"/>
        <v>0</v>
      </c>
      <c r="AZ616" s="51">
        <f t="shared" si="934"/>
        <v>0</v>
      </c>
      <c r="BA616" s="51"/>
      <c r="BB616" s="51"/>
      <c r="BC616" s="51"/>
      <c r="BD616" s="51"/>
      <c r="BE616" s="51"/>
      <c r="BF616" s="51"/>
      <c r="BG616" s="51"/>
      <c r="BH616" s="51"/>
      <c r="BI616" s="65"/>
      <c r="BJ616" s="68"/>
      <c r="BK616" s="58">
        <f>IF((IF(AW616&gt;=115%,115%,AW616) + IF(AX616&gt;=115%,115%,AX616) + IF(AY616&gt;=115%,115%,AY616) + (IF(AZ616&gt;=115%,115%,AZ616) + IF(BA616&gt;=115%,115%,BA616) + IF(BB616&gt;=115%,115%,BB616) + IF(BC616&gt;=115%,115%,BC616) + IF(BD616&gt;=115%,115%,BD616) + IF(BE616&gt;=115%,115%,BE616) + IF(BF616&gt;=115%,115%,BF616) + IF(BG616&gt;=115%,115%,BG616) + IF(BH616&gt;=115%,115%,BH616)))/_xlfn.XLOOKUP(F616,Apuração!A:A,Apuração!B:B)&gt;=1.15,1.15,((IF(AZ616&gt;=115%,115%,AZ616) + IF(AX616&gt;=115%,115%,AX616) + IF(AY616&gt;=115%,115%,AY616) + (IF(AW616&gt;=115%,115%,AW616) + IF(BA616&gt;=115%,115%,BA616) + IF(BB616&gt;=115%,115%,BB616) + IF(BC616&gt;=115%,115%,BC616) + IF(BD616&gt;=115%,115%,BD616) + IF(BE616&gt;=115%,115%,BE616) + IF(BF616&gt;=115%,115%,BF616) + IF(BG616&gt;=115%,115%,BG616) + IF(BH616&gt;=115%,115%,BH616)))/_xlfn.XLOOKUP(F616,Apuração!A:A,Apuração!B:B)))</f>
        <v>0</v>
      </c>
      <c r="BL616" s="58" cm="1">
        <f t="array" aca="1" ref="BL616" ca="1">IF(SUM(IFERROR(IF(INDEX(AW616:INDEX(AW616:BH616, MATCH(2, 1/(AW616:BH616&lt;&gt;""), 1)-1), ROW(INDIRECT("1:" &amp; MATCH(2, 1/(AW616:BH616&lt;&gt;""), 1)-1))) &gt;= 115%, 115%, INDEX(AW616:INDEX(AW616:BH616, MATCH(2, 1/(AW616:BH616&lt;&gt;""), 1)-1), ROW(INDIRECT("1:" &amp; MATCH(2, 1/(AW616:BH616&lt;&gt;""), 1)-1)))), 0))/_xlfn.XLOOKUP(F616,Apuração!A:A,Apuração!B:B)&gt;=1.15,1.15,SUM(IFERROR(IF(INDEX(AW616:INDEX(AW616:BH616, MATCH(2, 1/(AW616:BH616&lt;&gt;""), 1)-1), ROW(INDIRECT("1:" &amp; MATCH(2, 1/(AW616:BH616&lt;&gt;""), 1)-1))) &gt;= 115%, 115%, INDEX(AW616:INDEX(AW616:BH616, MATCH(2, 1/(AW616:BH616&lt;&gt;""), 1)-1), ROW(INDIRECT("1:" &amp; MATCH(2, 1/(AW616:BH616&lt;&gt;""), 1)-1)))), 0))/_xlfn.XLOOKUP(F616,Apuração!A:A,Apuração!B:B))</f>
        <v>0</v>
      </c>
      <c r="BM616" s="55"/>
      <c r="BN616" s="55"/>
      <c r="BO616" s="53">
        <f ca="1">IFERROR(_xlfn.XLOOKUP(F616,Apuração!A:A,Apuração!C:C)/_xlfn.XLOOKUP(F616,Apuração!A:A,Apuração!B:B),0)</f>
        <v>0</v>
      </c>
      <c r="BP616" s="53">
        <f ca="1">IFERROR(_xlfn.XLOOKUP(F616,Apuração!A:A,Apuração!D:D)/_xlfn.XLOOKUP(F616,Apuração!A:A,Apuração!B:B),0)</f>
        <v>0</v>
      </c>
      <c r="BQ616" s="53">
        <f ca="1">IF(BK616&gt;=BO616,0,_xlfn.XLOOKUP(F616,Apuração!A:A,Apuração!B:B)*(BO616 + (1/_xlfn.XLOOKUP(F616,Apuração!A:A,Apuração!B:B)) - BK616))</f>
        <v>0</v>
      </c>
      <c r="BR616" s="85">
        <f t="shared" ca="1" si="935"/>
        <v>0</v>
      </c>
      <c r="BS616" s="53">
        <f ca="1">IFERROR((_xlfn.XLOOKUP(F616,Apuração!A:A,Apuração!C:C)+1)/_xlfn.XLOOKUP(F616,Apuração!A:A,Apuração!B:B),0)</f>
        <v>0.14285714285714285</v>
      </c>
    </row>
    <row r="617" spans="1:71" ht="25.95" hidden="1" customHeight="1" x14ac:dyDescent="0.3">
      <c r="A617" s="70" t="s">
        <v>108</v>
      </c>
      <c r="B617" s="4" t="s">
        <v>123</v>
      </c>
      <c r="C617" s="5" t="s">
        <v>97</v>
      </c>
      <c r="D617" s="5" t="s">
        <v>36</v>
      </c>
      <c r="E617" s="4" t="s">
        <v>61</v>
      </c>
      <c r="F617" s="4" t="str" cm="1">
        <f t="array" ref="F617">_xlfn.IFS(
AG617 &lt;&gt; "", "Jan-Dez/26",
AH617 &lt;&gt; "", "Fev-Dez/26",
AI617 &lt;&gt; "", "Mar-Dez/26", AJ617 &lt;&gt; "", "Abr-Dez/26",
TRUE, "A partir de Junho"
)</f>
        <v>A partir de Junho</v>
      </c>
      <c r="G617" s="4" t="s">
        <v>62</v>
      </c>
      <c r="H617" s="7" t="s">
        <v>38</v>
      </c>
      <c r="I617" s="4" t="s">
        <v>121</v>
      </c>
      <c r="J617" s="8" t="str" cm="1">
        <f t="array" aca="1" ref="J617" ca="1">_xlfn.LET(
  _xlpm.actual_value_month, INDEX(T617:AE617, MATCH(DATE(YEAR(TODAY()), MONTH(TODAY()), 1), $T$1:$AE$1, 0)),
  IF(_xlpm.actual_value_month &lt;&gt; "",_xlpm.actual_value_month &amp; " ações mensais", "")
)</f>
        <v/>
      </c>
      <c r="K617" s="8" t="str" cm="1">
        <f t="array" ref="K617">_xlfn.LET(
    _xlpm.sum_month, SUM(T617:AE617),
    IF(_xlpm.sum_month = 0, "", _xlpm.sum_month &amp; " empresas monitoradas no ano")
)</f>
        <v/>
      </c>
      <c r="L617" s="4" t="s">
        <v>126</v>
      </c>
      <c r="M617" s="19"/>
      <c r="N617" s="5" t="s">
        <v>51</v>
      </c>
      <c r="O617" s="5"/>
      <c r="P617" s="10"/>
      <c r="Q617" s="10"/>
      <c r="R617" s="11"/>
      <c r="S617" s="11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81"/>
      <c r="AG617" s="71"/>
      <c r="AH617" s="71"/>
      <c r="AI617" s="71"/>
      <c r="AJ617" s="71"/>
      <c r="AK617" s="71"/>
      <c r="AL617" s="71"/>
      <c r="AM617" s="71"/>
      <c r="AN617" s="71"/>
      <c r="AO617" s="71"/>
      <c r="AP617" s="71"/>
      <c r="AQ617" s="71"/>
      <c r="AR617" s="71"/>
      <c r="AS617" s="94"/>
      <c r="AT617" s="95"/>
      <c r="AU617" s="97"/>
      <c r="AV617" s="81"/>
      <c r="AW617" s="83">
        <f>AG617</f>
        <v>0</v>
      </c>
      <c r="AX617" s="83">
        <f t="shared" ref="AX617:AX628" si="936">AH617</f>
        <v>0</v>
      </c>
      <c r="AY617" s="83">
        <f t="shared" ref="AY617:AY628" si="937">AI617</f>
        <v>0</v>
      </c>
      <c r="AZ617" s="83">
        <f t="shared" ref="AZ617:AZ628" si="938">AJ617</f>
        <v>0</v>
      </c>
      <c r="BA617" s="52"/>
      <c r="BB617" s="52"/>
      <c r="BC617" s="52"/>
      <c r="BD617" s="52"/>
      <c r="BE617" s="52"/>
      <c r="BF617" s="52"/>
      <c r="BG617" s="52"/>
      <c r="BH617" s="52"/>
      <c r="BI617" s="65"/>
      <c r="BJ617" s="68"/>
      <c r="BK617" s="59">
        <f>SUM(AW617:BH617)</f>
        <v>0</v>
      </c>
      <c r="BL617" s="59" cm="1">
        <f t="array" ref="BL617">IFERROR(SUM(AW617:INDEX(AW617:BH617, MATCH(2, 1/(AW617:BH617&lt;&gt;""), 1) - 1))/_xlfn.XLOOKUP(F617,Apuração!A:A,Apuração!B:B),0)</f>
        <v>0</v>
      </c>
      <c r="BM617" s="55"/>
      <c r="BN617" s="55"/>
      <c r="BO617" s="53">
        <f ca="1">IFERROR(_xlfn.XLOOKUP(F617,Apuração!A:A,Apuração!C:C)/_xlfn.XLOOKUP(F617,Apuração!A:A,Apuração!B:B),0)</f>
        <v>0</v>
      </c>
      <c r="BP617" s="53">
        <f ca="1">IFERROR(_xlfn.XLOOKUP(F617,Apuração!A:A,Apuração!D:D)/_xlfn.XLOOKUP(F617,Apuração!A:A,Apuração!B:B),0)</f>
        <v>0</v>
      </c>
      <c r="BQ617" s="53">
        <f ca="1">IF(BK617&gt;=BO617,0,_xlfn.XLOOKUP(F617,Apuração!A:A,Apuração!B:B)*(BO617 + (1/_xlfn.XLOOKUP(F617,Apuração!A:A,Apuração!B:B)) - BK617))</f>
        <v>0</v>
      </c>
      <c r="BR617" s="85">
        <f t="shared" ca="1" si="898"/>
        <v>0</v>
      </c>
      <c r="BS617" s="53">
        <f ca="1">IFERROR((_xlfn.XLOOKUP(F617,Apuração!A:A,Apuração!C:C)+1)/_xlfn.XLOOKUP(F617,Apuração!A:A,Apuração!B:B),0)</f>
        <v>0.14285714285714285</v>
      </c>
    </row>
    <row r="618" spans="1:71" ht="25.95" hidden="1" customHeight="1" x14ac:dyDescent="0.3">
      <c r="A618" s="70" t="s">
        <v>108</v>
      </c>
      <c r="B618" s="4" t="s">
        <v>123</v>
      </c>
      <c r="C618" s="5" t="s">
        <v>97</v>
      </c>
      <c r="D618" s="5" t="s">
        <v>98</v>
      </c>
      <c r="E618" s="4" t="s">
        <v>61</v>
      </c>
      <c r="F618" s="4" t="str" cm="1">
        <f t="array" ref="F618">_xlfn.IFS(
AG618 &lt;&gt; "", "Jan-Dez/26",
AH618 &lt;&gt; "", "Fev-Dez/26",
AI618 &lt;&gt; "", "Mar-Dez/26", AJ618 &lt;&gt; "", "Abr-Dez/26",
TRUE, "A partir de Junho"
)</f>
        <v>A partir de Junho</v>
      </c>
      <c r="G618" s="4" t="s">
        <v>62</v>
      </c>
      <c r="H618" s="7" t="s">
        <v>38</v>
      </c>
      <c r="I618" s="4" t="s">
        <v>121</v>
      </c>
      <c r="J618" s="8" t="str" cm="1">
        <f t="array" aca="1" ref="J618" ca="1">_xlfn.LET(
  _xlpm.actual_value_month, INDEX(T618:AE618, MATCH(DATE(YEAR(TODAY()), MONTH(TODAY()), 1), $T$1:$AE$1, 0)),
  IF(_xlpm.actual_value_month &lt;&gt; "",_xlpm.actual_value_month &amp; " ações mensais", "")
)</f>
        <v/>
      </c>
      <c r="K618" s="8" t="str" cm="1">
        <f t="array" ref="K618">_xlfn.LET(
    _xlpm.sum_month, SUM(T618:AE618),
    IF(_xlpm.sum_month = 0, "", _xlpm.sum_month &amp; " empresas monitoradas no ano")
)</f>
        <v/>
      </c>
      <c r="L618" s="4" t="s">
        <v>126</v>
      </c>
      <c r="M618" s="19"/>
      <c r="N618" s="5" t="s">
        <v>51</v>
      </c>
      <c r="O618" s="5"/>
      <c r="P618" s="10"/>
      <c r="Q618" s="10"/>
      <c r="R618" s="11"/>
      <c r="S618" s="11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81"/>
      <c r="AG618" s="71"/>
      <c r="AH618" s="71"/>
      <c r="AI618" s="71"/>
      <c r="AJ618" s="71"/>
      <c r="AK618" s="71"/>
      <c r="AL618" s="71"/>
      <c r="AM618" s="71"/>
      <c r="AN618" s="71"/>
      <c r="AO618" s="71"/>
      <c r="AP618" s="71"/>
      <c r="AQ618" s="71"/>
      <c r="AR618" s="71"/>
      <c r="AS618" s="94"/>
      <c r="AT618" s="95"/>
      <c r="AU618" s="97"/>
      <c r="AV618" s="81"/>
      <c r="AW618" s="83">
        <f t="shared" ref="AW618:AW627" si="939">AG618</f>
        <v>0</v>
      </c>
      <c r="AX618" s="83">
        <f t="shared" ref="AX618:AX627" si="940">AH618</f>
        <v>0</v>
      </c>
      <c r="AY618" s="83">
        <f t="shared" ref="AY618:AY627" si="941">AI618</f>
        <v>0</v>
      </c>
      <c r="AZ618" s="83">
        <f t="shared" ref="AZ618:AZ627" si="942">AJ618</f>
        <v>0</v>
      </c>
      <c r="BA618" s="52"/>
      <c r="BB618" s="52"/>
      <c r="BC618" s="52"/>
      <c r="BD618" s="52"/>
      <c r="BE618" s="52"/>
      <c r="BF618" s="52"/>
      <c r="BG618" s="52"/>
      <c r="BH618" s="52"/>
      <c r="BI618" s="65"/>
      <c r="BJ618" s="68"/>
      <c r="BK618" s="59">
        <f t="shared" ref="BK618:BK627" si="943">SUM(AW618:BH618)</f>
        <v>0</v>
      </c>
      <c r="BL618" s="59" cm="1">
        <f t="array" ref="BL618">IFERROR(SUM(AW618:INDEX(AW618:BH618, MATCH(2, 1/(AW618:BH618&lt;&gt;""), 1) - 1))/_xlfn.XLOOKUP(F618,Apuração!A:A,Apuração!B:B),0)</f>
        <v>0</v>
      </c>
      <c r="BM618" s="55"/>
      <c r="BN618" s="55"/>
      <c r="BO618" s="53">
        <f ca="1">IFERROR(_xlfn.XLOOKUP(F618,Apuração!A:A,Apuração!C:C)/_xlfn.XLOOKUP(F618,Apuração!A:A,Apuração!B:B),0)</f>
        <v>0</v>
      </c>
      <c r="BP618" s="53">
        <f ca="1">IFERROR(_xlfn.XLOOKUP(F618,Apuração!A:A,Apuração!D:D)/_xlfn.XLOOKUP(F618,Apuração!A:A,Apuração!B:B),0)</f>
        <v>0</v>
      </c>
      <c r="BQ618" s="53">
        <f ca="1">IF(BK618&gt;=BO618,0,_xlfn.XLOOKUP(F618,Apuração!A:A,Apuração!B:B)*(BO618 + (1/_xlfn.XLOOKUP(F618,Apuração!A:A,Apuração!B:B)) - BK618))</f>
        <v>0</v>
      </c>
      <c r="BR618" s="85">
        <f t="shared" ref="BR618:BR627" ca="1" si="944">IF(BQ618=0,0,BQ618*Z618)</f>
        <v>0</v>
      </c>
      <c r="BS618" s="53">
        <f ca="1">IFERROR((_xlfn.XLOOKUP(F618,Apuração!A:A,Apuração!C:C)+1)/_xlfn.XLOOKUP(F618,Apuração!A:A,Apuração!B:B),0)</f>
        <v>0.14285714285714285</v>
      </c>
    </row>
    <row r="619" spans="1:71" ht="25.95" hidden="1" customHeight="1" x14ac:dyDescent="0.3">
      <c r="A619" s="70" t="s">
        <v>108</v>
      </c>
      <c r="B619" s="4" t="s">
        <v>123</v>
      </c>
      <c r="C619" s="5" t="s">
        <v>97</v>
      </c>
      <c r="D619" s="5" t="s">
        <v>99</v>
      </c>
      <c r="E619" s="4" t="s">
        <v>61</v>
      </c>
      <c r="F619" s="4" t="str" cm="1">
        <f t="array" ref="F619">_xlfn.IFS(
AG619 &lt;&gt; "", "Jan-Dez/26",
AH619 &lt;&gt; "", "Fev-Dez/26",
AI619 &lt;&gt; "", "Mar-Dez/26", AJ619 &lt;&gt; "", "Abr-Dez/26",
TRUE, "A partir de Junho"
)</f>
        <v>A partir de Junho</v>
      </c>
      <c r="G619" s="4" t="s">
        <v>62</v>
      </c>
      <c r="H619" s="7" t="s">
        <v>38</v>
      </c>
      <c r="I619" s="4" t="s">
        <v>121</v>
      </c>
      <c r="J619" s="8" t="str" cm="1">
        <f t="array" aca="1" ref="J619" ca="1">_xlfn.LET(
  _xlpm.actual_value_month, INDEX(T619:AE619, MATCH(DATE(YEAR(TODAY()), MONTH(TODAY()), 1), $T$1:$AE$1, 0)),
  IF(_xlpm.actual_value_month &lt;&gt; "",_xlpm.actual_value_month &amp; " ações mensais", "")
)</f>
        <v/>
      </c>
      <c r="K619" s="8" t="str" cm="1">
        <f t="array" ref="K619">_xlfn.LET(
    _xlpm.sum_month, SUM(T619:AE619),
    IF(_xlpm.sum_month = 0, "", _xlpm.sum_month &amp; " empresas monitoradas no ano")
)</f>
        <v/>
      </c>
      <c r="L619" s="4" t="s">
        <v>126</v>
      </c>
      <c r="M619" s="19"/>
      <c r="N619" s="5" t="s">
        <v>51</v>
      </c>
      <c r="O619" s="5"/>
      <c r="P619" s="10"/>
      <c r="Q619" s="10"/>
      <c r="R619" s="11"/>
      <c r="S619" s="11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81"/>
      <c r="AG619" s="71"/>
      <c r="AH619" s="71"/>
      <c r="AI619" s="71"/>
      <c r="AJ619" s="71"/>
      <c r="AK619" s="71"/>
      <c r="AL619" s="71"/>
      <c r="AM619" s="71"/>
      <c r="AN619" s="71"/>
      <c r="AO619" s="71"/>
      <c r="AP619" s="71"/>
      <c r="AQ619" s="71"/>
      <c r="AR619" s="71"/>
      <c r="AS619" s="94"/>
      <c r="AT619" s="95"/>
      <c r="AU619" s="97"/>
      <c r="AV619" s="81"/>
      <c r="AW619" s="83">
        <f t="shared" si="939"/>
        <v>0</v>
      </c>
      <c r="AX619" s="83">
        <f t="shared" si="940"/>
        <v>0</v>
      </c>
      <c r="AY619" s="83">
        <f t="shared" si="941"/>
        <v>0</v>
      </c>
      <c r="AZ619" s="83">
        <f t="shared" si="942"/>
        <v>0</v>
      </c>
      <c r="BA619" s="52"/>
      <c r="BB619" s="52"/>
      <c r="BC619" s="52"/>
      <c r="BD619" s="52"/>
      <c r="BE619" s="52"/>
      <c r="BF619" s="52"/>
      <c r="BG619" s="52"/>
      <c r="BH619" s="52"/>
      <c r="BI619" s="65"/>
      <c r="BJ619" s="68"/>
      <c r="BK619" s="59">
        <f t="shared" si="943"/>
        <v>0</v>
      </c>
      <c r="BL619" s="59" cm="1">
        <f t="array" ref="BL619">IFERROR(SUM(AW619:INDEX(AW619:BH619, MATCH(2, 1/(AW619:BH619&lt;&gt;""), 1) - 1))/_xlfn.XLOOKUP(F619,Apuração!A:A,Apuração!B:B),0)</f>
        <v>0</v>
      </c>
      <c r="BM619" s="55"/>
      <c r="BN619" s="55"/>
      <c r="BO619" s="53">
        <f ca="1">IFERROR(_xlfn.XLOOKUP(F619,Apuração!A:A,Apuração!C:C)/_xlfn.XLOOKUP(F619,Apuração!A:A,Apuração!B:B),0)</f>
        <v>0</v>
      </c>
      <c r="BP619" s="53">
        <f ca="1">IFERROR(_xlfn.XLOOKUP(F619,Apuração!A:A,Apuração!D:D)/_xlfn.XLOOKUP(F619,Apuração!A:A,Apuração!B:B),0)</f>
        <v>0</v>
      </c>
      <c r="BQ619" s="53">
        <f ca="1">IF(BK619&gt;=BO619,0,_xlfn.XLOOKUP(F619,Apuração!A:A,Apuração!B:B)*(BO619 + (1/_xlfn.XLOOKUP(F619,Apuração!A:A,Apuração!B:B)) - BK619))</f>
        <v>0</v>
      </c>
      <c r="BR619" s="85">
        <f t="shared" ca="1" si="944"/>
        <v>0</v>
      </c>
      <c r="BS619" s="53">
        <f ca="1">IFERROR((_xlfn.XLOOKUP(F619,Apuração!A:A,Apuração!C:C)+1)/_xlfn.XLOOKUP(F619,Apuração!A:A,Apuração!B:B),0)</f>
        <v>0.14285714285714285</v>
      </c>
    </row>
    <row r="620" spans="1:71" ht="25.95" hidden="1" customHeight="1" x14ac:dyDescent="0.3">
      <c r="A620" s="70" t="s">
        <v>108</v>
      </c>
      <c r="B620" s="4" t="s">
        <v>123</v>
      </c>
      <c r="C620" s="5" t="s">
        <v>97</v>
      </c>
      <c r="D620" s="5" t="s">
        <v>100</v>
      </c>
      <c r="E620" s="4" t="s">
        <v>61</v>
      </c>
      <c r="F620" s="4" t="str" cm="1">
        <f t="array" ref="F620">_xlfn.IFS(
AG620 &lt;&gt; "", "Jan-Dez/26",
AH620 &lt;&gt; "", "Fev-Dez/26",
AI620 &lt;&gt; "", "Mar-Dez/26", AJ620 &lt;&gt; "", "Abr-Dez/26",
TRUE, "A partir de Junho"
)</f>
        <v>A partir de Junho</v>
      </c>
      <c r="G620" s="4" t="s">
        <v>62</v>
      </c>
      <c r="H620" s="7" t="s">
        <v>38</v>
      </c>
      <c r="I620" s="4" t="s">
        <v>121</v>
      </c>
      <c r="J620" s="8" t="str" cm="1">
        <f t="array" aca="1" ref="J620" ca="1">_xlfn.LET(
  _xlpm.actual_value_month, INDEX(T620:AE620, MATCH(DATE(YEAR(TODAY()), MONTH(TODAY()), 1), $T$1:$AE$1, 0)),
  IF(_xlpm.actual_value_month &lt;&gt; "",_xlpm.actual_value_month &amp; " ações mensais", "")
)</f>
        <v/>
      </c>
      <c r="K620" s="8" t="str" cm="1">
        <f t="array" ref="K620">_xlfn.LET(
    _xlpm.sum_month, SUM(T620:AE620),
    IF(_xlpm.sum_month = 0, "", _xlpm.sum_month &amp; " empresas monitoradas no ano")
)</f>
        <v/>
      </c>
      <c r="L620" s="4" t="s">
        <v>126</v>
      </c>
      <c r="M620" s="19"/>
      <c r="N620" s="5" t="s">
        <v>51</v>
      </c>
      <c r="O620" s="5"/>
      <c r="P620" s="10"/>
      <c r="Q620" s="10"/>
      <c r="R620" s="11"/>
      <c r="S620" s="11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81"/>
      <c r="AG620" s="71"/>
      <c r="AH620" s="71"/>
      <c r="AI620" s="71"/>
      <c r="AJ620" s="71"/>
      <c r="AK620" s="71"/>
      <c r="AL620" s="71"/>
      <c r="AM620" s="71"/>
      <c r="AN620" s="71"/>
      <c r="AO620" s="71"/>
      <c r="AP620" s="71"/>
      <c r="AQ620" s="71"/>
      <c r="AR620" s="71"/>
      <c r="AS620" s="94"/>
      <c r="AT620" s="95"/>
      <c r="AU620" s="97"/>
      <c r="AV620" s="81"/>
      <c r="AW620" s="83">
        <f t="shared" si="939"/>
        <v>0</v>
      </c>
      <c r="AX620" s="83">
        <f t="shared" si="940"/>
        <v>0</v>
      </c>
      <c r="AY620" s="83">
        <f t="shared" si="941"/>
        <v>0</v>
      </c>
      <c r="AZ620" s="83">
        <f t="shared" si="942"/>
        <v>0</v>
      </c>
      <c r="BA620" s="52"/>
      <c r="BB620" s="52"/>
      <c r="BC620" s="52"/>
      <c r="BD620" s="52"/>
      <c r="BE620" s="52"/>
      <c r="BF620" s="52"/>
      <c r="BG620" s="52"/>
      <c r="BH620" s="52"/>
      <c r="BI620" s="65"/>
      <c r="BJ620" s="68"/>
      <c r="BK620" s="59">
        <f t="shared" si="943"/>
        <v>0</v>
      </c>
      <c r="BL620" s="59" cm="1">
        <f t="array" ref="BL620">IFERROR(SUM(AW620:INDEX(AW620:BH620, MATCH(2, 1/(AW620:BH620&lt;&gt;""), 1) - 1))/_xlfn.XLOOKUP(F620,Apuração!A:A,Apuração!B:B),0)</f>
        <v>0</v>
      </c>
      <c r="BM620" s="55"/>
      <c r="BN620" s="55"/>
      <c r="BO620" s="53">
        <f ca="1">IFERROR(_xlfn.XLOOKUP(F620,Apuração!A:A,Apuração!C:C)/_xlfn.XLOOKUP(F620,Apuração!A:A,Apuração!B:B),0)</f>
        <v>0</v>
      </c>
      <c r="BP620" s="53">
        <f ca="1">IFERROR(_xlfn.XLOOKUP(F620,Apuração!A:A,Apuração!D:D)/_xlfn.XLOOKUP(F620,Apuração!A:A,Apuração!B:B),0)</f>
        <v>0</v>
      </c>
      <c r="BQ620" s="53">
        <f ca="1">IF(BK620&gt;=BO620,0,_xlfn.XLOOKUP(F620,Apuração!A:A,Apuração!B:B)*(BO620 + (1/_xlfn.XLOOKUP(F620,Apuração!A:A,Apuração!B:B)) - BK620))</f>
        <v>0</v>
      </c>
      <c r="BR620" s="85">
        <f t="shared" ca="1" si="944"/>
        <v>0</v>
      </c>
      <c r="BS620" s="53">
        <f ca="1">IFERROR((_xlfn.XLOOKUP(F620,Apuração!A:A,Apuração!C:C)+1)/_xlfn.XLOOKUP(F620,Apuração!A:A,Apuração!B:B),0)</f>
        <v>0.14285714285714285</v>
      </c>
    </row>
    <row r="621" spans="1:71" ht="25.95" hidden="1" customHeight="1" x14ac:dyDescent="0.3">
      <c r="A621" s="70" t="s">
        <v>108</v>
      </c>
      <c r="B621" s="4" t="s">
        <v>123</v>
      </c>
      <c r="C621" s="5" t="s">
        <v>97</v>
      </c>
      <c r="D621" s="5" t="s">
        <v>101</v>
      </c>
      <c r="E621" s="4" t="s">
        <v>61</v>
      </c>
      <c r="F621" s="4" t="str" cm="1">
        <f t="array" ref="F621">_xlfn.IFS(
AG621 &lt;&gt; "", "Jan-Dez/26",
AH621 &lt;&gt; "", "Fev-Dez/26",
AI621 &lt;&gt; "", "Mar-Dez/26", AJ621 &lt;&gt; "", "Abr-Dez/26",
TRUE, "A partir de Junho"
)</f>
        <v>A partir de Junho</v>
      </c>
      <c r="G621" s="4" t="s">
        <v>62</v>
      </c>
      <c r="H621" s="7" t="s">
        <v>38</v>
      </c>
      <c r="I621" s="4" t="s">
        <v>121</v>
      </c>
      <c r="J621" s="8" t="str" cm="1">
        <f t="array" aca="1" ref="J621" ca="1">_xlfn.LET(
  _xlpm.actual_value_month, INDEX(T621:AE621, MATCH(DATE(YEAR(TODAY()), MONTH(TODAY()), 1), $T$1:$AE$1, 0)),
  IF(_xlpm.actual_value_month &lt;&gt; "",_xlpm.actual_value_month &amp; " ações mensais", "")
)</f>
        <v/>
      </c>
      <c r="K621" s="8" t="str" cm="1">
        <f t="array" ref="K621">_xlfn.LET(
    _xlpm.sum_month, SUM(T621:AE621),
    IF(_xlpm.sum_month = 0, "", _xlpm.sum_month &amp; " empresas monitoradas no ano")
)</f>
        <v/>
      </c>
      <c r="L621" s="4" t="s">
        <v>126</v>
      </c>
      <c r="M621" s="19"/>
      <c r="N621" s="5" t="s">
        <v>51</v>
      </c>
      <c r="O621" s="5"/>
      <c r="P621" s="10"/>
      <c r="Q621" s="10"/>
      <c r="R621" s="11"/>
      <c r="S621" s="11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81"/>
      <c r="AG621" s="71"/>
      <c r="AH621" s="71"/>
      <c r="AI621" s="71"/>
      <c r="AJ621" s="71"/>
      <c r="AK621" s="71"/>
      <c r="AL621" s="71"/>
      <c r="AM621" s="71"/>
      <c r="AN621" s="71"/>
      <c r="AO621" s="71"/>
      <c r="AP621" s="71"/>
      <c r="AQ621" s="71"/>
      <c r="AR621" s="71"/>
      <c r="AS621" s="94"/>
      <c r="AT621" s="95"/>
      <c r="AU621" s="97"/>
      <c r="AV621" s="81"/>
      <c r="AW621" s="83">
        <f t="shared" si="939"/>
        <v>0</v>
      </c>
      <c r="AX621" s="83">
        <f t="shared" si="940"/>
        <v>0</v>
      </c>
      <c r="AY621" s="83">
        <f t="shared" si="941"/>
        <v>0</v>
      </c>
      <c r="AZ621" s="83">
        <f t="shared" si="942"/>
        <v>0</v>
      </c>
      <c r="BA621" s="52"/>
      <c r="BB621" s="52"/>
      <c r="BC621" s="52"/>
      <c r="BD621" s="52"/>
      <c r="BE621" s="52"/>
      <c r="BF621" s="52"/>
      <c r="BG621" s="52"/>
      <c r="BH621" s="52"/>
      <c r="BI621" s="65"/>
      <c r="BJ621" s="68"/>
      <c r="BK621" s="59">
        <f t="shared" si="943"/>
        <v>0</v>
      </c>
      <c r="BL621" s="59" cm="1">
        <f t="array" ref="BL621">IFERROR(SUM(AW621:INDEX(AW621:BH621, MATCH(2, 1/(AW621:BH621&lt;&gt;""), 1) - 1))/_xlfn.XLOOKUP(F621,Apuração!A:A,Apuração!B:B),0)</f>
        <v>0</v>
      </c>
      <c r="BM621" s="55"/>
      <c r="BN621" s="55"/>
      <c r="BO621" s="53">
        <f ca="1">IFERROR(_xlfn.XLOOKUP(F621,Apuração!A:A,Apuração!C:C)/_xlfn.XLOOKUP(F621,Apuração!A:A,Apuração!B:B),0)</f>
        <v>0</v>
      </c>
      <c r="BP621" s="53">
        <f ca="1">IFERROR(_xlfn.XLOOKUP(F621,Apuração!A:A,Apuração!D:D)/_xlfn.XLOOKUP(F621,Apuração!A:A,Apuração!B:B),0)</f>
        <v>0</v>
      </c>
      <c r="BQ621" s="53">
        <f ca="1">IF(BK621&gt;=BO621,0,_xlfn.XLOOKUP(F621,Apuração!A:A,Apuração!B:B)*(BO621 + (1/_xlfn.XLOOKUP(F621,Apuração!A:A,Apuração!B:B)) - BK621))</f>
        <v>0</v>
      </c>
      <c r="BR621" s="85">
        <f t="shared" ca="1" si="944"/>
        <v>0</v>
      </c>
      <c r="BS621" s="53">
        <f ca="1">IFERROR((_xlfn.XLOOKUP(F621,Apuração!A:A,Apuração!C:C)+1)/_xlfn.XLOOKUP(F621,Apuração!A:A,Apuração!B:B),0)</f>
        <v>0.14285714285714285</v>
      </c>
    </row>
    <row r="622" spans="1:71" ht="25.95" hidden="1" customHeight="1" x14ac:dyDescent="0.3">
      <c r="A622" s="70" t="s">
        <v>108</v>
      </c>
      <c r="B622" s="4" t="s">
        <v>123</v>
      </c>
      <c r="C622" s="5" t="s">
        <v>97</v>
      </c>
      <c r="D622" s="5" t="s">
        <v>102</v>
      </c>
      <c r="E622" s="4" t="s">
        <v>61</v>
      </c>
      <c r="F622" s="4" t="str" cm="1">
        <f t="array" ref="F622">_xlfn.IFS(
AG622 &lt;&gt; "", "Jan-Dez/26",
AH622 &lt;&gt; "", "Fev-Dez/26",
AI622 &lt;&gt; "", "Mar-Dez/26", AJ622 &lt;&gt; "", "Abr-Dez/26",
TRUE, "A partir de Junho"
)</f>
        <v>A partir de Junho</v>
      </c>
      <c r="G622" s="4" t="s">
        <v>62</v>
      </c>
      <c r="H622" s="7" t="s">
        <v>38</v>
      </c>
      <c r="I622" s="4" t="s">
        <v>121</v>
      </c>
      <c r="J622" s="8" t="str" cm="1">
        <f t="array" aca="1" ref="J622" ca="1">_xlfn.LET(
  _xlpm.actual_value_month, INDEX(T622:AE622, MATCH(DATE(YEAR(TODAY()), MONTH(TODAY()), 1), $T$1:$AE$1, 0)),
  IF(_xlpm.actual_value_month &lt;&gt; "",_xlpm.actual_value_month &amp; " ações mensais", "")
)</f>
        <v/>
      </c>
      <c r="K622" s="8" t="str" cm="1">
        <f t="array" ref="K622">_xlfn.LET(
    _xlpm.sum_month, SUM(T622:AE622),
    IF(_xlpm.sum_month = 0, "", _xlpm.sum_month &amp; " empresas monitoradas no ano")
)</f>
        <v/>
      </c>
      <c r="L622" s="4" t="s">
        <v>126</v>
      </c>
      <c r="M622" s="19"/>
      <c r="N622" s="5" t="s">
        <v>51</v>
      </c>
      <c r="O622" s="5"/>
      <c r="P622" s="10"/>
      <c r="Q622" s="10"/>
      <c r="R622" s="11"/>
      <c r="S622" s="11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81"/>
      <c r="AG622" s="71"/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  <c r="AR622" s="71"/>
      <c r="AS622" s="94"/>
      <c r="AT622" s="95"/>
      <c r="AU622" s="97"/>
      <c r="AV622" s="81"/>
      <c r="AW622" s="83">
        <f t="shared" si="939"/>
        <v>0</v>
      </c>
      <c r="AX622" s="83">
        <f t="shared" si="940"/>
        <v>0</v>
      </c>
      <c r="AY622" s="83">
        <f t="shared" si="941"/>
        <v>0</v>
      </c>
      <c r="AZ622" s="83">
        <f t="shared" si="942"/>
        <v>0</v>
      </c>
      <c r="BA622" s="52"/>
      <c r="BB622" s="52"/>
      <c r="BC622" s="52"/>
      <c r="BD622" s="52"/>
      <c r="BE622" s="52"/>
      <c r="BF622" s="52"/>
      <c r="BG622" s="52"/>
      <c r="BH622" s="52"/>
      <c r="BI622" s="65"/>
      <c r="BJ622" s="68"/>
      <c r="BK622" s="59">
        <f t="shared" si="943"/>
        <v>0</v>
      </c>
      <c r="BL622" s="59" cm="1">
        <f t="array" ref="BL622">IFERROR(SUM(AW622:INDEX(AW622:BH622, MATCH(2, 1/(AW622:BH622&lt;&gt;""), 1) - 1))/_xlfn.XLOOKUP(F622,Apuração!A:A,Apuração!B:B),0)</f>
        <v>0</v>
      </c>
      <c r="BM622" s="55"/>
      <c r="BN622" s="55"/>
      <c r="BO622" s="53">
        <f ca="1">IFERROR(_xlfn.XLOOKUP(F622,Apuração!A:A,Apuração!C:C)/_xlfn.XLOOKUP(F622,Apuração!A:A,Apuração!B:B),0)</f>
        <v>0</v>
      </c>
      <c r="BP622" s="53">
        <f ca="1">IFERROR(_xlfn.XLOOKUP(F622,Apuração!A:A,Apuração!D:D)/_xlfn.XLOOKUP(F622,Apuração!A:A,Apuração!B:B),0)</f>
        <v>0</v>
      </c>
      <c r="BQ622" s="53">
        <f ca="1">IF(BK622&gt;=BO622,0,_xlfn.XLOOKUP(F622,Apuração!A:A,Apuração!B:B)*(BO622 + (1/_xlfn.XLOOKUP(F622,Apuração!A:A,Apuração!B:B)) - BK622))</f>
        <v>0</v>
      </c>
      <c r="BR622" s="85">
        <f t="shared" ca="1" si="944"/>
        <v>0</v>
      </c>
      <c r="BS622" s="53">
        <f ca="1">IFERROR((_xlfn.XLOOKUP(F622,Apuração!A:A,Apuração!C:C)+1)/_xlfn.XLOOKUP(F622,Apuração!A:A,Apuração!B:B),0)</f>
        <v>0.14285714285714285</v>
      </c>
    </row>
    <row r="623" spans="1:71" ht="25.95" hidden="1" customHeight="1" x14ac:dyDescent="0.3">
      <c r="A623" s="70" t="s">
        <v>108</v>
      </c>
      <c r="B623" s="4" t="s">
        <v>123</v>
      </c>
      <c r="C623" s="5" t="s">
        <v>97</v>
      </c>
      <c r="D623" s="5" t="s">
        <v>103</v>
      </c>
      <c r="E623" s="4" t="s">
        <v>61</v>
      </c>
      <c r="F623" s="4" t="str" cm="1">
        <f t="array" ref="F623">_xlfn.IFS(
AG623 &lt;&gt; "", "Jan-Dez/26",
AH623 &lt;&gt; "", "Fev-Dez/26",
AI623 &lt;&gt; "", "Mar-Dez/26", AJ623 &lt;&gt; "", "Abr-Dez/26",
TRUE, "A partir de Junho"
)</f>
        <v>A partir de Junho</v>
      </c>
      <c r="G623" s="4" t="s">
        <v>62</v>
      </c>
      <c r="H623" s="7" t="s">
        <v>38</v>
      </c>
      <c r="I623" s="4" t="s">
        <v>121</v>
      </c>
      <c r="J623" s="8" t="str" cm="1">
        <f t="array" aca="1" ref="J623" ca="1">_xlfn.LET(
  _xlpm.actual_value_month, INDEX(T623:AE623, MATCH(DATE(YEAR(TODAY()), MONTH(TODAY()), 1), $T$1:$AE$1, 0)),
  IF(_xlpm.actual_value_month &lt;&gt; "",_xlpm.actual_value_month &amp; " ações mensais", "")
)</f>
        <v/>
      </c>
      <c r="K623" s="8" t="str" cm="1">
        <f t="array" ref="K623">_xlfn.LET(
    _xlpm.sum_month, SUM(T623:AE623),
    IF(_xlpm.sum_month = 0, "", _xlpm.sum_month &amp; " empresas monitoradas no ano")
)</f>
        <v/>
      </c>
      <c r="L623" s="4" t="s">
        <v>126</v>
      </c>
      <c r="M623" s="19"/>
      <c r="N623" s="5" t="s">
        <v>51</v>
      </c>
      <c r="O623" s="5"/>
      <c r="P623" s="10"/>
      <c r="Q623" s="10"/>
      <c r="R623" s="11"/>
      <c r="S623" s="11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81"/>
      <c r="AG623" s="71"/>
      <c r="AH623" s="71"/>
      <c r="AI623" s="71"/>
      <c r="AJ623" s="71"/>
      <c r="AK623" s="71"/>
      <c r="AL623" s="71"/>
      <c r="AM623" s="71"/>
      <c r="AN623" s="71"/>
      <c r="AO623" s="71"/>
      <c r="AP623" s="71"/>
      <c r="AQ623" s="71"/>
      <c r="AR623" s="71"/>
      <c r="AS623" s="94"/>
      <c r="AT623" s="95"/>
      <c r="AU623" s="97"/>
      <c r="AV623" s="81"/>
      <c r="AW623" s="83">
        <f t="shared" si="939"/>
        <v>0</v>
      </c>
      <c r="AX623" s="83">
        <f t="shared" si="940"/>
        <v>0</v>
      </c>
      <c r="AY623" s="83">
        <f t="shared" si="941"/>
        <v>0</v>
      </c>
      <c r="AZ623" s="83">
        <f t="shared" si="942"/>
        <v>0</v>
      </c>
      <c r="BA623" s="52"/>
      <c r="BB623" s="52"/>
      <c r="BC623" s="52"/>
      <c r="BD623" s="52"/>
      <c r="BE623" s="52"/>
      <c r="BF623" s="52"/>
      <c r="BG623" s="52"/>
      <c r="BH623" s="52"/>
      <c r="BI623" s="65"/>
      <c r="BJ623" s="68"/>
      <c r="BK623" s="59">
        <f t="shared" si="943"/>
        <v>0</v>
      </c>
      <c r="BL623" s="59" cm="1">
        <f t="array" ref="BL623">IFERROR(SUM(AW623:INDEX(AW623:BH623, MATCH(2, 1/(AW623:BH623&lt;&gt;""), 1) - 1))/_xlfn.XLOOKUP(F623,Apuração!A:A,Apuração!B:B),0)</f>
        <v>0</v>
      </c>
      <c r="BM623" s="55"/>
      <c r="BN623" s="55"/>
      <c r="BO623" s="53">
        <f ca="1">IFERROR(_xlfn.XLOOKUP(F623,Apuração!A:A,Apuração!C:C)/_xlfn.XLOOKUP(F623,Apuração!A:A,Apuração!B:B),0)</f>
        <v>0</v>
      </c>
      <c r="BP623" s="53">
        <f ca="1">IFERROR(_xlfn.XLOOKUP(F623,Apuração!A:A,Apuração!D:D)/_xlfn.XLOOKUP(F623,Apuração!A:A,Apuração!B:B),0)</f>
        <v>0</v>
      </c>
      <c r="BQ623" s="53">
        <f ca="1">IF(BK623&gt;=BO623,0,_xlfn.XLOOKUP(F623,Apuração!A:A,Apuração!B:B)*(BO623 + (1/_xlfn.XLOOKUP(F623,Apuração!A:A,Apuração!B:B)) - BK623))</f>
        <v>0</v>
      </c>
      <c r="BR623" s="85">
        <f t="shared" ca="1" si="944"/>
        <v>0</v>
      </c>
      <c r="BS623" s="53">
        <f ca="1">IFERROR((_xlfn.XLOOKUP(F623,Apuração!A:A,Apuração!C:C)+1)/_xlfn.XLOOKUP(F623,Apuração!A:A,Apuração!B:B),0)</f>
        <v>0.14285714285714285</v>
      </c>
    </row>
    <row r="624" spans="1:71" ht="25.95" hidden="1" customHeight="1" x14ac:dyDescent="0.3">
      <c r="A624" s="70" t="s">
        <v>108</v>
      </c>
      <c r="B624" s="4" t="s">
        <v>123</v>
      </c>
      <c r="C624" s="5" t="s">
        <v>97</v>
      </c>
      <c r="D624" s="5" t="s">
        <v>104</v>
      </c>
      <c r="E624" s="4" t="s">
        <v>61</v>
      </c>
      <c r="F624" s="4" t="str" cm="1">
        <f t="array" ref="F624">_xlfn.IFS(
AG624 &lt;&gt; "", "Jan-Dez/26",
AH624 &lt;&gt; "", "Fev-Dez/26",
AI624 &lt;&gt; "", "Mar-Dez/26", AJ624 &lt;&gt; "", "Abr-Dez/26",
TRUE, "A partir de Junho"
)</f>
        <v>A partir de Junho</v>
      </c>
      <c r="G624" s="4" t="s">
        <v>62</v>
      </c>
      <c r="H624" s="7" t="s">
        <v>38</v>
      </c>
      <c r="I624" s="4" t="s">
        <v>121</v>
      </c>
      <c r="J624" s="8" t="str" cm="1">
        <f t="array" aca="1" ref="J624" ca="1">_xlfn.LET(
  _xlpm.actual_value_month, INDEX(T624:AE624, MATCH(DATE(YEAR(TODAY()), MONTH(TODAY()), 1), $T$1:$AE$1, 0)),
  IF(_xlpm.actual_value_month &lt;&gt; "",_xlpm.actual_value_month &amp; " ações mensais", "")
)</f>
        <v/>
      </c>
      <c r="K624" s="8" t="str" cm="1">
        <f t="array" ref="K624">_xlfn.LET(
    _xlpm.sum_month, SUM(T624:AE624),
    IF(_xlpm.sum_month = 0, "", _xlpm.sum_month &amp; " empresas monitoradas no ano")
)</f>
        <v/>
      </c>
      <c r="L624" s="4" t="s">
        <v>126</v>
      </c>
      <c r="M624" s="19"/>
      <c r="N624" s="5" t="s">
        <v>51</v>
      </c>
      <c r="O624" s="5"/>
      <c r="P624" s="10"/>
      <c r="Q624" s="10"/>
      <c r="R624" s="11"/>
      <c r="S624" s="11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81"/>
      <c r="AG624" s="71"/>
      <c r="AH624" s="71"/>
      <c r="AI624" s="71"/>
      <c r="AJ624" s="71"/>
      <c r="AK624" s="71"/>
      <c r="AL624" s="71"/>
      <c r="AM624" s="71"/>
      <c r="AN624" s="71"/>
      <c r="AO624" s="71"/>
      <c r="AP624" s="71"/>
      <c r="AQ624" s="71"/>
      <c r="AR624" s="71"/>
      <c r="AS624" s="94"/>
      <c r="AT624" s="95"/>
      <c r="AU624" s="97"/>
      <c r="AV624" s="81"/>
      <c r="AW624" s="83">
        <f t="shared" si="939"/>
        <v>0</v>
      </c>
      <c r="AX624" s="83">
        <f t="shared" si="940"/>
        <v>0</v>
      </c>
      <c r="AY624" s="83">
        <f t="shared" si="941"/>
        <v>0</v>
      </c>
      <c r="AZ624" s="83">
        <f t="shared" si="942"/>
        <v>0</v>
      </c>
      <c r="BA624" s="52"/>
      <c r="BB624" s="52"/>
      <c r="BC624" s="52"/>
      <c r="BD624" s="52"/>
      <c r="BE624" s="52"/>
      <c r="BF624" s="52"/>
      <c r="BG624" s="52"/>
      <c r="BH624" s="52"/>
      <c r="BI624" s="65"/>
      <c r="BJ624" s="68"/>
      <c r="BK624" s="59">
        <f t="shared" si="943"/>
        <v>0</v>
      </c>
      <c r="BL624" s="59" cm="1">
        <f t="array" ref="BL624">IFERROR(SUM(AW624:INDEX(AW624:BH624, MATCH(2, 1/(AW624:BH624&lt;&gt;""), 1) - 1))/_xlfn.XLOOKUP(F624,Apuração!A:A,Apuração!B:B),0)</f>
        <v>0</v>
      </c>
      <c r="BM624" s="55"/>
      <c r="BN624" s="55"/>
      <c r="BO624" s="53">
        <f ca="1">IFERROR(_xlfn.XLOOKUP(F624,Apuração!A:A,Apuração!C:C)/_xlfn.XLOOKUP(F624,Apuração!A:A,Apuração!B:B),0)</f>
        <v>0</v>
      </c>
      <c r="BP624" s="53">
        <f ca="1">IFERROR(_xlfn.XLOOKUP(F624,Apuração!A:A,Apuração!D:D)/_xlfn.XLOOKUP(F624,Apuração!A:A,Apuração!B:B),0)</f>
        <v>0</v>
      </c>
      <c r="BQ624" s="53">
        <f ca="1">IF(BK624&gt;=BO624,0,_xlfn.XLOOKUP(F624,Apuração!A:A,Apuração!B:B)*(BO624 + (1/_xlfn.XLOOKUP(F624,Apuração!A:A,Apuração!B:B)) - BK624))</f>
        <v>0</v>
      </c>
      <c r="BR624" s="85">
        <f t="shared" ca="1" si="944"/>
        <v>0</v>
      </c>
      <c r="BS624" s="53">
        <f ca="1">IFERROR((_xlfn.XLOOKUP(F624,Apuração!A:A,Apuração!C:C)+1)/_xlfn.XLOOKUP(F624,Apuração!A:A,Apuração!B:B),0)</f>
        <v>0.14285714285714285</v>
      </c>
    </row>
    <row r="625" spans="1:71" ht="25.95" hidden="1" customHeight="1" x14ac:dyDescent="0.3">
      <c r="A625" s="70" t="s">
        <v>108</v>
      </c>
      <c r="B625" s="4" t="s">
        <v>123</v>
      </c>
      <c r="C625" s="5" t="s">
        <v>97</v>
      </c>
      <c r="D625" s="5" t="s">
        <v>105</v>
      </c>
      <c r="E625" s="4" t="s">
        <v>61</v>
      </c>
      <c r="F625" s="4" t="str" cm="1">
        <f t="array" ref="F625">_xlfn.IFS(
AG625 &lt;&gt; "", "Jan-Dez/26",
AH625 &lt;&gt; "", "Fev-Dez/26",
AI625 &lt;&gt; "", "Mar-Dez/26", AJ625 &lt;&gt; "", "Abr-Dez/26",
TRUE, "A partir de Junho"
)</f>
        <v>A partir de Junho</v>
      </c>
      <c r="G625" s="4" t="s">
        <v>62</v>
      </c>
      <c r="H625" s="7" t="s">
        <v>38</v>
      </c>
      <c r="I625" s="4" t="s">
        <v>121</v>
      </c>
      <c r="J625" s="8" t="str" cm="1">
        <f t="array" aca="1" ref="J625" ca="1">_xlfn.LET(
  _xlpm.actual_value_month, INDEX(T625:AE625, MATCH(DATE(YEAR(TODAY()), MONTH(TODAY()), 1), $T$1:$AE$1, 0)),
  IF(_xlpm.actual_value_month &lt;&gt; "",_xlpm.actual_value_month &amp; " ações mensais", "")
)</f>
        <v/>
      </c>
      <c r="K625" s="8" t="str" cm="1">
        <f t="array" ref="K625">_xlfn.LET(
    _xlpm.sum_month, SUM(T625:AE625),
    IF(_xlpm.sum_month = 0, "", _xlpm.sum_month &amp; " empresas monitoradas no ano")
)</f>
        <v/>
      </c>
      <c r="L625" s="4" t="s">
        <v>126</v>
      </c>
      <c r="M625" s="19"/>
      <c r="N625" s="5" t="s">
        <v>51</v>
      </c>
      <c r="O625" s="5"/>
      <c r="P625" s="10"/>
      <c r="Q625" s="10"/>
      <c r="R625" s="11"/>
      <c r="S625" s="11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81"/>
      <c r="AG625" s="71"/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  <c r="AR625" s="71"/>
      <c r="AS625" s="94"/>
      <c r="AT625" s="95"/>
      <c r="AU625" s="97"/>
      <c r="AV625" s="81"/>
      <c r="AW625" s="83">
        <f t="shared" si="939"/>
        <v>0</v>
      </c>
      <c r="AX625" s="83">
        <f t="shared" si="940"/>
        <v>0</v>
      </c>
      <c r="AY625" s="83">
        <f t="shared" si="941"/>
        <v>0</v>
      </c>
      <c r="AZ625" s="83">
        <f t="shared" si="942"/>
        <v>0</v>
      </c>
      <c r="BA625" s="52"/>
      <c r="BB625" s="52"/>
      <c r="BC625" s="52"/>
      <c r="BD625" s="52"/>
      <c r="BE625" s="52"/>
      <c r="BF625" s="52"/>
      <c r="BG625" s="52"/>
      <c r="BH625" s="52"/>
      <c r="BI625" s="65"/>
      <c r="BJ625" s="68"/>
      <c r="BK625" s="59">
        <f t="shared" si="943"/>
        <v>0</v>
      </c>
      <c r="BL625" s="59" cm="1">
        <f t="array" ref="BL625">IFERROR(SUM(AW625:INDEX(AW625:BH625, MATCH(2, 1/(AW625:BH625&lt;&gt;""), 1) - 1))/_xlfn.XLOOKUP(F625,Apuração!A:A,Apuração!B:B),0)</f>
        <v>0</v>
      </c>
      <c r="BM625" s="55"/>
      <c r="BN625" s="55"/>
      <c r="BO625" s="53">
        <f ca="1">IFERROR(_xlfn.XLOOKUP(F625,Apuração!A:A,Apuração!C:C)/_xlfn.XLOOKUP(F625,Apuração!A:A,Apuração!B:B),0)</f>
        <v>0</v>
      </c>
      <c r="BP625" s="53">
        <f ca="1">IFERROR(_xlfn.XLOOKUP(F625,Apuração!A:A,Apuração!D:D)/_xlfn.XLOOKUP(F625,Apuração!A:A,Apuração!B:B),0)</f>
        <v>0</v>
      </c>
      <c r="BQ625" s="53">
        <f ca="1">IF(BK625&gt;=BO625,0,_xlfn.XLOOKUP(F625,Apuração!A:A,Apuração!B:B)*(BO625 + (1/_xlfn.XLOOKUP(F625,Apuração!A:A,Apuração!B:B)) - BK625))</f>
        <v>0</v>
      </c>
      <c r="BR625" s="85">
        <f t="shared" ca="1" si="944"/>
        <v>0</v>
      </c>
      <c r="BS625" s="53">
        <f ca="1">IFERROR((_xlfn.XLOOKUP(F625,Apuração!A:A,Apuração!C:C)+1)/_xlfn.XLOOKUP(F625,Apuração!A:A,Apuração!B:B),0)</f>
        <v>0.14285714285714285</v>
      </c>
    </row>
    <row r="626" spans="1:71" ht="25.95" hidden="1" customHeight="1" x14ac:dyDescent="0.3">
      <c r="A626" s="70" t="s">
        <v>108</v>
      </c>
      <c r="B626" s="4" t="s">
        <v>123</v>
      </c>
      <c r="C626" s="5" t="s">
        <v>97</v>
      </c>
      <c r="D626" s="5" t="s">
        <v>106</v>
      </c>
      <c r="E626" s="4" t="s">
        <v>61</v>
      </c>
      <c r="F626" s="4" t="str" cm="1">
        <f t="array" ref="F626">_xlfn.IFS(
AG626 &lt;&gt; "", "Jan-Dez/26",
AH626 &lt;&gt; "", "Fev-Dez/26",
AI626 &lt;&gt; "", "Mar-Dez/26", AJ626 &lt;&gt; "", "Abr-Dez/26",
TRUE, "A partir de Junho"
)</f>
        <v>A partir de Junho</v>
      </c>
      <c r="G626" s="4" t="s">
        <v>62</v>
      </c>
      <c r="H626" s="7" t="s">
        <v>38</v>
      </c>
      <c r="I626" s="4" t="s">
        <v>121</v>
      </c>
      <c r="J626" s="8" t="str" cm="1">
        <f t="array" aca="1" ref="J626" ca="1">_xlfn.LET(
  _xlpm.actual_value_month, INDEX(T626:AE626, MATCH(DATE(YEAR(TODAY()), MONTH(TODAY()), 1), $T$1:$AE$1, 0)),
  IF(_xlpm.actual_value_month &lt;&gt; "",_xlpm.actual_value_month &amp; " ações mensais", "")
)</f>
        <v/>
      </c>
      <c r="K626" s="8" t="str" cm="1">
        <f t="array" ref="K626">_xlfn.LET(
    _xlpm.sum_month, SUM(T626:AE626),
    IF(_xlpm.sum_month = 0, "", _xlpm.sum_month &amp; " empresas monitoradas no ano")
)</f>
        <v/>
      </c>
      <c r="L626" s="4" t="s">
        <v>126</v>
      </c>
      <c r="M626" s="19"/>
      <c r="N626" s="5" t="s">
        <v>51</v>
      </c>
      <c r="O626" s="5"/>
      <c r="P626" s="10"/>
      <c r="Q626" s="10"/>
      <c r="R626" s="11"/>
      <c r="S626" s="11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81"/>
      <c r="AG626" s="71"/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  <c r="AR626" s="71"/>
      <c r="AS626" s="94"/>
      <c r="AT626" s="95"/>
      <c r="AU626" s="97"/>
      <c r="AV626" s="81"/>
      <c r="AW626" s="83">
        <f t="shared" si="939"/>
        <v>0</v>
      </c>
      <c r="AX626" s="83">
        <f t="shared" si="940"/>
        <v>0</v>
      </c>
      <c r="AY626" s="83">
        <f t="shared" si="941"/>
        <v>0</v>
      </c>
      <c r="AZ626" s="83">
        <f t="shared" si="942"/>
        <v>0</v>
      </c>
      <c r="BA626" s="52"/>
      <c r="BB626" s="52"/>
      <c r="BC626" s="52"/>
      <c r="BD626" s="52"/>
      <c r="BE626" s="52"/>
      <c r="BF626" s="52"/>
      <c r="BG626" s="52"/>
      <c r="BH626" s="52"/>
      <c r="BI626" s="65"/>
      <c r="BJ626" s="68"/>
      <c r="BK626" s="59">
        <f t="shared" si="943"/>
        <v>0</v>
      </c>
      <c r="BL626" s="59" cm="1">
        <f t="array" ref="BL626">IFERROR(SUM(AW626:INDEX(AW626:BH626, MATCH(2, 1/(AW626:BH626&lt;&gt;""), 1) - 1))/_xlfn.XLOOKUP(F626,Apuração!A:A,Apuração!B:B),0)</f>
        <v>0</v>
      </c>
      <c r="BM626" s="55"/>
      <c r="BN626" s="55"/>
      <c r="BO626" s="53">
        <f ca="1">IFERROR(_xlfn.XLOOKUP(F626,Apuração!A:A,Apuração!C:C)/_xlfn.XLOOKUP(F626,Apuração!A:A,Apuração!B:B),0)</f>
        <v>0</v>
      </c>
      <c r="BP626" s="53">
        <f ca="1">IFERROR(_xlfn.XLOOKUP(F626,Apuração!A:A,Apuração!D:D)/_xlfn.XLOOKUP(F626,Apuração!A:A,Apuração!B:B),0)</f>
        <v>0</v>
      </c>
      <c r="BQ626" s="53">
        <f ca="1">IF(BK626&gt;=BO626,0,_xlfn.XLOOKUP(F626,Apuração!A:A,Apuração!B:B)*(BO626 + (1/_xlfn.XLOOKUP(F626,Apuração!A:A,Apuração!B:B)) - BK626))</f>
        <v>0</v>
      </c>
      <c r="BR626" s="85">
        <f t="shared" ca="1" si="944"/>
        <v>0</v>
      </c>
      <c r="BS626" s="53">
        <f ca="1">IFERROR((_xlfn.XLOOKUP(F626,Apuração!A:A,Apuração!C:C)+1)/_xlfn.XLOOKUP(F626,Apuração!A:A,Apuração!B:B),0)</f>
        <v>0.14285714285714285</v>
      </c>
    </row>
    <row r="627" spans="1:71" ht="25.95" hidden="1" customHeight="1" x14ac:dyDescent="0.3">
      <c r="A627" s="70" t="s">
        <v>108</v>
      </c>
      <c r="B627" s="4" t="s">
        <v>123</v>
      </c>
      <c r="C627" s="5" t="s">
        <v>97</v>
      </c>
      <c r="D627" s="5" t="s">
        <v>107</v>
      </c>
      <c r="E627" s="4" t="s">
        <v>61</v>
      </c>
      <c r="F627" s="4" t="str" cm="1">
        <f t="array" ref="F627">_xlfn.IFS(
AG627 &lt;&gt; "", "Jan-Dez/26",
AH627 &lt;&gt; "", "Fev-Dez/26",
AI627 &lt;&gt; "", "Mar-Dez/26", AJ627 &lt;&gt; "", "Abr-Dez/26",
TRUE, "A partir de Junho"
)</f>
        <v>A partir de Junho</v>
      </c>
      <c r="G627" s="4" t="s">
        <v>62</v>
      </c>
      <c r="H627" s="7" t="s">
        <v>38</v>
      </c>
      <c r="I627" s="4" t="s">
        <v>121</v>
      </c>
      <c r="J627" s="8" t="str" cm="1">
        <f t="array" aca="1" ref="J627" ca="1">_xlfn.LET(
  _xlpm.actual_value_month, INDEX(T627:AE627, MATCH(DATE(YEAR(TODAY()), MONTH(TODAY()), 1), $T$1:$AE$1, 0)),
  IF(_xlpm.actual_value_month &lt;&gt; "",_xlpm.actual_value_month &amp; " ações mensais", "")
)</f>
        <v/>
      </c>
      <c r="K627" s="8" t="str" cm="1">
        <f t="array" ref="K627">_xlfn.LET(
    _xlpm.sum_month, SUM(T627:AE627),
    IF(_xlpm.sum_month = 0, "", _xlpm.sum_month &amp; " empresas monitoradas no ano")
)</f>
        <v/>
      </c>
      <c r="L627" s="4" t="s">
        <v>126</v>
      </c>
      <c r="M627" s="19"/>
      <c r="N627" s="5" t="s">
        <v>51</v>
      </c>
      <c r="O627" s="5"/>
      <c r="P627" s="10"/>
      <c r="Q627" s="10"/>
      <c r="R627" s="11"/>
      <c r="S627" s="11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81"/>
      <c r="AG627" s="71"/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  <c r="AR627" s="71"/>
      <c r="AS627" s="94"/>
      <c r="AT627" s="95"/>
      <c r="AU627" s="97"/>
      <c r="AV627" s="81"/>
      <c r="AW627" s="83">
        <f t="shared" si="939"/>
        <v>0</v>
      </c>
      <c r="AX627" s="83">
        <f t="shared" si="940"/>
        <v>0</v>
      </c>
      <c r="AY627" s="83">
        <f t="shared" si="941"/>
        <v>0</v>
      </c>
      <c r="AZ627" s="83">
        <f t="shared" si="942"/>
        <v>0</v>
      </c>
      <c r="BA627" s="52"/>
      <c r="BB627" s="52"/>
      <c r="BC627" s="52"/>
      <c r="BD627" s="52"/>
      <c r="BE627" s="52"/>
      <c r="BF627" s="52"/>
      <c r="BG627" s="52"/>
      <c r="BH627" s="52"/>
      <c r="BI627" s="65"/>
      <c r="BJ627" s="68"/>
      <c r="BK627" s="59">
        <f t="shared" si="943"/>
        <v>0</v>
      </c>
      <c r="BL627" s="59" cm="1">
        <f t="array" ref="BL627">IFERROR(SUM(AW627:INDEX(AW627:BH627, MATCH(2, 1/(AW627:BH627&lt;&gt;""), 1) - 1))/_xlfn.XLOOKUP(F627,Apuração!A:A,Apuração!B:B),0)</f>
        <v>0</v>
      </c>
      <c r="BM627" s="55"/>
      <c r="BN627" s="55"/>
      <c r="BO627" s="53">
        <f ca="1">IFERROR(_xlfn.XLOOKUP(F627,Apuração!A:A,Apuração!C:C)/_xlfn.XLOOKUP(F627,Apuração!A:A,Apuração!B:B),0)</f>
        <v>0</v>
      </c>
      <c r="BP627" s="53">
        <f ca="1">IFERROR(_xlfn.XLOOKUP(F627,Apuração!A:A,Apuração!D:D)/_xlfn.XLOOKUP(F627,Apuração!A:A,Apuração!B:B),0)</f>
        <v>0</v>
      </c>
      <c r="BQ627" s="53">
        <f ca="1">IF(BK627&gt;=BO627,0,_xlfn.XLOOKUP(F627,Apuração!A:A,Apuração!B:B)*(BO627 + (1/_xlfn.XLOOKUP(F627,Apuração!A:A,Apuração!B:B)) - BK627))</f>
        <v>0</v>
      </c>
      <c r="BR627" s="85">
        <f t="shared" ca="1" si="944"/>
        <v>0</v>
      </c>
      <c r="BS627" s="53">
        <f ca="1">IFERROR((_xlfn.XLOOKUP(F627,Apuração!A:A,Apuração!C:C)+1)/_xlfn.XLOOKUP(F627,Apuração!A:A,Apuração!B:B),0)</f>
        <v>0.14285714285714285</v>
      </c>
    </row>
    <row r="628" spans="1:71" ht="25.95" hidden="1" customHeight="1" x14ac:dyDescent="0.3">
      <c r="A628" s="70" t="s">
        <v>108</v>
      </c>
      <c r="B628" s="4" t="s">
        <v>123</v>
      </c>
      <c r="C628" s="5" t="s">
        <v>97</v>
      </c>
      <c r="D628" s="5" t="s">
        <v>36</v>
      </c>
      <c r="E628" s="4" t="s">
        <v>61</v>
      </c>
      <c r="F628" s="4" t="str" cm="1">
        <f t="array" ref="F628">_xlfn.IFS(
AG628 &lt;&gt; "", "Jan-Dez/26",
AH628 &lt;&gt; "", "Fev-Dez/26",
AI628 &lt;&gt; "", "Mar-Dez/26", AJ628 &lt;&gt; "", "Abr-Dez/26",
TRUE, "A partir de Junho"
)</f>
        <v>A partir de Junho</v>
      </c>
      <c r="G628" s="4" t="s">
        <v>62</v>
      </c>
      <c r="H628" s="7" t="s">
        <v>38</v>
      </c>
      <c r="I628" s="28" t="s">
        <v>127</v>
      </c>
      <c r="J628" s="8" t="str" cm="1">
        <f t="array" aca="1" ref="J628" ca="1">_xlfn.LET(
  _xlpm.actual_value_month, INDEX(T628:AE628, MATCH(DATE(YEAR(TODAY()), MONTH(TODAY()), 1), $T$1:$AE$1, 0)),
  IF(_xlpm.actual_value_month &lt;&gt; "",_xlpm.actual_value_month &amp; " ações mensais", "")
)</f>
        <v/>
      </c>
      <c r="K628" s="8" t="str" cm="1">
        <f t="array" ref="K628">_xlfn.LET(
    _xlpm.sum_month, SUM(T628:AE628),
    IF(_xlpm.sum_month = 0, "", _xlpm.sum_month &amp; " ações no ano")
)</f>
        <v/>
      </c>
      <c r="L628" s="4" t="s">
        <v>128</v>
      </c>
      <c r="M628" s="19"/>
      <c r="N628" s="5" t="s">
        <v>51</v>
      </c>
      <c r="O628" s="5"/>
      <c r="P628" s="10"/>
      <c r="Q628" s="10"/>
      <c r="R628" s="11"/>
      <c r="S628" s="11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81"/>
      <c r="AG628" s="71"/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  <c r="AR628" s="71"/>
      <c r="AS628" s="94"/>
      <c r="AT628" s="95"/>
      <c r="AU628" s="97"/>
      <c r="AV628" s="81"/>
      <c r="AW628" s="83">
        <f>AG628</f>
        <v>0</v>
      </c>
      <c r="AX628" s="83">
        <f t="shared" si="936"/>
        <v>0</v>
      </c>
      <c r="AY628" s="83">
        <f t="shared" si="937"/>
        <v>0</v>
      </c>
      <c r="AZ628" s="83">
        <f t="shared" si="938"/>
        <v>0</v>
      </c>
      <c r="BA628" s="52"/>
      <c r="BB628" s="52"/>
      <c r="BC628" s="52"/>
      <c r="BD628" s="52"/>
      <c r="BE628" s="52"/>
      <c r="BF628" s="52"/>
      <c r="BG628" s="52"/>
      <c r="BH628" s="52"/>
      <c r="BI628" s="65"/>
      <c r="BJ628" s="68"/>
      <c r="BK628" s="59">
        <f>SUM(AW628:BH628)</f>
        <v>0</v>
      </c>
      <c r="BL628" s="59" cm="1">
        <f t="array" ref="BL628">IFERROR(SUM(AW628:INDEX(AW628:BH628, MATCH(2, 1/(AW628:BH628&lt;&gt;""), 1) - 1))/_xlfn.XLOOKUP(F628,Apuração!A:A,Apuração!B:B),0)</f>
        <v>0</v>
      </c>
      <c r="BM628" s="55"/>
      <c r="BN628" s="55"/>
      <c r="BO628" s="53">
        <f ca="1">IFERROR(_xlfn.XLOOKUP(F628,Apuração!A:A,Apuração!C:C)/_xlfn.XLOOKUP(F628,Apuração!A:A,Apuração!B:B),0)</f>
        <v>0</v>
      </c>
      <c r="BP628" s="53">
        <f ca="1">IFERROR(_xlfn.XLOOKUP(F628,Apuração!A:A,Apuração!D:D)/_xlfn.XLOOKUP(F628,Apuração!A:A,Apuração!B:B),0)</f>
        <v>0</v>
      </c>
      <c r="BQ628" s="53">
        <f ca="1">IF(BK628&gt;=BO628,0,_xlfn.XLOOKUP(F628,Apuração!A:A,Apuração!B:B)*(BO628 + (1/_xlfn.XLOOKUP(F628,Apuração!A:A,Apuração!B:B)) - BK628))</f>
        <v>0</v>
      </c>
      <c r="BR628" s="85">
        <f t="shared" ca="1" si="898"/>
        <v>0</v>
      </c>
      <c r="BS628" s="53">
        <f ca="1">IFERROR((_xlfn.XLOOKUP(F628,Apuração!A:A,Apuração!C:C)+1)/_xlfn.XLOOKUP(F628,Apuração!A:A,Apuração!B:B),0)</f>
        <v>0.14285714285714285</v>
      </c>
    </row>
    <row r="629" spans="1:71" ht="25.95" hidden="1" customHeight="1" x14ac:dyDescent="0.3">
      <c r="A629" s="70" t="s">
        <v>108</v>
      </c>
      <c r="B629" s="4" t="s">
        <v>123</v>
      </c>
      <c r="C629" s="5" t="s">
        <v>97</v>
      </c>
      <c r="D629" s="5" t="s">
        <v>98</v>
      </c>
      <c r="E629" s="4" t="s">
        <v>61</v>
      </c>
      <c r="F629" s="4" t="str" cm="1">
        <f t="array" ref="F629">_xlfn.IFS(
AG629 &lt;&gt; "", "Jan-Dez/26",
AH629 &lt;&gt; "", "Fev-Dez/26",
AI629 &lt;&gt; "", "Mar-Dez/26", AJ629 &lt;&gt; "", "Abr-Dez/26",
TRUE, "A partir de Junho"
)</f>
        <v>A partir de Junho</v>
      </c>
      <c r="G629" s="4" t="s">
        <v>62</v>
      </c>
      <c r="H629" s="7" t="s">
        <v>38</v>
      </c>
      <c r="I629" s="28" t="s">
        <v>127</v>
      </c>
      <c r="J629" s="8" t="str" cm="1">
        <f t="array" aca="1" ref="J629" ca="1">_xlfn.LET(
  _xlpm.actual_value_month, INDEX(T629:AE629, MATCH(DATE(YEAR(TODAY()), MONTH(TODAY()), 1), $T$1:$AE$1, 0)),
  IF(_xlpm.actual_value_month &lt;&gt; "",_xlpm.actual_value_month &amp; " ações mensais", "")
)</f>
        <v/>
      </c>
      <c r="K629" s="8" t="str" cm="1">
        <f t="array" ref="K629">_xlfn.LET(
    _xlpm.sum_month, SUM(T629:AE629),
    IF(_xlpm.sum_month = 0, "", _xlpm.sum_month &amp; " ações no ano")
)</f>
        <v/>
      </c>
      <c r="L629" s="4" t="s">
        <v>128</v>
      </c>
      <c r="M629" s="19"/>
      <c r="N629" s="5" t="s">
        <v>51</v>
      </c>
      <c r="O629" s="5"/>
      <c r="P629" s="10"/>
      <c r="Q629" s="10"/>
      <c r="R629" s="11"/>
      <c r="S629" s="11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81"/>
      <c r="AG629" s="71"/>
      <c r="AH629" s="71"/>
      <c r="AI629" s="71"/>
      <c r="AJ629" s="71"/>
      <c r="AK629" s="71"/>
      <c r="AL629" s="71"/>
      <c r="AM629" s="71"/>
      <c r="AN629" s="71"/>
      <c r="AO629" s="71"/>
      <c r="AP629" s="71"/>
      <c r="AQ629" s="71"/>
      <c r="AR629" s="71"/>
      <c r="AS629" s="94"/>
      <c r="AT629" s="95"/>
      <c r="AU629" s="97"/>
      <c r="AV629" s="81"/>
      <c r="AW629" s="83">
        <f t="shared" ref="AW629:AW638" si="945">AG629</f>
        <v>0</v>
      </c>
      <c r="AX629" s="83">
        <f t="shared" ref="AX629:AX638" si="946">AH629</f>
        <v>0</v>
      </c>
      <c r="AY629" s="83">
        <f t="shared" ref="AY629:AY638" si="947">AI629</f>
        <v>0</v>
      </c>
      <c r="AZ629" s="83">
        <f t="shared" ref="AZ629:AZ638" si="948">AJ629</f>
        <v>0</v>
      </c>
      <c r="BA629" s="52"/>
      <c r="BB629" s="52"/>
      <c r="BC629" s="52"/>
      <c r="BD629" s="52"/>
      <c r="BE629" s="52"/>
      <c r="BF629" s="52"/>
      <c r="BG629" s="52"/>
      <c r="BH629" s="52"/>
      <c r="BI629" s="65"/>
      <c r="BJ629" s="68"/>
      <c r="BK629" s="59">
        <f t="shared" ref="BK629:BK638" si="949">SUM(AW629:BH629)</f>
        <v>0</v>
      </c>
      <c r="BL629" s="59" cm="1">
        <f t="array" ref="BL629">IFERROR(SUM(AW629:INDEX(AW629:BH629, MATCH(2, 1/(AW629:BH629&lt;&gt;""), 1) - 1))/_xlfn.XLOOKUP(F629,Apuração!A:A,Apuração!B:B),0)</f>
        <v>0</v>
      </c>
      <c r="BM629" s="55"/>
      <c r="BN629" s="55"/>
      <c r="BO629" s="53">
        <f ca="1">IFERROR(_xlfn.XLOOKUP(F629,Apuração!A:A,Apuração!C:C)/_xlfn.XLOOKUP(F629,Apuração!A:A,Apuração!B:B),0)</f>
        <v>0</v>
      </c>
      <c r="BP629" s="53">
        <f ca="1">IFERROR(_xlfn.XLOOKUP(F629,Apuração!A:A,Apuração!D:D)/_xlfn.XLOOKUP(F629,Apuração!A:A,Apuração!B:B),0)</f>
        <v>0</v>
      </c>
      <c r="BQ629" s="53">
        <f ca="1">IF(BK629&gt;=BO629,0,_xlfn.XLOOKUP(F629,Apuração!A:A,Apuração!B:B)*(BO629 + (1/_xlfn.XLOOKUP(F629,Apuração!A:A,Apuração!B:B)) - BK629))</f>
        <v>0</v>
      </c>
      <c r="BR629" s="85">
        <f t="shared" ref="BR629:BR638" ca="1" si="950">IF(BQ629=0,0,BQ629*Z629)</f>
        <v>0</v>
      </c>
      <c r="BS629" s="53">
        <f ca="1">IFERROR((_xlfn.XLOOKUP(F629,Apuração!A:A,Apuração!C:C)+1)/_xlfn.XLOOKUP(F629,Apuração!A:A,Apuração!B:B),0)</f>
        <v>0.14285714285714285</v>
      </c>
    </row>
    <row r="630" spans="1:71" ht="25.95" hidden="1" customHeight="1" x14ac:dyDescent="0.3">
      <c r="A630" s="70" t="s">
        <v>108</v>
      </c>
      <c r="B630" s="4" t="s">
        <v>123</v>
      </c>
      <c r="C630" s="5" t="s">
        <v>97</v>
      </c>
      <c r="D630" s="5" t="s">
        <v>99</v>
      </c>
      <c r="E630" s="4" t="s">
        <v>61</v>
      </c>
      <c r="F630" s="4" t="str" cm="1">
        <f t="array" ref="F630">_xlfn.IFS(
AG630 &lt;&gt; "", "Jan-Dez/26",
AH630 &lt;&gt; "", "Fev-Dez/26",
AI630 &lt;&gt; "", "Mar-Dez/26", AJ630 &lt;&gt; "", "Abr-Dez/26",
TRUE, "A partir de Junho"
)</f>
        <v>A partir de Junho</v>
      </c>
      <c r="G630" s="4" t="s">
        <v>62</v>
      </c>
      <c r="H630" s="7" t="s">
        <v>38</v>
      </c>
      <c r="I630" s="28" t="s">
        <v>127</v>
      </c>
      <c r="J630" s="8" t="str" cm="1">
        <f t="array" aca="1" ref="J630" ca="1">_xlfn.LET(
  _xlpm.actual_value_month, INDEX(T630:AE630, MATCH(DATE(YEAR(TODAY()), MONTH(TODAY()), 1), $T$1:$AE$1, 0)),
  IF(_xlpm.actual_value_month &lt;&gt; "",_xlpm.actual_value_month &amp; " ações mensais", "")
)</f>
        <v/>
      </c>
      <c r="K630" s="8" t="str" cm="1">
        <f t="array" ref="K630">_xlfn.LET(
    _xlpm.sum_month, SUM(T630:AE630),
    IF(_xlpm.sum_month = 0, "", _xlpm.sum_month &amp; " ações no ano")
)</f>
        <v/>
      </c>
      <c r="L630" s="4" t="s">
        <v>128</v>
      </c>
      <c r="M630" s="19"/>
      <c r="N630" s="5" t="s">
        <v>51</v>
      </c>
      <c r="O630" s="5"/>
      <c r="P630" s="10"/>
      <c r="Q630" s="10"/>
      <c r="R630" s="11"/>
      <c r="S630" s="11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81"/>
      <c r="AG630" s="71"/>
      <c r="AH630" s="71"/>
      <c r="AI630" s="71"/>
      <c r="AJ630" s="71"/>
      <c r="AK630" s="71"/>
      <c r="AL630" s="71"/>
      <c r="AM630" s="71"/>
      <c r="AN630" s="71"/>
      <c r="AO630" s="71"/>
      <c r="AP630" s="71"/>
      <c r="AQ630" s="71"/>
      <c r="AR630" s="71"/>
      <c r="AS630" s="94"/>
      <c r="AT630" s="95"/>
      <c r="AU630" s="97"/>
      <c r="AV630" s="81"/>
      <c r="AW630" s="83">
        <f t="shared" si="945"/>
        <v>0</v>
      </c>
      <c r="AX630" s="83">
        <f t="shared" si="946"/>
        <v>0</v>
      </c>
      <c r="AY630" s="83">
        <f t="shared" si="947"/>
        <v>0</v>
      </c>
      <c r="AZ630" s="83">
        <f t="shared" si="948"/>
        <v>0</v>
      </c>
      <c r="BA630" s="52"/>
      <c r="BB630" s="52"/>
      <c r="BC630" s="52"/>
      <c r="BD630" s="52"/>
      <c r="BE630" s="52"/>
      <c r="BF630" s="52"/>
      <c r="BG630" s="52"/>
      <c r="BH630" s="52"/>
      <c r="BI630" s="65"/>
      <c r="BJ630" s="68"/>
      <c r="BK630" s="59">
        <f t="shared" si="949"/>
        <v>0</v>
      </c>
      <c r="BL630" s="59" cm="1">
        <f t="array" ref="BL630">IFERROR(SUM(AW630:INDEX(AW630:BH630, MATCH(2, 1/(AW630:BH630&lt;&gt;""), 1) - 1))/_xlfn.XLOOKUP(F630,Apuração!A:A,Apuração!B:B),0)</f>
        <v>0</v>
      </c>
      <c r="BM630" s="55"/>
      <c r="BN630" s="55"/>
      <c r="BO630" s="53">
        <f ca="1">IFERROR(_xlfn.XLOOKUP(F630,Apuração!A:A,Apuração!C:C)/_xlfn.XLOOKUP(F630,Apuração!A:A,Apuração!B:B),0)</f>
        <v>0</v>
      </c>
      <c r="BP630" s="53">
        <f ca="1">IFERROR(_xlfn.XLOOKUP(F630,Apuração!A:A,Apuração!D:D)/_xlfn.XLOOKUP(F630,Apuração!A:A,Apuração!B:B),0)</f>
        <v>0</v>
      </c>
      <c r="BQ630" s="53">
        <f ca="1">IF(BK630&gt;=BO630,0,_xlfn.XLOOKUP(F630,Apuração!A:A,Apuração!B:B)*(BO630 + (1/_xlfn.XLOOKUP(F630,Apuração!A:A,Apuração!B:B)) - BK630))</f>
        <v>0</v>
      </c>
      <c r="BR630" s="85">
        <f t="shared" ca="1" si="950"/>
        <v>0</v>
      </c>
      <c r="BS630" s="53">
        <f ca="1">IFERROR((_xlfn.XLOOKUP(F630,Apuração!A:A,Apuração!C:C)+1)/_xlfn.XLOOKUP(F630,Apuração!A:A,Apuração!B:B),0)</f>
        <v>0.14285714285714285</v>
      </c>
    </row>
    <row r="631" spans="1:71" ht="25.95" hidden="1" customHeight="1" x14ac:dyDescent="0.3">
      <c r="A631" s="70" t="s">
        <v>108</v>
      </c>
      <c r="B631" s="4" t="s">
        <v>123</v>
      </c>
      <c r="C631" s="5" t="s">
        <v>97</v>
      </c>
      <c r="D631" s="5" t="s">
        <v>100</v>
      </c>
      <c r="E631" s="4" t="s">
        <v>61</v>
      </c>
      <c r="F631" s="4" t="str" cm="1">
        <f t="array" ref="F631">_xlfn.IFS(
AG631 &lt;&gt; "", "Jan-Dez/26",
AH631 &lt;&gt; "", "Fev-Dez/26",
AI631 &lt;&gt; "", "Mar-Dez/26", AJ631 &lt;&gt; "", "Abr-Dez/26",
TRUE, "A partir de Junho"
)</f>
        <v>A partir de Junho</v>
      </c>
      <c r="G631" s="4" t="s">
        <v>62</v>
      </c>
      <c r="H631" s="7" t="s">
        <v>38</v>
      </c>
      <c r="I631" s="28" t="s">
        <v>127</v>
      </c>
      <c r="J631" s="8" t="str" cm="1">
        <f t="array" aca="1" ref="J631" ca="1">_xlfn.LET(
  _xlpm.actual_value_month, INDEX(T631:AE631, MATCH(DATE(YEAR(TODAY()), MONTH(TODAY()), 1), $T$1:$AE$1, 0)),
  IF(_xlpm.actual_value_month &lt;&gt; "",_xlpm.actual_value_month &amp; " ações mensais", "")
)</f>
        <v/>
      </c>
      <c r="K631" s="8" t="str" cm="1">
        <f t="array" ref="K631">_xlfn.LET(
    _xlpm.sum_month, SUM(T631:AE631),
    IF(_xlpm.sum_month = 0, "", _xlpm.sum_month &amp; " ações no ano")
)</f>
        <v/>
      </c>
      <c r="L631" s="4" t="s">
        <v>128</v>
      </c>
      <c r="M631" s="19"/>
      <c r="N631" s="5" t="s">
        <v>51</v>
      </c>
      <c r="O631" s="5"/>
      <c r="P631" s="10"/>
      <c r="Q631" s="10"/>
      <c r="R631" s="11"/>
      <c r="S631" s="11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81"/>
      <c r="AG631" s="71"/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1"/>
      <c r="AS631" s="94"/>
      <c r="AT631" s="95"/>
      <c r="AU631" s="97"/>
      <c r="AV631" s="81"/>
      <c r="AW631" s="83">
        <f t="shared" si="945"/>
        <v>0</v>
      </c>
      <c r="AX631" s="83">
        <f t="shared" si="946"/>
        <v>0</v>
      </c>
      <c r="AY631" s="83">
        <f t="shared" si="947"/>
        <v>0</v>
      </c>
      <c r="AZ631" s="83">
        <f t="shared" si="948"/>
        <v>0</v>
      </c>
      <c r="BA631" s="52"/>
      <c r="BB631" s="52"/>
      <c r="BC631" s="52"/>
      <c r="BD631" s="52"/>
      <c r="BE631" s="52"/>
      <c r="BF631" s="52"/>
      <c r="BG631" s="52"/>
      <c r="BH631" s="52"/>
      <c r="BI631" s="65"/>
      <c r="BJ631" s="68"/>
      <c r="BK631" s="59">
        <f t="shared" si="949"/>
        <v>0</v>
      </c>
      <c r="BL631" s="59" cm="1">
        <f t="array" ref="BL631">IFERROR(SUM(AW631:INDEX(AW631:BH631, MATCH(2, 1/(AW631:BH631&lt;&gt;""), 1) - 1))/_xlfn.XLOOKUP(F631,Apuração!A:A,Apuração!B:B),0)</f>
        <v>0</v>
      </c>
      <c r="BM631" s="55"/>
      <c r="BN631" s="55"/>
      <c r="BO631" s="53">
        <f ca="1">IFERROR(_xlfn.XLOOKUP(F631,Apuração!A:A,Apuração!C:C)/_xlfn.XLOOKUP(F631,Apuração!A:A,Apuração!B:B),0)</f>
        <v>0</v>
      </c>
      <c r="BP631" s="53">
        <f ca="1">IFERROR(_xlfn.XLOOKUP(F631,Apuração!A:A,Apuração!D:D)/_xlfn.XLOOKUP(F631,Apuração!A:A,Apuração!B:B),0)</f>
        <v>0</v>
      </c>
      <c r="BQ631" s="53">
        <f ca="1">IF(BK631&gt;=BO631,0,_xlfn.XLOOKUP(F631,Apuração!A:A,Apuração!B:B)*(BO631 + (1/_xlfn.XLOOKUP(F631,Apuração!A:A,Apuração!B:B)) - BK631))</f>
        <v>0</v>
      </c>
      <c r="BR631" s="85">
        <f t="shared" ca="1" si="950"/>
        <v>0</v>
      </c>
      <c r="BS631" s="53">
        <f ca="1">IFERROR((_xlfn.XLOOKUP(F631,Apuração!A:A,Apuração!C:C)+1)/_xlfn.XLOOKUP(F631,Apuração!A:A,Apuração!B:B),0)</f>
        <v>0.14285714285714285</v>
      </c>
    </row>
    <row r="632" spans="1:71" ht="25.95" hidden="1" customHeight="1" x14ac:dyDescent="0.3">
      <c r="A632" s="70" t="s">
        <v>108</v>
      </c>
      <c r="B632" s="4" t="s">
        <v>123</v>
      </c>
      <c r="C632" s="5" t="s">
        <v>97</v>
      </c>
      <c r="D632" s="5" t="s">
        <v>101</v>
      </c>
      <c r="E632" s="4" t="s">
        <v>61</v>
      </c>
      <c r="F632" s="4" t="str" cm="1">
        <f t="array" ref="F632">_xlfn.IFS(
AG632 &lt;&gt; "", "Jan-Dez/26",
AH632 &lt;&gt; "", "Fev-Dez/26",
AI632 &lt;&gt; "", "Mar-Dez/26", AJ632 &lt;&gt; "", "Abr-Dez/26",
TRUE, "A partir de Junho"
)</f>
        <v>A partir de Junho</v>
      </c>
      <c r="G632" s="4" t="s">
        <v>62</v>
      </c>
      <c r="H632" s="7" t="s">
        <v>38</v>
      </c>
      <c r="I632" s="28" t="s">
        <v>127</v>
      </c>
      <c r="J632" s="8" t="str" cm="1">
        <f t="array" aca="1" ref="J632" ca="1">_xlfn.LET(
  _xlpm.actual_value_month, INDEX(T632:AE632, MATCH(DATE(YEAR(TODAY()), MONTH(TODAY()), 1), $T$1:$AE$1, 0)),
  IF(_xlpm.actual_value_month &lt;&gt; "",_xlpm.actual_value_month &amp; " ações mensais", "")
)</f>
        <v/>
      </c>
      <c r="K632" s="8" t="str" cm="1">
        <f t="array" ref="K632">_xlfn.LET(
    _xlpm.sum_month, SUM(T632:AE632),
    IF(_xlpm.sum_month = 0, "", _xlpm.sum_month &amp; " ações no ano")
)</f>
        <v/>
      </c>
      <c r="L632" s="4" t="s">
        <v>128</v>
      </c>
      <c r="M632" s="19"/>
      <c r="N632" s="5" t="s">
        <v>51</v>
      </c>
      <c r="O632" s="5"/>
      <c r="P632" s="10"/>
      <c r="Q632" s="10"/>
      <c r="R632" s="11"/>
      <c r="S632" s="11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81"/>
      <c r="AG632" s="71"/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  <c r="AR632" s="71"/>
      <c r="AS632" s="94"/>
      <c r="AT632" s="95"/>
      <c r="AU632" s="97"/>
      <c r="AV632" s="81"/>
      <c r="AW632" s="83">
        <f t="shared" si="945"/>
        <v>0</v>
      </c>
      <c r="AX632" s="83">
        <f t="shared" si="946"/>
        <v>0</v>
      </c>
      <c r="AY632" s="83">
        <f t="shared" si="947"/>
        <v>0</v>
      </c>
      <c r="AZ632" s="83">
        <f t="shared" si="948"/>
        <v>0</v>
      </c>
      <c r="BA632" s="52"/>
      <c r="BB632" s="52"/>
      <c r="BC632" s="52"/>
      <c r="BD632" s="52"/>
      <c r="BE632" s="52"/>
      <c r="BF632" s="52"/>
      <c r="BG632" s="52"/>
      <c r="BH632" s="52"/>
      <c r="BI632" s="65"/>
      <c r="BJ632" s="68"/>
      <c r="BK632" s="59">
        <f t="shared" si="949"/>
        <v>0</v>
      </c>
      <c r="BL632" s="59" cm="1">
        <f t="array" ref="BL632">IFERROR(SUM(AW632:INDEX(AW632:BH632, MATCH(2, 1/(AW632:BH632&lt;&gt;""), 1) - 1))/_xlfn.XLOOKUP(F632,Apuração!A:A,Apuração!B:B),0)</f>
        <v>0</v>
      </c>
      <c r="BM632" s="55"/>
      <c r="BN632" s="55"/>
      <c r="BO632" s="53">
        <f ca="1">IFERROR(_xlfn.XLOOKUP(F632,Apuração!A:A,Apuração!C:C)/_xlfn.XLOOKUP(F632,Apuração!A:A,Apuração!B:B),0)</f>
        <v>0</v>
      </c>
      <c r="BP632" s="53">
        <f ca="1">IFERROR(_xlfn.XLOOKUP(F632,Apuração!A:A,Apuração!D:D)/_xlfn.XLOOKUP(F632,Apuração!A:A,Apuração!B:B),0)</f>
        <v>0</v>
      </c>
      <c r="BQ632" s="53">
        <f ca="1">IF(BK632&gt;=BO632,0,_xlfn.XLOOKUP(F632,Apuração!A:A,Apuração!B:B)*(BO632 + (1/_xlfn.XLOOKUP(F632,Apuração!A:A,Apuração!B:B)) - BK632))</f>
        <v>0</v>
      </c>
      <c r="BR632" s="85">
        <f t="shared" ca="1" si="950"/>
        <v>0</v>
      </c>
      <c r="BS632" s="53">
        <f ca="1">IFERROR((_xlfn.XLOOKUP(F632,Apuração!A:A,Apuração!C:C)+1)/_xlfn.XLOOKUP(F632,Apuração!A:A,Apuração!B:B),0)</f>
        <v>0.14285714285714285</v>
      </c>
    </row>
    <row r="633" spans="1:71" ht="25.95" hidden="1" customHeight="1" x14ac:dyDescent="0.3">
      <c r="A633" s="70" t="s">
        <v>108</v>
      </c>
      <c r="B633" s="4" t="s">
        <v>123</v>
      </c>
      <c r="C633" s="5" t="s">
        <v>97</v>
      </c>
      <c r="D633" s="5" t="s">
        <v>102</v>
      </c>
      <c r="E633" s="4" t="s">
        <v>61</v>
      </c>
      <c r="F633" s="4" t="str" cm="1">
        <f t="array" ref="F633">_xlfn.IFS(
AG633 &lt;&gt; "", "Jan-Dez/26",
AH633 &lt;&gt; "", "Fev-Dez/26",
AI633 &lt;&gt; "", "Mar-Dez/26", AJ633 &lt;&gt; "", "Abr-Dez/26",
TRUE, "A partir de Junho"
)</f>
        <v>A partir de Junho</v>
      </c>
      <c r="G633" s="4" t="s">
        <v>62</v>
      </c>
      <c r="H633" s="7" t="s">
        <v>38</v>
      </c>
      <c r="I633" s="28" t="s">
        <v>127</v>
      </c>
      <c r="J633" s="8" t="str" cm="1">
        <f t="array" aca="1" ref="J633" ca="1">_xlfn.LET(
  _xlpm.actual_value_month, INDEX(T633:AE633, MATCH(DATE(YEAR(TODAY()), MONTH(TODAY()), 1), $T$1:$AE$1, 0)),
  IF(_xlpm.actual_value_month &lt;&gt; "",_xlpm.actual_value_month &amp; " ações mensais", "")
)</f>
        <v/>
      </c>
      <c r="K633" s="8" t="str" cm="1">
        <f t="array" ref="K633">_xlfn.LET(
    _xlpm.sum_month, SUM(T633:AE633),
    IF(_xlpm.sum_month = 0, "", _xlpm.sum_month &amp; " ações no ano")
)</f>
        <v/>
      </c>
      <c r="L633" s="4" t="s">
        <v>128</v>
      </c>
      <c r="M633" s="19"/>
      <c r="N633" s="5" t="s">
        <v>51</v>
      </c>
      <c r="O633" s="5"/>
      <c r="P633" s="10"/>
      <c r="Q633" s="10"/>
      <c r="R633" s="11"/>
      <c r="S633" s="11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81"/>
      <c r="AG633" s="71"/>
      <c r="AH633" s="71"/>
      <c r="AI633" s="71"/>
      <c r="AJ633" s="71"/>
      <c r="AK633" s="71"/>
      <c r="AL633" s="71"/>
      <c r="AM633" s="71"/>
      <c r="AN633" s="71"/>
      <c r="AO633" s="71"/>
      <c r="AP633" s="71"/>
      <c r="AQ633" s="71"/>
      <c r="AR633" s="71"/>
      <c r="AS633" s="94"/>
      <c r="AT633" s="95"/>
      <c r="AU633" s="97"/>
      <c r="AV633" s="81"/>
      <c r="AW633" s="83">
        <f t="shared" si="945"/>
        <v>0</v>
      </c>
      <c r="AX633" s="83">
        <f t="shared" si="946"/>
        <v>0</v>
      </c>
      <c r="AY633" s="83">
        <f t="shared" si="947"/>
        <v>0</v>
      </c>
      <c r="AZ633" s="83">
        <f t="shared" si="948"/>
        <v>0</v>
      </c>
      <c r="BA633" s="52"/>
      <c r="BB633" s="52"/>
      <c r="BC633" s="52"/>
      <c r="BD633" s="52"/>
      <c r="BE633" s="52"/>
      <c r="BF633" s="52"/>
      <c r="BG633" s="52"/>
      <c r="BH633" s="52"/>
      <c r="BI633" s="65"/>
      <c r="BJ633" s="68"/>
      <c r="BK633" s="59">
        <f t="shared" si="949"/>
        <v>0</v>
      </c>
      <c r="BL633" s="59" cm="1">
        <f t="array" ref="BL633">IFERROR(SUM(AW633:INDEX(AW633:BH633, MATCH(2, 1/(AW633:BH633&lt;&gt;""), 1) - 1))/_xlfn.XLOOKUP(F633,Apuração!A:A,Apuração!B:B),0)</f>
        <v>0</v>
      </c>
      <c r="BM633" s="55"/>
      <c r="BN633" s="55"/>
      <c r="BO633" s="53">
        <f ca="1">IFERROR(_xlfn.XLOOKUP(F633,Apuração!A:A,Apuração!C:C)/_xlfn.XLOOKUP(F633,Apuração!A:A,Apuração!B:B),0)</f>
        <v>0</v>
      </c>
      <c r="BP633" s="53">
        <f ca="1">IFERROR(_xlfn.XLOOKUP(F633,Apuração!A:A,Apuração!D:D)/_xlfn.XLOOKUP(F633,Apuração!A:A,Apuração!B:B),0)</f>
        <v>0</v>
      </c>
      <c r="BQ633" s="53">
        <f ca="1">IF(BK633&gt;=BO633,0,_xlfn.XLOOKUP(F633,Apuração!A:A,Apuração!B:B)*(BO633 + (1/_xlfn.XLOOKUP(F633,Apuração!A:A,Apuração!B:B)) - BK633))</f>
        <v>0</v>
      </c>
      <c r="BR633" s="85">
        <f t="shared" ca="1" si="950"/>
        <v>0</v>
      </c>
      <c r="BS633" s="53">
        <f ca="1">IFERROR((_xlfn.XLOOKUP(F633,Apuração!A:A,Apuração!C:C)+1)/_xlfn.XLOOKUP(F633,Apuração!A:A,Apuração!B:B),0)</f>
        <v>0.14285714285714285</v>
      </c>
    </row>
    <row r="634" spans="1:71" ht="25.95" hidden="1" customHeight="1" x14ac:dyDescent="0.3">
      <c r="A634" s="70" t="s">
        <v>108</v>
      </c>
      <c r="B634" s="4" t="s">
        <v>123</v>
      </c>
      <c r="C634" s="5" t="s">
        <v>97</v>
      </c>
      <c r="D634" s="5" t="s">
        <v>103</v>
      </c>
      <c r="E634" s="4" t="s">
        <v>61</v>
      </c>
      <c r="F634" s="4" t="str" cm="1">
        <f t="array" ref="F634">_xlfn.IFS(
AG634 &lt;&gt; "", "Jan-Dez/26",
AH634 &lt;&gt; "", "Fev-Dez/26",
AI634 &lt;&gt; "", "Mar-Dez/26", AJ634 &lt;&gt; "", "Abr-Dez/26",
TRUE, "A partir de Junho"
)</f>
        <v>A partir de Junho</v>
      </c>
      <c r="G634" s="4" t="s">
        <v>62</v>
      </c>
      <c r="H634" s="7" t="s">
        <v>38</v>
      </c>
      <c r="I634" s="28" t="s">
        <v>127</v>
      </c>
      <c r="J634" s="8" t="str" cm="1">
        <f t="array" aca="1" ref="J634" ca="1">_xlfn.LET(
  _xlpm.actual_value_month, INDEX(T634:AE634, MATCH(DATE(YEAR(TODAY()), MONTH(TODAY()), 1), $T$1:$AE$1, 0)),
  IF(_xlpm.actual_value_month &lt;&gt; "",_xlpm.actual_value_month &amp; " ações mensais", "")
)</f>
        <v/>
      </c>
      <c r="K634" s="8" t="str" cm="1">
        <f t="array" ref="K634">_xlfn.LET(
    _xlpm.sum_month, SUM(T634:AE634),
    IF(_xlpm.sum_month = 0, "", _xlpm.sum_month &amp; " ações no ano")
)</f>
        <v/>
      </c>
      <c r="L634" s="4" t="s">
        <v>128</v>
      </c>
      <c r="M634" s="19"/>
      <c r="N634" s="5" t="s">
        <v>51</v>
      </c>
      <c r="O634" s="5"/>
      <c r="P634" s="10"/>
      <c r="Q634" s="10"/>
      <c r="R634" s="11"/>
      <c r="S634" s="11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81"/>
      <c r="AG634" s="71"/>
      <c r="AH634" s="71"/>
      <c r="AI634" s="71"/>
      <c r="AJ634" s="71"/>
      <c r="AK634" s="71"/>
      <c r="AL634" s="71"/>
      <c r="AM634" s="71"/>
      <c r="AN634" s="71"/>
      <c r="AO634" s="71"/>
      <c r="AP634" s="71"/>
      <c r="AQ634" s="71"/>
      <c r="AR634" s="71"/>
      <c r="AS634" s="94"/>
      <c r="AT634" s="95"/>
      <c r="AU634" s="97"/>
      <c r="AV634" s="81"/>
      <c r="AW634" s="83">
        <f t="shared" si="945"/>
        <v>0</v>
      </c>
      <c r="AX634" s="83">
        <f t="shared" si="946"/>
        <v>0</v>
      </c>
      <c r="AY634" s="83">
        <f t="shared" si="947"/>
        <v>0</v>
      </c>
      <c r="AZ634" s="83">
        <f t="shared" si="948"/>
        <v>0</v>
      </c>
      <c r="BA634" s="52"/>
      <c r="BB634" s="52"/>
      <c r="BC634" s="52"/>
      <c r="BD634" s="52"/>
      <c r="BE634" s="52"/>
      <c r="BF634" s="52"/>
      <c r="BG634" s="52"/>
      <c r="BH634" s="52"/>
      <c r="BI634" s="65"/>
      <c r="BJ634" s="68"/>
      <c r="BK634" s="59">
        <f t="shared" si="949"/>
        <v>0</v>
      </c>
      <c r="BL634" s="59" cm="1">
        <f t="array" ref="BL634">IFERROR(SUM(AW634:INDEX(AW634:BH634, MATCH(2, 1/(AW634:BH634&lt;&gt;""), 1) - 1))/_xlfn.XLOOKUP(F634,Apuração!A:A,Apuração!B:B),0)</f>
        <v>0</v>
      </c>
      <c r="BM634" s="55"/>
      <c r="BN634" s="55"/>
      <c r="BO634" s="53">
        <f ca="1">IFERROR(_xlfn.XLOOKUP(F634,Apuração!A:A,Apuração!C:C)/_xlfn.XLOOKUP(F634,Apuração!A:A,Apuração!B:B),0)</f>
        <v>0</v>
      </c>
      <c r="BP634" s="53">
        <f ca="1">IFERROR(_xlfn.XLOOKUP(F634,Apuração!A:A,Apuração!D:D)/_xlfn.XLOOKUP(F634,Apuração!A:A,Apuração!B:B),0)</f>
        <v>0</v>
      </c>
      <c r="BQ634" s="53">
        <f ca="1">IF(BK634&gt;=BO634,0,_xlfn.XLOOKUP(F634,Apuração!A:A,Apuração!B:B)*(BO634 + (1/_xlfn.XLOOKUP(F634,Apuração!A:A,Apuração!B:B)) - BK634))</f>
        <v>0</v>
      </c>
      <c r="BR634" s="85">
        <f t="shared" ca="1" si="950"/>
        <v>0</v>
      </c>
      <c r="BS634" s="53">
        <f ca="1">IFERROR((_xlfn.XLOOKUP(F634,Apuração!A:A,Apuração!C:C)+1)/_xlfn.XLOOKUP(F634,Apuração!A:A,Apuração!B:B),0)</f>
        <v>0.14285714285714285</v>
      </c>
    </row>
    <row r="635" spans="1:71" ht="25.95" hidden="1" customHeight="1" x14ac:dyDescent="0.3">
      <c r="A635" s="70" t="s">
        <v>108</v>
      </c>
      <c r="B635" s="4" t="s">
        <v>123</v>
      </c>
      <c r="C635" s="5" t="s">
        <v>97</v>
      </c>
      <c r="D635" s="5" t="s">
        <v>104</v>
      </c>
      <c r="E635" s="4" t="s">
        <v>61</v>
      </c>
      <c r="F635" s="4" t="str" cm="1">
        <f t="array" ref="F635">_xlfn.IFS(
AG635 &lt;&gt; "", "Jan-Dez/26",
AH635 &lt;&gt; "", "Fev-Dez/26",
AI635 &lt;&gt; "", "Mar-Dez/26", AJ635 &lt;&gt; "", "Abr-Dez/26",
TRUE, "A partir de Junho"
)</f>
        <v>A partir de Junho</v>
      </c>
      <c r="G635" s="4" t="s">
        <v>62</v>
      </c>
      <c r="H635" s="7" t="s">
        <v>38</v>
      </c>
      <c r="I635" s="28" t="s">
        <v>127</v>
      </c>
      <c r="J635" s="8" t="str" cm="1">
        <f t="array" aca="1" ref="J635" ca="1">_xlfn.LET(
  _xlpm.actual_value_month, INDEX(T635:AE635, MATCH(DATE(YEAR(TODAY()), MONTH(TODAY()), 1), $T$1:$AE$1, 0)),
  IF(_xlpm.actual_value_month &lt;&gt; "",_xlpm.actual_value_month &amp; " ações mensais", "")
)</f>
        <v/>
      </c>
      <c r="K635" s="8" t="str" cm="1">
        <f t="array" ref="K635">_xlfn.LET(
    _xlpm.sum_month, SUM(T635:AE635),
    IF(_xlpm.sum_month = 0, "", _xlpm.sum_month &amp; " ações no ano")
)</f>
        <v/>
      </c>
      <c r="L635" s="4" t="s">
        <v>128</v>
      </c>
      <c r="M635" s="19"/>
      <c r="N635" s="5" t="s">
        <v>51</v>
      </c>
      <c r="O635" s="5"/>
      <c r="P635" s="10"/>
      <c r="Q635" s="10"/>
      <c r="R635" s="11"/>
      <c r="S635" s="11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81"/>
      <c r="AG635" s="71"/>
      <c r="AH635" s="71"/>
      <c r="AI635" s="71"/>
      <c r="AJ635" s="71"/>
      <c r="AK635" s="71"/>
      <c r="AL635" s="71"/>
      <c r="AM635" s="71"/>
      <c r="AN635" s="71"/>
      <c r="AO635" s="71"/>
      <c r="AP635" s="71"/>
      <c r="AQ635" s="71"/>
      <c r="AR635" s="71"/>
      <c r="AS635" s="94"/>
      <c r="AT635" s="95"/>
      <c r="AU635" s="97"/>
      <c r="AV635" s="81"/>
      <c r="AW635" s="83">
        <f t="shared" si="945"/>
        <v>0</v>
      </c>
      <c r="AX635" s="83">
        <f t="shared" si="946"/>
        <v>0</v>
      </c>
      <c r="AY635" s="83">
        <f t="shared" si="947"/>
        <v>0</v>
      </c>
      <c r="AZ635" s="83">
        <f t="shared" si="948"/>
        <v>0</v>
      </c>
      <c r="BA635" s="52"/>
      <c r="BB635" s="52"/>
      <c r="BC635" s="52"/>
      <c r="BD635" s="52"/>
      <c r="BE635" s="52"/>
      <c r="BF635" s="52"/>
      <c r="BG635" s="52"/>
      <c r="BH635" s="52"/>
      <c r="BI635" s="65"/>
      <c r="BJ635" s="68"/>
      <c r="BK635" s="59">
        <f t="shared" si="949"/>
        <v>0</v>
      </c>
      <c r="BL635" s="59" cm="1">
        <f t="array" ref="BL635">IFERROR(SUM(AW635:INDEX(AW635:BH635, MATCH(2, 1/(AW635:BH635&lt;&gt;""), 1) - 1))/_xlfn.XLOOKUP(F635,Apuração!A:A,Apuração!B:B),0)</f>
        <v>0</v>
      </c>
      <c r="BM635" s="55"/>
      <c r="BN635" s="55"/>
      <c r="BO635" s="53">
        <f ca="1">IFERROR(_xlfn.XLOOKUP(F635,Apuração!A:A,Apuração!C:C)/_xlfn.XLOOKUP(F635,Apuração!A:A,Apuração!B:B),0)</f>
        <v>0</v>
      </c>
      <c r="BP635" s="53">
        <f ca="1">IFERROR(_xlfn.XLOOKUP(F635,Apuração!A:A,Apuração!D:D)/_xlfn.XLOOKUP(F635,Apuração!A:A,Apuração!B:B),0)</f>
        <v>0</v>
      </c>
      <c r="BQ635" s="53">
        <f ca="1">IF(BK635&gt;=BO635,0,_xlfn.XLOOKUP(F635,Apuração!A:A,Apuração!B:B)*(BO635 + (1/_xlfn.XLOOKUP(F635,Apuração!A:A,Apuração!B:B)) - BK635))</f>
        <v>0</v>
      </c>
      <c r="BR635" s="85">
        <f t="shared" ca="1" si="950"/>
        <v>0</v>
      </c>
      <c r="BS635" s="53">
        <f ca="1">IFERROR((_xlfn.XLOOKUP(F635,Apuração!A:A,Apuração!C:C)+1)/_xlfn.XLOOKUP(F635,Apuração!A:A,Apuração!B:B),0)</f>
        <v>0.14285714285714285</v>
      </c>
    </row>
    <row r="636" spans="1:71" ht="25.95" hidden="1" customHeight="1" x14ac:dyDescent="0.3">
      <c r="A636" s="70" t="s">
        <v>108</v>
      </c>
      <c r="B636" s="4" t="s">
        <v>123</v>
      </c>
      <c r="C636" s="5" t="s">
        <v>97</v>
      </c>
      <c r="D636" s="5" t="s">
        <v>105</v>
      </c>
      <c r="E636" s="4" t="s">
        <v>61</v>
      </c>
      <c r="F636" s="4" t="str" cm="1">
        <f t="array" ref="F636">_xlfn.IFS(
AG636 &lt;&gt; "", "Jan-Dez/26",
AH636 &lt;&gt; "", "Fev-Dez/26",
AI636 &lt;&gt; "", "Mar-Dez/26", AJ636 &lt;&gt; "", "Abr-Dez/26",
TRUE, "A partir de Junho"
)</f>
        <v>A partir de Junho</v>
      </c>
      <c r="G636" s="4" t="s">
        <v>62</v>
      </c>
      <c r="H636" s="7" t="s">
        <v>38</v>
      </c>
      <c r="I636" s="28" t="s">
        <v>127</v>
      </c>
      <c r="J636" s="8" t="str" cm="1">
        <f t="array" aca="1" ref="J636" ca="1">_xlfn.LET(
  _xlpm.actual_value_month, INDEX(T636:AE636, MATCH(DATE(YEAR(TODAY()), MONTH(TODAY()), 1), $T$1:$AE$1, 0)),
  IF(_xlpm.actual_value_month &lt;&gt; "",_xlpm.actual_value_month &amp; " ações mensais", "")
)</f>
        <v/>
      </c>
      <c r="K636" s="8" t="str" cm="1">
        <f t="array" ref="K636">_xlfn.LET(
    _xlpm.sum_month, SUM(T636:AE636),
    IF(_xlpm.sum_month = 0, "", _xlpm.sum_month &amp; " ações no ano")
)</f>
        <v/>
      </c>
      <c r="L636" s="4" t="s">
        <v>128</v>
      </c>
      <c r="M636" s="19"/>
      <c r="N636" s="5" t="s">
        <v>51</v>
      </c>
      <c r="O636" s="5"/>
      <c r="P636" s="10"/>
      <c r="Q636" s="10"/>
      <c r="R636" s="11"/>
      <c r="S636" s="11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81"/>
      <c r="AG636" s="71"/>
      <c r="AH636" s="71"/>
      <c r="AI636" s="71"/>
      <c r="AJ636" s="71"/>
      <c r="AK636" s="71"/>
      <c r="AL636" s="71"/>
      <c r="AM636" s="71"/>
      <c r="AN636" s="71"/>
      <c r="AO636" s="71"/>
      <c r="AP636" s="71"/>
      <c r="AQ636" s="71"/>
      <c r="AR636" s="71"/>
      <c r="AS636" s="94"/>
      <c r="AT636" s="95"/>
      <c r="AU636" s="97"/>
      <c r="AV636" s="81"/>
      <c r="AW636" s="83">
        <f t="shared" si="945"/>
        <v>0</v>
      </c>
      <c r="AX636" s="83">
        <f t="shared" si="946"/>
        <v>0</v>
      </c>
      <c r="AY636" s="83">
        <f t="shared" si="947"/>
        <v>0</v>
      </c>
      <c r="AZ636" s="83">
        <f t="shared" si="948"/>
        <v>0</v>
      </c>
      <c r="BA636" s="52"/>
      <c r="BB636" s="52"/>
      <c r="BC636" s="52"/>
      <c r="BD636" s="52"/>
      <c r="BE636" s="52"/>
      <c r="BF636" s="52"/>
      <c r="BG636" s="52"/>
      <c r="BH636" s="52"/>
      <c r="BI636" s="65"/>
      <c r="BJ636" s="68"/>
      <c r="BK636" s="59">
        <f t="shared" si="949"/>
        <v>0</v>
      </c>
      <c r="BL636" s="59" cm="1">
        <f t="array" ref="BL636">IFERROR(SUM(AW636:INDEX(AW636:BH636, MATCH(2, 1/(AW636:BH636&lt;&gt;""), 1) - 1))/_xlfn.XLOOKUP(F636,Apuração!A:A,Apuração!B:B),0)</f>
        <v>0</v>
      </c>
      <c r="BM636" s="55"/>
      <c r="BN636" s="55"/>
      <c r="BO636" s="53">
        <f ca="1">IFERROR(_xlfn.XLOOKUP(F636,Apuração!A:A,Apuração!C:C)/_xlfn.XLOOKUP(F636,Apuração!A:A,Apuração!B:B),0)</f>
        <v>0</v>
      </c>
      <c r="BP636" s="53">
        <f ca="1">IFERROR(_xlfn.XLOOKUP(F636,Apuração!A:A,Apuração!D:D)/_xlfn.XLOOKUP(F636,Apuração!A:A,Apuração!B:B),0)</f>
        <v>0</v>
      </c>
      <c r="BQ636" s="53">
        <f ca="1">IF(BK636&gt;=BO636,0,_xlfn.XLOOKUP(F636,Apuração!A:A,Apuração!B:B)*(BO636 + (1/_xlfn.XLOOKUP(F636,Apuração!A:A,Apuração!B:B)) - BK636))</f>
        <v>0</v>
      </c>
      <c r="BR636" s="85">
        <f t="shared" ca="1" si="950"/>
        <v>0</v>
      </c>
      <c r="BS636" s="53">
        <f ca="1">IFERROR((_xlfn.XLOOKUP(F636,Apuração!A:A,Apuração!C:C)+1)/_xlfn.XLOOKUP(F636,Apuração!A:A,Apuração!B:B),0)</f>
        <v>0.14285714285714285</v>
      </c>
    </row>
    <row r="637" spans="1:71" ht="25.95" hidden="1" customHeight="1" x14ac:dyDescent="0.3">
      <c r="A637" s="70" t="s">
        <v>108</v>
      </c>
      <c r="B637" s="4" t="s">
        <v>123</v>
      </c>
      <c r="C637" s="5" t="s">
        <v>97</v>
      </c>
      <c r="D637" s="5" t="s">
        <v>106</v>
      </c>
      <c r="E637" s="4" t="s">
        <v>61</v>
      </c>
      <c r="F637" s="4" t="str" cm="1">
        <f t="array" ref="F637">_xlfn.IFS(
AG637 &lt;&gt; "", "Jan-Dez/26",
AH637 &lt;&gt; "", "Fev-Dez/26",
AI637 &lt;&gt; "", "Mar-Dez/26", AJ637 &lt;&gt; "", "Abr-Dez/26",
TRUE, "A partir de Junho"
)</f>
        <v>A partir de Junho</v>
      </c>
      <c r="G637" s="4" t="s">
        <v>62</v>
      </c>
      <c r="H637" s="7" t="s">
        <v>38</v>
      </c>
      <c r="I637" s="28" t="s">
        <v>127</v>
      </c>
      <c r="J637" s="8" t="str" cm="1">
        <f t="array" aca="1" ref="J637" ca="1">_xlfn.LET(
  _xlpm.actual_value_month, INDEX(T637:AE637, MATCH(DATE(YEAR(TODAY()), MONTH(TODAY()), 1), $T$1:$AE$1, 0)),
  IF(_xlpm.actual_value_month &lt;&gt; "",_xlpm.actual_value_month &amp; " ações mensais", "")
)</f>
        <v/>
      </c>
      <c r="K637" s="8" t="str" cm="1">
        <f t="array" ref="K637">_xlfn.LET(
    _xlpm.sum_month, SUM(T637:AE637),
    IF(_xlpm.sum_month = 0, "", _xlpm.sum_month &amp; " ações no ano")
)</f>
        <v/>
      </c>
      <c r="L637" s="4" t="s">
        <v>128</v>
      </c>
      <c r="M637" s="19"/>
      <c r="N637" s="5" t="s">
        <v>51</v>
      </c>
      <c r="O637" s="5"/>
      <c r="P637" s="10"/>
      <c r="Q637" s="10"/>
      <c r="R637" s="11"/>
      <c r="S637" s="11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81"/>
      <c r="AG637" s="71"/>
      <c r="AH637" s="71"/>
      <c r="AI637" s="71"/>
      <c r="AJ637" s="71"/>
      <c r="AK637" s="71"/>
      <c r="AL637" s="71"/>
      <c r="AM637" s="71"/>
      <c r="AN637" s="71"/>
      <c r="AO637" s="71"/>
      <c r="AP637" s="71"/>
      <c r="AQ637" s="71"/>
      <c r="AR637" s="71"/>
      <c r="AS637" s="94"/>
      <c r="AT637" s="95"/>
      <c r="AU637" s="97"/>
      <c r="AV637" s="81"/>
      <c r="AW637" s="83">
        <f t="shared" si="945"/>
        <v>0</v>
      </c>
      <c r="AX637" s="83">
        <f t="shared" si="946"/>
        <v>0</v>
      </c>
      <c r="AY637" s="83">
        <f t="shared" si="947"/>
        <v>0</v>
      </c>
      <c r="AZ637" s="83">
        <f t="shared" si="948"/>
        <v>0</v>
      </c>
      <c r="BA637" s="52"/>
      <c r="BB637" s="52"/>
      <c r="BC637" s="52"/>
      <c r="BD637" s="52"/>
      <c r="BE637" s="52"/>
      <c r="BF637" s="52"/>
      <c r="BG637" s="52"/>
      <c r="BH637" s="52"/>
      <c r="BI637" s="65"/>
      <c r="BJ637" s="68"/>
      <c r="BK637" s="59">
        <f t="shared" si="949"/>
        <v>0</v>
      </c>
      <c r="BL637" s="59" cm="1">
        <f t="array" ref="BL637">IFERROR(SUM(AW637:INDEX(AW637:BH637, MATCH(2, 1/(AW637:BH637&lt;&gt;""), 1) - 1))/_xlfn.XLOOKUP(F637,Apuração!A:A,Apuração!B:B),0)</f>
        <v>0</v>
      </c>
      <c r="BM637" s="55"/>
      <c r="BN637" s="55"/>
      <c r="BO637" s="53">
        <f ca="1">IFERROR(_xlfn.XLOOKUP(F637,Apuração!A:A,Apuração!C:C)/_xlfn.XLOOKUP(F637,Apuração!A:A,Apuração!B:B),0)</f>
        <v>0</v>
      </c>
      <c r="BP637" s="53">
        <f ca="1">IFERROR(_xlfn.XLOOKUP(F637,Apuração!A:A,Apuração!D:D)/_xlfn.XLOOKUP(F637,Apuração!A:A,Apuração!B:B),0)</f>
        <v>0</v>
      </c>
      <c r="BQ637" s="53">
        <f ca="1">IF(BK637&gt;=BO637,0,_xlfn.XLOOKUP(F637,Apuração!A:A,Apuração!B:B)*(BO637 + (1/_xlfn.XLOOKUP(F637,Apuração!A:A,Apuração!B:B)) - BK637))</f>
        <v>0</v>
      </c>
      <c r="BR637" s="85">
        <f t="shared" ca="1" si="950"/>
        <v>0</v>
      </c>
      <c r="BS637" s="53">
        <f ca="1">IFERROR((_xlfn.XLOOKUP(F637,Apuração!A:A,Apuração!C:C)+1)/_xlfn.XLOOKUP(F637,Apuração!A:A,Apuração!B:B),0)</f>
        <v>0.14285714285714285</v>
      </c>
    </row>
    <row r="638" spans="1:71" ht="25.95" hidden="1" customHeight="1" x14ac:dyDescent="0.3">
      <c r="A638" s="70" t="s">
        <v>108</v>
      </c>
      <c r="B638" s="4" t="s">
        <v>123</v>
      </c>
      <c r="C638" s="5" t="s">
        <v>97</v>
      </c>
      <c r="D638" s="5" t="s">
        <v>107</v>
      </c>
      <c r="E638" s="4" t="s">
        <v>61</v>
      </c>
      <c r="F638" s="4" t="str" cm="1">
        <f t="array" ref="F638">_xlfn.IFS(
AG638 &lt;&gt; "", "Jan-Dez/26",
AH638 &lt;&gt; "", "Fev-Dez/26",
AI638 &lt;&gt; "", "Mar-Dez/26", AJ638 &lt;&gt; "", "Abr-Dez/26",
TRUE, "A partir de Junho"
)</f>
        <v>A partir de Junho</v>
      </c>
      <c r="G638" s="4" t="s">
        <v>62</v>
      </c>
      <c r="H638" s="7" t="s">
        <v>38</v>
      </c>
      <c r="I638" s="28" t="s">
        <v>127</v>
      </c>
      <c r="J638" s="8" t="str" cm="1">
        <f t="array" aca="1" ref="J638" ca="1">_xlfn.LET(
  _xlpm.actual_value_month, INDEX(T638:AE638, MATCH(DATE(YEAR(TODAY()), MONTH(TODAY()), 1), $T$1:$AE$1, 0)),
  IF(_xlpm.actual_value_month &lt;&gt; "",_xlpm.actual_value_month &amp; " ações mensais", "")
)</f>
        <v/>
      </c>
      <c r="K638" s="8" t="str" cm="1">
        <f t="array" ref="K638">_xlfn.LET(
    _xlpm.sum_month, SUM(T638:AE638),
    IF(_xlpm.sum_month = 0, "", _xlpm.sum_month &amp; " ações no ano")
)</f>
        <v/>
      </c>
      <c r="L638" s="4" t="s">
        <v>128</v>
      </c>
      <c r="M638" s="19"/>
      <c r="N638" s="5" t="s">
        <v>51</v>
      </c>
      <c r="O638" s="5"/>
      <c r="P638" s="10"/>
      <c r="Q638" s="10"/>
      <c r="R638" s="11"/>
      <c r="S638" s="11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81"/>
      <c r="AG638" s="71"/>
      <c r="AH638" s="71"/>
      <c r="AI638" s="71"/>
      <c r="AJ638" s="71"/>
      <c r="AK638" s="71"/>
      <c r="AL638" s="71"/>
      <c r="AM638" s="71"/>
      <c r="AN638" s="71"/>
      <c r="AO638" s="71"/>
      <c r="AP638" s="71"/>
      <c r="AQ638" s="71"/>
      <c r="AR638" s="71"/>
      <c r="AS638" s="94"/>
      <c r="AT638" s="95"/>
      <c r="AU638" s="97"/>
      <c r="AV638" s="81"/>
      <c r="AW638" s="83">
        <f t="shared" si="945"/>
        <v>0</v>
      </c>
      <c r="AX638" s="83">
        <f t="shared" si="946"/>
        <v>0</v>
      </c>
      <c r="AY638" s="83">
        <f t="shared" si="947"/>
        <v>0</v>
      </c>
      <c r="AZ638" s="83">
        <f t="shared" si="948"/>
        <v>0</v>
      </c>
      <c r="BA638" s="52"/>
      <c r="BB638" s="52"/>
      <c r="BC638" s="52"/>
      <c r="BD638" s="52"/>
      <c r="BE638" s="52"/>
      <c r="BF638" s="52"/>
      <c r="BG638" s="52"/>
      <c r="BH638" s="52"/>
      <c r="BI638" s="65"/>
      <c r="BJ638" s="68"/>
      <c r="BK638" s="59">
        <f t="shared" si="949"/>
        <v>0</v>
      </c>
      <c r="BL638" s="59" cm="1">
        <f t="array" ref="BL638">IFERROR(SUM(AW638:INDEX(AW638:BH638, MATCH(2, 1/(AW638:BH638&lt;&gt;""), 1) - 1))/_xlfn.XLOOKUP(F638,Apuração!A:A,Apuração!B:B),0)</f>
        <v>0</v>
      </c>
      <c r="BM638" s="55"/>
      <c r="BN638" s="55"/>
      <c r="BO638" s="53">
        <f ca="1">IFERROR(_xlfn.XLOOKUP(F638,Apuração!A:A,Apuração!C:C)/_xlfn.XLOOKUP(F638,Apuração!A:A,Apuração!B:B),0)</f>
        <v>0</v>
      </c>
      <c r="BP638" s="53">
        <f ca="1">IFERROR(_xlfn.XLOOKUP(F638,Apuração!A:A,Apuração!D:D)/_xlfn.XLOOKUP(F638,Apuração!A:A,Apuração!B:B),0)</f>
        <v>0</v>
      </c>
      <c r="BQ638" s="53">
        <f ca="1">IF(BK638&gt;=BO638,0,_xlfn.XLOOKUP(F638,Apuração!A:A,Apuração!B:B)*(BO638 + (1/_xlfn.XLOOKUP(F638,Apuração!A:A,Apuração!B:B)) - BK638))</f>
        <v>0</v>
      </c>
      <c r="BR638" s="85">
        <f t="shared" ca="1" si="950"/>
        <v>0</v>
      </c>
      <c r="BS638" s="53">
        <f ca="1">IFERROR((_xlfn.XLOOKUP(F638,Apuração!A:A,Apuração!C:C)+1)/_xlfn.XLOOKUP(F638,Apuração!A:A,Apuração!B:B),0)</f>
        <v>0.14285714285714285</v>
      </c>
    </row>
    <row r="639" spans="1:71" ht="25.95" hidden="1" customHeight="1" x14ac:dyDescent="0.3">
      <c r="A639" s="41" t="s">
        <v>108</v>
      </c>
      <c r="B639" s="4" t="s">
        <v>129</v>
      </c>
      <c r="C639" s="5" t="s">
        <v>97</v>
      </c>
      <c r="D639" s="5" t="s">
        <v>36</v>
      </c>
      <c r="E639" s="4" t="s">
        <v>61</v>
      </c>
      <c r="F639" s="4" t="str" cm="1">
        <f t="array" ref="F639">_xlfn.IFS(
AG639 &lt;&gt; "", "Jan-Dez/26",
AH639 &lt;&gt; "", "Fev-Dez/26",
AI639 &lt;&gt; "", "Mar-Dez/26", AJ639 &lt;&gt; "", "Abr-Dez/26",
TRUE, "A partir de Junho"
)</f>
        <v>A partir de Junho</v>
      </c>
      <c r="G639" s="4" t="s">
        <v>62</v>
      </c>
      <c r="H639" s="7" t="s">
        <v>38</v>
      </c>
      <c r="I639" s="4" t="s">
        <v>130</v>
      </c>
      <c r="J639" s="8" t="str" cm="1">
        <f t="array" aca="1" ref="J639" ca="1">_xlfn.LET(
  _xlpm.actual_value_month, INDEX(T639:AE639, MATCH(DATE(YEAR(TODAY()), MONTH(TODAY()), 1), $T$1:$AE$1, 0)),
  IF(_xlpm.actual_value_month &lt;&gt; "",_xlpm.actual_value_month &amp; " ações mensais", "")
)</f>
        <v/>
      </c>
      <c r="K639" s="8" t="str" cm="1">
        <f t="array" ref="K639">_xlfn.LET(
    _xlpm.sum_month, SUM(T639:AE639),
    IF(_xlpm.sum_month = 0, "", _xlpm.sum_month &amp; " treinamento de motociclistas no ano")
)</f>
        <v/>
      </c>
      <c r="L639" s="4" t="s">
        <v>131</v>
      </c>
      <c r="M639" s="19"/>
      <c r="N639" s="5" t="s">
        <v>42</v>
      </c>
      <c r="O639" s="5"/>
      <c r="P639" s="10"/>
      <c r="Q639" s="10"/>
      <c r="R639" s="11"/>
      <c r="S639" s="11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81"/>
      <c r="AG639" s="71"/>
      <c r="AH639" s="71"/>
      <c r="AI639" s="71"/>
      <c r="AJ639" s="71"/>
      <c r="AK639" s="71"/>
      <c r="AL639" s="71"/>
      <c r="AM639" s="71"/>
      <c r="AN639" s="71"/>
      <c r="AO639" s="71"/>
      <c r="AP639" s="71"/>
      <c r="AQ639" s="71"/>
      <c r="AR639" s="71"/>
      <c r="AS639" s="94"/>
      <c r="AT639" s="95"/>
      <c r="AU639" s="97"/>
      <c r="AV639" s="81"/>
      <c r="AW639" s="51">
        <f>IFERROR(IF(AG639="",0,AG639/T639),0)</f>
        <v>0</v>
      </c>
      <c r="AX639" s="51">
        <f>IFERROR(IF(AH639="",0,AH639/U639),0)</f>
        <v>0</v>
      </c>
      <c r="AY639" s="51">
        <f>IFERROR(IF(AI639="",0,AI639/V639),0)</f>
        <v>0</v>
      </c>
      <c r="AZ639" s="51">
        <f>IFERROR(IF(AJ639="",0,AJ639/W639),0)</f>
        <v>0</v>
      </c>
      <c r="BA639" s="51"/>
      <c r="BB639" s="51"/>
      <c r="BC639" s="51"/>
      <c r="BD639" s="51"/>
      <c r="BE639" s="51"/>
      <c r="BF639" s="51"/>
      <c r="BG639" s="51"/>
      <c r="BH639" s="51"/>
      <c r="BI639" s="65"/>
      <c r="BJ639" s="68"/>
      <c r="BK639" s="58">
        <f>IF((IF(AW639&gt;=115%,115%,AW639) + IF(AX639&gt;=115%,115%,AX639) + IF(AY639&gt;=115%,115%,AY639) + (IF(AZ639&gt;=115%,115%,AZ639) + IF(BA639&gt;=115%,115%,BA639) + IF(BB639&gt;=115%,115%,BB639) + IF(BC639&gt;=115%,115%,BC639) + IF(BD639&gt;=115%,115%,BD639) + IF(BE639&gt;=115%,115%,BE639) + IF(BF639&gt;=115%,115%,BF639) + IF(BG639&gt;=115%,115%,BG639) + IF(BH639&gt;=115%,115%,BH639)))/_xlfn.XLOOKUP(F639,Apuração!A:A,Apuração!B:B)&gt;=1.15,1.15,((IF(AZ639&gt;=115%,115%,AZ639) + IF(AX639&gt;=115%,115%,AX639) + IF(AY639&gt;=115%,115%,AY639) + (IF(AW639&gt;=115%,115%,AW639) + IF(BA639&gt;=115%,115%,BA639) + IF(BB639&gt;=115%,115%,BB639) + IF(BC639&gt;=115%,115%,BC639) + IF(BD639&gt;=115%,115%,BD639) + IF(BE639&gt;=115%,115%,BE639) + IF(BF639&gt;=115%,115%,BF639) + IF(BG639&gt;=115%,115%,BG639) + IF(BH639&gt;=115%,115%,BH639)))/_xlfn.XLOOKUP(F639,Apuração!A:A,Apuração!B:B)))</f>
        <v>0</v>
      </c>
      <c r="BL639" s="58" cm="1">
        <f t="array" aca="1" ref="BL639" ca="1">IF(SUM(IFERROR(IF(INDEX(AW639:INDEX(AW639:BH639, MATCH(2, 1/(AW639:BH639&lt;&gt;""), 1)-1), ROW(INDIRECT("1:" &amp; MATCH(2, 1/(AW639:BH639&lt;&gt;""), 1)-1))) &gt;= 115%, 115%, INDEX(AW639:INDEX(AW639:BH639, MATCH(2, 1/(AW639:BH639&lt;&gt;""), 1)-1), ROW(INDIRECT("1:" &amp; MATCH(2, 1/(AW639:BH639&lt;&gt;""), 1)-1)))), 0))/_xlfn.XLOOKUP(F639,Apuração!A:A,Apuração!B:B)&gt;=1.15,1.15,SUM(IFERROR(IF(INDEX(AW639:INDEX(AW639:BH639, MATCH(2, 1/(AW639:BH639&lt;&gt;""), 1)-1), ROW(INDIRECT("1:" &amp; MATCH(2, 1/(AW639:BH639&lt;&gt;""), 1)-1))) &gt;= 115%, 115%, INDEX(AW639:INDEX(AW639:BH639, MATCH(2, 1/(AW639:BH639&lt;&gt;""), 1)-1), ROW(INDIRECT("1:" &amp; MATCH(2, 1/(AW639:BH639&lt;&gt;""), 1)-1)))), 0))/_xlfn.XLOOKUP(F639,Apuração!A:A,Apuração!B:B))</f>
        <v>0</v>
      </c>
      <c r="BM639" s="55"/>
      <c r="BN639" s="55"/>
      <c r="BO639" s="53">
        <f ca="1">IFERROR(_xlfn.XLOOKUP(F639,Apuração!A:A,Apuração!C:C)/_xlfn.XLOOKUP(F639,Apuração!A:A,Apuração!B:B),0)</f>
        <v>0</v>
      </c>
      <c r="BP639" s="53">
        <f ca="1">IFERROR(_xlfn.XLOOKUP(F639,Apuração!A:A,Apuração!D:D)/_xlfn.XLOOKUP(F639,Apuração!A:A,Apuração!B:B),0)</f>
        <v>0</v>
      </c>
      <c r="BQ639" s="53">
        <f ca="1">IF(BK639&gt;=BO639,0,_xlfn.XLOOKUP(F639,Apuração!A:A,Apuração!B:B)*(BO639 + (1/_xlfn.XLOOKUP(F639,Apuração!A:A,Apuração!B:B)) - BK639))</f>
        <v>0</v>
      </c>
      <c r="BR639" s="85">
        <f t="shared" ca="1" si="898"/>
        <v>0</v>
      </c>
      <c r="BS639" s="53">
        <f ca="1">IFERROR((_xlfn.XLOOKUP(F639,Apuração!A:A,Apuração!C:C)+1)/_xlfn.XLOOKUP(F639,Apuração!A:A,Apuração!B:B),0)</f>
        <v>0.14285714285714285</v>
      </c>
    </row>
    <row r="640" spans="1:71" ht="25.95" hidden="1" customHeight="1" x14ac:dyDescent="0.3">
      <c r="A640" s="41" t="s">
        <v>108</v>
      </c>
      <c r="B640" s="4" t="s">
        <v>129</v>
      </c>
      <c r="C640" s="5" t="s">
        <v>97</v>
      </c>
      <c r="D640" s="5" t="s">
        <v>98</v>
      </c>
      <c r="E640" s="4" t="s">
        <v>61</v>
      </c>
      <c r="F640" s="4" t="str" cm="1">
        <f t="array" ref="F640">_xlfn.IFS(
AG640 &lt;&gt; "", "Jan-Dez/26",
AH640 &lt;&gt; "", "Fev-Dez/26",
AI640 &lt;&gt; "", "Mar-Dez/26", AJ640 &lt;&gt; "", "Abr-Dez/26",
TRUE, "A partir de Junho"
)</f>
        <v>A partir de Junho</v>
      </c>
      <c r="G640" s="4" t="s">
        <v>62</v>
      </c>
      <c r="H640" s="7" t="s">
        <v>38</v>
      </c>
      <c r="I640" s="4" t="s">
        <v>130</v>
      </c>
      <c r="J640" s="8" t="str" cm="1">
        <f t="array" aca="1" ref="J640" ca="1">_xlfn.LET(
  _xlpm.actual_value_month, INDEX(T640:AE640, MATCH(DATE(YEAR(TODAY()), MONTH(TODAY()), 1), $T$1:$AE$1, 0)),
  IF(_xlpm.actual_value_month &lt;&gt; "",_xlpm.actual_value_month &amp; " ações mensais", "")
)</f>
        <v/>
      </c>
      <c r="K640" s="8" t="str" cm="1">
        <f t="array" ref="K640">_xlfn.LET(
    _xlpm.sum_month, SUM(T640:AE640),
    IF(_xlpm.sum_month = 0, "", _xlpm.sum_month &amp; " treinamento de motociclistas no ano")
)</f>
        <v/>
      </c>
      <c r="L640" s="4" t="s">
        <v>131</v>
      </c>
      <c r="M640" s="19"/>
      <c r="N640" s="5" t="s">
        <v>42</v>
      </c>
      <c r="O640" s="5"/>
      <c r="P640" s="10"/>
      <c r="Q640" s="10"/>
      <c r="R640" s="11"/>
      <c r="S640" s="11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81"/>
      <c r="AG640" s="71"/>
      <c r="AH640" s="71"/>
      <c r="AI640" s="71"/>
      <c r="AJ640" s="71"/>
      <c r="AK640" s="71"/>
      <c r="AL640" s="71"/>
      <c r="AM640" s="71"/>
      <c r="AN640" s="71"/>
      <c r="AO640" s="71"/>
      <c r="AP640" s="71"/>
      <c r="AQ640" s="71"/>
      <c r="AR640" s="71"/>
      <c r="AS640" s="94"/>
      <c r="AT640" s="95"/>
      <c r="AU640" s="97"/>
      <c r="AV640" s="81"/>
      <c r="AW640" s="51">
        <f t="shared" ref="AW640:AW649" si="951">IFERROR(IF(AG640="",0,AG640/T640),0)</f>
        <v>0</v>
      </c>
      <c r="AX640" s="51">
        <f t="shared" ref="AX640:AX649" si="952">IFERROR(IF(AH640="",0,AH640/U640),0)</f>
        <v>0</v>
      </c>
      <c r="AY640" s="51">
        <f t="shared" ref="AY640:AY649" si="953">IFERROR(IF(AI640="",0,AI640/V640),0)</f>
        <v>0</v>
      </c>
      <c r="AZ640" s="51">
        <f t="shared" ref="AZ640:AZ649" si="954">IFERROR(IF(AJ640="",0,AJ640/W640),0)</f>
        <v>0</v>
      </c>
      <c r="BA640" s="51"/>
      <c r="BB640" s="51"/>
      <c r="BC640" s="51"/>
      <c r="BD640" s="51"/>
      <c r="BE640" s="51"/>
      <c r="BF640" s="51"/>
      <c r="BG640" s="51"/>
      <c r="BH640" s="51"/>
      <c r="BI640" s="65"/>
      <c r="BJ640" s="68"/>
      <c r="BK640" s="58">
        <f>IF((IF(AW640&gt;=115%,115%,AW640) + IF(AX640&gt;=115%,115%,AX640) + IF(AY640&gt;=115%,115%,AY640) + (IF(AZ640&gt;=115%,115%,AZ640) + IF(BA640&gt;=115%,115%,BA640) + IF(BB640&gt;=115%,115%,BB640) + IF(BC640&gt;=115%,115%,BC640) + IF(BD640&gt;=115%,115%,BD640) + IF(BE640&gt;=115%,115%,BE640) + IF(BF640&gt;=115%,115%,BF640) + IF(BG640&gt;=115%,115%,BG640) + IF(BH640&gt;=115%,115%,BH640)))/_xlfn.XLOOKUP(F640,Apuração!A:A,Apuração!B:B)&gt;=1.15,1.15,((IF(AZ640&gt;=115%,115%,AZ640) + IF(AX640&gt;=115%,115%,AX640) + IF(AY640&gt;=115%,115%,AY640) + (IF(AW640&gt;=115%,115%,AW640) + IF(BA640&gt;=115%,115%,BA640) + IF(BB640&gt;=115%,115%,BB640) + IF(BC640&gt;=115%,115%,BC640) + IF(BD640&gt;=115%,115%,BD640) + IF(BE640&gt;=115%,115%,BE640) + IF(BF640&gt;=115%,115%,BF640) + IF(BG640&gt;=115%,115%,BG640) + IF(BH640&gt;=115%,115%,BH640)))/_xlfn.XLOOKUP(F640,Apuração!A:A,Apuração!B:B)))</f>
        <v>0</v>
      </c>
      <c r="BL640" s="58" cm="1">
        <f t="array" aca="1" ref="BL640" ca="1">IF(SUM(IFERROR(IF(INDEX(AW640:INDEX(AW640:BH640, MATCH(2, 1/(AW640:BH640&lt;&gt;""), 1)-1), ROW(INDIRECT("1:" &amp; MATCH(2, 1/(AW640:BH640&lt;&gt;""), 1)-1))) &gt;= 115%, 115%, INDEX(AW640:INDEX(AW640:BH640, MATCH(2, 1/(AW640:BH640&lt;&gt;""), 1)-1), ROW(INDIRECT("1:" &amp; MATCH(2, 1/(AW640:BH640&lt;&gt;""), 1)-1)))), 0))/_xlfn.XLOOKUP(F640,Apuração!A:A,Apuração!B:B)&gt;=1.15,1.15,SUM(IFERROR(IF(INDEX(AW640:INDEX(AW640:BH640, MATCH(2, 1/(AW640:BH640&lt;&gt;""), 1)-1), ROW(INDIRECT("1:" &amp; MATCH(2, 1/(AW640:BH640&lt;&gt;""), 1)-1))) &gt;= 115%, 115%, INDEX(AW640:INDEX(AW640:BH640, MATCH(2, 1/(AW640:BH640&lt;&gt;""), 1)-1), ROW(INDIRECT("1:" &amp; MATCH(2, 1/(AW640:BH640&lt;&gt;""), 1)-1)))), 0))/_xlfn.XLOOKUP(F640,Apuração!A:A,Apuração!B:B))</f>
        <v>0</v>
      </c>
      <c r="BM640" s="55"/>
      <c r="BN640" s="55"/>
      <c r="BO640" s="53">
        <f ca="1">IFERROR(_xlfn.XLOOKUP(F640,Apuração!A:A,Apuração!C:C)/_xlfn.XLOOKUP(F640,Apuração!A:A,Apuração!B:B),0)</f>
        <v>0</v>
      </c>
      <c r="BP640" s="53">
        <f ca="1">IFERROR(_xlfn.XLOOKUP(F640,Apuração!A:A,Apuração!D:D)/_xlfn.XLOOKUP(F640,Apuração!A:A,Apuração!B:B),0)</f>
        <v>0</v>
      </c>
      <c r="BQ640" s="53">
        <f ca="1">IF(BK640&gt;=BO640,0,_xlfn.XLOOKUP(F640,Apuração!A:A,Apuração!B:B)*(BO640 + (1/_xlfn.XLOOKUP(F640,Apuração!A:A,Apuração!B:B)) - BK640))</f>
        <v>0</v>
      </c>
      <c r="BR640" s="85">
        <f t="shared" ref="BR640:BR649" ca="1" si="955">IF(BQ640=0,0,BQ640*Z640)</f>
        <v>0</v>
      </c>
      <c r="BS640" s="53">
        <f ca="1">IFERROR((_xlfn.XLOOKUP(F640,Apuração!A:A,Apuração!C:C)+1)/_xlfn.XLOOKUP(F640,Apuração!A:A,Apuração!B:B),0)</f>
        <v>0.14285714285714285</v>
      </c>
    </row>
    <row r="641" spans="1:71" ht="25.95" hidden="1" customHeight="1" x14ac:dyDescent="0.3">
      <c r="A641" s="41" t="s">
        <v>108</v>
      </c>
      <c r="B641" s="4" t="s">
        <v>129</v>
      </c>
      <c r="C641" s="5" t="s">
        <v>97</v>
      </c>
      <c r="D641" s="5" t="s">
        <v>99</v>
      </c>
      <c r="E641" s="4" t="s">
        <v>61</v>
      </c>
      <c r="F641" s="4" t="str" cm="1">
        <f t="array" ref="F641">_xlfn.IFS(
AG641 &lt;&gt; "", "Jan-Dez/26",
AH641 &lt;&gt; "", "Fev-Dez/26",
AI641 &lt;&gt; "", "Mar-Dez/26", AJ641 &lt;&gt; "", "Abr-Dez/26",
TRUE, "A partir de Junho"
)</f>
        <v>A partir de Junho</v>
      </c>
      <c r="G641" s="4" t="s">
        <v>62</v>
      </c>
      <c r="H641" s="7" t="s">
        <v>38</v>
      </c>
      <c r="I641" s="4" t="s">
        <v>130</v>
      </c>
      <c r="J641" s="8" t="str" cm="1">
        <f t="array" aca="1" ref="J641" ca="1">_xlfn.LET(
  _xlpm.actual_value_month, INDEX(T641:AE641, MATCH(DATE(YEAR(TODAY()), MONTH(TODAY()), 1), $T$1:$AE$1, 0)),
  IF(_xlpm.actual_value_month &lt;&gt; "",_xlpm.actual_value_month &amp; " ações mensais", "")
)</f>
        <v/>
      </c>
      <c r="K641" s="8" t="str" cm="1">
        <f t="array" ref="K641">_xlfn.LET(
    _xlpm.sum_month, SUM(T641:AE641),
    IF(_xlpm.sum_month = 0, "", _xlpm.sum_month &amp; " treinamento de motociclistas no ano")
)</f>
        <v/>
      </c>
      <c r="L641" s="4" t="s">
        <v>131</v>
      </c>
      <c r="M641" s="19"/>
      <c r="N641" s="5" t="s">
        <v>42</v>
      </c>
      <c r="O641" s="5"/>
      <c r="P641" s="10"/>
      <c r="Q641" s="10"/>
      <c r="R641" s="11"/>
      <c r="S641" s="11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81"/>
      <c r="AG641" s="71"/>
      <c r="AH641" s="71"/>
      <c r="AI641" s="71"/>
      <c r="AJ641" s="71"/>
      <c r="AK641" s="71"/>
      <c r="AL641" s="71"/>
      <c r="AM641" s="71"/>
      <c r="AN641" s="71"/>
      <c r="AO641" s="71"/>
      <c r="AP641" s="71"/>
      <c r="AQ641" s="71"/>
      <c r="AR641" s="71"/>
      <c r="AS641" s="94"/>
      <c r="AT641" s="95"/>
      <c r="AU641" s="97"/>
      <c r="AV641" s="81"/>
      <c r="AW641" s="51">
        <f t="shared" si="951"/>
        <v>0</v>
      </c>
      <c r="AX641" s="51">
        <f t="shared" si="952"/>
        <v>0</v>
      </c>
      <c r="AY641" s="51">
        <f t="shared" si="953"/>
        <v>0</v>
      </c>
      <c r="AZ641" s="51">
        <f t="shared" si="954"/>
        <v>0</v>
      </c>
      <c r="BA641" s="51"/>
      <c r="BB641" s="51"/>
      <c r="BC641" s="51"/>
      <c r="BD641" s="51"/>
      <c r="BE641" s="51"/>
      <c r="BF641" s="51"/>
      <c r="BG641" s="51"/>
      <c r="BH641" s="51"/>
      <c r="BI641" s="65"/>
      <c r="BJ641" s="68"/>
      <c r="BK641" s="58">
        <f>IF((IF(AW641&gt;=115%,115%,AW641) + IF(AX641&gt;=115%,115%,AX641) + IF(AY641&gt;=115%,115%,AY641) + (IF(AZ641&gt;=115%,115%,AZ641) + IF(BA641&gt;=115%,115%,BA641) + IF(BB641&gt;=115%,115%,BB641) + IF(BC641&gt;=115%,115%,BC641) + IF(BD641&gt;=115%,115%,BD641) + IF(BE641&gt;=115%,115%,BE641) + IF(BF641&gt;=115%,115%,BF641) + IF(BG641&gt;=115%,115%,BG641) + IF(BH641&gt;=115%,115%,BH641)))/_xlfn.XLOOKUP(F641,Apuração!A:A,Apuração!B:B)&gt;=1.15,1.15,((IF(AZ641&gt;=115%,115%,AZ641) + IF(AX641&gt;=115%,115%,AX641) + IF(AY641&gt;=115%,115%,AY641) + (IF(AW641&gt;=115%,115%,AW641) + IF(BA641&gt;=115%,115%,BA641) + IF(BB641&gt;=115%,115%,BB641) + IF(BC641&gt;=115%,115%,BC641) + IF(BD641&gt;=115%,115%,BD641) + IF(BE641&gt;=115%,115%,BE641) + IF(BF641&gt;=115%,115%,BF641) + IF(BG641&gt;=115%,115%,BG641) + IF(BH641&gt;=115%,115%,BH641)))/_xlfn.XLOOKUP(F641,Apuração!A:A,Apuração!B:B)))</f>
        <v>0</v>
      </c>
      <c r="BL641" s="58" cm="1">
        <f t="array" aca="1" ref="BL641" ca="1">IF(SUM(IFERROR(IF(INDEX(AW641:INDEX(AW641:BH641, MATCH(2, 1/(AW641:BH641&lt;&gt;""), 1)-1), ROW(INDIRECT("1:" &amp; MATCH(2, 1/(AW641:BH641&lt;&gt;""), 1)-1))) &gt;= 115%, 115%, INDEX(AW641:INDEX(AW641:BH641, MATCH(2, 1/(AW641:BH641&lt;&gt;""), 1)-1), ROW(INDIRECT("1:" &amp; MATCH(2, 1/(AW641:BH641&lt;&gt;""), 1)-1)))), 0))/_xlfn.XLOOKUP(F641,Apuração!A:A,Apuração!B:B)&gt;=1.15,1.15,SUM(IFERROR(IF(INDEX(AW641:INDEX(AW641:BH641, MATCH(2, 1/(AW641:BH641&lt;&gt;""), 1)-1), ROW(INDIRECT("1:" &amp; MATCH(2, 1/(AW641:BH641&lt;&gt;""), 1)-1))) &gt;= 115%, 115%, INDEX(AW641:INDEX(AW641:BH641, MATCH(2, 1/(AW641:BH641&lt;&gt;""), 1)-1), ROW(INDIRECT("1:" &amp; MATCH(2, 1/(AW641:BH641&lt;&gt;""), 1)-1)))), 0))/_xlfn.XLOOKUP(F641,Apuração!A:A,Apuração!B:B))</f>
        <v>0</v>
      </c>
      <c r="BM641" s="55"/>
      <c r="BN641" s="55"/>
      <c r="BO641" s="53">
        <f ca="1">IFERROR(_xlfn.XLOOKUP(F641,Apuração!A:A,Apuração!C:C)/_xlfn.XLOOKUP(F641,Apuração!A:A,Apuração!B:B),0)</f>
        <v>0</v>
      </c>
      <c r="BP641" s="53">
        <f ca="1">IFERROR(_xlfn.XLOOKUP(F641,Apuração!A:A,Apuração!D:D)/_xlfn.XLOOKUP(F641,Apuração!A:A,Apuração!B:B),0)</f>
        <v>0</v>
      </c>
      <c r="BQ641" s="53">
        <f ca="1">IF(BK641&gt;=BO641,0,_xlfn.XLOOKUP(F641,Apuração!A:A,Apuração!B:B)*(BO641 + (1/_xlfn.XLOOKUP(F641,Apuração!A:A,Apuração!B:B)) - BK641))</f>
        <v>0</v>
      </c>
      <c r="BR641" s="85">
        <f t="shared" ca="1" si="955"/>
        <v>0</v>
      </c>
      <c r="BS641" s="53">
        <f ca="1">IFERROR((_xlfn.XLOOKUP(F641,Apuração!A:A,Apuração!C:C)+1)/_xlfn.XLOOKUP(F641,Apuração!A:A,Apuração!B:B),0)</f>
        <v>0.14285714285714285</v>
      </c>
    </row>
    <row r="642" spans="1:71" ht="25.95" hidden="1" customHeight="1" x14ac:dyDescent="0.3">
      <c r="A642" s="41" t="s">
        <v>108</v>
      </c>
      <c r="B642" s="4" t="s">
        <v>129</v>
      </c>
      <c r="C642" s="5" t="s">
        <v>97</v>
      </c>
      <c r="D642" s="5" t="s">
        <v>100</v>
      </c>
      <c r="E642" s="4" t="s">
        <v>61</v>
      </c>
      <c r="F642" s="4" t="str" cm="1">
        <f t="array" ref="F642">_xlfn.IFS(
AG642 &lt;&gt; "", "Jan-Dez/26",
AH642 &lt;&gt; "", "Fev-Dez/26",
AI642 &lt;&gt; "", "Mar-Dez/26", AJ642 &lt;&gt; "", "Abr-Dez/26",
TRUE, "A partir de Junho"
)</f>
        <v>A partir de Junho</v>
      </c>
      <c r="G642" s="4" t="s">
        <v>62</v>
      </c>
      <c r="H642" s="7" t="s">
        <v>38</v>
      </c>
      <c r="I642" s="4" t="s">
        <v>130</v>
      </c>
      <c r="J642" s="8" t="str" cm="1">
        <f t="array" aca="1" ref="J642" ca="1">_xlfn.LET(
  _xlpm.actual_value_month, INDEX(T642:AE642, MATCH(DATE(YEAR(TODAY()), MONTH(TODAY()), 1), $T$1:$AE$1, 0)),
  IF(_xlpm.actual_value_month &lt;&gt; "",_xlpm.actual_value_month &amp; " ações mensais", "")
)</f>
        <v/>
      </c>
      <c r="K642" s="8" t="str" cm="1">
        <f t="array" ref="K642">_xlfn.LET(
    _xlpm.sum_month, SUM(T642:AE642),
    IF(_xlpm.sum_month = 0, "", _xlpm.sum_month &amp; " treinamento de motociclistas no ano")
)</f>
        <v/>
      </c>
      <c r="L642" s="4" t="s">
        <v>131</v>
      </c>
      <c r="M642" s="19"/>
      <c r="N642" s="5" t="s">
        <v>42</v>
      </c>
      <c r="O642" s="5"/>
      <c r="P642" s="10"/>
      <c r="Q642" s="10"/>
      <c r="R642" s="11"/>
      <c r="S642" s="11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81"/>
      <c r="AG642" s="71"/>
      <c r="AH642" s="71"/>
      <c r="AI642" s="71"/>
      <c r="AJ642" s="71"/>
      <c r="AK642" s="71"/>
      <c r="AL642" s="71"/>
      <c r="AM642" s="71"/>
      <c r="AN642" s="71"/>
      <c r="AO642" s="71"/>
      <c r="AP642" s="71"/>
      <c r="AQ642" s="71"/>
      <c r="AR642" s="71"/>
      <c r="AS642" s="94"/>
      <c r="AT642" s="95"/>
      <c r="AU642" s="97"/>
      <c r="AV642" s="81"/>
      <c r="AW642" s="51">
        <f t="shared" si="951"/>
        <v>0</v>
      </c>
      <c r="AX642" s="51">
        <f t="shared" si="952"/>
        <v>0</v>
      </c>
      <c r="AY642" s="51">
        <f t="shared" si="953"/>
        <v>0</v>
      </c>
      <c r="AZ642" s="51">
        <f t="shared" si="954"/>
        <v>0</v>
      </c>
      <c r="BA642" s="51"/>
      <c r="BB642" s="51"/>
      <c r="BC642" s="51"/>
      <c r="BD642" s="51"/>
      <c r="BE642" s="51"/>
      <c r="BF642" s="51"/>
      <c r="BG642" s="51"/>
      <c r="BH642" s="51"/>
      <c r="BI642" s="65"/>
      <c r="BJ642" s="68"/>
      <c r="BK642" s="58">
        <f>IF((IF(AW642&gt;=115%,115%,AW642) + IF(AX642&gt;=115%,115%,AX642) + IF(AY642&gt;=115%,115%,AY642) + (IF(AZ642&gt;=115%,115%,AZ642) + IF(BA642&gt;=115%,115%,BA642) + IF(BB642&gt;=115%,115%,BB642) + IF(BC642&gt;=115%,115%,BC642) + IF(BD642&gt;=115%,115%,BD642) + IF(BE642&gt;=115%,115%,BE642) + IF(BF642&gt;=115%,115%,BF642) + IF(BG642&gt;=115%,115%,BG642) + IF(BH642&gt;=115%,115%,BH642)))/_xlfn.XLOOKUP(F642,Apuração!A:A,Apuração!B:B)&gt;=1.15,1.15,((IF(AZ642&gt;=115%,115%,AZ642) + IF(AX642&gt;=115%,115%,AX642) + IF(AY642&gt;=115%,115%,AY642) + (IF(AW642&gt;=115%,115%,AW642) + IF(BA642&gt;=115%,115%,BA642) + IF(BB642&gt;=115%,115%,BB642) + IF(BC642&gt;=115%,115%,BC642) + IF(BD642&gt;=115%,115%,BD642) + IF(BE642&gt;=115%,115%,BE642) + IF(BF642&gt;=115%,115%,BF642) + IF(BG642&gt;=115%,115%,BG642) + IF(BH642&gt;=115%,115%,BH642)))/_xlfn.XLOOKUP(F642,Apuração!A:A,Apuração!B:B)))</f>
        <v>0</v>
      </c>
      <c r="BL642" s="58" cm="1">
        <f t="array" aca="1" ref="BL642" ca="1">IF(SUM(IFERROR(IF(INDEX(AW642:INDEX(AW642:BH642, MATCH(2, 1/(AW642:BH642&lt;&gt;""), 1)-1), ROW(INDIRECT("1:" &amp; MATCH(2, 1/(AW642:BH642&lt;&gt;""), 1)-1))) &gt;= 115%, 115%, INDEX(AW642:INDEX(AW642:BH642, MATCH(2, 1/(AW642:BH642&lt;&gt;""), 1)-1), ROW(INDIRECT("1:" &amp; MATCH(2, 1/(AW642:BH642&lt;&gt;""), 1)-1)))), 0))/_xlfn.XLOOKUP(F642,Apuração!A:A,Apuração!B:B)&gt;=1.15,1.15,SUM(IFERROR(IF(INDEX(AW642:INDEX(AW642:BH642, MATCH(2, 1/(AW642:BH642&lt;&gt;""), 1)-1), ROW(INDIRECT("1:" &amp; MATCH(2, 1/(AW642:BH642&lt;&gt;""), 1)-1))) &gt;= 115%, 115%, INDEX(AW642:INDEX(AW642:BH642, MATCH(2, 1/(AW642:BH642&lt;&gt;""), 1)-1), ROW(INDIRECT("1:" &amp; MATCH(2, 1/(AW642:BH642&lt;&gt;""), 1)-1)))), 0))/_xlfn.XLOOKUP(F642,Apuração!A:A,Apuração!B:B))</f>
        <v>0</v>
      </c>
      <c r="BM642" s="55"/>
      <c r="BN642" s="55"/>
      <c r="BO642" s="53">
        <f ca="1">IFERROR(_xlfn.XLOOKUP(F642,Apuração!A:A,Apuração!C:C)/_xlfn.XLOOKUP(F642,Apuração!A:A,Apuração!B:B),0)</f>
        <v>0</v>
      </c>
      <c r="BP642" s="53">
        <f ca="1">IFERROR(_xlfn.XLOOKUP(F642,Apuração!A:A,Apuração!D:D)/_xlfn.XLOOKUP(F642,Apuração!A:A,Apuração!B:B),0)</f>
        <v>0</v>
      </c>
      <c r="BQ642" s="53">
        <f ca="1">IF(BK642&gt;=BO642,0,_xlfn.XLOOKUP(F642,Apuração!A:A,Apuração!B:B)*(BO642 + (1/_xlfn.XLOOKUP(F642,Apuração!A:A,Apuração!B:B)) - BK642))</f>
        <v>0</v>
      </c>
      <c r="BR642" s="85">
        <f t="shared" ca="1" si="955"/>
        <v>0</v>
      </c>
      <c r="BS642" s="53">
        <f ca="1">IFERROR((_xlfn.XLOOKUP(F642,Apuração!A:A,Apuração!C:C)+1)/_xlfn.XLOOKUP(F642,Apuração!A:A,Apuração!B:B),0)</f>
        <v>0.14285714285714285</v>
      </c>
    </row>
    <row r="643" spans="1:71" ht="25.95" hidden="1" customHeight="1" x14ac:dyDescent="0.3">
      <c r="A643" s="41" t="s">
        <v>108</v>
      </c>
      <c r="B643" s="4" t="s">
        <v>129</v>
      </c>
      <c r="C643" s="5" t="s">
        <v>97</v>
      </c>
      <c r="D643" s="5" t="s">
        <v>101</v>
      </c>
      <c r="E643" s="4" t="s">
        <v>61</v>
      </c>
      <c r="F643" s="4" t="str" cm="1">
        <f t="array" ref="F643">_xlfn.IFS(
AG643 &lt;&gt; "", "Jan-Dez/26",
AH643 &lt;&gt; "", "Fev-Dez/26",
AI643 &lt;&gt; "", "Mar-Dez/26", AJ643 &lt;&gt; "", "Abr-Dez/26",
TRUE, "A partir de Junho"
)</f>
        <v>A partir de Junho</v>
      </c>
      <c r="G643" s="4" t="s">
        <v>62</v>
      </c>
      <c r="H643" s="7" t="s">
        <v>38</v>
      </c>
      <c r="I643" s="4" t="s">
        <v>130</v>
      </c>
      <c r="J643" s="8" t="str" cm="1">
        <f t="array" aca="1" ref="J643" ca="1">_xlfn.LET(
  _xlpm.actual_value_month, INDEX(T643:AE643, MATCH(DATE(YEAR(TODAY()), MONTH(TODAY()), 1), $T$1:$AE$1, 0)),
  IF(_xlpm.actual_value_month &lt;&gt; "",_xlpm.actual_value_month &amp; " ações mensais", "")
)</f>
        <v/>
      </c>
      <c r="K643" s="8" t="str" cm="1">
        <f t="array" ref="K643">_xlfn.LET(
    _xlpm.sum_month, SUM(T643:AE643),
    IF(_xlpm.sum_month = 0, "", _xlpm.sum_month &amp; " treinamento de motociclistas no ano")
)</f>
        <v/>
      </c>
      <c r="L643" s="4" t="s">
        <v>131</v>
      </c>
      <c r="M643" s="19"/>
      <c r="N643" s="5" t="s">
        <v>42</v>
      </c>
      <c r="O643" s="5"/>
      <c r="P643" s="10"/>
      <c r="Q643" s="10"/>
      <c r="R643" s="11"/>
      <c r="S643" s="11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81"/>
      <c r="AG643" s="71"/>
      <c r="AH643" s="71"/>
      <c r="AI643" s="71"/>
      <c r="AJ643" s="71"/>
      <c r="AK643" s="71"/>
      <c r="AL643" s="71"/>
      <c r="AM643" s="71"/>
      <c r="AN643" s="71"/>
      <c r="AO643" s="71"/>
      <c r="AP643" s="71"/>
      <c r="AQ643" s="71"/>
      <c r="AR643" s="71"/>
      <c r="AS643" s="94"/>
      <c r="AT643" s="95"/>
      <c r="AU643" s="97"/>
      <c r="AV643" s="81"/>
      <c r="AW643" s="51">
        <f t="shared" si="951"/>
        <v>0</v>
      </c>
      <c r="AX643" s="51">
        <f t="shared" si="952"/>
        <v>0</v>
      </c>
      <c r="AY643" s="51">
        <f t="shared" si="953"/>
        <v>0</v>
      </c>
      <c r="AZ643" s="51">
        <f t="shared" si="954"/>
        <v>0</v>
      </c>
      <c r="BA643" s="51"/>
      <c r="BB643" s="51"/>
      <c r="BC643" s="51"/>
      <c r="BD643" s="51"/>
      <c r="BE643" s="51"/>
      <c r="BF643" s="51"/>
      <c r="BG643" s="51"/>
      <c r="BH643" s="51"/>
      <c r="BI643" s="65"/>
      <c r="BJ643" s="68"/>
      <c r="BK643" s="58">
        <f>IF((IF(AW643&gt;=115%,115%,AW643) + IF(AX643&gt;=115%,115%,AX643) + IF(AY643&gt;=115%,115%,AY643) + (IF(AZ643&gt;=115%,115%,AZ643) + IF(BA643&gt;=115%,115%,BA643) + IF(BB643&gt;=115%,115%,BB643) + IF(BC643&gt;=115%,115%,BC643) + IF(BD643&gt;=115%,115%,BD643) + IF(BE643&gt;=115%,115%,BE643) + IF(BF643&gt;=115%,115%,BF643) + IF(BG643&gt;=115%,115%,BG643) + IF(BH643&gt;=115%,115%,BH643)))/_xlfn.XLOOKUP(F643,Apuração!A:A,Apuração!B:B)&gt;=1.15,1.15,((IF(AZ643&gt;=115%,115%,AZ643) + IF(AX643&gt;=115%,115%,AX643) + IF(AY643&gt;=115%,115%,AY643) + (IF(AW643&gt;=115%,115%,AW643) + IF(BA643&gt;=115%,115%,BA643) + IF(BB643&gt;=115%,115%,BB643) + IF(BC643&gt;=115%,115%,BC643) + IF(BD643&gt;=115%,115%,BD643) + IF(BE643&gt;=115%,115%,BE643) + IF(BF643&gt;=115%,115%,BF643) + IF(BG643&gt;=115%,115%,BG643) + IF(BH643&gt;=115%,115%,BH643)))/_xlfn.XLOOKUP(F643,Apuração!A:A,Apuração!B:B)))</f>
        <v>0</v>
      </c>
      <c r="BL643" s="58" cm="1">
        <f t="array" aca="1" ref="BL643" ca="1">IF(SUM(IFERROR(IF(INDEX(AW643:INDEX(AW643:BH643, MATCH(2, 1/(AW643:BH643&lt;&gt;""), 1)-1), ROW(INDIRECT("1:" &amp; MATCH(2, 1/(AW643:BH643&lt;&gt;""), 1)-1))) &gt;= 115%, 115%, INDEX(AW643:INDEX(AW643:BH643, MATCH(2, 1/(AW643:BH643&lt;&gt;""), 1)-1), ROW(INDIRECT("1:" &amp; MATCH(2, 1/(AW643:BH643&lt;&gt;""), 1)-1)))), 0))/_xlfn.XLOOKUP(F643,Apuração!A:A,Apuração!B:B)&gt;=1.15,1.15,SUM(IFERROR(IF(INDEX(AW643:INDEX(AW643:BH643, MATCH(2, 1/(AW643:BH643&lt;&gt;""), 1)-1), ROW(INDIRECT("1:" &amp; MATCH(2, 1/(AW643:BH643&lt;&gt;""), 1)-1))) &gt;= 115%, 115%, INDEX(AW643:INDEX(AW643:BH643, MATCH(2, 1/(AW643:BH643&lt;&gt;""), 1)-1), ROW(INDIRECT("1:" &amp; MATCH(2, 1/(AW643:BH643&lt;&gt;""), 1)-1)))), 0))/_xlfn.XLOOKUP(F643,Apuração!A:A,Apuração!B:B))</f>
        <v>0</v>
      </c>
      <c r="BM643" s="55"/>
      <c r="BN643" s="55"/>
      <c r="BO643" s="53">
        <f ca="1">IFERROR(_xlfn.XLOOKUP(F643,Apuração!A:A,Apuração!C:C)/_xlfn.XLOOKUP(F643,Apuração!A:A,Apuração!B:B),0)</f>
        <v>0</v>
      </c>
      <c r="BP643" s="53">
        <f ca="1">IFERROR(_xlfn.XLOOKUP(F643,Apuração!A:A,Apuração!D:D)/_xlfn.XLOOKUP(F643,Apuração!A:A,Apuração!B:B),0)</f>
        <v>0</v>
      </c>
      <c r="BQ643" s="53">
        <f ca="1">IF(BK643&gt;=BO643,0,_xlfn.XLOOKUP(F643,Apuração!A:A,Apuração!B:B)*(BO643 + (1/_xlfn.XLOOKUP(F643,Apuração!A:A,Apuração!B:B)) - BK643))</f>
        <v>0</v>
      </c>
      <c r="BR643" s="85">
        <f t="shared" ca="1" si="955"/>
        <v>0</v>
      </c>
      <c r="BS643" s="53">
        <f ca="1">IFERROR((_xlfn.XLOOKUP(F643,Apuração!A:A,Apuração!C:C)+1)/_xlfn.XLOOKUP(F643,Apuração!A:A,Apuração!B:B),0)</f>
        <v>0.14285714285714285</v>
      </c>
    </row>
    <row r="644" spans="1:71" ht="25.95" hidden="1" customHeight="1" x14ac:dyDescent="0.3">
      <c r="A644" s="41" t="s">
        <v>108</v>
      </c>
      <c r="B644" s="4" t="s">
        <v>129</v>
      </c>
      <c r="C644" s="5" t="s">
        <v>97</v>
      </c>
      <c r="D644" s="5" t="s">
        <v>102</v>
      </c>
      <c r="E644" s="4" t="s">
        <v>61</v>
      </c>
      <c r="F644" s="4" t="str" cm="1">
        <f t="array" ref="F644">_xlfn.IFS(
AG644 &lt;&gt; "", "Jan-Dez/26",
AH644 &lt;&gt; "", "Fev-Dez/26",
AI644 &lt;&gt; "", "Mar-Dez/26", AJ644 &lt;&gt; "", "Abr-Dez/26",
TRUE, "A partir de Junho"
)</f>
        <v>A partir de Junho</v>
      </c>
      <c r="G644" s="4" t="s">
        <v>62</v>
      </c>
      <c r="H644" s="7" t="s">
        <v>38</v>
      </c>
      <c r="I644" s="4" t="s">
        <v>130</v>
      </c>
      <c r="J644" s="8" t="str" cm="1">
        <f t="array" aca="1" ref="J644" ca="1">_xlfn.LET(
  _xlpm.actual_value_month, INDEX(T644:AE644, MATCH(DATE(YEAR(TODAY()), MONTH(TODAY()), 1), $T$1:$AE$1, 0)),
  IF(_xlpm.actual_value_month &lt;&gt; "",_xlpm.actual_value_month &amp; " ações mensais", "")
)</f>
        <v/>
      </c>
      <c r="K644" s="8" t="str" cm="1">
        <f t="array" ref="K644">_xlfn.LET(
    _xlpm.sum_month, SUM(T644:AE644),
    IF(_xlpm.sum_month = 0, "", _xlpm.sum_month &amp; " treinamento de motociclistas no ano")
)</f>
        <v/>
      </c>
      <c r="L644" s="4" t="s">
        <v>131</v>
      </c>
      <c r="M644" s="19"/>
      <c r="N644" s="5" t="s">
        <v>42</v>
      </c>
      <c r="O644" s="5"/>
      <c r="P644" s="10"/>
      <c r="Q644" s="10"/>
      <c r="R644" s="11"/>
      <c r="S644" s="11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81"/>
      <c r="AG644" s="71"/>
      <c r="AH644" s="71"/>
      <c r="AI644" s="71"/>
      <c r="AJ644" s="71"/>
      <c r="AK644" s="71"/>
      <c r="AL644" s="71"/>
      <c r="AM644" s="71"/>
      <c r="AN644" s="71"/>
      <c r="AO644" s="71"/>
      <c r="AP644" s="71"/>
      <c r="AQ644" s="71"/>
      <c r="AR644" s="71"/>
      <c r="AS644" s="94"/>
      <c r="AT644" s="95"/>
      <c r="AU644" s="97"/>
      <c r="AV644" s="81"/>
      <c r="AW644" s="51">
        <f t="shared" si="951"/>
        <v>0</v>
      </c>
      <c r="AX644" s="51">
        <f t="shared" si="952"/>
        <v>0</v>
      </c>
      <c r="AY644" s="51">
        <f t="shared" si="953"/>
        <v>0</v>
      </c>
      <c r="AZ644" s="51">
        <f t="shared" si="954"/>
        <v>0</v>
      </c>
      <c r="BA644" s="51"/>
      <c r="BB644" s="51"/>
      <c r="BC644" s="51"/>
      <c r="BD644" s="51"/>
      <c r="BE644" s="51"/>
      <c r="BF644" s="51"/>
      <c r="BG644" s="51"/>
      <c r="BH644" s="51"/>
      <c r="BI644" s="65"/>
      <c r="BJ644" s="68"/>
      <c r="BK644" s="58">
        <f>IF((IF(AW644&gt;=115%,115%,AW644) + IF(AX644&gt;=115%,115%,AX644) + IF(AY644&gt;=115%,115%,AY644) + (IF(AZ644&gt;=115%,115%,AZ644) + IF(BA644&gt;=115%,115%,BA644) + IF(BB644&gt;=115%,115%,BB644) + IF(BC644&gt;=115%,115%,BC644) + IF(BD644&gt;=115%,115%,BD644) + IF(BE644&gt;=115%,115%,BE644) + IF(BF644&gt;=115%,115%,BF644) + IF(BG644&gt;=115%,115%,BG644) + IF(BH644&gt;=115%,115%,BH644)))/_xlfn.XLOOKUP(F644,Apuração!A:A,Apuração!B:B)&gt;=1.15,1.15,((IF(AZ644&gt;=115%,115%,AZ644) + IF(AX644&gt;=115%,115%,AX644) + IF(AY644&gt;=115%,115%,AY644) + (IF(AW644&gt;=115%,115%,AW644) + IF(BA644&gt;=115%,115%,BA644) + IF(BB644&gt;=115%,115%,BB644) + IF(BC644&gt;=115%,115%,BC644) + IF(BD644&gt;=115%,115%,BD644) + IF(BE644&gt;=115%,115%,BE644) + IF(BF644&gt;=115%,115%,BF644) + IF(BG644&gt;=115%,115%,BG644) + IF(BH644&gt;=115%,115%,BH644)))/_xlfn.XLOOKUP(F644,Apuração!A:A,Apuração!B:B)))</f>
        <v>0</v>
      </c>
      <c r="BL644" s="58" cm="1">
        <f t="array" aca="1" ref="BL644" ca="1">IF(SUM(IFERROR(IF(INDEX(AW644:INDEX(AW644:BH644, MATCH(2, 1/(AW644:BH644&lt;&gt;""), 1)-1), ROW(INDIRECT("1:" &amp; MATCH(2, 1/(AW644:BH644&lt;&gt;""), 1)-1))) &gt;= 115%, 115%, INDEX(AW644:INDEX(AW644:BH644, MATCH(2, 1/(AW644:BH644&lt;&gt;""), 1)-1), ROW(INDIRECT("1:" &amp; MATCH(2, 1/(AW644:BH644&lt;&gt;""), 1)-1)))), 0))/_xlfn.XLOOKUP(F644,Apuração!A:A,Apuração!B:B)&gt;=1.15,1.15,SUM(IFERROR(IF(INDEX(AW644:INDEX(AW644:BH644, MATCH(2, 1/(AW644:BH644&lt;&gt;""), 1)-1), ROW(INDIRECT("1:" &amp; MATCH(2, 1/(AW644:BH644&lt;&gt;""), 1)-1))) &gt;= 115%, 115%, INDEX(AW644:INDEX(AW644:BH644, MATCH(2, 1/(AW644:BH644&lt;&gt;""), 1)-1), ROW(INDIRECT("1:" &amp; MATCH(2, 1/(AW644:BH644&lt;&gt;""), 1)-1)))), 0))/_xlfn.XLOOKUP(F644,Apuração!A:A,Apuração!B:B))</f>
        <v>0</v>
      </c>
      <c r="BM644" s="55"/>
      <c r="BN644" s="55"/>
      <c r="BO644" s="53">
        <f ca="1">IFERROR(_xlfn.XLOOKUP(F644,Apuração!A:A,Apuração!C:C)/_xlfn.XLOOKUP(F644,Apuração!A:A,Apuração!B:B),0)</f>
        <v>0</v>
      </c>
      <c r="BP644" s="53">
        <f ca="1">IFERROR(_xlfn.XLOOKUP(F644,Apuração!A:A,Apuração!D:D)/_xlfn.XLOOKUP(F644,Apuração!A:A,Apuração!B:B),0)</f>
        <v>0</v>
      </c>
      <c r="BQ644" s="53">
        <f ca="1">IF(BK644&gt;=BO644,0,_xlfn.XLOOKUP(F644,Apuração!A:A,Apuração!B:B)*(BO644 + (1/_xlfn.XLOOKUP(F644,Apuração!A:A,Apuração!B:B)) - BK644))</f>
        <v>0</v>
      </c>
      <c r="BR644" s="85">
        <f t="shared" ca="1" si="955"/>
        <v>0</v>
      </c>
      <c r="BS644" s="53">
        <f ca="1">IFERROR((_xlfn.XLOOKUP(F644,Apuração!A:A,Apuração!C:C)+1)/_xlfn.XLOOKUP(F644,Apuração!A:A,Apuração!B:B),0)</f>
        <v>0.14285714285714285</v>
      </c>
    </row>
    <row r="645" spans="1:71" ht="25.95" hidden="1" customHeight="1" x14ac:dyDescent="0.3">
      <c r="A645" s="41" t="s">
        <v>108</v>
      </c>
      <c r="B645" s="4" t="s">
        <v>129</v>
      </c>
      <c r="C645" s="5" t="s">
        <v>97</v>
      </c>
      <c r="D645" s="5" t="s">
        <v>103</v>
      </c>
      <c r="E645" s="4" t="s">
        <v>61</v>
      </c>
      <c r="F645" s="4" t="str" cm="1">
        <f t="array" ref="F645">_xlfn.IFS(
AG645 &lt;&gt; "", "Jan-Dez/26",
AH645 &lt;&gt; "", "Fev-Dez/26",
AI645 &lt;&gt; "", "Mar-Dez/26", AJ645 &lt;&gt; "", "Abr-Dez/26",
TRUE, "A partir de Junho"
)</f>
        <v>A partir de Junho</v>
      </c>
      <c r="G645" s="4" t="s">
        <v>62</v>
      </c>
      <c r="H645" s="7" t="s">
        <v>38</v>
      </c>
      <c r="I645" s="4" t="s">
        <v>130</v>
      </c>
      <c r="J645" s="8" t="str" cm="1">
        <f t="array" aca="1" ref="J645" ca="1">_xlfn.LET(
  _xlpm.actual_value_month, INDEX(T645:AE645, MATCH(DATE(YEAR(TODAY()), MONTH(TODAY()), 1), $T$1:$AE$1, 0)),
  IF(_xlpm.actual_value_month &lt;&gt; "",_xlpm.actual_value_month &amp; " ações mensais", "")
)</f>
        <v/>
      </c>
      <c r="K645" s="8" t="str" cm="1">
        <f t="array" ref="K645">_xlfn.LET(
    _xlpm.sum_month, SUM(T645:AE645),
    IF(_xlpm.sum_month = 0, "", _xlpm.sum_month &amp; " treinamento de motociclistas no ano")
)</f>
        <v/>
      </c>
      <c r="L645" s="4" t="s">
        <v>131</v>
      </c>
      <c r="M645" s="19"/>
      <c r="N645" s="5" t="s">
        <v>42</v>
      </c>
      <c r="O645" s="5"/>
      <c r="P645" s="10"/>
      <c r="Q645" s="10"/>
      <c r="R645" s="11"/>
      <c r="S645" s="11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81"/>
      <c r="AG645" s="71"/>
      <c r="AH645" s="71"/>
      <c r="AI645" s="71"/>
      <c r="AJ645" s="71"/>
      <c r="AK645" s="71"/>
      <c r="AL645" s="71"/>
      <c r="AM645" s="71"/>
      <c r="AN645" s="71"/>
      <c r="AO645" s="71"/>
      <c r="AP645" s="71"/>
      <c r="AQ645" s="71"/>
      <c r="AR645" s="71"/>
      <c r="AS645" s="94"/>
      <c r="AT645" s="95"/>
      <c r="AU645" s="97"/>
      <c r="AV645" s="81"/>
      <c r="AW645" s="51">
        <f t="shared" si="951"/>
        <v>0</v>
      </c>
      <c r="AX645" s="51">
        <f t="shared" si="952"/>
        <v>0</v>
      </c>
      <c r="AY645" s="51">
        <f t="shared" si="953"/>
        <v>0</v>
      </c>
      <c r="AZ645" s="51">
        <f t="shared" si="954"/>
        <v>0</v>
      </c>
      <c r="BA645" s="51"/>
      <c r="BB645" s="51"/>
      <c r="BC645" s="51"/>
      <c r="BD645" s="51"/>
      <c r="BE645" s="51"/>
      <c r="BF645" s="51"/>
      <c r="BG645" s="51"/>
      <c r="BH645" s="51"/>
      <c r="BI645" s="65"/>
      <c r="BJ645" s="68"/>
      <c r="BK645" s="58">
        <f>IF((IF(AW645&gt;=115%,115%,AW645) + IF(AX645&gt;=115%,115%,AX645) + IF(AY645&gt;=115%,115%,AY645) + (IF(AZ645&gt;=115%,115%,AZ645) + IF(BA645&gt;=115%,115%,BA645) + IF(BB645&gt;=115%,115%,BB645) + IF(BC645&gt;=115%,115%,BC645) + IF(BD645&gt;=115%,115%,BD645) + IF(BE645&gt;=115%,115%,BE645) + IF(BF645&gt;=115%,115%,BF645) + IF(BG645&gt;=115%,115%,BG645) + IF(BH645&gt;=115%,115%,BH645)))/_xlfn.XLOOKUP(F645,Apuração!A:A,Apuração!B:B)&gt;=1.15,1.15,((IF(AZ645&gt;=115%,115%,AZ645) + IF(AX645&gt;=115%,115%,AX645) + IF(AY645&gt;=115%,115%,AY645) + (IF(AW645&gt;=115%,115%,AW645) + IF(BA645&gt;=115%,115%,BA645) + IF(BB645&gt;=115%,115%,BB645) + IF(BC645&gt;=115%,115%,BC645) + IF(BD645&gt;=115%,115%,BD645) + IF(BE645&gt;=115%,115%,BE645) + IF(BF645&gt;=115%,115%,BF645) + IF(BG645&gt;=115%,115%,BG645) + IF(BH645&gt;=115%,115%,BH645)))/_xlfn.XLOOKUP(F645,Apuração!A:A,Apuração!B:B)))</f>
        <v>0</v>
      </c>
      <c r="BL645" s="58" cm="1">
        <f t="array" aca="1" ref="BL645" ca="1">IF(SUM(IFERROR(IF(INDEX(AW645:INDEX(AW645:BH645, MATCH(2, 1/(AW645:BH645&lt;&gt;""), 1)-1), ROW(INDIRECT("1:" &amp; MATCH(2, 1/(AW645:BH645&lt;&gt;""), 1)-1))) &gt;= 115%, 115%, INDEX(AW645:INDEX(AW645:BH645, MATCH(2, 1/(AW645:BH645&lt;&gt;""), 1)-1), ROW(INDIRECT("1:" &amp; MATCH(2, 1/(AW645:BH645&lt;&gt;""), 1)-1)))), 0))/_xlfn.XLOOKUP(F645,Apuração!A:A,Apuração!B:B)&gt;=1.15,1.15,SUM(IFERROR(IF(INDEX(AW645:INDEX(AW645:BH645, MATCH(2, 1/(AW645:BH645&lt;&gt;""), 1)-1), ROW(INDIRECT("1:" &amp; MATCH(2, 1/(AW645:BH645&lt;&gt;""), 1)-1))) &gt;= 115%, 115%, INDEX(AW645:INDEX(AW645:BH645, MATCH(2, 1/(AW645:BH645&lt;&gt;""), 1)-1), ROW(INDIRECT("1:" &amp; MATCH(2, 1/(AW645:BH645&lt;&gt;""), 1)-1)))), 0))/_xlfn.XLOOKUP(F645,Apuração!A:A,Apuração!B:B))</f>
        <v>0</v>
      </c>
      <c r="BM645" s="55"/>
      <c r="BN645" s="55"/>
      <c r="BO645" s="53">
        <f ca="1">IFERROR(_xlfn.XLOOKUP(F645,Apuração!A:A,Apuração!C:C)/_xlfn.XLOOKUP(F645,Apuração!A:A,Apuração!B:B),0)</f>
        <v>0</v>
      </c>
      <c r="BP645" s="53">
        <f ca="1">IFERROR(_xlfn.XLOOKUP(F645,Apuração!A:A,Apuração!D:D)/_xlfn.XLOOKUP(F645,Apuração!A:A,Apuração!B:B),0)</f>
        <v>0</v>
      </c>
      <c r="BQ645" s="53">
        <f ca="1">IF(BK645&gt;=BO645,0,_xlfn.XLOOKUP(F645,Apuração!A:A,Apuração!B:B)*(BO645 + (1/_xlfn.XLOOKUP(F645,Apuração!A:A,Apuração!B:B)) - BK645))</f>
        <v>0</v>
      </c>
      <c r="BR645" s="85">
        <f t="shared" ca="1" si="955"/>
        <v>0</v>
      </c>
      <c r="BS645" s="53">
        <f ca="1">IFERROR((_xlfn.XLOOKUP(F645,Apuração!A:A,Apuração!C:C)+1)/_xlfn.XLOOKUP(F645,Apuração!A:A,Apuração!B:B),0)</f>
        <v>0.14285714285714285</v>
      </c>
    </row>
    <row r="646" spans="1:71" ht="25.95" hidden="1" customHeight="1" x14ac:dyDescent="0.3">
      <c r="A646" s="41" t="s">
        <v>108</v>
      </c>
      <c r="B646" s="4" t="s">
        <v>129</v>
      </c>
      <c r="C646" s="5" t="s">
        <v>97</v>
      </c>
      <c r="D646" s="5" t="s">
        <v>104</v>
      </c>
      <c r="E646" s="4" t="s">
        <v>61</v>
      </c>
      <c r="F646" s="4" t="str" cm="1">
        <f t="array" ref="F646">_xlfn.IFS(
AG646 &lt;&gt; "", "Jan-Dez/26",
AH646 &lt;&gt; "", "Fev-Dez/26",
AI646 &lt;&gt; "", "Mar-Dez/26", AJ646 &lt;&gt; "", "Abr-Dez/26",
TRUE, "A partir de Junho"
)</f>
        <v>A partir de Junho</v>
      </c>
      <c r="G646" s="4" t="s">
        <v>62</v>
      </c>
      <c r="H646" s="7" t="s">
        <v>38</v>
      </c>
      <c r="I646" s="4" t="s">
        <v>130</v>
      </c>
      <c r="J646" s="8" t="str" cm="1">
        <f t="array" aca="1" ref="J646" ca="1">_xlfn.LET(
  _xlpm.actual_value_month, INDEX(T646:AE646, MATCH(DATE(YEAR(TODAY()), MONTH(TODAY()), 1), $T$1:$AE$1, 0)),
  IF(_xlpm.actual_value_month &lt;&gt; "",_xlpm.actual_value_month &amp; " ações mensais", "")
)</f>
        <v/>
      </c>
      <c r="K646" s="8" t="str" cm="1">
        <f t="array" ref="K646">_xlfn.LET(
    _xlpm.sum_month, SUM(T646:AE646),
    IF(_xlpm.sum_month = 0, "", _xlpm.sum_month &amp; " treinamento de motociclistas no ano")
)</f>
        <v/>
      </c>
      <c r="L646" s="4" t="s">
        <v>131</v>
      </c>
      <c r="M646" s="19"/>
      <c r="N646" s="5" t="s">
        <v>42</v>
      </c>
      <c r="O646" s="5"/>
      <c r="P646" s="10"/>
      <c r="Q646" s="10"/>
      <c r="R646" s="11"/>
      <c r="S646" s="11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81"/>
      <c r="AG646" s="71"/>
      <c r="AH646" s="71"/>
      <c r="AI646" s="71"/>
      <c r="AJ646" s="71"/>
      <c r="AK646" s="71"/>
      <c r="AL646" s="71"/>
      <c r="AM646" s="71"/>
      <c r="AN646" s="71"/>
      <c r="AO646" s="71"/>
      <c r="AP646" s="71"/>
      <c r="AQ646" s="71"/>
      <c r="AR646" s="71"/>
      <c r="AS646" s="94"/>
      <c r="AT646" s="95"/>
      <c r="AU646" s="97"/>
      <c r="AV646" s="81"/>
      <c r="AW646" s="51">
        <f t="shared" si="951"/>
        <v>0</v>
      </c>
      <c r="AX646" s="51">
        <f t="shared" si="952"/>
        <v>0</v>
      </c>
      <c r="AY646" s="51">
        <f t="shared" si="953"/>
        <v>0</v>
      </c>
      <c r="AZ646" s="51">
        <f t="shared" si="954"/>
        <v>0</v>
      </c>
      <c r="BA646" s="51"/>
      <c r="BB646" s="51"/>
      <c r="BC646" s="51"/>
      <c r="BD646" s="51"/>
      <c r="BE646" s="51"/>
      <c r="BF646" s="51"/>
      <c r="BG646" s="51"/>
      <c r="BH646" s="51"/>
      <c r="BI646" s="65"/>
      <c r="BJ646" s="68"/>
      <c r="BK646" s="58">
        <f>IF((IF(AW646&gt;=115%,115%,AW646) + IF(AX646&gt;=115%,115%,AX646) + IF(AY646&gt;=115%,115%,AY646) + (IF(AZ646&gt;=115%,115%,AZ646) + IF(BA646&gt;=115%,115%,BA646) + IF(BB646&gt;=115%,115%,BB646) + IF(BC646&gt;=115%,115%,BC646) + IF(BD646&gt;=115%,115%,BD646) + IF(BE646&gt;=115%,115%,BE646) + IF(BF646&gt;=115%,115%,BF646) + IF(BG646&gt;=115%,115%,BG646) + IF(BH646&gt;=115%,115%,BH646)))/_xlfn.XLOOKUP(F646,Apuração!A:A,Apuração!B:B)&gt;=1.15,1.15,((IF(AZ646&gt;=115%,115%,AZ646) + IF(AX646&gt;=115%,115%,AX646) + IF(AY646&gt;=115%,115%,AY646) + (IF(AW646&gt;=115%,115%,AW646) + IF(BA646&gt;=115%,115%,BA646) + IF(BB646&gt;=115%,115%,BB646) + IF(BC646&gt;=115%,115%,BC646) + IF(BD646&gt;=115%,115%,BD646) + IF(BE646&gt;=115%,115%,BE646) + IF(BF646&gt;=115%,115%,BF646) + IF(BG646&gt;=115%,115%,BG646) + IF(BH646&gt;=115%,115%,BH646)))/_xlfn.XLOOKUP(F646,Apuração!A:A,Apuração!B:B)))</f>
        <v>0</v>
      </c>
      <c r="BL646" s="58" cm="1">
        <f t="array" aca="1" ref="BL646" ca="1">IF(SUM(IFERROR(IF(INDEX(AW646:INDEX(AW646:BH646, MATCH(2, 1/(AW646:BH646&lt;&gt;""), 1)-1), ROW(INDIRECT("1:" &amp; MATCH(2, 1/(AW646:BH646&lt;&gt;""), 1)-1))) &gt;= 115%, 115%, INDEX(AW646:INDEX(AW646:BH646, MATCH(2, 1/(AW646:BH646&lt;&gt;""), 1)-1), ROW(INDIRECT("1:" &amp; MATCH(2, 1/(AW646:BH646&lt;&gt;""), 1)-1)))), 0))/_xlfn.XLOOKUP(F646,Apuração!A:A,Apuração!B:B)&gt;=1.15,1.15,SUM(IFERROR(IF(INDEX(AW646:INDEX(AW646:BH646, MATCH(2, 1/(AW646:BH646&lt;&gt;""), 1)-1), ROW(INDIRECT("1:" &amp; MATCH(2, 1/(AW646:BH646&lt;&gt;""), 1)-1))) &gt;= 115%, 115%, INDEX(AW646:INDEX(AW646:BH646, MATCH(2, 1/(AW646:BH646&lt;&gt;""), 1)-1), ROW(INDIRECT("1:" &amp; MATCH(2, 1/(AW646:BH646&lt;&gt;""), 1)-1)))), 0))/_xlfn.XLOOKUP(F646,Apuração!A:A,Apuração!B:B))</f>
        <v>0</v>
      </c>
      <c r="BM646" s="55"/>
      <c r="BN646" s="55"/>
      <c r="BO646" s="53">
        <f ca="1">IFERROR(_xlfn.XLOOKUP(F646,Apuração!A:A,Apuração!C:C)/_xlfn.XLOOKUP(F646,Apuração!A:A,Apuração!B:B),0)</f>
        <v>0</v>
      </c>
      <c r="BP646" s="53">
        <f ca="1">IFERROR(_xlfn.XLOOKUP(F646,Apuração!A:A,Apuração!D:D)/_xlfn.XLOOKUP(F646,Apuração!A:A,Apuração!B:B),0)</f>
        <v>0</v>
      </c>
      <c r="BQ646" s="53">
        <f ca="1">IF(BK646&gt;=BO646,0,_xlfn.XLOOKUP(F646,Apuração!A:A,Apuração!B:B)*(BO646 + (1/_xlfn.XLOOKUP(F646,Apuração!A:A,Apuração!B:B)) - BK646))</f>
        <v>0</v>
      </c>
      <c r="BR646" s="85">
        <f t="shared" ca="1" si="955"/>
        <v>0</v>
      </c>
      <c r="BS646" s="53">
        <f ca="1">IFERROR((_xlfn.XLOOKUP(F646,Apuração!A:A,Apuração!C:C)+1)/_xlfn.XLOOKUP(F646,Apuração!A:A,Apuração!B:B),0)</f>
        <v>0.14285714285714285</v>
      </c>
    </row>
    <row r="647" spans="1:71" ht="25.95" hidden="1" customHeight="1" x14ac:dyDescent="0.3">
      <c r="A647" s="41" t="s">
        <v>108</v>
      </c>
      <c r="B647" s="4" t="s">
        <v>129</v>
      </c>
      <c r="C647" s="5" t="s">
        <v>97</v>
      </c>
      <c r="D647" s="5" t="s">
        <v>105</v>
      </c>
      <c r="E647" s="4" t="s">
        <v>61</v>
      </c>
      <c r="F647" s="4" t="str" cm="1">
        <f t="array" ref="F647">_xlfn.IFS(
AG647 &lt;&gt; "", "Jan-Dez/26",
AH647 &lt;&gt; "", "Fev-Dez/26",
AI647 &lt;&gt; "", "Mar-Dez/26", AJ647 &lt;&gt; "", "Abr-Dez/26",
TRUE, "A partir de Junho"
)</f>
        <v>A partir de Junho</v>
      </c>
      <c r="G647" s="4" t="s">
        <v>62</v>
      </c>
      <c r="H647" s="7" t="s">
        <v>38</v>
      </c>
      <c r="I647" s="4" t="s">
        <v>130</v>
      </c>
      <c r="J647" s="8" t="str" cm="1">
        <f t="array" aca="1" ref="J647" ca="1">_xlfn.LET(
  _xlpm.actual_value_month, INDEX(T647:AE647, MATCH(DATE(YEAR(TODAY()), MONTH(TODAY()), 1), $T$1:$AE$1, 0)),
  IF(_xlpm.actual_value_month &lt;&gt; "",_xlpm.actual_value_month &amp; " ações mensais", "")
)</f>
        <v/>
      </c>
      <c r="K647" s="8" t="str" cm="1">
        <f t="array" ref="K647">_xlfn.LET(
    _xlpm.sum_month, SUM(T647:AE647),
    IF(_xlpm.sum_month = 0, "", _xlpm.sum_month &amp; " treinamento de motociclistas no ano")
)</f>
        <v/>
      </c>
      <c r="L647" s="4" t="s">
        <v>131</v>
      </c>
      <c r="M647" s="19"/>
      <c r="N647" s="5" t="s">
        <v>42</v>
      </c>
      <c r="O647" s="5"/>
      <c r="P647" s="10"/>
      <c r="Q647" s="10"/>
      <c r="R647" s="11"/>
      <c r="S647" s="11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81"/>
      <c r="AG647" s="71"/>
      <c r="AH647" s="71"/>
      <c r="AI647" s="71"/>
      <c r="AJ647" s="71"/>
      <c r="AK647" s="71"/>
      <c r="AL647" s="71"/>
      <c r="AM647" s="71"/>
      <c r="AN647" s="71"/>
      <c r="AO647" s="71"/>
      <c r="AP647" s="71"/>
      <c r="AQ647" s="71"/>
      <c r="AR647" s="71"/>
      <c r="AS647" s="94"/>
      <c r="AT647" s="95"/>
      <c r="AU647" s="97"/>
      <c r="AV647" s="81"/>
      <c r="AW647" s="51">
        <f t="shared" si="951"/>
        <v>0</v>
      </c>
      <c r="AX647" s="51">
        <f t="shared" si="952"/>
        <v>0</v>
      </c>
      <c r="AY647" s="51">
        <f t="shared" si="953"/>
        <v>0</v>
      </c>
      <c r="AZ647" s="51">
        <f t="shared" si="954"/>
        <v>0</v>
      </c>
      <c r="BA647" s="51"/>
      <c r="BB647" s="51"/>
      <c r="BC647" s="51"/>
      <c r="BD647" s="51"/>
      <c r="BE647" s="51"/>
      <c r="BF647" s="51"/>
      <c r="BG647" s="51"/>
      <c r="BH647" s="51"/>
      <c r="BI647" s="65"/>
      <c r="BJ647" s="68"/>
      <c r="BK647" s="58">
        <f>IF((IF(AW647&gt;=115%,115%,AW647) + IF(AX647&gt;=115%,115%,AX647) + IF(AY647&gt;=115%,115%,AY647) + (IF(AZ647&gt;=115%,115%,AZ647) + IF(BA647&gt;=115%,115%,BA647) + IF(BB647&gt;=115%,115%,BB647) + IF(BC647&gt;=115%,115%,BC647) + IF(BD647&gt;=115%,115%,BD647) + IF(BE647&gt;=115%,115%,BE647) + IF(BF647&gt;=115%,115%,BF647) + IF(BG647&gt;=115%,115%,BG647) + IF(BH647&gt;=115%,115%,BH647)))/_xlfn.XLOOKUP(F647,Apuração!A:A,Apuração!B:B)&gt;=1.15,1.15,((IF(AZ647&gt;=115%,115%,AZ647) + IF(AX647&gt;=115%,115%,AX647) + IF(AY647&gt;=115%,115%,AY647) + (IF(AW647&gt;=115%,115%,AW647) + IF(BA647&gt;=115%,115%,BA647) + IF(BB647&gt;=115%,115%,BB647) + IF(BC647&gt;=115%,115%,BC647) + IF(BD647&gt;=115%,115%,BD647) + IF(BE647&gt;=115%,115%,BE647) + IF(BF647&gt;=115%,115%,BF647) + IF(BG647&gt;=115%,115%,BG647) + IF(BH647&gt;=115%,115%,BH647)))/_xlfn.XLOOKUP(F647,Apuração!A:A,Apuração!B:B)))</f>
        <v>0</v>
      </c>
      <c r="BL647" s="58" cm="1">
        <f t="array" aca="1" ref="BL647" ca="1">IF(SUM(IFERROR(IF(INDEX(AW647:INDEX(AW647:BH647, MATCH(2, 1/(AW647:BH647&lt;&gt;""), 1)-1), ROW(INDIRECT("1:" &amp; MATCH(2, 1/(AW647:BH647&lt;&gt;""), 1)-1))) &gt;= 115%, 115%, INDEX(AW647:INDEX(AW647:BH647, MATCH(2, 1/(AW647:BH647&lt;&gt;""), 1)-1), ROW(INDIRECT("1:" &amp; MATCH(2, 1/(AW647:BH647&lt;&gt;""), 1)-1)))), 0))/_xlfn.XLOOKUP(F647,Apuração!A:A,Apuração!B:B)&gt;=1.15,1.15,SUM(IFERROR(IF(INDEX(AW647:INDEX(AW647:BH647, MATCH(2, 1/(AW647:BH647&lt;&gt;""), 1)-1), ROW(INDIRECT("1:" &amp; MATCH(2, 1/(AW647:BH647&lt;&gt;""), 1)-1))) &gt;= 115%, 115%, INDEX(AW647:INDEX(AW647:BH647, MATCH(2, 1/(AW647:BH647&lt;&gt;""), 1)-1), ROW(INDIRECT("1:" &amp; MATCH(2, 1/(AW647:BH647&lt;&gt;""), 1)-1)))), 0))/_xlfn.XLOOKUP(F647,Apuração!A:A,Apuração!B:B))</f>
        <v>0</v>
      </c>
      <c r="BM647" s="55"/>
      <c r="BN647" s="55"/>
      <c r="BO647" s="53">
        <f ca="1">IFERROR(_xlfn.XLOOKUP(F647,Apuração!A:A,Apuração!C:C)/_xlfn.XLOOKUP(F647,Apuração!A:A,Apuração!B:B),0)</f>
        <v>0</v>
      </c>
      <c r="BP647" s="53">
        <f ca="1">IFERROR(_xlfn.XLOOKUP(F647,Apuração!A:A,Apuração!D:D)/_xlfn.XLOOKUP(F647,Apuração!A:A,Apuração!B:B),0)</f>
        <v>0</v>
      </c>
      <c r="BQ647" s="53">
        <f ca="1">IF(BK647&gt;=BO647,0,_xlfn.XLOOKUP(F647,Apuração!A:A,Apuração!B:B)*(BO647 + (1/_xlfn.XLOOKUP(F647,Apuração!A:A,Apuração!B:B)) - BK647))</f>
        <v>0</v>
      </c>
      <c r="BR647" s="85">
        <f t="shared" ca="1" si="955"/>
        <v>0</v>
      </c>
      <c r="BS647" s="53">
        <f ca="1">IFERROR((_xlfn.XLOOKUP(F647,Apuração!A:A,Apuração!C:C)+1)/_xlfn.XLOOKUP(F647,Apuração!A:A,Apuração!B:B),0)</f>
        <v>0.14285714285714285</v>
      </c>
    </row>
    <row r="648" spans="1:71" ht="25.95" hidden="1" customHeight="1" x14ac:dyDescent="0.3">
      <c r="A648" s="41" t="s">
        <v>108</v>
      </c>
      <c r="B648" s="4" t="s">
        <v>129</v>
      </c>
      <c r="C648" s="5" t="s">
        <v>97</v>
      </c>
      <c r="D648" s="5" t="s">
        <v>106</v>
      </c>
      <c r="E648" s="4" t="s">
        <v>61</v>
      </c>
      <c r="F648" s="4" t="str" cm="1">
        <f t="array" ref="F648">_xlfn.IFS(
AG648 &lt;&gt; "", "Jan-Dez/26",
AH648 &lt;&gt; "", "Fev-Dez/26",
AI648 &lt;&gt; "", "Mar-Dez/26", AJ648 &lt;&gt; "", "Abr-Dez/26",
TRUE, "A partir de Junho"
)</f>
        <v>A partir de Junho</v>
      </c>
      <c r="G648" s="4" t="s">
        <v>62</v>
      </c>
      <c r="H648" s="7" t="s">
        <v>38</v>
      </c>
      <c r="I648" s="4" t="s">
        <v>130</v>
      </c>
      <c r="J648" s="8" t="str" cm="1">
        <f t="array" aca="1" ref="J648" ca="1">_xlfn.LET(
  _xlpm.actual_value_month, INDEX(T648:AE648, MATCH(DATE(YEAR(TODAY()), MONTH(TODAY()), 1), $T$1:$AE$1, 0)),
  IF(_xlpm.actual_value_month &lt;&gt; "",_xlpm.actual_value_month &amp; " ações mensais", "")
)</f>
        <v/>
      </c>
      <c r="K648" s="8" t="str" cm="1">
        <f t="array" ref="K648">_xlfn.LET(
    _xlpm.sum_month, SUM(T648:AE648),
    IF(_xlpm.sum_month = 0, "", _xlpm.sum_month &amp; " treinamento de motociclistas no ano")
)</f>
        <v/>
      </c>
      <c r="L648" s="4" t="s">
        <v>131</v>
      </c>
      <c r="M648" s="19"/>
      <c r="N648" s="5" t="s">
        <v>42</v>
      </c>
      <c r="O648" s="5"/>
      <c r="P648" s="10"/>
      <c r="Q648" s="10"/>
      <c r="R648" s="11"/>
      <c r="S648" s="11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81"/>
      <c r="AG648" s="71"/>
      <c r="AH648" s="71"/>
      <c r="AI648" s="71"/>
      <c r="AJ648" s="71"/>
      <c r="AK648" s="71"/>
      <c r="AL648" s="71"/>
      <c r="AM648" s="71"/>
      <c r="AN648" s="71"/>
      <c r="AO648" s="71"/>
      <c r="AP648" s="71"/>
      <c r="AQ648" s="71"/>
      <c r="AR648" s="71"/>
      <c r="AS648" s="94"/>
      <c r="AT648" s="95"/>
      <c r="AU648" s="97"/>
      <c r="AV648" s="81"/>
      <c r="AW648" s="51">
        <f t="shared" si="951"/>
        <v>0</v>
      </c>
      <c r="AX648" s="51">
        <f t="shared" si="952"/>
        <v>0</v>
      </c>
      <c r="AY648" s="51">
        <f t="shared" si="953"/>
        <v>0</v>
      </c>
      <c r="AZ648" s="51">
        <f t="shared" si="954"/>
        <v>0</v>
      </c>
      <c r="BA648" s="51"/>
      <c r="BB648" s="51"/>
      <c r="BC648" s="51"/>
      <c r="BD648" s="51"/>
      <c r="BE648" s="51"/>
      <c r="BF648" s="51"/>
      <c r="BG648" s="51"/>
      <c r="BH648" s="51"/>
      <c r="BI648" s="65"/>
      <c r="BJ648" s="68"/>
      <c r="BK648" s="58">
        <f>IF((IF(AW648&gt;=115%,115%,AW648) + IF(AX648&gt;=115%,115%,AX648) + IF(AY648&gt;=115%,115%,AY648) + (IF(AZ648&gt;=115%,115%,AZ648) + IF(BA648&gt;=115%,115%,BA648) + IF(BB648&gt;=115%,115%,BB648) + IF(BC648&gt;=115%,115%,BC648) + IF(BD648&gt;=115%,115%,BD648) + IF(BE648&gt;=115%,115%,BE648) + IF(BF648&gt;=115%,115%,BF648) + IF(BG648&gt;=115%,115%,BG648) + IF(BH648&gt;=115%,115%,BH648)))/_xlfn.XLOOKUP(F648,Apuração!A:A,Apuração!B:B)&gt;=1.15,1.15,((IF(AZ648&gt;=115%,115%,AZ648) + IF(AX648&gt;=115%,115%,AX648) + IF(AY648&gt;=115%,115%,AY648) + (IF(AW648&gt;=115%,115%,AW648) + IF(BA648&gt;=115%,115%,BA648) + IF(BB648&gt;=115%,115%,BB648) + IF(BC648&gt;=115%,115%,BC648) + IF(BD648&gt;=115%,115%,BD648) + IF(BE648&gt;=115%,115%,BE648) + IF(BF648&gt;=115%,115%,BF648) + IF(BG648&gt;=115%,115%,BG648) + IF(BH648&gt;=115%,115%,BH648)))/_xlfn.XLOOKUP(F648,Apuração!A:A,Apuração!B:B)))</f>
        <v>0</v>
      </c>
      <c r="BL648" s="58" cm="1">
        <f t="array" aca="1" ref="BL648" ca="1">IF(SUM(IFERROR(IF(INDEX(AW648:INDEX(AW648:BH648, MATCH(2, 1/(AW648:BH648&lt;&gt;""), 1)-1), ROW(INDIRECT("1:" &amp; MATCH(2, 1/(AW648:BH648&lt;&gt;""), 1)-1))) &gt;= 115%, 115%, INDEX(AW648:INDEX(AW648:BH648, MATCH(2, 1/(AW648:BH648&lt;&gt;""), 1)-1), ROW(INDIRECT("1:" &amp; MATCH(2, 1/(AW648:BH648&lt;&gt;""), 1)-1)))), 0))/_xlfn.XLOOKUP(F648,Apuração!A:A,Apuração!B:B)&gt;=1.15,1.15,SUM(IFERROR(IF(INDEX(AW648:INDEX(AW648:BH648, MATCH(2, 1/(AW648:BH648&lt;&gt;""), 1)-1), ROW(INDIRECT("1:" &amp; MATCH(2, 1/(AW648:BH648&lt;&gt;""), 1)-1))) &gt;= 115%, 115%, INDEX(AW648:INDEX(AW648:BH648, MATCH(2, 1/(AW648:BH648&lt;&gt;""), 1)-1), ROW(INDIRECT("1:" &amp; MATCH(2, 1/(AW648:BH648&lt;&gt;""), 1)-1)))), 0))/_xlfn.XLOOKUP(F648,Apuração!A:A,Apuração!B:B))</f>
        <v>0</v>
      </c>
      <c r="BM648" s="55"/>
      <c r="BN648" s="55"/>
      <c r="BO648" s="53">
        <f ca="1">IFERROR(_xlfn.XLOOKUP(F648,Apuração!A:A,Apuração!C:C)/_xlfn.XLOOKUP(F648,Apuração!A:A,Apuração!B:B),0)</f>
        <v>0</v>
      </c>
      <c r="BP648" s="53">
        <f ca="1">IFERROR(_xlfn.XLOOKUP(F648,Apuração!A:A,Apuração!D:D)/_xlfn.XLOOKUP(F648,Apuração!A:A,Apuração!B:B),0)</f>
        <v>0</v>
      </c>
      <c r="BQ648" s="53">
        <f ca="1">IF(BK648&gt;=BO648,0,_xlfn.XLOOKUP(F648,Apuração!A:A,Apuração!B:B)*(BO648 + (1/_xlfn.XLOOKUP(F648,Apuração!A:A,Apuração!B:B)) - BK648))</f>
        <v>0</v>
      </c>
      <c r="BR648" s="85">
        <f t="shared" ca="1" si="955"/>
        <v>0</v>
      </c>
      <c r="BS648" s="53">
        <f ca="1">IFERROR((_xlfn.XLOOKUP(F648,Apuração!A:A,Apuração!C:C)+1)/_xlfn.XLOOKUP(F648,Apuração!A:A,Apuração!B:B),0)</f>
        <v>0.14285714285714285</v>
      </c>
    </row>
    <row r="649" spans="1:71" ht="25.95" hidden="1" customHeight="1" x14ac:dyDescent="0.3">
      <c r="A649" s="41" t="s">
        <v>108</v>
      </c>
      <c r="B649" s="4" t="s">
        <v>129</v>
      </c>
      <c r="C649" s="5" t="s">
        <v>97</v>
      </c>
      <c r="D649" s="5" t="s">
        <v>107</v>
      </c>
      <c r="E649" s="4" t="s">
        <v>61</v>
      </c>
      <c r="F649" s="4" t="str" cm="1">
        <f t="array" ref="F649">_xlfn.IFS(
AG649 &lt;&gt; "", "Jan-Dez/26",
AH649 &lt;&gt; "", "Fev-Dez/26",
AI649 &lt;&gt; "", "Mar-Dez/26", AJ649 &lt;&gt; "", "Abr-Dez/26",
TRUE, "A partir de Junho"
)</f>
        <v>A partir de Junho</v>
      </c>
      <c r="G649" s="4" t="s">
        <v>62</v>
      </c>
      <c r="H649" s="7" t="s">
        <v>38</v>
      </c>
      <c r="I649" s="4" t="s">
        <v>130</v>
      </c>
      <c r="J649" s="8" t="str" cm="1">
        <f t="array" aca="1" ref="J649" ca="1">_xlfn.LET(
  _xlpm.actual_value_month, INDEX(T649:AE649, MATCH(DATE(YEAR(TODAY()), MONTH(TODAY()), 1), $T$1:$AE$1, 0)),
  IF(_xlpm.actual_value_month &lt;&gt; "",_xlpm.actual_value_month &amp; " ações mensais", "")
)</f>
        <v/>
      </c>
      <c r="K649" s="8" t="str" cm="1">
        <f t="array" ref="K649">_xlfn.LET(
    _xlpm.sum_month, SUM(T649:AE649),
    IF(_xlpm.sum_month = 0, "", _xlpm.sum_month &amp; " treinamento de motociclistas no ano")
)</f>
        <v/>
      </c>
      <c r="L649" s="4" t="s">
        <v>131</v>
      </c>
      <c r="M649" s="19"/>
      <c r="N649" s="5" t="s">
        <v>42</v>
      </c>
      <c r="O649" s="5"/>
      <c r="P649" s="10"/>
      <c r="Q649" s="10"/>
      <c r="R649" s="11"/>
      <c r="S649" s="11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81"/>
      <c r="AG649" s="71"/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  <c r="AR649" s="71"/>
      <c r="AS649" s="94"/>
      <c r="AT649" s="95"/>
      <c r="AU649" s="97"/>
      <c r="AV649" s="81"/>
      <c r="AW649" s="51">
        <f t="shared" si="951"/>
        <v>0</v>
      </c>
      <c r="AX649" s="51">
        <f t="shared" si="952"/>
        <v>0</v>
      </c>
      <c r="AY649" s="51">
        <f t="shared" si="953"/>
        <v>0</v>
      </c>
      <c r="AZ649" s="51">
        <f t="shared" si="954"/>
        <v>0</v>
      </c>
      <c r="BA649" s="51"/>
      <c r="BB649" s="51"/>
      <c r="BC649" s="51"/>
      <c r="BD649" s="51"/>
      <c r="BE649" s="51"/>
      <c r="BF649" s="51"/>
      <c r="BG649" s="51"/>
      <c r="BH649" s="51"/>
      <c r="BI649" s="65"/>
      <c r="BJ649" s="68"/>
      <c r="BK649" s="58">
        <f>IF((IF(AW649&gt;=115%,115%,AW649) + IF(AX649&gt;=115%,115%,AX649) + IF(AY649&gt;=115%,115%,AY649) + (IF(AZ649&gt;=115%,115%,AZ649) + IF(BA649&gt;=115%,115%,BA649) + IF(BB649&gt;=115%,115%,BB649) + IF(BC649&gt;=115%,115%,BC649) + IF(BD649&gt;=115%,115%,BD649) + IF(BE649&gt;=115%,115%,BE649) + IF(BF649&gt;=115%,115%,BF649) + IF(BG649&gt;=115%,115%,BG649) + IF(BH649&gt;=115%,115%,BH649)))/_xlfn.XLOOKUP(F649,Apuração!A:A,Apuração!B:B)&gt;=1.15,1.15,((IF(AZ649&gt;=115%,115%,AZ649) + IF(AX649&gt;=115%,115%,AX649) + IF(AY649&gt;=115%,115%,AY649) + (IF(AW649&gt;=115%,115%,AW649) + IF(BA649&gt;=115%,115%,BA649) + IF(BB649&gt;=115%,115%,BB649) + IF(BC649&gt;=115%,115%,BC649) + IF(BD649&gt;=115%,115%,BD649) + IF(BE649&gt;=115%,115%,BE649) + IF(BF649&gt;=115%,115%,BF649) + IF(BG649&gt;=115%,115%,BG649) + IF(BH649&gt;=115%,115%,BH649)))/_xlfn.XLOOKUP(F649,Apuração!A:A,Apuração!B:B)))</f>
        <v>0</v>
      </c>
      <c r="BL649" s="58" cm="1">
        <f t="array" aca="1" ref="BL649" ca="1">IF(SUM(IFERROR(IF(INDEX(AW649:INDEX(AW649:BH649, MATCH(2, 1/(AW649:BH649&lt;&gt;""), 1)-1), ROW(INDIRECT("1:" &amp; MATCH(2, 1/(AW649:BH649&lt;&gt;""), 1)-1))) &gt;= 115%, 115%, INDEX(AW649:INDEX(AW649:BH649, MATCH(2, 1/(AW649:BH649&lt;&gt;""), 1)-1), ROW(INDIRECT("1:" &amp; MATCH(2, 1/(AW649:BH649&lt;&gt;""), 1)-1)))), 0))/_xlfn.XLOOKUP(F649,Apuração!A:A,Apuração!B:B)&gt;=1.15,1.15,SUM(IFERROR(IF(INDEX(AW649:INDEX(AW649:BH649, MATCH(2, 1/(AW649:BH649&lt;&gt;""), 1)-1), ROW(INDIRECT("1:" &amp; MATCH(2, 1/(AW649:BH649&lt;&gt;""), 1)-1))) &gt;= 115%, 115%, INDEX(AW649:INDEX(AW649:BH649, MATCH(2, 1/(AW649:BH649&lt;&gt;""), 1)-1), ROW(INDIRECT("1:" &amp; MATCH(2, 1/(AW649:BH649&lt;&gt;""), 1)-1)))), 0))/_xlfn.XLOOKUP(F649,Apuração!A:A,Apuração!B:B))</f>
        <v>0</v>
      </c>
      <c r="BM649" s="55"/>
      <c r="BN649" s="55"/>
      <c r="BO649" s="53">
        <f ca="1">IFERROR(_xlfn.XLOOKUP(F649,Apuração!A:A,Apuração!C:C)/_xlfn.XLOOKUP(F649,Apuração!A:A,Apuração!B:B),0)</f>
        <v>0</v>
      </c>
      <c r="BP649" s="53">
        <f ca="1">IFERROR(_xlfn.XLOOKUP(F649,Apuração!A:A,Apuração!D:D)/_xlfn.XLOOKUP(F649,Apuração!A:A,Apuração!B:B),0)</f>
        <v>0</v>
      </c>
      <c r="BQ649" s="53">
        <f ca="1">IF(BK649&gt;=BO649,0,_xlfn.XLOOKUP(F649,Apuração!A:A,Apuração!B:B)*(BO649 + (1/_xlfn.XLOOKUP(F649,Apuração!A:A,Apuração!B:B)) - BK649))</f>
        <v>0</v>
      </c>
      <c r="BR649" s="85">
        <f t="shared" ca="1" si="955"/>
        <v>0</v>
      </c>
      <c r="BS649" s="53">
        <f ca="1">IFERROR((_xlfn.XLOOKUP(F649,Apuração!A:A,Apuração!C:C)+1)/_xlfn.XLOOKUP(F649,Apuração!A:A,Apuração!B:B),0)</f>
        <v>0.14285714285714285</v>
      </c>
    </row>
    <row r="650" spans="1:71" ht="25.95" hidden="1" customHeight="1" x14ac:dyDescent="0.3">
      <c r="A650" s="70" t="s">
        <v>108</v>
      </c>
      <c r="B650" s="4" t="s">
        <v>129</v>
      </c>
      <c r="C650" s="5" t="s">
        <v>97</v>
      </c>
      <c r="D650" s="5" t="s">
        <v>36</v>
      </c>
      <c r="E650" s="4" t="s">
        <v>61</v>
      </c>
      <c r="F650" s="4" t="str" cm="1">
        <f t="array" ref="F650">_xlfn.IFS(
AG650 &lt;&gt; "", "Jan-Dez/26",
AH650 &lt;&gt; "", "Fev-Dez/26",
AI650 &lt;&gt; "", "Mar-Dez/26", AJ650 &lt;&gt; "", "Abr-Dez/26",
TRUE, "A partir de Junho"
)</f>
        <v>A partir de Junho</v>
      </c>
      <c r="G650" s="4" t="s">
        <v>62</v>
      </c>
      <c r="H650" s="7" t="s">
        <v>38</v>
      </c>
      <c r="I650" s="28" t="s">
        <v>132</v>
      </c>
      <c r="J650" s="8" t="str" cm="1">
        <f t="array" aca="1" ref="J650" ca="1">_xlfn.LET(
  _xlpm.actual_value_month, INDEX(T650:AE650, MATCH(DATE(YEAR(TODAY()), MONTH(TODAY()), 1), $T$1:$AE$1, 0)),
  IF(_xlpm.actual_value_month &lt;&gt; "",_xlpm.actual_value_month &amp; " ações mensais", "")
)</f>
        <v/>
      </c>
      <c r="K650" s="8" t="str" cm="1">
        <f t="array" ref="K650">_xlfn.LET(
    _xlpm.sum_month, SUM(T650:AE650),
    IF(_xlpm.sum_month = 0, "", _xlpm.sum_month &amp; "  notificações de excesso de velocidade no ano")
)</f>
        <v/>
      </c>
      <c r="L650" s="4" t="s">
        <v>133</v>
      </c>
      <c r="M650" s="19"/>
      <c r="N650" s="5" t="s">
        <v>51</v>
      </c>
      <c r="O650" s="5"/>
      <c r="P650" s="10"/>
      <c r="Q650" s="10"/>
      <c r="R650" s="11"/>
      <c r="S650" s="11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81"/>
      <c r="AG650" s="71"/>
      <c r="AH650" s="71"/>
      <c r="AI650" s="71"/>
      <c r="AJ650" s="71"/>
      <c r="AK650" s="71"/>
      <c r="AL650" s="71"/>
      <c r="AM650" s="71"/>
      <c r="AN650" s="71"/>
      <c r="AO650" s="71"/>
      <c r="AP650" s="71"/>
      <c r="AQ650" s="71"/>
      <c r="AR650" s="71"/>
      <c r="AS650" s="94"/>
      <c r="AT650" s="95"/>
      <c r="AU650" s="97"/>
      <c r="AV650" s="81"/>
      <c r="AW650" s="83">
        <f>AG650</f>
        <v>0</v>
      </c>
      <c r="AX650" s="83">
        <f t="shared" ref="AX650" si="956">AH650</f>
        <v>0</v>
      </c>
      <c r="AY650" s="83">
        <f t="shared" ref="AY650" si="957">AI650</f>
        <v>0</v>
      </c>
      <c r="AZ650" s="83">
        <f t="shared" ref="AZ650" si="958">AJ650</f>
        <v>0</v>
      </c>
      <c r="BA650" s="52"/>
      <c r="BB650" s="52"/>
      <c r="BC650" s="52"/>
      <c r="BD650" s="52"/>
      <c r="BE650" s="52"/>
      <c r="BF650" s="52"/>
      <c r="BG650" s="52"/>
      <c r="BH650" s="52"/>
      <c r="BI650" s="65"/>
      <c r="BJ650" s="68"/>
      <c r="BK650" s="59">
        <f>SUM(AW650:BH650)</f>
        <v>0</v>
      </c>
      <c r="BL650" s="59" cm="1">
        <f t="array" ref="BL650">IFERROR(SUM(AW650:INDEX(AW650:BH650, MATCH(2, 1/(AW650:BH650&lt;&gt;""), 1) - 1))/_xlfn.XLOOKUP(F650,Apuração!A:A,Apuração!B:B),0)</f>
        <v>0</v>
      </c>
      <c r="BM650" s="55"/>
      <c r="BN650" s="55"/>
      <c r="BO650" s="53">
        <f ca="1">IFERROR(_xlfn.XLOOKUP(F650,Apuração!A:A,Apuração!C:C)/_xlfn.XLOOKUP(F650,Apuração!A:A,Apuração!B:B),0)</f>
        <v>0</v>
      </c>
      <c r="BP650" s="53">
        <f ca="1">IFERROR(_xlfn.XLOOKUP(F650,Apuração!A:A,Apuração!D:D)/_xlfn.XLOOKUP(F650,Apuração!A:A,Apuração!B:B),0)</f>
        <v>0</v>
      </c>
      <c r="BQ650" s="53">
        <f ca="1">IF(BK650&gt;=BO650,0,_xlfn.XLOOKUP(F650,Apuração!A:A,Apuração!B:B)*(BO650 + (1/_xlfn.XLOOKUP(F650,Apuração!A:A,Apuração!B:B)) - BK650))</f>
        <v>0</v>
      </c>
      <c r="BR650" s="85">
        <f t="shared" ref="BR650" ca="1" si="959">IF(BQ650=0,0,BQ650*Z650)</f>
        <v>0</v>
      </c>
      <c r="BS650" s="53">
        <f ca="1">IFERROR((_xlfn.XLOOKUP(F650,Apuração!A:A,Apuração!C:C)+1)/_xlfn.XLOOKUP(F650,Apuração!A:A,Apuração!B:B),0)</f>
        <v>0.14285714285714285</v>
      </c>
    </row>
    <row r="651" spans="1:71" ht="25.95" hidden="1" customHeight="1" x14ac:dyDescent="0.3">
      <c r="A651" s="70" t="s">
        <v>108</v>
      </c>
      <c r="B651" s="4" t="s">
        <v>129</v>
      </c>
      <c r="C651" s="5" t="s">
        <v>97</v>
      </c>
      <c r="D651" s="5" t="s">
        <v>98</v>
      </c>
      <c r="E651" s="4" t="s">
        <v>61</v>
      </c>
      <c r="F651" s="4" t="str" cm="1">
        <f t="array" ref="F651">_xlfn.IFS(
AG651 &lt;&gt; "", "Jan-Dez/26",
AH651 &lt;&gt; "", "Fev-Dez/26",
AI651 &lt;&gt; "", "Mar-Dez/26", AJ651 &lt;&gt; "", "Abr-Dez/26",
TRUE, "A partir de Junho"
)</f>
        <v>A partir de Junho</v>
      </c>
      <c r="G651" s="4" t="s">
        <v>62</v>
      </c>
      <c r="H651" s="7" t="s">
        <v>38</v>
      </c>
      <c r="I651" s="28" t="s">
        <v>132</v>
      </c>
      <c r="J651" s="8" t="str" cm="1">
        <f t="array" aca="1" ref="J651" ca="1">_xlfn.LET(
  _xlpm.actual_value_month, INDEX(T651:AE651, MATCH(DATE(YEAR(TODAY()), MONTH(TODAY()), 1), $T$1:$AE$1, 0)),
  IF(_xlpm.actual_value_month &lt;&gt; "",_xlpm.actual_value_month &amp; " ações mensais", "")
)</f>
        <v/>
      </c>
      <c r="K651" s="8" t="str" cm="1">
        <f t="array" ref="K651">_xlfn.LET(
    _xlpm.sum_month, SUM(T651:AE651),
    IF(_xlpm.sum_month = 0, "", _xlpm.sum_month &amp; "  notificações de excesso de velocidade no ano")
)</f>
        <v/>
      </c>
      <c r="L651" s="4" t="s">
        <v>133</v>
      </c>
      <c r="M651" s="19"/>
      <c r="N651" s="5" t="s">
        <v>51</v>
      </c>
      <c r="O651" s="5"/>
      <c r="P651" s="10"/>
      <c r="Q651" s="10"/>
      <c r="R651" s="11"/>
      <c r="S651" s="11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81"/>
      <c r="AG651" s="71"/>
      <c r="AH651" s="71"/>
      <c r="AI651" s="71"/>
      <c r="AJ651" s="71"/>
      <c r="AK651" s="71"/>
      <c r="AL651" s="71"/>
      <c r="AM651" s="71"/>
      <c r="AN651" s="71"/>
      <c r="AO651" s="71"/>
      <c r="AP651" s="71"/>
      <c r="AQ651" s="71"/>
      <c r="AR651" s="71"/>
      <c r="AS651" s="94"/>
      <c r="AT651" s="95"/>
      <c r="AU651" s="97"/>
      <c r="AV651" s="81"/>
      <c r="AW651" s="83">
        <f t="shared" ref="AW651:AW660" si="960">AG651</f>
        <v>0</v>
      </c>
      <c r="AX651" s="83">
        <f t="shared" ref="AX651:AX660" si="961">AH651</f>
        <v>0</v>
      </c>
      <c r="AY651" s="83">
        <f t="shared" ref="AY651:AY660" si="962">AI651</f>
        <v>0</v>
      </c>
      <c r="AZ651" s="83">
        <f t="shared" ref="AZ651:AZ660" si="963">AJ651</f>
        <v>0</v>
      </c>
      <c r="BA651" s="52"/>
      <c r="BB651" s="52"/>
      <c r="BC651" s="52"/>
      <c r="BD651" s="52"/>
      <c r="BE651" s="52"/>
      <c r="BF651" s="52"/>
      <c r="BG651" s="52"/>
      <c r="BH651" s="52"/>
      <c r="BI651" s="65"/>
      <c r="BJ651" s="68"/>
      <c r="BK651" s="59">
        <f t="shared" ref="BK651:BK660" si="964">SUM(AW651:BH651)</f>
        <v>0</v>
      </c>
      <c r="BL651" s="59" cm="1">
        <f t="array" ref="BL651">IFERROR(SUM(AW651:INDEX(AW651:BH651, MATCH(2, 1/(AW651:BH651&lt;&gt;""), 1) - 1))/_xlfn.XLOOKUP(F651,Apuração!A:A,Apuração!B:B),0)</f>
        <v>0</v>
      </c>
      <c r="BM651" s="55"/>
      <c r="BN651" s="55"/>
      <c r="BO651" s="53">
        <f ca="1">IFERROR(_xlfn.XLOOKUP(F651,Apuração!A:A,Apuração!C:C)/_xlfn.XLOOKUP(F651,Apuração!A:A,Apuração!B:B),0)</f>
        <v>0</v>
      </c>
      <c r="BP651" s="53">
        <f ca="1">IFERROR(_xlfn.XLOOKUP(F651,Apuração!A:A,Apuração!D:D)/_xlfn.XLOOKUP(F651,Apuração!A:A,Apuração!B:B),0)</f>
        <v>0</v>
      </c>
      <c r="BQ651" s="53">
        <f ca="1">IF(BK651&gt;=BO651,0,_xlfn.XLOOKUP(F651,Apuração!A:A,Apuração!B:B)*(BO651 + (1/_xlfn.XLOOKUP(F651,Apuração!A:A,Apuração!B:B)) - BK651))</f>
        <v>0</v>
      </c>
      <c r="BR651" s="85">
        <f t="shared" ref="BR651:BR660" ca="1" si="965">IF(BQ651=0,0,BQ651*Z651)</f>
        <v>0</v>
      </c>
      <c r="BS651" s="53">
        <f ca="1">IFERROR((_xlfn.XLOOKUP(F651,Apuração!A:A,Apuração!C:C)+1)/_xlfn.XLOOKUP(F651,Apuração!A:A,Apuração!B:B),0)</f>
        <v>0.14285714285714285</v>
      </c>
    </row>
    <row r="652" spans="1:71" ht="25.95" hidden="1" customHeight="1" x14ac:dyDescent="0.3">
      <c r="A652" s="70" t="s">
        <v>108</v>
      </c>
      <c r="B652" s="4" t="s">
        <v>129</v>
      </c>
      <c r="C652" s="5" t="s">
        <v>97</v>
      </c>
      <c r="D652" s="5" t="s">
        <v>99</v>
      </c>
      <c r="E652" s="4" t="s">
        <v>61</v>
      </c>
      <c r="F652" s="4" t="str" cm="1">
        <f t="array" ref="F652">_xlfn.IFS(
AG652 &lt;&gt; "", "Jan-Dez/26",
AH652 &lt;&gt; "", "Fev-Dez/26",
AI652 &lt;&gt; "", "Mar-Dez/26", AJ652 &lt;&gt; "", "Abr-Dez/26",
TRUE, "A partir de Junho"
)</f>
        <v>A partir de Junho</v>
      </c>
      <c r="G652" s="4" t="s">
        <v>62</v>
      </c>
      <c r="H652" s="7" t="s">
        <v>38</v>
      </c>
      <c r="I652" s="28" t="s">
        <v>132</v>
      </c>
      <c r="J652" s="8" t="str" cm="1">
        <f t="array" aca="1" ref="J652" ca="1">_xlfn.LET(
  _xlpm.actual_value_month, INDEX(T652:AE652, MATCH(DATE(YEAR(TODAY()), MONTH(TODAY()), 1), $T$1:$AE$1, 0)),
  IF(_xlpm.actual_value_month &lt;&gt; "",_xlpm.actual_value_month &amp; " ações mensais", "")
)</f>
        <v/>
      </c>
      <c r="K652" s="8" t="str" cm="1">
        <f t="array" ref="K652">_xlfn.LET(
    _xlpm.sum_month, SUM(T652:AE652),
    IF(_xlpm.sum_month = 0, "", _xlpm.sum_month &amp; "  notificações de excesso de velocidade no ano")
)</f>
        <v/>
      </c>
      <c r="L652" s="4" t="s">
        <v>133</v>
      </c>
      <c r="M652" s="19"/>
      <c r="N652" s="5" t="s">
        <v>51</v>
      </c>
      <c r="O652" s="5"/>
      <c r="P652" s="10"/>
      <c r="Q652" s="10"/>
      <c r="R652" s="11"/>
      <c r="S652" s="11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81"/>
      <c r="AG652" s="71"/>
      <c r="AH652" s="71"/>
      <c r="AI652" s="71"/>
      <c r="AJ652" s="71"/>
      <c r="AK652" s="71"/>
      <c r="AL652" s="71"/>
      <c r="AM652" s="71"/>
      <c r="AN652" s="71"/>
      <c r="AO652" s="71"/>
      <c r="AP652" s="71"/>
      <c r="AQ652" s="71"/>
      <c r="AR652" s="71"/>
      <c r="AS652" s="94"/>
      <c r="AT652" s="95"/>
      <c r="AU652" s="97"/>
      <c r="AV652" s="81"/>
      <c r="AW652" s="83">
        <f t="shared" si="960"/>
        <v>0</v>
      </c>
      <c r="AX652" s="83">
        <f t="shared" si="961"/>
        <v>0</v>
      </c>
      <c r="AY652" s="83">
        <f t="shared" si="962"/>
        <v>0</v>
      </c>
      <c r="AZ652" s="83">
        <f t="shared" si="963"/>
        <v>0</v>
      </c>
      <c r="BA652" s="52"/>
      <c r="BB652" s="52"/>
      <c r="BC652" s="52"/>
      <c r="BD652" s="52"/>
      <c r="BE652" s="52"/>
      <c r="BF652" s="52"/>
      <c r="BG652" s="52"/>
      <c r="BH652" s="52"/>
      <c r="BI652" s="65"/>
      <c r="BJ652" s="68"/>
      <c r="BK652" s="59">
        <f t="shared" si="964"/>
        <v>0</v>
      </c>
      <c r="BL652" s="59" cm="1">
        <f t="array" ref="BL652">IFERROR(SUM(AW652:INDEX(AW652:BH652, MATCH(2, 1/(AW652:BH652&lt;&gt;""), 1) - 1))/_xlfn.XLOOKUP(F652,Apuração!A:A,Apuração!B:B),0)</f>
        <v>0</v>
      </c>
      <c r="BM652" s="55"/>
      <c r="BN652" s="55"/>
      <c r="BO652" s="53">
        <f ca="1">IFERROR(_xlfn.XLOOKUP(F652,Apuração!A:A,Apuração!C:C)/_xlfn.XLOOKUP(F652,Apuração!A:A,Apuração!B:B),0)</f>
        <v>0</v>
      </c>
      <c r="BP652" s="53">
        <f ca="1">IFERROR(_xlfn.XLOOKUP(F652,Apuração!A:A,Apuração!D:D)/_xlfn.XLOOKUP(F652,Apuração!A:A,Apuração!B:B),0)</f>
        <v>0</v>
      </c>
      <c r="BQ652" s="53">
        <f ca="1">IF(BK652&gt;=BO652,0,_xlfn.XLOOKUP(F652,Apuração!A:A,Apuração!B:B)*(BO652 + (1/_xlfn.XLOOKUP(F652,Apuração!A:A,Apuração!B:B)) - BK652))</f>
        <v>0</v>
      </c>
      <c r="BR652" s="85">
        <f t="shared" ca="1" si="965"/>
        <v>0</v>
      </c>
      <c r="BS652" s="53">
        <f ca="1">IFERROR((_xlfn.XLOOKUP(F652,Apuração!A:A,Apuração!C:C)+1)/_xlfn.XLOOKUP(F652,Apuração!A:A,Apuração!B:B),0)</f>
        <v>0.14285714285714285</v>
      </c>
    </row>
    <row r="653" spans="1:71" ht="25.95" hidden="1" customHeight="1" x14ac:dyDescent="0.3">
      <c r="A653" s="70" t="s">
        <v>108</v>
      </c>
      <c r="B653" s="4" t="s">
        <v>129</v>
      </c>
      <c r="C653" s="5" t="s">
        <v>97</v>
      </c>
      <c r="D653" s="5" t="s">
        <v>100</v>
      </c>
      <c r="E653" s="4" t="s">
        <v>61</v>
      </c>
      <c r="F653" s="4" t="str" cm="1">
        <f t="array" ref="F653">_xlfn.IFS(
AG653 &lt;&gt; "", "Jan-Dez/26",
AH653 &lt;&gt; "", "Fev-Dez/26",
AI653 &lt;&gt; "", "Mar-Dez/26", AJ653 &lt;&gt; "", "Abr-Dez/26",
TRUE, "A partir de Junho"
)</f>
        <v>A partir de Junho</v>
      </c>
      <c r="G653" s="4" t="s">
        <v>62</v>
      </c>
      <c r="H653" s="7" t="s">
        <v>38</v>
      </c>
      <c r="I653" s="28" t="s">
        <v>132</v>
      </c>
      <c r="J653" s="8" t="str" cm="1">
        <f t="array" aca="1" ref="J653" ca="1">_xlfn.LET(
  _xlpm.actual_value_month, INDEX(T653:AE653, MATCH(DATE(YEAR(TODAY()), MONTH(TODAY()), 1), $T$1:$AE$1, 0)),
  IF(_xlpm.actual_value_month &lt;&gt; "",_xlpm.actual_value_month &amp; " ações mensais", "")
)</f>
        <v/>
      </c>
      <c r="K653" s="8" t="str" cm="1">
        <f t="array" ref="K653">_xlfn.LET(
    _xlpm.sum_month, SUM(T653:AE653),
    IF(_xlpm.sum_month = 0, "", _xlpm.sum_month &amp; "  notificações de excesso de velocidade no ano")
)</f>
        <v/>
      </c>
      <c r="L653" s="4" t="s">
        <v>133</v>
      </c>
      <c r="M653" s="19"/>
      <c r="N653" s="5" t="s">
        <v>51</v>
      </c>
      <c r="O653" s="5"/>
      <c r="P653" s="10"/>
      <c r="Q653" s="10"/>
      <c r="R653" s="11"/>
      <c r="S653" s="11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81"/>
      <c r="AG653" s="71"/>
      <c r="AH653" s="71"/>
      <c r="AI653" s="71"/>
      <c r="AJ653" s="71"/>
      <c r="AK653" s="71"/>
      <c r="AL653" s="71"/>
      <c r="AM653" s="71"/>
      <c r="AN653" s="71"/>
      <c r="AO653" s="71"/>
      <c r="AP653" s="71"/>
      <c r="AQ653" s="71"/>
      <c r="AR653" s="71"/>
      <c r="AS653" s="94"/>
      <c r="AT653" s="95"/>
      <c r="AU653" s="97"/>
      <c r="AV653" s="81"/>
      <c r="AW653" s="83">
        <f t="shared" si="960"/>
        <v>0</v>
      </c>
      <c r="AX653" s="83">
        <f t="shared" si="961"/>
        <v>0</v>
      </c>
      <c r="AY653" s="83">
        <f t="shared" si="962"/>
        <v>0</v>
      </c>
      <c r="AZ653" s="83">
        <f t="shared" si="963"/>
        <v>0</v>
      </c>
      <c r="BA653" s="52"/>
      <c r="BB653" s="52"/>
      <c r="BC653" s="52"/>
      <c r="BD653" s="52"/>
      <c r="BE653" s="52"/>
      <c r="BF653" s="52"/>
      <c r="BG653" s="52"/>
      <c r="BH653" s="52"/>
      <c r="BI653" s="65"/>
      <c r="BJ653" s="68"/>
      <c r="BK653" s="59">
        <f t="shared" si="964"/>
        <v>0</v>
      </c>
      <c r="BL653" s="59" cm="1">
        <f t="array" ref="BL653">IFERROR(SUM(AW653:INDEX(AW653:BH653, MATCH(2, 1/(AW653:BH653&lt;&gt;""), 1) - 1))/_xlfn.XLOOKUP(F653,Apuração!A:A,Apuração!B:B),0)</f>
        <v>0</v>
      </c>
      <c r="BM653" s="55"/>
      <c r="BN653" s="55"/>
      <c r="BO653" s="53">
        <f ca="1">IFERROR(_xlfn.XLOOKUP(F653,Apuração!A:A,Apuração!C:C)/_xlfn.XLOOKUP(F653,Apuração!A:A,Apuração!B:B),0)</f>
        <v>0</v>
      </c>
      <c r="BP653" s="53">
        <f ca="1">IFERROR(_xlfn.XLOOKUP(F653,Apuração!A:A,Apuração!D:D)/_xlfn.XLOOKUP(F653,Apuração!A:A,Apuração!B:B),0)</f>
        <v>0</v>
      </c>
      <c r="BQ653" s="53">
        <f ca="1">IF(BK653&gt;=BO653,0,_xlfn.XLOOKUP(F653,Apuração!A:A,Apuração!B:B)*(BO653 + (1/_xlfn.XLOOKUP(F653,Apuração!A:A,Apuração!B:B)) - BK653))</f>
        <v>0</v>
      </c>
      <c r="BR653" s="85">
        <f t="shared" ca="1" si="965"/>
        <v>0</v>
      </c>
      <c r="BS653" s="53">
        <f ca="1">IFERROR((_xlfn.XLOOKUP(F653,Apuração!A:A,Apuração!C:C)+1)/_xlfn.XLOOKUP(F653,Apuração!A:A,Apuração!B:B),0)</f>
        <v>0.14285714285714285</v>
      </c>
    </row>
    <row r="654" spans="1:71" ht="25.95" hidden="1" customHeight="1" x14ac:dyDescent="0.3">
      <c r="A654" s="70" t="s">
        <v>108</v>
      </c>
      <c r="B654" s="4" t="s">
        <v>129</v>
      </c>
      <c r="C654" s="5" t="s">
        <v>97</v>
      </c>
      <c r="D654" s="5" t="s">
        <v>101</v>
      </c>
      <c r="E654" s="4" t="s">
        <v>61</v>
      </c>
      <c r="F654" s="4" t="str" cm="1">
        <f t="array" ref="F654">_xlfn.IFS(
AG654 &lt;&gt; "", "Jan-Dez/26",
AH654 &lt;&gt; "", "Fev-Dez/26",
AI654 &lt;&gt; "", "Mar-Dez/26", AJ654 &lt;&gt; "", "Abr-Dez/26",
TRUE, "A partir de Junho"
)</f>
        <v>A partir de Junho</v>
      </c>
      <c r="G654" s="4" t="s">
        <v>62</v>
      </c>
      <c r="H654" s="7" t="s">
        <v>38</v>
      </c>
      <c r="I654" s="28" t="s">
        <v>132</v>
      </c>
      <c r="J654" s="8" t="str" cm="1">
        <f t="array" aca="1" ref="J654" ca="1">_xlfn.LET(
  _xlpm.actual_value_month, INDEX(T654:AE654, MATCH(DATE(YEAR(TODAY()), MONTH(TODAY()), 1), $T$1:$AE$1, 0)),
  IF(_xlpm.actual_value_month &lt;&gt; "",_xlpm.actual_value_month &amp; " ações mensais", "")
)</f>
        <v/>
      </c>
      <c r="K654" s="8" t="str" cm="1">
        <f t="array" ref="K654">_xlfn.LET(
    _xlpm.sum_month, SUM(T654:AE654),
    IF(_xlpm.sum_month = 0, "", _xlpm.sum_month &amp; "  notificações de excesso de velocidade no ano")
)</f>
        <v/>
      </c>
      <c r="L654" s="4" t="s">
        <v>133</v>
      </c>
      <c r="M654" s="19"/>
      <c r="N654" s="5" t="s">
        <v>51</v>
      </c>
      <c r="O654" s="5"/>
      <c r="P654" s="10"/>
      <c r="Q654" s="10"/>
      <c r="R654" s="11"/>
      <c r="S654" s="11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81"/>
      <c r="AG654" s="71"/>
      <c r="AH654" s="71"/>
      <c r="AI654" s="71"/>
      <c r="AJ654" s="71"/>
      <c r="AK654" s="71"/>
      <c r="AL654" s="71"/>
      <c r="AM654" s="71"/>
      <c r="AN654" s="71"/>
      <c r="AO654" s="71"/>
      <c r="AP654" s="71"/>
      <c r="AQ654" s="71"/>
      <c r="AR654" s="71"/>
      <c r="AS654" s="94"/>
      <c r="AT654" s="95"/>
      <c r="AU654" s="97"/>
      <c r="AV654" s="81"/>
      <c r="AW654" s="83">
        <f t="shared" si="960"/>
        <v>0</v>
      </c>
      <c r="AX654" s="83">
        <f t="shared" si="961"/>
        <v>0</v>
      </c>
      <c r="AY654" s="83">
        <f t="shared" si="962"/>
        <v>0</v>
      </c>
      <c r="AZ654" s="83">
        <f t="shared" si="963"/>
        <v>0</v>
      </c>
      <c r="BA654" s="52"/>
      <c r="BB654" s="52"/>
      <c r="BC654" s="52"/>
      <c r="BD654" s="52"/>
      <c r="BE654" s="52"/>
      <c r="BF654" s="52"/>
      <c r="BG654" s="52"/>
      <c r="BH654" s="52"/>
      <c r="BI654" s="65"/>
      <c r="BJ654" s="68"/>
      <c r="BK654" s="59">
        <f t="shared" si="964"/>
        <v>0</v>
      </c>
      <c r="BL654" s="59" cm="1">
        <f t="array" ref="BL654">IFERROR(SUM(AW654:INDEX(AW654:BH654, MATCH(2, 1/(AW654:BH654&lt;&gt;""), 1) - 1))/_xlfn.XLOOKUP(F654,Apuração!A:A,Apuração!B:B),0)</f>
        <v>0</v>
      </c>
      <c r="BM654" s="55"/>
      <c r="BN654" s="55"/>
      <c r="BO654" s="53">
        <f ca="1">IFERROR(_xlfn.XLOOKUP(F654,Apuração!A:A,Apuração!C:C)/_xlfn.XLOOKUP(F654,Apuração!A:A,Apuração!B:B),0)</f>
        <v>0</v>
      </c>
      <c r="BP654" s="53">
        <f ca="1">IFERROR(_xlfn.XLOOKUP(F654,Apuração!A:A,Apuração!D:D)/_xlfn.XLOOKUP(F654,Apuração!A:A,Apuração!B:B),0)</f>
        <v>0</v>
      </c>
      <c r="BQ654" s="53">
        <f ca="1">IF(BK654&gt;=BO654,0,_xlfn.XLOOKUP(F654,Apuração!A:A,Apuração!B:B)*(BO654 + (1/_xlfn.XLOOKUP(F654,Apuração!A:A,Apuração!B:B)) - BK654))</f>
        <v>0</v>
      </c>
      <c r="BR654" s="85">
        <f t="shared" ca="1" si="965"/>
        <v>0</v>
      </c>
      <c r="BS654" s="53">
        <f ca="1">IFERROR((_xlfn.XLOOKUP(F654,Apuração!A:A,Apuração!C:C)+1)/_xlfn.XLOOKUP(F654,Apuração!A:A,Apuração!B:B),0)</f>
        <v>0.14285714285714285</v>
      </c>
    </row>
    <row r="655" spans="1:71" ht="25.95" hidden="1" customHeight="1" x14ac:dyDescent="0.3">
      <c r="A655" s="70" t="s">
        <v>108</v>
      </c>
      <c r="B655" s="4" t="s">
        <v>129</v>
      </c>
      <c r="C655" s="5" t="s">
        <v>97</v>
      </c>
      <c r="D655" s="5" t="s">
        <v>102</v>
      </c>
      <c r="E655" s="4" t="s">
        <v>61</v>
      </c>
      <c r="F655" s="4" t="str" cm="1">
        <f t="array" ref="F655">_xlfn.IFS(
AG655 &lt;&gt; "", "Jan-Dez/26",
AH655 &lt;&gt; "", "Fev-Dez/26",
AI655 &lt;&gt; "", "Mar-Dez/26", AJ655 &lt;&gt; "", "Abr-Dez/26",
TRUE, "A partir de Junho"
)</f>
        <v>A partir de Junho</v>
      </c>
      <c r="G655" s="4" t="s">
        <v>62</v>
      </c>
      <c r="H655" s="7" t="s">
        <v>38</v>
      </c>
      <c r="I655" s="28" t="s">
        <v>132</v>
      </c>
      <c r="J655" s="8" t="str" cm="1">
        <f t="array" aca="1" ref="J655" ca="1">_xlfn.LET(
  _xlpm.actual_value_month, INDEX(T655:AE655, MATCH(DATE(YEAR(TODAY()), MONTH(TODAY()), 1), $T$1:$AE$1, 0)),
  IF(_xlpm.actual_value_month &lt;&gt; "",_xlpm.actual_value_month &amp; " ações mensais", "")
)</f>
        <v/>
      </c>
      <c r="K655" s="8" t="str" cm="1">
        <f t="array" ref="K655">_xlfn.LET(
    _xlpm.sum_month, SUM(T655:AE655),
    IF(_xlpm.sum_month = 0, "", _xlpm.sum_month &amp; "  notificações de excesso de velocidade no ano")
)</f>
        <v/>
      </c>
      <c r="L655" s="4" t="s">
        <v>133</v>
      </c>
      <c r="M655" s="19"/>
      <c r="N655" s="5" t="s">
        <v>51</v>
      </c>
      <c r="O655" s="5"/>
      <c r="P655" s="10"/>
      <c r="Q655" s="10"/>
      <c r="R655" s="11"/>
      <c r="S655" s="11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81"/>
      <c r="AG655" s="71"/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  <c r="AR655" s="71"/>
      <c r="AS655" s="94"/>
      <c r="AT655" s="95"/>
      <c r="AU655" s="97"/>
      <c r="AV655" s="81"/>
      <c r="AW655" s="83">
        <f t="shared" si="960"/>
        <v>0</v>
      </c>
      <c r="AX655" s="83">
        <f t="shared" si="961"/>
        <v>0</v>
      </c>
      <c r="AY655" s="83">
        <f t="shared" si="962"/>
        <v>0</v>
      </c>
      <c r="AZ655" s="83">
        <f t="shared" si="963"/>
        <v>0</v>
      </c>
      <c r="BA655" s="52"/>
      <c r="BB655" s="52"/>
      <c r="BC655" s="52"/>
      <c r="BD655" s="52"/>
      <c r="BE655" s="52"/>
      <c r="BF655" s="52"/>
      <c r="BG655" s="52"/>
      <c r="BH655" s="52"/>
      <c r="BI655" s="65"/>
      <c r="BJ655" s="68"/>
      <c r="BK655" s="59">
        <f t="shared" si="964"/>
        <v>0</v>
      </c>
      <c r="BL655" s="59" cm="1">
        <f t="array" ref="BL655">IFERROR(SUM(AW655:INDEX(AW655:BH655, MATCH(2, 1/(AW655:BH655&lt;&gt;""), 1) - 1))/_xlfn.XLOOKUP(F655,Apuração!A:A,Apuração!B:B),0)</f>
        <v>0</v>
      </c>
      <c r="BM655" s="55"/>
      <c r="BN655" s="55"/>
      <c r="BO655" s="53">
        <f ca="1">IFERROR(_xlfn.XLOOKUP(F655,Apuração!A:A,Apuração!C:C)/_xlfn.XLOOKUP(F655,Apuração!A:A,Apuração!B:B),0)</f>
        <v>0</v>
      </c>
      <c r="BP655" s="53">
        <f ca="1">IFERROR(_xlfn.XLOOKUP(F655,Apuração!A:A,Apuração!D:D)/_xlfn.XLOOKUP(F655,Apuração!A:A,Apuração!B:B),0)</f>
        <v>0</v>
      </c>
      <c r="BQ655" s="53">
        <f ca="1">IF(BK655&gt;=BO655,0,_xlfn.XLOOKUP(F655,Apuração!A:A,Apuração!B:B)*(BO655 + (1/_xlfn.XLOOKUP(F655,Apuração!A:A,Apuração!B:B)) - BK655))</f>
        <v>0</v>
      </c>
      <c r="BR655" s="85">
        <f t="shared" ca="1" si="965"/>
        <v>0</v>
      </c>
      <c r="BS655" s="53">
        <f ca="1">IFERROR((_xlfn.XLOOKUP(F655,Apuração!A:A,Apuração!C:C)+1)/_xlfn.XLOOKUP(F655,Apuração!A:A,Apuração!B:B),0)</f>
        <v>0.14285714285714285</v>
      </c>
    </row>
    <row r="656" spans="1:71" ht="25.95" hidden="1" customHeight="1" x14ac:dyDescent="0.3">
      <c r="A656" s="70" t="s">
        <v>108</v>
      </c>
      <c r="B656" s="4" t="s">
        <v>129</v>
      </c>
      <c r="C656" s="5" t="s">
        <v>97</v>
      </c>
      <c r="D656" s="5" t="s">
        <v>103</v>
      </c>
      <c r="E656" s="4" t="s">
        <v>61</v>
      </c>
      <c r="F656" s="4" t="str" cm="1">
        <f t="array" ref="F656">_xlfn.IFS(
AG656 &lt;&gt; "", "Jan-Dez/26",
AH656 &lt;&gt; "", "Fev-Dez/26",
AI656 &lt;&gt; "", "Mar-Dez/26", AJ656 &lt;&gt; "", "Abr-Dez/26",
TRUE, "A partir de Junho"
)</f>
        <v>A partir de Junho</v>
      </c>
      <c r="G656" s="4" t="s">
        <v>62</v>
      </c>
      <c r="H656" s="7" t="s">
        <v>38</v>
      </c>
      <c r="I656" s="28" t="s">
        <v>132</v>
      </c>
      <c r="J656" s="8" t="str" cm="1">
        <f t="array" aca="1" ref="J656" ca="1">_xlfn.LET(
  _xlpm.actual_value_month, INDEX(T656:AE656, MATCH(DATE(YEAR(TODAY()), MONTH(TODAY()), 1), $T$1:$AE$1, 0)),
  IF(_xlpm.actual_value_month &lt;&gt; "",_xlpm.actual_value_month &amp; " ações mensais", "")
)</f>
        <v/>
      </c>
      <c r="K656" s="8" t="str" cm="1">
        <f t="array" ref="K656">_xlfn.LET(
    _xlpm.sum_month, SUM(T656:AE656),
    IF(_xlpm.sum_month = 0, "", _xlpm.sum_month &amp; "  notificações de excesso de velocidade no ano")
)</f>
        <v/>
      </c>
      <c r="L656" s="4" t="s">
        <v>133</v>
      </c>
      <c r="M656" s="19"/>
      <c r="N656" s="5" t="s">
        <v>51</v>
      </c>
      <c r="O656" s="5"/>
      <c r="P656" s="10"/>
      <c r="Q656" s="10"/>
      <c r="R656" s="11"/>
      <c r="S656" s="11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81"/>
      <c r="AG656" s="71"/>
      <c r="AH656" s="71"/>
      <c r="AI656" s="71"/>
      <c r="AJ656" s="71"/>
      <c r="AK656" s="71"/>
      <c r="AL656" s="71"/>
      <c r="AM656" s="71"/>
      <c r="AN656" s="71"/>
      <c r="AO656" s="71"/>
      <c r="AP656" s="71"/>
      <c r="AQ656" s="71"/>
      <c r="AR656" s="71"/>
      <c r="AS656" s="94"/>
      <c r="AT656" s="95"/>
      <c r="AU656" s="97"/>
      <c r="AV656" s="81"/>
      <c r="AW656" s="83">
        <f t="shared" si="960"/>
        <v>0</v>
      </c>
      <c r="AX656" s="83">
        <f t="shared" si="961"/>
        <v>0</v>
      </c>
      <c r="AY656" s="83">
        <f t="shared" si="962"/>
        <v>0</v>
      </c>
      <c r="AZ656" s="83">
        <f t="shared" si="963"/>
        <v>0</v>
      </c>
      <c r="BA656" s="52"/>
      <c r="BB656" s="52"/>
      <c r="BC656" s="52"/>
      <c r="BD656" s="52"/>
      <c r="BE656" s="52"/>
      <c r="BF656" s="52"/>
      <c r="BG656" s="52"/>
      <c r="BH656" s="52"/>
      <c r="BI656" s="65"/>
      <c r="BJ656" s="68"/>
      <c r="BK656" s="59">
        <f t="shared" si="964"/>
        <v>0</v>
      </c>
      <c r="BL656" s="59" cm="1">
        <f t="array" ref="BL656">IFERROR(SUM(AW656:INDEX(AW656:BH656, MATCH(2, 1/(AW656:BH656&lt;&gt;""), 1) - 1))/_xlfn.XLOOKUP(F656,Apuração!A:A,Apuração!B:B),0)</f>
        <v>0</v>
      </c>
      <c r="BM656" s="55"/>
      <c r="BN656" s="55"/>
      <c r="BO656" s="53">
        <f ca="1">IFERROR(_xlfn.XLOOKUP(F656,Apuração!A:A,Apuração!C:C)/_xlfn.XLOOKUP(F656,Apuração!A:A,Apuração!B:B),0)</f>
        <v>0</v>
      </c>
      <c r="BP656" s="53">
        <f ca="1">IFERROR(_xlfn.XLOOKUP(F656,Apuração!A:A,Apuração!D:D)/_xlfn.XLOOKUP(F656,Apuração!A:A,Apuração!B:B),0)</f>
        <v>0</v>
      </c>
      <c r="BQ656" s="53">
        <f ca="1">IF(BK656&gt;=BO656,0,_xlfn.XLOOKUP(F656,Apuração!A:A,Apuração!B:B)*(BO656 + (1/_xlfn.XLOOKUP(F656,Apuração!A:A,Apuração!B:B)) - BK656))</f>
        <v>0</v>
      </c>
      <c r="BR656" s="85">
        <f t="shared" ca="1" si="965"/>
        <v>0</v>
      </c>
      <c r="BS656" s="53">
        <f ca="1">IFERROR((_xlfn.XLOOKUP(F656,Apuração!A:A,Apuração!C:C)+1)/_xlfn.XLOOKUP(F656,Apuração!A:A,Apuração!B:B),0)</f>
        <v>0.14285714285714285</v>
      </c>
    </row>
    <row r="657" spans="1:71" ht="25.95" hidden="1" customHeight="1" x14ac:dyDescent="0.3">
      <c r="A657" s="70" t="s">
        <v>108</v>
      </c>
      <c r="B657" s="4" t="s">
        <v>129</v>
      </c>
      <c r="C657" s="5" t="s">
        <v>97</v>
      </c>
      <c r="D657" s="5" t="s">
        <v>104</v>
      </c>
      <c r="E657" s="4" t="s">
        <v>61</v>
      </c>
      <c r="F657" s="4" t="str" cm="1">
        <f t="array" ref="F657">_xlfn.IFS(
AG657 &lt;&gt; "", "Jan-Dez/26",
AH657 &lt;&gt; "", "Fev-Dez/26",
AI657 &lt;&gt; "", "Mar-Dez/26", AJ657 &lt;&gt; "", "Abr-Dez/26",
TRUE, "A partir de Junho"
)</f>
        <v>A partir de Junho</v>
      </c>
      <c r="G657" s="4" t="s">
        <v>62</v>
      </c>
      <c r="H657" s="7" t="s">
        <v>38</v>
      </c>
      <c r="I657" s="28" t="s">
        <v>132</v>
      </c>
      <c r="J657" s="8" t="str" cm="1">
        <f t="array" aca="1" ref="J657" ca="1">_xlfn.LET(
  _xlpm.actual_value_month, INDEX(T657:AE657, MATCH(DATE(YEAR(TODAY()), MONTH(TODAY()), 1), $T$1:$AE$1, 0)),
  IF(_xlpm.actual_value_month &lt;&gt; "",_xlpm.actual_value_month &amp; " ações mensais", "")
)</f>
        <v/>
      </c>
      <c r="K657" s="8" t="str" cm="1">
        <f t="array" ref="K657">_xlfn.LET(
    _xlpm.sum_month, SUM(T657:AE657),
    IF(_xlpm.sum_month = 0, "", _xlpm.sum_month &amp; "  notificações de excesso de velocidade no ano")
)</f>
        <v/>
      </c>
      <c r="L657" s="4" t="s">
        <v>133</v>
      </c>
      <c r="M657" s="19"/>
      <c r="N657" s="5" t="s">
        <v>51</v>
      </c>
      <c r="O657" s="5"/>
      <c r="P657" s="10"/>
      <c r="Q657" s="10"/>
      <c r="R657" s="11"/>
      <c r="S657" s="11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81"/>
      <c r="AG657" s="71"/>
      <c r="AH657" s="71"/>
      <c r="AI657" s="71"/>
      <c r="AJ657" s="71"/>
      <c r="AK657" s="71"/>
      <c r="AL657" s="71"/>
      <c r="AM657" s="71"/>
      <c r="AN657" s="71"/>
      <c r="AO657" s="71"/>
      <c r="AP657" s="71"/>
      <c r="AQ657" s="71"/>
      <c r="AR657" s="71"/>
      <c r="AS657" s="94"/>
      <c r="AT657" s="95"/>
      <c r="AU657" s="97"/>
      <c r="AV657" s="81"/>
      <c r="AW657" s="83">
        <f t="shared" si="960"/>
        <v>0</v>
      </c>
      <c r="AX657" s="83">
        <f t="shared" si="961"/>
        <v>0</v>
      </c>
      <c r="AY657" s="83">
        <f t="shared" si="962"/>
        <v>0</v>
      </c>
      <c r="AZ657" s="83">
        <f t="shared" si="963"/>
        <v>0</v>
      </c>
      <c r="BA657" s="52"/>
      <c r="BB657" s="52"/>
      <c r="BC657" s="52"/>
      <c r="BD657" s="52"/>
      <c r="BE657" s="52"/>
      <c r="BF657" s="52"/>
      <c r="BG657" s="52"/>
      <c r="BH657" s="52"/>
      <c r="BI657" s="65"/>
      <c r="BJ657" s="68"/>
      <c r="BK657" s="59">
        <f t="shared" si="964"/>
        <v>0</v>
      </c>
      <c r="BL657" s="59" cm="1">
        <f t="array" ref="BL657">IFERROR(SUM(AW657:INDEX(AW657:BH657, MATCH(2, 1/(AW657:BH657&lt;&gt;""), 1) - 1))/_xlfn.XLOOKUP(F657,Apuração!A:A,Apuração!B:B),0)</f>
        <v>0</v>
      </c>
      <c r="BM657" s="55"/>
      <c r="BN657" s="55"/>
      <c r="BO657" s="53">
        <f ca="1">IFERROR(_xlfn.XLOOKUP(F657,Apuração!A:A,Apuração!C:C)/_xlfn.XLOOKUP(F657,Apuração!A:A,Apuração!B:B),0)</f>
        <v>0</v>
      </c>
      <c r="BP657" s="53">
        <f ca="1">IFERROR(_xlfn.XLOOKUP(F657,Apuração!A:A,Apuração!D:D)/_xlfn.XLOOKUP(F657,Apuração!A:A,Apuração!B:B),0)</f>
        <v>0</v>
      </c>
      <c r="BQ657" s="53">
        <f ca="1">IF(BK657&gt;=BO657,0,_xlfn.XLOOKUP(F657,Apuração!A:A,Apuração!B:B)*(BO657 + (1/_xlfn.XLOOKUP(F657,Apuração!A:A,Apuração!B:B)) - BK657))</f>
        <v>0</v>
      </c>
      <c r="BR657" s="85">
        <f t="shared" ca="1" si="965"/>
        <v>0</v>
      </c>
      <c r="BS657" s="53">
        <f ca="1">IFERROR((_xlfn.XLOOKUP(F657,Apuração!A:A,Apuração!C:C)+1)/_xlfn.XLOOKUP(F657,Apuração!A:A,Apuração!B:B),0)</f>
        <v>0.14285714285714285</v>
      </c>
    </row>
    <row r="658" spans="1:71" ht="25.95" hidden="1" customHeight="1" x14ac:dyDescent="0.3">
      <c r="A658" s="70" t="s">
        <v>108</v>
      </c>
      <c r="B658" s="4" t="s">
        <v>129</v>
      </c>
      <c r="C658" s="5" t="s">
        <v>97</v>
      </c>
      <c r="D658" s="5" t="s">
        <v>105</v>
      </c>
      <c r="E658" s="4" t="s">
        <v>61</v>
      </c>
      <c r="F658" s="4" t="str" cm="1">
        <f t="array" ref="F658">_xlfn.IFS(
AG658 &lt;&gt; "", "Jan-Dez/26",
AH658 &lt;&gt; "", "Fev-Dez/26",
AI658 &lt;&gt; "", "Mar-Dez/26", AJ658 &lt;&gt; "", "Abr-Dez/26",
TRUE, "A partir de Junho"
)</f>
        <v>A partir de Junho</v>
      </c>
      <c r="G658" s="4" t="s">
        <v>62</v>
      </c>
      <c r="H658" s="7" t="s">
        <v>38</v>
      </c>
      <c r="I658" s="28" t="s">
        <v>132</v>
      </c>
      <c r="J658" s="8" t="str" cm="1">
        <f t="array" aca="1" ref="J658" ca="1">_xlfn.LET(
  _xlpm.actual_value_month, INDEX(T658:AE658, MATCH(DATE(YEAR(TODAY()), MONTH(TODAY()), 1), $T$1:$AE$1, 0)),
  IF(_xlpm.actual_value_month &lt;&gt; "",_xlpm.actual_value_month &amp; " ações mensais", "")
)</f>
        <v/>
      </c>
      <c r="K658" s="8" t="str" cm="1">
        <f t="array" ref="K658">_xlfn.LET(
    _xlpm.sum_month, SUM(T658:AE658),
    IF(_xlpm.sum_month = 0, "", _xlpm.sum_month &amp; "  notificações de excesso de velocidade no ano")
)</f>
        <v/>
      </c>
      <c r="L658" s="4" t="s">
        <v>133</v>
      </c>
      <c r="M658" s="19"/>
      <c r="N658" s="5" t="s">
        <v>51</v>
      </c>
      <c r="O658" s="5"/>
      <c r="P658" s="10"/>
      <c r="Q658" s="10"/>
      <c r="R658" s="11"/>
      <c r="S658" s="11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81"/>
      <c r="AG658" s="71"/>
      <c r="AH658" s="71"/>
      <c r="AI658" s="71"/>
      <c r="AJ658" s="71"/>
      <c r="AK658" s="71"/>
      <c r="AL658" s="71"/>
      <c r="AM658" s="71"/>
      <c r="AN658" s="71"/>
      <c r="AO658" s="71"/>
      <c r="AP658" s="71"/>
      <c r="AQ658" s="71"/>
      <c r="AR658" s="71"/>
      <c r="AS658" s="94"/>
      <c r="AT658" s="95"/>
      <c r="AU658" s="97"/>
      <c r="AV658" s="81"/>
      <c r="AW658" s="83">
        <f t="shared" si="960"/>
        <v>0</v>
      </c>
      <c r="AX658" s="83">
        <f t="shared" si="961"/>
        <v>0</v>
      </c>
      <c r="AY658" s="83">
        <f t="shared" si="962"/>
        <v>0</v>
      </c>
      <c r="AZ658" s="83">
        <f t="shared" si="963"/>
        <v>0</v>
      </c>
      <c r="BA658" s="52"/>
      <c r="BB658" s="52"/>
      <c r="BC658" s="52"/>
      <c r="BD658" s="52"/>
      <c r="BE658" s="52"/>
      <c r="BF658" s="52"/>
      <c r="BG658" s="52"/>
      <c r="BH658" s="52"/>
      <c r="BI658" s="65"/>
      <c r="BJ658" s="68"/>
      <c r="BK658" s="59">
        <f t="shared" si="964"/>
        <v>0</v>
      </c>
      <c r="BL658" s="59" cm="1">
        <f t="array" ref="BL658">IFERROR(SUM(AW658:INDEX(AW658:BH658, MATCH(2, 1/(AW658:BH658&lt;&gt;""), 1) - 1))/_xlfn.XLOOKUP(F658,Apuração!A:A,Apuração!B:B),0)</f>
        <v>0</v>
      </c>
      <c r="BM658" s="55"/>
      <c r="BN658" s="55"/>
      <c r="BO658" s="53">
        <f ca="1">IFERROR(_xlfn.XLOOKUP(F658,Apuração!A:A,Apuração!C:C)/_xlfn.XLOOKUP(F658,Apuração!A:A,Apuração!B:B),0)</f>
        <v>0</v>
      </c>
      <c r="BP658" s="53">
        <f ca="1">IFERROR(_xlfn.XLOOKUP(F658,Apuração!A:A,Apuração!D:D)/_xlfn.XLOOKUP(F658,Apuração!A:A,Apuração!B:B),0)</f>
        <v>0</v>
      </c>
      <c r="BQ658" s="53">
        <f ca="1">IF(BK658&gt;=BO658,0,_xlfn.XLOOKUP(F658,Apuração!A:A,Apuração!B:B)*(BO658 + (1/_xlfn.XLOOKUP(F658,Apuração!A:A,Apuração!B:B)) - BK658))</f>
        <v>0</v>
      </c>
      <c r="BR658" s="85">
        <f t="shared" ca="1" si="965"/>
        <v>0</v>
      </c>
      <c r="BS658" s="53">
        <f ca="1">IFERROR((_xlfn.XLOOKUP(F658,Apuração!A:A,Apuração!C:C)+1)/_xlfn.XLOOKUP(F658,Apuração!A:A,Apuração!B:B),0)</f>
        <v>0.14285714285714285</v>
      </c>
    </row>
    <row r="659" spans="1:71" ht="25.95" hidden="1" customHeight="1" x14ac:dyDescent="0.3">
      <c r="A659" s="70" t="s">
        <v>108</v>
      </c>
      <c r="B659" s="4" t="s">
        <v>129</v>
      </c>
      <c r="C659" s="5" t="s">
        <v>97</v>
      </c>
      <c r="D659" s="5" t="s">
        <v>106</v>
      </c>
      <c r="E659" s="4" t="s">
        <v>61</v>
      </c>
      <c r="F659" s="4" t="str" cm="1">
        <f t="array" ref="F659">_xlfn.IFS(
AG659 &lt;&gt; "", "Jan-Dez/26",
AH659 &lt;&gt; "", "Fev-Dez/26",
AI659 &lt;&gt; "", "Mar-Dez/26", AJ659 &lt;&gt; "", "Abr-Dez/26",
TRUE, "A partir de Junho"
)</f>
        <v>A partir de Junho</v>
      </c>
      <c r="G659" s="4" t="s">
        <v>62</v>
      </c>
      <c r="H659" s="7" t="s">
        <v>38</v>
      </c>
      <c r="I659" s="28" t="s">
        <v>132</v>
      </c>
      <c r="J659" s="8" t="str" cm="1">
        <f t="array" aca="1" ref="J659" ca="1">_xlfn.LET(
  _xlpm.actual_value_month, INDEX(T659:AE659, MATCH(DATE(YEAR(TODAY()), MONTH(TODAY()), 1), $T$1:$AE$1, 0)),
  IF(_xlpm.actual_value_month &lt;&gt; "",_xlpm.actual_value_month &amp; " ações mensais", "")
)</f>
        <v/>
      </c>
      <c r="K659" s="8" t="str" cm="1">
        <f t="array" ref="K659">_xlfn.LET(
    _xlpm.sum_month, SUM(T659:AE659),
    IF(_xlpm.sum_month = 0, "", _xlpm.sum_month &amp; "  notificações de excesso de velocidade no ano")
)</f>
        <v/>
      </c>
      <c r="L659" s="4" t="s">
        <v>133</v>
      </c>
      <c r="M659" s="19"/>
      <c r="N659" s="5" t="s">
        <v>51</v>
      </c>
      <c r="O659" s="5"/>
      <c r="P659" s="10"/>
      <c r="Q659" s="10"/>
      <c r="R659" s="11"/>
      <c r="S659" s="11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81"/>
      <c r="AG659" s="71"/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  <c r="AR659" s="71"/>
      <c r="AS659" s="94"/>
      <c r="AT659" s="95"/>
      <c r="AU659" s="97"/>
      <c r="AV659" s="81"/>
      <c r="AW659" s="83">
        <f t="shared" si="960"/>
        <v>0</v>
      </c>
      <c r="AX659" s="83">
        <f t="shared" si="961"/>
        <v>0</v>
      </c>
      <c r="AY659" s="83">
        <f t="shared" si="962"/>
        <v>0</v>
      </c>
      <c r="AZ659" s="83">
        <f t="shared" si="963"/>
        <v>0</v>
      </c>
      <c r="BA659" s="52"/>
      <c r="BB659" s="52"/>
      <c r="BC659" s="52"/>
      <c r="BD659" s="52"/>
      <c r="BE659" s="52"/>
      <c r="BF659" s="52"/>
      <c r="BG659" s="52"/>
      <c r="BH659" s="52"/>
      <c r="BI659" s="65"/>
      <c r="BJ659" s="68"/>
      <c r="BK659" s="59">
        <f t="shared" si="964"/>
        <v>0</v>
      </c>
      <c r="BL659" s="59" cm="1">
        <f t="array" ref="BL659">IFERROR(SUM(AW659:INDEX(AW659:BH659, MATCH(2, 1/(AW659:BH659&lt;&gt;""), 1) - 1))/_xlfn.XLOOKUP(F659,Apuração!A:A,Apuração!B:B),0)</f>
        <v>0</v>
      </c>
      <c r="BM659" s="55"/>
      <c r="BN659" s="55"/>
      <c r="BO659" s="53">
        <f ca="1">IFERROR(_xlfn.XLOOKUP(F659,Apuração!A:A,Apuração!C:C)/_xlfn.XLOOKUP(F659,Apuração!A:A,Apuração!B:B),0)</f>
        <v>0</v>
      </c>
      <c r="BP659" s="53">
        <f ca="1">IFERROR(_xlfn.XLOOKUP(F659,Apuração!A:A,Apuração!D:D)/_xlfn.XLOOKUP(F659,Apuração!A:A,Apuração!B:B),0)</f>
        <v>0</v>
      </c>
      <c r="BQ659" s="53">
        <f ca="1">IF(BK659&gt;=BO659,0,_xlfn.XLOOKUP(F659,Apuração!A:A,Apuração!B:B)*(BO659 + (1/_xlfn.XLOOKUP(F659,Apuração!A:A,Apuração!B:B)) - BK659))</f>
        <v>0</v>
      </c>
      <c r="BR659" s="85">
        <f t="shared" ca="1" si="965"/>
        <v>0</v>
      </c>
      <c r="BS659" s="53">
        <f ca="1">IFERROR((_xlfn.XLOOKUP(F659,Apuração!A:A,Apuração!C:C)+1)/_xlfn.XLOOKUP(F659,Apuração!A:A,Apuração!B:B),0)</f>
        <v>0.14285714285714285</v>
      </c>
    </row>
    <row r="660" spans="1:71" ht="25.95" hidden="1" customHeight="1" x14ac:dyDescent="0.3">
      <c r="A660" s="70" t="s">
        <v>108</v>
      </c>
      <c r="B660" s="4" t="s">
        <v>129</v>
      </c>
      <c r="C660" s="5" t="s">
        <v>97</v>
      </c>
      <c r="D660" s="5" t="s">
        <v>107</v>
      </c>
      <c r="E660" s="4" t="s">
        <v>61</v>
      </c>
      <c r="F660" s="4" t="str" cm="1">
        <f t="array" ref="F660">_xlfn.IFS(
AG660 &lt;&gt; "", "Jan-Dez/26",
AH660 &lt;&gt; "", "Fev-Dez/26",
AI660 &lt;&gt; "", "Mar-Dez/26", AJ660 &lt;&gt; "", "Abr-Dez/26",
TRUE, "A partir de Junho"
)</f>
        <v>A partir de Junho</v>
      </c>
      <c r="G660" s="4" t="s">
        <v>62</v>
      </c>
      <c r="H660" s="7" t="s">
        <v>38</v>
      </c>
      <c r="I660" s="28" t="s">
        <v>132</v>
      </c>
      <c r="J660" s="8" t="str" cm="1">
        <f t="array" aca="1" ref="J660" ca="1">_xlfn.LET(
  _xlpm.actual_value_month, INDEX(T660:AE660, MATCH(DATE(YEAR(TODAY()), MONTH(TODAY()), 1), $T$1:$AE$1, 0)),
  IF(_xlpm.actual_value_month &lt;&gt; "",_xlpm.actual_value_month &amp; " ações mensais", "")
)</f>
        <v/>
      </c>
      <c r="K660" s="8" t="str" cm="1">
        <f t="array" ref="K660">_xlfn.LET(
    _xlpm.sum_month, SUM(T660:AE660),
    IF(_xlpm.sum_month = 0, "", _xlpm.sum_month &amp; "  notificações de excesso de velocidade no ano")
)</f>
        <v/>
      </c>
      <c r="L660" s="4" t="s">
        <v>133</v>
      </c>
      <c r="M660" s="19"/>
      <c r="N660" s="5" t="s">
        <v>51</v>
      </c>
      <c r="O660" s="5"/>
      <c r="P660" s="10"/>
      <c r="Q660" s="10"/>
      <c r="R660" s="11"/>
      <c r="S660" s="11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81"/>
      <c r="AG660" s="71"/>
      <c r="AH660" s="71"/>
      <c r="AI660" s="71"/>
      <c r="AJ660" s="71"/>
      <c r="AK660" s="71"/>
      <c r="AL660" s="71"/>
      <c r="AM660" s="71"/>
      <c r="AN660" s="71"/>
      <c r="AO660" s="71"/>
      <c r="AP660" s="71"/>
      <c r="AQ660" s="71"/>
      <c r="AR660" s="71"/>
      <c r="AS660" s="94"/>
      <c r="AT660" s="95"/>
      <c r="AU660" s="97"/>
      <c r="AV660" s="81"/>
      <c r="AW660" s="83">
        <f t="shared" si="960"/>
        <v>0</v>
      </c>
      <c r="AX660" s="83">
        <f t="shared" si="961"/>
        <v>0</v>
      </c>
      <c r="AY660" s="83">
        <f t="shared" si="962"/>
        <v>0</v>
      </c>
      <c r="AZ660" s="83">
        <f t="shared" si="963"/>
        <v>0</v>
      </c>
      <c r="BA660" s="52"/>
      <c r="BB660" s="52"/>
      <c r="BC660" s="52"/>
      <c r="BD660" s="52"/>
      <c r="BE660" s="52"/>
      <c r="BF660" s="52"/>
      <c r="BG660" s="52"/>
      <c r="BH660" s="52"/>
      <c r="BI660" s="65"/>
      <c r="BJ660" s="68"/>
      <c r="BK660" s="59">
        <f t="shared" si="964"/>
        <v>0</v>
      </c>
      <c r="BL660" s="59" cm="1">
        <f t="array" ref="BL660">IFERROR(SUM(AW660:INDEX(AW660:BH660, MATCH(2, 1/(AW660:BH660&lt;&gt;""), 1) - 1))/_xlfn.XLOOKUP(F660,Apuração!A:A,Apuração!B:B),0)</f>
        <v>0</v>
      </c>
      <c r="BM660" s="55"/>
      <c r="BN660" s="55"/>
      <c r="BO660" s="53">
        <f ca="1">IFERROR(_xlfn.XLOOKUP(F660,Apuração!A:A,Apuração!C:C)/_xlfn.XLOOKUP(F660,Apuração!A:A,Apuração!B:B),0)</f>
        <v>0</v>
      </c>
      <c r="BP660" s="53">
        <f ca="1">IFERROR(_xlfn.XLOOKUP(F660,Apuração!A:A,Apuração!D:D)/_xlfn.XLOOKUP(F660,Apuração!A:A,Apuração!B:B),0)</f>
        <v>0</v>
      </c>
      <c r="BQ660" s="53">
        <f ca="1">IF(BK660&gt;=BO660,0,_xlfn.XLOOKUP(F660,Apuração!A:A,Apuração!B:B)*(BO660 + (1/_xlfn.XLOOKUP(F660,Apuração!A:A,Apuração!B:B)) - BK660))</f>
        <v>0</v>
      </c>
      <c r="BR660" s="85">
        <f t="shared" ca="1" si="965"/>
        <v>0</v>
      </c>
      <c r="BS660" s="53">
        <f ca="1">IFERROR((_xlfn.XLOOKUP(F660,Apuração!A:A,Apuração!C:C)+1)/_xlfn.XLOOKUP(F660,Apuração!A:A,Apuração!B:B),0)</f>
        <v>0.14285714285714285</v>
      </c>
    </row>
    <row r="661" spans="1:71" ht="25.95" customHeight="1" x14ac:dyDescent="0.3">
      <c r="A661" s="23" t="s">
        <v>134</v>
      </c>
      <c r="B661" s="4" t="s">
        <v>135</v>
      </c>
      <c r="C661" s="5" t="s">
        <v>97</v>
      </c>
      <c r="D661" s="5" t="s">
        <v>36</v>
      </c>
      <c r="E661" s="4" t="str" cm="1">
        <f t="array" ref="E661">_xlfn.IFS(
F661 = "A partir de Abril", "Aguardando Execução na Distribuidora",
A661 = "CAPACITAÇÃO", "Em execução no Corporativo",
TRUE, "Em Execução na Distribuidora"
)</f>
        <v>Em Execução na Distribuidora</v>
      </c>
      <c r="F661" s="4" t="str" cm="1">
        <f t="array" ref="F661">_xlfn.IFS(
AG661 &lt;&gt; "", "Jan-Dez/26",
AH661 &lt;&gt; "", "Fev-Dez/26",
AI661 &lt;&gt; "", "Mar-Dez/26", AJ661 &lt;&gt; "", "Abr-Dez/26",
TRUE, "A partir de Junho"
)</f>
        <v>Jan-Dez/26</v>
      </c>
      <c r="G661" s="4" t="s">
        <v>37</v>
      </c>
      <c r="H661" s="7" t="s">
        <v>38</v>
      </c>
      <c r="I661" s="8" t="s">
        <v>136</v>
      </c>
      <c r="J661" s="8" t="str" cm="1">
        <f t="array" aca="1" ref="J661" ca="1">_xlfn.LET(
  _xlpm.actual_value_month, INDEX(T661:AE661, MATCH(DATE(YEAR(TODAY()), MONTH(TODAY()), 1), $T$1:$AE$1, 0)),
  IF(_xlpm.actual_value_month &lt;&gt; "",_xlpm.actual_value_month &amp; " equipes mensais", "")
)</f>
        <v>602 equipes mensais</v>
      </c>
      <c r="K661" s="8" t="str" cm="1">
        <f t="array" ref="K661">_xlfn.LET(
    _xlpm.sum_month, SUM(T661:AE661),
    IF(_xlpm.sum_month = 0, "", _xlpm.sum_month &amp; " alcançadas no ano")
)</f>
        <v>14814 alcançadas no ano</v>
      </c>
      <c r="L661" s="9" t="s">
        <v>137</v>
      </c>
      <c r="M661" s="24" t="s">
        <v>138</v>
      </c>
      <c r="N661" s="5" t="s">
        <v>42</v>
      </c>
      <c r="O661" s="5" t="s">
        <v>43</v>
      </c>
      <c r="P661" s="10" t="s">
        <v>44</v>
      </c>
      <c r="Q661" s="10" t="s">
        <v>44</v>
      </c>
      <c r="R661" s="11" t="s">
        <v>66</v>
      </c>
      <c r="S661" s="11" t="s">
        <v>67</v>
      </c>
      <c r="T661" s="22">
        <v>3715</v>
      </c>
      <c r="U661" s="22">
        <v>2905</v>
      </c>
      <c r="V661" s="22">
        <v>2776</v>
      </c>
      <c r="W661" s="22">
        <v>602</v>
      </c>
      <c r="X661" s="22">
        <v>602</v>
      </c>
      <c r="Y661" s="22">
        <v>602</v>
      </c>
      <c r="Z661" s="22">
        <v>602</v>
      </c>
      <c r="AA661" s="22">
        <v>602</v>
      </c>
      <c r="AB661" s="22">
        <v>602</v>
      </c>
      <c r="AC661" s="22">
        <v>602</v>
      </c>
      <c r="AD661" s="22">
        <v>602</v>
      </c>
      <c r="AE661" s="22">
        <v>602</v>
      </c>
      <c r="AG661" s="71">
        <v>3715</v>
      </c>
      <c r="AH661" s="71">
        <v>2905</v>
      </c>
      <c r="AI661" s="71">
        <v>2776</v>
      </c>
      <c r="AJ661" s="71">
        <v>2163</v>
      </c>
      <c r="AK661" s="71">
        <v>1617</v>
      </c>
      <c r="AL661" s="71"/>
      <c r="AM661" s="71"/>
      <c r="AN661" s="71"/>
      <c r="AO661" s="71"/>
      <c r="AP661" s="71"/>
      <c r="AQ661" s="71"/>
      <c r="AR661" s="71"/>
      <c r="AS661" s="94">
        <f t="shared" ref="AS661:AS815" ca="1" si="966">IF(MONTH(TODAY())=3,SUM(T661:U661),IF(MONTH(TODAY())=4,SUM(T661:V661),IF(MONTH(TODAY())=5,SUM(T661:W661),IF(MONTH(TODAY())=6,SUM(T661:X661),IF(MONTH(TODAY())=7,SUM(T661:Y661),IF(MONTH(TODAY())=8,SUM(T661:Z661),IF(MONTH(TODAY())=9,SUM(T661:AA661),IF(MONTH(TODAY())=10,SUM(T661:AB661),IF(MONTH(TODAY())=11,SUM(T661:AC661),IF(MONTH(TODAY())=12,SUM(T661:AD661),IF(MONTH(TODAY())=1,SUM(T661:AE661),T661)))))))))))</f>
        <v>10600</v>
      </c>
      <c r="AT661" s="95">
        <f>SUM(IF(AW661&lt;1.15,AG661,1.15*T661),IF(AX661&lt;1.15,AH661,1.15*U661),IF(AY661&lt;1.15,AI661,1.15*V661),IF(AZ661&lt;1.15,AJ661,1.15*W661),IF(BA661&lt;1.15,AK661,1.15*X661),IF(BB661&lt;1.15,AL661,1.15*Y661),IF(BC661&lt;1.15,AM661,1.15*Z661),IF(BD661&lt;1.15,AN661,1.15*AA661),IF(BE661&lt;1.15,AO661,1.15*AB661),IF(BF661&lt;1.15,AP661,1.15*AC661),IF(BG661&lt;1.15,AQ661,1.15*AD661),IF(BH661&lt;1.15,AR661,1.15*AE661))</f>
        <v>10780.599999999999</v>
      </c>
      <c r="AU661" s="97">
        <f t="shared" ref="AU661:AU815" si="967">SUM(AG661:AR661)</f>
        <v>13176</v>
      </c>
      <c r="AW661" s="51">
        <f>IFERROR(IF(AG661="",0,AG661/T661),0)</f>
        <v>1</v>
      </c>
      <c r="AX661" s="51">
        <f>IFERROR(IF(AH661="",0,AH661/U661),0)</f>
        <v>1</v>
      </c>
      <c r="AY661" s="51">
        <f>IFERROR(IF(AI661="",0,AI661/V661),0)</f>
        <v>1</v>
      </c>
      <c r="AZ661" s="51">
        <f>IFERROR(IF(AJ661="",0,AJ661/W661),0)</f>
        <v>3.5930232558139537</v>
      </c>
      <c r="BA661" s="51">
        <f t="shared" ref="BA661:BA671" si="968">IFERROR(IF(AK661="",0,AK661/X661),0)</f>
        <v>2.6860465116279069</v>
      </c>
      <c r="BB661" s="51"/>
      <c r="BC661" s="51"/>
      <c r="BD661" s="51"/>
      <c r="BE661" s="51"/>
      <c r="BF661" s="51"/>
      <c r="BG661" s="51"/>
      <c r="BH661" s="51"/>
      <c r="BI661" s="65" cm="1">
        <f t="array" ref="BI661">IFERROR(INDEX(AW661:BH661,1,MATCH(2,1/(AW661:BH661&lt;&gt;""))),"")</f>
        <v>2.6860465116279069</v>
      </c>
      <c r="BJ661" s="68" cm="1">
        <f t="array" ref="BJ661">IF(BM661 = "", "",IFERROR(INDEX(AW661:BH661,1,MATCH(2,1/(AW661:BH661&lt;&gt;""),1)-1),""))</f>
        <v>3.5930232558139537</v>
      </c>
      <c r="BK661" s="58">
        <f>IF((IF(AW661&gt;=115%,115%,AW661) + IF(AX661&gt;=115%,115%,AX661) + IF(AY661&gt;=115%,115%,AY661) + (IF(AZ661&gt;=115%,115%,AZ661) + IF(BA661&gt;=115%,115%,BA661) + IF(BB661&gt;=115%,115%,BB661) + IF(BC661&gt;=115%,115%,BC661) + IF(BD661&gt;=115%,115%,BD661) + IF(BE661&gt;=115%,115%,BE661) + IF(BF661&gt;=145%,145%,BF661) + IF(BG661&gt;=115%,115%,BG661) + IF(BH661&gt;=115%,115%,BH661)))/_xlfn.XLOOKUP(F661,Apuração!A:A,Apuração!B:B)&gt;=1.15,1.15,((IF(AZ661&gt;=115%,115%,AZ661) + IF(AX661&gt;=115%,115%,AX661) + IF(AY661&gt;=115%,115%,AY661) + (IF(AW661&gt;=115%,115%,AW661) + IF(BA661&gt;=115%,115%,BA661) + IF(BB661&gt;=115%,115%,BB661) + IF(BC661&gt;=115%,115%,BC661) + IF(BD661&gt;=115%,115%,BD661) + IF(BE661&gt;=115%,115%,BE661) + IF(BF661&gt;=145%,145%,BF661) + IF(BG661&gt;=115%,115%,BG661) + IF(BH661&gt;=115%,115%,BH661)))/_xlfn.XLOOKUP(F661,Apuração!A:A,Apuração!B:B)))</f>
        <v>0.44166666666666665</v>
      </c>
      <c r="BL661" s="58" cm="1">
        <f t="array" aca="1" ref="BL661" ca="1">IF(SUM(IFERROR(IF(INDEX(AW661:INDEX(AW661:BH661, MATCH(2, 1/(AW661:BH661&lt;&gt;""), 1)-1), ROW(INDIRECT("1:" &amp; MATCH(2, 1/(AW661:BH661&lt;&gt;""), 1)-1))) &gt;= 115%, 115%, INDEX(AW661:INDEX(AW661:BH661, MATCH(2, 1/(AW661:BH661&lt;&gt;""), 1)-1), ROW(INDIRECT("1:" &amp; MATCH(2, 1/(AW661:BH661&lt;&gt;""), 1)-1)))), 0))/_xlfn.XLOOKUP(F661,Apuração!A:A,Apuração!B:B)&gt;=1.15,1.15,SUM(IFERROR(IF(INDEX(AW661:INDEX(AW661:BH661, MATCH(2, 1/(AW661:BH661&lt;&gt;""), 1)-1), ROW(INDIRECT("1:" &amp; MATCH(2, 1/(AW661:BH661&lt;&gt;""), 1)-1))) &gt;= 115%, 115%, INDEX(AW661:INDEX(AW661:BH661, MATCH(2, 1/(AW661:BH661&lt;&gt;""), 1)-1), ROW(INDIRECT("1:" &amp; MATCH(2, 1/(AW661:BH661&lt;&gt;""), 1)-1)))), 0))/_xlfn.XLOOKUP(F661,Apuração!A:A,Apuração!B:B))</f>
        <v>0.34583333333333338</v>
      </c>
      <c r="BM661" s="55" cm="1">
        <f t="array" ref="BM661">IFERROR(
   INDEX($AW$1:$BH$1,
      _xlfn.AGGREGATE(14, 6, COLUMN($AW$1:$BH$1)/(AW661:BH661&lt;&gt;""), 2) - COLUMN($AW$1) + 1
   ),
"")</f>
        <v>46113</v>
      </c>
      <c r="BN661" s="55" cm="1">
        <f t="array" ref="BN661">IFERROR(INDEX($AW$1:$BH$1,1,MATCH(2,1/(AW661:BH661&lt;&gt;""))),"")</f>
        <v>46143</v>
      </c>
      <c r="BO661" s="53">
        <f ca="1">IFERROR(_xlfn.XLOOKUP(F661,Apuração!A:A,Apuração!C:C)/_xlfn.XLOOKUP(F661,Apuração!A:A,Apuração!B:B),0)</f>
        <v>0.41666666666666669</v>
      </c>
      <c r="BP661" s="53">
        <f ca="1">IFERROR(_xlfn.XLOOKUP(F661,Apuração!A:A,Apuração!D:D)/_xlfn.XLOOKUP(F661,Apuração!A:A,Apuração!B:B),0)</f>
        <v>0.33333333333333331</v>
      </c>
      <c r="BQ661" s="53">
        <f ca="1">IF(BK661&gt;=BO661,0,_xlfn.XLOOKUP(F661,Apuração!A:A,Apuração!B:B)*(BO661 + (1/_xlfn.XLOOKUP(F661,Apuração!A:A,Apuração!B:B)) - BK661))</f>
        <v>0</v>
      </c>
      <c r="BR661" s="85">
        <f t="shared" ca="1" si="898"/>
        <v>0</v>
      </c>
      <c r="BS661" s="53">
        <f ca="1">IFERROR((_xlfn.XLOOKUP(F661,Apuração!A:A,Apuração!C:C)+1)/_xlfn.XLOOKUP(F661,Apuração!A:A,Apuração!B:B),0)</f>
        <v>0.5</v>
      </c>
    </row>
    <row r="662" spans="1:71" ht="25.95" hidden="1" customHeight="1" x14ac:dyDescent="0.3">
      <c r="A662" s="23" t="s">
        <v>134</v>
      </c>
      <c r="B662" s="4" t="s">
        <v>135</v>
      </c>
      <c r="C662" s="5" t="s">
        <v>97</v>
      </c>
      <c r="D662" s="5" t="s">
        <v>98</v>
      </c>
      <c r="E662" s="4" t="str" cm="1">
        <f t="array" ref="E662">_xlfn.IFS(
F662 = "A partir de Abril", "Aguardando Execução na Distribuidora",
A662 = "CAPACITAÇÃO", "Em execução no Corporativo",
TRUE, "Em Execução na Distribuidora"
)</f>
        <v>Em Execução na Distribuidora</v>
      </c>
      <c r="F662" s="4" t="str" cm="1">
        <f t="array" ref="F662">_xlfn.IFS(
AG662 &lt;&gt; "", "Jan-Dez/26",
AH662 &lt;&gt; "", "Fev-Dez/26",
AI662 &lt;&gt; "", "Mar-Dez/26", AJ662 &lt;&gt; "", "Abr-Dez/26",
TRUE, "A partir de Junho"
)</f>
        <v>Jan-Dez/26</v>
      </c>
      <c r="G662" s="4" t="s">
        <v>37</v>
      </c>
      <c r="H662" s="7" t="s">
        <v>38</v>
      </c>
      <c r="I662" s="8" t="s">
        <v>136</v>
      </c>
      <c r="J662" s="8" t="str" cm="1">
        <f t="array" aca="1" ref="J662" ca="1">_xlfn.LET(
  _xlpm.actual_value_month, INDEX(T662:AE662, MATCH(DATE(YEAR(TODAY()), MONTH(TODAY()), 1), $T$1:$AE$1, 0)),
  IF(_xlpm.actual_value_month &lt;&gt; "",_xlpm.actual_value_month &amp; " equipes mensais", "")
)</f>
        <v>49 equipes mensais</v>
      </c>
      <c r="K662" s="8" t="str" cm="1">
        <f t="array" ref="K662">_xlfn.LET(
    _xlpm.sum_month, SUM(T662:AE662),
    IF(_xlpm.sum_month = 0, "", _xlpm.sum_month &amp; " alcançadas no ano")
)</f>
        <v>1065 alcançadas no ano</v>
      </c>
      <c r="L662" s="9" t="s">
        <v>137</v>
      </c>
      <c r="M662" s="24" t="s">
        <v>138</v>
      </c>
      <c r="N662" s="5" t="s">
        <v>42</v>
      </c>
      <c r="O662" s="5" t="s">
        <v>43</v>
      </c>
      <c r="P662" s="10" t="s">
        <v>44</v>
      </c>
      <c r="Q662" s="10" t="s">
        <v>44</v>
      </c>
      <c r="R662" s="11" t="s">
        <v>66</v>
      </c>
      <c r="S662" s="11" t="s">
        <v>67</v>
      </c>
      <c r="T662" s="143">
        <v>252</v>
      </c>
      <c r="U662" s="143">
        <v>172</v>
      </c>
      <c r="V662" s="143">
        <v>200</v>
      </c>
      <c r="W662" s="143">
        <v>49</v>
      </c>
      <c r="X662" s="143">
        <v>49</v>
      </c>
      <c r="Y662" s="143">
        <v>49</v>
      </c>
      <c r="Z662" s="143">
        <v>49</v>
      </c>
      <c r="AA662" s="143">
        <v>49</v>
      </c>
      <c r="AB662" s="143">
        <v>49</v>
      </c>
      <c r="AC662" s="143">
        <v>49</v>
      </c>
      <c r="AD662" s="143">
        <v>49</v>
      </c>
      <c r="AE662" s="143">
        <v>49</v>
      </c>
      <c r="AG662" s="145">
        <v>252</v>
      </c>
      <c r="AH662" s="145">
        <v>172</v>
      </c>
      <c r="AI662" s="145">
        <v>200</v>
      </c>
      <c r="AJ662" s="145">
        <v>155</v>
      </c>
      <c r="AK662" s="71">
        <v>139</v>
      </c>
      <c r="AL662" s="71"/>
      <c r="AM662" s="71"/>
      <c r="AN662" s="71"/>
      <c r="AO662" s="71"/>
      <c r="AP662" s="71"/>
      <c r="AQ662" s="71"/>
      <c r="AR662" s="71"/>
      <c r="AS662" s="94">
        <f t="shared" ref="AS662:AS671" ca="1" si="969">IF(MONTH(TODAY())=3,SUM(T662:U662),IF(MONTH(TODAY())=4,SUM(T662:V662),IF(MONTH(TODAY())=5,SUM(T662:W662),IF(MONTH(TODAY())=6,SUM(T662:X662),IF(MONTH(TODAY())=7,SUM(T662:Y662),IF(MONTH(TODAY())=8,SUM(T662:Z662),IF(MONTH(TODAY())=9,SUM(T662:AA662),IF(MONTH(TODAY())=10,SUM(T662:AB662),IF(MONTH(TODAY())=11,SUM(T662:AC662),IF(MONTH(TODAY())=12,SUM(T662:AD662),IF(MONTH(TODAY())=1,SUM(T662:AE662),T662)))))))))))</f>
        <v>722</v>
      </c>
      <c r="AT662" s="95">
        <f t="shared" ref="AT662:AT671" si="970">SUM(IF(AW662&lt;1.15,AG662,1.15*T662),IF(AX662&lt;1.15,AH662,1.15*U662),IF(AY662&lt;1.15,AI662,1.15*V662),IF(AZ662&lt;1.15,AJ662,1.15*W662),IF(BA662&lt;1.15,AK662,1.15*X662),IF(BB662&lt;1.15,AL662,1.15*Y662),IF(BC662&lt;1.15,AM662,1.15*Z662),IF(BD662&lt;1.15,AN662,1.15*AA662),IF(BE662&lt;1.15,AO662,1.15*AB662),IF(BF662&lt;1.15,AP662,1.15*AC662),IF(BG662&lt;1.15,AQ662,1.15*AD662),IF(BH662&lt;1.15,AR662,1.15*AE662))</f>
        <v>736.7</v>
      </c>
      <c r="AU662" s="97">
        <f t="shared" ref="AU662:AU671" si="971">SUM(AG662:AR662)</f>
        <v>918</v>
      </c>
      <c r="AW662" s="51">
        <f t="shared" ref="AW662:AW671" si="972">IFERROR(IF(AG662="",0,AG662/T662),0)</f>
        <v>1</v>
      </c>
      <c r="AX662" s="51">
        <f t="shared" ref="AX662:AX671" si="973">IFERROR(IF(AH662="",0,AH662/U662),0)</f>
        <v>1</v>
      </c>
      <c r="AY662" s="51">
        <f t="shared" ref="AY662:AY671" si="974">IFERROR(IF(AI662="",0,AI662/V662),0)</f>
        <v>1</v>
      </c>
      <c r="AZ662" s="51">
        <f t="shared" ref="AZ662:AZ671" si="975">IFERROR(IF(AJ662="",0,AJ662/W662),0)</f>
        <v>3.1632653061224492</v>
      </c>
      <c r="BA662" s="51">
        <f t="shared" si="968"/>
        <v>2.8367346938775508</v>
      </c>
      <c r="BB662" s="51"/>
      <c r="BC662" s="51"/>
      <c r="BD662" s="51"/>
      <c r="BE662" s="51"/>
      <c r="BF662" s="51"/>
      <c r="BG662" s="51"/>
      <c r="BH662" s="51"/>
      <c r="BI662" s="65" cm="1">
        <f t="array" ref="BI662">IFERROR(INDEX(AW662:BH662,1,MATCH(2,1/(AW662:BH662&lt;&gt;""))),"")</f>
        <v>2.8367346938775508</v>
      </c>
      <c r="BJ662" s="68" cm="1">
        <f t="array" ref="BJ662">IF(BM662 = "", "",IFERROR(INDEX(AW662:BH662,1,MATCH(2,1/(AW662:BH662&lt;&gt;""),1)-1),""))</f>
        <v>3.1632653061224492</v>
      </c>
      <c r="BK662" s="58">
        <f>IF((IF(AW662&gt;=115%,115%,AW662) + IF(AX662&gt;=115%,115%,AX662) + IF(AY662&gt;=115%,115%,AY662) + (IF(AZ662&gt;=115%,115%,AZ662) + IF(BA662&gt;=115%,115%,BA662) + IF(BB662&gt;=115%,115%,BB662) + IF(BC662&gt;=115%,115%,BC662) + IF(BD662&gt;=115%,115%,BD662) + IF(BE662&gt;=115%,115%,BE662) + IF(BF662&gt;=145%,145%,BF662) + IF(BG662&gt;=115%,115%,BG662) + IF(BH662&gt;=115%,115%,BH662)))/_xlfn.XLOOKUP(F662,Apuração!A:A,Apuração!B:B)&gt;=1.15,1.15,((IF(AZ662&gt;=115%,115%,AZ662) + IF(AX662&gt;=115%,115%,AX662) + IF(AY662&gt;=115%,115%,AY662) + (IF(AW662&gt;=115%,115%,AW662) + IF(BA662&gt;=115%,115%,BA662) + IF(BB662&gt;=115%,115%,BB662) + IF(BC662&gt;=115%,115%,BC662) + IF(BD662&gt;=115%,115%,BD662) + IF(BE662&gt;=115%,115%,BE662) + IF(BF662&gt;=145%,145%,BF662) + IF(BG662&gt;=115%,115%,BG662) + IF(BH662&gt;=115%,115%,BH662)))/_xlfn.XLOOKUP(F662,Apuração!A:A,Apuração!B:B)))</f>
        <v>0.44166666666666665</v>
      </c>
      <c r="BL662" s="58" cm="1">
        <f t="array" aca="1" ref="BL662" ca="1">IF(SUM(IFERROR(IF(INDEX(AW662:INDEX(AW662:BH662, MATCH(2, 1/(AW662:BH662&lt;&gt;""), 1)-1), ROW(INDIRECT("1:" &amp; MATCH(2, 1/(AW662:BH662&lt;&gt;""), 1)-1))) &gt;= 115%, 115%, INDEX(AW662:INDEX(AW662:BH662, MATCH(2, 1/(AW662:BH662&lt;&gt;""), 1)-1), ROW(INDIRECT("1:" &amp; MATCH(2, 1/(AW662:BH662&lt;&gt;""), 1)-1)))), 0))/_xlfn.XLOOKUP(F662,Apuração!A:A,Apuração!B:B)&gt;=1.15,1.15,SUM(IFERROR(IF(INDEX(AW662:INDEX(AW662:BH662, MATCH(2, 1/(AW662:BH662&lt;&gt;""), 1)-1), ROW(INDIRECT("1:" &amp; MATCH(2, 1/(AW662:BH662&lt;&gt;""), 1)-1))) &gt;= 115%, 115%, INDEX(AW662:INDEX(AW662:BH662, MATCH(2, 1/(AW662:BH662&lt;&gt;""), 1)-1), ROW(INDIRECT("1:" &amp; MATCH(2, 1/(AW662:BH662&lt;&gt;""), 1)-1)))), 0))/_xlfn.XLOOKUP(F662,Apuração!A:A,Apuração!B:B))</f>
        <v>0.34583333333333338</v>
      </c>
      <c r="BM662" s="55" cm="1">
        <f t="array" ref="BM662">IFERROR(
   INDEX($AW$1:$BH$1,
      _xlfn.AGGREGATE(14, 6, COLUMN($AW$1:$BH$1)/(AW662:BH662&lt;&gt;""), 2) - COLUMN($AW$1) + 1
   ),
"")</f>
        <v>46113</v>
      </c>
      <c r="BN662" s="55" cm="1">
        <f t="array" ref="BN662">IFERROR(INDEX($AW$1:$BH$1,1,MATCH(2,1/(AW662:BH662&lt;&gt;""))),"")</f>
        <v>46143</v>
      </c>
      <c r="BO662" s="53">
        <f ca="1">IFERROR(_xlfn.XLOOKUP(F662,Apuração!A:A,Apuração!C:C)/_xlfn.XLOOKUP(F662,Apuração!A:A,Apuração!B:B),0)</f>
        <v>0.41666666666666669</v>
      </c>
      <c r="BP662" s="53">
        <f ca="1">IFERROR(_xlfn.XLOOKUP(F662,Apuração!A:A,Apuração!D:D)/_xlfn.XLOOKUP(F662,Apuração!A:A,Apuração!B:B),0)</f>
        <v>0.33333333333333331</v>
      </c>
      <c r="BQ662" s="53">
        <f ca="1">IF(BK662&gt;=BO662,0,_xlfn.XLOOKUP(F662,Apuração!A:A,Apuração!B:B)*(BO662 + (1/_xlfn.XLOOKUP(F662,Apuração!A:A,Apuração!B:B)) - BK662))</f>
        <v>0</v>
      </c>
      <c r="BR662" s="85">
        <f t="shared" ref="BR662:BR671" ca="1" si="976">IF(BQ662=0,0,BQ662*Z662)</f>
        <v>0</v>
      </c>
      <c r="BS662" s="53">
        <f ca="1">IFERROR((_xlfn.XLOOKUP(F662,Apuração!A:A,Apuração!C:C)+1)/_xlfn.XLOOKUP(F662,Apuração!A:A,Apuração!B:B),0)</f>
        <v>0.5</v>
      </c>
    </row>
    <row r="663" spans="1:71" ht="25.95" hidden="1" customHeight="1" x14ac:dyDescent="0.3">
      <c r="A663" s="23" t="s">
        <v>134</v>
      </c>
      <c r="B663" s="4" t="s">
        <v>135</v>
      </c>
      <c r="C663" s="5" t="s">
        <v>97</v>
      </c>
      <c r="D663" s="5" t="s">
        <v>99</v>
      </c>
      <c r="E663" s="4" t="str" cm="1">
        <f t="array" ref="E663">_xlfn.IFS(
F663 = "A partir de Abril", "Aguardando Execução na Distribuidora",
A663 = "CAPACITAÇÃO", "Em execução no Corporativo",
TRUE, "Em Execução na Distribuidora"
)</f>
        <v>Em Execução na Distribuidora</v>
      </c>
      <c r="F663" s="4" t="str" cm="1">
        <f t="array" ref="F663">_xlfn.IFS(
AG663 &lt;&gt; "", "Jan-Dez/26",
AH663 &lt;&gt; "", "Fev-Dez/26",
AI663 &lt;&gt; "", "Mar-Dez/26", AJ663 &lt;&gt; "", "Abr-Dez/26",
TRUE, "A partir de Junho"
)</f>
        <v>Jan-Dez/26</v>
      </c>
      <c r="G663" s="4" t="s">
        <v>37</v>
      </c>
      <c r="H663" s="7" t="s">
        <v>38</v>
      </c>
      <c r="I663" s="8" t="s">
        <v>136</v>
      </c>
      <c r="J663" s="8" t="str" cm="1">
        <f t="array" aca="1" ref="J663" ca="1">_xlfn.LET(
  _xlpm.actual_value_month, INDEX(T663:AE663, MATCH(DATE(YEAR(TODAY()), MONTH(TODAY()), 1), $T$1:$AE$1, 0)),
  IF(_xlpm.actual_value_month &lt;&gt; "",_xlpm.actual_value_month &amp; " equipes mensais", "")
)</f>
        <v>51 equipes mensais</v>
      </c>
      <c r="K663" s="8" t="str" cm="1">
        <f t="array" ref="K663">_xlfn.LET(
    _xlpm.sum_month, SUM(T663:AE663),
    IF(_xlpm.sum_month = 0, "", _xlpm.sum_month &amp; " alcançadas no ano")
)</f>
        <v>1087 alcançadas no ano</v>
      </c>
      <c r="L663" s="9" t="s">
        <v>137</v>
      </c>
      <c r="M663" s="24" t="s">
        <v>138</v>
      </c>
      <c r="N663" s="5" t="s">
        <v>42</v>
      </c>
      <c r="O663" s="5" t="s">
        <v>43</v>
      </c>
      <c r="P663" s="10" t="s">
        <v>44</v>
      </c>
      <c r="Q663" s="10" t="s">
        <v>44</v>
      </c>
      <c r="R663" s="11" t="s">
        <v>66</v>
      </c>
      <c r="S663" s="11" t="s">
        <v>67</v>
      </c>
      <c r="T663" s="143">
        <v>238</v>
      </c>
      <c r="U663" s="143">
        <v>165</v>
      </c>
      <c r="V663" s="143">
        <v>225</v>
      </c>
      <c r="W663" s="143">
        <v>51</v>
      </c>
      <c r="X663" s="143">
        <v>51</v>
      </c>
      <c r="Y663" s="143">
        <v>51</v>
      </c>
      <c r="Z663" s="143">
        <v>51</v>
      </c>
      <c r="AA663" s="143">
        <v>51</v>
      </c>
      <c r="AB663" s="143">
        <v>51</v>
      </c>
      <c r="AC663" s="143">
        <v>51</v>
      </c>
      <c r="AD663" s="143">
        <v>51</v>
      </c>
      <c r="AE663" s="143">
        <v>51</v>
      </c>
      <c r="AG663" s="146">
        <v>238</v>
      </c>
      <c r="AH663" s="146">
        <v>165</v>
      </c>
      <c r="AI663" s="146">
        <v>225</v>
      </c>
      <c r="AJ663" s="146">
        <v>106</v>
      </c>
      <c r="AK663" s="71">
        <v>95</v>
      </c>
      <c r="AL663" s="71"/>
      <c r="AM663" s="71"/>
      <c r="AN663" s="71"/>
      <c r="AO663" s="71"/>
      <c r="AP663" s="71"/>
      <c r="AQ663" s="71"/>
      <c r="AR663" s="71"/>
      <c r="AS663" s="94">
        <f t="shared" ca="1" si="969"/>
        <v>730</v>
      </c>
      <c r="AT663" s="95">
        <f t="shared" si="970"/>
        <v>745.3</v>
      </c>
      <c r="AU663" s="97">
        <f t="shared" si="971"/>
        <v>829</v>
      </c>
      <c r="AW663" s="51">
        <f t="shared" si="972"/>
        <v>1</v>
      </c>
      <c r="AX663" s="51">
        <f t="shared" si="973"/>
        <v>1</v>
      </c>
      <c r="AY663" s="51">
        <f t="shared" si="974"/>
        <v>1</v>
      </c>
      <c r="AZ663" s="51">
        <f t="shared" si="975"/>
        <v>2.0784313725490198</v>
      </c>
      <c r="BA663" s="51">
        <f t="shared" si="968"/>
        <v>1.8627450980392157</v>
      </c>
      <c r="BB663" s="51"/>
      <c r="BC663" s="51"/>
      <c r="BD663" s="51"/>
      <c r="BE663" s="51"/>
      <c r="BF663" s="51"/>
      <c r="BG663" s="51"/>
      <c r="BH663" s="51"/>
      <c r="BI663" s="65" cm="1">
        <f t="array" ref="BI663">IFERROR(INDEX(AW663:BH663,1,MATCH(2,1/(AW663:BH663&lt;&gt;""))),"")</f>
        <v>1.8627450980392157</v>
      </c>
      <c r="BJ663" s="68" cm="1">
        <f t="array" ref="BJ663">IF(BM663 = "", "",IFERROR(INDEX(AW663:BH663,1,MATCH(2,1/(AW663:BH663&lt;&gt;""),1)-1),""))</f>
        <v>2.0784313725490198</v>
      </c>
      <c r="BK663" s="58">
        <f>IF((IF(AW663&gt;=115%,115%,AW663) + IF(AX663&gt;=115%,115%,AX663) + IF(AY663&gt;=115%,115%,AY663) + (IF(AZ663&gt;=115%,115%,AZ663) + IF(BA663&gt;=115%,115%,BA663) + IF(BB663&gt;=115%,115%,BB663) + IF(BC663&gt;=115%,115%,BC663) + IF(BD663&gt;=115%,115%,BD663) + IF(BE663&gt;=115%,115%,BE663) + IF(BF663&gt;=145%,145%,BF663) + IF(BG663&gt;=115%,115%,BG663) + IF(BH663&gt;=115%,115%,BH663)))/_xlfn.XLOOKUP(F663,Apuração!A:A,Apuração!B:B)&gt;=1.15,1.15,((IF(AZ663&gt;=115%,115%,AZ663) + IF(AX663&gt;=115%,115%,AX663) + IF(AY663&gt;=115%,115%,AY663) + (IF(AW663&gt;=115%,115%,AW663) + IF(BA663&gt;=115%,115%,BA663) + IF(BB663&gt;=115%,115%,BB663) + IF(BC663&gt;=115%,115%,BC663) + IF(BD663&gt;=115%,115%,BD663) + IF(BE663&gt;=115%,115%,BE663) + IF(BF663&gt;=145%,145%,BF663) + IF(BG663&gt;=115%,115%,BG663) + IF(BH663&gt;=115%,115%,BH663)))/_xlfn.XLOOKUP(F663,Apuração!A:A,Apuração!B:B)))</f>
        <v>0.44166666666666665</v>
      </c>
      <c r="BL663" s="58" cm="1">
        <f t="array" aca="1" ref="BL663" ca="1">IF(SUM(IFERROR(IF(INDEX(AW663:INDEX(AW663:BH663, MATCH(2, 1/(AW663:BH663&lt;&gt;""), 1)-1), ROW(INDIRECT("1:" &amp; MATCH(2, 1/(AW663:BH663&lt;&gt;""), 1)-1))) &gt;= 115%, 115%, INDEX(AW663:INDEX(AW663:BH663, MATCH(2, 1/(AW663:BH663&lt;&gt;""), 1)-1), ROW(INDIRECT("1:" &amp; MATCH(2, 1/(AW663:BH663&lt;&gt;""), 1)-1)))), 0))/_xlfn.XLOOKUP(F663,Apuração!A:A,Apuração!B:B)&gt;=1.15,1.15,SUM(IFERROR(IF(INDEX(AW663:INDEX(AW663:BH663, MATCH(2, 1/(AW663:BH663&lt;&gt;""), 1)-1), ROW(INDIRECT("1:" &amp; MATCH(2, 1/(AW663:BH663&lt;&gt;""), 1)-1))) &gt;= 115%, 115%, INDEX(AW663:INDEX(AW663:BH663, MATCH(2, 1/(AW663:BH663&lt;&gt;""), 1)-1), ROW(INDIRECT("1:" &amp; MATCH(2, 1/(AW663:BH663&lt;&gt;""), 1)-1)))), 0))/_xlfn.XLOOKUP(F663,Apuração!A:A,Apuração!B:B))</f>
        <v>0.34583333333333338</v>
      </c>
      <c r="BM663" s="55" cm="1">
        <f t="array" ref="BM663">IFERROR(
   INDEX($AW$1:$BH$1,
      _xlfn.AGGREGATE(14, 6, COLUMN($AW$1:$BH$1)/(AW663:BH663&lt;&gt;""), 2) - COLUMN($AW$1) + 1
   ),
"")</f>
        <v>46113</v>
      </c>
      <c r="BN663" s="55" cm="1">
        <f t="array" ref="BN663">IFERROR(INDEX($AW$1:$BH$1,1,MATCH(2,1/(AW663:BH663&lt;&gt;""))),"")</f>
        <v>46143</v>
      </c>
      <c r="BO663" s="53">
        <f ca="1">IFERROR(_xlfn.XLOOKUP(F663,Apuração!A:A,Apuração!C:C)/_xlfn.XLOOKUP(F663,Apuração!A:A,Apuração!B:B),0)</f>
        <v>0.41666666666666669</v>
      </c>
      <c r="BP663" s="53">
        <f ca="1">IFERROR(_xlfn.XLOOKUP(F663,Apuração!A:A,Apuração!D:D)/_xlfn.XLOOKUP(F663,Apuração!A:A,Apuração!B:B),0)</f>
        <v>0.33333333333333331</v>
      </c>
      <c r="BQ663" s="53">
        <f ca="1">IF(BK663&gt;=BO663,0,_xlfn.XLOOKUP(F663,Apuração!A:A,Apuração!B:B)*(BO663 + (1/_xlfn.XLOOKUP(F663,Apuração!A:A,Apuração!B:B)) - BK663))</f>
        <v>0</v>
      </c>
      <c r="BR663" s="85">
        <f t="shared" ca="1" si="976"/>
        <v>0</v>
      </c>
      <c r="BS663" s="53">
        <f ca="1">IFERROR((_xlfn.XLOOKUP(F663,Apuração!A:A,Apuração!C:C)+1)/_xlfn.XLOOKUP(F663,Apuração!A:A,Apuração!B:B),0)</f>
        <v>0.5</v>
      </c>
    </row>
    <row r="664" spans="1:71" ht="25.95" hidden="1" customHeight="1" x14ac:dyDescent="0.3">
      <c r="A664" s="23" t="s">
        <v>134</v>
      </c>
      <c r="B664" s="4" t="s">
        <v>135</v>
      </c>
      <c r="C664" s="5" t="s">
        <v>97</v>
      </c>
      <c r="D664" s="5" t="s">
        <v>100</v>
      </c>
      <c r="E664" s="4" t="str" cm="1">
        <f t="array" ref="E664">_xlfn.IFS(
F664 = "A partir de Abril", "Aguardando Execução na Distribuidora",
A664 = "CAPACITAÇÃO", "Em execução no Corporativo",
TRUE, "Em Execução na Distribuidora"
)</f>
        <v>Em Execução na Distribuidora</v>
      </c>
      <c r="F664" s="4" t="str" cm="1">
        <f t="array" ref="F664">_xlfn.IFS(
AG664 &lt;&gt; "", "Jan-Dez/26",
AH664 &lt;&gt; "", "Fev-Dez/26",
AI664 &lt;&gt; "", "Mar-Dez/26", AJ664 &lt;&gt; "", "Abr-Dez/26",
TRUE, "A partir de Junho"
)</f>
        <v>Jan-Dez/26</v>
      </c>
      <c r="G664" s="4" t="s">
        <v>37</v>
      </c>
      <c r="H664" s="7" t="s">
        <v>38</v>
      </c>
      <c r="I664" s="8" t="s">
        <v>136</v>
      </c>
      <c r="J664" s="8" t="str" cm="1">
        <f t="array" aca="1" ref="J664" ca="1">_xlfn.LET(
  _xlpm.actual_value_month, INDEX(T664:AE664, MATCH(DATE(YEAR(TODAY()), MONTH(TODAY()), 1), $T$1:$AE$1, 0)),
  IF(_xlpm.actual_value_month &lt;&gt; "",_xlpm.actual_value_month &amp; " equipes mensais", "")
)</f>
        <v>181 equipes mensais</v>
      </c>
      <c r="K664" s="8" t="str" cm="1">
        <f t="array" ref="K664">_xlfn.LET(
    _xlpm.sum_month, SUM(T664:AE664),
    IF(_xlpm.sum_month = 0, "", _xlpm.sum_month &amp; " alcançadas no ano")
)</f>
        <v>2095 alcançadas no ano</v>
      </c>
      <c r="L664" s="9" t="s">
        <v>137</v>
      </c>
      <c r="M664" s="24" t="s">
        <v>138</v>
      </c>
      <c r="N664" s="5" t="s">
        <v>42</v>
      </c>
      <c r="O664" s="5" t="s">
        <v>43</v>
      </c>
      <c r="P664" s="10" t="s">
        <v>44</v>
      </c>
      <c r="Q664" s="10" t="s">
        <v>44</v>
      </c>
      <c r="R664" s="11" t="s">
        <v>66</v>
      </c>
      <c r="S664" s="11" t="s">
        <v>67</v>
      </c>
      <c r="T664" s="143">
        <v>189</v>
      </c>
      <c r="U664" s="143">
        <v>119</v>
      </c>
      <c r="V664" s="143">
        <v>158</v>
      </c>
      <c r="W664" s="143">
        <v>181</v>
      </c>
      <c r="X664" s="143">
        <v>181</v>
      </c>
      <c r="Y664" s="143">
        <v>181</v>
      </c>
      <c r="Z664" s="143">
        <v>181</v>
      </c>
      <c r="AA664" s="143">
        <v>181</v>
      </c>
      <c r="AB664" s="143">
        <v>181</v>
      </c>
      <c r="AC664" s="143">
        <v>181</v>
      </c>
      <c r="AD664" s="143">
        <v>181</v>
      </c>
      <c r="AE664" s="143">
        <v>181</v>
      </c>
      <c r="AG664" s="146">
        <v>189</v>
      </c>
      <c r="AH664" s="146">
        <v>119</v>
      </c>
      <c r="AI664" s="146">
        <v>158</v>
      </c>
      <c r="AJ664" s="146">
        <v>162</v>
      </c>
      <c r="AK664" s="71">
        <v>116</v>
      </c>
      <c r="AL664" s="71"/>
      <c r="AM664" s="71"/>
      <c r="AN664" s="71"/>
      <c r="AO664" s="71"/>
      <c r="AP664" s="71"/>
      <c r="AQ664" s="71"/>
      <c r="AR664" s="71"/>
      <c r="AS664" s="94">
        <f t="shared" ca="1" si="969"/>
        <v>828</v>
      </c>
      <c r="AT664" s="95">
        <f t="shared" si="970"/>
        <v>744</v>
      </c>
      <c r="AU664" s="97">
        <f t="shared" si="971"/>
        <v>744</v>
      </c>
      <c r="AW664" s="51">
        <f t="shared" si="972"/>
        <v>1</v>
      </c>
      <c r="AX664" s="51">
        <f t="shared" si="973"/>
        <v>1</v>
      </c>
      <c r="AY664" s="51">
        <f t="shared" si="974"/>
        <v>1</v>
      </c>
      <c r="AZ664" s="51">
        <f t="shared" si="975"/>
        <v>0.89502762430939231</v>
      </c>
      <c r="BA664" s="51">
        <f t="shared" si="968"/>
        <v>0.64088397790055252</v>
      </c>
      <c r="BB664" s="51"/>
      <c r="BC664" s="51"/>
      <c r="BD664" s="51"/>
      <c r="BE664" s="51"/>
      <c r="BF664" s="51"/>
      <c r="BG664" s="51"/>
      <c r="BH664" s="51"/>
      <c r="BI664" s="65" cm="1">
        <f t="array" ref="BI664">IFERROR(INDEX(AW664:BH664,1,MATCH(2,1/(AW664:BH664&lt;&gt;""))),"")</f>
        <v>0.64088397790055252</v>
      </c>
      <c r="BJ664" s="68" cm="1">
        <f t="array" ref="BJ664">IF(BM664 = "", "",IFERROR(INDEX(AW664:BH664,1,MATCH(2,1/(AW664:BH664&lt;&gt;""),1)-1),""))</f>
        <v>0.89502762430939231</v>
      </c>
      <c r="BK664" s="58">
        <f>IF((IF(AW664&gt;=115%,115%,AW664) + IF(AX664&gt;=115%,115%,AX664) + IF(AY664&gt;=115%,115%,AY664) + (IF(AZ664&gt;=115%,115%,AZ664) + IF(BA664&gt;=115%,115%,BA664) + IF(BB664&gt;=115%,115%,BB664) + IF(BC664&gt;=115%,115%,BC664) + IF(BD664&gt;=115%,115%,BD664) + IF(BE664&gt;=115%,115%,BE664) + IF(BF664&gt;=145%,145%,BF664) + IF(BG664&gt;=115%,115%,BG664) + IF(BH664&gt;=115%,115%,BH664)))/_xlfn.XLOOKUP(F664,Apuração!A:A,Apuração!B:B)&gt;=1.15,1.15,((IF(AZ664&gt;=115%,115%,AZ664) + IF(AX664&gt;=115%,115%,AX664) + IF(AY664&gt;=115%,115%,AY664) + (IF(AW664&gt;=115%,115%,AW664) + IF(BA664&gt;=115%,115%,BA664) + IF(BB664&gt;=115%,115%,BB664) + IF(BC664&gt;=115%,115%,BC664) + IF(BD664&gt;=115%,115%,BD664) + IF(BE664&gt;=115%,115%,BE664) + IF(BF664&gt;=145%,145%,BF664) + IF(BG664&gt;=115%,115%,BG664) + IF(BH664&gt;=115%,115%,BH664)))/_xlfn.XLOOKUP(F664,Apuração!A:A,Apuração!B:B)))</f>
        <v>0.3779926335174954</v>
      </c>
      <c r="BL664" s="58" cm="1">
        <f t="array" aca="1" ref="BL664" ca="1">IF(SUM(IFERROR(IF(INDEX(AW664:INDEX(AW664:BH664, MATCH(2, 1/(AW664:BH664&lt;&gt;""), 1)-1), ROW(INDIRECT("1:" &amp; MATCH(2, 1/(AW664:BH664&lt;&gt;""), 1)-1))) &gt;= 115%, 115%, INDEX(AW664:INDEX(AW664:BH664, MATCH(2, 1/(AW664:BH664&lt;&gt;""), 1)-1), ROW(INDIRECT("1:" &amp; MATCH(2, 1/(AW664:BH664&lt;&gt;""), 1)-1)))), 0))/_xlfn.XLOOKUP(F664,Apuração!A:A,Apuração!B:B)&gt;=1.15,1.15,SUM(IFERROR(IF(INDEX(AW664:INDEX(AW664:BH664, MATCH(2, 1/(AW664:BH664&lt;&gt;""), 1)-1), ROW(INDIRECT("1:" &amp; MATCH(2, 1/(AW664:BH664&lt;&gt;""), 1)-1))) &gt;= 115%, 115%, INDEX(AW664:INDEX(AW664:BH664, MATCH(2, 1/(AW664:BH664&lt;&gt;""), 1)-1), ROW(INDIRECT("1:" &amp; MATCH(2, 1/(AW664:BH664&lt;&gt;""), 1)-1)))), 0))/_xlfn.XLOOKUP(F664,Apuração!A:A,Apuração!B:B))</f>
        <v>0.32458563535911605</v>
      </c>
      <c r="BM664" s="55" cm="1">
        <f t="array" ref="BM664">IFERROR(
   INDEX($AW$1:$BH$1,
      _xlfn.AGGREGATE(14, 6, COLUMN($AW$1:$BH$1)/(AW664:BH664&lt;&gt;""), 2) - COLUMN($AW$1) + 1
   ),
"")</f>
        <v>46113</v>
      </c>
      <c r="BN664" s="55" cm="1">
        <f t="array" ref="BN664">IFERROR(INDEX($AW$1:$BH$1,1,MATCH(2,1/(AW664:BH664&lt;&gt;""))),"")</f>
        <v>46143</v>
      </c>
      <c r="BO664" s="53">
        <f ca="1">IFERROR(_xlfn.XLOOKUP(F664,Apuração!A:A,Apuração!C:C)/_xlfn.XLOOKUP(F664,Apuração!A:A,Apuração!B:B),0)</f>
        <v>0.41666666666666669</v>
      </c>
      <c r="BP664" s="53">
        <f ca="1">IFERROR(_xlfn.XLOOKUP(F664,Apuração!A:A,Apuração!D:D)/_xlfn.XLOOKUP(F664,Apuração!A:A,Apuração!B:B),0)</f>
        <v>0.33333333333333331</v>
      </c>
      <c r="BQ664" s="53">
        <f ca="1">IF(BK664&gt;=BO664,0,_xlfn.XLOOKUP(F664,Apuração!A:A,Apuração!B:B)*(BO664 + (1/_xlfn.XLOOKUP(F664,Apuração!A:A,Apuração!B:B)) - BK664))</f>
        <v>1.4640883977900552</v>
      </c>
      <c r="BR664" s="85">
        <f t="shared" ca="1" si="976"/>
        <v>265</v>
      </c>
      <c r="BS664" s="53">
        <f ca="1">IFERROR((_xlfn.XLOOKUP(F664,Apuração!A:A,Apuração!C:C)+1)/_xlfn.XLOOKUP(F664,Apuração!A:A,Apuração!B:B),0)</f>
        <v>0.5</v>
      </c>
    </row>
    <row r="665" spans="1:71" ht="25.95" hidden="1" customHeight="1" x14ac:dyDescent="0.3">
      <c r="A665" s="23" t="s">
        <v>134</v>
      </c>
      <c r="B665" s="4" t="s">
        <v>135</v>
      </c>
      <c r="C665" s="5" t="s">
        <v>97</v>
      </c>
      <c r="D665" s="5" t="s">
        <v>101</v>
      </c>
      <c r="E665" s="4" t="str" cm="1">
        <f t="array" ref="E665">_xlfn.IFS(
F665 = "A partir de Abril", "Aguardando Execução na Distribuidora",
A665 = "CAPACITAÇÃO", "Em execução no Corporativo",
TRUE, "Em Execução na Distribuidora"
)</f>
        <v>Em Execução na Distribuidora</v>
      </c>
      <c r="F665" s="4" t="str" cm="1">
        <f t="array" ref="F665">_xlfn.IFS(
AG665 &lt;&gt; "", "Jan-Dez/26",
AH665 &lt;&gt; "", "Fev-Dez/26",
AI665 &lt;&gt; "", "Mar-Dez/26", AJ665 &lt;&gt; "", "Abr-Dez/26",
TRUE, "A partir de Junho"
)</f>
        <v>Jan-Dez/26</v>
      </c>
      <c r="G665" s="4" t="s">
        <v>37</v>
      </c>
      <c r="H665" s="7" t="s">
        <v>38</v>
      </c>
      <c r="I665" s="8" t="s">
        <v>136</v>
      </c>
      <c r="J665" s="8" t="str" cm="1">
        <f t="array" aca="1" ref="J665" ca="1">_xlfn.LET(
  _xlpm.actual_value_month, INDEX(T665:AE665, MATCH(DATE(YEAR(TODAY()), MONTH(TODAY()), 1), $T$1:$AE$1, 0)),
  IF(_xlpm.actual_value_month &lt;&gt; "",_xlpm.actual_value_month &amp; " equipes mensais", "")
)</f>
        <v>34 equipes mensais</v>
      </c>
      <c r="K665" s="8" t="str" cm="1">
        <f t="array" ref="K665">_xlfn.LET(
    _xlpm.sum_month, SUM(T665:AE665),
    IF(_xlpm.sum_month = 0, "", _xlpm.sum_month &amp; " alcançadas no ano")
)</f>
        <v>1224 alcançadas no ano</v>
      </c>
      <c r="L665" s="9" t="s">
        <v>137</v>
      </c>
      <c r="M665" s="24" t="s">
        <v>138</v>
      </c>
      <c r="N665" s="5" t="s">
        <v>42</v>
      </c>
      <c r="O665" s="5" t="s">
        <v>43</v>
      </c>
      <c r="P665" s="10" t="s">
        <v>44</v>
      </c>
      <c r="Q665" s="10" t="s">
        <v>44</v>
      </c>
      <c r="R665" s="11" t="s">
        <v>66</v>
      </c>
      <c r="S665" s="11" t="s">
        <v>67</v>
      </c>
      <c r="T665" s="143">
        <v>355</v>
      </c>
      <c r="U665" s="143">
        <v>300</v>
      </c>
      <c r="V665" s="143">
        <v>263</v>
      </c>
      <c r="W665" s="143">
        <v>34</v>
      </c>
      <c r="X665" s="143">
        <v>34</v>
      </c>
      <c r="Y665" s="143">
        <v>34</v>
      </c>
      <c r="Z665" s="143">
        <v>34</v>
      </c>
      <c r="AA665" s="143">
        <v>34</v>
      </c>
      <c r="AB665" s="143">
        <v>34</v>
      </c>
      <c r="AC665" s="143">
        <v>34</v>
      </c>
      <c r="AD665" s="143">
        <v>34</v>
      </c>
      <c r="AE665" s="143">
        <v>34</v>
      </c>
      <c r="AG665" s="146">
        <v>355</v>
      </c>
      <c r="AH665" s="146">
        <v>300</v>
      </c>
      <c r="AI665" s="146">
        <v>263</v>
      </c>
      <c r="AJ665" s="146">
        <v>200</v>
      </c>
      <c r="AK665" s="71">
        <v>139</v>
      </c>
      <c r="AL665" s="71"/>
      <c r="AM665" s="71"/>
      <c r="AN665" s="71"/>
      <c r="AO665" s="71"/>
      <c r="AP665" s="71"/>
      <c r="AQ665" s="71"/>
      <c r="AR665" s="71"/>
      <c r="AS665" s="94">
        <f t="shared" ca="1" si="969"/>
        <v>986</v>
      </c>
      <c r="AT665" s="95">
        <f t="shared" si="970"/>
        <v>996.2</v>
      </c>
      <c r="AU665" s="97">
        <f t="shared" si="971"/>
        <v>1257</v>
      </c>
      <c r="AW665" s="51">
        <f t="shared" si="972"/>
        <v>1</v>
      </c>
      <c r="AX665" s="51">
        <f t="shared" si="973"/>
        <v>1</v>
      </c>
      <c r="AY665" s="51">
        <f t="shared" si="974"/>
        <v>1</v>
      </c>
      <c r="AZ665" s="51">
        <f t="shared" si="975"/>
        <v>5.882352941176471</v>
      </c>
      <c r="BA665" s="51">
        <f t="shared" si="968"/>
        <v>4.0882352941176467</v>
      </c>
      <c r="BB665" s="51"/>
      <c r="BC665" s="51"/>
      <c r="BD665" s="51"/>
      <c r="BE665" s="51"/>
      <c r="BF665" s="51"/>
      <c r="BG665" s="51"/>
      <c r="BH665" s="51"/>
      <c r="BI665" s="65" cm="1">
        <f t="array" ref="BI665">IFERROR(INDEX(AW665:BH665,1,MATCH(2,1/(AW665:BH665&lt;&gt;""))),"")</f>
        <v>4.0882352941176467</v>
      </c>
      <c r="BJ665" s="68" cm="1">
        <f t="array" ref="BJ665">IF(BM665 = "", "",IFERROR(INDEX(AW665:BH665,1,MATCH(2,1/(AW665:BH665&lt;&gt;""),1)-1),""))</f>
        <v>5.882352941176471</v>
      </c>
      <c r="BK665" s="58">
        <f>IF((IF(AW665&gt;=115%,115%,AW665) + IF(AX665&gt;=115%,115%,AX665) + IF(AY665&gt;=115%,115%,AY665) + (IF(AZ665&gt;=115%,115%,AZ665) + IF(BA665&gt;=115%,115%,BA665) + IF(BB665&gt;=115%,115%,BB665) + IF(BC665&gt;=115%,115%,BC665) + IF(BD665&gt;=115%,115%,BD665) + IF(BE665&gt;=115%,115%,BE665) + IF(BF665&gt;=145%,145%,BF665) + IF(BG665&gt;=115%,115%,BG665) + IF(BH665&gt;=115%,115%,BH665)))/_xlfn.XLOOKUP(F665,Apuração!A:A,Apuração!B:B)&gt;=1.15,1.15,((IF(AZ665&gt;=115%,115%,AZ665) + IF(AX665&gt;=115%,115%,AX665) + IF(AY665&gt;=115%,115%,AY665) + (IF(AW665&gt;=115%,115%,AW665) + IF(BA665&gt;=115%,115%,BA665) + IF(BB665&gt;=115%,115%,BB665) + IF(BC665&gt;=115%,115%,BC665) + IF(BD665&gt;=115%,115%,BD665) + IF(BE665&gt;=115%,115%,BE665) + IF(BF665&gt;=145%,145%,BF665) + IF(BG665&gt;=115%,115%,BG665) + IF(BH665&gt;=115%,115%,BH665)))/_xlfn.XLOOKUP(F665,Apuração!A:A,Apuração!B:B)))</f>
        <v>0.44166666666666665</v>
      </c>
      <c r="BL665" s="58" cm="1">
        <f t="array" aca="1" ref="BL665" ca="1">IF(SUM(IFERROR(IF(INDEX(AW665:INDEX(AW665:BH665, MATCH(2, 1/(AW665:BH665&lt;&gt;""), 1)-1), ROW(INDIRECT("1:" &amp; MATCH(2, 1/(AW665:BH665&lt;&gt;""), 1)-1))) &gt;= 115%, 115%, INDEX(AW665:INDEX(AW665:BH665, MATCH(2, 1/(AW665:BH665&lt;&gt;""), 1)-1), ROW(INDIRECT("1:" &amp; MATCH(2, 1/(AW665:BH665&lt;&gt;""), 1)-1)))), 0))/_xlfn.XLOOKUP(F665,Apuração!A:A,Apuração!B:B)&gt;=1.15,1.15,SUM(IFERROR(IF(INDEX(AW665:INDEX(AW665:BH665, MATCH(2, 1/(AW665:BH665&lt;&gt;""), 1)-1), ROW(INDIRECT("1:" &amp; MATCH(2, 1/(AW665:BH665&lt;&gt;""), 1)-1))) &gt;= 115%, 115%, INDEX(AW665:INDEX(AW665:BH665, MATCH(2, 1/(AW665:BH665&lt;&gt;""), 1)-1), ROW(INDIRECT("1:" &amp; MATCH(2, 1/(AW665:BH665&lt;&gt;""), 1)-1)))), 0))/_xlfn.XLOOKUP(F665,Apuração!A:A,Apuração!B:B))</f>
        <v>0.34583333333333338</v>
      </c>
      <c r="BM665" s="55" cm="1">
        <f t="array" ref="BM665">IFERROR(
   INDEX($AW$1:$BH$1,
      _xlfn.AGGREGATE(14, 6, COLUMN($AW$1:$BH$1)/(AW665:BH665&lt;&gt;""), 2) - COLUMN($AW$1) + 1
   ),
"")</f>
        <v>46113</v>
      </c>
      <c r="BN665" s="55" cm="1">
        <f t="array" ref="BN665">IFERROR(INDEX($AW$1:$BH$1,1,MATCH(2,1/(AW665:BH665&lt;&gt;""))),"")</f>
        <v>46143</v>
      </c>
      <c r="BO665" s="53">
        <f ca="1">IFERROR(_xlfn.XLOOKUP(F665,Apuração!A:A,Apuração!C:C)/_xlfn.XLOOKUP(F665,Apuração!A:A,Apuração!B:B),0)</f>
        <v>0.41666666666666669</v>
      </c>
      <c r="BP665" s="53">
        <f ca="1">IFERROR(_xlfn.XLOOKUP(F665,Apuração!A:A,Apuração!D:D)/_xlfn.XLOOKUP(F665,Apuração!A:A,Apuração!B:B),0)</f>
        <v>0.33333333333333331</v>
      </c>
      <c r="BQ665" s="53">
        <f ca="1">IF(BK665&gt;=BO665,0,_xlfn.XLOOKUP(F665,Apuração!A:A,Apuração!B:B)*(BO665 + (1/_xlfn.XLOOKUP(F665,Apuração!A:A,Apuração!B:B)) - BK665))</f>
        <v>0</v>
      </c>
      <c r="BR665" s="85">
        <f t="shared" ca="1" si="976"/>
        <v>0</v>
      </c>
      <c r="BS665" s="53">
        <f ca="1">IFERROR((_xlfn.XLOOKUP(F665,Apuração!A:A,Apuração!C:C)+1)/_xlfn.XLOOKUP(F665,Apuração!A:A,Apuração!B:B),0)</f>
        <v>0.5</v>
      </c>
    </row>
    <row r="666" spans="1:71" ht="25.95" hidden="1" customHeight="1" x14ac:dyDescent="0.3">
      <c r="A666" s="23" t="s">
        <v>134</v>
      </c>
      <c r="B666" s="4" t="s">
        <v>135</v>
      </c>
      <c r="C666" s="5" t="s">
        <v>97</v>
      </c>
      <c r="D666" s="5" t="s">
        <v>102</v>
      </c>
      <c r="E666" s="4" t="str" cm="1">
        <f t="array" ref="E666">_xlfn.IFS(
F666 = "A partir de Abril", "Aguardando Execução na Distribuidora",
A666 = "CAPACITAÇÃO", "Em execução no Corporativo",
TRUE, "Em Execução na Distribuidora"
)</f>
        <v>Em Execução na Distribuidora</v>
      </c>
      <c r="F666" s="4" t="str" cm="1">
        <f t="array" ref="F666">_xlfn.IFS(
AG666 &lt;&gt; "", "Jan-Dez/26",
AH666 &lt;&gt; "", "Fev-Dez/26",
AI666 &lt;&gt; "", "Mar-Dez/26", AJ666 &lt;&gt; "", "Abr-Dez/26",
TRUE, "A partir de Junho"
)</f>
        <v>Jan-Dez/26</v>
      </c>
      <c r="G666" s="4" t="s">
        <v>37</v>
      </c>
      <c r="H666" s="7" t="s">
        <v>38</v>
      </c>
      <c r="I666" s="8" t="s">
        <v>136</v>
      </c>
      <c r="J666" s="8" t="str" cm="1">
        <f t="array" aca="1" ref="J666" ca="1">_xlfn.LET(
  _xlpm.actual_value_month, INDEX(T666:AE666, MATCH(DATE(YEAR(TODAY()), MONTH(TODAY()), 1), $T$1:$AE$1, 0)),
  IF(_xlpm.actual_value_month &lt;&gt; "",_xlpm.actual_value_month &amp; " equipes mensais", "")
)</f>
        <v>22 equipes mensais</v>
      </c>
      <c r="K666" s="8" t="str" cm="1">
        <f t="array" ref="K666">_xlfn.LET(
    _xlpm.sum_month, SUM(T666:AE666),
    IF(_xlpm.sum_month = 0, "", _xlpm.sum_month &amp; " alcançadas no ano")
)</f>
        <v>1120 alcançadas no ano</v>
      </c>
      <c r="L666" s="9" t="s">
        <v>137</v>
      </c>
      <c r="M666" s="24" t="s">
        <v>138</v>
      </c>
      <c r="N666" s="5" t="s">
        <v>42</v>
      </c>
      <c r="O666" s="5" t="s">
        <v>43</v>
      </c>
      <c r="P666" s="10" t="s">
        <v>44</v>
      </c>
      <c r="Q666" s="10" t="s">
        <v>44</v>
      </c>
      <c r="R666" s="11" t="s">
        <v>66</v>
      </c>
      <c r="S666" s="11" t="s">
        <v>67</v>
      </c>
      <c r="T666" s="143">
        <v>342</v>
      </c>
      <c r="U666" s="143">
        <v>281</v>
      </c>
      <c r="V666" s="143">
        <v>299</v>
      </c>
      <c r="W666" s="143">
        <v>22</v>
      </c>
      <c r="X666" s="143">
        <v>22</v>
      </c>
      <c r="Y666" s="143">
        <v>22</v>
      </c>
      <c r="Z666" s="143">
        <v>22</v>
      </c>
      <c r="AA666" s="143">
        <v>22</v>
      </c>
      <c r="AB666" s="143">
        <v>22</v>
      </c>
      <c r="AC666" s="143">
        <v>22</v>
      </c>
      <c r="AD666" s="143">
        <v>22</v>
      </c>
      <c r="AE666" s="143">
        <v>22</v>
      </c>
      <c r="AG666" s="146">
        <v>342</v>
      </c>
      <c r="AH666" s="146">
        <v>281</v>
      </c>
      <c r="AI666" s="146">
        <v>299</v>
      </c>
      <c r="AJ666" s="146">
        <v>211</v>
      </c>
      <c r="AK666" s="71">
        <v>190</v>
      </c>
      <c r="AL666" s="71"/>
      <c r="AM666" s="71"/>
      <c r="AN666" s="71"/>
      <c r="AO666" s="71"/>
      <c r="AP666" s="71"/>
      <c r="AQ666" s="71"/>
      <c r="AR666" s="71"/>
      <c r="AS666" s="94">
        <f t="shared" ca="1" si="969"/>
        <v>966</v>
      </c>
      <c r="AT666" s="95">
        <f t="shared" si="970"/>
        <v>972.59999999999991</v>
      </c>
      <c r="AU666" s="97">
        <f t="shared" si="971"/>
        <v>1323</v>
      </c>
      <c r="AW666" s="51">
        <f t="shared" si="972"/>
        <v>1</v>
      </c>
      <c r="AX666" s="51">
        <f t="shared" si="973"/>
        <v>1</v>
      </c>
      <c r="AY666" s="51">
        <f t="shared" si="974"/>
        <v>1</v>
      </c>
      <c r="AZ666" s="51">
        <f t="shared" si="975"/>
        <v>9.5909090909090917</v>
      </c>
      <c r="BA666" s="51">
        <f t="shared" si="968"/>
        <v>8.6363636363636367</v>
      </c>
      <c r="BB666" s="51"/>
      <c r="BC666" s="51"/>
      <c r="BD666" s="51"/>
      <c r="BE666" s="51"/>
      <c r="BF666" s="51"/>
      <c r="BG666" s="51"/>
      <c r="BH666" s="51"/>
      <c r="BI666" s="65" cm="1">
        <f t="array" ref="BI666">IFERROR(INDEX(AW666:BH666,1,MATCH(2,1/(AW666:BH666&lt;&gt;""))),"")</f>
        <v>8.6363636363636367</v>
      </c>
      <c r="BJ666" s="68" cm="1">
        <f t="array" ref="BJ666">IF(BM666 = "", "",IFERROR(INDEX(AW666:BH666,1,MATCH(2,1/(AW666:BH666&lt;&gt;""),1)-1),""))</f>
        <v>9.5909090909090917</v>
      </c>
      <c r="BK666" s="58">
        <f>IF((IF(AW666&gt;=115%,115%,AW666) + IF(AX666&gt;=115%,115%,AX666) + IF(AY666&gt;=115%,115%,AY666) + (IF(AZ666&gt;=115%,115%,AZ666) + IF(BA666&gt;=115%,115%,BA666) + IF(BB666&gt;=115%,115%,BB666) + IF(BC666&gt;=115%,115%,BC666) + IF(BD666&gt;=115%,115%,BD666) + IF(BE666&gt;=115%,115%,BE666) + IF(BF666&gt;=145%,145%,BF666) + IF(BG666&gt;=115%,115%,BG666) + IF(BH666&gt;=115%,115%,BH666)))/_xlfn.XLOOKUP(F666,Apuração!A:A,Apuração!B:B)&gt;=1.15,1.15,((IF(AZ666&gt;=115%,115%,AZ666) + IF(AX666&gt;=115%,115%,AX666) + IF(AY666&gt;=115%,115%,AY666) + (IF(AW666&gt;=115%,115%,AW666) + IF(BA666&gt;=115%,115%,BA666) + IF(BB666&gt;=115%,115%,BB666) + IF(BC666&gt;=115%,115%,BC666) + IF(BD666&gt;=115%,115%,BD666) + IF(BE666&gt;=115%,115%,BE666) + IF(BF666&gt;=145%,145%,BF666) + IF(BG666&gt;=115%,115%,BG666) + IF(BH666&gt;=115%,115%,BH666)))/_xlfn.XLOOKUP(F666,Apuração!A:A,Apuração!B:B)))</f>
        <v>0.44166666666666665</v>
      </c>
      <c r="BL666" s="58" cm="1">
        <f t="array" aca="1" ref="BL666" ca="1">IF(SUM(IFERROR(IF(INDEX(AW666:INDEX(AW666:BH666, MATCH(2, 1/(AW666:BH666&lt;&gt;""), 1)-1), ROW(INDIRECT("1:" &amp; MATCH(2, 1/(AW666:BH666&lt;&gt;""), 1)-1))) &gt;= 115%, 115%, INDEX(AW666:INDEX(AW666:BH666, MATCH(2, 1/(AW666:BH666&lt;&gt;""), 1)-1), ROW(INDIRECT("1:" &amp; MATCH(2, 1/(AW666:BH666&lt;&gt;""), 1)-1)))), 0))/_xlfn.XLOOKUP(F666,Apuração!A:A,Apuração!B:B)&gt;=1.15,1.15,SUM(IFERROR(IF(INDEX(AW666:INDEX(AW666:BH666, MATCH(2, 1/(AW666:BH666&lt;&gt;""), 1)-1), ROW(INDIRECT("1:" &amp; MATCH(2, 1/(AW666:BH666&lt;&gt;""), 1)-1))) &gt;= 115%, 115%, INDEX(AW666:INDEX(AW666:BH666, MATCH(2, 1/(AW666:BH666&lt;&gt;""), 1)-1), ROW(INDIRECT("1:" &amp; MATCH(2, 1/(AW666:BH666&lt;&gt;""), 1)-1)))), 0))/_xlfn.XLOOKUP(F666,Apuração!A:A,Apuração!B:B))</f>
        <v>0.34583333333333338</v>
      </c>
      <c r="BM666" s="55" cm="1">
        <f t="array" ref="BM666">IFERROR(
   INDEX($AW$1:$BH$1,
      _xlfn.AGGREGATE(14, 6, COLUMN($AW$1:$BH$1)/(AW666:BH666&lt;&gt;""), 2) - COLUMN($AW$1) + 1
   ),
"")</f>
        <v>46113</v>
      </c>
      <c r="BN666" s="55" cm="1">
        <f t="array" ref="BN666">IFERROR(INDEX($AW$1:$BH$1,1,MATCH(2,1/(AW666:BH666&lt;&gt;""))),"")</f>
        <v>46143</v>
      </c>
      <c r="BO666" s="53">
        <f ca="1">IFERROR(_xlfn.XLOOKUP(F666,Apuração!A:A,Apuração!C:C)/_xlfn.XLOOKUP(F666,Apuração!A:A,Apuração!B:B),0)</f>
        <v>0.41666666666666669</v>
      </c>
      <c r="BP666" s="53">
        <f ca="1">IFERROR(_xlfn.XLOOKUP(F666,Apuração!A:A,Apuração!D:D)/_xlfn.XLOOKUP(F666,Apuração!A:A,Apuração!B:B),0)</f>
        <v>0.33333333333333331</v>
      </c>
      <c r="BQ666" s="53">
        <f ca="1">IF(BK666&gt;=BO666,0,_xlfn.XLOOKUP(F666,Apuração!A:A,Apuração!B:B)*(BO666 + (1/_xlfn.XLOOKUP(F666,Apuração!A:A,Apuração!B:B)) - BK666))</f>
        <v>0</v>
      </c>
      <c r="BR666" s="85">
        <f t="shared" ca="1" si="976"/>
        <v>0</v>
      </c>
      <c r="BS666" s="53">
        <f ca="1">IFERROR((_xlfn.XLOOKUP(F666,Apuração!A:A,Apuração!C:C)+1)/_xlfn.XLOOKUP(F666,Apuração!A:A,Apuração!B:B),0)</f>
        <v>0.5</v>
      </c>
    </row>
    <row r="667" spans="1:71" ht="25.95" hidden="1" customHeight="1" x14ac:dyDescent="0.3">
      <c r="A667" s="23" t="s">
        <v>134</v>
      </c>
      <c r="B667" s="4" t="s">
        <v>135</v>
      </c>
      <c r="C667" s="5" t="s">
        <v>97</v>
      </c>
      <c r="D667" s="5" t="s">
        <v>103</v>
      </c>
      <c r="E667" s="4" t="str" cm="1">
        <f t="array" ref="E667">_xlfn.IFS(
F667 = "A partir de Abril", "Aguardando Execução na Distribuidora",
A667 = "CAPACITAÇÃO", "Em execução no Corporativo",
TRUE, "Em Execução na Distribuidora"
)</f>
        <v>Em Execução na Distribuidora</v>
      </c>
      <c r="F667" s="4" t="str" cm="1">
        <f t="array" ref="F667">_xlfn.IFS(
AG667 &lt;&gt; "", "Jan-Dez/26",
AH667 &lt;&gt; "", "Fev-Dez/26",
AI667 &lt;&gt; "", "Mar-Dez/26", AJ667 &lt;&gt; "", "Abr-Dez/26",
TRUE, "A partir de Junho"
)</f>
        <v>Jan-Dez/26</v>
      </c>
      <c r="G667" s="4" t="s">
        <v>37</v>
      </c>
      <c r="H667" s="7" t="s">
        <v>38</v>
      </c>
      <c r="I667" s="8" t="s">
        <v>136</v>
      </c>
      <c r="J667" s="8" t="str" cm="1">
        <f t="array" aca="1" ref="J667" ca="1">_xlfn.LET(
  _xlpm.actual_value_month, INDEX(T667:AE667, MATCH(DATE(YEAR(TODAY()), MONTH(TODAY()), 1), $T$1:$AE$1, 0)),
  IF(_xlpm.actual_value_month &lt;&gt; "",_xlpm.actual_value_month &amp; " equipes mensais", "")
)</f>
        <v>47 equipes mensais</v>
      </c>
      <c r="K667" s="8" t="str" cm="1">
        <f t="array" ref="K667">_xlfn.LET(
    _xlpm.sum_month, SUM(T667:AE667),
    IF(_xlpm.sum_month = 0, "", _xlpm.sum_month &amp; " alcançadas no ano")
)</f>
        <v>1177 alcançadas no ano</v>
      </c>
      <c r="L667" s="9" t="s">
        <v>137</v>
      </c>
      <c r="M667" s="24" t="s">
        <v>138</v>
      </c>
      <c r="N667" s="5" t="s">
        <v>42</v>
      </c>
      <c r="O667" s="5" t="s">
        <v>43</v>
      </c>
      <c r="P667" s="10" t="s">
        <v>44</v>
      </c>
      <c r="Q667" s="10" t="s">
        <v>44</v>
      </c>
      <c r="R667" s="11" t="s">
        <v>66</v>
      </c>
      <c r="S667" s="11" t="s">
        <v>67</v>
      </c>
      <c r="T667" s="143">
        <v>301</v>
      </c>
      <c r="U667" s="143">
        <v>226</v>
      </c>
      <c r="V667" s="143">
        <v>227</v>
      </c>
      <c r="W667" s="143">
        <v>47</v>
      </c>
      <c r="X667" s="143">
        <v>47</v>
      </c>
      <c r="Y667" s="143">
        <v>47</v>
      </c>
      <c r="Z667" s="143">
        <v>47</v>
      </c>
      <c r="AA667" s="143">
        <v>47</v>
      </c>
      <c r="AB667" s="143">
        <v>47</v>
      </c>
      <c r="AC667" s="143">
        <v>47</v>
      </c>
      <c r="AD667" s="143">
        <v>47</v>
      </c>
      <c r="AE667" s="143">
        <v>47</v>
      </c>
      <c r="AG667" s="146">
        <v>301</v>
      </c>
      <c r="AH667" s="146">
        <v>226</v>
      </c>
      <c r="AI667" s="146">
        <v>227</v>
      </c>
      <c r="AJ667" s="146">
        <v>199</v>
      </c>
      <c r="AK667" s="71">
        <v>183</v>
      </c>
      <c r="AL667" s="71"/>
      <c r="AM667" s="71"/>
      <c r="AN667" s="71"/>
      <c r="AO667" s="71"/>
      <c r="AP667" s="71"/>
      <c r="AQ667" s="71"/>
      <c r="AR667" s="71"/>
      <c r="AS667" s="94">
        <f t="shared" ca="1" si="969"/>
        <v>848</v>
      </c>
      <c r="AT667" s="95">
        <f t="shared" si="970"/>
        <v>862.09999999999991</v>
      </c>
      <c r="AU667" s="97">
        <f t="shared" si="971"/>
        <v>1136</v>
      </c>
      <c r="AW667" s="51">
        <f t="shared" si="972"/>
        <v>1</v>
      </c>
      <c r="AX667" s="51">
        <f t="shared" si="973"/>
        <v>1</v>
      </c>
      <c r="AY667" s="51">
        <f t="shared" si="974"/>
        <v>1</v>
      </c>
      <c r="AZ667" s="51">
        <f t="shared" si="975"/>
        <v>4.2340425531914896</v>
      </c>
      <c r="BA667" s="51">
        <f t="shared" si="968"/>
        <v>3.8936170212765959</v>
      </c>
      <c r="BB667" s="51"/>
      <c r="BC667" s="51"/>
      <c r="BD667" s="51"/>
      <c r="BE667" s="51"/>
      <c r="BF667" s="51"/>
      <c r="BG667" s="51"/>
      <c r="BH667" s="51"/>
      <c r="BI667" s="65" cm="1">
        <f t="array" ref="BI667">IFERROR(INDEX(AW667:BH667,1,MATCH(2,1/(AW667:BH667&lt;&gt;""))),"")</f>
        <v>3.8936170212765959</v>
      </c>
      <c r="BJ667" s="68" cm="1">
        <f t="array" ref="BJ667">IF(BM667 = "", "",IFERROR(INDEX(AW667:BH667,1,MATCH(2,1/(AW667:BH667&lt;&gt;""),1)-1),""))</f>
        <v>4.2340425531914896</v>
      </c>
      <c r="BK667" s="58">
        <f>IF((IF(AW667&gt;=115%,115%,AW667) + IF(AX667&gt;=115%,115%,AX667) + IF(AY667&gt;=115%,115%,AY667) + (IF(AZ667&gt;=115%,115%,AZ667) + IF(BA667&gt;=115%,115%,BA667) + IF(BB667&gt;=115%,115%,BB667) + IF(BC667&gt;=115%,115%,BC667) + IF(BD667&gt;=115%,115%,BD667) + IF(BE667&gt;=115%,115%,BE667) + IF(BF667&gt;=145%,145%,BF667) + IF(BG667&gt;=115%,115%,BG667) + IF(BH667&gt;=115%,115%,BH667)))/_xlfn.XLOOKUP(F667,Apuração!A:A,Apuração!B:B)&gt;=1.15,1.15,((IF(AZ667&gt;=115%,115%,AZ667) + IF(AX667&gt;=115%,115%,AX667) + IF(AY667&gt;=115%,115%,AY667) + (IF(AW667&gt;=115%,115%,AW667) + IF(BA667&gt;=115%,115%,BA667) + IF(BB667&gt;=115%,115%,BB667) + IF(BC667&gt;=115%,115%,BC667) + IF(BD667&gt;=115%,115%,BD667) + IF(BE667&gt;=115%,115%,BE667) + IF(BF667&gt;=145%,145%,BF667) + IF(BG667&gt;=115%,115%,BG667) + IF(BH667&gt;=115%,115%,BH667)))/_xlfn.XLOOKUP(F667,Apuração!A:A,Apuração!B:B)))</f>
        <v>0.44166666666666665</v>
      </c>
      <c r="BL667" s="58" cm="1">
        <f t="array" aca="1" ref="BL667" ca="1">IF(SUM(IFERROR(IF(INDEX(AW667:INDEX(AW667:BH667, MATCH(2, 1/(AW667:BH667&lt;&gt;""), 1)-1), ROW(INDIRECT("1:" &amp; MATCH(2, 1/(AW667:BH667&lt;&gt;""), 1)-1))) &gt;= 115%, 115%, INDEX(AW667:INDEX(AW667:BH667, MATCH(2, 1/(AW667:BH667&lt;&gt;""), 1)-1), ROW(INDIRECT("1:" &amp; MATCH(2, 1/(AW667:BH667&lt;&gt;""), 1)-1)))), 0))/_xlfn.XLOOKUP(F667,Apuração!A:A,Apuração!B:B)&gt;=1.15,1.15,SUM(IFERROR(IF(INDEX(AW667:INDEX(AW667:BH667, MATCH(2, 1/(AW667:BH667&lt;&gt;""), 1)-1), ROW(INDIRECT("1:" &amp; MATCH(2, 1/(AW667:BH667&lt;&gt;""), 1)-1))) &gt;= 115%, 115%, INDEX(AW667:INDEX(AW667:BH667, MATCH(2, 1/(AW667:BH667&lt;&gt;""), 1)-1), ROW(INDIRECT("1:" &amp; MATCH(2, 1/(AW667:BH667&lt;&gt;""), 1)-1)))), 0))/_xlfn.XLOOKUP(F667,Apuração!A:A,Apuração!B:B))</f>
        <v>0.34583333333333338</v>
      </c>
      <c r="BM667" s="55" cm="1">
        <f t="array" ref="BM667">IFERROR(
   INDEX($AW$1:$BH$1,
      _xlfn.AGGREGATE(14, 6, COLUMN($AW$1:$BH$1)/(AW667:BH667&lt;&gt;""), 2) - COLUMN($AW$1) + 1
   ),
"")</f>
        <v>46113</v>
      </c>
      <c r="BN667" s="55" cm="1">
        <f t="array" ref="BN667">IFERROR(INDEX($AW$1:$BH$1,1,MATCH(2,1/(AW667:BH667&lt;&gt;""))),"")</f>
        <v>46143</v>
      </c>
      <c r="BO667" s="53">
        <f ca="1">IFERROR(_xlfn.XLOOKUP(F667,Apuração!A:A,Apuração!C:C)/_xlfn.XLOOKUP(F667,Apuração!A:A,Apuração!B:B),0)</f>
        <v>0.41666666666666669</v>
      </c>
      <c r="BP667" s="53">
        <f ca="1">IFERROR(_xlfn.XLOOKUP(F667,Apuração!A:A,Apuração!D:D)/_xlfn.XLOOKUP(F667,Apuração!A:A,Apuração!B:B),0)</f>
        <v>0.33333333333333331</v>
      </c>
      <c r="BQ667" s="53">
        <f ca="1">IF(BK667&gt;=BO667,0,_xlfn.XLOOKUP(F667,Apuração!A:A,Apuração!B:B)*(BO667 + (1/_xlfn.XLOOKUP(F667,Apuração!A:A,Apuração!B:B)) - BK667))</f>
        <v>0</v>
      </c>
      <c r="BR667" s="85">
        <f t="shared" ca="1" si="976"/>
        <v>0</v>
      </c>
      <c r="BS667" s="53">
        <f ca="1">IFERROR((_xlfn.XLOOKUP(F667,Apuração!A:A,Apuração!C:C)+1)/_xlfn.XLOOKUP(F667,Apuração!A:A,Apuração!B:B),0)</f>
        <v>0.5</v>
      </c>
    </row>
    <row r="668" spans="1:71" ht="25.95" hidden="1" customHeight="1" x14ac:dyDescent="0.3">
      <c r="A668" s="23" t="s">
        <v>134</v>
      </c>
      <c r="B668" s="4" t="s">
        <v>135</v>
      </c>
      <c r="C668" s="5" t="s">
        <v>97</v>
      </c>
      <c r="D668" s="5" t="s">
        <v>104</v>
      </c>
      <c r="E668" s="4" t="str" cm="1">
        <f t="array" ref="E668">_xlfn.IFS(
F668 = "A partir de Abril", "Aguardando Execução na Distribuidora",
A668 = "CAPACITAÇÃO", "Em execução no Corporativo",
TRUE, "Em Execução na Distribuidora"
)</f>
        <v>Em Execução na Distribuidora</v>
      </c>
      <c r="F668" s="4" t="str" cm="1">
        <f t="array" ref="F668">_xlfn.IFS(
AG668 &lt;&gt; "", "Jan-Dez/26",
AH668 &lt;&gt; "", "Fev-Dez/26",
AI668 &lt;&gt; "", "Mar-Dez/26", AJ668 &lt;&gt; "", "Abr-Dez/26",
TRUE, "A partir de Junho"
)</f>
        <v>Jan-Dez/26</v>
      </c>
      <c r="G668" s="4" t="s">
        <v>37</v>
      </c>
      <c r="H668" s="7" t="s">
        <v>38</v>
      </c>
      <c r="I668" s="8" t="s">
        <v>136</v>
      </c>
      <c r="J668" s="8" t="str" cm="1">
        <f t="array" aca="1" ref="J668" ca="1">_xlfn.LET(
  _xlpm.actual_value_month, INDEX(T668:AE668, MATCH(DATE(YEAR(TODAY()), MONTH(TODAY()), 1), $T$1:$AE$1, 0)),
  IF(_xlpm.actual_value_month &lt;&gt; "",_xlpm.actual_value_month &amp; " equipes mensais", "")
)</f>
        <v>73 equipes mensais</v>
      </c>
      <c r="K668" s="8" t="str" cm="1">
        <f t="array" ref="K668">_xlfn.LET(
    _xlpm.sum_month, SUM(T668:AE668),
    IF(_xlpm.sum_month = 0, "", _xlpm.sum_month &amp; " alcançadas no ano")
)</f>
        <v>2055 alcançadas no ano</v>
      </c>
      <c r="L668" s="9" t="s">
        <v>137</v>
      </c>
      <c r="M668" s="24" t="s">
        <v>138</v>
      </c>
      <c r="N668" s="5" t="s">
        <v>42</v>
      </c>
      <c r="O668" s="5" t="s">
        <v>43</v>
      </c>
      <c r="P668" s="10" t="s">
        <v>44</v>
      </c>
      <c r="Q668" s="10" t="s">
        <v>44</v>
      </c>
      <c r="R668" s="11" t="s">
        <v>66</v>
      </c>
      <c r="S668" s="11" t="s">
        <v>67</v>
      </c>
      <c r="T668" s="143">
        <v>544</v>
      </c>
      <c r="U668" s="143">
        <v>460</v>
      </c>
      <c r="V668" s="143">
        <v>394</v>
      </c>
      <c r="W668" s="143">
        <v>73</v>
      </c>
      <c r="X668" s="143">
        <v>73</v>
      </c>
      <c r="Y668" s="143">
        <v>73</v>
      </c>
      <c r="Z668" s="143">
        <v>73</v>
      </c>
      <c r="AA668" s="143">
        <v>73</v>
      </c>
      <c r="AB668" s="143">
        <v>73</v>
      </c>
      <c r="AC668" s="143">
        <v>73</v>
      </c>
      <c r="AD668" s="143">
        <v>73</v>
      </c>
      <c r="AE668" s="143">
        <v>73</v>
      </c>
      <c r="AG668" s="146">
        <v>544</v>
      </c>
      <c r="AH668" s="146">
        <v>460</v>
      </c>
      <c r="AI668" s="146">
        <v>394</v>
      </c>
      <c r="AJ668" s="146">
        <v>288</v>
      </c>
      <c r="AK668" s="71">
        <v>188</v>
      </c>
      <c r="AL668" s="71"/>
      <c r="AM668" s="71"/>
      <c r="AN668" s="71"/>
      <c r="AO668" s="71"/>
      <c r="AP668" s="71"/>
      <c r="AQ668" s="71"/>
      <c r="AR668" s="71"/>
      <c r="AS668" s="94">
        <f t="shared" ca="1" si="969"/>
        <v>1544</v>
      </c>
      <c r="AT668" s="95">
        <f t="shared" si="970"/>
        <v>1565.9</v>
      </c>
      <c r="AU668" s="97">
        <f t="shared" si="971"/>
        <v>1874</v>
      </c>
      <c r="AW668" s="51">
        <f t="shared" si="972"/>
        <v>1</v>
      </c>
      <c r="AX668" s="51">
        <f t="shared" si="973"/>
        <v>1</v>
      </c>
      <c r="AY668" s="51">
        <f t="shared" si="974"/>
        <v>1</v>
      </c>
      <c r="AZ668" s="51">
        <f t="shared" si="975"/>
        <v>3.9452054794520546</v>
      </c>
      <c r="BA668" s="51">
        <f t="shared" si="968"/>
        <v>2.5753424657534247</v>
      </c>
      <c r="BB668" s="51"/>
      <c r="BC668" s="51"/>
      <c r="BD668" s="51"/>
      <c r="BE668" s="51"/>
      <c r="BF668" s="51"/>
      <c r="BG668" s="51"/>
      <c r="BH668" s="51"/>
      <c r="BI668" s="65" cm="1">
        <f t="array" ref="BI668">IFERROR(INDEX(AW668:BH668,1,MATCH(2,1/(AW668:BH668&lt;&gt;""))),"")</f>
        <v>2.5753424657534247</v>
      </c>
      <c r="BJ668" s="68" cm="1">
        <f t="array" ref="BJ668">IF(BM668 = "", "",IFERROR(INDEX(AW668:BH668,1,MATCH(2,1/(AW668:BH668&lt;&gt;""),1)-1),""))</f>
        <v>3.9452054794520546</v>
      </c>
      <c r="BK668" s="58">
        <f>IF((IF(AW668&gt;=115%,115%,AW668) + IF(AX668&gt;=115%,115%,AX668) + IF(AY668&gt;=115%,115%,AY668) + (IF(AZ668&gt;=115%,115%,AZ668) + IF(BA668&gt;=115%,115%,BA668) + IF(BB668&gt;=115%,115%,BB668) + IF(BC668&gt;=115%,115%,BC668) + IF(BD668&gt;=115%,115%,BD668) + IF(BE668&gt;=115%,115%,BE668) + IF(BF668&gt;=145%,145%,BF668) + IF(BG668&gt;=115%,115%,BG668) + IF(BH668&gt;=115%,115%,BH668)))/_xlfn.XLOOKUP(F668,Apuração!A:A,Apuração!B:B)&gt;=1.15,1.15,((IF(AZ668&gt;=115%,115%,AZ668) + IF(AX668&gt;=115%,115%,AX668) + IF(AY668&gt;=115%,115%,AY668) + (IF(AW668&gt;=115%,115%,AW668) + IF(BA668&gt;=115%,115%,BA668) + IF(BB668&gt;=115%,115%,BB668) + IF(BC668&gt;=115%,115%,BC668) + IF(BD668&gt;=115%,115%,BD668) + IF(BE668&gt;=115%,115%,BE668) + IF(BF668&gt;=145%,145%,BF668) + IF(BG668&gt;=115%,115%,BG668) + IF(BH668&gt;=115%,115%,BH668)))/_xlfn.XLOOKUP(F668,Apuração!A:A,Apuração!B:B)))</f>
        <v>0.44166666666666665</v>
      </c>
      <c r="BL668" s="58" cm="1">
        <f t="array" aca="1" ref="BL668" ca="1">IF(SUM(IFERROR(IF(INDEX(AW668:INDEX(AW668:BH668, MATCH(2, 1/(AW668:BH668&lt;&gt;""), 1)-1), ROW(INDIRECT("1:" &amp; MATCH(2, 1/(AW668:BH668&lt;&gt;""), 1)-1))) &gt;= 115%, 115%, INDEX(AW668:INDEX(AW668:BH668, MATCH(2, 1/(AW668:BH668&lt;&gt;""), 1)-1), ROW(INDIRECT("1:" &amp; MATCH(2, 1/(AW668:BH668&lt;&gt;""), 1)-1)))), 0))/_xlfn.XLOOKUP(F668,Apuração!A:A,Apuração!B:B)&gt;=1.15,1.15,SUM(IFERROR(IF(INDEX(AW668:INDEX(AW668:BH668, MATCH(2, 1/(AW668:BH668&lt;&gt;""), 1)-1), ROW(INDIRECT("1:" &amp; MATCH(2, 1/(AW668:BH668&lt;&gt;""), 1)-1))) &gt;= 115%, 115%, INDEX(AW668:INDEX(AW668:BH668, MATCH(2, 1/(AW668:BH668&lt;&gt;""), 1)-1), ROW(INDIRECT("1:" &amp; MATCH(2, 1/(AW668:BH668&lt;&gt;""), 1)-1)))), 0))/_xlfn.XLOOKUP(F668,Apuração!A:A,Apuração!B:B))</f>
        <v>0.34583333333333338</v>
      </c>
      <c r="BM668" s="55" cm="1">
        <f t="array" ref="BM668">IFERROR(
   INDEX($AW$1:$BH$1,
      _xlfn.AGGREGATE(14, 6, COLUMN($AW$1:$BH$1)/(AW668:BH668&lt;&gt;""), 2) - COLUMN($AW$1) + 1
   ),
"")</f>
        <v>46113</v>
      </c>
      <c r="BN668" s="55" cm="1">
        <f t="array" ref="BN668">IFERROR(INDEX($AW$1:$BH$1,1,MATCH(2,1/(AW668:BH668&lt;&gt;""))),"")</f>
        <v>46143</v>
      </c>
      <c r="BO668" s="53">
        <f ca="1">IFERROR(_xlfn.XLOOKUP(F668,Apuração!A:A,Apuração!C:C)/_xlfn.XLOOKUP(F668,Apuração!A:A,Apuração!B:B),0)</f>
        <v>0.41666666666666669</v>
      </c>
      <c r="BP668" s="53">
        <f ca="1">IFERROR(_xlfn.XLOOKUP(F668,Apuração!A:A,Apuração!D:D)/_xlfn.XLOOKUP(F668,Apuração!A:A,Apuração!B:B),0)</f>
        <v>0.33333333333333331</v>
      </c>
      <c r="BQ668" s="53">
        <f ca="1">IF(BK668&gt;=BO668,0,_xlfn.XLOOKUP(F668,Apuração!A:A,Apuração!B:B)*(BO668 + (1/_xlfn.XLOOKUP(F668,Apuração!A:A,Apuração!B:B)) - BK668))</f>
        <v>0</v>
      </c>
      <c r="BR668" s="85">
        <f t="shared" ca="1" si="976"/>
        <v>0</v>
      </c>
      <c r="BS668" s="53">
        <f ca="1">IFERROR((_xlfn.XLOOKUP(F668,Apuração!A:A,Apuração!C:C)+1)/_xlfn.XLOOKUP(F668,Apuração!A:A,Apuração!B:B),0)</f>
        <v>0.5</v>
      </c>
    </row>
    <row r="669" spans="1:71" ht="25.95" hidden="1" customHeight="1" x14ac:dyDescent="0.3">
      <c r="A669" s="23" t="s">
        <v>134</v>
      </c>
      <c r="B669" s="4" t="s">
        <v>135</v>
      </c>
      <c r="C669" s="5" t="s">
        <v>97</v>
      </c>
      <c r="D669" s="5" t="s">
        <v>105</v>
      </c>
      <c r="E669" s="4" t="str" cm="1">
        <f t="array" ref="E669">_xlfn.IFS(
F669 = "A partir de Abril", "Aguardando Execução na Distribuidora",
A669 = "CAPACITAÇÃO", "Em execução no Corporativo",
TRUE, "Em Execução na Distribuidora"
)</f>
        <v>Em Execução na Distribuidora</v>
      </c>
      <c r="F669" s="4" t="str" cm="1">
        <f t="array" ref="F669">_xlfn.IFS(
AG669 &lt;&gt; "", "Jan-Dez/26",
AH669 &lt;&gt; "", "Fev-Dez/26",
AI669 &lt;&gt; "", "Mar-Dez/26", AJ669 &lt;&gt; "", "Abr-Dez/26",
TRUE, "A partir de Junho"
)</f>
        <v>Jan-Dez/26</v>
      </c>
      <c r="G669" s="4" t="s">
        <v>37</v>
      </c>
      <c r="H669" s="7" t="s">
        <v>38</v>
      </c>
      <c r="I669" s="8" t="s">
        <v>136</v>
      </c>
      <c r="J669" s="8" t="str" cm="1">
        <f t="array" aca="1" ref="J669" ca="1">_xlfn.LET(
  _xlpm.actual_value_month, INDEX(T669:AE669, MATCH(DATE(YEAR(TODAY()), MONTH(TODAY()), 1), $T$1:$AE$1, 0)),
  IF(_xlpm.actual_value_month &lt;&gt; "",_xlpm.actual_value_month &amp; " equipes mensais", "")
)</f>
        <v>14 equipes mensais</v>
      </c>
      <c r="K669" s="8" t="str" cm="1">
        <f t="array" ref="K669">_xlfn.LET(
    _xlpm.sum_month, SUM(T669:AE669),
    IF(_xlpm.sum_month = 0, "", _xlpm.sum_month &amp; " alcançadas no ano")
)</f>
        <v>1701 alcançadas no ano</v>
      </c>
      <c r="L669" s="9" t="s">
        <v>137</v>
      </c>
      <c r="M669" s="24" t="s">
        <v>138</v>
      </c>
      <c r="N669" s="5" t="s">
        <v>42</v>
      </c>
      <c r="O669" s="5" t="s">
        <v>43</v>
      </c>
      <c r="P669" s="10" t="s">
        <v>44</v>
      </c>
      <c r="Q669" s="10" t="s">
        <v>44</v>
      </c>
      <c r="R669" s="11" t="s">
        <v>66</v>
      </c>
      <c r="S669" s="11" t="s">
        <v>67</v>
      </c>
      <c r="T669" s="143">
        <v>681</v>
      </c>
      <c r="U669" s="143">
        <v>431</v>
      </c>
      <c r="V669" s="143">
        <v>463</v>
      </c>
      <c r="W669" s="143">
        <v>14</v>
      </c>
      <c r="X669" s="143">
        <v>14</v>
      </c>
      <c r="Y669" s="143">
        <v>14</v>
      </c>
      <c r="Z669" s="143">
        <v>14</v>
      </c>
      <c r="AA669" s="143">
        <v>14</v>
      </c>
      <c r="AB669" s="143">
        <v>14</v>
      </c>
      <c r="AC669" s="143">
        <v>14</v>
      </c>
      <c r="AD669" s="143">
        <v>14</v>
      </c>
      <c r="AE669" s="143">
        <v>14</v>
      </c>
      <c r="AG669" s="146">
        <v>681</v>
      </c>
      <c r="AH669" s="146">
        <v>431</v>
      </c>
      <c r="AI669" s="146">
        <v>463</v>
      </c>
      <c r="AJ669" s="146">
        <v>370</v>
      </c>
      <c r="AK669" s="71">
        <v>259</v>
      </c>
      <c r="AL669" s="71"/>
      <c r="AM669" s="71"/>
      <c r="AN669" s="71"/>
      <c r="AO669" s="71"/>
      <c r="AP669" s="71"/>
      <c r="AQ669" s="71"/>
      <c r="AR669" s="71"/>
      <c r="AS669" s="94">
        <f t="shared" ca="1" si="969"/>
        <v>1603</v>
      </c>
      <c r="AT669" s="95">
        <f t="shared" si="970"/>
        <v>1607.1999999999998</v>
      </c>
      <c r="AU669" s="97">
        <f t="shared" si="971"/>
        <v>2204</v>
      </c>
      <c r="AW669" s="51">
        <f t="shared" si="972"/>
        <v>1</v>
      </c>
      <c r="AX669" s="51">
        <f t="shared" si="973"/>
        <v>1</v>
      </c>
      <c r="AY669" s="51">
        <f t="shared" si="974"/>
        <v>1</v>
      </c>
      <c r="AZ669" s="51">
        <f t="shared" si="975"/>
        <v>26.428571428571427</v>
      </c>
      <c r="BA669" s="51">
        <f t="shared" si="968"/>
        <v>18.5</v>
      </c>
      <c r="BB669" s="51"/>
      <c r="BC669" s="51"/>
      <c r="BD669" s="51"/>
      <c r="BE669" s="51"/>
      <c r="BF669" s="51"/>
      <c r="BG669" s="51"/>
      <c r="BH669" s="51"/>
      <c r="BI669" s="65" cm="1">
        <f t="array" ref="BI669">IFERROR(INDEX(AW669:BH669,1,MATCH(2,1/(AW669:BH669&lt;&gt;""))),"")</f>
        <v>18.5</v>
      </c>
      <c r="BJ669" s="68" cm="1">
        <f t="array" ref="BJ669">IF(BM669 = "", "",IFERROR(INDEX(AW669:BH669,1,MATCH(2,1/(AW669:BH669&lt;&gt;""),1)-1),""))</f>
        <v>26.428571428571427</v>
      </c>
      <c r="BK669" s="58">
        <f>IF((IF(AW669&gt;=115%,115%,AW669) + IF(AX669&gt;=115%,115%,AX669) + IF(AY669&gt;=115%,115%,AY669) + (IF(AZ669&gt;=115%,115%,AZ669) + IF(BA669&gt;=115%,115%,BA669) + IF(BB669&gt;=115%,115%,BB669) + IF(BC669&gt;=115%,115%,BC669) + IF(BD669&gt;=115%,115%,BD669) + IF(BE669&gt;=115%,115%,BE669) + IF(BF669&gt;=145%,145%,BF669) + IF(BG669&gt;=115%,115%,BG669) + IF(BH669&gt;=115%,115%,BH669)))/_xlfn.XLOOKUP(F669,Apuração!A:A,Apuração!B:B)&gt;=1.15,1.15,((IF(AZ669&gt;=115%,115%,AZ669) + IF(AX669&gt;=115%,115%,AX669) + IF(AY669&gt;=115%,115%,AY669) + (IF(AW669&gt;=115%,115%,AW669) + IF(BA669&gt;=115%,115%,BA669) + IF(BB669&gt;=115%,115%,BB669) + IF(BC669&gt;=115%,115%,BC669) + IF(BD669&gt;=115%,115%,BD669) + IF(BE669&gt;=115%,115%,BE669) + IF(BF669&gt;=145%,145%,BF669) + IF(BG669&gt;=115%,115%,BG669) + IF(BH669&gt;=115%,115%,BH669)))/_xlfn.XLOOKUP(F669,Apuração!A:A,Apuração!B:B)))</f>
        <v>0.44166666666666665</v>
      </c>
      <c r="BL669" s="58" cm="1">
        <f t="array" aca="1" ref="BL669" ca="1">IF(SUM(IFERROR(IF(INDEX(AW669:INDEX(AW669:BH669, MATCH(2, 1/(AW669:BH669&lt;&gt;""), 1)-1), ROW(INDIRECT("1:" &amp; MATCH(2, 1/(AW669:BH669&lt;&gt;""), 1)-1))) &gt;= 115%, 115%, INDEX(AW669:INDEX(AW669:BH669, MATCH(2, 1/(AW669:BH669&lt;&gt;""), 1)-1), ROW(INDIRECT("1:" &amp; MATCH(2, 1/(AW669:BH669&lt;&gt;""), 1)-1)))), 0))/_xlfn.XLOOKUP(F669,Apuração!A:A,Apuração!B:B)&gt;=1.15,1.15,SUM(IFERROR(IF(INDEX(AW669:INDEX(AW669:BH669, MATCH(2, 1/(AW669:BH669&lt;&gt;""), 1)-1), ROW(INDIRECT("1:" &amp; MATCH(2, 1/(AW669:BH669&lt;&gt;""), 1)-1))) &gt;= 115%, 115%, INDEX(AW669:INDEX(AW669:BH669, MATCH(2, 1/(AW669:BH669&lt;&gt;""), 1)-1), ROW(INDIRECT("1:" &amp; MATCH(2, 1/(AW669:BH669&lt;&gt;""), 1)-1)))), 0))/_xlfn.XLOOKUP(F669,Apuração!A:A,Apuração!B:B))</f>
        <v>0.34583333333333338</v>
      </c>
      <c r="BM669" s="55" cm="1">
        <f t="array" ref="BM669">IFERROR(
   INDEX($AW$1:$BH$1,
      _xlfn.AGGREGATE(14, 6, COLUMN($AW$1:$BH$1)/(AW669:BH669&lt;&gt;""), 2) - COLUMN($AW$1) + 1
   ),
"")</f>
        <v>46113</v>
      </c>
      <c r="BN669" s="55" cm="1">
        <f t="array" ref="BN669">IFERROR(INDEX($AW$1:$BH$1,1,MATCH(2,1/(AW669:BH669&lt;&gt;""))),"")</f>
        <v>46143</v>
      </c>
      <c r="BO669" s="53">
        <f ca="1">IFERROR(_xlfn.XLOOKUP(F669,Apuração!A:A,Apuração!C:C)/_xlfn.XLOOKUP(F669,Apuração!A:A,Apuração!B:B),0)</f>
        <v>0.41666666666666669</v>
      </c>
      <c r="BP669" s="53">
        <f ca="1">IFERROR(_xlfn.XLOOKUP(F669,Apuração!A:A,Apuração!D:D)/_xlfn.XLOOKUP(F669,Apuração!A:A,Apuração!B:B),0)</f>
        <v>0.33333333333333331</v>
      </c>
      <c r="BQ669" s="53">
        <f ca="1">IF(BK669&gt;=BO669,0,_xlfn.XLOOKUP(F669,Apuração!A:A,Apuração!B:B)*(BO669 + (1/_xlfn.XLOOKUP(F669,Apuração!A:A,Apuração!B:B)) - BK669))</f>
        <v>0</v>
      </c>
      <c r="BR669" s="85">
        <f t="shared" ca="1" si="976"/>
        <v>0</v>
      </c>
      <c r="BS669" s="53">
        <f ca="1">IFERROR((_xlfn.XLOOKUP(F669,Apuração!A:A,Apuração!C:C)+1)/_xlfn.XLOOKUP(F669,Apuração!A:A,Apuração!B:B),0)</f>
        <v>0.5</v>
      </c>
    </row>
    <row r="670" spans="1:71" ht="25.95" hidden="1" customHeight="1" x14ac:dyDescent="0.3">
      <c r="A670" s="23" t="s">
        <v>134</v>
      </c>
      <c r="B670" s="4" t="s">
        <v>135</v>
      </c>
      <c r="C670" s="5" t="s">
        <v>97</v>
      </c>
      <c r="D670" s="5" t="s">
        <v>106</v>
      </c>
      <c r="E670" s="4" t="str" cm="1">
        <f t="array" ref="E670">_xlfn.IFS(
F670 = "A partir de Abril", "Aguardando Execução na Distribuidora",
A670 = "CAPACITAÇÃO", "Em execução no Corporativo",
TRUE, "Em Execução na Distribuidora"
)</f>
        <v>Em Execução na Distribuidora</v>
      </c>
      <c r="F670" s="4" t="str" cm="1">
        <f t="array" ref="F670">_xlfn.IFS(
AG670 &lt;&gt; "", "Jan-Dez/26",
AH670 &lt;&gt; "", "Fev-Dez/26",
AI670 &lt;&gt; "", "Mar-Dez/26", AJ670 &lt;&gt; "", "Abr-Dez/26",
TRUE, "A partir de Junho"
)</f>
        <v>Jan-Dez/26</v>
      </c>
      <c r="G670" s="4" t="s">
        <v>37</v>
      </c>
      <c r="H670" s="7" t="s">
        <v>38</v>
      </c>
      <c r="I670" s="8" t="s">
        <v>136</v>
      </c>
      <c r="J670" s="8" t="str" cm="1">
        <f t="array" aca="1" ref="J670" ca="1">_xlfn.LET(
  _xlpm.actual_value_month, INDEX(T670:AE670, MATCH(DATE(YEAR(TODAY()), MONTH(TODAY()), 1), $T$1:$AE$1, 0)),
  IF(_xlpm.actual_value_month &lt;&gt; "",_xlpm.actual_value_month &amp; " equipes mensais", "")
)</f>
        <v>42 equipes mensais</v>
      </c>
      <c r="K670" s="8" t="str" cm="1">
        <f t="array" ref="K670">_xlfn.LET(
    _xlpm.sum_month, SUM(T670:AE670),
    IF(_xlpm.sum_month = 0, "", _xlpm.sum_month &amp; " alcançadas no ano")
)</f>
        <v>1203 alcançadas no ano</v>
      </c>
      <c r="L670" s="9" t="s">
        <v>137</v>
      </c>
      <c r="M670" s="24" t="s">
        <v>138</v>
      </c>
      <c r="N670" s="5" t="s">
        <v>42</v>
      </c>
      <c r="O670" s="5" t="s">
        <v>43</v>
      </c>
      <c r="P670" s="10" t="s">
        <v>44</v>
      </c>
      <c r="Q670" s="10" t="s">
        <v>44</v>
      </c>
      <c r="R670" s="11" t="s">
        <v>66</v>
      </c>
      <c r="S670" s="11" t="s">
        <v>67</v>
      </c>
      <c r="T670" s="143">
        <v>318</v>
      </c>
      <c r="U670" s="143">
        <v>275</v>
      </c>
      <c r="V670" s="143">
        <v>232</v>
      </c>
      <c r="W670" s="143">
        <v>42</v>
      </c>
      <c r="X670" s="143">
        <v>42</v>
      </c>
      <c r="Y670" s="143">
        <v>42</v>
      </c>
      <c r="Z670" s="143">
        <v>42</v>
      </c>
      <c r="AA670" s="143">
        <v>42</v>
      </c>
      <c r="AB670" s="143">
        <v>42</v>
      </c>
      <c r="AC670" s="143">
        <v>42</v>
      </c>
      <c r="AD670" s="143">
        <v>42</v>
      </c>
      <c r="AE670" s="143">
        <v>42</v>
      </c>
      <c r="AG670" s="146">
        <v>318</v>
      </c>
      <c r="AH670" s="146">
        <v>275</v>
      </c>
      <c r="AI670" s="146">
        <v>232</v>
      </c>
      <c r="AJ670" s="146">
        <v>217</v>
      </c>
      <c r="AK670" s="71">
        <v>158</v>
      </c>
      <c r="AL670" s="71"/>
      <c r="AM670" s="71"/>
      <c r="AN670" s="71"/>
      <c r="AO670" s="71"/>
      <c r="AP670" s="71"/>
      <c r="AQ670" s="71"/>
      <c r="AR670" s="71"/>
      <c r="AS670" s="94">
        <f t="shared" ca="1" si="969"/>
        <v>909</v>
      </c>
      <c r="AT670" s="95">
        <f t="shared" si="970"/>
        <v>921.59999999999991</v>
      </c>
      <c r="AU670" s="97">
        <f t="shared" si="971"/>
        <v>1200</v>
      </c>
      <c r="AW670" s="51">
        <f t="shared" si="972"/>
        <v>1</v>
      </c>
      <c r="AX670" s="51">
        <f t="shared" si="973"/>
        <v>1</v>
      </c>
      <c r="AY670" s="51">
        <f t="shared" si="974"/>
        <v>1</v>
      </c>
      <c r="AZ670" s="51">
        <f t="shared" si="975"/>
        <v>5.166666666666667</v>
      </c>
      <c r="BA670" s="51">
        <f t="shared" si="968"/>
        <v>3.7619047619047619</v>
      </c>
      <c r="BB670" s="51"/>
      <c r="BC670" s="51"/>
      <c r="BD670" s="51"/>
      <c r="BE670" s="51"/>
      <c r="BF670" s="51"/>
      <c r="BG670" s="51"/>
      <c r="BH670" s="51"/>
      <c r="BI670" s="65" cm="1">
        <f t="array" ref="BI670">IFERROR(INDEX(AW670:BH670,1,MATCH(2,1/(AW670:BH670&lt;&gt;""))),"")</f>
        <v>3.7619047619047619</v>
      </c>
      <c r="BJ670" s="68" cm="1">
        <f t="array" ref="BJ670">IF(BM670 = "", "",IFERROR(INDEX(AW670:BH670,1,MATCH(2,1/(AW670:BH670&lt;&gt;""),1)-1),""))</f>
        <v>5.166666666666667</v>
      </c>
      <c r="BK670" s="58">
        <f>IF((IF(AW670&gt;=115%,115%,AW670) + IF(AX670&gt;=115%,115%,AX670) + IF(AY670&gt;=115%,115%,AY670) + (IF(AZ670&gt;=115%,115%,AZ670) + IF(BA670&gt;=115%,115%,BA670) + IF(BB670&gt;=115%,115%,BB670) + IF(BC670&gt;=115%,115%,BC670) + IF(BD670&gt;=115%,115%,BD670) + IF(BE670&gt;=115%,115%,BE670) + IF(BF670&gt;=145%,145%,BF670) + IF(BG670&gt;=115%,115%,BG670) + IF(BH670&gt;=115%,115%,BH670)))/_xlfn.XLOOKUP(F670,Apuração!A:A,Apuração!B:B)&gt;=1.15,1.15,((IF(AZ670&gt;=115%,115%,AZ670) + IF(AX670&gt;=115%,115%,AX670) + IF(AY670&gt;=115%,115%,AY670) + (IF(AW670&gt;=115%,115%,AW670) + IF(BA670&gt;=115%,115%,BA670) + IF(BB670&gt;=115%,115%,BB670) + IF(BC670&gt;=115%,115%,BC670) + IF(BD670&gt;=115%,115%,BD670) + IF(BE670&gt;=115%,115%,BE670) + IF(BF670&gt;=145%,145%,BF670) + IF(BG670&gt;=115%,115%,BG670) + IF(BH670&gt;=115%,115%,BH670)))/_xlfn.XLOOKUP(F670,Apuração!A:A,Apuração!B:B)))</f>
        <v>0.44166666666666665</v>
      </c>
      <c r="BL670" s="58" cm="1">
        <f t="array" aca="1" ref="BL670" ca="1">IF(SUM(IFERROR(IF(INDEX(AW670:INDEX(AW670:BH670, MATCH(2, 1/(AW670:BH670&lt;&gt;""), 1)-1), ROW(INDIRECT("1:" &amp; MATCH(2, 1/(AW670:BH670&lt;&gt;""), 1)-1))) &gt;= 115%, 115%, INDEX(AW670:INDEX(AW670:BH670, MATCH(2, 1/(AW670:BH670&lt;&gt;""), 1)-1), ROW(INDIRECT("1:" &amp; MATCH(2, 1/(AW670:BH670&lt;&gt;""), 1)-1)))), 0))/_xlfn.XLOOKUP(F670,Apuração!A:A,Apuração!B:B)&gt;=1.15,1.15,SUM(IFERROR(IF(INDEX(AW670:INDEX(AW670:BH670, MATCH(2, 1/(AW670:BH670&lt;&gt;""), 1)-1), ROW(INDIRECT("1:" &amp; MATCH(2, 1/(AW670:BH670&lt;&gt;""), 1)-1))) &gt;= 115%, 115%, INDEX(AW670:INDEX(AW670:BH670, MATCH(2, 1/(AW670:BH670&lt;&gt;""), 1)-1), ROW(INDIRECT("1:" &amp; MATCH(2, 1/(AW670:BH670&lt;&gt;""), 1)-1)))), 0))/_xlfn.XLOOKUP(F670,Apuração!A:A,Apuração!B:B))</f>
        <v>0.34583333333333338</v>
      </c>
      <c r="BM670" s="55" cm="1">
        <f t="array" ref="BM670">IFERROR(
   INDEX($AW$1:$BH$1,
      _xlfn.AGGREGATE(14, 6, COLUMN($AW$1:$BH$1)/(AW670:BH670&lt;&gt;""), 2) - COLUMN($AW$1) + 1
   ),
"")</f>
        <v>46113</v>
      </c>
      <c r="BN670" s="55" cm="1">
        <f t="array" ref="BN670">IFERROR(INDEX($AW$1:$BH$1,1,MATCH(2,1/(AW670:BH670&lt;&gt;""))),"")</f>
        <v>46143</v>
      </c>
      <c r="BO670" s="53">
        <f ca="1">IFERROR(_xlfn.XLOOKUP(F670,Apuração!A:A,Apuração!C:C)/_xlfn.XLOOKUP(F670,Apuração!A:A,Apuração!B:B),0)</f>
        <v>0.41666666666666669</v>
      </c>
      <c r="BP670" s="53">
        <f ca="1">IFERROR(_xlfn.XLOOKUP(F670,Apuração!A:A,Apuração!D:D)/_xlfn.XLOOKUP(F670,Apuração!A:A,Apuração!B:B),0)</f>
        <v>0.33333333333333331</v>
      </c>
      <c r="BQ670" s="53">
        <f ca="1">IF(BK670&gt;=BO670,0,_xlfn.XLOOKUP(F670,Apuração!A:A,Apuração!B:B)*(BO670 + (1/_xlfn.XLOOKUP(F670,Apuração!A:A,Apuração!B:B)) - BK670))</f>
        <v>0</v>
      </c>
      <c r="BR670" s="85">
        <f t="shared" ca="1" si="976"/>
        <v>0</v>
      </c>
      <c r="BS670" s="53">
        <f ca="1">IFERROR((_xlfn.XLOOKUP(F670,Apuração!A:A,Apuração!C:C)+1)/_xlfn.XLOOKUP(F670,Apuração!A:A,Apuração!B:B),0)</f>
        <v>0.5</v>
      </c>
    </row>
    <row r="671" spans="1:71" ht="25.95" hidden="1" customHeight="1" x14ac:dyDescent="0.3">
      <c r="A671" s="23" t="s">
        <v>134</v>
      </c>
      <c r="B671" s="4" t="s">
        <v>135</v>
      </c>
      <c r="C671" s="5" t="s">
        <v>97</v>
      </c>
      <c r="D671" s="5" t="s">
        <v>107</v>
      </c>
      <c r="E671" s="4" t="str" cm="1">
        <f t="array" ref="E671">_xlfn.IFS(
F671 = "A partir de Abril", "Aguardando Execução na Distribuidora",
A671 = "CAPACITAÇÃO", "Em execução no Corporativo",
TRUE, "Em Execução na Distribuidora"
)</f>
        <v>Em Execução na Distribuidora</v>
      </c>
      <c r="F671" s="4" t="str" cm="1">
        <f t="array" ref="F671">_xlfn.IFS(
AG671 &lt;&gt; "", "Jan-Dez/26",
AH671 &lt;&gt; "", "Fev-Dez/26",
AI671 &lt;&gt; "", "Mar-Dez/26", AJ671 &lt;&gt; "", "Abr-Dez/26",
TRUE, "A partir de Junho"
)</f>
        <v>Jan-Dez/26</v>
      </c>
      <c r="G671" s="4" t="s">
        <v>37</v>
      </c>
      <c r="H671" s="7" t="s">
        <v>38</v>
      </c>
      <c r="I671" s="8" t="s">
        <v>136</v>
      </c>
      <c r="J671" s="8" t="str" cm="1">
        <f t="array" aca="1" ref="J671" ca="1">_xlfn.LET(
  _xlpm.actual_value_month, INDEX(T671:AE671, MATCH(DATE(YEAR(TODAY()), MONTH(TODAY()), 1), $T$1:$AE$1, 0)),
  IF(_xlpm.actual_value_month &lt;&gt; "",_xlpm.actual_value_month &amp; " equipes mensais", "")
)</f>
        <v>22 equipes mensais</v>
      </c>
      <c r="K671" s="8" t="str" cm="1">
        <f t="array" ref="K671">_xlfn.LET(
    _xlpm.sum_month, SUM(T671:AE671),
    IF(_xlpm.sum_month = 0, "", _xlpm.sum_month &amp; " alcançadas no ano")
)</f>
        <v>1484 alcançadas no ano</v>
      </c>
      <c r="L671" s="9" t="s">
        <v>137</v>
      </c>
      <c r="M671" s="24" t="s">
        <v>138</v>
      </c>
      <c r="N671" s="5" t="s">
        <v>42</v>
      </c>
      <c r="O671" s="5" t="s">
        <v>43</v>
      </c>
      <c r="P671" s="10" t="s">
        <v>44</v>
      </c>
      <c r="Q671" s="10" t="s">
        <v>44</v>
      </c>
      <c r="R671" s="11" t="s">
        <v>66</v>
      </c>
      <c r="S671" s="11" t="s">
        <v>67</v>
      </c>
      <c r="T671" s="143">
        <v>495</v>
      </c>
      <c r="U671" s="143">
        <v>476</v>
      </c>
      <c r="V671" s="143">
        <v>315</v>
      </c>
      <c r="W671" s="143">
        <v>22</v>
      </c>
      <c r="X671" s="143">
        <v>22</v>
      </c>
      <c r="Y671" s="143">
        <v>22</v>
      </c>
      <c r="Z671" s="143">
        <v>22</v>
      </c>
      <c r="AA671" s="143">
        <v>22</v>
      </c>
      <c r="AB671" s="143">
        <v>22</v>
      </c>
      <c r="AC671" s="143">
        <v>22</v>
      </c>
      <c r="AD671" s="143">
        <v>22</v>
      </c>
      <c r="AE671" s="143">
        <v>22</v>
      </c>
      <c r="AG671" s="146">
        <v>495</v>
      </c>
      <c r="AH671" s="146">
        <v>476</v>
      </c>
      <c r="AI671" s="146">
        <v>315</v>
      </c>
      <c r="AJ671" s="146">
        <v>255</v>
      </c>
      <c r="AK671" s="71">
        <v>150</v>
      </c>
      <c r="AL671" s="71"/>
      <c r="AM671" s="71"/>
      <c r="AN671" s="71"/>
      <c r="AO671" s="71"/>
      <c r="AP671" s="71"/>
      <c r="AQ671" s="71"/>
      <c r="AR671" s="71"/>
      <c r="AS671" s="94">
        <f t="shared" ca="1" si="969"/>
        <v>1330</v>
      </c>
      <c r="AT671" s="95">
        <f t="shared" si="970"/>
        <v>1336.6</v>
      </c>
      <c r="AU671" s="97">
        <f t="shared" si="971"/>
        <v>1691</v>
      </c>
      <c r="AW671" s="51">
        <f t="shared" si="972"/>
        <v>1</v>
      </c>
      <c r="AX671" s="51">
        <f t="shared" si="973"/>
        <v>1</v>
      </c>
      <c r="AY671" s="51">
        <f t="shared" si="974"/>
        <v>1</v>
      </c>
      <c r="AZ671" s="51">
        <f t="shared" si="975"/>
        <v>11.590909090909092</v>
      </c>
      <c r="BA671" s="51">
        <f t="shared" si="968"/>
        <v>6.8181818181818183</v>
      </c>
      <c r="BB671" s="51"/>
      <c r="BC671" s="51"/>
      <c r="BD671" s="51"/>
      <c r="BE671" s="51"/>
      <c r="BF671" s="51"/>
      <c r="BG671" s="51"/>
      <c r="BH671" s="51"/>
      <c r="BI671" s="65" cm="1">
        <f t="array" ref="BI671">IFERROR(INDEX(AW671:BH671,1,MATCH(2,1/(AW671:BH671&lt;&gt;""))),"")</f>
        <v>6.8181818181818183</v>
      </c>
      <c r="BJ671" s="68" cm="1">
        <f t="array" ref="BJ671">IF(BM671 = "", "",IFERROR(INDEX(AW671:BH671,1,MATCH(2,1/(AW671:BH671&lt;&gt;""),1)-1),""))</f>
        <v>11.590909090909092</v>
      </c>
      <c r="BK671" s="58">
        <f>IF((IF(AW671&gt;=115%,115%,AW671) + IF(AX671&gt;=115%,115%,AX671) + IF(AY671&gt;=115%,115%,AY671) + (IF(AZ671&gt;=115%,115%,AZ671) + IF(BA671&gt;=115%,115%,BA671) + IF(BB671&gt;=115%,115%,BB671) + IF(BC671&gt;=115%,115%,BC671) + IF(BD671&gt;=115%,115%,BD671) + IF(BE671&gt;=115%,115%,BE671) + IF(BF671&gt;=145%,145%,BF671) + IF(BG671&gt;=115%,115%,BG671) + IF(BH671&gt;=115%,115%,BH671)))/_xlfn.XLOOKUP(F671,Apuração!A:A,Apuração!B:B)&gt;=1.15,1.15,((IF(AZ671&gt;=115%,115%,AZ671) + IF(AX671&gt;=115%,115%,AX671) + IF(AY671&gt;=115%,115%,AY671) + (IF(AW671&gt;=115%,115%,AW671) + IF(BA671&gt;=115%,115%,BA671) + IF(BB671&gt;=115%,115%,BB671) + IF(BC671&gt;=115%,115%,BC671) + IF(BD671&gt;=115%,115%,BD671) + IF(BE671&gt;=115%,115%,BE671) + IF(BF671&gt;=145%,145%,BF671) + IF(BG671&gt;=115%,115%,BG671) + IF(BH671&gt;=115%,115%,BH671)))/_xlfn.XLOOKUP(F671,Apuração!A:A,Apuração!B:B)))</f>
        <v>0.44166666666666665</v>
      </c>
      <c r="BL671" s="58" cm="1">
        <f t="array" aca="1" ref="BL671" ca="1">IF(SUM(IFERROR(IF(INDEX(AW671:INDEX(AW671:BH671, MATCH(2, 1/(AW671:BH671&lt;&gt;""), 1)-1), ROW(INDIRECT("1:" &amp; MATCH(2, 1/(AW671:BH671&lt;&gt;""), 1)-1))) &gt;= 115%, 115%, INDEX(AW671:INDEX(AW671:BH671, MATCH(2, 1/(AW671:BH671&lt;&gt;""), 1)-1), ROW(INDIRECT("1:" &amp; MATCH(2, 1/(AW671:BH671&lt;&gt;""), 1)-1)))), 0))/_xlfn.XLOOKUP(F671,Apuração!A:A,Apuração!B:B)&gt;=1.15,1.15,SUM(IFERROR(IF(INDEX(AW671:INDEX(AW671:BH671, MATCH(2, 1/(AW671:BH671&lt;&gt;""), 1)-1), ROW(INDIRECT("1:" &amp; MATCH(2, 1/(AW671:BH671&lt;&gt;""), 1)-1))) &gt;= 115%, 115%, INDEX(AW671:INDEX(AW671:BH671, MATCH(2, 1/(AW671:BH671&lt;&gt;""), 1)-1), ROW(INDIRECT("1:" &amp; MATCH(2, 1/(AW671:BH671&lt;&gt;""), 1)-1)))), 0))/_xlfn.XLOOKUP(F671,Apuração!A:A,Apuração!B:B))</f>
        <v>0.34583333333333338</v>
      </c>
      <c r="BM671" s="55" cm="1">
        <f t="array" ref="BM671">IFERROR(
   INDEX($AW$1:$BH$1,
      _xlfn.AGGREGATE(14, 6, COLUMN($AW$1:$BH$1)/(AW671:BH671&lt;&gt;""), 2) - COLUMN($AW$1) + 1
   ),
"")</f>
        <v>46113</v>
      </c>
      <c r="BN671" s="55" cm="1">
        <f t="array" ref="BN671">IFERROR(INDEX($AW$1:$BH$1,1,MATCH(2,1/(AW671:BH671&lt;&gt;""))),"")</f>
        <v>46143</v>
      </c>
      <c r="BO671" s="53">
        <f ca="1">IFERROR(_xlfn.XLOOKUP(F671,Apuração!A:A,Apuração!C:C)/_xlfn.XLOOKUP(F671,Apuração!A:A,Apuração!B:B),0)</f>
        <v>0.41666666666666669</v>
      </c>
      <c r="BP671" s="53">
        <f ca="1">IFERROR(_xlfn.XLOOKUP(F671,Apuração!A:A,Apuração!D:D)/_xlfn.XLOOKUP(F671,Apuração!A:A,Apuração!B:B),0)</f>
        <v>0.33333333333333331</v>
      </c>
      <c r="BQ671" s="53">
        <f ca="1">IF(BK671&gt;=BO671,0,_xlfn.XLOOKUP(F671,Apuração!A:A,Apuração!B:B)*(BO671 + (1/_xlfn.XLOOKUP(F671,Apuração!A:A,Apuração!B:B)) - BK671))</f>
        <v>0</v>
      </c>
      <c r="BR671" s="85">
        <f t="shared" ca="1" si="976"/>
        <v>0</v>
      </c>
      <c r="BS671" s="53">
        <f ca="1">IFERROR((_xlfn.XLOOKUP(F671,Apuração!A:A,Apuração!C:C)+1)/_xlfn.XLOOKUP(F671,Apuração!A:A,Apuração!B:B),0)</f>
        <v>0.5</v>
      </c>
    </row>
    <row r="672" spans="1:71" ht="25.95" customHeight="1" x14ac:dyDescent="0.3">
      <c r="A672" s="42" t="s">
        <v>134</v>
      </c>
      <c r="B672" s="4" t="s">
        <v>135</v>
      </c>
      <c r="C672" s="5" t="s">
        <v>97</v>
      </c>
      <c r="D672" s="5" t="s">
        <v>36</v>
      </c>
      <c r="E672" s="4" t="str" cm="1">
        <f t="array" ref="E672">_xlfn.IFS(
F672 = "A partir de Abril", "Aguardando Execução na Distribuidora",
A672 = "CAPACITAÇÃO", "Em execução no Corporativo",
TRUE, "Em Execução na Distribuidora"
)</f>
        <v>Em Execução na Distribuidora</v>
      </c>
      <c r="F672" s="4" t="str" cm="1">
        <f t="array" ref="F672">_xlfn.IFS(
AG672 &lt;&gt; "", "Jan-Dez/26",
AH672 &lt;&gt; "", "Fev-Dez/26",
AI672 &lt;&gt; "", "Mar-Dez/26", AJ672 &lt;&gt; "", "Abr-Dez/26",
TRUE, "A partir de Junho"
)</f>
        <v>Jan-Dez/26</v>
      </c>
      <c r="G672" s="4" t="s">
        <v>37</v>
      </c>
      <c r="H672" s="7" t="s">
        <v>38</v>
      </c>
      <c r="I672" s="8" t="s">
        <v>139</v>
      </c>
      <c r="J672" s="8" t="str" cm="1">
        <f t="array" aca="1" ref="J672" ca="1">_xlfn.LET(
  _xlpm.actual_value_month, INDEX(T672:AE672, MATCH(DATE(YEAR(TODAY()), MONTH(TODAY()), 1), $T$1:$AE$1, 0)),
  IF(_xlpm.actual_value_month &lt;&gt; "",_xlpm.actual_value_month &amp; " ações mensais", "")
)</f>
        <v/>
      </c>
      <c r="K672" s="8" t="str" cm="1">
        <f t="array" ref="K672">_xlfn.LET(
    _xlpm.sum_month, SUM(T672:AE672),
    IF(_xlpm.sum_month = 0, "", _xlpm.sum_month &amp; " mensagens a serem enviadas no ano")
)</f>
        <v/>
      </c>
      <c r="L672" s="4" t="s">
        <v>140</v>
      </c>
      <c r="M672" s="24">
        <v>1</v>
      </c>
      <c r="N672" s="5" t="s">
        <v>51</v>
      </c>
      <c r="O672" s="5" t="s">
        <v>52</v>
      </c>
      <c r="P672" s="10" t="s">
        <v>44</v>
      </c>
      <c r="Q672" s="10" t="s">
        <v>44</v>
      </c>
      <c r="R672" s="11" t="s">
        <v>44</v>
      </c>
      <c r="S672" s="11" t="s">
        <v>44</v>
      </c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G672" s="71">
        <v>7500</v>
      </c>
      <c r="AH672" s="71">
        <v>5909</v>
      </c>
      <c r="AI672" s="71">
        <v>5687</v>
      </c>
      <c r="AJ672" s="71">
        <v>4492</v>
      </c>
      <c r="AK672" s="71">
        <v>3397</v>
      </c>
      <c r="AL672" s="71"/>
      <c r="AM672" s="71"/>
      <c r="AN672" s="71"/>
      <c r="AO672" s="71"/>
      <c r="AP672" s="71"/>
      <c r="AQ672" s="71"/>
      <c r="AR672" s="71"/>
      <c r="AS672" s="94">
        <f t="shared" ca="1" si="966"/>
        <v>0</v>
      </c>
      <c r="AT672" s="95">
        <f>SUM(AG672:AR672)</f>
        <v>26985</v>
      </c>
      <c r="AU672" s="97">
        <f t="shared" si="967"/>
        <v>26985</v>
      </c>
      <c r="AW672" s="83">
        <f>AG672</f>
        <v>7500</v>
      </c>
      <c r="AX672" s="83">
        <f t="shared" ref="AX672:AX683" si="977">AH672</f>
        <v>5909</v>
      </c>
      <c r="AY672" s="83">
        <f t="shared" ref="AY672:AY683" si="978">AI672</f>
        <v>5687</v>
      </c>
      <c r="AZ672" s="83">
        <f t="shared" ref="AZ672:AZ683" si="979">AJ672</f>
        <v>4492</v>
      </c>
      <c r="BA672" s="52"/>
      <c r="BB672" s="52"/>
      <c r="BC672" s="52"/>
      <c r="BD672" s="52"/>
      <c r="BE672" s="52"/>
      <c r="BF672" s="52"/>
      <c r="BG672" s="52"/>
      <c r="BH672" s="52"/>
      <c r="BI672" s="68" cm="1">
        <f t="array" ref="BI672">IFERROR(INDEX(AW672:BH672,1,MATCH(2,1/(AW672:BH672&lt;&gt;""))),"")</f>
        <v>4492</v>
      </c>
      <c r="BJ672" s="68" cm="1">
        <f t="array" ref="BJ672">IF(BM672 = "", "",IFERROR(INDEX(AW672:BH672,1,MATCH(2,1/(AW672:BH672&lt;&gt;""),1)-1),""))</f>
        <v>5687</v>
      </c>
      <c r="BK672" s="59">
        <f>SUM(AW672:BH672)</f>
        <v>23588</v>
      </c>
      <c r="BL672" s="59" cm="1">
        <f t="array" ref="BL672">IFERROR(SUM(AW672:INDEX(AW672:BH672, MATCH(2, 1/(AW672:BH672&lt;&gt;""), 1) - 1))/_xlfn.XLOOKUP(F672,Apuração!A:A,Apuração!B:B),0)</f>
        <v>1591.3333333333333</v>
      </c>
      <c r="BM672" s="55" cm="1">
        <f t="array" ref="BM672">IFERROR(
   INDEX($AW$1:$BH$1,
      _xlfn.AGGREGATE(14, 6, COLUMN($AW$1:$BH$1)/(AW672:BH672&lt;&gt;""), 2) - COLUMN($AW$1) + 1
   ),
"")</f>
        <v>46082</v>
      </c>
      <c r="BN672" s="55" cm="1">
        <f t="array" ref="BN672">IFERROR(INDEX($AW$1:$BH$1,1,MATCH(2,1/(AW672:BH672&lt;&gt;""))),"")</f>
        <v>46113</v>
      </c>
      <c r="BO672" s="53">
        <f ca="1">IFERROR(_xlfn.XLOOKUP(F672,Apuração!A:A,Apuração!C:C)/_xlfn.XLOOKUP(F672,Apuração!A:A,Apuração!B:B),0)</f>
        <v>0.41666666666666669</v>
      </c>
      <c r="BP672" s="53">
        <f ca="1">IFERROR(_xlfn.XLOOKUP(F672,Apuração!A:A,Apuração!D:D)/_xlfn.XLOOKUP(F672,Apuração!A:A,Apuração!B:B),0)</f>
        <v>0.33333333333333331</v>
      </c>
      <c r="BQ672" s="53">
        <f ca="1">IF(BK672&gt;=BO672,0,_xlfn.XLOOKUP(F672,Apuração!A:A,Apuração!B:B)*(BO672 + (1/_xlfn.XLOOKUP(F672,Apuração!A:A,Apuração!B:B)) - BK672))</f>
        <v>0</v>
      </c>
      <c r="BR672" s="85">
        <f t="shared" ca="1" si="898"/>
        <v>0</v>
      </c>
      <c r="BS672" s="53">
        <f ca="1">IFERROR((_xlfn.XLOOKUP(F672,Apuração!A:A,Apuração!C:C)+1)/_xlfn.XLOOKUP(F672,Apuração!A:A,Apuração!B:B),0)</f>
        <v>0.5</v>
      </c>
    </row>
    <row r="673" spans="1:71" ht="25.95" hidden="1" customHeight="1" x14ac:dyDescent="0.3">
      <c r="A673" s="42" t="s">
        <v>134</v>
      </c>
      <c r="B673" s="4" t="s">
        <v>135</v>
      </c>
      <c r="C673" s="5" t="s">
        <v>97</v>
      </c>
      <c r="D673" s="5" t="s">
        <v>98</v>
      </c>
      <c r="E673" s="4" t="str" cm="1">
        <f t="array" ref="E673">_xlfn.IFS(
F673 = "A partir de Abril", "Aguardando Execução na Distribuidora",
A673 = "CAPACITAÇÃO", "Em execução no Corporativo",
TRUE, "Em Execução na Distribuidora"
)</f>
        <v>Em Execução na Distribuidora</v>
      </c>
      <c r="F673" s="4" t="str" cm="1">
        <f t="array" ref="F673">_xlfn.IFS(
AG673 &lt;&gt; "", "Jan-Dez/26",
AH673 &lt;&gt; "", "Fev-Dez/26",
AI673 &lt;&gt; "", "Mar-Dez/26", AJ673 &lt;&gt; "", "Abr-Dez/26",
TRUE, "A partir de Junho"
)</f>
        <v>Jan-Dez/26</v>
      </c>
      <c r="G673" s="4" t="s">
        <v>37</v>
      </c>
      <c r="H673" s="7" t="s">
        <v>38</v>
      </c>
      <c r="I673" s="8" t="s">
        <v>139</v>
      </c>
      <c r="J673" s="8" t="str" cm="1">
        <f t="array" aca="1" ref="J673" ca="1">_xlfn.LET(
  _xlpm.actual_value_month, INDEX(T673:AE673, MATCH(DATE(YEAR(TODAY()), MONTH(TODAY()), 1), $T$1:$AE$1, 0)),
  IF(_xlpm.actual_value_month &lt;&gt; "",_xlpm.actual_value_month &amp; " ações mensais", "")
)</f>
        <v/>
      </c>
      <c r="K673" s="8" t="str" cm="1">
        <f t="array" ref="K673">_xlfn.LET(
    _xlpm.sum_month, SUM(T673:AE673),
    IF(_xlpm.sum_month = 0, "", _xlpm.sum_month &amp; " mensagens a serem enviadas no ano")
)</f>
        <v/>
      </c>
      <c r="L673" s="4" t="s">
        <v>140</v>
      </c>
      <c r="M673" s="24">
        <v>1</v>
      </c>
      <c r="N673" s="5" t="s">
        <v>51</v>
      </c>
      <c r="O673" s="5" t="s">
        <v>52</v>
      </c>
      <c r="P673" s="10" t="s">
        <v>44</v>
      </c>
      <c r="Q673" s="10" t="s">
        <v>44</v>
      </c>
      <c r="R673" s="11" t="s">
        <v>44</v>
      </c>
      <c r="S673" s="11" t="s">
        <v>44</v>
      </c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G673" s="145">
        <v>473</v>
      </c>
      <c r="AH673" s="145">
        <v>332</v>
      </c>
      <c r="AI673" s="145">
        <v>376</v>
      </c>
      <c r="AJ673" s="145">
        <v>317</v>
      </c>
      <c r="AK673" s="71">
        <v>274</v>
      </c>
      <c r="AL673" s="71"/>
      <c r="AM673" s="71"/>
      <c r="AN673" s="71"/>
      <c r="AO673" s="71"/>
      <c r="AP673" s="71"/>
      <c r="AQ673" s="71"/>
      <c r="AR673" s="71"/>
      <c r="AS673" s="94">
        <f t="shared" ref="AS673:AS682" ca="1" si="980">IF(MONTH(TODAY())=3,SUM(T673:U673),IF(MONTH(TODAY())=4,SUM(T673:V673),IF(MONTH(TODAY())=5,SUM(T673:W673),IF(MONTH(TODAY())=6,SUM(T673:X673),IF(MONTH(TODAY())=7,SUM(T673:Y673),IF(MONTH(TODAY())=8,SUM(T673:Z673),IF(MONTH(TODAY())=9,SUM(T673:AA673),IF(MONTH(TODAY())=10,SUM(T673:AB673),IF(MONTH(TODAY())=11,SUM(T673:AC673),IF(MONTH(TODAY())=12,SUM(T673:AD673),IF(MONTH(TODAY())=1,SUM(T673:AE673),T673)))))))))))</f>
        <v>0</v>
      </c>
      <c r="AT673" s="95">
        <f t="shared" ref="AT673:AT682" si="981">SUM(AG673:AR673)</f>
        <v>1772</v>
      </c>
      <c r="AU673" s="97">
        <f t="shared" ref="AU673:AU682" si="982">SUM(AG673:AR673)</f>
        <v>1772</v>
      </c>
      <c r="AW673" s="83">
        <f t="shared" ref="AW673:AW682" si="983">AG673</f>
        <v>473</v>
      </c>
      <c r="AX673" s="83">
        <f t="shared" ref="AX673:AX682" si="984">AH673</f>
        <v>332</v>
      </c>
      <c r="AY673" s="83">
        <f t="shared" ref="AY673:AY682" si="985">AI673</f>
        <v>376</v>
      </c>
      <c r="AZ673" s="83">
        <f t="shared" ref="AZ673:AZ682" si="986">AJ673</f>
        <v>317</v>
      </c>
      <c r="BA673" s="52"/>
      <c r="BB673" s="52"/>
      <c r="BC673" s="52"/>
      <c r="BD673" s="52"/>
      <c r="BE673" s="52"/>
      <c r="BF673" s="52"/>
      <c r="BG673" s="52"/>
      <c r="BH673" s="52"/>
      <c r="BI673" s="68" cm="1">
        <f t="array" ref="BI673">IFERROR(INDEX(AW673:BH673,1,MATCH(2,1/(AW673:BH673&lt;&gt;""))),"")</f>
        <v>317</v>
      </c>
      <c r="BJ673" s="68" cm="1">
        <f t="array" ref="BJ673">IF(BM673 = "", "",IFERROR(INDEX(AW673:BH673,1,MATCH(2,1/(AW673:BH673&lt;&gt;""),1)-1),""))</f>
        <v>376</v>
      </c>
      <c r="BK673" s="59">
        <f t="shared" ref="BK673:BK682" si="987">SUM(AW673:BH673)</f>
        <v>1498</v>
      </c>
      <c r="BL673" s="59" cm="1">
        <f t="array" ref="BL673">IFERROR(SUM(AW673:INDEX(AW673:BH673, MATCH(2, 1/(AW673:BH673&lt;&gt;""), 1) - 1))/_xlfn.XLOOKUP(F673,Apuração!A:A,Apuração!B:B),0)</f>
        <v>98.416666666666671</v>
      </c>
      <c r="BM673" s="55" cm="1">
        <f t="array" ref="BM673">IFERROR(
   INDEX($AW$1:$BH$1,
      _xlfn.AGGREGATE(14, 6, COLUMN($AW$1:$BH$1)/(AW673:BH673&lt;&gt;""), 2) - COLUMN($AW$1) + 1
   ),
"")</f>
        <v>46082</v>
      </c>
      <c r="BN673" s="55" cm="1">
        <f t="array" ref="BN673">IFERROR(INDEX($AW$1:$BH$1,1,MATCH(2,1/(AW673:BH673&lt;&gt;""))),"")</f>
        <v>46113</v>
      </c>
      <c r="BO673" s="53">
        <f ca="1">IFERROR(_xlfn.XLOOKUP(F673,Apuração!A:A,Apuração!C:C)/_xlfn.XLOOKUP(F673,Apuração!A:A,Apuração!B:B),0)</f>
        <v>0.41666666666666669</v>
      </c>
      <c r="BP673" s="53">
        <f ca="1">IFERROR(_xlfn.XLOOKUP(F673,Apuração!A:A,Apuração!D:D)/_xlfn.XLOOKUP(F673,Apuração!A:A,Apuração!B:B),0)</f>
        <v>0.33333333333333331</v>
      </c>
      <c r="BQ673" s="53">
        <f ca="1">IF(BK673&gt;=BO673,0,_xlfn.XLOOKUP(F673,Apuração!A:A,Apuração!B:B)*(BO673 + (1/_xlfn.XLOOKUP(F673,Apuração!A:A,Apuração!B:B)) - BK673))</f>
        <v>0</v>
      </c>
      <c r="BR673" s="85">
        <f t="shared" ref="BR673:BR682" ca="1" si="988">IF(BQ673=0,0,BQ673*Z673)</f>
        <v>0</v>
      </c>
      <c r="BS673" s="53">
        <f ca="1">IFERROR((_xlfn.XLOOKUP(F673,Apuração!A:A,Apuração!C:C)+1)/_xlfn.XLOOKUP(F673,Apuração!A:A,Apuração!B:B),0)</f>
        <v>0.5</v>
      </c>
    </row>
    <row r="674" spans="1:71" ht="25.95" hidden="1" customHeight="1" x14ac:dyDescent="0.3">
      <c r="A674" s="42" t="s">
        <v>134</v>
      </c>
      <c r="B674" s="4" t="s">
        <v>135</v>
      </c>
      <c r="C674" s="5" t="s">
        <v>97</v>
      </c>
      <c r="D674" s="5" t="s">
        <v>99</v>
      </c>
      <c r="E674" s="4" t="str" cm="1">
        <f t="array" ref="E674">_xlfn.IFS(
F674 = "A partir de Abril", "Aguardando Execução na Distribuidora",
A674 = "CAPACITAÇÃO", "Em execução no Corporativo",
TRUE, "Em Execução na Distribuidora"
)</f>
        <v>Em Execução na Distribuidora</v>
      </c>
      <c r="F674" s="4" t="str" cm="1">
        <f t="array" ref="F674">_xlfn.IFS(
AG674 &lt;&gt; "", "Jan-Dez/26",
AH674 &lt;&gt; "", "Fev-Dez/26",
AI674 &lt;&gt; "", "Mar-Dez/26", AJ674 &lt;&gt; "", "Abr-Dez/26",
TRUE, "A partir de Junho"
)</f>
        <v>Jan-Dez/26</v>
      </c>
      <c r="G674" s="4" t="s">
        <v>37</v>
      </c>
      <c r="H674" s="7" t="s">
        <v>38</v>
      </c>
      <c r="I674" s="8" t="s">
        <v>139</v>
      </c>
      <c r="J674" s="8" t="str" cm="1">
        <f t="array" aca="1" ref="J674" ca="1">_xlfn.LET(
  _xlpm.actual_value_month, INDEX(T674:AE674, MATCH(DATE(YEAR(TODAY()), MONTH(TODAY()), 1), $T$1:$AE$1, 0)),
  IF(_xlpm.actual_value_month &lt;&gt; "",_xlpm.actual_value_month &amp; " ações mensais", "")
)</f>
        <v/>
      </c>
      <c r="K674" s="8" t="str" cm="1">
        <f t="array" ref="K674">_xlfn.LET(
    _xlpm.sum_month, SUM(T674:AE674),
    IF(_xlpm.sum_month = 0, "", _xlpm.sum_month &amp; " mensagens a serem enviadas no ano")
)</f>
        <v/>
      </c>
      <c r="L674" s="4" t="s">
        <v>140</v>
      </c>
      <c r="M674" s="24">
        <v>1</v>
      </c>
      <c r="N674" s="5" t="s">
        <v>51</v>
      </c>
      <c r="O674" s="5" t="s">
        <v>52</v>
      </c>
      <c r="P674" s="10" t="s">
        <v>44</v>
      </c>
      <c r="Q674" s="10" t="s">
        <v>44</v>
      </c>
      <c r="R674" s="11" t="s">
        <v>44</v>
      </c>
      <c r="S674" s="11" t="s">
        <v>44</v>
      </c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G674" s="146">
        <v>511</v>
      </c>
      <c r="AH674" s="146">
        <v>328</v>
      </c>
      <c r="AI674" s="146">
        <v>497</v>
      </c>
      <c r="AJ674" s="146">
        <v>210</v>
      </c>
      <c r="AK674" s="71">
        <v>203</v>
      </c>
      <c r="AL674" s="71"/>
      <c r="AM674" s="71"/>
      <c r="AN674" s="71"/>
      <c r="AO674" s="71"/>
      <c r="AP674" s="71"/>
      <c r="AQ674" s="71"/>
      <c r="AR674" s="71"/>
      <c r="AS674" s="94">
        <f t="shared" ca="1" si="980"/>
        <v>0</v>
      </c>
      <c r="AT674" s="95">
        <f t="shared" si="981"/>
        <v>1749</v>
      </c>
      <c r="AU674" s="97">
        <f t="shared" si="982"/>
        <v>1749</v>
      </c>
      <c r="AW674" s="83">
        <f t="shared" si="983"/>
        <v>511</v>
      </c>
      <c r="AX674" s="83">
        <f t="shared" si="984"/>
        <v>328</v>
      </c>
      <c r="AY674" s="83">
        <f t="shared" si="985"/>
        <v>497</v>
      </c>
      <c r="AZ674" s="83">
        <f t="shared" si="986"/>
        <v>210</v>
      </c>
      <c r="BA674" s="52"/>
      <c r="BB674" s="52"/>
      <c r="BC674" s="52"/>
      <c r="BD674" s="52"/>
      <c r="BE674" s="52"/>
      <c r="BF674" s="52"/>
      <c r="BG674" s="52"/>
      <c r="BH674" s="52"/>
      <c r="BI674" s="68" cm="1">
        <f t="array" ref="BI674">IFERROR(INDEX(AW674:BH674,1,MATCH(2,1/(AW674:BH674&lt;&gt;""))),"")</f>
        <v>210</v>
      </c>
      <c r="BJ674" s="68" cm="1">
        <f t="array" ref="BJ674">IF(BM674 = "", "",IFERROR(INDEX(AW674:BH674,1,MATCH(2,1/(AW674:BH674&lt;&gt;""),1)-1),""))</f>
        <v>497</v>
      </c>
      <c r="BK674" s="59">
        <f t="shared" si="987"/>
        <v>1546</v>
      </c>
      <c r="BL674" s="59" cm="1">
        <f t="array" ref="BL674">IFERROR(SUM(AW674:INDEX(AW674:BH674, MATCH(2, 1/(AW674:BH674&lt;&gt;""), 1) - 1))/_xlfn.XLOOKUP(F674,Apuração!A:A,Apuração!B:B),0)</f>
        <v>111.33333333333333</v>
      </c>
      <c r="BM674" s="55" cm="1">
        <f t="array" ref="BM674">IFERROR(
   INDEX($AW$1:$BH$1,
      _xlfn.AGGREGATE(14, 6, COLUMN($AW$1:$BH$1)/(AW674:BH674&lt;&gt;""), 2) - COLUMN($AW$1) + 1
   ),
"")</f>
        <v>46082</v>
      </c>
      <c r="BN674" s="55" cm="1">
        <f t="array" ref="BN674">IFERROR(INDEX($AW$1:$BH$1,1,MATCH(2,1/(AW674:BH674&lt;&gt;""))),"")</f>
        <v>46113</v>
      </c>
      <c r="BO674" s="53">
        <f ca="1">IFERROR(_xlfn.XLOOKUP(F674,Apuração!A:A,Apuração!C:C)/_xlfn.XLOOKUP(F674,Apuração!A:A,Apuração!B:B),0)</f>
        <v>0.41666666666666669</v>
      </c>
      <c r="BP674" s="53">
        <f ca="1">IFERROR(_xlfn.XLOOKUP(F674,Apuração!A:A,Apuração!D:D)/_xlfn.XLOOKUP(F674,Apuração!A:A,Apuração!B:B),0)</f>
        <v>0.33333333333333331</v>
      </c>
      <c r="BQ674" s="53">
        <f ca="1">IF(BK674&gt;=BO674,0,_xlfn.XLOOKUP(F674,Apuração!A:A,Apuração!B:B)*(BO674 + (1/_xlfn.XLOOKUP(F674,Apuração!A:A,Apuração!B:B)) - BK674))</f>
        <v>0</v>
      </c>
      <c r="BR674" s="85">
        <f t="shared" ca="1" si="988"/>
        <v>0</v>
      </c>
      <c r="BS674" s="53">
        <f ca="1">IFERROR((_xlfn.XLOOKUP(F674,Apuração!A:A,Apuração!C:C)+1)/_xlfn.XLOOKUP(F674,Apuração!A:A,Apuração!B:B),0)</f>
        <v>0.5</v>
      </c>
    </row>
    <row r="675" spans="1:71" ht="25.95" hidden="1" customHeight="1" x14ac:dyDescent="0.3">
      <c r="A675" s="42" t="s">
        <v>134</v>
      </c>
      <c r="B675" s="4" t="s">
        <v>135</v>
      </c>
      <c r="C675" s="5" t="s">
        <v>97</v>
      </c>
      <c r="D675" s="5" t="s">
        <v>100</v>
      </c>
      <c r="E675" s="4" t="str" cm="1">
        <f t="array" ref="E675">_xlfn.IFS(
F675 = "A partir de Abril", "Aguardando Execução na Distribuidora",
A675 = "CAPACITAÇÃO", "Em execução no Corporativo",
TRUE, "Em Execução na Distribuidora"
)</f>
        <v>Em Execução na Distribuidora</v>
      </c>
      <c r="F675" s="4" t="str" cm="1">
        <f t="array" ref="F675">_xlfn.IFS(
AG675 &lt;&gt; "", "Jan-Dez/26",
AH675 &lt;&gt; "", "Fev-Dez/26",
AI675 &lt;&gt; "", "Mar-Dez/26", AJ675 &lt;&gt; "", "Abr-Dez/26",
TRUE, "A partir de Junho"
)</f>
        <v>Jan-Dez/26</v>
      </c>
      <c r="G675" s="4" t="s">
        <v>37</v>
      </c>
      <c r="H675" s="7" t="s">
        <v>38</v>
      </c>
      <c r="I675" s="8" t="s">
        <v>139</v>
      </c>
      <c r="J675" s="8" t="str" cm="1">
        <f t="array" aca="1" ref="J675" ca="1">_xlfn.LET(
  _xlpm.actual_value_month, INDEX(T675:AE675, MATCH(DATE(YEAR(TODAY()), MONTH(TODAY()), 1), $T$1:$AE$1, 0)),
  IF(_xlpm.actual_value_month &lt;&gt; "",_xlpm.actual_value_month &amp; " ações mensais", "")
)</f>
        <v/>
      </c>
      <c r="K675" s="8" t="str" cm="1">
        <f t="array" ref="K675">_xlfn.LET(
    _xlpm.sum_month, SUM(T675:AE675),
    IF(_xlpm.sum_month = 0, "", _xlpm.sum_month &amp; " mensagens a serem enviadas no ano")
)</f>
        <v/>
      </c>
      <c r="L675" s="4" t="s">
        <v>140</v>
      </c>
      <c r="M675" s="24">
        <v>1</v>
      </c>
      <c r="N675" s="5" t="s">
        <v>51</v>
      </c>
      <c r="O675" s="5" t="s">
        <v>52</v>
      </c>
      <c r="P675" s="10" t="s">
        <v>44</v>
      </c>
      <c r="Q675" s="10" t="s">
        <v>44</v>
      </c>
      <c r="R675" s="11" t="s">
        <v>44</v>
      </c>
      <c r="S675" s="11" t="s">
        <v>44</v>
      </c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G675" s="146">
        <v>376</v>
      </c>
      <c r="AH675" s="146">
        <v>253</v>
      </c>
      <c r="AI675" s="146">
        <v>308</v>
      </c>
      <c r="AJ675" s="146">
        <v>328</v>
      </c>
      <c r="AK675" s="71">
        <v>252</v>
      </c>
      <c r="AL675" s="71"/>
      <c r="AM675" s="71"/>
      <c r="AN675" s="71"/>
      <c r="AO675" s="71"/>
      <c r="AP675" s="71"/>
      <c r="AQ675" s="71"/>
      <c r="AR675" s="71"/>
      <c r="AS675" s="94">
        <f t="shared" ca="1" si="980"/>
        <v>0</v>
      </c>
      <c r="AT675" s="95">
        <f t="shared" si="981"/>
        <v>1517</v>
      </c>
      <c r="AU675" s="97">
        <f t="shared" si="982"/>
        <v>1517</v>
      </c>
      <c r="AW675" s="83">
        <f t="shared" si="983"/>
        <v>376</v>
      </c>
      <c r="AX675" s="83">
        <f t="shared" si="984"/>
        <v>253</v>
      </c>
      <c r="AY675" s="83">
        <f t="shared" si="985"/>
        <v>308</v>
      </c>
      <c r="AZ675" s="83">
        <f t="shared" si="986"/>
        <v>328</v>
      </c>
      <c r="BA675" s="52"/>
      <c r="BB675" s="52"/>
      <c r="BC675" s="52"/>
      <c r="BD675" s="52"/>
      <c r="BE675" s="52"/>
      <c r="BF675" s="52"/>
      <c r="BG675" s="52"/>
      <c r="BH675" s="52"/>
      <c r="BI675" s="68" cm="1">
        <f t="array" ref="BI675">IFERROR(INDEX(AW675:BH675,1,MATCH(2,1/(AW675:BH675&lt;&gt;""))),"")</f>
        <v>328</v>
      </c>
      <c r="BJ675" s="68" cm="1">
        <f t="array" ref="BJ675">IF(BM675 = "", "",IFERROR(INDEX(AW675:BH675,1,MATCH(2,1/(AW675:BH675&lt;&gt;""),1)-1),""))</f>
        <v>308</v>
      </c>
      <c r="BK675" s="59">
        <f t="shared" si="987"/>
        <v>1265</v>
      </c>
      <c r="BL675" s="59" cm="1">
        <f t="array" ref="BL675">IFERROR(SUM(AW675:INDEX(AW675:BH675, MATCH(2, 1/(AW675:BH675&lt;&gt;""), 1) - 1))/_xlfn.XLOOKUP(F675,Apuração!A:A,Apuração!B:B),0)</f>
        <v>78.083333333333329</v>
      </c>
      <c r="BM675" s="55" cm="1">
        <f t="array" ref="BM675">IFERROR(
   INDEX($AW$1:$BH$1,
      _xlfn.AGGREGATE(14, 6, COLUMN($AW$1:$BH$1)/(AW675:BH675&lt;&gt;""), 2) - COLUMN($AW$1) + 1
   ),
"")</f>
        <v>46082</v>
      </c>
      <c r="BN675" s="55" cm="1">
        <f t="array" ref="BN675">IFERROR(INDEX($AW$1:$BH$1,1,MATCH(2,1/(AW675:BH675&lt;&gt;""))),"")</f>
        <v>46113</v>
      </c>
      <c r="BO675" s="53">
        <f ca="1">IFERROR(_xlfn.XLOOKUP(F675,Apuração!A:A,Apuração!C:C)/_xlfn.XLOOKUP(F675,Apuração!A:A,Apuração!B:B),0)</f>
        <v>0.41666666666666669</v>
      </c>
      <c r="BP675" s="53">
        <f ca="1">IFERROR(_xlfn.XLOOKUP(F675,Apuração!A:A,Apuração!D:D)/_xlfn.XLOOKUP(F675,Apuração!A:A,Apuração!B:B),0)</f>
        <v>0.33333333333333331</v>
      </c>
      <c r="BQ675" s="53">
        <f ca="1">IF(BK675&gt;=BO675,0,_xlfn.XLOOKUP(F675,Apuração!A:A,Apuração!B:B)*(BO675 + (1/_xlfn.XLOOKUP(F675,Apuração!A:A,Apuração!B:B)) - BK675))</f>
        <v>0</v>
      </c>
      <c r="BR675" s="85">
        <f t="shared" ca="1" si="988"/>
        <v>0</v>
      </c>
      <c r="BS675" s="53">
        <f ca="1">IFERROR((_xlfn.XLOOKUP(F675,Apuração!A:A,Apuração!C:C)+1)/_xlfn.XLOOKUP(F675,Apuração!A:A,Apuração!B:B),0)</f>
        <v>0.5</v>
      </c>
    </row>
    <row r="676" spans="1:71" ht="25.95" hidden="1" customHeight="1" x14ac:dyDescent="0.3">
      <c r="A676" s="42" t="s">
        <v>134</v>
      </c>
      <c r="B676" s="4" t="s">
        <v>135</v>
      </c>
      <c r="C676" s="5" t="s">
        <v>97</v>
      </c>
      <c r="D676" s="5" t="s">
        <v>101</v>
      </c>
      <c r="E676" s="4" t="str" cm="1">
        <f t="array" ref="E676">_xlfn.IFS(
F676 = "A partir de Abril", "Aguardando Execução na Distribuidora",
A676 = "CAPACITAÇÃO", "Em execução no Corporativo",
TRUE, "Em Execução na Distribuidora"
)</f>
        <v>Em Execução na Distribuidora</v>
      </c>
      <c r="F676" s="4" t="str" cm="1">
        <f t="array" ref="F676">_xlfn.IFS(
AG676 &lt;&gt; "", "Jan-Dez/26",
AH676 &lt;&gt; "", "Fev-Dez/26",
AI676 &lt;&gt; "", "Mar-Dez/26", AJ676 &lt;&gt; "", "Abr-Dez/26",
TRUE, "A partir de Junho"
)</f>
        <v>Jan-Dez/26</v>
      </c>
      <c r="G676" s="4" t="s">
        <v>37</v>
      </c>
      <c r="H676" s="7" t="s">
        <v>38</v>
      </c>
      <c r="I676" s="8" t="s">
        <v>139</v>
      </c>
      <c r="J676" s="8" t="str" cm="1">
        <f t="array" aca="1" ref="J676" ca="1">_xlfn.LET(
  _xlpm.actual_value_month, INDEX(T676:AE676, MATCH(DATE(YEAR(TODAY()), MONTH(TODAY()), 1), $T$1:$AE$1, 0)),
  IF(_xlpm.actual_value_month &lt;&gt; "",_xlpm.actual_value_month &amp; " ações mensais", "")
)</f>
        <v/>
      </c>
      <c r="K676" s="8" t="str" cm="1">
        <f t="array" ref="K676">_xlfn.LET(
    _xlpm.sum_month, SUM(T676:AE676),
    IF(_xlpm.sum_month = 0, "", _xlpm.sum_month &amp; " mensagens a serem enviadas no ano")
)</f>
        <v/>
      </c>
      <c r="L676" s="4" t="s">
        <v>140</v>
      </c>
      <c r="M676" s="24">
        <v>1</v>
      </c>
      <c r="N676" s="5" t="s">
        <v>51</v>
      </c>
      <c r="O676" s="5" t="s">
        <v>52</v>
      </c>
      <c r="P676" s="10" t="s">
        <v>44</v>
      </c>
      <c r="Q676" s="10" t="s">
        <v>44</v>
      </c>
      <c r="R676" s="11" t="s">
        <v>44</v>
      </c>
      <c r="S676" s="11" t="s">
        <v>44</v>
      </c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G676" s="146">
        <v>713</v>
      </c>
      <c r="AH676" s="146">
        <v>625</v>
      </c>
      <c r="AI676" s="146">
        <v>504</v>
      </c>
      <c r="AJ676" s="146">
        <v>426</v>
      </c>
      <c r="AK676" s="71">
        <v>281</v>
      </c>
      <c r="AL676" s="71"/>
      <c r="AM676" s="71"/>
      <c r="AN676" s="71"/>
      <c r="AO676" s="71"/>
      <c r="AP676" s="71"/>
      <c r="AQ676" s="71"/>
      <c r="AR676" s="71"/>
      <c r="AS676" s="94">
        <f t="shared" ca="1" si="980"/>
        <v>0</v>
      </c>
      <c r="AT676" s="95">
        <f t="shared" si="981"/>
        <v>2549</v>
      </c>
      <c r="AU676" s="97">
        <f t="shared" si="982"/>
        <v>2549</v>
      </c>
      <c r="AW676" s="83">
        <f t="shared" si="983"/>
        <v>713</v>
      </c>
      <c r="AX676" s="83">
        <f t="shared" si="984"/>
        <v>625</v>
      </c>
      <c r="AY676" s="83">
        <f t="shared" si="985"/>
        <v>504</v>
      </c>
      <c r="AZ676" s="83">
        <f t="shared" si="986"/>
        <v>426</v>
      </c>
      <c r="BA676" s="52"/>
      <c r="BB676" s="52"/>
      <c r="BC676" s="52"/>
      <c r="BD676" s="52"/>
      <c r="BE676" s="52"/>
      <c r="BF676" s="52"/>
      <c r="BG676" s="52"/>
      <c r="BH676" s="52"/>
      <c r="BI676" s="68" cm="1">
        <f t="array" ref="BI676">IFERROR(INDEX(AW676:BH676,1,MATCH(2,1/(AW676:BH676&lt;&gt;""))),"")</f>
        <v>426</v>
      </c>
      <c r="BJ676" s="68" cm="1">
        <f t="array" ref="BJ676">IF(BM676 = "", "",IFERROR(INDEX(AW676:BH676,1,MATCH(2,1/(AW676:BH676&lt;&gt;""),1)-1),""))</f>
        <v>504</v>
      </c>
      <c r="BK676" s="59">
        <f t="shared" si="987"/>
        <v>2268</v>
      </c>
      <c r="BL676" s="59" cm="1">
        <f t="array" ref="BL676">IFERROR(SUM(AW676:INDEX(AW676:BH676, MATCH(2, 1/(AW676:BH676&lt;&gt;""), 1) - 1))/_xlfn.XLOOKUP(F676,Apuração!A:A,Apuração!B:B),0)</f>
        <v>153.5</v>
      </c>
      <c r="BM676" s="55" cm="1">
        <f t="array" ref="BM676">IFERROR(
   INDEX($AW$1:$BH$1,
      _xlfn.AGGREGATE(14, 6, COLUMN($AW$1:$BH$1)/(AW676:BH676&lt;&gt;""), 2) - COLUMN($AW$1) + 1
   ),
"")</f>
        <v>46082</v>
      </c>
      <c r="BN676" s="55" cm="1">
        <f t="array" ref="BN676">IFERROR(INDEX($AW$1:$BH$1,1,MATCH(2,1/(AW676:BH676&lt;&gt;""))),"")</f>
        <v>46113</v>
      </c>
      <c r="BO676" s="53">
        <f ca="1">IFERROR(_xlfn.XLOOKUP(F676,Apuração!A:A,Apuração!C:C)/_xlfn.XLOOKUP(F676,Apuração!A:A,Apuração!B:B),0)</f>
        <v>0.41666666666666669</v>
      </c>
      <c r="BP676" s="53">
        <f ca="1">IFERROR(_xlfn.XLOOKUP(F676,Apuração!A:A,Apuração!D:D)/_xlfn.XLOOKUP(F676,Apuração!A:A,Apuração!B:B),0)</f>
        <v>0.33333333333333331</v>
      </c>
      <c r="BQ676" s="53">
        <f ca="1">IF(BK676&gt;=BO676,0,_xlfn.XLOOKUP(F676,Apuração!A:A,Apuração!B:B)*(BO676 + (1/_xlfn.XLOOKUP(F676,Apuração!A:A,Apuração!B:B)) - BK676))</f>
        <v>0</v>
      </c>
      <c r="BR676" s="85">
        <f t="shared" ca="1" si="988"/>
        <v>0</v>
      </c>
      <c r="BS676" s="53">
        <f ca="1">IFERROR((_xlfn.XLOOKUP(F676,Apuração!A:A,Apuração!C:C)+1)/_xlfn.XLOOKUP(F676,Apuração!A:A,Apuração!B:B),0)</f>
        <v>0.5</v>
      </c>
    </row>
    <row r="677" spans="1:71" ht="25.95" hidden="1" customHeight="1" x14ac:dyDescent="0.3">
      <c r="A677" s="42" t="s">
        <v>134</v>
      </c>
      <c r="B677" s="4" t="s">
        <v>135</v>
      </c>
      <c r="C677" s="5" t="s">
        <v>97</v>
      </c>
      <c r="D677" s="5" t="s">
        <v>102</v>
      </c>
      <c r="E677" s="4" t="str" cm="1">
        <f t="array" ref="E677">_xlfn.IFS(
F677 = "A partir de Abril", "Aguardando Execução na Distribuidora",
A677 = "CAPACITAÇÃO", "Em execução no Corporativo",
TRUE, "Em Execução na Distribuidora"
)</f>
        <v>Em Execução na Distribuidora</v>
      </c>
      <c r="F677" s="4" t="str" cm="1">
        <f t="array" ref="F677">_xlfn.IFS(
AG677 &lt;&gt; "", "Jan-Dez/26",
AH677 &lt;&gt; "", "Fev-Dez/26",
AI677 &lt;&gt; "", "Mar-Dez/26", AJ677 &lt;&gt; "", "Abr-Dez/26",
TRUE, "A partir de Junho"
)</f>
        <v>Jan-Dez/26</v>
      </c>
      <c r="G677" s="4" t="s">
        <v>37</v>
      </c>
      <c r="H677" s="7" t="s">
        <v>38</v>
      </c>
      <c r="I677" s="8" t="s">
        <v>139</v>
      </c>
      <c r="J677" s="8" t="str" cm="1">
        <f t="array" aca="1" ref="J677" ca="1">_xlfn.LET(
  _xlpm.actual_value_month, INDEX(T677:AE677, MATCH(DATE(YEAR(TODAY()), MONTH(TODAY()), 1), $T$1:$AE$1, 0)),
  IF(_xlpm.actual_value_month &lt;&gt; "",_xlpm.actual_value_month &amp; " ações mensais", "")
)</f>
        <v/>
      </c>
      <c r="K677" s="8" t="str" cm="1">
        <f t="array" ref="K677">_xlfn.LET(
    _xlpm.sum_month, SUM(T677:AE677),
    IF(_xlpm.sum_month = 0, "", _xlpm.sum_month &amp; " mensagens a serem enviadas no ano")
)</f>
        <v/>
      </c>
      <c r="L677" s="4" t="s">
        <v>140</v>
      </c>
      <c r="M677" s="24">
        <v>1</v>
      </c>
      <c r="N677" s="5" t="s">
        <v>51</v>
      </c>
      <c r="O677" s="5" t="s">
        <v>52</v>
      </c>
      <c r="P677" s="10" t="s">
        <v>44</v>
      </c>
      <c r="Q677" s="10" t="s">
        <v>44</v>
      </c>
      <c r="R677" s="11" t="s">
        <v>44</v>
      </c>
      <c r="S677" s="11" t="s">
        <v>44</v>
      </c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G677" s="146">
        <v>689</v>
      </c>
      <c r="AH677" s="146">
        <v>587</v>
      </c>
      <c r="AI677" s="146">
        <v>613</v>
      </c>
      <c r="AJ677" s="146">
        <v>468</v>
      </c>
      <c r="AK677" s="71">
        <v>432</v>
      </c>
      <c r="AL677" s="71"/>
      <c r="AM677" s="71"/>
      <c r="AN677" s="71"/>
      <c r="AO677" s="71"/>
      <c r="AP677" s="71"/>
      <c r="AQ677" s="71"/>
      <c r="AR677" s="71"/>
      <c r="AS677" s="94">
        <f t="shared" ca="1" si="980"/>
        <v>0</v>
      </c>
      <c r="AT677" s="95">
        <f t="shared" si="981"/>
        <v>2789</v>
      </c>
      <c r="AU677" s="97">
        <f t="shared" si="982"/>
        <v>2789</v>
      </c>
      <c r="AW677" s="83">
        <f t="shared" si="983"/>
        <v>689</v>
      </c>
      <c r="AX677" s="83">
        <f t="shared" si="984"/>
        <v>587</v>
      </c>
      <c r="AY677" s="83">
        <f t="shared" si="985"/>
        <v>613</v>
      </c>
      <c r="AZ677" s="83">
        <f t="shared" si="986"/>
        <v>468</v>
      </c>
      <c r="BA677" s="52"/>
      <c r="BB677" s="52"/>
      <c r="BC677" s="52"/>
      <c r="BD677" s="52"/>
      <c r="BE677" s="52"/>
      <c r="BF677" s="52"/>
      <c r="BG677" s="52"/>
      <c r="BH677" s="52"/>
      <c r="BI677" s="68" cm="1">
        <f t="array" ref="BI677">IFERROR(INDEX(AW677:BH677,1,MATCH(2,1/(AW677:BH677&lt;&gt;""))),"")</f>
        <v>468</v>
      </c>
      <c r="BJ677" s="68" cm="1">
        <f t="array" ref="BJ677">IF(BM677 = "", "",IFERROR(INDEX(AW677:BH677,1,MATCH(2,1/(AW677:BH677&lt;&gt;""),1)-1),""))</f>
        <v>613</v>
      </c>
      <c r="BK677" s="59">
        <f t="shared" si="987"/>
        <v>2357</v>
      </c>
      <c r="BL677" s="59" cm="1">
        <f t="array" ref="BL677">IFERROR(SUM(AW677:INDEX(AW677:BH677, MATCH(2, 1/(AW677:BH677&lt;&gt;""), 1) - 1))/_xlfn.XLOOKUP(F677,Apuração!A:A,Apuração!B:B),0)</f>
        <v>157.41666666666666</v>
      </c>
      <c r="BM677" s="55" cm="1">
        <f t="array" ref="BM677">IFERROR(
   INDEX($AW$1:$BH$1,
      _xlfn.AGGREGATE(14, 6, COLUMN($AW$1:$BH$1)/(AW677:BH677&lt;&gt;""), 2) - COLUMN($AW$1) + 1
   ),
"")</f>
        <v>46082</v>
      </c>
      <c r="BN677" s="55" cm="1">
        <f t="array" ref="BN677">IFERROR(INDEX($AW$1:$BH$1,1,MATCH(2,1/(AW677:BH677&lt;&gt;""))),"")</f>
        <v>46113</v>
      </c>
      <c r="BO677" s="53">
        <f ca="1">IFERROR(_xlfn.XLOOKUP(F677,Apuração!A:A,Apuração!C:C)/_xlfn.XLOOKUP(F677,Apuração!A:A,Apuração!B:B),0)</f>
        <v>0.41666666666666669</v>
      </c>
      <c r="BP677" s="53">
        <f ca="1">IFERROR(_xlfn.XLOOKUP(F677,Apuração!A:A,Apuração!D:D)/_xlfn.XLOOKUP(F677,Apuração!A:A,Apuração!B:B),0)</f>
        <v>0.33333333333333331</v>
      </c>
      <c r="BQ677" s="53">
        <f ca="1">IF(BK677&gt;=BO677,0,_xlfn.XLOOKUP(F677,Apuração!A:A,Apuração!B:B)*(BO677 + (1/_xlfn.XLOOKUP(F677,Apuração!A:A,Apuração!B:B)) - BK677))</f>
        <v>0</v>
      </c>
      <c r="BR677" s="85">
        <f t="shared" ca="1" si="988"/>
        <v>0</v>
      </c>
      <c r="BS677" s="53">
        <f ca="1">IFERROR((_xlfn.XLOOKUP(F677,Apuração!A:A,Apuração!C:C)+1)/_xlfn.XLOOKUP(F677,Apuração!A:A,Apuração!B:B),0)</f>
        <v>0.5</v>
      </c>
    </row>
    <row r="678" spans="1:71" ht="25.95" hidden="1" customHeight="1" x14ac:dyDescent="0.3">
      <c r="A678" s="42" t="s">
        <v>134</v>
      </c>
      <c r="B678" s="4" t="s">
        <v>135</v>
      </c>
      <c r="C678" s="5" t="s">
        <v>97</v>
      </c>
      <c r="D678" s="5" t="s">
        <v>103</v>
      </c>
      <c r="E678" s="4" t="str" cm="1">
        <f t="array" ref="E678">_xlfn.IFS(
F678 = "A partir de Abril", "Aguardando Execução na Distribuidora",
A678 = "CAPACITAÇÃO", "Em execução no Corporativo",
TRUE, "Em Execução na Distribuidora"
)</f>
        <v>Em Execução na Distribuidora</v>
      </c>
      <c r="F678" s="4" t="str" cm="1">
        <f t="array" ref="F678">_xlfn.IFS(
AG678 &lt;&gt; "", "Jan-Dez/26",
AH678 &lt;&gt; "", "Fev-Dez/26",
AI678 &lt;&gt; "", "Mar-Dez/26", AJ678 &lt;&gt; "", "Abr-Dez/26",
TRUE, "A partir de Junho"
)</f>
        <v>Jan-Dez/26</v>
      </c>
      <c r="G678" s="4" t="s">
        <v>37</v>
      </c>
      <c r="H678" s="7" t="s">
        <v>38</v>
      </c>
      <c r="I678" s="8" t="s">
        <v>139</v>
      </c>
      <c r="J678" s="8" t="str" cm="1">
        <f t="array" aca="1" ref="J678" ca="1">_xlfn.LET(
  _xlpm.actual_value_month, INDEX(T678:AE678, MATCH(DATE(YEAR(TODAY()), MONTH(TODAY()), 1), $T$1:$AE$1, 0)),
  IF(_xlpm.actual_value_month &lt;&gt; "",_xlpm.actual_value_month &amp; " ações mensais", "")
)</f>
        <v/>
      </c>
      <c r="K678" s="8" t="str" cm="1">
        <f t="array" ref="K678">_xlfn.LET(
    _xlpm.sum_month, SUM(T678:AE678),
    IF(_xlpm.sum_month = 0, "", _xlpm.sum_month &amp; " mensagens a serem enviadas no ano")
)</f>
        <v/>
      </c>
      <c r="L678" s="4" t="s">
        <v>140</v>
      </c>
      <c r="M678" s="24">
        <v>1</v>
      </c>
      <c r="N678" s="5" t="s">
        <v>51</v>
      </c>
      <c r="O678" s="5" t="s">
        <v>52</v>
      </c>
      <c r="P678" s="10" t="s">
        <v>44</v>
      </c>
      <c r="Q678" s="10" t="s">
        <v>44</v>
      </c>
      <c r="R678" s="11" t="s">
        <v>44</v>
      </c>
      <c r="S678" s="11" t="s">
        <v>44</v>
      </c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G678" s="146">
        <v>580</v>
      </c>
      <c r="AH678" s="146">
        <v>463</v>
      </c>
      <c r="AI678" s="146">
        <v>460</v>
      </c>
      <c r="AJ678" s="146">
        <v>402</v>
      </c>
      <c r="AK678" s="71">
        <v>358</v>
      </c>
      <c r="AL678" s="71"/>
      <c r="AM678" s="71"/>
      <c r="AN678" s="71"/>
      <c r="AO678" s="71"/>
      <c r="AP678" s="71"/>
      <c r="AQ678" s="71"/>
      <c r="AR678" s="71"/>
      <c r="AS678" s="94">
        <f t="shared" ca="1" si="980"/>
        <v>0</v>
      </c>
      <c r="AT678" s="95">
        <f t="shared" si="981"/>
        <v>2263</v>
      </c>
      <c r="AU678" s="97">
        <f t="shared" si="982"/>
        <v>2263</v>
      </c>
      <c r="AW678" s="83">
        <f t="shared" si="983"/>
        <v>580</v>
      </c>
      <c r="AX678" s="83">
        <f t="shared" si="984"/>
        <v>463</v>
      </c>
      <c r="AY678" s="83">
        <f t="shared" si="985"/>
        <v>460</v>
      </c>
      <c r="AZ678" s="83">
        <f t="shared" si="986"/>
        <v>402</v>
      </c>
      <c r="BA678" s="52"/>
      <c r="BB678" s="52"/>
      <c r="BC678" s="52"/>
      <c r="BD678" s="52"/>
      <c r="BE678" s="52"/>
      <c r="BF678" s="52"/>
      <c r="BG678" s="52"/>
      <c r="BH678" s="52"/>
      <c r="BI678" s="68" cm="1">
        <f t="array" ref="BI678">IFERROR(INDEX(AW678:BH678,1,MATCH(2,1/(AW678:BH678&lt;&gt;""))),"")</f>
        <v>402</v>
      </c>
      <c r="BJ678" s="68" cm="1">
        <f t="array" ref="BJ678">IF(BM678 = "", "",IFERROR(INDEX(AW678:BH678,1,MATCH(2,1/(AW678:BH678&lt;&gt;""),1)-1),""))</f>
        <v>460</v>
      </c>
      <c r="BK678" s="59">
        <f t="shared" si="987"/>
        <v>1905</v>
      </c>
      <c r="BL678" s="59" cm="1">
        <f t="array" ref="BL678">IFERROR(SUM(AW678:INDEX(AW678:BH678, MATCH(2, 1/(AW678:BH678&lt;&gt;""), 1) - 1))/_xlfn.XLOOKUP(F678,Apuração!A:A,Apuração!B:B),0)</f>
        <v>125.25</v>
      </c>
      <c r="BM678" s="55" cm="1">
        <f t="array" ref="BM678">IFERROR(
   INDEX($AW$1:$BH$1,
      _xlfn.AGGREGATE(14, 6, COLUMN($AW$1:$BH$1)/(AW678:BH678&lt;&gt;""), 2) - COLUMN($AW$1) + 1
   ),
"")</f>
        <v>46082</v>
      </c>
      <c r="BN678" s="55" cm="1">
        <f t="array" ref="BN678">IFERROR(INDEX($AW$1:$BH$1,1,MATCH(2,1/(AW678:BH678&lt;&gt;""))),"")</f>
        <v>46113</v>
      </c>
      <c r="BO678" s="53">
        <f ca="1">IFERROR(_xlfn.XLOOKUP(F678,Apuração!A:A,Apuração!C:C)/_xlfn.XLOOKUP(F678,Apuração!A:A,Apuração!B:B),0)</f>
        <v>0.41666666666666669</v>
      </c>
      <c r="BP678" s="53">
        <f ca="1">IFERROR(_xlfn.XLOOKUP(F678,Apuração!A:A,Apuração!D:D)/_xlfn.XLOOKUP(F678,Apuração!A:A,Apuração!B:B),0)</f>
        <v>0.33333333333333331</v>
      </c>
      <c r="BQ678" s="53">
        <f ca="1">IF(BK678&gt;=BO678,0,_xlfn.XLOOKUP(F678,Apuração!A:A,Apuração!B:B)*(BO678 + (1/_xlfn.XLOOKUP(F678,Apuração!A:A,Apuração!B:B)) - BK678))</f>
        <v>0</v>
      </c>
      <c r="BR678" s="85">
        <f t="shared" ca="1" si="988"/>
        <v>0</v>
      </c>
      <c r="BS678" s="53">
        <f ca="1">IFERROR((_xlfn.XLOOKUP(F678,Apuração!A:A,Apuração!C:C)+1)/_xlfn.XLOOKUP(F678,Apuração!A:A,Apuração!B:B),0)</f>
        <v>0.5</v>
      </c>
    </row>
    <row r="679" spans="1:71" ht="25.95" hidden="1" customHeight="1" x14ac:dyDescent="0.3">
      <c r="A679" s="42" t="s">
        <v>134</v>
      </c>
      <c r="B679" s="4" t="s">
        <v>135</v>
      </c>
      <c r="C679" s="5" t="s">
        <v>97</v>
      </c>
      <c r="D679" s="5" t="s">
        <v>104</v>
      </c>
      <c r="E679" s="4" t="str" cm="1">
        <f t="array" ref="E679">_xlfn.IFS(
F679 = "A partir de Abril", "Aguardando Execução na Distribuidora",
A679 = "CAPACITAÇÃO", "Em execução no Corporativo",
TRUE, "Em Execução na Distribuidora"
)</f>
        <v>Em Execução na Distribuidora</v>
      </c>
      <c r="F679" s="4" t="str" cm="1">
        <f t="array" ref="F679">_xlfn.IFS(
AG679 &lt;&gt; "", "Jan-Dez/26",
AH679 &lt;&gt; "", "Fev-Dez/26",
AI679 &lt;&gt; "", "Mar-Dez/26", AJ679 &lt;&gt; "", "Abr-Dez/26",
TRUE, "A partir de Junho"
)</f>
        <v>Jan-Dez/26</v>
      </c>
      <c r="G679" s="4" t="s">
        <v>37</v>
      </c>
      <c r="H679" s="7" t="s">
        <v>38</v>
      </c>
      <c r="I679" s="8" t="s">
        <v>139</v>
      </c>
      <c r="J679" s="8" t="str" cm="1">
        <f t="array" aca="1" ref="J679" ca="1">_xlfn.LET(
  _xlpm.actual_value_month, INDEX(T679:AE679, MATCH(DATE(YEAR(TODAY()), MONTH(TODAY()), 1), $T$1:$AE$1, 0)),
  IF(_xlpm.actual_value_month &lt;&gt; "",_xlpm.actual_value_month &amp; " ações mensais", "")
)</f>
        <v/>
      </c>
      <c r="K679" s="8" t="str" cm="1">
        <f t="array" ref="K679">_xlfn.LET(
    _xlpm.sum_month, SUM(T679:AE679),
    IF(_xlpm.sum_month = 0, "", _xlpm.sum_month &amp; " mensagens a serem enviadas no ano")
)</f>
        <v/>
      </c>
      <c r="L679" s="4" t="s">
        <v>140</v>
      </c>
      <c r="M679" s="24">
        <v>1</v>
      </c>
      <c r="N679" s="5" t="s">
        <v>51</v>
      </c>
      <c r="O679" s="5" t="s">
        <v>52</v>
      </c>
      <c r="P679" s="10" t="s">
        <v>44</v>
      </c>
      <c r="Q679" s="10" t="s">
        <v>44</v>
      </c>
      <c r="R679" s="11" t="s">
        <v>44</v>
      </c>
      <c r="S679" s="11" t="s">
        <v>44</v>
      </c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G679" s="148">
        <v>1116</v>
      </c>
      <c r="AH679" s="146">
        <v>910</v>
      </c>
      <c r="AI679" s="146">
        <v>789</v>
      </c>
      <c r="AJ679" s="146">
        <v>594</v>
      </c>
      <c r="AK679" s="71">
        <v>407</v>
      </c>
      <c r="AL679" s="71"/>
      <c r="AM679" s="71"/>
      <c r="AN679" s="71"/>
      <c r="AO679" s="71"/>
      <c r="AP679" s="71"/>
      <c r="AQ679" s="71"/>
      <c r="AR679" s="71"/>
      <c r="AS679" s="94">
        <f t="shared" ca="1" si="980"/>
        <v>0</v>
      </c>
      <c r="AT679" s="95">
        <f t="shared" si="981"/>
        <v>3816</v>
      </c>
      <c r="AU679" s="97">
        <f t="shared" si="982"/>
        <v>3816</v>
      </c>
      <c r="AW679" s="83">
        <f t="shared" si="983"/>
        <v>1116</v>
      </c>
      <c r="AX679" s="83">
        <f t="shared" si="984"/>
        <v>910</v>
      </c>
      <c r="AY679" s="83">
        <f t="shared" si="985"/>
        <v>789</v>
      </c>
      <c r="AZ679" s="83">
        <f t="shared" si="986"/>
        <v>594</v>
      </c>
      <c r="BA679" s="52"/>
      <c r="BB679" s="52"/>
      <c r="BC679" s="52"/>
      <c r="BD679" s="52"/>
      <c r="BE679" s="52"/>
      <c r="BF679" s="52"/>
      <c r="BG679" s="52"/>
      <c r="BH679" s="52"/>
      <c r="BI679" s="68" cm="1">
        <f t="array" ref="BI679">IFERROR(INDEX(AW679:BH679,1,MATCH(2,1/(AW679:BH679&lt;&gt;""))),"")</f>
        <v>594</v>
      </c>
      <c r="BJ679" s="68" cm="1">
        <f t="array" ref="BJ679">IF(BM679 = "", "",IFERROR(INDEX(AW679:BH679,1,MATCH(2,1/(AW679:BH679&lt;&gt;""),1)-1),""))</f>
        <v>789</v>
      </c>
      <c r="BK679" s="59">
        <f t="shared" si="987"/>
        <v>3409</v>
      </c>
      <c r="BL679" s="59" cm="1">
        <f t="array" ref="BL679">IFERROR(SUM(AW679:INDEX(AW679:BH679, MATCH(2, 1/(AW679:BH679&lt;&gt;""), 1) - 1))/_xlfn.XLOOKUP(F679,Apuração!A:A,Apuração!B:B),0)</f>
        <v>234.58333333333334</v>
      </c>
      <c r="BM679" s="55" cm="1">
        <f t="array" ref="BM679">IFERROR(
   INDEX($AW$1:$BH$1,
      _xlfn.AGGREGATE(14, 6, COLUMN($AW$1:$BH$1)/(AW679:BH679&lt;&gt;""), 2) - COLUMN($AW$1) + 1
   ),
"")</f>
        <v>46082</v>
      </c>
      <c r="BN679" s="55" cm="1">
        <f t="array" ref="BN679">IFERROR(INDEX($AW$1:$BH$1,1,MATCH(2,1/(AW679:BH679&lt;&gt;""))),"")</f>
        <v>46113</v>
      </c>
      <c r="BO679" s="53">
        <f ca="1">IFERROR(_xlfn.XLOOKUP(F679,Apuração!A:A,Apuração!C:C)/_xlfn.XLOOKUP(F679,Apuração!A:A,Apuração!B:B),0)</f>
        <v>0.41666666666666669</v>
      </c>
      <c r="BP679" s="53">
        <f ca="1">IFERROR(_xlfn.XLOOKUP(F679,Apuração!A:A,Apuração!D:D)/_xlfn.XLOOKUP(F679,Apuração!A:A,Apuração!B:B),0)</f>
        <v>0.33333333333333331</v>
      </c>
      <c r="BQ679" s="53">
        <f ca="1">IF(BK679&gt;=BO679,0,_xlfn.XLOOKUP(F679,Apuração!A:A,Apuração!B:B)*(BO679 + (1/_xlfn.XLOOKUP(F679,Apuração!A:A,Apuração!B:B)) - BK679))</f>
        <v>0</v>
      </c>
      <c r="BR679" s="85">
        <f t="shared" ca="1" si="988"/>
        <v>0</v>
      </c>
      <c r="BS679" s="53">
        <f ca="1">IFERROR((_xlfn.XLOOKUP(F679,Apuração!A:A,Apuração!C:C)+1)/_xlfn.XLOOKUP(F679,Apuração!A:A,Apuração!B:B),0)</f>
        <v>0.5</v>
      </c>
    </row>
    <row r="680" spans="1:71" ht="25.95" hidden="1" customHeight="1" x14ac:dyDescent="0.3">
      <c r="A680" s="42" t="s">
        <v>134</v>
      </c>
      <c r="B680" s="4" t="s">
        <v>135</v>
      </c>
      <c r="C680" s="5" t="s">
        <v>97</v>
      </c>
      <c r="D680" s="5" t="s">
        <v>105</v>
      </c>
      <c r="E680" s="4" t="str" cm="1">
        <f t="array" ref="E680">_xlfn.IFS(
F680 = "A partir de Abril", "Aguardando Execução na Distribuidora",
A680 = "CAPACITAÇÃO", "Em execução no Corporativo",
TRUE, "Em Execução na Distribuidora"
)</f>
        <v>Em Execução na Distribuidora</v>
      </c>
      <c r="F680" s="4" t="str" cm="1">
        <f t="array" ref="F680">_xlfn.IFS(
AG680 &lt;&gt; "", "Jan-Dez/26",
AH680 &lt;&gt; "", "Fev-Dez/26",
AI680 &lt;&gt; "", "Mar-Dez/26", AJ680 &lt;&gt; "", "Abr-Dez/26",
TRUE, "A partir de Junho"
)</f>
        <v>Jan-Dez/26</v>
      </c>
      <c r="G680" s="4" t="s">
        <v>37</v>
      </c>
      <c r="H680" s="7" t="s">
        <v>38</v>
      </c>
      <c r="I680" s="8" t="s">
        <v>139</v>
      </c>
      <c r="J680" s="8" t="str" cm="1">
        <f t="array" aca="1" ref="J680" ca="1">_xlfn.LET(
  _xlpm.actual_value_month, INDEX(T680:AE680, MATCH(DATE(YEAR(TODAY()), MONTH(TODAY()), 1), $T$1:$AE$1, 0)),
  IF(_xlpm.actual_value_month &lt;&gt; "",_xlpm.actual_value_month &amp; " ações mensais", "")
)</f>
        <v/>
      </c>
      <c r="K680" s="8" t="str" cm="1">
        <f t="array" ref="K680">_xlfn.LET(
    _xlpm.sum_month, SUM(T680:AE680),
    IF(_xlpm.sum_month = 0, "", _xlpm.sum_month &amp; " mensagens a serem enviadas no ano")
)</f>
        <v/>
      </c>
      <c r="L680" s="4" t="s">
        <v>140</v>
      </c>
      <c r="M680" s="24">
        <v>1</v>
      </c>
      <c r="N680" s="5" t="s">
        <v>51</v>
      </c>
      <c r="O680" s="5" t="s">
        <v>52</v>
      </c>
      <c r="P680" s="10" t="s">
        <v>44</v>
      </c>
      <c r="Q680" s="10" t="s">
        <v>44</v>
      </c>
      <c r="R680" s="11" t="s">
        <v>44</v>
      </c>
      <c r="S680" s="11" t="s">
        <v>44</v>
      </c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G680" s="148">
        <v>1404</v>
      </c>
      <c r="AH680" s="146">
        <v>900</v>
      </c>
      <c r="AI680" s="146">
        <v>982</v>
      </c>
      <c r="AJ680" s="146">
        <v>772</v>
      </c>
      <c r="AK680" s="71">
        <v>542</v>
      </c>
      <c r="AL680" s="71"/>
      <c r="AM680" s="71"/>
      <c r="AN680" s="71"/>
      <c r="AO680" s="71"/>
      <c r="AP680" s="71"/>
      <c r="AQ680" s="71"/>
      <c r="AR680" s="71"/>
      <c r="AS680" s="94">
        <f t="shared" ca="1" si="980"/>
        <v>0</v>
      </c>
      <c r="AT680" s="95">
        <f t="shared" si="981"/>
        <v>4600</v>
      </c>
      <c r="AU680" s="97">
        <f t="shared" si="982"/>
        <v>4600</v>
      </c>
      <c r="AW680" s="83">
        <f t="shared" si="983"/>
        <v>1404</v>
      </c>
      <c r="AX680" s="83">
        <f t="shared" si="984"/>
        <v>900</v>
      </c>
      <c r="AY680" s="83">
        <f t="shared" si="985"/>
        <v>982</v>
      </c>
      <c r="AZ680" s="83">
        <f t="shared" si="986"/>
        <v>772</v>
      </c>
      <c r="BA680" s="52"/>
      <c r="BB680" s="52"/>
      <c r="BC680" s="52"/>
      <c r="BD680" s="52"/>
      <c r="BE680" s="52"/>
      <c r="BF680" s="52"/>
      <c r="BG680" s="52"/>
      <c r="BH680" s="52"/>
      <c r="BI680" s="68" cm="1">
        <f t="array" ref="BI680">IFERROR(INDEX(AW680:BH680,1,MATCH(2,1/(AW680:BH680&lt;&gt;""))),"")</f>
        <v>772</v>
      </c>
      <c r="BJ680" s="68" cm="1">
        <f t="array" ref="BJ680">IF(BM680 = "", "",IFERROR(INDEX(AW680:BH680,1,MATCH(2,1/(AW680:BH680&lt;&gt;""),1)-1),""))</f>
        <v>982</v>
      </c>
      <c r="BK680" s="59">
        <f t="shared" si="987"/>
        <v>4058</v>
      </c>
      <c r="BL680" s="59" cm="1">
        <f t="array" ref="BL680">IFERROR(SUM(AW680:INDEX(AW680:BH680, MATCH(2, 1/(AW680:BH680&lt;&gt;""), 1) - 1))/_xlfn.XLOOKUP(F680,Apuração!A:A,Apuração!B:B),0)</f>
        <v>273.83333333333331</v>
      </c>
      <c r="BM680" s="55" cm="1">
        <f t="array" ref="BM680">IFERROR(
   INDEX($AW$1:$BH$1,
      _xlfn.AGGREGATE(14, 6, COLUMN($AW$1:$BH$1)/(AW680:BH680&lt;&gt;""), 2) - COLUMN($AW$1) + 1
   ),
"")</f>
        <v>46082</v>
      </c>
      <c r="BN680" s="55" cm="1">
        <f t="array" ref="BN680">IFERROR(INDEX($AW$1:$BH$1,1,MATCH(2,1/(AW680:BH680&lt;&gt;""))),"")</f>
        <v>46113</v>
      </c>
      <c r="BO680" s="53">
        <f ca="1">IFERROR(_xlfn.XLOOKUP(F680,Apuração!A:A,Apuração!C:C)/_xlfn.XLOOKUP(F680,Apuração!A:A,Apuração!B:B),0)</f>
        <v>0.41666666666666669</v>
      </c>
      <c r="BP680" s="53">
        <f ca="1">IFERROR(_xlfn.XLOOKUP(F680,Apuração!A:A,Apuração!D:D)/_xlfn.XLOOKUP(F680,Apuração!A:A,Apuração!B:B),0)</f>
        <v>0.33333333333333331</v>
      </c>
      <c r="BQ680" s="53">
        <f ca="1">IF(BK680&gt;=BO680,0,_xlfn.XLOOKUP(F680,Apuração!A:A,Apuração!B:B)*(BO680 + (1/_xlfn.XLOOKUP(F680,Apuração!A:A,Apuração!B:B)) - BK680))</f>
        <v>0</v>
      </c>
      <c r="BR680" s="85">
        <f t="shared" ca="1" si="988"/>
        <v>0</v>
      </c>
      <c r="BS680" s="53">
        <f ca="1">IFERROR((_xlfn.XLOOKUP(F680,Apuração!A:A,Apuração!C:C)+1)/_xlfn.XLOOKUP(F680,Apuração!A:A,Apuração!B:B),0)</f>
        <v>0.5</v>
      </c>
    </row>
    <row r="681" spans="1:71" ht="25.95" hidden="1" customHeight="1" x14ac:dyDescent="0.3">
      <c r="A681" s="42" t="s">
        <v>134</v>
      </c>
      <c r="B681" s="4" t="s">
        <v>135</v>
      </c>
      <c r="C681" s="5" t="s">
        <v>97</v>
      </c>
      <c r="D681" s="5" t="s">
        <v>106</v>
      </c>
      <c r="E681" s="4" t="str" cm="1">
        <f t="array" ref="E681">_xlfn.IFS(
F681 = "A partir de Abril", "Aguardando Execução na Distribuidora",
A681 = "CAPACITAÇÃO", "Em execução no Corporativo",
TRUE, "Em Execução na Distribuidora"
)</f>
        <v>Em Execução na Distribuidora</v>
      </c>
      <c r="F681" s="4" t="str" cm="1">
        <f t="array" ref="F681">_xlfn.IFS(
AG681 &lt;&gt; "", "Jan-Dez/26",
AH681 &lt;&gt; "", "Fev-Dez/26",
AI681 &lt;&gt; "", "Mar-Dez/26", AJ681 &lt;&gt; "", "Abr-Dez/26",
TRUE, "A partir de Junho"
)</f>
        <v>Jan-Dez/26</v>
      </c>
      <c r="G681" s="4" t="s">
        <v>37</v>
      </c>
      <c r="H681" s="7" t="s">
        <v>38</v>
      </c>
      <c r="I681" s="8" t="s">
        <v>139</v>
      </c>
      <c r="J681" s="8" t="str" cm="1">
        <f t="array" aca="1" ref="J681" ca="1">_xlfn.LET(
  _xlpm.actual_value_month, INDEX(T681:AE681, MATCH(DATE(YEAR(TODAY()), MONTH(TODAY()), 1), $T$1:$AE$1, 0)),
  IF(_xlpm.actual_value_month &lt;&gt; "",_xlpm.actual_value_month &amp; " ações mensais", "")
)</f>
        <v/>
      </c>
      <c r="K681" s="8" t="str" cm="1">
        <f t="array" ref="K681">_xlfn.LET(
    _xlpm.sum_month, SUM(T681:AE681),
    IF(_xlpm.sum_month = 0, "", _xlpm.sum_month &amp; " mensagens a serem enviadas no ano")
)</f>
        <v/>
      </c>
      <c r="L681" s="4" t="s">
        <v>140</v>
      </c>
      <c r="M681" s="24">
        <v>1</v>
      </c>
      <c r="N681" s="5" t="s">
        <v>51</v>
      </c>
      <c r="O681" s="5" t="s">
        <v>52</v>
      </c>
      <c r="P681" s="10" t="s">
        <v>44</v>
      </c>
      <c r="Q681" s="10" t="s">
        <v>44</v>
      </c>
      <c r="R681" s="11" t="s">
        <v>44</v>
      </c>
      <c r="S681" s="11" t="s">
        <v>44</v>
      </c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G681" s="146">
        <v>681</v>
      </c>
      <c r="AH681" s="146">
        <v>591</v>
      </c>
      <c r="AI681" s="146">
        <v>518</v>
      </c>
      <c r="AJ681" s="146">
        <v>457</v>
      </c>
      <c r="AK681" s="71">
        <v>347</v>
      </c>
      <c r="AL681" s="71"/>
      <c r="AM681" s="71"/>
      <c r="AN681" s="71"/>
      <c r="AO681" s="71"/>
      <c r="AP681" s="71"/>
      <c r="AQ681" s="71"/>
      <c r="AR681" s="71"/>
      <c r="AS681" s="94">
        <f t="shared" ca="1" si="980"/>
        <v>0</v>
      </c>
      <c r="AT681" s="95">
        <f t="shared" si="981"/>
        <v>2594</v>
      </c>
      <c r="AU681" s="97">
        <f t="shared" si="982"/>
        <v>2594</v>
      </c>
      <c r="AW681" s="83">
        <f t="shared" si="983"/>
        <v>681</v>
      </c>
      <c r="AX681" s="83">
        <f t="shared" si="984"/>
        <v>591</v>
      </c>
      <c r="AY681" s="83">
        <f t="shared" si="985"/>
        <v>518</v>
      </c>
      <c r="AZ681" s="83">
        <f t="shared" si="986"/>
        <v>457</v>
      </c>
      <c r="BA681" s="52"/>
      <c r="BB681" s="52"/>
      <c r="BC681" s="52"/>
      <c r="BD681" s="52"/>
      <c r="BE681" s="52"/>
      <c r="BF681" s="52"/>
      <c r="BG681" s="52"/>
      <c r="BH681" s="52"/>
      <c r="BI681" s="68" cm="1">
        <f t="array" ref="BI681">IFERROR(INDEX(AW681:BH681,1,MATCH(2,1/(AW681:BH681&lt;&gt;""))),"")</f>
        <v>457</v>
      </c>
      <c r="BJ681" s="68" cm="1">
        <f t="array" ref="BJ681">IF(BM681 = "", "",IFERROR(INDEX(AW681:BH681,1,MATCH(2,1/(AW681:BH681&lt;&gt;""),1)-1),""))</f>
        <v>518</v>
      </c>
      <c r="BK681" s="59">
        <f t="shared" si="987"/>
        <v>2247</v>
      </c>
      <c r="BL681" s="59" cm="1">
        <f t="array" ref="BL681">IFERROR(SUM(AW681:INDEX(AW681:BH681, MATCH(2, 1/(AW681:BH681&lt;&gt;""), 1) - 1))/_xlfn.XLOOKUP(F681,Apuração!A:A,Apuração!B:B),0)</f>
        <v>149.16666666666666</v>
      </c>
      <c r="BM681" s="55" cm="1">
        <f t="array" ref="BM681">IFERROR(
   INDEX($AW$1:$BH$1,
      _xlfn.AGGREGATE(14, 6, COLUMN($AW$1:$BH$1)/(AW681:BH681&lt;&gt;""), 2) - COLUMN($AW$1) + 1
   ),
"")</f>
        <v>46082</v>
      </c>
      <c r="BN681" s="55" cm="1">
        <f t="array" ref="BN681">IFERROR(INDEX($AW$1:$BH$1,1,MATCH(2,1/(AW681:BH681&lt;&gt;""))),"")</f>
        <v>46113</v>
      </c>
      <c r="BO681" s="53">
        <f ca="1">IFERROR(_xlfn.XLOOKUP(F681,Apuração!A:A,Apuração!C:C)/_xlfn.XLOOKUP(F681,Apuração!A:A,Apuração!B:B),0)</f>
        <v>0.41666666666666669</v>
      </c>
      <c r="BP681" s="53">
        <f ca="1">IFERROR(_xlfn.XLOOKUP(F681,Apuração!A:A,Apuração!D:D)/_xlfn.XLOOKUP(F681,Apuração!A:A,Apuração!B:B),0)</f>
        <v>0.33333333333333331</v>
      </c>
      <c r="BQ681" s="53">
        <f ca="1">IF(BK681&gt;=BO681,0,_xlfn.XLOOKUP(F681,Apuração!A:A,Apuração!B:B)*(BO681 + (1/_xlfn.XLOOKUP(F681,Apuração!A:A,Apuração!B:B)) - BK681))</f>
        <v>0</v>
      </c>
      <c r="BR681" s="85">
        <f t="shared" ca="1" si="988"/>
        <v>0</v>
      </c>
      <c r="BS681" s="53">
        <f ca="1">IFERROR((_xlfn.XLOOKUP(F681,Apuração!A:A,Apuração!C:C)+1)/_xlfn.XLOOKUP(F681,Apuração!A:A,Apuração!B:B),0)</f>
        <v>0.5</v>
      </c>
    </row>
    <row r="682" spans="1:71" ht="25.95" hidden="1" customHeight="1" x14ac:dyDescent="0.3">
      <c r="A682" s="42" t="s">
        <v>134</v>
      </c>
      <c r="B682" s="4" t="s">
        <v>135</v>
      </c>
      <c r="C682" s="5" t="s">
        <v>97</v>
      </c>
      <c r="D682" s="5" t="s">
        <v>107</v>
      </c>
      <c r="E682" s="4" t="str" cm="1">
        <f t="array" ref="E682">_xlfn.IFS(
F682 = "A partir de Abril", "Aguardando Execução na Distribuidora",
A682 = "CAPACITAÇÃO", "Em execução no Corporativo",
TRUE, "Em Execução na Distribuidora"
)</f>
        <v>Em Execução na Distribuidora</v>
      </c>
      <c r="F682" s="4" t="str" cm="1">
        <f t="array" ref="F682">_xlfn.IFS(
AG682 &lt;&gt; "", "Jan-Dez/26",
AH682 &lt;&gt; "", "Fev-Dez/26",
AI682 &lt;&gt; "", "Mar-Dez/26", AJ682 &lt;&gt; "", "Abr-Dez/26",
TRUE, "A partir de Junho"
)</f>
        <v>Jan-Dez/26</v>
      </c>
      <c r="G682" s="4" t="s">
        <v>37</v>
      </c>
      <c r="H682" s="7" t="s">
        <v>38</v>
      </c>
      <c r="I682" s="8" t="s">
        <v>139</v>
      </c>
      <c r="J682" s="8" t="str" cm="1">
        <f t="array" aca="1" ref="J682" ca="1">_xlfn.LET(
  _xlpm.actual_value_month, INDEX(T682:AE682, MATCH(DATE(YEAR(TODAY()), MONTH(TODAY()), 1), $T$1:$AE$1, 0)),
  IF(_xlpm.actual_value_month &lt;&gt; "",_xlpm.actual_value_month &amp; " ações mensais", "")
)</f>
        <v/>
      </c>
      <c r="K682" s="8" t="str" cm="1">
        <f t="array" ref="K682">_xlfn.LET(
    _xlpm.sum_month, SUM(T682:AE682),
    IF(_xlpm.sum_month = 0, "", _xlpm.sum_month &amp; " mensagens a serem enviadas no ano")
)</f>
        <v/>
      </c>
      <c r="L682" s="4" t="s">
        <v>140</v>
      </c>
      <c r="M682" s="24">
        <v>1</v>
      </c>
      <c r="N682" s="5" t="s">
        <v>51</v>
      </c>
      <c r="O682" s="5" t="s">
        <v>52</v>
      </c>
      <c r="P682" s="10" t="s">
        <v>44</v>
      </c>
      <c r="Q682" s="10" t="s">
        <v>44</v>
      </c>
      <c r="R682" s="11" t="s">
        <v>44</v>
      </c>
      <c r="S682" s="11" t="s">
        <v>44</v>
      </c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G682" s="146">
        <v>957</v>
      </c>
      <c r="AH682" s="146">
        <v>920</v>
      </c>
      <c r="AI682" s="146">
        <v>640</v>
      </c>
      <c r="AJ682" s="146">
        <v>518</v>
      </c>
      <c r="AK682" s="71">
        <v>301</v>
      </c>
      <c r="AL682" s="71"/>
      <c r="AM682" s="71"/>
      <c r="AN682" s="71"/>
      <c r="AO682" s="71"/>
      <c r="AP682" s="71"/>
      <c r="AQ682" s="71"/>
      <c r="AR682" s="71"/>
      <c r="AS682" s="94">
        <f t="shared" ca="1" si="980"/>
        <v>0</v>
      </c>
      <c r="AT682" s="95">
        <f t="shared" si="981"/>
        <v>3336</v>
      </c>
      <c r="AU682" s="97">
        <f t="shared" si="982"/>
        <v>3336</v>
      </c>
      <c r="AW682" s="83">
        <f t="shared" si="983"/>
        <v>957</v>
      </c>
      <c r="AX682" s="83">
        <f t="shared" si="984"/>
        <v>920</v>
      </c>
      <c r="AY682" s="83">
        <f t="shared" si="985"/>
        <v>640</v>
      </c>
      <c r="AZ682" s="83">
        <f t="shared" si="986"/>
        <v>518</v>
      </c>
      <c r="BA682" s="52"/>
      <c r="BB682" s="52"/>
      <c r="BC682" s="52"/>
      <c r="BD682" s="52"/>
      <c r="BE682" s="52"/>
      <c r="BF682" s="52"/>
      <c r="BG682" s="52"/>
      <c r="BH682" s="52"/>
      <c r="BI682" s="68" cm="1">
        <f t="array" ref="BI682">IFERROR(INDEX(AW682:BH682,1,MATCH(2,1/(AW682:BH682&lt;&gt;""))),"")</f>
        <v>518</v>
      </c>
      <c r="BJ682" s="68" cm="1">
        <f t="array" ref="BJ682">IF(BM682 = "", "",IFERROR(INDEX(AW682:BH682,1,MATCH(2,1/(AW682:BH682&lt;&gt;""),1)-1),""))</f>
        <v>640</v>
      </c>
      <c r="BK682" s="59">
        <f t="shared" si="987"/>
        <v>3035</v>
      </c>
      <c r="BL682" s="59" cm="1">
        <f t="array" ref="BL682">IFERROR(SUM(AW682:INDEX(AW682:BH682, MATCH(2, 1/(AW682:BH682&lt;&gt;""), 1) - 1))/_xlfn.XLOOKUP(F682,Apuração!A:A,Apuração!B:B),0)</f>
        <v>209.75</v>
      </c>
      <c r="BM682" s="55" cm="1">
        <f t="array" ref="BM682">IFERROR(
   INDEX($AW$1:$BH$1,
      _xlfn.AGGREGATE(14, 6, COLUMN($AW$1:$BH$1)/(AW682:BH682&lt;&gt;""), 2) - COLUMN($AW$1) + 1
   ),
"")</f>
        <v>46082</v>
      </c>
      <c r="BN682" s="55" cm="1">
        <f t="array" ref="BN682">IFERROR(INDEX($AW$1:$BH$1,1,MATCH(2,1/(AW682:BH682&lt;&gt;""))),"")</f>
        <v>46113</v>
      </c>
      <c r="BO682" s="53">
        <f ca="1">IFERROR(_xlfn.XLOOKUP(F682,Apuração!A:A,Apuração!C:C)/_xlfn.XLOOKUP(F682,Apuração!A:A,Apuração!B:B),0)</f>
        <v>0.41666666666666669</v>
      </c>
      <c r="BP682" s="53">
        <f ca="1">IFERROR(_xlfn.XLOOKUP(F682,Apuração!A:A,Apuração!D:D)/_xlfn.XLOOKUP(F682,Apuração!A:A,Apuração!B:B),0)</f>
        <v>0.33333333333333331</v>
      </c>
      <c r="BQ682" s="53">
        <f ca="1">IF(BK682&gt;=BO682,0,_xlfn.XLOOKUP(F682,Apuração!A:A,Apuração!B:B)*(BO682 + (1/_xlfn.XLOOKUP(F682,Apuração!A:A,Apuração!B:B)) - BK682))</f>
        <v>0</v>
      </c>
      <c r="BR682" s="85">
        <f t="shared" ca="1" si="988"/>
        <v>0</v>
      </c>
      <c r="BS682" s="53">
        <f ca="1">IFERROR((_xlfn.XLOOKUP(F682,Apuração!A:A,Apuração!C:C)+1)/_xlfn.XLOOKUP(F682,Apuração!A:A,Apuração!B:B),0)</f>
        <v>0.5</v>
      </c>
    </row>
    <row r="683" spans="1:71" ht="25.95" customHeight="1" x14ac:dyDescent="0.3">
      <c r="A683" s="42" t="s">
        <v>134</v>
      </c>
      <c r="B683" s="4" t="s">
        <v>135</v>
      </c>
      <c r="C683" s="5" t="s">
        <v>97</v>
      </c>
      <c r="D683" s="5" t="s">
        <v>36</v>
      </c>
      <c r="E683" s="4" t="str" cm="1">
        <f t="array" ref="E683">_xlfn.IFS(
F683 = "A partir de Abril", "Aguardando Execução na Distribuidora",
A683 = "CAPACITAÇÃO", "Em execução no Corporativo",
TRUE, "Em Execução na Distribuidora"
)</f>
        <v>Em Execução na Distribuidora</v>
      </c>
      <c r="F683" s="4" t="str" cm="1">
        <f t="array" ref="F683">_xlfn.IFS(
AG683 &lt;&gt; "", "Jan-Dez/26",
AH683 &lt;&gt; "", "Fev-Dez/26",
AI683 &lt;&gt; "", "Mar-Dez/26", AJ683 &lt;&gt; "", "Abr-Dez/26",
TRUE, "A partir de Junho"
)</f>
        <v>Jan-Dez/26</v>
      </c>
      <c r="G683" s="4" t="s">
        <v>37</v>
      </c>
      <c r="H683" s="7" t="s">
        <v>38</v>
      </c>
      <c r="I683" s="9" t="s">
        <v>76</v>
      </c>
      <c r="J683" s="8" t="str" cm="1">
        <f t="array" aca="1" ref="J683" ca="1">_xlfn.LET(
  _xlpm.actual_value_month, INDEX(T683:AE683, MATCH(DATE(YEAR(TODAY()), MONTH(TODAY()), 1), $T$1:$AE$1, 0)),
  IF(_xlpm.actual_value_month &lt;&gt; "",_xlpm.actual_value_month &amp; " ações mensais", "")
)</f>
        <v>602 ações mensais</v>
      </c>
      <c r="K683" s="8" t="str" cm="1">
        <f t="array" ref="K683">_xlfn.LET(
    _xlpm.sum_month, SUM(T683:AE683),
    IF(_xlpm.sum_month = 0, "", _xlpm.sum_month &amp; " alcançadas no ano")
)</f>
        <v>14814 alcançadas no ano</v>
      </c>
      <c r="L683" s="9" t="s">
        <v>141</v>
      </c>
      <c r="M683" s="24">
        <v>1</v>
      </c>
      <c r="N683" s="5" t="s">
        <v>51</v>
      </c>
      <c r="O683" s="5" t="s">
        <v>52</v>
      </c>
      <c r="P683" s="10" t="s">
        <v>44</v>
      </c>
      <c r="Q683" s="10" t="s">
        <v>44</v>
      </c>
      <c r="R683" s="10" t="s">
        <v>44</v>
      </c>
      <c r="S683" s="10" t="s">
        <v>44</v>
      </c>
      <c r="T683" s="22">
        <v>3715</v>
      </c>
      <c r="U683" s="22">
        <v>2905</v>
      </c>
      <c r="V683" s="22">
        <v>2776</v>
      </c>
      <c r="W683" s="22">
        <v>602</v>
      </c>
      <c r="X683" s="22">
        <v>602</v>
      </c>
      <c r="Y683" s="22">
        <v>602</v>
      </c>
      <c r="Z683" s="22">
        <v>602</v>
      </c>
      <c r="AA683" s="22">
        <v>602</v>
      </c>
      <c r="AB683" s="22">
        <v>602</v>
      </c>
      <c r="AC683" s="22">
        <v>602</v>
      </c>
      <c r="AD683" s="22">
        <v>602</v>
      </c>
      <c r="AE683" s="22">
        <v>602</v>
      </c>
      <c r="AG683" s="71">
        <v>3715</v>
      </c>
      <c r="AH683" s="71">
        <v>2905</v>
      </c>
      <c r="AI683" s="71">
        <v>2776</v>
      </c>
      <c r="AJ683" s="71">
        <v>2163</v>
      </c>
      <c r="AK683" s="71">
        <v>1617</v>
      </c>
      <c r="AL683" s="71"/>
      <c r="AM683" s="71"/>
      <c r="AN683" s="71"/>
      <c r="AO683" s="71"/>
      <c r="AP683" s="71"/>
      <c r="AQ683" s="71"/>
      <c r="AR683" s="71"/>
      <c r="AS683" s="94">
        <f t="shared" ca="1" si="966"/>
        <v>10600</v>
      </c>
      <c r="AT683" s="95">
        <f>SUM(AG683:AR683)</f>
        <v>13176</v>
      </c>
      <c r="AU683" s="97">
        <f t="shared" si="967"/>
        <v>13176</v>
      </c>
      <c r="AW683" s="83">
        <f>AG683</f>
        <v>3715</v>
      </c>
      <c r="AX683" s="83">
        <f t="shared" si="977"/>
        <v>2905</v>
      </c>
      <c r="AY683" s="83">
        <f t="shared" si="978"/>
        <v>2776</v>
      </c>
      <c r="AZ683" s="83">
        <f t="shared" si="979"/>
        <v>2163</v>
      </c>
      <c r="BA683" s="52"/>
      <c r="BB683" s="52"/>
      <c r="BC683" s="52"/>
      <c r="BD683" s="52"/>
      <c r="BE683" s="52"/>
      <c r="BF683" s="52"/>
      <c r="BG683" s="52"/>
      <c r="BH683" s="52"/>
      <c r="BI683" s="68" cm="1">
        <f t="array" ref="BI683">IFERROR(INDEX(AW683:BH683,1,MATCH(2,1/(AW683:BH683&lt;&gt;""))),"")</f>
        <v>2163</v>
      </c>
      <c r="BJ683" s="68" cm="1">
        <f t="array" ref="BJ683">IF(BM683 = "", "",IFERROR(INDEX(AW683:BH683,1,MATCH(2,1/(AW683:BH683&lt;&gt;""),1)-1),""))</f>
        <v>2776</v>
      </c>
      <c r="BK683" s="59">
        <f>SUM(AW683:BH683)</f>
        <v>11559</v>
      </c>
      <c r="BL683" s="59" cm="1">
        <f t="array" ref="BL683">IFERROR(SUM(AW683:INDEX(AW683:BH683, MATCH(2, 1/(AW683:BH683&lt;&gt;""), 1) - 1))/_xlfn.XLOOKUP(F683,Apuração!A:A,Apuração!B:B),0)</f>
        <v>783</v>
      </c>
      <c r="BM683" s="55" cm="1">
        <f t="array" ref="BM683">IFERROR(
   INDEX($AW$1:$BH$1,
      _xlfn.AGGREGATE(14, 6, COLUMN($AW$1:$BH$1)/(AW683:BH683&lt;&gt;""), 2) - COLUMN($AW$1) + 1
   ),
"")</f>
        <v>46082</v>
      </c>
      <c r="BN683" s="55" cm="1">
        <f t="array" ref="BN683">IFERROR(INDEX($AW$1:$BH$1,1,MATCH(2,1/(AW683:BH683&lt;&gt;""))),"")</f>
        <v>46113</v>
      </c>
      <c r="BO683" s="53">
        <f ca="1">IFERROR(_xlfn.XLOOKUP(F683,Apuração!A:A,Apuração!C:C)/_xlfn.XLOOKUP(F683,Apuração!A:A,Apuração!B:B),0)</f>
        <v>0.41666666666666669</v>
      </c>
      <c r="BP683" s="53">
        <f ca="1">IFERROR(_xlfn.XLOOKUP(F683,Apuração!A:A,Apuração!D:D)/_xlfn.XLOOKUP(F683,Apuração!A:A,Apuração!B:B),0)</f>
        <v>0.33333333333333331</v>
      </c>
      <c r="BQ683" s="53">
        <f ca="1">IF(BK683&gt;=BO683,0,_xlfn.XLOOKUP(F683,Apuração!A:A,Apuração!B:B)*(BO683 + (1/_xlfn.XLOOKUP(F683,Apuração!A:A,Apuração!B:B)) - BK683))</f>
        <v>0</v>
      </c>
      <c r="BR683" s="85">
        <f t="shared" ca="1" si="898"/>
        <v>0</v>
      </c>
      <c r="BS683" s="53">
        <f ca="1">IFERROR((_xlfn.XLOOKUP(F683,Apuração!A:A,Apuração!C:C)+1)/_xlfn.XLOOKUP(F683,Apuração!A:A,Apuração!B:B),0)</f>
        <v>0.5</v>
      </c>
    </row>
    <row r="684" spans="1:71" ht="25.95" hidden="1" customHeight="1" x14ac:dyDescent="0.3">
      <c r="A684" s="42" t="s">
        <v>134</v>
      </c>
      <c r="B684" s="4" t="s">
        <v>135</v>
      </c>
      <c r="C684" s="5" t="s">
        <v>97</v>
      </c>
      <c r="D684" s="5" t="s">
        <v>98</v>
      </c>
      <c r="E684" s="4" t="str" cm="1">
        <f t="array" ref="E684">_xlfn.IFS(
F684 = "A partir de Abril", "Aguardando Execução na Distribuidora",
A684 = "CAPACITAÇÃO", "Em execução no Corporativo",
TRUE, "Em Execução na Distribuidora"
)</f>
        <v>Em Execução na Distribuidora</v>
      </c>
      <c r="F684" s="4" t="str" cm="1">
        <f t="array" ref="F684">_xlfn.IFS(
AG684 &lt;&gt; "", "Jan-Dez/26",
AH684 &lt;&gt; "", "Fev-Dez/26",
AI684 &lt;&gt; "", "Mar-Dez/26", AJ684 &lt;&gt; "", "Abr-Dez/26",
TRUE, "A partir de Junho"
)</f>
        <v>Jan-Dez/26</v>
      </c>
      <c r="G684" s="4" t="s">
        <v>37</v>
      </c>
      <c r="H684" s="7" t="s">
        <v>38</v>
      </c>
      <c r="I684" s="9" t="s">
        <v>76</v>
      </c>
      <c r="J684" s="8" t="str" cm="1">
        <f t="array" aca="1" ref="J684" ca="1">_xlfn.LET(
  _xlpm.actual_value_month, INDEX(T684:AE684, MATCH(DATE(YEAR(TODAY()), MONTH(TODAY()), 1), $T$1:$AE$1, 0)),
  IF(_xlpm.actual_value_month &lt;&gt; "",_xlpm.actual_value_month &amp; " ações mensais", "")
)</f>
        <v/>
      </c>
      <c r="K684" s="8" t="str" cm="1">
        <f t="array" ref="K684">_xlfn.LET(
    _xlpm.sum_month, SUM(T684:AE684),
    IF(_xlpm.sum_month = 0, "", _xlpm.sum_month &amp; " alcançadas no ano")
)</f>
        <v/>
      </c>
      <c r="L684" s="9" t="s">
        <v>141</v>
      </c>
      <c r="M684" s="24">
        <v>1</v>
      </c>
      <c r="N684" s="5" t="s">
        <v>51</v>
      </c>
      <c r="O684" s="5" t="s">
        <v>52</v>
      </c>
      <c r="P684" s="10" t="s">
        <v>44</v>
      </c>
      <c r="Q684" s="10" t="s">
        <v>44</v>
      </c>
      <c r="R684" s="10" t="s">
        <v>44</v>
      </c>
      <c r="S684" s="10" t="s">
        <v>44</v>
      </c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G684" s="145">
        <v>252</v>
      </c>
      <c r="AH684" s="145">
        <v>172</v>
      </c>
      <c r="AI684" s="145">
        <v>200</v>
      </c>
      <c r="AJ684" s="145">
        <v>155</v>
      </c>
      <c r="AK684" s="71">
        <v>139</v>
      </c>
      <c r="AL684" s="71"/>
      <c r="AM684" s="71"/>
      <c r="AN684" s="71"/>
      <c r="AO684" s="71"/>
      <c r="AP684" s="71"/>
      <c r="AQ684" s="71"/>
      <c r="AR684" s="71"/>
      <c r="AS684" s="94">
        <f t="shared" ref="AS684:AS693" ca="1" si="989">IF(MONTH(TODAY())=3,SUM(T684:U684),IF(MONTH(TODAY())=4,SUM(T684:V684),IF(MONTH(TODAY())=5,SUM(T684:W684),IF(MONTH(TODAY())=6,SUM(T684:X684),IF(MONTH(TODAY())=7,SUM(T684:Y684),IF(MONTH(TODAY())=8,SUM(T684:Z684),IF(MONTH(TODAY())=9,SUM(T684:AA684),IF(MONTH(TODAY())=10,SUM(T684:AB684),IF(MONTH(TODAY())=11,SUM(T684:AC684),IF(MONTH(TODAY())=12,SUM(T684:AD684),IF(MONTH(TODAY())=1,SUM(T684:AE684),T684)))))))))))</f>
        <v>0</v>
      </c>
      <c r="AT684" s="95">
        <f t="shared" ref="AT684:AT693" si="990">SUM(AG684:AR684)</f>
        <v>918</v>
      </c>
      <c r="AU684" s="97">
        <f t="shared" ref="AU684:AU693" si="991">SUM(AG684:AR684)</f>
        <v>918</v>
      </c>
      <c r="AW684" s="83">
        <f t="shared" ref="AW684:AW693" si="992">AG684</f>
        <v>252</v>
      </c>
      <c r="AX684" s="83">
        <f t="shared" ref="AX684:AX693" si="993">AH684</f>
        <v>172</v>
      </c>
      <c r="AY684" s="83">
        <f t="shared" ref="AY684:AY693" si="994">AI684</f>
        <v>200</v>
      </c>
      <c r="AZ684" s="83">
        <f t="shared" ref="AZ684:AZ693" si="995">AJ684</f>
        <v>155</v>
      </c>
      <c r="BA684" s="52"/>
      <c r="BB684" s="52"/>
      <c r="BC684" s="52"/>
      <c r="BD684" s="52"/>
      <c r="BE684" s="52"/>
      <c r="BF684" s="52"/>
      <c r="BG684" s="52"/>
      <c r="BH684" s="52"/>
      <c r="BI684" s="68" cm="1">
        <f t="array" ref="BI684">IFERROR(INDEX(AW684:BH684,1,MATCH(2,1/(AW684:BH684&lt;&gt;""))),"")</f>
        <v>155</v>
      </c>
      <c r="BJ684" s="68" cm="1">
        <f t="array" ref="BJ684">IF(BM684 = "", "",IFERROR(INDEX(AW684:BH684,1,MATCH(2,1/(AW684:BH684&lt;&gt;""),1)-1),""))</f>
        <v>200</v>
      </c>
      <c r="BK684" s="59">
        <f t="shared" ref="BK684:BK693" si="996">SUM(AW684:BH684)</f>
        <v>779</v>
      </c>
      <c r="BL684" s="59" cm="1">
        <f t="array" ref="BL684">IFERROR(SUM(AW684:INDEX(AW684:BH684, MATCH(2, 1/(AW684:BH684&lt;&gt;""), 1) - 1))/_xlfn.XLOOKUP(F684,Apuração!A:A,Apuração!B:B),0)</f>
        <v>52</v>
      </c>
      <c r="BM684" s="55" cm="1">
        <f t="array" ref="BM684">IFERROR(
   INDEX($AW$1:$BH$1,
      _xlfn.AGGREGATE(14, 6, COLUMN($AW$1:$BH$1)/(AW684:BH684&lt;&gt;""), 2) - COLUMN($AW$1) + 1
   ),
"")</f>
        <v>46082</v>
      </c>
      <c r="BN684" s="55" cm="1">
        <f t="array" ref="BN684">IFERROR(INDEX($AW$1:$BH$1,1,MATCH(2,1/(AW684:BH684&lt;&gt;""))),"")</f>
        <v>46113</v>
      </c>
      <c r="BO684" s="53">
        <f ca="1">IFERROR(_xlfn.XLOOKUP(F684,Apuração!A:A,Apuração!C:C)/_xlfn.XLOOKUP(F684,Apuração!A:A,Apuração!B:B),0)</f>
        <v>0.41666666666666669</v>
      </c>
      <c r="BP684" s="53">
        <f ca="1">IFERROR(_xlfn.XLOOKUP(F684,Apuração!A:A,Apuração!D:D)/_xlfn.XLOOKUP(F684,Apuração!A:A,Apuração!B:B),0)</f>
        <v>0.33333333333333331</v>
      </c>
      <c r="BQ684" s="53">
        <f ca="1">IF(BK684&gt;=BO684,0,_xlfn.XLOOKUP(F684,Apuração!A:A,Apuração!B:B)*(BO684 + (1/_xlfn.XLOOKUP(F684,Apuração!A:A,Apuração!B:B)) - BK684))</f>
        <v>0</v>
      </c>
      <c r="BR684" s="85">
        <f t="shared" ref="BR684:BR693" ca="1" si="997">IF(BQ684=0,0,BQ684*Z684)</f>
        <v>0</v>
      </c>
      <c r="BS684" s="53">
        <f ca="1">IFERROR((_xlfn.XLOOKUP(F684,Apuração!A:A,Apuração!C:C)+1)/_xlfn.XLOOKUP(F684,Apuração!A:A,Apuração!B:B),0)</f>
        <v>0.5</v>
      </c>
    </row>
    <row r="685" spans="1:71" ht="25.95" hidden="1" customHeight="1" x14ac:dyDescent="0.3">
      <c r="A685" s="42" t="s">
        <v>134</v>
      </c>
      <c r="B685" s="4" t="s">
        <v>135</v>
      </c>
      <c r="C685" s="5" t="s">
        <v>97</v>
      </c>
      <c r="D685" s="5" t="s">
        <v>99</v>
      </c>
      <c r="E685" s="4" t="str" cm="1">
        <f t="array" ref="E685">_xlfn.IFS(
F685 = "A partir de Abril", "Aguardando Execução na Distribuidora",
A685 = "CAPACITAÇÃO", "Em execução no Corporativo",
TRUE, "Em Execução na Distribuidora"
)</f>
        <v>Em Execução na Distribuidora</v>
      </c>
      <c r="F685" s="4" t="str" cm="1">
        <f t="array" ref="F685">_xlfn.IFS(
AG685 &lt;&gt; "", "Jan-Dez/26",
AH685 &lt;&gt; "", "Fev-Dez/26",
AI685 &lt;&gt; "", "Mar-Dez/26", AJ685 &lt;&gt; "", "Abr-Dez/26",
TRUE, "A partir de Junho"
)</f>
        <v>Jan-Dez/26</v>
      </c>
      <c r="G685" s="4" t="s">
        <v>37</v>
      </c>
      <c r="H685" s="7" t="s">
        <v>38</v>
      </c>
      <c r="I685" s="9" t="s">
        <v>76</v>
      </c>
      <c r="J685" s="8" t="str" cm="1">
        <f t="array" aca="1" ref="J685" ca="1">_xlfn.LET(
  _xlpm.actual_value_month, INDEX(T685:AE685, MATCH(DATE(YEAR(TODAY()), MONTH(TODAY()), 1), $T$1:$AE$1, 0)),
  IF(_xlpm.actual_value_month &lt;&gt; "",_xlpm.actual_value_month &amp; " ações mensais", "")
)</f>
        <v/>
      </c>
      <c r="K685" s="8" t="str" cm="1">
        <f t="array" ref="K685">_xlfn.LET(
    _xlpm.sum_month, SUM(T685:AE685),
    IF(_xlpm.sum_month = 0, "", _xlpm.sum_month &amp; " alcançadas no ano")
)</f>
        <v/>
      </c>
      <c r="L685" s="9" t="s">
        <v>141</v>
      </c>
      <c r="M685" s="24">
        <v>1</v>
      </c>
      <c r="N685" s="5" t="s">
        <v>51</v>
      </c>
      <c r="O685" s="5" t="s">
        <v>52</v>
      </c>
      <c r="P685" s="10" t="s">
        <v>44</v>
      </c>
      <c r="Q685" s="10" t="s">
        <v>44</v>
      </c>
      <c r="R685" s="10" t="s">
        <v>44</v>
      </c>
      <c r="S685" s="10" t="s">
        <v>44</v>
      </c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G685" s="146">
        <v>238</v>
      </c>
      <c r="AH685" s="146">
        <v>165</v>
      </c>
      <c r="AI685" s="146">
        <v>225</v>
      </c>
      <c r="AJ685" s="146">
        <v>106</v>
      </c>
      <c r="AK685" s="71">
        <v>95</v>
      </c>
      <c r="AL685" s="71"/>
      <c r="AM685" s="71"/>
      <c r="AN685" s="71"/>
      <c r="AO685" s="71"/>
      <c r="AP685" s="71"/>
      <c r="AQ685" s="71"/>
      <c r="AR685" s="71"/>
      <c r="AS685" s="94">
        <f t="shared" ca="1" si="989"/>
        <v>0</v>
      </c>
      <c r="AT685" s="95">
        <f t="shared" si="990"/>
        <v>829</v>
      </c>
      <c r="AU685" s="97">
        <f t="shared" si="991"/>
        <v>829</v>
      </c>
      <c r="AW685" s="83">
        <f t="shared" si="992"/>
        <v>238</v>
      </c>
      <c r="AX685" s="83">
        <f t="shared" si="993"/>
        <v>165</v>
      </c>
      <c r="AY685" s="83">
        <f t="shared" si="994"/>
        <v>225</v>
      </c>
      <c r="AZ685" s="83">
        <f t="shared" si="995"/>
        <v>106</v>
      </c>
      <c r="BA685" s="52"/>
      <c r="BB685" s="52"/>
      <c r="BC685" s="52"/>
      <c r="BD685" s="52"/>
      <c r="BE685" s="52"/>
      <c r="BF685" s="52"/>
      <c r="BG685" s="52"/>
      <c r="BH685" s="52"/>
      <c r="BI685" s="68" cm="1">
        <f t="array" ref="BI685">IFERROR(INDEX(AW685:BH685,1,MATCH(2,1/(AW685:BH685&lt;&gt;""))),"")</f>
        <v>106</v>
      </c>
      <c r="BJ685" s="68" cm="1">
        <f t="array" ref="BJ685">IF(BM685 = "", "",IFERROR(INDEX(AW685:BH685,1,MATCH(2,1/(AW685:BH685&lt;&gt;""),1)-1),""))</f>
        <v>225</v>
      </c>
      <c r="BK685" s="59">
        <f t="shared" si="996"/>
        <v>734</v>
      </c>
      <c r="BL685" s="59" cm="1">
        <f t="array" ref="BL685">IFERROR(SUM(AW685:INDEX(AW685:BH685, MATCH(2, 1/(AW685:BH685&lt;&gt;""), 1) - 1))/_xlfn.XLOOKUP(F685,Apuração!A:A,Apuração!B:B),0)</f>
        <v>52.333333333333336</v>
      </c>
      <c r="BM685" s="55" cm="1">
        <f t="array" ref="BM685">IFERROR(
   INDEX($AW$1:$BH$1,
      _xlfn.AGGREGATE(14, 6, COLUMN($AW$1:$BH$1)/(AW685:BH685&lt;&gt;""), 2) - COLUMN($AW$1) + 1
   ),
"")</f>
        <v>46082</v>
      </c>
      <c r="BN685" s="55" cm="1">
        <f t="array" ref="BN685">IFERROR(INDEX($AW$1:$BH$1,1,MATCH(2,1/(AW685:BH685&lt;&gt;""))),"")</f>
        <v>46113</v>
      </c>
      <c r="BO685" s="53">
        <f ca="1">IFERROR(_xlfn.XLOOKUP(F685,Apuração!A:A,Apuração!C:C)/_xlfn.XLOOKUP(F685,Apuração!A:A,Apuração!B:B),0)</f>
        <v>0.41666666666666669</v>
      </c>
      <c r="BP685" s="53">
        <f ca="1">IFERROR(_xlfn.XLOOKUP(F685,Apuração!A:A,Apuração!D:D)/_xlfn.XLOOKUP(F685,Apuração!A:A,Apuração!B:B),0)</f>
        <v>0.33333333333333331</v>
      </c>
      <c r="BQ685" s="53">
        <f ca="1">IF(BK685&gt;=BO685,0,_xlfn.XLOOKUP(F685,Apuração!A:A,Apuração!B:B)*(BO685 + (1/_xlfn.XLOOKUP(F685,Apuração!A:A,Apuração!B:B)) - BK685))</f>
        <v>0</v>
      </c>
      <c r="BR685" s="85">
        <f t="shared" ca="1" si="997"/>
        <v>0</v>
      </c>
      <c r="BS685" s="53">
        <f ca="1">IFERROR((_xlfn.XLOOKUP(F685,Apuração!A:A,Apuração!C:C)+1)/_xlfn.XLOOKUP(F685,Apuração!A:A,Apuração!B:B),0)</f>
        <v>0.5</v>
      </c>
    </row>
    <row r="686" spans="1:71" ht="25.95" hidden="1" customHeight="1" x14ac:dyDescent="0.3">
      <c r="A686" s="42" t="s">
        <v>134</v>
      </c>
      <c r="B686" s="4" t="s">
        <v>135</v>
      </c>
      <c r="C686" s="5" t="s">
        <v>97</v>
      </c>
      <c r="D686" s="5" t="s">
        <v>100</v>
      </c>
      <c r="E686" s="4" t="str" cm="1">
        <f t="array" ref="E686">_xlfn.IFS(
F686 = "A partir de Abril", "Aguardando Execução na Distribuidora",
A686 = "CAPACITAÇÃO", "Em execução no Corporativo",
TRUE, "Em Execução na Distribuidora"
)</f>
        <v>Em Execução na Distribuidora</v>
      </c>
      <c r="F686" s="4" t="str" cm="1">
        <f t="array" ref="F686">_xlfn.IFS(
AG686 &lt;&gt; "", "Jan-Dez/26",
AH686 &lt;&gt; "", "Fev-Dez/26",
AI686 &lt;&gt; "", "Mar-Dez/26", AJ686 &lt;&gt; "", "Abr-Dez/26",
TRUE, "A partir de Junho"
)</f>
        <v>Jan-Dez/26</v>
      </c>
      <c r="G686" s="4" t="s">
        <v>37</v>
      </c>
      <c r="H686" s="7" t="s">
        <v>38</v>
      </c>
      <c r="I686" s="9" t="s">
        <v>76</v>
      </c>
      <c r="J686" s="8" t="str" cm="1">
        <f t="array" aca="1" ref="J686" ca="1">_xlfn.LET(
  _xlpm.actual_value_month, INDEX(T686:AE686, MATCH(DATE(YEAR(TODAY()), MONTH(TODAY()), 1), $T$1:$AE$1, 0)),
  IF(_xlpm.actual_value_month &lt;&gt; "",_xlpm.actual_value_month &amp; " ações mensais", "")
)</f>
        <v/>
      </c>
      <c r="K686" s="8" t="str" cm="1">
        <f t="array" ref="K686">_xlfn.LET(
    _xlpm.sum_month, SUM(T686:AE686),
    IF(_xlpm.sum_month = 0, "", _xlpm.sum_month &amp; " alcançadas no ano")
)</f>
        <v/>
      </c>
      <c r="L686" s="9" t="s">
        <v>141</v>
      </c>
      <c r="M686" s="24">
        <v>1</v>
      </c>
      <c r="N686" s="5" t="s">
        <v>51</v>
      </c>
      <c r="O686" s="5" t="s">
        <v>52</v>
      </c>
      <c r="P686" s="10" t="s">
        <v>44</v>
      </c>
      <c r="Q686" s="10" t="s">
        <v>44</v>
      </c>
      <c r="R686" s="10" t="s">
        <v>44</v>
      </c>
      <c r="S686" s="10" t="s">
        <v>44</v>
      </c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G686" s="146">
        <v>189</v>
      </c>
      <c r="AH686" s="146">
        <v>119</v>
      </c>
      <c r="AI686" s="146">
        <v>158</v>
      </c>
      <c r="AJ686" s="146">
        <v>162</v>
      </c>
      <c r="AK686" s="71">
        <v>116</v>
      </c>
      <c r="AL686" s="71"/>
      <c r="AM686" s="71"/>
      <c r="AN686" s="71"/>
      <c r="AO686" s="71"/>
      <c r="AP686" s="71"/>
      <c r="AQ686" s="71"/>
      <c r="AR686" s="71"/>
      <c r="AS686" s="94">
        <f t="shared" ca="1" si="989"/>
        <v>0</v>
      </c>
      <c r="AT686" s="95">
        <f t="shared" si="990"/>
        <v>744</v>
      </c>
      <c r="AU686" s="97">
        <f t="shared" si="991"/>
        <v>744</v>
      </c>
      <c r="AW686" s="83">
        <f t="shared" si="992"/>
        <v>189</v>
      </c>
      <c r="AX686" s="83">
        <f t="shared" si="993"/>
        <v>119</v>
      </c>
      <c r="AY686" s="83">
        <f t="shared" si="994"/>
        <v>158</v>
      </c>
      <c r="AZ686" s="83">
        <f t="shared" si="995"/>
        <v>162</v>
      </c>
      <c r="BA686" s="52"/>
      <c r="BB686" s="52"/>
      <c r="BC686" s="52"/>
      <c r="BD686" s="52"/>
      <c r="BE686" s="52"/>
      <c r="BF686" s="52"/>
      <c r="BG686" s="52"/>
      <c r="BH686" s="52"/>
      <c r="BI686" s="68" cm="1">
        <f t="array" ref="BI686">IFERROR(INDEX(AW686:BH686,1,MATCH(2,1/(AW686:BH686&lt;&gt;""))),"")</f>
        <v>162</v>
      </c>
      <c r="BJ686" s="68" cm="1">
        <f t="array" ref="BJ686">IF(BM686 = "", "",IFERROR(INDEX(AW686:BH686,1,MATCH(2,1/(AW686:BH686&lt;&gt;""),1)-1),""))</f>
        <v>158</v>
      </c>
      <c r="BK686" s="59">
        <f t="shared" si="996"/>
        <v>628</v>
      </c>
      <c r="BL686" s="59" cm="1">
        <f t="array" ref="BL686">IFERROR(SUM(AW686:INDEX(AW686:BH686, MATCH(2, 1/(AW686:BH686&lt;&gt;""), 1) - 1))/_xlfn.XLOOKUP(F686,Apuração!A:A,Apuração!B:B),0)</f>
        <v>38.833333333333336</v>
      </c>
      <c r="BM686" s="55" cm="1">
        <f t="array" ref="BM686">IFERROR(
   INDEX($AW$1:$BH$1,
      _xlfn.AGGREGATE(14, 6, COLUMN($AW$1:$BH$1)/(AW686:BH686&lt;&gt;""), 2) - COLUMN($AW$1) + 1
   ),
"")</f>
        <v>46082</v>
      </c>
      <c r="BN686" s="55" cm="1">
        <f t="array" ref="BN686">IFERROR(INDEX($AW$1:$BH$1,1,MATCH(2,1/(AW686:BH686&lt;&gt;""))),"")</f>
        <v>46113</v>
      </c>
      <c r="BO686" s="53">
        <f ca="1">IFERROR(_xlfn.XLOOKUP(F686,Apuração!A:A,Apuração!C:C)/_xlfn.XLOOKUP(F686,Apuração!A:A,Apuração!B:B),0)</f>
        <v>0.41666666666666669</v>
      </c>
      <c r="BP686" s="53">
        <f ca="1">IFERROR(_xlfn.XLOOKUP(F686,Apuração!A:A,Apuração!D:D)/_xlfn.XLOOKUP(F686,Apuração!A:A,Apuração!B:B),0)</f>
        <v>0.33333333333333331</v>
      </c>
      <c r="BQ686" s="53">
        <f ca="1">IF(BK686&gt;=BO686,0,_xlfn.XLOOKUP(F686,Apuração!A:A,Apuração!B:B)*(BO686 + (1/_xlfn.XLOOKUP(F686,Apuração!A:A,Apuração!B:B)) - BK686))</f>
        <v>0</v>
      </c>
      <c r="BR686" s="85">
        <f t="shared" ca="1" si="997"/>
        <v>0</v>
      </c>
      <c r="BS686" s="53">
        <f ca="1">IFERROR((_xlfn.XLOOKUP(F686,Apuração!A:A,Apuração!C:C)+1)/_xlfn.XLOOKUP(F686,Apuração!A:A,Apuração!B:B),0)</f>
        <v>0.5</v>
      </c>
    </row>
    <row r="687" spans="1:71" ht="25.95" hidden="1" customHeight="1" x14ac:dyDescent="0.3">
      <c r="A687" s="42" t="s">
        <v>134</v>
      </c>
      <c r="B687" s="4" t="s">
        <v>135</v>
      </c>
      <c r="C687" s="5" t="s">
        <v>97</v>
      </c>
      <c r="D687" s="5" t="s">
        <v>101</v>
      </c>
      <c r="E687" s="4" t="str" cm="1">
        <f t="array" ref="E687">_xlfn.IFS(
F687 = "A partir de Abril", "Aguardando Execução na Distribuidora",
A687 = "CAPACITAÇÃO", "Em execução no Corporativo",
TRUE, "Em Execução na Distribuidora"
)</f>
        <v>Em Execução na Distribuidora</v>
      </c>
      <c r="F687" s="4" t="str" cm="1">
        <f t="array" ref="F687">_xlfn.IFS(
AG687 &lt;&gt; "", "Jan-Dez/26",
AH687 &lt;&gt; "", "Fev-Dez/26",
AI687 &lt;&gt; "", "Mar-Dez/26", AJ687 &lt;&gt; "", "Abr-Dez/26",
TRUE, "A partir de Junho"
)</f>
        <v>Jan-Dez/26</v>
      </c>
      <c r="G687" s="4" t="s">
        <v>37</v>
      </c>
      <c r="H687" s="7" t="s">
        <v>38</v>
      </c>
      <c r="I687" s="9" t="s">
        <v>76</v>
      </c>
      <c r="J687" s="8" t="str" cm="1">
        <f t="array" aca="1" ref="J687" ca="1">_xlfn.LET(
  _xlpm.actual_value_month, INDEX(T687:AE687, MATCH(DATE(YEAR(TODAY()), MONTH(TODAY()), 1), $T$1:$AE$1, 0)),
  IF(_xlpm.actual_value_month &lt;&gt; "",_xlpm.actual_value_month &amp; " ações mensais", "")
)</f>
        <v/>
      </c>
      <c r="K687" s="8" t="str" cm="1">
        <f t="array" ref="K687">_xlfn.LET(
    _xlpm.sum_month, SUM(T687:AE687),
    IF(_xlpm.sum_month = 0, "", _xlpm.sum_month &amp; " alcançadas no ano")
)</f>
        <v/>
      </c>
      <c r="L687" s="9" t="s">
        <v>141</v>
      </c>
      <c r="M687" s="24">
        <v>1</v>
      </c>
      <c r="N687" s="5" t="s">
        <v>51</v>
      </c>
      <c r="O687" s="5" t="s">
        <v>52</v>
      </c>
      <c r="P687" s="10" t="s">
        <v>44</v>
      </c>
      <c r="Q687" s="10" t="s">
        <v>44</v>
      </c>
      <c r="R687" s="10" t="s">
        <v>44</v>
      </c>
      <c r="S687" s="10" t="s">
        <v>44</v>
      </c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G687" s="146">
        <v>355</v>
      </c>
      <c r="AH687" s="146">
        <v>300</v>
      </c>
      <c r="AI687" s="146">
        <v>263</v>
      </c>
      <c r="AJ687" s="146">
        <v>200</v>
      </c>
      <c r="AK687" s="71">
        <v>139</v>
      </c>
      <c r="AL687" s="71"/>
      <c r="AM687" s="71"/>
      <c r="AN687" s="71"/>
      <c r="AO687" s="71"/>
      <c r="AP687" s="71"/>
      <c r="AQ687" s="71"/>
      <c r="AR687" s="71"/>
      <c r="AS687" s="94">
        <f t="shared" ca="1" si="989"/>
        <v>0</v>
      </c>
      <c r="AT687" s="95">
        <f t="shared" si="990"/>
        <v>1257</v>
      </c>
      <c r="AU687" s="97">
        <f t="shared" si="991"/>
        <v>1257</v>
      </c>
      <c r="AW687" s="83">
        <f t="shared" si="992"/>
        <v>355</v>
      </c>
      <c r="AX687" s="83">
        <f t="shared" si="993"/>
        <v>300</v>
      </c>
      <c r="AY687" s="83">
        <f t="shared" si="994"/>
        <v>263</v>
      </c>
      <c r="AZ687" s="83">
        <f t="shared" si="995"/>
        <v>200</v>
      </c>
      <c r="BA687" s="52"/>
      <c r="BB687" s="52"/>
      <c r="BC687" s="52"/>
      <c r="BD687" s="52"/>
      <c r="BE687" s="52"/>
      <c r="BF687" s="52"/>
      <c r="BG687" s="52"/>
      <c r="BH687" s="52"/>
      <c r="BI687" s="68" cm="1">
        <f t="array" ref="BI687">IFERROR(INDEX(AW687:BH687,1,MATCH(2,1/(AW687:BH687&lt;&gt;""))),"")</f>
        <v>200</v>
      </c>
      <c r="BJ687" s="68" cm="1">
        <f t="array" ref="BJ687">IF(BM687 = "", "",IFERROR(INDEX(AW687:BH687,1,MATCH(2,1/(AW687:BH687&lt;&gt;""),1)-1),""))</f>
        <v>263</v>
      </c>
      <c r="BK687" s="59">
        <f t="shared" si="996"/>
        <v>1118</v>
      </c>
      <c r="BL687" s="59" cm="1">
        <f t="array" ref="BL687">IFERROR(SUM(AW687:INDEX(AW687:BH687, MATCH(2, 1/(AW687:BH687&lt;&gt;""), 1) - 1))/_xlfn.XLOOKUP(F687,Apuração!A:A,Apuração!B:B),0)</f>
        <v>76.5</v>
      </c>
      <c r="BM687" s="55" cm="1">
        <f t="array" ref="BM687">IFERROR(
   INDEX($AW$1:$BH$1,
      _xlfn.AGGREGATE(14, 6, COLUMN($AW$1:$BH$1)/(AW687:BH687&lt;&gt;""), 2) - COLUMN($AW$1) + 1
   ),
"")</f>
        <v>46082</v>
      </c>
      <c r="BN687" s="55" cm="1">
        <f t="array" ref="BN687">IFERROR(INDEX($AW$1:$BH$1,1,MATCH(2,1/(AW687:BH687&lt;&gt;""))),"")</f>
        <v>46113</v>
      </c>
      <c r="BO687" s="53">
        <f ca="1">IFERROR(_xlfn.XLOOKUP(F687,Apuração!A:A,Apuração!C:C)/_xlfn.XLOOKUP(F687,Apuração!A:A,Apuração!B:B),0)</f>
        <v>0.41666666666666669</v>
      </c>
      <c r="BP687" s="53">
        <f ca="1">IFERROR(_xlfn.XLOOKUP(F687,Apuração!A:A,Apuração!D:D)/_xlfn.XLOOKUP(F687,Apuração!A:A,Apuração!B:B),0)</f>
        <v>0.33333333333333331</v>
      </c>
      <c r="BQ687" s="53">
        <f ca="1">IF(BK687&gt;=BO687,0,_xlfn.XLOOKUP(F687,Apuração!A:A,Apuração!B:B)*(BO687 + (1/_xlfn.XLOOKUP(F687,Apuração!A:A,Apuração!B:B)) - BK687))</f>
        <v>0</v>
      </c>
      <c r="BR687" s="85">
        <f t="shared" ca="1" si="997"/>
        <v>0</v>
      </c>
      <c r="BS687" s="53">
        <f ca="1">IFERROR((_xlfn.XLOOKUP(F687,Apuração!A:A,Apuração!C:C)+1)/_xlfn.XLOOKUP(F687,Apuração!A:A,Apuração!B:B),0)</f>
        <v>0.5</v>
      </c>
    </row>
    <row r="688" spans="1:71" ht="25.95" hidden="1" customHeight="1" x14ac:dyDescent="0.3">
      <c r="A688" s="42" t="s">
        <v>134</v>
      </c>
      <c r="B688" s="4" t="s">
        <v>135</v>
      </c>
      <c r="C688" s="5" t="s">
        <v>97</v>
      </c>
      <c r="D688" s="5" t="s">
        <v>102</v>
      </c>
      <c r="E688" s="4" t="str" cm="1">
        <f t="array" ref="E688">_xlfn.IFS(
F688 = "A partir de Abril", "Aguardando Execução na Distribuidora",
A688 = "CAPACITAÇÃO", "Em execução no Corporativo",
TRUE, "Em Execução na Distribuidora"
)</f>
        <v>Em Execução na Distribuidora</v>
      </c>
      <c r="F688" s="4" t="str" cm="1">
        <f t="array" ref="F688">_xlfn.IFS(
AG688 &lt;&gt; "", "Jan-Dez/26",
AH688 &lt;&gt; "", "Fev-Dez/26",
AI688 &lt;&gt; "", "Mar-Dez/26", AJ688 &lt;&gt; "", "Abr-Dez/26",
TRUE, "A partir de Junho"
)</f>
        <v>Jan-Dez/26</v>
      </c>
      <c r="G688" s="4" t="s">
        <v>37</v>
      </c>
      <c r="H688" s="7" t="s">
        <v>38</v>
      </c>
      <c r="I688" s="9" t="s">
        <v>76</v>
      </c>
      <c r="J688" s="8" t="str" cm="1">
        <f t="array" aca="1" ref="J688" ca="1">_xlfn.LET(
  _xlpm.actual_value_month, INDEX(T688:AE688, MATCH(DATE(YEAR(TODAY()), MONTH(TODAY()), 1), $T$1:$AE$1, 0)),
  IF(_xlpm.actual_value_month &lt;&gt; "",_xlpm.actual_value_month &amp; " ações mensais", "")
)</f>
        <v/>
      </c>
      <c r="K688" s="8" t="str" cm="1">
        <f t="array" ref="K688">_xlfn.LET(
    _xlpm.sum_month, SUM(T688:AE688),
    IF(_xlpm.sum_month = 0, "", _xlpm.sum_month &amp; " alcançadas no ano")
)</f>
        <v/>
      </c>
      <c r="L688" s="9" t="s">
        <v>141</v>
      </c>
      <c r="M688" s="24">
        <v>1</v>
      </c>
      <c r="N688" s="5" t="s">
        <v>51</v>
      </c>
      <c r="O688" s="5" t="s">
        <v>52</v>
      </c>
      <c r="P688" s="10" t="s">
        <v>44</v>
      </c>
      <c r="Q688" s="10" t="s">
        <v>44</v>
      </c>
      <c r="R688" s="10" t="s">
        <v>44</v>
      </c>
      <c r="S688" s="10" t="s">
        <v>44</v>
      </c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G688" s="146">
        <v>342</v>
      </c>
      <c r="AH688" s="146">
        <v>281</v>
      </c>
      <c r="AI688" s="146">
        <v>299</v>
      </c>
      <c r="AJ688" s="146">
        <v>211</v>
      </c>
      <c r="AK688" s="71">
        <v>190</v>
      </c>
      <c r="AL688" s="71"/>
      <c r="AM688" s="71"/>
      <c r="AN688" s="71"/>
      <c r="AO688" s="71"/>
      <c r="AP688" s="71"/>
      <c r="AQ688" s="71"/>
      <c r="AR688" s="71"/>
      <c r="AS688" s="94">
        <f t="shared" ca="1" si="989"/>
        <v>0</v>
      </c>
      <c r="AT688" s="95">
        <f t="shared" si="990"/>
        <v>1323</v>
      </c>
      <c r="AU688" s="97">
        <f t="shared" si="991"/>
        <v>1323</v>
      </c>
      <c r="AW688" s="83">
        <f t="shared" si="992"/>
        <v>342</v>
      </c>
      <c r="AX688" s="83">
        <f t="shared" si="993"/>
        <v>281</v>
      </c>
      <c r="AY688" s="83">
        <f t="shared" si="994"/>
        <v>299</v>
      </c>
      <c r="AZ688" s="83">
        <f t="shared" si="995"/>
        <v>211</v>
      </c>
      <c r="BA688" s="52"/>
      <c r="BB688" s="52"/>
      <c r="BC688" s="52"/>
      <c r="BD688" s="52"/>
      <c r="BE688" s="52"/>
      <c r="BF688" s="52"/>
      <c r="BG688" s="52"/>
      <c r="BH688" s="52"/>
      <c r="BI688" s="68" cm="1">
        <f t="array" ref="BI688">IFERROR(INDEX(AW688:BH688,1,MATCH(2,1/(AW688:BH688&lt;&gt;""))),"")</f>
        <v>211</v>
      </c>
      <c r="BJ688" s="68" cm="1">
        <f t="array" ref="BJ688">IF(BM688 = "", "",IFERROR(INDEX(AW688:BH688,1,MATCH(2,1/(AW688:BH688&lt;&gt;""),1)-1),""))</f>
        <v>299</v>
      </c>
      <c r="BK688" s="59">
        <f t="shared" si="996"/>
        <v>1133</v>
      </c>
      <c r="BL688" s="59" cm="1">
        <f t="array" ref="BL688">IFERROR(SUM(AW688:INDEX(AW688:BH688, MATCH(2, 1/(AW688:BH688&lt;&gt;""), 1) - 1))/_xlfn.XLOOKUP(F688,Apuração!A:A,Apuração!B:B),0)</f>
        <v>76.833333333333329</v>
      </c>
      <c r="BM688" s="55" cm="1">
        <f t="array" ref="BM688">IFERROR(
   INDEX($AW$1:$BH$1,
      _xlfn.AGGREGATE(14, 6, COLUMN($AW$1:$BH$1)/(AW688:BH688&lt;&gt;""), 2) - COLUMN($AW$1) + 1
   ),
"")</f>
        <v>46082</v>
      </c>
      <c r="BN688" s="55" cm="1">
        <f t="array" ref="BN688">IFERROR(INDEX($AW$1:$BH$1,1,MATCH(2,1/(AW688:BH688&lt;&gt;""))),"")</f>
        <v>46113</v>
      </c>
      <c r="BO688" s="53">
        <f ca="1">IFERROR(_xlfn.XLOOKUP(F688,Apuração!A:A,Apuração!C:C)/_xlfn.XLOOKUP(F688,Apuração!A:A,Apuração!B:B),0)</f>
        <v>0.41666666666666669</v>
      </c>
      <c r="BP688" s="53">
        <f ca="1">IFERROR(_xlfn.XLOOKUP(F688,Apuração!A:A,Apuração!D:D)/_xlfn.XLOOKUP(F688,Apuração!A:A,Apuração!B:B),0)</f>
        <v>0.33333333333333331</v>
      </c>
      <c r="BQ688" s="53">
        <f ca="1">IF(BK688&gt;=BO688,0,_xlfn.XLOOKUP(F688,Apuração!A:A,Apuração!B:B)*(BO688 + (1/_xlfn.XLOOKUP(F688,Apuração!A:A,Apuração!B:B)) - BK688))</f>
        <v>0</v>
      </c>
      <c r="BR688" s="85">
        <f t="shared" ca="1" si="997"/>
        <v>0</v>
      </c>
      <c r="BS688" s="53">
        <f ca="1">IFERROR((_xlfn.XLOOKUP(F688,Apuração!A:A,Apuração!C:C)+1)/_xlfn.XLOOKUP(F688,Apuração!A:A,Apuração!B:B),0)</f>
        <v>0.5</v>
      </c>
    </row>
    <row r="689" spans="1:71" ht="25.95" hidden="1" customHeight="1" x14ac:dyDescent="0.3">
      <c r="A689" s="42" t="s">
        <v>134</v>
      </c>
      <c r="B689" s="4" t="s">
        <v>135</v>
      </c>
      <c r="C689" s="5" t="s">
        <v>97</v>
      </c>
      <c r="D689" s="5" t="s">
        <v>103</v>
      </c>
      <c r="E689" s="4" t="str" cm="1">
        <f t="array" ref="E689">_xlfn.IFS(
F689 = "A partir de Abril", "Aguardando Execução na Distribuidora",
A689 = "CAPACITAÇÃO", "Em execução no Corporativo",
TRUE, "Em Execução na Distribuidora"
)</f>
        <v>Em Execução na Distribuidora</v>
      </c>
      <c r="F689" s="4" t="str" cm="1">
        <f t="array" ref="F689">_xlfn.IFS(
AG689 &lt;&gt; "", "Jan-Dez/26",
AH689 &lt;&gt; "", "Fev-Dez/26",
AI689 &lt;&gt; "", "Mar-Dez/26", AJ689 &lt;&gt; "", "Abr-Dez/26",
TRUE, "A partir de Junho"
)</f>
        <v>Jan-Dez/26</v>
      </c>
      <c r="G689" s="4" t="s">
        <v>37</v>
      </c>
      <c r="H689" s="7" t="s">
        <v>38</v>
      </c>
      <c r="I689" s="9" t="s">
        <v>76</v>
      </c>
      <c r="J689" s="8" t="str" cm="1">
        <f t="array" aca="1" ref="J689" ca="1">_xlfn.LET(
  _xlpm.actual_value_month, INDEX(T689:AE689, MATCH(DATE(YEAR(TODAY()), MONTH(TODAY()), 1), $T$1:$AE$1, 0)),
  IF(_xlpm.actual_value_month &lt;&gt; "",_xlpm.actual_value_month &amp; " ações mensais", "")
)</f>
        <v/>
      </c>
      <c r="K689" s="8" t="str" cm="1">
        <f t="array" ref="K689">_xlfn.LET(
    _xlpm.sum_month, SUM(T689:AE689),
    IF(_xlpm.sum_month = 0, "", _xlpm.sum_month &amp; " alcançadas no ano")
)</f>
        <v/>
      </c>
      <c r="L689" s="9" t="s">
        <v>141</v>
      </c>
      <c r="M689" s="24">
        <v>1</v>
      </c>
      <c r="N689" s="5" t="s">
        <v>51</v>
      </c>
      <c r="O689" s="5" t="s">
        <v>52</v>
      </c>
      <c r="P689" s="10" t="s">
        <v>44</v>
      </c>
      <c r="Q689" s="10" t="s">
        <v>44</v>
      </c>
      <c r="R689" s="10" t="s">
        <v>44</v>
      </c>
      <c r="S689" s="10" t="s">
        <v>44</v>
      </c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G689" s="146">
        <v>301</v>
      </c>
      <c r="AH689" s="146">
        <v>226</v>
      </c>
      <c r="AI689" s="146">
        <v>227</v>
      </c>
      <c r="AJ689" s="146">
        <v>199</v>
      </c>
      <c r="AK689" s="71">
        <v>183</v>
      </c>
      <c r="AL689" s="71"/>
      <c r="AM689" s="71"/>
      <c r="AN689" s="71"/>
      <c r="AO689" s="71"/>
      <c r="AP689" s="71"/>
      <c r="AQ689" s="71"/>
      <c r="AR689" s="71"/>
      <c r="AS689" s="94">
        <f t="shared" ca="1" si="989"/>
        <v>0</v>
      </c>
      <c r="AT689" s="95">
        <f t="shared" si="990"/>
        <v>1136</v>
      </c>
      <c r="AU689" s="97">
        <f t="shared" si="991"/>
        <v>1136</v>
      </c>
      <c r="AW689" s="83">
        <f t="shared" si="992"/>
        <v>301</v>
      </c>
      <c r="AX689" s="83">
        <f t="shared" si="993"/>
        <v>226</v>
      </c>
      <c r="AY689" s="83">
        <f t="shared" si="994"/>
        <v>227</v>
      </c>
      <c r="AZ689" s="83">
        <f t="shared" si="995"/>
        <v>199</v>
      </c>
      <c r="BA689" s="52"/>
      <c r="BB689" s="52"/>
      <c r="BC689" s="52"/>
      <c r="BD689" s="52"/>
      <c r="BE689" s="52"/>
      <c r="BF689" s="52"/>
      <c r="BG689" s="52"/>
      <c r="BH689" s="52"/>
      <c r="BI689" s="68" cm="1">
        <f t="array" ref="BI689">IFERROR(INDEX(AW689:BH689,1,MATCH(2,1/(AW689:BH689&lt;&gt;""))),"")</f>
        <v>199</v>
      </c>
      <c r="BJ689" s="68" cm="1">
        <f t="array" ref="BJ689">IF(BM689 = "", "",IFERROR(INDEX(AW689:BH689,1,MATCH(2,1/(AW689:BH689&lt;&gt;""),1)-1),""))</f>
        <v>227</v>
      </c>
      <c r="BK689" s="59">
        <f t="shared" si="996"/>
        <v>953</v>
      </c>
      <c r="BL689" s="59" cm="1">
        <f t="array" ref="BL689">IFERROR(SUM(AW689:INDEX(AW689:BH689, MATCH(2, 1/(AW689:BH689&lt;&gt;""), 1) - 1))/_xlfn.XLOOKUP(F689,Apuração!A:A,Apuração!B:B),0)</f>
        <v>62.833333333333336</v>
      </c>
      <c r="BM689" s="55" cm="1">
        <f t="array" ref="BM689">IFERROR(
   INDEX($AW$1:$BH$1,
      _xlfn.AGGREGATE(14, 6, COLUMN($AW$1:$BH$1)/(AW689:BH689&lt;&gt;""), 2) - COLUMN($AW$1) + 1
   ),
"")</f>
        <v>46082</v>
      </c>
      <c r="BN689" s="55" cm="1">
        <f t="array" ref="BN689">IFERROR(INDEX($AW$1:$BH$1,1,MATCH(2,1/(AW689:BH689&lt;&gt;""))),"")</f>
        <v>46113</v>
      </c>
      <c r="BO689" s="53">
        <f ca="1">IFERROR(_xlfn.XLOOKUP(F689,Apuração!A:A,Apuração!C:C)/_xlfn.XLOOKUP(F689,Apuração!A:A,Apuração!B:B),0)</f>
        <v>0.41666666666666669</v>
      </c>
      <c r="BP689" s="53">
        <f ca="1">IFERROR(_xlfn.XLOOKUP(F689,Apuração!A:A,Apuração!D:D)/_xlfn.XLOOKUP(F689,Apuração!A:A,Apuração!B:B),0)</f>
        <v>0.33333333333333331</v>
      </c>
      <c r="BQ689" s="53">
        <f ca="1">IF(BK689&gt;=BO689,0,_xlfn.XLOOKUP(F689,Apuração!A:A,Apuração!B:B)*(BO689 + (1/_xlfn.XLOOKUP(F689,Apuração!A:A,Apuração!B:B)) - BK689))</f>
        <v>0</v>
      </c>
      <c r="BR689" s="85">
        <f t="shared" ca="1" si="997"/>
        <v>0</v>
      </c>
      <c r="BS689" s="53">
        <f ca="1">IFERROR((_xlfn.XLOOKUP(F689,Apuração!A:A,Apuração!C:C)+1)/_xlfn.XLOOKUP(F689,Apuração!A:A,Apuração!B:B),0)</f>
        <v>0.5</v>
      </c>
    </row>
    <row r="690" spans="1:71" ht="25.95" hidden="1" customHeight="1" x14ac:dyDescent="0.3">
      <c r="A690" s="42" t="s">
        <v>134</v>
      </c>
      <c r="B690" s="4" t="s">
        <v>135</v>
      </c>
      <c r="C690" s="5" t="s">
        <v>97</v>
      </c>
      <c r="D690" s="5" t="s">
        <v>104</v>
      </c>
      <c r="E690" s="4" t="str" cm="1">
        <f t="array" ref="E690">_xlfn.IFS(
F690 = "A partir de Abril", "Aguardando Execução na Distribuidora",
A690 = "CAPACITAÇÃO", "Em execução no Corporativo",
TRUE, "Em Execução na Distribuidora"
)</f>
        <v>Em Execução na Distribuidora</v>
      </c>
      <c r="F690" s="4" t="str" cm="1">
        <f t="array" ref="F690">_xlfn.IFS(
AG690 &lt;&gt; "", "Jan-Dez/26",
AH690 &lt;&gt; "", "Fev-Dez/26",
AI690 &lt;&gt; "", "Mar-Dez/26", AJ690 &lt;&gt; "", "Abr-Dez/26",
TRUE, "A partir de Junho"
)</f>
        <v>Jan-Dez/26</v>
      </c>
      <c r="G690" s="4" t="s">
        <v>37</v>
      </c>
      <c r="H690" s="7" t="s">
        <v>38</v>
      </c>
      <c r="I690" s="9" t="s">
        <v>76</v>
      </c>
      <c r="J690" s="8" t="str" cm="1">
        <f t="array" aca="1" ref="J690" ca="1">_xlfn.LET(
  _xlpm.actual_value_month, INDEX(T690:AE690, MATCH(DATE(YEAR(TODAY()), MONTH(TODAY()), 1), $T$1:$AE$1, 0)),
  IF(_xlpm.actual_value_month &lt;&gt; "",_xlpm.actual_value_month &amp; " ações mensais", "")
)</f>
        <v/>
      </c>
      <c r="K690" s="8" t="str" cm="1">
        <f t="array" ref="K690">_xlfn.LET(
    _xlpm.sum_month, SUM(T690:AE690),
    IF(_xlpm.sum_month = 0, "", _xlpm.sum_month &amp; " alcançadas no ano")
)</f>
        <v/>
      </c>
      <c r="L690" s="9" t="s">
        <v>141</v>
      </c>
      <c r="M690" s="24">
        <v>1</v>
      </c>
      <c r="N690" s="5" t="s">
        <v>51</v>
      </c>
      <c r="O690" s="5" t="s">
        <v>52</v>
      </c>
      <c r="P690" s="10" t="s">
        <v>44</v>
      </c>
      <c r="Q690" s="10" t="s">
        <v>44</v>
      </c>
      <c r="R690" s="10" t="s">
        <v>44</v>
      </c>
      <c r="S690" s="10" t="s">
        <v>44</v>
      </c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G690" s="146">
        <v>544</v>
      </c>
      <c r="AH690" s="146">
        <v>460</v>
      </c>
      <c r="AI690" s="146">
        <v>394</v>
      </c>
      <c r="AJ690" s="146">
        <v>288</v>
      </c>
      <c r="AK690" s="71">
        <v>188</v>
      </c>
      <c r="AL690" s="71"/>
      <c r="AM690" s="71"/>
      <c r="AN690" s="71"/>
      <c r="AO690" s="71"/>
      <c r="AP690" s="71"/>
      <c r="AQ690" s="71"/>
      <c r="AR690" s="71"/>
      <c r="AS690" s="94">
        <f t="shared" ca="1" si="989"/>
        <v>0</v>
      </c>
      <c r="AT690" s="95">
        <f t="shared" si="990"/>
        <v>1874</v>
      </c>
      <c r="AU690" s="97">
        <f t="shared" si="991"/>
        <v>1874</v>
      </c>
      <c r="AW690" s="83">
        <f t="shared" si="992"/>
        <v>544</v>
      </c>
      <c r="AX690" s="83">
        <f t="shared" si="993"/>
        <v>460</v>
      </c>
      <c r="AY690" s="83">
        <f t="shared" si="994"/>
        <v>394</v>
      </c>
      <c r="AZ690" s="83">
        <f t="shared" si="995"/>
        <v>288</v>
      </c>
      <c r="BA690" s="52"/>
      <c r="BB690" s="52"/>
      <c r="BC690" s="52"/>
      <c r="BD690" s="52"/>
      <c r="BE690" s="52"/>
      <c r="BF690" s="52"/>
      <c r="BG690" s="52"/>
      <c r="BH690" s="52"/>
      <c r="BI690" s="68" cm="1">
        <f t="array" ref="BI690">IFERROR(INDEX(AW690:BH690,1,MATCH(2,1/(AW690:BH690&lt;&gt;""))),"")</f>
        <v>288</v>
      </c>
      <c r="BJ690" s="68" cm="1">
        <f t="array" ref="BJ690">IF(BM690 = "", "",IFERROR(INDEX(AW690:BH690,1,MATCH(2,1/(AW690:BH690&lt;&gt;""),1)-1),""))</f>
        <v>394</v>
      </c>
      <c r="BK690" s="59">
        <f t="shared" si="996"/>
        <v>1686</v>
      </c>
      <c r="BL690" s="59" cm="1">
        <f t="array" ref="BL690">IFERROR(SUM(AW690:INDEX(AW690:BH690, MATCH(2, 1/(AW690:BH690&lt;&gt;""), 1) - 1))/_xlfn.XLOOKUP(F690,Apuração!A:A,Apuração!B:B),0)</f>
        <v>116.5</v>
      </c>
      <c r="BM690" s="55" cm="1">
        <f t="array" ref="BM690">IFERROR(
   INDEX($AW$1:$BH$1,
      _xlfn.AGGREGATE(14, 6, COLUMN($AW$1:$BH$1)/(AW690:BH690&lt;&gt;""), 2) - COLUMN($AW$1) + 1
   ),
"")</f>
        <v>46082</v>
      </c>
      <c r="BN690" s="55" cm="1">
        <f t="array" ref="BN690">IFERROR(INDEX($AW$1:$BH$1,1,MATCH(2,1/(AW690:BH690&lt;&gt;""))),"")</f>
        <v>46113</v>
      </c>
      <c r="BO690" s="53">
        <f ca="1">IFERROR(_xlfn.XLOOKUP(F690,Apuração!A:A,Apuração!C:C)/_xlfn.XLOOKUP(F690,Apuração!A:A,Apuração!B:B),0)</f>
        <v>0.41666666666666669</v>
      </c>
      <c r="BP690" s="53">
        <f ca="1">IFERROR(_xlfn.XLOOKUP(F690,Apuração!A:A,Apuração!D:D)/_xlfn.XLOOKUP(F690,Apuração!A:A,Apuração!B:B),0)</f>
        <v>0.33333333333333331</v>
      </c>
      <c r="BQ690" s="53">
        <f ca="1">IF(BK690&gt;=BO690,0,_xlfn.XLOOKUP(F690,Apuração!A:A,Apuração!B:B)*(BO690 + (1/_xlfn.XLOOKUP(F690,Apuração!A:A,Apuração!B:B)) - BK690))</f>
        <v>0</v>
      </c>
      <c r="BR690" s="85">
        <f t="shared" ca="1" si="997"/>
        <v>0</v>
      </c>
      <c r="BS690" s="53">
        <f ca="1">IFERROR((_xlfn.XLOOKUP(F690,Apuração!A:A,Apuração!C:C)+1)/_xlfn.XLOOKUP(F690,Apuração!A:A,Apuração!B:B),0)</f>
        <v>0.5</v>
      </c>
    </row>
    <row r="691" spans="1:71" ht="25.95" hidden="1" customHeight="1" x14ac:dyDescent="0.3">
      <c r="A691" s="42" t="s">
        <v>134</v>
      </c>
      <c r="B691" s="4" t="s">
        <v>135</v>
      </c>
      <c r="C691" s="5" t="s">
        <v>97</v>
      </c>
      <c r="D691" s="5" t="s">
        <v>105</v>
      </c>
      <c r="E691" s="4" t="str" cm="1">
        <f t="array" ref="E691">_xlfn.IFS(
F691 = "A partir de Abril", "Aguardando Execução na Distribuidora",
A691 = "CAPACITAÇÃO", "Em execução no Corporativo",
TRUE, "Em Execução na Distribuidora"
)</f>
        <v>Em Execução na Distribuidora</v>
      </c>
      <c r="F691" s="4" t="str" cm="1">
        <f t="array" ref="F691">_xlfn.IFS(
AG691 &lt;&gt; "", "Jan-Dez/26",
AH691 &lt;&gt; "", "Fev-Dez/26",
AI691 &lt;&gt; "", "Mar-Dez/26", AJ691 &lt;&gt; "", "Abr-Dez/26",
TRUE, "A partir de Junho"
)</f>
        <v>Jan-Dez/26</v>
      </c>
      <c r="G691" s="4" t="s">
        <v>37</v>
      </c>
      <c r="H691" s="7" t="s">
        <v>38</v>
      </c>
      <c r="I691" s="9" t="s">
        <v>76</v>
      </c>
      <c r="J691" s="8" t="str" cm="1">
        <f t="array" aca="1" ref="J691" ca="1">_xlfn.LET(
  _xlpm.actual_value_month, INDEX(T691:AE691, MATCH(DATE(YEAR(TODAY()), MONTH(TODAY()), 1), $T$1:$AE$1, 0)),
  IF(_xlpm.actual_value_month &lt;&gt; "",_xlpm.actual_value_month &amp; " ações mensais", "")
)</f>
        <v/>
      </c>
      <c r="K691" s="8" t="str" cm="1">
        <f t="array" ref="K691">_xlfn.LET(
    _xlpm.sum_month, SUM(T691:AE691),
    IF(_xlpm.sum_month = 0, "", _xlpm.sum_month &amp; " alcançadas no ano")
)</f>
        <v/>
      </c>
      <c r="L691" s="9" t="s">
        <v>141</v>
      </c>
      <c r="M691" s="24">
        <v>1</v>
      </c>
      <c r="N691" s="5" t="s">
        <v>51</v>
      </c>
      <c r="O691" s="5" t="s">
        <v>52</v>
      </c>
      <c r="P691" s="10" t="s">
        <v>44</v>
      </c>
      <c r="Q691" s="10" t="s">
        <v>44</v>
      </c>
      <c r="R691" s="10" t="s">
        <v>44</v>
      </c>
      <c r="S691" s="10" t="s">
        <v>44</v>
      </c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G691" s="146">
        <v>681</v>
      </c>
      <c r="AH691" s="146">
        <v>431</v>
      </c>
      <c r="AI691" s="146">
        <v>463</v>
      </c>
      <c r="AJ691" s="146">
        <v>370</v>
      </c>
      <c r="AK691" s="71">
        <v>259</v>
      </c>
      <c r="AL691" s="71"/>
      <c r="AM691" s="71"/>
      <c r="AN691" s="71"/>
      <c r="AO691" s="71"/>
      <c r="AP691" s="71"/>
      <c r="AQ691" s="71"/>
      <c r="AR691" s="71"/>
      <c r="AS691" s="94">
        <f t="shared" ca="1" si="989"/>
        <v>0</v>
      </c>
      <c r="AT691" s="95">
        <f t="shared" si="990"/>
        <v>2204</v>
      </c>
      <c r="AU691" s="97">
        <f t="shared" si="991"/>
        <v>2204</v>
      </c>
      <c r="AW691" s="83">
        <f t="shared" si="992"/>
        <v>681</v>
      </c>
      <c r="AX691" s="83">
        <f t="shared" si="993"/>
        <v>431</v>
      </c>
      <c r="AY691" s="83">
        <f t="shared" si="994"/>
        <v>463</v>
      </c>
      <c r="AZ691" s="83">
        <f t="shared" si="995"/>
        <v>370</v>
      </c>
      <c r="BA691" s="52"/>
      <c r="BB691" s="52"/>
      <c r="BC691" s="52"/>
      <c r="BD691" s="52"/>
      <c r="BE691" s="52"/>
      <c r="BF691" s="52"/>
      <c r="BG691" s="52"/>
      <c r="BH691" s="52"/>
      <c r="BI691" s="68" cm="1">
        <f t="array" ref="BI691">IFERROR(INDEX(AW691:BH691,1,MATCH(2,1/(AW691:BH691&lt;&gt;""))),"")</f>
        <v>370</v>
      </c>
      <c r="BJ691" s="68" cm="1">
        <f t="array" ref="BJ691">IF(BM691 = "", "",IFERROR(INDEX(AW691:BH691,1,MATCH(2,1/(AW691:BH691&lt;&gt;""),1)-1),""))</f>
        <v>463</v>
      </c>
      <c r="BK691" s="59">
        <f t="shared" si="996"/>
        <v>1945</v>
      </c>
      <c r="BL691" s="59" cm="1">
        <f t="array" ref="BL691">IFERROR(SUM(AW691:INDEX(AW691:BH691, MATCH(2, 1/(AW691:BH691&lt;&gt;""), 1) - 1))/_xlfn.XLOOKUP(F691,Apuração!A:A,Apuração!B:B),0)</f>
        <v>131.25</v>
      </c>
      <c r="BM691" s="55" cm="1">
        <f t="array" ref="BM691">IFERROR(
   INDEX($AW$1:$BH$1,
      _xlfn.AGGREGATE(14, 6, COLUMN($AW$1:$BH$1)/(AW691:BH691&lt;&gt;""), 2) - COLUMN($AW$1) + 1
   ),
"")</f>
        <v>46082</v>
      </c>
      <c r="BN691" s="55" cm="1">
        <f t="array" ref="BN691">IFERROR(INDEX($AW$1:$BH$1,1,MATCH(2,1/(AW691:BH691&lt;&gt;""))),"")</f>
        <v>46113</v>
      </c>
      <c r="BO691" s="53">
        <f ca="1">IFERROR(_xlfn.XLOOKUP(F691,Apuração!A:A,Apuração!C:C)/_xlfn.XLOOKUP(F691,Apuração!A:A,Apuração!B:B),0)</f>
        <v>0.41666666666666669</v>
      </c>
      <c r="BP691" s="53">
        <f ca="1">IFERROR(_xlfn.XLOOKUP(F691,Apuração!A:A,Apuração!D:D)/_xlfn.XLOOKUP(F691,Apuração!A:A,Apuração!B:B),0)</f>
        <v>0.33333333333333331</v>
      </c>
      <c r="BQ691" s="53">
        <f ca="1">IF(BK691&gt;=BO691,0,_xlfn.XLOOKUP(F691,Apuração!A:A,Apuração!B:B)*(BO691 + (1/_xlfn.XLOOKUP(F691,Apuração!A:A,Apuração!B:B)) - BK691))</f>
        <v>0</v>
      </c>
      <c r="BR691" s="85">
        <f t="shared" ca="1" si="997"/>
        <v>0</v>
      </c>
      <c r="BS691" s="53">
        <f ca="1">IFERROR((_xlfn.XLOOKUP(F691,Apuração!A:A,Apuração!C:C)+1)/_xlfn.XLOOKUP(F691,Apuração!A:A,Apuração!B:B),0)</f>
        <v>0.5</v>
      </c>
    </row>
    <row r="692" spans="1:71" ht="25.95" hidden="1" customHeight="1" x14ac:dyDescent="0.3">
      <c r="A692" s="42" t="s">
        <v>134</v>
      </c>
      <c r="B692" s="4" t="s">
        <v>135</v>
      </c>
      <c r="C692" s="5" t="s">
        <v>97</v>
      </c>
      <c r="D692" s="5" t="s">
        <v>106</v>
      </c>
      <c r="E692" s="4" t="str" cm="1">
        <f t="array" ref="E692">_xlfn.IFS(
F692 = "A partir de Abril", "Aguardando Execução na Distribuidora",
A692 = "CAPACITAÇÃO", "Em execução no Corporativo",
TRUE, "Em Execução na Distribuidora"
)</f>
        <v>Em Execução na Distribuidora</v>
      </c>
      <c r="F692" s="4" t="str" cm="1">
        <f t="array" ref="F692">_xlfn.IFS(
AG692 &lt;&gt; "", "Jan-Dez/26",
AH692 &lt;&gt; "", "Fev-Dez/26",
AI692 &lt;&gt; "", "Mar-Dez/26", AJ692 &lt;&gt; "", "Abr-Dez/26",
TRUE, "A partir de Junho"
)</f>
        <v>Jan-Dez/26</v>
      </c>
      <c r="G692" s="4" t="s">
        <v>37</v>
      </c>
      <c r="H692" s="7" t="s">
        <v>38</v>
      </c>
      <c r="I692" s="9" t="s">
        <v>76</v>
      </c>
      <c r="J692" s="8" t="str" cm="1">
        <f t="array" aca="1" ref="J692" ca="1">_xlfn.LET(
  _xlpm.actual_value_month, INDEX(T692:AE692, MATCH(DATE(YEAR(TODAY()), MONTH(TODAY()), 1), $T$1:$AE$1, 0)),
  IF(_xlpm.actual_value_month &lt;&gt; "",_xlpm.actual_value_month &amp; " ações mensais", "")
)</f>
        <v/>
      </c>
      <c r="K692" s="8" t="str" cm="1">
        <f t="array" ref="K692">_xlfn.LET(
    _xlpm.sum_month, SUM(T692:AE692),
    IF(_xlpm.sum_month = 0, "", _xlpm.sum_month &amp; " alcançadas no ano")
)</f>
        <v/>
      </c>
      <c r="L692" s="9" t="s">
        <v>141</v>
      </c>
      <c r="M692" s="24">
        <v>1</v>
      </c>
      <c r="N692" s="5" t="s">
        <v>51</v>
      </c>
      <c r="O692" s="5" t="s">
        <v>52</v>
      </c>
      <c r="P692" s="10" t="s">
        <v>44</v>
      </c>
      <c r="Q692" s="10" t="s">
        <v>44</v>
      </c>
      <c r="R692" s="10" t="s">
        <v>44</v>
      </c>
      <c r="S692" s="10" t="s">
        <v>44</v>
      </c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G692" s="146">
        <v>318</v>
      </c>
      <c r="AH692" s="146">
        <v>275</v>
      </c>
      <c r="AI692" s="146">
        <v>232</v>
      </c>
      <c r="AJ692" s="146">
        <v>217</v>
      </c>
      <c r="AK692" s="71">
        <v>158</v>
      </c>
      <c r="AL692" s="71"/>
      <c r="AM692" s="71"/>
      <c r="AN692" s="71"/>
      <c r="AO692" s="71"/>
      <c r="AP692" s="71"/>
      <c r="AQ692" s="71"/>
      <c r="AR692" s="71"/>
      <c r="AS692" s="94">
        <f t="shared" ca="1" si="989"/>
        <v>0</v>
      </c>
      <c r="AT692" s="95">
        <f t="shared" si="990"/>
        <v>1200</v>
      </c>
      <c r="AU692" s="97">
        <f t="shared" si="991"/>
        <v>1200</v>
      </c>
      <c r="AW692" s="83">
        <f t="shared" si="992"/>
        <v>318</v>
      </c>
      <c r="AX692" s="83">
        <f t="shared" si="993"/>
        <v>275</v>
      </c>
      <c r="AY692" s="83">
        <f t="shared" si="994"/>
        <v>232</v>
      </c>
      <c r="AZ692" s="83">
        <f t="shared" si="995"/>
        <v>217</v>
      </c>
      <c r="BA692" s="52"/>
      <c r="BB692" s="52"/>
      <c r="BC692" s="52"/>
      <c r="BD692" s="52"/>
      <c r="BE692" s="52"/>
      <c r="BF692" s="52"/>
      <c r="BG692" s="52"/>
      <c r="BH692" s="52"/>
      <c r="BI692" s="68" cm="1">
        <f t="array" ref="BI692">IFERROR(INDEX(AW692:BH692,1,MATCH(2,1/(AW692:BH692&lt;&gt;""))),"")</f>
        <v>217</v>
      </c>
      <c r="BJ692" s="68" cm="1">
        <f t="array" ref="BJ692">IF(BM692 = "", "",IFERROR(INDEX(AW692:BH692,1,MATCH(2,1/(AW692:BH692&lt;&gt;""),1)-1),""))</f>
        <v>232</v>
      </c>
      <c r="BK692" s="59">
        <f t="shared" si="996"/>
        <v>1042</v>
      </c>
      <c r="BL692" s="59" cm="1">
        <f t="array" ref="BL692">IFERROR(SUM(AW692:INDEX(AW692:BH692, MATCH(2, 1/(AW692:BH692&lt;&gt;""), 1) - 1))/_xlfn.XLOOKUP(F692,Apuração!A:A,Apuração!B:B),0)</f>
        <v>68.75</v>
      </c>
      <c r="BM692" s="55" cm="1">
        <f t="array" ref="BM692">IFERROR(
   INDEX($AW$1:$BH$1,
      _xlfn.AGGREGATE(14, 6, COLUMN($AW$1:$BH$1)/(AW692:BH692&lt;&gt;""), 2) - COLUMN($AW$1) + 1
   ),
"")</f>
        <v>46082</v>
      </c>
      <c r="BN692" s="55" cm="1">
        <f t="array" ref="BN692">IFERROR(INDEX($AW$1:$BH$1,1,MATCH(2,1/(AW692:BH692&lt;&gt;""))),"")</f>
        <v>46113</v>
      </c>
      <c r="BO692" s="53">
        <f ca="1">IFERROR(_xlfn.XLOOKUP(F692,Apuração!A:A,Apuração!C:C)/_xlfn.XLOOKUP(F692,Apuração!A:A,Apuração!B:B),0)</f>
        <v>0.41666666666666669</v>
      </c>
      <c r="BP692" s="53">
        <f ca="1">IFERROR(_xlfn.XLOOKUP(F692,Apuração!A:A,Apuração!D:D)/_xlfn.XLOOKUP(F692,Apuração!A:A,Apuração!B:B),0)</f>
        <v>0.33333333333333331</v>
      </c>
      <c r="BQ692" s="53">
        <f ca="1">IF(BK692&gt;=BO692,0,_xlfn.XLOOKUP(F692,Apuração!A:A,Apuração!B:B)*(BO692 + (1/_xlfn.XLOOKUP(F692,Apuração!A:A,Apuração!B:B)) - BK692))</f>
        <v>0</v>
      </c>
      <c r="BR692" s="85">
        <f t="shared" ca="1" si="997"/>
        <v>0</v>
      </c>
      <c r="BS692" s="53">
        <f ca="1">IFERROR((_xlfn.XLOOKUP(F692,Apuração!A:A,Apuração!C:C)+1)/_xlfn.XLOOKUP(F692,Apuração!A:A,Apuração!B:B),0)</f>
        <v>0.5</v>
      </c>
    </row>
    <row r="693" spans="1:71" ht="25.95" hidden="1" customHeight="1" x14ac:dyDescent="0.3">
      <c r="A693" s="42" t="s">
        <v>134</v>
      </c>
      <c r="B693" s="4" t="s">
        <v>135</v>
      </c>
      <c r="C693" s="5" t="s">
        <v>97</v>
      </c>
      <c r="D693" s="5" t="s">
        <v>107</v>
      </c>
      <c r="E693" s="4" t="str" cm="1">
        <f t="array" ref="E693">_xlfn.IFS(
F693 = "A partir de Abril", "Aguardando Execução na Distribuidora",
A693 = "CAPACITAÇÃO", "Em execução no Corporativo",
TRUE, "Em Execução na Distribuidora"
)</f>
        <v>Em Execução na Distribuidora</v>
      </c>
      <c r="F693" s="4" t="str" cm="1">
        <f t="array" ref="F693">_xlfn.IFS(
AG693 &lt;&gt; "", "Jan-Dez/26",
AH693 &lt;&gt; "", "Fev-Dez/26",
AI693 &lt;&gt; "", "Mar-Dez/26", AJ693 &lt;&gt; "", "Abr-Dez/26",
TRUE, "A partir de Junho"
)</f>
        <v>Jan-Dez/26</v>
      </c>
      <c r="G693" s="4" t="s">
        <v>37</v>
      </c>
      <c r="H693" s="7" t="s">
        <v>38</v>
      </c>
      <c r="I693" s="9" t="s">
        <v>76</v>
      </c>
      <c r="J693" s="8" t="str" cm="1">
        <f t="array" aca="1" ref="J693" ca="1">_xlfn.LET(
  _xlpm.actual_value_month, INDEX(T693:AE693, MATCH(DATE(YEAR(TODAY()), MONTH(TODAY()), 1), $T$1:$AE$1, 0)),
  IF(_xlpm.actual_value_month &lt;&gt; "",_xlpm.actual_value_month &amp; " ações mensais", "")
)</f>
        <v/>
      </c>
      <c r="K693" s="8" t="str" cm="1">
        <f t="array" ref="K693">_xlfn.LET(
    _xlpm.sum_month, SUM(T693:AE693),
    IF(_xlpm.sum_month = 0, "", _xlpm.sum_month &amp; " alcançadas no ano")
)</f>
        <v/>
      </c>
      <c r="L693" s="9" t="s">
        <v>141</v>
      </c>
      <c r="M693" s="24">
        <v>1</v>
      </c>
      <c r="N693" s="5" t="s">
        <v>51</v>
      </c>
      <c r="O693" s="5" t="s">
        <v>52</v>
      </c>
      <c r="P693" s="10" t="s">
        <v>44</v>
      </c>
      <c r="Q693" s="10" t="s">
        <v>44</v>
      </c>
      <c r="R693" s="10" t="s">
        <v>44</v>
      </c>
      <c r="S693" s="10" t="s">
        <v>44</v>
      </c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G693" s="146">
        <v>495</v>
      </c>
      <c r="AH693" s="146">
        <v>476</v>
      </c>
      <c r="AI693" s="146">
        <v>315</v>
      </c>
      <c r="AJ693" s="146">
        <v>255</v>
      </c>
      <c r="AK693" s="71">
        <v>150</v>
      </c>
      <c r="AL693" s="71"/>
      <c r="AM693" s="71"/>
      <c r="AN693" s="71"/>
      <c r="AO693" s="71"/>
      <c r="AP693" s="71"/>
      <c r="AQ693" s="71"/>
      <c r="AR693" s="71"/>
      <c r="AS693" s="94">
        <f t="shared" ca="1" si="989"/>
        <v>0</v>
      </c>
      <c r="AT693" s="95">
        <f t="shared" si="990"/>
        <v>1691</v>
      </c>
      <c r="AU693" s="97">
        <f t="shared" si="991"/>
        <v>1691</v>
      </c>
      <c r="AW693" s="83">
        <f t="shared" si="992"/>
        <v>495</v>
      </c>
      <c r="AX693" s="83">
        <f t="shared" si="993"/>
        <v>476</v>
      </c>
      <c r="AY693" s="83">
        <f t="shared" si="994"/>
        <v>315</v>
      </c>
      <c r="AZ693" s="83">
        <f t="shared" si="995"/>
        <v>255</v>
      </c>
      <c r="BA693" s="52"/>
      <c r="BB693" s="52"/>
      <c r="BC693" s="52"/>
      <c r="BD693" s="52"/>
      <c r="BE693" s="52"/>
      <c r="BF693" s="52"/>
      <c r="BG693" s="52"/>
      <c r="BH693" s="52"/>
      <c r="BI693" s="68" cm="1">
        <f t="array" ref="BI693">IFERROR(INDEX(AW693:BH693,1,MATCH(2,1/(AW693:BH693&lt;&gt;""))),"")</f>
        <v>255</v>
      </c>
      <c r="BJ693" s="68" cm="1">
        <f t="array" ref="BJ693">IF(BM693 = "", "",IFERROR(INDEX(AW693:BH693,1,MATCH(2,1/(AW693:BH693&lt;&gt;""),1)-1),""))</f>
        <v>315</v>
      </c>
      <c r="BK693" s="59">
        <f t="shared" si="996"/>
        <v>1541</v>
      </c>
      <c r="BL693" s="59" cm="1">
        <f t="array" ref="BL693">IFERROR(SUM(AW693:INDEX(AW693:BH693, MATCH(2, 1/(AW693:BH693&lt;&gt;""), 1) - 1))/_xlfn.XLOOKUP(F693,Apuração!A:A,Apuração!B:B),0)</f>
        <v>107.16666666666667</v>
      </c>
      <c r="BM693" s="55" cm="1">
        <f t="array" ref="BM693">IFERROR(
   INDEX($AW$1:$BH$1,
      _xlfn.AGGREGATE(14, 6, COLUMN($AW$1:$BH$1)/(AW693:BH693&lt;&gt;""), 2) - COLUMN($AW$1) + 1
   ),
"")</f>
        <v>46082</v>
      </c>
      <c r="BN693" s="55" cm="1">
        <f t="array" ref="BN693">IFERROR(INDEX($AW$1:$BH$1,1,MATCH(2,1/(AW693:BH693&lt;&gt;""))),"")</f>
        <v>46113</v>
      </c>
      <c r="BO693" s="53">
        <f ca="1">IFERROR(_xlfn.XLOOKUP(F693,Apuração!A:A,Apuração!C:C)/_xlfn.XLOOKUP(F693,Apuração!A:A,Apuração!B:B),0)</f>
        <v>0.41666666666666669</v>
      </c>
      <c r="BP693" s="53">
        <f ca="1">IFERROR(_xlfn.XLOOKUP(F693,Apuração!A:A,Apuração!D:D)/_xlfn.XLOOKUP(F693,Apuração!A:A,Apuração!B:B),0)</f>
        <v>0.33333333333333331</v>
      </c>
      <c r="BQ693" s="53">
        <f ca="1">IF(BK693&gt;=BO693,0,_xlfn.XLOOKUP(F693,Apuração!A:A,Apuração!B:B)*(BO693 + (1/_xlfn.XLOOKUP(F693,Apuração!A:A,Apuração!B:B)) - BK693))</f>
        <v>0</v>
      </c>
      <c r="BR693" s="85">
        <f t="shared" ca="1" si="997"/>
        <v>0</v>
      </c>
      <c r="BS693" s="53">
        <f ca="1">IFERROR((_xlfn.XLOOKUP(F693,Apuração!A:A,Apuração!C:C)+1)/_xlfn.XLOOKUP(F693,Apuração!A:A,Apuração!B:B),0)</f>
        <v>0.5</v>
      </c>
    </row>
    <row r="694" spans="1:71" ht="25.95" customHeight="1" x14ac:dyDescent="0.3">
      <c r="A694" s="23" t="s">
        <v>134</v>
      </c>
      <c r="B694" s="4" t="s">
        <v>142</v>
      </c>
      <c r="C694" s="5" t="s">
        <v>97</v>
      </c>
      <c r="D694" s="5" t="s">
        <v>36</v>
      </c>
      <c r="E694" s="4" t="str" cm="1">
        <f t="array" ref="E694">_xlfn.IFS(
F694 = "A partir de Abril", "Aguardando Execução na Distribuidora",
A694 = "CAPACITAÇÃO", "Em execução no Corporativo",
TRUE, "Em Execução na Distribuidora"
)</f>
        <v>Em Execução na Distribuidora</v>
      </c>
      <c r="F694" s="4" t="str" cm="1">
        <f t="array" ref="F694">_xlfn.IFS(
AG694 &lt;&gt; "", "Jan-Dez/26",
AH694 &lt;&gt; "", "Fev-Dez/26",
AI694 &lt;&gt; "", "Mar-Dez/26", AJ694 &lt;&gt; "", "Abr-Dez/26",
TRUE, "A partir de Junho"
)</f>
        <v>Jan-Dez/26</v>
      </c>
      <c r="G694" s="4" t="s">
        <v>37</v>
      </c>
      <c r="H694" s="7" t="s">
        <v>38</v>
      </c>
      <c r="I694" s="8" t="s">
        <v>143</v>
      </c>
      <c r="J694" s="8" t="str" cm="1">
        <f t="array" aca="1" ref="J694" ca="1">_xlfn.LET(
  _xlpm.actual_value_month, INDEX(T694:AE694, MATCH(DATE(YEAR(TODAY()), MONTH(TODAY()), 1), $T$1:$AE$1, 0)),
  IF(_xlpm.actual_value_month &lt;&gt; "",_xlpm.actual_value_month &amp; " equipes mensais", "")
)</f>
        <v>193 equipes mensais</v>
      </c>
      <c r="K694" s="8" t="str" cm="1">
        <f t="array" ref="K694">_xlfn.LET(
    _xlpm.sum_month, SUM(T694:AE694),
    IF(_xlpm.sum_month = 0, "", _xlpm.sum_month &amp; " equipes inspencionadas no ano")
)</f>
        <v>3631 equipes inspencionadas no ano</v>
      </c>
      <c r="L694" s="4" t="s">
        <v>144</v>
      </c>
      <c r="M694" s="24" t="s">
        <v>145</v>
      </c>
      <c r="N694" s="5" t="s">
        <v>42</v>
      </c>
      <c r="O694" s="5" t="s">
        <v>43</v>
      </c>
      <c r="P694" s="10" t="s">
        <v>146</v>
      </c>
      <c r="Q694" s="10" t="s">
        <v>44</v>
      </c>
      <c r="R694" s="11" t="s">
        <v>147</v>
      </c>
      <c r="S694" s="11" t="s">
        <v>44</v>
      </c>
      <c r="T694" s="22">
        <v>457</v>
      </c>
      <c r="U694" s="22">
        <v>481</v>
      </c>
      <c r="V694" s="22">
        <v>956</v>
      </c>
      <c r="W694" s="22">
        <v>193</v>
      </c>
      <c r="X694" s="22">
        <v>193</v>
      </c>
      <c r="Y694" s="22">
        <v>193</v>
      </c>
      <c r="Z694" s="22">
        <v>193</v>
      </c>
      <c r="AA694" s="22">
        <v>193</v>
      </c>
      <c r="AB694" s="22">
        <v>193</v>
      </c>
      <c r="AC694" s="22">
        <v>193</v>
      </c>
      <c r="AD694" s="22">
        <v>193</v>
      </c>
      <c r="AE694" s="22">
        <v>193</v>
      </c>
      <c r="AG694" s="71">
        <v>457</v>
      </c>
      <c r="AH694" s="71">
        <v>481</v>
      </c>
      <c r="AI694" s="71">
        <v>956</v>
      </c>
      <c r="AJ694" s="71">
        <v>903</v>
      </c>
      <c r="AK694" s="71">
        <v>1009</v>
      </c>
      <c r="AL694" s="71"/>
      <c r="AM694" s="71"/>
      <c r="AN694" s="71"/>
      <c r="AO694" s="71"/>
      <c r="AP694" s="71"/>
      <c r="AQ694" s="71"/>
      <c r="AR694" s="71"/>
      <c r="AS694" s="94">
        <f t="shared" ca="1" si="966"/>
        <v>2280</v>
      </c>
      <c r="AT694" s="95">
        <f>SUM(IF(AW694&lt;1.15,AG694,1.15*T694),IF(AX694&lt;1.15,AH694,1.15*U694),IF(AY694&lt;1.15,AI694,1.15*V694),IF(AZ694&lt;1.15,AJ694,1.15*W694),IF(BA694&lt;1.15,AK694,1.15*X694),IF(BB694&lt;1.15,AL694,1.15*Y694),IF(BC694&lt;1.15,AM694,1.15*Z694),IF(BD694&lt;1.15,AN694,1.15*AA694),IF(BE694&lt;1.15,AO694,1.15*AB694),IF(BF694&lt;1.15,AP694,1.15*AC694),IF(BG694&lt;1.15,AQ694,1.15*AD694),IF(BH694&lt;1.15,AR694,1.15*AE694))</f>
        <v>2337.8999999999996</v>
      </c>
      <c r="AU694" s="97">
        <f t="shared" si="967"/>
        <v>3806</v>
      </c>
      <c r="AW694" s="51">
        <f>IFERROR(IF(AG694="",0,AG694/T694),0)</f>
        <v>1</v>
      </c>
      <c r="AX694" s="51">
        <f>IFERROR(IF(AH694="",0,AH694/U694),0)</f>
        <v>1</v>
      </c>
      <c r="AY694" s="51">
        <f>IFERROR(IF(AI694="",0,AI694/V694),0)</f>
        <v>1</v>
      </c>
      <c r="AZ694" s="51">
        <f>IFERROR(IF(AJ694="",0,AJ694/W694),0)</f>
        <v>4.6787564766839376</v>
      </c>
      <c r="BA694" s="51">
        <f t="shared" ref="BA694:BA704" si="998">IFERROR(IF(AK694="",0,AK694/X694),0)</f>
        <v>5.2279792746113989</v>
      </c>
      <c r="BB694" s="51"/>
      <c r="BC694" s="51"/>
      <c r="BD694" s="51"/>
      <c r="BE694" s="51"/>
      <c r="BF694" s="51"/>
      <c r="BG694" s="51"/>
      <c r="BH694" s="51"/>
      <c r="BI694" s="65" cm="1">
        <f t="array" ref="BI694">IFERROR(INDEX(AW694:BH694,1,MATCH(2,1/(AW694:BH694&lt;&gt;""))),"")</f>
        <v>5.2279792746113989</v>
      </c>
      <c r="BJ694" s="68" cm="1">
        <f t="array" ref="BJ694">IF(BM694 = "", "",IFERROR(INDEX(AW694:BH694,1,MATCH(2,1/(AW694:BH694&lt;&gt;""),1)-1),""))</f>
        <v>4.6787564766839376</v>
      </c>
      <c r="BK694" s="58">
        <f>IF((IF(AW694&gt;=115%,115%,AW694) + IF(AX694&gt;=115%,115%,AX694) + IF(AY694&gt;=115%,115%,AY694) + (IF(AZ694&gt;=115%,115%,AZ694) + IF(BA694&gt;=160%,160%,BA694) + IF(BB694&gt;=115%,115%,BB694) + IF(BC694&gt;=115%,115%,BC694) + IF(BD694&gt;=115%,115%,BD694) + IF(BE694&gt;=115%,115%,BE694) + IF(BF694&gt;=115%,115%,BF694) + IF(BG694&gt;=115%,115%,BG694) + IF(BH694&gt;=115%,115%,BH694)))/_xlfn.XLOOKUP(F694,Apuração!A:A,Apuração!B:B)&gt;=1.15,1.15,((IF(AZ694&gt;=115%,115%,AZ694) + IF(AX694&gt;=115%,115%,AX694) + IF(AY694&gt;=115%,115%,AY694) + (IF(AW694&gt;=115%,115%,AW694) + IF(BA694&gt;=160%,160%,BA694) + IF(BB694&gt;=115%,115%,BB694) + IF(BC694&gt;=115%,115%,BC694) + IF(BD694&gt;=115%,115%,BD694) + IF(BE694&gt;=115%,115%,BE694) + IF(BF694&gt;=115%,115%,BF694) + IF(BG694&gt;=115%,115%,BG694) + IF(BH694&gt;=115%,115%,BH694)))/_xlfn.XLOOKUP(F694,Apuração!A:A,Apuração!B:B)))</f>
        <v>0.47916666666666669</v>
      </c>
      <c r="BL694" s="58" cm="1">
        <f t="array" aca="1" ref="BL694" ca="1">IF(SUM(IFERROR(IF(INDEX(AW694:INDEX(AW694:BH694, MATCH(2, 1/(AW694:BH694&lt;&gt;""), 1)-1), ROW(INDIRECT("1:" &amp; MATCH(2, 1/(AW694:BH694&lt;&gt;""), 1)-1))) &gt;= 115%, 115%, INDEX(AW694:INDEX(AW694:BH694, MATCH(2, 1/(AW694:BH694&lt;&gt;""), 1)-1), ROW(INDIRECT("1:" &amp; MATCH(2, 1/(AW694:BH694&lt;&gt;""), 1)-1)))), 0))/_xlfn.XLOOKUP(F694,Apuração!A:A,Apuração!B:B)&gt;=1.15,1.15,SUM(IFERROR(IF(INDEX(AW694:INDEX(AW694:BH694, MATCH(2, 1/(AW694:BH694&lt;&gt;""), 1)-1), ROW(INDIRECT("1:" &amp; MATCH(2, 1/(AW694:BH694&lt;&gt;""), 1)-1))) &gt;= 115%, 115%, INDEX(AW694:INDEX(AW694:BH694, MATCH(2, 1/(AW694:BH694&lt;&gt;""), 1)-1), ROW(INDIRECT("1:" &amp; MATCH(2, 1/(AW694:BH694&lt;&gt;""), 1)-1)))), 0))/_xlfn.XLOOKUP(F694,Apuração!A:A,Apuração!B:B))</f>
        <v>0.34583333333333338</v>
      </c>
      <c r="BM694" s="55" cm="1">
        <f t="array" ref="BM694">IFERROR(
   INDEX($AW$1:$BH$1,
      _xlfn.AGGREGATE(14, 6, COLUMN($AW$1:$BH$1)/(AW694:BH694&lt;&gt;""), 2) - COLUMN($AW$1) + 1
   ),
"")</f>
        <v>46113</v>
      </c>
      <c r="BN694" s="55" cm="1">
        <f t="array" ref="BN694">IFERROR(INDEX($AW$1:$BH$1,1,MATCH(2,1/(AW694:BH694&lt;&gt;""))),"")</f>
        <v>46143</v>
      </c>
      <c r="BO694" s="53">
        <f ca="1">IFERROR(_xlfn.XLOOKUP(F694,Apuração!A:A,Apuração!C:C)/_xlfn.XLOOKUP(F694,Apuração!A:A,Apuração!B:B),0)</f>
        <v>0.41666666666666669</v>
      </c>
      <c r="BP694" s="53">
        <f ca="1">IFERROR(_xlfn.XLOOKUP(F694,Apuração!A:A,Apuração!D:D)/_xlfn.XLOOKUP(F694,Apuração!A:A,Apuração!B:B),0)</f>
        <v>0.33333333333333331</v>
      </c>
      <c r="BQ694" s="53">
        <f ca="1">IF(BK694&gt;=BO694,0,_xlfn.XLOOKUP(F694,Apuração!A:A,Apuração!B:B)*(BO694 + (1/_xlfn.XLOOKUP(F694,Apuração!A:A,Apuração!B:B)) - BK694))</f>
        <v>0</v>
      </c>
      <c r="BR694" s="85">
        <f t="shared" ca="1" si="898"/>
        <v>0</v>
      </c>
      <c r="BS694" s="53">
        <f ca="1">IFERROR((_xlfn.XLOOKUP(F694,Apuração!A:A,Apuração!C:C)+1)/_xlfn.XLOOKUP(F694,Apuração!A:A,Apuração!B:B),0)</f>
        <v>0.5</v>
      </c>
    </row>
    <row r="695" spans="1:71" ht="25.95" hidden="1" customHeight="1" x14ac:dyDescent="0.3">
      <c r="A695" s="23" t="s">
        <v>134</v>
      </c>
      <c r="B695" s="4" t="s">
        <v>142</v>
      </c>
      <c r="C695" s="5" t="s">
        <v>97</v>
      </c>
      <c r="D695" s="5" t="s">
        <v>98</v>
      </c>
      <c r="E695" s="4" t="str" cm="1">
        <f t="array" ref="E695">_xlfn.IFS(
F695 = "A partir de Abril", "Aguardando Execução na Distribuidora",
A695 = "CAPACITAÇÃO", "Em execução no Corporativo",
TRUE, "Em Execução na Distribuidora"
)</f>
        <v>Em Execução na Distribuidora</v>
      </c>
      <c r="F695" s="4" t="str" cm="1">
        <f t="array" ref="F695">_xlfn.IFS(
AG695 &lt;&gt; "", "Jan-Dez/26",
AH695 &lt;&gt; "", "Fev-Dez/26",
AI695 &lt;&gt; "", "Mar-Dez/26", AJ695 &lt;&gt; "", "Abr-Dez/26",
TRUE, "A partir de Junho"
)</f>
        <v>Jan-Dez/26</v>
      </c>
      <c r="G695" s="4" t="s">
        <v>37</v>
      </c>
      <c r="H695" s="7" t="s">
        <v>38</v>
      </c>
      <c r="I695" s="8" t="s">
        <v>143</v>
      </c>
      <c r="J695" s="8" t="str" cm="1">
        <f t="array" aca="1" ref="J695" ca="1">_xlfn.LET(
  _xlpm.actual_value_month, INDEX(T695:AE695, MATCH(DATE(YEAR(TODAY()), MONTH(TODAY()), 1), $T$1:$AE$1, 0)),
  IF(_xlpm.actual_value_month &lt;&gt; "",_xlpm.actual_value_month &amp; " equipes mensais", "")
)</f>
        <v>16 equipes mensais</v>
      </c>
      <c r="K695" s="8" t="str" cm="1">
        <f t="array" ref="K695">_xlfn.LET(
    _xlpm.sum_month, SUM(T695:AE695),
    IF(_xlpm.sum_month = 0, "", _xlpm.sum_month &amp; " equipes inspencionadas no ano")
)</f>
        <v>300 equipes inspencionadas no ano</v>
      </c>
      <c r="L695" s="4" t="s">
        <v>144</v>
      </c>
      <c r="M695" s="24" t="s">
        <v>145</v>
      </c>
      <c r="N695" s="5" t="s">
        <v>42</v>
      </c>
      <c r="O695" s="5" t="s">
        <v>43</v>
      </c>
      <c r="P695" s="10" t="s">
        <v>146</v>
      </c>
      <c r="Q695" s="10" t="s">
        <v>44</v>
      </c>
      <c r="R695" s="11" t="s">
        <v>147</v>
      </c>
      <c r="S695" s="11" t="s">
        <v>44</v>
      </c>
      <c r="T695" s="143">
        <v>57</v>
      </c>
      <c r="U695" s="143">
        <v>48</v>
      </c>
      <c r="V695" s="143">
        <v>51</v>
      </c>
      <c r="W695" s="143">
        <v>16</v>
      </c>
      <c r="X695" s="143">
        <v>16</v>
      </c>
      <c r="Y695" s="143">
        <v>16</v>
      </c>
      <c r="Z695" s="143">
        <v>16</v>
      </c>
      <c r="AA695" s="143">
        <v>16</v>
      </c>
      <c r="AB695" s="143">
        <v>16</v>
      </c>
      <c r="AC695" s="143">
        <v>16</v>
      </c>
      <c r="AD695" s="143">
        <v>16</v>
      </c>
      <c r="AE695" s="143">
        <v>16</v>
      </c>
      <c r="AG695" s="145">
        <v>57</v>
      </c>
      <c r="AH695" s="145">
        <v>48</v>
      </c>
      <c r="AI695" s="145">
        <v>51</v>
      </c>
      <c r="AJ695" s="145">
        <v>44</v>
      </c>
      <c r="AK695" s="71">
        <v>57</v>
      </c>
      <c r="AL695" s="71"/>
      <c r="AM695" s="71"/>
      <c r="AN695" s="71"/>
      <c r="AO695" s="71"/>
      <c r="AP695" s="71"/>
      <c r="AQ695" s="71"/>
      <c r="AR695" s="71"/>
      <c r="AS695" s="94">
        <f t="shared" ref="AS695:AS704" ca="1" si="999">IF(MONTH(TODAY())=3,SUM(T695:U695),IF(MONTH(TODAY())=4,SUM(T695:V695),IF(MONTH(TODAY())=5,SUM(T695:W695),IF(MONTH(TODAY())=6,SUM(T695:X695),IF(MONTH(TODAY())=7,SUM(T695:Y695),IF(MONTH(TODAY())=8,SUM(T695:Z695),IF(MONTH(TODAY())=9,SUM(T695:AA695),IF(MONTH(TODAY())=10,SUM(T695:AB695),IF(MONTH(TODAY())=11,SUM(T695:AC695),IF(MONTH(TODAY())=12,SUM(T695:AD695),IF(MONTH(TODAY())=1,SUM(T695:AE695),T695)))))))))))</f>
        <v>188</v>
      </c>
      <c r="AT695" s="95">
        <f t="shared" ref="AT695:AT704" si="1000">SUM(IF(AW695&lt;1.15,AG695,1.15*T695),IF(AX695&lt;1.15,AH695,1.15*U695),IF(AY695&lt;1.15,AI695,1.15*V695),IF(AZ695&lt;1.15,AJ695,1.15*W695),IF(BA695&lt;1.15,AK695,1.15*X695),IF(BB695&lt;1.15,AL695,1.15*Y695),IF(BC695&lt;1.15,AM695,1.15*Z695),IF(BD695&lt;1.15,AN695,1.15*AA695),IF(BE695&lt;1.15,AO695,1.15*AB695),IF(BF695&lt;1.15,AP695,1.15*AC695),IF(BG695&lt;1.15,AQ695,1.15*AD695),IF(BH695&lt;1.15,AR695,1.15*AE695))</f>
        <v>192.8</v>
      </c>
      <c r="AU695" s="97">
        <f t="shared" ref="AU695:AU704" si="1001">SUM(AG695:AR695)</f>
        <v>257</v>
      </c>
      <c r="AW695" s="51">
        <f t="shared" ref="AW695:AW704" si="1002">IFERROR(IF(AG695="",0,AG695/T695),0)</f>
        <v>1</v>
      </c>
      <c r="AX695" s="51">
        <f t="shared" ref="AX695:AX704" si="1003">IFERROR(IF(AH695="",0,AH695/U695),0)</f>
        <v>1</v>
      </c>
      <c r="AY695" s="51">
        <f t="shared" ref="AY695:AY704" si="1004">IFERROR(IF(AI695="",0,AI695/V695),0)</f>
        <v>1</v>
      </c>
      <c r="AZ695" s="51">
        <f t="shared" ref="AZ695:AZ704" si="1005">IFERROR(IF(AJ695="",0,AJ695/W695),0)</f>
        <v>2.75</v>
      </c>
      <c r="BA695" s="51">
        <f t="shared" si="998"/>
        <v>3.5625</v>
      </c>
      <c r="BB695" s="51"/>
      <c r="BC695" s="51"/>
      <c r="BD695" s="51"/>
      <c r="BE695" s="51"/>
      <c r="BF695" s="51"/>
      <c r="BG695" s="51"/>
      <c r="BH695" s="51"/>
      <c r="BI695" s="65" cm="1">
        <f t="array" ref="BI695">IFERROR(INDEX(AW695:BH695,1,MATCH(2,1/(AW695:BH695&lt;&gt;""))),"")</f>
        <v>3.5625</v>
      </c>
      <c r="BJ695" s="68" cm="1">
        <f t="array" ref="BJ695">IF(BM695 = "", "",IFERROR(INDEX(AW695:BH695,1,MATCH(2,1/(AW695:BH695&lt;&gt;""),1)-1),""))</f>
        <v>2.75</v>
      </c>
      <c r="BK695" s="58">
        <f>IF((IF(AW695&gt;=115%,115%,AW695) + IF(AX695&gt;=115%,115%,AX695) + IF(AY695&gt;=115%,115%,AY695) + (IF(AZ695&gt;=115%,115%,AZ695) + IF(BA695&gt;=160%,160%,BA695) + IF(BB695&gt;=115%,115%,BB695) + IF(BC695&gt;=115%,115%,BC695) + IF(BD695&gt;=115%,115%,BD695) + IF(BE695&gt;=115%,115%,BE695) + IF(BF695&gt;=115%,115%,BF695) + IF(BG695&gt;=115%,115%,BG695) + IF(BH695&gt;=115%,115%,BH695)))/_xlfn.XLOOKUP(F695,Apuração!A:A,Apuração!B:B)&gt;=1.15,1.15,((IF(AZ695&gt;=115%,115%,AZ695) + IF(AX695&gt;=115%,115%,AX695) + IF(AY695&gt;=115%,115%,AY695) + (IF(AW695&gt;=115%,115%,AW695) + IF(BA695&gt;=160%,160%,BA695) + IF(BB695&gt;=115%,115%,BB695) + IF(BC695&gt;=115%,115%,BC695) + IF(BD695&gt;=115%,115%,BD695) + IF(BE695&gt;=115%,115%,BE695) + IF(BF695&gt;=115%,115%,BF695) + IF(BG695&gt;=115%,115%,BG695) + IF(BH695&gt;=115%,115%,BH695)))/_xlfn.XLOOKUP(F695,Apuração!A:A,Apuração!B:B)))</f>
        <v>0.47916666666666669</v>
      </c>
      <c r="BL695" s="58" cm="1">
        <f t="array" aca="1" ref="BL695" ca="1">IF(SUM(IFERROR(IF(INDEX(AW695:INDEX(AW695:BH695, MATCH(2, 1/(AW695:BH695&lt;&gt;""), 1)-1), ROW(INDIRECT("1:" &amp; MATCH(2, 1/(AW695:BH695&lt;&gt;""), 1)-1))) &gt;= 115%, 115%, INDEX(AW695:INDEX(AW695:BH695, MATCH(2, 1/(AW695:BH695&lt;&gt;""), 1)-1), ROW(INDIRECT("1:" &amp; MATCH(2, 1/(AW695:BH695&lt;&gt;""), 1)-1)))), 0))/_xlfn.XLOOKUP(F695,Apuração!A:A,Apuração!B:B)&gt;=1.15,1.15,SUM(IFERROR(IF(INDEX(AW695:INDEX(AW695:BH695, MATCH(2, 1/(AW695:BH695&lt;&gt;""), 1)-1), ROW(INDIRECT("1:" &amp; MATCH(2, 1/(AW695:BH695&lt;&gt;""), 1)-1))) &gt;= 115%, 115%, INDEX(AW695:INDEX(AW695:BH695, MATCH(2, 1/(AW695:BH695&lt;&gt;""), 1)-1), ROW(INDIRECT("1:" &amp; MATCH(2, 1/(AW695:BH695&lt;&gt;""), 1)-1)))), 0))/_xlfn.XLOOKUP(F695,Apuração!A:A,Apuração!B:B))</f>
        <v>0.34583333333333338</v>
      </c>
      <c r="BM695" s="55" cm="1">
        <f t="array" ref="BM695">IFERROR(
   INDEX($AW$1:$BH$1,
      _xlfn.AGGREGATE(14, 6, COLUMN($AW$1:$BH$1)/(AW695:BH695&lt;&gt;""), 2) - COLUMN($AW$1) + 1
   ),
"")</f>
        <v>46113</v>
      </c>
      <c r="BN695" s="55" cm="1">
        <f t="array" ref="BN695">IFERROR(INDEX($AW$1:$BH$1,1,MATCH(2,1/(AW695:BH695&lt;&gt;""))),"")</f>
        <v>46143</v>
      </c>
      <c r="BO695" s="53">
        <f ca="1">IFERROR(_xlfn.XLOOKUP(F695,Apuração!A:A,Apuração!C:C)/_xlfn.XLOOKUP(F695,Apuração!A:A,Apuração!B:B),0)</f>
        <v>0.41666666666666669</v>
      </c>
      <c r="BP695" s="53">
        <f ca="1">IFERROR(_xlfn.XLOOKUP(F695,Apuração!A:A,Apuração!D:D)/_xlfn.XLOOKUP(F695,Apuração!A:A,Apuração!B:B),0)</f>
        <v>0.33333333333333331</v>
      </c>
      <c r="BQ695" s="53">
        <f ca="1">IF(BK695&gt;=BO695,0,_xlfn.XLOOKUP(F695,Apuração!A:A,Apuração!B:B)*(BO695 + (1/_xlfn.XLOOKUP(F695,Apuração!A:A,Apuração!B:B)) - BK695))</f>
        <v>0</v>
      </c>
      <c r="BR695" s="85">
        <f t="shared" ref="BR695:BR704" ca="1" si="1006">IF(BQ695=0,0,BQ695*Z695)</f>
        <v>0</v>
      </c>
      <c r="BS695" s="53">
        <f ca="1">IFERROR((_xlfn.XLOOKUP(F695,Apuração!A:A,Apuração!C:C)+1)/_xlfn.XLOOKUP(F695,Apuração!A:A,Apuração!B:B),0)</f>
        <v>0.5</v>
      </c>
    </row>
    <row r="696" spans="1:71" ht="25.95" hidden="1" customHeight="1" x14ac:dyDescent="0.3">
      <c r="A696" s="23" t="s">
        <v>134</v>
      </c>
      <c r="B696" s="4" t="s">
        <v>142</v>
      </c>
      <c r="C696" s="5" t="s">
        <v>97</v>
      </c>
      <c r="D696" s="5" t="s">
        <v>99</v>
      </c>
      <c r="E696" s="4" t="str" cm="1">
        <f t="array" ref="E696">_xlfn.IFS(
F696 = "A partir de Abril", "Aguardando Execução na Distribuidora",
A696 = "CAPACITAÇÃO", "Em execução no Corporativo",
TRUE, "Em Execução na Distribuidora"
)</f>
        <v>Em Execução na Distribuidora</v>
      </c>
      <c r="F696" s="4" t="str" cm="1">
        <f t="array" ref="F696">_xlfn.IFS(
AG696 &lt;&gt; "", "Jan-Dez/26",
AH696 &lt;&gt; "", "Fev-Dez/26",
AI696 &lt;&gt; "", "Mar-Dez/26", AJ696 &lt;&gt; "", "Abr-Dez/26",
TRUE, "A partir de Junho"
)</f>
        <v>Jan-Dez/26</v>
      </c>
      <c r="G696" s="4" t="s">
        <v>37</v>
      </c>
      <c r="H696" s="7" t="s">
        <v>38</v>
      </c>
      <c r="I696" s="8" t="s">
        <v>143</v>
      </c>
      <c r="J696" s="8" t="str" cm="1">
        <f t="array" aca="1" ref="J696" ca="1">_xlfn.LET(
  _xlpm.actual_value_month, INDEX(T696:AE696, MATCH(DATE(YEAR(TODAY()), MONTH(TODAY()), 1), $T$1:$AE$1, 0)),
  IF(_xlpm.actual_value_month &lt;&gt; "",_xlpm.actual_value_month &amp; " equipes mensais", "")
)</f>
        <v>16 equipes mensais</v>
      </c>
      <c r="K696" s="8" t="str" cm="1">
        <f t="array" ref="K696">_xlfn.LET(
    _xlpm.sum_month, SUM(T696:AE696),
    IF(_xlpm.sum_month = 0, "", _xlpm.sum_month &amp; " equipes inspencionadas no ano")
)</f>
        <v>215 equipes inspencionadas no ano</v>
      </c>
      <c r="L696" s="4" t="s">
        <v>144</v>
      </c>
      <c r="M696" s="24" t="s">
        <v>145</v>
      </c>
      <c r="N696" s="5" t="s">
        <v>42</v>
      </c>
      <c r="O696" s="5" t="s">
        <v>43</v>
      </c>
      <c r="P696" s="10" t="s">
        <v>146</v>
      </c>
      <c r="Q696" s="10" t="s">
        <v>44</v>
      </c>
      <c r="R696" s="11" t="s">
        <v>147</v>
      </c>
      <c r="S696" s="11" t="s">
        <v>44</v>
      </c>
      <c r="T696" s="143">
        <v>24</v>
      </c>
      <c r="U696" s="143">
        <v>23</v>
      </c>
      <c r="V696" s="143">
        <v>24</v>
      </c>
      <c r="W696" s="143">
        <v>16</v>
      </c>
      <c r="X696" s="143">
        <v>16</v>
      </c>
      <c r="Y696" s="143">
        <v>16</v>
      </c>
      <c r="Z696" s="143">
        <v>16</v>
      </c>
      <c r="AA696" s="143">
        <v>16</v>
      </c>
      <c r="AB696" s="143">
        <v>16</v>
      </c>
      <c r="AC696" s="143">
        <v>16</v>
      </c>
      <c r="AD696" s="143">
        <v>16</v>
      </c>
      <c r="AE696" s="143">
        <v>16</v>
      </c>
      <c r="AG696" s="146">
        <v>24</v>
      </c>
      <c r="AH696" s="146">
        <v>23</v>
      </c>
      <c r="AI696" s="146">
        <v>24</v>
      </c>
      <c r="AJ696" s="146">
        <v>12</v>
      </c>
      <c r="AK696" s="71">
        <v>27</v>
      </c>
      <c r="AL696" s="71"/>
      <c r="AM696" s="71"/>
      <c r="AN696" s="71"/>
      <c r="AO696" s="71"/>
      <c r="AP696" s="71"/>
      <c r="AQ696" s="71"/>
      <c r="AR696" s="71"/>
      <c r="AS696" s="94">
        <f t="shared" ca="1" si="999"/>
        <v>103</v>
      </c>
      <c r="AT696" s="95">
        <f t="shared" si="1000"/>
        <v>101.4</v>
      </c>
      <c r="AU696" s="97">
        <f t="shared" si="1001"/>
        <v>110</v>
      </c>
      <c r="AW696" s="51">
        <f t="shared" si="1002"/>
        <v>1</v>
      </c>
      <c r="AX696" s="51">
        <f t="shared" si="1003"/>
        <v>1</v>
      </c>
      <c r="AY696" s="51">
        <f t="shared" si="1004"/>
        <v>1</v>
      </c>
      <c r="AZ696" s="51">
        <f t="shared" si="1005"/>
        <v>0.75</v>
      </c>
      <c r="BA696" s="51">
        <f t="shared" si="998"/>
        <v>1.6875</v>
      </c>
      <c r="BB696" s="51"/>
      <c r="BC696" s="51"/>
      <c r="BD696" s="51"/>
      <c r="BE696" s="51"/>
      <c r="BF696" s="51"/>
      <c r="BG696" s="51"/>
      <c r="BH696" s="51"/>
      <c r="BI696" s="65" cm="1">
        <f t="array" ref="BI696">IFERROR(INDEX(AW696:BH696,1,MATCH(2,1/(AW696:BH696&lt;&gt;""))),"")</f>
        <v>1.6875</v>
      </c>
      <c r="BJ696" s="68" cm="1">
        <f t="array" ref="BJ696">IF(BM696 = "", "",IFERROR(INDEX(AW696:BH696,1,MATCH(2,1/(AW696:BH696&lt;&gt;""),1)-1),""))</f>
        <v>0.75</v>
      </c>
      <c r="BK696" s="58">
        <f>IF((IF(AW696&gt;=115%,115%,AW696) + IF(AX696&gt;=115%,115%,AX696) + IF(AY696&gt;=115%,115%,AY696) + (IF(AZ696&gt;=115%,115%,AZ696) + IF(BA696&gt;=160%,160%,BA696) + IF(BB696&gt;=115%,115%,BB696) + IF(BC696&gt;=115%,115%,BC696) + IF(BD696&gt;=115%,115%,BD696) + IF(BE696&gt;=115%,115%,BE696) + IF(BF696&gt;=115%,115%,BF696) + IF(BG696&gt;=115%,115%,BG696) + IF(BH696&gt;=115%,115%,BH696)))/_xlfn.XLOOKUP(F696,Apuração!A:A,Apuração!B:B)&gt;=1.15,1.15,((IF(AZ696&gt;=115%,115%,AZ696) + IF(AX696&gt;=115%,115%,AX696) + IF(AY696&gt;=115%,115%,AY696) + (IF(AW696&gt;=115%,115%,AW696) + IF(BA696&gt;=160%,160%,BA696) + IF(BB696&gt;=115%,115%,BB696) + IF(BC696&gt;=115%,115%,BC696) + IF(BD696&gt;=115%,115%,BD696) + IF(BE696&gt;=115%,115%,BE696) + IF(BF696&gt;=115%,115%,BF696) + IF(BG696&gt;=115%,115%,BG696) + IF(BH696&gt;=115%,115%,BH696)))/_xlfn.XLOOKUP(F696,Apuração!A:A,Apuração!B:B)))</f>
        <v>0.4458333333333333</v>
      </c>
      <c r="BL696" s="58" cm="1">
        <f t="array" aca="1" ref="BL696" ca="1">IF(SUM(IFERROR(IF(INDEX(AW696:INDEX(AW696:BH696, MATCH(2, 1/(AW696:BH696&lt;&gt;""), 1)-1), ROW(INDIRECT("1:" &amp; MATCH(2, 1/(AW696:BH696&lt;&gt;""), 1)-1))) &gt;= 115%, 115%, INDEX(AW696:INDEX(AW696:BH696, MATCH(2, 1/(AW696:BH696&lt;&gt;""), 1)-1), ROW(INDIRECT("1:" &amp; MATCH(2, 1/(AW696:BH696&lt;&gt;""), 1)-1)))), 0))/_xlfn.XLOOKUP(F696,Apuração!A:A,Apuração!B:B)&gt;=1.15,1.15,SUM(IFERROR(IF(INDEX(AW696:INDEX(AW696:BH696, MATCH(2, 1/(AW696:BH696&lt;&gt;""), 1)-1), ROW(INDIRECT("1:" &amp; MATCH(2, 1/(AW696:BH696&lt;&gt;""), 1)-1))) &gt;= 115%, 115%, INDEX(AW696:INDEX(AW696:BH696, MATCH(2, 1/(AW696:BH696&lt;&gt;""), 1)-1), ROW(INDIRECT("1:" &amp; MATCH(2, 1/(AW696:BH696&lt;&gt;""), 1)-1)))), 0))/_xlfn.XLOOKUP(F696,Apuração!A:A,Apuração!B:B))</f>
        <v>0.3125</v>
      </c>
      <c r="BM696" s="55" cm="1">
        <f t="array" ref="BM696">IFERROR(
   INDEX($AW$1:$BH$1,
      _xlfn.AGGREGATE(14, 6, COLUMN($AW$1:$BH$1)/(AW696:BH696&lt;&gt;""), 2) - COLUMN($AW$1) + 1
   ),
"")</f>
        <v>46113</v>
      </c>
      <c r="BN696" s="55" cm="1">
        <f t="array" ref="BN696">IFERROR(INDEX($AW$1:$BH$1,1,MATCH(2,1/(AW696:BH696&lt;&gt;""))),"")</f>
        <v>46143</v>
      </c>
      <c r="BO696" s="53">
        <f ca="1">IFERROR(_xlfn.XLOOKUP(F696,Apuração!A:A,Apuração!C:C)/_xlfn.XLOOKUP(F696,Apuração!A:A,Apuração!B:B),0)</f>
        <v>0.41666666666666669</v>
      </c>
      <c r="BP696" s="53">
        <f ca="1">IFERROR(_xlfn.XLOOKUP(F696,Apuração!A:A,Apuração!D:D)/_xlfn.XLOOKUP(F696,Apuração!A:A,Apuração!B:B),0)</f>
        <v>0.33333333333333331</v>
      </c>
      <c r="BQ696" s="53">
        <f ca="1">IF(BK696&gt;=BO696,0,_xlfn.XLOOKUP(F696,Apuração!A:A,Apuração!B:B)*(BO696 + (1/_xlfn.XLOOKUP(F696,Apuração!A:A,Apuração!B:B)) - BK696))</f>
        <v>0</v>
      </c>
      <c r="BR696" s="85">
        <f t="shared" ca="1" si="1006"/>
        <v>0</v>
      </c>
      <c r="BS696" s="53">
        <f ca="1">IFERROR((_xlfn.XLOOKUP(F696,Apuração!A:A,Apuração!C:C)+1)/_xlfn.XLOOKUP(F696,Apuração!A:A,Apuração!B:B),0)</f>
        <v>0.5</v>
      </c>
    </row>
    <row r="697" spans="1:71" ht="25.95" hidden="1" customHeight="1" x14ac:dyDescent="0.3">
      <c r="A697" s="23" t="s">
        <v>134</v>
      </c>
      <c r="B697" s="4" t="s">
        <v>142</v>
      </c>
      <c r="C697" s="5" t="s">
        <v>97</v>
      </c>
      <c r="D697" s="5" t="s">
        <v>100</v>
      </c>
      <c r="E697" s="4" t="str" cm="1">
        <f t="array" ref="E697">_xlfn.IFS(
F697 = "A partir de Abril", "Aguardando Execução na Distribuidora",
A697 = "CAPACITAÇÃO", "Em execução no Corporativo",
TRUE, "Em Execução na Distribuidora"
)</f>
        <v>Em Execução na Distribuidora</v>
      </c>
      <c r="F697" s="4" t="str" cm="1">
        <f t="array" ref="F697">_xlfn.IFS(
AG697 &lt;&gt; "", "Jan-Dez/26",
AH697 &lt;&gt; "", "Fev-Dez/26",
AI697 &lt;&gt; "", "Mar-Dez/26", AJ697 &lt;&gt; "", "Abr-Dez/26",
TRUE, "A partir de Junho"
)</f>
        <v>Jan-Dez/26</v>
      </c>
      <c r="G697" s="4" t="s">
        <v>37</v>
      </c>
      <c r="H697" s="7" t="s">
        <v>38</v>
      </c>
      <c r="I697" s="8" t="s">
        <v>143</v>
      </c>
      <c r="J697" s="8" t="str" cm="1">
        <f t="array" aca="1" ref="J697" ca="1">_xlfn.LET(
  _xlpm.actual_value_month, INDEX(T697:AE697, MATCH(DATE(YEAR(TODAY()), MONTH(TODAY()), 1), $T$1:$AE$1, 0)),
  IF(_xlpm.actual_value_month &lt;&gt; "",_xlpm.actual_value_month &amp; " equipes mensais", "")
)</f>
        <v>58 equipes mensais</v>
      </c>
      <c r="K697" s="8" t="str" cm="1">
        <f t="array" ref="K697">_xlfn.LET(
    _xlpm.sum_month, SUM(T697:AE697),
    IF(_xlpm.sum_month = 0, "", _xlpm.sum_month &amp; " equipes inspencionadas no ano")
)</f>
        <v>918 equipes inspencionadas no ano</v>
      </c>
      <c r="L697" s="4" t="s">
        <v>144</v>
      </c>
      <c r="M697" s="24" t="s">
        <v>145</v>
      </c>
      <c r="N697" s="5" t="s">
        <v>42</v>
      </c>
      <c r="O697" s="5" t="s">
        <v>43</v>
      </c>
      <c r="P697" s="10" t="s">
        <v>146</v>
      </c>
      <c r="Q697" s="10" t="s">
        <v>44</v>
      </c>
      <c r="R697" s="11" t="s">
        <v>147</v>
      </c>
      <c r="S697" s="11" t="s">
        <v>44</v>
      </c>
      <c r="T697" s="143">
        <v>23</v>
      </c>
      <c r="U697" s="143">
        <v>76</v>
      </c>
      <c r="V697" s="143">
        <v>297</v>
      </c>
      <c r="W697" s="143">
        <v>58</v>
      </c>
      <c r="X697" s="143">
        <v>58</v>
      </c>
      <c r="Y697" s="143">
        <v>58</v>
      </c>
      <c r="Z697" s="143">
        <v>58</v>
      </c>
      <c r="AA697" s="143">
        <v>58</v>
      </c>
      <c r="AB697" s="143">
        <v>58</v>
      </c>
      <c r="AC697" s="143">
        <v>58</v>
      </c>
      <c r="AD697" s="143">
        <v>58</v>
      </c>
      <c r="AE697" s="143">
        <v>58</v>
      </c>
      <c r="AG697" s="146">
        <v>23</v>
      </c>
      <c r="AH697" s="146">
        <v>76</v>
      </c>
      <c r="AI697" s="146">
        <v>297</v>
      </c>
      <c r="AJ697" s="146">
        <v>283</v>
      </c>
      <c r="AK697" s="71">
        <v>243</v>
      </c>
      <c r="AL697" s="71"/>
      <c r="AM697" s="71"/>
      <c r="AN697" s="71"/>
      <c r="AO697" s="71"/>
      <c r="AP697" s="71"/>
      <c r="AQ697" s="71"/>
      <c r="AR697" s="71"/>
      <c r="AS697" s="94">
        <f t="shared" ca="1" si="999"/>
        <v>512</v>
      </c>
      <c r="AT697" s="95">
        <f t="shared" si="1000"/>
        <v>529.4</v>
      </c>
      <c r="AU697" s="97">
        <f t="shared" si="1001"/>
        <v>922</v>
      </c>
      <c r="AW697" s="51">
        <f t="shared" si="1002"/>
        <v>1</v>
      </c>
      <c r="AX697" s="51">
        <f t="shared" si="1003"/>
        <v>1</v>
      </c>
      <c r="AY697" s="51">
        <f t="shared" si="1004"/>
        <v>1</v>
      </c>
      <c r="AZ697" s="51">
        <f t="shared" si="1005"/>
        <v>4.8793103448275863</v>
      </c>
      <c r="BA697" s="51">
        <f t="shared" si="998"/>
        <v>4.1896551724137927</v>
      </c>
      <c r="BB697" s="51"/>
      <c r="BC697" s="51"/>
      <c r="BD697" s="51"/>
      <c r="BE697" s="51"/>
      <c r="BF697" s="51"/>
      <c r="BG697" s="51"/>
      <c r="BH697" s="51"/>
      <c r="BI697" s="65" cm="1">
        <f t="array" ref="BI697">IFERROR(INDEX(AW697:BH697,1,MATCH(2,1/(AW697:BH697&lt;&gt;""))),"")</f>
        <v>4.1896551724137927</v>
      </c>
      <c r="BJ697" s="68" cm="1">
        <f t="array" ref="BJ697">IF(BM697 = "", "",IFERROR(INDEX(AW697:BH697,1,MATCH(2,1/(AW697:BH697&lt;&gt;""),1)-1),""))</f>
        <v>4.8793103448275863</v>
      </c>
      <c r="BK697" s="58">
        <f>IF((IF(AW697&gt;=115%,115%,AW697) + IF(AX697&gt;=115%,115%,AX697) + IF(AY697&gt;=115%,115%,AY697) + (IF(AZ697&gt;=115%,115%,AZ697) + IF(BA697&gt;=160%,160%,BA697) + IF(BB697&gt;=115%,115%,BB697) + IF(BC697&gt;=115%,115%,BC697) + IF(BD697&gt;=115%,115%,BD697) + IF(BE697&gt;=115%,115%,BE697) + IF(BF697&gt;=115%,115%,BF697) + IF(BG697&gt;=115%,115%,BG697) + IF(BH697&gt;=115%,115%,BH697)))/_xlfn.XLOOKUP(F697,Apuração!A:A,Apuração!B:B)&gt;=1.15,1.15,((IF(AZ697&gt;=115%,115%,AZ697) + IF(AX697&gt;=115%,115%,AX697) + IF(AY697&gt;=115%,115%,AY697) + (IF(AW697&gt;=115%,115%,AW697) + IF(BA697&gt;=160%,160%,BA697) + IF(BB697&gt;=115%,115%,BB697) + IF(BC697&gt;=115%,115%,BC697) + IF(BD697&gt;=115%,115%,BD697) + IF(BE697&gt;=115%,115%,BE697) + IF(BF697&gt;=115%,115%,BF697) + IF(BG697&gt;=115%,115%,BG697) + IF(BH697&gt;=115%,115%,BH697)))/_xlfn.XLOOKUP(F697,Apuração!A:A,Apuração!B:B)))</f>
        <v>0.47916666666666669</v>
      </c>
      <c r="BL697" s="58" cm="1">
        <f t="array" aca="1" ref="BL697" ca="1">IF(SUM(IFERROR(IF(INDEX(AW697:INDEX(AW697:BH697, MATCH(2, 1/(AW697:BH697&lt;&gt;""), 1)-1), ROW(INDIRECT("1:" &amp; MATCH(2, 1/(AW697:BH697&lt;&gt;""), 1)-1))) &gt;= 115%, 115%, INDEX(AW697:INDEX(AW697:BH697, MATCH(2, 1/(AW697:BH697&lt;&gt;""), 1)-1), ROW(INDIRECT("1:" &amp; MATCH(2, 1/(AW697:BH697&lt;&gt;""), 1)-1)))), 0))/_xlfn.XLOOKUP(F697,Apuração!A:A,Apuração!B:B)&gt;=1.15,1.15,SUM(IFERROR(IF(INDEX(AW697:INDEX(AW697:BH697, MATCH(2, 1/(AW697:BH697&lt;&gt;""), 1)-1), ROW(INDIRECT("1:" &amp; MATCH(2, 1/(AW697:BH697&lt;&gt;""), 1)-1))) &gt;= 115%, 115%, INDEX(AW697:INDEX(AW697:BH697, MATCH(2, 1/(AW697:BH697&lt;&gt;""), 1)-1), ROW(INDIRECT("1:" &amp; MATCH(2, 1/(AW697:BH697&lt;&gt;""), 1)-1)))), 0))/_xlfn.XLOOKUP(F697,Apuração!A:A,Apuração!B:B))</f>
        <v>0.34583333333333338</v>
      </c>
      <c r="BM697" s="55" cm="1">
        <f t="array" ref="BM697">IFERROR(
   INDEX($AW$1:$BH$1,
      _xlfn.AGGREGATE(14, 6, COLUMN($AW$1:$BH$1)/(AW697:BH697&lt;&gt;""), 2) - COLUMN($AW$1) + 1
   ),
"")</f>
        <v>46113</v>
      </c>
      <c r="BN697" s="55" cm="1">
        <f t="array" ref="BN697">IFERROR(INDEX($AW$1:$BH$1,1,MATCH(2,1/(AW697:BH697&lt;&gt;""))),"")</f>
        <v>46143</v>
      </c>
      <c r="BO697" s="53">
        <f ca="1">IFERROR(_xlfn.XLOOKUP(F697,Apuração!A:A,Apuração!C:C)/_xlfn.XLOOKUP(F697,Apuração!A:A,Apuração!B:B),0)</f>
        <v>0.41666666666666669</v>
      </c>
      <c r="BP697" s="53">
        <f ca="1">IFERROR(_xlfn.XLOOKUP(F697,Apuração!A:A,Apuração!D:D)/_xlfn.XLOOKUP(F697,Apuração!A:A,Apuração!B:B),0)</f>
        <v>0.33333333333333331</v>
      </c>
      <c r="BQ697" s="53">
        <f ca="1">IF(BK697&gt;=BO697,0,_xlfn.XLOOKUP(F697,Apuração!A:A,Apuração!B:B)*(BO697 + (1/_xlfn.XLOOKUP(F697,Apuração!A:A,Apuração!B:B)) - BK697))</f>
        <v>0</v>
      </c>
      <c r="BR697" s="85">
        <f t="shared" ca="1" si="1006"/>
        <v>0</v>
      </c>
      <c r="BS697" s="53">
        <f ca="1">IFERROR((_xlfn.XLOOKUP(F697,Apuração!A:A,Apuração!C:C)+1)/_xlfn.XLOOKUP(F697,Apuração!A:A,Apuração!B:B),0)</f>
        <v>0.5</v>
      </c>
    </row>
    <row r="698" spans="1:71" ht="25.95" hidden="1" customHeight="1" x14ac:dyDescent="0.3">
      <c r="A698" s="23" t="s">
        <v>134</v>
      </c>
      <c r="B698" s="4" t="s">
        <v>142</v>
      </c>
      <c r="C698" s="5" t="s">
        <v>97</v>
      </c>
      <c r="D698" s="5" t="s">
        <v>101</v>
      </c>
      <c r="E698" s="4" t="str" cm="1">
        <f t="array" ref="E698">_xlfn.IFS(
F698 = "A partir de Abril", "Aguardando Execução na Distribuidora",
A698 = "CAPACITAÇÃO", "Em execução no Corporativo",
TRUE, "Em Execução na Distribuidora"
)</f>
        <v>Em Execução na Distribuidora</v>
      </c>
      <c r="F698" s="4" t="str" cm="1">
        <f t="array" ref="F698">_xlfn.IFS(
AG698 &lt;&gt; "", "Jan-Dez/26",
AH698 &lt;&gt; "", "Fev-Dez/26",
AI698 &lt;&gt; "", "Mar-Dez/26", AJ698 &lt;&gt; "", "Abr-Dez/26",
TRUE, "A partir de Junho"
)</f>
        <v>Jan-Dez/26</v>
      </c>
      <c r="G698" s="4" t="s">
        <v>37</v>
      </c>
      <c r="H698" s="7" t="s">
        <v>38</v>
      </c>
      <c r="I698" s="8" t="s">
        <v>143</v>
      </c>
      <c r="J698" s="8" t="str" cm="1">
        <f t="array" aca="1" ref="J698" ca="1">_xlfn.LET(
  _xlpm.actual_value_month, INDEX(T698:AE698, MATCH(DATE(YEAR(TODAY()), MONTH(TODAY()), 1), $T$1:$AE$1, 0)),
  IF(_xlpm.actual_value_month &lt;&gt; "",_xlpm.actual_value_month &amp; " equipes mensais", "")
)</f>
        <v>11 equipes mensais</v>
      </c>
      <c r="K698" s="8" t="str" cm="1">
        <f t="array" ref="K698">_xlfn.LET(
    _xlpm.sum_month, SUM(T698:AE698),
    IF(_xlpm.sum_month = 0, "", _xlpm.sum_month &amp; " equipes inspencionadas no ano")
)</f>
        <v>223 equipes inspencionadas no ano</v>
      </c>
      <c r="L698" s="4" t="s">
        <v>144</v>
      </c>
      <c r="M698" s="24" t="s">
        <v>145</v>
      </c>
      <c r="N698" s="5" t="s">
        <v>42</v>
      </c>
      <c r="O698" s="5" t="s">
        <v>43</v>
      </c>
      <c r="P698" s="10" t="s">
        <v>146</v>
      </c>
      <c r="Q698" s="10" t="s">
        <v>44</v>
      </c>
      <c r="R698" s="11" t="s">
        <v>147</v>
      </c>
      <c r="S698" s="11" t="s">
        <v>44</v>
      </c>
      <c r="T698" s="143">
        <v>45</v>
      </c>
      <c r="U698" s="143">
        <v>39</v>
      </c>
      <c r="V698" s="143">
        <v>40</v>
      </c>
      <c r="W698" s="143">
        <v>11</v>
      </c>
      <c r="X698" s="143">
        <v>11</v>
      </c>
      <c r="Y698" s="143">
        <v>11</v>
      </c>
      <c r="Z698" s="143">
        <v>11</v>
      </c>
      <c r="AA698" s="143">
        <v>11</v>
      </c>
      <c r="AB698" s="143">
        <v>11</v>
      </c>
      <c r="AC698" s="143">
        <v>11</v>
      </c>
      <c r="AD698" s="143">
        <v>11</v>
      </c>
      <c r="AE698" s="143">
        <v>11</v>
      </c>
      <c r="AG698" s="146">
        <v>45</v>
      </c>
      <c r="AH698" s="146">
        <v>39</v>
      </c>
      <c r="AI698" s="146">
        <v>40</v>
      </c>
      <c r="AJ698" s="146">
        <v>38</v>
      </c>
      <c r="AK698" s="71">
        <v>38</v>
      </c>
      <c r="AL698" s="71"/>
      <c r="AM698" s="71"/>
      <c r="AN698" s="71"/>
      <c r="AO698" s="71"/>
      <c r="AP698" s="71"/>
      <c r="AQ698" s="71"/>
      <c r="AR698" s="71"/>
      <c r="AS698" s="94">
        <f t="shared" ca="1" si="999"/>
        <v>146</v>
      </c>
      <c r="AT698" s="95">
        <f t="shared" si="1000"/>
        <v>149.30000000000001</v>
      </c>
      <c r="AU698" s="97">
        <f t="shared" si="1001"/>
        <v>200</v>
      </c>
      <c r="AW698" s="51">
        <f t="shared" si="1002"/>
        <v>1</v>
      </c>
      <c r="AX698" s="51">
        <f t="shared" si="1003"/>
        <v>1</v>
      </c>
      <c r="AY698" s="51">
        <f t="shared" si="1004"/>
        <v>1</v>
      </c>
      <c r="AZ698" s="51">
        <f t="shared" si="1005"/>
        <v>3.4545454545454546</v>
      </c>
      <c r="BA698" s="51">
        <f t="shared" si="998"/>
        <v>3.4545454545454546</v>
      </c>
      <c r="BB698" s="51"/>
      <c r="BC698" s="51"/>
      <c r="BD698" s="51"/>
      <c r="BE698" s="51"/>
      <c r="BF698" s="51"/>
      <c r="BG698" s="51"/>
      <c r="BH698" s="51"/>
      <c r="BI698" s="65" cm="1">
        <f t="array" ref="BI698">IFERROR(INDEX(AW698:BH698,1,MATCH(2,1/(AW698:BH698&lt;&gt;""))),"")</f>
        <v>3.4545454545454546</v>
      </c>
      <c r="BJ698" s="68" cm="1">
        <f t="array" ref="BJ698">IF(BM698 = "", "",IFERROR(INDEX(AW698:BH698,1,MATCH(2,1/(AW698:BH698&lt;&gt;""),1)-1),""))</f>
        <v>3.4545454545454546</v>
      </c>
      <c r="BK698" s="58">
        <f>IF((IF(AW698&gt;=115%,115%,AW698) + IF(AX698&gt;=115%,115%,AX698) + IF(AY698&gt;=115%,115%,AY698) + (IF(AZ698&gt;=115%,115%,AZ698) + IF(BA698&gt;=160%,160%,BA698) + IF(BB698&gt;=115%,115%,BB698) + IF(BC698&gt;=115%,115%,BC698) + IF(BD698&gt;=115%,115%,BD698) + IF(BE698&gt;=115%,115%,BE698) + IF(BF698&gt;=115%,115%,BF698) + IF(BG698&gt;=115%,115%,BG698) + IF(BH698&gt;=115%,115%,BH698)))/_xlfn.XLOOKUP(F698,Apuração!A:A,Apuração!B:B)&gt;=1.15,1.15,((IF(AZ698&gt;=115%,115%,AZ698) + IF(AX698&gt;=115%,115%,AX698) + IF(AY698&gt;=115%,115%,AY698) + (IF(AW698&gt;=115%,115%,AW698) + IF(BA698&gt;=160%,160%,BA698) + IF(BB698&gt;=115%,115%,BB698) + IF(BC698&gt;=115%,115%,BC698) + IF(BD698&gt;=115%,115%,BD698) + IF(BE698&gt;=115%,115%,BE698) + IF(BF698&gt;=115%,115%,BF698) + IF(BG698&gt;=115%,115%,BG698) + IF(BH698&gt;=115%,115%,BH698)))/_xlfn.XLOOKUP(F698,Apuração!A:A,Apuração!B:B)))</f>
        <v>0.47916666666666669</v>
      </c>
      <c r="BL698" s="58" cm="1">
        <f t="array" aca="1" ref="BL698" ca="1">IF(SUM(IFERROR(IF(INDEX(AW698:INDEX(AW698:BH698, MATCH(2, 1/(AW698:BH698&lt;&gt;""), 1)-1), ROW(INDIRECT("1:" &amp; MATCH(2, 1/(AW698:BH698&lt;&gt;""), 1)-1))) &gt;= 115%, 115%, INDEX(AW698:INDEX(AW698:BH698, MATCH(2, 1/(AW698:BH698&lt;&gt;""), 1)-1), ROW(INDIRECT("1:" &amp; MATCH(2, 1/(AW698:BH698&lt;&gt;""), 1)-1)))), 0))/_xlfn.XLOOKUP(F698,Apuração!A:A,Apuração!B:B)&gt;=1.15,1.15,SUM(IFERROR(IF(INDEX(AW698:INDEX(AW698:BH698, MATCH(2, 1/(AW698:BH698&lt;&gt;""), 1)-1), ROW(INDIRECT("1:" &amp; MATCH(2, 1/(AW698:BH698&lt;&gt;""), 1)-1))) &gt;= 115%, 115%, INDEX(AW698:INDEX(AW698:BH698, MATCH(2, 1/(AW698:BH698&lt;&gt;""), 1)-1), ROW(INDIRECT("1:" &amp; MATCH(2, 1/(AW698:BH698&lt;&gt;""), 1)-1)))), 0))/_xlfn.XLOOKUP(F698,Apuração!A:A,Apuração!B:B))</f>
        <v>0.34583333333333338</v>
      </c>
      <c r="BM698" s="55" cm="1">
        <f t="array" ref="BM698">IFERROR(
   INDEX($AW$1:$BH$1,
      _xlfn.AGGREGATE(14, 6, COLUMN($AW$1:$BH$1)/(AW698:BH698&lt;&gt;""), 2) - COLUMN($AW$1) + 1
   ),
"")</f>
        <v>46113</v>
      </c>
      <c r="BN698" s="55" cm="1">
        <f t="array" ref="BN698">IFERROR(INDEX($AW$1:$BH$1,1,MATCH(2,1/(AW698:BH698&lt;&gt;""))),"")</f>
        <v>46143</v>
      </c>
      <c r="BO698" s="53">
        <f ca="1">IFERROR(_xlfn.XLOOKUP(F698,Apuração!A:A,Apuração!C:C)/_xlfn.XLOOKUP(F698,Apuração!A:A,Apuração!B:B),0)</f>
        <v>0.41666666666666669</v>
      </c>
      <c r="BP698" s="53">
        <f ca="1">IFERROR(_xlfn.XLOOKUP(F698,Apuração!A:A,Apuração!D:D)/_xlfn.XLOOKUP(F698,Apuração!A:A,Apuração!B:B),0)</f>
        <v>0.33333333333333331</v>
      </c>
      <c r="BQ698" s="53">
        <f ca="1">IF(BK698&gt;=BO698,0,_xlfn.XLOOKUP(F698,Apuração!A:A,Apuração!B:B)*(BO698 + (1/_xlfn.XLOOKUP(F698,Apuração!A:A,Apuração!B:B)) - BK698))</f>
        <v>0</v>
      </c>
      <c r="BR698" s="85">
        <f t="shared" ca="1" si="1006"/>
        <v>0</v>
      </c>
      <c r="BS698" s="53">
        <f ca="1">IFERROR((_xlfn.XLOOKUP(F698,Apuração!A:A,Apuração!C:C)+1)/_xlfn.XLOOKUP(F698,Apuração!A:A,Apuração!B:B),0)</f>
        <v>0.5</v>
      </c>
    </row>
    <row r="699" spans="1:71" ht="25.95" hidden="1" customHeight="1" x14ac:dyDescent="0.3">
      <c r="A699" s="23" t="s">
        <v>134</v>
      </c>
      <c r="B699" s="4" t="s">
        <v>142</v>
      </c>
      <c r="C699" s="5" t="s">
        <v>97</v>
      </c>
      <c r="D699" s="5" t="s">
        <v>102</v>
      </c>
      <c r="E699" s="4" t="str" cm="1">
        <f t="array" ref="E699">_xlfn.IFS(
F699 = "A partir de Abril", "Aguardando Execução na Distribuidora",
A699 = "CAPACITAÇÃO", "Em execução no Corporativo",
TRUE, "Em Execução na Distribuidora"
)</f>
        <v>Em Execução na Distribuidora</v>
      </c>
      <c r="F699" s="4" t="str" cm="1">
        <f t="array" ref="F699">_xlfn.IFS(
AG699 &lt;&gt; "", "Jan-Dez/26",
AH699 &lt;&gt; "", "Fev-Dez/26",
AI699 &lt;&gt; "", "Mar-Dez/26", AJ699 &lt;&gt; "", "Abr-Dez/26",
TRUE, "A partir de Junho"
)</f>
        <v>Jan-Dez/26</v>
      </c>
      <c r="G699" s="4" t="s">
        <v>37</v>
      </c>
      <c r="H699" s="7" t="s">
        <v>38</v>
      </c>
      <c r="I699" s="8" t="s">
        <v>143</v>
      </c>
      <c r="J699" s="8" t="str" cm="1">
        <f t="array" aca="1" ref="J699" ca="1">_xlfn.LET(
  _xlpm.actual_value_month, INDEX(T699:AE699, MATCH(DATE(YEAR(TODAY()), MONTH(TODAY()), 1), $T$1:$AE$1, 0)),
  IF(_xlpm.actual_value_month &lt;&gt; "",_xlpm.actual_value_month &amp; " equipes mensais", "")
)</f>
        <v>7 equipes mensais</v>
      </c>
      <c r="K699" s="8" t="str" cm="1">
        <f t="array" ref="K699">_xlfn.LET(
    _xlpm.sum_month, SUM(T699:AE699),
    IF(_xlpm.sum_month = 0, "", _xlpm.sum_month &amp; " equipes inspencionadas no ano")
)</f>
        <v>154 equipes inspencionadas no ano</v>
      </c>
      <c r="L699" s="4" t="s">
        <v>144</v>
      </c>
      <c r="M699" s="24" t="s">
        <v>145</v>
      </c>
      <c r="N699" s="5" t="s">
        <v>42</v>
      </c>
      <c r="O699" s="5" t="s">
        <v>43</v>
      </c>
      <c r="P699" s="10" t="s">
        <v>146</v>
      </c>
      <c r="Q699" s="10" t="s">
        <v>44</v>
      </c>
      <c r="R699" s="11" t="s">
        <v>147</v>
      </c>
      <c r="S699" s="11" t="s">
        <v>44</v>
      </c>
      <c r="T699" s="143">
        <v>37</v>
      </c>
      <c r="U699" s="143">
        <v>25</v>
      </c>
      <c r="V699" s="143">
        <v>29</v>
      </c>
      <c r="W699" s="143">
        <v>7</v>
      </c>
      <c r="X699" s="143">
        <v>7</v>
      </c>
      <c r="Y699" s="143">
        <v>7</v>
      </c>
      <c r="Z699" s="143">
        <v>7</v>
      </c>
      <c r="AA699" s="143">
        <v>7</v>
      </c>
      <c r="AB699" s="143">
        <v>7</v>
      </c>
      <c r="AC699" s="143">
        <v>7</v>
      </c>
      <c r="AD699" s="143">
        <v>7</v>
      </c>
      <c r="AE699" s="143">
        <v>7</v>
      </c>
      <c r="AG699" s="146">
        <v>37</v>
      </c>
      <c r="AH699" s="146">
        <v>25</v>
      </c>
      <c r="AI699" s="146">
        <v>29</v>
      </c>
      <c r="AJ699" s="146">
        <v>26</v>
      </c>
      <c r="AK699" s="71">
        <v>21</v>
      </c>
      <c r="AL699" s="71"/>
      <c r="AM699" s="71"/>
      <c r="AN699" s="71"/>
      <c r="AO699" s="71"/>
      <c r="AP699" s="71"/>
      <c r="AQ699" s="71"/>
      <c r="AR699" s="71"/>
      <c r="AS699" s="94">
        <f t="shared" ca="1" si="999"/>
        <v>105</v>
      </c>
      <c r="AT699" s="95">
        <f t="shared" si="1000"/>
        <v>107.1</v>
      </c>
      <c r="AU699" s="97">
        <f t="shared" si="1001"/>
        <v>138</v>
      </c>
      <c r="AW699" s="51">
        <f t="shared" si="1002"/>
        <v>1</v>
      </c>
      <c r="AX699" s="51">
        <f t="shared" si="1003"/>
        <v>1</v>
      </c>
      <c r="AY699" s="51">
        <f t="shared" si="1004"/>
        <v>1</v>
      </c>
      <c r="AZ699" s="51">
        <f t="shared" si="1005"/>
        <v>3.7142857142857144</v>
      </c>
      <c r="BA699" s="51">
        <f t="shared" si="998"/>
        <v>3</v>
      </c>
      <c r="BB699" s="51"/>
      <c r="BC699" s="51"/>
      <c r="BD699" s="51"/>
      <c r="BE699" s="51"/>
      <c r="BF699" s="51"/>
      <c r="BG699" s="51"/>
      <c r="BH699" s="51"/>
      <c r="BI699" s="65" cm="1">
        <f t="array" ref="BI699">IFERROR(INDEX(AW699:BH699,1,MATCH(2,1/(AW699:BH699&lt;&gt;""))),"")</f>
        <v>3</v>
      </c>
      <c r="BJ699" s="68" cm="1">
        <f t="array" ref="BJ699">IF(BM699 = "", "",IFERROR(INDEX(AW699:BH699,1,MATCH(2,1/(AW699:BH699&lt;&gt;""),1)-1),""))</f>
        <v>3.7142857142857144</v>
      </c>
      <c r="BK699" s="58">
        <f>IF((IF(AW699&gt;=115%,115%,AW699) + IF(AX699&gt;=115%,115%,AX699) + IF(AY699&gt;=115%,115%,AY699) + (IF(AZ699&gt;=115%,115%,AZ699) + IF(BA699&gt;=160%,160%,BA699) + IF(BB699&gt;=115%,115%,BB699) + IF(BC699&gt;=115%,115%,BC699) + IF(BD699&gt;=115%,115%,BD699) + IF(BE699&gt;=115%,115%,BE699) + IF(BF699&gt;=115%,115%,BF699) + IF(BG699&gt;=115%,115%,BG699) + IF(BH699&gt;=115%,115%,BH699)))/_xlfn.XLOOKUP(F699,Apuração!A:A,Apuração!B:B)&gt;=1.15,1.15,((IF(AZ699&gt;=115%,115%,AZ699) + IF(AX699&gt;=115%,115%,AX699) + IF(AY699&gt;=115%,115%,AY699) + (IF(AW699&gt;=115%,115%,AW699) + IF(BA699&gt;=160%,160%,BA699) + IF(BB699&gt;=115%,115%,BB699) + IF(BC699&gt;=115%,115%,BC699) + IF(BD699&gt;=115%,115%,BD699) + IF(BE699&gt;=115%,115%,BE699) + IF(BF699&gt;=115%,115%,BF699) + IF(BG699&gt;=115%,115%,BG699) + IF(BH699&gt;=115%,115%,BH699)))/_xlfn.XLOOKUP(F699,Apuração!A:A,Apuração!B:B)))</f>
        <v>0.47916666666666669</v>
      </c>
      <c r="BL699" s="58" cm="1">
        <f t="array" aca="1" ref="BL699" ca="1">IF(SUM(IFERROR(IF(INDEX(AW699:INDEX(AW699:BH699, MATCH(2, 1/(AW699:BH699&lt;&gt;""), 1)-1), ROW(INDIRECT("1:" &amp; MATCH(2, 1/(AW699:BH699&lt;&gt;""), 1)-1))) &gt;= 115%, 115%, INDEX(AW699:INDEX(AW699:BH699, MATCH(2, 1/(AW699:BH699&lt;&gt;""), 1)-1), ROW(INDIRECT("1:" &amp; MATCH(2, 1/(AW699:BH699&lt;&gt;""), 1)-1)))), 0))/_xlfn.XLOOKUP(F699,Apuração!A:A,Apuração!B:B)&gt;=1.15,1.15,SUM(IFERROR(IF(INDEX(AW699:INDEX(AW699:BH699, MATCH(2, 1/(AW699:BH699&lt;&gt;""), 1)-1), ROW(INDIRECT("1:" &amp; MATCH(2, 1/(AW699:BH699&lt;&gt;""), 1)-1))) &gt;= 115%, 115%, INDEX(AW699:INDEX(AW699:BH699, MATCH(2, 1/(AW699:BH699&lt;&gt;""), 1)-1), ROW(INDIRECT("1:" &amp; MATCH(2, 1/(AW699:BH699&lt;&gt;""), 1)-1)))), 0))/_xlfn.XLOOKUP(F699,Apuração!A:A,Apuração!B:B))</f>
        <v>0.34583333333333338</v>
      </c>
      <c r="BM699" s="55" cm="1">
        <f t="array" ref="BM699">IFERROR(
   INDEX($AW$1:$BH$1,
      _xlfn.AGGREGATE(14, 6, COLUMN($AW$1:$BH$1)/(AW699:BH699&lt;&gt;""), 2) - COLUMN($AW$1) + 1
   ),
"")</f>
        <v>46113</v>
      </c>
      <c r="BN699" s="55" cm="1">
        <f t="array" ref="BN699">IFERROR(INDEX($AW$1:$BH$1,1,MATCH(2,1/(AW699:BH699&lt;&gt;""))),"")</f>
        <v>46143</v>
      </c>
      <c r="BO699" s="53">
        <f ca="1">IFERROR(_xlfn.XLOOKUP(F699,Apuração!A:A,Apuração!C:C)/_xlfn.XLOOKUP(F699,Apuração!A:A,Apuração!B:B),0)</f>
        <v>0.41666666666666669</v>
      </c>
      <c r="BP699" s="53">
        <f ca="1">IFERROR(_xlfn.XLOOKUP(F699,Apuração!A:A,Apuração!D:D)/_xlfn.XLOOKUP(F699,Apuração!A:A,Apuração!B:B),0)</f>
        <v>0.33333333333333331</v>
      </c>
      <c r="BQ699" s="53">
        <f ca="1">IF(BK699&gt;=BO699,0,_xlfn.XLOOKUP(F699,Apuração!A:A,Apuração!B:B)*(BO699 + (1/_xlfn.XLOOKUP(F699,Apuração!A:A,Apuração!B:B)) - BK699))</f>
        <v>0</v>
      </c>
      <c r="BR699" s="85">
        <f t="shared" ca="1" si="1006"/>
        <v>0</v>
      </c>
      <c r="BS699" s="53">
        <f ca="1">IFERROR((_xlfn.XLOOKUP(F699,Apuração!A:A,Apuração!C:C)+1)/_xlfn.XLOOKUP(F699,Apuração!A:A,Apuração!B:B),0)</f>
        <v>0.5</v>
      </c>
    </row>
    <row r="700" spans="1:71" ht="25.95" hidden="1" customHeight="1" x14ac:dyDescent="0.3">
      <c r="A700" s="23" t="s">
        <v>134</v>
      </c>
      <c r="B700" s="4" t="s">
        <v>142</v>
      </c>
      <c r="C700" s="5" t="s">
        <v>97</v>
      </c>
      <c r="D700" s="5" t="s">
        <v>103</v>
      </c>
      <c r="E700" s="4" t="str" cm="1">
        <f t="array" ref="E700">_xlfn.IFS(
F700 = "A partir de Abril", "Aguardando Execução na Distribuidora",
A700 = "CAPACITAÇÃO", "Em execução no Corporativo",
TRUE, "Em Execução na Distribuidora"
)</f>
        <v>Em Execução na Distribuidora</v>
      </c>
      <c r="F700" s="4" t="str" cm="1">
        <f t="array" ref="F700">_xlfn.IFS(
AG700 &lt;&gt; "", "Jan-Dez/26",
AH700 &lt;&gt; "", "Fev-Dez/26",
AI700 &lt;&gt; "", "Mar-Dez/26", AJ700 &lt;&gt; "", "Abr-Dez/26",
TRUE, "A partir de Junho"
)</f>
        <v>Jan-Dez/26</v>
      </c>
      <c r="G700" s="4" t="s">
        <v>37</v>
      </c>
      <c r="H700" s="7" t="s">
        <v>38</v>
      </c>
      <c r="I700" s="8" t="s">
        <v>143</v>
      </c>
      <c r="J700" s="8" t="str" cm="1">
        <f t="array" aca="1" ref="J700" ca="1">_xlfn.LET(
  _xlpm.actual_value_month, INDEX(T700:AE700, MATCH(DATE(YEAR(TODAY()), MONTH(TODAY()), 1), $T$1:$AE$1, 0)),
  IF(_xlpm.actual_value_month &lt;&gt; "",_xlpm.actual_value_month &amp; " equipes mensais", "")
)</f>
        <v>15 equipes mensais</v>
      </c>
      <c r="K700" s="8" t="str" cm="1">
        <f t="array" ref="K700">_xlfn.LET(
    _xlpm.sum_month, SUM(T700:AE700),
    IF(_xlpm.sum_month = 0, "", _xlpm.sum_month &amp; " equipes inspencionadas no ano")
)</f>
        <v>750 equipes inspencionadas no ano</v>
      </c>
      <c r="L700" s="4" t="s">
        <v>144</v>
      </c>
      <c r="M700" s="24" t="s">
        <v>145</v>
      </c>
      <c r="N700" s="5" t="s">
        <v>42</v>
      </c>
      <c r="O700" s="5" t="s">
        <v>43</v>
      </c>
      <c r="P700" s="10" t="s">
        <v>146</v>
      </c>
      <c r="Q700" s="10" t="s">
        <v>44</v>
      </c>
      <c r="R700" s="11" t="s">
        <v>147</v>
      </c>
      <c r="S700" s="11" t="s">
        <v>44</v>
      </c>
      <c r="T700" s="143">
        <v>129</v>
      </c>
      <c r="U700" s="143">
        <v>121</v>
      </c>
      <c r="V700" s="143">
        <v>365</v>
      </c>
      <c r="W700" s="143">
        <v>15</v>
      </c>
      <c r="X700" s="143">
        <v>15</v>
      </c>
      <c r="Y700" s="143">
        <v>15</v>
      </c>
      <c r="Z700" s="143">
        <v>15</v>
      </c>
      <c r="AA700" s="143">
        <v>15</v>
      </c>
      <c r="AB700" s="143">
        <v>15</v>
      </c>
      <c r="AC700" s="143">
        <v>15</v>
      </c>
      <c r="AD700" s="143">
        <v>15</v>
      </c>
      <c r="AE700" s="143">
        <v>15</v>
      </c>
      <c r="AG700" s="146">
        <v>129</v>
      </c>
      <c r="AH700" s="146">
        <v>121</v>
      </c>
      <c r="AI700" s="146">
        <v>365</v>
      </c>
      <c r="AJ700" s="146">
        <v>344</v>
      </c>
      <c r="AK700" s="71">
        <v>398</v>
      </c>
      <c r="AL700" s="71"/>
      <c r="AM700" s="71"/>
      <c r="AN700" s="71"/>
      <c r="AO700" s="71"/>
      <c r="AP700" s="71"/>
      <c r="AQ700" s="71"/>
      <c r="AR700" s="71"/>
      <c r="AS700" s="94">
        <f t="shared" ca="1" si="999"/>
        <v>645</v>
      </c>
      <c r="AT700" s="95">
        <f t="shared" si="1000"/>
        <v>649.5</v>
      </c>
      <c r="AU700" s="97">
        <f t="shared" si="1001"/>
        <v>1357</v>
      </c>
      <c r="AW700" s="51">
        <f t="shared" si="1002"/>
        <v>1</v>
      </c>
      <c r="AX700" s="51">
        <f t="shared" si="1003"/>
        <v>1</v>
      </c>
      <c r="AY700" s="51">
        <f t="shared" si="1004"/>
        <v>1</v>
      </c>
      <c r="AZ700" s="51">
        <f t="shared" si="1005"/>
        <v>22.933333333333334</v>
      </c>
      <c r="BA700" s="51">
        <f t="shared" si="998"/>
        <v>26.533333333333335</v>
      </c>
      <c r="BB700" s="51"/>
      <c r="BC700" s="51"/>
      <c r="BD700" s="51"/>
      <c r="BE700" s="51"/>
      <c r="BF700" s="51"/>
      <c r="BG700" s="51"/>
      <c r="BH700" s="51"/>
      <c r="BI700" s="65" cm="1">
        <f t="array" ref="BI700">IFERROR(INDEX(AW700:BH700,1,MATCH(2,1/(AW700:BH700&lt;&gt;""))),"")</f>
        <v>26.533333333333335</v>
      </c>
      <c r="BJ700" s="68" cm="1">
        <f t="array" ref="BJ700">IF(BM700 = "", "",IFERROR(INDEX(AW700:BH700,1,MATCH(2,1/(AW700:BH700&lt;&gt;""),1)-1),""))</f>
        <v>22.933333333333334</v>
      </c>
      <c r="BK700" s="58">
        <f>IF((IF(AW700&gt;=115%,115%,AW700) + IF(AX700&gt;=115%,115%,AX700) + IF(AY700&gt;=115%,115%,AY700) + (IF(AZ700&gt;=115%,115%,AZ700) + IF(BA700&gt;=160%,160%,BA700) + IF(BB700&gt;=115%,115%,BB700) + IF(BC700&gt;=115%,115%,BC700) + IF(BD700&gt;=115%,115%,BD700) + IF(BE700&gt;=115%,115%,BE700) + IF(BF700&gt;=115%,115%,BF700) + IF(BG700&gt;=115%,115%,BG700) + IF(BH700&gt;=115%,115%,BH700)))/_xlfn.XLOOKUP(F700,Apuração!A:A,Apuração!B:B)&gt;=1.15,1.15,((IF(AZ700&gt;=115%,115%,AZ700) + IF(AX700&gt;=115%,115%,AX700) + IF(AY700&gt;=115%,115%,AY700) + (IF(AW700&gt;=115%,115%,AW700) + IF(BA700&gt;=160%,160%,BA700) + IF(BB700&gt;=115%,115%,BB700) + IF(BC700&gt;=115%,115%,BC700) + IF(BD700&gt;=115%,115%,BD700) + IF(BE700&gt;=115%,115%,BE700) + IF(BF700&gt;=115%,115%,BF700) + IF(BG700&gt;=115%,115%,BG700) + IF(BH700&gt;=115%,115%,BH700)))/_xlfn.XLOOKUP(F700,Apuração!A:A,Apuração!B:B)))</f>
        <v>0.47916666666666669</v>
      </c>
      <c r="BL700" s="58" cm="1">
        <f t="array" aca="1" ref="BL700" ca="1">IF(SUM(IFERROR(IF(INDEX(AW700:INDEX(AW700:BH700, MATCH(2, 1/(AW700:BH700&lt;&gt;""), 1)-1), ROW(INDIRECT("1:" &amp; MATCH(2, 1/(AW700:BH700&lt;&gt;""), 1)-1))) &gt;= 115%, 115%, INDEX(AW700:INDEX(AW700:BH700, MATCH(2, 1/(AW700:BH700&lt;&gt;""), 1)-1), ROW(INDIRECT("1:" &amp; MATCH(2, 1/(AW700:BH700&lt;&gt;""), 1)-1)))), 0))/_xlfn.XLOOKUP(F700,Apuração!A:A,Apuração!B:B)&gt;=1.15,1.15,SUM(IFERROR(IF(INDEX(AW700:INDEX(AW700:BH700, MATCH(2, 1/(AW700:BH700&lt;&gt;""), 1)-1), ROW(INDIRECT("1:" &amp; MATCH(2, 1/(AW700:BH700&lt;&gt;""), 1)-1))) &gt;= 115%, 115%, INDEX(AW700:INDEX(AW700:BH700, MATCH(2, 1/(AW700:BH700&lt;&gt;""), 1)-1), ROW(INDIRECT("1:" &amp; MATCH(2, 1/(AW700:BH700&lt;&gt;""), 1)-1)))), 0))/_xlfn.XLOOKUP(F700,Apuração!A:A,Apuração!B:B))</f>
        <v>0.34583333333333338</v>
      </c>
      <c r="BM700" s="55" cm="1">
        <f t="array" ref="BM700">IFERROR(
   INDEX($AW$1:$BH$1,
      _xlfn.AGGREGATE(14, 6, COLUMN($AW$1:$BH$1)/(AW700:BH700&lt;&gt;""), 2) - COLUMN($AW$1) + 1
   ),
"")</f>
        <v>46113</v>
      </c>
      <c r="BN700" s="55" cm="1">
        <f t="array" ref="BN700">IFERROR(INDEX($AW$1:$BH$1,1,MATCH(2,1/(AW700:BH700&lt;&gt;""))),"")</f>
        <v>46143</v>
      </c>
      <c r="BO700" s="53">
        <f ca="1">IFERROR(_xlfn.XLOOKUP(F700,Apuração!A:A,Apuração!C:C)/_xlfn.XLOOKUP(F700,Apuração!A:A,Apuração!B:B),0)</f>
        <v>0.41666666666666669</v>
      </c>
      <c r="BP700" s="53">
        <f ca="1">IFERROR(_xlfn.XLOOKUP(F700,Apuração!A:A,Apuração!D:D)/_xlfn.XLOOKUP(F700,Apuração!A:A,Apuração!B:B),0)</f>
        <v>0.33333333333333331</v>
      </c>
      <c r="BQ700" s="53">
        <f ca="1">IF(BK700&gt;=BO700,0,_xlfn.XLOOKUP(F700,Apuração!A:A,Apuração!B:B)*(BO700 + (1/_xlfn.XLOOKUP(F700,Apuração!A:A,Apuração!B:B)) - BK700))</f>
        <v>0</v>
      </c>
      <c r="BR700" s="85">
        <f t="shared" ca="1" si="1006"/>
        <v>0</v>
      </c>
      <c r="BS700" s="53">
        <f ca="1">IFERROR((_xlfn.XLOOKUP(F700,Apuração!A:A,Apuração!C:C)+1)/_xlfn.XLOOKUP(F700,Apuração!A:A,Apuração!B:B),0)</f>
        <v>0.5</v>
      </c>
    </row>
    <row r="701" spans="1:71" ht="25.95" hidden="1" customHeight="1" x14ac:dyDescent="0.3">
      <c r="A701" s="23" t="s">
        <v>134</v>
      </c>
      <c r="B701" s="4" t="s">
        <v>142</v>
      </c>
      <c r="C701" s="5" t="s">
        <v>97</v>
      </c>
      <c r="D701" s="5" t="s">
        <v>104</v>
      </c>
      <c r="E701" s="4" t="str" cm="1">
        <f t="array" ref="E701">_xlfn.IFS(
F701 = "A partir de Abril", "Aguardando Execução na Distribuidora",
A701 = "CAPACITAÇÃO", "Em execução no Corporativo",
TRUE, "Em Execução na Distribuidora"
)</f>
        <v>Em Execução na Distribuidora</v>
      </c>
      <c r="F701" s="4" t="str" cm="1">
        <f t="array" ref="F701">_xlfn.IFS(
AG701 &lt;&gt; "", "Jan-Dez/26",
AH701 &lt;&gt; "", "Fev-Dez/26",
AI701 &lt;&gt; "", "Mar-Dez/26", AJ701 &lt;&gt; "", "Abr-Dez/26",
TRUE, "A partir de Junho"
)</f>
        <v>Jan-Dez/26</v>
      </c>
      <c r="G701" s="4" t="s">
        <v>37</v>
      </c>
      <c r="H701" s="7" t="s">
        <v>38</v>
      </c>
      <c r="I701" s="8" t="s">
        <v>143</v>
      </c>
      <c r="J701" s="8" t="str" cm="1">
        <f t="array" aca="1" ref="J701" ca="1">_xlfn.LET(
  _xlpm.actual_value_month, INDEX(T701:AE701, MATCH(DATE(YEAR(TODAY()), MONTH(TODAY()), 1), $T$1:$AE$1, 0)),
  IF(_xlpm.actual_value_month &lt;&gt; "",_xlpm.actual_value_month &amp; " equipes mensais", "")
)</f>
        <v>23 equipes mensais</v>
      </c>
      <c r="K701" s="8" t="str" cm="1">
        <f t="array" ref="K701">_xlfn.LET(
    _xlpm.sum_month, SUM(T701:AE701),
    IF(_xlpm.sum_month = 0, "", _xlpm.sum_month &amp; " equipes inspencionadas no ano")
)</f>
        <v>356 equipes inspencionadas no ano</v>
      </c>
      <c r="L701" s="4" t="s">
        <v>144</v>
      </c>
      <c r="M701" s="24" t="s">
        <v>145</v>
      </c>
      <c r="N701" s="5" t="s">
        <v>42</v>
      </c>
      <c r="O701" s="5" t="s">
        <v>43</v>
      </c>
      <c r="P701" s="10" t="s">
        <v>146</v>
      </c>
      <c r="Q701" s="10" t="s">
        <v>44</v>
      </c>
      <c r="R701" s="11" t="s">
        <v>147</v>
      </c>
      <c r="S701" s="11" t="s">
        <v>44</v>
      </c>
      <c r="T701" s="143">
        <v>38</v>
      </c>
      <c r="U701" s="143">
        <v>56</v>
      </c>
      <c r="V701" s="143">
        <v>55</v>
      </c>
      <c r="W701" s="143">
        <v>23</v>
      </c>
      <c r="X701" s="143">
        <v>23</v>
      </c>
      <c r="Y701" s="143">
        <v>23</v>
      </c>
      <c r="Z701" s="143">
        <v>23</v>
      </c>
      <c r="AA701" s="143">
        <v>23</v>
      </c>
      <c r="AB701" s="143">
        <v>23</v>
      </c>
      <c r="AC701" s="143">
        <v>23</v>
      </c>
      <c r="AD701" s="143">
        <v>23</v>
      </c>
      <c r="AE701" s="143">
        <v>23</v>
      </c>
      <c r="AG701" s="146">
        <v>38</v>
      </c>
      <c r="AH701" s="146">
        <v>56</v>
      </c>
      <c r="AI701" s="146">
        <v>55</v>
      </c>
      <c r="AJ701" s="146">
        <v>34</v>
      </c>
      <c r="AK701" s="71">
        <v>69</v>
      </c>
      <c r="AL701" s="71"/>
      <c r="AM701" s="71"/>
      <c r="AN701" s="71"/>
      <c r="AO701" s="71"/>
      <c r="AP701" s="71"/>
      <c r="AQ701" s="71"/>
      <c r="AR701" s="71"/>
      <c r="AS701" s="94">
        <f t="shared" ca="1" si="999"/>
        <v>195</v>
      </c>
      <c r="AT701" s="95">
        <f t="shared" si="1000"/>
        <v>201.89999999999998</v>
      </c>
      <c r="AU701" s="97">
        <f t="shared" si="1001"/>
        <v>252</v>
      </c>
      <c r="AW701" s="51">
        <f t="shared" si="1002"/>
        <v>1</v>
      </c>
      <c r="AX701" s="51">
        <f t="shared" si="1003"/>
        <v>1</v>
      </c>
      <c r="AY701" s="51">
        <f t="shared" si="1004"/>
        <v>1</v>
      </c>
      <c r="AZ701" s="51">
        <f t="shared" si="1005"/>
        <v>1.4782608695652173</v>
      </c>
      <c r="BA701" s="51">
        <f t="shared" si="998"/>
        <v>3</v>
      </c>
      <c r="BB701" s="51"/>
      <c r="BC701" s="51"/>
      <c r="BD701" s="51"/>
      <c r="BE701" s="51"/>
      <c r="BF701" s="51"/>
      <c r="BG701" s="51"/>
      <c r="BH701" s="51"/>
      <c r="BI701" s="65" cm="1">
        <f t="array" ref="BI701">IFERROR(INDEX(AW701:BH701,1,MATCH(2,1/(AW701:BH701&lt;&gt;""))),"")</f>
        <v>3</v>
      </c>
      <c r="BJ701" s="68" cm="1">
        <f t="array" ref="BJ701">IF(BM701 = "", "",IFERROR(INDEX(AW701:BH701,1,MATCH(2,1/(AW701:BH701&lt;&gt;""),1)-1),""))</f>
        <v>1.4782608695652173</v>
      </c>
      <c r="BK701" s="58">
        <f>IF((IF(AW701&gt;=115%,115%,AW701) + IF(AX701&gt;=115%,115%,AX701) + IF(AY701&gt;=115%,115%,AY701) + (IF(AZ701&gt;=115%,115%,AZ701) + IF(BA701&gt;=160%,160%,BA701) + IF(BB701&gt;=115%,115%,BB701) + IF(BC701&gt;=115%,115%,BC701) + IF(BD701&gt;=115%,115%,BD701) + IF(BE701&gt;=115%,115%,BE701) + IF(BF701&gt;=115%,115%,BF701) + IF(BG701&gt;=115%,115%,BG701) + IF(BH701&gt;=115%,115%,BH701)))/_xlfn.XLOOKUP(F701,Apuração!A:A,Apuração!B:B)&gt;=1.15,1.15,((IF(AZ701&gt;=115%,115%,AZ701) + IF(AX701&gt;=115%,115%,AX701) + IF(AY701&gt;=115%,115%,AY701) + (IF(AW701&gt;=115%,115%,AW701) + IF(BA701&gt;=160%,160%,BA701) + IF(BB701&gt;=115%,115%,BB701) + IF(BC701&gt;=115%,115%,BC701) + IF(BD701&gt;=115%,115%,BD701) + IF(BE701&gt;=115%,115%,BE701) + IF(BF701&gt;=115%,115%,BF701) + IF(BG701&gt;=115%,115%,BG701) + IF(BH701&gt;=115%,115%,BH701)))/_xlfn.XLOOKUP(F701,Apuração!A:A,Apuração!B:B)))</f>
        <v>0.47916666666666669</v>
      </c>
      <c r="BL701" s="58" cm="1">
        <f t="array" aca="1" ref="BL701" ca="1">IF(SUM(IFERROR(IF(INDEX(AW701:INDEX(AW701:BH701, MATCH(2, 1/(AW701:BH701&lt;&gt;""), 1)-1), ROW(INDIRECT("1:" &amp; MATCH(2, 1/(AW701:BH701&lt;&gt;""), 1)-1))) &gt;= 115%, 115%, INDEX(AW701:INDEX(AW701:BH701, MATCH(2, 1/(AW701:BH701&lt;&gt;""), 1)-1), ROW(INDIRECT("1:" &amp; MATCH(2, 1/(AW701:BH701&lt;&gt;""), 1)-1)))), 0))/_xlfn.XLOOKUP(F701,Apuração!A:A,Apuração!B:B)&gt;=1.15,1.15,SUM(IFERROR(IF(INDEX(AW701:INDEX(AW701:BH701, MATCH(2, 1/(AW701:BH701&lt;&gt;""), 1)-1), ROW(INDIRECT("1:" &amp; MATCH(2, 1/(AW701:BH701&lt;&gt;""), 1)-1))) &gt;= 115%, 115%, INDEX(AW701:INDEX(AW701:BH701, MATCH(2, 1/(AW701:BH701&lt;&gt;""), 1)-1), ROW(INDIRECT("1:" &amp; MATCH(2, 1/(AW701:BH701&lt;&gt;""), 1)-1)))), 0))/_xlfn.XLOOKUP(F701,Apuração!A:A,Apuração!B:B))</f>
        <v>0.34583333333333338</v>
      </c>
      <c r="BM701" s="55" cm="1">
        <f t="array" ref="BM701">IFERROR(
   INDEX($AW$1:$BH$1,
      _xlfn.AGGREGATE(14, 6, COLUMN($AW$1:$BH$1)/(AW701:BH701&lt;&gt;""), 2) - COLUMN($AW$1) + 1
   ),
"")</f>
        <v>46113</v>
      </c>
      <c r="BN701" s="55" cm="1">
        <f t="array" ref="BN701">IFERROR(INDEX($AW$1:$BH$1,1,MATCH(2,1/(AW701:BH701&lt;&gt;""))),"")</f>
        <v>46143</v>
      </c>
      <c r="BO701" s="53">
        <f ca="1">IFERROR(_xlfn.XLOOKUP(F701,Apuração!A:A,Apuração!C:C)/_xlfn.XLOOKUP(F701,Apuração!A:A,Apuração!B:B),0)</f>
        <v>0.41666666666666669</v>
      </c>
      <c r="BP701" s="53">
        <f ca="1">IFERROR(_xlfn.XLOOKUP(F701,Apuração!A:A,Apuração!D:D)/_xlfn.XLOOKUP(F701,Apuração!A:A,Apuração!B:B),0)</f>
        <v>0.33333333333333331</v>
      </c>
      <c r="BQ701" s="53">
        <f ca="1">IF(BK701&gt;=BO701,0,_xlfn.XLOOKUP(F701,Apuração!A:A,Apuração!B:B)*(BO701 + (1/_xlfn.XLOOKUP(F701,Apuração!A:A,Apuração!B:B)) - BK701))</f>
        <v>0</v>
      </c>
      <c r="BR701" s="85">
        <f t="shared" ca="1" si="1006"/>
        <v>0</v>
      </c>
      <c r="BS701" s="53">
        <f ca="1">IFERROR((_xlfn.XLOOKUP(F701,Apuração!A:A,Apuração!C:C)+1)/_xlfn.XLOOKUP(F701,Apuração!A:A,Apuração!B:B),0)</f>
        <v>0.5</v>
      </c>
    </row>
    <row r="702" spans="1:71" ht="25.95" hidden="1" customHeight="1" x14ac:dyDescent="0.3">
      <c r="A702" s="23" t="s">
        <v>134</v>
      </c>
      <c r="B702" s="4" t="s">
        <v>142</v>
      </c>
      <c r="C702" s="5" t="s">
        <v>97</v>
      </c>
      <c r="D702" s="5" t="s">
        <v>105</v>
      </c>
      <c r="E702" s="4" t="str" cm="1">
        <f t="array" ref="E702">_xlfn.IFS(
F702 = "A partir de Abril", "Aguardando Execução na Distribuidora",
A702 = "CAPACITAÇÃO", "Em execução no Corporativo",
TRUE, "Em Execução na Distribuidora"
)</f>
        <v>Em Execução na Distribuidora</v>
      </c>
      <c r="F702" s="4" t="str" cm="1">
        <f t="array" ref="F702">_xlfn.IFS(
AG702 &lt;&gt; "", "Jan-Dez/26",
AH702 &lt;&gt; "", "Fev-Dez/26",
AI702 &lt;&gt; "", "Mar-Dez/26", AJ702 &lt;&gt; "", "Abr-Dez/26",
TRUE, "A partir de Junho"
)</f>
        <v>Jan-Dez/26</v>
      </c>
      <c r="G702" s="4" t="s">
        <v>37</v>
      </c>
      <c r="H702" s="7" t="s">
        <v>38</v>
      </c>
      <c r="I702" s="8" t="s">
        <v>143</v>
      </c>
      <c r="J702" s="8" t="str" cm="1">
        <f t="array" aca="1" ref="J702" ca="1">_xlfn.LET(
  _xlpm.actual_value_month, INDEX(T702:AE702, MATCH(DATE(YEAR(TODAY()), MONTH(TODAY()), 1), $T$1:$AE$1, 0)),
  IF(_xlpm.actual_value_month &lt;&gt; "",_xlpm.actual_value_month &amp; " equipes mensais", "")
)</f>
        <v>4 equipes mensais</v>
      </c>
      <c r="K702" s="8" t="str" cm="1">
        <f t="array" ref="K702">_xlfn.LET(
    _xlpm.sum_month, SUM(T702:AE702),
    IF(_xlpm.sum_month = 0, "", _xlpm.sum_month &amp; " equipes inspencionadas no ano")
)</f>
        <v>113 equipes inspencionadas no ano</v>
      </c>
      <c r="L702" s="4" t="s">
        <v>144</v>
      </c>
      <c r="M702" s="24" t="s">
        <v>145</v>
      </c>
      <c r="N702" s="5" t="s">
        <v>42</v>
      </c>
      <c r="O702" s="5" t="s">
        <v>43</v>
      </c>
      <c r="P702" s="10" t="s">
        <v>146</v>
      </c>
      <c r="Q702" s="10" t="s">
        <v>44</v>
      </c>
      <c r="R702" s="11" t="s">
        <v>147</v>
      </c>
      <c r="S702" s="11" t="s">
        <v>44</v>
      </c>
      <c r="T702" s="143">
        <v>30</v>
      </c>
      <c r="U702" s="143">
        <v>21</v>
      </c>
      <c r="V702" s="143">
        <v>26</v>
      </c>
      <c r="W702" s="143">
        <v>4</v>
      </c>
      <c r="X702" s="143">
        <v>4</v>
      </c>
      <c r="Y702" s="143">
        <v>4</v>
      </c>
      <c r="Z702" s="143">
        <v>4</v>
      </c>
      <c r="AA702" s="143">
        <v>4</v>
      </c>
      <c r="AB702" s="143">
        <v>4</v>
      </c>
      <c r="AC702" s="143">
        <v>4</v>
      </c>
      <c r="AD702" s="143">
        <v>4</v>
      </c>
      <c r="AE702" s="143">
        <v>4</v>
      </c>
      <c r="AG702" s="146">
        <v>30</v>
      </c>
      <c r="AH702" s="146">
        <v>21</v>
      </c>
      <c r="AI702" s="146">
        <v>26</v>
      </c>
      <c r="AJ702" s="146">
        <v>33</v>
      </c>
      <c r="AK702" s="71">
        <v>16</v>
      </c>
      <c r="AL702" s="71"/>
      <c r="AM702" s="71"/>
      <c r="AN702" s="71"/>
      <c r="AO702" s="71"/>
      <c r="AP702" s="71"/>
      <c r="AQ702" s="71"/>
      <c r="AR702" s="71"/>
      <c r="AS702" s="94">
        <f t="shared" ca="1" si="999"/>
        <v>85</v>
      </c>
      <c r="AT702" s="95">
        <f t="shared" si="1000"/>
        <v>86.199999999999989</v>
      </c>
      <c r="AU702" s="97">
        <f t="shared" si="1001"/>
        <v>126</v>
      </c>
      <c r="AW702" s="51">
        <f t="shared" si="1002"/>
        <v>1</v>
      </c>
      <c r="AX702" s="51">
        <f t="shared" si="1003"/>
        <v>1</v>
      </c>
      <c r="AY702" s="51">
        <f t="shared" si="1004"/>
        <v>1</v>
      </c>
      <c r="AZ702" s="51">
        <f t="shared" si="1005"/>
        <v>8.25</v>
      </c>
      <c r="BA702" s="51">
        <f t="shared" si="998"/>
        <v>4</v>
      </c>
      <c r="BB702" s="51"/>
      <c r="BC702" s="51"/>
      <c r="BD702" s="51"/>
      <c r="BE702" s="51"/>
      <c r="BF702" s="51"/>
      <c r="BG702" s="51"/>
      <c r="BH702" s="51"/>
      <c r="BI702" s="65" cm="1">
        <f t="array" ref="BI702">IFERROR(INDEX(AW702:BH702,1,MATCH(2,1/(AW702:BH702&lt;&gt;""))),"")</f>
        <v>4</v>
      </c>
      <c r="BJ702" s="68" cm="1">
        <f t="array" ref="BJ702">IF(BM702 = "", "",IFERROR(INDEX(AW702:BH702,1,MATCH(2,1/(AW702:BH702&lt;&gt;""),1)-1),""))</f>
        <v>8.25</v>
      </c>
      <c r="BK702" s="58">
        <f>IF((IF(AW702&gt;=115%,115%,AW702) + IF(AX702&gt;=115%,115%,AX702) + IF(AY702&gt;=115%,115%,AY702) + (IF(AZ702&gt;=115%,115%,AZ702) + IF(BA702&gt;=160%,160%,BA702) + IF(BB702&gt;=115%,115%,BB702) + IF(BC702&gt;=115%,115%,BC702) + IF(BD702&gt;=115%,115%,BD702) + IF(BE702&gt;=115%,115%,BE702) + IF(BF702&gt;=115%,115%,BF702) + IF(BG702&gt;=115%,115%,BG702) + IF(BH702&gt;=115%,115%,BH702)))/_xlfn.XLOOKUP(F702,Apuração!A:A,Apuração!B:B)&gt;=1.15,1.15,((IF(AZ702&gt;=115%,115%,AZ702) + IF(AX702&gt;=115%,115%,AX702) + IF(AY702&gt;=115%,115%,AY702) + (IF(AW702&gt;=115%,115%,AW702) + IF(BA702&gt;=160%,160%,BA702) + IF(BB702&gt;=115%,115%,BB702) + IF(BC702&gt;=115%,115%,BC702) + IF(BD702&gt;=115%,115%,BD702) + IF(BE702&gt;=115%,115%,BE702) + IF(BF702&gt;=115%,115%,BF702) + IF(BG702&gt;=115%,115%,BG702) + IF(BH702&gt;=115%,115%,BH702)))/_xlfn.XLOOKUP(F702,Apuração!A:A,Apuração!B:B)))</f>
        <v>0.47916666666666669</v>
      </c>
      <c r="BL702" s="58" cm="1">
        <f t="array" aca="1" ref="BL702" ca="1">IF(SUM(IFERROR(IF(INDEX(AW702:INDEX(AW702:BH702, MATCH(2, 1/(AW702:BH702&lt;&gt;""), 1)-1), ROW(INDIRECT("1:" &amp; MATCH(2, 1/(AW702:BH702&lt;&gt;""), 1)-1))) &gt;= 115%, 115%, INDEX(AW702:INDEX(AW702:BH702, MATCH(2, 1/(AW702:BH702&lt;&gt;""), 1)-1), ROW(INDIRECT("1:" &amp; MATCH(2, 1/(AW702:BH702&lt;&gt;""), 1)-1)))), 0))/_xlfn.XLOOKUP(F702,Apuração!A:A,Apuração!B:B)&gt;=1.15,1.15,SUM(IFERROR(IF(INDEX(AW702:INDEX(AW702:BH702, MATCH(2, 1/(AW702:BH702&lt;&gt;""), 1)-1), ROW(INDIRECT("1:" &amp; MATCH(2, 1/(AW702:BH702&lt;&gt;""), 1)-1))) &gt;= 115%, 115%, INDEX(AW702:INDEX(AW702:BH702, MATCH(2, 1/(AW702:BH702&lt;&gt;""), 1)-1), ROW(INDIRECT("1:" &amp; MATCH(2, 1/(AW702:BH702&lt;&gt;""), 1)-1)))), 0))/_xlfn.XLOOKUP(F702,Apuração!A:A,Apuração!B:B))</f>
        <v>0.34583333333333338</v>
      </c>
      <c r="BM702" s="55" cm="1">
        <f t="array" ref="BM702">IFERROR(
   INDEX($AW$1:$BH$1,
      _xlfn.AGGREGATE(14, 6, COLUMN($AW$1:$BH$1)/(AW702:BH702&lt;&gt;""), 2) - COLUMN($AW$1) + 1
   ),
"")</f>
        <v>46113</v>
      </c>
      <c r="BN702" s="55" cm="1">
        <f t="array" ref="BN702">IFERROR(INDEX($AW$1:$BH$1,1,MATCH(2,1/(AW702:BH702&lt;&gt;""))),"")</f>
        <v>46143</v>
      </c>
      <c r="BO702" s="53">
        <f ca="1">IFERROR(_xlfn.XLOOKUP(F702,Apuração!A:A,Apuração!C:C)/_xlfn.XLOOKUP(F702,Apuração!A:A,Apuração!B:B),0)</f>
        <v>0.41666666666666669</v>
      </c>
      <c r="BP702" s="53">
        <f ca="1">IFERROR(_xlfn.XLOOKUP(F702,Apuração!A:A,Apuração!D:D)/_xlfn.XLOOKUP(F702,Apuração!A:A,Apuração!B:B),0)</f>
        <v>0.33333333333333331</v>
      </c>
      <c r="BQ702" s="53">
        <f ca="1">IF(BK702&gt;=BO702,0,_xlfn.XLOOKUP(F702,Apuração!A:A,Apuração!B:B)*(BO702 + (1/_xlfn.XLOOKUP(F702,Apuração!A:A,Apuração!B:B)) - BK702))</f>
        <v>0</v>
      </c>
      <c r="BR702" s="85">
        <f t="shared" ca="1" si="1006"/>
        <v>0</v>
      </c>
      <c r="BS702" s="53">
        <f ca="1">IFERROR((_xlfn.XLOOKUP(F702,Apuração!A:A,Apuração!C:C)+1)/_xlfn.XLOOKUP(F702,Apuração!A:A,Apuração!B:B),0)</f>
        <v>0.5</v>
      </c>
    </row>
    <row r="703" spans="1:71" ht="25.95" hidden="1" customHeight="1" x14ac:dyDescent="0.3">
      <c r="A703" s="23" t="s">
        <v>134</v>
      </c>
      <c r="B703" s="4" t="s">
        <v>142</v>
      </c>
      <c r="C703" s="5" t="s">
        <v>97</v>
      </c>
      <c r="D703" s="5" t="s">
        <v>106</v>
      </c>
      <c r="E703" s="4" t="str" cm="1">
        <f t="array" ref="E703">_xlfn.IFS(
F703 = "A partir de Abril", "Aguardando Execução na Distribuidora",
A703 = "CAPACITAÇÃO", "Em execução no Corporativo",
TRUE, "Em Execução na Distribuidora"
)</f>
        <v>Em Execução na Distribuidora</v>
      </c>
      <c r="F703" s="4" t="str" cm="1">
        <f t="array" ref="F703">_xlfn.IFS(
AG703 &lt;&gt; "", "Jan-Dez/26",
AH703 &lt;&gt; "", "Fev-Dez/26",
AI703 &lt;&gt; "", "Mar-Dez/26", AJ703 &lt;&gt; "", "Abr-Dez/26",
TRUE, "A partir de Junho"
)</f>
        <v>Jan-Dez/26</v>
      </c>
      <c r="G703" s="4" t="s">
        <v>37</v>
      </c>
      <c r="H703" s="7" t="s">
        <v>38</v>
      </c>
      <c r="I703" s="8" t="s">
        <v>143</v>
      </c>
      <c r="J703" s="8" t="str" cm="1">
        <f t="array" aca="1" ref="J703" ca="1">_xlfn.LET(
  _xlpm.actual_value_month, INDEX(T703:AE703, MATCH(DATE(YEAR(TODAY()), MONTH(TODAY()), 1), $T$1:$AE$1, 0)),
  IF(_xlpm.actual_value_month &lt;&gt; "",_xlpm.actual_value_month &amp; " equipes mensais", "")
)</f>
        <v>13 equipes mensais</v>
      </c>
      <c r="K703" s="8" t="str" cm="1">
        <f t="array" ref="K703">_xlfn.LET(
    _xlpm.sum_month, SUM(T703:AE703),
    IF(_xlpm.sum_month = 0, "", _xlpm.sum_month &amp; " equipes inspencionadas no ano")
)</f>
        <v>264 equipes inspencionadas no ano</v>
      </c>
      <c r="L703" s="4" t="s">
        <v>144</v>
      </c>
      <c r="M703" s="24" t="s">
        <v>145</v>
      </c>
      <c r="N703" s="5" t="s">
        <v>42</v>
      </c>
      <c r="O703" s="5" t="s">
        <v>43</v>
      </c>
      <c r="P703" s="10" t="s">
        <v>146</v>
      </c>
      <c r="Q703" s="10" t="s">
        <v>44</v>
      </c>
      <c r="R703" s="11" t="s">
        <v>147</v>
      </c>
      <c r="S703" s="11" t="s">
        <v>44</v>
      </c>
      <c r="T703" s="143">
        <v>48</v>
      </c>
      <c r="U703" s="143">
        <v>50</v>
      </c>
      <c r="V703" s="143">
        <v>49</v>
      </c>
      <c r="W703" s="143">
        <v>13</v>
      </c>
      <c r="X703" s="143">
        <v>13</v>
      </c>
      <c r="Y703" s="143">
        <v>13</v>
      </c>
      <c r="Z703" s="143">
        <v>13</v>
      </c>
      <c r="AA703" s="143">
        <v>13</v>
      </c>
      <c r="AB703" s="143">
        <v>13</v>
      </c>
      <c r="AC703" s="143">
        <v>13</v>
      </c>
      <c r="AD703" s="143">
        <v>13</v>
      </c>
      <c r="AE703" s="143">
        <v>13</v>
      </c>
      <c r="AG703" s="146">
        <v>48</v>
      </c>
      <c r="AH703" s="146">
        <v>50</v>
      </c>
      <c r="AI703" s="146">
        <v>49</v>
      </c>
      <c r="AJ703" s="146">
        <v>49</v>
      </c>
      <c r="AK703" s="71">
        <v>108</v>
      </c>
      <c r="AL703" s="71"/>
      <c r="AM703" s="71"/>
      <c r="AN703" s="71"/>
      <c r="AO703" s="71"/>
      <c r="AP703" s="71"/>
      <c r="AQ703" s="71"/>
      <c r="AR703" s="71"/>
      <c r="AS703" s="94">
        <f t="shared" ca="1" si="999"/>
        <v>173</v>
      </c>
      <c r="AT703" s="95">
        <f t="shared" si="1000"/>
        <v>176.89999999999998</v>
      </c>
      <c r="AU703" s="97">
        <f t="shared" si="1001"/>
        <v>304</v>
      </c>
      <c r="AW703" s="51">
        <f t="shared" si="1002"/>
        <v>1</v>
      </c>
      <c r="AX703" s="51">
        <f t="shared" si="1003"/>
        <v>1</v>
      </c>
      <c r="AY703" s="51">
        <f t="shared" si="1004"/>
        <v>1</v>
      </c>
      <c r="AZ703" s="51">
        <f t="shared" si="1005"/>
        <v>3.7692307692307692</v>
      </c>
      <c r="BA703" s="51">
        <f t="shared" si="998"/>
        <v>8.3076923076923084</v>
      </c>
      <c r="BB703" s="51"/>
      <c r="BC703" s="51"/>
      <c r="BD703" s="51"/>
      <c r="BE703" s="51"/>
      <c r="BF703" s="51"/>
      <c r="BG703" s="51"/>
      <c r="BH703" s="51"/>
      <c r="BI703" s="65" cm="1">
        <f t="array" ref="BI703">IFERROR(INDEX(AW703:BH703,1,MATCH(2,1/(AW703:BH703&lt;&gt;""))),"")</f>
        <v>8.3076923076923084</v>
      </c>
      <c r="BJ703" s="68" cm="1">
        <f t="array" ref="BJ703">IF(BM703 = "", "",IFERROR(INDEX(AW703:BH703,1,MATCH(2,1/(AW703:BH703&lt;&gt;""),1)-1),""))</f>
        <v>3.7692307692307692</v>
      </c>
      <c r="BK703" s="58">
        <f>IF((IF(AW703&gt;=115%,115%,AW703) + IF(AX703&gt;=115%,115%,AX703) + IF(AY703&gt;=115%,115%,AY703) + (IF(AZ703&gt;=115%,115%,AZ703) + IF(BA703&gt;=160%,160%,BA703) + IF(BB703&gt;=115%,115%,BB703) + IF(BC703&gt;=115%,115%,BC703) + IF(BD703&gt;=115%,115%,BD703) + IF(BE703&gt;=115%,115%,BE703) + IF(BF703&gt;=115%,115%,BF703) + IF(BG703&gt;=115%,115%,BG703) + IF(BH703&gt;=115%,115%,BH703)))/_xlfn.XLOOKUP(F703,Apuração!A:A,Apuração!B:B)&gt;=1.15,1.15,((IF(AZ703&gt;=115%,115%,AZ703) + IF(AX703&gt;=115%,115%,AX703) + IF(AY703&gt;=115%,115%,AY703) + (IF(AW703&gt;=115%,115%,AW703) + IF(BA703&gt;=160%,160%,BA703) + IF(BB703&gt;=115%,115%,BB703) + IF(BC703&gt;=115%,115%,BC703) + IF(BD703&gt;=115%,115%,BD703) + IF(BE703&gt;=115%,115%,BE703) + IF(BF703&gt;=115%,115%,BF703) + IF(BG703&gt;=115%,115%,BG703) + IF(BH703&gt;=115%,115%,BH703)))/_xlfn.XLOOKUP(F703,Apuração!A:A,Apuração!B:B)))</f>
        <v>0.47916666666666669</v>
      </c>
      <c r="BL703" s="58" cm="1">
        <f t="array" aca="1" ref="BL703" ca="1">IF(SUM(IFERROR(IF(INDEX(AW703:INDEX(AW703:BH703, MATCH(2, 1/(AW703:BH703&lt;&gt;""), 1)-1), ROW(INDIRECT("1:" &amp; MATCH(2, 1/(AW703:BH703&lt;&gt;""), 1)-1))) &gt;= 115%, 115%, INDEX(AW703:INDEX(AW703:BH703, MATCH(2, 1/(AW703:BH703&lt;&gt;""), 1)-1), ROW(INDIRECT("1:" &amp; MATCH(2, 1/(AW703:BH703&lt;&gt;""), 1)-1)))), 0))/_xlfn.XLOOKUP(F703,Apuração!A:A,Apuração!B:B)&gt;=1.15,1.15,SUM(IFERROR(IF(INDEX(AW703:INDEX(AW703:BH703, MATCH(2, 1/(AW703:BH703&lt;&gt;""), 1)-1), ROW(INDIRECT("1:" &amp; MATCH(2, 1/(AW703:BH703&lt;&gt;""), 1)-1))) &gt;= 115%, 115%, INDEX(AW703:INDEX(AW703:BH703, MATCH(2, 1/(AW703:BH703&lt;&gt;""), 1)-1), ROW(INDIRECT("1:" &amp; MATCH(2, 1/(AW703:BH703&lt;&gt;""), 1)-1)))), 0))/_xlfn.XLOOKUP(F703,Apuração!A:A,Apuração!B:B))</f>
        <v>0.34583333333333338</v>
      </c>
      <c r="BM703" s="55" cm="1">
        <f t="array" ref="BM703">IFERROR(
   INDEX($AW$1:$BH$1,
      _xlfn.AGGREGATE(14, 6, COLUMN($AW$1:$BH$1)/(AW703:BH703&lt;&gt;""), 2) - COLUMN($AW$1) + 1
   ),
"")</f>
        <v>46113</v>
      </c>
      <c r="BN703" s="55" cm="1">
        <f t="array" ref="BN703">IFERROR(INDEX($AW$1:$BH$1,1,MATCH(2,1/(AW703:BH703&lt;&gt;""))),"")</f>
        <v>46143</v>
      </c>
      <c r="BO703" s="53">
        <f ca="1">IFERROR(_xlfn.XLOOKUP(F703,Apuração!A:A,Apuração!C:C)/_xlfn.XLOOKUP(F703,Apuração!A:A,Apuração!B:B),0)</f>
        <v>0.41666666666666669</v>
      </c>
      <c r="BP703" s="53">
        <f ca="1">IFERROR(_xlfn.XLOOKUP(F703,Apuração!A:A,Apuração!D:D)/_xlfn.XLOOKUP(F703,Apuração!A:A,Apuração!B:B),0)</f>
        <v>0.33333333333333331</v>
      </c>
      <c r="BQ703" s="53">
        <f ca="1">IF(BK703&gt;=BO703,0,_xlfn.XLOOKUP(F703,Apuração!A:A,Apuração!B:B)*(BO703 + (1/_xlfn.XLOOKUP(F703,Apuração!A:A,Apuração!B:B)) - BK703))</f>
        <v>0</v>
      </c>
      <c r="BR703" s="85">
        <f t="shared" ca="1" si="1006"/>
        <v>0</v>
      </c>
      <c r="BS703" s="53">
        <f ca="1">IFERROR((_xlfn.XLOOKUP(F703,Apuração!A:A,Apuração!C:C)+1)/_xlfn.XLOOKUP(F703,Apuração!A:A,Apuração!B:B),0)</f>
        <v>0.5</v>
      </c>
    </row>
    <row r="704" spans="1:71" ht="25.95" hidden="1" customHeight="1" x14ac:dyDescent="0.3">
      <c r="A704" s="23" t="s">
        <v>134</v>
      </c>
      <c r="B704" s="4" t="s">
        <v>142</v>
      </c>
      <c r="C704" s="5" t="s">
        <v>97</v>
      </c>
      <c r="D704" s="5" t="s">
        <v>107</v>
      </c>
      <c r="E704" s="4" t="str" cm="1">
        <f t="array" ref="E704">_xlfn.IFS(
F704 = "A partir de Abril", "Aguardando Execução na Distribuidora",
A704 = "CAPACITAÇÃO", "Em execução no Corporativo",
TRUE, "Em Execução na Distribuidora"
)</f>
        <v>Em Execução na Distribuidora</v>
      </c>
      <c r="F704" s="4" t="str" cm="1">
        <f t="array" ref="F704">_xlfn.IFS(
AG704 &lt;&gt; "", "Jan-Dez/26",
AH704 &lt;&gt; "", "Fev-Dez/26",
AI704 &lt;&gt; "", "Mar-Dez/26", AJ704 &lt;&gt; "", "Abr-Dez/26",
TRUE, "A partir de Junho"
)</f>
        <v>Jan-Dez/26</v>
      </c>
      <c r="G704" s="4" t="s">
        <v>37</v>
      </c>
      <c r="H704" s="7" t="s">
        <v>38</v>
      </c>
      <c r="I704" s="8" t="s">
        <v>143</v>
      </c>
      <c r="J704" s="8" t="str" cm="1">
        <f t="array" aca="1" ref="J704" ca="1">_xlfn.LET(
  _xlpm.actual_value_month, INDEX(T704:AE704, MATCH(DATE(YEAR(TODAY()), MONTH(TODAY()), 1), $T$1:$AE$1, 0)),
  IF(_xlpm.actual_value_month &lt;&gt; "",_xlpm.actual_value_month &amp; " equipes mensais", "")
)</f>
        <v>7 equipes mensais</v>
      </c>
      <c r="K704" s="8" t="str" cm="1">
        <f t="array" ref="K704">_xlfn.LET(
    _xlpm.sum_month, SUM(T704:AE704),
    IF(_xlpm.sum_month = 0, "", _xlpm.sum_month &amp; " equipes inspencionadas no ano")
)</f>
        <v>131 equipes inspencionadas no ano</v>
      </c>
      <c r="L704" s="4" t="s">
        <v>144</v>
      </c>
      <c r="M704" s="24" t="s">
        <v>145</v>
      </c>
      <c r="N704" s="5" t="s">
        <v>42</v>
      </c>
      <c r="O704" s="5" t="s">
        <v>43</v>
      </c>
      <c r="P704" s="10" t="s">
        <v>146</v>
      </c>
      <c r="Q704" s="10" t="s">
        <v>44</v>
      </c>
      <c r="R704" s="11" t="s">
        <v>147</v>
      </c>
      <c r="S704" s="11" t="s">
        <v>44</v>
      </c>
      <c r="T704" s="143">
        <v>26</v>
      </c>
      <c r="U704" s="143">
        <v>22</v>
      </c>
      <c r="V704" s="143">
        <v>20</v>
      </c>
      <c r="W704" s="143">
        <v>7</v>
      </c>
      <c r="X704" s="143">
        <v>7</v>
      </c>
      <c r="Y704" s="143">
        <v>7</v>
      </c>
      <c r="Z704" s="143">
        <v>7</v>
      </c>
      <c r="AA704" s="143">
        <v>7</v>
      </c>
      <c r="AB704" s="143">
        <v>7</v>
      </c>
      <c r="AC704" s="143">
        <v>7</v>
      </c>
      <c r="AD704" s="143">
        <v>7</v>
      </c>
      <c r="AE704" s="143">
        <v>7</v>
      </c>
      <c r="AG704" s="146">
        <v>26</v>
      </c>
      <c r="AH704" s="146">
        <v>22</v>
      </c>
      <c r="AI704" s="146">
        <v>20</v>
      </c>
      <c r="AJ704" s="146">
        <v>40</v>
      </c>
      <c r="AK704" s="71">
        <v>32</v>
      </c>
      <c r="AL704" s="71"/>
      <c r="AM704" s="71"/>
      <c r="AN704" s="71"/>
      <c r="AO704" s="71"/>
      <c r="AP704" s="71"/>
      <c r="AQ704" s="71"/>
      <c r="AR704" s="71"/>
      <c r="AS704" s="94">
        <f t="shared" ca="1" si="999"/>
        <v>82</v>
      </c>
      <c r="AT704" s="95">
        <f t="shared" si="1000"/>
        <v>84.1</v>
      </c>
      <c r="AU704" s="97">
        <f t="shared" si="1001"/>
        <v>140</v>
      </c>
      <c r="AW704" s="51">
        <f t="shared" si="1002"/>
        <v>1</v>
      </c>
      <c r="AX704" s="51">
        <f t="shared" si="1003"/>
        <v>1</v>
      </c>
      <c r="AY704" s="51">
        <f t="shared" si="1004"/>
        <v>1</v>
      </c>
      <c r="AZ704" s="51">
        <f t="shared" si="1005"/>
        <v>5.7142857142857144</v>
      </c>
      <c r="BA704" s="51">
        <f t="shared" si="998"/>
        <v>4.5714285714285712</v>
      </c>
      <c r="BB704" s="51"/>
      <c r="BC704" s="51"/>
      <c r="BD704" s="51"/>
      <c r="BE704" s="51"/>
      <c r="BF704" s="51"/>
      <c r="BG704" s="51"/>
      <c r="BH704" s="51"/>
      <c r="BI704" s="65" cm="1">
        <f t="array" ref="BI704">IFERROR(INDEX(AW704:BH704,1,MATCH(2,1/(AW704:BH704&lt;&gt;""))),"")</f>
        <v>4.5714285714285712</v>
      </c>
      <c r="BJ704" s="68" cm="1">
        <f t="array" ref="BJ704">IF(BM704 = "", "",IFERROR(INDEX(AW704:BH704,1,MATCH(2,1/(AW704:BH704&lt;&gt;""),1)-1),""))</f>
        <v>5.7142857142857144</v>
      </c>
      <c r="BK704" s="58">
        <f>IF((IF(AW704&gt;=115%,115%,AW704) + IF(AX704&gt;=115%,115%,AX704) + IF(AY704&gt;=115%,115%,AY704) + (IF(AZ704&gt;=115%,115%,AZ704) + IF(BA704&gt;=160%,160%,BA704) + IF(BB704&gt;=115%,115%,BB704) + IF(BC704&gt;=115%,115%,BC704) + IF(BD704&gt;=115%,115%,BD704) + IF(BE704&gt;=115%,115%,BE704) + IF(BF704&gt;=115%,115%,BF704) + IF(BG704&gt;=115%,115%,BG704) + IF(BH704&gt;=115%,115%,BH704)))/_xlfn.XLOOKUP(F704,Apuração!A:A,Apuração!B:B)&gt;=1.15,1.15,((IF(AZ704&gt;=115%,115%,AZ704) + IF(AX704&gt;=115%,115%,AX704) + IF(AY704&gt;=115%,115%,AY704) + (IF(AW704&gt;=115%,115%,AW704) + IF(BA704&gt;=160%,160%,BA704) + IF(BB704&gt;=115%,115%,BB704) + IF(BC704&gt;=115%,115%,BC704) + IF(BD704&gt;=115%,115%,BD704) + IF(BE704&gt;=115%,115%,BE704) + IF(BF704&gt;=115%,115%,BF704) + IF(BG704&gt;=115%,115%,BG704) + IF(BH704&gt;=115%,115%,BH704)))/_xlfn.XLOOKUP(F704,Apuração!A:A,Apuração!B:B)))</f>
        <v>0.47916666666666669</v>
      </c>
      <c r="BL704" s="58" cm="1">
        <f t="array" aca="1" ref="BL704" ca="1">IF(SUM(IFERROR(IF(INDEX(AW704:INDEX(AW704:BH704, MATCH(2, 1/(AW704:BH704&lt;&gt;""), 1)-1), ROW(INDIRECT("1:" &amp; MATCH(2, 1/(AW704:BH704&lt;&gt;""), 1)-1))) &gt;= 115%, 115%, INDEX(AW704:INDEX(AW704:BH704, MATCH(2, 1/(AW704:BH704&lt;&gt;""), 1)-1), ROW(INDIRECT("1:" &amp; MATCH(2, 1/(AW704:BH704&lt;&gt;""), 1)-1)))), 0))/_xlfn.XLOOKUP(F704,Apuração!A:A,Apuração!B:B)&gt;=1.15,1.15,SUM(IFERROR(IF(INDEX(AW704:INDEX(AW704:BH704, MATCH(2, 1/(AW704:BH704&lt;&gt;""), 1)-1), ROW(INDIRECT("1:" &amp; MATCH(2, 1/(AW704:BH704&lt;&gt;""), 1)-1))) &gt;= 115%, 115%, INDEX(AW704:INDEX(AW704:BH704, MATCH(2, 1/(AW704:BH704&lt;&gt;""), 1)-1), ROW(INDIRECT("1:" &amp; MATCH(2, 1/(AW704:BH704&lt;&gt;""), 1)-1)))), 0))/_xlfn.XLOOKUP(F704,Apuração!A:A,Apuração!B:B))</f>
        <v>0.34583333333333338</v>
      </c>
      <c r="BM704" s="55" cm="1">
        <f t="array" ref="BM704">IFERROR(
   INDEX($AW$1:$BH$1,
      _xlfn.AGGREGATE(14, 6, COLUMN($AW$1:$BH$1)/(AW704:BH704&lt;&gt;""), 2) - COLUMN($AW$1) + 1
   ),
"")</f>
        <v>46113</v>
      </c>
      <c r="BN704" s="55" cm="1">
        <f t="array" ref="BN704">IFERROR(INDEX($AW$1:$BH$1,1,MATCH(2,1/(AW704:BH704&lt;&gt;""))),"")</f>
        <v>46143</v>
      </c>
      <c r="BO704" s="53">
        <f ca="1">IFERROR(_xlfn.XLOOKUP(F704,Apuração!A:A,Apuração!C:C)/_xlfn.XLOOKUP(F704,Apuração!A:A,Apuração!B:B),0)</f>
        <v>0.41666666666666669</v>
      </c>
      <c r="BP704" s="53">
        <f ca="1">IFERROR(_xlfn.XLOOKUP(F704,Apuração!A:A,Apuração!D:D)/_xlfn.XLOOKUP(F704,Apuração!A:A,Apuração!B:B),0)</f>
        <v>0.33333333333333331</v>
      </c>
      <c r="BQ704" s="53">
        <f ca="1">IF(BK704&gt;=BO704,0,_xlfn.XLOOKUP(F704,Apuração!A:A,Apuração!B:B)*(BO704 + (1/_xlfn.XLOOKUP(F704,Apuração!A:A,Apuração!B:B)) - BK704))</f>
        <v>0</v>
      </c>
      <c r="BR704" s="85">
        <f t="shared" ca="1" si="1006"/>
        <v>0</v>
      </c>
      <c r="BS704" s="53">
        <f ca="1">IFERROR((_xlfn.XLOOKUP(F704,Apuração!A:A,Apuração!C:C)+1)/_xlfn.XLOOKUP(F704,Apuração!A:A,Apuração!B:B),0)</f>
        <v>0.5</v>
      </c>
    </row>
    <row r="705" spans="1:71" ht="25.95" customHeight="1" x14ac:dyDescent="0.3">
      <c r="A705" s="42" t="s">
        <v>134</v>
      </c>
      <c r="B705" s="4" t="s">
        <v>142</v>
      </c>
      <c r="C705" s="5" t="s">
        <v>97</v>
      </c>
      <c r="D705" s="5" t="s">
        <v>36</v>
      </c>
      <c r="E705" s="4" t="str" cm="1">
        <f t="array" ref="E705">_xlfn.IFS(
F705 = "A partir de Abril", "Aguardando Execução na Distribuidora",
A705 = "CAPACITAÇÃO", "Em execução no Corporativo",
TRUE, "Em Execução na Distribuidora"
)</f>
        <v>Em Execução na Distribuidora</v>
      </c>
      <c r="F705" s="4" t="str" cm="1">
        <f t="array" ref="F705">_xlfn.IFS(
AG705 &lt;&gt; "", "Jan-Dez/26",
AH705 &lt;&gt; "", "Fev-Dez/26",
AI705 &lt;&gt; "", "Mar-Dez/26", AJ705 &lt;&gt; "", "Abr-Dez/26",
TRUE, "A partir de Junho"
)</f>
        <v>Jan-Dez/26</v>
      </c>
      <c r="G705" s="4" t="s">
        <v>37</v>
      </c>
      <c r="H705" s="7" t="s">
        <v>38</v>
      </c>
      <c r="I705" s="8" t="s">
        <v>148</v>
      </c>
      <c r="J705" s="8" t="str" cm="1">
        <f t="array" aca="1" ref="J705" ca="1">_xlfn.LET(
  _xlpm.actual_value_month, INDEX(T705:AE705, MATCH(DATE(YEAR(TODAY()), MONTH(TODAY()), 1), $T$1:$AE$1, 0)),
  IF(_xlpm.actual_value_month &lt;&gt; "",_xlpm.actual_value_month &amp; " ações mensais", "")
)</f>
        <v/>
      </c>
      <c r="K705" s="8" t="str" cm="1">
        <f t="array" ref="K705">_xlfn.LET(
    _xlpm.sum_month, SUM(T705:AE705),
    IF(_xlpm.sum_month = 0, "", _xlpm.sum_month &amp; " NC's no ano")
)</f>
        <v/>
      </c>
      <c r="L705" s="9" t="s">
        <v>149</v>
      </c>
      <c r="M705" s="24">
        <v>1</v>
      </c>
      <c r="N705" s="5" t="s">
        <v>51</v>
      </c>
      <c r="O705" s="5" t="s">
        <v>52</v>
      </c>
      <c r="P705" s="10" t="s">
        <v>44</v>
      </c>
      <c r="Q705" s="10" t="s">
        <v>44</v>
      </c>
      <c r="R705" s="11" t="s">
        <v>44</v>
      </c>
      <c r="S705" s="11" t="s">
        <v>44</v>
      </c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G705" s="71">
        <v>0</v>
      </c>
      <c r="AH705" s="71">
        <v>0</v>
      </c>
      <c r="AI705" s="71">
        <v>0</v>
      </c>
      <c r="AJ705" s="71">
        <v>68</v>
      </c>
      <c r="AK705" s="71">
        <v>82</v>
      </c>
      <c r="AL705" s="71"/>
      <c r="AM705" s="71"/>
      <c r="AN705" s="71"/>
      <c r="AO705" s="71"/>
      <c r="AP705" s="71"/>
      <c r="AQ705" s="71"/>
      <c r="AR705" s="71"/>
      <c r="AS705" s="94">
        <f t="shared" ca="1" si="966"/>
        <v>0</v>
      </c>
      <c r="AT705" s="95">
        <f>SUM(AG705:AR705)</f>
        <v>150</v>
      </c>
      <c r="AU705" s="97">
        <f t="shared" si="967"/>
        <v>150</v>
      </c>
      <c r="AW705" s="83">
        <f>AG705</f>
        <v>0</v>
      </c>
      <c r="AX705" s="83">
        <f t="shared" ref="AX705" si="1007">AH705</f>
        <v>0</v>
      </c>
      <c r="AY705" s="83">
        <f t="shared" ref="AY705" si="1008">AI705</f>
        <v>0</v>
      </c>
      <c r="AZ705" s="83">
        <f t="shared" ref="AZ705:BA715" si="1009">AJ705</f>
        <v>68</v>
      </c>
      <c r="BA705" s="83">
        <f t="shared" si="1009"/>
        <v>82</v>
      </c>
      <c r="BB705" s="52"/>
      <c r="BC705" s="52"/>
      <c r="BD705" s="52"/>
      <c r="BE705" s="52"/>
      <c r="BF705" s="52"/>
      <c r="BG705" s="52"/>
      <c r="BH705" s="52"/>
      <c r="BI705" s="68" cm="1">
        <f t="array" ref="BI705">IFERROR(INDEX(AW705:BH705,1,MATCH(2,1/(AW705:BH705&lt;&gt;""))),"")</f>
        <v>82</v>
      </c>
      <c r="BJ705" s="68" cm="1">
        <f t="array" ref="BJ705">IF(BM705 = "", "",IFERROR(INDEX(AW705:BH705,1,MATCH(2,1/(AW705:BH705&lt;&gt;""),1)-1),""))</f>
        <v>68</v>
      </c>
      <c r="BK705" s="59">
        <f>SUM(AW705:BH705)</f>
        <v>150</v>
      </c>
      <c r="BL705" s="59" cm="1">
        <f t="array" ref="BL705">IFERROR(SUM(AW705:INDEX(AW705:BH705, MATCH(2, 1/(AW705:BH705&lt;&gt;""), 1) - 1))/_xlfn.XLOOKUP(F705,Apuração!A:A,Apuração!B:B),0)</f>
        <v>5.666666666666667</v>
      </c>
      <c r="BM705" s="55" cm="1">
        <f t="array" ref="BM705">IFERROR(
   INDEX($AW$1:$BH$1,
      _xlfn.AGGREGATE(14, 6, COLUMN($AW$1:$BH$1)/(AW705:BH705&lt;&gt;""), 2) - COLUMN($AW$1) + 1
   ),
"")</f>
        <v>46113</v>
      </c>
      <c r="BN705" s="55" cm="1">
        <f t="array" ref="BN705">IFERROR(INDEX($AW$1:$BH$1,1,MATCH(2,1/(AW705:BH705&lt;&gt;""))),"")</f>
        <v>46143</v>
      </c>
      <c r="BO705" s="53">
        <f ca="1">IFERROR(_xlfn.XLOOKUP(F705,Apuração!A:A,Apuração!C:C)/_xlfn.XLOOKUP(F705,Apuração!A:A,Apuração!B:B),0)</f>
        <v>0.41666666666666669</v>
      </c>
      <c r="BP705" s="53">
        <f ca="1">IFERROR(_xlfn.XLOOKUP(F705,Apuração!A:A,Apuração!D:D)/_xlfn.XLOOKUP(F705,Apuração!A:A,Apuração!B:B),0)</f>
        <v>0.33333333333333331</v>
      </c>
      <c r="BQ705" s="53">
        <f ca="1">IF(BK705&gt;=BO705,0,_xlfn.XLOOKUP(F705,Apuração!A:A,Apuração!B:B)*(BO705 + (1/_xlfn.XLOOKUP(F705,Apuração!A:A,Apuração!B:B)) - BK705))</f>
        <v>0</v>
      </c>
      <c r="BR705" s="85">
        <f t="shared" ca="1" si="898"/>
        <v>0</v>
      </c>
      <c r="BS705" s="53">
        <f ca="1">IFERROR((_xlfn.XLOOKUP(F705,Apuração!A:A,Apuração!C:C)+1)/_xlfn.XLOOKUP(F705,Apuração!A:A,Apuração!B:B),0)</f>
        <v>0.5</v>
      </c>
    </row>
    <row r="706" spans="1:71" ht="25.95" hidden="1" customHeight="1" x14ac:dyDescent="0.3">
      <c r="A706" s="42" t="s">
        <v>134</v>
      </c>
      <c r="B706" s="4" t="s">
        <v>142</v>
      </c>
      <c r="C706" s="5" t="s">
        <v>97</v>
      </c>
      <c r="D706" s="5" t="s">
        <v>98</v>
      </c>
      <c r="E706" s="4" t="str" cm="1">
        <f t="array" ref="E706">_xlfn.IFS(
F706 = "A partir de Abril", "Aguardando Execução na Distribuidora",
A706 = "CAPACITAÇÃO", "Em execução no Corporativo",
TRUE, "Em Execução na Distribuidora"
)</f>
        <v>Em Execução na Distribuidora</v>
      </c>
      <c r="F706" s="4" t="str" cm="1">
        <f t="array" ref="F706">_xlfn.IFS(
AG706 &lt;&gt; "", "Jan-Dez/26",
AH706 &lt;&gt; "", "Fev-Dez/26",
AI706 &lt;&gt; "", "Mar-Dez/26", AJ706 &lt;&gt; "", "Abr-Dez/26",
TRUE, "A partir de Junho"
)</f>
        <v>Jan-Dez/26</v>
      </c>
      <c r="G706" s="4" t="s">
        <v>37</v>
      </c>
      <c r="H706" s="7" t="s">
        <v>38</v>
      </c>
      <c r="I706" s="8" t="s">
        <v>148</v>
      </c>
      <c r="J706" s="8" t="str" cm="1">
        <f t="array" aca="1" ref="J706" ca="1">_xlfn.LET(
  _xlpm.actual_value_month, INDEX(T706:AE706, MATCH(DATE(YEAR(TODAY()), MONTH(TODAY()), 1), $T$1:$AE$1, 0)),
  IF(_xlpm.actual_value_month &lt;&gt; "",_xlpm.actual_value_month &amp; " ações mensais", "")
)</f>
        <v/>
      </c>
      <c r="K706" s="8" t="str" cm="1">
        <f t="array" ref="K706">_xlfn.LET(
    _xlpm.sum_month, SUM(T706:AE706),
    IF(_xlpm.sum_month = 0, "", _xlpm.sum_month &amp; " NC's no ano")
)</f>
        <v/>
      </c>
      <c r="L706" s="9" t="s">
        <v>149</v>
      </c>
      <c r="M706" s="24">
        <v>1</v>
      </c>
      <c r="N706" s="5" t="s">
        <v>51</v>
      </c>
      <c r="O706" s="5" t="s">
        <v>52</v>
      </c>
      <c r="P706" s="10" t="s">
        <v>44</v>
      </c>
      <c r="Q706" s="10" t="s">
        <v>44</v>
      </c>
      <c r="R706" s="11" t="s">
        <v>44</v>
      </c>
      <c r="S706" s="11" t="s">
        <v>44</v>
      </c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G706" s="82">
        <v>0</v>
      </c>
      <c r="AH706" s="82">
        <v>0</v>
      </c>
      <c r="AI706" s="82">
        <v>0</v>
      </c>
      <c r="AJ706" s="145">
        <v>0</v>
      </c>
      <c r="AK706" s="71">
        <v>4</v>
      </c>
      <c r="AL706" s="71"/>
      <c r="AM706" s="71"/>
      <c r="AN706" s="71"/>
      <c r="AO706" s="71"/>
      <c r="AP706" s="71"/>
      <c r="AQ706" s="71"/>
      <c r="AR706" s="71"/>
      <c r="AS706" s="94">
        <f t="shared" ref="AS706:AS715" ca="1" si="1010">IF(MONTH(TODAY())=3,SUM(T706:U706),IF(MONTH(TODAY())=4,SUM(T706:V706),IF(MONTH(TODAY())=5,SUM(T706:W706),IF(MONTH(TODAY())=6,SUM(T706:X706),IF(MONTH(TODAY())=7,SUM(T706:Y706),IF(MONTH(TODAY())=8,SUM(T706:Z706),IF(MONTH(TODAY())=9,SUM(T706:AA706),IF(MONTH(TODAY())=10,SUM(T706:AB706),IF(MONTH(TODAY())=11,SUM(T706:AC706),IF(MONTH(TODAY())=12,SUM(T706:AD706),IF(MONTH(TODAY())=1,SUM(T706:AE706),T706)))))))))))</f>
        <v>0</v>
      </c>
      <c r="AT706" s="95">
        <f t="shared" ref="AT706:AT715" si="1011">SUM(AG706:AR706)</f>
        <v>4</v>
      </c>
      <c r="AU706" s="97">
        <f t="shared" ref="AU706:AU715" si="1012">SUM(AG706:AR706)</f>
        <v>4</v>
      </c>
      <c r="AW706" s="83">
        <f t="shared" ref="AW706:AW715" si="1013">AG706</f>
        <v>0</v>
      </c>
      <c r="AX706" s="83">
        <f t="shared" ref="AX706:AX715" si="1014">AH706</f>
        <v>0</v>
      </c>
      <c r="AY706" s="83">
        <f t="shared" ref="AY706:AY715" si="1015">AI706</f>
        <v>0</v>
      </c>
      <c r="AZ706" s="83">
        <f t="shared" ref="AZ706:AZ715" si="1016">AJ706</f>
        <v>0</v>
      </c>
      <c r="BA706" s="83">
        <f t="shared" si="1009"/>
        <v>4</v>
      </c>
      <c r="BB706" s="52"/>
      <c r="BC706" s="52"/>
      <c r="BD706" s="52"/>
      <c r="BE706" s="52"/>
      <c r="BF706" s="52"/>
      <c r="BG706" s="52"/>
      <c r="BH706" s="52"/>
      <c r="BI706" s="68" cm="1">
        <f t="array" ref="BI706">IFERROR(INDEX(AW706:BH706,1,MATCH(2,1/(AW706:BH706&lt;&gt;""))),"")</f>
        <v>4</v>
      </c>
      <c r="BJ706" s="68" cm="1">
        <f t="array" ref="BJ706">IF(BM706 = "", "",IFERROR(INDEX(AW706:BH706,1,MATCH(2,1/(AW706:BH706&lt;&gt;""),1)-1),""))</f>
        <v>0</v>
      </c>
      <c r="BK706" s="59">
        <f t="shared" ref="BK706:BK715" si="1017">SUM(AW706:BH706)</f>
        <v>4</v>
      </c>
      <c r="BL706" s="59" cm="1">
        <f t="array" ref="BL706">IFERROR(SUM(AW706:INDEX(AW706:BH706, MATCH(2, 1/(AW706:BH706&lt;&gt;""), 1) - 1))/_xlfn.XLOOKUP(F706,Apuração!A:A,Apuração!B:B),0)</f>
        <v>0</v>
      </c>
      <c r="BM706" s="55" cm="1">
        <f t="array" ref="BM706">IFERROR(
   INDEX($AW$1:$BH$1,
      _xlfn.AGGREGATE(14, 6, COLUMN($AW$1:$BH$1)/(AW706:BH706&lt;&gt;""), 2) - COLUMN($AW$1) + 1
   ),
"")</f>
        <v>46113</v>
      </c>
      <c r="BN706" s="55" cm="1">
        <f t="array" ref="BN706">IFERROR(INDEX($AW$1:$BH$1,1,MATCH(2,1/(AW706:BH706&lt;&gt;""))),"")</f>
        <v>46143</v>
      </c>
      <c r="BO706" s="53">
        <f ca="1">IFERROR(_xlfn.XLOOKUP(F706,Apuração!A:A,Apuração!C:C)/_xlfn.XLOOKUP(F706,Apuração!A:A,Apuração!B:B),0)</f>
        <v>0.41666666666666669</v>
      </c>
      <c r="BP706" s="53">
        <f ca="1">IFERROR(_xlfn.XLOOKUP(F706,Apuração!A:A,Apuração!D:D)/_xlfn.XLOOKUP(F706,Apuração!A:A,Apuração!B:B),0)</f>
        <v>0.33333333333333331</v>
      </c>
      <c r="BQ706" s="53">
        <f ca="1">IF(BK706&gt;=BO706,0,_xlfn.XLOOKUP(F706,Apuração!A:A,Apuração!B:B)*(BO706 + (1/_xlfn.XLOOKUP(F706,Apuração!A:A,Apuração!B:B)) - BK706))</f>
        <v>0</v>
      </c>
      <c r="BR706" s="85">
        <f t="shared" ref="BR706:BR715" ca="1" si="1018">IF(BQ706=0,0,BQ706*Z706)</f>
        <v>0</v>
      </c>
      <c r="BS706" s="53">
        <f ca="1">IFERROR((_xlfn.XLOOKUP(F706,Apuração!A:A,Apuração!C:C)+1)/_xlfn.XLOOKUP(F706,Apuração!A:A,Apuração!B:B),0)</f>
        <v>0.5</v>
      </c>
    </row>
    <row r="707" spans="1:71" ht="25.95" hidden="1" customHeight="1" x14ac:dyDescent="0.3">
      <c r="A707" s="42" t="s">
        <v>134</v>
      </c>
      <c r="B707" s="4" t="s">
        <v>142</v>
      </c>
      <c r="C707" s="5" t="s">
        <v>97</v>
      </c>
      <c r="D707" s="5" t="s">
        <v>99</v>
      </c>
      <c r="E707" s="4" t="str" cm="1">
        <f t="array" ref="E707">_xlfn.IFS(
F707 = "A partir de Abril", "Aguardando Execução na Distribuidora",
A707 = "CAPACITAÇÃO", "Em execução no Corporativo",
TRUE, "Em Execução na Distribuidora"
)</f>
        <v>Em Execução na Distribuidora</v>
      </c>
      <c r="F707" s="4" t="str" cm="1">
        <f t="array" ref="F707">_xlfn.IFS(
AG707 &lt;&gt; "", "Jan-Dez/26",
AH707 &lt;&gt; "", "Fev-Dez/26",
AI707 &lt;&gt; "", "Mar-Dez/26", AJ707 &lt;&gt; "", "Abr-Dez/26",
TRUE, "A partir de Junho"
)</f>
        <v>Jan-Dez/26</v>
      </c>
      <c r="G707" s="4" t="s">
        <v>37</v>
      </c>
      <c r="H707" s="7" t="s">
        <v>38</v>
      </c>
      <c r="I707" s="8" t="s">
        <v>148</v>
      </c>
      <c r="J707" s="8" t="str" cm="1">
        <f t="array" aca="1" ref="J707" ca="1">_xlfn.LET(
  _xlpm.actual_value_month, INDEX(T707:AE707, MATCH(DATE(YEAR(TODAY()), MONTH(TODAY()), 1), $T$1:$AE$1, 0)),
  IF(_xlpm.actual_value_month &lt;&gt; "",_xlpm.actual_value_month &amp; " ações mensais", "")
)</f>
        <v/>
      </c>
      <c r="K707" s="8" t="str" cm="1">
        <f t="array" ref="K707">_xlfn.LET(
    _xlpm.sum_month, SUM(T707:AE707),
    IF(_xlpm.sum_month = 0, "", _xlpm.sum_month &amp; " NC's no ano")
)</f>
        <v/>
      </c>
      <c r="L707" s="9" t="s">
        <v>149</v>
      </c>
      <c r="M707" s="24">
        <v>1</v>
      </c>
      <c r="N707" s="5" t="s">
        <v>51</v>
      </c>
      <c r="O707" s="5" t="s">
        <v>52</v>
      </c>
      <c r="P707" s="10" t="s">
        <v>44</v>
      </c>
      <c r="Q707" s="10" t="s">
        <v>44</v>
      </c>
      <c r="R707" s="11" t="s">
        <v>44</v>
      </c>
      <c r="S707" s="11" t="s">
        <v>44</v>
      </c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G707" s="82">
        <v>0</v>
      </c>
      <c r="AH707" s="82">
        <v>0</v>
      </c>
      <c r="AI707" s="82">
        <v>0</v>
      </c>
      <c r="AJ707" s="146">
        <v>2</v>
      </c>
      <c r="AK707" s="71">
        <v>0</v>
      </c>
      <c r="AL707" s="71"/>
      <c r="AM707" s="71"/>
      <c r="AN707" s="71"/>
      <c r="AO707" s="71"/>
      <c r="AP707" s="71"/>
      <c r="AQ707" s="71"/>
      <c r="AR707" s="71"/>
      <c r="AS707" s="94">
        <f t="shared" ca="1" si="1010"/>
        <v>0</v>
      </c>
      <c r="AT707" s="95">
        <f t="shared" si="1011"/>
        <v>2</v>
      </c>
      <c r="AU707" s="97">
        <f t="shared" si="1012"/>
        <v>2</v>
      </c>
      <c r="AW707" s="83">
        <f t="shared" si="1013"/>
        <v>0</v>
      </c>
      <c r="AX707" s="83">
        <f t="shared" si="1014"/>
        <v>0</v>
      </c>
      <c r="AY707" s="83">
        <f t="shared" si="1015"/>
        <v>0</v>
      </c>
      <c r="AZ707" s="83">
        <f t="shared" si="1016"/>
        <v>2</v>
      </c>
      <c r="BA707" s="83">
        <f t="shared" si="1009"/>
        <v>0</v>
      </c>
      <c r="BB707" s="52"/>
      <c r="BC707" s="52"/>
      <c r="BD707" s="52"/>
      <c r="BE707" s="52"/>
      <c r="BF707" s="52"/>
      <c r="BG707" s="52"/>
      <c r="BH707" s="52"/>
      <c r="BI707" s="68" cm="1">
        <f t="array" ref="BI707">IFERROR(INDEX(AW707:BH707,1,MATCH(2,1/(AW707:BH707&lt;&gt;""))),"")</f>
        <v>0</v>
      </c>
      <c r="BJ707" s="68" cm="1">
        <f t="array" ref="BJ707">IF(BM707 = "", "",IFERROR(INDEX(AW707:BH707,1,MATCH(2,1/(AW707:BH707&lt;&gt;""),1)-1),""))</f>
        <v>2</v>
      </c>
      <c r="BK707" s="59">
        <f t="shared" si="1017"/>
        <v>2</v>
      </c>
      <c r="BL707" s="59" cm="1">
        <f t="array" ref="BL707">IFERROR(SUM(AW707:INDEX(AW707:BH707, MATCH(2, 1/(AW707:BH707&lt;&gt;""), 1) - 1))/_xlfn.XLOOKUP(F707,Apuração!A:A,Apuração!B:B),0)</f>
        <v>0.16666666666666666</v>
      </c>
      <c r="BM707" s="55" cm="1">
        <f t="array" ref="BM707">IFERROR(
   INDEX($AW$1:$BH$1,
      _xlfn.AGGREGATE(14, 6, COLUMN($AW$1:$BH$1)/(AW707:BH707&lt;&gt;""), 2) - COLUMN($AW$1) + 1
   ),
"")</f>
        <v>46113</v>
      </c>
      <c r="BN707" s="55" cm="1">
        <f t="array" ref="BN707">IFERROR(INDEX($AW$1:$BH$1,1,MATCH(2,1/(AW707:BH707&lt;&gt;""))),"")</f>
        <v>46143</v>
      </c>
      <c r="BO707" s="53">
        <f ca="1">IFERROR(_xlfn.XLOOKUP(F707,Apuração!A:A,Apuração!C:C)/_xlfn.XLOOKUP(F707,Apuração!A:A,Apuração!B:B),0)</f>
        <v>0.41666666666666669</v>
      </c>
      <c r="BP707" s="53">
        <f ca="1">IFERROR(_xlfn.XLOOKUP(F707,Apuração!A:A,Apuração!D:D)/_xlfn.XLOOKUP(F707,Apuração!A:A,Apuração!B:B),0)</f>
        <v>0.33333333333333331</v>
      </c>
      <c r="BQ707" s="53">
        <f ca="1">IF(BK707&gt;=BO707,0,_xlfn.XLOOKUP(F707,Apuração!A:A,Apuração!B:B)*(BO707 + (1/_xlfn.XLOOKUP(F707,Apuração!A:A,Apuração!B:B)) - BK707))</f>
        <v>0</v>
      </c>
      <c r="BR707" s="85">
        <f t="shared" ca="1" si="1018"/>
        <v>0</v>
      </c>
      <c r="BS707" s="53">
        <f ca="1">IFERROR((_xlfn.XLOOKUP(F707,Apuração!A:A,Apuração!C:C)+1)/_xlfn.XLOOKUP(F707,Apuração!A:A,Apuração!B:B),0)</f>
        <v>0.5</v>
      </c>
    </row>
    <row r="708" spans="1:71" ht="25.95" hidden="1" customHeight="1" x14ac:dyDescent="0.3">
      <c r="A708" s="42" t="s">
        <v>134</v>
      </c>
      <c r="B708" s="4" t="s">
        <v>142</v>
      </c>
      <c r="C708" s="5" t="s">
        <v>97</v>
      </c>
      <c r="D708" s="5" t="s">
        <v>100</v>
      </c>
      <c r="E708" s="4" t="str" cm="1">
        <f t="array" ref="E708">_xlfn.IFS(
F708 = "A partir de Abril", "Aguardando Execução na Distribuidora",
A708 = "CAPACITAÇÃO", "Em execução no Corporativo",
TRUE, "Em Execução na Distribuidora"
)</f>
        <v>Em Execução na Distribuidora</v>
      </c>
      <c r="F708" s="4" t="str" cm="1">
        <f t="array" ref="F708">_xlfn.IFS(
AG708 &lt;&gt; "", "Jan-Dez/26",
AH708 &lt;&gt; "", "Fev-Dez/26",
AI708 &lt;&gt; "", "Mar-Dez/26", AJ708 &lt;&gt; "", "Abr-Dez/26",
TRUE, "A partir de Junho"
)</f>
        <v>Jan-Dez/26</v>
      </c>
      <c r="G708" s="4" t="s">
        <v>37</v>
      </c>
      <c r="H708" s="7" t="s">
        <v>38</v>
      </c>
      <c r="I708" s="8" t="s">
        <v>148</v>
      </c>
      <c r="J708" s="8" t="str" cm="1">
        <f t="array" aca="1" ref="J708" ca="1">_xlfn.LET(
  _xlpm.actual_value_month, INDEX(T708:AE708, MATCH(DATE(YEAR(TODAY()), MONTH(TODAY()), 1), $T$1:$AE$1, 0)),
  IF(_xlpm.actual_value_month &lt;&gt; "",_xlpm.actual_value_month &amp; " ações mensais", "")
)</f>
        <v/>
      </c>
      <c r="K708" s="8" t="str" cm="1">
        <f t="array" ref="K708">_xlfn.LET(
    _xlpm.sum_month, SUM(T708:AE708),
    IF(_xlpm.sum_month = 0, "", _xlpm.sum_month &amp; " NC's no ano")
)</f>
        <v/>
      </c>
      <c r="L708" s="9" t="s">
        <v>149</v>
      </c>
      <c r="M708" s="24">
        <v>1</v>
      </c>
      <c r="N708" s="5" t="s">
        <v>51</v>
      </c>
      <c r="O708" s="5" t="s">
        <v>52</v>
      </c>
      <c r="P708" s="10" t="s">
        <v>44</v>
      </c>
      <c r="Q708" s="10" t="s">
        <v>44</v>
      </c>
      <c r="R708" s="11" t="s">
        <v>44</v>
      </c>
      <c r="S708" s="11" t="s">
        <v>44</v>
      </c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G708" s="82">
        <v>0</v>
      </c>
      <c r="AH708" s="82">
        <v>0</v>
      </c>
      <c r="AI708" s="82">
        <v>0</v>
      </c>
      <c r="AJ708" s="146">
        <v>6</v>
      </c>
      <c r="AK708" s="71">
        <v>0</v>
      </c>
      <c r="AL708" s="71"/>
      <c r="AM708" s="71"/>
      <c r="AN708" s="71"/>
      <c r="AO708" s="71"/>
      <c r="AP708" s="71"/>
      <c r="AQ708" s="71"/>
      <c r="AR708" s="71"/>
      <c r="AS708" s="94">
        <f t="shared" ca="1" si="1010"/>
        <v>0</v>
      </c>
      <c r="AT708" s="95">
        <f t="shared" si="1011"/>
        <v>6</v>
      </c>
      <c r="AU708" s="97">
        <f t="shared" si="1012"/>
        <v>6</v>
      </c>
      <c r="AW708" s="83">
        <f t="shared" si="1013"/>
        <v>0</v>
      </c>
      <c r="AX708" s="83">
        <f t="shared" si="1014"/>
        <v>0</v>
      </c>
      <c r="AY708" s="83">
        <f t="shared" si="1015"/>
        <v>0</v>
      </c>
      <c r="AZ708" s="83">
        <f t="shared" si="1016"/>
        <v>6</v>
      </c>
      <c r="BA708" s="83">
        <f t="shared" si="1009"/>
        <v>0</v>
      </c>
      <c r="BB708" s="52"/>
      <c r="BC708" s="52"/>
      <c r="BD708" s="52"/>
      <c r="BE708" s="52"/>
      <c r="BF708" s="52"/>
      <c r="BG708" s="52"/>
      <c r="BH708" s="52"/>
      <c r="BI708" s="68" cm="1">
        <f t="array" ref="BI708">IFERROR(INDEX(AW708:BH708,1,MATCH(2,1/(AW708:BH708&lt;&gt;""))),"")</f>
        <v>0</v>
      </c>
      <c r="BJ708" s="68" cm="1">
        <f t="array" ref="BJ708">IF(BM708 = "", "",IFERROR(INDEX(AW708:BH708,1,MATCH(2,1/(AW708:BH708&lt;&gt;""),1)-1),""))</f>
        <v>6</v>
      </c>
      <c r="BK708" s="59">
        <f t="shared" si="1017"/>
        <v>6</v>
      </c>
      <c r="BL708" s="59" cm="1">
        <f t="array" ref="BL708">IFERROR(SUM(AW708:INDEX(AW708:BH708, MATCH(2, 1/(AW708:BH708&lt;&gt;""), 1) - 1))/_xlfn.XLOOKUP(F708,Apuração!A:A,Apuração!B:B),0)</f>
        <v>0.5</v>
      </c>
      <c r="BM708" s="55" cm="1">
        <f t="array" ref="BM708">IFERROR(
   INDEX($AW$1:$BH$1,
      _xlfn.AGGREGATE(14, 6, COLUMN($AW$1:$BH$1)/(AW708:BH708&lt;&gt;""), 2) - COLUMN($AW$1) + 1
   ),
"")</f>
        <v>46113</v>
      </c>
      <c r="BN708" s="55" cm="1">
        <f t="array" ref="BN708">IFERROR(INDEX($AW$1:$BH$1,1,MATCH(2,1/(AW708:BH708&lt;&gt;""))),"")</f>
        <v>46143</v>
      </c>
      <c r="BO708" s="53">
        <f ca="1">IFERROR(_xlfn.XLOOKUP(F708,Apuração!A:A,Apuração!C:C)/_xlfn.XLOOKUP(F708,Apuração!A:A,Apuração!B:B),0)</f>
        <v>0.41666666666666669</v>
      </c>
      <c r="BP708" s="53">
        <f ca="1">IFERROR(_xlfn.XLOOKUP(F708,Apuração!A:A,Apuração!D:D)/_xlfn.XLOOKUP(F708,Apuração!A:A,Apuração!B:B),0)</f>
        <v>0.33333333333333331</v>
      </c>
      <c r="BQ708" s="53">
        <f ca="1">IF(BK708&gt;=BO708,0,_xlfn.XLOOKUP(F708,Apuração!A:A,Apuração!B:B)*(BO708 + (1/_xlfn.XLOOKUP(F708,Apuração!A:A,Apuração!B:B)) - BK708))</f>
        <v>0</v>
      </c>
      <c r="BR708" s="85">
        <f t="shared" ca="1" si="1018"/>
        <v>0</v>
      </c>
      <c r="BS708" s="53">
        <f ca="1">IFERROR((_xlfn.XLOOKUP(F708,Apuração!A:A,Apuração!C:C)+1)/_xlfn.XLOOKUP(F708,Apuração!A:A,Apuração!B:B),0)</f>
        <v>0.5</v>
      </c>
    </row>
    <row r="709" spans="1:71" ht="25.95" hidden="1" customHeight="1" x14ac:dyDescent="0.3">
      <c r="A709" s="42" t="s">
        <v>134</v>
      </c>
      <c r="B709" s="4" t="s">
        <v>142</v>
      </c>
      <c r="C709" s="5" t="s">
        <v>97</v>
      </c>
      <c r="D709" s="5" t="s">
        <v>101</v>
      </c>
      <c r="E709" s="4" t="str" cm="1">
        <f t="array" ref="E709">_xlfn.IFS(
F709 = "A partir de Abril", "Aguardando Execução na Distribuidora",
A709 = "CAPACITAÇÃO", "Em execução no Corporativo",
TRUE, "Em Execução na Distribuidora"
)</f>
        <v>Em Execução na Distribuidora</v>
      </c>
      <c r="F709" s="4" t="str" cm="1">
        <f t="array" ref="F709">_xlfn.IFS(
AG709 &lt;&gt; "", "Jan-Dez/26",
AH709 &lt;&gt; "", "Fev-Dez/26",
AI709 &lt;&gt; "", "Mar-Dez/26", AJ709 &lt;&gt; "", "Abr-Dez/26",
TRUE, "A partir de Junho"
)</f>
        <v>Jan-Dez/26</v>
      </c>
      <c r="G709" s="4" t="s">
        <v>37</v>
      </c>
      <c r="H709" s="7" t="s">
        <v>38</v>
      </c>
      <c r="I709" s="8" t="s">
        <v>148</v>
      </c>
      <c r="J709" s="8" t="str" cm="1">
        <f t="array" aca="1" ref="J709" ca="1">_xlfn.LET(
  _xlpm.actual_value_month, INDEX(T709:AE709, MATCH(DATE(YEAR(TODAY()), MONTH(TODAY()), 1), $T$1:$AE$1, 0)),
  IF(_xlpm.actual_value_month &lt;&gt; "",_xlpm.actual_value_month &amp; " ações mensais", "")
)</f>
        <v/>
      </c>
      <c r="K709" s="8" t="str" cm="1">
        <f t="array" ref="K709">_xlfn.LET(
    _xlpm.sum_month, SUM(T709:AE709),
    IF(_xlpm.sum_month = 0, "", _xlpm.sum_month &amp; " NC's no ano")
)</f>
        <v/>
      </c>
      <c r="L709" s="9" t="s">
        <v>149</v>
      </c>
      <c r="M709" s="24">
        <v>1</v>
      </c>
      <c r="N709" s="5" t="s">
        <v>51</v>
      </c>
      <c r="O709" s="5" t="s">
        <v>52</v>
      </c>
      <c r="P709" s="10" t="s">
        <v>44</v>
      </c>
      <c r="Q709" s="10" t="s">
        <v>44</v>
      </c>
      <c r="R709" s="11" t="s">
        <v>44</v>
      </c>
      <c r="S709" s="11" t="s">
        <v>44</v>
      </c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G709" s="82">
        <v>0</v>
      </c>
      <c r="AH709" s="82">
        <v>0</v>
      </c>
      <c r="AI709" s="82">
        <v>0</v>
      </c>
      <c r="AJ709" s="146">
        <v>2</v>
      </c>
      <c r="AK709" s="71">
        <v>1</v>
      </c>
      <c r="AL709" s="71"/>
      <c r="AM709" s="71"/>
      <c r="AN709" s="71"/>
      <c r="AO709" s="71"/>
      <c r="AP709" s="71"/>
      <c r="AQ709" s="71"/>
      <c r="AR709" s="71"/>
      <c r="AS709" s="94">
        <f t="shared" ca="1" si="1010"/>
        <v>0</v>
      </c>
      <c r="AT709" s="95">
        <f t="shared" si="1011"/>
        <v>3</v>
      </c>
      <c r="AU709" s="97">
        <f t="shared" si="1012"/>
        <v>3</v>
      </c>
      <c r="AW709" s="83">
        <f t="shared" si="1013"/>
        <v>0</v>
      </c>
      <c r="AX709" s="83">
        <f t="shared" si="1014"/>
        <v>0</v>
      </c>
      <c r="AY709" s="83">
        <f t="shared" si="1015"/>
        <v>0</v>
      </c>
      <c r="AZ709" s="83">
        <f t="shared" si="1016"/>
        <v>2</v>
      </c>
      <c r="BA709" s="83">
        <f t="shared" si="1009"/>
        <v>1</v>
      </c>
      <c r="BB709" s="52"/>
      <c r="BC709" s="52"/>
      <c r="BD709" s="52"/>
      <c r="BE709" s="52"/>
      <c r="BF709" s="52"/>
      <c r="BG709" s="52"/>
      <c r="BH709" s="52"/>
      <c r="BI709" s="68" cm="1">
        <f t="array" ref="BI709">IFERROR(INDEX(AW709:BH709,1,MATCH(2,1/(AW709:BH709&lt;&gt;""))),"")</f>
        <v>1</v>
      </c>
      <c r="BJ709" s="68" cm="1">
        <f t="array" ref="BJ709">IF(BM709 = "", "",IFERROR(INDEX(AW709:BH709,1,MATCH(2,1/(AW709:BH709&lt;&gt;""),1)-1),""))</f>
        <v>2</v>
      </c>
      <c r="BK709" s="59">
        <f t="shared" si="1017"/>
        <v>3</v>
      </c>
      <c r="BL709" s="59" cm="1">
        <f t="array" ref="BL709">IFERROR(SUM(AW709:INDEX(AW709:BH709, MATCH(2, 1/(AW709:BH709&lt;&gt;""), 1) - 1))/_xlfn.XLOOKUP(F709,Apuração!A:A,Apuração!B:B),0)</f>
        <v>0.16666666666666666</v>
      </c>
      <c r="BM709" s="55" cm="1">
        <f t="array" ref="BM709">IFERROR(
   INDEX($AW$1:$BH$1,
      _xlfn.AGGREGATE(14, 6, COLUMN($AW$1:$BH$1)/(AW709:BH709&lt;&gt;""), 2) - COLUMN($AW$1) + 1
   ),
"")</f>
        <v>46113</v>
      </c>
      <c r="BN709" s="55" cm="1">
        <f t="array" ref="BN709">IFERROR(INDEX($AW$1:$BH$1,1,MATCH(2,1/(AW709:BH709&lt;&gt;""))),"")</f>
        <v>46143</v>
      </c>
      <c r="BO709" s="53">
        <f ca="1">IFERROR(_xlfn.XLOOKUP(F709,Apuração!A:A,Apuração!C:C)/_xlfn.XLOOKUP(F709,Apuração!A:A,Apuração!B:B),0)</f>
        <v>0.41666666666666669</v>
      </c>
      <c r="BP709" s="53">
        <f ca="1">IFERROR(_xlfn.XLOOKUP(F709,Apuração!A:A,Apuração!D:D)/_xlfn.XLOOKUP(F709,Apuração!A:A,Apuração!B:B),0)</f>
        <v>0.33333333333333331</v>
      </c>
      <c r="BQ709" s="53">
        <f ca="1">IF(BK709&gt;=BO709,0,_xlfn.XLOOKUP(F709,Apuração!A:A,Apuração!B:B)*(BO709 + (1/_xlfn.XLOOKUP(F709,Apuração!A:A,Apuração!B:B)) - BK709))</f>
        <v>0</v>
      </c>
      <c r="BR709" s="85">
        <f t="shared" ca="1" si="1018"/>
        <v>0</v>
      </c>
      <c r="BS709" s="53">
        <f ca="1">IFERROR((_xlfn.XLOOKUP(F709,Apuração!A:A,Apuração!C:C)+1)/_xlfn.XLOOKUP(F709,Apuração!A:A,Apuração!B:B),0)</f>
        <v>0.5</v>
      </c>
    </row>
    <row r="710" spans="1:71" ht="25.95" hidden="1" customHeight="1" x14ac:dyDescent="0.3">
      <c r="A710" s="42" t="s">
        <v>134</v>
      </c>
      <c r="B710" s="4" t="s">
        <v>142</v>
      </c>
      <c r="C710" s="5" t="s">
        <v>97</v>
      </c>
      <c r="D710" s="5" t="s">
        <v>102</v>
      </c>
      <c r="E710" s="4" t="str" cm="1">
        <f t="array" ref="E710">_xlfn.IFS(
F710 = "A partir de Abril", "Aguardando Execução na Distribuidora",
A710 = "CAPACITAÇÃO", "Em execução no Corporativo",
TRUE, "Em Execução na Distribuidora"
)</f>
        <v>Em Execução na Distribuidora</v>
      </c>
      <c r="F710" s="4" t="str" cm="1">
        <f t="array" ref="F710">_xlfn.IFS(
AG710 &lt;&gt; "", "Jan-Dez/26",
AH710 &lt;&gt; "", "Fev-Dez/26",
AI710 &lt;&gt; "", "Mar-Dez/26", AJ710 &lt;&gt; "", "Abr-Dez/26",
TRUE, "A partir de Junho"
)</f>
        <v>Jan-Dez/26</v>
      </c>
      <c r="G710" s="4" t="s">
        <v>37</v>
      </c>
      <c r="H710" s="7" t="s">
        <v>38</v>
      </c>
      <c r="I710" s="8" t="s">
        <v>148</v>
      </c>
      <c r="J710" s="8" t="str" cm="1">
        <f t="array" aca="1" ref="J710" ca="1">_xlfn.LET(
  _xlpm.actual_value_month, INDEX(T710:AE710, MATCH(DATE(YEAR(TODAY()), MONTH(TODAY()), 1), $T$1:$AE$1, 0)),
  IF(_xlpm.actual_value_month &lt;&gt; "",_xlpm.actual_value_month &amp; " ações mensais", "")
)</f>
        <v/>
      </c>
      <c r="K710" s="8" t="str" cm="1">
        <f t="array" ref="K710">_xlfn.LET(
    _xlpm.sum_month, SUM(T710:AE710),
    IF(_xlpm.sum_month = 0, "", _xlpm.sum_month &amp; " NC's no ano")
)</f>
        <v/>
      </c>
      <c r="L710" s="9" t="s">
        <v>149</v>
      </c>
      <c r="M710" s="24">
        <v>1</v>
      </c>
      <c r="N710" s="5" t="s">
        <v>51</v>
      </c>
      <c r="O710" s="5" t="s">
        <v>52</v>
      </c>
      <c r="P710" s="10" t="s">
        <v>44</v>
      </c>
      <c r="Q710" s="10" t="s">
        <v>44</v>
      </c>
      <c r="R710" s="11" t="s">
        <v>44</v>
      </c>
      <c r="S710" s="11" t="s">
        <v>44</v>
      </c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G710" s="82">
        <v>0</v>
      </c>
      <c r="AH710" s="82">
        <v>0</v>
      </c>
      <c r="AI710" s="82">
        <v>0</v>
      </c>
      <c r="AJ710" s="146">
        <v>2</v>
      </c>
      <c r="AK710" s="71">
        <v>3</v>
      </c>
      <c r="AL710" s="71"/>
      <c r="AM710" s="71"/>
      <c r="AN710" s="71"/>
      <c r="AO710" s="71"/>
      <c r="AP710" s="71"/>
      <c r="AQ710" s="71"/>
      <c r="AR710" s="71"/>
      <c r="AS710" s="94">
        <f t="shared" ca="1" si="1010"/>
        <v>0</v>
      </c>
      <c r="AT710" s="95">
        <f t="shared" si="1011"/>
        <v>5</v>
      </c>
      <c r="AU710" s="97">
        <f t="shared" si="1012"/>
        <v>5</v>
      </c>
      <c r="AW710" s="83">
        <f t="shared" si="1013"/>
        <v>0</v>
      </c>
      <c r="AX710" s="83">
        <f t="shared" si="1014"/>
        <v>0</v>
      </c>
      <c r="AY710" s="83">
        <f t="shared" si="1015"/>
        <v>0</v>
      </c>
      <c r="AZ710" s="83">
        <f t="shared" si="1016"/>
        <v>2</v>
      </c>
      <c r="BA710" s="83">
        <f t="shared" si="1009"/>
        <v>3</v>
      </c>
      <c r="BB710" s="52"/>
      <c r="BC710" s="52"/>
      <c r="BD710" s="52"/>
      <c r="BE710" s="52"/>
      <c r="BF710" s="52"/>
      <c r="BG710" s="52"/>
      <c r="BH710" s="52"/>
      <c r="BI710" s="68" cm="1">
        <f t="array" ref="BI710">IFERROR(INDEX(AW710:BH710,1,MATCH(2,1/(AW710:BH710&lt;&gt;""))),"")</f>
        <v>3</v>
      </c>
      <c r="BJ710" s="68" cm="1">
        <f t="array" ref="BJ710">IF(BM710 = "", "",IFERROR(INDEX(AW710:BH710,1,MATCH(2,1/(AW710:BH710&lt;&gt;""),1)-1),""))</f>
        <v>2</v>
      </c>
      <c r="BK710" s="59">
        <f t="shared" si="1017"/>
        <v>5</v>
      </c>
      <c r="BL710" s="59" cm="1">
        <f t="array" ref="BL710">IFERROR(SUM(AW710:INDEX(AW710:BH710, MATCH(2, 1/(AW710:BH710&lt;&gt;""), 1) - 1))/_xlfn.XLOOKUP(F710,Apuração!A:A,Apuração!B:B),0)</f>
        <v>0.16666666666666666</v>
      </c>
      <c r="BM710" s="55" cm="1">
        <f t="array" ref="BM710">IFERROR(
   INDEX($AW$1:$BH$1,
      _xlfn.AGGREGATE(14, 6, COLUMN($AW$1:$BH$1)/(AW710:BH710&lt;&gt;""), 2) - COLUMN($AW$1) + 1
   ),
"")</f>
        <v>46113</v>
      </c>
      <c r="BN710" s="55" cm="1">
        <f t="array" ref="BN710">IFERROR(INDEX($AW$1:$BH$1,1,MATCH(2,1/(AW710:BH710&lt;&gt;""))),"")</f>
        <v>46143</v>
      </c>
      <c r="BO710" s="53">
        <f ca="1">IFERROR(_xlfn.XLOOKUP(F710,Apuração!A:A,Apuração!C:C)/_xlfn.XLOOKUP(F710,Apuração!A:A,Apuração!B:B),0)</f>
        <v>0.41666666666666669</v>
      </c>
      <c r="BP710" s="53">
        <f ca="1">IFERROR(_xlfn.XLOOKUP(F710,Apuração!A:A,Apuração!D:D)/_xlfn.XLOOKUP(F710,Apuração!A:A,Apuração!B:B),0)</f>
        <v>0.33333333333333331</v>
      </c>
      <c r="BQ710" s="53">
        <f ca="1">IF(BK710&gt;=BO710,0,_xlfn.XLOOKUP(F710,Apuração!A:A,Apuração!B:B)*(BO710 + (1/_xlfn.XLOOKUP(F710,Apuração!A:A,Apuração!B:B)) - BK710))</f>
        <v>0</v>
      </c>
      <c r="BR710" s="85">
        <f t="shared" ca="1" si="1018"/>
        <v>0</v>
      </c>
      <c r="BS710" s="53">
        <f ca="1">IFERROR((_xlfn.XLOOKUP(F710,Apuração!A:A,Apuração!C:C)+1)/_xlfn.XLOOKUP(F710,Apuração!A:A,Apuração!B:B),0)</f>
        <v>0.5</v>
      </c>
    </row>
    <row r="711" spans="1:71" ht="25.95" hidden="1" customHeight="1" x14ac:dyDescent="0.3">
      <c r="A711" s="42" t="s">
        <v>134</v>
      </c>
      <c r="B711" s="4" t="s">
        <v>142</v>
      </c>
      <c r="C711" s="5" t="s">
        <v>97</v>
      </c>
      <c r="D711" s="5" t="s">
        <v>103</v>
      </c>
      <c r="E711" s="4" t="str" cm="1">
        <f t="array" ref="E711">_xlfn.IFS(
F711 = "A partir de Abril", "Aguardando Execução na Distribuidora",
A711 = "CAPACITAÇÃO", "Em execução no Corporativo",
TRUE, "Em Execução na Distribuidora"
)</f>
        <v>Em Execução na Distribuidora</v>
      </c>
      <c r="F711" s="4" t="str" cm="1">
        <f t="array" ref="F711">_xlfn.IFS(
AG711 &lt;&gt; "", "Jan-Dez/26",
AH711 &lt;&gt; "", "Fev-Dez/26",
AI711 &lt;&gt; "", "Mar-Dez/26", AJ711 &lt;&gt; "", "Abr-Dez/26",
TRUE, "A partir de Junho"
)</f>
        <v>Jan-Dez/26</v>
      </c>
      <c r="G711" s="4" t="s">
        <v>37</v>
      </c>
      <c r="H711" s="7" t="s">
        <v>38</v>
      </c>
      <c r="I711" s="8" t="s">
        <v>148</v>
      </c>
      <c r="J711" s="8" t="str" cm="1">
        <f t="array" aca="1" ref="J711" ca="1">_xlfn.LET(
  _xlpm.actual_value_month, INDEX(T711:AE711, MATCH(DATE(YEAR(TODAY()), MONTH(TODAY()), 1), $T$1:$AE$1, 0)),
  IF(_xlpm.actual_value_month &lt;&gt; "",_xlpm.actual_value_month &amp; " ações mensais", "")
)</f>
        <v/>
      </c>
      <c r="K711" s="8" t="str" cm="1">
        <f t="array" ref="K711">_xlfn.LET(
    _xlpm.sum_month, SUM(T711:AE711),
    IF(_xlpm.sum_month = 0, "", _xlpm.sum_month &amp; " NC's no ano")
)</f>
        <v/>
      </c>
      <c r="L711" s="9" t="s">
        <v>149</v>
      </c>
      <c r="M711" s="24">
        <v>1</v>
      </c>
      <c r="N711" s="5" t="s">
        <v>51</v>
      </c>
      <c r="O711" s="5" t="s">
        <v>52</v>
      </c>
      <c r="P711" s="10" t="s">
        <v>44</v>
      </c>
      <c r="Q711" s="10" t="s">
        <v>44</v>
      </c>
      <c r="R711" s="11" t="s">
        <v>44</v>
      </c>
      <c r="S711" s="11" t="s">
        <v>44</v>
      </c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G711" s="82">
        <v>0</v>
      </c>
      <c r="AH711" s="82">
        <v>0</v>
      </c>
      <c r="AI711" s="82">
        <v>0</v>
      </c>
      <c r="AJ711" s="146">
        <v>37</v>
      </c>
      <c r="AK711" s="71">
        <v>46</v>
      </c>
      <c r="AL711" s="71"/>
      <c r="AM711" s="71"/>
      <c r="AN711" s="71"/>
      <c r="AO711" s="71"/>
      <c r="AP711" s="71"/>
      <c r="AQ711" s="71"/>
      <c r="AR711" s="71"/>
      <c r="AS711" s="94">
        <f t="shared" ca="1" si="1010"/>
        <v>0</v>
      </c>
      <c r="AT711" s="95">
        <f t="shared" si="1011"/>
        <v>83</v>
      </c>
      <c r="AU711" s="97">
        <f t="shared" si="1012"/>
        <v>83</v>
      </c>
      <c r="AW711" s="83">
        <f t="shared" si="1013"/>
        <v>0</v>
      </c>
      <c r="AX711" s="83">
        <f t="shared" si="1014"/>
        <v>0</v>
      </c>
      <c r="AY711" s="83">
        <f t="shared" si="1015"/>
        <v>0</v>
      </c>
      <c r="AZ711" s="83">
        <f t="shared" si="1016"/>
        <v>37</v>
      </c>
      <c r="BA711" s="83">
        <f t="shared" si="1009"/>
        <v>46</v>
      </c>
      <c r="BB711" s="52"/>
      <c r="BC711" s="52"/>
      <c r="BD711" s="52"/>
      <c r="BE711" s="52"/>
      <c r="BF711" s="52"/>
      <c r="BG711" s="52"/>
      <c r="BH711" s="52"/>
      <c r="BI711" s="68" cm="1">
        <f t="array" ref="BI711">IFERROR(INDEX(AW711:BH711,1,MATCH(2,1/(AW711:BH711&lt;&gt;""))),"")</f>
        <v>46</v>
      </c>
      <c r="BJ711" s="68" cm="1">
        <f t="array" ref="BJ711">IF(BM711 = "", "",IFERROR(INDEX(AW711:BH711,1,MATCH(2,1/(AW711:BH711&lt;&gt;""),1)-1),""))</f>
        <v>37</v>
      </c>
      <c r="BK711" s="59">
        <f t="shared" si="1017"/>
        <v>83</v>
      </c>
      <c r="BL711" s="59" cm="1">
        <f t="array" ref="BL711">IFERROR(SUM(AW711:INDEX(AW711:BH711, MATCH(2, 1/(AW711:BH711&lt;&gt;""), 1) - 1))/_xlfn.XLOOKUP(F711,Apuração!A:A,Apuração!B:B),0)</f>
        <v>3.0833333333333335</v>
      </c>
      <c r="BM711" s="55" cm="1">
        <f t="array" ref="BM711">IFERROR(
   INDEX($AW$1:$BH$1,
      _xlfn.AGGREGATE(14, 6, COLUMN($AW$1:$BH$1)/(AW711:BH711&lt;&gt;""), 2) - COLUMN($AW$1) + 1
   ),
"")</f>
        <v>46113</v>
      </c>
      <c r="BN711" s="55" cm="1">
        <f t="array" ref="BN711">IFERROR(INDEX($AW$1:$BH$1,1,MATCH(2,1/(AW711:BH711&lt;&gt;""))),"")</f>
        <v>46143</v>
      </c>
      <c r="BO711" s="53">
        <f ca="1">IFERROR(_xlfn.XLOOKUP(F711,Apuração!A:A,Apuração!C:C)/_xlfn.XLOOKUP(F711,Apuração!A:A,Apuração!B:B),0)</f>
        <v>0.41666666666666669</v>
      </c>
      <c r="BP711" s="53">
        <f ca="1">IFERROR(_xlfn.XLOOKUP(F711,Apuração!A:A,Apuração!D:D)/_xlfn.XLOOKUP(F711,Apuração!A:A,Apuração!B:B),0)</f>
        <v>0.33333333333333331</v>
      </c>
      <c r="BQ711" s="53">
        <f ca="1">IF(BK711&gt;=BO711,0,_xlfn.XLOOKUP(F711,Apuração!A:A,Apuração!B:B)*(BO711 + (1/_xlfn.XLOOKUP(F711,Apuração!A:A,Apuração!B:B)) - BK711))</f>
        <v>0</v>
      </c>
      <c r="BR711" s="85">
        <f t="shared" ca="1" si="1018"/>
        <v>0</v>
      </c>
      <c r="BS711" s="53">
        <f ca="1">IFERROR((_xlfn.XLOOKUP(F711,Apuração!A:A,Apuração!C:C)+1)/_xlfn.XLOOKUP(F711,Apuração!A:A,Apuração!B:B),0)</f>
        <v>0.5</v>
      </c>
    </row>
    <row r="712" spans="1:71" ht="25.95" hidden="1" customHeight="1" x14ac:dyDescent="0.3">
      <c r="A712" s="42" t="s">
        <v>134</v>
      </c>
      <c r="B712" s="4" t="s">
        <v>142</v>
      </c>
      <c r="C712" s="5" t="s">
        <v>97</v>
      </c>
      <c r="D712" s="5" t="s">
        <v>104</v>
      </c>
      <c r="E712" s="4" t="str" cm="1">
        <f t="array" ref="E712">_xlfn.IFS(
F712 = "A partir de Abril", "Aguardando Execução na Distribuidora",
A712 = "CAPACITAÇÃO", "Em execução no Corporativo",
TRUE, "Em Execução na Distribuidora"
)</f>
        <v>Em Execução na Distribuidora</v>
      </c>
      <c r="F712" s="4" t="str" cm="1">
        <f t="array" ref="F712">_xlfn.IFS(
AG712 &lt;&gt; "", "Jan-Dez/26",
AH712 &lt;&gt; "", "Fev-Dez/26",
AI712 &lt;&gt; "", "Mar-Dez/26", AJ712 &lt;&gt; "", "Abr-Dez/26",
TRUE, "A partir de Junho"
)</f>
        <v>Jan-Dez/26</v>
      </c>
      <c r="G712" s="4" t="s">
        <v>37</v>
      </c>
      <c r="H712" s="7" t="s">
        <v>38</v>
      </c>
      <c r="I712" s="8" t="s">
        <v>148</v>
      </c>
      <c r="J712" s="8" t="str" cm="1">
        <f t="array" aca="1" ref="J712" ca="1">_xlfn.LET(
  _xlpm.actual_value_month, INDEX(T712:AE712, MATCH(DATE(YEAR(TODAY()), MONTH(TODAY()), 1), $T$1:$AE$1, 0)),
  IF(_xlpm.actual_value_month &lt;&gt; "",_xlpm.actual_value_month &amp; " ações mensais", "")
)</f>
        <v/>
      </c>
      <c r="K712" s="8" t="str" cm="1">
        <f t="array" ref="K712">_xlfn.LET(
    _xlpm.sum_month, SUM(T712:AE712),
    IF(_xlpm.sum_month = 0, "", _xlpm.sum_month &amp; " NC's no ano")
)</f>
        <v/>
      </c>
      <c r="L712" s="9" t="s">
        <v>149</v>
      </c>
      <c r="M712" s="24">
        <v>1</v>
      </c>
      <c r="N712" s="5" t="s">
        <v>51</v>
      </c>
      <c r="O712" s="5" t="s">
        <v>52</v>
      </c>
      <c r="P712" s="10" t="s">
        <v>44</v>
      </c>
      <c r="Q712" s="10" t="s">
        <v>44</v>
      </c>
      <c r="R712" s="11" t="s">
        <v>44</v>
      </c>
      <c r="S712" s="11" t="s">
        <v>44</v>
      </c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G712" s="82">
        <v>0</v>
      </c>
      <c r="AH712" s="82">
        <v>0</v>
      </c>
      <c r="AI712" s="82">
        <v>0</v>
      </c>
      <c r="AJ712" s="146">
        <v>9</v>
      </c>
      <c r="AK712" s="71">
        <v>14</v>
      </c>
      <c r="AL712" s="71"/>
      <c r="AM712" s="71"/>
      <c r="AN712" s="71"/>
      <c r="AO712" s="71"/>
      <c r="AP712" s="71"/>
      <c r="AQ712" s="71"/>
      <c r="AR712" s="71"/>
      <c r="AS712" s="94">
        <f t="shared" ca="1" si="1010"/>
        <v>0</v>
      </c>
      <c r="AT712" s="95">
        <f t="shared" si="1011"/>
        <v>23</v>
      </c>
      <c r="AU712" s="97">
        <f t="shared" si="1012"/>
        <v>23</v>
      </c>
      <c r="AW712" s="83">
        <f t="shared" si="1013"/>
        <v>0</v>
      </c>
      <c r="AX712" s="83">
        <f t="shared" si="1014"/>
        <v>0</v>
      </c>
      <c r="AY712" s="83">
        <f t="shared" si="1015"/>
        <v>0</v>
      </c>
      <c r="AZ712" s="83">
        <f t="shared" si="1016"/>
        <v>9</v>
      </c>
      <c r="BA712" s="83">
        <f t="shared" si="1009"/>
        <v>14</v>
      </c>
      <c r="BB712" s="52"/>
      <c r="BC712" s="52"/>
      <c r="BD712" s="52"/>
      <c r="BE712" s="52"/>
      <c r="BF712" s="52"/>
      <c r="BG712" s="52"/>
      <c r="BH712" s="52"/>
      <c r="BI712" s="68" cm="1">
        <f t="array" ref="BI712">IFERROR(INDEX(AW712:BH712,1,MATCH(2,1/(AW712:BH712&lt;&gt;""))),"")</f>
        <v>14</v>
      </c>
      <c r="BJ712" s="68" cm="1">
        <f t="array" ref="BJ712">IF(BM712 = "", "",IFERROR(INDEX(AW712:BH712,1,MATCH(2,1/(AW712:BH712&lt;&gt;""),1)-1),""))</f>
        <v>9</v>
      </c>
      <c r="BK712" s="59">
        <f t="shared" si="1017"/>
        <v>23</v>
      </c>
      <c r="BL712" s="59" cm="1">
        <f t="array" ref="BL712">IFERROR(SUM(AW712:INDEX(AW712:BH712, MATCH(2, 1/(AW712:BH712&lt;&gt;""), 1) - 1))/_xlfn.XLOOKUP(F712,Apuração!A:A,Apuração!B:B),0)</f>
        <v>0.75</v>
      </c>
      <c r="BM712" s="55" cm="1">
        <f t="array" ref="BM712">IFERROR(
   INDEX($AW$1:$BH$1,
      _xlfn.AGGREGATE(14, 6, COLUMN($AW$1:$BH$1)/(AW712:BH712&lt;&gt;""), 2) - COLUMN($AW$1) + 1
   ),
"")</f>
        <v>46113</v>
      </c>
      <c r="BN712" s="55" cm="1">
        <f t="array" ref="BN712">IFERROR(INDEX($AW$1:$BH$1,1,MATCH(2,1/(AW712:BH712&lt;&gt;""))),"")</f>
        <v>46143</v>
      </c>
      <c r="BO712" s="53">
        <f ca="1">IFERROR(_xlfn.XLOOKUP(F712,Apuração!A:A,Apuração!C:C)/_xlfn.XLOOKUP(F712,Apuração!A:A,Apuração!B:B),0)</f>
        <v>0.41666666666666669</v>
      </c>
      <c r="BP712" s="53">
        <f ca="1">IFERROR(_xlfn.XLOOKUP(F712,Apuração!A:A,Apuração!D:D)/_xlfn.XLOOKUP(F712,Apuração!A:A,Apuração!B:B),0)</f>
        <v>0.33333333333333331</v>
      </c>
      <c r="BQ712" s="53">
        <f ca="1">IF(BK712&gt;=BO712,0,_xlfn.XLOOKUP(F712,Apuração!A:A,Apuração!B:B)*(BO712 + (1/_xlfn.XLOOKUP(F712,Apuração!A:A,Apuração!B:B)) - BK712))</f>
        <v>0</v>
      </c>
      <c r="BR712" s="85">
        <f t="shared" ca="1" si="1018"/>
        <v>0</v>
      </c>
      <c r="BS712" s="53">
        <f ca="1">IFERROR((_xlfn.XLOOKUP(F712,Apuração!A:A,Apuração!C:C)+1)/_xlfn.XLOOKUP(F712,Apuração!A:A,Apuração!B:B),0)</f>
        <v>0.5</v>
      </c>
    </row>
    <row r="713" spans="1:71" ht="25.95" hidden="1" customHeight="1" x14ac:dyDescent="0.3">
      <c r="A713" s="42" t="s">
        <v>134</v>
      </c>
      <c r="B713" s="4" t="s">
        <v>142</v>
      </c>
      <c r="C713" s="5" t="s">
        <v>97</v>
      </c>
      <c r="D713" s="5" t="s">
        <v>105</v>
      </c>
      <c r="E713" s="4" t="str" cm="1">
        <f t="array" ref="E713">_xlfn.IFS(
F713 = "A partir de Abril", "Aguardando Execução na Distribuidora",
A713 = "CAPACITAÇÃO", "Em execução no Corporativo",
TRUE, "Em Execução na Distribuidora"
)</f>
        <v>Em Execução na Distribuidora</v>
      </c>
      <c r="F713" s="4" t="str" cm="1">
        <f t="array" ref="F713">_xlfn.IFS(
AG713 &lt;&gt; "", "Jan-Dez/26",
AH713 &lt;&gt; "", "Fev-Dez/26",
AI713 &lt;&gt; "", "Mar-Dez/26", AJ713 &lt;&gt; "", "Abr-Dez/26",
TRUE, "A partir de Junho"
)</f>
        <v>Jan-Dez/26</v>
      </c>
      <c r="G713" s="4" t="s">
        <v>37</v>
      </c>
      <c r="H713" s="7" t="s">
        <v>38</v>
      </c>
      <c r="I713" s="8" t="s">
        <v>148</v>
      </c>
      <c r="J713" s="8" t="str" cm="1">
        <f t="array" aca="1" ref="J713" ca="1">_xlfn.LET(
  _xlpm.actual_value_month, INDEX(T713:AE713, MATCH(DATE(YEAR(TODAY()), MONTH(TODAY()), 1), $T$1:$AE$1, 0)),
  IF(_xlpm.actual_value_month &lt;&gt; "",_xlpm.actual_value_month &amp; " ações mensais", "")
)</f>
        <v/>
      </c>
      <c r="K713" s="8" t="str" cm="1">
        <f t="array" ref="K713">_xlfn.LET(
    _xlpm.sum_month, SUM(T713:AE713),
    IF(_xlpm.sum_month = 0, "", _xlpm.sum_month &amp; " NC's no ano")
)</f>
        <v/>
      </c>
      <c r="L713" s="9" t="s">
        <v>149</v>
      </c>
      <c r="M713" s="24">
        <v>1</v>
      </c>
      <c r="N713" s="5" t="s">
        <v>51</v>
      </c>
      <c r="O713" s="5" t="s">
        <v>52</v>
      </c>
      <c r="P713" s="10" t="s">
        <v>44</v>
      </c>
      <c r="Q713" s="10" t="s">
        <v>44</v>
      </c>
      <c r="R713" s="11" t="s">
        <v>44</v>
      </c>
      <c r="S713" s="11" t="s">
        <v>44</v>
      </c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G713" s="82">
        <v>0</v>
      </c>
      <c r="AH713" s="82">
        <v>0</v>
      </c>
      <c r="AI713" s="82">
        <v>0</v>
      </c>
      <c r="AJ713" s="146">
        <v>4</v>
      </c>
      <c r="AK713" s="71">
        <v>0</v>
      </c>
      <c r="AL713" s="71"/>
      <c r="AM713" s="71"/>
      <c r="AN713" s="71"/>
      <c r="AO713" s="71"/>
      <c r="AP713" s="71"/>
      <c r="AQ713" s="71"/>
      <c r="AR713" s="71"/>
      <c r="AS713" s="94">
        <f t="shared" ca="1" si="1010"/>
        <v>0</v>
      </c>
      <c r="AT713" s="95">
        <f t="shared" si="1011"/>
        <v>4</v>
      </c>
      <c r="AU713" s="97">
        <f t="shared" si="1012"/>
        <v>4</v>
      </c>
      <c r="AW713" s="83">
        <f t="shared" si="1013"/>
        <v>0</v>
      </c>
      <c r="AX713" s="83">
        <f t="shared" si="1014"/>
        <v>0</v>
      </c>
      <c r="AY713" s="83">
        <f t="shared" si="1015"/>
        <v>0</v>
      </c>
      <c r="AZ713" s="83">
        <f t="shared" si="1016"/>
        <v>4</v>
      </c>
      <c r="BA713" s="83">
        <f t="shared" si="1009"/>
        <v>0</v>
      </c>
      <c r="BB713" s="52"/>
      <c r="BC713" s="52"/>
      <c r="BD713" s="52"/>
      <c r="BE713" s="52"/>
      <c r="BF713" s="52"/>
      <c r="BG713" s="52"/>
      <c r="BH713" s="52"/>
      <c r="BI713" s="68" cm="1">
        <f t="array" ref="BI713">IFERROR(INDEX(AW713:BH713,1,MATCH(2,1/(AW713:BH713&lt;&gt;""))),"")</f>
        <v>0</v>
      </c>
      <c r="BJ713" s="68" cm="1">
        <f t="array" ref="BJ713">IF(BM713 = "", "",IFERROR(INDEX(AW713:BH713,1,MATCH(2,1/(AW713:BH713&lt;&gt;""),1)-1),""))</f>
        <v>4</v>
      </c>
      <c r="BK713" s="59">
        <f t="shared" si="1017"/>
        <v>4</v>
      </c>
      <c r="BL713" s="59" cm="1">
        <f t="array" ref="BL713">IFERROR(SUM(AW713:INDEX(AW713:BH713, MATCH(2, 1/(AW713:BH713&lt;&gt;""), 1) - 1))/_xlfn.XLOOKUP(F713,Apuração!A:A,Apuração!B:B),0)</f>
        <v>0.33333333333333331</v>
      </c>
      <c r="BM713" s="55" cm="1">
        <f t="array" ref="BM713">IFERROR(
   INDEX($AW$1:$BH$1,
      _xlfn.AGGREGATE(14, 6, COLUMN($AW$1:$BH$1)/(AW713:BH713&lt;&gt;""), 2) - COLUMN($AW$1) + 1
   ),
"")</f>
        <v>46113</v>
      </c>
      <c r="BN713" s="55" cm="1">
        <f t="array" ref="BN713">IFERROR(INDEX($AW$1:$BH$1,1,MATCH(2,1/(AW713:BH713&lt;&gt;""))),"")</f>
        <v>46143</v>
      </c>
      <c r="BO713" s="53">
        <f ca="1">IFERROR(_xlfn.XLOOKUP(F713,Apuração!A:A,Apuração!C:C)/_xlfn.XLOOKUP(F713,Apuração!A:A,Apuração!B:B),0)</f>
        <v>0.41666666666666669</v>
      </c>
      <c r="BP713" s="53">
        <f ca="1">IFERROR(_xlfn.XLOOKUP(F713,Apuração!A:A,Apuração!D:D)/_xlfn.XLOOKUP(F713,Apuração!A:A,Apuração!B:B),0)</f>
        <v>0.33333333333333331</v>
      </c>
      <c r="BQ713" s="53">
        <f ca="1">IF(BK713&gt;=BO713,0,_xlfn.XLOOKUP(F713,Apuração!A:A,Apuração!B:B)*(BO713 + (1/_xlfn.XLOOKUP(F713,Apuração!A:A,Apuração!B:B)) - BK713))</f>
        <v>0</v>
      </c>
      <c r="BR713" s="85">
        <f t="shared" ca="1" si="1018"/>
        <v>0</v>
      </c>
      <c r="BS713" s="53">
        <f ca="1">IFERROR((_xlfn.XLOOKUP(F713,Apuração!A:A,Apuração!C:C)+1)/_xlfn.XLOOKUP(F713,Apuração!A:A,Apuração!B:B),0)</f>
        <v>0.5</v>
      </c>
    </row>
    <row r="714" spans="1:71" ht="25.95" hidden="1" customHeight="1" x14ac:dyDescent="0.3">
      <c r="A714" s="42" t="s">
        <v>134</v>
      </c>
      <c r="B714" s="4" t="s">
        <v>142</v>
      </c>
      <c r="C714" s="5" t="s">
        <v>97</v>
      </c>
      <c r="D714" s="5" t="s">
        <v>106</v>
      </c>
      <c r="E714" s="4" t="str" cm="1">
        <f t="array" ref="E714">_xlfn.IFS(
F714 = "A partir de Abril", "Aguardando Execução na Distribuidora",
A714 = "CAPACITAÇÃO", "Em execução no Corporativo",
TRUE, "Em Execução na Distribuidora"
)</f>
        <v>Em Execução na Distribuidora</v>
      </c>
      <c r="F714" s="4" t="str" cm="1">
        <f t="array" ref="F714">_xlfn.IFS(
AG714 &lt;&gt; "", "Jan-Dez/26",
AH714 &lt;&gt; "", "Fev-Dez/26",
AI714 &lt;&gt; "", "Mar-Dez/26", AJ714 &lt;&gt; "", "Abr-Dez/26",
TRUE, "A partir de Junho"
)</f>
        <v>Jan-Dez/26</v>
      </c>
      <c r="G714" s="4" t="s">
        <v>37</v>
      </c>
      <c r="H714" s="7" t="s">
        <v>38</v>
      </c>
      <c r="I714" s="8" t="s">
        <v>148</v>
      </c>
      <c r="J714" s="8" t="str" cm="1">
        <f t="array" aca="1" ref="J714" ca="1">_xlfn.LET(
  _xlpm.actual_value_month, INDEX(T714:AE714, MATCH(DATE(YEAR(TODAY()), MONTH(TODAY()), 1), $T$1:$AE$1, 0)),
  IF(_xlpm.actual_value_month &lt;&gt; "",_xlpm.actual_value_month &amp; " ações mensais", "")
)</f>
        <v/>
      </c>
      <c r="K714" s="8" t="str" cm="1">
        <f t="array" ref="K714">_xlfn.LET(
    _xlpm.sum_month, SUM(T714:AE714),
    IF(_xlpm.sum_month = 0, "", _xlpm.sum_month &amp; " NC's no ano")
)</f>
        <v/>
      </c>
      <c r="L714" s="9" t="s">
        <v>149</v>
      </c>
      <c r="M714" s="24">
        <v>1</v>
      </c>
      <c r="N714" s="5" t="s">
        <v>51</v>
      </c>
      <c r="O714" s="5" t="s">
        <v>52</v>
      </c>
      <c r="P714" s="10" t="s">
        <v>44</v>
      </c>
      <c r="Q714" s="10" t="s">
        <v>44</v>
      </c>
      <c r="R714" s="11" t="s">
        <v>44</v>
      </c>
      <c r="S714" s="11" t="s">
        <v>44</v>
      </c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G714" s="82">
        <v>0</v>
      </c>
      <c r="AH714" s="82">
        <v>0</v>
      </c>
      <c r="AI714" s="82">
        <v>0</v>
      </c>
      <c r="AJ714" s="146">
        <v>6</v>
      </c>
      <c r="AK714" s="71">
        <v>14</v>
      </c>
      <c r="AL714" s="71"/>
      <c r="AM714" s="71"/>
      <c r="AN714" s="71"/>
      <c r="AO714" s="71"/>
      <c r="AP714" s="71"/>
      <c r="AQ714" s="71"/>
      <c r="AR714" s="71"/>
      <c r="AS714" s="94">
        <f t="shared" ca="1" si="1010"/>
        <v>0</v>
      </c>
      <c r="AT714" s="95">
        <f t="shared" si="1011"/>
        <v>20</v>
      </c>
      <c r="AU714" s="97">
        <f t="shared" si="1012"/>
        <v>20</v>
      </c>
      <c r="AW714" s="83">
        <f t="shared" si="1013"/>
        <v>0</v>
      </c>
      <c r="AX714" s="83">
        <f t="shared" si="1014"/>
        <v>0</v>
      </c>
      <c r="AY714" s="83">
        <f t="shared" si="1015"/>
        <v>0</v>
      </c>
      <c r="AZ714" s="83">
        <f t="shared" si="1016"/>
        <v>6</v>
      </c>
      <c r="BA714" s="83">
        <f t="shared" si="1009"/>
        <v>14</v>
      </c>
      <c r="BB714" s="52"/>
      <c r="BC714" s="52"/>
      <c r="BD714" s="52"/>
      <c r="BE714" s="52"/>
      <c r="BF714" s="52"/>
      <c r="BG714" s="52"/>
      <c r="BH714" s="52"/>
      <c r="BI714" s="68" cm="1">
        <f t="array" ref="BI714">IFERROR(INDEX(AW714:BH714,1,MATCH(2,1/(AW714:BH714&lt;&gt;""))),"")</f>
        <v>14</v>
      </c>
      <c r="BJ714" s="68" cm="1">
        <f t="array" ref="BJ714">IF(BM714 = "", "",IFERROR(INDEX(AW714:BH714,1,MATCH(2,1/(AW714:BH714&lt;&gt;""),1)-1),""))</f>
        <v>6</v>
      </c>
      <c r="BK714" s="59">
        <f t="shared" si="1017"/>
        <v>20</v>
      </c>
      <c r="BL714" s="59" cm="1">
        <f t="array" ref="BL714">IFERROR(SUM(AW714:INDEX(AW714:BH714, MATCH(2, 1/(AW714:BH714&lt;&gt;""), 1) - 1))/_xlfn.XLOOKUP(F714,Apuração!A:A,Apuração!B:B),0)</f>
        <v>0.5</v>
      </c>
      <c r="BM714" s="55" cm="1">
        <f t="array" ref="BM714">IFERROR(
   INDEX($AW$1:$BH$1,
      _xlfn.AGGREGATE(14, 6, COLUMN($AW$1:$BH$1)/(AW714:BH714&lt;&gt;""), 2) - COLUMN($AW$1) + 1
   ),
"")</f>
        <v>46113</v>
      </c>
      <c r="BN714" s="55" cm="1">
        <f t="array" ref="BN714">IFERROR(INDEX($AW$1:$BH$1,1,MATCH(2,1/(AW714:BH714&lt;&gt;""))),"")</f>
        <v>46143</v>
      </c>
      <c r="BO714" s="53">
        <f ca="1">IFERROR(_xlfn.XLOOKUP(F714,Apuração!A:A,Apuração!C:C)/_xlfn.XLOOKUP(F714,Apuração!A:A,Apuração!B:B),0)</f>
        <v>0.41666666666666669</v>
      </c>
      <c r="BP714" s="53">
        <f ca="1">IFERROR(_xlfn.XLOOKUP(F714,Apuração!A:A,Apuração!D:D)/_xlfn.XLOOKUP(F714,Apuração!A:A,Apuração!B:B),0)</f>
        <v>0.33333333333333331</v>
      </c>
      <c r="BQ714" s="53">
        <f ca="1">IF(BK714&gt;=BO714,0,_xlfn.XLOOKUP(F714,Apuração!A:A,Apuração!B:B)*(BO714 + (1/_xlfn.XLOOKUP(F714,Apuração!A:A,Apuração!B:B)) - BK714))</f>
        <v>0</v>
      </c>
      <c r="BR714" s="85">
        <f t="shared" ca="1" si="1018"/>
        <v>0</v>
      </c>
      <c r="BS714" s="53">
        <f ca="1">IFERROR((_xlfn.XLOOKUP(F714,Apuração!A:A,Apuração!C:C)+1)/_xlfn.XLOOKUP(F714,Apuração!A:A,Apuração!B:B),0)</f>
        <v>0.5</v>
      </c>
    </row>
    <row r="715" spans="1:71" ht="25.95" hidden="1" customHeight="1" x14ac:dyDescent="0.3">
      <c r="A715" s="42" t="s">
        <v>134</v>
      </c>
      <c r="B715" s="4" t="s">
        <v>142</v>
      </c>
      <c r="C715" s="5" t="s">
        <v>97</v>
      </c>
      <c r="D715" s="5" t="s">
        <v>107</v>
      </c>
      <c r="E715" s="4" t="str" cm="1">
        <f t="array" ref="E715">_xlfn.IFS(
F715 = "A partir de Abril", "Aguardando Execução na Distribuidora",
A715 = "CAPACITAÇÃO", "Em execução no Corporativo",
TRUE, "Em Execução na Distribuidora"
)</f>
        <v>Em Execução na Distribuidora</v>
      </c>
      <c r="F715" s="4" t="str" cm="1">
        <f t="array" ref="F715">_xlfn.IFS(
AG715 &lt;&gt; "", "Jan-Dez/26",
AH715 &lt;&gt; "", "Fev-Dez/26",
AI715 &lt;&gt; "", "Mar-Dez/26", AJ715 &lt;&gt; "", "Abr-Dez/26",
TRUE, "A partir de Junho"
)</f>
        <v>Jan-Dez/26</v>
      </c>
      <c r="G715" s="4" t="s">
        <v>37</v>
      </c>
      <c r="H715" s="7" t="s">
        <v>38</v>
      </c>
      <c r="I715" s="8" t="s">
        <v>148</v>
      </c>
      <c r="J715" s="8" t="str" cm="1">
        <f t="array" aca="1" ref="J715" ca="1">_xlfn.LET(
  _xlpm.actual_value_month, INDEX(T715:AE715, MATCH(DATE(YEAR(TODAY()), MONTH(TODAY()), 1), $T$1:$AE$1, 0)),
  IF(_xlpm.actual_value_month &lt;&gt; "",_xlpm.actual_value_month &amp; " ações mensais", "")
)</f>
        <v/>
      </c>
      <c r="K715" s="8" t="str" cm="1">
        <f t="array" ref="K715">_xlfn.LET(
    _xlpm.sum_month, SUM(T715:AE715),
    IF(_xlpm.sum_month = 0, "", _xlpm.sum_month &amp; " NC's no ano")
)</f>
        <v/>
      </c>
      <c r="L715" s="9" t="s">
        <v>149</v>
      </c>
      <c r="M715" s="24">
        <v>1</v>
      </c>
      <c r="N715" s="5" t="s">
        <v>51</v>
      </c>
      <c r="O715" s="5" t="s">
        <v>52</v>
      </c>
      <c r="P715" s="10" t="s">
        <v>44</v>
      </c>
      <c r="Q715" s="10" t="s">
        <v>44</v>
      </c>
      <c r="R715" s="11" t="s">
        <v>44</v>
      </c>
      <c r="S715" s="11" t="s">
        <v>44</v>
      </c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G715" s="82">
        <v>0</v>
      </c>
      <c r="AH715" s="82">
        <v>0</v>
      </c>
      <c r="AI715" s="82">
        <v>0</v>
      </c>
      <c r="AJ715" s="146">
        <v>0</v>
      </c>
      <c r="AK715" s="71">
        <v>0</v>
      </c>
      <c r="AL715" s="71"/>
      <c r="AM715" s="71"/>
      <c r="AN715" s="71"/>
      <c r="AO715" s="71"/>
      <c r="AP715" s="71"/>
      <c r="AQ715" s="71"/>
      <c r="AR715" s="71"/>
      <c r="AS715" s="94">
        <f t="shared" ca="1" si="1010"/>
        <v>0</v>
      </c>
      <c r="AT715" s="95">
        <f t="shared" si="1011"/>
        <v>0</v>
      </c>
      <c r="AU715" s="97">
        <f t="shared" si="1012"/>
        <v>0</v>
      </c>
      <c r="AW715" s="83">
        <f t="shared" si="1013"/>
        <v>0</v>
      </c>
      <c r="AX715" s="83">
        <f t="shared" si="1014"/>
        <v>0</v>
      </c>
      <c r="AY715" s="83">
        <f t="shared" si="1015"/>
        <v>0</v>
      </c>
      <c r="AZ715" s="83">
        <f t="shared" si="1016"/>
        <v>0</v>
      </c>
      <c r="BA715" s="83">
        <f t="shared" si="1009"/>
        <v>0</v>
      </c>
      <c r="BB715" s="52"/>
      <c r="BC715" s="52"/>
      <c r="BD715" s="52"/>
      <c r="BE715" s="52"/>
      <c r="BF715" s="52"/>
      <c r="BG715" s="52"/>
      <c r="BH715" s="52"/>
      <c r="BI715" s="68" cm="1">
        <f t="array" ref="BI715">IFERROR(INDEX(AW715:BH715,1,MATCH(2,1/(AW715:BH715&lt;&gt;""))),"")</f>
        <v>0</v>
      </c>
      <c r="BJ715" s="68" cm="1">
        <f t="array" ref="BJ715">IF(BM715 = "", "",IFERROR(INDEX(AW715:BH715,1,MATCH(2,1/(AW715:BH715&lt;&gt;""),1)-1),""))</f>
        <v>0</v>
      </c>
      <c r="BK715" s="59">
        <f t="shared" si="1017"/>
        <v>0</v>
      </c>
      <c r="BL715" s="59" cm="1">
        <f t="array" ref="BL715">IFERROR(SUM(AW715:INDEX(AW715:BH715, MATCH(2, 1/(AW715:BH715&lt;&gt;""), 1) - 1))/_xlfn.XLOOKUP(F715,Apuração!A:A,Apuração!B:B),0)</f>
        <v>0</v>
      </c>
      <c r="BM715" s="55" cm="1">
        <f t="array" ref="BM715">IFERROR(
   INDEX($AW$1:$BH$1,
      _xlfn.AGGREGATE(14, 6, COLUMN($AW$1:$BH$1)/(AW715:BH715&lt;&gt;""), 2) - COLUMN($AW$1) + 1
   ),
"")</f>
        <v>46113</v>
      </c>
      <c r="BN715" s="55" cm="1">
        <f t="array" ref="BN715">IFERROR(INDEX($AW$1:$BH$1,1,MATCH(2,1/(AW715:BH715&lt;&gt;""))),"")</f>
        <v>46143</v>
      </c>
      <c r="BO715" s="53">
        <f ca="1">IFERROR(_xlfn.XLOOKUP(F715,Apuração!A:A,Apuração!C:C)/_xlfn.XLOOKUP(F715,Apuração!A:A,Apuração!B:B),0)</f>
        <v>0.41666666666666669</v>
      </c>
      <c r="BP715" s="53">
        <f ca="1">IFERROR(_xlfn.XLOOKUP(F715,Apuração!A:A,Apuração!D:D)/_xlfn.XLOOKUP(F715,Apuração!A:A,Apuração!B:B),0)</f>
        <v>0.33333333333333331</v>
      </c>
      <c r="BQ715" s="53">
        <f ca="1">IF(BK715&gt;=BO715,0,_xlfn.XLOOKUP(F715,Apuração!A:A,Apuração!B:B)*(BO715 + (1/_xlfn.XLOOKUP(F715,Apuração!A:A,Apuração!B:B)) - BK715))</f>
        <v>6</v>
      </c>
      <c r="BR715" s="85">
        <f t="shared" ca="1" si="1018"/>
        <v>0</v>
      </c>
      <c r="BS715" s="53">
        <f ca="1">IFERROR((_xlfn.XLOOKUP(F715,Apuração!A:A,Apuração!C:C)+1)/_xlfn.XLOOKUP(F715,Apuração!A:A,Apuração!B:B),0)</f>
        <v>0.5</v>
      </c>
    </row>
    <row r="716" spans="1:71" ht="25.95" customHeight="1" x14ac:dyDescent="0.3">
      <c r="A716" s="25" t="s">
        <v>134</v>
      </c>
      <c r="B716" s="15" t="s">
        <v>150</v>
      </c>
      <c r="C716" s="5" t="s">
        <v>97</v>
      </c>
      <c r="D716" s="5" t="s">
        <v>36</v>
      </c>
      <c r="E716" s="4" t="str" cm="1">
        <f t="array" ref="E716">_xlfn.IFS(
F716 = "A partir de Abril", "Aguardando Execução na Distribuidora",
A716 = "CAPACITAÇÃO", "Em execução no Corporativo",
TRUE, "Em Execução na Distribuidora"
)</f>
        <v>Em Execução na Distribuidora</v>
      </c>
      <c r="F716" s="4" t="str" cm="1">
        <f t="array" ref="F716">_xlfn.IFS(
AG716 &lt;&gt; "", "Jan-Dez/26",
AH716 &lt;&gt; "", "Fev-Dez/26",
AI716 &lt;&gt; "", "Mar-Dez/26", AJ716 &lt;&gt; "", "Abr-Dez/26",
TRUE, "A partir de Junho"
)</f>
        <v>Jan-Dez/26</v>
      </c>
      <c r="G716" s="15" t="s">
        <v>37</v>
      </c>
      <c r="H716" s="27" t="s">
        <v>54</v>
      </c>
      <c r="I716" s="28" t="s">
        <v>124</v>
      </c>
      <c r="J716" s="8" t="str" cm="1">
        <f t="array" aca="1" ref="J716" ca="1">_xlfn.LET(
  _xlpm.actual_value_month, INDEX(T716:AE716, MATCH(DATE(YEAR(TODAY()), MONTH(TODAY()), 1), $T$1:$AE$1, 0)),
  IF(_xlpm.actual_value_month &lt;&gt; "",_xlpm.actual_value_month &amp; " reuniões mensais", "")
)</f>
        <v/>
      </c>
      <c r="K716" s="8" t="str" cm="1">
        <f t="array" ref="K716">_xlfn.LET(
    _xlpm.sum_month, SUM(T716:AE716),
    IF(_xlpm.sum_month = 0, "", _xlpm.sum_month &amp; " atividades no ano")
)</f>
        <v>2311 atividades no ano</v>
      </c>
      <c r="L716" s="29" t="s">
        <v>125</v>
      </c>
      <c r="M716" s="30" t="s">
        <v>151</v>
      </c>
      <c r="N716" s="66" t="s">
        <v>42</v>
      </c>
      <c r="O716" s="111" t="s">
        <v>52</v>
      </c>
      <c r="P716" s="31" t="s">
        <v>44</v>
      </c>
      <c r="Q716" s="31" t="s">
        <v>72</v>
      </c>
      <c r="R716" s="32" t="s">
        <v>44</v>
      </c>
      <c r="S716" s="32" t="s">
        <v>44</v>
      </c>
      <c r="T716" s="22">
        <v>406</v>
      </c>
      <c r="U716" s="22">
        <v>475</v>
      </c>
      <c r="V716" s="22">
        <v>488</v>
      </c>
      <c r="W716" s="22">
        <v>453</v>
      </c>
      <c r="X716" s="22">
        <v>489</v>
      </c>
      <c r="Y716" s="22"/>
      <c r="Z716" s="22"/>
      <c r="AA716" s="22"/>
      <c r="AB716" s="22"/>
      <c r="AC716" s="22"/>
      <c r="AD716" s="22"/>
      <c r="AE716" s="22"/>
      <c r="AG716" s="71">
        <v>406</v>
      </c>
      <c r="AH716" s="71">
        <v>475</v>
      </c>
      <c r="AI716" s="71">
        <v>488</v>
      </c>
      <c r="AJ716" s="71">
        <v>453</v>
      </c>
      <c r="AK716" s="71">
        <v>489</v>
      </c>
      <c r="AL716" s="71"/>
      <c r="AM716" s="71"/>
      <c r="AN716" s="71"/>
      <c r="AO716" s="71"/>
      <c r="AP716" s="71"/>
      <c r="AQ716" s="71"/>
      <c r="AR716" s="71"/>
      <c r="AS716" s="94">
        <f ca="1">IF(MONTH(TODAY())=3,SUM(T716:U716),IF(MONTH(TODAY())=4,SUM(T716:V716),IF(MONTH(TODAY())=5,SUM(T716:W716),IF(MONTH(TODAY())=6,SUM(T716:X716),IF(MONTH(TODAY())=7,SUM(T716:Y716),IF(MONTH(TODAY())=8,SUM(T716:Z716),IF(MONTH(TODAY())=9,SUM(T716:AA716),IF(MONTH(TODAY())=10,SUM(T716:AB716),IF(MONTH(TODAY())=11,SUM(T716:AC716),IF(MONTH(TODAY())=12,SUM(T716:AD716),IF(MONTH(TODAY())=1,SUM(T716:AE716),T716)))))))))))</f>
        <v>2311</v>
      </c>
      <c r="AT716" s="95">
        <f>SUM(IF(AW716&lt;1.15,AG716,1.15*T716),IF(AX716&lt;1.15,AH716,1.15*U716),IF(AY716&lt;1.15,AI716,1.15*V716),IF(AZ716&lt;1.15,AJ716,1.15*W716),IF(BA716&lt;1.15,AK716,1.15*X716),IF(BB716&lt;1.15,AL716,1.15*Y716),IF(BC716&lt;1.15,AM716,1.15*Z716),IF(BD716&lt;1.15,AN716,1.15*AA716),IF(BE716&lt;1.15,AO716,1.15*AB716),IF(BF716&lt;1.15,AP716,1.15*AC716),IF(BG716&lt;1.15,AQ716,1.15*AD716),IF(BH716&lt;1.15,AR716,1.15*AE716))</f>
        <v>2311</v>
      </c>
      <c r="AU716" s="97">
        <f>SUM(AG716:AR716)</f>
        <v>2311</v>
      </c>
      <c r="AW716" s="51">
        <f>IFERROR(IF(AG716="",0,AG716/T716),0)</f>
        <v>1</v>
      </c>
      <c r="AX716" s="51">
        <f>IFERROR(IF(AH716="",0,AH716/U716),0)</f>
        <v>1</v>
      </c>
      <c r="AY716" s="51">
        <f>IFERROR(IF(AI716="",0,AI716/V716),0)</f>
        <v>1</v>
      </c>
      <c r="AZ716" s="51">
        <f>IFERROR(IF(AJ716="",0,AJ716/W716),0)</f>
        <v>1</v>
      </c>
      <c r="BA716" s="51">
        <f t="shared" ref="BA716:BA726" si="1019">IFERROR(IF(AK716="",0,AK716/X716),0)</f>
        <v>1</v>
      </c>
      <c r="BB716" s="51"/>
      <c r="BC716" s="51"/>
      <c r="BD716" s="51"/>
      <c r="BE716" s="51"/>
      <c r="BF716" s="51"/>
      <c r="BG716" s="51"/>
      <c r="BH716" s="51"/>
      <c r="BI716" s="65" cm="1">
        <f t="array" ref="BI716">IFERROR(INDEX(AW716:BH716,1,MATCH(2,1/(AW716:BH716&lt;&gt;""))),"")</f>
        <v>1</v>
      </c>
      <c r="BJ716" s="68" cm="1">
        <f t="array" ref="BJ716">IF(BM716 = "", "",IFERROR(INDEX(AW716:BH716,1,MATCH(2,1/(AW716:BH716&lt;&gt;""),1)-1),""))</f>
        <v>1</v>
      </c>
      <c r="BK716" s="58">
        <f>IF((IF(AW716&gt;=115%,115%,AW716) + IF(AX716&gt;=115%,115%,AX716) + IF(AY716&gt;=115%,115%,AY716) + (IF(AZ716&gt;=115%,115%,AZ716) + IF(BA716&gt;=115%,115%,BA716) + IF(BB716&gt;=115%,115%,BB716) + IF(BC716&gt;=115%,115%,BC716) + IF(BD716&gt;=115%,115%,BD716) + IF(BE716&gt;=115%,115%,BE716) + IF(BF716&gt;=115%,115%,BF716) + IF(BG716&gt;=115%,115%,BG716) + IF(BH716&gt;=115%,115%,BH716)))/_xlfn.XLOOKUP(F716,Apuração!A:A,Apuração!B:B)&gt;=1.15,1.15,((IF(AZ716&gt;=115%,115%,AZ716) + IF(AX716&gt;=115%,115%,AX716) + IF(AY716&gt;=115%,115%,AY716) + (IF(AW716&gt;=115%,115%,AW716) + IF(BA716&gt;=115%,115%,BA716) + IF(BB716&gt;=115%,115%,BB716) + IF(BC716&gt;=115%,115%,BC716) + IF(BD716&gt;=115%,115%,BD716) + IF(BE716&gt;=115%,115%,BE716) + IF(BF716&gt;=115%,115%,BF716) + IF(BG716&gt;=115%,115%,BG716) + IF(BH716&gt;=115%,115%,BH716)))/_xlfn.XLOOKUP(F716,Apuração!A:A,Apuração!B:B)))</f>
        <v>0.41666666666666669</v>
      </c>
      <c r="BL716" s="58" cm="1">
        <f t="array" aca="1" ref="BL716" ca="1">IF(SUM(IFERROR(IF(INDEX(AW716:INDEX(AW716:BH716, MATCH(2, 1/(AW716:BH716&lt;&gt;""), 1)-1), ROW(INDIRECT("1:" &amp; MATCH(2, 1/(AW716:BH716&lt;&gt;""), 1)-1))) &gt;= 115%, 115%, INDEX(AW716:INDEX(AW716:BH716, MATCH(2, 1/(AW716:BH716&lt;&gt;""), 1)-1), ROW(INDIRECT("1:" &amp; MATCH(2, 1/(AW716:BH716&lt;&gt;""), 1)-1)))), 0))/_xlfn.XLOOKUP(F716,Apuração!A:A,Apuração!B:B)&gt;=1.15,1.15,SUM(IFERROR(IF(INDEX(AW716:INDEX(AW716:BH716, MATCH(2, 1/(AW716:BH716&lt;&gt;""), 1)-1), ROW(INDIRECT("1:" &amp; MATCH(2, 1/(AW716:BH716&lt;&gt;""), 1)-1))) &gt;= 115%, 115%, INDEX(AW716:INDEX(AW716:BH716, MATCH(2, 1/(AW716:BH716&lt;&gt;""), 1)-1), ROW(INDIRECT("1:" &amp; MATCH(2, 1/(AW716:BH716&lt;&gt;""), 1)-1)))), 0))/_xlfn.XLOOKUP(F716,Apuração!A:A,Apuração!B:B))</f>
        <v>0.33333333333333331</v>
      </c>
      <c r="BM716" s="55" cm="1">
        <f t="array" ref="BM716">IFERROR(
   INDEX($AW$1:$BH$1,
      _xlfn.AGGREGATE(14, 6, COLUMN($AW$1:$BH$1)/(AW716:BH716&lt;&gt;""), 2) - COLUMN($AW$1) + 1
   ),
"")</f>
        <v>46113</v>
      </c>
      <c r="BN716" s="55" cm="1">
        <f t="array" ref="BN716">IFERROR(INDEX($AW$1:$BH$1,1,MATCH(2,1/(AW716:BH716&lt;&gt;""))),"")</f>
        <v>46143</v>
      </c>
      <c r="BO716" s="53">
        <f ca="1">IFERROR(_xlfn.XLOOKUP(F716,Apuração!A:A,Apuração!C:C)/_xlfn.XLOOKUP(F716,Apuração!A:A,Apuração!B:B),0)</f>
        <v>0.41666666666666669</v>
      </c>
      <c r="BP716" s="53">
        <f ca="1">IFERROR(_xlfn.XLOOKUP(F716,Apuração!A:A,Apuração!D:D)/_xlfn.XLOOKUP(F716,Apuração!A:A,Apuração!B:B),0)</f>
        <v>0.33333333333333331</v>
      </c>
      <c r="BQ716" s="53">
        <f ca="1">IF(BK716&gt;=BO716,0,_xlfn.XLOOKUP(F716,Apuração!A:A,Apuração!B:B)*(BO716 + (1/_xlfn.XLOOKUP(F716,Apuração!A:A,Apuração!B:B)) - BK716))</f>
        <v>0</v>
      </c>
      <c r="BR716" s="85">
        <f t="shared" ca="1" si="898"/>
        <v>0</v>
      </c>
      <c r="BS716" s="53">
        <f ca="1">IFERROR((_xlfn.XLOOKUP(F716,Apuração!A:A,Apuração!C:C)+1)/_xlfn.XLOOKUP(F716,Apuração!A:A,Apuração!B:B),0)</f>
        <v>0.5</v>
      </c>
    </row>
    <row r="717" spans="1:71" ht="25.95" hidden="1" customHeight="1" x14ac:dyDescent="0.3">
      <c r="A717" s="25" t="s">
        <v>134</v>
      </c>
      <c r="B717" s="15" t="s">
        <v>150</v>
      </c>
      <c r="C717" s="5" t="s">
        <v>97</v>
      </c>
      <c r="D717" s="5" t="s">
        <v>98</v>
      </c>
      <c r="E717" s="4" t="str" cm="1">
        <f t="array" ref="E717">_xlfn.IFS(
F717 = "A partir de Abril", "Aguardando Execução na Distribuidora",
A717 = "CAPACITAÇÃO", "Em execução no Corporativo",
TRUE, "Em Execução na Distribuidora"
)</f>
        <v>Em Execução na Distribuidora</v>
      </c>
      <c r="F717" s="4" t="str" cm="1">
        <f t="array" ref="F717">_xlfn.IFS(
AG717 &lt;&gt; "", "Jan-Dez/26",
AH717 &lt;&gt; "", "Fev-Dez/26",
AI717 &lt;&gt; "", "Mar-Dez/26", AJ717 &lt;&gt; "", "Abr-Dez/26",
TRUE, "A partir de Junho"
)</f>
        <v>Jan-Dez/26</v>
      </c>
      <c r="G717" s="15" t="s">
        <v>37</v>
      </c>
      <c r="H717" s="27" t="s">
        <v>54</v>
      </c>
      <c r="I717" s="28" t="s">
        <v>124</v>
      </c>
      <c r="J717" s="8" t="str" cm="1">
        <f t="array" aca="1" ref="J717" ca="1">_xlfn.LET(
  _xlpm.actual_value_month, INDEX(T717:AE717, MATCH(DATE(YEAR(TODAY()), MONTH(TODAY()), 1), $T$1:$AE$1, 0)),
  IF(_xlpm.actual_value_month &lt;&gt; "",_xlpm.actual_value_month &amp; " reuniões mensais", "")
)</f>
        <v/>
      </c>
      <c r="K717" s="8" t="str" cm="1">
        <f t="array" ref="K717">_xlfn.LET(
    _xlpm.sum_month, SUM(T717:AE717),
    IF(_xlpm.sum_month = 0, "", _xlpm.sum_month &amp; " atividades no ano")
)</f>
        <v>165 atividades no ano</v>
      </c>
      <c r="L717" s="29" t="s">
        <v>125</v>
      </c>
      <c r="M717" s="30" t="s">
        <v>151</v>
      </c>
      <c r="N717" s="66" t="s">
        <v>42</v>
      </c>
      <c r="O717" s="111" t="s">
        <v>52</v>
      </c>
      <c r="P717" s="31" t="s">
        <v>44</v>
      </c>
      <c r="Q717" s="31" t="s">
        <v>72</v>
      </c>
      <c r="R717" s="32" t="s">
        <v>44</v>
      </c>
      <c r="S717" s="32" t="s">
        <v>44</v>
      </c>
      <c r="T717" s="22">
        <v>31</v>
      </c>
      <c r="U717" s="22">
        <v>36</v>
      </c>
      <c r="V717" s="22">
        <v>27</v>
      </c>
      <c r="W717" s="22">
        <v>32</v>
      </c>
      <c r="X717" s="22">
        <v>39</v>
      </c>
      <c r="Y717" s="22"/>
      <c r="Z717" s="22"/>
      <c r="AA717" s="22"/>
      <c r="AB717" s="22"/>
      <c r="AC717" s="22"/>
      <c r="AD717" s="22"/>
      <c r="AE717" s="22"/>
      <c r="AG717" s="145">
        <v>31</v>
      </c>
      <c r="AH717" s="145">
        <v>36</v>
      </c>
      <c r="AI717" s="145">
        <v>27</v>
      </c>
      <c r="AJ717" s="145">
        <v>32</v>
      </c>
      <c r="AK717" s="71">
        <v>39</v>
      </c>
      <c r="AL717" s="71"/>
      <c r="AM717" s="71"/>
      <c r="AN717" s="71"/>
      <c r="AO717" s="71"/>
      <c r="AP717" s="71"/>
      <c r="AQ717" s="71"/>
      <c r="AR717" s="71"/>
      <c r="AS717" s="94">
        <f t="shared" ref="AS717:AS726" ca="1" si="1020">IF(MONTH(TODAY())=3,SUM(T717:U717),IF(MONTH(TODAY())=4,SUM(T717:V717),IF(MONTH(TODAY())=5,SUM(T717:W717),IF(MONTH(TODAY())=6,SUM(T717:X717),IF(MONTH(TODAY())=7,SUM(T717:Y717),IF(MONTH(TODAY())=8,SUM(T717:Z717),IF(MONTH(TODAY())=9,SUM(T717:AA717),IF(MONTH(TODAY())=10,SUM(T717:AB717),IF(MONTH(TODAY())=11,SUM(T717:AC717),IF(MONTH(TODAY())=12,SUM(T717:AD717),IF(MONTH(TODAY())=1,SUM(T717:AE717),T717)))))))))))</f>
        <v>165</v>
      </c>
      <c r="AT717" s="95">
        <f t="shared" ref="AT717:AT726" si="1021">SUM(IF(AW717&lt;1.15,AG717,1.15*T717),IF(AX717&lt;1.15,AH717,1.15*U717),IF(AY717&lt;1.15,AI717,1.15*V717),IF(AZ717&lt;1.15,AJ717,1.15*W717),IF(BA717&lt;1.15,AK717,1.15*X717),IF(BB717&lt;1.15,AL717,1.15*Y717),IF(BC717&lt;1.15,AM717,1.15*Z717),IF(BD717&lt;1.15,AN717,1.15*AA717),IF(BE717&lt;1.15,AO717,1.15*AB717),IF(BF717&lt;1.15,AP717,1.15*AC717),IF(BG717&lt;1.15,AQ717,1.15*AD717),IF(BH717&lt;1.15,AR717,1.15*AE717))</f>
        <v>165</v>
      </c>
      <c r="AU717" s="97">
        <f t="shared" ref="AU717:AU726" si="1022">SUM(AG717:AR717)</f>
        <v>165</v>
      </c>
      <c r="AW717" s="51">
        <f t="shared" ref="AW717:AW726" si="1023">IFERROR(IF(AG717="",0,AG717/T717),0)</f>
        <v>1</v>
      </c>
      <c r="AX717" s="51">
        <f t="shared" ref="AX717:AX726" si="1024">IFERROR(IF(AH717="",0,AH717/U717),0)</f>
        <v>1</v>
      </c>
      <c r="AY717" s="51">
        <f t="shared" ref="AY717:AY726" si="1025">IFERROR(IF(AI717="",0,AI717/V717),0)</f>
        <v>1</v>
      </c>
      <c r="AZ717" s="51">
        <f t="shared" ref="AZ717:AZ726" si="1026">IFERROR(IF(AJ717="",0,AJ717/W717),0)</f>
        <v>1</v>
      </c>
      <c r="BA717" s="51">
        <f t="shared" si="1019"/>
        <v>1</v>
      </c>
      <c r="BB717" s="51"/>
      <c r="BC717" s="51"/>
      <c r="BD717" s="51"/>
      <c r="BE717" s="51"/>
      <c r="BF717" s="51"/>
      <c r="BG717" s="51"/>
      <c r="BH717" s="51"/>
      <c r="BI717" s="65" cm="1">
        <f t="array" ref="BI717">IFERROR(INDEX(AW717:BH717,1,MATCH(2,1/(AW717:BH717&lt;&gt;""))),"")</f>
        <v>1</v>
      </c>
      <c r="BJ717" s="68" cm="1">
        <f t="array" ref="BJ717">IF(BM717 = "", "",IFERROR(INDEX(AW717:BH717,1,MATCH(2,1/(AW717:BH717&lt;&gt;""),1)-1),""))</f>
        <v>1</v>
      </c>
      <c r="BK717" s="58">
        <f>IF((IF(AW717&gt;=115%,115%,AW717) + IF(AX717&gt;=115%,115%,AX717) + IF(AY717&gt;=115%,115%,AY717) + (IF(AZ717&gt;=115%,115%,AZ717) + IF(BA717&gt;=115%,115%,BA717) + IF(BB717&gt;=115%,115%,BB717) + IF(BC717&gt;=115%,115%,BC717) + IF(BD717&gt;=115%,115%,BD717) + IF(BE717&gt;=115%,115%,BE717) + IF(BF717&gt;=115%,115%,BF717) + IF(BG717&gt;=115%,115%,BG717) + IF(BH717&gt;=115%,115%,BH717)))/_xlfn.XLOOKUP(F717,Apuração!A:A,Apuração!B:B)&gt;=1.15,1.15,((IF(AZ717&gt;=115%,115%,AZ717) + IF(AX717&gt;=115%,115%,AX717) + IF(AY717&gt;=115%,115%,AY717) + (IF(AW717&gt;=115%,115%,AW717) + IF(BA717&gt;=115%,115%,BA717) + IF(BB717&gt;=115%,115%,BB717) + IF(BC717&gt;=115%,115%,BC717) + IF(BD717&gt;=115%,115%,BD717) + IF(BE717&gt;=115%,115%,BE717) + IF(BF717&gt;=115%,115%,BF717) + IF(BG717&gt;=115%,115%,BG717) + IF(BH717&gt;=115%,115%,BH717)))/_xlfn.XLOOKUP(F717,Apuração!A:A,Apuração!B:B)))</f>
        <v>0.41666666666666669</v>
      </c>
      <c r="BL717" s="58" cm="1">
        <f t="array" aca="1" ref="BL717" ca="1">IF(SUM(IFERROR(IF(INDEX(AW717:INDEX(AW717:BH717, MATCH(2, 1/(AW717:BH717&lt;&gt;""), 1)-1), ROW(INDIRECT("1:" &amp; MATCH(2, 1/(AW717:BH717&lt;&gt;""), 1)-1))) &gt;= 115%, 115%, INDEX(AW717:INDEX(AW717:BH717, MATCH(2, 1/(AW717:BH717&lt;&gt;""), 1)-1), ROW(INDIRECT("1:" &amp; MATCH(2, 1/(AW717:BH717&lt;&gt;""), 1)-1)))), 0))/_xlfn.XLOOKUP(F717,Apuração!A:A,Apuração!B:B)&gt;=1.15,1.15,SUM(IFERROR(IF(INDEX(AW717:INDEX(AW717:BH717, MATCH(2, 1/(AW717:BH717&lt;&gt;""), 1)-1), ROW(INDIRECT("1:" &amp; MATCH(2, 1/(AW717:BH717&lt;&gt;""), 1)-1))) &gt;= 115%, 115%, INDEX(AW717:INDEX(AW717:BH717, MATCH(2, 1/(AW717:BH717&lt;&gt;""), 1)-1), ROW(INDIRECT("1:" &amp; MATCH(2, 1/(AW717:BH717&lt;&gt;""), 1)-1)))), 0))/_xlfn.XLOOKUP(F717,Apuração!A:A,Apuração!B:B))</f>
        <v>0.33333333333333331</v>
      </c>
      <c r="BM717" s="55" cm="1">
        <f t="array" ref="BM717">IFERROR(
   INDEX($AW$1:$BH$1,
      _xlfn.AGGREGATE(14, 6, COLUMN($AW$1:$BH$1)/(AW717:BH717&lt;&gt;""), 2) - COLUMN($AW$1) + 1
   ),
"")</f>
        <v>46113</v>
      </c>
      <c r="BN717" s="55" cm="1">
        <f t="array" ref="BN717">IFERROR(INDEX($AW$1:$BH$1,1,MATCH(2,1/(AW717:BH717&lt;&gt;""))),"")</f>
        <v>46143</v>
      </c>
      <c r="BO717" s="53">
        <f ca="1">IFERROR(_xlfn.XLOOKUP(F717,Apuração!A:A,Apuração!C:C)/_xlfn.XLOOKUP(F717,Apuração!A:A,Apuração!B:B),0)</f>
        <v>0.41666666666666669</v>
      </c>
      <c r="BP717" s="53">
        <f ca="1">IFERROR(_xlfn.XLOOKUP(F717,Apuração!A:A,Apuração!D:D)/_xlfn.XLOOKUP(F717,Apuração!A:A,Apuração!B:B),0)</f>
        <v>0.33333333333333331</v>
      </c>
      <c r="BQ717" s="53">
        <f ca="1">IF(BK717&gt;=BO717,0,_xlfn.XLOOKUP(F717,Apuração!A:A,Apuração!B:B)*(BO717 + (1/_xlfn.XLOOKUP(F717,Apuração!A:A,Apuração!B:B)) - BK717))</f>
        <v>0</v>
      </c>
      <c r="BR717" s="85">
        <f t="shared" ref="BR717:BR726" ca="1" si="1027">IF(BQ717=0,0,BQ717*Z717)</f>
        <v>0</v>
      </c>
      <c r="BS717" s="53">
        <f ca="1">IFERROR((_xlfn.XLOOKUP(F717,Apuração!A:A,Apuração!C:C)+1)/_xlfn.XLOOKUP(F717,Apuração!A:A,Apuração!B:B),0)</f>
        <v>0.5</v>
      </c>
    </row>
    <row r="718" spans="1:71" ht="25.95" hidden="1" customHeight="1" x14ac:dyDescent="0.3">
      <c r="A718" s="25" t="s">
        <v>134</v>
      </c>
      <c r="B718" s="15" t="s">
        <v>150</v>
      </c>
      <c r="C718" s="5" t="s">
        <v>97</v>
      </c>
      <c r="D718" s="5" t="s">
        <v>99</v>
      </c>
      <c r="E718" s="4" t="str" cm="1">
        <f t="array" ref="E718">_xlfn.IFS(
F718 = "A partir de Abril", "Aguardando Execução na Distribuidora",
A718 = "CAPACITAÇÃO", "Em execução no Corporativo",
TRUE, "Em Execução na Distribuidora"
)</f>
        <v>Em Execução na Distribuidora</v>
      </c>
      <c r="F718" s="4" t="str" cm="1">
        <f t="array" ref="F718">_xlfn.IFS(
AG718 &lt;&gt; "", "Jan-Dez/26",
AH718 &lt;&gt; "", "Fev-Dez/26",
AI718 &lt;&gt; "", "Mar-Dez/26", AJ718 &lt;&gt; "", "Abr-Dez/26",
TRUE, "A partir de Junho"
)</f>
        <v>Jan-Dez/26</v>
      </c>
      <c r="G718" s="15" t="s">
        <v>37</v>
      </c>
      <c r="H718" s="27" t="s">
        <v>54</v>
      </c>
      <c r="I718" s="28" t="s">
        <v>124</v>
      </c>
      <c r="J718" s="8" t="str" cm="1">
        <f t="array" aca="1" ref="J718" ca="1">_xlfn.LET(
  _xlpm.actual_value_month, INDEX(T718:AE718, MATCH(DATE(YEAR(TODAY()), MONTH(TODAY()), 1), $T$1:$AE$1, 0)),
  IF(_xlpm.actual_value_month &lt;&gt; "",_xlpm.actual_value_month &amp; " reuniões mensais", "")
)</f>
        <v/>
      </c>
      <c r="K718" s="8" t="str" cm="1">
        <f t="array" ref="K718">_xlfn.LET(
    _xlpm.sum_month, SUM(T718:AE718),
    IF(_xlpm.sum_month = 0, "", _xlpm.sum_month &amp; " atividades no ano")
)</f>
        <v>136 atividades no ano</v>
      </c>
      <c r="L718" s="29" t="s">
        <v>125</v>
      </c>
      <c r="M718" s="30" t="s">
        <v>151</v>
      </c>
      <c r="N718" s="66" t="s">
        <v>42</v>
      </c>
      <c r="O718" s="111" t="s">
        <v>52</v>
      </c>
      <c r="P718" s="31" t="s">
        <v>44</v>
      </c>
      <c r="Q718" s="31" t="s">
        <v>72</v>
      </c>
      <c r="R718" s="32" t="s">
        <v>44</v>
      </c>
      <c r="S718" s="32" t="s">
        <v>44</v>
      </c>
      <c r="T718" s="22">
        <v>19</v>
      </c>
      <c r="U718" s="22">
        <v>25</v>
      </c>
      <c r="V718" s="22">
        <v>23</v>
      </c>
      <c r="W718" s="22">
        <v>35</v>
      </c>
      <c r="X718" s="22">
        <v>34</v>
      </c>
      <c r="Y718" s="22"/>
      <c r="Z718" s="22"/>
      <c r="AA718" s="22"/>
      <c r="AB718" s="22"/>
      <c r="AC718" s="22"/>
      <c r="AD718" s="22"/>
      <c r="AE718" s="22"/>
      <c r="AG718" s="146">
        <v>19</v>
      </c>
      <c r="AH718" s="146">
        <v>25</v>
      </c>
      <c r="AI718" s="146">
        <v>23</v>
      </c>
      <c r="AJ718" s="146">
        <v>35</v>
      </c>
      <c r="AK718" s="71">
        <v>34</v>
      </c>
      <c r="AL718" s="71"/>
      <c r="AM718" s="71"/>
      <c r="AN718" s="71"/>
      <c r="AO718" s="71"/>
      <c r="AP718" s="71"/>
      <c r="AQ718" s="71"/>
      <c r="AR718" s="71"/>
      <c r="AS718" s="94">
        <f t="shared" ca="1" si="1020"/>
        <v>136</v>
      </c>
      <c r="AT718" s="95">
        <f t="shared" si="1021"/>
        <v>136</v>
      </c>
      <c r="AU718" s="97">
        <f t="shared" si="1022"/>
        <v>136</v>
      </c>
      <c r="AW718" s="51">
        <f t="shared" si="1023"/>
        <v>1</v>
      </c>
      <c r="AX718" s="51">
        <f t="shared" si="1024"/>
        <v>1</v>
      </c>
      <c r="AY718" s="51">
        <f t="shared" si="1025"/>
        <v>1</v>
      </c>
      <c r="AZ718" s="51">
        <f t="shared" si="1026"/>
        <v>1</v>
      </c>
      <c r="BA718" s="51">
        <f t="shared" si="1019"/>
        <v>1</v>
      </c>
      <c r="BB718" s="51"/>
      <c r="BC718" s="51"/>
      <c r="BD718" s="51"/>
      <c r="BE718" s="51"/>
      <c r="BF718" s="51"/>
      <c r="BG718" s="51"/>
      <c r="BH718" s="51"/>
      <c r="BI718" s="65" cm="1">
        <f t="array" ref="BI718">IFERROR(INDEX(AW718:BH718,1,MATCH(2,1/(AW718:BH718&lt;&gt;""))),"")</f>
        <v>1</v>
      </c>
      <c r="BJ718" s="68" cm="1">
        <f t="array" ref="BJ718">IF(BM718 = "", "",IFERROR(INDEX(AW718:BH718,1,MATCH(2,1/(AW718:BH718&lt;&gt;""),1)-1),""))</f>
        <v>1</v>
      </c>
      <c r="BK718" s="58">
        <f>IF((IF(AW718&gt;=115%,115%,AW718) + IF(AX718&gt;=115%,115%,AX718) + IF(AY718&gt;=115%,115%,AY718) + (IF(AZ718&gt;=115%,115%,AZ718) + IF(BA718&gt;=115%,115%,BA718) + IF(BB718&gt;=115%,115%,BB718) + IF(BC718&gt;=115%,115%,BC718) + IF(BD718&gt;=115%,115%,BD718) + IF(BE718&gt;=115%,115%,BE718) + IF(BF718&gt;=115%,115%,BF718) + IF(BG718&gt;=115%,115%,BG718) + IF(BH718&gt;=115%,115%,BH718)))/_xlfn.XLOOKUP(F718,Apuração!A:A,Apuração!B:B)&gt;=1.15,1.15,((IF(AZ718&gt;=115%,115%,AZ718) + IF(AX718&gt;=115%,115%,AX718) + IF(AY718&gt;=115%,115%,AY718) + (IF(AW718&gt;=115%,115%,AW718) + IF(BA718&gt;=115%,115%,BA718) + IF(BB718&gt;=115%,115%,BB718) + IF(BC718&gt;=115%,115%,BC718) + IF(BD718&gt;=115%,115%,BD718) + IF(BE718&gt;=115%,115%,BE718) + IF(BF718&gt;=115%,115%,BF718) + IF(BG718&gt;=115%,115%,BG718) + IF(BH718&gt;=115%,115%,BH718)))/_xlfn.XLOOKUP(F718,Apuração!A:A,Apuração!B:B)))</f>
        <v>0.41666666666666669</v>
      </c>
      <c r="BL718" s="58" cm="1">
        <f t="array" aca="1" ref="BL718" ca="1">IF(SUM(IFERROR(IF(INDEX(AW718:INDEX(AW718:BH718, MATCH(2, 1/(AW718:BH718&lt;&gt;""), 1)-1), ROW(INDIRECT("1:" &amp; MATCH(2, 1/(AW718:BH718&lt;&gt;""), 1)-1))) &gt;= 115%, 115%, INDEX(AW718:INDEX(AW718:BH718, MATCH(2, 1/(AW718:BH718&lt;&gt;""), 1)-1), ROW(INDIRECT("1:" &amp; MATCH(2, 1/(AW718:BH718&lt;&gt;""), 1)-1)))), 0))/_xlfn.XLOOKUP(F718,Apuração!A:A,Apuração!B:B)&gt;=1.15,1.15,SUM(IFERROR(IF(INDEX(AW718:INDEX(AW718:BH718, MATCH(2, 1/(AW718:BH718&lt;&gt;""), 1)-1), ROW(INDIRECT("1:" &amp; MATCH(2, 1/(AW718:BH718&lt;&gt;""), 1)-1))) &gt;= 115%, 115%, INDEX(AW718:INDEX(AW718:BH718, MATCH(2, 1/(AW718:BH718&lt;&gt;""), 1)-1), ROW(INDIRECT("1:" &amp; MATCH(2, 1/(AW718:BH718&lt;&gt;""), 1)-1)))), 0))/_xlfn.XLOOKUP(F718,Apuração!A:A,Apuração!B:B))</f>
        <v>0.33333333333333331</v>
      </c>
      <c r="BM718" s="55" cm="1">
        <f t="array" ref="BM718">IFERROR(
   INDEX($AW$1:$BH$1,
      _xlfn.AGGREGATE(14, 6, COLUMN($AW$1:$BH$1)/(AW718:BH718&lt;&gt;""), 2) - COLUMN($AW$1) + 1
   ),
"")</f>
        <v>46113</v>
      </c>
      <c r="BN718" s="55" cm="1">
        <f t="array" ref="BN718">IFERROR(INDEX($AW$1:$BH$1,1,MATCH(2,1/(AW718:BH718&lt;&gt;""))),"")</f>
        <v>46143</v>
      </c>
      <c r="BO718" s="53">
        <f ca="1">IFERROR(_xlfn.XLOOKUP(F718,Apuração!A:A,Apuração!C:C)/_xlfn.XLOOKUP(F718,Apuração!A:A,Apuração!B:B),0)</f>
        <v>0.41666666666666669</v>
      </c>
      <c r="BP718" s="53">
        <f ca="1">IFERROR(_xlfn.XLOOKUP(F718,Apuração!A:A,Apuração!D:D)/_xlfn.XLOOKUP(F718,Apuração!A:A,Apuração!B:B),0)</f>
        <v>0.33333333333333331</v>
      </c>
      <c r="BQ718" s="53">
        <f ca="1">IF(BK718&gt;=BO718,0,_xlfn.XLOOKUP(F718,Apuração!A:A,Apuração!B:B)*(BO718 + (1/_xlfn.XLOOKUP(F718,Apuração!A:A,Apuração!B:B)) - BK718))</f>
        <v>0</v>
      </c>
      <c r="BR718" s="85">
        <f t="shared" ca="1" si="1027"/>
        <v>0</v>
      </c>
      <c r="BS718" s="53">
        <f ca="1">IFERROR((_xlfn.XLOOKUP(F718,Apuração!A:A,Apuração!C:C)+1)/_xlfn.XLOOKUP(F718,Apuração!A:A,Apuração!B:B),0)</f>
        <v>0.5</v>
      </c>
    </row>
    <row r="719" spans="1:71" ht="25.95" hidden="1" customHeight="1" x14ac:dyDescent="0.3">
      <c r="A719" s="25" t="s">
        <v>134</v>
      </c>
      <c r="B719" s="15" t="s">
        <v>150</v>
      </c>
      <c r="C719" s="5" t="s">
        <v>97</v>
      </c>
      <c r="D719" s="5" t="s">
        <v>100</v>
      </c>
      <c r="E719" s="4" t="str" cm="1">
        <f t="array" ref="E719">_xlfn.IFS(
F719 = "A partir de Abril", "Aguardando Execução na Distribuidora",
A719 = "CAPACITAÇÃO", "Em execução no Corporativo",
TRUE, "Em Execução na Distribuidora"
)</f>
        <v>Em Execução na Distribuidora</v>
      </c>
      <c r="F719" s="4" t="str" cm="1">
        <f t="array" ref="F719">_xlfn.IFS(
AG719 &lt;&gt; "", "Jan-Dez/26",
AH719 &lt;&gt; "", "Fev-Dez/26",
AI719 &lt;&gt; "", "Mar-Dez/26", AJ719 &lt;&gt; "", "Abr-Dez/26",
TRUE, "A partir de Junho"
)</f>
        <v>Jan-Dez/26</v>
      </c>
      <c r="G719" s="15" t="s">
        <v>37</v>
      </c>
      <c r="H719" s="27" t="s">
        <v>54</v>
      </c>
      <c r="I719" s="28" t="s">
        <v>124</v>
      </c>
      <c r="J719" s="8" t="str" cm="1">
        <f t="array" aca="1" ref="J719" ca="1">_xlfn.LET(
  _xlpm.actual_value_month, INDEX(T719:AE719, MATCH(DATE(YEAR(TODAY()), MONTH(TODAY()), 1), $T$1:$AE$1, 0)),
  IF(_xlpm.actual_value_month &lt;&gt; "",_xlpm.actual_value_month &amp; " reuniões mensais", "")
)</f>
        <v/>
      </c>
      <c r="K719" s="8" t="str" cm="1">
        <f t="array" ref="K719">_xlfn.LET(
    _xlpm.sum_month, SUM(T719:AE719),
    IF(_xlpm.sum_month = 0, "", _xlpm.sum_month &amp; " atividades no ano")
)</f>
        <v>321 atividades no ano</v>
      </c>
      <c r="L719" s="29" t="s">
        <v>125</v>
      </c>
      <c r="M719" s="30" t="s">
        <v>151</v>
      </c>
      <c r="N719" s="66" t="s">
        <v>42</v>
      </c>
      <c r="O719" s="111" t="s">
        <v>52</v>
      </c>
      <c r="P719" s="31" t="s">
        <v>44</v>
      </c>
      <c r="Q719" s="31" t="s">
        <v>72</v>
      </c>
      <c r="R719" s="32" t="s">
        <v>44</v>
      </c>
      <c r="S719" s="32" t="s">
        <v>44</v>
      </c>
      <c r="T719" s="22">
        <v>24</v>
      </c>
      <c r="U719" s="22">
        <v>84</v>
      </c>
      <c r="V719" s="22">
        <v>69</v>
      </c>
      <c r="W719" s="22">
        <v>66</v>
      </c>
      <c r="X719" s="22">
        <v>78</v>
      </c>
      <c r="Y719" s="22"/>
      <c r="Z719" s="22"/>
      <c r="AA719" s="22"/>
      <c r="AB719" s="22"/>
      <c r="AC719" s="22"/>
      <c r="AD719" s="22"/>
      <c r="AE719" s="22"/>
      <c r="AG719" s="146">
        <v>24</v>
      </c>
      <c r="AH719" s="146">
        <v>84</v>
      </c>
      <c r="AI719" s="146">
        <v>69</v>
      </c>
      <c r="AJ719" s="146">
        <v>66</v>
      </c>
      <c r="AK719" s="71">
        <v>78</v>
      </c>
      <c r="AL719" s="71"/>
      <c r="AM719" s="71"/>
      <c r="AN719" s="71"/>
      <c r="AO719" s="71"/>
      <c r="AP719" s="71"/>
      <c r="AQ719" s="71"/>
      <c r="AR719" s="71"/>
      <c r="AS719" s="94">
        <f t="shared" ca="1" si="1020"/>
        <v>321</v>
      </c>
      <c r="AT719" s="95">
        <f t="shared" si="1021"/>
        <v>321</v>
      </c>
      <c r="AU719" s="97">
        <f t="shared" si="1022"/>
        <v>321</v>
      </c>
      <c r="AW719" s="51">
        <f t="shared" si="1023"/>
        <v>1</v>
      </c>
      <c r="AX719" s="51">
        <f t="shared" si="1024"/>
        <v>1</v>
      </c>
      <c r="AY719" s="51">
        <f t="shared" si="1025"/>
        <v>1</v>
      </c>
      <c r="AZ719" s="51">
        <f t="shared" si="1026"/>
        <v>1</v>
      </c>
      <c r="BA719" s="51">
        <f t="shared" si="1019"/>
        <v>1</v>
      </c>
      <c r="BB719" s="51"/>
      <c r="BC719" s="51"/>
      <c r="BD719" s="51"/>
      <c r="BE719" s="51"/>
      <c r="BF719" s="51"/>
      <c r="BG719" s="51"/>
      <c r="BH719" s="51"/>
      <c r="BI719" s="65" cm="1">
        <f t="array" ref="BI719">IFERROR(INDEX(AW719:BH719,1,MATCH(2,1/(AW719:BH719&lt;&gt;""))),"")</f>
        <v>1</v>
      </c>
      <c r="BJ719" s="68" cm="1">
        <f t="array" ref="BJ719">IF(BM719 = "", "",IFERROR(INDEX(AW719:BH719,1,MATCH(2,1/(AW719:BH719&lt;&gt;""),1)-1),""))</f>
        <v>1</v>
      </c>
      <c r="BK719" s="58">
        <f>IF((IF(AW719&gt;=115%,115%,AW719) + IF(AX719&gt;=115%,115%,AX719) + IF(AY719&gt;=115%,115%,AY719) + (IF(AZ719&gt;=115%,115%,AZ719) + IF(BA719&gt;=115%,115%,BA719) + IF(BB719&gt;=115%,115%,BB719) + IF(BC719&gt;=115%,115%,BC719) + IF(BD719&gt;=115%,115%,BD719) + IF(BE719&gt;=115%,115%,BE719) + IF(BF719&gt;=115%,115%,BF719) + IF(BG719&gt;=115%,115%,BG719) + IF(BH719&gt;=115%,115%,BH719)))/_xlfn.XLOOKUP(F719,Apuração!A:A,Apuração!B:B)&gt;=1.15,1.15,((IF(AZ719&gt;=115%,115%,AZ719) + IF(AX719&gt;=115%,115%,AX719) + IF(AY719&gt;=115%,115%,AY719) + (IF(AW719&gt;=115%,115%,AW719) + IF(BA719&gt;=115%,115%,BA719) + IF(BB719&gt;=115%,115%,BB719) + IF(BC719&gt;=115%,115%,BC719) + IF(BD719&gt;=115%,115%,BD719) + IF(BE719&gt;=115%,115%,BE719) + IF(BF719&gt;=115%,115%,BF719) + IF(BG719&gt;=115%,115%,BG719) + IF(BH719&gt;=115%,115%,BH719)))/_xlfn.XLOOKUP(F719,Apuração!A:A,Apuração!B:B)))</f>
        <v>0.41666666666666669</v>
      </c>
      <c r="BL719" s="58" cm="1">
        <f t="array" aca="1" ref="BL719" ca="1">IF(SUM(IFERROR(IF(INDEX(AW719:INDEX(AW719:BH719, MATCH(2, 1/(AW719:BH719&lt;&gt;""), 1)-1), ROW(INDIRECT("1:" &amp; MATCH(2, 1/(AW719:BH719&lt;&gt;""), 1)-1))) &gt;= 115%, 115%, INDEX(AW719:INDEX(AW719:BH719, MATCH(2, 1/(AW719:BH719&lt;&gt;""), 1)-1), ROW(INDIRECT("1:" &amp; MATCH(2, 1/(AW719:BH719&lt;&gt;""), 1)-1)))), 0))/_xlfn.XLOOKUP(F719,Apuração!A:A,Apuração!B:B)&gt;=1.15,1.15,SUM(IFERROR(IF(INDEX(AW719:INDEX(AW719:BH719, MATCH(2, 1/(AW719:BH719&lt;&gt;""), 1)-1), ROW(INDIRECT("1:" &amp; MATCH(2, 1/(AW719:BH719&lt;&gt;""), 1)-1))) &gt;= 115%, 115%, INDEX(AW719:INDEX(AW719:BH719, MATCH(2, 1/(AW719:BH719&lt;&gt;""), 1)-1), ROW(INDIRECT("1:" &amp; MATCH(2, 1/(AW719:BH719&lt;&gt;""), 1)-1)))), 0))/_xlfn.XLOOKUP(F719,Apuração!A:A,Apuração!B:B))</f>
        <v>0.33333333333333331</v>
      </c>
      <c r="BM719" s="55" cm="1">
        <f t="array" ref="BM719">IFERROR(
   INDEX($AW$1:$BH$1,
      _xlfn.AGGREGATE(14, 6, COLUMN($AW$1:$BH$1)/(AW719:BH719&lt;&gt;""), 2) - COLUMN($AW$1) + 1
   ),
"")</f>
        <v>46113</v>
      </c>
      <c r="BN719" s="55" cm="1">
        <f t="array" ref="BN719">IFERROR(INDEX($AW$1:$BH$1,1,MATCH(2,1/(AW719:BH719&lt;&gt;""))),"")</f>
        <v>46143</v>
      </c>
      <c r="BO719" s="53">
        <f ca="1">IFERROR(_xlfn.XLOOKUP(F719,Apuração!A:A,Apuração!C:C)/_xlfn.XLOOKUP(F719,Apuração!A:A,Apuração!B:B),0)</f>
        <v>0.41666666666666669</v>
      </c>
      <c r="BP719" s="53">
        <f ca="1">IFERROR(_xlfn.XLOOKUP(F719,Apuração!A:A,Apuração!D:D)/_xlfn.XLOOKUP(F719,Apuração!A:A,Apuração!B:B),0)</f>
        <v>0.33333333333333331</v>
      </c>
      <c r="BQ719" s="53">
        <f ca="1">IF(BK719&gt;=BO719,0,_xlfn.XLOOKUP(F719,Apuração!A:A,Apuração!B:B)*(BO719 + (1/_xlfn.XLOOKUP(F719,Apuração!A:A,Apuração!B:B)) - BK719))</f>
        <v>0</v>
      </c>
      <c r="BR719" s="85">
        <f t="shared" ca="1" si="1027"/>
        <v>0</v>
      </c>
      <c r="BS719" s="53">
        <f ca="1">IFERROR((_xlfn.XLOOKUP(F719,Apuração!A:A,Apuração!C:C)+1)/_xlfn.XLOOKUP(F719,Apuração!A:A,Apuração!B:B),0)</f>
        <v>0.5</v>
      </c>
    </row>
    <row r="720" spans="1:71" ht="25.95" hidden="1" customHeight="1" x14ac:dyDescent="0.3">
      <c r="A720" s="25" t="s">
        <v>134</v>
      </c>
      <c r="B720" s="15" t="s">
        <v>150</v>
      </c>
      <c r="C720" s="5" t="s">
        <v>97</v>
      </c>
      <c r="D720" s="5" t="s">
        <v>101</v>
      </c>
      <c r="E720" s="4" t="str" cm="1">
        <f t="array" ref="E720">_xlfn.IFS(
F720 = "A partir de Abril", "Aguardando Execução na Distribuidora",
A720 = "CAPACITAÇÃO", "Em execução no Corporativo",
TRUE, "Em Execução na Distribuidora"
)</f>
        <v>Em Execução na Distribuidora</v>
      </c>
      <c r="F720" s="4" t="str" cm="1">
        <f t="array" ref="F720">_xlfn.IFS(
AG720 &lt;&gt; "", "Jan-Dez/26",
AH720 &lt;&gt; "", "Fev-Dez/26",
AI720 &lt;&gt; "", "Mar-Dez/26", AJ720 &lt;&gt; "", "Abr-Dez/26",
TRUE, "A partir de Junho"
)</f>
        <v>Jan-Dez/26</v>
      </c>
      <c r="G720" s="15" t="s">
        <v>37</v>
      </c>
      <c r="H720" s="27" t="s">
        <v>54</v>
      </c>
      <c r="I720" s="28" t="s">
        <v>124</v>
      </c>
      <c r="J720" s="8" t="str" cm="1">
        <f t="array" aca="1" ref="J720" ca="1">_xlfn.LET(
  _xlpm.actual_value_month, INDEX(T720:AE720, MATCH(DATE(YEAR(TODAY()), MONTH(TODAY()), 1), $T$1:$AE$1, 0)),
  IF(_xlpm.actual_value_month &lt;&gt; "",_xlpm.actual_value_month &amp; " reuniões mensais", "")
)</f>
        <v/>
      </c>
      <c r="K720" s="8" t="str" cm="1">
        <f t="array" ref="K720">_xlfn.LET(
    _xlpm.sum_month, SUM(T720:AE720),
    IF(_xlpm.sum_month = 0, "", _xlpm.sum_month &amp; " atividades no ano")
)</f>
        <v>434 atividades no ano</v>
      </c>
      <c r="L720" s="29" t="s">
        <v>125</v>
      </c>
      <c r="M720" s="30" t="s">
        <v>151</v>
      </c>
      <c r="N720" s="66" t="s">
        <v>42</v>
      </c>
      <c r="O720" s="111" t="s">
        <v>52</v>
      </c>
      <c r="P720" s="31" t="s">
        <v>44</v>
      </c>
      <c r="Q720" s="31" t="s">
        <v>72</v>
      </c>
      <c r="R720" s="32" t="s">
        <v>44</v>
      </c>
      <c r="S720" s="32" t="s">
        <v>44</v>
      </c>
      <c r="T720" s="22">
        <v>98</v>
      </c>
      <c r="U720" s="22">
        <v>78</v>
      </c>
      <c r="V720" s="22">
        <v>94</v>
      </c>
      <c r="W720" s="22">
        <v>60</v>
      </c>
      <c r="X720" s="22">
        <v>104</v>
      </c>
      <c r="Y720" s="22"/>
      <c r="Z720" s="22"/>
      <c r="AA720" s="22"/>
      <c r="AB720" s="22"/>
      <c r="AC720" s="22"/>
      <c r="AD720" s="22"/>
      <c r="AE720" s="22"/>
      <c r="AG720" s="146">
        <v>98</v>
      </c>
      <c r="AH720" s="146">
        <v>78</v>
      </c>
      <c r="AI720" s="146">
        <v>94</v>
      </c>
      <c r="AJ720" s="146">
        <v>60</v>
      </c>
      <c r="AK720" s="71">
        <v>104</v>
      </c>
      <c r="AL720" s="71"/>
      <c r="AM720" s="71"/>
      <c r="AN720" s="71"/>
      <c r="AO720" s="71"/>
      <c r="AP720" s="71"/>
      <c r="AQ720" s="71"/>
      <c r="AR720" s="71"/>
      <c r="AS720" s="94">
        <f t="shared" ca="1" si="1020"/>
        <v>434</v>
      </c>
      <c r="AT720" s="95">
        <f t="shared" si="1021"/>
        <v>434</v>
      </c>
      <c r="AU720" s="97">
        <f t="shared" si="1022"/>
        <v>434</v>
      </c>
      <c r="AW720" s="51">
        <f t="shared" si="1023"/>
        <v>1</v>
      </c>
      <c r="AX720" s="51">
        <f t="shared" si="1024"/>
        <v>1</v>
      </c>
      <c r="AY720" s="51">
        <f t="shared" si="1025"/>
        <v>1</v>
      </c>
      <c r="AZ720" s="51">
        <f t="shared" si="1026"/>
        <v>1</v>
      </c>
      <c r="BA720" s="51">
        <f t="shared" si="1019"/>
        <v>1</v>
      </c>
      <c r="BB720" s="51"/>
      <c r="BC720" s="51"/>
      <c r="BD720" s="51"/>
      <c r="BE720" s="51"/>
      <c r="BF720" s="51"/>
      <c r="BG720" s="51"/>
      <c r="BH720" s="51"/>
      <c r="BI720" s="65" cm="1">
        <f t="array" ref="BI720">IFERROR(INDEX(AW720:BH720,1,MATCH(2,1/(AW720:BH720&lt;&gt;""))),"")</f>
        <v>1</v>
      </c>
      <c r="BJ720" s="68" cm="1">
        <f t="array" ref="BJ720">IF(BM720 = "", "",IFERROR(INDEX(AW720:BH720,1,MATCH(2,1/(AW720:BH720&lt;&gt;""),1)-1),""))</f>
        <v>1</v>
      </c>
      <c r="BK720" s="58">
        <f>IF((IF(AW720&gt;=115%,115%,AW720) + IF(AX720&gt;=115%,115%,AX720) + IF(AY720&gt;=115%,115%,AY720) + (IF(AZ720&gt;=115%,115%,AZ720) + IF(BA720&gt;=115%,115%,BA720) + IF(BB720&gt;=115%,115%,BB720) + IF(BC720&gt;=115%,115%,BC720) + IF(BD720&gt;=115%,115%,BD720) + IF(BE720&gt;=115%,115%,BE720) + IF(BF720&gt;=115%,115%,BF720) + IF(BG720&gt;=115%,115%,BG720) + IF(BH720&gt;=115%,115%,BH720)))/_xlfn.XLOOKUP(F720,Apuração!A:A,Apuração!B:B)&gt;=1.15,1.15,((IF(AZ720&gt;=115%,115%,AZ720) + IF(AX720&gt;=115%,115%,AX720) + IF(AY720&gt;=115%,115%,AY720) + (IF(AW720&gt;=115%,115%,AW720) + IF(BA720&gt;=115%,115%,BA720) + IF(BB720&gt;=115%,115%,BB720) + IF(BC720&gt;=115%,115%,BC720) + IF(BD720&gt;=115%,115%,BD720) + IF(BE720&gt;=115%,115%,BE720) + IF(BF720&gt;=115%,115%,BF720) + IF(BG720&gt;=115%,115%,BG720) + IF(BH720&gt;=115%,115%,BH720)))/_xlfn.XLOOKUP(F720,Apuração!A:A,Apuração!B:B)))</f>
        <v>0.41666666666666669</v>
      </c>
      <c r="BL720" s="58" cm="1">
        <f t="array" aca="1" ref="BL720" ca="1">IF(SUM(IFERROR(IF(INDEX(AW720:INDEX(AW720:BH720, MATCH(2, 1/(AW720:BH720&lt;&gt;""), 1)-1), ROW(INDIRECT("1:" &amp; MATCH(2, 1/(AW720:BH720&lt;&gt;""), 1)-1))) &gt;= 115%, 115%, INDEX(AW720:INDEX(AW720:BH720, MATCH(2, 1/(AW720:BH720&lt;&gt;""), 1)-1), ROW(INDIRECT("1:" &amp; MATCH(2, 1/(AW720:BH720&lt;&gt;""), 1)-1)))), 0))/_xlfn.XLOOKUP(F720,Apuração!A:A,Apuração!B:B)&gt;=1.15,1.15,SUM(IFERROR(IF(INDEX(AW720:INDEX(AW720:BH720, MATCH(2, 1/(AW720:BH720&lt;&gt;""), 1)-1), ROW(INDIRECT("1:" &amp; MATCH(2, 1/(AW720:BH720&lt;&gt;""), 1)-1))) &gt;= 115%, 115%, INDEX(AW720:INDEX(AW720:BH720, MATCH(2, 1/(AW720:BH720&lt;&gt;""), 1)-1), ROW(INDIRECT("1:" &amp; MATCH(2, 1/(AW720:BH720&lt;&gt;""), 1)-1)))), 0))/_xlfn.XLOOKUP(F720,Apuração!A:A,Apuração!B:B))</f>
        <v>0.33333333333333331</v>
      </c>
      <c r="BM720" s="55" cm="1">
        <f t="array" ref="BM720">IFERROR(
   INDEX($AW$1:$BH$1,
      _xlfn.AGGREGATE(14, 6, COLUMN($AW$1:$BH$1)/(AW720:BH720&lt;&gt;""), 2) - COLUMN($AW$1) + 1
   ),
"")</f>
        <v>46113</v>
      </c>
      <c r="BN720" s="55" cm="1">
        <f t="array" ref="BN720">IFERROR(INDEX($AW$1:$BH$1,1,MATCH(2,1/(AW720:BH720&lt;&gt;""))),"")</f>
        <v>46143</v>
      </c>
      <c r="BO720" s="53">
        <f ca="1">IFERROR(_xlfn.XLOOKUP(F720,Apuração!A:A,Apuração!C:C)/_xlfn.XLOOKUP(F720,Apuração!A:A,Apuração!B:B),0)</f>
        <v>0.41666666666666669</v>
      </c>
      <c r="BP720" s="53">
        <f ca="1">IFERROR(_xlfn.XLOOKUP(F720,Apuração!A:A,Apuração!D:D)/_xlfn.XLOOKUP(F720,Apuração!A:A,Apuração!B:B),0)</f>
        <v>0.33333333333333331</v>
      </c>
      <c r="BQ720" s="53">
        <f ca="1">IF(BK720&gt;=BO720,0,_xlfn.XLOOKUP(F720,Apuração!A:A,Apuração!B:B)*(BO720 + (1/_xlfn.XLOOKUP(F720,Apuração!A:A,Apuração!B:B)) - BK720))</f>
        <v>0</v>
      </c>
      <c r="BR720" s="85">
        <f t="shared" ca="1" si="1027"/>
        <v>0</v>
      </c>
      <c r="BS720" s="53">
        <f ca="1">IFERROR((_xlfn.XLOOKUP(F720,Apuração!A:A,Apuração!C:C)+1)/_xlfn.XLOOKUP(F720,Apuração!A:A,Apuração!B:B),0)</f>
        <v>0.5</v>
      </c>
    </row>
    <row r="721" spans="1:71" ht="25.95" hidden="1" customHeight="1" x14ac:dyDescent="0.3">
      <c r="A721" s="25" t="s">
        <v>134</v>
      </c>
      <c r="B721" s="15" t="s">
        <v>150</v>
      </c>
      <c r="C721" s="5" t="s">
        <v>97</v>
      </c>
      <c r="D721" s="5" t="s">
        <v>102</v>
      </c>
      <c r="E721" s="4" t="str" cm="1">
        <f t="array" ref="E721">_xlfn.IFS(
F721 = "A partir de Abril", "Aguardando Execução na Distribuidora",
A721 = "CAPACITAÇÃO", "Em execução no Corporativo",
TRUE, "Em Execução na Distribuidora"
)</f>
        <v>Em Execução na Distribuidora</v>
      </c>
      <c r="F721" s="4" t="str" cm="1">
        <f t="array" ref="F721">_xlfn.IFS(
AG721 &lt;&gt; "", "Jan-Dez/26",
AH721 &lt;&gt; "", "Fev-Dez/26",
AI721 &lt;&gt; "", "Mar-Dez/26", AJ721 &lt;&gt; "", "Abr-Dez/26",
TRUE, "A partir de Junho"
)</f>
        <v>Jan-Dez/26</v>
      </c>
      <c r="G721" s="15" t="s">
        <v>37</v>
      </c>
      <c r="H721" s="27" t="s">
        <v>54</v>
      </c>
      <c r="I721" s="28" t="s">
        <v>124</v>
      </c>
      <c r="J721" s="8" t="str" cm="1">
        <f t="array" aca="1" ref="J721" ca="1">_xlfn.LET(
  _xlpm.actual_value_month, INDEX(T721:AE721, MATCH(DATE(YEAR(TODAY()), MONTH(TODAY()), 1), $T$1:$AE$1, 0)),
  IF(_xlpm.actual_value_month &lt;&gt; "",_xlpm.actual_value_month &amp; " reuniões mensais", "")
)</f>
        <v/>
      </c>
      <c r="K721" s="8" t="str" cm="1">
        <f t="array" ref="K721">_xlfn.LET(
    _xlpm.sum_month, SUM(T721:AE721),
    IF(_xlpm.sum_month = 0, "", _xlpm.sum_month &amp; " atividades no ano")
)</f>
        <v>156 atividades no ano</v>
      </c>
      <c r="L721" s="29" t="s">
        <v>125</v>
      </c>
      <c r="M721" s="30" t="s">
        <v>151</v>
      </c>
      <c r="N721" s="66" t="s">
        <v>42</v>
      </c>
      <c r="O721" s="111" t="s">
        <v>52</v>
      </c>
      <c r="P721" s="31" t="s">
        <v>44</v>
      </c>
      <c r="Q721" s="31" t="s">
        <v>72</v>
      </c>
      <c r="R721" s="32" t="s">
        <v>44</v>
      </c>
      <c r="S721" s="32" t="s">
        <v>44</v>
      </c>
      <c r="T721" s="22">
        <v>27</v>
      </c>
      <c r="U721" s="22">
        <v>29</v>
      </c>
      <c r="V721" s="22">
        <v>24</v>
      </c>
      <c r="W721" s="22">
        <v>43</v>
      </c>
      <c r="X721" s="22">
        <v>33</v>
      </c>
      <c r="Y721" s="22"/>
      <c r="Z721" s="22"/>
      <c r="AA721" s="22"/>
      <c r="AB721" s="22"/>
      <c r="AC721" s="22"/>
      <c r="AD721" s="22"/>
      <c r="AE721" s="22"/>
      <c r="AG721" s="146">
        <v>27</v>
      </c>
      <c r="AH721" s="146">
        <v>29</v>
      </c>
      <c r="AI721" s="146">
        <v>24</v>
      </c>
      <c r="AJ721" s="146">
        <v>43</v>
      </c>
      <c r="AK721" s="71">
        <v>33</v>
      </c>
      <c r="AL721" s="71"/>
      <c r="AM721" s="71"/>
      <c r="AN721" s="71"/>
      <c r="AO721" s="71"/>
      <c r="AP721" s="71"/>
      <c r="AQ721" s="71"/>
      <c r="AR721" s="71"/>
      <c r="AS721" s="94">
        <f t="shared" ca="1" si="1020"/>
        <v>156</v>
      </c>
      <c r="AT721" s="95">
        <f t="shared" si="1021"/>
        <v>156</v>
      </c>
      <c r="AU721" s="97">
        <f t="shared" si="1022"/>
        <v>156</v>
      </c>
      <c r="AW721" s="51">
        <f t="shared" si="1023"/>
        <v>1</v>
      </c>
      <c r="AX721" s="51">
        <f t="shared" si="1024"/>
        <v>1</v>
      </c>
      <c r="AY721" s="51">
        <f t="shared" si="1025"/>
        <v>1</v>
      </c>
      <c r="AZ721" s="51">
        <f t="shared" si="1026"/>
        <v>1</v>
      </c>
      <c r="BA721" s="51">
        <f t="shared" si="1019"/>
        <v>1</v>
      </c>
      <c r="BB721" s="51"/>
      <c r="BC721" s="51"/>
      <c r="BD721" s="51"/>
      <c r="BE721" s="51"/>
      <c r="BF721" s="51"/>
      <c r="BG721" s="51"/>
      <c r="BH721" s="51"/>
      <c r="BI721" s="65" cm="1">
        <f t="array" ref="BI721">IFERROR(INDEX(AW721:BH721,1,MATCH(2,1/(AW721:BH721&lt;&gt;""))),"")</f>
        <v>1</v>
      </c>
      <c r="BJ721" s="68" cm="1">
        <f t="array" ref="BJ721">IF(BM721 = "", "",IFERROR(INDEX(AW721:BH721,1,MATCH(2,1/(AW721:BH721&lt;&gt;""),1)-1),""))</f>
        <v>1</v>
      </c>
      <c r="BK721" s="58">
        <f>IF((IF(AW721&gt;=115%,115%,AW721) + IF(AX721&gt;=115%,115%,AX721) + IF(AY721&gt;=115%,115%,AY721) + (IF(AZ721&gt;=115%,115%,AZ721) + IF(BA721&gt;=115%,115%,BA721) + IF(BB721&gt;=115%,115%,BB721) + IF(BC721&gt;=115%,115%,BC721) + IF(BD721&gt;=115%,115%,BD721) + IF(BE721&gt;=115%,115%,BE721) + IF(BF721&gt;=115%,115%,BF721) + IF(BG721&gt;=115%,115%,BG721) + IF(BH721&gt;=115%,115%,BH721)))/_xlfn.XLOOKUP(F721,Apuração!A:A,Apuração!B:B)&gt;=1.15,1.15,((IF(AZ721&gt;=115%,115%,AZ721) + IF(AX721&gt;=115%,115%,AX721) + IF(AY721&gt;=115%,115%,AY721) + (IF(AW721&gt;=115%,115%,AW721) + IF(BA721&gt;=115%,115%,BA721) + IF(BB721&gt;=115%,115%,BB721) + IF(BC721&gt;=115%,115%,BC721) + IF(BD721&gt;=115%,115%,BD721) + IF(BE721&gt;=115%,115%,BE721) + IF(BF721&gt;=115%,115%,BF721) + IF(BG721&gt;=115%,115%,BG721) + IF(BH721&gt;=115%,115%,BH721)))/_xlfn.XLOOKUP(F721,Apuração!A:A,Apuração!B:B)))</f>
        <v>0.41666666666666669</v>
      </c>
      <c r="BL721" s="58" cm="1">
        <f t="array" aca="1" ref="BL721" ca="1">IF(SUM(IFERROR(IF(INDEX(AW721:INDEX(AW721:BH721, MATCH(2, 1/(AW721:BH721&lt;&gt;""), 1)-1), ROW(INDIRECT("1:" &amp; MATCH(2, 1/(AW721:BH721&lt;&gt;""), 1)-1))) &gt;= 115%, 115%, INDEX(AW721:INDEX(AW721:BH721, MATCH(2, 1/(AW721:BH721&lt;&gt;""), 1)-1), ROW(INDIRECT("1:" &amp; MATCH(2, 1/(AW721:BH721&lt;&gt;""), 1)-1)))), 0))/_xlfn.XLOOKUP(F721,Apuração!A:A,Apuração!B:B)&gt;=1.15,1.15,SUM(IFERROR(IF(INDEX(AW721:INDEX(AW721:BH721, MATCH(2, 1/(AW721:BH721&lt;&gt;""), 1)-1), ROW(INDIRECT("1:" &amp; MATCH(2, 1/(AW721:BH721&lt;&gt;""), 1)-1))) &gt;= 115%, 115%, INDEX(AW721:INDEX(AW721:BH721, MATCH(2, 1/(AW721:BH721&lt;&gt;""), 1)-1), ROW(INDIRECT("1:" &amp; MATCH(2, 1/(AW721:BH721&lt;&gt;""), 1)-1)))), 0))/_xlfn.XLOOKUP(F721,Apuração!A:A,Apuração!B:B))</f>
        <v>0.33333333333333331</v>
      </c>
      <c r="BM721" s="55" cm="1">
        <f t="array" ref="BM721">IFERROR(
   INDEX($AW$1:$BH$1,
      _xlfn.AGGREGATE(14, 6, COLUMN($AW$1:$BH$1)/(AW721:BH721&lt;&gt;""), 2) - COLUMN($AW$1) + 1
   ),
"")</f>
        <v>46113</v>
      </c>
      <c r="BN721" s="55" cm="1">
        <f t="array" ref="BN721">IFERROR(INDEX($AW$1:$BH$1,1,MATCH(2,1/(AW721:BH721&lt;&gt;""))),"")</f>
        <v>46143</v>
      </c>
      <c r="BO721" s="53">
        <f ca="1">IFERROR(_xlfn.XLOOKUP(F721,Apuração!A:A,Apuração!C:C)/_xlfn.XLOOKUP(F721,Apuração!A:A,Apuração!B:B),0)</f>
        <v>0.41666666666666669</v>
      </c>
      <c r="BP721" s="53">
        <f ca="1">IFERROR(_xlfn.XLOOKUP(F721,Apuração!A:A,Apuração!D:D)/_xlfn.XLOOKUP(F721,Apuração!A:A,Apuração!B:B),0)</f>
        <v>0.33333333333333331</v>
      </c>
      <c r="BQ721" s="53">
        <f ca="1">IF(BK721&gt;=BO721,0,_xlfn.XLOOKUP(F721,Apuração!A:A,Apuração!B:B)*(BO721 + (1/_xlfn.XLOOKUP(F721,Apuração!A:A,Apuração!B:B)) - BK721))</f>
        <v>0</v>
      </c>
      <c r="BR721" s="85">
        <f t="shared" ca="1" si="1027"/>
        <v>0</v>
      </c>
      <c r="BS721" s="53">
        <f ca="1">IFERROR((_xlfn.XLOOKUP(F721,Apuração!A:A,Apuração!C:C)+1)/_xlfn.XLOOKUP(F721,Apuração!A:A,Apuração!B:B),0)</f>
        <v>0.5</v>
      </c>
    </row>
    <row r="722" spans="1:71" ht="25.95" hidden="1" customHeight="1" x14ac:dyDescent="0.3">
      <c r="A722" s="25" t="s">
        <v>134</v>
      </c>
      <c r="B722" s="15" t="s">
        <v>150</v>
      </c>
      <c r="C722" s="5" t="s">
        <v>97</v>
      </c>
      <c r="D722" s="5" t="s">
        <v>103</v>
      </c>
      <c r="E722" s="4" t="str" cm="1">
        <f t="array" ref="E722">_xlfn.IFS(
F722 = "A partir de Abril", "Aguardando Execução na Distribuidora",
A722 = "CAPACITAÇÃO", "Em execução no Corporativo",
TRUE, "Em Execução na Distribuidora"
)</f>
        <v>Em Execução na Distribuidora</v>
      </c>
      <c r="F722" s="4" t="str" cm="1">
        <f t="array" ref="F722">_xlfn.IFS(
AG722 &lt;&gt; "", "Jan-Dez/26",
AH722 &lt;&gt; "", "Fev-Dez/26",
AI722 &lt;&gt; "", "Mar-Dez/26", AJ722 &lt;&gt; "", "Abr-Dez/26",
TRUE, "A partir de Junho"
)</f>
        <v>Jan-Dez/26</v>
      </c>
      <c r="G722" s="15" t="s">
        <v>37</v>
      </c>
      <c r="H722" s="27" t="s">
        <v>54</v>
      </c>
      <c r="I722" s="28" t="s">
        <v>124</v>
      </c>
      <c r="J722" s="8" t="str" cm="1">
        <f t="array" aca="1" ref="J722" ca="1">_xlfn.LET(
  _xlpm.actual_value_month, INDEX(T722:AE722, MATCH(DATE(YEAR(TODAY()), MONTH(TODAY()), 1), $T$1:$AE$1, 0)),
  IF(_xlpm.actual_value_month &lt;&gt; "",_xlpm.actual_value_month &amp; " reuniões mensais", "")
)</f>
        <v/>
      </c>
      <c r="K722" s="8" t="str" cm="1">
        <f t="array" ref="K722">_xlfn.LET(
    _xlpm.sum_month, SUM(T722:AE722),
    IF(_xlpm.sum_month = 0, "", _xlpm.sum_month &amp; " atividades no ano")
)</f>
        <v>419 atividades no ano</v>
      </c>
      <c r="L722" s="29" t="s">
        <v>125</v>
      </c>
      <c r="M722" s="30" t="s">
        <v>151</v>
      </c>
      <c r="N722" s="66" t="s">
        <v>42</v>
      </c>
      <c r="O722" s="111" t="s">
        <v>52</v>
      </c>
      <c r="P722" s="31" t="s">
        <v>44</v>
      </c>
      <c r="Q722" s="31" t="s">
        <v>72</v>
      </c>
      <c r="R722" s="32" t="s">
        <v>44</v>
      </c>
      <c r="S722" s="32" t="s">
        <v>44</v>
      </c>
      <c r="T722" s="22">
        <v>75</v>
      </c>
      <c r="U722" s="22">
        <v>85</v>
      </c>
      <c r="V722" s="22">
        <v>109</v>
      </c>
      <c r="W722" s="22">
        <v>88</v>
      </c>
      <c r="X722" s="22">
        <v>62</v>
      </c>
      <c r="Y722" s="22"/>
      <c r="Z722" s="22"/>
      <c r="AA722" s="22"/>
      <c r="AB722" s="22"/>
      <c r="AC722" s="22"/>
      <c r="AD722" s="22"/>
      <c r="AE722" s="22"/>
      <c r="AG722" s="146">
        <v>75</v>
      </c>
      <c r="AH722" s="146">
        <v>85</v>
      </c>
      <c r="AI722" s="146">
        <v>109</v>
      </c>
      <c r="AJ722" s="146">
        <v>88</v>
      </c>
      <c r="AK722" s="71">
        <v>62</v>
      </c>
      <c r="AL722" s="71"/>
      <c r="AM722" s="71"/>
      <c r="AN722" s="71"/>
      <c r="AO722" s="71"/>
      <c r="AP722" s="71"/>
      <c r="AQ722" s="71"/>
      <c r="AR722" s="71"/>
      <c r="AS722" s="94">
        <f t="shared" ca="1" si="1020"/>
        <v>419</v>
      </c>
      <c r="AT722" s="95">
        <f t="shared" si="1021"/>
        <v>419</v>
      </c>
      <c r="AU722" s="97">
        <f t="shared" si="1022"/>
        <v>419</v>
      </c>
      <c r="AW722" s="51">
        <f t="shared" si="1023"/>
        <v>1</v>
      </c>
      <c r="AX722" s="51">
        <f t="shared" si="1024"/>
        <v>1</v>
      </c>
      <c r="AY722" s="51">
        <f t="shared" si="1025"/>
        <v>1</v>
      </c>
      <c r="AZ722" s="51">
        <f t="shared" si="1026"/>
        <v>1</v>
      </c>
      <c r="BA722" s="51">
        <f t="shared" si="1019"/>
        <v>1</v>
      </c>
      <c r="BB722" s="51"/>
      <c r="BC722" s="51"/>
      <c r="BD722" s="51"/>
      <c r="BE722" s="51"/>
      <c r="BF722" s="51"/>
      <c r="BG722" s="51"/>
      <c r="BH722" s="51"/>
      <c r="BI722" s="65" cm="1">
        <f t="array" ref="BI722">IFERROR(INDEX(AW722:BH722,1,MATCH(2,1/(AW722:BH722&lt;&gt;""))),"")</f>
        <v>1</v>
      </c>
      <c r="BJ722" s="68" cm="1">
        <f t="array" ref="BJ722">IF(BM722 = "", "",IFERROR(INDEX(AW722:BH722,1,MATCH(2,1/(AW722:BH722&lt;&gt;""),1)-1),""))</f>
        <v>1</v>
      </c>
      <c r="BK722" s="58">
        <f>IF((IF(AW722&gt;=115%,115%,AW722) + IF(AX722&gt;=115%,115%,AX722) + IF(AY722&gt;=115%,115%,AY722) + (IF(AZ722&gt;=115%,115%,AZ722) + IF(BA722&gt;=115%,115%,BA722) + IF(BB722&gt;=115%,115%,BB722) + IF(BC722&gt;=115%,115%,BC722) + IF(BD722&gt;=115%,115%,BD722) + IF(BE722&gt;=115%,115%,BE722) + IF(BF722&gt;=115%,115%,BF722) + IF(BG722&gt;=115%,115%,BG722) + IF(BH722&gt;=115%,115%,BH722)))/_xlfn.XLOOKUP(F722,Apuração!A:A,Apuração!B:B)&gt;=1.15,1.15,((IF(AZ722&gt;=115%,115%,AZ722) + IF(AX722&gt;=115%,115%,AX722) + IF(AY722&gt;=115%,115%,AY722) + (IF(AW722&gt;=115%,115%,AW722) + IF(BA722&gt;=115%,115%,BA722) + IF(BB722&gt;=115%,115%,BB722) + IF(BC722&gt;=115%,115%,BC722) + IF(BD722&gt;=115%,115%,BD722) + IF(BE722&gt;=115%,115%,BE722) + IF(BF722&gt;=115%,115%,BF722) + IF(BG722&gt;=115%,115%,BG722) + IF(BH722&gt;=115%,115%,BH722)))/_xlfn.XLOOKUP(F722,Apuração!A:A,Apuração!B:B)))</f>
        <v>0.41666666666666669</v>
      </c>
      <c r="BL722" s="58" cm="1">
        <f t="array" aca="1" ref="BL722" ca="1">IF(SUM(IFERROR(IF(INDEX(AW722:INDEX(AW722:BH722, MATCH(2, 1/(AW722:BH722&lt;&gt;""), 1)-1), ROW(INDIRECT("1:" &amp; MATCH(2, 1/(AW722:BH722&lt;&gt;""), 1)-1))) &gt;= 115%, 115%, INDEX(AW722:INDEX(AW722:BH722, MATCH(2, 1/(AW722:BH722&lt;&gt;""), 1)-1), ROW(INDIRECT("1:" &amp; MATCH(2, 1/(AW722:BH722&lt;&gt;""), 1)-1)))), 0))/_xlfn.XLOOKUP(F722,Apuração!A:A,Apuração!B:B)&gt;=1.15,1.15,SUM(IFERROR(IF(INDEX(AW722:INDEX(AW722:BH722, MATCH(2, 1/(AW722:BH722&lt;&gt;""), 1)-1), ROW(INDIRECT("1:" &amp; MATCH(2, 1/(AW722:BH722&lt;&gt;""), 1)-1))) &gt;= 115%, 115%, INDEX(AW722:INDEX(AW722:BH722, MATCH(2, 1/(AW722:BH722&lt;&gt;""), 1)-1), ROW(INDIRECT("1:" &amp; MATCH(2, 1/(AW722:BH722&lt;&gt;""), 1)-1)))), 0))/_xlfn.XLOOKUP(F722,Apuração!A:A,Apuração!B:B))</f>
        <v>0.33333333333333331</v>
      </c>
      <c r="BM722" s="55" cm="1">
        <f t="array" ref="BM722">IFERROR(
   INDEX($AW$1:$BH$1,
      _xlfn.AGGREGATE(14, 6, COLUMN($AW$1:$BH$1)/(AW722:BH722&lt;&gt;""), 2) - COLUMN($AW$1) + 1
   ),
"")</f>
        <v>46113</v>
      </c>
      <c r="BN722" s="55" cm="1">
        <f t="array" ref="BN722">IFERROR(INDEX($AW$1:$BH$1,1,MATCH(2,1/(AW722:BH722&lt;&gt;""))),"")</f>
        <v>46143</v>
      </c>
      <c r="BO722" s="53">
        <f ca="1">IFERROR(_xlfn.XLOOKUP(F722,Apuração!A:A,Apuração!C:C)/_xlfn.XLOOKUP(F722,Apuração!A:A,Apuração!B:B),0)</f>
        <v>0.41666666666666669</v>
      </c>
      <c r="BP722" s="53">
        <f ca="1">IFERROR(_xlfn.XLOOKUP(F722,Apuração!A:A,Apuração!D:D)/_xlfn.XLOOKUP(F722,Apuração!A:A,Apuração!B:B),0)</f>
        <v>0.33333333333333331</v>
      </c>
      <c r="BQ722" s="53">
        <f ca="1">IF(BK722&gt;=BO722,0,_xlfn.XLOOKUP(F722,Apuração!A:A,Apuração!B:B)*(BO722 + (1/_xlfn.XLOOKUP(F722,Apuração!A:A,Apuração!B:B)) - BK722))</f>
        <v>0</v>
      </c>
      <c r="BR722" s="85">
        <f t="shared" ca="1" si="1027"/>
        <v>0</v>
      </c>
      <c r="BS722" s="53">
        <f ca="1">IFERROR((_xlfn.XLOOKUP(F722,Apuração!A:A,Apuração!C:C)+1)/_xlfn.XLOOKUP(F722,Apuração!A:A,Apuração!B:B),0)</f>
        <v>0.5</v>
      </c>
    </row>
    <row r="723" spans="1:71" ht="25.95" hidden="1" customHeight="1" x14ac:dyDescent="0.3">
      <c r="A723" s="25" t="s">
        <v>134</v>
      </c>
      <c r="B723" s="15" t="s">
        <v>150</v>
      </c>
      <c r="C723" s="5" t="s">
        <v>97</v>
      </c>
      <c r="D723" s="5" t="s">
        <v>104</v>
      </c>
      <c r="E723" s="4" t="str" cm="1">
        <f t="array" ref="E723">_xlfn.IFS(
F723 = "A partir de Abril", "Aguardando Execução na Distribuidora",
A723 = "CAPACITAÇÃO", "Em execução no Corporativo",
TRUE, "Em Execução na Distribuidora"
)</f>
        <v>Em Execução na Distribuidora</v>
      </c>
      <c r="F723" s="4" t="str" cm="1">
        <f t="array" ref="F723">_xlfn.IFS(
AG723 &lt;&gt; "", "Jan-Dez/26",
AH723 &lt;&gt; "", "Fev-Dez/26",
AI723 &lt;&gt; "", "Mar-Dez/26", AJ723 &lt;&gt; "", "Abr-Dez/26",
TRUE, "A partir de Junho"
)</f>
        <v>Jan-Dez/26</v>
      </c>
      <c r="G723" s="15" t="s">
        <v>37</v>
      </c>
      <c r="H723" s="27" t="s">
        <v>54</v>
      </c>
      <c r="I723" s="28" t="s">
        <v>124</v>
      </c>
      <c r="J723" s="8" t="str" cm="1">
        <f t="array" aca="1" ref="J723" ca="1">_xlfn.LET(
  _xlpm.actual_value_month, INDEX(T723:AE723, MATCH(DATE(YEAR(TODAY()), MONTH(TODAY()), 1), $T$1:$AE$1, 0)),
  IF(_xlpm.actual_value_month &lt;&gt; "",_xlpm.actual_value_month &amp; " reuniões mensais", "")
)</f>
        <v/>
      </c>
      <c r="K723" s="8" t="str" cm="1">
        <f t="array" ref="K723">_xlfn.LET(
    _xlpm.sum_month, SUM(T723:AE723),
    IF(_xlpm.sum_month = 0, "", _xlpm.sum_month &amp; " atividades no ano")
)</f>
        <v>177 atividades no ano</v>
      </c>
      <c r="L723" s="29" t="s">
        <v>125</v>
      </c>
      <c r="M723" s="30" t="s">
        <v>151</v>
      </c>
      <c r="N723" s="66" t="s">
        <v>42</v>
      </c>
      <c r="O723" s="111" t="s">
        <v>52</v>
      </c>
      <c r="P723" s="31" t="s">
        <v>44</v>
      </c>
      <c r="Q723" s="31" t="s">
        <v>72</v>
      </c>
      <c r="R723" s="32" t="s">
        <v>44</v>
      </c>
      <c r="S723" s="32" t="s">
        <v>44</v>
      </c>
      <c r="T723" s="22">
        <v>30</v>
      </c>
      <c r="U723" s="22">
        <v>35</v>
      </c>
      <c r="V723" s="22">
        <v>40</v>
      </c>
      <c r="W723" s="22">
        <v>36</v>
      </c>
      <c r="X723" s="22">
        <v>36</v>
      </c>
      <c r="Y723" s="22"/>
      <c r="Z723" s="22"/>
      <c r="AA723" s="22"/>
      <c r="AB723" s="22"/>
      <c r="AC723" s="22"/>
      <c r="AD723" s="22"/>
      <c r="AE723" s="22"/>
      <c r="AG723" s="146">
        <v>30</v>
      </c>
      <c r="AH723" s="146">
        <v>35</v>
      </c>
      <c r="AI723" s="146">
        <v>40</v>
      </c>
      <c r="AJ723" s="146">
        <v>36</v>
      </c>
      <c r="AK723" s="71">
        <v>36</v>
      </c>
      <c r="AL723" s="71"/>
      <c r="AM723" s="71"/>
      <c r="AN723" s="71"/>
      <c r="AO723" s="71"/>
      <c r="AP723" s="71"/>
      <c r="AQ723" s="71"/>
      <c r="AR723" s="71"/>
      <c r="AS723" s="94">
        <f t="shared" ca="1" si="1020"/>
        <v>177</v>
      </c>
      <c r="AT723" s="95">
        <f t="shared" si="1021"/>
        <v>177</v>
      </c>
      <c r="AU723" s="97">
        <f t="shared" si="1022"/>
        <v>177</v>
      </c>
      <c r="AW723" s="51">
        <f t="shared" si="1023"/>
        <v>1</v>
      </c>
      <c r="AX723" s="51">
        <f t="shared" si="1024"/>
        <v>1</v>
      </c>
      <c r="AY723" s="51">
        <f t="shared" si="1025"/>
        <v>1</v>
      </c>
      <c r="AZ723" s="51">
        <f t="shared" si="1026"/>
        <v>1</v>
      </c>
      <c r="BA723" s="51">
        <f t="shared" si="1019"/>
        <v>1</v>
      </c>
      <c r="BB723" s="51"/>
      <c r="BC723" s="51"/>
      <c r="BD723" s="51"/>
      <c r="BE723" s="51"/>
      <c r="BF723" s="51"/>
      <c r="BG723" s="51"/>
      <c r="BH723" s="51"/>
      <c r="BI723" s="65" cm="1">
        <f t="array" ref="BI723">IFERROR(INDEX(AW723:BH723,1,MATCH(2,1/(AW723:BH723&lt;&gt;""))),"")</f>
        <v>1</v>
      </c>
      <c r="BJ723" s="68" cm="1">
        <f t="array" ref="BJ723">IF(BM723 = "", "",IFERROR(INDEX(AW723:BH723,1,MATCH(2,1/(AW723:BH723&lt;&gt;""),1)-1),""))</f>
        <v>1</v>
      </c>
      <c r="BK723" s="58">
        <f>IF((IF(AW723&gt;=115%,115%,AW723) + IF(AX723&gt;=115%,115%,AX723) + IF(AY723&gt;=115%,115%,AY723) + (IF(AZ723&gt;=115%,115%,AZ723) + IF(BA723&gt;=115%,115%,BA723) + IF(BB723&gt;=115%,115%,BB723) + IF(BC723&gt;=115%,115%,BC723) + IF(BD723&gt;=115%,115%,BD723) + IF(BE723&gt;=115%,115%,BE723) + IF(BF723&gt;=115%,115%,BF723) + IF(BG723&gt;=115%,115%,BG723) + IF(BH723&gt;=115%,115%,BH723)))/_xlfn.XLOOKUP(F723,Apuração!A:A,Apuração!B:B)&gt;=1.15,1.15,((IF(AZ723&gt;=115%,115%,AZ723) + IF(AX723&gt;=115%,115%,AX723) + IF(AY723&gt;=115%,115%,AY723) + (IF(AW723&gt;=115%,115%,AW723) + IF(BA723&gt;=115%,115%,BA723) + IF(BB723&gt;=115%,115%,BB723) + IF(BC723&gt;=115%,115%,BC723) + IF(BD723&gt;=115%,115%,BD723) + IF(BE723&gt;=115%,115%,BE723) + IF(BF723&gt;=115%,115%,BF723) + IF(BG723&gt;=115%,115%,BG723) + IF(BH723&gt;=115%,115%,BH723)))/_xlfn.XLOOKUP(F723,Apuração!A:A,Apuração!B:B)))</f>
        <v>0.41666666666666669</v>
      </c>
      <c r="BL723" s="58" cm="1">
        <f t="array" aca="1" ref="BL723" ca="1">IF(SUM(IFERROR(IF(INDEX(AW723:INDEX(AW723:BH723, MATCH(2, 1/(AW723:BH723&lt;&gt;""), 1)-1), ROW(INDIRECT("1:" &amp; MATCH(2, 1/(AW723:BH723&lt;&gt;""), 1)-1))) &gt;= 115%, 115%, INDEX(AW723:INDEX(AW723:BH723, MATCH(2, 1/(AW723:BH723&lt;&gt;""), 1)-1), ROW(INDIRECT("1:" &amp; MATCH(2, 1/(AW723:BH723&lt;&gt;""), 1)-1)))), 0))/_xlfn.XLOOKUP(F723,Apuração!A:A,Apuração!B:B)&gt;=1.15,1.15,SUM(IFERROR(IF(INDEX(AW723:INDEX(AW723:BH723, MATCH(2, 1/(AW723:BH723&lt;&gt;""), 1)-1), ROW(INDIRECT("1:" &amp; MATCH(2, 1/(AW723:BH723&lt;&gt;""), 1)-1))) &gt;= 115%, 115%, INDEX(AW723:INDEX(AW723:BH723, MATCH(2, 1/(AW723:BH723&lt;&gt;""), 1)-1), ROW(INDIRECT("1:" &amp; MATCH(2, 1/(AW723:BH723&lt;&gt;""), 1)-1)))), 0))/_xlfn.XLOOKUP(F723,Apuração!A:A,Apuração!B:B))</f>
        <v>0.33333333333333331</v>
      </c>
      <c r="BM723" s="55" cm="1">
        <f t="array" ref="BM723">IFERROR(
   INDEX($AW$1:$BH$1,
      _xlfn.AGGREGATE(14, 6, COLUMN($AW$1:$BH$1)/(AW723:BH723&lt;&gt;""), 2) - COLUMN($AW$1) + 1
   ),
"")</f>
        <v>46113</v>
      </c>
      <c r="BN723" s="55" cm="1">
        <f t="array" ref="BN723">IFERROR(INDEX($AW$1:$BH$1,1,MATCH(2,1/(AW723:BH723&lt;&gt;""))),"")</f>
        <v>46143</v>
      </c>
      <c r="BO723" s="53">
        <f ca="1">IFERROR(_xlfn.XLOOKUP(F723,Apuração!A:A,Apuração!C:C)/_xlfn.XLOOKUP(F723,Apuração!A:A,Apuração!B:B),0)</f>
        <v>0.41666666666666669</v>
      </c>
      <c r="BP723" s="53">
        <f ca="1">IFERROR(_xlfn.XLOOKUP(F723,Apuração!A:A,Apuração!D:D)/_xlfn.XLOOKUP(F723,Apuração!A:A,Apuração!B:B),0)</f>
        <v>0.33333333333333331</v>
      </c>
      <c r="BQ723" s="53">
        <f ca="1">IF(BK723&gt;=BO723,0,_xlfn.XLOOKUP(F723,Apuração!A:A,Apuração!B:B)*(BO723 + (1/_xlfn.XLOOKUP(F723,Apuração!A:A,Apuração!B:B)) - BK723))</f>
        <v>0</v>
      </c>
      <c r="BR723" s="85">
        <f t="shared" ca="1" si="1027"/>
        <v>0</v>
      </c>
      <c r="BS723" s="53">
        <f ca="1">IFERROR((_xlfn.XLOOKUP(F723,Apuração!A:A,Apuração!C:C)+1)/_xlfn.XLOOKUP(F723,Apuração!A:A,Apuração!B:B),0)</f>
        <v>0.5</v>
      </c>
    </row>
    <row r="724" spans="1:71" ht="25.95" hidden="1" customHeight="1" x14ac:dyDescent="0.3">
      <c r="A724" s="25" t="s">
        <v>134</v>
      </c>
      <c r="B724" s="15" t="s">
        <v>150</v>
      </c>
      <c r="C724" s="5" t="s">
        <v>97</v>
      </c>
      <c r="D724" s="5" t="s">
        <v>105</v>
      </c>
      <c r="E724" s="4" t="str" cm="1">
        <f t="array" ref="E724">_xlfn.IFS(
F724 = "A partir de Abril", "Aguardando Execução na Distribuidora",
A724 = "CAPACITAÇÃO", "Em execução no Corporativo",
TRUE, "Em Execução na Distribuidora"
)</f>
        <v>Em Execução na Distribuidora</v>
      </c>
      <c r="F724" s="4" t="str" cm="1">
        <f t="array" ref="F724">_xlfn.IFS(
AG724 &lt;&gt; "", "Jan-Dez/26",
AH724 &lt;&gt; "", "Fev-Dez/26",
AI724 &lt;&gt; "", "Mar-Dez/26", AJ724 &lt;&gt; "", "Abr-Dez/26",
TRUE, "A partir de Junho"
)</f>
        <v>Jan-Dez/26</v>
      </c>
      <c r="G724" s="15" t="s">
        <v>37</v>
      </c>
      <c r="H724" s="27" t="s">
        <v>54</v>
      </c>
      <c r="I724" s="28" t="s">
        <v>124</v>
      </c>
      <c r="J724" s="8" t="str" cm="1">
        <f t="array" aca="1" ref="J724" ca="1">_xlfn.LET(
  _xlpm.actual_value_month, INDEX(T724:AE724, MATCH(DATE(YEAR(TODAY()), MONTH(TODAY()), 1), $T$1:$AE$1, 0)),
  IF(_xlpm.actual_value_month &lt;&gt; "",_xlpm.actual_value_month &amp; " reuniões mensais", "")
)</f>
        <v/>
      </c>
      <c r="K724" s="8" t="str" cm="1">
        <f t="array" ref="K724">_xlfn.LET(
    _xlpm.sum_month, SUM(T724:AE724),
    IF(_xlpm.sum_month = 0, "", _xlpm.sum_month &amp; " atividades no ano")
)</f>
        <v>134 atividades no ano</v>
      </c>
      <c r="L724" s="29" t="s">
        <v>125</v>
      </c>
      <c r="M724" s="30" t="s">
        <v>151</v>
      </c>
      <c r="N724" s="66" t="s">
        <v>42</v>
      </c>
      <c r="O724" s="111" t="s">
        <v>52</v>
      </c>
      <c r="P724" s="31" t="s">
        <v>44</v>
      </c>
      <c r="Q724" s="31" t="s">
        <v>72</v>
      </c>
      <c r="R724" s="32" t="s">
        <v>44</v>
      </c>
      <c r="S724" s="32" t="s">
        <v>44</v>
      </c>
      <c r="T724" s="22">
        <v>25</v>
      </c>
      <c r="U724" s="22">
        <v>24</v>
      </c>
      <c r="V724" s="22">
        <v>26</v>
      </c>
      <c r="W724" s="22">
        <v>27</v>
      </c>
      <c r="X724" s="22">
        <v>32</v>
      </c>
      <c r="Y724" s="22"/>
      <c r="Z724" s="22"/>
      <c r="AA724" s="22"/>
      <c r="AB724" s="22"/>
      <c r="AC724" s="22"/>
      <c r="AD724" s="22"/>
      <c r="AE724" s="22"/>
      <c r="AG724" s="146">
        <v>25</v>
      </c>
      <c r="AH724" s="146">
        <v>24</v>
      </c>
      <c r="AI724" s="146">
        <v>26</v>
      </c>
      <c r="AJ724" s="146">
        <v>27</v>
      </c>
      <c r="AK724" s="71">
        <v>32</v>
      </c>
      <c r="AL724" s="71"/>
      <c r="AM724" s="71"/>
      <c r="AN724" s="71"/>
      <c r="AO724" s="71"/>
      <c r="AP724" s="71"/>
      <c r="AQ724" s="71"/>
      <c r="AR724" s="71"/>
      <c r="AS724" s="94">
        <f t="shared" ca="1" si="1020"/>
        <v>134</v>
      </c>
      <c r="AT724" s="95">
        <f t="shared" si="1021"/>
        <v>134</v>
      </c>
      <c r="AU724" s="97">
        <f t="shared" si="1022"/>
        <v>134</v>
      </c>
      <c r="AW724" s="51">
        <f t="shared" si="1023"/>
        <v>1</v>
      </c>
      <c r="AX724" s="51">
        <f t="shared" si="1024"/>
        <v>1</v>
      </c>
      <c r="AY724" s="51">
        <f t="shared" si="1025"/>
        <v>1</v>
      </c>
      <c r="AZ724" s="51">
        <f t="shared" si="1026"/>
        <v>1</v>
      </c>
      <c r="BA724" s="51">
        <f t="shared" si="1019"/>
        <v>1</v>
      </c>
      <c r="BB724" s="51"/>
      <c r="BC724" s="51"/>
      <c r="BD724" s="51"/>
      <c r="BE724" s="51"/>
      <c r="BF724" s="51"/>
      <c r="BG724" s="51"/>
      <c r="BH724" s="51"/>
      <c r="BI724" s="65" cm="1">
        <f t="array" ref="BI724">IFERROR(INDEX(AW724:BH724,1,MATCH(2,1/(AW724:BH724&lt;&gt;""))),"")</f>
        <v>1</v>
      </c>
      <c r="BJ724" s="68" cm="1">
        <f t="array" ref="BJ724">IF(BM724 = "", "",IFERROR(INDEX(AW724:BH724,1,MATCH(2,1/(AW724:BH724&lt;&gt;""),1)-1),""))</f>
        <v>1</v>
      </c>
      <c r="BK724" s="58">
        <f>IF((IF(AW724&gt;=115%,115%,AW724) + IF(AX724&gt;=115%,115%,AX724) + IF(AY724&gt;=115%,115%,AY724) + (IF(AZ724&gt;=115%,115%,AZ724) + IF(BA724&gt;=115%,115%,BA724) + IF(BB724&gt;=115%,115%,BB724) + IF(BC724&gt;=115%,115%,BC724) + IF(BD724&gt;=115%,115%,BD724) + IF(BE724&gt;=115%,115%,BE724) + IF(BF724&gt;=115%,115%,BF724) + IF(BG724&gt;=115%,115%,BG724) + IF(BH724&gt;=115%,115%,BH724)))/_xlfn.XLOOKUP(F724,Apuração!A:A,Apuração!B:B)&gt;=1.15,1.15,((IF(AZ724&gt;=115%,115%,AZ724) + IF(AX724&gt;=115%,115%,AX724) + IF(AY724&gt;=115%,115%,AY724) + (IF(AW724&gt;=115%,115%,AW724) + IF(BA724&gt;=115%,115%,BA724) + IF(BB724&gt;=115%,115%,BB724) + IF(BC724&gt;=115%,115%,BC724) + IF(BD724&gt;=115%,115%,BD724) + IF(BE724&gt;=115%,115%,BE724) + IF(BF724&gt;=115%,115%,BF724) + IF(BG724&gt;=115%,115%,BG724) + IF(BH724&gt;=115%,115%,BH724)))/_xlfn.XLOOKUP(F724,Apuração!A:A,Apuração!B:B)))</f>
        <v>0.41666666666666669</v>
      </c>
      <c r="BL724" s="58" cm="1">
        <f t="array" aca="1" ref="BL724" ca="1">IF(SUM(IFERROR(IF(INDEX(AW724:INDEX(AW724:BH724, MATCH(2, 1/(AW724:BH724&lt;&gt;""), 1)-1), ROW(INDIRECT("1:" &amp; MATCH(2, 1/(AW724:BH724&lt;&gt;""), 1)-1))) &gt;= 115%, 115%, INDEX(AW724:INDEX(AW724:BH724, MATCH(2, 1/(AW724:BH724&lt;&gt;""), 1)-1), ROW(INDIRECT("1:" &amp; MATCH(2, 1/(AW724:BH724&lt;&gt;""), 1)-1)))), 0))/_xlfn.XLOOKUP(F724,Apuração!A:A,Apuração!B:B)&gt;=1.15,1.15,SUM(IFERROR(IF(INDEX(AW724:INDEX(AW724:BH724, MATCH(2, 1/(AW724:BH724&lt;&gt;""), 1)-1), ROW(INDIRECT("1:" &amp; MATCH(2, 1/(AW724:BH724&lt;&gt;""), 1)-1))) &gt;= 115%, 115%, INDEX(AW724:INDEX(AW724:BH724, MATCH(2, 1/(AW724:BH724&lt;&gt;""), 1)-1), ROW(INDIRECT("1:" &amp; MATCH(2, 1/(AW724:BH724&lt;&gt;""), 1)-1)))), 0))/_xlfn.XLOOKUP(F724,Apuração!A:A,Apuração!B:B))</f>
        <v>0.33333333333333331</v>
      </c>
      <c r="BM724" s="55" cm="1">
        <f t="array" ref="BM724">IFERROR(
   INDEX($AW$1:$BH$1,
      _xlfn.AGGREGATE(14, 6, COLUMN($AW$1:$BH$1)/(AW724:BH724&lt;&gt;""), 2) - COLUMN($AW$1) + 1
   ),
"")</f>
        <v>46113</v>
      </c>
      <c r="BN724" s="55" cm="1">
        <f t="array" ref="BN724">IFERROR(INDEX($AW$1:$BH$1,1,MATCH(2,1/(AW724:BH724&lt;&gt;""))),"")</f>
        <v>46143</v>
      </c>
      <c r="BO724" s="53">
        <f ca="1">IFERROR(_xlfn.XLOOKUP(F724,Apuração!A:A,Apuração!C:C)/_xlfn.XLOOKUP(F724,Apuração!A:A,Apuração!B:B),0)</f>
        <v>0.41666666666666669</v>
      </c>
      <c r="BP724" s="53">
        <f ca="1">IFERROR(_xlfn.XLOOKUP(F724,Apuração!A:A,Apuração!D:D)/_xlfn.XLOOKUP(F724,Apuração!A:A,Apuração!B:B),0)</f>
        <v>0.33333333333333331</v>
      </c>
      <c r="BQ724" s="53">
        <f ca="1">IF(BK724&gt;=BO724,0,_xlfn.XLOOKUP(F724,Apuração!A:A,Apuração!B:B)*(BO724 + (1/_xlfn.XLOOKUP(F724,Apuração!A:A,Apuração!B:B)) - BK724))</f>
        <v>0</v>
      </c>
      <c r="BR724" s="85">
        <f t="shared" ca="1" si="1027"/>
        <v>0</v>
      </c>
      <c r="BS724" s="53">
        <f ca="1">IFERROR((_xlfn.XLOOKUP(F724,Apuração!A:A,Apuração!C:C)+1)/_xlfn.XLOOKUP(F724,Apuração!A:A,Apuração!B:B),0)</f>
        <v>0.5</v>
      </c>
    </row>
    <row r="725" spans="1:71" ht="25.95" hidden="1" customHeight="1" x14ac:dyDescent="0.3">
      <c r="A725" s="25" t="s">
        <v>134</v>
      </c>
      <c r="B725" s="15" t="s">
        <v>150</v>
      </c>
      <c r="C725" s="5" t="s">
        <v>97</v>
      </c>
      <c r="D725" s="5" t="s">
        <v>106</v>
      </c>
      <c r="E725" s="4" t="str" cm="1">
        <f t="array" ref="E725">_xlfn.IFS(
F725 = "A partir de Abril", "Aguardando Execução na Distribuidora",
A725 = "CAPACITAÇÃO", "Em execução no Corporativo",
TRUE, "Em Execução na Distribuidora"
)</f>
        <v>Em Execução na Distribuidora</v>
      </c>
      <c r="F725" s="4" t="str" cm="1">
        <f t="array" ref="F725">_xlfn.IFS(
AG725 &lt;&gt; "", "Jan-Dez/26",
AH725 &lt;&gt; "", "Fev-Dez/26",
AI725 &lt;&gt; "", "Mar-Dez/26", AJ725 &lt;&gt; "", "Abr-Dez/26",
TRUE, "A partir de Junho"
)</f>
        <v>Jan-Dez/26</v>
      </c>
      <c r="G725" s="15" t="s">
        <v>37</v>
      </c>
      <c r="H725" s="27" t="s">
        <v>54</v>
      </c>
      <c r="I725" s="28" t="s">
        <v>124</v>
      </c>
      <c r="J725" s="8" t="str" cm="1">
        <f t="array" aca="1" ref="J725" ca="1">_xlfn.LET(
  _xlpm.actual_value_month, INDEX(T725:AE725, MATCH(DATE(YEAR(TODAY()), MONTH(TODAY()), 1), $T$1:$AE$1, 0)),
  IF(_xlpm.actual_value_month &lt;&gt; "",_xlpm.actual_value_month &amp; " reuniões mensais", "")
)</f>
        <v/>
      </c>
      <c r="K725" s="8" t="str" cm="1">
        <f t="array" ref="K725">_xlfn.LET(
    _xlpm.sum_month, SUM(T725:AE725),
    IF(_xlpm.sum_month = 0, "", _xlpm.sum_month &amp; " atividades no ano")
)</f>
        <v>219 atividades no ano</v>
      </c>
      <c r="L725" s="29" t="s">
        <v>125</v>
      </c>
      <c r="M725" s="30" t="s">
        <v>151</v>
      </c>
      <c r="N725" s="66" t="s">
        <v>42</v>
      </c>
      <c r="O725" s="111" t="s">
        <v>52</v>
      </c>
      <c r="P725" s="31" t="s">
        <v>44</v>
      </c>
      <c r="Q725" s="31" t="s">
        <v>72</v>
      </c>
      <c r="R725" s="32" t="s">
        <v>44</v>
      </c>
      <c r="S725" s="32" t="s">
        <v>44</v>
      </c>
      <c r="T725" s="22">
        <v>42</v>
      </c>
      <c r="U725" s="22">
        <v>47</v>
      </c>
      <c r="V725" s="22">
        <v>48</v>
      </c>
      <c r="W725" s="22">
        <v>44</v>
      </c>
      <c r="X725" s="22">
        <v>38</v>
      </c>
      <c r="Y725" s="22"/>
      <c r="Z725" s="22"/>
      <c r="AA725" s="22"/>
      <c r="AB725" s="22"/>
      <c r="AC725" s="22"/>
      <c r="AD725" s="22"/>
      <c r="AE725" s="22"/>
      <c r="AG725" s="146">
        <v>42</v>
      </c>
      <c r="AH725" s="146">
        <v>47</v>
      </c>
      <c r="AI725" s="146">
        <v>48</v>
      </c>
      <c r="AJ725" s="146">
        <v>44</v>
      </c>
      <c r="AK725" s="71">
        <v>38</v>
      </c>
      <c r="AL725" s="71"/>
      <c r="AM725" s="71"/>
      <c r="AN725" s="71"/>
      <c r="AO725" s="71"/>
      <c r="AP725" s="71"/>
      <c r="AQ725" s="71"/>
      <c r="AR725" s="71"/>
      <c r="AS725" s="94">
        <f t="shared" ca="1" si="1020"/>
        <v>219</v>
      </c>
      <c r="AT725" s="95">
        <f t="shared" si="1021"/>
        <v>219</v>
      </c>
      <c r="AU725" s="97">
        <f t="shared" si="1022"/>
        <v>219</v>
      </c>
      <c r="AW725" s="51">
        <f t="shared" si="1023"/>
        <v>1</v>
      </c>
      <c r="AX725" s="51">
        <f t="shared" si="1024"/>
        <v>1</v>
      </c>
      <c r="AY725" s="51">
        <f t="shared" si="1025"/>
        <v>1</v>
      </c>
      <c r="AZ725" s="51">
        <f t="shared" si="1026"/>
        <v>1</v>
      </c>
      <c r="BA725" s="51">
        <f t="shared" si="1019"/>
        <v>1</v>
      </c>
      <c r="BB725" s="51"/>
      <c r="BC725" s="51"/>
      <c r="BD725" s="51"/>
      <c r="BE725" s="51"/>
      <c r="BF725" s="51"/>
      <c r="BG725" s="51"/>
      <c r="BH725" s="51"/>
      <c r="BI725" s="65" cm="1">
        <f t="array" ref="BI725">IFERROR(INDEX(AW725:BH725,1,MATCH(2,1/(AW725:BH725&lt;&gt;""))),"")</f>
        <v>1</v>
      </c>
      <c r="BJ725" s="68" cm="1">
        <f t="array" ref="BJ725">IF(BM725 = "", "",IFERROR(INDEX(AW725:BH725,1,MATCH(2,1/(AW725:BH725&lt;&gt;""),1)-1),""))</f>
        <v>1</v>
      </c>
      <c r="BK725" s="58">
        <f>IF((IF(AW725&gt;=115%,115%,AW725) + IF(AX725&gt;=115%,115%,AX725) + IF(AY725&gt;=115%,115%,AY725) + (IF(AZ725&gt;=115%,115%,AZ725) + IF(BA725&gt;=115%,115%,BA725) + IF(BB725&gt;=115%,115%,BB725) + IF(BC725&gt;=115%,115%,BC725) + IF(BD725&gt;=115%,115%,BD725) + IF(BE725&gt;=115%,115%,BE725) + IF(BF725&gt;=115%,115%,BF725) + IF(BG725&gt;=115%,115%,BG725) + IF(BH725&gt;=115%,115%,BH725)))/_xlfn.XLOOKUP(F725,Apuração!A:A,Apuração!B:B)&gt;=1.15,1.15,((IF(AZ725&gt;=115%,115%,AZ725) + IF(AX725&gt;=115%,115%,AX725) + IF(AY725&gt;=115%,115%,AY725) + (IF(AW725&gt;=115%,115%,AW725) + IF(BA725&gt;=115%,115%,BA725) + IF(BB725&gt;=115%,115%,BB725) + IF(BC725&gt;=115%,115%,BC725) + IF(BD725&gt;=115%,115%,BD725) + IF(BE725&gt;=115%,115%,BE725) + IF(BF725&gt;=115%,115%,BF725) + IF(BG725&gt;=115%,115%,BG725) + IF(BH725&gt;=115%,115%,BH725)))/_xlfn.XLOOKUP(F725,Apuração!A:A,Apuração!B:B)))</f>
        <v>0.41666666666666669</v>
      </c>
      <c r="BL725" s="58" cm="1">
        <f t="array" aca="1" ref="BL725" ca="1">IF(SUM(IFERROR(IF(INDEX(AW725:INDEX(AW725:BH725, MATCH(2, 1/(AW725:BH725&lt;&gt;""), 1)-1), ROW(INDIRECT("1:" &amp; MATCH(2, 1/(AW725:BH725&lt;&gt;""), 1)-1))) &gt;= 115%, 115%, INDEX(AW725:INDEX(AW725:BH725, MATCH(2, 1/(AW725:BH725&lt;&gt;""), 1)-1), ROW(INDIRECT("1:" &amp; MATCH(2, 1/(AW725:BH725&lt;&gt;""), 1)-1)))), 0))/_xlfn.XLOOKUP(F725,Apuração!A:A,Apuração!B:B)&gt;=1.15,1.15,SUM(IFERROR(IF(INDEX(AW725:INDEX(AW725:BH725, MATCH(2, 1/(AW725:BH725&lt;&gt;""), 1)-1), ROW(INDIRECT("1:" &amp; MATCH(2, 1/(AW725:BH725&lt;&gt;""), 1)-1))) &gt;= 115%, 115%, INDEX(AW725:INDEX(AW725:BH725, MATCH(2, 1/(AW725:BH725&lt;&gt;""), 1)-1), ROW(INDIRECT("1:" &amp; MATCH(2, 1/(AW725:BH725&lt;&gt;""), 1)-1)))), 0))/_xlfn.XLOOKUP(F725,Apuração!A:A,Apuração!B:B))</f>
        <v>0.33333333333333331</v>
      </c>
      <c r="BM725" s="55" cm="1">
        <f t="array" ref="BM725">IFERROR(
   INDEX($AW$1:$BH$1,
      _xlfn.AGGREGATE(14, 6, COLUMN($AW$1:$BH$1)/(AW725:BH725&lt;&gt;""), 2) - COLUMN($AW$1) + 1
   ),
"")</f>
        <v>46113</v>
      </c>
      <c r="BN725" s="55" cm="1">
        <f t="array" ref="BN725">IFERROR(INDEX($AW$1:$BH$1,1,MATCH(2,1/(AW725:BH725&lt;&gt;""))),"")</f>
        <v>46143</v>
      </c>
      <c r="BO725" s="53">
        <f ca="1">IFERROR(_xlfn.XLOOKUP(F725,Apuração!A:A,Apuração!C:C)/_xlfn.XLOOKUP(F725,Apuração!A:A,Apuração!B:B),0)</f>
        <v>0.41666666666666669</v>
      </c>
      <c r="BP725" s="53">
        <f ca="1">IFERROR(_xlfn.XLOOKUP(F725,Apuração!A:A,Apuração!D:D)/_xlfn.XLOOKUP(F725,Apuração!A:A,Apuração!B:B),0)</f>
        <v>0.33333333333333331</v>
      </c>
      <c r="BQ725" s="53">
        <f ca="1">IF(BK725&gt;=BO725,0,_xlfn.XLOOKUP(F725,Apuração!A:A,Apuração!B:B)*(BO725 + (1/_xlfn.XLOOKUP(F725,Apuração!A:A,Apuração!B:B)) - BK725))</f>
        <v>0</v>
      </c>
      <c r="BR725" s="85">
        <f t="shared" ca="1" si="1027"/>
        <v>0</v>
      </c>
      <c r="BS725" s="53">
        <f ca="1">IFERROR((_xlfn.XLOOKUP(F725,Apuração!A:A,Apuração!C:C)+1)/_xlfn.XLOOKUP(F725,Apuração!A:A,Apuração!B:B),0)</f>
        <v>0.5</v>
      </c>
    </row>
    <row r="726" spans="1:71" ht="25.95" hidden="1" customHeight="1" x14ac:dyDescent="0.3">
      <c r="A726" s="25" t="s">
        <v>134</v>
      </c>
      <c r="B726" s="15" t="s">
        <v>150</v>
      </c>
      <c r="C726" s="5" t="s">
        <v>97</v>
      </c>
      <c r="D726" s="5" t="s">
        <v>107</v>
      </c>
      <c r="E726" s="4" t="str" cm="1">
        <f t="array" ref="E726">_xlfn.IFS(
F726 = "A partir de Abril", "Aguardando Execução na Distribuidora",
A726 = "CAPACITAÇÃO", "Em execução no Corporativo",
TRUE, "Em Execução na Distribuidora"
)</f>
        <v>Em Execução na Distribuidora</v>
      </c>
      <c r="F726" s="4" t="str" cm="1">
        <f t="array" ref="F726">_xlfn.IFS(
AG726 &lt;&gt; "", "Jan-Dez/26",
AH726 &lt;&gt; "", "Fev-Dez/26",
AI726 &lt;&gt; "", "Mar-Dez/26", AJ726 &lt;&gt; "", "Abr-Dez/26",
TRUE, "A partir de Junho"
)</f>
        <v>Jan-Dez/26</v>
      </c>
      <c r="G726" s="15" t="s">
        <v>37</v>
      </c>
      <c r="H726" s="27" t="s">
        <v>54</v>
      </c>
      <c r="I726" s="28" t="s">
        <v>124</v>
      </c>
      <c r="J726" s="8" t="str" cm="1">
        <f t="array" aca="1" ref="J726" ca="1">_xlfn.LET(
  _xlpm.actual_value_month, INDEX(T726:AE726, MATCH(DATE(YEAR(TODAY()), MONTH(TODAY()), 1), $T$1:$AE$1, 0)),
  IF(_xlpm.actual_value_month &lt;&gt; "",_xlpm.actual_value_month &amp; " reuniões mensais", "")
)</f>
        <v/>
      </c>
      <c r="K726" s="8" t="str" cm="1">
        <f t="array" ref="K726">_xlfn.LET(
    _xlpm.sum_month, SUM(T726:AE726),
    IF(_xlpm.sum_month = 0, "", _xlpm.sum_month &amp; " atividades no ano")
)</f>
        <v>128 atividades no ano</v>
      </c>
      <c r="L726" s="29" t="s">
        <v>125</v>
      </c>
      <c r="M726" s="30" t="s">
        <v>151</v>
      </c>
      <c r="N726" s="66" t="s">
        <v>42</v>
      </c>
      <c r="O726" s="111" t="s">
        <v>52</v>
      </c>
      <c r="P726" s="31" t="s">
        <v>44</v>
      </c>
      <c r="Q726" s="31" t="s">
        <v>72</v>
      </c>
      <c r="R726" s="32" t="s">
        <v>44</v>
      </c>
      <c r="S726" s="32" t="s">
        <v>44</v>
      </c>
      <c r="T726" s="22">
        <v>35</v>
      </c>
      <c r="U726" s="22">
        <v>32</v>
      </c>
      <c r="V726" s="22">
        <v>6</v>
      </c>
      <c r="W726" s="22">
        <v>22</v>
      </c>
      <c r="X726" s="22">
        <v>33</v>
      </c>
      <c r="Y726" s="22"/>
      <c r="Z726" s="22"/>
      <c r="AA726" s="22"/>
      <c r="AB726" s="22"/>
      <c r="AC726" s="22"/>
      <c r="AD726" s="22"/>
      <c r="AE726" s="22"/>
      <c r="AG726" s="146">
        <v>35</v>
      </c>
      <c r="AH726" s="146">
        <v>32</v>
      </c>
      <c r="AI726" s="146">
        <v>6</v>
      </c>
      <c r="AJ726" s="146">
        <v>22</v>
      </c>
      <c r="AK726" s="71">
        <v>33</v>
      </c>
      <c r="AL726" s="71"/>
      <c r="AM726" s="71"/>
      <c r="AN726" s="71"/>
      <c r="AO726" s="71"/>
      <c r="AP726" s="71"/>
      <c r="AQ726" s="71"/>
      <c r="AR726" s="71"/>
      <c r="AS726" s="94">
        <f t="shared" ca="1" si="1020"/>
        <v>128</v>
      </c>
      <c r="AT726" s="95">
        <f t="shared" si="1021"/>
        <v>128</v>
      </c>
      <c r="AU726" s="97">
        <f t="shared" si="1022"/>
        <v>128</v>
      </c>
      <c r="AW726" s="51">
        <f t="shared" si="1023"/>
        <v>1</v>
      </c>
      <c r="AX726" s="51">
        <f t="shared" si="1024"/>
        <v>1</v>
      </c>
      <c r="AY726" s="51">
        <f t="shared" si="1025"/>
        <v>1</v>
      </c>
      <c r="AZ726" s="51">
        <f t="shared" si="1026"/>
        <v>1</v>
      </c>
      <c r="BA726" s="51">
        <f t="shared" si="1019"/>
        <v>1</v>
      </c>
      <c r="BB726" s="51"/>
      <c r="BC726" s="51"/>
      <c r="BD726" s="51"/>
      <c r="BE726" s="51"/>
      <c r="BF726" s="51"/>
      <c r="BG726" s="51"/>
      <c r="BH726" s="51"/>
      <c r="BI726" s="65" cm="1">
        <f t="array" ref="BI726">IFERROR(INDEX(AW726:BH726,1,MATCH(2,1/(AW726:BH726&lt;&gt;""))),"")</f>
        <v>1</v>
      </c>
      <c r="BJ726" s="68" cm="1">
        <f t="array" ref="BJ726">IF(BM726 = "", "",IFERROR(INDEX(AW726:BH726,1,MATCH(2,1/(AW726:BH726&lt;&gt;""),1)-1),""))</f>
        <v>1</v>
      </c>
      <c r="BK726" s="58">
        <f>IF((IF(AW726&gt;=115%,115%,AW726) + IF(AX726&gt;=115%,115%,AX726) + IF(AY726&gt;=115%,115%,AY726) + (IF(AZ726&gt;=115%,115%,AZ726) + IF(BA726&gt;=115%,115%,BA726) + IF(BB726&gt;=115%,115%,BB726) + IF(BC726&gt;=115%,115%,BC726) + IF(BD726&gt;=115%,115%,BD726) + IF(BE726&gt;=115%,115%,BE726) + IF(BF726&gt;=115%,115%,BF726) + IF(BG726&gt;=115%,115%,BG726) + IF(BH726&gt;=115%,115%,BH726)))/_xlfn.XLOOKUP(F726,Apuração!A:A,Apuração!B:B)&gt;=1.15,1.15,((IF(AZ726&gt;=115%,115%,AZ726) + IF(AX726&gt;=115%,115%,AX726) + IF(AY726&gt;=115%,115%,AY726) + (IF(AW726&gt;=115%,115%,AW726) + IF(BA726&gt;=115%,115%,BA726) + IF(BB726&gt;=115%,115%,BB726) + IF(BC726&gt;=115%,115%,BC726) + IF(BD726&gt;=115%,115%,BD726) + IF(BE726&gt;=115%,115%,BE726) + IF(BF726&gt;=115%,115%,BF726) + IF(BG726&gt;=115%,115%,BG726) + IF(BH726&gt;=115%,115%,BH726)))/_xlfn.XLOOKUP(F726,Apuração!A:A,Apuração!B:B)))</f>
        <v>0.41666666666666669</v>
      </c>
      <c r="BL726" s="58" cm="1">
        <f t="array" aca="1" ref="BL726" ca="1">IF(SUM(IFERROR(IF(INDEX(AW726:INDEX(AW726:BH726, MATCH(2, 1/(AW726:BH726&lt;&gt;""), 1)-1), ROW(INDIRECT("1:" &amp; MATCH(2, 1/(AW726:BH726&lt;&gt;""), 1)-1))) &gt;= 115%, 115%, INDEX(AW726:INDEX(AW726:BH726, MATCH(2, 1/(AW726:BH726&lt;&gt;""), 1)-1), ROW(INDIRECT("1:" &amp; MATCH(2, 1/(AW726:BH726&lt;&gt;""), 1)-1)))), 0))/_xlfn.XLOOKUP(F726,Apuração!A:A,Apuração!B:B)&gt;=1.15,1.15,SUM(IFERROR(IF(INDEX(AW726:INDEX(AW726:BH726, MATCH(2, 1/(AW726:BH726&lt;&gt;""), 1)-1), ROW(INDIRECT("1:" &amp; MATCH(2, 1/(AW726:BH726&lt;&gt;""), 1)-1))) &gt;= 115%, 115%, INDEX(AW726:INDEX(AW726:BH726, MATCH(2, 1/(AW726:BH726&lt;&gt;""), 1)-1), ROW(INDIRECT("1:" &amp; MATCH(2, 1/(AW726:BH726&lt;&gt;""), 1)-1)))), 0))/_xlfn.XLOOKUP(F726,Apuração!A:A,Apuração!B:B))</f>
        <v>0.33333333333333331</v>
      </c>
      <c r="BM726" s="55" cm="1">
        <f t="array" ref="BM726">IFERROR(
   INDEX($AW$1:$BH$1,
      _xlfn.AGGREGATE(14, 6, COLUMN($AW$1:$BH$1)/(AW726:BH726&lt;&gt;""), 2) - COLUMN($AW$1) + 1
   ),
"")</f>
        <v>46113</v>
      </c>
      <c r="BN726" s="55" cm="1">
        <f t="array" ref="BN726">IFERROR(INDEX($AW$1:$BH$1,1,MATCH(2,1/(AW726:BH726&lt;&gt;""))),"")</f>
        <v>46143</v>
      </c>
      <c r="BO726" s="53">
        <f ca="1">IFERROR(_xlfn.XLOOKUP(F726,Apuração!A:A,Apuração!C:C)/_xlfn.XLOOKUP(F726,Apuração!A:A,Apuração!B:B),0)</f>
        <v>0.41666666666666669</v>
      </c>
      <c r="BP726" s="53">
        <f ca="1">IFERROR(_xlfn.XLOOKUP(F726,Apuração!A:A,Apuração!D:D)/_xlfn.XLOOKUP(F726,Apuração!A:A,Apuração!B:B),0)</f>
        <v>0.33333333333333331</v>
      </c>
      <c r="BQ726" s="53">
        <f ca="1">IF(BK726&gt;=BO726,0,_xlfn.XLOOKUP(F726,Apuração!A:A,Apuração!B:B)*(BO726 + (1/_xlfn.XLOOKUP(F726,Apuração!A:A,Apuração!B:B)) - BK726))</f>
        <v>0</v>
      </c>
      <c r="BR726" s="85">
        <f t="shared" ca="1" si="1027"/>
        <v>0</v>
      </c>
      <c r="BS726" s="53">
        <f ca="1">IFERROR((_xlfn.XLOOKUP(F726,Apuração!A:A,Apuração!C:C)+1)/_xlfn.XLOOKUP(F726,Apuração!A:A,Apuração!B:B),0)</f>
        <v>0.5</v>
      </c>
    </row>
    <row r="727" spans="1:71" ht="25.95" customHeight="1" x14ac:dyDescent="0.3">
      <c r="A727" s="23" t="s">
        <v>134</v>
      </c>
      <c r="B727" s="4" t="s">
        <v>150</v>
      </c>
      <c r="C727" s="5" t="s">
        <v>97</v>
      </c>
      <c r="D727" s="5" t="s">
        <v>36</v>
      </c>
      <c r="E727" s="4" t="str" cm="1">
        <f t="array" ref="E727">_xlfn.IFS(
F727 = "A partir de Abril", "Aguardando Execução na Distribuidora",
A727 = "CAPACITAÇÃO", "Em execução no Corporativo",
TRUE, "Em Execução na Distribuidora"
)</f>
        <v>Em Execução na Distribuidora</v>
      </c>
      <c r="F727" s="4" t="str" cm="1">
        <f t="array" ref="F727">_xlfn.IFS(
AG727 &lt;&gt; "", "Jan-Dez/26",
AH727 &lt;&gt; "", "Fev-Dez/26",
AI727 &lt;&gt; "", "Mar-Dez/26", AJ727 &lt;&gt; "", "Abr-Dez/26",
TRUE, "A partir de Junho"
)</f>
        <v>Jan-Dez/26</v>
      </c>
      <c r="G727" s="4" t="s">
        <v>37</v>
      </c>
      <c r="H727" s="7" t="s">
        <v>54</v>
      </c>
      <c r="I727" s="8" t="s">
        <v>152</v>
      </c>
      <c r="J727" s="8" t="str" cm="1">
        <f t="array" aca="1" ref="J727" ca="1">_xlfn.LET(
  _xlpm.actual_value_month, INDEX(T727:AE727, MATCH(DATE(YEAR(TODAY()), MONTH(TODAY()), 1), $T$1:$AE$1, 0)),
  IF(_xlpm.actual_value_month &lt;&gt; "",_xlpm.actual_value_month &amp; " ações mensais", "")
)</f>
        <v/>
      </c>
      <c r="K727" s="8" t="str" cm="1">
        <f t="array" ref="K727">_xlfn.LET(
    _xlpm.sum_month, SUM(T727:AE727),
    IF(_xlpm.sum_month = 0, "", _xlpm.sum_month &amp; " reuniões ordinárias no ano")
)</f>
        <v/>
      </c>
      <c r="L727" s="9" t="s">
        <v>153</v>
      </c>
      <c r="M727" s="24">
        <v>1</v>
      </c>
      <c r="N727" s="67" t="s">
        <v>51</v>
      </c>
      <c r="O727" s="5" t="s">
        <v>52</v>
      </c>
      <c r="P727" s="10" t="s">
        <v>44</v>
      </c>
      <c r="Q727" s="10" t="s">
        <v>72</v>
      </c>
      <c r="R727" s="11" t="s">
        <v>44</v>
      </c>
      <c r="S727" s="11" t="s">
        <v>44</v>
      </c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G727" s="71">
        <v>14</v>
      </c>
      <c r="AH727" s="71">
        <v>14</v>
      </c>
      <c r="AI727" s="71">
        <v>13</v>
      </c>
      <c r="AJ727" s="71">
        <v>13</v>
      </c>
      <c r="AK727" s="71">
        <v>13</v>
      </c>
      <c r="AL727" s="71"/>
      <c r="AM727" s="71"/>
      <c r="AN727" s="71"/>
      <c r="AO727" s="71"/>
      <c r="AP727" s="71"/>
      <c r="AQ727" s="71"/>
      <c r="AR727" s="71"/>
      <c r="AS727" s="94">
        <f t="shared" ca="1" si="966"/>
        <v>0</v>
      </c>
      <c r="AT727" s="95">
        <f>SUM(AG727:AR727)</f>
        <v>67</v>
      </c>
      <c r="AU727" s="97">
        <f t="shared" si="967"/>
        <v>67</v>
      </c>
      <c r="AW727" s="83">
        <f>AG727</f>
        <v>14</v>
      </c>
      <c r="AX727" s="83">
        <f t="shared" ref="AX727:AX749" si="1028">AH727</f>
        <v>14</v>
      </c>
      <c r="AY727" s="83">
        <f t="shared" ref="AY727:AY749" si="1029">AI727</f>
        <v>13</v>
      </c>
      <c r="AZ727" s="83">
        <f t="shared" ref="AZ727:AZ749" si="1030">AJ727</f>
        <v>13</v>
      </c>
      <c r="BA727" s="52"/>
      <c r="BB727" s="52"/>
      <c r="BC727" s="52"/>
      <c r="BD727" s="52"/>
      <c r="BE727" s="52"/>
      <c r="BF727" s="52"/>
      <c r="BG727" s="52"/>
      <c r="BH727" s="52"/>
      <c r="BI727" s="68" cm="1">
        <f t="array" ref="BI727">IFERROR(INDEX(AW727:BH727,1,MATCH(2,1/(AW727:BH727&lt;&gt;""))),"")</f>
        <v>13</v>
      </c>
      <c r="BJ727" s="68" cm="1">
        <f t="array" ref="BJ727">IF(BM727 = "", "",IFERROR(INDEX(AW727:BH727,1,MATCH(2,1/(AW727:BH727&lt;&gt;""),1)-1),""))</f>
        <v>13</v>
      </c>
      <c r="BK727" s="59">
        <f>IF((IF(AW727&gt;=150%,150%,AW727) + IF(AX727&gt;=150%,150%,AX727) + IF(AY727&gt;=150%,150%,AY727) + (IF(AW727&gt;=150%,150%,AW727) + IF(BA727&gt;=150%,150%,BA727) + IF(BB727&gt;=150%,150%,BB727) + IF(BC727&gt;=150%,150%,BC727) + IF(BD727&gt;=150%,150%,BD727) + IF(BE727&gt;=150%,150%,BE727) + IF(BF727&gt;=150%,150%,BF727) + IF(BG727&gt;=150%,150%,BG727) + IF(BH727&gt;=150%,150%,BH727)))/_xlfn.XLOOKUP(F727,Apuração!A:A,Apuração!B:B)&gt;=1.15,1.15,((IF(AW727&gt;=150%,150%,AW727) + IF(AX727&gt;=150%,150%,AX727) + IF(AY727&gt;=150%,150%,AY727) + (IF(AW727&gt;=150%,150%,AW727) + IF(BA727&gt;=150%,150%,BA727) + IF(BB727&gt;=150%,150%,BB727) + IF(BC727&gt;=150%,150%,BC727) + IF(BD727&gt;=150%,150%,BD727) + IF(BE727&gt;=150%,150%,BE727) + IF(BF727&gt;=150%,150%,BF727) + IF(BG727&gt;=150%,150%,BG727) + IF(BH727&gt;=150%,150%,BH727)))/_xlfn.XLOOKUP(F727,Apuração!A:A,Apuração!B:B)))</f>
        <v>0.5</v>
      </c>
      <c r="BL727" s="59" cm="1">
        <f t="array" aca="1" ref="BL727" ca="1">IF(SUM(IFERROR(IF(INDEX(AW727:INDEX(AW727:BH727, MATCH(2, 1/(AW727:BH727&lt;&gt;""), 1)-1), ROW(INDIRECT("1:" &amp; MATCH(2, 1/(AW727:BH727&lt;&gt;""), 1)-1))) &gt;= 150%, 150%, INDEX(AW727:INDEX(AW727:BH727, MATCH(2, 1/(AW727:BH727&lt;&gt;""), 1)-1), ROW(INDIRECT("1:" &amp; MATCH(2, 1/(AW727:BH727&lt;&gt;""), 1)-1)))), 0))/_xlfn.XLOOKUP(F727,Apuração!A:A,Apuração!B:B)&gt;=1.15,1.15,SUM(IFERROR(IF(INDEX(AW727:INDEX(AW727:BH727, MATCH(2, 1/(AW727:BH727&lt;&gt;""), 1)-1), ROW(INDIRECT("1:" &amp; MATCH(2, 1/(AW727:BH727&lt;&gt;""), 1)-1))) &gt;= 150%, 150%, INDEX(AW727:INDEX(AW727:BH727, MATCH(2, 1/(AW727:BH727&lt;&gt;""), 1)-1), ROW(INDIRECT("1:" &amp; MATCH(2, 1/(AW727:BH727&lt;&gt;""), 1)-1)))), 0))/_xlfn.XLOOKUP(F727,Apuração!A:A,Apuração!B:B))</f>
        <v>0.375</v>
      </c>
      <c r="BM727" s="55" cm="1">
        <f t="array" ref="BM727">IFERROR(
   INDEX($AW$1:$BH$1,
      _xlfn.AGGREGATE(14, 6, COLUMN($AW$1:$BH$1)/(AW727:BH727&lt;&gt;""), 2) - COLUMN($AW$1) + 1
   ),
"")</f>
        <v>46082</v>
      </c>
      <c r="BN727" s="55" cm="1">
        <f t="array" ref="BN727">IFERROR(INDEX($AW$1:$BH$1,1,MATCH(2,1/(AW727:BH727&lt;&gt;""))),"")</f>
        <v>46113</v>
      </c>
      <c r="BO727" s="53">
        <f ca="1">IFERROR(_xlfn.XLOOKUP(F727,Apuração!A:A,Apuração!C:C)/_xlfn.XLOOKUP(F727,Apuração!A:A,Apuração!B:B),0)</f>
        <v>0.41666666666666669</v>
      </c>
      <c r="BP727" s="53">
        <f ca="1">IFERROR(_xlfn.XLOOKUP(F727,Apuração!A:A,Apuração!D:D)/_xlfn.XLOOKUP(F727,Apuração!A:A,Apuração!B:B),0)</f>
        <v>0.33333333333333331</v>
      </c>
      <c r="BQ727" s="53">
        <f ca="1">IF(BK727&gt;=BO727,0,_xlfn.XLOOKUP(F727,Apuração!A:A,Apuração!B:B)*(BO727 + (1/_xlfn.XLOOKUP(F727,Apuração!A:A,Apuração!B:B)) - BK727))</f>
        <v>0</v>
      </c>
      <c r="BR727" s="85">
        <f t="shared" ca="1" si="898"/>
        <v>0</v>
      </c>
      <c r="BS727" s="53">
        <f ca="1">IFERROR((_xlfn.XLOOKUP(F727,Apuração!A:A,Apuração!C:C)+1)/_xlfn.XLOOKUP(F727,Apuração!A:A,Apuração!B:B),0)</f>
        <v>0.5</v>
      </c>
    </row>
    <row r="728" spans="1:71" ht="25.95" hidden="1" customHeight="1" x14ac:dyDescent="0.3">
      <c r="A728" s="23" t="s">
        <v>134</v>
      </c>
      <c r="B728" s="4" t="s">
        <v>150</v>
      </c>
      <c r="C728" s="5" t="s">
        <v>97</v>
      </c>
      <c r="D728" s="5" t="s">
        <v>98</v>
      </c>
      <c r="E728" s="4" t="str" cm="1">
        <f t="array" ref="E728">_xlfn.IFS(
F728 = "A partir de Abril", "Aguardando Execução na Distribuidora",
A728 = "CAPACITAÇÃO", "Em execução no Corporativo",
TRUE, "Em Execução na Distribuidora"
)</f>
        <v>Em Execução na Distribuidora</v>
      </c>
      <c r="F728" s="4" t="str" cm="1">
        <f t="array" ref="F728">_xlfn.IFS(
AG728 &lt;&gt; "", "Jan-Dez/26",
AH728 &lt;&gt; "", "Fev-Dez/26",
AI728 &lt;&gt; "", "Mar-Dez/26", AJ728 &lt;&gt; "", "Abr-Dez/26",
TRUE, "A partir de Junho"
)</f>
        <v>Jan-Dez/26</v>
      </c>
      <c r="G728" s="4" t="s">
        <v>37</v>
      </c>
      <c r="H728" s="7" t="s">
        <v>54</v>
      </c>
      <c r="I728" s="8" t="s">
        <v>152</v>
      </c>
      <c r="J728" s="8" t="str" cm="1">
        <f t="array" aca="1" ref="J728" ca="1">_xlfn.LET(
  _xlpm.actual_value_month, INDEX(T728:AE728, MATCH(DATE(YEAR(TODAY()), MONTH(TODAY()), 1), $T$1:$AE$1, 0)),
  IF(_xlpm.actual_value_month &lt;&gt; "",_xlpm.actual_value_month &amp; " ações mensais", "")
)</f>
        <v/>
      </c>
      <c r="K728" s="8" t="str" cm="1">
        <f t="array" ref="K728">_xlfn.LET(
    _xlpm.sum_month, SUM(T728:AE728),
    IF(_xlpm.sum_month = 0, "", _xlpm.sum_month &amp; " reuniões ordinárias no ano")
)</f>
        <v/>
      </c>
      <c r="L728" s="9" t="s">
        <v>153</v>
      </c>
      <c r="M728" s="24">
        <v>1</v>
      </c>
      <c r="N728" s="67" t="s">
        <v>51</v>
      </c>
      <c r="O728" s="5" t="s">
        <v>52</v>
      </c>
      <c r="P728" s="10" t="s">
        <v>44</v>
      </c>
      <c r="Q728" s="10" t="s">
        <v>72</v>
      </c>
      <c r="R728" s="11" t="s">
        <v>44</v>
      </c>
      <c r="S728" s="11" t="s">
        <v>44</v>
      </c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G728" s="145">
        <v>1</v>
      </c>
      <c r="AH728" s="145">
        <v>1</v>
      </c>
      <c r="AI728" s="145">
        <v>1</v>
      </c>
      <c r="AJ728" s="145">
        <v>1</v>
      </c>
      <c r="AK728" s="71">
        <v>1</v>
      </c>
      <c r="AL728" s="71"/>
      <c r="AM728" s="71"/>
      <c r="AN728" s="71"/>
      <c r="AO728" s="71"/>
      <c r="AP728" s="71"/>
      <c r="AQ728" s="71"/>
      <c r="AR728" s="71"/>
      <c r="AS728" s="94">
        <f t="shared" ref="AS728:AS737" ca="1" si="1031">IF(MONTH(TODAY())=3,SUM(T728:U728),IF(MONTH(TODAY())=4,SUM(T728:V728),IF(MONTH(TODAY())=5,SUM(T728:W728),IF(MONTH(TODAY())=6,SUM(T728:X728),IF(MONTH(TODAY())=7,SUM(T728:Y728),IF(MONTH(TODAY())=8,SUM(T728:Z728),IF(MONTH(TODAY())=9,SUM(T728:AA728),IF(MONTH(TODAY())=10,SUM(T728:AB728),IF(MONTH(TODAY())=11,SUM(T728:AC728),IF(MONTH(TODAY())=12,SUM(T728:AD728),IF(MONTH(TODAY())=1,SUM(T728:AE728),T728)))))))))))</f>
        <v>0</v>
      </c>
      <c r="AT728" s="95">
        <f t="shared" ref="AT728:AT737" si="1032">SUM(AG728:AR728)</f>
        <v>5</v>
      </c>
      <c r="AU728" s="97">
        <f t="shared" ref="AU728:AU737" si="1033">SUM(AG728:AR728)</f>
        <v>5</v>
      </c>
      <c r="AW728" s="83">
        <f t="shared" ref="AW728:AW737" si="1034">AG728</f>
        <v>1</v>
      </c>
      <c r="AX728" s="83">
        <f t="shared" ref="AX728:AX737" si="1035">AH728</f>
        <v>1</v>
      </c>
      <c r="AY728" s="83">
        <f t="shared" ref="AY728:AY737" si="1036">AI728</f>
        <v>1</v>
      </c>
      <c r="AZ728" s="83">
        <f t="shared" ref="AZ728:AZ737" si="1037">AJ728</f>
        <v>1</v>
      </c>
      <c r="BA728" s="52"/>
      <c r="BB728" s="52"/>
      <c r="BC728" s="52"/>
      <c r="BD728" s="52"/>
      <c r="BE728" s="52"/>
      <c r="BF728" s="52"/>
      <c r="BG728" s="52"/>
      <c r="BH728" s="52"/>
      <c r="BI728" s="68" cm="1">
        <f t="array" ref="BI728">IFERROR(INDEX(AW728:BH728,1,MATCH(2,1/(AW728:BH728&lt;&gt;""))),"")</f>
        <v>1</v>
      </c>
      <c r="BJ728" s="68" cm="1">
        <f t="array" ref="BJ728">IF(BM728 = "", "",IFERROR(INDEX(AW728:BH728,1,MATCH(2,1/(AW728:BH728&lt;&gt;""),1)-1),""))</f>
        <v>1</v>
      </c>
      <c r="BK728" s="59">
        <f>IF((IF(AW728&gt;=150%,150%,AW728) + IF(AX728&gt;=150%,150%,AX728) + IF(AY728&gt;=150%,150%,AY728) + (IF(AW728&gt;=150%,150%,AW728) + IF(BA728&gt;=150%,150%,BA728) + IF(BB728&gt;=150%,150%,BB728) + IF(BC728&gt;=150%,150%,BC728) + IF(BD728&gt;=150%,150%,BD728) + IF(BE728&gt;=150%,150%,BE728) + IF(BF728&gt;=150%,150%,BF728) + IF(BG728&gt;=150%,150%,BG728) + IF(BH728&gt;=150%,150%,BH728)))/_xlfn.XLOOKUP(F728,Apuração!A:A,Apuração!B:B)&gt;=1.15,1.15,((IF(AW728&gt;=150%,150%,AW728) + IF(AX728&gt;=150%,150%,AX728) + IF(AY728&gt;=150%,150%,AY728) + (IF(AW728&gt;=150%,150%,AW728) + IF(BA728&gt;=150%,150%,BA728) + IF(BB728&gt;=150%,150%,BB728) + IF(BC728&gt;=150%,150%,BC728) + IF(BD728&gt;=150%,150%,BD728) + IF(BE728&gt;=150%,150%,BE728) + IF(BF728&gt;=150%,150%,BF728) + IF(BG728&gt;=150%,150%,BG728) + IF(BH728&gt;=150%,150%,BH728)))/_xlfn.XLOOKUP(F728,Apuração!A:A,Apuração!B:B)))</f>
        <v>0.33333333333333331</v>
      </c>
      <c r="BL728" s="59" cm="1">
        <f t="array" aca="1" ref="BL728" ca="1">IF(SUM(IFERROR(IF(INDEX(AW728:INDEX(AW728:BH728, MATCH(2, 1/(AW728:BH728&lt;&gt;""), 1)-1), ROW(INDIRECT("1:" &amp; MATCH(2, 1/(AW728:BH728&lt;&gt;""), 1)-1))) &gt;= 150%, 150%, INDEX(AW728:INDEX(AW728:BH728, MATCH(2, 1/(AW728:BH728&lt;&gt;""), 1)-1), ROW(INDIRECT("1:" &amp; MATCH(2, 1/(AW728:BH728&lt;&gt;""), 1)-1)))), 0))/_xlfn.XLOOKUP(F728,Apuração!A:A,Apuração!B:B)&gt;=1.15,1.15,SUM(IFERROR(IF(INDEX(AW728:INDEX(AW728:BH728, MATCH(2, 1/(AW728:BH728&lt;&gt;""), 1)-1), ROW(INDIRECT("1:" &amp; MATCH(2, 1/(AW728:BH728&lt;&gt;""), 1)-1))) &gt;= 150%, 150%, INDEX(AW728:INDEX(AW728:BH728, MATCH(2, 1/(AW728:BH728&lt;&gt;""), 1)-1), ROW(INDIRECT("1:" &amp; MATCH(2, 1/(AW728:BH728&lt;&gt;""), 1)-1)))), 0))/_xlfn.XLOOKUP(F728,Apuração!A:A,Apuração!B:B))</f>
        <v>0.25</v>
      </c>
      <c r="BM728" s="55" cm="1">
        <f t="array" ref="BM728">IFERROR(
   INDEX($AW$1:$BH$1,
      _xlfn.AGGREGATE(14, 6, COLUMN($AW$1:$BH$1)/(AW728:BH728&lt;&gt;""), 2) - COLUMN($AW$1) + 1
   ),
"")</f>
        <v>46082</v>
      </c>
      <c r="BN728" s="55" cm="1">
        <f t="array" ref="BN728">IFERROR(INDEX($AW$1:$BH$1,1,MATCH(2,1/(AW728:BH728&lt;&gt;""))),"")</f>
        <v>46113</v>
      </c>
      <c r="BO728" s="53">
        <f ca="1">IFERROR(_xlfn.XLOOKUP(F728,Apuração!A:A,Apuração!C:C)/_xlfn.XLOOKUP(F728,Apuração!A:A,Apuração!B:B),0)</f>
        <v>0.41666666666666669</v>
      </c>
      <c r="BP728" s="53">
        <f ca="1">IFERROR(_xlfn.XLOOKUP(F728,Apuração!A:A,Apuração!D:D)/_xlfn.XLOOKUP(F728,Apuração!A:A,Apuração!B:B),0)</f>
        <v>0.33333333333333331</v>
      </c>
      <c r="BQ728" s="53">
        <f ca="1">IF(BK728&gt;=BO728,0,_xlfn.XLOOKUP(F728,Apuração!A:A,Apuração!B:B)*(BO728 + (1/_xlfn.XLOOKUP(F728,Apuração!A:A,Apuração!B:B)) - BK728))</f>
        <v>2</v>
      </c>
      <c r="BR728" s="85">
        <f t="shared" ref="BR728:BR737" ca="1" si="1038">IF(BQ728=0,0,BQ728*Z728)</f>
        <v>0</v>
      </c>
      <c r="BS728" s="53">
        <f ca="1">IFERROR((_xlfn.XLOOKUP(F728,Apuração!A:A,Apuração!C:C)+1)/_xlfn.XLOOKUP(F728,Apuração!A:A,Apuração!B:B),0)</f>
        <v>0.5</v>
      </c>
    </row>
    <row r="729" spans="1:71" ht="25.95" hidden="1" customHeight="1" x14ac:dyDescent="0.3">
      <c r="A729" s="23" t="s">
        <v>134</v>
      </c>
      <c r="B729" s="4" t="s">
        <v>150</v>
      </c>
      <c r="C729" s="5" t="s">
        <v>97</v>
      </c>
      <c r="D729" s="5" t="s">
        <v>99</v>
      </c>
      <c r="E729" s="4" t="str" cm="1">
        <f t="array" ref="E729">_xlfn.IFS(
F729 = "A partir de Abril", "Aguardando Execução na Distribuidora",
A729 = "CAPACITAÇÃO", "Em execução no Corporativo",
TRUE, "Em Execução na Distribuidora"
)</f>
        <v>Em Execução na Distribuidora</v>
      </c>
      <c r="F729" s="4" t="str" cm="1">
        <f t="array" ref="F729">_xlfn.IFS(
AG729 &lt;&gt; "", "Jan-Dez/26",
AH729 &lt;&gt; "", "Fev-Dez/26",
AI729 &lt;&gt; "", "Mar-Dez/26", AJ729 &lt;&gt; "", "Abr-Dez/26",
TRUE, "A partir de Junho"
)</f>
        <v>Jan-Dez/26</v>
      </c>
      <c r="G729" s="4" t="s">
        <v>37</v>
      </c>
      <c r="H729" s="7" t="s">
        <v>54</v>
      </c>
      <c r="I729" s="8" t="s">
        <v>152</v>
      </c>
      <c r="J729" s="8" t="str" cm="1">
        <f t="array" aca="1" ref="J729" ca="1">_xlfn.LET(
  _xlpm.actual_value_month, INDEX(T729:AE729, MATCH(DATE(YEAR(TODAY()), MONTH(TODAY()), 1), $T$1:$AE$1, 0)),
  IF(_xlpm.actual_value_month &lt;&gt; "",_xlpm.actual_value_month &amp; " ações mensais", "")
)</f>
        <v/>
      </c>
      <c r="K729" s="8" t="str" cm="1">
        <f t="array" ref="K729">_xlfn.LET(
    _xlpm.sum_month, SUM(T729:AE729),
    IF(_xlpm.sum_month = 0, "", _xlpm.sum_month &amp; " reuniões ordinárias no ano")
)</f>
        <v/>
      </c>
      <c r="L729" s="9" t="s">
        <v>153</v>
      </c>
      <c r="M729" s="24">
        <v>1</v>
      </c>
      <c r="N729" s="67" t="s">
        <v>51</v>
      </c>
      <c r="O729" s="5" t="s">
        <v>52</v>
      </c>
      <c r="P729" s="10" t="s">
        <v>44</v>
      </c>
      <c r="Q729" s="10" t="s">
        <v>72</v>
      </c>
      <c r="R729" s="11" t="s">
        <v>44</v>
      </c>
      <c r="S729" s="11" t="s">
        <v>44</v>
      </c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G729" s="146">
        <v>1</v>
      </c>
      <c r="AH729" s="146">
        <v>1</v>
      </c>
      <c r="AI729" s="146">
        <v>1</v>
      </c>
      <c r="AJ729" s="146">
        <v>1</v>
      </c>
      <c r="AK729" s="71">
        <v>1</v>
      </c>
      <c r="AL729" s="71"/>
      <c r="AM729" s="71"/>
      <c r="AN729" s="71"/>
      <c r="AO729" s="71"/>
      <c r="AP729" s="71"/>
      <c r="AQ729" s="71"/>
      <c r="AR729" s="71"/>
      <c r="AS729" s="94">
        <f t="shared" ca="1" si="1031"/>
        <v>0</v>
      </c>
      <c r="AT729" s="95">
        <f t="shared" si="1032"/>
        <v>5</v>
      </c>
      <c r="AU729" s="97">
        <f t="shared" si="1033"/>
        <v>5</v>
      </c>
      <c r="AW729" s="83">
        <f t="shared" si="1034"/>
        <v>1</v>
      </c>
      <c r="AX729" s="83">
        <f t="shared" si="1035"/>
        <v>1</v>
      </c>
      <c r="AY729" s="83">
        <f t="shared" si="1036"/>
        <v>1</v>
      </c>
      <c r="AZ729" s="83">
        <f t="shared" si="1037"/>
        <v>1</v>
      </c>
      <c r="BA729" s="52"/>
      <c r="BB729" s="52"/>
      <c r="BC729" s="52"/>
      <c r="BD729" s="52"/>
      <c r="BE729" s="52"/>
      <c r="BF729" s="52"/>
      <c r="BG729" s="52"/>
      <c r="BH729" s="52"/>
      <c r="BI729" s="68" cm="1">
        <f t="array" ref="BI729">IFERROR(INDEX(AW729:BH729,1,MATCH(2,1/(AW729:BH729&lt;&gt;""))),"")</f>
        <v>1</v>
      </c>
      <c r="BJ729" s="68" cm="1">
        <f t="array" ref="BJ729">IF(BM729 = "", "",IFERROR(INDEX(AW729:BH729,1,MATCH(2,1/(AW729:BH729&lt;&gt;""),1)-1),""))</f>
        <v>1</v>
      </c>
      <c r="BK729" s="59">
        <f>IF((IF(AW729&gt;=150%,150%,AW729) + IF(AX729&gt;=150%,150%,AX729) + IF(AY729&gt;=150%,150%,AY729) + (IF(AW729&gt;=150%,150%,AW729) + IF(BA729&gt;=150%,150%,BA729) + IF(BB729&gt;=150%,150%,BB729) + IF(BC729&gt;=150%,150%,BC729) + IF(BD729&gt;=150%,150%,BD729) + IF(BE729&gt;=150%,150%,BE729) + IF(BF729&gt;=150%,150%,BF729) + IF(BG729&gt;=150%,150%,BG729) + IF(BH729&gt;=150%,150%,BH729)))/_xlfn.XLOOKUP(F729,Apuração!A:A,Apuração!B:B)&gt;=1.15,1.15,((IF(AW729&gt;=150%,150%,AW729) + IF(AX729&gt;=150%,150%,AX729) + IF(AY729&gt;=150%,150%,AY729) + (IF(AW729&gt;=150%,150%,AW729) + IF(BA729&gt;=150%,150%,BA729) + IF(BB729&gt;=150%,150%,BB729) + IF(BC729&gt;=150%,150%,BC729) + IF(BD729&gt;=150%,150%,BD729) + IF(BE729&gt;=150%,150%,BE729) + IF(BF729&gt;=150%,150%,BF729) + IF(BG729&gt;=150%,150%,BG729) + IF(BH729&gt;=150%,150%,BH729)))/_xlfn.XLOOKUP(F729,Apuração!A:A,Apuração!B:B)))</f>
        <v>0.33333333333333331</v>
      </c>
      <c r="BL729" s="59" cm="1">
        <f t="array" aca="1" ref="BL729" ca="1">IF(SUM(IFERROR(IF(INDEX(AW729:INDEX(AW729:BH729, MATCH(2, 1/(AW729:BH729&lt;&gt;""), 1)-1), ROW(INDIRECT("1:" &amp; MATCH(2, 1/(AW729:BH729&lt;&gt;""), 1)-1))) &gt;= 150%, 150%, INDEX(AW729:INDEX(AW729:BH729, MATCH(2, 1/(AW729:BH729&lt;&gt;""), 1)-1), ROW(INDIRECT("1:" &amp; MATCH(2, 1/(AW729:BH729&lt;&gt;""), 1)-1)))), 0))/_xlfn.XLOOKUP(F729,Apuração!A:A,Apuração!B:B)&gt;=1.15,1.15,SUM(IFERROR(IF(INDEX(AW729:INDEX(AW729:BH729, MATCH(2, 1/(AW729:BH729&lt;&gt;""), 1)-1), ROW(INDIRECT("1:" &amp; MATCH(2, 1/(AW729:BH729&lt;&gt;""), 1)-1))) &gt;= 150%, 150%, INDEX(AW729:INDEX(AW729:BH729, MATCH(2, 1/(AW729:BH729&lt;&gt;""), 1)-1), ROW(INDIRECT("1:" &amp; MATCH(2, 1/(AW729:BH729&lt;&gt;""), 1)-1)))), 0))/_xlfn.XLOOKUP(F729,Apuração!A:A,Apuração!B:B))</f>
        <v>0.25</v>
      </c>
      <c r="BM729" s="55" cm="1">
        <f t="array" ref="BM729">IFERROR(
   INDEX($AW$1:$BH$1,
      _xlfn.AGGREGATE(14, 6, COLUMN($AW$1:$BH$1)/(AW729:BH729&lt;&gt;""), 2) - COLUMN($AW$1) + 1
   ),
"")</f>
        <v>46082</v>
      </c>
      <c r="BN729" s="55" cm="1">
        <f t="array" ref="BN729">IFERROR(INDEX($AW$1:$BH$1,1,MATCH(2,1/(AW729:BH729&lt;&gt;""))),"")</f>
        <v>46113</v>
      </c>
      <c r="BO729" s="53">
        <f ca="1">IFERROR(_xlfn.XLOOKUP(F729,Apuração!A:A,Apuração!C:C)/_xlfn.XLOOKUP(F729,Apuração!A:A,Apuração!B:B),0)</f>
        <v>0.41666666666666669</v>
      </c>
      <c r="BP729" s="53">
        <f ca="1">IFERROR(_xlfn.XLOOKUP(F729,Apuração!A:A,Apuração!D:D)/_xlfn.XLOOKUP(F729,Apuração!A:A,Apuração!B:B),0)</f>
        <v>0.33333333333333331</v>
      </c>
      <c r="BQ729" s="53">
        <f ca="1">IF(BK729&gt;=BO729,0,_xlfn.XLOOKUP(F729,Apuração!A:A,Apuração!B:B)*(BO729 + (1/_xlfn.XLOOKUP(F729,Apuração!A:A,Apuração!B:B)) - BK729))</f>
        <v>2</v>
      </c>
      <c r="BR729" s="85">
        <f t="shared" ca="1" si="1038"/>
        <v>0</v>
      </c>
      <c r="BS729" s="53">
        <f ca="1">IFERROR((_xlfn.XLOOKUP(F729,Apuração!A:A,Apuração!C:C)+1)/_xlfn.XLOOKUP(F729,Apuração!A:A,Apuração!B:B),0)</f>
        <v>0.5</v>
      </c>
    </row>
    <row r="730" spans="1:71" ht="25.95" hidden="1" customHeight="1" x14ac:dyDescent="0.3">
      <c r="A730" s="23" t="s">
        <v>134</v>
      </c>
      <c r="B730" s="4" t="s">
        <v>150</v>
      </c>
      <c r="C730" s="5" t="s">
        <v>97</v>
      </c>
      <c r="D730" s="5" t="s">
        <v>100</v>
      </c>
      <c r="E730" s="4" t="str" cm="1">
        <f t="array" ref="E730">_xlfn.IFS(
F730 = "A partir de Abril", "Aguardando Execução na Distribuidora",
A730 = "CAPACITAÇÃO", "Em execução no Corporativo",
TRUE, "Em Execução na Distribuidora"
)</f>
        <v>Em Execução na Distribuidora</v>
      </c>
      <c r="F730" s="4" t="str" cm="1">
        <f t="array" ref="F730">_xlfn.IFS(
AG730 &lt;&gt; "", "Jan-Dez/26",
AH730 &lt;&gt; "", "Fev-Dez/26",
AI730 &lt;&gt; "", "Mar-Dez/26", AJ730 &lt;&gt; "", "Abr-Dez/26",
TRUE, "A partir de Junho"
)</f>
        <v>Jan-Dez/26</v>
      </c>
      <c r="G730" s="4" t="s">
        <v>37</v>
      </c>
      <c r="H730" s="7" t="s">
        <v>54</v>
      </c>
      <c r="I730" s="8" t="s">
        <v>152</v>
      </c>
      <c r="J730" s="8" t="str" cm="1">
        <f t="array" aca="1" ref="J730" ca="1">_xlfn.LET(
  _xlpm.actual_value_month, INDEX(T730:AE730, MATCH(DATE(YEAR(TODAY()), MONTH(TODAY()), 1), $T$1:$AE$1, 0)),
  IF(_xlpm.actual_value_month &lt;&gt; "",_xlpm.actual_value_month &amp; " ações mensais", "")
)</f>
        <v/>
      </c>
      <c r="K730" s="8" t="str" cm="1">
        <f t="array" ref="K730">_xlfn.LET(
    _xlpm.sum_month, SUM(T730:AE730),
    IF(_xlpm.sum_month = 0, "", _xlpm.sum_month &amp; " reuniões ordinárias no ano")
)</f>
        <v/>
      </c>
      <c r="L730" s="9" t="s">
        <v>153</v>
      </c>
      <c r="M730" s="24">
        <v>1</v>
      </c>
      <c r="N730" s="67" t="s">
        <v>51</v>
      </c>
      <c r="O730" s="5" t="s">
        <v>52</v>
      </c>
      <c r="P730" s="10" t="s">
        <v>44</v>
      </c>
      <c r="Q730" s="10" t="s">
        <v>72</v>
      </c>
      <c r="R730" s="11" t="s">
        <v>44</v>
      </c>
      <c r="S730" s="11" t="s">
        <v>44</v>
      </c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G730" s="146">
        <v>1</v>
      </c>
      <c r="AH730" s="146">
        <v>1</v>
      </c>
      <c r="AI730" s="146">
        <v>1</v>
      </c>
      <c r="AJ730" s="146">
        <v>1</v>
      </c>
      <c r="AK730" s="71">
        <v>1</v>
      </c>
      <c r="AL730" s="71"/>
      <c r="AM730" s="71"/>
      <c r="AN730" s="71"/>
      <c r="AO730" s="71"/>
      <c r="AP730" s="71"/>
      <c r="AQ730" s="71"/>
      <c r="AR730" s="71"/>
      <c r="AS730" s="94">
        <f t="shared" ca="1" si="1031"/>
        <v>0</v>
      </c>
      <c r="AT730" s="95">
        <f t="shared" si="1032"/>
        <v>5</v>
      </c>
      <c r="AU730" s="97">
        <f t="shared" si="1033"/>
        <v>5</v>
      </c>
      <c r="AW730" s="83">
        <f t="shared" si="1034"/>
        <v>1</v>
      </c>
      <c r="AX730" s="83">
        <f t="shared" si="1035"/>
        <v>1</v>
      </c>
      <c r="AY730" s="83">
        <f t="shared" si="1036"/>
        <v>1</v>
      </c>
      <c r="AZ730" s="83">
        <f t="shared" si="1037"/>
        <v>1</v>
      </c>
      <c r="BA730" s="52"/>
      <c r="BB730" s="52"/>
      <c r="BC730" s="52"/>
      <c r="BD730" s="52"/>
      <c r="BE730" s="52"/>
      <c r="BF730" s="52"/>
      <c r="BG730" s="52"/>
      <c r="BH730" s="52"/>
      <c r="BI730" s="68" cm="1">
        <f t="array" ref="BI730">IFERROR(INDEX(AW730:BH730,1,MATCH(2,1/(AW730:BH730&lt;&gt;""))),"")</f>
        <v>1</v>
      </c>
      <c r="BJ730" s="68" cm="1">
        <f t="array" ref="BJ730">IF(BM730 = "", "",IFERROR(INDEX(AW730:BH730,1,MATCH(2,1/(AW730:BH730&lt;&gt;""),1)-1),""))</f>
        <v>1</v>
      </c>
      <c r="BK730" s="59">
        <f>IF((IF(AW730&gt;=150%,150%,AW730) + IF(AX730&gt;=150%,150%,AX730) + IF(AY730&gt;=150%,150%,AY730) + (IF(AW730&gt;=150%,150%,AW730) + IF(BA730&gt;=150%,150%,BA730) + IF(BB730&gt;=150%,150%,BB730) + IF(BC730&gt;=150%,150%,BC730) + IF(BD730&gt;=150%,150%,BD730) + IF(BE730&gt;=150%,150%,BE730) + IF(BF730&gt;=150%,150%,BF730) + IF(BG730&gt;=150%,150%,BG730) + IF(BH730&gt;=150%,150%,BH730)))/_xlfn.XLOOKUP(F730,Apuração!A:A,Apuração!B:B)&gt;=1.15,1.15,((IF(AW730&gt;=150%,150%,AW730) + IF(AX730&gt;=150%,150%,AX730) + IF(AY730&gt;=150%,150%,AY730) + (IF(AW730&gt;=150%,150%,AW730) + IF(BA730&gt;=150%,150%,BA730) + IF(BB730&gt;=150%,150%,BB730) + IF(BC730&gt;=150%,150%,BC730) + IF(BD730&gt;=150%,150%,BD730) + IF(BE730&gt;=150%,150%,BE730) + IF(BF730&gt;=150%,150%,BF730) + IF(BG730&gt;=150%,150%,BG730) + IF(BH730&gt;=150%,150%,BH730)))/_xlfn.XLOOKUP(F730,Apuração!A:A,Apuração!B:B)))</f>
        <v>0.33333333333333331</v>
      </c>
      <c r="BL730" s="59" cm="1">
        <f t="array" aca="1" ref="BL730" ca="1">IF(SUM(IFERROR(IF(INDEX(AW730:INDEX(AW730:BH730, MATCH(2, 1/(AW730:BH730&lt;&gt;""), 1)-1), ROW(INDIRECT("1:" &amp; MATCH(2, 1/(AW730:BH730&lt;&gt;""), 1)-1))) &gt;= 150%, 150%, INDEX(AW730:INDEX(AW730:BH730, MATCH(2, 1/(AW730:BH730&lt;&gt;""), 1)-1), ROW(INDIRECT("1:" &amp; MATCH(2, 1/(AW730:BH730&lt;&gt;""), 1)-1)))), 0))/_xlfn.XLOOKUP(F730,Apuração!A:A,Apuração!B:B)&gt;=1.15,1.15,SUM(IFERROR(IF(INDEX(AW730:INDEX(AW730:BH730, MATCH(2, 1/(AW730:BH730&lt;&gt;""), 1)-1), ROW(INDIRECT("1:" &amp; MATCH(2, 1/(AW730:BH730&lt;&gt;""), 1)-1))) &gt;= 150%, 150%, INDEX(AW730:INDEX(AW730:BH730, MATCH(2, 1/(AW730:BH730&lt;&gt;""), 1)-1), ROW(INDIRECT("1:" &amp; MATCH(2, 1/(AW730:BH730&lt;&gt;""), 1)-1)))), 0))/_xlfn.XLOOKUP(F730,Apuração!A:A,Apuração!B:B))</f>
        <v>0.25</v>
      </c>
      <c r="BM730" s="55" cm="1">
        <f t="array" ref="BM730">IFERROR(
   INDEX($AW$1:$BH$1,
      _xlfn.AGGREGATE(14, 6, COLUMN($AW$1:$BH$1)/(AW730:BH730&lt;&gt;""), 2) - COLUMN($AW$1) + 1
   ),
"")</f>
        <v>46082</v>
      </c>
      <c r="BN730" s="55" cm="1">
        <f t="array" ref="BN730">IFERROR(INDEX($AW$1:$BH$1,1,MATCH(2,1/(AW730:BH730&lt;&gt;""))),"")</f>
        <v>46113</v>
      </c>
      <c r="BO730" s="53">
        <f ca="1">IFERROR(_xlfn.XLOOKUP(F730,Apuração!A:A,Apuração!C:C)/_xlfn.XLOOKUP(F730,Apuração!A:A,Apuração!B:B),0)</f>
        <v>0.41666666666666669</v>
      </c>
      <c r="BP730" s="53">
        <f ca="1">IFERROR(_xlfn.XLOOKUP(F730,Apuração!A:A,Apuração!D:D)/_xlfn.XLOOKUP(F730,Apuração!A:A,Apuração!B:B),0)</f>
        <v>0.33333333333333331</v>
      </c>
      <c r="BQ730" s="53">
        <f ca="1">IF(BK730&gt;=BO730,0,_xlfn.XLOOKUP(F730,Apuração!A:A,Apuração!B:B)*(BO730 + (1/_xlfn.XLOOKUP(F730,Apuração!A:A,Apuração!B:B)) - BK730))</f>
        <v>2</v>
      </c>
      <c r="BR730" s="85">
        <f t="shared" ca="1" si="1038"/>
        <v>0</v>
      </c>
      <c r="BS730" s="53">
        <f ca="1">IFERROR((_xlfn.XLOOKUP(F730,Apuração!A:A,Apuração!C:C)+1)/_xlfn.XLOOKUP(F730,Apuração!A:A,Apuração!B:B),0)</f>
        <v>0.5</v>
      </c>
    </row>
    <row r="731" spans="1:71" ht="25.95" hidden="1" customHeight="1" x14ac:dyDescent="0.3">
      <c r="A731" s="23" t="s">
        <v>134</v>
      </c>
      <c r="B731" s="4" t="s">
        <v>150</v>
      </c>
      <c r="C731" s="5" t="s">
        <v>97</v>
      </c>
      <c r="D731" s="5" t="s">
        <v>101</v>
      </c>
      <c r="E731" s="4" t="str" cm="1">
        <f t="array" ref="E731">_xlfn.IFS(
F731 = "A partir de Abril", "Aguardando Execução na Distribuidora",
A731 = "CAPACITAÇÃO", "Em execução no Corporativo",
TRUE, "Em Execução na Distribuidora"
)</f>
        <v>Em Execução na Distribuidora</v>
      </c>
      <c r="F731" s="4" t="str" cm="1">
        <f t="array" ref="F731">_xlfn.IFS(
AG731 &lt;&gt; "", "Jan-Dez/26",
AH731 &lt;&gt; "", "Fev-Dez/26",
AI731 &lt;&gt; "", "Mar-Dez/26", AJ731 &lt;&gt; "", "Abr-Dez/26",
TRUE, "A partir de Junho"
)</f>
        <v>Jan-Dez/26</v>
      </c>
      <c r="G731" s="4" t="s">
        <v>37</v>
      </c>
      <c r="H731" s="7" t="s">
        <v>54</v>
      </c>
      <c r="I731" s="8" t="s">
        <v>152</v>
      </c>
      <c r="J731" s="8" t="str" cm="1">
        <f t="array" aca="1" ref="J731" ca="1">_xlfn.LET(
  _xlpm.actual_value_month, INDEX(T731:AE731, MATCH(DATE(YEAR(TODAY()), MONTH(TODAY()), 1), $T$1:$AE$1, 0)),
  IF(_xlpm.actual_value_month &lt;&gt; "",_xlpm.actual_value_month &amp; " ações mensais", "")
)</f>
        <v/>
      </c>
      <c r="K731" s="8" t="str" cm="1">
        <f t="array" ref="K731">_xlfn.LET(
    _xlpm.sum_month, SUM(T731:AE731),
    IF(_xlpm.sum_month = 0, "", _xlpm.sum_month &amp; " reuniões ordinárias no ano")
)</f>
        <v/>
      </c>
      <c r="L731" s="9" t="s">
        <v>153</v>
      </c>
      <c r="M731" s="24">
        <v>1</v>
      </c>
      <c r="N731" s="67" t="s">
        <v>51</v>
      </c>
      <c r="O731" s="5" t="s">
        <v>52</v>
      </c>
      <c r="P731" s="10" t="s">
        <v>44</v>
      </c>
      <c r="Q731" s="10" t="s">
        <v>72</v>
      </c>
      <c r="R731" s="11" t="s">
        <v>44</v>
      </c>
      <c r="S731" s="11" t="s">
        <v>44</v>
      </c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G731" s="146">
        <v>2</v>
      </c>
      <c r="AH731" s="146">
        <v>2</v>
      </c>
      <c r="AI731" s="146">
        <v>3</v>
      </c>
      <c r="AJ731" s="146">
        <v>3</v>
      </c>
      <c r="AK731" s="71">
        <v>3</v>
      </c>
      <c r="AL731" s="71"/>
      <c r="AM731" s="71"/>
      <c r="AN731" s="71"/>
      <c r="AO731" s="71"/>
      <c r="AP731" s="71"/>
      <c r="AQ731" s="71"/>
      <c r="AR731" s="71"/>
      <c r="AS731" s="94">
        <f t="shared" ca="1" si="1031"/>
        <v>0</v>
      </c>
      <c r="AT731" s="95">
        <f t="shared" si="1032"/>
        <v>13</v>
      </c>
      <c r="AU731" s="97">
        <f t="shared" si="1033"/>
        <v>13</v>
      </c>
      <c r="AW731" s="83">
        <f t="shared" si="1034"/>
        <v>2</v>
      </c>
      <c r="AX731" s="83">
        <f t="shared" si="1035"/>
        <v>2</v>
      </c>
      <c r="AY731" s="83">
        <f t="shared" si="1036"/>
        <v>3</v>
      </c>
      <c r="AZ731" s="83">
        <f t="shared" si="1037"/>
        <v>3</v>
      </c>
      <c r="BA731" s="52"/>
      <c r="BB731" s="52"/>
      <c r="BC731" s="52"/>
      <c r="BD731" s="52"/>
      <c r="BE731" s="52"/>
      <c r="BF731" s="52"/>
      <c r="BG731" s="52"/>
      <c r="BH731" s="52"/>
      <c r="BI731" s="68" cm="1">
        <f t="array" ref="BI731">IFERROR(INDEX(AW731:BH731,1,MATCH(2,1/(AW731:BH731&lt;&gt;""))),"")</f>
        <v>3</v>
      </c>
      <c r="BJ731" s="68" cm="1">
        <f t="array" ref="BJ731">IF(BM731 = "", "",IFERROR(INDEX(AW731:BH731,1,MATCH(2,1/(AW731:BH731&lt;&gt;""),1)-1),""))</f>
        <v>3</v>
      </c>
      <c r="BK731" s="59">
        <f>IF((IF(AW731&gt;=150%,150%,AW731) + IF(AX731&gt;=150%,150%,AX731) + IF(AY731&gt;=150%,150%,AY731) + (IF(AW731&gt;=150%,150%,AW731) + IF(BA731&gt;=150%,150%,BA731) + IF(BB731&gt;=150%,150%,BB731) + IF(BC731&gt;=150%,150%,BC731) + IF(BD731&gt;=150%,150%,BD731) + IF(BE731&gt;=150%,150%,BE731) + IF(BF731&gt;=150%,150%,BF731) + IF(BG731&gt;=150%,150%,BG731) + IF(BH731&gt;=150%,150%,BH731)))/_xlfn.XLOOKUP(F731,Apuração!A:A,Apuração!B:B)&gt;=1.15,1.15,((IF(AW731&gt;=150%,150%,AW731) + IF(AX731&gt;=150%,150%,AX731) + IF(AY731&gt;=150%,150%,AY731) + (IF(AW731&gt;=150%,150%,AW731) + IF(BA731&gt;=150%,150%,BA731) + IF(BB731&gt;=150%,150%,BB731) + IF(BC731&gt;=150%,150%,BC731) + IF(BD731&gt;=150%,150%,BD731) + IF(BE731&gt;=150%,150%,BE731) + IF(BF731&gt;=150%,150%,BF731) + IF(BG731&gt;=150%,150%,BG731) + IF(BH731&gt;=150%,150%,BH731)))/_xlfn.XLOOKUP(F731,Apuração!A:A,Apuração!B:B)))</f>
        <v>0.5</v>
      </c>
      <c r="BL731" s="59" cm="1">
        <f t="array" aca="1" ref="BL731" ca="1">IF(SUM(IFERROR(IF(INDEX(AW731:INDEX(AW731:BH731, MATCH(2, 1/(AW731:BH731&lt;&gt;""), 1)-1), ROW(INDIRECT("1:" &amp; MATCH(2, 1/(AW731:BH731&lt;&gt;""), 1)-1))) &gt;= 150%, 150%, INDEX(AW731:INDEX(AW731:BH731, MATCH(2, 1/(AW731:BH731&lt;&gt;""), 1)-1), ROW(INDIRECT("1:" &amp; MATCH(2, 1/(AW731:BH731&lt;&gt;""), 1)-1)))), 0))/_xlfn.XLOOKUP(F731,Apuração!A:A,Apuração!B:B)&gt;=1.15,1.15,SUM(IFERROR(IF(INDEX(AW731:INDEX(AW731:BH731, MATCH(2, 1/(AW731:BH731&lt;&gt;""), 1)-1), ROW(INDIRECT("1:" &amp; MATCH(2, 1/(AW731:BH731&lt;&gt;""), 1)-1))) &gt;= 150%, 150%, INDEX(AW731:INDEX(AW731:BH731, MATCH(2, 1/(AW731:BH731&lt;&gt;""), 1)-1), ROW(INDIRECT("1:" &amp; MATCH(2, 1/(AW731:BH731&lt;&gt;""), 1)-1)))), 0))/_xlfn.XLOOKUP(F731,Apuração!A:A,Apuração!B:B))</f>
        <v>0.375</v>
      </c>
      <c r="BM731" s="55" cm="1">
        <f t="array" ref="BM731">IFERROR(
   INDEX($AW$1:$BH$1,
      _xlfn.AGGREGATE(14, 6, COLUMN($AW$1:$BH$1)/(AW731:BH731&lt;&gt;""), 2) - COLUMN($AW$1) + 1
   ),
"")</f>
        <v>46082</v>
      </c>
      <c r="BN731" s="55" cm="1">
        <f t="array" ref="BN731">IFERROR(INDEX($AW$1:$BH$1,1,MATCH(2,1/(AW731:BH731&lt;&gt;""))),"")</f>
        <v>46113</v>
      </c>
      <c r="BO731" s="53">
        <f ca="1">IFERROR(_xlfn.XLOOKUP(F731,Apuração!A:A,Apuração!C:C)/_xlfn.XLOOKUP(F731,Apuração!A:A,Apuração!B:B),0)</f>
        <v>0.41666666666666669</v>
      </c>
      <c r="BP731" s="53">
        <f ca="1">IFERROR(_xlfn.XLOOKUP(F731,Apuração!A:A,Apuração!D:D)/_xlfn.XLOOKUP(F731,Apuração!A:A,Apuração!B:B),0)</f>
        <v>0.33333333333333331</v>
      </c>
      <c r="BQ731" s="53">
        <f ca="1">IF(BK731&gt;=BO731,0,_xlfn.XLOOKUP(F731,Apuração!A:A,Apuração!B:B)*(BO731 + (1/_xlfn.XLOOKUP(F731,Apuração!A:A,Apuração!B:B)) - BK731))</f>
        <v>0</v>
      </c>
      <c r="BR731" s="85">
        <f t="shared" ca="1" si="1038"/>
        <v>0</v>
      </c>
      <c r="BS731" s="53">
        <f ca="1">IFERROR((_xlfn.XLOOKUP(F731,Apuração!A:A,Apuração!C:C)+1)/_xlfn.XLOOKUP(F731,Apuração!A:A,Apuração!B:B),0)</f>
        <v>0.5</v>
      </c>
    </row>
    <row r="732" spans="1:71" ht="25.95" hidden="1" customHeight="1" x14ac:dyDescent="0.3">
      <c r="A732" s="23" t="s">
        <v>134</v>
      </c>
      <c r="B732" s="4" t="s">
        <v>150</v>
      </c>
      <c r="C732" s="5" t="s">
        <v>97</v>
      </c>
      <c r="D732" s="5" t="s">
        <v>102</v>
      </c>
      <c r="E732" s="4" t="str" cm="1">
        <f t="array" ref="E732">_xlfn.IFS(
F732 = "A partir de Abril", "Aguardando Execução na Distribuidora",
A732 = "CAPACITAÇÃO", "Em execução no Corporativo",
TRUE, "Em Execução na Distribuidora"
)</f>
        <v>Em Execução na Distribuidora</v>
      </c>
      <c r="F732" s="4" t="str" cm="1">
        <f t="array" ref="F732">_xlfn.IFS(
AG732 &lt;&gt; "", "Jan-Dez/26",
AH732 &lt;&gt; "", "Fev-Dez/26",
AI732 &lt;&gt; "", "Mar-Dez/26", AJ732 &lt;&gt; "", "Abr-Dez/26",
TRUE, "A partir de Junho"
)</f>
        <v>Jan-Dez/26</v>
      </c>
      <c r="G732" s="4" t="s">
        <v>37</v>
      </c>
      <c r="H732" s="7" t="s">
        <v>54</v>
      </c>
      <c r="I732" s="8" t="s">
        <v>152</v>
      </c>
      <c r="J732" s="8" t="str" cm="1">
        <f t="array" aca="1" ref="J732" ca="1">_xlfn.LET(
  _xlpm.actual_value_month, INDEX(T732:AE732, MATCH(DATE(YEAR(TODAY()), MONTH(TODAY()), 1), $T$1:$AE$1, 0)),
  IF(_xlpm.actual_value_month &lt;&gt; "",_xlpm.actual_value_month &amp; " ações mensais", "")
)</f>
        <v/>
      </c>
      <c r="K732" s="8" t="str" cm="1">
        <f t="array" ref="K732">_xlfn.LET(
    _xlpm.sum_month, SUM(T732:AE732),
    IF(_xlpm.sum_month = 0, "", _xlpm.sum_month &amp; " reuniões ordinárias no ano")
)</f>
        <v/>
      </c>
      <c r="L732" s="9" t="s">
        <v>153</v>
      </c>
      <c r="M732" s="24">
        <v>1</v>
      </c>
      <c r="N732" s="67" t="s">
        <v>51</v>
      </c>
      <c r="O732" s="5" t="s">
        <v>52</v>
      </c>
      <c r="P732" s="10" t="s">
        <v>44</v>
      </c>
      <c r="Q732" s="10" t="s">
        <v>72</v>
      </c>
      <c r="R732" s="11" t="s">
        <v>44</v>
      </c>
      <c r="S732" s="11" t="s">
        <v>44</v>
      </c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G732" s="146">
        <v>1</v>
      </c>
      <c r="AH732" s="146">
        <v>1</v>
      </c>
      <c r="AI732" s="146">
        <v>1</v>
      </c>
      <c r="AJ732" s="146">
        <v>1</v>
      </c>
      <c r="AK732" s="71">
        <v>1</v>
      </c>
      <c r="AL732" s="71"/>
      <c r="AM732" s="71"/>
      <c r="AN732" s="71"/>
      <c r="AO732" s="71"/>
      <c r="AP732" s="71"/>
      <c r="AQ732" s="71"/>
      <c r="AR732" s="71"/>
      <c r="AS732" s="94">
        <f t="shared" ca="1" si="1031"/>
        <v>0</v>
      </c>
      <c r="AT732" s="95">
        <f t="shared" si="1032"/>
        <v>5</v>
      </c>
      <c r="AU732" s="97">
        <f t="shared" si="1033"/>
        <v>5</v>
      </c>
      <c r="AW732" s="83">
        <f t="shared" si="1034"/>
        <v>1</v>
      </c>
      <c r="AX732" s="83">
        <f t="shared" si="1035"/>
        <v>1</v>
      </c>
      <c r="AY732" s="83">
        <f t="shared" si="1036"/>
        <v>1</v>
      </c>
      <c r="AZ732" s="83">
        <f t="shared" si="1037"/>
        <v>1</v>
      </c>
      <c r="BA732" s="52"/>
      <c r="BB732" s="52"/>
      <c r="BC732" s="52"/>
      <c r="BD732" s="52"/>
      <c r="BE732" s="52"/>
      <c r="BF732" s="52"/>
      <c r="BG732" s="52"/>
      <c r="BH732" s="52"/>
      <c r="BI732" s="68" cm="1">
        <f t="array" ref="BI732">IFERROR(INDEX(AW732:BH732,1,MATCH(2,1/(AW732:BH732&lt;&gt;""))),"")</f>
        <v>1</v>
      </c>
      <c r="BJ732" s="68" cm="1">
        <f t="array" ref="BJ732">IF(BM732 = "", "",IFERROR(INDEX(AW732:BH732,1,MATCH(2,1/(AW732:BH732&lt;&gt;""),1)-1),""))</f>
        <v>1</v>
      </c>
      <c r="BK732" s="59">
        <f>IF((IF(AW732&gt;=150%,150%,AW732) + IF(AX732&gt;=150%,150%,AX732) + IF(AY732&gt;=150%,150%,AY732) + (IF(AW732&gt;=150%,150%,AW732) + IF(BA732&gt;=150%,150%,BA732) + IF(BB732&gt;=150%,150%,BB732) + IF(BC732&gt;=150%,150%,BC732) + IF(BD732&gt;=150%,150%,BD732) + IF(BE732&gt;=150%,150%,BE732) + IF(BF732&gt;=150%,150%,BF732) + IF(BG732&gt;=150%,150%,BG732) + IF(BH732&gt;=150%,150%,BH732)))/_xlfn.XLOOKUP(F732,Apuração!A:A,Apuração!B:B)&gt;=1.15,1.15,((IF(AW732&gt;=150%,150%,AW732) + IF(AX732&gt;=150%,150%,AX732) + IF(AY732&gt;=150%,150%,AY732) + (IF(AW732&gt;=150%,150%,AW732) + IF(BA732&gt;=150%,150%,BA732) + IF(BB732&gt;=150%,150%,BB732) + IF(BC732&gt;=150%,150%,BC732) + IF(BD732&gt;=150%,150%,BD732) + IF(BE732&gt;=150%,150%,BE732) + IF(BF732&gt;=150%,150%,BF732) + IF(BG732&gt;=150%,150%,BG732) + IF(BH732&gt;=150%,150%,BH732)))/_xlfn.XLOOKUP(F732,Apuração!A:A,Apuração!B:B)))</f>
        <v>0.33333333333333331</v>
      </c>
      <c r="BL732" s="59" cm="1">
        <f t="array" aca="1" ref="BL732" ca="1">IF(SUM(IFERROR(IF(INDEX(AW732:INDEX(AW732:BH732, MATCH(2, 1/(AW732:BH732&lt;&gt;""), 1)-1), ROW(INDIRECT("1:" &amp; MATCH(2, 1/(AW732:BH732&lt;&gt;""), 1)-1))) &gt;= 150%, 150%, INDEX(AW732:INDEX(AW732:BH732, MATCH(2, 1/(AW732:BH732&lt;&gt;""), 1)-1), ROW(INDIRECT("1:" &amp; MATCH(2, 1/(AW732:BH732&lt;&gt;""), 1)-1)))), 0))/_xlfn.XLOOKUP(F732,Apuração!A:A,Apuração!B:B)&gt;=1.15,1.15,SUM(IFERROR(IF(INDEX(AW732:INDEX(AW732:BH732, MATCH(2, 1/(AW732:BH732&lt;&gt;""), 1)-1), ROW(INDIRECT("1:" &amp; MATCH(2, 1/(AW732:BH732&lt;&gt;""), 1)-1))) &gt;= 150%, 150%, INDEX(AW732:INDEX(AW732:BH732, MATCH(2, 1/(AW732:BH732&lt;&gt;""), 1)-1), ROW(INDIRECT("1:" &amp; MATCH(2, 1/(AW732:BH732&lt;&gt;""), 1)-1)))), 0))/_xlfn.XLOOKUP(F732,Apuração!A:A,Apuração!B:B))</f>
        <v>0.25</v>
      </c>
      <c r="BM732" s="55" cm="1">
        <f t="array" ref="BM732">IFERROR(
   INDEX($AW$1:$BH$1,
      _xlfn.AGGREGATE(14, 6, COLUMN($AW$1:$BH$1)/(AW732:BH732&lt;&gt;""), 2) - COLUMN($AW$1) + 1
   ),
"")</f>
        <v>46082</v>
      </c>
      <c r="BN732" s="55" cm="1">
        <f t="array" ref="BN732">IFERROR(INDEX($AW$1:$BH$1,1,MATCH(2,1/(AW732:BH732&lt;&gt;""))),"")</f>
        <v>46113</v>
      </c>
      <c r="BO732" s="53">
        <f ca="1">IFERROR(_xlfn.XLOOKUP(F732,Apuração!A:A,Apuração!C:C)/_xlfn.XLOOKUP(F732,Apuração!A:A,Apuração!B:B),0)</f>
        <v>0.41666666666666669</v>
      </c>
      <c r="BP732" s="53">
        <f ca="1">IFERROR(_xlfn.XLOOKUP(F732,Apuração!A:A,Apuração!D:D)/_xlfn.XLOOKUP(F732,Apuração!A:A,Apuração!B:B),0)</f>
        <v>0.33333333333333331</v>
      </c>
      <c r="BQ732" s="53">
        <f ca="1">IF(BK732&gt;=BO732,0,_xlfn.XLOOKUP(F732,Apuração!A:A,Apuração!B:B)*(BO732 + (1/_xlfn.XLOOKUP(F732,Apuração!A:A,Apuração!B:B)) - BK732))</f>
        <v>2</v>
      </c>
      <c r="BR732" s="85">
        <f t="shared" ca="1" si="1038"/>
        <v>0</v>
      </c>
      <c r="BS732" s="53">
        <f ca="1">IFERROR((_xlfn.XLOOKUP(F732,Apuração!A:A,Apuração!C:C)+1)/_xlfn.XLOOKUP(F732,Apuração!A:A,Apuração!B:B),0)</f>
        <v>0.5</v>
      </c>
    </row>
    <row r="733" spans="1:71" ht="25.95" hidden="1" customHeight="1" x14ac:dyDescent="0.3">
      <c r="A733" s="23" t="s">
        <v>134</v>
      </c>
      <c r="B733" s="4" t="s">
        <v>150</v>
      </c>
      <c r="C733" s="5" t="s">
        <v>97</v>
      </c>
      <c r="D733" s="5" t="s">
        <v>103</v>
      </c>
      <c r="E733" s="4" t="str" cm="1">
        <f t="array" ref="E733">_xlfn.IFS(
F733 = "A partir de Abril", "Aguardando Execução na Distribuidora",
A733 = "CAPACITAÇÃO", "Em execução no Corporativo",
TRUE, "Em Execução na Distribuidora"
)</f>
        <v>Em Execução na Distribuidora</v>
      </c>
      <c r="F733" s="4" t="str" cm="1">
        <f t="array" ref="F733">_xlfn.IFS(
AG733 &lt;&gt; "", "Jan-Dez/26",
AH733 &lt;&gt; "", "Fev-Dez/26",
AI733 &lt;&gt; "", "Mar-Dez/26", AJ733 &lt;&gt; "", "Abr-Dez/26",
TRUE, "A partir de Junho"
)</f>
        <v>Jan-Dez/26</v>
      </c>
      <c r="G733" s="4" t="s">
        <v>37</v>
      </c>
      <c r="H733" s="7" t="s">
        <v>54</v>
      </c>
      <c r="I733" s="8" t="s">
        <v>152</v>
      </c>
      <c r="J733" s="8" t="str" cm="1">
        <f t="array" aca="1" ref="J733" ca="1">_xlfn.LET(
  _xlpm.actual_value_month, INDEX(T733:AE733, MATCH(DATE(YEAR(TODAY()), MONTH(TODAY()), 1), $T$1:$AE$1, 0)),
  IF(_xlpm.actual_value_month &lt;&gt; "",_xlpm.actual_value_month &amp; " ações mensais", "")
)</f>
        <v/>
      </c>
      <c r="K733" s="8" t="str" cm="1">
        <f t="array" ref="K733">_xlfn.LET(
    _xlpm.sum_month, SUM(T733:AE733),
    IF(_xlpm.sum_month = 0, "", _xlpm.sum_month &amp; " reuniões ordinárias no ano")
)</f>
        <v/>
      </c>
      <c r="L733" s="9" t="s">
        <v>153</v>
      </c>
      <c r="M733" s="24">
        <v>1</v>
      </c>
      <c r="N733" s="67" t="s">
        <v>51</v>
      </c>
      <c r="O733" s="5" t="s">
        <v>52</v>
      </c>
      <c r="P733" s="10" t="s">
        <v>44</v>
      </c>
      <c r="Q733" s="10" t="s">
        <v>72</v>
      </c>
      <c r="R733" s="11" t="s">
        <v>44</v>
      </c>
      <c r="S733" s="11" t="s">
        <v>44</v>
      </c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G733" s="146">
        <v>2</v>
      </c>
      <c r="AH733" s="146">
        <v>2</v>
      </c>
      <c r="AI733" s="146">
        <v>2</v>
      </c>
      <c r="AJ733" s="146">
        <v>1</v>
      </c>
      <c r="AK733" s="71">
        <v>2</v>
      </c>
      <c r="AL733" s="71"/>
      <c r="AM733" s="71"/>
      <c r="AN733" s="71"/>
      <c r="AO733" s="71"/>
      <c r="AP733" s="71"/>
      <c r="AQ733" s="71"/>
      <c r="AR733" s="71"/>
      <c r="AS733" s="94">
        <f t="shared" ca="1" si="1031"/>
        <v>0</v>
      </c>
      <c r="AT733" s="95">
        <f t="shared" si="1032"/>
        <v>9</v>
      </c>
      <c r="AU733" s="97">
        <f t="shared" si="1033"/>
        <v>9</v>
      </c>
      <c r="AW733" s="83">
        <f t="shared" si="1034"/>
        <v>2</v>
      </c>
      <c r="AX733" s="83">
        <f t="shared" si="1035"/>
        <v>2</v>
      </c>
      <c r="AY733" s="83">
        <f t="shared" si="1036"/>
        <v>2</v>
      </c>
      <c r="AZ733" s="83">
        <f t="shared" si="1037"/>
        <v>1</v>
      </c>
      <c r="BA733" s="52"/>
      <c r="BB733" s="52"/>
      <c r="BC733" s="52"/>
      <c r="BD733" s="52"/>
      <c r="BE733" s="52"/>
      <c r="BF733" s="52"/>
      <c r="BG733" s="52"/>
      <c r="BH733" s="52"/>
      <c r="BI733" s="68" cm="1">
        <f t="array" ref="BI733">IFERROR(INDEX(AW733:BH733,1,MATCH(2,1/(AW733:BH733&lt;&gt;""))),"")</f>
        <v>1</v>
      </c>
      <c r="BJ733" s="68" cm="1">
        <f t="array" ref="BJ733">IF(BM733 = "", "",IFERROR(INDEX(AW733:BH733,1,MATCH(2,1/(AW733:BH733&lt;&gt;""),1)-1),""))</f>
        <v>2</v>
      </c>
      <c r="BK733" s="59">
        <f>IF((IF(AW733&gt;=150%,150%,AW733) + IF(AX733&gt;=150%,150%,AX733) + IF(AY733&gt;=150%,150%,AY733) + (IF(AW733&gt;=150%,150%,AW733) + IF(BA733&gt;=150%,150%,BA733) + IF(BB733&gt;=150%,150%,BB733) + IF(BC733&gt;=150%,150%,BC733) + IF(BD733&gt;=150%,150%,BD733) + IF(BE733&gt;=150%,150%,BE733) + IF(BF733&gt;=150%,150%,BF733) + IF(BG733&gt;=150%,150%,BG733) + IF(BH733&gt;=150%,150%,BH733)))/_xlfn.XLOOKUP(F733,Apuração!A:A,Apuração!B:B)&gt;=1.15,1.15,((IF(AW733&gt;=150%,150%,AW733) + IF(AX733&gt;=150%,150%,AX733) + IF(AY733&gt;=150%,150%,AY733) + (IF(AW733&gt;=150%,150%,AW733) + IF(BA733&gt;=150%,150%,BA733) + IF(BB733&gt;=150%,150%,BB733) + IF(BC733&gt;=150%,150%,BC733) + IF(BD733&gt;=150%,150%,BD733) + IF(BE733&gt;=150%,150%,BE733) + IF(BF733&gt;=150%,150%,BF733) + IF(BG733&gt;=150%,150%,BG733) + IF(BH733&gt;=150%,150%,BH733)))/_xlfn.XLOOKUP(F733,Apuração!A:A,Apuração!B:B)))</f>
        <v>0.5</v>
      </c>
      <c r="BL733" s="59" cm="1">
        <f t="array" aca="1" ref="BL733" ca="1">IF(SUM(IFERROR(IF(INDEX(AW733:INDEX(AW733:BH733, MATCH(2, 1/(AW733:BH733&lt;&gt;""), 1)-1), ROW(INDIRECT("1:" &amp; MATCH(2, 1/(AW733:BH733&lt;&gt;""), 1)-1))) &gt;= 150%, 150%, INDEX(AW733:INDEX(AW733:BH733, MATCH(2, 1/(AW733:BH733&lt;&gt;""), 1)-1), ROW(INDIRECT("1:" &amp; MATCH(2, 1/(AW733:BH733&lt;&gt;""), 1)-1)))), 0))/_xlfn.XLOOKUP(F733,Apuração!A:A,Apuração!B:B)&gt;=1.15,1.15,SUM(IFERROR(IF(INDEX(AW733:INDEX(AW733:BH733, MATCH(2, 1/(AW733:BH733&lt;&gt;""), 1)-1), ROW(INDIRECT("1:" &amp; MATCH(2, 1/(AW733:BH733&lt;&gt;""), 1)-1))) &gt;= 150%, 150%, INDEX(AW733:INDEX(AW733:BH733, MATCH(2, 1/(AW733:BH733&lt;&gt;""), 1)-1), ROW(INDIRECT("1:" &amp; MATCH(2, 1/(AW733:BH733&lt;&gt;""), 1)-1)))), 0))/_xlfn.XLOOKUP(F733,Apuração!A:A,Apuração!B:B))</f>
        <v>0.375</v>
      </c>
      <c r="BM733" s="55" cm="1">
        <f t="array" ref="BM733">IFERROR(
   INDEX($AW$1:$BH$1,
      _xlfn.AGGREGATE(14, 6, COLUMN($AW$1:$BH$1)/(AW733:BH733&lt;&gt;""), 2) - COLUMN($AW$1) + 1
   ),
"")</f>
        <v>46082</v>
      </c>
      <c r="BN733" s="55" cm="1">
        <f t="array" ref="BN733">IFERROR(INDEX($AW$1:$BH$1,1,MATCH(2,1/(AW733:BH733&lt;&gt;""))),"")</f>
        <v>46113</v>
      </c>
      <c r="BO733" s="53">
        <f ca="1">IFERROR(_xlfn.XLOOKUP(F733,Apuração!A:A,Apuração!C:C)/_xlfn.XLOOKUP(F733,Apuração!A:A,Apuração!B:B),0)</f>
        <v>0.41666666666666669</v>
      </c>
      <c r="BP733" s="53">
        <f ca="1">IFERROR(_xlfn.XLOOKUP(F733,Apuração!A:A,Apuração!D:D)/_xlfn.XLOOKUP(F733,Apuração!A:A,Apuração!B:B),0)</f>
        <v>0.33333333333333331</v>
      </c>
      <c r="BQ733" s="53">
        <f ca="1">IF(BK733&gt;=BO733,0,_xlfn.XLOOKUP(F733,Apuração!A:A,Apuração!B:B)*(BO733 + (1/_xlfn.XLOOKUP(F733,Apuração!A:A,Apuração!B:B)) - BK733))</f>
        <v>0</v>
      </c>
      <c r="BR733" s="85">
        <f t="shared" ca="1" si="1038"/>
        <v>0</v>
      </c>
      <c r="BS733" s="53">
        <f ca="1">IFERROR((_xlfn.XLOOKUP(F733,Apuração!A:A,Apuração!C:C)+1)/_xlfn.XLOOKUP(F733,Apuração!A:A,Apuração!B:B),0)</f>
        <v>0.5</v>
      </c>
    </row>
    <row r="734" spans="1:71" ht="25.95" hidden="1" customHeight="1" x14ac:dyDescent="0.3">
      <c r="A734" s="23" t="s">
        <v>134</v>
      </c>
      <c r="B734" s="4" t="s">
        <v>150</v>
      </c>
      <c r="C734" s="5" t="s">
        <v>97</v>
      </c>
      <c r="D734" s="5" t="s">
        <v>104</v>
      </c>
      <c r="E734" s="4" t="str" cm="1">
        <f t="array" ref="E734">_xlfn.IFS(
F734 = "A partir de Abril", "Aguardando Execução na Distribuidora",
A734 = "CAPACITAÇÃO", "Em execução no Corporativo",
TRUE, "Em Execução na Distribuidora"
)</f>
        <v>Em Execução na Distribuidora</v>
      </c>
      <c r="F734" s="4" t="str" cm="1">
        <f t="array" ref="F734">_xlfn.IFS(
AG734 &lt;&gt; "", "Jan-Dez/26",
AH734 &lt;&gt; "", "Fev-Dez/26",
AI734 &lt;&gt; "", "Mar-Dez/26", AJ734 &lt;&gt; "", "Abr-Dez/26",
TRUE, "A partir de Junho"
)</f>
        <v>Jan-Dez/26</v>
      </c>
      <c r="G734" s="4" t="s">
        <v>37</v>
      </c>
      <c r="H734" s="7" t="s">
        <v>54</v>
      </c>
      <c r="I734" s="8" t="s">
        <v>152</v>
      </c>
      <c r="J734" s="8" t="str" cm="1">
        <f t="array" aca="1" ref="J734" ca="1">_xlfn.LET(
  _xlpm.actual_value_month, INDEX(T734:AE734, MATCH(DATE(YEAR(TODAY()), MONTH(TODAY()), 1), $T$1:$AE$1, 0)),
  IF(_xlpm.actual_value_month &lt;&gt; "",_xlpm.actual_value_month &amp; " ações mensais", "")
)</f>
        <v/>
      </c>
      <c r="K734" s="8" t="str" cm="1">
        <f t="array" ref="K734">_xlfn.LET(
    _xlpm.sum_month, SUM(T734:AE734),
    IF(_xlpm.sum_month = 0, "", _xlpm.sum_month &amp; " reuniões ordinárias no ano")
)</f>
        <v/>
      </c>
      <c r="L734" s="9" t="s">
        <v>153</v>
      </c>
      <c r="M734" s="24">
        <v>1</v>
      </c>
      <c r="N734" s="67" t="s">
        <v>51</v>
      </c>
      <c r="O734" s="5" t="s">
        <v>52</v>
      </c>
      <c r="P734" s="10" t="s">
        <v>44</v>
      </c>
      <c r="Q734" s="10" t="s">
        <v>72</v>
      </c>
      <c r="R734" s="11" t="s">
        <v>44</v>
      </c>
      <c r="S734" s="11" t="s">
        <v>44</v>
      </c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G734" s="146">
        <v>3</v>
      </c>
      <c r="AH734" s="146">
        <v>3</v>
      </c>
      <c r="AI734" s="146">
        <v>2</v>
      </c>
      <c r="AJ734" s="146">
        <v>2</v>
      </c>
      <c r="AK734" s="71">
        <v>1</v>
      </c>
      <c r="AL734" s="71"/>
      <c r="AM734" s="71"/>
      <c r="AN734" s="71"/>
      <c r="AO734" s="71"/>
      <c r="AP734" s="71"/>
      <c r="AQ734" s="71"/>
      <c r="AR734" s="71"/>
      <c r="AS734" s="94">
        <f t="shared" ca="1" si="1031"/>
        <v>0</v>
      </c>
      <c r="AT734" s="95">
        <f t="shared" si="1032"/>
        <v>11</v>
      </c>
      <c r="AU734" s="97">
        <f t="shared" si="1033"/>
        <v>11</v>
      </c>
      <c r="AW734" s="83">
        <f t="shared" si="1034"/>
        <v>3</v>
      </c>
      <c r="AX734" s="83">
        <f t="shared" si="1035"/>
        <v>3</v>
      </c>
      <c r="AY734" s="83">
        <f t="shared" si="1036"/>
        <v>2</v>
      </c>
      <c r="AZ734" s="83">
        <f t="shared" si="1037"/>
        <v>2</v>
      </c>
      <c r="BA734" s="52"/>
      <c r="BB734" s="52"/>
      <c r="BC734" s="52"/>
      <c r="BD734" s="52"/>
      <c r="BE734" s="52"/>
      <c r="BF734" s="52"/>
      <c r="BG734" s="52"/>
      <c r="BH734" s="52"/>
      <c r="BI734" s="68" cm="1">
        <f t="array" ref="BI734">IFERROR(INDEX(AW734:BH734,1,MATCH(2,1/(AW734:BH734&lt;&gt;""))),"")</f>
        <v>2</v>
      </c>
      <c r="BJ734" s="68" cm="1">
        <f t="array" ref="BJ734">IF(BM734 = "", "",IFERROR(INDEX(AW734:BH734,1,MATCH(2,1/(AW734:BH734&lt;&gt;""),1)-1),""))</f>
        <v>2</v>
      </c>
      <c r="BK734" s="59">
        <f>IF((IF(AW734&gt;=150%,150%,AW734) + IF(AX734&gt;=150%,150%,AX734) + IF(AY734&gt;=150%,150%,AY734) + (IF(AW734&gt;=150%,150%,AW734) + IF(BA734&gt;=150%,150%,BA734) + IF(BB734&gt;=150%,150%,BB734) + IF(BC734&gt;=150%,150%,BC734) + IF(BD734&gt;=150%,150%,BD734) + IF(BE734&gt;=150%,150%,BE734) + IF(BF734&gt;=150%,150%,BF734) + IF(BG734&gt;=150%,150%,BG734) + IF(BH734&gt;=150%,150%,BH734)))/_xlfn.XLOOKUP(F734,Apuração!A:A,Apuração!B:B)&gt;=1.15,1.15,((IF(AW734&gt;=150%,150%,AW734) + IF(AX734&gt;=150%,150%,AX734) + IF(AY734&gt;=150%,150%,AY734) + (IF(AW734&gt;=150%,150%,AW734) + IF(BA734&gt;=150%,150%,BA734) + IF(BB734&gt;=150%,150%,BB734) + IF(BC734&gt;=150%,150%,BC734) + IF(BD734&gt;=150%,150%,BD734) + IF(BE734&gt;=150%,150%,BE734) + IF(BF734&gt;=150%,150%,BF734) + IF(BG734&gt;=150%,150%,BG734) + IF(BH734&gt;=150%,150%,BH734)))/_xlfn.XLOOKUP(F734,Apuração!A:A,Apuração!B:B)))</f>
        <v>0.5</v>
      </c>
      <c r="BL734" s="59" cm="1">
        <f t="array" aca="1" ref="BL734" ca="1">IF(SUM(IFERROR(IF(INDEX(AW734:INDEX(AW734:BH734, MATCH(2, 1/(AW734:BH734&lt;&gt;""), 1)-1), ROW(INDIRECT("1:" &amp; MATCH(2, 1/(AW734:BH734&lt;&gt;""), 1)-1))) &gt;= 150%, 150%, INDEX(AW734:INDEX(AW734:BH734, MATCH(2, 1/(AW734:BH734&lt;&gt;""), 1)-1), ROW(INDIRECT("1:" &amp; MATCH(2, 1/(AW734:BH734&lt;&gt;""), 1)-1)))), 0))/_xlfn.XLOOKUP(F734,Apuração!A:A,Apuração!B:B)&gt;=1.15,1.15,SUM(IFERROR(IF(INDEX(AW734:INDEX(AW734:BH734, MATCH(2, 1/(AW734:BH734&lt;&gt;""), 1)-1), ROW(INDIRECT("1:" &amp; MATCH(2, 1/(AW734:BH734&lt;&gt;""), 1)-1))) &gt;= 150%, 150%, INDEX(AW734:INDEX(AW734:BH734, MATCH(2, 1/(AW734:BH734&lt;&gt;""), 1)-1), ROW(INDIRECT("1:" &amp; MATCH(2, 1/(AW734:BH734&lt;&gt;""), 1)-1)))), 0))/_xlfn.XLOOKUP(F734,Apuração!A:A,Apuração!B:B))</f>
        <v>0.375</v>
      </c>
      <c r="BM734" s="55" cm="1">
        <f t="array" ref="BM734">IFERROR(
   INDEX($AW$1:$BH$1,
      _xlfn.AGGREGATE(14, 6, COLUMN($AW$1:$BH$1)/(AW734:BH734&lt;&gt;""), 2) - COLUMN($AW$1) + 1
   ),
"")</f>
        <v>46082</v>
      </c>
      <c r="BN734" s="55" cm="1">
        <f t="array" ref="BN734">IFERROR(INDEX($AW$1:$BH$1,1,MATCH(2,1/(AW734:BH734&lt;&gt;""))),"")</f>
        <v>46113</v>
      </c>
      <c r="BO734" s="53">
        <f ca="1">IFERROR(_xlfn.XLOOKUP(F734,Apuração!A:A,Apuração!C:C)/_xlfn.XLOOKUP(F734,Apuração!A:A,Apuração!B:B),0)</f>
        <v>0.41666666666666669</v>
      </c>
      <c r="BP734" s="53">
        <f ca="1">IFERROR(_xlfn.XLOOKUP(F734,Apuração!A:A,Apuração!D:D)/_xlfn.XLOOKUP(F734,Apuração!A:A,Apuração!B:B),0)</f>
        <v>0.33333333333333331</v>
      </c>
      <c r="BQ734" s="53">
        <f ca="1">IF(BK734&gt;=BO734,0,_xlfn.XLOOKUP(F734,Apuração!A:A,Apuração!B:B)*(BO734 + (1/_xlfn.XLOOKUP(F734,Apuração!A:A,Apuração!B:B)) - BK734))</f>
        <v>0</v>
      </c>
      <c r="BR734" s="85">
        <f t="shared" ca="1" si="1038"/>
        <v>0</v>
      </c>
      <c r="BS734" s="53">
        <f ca="1">IFERROR((_xlfn.XLOOKUP(F734,Apuração!A:A,Apuração!C:C)+1)/_xlfn.XLOOKUP(F734,Apuração!A:A,Apuração!B:B),0)</f>
        <v>0.5</v>
      </c>
    </row>
    <row r="735" spans="1:71" ht="25.95" hidden="1" customHeight="1" x14ac:dyDescent="0.3">
      <c r="A735" s="23" t="s">
        <v>134</v>
      </c>
      <c r="B735" s="4" t="s">
        <v>150</v>
      </c>
      <c r="C735" s="5" t="s">
        <v>97</v>
      </c>
      <c r="D735" s="5" t="s">
        <v>105</v>
      </c>
      <c r="E735" s="4" t="str" cm="1">
        <f t="array" ref="E735">_xlfn.IFS(
F735 = "A partir de Abril", "Aguardando Execução na Distribuidora",
A735 = "CAPACITAÇÃO", "Em execução no Corporativo",
TRUE, "Em Execução na Distribuidora"
)</f>
        <v>Em Execução na Distribuidora</v>
      </c>
      <c r="F735" s="4" t="str" cm="1">
        <f t="array" ref="F735">_xlfn.IFS(
AG735 &lt;&gt; "", "Jan-Dez/26",
AH735 &lt;&gt; "", "Fev-Dez/26",
AI735 &lt;&gt; "", "Mar-Dez/26", AJ735 &lt;&gt; "", "Abr-Dez/26",
TRUE, "A partir de Junho"
)</f>
        <v>Jan-Dez/26</v>
      </c>
      <c r="G735" s="4" t="s">
        <v>37</v>
      </c>
      <c r="H735" s="7" t="s">
        <v>54</v>
      </c>
      <c r="I735" s="8" t="s">
        <v>152</v>
      </c>
      <c r="J735" s="8" t="str" cm="1">
        <f t="array" aca="1" ref="J735" ca="1">_xlfn.LET(
  _xlpm.actual_value_month, INDEX(T735:AE735, MATCH(DATE(YEAR(TODAY()), MONTH(TODAY()), 1), $T$1:$AE$1, 0)),
  IF(_xlpm.actual_value_month &lt;&gt; "",_xlpm.actual_value_month &amp; " ações mensais", "")
)</f>
        <v/>
      </c>
      <c r="K735" s="8" t="str" cm="1">
        <f t="array" ref="K735">_xlfn.LET(
    _xlpm.sum_month, SUM(T735:AE735),
    IF(_xlpm.sum_month = 0, "", _xlpm.sum_month &amp; " reuniões ordinárias no ano")
)</f>
        <v/>
      </c>
      <c r="L735" s="9" t="s">
        <v>153</v>
      </c>
      <c r="M735" s="24">
        <v>1</v>
      </c>
      <c r="N735" s="67" t="s">
        <v>51</v>
      </c>
      <c r="O735" s="5" t="s">
        <v>52</v>
      </c>
      <c r="P735" s="10" t="s">
        <v>44</v>
      </c>
      <c r="Q735" s="10" t="s">
        <v>72</v>
      </c>
      <c r="R735" s="11" t="s">
        <v>44</v>
      </c>
      <c r="S735" s="11" t="s">
        <v>44</v>
      </c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G735" s="146">
        <v>1</v>
      </c>
      <c r="AH735" s="146">
        <v>1</v>
      </c>
      <c r="AI735" s="146">
        <v>1</v>
      </c>
      <c r="AJ735" s="146">
        <v>1</v>
      </c>
      <c r="AK735" s="71">
        <v>1</v>
      </c>
      <c r="AL735" s="71"/>
      <c r="AM735" s="71"/>
      <c r="AN735" s="71"/>
      <c r="AO735" s="71"/>
      <c r="AP735" s="71"/>
      <c r="AQ735" s="71"/>
      <c r="AR735" s="71"/>
      <c r="AS735" s="94">
        <f t="shared" ca="1" si="1031"/>
        <v>0</v>
      </c>
      <c r="AT735" s="95">
        <f t="shared" si="1032"/>
        <v>5</v>
      </c>
      <c r="AU735" s="97">
        <f t="shared" si="1033"/>
        <v>5</v>
      </c>
      <c r="AW735" s="83">
        <f t="shared" si="1034"/>
        <v>1</v>
      </c>
      <c r="AX735" s="83">
        <f t="shared" si="1035"/>
        <v>1</v>
      </c>
      <c r="AY735" s="83">
        <f t="shared" si="1036"/>
        <v>1</v>
      </c>
      <c r="AZ735" s="83">
        <f t="shared" si="1037"/>
        <v>1</v>
      </c>
      <c r="BA735" s="52"/>
      <c r="BB735" s="52"/>
      <c r="BC735" s="52"/>
      <c r="BD735" s="52"/>
      <c r="BE735" s="52"/>
      <c r="BF735" s="52"/>
      <c r="BG735" s="52"/>
      <c r="BH735" s="52"/>
      <c r="BI735" s="68" cm="1">
        <f t="array" ref="BI735">IFERROR(INDEX(AW735:BH735,1,MATCH(2,1/(AW735:BH735&lt;&gt;""))),"")</f>
        <v>1</v>
      </c>
      <c r="BJ735" s="68" cm="1">
        <f t="array" ref="BJ735">IF(BM735 = "", "",IFERROR(INDEX(AW735:BH735,1,MATCH(2,1/(AW735:BH735&lt;&gt;""),1)-1),""))</f>
        <v>1</v>
      </c>
      <c r="BK735" s="59">
        <f>IF((IF(AW735&gt;=150%,150%,AW735) + IF(AX735&gt;=150%,150%,AX735) + IF(AY735&gt;=150%,150%,AY735) + (IF(AW735&gt;=150%,150%,AW735) + IF(BA735&gt;=150%,150%,BA735) + IF(BB735&gt;=150%,150%,BB735) + IF(BC735&gt;=150%,150%,BC735) + IF(BD735&gt;=150%,150%,BD735) + IF(BE735&gt;=150%,150%,BE735) + IF(BF735&gt;=150%,150%,BF735) + IF(BG735&gt;=150%,150%,BG735) + IF(BH735&gt;=150%,150%,BH735)))/_xlfn.XLOOKUP(F735,Apuração!A:A,Apuração!B:B)&gt;=1.15,1.15,((IF(AW735&gt;=150%,150%,AW735) + IF(AX735&gt;=150%,150%,AX735) + IF(AY735&gt;=150%,150%,AY735) + (IF(AW735&gt;=150%,150%,AW735) + IF(BA735&gt;=150%,150%,BA735) + IF(BB735&gt;=150%,150%,BB735) + IF(BC735&gt;=150%,150%,BC735) + IF(BD735&gt;=150%,150%,BD735) + IF(BE735&gt;=150%,150%,BE735) + IF(BF735&gt;=150%,150%,BF735) + IF(BG735&gt;=150%,150%,BG735) + IF(BH735&gt;=150%,150%,BH735)))/_xlfn.XLOOKUP(F735,Apuração!A:A,Apuração!B:B)))</f>
        <v>0.33333333333333331</v>
      </c>
      <c r="BL735" s="59" cm="1">
        <f t="array" aca="1" ref="BL735" ca="1">IF(SUM(IFERROR(IF(INDEX(AW735:INDEX(AW735:BH735, MATCH(2, 1/(AW735:BH735&lt;&gt;""), 1)-1), ROW(INDIRECT("1:" &amp; MATCH(2, 1/(AW735:BH735&lt;&gt;""), 1)-1))) &gt;= 150%, 150%, INDEX(AW735:INDEX(AW735:BH735, MATCH(2, 1/(AW735:BH735&lt;&gt;""), 1)-1), ROW(INDIRECT("1:" &amp; MATCH(2, 1/(AW735:BH735&lt;&gt;""), 1)-1)))), 0))/_xlfn.XLOOKUP(F735,Apuração!A:A,Apuração!B:B)&gt;=1.15,1.15,SUM(IFERROR(IF(INDEX(AW735:INDEX(AW735:BH735, MATCH(2, 1/(AW735:BH735&lt;&gt;""), 1)-1), ROW(INDIRECT("1:" &amp; MATCH(2, 1/(AW735:BH735&lt;&gt;""), 1)-1))) &gt;= 150%, 150%, INDEX(AW735:INDEX(AW735:BH735, MATCH(2, 1/(AW735:BH735&lt;&gt;""), 1)-1), ROW(INDIRECT("1:" &amp; MATCH(2, 1/(AW735:BH735&lt;&gt;""), 1)-1)))), 0))/_xlfn.XLOOKUP(F735,Apuração!A:A,Apuração!B:B))</f>
        <v>0.25</v>
      </c>
      <c r="BM735" s="55" cm="1">
        <f t="array" ref="BM735">IFERROR(
   INDEX($AW$1:$BH$1,
      _xlfn.AGGREGATE(14, 6, COLUMN($AW$1:$BH$1)/(AW735:BH735&lt;&gt;""), 2) - COLUMN($AW$1) + 1
   ),
"")</f>
        <v>46082</v>
      </c>
      <c r="BN735" s="55" cm="1">
        <f t="array" ref="BN735">IFERROR(INDEX($AW$1:$BH$1,1,MATCH(2,1/(AW735:BH735&lt;&gt;""))),"")</f>
        <v>46113</v>
      </c>
      <c r="BO735" s="53">
        <f ca="1">IFERROR(_xlfn.XLOOKUP(F735,Apuração!A:A,Apuração!C:C)/_xlfn.XLOOKUP(F735,Apuração!A:A,Apuração!B:B),0)</f>
        <v>0.41666666666666669</v>
      </c>
      <c r="BP735" s="53">
        <f ca="1">IFERROR(_xlfn.XLOOKUP(F735,Apuração!A:A,Apuração!D:D)/_xlfn.XLOOKUP(F735,Apuração!A:A,Apuração!B:B),0)</f>
        <v>0.33333333333333331</v>
      </c>
      <c r="BQ735" s="53">
        <f ca="1">IF(BK735&gt;=BO735,0,_xlfn.XLOOKUP(F735,Apuração!A:A,Apuração!B:B)*(BO735 + (1/_xlfn.XLOOKUP(F735,Apuração!A:A,Apuração!B:B)) - BK735))</f>
        <v>2</v>
      </c>
      <c r="BR735" s="85">
        <f t="shared" ca="1" si="1038"/>
        <v>0</v>
      </c>
      <c r="BS735" s="53">
        <f ca="1">IFERROR((_xlfn.XLOOKUP(F735,Apuração!A:A,Apuração!C:C)+1)/_xlfn.XLOOKUP(F735,Apuração!A:A,Apuração!B:B),0)</f>
        <v>0.5</v>
      </c>
    </row>
    <row r="736" spans="1:71" ht="25.95" hidden="1" customHeight="1" x14ac:dyDescent="0.3">
      <c r="A736" s="23" t="s">
        <v>134</v>
      </c>
      <c r="B736" s="4" t="s">
        <v>150</v>
      </c>
      <c r="C736" s="5" t="s">
        <v>97</v>
      </c>
      <c r="D736" s="5" t="s">
        <v>106</v>
      </c>
      <c r="E736" s="4" t="str" cm="1">
        <f t="array" ref="E736">_xlfn.IFS(
F736 = "A partir de Abril", "Aguardando Execução na Distribuidora",
A736 = "CAPACITAÇÃO", "Em execução no Corporativo",
TRUE, "Em Execução na Distribuidora"
)</f>
        <v>Em Execução na Distribuidora</v>
      </c>
      <c r="F736" s="4" t="str" cm="1">
        <f t="array" ref="F736">_xlfn.IFS(
AG736 &lt;&gt; "", "Jan-Dez/26",
AH736 &lt;&gt; "", "Fev-Dez/26",
AI736 &lt;&gt; "", "Mar-Dez/26", AJ736 &lt;&gt; "", "Abr-Dez/26",
TRUE, "A partir de Junho"
)</f>
        <v>Jan-Dez/26</v>
      </c>
      <c r="G736" s="4" t="s">
        <v>37</v>
      </c>
      <c r="H736" s="7" t="s">
        <v>54</v>
      </c>
      <c r="I736" s="8" t="s">
        <v>152</v>
      </c>
      <c r="J736" s="8" t="str" cm="1">
        <f t="array" aca="1" ref="J736" ca="1">_xlfn.LET(
  _xlpm.actual_value_month, INDEX(T736:AE736, MATCH(DATE(YEAR(TODAY()), MONTH(TODAY()), 1), $T$1:$AE$1, 0)),
  IF(_xlpm.actual_value_month &lt;&gt; "",_xlpm.actual_value_month &amp; " ações mensais", "")
)</f>
        <v/>
      </c>
      <c r="K736" s="8" t="str" cm="1">
        <f t="array" ref="K736">_xlfn.LET(
    _xlpm.sum_month, SUM(T736:AE736),
    IF(_xlpm.sum_month = 0, "", _xlpm.sum_month &amp; " reuniões ordinárias no ano")
)</f>
        <v/>
      </c>
      <c r="L736" s="9" t="s">
        <v>153</v>
      </c>
      <c r="M736" s="24">
        <v>1</v>
      </c>
      <c r="N736" s="67" t="s">
        <v>51</v>
      </c>
      <c r="O736" s="5" t="s">
        <v>52</v>
      </c>
      <c r="P736" s="10" t="s">
        <v>44</v>
      </c>
      <c r="Q736" s="10" t="s">
        <v>72</v>
      </c>
      <c r="R736" s="11" t="s">
        <v>44</v>
      </c>
      <c r="S736" s="11" t="s">
        <v>44</v>
      </c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G736" s="146">
        <v>1</v>
      </c>
      <c r="AH736" s="146">
        <v>1</v>
      </c>
      <c r="AI736" s="146">
        <v>1</v>
      </c>
      <c r="AJ736" s="146">
        <v>1</v>
      </c>
      <c r="AK736" s="71">
        <v>1</v>
      </c>
      <c r="AL736" s="71"/>
      <c r="AM736" s="71"/>
      <c r="AN736" s="71"/>
      <c r="AO736" s="71"/>
      <c r="AP736" s="71"/>
      <c r="AQ736" s="71"/>
      <c r="AR736" s="71"/>
      <c r="AS736" s="94">
        <f t="shared" ca="1" si="1031"/>
        <v>0</v>
      </c>
      <c r="AT736" s="95">
        <f t="shared" si="1032"/>
        <v>5</v>
      </c>
      <c r="AU736" s="97">
        <f t="shared" si="1033"/>
        <v>5</v>
      </c>
      <c r="AW736" s="83">
        <f t="shared" si="1034"/>
        <v>1</v>
      </c>
      <c r="AX736" s="83">
        <f t="shared" si="1035"/>
        <v>1</v>
      </c>
      <c r="AY736" s="83">
        <f t="shared" si="1036"/>
        <v>1</v>
      </c>
      <c r="AZ736" s="83">
        <f t="shared" si="1037"/>
        <v>1</v>
      </c>
      <c r="BA736" s="52"/>
      <c r="BB736" s="52"/>
      <c r="BC736" s="52"/>
      <c r="BD736" s="52"/>
      <c r="BE736" s="52"/>
      <c r="BF736" s="52"/>
      <c r="BG736" s="52"/>
      <c r="BH736" s="52"/>
      <c r="BI736" s="68" cm="1">
        <f t="array" ref="BI736">IFERROR(INDEX(AW736:BH736,1,MATCH(2,1/(AW736:BH736&lt;&gt;""))),"")</f>
        <v>1</v>
      </c>
      <c r="BJ736" s="68" cm="1">
        <f t="array" ref="BJ736">IF(BM736 = "", "",IFERROR(INDEX(AW736:BH736,1,MATCH(2,1/(AW736:BH736&lt;&gt;""),1)-1),""))</f>
        <v>1</v>
      </c>
      <c r="BK736" s="59">
        <f>IF((IF(AW736&gt;=150%,150%,AW736) + IF(AX736&gt;=150%,150%,AX736) + IF(AY736&gt;=150%,150%,AY736) + (IF(AW736&gt;=150%,150%,AW736) + IF(BA736&gt;=150%,150%,BA736) + IF(BB736&gt;=150%,150%,BB736) + IF(BC736&gt;=150%,150%,BC736) + IF(BD736&gt;=150%,150%,BD736) + IF(BE736&gt;=150%,150%,BE736) + IF(BF736&gt;=150%,150%,BF736) + IF(BG736&gt;=150%,150%,BG736) + IF(BH736&gt;=150%,150%,BH736)))/_xlfn.XLOOKUP(F736,Apuração!A:A,Apuração!B:B)&gt;=1.15,1.15,((IF(AW736&gt;=150%,150%,AW736) + IF(AX736&gt;=150%,150%,AX736) + IF(AY736&gt;=150%,150%,AY736) + (IF(AW736&gt;=150%,150%,AW736) + IF(BA736&gt;=150%,150%,BA736) + IF(BB736&gt;=150%,150%,BB736) + IF(BC736&gt;=150%,150%,BC736) + IF(BD736&gt;=150%,150%,BD736) + IF(BE736&gt;=150%,150%,BE736) + IF(BF736&gt;=150%,150%,BF736) + IF(BG736&gt;=150%,150%,BG736) + IF(BH736&gt;=150%,150%,BH736)))/_xlfn.XLOOKUP(F736,Apuração!A:A,Apuração!B:B)))</f>
        <v>0.33333333333333331</v>
      </c>
      <c r="BL736" s="59" cm="1">
        <f t="array" aca="1" ref="BL736" ca="1">IF(SUM(IFERROR(IF(INDEX(AW736:INDEX(AW736:BH736, MATCH(2, 1/(AW736:BH736&lt;&gt;""), 1)-1), ROW(INDIRECT("1:" &amp; MATCH(2, 1/(AW736:BH736&lt;&gt;""), 1)-1))) &gt;= 150%, 150%, INDEX(AW736:INDEX(AW736:BH736, MATCH(2, 1/(AW736:BH736&lt;&gt;""), 1)-1), ROW(INDIRECT("1:" &amp; MATCH(2, 1/(AW736:BH736&lt;&gt;""), 1)-1)))), 0))/_xlfn.XLOOKUP(F736,Apuração!A:A,Apuração!B:B)&gt;=1.15,1.15,SUM(IFERROR(IF(INDEX(AW736:INDEX(AW736:BH736, MATCH(2, 1/(AW736:BH736&lt;&gt;""), 1)-1), ROW(INDIRECT("1:" &amp; MATCH(2, 1/(AW736:BH736&lt;&gt;""), 1)-1))) &gt;= 150%, 150%, INDEX(AW736:INDEX(AW736:BH736, MATCH(2, 1/(AW736:BH736&lt;&gt;""), 1)-1), ROW(INDIRECT("1:" &amp; MATCH(2, 1/(AW736:BH736&lt;&gt;""), 1)-1)))), 0))/_xlfn.XLOOKUP(F736,Apuração!A:A,Apuração!B:B))</f>
        <v>0.25</v>
      </c>
      <c r="BM736" s="55" cm="1">
        <f t="array" ref="BM736">IFERROR(
   INDEX($AW$1:$BH$1,
      _xlfn.AGGREGATE(14, 6, COLUMN($AW$1:$BH$1)/(AW736:BH736&lt;&gt;""), 2) - COLUMN($AW$1) + 1
   ),
"")</f>
        <v>46082</v>
      </c>
      <c r="BN736" s="55" cm="1">
        <f t="array" ref="BN736">IFERROR(INDEX($AW$1:$BH$1,1,MATCH(2,1/(AW736:BH736&lt;&gt;""))),"")</f>
        <v>46113</v>
      </c>
      <c r="BO736" s="53">
        <f ca="1">IFERROR(_xlfn.XLOOKUP(F736,Apuração!A:A,Apuração!C:C)/_xlfn.XLOOKUP(F736,Apuração!A:A,Apuração!B:B),0)</f>
        <v>0.41666666666666669</v>
      </c>
      <c r="BP736" s="53">
        <f ca="1">IFERROR(_xlfn.XLOOKUP(F736,Apuração!A:A,Apuração!D:D)/_xlfn.XLOOKUP(F736,Apuração!A:A,Apuração!B:B),0)</f>
        <v>0.33333333333333331</v>
      </c>
      <c r="BQ736" s="53">
        <f ca="1">IF(BK736&gt;=BO736,0,_xlfn.XLOOKUP(F736,Apuração!A:A,Apuração!B:B)*(BO736 + (1/_xlfn.XLOOKUP(F736,Apuração!A:A,Apuração!B:B)) - BK736))</f>
        <v>2</v>
      </c>
      <c r="BR736" s="85">
        <f t="shared" ca="1" si="1038"/>
        <v>0</v>
      </c>
      <c r="BS736" s="53">
        <f ca="1">IFERROR((_xlfn.XLOOKUP(F736,Apuração!A:A,Apuração!C:C)+1)/_xlfn.XLOOKUP(F736,Apuração!A:A,Apuração!B:B),0)</f>
        <v>0.5</v>
      </c>
    </row>
    <row r="737" spans="1:71" ht="25.95" hidden="1" customHeight="1" x14ac:dyDescent="0.3">
      <c r="A737" s="23" t="s">
        <v>134</v>
      </c>
      <c r="B737" s="4" t="s">
        <v>150</v>
      </c>
      <c r="C737" s="5" t="s">
        <v>97</v>
      </c>
      <c r="D737" s="5" t="s">
        <v>107</v>
      </c>
      <c r="E737" s="4" t="str" cm="1">
        <f t="array" ref="E737">_xlfn.IFS(
F737 = "A partir de Abril", "Aguardando Execução na Distribuidora",
A737 = "CAPACITAÇÃO", "Em execução no Corporativo",
TRUE, "Em Execução na Distribuidora"
)</f>
        <v>Em Execução na Distribuidora</v>
      </c>
      <c r="F737" s="4" t="str" cm="1">
        <f t="array" ref="F737">_xlfn.IFS(
AG737 &lt;&gt; "", "Jan-Dez/26",
AH737 &lt;&gt; "", "Fev-Dez/26",
AI737 &lt;&gt; "", "Mar-Dez/26", AJ737 &lt;&gt; "", "Abr-Dez/26",
TRUE, "A partir de Junho"
)</f>
        <v>Jan-Dez/26</v>
      </c>
      <c r="G737" s="4" t="s">
        <v>37</v>
      </c>
      <c r="H737" s="7" t="s">
        <v>54</v>
      </c>
      <c r="I737" s="8" t="s">
        <v>152</v>
      </c>
      <c r="J737" s="8" t="str" cm="1">
        <f t="array" aca="1" ref="J737" ca="1">_xlfn.LET(
  _xlpm.actual_value_month, INDEX(T737:AE737, MATCH(DATE(YEAR(TODAY()), MONTH(TODAY()), 1), $T$1:$AE$1, 0)),
  IF(_xlpm.actual_value_month &lt;&gt; "",_xlpm.actual_value_month &amp; " ações mensais", "")
)</f>
        <v/>
      </c>
      <c r="K737" s="8" t="str" cm="1">
        <f t="array" ref="K737">_xlfn.LET(
    _xlpm.sum_month, SUM(T737:AE737),
    IF(_xlpm.sum_month = 0, "", _xlpm.sum_month &amp; " reuniões ordinárias no ano")
)</f>
        <v/>
      </c>
      <c r="L737" s="9" t="s">
        <v>153</v>
      </c>
      <c r="M737" s="24">
        <v>1</v>
      </c>
      <c r="N737" s="67" t="s">
        <v>51</v>
      </c>
      <c r="O737" s="5" t="s">
        <v>52</v>
      </c>
      <c r="P737" s="10" t="s">
        <v>44</v>
      </c>
      <c r="Q737" s="10" t="s">
        <v>72</v>
      </c>
      <c r="R737" s="11" t="s">
        <v>44</v>
      </c>
      <c r="S737" s="11" t="s">
        <v>44</v>
      </c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G737" s="146">
        <v>1</v>
      </c>
      <c r="AH737" s="146">
        <v>1</v>
      </c>
      <c r="AI737" s="146">
        <v>1</v>
      </c>
      <c r="AJ737" s="146">
        <v>1</v>
      </c>
      <c r="AK737" s="71">
        <v>1</v>
      </c>
      <c r="AL737" s="71"/>
      <c r="AM737" s="71"/>
      <c r="AN737" s="71"/>
      <c r="AO737" s="71"/>
      <c r="AP737" s="71"/>
      <c r="AQ737" s="71"/>
      <c r="AR737" s="71"/>
      <c r="AS737" s="94">
        <f t="shared" ca="1" si="1031"/>
        <v>0</v>
      </c>
      <c r="AT737" s="95">
        <f t="shared" si="1032"/>
        <v>5</v>
      </c>
      <c r="AU737" s="97">
        <f t="shared" si="1033"/>
        <v>5</v>
      </c>
      <c r="AW737" s="83">
        <f t="shared" si="1034"/>
        <v>1</v>
      </c>
      <c r="AX737" s="83">
        <f t="shared" si="1035"/>
        <v>1</v>
      </c>
      <c r="AY737" s="83">
        <f t="shared" si="1036"/>
        <v>1</v>
      </c>
      <c r="AZ737" s="83">
        <f t="shared" si="1037"/>
        <v>1</v>
      </c>
      <c r="BA737" s="52"/>
      <c r="BB737" s="52"/>
      <c r="BC737" s="52"/>
      <c r="BD737" s="52"/>
      <c r="BE737" s="52"/>
      <c r="BF737" s="52"/>
      <c r="BG737" s="52"/>
      <c r="BH737" s="52"/>
      <c r="BI737" s="68" cm="1">
        <f t="array" ref="BI737">IFERROR(INDEX(AW737:BH737,1,MATCH(2,1/(AW737:BH737&lt;&gt;""))),"")</f>
        <v>1</v>
      </c>
      <c r="BJ737" s="68" cm="1">
        <f t="array" ref="BJ737">IF(BM737 = "", "",IFERROR(INDEX(AW737:BH737,1,MATCH(2,1/(AW737:BH737&lt;&gt;""),1)-1),""))</f>
        <v>1</v>
      </c>
      <c r="BK737" s="59">
        <f>IF((IF(AW737&gt;=150%,150%,AW737) + IF(AX737&gt;=150%,150%,AX737) + IF(AY737&gt;=150%,150%,AY737) + (IF(AW737&gt;=150%,150%,AW737) + IF(BA737&gt;=150%,150%,BA737) + IF(BB737&gt;=150%,150%,BB737) + IF(BC737&gt;=150%,150%,BC737) + IF(BD737&gt;=150%,150%,BD737) + IF(BE737&gt;=150%,150%,BE737) + IF(BF737&gt;=150%,150%,BF737) + IF(BG737&gt;=150%,150%,BG737) + IF(BH737&gt;=150%,150%,BH737)))/_xlfn.XLOOKUP(F737,Apuração!A:A,Apuração!B:B)&gt;=1.15,1.15,((IF(AW737&gt;=150%,150%,AW737) + IF(AX737&gt;=150%,150%,AX737) + IF(AY737&gt;=150%,150%,AY737) + (IF(AW737&gt;=150%,150%,AW737) + IF(BA737&gt;=150%,150%,BA737) + IF(BB737&gt;=150%,150%,BB737) + IF(BC737&gt;=150%,150%,BC737) + IF(BD737&gt;=150%,150%,BD737) + IF(BE737&gt;=150%,150%,BE737) + IF(BF737&gt;=150%,150%,BF737) + IF(BG737&gt;=150%,150%,BG737) + IF(BH737&gt;=150%,150%,BH737)))/_xlfn.XLOOKUP(F737,Apuração!A:A,Apuração!B:B)))</f>
        <v>0.33333333333333331</v>
      </c>
      <c r="BL737" s="59" cm="1">
        <f t="array" aca="1" ref="BL737" ca="1">IF(SUM(IFERROR(IF(INDEX(AW737:INDEX(AW737:BH737, MATCH(2, 1/(AW737:BH737&lt;&gt;""), 1)-1), ROW(INDIRECT("1:" &amp; MATCH(2, 1/(AW737:BH737&lt;&gt;""), 1)-1))) &gt;= 150%, 150%, INDEX(AW737:INDEX(AW737:BH737, MATCH(2, 1/(AW737:BH737&lt;&gt;""), 1)-1), ROW(INDIRECT("1:" &amp; MATCH(2, 1/(AW737:BH737&lt;&gt;""), 1)-1)))), 0))/_xlfn.XLOOKUP(F737,Apuração!A:A,Apuração!B:B)&gt;=1.15,1.15,SUM(IFERROR(IF(INDEX(AW737:INDEX(AW737:BH737, MATCH(2, 1/(AW737:BH737&lt;&gt;""), 1)-1), ROW(INDIRECT("1:" &amp; MATCH(2, 1/(AW737:BH737&lt;&gt;""), 1)-1))) &gt;= 150%, 150%, INDEX(AW737:INDEX(AW737:BH737, MATCH(2, 1/(AW737:BH737&lt;&gt;""), 1)-1), ROW(INDIRECT("1:" &amp; MATCH(2, 1/(AW737:BH737&lt;&gt;""), 1)-1)))), 0))/_xlfn.XLOOKUP(F737,Apuração!A:A,Apuração!B:B))</f>
        <v>0.25</v>
      </c>
      <c r="BM737" s="55" cm="1">
        <f t="array" ref="BM737">IFERROR(
   INDEX($AW$1:$BH$1,
      _xlfn.AGGREGATE(14, 6, COLUMN($AW$1:$BH$1)/(AW737:BH737&lt;&gt;""), 2) - COLUMN($AW$1) + 1
   ),
"")</f>
        <v>46082</v>
      </c>
      <c r="BN737" s="55" cm="1">
        <f t="array" ref="BN737">IFERROR(INDEX($AW$1:$BH$1,1,MATCH(2,1/(AW737:BH737&lt;&gt;""))),"")</f>
        <v>46113</v>
      </c>
      <c r="BO737" s="53">
        <f ca="1">IFERROR(_xlfn.XLOOKUP(F737,Apuração!A:A,Apuração!C:C)/_xlfn.XLOOKUP(F737,Apuração!A:A,Apuração!B:B),0)</f>
        <v>0.41666666666666669</v>
      </c>
      <c r="BP737" s="53">
        <f ca="1">IFERROR(_xlfn.XLOOKUP(F737,Apuração!A:A,Apuração!D:D)/_xlfn.XLOOKUP(F737,Apuração!A:A,Apuração!B:B),0)</f>
        <v>0.33333333333333331</v>
      </c>
      <c r="BQ737" s="53">
        <f ca="1">IF(BK737&gt;=BO737,0,_xlfn.XLOOKUP(F737,Apuração!A:A,Apuração!B:B)*(BO737 + (1/_xlfn.XLOOKUP(F737,Apuração!A:A,Apuração!B:B)) - BK737))</f>
        <v>2</v>
      </c>
      <c r="BR737" s="85">
        <f t="shared" ca="1" si="1038"/>
        <v>0</v>
      </c>
      <c r="BS737" s="53">
        <f ca="1">IFERROR((_xlfn.XLOOKUP(F737,Apuração!A:A,Apuração!C:C)+1)/_xlfn.XLOOKUP(F737,Apuração!A:A,Apuração!B:B),0)</f>
        <v>0.5</v>
      </c>
    </row>
    <row r="738" spans="1:71" ht="25.95" customHeight="1" x14ac:dyDescent="0.3">
      <c r="A738" s="23" t="s">
        <v>134</v>
      </c>
      <c r="B738" s="4" t="s">
        <v>150</v>
      </c>
      <c r="C738" s="5" t="s">
        <v>97</v>
      </c>
      <c r="D738" s="5" t="s">
        <v>36</v>
      </c>
      <c r="E738" s="4" t="str" cm="1">
        <f t="array" ref="E738">_xlfn.IFS(
F738 = "A partir de Abril", "Aguardando Execução na Distribuidora",
A738 = "CAPACITAÇÃO", "Em execução no Corporativo",
TRUE, "Em Execução na Distribuidora"
)</f>
        <v>Em Execução na Distribuidora</v>
      </c>
      <c r="F738" s="4" t="str" cm="1">
        <f t="array" ref="F738">_xlfn.IFS(
AG738 &lt;&gt; "", "Jan-Dez/26",
AH738 &lt;&gt; "", "Fev-Dez/26",
AI738 &lt;&gt; "", "Mar-Dez/26", AJ738 &lt;&gt; "", "Abr-Dez/26",
TRUE, "A partir de Junho"
)</f>
        <v>Jan-Dez/26</v>
      </c>
      <c r="G738" s="4" t="s">
        <v>37</v>
      </c>
      <c r="H738" s="7" t="s">
        <v>54</v>
      </c>
      <c r="I738" s="8" t="s">
        <v>154</v>
      </c>
      <c r="J738" s="8" t="str" cm="1">
        <f t="array" aca="1" ref="J738" ca="1">_xlfn.LET(
  _xlpm.actual_value_month, INDEX(T738:AE738, MATCH(DATE(YEAR(TODAY()), MONTH(TODAY()), 1), $T$1:$AE$1, 0)),
  IF(_xlpm.actual_value_month &lt;&gt; "",_xlpm.actual_value_month &amp; " ações mensais", "")
)</f>
        <v/>
      </c>
      <c r="K738" s="8" t="str" cm="1">
        <f t="array" ref="K738">_xlfn.LET(
    _xlpm.sum_month, SUM(T738:AE738),
    IF(_xlpm.sum_month = 0, "", _xlpm.sum_month &amp; " presença de representantes no ano")
)</f>
        <v/>
      </c>
      <c r="L738" s="9" t="s">
        <v>155</v>
      </c>
      <c r="M738" s="24">
        <v>1</v>
      </c>
      <c r="N738" s="67" t="s">
        <v>51</v>
      </c>
      <c r="O738" s="111" t="s">
        <v>43</v>
      </c>
      <c r="P738" s="10" t="s">
        <v>44</v>
      </c>
      <c r="Q738" s="10" t="s">
        <v>72</v>
      </c>
      <c r="R738" s="11" t="s">
        <v>44</v>
      </c>
      <c r="S738" s="11" t="s">
        <v>44</v>
      </c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G738" s="71">
        <v>124</v>
      </c>
      <c r="AH738" s="71">
        <v>121</v>
      </c>
      <c r="AI738" s="71">
        <v>94</v>
      </c>
      <c r="AJ738" s="71">
        <v>80</v>
      </c>
      <c r="AK738" s="71">
        <v>94</v>
      </c>
      <c r="AL738" s="71"/>
      <c r="AM738" s="71"/>
      <c r="AN738" s="71"/>
      <c r="AO738" s="71"/>
      <c r="AP738" s="71"/>
      <c r="AQ738" s="71"/>
      <c r="AR738" s="71"/>
      <c r="AS738" s="94">
        <f t="shared" ca="1" si="966"/>
        <v>0</v>
      </c>
      <c r="AT738" s="95">
        <f>SUM(AG738:AR738)</f>
        <v>513</v>
      </c>
      <c r="AU738" s="97">
        <f t="shared" si="967"/>
        <v>513</v>
      </c>
      <c r="AW738" s="83">
        <f t="shared" ref="AW738:AW749" si="1039">AG738</f>
        <v>124</v>
      </c>
      <c r="AX738" s="83">
        <f t="shared" si="1028"/>
        <v>121</v>
      </c>
      <c r="AY738" s="83">
        <f t="shared" si="1029"/>
        <v>94</v>
      </c>
      <c r="AZ738" s="83">
        <f t="shared" si="1030"/>
        <v>80</v>
      </c>
      <c r="BA738" s="52"/>
      <c r="BB738" s="52"/>
      <c r="BC738" s="52"/>
      <c r="BD738" s="52"/>
      <c r="BE738" s="52"/>
      <c r="BF738" s="52"/>
      <c r="BG738" s="52"/>
      <c r="BH738" s="52"/>
      <c r="BI738" s="68" cm="1">
        <f t="array" ref="BI738">IFERROR(INDEX(AW738:BH738,1,MATCH(2,1/(AW738:BH738&lt;&gt;""))),"")</f>
        <v>80</v>
      </c>
      <c r="BJ738" s="68" cm="1">
        <f t="array" ref="BJ738">IF(BM738 = "", "",IFERROR(INDEX(AW738:BH738,1,MATCH(2,1/(AW738:BH738&lt;&gt;""),1)-1),""))</f>
        <v>94</v>
      </c>
      <c r="BK738" s="59">
        <f>IF((IF(AW738&gt;=150%,150%,AW738) + IF(AX738&gt;=150%,150%,AX738) + IF(AY738&gt;=150%,150%,AY738) + (IF(AW738&gt;=150%,150%,AW738) + IF(BA738&gt;=150%,150%,BA738) + IF(BB738&gt;=150%,150%,BB738) + IF(BC738&gt;=150%,150%,BC738) + IF(BD738&gt;=150%,150%,BD738) + IF(BE738&gt;=150%,150%,BE738) + IF(BF738&gt;=150%,150%,BF738) + IF(BG738&gt;=150%,150%,BG738) + IF(BH738&gt;=150%,150%,BH738)))/_xlfn.XLOOKUP(F738,Apuração!A:A,Apuração!B:B)&gt;=1.15,1.15,((IF(AW738&gt;=150%,150%,AW738) + IF(AX738&gt;=150%,150%,AX738) + IF(AY738&gt;=150%,150%,AY738) + (IF(AW738&gt;=150%,150%,AW738) + IF(BA738&gt;=150%,150%,BA738) + IF(BB738&gt;=150%,150%,BB738) + IF(BC738&gt;=150%,150%,BC738) + IF(BD738&gt;=150%,150%,BD738) + IF(BE738&gt;=150%,150%,BE738) + IF(BF738&gt;=150%,150%,BF738) + IF(BG738&gt;=150%,150%,BG738) + IF(BH738&gt;=150%,150%,BH738)))/_xlfn.XLOOKUP(F738,Apuração!A:A,Apuração!B:B)))</f>
        <v>0.5</v>
      </c>
      <c r="BL738" s="59" cm="1">
        <f t="array" aca="1" ref="BL738" ca="1">IF(SUM(IFERROR(IF(INDEX(AW738:INDEX(AW738:BH738, MATCH(2, 1/(AW738:BH738&lt;&gt;""), 1)-1), ROW(INDIRECT("1:" &amp; MATCH(2, 1/(AW738:BH738&lt;&gt;""), 1)-1))) &gt;= 150%, 150%, INDEX(AW738:INDEX(AW738:BH738, MATCH(2, 1/(AW738:BH738&lt;&gt;""), 1)-1), ROW(INDIRECT("1:" &amp; MATCH(2, 1/(AW738:BH738&lt;&gt;""), 1)-1)))), 0))/_xlfn.XLOOKUP(F738,Apuração!A:A,Apuração!B:B)&gt;=1.15,1.15,SUM(IFERROR(IF(INDEX(AW738:INDEX(AW738:BH738, MATCH(2, 1/(AW738:BH738&lt;&gt;""), 1)-1), ROW(INDIRECT("1:" &amp; MATCH(2, 1/(AW738:BH738&lt;&gt;""), 1)-1))) &gt;= 150%, 150%, INDEX(AW738:INDEX(AW738:BH738, MATCH(2, 1/(AW738:BH738&lt;&gt;""), 1)-1), ROW(INDIRECT("1:" &amp; MATCH(2, 1/(AW738:BH738&lt;&gt;""), 1)-1)))), 0))/_xlfn.XLOOKUP(F738,Apuração!A:A,Apuração!B:B))</f>
        <v>0.375</v>
      </c>
      <c r="BM738" s="55" cm="1">
        <f t="array" ref="BM738">IFERROR(
   INDEX($AW$1:$BH$1,
      _xlfn.AGGREGATE(14, 6, COLUMN($AW$1:$BH$1)/(AW738:BH738&lt;&gt;""), 2) - COLUMN($AW$1) + 1
   ),
"")</f>
        <v>46082</v>
      </c>
      <c r="BN738" s="55" cm="1">
        <f t="array" ref="BN738">IFERROR(INDEX($AW$1:$BH$1,1,MATCH(2,1/(AW738:BH738&lt;&gt;""))),"")</f>
        <v>46113</v>
      </c>
      <c r="BO738" s="53">
        <f ca="1">IFERROR(_xlfn.XLOOKUP(F738,Apuração!A:A,Apuração!C:C)/_xlfn.XLOOKUP(F738,Apuração!A:A,Apuração!B:B),0)</f>
        <v>0.41666666666666669</v>
      </c>
      <c r="BP738" s="53">
        <f ca="1">IFERROR(_xlfn.XLOOKUP(F738,Apuração!A:A,Apuração!D:D)/_xlfn.XLOOKUP(F738,Apuração!A:A,Apuração!B:B),0)</f>
        <v>0.33333333333333331</v>
      </c>
      <c r="BQ738" s="53">
        <f ca="1">IF(BK738&gt;=BO738,0,_xlfn.XLOOKUP(F738,Apuração!A:A,Apuração!B:B)*(BO738 + (1/_xlfn.XLOOKUP(F738,Apuração!A:A,Apuração!B:B)) - BK738))</f>
        <v>0</v>
      </c>
      <c r="BR738" s="85">
        <f t="shared" ca="1" si="898"/>
        <v>0</v>
      </c>
      <c r="BS738" s="53">
        <f ca="1">IFERROR((_xlfn.XLOOKUP(F738,Apuração!A:A,Apuração!C:C)+1)/_xlfn.XLOOKUP(F738,Apuração!A:A,Apuração!B:B),0)</f>
        <v>0.5</v>
      </c>
    </row>
    <row r="739" spans="1:71" ht="25.95" hidden="1" customHeight="1" x14ac:dyDescent="0.3">
      <c r="A739" s="23" t="s">
        <v>134</v>
      </c>
      <c r="B739" s="4" t="s">
        <v>150</v>
      </c>
      <c r="C739" s="5" t="s">
        <v>97</v>
      </c>
      <c r="D739" s="5" t="s">
        <v>98</v>
      </c>
      <c r="E739" s="4" t="str" cm="1">
        <f t="array" ref="E739">_xlfn.IFS(
F739 = "A partir de Abril", "Aguardando Execução na Distribuidora",
A739 = "CAPACITAÇÃO", "Em execução no Corporativo",
TRUE, "Em Execução na Distribuidora"
)</f>
        <v>Em Execução na Distribuidora</v>
      </c>
      <c r="F739" s="4" t="str" cm="1">
        <f t="array" ref="F739">_xlfn.IFS(
AG739 &lt;&gt; "", "Jan-Dez/26",
AH739 &lt;&gt; "", "Fev-Dez/26",
AI739 &lt;&gt; "", "Mar-Dez/26", AJ739 &lt;&gt; "", "Abr-Dez/26",
TRUE, "A partir de Junho"
)</f>
        <v>Jan-Dez/26</v>
      </c>
      <c r="G739" s="4" t="s">
        <v>37</v>
      </c>
      <c r="H739" s="7" t="s">
        <v>54</v>
      </c>
      <c r="I739" s="8" t="s">
        <v>154</v>
      </c>
      <c r="J739" s="8" t="str" cm="1">
        <f t="array" aca="1" ref="J739" ca="1">_xlfn.LET(
  _xlpm.actual_value_month, INDEX(T739:AE739, MATCH(DATE(YEAR(TODAY()), MONTH(TODAY()), 1), $T$1:$AE$1, 0)),
  IF(_xlpm.actual_value_month &lt;&gt; "",_xlpm.actual_value_month &amp; " ações mensais", "")
)</f>
        <v/>
      </c>
      <c r="K739" s="8" t="str" cm="1">
        <f t="array" ref="K739">_xlfn.LET(
    _xlpm.sum_month, SUM(T739:AE739),
    IF(_xlpm.sum_month = 0, "", _xlpm.sum_month &amp; " presença de representantes no ano")
)</f>
        <v/>
      </c>
      <c r="L739" s="9" t="s">
        <v>155</v>
      </c>
      <c r="M739" s="24">
        <v>1</v>
      </c>
      <c r="N739" s="67" t="s">
        <v>51</v>
      </c>
      <c r="O739" s="111" t="s">
        <v>43</v>
      </c>
      <c r="P739" s="10" t="s">
        <v>44</v>
      </c>
      <c r="Q739" s="10" t="s">
        <v>72</v>
      </c>
      <c r="R739" s="11" t="s">
        <v>44</v>
      </c>
      <c r="S739" s="11" t="s">
        <v>44</v>
      </c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G739" s="71">
        <v>5</v>
      </c>
      <c r="AH739" s="71">
        <v>5</v>
      </c>
      <c r="AI739" s="71">
        <v>5</v>
      </c>
      <c r="AJ739" s="71">
        <v>5</v>
      </c>
      <c r="AK739" s="71">
        <v>7</v>
      </c>
      <c r="AL739" s="71"/>
      <c r="AM739" s="71"/>
      <c r="AN739" s="71"/>
      <c r="AO739" s="71"/>
      <c r="AP739" s="71"/>
      <c r="AQ739" s="71"/>
      <c r="AR739" s="71"/>
      <c r="AS739" s="94">
        <f t="shared" ref="AS739:AS748" ca="1" si="1040">IF(MONTH(TODAY())=3,SUM(T739:U739),IF(MONTH(TODAY())=4,SUM(T739:V739),IF(MONTH(TODAY())=5,SUM(T739:W739),IF(MONTH(TODAY())=6,SUM(T739:X739),IF(MONTH(TODAY())=7,SUM(T739:Y739),IF(MONTH(TODAY())=8,SUM(T739:Z739),IF(MONTH(TODAY())=9,SUM(T739:AA739),IF(MONTH(TODAY())=10,SUM(T739:AB739),IF(MONTH(TODAY())=11,SUM(T739:AC739),IF(MONTH(TODAY())=12,SUM(T739:AD739),IF(MONTH(TODAY())=1,SUM(T739:AE739),T739)))))))))))</f>
        <v>0</v>
      </c>
      <c r="AT739" s="95">
        <f t="shared" ref="AT739:AT748" si="1041">SUM(AG739:AR739)</f>
        <v>27</v>
      </c>
      <c r="AU739" s="97">
        <f t="shared" ref="AU739:AU748" si="1042">SUM(AG739:AR739)</f>
        <v>27</v>
      </c>
      <c r="AW739" s="83">
        <f t="shared" ref="AW739:AW748" si="1043">AG739</f>
        <v>5</v>
      </c>
      <c r="AX739" s="83">
        <f t="shared" ref="AX739:AX748" si="1044">AH739</f>
        <v>5</v>
      </c>
      <c r="AY739" s="83">
        <f t="shared" ref="AY739:AY748" si="1045">AI739</f>
        <v>5</v>
      </c>
      <c r="AZ739" s="83">
        <f t="shared" ref="AZ739:AZ748" si="1046">AJ739</f>
        <v>5</v>
      </c>
      <c r="BA739" s="52"/>
      <c r="BB739" s="52"/>
      <c r="BC739" s="52"/>
      <c r="BD739" s="52"/>
      <c r="BE739" s="52"/>
      <c r="BF739" s="52"/>
      <c r="BG739" s="52"/>
      <c r="BH739" s="52"/>
      <c r="BI739" s="68" cm="1">
        <f t="array" ref="BI739">IFERROR(INDEX(AW739:BH739,1,MATCH(2,1/(AW739:BH739&lt;&gt;""))),"")</f>
        <v>5</v>
      </c>
      <c r="BJ739" s="68" cm="1">
        <f t="array" ref="BJ739">IF(BM739 = "", "",IFERROR(INDEX(AW739:BH739,1,MATCH(2,1/(AW739:BH739&lt;&gt;""),1)-1),""))</f>
        <v>5</v>
      </c>
      <c r="BK739" s="59">
        <f>IF((IF(AW739&gt;=150%,150%,AW739) + IF(AX739&gt;=150%,150%,AX739) + IF(AY739&gt;=150%,150%,AY739) + (IF(AW739&gt;=150%,150%,AW739) + IF(BA739&gt;=150%,150%,BA739) + IF(BB739&gt;=150%,150%,BB739) + IF(BC739&gt;=150%,150%,BC739) + IF(BD739&gt;=150%,150%,BD739) + IF(BE739&gt;=150%,150%,BE739) + IF(BF739&gt;=150%,150%,BF739) + IF(BG739&gt;=150%,150%,BG739) + IF(BH739&gt;=150%,150%,BH739)))/_xlfn.XLOOKUP(F739,Apuração!A:A,Apuração!B:B)&gt;=1.15,1.15,((IF(AW739&gt;=150%,150%,AW739) + IF(AX739&gt;=150%,150%,AX739) + IF(AY739&gt;=150%,150%,AY739) + (IF(AW739&gt;=150%,150%,AW739) + IF(BA739&gt;=150%,150%,BA739) + IF(BB739&gt;=150%,150%,BB739) + IF(BC739&gt;=150%,150%,BC739) + IF(BD739&gt;=150%,150%,BD739) + IF(BE739&gt;=150%,150%,BE739) + IF(BF739&gt;=150%,150%,BF739) + IF(BG739&gt;=150%,150%,BG739) + IF(BH739&gt;=150%,150%,BH739)))/_xlfn.XLOOKUP(F739,Apuração!A:A,Apuração!B:B)))</f>
        <v>0.5</v>
      </c>
      <c r="BL739" s="59" cm="1">
        <f t="array" aca="1" ref="BL739" ca="1">IF(SUM(IFERROR(IF(INDEX(AW739:INDEX(AW739:BH739, MATCH(2, 1/(AW739:BH739&lt;&gt;""), 1)-1), ROW(INDIRECT("1:" &amp; MATCH(2, 1/(AW739:BH739&lt;&gt;""), 1)-1))) &gt;= 150%, 150%, INDEX(AW739:INDEX(AW739:BH739, MATCH(2, 1/(AW739:BH739&lt;&gt;""), 1)-1), ROW(INDIRECT("1:" &amp; MATCH(2, 1/(AW739:BH739&lt;&gt;""), 1)-1)))), 0))/_xlfn.XLOOKUP(F739,Apuração!A:A,Apuração!B:B)&gt;=1.15,1.15,SUM(IFERROR(IF(INDEX(AW739:INDEX(AW739:BH739, MATCH(2, 1/(AW739:BH739&lt;&gt;""), 1)-1), ROW(INDIRECT("1:" &amp; MATCH(2, 1/(AW739:BH739&lt;&gt;""), 1)-1))) &gt;= 150%, 150%, INDEX(AW739:INDEX(AW739:BH739, MATCH(2, 1/(AW739:BH739&lt;&gt;""), 1)-1), ROW(INDIRECT("1:" &amp; MATCH(2, 1/(AW739:BH739&lt;&gt;""), 1)-1)))), 0))/_xlfn.XLOOKUP(F739,Apuração!A:A,Apuração!B:B))</f>
        <v>0.375</v>
      </c>
      <c r="BM739" s="55" cm="1">
        <f t="array" ref="BM739">IFERROR(
   INDEX($AW$1:$BH$1,
      _xlfn.AGGREGATE(14, 6, COLUMN($AW$1:$BH$1)/(AW739:BH739&lt;&gt;""), 2) - COLUMN($AW$1) + 1
   ),
"")</f>
        <v>46082</v>
      </c>
      <c r="BN739" s="55" cm="1">
        <f t="array" ref="BN739">IFERROR(INDEX($AW$1:$BH$1,1,MATCH(2,1/(AW739:BH739&lt;&gt;""))),"")</f>
        <v>46113</v>
      </c>
      <c r="BO739" s="53">
        <f ca="1">IFERROR(_xlfn.XLOOKUP(F739,Apuração!A:A,Apuração!C:C)/_xlfn.XLOOKUP(F739,Apuração!A:A,Apuração!B:B),0)</f>
        <v>0.41666666666666669</v>
      </c>
      <c r="BP739" s="53">
        <f ca="1">IFERROR(_xlfn.XLOOKUP(F739,Apuração!A:A,Apuração!D:D)/_xlfn.XLOOKUP(F739,Apuração!A:A,Apuração!B:B),0)</f>
        <v>0.33333333333333331</v>
      </c>
      <c r="BQ739" s="53">
        <f ca="1">IF(BK739&gt;=BO739,0,_xlfn.XLOOKUP(F739,Apuração!A:A,Apuração!B:B)*(BO739 + (1/_xlfn.XLOOKUP(F739,Apuração!A:A,Apuração!B:B)) - BK739))</f>
        <v>0</v>
      </c>
      <c r="BR739" s="85">
        <f t="shared" ref="BR739:BR748" ca="1" si="1047">IF(BQ739=0,0,BQ739*Z739)</f>
        <v>0</v>
      </c>
      <c r="BS739" s="53">
        <f ca="1">IFERROR((_xlfn.XLOOKUP(F739,Apuração!A:A,Apuração!C:C)+1)/_xlfn.XLOOKUP(F739,Apuração!A:A,Apuração!B:B),0)</f>
        <v>0.5</v>
      </c>
    </row>
    <row r="740" spans="1:71" ht="25.95" hidden="1" customHeight="1" x14ac:dyDescent="0.3">
      <c r="A740" s="23" t="s">
        <v>134</v>
      </c>
      <c r="B740" s="4" t="s">
        <v>150</v>
      </c>
      <c r="C740" s="5" t="s">
        <v>97</v>
      </c>
      <c r="D740" s="5" t="s">
        <v>99</v>
      </c>
      <c r="E740" s="4" t="str" cm="1">
        <f t="array" ref="E740">_xlfn.IFS(
F740 = "A partir de Abril", "Aguardando Execução na Distribuidora",
A740 = "CAPACITAÇÃO", "Em execução no Corporativo",
TRUE, "Em Execução na Distribuidora"
)</f>
        <v>Em Execução na Distribuidora</v>
      </c>
      <c r="F740" s="4" t="str" cm="1">
        <f t="array" ref="F740">_xlfn.IFS(
AG740 &lt;&gt; "", "Jan-Dez/26",
AH740 &lt;&gt; "", "Fev-Dez/26",
AI740 &lt;&gt; "", "Mar-Dez/26", AJ740 &lt;&gt; "", "Abr-Dez/26",
TRUE, "A partir de Junho"
)</f>
        <v>Jan-Dez/26</v>
      </c>
      <c r="G740" s="4" t="s">
        <v>37</v>
      </c>
      <c r="H740" s="7" t="s">
        <v>54</v>
      </c>
      <c r="I740" s="8" t="s">
        <v>154</v>
      </c>
      <c r="J740" s="8" t="str" cm="1">
        <f t="array" aca="1" ref="J740" ca="1">_xlfn.LET(
  _xlpm.actual_value_month, INDEX(T740:AE740, MATCH(DATE(YEAR(TODAY()), MONTH(TODAY()), 1), $T$1:$AE$1, 0)),
  IF(_xlpm.actual_value_month &lt;&gt; "",_xlpm.actual_value_month &amp; " ações mensais", "")
)</f>
        <v/>
      </c>
      <c r="K740" s="8" t="str" cm="1">
        <f t="array" ref="K740">_xlfn.LET(
    _xlpm.sum_month, SUM(T740:AE740),
    IF(_xlpm.sum_month = 0, "", _xlpm.sum_month &amp; " presença de representantes no ano")
)</f>
        <v/>
      </c>
      <c r="L740" s="9" t="s">
        <v>155</v>
      </c>
      <c r="M740" s="24">
        <v>1</v>
      </c>
      <c r="N740" s="67" t="s">
        <v>51</v>
      </c>
      <c r="O740" s="111" t="s">
        <v>43</v>
      </c>
      <c r="P740" s="10" t="s">
        <v>44</v>
      </c>
      <c r="Q740" s="10" t="s">
        <v>72</v>
      </c>
      <c r="R740" s="11" t="s">
        <v>44</v>
      </c>
      <c r="S740" s="11" t="s">
        <v>44</v>
      </c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G740" s="71">
        <v>5</v>
      </c>
      <c r="AH740" s="71">
        <v>5</v>
      </c>
      <c r="AI740" s="71">
        <v>5</v>
      </c>
      <c r="AJ740" s="71">
        <v>5</v>
      </c>
      <c r="AK740" s="71">
        <v>6</v>
      </c>
      <c r="AL740" s="71"/>
      <c r="AM740" s="71"/>
      <c r="AN740" s="71"/>
      <c r="AO740" s="71"/>
      <c r="AP740" s="71"/>
      <c r="AQ740" s="71"/>
      <c r="AR740" s="71"/>
      <c r="AS740" s="94">
        <f t="shared" ca="1" si="1040"/>
        <v>0</v>
      </c>
      <c r="AT740" s="95">
        <f t="shared" si="1041"/>
        <v>26</v>
      </c>
      <c r="AU740" s="97">
        <f t="shared" si="1042"/>
        <v>26</v>
      </c>
      <c r="AW740" s="83">
        <f t="shared" si="1043"/>
        <v>5</v>
      </c>
      <c r="AX740" s="83">
        <f t="shared" si="1044"/>
        <v>5</v>
      </c>
      <c r="AY740" s="83">
        <f t="shared" si="1045"/>
        <v>5</v>
      </c>
      <c r="AZ740" s="83">
        <f t="shared" si="1046"/>
        <v>5</v>
      </c>
      <c r="BA740" s="52"/>
      <c r="BB740" s="52"/>
      <c r="BC740" s="52"/>
      <c r="BD740" s="52"/>
      <c r="BE740" s="52"/>
      <c r="BF740" s="52"/>
      <c r="BG740" s="52"/>
      <c r="BH740" s="52"/>
      <c r="BI740" s="68" cm="1">
        <f t="array" ref="BI740">IFERROR(INDEX(AW740:BH740,1,MATCH(2,1/(AW740:BH740&lt;&gt;""))),"")</f>
        <v>5</v>
      </c>
      <c r="BJ740" s="68" cm="1">
        <f t="array" ref="BJ740">IF(BM740 = "", "",IFERROR(INDEX(AW740:BH740,1,MATCH(2,1/(AW740:BH740&lt;&gt;""),1)-1),""))</f>
        <v>5</v>
      </c>
      <c r="BK740" s="59">
        <f>IF((IF(AW740&gt;=150%,150%,AW740) + IF(AX740&gt;=150%,150%,AX740) + IF(AY740&gt;=150%,150%,AY740) + (IF(AW740&gt;=150%,150%,AW740) + IF(BA740&gt;=150%,150%,BA740) + IF(BB740&gt;=150%,150%,BB740) + IF(BC740&gt;=150%,150%,BC740) + IF(BD740&gt;=150%,150%,BD740) + IF(BE740&gt;=150%,150%,BE740) + IF(BF740&gt;=150%,150%,BF740) + IF(BG740&gt;=150%,150%,BG740) + IF(BH740&gt;=150%,150%,BH740)))/_xlfn.XLOOKUP(F740,Apuração!A:A,Apuração!B:B)&gt;=1.15,1.15,((IF(AW740&gt;=150%,150%,AW740) + IF(AX740&gt;=150%,150%,AX740) + IF(AY740&gt;=150%,150%,AY740) + (IF(AW740&gt;=150%,150%,AW740) + IF(BA740&gt;=150%,150%,BA740) + IF(BB740&gt;=150%,150%,BB740) + IF(BC740&gt;=150%,150%,BC740) + IF(BD740&gt;=150%,150%,BD740) + IF(BE740&gt;=150%,150%,BE740) + IF(BF740&gt;=150%,150%,BF740) + IF(BG740&gt;=150%,150%,BG740) + IF(BH740&gt;=150%,150%,BH740)))/_xlfn.XLOOKUP(F740,Apuração!A:A,Apuração!B:B)))</f>
        <v>0.5</v>
      </c>
      <c r="BL740" s="59" cm="1">
        <f t="array" aca="1" ref="BL740" ca="1">IF(SUM(IFERROR(IF(INDEX(AW740:INDEX(AW740:BH740, MATCH(2, 1/(AW740:BH740&lt;&gt;""), 1)-1), ROW(INDIRECT("1:" &amp; MATCH(2, 1/(AW740:BH740&lt;&gt;""), 1)-1))) &gt;= 150%, 150%, INDEX(AW740:INDEX(AW740:BH740, MATCH(2, 1/(AW740:BH740&lt;&gt;""), 1)-1), ROW(INDIRECT("1:" &amp; MATCH(2, 1/(AW740:BH740&lt;&gt;""), 1)-1)))), 0))/_xlfn.XLOOKUP(F740,Apuração!A:A,Apuração!B:B)&gt;=1.15,1.15,SUM(IFERROR(IF(INDEX(AW740:INDEX(AW740:BH740, MATCH(2, 1/(AW740:BH740&lt;&gt;""), 1)-1), ROW(INDIRECT("1:" &amp; MATCH(2, 1/(AW740:BH740&lt;&gt;""), 1)-1))) &gt;= 150%, 150%, INDEX(AW740:INDEX(AW740:BH740, MATCH(2, 1/(AW740:BH740&lt;&gt;""), 1)-1), ROW(INDIRECT("1:" &amp; MATCH(2, 1/(AW740:BH740&lt;&gt;""), 1)-1)))), 0))/_xlfn.XLOOKUP(F740,Apuração!A:A,Apuração!B:B))</f>
        <v>0.375</v>
      </c>
      <c r="BM740" s="55" cm="1">
        <f t="array" ref="BM740">IFERROR(
   INDEX($AW$1:$BH$1,
      _xlfn.AGGREGATE(14, 6, COLUMN($AW$1:$BH$1)/(AW740:BH740&lt;&gt;""), 2) - COLUMN($AW$1) + 1
   ),
"")</f>
        <v>46082</v>
      </c>
      <c r="BN740" s="55" cm="1">
        <f t="array" ref="BN740">IFERROR(INDEX($AW$1:$BH$1,1,MATCH(2,1/(AW740:BH740&lt;&gt;""))),"")</f>
        <v>46113</v>
      </c>
      <c r="BO740" s="53">
        <f ca="1">IFERROR(_xlfn.XLOOKUP(F740,Apuração!A:A,Apuração!C:C)/_xlfn.XLOOKUP(F740,Apuração!A:A,Apuração!B:B),0)</f>
        <v>0.41666666666666669</v>
      </c>
      <c r="BP740" s="53">
        <f ca="1">IFERROR(_xlfn.XLOOKUP(F740,Apuração!A:A,Apuração!D:D)/_xlfn.XLOOKUP(F740,Apuração!A:A,Apuração!B:B),0)</f>
        <v>0.33333333333333331</v>
      </c>
      <c r="BQ740" s="53">
        <f ca="1">IF(BK740&gt;=BO740,0,_xlfn.XLOOKUP(F740,Apuração!A:A,Apuração!B:B)*(BO740 + (1/_xlfn.XLOOKUP(F740,Apuração!A:A,Apuração!B:B)) - BK740))</f>
        <v>0</v>
      </c>
      <c r="BR740" s="85">
        <f t="shared" ca="1" si="1047"/>
        <v>0</v>
      </c>
      <c r="BS740" s="53">
        <f ca="1">IFERROR((_xlfn.XLOOKUP(F740,Apuração!A:A,Apuração!C:C)+1)/_xlfn.XLOOKUP(F740,Apuração!A:A,Apuração!B:B),0)</f>
        <v>0.5</v>
      </c>
    </row>
    <row r="741" spans="1:71" ht="25.95" hidden="1" customHeight="1" x14ac:dyDescent="0.3">
      <c r="A741" s="23" t="s">
        <v>134</v>
      </c>
      <c r="B741" s="4" t="s">
        <v>150</v>
      </c>
      <c r="C741" s="5" t="s">
        <v>97</v>
      </c>
      <c r="D741" s="5" t="s">
        <v>100</v>
      </c>
      <c r="E741" s="4" t="str" cm="1">
        <f t="array" ref="E741">_xlfn.IFS(
F741 = "A partir de Abril", "Aguardando Execução na Distribuidora",
A741 = "CAPACITAÇÃO", "Em execução no Corporativo",
TRUE, "Em Execução na Distribuidora"
)</f>
        <v>Em Execução na Distribuidora</v>
      </c>
      <c r="F741" s="4" t="str" cm="1">
        <f t="array" ref="F741">_xlfn.IFS(
AG741 &lt;&gt; "", "Jan-Dez/26",
AH741 &lt;&gt; "", "Fev-Dez/26",
AI741 &lt;&gt; "", "Mar-Dez/26", AJ741 &lt;&gt; "", "Abr-Dez/26",
TRUE, "A partir de Junho"
)</f>
        <v>Jan-Dez/26</v>
      </c>
      <c r="G741" s="4" t="s">
        <v>37</v>
      </c>
      <c r="H741" s="7" t="s">
        <v>54</v>
      </c>
      <c r="I741" s="8" t="s">
        <v>154</v>
      </c>
      <c r="J741" s="8" t="str" cm="1">
        <f t="array" aca="1" ref="J741" ca="1">_xlfn.LET(
  _xlpm.actual_value_month, INDEX(T741:AE741, MATCH(DATE(YEAR(TODAY()), MONTH(TODAY()), 1), $T$1:$AE$1, 0)),
  IF(_xlpm.actual_value_month &lt;&gt; "",_xlpm.actual_value_month &amp; " ações mensais", "")
)</f>
        <v/>
      </c>
      <c r="K741" s="8" t="str" cm="1">
        <f t="array" ref="K741">_xlfn.LET(
    _xlpm.sum_month, SUM(T741:AE741),
    IF(_xlpm.sum_month = 0, "", _xlpm.sum_month &amp; " presença de representantes no ano")
)</f>
        <v/>
      </c>
      <c r="L741" s="9" t="s">
        <v>155</v>
      </c>
      <c r="M741" s="24">
        <v>1</v>
      </c>
      <c r="N741" s="67" t="s">
        <v>51</v>
      </c>
      <c r="O741" s="111" t="s">
        <v>43</v>
      </c>
      <c r="P741" s="10" t="s">
        <v>44</v>
      </c>
      <c r="Q741" s="10" t="s">
        <v>72</v>
      </c>
      <c r="R741" s="11" t="s">
        <v>44</v>
      </c>
      <c r="S741" s="11" t="s">
        <v>44</v>
      </c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G741" s="71">
        <v>20</v>
      </c>
      <c r="AH741" s="71">
        <v>16</v>
      </c>
      <c r="AI741" s="71">
        <v>17</v>
      </c>
      <c r="AJ741" s="71">
        <v>15</v>
      </c>
      <c r="AK741" s="71">
        <v>20</v>
      </c>
      <c r="AL741" s="71"/>
      <c r="AM741" s="71"/>
      <c r="AN741" s="71"/>
      <c r="AO741" s="71"/>
      <c r="AP741" s="71"/>
      <c r="AQ741" s="71"/>
      <c r="AR741" s="71"/>
      <c r="AS741" s="94">
        <f t="shared" ca="1" si="1040"/>
        <v>0</v>
      </c>
      <c r="AT741" s="95">
        <f t="shared" si="1041"/>
        <v>88</v>
      </c>
      <c r="AU741" s="97">
        <f t="shared" si="1042"/>
        <v>88</v>
      </c>
      <c r="AW741" s="83">
        <f t="shared" si="1043"/>
        <v>20</v>
      </c>
      <c r="AX741" s="83">
        <f t="shared" si="1044"/>
        <v>16</v>
      </c>
      <c r="AY741" s="83">
        <f t="shared" si="1045"/>
        <v>17</v>
      </c>
      <c r="AZ741" s="83">
        <f t="shared" si="1046"/>
        <v>15</v>
      </c>
      <c r="BA741" s="52"/>
      <c r="BB741" s="52"/>
      <c r="BC741" s="52"/>
      <c r="BD741" s="52"/>
      <c r="BE741" s="52"/>
      <c r="BF741" s="52"/>
      <c r="BG741" s="52"/>
      <c r="BH741" s="52"/>
      <c r="BI741" s="68" cm="1">
        <f t="array" ref="BI741">IFERROR(INDEX(AW741:BH741,1,MATCH(2,1/(AW741:BH741&lt;&gt;""))),"")</f>
        <v>15</v>
      </c>
      <c r="BJ741" s="68" cm="1">
        <f t="array" ref="BJ741">IF(BM741 = "", "",IFERROR(INDEX(AW741:BH741,1,MATCH(2,1/(AW741:BH741&lt;&gt;""),1)-1),""))</f>
        <v>17</v>
      </c>
      <c r="BK741" s="59">
        <f>IF((IF(AW741&gt;=150%,150%,AW741) + IF(AX741&gt;=150%,150%,AX741) + IF(AY741&gt;=150%,150%,AY741) + (IF(AW741&gt;=150%,150%,AW741) + IF(BA741&gt;=150%,150%,BA741) + IF(BB741&gt;=150%,150%,BB741) + IF(BC741&gt;=150%,150%,BC741) + IF(BD741&gt;=150%,150%,BD741) + IF(BE741&gt;=150%,150%,BE741) + IF(BF741&gt;=150%,150%,BF741) + IF(BG741&gt;=150%,150%,BG741) + IF(BH741&gt;=150%,150%,BH741)))/_xlfn.XLOOKUP(F741,Apuração!A:A,Apuração!B:B)&gt;=1.15,1.15,((IF(AW741&gt;=150%,150%,AW741) + IF(AX741&gt;=150%,150%,AX741) + IF(AY741&gt;=150%,150%,AY741) + (IF(AW741&gt;=150%,150%,AW741) + IF(BA741&gt;=150%,150%,BA741) + IF(BB741&gt;=150%,150%,BB741) + IF(BC741&gt;=150%,150%,BC741) + IF(BD741&gt;=150%,150%,BD741) + IF(BE741&gt;=150%,150%,BE741) + IF(BF741&gt;=150%,150%,BF741) + IF(BG741&gt;=150%,150%,BG741) + IF(BH741&gt;=150%,150%,BH741)))/_xlfn.XLOOKUP(F741,Apuração!A:A,Apuração!B:B)))</f>
        <v>0.5</v>
      </c>
      <c r="BL741" s="59" cm="1">
        <f t="array" aca="1" ref="BL741" ca="1">IF(SUM(IFERROR(IF(INDEX(AW741:INDEX(AW741:BH741, MATCH(2, 1/(AW741:BH741&lt;&gt;""), 1)-1), ROW(INDIRECT("1:" &amp; MATCH(2, 1/(AW741:BH741&lt;&gt;""), 1)-1))) &gt;= 150%, 150%, INDEX(AW741:INDEX(AW741:BH741, MATCH(2, 1/(AW741:BH741&lt;&gt;""), 1)-1), ROW(INDIRECT("1:" &amp; MATCH(2, 1/(AW741:BH741&lt;&gt;""), 1)-1)))), 0))/_xlfn.XLOOKUP(F741,Apuração!A:A,Apuração!B:B)&gt;=1.15,1.15,SUM(IFERROR(IF(INDEX(AW741:INDEX(AW741:BH741, MATCH(2, 1/(AW741:BH741&lt;&gt;""), 1)-1), ROW(INDIRECT("1:" &amp; MATCH(2, 1/(AW741:BH741&lt;&gt;""), 1)-1))) &gt;= 150%, 150%, INDEX(AW741:INDEX(AW741:BH741, MATCH(2, 1/(AW741:BH741&lt;&gt;""), 1)-1), ROW(INDIRECT("1:" &amp; MATCH(2, 1/(AW741:BH741&lt;&gt;""), 1)-1)))), 0))/_xlfn.XLOOKUP(F741,Apuração!A:A,Apuração!B:B))</f>
        <v>0.375</v>
      </c>
      <c r="BM741" s="55" cm="1">
        <f t="array" ref="BM741">IFERROR(
   INDEX($AW$1:$BH$1,
      _xlfn.AGGREGATE(14, 6, COLUMN($AW$1:$BH$1)/(AW741:BH741&lt;&gt;""), 2) - COLUMN($AW$1) + 1
   ),
"")</f>
        <v>46082</v>
      </c>
      <c r="BN741" s="55" cm="1">
        <f t="array" ref="BN741">IFERROR(INDEX($AW$1:$BH$1,1,MATCH(2,1/(AW741:BH741&lt;&gt;""))),"")</f>
        <v>46113</v>
      </c>
      <c r="BO741" s="53">
        <f ca="1">IFERROR(_xlfn.XLOOKUP(F741,Apuração!A:A,Apuração!C:C)/_xlfn.XLOOKUP(F741,Apuração!A:A,Apuração!B:B),0)</f>
        <v>0.41666666666666669</v>
      </c>
      <c r="BP741" s="53">
        <f ca="1">IFERROR(_xlfn.XLOOKUP(F741,Apuração!A:A,Apuração!D:D)/_xlfn.XLOOKUP(F741,Apuração!A:A,Apuração!B:B),0)</f>
        <v>0.33333333333333331</v>
      </c>
      <c r="BQ741" s="53">
        <f ca="1">IF(BK741&gt;=BO741,0,_xlfn.XLOOKUP(F741,Apuração!A:A,Apuração!B:B)*(BO741 + (1/_xlfn.XLOOKUP(F741,Apuração!A:A,Apuração!B:B)) - BK741))</f>
        <v>0</v>
      </c>
      <c r="BR741" s="85">
        <f t="shared" ca="1" si="1047"/>
        <v>0</v>
      </c>
      <c r="BS741" s="53">
        <f ca="1">IFERROR((_xlfn.XLOOKUP(F741,Apuração!A:A,Apuração!C:C)+1)/_xlfn.XLOOKUP(F741,Apuração!A:A,Apuração!B:B),0)</f>
        <v>0.5</v>
      </c>
    </row>
    <row r="742" spans="1:71" ht="25.95" hidden="1" customHeight="1" x14ac:dyDescent="0.3">
      <c r="A742" s="23" t="s">
        <v>134</v>
      </c>
      <c r="B742" s="4" t="s">
        <v>150</v>
      </c>
      <c r="C742" s="5" t="s">
        <v>97</v>
      </c>
      <c r="D742" s="5" t="s">
        <v>101</v>
      </c>
      <c r="E742" s="4" t="str" cm="1">
        <f t="array" ref="E742">_xlfn.IFS(
F742 = "A partir de Abril", "Aguardando Execução na Distribuidora",
A742 = "CAPACITAÇÃO", "Em execução no Corporativo",
TRUE, "Em Execução na Distribuidora"
)</f>
        <v>Em Execução na Distribuidora</v>
      </c>
      <c r="F742" s="4" t="str" cm="1">
        <f t="array" ref="F742">_xlfn.IFS(
AG742 &lt;&gt; "", "Jan-Dez/26",
AH742 &lt;&gt; "", "Fev-Dez/26",
AI742 &lt;&gt; "", "Mar-Dez/26", AJ742 &lt;&gt; "", "Abr-Dez/26",
TRUE, "A partir de Junho"
)</f>
        <v>Jan-Dez/26</v>
      </c>
      <c r="G742" s="4" t="s">
        <v>37</v>
      </c>
      <c r="H742" s="7" t="s">
        <v>54</v>
      </c>
      <c r="I742" s="8" t="s">
        <v>154</v>
      </c>
      <c r="J742" s="8" t="str" cm="1">
        <f t="array" aca="1" ref="J742" ca="1">_xlfn.LET(
  _xlpm.actual_value_month, INDEX(T742:AE742, MATCH(DATE(YEAR(TODAY()), MONTH(TODAY()), 1), $T$1:$AE$1, 0)),
  IF(_xlpm.actual_value_month &lt;&gt; "",_xlpm.actual_value_month &amp; " ações mensais", "")
)</f>
        <v/>
      </c>
      <c r="K742" s="8" t="str" cm="1">
        <f t="array" ref="K742">_xlfn.LET(
    _xlpm.sum_month, SUM(T742:AE742),
    IF(_xlpm.sum_month = 0, "", _xlpm.sum_month &amp; " presença de representantes no ano")
)</f>
        <v/>
      </c>
      <c r="L742" s="9" t="s">
        <v>155</v>
      </c>
      <c r="M742" s="24">
        <v>1</v>
      </c>
      <c r="N742" s="67" t="s">
        <v>51</v>
      </c>
      <c r="O742" s="111" t="s">
        <v>43</v>
      </c>
      <c r="P742" s="10" t="s">
        <v>44</v>
      </c>
      <c r="Q742" s="10" t="s">
        <v>72</v>
      </c>
      <c r="R742" s="11" t="s">
        <v>44</v>
      </c>
      <c r="S742" s="11" t="s">
        <v>44</v>
      </c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G742" s="71">
        <v>9</v>
      </c>
      <c r="AH742" s="71">
        <v>9</v>
      </c>
      <c r="AI742" s="71">
        <v>15</v>
      </c>
      <c r="AJ742" s="71">
        <v>14</v>
      </c>
      <c r="AK742" s="71">
        <v>15</v>
      </c>
      <c r="AL742" s="71"/>
      <c r="AM742" s="71"/>
      <c r="AN742" s="71"/>
      <c r="AO742" s="71"/>
      <c r="AP742" s="71"/>
      <c r="AQ742" s="71"/>
      <c r="AR742" s="71"/>
      <c r="AS742" s="94">
        <f t="shared" ca="1" si="1040"/>
        <v>0</v>
      </c>
      <c r="AT742" s="95">
        <f t="shared" si="1041"/>
        <v>62</v>
      </c>
      <c r="AU742" s="97">
        <f t="shared" si="1042"/>
        <v>62</v>
      </c>
      <c r="AW742" s="83">
        <f t="shared" si="1043"/>
        <v>9</v>
      </c>
      <c r="AX742" s="83">
        <f t="shared" si="1044"/>
        <v>9</v>
      </c>
      <c r="AY742" s="83">
        <f t="shared" si="1045"/>
        <v>15</v>
      </c>
      <c r="AZ742" s="83">
        <f t="shared" si="1046"/>
        <v>14</v>
      </c>
      <c r="BA742" s="52"/>
      <c r="BB742" s="52"/>
      <c r="BC742" s="52"/>
      <c r="BD742" s="52"/>
      <c r="BE742" s="52"/>
      <c r="BF742" s="52"/>
      <c r="BG742" s="52"/>
      <c r="BH742" s="52"/>
      <c r="BI742" s="68" cm="1">
        <f t="array" ref="BI742">IFERROR(INDEX(AW742:BH742,1,MATCH(2,1/(AW742:BH742&lt;&gt;""))),"")</f>
        <v>14</v>
      </c>
      <c r="BJ742" s="68" cm="1">
        <f t="array" ref="BJ742">IF(BM742 = "", "",IFERROR(INDEX(AW742:BH742,1,MATCH(2,1/(AW742:BH742&lt;&gt;""),1)-1),""))</f>
        <v>15</v>
      </c>
      <c r="BK742" s="59">
        <f>IF((IF(AW742&gt;=150%,150%,AW742) + IF(AX742&gt;=150%,150%,AX742) + IF(AY742&gt;=150%,150%,AY742) + (IF(AW742&gt;=150%,150%,AW742) + IF(BA742&gt;=150%,150%,BA742) + IF(BB742&gt;=150%,150%,BB742) + IF(BC742&gt;=150%,150%,BC742) + IF(BD742&gt;=150%,150%,BD742) + IF(BE742&gt;=150%,150%,BE742) + IF(BF742&gt;=150%,150%,BF742) + IF(BG742&gt;=150%,150%,BG742) + IF(BH742&gt;=150%,150%,BH742)))/_xlfn.XLOOKUP(F742,Apuração!A:A,Apuração!B:B)&gt;=1.15,1.15,((IF(AW742&gt;=150%,150%,AW742) + IF(AX742&gt;=150%,150%,AX742) + IF(AY742&gt;=150%,150%,AY742) + (IF(AW742&gt;=150%,150%,AW742) + IF(BA742&gt;=150%,150%,BA742) + IF(BB742&gt;=150%,150%,BB742) + IF(BC742&gt;=150%,150%,BC742) + IF(BD742&gt;=150%,150%,BD742) + IF(BE742&gt;=150%,150%,BE742) + IF(BF742&gt;=150%,150%,BF742) + IF(BG742&gt;=150%,150%,BG742) + IF(BH742&gt;=150%,150%,BH742)))/_xlfn.XLOOKUP(F742,Apuração!A:A,Apuração!B:B)))</f>
        <v>0.5</v>
      </c>
      <c r="BL742" s="59" cm="1">
        <f t="array" aca="1" ref="BL742" ca="1">IF(SUM(IFERROR(IF(INDEX(AW742:INDEX(AW742:BH742, MATCH(2, 1/(AW742:BH742&lt;&gt;""), 1)-1), ROW(INDIRECT("1:" &amp; MATCH(2, 1/(AW742:BH742&lt;&gt;""), 1)-1))) &gt;= 150%, 150%, INDEX(AW742:INDEX(AW742:BH742, MATCH(2, 1/(AW742:BH742&lt;&gt;""), 1)-1), ROW(INDIRECT("1:" &amp; MATCH(2, 1/(AW742:BH742&lt;&gt;""), 1)-1)))), 0))/_xlfn.XLOOKUP(F742,Apuração!A:A,Apuração!B:B)&gt;=1.15,1.15,SUM(IFERROR(IF(INDEX(AW742:INDEX(AW742:BH742, MATCH(2, 1/(AW742:BH742&lt;&gt;""), 1)-1), ROW(INDIRECT("1:" &amp; MATCH(2, 1/(AW742:BH742&lt;&gt;""), 1)-1))) &gt;= 150%, 150%, INDEX(AW742:INDEX(AW742:BH742, MATCH(2, 1/(AW742:BH742&lt;&gt;""), 1)-1), ROW(INDIRECT("1:" &amp; MATCH(2, 1/(AW742:BH742&lt;&gt;""), 1)-1)))), 0))/_xlfn.XLOOKUP(F742,Apuração!A:A,Apuração!B:B))</f>
        <v>0.375</v>
      </c>
      <c r="BM742" s="55" cm="1">
        <f t="array" ref="BM742">IFERROR(
   INDEX($AW$1:$BH$1,
      _xlfn.AGGREGATE(14, 6, COLUMN($AW$1:$BH$1)/(AW742:BH742&lt;&gt;""), 2) - COLUMN($AW$1) + 1
   ),
"")</f>
        <v>46082</v>
      </c>
      <c r="BN742" s="55" cm="1">
        <f t="array" ref="BN742">IFERROR(INDEX($AW$1:$BH$1,1,MATCH(2,1/(AW742:BH742&lt;&gt;""))),"")</f>
        <v>46113</v>
      </c>
      <c r="BO742" s="53">
        <f ca="1">IFERROR(_xlfn.XLOOKUP(F742,Apuração!A:A,Apuração!C:C)/_xlfn.XLOOKUP(F742,Apuração!A:A,Apuração!B:B),0)</f>
        <v>0.41666666666666669</v>
      </c>
      <c r="BP742" s="53">
        <f ca="1">IFERROR(_xlfn.XLOOKUP(F742,Apuração!A:A,Apuração!D:D)/_xlfn.XLOOKUP(F742,Apuração!A:A,Apuração!B:B),0)</f>
        <v>0.33333333333333331</v>
      </c>
      <c r="BQ742" s="53">
        <f ca="1">IF(BK742&gt;=BO742,0,_xlfn.XLOOKUP(F742,Apuração!A:A,Apuração!B:B)*(BO742 + (1/_xlfn.XLOOKUP(F742,Apuração!A:A,Apuração!B:B)) - BK742))</f>
        <v>0</v>
      </c>
      <c r="BR742" s="85">
        <f t="shared" ca="1" si="1047"/>
        <v>0</v>
      </c>
      <c r="BS742" s="53">
        <f ca="1">IFERROR((_xlfn.XLOOKUP(F742,Apuração!A:A,Apuração!C:C)+1)/_xlfn.XLOOKUP(F742,Apuração!A:A,Apuração!B:B),0)</f>
        <v>0.5</v>
      </c>
    </row>
    <row r="743" spans="1:71" ht="25.95" hidden="1" customHeight="1" x14ac:dyDescent="0.3">
      <c r="A743" s="23" t="s">
        <v>134</v>
      </c>
      <c r="B743" s="4" t="s">
        <v>150</v>
      </c>
      <c r="C743" s="5" t="s">
        <v>97</v>
      </c>
      <c r="D743" s="5" t="s">
        <v>102</v>
      </c>
      <c r="E743" s="4" t="str" cm="1">
        <f t="array" ref="E743">_xlfn.IFS(
F743 = "A partir de Abril", "Aguardando Execução na Distribuidora",
A743 = "CAPACITAÇÃO", "Em execução no Corporativo",
TRUE, "Em Execução na Distribuidora"
)</f>
        <v>Em Execução na Distribuidora</v>
      </c>
      <c r="F743" s="4" t="str" cm="1">
        <f t="array" ref="F743">_xlfn.IFS(
AG743 &lt;&gt; "", "Jan-Dez/26",
AH743 &lt;&gt; "", "Fev-Dez/26",
AI743 &lt;&gt; "", "Mar-Dez/26", AJ743 &lt;&gt; "", "Abr-Dez/26",
TRUE, "A partir de Junho"
)</f>
        <v>Jan-Dez/26</v>
      </c>
      <c r="G743" s="4" t="s">
        <v>37</v>
      </c>
      <c r="H743" s="7" t="s">
        <v>54</v>
      </c>
      <c r="I743" s="8" t="s">
        <v>154</v>
      </c>
      <c r="J743" s="8" t="str" cm="1">
        <f t="array" aca="1" ref="J743" ca="1">_xlfn.LET(
  _xlpm.actual_value_month, INDEX(T743:AE743, MATCH(DATE(YEAR(TODAY()), MONTH(TODAY()), 1), $T$1:$AE$1, 0)),
  IF(_xlpm.actual_value_month &lt;&gt; "",_xlpm.actual_value_month &amp; " ações mensais", "")
)</f>
        <v/>
      </c>
      <c r="K743" s="8" t="str" cm="1">
        <f t="array" ref="K743">_xlfn.LET(
    _xlpm.sum_month, SUM(T743:AE743),
    IF(_xlpm.sum_month = 0, "", _xlpm.sum_month &amp; " presença de representantes no ano")
)</f>
        <v/>
      </c>
      <c r="L743" s="9" t="s">
        <v>155</v>
      </c>
      <c r="M743" s="24">
        <v>1</v>
      </c>
      <c r="N743" s="67" t="s">
        <v>51</v>
      </c>
      <c r="O743" s="111" t="s">
        <v>43</v>
      </c>
      <c r="P743" s="10" t="s">
        <v>44</v>
      </c>
      <c r="Q743" s="10" t="s">
        <v>72</v>
      </c>
      <c r="R743" s="11" t="s">
        <v>44</v>
      </c>
      <c r="S743" s="11" t="s">
        <v>44</v>
      </c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G743" s="71">
        <v>6</v>
      </c>
      <c r="AH743" s="71">
        <v>6</v>
      </c>
      <c r="AI743" s="71">
        <v>6</v>
      </c>
      <c r="AJ743" s="71">
        <v>6</v>
      </c>
      <c r="AK743" s="71">
        <v>5</v>
      </c>
      <c r="AL743" s="71"/>
      <c r="AM743" s="71"/>
      <c r="AN743" s="71"/>
      <c r="AO743" s="71"/>
      <c r="AP743" s="71"/>
      <c r="AQ743" s="71"/>
      <c r="AR743" s="71"/>
      <c r="AS743" s="94">
        <f t="shared" ca="1" si="1040"/>
        <v>0</v>
      </c>
      <c r="AT743" s="95">
        <f t="shared" si="1041"/>
        <v>29</v>
      </c>
      <c r="AU743" s="97">
        <f t="shared" si="1042"/>
        <v>29</v>
      </c>
      <c r="AW743" s="83">
        <f t="shared" si="1043"/>
        <v>6</v>
      </c>
      <c r="AX743" s="83">
        <f t="shared" si="1044"/>
        <v>6</v>
      </c>
      <c r="AY743" s="83">
        <f t="shared" si="1045"/>
        <v>6</v>
      </c>
      <c r="AZ743" s="83">
        <f t="shared" si="1046"/>
        <v>6</v>
      </c>
      <c r="BA743" s="52"/>
      <c r="BB743" s="52"/>
      <c r="BC743" s="52"/>
      <c r="BD743" s="52"/>
      <c r="BE743" s="52"/>
      <c r="BF743" s="52"/>
      <c r="BG743" s="52"/>
      <c r="BH743" s="52"/>
      <c r="BI743" s="68" cm="1">
        <f t="array" ref="BI743">IFERROR(INDEX(AW743:BH743,1,MATCH(2,1/(AW743:BH743&lt;&gt;""))),"")</f>
        <v>6</v>
      </c>
      <c r="BJ743" s="68" cm="1">
        <f t="array" ref="BJ743">IF(BM743 = "", "",IFERROR(INDEX(AW743:BH743,1,MATCH(2,1/(AW743:BH743&lt;&gt;""),1)-1),""))</f>
        <v>6</v>
      </c>
      <c r="BK743" s="59">
        <f>IF((IF(AW743&gt;=150%,150%,AW743) + IF(AX743&gt;=150%,150%,AX743) + IF(AY743&gt;=150%,150%,AY743) + (IF(AW743&gt;=150%,150%,AW743) + IF(BA743&gt;=150%,150%,BA743) + IF(BB743&gt;=150%,150%,BB743) + IF(BC743&gt;=150%,150%,BC743) + IF(BD743&gt;=150%,150%,BD743) + IF(BE743&gt;=150%,150%,BE743) + IF(BF743&gt;=150%,150%,BF743) + IF(BG743&gt;=150%,150%,BG743) + IF(BH743&gt;=150%,150%,BH743)))/_xlfn.XLOOKUP(F743,Apuração!A:A,Apuração!B:B)&gt;=1.15,1.15,((IF(AW743&gt;=150%,150%,AW743) + IF(AX743&gt;=150%,150%,AX743) + IF(AY743&gt;=150%,150%,AY743) + (IF(AW743&gt;=150%,150%,AW743) + IF(BA743&gt;=150%,150%,BA743) + IF(BB743&gt;=150%,150%,BB743) + IF(BC743&gt;=150%,150%,BC743) + IF(BD743&gt;=150%,150%,BD743) + IF(BE743&gt;=150%,150%,BE743) + IF(BF743&gt;=150%,150%,BF743) + IF(BG743&gt;=150%,150%,BG743) + IF(BH743&gt;=150%,150%,BH743)))/_xlfn.XLOOKUP(F743,Apuração!A:A,Apuração!B:B)))</f>
        <v>0.5</v>
      </c>
      <c r="BL743" s="59" cm="1">
        <f t="array" aca="1" ref="BL743" ca="1">IF(SUM(IFERROR(IF(INDEX(AW743:INDEX(AW743:BH743, MATCH(2, 1/(AW743:BH743&lt;&gt;""), 1)-1), ROW(INDIRECT("1:" &amp; MATCH(2, 1/(AW743:BH743&lt;&gt;""), 1)-1))) &gt;= 150%, 150%, INDEX(AW743:INDEX(AW743:BH743, MATCH(2, 1/(AW743:BH743&lt;&gt;""), 1)-1), ROW(INDIRECT("1:" &amp; MATCH(2, 1/(AW743:BH743&lt;&gt;""), 1)-1)))), 0))/_xlfn.XLOOKUP(F743,Apuração!A:A,Apuração!B:B)&gt;=1.15,1.15,SUM(IFERROR(IF(INDEX(AW743:INDEX(AW743:BH743, MATCH(2, 1/(AW743:BH743&lt;&gt;""), 1)-1), ROW(INDIRECT("1:" &amp; MATCH(2, 1/(AW743:BH743&lt;&gt;""), 1)-1))) &gt;= 150%, 150%, INDEX(AW743:INDEX(AW743:BH743, MATCH(2, 1/(AW743:BH743&lt;&gt;""), 1)-1), ROW(INDIRECT("1:" &amp; MATCH(2, 1/(AW743:BH743&lt;&gt;""), 1)-1)))), 0))/_xlfn.XLOOKUP(F743,Apuração!A:A,Apuração!B:B))</f>
        <v>0.375</v>
      </c>
      <c r="BM743" s="55" cm="1">
        <f t="array" ref="BM743">IFERROR(
   INDEX($AW$1:$BH$1,
      _xlfn.AGGREGATE(14, 6, COLUMN($AW$1:$BH$1)/(AW743:BH743&lt;&gt;""), 2) - COLUMN($AW$1) + 1
   ),
"")</f>
        <v>46082</v>
      </c>
      <c r="BN743" s="55" cm="1">
        <f t="array" ref="BN743">IFERROR(INDEX($AW$1:$BH$1,1,MATCH(2,1/(AW743:BH743&lt;&gt;""))),"")</f>
        <v>46113</v>
      </c>
      <c r="BO743" s="53">
        <f ca="1">IFERROR(_xlfn.XLOOKUP(F743,Apuração!A:A,Apuração!C:C)/_xlfn.XLOOKUP(F743,Apuração!A:A,Apuração!B:B),0)</f>
        <v>0.41666666666666669</v>
      </c>
      <c r="BP743" s="53">
        <f ca="1">IFERROR(_xlfn.XLOOKUP(F743,Apuração!A:A,Apuração!D:D)/_xlfn.XLOOKUP(F743,Apuração!A:A,Apuração!B:B),0)</f>
        <v>0.33333333333333331</v>
      </c>
      <c r="BQ743" s="53">
        <f ca="1">IF(BK743&gt;=BO743,0,_xlfn.XLOOKUP(F743,Apuração!A:A,Apuração!B:B)*(BO743 + (1/_xlfn.XLOOKUP(F743,Apuração!A:A,Apuração!B:B)) - BK743))</f>
        <v>0</v>
      </c>
      <c r="BR743" s="85">
        <f t="shared" ca="1" si="1047"/>
        <v>0</v>
      </c>
      <c r="BS743" s="53">
        <f ca="1">IFERROR((_xlfn.XLOOKUP(F743,Apuração!A:A,Apuração!C:C)+1)/_xlfn.XLOOKUP(F743,Apuração!A:A,Apuração!B:B),0)</f>
        <v>0.5</v>
      </c>
    </row>
    <row r="744" spans="1:71" ht="25.95" hidden="1" customHeight="1" x14ac:dyDescent="0.3">
      <c r="A744" s="23" t="s">
        <v>134</v>
      </c>
      <c r="B744" s="4" t="s">
        <v>150</v>
      </c>
      <c r="C744" s="5" t="s">
        <v>97</v>
      </c>
      <c r="D744" s="5" t="s">
        <v>103</v>
      </c>
      <c r="E744" s="4" t="str" cm="1">
        <f t="array" ref="E744">_xlfn.IFS(
F744 = "A partir de Abril", "Aguardando Execução na Distribuidora",
A744 = "CAPACITAÇÃO", "Em execução no Corporativo",
TRUE, "Em Execução na Distribuidora"
)</f>
        <v>Em Execução na Distribuidora</v>
      </c>
      <c r="F744" s="4" t="str" cm="1">
        <f t="array" ref="F744">_xlfn.IFS(
AG744 &lt;&gt; "", "Jan-Dez/26",
AH744 &lt;&gt; "", "Fev-Dez/26",
AI744 &lt;&gt; "", "Mar-Dez/26", AJ744 &lt;&gt; "", "Abr-Dez/26",
TRUE, "A partir de Junho"
)</f>
        <v>Jan-Dez/26</v>
      </c>
      <c r="G744" s="4" t="s">
        <v>37</v>
      </c>
      <c r="H744" s="7" t="s">
        <v>54</v>
      </c>
      <c r="I744" s="8" t="s">
        <v>154</v>
      </c>
      <c r="J744" s="8" t="str" cm="1">
        <f t="array" aca="1" ref="J744" ca="1">_xlfn.LET(
  _xlpm.actual_value_month, INDEX(T744:AE744, MATCH(DATE(YEAR(TODAY()), MONTH(TODAY()), 1), $T$1:$AE$1, 0)),
  IF(_xlpm.actual_value_month &lt;&gt; "",_xlpm.actual_value_month &amp; " ações mensais", "")
)</f>
        <v/>
      </c>
      <c r="K744" s="8" t="str" cm="1">
        <f t="array" ref="K744">_xlfn.LET(
    _xlpm.sum_month, SUM(T744:AE744),
    IF(_xlpm.sum_month = 0, "", _xlpm.sum_month &amp; " presença de representantes no ano")
)</f>
        <v/>
      </c>
      <c r="L744" s="9" t="s">
        <v>155</v>
      </c>
      <c r="M744" s="24">
        <v>1</v>
      </c>
      <c r="N744" s="67" t="s">
        <v>51</v>
      </c>
      <c r="O744" s="111" t="s">
        <v>43</v>
      </c>
      <c r="P744" s="10" t="s">
        <v>44</v>
      </c>
      <c r="Q744" s="10" t="s">
        <v>72</v>
      </c>
      <c r="R744" s="11" t="s">
        <v>44</v>
      </c>
      <c r="S744" s="11" t="s">
        <v>44</v>
      </c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G744" s="71">
        <v>14</v>
      </c>
      <c r="AH744" s="71">
        <v>12</v>
      </c>
      <c r="AI744" s="71">
        <v>11</v>
      </c>
      <c r="AJ744" s="71">
        <v>6</v>
      </c>
      <c r="AK744" s="71">
        <v>14</v>
      </c>
      <c r="AL744" s="71"/>
      <c r="AM744" s="71"/>
      <c r="AN744" s="71"/>
      <c r="AO744" s="71"/>
      <c r="AP744" s="71"/>
      <c r="AQ744" s="71"/>
      <c r="AR744" s="71"/>
      <c r="AS744" s="94">
        <f t="shared" ca="1" si="1040"/>
        <v>0</v>
      </c>
      <c r="AT744" s="95">
        <f t="shared" si="1041"/>
        <v>57</v>
      </c>
      <c r="AU744" s="97">
        <f t="shared" si="1042"/>
        <v>57</v>
      </c>
      <c r="AW744" s="83">
        <f t="shared" si="1043"/>
        <v>14</v>
      </c>
      <c r="AX744" s="83">
        <f t="shared" si="1044"/>
        <v>12</v>
      </c>
      <c r="AY744" s="83">
        <f t="shared" si="1045"/>
        <v>11</v>
      </c>
      <c r="AZ744" s="83">
        <f t="shared" si="1046"/>
        <v>6</v>
      </c>
      <c r="BA744" s="52"/>
      <c r="BB744" s="52"/>
      <c r="BC744" s="52"/>
      <c r="BD744" s="52"/>
      <c r="BE744" s="52"/>
      <c r="BF744" s="52"/>
      <c r="BG744" s="52"/>
      <c r="BH744" s="52"/>
      <c r="BI744" s="68" cm="1">
        <f t="array" ref="BI744">IFERROR(INDEX(AW744:BH744,1,MATCH(2,1/(AW744:BH744&lt;&gt;""))),"")</f>
        <v>6</v>
      </c>
      <c r="BJ744" s="68" cm="1">
        <f t="array" ref="BJ744">IF(BM744 = "", "",IFERROR(INDEX(AW744:BH744,1,MATCH(2,1/(AW744:BH744&lt;&gt;""),1)-1),""))</f>
        <v>11</v>
      </c>
      <c r="BK744" s="59">
        <f>IF((IF(AW744&gt;=150%,150%,AW744) + IF(AX744&gt;=150%,150%,AX744) + IF(AY744&gt;=150%,150%,AY744) + (IF(AW744&gt;=150%,150%,AW744) + IF(BA744&gt;=150%,150%,BA744) + IF(BB744&gt;=150%,150%,BB744) + IF(BC744&gt;=150%,150%,BC744) + IF(BD744&gt;=150%,150%,BD744) + IF(BE744&gt;=150%,150%,BE744) + IF(BF744&gt;=150%,150%,BF744) + IF(BG744&gt;=150%,150%,BG744) + IF(BH744&gt;=150%,150%,BH744)))/_xlfn.XLOOKUP(F744,Apuração!A:A,Apuração!B:B)&gt;=1.15,1.15,((IF(AW744&gt;=150%,150%,AW744) + IF(AX744&gt;=150%,150%,AX744) + IF(AY744&gt;=150%,150%,AY744) + (IF(AW744&gt;=150%,150%,AW744) + IF(BA744&gt;=150%,150%,BA744) + IF(BB744&gt;=150%,150%,BB744) + IF(BC744&gt;=150%,150%,BC744) + IF(BD744&gt;=150%,150%,BD744) + IF(BE744&gt;=150%,150%,BE744) + IF(BF744&gt;=150%,150%,BF744) + IF(BG744&gt;=150%,150%,BG744) + IF(BH744&gt;=150%,150%,BH744)))/_xlfn.XLOOKUP(F744,Apuração!A:A,Apuração!B:B)))</f>
        <v>0.5</v>
      </c>
      <c r="BL744" s="59" cm="1">
        <f t="array" aca="1" ref="BL744" ca="1">IF(SUM(IFERROR(IF(INDEX(AW744:INDEX(AW744:BH744, MATCH(2, 1/(AW744:BH744&lt;&gt;""), 1)-1), ROW(INDIRECT("1:" &amp; MATCH(2, 1/(AW744:BH744&lt;&gt;""), 1)-1))) &gt;= 150%, 150%, INDEX(AW744:INDEX(AW744:BH744, MATCH(2, 1/(AW744:BH744&lt;&gt;""), 1)-1), ROW(INDIRECT("1:" &amp; MATCH(2, 1/(AW744:BH744&lt;&gt;""), 1)-1)))), 0))/_xlfn.XLOOKUP(F744,Apuração!A:A,Apuração!B:B)&gt;=1.15,1.15,SUM(IFERROR(IF(INDEX(AW744:INDEX(AW744:BH744, MATCH(2, 1/(AW744:BH744&lt;&gt;""), 1)-1), ROW(INDIRECT("1:" &amp; MATCH(2, 1/(AW744:BH744&lt;&gt;""), 1)-1))) &gt;= 150%, 150%, INDEX(AW744:INDEX(AW744:BH744, MATCH(2, 1/(AW744:BH744&lt;&gt;""), 1)-1), ROW(INDIRECT("1:" &amp; MATCH(2, 1/(AW744:BH744&lt;&gt;""), 1)-1)))), 0))/_xlfn.XLOOKUP(F744,Apuração!A:A,Apuração!B:B))</f>
        <v>0.375</v>
      </c>
      <c r="BM744" s="55" cm="1">
        <f t="array" ref="BM744">IFERROR(
   INDEX($AW$1:$BH$1,
      _xlfn.AGGREGATE(14, 6, COLUMN($AW$1:$BH$1)/(AW744:BH744&lt;&gt;""), 2) - COLUMN($AW$1) + 1
   ),
"")</f>
        <v>46082</v>
      </c>
      <c r="BN744" s="55" cm="1">
        <f t="array" ref="BN744">IFERROR(INDEX($AW$1:$BH$1,1,MATCH(2,1/(AW744:BH744&lt;&gt;""))),"")</f>
        <v>46113</v>
      </c>
      <c r="BO744" s="53">
        <f ca="1">IFERROR(_xlfn.XLOOKUP(F744,Apuração!A:A,Apuração!C:C)/_xlfn.XLOOKUP(F744,Apuração!A:A,Apuração!B:B),0)</f>
        <v>0.41666666666666669</v>
      </c>
      <c r="BP744" s="53">
        <f ca="1">IFERROR(_xlfn.XLOOKUP(F744,Apuração!A:A,Apuração!D:D)/_xlfn.XLOOKUP(F744,Apuração!A:A,Apuração!B:B),0)</f>
        <v>0.33333333333333331</v>
      </c>
      <c r="BQ744" s="53">
        <f ca="1">IF(BK744&gt;=BO744,0,_xlfn.XLOOKUP(F744,Apuração!A:A,Apuração!B:B)*(BO744 + (1/_xlfn.XLOOKUP(F744,Apuração!A:A,Apuração!B:B)) - BK744))</f>
        <v>0</v>
      </c>
      <c r="BR744" s="85">
        <f t="shared" ca="1" si="1047"/>
        <v>0</v>
      </c>
      <c r="BS744" s="53">
        <f ca="1">IFERROR((_xlfn.XLOOKUP(F744,Apuração!A:A,Apuração!C:C)+1)/_xlfn.XLOOKUP(F744,Apuração!A:A,Apuração!B:B),0)</f>
        <v>0.5</v>
      </c>
    </row>
    <row r="745" spans="1:71" ht="25.95" hidden="1" customHeight="1" x14ac:dyDescent="0.3">
      <c r="A745" s="23" t="s">
        <v>134</v>
      </c>
      <c r="B745" s="4" t="s">
        <v>150</v>
      </c>
      <c r="C745" s="5" t="s">
        <v>97</v>
      </c>
      <c r="D745" s="5" t="s">
        <v>104</v>
      </c>
      <c r="E745" s="4" t="str" cm="1">
        <f t="array" ref="E745">_xlfn.IFS(
F745 = "A partir de Abril", "Aguardando Execução na Distribuidora",
A745 = "CAPACITAÇÃO", "Em execução no Corporativo",
TRUE, "Em Execução na Distribuidora"
)</f>
        <v>Em Execução na Distribuidora</v>
      </c>
      <c r="F745" s="4" t="str" cm="1">
        <f t="array" ref="F745">_xlfn.IFS(
AG745 &lt;&gt; "", "Jan-Dez/26",
AH745 &lt;&gt; "", "Fev-Dez/26",
AI745 &lt;&gt; "", "Mar-Dez/26", AJ745 &lt;&gt; "", "Abr-Dez/26",
TRUE, "A partir de Junho"
)</f>
        <v>Jan-Dez/26</v>
      </c>
      <c r="G745" s="4" t="s">
        <v>37</v>
      </c>
      <c r="H745" s="7" t="s">
        <v>54</v>
      </c>
      <c r="I745" s="8" t="s">
        <v>154</v>
      </c>
      <c r="J745" s="8" t="str" cm="1">
        <f t="array" aca="1" ref="J745" ca="1">_xlfn.LET(
  _xlpm.actual_value_month, INDEX(T745:AE745, MATCH(DATE(YEAR(TODAY()), MONTH(TODAY()), 1), $T$1:$AE$1, 0)),
  IF(_xlpm.actual_value_month &lt;&gt; "",_xlpm.actual_value_month &amp; " ações mensais", "")
)</f>
        <v/>
      </c>
      <c r="K745" s="8" t="str" cm="1">
        <f t="array" ref="K745">_xlfn.LET(
    _xlpm.sum_month, SUM(T745:AE745),
    IF(_xlpm.sum_month = 0, "", _xlpm.sum_month &amp; " presença de representantes no ano")
)</f>
        <v/>
      </c>
      <c r="L745" s="9" t="s">
        <v>155</v>
      </c>
      <c r="M745" s="24">
        <v>1</v>
      </c>
      <c r="N745" s="67" t="s">
        <v>51</v>
      </c>
      <c r="O745" s="111" t="s">
        <v>43</v>
      </c>
      <c r="P745" s="10" t="s">
        <v>44</v>
      </c>
      <c r="Q745" s="10" t="s">
        <v>72</v>
      </c>
      <c r="R745" s="11" t="s">
        <v>44</v>
      </c>
      <c r="S745" s="11" t="s">
        <v>44</v>
      </c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G745" s="71">
        <v>16</v>
      </c>
      <c r="AH745" s="71">
        <v>19</v>
      </c>
      <c r="AI745" s="71">
        <v>11</v>
      </c>
      <c r="AJ745" s="71">
        <v>8</v>
      </c>
      <c r="AK745" s="71">
        <v>6</v>
      </c>
      <c r="AL745" s="71"/>
      <c r="AM745" s="71"/>
      <c r="AN745" s="71"/>
      <c r="AO745" s="71"/>
      <c r="AP745" s="71"/>
      <c r="AQ745" s="71"/>
      <c r="AR745" s="71"/>
      <c r="AS745" s="94">
        <f t="shared" ca="1" si="1040"/>
        <v>0</v>
      </c>
      <c r="AT745" s="95">
        <f t="shared" si="1041"/>
        <v>60</v>
      </c>
      <c r="AU745" s="97">
        <f t="shared" si="1042"/>
        <v>60</v>
      </c>
      <c r="AW745" s="83">
        <f t="shared" si="1043"/>
        <v>16</v>
      </c>
      <c r="AX745" s="83">
        <f t="shared" si="1044"/>
        <v>19</v>
      </c>
      <c r="AY745" s="83">
        <f t="shared" si="1045"/>
        <v>11</v>
      </c>
      <c r="AZ745" s="83">
        <f t="shared" si="1046"/>
        <v>8</v>
      </c>
      <c r="BA745" s="52"/>
      <c r="BB745" s="52"/>
      <c r="BC745" s="52"/>
      <c r="BD745" s="52"/>
      <c r="BE745" s="52"/>
      <c r="BF745" s="52"/>
      <c r="BG745" s="52"/>
      <c r="BH745" s="52"/>
      <c r="BI745" s="68" cm="1">
        <f t="array" ref="BI745">IFERROR(INDEX(AW745:BH745,1,MATCH(2,1/(AW745:BH745&lt;&gt;""))),"")</f>
        <v>8</v>
      </c>
      <c r="BJ745" s="68" cm="1">
        <f t="array" ref="BJ745">IF(BM745 = "", "",IFERROR(INDEX(AW745:BH745,1,MATCH(2,1/(AW745:BH745&lt;&gt;""),1)-1),""))</f>
        <v>11</v>
      </c>
      <c r="BK745" s="59">
        <f>IF((IF(AW745&gt;=150%,150%,AW745) + IF(AX745&gt;=150%,150%,AX745) + IF(AY745&gt;=150%,150%,AY745) + (IF(AW745&gt;=150%,150%,AW745) + IF(BA745&gt;=150%,150%,BA745) + IF(BB745&gt;=150%,150%,BB745) + IF(BC745&gt;=150%,150%,BC745) + IF(BD745&gt;=150%,150%,BD745) + IF(BE745&gt;=150%,150%,BE745) + IF(BF745&gt;=150%,150%,BF745) + IF(BG745&gt;=150%,150%,BG745) + IF(BH745&gt;=150%,150%,BH745)))/_xlfn.XLOOKUP(F745,Apuração!A:A,Apuração!B:B)&gt;=1.15,1.15,((IF(AW745&gt;=150%,150%,AW745) + IF(AX745&gt;=150%,150%,AX745) + IF(AY745&gt;=150%,150%,AY745) + (IF(AW745&gt;=150%,150%,AW745) + IF(BA745&gt;=150%,150%,BA745) + IF(BB745&gt;=150%,150%,BB745) + IF(BC745&gt;=150%,150%,BC745) + IF(BD745&gt;=150%,150%,BD745) + IF(BE745&gt;=150%,150%,BE745) + IF(BF745&gt;=150%,150%,BF745) + IF(BG745&gt;=150%,150%,BG745) + IF(BH745&gt;=150%,150%,BH745)))/_xlfn.XLOOKUP(F745,Apuração!A:A,Apuração!B:B)))</f>
        <v>0.5</v>
      </c>
      <c r="BL745" s="59" cm="1">
        <f t="array" aca="1" ref="BL745" ca="1">IF(SUM(IFERROR(IF(INDEX(AW745:INDEX(AW745:BH745, MATCH(2, 1/(AW745:BH745&lt;&gt;""), 1)-1), ROW(INDIRECT("1:" &amp; MATCH(2, 1/(AW745:BH745&lt;&gt;""), 1)-1))) &gt;= 150%, 150%, INDEX(AW745:INDEX(AW745:BH745, MATCH(2, 1/(AW745:BH745&lt;&gt;""), 1)-1), ROW(INDIRECT("1:" &amp; MATCH(2, 1/(AW745:BH745&lt;&gt;""), 1)-1)))), 0))/_xlfn.XLOOKUP(F745,Apuração!A:A,Apuração!B:B)&gt;=1.15,1.15,SUM(IFERROR(IF(INDEX(AW745:INDEX(AW745:BH745, MATCH(2, 1/(AW745:BH745&lt;&gt;""), 1)-1), ROW(INDIRECT("1:" &amp; MATCH(2, 1/(AW745:BH745&lt;&gt;""), 1)-1))) &gt;= 150%, 150%, INDEX(AW745:INDEX(AW745:BH745, MATCH(2, 1/(AW745:BH745&lt;&gt;""), 1)-1), ROW(INDIRECT("1:" &amp; MATCH(2, 1/(AW745:BH745&lt;&gt;""), 1)-1)))), 0))/_xlfn.XLOOKUP(F745,Apuração!A:A,Apuração!B:B))</f>
        <v>0.375</v>
      </c>
      <c r="BM745" s="55" cm="1">
        <f t="array" ref="BM745">IFERROR(
   INDEX($AW$1:$BH$1,
      _xlfn.AGGREGATE(14, 6, COLUMN($AW$1:$BH$1)/(AW745:BH745&lt;&gt;""), 2) - COLUMN($AW$1) + 1
   ),
"")</f>
        <v>46082</v>
      </c>
      <c r="BN745" s="55" cm="1">
        <f t="array" ref="BN745">IFERROR(INDEX($AW$1:$BH$1,1,MATCH(2,1/(AW745:BH745&lt;&gt;""))),"")</f>
        <v>46113</v>
      </c>
      <c r="BO745" s="53">
        <f ca="1">IFERROR(_xlfn.XLOOKUP(F745,Apuração!A:A,Apuração!C:C)/_xlfn.XLOOKUP(F745,Apuração!A:A,Apuração!B:B),0)</f>
        <v>0.41666666666666669</v>
      </c>
      <c r="BP745" s="53">
        <f ca="1">IFERROR(_xlfn.XLOOKUP(F745,Apuração!A:A,Apuração!D:D)/_xlfn.XLOOKUP(F745,Apuração!A:A,Apuração!B:B),0)</f>
        <v>0.33333333333333331</v>
      </c>
      <c r="BQ745" s="53">
        <f ca="1">IF(BK745&gt;=BO745,0,_xlfn.XLOOKUP(F745,Apuração!A:A,Apuração!B:B)*(BO745 + (1/_xlfn.XLOOKUP(F745,Apuração!A:A,Apuração!B:B)) - BK745))</f>
        <v>0</v>
      </c>
      <c r="BR745" s="85">
        <f t="shared" ca="1" si="1047"/>
        <v>0</v>
      </c>
      <c r="BS745" s="53">
        <f ca="1">IFERROR((_xlfn.XLOOKUP(F745,Apuração!A:A,Apuração!C:C)+1)/_xlfn.XLOOKUP(F745,Apuração!A:A,Apuração!B:B),0)</f>
        <v>0.5</v>
      </c>
    </row>
    <row r="746" spans="1:71" ht="25.95" hidden="1" customHeight="1" x14ac:dyDescent="0.3">
      <c r="A746" s="23" t="s">
        <v>134</v>
      </c>
      <c r="B746" s="4" t="s">
        <v>150</v>
      </c>
      <c r="C746" s="5" t="s">
        <v>97</v>
      </c>
      <c r="D746" s="5" t="s">
        <v>105</v>
      </c>
      <c r="E746" s="4" t="str" cm="1">
        <f t="array" ref="E746">_xlfn.IFS(
F746 = "A partir de Abril", "Aguardando Execução na Distribuidora",
A746 = "CAPACITAÇÃO", "Em execução no Corporativo",
TRUE, "Em Execução na Distribuidora"
)</f>
        <v>Em Execução na Distribuidora</v>
      </c>
      <c r="F746" s="4" t="str" cm="1">
        <f t="array" ref="F746">_xlfn.IFS(
AG746 &lt;&gt; "", "Jan-Dez/26",
AH746 &lt;&gt; "", "Fev-Dez/26",
AI746 &lt;&gt; "", "Mar-Dez/26", AJ746 &lt;&gt; "", "Abr-Dez/26",
TRUE, "A partir de Junho"
)</f>
        <v>Jan-Dez/26</v>
      </c>
      <c r="G746" s="4" t="s">
        <v>37</v>
      </c>
      <c r="H746" s="7" t="s">
        <v>54</v>
      </c>
      <c r="I746" s="8" t="s">
        <v>154</v>
      </c>
      <c r="J746" s="8" t="str" cm="1">
        <f t="array" aca="1" ref="J746" ca="1">_xlfn.LET(
  _xlpm.actual_value_month, INDEX(T746:AE746, MATCH(DATE(YEAR(TODAY()), MONTH(TODAY()), 1), $T$1:$AE$1, 0)),
  IF(_xlpm.actual_value_month &lt;&gt; "",_xlpm.actual_value_month &amp; " ações mensais", "")
)</f>
        <v/>
      </c>
      <c r="K746" s="8" t="str" cm="1">
        <f t="array" ref="K746">_xlfn.LET(
    _xlpm.sum_month, SUM(T746:AE746),
    IF(_xlpm.sum_month = 0, "", _xlpm.sum_month &amp; " presença de representantes no ano")
)</f>
        <v/>
      </c>
      <c r="L746" s="9" t="s">
        <v>155</v>
      </c>
      <c r="M746" s="24">
        <v>1</v>
      </c>
      <c r="N746" s="67" t="s">
        <v>51</v>
      </c>
      <c r="O746" s="111" t="s">
        <v>43</v>
      </c>
      <c r="P746" s="10" t="s">
        <v>44</v>
      </c>
      <c r="Q746" s="10" t="s">
        <v>72</v>
      </c>
      <c r="R746" s="11" t="s">
        <v>44</v>
      </c>
      <c r="S746" s="11" t="s">
        <v>44</v>
      </c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G746" s="71">
        <v>7</v>
      </c>
      <c r="AH746" s="71">
        <v>7</v>
      </c>
      <c r="AI746" s="71">
        <v>7</v>
      </c>
      <c r="AJ746" s="71">
        <v>6</v>
      </c>
      <c r="AK746" s="71">
        <v>6</v>
      </c>
      <c r="AL746" s="71"/>
      <c r="AM746" s="71"/>
      <c r="AN746" s="71"/>
      <c r="AO746" s="71"/>
      <c r="AP746" s="71"/>
      <c r="AQ746" s="71"/>
      <c r="AR746" s="71"/>
      <c r="AS746" s="94">
        <f t="shared" ca="1" si="1040"/>
        <v>0</v>
      </c>
      <c r="AT746" s="95">
        <f t="shared" si="1041"/>
        <v>33</v>
      </c>
      <c r="AU746" s="97">
        <f t="shared" si="1042"/>
        <v>33</v>
      </c>
      <c r="AW746" s="83">
        <f t="shared" si="1043"/>
        <v>7</v>
      </c>
      <c r="AX746" s="83">
        <f t="shared" si="1044"/>
        <v>7</v>
      </c>
      <c r="AY746" s="83">
        <f t="shared" si="1045"/>
        <v>7</v>
      </c>
      <c r="AZ746" s="83">
        <f t="shared" si="1046"/>
        <v>6</v>
      </c>
      <c r="BA746" s="52"/>
      <c r="BB746" s="52"/>
      <c r="BC746" s="52"/>
      <c r="BD746" s="52"/>
      <c r="BE746" s="52"/>
      <c r="BF746" s="52"/>
      <c r="BG746" s="52"/>
      <c r="BH746" s="52"/>
      <c r="BI746" s="68" cm="1">
        <f t="array" ref="BI746">IFERROR(INDEX(AW746:BH746,1,MATCH(2,1/(AW746:BH746&lt;&gt;""))),"")</f>
        <v>6</v>
      </c>
      <c r="BJ746" s="68" cm="1">
        <f t="array" ref="BJ746">IF(BM746 = "", "",IFERROR(INDEX(AW746:BH746,1,MATCH(2,1/(AW746:BH746&lt;&gt;""),1)-1),""))</f>
        <v>7</v>
      </c>
      <c r="BK746" s="59">
        <f>IF((IF(AW746&gt;=150%,150%,AW746) + IF(AX746&gt;=150%,150%,AX746) + IF(AY746&gt;=150%,150%,AY746) + (IF(AW746&gt;=150%,150%,AW746) + IF(BA746&gt;=150%,150%,BA746) + IF(BB746&gt;=150%,150%,BB746) + IF(BC746&gt;=150%,150%,BC746) + IF(BD746&gt;=150%,150%,BD746) + IF(BE746&gt;=150%,150%,BE746) + IF(BF746&gt;=150%,150%,BF746) + IF(BG746&gt;=150%,150%,BG746) + IF(BH746&gt;=150%,150%,BH746)))/_xlfn.XLOOKUP(F746,Apuração!A:A,Apuração!B:B)&gt;=1.15,1.15,((IF(AW746&gt;=150%,150%,AW746) + IF(AX746&gt;=150%,150%,AX746) + IF(AY746&gt;=150%,150%,AY746) + (IF(AW746&gt;=150%,150%,AW746) + IF(BA746&gt;=150%,150%,BA746) + IF(BB746&gt;=150%,150%,BB746) + IF(BC746&gt;=150%,150%,BC746) + IF(BD746&gt;=150%,150%,BD746) + IF(BE746&gt;=150%,150%,BE746) + IF(BF746&gt;=150%,150%,BF746) + IF(BG746&gt;=150%,150%,BG746) + IF(BH746&gt;=150%,150%,BH746)))/_xlfn.XLOOKUP(F746,Apuração!A:A,Apuração!B:B)))</f>
        <v>0.5</v>
      </c>
      <c r="BL746" s="59" cm="1">
        <f t="array" aca="1" ref="BL746" ca="1">IF(SUM(IFERROR(IF(INDEX(AW746:INDEX(AW746:BH746, MATCH(2, 1/(AW746:BH746&lt;&gt;""), 1)-1), ROW(INDIRECT("1:" &amp; MATCH(2, 1/(AW746:BH746&lt;&gt;""), 1)-1))) &gt;= 150%, 150%, INDEX(AW746:INDEX(AW746:BH746, MATCH(2, 1/(AW746:BH746&lt;&gt;""), 1)-1), ROW(INDIRECT("1:" &amp; MATCH(2, 1/(AW746:BH746&lt;&gt;""), 1)-1)))), 0))/_xlfn.XLOOKUP(F746,Apuração!A:A,Apuração!B:B)&gt;=1.15,1.15,SUM(IFERROR(IF(INDEX(AW746:INDEX(AW746:BH746, MATCH(2, 1/(AW746:BH746&lt;&gt;""), 1)-1), ROW(INDIRECT("1:" &amp; MATCH(2, 1/(AW746:BH746&lt;&gt;""), 1)-1))) &gt;= 150%, 150%, INDEX(AW746:INDEX(AW746:BH746, MATCH(2, 1/(AW746:BH746&lt;&gt;""), 1)-1), ROW(INDIRECT("1:" &amp; MATCH(2, 1/(AW746:BH746&lt;&gt;""), 1)-1)))), 0))/_xlfn.XLOOKUP(F746,Apuração!A:A,Apuração!B:B))</f>
        <v>0.375</v>
      </c>
      <c r="BM746" s="55" cm="1">
        <f t="array" ref="BM746">IFERROR(
   INDEX($AW$1:$BH$1,
      _xlfn.AGGREGATE(14, 6, COLUMN($AW$1:$BH$1)/(AW746:BH746&lt;&gt;""), 2) - COLUMN($AW$1) + 1
   ),
"")</f>
        <v>46082</v>
      </c>
      <c r="BN746" s="55" cm="1">
        <f t="array" ref="BN746">IFERROR(INDEX($AW$1:$BH$1,1,MATCH(2,1/(AW746:BH746&lt;&gt;""))),"")</f>
        <v>46113</v>
      </c>
      <c r="BO746" s="53">
        <f ca="1">IFERROR(_xlfn.XLOOKUP(F746,Apuração!A:A,Apuração!C:C)/_xlfn.XLOOKUP(F746,Apuração!A:A,Apuração!B:B),0)</f>
        <v>0.41666666666666669</v>
      </c>
      <c r="BP746" s="53">
        <f ca="1">IFERROR(_xlfn.XLOOKUP(F746,Apuração!A:A,Apuração!D:D)/_xlfn.XLOOKUP(F746,Apuração!A:A,Apuração!B:B),0)</f>
        <v>0.33333333333333331</v>
      </c>
      <c r="BQ746" s="53">
        <f ca="1">IF(BK746&gt;=BO746,0,_xlfn.XLOOKUP(F746,Apuração!A:A,Apuração!B:B)*(BO746 + (1/_xlfn.XLOOKUP(F746,Apuração!A:A,Apuração!B:B)) - BK746))</f>
        <v>0</v>
      </c>
      <c r="BR746" s="85">
        <f t="shared" ca="1" si="1047"/>
        <v>0</v>
      </c>
      <c r="BS746" s="53">
        <f ca="1">IFERROR((_xlfn.XLOOKUP(F746,Apuração!A:A,Apuração!C:C)+1)/_xlfn.XLOOKUP(F746,Apuração!A:A,Apuração!B:B),0)</f>
        <v>0.5</v>
      </c>
    </row>
    <row r="747" spans="1:71" ht="25.95" hidden="1" customHeight="1" x14ac:dyDescent="0.3">
      <c r="A747" s="23" t="s">
        <v>134</v>
      </c>
      <c r="B747" s="4" t="s">
        <v>150</v>
      </c>
      <c r="C747" s="5" t="s">
        <v>97</v>
      </c>
      <c r="D747" s="5" t="s">
        <v>106</v>
      </c>
      <c r="E747" s="4" t="str" cm="1">
        <f t="array" ref="E747">_xlfn.IFS(
F747 = "A partir de Abril", "Aguardando Execução na Distribuidora",
A747 = "CAPACITAÇÃO", "Em execução no Corporativo",
TRUE, "Em Execução na Distribuidora"
)</f>
        <v>Em Execução na Distribuidora</v>
      </c>
      <c r="F747" s="4" t="str" cm="1">
        <f t="array" ref="F747">_xlfn.IFS(
AG747 &lt;&gt; "", "Jan-Dez/26",
AH747 &lt;&gt; "", "Fev-Dez/26",
AI747 &lt;&gt; "", "Mar-Dez/26", AJ747 &lt;&gt; "", "Abr-Dez/26",
TRUE, "A partir de Junho"
)</f>
        <v>Jan-Dez/26</v>
      </c>
      <c r="G747" s="4" t="s">
        <v>37</v>
      </c>
      <c r="H747" s="7" t="s">
        <v>54</v>
      </c>
      <c r="I747" s="8" t="s">
        <v>154</v>
      </c>
      <c r="J747" s="8" t="str" cm="1">
        <f t="array" aca="1" ref="J747" ca="1">_xlfn.LET(
  _xlpm.actual_value_month, INDEX(T747:AE747, MATCH(DATE(YEAR(TODAY()), MONTH(TODAY()), 1), $T$1:$AE$1, 0)),
  IF(_xlpm.actual_value_month &lt;&gt; "",_xlpm.actual_value_month &amp; " ações mensais", "")
)</f>
        <v/>
      </c>
      <c r="K747" s="8" t="str" cm="1">
        <f t="array" ref="K747">_xlfn.LET(
    _xlpm.sum_month, SUM(T747:AE747),
    IF(_xlpm.sum_month = 0, "", _xlpm.sum_month &amp; " presença de representantes no ano")
)</f>
        <v/>
      </c>
      <c r="L747" s="9" t="s">
        <v>155</v>
      </c>
      <c r="M747" s="24">
        <v>1</v>
      </c>
      <c r="N747" s="67" t="s">
        <v>51</v>
      </c>
      <c r="O747" s="111" t="s">
        <v>43</v>
      </c>
      <c r="P747" s="10" t="s">
        <v>44</v>
      </c>
      <c r="Q747" s="10" t="s">
        <v>72</v>
      </c>
      <c r="R747" s="11" t="s">
        <v>44</v>
      </c>
      <c r="S747" s="11" t="s">
        <v>44</v>
      </c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G747" s="71">
        <v>12</v>
      </c>
      <c r="AH747" s="71">
        <v>12</v>
      </c>
      <c r="AI747" s="71">
        <v>11</v>
      </c>
      <c r="AJ747" s="71">
        <v>9</v>
      </c>
      <c r="AK747" s="71">
        <v>9</v>
      </c>
      <c r="AL747" s="71"/>
      <c r="AM747" s="71"/>
      <c r="AN747" s="71"/>
      <c r="AO747" s="71"/>
      <c r="AP747" s="71"/>
      <c r="AQ747" s="71"/>
      <c r="AR747" s="71"/>
      <c r="AS747" s="94">
        <f t="shared" ca="1" si="1040"/>
        <v>0</v>
      </c>
      <c r="AT747" s="95">
        <f t="shared" si="1041"/>
        <v>53</v>
      </c>
      <c r="AU747" s="97">
        <f t="shared" si="1042"/>
        <v>53</v>
      </c>
      <c r="AW747" s="83">
        <f t="shared" si="1043"/>
        <v>12</v>
      </c>
      <c r="AX747" s="83">
        <f t="shared" si="1044"/>
        <v>12</v>
      </c>
      <c r="AY747" s="83">
        <f t="shared" si="1045"/>
        <v>11</v>
      </c>
      <c r="AZ747" s="83">
        <f t="shared" si="1046"/>
        <v>9</v>
      </c>
      <c r="BA747" s="52"/>
      <c r="BB747" s="52"/>
      <c r="BC747" s="52"/>
      <c r="BD747" s="52"/>
      <c r="BE747" s="52"/>
      <c r="BF747" s="52"/>
      <c r="BG747" s="52"/>
      <c r="BH747" s="52"/>
      <c r="BI747" s="68" cm="1">
        <f t="array" ref="BI747">IFERROR(INDEX(AW747:BH747,1,MATCH(2,1/(AW747:BH747&lt;&gt;""))),"")</f>
        <v>9</v>
      </c>
      <c r="BJ747" s="68" cm="1">
        <f t="array" ref="BJ747">IF(BM747 = "", "",IFERROR(INDEX(AW747:BH747,1,MATCH(2,1/(AW747:BH747&lt;&gt;""),1)-1),""))</f>
        <v>11</v>
      </c>
      <c r="BK747" s="59">
        <f>IF((IF(AW747&gt;=150%,150%,AW747) + IF(AX747&gt;=150%,150%,AX747) + IF(AY747&gt;=150%,150%,AY747) + (IF(AW747&gt;=150%,150%,AW747) + IF(BA747&gt;=150%,150%,BA747) + IF(BB747&gt;=150%,150%,BB747) + IF(BC747&gt;=150%,150%,BC747) + IF(BD747&gt;=150%,150%,BD747) + IF(BE747&gt;=150%,150%,BE747) + IF(BF747&gt;=150%,150%,BF747) + IF(BG747&gt;=150%,150%,BG747) + IF(BH747&gt;=150%,150%,BH747)))/_xlfn.XLOOKUP(F747,Apuração!A:A,Apuração!B:B)&gt;=1.15,1.15,((IF(AW747&gt;=150%,150%,AW747) + IF(AX747&gt;=150%,150%,AX747) + IF(AY747&gt;=150%,150%,AY747) + (IF(AW747&gt;=150%,150%,AW747) + IF(BA747&gt;=150%,150%,BA747) + IF(BB747&gt;=150%,150%,BB747) + IF(BC747&gt;=150%,150%,BC747) + IF(BD747&gt;=150%,150%,BD747) + IF(BE747&gt;=150%,150%,BE747) + IF(BF747&gt;=150%,150%,BF747) + IF(BG747&gt;=150%,150%,BG747) + IF(BH747&gt;=150%,150%,BH747)))/_xlfn.XLOOKUP(F747,Apuração!A:A,Apuração!B:B)))</f>
        <v>0.5</v>
      </c>
      <c r="BL747" s="59" cm="1">
        <f t="array" aca="1" ref="BL747" ca="1">IF(SUM(IFERROR(IF(INDEX(AW747:INDEX(AW747:BH747, MATCH(2, 1/(AW747:BH747&lt;&gt;""), 1)-1), ROW(INDIRECT("1:" &amp; MATCH(2, 1/(AW747:BH747&lt;&gt;""), 1)-1))) &gt;= 150%, 150%, INDEX(AW747:INDEX(AW747:BH747, MATCH(2, 1/(AW747:BH747&lt;&gt;""), 1)-1), ROW(INDIRECT("1:" &amp; MATCH(2, 1/(AW747:BH747&lt;&gt;""), 1)-1)))), 0))/_xlfn.XLOOKUP(F747,Apuração!A:A,Apuração!B:B)&gt;=1.15,1.15,SUM(IFERROR(IF(INDEX(AW747:INDEX(AW747:BH747, MATCH(2, 1/(AW747:BH747&lt;&gt;""), 1)-1), ROW(INDIRECT("1:" &amp; MATCH(2, 1/(AW747:BH747&lt;&gt;""), 1)-1))) &gt;= 150%, 150%, INDEX(AW747:INDEX(AW747:BH747, MATCH(2, 1/(AW747:BH747&lt;&gt;""), 1)-1), ROW(INDIRECT("1:" &amp; MATCH(2, 1/(AW747:BH747&lt;&gt;""), 1)-1)))), 0))/_xlfn.XLOOKUP(F747,Apuração!A:A,Apuração!B:B))</f>
        <v>0.375</v>
      </c>
      <c r="BM747" s="55" cm="1">
        <f t="array" ref="BM747">IFERROR(
   INDEX($AW$1:$BH$1,
      _xlfn.AGGREGATE(14, 6, COLUMN($AW$1:$BH$1)/(AW747:BH747&lt;&gt;""), 2) - COLUMN($AW$1) + 1
   ),
"")</f>
        <v>46082</v>
      </c>
      <c r="BN747" s="55" cm="1">
        <f t="array" ref="BN747">IFERROR(INDEX($AW$1:$BH$1,1,MATCH(2,1/(AW747:BH747&lt;&gt;""))),"")</f>
        <v>46113</v>
      </c>
      <c r="BO747" s="53">
        <f ca="1">IFERROR(_xlfn.XLOOKUP(F747,Apuração!A:A,Apuração!C:C)/_xlfn.XLOOKUP(F747,Apuração!A:A,Apuração!B:B),0)</f>
        <v>0.41666666666666669</v>
      </c>
      <c r="BP747" s="53">
        <f ca="1">IFERROR(_xlfn.XLOOKUP(F747,Apuração!A:A,Apuração!D:D)/_xlfn.XLOOKUP(F747,Apuração!A:A,Apuração!B:B),0)</f>
        <v>0.33333333333333331</v>
      </c>
      <c r="BQ747" s="53">
        <f ca="1">IF(BK747&gt;=BO747,0,_xlfn.XLOOKUP(F747,Apuração!A:A,Apuração!B:B)*(BO747 + (1/_xlfn.XLOOKUP(F747,Apuração!A:A,Apuração!B:B)) - BK747))</f>
        <v>0</v>
      </c>
      <c r="BR747" s="85">
        <f t="shared" ca="1" si="1047"/>
        <v>0</v>
      </c>
      <c r="BS747" s="53">
        <f ca="1">IFERROR((_xlfn.XLOOKUP(F747,Apuração!A:A,Apuração!C:C)+1)/_xlfn.XLOOKUP(F747,Apuração!A:A,Apuração!B:B),0)</f>
        <v>0.5</v>
      </c>
    </row>
    <row r="748" spans="1:71" ht="25.95" hidden="1" customHeight="1" x14ac:dyDescent="0.3">
      <c r="A748" s="23" t="s">
        <v>134</v>
      </c>
      <c r="B748" s="4" t="s">
        <v>150</v>
      </c>
      <c r="C748" s="5" t="s">
        <v>97</v>
      </c>
      <c r="D748" s="5" t="s">
        <v>107</v>
      </c>
      <c r="E748" s="4" t="str" cm="1">
        <f t="array" ref="E748">_xlfn.IFS(
F748 = "A partir de Abril", "Aguardando Execução na Distribuidora",
A748 = "CAPACITAÇÃO", "Em execução no Corporativo",
TRUE, "Em Execução na Distribuidora"
)</f>
        <v>Em Execução na Distribuidora</v>
      </c>
      <c r="F748" s="4" t="str" cm="1">
        <f t="array" ref="F748">_xlfn.IFS(
AG748 &lt;&gt; "", "Jan-Dez/26",
AH748 &lt;&gt; "", "Fev-Dez/26",
AI748 &lt;&gt; "", "Mar-Dez/26", AJ748 &lt;&gt; "", "Abr-Dez/26",
TRUE, "A partir de Junho"
)</f>
        <v>Jan-Dez/26</v>
      </c>
      <c r="G748" s="4" t="s">
        <v>37</v>
      </c>
      <c r="H748" s="7" t="s">
        <v>54</v>
      </c>
      <c r="I748" s="8" t="s">
        <v>154</v>
      </c>
      <c r="J748" s="8" t="str" cm="1">
        <f t="array" aca="1" ref="J748" ca="1">_xlfn.LET(
  _xlpm.actual_value_month, INDEX(T748:AE748, MATCH(DATE(YEAR(TODAY()), MONTH(TODAY()), 1), $T$1:$AE$1, 0)),
  IF(_xlpm.actual_value_month &lt;&gt; "",_xlpm.actual_value_month &amp; " ações mensais", "")
)</f>
        <v/>
      </c>
      <c r="K748" s="8" t="str" cm="1">
        <f t="array" ref="K748">_xlfn.LET(
    _xlpm.sum_month, SUM(T748:AE748),
    IF(_xlpm.sum_month = 0, "", _xlpm.sum_month &amp; " presença de representantes no ano")
)</f>
        <v/>
      </c>
      <c r="L748" s="9" t="s">
        <v>155</v>
      </c>
      <c r="M748" s="24">
        <v>1</v>
      </c>
      <c r="N748" s="67" t="s">
        <v>51</v>
      </c>
      <c r="O748" s="111" t="s">
        <v>43</v>
      </c>
      <c r="P748" s="10" t="s">
        <v>44</v>
      </c>
      <c r="Q748" s="10" t="s">
        <v>72</v>
      </c>
      <c r="R748" s="11" t="s">
        <v>44</v>
      </c>
      <c r="S748" s="11" t="s">
        <v>44</v>
      </c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G748" s="71">
        <v>30</v>
      </c>
      <c r="AH748" s="71">
        <v>30</v>
      </c>
      <c r="AI748" s="71">
        <v>6</v>
      </c>
      <c r="AJ748" s="71">
        <v>6</v>
      </c>
      <c r="AK748" s="71">
        <v>6</v>
      </c>
      <c r="AL748" s="71"/>
      <c r="AM748" s="71"/>
      <c r="AN748" s="71"/>
      <c r="AO748" s="71"/>
      <c r="AP748" s="71"/>
      <c r="AQ748" s="71"/>
      <c r="AR748" s="71"/>
      <c r="AS748" s="94">
        <f t="shared" ca="1" si="1040"/>
        <v>0</v>
      </c>
      <c r="AT748" s="95">
        <f t="shared" si="1041"/>
        <v>78</v>
      </c>
      <c r="AU748" s="97">
        <f t="shared" si="1042"/>
        <v>78</v>
      </c>
      <c r="AW748" s="83">
        <f t="shared" si="1043"/>
        <v>30</v>
      </c>
      <c r="AX748" s="83">
        <f t="shared" si="1044"/>
        <v>30</v>
      </c>
      <c r="AY748" s="83">
        <f t="shared" si="1045"/>
        <v>6</v>
      </c>
      <c r="AZ748" s="83">
        <f t="shared" si="1046"/>
        <v>6</v>
      </c>
      <c r="BA748" s="52"/>
      <c r="BB748" s="52"/>
      <c r="BC748" s="52"/>
      <c r="BD748" s="52"/>
      <c r="BE748" s="52"/>
      <c r="BF748" s="52"/>
      <c r="BG748" s="52"/>
      <c r="BH748" s="52"/>
      <c r="BI748" s="68" cm="1">
        <f t="array" ref="BI748">IFERROR(INDEX(AW748:BH748,1,MATCH(2,1/(AW748:BH748&lt;&gt;""))),"")</f>
        <v>6</v>
      </c>
      <c r="BJ748" s="68" cm="1">
        <f t="array" ref="BJ748">IF(BM748 = "", "",IFERROR(INDEX(AW748:BH748,1,MATCH(2,1/(AW748:BH748&lt;&gt;""),1)-1),""))</f>
        <v>6</v>
      </c>
      <c r="BK748" s="59">
        <f>IF((IF(AW748&gt;=150%,150%,AW748) + IF(AX748&gt;=150%,150%,AX748) + IF(AY748&gt;=150%,150%,AY748) + (IF(AW748&gt;=150%,150%,AW748) + IF(BA748&gt;=150%,150%,BA748) + IF(BB748&gt;=150%,150%,BB748) + IF(BC748&gt;=150%,150%,BC748) + IF(BD748&gt;=150%,150%,BD748) + IF(BE748&gt;=150%,150%,BE748) + IF(BF748&gt;=150%,150%,BF748) + IF(BG748&gt;=150%,150%,BG748) + IF(BH748&gt;=150%,150%,BH748)))/_xlfn.XLOOKUP(F748,Apuração!A:A,Apuração!B:B)&gt;=1.15,1.15,((IF(AW748&gt;=150%,150%,AW748) + IF(AX748&gt;=150%,150%,AX748) + IF(AY748&gt;=150%,150%,AY748) + (IF(AW748&gt;=150%,150%,AW748) + IF(BA748&gt;=150%,150%,BA748) + IF(BB748&gt;=150%,150%,BB748) + IF(BC748&gt;=150%,150%,BC748) + IF(BD748&gt;=150%,150%,BD748) + IF(BE748&gt;=150%,150%,BE748) + IF(BF748&gt;=150%,150%,BF748) + IF(BG748&gt;=150%,150%,BG748) + IF(BH748&gt;=150%,150%,BH748)))/_xlfn.XLOOKUP(F748,Apuração!A:A,Apuração!B:B)))</f>
        <v>0.5</v>
      </c>
      <c r="BL748" s="59" cm="1">
        <f t="array" aca="1" ref="BL748" ca="1">IF(SUM(IFERROR(IF(INDEX(AW748:INDEX(AW748:BH748, MATCH(2, 1/(AW748:BH748&lt;&gt;""), 1)-1), ROW(INDIRECT("1:" &amp; MATCH(2, 1/(AW748:BH748&lt;&gt;""), 1)-1))) &gt;= 150%, 150%, INDEX(AW748:INDEX(AW748:BH748, MATCH(2, 1/(AW748:BH748&lt;&gt;""), 1)-1), ROW(INDIRECT("1:" &amp; MATCH(2, 1/(AW748:BH748&lt;&gt;""), 1)-1)))), 0))/_xlfn.XLOOKUP(F748,Apuração!A:A,Apuração!B:B)&gt;=1.15,1.15,SUM(IFERROR(IF(INDEX(AW748:INDEX(AW748:BH748, MATCH(2, 1/(AW748:BH748&lt;&gt;""), 1)-1), ROW(INDIRECT("1:" &amp; MATCH(2, 1/(AW748:BH748&lt;&gt;""), 1)-1))) &gt;= 150%, 150%, INDEX(AW748:INDEX(AW748:BH748, MATCH(2, 1/(AW748:BH748&lt;&gt;""), 1)-1), ROW(INDIRECT("1:" &amp; MATCH(2, 1/(AW748:BH748&lt;&gt;""), 1)-1)))), 0))/_xlfn.XLOOKUP(F748,Apuração!A:A,Apuração!B:B))</f>
        <v>0.375</v>
      </c>
      <c r="BM748" s="55" cm="1">
        <f t="array" ref="BM748">IFERROR(
   INDEX($AW$1:$BH$1,
      _xlfn.AGGREGATE(14, 6, COLUMN($AW$1:$BH$1)/(AW748:BH748&lt;&gt;""), 2) - COLUMN($AW$1) + 1
   ),
"")</f>
        <v>46082</v>
      </c>
      <c r="BN748" s="55" cm="1">
        <f t="array" ref="BN748">IFERROR(INDEX($AW$1:$BH$1,1,MATCH(2,1/(AW748:BH748&lt;&gt;""))),"")</f>
        <v>46113</v>
      </c>
      <c r="BO748" s="53">
        <f ca="1">IFERROR(_xlfn.XLOOKUP(F748,Apuração!A:A,Apuração!C:C)/_xlfn.XLOOKUP(F748,Apuração!A:A,Apuração!B:B),0)</f>
        <v>0.41666666666666669</v>
      </c>
      <c r="BP748" s="53">
        <f ca="1">IFERROR(_xlfn.XLOOKUP(F748,Apuração!A:A,Apuração!D:D)/_xlfn.XLOOKUP(F748,Apuração!A:A,Apuração!B:B),0)</f>
        <v>0.33333333333333331</v>
      </c>
      <c r="BQ748" s="53">
        <f ca="1">IF(BK748&gt;=BO748,0,_xlfn.XLOOKUP(F748,Apuração!A:A,Apuração!B:B)*(BO748 + (1/_xlfn.XLOOKUP(F748,Apuração!A:A,Apuração!B:B)) - BK748))</f>
        <v>0</v>
      </c>
      <c r="BR748" s="85">
        <f t="shared" ca="1" si="1047"/>
        <v>0</v>
      </c>
      <c r="BS748" s="53">
        <f ca="1">IFERROR((_xlfn.XLOOKUP(F748,Apuração!A:A,Apuração!C:C)+1)/_xlfn.XLOOKUP(F748,Apuração!A:A,Apuração!B:B),0)</f>
        <v>0.5</v>
      </c>
    </row>
    <row r="749" spans="1:71" ht="25.95" customHeight="1" x14ac:dyDescent="0.3">
      <c r="A749" s="43" t="s">
        <v>134</v>
      </c>
      <c r="B749" s="15" t="s">
        <v>150</v>
      </c>
      <c r="C749" s="5" t="s">
        <v>97</v>
      </c>
      <c r="D749" s="5" t="s">
        <v>36</v>
      </c>
      <c r="E749" s="4" t="str" cm="1">
        <f t="array" ref="E749">_xlfn.IFS(
F749 = "A partir de Abril", "Aguardando Execução na Distribuidora",
A749 = "CAPACITAÇÃO", "Em execução no Corporativo",
TRUE, "Em Execução na Distribuidora"
)</f>
        <v>Em Execução na Distribuidora</v>
      </c>
      <c r="F749" s="4" t="str" cm="1">
        <f t="array" ref="F749">_xlfn.IFS(
AG749 &lt;&gt; "", "Jan-Dez/26",
AH749 &lt;&gt; "", "Fev-Dez/26",
AI749 &lt;&gt; "", "Mar-Dez/26", AJ749 &lt;&gt; "", "Abr-Dez/26",
TRUE, "A partir de Junho"
)</f>
        <v>Jan-Dez/26</v>
      </c>
      <c r="G749" s="15" t="s">
        <v>37</v>
      </c>
      <c r="H749" s="27" t="s">
        <v>54</v>
      </c>
      <c r="I749" s="28" t="s">
        <v>156</v>
      </c>
      <c r="J749" s="8" t="str" cm="1">
        <f t="array" aca="1" ref="J749" ca="1">_xlfn.LET(
  _xlpm.actual_value_month, INDEX(T749:AE749, MATCH(DATE(YEAR(TODAY()), MONTH(TODAY()), 1), $T$1:$AE$1, 0)),
  IF(_xlpm.actual_value_month &lt;&gt; "",_xlpm.actual_value_month &amp; " ações mensais", "")
)</f>
        <v/>
      </c>
      <c r="K749" s="8" t="str" cm="1">
        <f t="array" ref="K749">_xlfn.LET(
    _xlpm.sum_month, SUM(T749:AE749),
    IF(_xlpm.sum_month = 0, "", _xlpm.sum_month &amp; " atividades no ano")
)</f>
        <v/>
      </c>
      <c r="L749" s="15" t="s">
        <v>157</v>
      </c>
      <c r="M749" s="30">
        <v>1</v>
      </c>
      <c r="N749" s="67" t="s">
        <v>51</v>
      </c>
      <c r="O749" s="26" t="s">
        <v>52</v>
      </c>
      <c r="P749" s="31" t="s">
        <v>44</v>
      </c>
      <c r="Q749" s="31" t="s">
        <v>44</v>
      </c>
      <c r="R749" s="32" t="s">
        <v>44</v>
      </c>
      <c r="S749" s="32" t="s">
        <v>44</v>
      </c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G749" s="71">
        <v>402</v>
      </c>
      <c r="AH749" s="71">
        <v>480</v>
      </c>
      <c r="AI749" s="71">
        <v>486</v>
      </c>
      <c r="AJ749" s="71">
        <v>91</v>
      </c>
      <c r="AK749" s="71">
        <v>0</v>
      </c>
      <c r="AL749" s="71"/>
      <c r="AM749" s="71"/>
      <c r="AN749" s="71"/>
      <c r="AO749" s="71"/>
      <c r="AP749" s="71"/>
      <c r="AQ749" s="71"/>
      <c r="AR749" s="71"/>
      <c r="AS749" s="94">
        <f t="shared" ca="1" si="966"/>
        <v>0</v>
      </c>
      <c r="AT749" s="95">
        <f>SUM(AG749:AR749)</f>
        <v>1459</v>
      </c>
      <c r="AU749" s="97">
        <f t="shared" si="967"/>
        <v>1459</v>
      </c>
      <c r="AW749" s="83">
        <f t="shared" si="1039"/>
        <v>402</v>
      </c>
      <c r="AX749" s="83">
        <f t="shared" si="1028"/>
        <v>480</v>
      </c>
      <c r="AY749" s="83">
        <f t="shared" si="1029"/>
        <v>486</v>
      </c>
      <c r="AZ749" s="83">
        <f t="shared" si="1030"/>
        <v>91</v>
      </c>
      <c r="BA749" s="52"/>
      <c r="BB749" s="52"/>
      <c r="BC749" s="52"/>
      <c r="BD749" s="52"/>
      <c r="BE749" s="52"/>
      <c r="BF749" s="52"/>
      <c r="BG749" s="52"/>
      <c r="BH749" s="52"/>
      <c r="BI749" s="68" cm="1">
        <f t="array" ref="BI749">IFERROR(INDEX(AW749:BH749,1,MATCH(2,1/(AW749:BH749&lt;&gt;""))),"")</f>
        <v>91</v>
      </c>
      <c r="BJ749" s="68" cm="1">
        <f t="array" ref="BJ749">IF(BM749 = "", "",IFERROR(INDEX(AW749:BH749,1,MATCH(2,1/(AW749:BH749&lt;&gt;""),1)-1),""))</f>
        <v>486</v>
      </c>
      <c r="BK749" s="59">
        <f>SUM(AW749:BH749)</f>
        <v>1459</v>
      </c>
      <c r="BL749" s="59" cm="1">
        <f t="array" ref="BL749">IFERROR(SUM(AW749:INDEX(AW749:BH749, MATCH(2, 1/(AW749:BH749&lt;&gt;""), 1) - 1))/_xlfn.XLOOKUP(F749,Apuração!A:A,Apuração!B:B),0)</f>
        <v>114</v>
      </c>
      <c r="BM749" s="55" cm="1">
        <f t="array" ref="BM749">IFERROR(
   INDEX($AW$1:$BH$1,
      _xlfn.AGGREGATE(14, 6, COLUMN($AW$1:$BH$1)/(AW749:BH749&lt;&gt;""), 2) - COLUMN($AW$1) + 1
   ),
"")</f>
        <v>46082</v>
      </c>
      <c r="BN749" s="55" cm="1">
        <f t="array" ref="BN749">IFERROR(INDEX($AW$1:$BH$1,1,MATCH(2,1/(AW749:BH749&lt;&gt;""))),"")</f>
        <v>46113</v>
      </c>
      <c r="BO749" s="53">
        <f ca="1">IFERROR(_xlfn.XLOOKUP(F749,Apuração!A:A,Apuração!C:C)/_xlfn.XLOOKUP(F749,Apuração!A:A,Apuração!B:B),0)</f>
        <v>0.41666666666666669</v>
      </c>
      <c r="BP749" s="53">
        <f ca="1">IFERROR(_xlfn.XLOOKUP(F749,Apuração!A:A,Apuração!D:D)/_xlfn.XLOOKUP(F749,Apuração!A:A,Apuração!B:B),0)</f>
        <v>0.33333333333333331</v>
      </c>
      <c r="BQ749" s="53">
        <f ca="1">IF(BK749&gt;=BO749,0,_xlfn.XLOOKUP(F749,Apuração!A:A,Apuração!B:B)*(BO749 + (1/_xlfn.XLOOKUP(F749,Apuração!A:A,Apuração!B:B)) - BK749))</f>
        <v>0</v>
      </c>
      <c r="BR749" s="85">
        <f t="shared" ca="1" si="898"/>
        <v>0</v>
      </c>
      <c r="BS749" s="53">
        <f ca="1">IFERROR((_xlfn.XLOOKUP(F749,Apuração!A:A,Apuração!C:C)+1)/_xlfn.XLOOKUP(F749,Apuração!A:A,Apuração!B:B),0)</f>
        <v>0.5</v>
      </c>
    </row>
    <row r="750" spans="1:71" ht="25.95" hidden="1" customHeight="1" x14ac:dyDescent="0.3">
      <c r="A750" s="43" t="s">
        <v>134</v>
      </c>
      <c r="B750" s="15" t="s">
        <v>150</v>
      </c>
      <c r="C750" s="5" t="s">
        <v>97</v>
      </c>
      <c r="D750" s="5" t="s">
        <v>98</v>
      </c>
      <c r="E750" s="4" t="str" cm="1">
        <f t="array" ref="E750">_xlfn.IFS(
F750 = "A partir de Abril", "Aguardando Execução na Distribuidora",
A750 = "CAPACITAÇÃO", "Em execução no Corporativo",
TRUE, "Em Execução na Distribuidora"
)</f>
        <v>Em Execução na Distribuidora</v>
      </c>
      <c r="F750" s="4" t="str" cm="1">
        <f t="array" ref="F750">_xlfn.IFS(
AG750 &lt;&gt; "", "Jan-Dez/26",
AH750 &lt;&gt; "", "Fev-Dez/26",
AI750 &lt;&gt; "", "Mar-Dez/26", AJ750 &lt;&gt; "", "Abr-Dez/26",
TRUE, "A partir de Junho"
)</f>
        <v>Jan-Dez/26</v>
      </c>
      <c r="G750" s="15" t="s">
        <v>37</v>
      </c>
      <c r="H750" s="27" t="s">
        <v>54</v>
      </c>
      <c r="I750" s="28" t="s">
        <v>156</v>
      </c>
      <c r="J750" s="8" t="str" cm="1">
        <f t="array" aca="1" ref="J750" ca="1">_xlfn.LET(
  _xlpm.actual_value_month, INDEX(T750:AE750, MATCH(DATE(YEAR(TODAY()), MONTH(TODAY()), 1), $T$1:$AE$1, 0)),
  IF(_xlpm.actual_value_month &lt;&gt; "",_xlpm.actual_value_month &amp; " ações mensais", "")
)</f>
        <v/>
      </c>
      <c r="K750" s="8" t="str" cm="1">
        <f t="array" ref="K750">_xlfn.LET(
    _xlpm.sum_month, SUM(T750:AE750),
    IF(_xlpm.sum_month = 0, "", _xlpm.sum_month &amp; " atividades no ano")
)</f>
        <v/>
      </c>
      <c r="L750" s="15" t="s">
        <v>157</v>
      </c>
      <c r="M750" s="30">
        <v>1</v>
      </c>
      <c r="N750" s="67" t="s">
        <v>51</v>
      </c>
      <c r="O750" s="26" t="s">
        <v>52</v>
      </c>
      <c r="P750" s="31" t="s">
        <v>44</v>
      </c>
      <c r="Q750" s="31" t="s">
        <v>44</v>
      </c>
      <c r="R750" s="32" t="s">
        <v>44</v>
      </c>
      <c r="S750" s="32" t="s">
        <v>44</v>
      </c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G750" s="71">
        <v>32</v>
      </c>
      <c r="AH750" s="71">
        <v>38</v>
      </c>
      <c r="AI750" s="71">
        <v>26</v>
      </c>
      <c r="AJ750" s="71">
        <v>0</v>
      </c>
      <c r="AK750" s="71">
        <v>0</v>
      </c>
      <c r="AL750" s="71"/>
      <c r="AM750" s="71"/>
      <c r="AN750" s="71"/>
      <c r="AO750" s="71"/>
      <c r="AP750" s="71"/>
      <c r="AQ750" s="71"/>
      <c r="AR750" s="71"/>
      <c r="AS750" s="94">
        <f t="shared" ref="AS750:AS759" ca="1" si="1048">IF(MONTH(TODAY())=3,SUM(T750:U750),IF(MONTH(TODAY())=4,SUM(T750:V750),IF(MONTH(TODAY())=5,SUM(T750:W750),IF(MONTH(TODAY())=6,SUM(T750:X750),IF(MONTH(TODAY())=7,SUM(T750:Y750),IF(MONTH(TODAY())=8,SUM(T750:Z750),IF(MONTH(TODAY())=9,SUM(T750:AA750),IF(MONTH(TODAY())=10,SUM(T750:AB750),IF(MONTH(TODAY())=11,SUM(T750:AC750),IF(MONTH(TODAY())=12,SUM(T750:AD750),IF(MONTH(TODAY())=1,SUM(T750:AE750),T750)))))))))))</f>
        <v>0</v>
      </c>
      <c r="AT750" s="95">
        <f t="shared" ref="AT750:AT759" si="1049">SUM(AG750:AR750)</f>
        <v>96</v>
      </c>
      <c r="AU750" s="97">
        <f t="shared" ref="AU750:AU759" si="1050">SUM(AG750:AR750)</f>
        <v>96</v>
      </c>
      <c r="AW750" s="83">
        <f t="shared" ref="AW750:AW759" si="1051">AG750</f>
        <v>32</v>
      </c>
      <c r="AX750" s="83">
        <f t="shared" ref="AX750:AX759" si="1052">AH750</f>
        <v>38</v>
      </c>
      <c r="AY750" s="83">
        <f t="shared" ref="AY750:AY759" si="1053">AI750</f>
        <v>26</v>
      </c>
      <c r="AZ750" s="83">
        <f t="shared" ref="AZ750:AZ759" si="1054">AJ750</f>
        <v>0</v>
      </c>
      <c r="BA750" s="52"/>
      <c r="BB750" s="52"/>
      <c r="BC750" s="52"/>
      <c r="BD750" s="52"/>
      <c r="BE750" s="52"/>
      <c r="BF750" s="52"/>
      <c r="BG750" s="52"/>
      <c r="BH750" s="52"/>
      <c r="BI750" s="68" cm="1">
        <f t="array" ref="BI750">IFERROR(INDEX(AW750:BH750,1,MATCH(2,1/(AW750:BH750&lt;&gt;""))),"")</f>
        <v>0</v>
      </c>
      <c r="BJ750" s="68" cm="1">
        <f t="array" ref="BJ750">IF(BM750 = "", "",IFERROR(INDEX(AW750:BH750,1,MATCH(2,1/(AW750:BH750&lt;&gt;""),1)-1),""))</f>
        <v>26</v>
      </c>
      <c r="BK750" s="59">
        <f t="shared" ref="BK750:BK759" si="1055">SUM(AW750:BH750)</f>
        <v>96</v>
      </c>
      <c r="BL750" s="59" cm="1">
        <f t="array" ref="BL750">IFERROR(SUM(AW750:INDEX(AW750:BH750, MATCH(2, 1/(AW750:BH750&lt;&gt;""), 1) - 1))/_xlfn.XLOOKUP(F750,Apuração!A:A,Apuração!B:B),0)</f>
        <v>8</v>
      </c>
      <c r="BM750" s="55" cm="1">
        <f t="array" ref="BM750">IFERROR(
   INDEX($AW$1:$BH$1,
      _xlfn.AGGREGATE(14, 6, COLUMN($AW$1:$BH$1)/(AW750:BH750&lt;&gt;""), 2) - COLUMN($AW$1) + 1
   ),
"")</f>
        <v>46082</v>
      </c>
      <c r="BN750" s="55" cm="1">
        <f t="array" ref="BN750">IFERROR(INDEX($AW$1:$BH$1,1,MATCH(2,1/(AW750:BH750&lt;&gt;""))),"")</f>
        <v>46113</v>
      </c>
      <c r="BO750" s="53">
        <f ca="1">IFERROR(_xlfn.XLOOKUP(F750,Apuração!A:A,Apuração!C:C)/_xlfn.XLOOKUP(F750,Apuração!A:A,Apuração!B:B),0)</f>
        <v>0.41666666666666669</v>
      </c>
      <c r="BP750" s="53">
        <f ca="1">IFERROR(_xlfn.XLOOKUP(F750,Apuração!A:A,Apuração!D:D)/_xlfn.XLOOKUP(F750,Apuração!A:A,Apuração!B:B),0)</f>
        <v>0.33333333333333331</v>
      </c>
      <c r="BQ750" s="53">
        <f ca="1">IF(BK750&gt;=BO750,0,_xlfn.XLOOKUP(F750,Apuração!A:A,Apuração!B:B)*(BO750 + (1/_xlfn.XLOOKUP(F750,Apuração!A:A,Apuração!B:B)) - BK750))</f>
        <v>0</v>
      </c>
      <c r="BR750" s="85">
        <f t="shared" ref="BR750:BR759" ca="1" si="1056">IF(BQ750=0,0,BQ750*Z750)</f>
        <v>0</v>
      </c>
      <c r="BS750" s="53">
        <f ca="1">IFERROR((_xlfn.XLOOKUP(F750,Apuração!A:A,Apuração!C:C)+1)/_xlfn.XLOOKUP(F750,Apuração!A:A,Apuração!B:B),0)</f>
        <v>0.5</v>
      </c>
    </row>
    <row r="751" spans="1:71" ht="25.95" hidden="1" customHeight="1" x14ac:dyDescent="0.3">
      <c r="A751" s="43" t="s">
        <v>134</v>
      </c>
      <c r="B751" s="15" t="s">
        <v>150</v>
      </c>
      <c r="C751" s="5" t="s">
        <v>97</v>
      </c>
      <c r="D751" s="5" t="s">
        <v>99</v>
      </c>
      <c r="E751" s="4" t="str" cm="1">
        <f t="array" ref="E751">_xlfn.IFS(
F751 = "A partir de Abril", "Aguardando Execução na Distribuidora",
A751 = "CAPACITAÇÃO", "Em execução no Corporativo",
TRUE, "Em Execução na Distribuidora"
)</f>
        <v>Em Execução na Distribuidora</v>
      </c>
      <c r="F751" s="4" t="str" cm="1">
        <f t="array" ref="F751">_xlfn.IFS(
AG751 &lt;&gt; "", "Jan-Dez/26",
AH751 &lt;&gt; "", "Fev-Dez/26",
AI751 &lt;&gt; "", "Mar-Dez/26", AJ751 &lt;&gt; "", "Abr-Dez/26",
TRUE, "A partir de Junho"
)</f>
        <v>Jan-Dez/26</v>
      </c>
      <c r="G751" s="15" t="s">
        <v>37</v>
      </c>
      <c r="H751" s="27" t="s">
        <v>54</v>
      </c>
      <c r="I751" s="28" t="s">
        <v>156</v>
      </c>
      <c r="J751" s="8" t="str" cm="1">
        <f t="array" aca="1" ref="J751" ca="1">_xlfn.LET(
  _xlpm.actual_value_month, INDEX(T751:AE751, MATCH(DATE(YEAR(TODAY()), MONTH(TODAY()), 1), $T$1:$AE$1, 0)),
  IF(_xlpm.actual_value_month &lt;&gt; "",_xlpm.actual_value_month &amp; " ações mensais", "")
)</f>
        <v/>
      </c>
      <c r="K751" s="8" t="str" cm="1">
        <f t="array" ref="K751">_xlfn.LET(
    _xlpm.sum_month, SUM(T751:AE751),
    IF(_xlpm.sum_month = 0, "", _xlpm.sum_month &amp; " atividades no ano")
)</f>
        <v/>
      </c>
      <c r="L751" s="15" t="s">
        <v>157</v>
      </c>
      <c r="M751" s="30">
        <v>1</v>
      </c>
      <c r="N751" s="67" t="s">
        <v>51</v>
      </c>
      <c r="O751" s="26" t="s">
        <v>52</v>
      </c>
      <c r="P751" s="31" t="s">
        <v>44</v>
      </c>
      <c r="Q751" s="31" t="s">
        <v>44</v>
      </c>
      <c r="R751" s="32" t="s">
        <v>44</v>
      </c>
      <c r="S751" s="32" t="s">
        <v>44</v>
      </c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G751" s="71">
        <v>20</v>
      </c>
      <c r="AH751" s="71">
        <v>27</v>
      </c>
      <c r="AI751" s="71">
        <v>23</v>
      </c>
      <c r="AJ751" s="71">
        <v>0</v>
      </c>
      <c r="AK751" s="71">
        <v>0</v>
      </c>
      <c r="AL751" s="71"/>
      <c r="AM751" s="71"/>
      <c r="AN751" s="71"/>
      <c r="AO751" s="71"/>
      <c r="AP751" s="71"/>
      <c r="AQ751" s="71"/>
      <c r="AR751" s="71"/>
      <c r="AS751" s="94">
        <f t="shared" ca="1" si="1048"/>
        <v>0</v>
      </c>
      <c r="AT751" s="95">
        <f t="shared" si="1049"/>
        <v>70</v>
      </c>
      <c r="AU751" s="97">
        <f t="shared" si="1050"/>
        <v>70</v>
      </c>
      <c r="AW751" s="83">
        <f t="shared" si="1051"/>
        <v>20</v>
      </c>
      <c r="AX751" s="83">
        <f t="shared" si="1052"/>
        <v>27</v>
      </c>
      <c r="AY751" s="83">
        <f t="shared" si="1053"/>
        <v>23</v>
      </c>
      <c r="AZ751" s="83">
        <f t="shared" si="1054"/>
        <v>0</v>
      </c>
      <c r="BA751" s="52"/>
      <c r="BB751" s="52"/>
      <c r="BC751" s="52"/>
      <c r="BD751" s="52"/>
      <c r="BE751" s="52"/>
      <c r="BF751" s="52"/>
      <c r="BG751" s="52"/>
      <c r="BH751" s="52"/>
      <c r="BI751" s="68" cm="1">
        <f t="array" ref="BI751">IFERROR(INDEX(AW751:BH751,1,MATCH(2,1/(AW751:BH751&lt;&gt;""))),"")</f>
        <v>0</v>
      </c>
      <c r="BJ751" s="68" cm="1">
        <f t="array" ref="BJ751">IF(BM751 = "", "",IFERROR(INDEX(AW751:BH751,1,MATCH(2,1/(AW751:BH751&lt;&gt;""),1)-1),""))</f>
        <v>23</v>
      </c>
      <c r="BK751" s="59">
        <f t="shared" si="1055"/>
        <v>70</v>
      </c>
      <c r="BL751" s="59" cm="1">
        <f t="array" ref="BL751">IFERROR(SUM(AW751:INDEX(AW751:BH751, MATCH(2, 1/(AW751:BH751&lt;&gt;""), 1) - 1))/_xlfn.XLOOKUP(F751,Apuração!A:A,Apuração!B:B),0)</f>
        <v>5.833333333333333</v>
      </c>
      <c r="BM751" s="55" cm="1">
        <f t="array" ref="BM751">IFERROR(
   INDEX($AW$1:$BH$1,
      _xlfn.AGGREGATE(14, 6, COLUMN($AW$1:$BH$1)/(AW751:BH751&lt;&gt;""), 2) - COLUMN($AW$1) + 1
   ),
"")</f>
        <v>46082</v>
      </c>
      <c r="BN751" s="55" cm="1">
        <f t="array" ref="BN751">IFERROR(INDEX($AW$1:$BH$1,1,MATCH(2,1/(AW751:BH751&lt;&gt;""))),"")</f>
        <v>46113</v>
      </c>
      <c r="BO751" s="53">
        <f ca="1">IFERROR(_xlfn.XLOOKUP(F751,Apuração!A:A,Apuração!C:C)/_xlfn.XLOOKUP(F751,Apuração!A:A,Apuração!B:B),0)</f>
        <v>0.41666666666666669</v>
      </c>
      <c r="BP751" s="53">
        <f ca="1">IFERROR(_xlfn.XLOOKUP(F751,Apuração!A:A,Apuração!D:D)/_xlfn.XLOOKUP(F751,Apuração!A:A,Apuração!B:B),0)</f>
        <v>0.33333333333333331</v>
      </c>
      <c r="BQ751" s="53">
        <f ca="1">IF(BK751&gt;=BO751,0,_xlfn.XLOOKUP(F751,Apuração!A:A,Apuração!B:B)*(BO751 + (1/_xlfn.XLOOKUP(F751,Apuração!A:A,Apuração!B:B)) - BK751))</f>
        <v>0</v>
      </c>
      <c r="BR751" s="85">
        <f t="shared" ca="1" si="1056"/>
        <v>0</v>
      </c>
      <c r="BS751" s="53">
        <f ca="1">IFERROR((_xlfn.XLOOKUP(F751,Apuração!A:A,Apuração!C:C)+1)/_xlfn.XLOOKUP(F751,Apuração!A:A,Apuração!B:B),0)</f>
        <v>0.5</v>
      </c>
    </row>
    <row r="752" spans="1:71" ht="25.95" hidden="1" customHeight="1" x14ac:dyDescent="0.3">
      <c r="A752" s="43" t="s">
        <v>134</v>
      </c>
      <c r="B752" s="15" t="s">
        <v>150</v>
      </c>
      <c r="C752" s="5" t="s">
        <v>97</v>
      </c>
      <c r="D752" s="5" t="s">
        <v>100</v>
      </c>
      <c r="E752" s="4" t="str" cm="1">
        <f t="array" ref="E752">_xlfn.IFS(
F752 = "A partir de Abril", "Aguardando Execução na Distribuidora",
A752 = "CAPACITAÇÃO", "Em execução no Corporativo",
TRUE, "Em Execução na Distribuidora"
)</f>
        <v>Em Execução na Distribuidora</v>
      </c>
      <c r="F752" s="4" t="str" cm="1">
        <f t="array" ref="F752">_xlfn.IFS(
AG752 &lt;&gt; "", "Jan-Dez/26",
AH752 &lt;&gt; "", "Fev-Dez/26",
AI752 &lt;&gt; "", "Mar-Dez/26", AJ752 &lt;&gt; "", "Abr-Dez/26",
TRUE, "A partir de Junho"
)</f>
        <v>Jan-Dez/26</v>
      </c>
      <c r="G752" s="15" t="s">
        <v>37</v>
      </c>
      <c r="H752" s="27" t="s">
        <v>54</v>
      </c>
      <c r="I752" s="28" t="s">
        <v>156</v>
      </c>
      <c r="J752" s="8" t="str" cm="1">
        <f t="array" aca="1" ref="J752" ca="1">_xlfn.LET(
  _xlpm.actual_value_month, INDEX(T752:AE752, MATCH(DATE(YEAR(TODAY()), MONTH(TODAY()), 1), $T$1:$AE$1, 0)),
  IF(_xlpm.actual_value_month &lt;&gt; "",_xlpm.actual_value_month &amp; " ações mensais", "")
)</f>
        <v/>
      </c>
      <c r="K752" s="8" t="str" cm="1">
        <f t="array" ref="K752">_xlfn.LET(
    _xlpm.sum_month, SUM(T752:AE752),
    IF(_xlpm.sum_month = 0, "", _xlpm.sum_month &amp; " atividades no ano")
)</f>
        <v/>
      </c>
      <c r="L752" s="15" t="s">
        <v>157</v>
      </c>
      <c r="M752" s="30">
        <v>1</v>
      </c>
      <c r="N752" s="67" t="s">
        <v>51</v>
      </c>
      <c r="O752" s="26" t="s">
        <v>52</v>
      </c>
      <c r="P752" s="31" t="s">
        <v>44</v>
      </c>
      <c r="Q752" s="31" t="s">
        <v>44</v>
      </c>
      <c r="R752" s="32" t="s">
        <v>44</v>
      </c>
      <c r="S752" s="32" t="s">
        <v>44</v>
      </c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G752" s="71">
        <v>23</v>
      </c>
      <c r="AH752" s="71">
        <v>81</v>
      </c>
      <c r="AI752" s="71">
        <v>67</v>
      </c>
      <c r="AJ752" s="71">
        <v>0</v>
      </c>
      <c r="AK752" s="71">
        <v>0</v>
      </c>
      <c r="AL752" s="71"/>
      <c r="AM752" s="71"/>
      <c r="AN752" s="71"/>
      <c r="AO752" s="71"/>
      <c r="AP752" s="71"/>
      <c r="AQ752" s="71"/>
      <c r="AR752" s="71"/>
      <c r="AS752" s="94">
        <f t="shared" ca="1" si="1048"/>
        <v>0</v>
      </c>
      <c r="AT752" s="95">
        <f t="shared" si="1049"/>
        <v>171</v>
      </c>
      <c r="AU752" s="97">
        <f t="shared" si="1050"/>
        <v>171</v>
      </c>
      <c r="AW752" s="83">
        <f t="shared" si="1051"/>
        <v>23</v>
      </c>
      <c r="AX752" s="83">
        <f t="shared" si="1052"/>
        <v>81</v>
      </c>
      <c r="AY752" s="83">
        <f t="shared" si="1053"/>
        <v>67</v>
      </c>
      <c r="AZ752" s="83">
        <f t="shared" si="1054"/>
        <v>0</v>
      </c>
      <c r="BA752" s="52"/>
      <c r="BB752" s="52"/>
      <c r="BC752" s="52"/>
      <c r="BD752" s="52"/>
      <c r="BE752" s="52"/>
      <c r="BF752" s="52"/>
      <c r="BG752" s="52"/>
      <c r="BH752" s="52"/>
      <c r="BI752" s="68" cm="1">
        <f t="array" ref="BI752">IFERROR(INDEX(AW752:BH752,1,MATCH(2,1/(AW752:BH752&lt;&gt;""))),"")</f>
        <v>0</v>
      </c>
      <c r="BJ752" s="68" cm="1">
        <f t="array" ref="BJ752">IF(BM752 = "", "",IFERROR(INDEX(AW752:BH752,1,MATCH(2,1/(AW752:BH752&lt;&gt;""),1)-1),""))</f>
        <v>67</v>
      </c>
      <c r="BK752" s="59">
        <f t="shared" si="1055"/>
        <v>171</v>
      </c>
      <c r="BL752" s="59" cm="1">
        <f t="array" ref="BL752">IFERROR(SUM(AW752:INDEX(AW752:BH752, MATCH(2, 1/(AW752:BH752&lt;&gt;""), 1) - 1))/_xlfn.XLOOKUP(F752,Apuração!A:A,Apuração!B:B),0)</f>
        <v>14.25</v>
      </c>
      <c r="BM752" s="55" cm="1">
        <f t="array" ref="BM752">IFERROR(
   INDEX($AW$1:$BH$1,
      _xlfn.AGGREGATE(14, 6, COLUMN($AW$1:$BH$1)/(AW752:BH752&lt;&gt;""), 2) - COLUMN($AW$1) + 1
   ),
"")</f>
        <v>46082</v>
      </c>
      <c r="BN752" s="55" cm="1">
        <f t="array" ref="BN752">IFERROR(INDEX($AW$1:$BH$1,1,MATCH(2,1/(AW752:BH752&lt;&gt;""))),"")</f>
        <v>46113</v>
      </c>
      <c r="BO752" s="53">
        <f ca="1">IFERROR(_xlfn.XLOOKUP(F752,Apuração!A:A,Apuração!C:C)/_xlfn.XLOOKUP(F752,Apuração!A:A,Apuração!B:B),0)</f>
        <v>0.41666666666666669</v>
      </c>
      <c r="BP752" s="53">
        <f ca="1">IFERROR(_xlfn.XLOOKUP(F752,Apuração!A:A,Apuração!D:D)/_xlfn.XLOOKUP(F752,Apuração!A:A,Apuração!B:B),0)</f>
        <v>0.33333333333333331</v>
      </c>
      <c r="BQ752" s="53">
        <f ca="1">IF(BK752&gt;=BO752,0,_xlfn.XLOOKUP(F752,Apuração!A:A,Apuração!B:B)*(BO752 + (1/_xlfn.XLOOKUP(F752,Apuração!A:A,Apuração!B:B)) - BK752))</f>
        <v>0</v>
      </c>
      <c r="BR752" s="85">
        <f t="shared" ca="1" si="1056"/>
        <v>0</v>
      </c>
      <c r="BS752" s="53">
        <f ca="1">IFERROR((_xlfn.XLOOKUP(F752,Apuração!A:A,Apuração!C:C)+1)/_xlfn.XLOOKUP(F752,Apuração!A:A,Apuração!B:B),0)</f>
        <v>0.5</v>
      </c>
    </row>
    <row r="753" spans="1:71" ht="25.95" hidden="1" customHeight="1" x14ac:dyDescent="0.3">
      <c r="A753" s="43" t="s">
        <v>134</v>
      </c>
      <c r="B753" s="15" t="s">
        <v>150</v>
      </c>
      <c r="C753" s="5" t="s">
        <v>97</v>
      </c>
      <c r="D753" s="5" t="s">
        <v>101</v>
      </c>
      <c r="E753" s="4" t="str" cm="1">
        <f t="array" ref="E753">_xlfn.IFS(
F753 = "A partir de Abril", "Aguardando Execução na Distribuidora",
A753 = "CAPACITAÇÃO", "Em execução no Corporativo",
TRUE, "Em Execução na Distribuidora"
)</f>
        <v>Em Execução na Distribuidora</v>
      </c>
      <c r="F753" s="4" t="str" cm="1">
        <f t="array" ref="F753">_xlfn.IFS(
AG753 &lt;&gt; "", "Jan-Dez/26",
AH753 &lt;&gt; "", "Fev-Dez/26",
AI753 &lt;&gt; "", "Mar-Dez/26", AJ753 &lt;&gt; "", "Abr-Dez/26",
TRUE, "A partir de Junho"
)</f>
        <v>Jan-Dez/26</v>
      </c>
      <c r="G753" s="15" t="s">
        <v>37</v>
      </c>
      <c r="H753" s="27" t="s">
        <v>54</v>
      </c>
      <c r="I753" s="28" t="s">
        <v>156</v>
      </c>
      <c r="J753" s="8" t="str" cm="1">
        <f t="array" aca="1" ref="J753" ca="1">_xlfn.LET(
  _xlpm.actual_value_month, INDEX(T753:AE753, MATCH(DATE(YEAR(TODAY()), MONTH(TODAY()), 1), $T$1:$AE$1, 0)),
  IF(_xlpm.actual_value_month &lt;&gt; "",_xlpm.actual_value_month &amp; " ações mensais", "")
)</f>
        <v/>
      </c>
      <c r="K753" s="8" t="str" cm="1">
        <f t="array" ref="K753">_xlfn.LET(
    _xlpm.sum_month, SUM(T753:AE753),
    IF(_xlpm.sum_month = 0, "", _xlpm.sum_month &amp; " atividades no ano")
)</f>
        <v/>
      </c>
      <c r="L753" s="15" t="s">
        <v>157</v>
      </c>
      <c r="M753" s="30">
        <v>1</v>
      </c>
      <c r="N753" s="67" t="s">
        <v>51</v>
      </c>
      <c r="O753" s="26" t="s">
        <v>52</v>
      </c>
      <c r="P753" s="31" t="s">
        <v>44</v>
      </c>
      <c r="Q753" s="31" t="s">
        <v>44</v>
      </c>
      <c r="R753" s="32" t="s">
        <v>44</v>
      </c>
      <c r="S753" s="32" t="s">
        <v>44</v>
      </c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G753" s="71">
        <v>99</v>
      </c>
      <c r="AH753" s="71">
        <v>80</v>
      </c>
      <c r="AI753" s="71">
        <v>99</v>
      </c>
      <c r="AJ753" s="71">
        <v>91</v>
      </c>
      <c r="AK753" s="71">
        <v>0</v>
      </c>
      <c r="AL753" s="71"/>
      <c r="AM753" s="71"/>
      <c r="AN753" s="71"/>
      <c r="AO753" s="71"/>
      <c r="AP753" s="71"/>
      <c r="AQ753" s="71"/>
      <c r="AR753" s="71"/>
      <c r="AS753" s="94">
        <f t="shared" ca="1" si="1048"/>
        <v>0</v>
      </c>
      <c r="AT753" s="95">
        <f t="shared" si="1049"/>
        <v>369</v>
      </c>
      <c r="AU753" s="97">
        <f t="shared" si="1050"/>
        <v>369</v>
      </c>
      <c r="AW753" s="83">
        <f t="shared" si="1051"/>
        <v>99</v>
      </c>
      <c r="AX753" s="83">
        <f t="shared" si="1052"/>
        <v>80</v>
      </c>
      <c r="AY753" s="83">
        <f t="shared" si="1053"/>
        <v>99</v>
      </c>
      <c r="AZ753" s="83">
        <f t="shared" si="1054"/>
        <v>91</v>
      </c>
      <c r="BA753" s="52"/>
      <c r="BB753" s="52"/>
      <c r="BC753" s="52"/>
      <c r="BD753" s="52"/>
      <c r="BE753" s="52"/>
      <c r="BF753" s="52"/>
      <c r="BG753" s="52"/>
      <c r="BH753" s="52"/>
      <c r="BI753" s="68" cm="1">
        <f t="array" ref="BI753">IFERROR(INDEX(AW753:BH753,1,MATCH(2,1/(AW753:BH753&lt;&gt;""))),"")</f>
        <v>91</v>
      </c>
      <c r="BJ753" s="68" cm="1">
        <f t="array" ref="BJ753">IF(BM753 = "", "",IFERROR(INDEX(AW753:BH753,1,MATCH(2,1/(AW753:BH753&lt;&gt;""),1)-1),""))</f>
        <v>99</v>
      </c>
      <c r="BK753" s="59">
        <f t="shared" si="1055"/>
        <v>369</v>
      </c>
      <c r="BL753" s="59" cm="1">
        <f t="array" ref="BL753">IFERROR(SUM(AW753:INDEX(AW753:BH753, MATCH(2, 1/(AW753:BH753&lt;&gt;""), 1) - 1))/_xlfn.XLOOKUP(F753,Apuração!A:A,Apuração!B:B),0)</f>
        <v>23.166666666666668</v>
      </c>
      <c r="BM753" s="55" cm="1">
        <f t="array" ref="BM753">IFERROR(
   INDEX($AW$1:$BH$1,
      _xlfn.AGGREGATE(14, 6, COLUMN($AW$1:$BH$1)/(AW753:BH753&lt;&gt;""), 2) - COLUMN($AW$1) + 1
   ),
"")</f>
        <v>46082</v>
      </c>
      <c r="BN753" s="55" cm="1">
        <f t="array" ref="BN753">IFERROR(INDEX($AW$1:$BH$1,1,MATCH(2,1/(AW753:BH753&lt;&gt;""))),"")</f>
        <v>46113</v>
      </c>
      <c r="BO753" s="53">
        <f ca="1">IFERROR(_xlfn.XLOOKUP(F753,Apuração!A:A,Apuração!C:C)/_xlfn.XLOOKUP(F753,Apuração!A:A,Apuração!B:B),0)</f>
        <v>0.41666666666666669</v>
      </c>
      <c r="BP753" s="53">
        <f ca="1">IFERROR(_xlfn.XLOOKUP(F753,Apuração!A:A,Apuração!D:D)/_xlfn.XLOOKUP(F753,Apuração!A:A,Apuração!B:B),0)</f>
        <v>0.33333333333333331</v>
      </c>
      <c r="BQ753" s="53">
        <f ca="1">IF(BK753&gt;=BO753,0,_xlfn.XLOOKUP(F753,Apuração!A:A,Apuração!B:B)*(BO753 + (1/_xlfn.XLOOKUP(F753,Apuração!A:A,Apuração!B:B)) - BK753))</f>
        <v>0</v>
      </c>
      <c r="BR753" s="85">
        <f t="shared" ca="1" si="1056"/>
        <v>0</v>
      </c>
      <c r="BS753" s="53">
        <f ca="1">IFERROR((_xlfn.XLOOKUP(F753,Apuração!A:A,Apuração!C:C)+1)/_xlfn.XLOOKUP(F753,Apuração!A:A,Apuração!B:B),0)</f>
        <v>0.5</v>
      </c>
    </row>
    <row r="754" spans="1:71" ht="25.95" hidden="1" customHeight="1" x14ac:dyDescent="0.3">
      <c r="A754" s="43" t="s">
        <v>134</v>
      </c>
      <c r="B754" s="15" t="s">
        <v>150</v>
      </c>
      <c r="C754" s="5" t="s">
        <v>97</v>
      </c>
      <c r="D754" s="5" t="s">
        <v>102</v>
      </c>
      <c r="E754" s="4" t="str" cm="1">
        <f t="array" ref="E754">_xlfn.IFS(
F754 = "A partir de Abril", "Aguardando Execução na Distribuidora",
A754 = "CAPACITAÇÃO", "Em execução no Corporativo",
TRUE, "Em Execução na Distribuidora"
)</f>
        <v>Em Execução na Distribuidora</v>
      </c>
      <c r="F754" s="4" t="str" cm="1">
        <f t="array" ref="F754">_xlfn.IFS(
AG754 &lt;&gt; "", "Jan-Dez/26",
AH754 &lt;&gt; "", "Fev-Dez/26",
AI754 &lt;&gt; "", "Mar-Dez/26", AJ754 &lt;&gt; "", "Abr-Dez/26",
TRUE, "A partir de Junho"
)</f>
        <v>Jan-Dez/26</v>
      </c>
      <c r="G754" s="15" t="s">
        <v>37</v>
      </c>
      <c r="H754" s="27" t="s">
        <v>54</v>
      </c>
      <c r="I754" s="28" t="s">
        <v>156</v>
      </c>
      <c r="J754" s="8" t="str" cm="1">
        <f t="array" aca="1" ref="J754" ca="1">_xlfn.LET(
  _xlpm.actual_value_month, INDEX(T754:AE754, MATCH(DATE(YEAR(TODAY()), MONTH(TODAY()), 1), $T$1:$AE$1, 0)),
  IF(_xlpm.actual_value_month &lt;&gt; "",_xlpm.actual_value_month &amp; " ações mensais", "")
)</f>
        <v/>
      </c>
      <c r="K754" s="8" t="str" cm="1">
        <f t="array" ref="K754">_xlfn.LET(
    _xlpm.sum_month, SUM(T754:AE754),
    IF(_xlpm.sum_month = 0, "", _xlpm.sum_month &amp; " atividades no ano")
)</f>
        <v/>
      </c>
      <c r="L754" s="15" t="s">
        <v>157</v>
      </c>
      <c r="M754" s="30">
        <v>1</v>
      </c>
      <c r="N754" s="67" t="s">
        <v>51</v>
      </c>
      <c r="O754" s="26" t="s">
        <v>52</v>
      </c>
      <c r="P754" s="31" t="s">
        <v>44</v>
      </c>
      <c r="Q754" s="31" t="s">
        <v>44</v>
      </c>
      <c r="R754" s="32" t="s">
        <v>44</v>
      </c>
      <c r="S754" s="32" t="s">
        <v>44</v>
      </c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G754" s="71">
        <v>27</v>
      </c>
      <c r="AH754" s="71">
        <v>29</v>
      </c>
      <c r="AI754" s="71">
        <v>27</v>
      </c>
      <c r="AJ754" s="71">
        <v>0</v>
      </c>
      <c r="AK754" s="71">
        <v>0</v>
      </c>
      <c r="AL754" s="71"/>
      <c r="AM754" s="71"/>
      <c r="AN754" s="71"/>
      <c r="AO754" s="71"/>
      <c r="AP754" s="71"/>
      <c r="AQ754" s="71"/>
      <c r="AR754" s="71"/>
      <c r="AS754" s="94">
        <f t="shared" ca="1" si="1048"/>
        <v>0</v>
      </c>
      <c r="AT754" s="95">
        <f t="shared" si="1049"/>
        <v>83</v>
      </c>
      <c r="AU754" s="97">
        <f t="shared" si="1050"/>
        <v>83</v>
      </c>
      <c r="AW754" s="83">
        <f t="shared" si="1051"/>
        <v>27</v>
      </c>
      <c r="AX754" s="83">
        <f t="shared" si="1052"/>
        <v>29</v>
      </c>
      <c r="AY754" s="83">
        <f t="shared" si="1053"/>
        <v>27</v>
      </c>
      <c r="AZ754" s="83">
        <f t="shared" si="1054"/>
        <v>0</v>
      </c>
      <c r="BA754" s="52"/>
      <c r="BB754" s="52"/>
      <c r="BC754" s="52"/>
      <c r="BD754" s="52"/>
      <c r="BE754" s="52"/>
      <c r="BF754" s="52"/>
      <c r="BG754" s="52"/>
      <c r="BH754" s="52"/>
      <c r="BI754" s="68" cm="1">
        <f t="array" ref="BI754">IFERROR(INDEX(AW754:BH754,1,MATCH(2,1/(AW754:BH754&lt;&gt;""))),"")</f>
        <v>0</v>
      </c>
      <c r="BJ754" s="68" cm="1">
        <f t="array" ref="BJ754">IF(BM754 = "", "",IFERROR(INDEX(AW754:BH754,1,MATCH(2,1/(AW754:BH754&lt;&gt;""),1)-1),""))</f>
        <v>27</v>
      </c>
      <c r="BK754" s="59">
        <f t="shared" si="1055"/>
        <v>83</v>
      </c>
      <c r="BL754" s="59" cm="1">
        <f t="array" ref="BL754">IFERROR(SUM(AW754:INDEX(AW754:BH754, MATCH(2, 1/(AW754:BH754&lt;&gt;""), 1) - 1))/_xlfn.XLOOKUP(F754,Apuração!A:A,Apuração!B:B),0)</f>
        <v>6.916666666666667</v>
      </c>
      <c r="BM754" s="55" cm="1">
        <f t="array" ref="BM754">IFERROR(
   INDEX($AW$1:$BH$1,
      _xlfn.AGGREGATE(14, 6, COLUMN($AW$1:$BH$1)/(AW754:BH754&lt;&gt;""), 2) - COLUMN($AW$1) + 1
   ),
"")</f>
        <v>46082</v>
      </c>
      <c r="BN754" s="55" cm="1">
        <f t="array" ref="BN754">IFERROR(INDEX($AW$1:$BH$1,1,MATCH(2,1/(AW754:BH754&lt;&gt;""))),"")</f>
        <v>46113</v>
      </c>
      <c r="BO754" s="53">
        <f ca="1">IFERROR(_xlfn.XLOOKUP(F754,Apuração!A:A,Apuração!C:C)/_xlfn.XLOOKUP(F754,Apuração!A:A,Apuração!B:B),0)</f>
        <v>0.41666666666666669</v>
      </c>
      <c r="BP754" s="53">
        <f ca="1">IFERROR(_xlfn.XLOOKUP(F754,Apuração!A:A,Apuração!D:D)/_xlfn.XLOOKUP(F754,Apuração!A:A,Apuração!B:B),0)</f>
        <v>0.33333333333333331</v>
      </c>
      <c r="BQ754" s="53">
        <f ca="1">IF(BK754&gt;=BO754,0,_xlfn.XLOOKUP(F754,Apuração!A:A,Apuração!B:B)*(BO754 + (1/_xlfn.XLOOKUP(F754,Apuração!A:A,Apuração!B:B)) - BK754))</f>
        <v>0</v>
      </c>
      <c r="BR754" s="85">
        <f t="shared" ca="1" si="1056"/>
        <v>0</v>
      </c>
      <c r="BS754" s="53">
        <f ca="1">IFERROR((_xlfn.XLOOKUP(F754,Apuração!A:A,Apuração!C:C)+1)/_xlfn.XLOOKUP(F754,Apuração!A:A,Apuração!B:B),0)</f>
        <v>0.5</v>
      </c>
    </row>
    <row r="755" spans="1:71" ht="25.95" hidden="1" customHeight="1" x14ac:dyDescent="0.3">
      <c r="A755" s="43" t="s">
        <v>134</v>
      </c>
      <c r="B755" s="15" t="s">
        <v>150</v>
      </c>
      <c r="C755" s="5" t="s">
        <v>97</v>
      </c>
      <c r="D755" s="5" t="s">
        <v>103</v>
      </c>
      <c r="E755" s="4" t="str" cm="1">
        <f t="array" ref="E755">_xlfn.IFS(
F755 = "A partir de Abril", "Aguardando Execução na Distribuidora",
A755 = "CAPACITAÇÃO", "Em execução no Corporativo",
TRUE, "Em Execução na Distribuidora"
)</f>
        <v>Em Execução na Distribuidora</v>
      </c>
      <c r="F755" s="4" t="str" cm="1">
        <f t="array" ref="F755">_xlfn.IFS(
AG755 &lt;&gt; "", "Jan-Dez/26",
AH755 &lt;&gt; "", "Fev-Dez/26",
AI755 &lt;&gt; "", "Mar-Dez/26", AJ755 &lt;&gt; "", "Abr-Dez/26",
TRUE, "A partir de Junho"
)</f>
        <v>Jan-Dez/26</v>
      </c>
      <c r="G755" s="15" t="s">
        <v>37</v>
      </c>
      <c r="H755" s="27" t="s">
        <v>54</v>
      </c>
      <c r="I755" s="28" t="s">
        <v>156</v>
      </c>
      <c r="J755" s="8" t="str" cm="1">
        <f t="array" aca="1" ref="J755" ca="1">_xlfn.LET(
  _xlpm.actual_value_month, INDEX(T755:AE755, MATCH(DATE(YEAR(TODAY()), MONTH(TODAY()), 1), $T$1:$AE$1, 0)),
  IF(_xlpm.actual_value_month &lt;&gt; "",_xlpm.actual_value_month &amp; " ações mensais", "")
)</f>
        <v/>
      </c>
      <c r="K755" s="8" t="str" cm="1">
        <f t="array" ref="K755">_xlfn.LET(
    _xlpm.sum_month, SUM(T755:AE755),
    IF(_xlpm.sum_month = 0, "", _xlpm.sum_month &amp; " atividades no ano")
)</f>
        <v/>
      </c>
      <c r="L755" s="15" t="s">
        <v>157</v>
      </c>
      <c r="M755" s="30">
        <v>1</v>
      </c>
      <c r="N755" s="67" t="s">
        <v>51</v>
      </c>
      <c r="O755" s="26" t="s">
        <v>52</v>
      </c>
      <c r="P755" s="31" t="s">
        <v>44</v>
      </c>
      <c r="Q755" s="31" t="s">
        <v>44</v>
      </c>
      <c r="R755" s="32" t="s">
        <v>44</v>
      </c>
      <c r="S755" s="32" t="s">
        <v>44</v>
      </c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G755" s="71">
        <v>73</v>
      </c>
      <c r="AH755" s="71">
        <v>85</v>
      </c>
      <c r="AI755" s="71">
        <v>109</v>
      </c>
      <c r="AJ755" s="71">
        <v>0</v>
      </c>
      <c r="AK755" s="71">
        <v>0</v>
      </c>
      <c r="AL755" s="71"/>
      <c r="AM755" s="71"/>
      <c r="AN755" s="71"/>
      <c r="AO755" s="71"/>
      <c r="AP755" s="71"/>
      <c r="AQ755" s="71"/>
      <c r="AR755" s="71"/>
      <c r="AS755" s="94">
        <f t="shared" ca="1" si="1048"/>
        <v>0</v>
      </c>
      <c r="AT755" s="95">
        <f t="shared" si="1049"/>
        <v>267</v>
      </c>
      <c r="AU755" s="97">
        <f t="shared" si="1050"/>
        <v>267</v>
      </c>
      <c r="AW755" s="83">
        <f t="shared" si="1051"/>
        <v>73</v>
      </c>
      <c r="AX755" s="83">
        <f t="shared" si="1052"/>
        <v>85</v>
      </c>
      <c r="AY755" s="83">
        <f t="shared" si="1053"/>
        <v>109</v>
      </c>
      <c r="AZ755" s="83">
        <f t="shared" si="1054"/>
        <v>0</v>
      </c>
      <c r="BA755" s="52"/>
      <c r="BB755" s="52"/>
      <c r="BC755" s="52"/>
      <c r="BD755" s="52"/>
      <c r="BE755" s="52"/>
      <c r="BF755" s="52"/>
      <c r="BG755" s="52"/>
      <c r="BH755" s="52"/>
      <c r="BI755" s="68" cm="1">
        <f t="array" ref="BI755">IFERROR(INDEX(AW755:BH755,1,MATCH(2,1/(AW755:BH755&lt;&gt;""))),"")</f>
        <v>0</v>
      </c>
      <c r="BJ755" s="68" cm="1">
        <f t="array" ref="BJ755">IF(BM755 = "", "",IFERROR(INDEX(AW755:BH755,1,MATCH(2,1/(AW755:BH755&lt;&gt;""),1)-1),""))</f>
        <v>109</v>
      </c>
      <c r="BK755" s="59">
        <f t="shared" si="1055"/>
        <v>267</v>
      </c>
      <c r="BL755" s="59" cm="1">
        <f t="array" ref="BL755">IFERROR(SUM(AW755:INDEX(AW755:BH755, MATCH(2, 1/(AW755:BH755&lt;&gt;""), 1) - 1))/_xlfn.XLOOKUP(F755,Apuração!A:A,Apuração!B:B),0)</f>
        <v>22.25</v>
      </c>
      <c r="BM755" s="55" cm="1">
        <f t="array" ref="BM755">IFERROR(
   INDEX($AW$1:$BH$1,
      _xlfn.AGGREGATE(14, 6, COLUMN($AW$1:$BH$1)/(AW755:BH755&lt;&gt;""), 2) - COLUMN($AW$1) + 1
   ),
"")</f>
        <v>46082</v>
      </c>
      <c r="BN755" s="55" cm="1">
        <f t="array" ref="BN755">IFERROR(INDEX($AW$1:$BH$1,1,MATCH(2,1/(AW755:BH755&lt;&gt;""))),"")</f>
        <v>46113</v>
      </c>
      <c r="BO755" s="53">
        <f ca="1">IFERROR(_xlfn.XLOOKUP(F755,Apuração!A:A,Apuração!C:C)/_xlfn.XLOOKUP(F755,Apuração!A:A,Apuração!B:B),0)</f>
        <v>0.41666666666666669</v>
      </c>
      <c r="BP755" s="53">
        <f ca="1">IFERROR(_xlfn.XLOOKUP(F755,Apuração!A:A,Apuração!D:D)/_xlfn.XLOOKUP(F755,Apuração!A:A,Apuração!B:B),0)</f>
        <v>0.33333333333333331</v>
      </c>
      <c r="BQ755" s="53">
        <f ca="1">IF(BK755&gt;=BO755,0,_xlfn.XLOOKUP(F755,Apuração!A:A,Apuração!B:B)*(BO755 + (1/_xlfn.XLOOKUP(F755,Apuração!A:A,Apuração!B:B)) - BK755))</f>
        <v>0</v>
      </c>
      <c r="BR755" s="85">
        <f t="shared" ca="1" si="1056"/>
        <v>0</v>
      </c>
      <c r="BS755" s="53">
        <f ca="1">IFERROR((_xlfn.XLOOKUP(F755,Apuração!A:A,Apuração!C:C)+1)/_xlfn.XLOOKUP(F755,Apuração!A:A,Apuração!B:B),0)</f>
        <v>0.5</v>
      </c>
    </row>
    <row r="756" spans="1:71" ht="25.95" hidden="1" customHeight="1" x14ac:dyDescent="0.3">
      <c r="A756" s="43" t="s">
        <v>134</v>
      </c>
      <c r="B756" s="15" t="s">
        <v>150</v>
      </c>
      <c r="C756" s="5" t="s">
        <v>97</v>
      </c>
      <c r="D756" s="5" t="s">
        <v>104</v>
      </c>
      <c r="E756" s="4" t="str" cm="1">
        <f t="array" ref="E756">_xlfn.IFS(
F756 = "A partir de Abril", "Aguardando Execução na Distribuidora",
A756 = "CAPACITAÇÃO", "Em execução no Corporativo",
TRUE, "Em Execução na Distribuidora"
)</f>
        <v>Em Execução na Distribuidora</v>
      </c>
      <c r="F756" s="4" t="str" cm="1">
        <f t="array" ref="F756">_xlfn.IFS(
AG756 &lt;&gt; "", "Jan-Dez/26",
AH756 &lt;&gt; "", "Fev-Dez/26",
AI756 &lt;&gt; "", "Mar-Dez/26", AJ756 &lt;&gt; "", "Abr-Dez/26",
TRUE, "A partir de Junho"
)</f>
        <v>Jan-Dez/26</v>
      </c>
      <c r="G756" s="15" t="s">
        <v>37</v>
      </c>
      <c r="H756" s="27" t="s">
        <v>54</v>
      </c>
      <c r="I756" s="28" t="s">
        <v>156</v>
      </c>
      <c r="J756" s="8" t="str" cm="1">
        <f t="array" aca="1" ref="J756" ca="1">_xlfn.LET(
  _xlpm.actual_value_month, INDEX(T756:AE756, MATCH(DATE(YEAR(TODAY()), MONTH(TODAY()), 1), $T$1:$AE$1, 0)),
  IF(_xlpm.actual_value_month &lt;&gt; "",_xlpm.actual_value_month &amp; " ações mensais", "")
)</f>
        <v/>
      </c>
      <c r="K756" s="8" t="str" cm="1">
        <f t="array" ref="K756">_xlfn.LET(
    _xlpm.sum_month, SUM(T756:AE756),
    IF(_xlpm.sum_month = 0, "", _xlpm.sum_month &amp; " atividades no ano")
)</f>
        <v/>
      </c>
      <c r="L756" s="15" t="s">
        <v>157</v>
      </c>
      <c r="M756" s="30">
        <v>1</v>
      </c>
      <c r="N756" s="67" t="s">
        <v>51</v>
      </c>
      <c r="O756" s="26" t="s">
        <v>52</v>
      </c>
      <c r="P756" s="31" t="s">
        <v>44</v>
      </c>
      <c r="Q756" s="31" t="s">
        <v>44</v>
      </c>
      <c r="R756" s="32" t="s">
        <v>44</v>
      </c>
      <c r="S756" s="32" t="s">
        <v>44</v>
      </c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G756" s="71">
        <v>28</v>
      </c>
      <c r="AH756" s="71">
        <v>38</v>
      </c>
      <c r="AI756" s="71">
        <v>39</v>
      </c>
      <c r="AJ756" s="71">
        <v>0</v>
      </c>
      <c r="AK756" s="71">
        <v>0</v>
      </c>
      <c r="AL756" s="71"/>
      <c r="AM756" s="71"/>
      <c r="AN756" s="71"/>
      <c r="AO756" s="71"/>
      <c r="AP756" s="71"/>
      <c r="AQ756" s="71"/>
      <c r="AR756" s="71"/>
      <c r="AS756" s="94">
        <f t="shared" ca="1" si="1048"/>
        <v>0</v>
      </c>
      <c r="AT756" s="95">
        <f t="shared" si="1049"/>
        <v>105</v>
      </c>
      <c r="AU756" s="97">
        <f t="shared" si="1050"/>
        <v>105</v>
      </c>
      <c r="AW756" s="83">
        <f t="shared" si="1051"/>
        <v>28</v>
      </c>
      <c r="AX756" s="83">
        <f t="shared" si="1052"/>
        <v>38</v>
      </c>
      <c r="AY756" s="83">
        <f t="shared" si="1053"/>
        <v>39</v>
      </c>
      <c r="AZ756" s="83">
        <f t="shared" si="1054"/>
        <v>0</v>
      </c>
      <c r="BA756" s="52"/>
      <c r="BB756" s="52"/>
      <c r="BC756" s="52"/>
      <c r="BD756" s="52"/>
      <c r="BE756" s="52"/>
      <c r="BF756" s="52"/>
      <c r="BG756" s="52"/>
      <c r="BH756" s="52"/>
      <c r="BI756" s="68" cm="1">
        <f t="array" ref="BI756">IFERROR(INDEX(AW756:BH756,1,MATCH(2,1/(AW756:BH756&lt;&gt;""))),"")</f>
        <v>0</v>
      </c>
      <c r="BJ756" s="68" cm="1">
        <f t="array" ref="BJ756">IF(BM756 = "", "",IFERROR(INDEX(AW756:BH756,1,MATCH(2,1/(AW756:BH756&lt;&gt;""),1)-1),""))</f>
        <v>39</v>
      </c>
      <c r="BK756" s="59">
        <f t="shared" si="1055"/>
        <v>105</v>
      </c>
      <c r="BL756" s="59" cm="1">
        <f t="array" ref="BL756">IFERROR(SUM(AW756:INDEX(AW756:BH756, MATCH(2, 1/(AW756:BH756&lt;&gt;""), 1) - 1))/_xlfn.XLOOKUP(F756,Apuração!A:A,Apuração!B:B),0)</f>
        <v>8.75</v>
      </c>
      <c r="BM756" s="55" cm="1">
        <f t="array" ref="BM756">IFERROR(
   INDEX($AW$1:$BH$1,
      _xlfn.AGGREGATE(14, 6, COLUMN($AW$1:$BH$1)/(AW756:BH756&lt;&gt;""), 2) - COLUMN($AW$1) + 1
   ),
"")</f>
        <v>46082</v>
      </c>
      <c r="BN756" s="55" cm="1">
        <f t="array" ref="BN756">IFERROR(INDEX($AW$1:$BH$1,1,MATCH(2,1/(AW756:BH756&lt;&gt;""))),"")</f>
        <v>46113</v>
      </c>
      <c r="BO756" s="53">
        <f ca="1">IFERROR(_xlfn.XLOOKUP(F756,Apuração!A:A,Apuração!C:C)/_xlfn.XLOOKUP(F756,Apuração!A:A,Apuração!B:B),0)</f>
        <v>0.41666666666666669</v>
      </c>
      <c r="BP756" s="53">
        <f ca="1">IFERROR(_xlfn.XLOOKUP(F756,Apuração!A:A,Apuração!D:D)/_xlfn.XLOOKUP(F756,Apuração!A:A,Apuração!B:B),0)</f>
        <v>0.33333333333333331</v>
      </c>
      <c r="BQ756" s="53">
        <f ca="1">IF(BK756&gt;=BO756,0,_xlfn.XLOOKUP(F756,Apuração!A:A,Apuração!B:B)*(BO756 + (1/_xlfn.XLOOKUP(F756,Apuração!A:A,Apuração!B:B)) - BK756))</f>
        <v>0</v>
      </c>
      <c r="BR756" s="85">
        <f t="shared" ca="1" si="1056"/>
        <v>0</v>
      </c>
      <c r="BS756" s="53">
        <f ca="1">IFERROR((_xlfn.XLOOKUP(F756,Apuração!A:A,Apuração!C:C)+1)/_xlfn.XLOOKUP(F756,Apuração!A:A,Apuração!B:B),0)</f>
        <v>0.5</v>
      </c>
    </row>
    <row r="757" spans="1:71" ht="25.95" hidden="1" customHeight="1" x14ac:dyDescent="0.3">
      <c r="A757" s="43" t="s">
        <v>134</v>
      </c>
      <c r="B757" s="15" t="s">
        <v>150</v>
      </c>
      <c r="C757" s="5" t="s">
        <v>97</v>
      </c>
      <c r="D757" s="5" t="s">
        <v>105</v>
      </c>
      <c r="E757" s="4" t="str" cm="1">
        <f t="array" ref="E757">_xlfn.IFS(
F757 = "A partir de Abril", "Aguardando Execução na Distribuidora",
A757 = "CAPACITAÇÃO", "Em execução no Corporativo",
TRUE, "Em Execução na Distribuidora"
)</f>
        <v>Em Execução na Distribuidora</v>
      </c>
      <c r="F757" s="4" t="str" cm="1">
        <f t="array" ref="F757">_xlfn.IFS(
AG757 &lt;&gt; "", "Jan-Dez/26",
AH757 &lt;&gt; "", "Fev-Dez/26",
AI757 &lt;&gt; "", "Mar-Dez/26", AJ757 &lt;&gt; "", "Abr-Dez/26",
TRUE, "A partir de Junho"
)</f>
        <v>Jan-Dez/26</v>
      </c>
      <c r="G757" s="15" t="s">
        <v>37</v>
      </c>
      <c r="H757" s="27" t="s">
        <v>54</v>
      </c>
      <c r="I757" s="28" t="s">
        <v>156</v>
      </c>
      <c r="J757" s="8" t="str" cm="1">
        <f t="array" aca="1" ref="J757" ca="1">_xlfn.LET(
  _xlpm.actual_value_month, INDEX(T757:AE757, MATCH(DATE(YEAR(TODAY()), MONTH(TODAY()), 1), $T$1:$AE$1, 0)),
  IF(_xlpm.actual_value_month &lt;&gt; "",_xlpm.actual_value_month &amp; " ações mensais", "")
)</f>
        <v/>
      </c>
      <c r="K757" s="8" t="str" cm="1">
        <f t="array" ref="K757">_xlfn.LET(
    _xlpm.sum_month, SUM(T757:AE757),
    IF(_xlpm.sum_month = 0, "", _xlpm.sum_month &amp; " atividades no ano")
)</f>
        <v/>
      </c>
      <c r="L757" s="15" t="s">
        <v>157</v>
      </c>
      <c r="M757" s="30">
        <v>1</v>
      </c>
      <c r="N757" s="67" t="s">
        <v>51</v>
      </c>
      <c r="O757" s="26" t="s">
        <v>52</v>
      </c>
      <c r="P757" s="31" t="s">
        <v>44</v>
      </c>
      <c r="Q757" s="31" t="s">
        <v>44</v>
      </c>
      <c r="R757" s="32" t="s">
        <v>44</v>
      </c>
      <c r="S757" s="32" t="s">
        <v>44</v>
      </c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G757" s="71">
        <v>23</v>
      </c>
      <c r="AH757" s="71">
        <v>24</v>
      </c>
      <c r="AI757" s="71">
        <v>24</v>
      </c>
      <c r="AJ757" s="71">
        <v>0</v>
      </c>
      <c r="AK757" s="71">
        <v>0</v>
      </c>
      <c r="AL757" s="71"/>
      <c r="AM757" s="71"/>
      <c r="AN757" s="71"/>
      <c r="AO757" s="71"/>
      <c r="AP757" s="71"/>
      <c r="AQ757" s="71"/>
      <c r="AR757" s="71"/>
      <c r="AS757" s="94">
        <f t="shared" ca="1" si="1048"/>
        <v>0</v>
      </c>
      <c r="AT757" s="95">
        <f t="shared" si="1049"/>
        <v>71</v>
      </c>
      <c r="AU757" s="97">
        <f t="shared" si="1050"/>
        <v>71</v>
      </c>
      <c r="AW757" s="83">
        <f t="shared" si="1051"/>
        <v>23</v>
      </c>
      <c r="AX757" s="83">
        <f t="shared" si="1052"/>
        <v>24</v>
      </c>
      <c r="AY757" s="83">
        <f t="shared" si="1053"/>
        <v>24</v>
      </c>
      <c r="AZ757" s="83">
        <f t="shared" si="1054"/>
        <v>0</v>
      </c>
      <c r="BA757" s="52"/>
      <c r="BB757" s="52"/>
      <c r="BC757" s="52"/>
      <c r="BD757" s="52"/>
      <c r="BE757" s="52"/>
      <c r="BF757" s="52"/>
      <c r="BG757" s="52"/>
      <c r="BH757" s="52"/>
      <c r="BI757" s="68" cm="1">
        <f t="array" ref="BI757">IFERROR(INDEX(AW757:BH757,1,MATCH(2,1/(AW757:BH757&lt;&gt;""))),"")</f>
        <v>0</v>
      </c>
      <c r="BJ757" s="68" cm="1">
        <f t="array" ref="BJ757">IF(BM757 = "", "",IFERROR(INDEX(AW757:BH757,1,MATCH(2,1/(AW757:BH757&lt;&gt;""),1)-1),""))</f>
        <v>24</v>
      </c>
      <c r="BK757" s="59">
        <f t="shared" si="1055"/>
        <v>71</v>
      </c>
      <c r="BL757" s="59" cm="1">
        <f t="array" ref="BL757">IFERROR(SUM(AW757:INDEX(AW757:BH757, MATCH(2, 1/(AW757:BH757&lt;&gt;""), 1) - 1))/_xlfn.XLOOKUP(F757,Apuração!A:A,Apuração!B:B),0)</f>
        <v>5.916666666666667</v>
      </c>
      <c r="BM757" s="55" cm="1">
        <f t="array" ref="BM757">IFERROR(
   INDEX($AW$1:$BH$1,
      _xlfn.AGGREGATE(14, 6, COLUMN($AW$1:$BH$1)/(AW757:BH757&lt;&gt;""), 2) - COLUMN($AW$1) + 1
   ),
"")</f>
        <v>46082</v>
      </c>
      <c r="BN757" s="55" cm="1">
        <f t="array" ref="BN757">IFERROR(INDEX($AW$1:$BH$1,1,MATCH(2,1/(AW757:BH757&lt;&gt;""))),"")</f>
        <v>46113</v>
      </c>
      <c r="BO757" s="53">
        <f ca="1">IFERROR(_xlfn.XLOOKUP(F757,Apuração!A:A,Apuração!C:C)/_xlfn.XLOOKUP(F757,Apuração!A:A,Apuração!B:B),0)</f>
        <v>0.41666666666666669</v>
      </c>
      <c r="BP757" s="53">
        <f ca="1">IFERROR(_xlfn.XLOOKUP(F757,Apuração!A:A,Apuração!D:D)/_xlfn.XLOOKUP(F757,Apuração!A:A,Apuração!B:B),0)</f>
        <v>0.33333333333333331</v>
      </c>
      <c r="BQ757" s="53">
        <f ca="1">IF(BK757&gt;=BO757,0,_xlfn.XLOOKUP(F757,Apuração!A:A,Apuração!B:B)*(BO757 + (1/_xlfn.XLOOKUP(F757,Apuração!A:A,Apuração!B:B)) - BK757))</f>
        <v>0</v>
      </c>
      <c r="BR757" s="85">
        <f t="shared" ca="1" si="1056"/>
        <v>0</v>
      </c>
      <c r="BS757" s="53">
        <f ca="1">IFERROR((_xlfn.XLOOKUP(F757,Apuração!A:A,Apuração!C:C)+1)/_xlfn.XLOOKUP(F757,Apuração!A:A,Apuração!B:B),0)</f>
        <v>0.5</v>
      </c>
    </row>
    <row r="758" spans="1:71" ht="25.95" hidden="1" customHeight="1" x14ac:dyDescent="0.3">
      <c r="A758" s="43" t="s">
        <v>134</v>
      </c>
      <c r="B758" s="15" t="s">
        <v>150</v>
      </c>
      <c r="C758" s="5" t="s">
        <v>97</v>
      </c>
      <c r="D758" s="5" t="s">
        <v>106</v>
      </c>
      <c r="E758" s="4" t="str" cm="1">
        <f t="array" ref="E758">_xlfn.IFS(
F758 = "A partir de Abril", "Aguardando Execução na Distribuidora",
A758 = "CAPACITAÇÃO", "Em execução no Corporativo",
TRUE, "Em Execução na Distribuidora"
)</f>
        <v>Em Execução na Distribuidora</v>
      </c>
      <c r="F758" s="4" t="str" cm="1">
        <f t="array" ref="F758">_xlfn.IFS(
AG758 &lt;&gt; "", "Jan-Dez/26",
AH758 &lt;&gt; "", "Fev-Dez/26",
AI758 &lt;&gt; "", "Mar-Dez/26", AJ758 &lt;&gt; "", "Abr-Dez/26",
TRUE, "A partir de Junho"
)</f>
        <v>Jan-Dez/26</v>
      </c>
      <c r="G758" s="15" t="s">
        <v>37</v>
      </c>
      <c r="H758" s="27" t="s">
        <v>54</v>
      </c>
      <c r="I758" s="28" t="s">
        <v>156</v>
      </c>
      <c r="J758" s="8" t="str" cm="1">
        <f t="array" aca="1" ref="J758" ca="1">_xlfn.LET(
  _xlpm.actual_value_month, INDEX(T758:AE758, MATCH(DATE(YEAR(TODAY()), MONTH(TODAY()), 1), $T$1:$AE$1, 0)),
  IF(_xlpm.actual_value_month &lt;&gt; "",_xlpm.actual_value_month &amp; " ações mensais", "")
)</f>
        <v/>
      </c>
      <c r="K758" s="8" t="str" cm="1">
        <f t="array" ref="K758">_xlfn.LET(
    _xlpm.sum_month, SUM(T758:AE758),
    IF(_xlpm.sum_month = 0, "", _xlpm.sum_month &amp; " atividades no ano")
)</f>
        <v/>
      </c>
      <c r="L758" s="15" t="s">
        <v>157</v>
      </c>
      <c r="M758" s="30">
        <v>1</v>
      </c>
      <c r="N758" s="67" t="s">
        <v>51</v>
      </c>
      <c r="O758" s="26" t="s">
        <v>52</v>
      </c>
      <c r="P758" s="31" t="s">
        <v>44</v>
      </c>
      <c r="Q758" s="31" t="s">
        <v>44</v>
      </c>
      <c r="R758" s="32" t="s">
        <v>44</v>
      </c>
      <c r="S758" s="32" t="s">
        <v>44</v>
      </c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G758" s="71">
        <v>41</v>
      </c>
      <c r="AH758" s="71">
        <v>47</v>
      </c>
      <c r="AI758" s="71">
        <v>47</v>
      </c>
      <c r="AJ758" s="71">
        <v>0</v>
      </c>
      <c r="AK758" s="71">
        <v>0</v>
      </c>
      <c r="AL758" s="71"/>
      <c r="AM758" s="71"/>
      <c r="AN758" s="71"/>
      <c r="AO758" s="71"/>
      <c r="AP758" s="71"/>
      <c r="AQ758" s="71"/>
      <c r="AR758" s="71"/>
      <c r="AS758" s="94">
        <f t="shared" ca="1" si="1048"/>
        <v>0</v>
      </c>
      <c r="AT758" s="95">
        <f t="shared" si="1049"/>
        <v>135</v>
      </c>
      <c r="AU758" s="97">
        <f t="shared" si="1050"/>
        <v>135</v>
      </c>
      <c r="AW758" s="83">
        <f t="shared" si="1051"/>
        <v>41</v>
      </c>
      <c r="AX758" s="83">
        <f t="shared" si="1052"/>
        <v>47</v>
      </c>
      <c r="AY758" s="83">
        <f t="shared" si="1053"/>
        <v>47</v>
      </c>
      <c r="AZ758" s="83">
        <f t="shared" si="1054"/>
        <v>0</v>
      </c>
      <c r="BA758" s="52"/>
      <c r="BB758" s="52"/>
      <c r="BC758" s="52"/>
      <c r="BD758" s="52"/>
      <c r="BE758" s="52"/>
      <c r="BF758" s="52"/>
      <c r="BG758" s="52"/>
      <c r="BH758" s="52"/>
      <c r="BI758" s="68" cm="1">
        <f t="array" ref="BI758">IFERROR(INDEX(AW758:BH758,1,MATCH(2,1/(AW758:BH758&lt;&gt;""))),"")</f>
        <v>0</v>
      </c>
      <c r="BJ758" s="68" cm="1">
        <f t="array" ref="BJ758">IF(BM758 = "", "",IFERROR(INDEX(AW758:BH758,1,MATCH(2,1/(AW758:BH758&lt;&gt;""),1)-1),""))</f>
        <v>47</v>
      </c>
      <c r="BK758" s="59">
        <f t="shared" si="1055"/>
        <v>135</v>
      </c>
      <c r="BL758" s="59" cm="1">
        <f t="array" ref="BL758">IFERROR(SUM(AW758:INDEX(AW758:BH758, MATCH(2, 1/(AW758:BH758&lt;&gt;""), 1) - 1))/_xlfn.XLOOKUP(F758,Apuração!A:A,Apuração!B:B),0)</f>
        <v>11.25</v>
      </c>
      <c r="BM758" s="55" cm="1">
        <f t="array" ref="BM758">IFERROR(
   INDEX($AW$1:$BH$1,
      _xlfn.AGGREGATE(14, 6, COLUMN($AW$1:$BH$1)/(AW758:BH758&lt;&gt;""), 2) - COLUMN($AW$1) + 1
   ),
"")</f>
        <v>46082</v>
      </c>
      <c r="BN758" s="55" cm="1">
        <f t="array" ref="BN758">IFERROR(INDEX($AW$1:$BH$1,1,MATCH(2,1/(AW758:BH758&lt;&gt;""))),"")</f>
        <v>46113</v>
      </c>
      <c r="BO758" s="53">
        <f ca="1">IFERROR(_xlfn.XLOOKUP(F758,Apuração!A:A,Apuração!C:C)/_xlfn.XLOOKUP(F758,Apuração!A:A,Apuração!B:B),0)</f>
        <v>0.41666666666666669</v>
      </c>
      <c r="BP758" s="53">
        <f ca="1">IFERROR(_xlfn.XLOOKUP(F758,Apuração!A:A,Apuração!D:D)/_xlfn.XLOOKUP(F758,Apuração!A:A,Apuração!B:B),0)</f>
        <v>0.33333333333333331</v>
      </c>
      <c r="BQ758" s="53">
        <f ca="1">IF(BK758&gt;=BO758,0,_xlfn.XLOOKUP(F758,Apuração!A:A,Apuração!B:B)*(BO758 + (1/_xlfn.XLOOKUP(F758,Apuração!A:A,Apuração!B:B)) - BK758))</f>
        <v>0</v>
      </c>
      <c r="BR758" s="85">
        <f t="shared" ca="1" si="1056"/>
        <v>0</v>
      </c>
      <c r="BS758" s="53">
        <f ca="1">IFERROR((_xlfn.XLOOKUP(F758,Apuração!A:A,Apuração!C:C)+1)/_xlfn.XLOOKUP(F758,Apuração!A:A,Apuração!B:B),0)</f>
        <v>0.5</v>
      </c>
    </row>
    <row r="759" spans="1:71" ht="25.95" hidden="1" customHeight="1" x14ac:dyDescent="0.3">
      <c r="A759" s="43" t="s">
        <v>134</v>
      </c>
      <c r="B759" s="15" t="s">
        <v>150</v>
      </c>
      <c r="C759" s="5" t="s">
        <v>97</v>
      </c>
      <c r="D759" s="5" t="s">
        <v>107</v>
      </c>
      <c r="E759" s="4" t="str" cm="1">
        <f t="array" ref="E759">_xlfn.IFS(
F759 = "A partir de Abril", "Aguardando Execução na Distribuidora",
A759 = "CAPACITAÇÃO", "Em execução no Corporativo",
TRUE, "Em Execução na Distribuidora"
)</f>
        <v>Em Execução na Distribuidora</v>
      </c>
      <c r="F759" s="4" t="str" cm="1">
        <f t="array" ref="F759">_xlfn.IFS(
AG759 &lt;&gt; "", "Jan-Dez/26",
AH759 &lt;&gt; "", "Fev-Dez/26",
AI759 &lt;&gt; "", "Mar-Dez/26", AJ759 &lt;&gt; "", "Abr-Dez/26",
TRUE, "A partir de Junho"
)</f>
        <v>Jan-Dez/26</v>
      </c>
      <c r="G759" s="15" t="s">
        <v>37</v>
      </c>
      <c r="H759" s="27" t="s">
        <v>54</v>
      </c>
      <c r="I759" s="28" t="s">
        <v>156</v>
      </c>
      <c r="J759" s="8" t="str" cm="1">
        <f t="array" aca="1" ref="J759" ca="1">_xlfn.LET(
  _xlpm.actual_value_month, INDEX(T759:AE759, MATCH(DATE(YEAR(TODAY()), MONTH(TODAY()), 1), $T$1:$AE$1, 0)),
  IF(_xlpm.actual_value_month &lt;&gt; "",_xlpm.actual_value_month &amp; " ações mensais", "")
)</f>
        <v/>
      </c>
      <c r="K759" s="8" t="str" cm="1">
        <f t="array" ref="K759">_xlfn.LET(
    _xlpm.sum_month, SUM(T759:AE759),
    IF(_xlpm.sum_month = 0, "", _xlpm.sum_month &amp; " atividades no ano")
)</f>
        <v/>
      </c>
      <c r="L759" s="15" t="s">
        <v>157</v>
      </c>
      <c r="M759" s="30">
        <v>1</v>
      </c>
      <c r="N759" s="67" t="s">
        <v>51</v>
      </c>
      <c r="O759" s="26" t="s">
        <v>52</v>
      </c>
      <c r="P759" s="31" t="s">
        <v>44</v>
      </c>
      <c r="Q759" s="31" t="s">
        <v>44</v>
      </c>
      <c r="R759" s="32" t="s">
        <v>44</v>
      </c>
      <c r="S759" s="32" t="s">
        <v>44</v>
      </c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G759" s="71">
        <v>36</v>
      </c>
      <c r="AH759" s="71">
        <v>31</v>
      </c>
      <c r="AI759" s="71">
        <v>25</v>
      </c>
      <c r="AJ759" s="71">
        <v>0</v>
      </c>
      <c r="AK759" s="71">
        <v>0</v>
      </c>
      <c r="AL759" s="71"/>
      <c r="AM759" s="71"/>
      <c r="AN759" s="71"/>
      <c r="AO759" s="71"/>
      <c r="AP759" s="71"/>
      <c r="AQ759" s="71"/>
      <c r="AR759" s="71"/>
      <c r="AS759" s="94">
        <f t="shared" ca="1" si="1048"/>
        <v>0</v>
      </c>
      <c r="AT759" s="95">
        <f t="shared" si="1049"/>
        <v>92</v>
      </c>
      <c r="AU759" s="97">
        <f t="shared" si="1050"/>
        <v>92</v>
      </c>
      <c r="AW759" s="83">
        <f t="shared" si="1051"/>
        <v>36</v>
      </c>
      <c r="AX759" s="83">
        <f t="shared" si="1052"/>
        <v>31</v>
      </c>
      <c r="AY759" s="83">
        <f t="shared" si="1053"/>
        <v>25</v>
      </c>
      <c r="AZ759" s="83">
        <f t="shared" si="1054"/>
        <v>0</v>
      </c>
      <c r="BA759" s="52"/>
      <c r="BB759" s="52"/>
      <c r="BC759" s="52"/>
      <c r="BD759" s="52"/>
      <c r="BE759" s="52"/>
      <c r="BF759" s="52"/>
      <c r="BG759" s="52"/>
      <c r="BH759" s="52"/>
      <c r="BI759" s="68" cm="1">
        <f t="array" ref="BI759">IFERROR(INDEX(AW759:BH759,1,MATCH(2,1/(AW759:BH759&lt;&gt;""))),"")</f>
        <v>0</v>
      </c>
      <c r="BJ759" s="68" cm="1">
        <f t="array" ref="BJ759">IF(BM759 = "", "",IFERROR(INDEX(AW759:BH759,1,MATCH(2,1/(AW759:BH759&lt;&gt;""),1)-1),""))</f>
        <v>25</v>
      </c>
      <c r="BK759" s="59">
        <f t="shared" si="1055"/>
        <v>92</v>
      </c>
      <c r="BL759" s="59" cm="1">
        <f t="array" ref="BL759">IFERROR(SUM(AW759:INDEX(AW759:BH759, MATCH(2, 1/(AW759:BH759&lt;&gt;""), 1) - 1))/_xlfn.XLOOKUP(F759,Apuração!A:A,Apuração!B:B),0)</f>
        <v>7.666666666666667</v>
      </c>
      <c r="BM759" s="55" cm="1">
        <f t="array" ref="BM759">IFERROR(
   INDEX($AW$1:$BH$1,
      _xlfn.AGGREGATE(14, 6, COLUMN($AW$1:$BH$1)/(AW759:BH759&lt;&gt;""), 2) - COLUMN($AW$1) + 1
   ),
"")</f>
        <v>46082</v>
      </c>
      <c r="BN759" s="55" cm="1">
        <f t="array" ref="BN759">IFERROR(INDEX($AW$1:$BH$1,1,MATCH(2,1/(AW759:BH759&lt;&gt;""))),"")</f>
        <v>46113</v>
      </c>
      <c r="BO759" s="53">
        <f ca="1">IFERROR(_xlfn.XLOOKUP(F759,Apuração!A:A,Apuração!C:C)/_xlfn.XLOOKUP(F759,Apuração!A:A,Apuração!B:B),0)</f>
        <v>0.41666666666666669</v>
      </c>
      <c r="BP759" s="53">
        <f ca="1">IFERROR(_xlfn.XLOOKUP(F759,Apuração!A:A,Apuração!D:D)/_xlfn.XLOOKUP(F759,Apuração!A:A,Apuração!B:B),0)</f>
        <v>0.33333333333333331</v>
      </c>
      <c r="BQ759" s="53">
        <f ca="1">IF(BK759&gt;=BO759,0,_xlfn.XLOOKUP(F759,Apuração!A:A,Apuração!B:B)*(BO759 + (1/_xlfn.XLOOKUP(F759,Apuração!A:A,Apuração!B:B)) - BK759))</f>
        <v>0</v>
      </c>
      <c r="BR759" s="85">
        <f t="shared" ca="1" si="1056"/>
        <v>0</v>
      </c>
      <c r="BS759" s="53">
        <f ca="1">IFERROR((_xlfn.XLOOKUP(F759,Apuração!A:A,Apuração!C:C)+1)/_xlfn.XLOOKUP(F759,Apuração!A:A,Apuração!B:B),0)</f>
        <v>0.5</v>
      </c>
    </row>
    <row r="760" spans="1:71" ht="25.95" customHeight="1" x14ac:dyDescent="0.3">
      <c r="A760" s="38" t="s">
        <v>134</v>
      </c>
      <c r="B760" s="4" t="s">
        <v>158</v>
      </c>
      <c r="C760" s="5" t="s">
        <v>97</v>
      </c>
      <c r="D760" s="5" t="s">
        <v>36</v>
      </c>
      <c r="E760" s="4" t="str" cm="1">
        <f t="array" ref="E760">_xlfn.IFS(
F760 = "A partir de Abril", "Aguardando Execução na Distribuidora",
A760 = "CAPACITAÇÃO", "Em execução no Corporativo",
TRUE, "Em Execução na Distribuidora"
)</f>
        <v>Em Execução na Distribuidora</v>
      </c>
      <c r="F760" s="4" t="str" cm="1">
        <f t="array" ref="F760">_xlfn.IFS(
AG760 &lt;&gt; "", "Jan-Dez/26",
AH760 &lt;&gt; "", "Fev-Dez/26",
AI760 &lt;&gt; "", "Mar-Dez/26", AJ760 &lt;&gt; "", "Abr-Dez/26",
TRUE, "A partir de Junho"
)</f>
        <v>Jan-Dez/26</v>
      </c>
      <c r="G760" s="4" t="s">
        <v>37</v>
      </c>
      <c r="H760" s="7" t="s">
        <v>54</v>
      </c>
      <c r="I760" s="8" t="s">
        <v>159</v>
      </c>
      <c r="J760" s="8" t="str" cm="1">
        <f t="array" aca="1" ref="J760" ca="1">_xlfn.LET(
  _xlpm.actual_value_month, INDEX(T760:AE760, MATCH(DATE(YEAR(TODAY()), MONTH(TODAY()), 1), $T$1:$AE$1, 0)),
  IF(_xlpm.actual_value_month &lt;&gt; "",_xlpm.actual_value_month &amp; " colaboradores participantes mensais", "")
)</f>
        <v>4323 colaboradores participantes mensais</v>
      </c>
      <c r="K760" s="8" t="str" cm="1">
        <f t="array" ref="K760">_xlfn.LET(
    _xlpm.sum_month, SUM(T760:AE760),
    IF(_xlpm.sum_month = 0, "", _xlpm.sum_month &amp; " participações de colaboradores no ano")
)</f>
        <v>49116 participações de colaboradores no ano</v>
      </c>
      <c r="L760" s="9" t="s">
        <v>160</v>
      </c>
      <c r="M760" s="24" t="s">
        <v>161</v>
      </c>
      <c r="N760" s="5" t="s">
        <v>42</v>
      </c>
      <c r="O760" s="5" t="s">
        <v>43</v>
      </c>
      <c r="P760" s="10" t="s">
        <v>44</v>
      </c>
      <c r="Q760" s="10" t="s">
        <v>44</v>
      </c>
      <c r="R760" s="11" t="s">
        <v>147</v>
      </c>
      <c r="S760" s="11" t="s">
        <v>162</v>
      </c>
      <c r="T760" s="22">
        <v>3985</v>
      </c>
      <c r="U760" s="22">
        <v>3076</v>
      </c>
      <c r="V760" s="22">
        <v>3148</v>
      </c>
      <c r="W760" s="22">
        <f>1050+581+494+440+381+332+287+273+262+223</f>
        <v>4323</v>
      </c>
      <c r="X760" s="22">
        <f t="shared" ref="X760:AE760" si="1057">1050+581+494+440+381+332+287+273+262+223</f>
        <v>4323</v>
      </c>
      <c r="Y760" s="22">
        <f t="shared" si="1057"/>
        <v>4323</v>
      </c>
      <c r="Z760" s="22">
        <f t="shared" si="1057"/>
        <v>4323</v>
      </c>
      <c r="AA760" s="22">
        <f t="shared" si="1057"/>
        <v>4323</v>
      </c>
      <c r="AB760" s="22">
        <f t="shared" si="1057"/>
        <v>4323</v>
      </c>
      <c r="AC760" s="22">
        <f t="shared" si="1057"/>
        <v>4323</v>
      </c>
      <c r="AD760" s="22">
        <f t="shared" si="1057"/>
        <v>4323</v>
      </c>
      <c r="AE760" s="22">
        <f t="shared" si="1057"/>
        <v>4323</v>
      </c>
      <c r="AG760" s="71">
        <v>3985</v>
      </c>
      <c r="AH760" s="71">
        <v>3076</v>
      </c>
      <c r="AI760" s="71">
        <v>3148</v>
      </c>
      <c r="AJ760" s="71">
        <v>2935</v>
      </c>
      <c r="AK760" s="71">
        <v>2374</v>
      </c>
      <c r="AL760" s="71"/>
      <c r="AM760" s="71"/>
      <c r="AN760" s="71"/>
      <c r="AO760" s="71"/>
      <c r="AP760" s="71"/>
      <c r="AQ760" s="71"/>
      <c r="AR760" s="71"/>
      <c r="AS760" s="94">
        <f t="shared" ca="1" si="966"/>
        <v>18855</v>
      </c>
      <c r="AT760" s="95">
        <f>SUM(IF(AW760&lt;1.15,AG760,1.15*T760),IF(AX760&lt;1.15,AH760,1.15*U760),IF(AY760&lt;1.15,AI760,1.15*V760),IF(AZ760&lt;1.15,AJ760,1.15*W760),IF(BA760&lt;1.15,AK760,1.15*X760),IF(BB760&lt;1.15,AL760,1.15*Y760),IF(BC760&lt;1.15,AM760,1.15*Z760),IF(BD760&lt;1.15,AN760,1.15*AA760),IF(BE760&lt;1.15,AO760,1.15*AB760),IF(BF760&lt;1.15,AP760,1.15*AC760),IF(BG760&lt;1.15,AQ760,1.15*AD760),IF(BH760&lt;1.15,AR760,1.15*AE760))</f>
        <v>15518</v>
      </c>
      <c r="AU760" s="97">
        <f t="shared" si="967"/>
        <v>15518</v>
      </c>
      <c r="AW760" s="51">
        <f>IFERROR(IF(AG760="",0,AG760/T760),0)</f>
        <v>1</v>
      </c>
      <c r="AX760" s="51">
        <f>IFERROR(IF(AH760="",0,AH760/U760),0)</f>
        <v>1</v>
      </c>
      <c r="AY760" s="51">
        <f>IFERROR(IF(AI760="",0,AI760/V760),0)</f>
        <v>1</v>
      </c>
      <c r="AZ760" s="51">
        <f>IFERROR(IF(AJ760="",0,AJ760/W760),0)</f>
        <v>0.67892667129308348</v>
      </c>
      <c r="BA760" s="51">
        <f t="shared" ref="BA760:BA770" si="1058">IFERROR(IF(AK760="",0,AK760/X760),0)</f>
        <v>0.54915567892667128</v>
      </c>
      <c r="BB760" s="51"/>
      <c r="BC760" s="51"/>
      <c r="BD760" s="51"/>
      <c r="BE760" s="51"/>
      <c r="BF760" s="51"/>
      <c r="BG760" s="51"/>
      <c r="BH760" s="51"/>
      <c r="BI760" s="65" cm="1">
        <f t="array" ref="BI760">IFERROR(INDEX(AW760:BH760,1,MATCH(2,1/(AW760:BH760&lt;&gt;""))),"")</f>
        <v>0.54915567892667128</v>
      </c>
      <c r="BJ760" s="68" cm="1">
        <f t="array" ref="BJ760">IF(BM760 = "", "",IFERROR(INDEX(AW760:BH760,1,MATCH(2,1/(AW760:BH760&lt;&gt;""),1)-1),""))</f>
        <v>0.67892667129308348</v>
      </c>
      <c r="BK760" s="58">
        <f>IF((IF(AW760&gt;=115%,115%,AW760) + IF(AX760&gt;=115%,115%,AX760) + IF(AY760&gt;=115%,115%,AY760) + (IF(AZ760&gt;=115%,115%,AZ760) + IF(BA760&gt;=115%,115%,BA760) + IF(BB760&gt;=115%,115%,BB760) + IF(BC760&gt;=115%,115%,BC760) + IF(BD760&gt;=115%,115%,BD760) + IF(BE760&gt;=115%,115%,BE760) + IF(BF760&gt;=115%,115%,BF760) + IF(BG760&gt;=115%,115%,BG760) + IF(BH760&gt;=115%,115%,BH760)))/_xlfn.XLOOKUP(F760,Apuração!A:A,Apuração!B:B)&gt;=1.15,1.15,((IF(AZ760&gt;=115%,115%,AZ760) + IF(AX760&gt;=115%,115%,AX760) + IF(AY760&gt;=115%,115%,AY760) + (IF(AW760&gt;=115%,115%,AW760) + IF(BA760&gt;=115%,115%,BA760) + IF(BB760&gt;=115%,115%,BB760) + IF(BC760&gt;=115%,115%,BC760) + IF(BD760&gt;=115%,115%,BD760) + IF(BE760&gt;=115%,115%,BE760) + IF(BF760&gt;=115%,115%,BF760) + IF(BG760&gt;=115%,115%,BG760) + IF(BH760&gt;=115%,115%,BH760)))/_xlfn.XLOOKUP(F760,Apuração!A:A,Apuração!B:B)))</f>
        <v>0.35234019585164617</v>
      </c>
      <c r="BL760" s="58" cm="1">
        <f t="array" aca="1" ref="BL760" ca="1">IF(SUM(IFERROR(IF(INDEX(AW760:INDEX(AW760:BH760, MATCH(2, 1/(AW760:BH760&lt;&gt;""), 1)-1), ROW(INDIRECT("1:" &amp; MATCH(2, 1/(AW760:BH760&lt;&gt;""), 1)-1))) &gt;= 115%, 115%, INDEX(AW760:INDEX(AW760:BH760, MATCH(2, 1/(AW760:BH760&lt;&gt;""), 1)-1), ROW(INDIRECT("1:" &amp; MATCH(2, 1/(AW760:BH760&lt;&gt;""), 1)-1)))), 0))/_xlfn.XLOOKUP(F760,Apuração!A:A,Apuração!B:B)&gt;=1.15,1.15,SUM(IFERROR(IF(INDEX(AW760:INDEX(AW760:BH760, MATCH(2, 1/(AW760:BH760&lt;&gt;""), 1)-1), ROW(INDIRECT("1:" &amp; MATCH(2, 1/(AW760:BH760&lt;&gt;""), 1)-1))) &gt;= 115%, 115%, INDEX(AW760:INDEX(AW760:BH760, MATCH(2, 1/(AW760:BH760&lt;&gt;""), 1)-1), ROW(INDIRECT("1:" &amp; MATCH(2, 1/(AW760:BH760&lt;&gt;""), 1)-1)))), 0))/_xlfn.XLOOKUP(F760,Apuração!A:A,Apuração!B:B))</f>
        <v>0.30657722260775694</v>
      </c>
      <c r="BM760" s="55" cm="1">
        <f t="array" ref="BM760">IFERROR(
   INDEX($AW$1:$BH$1,
      _xlfn.AGGREGATE(14, 6, COLUMN($AW$1:$BH$1)/(AW760:BH760&lt;&gt;""), 2) - COLUMN($AW$1) + 1
   ),
"")</f>
        <v>46113</v>
      </c>
      <c r="BN760" s="55" cm="1">
        <f t="array" ref="BN760">IFERROR(INDEX($AW$1:$BH$1,1,MATCH(2,1/(AW760:BH760&lt;&gt;""))),"")</f>
        <v>46143</v>
      </c>
      <c r="BO760" s="53">
        <f ca="1">IFERROR(_xlfn.XLOOKUP(F760,Apuração!A:A,Apuração!C:C)/_xlfn.XLOOKUP(F760,Apuração!A:A,Apuração!B:B),0)</f>
        <v>0.41666666666666669</v>
      </c>
      <c r="BP760" s="53">
        <f ca="1">IFERROR(_xlfn.XLOOKUP(F760,Apuração!A:A,Apuração!D:D)/_xlfn.XLOOKUP(F760,Apuração!A:A,Apuração!B:B),0)</f>
        <v>0.33333333333333331</v>
      </c>
      <c r="BQ760" s="53">
        <f ca="1">IF(BK760&gt;=BO760,0,_xlfn.XLOOKUP(F760,Apuração!A:A,Apuração!B:B)*(BO760 + (1/_xlfn.XLOOKUP(F760,Apuração!A:A,Apuração!B:B)) - BK760))</f>
        <v>1.771917649780246</v>
      </c>
      <c r="BR760" s="85">
        <f t="shared" ca="1" si="898"/>
        <v>7660.0000000000036</v>
      </c>
      <c r="BS760" s="53">
        <f ca="1">IFERROR((_xlfn.XLOOKUP(F760,Apuração!A:A,Apuração!C:C)+1)/_xlfn.XLOOKUP(F760,Apuração!A:A,Apuração!B:B),0)</f>
        <v>0.5</v>
      </c>
    </row>
    <row r="761" spans="1:71" ht="25.95" hidden="1" customHeight="1" x14ac:dyDescent="0.3">
      <c r="A761" s="38" t="s">
        <v>134</v>
      </c>
      <c r="B761" s="4" t="s">
        <v>158</v>
      </c>
      <c r="C761" s="5" t="s">
        <v>97</v>
      </c>
      <c r="D761" s="5" t="s">
        <v>98</v>
      </c>
      <c r="E761" s="4" t="str" cm="1">
        <f t="array" ref="E761">_xlfn.IFS(
F761 = "A partir de Abril", "Aguardando Execução na Distribuidora",
A761 = "CAPACITAÇÃO", "Em execução no Corporativo",
TRUE, "Em Execução na Distribuidora"
)</f>
        <v>Em Execução na Distribuidora</v>
      </c>
      <c r="F761" s="4" t="str" cm="1">
        <f t="array" ref="F761">_xlfn.IFS(
AG761 &lt;&gt; "", "Jan-Dez/26",
AH761 &lt;&gt; "", "Fev-Dez/26",
AI761 &lt;&gt; "", "Mar-Dez/26", AJ761 &lt;&gt; "", "Abr-Dez/26",
TRUE, "A partir de Junho"
)</f>
        <v>Jan-Dez/26</v>
      </c>
      <c r="G761" s="4" t="s">
        <v>37</v>
      </c>
      <c r="H761" s="7" t="s">
        <v>54</v>
      </c>
      <c r="I761" s="8" t="s">
        <v>159</v>
      </c>
      <c r="J761" s="8" t="str" cm="1">
        <f t="array" aca="1" ref="J761" ca="1">_xlfn.LET(
  _xlpm.actual_value_month, INDEX(T761:AE761, MATCH(DATE(YEAR(TODAY()), MONTH(TODAY()), 1), $T$1:$AE$1, 0)),
  IF(_xlpm.actual_value_month &lt;&gt; "",_xlpm.actual_value_month &amp; " colaboradores participantes mensais", "")
)</f>
        <v>287 colaboradores participantes mensais</v>
      </c>
      <c r="K761" s="8" t="str" cm="1">
        <f t="array" ref="K761">_xlfn.LET(
    _xlpm.sum_month, SUM(T761:AE761),
    IF(_xlpm.sum_month = 0, "", _xlpm.sum_month &amp; " participações de colaboradores no ano")
)</f>
        <v>2953 participações de colaboradores no ano</v>
      </c>
      <c r="L761" s="9" t="s">
        <v>160</v>
      </c>
      <c r="M761" s="24" t="s">
        <v>161</v>
      </c>
      <c r="N761" s="5" t="s">
        <v>42</v>
      </c>
      <c r="O761" s="5" t="s">
        <v>43</v>
      </c>
      <c r="P761" s="10" t="s">
        <v>44</v>
      </c>
      <c r="Q761" s="10" t="s">
        <v>44</v>
      </c>
      <c r="R761" s="11" t="s">
        <v>147</v>
      </c>
      <c r="S761" s="11" t="s">
        <v>162</v>
      </c>
      <c r="T761" s="143">
        <v>115</v>
      </c>
      <c r="U761" s="143">
        <v>121</v>
      </c>
      <c r="V761" s="143">
        <v>134</v>
      </c>
      <c r="W761" s="143">
        <v>287</v>
      </c>
      <c r="X761" s="143">
        <v>287</v>
      </c>
      <c r="Y761" s="143">
        <v>287</v>
      </c>
      <c r="Z761" s="143">
        <v>287</v>
      </c>
      <c r="AA761" s="143">
        <v>287</v>
      </c>
      <c r="AB761" s="143">
        <v>287</v>
      </c>
      <c r="AC761" s="143">
        <v>287</v>
      </c>
      <c r="AD761" s="143">
        <v>287</v>
      </c>
      <c r="AE761" s="143">
        <v>287</v>
      </c>
      <c r="AG761" s="71">
        <v>115</v>
      </c>
      <c r="AH761" s="71">
        <v>121</v>
      </c>
      <c r="AI761" s="71">
        <v>134</v>
      </c>
      <c r="AJ761" s="71">
        <v>171</v>
      </c>
      <c r="AK761" s="71">
        <v>128</v>
      </c>
      <c r="AL761" s="71"/>
      <c r="AM761" s="71"/>
      <c r="AN761" s="71"/>
      <c r="AO761" s="71"/>
      <c r="AP761" s="71"/>
      <c r="AQ761" s="71"/>
      <c r="AR761" s="71"/>
      <c r="AS761" s="94">
        <f t="shared" ref="AS761:AS770" ca="1" si="1059">IF(MONTH(TODAY())=3,SUM(T761:U761),IF(MONTH(TODAY())=4,SUM(T761:V761),IF(MONTH(TODAY())=5,SUM(T761:W761),IF(MONTH(TODAY())=6,SUM(T761:X761),IF(MONTH(TODAY())=7,SUM(T761:Y761),IF(MONTH(TODAY())=8,SUM(T761:Z761),IF(MONTH(TODAY())=9,SUM(T761:AA761),IF(MONTH(TODAY())=10,SUM(T761:AB761),IF(MONTH(TODAY())=11,SUM(T761:AC761),IF(MONTH(TODAY())=12,SUM(T761:AD761),IF(MONTH(TODAY())=1,SUM(T761:AE761),T761)))))))))))</f>
        <v>944</v>
      </c>
      <c r="AT761" s="95">
        <f t="shared" ref="AT761:AT770" si="1060">SUM(IF(AW761&lt;1.15,AG761,1.15*T761),IF(AX761&lt;1.15,AH761,1.15*U761),IF(AY761&lt;1.15,AI761,1.15*V761),IF(AZ761&lt;1.15,AJ761,1.15*W761),IF(BA761&lt;1.15,AK761,1.15*X761),IF(BB761&lt;1.15,AL761,1.15*Y761),IF(BC761&lt;1.15,AM761,1.15*Z761),IF(BD761&lt;1.15,AN761,1.15*AA761),IF(BE761&lt;1.15,AO761,1.15*AB761),IF(BF761&lt;1.15,AP761,1.15*AC761),IF(BG761&lt;1.15,AQ761,1.15*AD761),IF(BH761&lt;1.15,AR761,1.15*AE761))</f>
        <v>669</v>
      </c>
      <c r="AU761" s="97">
        <f t="shared" ref="AU761:AU770" si="1061">SUM(AG761:AR761)</f>
        <v>669</v>
      </c>
      <c r="AW761" s="51">
        <f t="shared" ref="AW761:AW770" si="1062">IFERROR(IF(AG761="",0,AG761/T761),0)</f>
        <v>1</v>
      </c>
      <c r="AX761" s="51">
        <f t="shared" ref="AX761:AX770" si="1063">IFERROR(IF(AH761="",0,AH761/U761),0)</f>
        <v>1</v>
      </c>
      <c r="AY761" s="51">
        <f t="shared" ref="AY761:AY770" si="1064">IFERROR(IF(AI761="",0,AI761/V761),0)</f>
        <v>1</v>
      </c>
      <c r="AZ761" s="51">
        <f t="shared" ref="AZ761:AZ770" si="1065">IFERROR(IF(AJ761="",0,AJ761/W761),0)</f>
        <v>0.59581881533101044</v>
      </c>
      <c r="BA761" s="51">
        <f t="shared" si="1058"/>
        <v>0.44599303135888502</v>
      </c>
      <c r="BB761" s="51"/>
      <c r="BC761" s="51"/>
      <c r="BD761" s="51"/>
      <c r="BE761" s="51"/>
      <c r="BF761" s="51"/>
      <c r="BG761" s="51"/>
      <c r="BH761" s="51"/>
      <c r="BI761" s="65" cm="1">
        <f t="array" ref="BI761">IFERROR(INDEX(AW761:BH761,1,MATCH(2,1/(AW761:BH761&lt;&gt;""))),"")</f>
        <v>0.44599303135888502</v>
      </c>
      <c r="BJ761" s="68" cm="1">
        <f t="array" ref="BJ761">IF(BM761 = "", "",IFERROR(INDEX(AW761:BH761,1,MATCH(2,1/(AW761:BH761&lt;&gt;""),1)-1),""))</f>
        <v>0.59581881533101044</v>
      </c>
      <c r="BK761" s="58">
        <f>IF((IF(AW761&gt;=115%,115%,AW761) + IF(AX761&gt;=115%,115%,AX761) + IF(AY761&gt;=115%,115%,AY761) + (IF(AZ761&gt;=115%,115%,AZ761) + IF(BA761&gt;=115%,115%,BA761) + IF(BB761&gt;=115%,115%,BB761) + IF(BC761&gt;=115%,115%,BC761) + IF(BD761&gt;=115%,115%,BD761) + IF(BE761&gt;=115%,115%,BE761) + IF(BF761&gt;=115%,115%,BF761) + IF(BG761&gt;=115%,115%,BG761) + IF(BH761&gt;=115%,115%,BH761)))/_xlfn.XLOOKUP(F761,Apuração!A:A,Apuração!B:B)&gt;=1.15,1.15,((IF(AZ761&gt;=115%,115%,AZ761) + IF(AX761&gt;=115%,115%,AX761) + IF(AY761&gt;=115%,115%,AY761) + (IF(AW761&gt;=115%,115%,AW761) + IF(BA761&gt;=115%,115%,BA761) + IF(BB761&gt;=115%,115%,BB761) + IF(BC761&gt;=115%,115%,BC761) + IF(BD761&gt;=115%,115%,BD761) + IF(BE761&gt;=115%,115%,BE761) + IF(BF761&gt;=115%,115%,BF761) + IF(BG761&gt;=115%,115%,BG761) + IF(BH761&gt;=115%,115%,BH761)))/_xlfn.XLOOKUP(F761,Apuração!A:A,Apuração!B:B)))</f>
        <v>0.33681765389082458</v>
      </c>
      <c r="BL761" s="58" cm="1">
        <f t="array" aca="1" ref="BL761" ca="1">IF(SUM(IFERROR(IF(INDEX(AW761:INDEX(AW761:BH761, MATCH(2, 1/(AW761:BH761&lt;&gt;""), 1)-1), ROW(INDIRECT("1:" &amp; MATCH(2, 1/(AW761:BH761&lt;&gt;""), 1)-1))) &gt;= 115%, 115%, INDEX(AW761:INDEX(AW761:BH761, MATCH(2, 1/(AW761:BH761&lt;&gt;""), 1)-1), ROW(INDIRECT("1:" &amp; MATCH(2, 1/(AW761:BH761&lt;&gt;""), 1)-1)))), 0))/_xlfn.XLOOKUP(F761,Apuração!A:A,Apuração!B:B)&gt;=1.15,1.15,SUM(IFERROR(IF(INDEX(AW761:INDEX(AW761:BH761, MATCH(2, 1/(AW761:BH761&lt;&gt;""), 1)-1), ROW(INDIRECT("1:" &amp; MATCH(2, 1/(AW761:BH761&lt;&gt;""), 1)-1))) &gt;= 115%, 115%, INDEX(AW761:INDEX(AW761:BH761, MATCH(2, 1/(AW761:BH761&lt;&gt;""), 1)-1), ROW(INDIRECT("1:" &amp; MATCH(2, 1/(AW761:BH761&lt;&gt;""), 1)-1)))), 0))/_xlfn.XLOOKUP(F761,Apuração!A:A,Apuração!B:B))</f>
        <v>0.29965156794425085</v>
      </c>
      <c r="BM761" s="55" cm="1">
        <f t="array" ref="BM761">IFERROR(
   INDEX($AW$1:$BH$1,
      _xlfn.AGGREGATE(14, 6, COLUMN($AW$1:$BH$1)/(AW761:BH761&lt;&gt;""), 2) - COLUMN($AW$1) + 1
   ),
"")</f>
        <v>46113</v>
      </c>
      <c r="BN761" s="55" cm="1">
        <f t="array" ref="BN761">IFERROR(INDEX($AW$1:$BH$1,1,MATCH(2,1/(AW761:BH761&lt;&gt;""))),"")</f>
        <v>46143</v>
      </c>
      <c r="BO761" s="53">
        <f ca="1">IFERROR(_xlfn.XLOOKUP(F761,Apuração!A:A,Apuração!C:C)/_xlfn.XLOOKUP(F761,Apuração!A:A,Apuração!B:B),0)</f>
        <v>0.41666666666666669</v>
      </c>
      <c r="BP761" s="53">
        <f ca="1">IFERROR(_xlfn.XLOOKUP(F761,Apuração!A:A,Apuração!D:D)/_xlfn.XLOOKUP(F761,Apuração!A:A,Apuração!B:B),0)</f>
        <v>0.33333333333333331</v>
      </c>
      <c r="BQ761" s="53">
        <f ca="1">IF(BK761&gt;=BO761,0,_xlfn.XLOOKUP(F761,Apuração!A:A,Apuração!B:B)*(BO761 + (1/_xlfn.XLOOKUP(F761,Apuração!A:A,Apuração!B:B)) - BK761))</f>
        <v>1.9581881533101051</v>
      </c>
      <c r="BR761" s="85">
        <f t="shared" ref="BR761:BR770" ca="1" si="1066">IF(BQ761=0,0,BQ761*Z761)</f>
        <v>562.00000000000011</v>
      </c>
      <c r="BS761" s="53">
        <f ca="1">IFERROR((_xlfn.XLOOKUP(F761,Apuração!A:A,Apuração!C:C)+1)/_xlfn.XLOOKUP(F761,Apuração!A:A,Apuração!B:B),0)</f>
        <v>0.5</v>
      </c>
    </row>
    <row r="762" spans="1:71" ht="25.95" hidden="1" customHeight="1" x14ac:dyDescent="0.3">
      <c r="A762" s="38" t="s">
        <v>134</v>
      </c>
      <c r="B762" s="4" t="s">
        <v>158</v>
      </c>
      <c r="C762" s="5" t="s">
        <v>97</v>
      </c>
      <c r="D762" s="5" t="s">
        <v>99</v>
      </c>
      <c r="E762" s="4" t="str" cm="1">
        <f t="array" ref="E762">_xlfn.IFS(
F762 = "A partir de Abril", "Aguardando Execução na Distribuidora",
A762 = "CAPACITAÇÃO", "Em execução no Corporativo",
TRUE, "Em Execução na Distribuidora"
)</f>
        <v>Em Execução na Distribuidora</v>
      </c>
      <c r="F762" s="4" t="str" cm="1">
        <f t="array" ref="F762">_xlfn.IFS(
AG762 &lt;&gt; "", "Jan-Dez/26",
AH762 &lt;&gt; "", "Fev-Dez/26",
AI762 &lt;&gt; "", "Mar-Dez/26", AJ762 &lt;&gt; "", "Abr-Dez/26",
TRUE, "A partir de Junho"
)</f>
        <v>Jan-Dez/26</v>
      </c>
      <c r="G762" s="4" t="s">
        <v>37</v>
      </c>
      <c r="H762" s="7" t="s">
        <v>54</v>
      </c>
      <c r="I762" s="8" t="s">
        <v>159</v>
      </c>
      <c r="J762" s="8" t="str" cm="1">
        <f t="array" aca="1" ref="J762" ca="1">_xlfn.LET(
  _xlpm.actual_value_month, INDEX(T762:AE762, MATCH(DATE(YEAR(TODAY()), MONTH(TODAY()), 1), $T$1:$AE$1, 0)),
  IF(_xlpm.actual_value_month &lt;&gt; "",_xlpm.actual_value_month &amp; " colaboradores participantes mensais", "")
)</f>
        <v>273 colaboradores participantes mensais</v>
      </c>
      <c r="K762" s="8" t="str" cm="1">
        <f t="array" ref="K762">_xlfn.LET(
    _xlpm.sum_month, SUM(T762:AE762),
    IF(_xlpm.sum_month = 0, "", _xlpm.sum_month &amp; " participações de colaboradores no ano")
)</f>
        <v>3682 participações de colaboradores no ano</v>
      </c>
      <c r="L762" s="9" t="s">
        <v>160</v>
      </c>
      <c r="M762" s="24" t="s">
        <v>161</v>
      </c>
      <c r="N762" s="5" t="s">
        <v>42</v>
      </c>
      <c r="O762" s="5" t="s">
        <v>43</v>
      </c>
      <c r="P762" s="10" t="s">
        <v>44</v>
      </c>
      <c r="Q762" s="10" t="s">
        <v>44</v>
      </c>
      <c r="R762" s="11" t="s">
        <v>147</v>
      </c>
      <c r="S762" s="11" t="s">
        <v>162</v>
      </c>
      <c r="T762" s="143">
        <v>406</v>
      </c>
      <c r="U762" s="143">
        <v>431</v>
      </c>
      <c r="V762" s="143">
        <v>388</v>
      </c>
      <c r="W762" s="143">
        <v>273</v>
      </c>
      <c r="X762" s="143">
        <v>273</v>
      </c>
      <c r="Y762" s="143">
        <v>273</v>
      </c>
      <c r="Z762" s="143">
        <v>273</v>
      </c>
      <c r="AA762" s="143">
        <v>273</v>
      </c>
      <c r="AB762" s="143">
        <v>273</v>
      </c>
      <c r="AC762" s="143">
        <v>273</v>
      </c>
      <c r="AD762" s="143">
        <v>273</v>
      </c>
      <c r="AE762" s="143">
        <v>273</v>
      </c>
      <c r="AG762" s="71">
        <v>406</v>
      </c>
      <c r="AH762" s="71">
        <v>431</v>
      </c>
      <c r="AI762" s="71">
        <v>388</v>
      </c>
      <c r="AJ762" s="71">
        <v>325</v>
      </c>
      <c r="AK762" s="71">
        <v>290</v>
      </c>
      <c r="AL762" s="71"/>
      <c r="AM762" s="71"/>
      <c r="AN762" s="71"/>
      <c r="AO762" s="71"/>
      <c r="AP762" s="71"/>
      <c r="AQ762" s="71"/>
      <c r="AR762" s="71"/>
      <c r="AS762" s="94">
        <f t="shared" ca="1" si="1059"/>
        <v>1771</v>
      </c>
      <c r="AT762" s="95">
        <f t="shared" si="1060"/>
        <v>1828.95</v>
      </c>
      <c r="AU762" s="97">
        <f t="shared" si="1061"/>
        <v>1840</v>
      </c>
      <c r="AW762" s="51">
        <f t="shared" si="1062"/>
        <v>1</v>
      </c>
      <c r="AX762" s="51">
        <f t="shared" si="1063"/>
        <v>1</v>
      </c>
      <c r="AY762" s="51">
        <f t="shared" si="1064"/>
        <v>1</v>
      </c>
      <c r="AZ762" s="51">
        <f t="shared" si="1065"/>
        <v>1.1904761904761905</v>
      </c>
      <c r="BA762" s="51">
        <f t="shared" si="1058"/>
        <v>1.0622710622710623</v>
      </c>
      <c r="BB762" s="51"/>
      <c r="BC762" s="51"/>
      <c r="BD762" s="51"/>
      <c r="BE762" s="51"/>
      <c r="BF762" s="51"/>
      <c r="BG762" s="51"/>
      <c r="BH762" s="51"/>
      <c r="BI762" s="65" cm="1">
        <f t="array" ref="BI762">IFERROR(INDEX(AW762:BH762,1,MATCH(2,1/(AW762:BH762&lt;&gt;""))),"")</f>
        <v>1.0622710622710623</v>
      </c>
      <c r="BJ762" s="68" cm="1">
        <f t="array" ref="BJ762">IF(BM762 = "", "",IFERROR(INDEX(AW762:BH762,1,MATCH(2,1/(AW762:BH762&lt;&gt;""),1)-1),""))</f>
        <v>1.1904761904761905</v>
      </c>
      <c r="BK762" s="58">
        <f>IF((IF(AW762&gt;=115%,115%,AW762) + IF(AX762&gt;=115%,115%,AX762) + IF(AY762&gt;=115%,115%,AY762) + (IF(AZ762&gt;=115%,115%,AZ762) + IF(BA762&gt;=115%,115%,BA762) + IF(BB762&gt;=115%,115%,BB762) + IF(BC762&gt;=115%,115%,BC762) + IF(BD762&gt;=115%,115%,BD762) + IF(BE762&gt;=115%,115%,BE762) + IF(BF762&gt;=115%,115%,BF762) + IF(BG762&gt;=115%,115%,BG762) + IF(BH762&gt;=115%,115%,BH762)))/_xlfn.XLOOKUP(F762,Apuração!A:A,Apuração!B:B)&gt;=1.15,1.15,((IF(AZ762&gt;=115%,115%,AZ762) + IF(AX762&gt;=115%,115%,AX762) + IF(AY762&gt;=115%,115%,AY762) + (IF(AW762&gt;=115%,115%,AW762) + IF(BA762&gt;=115%,115%,BA762) + IF(BB762&gt;=115%,115%,BB762) + IF(BC762&gt;=115%,115%,BC762) + IF(BD762&gt;=115%,115%,BD762) + IF(BE762&gt;=115%,115%,BE762) + IF(BF762&gt;=115%,115%,BF762) + IF(BG762&gt;=115%,115%,BG762) + IF(BH762&gt;=115%,115%,BH762)))/_xlfn.XLOOKUP(F762,Apuração!A:A,Apuração!B:B)))</f>
        <v>0.43435592185592187</v>
      </c>
      <c r="BL762" s="58" cm="1">
        <f t="array" aca="1" ref="BL762" ca="1">IF(SUM(IFERROR(IF(INDEX(AW762:INDEX(AW762:BH762, MATCH(2, 1/(AW762:BH762&lt;&gt;""), 1)-1), ROW(INDIRECT("1:" &amp; MATCH(2, 1/(AW762:BH762&lt;&gt;""), 1)-1))) &gt;= 115%, 115%, INDEX(AW762:INDEX(AW762:BH762, MATCH(2, 1/(AW762:BH762&lt;&gt;""), 1)-1), ROW(INDIRECT("1:" &amp; MATCH(2, 1/(AW762:BH762&lt;&gt;""), 1)-1)))), 0))/_xlfn.XLOOKUP(F762,Apuração!A:A,Apuração!B:B)&gt;=1.15,1.15,SUM(IFERROR(IF(INDEX(AW762:INDEX(AW762:BH762, MATCH(2, 1/(AW762:BH762&lt;&gt;""), 1)-1), ROW(INDIRECT("1:" &amp; MATCH(2, 1/(AW762:BH762&lt;&gt;""), 1)-1))) &gt;= 115%, 115%, INDEX(AW762:INDEX(AW762:BH762, MATCH(2, 1/(AW762:BH762&lt;&gt;""), 1)-1), ROW(INDIRECT("1:" &amp; MATCH(2, 1/(AW762:BH762&lt;&gt;""), 1)-1)))), 0))/_xlfn.XLOOKUP(F762,Apuração!A:A,Apuração!B:B))</f>
        <v>0.34583333333333338</v>
      </c>
      <c r="BM762" s="55" cm="1">
        <f t="array" ref="BM762">IFERROR(
   INDEX($AW$1:$BH$1,
      _xlfn.AGGREGATE(14, 6, COLUMN($AW$1:$BH$1)/(AW762:BH762&lt;&gt;""), 2) - COLUMN($AW$1) + 1
   ),
"")</f>
        <v>46113</v>
      </c>
      <c r="BN762" s="55" cm="1">
        <f t="array" ref="BN762">IFERROR(INDEX($AW$1:$BH$1,1,MATCH(2,1/(AW762:BH762&lt;&gt;""))),"")</f>
        <v>46143</v>
      </c>
      <c r="BO762" s="53">
        <f ca="1">IFERROR(_xlfn.XLOOKUP(F762,Apuração!A:A,Apuração!C:C)/_xlfn.XLOOKUP(F762,Apuração!A:A,Apuração!B:B),0)</f>
        <v>0.41666666666666669</v>
      </c>
      <c r="BP762" s="53">
        <f ca="1">IFERROR(_xlfn.XLOOKUP(F762,Apuração!A:A,Apuração!D:D)/_xlfn.XLOOKUP(F762,Apuração!A:A,Apuração!B:B),0)</f>
        <v>0.33333333333333331</v>
      </c>
      <c r="BQ762" s="53">
        <f ca="1">IF(BK762&gt;=BO762,0,_xlfn.XLOOKUP(F762,Apuração!A:A,Apuração!B:B)*(BO762 + (1/_xlfn.XLOOKUP(F762,Apuração!A:A,Apuração!B:B)) - BK762))</f>
        <v>0</v>
      </c>
      <c r="BR762" s="85">
        <f t="shared" ca="1" si="1066"/>
        <v>0</v>
      </c>
      <c r="BS762" s="53">
        <f ca="1">IFERROR((_xlfn.XLOOKUP(F762,Apuração!A:A,Apuração!C:C)+1)/_xlfn.XLOOKUP(F762,Apuração!A:A,Apuração!B:B),0)</f>
        <v>0.5</v>
      </c>
    </row>
    <row r="763" spans="1:71" ht="25.95" hidden="1" customHeight="1" x14ac:dyDescent="0.3">
      <c r="A763" s="38" t="s">
        <v>134</v>
      </c>
      <c r="B763" s="4" t="s">
        <v>158</v>
      </c>
      <c r="C763" s="5" t="s">
        <v>97</v>
      </c>
      <c r="D763" s="5" t="s">
        <v>100</v>
      </c>
      <c r="E763" s="4" t="str" cm="1">
        <f t="array" ref="E763">_xlfn.IFS(
F763 = "A partir de Abril", "Aguardando Execução na Distribuidora",
A763 = "CAPACITAÇÃO", "Em execução no Corporativo",
TRUE, "Em Execução na Distribuidora"
)</f>
        <v>Em Execução na Distribuidora</v>
      </c>
      <c r="F763" s="4" t="str" cm="1">
        <f t="array" ref="F763">_xlfn.IFS(
AG763 &lt;&gt; "", "Jan-Dez/26",
AH763 &lt;&gt; "", "Fev-Dez/26",
AI763 &lt;&gt; "", "Mar-Dez/26", AJ763 &lt;&gt; "", "Abr-Dez/26",
TRUE, "A partir de Junho"
)</f>
        <v>Jan-Dez/26</v>
      </c>
      <c r="G763" s="4" t="s">
        <v>37</v>
      </c>
      <c r="H763" s="7" t="s">
        <v>54</v>
      </c>
      <c r="I763" s="8" t="s">
        <v>159</v>
      </c>
      <c r="J763" s="8" t="str" cm="1">
        <f t="array" aca="1" ref="J763" ca="1">_xlfn.LET(
  _xlpm.actual_value_month, INDEX(T763:AE763, MATCH(DATE(YEAR(TODAY()), MONTH(TODAY()), 1), $T$1:$AE$1, 0)),
  IF(_xlpm.actual_value_month &lt;&gt; "",_xlpm.actual_value_month &amp; " colaboradores participantes mensais", "")
)</f>
        <v>440 colaboradores participantes mensais</v>
      </c>
      <c r="K763" s="8" t="str" cm="1">
        <f t="array" ref="K763">_xlfn.LET(
    _xlpm.sum_month, SUM(T763:AE763),
    IF(_xlpm.sum_month = 0, "", _xlpm.sum_month &amp; " participações de colaboradores no ano")
)</f>
        <v>5068 participações de colaboradores no ano</v>
      </c>
      <c r="L763" s="9" t="s">
        <v>160</v>
      </c>
      <c r="M763" s="24" t="s">
        <v>161</v>
      </c>
      <c r="N763" s="5" t="s">
        <v>42</v>
      </c>
      <c r="O763" s="5" t="s">
        <v>43</v>
      </c>
      <c r="P763" s="10" t="s">
        <v>44</v>
      </c>
      <c r="Q763" s="10" t="s">
        <v>44</v>
      </c>
      <c r="R763" s="11" t="s">
        <v>147</v>
      </c>
      <c r="S763" s="11" t="s">
        <v>162</v>
      </c>
      <c r="T763" s="143">
        <v>376</v>
      </c>
      <c r="U763" s="143">
        <v>307</v>
      </c>
      <c r="V763" s="143">
        <v>425</v>
      </c>
      <c r="W763" s="143">
        <v>440</v>
      </c>
      <c r="X763" s="143">
        <v>440</v>
      </c>
      <c r="Y763" s="143">
        <v>440</v>
      </c>
      <c r="Z763" s="143">
        <v>440</v>
      </c>
      <c r="AA763" s="143">
        <v>440</v>
      </c>
      <c r="AB763" s="143">
        <v>440</v>
      </c>
      <c r="AC763" s="143">
        <v>440</v>
      </c>
      <c r="AD763" s="143">
        <v>440</v>
      </c>
      <c r="AE763" s="143">
        <v>440</v>
      </c>
      <c r="AG763" s="71">
        <v>376</v>
      </c>
      <c r="AH763" s="71">
        <v>307</v>
      </c>
      <c r="AI763" s="71">
        <v>425</v>
      </c>
      <c r="AJ763" s="71">
        <v>567</v>
      </c>
      <c r="AK763" s="71">
        <v>441</v>
      </c>
      <c r="AL763" s="71"/>
      <c r="AM763" s="71"/>
      <c r="AN763" s="71"/>
      <c r="AO763" s="71"/>
      <c r="AP763" s="71"/>
      <c r="AQ763" s="71"/>
      <c r="AR763" s="71"/>
      <c r="AS763" s="94">
        <f t="shared" ca="1" si="1059"/>
        <v>1988</v>
      </c>
      <c r="AT763" s="95">
        <f t="shared" si="1060"/>
        <v>2055</v>
      </c>
      <c r="AU763" s="97">
        <f t="shared" si="1061"/>
        <v>2116</v>
      </c>
      <c r="AW763" s="51">
        <f t="shared" si="1062"/>
        <v>1</v>
      </c>
      <c r="AX763" s="51">
        <f t="shared" si="1063"/>
        <v>1</v>
      </c>
      <c r="AY763" s="51">
        <f t="shared" si="1064"/>
        <v>1</v>
      </c>
      <c r="AZ763" s="51">
        <f t="shared" si="1065"/>
        <v>1.2886363636363636</v>
      </c>
      <c r="BA763" s="51">
        <f t="shared" si="1058"/>
        <v>1.0022727272727272</v>
      </c>
      <c r="BB763" s="51"/>
      <c r="BC763" s="51"/>
      <c r="BD763" s="51"/>
      <c r="BE763" s="51"/>
      <c r="BF763" s="51"/>
      <c r="BG763" s="51"/>
      <c r="BH763" s="51"/>
      <c r="BI763" s="65" cm="1">
        <f t="array" ref="BI763">IFERROR(INDEX(AW763:BH763,1,MATCH(2,1/(AW763:BH763&lt;&gt;""))),"")</f>
        <v>1.0022727272727272</v>
      </c>
      <c r="BJ763" s="68" cm="1">
        <f t="array" ref="BJ763">IF(BM763 = "", "",IFERROR(INDEX(AW763:BH763,1,MATCH(2,1/(AW763:BH763&lt;&gt;""),1)-1),""))</f>
        <v>1.2886363636363636</v>
      </c>
      <c r="BK763" s="58">
        <f>IF((IF(AW763&gt;=115%,115%,AW763) + IF(AX763&gt;=115%,115%,AX763) + IF(AY763&gt;=115%,115%,AY763) + (IF(AZ763&gt;=115%,115%,AZ763) + IF(BA763&gt;=115%,115%,BA763) + IF(BB763&gt;=115%,115%,BB763) + IF(BC763&gt;=115%,115%,BC763) + IF(BD763&gt;=115%,115%,BD763) + IF(BE763&gt;=115%,115%,BE763) + IF(BF763&gt;=115%,115%,BF763) + IF(BG763&gt;=115%,115%,BG763) + IF(BH763&gt;=115%,115%,BH763)))/_xlfn.XLOOKUP(F763,Apuração!A:A,Apuração!B:B)&gt;=1.15,1.15,((IF(AZ763&gt;=115%,115%,AZ763) + IF(AX763&gt;=115%,115%,AX763) + IF(AY763&gt;=115%,115%,AY763) + (IF(AW763&gt;=115%,115%,AW763) + IF(BA763&gt;=115%,115%,BA763) + IF(BB763&gt;=115%,115%,BB763) + IF(BC763&gt;=115%,115%,BC763) + IF(BD763&gt;=115%,115%,BD763) + IF(BE763&gt;=115%,115%,BE763) + IF(BF763&gt;=115%,115%,BF763) + IF(BG763&gt;=115%,115%,BG763) + IF(BH763&gt;=115%,115%,BH763)))/_xlfn.XLOOKUP(F763,Apuração!A:A,Apuração!B:B)))</f>
        <v>0.42935606060606063</v>
      </c>
      <c r="BL763" s="58" cm="1">
        <f t="array" aca="1" ref="BL763" ca="1">IF(SUM(IFERROR(IF(INDEX(AW763:INDEX(AW763:BH763, MATCH(2, 1/(AW763:BH763&lt;&gt;""), 1)-1), ROW(INDIRECT("1:" &amp; MATCH(2, 1/(AW763:BH763&lt;&gt;""), 1)-1))) &gt;= 115%, 115%, INDEX(AW763:INDEX(AW763:BH763, MATCH(2, 1/(AW763:BH763&lt;&gt;""), 1)-1), ROW(INDIRECT("1:" &amp; MATCH(2, 1/(AW763:BH763&lt;&gt;""), 1)-1)))), 0))/_xlfn.XLOOKUP(F763,Apuração!A:A,Apuração!B:B)&gt;=1.15,1.15,SUM(IFERROR(IF(INDEX(AW763:INDEX(AW763:BH763, MATCH(2, 1/(AW763:BH763&lt;&gt;""), 1)-1), ROW(INDIRECT("1:" &amp; MATCH(2, 1/(AW763:BH763&lt;&gt;""), 1)-1))) &gt;= 115%, 115%, INDEX(AW763:INDEX(AW763:BH763, MATCH(2, 1/(AW763:BH763&lt;&gt;""), 1)-1), ROW(INDIRECT("1:" &amp; MATCH(2, 1/(AW763:BH763&lt;&gt;""), 1)-1)))), 0))/_xlfn.XLOOKUP(F763,Apuração!A:A,Apuração!B:B))</f>
        <v>0.34583333333333338</v>
      </c>
      <c r="BM763" s="55" cm="1">
        <f t="array" ref="BM763">IFERROR(
   INDEX($AW$1:$BH$1,
      _xlfn.AGGREGATE(14, 6, COLUMN($AW$1:$BH$1)/(AW763:BH763&lt;&gt;""), 2) - COLUMN($AW$1) + 1
   ),
"")</f>
        <v>46113</v>
      </c>
      <c r="BN763" s="55" cm="1">
        <f t="array" ref="BN763">IFERROR(INDEX($AW$1:$BH$1,1,MATCH(2,1/(AW763:BH763&lt;&gt;""))),"")</f>
        <v>46143</v>
      </c>
      <c r="BO763" s="53">
        <f ca="1">IFERROR(_xlfn.XLOOKUP(F763,Apuração!A:A,Apuração!C:C)/_xlfn.XLOOKUP(F763,Apuração!A:A,Apuração!B:B),0)</f>
        <v>0.41666666666666669</v>
      </c>
      <c r="BP763" s="53">
        <f ca="1">IFERROR(_xlfn.XLOOKUP(F763,Apuração!A:A,Apuração!D:D)/_xlfn.XLOOKUP(F763,Apuração!A:A,Apuração!B:B),0)</f>
        <v>0.33333333333333331</v>
      </c>
      <c r="BQ763" s="53">
        <f ca="1">IF(BK763&gt;=BO763,0,_xlfn.XLOOKUP(F763,Apuração!A:A,Apuração!B:B)*(BO763 + (1/_xlfn.XLOOKUP(F763,Apuração!A:A,Apuração!B:B)) - BK763))</f>
        <v>0</v>
      </c>
      <c r="BR763" s="85">
        <f t="shared" ca="1" si="1066"/>
        <v>0</v>
      </c>
      <c r="BS763" s="53">
        <f ca="1">IFERROR((_xlfn.XLOOKUP(F763,Apuração!A:A,Apuração!C:C)+1)/_xlfn.XLOOKUP(F763,Apuração!A:A,Apuração!B:B),0)</f>
        <v>0.5</v>
      </c>
    </row>
    <row r="764" spans="1:71" ht="25.95" hidden="1" customHeight="1" x14ac:dyDescent="0.3">
      <c r="A764" s="38" t="s">
        <v>134</v>
      </c>
      <c r="B764" s="4" t="s">
        <v>158</v>
      </c>
      <c r="C764" s="5" t="s">
        <v>97</v>
      </c>
      <c r="D764" s="5" t="s">
        <v>101</v>
      </c>
      <c r="E764" s="4" t="str" cm="1">
        <f t="array" ref="E764">_xlfn.IFS(
F764 = "A partir de Abril", "Aguardando Execução na Distribuidora",
A764 = "CAPACITAÇÃO", "Em execução no Corporativo",
TRUE, "Em Execução na Distribuidora"
)</f>
        <v>Em Execução na Distribuidora</v>
      </c>
      <c r="F764" s="4" t="str" cm="1">
        <f t="array" ref="F764">_xlfn.IFS(
AG764 &lt;&gt; "", "Jan-Dez/26",
AH764 &lt;&gt; "", "Fev-Dez/26",
AI764 &lt;&gt; "", "Mar-Dez/26", AJ764 &lt;&gt; "", "Abr-Dez/26",
TRUE, "A partir de Junho"
)</f>
        <v>Jan-Dez/26</v>
      </c>
      <c r="G764" s="4" t="s">
        <v>37</v>
      </c>
      <c r="H764" s="7" t="s">
        <v>54</v>
      </c>
      <c r="I764" s="8" t="s">
        <v>159</v>
      </c>
      <c r="J764" s="8" t="str" cm="1">
        <f t="array" aca="1" ref="J764" ca="1">_xlfn.LET(
  _xlpm.actual_value_month, INDEX(T764:AE764, MATCH(DATE(YEAR(TODAY()), MONTH(TODAY()), 1), $T$1:$AE$1, 0)),
  IF(_xlpm.actual_value_month &lt;&gt; "",_xlpm.actual_value_month &amp; " colaboradores participantes mensais", "")
)</f>
        <v>262 colaboradores participantes mensais</v>
      </c>
      <c r="K764" s="8" t="str" cm="1">
        <f t="array" ref="K764">_xlfn.LET(
    _xlpm.sum_month, SUM(T764:AE764),
    IF(_xlpm.sum_month = 0, "", _xlpm.sum_month &amp; " participações de colaboradores no ano")
)</f>
        <v>2944 participações de colaboradores no ano</v>
      </c>
      <c r="L764" s="9" t="s">
        <v>160</v>
      </c>
      <c r="M764" s="24" t="s">
        <v>161</v>
      </c>
      <c r="N764" s="5" t="s">
        <v>42</v>
      </c>
      <c r="O764" s="5" t="s">
        <v>43</v>
      </c>
      <c r="P764" s="10" t="s">
        <v>44</v>
      </c>
      <c r="Q764" s="10" t="s">
        <v>44</v>
      </c>
      <c r="R764" s="11" t="s">
        <v>147</v>
      </c>
      <c r="S764" s="11" t="s">
        <v>162</v>
      </c>
      <c r="T764" s="143">
        <v>190</v>
      </c>
      <c r="U764" s="143">
        <v>205</v>
      </c>
      <c r="V764" s="143">
        <v>191</v>
      </c>
      <c r="W764" s="143">
        <v>262</v>
      </c>
      <c r="X764" s="143">
        <v>262</v>
      </c>
      <c r="Y764" s="143">
        <v>262</v>
      </c>
      <c r="Z764" s="143">
        <v>262</v>
      </c>
      <c r="AA764" s="143">
        <v>262</v>
      </c>
      <c r="AB764" s="143">
        <v>262</v>
      </c>
      <c r="AC764" s="143">
        <v>262</v>
      </c>
      <c r="AD764" s="143">
        <v>262</v>
      </c>
      <c r="AE764" s="143">
        <v>262</v>
      </c>
      <c r="AG764" s="71">
        <v>190</v>
      </c>
      <c r="AH764" s="71">
        <v>205</v>
      </c>
      <c r="AI764" s="71">
        <v>191</v>
      </c>
      <c r="AJ764" s="71">
        <v>267</v>
      </c>
      <c r="AK764" s="71">
        <v>258</v>
      </c>
      <c r="AL764" s="71"/>
      <c r="AM764" s="71"/>
      <c r="AN764" s="71"/>
      <c r="AO764" s="71"/>
      <c r="AP764" s="71"/>
      <c r="AQ764" s="71"/>
      <c r="AR764" s="71"/>
      <c r="AS764" s="94">
        <f t="shared" ca="1" si="1059"/>
        <v>1110</v>
      </c>
      <c r="AT764" s="95">
        <f t="shared" si="1060"/>
        <v>1111</v>
      </c>
      <c r="AU764" s="97">
        <f t="shared" si="1061"/>
        <v>1111</v>
      </c>
      <c r="AW764" s="51">
        <f t="shared" si="1062"/>
        <v>1</v>
      </c>
      <c r="AX764" s="51">
        <f t="shared" si="1063"/>
        <v>1</v>
      </c>
      <c r="AY764" s="51">
        <f t="shared" si="1064"/>
        <v>1</v>
      </c>
      <c r="AZ764" s="51">
        <f t="shared" si="1065"/>
        <v>1.0190839694656488</v>
      </c>
      <c r="BA764" s="51">
        <f t="shared" si="1058"/>
        <v>0.98473282442748089</v>
      </c>
      <c r="BB764" s="51"/>
      <c r="BC764" s="51"/>
      <c r="BD764" s="51"/>
      <c r="BE764" s="51"/>
      <c r="BF764" s="51"/>
      <c r="BG764" s="51"/>
      <c r="BH764" s="51"/>
      <c r="BI764" s="65" cm="1">
        <f t="array" ref="BI764">IFERROR(INDEX(AW764:BH764,1,MATCH(2,1/(AW764:BH764&lt;&gt;""))),"")</f>
        <v>0.98473282442748089</v>
      </c>
      <c r="BJ764" s="68" cm="1">
        <f t="array" ref="BJ764">IF(BM764 = "", "",IFERROR(INDEX(AW764:BH764,1,MATCH(2,1/(AW764:BH764&lt;&gt;""),1)-1),""))</f>
        <v>1.0190839694656488</v>
      </c>
      <c r="BK764" s="58">
        <f>IF((IF(AW764&gt;=115%,115%,AW764) + IF(AX764&gt;=115%,115%,AX764) + IF(AY764&gt;=115%,115%,AY764) + (IF(AZ764&gt;=115%,115%,AZ764) + IF(BA764&gt;=115%,115%,BA764) + IF(BB764&gt;=115%,115%,BB764) + IF(BC764&gt;=115%,115%,BC764) + IF(BD764&gt;=115%,115%,BD764) + IF(BE764&gt;=115%,115%,BE764) + IF(BF764&gt;=115%,115%,BF764) + IF(BG764&gt;=115%,115%,BG764) + IF(BH764&gt;=115%,115%,BH764)))/_xlfn.XLOOKUP(F764,Apuração!A:A,Apuração!B:B)&gt;=1.15,1.15,((IF(AZ764&gt;=115%,115%,AZ764) + IF(AX764&gt;=115%,115%,AX764) + IF(AY764&gt;=115%,115%,AY764) + (IF(AW764&gt;=115%,115%,AW764) + IF(BA764&gt;=115%,115%,BA764) + IF(BB764&gt;=115%,115%,BB764) + IF(BC764&gt;=115%,115%,BC764) + IF(BD764&gt;=115%,115%,BD764) + IF(BE764&gt;=115%,115%,BE764) + IF(BF764&gt;=115%,115%,BF764) + IF(BG764&gt;=115%,115%,BG764) + IF(BH764&gt;=115%,115%,BH764)))/_xlfn.XLOOKUP(F764,Apuração!A:A,Apuração!B:B)))</f>
        <v>0.41698473282442744</v>
      </c>
      <c r="BL764" s="58" cm="1">
        <f t="array" aca="1" ref="BL764" ca="1">IF(SUM(IFERROR(IF(INDEX(AW764:INDEX(AW764:BH764, MATCH(2, 1/(AW764:BH764&lt;&gt;""), 1)-1), ROW(INDIRECT("1:" &amp; MATCH(2, 1/(AW764:BH764&lt;&gt;""), 1)-1))) &gt;= 115%, 115%, INDEX(AW764:INDEX(AW764:BH764, MATCH(2, 1/(AW764:BH764&lt;&gt;""), 1)-1), ROW(INDIRECT("1:" &amp; MATCH(2, 1/(AW764:BH764&lt;&gt;""), 1)-1)))), 0))/_xlfn.XLOOKUP(F764,Apuração!A:A,Apuração!B:B)&gt;=1.15,1.15,SUM(IFERROR(IF(INDEX(AW764:INDEX(AW764:BH764, MATCH(2, 1/(AW764:BH764&lt;&gt;""), 1)-1), ROW(INDIRECT("1:" &amp; MATCH(2, 1/(AW764:BH764&lt;&gt;""), 1)-1))) &gt;= 115%, 115%, INDEX(AW764:INDEX(AW764:BH764, MATCH(2, 1/(AW764:BH764&lt;&gt;""), 1)-1), ROW(INDIRECT("1:" &amp; MATCH(2, 1/(AW764:BH764&lt;&gt;""), 1)-1)))), 0))/_xlfn.XLOOKUP(F764,Apuração!A:A,Apuração!B:B))</f>
        <v>0.33492366412213742</v>
      </c>
      <c r="BM764" s="55" cm="1">
        <f t="array" ref="BM764">IFERROR(
   INDEX($AW$1:$BH$1,
      _xlfn.AGGREGATE(14, 6, COLUMN($AW$1:$BH$1)/(AW764:BH764&lt;&gt;""), 2) - COLUMN($AW$1) + 1
   ),
"")</f>
        <v>46113</v>
      </c>
      <c r="BN764" s="55" cm="1">
        <f t="array" ref="BN764">IFERROR(INDEX($AW$1:$BH$1,1,MATCH(2,1/(AW764:BH764&lt;&gt;""))),"")</f>
        <v>46143</v>
      </c>
      <c r="BO764" s="53">
        <f ca="1">IFERROR(_xlfn.XLOOKUP(F764,Apuração!A:A,Apuração!C:C)/_xlfn.XLOOKUP(F764,Apuração!A:A,Apuração!B:B),0)</f>
        <v>0.41666666666666669</v>
      </c>
      <c r="BP764" s="53">
        <f ca="1">IFERROR(_xlfn.XLOOKUP(F764,Apuração!A:A,Apuração!D:D)/_xlfn.XLOOKUP(F764,Apuração!A:A,Apuração!B:B),0)</f>
        <v>0.33333333333333331</v>
      </c>
      <c r="BQ764" s="53">
        <f ca="1">IF(BK764&gt;=BO764,0,_xlfn.XLOOKUP(F764,Apuração!A:A,Apuração!B:B)*(BO764 + (1/_xlfn.XLOOKUP(F764,Apuração!A:A,Apuração!B:B)) - BK764))</f>
        <v>0</v>
      </c>
      <c r="BR764" s="85">
        <f t="shared" ca="1" si="1066"/>
        <v>0</v>
      </c>
      <c r="BS764" s="53">
        <f ca="1">IFERROR((_xlfn.XLOOKUP(F764,Apuração!A:A,Apuração!C:C)+1)/_xlfn.XLOOKUP(F764,Apuração!A:A,Apuração!B:B),0)</f>
        <v>0.5</v>
      </c>
    </row>
    <row r="765" spans="1:71" ht="25.95" hidden="1" customHeight="1" x14ac:dyDescent="0.3">
      <c r="A765" s="38" t="s">
        <v>134</v>
      </c>
      <c r="B765" s="4" t="s">
        <v>158</v>
      </c>
      <c r="C765" s="5" t="s">
        <v>97</v>
      </c>
      <c r="D765" s="5" t="s">
        <v>102</v>
      </c>
      <c r="E765" s="4" t="str" cm="1">
        <f t="array" ref="E765">_xlfn.IFS(
F765 = "A partir de Abril", "Aguardando Execução na Distribuidora",
A765 = "CAPACITAÇÃO", "Em execução no Corporativo",
TRUE, "Em Execução na Distribuidora"
)</f>
        <v>Em Execução na Distribuidora</v>
      </c>
      <c r="F765" s="4" t="str" cm="1">
        <f t="array" ref="F765">_xlfn.IFS(
AG765 &lt;&gt; "", "Jan-Dez/26",
AH765 &lt;&gt; "", "Fev-Dez/26",
AI765 &lt;&gt; "", "Mar-Dez/26", AJ765 &lt;&gt; "", "Abr-Dez/26",
TRUE, "A partir de Junho"
)</f>
        <v>Jan-Dez/26</v>
      </c>
      <c r="G765" s="4" t="s">
        <v>37</v>
      </c>
      <c r="H765" s="7" t="s">
        <v>54</v>
      </c>
      <c r="I765" s="8" t="s">
        <v>159</v>
      </c>
      <c r="J765" s="8" t="str" cm="1">
        <f t="array" aca="1" ref="J765" ca="1">_xlfn.LET(
  _xlpm.actual_value_month, INDEX(T765:AE765, MATCH(DATE(YEAR(TODAY()), MONTH(TODAY()), 1), $T$1:$AE$1, 0)),
  IF(_xlpm.actual_value_month &lt;&gt; "",_xlpm.actual_value_month &amp; " colaboradores participantes mensais", "")
)</f>
        <v>494 colaboradores participantes mensais</v>
      </c>
      <c r="K765" s="8" t="str" cm="1">
        <f t="array" ref="K765">_xlfn.LET(
    _xlpm.sum_month, SUM(T765:AE765),
    IF(_xlpm.sum_month = 0, "", _xlpm.sum_month &amp; " participações de colaboradores no ano")
)</f>
        <v>5674 participações de colaboradores no ano</v>
      </c>
      <c r="L765" s="9" t="s">
        <v>160</v>
      </c>
      <c r="M765" s="24" t="s">
        <v>161</v>
      </c>
      <c r="N765" s="5" t="s">
        <v>42</v>
      </c>
      <c r="O765" s="5" t="s">
        <v>43</v>
      </c>
      <c r="P765" s="10" t="s">
        <v>44</v>
      </c>
      <c r="Q765" s="10" t="s">
        <v>44</v>
      </c>
      <c r="R765" s="11" t="s">
        <v>147</v>
      </c>
      <c r="S765" s="11" t="s">
        <v>162</v>
      </c>
      <c r="T765" s="143">
        <v>409</v>
      </c>
      <c r="U765" s="143">
        <v>431</v>
      </c>
      <c r="V765" s="143">
        <v>388</v>
      </c>
      <c r="W765" s="143">
        <v>494</v>
      </c>
      <c r="X765" s="143">
        <v>494</v>
      </c>
      <c r="Y765" s="143">
        <v>494</v>
      </c>
      <c r="Z765" s="143">
        <v>494</v>
      </c>
      <c r="AA765" s="143">
        <v>494</v>
      </c>
      <c r="AB765" s="143">
        <v>494</v>
      </c>
      <c r="AC765" s="143">
        <v>494</v>
      </c>
      <c r="AD765" s="143">
        <v>494</v>
      </c>
      <c r="AE765" s="143">
        <v>494</v>
      </c>
      <c r="AG765" s="71">
        <v>409</v>
      </c>
      <c r="AH765" s="71">
        <v>431</v>
      </c>
      <c r="AI765" s="71">
        <v>388</v>
      </c>
      <c r="AJ765" s="71">
        <v>313</v>
      </c>
      <c r="AK765" s="71">
        <v>197</v>
      </c>
      <c r="AL765" s="71"/>
      <c r="AM765" s="71"/>
      <c r="AN765" s="71"/>
      <c r="AO765" s="71"/>
      <c r="AP765" s="71"/>
      <c r="AQ765" s="71"/>
      <c r="AR765" s="71"/>
      <c r="AS765" s="94">
        <f t="shared" ca="1" si="1059"/>
        <v>2216</v>
      </c>
      <c r="AT765" s="95">
        <f t="shared" si="1060"/>
        <v>1738</v>
      </c>
      <c r="AU765" s="97">
        <f t="shared" si="1061"/>
        <v>1738</v>
      </c>
      <c r="AW765" s="51">
        <f t="shared" si="1062"/>
        <v>1</v>
      </c>
      <c r="AX765" s="51">
        <f t="shared" si="1063"/>
        <v>1</v>
      </c>
      <c r="AY765" s="51">
        <f t="shared" si="1064"/>
        <v>1</v>
      </c>
      <c r="AZ765" s="51">
        <f t="shared" si="1065"/>
        <v>0.6336032388663968</v>
      </c>
      <c r="BA765" s="51">
        <f t="shared" si="1058"/>
        <v>0.39878542510121456</v>
      </c>
      <c r="BB765" s="51"/>
      <c r="BC765" s="51"/>
      <c r="BD765" s="51"/>
      <c r="BE765" s="51"/>
      <c r="BF765" s="51"/>
      <c r="BG765" s="51"/>
      <c r="BH765" s="51"/>
      <c r="BI765" s="65" cm="1">
        <f t="array" ref="BI765">IFERROR(INDEX(AW765:BH765,1,MATCH(2,1/(AW765:BH765&lt;&gt;""))),"")</f>
        <v>0.39878542510121456</v>
      </c>
      <c r="BJ765" s="68" cm="1">
        <f t="array" ref="BJ765">IF(BM765 = "", "",IFERROR(INDEX(AW765:BH765,1,MATCH(2,1/(AW765:BH765&lt;&gt;""),1)-1),""))</f>
        <v>0.6336032388663968</v>
      </c>
      <c r="BK765" s="58">
        <f>IF((IF(AW765&gt;=115%,115%,AW765) + IF(AX765&gt;=115%,115%,AX765) + IF(AY765&gt;=115%,115%,AY765) + (IF(AZ765&gt;=115%,115%,AZ765) + IF(BA765&gt;=115%,115%,BA765) + IF(BB765&gt;=115%,115%,BB765) + IF(BC765&gt;=115%,115%,BC765) + IF(BD765&gt;=115%,115%,BD765) + IF(BE765&gt;=115%,115%,BE765) + IF(BF765&gt;=115%,115%,BF765) + IF(BG765&gt;=115%,115%,BG765) + IF(BH765&gt;=115%,115%,BH765)))/_xlfn.XLOOKUP(F765,Apuração!A:A,Apuração!B:B)&gt;=1.15,1.15,((IF(AZ765&gt;=115%,115%,AZ765) + IF(AX765&gt;=115%,115%,AX765) + IF(AY765&gt;=115%,115%,AY765) + (IF(AW765&gt;=115%,115%,AW765) + IF(BA765&gt;=115%,115%,BA765) + IF(BB765&gt;=115%,115%,BB765) + IF(BC765&gt;=115%,115%,BC765) + IF(BD765&gt;=115%,115%,BD765) + IF(BE765&gt;=115%,115%,BE765) + IF(BF765&gt;=115%,115%,BF765) + IF(BG765&gt;=115%,115%,BG765) + IF(BH765&gt;=115%,115%,BH765)))/_xlfn.XLOOKUP(F765,Apuração!A:A,Apuração!B:B)))</f>
        <v>0.33603238866396762</v>
      </c>
      <c r="BL765" s="58" cm="1">
        <f t="array" aca="1" ref="BL765" ca="1">IF(SUM(IFERROR(IF(INDEX(AW765:INDEX(AW765:BH765, MATCH(2, 1/(AW765:BH765&lt;&gt;""), 1)-1), ROW(INDIRECT("1:" &amp; MATCH(2, 1/(AW765:BH765&lt;&gt;""), 1)-1))) &gt;= 115%, 115%, INDEX(AW765:INDEX(AW765:BH765, MATCH(2, 1/(AW765:BH765&lt;&gt;""), 1)-1), ROW(INDIRECT("1:" &amp; MATCH(2, 1/(AW765:BH765&lt;&gt;""), 1)-1)))), 0))/_xlfn.XLOOKUP(F765,Apuração!A:A,Apuração!B:B)&gt;=1.15,1.15,SUM(IFERROR(IF(INDEX(AW765:INDEX(AW765:BH765, MATCH(2, 1/(AW765:BH765&lt;&gt;""), 1)-1), ROW(INDIRECT("1:" &amp; MATCH(2, 1/(AW765:BH765&lt;&gt;""), 1)-1))) &gt;= 115%, 115%, INDEX(AW765:INDEX(AW765:BH765, MATCH(2, 1/(AW765:BH765&lt;&gt;""), 1)-1), ROW(INDIRECT("1:" &amp; MATCH(2, 1/(AW765:BH765&lt;&gt;""), 1)-1)))), 0))/_xlfn.XLOOKUP(F765,Apuração!A:A,Apuração!B:B))</f>
        <v>0.30280026990553305</v>
      </c>
      <c r="BM765" s="55" cm="1">
        <f t="array" ref="BM765">IFERROR(
   INDEX($AW$1:$BH$1,
      _xlfn.AGGREGATE(14, 6, COLUMN($AW$1:$BH$1)/(AW765:BH765&lt;&gt;""), 2) - COLUMN($AW$1) + 1
   ),
"")</f>
        <v>46113</v>
      </c>
      <c r="BN765" s="55" cm="1">
        <f t="array" ref="BN765">IFERROR(INDEX($AW$1:$BH$1,1,MATCH(2,1/(AW765:BH765&lt;&gt;""))),"")</f>
        <v>46143</v>
      </c>
      <c r="BO765" s="53">
        <f ca="1">IFERROR(_xlfn.XLOOKUP(F765,Apuração!A:A,Apuração!C:C)/_xlfn.XLOOKUP(F765,Apuração!A:A,Apuração!B:B),0)</f>
        <v>0.41666666666666669</v>
      </c>
      <c r="BP765" s="53">
        <f ca="1">IFERROR(_xlfn.XLOOKUP(F765,Apuração!A:A,Apuração!D:D)/_xlfn.XLOOKUP(F765,Apuração!A:A,Apuração!B:B),0)</f>
        <v>0.33333333333333331</v>
      </c>
      <c r="BQ765" s="53">
        <f ca="1">IF(BK765&gt;=BO765,0,_xlfn.XLOOKUP(F765,Apuração!A:A,Apuração!B:B)*(BO765 + (1/_xlfn.XLOOKUP(F765,Apuração!A:A,Apuração!B:B)) - BK765))</f>
        <v>1.9676113360323886</v>
      </c>
      <c r="BR765" s="85">
        <f t="shared" ca="1" si="1066"/>
        <v>972</v>
      </c>
      <c r="BS765" s="53">
        <f ca="1">IFERROR((_xlfn.XLOOKUP(F765,Apuração!A:A,Apuração!C:C)+1)/_xlfn.XLOOKUP(F765,Apuração!A:A,Apuração!B:B),0)</f>
        <v>0.5</v>
      </c>
    </row>
    <row r="766" spans="1:71" ht="25.95" hidden="1" customHeight="1" x14ac:dyDescent="0.3">
      <c r="A766" s="38" t="s">
        <v>134</v>
      </c>
      <c r="B766" s="4" t="s">
        <v>158</v>
      </c>
      <c r="C766" s="5" t="s">
        <v>97</v>
      </c>
      <c r="D766" s="5" t="s">
        <v>103</v>
      </c>
      <c r="E766" s="4" t="str" cm="1">
        <f t="array" ref="E766">_xlfn.IFS(
F766 = "A partir de Abril", "Aguardando Execução na Distribuidora",
A766 = "CAPACITAÇÃO", "Em execução no Corporativo",
TRUE, "Em Execução na Distribuidora"
)</f>
        <v>Em Execução na Distribuidora</v>
      </c>
      <c r="F766" s="4" t="str" cm="1">
        <f t="array" ref="F766">_xlfn.IFS(
AG766 &lt;&gt; "", "Jan-Dez/26",
AH766 &lt;&gt; "", "Fev-Dez/26",
AI766 &lt;&gt; "", "Mar-Dez/26", AJ766 &lt;&gt; "", "Abr-Dez/26",
TRUE, "A partir de Junho"
)</f>
        <v>Jan-Dez/26</v>
      </c>
      <c r="G766" s="4" t="s">
        <v>37</v>
      </c>
      <c r="H766" s="7" t="s">
        <v>54</v>
      </c>
      <c r="I766" s="8" t="s">
        <v>159</v>
      </c>
      <c r="J766" s="8" t="str" cm="1">
        <f t="array" aca="1" ref="J766" ca="1">_xlfn.LET(
  _xlpm.actual_value_month, INDEX(T766:AE766, MATCH(DATE(YEAR(TODAY()), MONTH(TODAY()), 1), $T$1:$AE$1, 0)),
  IF(_xlpm.actual_value_month &lt;&gt; "",_xlpm.actual_value_month &amp; " colaboradores participantes mensais", "")
)</f>
        <v>1050 colaboradores participantes mensais</v>
      </c>
      <c r="K766" s="8" t="str" cm="1">
        <f t="array" ref="K766">_xlfn.LET(
    _xlpm.sum_month, SUM(T766:AE766),
    IF(_xlpm.sum_month = 0, "", _xlpm.sum_month &amp; " participações de colaboradores no ano")
)</f>
        <v>10558 participações de colaboradores no ano</v>
      </c>
      <c r="L766" s="9" t="s">
        <v>160</v>
      </c>
      <c r="M766" s="24" t="s">
        <v>161</v>
      </c>
      <c r="N766" s="5" t="s">
        <v>42</v>
      </c>
      <c r="O766" s="5" t="s">
        <v>43</v>
      </c>
      <c r="P766" s="10" t="s">
        <v>44</v>
      </c>
      <c r="Q766" s="10" t="s">
        <v>44</v>
      </c>
      <c r="R766" s="11" t="s">
        <v>147</v>
      </c>
      <c r="S766" s="11" t="s">
        <v>162</v>
      </c>
      <c r="T766" s="143">
        <v>376</v>
      </c>
      <c r="U766" s="143">
        <v>307</v>
      </c>
      <c r="V766" s="143">
        <v>425</v>
      </c>
      <c r="W766" s="22">
        <v>1050</v>
      </c>
      <c r="X766" s="22">
        <v>1050</v>
      </c>
      <c r="Y766" s="22">
        <v>1050</v>
      </c>
      <c r="Z766" s="22">
        <v>1050</v>
      </c>
      <c r="AA766" s="22">
        <v>1050</v>
      </c>
      <c r="AB766" s="22">
        <v>1050</v>
      </c>
      <c r="AC766" s="22">
        <v>1050</v>
      </c>
      <c r="AD766" s="22">
        <v>1050</v>
      </c>
      <c r="AE766" s="22">
        <v>1050</v>
      </c>
      <c r="AG766" s="71">
        <v>376</v>
      </c>
      <c r="AH766" s="71">
        <v>307</v>
      </c>
      <c r="AI766" s="71">
        <v>425</v>
      </c>
      <c r="AJ766" s="71">
        <v>354</v>
      </c>
      <c r="AK766" s="71">
        <v>216</v>
      </c>
      <c r="AL766" s="71"/>
      <c r="AM766" s="71"/>
      <c r="AN766" s="71"/>
      <c r="AO766" s="71"/>
      <c r="AP766" s="71"/>
      <c r="AQ766" s="71"/>
      <c r="AR766" s="71"/>
      <c r="AS766" s="94">
        <f t="shared" ca="1" si="1059"/>
        <v>3208</v>
      </c>
      <c r="AT766" s="95">
        <f t="shared" si="1060"/>
        <v>1678</v>
      </c>
      <c r="AU766" s="97">
        <f t="shared" si="1061"/>
        <v>1678</v>
      </c>
      <c r="AW766" s="51">
        <f t="shared" si="1062"/>
        <v>1</v>
      </c>
      <c r="AX766" s="51">
        <f t="shared" si="1063"/>
        <v>1</v>
      </c>
      <c r="AY766" s="51">
        <f t="shared" si="1064"/>
        <v>1</v>
      </c>
      <c r="AZ766" s="51">
        <f t="shared" si="1065"/>
        <v>0.33714285714285713</v>
      </c>
      <c r="BA766" s="51">
        <f t="shared" si="1058"/>
        <v>0.20571428571428571</v>
      </c>
      <c r="BB766" s="51"/>
      <c r="BC766" s="51"/>
      <c r="BD766" s="51"/>
      <c r="BE766" s="51"/>
      <c r="BF766" s="51"/>
      <c r="BG766" s="51"/>
      <c r="BH766" s="51"/>
      <c r="BI766" s="65" cm="1">
        <f t="array" ref="BI766">IFERROR(INDEX(AW766:BH766,1,MATCH(2,1/(AW766:BH766&lt;&gt;""))),"")</f>
        <v>0.20571428571428571</v>
      </c>
      <c r="BJ766" s="68" cm="1">
        <f t="array" ref="BJ766">IF(BM766 = "", "",IFERROR(INDEX(AW766:BH766,1,MATCH(2,1/(AW766:BH766&lt;&gt;""),1)-1),""))</f>
        <v>0.33714285714285713</v>
      </c>
      <c r="BK766" s="58">
        <f>IF((IF(AW766&gt;=115%,115%,AW766) + IF(AX766&gt;=115%,115%,AX766) + IF(AY766&gt;=115%,115%,AY766) + (IF(AZ766&gt;=115%,115%,AZ766) + IF(BA766&gt;=115%,115%,BA766) + IF(BB766&gt;=115%,115%,BB766) + IF(BC766&gt;=115%,115%,BC766) + IF(BD766&gt;=115%,115%,BD766) + IF(BE766&gt;=115%,115%,BE766) + IF(BF766&gt;=115%,115%,BF766) + IF(BG766&gt;=115%,115%,BG766) + IF(BH766&gt;=115%,115%,BH766)))/_xlfn.XLOOKUP(F766,Apuração!A:A,Apuração!B:B)&gt;=1.15,1.15,((IF(AZ766&gt;=115%,115%,AZ766) + IF(AX766&gt;=115%,115%,AX766) + IF(AY766&gt;=115%,115%,AY766) + (IF(AW766&gt;=115%,115%,AW766) + IF(BA766&gt;=115%,115%,BA766) + IF(BB766&gt;=115%,115%,BB766) + IF(BC766&gt;=115%,115%,BC766) + IF(BD766&gt;=115%,115%,BD766) + IF(BE766&gt;=115%,115%,BE766) + IF(BF766&gt;=115%,115%,BF766) + IF(BG766&gt;=115%,115%,BG766) + IF(BH766&gt;=115%,115%,BH766)))/_xlfn.XLOOKUP(F766,Apuração!A:A,Apuração!B:B)))</f>
        <v>0.29523809523809524</v>
      </c>
      <c r="BL766" s="58" cm="1">
        <f t="array" aca="1" ref="BL766" ca="1">IF(SUM(IFERROR(IF(INDEX(AW766:INDEX(AW766:BH766, MATCH(2, 1/(AW766:BH766&lt;&gt;""), 1)-1), ROW(INDIRECT("1:" &amp; MATCH(2, 1/(AW766:BH766&lt;&gt;""), 1)-1))) &gt;= 115%, 115%, INDEX(AW766:INDEX(AW766:BH766, MATCH(2, 1/(AW766:BH766&lt;&gt;""), 1)-1), ROW(INDIRECT("1:" &amp; MATCH(2, 1/(AW766:BH766&lt;&gt;""), 1)-1)))), 0))/_xlfn.XLOOKUP(F766,Apuração!A:A,Apuração!B:B)&gt;=1.15,1.15,SUM(IFERROR(IF(INDEX(AW766:INDEX(AW766:BH766, MATCH(2, 1/(AW766:BH766&lt;&gt;""), 1)-1), ROW(INDIRECT("1:" &amp; MATCH(2, 1/(AW766:BH766&lt;&gt;""), 1)-1))) &gt;= 115%, 115%, INDEX(AW766:INDEX(AW766:BH766, MATCH(2, 1/(AW766:BH766&lt;&gt;""), 1)-1), ROW(INDIRECT("1:" &amp; MATCH(2, 1/(AW766:BH766&lt;&gt;""), 1)-1)))), 0))/_xlfn.XLOOKUP(F766,Apuração!A:A,Apuração!B:B))</f>
        <v>0.27809523809523812</v>
      </c>
      <c r="BM766" s="55" cm="1">
        <f t="array" ref="BM766">IFERROR(
   INDEX($AW$1:$BH$1,
      _xlfn.AGGREGATE(14, 6, COLUMN($AW$1:$BH$1)/(AW766:BH766&lt;&gt;""), 2) - COLUMN($AW$1) + 1
   ),
"")</f>
        <v>46113</v>
      </c>
      <c r="BN766" s="55" cm="1">
        <f t="array" ref="BN766">IFERROR(INDEX($AW$1:$BH$1,1,MATCH(2,1/(AW766:BH766&lt;&gt;""))),"")</f>
        <v>46143</v>
      </c>
      <c r="BO766" s="53">
        <f ca="1">IFERROR(_xlfn.XLOOKUP(F766,Apuração!A:A,Apuração!C:C)/_xlfn.XLOOKUP(F766,Apuração!A:A,Apuração!B:B),0)</f>
        <v>0.41666666666666669</v>
      </c>
      <c r="BP766" s="53">
        <f ca="1">IFERROR(_xlfn.XLOOKUP(F766,Apuração!A:A,Apuração!D:D)/_xlfn.XLOOKUP(F766,Apuração!A:A,Apuração!B:B),0)</f>
        <v>0.33333333333333331</v>
      </c>
      <c r="BQ766" s="53">
        <f ca="1">IF(BK766&gt;=BO766,0,_xlfn.XLOOKUP(F766,Apuração!A:A,Apuração!B:B)*(BO766 + (1/_xlfn.XLOOKUP(F766,Apuração!A:A,Apuração!B:B)) - BK766))</f>
        <v>2.4571428571428573</v>
      </c>
      <c r="BR766" s="85">
        <f t="shared" ca="1" si="1066"/>
        <v>2580</v>
      </c>
      <c r="BS766" s="53">
        <f ca="1">IFERROR((_xlfn.XLOOKUP(F766,Apuração!A:A,Apuração!C:C)+1)/_xlfn.XLOOKUP(F766,Apuração!A:A,Apuração!B:B),0)</f>
        <v>0.5</v>
      </c>
    </row>
    <row r="767" spans="1:71" ht="25.95" hidden="1" customHeight="1" x14ac:dyDescent="0.3">
      <c r="A767" s="38" t="s">
        <v>134</v>
      </c>
      <c r="B767" s="4" t="s">
        <v>158</v>
      </c>
      <c r="C767" s="5" t="s">
        <v>97</v>
      </c>
      <c r="D767" s="5" t="s">
        <v>104</v>
      </c>
      <c r="E767" s="4" t="str" cm="1">
        <f t="array" ref="E767">_xlfn.IFS(
F767 = "A partir de Abril", "Aguardando Execução na Distribuidora",
A767 = "CAPACITAÇÃO", "Em execução no Corporativo",
TRUE, "Em Execução na Distribuidora"
)</f>
        <v>Em Execução na Distribuidora</v>
      </c>
      <c r="F767" s="4" t="str" cm="1">
        <f t="array" ref="F767">_xlfn.IFS(
AG767 &lt;&gt; "", "Jan-Dez/26",
AH767 &lt;&gt; "", "Fev-Dez/26",
AI767 &lt;&gt; "", "Mar-Dez/26", AJ767 &lt;&gt; "", "Abr-Dez/26",
TRUE, "A partir de Junho"
)</f>
        <v>Jan-Dez/26</v>
      </c>
      <c r="G767" s="4" t="s">
        <v>37</v>
      </c>
      <c r="H767" s="7" t="s">
        <v>54</v>
      </c>
      <c r="I767" s="8" t="s">
        <v>159</v>
      </c>
      <c r="J767" s="8" t="str" cm="1">
        <f t="array" aca="1" ref="J767" ca="1">_xlfn.LET(
  _xlpm.actual_value_month, INDEX(T767:AE767, MATCH(DATE(YEAR(TODAY()), MONTH(TODAY()), 1), $T$1:$AE$1, 0)),
  IF(_xlpm.actual_value_month &lt;&gt; "",_xlpm.actual_value_month &amp; " colaboradores participantes mensais", "")
)</f>
        <v>581 colaboradores participantes mensais</v>
      </c>
      <c r="K767" s="8" t="str" cm="1">
        <f t="array" ref="K767">_xlfn.LET(
    _xlpm.sum_month, SUM(T767:AE767),
    IF(_xlpm.sum_month = 0, "", _xlpm.sum_month &amp; " participações de colaboradores no ano")
)</f>
        <v>5815 participações de colaboradores no ano</v>
      </c>
      <c r="L767" s="9" t="s">
        <v>160</v>
      </c>
      <c r="M767" s="24" t="s">
        <v>161</v>
      </c>
      <c r="N767" s="5" t="s">
        <v>42</v>
      </c>
      <c r="O767" s="5" t="s">
        <v>43</v>
      </c>
      <c r="P767" s="10" t="s">
        <v>44</v>
      </c>
      <c r="Q767" s="10" t="s">
        <v>44</v>
      </c>
      <c r="R767" s="11" t="s">
        <v>147</v>
      </c>
      <c r="S767" s="11" t="s">
        <v>162</v>
      </c>
      <c r="T767" s="143">
        <v>190</v>
      </c>
      <c r="U767" s="143">
        <v>205</v>
      </c>
      <c r="V767" s="143">
        <v>191</v>
      </c>
      <c r="W767" s="143">
        <v>581</v>
      </c>
      <c r="X767" s="143">
        <v>581</v>
      </c>
      <c r="Y767" s="143">
        <v>581</v>
      </c>
      <c r="Z767" s="143">
        <v>581</v>
      </c>
      <c r="AA767" s="143">
        <v>581</v>
      </c>
      <c r="AB767" s="143">
        <v>581</v>
      </c>
      <c r="AC767" s="143">
        <v>581</v>
      </c>
      <c r="AD767" s="143">
        <v>581</v>
      </c>
      <c r="AE767" s="143">
        <v>581</v>
      </c>
      <c r="AG767" s="71">
        <v>190</v>
      </c>
      <c r="AH767" s="71">
        <v>205</v>
      </c>
      <c r="AI767" s="71">
        <v>191</v>
      </c>
      <c r="AJ767" s="71">
        <v>81</v>
      </c>
      <c r="AK767" s="71">
        <v>119</v>
      </c>
      <c r="AL767" s="71"/>
      <c r="AM767" s="71"/>
      <c r="AN767" s="71"/>
      <c r="AO767" s="71"/>
      <c r="AP767" s="71"/>
      <c r="AQ767" s="71"/>
      <c r="AR767" s="71"/>
      <c r="AS767" s="94">
        <f t="shared" ca="1" si="1059"/>
        <v>1748</v>
      </c>
      <c r="AT767" s="95">
        <f t="shared" si="1060"/>
        <v>786</v>
      </c>
      <c r="AU767" s="97">
        <f t="shared" si="1061"/>
        <v>786</v>
      </c>
      <c r="AW767" s="51">
        <f t="shared" si="1062"/>
        <v>1</v>
      </c>
      <c r="AX767" s="51">
        <f t="shared" si="1063"/>
        <v>1</v>
      </c>
      <c r="AY767" s="51">
        <f t="shared" si="1064"/>
        <v>1</v>
      </c>
      <c r="AZ767" s="51">
        <f t="shared" si="1065"/>
        <v>0.13941480206540446</v>
      </c>
      <c r="BA767" s="51">
        <f t="shared" si="1058"/>
        <v>0.20481927710843373</v>
      </c>
      <c r="BB767" s="51"/>
      <c r="BC767" s="51"/>
      <c r="BD767" s="51"/>
      <c r="BE767" s="51"/>
      <c r="BF767" s="51"/>
      <c r="BG767" s="51"/>
      <c r="BH767" s="51"/>
      <c r="BI767" s="65" cm="1">
        <f t="array" ref="BI767">IFERROR(INDEX(AW767:BH767,1,MATCH(2,1/(AW767:BH767&lt;&gt;""))),"")</f>
        <v>0.20481927710843373</v>
      </c>
      <c r="BJ767" s="68" cm="1">
        <f t="array" ref="BJ767">IF(BM767 = "", "",IFERROR(INDEX(AW767:BH767,1,MATCH(2,1/(AW767:BH767&lt;&gt;""),1)-1),""))</f>
        <v>0.13941480206540446</v>
      </c>
      <c r="BK767" s="58">
        <f>IF((IF(AW767&gt;=115%,115%,AW767) + IF(AX767&gt;=115%,115%,AX767) + IF(AY767&gt;=115%,115%,AY767) + (IF(AZ767&gt;=115%,115%,AZ767) + IF(BA767&gt;=115%,115%,BA767) + IF(BB767&gt;=115%,115%,BB767) + IF(BC767&gt;=115%,115%,BC767) + IF(BD767&gt;=115%,115%,BD767) + IF(BE767&gt;=115%,115%,BE767) + IF(BF767&gt;=115%,115%,BF767) + IF(BG767&gt;=115%,115%,BG767) + IF(BH767&gt;=115%,115%,BH767)))/_xlfn.XLOOKUP(F767,Apuração!A:A,Apuração!B:B)&gt;=1.15,1.15,((IF(AZ767&gt;=115%,115%,AZ767) + IF(AX767&gt;=115%,115%,AX767) + IF(AY767&gt;=115%,115%,AY767) + (IF(AW767&gt;=115%,115%,AW767) + IF(BA767&gt;=115%,115%,BA767) + IF(BB767&gt;=115%,115%,BB767) + IF(BC767&gt;=115%,115%,BC767) + IF(BD767&gt;=115%,115%,BD767) + IF(BE767&gt;=115%,115%,BE767) + IF(BF767&gt;=115%,115%,BF767) + IF(BG767&gt;=115%,115%,BG767) + IF(BH767&gt;=115%,115%,BH767)))/_xlfn.XLOOKUP(F767,Apuração!A:A,Apuração!B:B)))</f>
        <v>0.27868617326448653</v>
      </c>
      <c r="BL767" s="58" cm="1">
        <f t="array" aca="1" ref="BL767" ca="1">IF(SUM(IFERROR(IF(INDEX(AW767:INDEX(AW767:BH767, MATCH(2, 1/(AW767:BH767&lt;&gt;""), 1)-1), ROW(INDIRECT("1:" &amp; MATCH(2, 1/(AW767:BH767&lt;&gt;""), 1)-1))) &gt;= 115%, 115%, INDEX(AW767:INDEX(AW767:BH767, MATCH(2, 1/(AW767:BH767&lt;&gt;""), 1)-1), ROW(INDIRECT("1:" &amp; MATCH(2, 1/(AW767:BH767&lt;&gt;""), 1)-1)))), 0))/_xlfn.XLOOKUP(F767,Apuração!A:A,Apuração!B:B)&gt;=1.15,1.15,SUM(IFERROR(IF(INDEX(AW767:INDEX(AW767:BH767, MATCH(2, 1/(AW767:BH767&lt;&gt;""), 1)-1), ROW(INDIRECT("1:" &amp; MATCH(2, 1/(AW767:BH767&lt;&gt;""), 1)-1))) &gt;= 115%, 115%, INDEX(AW767:INDEX(AW767:BH767, MATCH(2, 1/(AW767:BH767&lt;&gt;""), 1)-1), ROW(INDIRECT("1:" &amp; MATCH(2, 1/(AW767:BH767&lt;&gt;""), 1)-1)))), 0))/_xlfn.XLOOKUP(F767,Apuração!A:A,Apuração!B:B))</f>
        <v>0.26161790017211706</v>
      </c>
      <c r="BM767" s="55" cm="1">
        <f t="array" ref="BM767">IFERROR(
   INDEX($AW$1:$BH$1,
      _xlfn.AGGREGATE(14, 6, COLUMN($AW$1:$BH$1)/(AW767:BH767&lt;&gt;""), 2) - COLUMN($AW$1) + 1
   ),
"")</f>
        <v>46113</v>
      </c>
      <c r="BN767" s="55" cm="1">
        <f t="array" ref="BN767">IFERROR(INDEX($AW$1:$BH$1,1,MATCH(2,1/(AW767:BH767&lt;&gt;""))),"")</f>
        <v>46143</v>
      </c>
      <c r="BO767" s="53">
        <f ca="1">IFERROR(_xlfn.XLOOKUP(F767,Apuração!A:A,Apuração!C:C)/_xlfn.XLOOKUP(F767,Apuração!A:A,Apuração!B:B),0)</f>
        <v>0.41666666666666669</v>
      </c>
      <c r="BP767" s="53">
        <f ca="1">IFERROR(_xlfn.XLOOKUP(F767,Apuração!A:A,Apuração!D:D)/_xlfn.XLOOKUP(F767,Apuração!A:A,Apuração!B:B),0)</f>
        <v>0.33333333333333331</v>
      </c>
      <c r="BQ767" s="53">
        <f ca="1">IF(BK767&gt;=BO767,0,_xlfn.XLOOKUP(F767,Apuração!A:A,Apuração!B:B)*(BO767 + (1/_xlfn.XLOOKUP(F767,Apuração!A:A,Apuração!B:B)) - BK767))</f>
        <v>2.6557659208261617</v>
      </c>
      <c r="BR767" s="85">
        <f t="shared" ca="1" si="1066"/>
        <v>1543</v>
      </c>
      <c r="BS767" s="53">
        <f ca="1">IFERROR((_xlfn.XLOOKUP(F767,Apuração!A:A,Apuração!C:C)+1)/_xlfn.XLOOKUP(F767,Apuração!A:A,Apuração!B:B),0)</f>
        <v>0.5</v>
      </c>
    </row>
    <row r="768" spans="1:71" ht="25.95" hidden="1" customHeight="1" x14ac:dyDescent="0.3">
      <c r="A768" s="38" t="s">
        <v>134</v>
      </c>
      <c r="B768" s="4" t="s">
        <v>158</v>
      </c>
      <c r="C768" s="5" t="s">
        <v>97</v>
      </c>
      <c r="D768" s="5" t="s">
        <v>105</v>
      </c>
      <c r="E768" s="4" t="str" cm="1">
        <f t="array" ref="E768">_xlfn.IFS(
F768 = "A partir de Abril", "Aguardando Execução na Distribuidora",
A768 = "CAPACITAÇÃO", "Em execução no Corporativo",
TRUE, "Em Execução na Distribuidora"
)</f>
        <v>Em Execução na Distribuidora</v>
      </c>
      <c r="F768" s="4" t="str" cm="1">
        <f t="array" ref="F768">_xlfn.IFS(
AG768 &lt;&gt; "", "Jan-Dez/26",
AH768 &lt;&gt; "", "Fev-Dez/26",
AI768 &lt;&gt; "", "Mar-Dez/26", AJ768 &lt;&gt; "", "Abr-Dez/26",
TRUE, "A partir de Junho"
)</f>
        <v>Jan-Dez/26</v>
      </c>
      <c r="G768" s="4" t="s">
        <v>37</v>
      </c>
      <c r="H768" s="7" t="s">
        <v>54</v>
      </c>
      <c r="I768" s="8" t="s">
        <v>159</v>
      </c>
      <c r="J768" s="8" t="str" cm="1">
        <f t="array" aca="1" ref="J768" ca="1">_xlfn.LET(
  _xlpm.actual_value_month, INDEX(T768:AE768, MATCH(DATE(YEAR(TODAY()), MONTH(TODAY()), 1), $T$1:$AE$1, 0)),
  IF(_xlpm.actual_value_month &lt;&gt; "",_xlpm.actual_value_month &amp; " colaboradores participantes mensais", "")
)</f>
        <v>223 colaboradores participantes mensais</v>
      </c>
      <c r="K768" s="8" t="str" cm="1">
        <f t="array" ref="K768">_xlfn.LET(
    _xlpm.sum_month, SUM(T768:AE768),
    IF(_xlpm.sum_month = 0, "", _xlpm.sum_month &amp; " participações de colaboradores no ano")
)</f>
        <v>3821 participações de colaboradores no ano</v>
      </c>
      <c r="L768" s="9" t="s">
        <v>160</v>
      </c>
      <c r="M768" s="24" t="s">
        <v>161</v>
      </c>
      <c r="N768" s="5" t="s">
        <v>42</v>
      </c>
      <c r="O768" s="5" t="s">
        <v>43</v>
      </c>
      <c r="P768" s="10" t="s">
        <v>44</v>
      </c>
      <c r="Q768" s="10" t="s">
        <v>44</v>
      </c>
      <c r="R768" s="11" t="s">
        <v>147</v>
      </c>
      <c r="S768" s="11" t="s">
        <v>162</v>
      </c>
      <c r="T768" s="143">
        <v>904</v>
      </c>
      <c r="U768" s="143">
        <v>474</v>
      </c>
      <c r="V768" s="143">
        <v>436</v>
      </c>
      <c r="W768" s="143">
        <v>223</v>
      </c>
      <c r="X768" s="143">
        <v>223</v>
      </c>
      <c r="Y768" s="143">
        <v>223</v>
      </c>
      <c r="Z768" s="143">
        <v>223</v>
      </c>
      <c r="AA768" s="143">
        <v>223</v>
      </c>
      <c r="AB768" s="143">
        <v>223</v>
      </c>
      <c r="AC768" s="143">
        <v>223</v>
      </c>
      <c r="AD768" s="143">
        <v>223</v>
      </c>
      <c r="AE768" s="143">
        <v>223</v>
      </c>
      <c r="AG768" s="71">
        <v>904</v>
      </c>
      <c r="AH768" s="71">
        <v>474</v>
      </c>
      <c r="AI768" s="71">
        <v>436</v>
      </c>
      <c r="AJ768" s="71">
        <v>219</v>
      </c>
      <c r="AK768" s="71">
        <v>236</v>
      </c>
      <c r="AL768" s="71"/>
      <c r="AM768" s="71"/>
      <c r="AN768" s="71"/>
      <c r="AO768" s="71"/>
      <c r="AP768" s="71"/>
      <c r="AQ768" s="71"/>
      <c r="AR768" s="71"/>
      <c r="AS768" s="94">
        <f t="shared" ca="1" si="1059"/>
        <v>2260</v>
      </c>
      <c r="AT768" s="95">
        <f t="shared" si="1060"/>
        <v>2269</v>
      </c>
      <c r="AU768" s="97">
        <f t="shared" si="1061"/>
        <v>2269</v>
      </c>
      <c r="AW768" s="51">
        <f t="shared" si="1062"/>
        <v>1</v>
      </c>
      <c r="AX768" s="51">
        <f t="shared" si="1063"/>
        <v>1</v>
      </c>
      <c r="AY768" s="51">
        <f t="shared" si="1064"/>
        <v>1</v>
      </c>
      <c r="AZ768" s="51">
        <f t="shared" si="1065"/>
        <v>0.98206278026905824</v>
      </c>
      <c r="BA768" s="51">
        <f t="shared" si="1058"/>
        <v>1.0582959641255605</v>
      </c>
      <c r="BB768" s="51"/>
      <c r="BC768" s="51"/>
      <c r="BD768" s="51"/>
      <c r="BE768" s="51"/>
      <c r="BF768" s="51"/>
      <c r="BG768" s="51"/>
      <c r="BH768" s="51"/>
      <c r="BI768" s="65" cm="1">
        <f t="array" ref="BI768">IFERROR(INDEX(AW768:BH768,1,MATCH(2,1/(AW768:BH768&lt;&gt;""))),"")</f>
        <v>1.0582959641255605</v>
      </c>
      <c r="BJ768" s="68" cm="1">
        <f t="array" ref="BJ768">IF(BM768 = "", "",IFERROR(INDEX(AW768:BH768,1,MATCH(2,1/(AW768:BH768&lt;&gt;""),1)-1),""))</f>
        <v>0.98206278026905824</v>
      </c>
      <c r="BK768" s="58">
        <f>IF((IF(AW768&gt;=115%,115%,AW768) + IF(AX768&gt;=115%,115%,AX768) + IF(AY768&gt;=115%,115%,AY768) + (IF(AZ768&gt;=115%,115%,AZ768) + IF(BA768&gt;=115%,115%,BA768) + IF(BB768&gt;=115%,115%,BB768) + IF(BC768&gt;=115%,115%,BC768) + IF(BD768&gt;=115%,115%,BD768) + IF(BE768&gt;=115%,115%,BE768) + IF(BF768&gt;=115%,115%,BF768) + IF(BG768&gt;=115%,115%,BG768) + IF(BH768&gt;=115%,115%,BH768)))/_xlfn.XLOOKUP(F768,Apuração!A:A,Apuração!B:B)&gt;=1.15,1.15,((IF(AZ768&gt;=115%,115%,AZ768) + IF(AX768&gt;=115%,115%,AX768) + IF(AY768&gt;=115%,115%,AY768) + (IF(AW768&gt;=115%,115%,AW768) + IF(BA768&gt;=115%,115%,BA768) + IF(BB768&gt;=115%,115%,BB768) + IF(BC768&gt;=115%,115%,BC768) + IF(BD768&gt;=115%,115%,BD768) + IF(BE768&gt;=115%,115%,BE768) + IF(BF768&gt;=115%,115%,BF768) + IF(BG768&gt;=115%,115%,BG768) + IF(BH768&gt;=115%,115%,BH768)))/_xlfn.XLOOKUP(F768,Apuração!A:A,Apuração!B:B)))</f>
        <v>0.42002989536621821</v>
      </c>
      <c r="BL768" s="58" cm="1">
        <f t="array" aca="1" ref="BL768" ca="1">IF(SUM(IFERROR(IF(INDEX(AW768:INDEX(AW768:BH768, MATCH(2, 1/(AW768:BH768&lt;&gt;""), 1)-1), ROW(INDIRECT("1:" &amp; MATCH(2, 1/(AW768:BH768&lt;&gt;""), 1)-1))) &gt;= 115%, 115%, INDEX(AW768:INDEX(AW768:BH768, MATCH(2, 1/(AW768:BH768&lt;&gt;""), 1)-1), ROW(INDIRECT("1:" &amp; MATCH(2, 1/(AW768:BH768&lt;&gt;""), 1)-1)))), 0))/_xlfn.XLOOKUP(F768,Apuração!A:A,Apuração!B:B)&gt;=1.15,1.15,SUM(IFERROR(IF(INDEX(AW768:INDEX(AW768:BH768, MATCH(2, 1/(AW768:BH768&lt;&gt;""), 1)-1), ROW(INDIRECT("1:" &amp; MATCH(2, 1/(AW768:BH768&lt;&gt;""), 1)-1))) &gt;= 115%, 115%, INDEX(AW768:INDEX(AW768:BH768, MATCH(2, 1/(AW768:BH768&lt;&gt;""), 1)-1), ROW(INDIRECT("1:" &amp; MATCH(2, 1/(AW768:BH768&lt;&gt;""), 1)-1)))), 0))/_xlfn.XLOOKUP(F768,Apuração!A:A,Apuração!B:B))</f>
        <v>0.33183856502242154</v>
      </c>
      <c r="BM768" s="55" cm="1">
        <f t="array" ref="BM768">IFERROR(
   INDEX($AW$1:$BH$1,
      _xlfn.AGGREGATE(14, 6, COLUMN($AW$1:$BH$1)/(AW768:BH768&lt;&gt;""), 2) - COLUMN($AW$1) + 1
   ),
"")</f>
        <v>46113</v>
      </c>
      <c r="BN768" s="55" cm="1">
        <f t="array" ref="BN768">IFERROR(INDEX($AW$1:$BH$1,1,MATCH(2,1/(AW768:BH768&lt;&gt;""))),"")</f>
        <v>46143</v>
      </c>
      <c r="BO768" s="53">
        <f ca="1">IFERROR(_xlfn.XLOOKUP(F768,Apuração!A:A,Apuração!C:C)/_xlfn.XLOOKUP(F768,Apuração!A:A,Apuração!B:B),0)</f>
        <v>0.41666666666666669</v>
      </c>
      <c r="BP768" s="53">
        <f ca="1">IFERROR(_xlfn.XLOOKUP(F768,Apuração!A:A,Apuração!D:D)/_xlfn.XLOOKUP(F768,Apuração!A:A,Apuração!B:B),0)</f>
        <v>0.33333333333333331</v>
      </c>
      <c r="BQ768" s="53">
        <f ca="1">IF(BK768&gt;=BO768,0,_xlfn.XLOOKUP(F768,Apuração!A:A,Apuração!B:B)*(BO768 + (1/_xlfn.XLOOKUP(F768,Apuração!A:A,Apuração!B:B)) - BK768))</f>
        <v>0</v>
      </c>
      <c r="BR768" s="85">
        <f t="shared" ca="1" si="1066"/>
        <v>0</v>
      </c>
      <c r="BS768" s="53">
        <f ca="1">IFERROR((_xlfn.XLOOKUP(F768,Apuração!A:A,Apuração!C:C)+1)/_xlfn.XLOOKUP(F768,Apuração!A:A,Apuração!B:B),0)</f>
        <v>0.5</v>
      </c>
    </row>
    <row r="769" spans="1:71" ht="25.95" hidden="1" customHeight="1" x14ac:dyDescent="0.3">
      <c r="A769" s="38" t="s">
        <v>134</v>
      </c>
      <c r="B769" s="4" t="s">
        <v>158</v>
      </c>
      <c r="C769" s="5" t="s">
        <v>97</v>
      </c>
      <c r="D769" s="5" t="s">
        <v>106</v>
      </c>
      <c r="E769" s="4" t="str" cm="1">
        <f t="array" ref="E769">_xlfn.IFS(
F769 = "A partir de Abril", "Aguardando Execução na Distribuidora",
A769 = "CAPACITAÇÃO", "Em execução no Corporativo",
TRUE, "Em Execução na Distribuidora"
)</f>
        <v>Em Execução na Distribuidora</v>
      </c>
      <c r="F769" s="4" t="str" cm="1">
        <f t="array" ref="F769">_xlfn.IFS(
AG769 &lt;&gt; "", "Jan-Dez/26",
AH769 &lt;&gt; "", "Fev-Dez/26",
AI769 &lt;&gt; "", "Mar-Dez/26", AJ769 &lt;&gt; "", "Abr-Dez/26",
TRUE, "A partir de Junho"
)</f>
        <v>Jan-Dez/26</v>
      </c>
      <c r="G769" s="4" t="s">
        <v>37</v>
      </c>
      <c r="H769" s="7" t="s">
        <v>54</v>
      </c>
      <c r="I769" s="8" t="s">
        <v>159</v>
      </c>
      <c r="J769" s="8" t="str" cm="1">
        <f t="array" aca="1" ref="J769" ca="1">_xlfn.LET(
  _xlpm.actual_value_month, INDEX(T769:AE769, MATCH(DATE(YEAR(TODAY()), MONTH(TODAY()), 1), $T$1:$AE$1, 0)),
  IF(_xlpm.actual_value_month &lt;&gt; "",_xlpm.actual_value_month &amp; " colaboradores participantes mensais", "")
)</f>
        <v>381 colaboradores participantes mensais</v>
      </c>
      <c r="K769" s="8" t="str" cm="1">
        <f t="array" ref="K769">_xlfn.LET(
    _xlpm.sum_month, SUM(T769:AE769),
    IF(_xlpm.sum_month = 0, "", _xlpm.sum_month &amp; " participações de colaboradores no ano")
)</f>
        <v>5243 participações de colaboradores no ano</v>
      </c>
      <c r="L769" s="9" t="s">
        <v>160</v>
      </c>
      <c r="M769" s="24" t="s">
        <v>161</v>
      </c>
      <c r="N769" s="5" t="s">
        <v>42</v>
      </c>
      <c r="O769" s="5" t="s">
        <v>43</v>
      </c>
      <c r="P769" s="10" t="s">
        <v>44</v>
      </c>
      <c r="Q769" s="10" t="s">
        <v>44</v>
      </c>
      <c r="R769" s="11" t="s">
        <v>147</v>
      </c>
      <c r="S769" s="11" t="s">
        <v>162</v>
      </c>
      <c r="T769" s="143">
        <v>904</v>
      </c>
      <c r="U769" s="143">
        <v>474</v>
      </c>
      <c r="V769" s="143">
        <v>436</v>
      </c>
      <c r="W769" s="143">
        <v>381</v>
      </c>
      <c r="X769" s="143">
        <v>381</v>
      </c>
      <c r="Y769" s="143">
        <v>381</v>
      </c>
      <c r="Z769" s="143">
        <v>381</v>
      </c>
      <c r="AA769" s="143">
        <v>381</v>
      </c>
      <c r="AB769" s="143">
        <v>381</v>
      </c>
      <c r="AC769" s="143">
        <v>381</v>
      </c>
      <c r="AD769" s="143">
        <v>381</v>
      </c>
      <c r="AE769" s="143">
        <v>381</v>
      </c>
      <c r="AG769" s="71">
        <v>904</v>
      </c>
      <c r="AH769" s="71">
        <v>474</v>
      </c>
      <c r="AI769" s="71">
        <v>436</v>
      </c>
      <c r="AJ769" s="71">
        <v>505</v>
      </c>
      <c r="AK769" s="71">
        <v>367</v>
      </c>
      <c r="AL769" s="71"/>
      <c r="AM769" s="71"/>
      <c r="AN769" s="71"/>
      <c r="AO769" s="71"/>
      <c r="AP769" s="71"/>
      <c r="AQ769" s="71"/>
      <c r="AR769" s="71"/>
      <c r="AS769" s="94">
        <f t="shared" ca="1" si="1059"/>
        <v>2576</v>
      </c>
      <c r="AT769" s="95">
        <f t="shared" si="1060"/>
        <v>2619.15</v>
      </c>
      <c r="AU769" s="97">
        <f t="shared" si="1061"/>
        <v>2686</v>
      </c>
      <c r="AW769" s="51">
        <f t="shared" si="1062"/>
        <v>1</v>
      </c>
      <c r="AX769" s="51">
        <f t="shared" si="1063"/>
        <v>1</v>
      </c>
      <c r="AY769" s="51">
        <f t="shared" si="1064"/>
        <v>1</v>
      </c>
      <c r="AZ769" s="51">
        <f t="shared" si="1065"/>
        <v>1.3254593175853018</v>
      </c>
      <c r="BA769" s="51">
        <f t="shared" si="1058"/>
        <v>0.96325459317585305</v>
      </c>
      <c r="BB769" s="51"/>
      <c r="BC769" s="51"/>
      <c r="BD769" s="51"/>
      <c r="BE769" s="51"/>
      <c r="BF769" s="51"/>
      <c r="BG769" s="51"/>
      <c r="BH769" s="51"/>
      <c r="BI769" s="65" cm="1">
        <f t="array" ref="BI769">IFERROR(INDEX(AW769:BH769,1,MATCH(2,1/(AW769:BH769&lt;&gt;""))),"")</f>
        <v>0.96325459317585305</v>
      </c>
      <c r="BJ769" s="68" cm="1">
        <f t="array" ref="BJ769">IF(BM769 = "", "",IFERROR(INDEX(AW769:BH769,1,MATCH(2,1/(AW769:BH769&lt;&gt;""),1)-1),""))</f>
        <v>1.3254593175853018</v>
      </c>
      <c r="BK769" s="58">
        <f>IF((IF(AW769&gt;=115%,115%,AW769) + IF(AX769&gt;=115%,115%,AX769) + IF(AY769&gt;=115%,115%,AY769) + (IF(AZ769&gt;=115%,115%,AZ769) + IF(BA769&gt;=115%,115%,BA769) + IF(BB769&gt;=115%,115%,BB769) + IF(BC769&gt;=115%,115%,BC769) + IF(BD769&gt;=115%,115%,BD769) + IF(BE769&gt;=115%,115%,BE769) + IF(BF769&gt;=115%,115%,BF769) + IF(BG769&gt;=115%,115%,BG769) + IF(BH769&gt;=115%,115%,BH769)))/_xlfn.XLOOKUP(F769,Apuração!A:A,Apuração!B:B)&gt;=1.15,1.15,((IF(AZ769&gt;=115%,115%,AZ769) + IF(AX769&gt;=115%,115%,AX769) + IF(AY769&gt;=115%,115%,AY769) + (IF(AW769&gt;=115%,115%,AW769) + IF(BA769&gt;=115%,115%,BA769) + IF(BB769&gt;=115%,115%,BB769) + IF(BC769&gt;=115%,115%,BC769) + IF(BD769&gt;=115%,115%,BD769) + IF(BE769&gt;=115%,115%,BE769) + IF(BF769&gt;=115%,115%,BF769) + IF(BG769&gt;=115%,115%,BG769) + IF(BH769&gt;=115%,115%,BH769)))/_xlfn.XLOOKUP(F769,Apuração!A:A,Apuração!B:B)))</f>
        <v>0.42610454943132109</v>
      </c>
      <c r="BL769" s="58" cm="1">
        <f t="array" aca="1" ref="BL769" ca="1">IF(SUM(IFERROR(IF(INDEX(AW769:INDEX(AW769:BH769, MATCH(2, 1/(AW769:BH769&lt;&gt;""), 1)-1), ROW(INDIRECT("1:" &amp; MATCH(2, 1/(AW769:BH769&lt;&gt;""), 1)-1))) &gt;= 115%, 115%, INDEX(AW769:INDEX(AW769:BH769, MATCH(2, 1/(AW769:BH769&lt;&gt;""), 1)-1), ROW(INDIRECT("1:" &amp; MATCH(2, 1/(AW769:BH769&lt;&gt;""), 1)-1)))), 0))/_xlfn.XLOOKUP(F769,Apuração!A:A,Apuração!B:B)&gt;=1.15,1.15,SUM(IFERROR(IF(INDEX(AW769:INDEX(AW769:BH769, MATCH(2, 1/(AW769:BH769&lt;&gt;""), 1)-1), ROW(INDIRECT("1:" &amp; MATCH(2, 1/(AW769:BH769&lt;&gt;""), 1)-1))) &gt;= 115%, 115%, INDEX(AW769:INDEX(AW769:BH769, MATCH(2, 1/(AW769:BH769&lt;&gt;""), 1)-1), ROW(INDIRECT("1:" &amp; MATCH(2, 1/(AW769:BH769&lt;&gt;""), 1)-1)))), 0))/_xlfn.XLOOKUP(F769,Apuração!A:A,Apuração!B:B))</f>
        <v>0.34583333333333338</v>
      </c>
      <c r="BM769" s="55" cm="1">
        <f t="array" ref="BM769">IFERROR(
   INDEX($AW$1:$BH$1,
      _xlfn.AGGREGATE(14, 6, COLUMN($AW$1:$BH$1)/(AW769:BH769&lt;&gt;""), 2) - COLUMN($AW$1) + 1
   ),
"")</f>
        <v>46113</v>
      </c>
      <c r="BN769" s="55" cm="1">
        <f t="array" ref="BN769">IFERROR(INDEX($AW$1:$BH$1,1,MATCH(2,1/(AW769:BH769&lt;&gt;""))),"")</f>
        <v>46143</v>
      </c>
      <c r="BO769" s="53">
        <f ca="1">IFERROR(_xlfn.XLOOKUP(F769,Apuração!A:A,Apuração!C:C)/_xlfn.XLOOKUP(F769,Apuração!A:A,Apuração!B:B),0)</f>
        <v>0.41666666666666669</v>
      </c>
      <c r="BP769" s="53">
        <f ca="1">IFERROR(_xlfn.XLOOKUP(F769,Apuração!A:A,Apuração!D:D)/_xlfn.XLOOKUP(F769,Apuração!A:A,Apuração!B:B),0)</f>
        <v>0.33333333333333331</v>
      </c>
      <c r="BQ769" s="53">
        <f ca="1">IF(BK769&gt;=BO769,0,_xlfn.XLOOKUP(F769,Apuração!A:A,Apuração!B:B)*(BO769 + (1/_xlfn.XLOOKUP(F769,Apuração!A:A,Apuração!B:B)) - BK769))</f>
        <v>0</v>
      </c>
      <c r="BR769" s="85">
        <f t="shared" ca="1" si="1066"/>
        <v>0</v>
      </c>
      <c r="BS769" s="53">
        <f ca="1">IFERROR((_xlfn.XLOOKUP(F769,Apuração!A:A,Apuração!C:C)+1)/_xlfn.XLOOKUP(F769,Apuração!A:A,Apuração!B:B),0)</f>
        <v>0.5</v>
      </c>
    </row>
    <row r="770" spans="1:71" ht="25.95" hidden="1" customHeight="1" x14ac:dyDescent="0.3">
      <c r="A770" s="38" t="s">
        <v>134</v>
      </c>
      <c r="B770" s="4" t="s">
        <v>158</v>
      </c>
      <c r="C770" s="5" t="s">
        <v>97</v>
      </c>
      <c r="D770" s="5" t="s">
        <v>107</v>
      </c>
      <c r="E770" s="4" t="str" cm="1">
        <f t="array" ref="E770">_xlfn.IFS(
F770 = "A partir de Abril", "Aguardando Execução na Distribuidora",
A770 = "CAPACITAÇÃO", "Em execução no Corporativo",
TRUE, "Em Execução na Distribuidora"
)</f>
        <v>Em Execução na Distribuidora</v>
      </c>
      <c r="F770" s="4" t="str" cm="1">
        <f t="array" ref="F770">_xlfn.IFS(
AG770 &lt;&gt; "", "Jan-Dez/26",
AH770 &lt;&gt; "", "Fev-Dez/26",
AI770 &lt;&gt; "", "Mar-Dez/26", AJ770 &lt;&gt; "", "Abr-Dez/26",
TRUE, "A partir de Junho"
)</f>
        <v>Jan-Dez/26</v>
      </c>
      <c r="G770" s="4" t="s">
        <v>37</v>
      </c>
      <c r="H770" s="7" t="s">
        <v>54</v>
      </c>
      <c r="I770" s="8" t="s">
        <v>159</v>
      </c>
      <c r="J770" s="8" t="str" cm="1">
        <f t="array" aca="1" ref="J770" ca="1">_xlfn.LET(
  _xlpm.actual_value_month, INDEX(T770:AE770, MATCH(DATE(YEAR(TODAY()), MONTH(TODAY()), 1), $T$1:$AE$1, 0)),
  IF(_xlpm.actual_value_month &lt;&gt; "",_xlpm.actual_value_month &amp; " colaboradores participantes mensais", "")
)</f>
        <v>332 colaboradores participantes mensais</v>
      </c>
      <c r="K770" s="8" t="str" cm="1">
        <f t="array" ref="K770">_xlfn.LET(
    _xlpm.sum_month, SUM(T770:AE770),
    IF(_xlpm.sum_month = 0, "", _xlpm.sum_month &amp; " participações de colaboradores no ano")
)</f>
        <v>3358 participações de colaboradores no ano</v>
      </c>
      <c r="L770" s="9" t="s">
        <v>160</v>
      </c>
      <c r="M770" s="24" t="s">
        <v>161</v>
      </c>
      <c r="N770" s="5" t="s">
        <v>42</v>
      </c>
      <c r="O770" s="5" t="s">
        <v>43</v>
      </c>
      <c r="P770" s="10" t="s">
        <v>44</v>
      </c>
      <c r="Q770" s="10" t="s">
        <v>44</v>
      </c>
      <c r="R770" s="11" t="s">
        <v>147</v>
      </c>
      <c r="S770" s="11" t="s">
        <v>162</v>
      </c>
      <c r="T770" s="143">
        <v>115</v>
      </c>
      <c r="U770" s="143">
        <v>121</v>
      </c>
      <c r="V770" s="143">
        <v>134</v>
      </c>
      <c r="W770" s="143">
        <v>332</v>
      </c>
      <c r="X770" s="143">
        <v>332</v>
      </c>
      <c r="Y770" s="143">
        <v>332</v>
      </c>
      <c r="Z770" s="143">
        <v>332</v>
      </c>
      <c r="AA770" s="143">
        <v>332</v>
      </c>
      <c r="AB770" s="143">
        <v>332</v>
      </c>
      <c r="AC770" s="143">
        <v>332</v>
      </c>
      <c r="AD770" s="143">
        <v>332</v>
      </c>
      <c r="AE770" s="143">
        <v>332</v>
      </c>
      <c r="AG770" s="71">
        <v>115</v>
      </c>
      <c r="AH770" s="71">
        <v>121</v>
      </c>
      <c r="AI770" s="71">
        <v>134</v>
      </c>
      <c r="AJ770" s="71">
        <v>133</v>
      </c>
      <c r="AK770" s="71">
        <v>122</v>
      </c>
      <c r="AL770" s="71"/>
      <c r="AM770" s="71"/>
      <c r="AN770" s="71"/>
      <c r="AO770" s="71"/>
      <c r="AP770" s="71"/>
      <c r="AQ770" s="71"/>
      <c r="AR770" s="71"/>
      <c r="AS770" s="94">
        <f t="shared" ca="1" si="1059"/>
        <v>1034</v>
      </c>
      <c r="AT770" s="95">
        <f t="shared" si="1060"/>
        <v>625</v>
      </c>
      <c r="AU770" s="97">
        <f t="shared" si="1061"/>
        <v>625</v>
      </c>
      <c r="AW770" s="51">
        <f t="shared" si="1062"/>
        <v>1</v>
      </c>
      <c r="AX770" s="51">
        <f t="shared" si="1063"/>
        <v>1</v>
      </c>
      <c r="AY770" s="51">
        <f t="shared" si="1064"/>
        <v>1</v>
      </c>
      <c r="AZ770" s="51">
        <f t="shared" si="1065"/>
        <v>0.4006024096385542</v>
      </c>
      <c r="BA770" s="51">
        <f t="shared" si="1058"/>
        <v>0.36746987951807231</v>
      </c>
      <c r="BB770" s="51"/>
      <c r="BC770" s="51"/>
      <c r="BD770" s="51"/>
      <c r="BE770" s="51"/>
      <c r="BF770" s="51"/>
      <c r="BG770" s="51"/>
      <c r="BH770" s="51"/>
      <c r="BI770" s="65" cm="1">
        <f t="array" ref="BI770">IFERROR(INDEX(AW770:BH770,1,MATCH(2,1/(AW770:BH770&lt;&gt;""))),"")</f>
        <v>0.36746987951807231</v>
      </c>
      <c r="BJ770" s="68" cm="1">
        <f t="array" ref="BJ770">IF(BM770 = "", "",IFERROR(INDEX(AW770:BH770,1,MATCH(2,1/(AW770:BH770&lt;&gt;""),1)-1),""))</f>
        <v>0.4006024096385542</v>
      </c>
      <c r="BK770" s="58">
        <f>IF((IF(AW770&gt;=115%,115%,AW770) + IF(AX770&gt;=115%,115%,AX770) + IF(AY770&gt;=115%,115%,AY770) + (IF(AZ770&gt;=115%,115%,AZ770) + IF(BA770&gt;=115%,115%,BA770) + IF(BB770&gt;=115%,115%,BB770) + IF(BC770&gt;=115%,115%,BC770) + IF(BD770&gt;=115%,115%,BD770) + IF(BE770&gt;=115%,115%,BE770) + IF(BF770&gt;=115%,115%,BF770) + IF(BG770&gt;=115%,115%,BG770) + IF(BH770&gt;=115%,115%,BH770)))/_xlfn.XLOOKUP(F770,Apuração!A:A,Apuração!B:B)&gt;=1.15,1.15,((IF(AZ770&gt;=115%,115%,AZ770) + IF(AX770&gt;=115%,115%,AX770) + IF(AY770&gt;=115%,115%,AY770) + (IF(AW770&gt;=115%,115%,AW770) + IF(BA770&gt;=115%,115%,BA770) + IF(BB770&gt;=115%,115%,BB770) + IF(BC770&gt;=115%,115%,BC770) + IF(BD770&gt;=115%,115%,BD770) + IF(BE770&gt;=115%,115%,BE770) + IF(BF770&gt;=115%,115%,BF770) + IF(BG770&gt;=115%,115%,BG770) + IF(BH770&gt;=115%,115%,BH770)))/_xlfn.XLOOKUP(F770,Apuração!A:A,Apuração!B:B)))</f>
        <v>0.31400602409638556</v>
      </c>
      <c r="BL770" s="58" cm="1">
        <f t="array" aca="1" ref="BL770" ca="1">IF(SUM(IFERROR(IF(INDEX(AW770:INDEX(AW770:BH770, MATCH(2, 1/(AW770:BH770&lt;&gt;""), 1)-1), ROW(INDIRECT("1:" &amp; MATCH(2, 1/(AW770:BH770&lt;&gt;""), 1)-1))) &gt;= 115%, 115%, INDEX(AW770:INDEX(AW770:BH770, MATCH(2, 1/(AW770:BH770&lt;&gt;""), 1)-1), ROW(INDIRECT("1:" &amp; MATCH(2, 1/(AW770:BH770&lt;&gt;""), 1)-1)))), 0))/_xlfn.XLOOKUP(F770,Apuração!A:A,Apuração!B:B)&gt;=1.15,1.15,SUM(IFERROR(IF(INDEX(AW770:INDEX(AW770:BH770, MATCH(2, 1/(AW770:BH770&lt;&gt;""), 1)-1), ROW(INDIRECT("1:" &amp; MATCH(2, 1/(AW770:BH770&lt;&gt;""), 1)-1))) &gt;= 115%, 115%, INDEX(AW770:INDEX(AW770:BH770, MATCH(2, 1/(AW770:BH770&lt;&gt;""), 1)-1), ROW(INDIRECT("1:" &amp; MATCH(2, 1/(AW770:BH770&lt;&gt;""), 1)-1)))), 0))/_xlfn.XLOOKUP(F770,Apuração!A:A,Apuração!B:B))</f>
        <v>0.28338353413654621</v>
      </c>
      <c r="BM770" s="55" cm="1">
        <f t="array" ref="BM770">IFERROR(
   INDEX($AW$1:$BH$1,
      _xlfn.AGGREGATE(14, 6, COLUMN($AW$1:$BH$1)/(AW770:BH770&lt;&gt;""), 2) - COLUMN($AW$1) + 1
   ),
"")</f>
        <v>46113</v>
      </c>
      <c r="BN770" s="55" cm="1">
        <f t="array" ref="BN770">IFERROR(INDEX($AW$1:$BH$1,1,MATCH(2,1/(AW770:BH770&lt;&gt;""))),"")</f>
        <v>46143</v>
      </c>
      <c r="BO770" s="53">
        <f ca="1">IFERROR(_xlfn.XLOOKUP(F770,Apuração!A:A,Apuração!C:C)/_xlfn.XLOOKUP(F770,Apuração!A:A,Apuração!B:B),0)</f>
        <v>0.41666666666666669</v>
      </c>
      <c r="BP770" s="53">
        <f ca="1">IFERROR(_xlfn.XLOOKUP(F770,Apuração!A:A,Apuração!D:D)/_xlfn.XLOOKUP(F770,Apuração!A:A,Apuração!B:B),0)</f>
        <v>0.33333333333333331</v>
      </c>
      <c r="BQ770" s="53">
        <f ca="1">IF(BK770&gt;=BO770,0,_xlfn.XLOOKUP(F770,Apuração!A:A,Apuração!B:B)*(BO770 + (1/_xlfn.XLOOKUP(F770,Apuração!A:A,Apuração!B:B)) - BK770))</f>
        <v>2.2319277108433733</v>
      </c>
      <c r="BR770" s="85">
        <f t="shared" ca="1" si="1066"/>
        <v>740.99999999999989</v>
      </c>
      <c r="BS770" s="53">
        <f ca="1">IFERROR((_xlfn.XLOOKUP(F770,Apuração!A:A,Apuração!C:C)+1)/_xlfn.XLOOKUP(F770,Apuração!A:A,Apuração!B:B),0)</f>
        <v>0.5</v>
      </c>
    </row>
    <row r="771" spans="1:71" ht="25.95" customHeight="1" x14ac:dyDescent="0.3">
      <c r="A771" s="42" t="s">
        <v>134</v>
      </c>
      <c r="B771" s="4" t="s">
        <v>158</v>
      </c>
      <c r="C771" s="5" t="s">
        <v>97</v>
      </c>
      <c r="D771" s="5" t="s">
        <v>36</v>
      </c>
      <c r="E771" s="4" t="str" cm="1">
        <f t="array" ref="E771">_xlfn.IFS(
F771 = "A partir de Abril", "Aguardando Execução na Distribuidora",
A771 = "CAPACITAÇÃO", "Em execução no Corporativo",
TRUE, "Em Execução na Distribuidora"
)</f>
        <v>Em Execução na Distribuidora</v>
      </c>
      <c r="F771" s="4" t="str" cm="1">
        <f t="array" ref="F771">_xlfn.IFS(
AG771 &lt;&gt; "", "Jan-Dez/26",
AH771 &lt;&gt; "", "Fev-Dez/26",
AI771 &lt;&gt; "", "Mar-Dez/26", AJ771 &lt;&gt; "", "Abr-Dez/26",
TRUE, "A partir de Junho"
)</f>
        <v>Jan-Dez/26</v>
      </c>
      <c r="G771" s="4" t="s">
        <v>37</v>
      </c>
      <c r="H771" s="7" t="s">
        <v>54</v>
      </c>
      <c r="I771" s="8" t="s">
        <v>163</v>
      </c>
      <c r="J771" s="8" t="str" cm="1">
        <f t="array" aca="1" ref="J771" ca="1">_xlfn.LET(
  _xlpm.actual_value_month, INDEX(T771:AE771, MATCH(DATE(YEAR(TODAY()), MONTH(TODAY()), 1), $T$1:$AE$1, 0)),
  IF(_xlpm.actual_value_month &lt;&gt; "",_xlpm.actual_value_month &amp; " ações mensais", "")
)</f>
        <v/>
      </c>
      <c r="K771" s="8" t="str" cm="1">
        <f t="array" ref="K771">_xlfn.LET(
    _xlpm.sum_month, SUM(T771:AE771),
    IF(_xlpm.sum_month = 0, "", _xlpm.sum_month &amp; " DSS no ano")
)</f>
        <v/>
      </c>
      <c r="L771" s="9" t="s">
        <v>164</v>
      </c>
      <c r="M771" s="24">
        <v>1</v>
      </c>
      <c r="N771" s="5" t="s">
        <v>51</v>
      </c>
      <c r="O771" s="111" t="s">
        <v>52</v>
      </c>
      <c r="P771" s="10" t="s">
        <v>146</v>
      </c>
      <c r="Q771" s="10" t="s">
        <v>72</v>
      </c>
      <c r="R771" s="11" t="s">
        <v>147</v>
      </c>
      <c r="S771" s="11" t="s">
        <v>162</v>
      </c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G771" s="71">
        <v>80</v>
      </c>
      <c r="AH771" s="71">
        <v>80</v>
      </c>
      <c r="AI771" s="71">
        <v>80</v>
      </c>
      <c r="AJ771" s="71">
        <v>80</v>
      </c>
      <c r="AK771" s="71">
        <v>80</v>
      </c>
      <c r="AL771" s="71"/>
      <c r="AM771" s="71"/>
      <c r="AN771" s="71"/>
      <c r="AO771" s="71"/>
      <c r="AP771" s="71"/>
      <c r="AQ771" s="71"/>
      <c r="AR771" s="71"/>
      <c r="AS771" s="94">
        <f t="shared" ca="1" si="966"/>
        <v>0</v>
      </c>
      <c r="AT771" s="95">
        <f>SUM(IF(AW771&lt;1.15,AG771,1.15*T771),IF(AX771&lt;1.15,AH771,1.15*U771),IF(AY771&lt;1.15,AI771,1.15*V771),IF(AZ771&lt;1.15,AJ771,1.15*W771),IF(BA771&lt;1.15,AK771,1.15*X771),IF(BB771&lt;1.15,AL771,1.15*Y771),IF(BC771&lt;1.15,AM771,1.15*Z771),IF(BD771&lt;1.15,AN771,1.15*AA771),IF(BE771&lt;1.15,AO771,1.15*AB771),IF(BF771&lt;1.15,AP771,1.15*AC771),IF(BG771&lt;1.15,AQ771,1.15*AD771),IF(BH771&lt;1.15,AR771,1.15*AE771))</f>
        <v>80</v>
      </c>
      <c r="AU771" s="97">
        <f t="shared" si="967"/>
        <v>400</v>
      </c>
      <c r="AW771" s="83">
        <f>AG771</f>
        <v>80</v>
      </c>
      <c r="AX771" s="83">
        <f t="shared" ref="AX771:AX782" si="1067">AH771</f>
        <v>80</v>
      </c>
      <c r="AY771" s="83">
        <f t="shared" ref="AY771:AY782" si="1068">AI771</f>
        <v>80</v>
      </c>
      <c r="AZ771" s="83">
        <f t="shared" ref="AZ771:AZ782" si="1069">AJ771</f>
        <v>80</v>
      </c>
      <c r="BA771" s="52"/>
      <c r="BB771" s="52"/>
      <c r="BC771" s="52"/>
      <c r="BD771" s="52"/>
      <c r="BE771" s="52"/>
      <c r="BF771" s="52"/>
      <c r="BG771" s="52"/>
      <c r="BH771" s="52"/>
      <c r="BI771" s="65" cm="1">
        <f t="array" ref="BI771">IFERROR(INDEX(AW771:BH771,1,MATCH(2,1/(AW771:BH771&lt;&gt;""))),"")</f>
        <v>80</v>
      </c>
      <c r="BJ771" s="68" cm="1">
        <f t="array" ref="BJ771">IF(BM771 = "", "",IFERROR(INDEX(AW771:BH771,1,MATCH(2,1/(AW771:BH771&lt;&gt;""),1)-1),""))</f>
        <v>80</v>
      </c>
      <c r="BK771" s="58">
        <f>IF((IF(AW771&gt;=115%,115%,AW771) + IF(AX771&gt;=115%,115%,AX771) + IF(AY771&gt;=115%,115%,AY771) + (IF(AZ771&gt;=115%,115%,AZ771) + IF(BA771&gt;=115%,115%,BA771) + IF(BB771&gt;=115%,115%,BB771) + IF(BC771&gt;=115%,115%,BC771) + IF(BD771&gt;=115%,115%,BD771) + IF(BE771&gt;=115%,115%,BE771) + IF(BF771&gt;=115%,115%,BF771) + IF(BG771&gt;=115%,115%,BG771) + IF(BH771&gt;=115%,115%,BH771)))/_xlfn.XLOOKUP(F771,Apuração!A:A,Apuração!B:B)&gt;=1.15,1.15,((IF(AZ771&gt;=115%,115%,AZ771) + IF(AX771&gt;=115%,115%,AX771) + IF(AY771&gt;=115%,115%,AY771) + (IF(AW771&gt;=115%,115%,AW771) + IF(BA771&gt;=115%,115%,BA771) + IF(BB771&gt;=115%,115%,BB771) + IF(BC771&gt;=115%,115%,BC771) + IF(BD771&gt;=115%,115%,BD771) + IF(BE771&gt;=115%,115%,BE771) + IF(BF771&gt;=115%,115%,BF771) + IF(BG771&gt;=115%,115%,BG771) + IF(BH771&gt;=115%,115%,BH771)))/_xlfn.XLOOKUP(F771,Apuração!A:A,Apuração!B:B)))</f>
        <v>0.3833333333333333</v>
      </c>
      <c r="BL771" s="58" cm="1">
        <f t="array" aca="1" ref="BL771" ca="1">IF(SUM(IFERROR(IF(INDEX(AW771:INDEX(AW771:BH771, MATCH(2, 1/(AW771:BH771&lt;&gt;""), 1)-1), ROW(INDIRECT("1:" &amp; MATCH(2, 1/(AW771:BH771&lt;&gt;""), 1)-1))) &gt;= 115%, 115%, INDEX(AW771:INDEX(AW771:BH771, MATCH(2, 1/(AW771:BH771&lt;&gt;""), 1)-1), ROW(INDIRECT("1:" &amp; MATCH(2, 1/(AW771:BH771&lt;&gt;""), 1)-1)))), 0))/_xlfn.XLOOKUP(F771,Apuração!A:A,Apuração!B:B)&gt;=1.15,1.15,SUM(IFERROR(IF(INDEX(AW771:INDEX(AW771:BH771, MATCH(2, 1/(AW771:BH771&lt;&gt;""), 1)-1), ROW(INDIRECT("1:" &amp; MATCH(2, 1/(AW771:BH771&lt;&gt;""), 1)-1))) &gt;= 115%, 115%, INDEX(AW771:INDEX(AW771:BH771, MATCH(2, 1/(AW771:BH771&lt;&gt;""), 1)-1), ROW(INDIRECT("1:" &amp; MATCH(2, 1/(AW771:BH771&lt;&gt;""), 1)-1)))), 0))/_xlfn.XLOOKUP(F771,Apuração!A:A,Apuração!B:B))</f>
        <v>0.28749999999999998</v>
      </c>
      <c r="BM771" s="55" cm="1">
        <f t="array" ref="BM771">IFERROR(
   INDEX($AW$1:$BH$1,
      _xlfn.AGGREGATE(14, 6, COLUMN($AW$1:$BH$1)/(AW771:BH771&lt;&gt;""), 2) - COLUMN($AW$1) + 1
   ),
"")</f>
        <v>46082</v>
      </c>
      <c r="BN771" s="55" cm="1">
        <f t="array" ref="BN771">IFERROR(INDEX($AW$1:$BH$1,1,MATCH(2,1/(AW771:BH771&lt;&gt;""))),"")</f>
        <v>46113</v>
      </c>
      <c r="BO771" s="53">
        <f ca="1">IFERROR(_xlfn.XLOOKUP(F771,Apuração!A:A,Apuração!C:C)/_xlfn.XLOOKUP(F771,Apuração!A:A,Apuração!B:B),0)</f>
        <v>0.41666666666666669</v>
      </c>
      <c r="BP771" s="53">
        <f ca="1">IFERROR(_xlfn.XLOOKUP(F771,Apuração!A:A,Apuração!D:D)/_xlfn.XLOOKUP(F771,Apuração!A:A,Apuração!B:B),0)</f>
        <v>0.33333333333333331</v>
      </c>
      <c r="BQ771" s="53">
        <f ca="1">IF(BK771&gt;=BO771,0,_xlfn.XLOOKUP(F771,Apuração!A:A,Apuração!B:B)*(BO771 + (1/_xlfn.XLOOKUP(F771,Apuração!A:A,Apuração!B:B)) - BK771))</f>
        <v>1.4000000000000004</v>
      </c>
      <c r="BR771" s="85">
        <f t="shared" ca="1" si="898"/>
        <v>0</v>
      </c>
      <c r="BS771" s="53">
        <f ca="1">IFERROR((_xlfn.XLOOKUP(F771,Apuração!A:A,Apuração!C:C)+1)/_xlfn.XLOOKUP(F771,Apuração!A:A,Apuração!B:B),0)</f>
        <v>0.5</v>
      </c>
    </row>
    <row r="772" spans="1:71" ht="25.95" hidden="1" customHeight="1" x14ac:dyDescent="0.3">
      <c r="A772" s="42" t="s">
        <v>134</v>
      </c>
      <c r="B772" s="4" t="s">
        <v>158</v>
      </c>
      <c r="C772" s="5" t="s">
        <v>97</v>
      </c>
      <c r="D772" s="5" t="s">
        <v>98</v>
      </c>
      <c r="E772" s="4" t="str" cm="1">
        <f t="array" ref="E772">_xlfn.IFS(
F772 = "A partir de Abril", "Aguardando Execução na Distribuidora",
A772 = "CAPACITAÇÃO", "Em execução no Corporativo",
TRUE, "Em Execução na Distribuidora"
)</f>
        <v>Em Execução na Distribuidora</v>
      </c>
      <c r="F772" s="4" t="str" cm="1">
        <f t="array" ref="F772">_xlfn.IFS(
AG772 &lt;&gt; "", "Jan-Dez/26",
AH772 &lt;&gt; "", "Fev-Dez/26",
AI772 &lt;&gt; "", "Mar-Dez/26", AJ772 &lt;&gt; "", "Abr-Dez/26",
TRUE, "A partir de Junho"
)</f>
        <v>Jan-Dez/26</v>
      </c>
      <c r="G772" s="4" t="s">
        <v>37</v>
      </c>
      <c r="H772" s="7" t="s">
        <v>54</v>
      </c>
      <c r="I772" s="8" t="s">
        <v>163</v>
      </c>
      <c r="J772" s="8" t="str" cm="1">
        <f t="array" aca="1" ref="J772" ca="1">_xlfn.LET(
  _xlpm.actual_value_month, INDEX(T772:AE772, MATCH(DATE(YEAR(TODAY()), MONTH(TODAY()), 1), $T$1:$AE$1, 0)),
  IF(_xlpm.actual_value_month &lt;&gt; "",_xlpm.actual_value_month &amp; " ações mensais", "")
)</f>
        <v/>
      </c>
      <c r="K772" s="8" t="str" cm="1">
        <f t="array" ref="K772">_xlfn.LET(
    _xlpm.sum_month, SUM(T772:AE772),
    IF(_xlpm.sum_month = 0, "", _xlpm.sum_month &amp; " DSS no ano")
)</f>
        <v/>
      </c>
      <c r="L772" s="9" t="s">
        <v>164</v>
      </c>
      <c r="M772" s="24">
        <v>1</v>
      </c>
      <c r="N772" s="5" t="s">
        <v>51</v>
      </c>
      <c r="O772" s="111" t="s">
        <v>52</v>
      </c>
      <c r="P772" s="10" t="s">
        <v>146</v>
      </c>
      <c r="Q772" s="10" t="s">
        <v>72</v>
      </c>
      <c r="R772" s="11" t="s">
        <v>147</v>
      </c>
      <c r="S772" s="11" t="s">
        <v>162</v>
      </c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G772" s="82">
        <v>8</v>
      </c>
      <c r="AH772" s="82">
        <v>8</v>
      </c>
      <c r="AI772" s="82">
        <v>8</v>
      </c>
      <c r="AJ772" s="82">
        <v>8</v>
      </c>
      <c r="AK772" s="71">
        <v>8</v>
      </c>
      <c r="AL772" s="71"/>
      <c r="AM772" s="71"/>
      <c r="AN772" s="71"/>
      <c r="AO772" s="71"/>
      <c r="AP772" s="71"/>
      <c r="AQ772" s="71"/>
      <c r="AR772" s="71"/>
      <c r="AS772" s="94">
        <f t="shared" ref="AS772:AS781" ca="1" si="1070">IF(MONTH(TODAY())=3,SUM(T772:U772),IF(MONTH(TODAY())=4,SUM(T772:V772),IF(MONTH(TODAY())=5,SUM(T772:W772),IF(MONTH(TODAY())=6,SUM(T772:X772),IF(MONTH(TODAY())=7,SUM(T772:Y772),IF(MONTH(TODAY())=8,SUM(T772:Z772),IF(MONTH(TODAY())=9,SUM(T772:AA772),IF(MONTH(TODAY())=10,SUM(T772:AB772),IF(MONTH(TODAY())=11,SUM(T772:AC772),IF(MONTH(TODAY())=12,SUM(T772:AD772),IF(MONTH(TODAY())=1,SUM(T772:AE772),T772)))))))))))</f>
        <v>0</v>
      </c>
      <c r="AT772" s="95">
        <f t="shared" ref="AT772:AT781" si="1071">SUM(IF(AW772&lt;1.15,AG772,1.15*T772),IF(AX772&lt;1.15,AH772,1.15*U772),IF(AY772&lt;1.15,AI772,1.15*V772),IF(AZ772&lt;1.15,AJ772,1.15*W772),IF(BA772&lt;1.15,AK772,1.15*X772),IF(BB772&lt;1.15,AL772,1.15*Y772),IF(BC772&lt;1.15,AM772,1.15*Z772),IF(BD772&lt;1.15,AN772,1.15*AA772),IF(BE772&lt;1.15,AO772,1.15*AB772),IF(BF772&lt;1.15,AP772,1.15*AC772),IF(BG772&lt;1.15,AQ772,1.15*AD772),IF(BH772&lt;1.15,AR772,1.15*AE772))</f>
        <v>8</v>
      </c>
      <c r="AU772" s="97">
        <f t="shared" ref="AU772:AU781" si="1072">SUM(AG772:AR772)</f>
        <v>40</v>
      </c>
      <c r="AW772" s="83">
        <f t="shared" ref="AW772:AW781" si="1073">AG772</f>
        <v>8</v>
      </c>
      <c r="AX772" s="83">
        <f t="shared" ref="AX772:AX781" si="1074">AH772</f>
        <v>8</v>
      </c>
      <c r="AY772" s="83">
        <f t="shared" ref="AY772:AY781" si="1075">AI772</f>
        <v>8</v>
      </c>
      <c r="AZ772" s="83">
        <f t="shared" ref="AZ772:AZ781" si="1076">AJ772</f>
        <v>8</v>
      </c>
      <c r="BA772" s="52"/>
      <c r="BB772" s="52"/>
      <c r="BC772" s="52"/>
      <c r="BD772" s="52"/>
      <c r="BE772" s="52"/>
      <c r="BF772" s="52"/>
      <c r="BG772" s="52"/>
      <c r="BH772" s="52"/>
      <c r="BI772" s="65" cm="1">
        <f t="array" ref="BI772">IFERROR(INDEX(AW772:BH772,1,MATCH(2,1/(AW772:BH772&lt;&gt;""))),"")</f>
        <v>8</v>
      </c>
      <c r="BJ772" s="68" cm="1">
        <f t="array" ref="BJ772">IF(BM772 = "", "",IFERROR(INDEX(AW772:BH772,1,MATCH(2,1/(AW772:BH772&lt;&gt;""),1)-1),""))</f>
        <v>8</v>
      </c>
      <c r="BK772" s="58">
        <f>IF((IF(AW772&gt;=115%,115%,AW772) + IF(AX772&gt;=115%,115%,AX772) + IF(AY772&gt;=115%,115%,AY772) + (IF(AZ772&gt;=115%,115%,AZ772) + IF(BA772&gt;=115%,115%,BA772) + IF(BB772&gt;=115%,115%,BB772) + IF(BC772&gt;=115%,115%,BC772) + IF(BD772&gt;=115%,115%,BD772) + IF(BE772&gt;=115%,115%,BE772) + IF(BF772&gt;=115%,115%,BF772) + IF(BG772&gt;=115%,115%,BG772) + IF(BH772&gt;=115%,115%,BH772)))/_xlfn.XLOOKUP(F772,Apuração!A:A,Apuração!B:B)&gt;=1.15,1.15,((IF(AZ772&gt;=115%,115%,AZ772) + IF(AX772&gt;=115%,115%,AX772) + IF(AY772&gt;=115%,115%,AY772) + (IF(AW772&gt;=115%,115%,AW772) + IF(BA772&gt;=115%,115%,BA772) + IF(BB772&gt;=115%,115%,BB772) + IF(BC772&gt;=115%,115%,BC772) + IF(BD772&gt;=115%,115%,BD772) + IF(BE772&gt;=115%,115%,BE772) + IF(BF772&gt;=115%,115%,BF772) + IF(BG772&gt;=115%,115%,BG772) + IF(BH772&gt;=115%,115%,BH772)))/_xlfn.XLOOKUP(F772,Apuração!A:A,Apuração!B:B)))</f>
        <v>0.3833333333333333</v>
      </c>
      <c r="BL772" s="58" cm="1">
        <f t="array" aca="1" ref="BL772" ca="1">IF(SUM(IFERROR(IF(INDEX(AW772:INDEX(AW772:BH772, MATCH(2, 1/(AW772:BH772&lt;&gt;""), 1)-1), ROW(INDIRECT("1:" &amp; MATCH(2, 1/(AW772:BH772&lt;&gt;""), 1)-1))) &gt;= 115%, 115%, INDEX(AW772:INDEX(AW772:BH772, MATCH(2, 1/(AW772:BH772&lt;&gt;""), 1)-1), ROW(INDIRECT("1:" &amp; MATCH(2, 1/(AW772:BH772&lt;&gt;""), 1)-1)))), 0))/_xlfn.XLOOKUP(F772,Apuração!A:A,Apuração!B:B)&gt;=1.15,1.15,SUM(IFERROR(IF(INDEX(AW772:INDEX(AW772:BH772, MATCH(2, 1/(AW772:BH772&lt;&gt;""), 1)-1), ROW(INDIRECT("1:" &amp; MATCH(2, 1/(AW772:BH772&lt;&gt;""), 1)-1))) &gt;= 115%, 115%, INDEX(AW772:INDEX(AW772:BH772, MATCH(2, 1/(AW772:BH772&lt;&gt;""), 1)-1), ROW(INDIRECT("1:" &amp; MATCH(2, 1/(AW772:BH772&lt;&gt;""), 1)-1)))), 0))/_xlfn.XLOOKUP(F772,Apuração!A:A,Apuração!B:B))</f>
        <v>0.28749999999999998</v>
      </c>
      <c r="BM772" s="55" cm="1">
        <f t="array" ref="BM772">IFERROR(
   INDEX($AW$1:$BH$1,
      _xlfn.AGGREGATE(14, 6, COLUMN($AW$1:$BH$1)/(AW772:BH772&lt;&gt;""), 2) - COLUMN($AW$1) + 1
   ),
"")</f>
        <v>46082</v>
      </c>
      <c r="BN772" s="55" cm="1">
        <f t="array" ref="BN772">IFERROR(INDEX($AW$1:$BH$1,1,MATCH(2,1/(AW772:BH772&lt;&gt;""))),"")</f>
        <v>46113</v>
      </c>
      <c r="BO772" s="53">
        <f ca="1">IFERROR(_xlfn.XLOOKUP(F772,Apuração!A:A,Apuração!C:C)/_xlfn.XLOOKUP(F772,Apuração!A:A,Apuração!B:B),0)</f>
        <v>0.41666666666666669</v>
      </c>
      <c r="BP772" s="53">
        <f ca="1">IFERROR(_xlfn.XLOOKUP(F772,Apuração!A:A,Apuração!D:D)/_xlfn.XLOOKUP(F772,Apuração!A:A,Apuração!B:B),0)</f>
        <v>0.33333333333333331</v>
      </c>
      <c r="BQ772" s="53">
        <f ca="1">IF(BK772&gt;=BO772,0,_xlfn.XLOOKUP(F772,Apuração!A:A,Apuração!B:B)*(BO772 + (1/_xlfn.XLOOKUP(F772,Apuração!A:A,Apuração!B:B)) - BK772))</f>
        <v>1.4000000000000004</v>
      </c>
      <c r="BR772" s="85">
        <f t="shared" ref="BR772:BR781" ca="1" si="1077">IF(BQ772=0,0,BQ772*Z772)</f>
        <v>0</v>
      </c>
      <c r="BS772" s="53">
        <f ca="1">IFERROR((_xlfn.XLOOKUP(F772,Apuração!A:A,Apuração!C:C)+1)/_xlfn.XLOOKUP(F772,Apuração!A:A,Apuração!B:B),0)</f>
        <v>0.5</v>
      </c>
    </row>
    <row r="773" spans="1:71" ht="25.95" hidden="1" customHeight="1" x14ac:dyDescent="0.3">
      <c r="A773" s="42" t="s">
        <v>134</v>
      </c>
      <c r="B773" s="4" t="s">
        <v>158</v>
      </c>
      <c r="C773" s="5" t="s">
        <v>97</v>
      </c>
      <c r="D773" s="5" t="s">
        <v>99</v>
      </c>
      <c r="E773" s="4" t="str" cm="1">
        <f t="array" ref="E773">_xlfn.IFS(
F773 = "A partir de Abril", "Aguardando Execução na Distribuidora",
A773 = "CAPACITAÇÃO", "Em execução no Corporativo",
TRUE, "Em Execução na Distribuidora"
)</f>
        <v>Em Execução na Distribuidora</v>
      </c>
      <c r="F773" s="4" t="str" cm="1">
        <f t="array" ref="F773">_xlfn.IFS(
AG773 &lt;&gt; "", "Jan-Dez/26",
AH773 &lt;&gt; "", "Fev-Dez/26",
AI773 &lt;&gt; "", "Mar-Dez/26", AJ773 &lt;&gt; "", "Abr-Dez/26",
TRUE, "A partir de Junho"
)</f>
        <v>Jan-Dez/26</v>
      </c>
      <c r="G773" s="4" t="s">
        <v>37</v>
      </c>
      <c r="H773" s="7" t="s">
        <v>54</v>
      </c>
      <c r="I773" s="8" t="s">
        <v>163</v>
      </c>
      <c r="J773" s="8" t="str" cm="1">
        <f t="array" aca="1" ref="J773" ca="1">_xlfn.LET(
  _xlpm.actual_value_month, INDEX(T773:AE773, MATCH(DATE(YEAR(TODAY()), MONTH(TODAY()), 1), $T$1:$AE$1, 0)),
  IF(_xlpm.actual_value_month &lt;&gt; "",_xlpm.actual_value_month &amp; " ações mensais", "")
)</f>
        <v/>
      </c>
      <c r="K773" s="8" t="str" cm="1">
        <f t="array" ref="K773">_xlfn.LET(
    _xlpm.sum_month, SUM(T773:AE773),
    IF(_xlpm.sum_month = 0, "", _xlpm.sum_month &amp; " DSS no ano")
)</f>
        <v/>
      </c>
      <c r="L773" s="9" t="s">
        <v>164</v>
      </c>
      <c r="M773" s="24">
        <v>1</v>
      </c>
      <c r="N773" s="5" t="s">
        <v>51</v>
      </c>
      <c r="O773" s="111" t="s">
        <v>52</v>
      </c>
      <c r="P773" s="10" t="s">
        <v>146</v>
      </c>
      <c r="Q773" s="10" t="s">
        <v>72</v>
      </c>
      <c r="R773" s="11" t="s">
        <v>147</v>
      </c>
      <c r="S773" s="11" t="s">
        <v>162</v>
      </c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G773" s="82">
        <v>8</v>
      </c>
      <c r="AH773" s="82">
        <v>8</v>
      </c>
      <c r="AI773" s="82">
        <v>8</v>
      </c>
      <c r="AJ773" s="82">
        <v>8</v>
      </c>
      <c r="AK773" s="71">
        <v>8</v>
      </c>
      <c r="AL773" s="71"/>
      <c r="AM773" s="71"/>
      <c r="AN773" s="71"/>
      <c r="AO773" s="71"/>
      <c r="AP773" s="71"/>
      <c r="AQ773" s="71"/>
      <c r="AR773" s="71"/>
      <c r="AS773" s="94">
        <f t="shared" ca="1" si="1070"/>
        <v>0</v>
      </c>
      <c r="AT773" s="95">
        <f t="shared" si="1071"/>
        <v>8</v>
      </c>
      <c r="AU773" s="97">
        <f t="shared" si="1072"/>
        <v>40</v>
      </c>
      <c r="AW773" s="83">
        <f t="shared" si="1073"/>
        <v>8</v>
      </c>
      <c r="AX773" s="83">
        <f t="shared" si="1074"/>
        <v>8</v>
      </c>
      <c r="AY773" s="83">
        <f t="shared" si="1075"/>
        <v>8</v>
      </c>
      <c r="AZ773" s="83">
        <f t="shared" si="1076"/>
        <v>8</v>
      </c>
      <c r="BA773" s="52"/>
      <c r="BB773" s="52"/>
      <c r="BC773" s="52"/>
      <c r="BD773" s="52"/>
      <c r="BE773" s="52"/>
      <c r="BF773" s="52"/>
      <c r="BG773" s="52"/>
      <c r="BH773" s="52"/>
      <c r="BI773" s="65" cm="1">
        <f t="array" ref="BI773">IFERROR(INDEX(AW773:BH773,1,MATCH(2,1/(AW773:BH773&lt;&gt;""))),"")</f>
        <v>8</v>
      </c>
      <c r="BJ773" s="68" cm="1">
        <f t="array" ref="BJ773">IF(BM773 = "", "",IFERROR(INDEX(AW773:BH773,1,MATCH(2,1/(AW773:BH773&lt;&gt;""),1)-1),""))</f>
        <v>8</v>
      </c>
      <c r="BK773" s="58">
        <f>IF((IF(AW773&gt;=115%,115%,AW773) + IF(AX773&gt;=115%,115%,AX773) + IF(AY773&gt;=115%,115%,AY773) + (IF(AZ773&gt;=115%,115%,AZ773) + IF(BA773&gt;=115%,115%,BA773) + IF(BB773&gt;=115%,115%,BB773) + IF(BC773&gt;=115%,115%,BC773) + IF(BD773&gt;=115%,115%,BD773) + IF(BE773&gt;=115%,115%,BE773) + IF(BF773&gt;=115%,115%,BF773) + IF(BG773&gt;=115%,115%,BG773) + IF(BH773&gt;=115%,115%,BH773)))/_xlfn.XLOOKUP(F773,Apuração!A:A,Apuração!B:B)&gt;=1.15,1.15,((IF(AZ773&gt;=115%,115%,AZ773) + IF(AX773&gt;=115%,115%,AX773) + IF(AY773&gt;=115%,115%,AY773) + (IF(AW773&gt;=115%,115%,AW773) + IF(BA773&gt;=115%,115%,BA773) + IF(BB773&gt;=115%,115%,BB773) + IF(BC773&gt;=115%,115%,BC773) + IF(BD773&gt;=115%,115%,BD773) + IF(BE773&gt;=115%,115%,BE773) + IF(BF773&gt;=115%,115%,BF773) + IF(BG773&gt;=115%,115%,BG773) + IF(BH773&gt;=115%,115%,BH773)))/_xlfn.XLOOKUP(F773,Apuração!A:A,Apuração!B:B)))</f>
        <v>0.3833333333333333</v>
      </c>
      <c r="BL773" s="58" cm="1">
        <f t="array" aca="1" ref="BL773" ca="1">IF(SUM(IFERROR(IF(INDEX(AW773:INDEX(AW773:BH773, MATCH(2, 1/(AW773:BH773&lt;&gt;""), 1)-1), ROW(INDIRECT("1:" &amp; MATCH(2, 1/(AW773:BH773&lt;&gt;""), 1)-1))) &gt;= 115%, 115%, INDEX(AW773:INDEX(AW773:BH773, MATCH(2, 1/(AW773:BH773&lt;&gt;""), 1)-1), ROW(INDIRECT("1:" &amp; MATCH(2, 1/(AW773:BH773&lt;&gt;""), 1)-1)))), 0))/_xlfn.XLOOKUP(F773,Apuração!A:A,Apuração!B:B)&gt;=1.15,1.15,SUM(IFERROR(IF(INDEX(AW773:INDEX(AW773:BH773, MATCH(2, 1/(AW773:BH773&lt;&gt;""), 1)-1), ROW(INDIRECT("1:" &amp; MATCH(2, 1/(AW773:BH773&lt;&gt;""), 1)-1))) &gt;= 115%, 115%, INDEX(AW773:INDEX(AW773:BH773, MATCH(2, 1/(AW773:BH773&lt;&gt;""), 1)-1), ROW(INDIRECT("1:" &amp; MATCH(2, 1/(AW773:BH773&lt;&gt;""), 1)-1)))), 0))/_xlfn.XLOOKUP(F773,Apuração!A:A,Apuração!B:B))</f>
        <v>0.28749999999999998</v>
      </c>
      <c r="BM773" s="55" cm="1">
        <f t="array" ref="BM773">IFERROR(
   INDEX($AW$1:$BH$1,
      _xlfn.AGGREGATE(14, 6, COLUMN($AW$1:$BH$1)/(AW773:BH773&lt;&gt;""), 2) - COLUMN($AW$1) + 1
   ),
"")</f>
        <v>46082</v>
      </c>
      <c r="BN773" s="55" cm="1">
        <f t="array" ref="BN773">IFERROR(INDEX($AW$1:$BH$1,1,MATCH(2,1/(AW773:BH773&lt;&gt;""))),"")</f>
        <v>46113</v>
      </c>
      <c r="BO773" s="53">
        <f ca="1">IFERROR(_xlfn.XLOOKUP(F773,Apuração!A:A,Apuração!C:C)/_xlfn.XLOOKUP(F773,Apuração!A:A,Apuração!B:B),0)</f>
        <v>0.41666666666666669</v>
      </c>
      <c r="BP773" s="53">
        <f ca="1">IFERROR(_xlfn.XLOOKUP(F773,Apuração!A:A,Apuração!D:D)/_xlfn.XLOOKUP(F773,Apuração!A:A,Apuração!B:B),0)</f>
        <v>0.33333333333333331</v>
      </c>
      <c r="BQ773" s="53">
        <f ca="1">IF(BK773&gt;=BO773,0,_xlfn.XLOOKUP(F773,Apuração!A:A,Apuração!B:B)*(BO773 + (1/_xlfn.XLOOKUP(F773,Apuração!A:A,Apuração!B:B)) - BK773))</f>
        <v>1.4000000000000004</v>
      </c>
      <c r="BR773" s="85">
        <f t="shared" ca="1" si="1077"/>
        <v>0</v>
      </c>
      <c r="BS773" s="53">
        <f ca="1">IFERROR((_xlfn.XLOOKUP(F773,Apuração!A:A,Apuração!C:C)+1)/_xlfn.XLOOKUP(F773,Apuração!A:A,Apuração!B:B),0)</f>
        <v>0.5</v>
      </c>
    </row>
    <row r="774" spans="1:71" ht="25.95" hidden="1" customHeight="1" x14ac:dyDescent="0.3">
      <c r="A774" s="42" t="s">
        <v>134</v>
      </c>
      <c r="B774" s="4" t="s">
        <v>158</v>
      </c>
      <c r="C774" s="5" t="s">
        <v>97</v>
      </c>
      <c r="D774" s="5" t="s">
        <v>100</v>
      </c>
      <c r="E774" s="4" t="str" cm="1">
        <f t="array" ref="E774">_xlfn.IFS(
F774 = "A partir de Abril", "Aguardando Execução na Distribuidora",
A774 = "CAPACITAÇÃO", "Em execução no Corporativo",
TRUE, "Em Execução na Distribuidora"
)</f>
        <v>Em Execução na Distribuidora</v>
      </c>
      <c r="F774" s="4" t="str" cm="1">
        <f t="array" ref="F774">_xlfn.IFS(
AG774 &lt;&gt; "", "Jan-Dez/26",
AH774 &lt;&gt; "", "Fev-Dez/26",
AI774 &lt;&gt; "", "Mar-Dez/26", AJ774 &lt;&gt; "", "Abr-Dez/26",
TRUE, "A partir de Junho"
)</f>
        <v>Jan-Dez/26</v>
      </c>
      <c r="G774" s="4" t="s">
        <v>37</v>
      </c>
      <c r="H774" s="7" t="s">
        <v>54</v>
      </c>
      <c r="I774" s="8" t="s">
        <v>163</v>
      </c>
      <c r="J774" s="8" t="str" cm="1">
        <f t="array" aca="1" ref="J774" ca="1">_xlfn.LET(
  _xlpm.actual_value_month, INDEX(T774:AE774, MATCH(DATE(YEAR(TODAY()), MONTH(TODAY()), 1), $T$1:$AE$1, 0)),
  IF(_xlpm.actual_value_month &lt;&gt; "",_xlpm.actual_value_month &amp; " ações mensais", "")
)</f>
        <v/>
      </c>
      <c r="K774" s="8" t="str" cm="1">
        <f t="array" ref="K774">_xlfn.LET(
    _xlpm.sum_month, SUM(T774:AE774),
    IF(_xlpm.sum_month = 0, "", _xlpm.sum_month &amp; " DSS no ano")
)</f>
        <v/>
      </c>
      <c r="L774" s="9" t="s">
        <v>164</v>
      </c>
      <c r="M774" s="24">
        <v>1</v>
      </c>
      <c r="N774" s="5" t="s">
        <v>51</v>
      </c>
      <c r="O774" s="111" t="s">
        <v>52</v>
      </c>
      <c r="P774" s="10" t="s">
        <v>146</v>
      </c>
      <c r="Q774" s="10" t="s">
        <v>72</v>
      </c>
      <c r="R774" s="11" t="s">
        <v>147</v>
      </c>
      <c r="S774" s="11" t="s">
        <v>162</v>
      </c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G774" s="82">
        <v>8</v>
      </c>
      <c r="AH774" s="82">
        <v>8</v>
      </c>
      <c r="AI774" s="82">
        <v>8</v>
      </c>
      <c r="AJ774" s="82">
        <v>8</v>
      </c>
      <c r="AK774" s="71">
        <v>8</v>
      </c>
      <c r="AL774" s="71"/>
      <c r="AM774" s="71"/>
      <c r="AN774" s="71"/>
      <c r="AO774" s="71"/>
      <c r="AP774" s="71"/>
      <c r="AQ774" s="71"/>
      <c r="AR774" s="71"/>
      <c r="AS774" s="94">
        <f t="shared" ca="1" si="1070"/>
        <v>0</v>
      </c>
      <c r="AT774" s="95">
        <f t="shared" si="1071"/>
        <v>8</v>
      </c>
      <c r="AU774" s="97">
        <f t="shared" si="1072"/>
        <v>40</v>
      </c>
      <c r="AW774" s="83">
        <f t="shared" si="1073"/>
        <v>8</v>
      </c>
      <c r="AX774" s="83">
        <f t="shared" si="1074"/>
        <v>8</v>
      </c>
      <c r="AY774" s="83">
        <f t="shared" si="1075"/>
        <v>8</v>
      </c>
      <c r="AZ774" s="83">
        <f t="shared" si="1076"/>
        <v>8</v>
      </c>
      <c r="BA774" s="52"/>
      <c r="BB774" s="52"/>
      <c r="BC774" s="52"/>
      <c r="BD774" s="52"/>
      <c r="BE774" s="52"/>
      <c r="BF774" s="52"/>
      <c r="BG774" s="52"/>
      <c r="BH774" s="52"/>
      <c r="BI774" s="65" cm="1">
        <f t="array" ref="BI774">IFERROR(INDEX(AW774:BH774,1,MATCH(2,1/(AW774:BH774&lt;&gt;""))),"")</f>
        <v>8</v>
      </c>
      <c r="BJ774" s="68" cm="1">
        <f t="array" ref="BJ774">IF(BM774 = "", "",IFERROR(INDEX(AW774:BH774,1,MATCH(2,1/(AW774:BH774&lt;&gt;""),1)-1),""))</f>
        <v>8</v>
      </c>
      <c r="BK774" s="58">
        <f>IF((IF(AW774&gt;=115%,115%,AW774) + IF(AX774&gt;=115%,115%,AX774) + IF(AY774&gt;=115%,115%,AY774) + (IF(AZ774&gt;=115%,115%,AZ774) + IF(BA774&gt;=115%,115%,BA774) + IF(BB774&gt;=115%,115%,BB774) + IF(BC774&gt;=115%,115%,BC774) + IF(BD774&gt;=115%,115%,BD774) + IF(BE774&gt;=115%,115%,BE774) + IF(BF774&gt;=115%,115%,BF774) + IF(BG774&gt;=115%,115%,BG774) + IF(BH774&gt;=115%,115%,BH774)))/_xlfn.XLOOKUP(F774,Apuração!A:A,Apuração!B:B)&gt;=1.15,1.15,((IF(AZ774&gt;=115%,115%,AZ774) + IF(AX774&gt;=115%,115%,AX774) + IF(AY774&gt;=115%,115%,AY774) + (IF(AW774&gt;=115%,115%,AW774) + IF(BA774&gt;=115%,115%,BA774) + IF(BB774&gt;=115%,115%,BB774) + IF(BC774&gt;=115%,115%,BC774) + IF(BD774&gt;=115%,115%,BD774) + IF(BE774&gt;=115%,115%,BE774) + IF(BF774&gt;=115%,115%,BF774) + IF(BG774&gt;=115%,115%,BG774) + IF(BH774&gt;=115%,115%,BH774)))/_xlfn.XLOOKUP(F774,Apuração!A:A,Apuração!B:B)))</f>
        <v>0.3833333333333333</v>
      </c>
      <c r="BL774" s="58" cm="1">
        <f t="array" aca="1" ref="BL774" ca="1">IF(SUM(IFERROR(IF(INDEX(AW774:INDEX(AW774:BH774, MATCH(2, 1/(AW774:BH774&lt;&gt;""), 1)-1), ROW(INDIRECT("1:" &amp; MATCH(2, 1/(AW774:BH774&lt;&gt;""), 1)-1))) &gt;= 115%, 115%, INDEX(AW774:INDEX(AW774:BH774, MATCH(2, 1/(AW774:BH774&lt;&gt;""), 1)-1), ROW(INDIRECT("1:" &amp; MATCH(2, 1/(AW774:BH774&lt;&gt;""), 1)-1)))), 0))/_xlfn.XLOOKUP(F774,Apuração!A:A,Apuração!B:B)&gt;=1.15,1.15,SUM(IFERROR(IF(INDEX(AW774:INDEX(AW774:BH774, MATCH(2, 1/(AW774:BH774&lt;&gt;""), 1)-1), ROW(INDIRECT("1:" &amp; MATCH(2, 1/(AW774:BH774&lt;&gt;""), 1)-1))) &gt;= 115%, 115%, INDEX(AW774:INDEX(AW774:BH774, MATCH(2, 1/(AW774:BH774&lt;&gt;""), 1)-1), ROW(INDIRECT("1:" &amp; MATCH(2, 1/(AW774:BH774&lt;&gt;""), 1)-1)))), 0))/_xlfn.XLOOKUP(F774,Apuração!A:A,Apuração!B:B))</f>
        <v>0.28749999999999998</v>
      </c>
      <c r="BM774" s="55" cm="1">
        <f t="array" ref="BM774">IFERROR(
   INDEX($AW$1:$BH$1,
      _xlfn.AGGREGATE(14, 6, COLUMN($AW$1:$BH$1)/(AW774:BH774&lt;&gt;""), 2) - COLUMN($AW$1) + 1
   ),
"")</f>
        <v>46082</v>
      </c>
      <c r="BN774" s="55" cm="1">
        <f t="array" ref="BN774">IFERROR(INDEX($AW$1:$BH$1,1,MATCH(2,1/(AW774:BH774&lt;&gt;""))),"")</f>
        <v>46113</v>
      </c>
      <c r="BO774" s="53">
        <f ca="1">IFERROR(_xlfn.XLOOKUP(F774,Apuração!A:A,Apuração!C:C)/_xlfn.XLOOKUP(F774,Apuração!A:A,Apuração!B:B),0)</f>
        <v>0.41666666666666669</v>
      </c>
      <c r="BP774" s="53">
        <f ca="1">IFERROR(_xlfn.XLOOKUP(F774,Apuração!A:A,Apuração!D:D)/_xlfn.XLOOKUP(F774,Apuração!A:A,Apuração!B:B),0)</f>
        <v>0.33333333333333331</v>
      </c>
      <c r="BQ774" s="53">
        <f ca="1">IF(BK774&gt;=BO774,0,_xlfn.XLOOKUP(F774,Apuração!A:A,Apuração!B:B)*(BO774 + (1/_xlfn.XLOOKUP(F774,Apuração!A:A,Apuração!B:B)) - BK774))</f>
        <v>1.4000000000000004</v>
      </c>
      <c r="BR774" s="85">
        <f t="shared" ca="1" si="1077"/>
        <v>0</v>
      </c>
      <c r="BS774" s="53">
        <f ca="1">IFERROR((_xlfn.XLOOKUP(F774,Apuração!A:A,Apuração!C:C)+1)/_xlfn.XLOOKUP(F774,Apuração!A:A,Apuração!B:B),0)</f>
        <v>0.5</v>
      </c>
    </row>
    <row r="775" spans="1:71" ht="25.95" hidden="1" customHeight="1" x14ac:dyDescent="0.3">
      <c r="A775" s="42" t="s">
        <v>134</v>
      </c>
      <c r="B775" s="4" t="s">
        <v>158</v>
      </c>
      <c r="C775" s="5" t="s">
        <v>97</v>
      </c>
      <c r="D775" s="5" t="s">
        <v>101</v>
      </c>
      <c r="E775" s="4" t="str" cm="1">
        <f t="array" ref="E775">_xlfn.IFS(
F775 = "A partir de Abril", "Aguardando Execução na Distribuidora",
A775 = "CAPACITAÇÃO", "Em execução no Corporativo",
TRUE, "Em Execução na Distribuidora"
)</f>
        <v>Em Execução na Distribuidora</v>
      </c>
      <c r="F775" s="4" t="str" cm="1">
        <f t="array" ref="F775">_xlfn.IFS(
AG775 &lt;&gt; "", "Jan-Dez/26",
AH775 &lt;&gt; "", "Fev-Dez/26",
AI775 &lt;&gt; "", "Mar-Dez/26", AJ775 &lt;&gt; "", "Abr-Dez/26",
TRUE, "A partir de Junho"
)</f>
        <v>Jan-Dez/26</v>
      </c>
      <c r="G775" s="4" t="s">
        <v>37</v>
      </c>
      <c r="H775" s="7" t="s">
        <v>54</v>
      </c>
      <c r="I775" s="8" t="s">
        <v>163</v>
      </c>
      <c r="J775" s="8" t="str" cm="1">
        <f t="array" aca="1" ref="J775" ca="1">_xlfn.LET(
  _xlpm.actual_value_month, INDEX(T775:AE775, MATCH(DATE(YEAR(TODAY()), MONTH(TODAY()), 1), $T$1:$AE$1, 0)),
  IF(_xlpm.actual_value_month &lt;&gt; "",_xlpm.actual_value_month &amp; " ações mensais", "")
)</f>
        <v/>
      </c>
      <c r="K775" s="8" t="str" cm="1">
        <f t="array" ref="K775">_xlfn.LET(
    _xlpm.sum_month, SUM(T775:AE775),
    IF(_xlpm.sum_month = 0, "", _xlpm.sum_month &amp; " DSS no ano")
)</f>
        <v/>
      </c>
      <c r="L775" s="9" t="s">
        <v>164</v>
      </c>
      <c r="M775" s="24">
        <v>1</v>
      </c>
      <c r="N775" s="5" t="s">
        <v>51</v>
      </c>
      <c r="O775" s="111" t="s">
        <v>52</v>
      </c>
      <c r="P775" s="10" t="s">
        <v>146</v>
      </c>
      <c r="Q775" s="10" t="s">
        <v>72</v>
      </c>
      <c r="R775" s="11" t="s">
        <v>147</v>
      </c>
      <c r="S775" s="11" t="s">
        <v>162</v>
      </c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G775" s="82">
        <v>8</v>
      </c>
      <c r="AH775" s="82">
        <v>8</v>
      </c>
      <c r="AI775" s="82">
        <v>8</v>
      </c>
      <c r="AJ775" s="82">
        <v>8</v>
      </c>
      <c r="AK775" s="71">
        <v>8</v>
      </c>
      <c r="AL775" s="71"/>
      <c r="AM775" s="71"/>
      <c r="AN775" s="71"/>
      <c r="AO775" s="71"/>
      <c r="AP775" s="71"/>
      <c r="AQ775" s="71"/>
      <c r="AR775" s="71"/>
      <c r="AS775" s="94">
        <f t="shared" ca="1" si="1070"/>
        <v>0</v>
      </c>
      <c r="AT775" s="95">
        <f t="shared" si="1071"/>
        <v>8</v>
      </c>
      <c r="AU775" s="97">
        <f t="shared" si="1072"/>
        <v>40</v>
      </c>
      <c r="AW775" s="83">
        <f t="shared" si="1073"/>
        <v>8</v>
      </c>
      <c r="AX775" s="83">
        <f t="shared" si="1074"/>
        <v>8</v>
      </c>
      <c r="AY775" s="83">
        <f t="shared" si="1075"/>
        <v>8</v>
      </c>
      <c r="AZ775" s="83">
        <f t="shared" si="1076"/>
        <v>8</v>
      </c>
      <c r="BA775" s="52"/>
      <c r="BB775" s="52"/>
      <c r="BC775" s="52"/>
      <c r="BD775" s="52"/>
      <c r="BE775" s="52"/>
      <c r="BF775" s="52"/>
      <c r="BG775" s="52"/>
      <c r="BH775" s="52"/>
      <c r="BI775" s="65" cm="1">
        <f t="array" ref="BI775">IFERROR(INDEX(AW775:BH775,1,MATCH(2,1/(AW775:BH775&lt;&gt;""))),"")</f>
        <v>8</v>
      </c>
      <c r="BJ775" s="68" cm="1">
        <f t="array" ref="BJ775">IF(BM775 = "", "",IFERROR(INDEX(AW775:BH775,1,MATCH(2,1/(AW775:BH775&lt;&gt;""),1)-1),""))</f>
        <v>8</v>
      </c>
      <c r="BK775" s="58">
        <f>IF((IF(AW775&gt;=115%,115%,AW775) + IF(AX775&gt;=115%,115%,AX775) + IF(AY775&gt;=115%,115%,AY775) + (IF(AZ775&gt;=115%,115%,AZ775) + IF(BA775&gt;=115%,115%,BA775) + IF(BB775&gt;=115%,115%,BB775) + IF(BC775&gt;=115%,115%,BC775) + IF(BD775&gt;=115%,115%,BD775) + IF(BE775&gt;=115%,115%,BE775) + IF(BF775&gt;=115%,115%,BF775) + IF(BG775&gt;=115%,115%,BG775) + IF(BH775&gt;=115%,115%,BH775)))/_xlfn.XLOOKUP(F775,Apuração!A:A,Apuração!B:B)&gt;=1.15,1.15,((IF(AZ775&gt;=115%,115%,AZ775) + IF(AX775&gt;=115%,115%,AX775) + IF(AY775&gt;=115%,115%,AY775) + (IF(AW775&gt;=115%,115%,AW775) + IF(BA775&gt;=115%,115%,BA775) + IF(BB775&gt;=115%,115%,BB775) + IF(BC775&gt;=115%,115%,BC775) + IF(BD775&gt;=115%,115%,BD775) + IF(BE775&gt;=115%,115%,BE775) + IF(BF775&gt;=115%,115%,BF775) + IF(BG775&gt;=115%,115%,BG775) + IF(BH775&gt;=115%,115%,BH775)))/_xlfn.XLOOKUP(F775,Apuração!A:A,Apuração!B:B)))</f>
        <v>0.3833333333333333</v>
      </c>
      <c r="BL775" s="58" cm="1">
        <f t="array" aca="1" ref="BL775" ca="1">IF(SUM(IFERROR(IF(INDEX(AW775:INDEX(AW775:BH775, MATCH(2, 1/(AW775:BH775&lt;&gt;""), 1)-1), ROW(INDIRECT("1:" &amp; MATCH(2, 1/(AW775:BH775&lt;&gt;""), 1)-1))) &gt;= 115%, 115%, INDEX(AW775:INDEX(AW775:BH775, MATCH(2, 1/(AW775:BH775&lt;&gt;""), 1)-1), ROW(INDIRECT("1:" &amp; MATCH(2, 1/(AW775:BH775&lt;&gt;""), 1)-1)))), 0))/_xlfn.XLOOKUP(F775,Apuração!A:A,Apuração!B:B)&gt;=1.15,1.15,SUM(IFERROR(IF(INDEX(AW775:INDEX(AW775:BH775, MATCH(2, 1/(AW775:BH775&lt;&gt;""), 1)-1), ROW(INDIRECT("1:" &amp; MATCH(2, 1/(AW775:BH775&lt;&gt;""), 1)-1))) &gt;= 115%, 115%, INDEX(AW775:INDEX(AW775:BH775, MATCH(2, 1/(AW775:BH775&lt;&gt;""), 1)-1), ROW(INDIRECT("1:" &amp; MATCH(2, 1/(AW775:BH775&lt;&gt;""), 1)-1)))), 0))/_xlfn.XLOOKUP(F775,Apuração!A:A,Apuração!B:B))</f>
        <v>0.28749999999999998</v>
      </c>
      <c r="BM775" s="55" cm="1">
        <f t="array" ref="BM775">IFERROR(
   INDEX($AW$1:$BH$1,
      _xlfn.AGGREGATE(14, 6, COLUMN($AW$1:$BH$1)/(AW775:BH775&lt;&gt;""), 2) - COLUMN($AW$1) + 1
   ),
"")</f>
        <v>46082</v>
      </c>
      <c r="BN775" s="55" cm="1">
        <f t="array" ref="BN775">IFERROR(INDEX($AW$1:$BH$1,1,MATCH(2,1/(AW775:BH775&lt;&gt;""))),"")</f>
        <v>46113</v>
      </c>
      <c r="BO775" s="53">
        <f ca="1">IFERROR(_xlfn.XLOOKUP(F775,Apuração!A:A,Apuração!C:C)/_xlfn.XLOOKUP(F775,Apuração!A:A,Apuração!B:B),0)</f>
        <v>0.41666666666666669</v>
      </c>
      <c r="BP775" s="53">
        <f ca="1">IFERROR(_xlfn.XLOOKUP(F775,Apuração!A:A,Apuração!D:D)/_xlfn.XLOOKUP(F775,Apuração!A:A,Apuração!B:B),0)</f>
        <v>0.33333333333333331</v>
      </c>
      <c r="BQ775" s="53">
        <f ca="1">IF(BK775&gt;=BO775,0,_xlfn.XLOOKUP(F775,Apuração!A:A,Apuração!B:B)*(BO775 + (1/_xlfn.XLOOKUP(F775,Apuração!A:A,Apuração!B:B)) - BK775))</f>
        <v>1.4000000000000004</v>
      </c>
      <c r="BR775" s="85">
        <f t="shared" ca="1" si="1077"/>
        <v>0</v>
      </c>
      <c r="BS775" s="53">
        <f ca="1">IFERROR((_xlfn.XLOOKUP(F775,Apuração!A:A,Apuração!C:C)+1)/_xlfn.XLOOKUP(F775,Apuração!A:A,Apuração!B:B),0)</f>
        <v>0.5</v>
      </c>
    </row>
    <row r="776" spans="1:71" ht="25.95" hidden="1" customHeight="1" x14ac:dyDescent="0.3">
      <c r="A776" s="42" t="s">
        <v>134</v>
      </c>
      <c r="B776" s="4" t="s">
        <v>158</v>
      </c>
      <c r="C776" s="5" t="s">
        <v>97</v>
      </c>
      <c r="D776" s="5" t="s">
        <v>102</v>
      </c>
      <c r="E776" s="4" t="str" cm="1">
        <f t="array" ref="E776">_xlfn.IFS(
F776 = "A partir de Abril", "Aguardando Execução na Distribuidora",
A776 = "CAPACITAÇÃO", "Em execução no Corporativo",
TRUE, "Em Execução na Distribuidora"
)</f>
        <v>Em Execução na Distribuidora</v>
      </c>
      <c r="F776" s="4" t="str" cm="1">
        <f t="array" ref="F776">_xlfn.IFS(
AG776 &lt;&gt; "", "Jan-Dez/26",
AH776 &lt;&gt; "", "Fev-Dez/26",
AI776 &lt;&gt; "", "Mar-Dez/26", AJ776 &lt;&gt; "", "Abr-Dez/26",
TRUE, "A partir de Junho"
)</f>
        <v>Jan-Dez/26</v>
      </c>
      <c r="G776" s="4" t="s">
        <v>37</v>
      </c>
      <c r="H776" s="7" t="s">
        <v>54</v>
      </c>
      <c r="I776" s="8" t="s">
        <v>163</v>
      </c>
      <c r="J776" s="8" t="str" cm="1">
        <f t="array" aca="1" ref="J776" ca="1">_xlfn.LET(
  _xlpm.actual_value_month, INDEX(T776:AE776, MATCH(DATE(YEAR(TODAY()), MONTH(TODAY()), 1), $T$1:$AE$1, 0)),
  IF(_xlpm.actual_value_month &lt;&gt; "",_xlpm.actual_value_month &amp; " ações mensais", "")
)</f>
        <v/>
      </c>
      <c r="K776" s="8" t="str" cm="1">
        <f t="array" ref="K776">_xlfn.LET(
    _xlpm.sum_month, SUM(T776:AE776),
    IF(_xlpm.sum_month = 0, "", _xlpm.sum_month &amp; " DSS no ano")
)</f>
        <v/>
      </c>
      <c r="L776" s="9" t="s">
        <v>164</v>
      </c>
      <c r="M776" s="24">
        <v>1</v>
      </c>
      <c r="N776" s="5" t="s">
        <v>51</v>
      </c>
      <c r="O776" s="111" t="s">
        <v>52</v>
      </c>
      <c r="P776" s="10" t="s">
        <v>146</v>
      </c>
      <c r="Q776" s="10" t="s">
        <v>72</v>
      </c>
      <c r="R776" s="11" t="s">
        <v>147</v>
      </c>
      <c r="S776" s="11" t="s">
        <v>162</v>
      </c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G776" s="82">
        <v>8</v>
      </c>
      <c r="AH776" s="82">
        <v>8</v>
      </c>
      <c r="AI776" s="82">
        <v>8</v>
      </c>
      <c r="AJ776" s="82">
        <v>8</v>
      </c>
      <c r="AK776" s="71">
        <v>8</v>
      </c>
      <c r="AL776" s="71"/>
      <c r="AM776" s="71"/>
      <c r="AN776" s="71"/>
      <c r="AO776" s="71"/>
      <c r="AP776" s="71"/>
      <c r="AQ776" s="71"/>
      <c r="AR776" s="71"/>
      <c r="AS776" s="94">
        <f t="shared" ca="1" si="1070"/>
        <v>0</v>
      </c>
      <c r="AT776" s="95">
        <f t="shared" si="1071"/>
        <v>8</v>
      </c>
      <c r="AU776" s="97">
        <f t="shared" si="1072"/>
        <v>40</v>
      </c>
      <c r="AW776" s="83">
        <f t="shared" si="1073"/>
        <v>8</v>
      </c>
      <c r="AX776" s="83">
        <f t="shared" si="1074"/>
        <v>8</v>
      </c>
      <c r="AY776" s="83">
        <f t="shared" si="1075"/>
        <v>8</v>
      </c>
      <c r="AZ776" s="83">
        <f t="shared" si="1076"/>
        <v>8</v>
      </c>
      <c r="BA776" s="52"/>
      <c r="BB776" s="52"/>
      <c r="BC776" s="52"/>
      <c r="BD776" s="52"/>
      <c r="BE776" s="52"/>
      <c r="BF776" s="52"/>
      <c r="BG776" s="52"/>
      <c r="BH776" s="52"/>
      <c r="BI776" s="65" cm="1">
        <f t="array" ref="BI776">IFERROR(INDEX(AW776:BH776,1,MATCH(2,1/(AW776:BH776&lt;&gt;""))),"")</f>
        <v>8</v>
      </c>
      <c r="BJ776" s="68" cm="1">
        <f t="array" ref="BJ776">IF(BM776 = "", "",IFERROR(INDEX(AW776:BH776,1,MATCH(2,1/(AW776:BH776&lt;&gt;""),1)-1),""))</f>
        <v>8</v>
      </c>
      <c r="BK776" s="58">
        <f>IF((IF(AW776&gt;=115%,115%,AW776) + IF(AX776&gt;=115%,115%,AX776) + IF(AY776&gt;=115%,115%,AY776) + (IF(AZ776&gt;=115%,115%,AZ776) + IF(BA776&gt;=115%,115%,BA776) + IF(BB776&gt;=115%,115%,BB776) + IF(BC776&gt;=115%,115%,BC776) + IF(BD776&gt;=115%,115%,BD776) + IF(BE776&gt;=115%,115%,BE776) + IF(BF776&gt;=115%,115%,BF776) + IF(BG776&gt;=115%,115%,BG776) + IF(BH776&gt;=115%,115%,BH776)))/_xlfn.XLOOKUP(F776,Apuração!A:A,Apuração!B:B)&gt;=1.15,1.15,((IF(AZ776&gt;=115%,115%,AZ776) + IF(AX776&gt;=115%,115%,AX776) + IF(AY776&gt;=115%,115%,AY776) + (IF(AW776&gt;=115%,115%,AW776) + IF(BA776&gt;=115%,115%,BA776) + IF(BB776&gt;=115%,115%,BB776) + IF(BC776&gt;=115%,115%,BC776) + IF(BD776&gt;=115%,115%,BD776) + IF(BE776&gt;=115%,115%,BE776) + IF(BF776&gt;=115%,115%,BF776) + IF(BG776&gt;=115%,115%,BG776) + IF(BH776&gt;=115%,115%,BH776)))/_xlfn.XLOOKUP(F776,Apuração!A:A,Apuração!B:B)))</f>
        <v>0.3833333333333333</v>
      </c>
      <c r="BL776" s="58" cm="1">
        <f t="array" aca="1" ref="BL776" ca="1">IF(SUM(IFERROR(IF(INDEX(AW776:INDEX(AW776:BH776, MATCH(2, 1/(AW776:BH776&lt;&gt;""), 1)-1), ROW(INDIRECT("1:" &amp; MATCH(2, 1/(AW776:BH776&lt;&gt;""), 1)-1))) &gt;= 115%, 115%, INDEX(AW776:INDEX(AW776:BH776, MATCH(2, 1/(AW776:BH776&lt;&gt;""), 1)-1), ROW(INDIRECT("1:" &amp; MATCH(2, 1/(AW776:BH776&lt;&gt;""), 1)-1)))), 0))/_xlfn.XLOOKUP(F776,Apuração!A:A,Apuração!B:B)&gt;=1.15,1.15,SUM(IFERROR(IF(INDEX(AW776:INDEX(AW776:BH776, MATCH(2, 1/(AW776:BH776&lt;&gt;""), 1)-1), ROW(INDIRECT("1:" &amp; MATCH(2, 1/(AW776:BH776&lt;&gt;""), 1)-1))) &gt;= 115%, 115%, INDEX(AW776:INDEX(AW776:BH776, MATCH(2, 1/(AW776:BH776&lt;&gt;""), 1)-1), ROW(INDIRECT("1:" &amp; MATCH(2, 1/(AW776:BH776&lt;&gt;""), 1)-1)))), 0))/_xlfn.XLOOKUP(F776,Apuração!A:A,Apuração!B:B))</f>
        <v>0.28749999999999998</v>
      </c>
      <c r="BM776" s="55" cm="1">
        <f t="array" ref="BM776">IFERROR(
   INDEX($AW$1:$BH$1,
      _xlfn.AGGREGATE(14, 6, COLUMN($AW$1:$BH$1)/(AW776:BH776&lt;&gt;""), 2) - COLUMN($AW$1) + 1
   ),
"")</f>
        <v>46082</v>
      </c>
      <c r="BN776" s="55" cm="1">
        <f t="array" ref="BN776">IFERROR(INDEX($AW$1:$BH$1,1,MATCH(2,1/(AW776:BH776&lt;&gt;""))),"")</f>
        <v>46113</v>
      </c>
      <c r="BO776" s="53">
        <f ca="1">IFERROR(_xlfn.XLOOKUP(F776,Apuração!A:A,Apuração!C:C)/_xlfn.XLOOKUP(F776,Apuração!A:A,Apuração!B:B),0)</f>
        <v>0.41666666666666669</v>
      </c>
      <c r="BP776" s="53">
        <f ca="1">IFERROR(_xlfn.XLOOKUP(F776,Apuração!A:A,Apuração!D:D)/_xlfn.XLOOKUP(F776,Apuração!A:A,Apuração!B:B),0)</f>
        <v>0.33333333333333331</v>
      </c>
      <c r="BQ776" s="53">
        <f ca="1">IF(BK776&gt;=BO776,0,_xlfn.XLOOKUP(F776,Apuração!A:A,Apuração!B:B)*(BO776 + (1/_xlfn.XLOOKUP(F776,Apuração!A:A,Apuração!B:B)) - BK776))</f>
        <v>1.4000000000000004</v>
      </c>
      <c r="BR776" s="85">
        <f t="shared" ca="1" si="1077"/>
        <v>0</v>
      </c>
      <c r="BS776" s="53">
        <f ca="1">IFERROR((_xlfn.XLOOKUP(F776,Apuração!A:A,Apuração!C:C)+1)/_xlfn.XLOOKUP(F776,Apuração!A:A,Apuração!B:B),0)</f>
        <v>0.5</v>
      </c>
    </row>
    <row r="777" spans="1:71" ht="25.95" hidden="1" customHeight="1" x14ac:dyDescent="0.3">
      <c r="A777" s="42" t="s">
        <v>134</v>
      </c>
      <c r="B777" s="4" t="s">
        <v>158</v>
      </c>
      <c r="C777" s="5" t="s">
        <v>97</v>
      </c>
      <c r="D777" s="5" t="s">
        <v>103</v>
      </c>
      <c r="E777" s="4" t="str" cm="1">
        <f t="array" ref="E777">_xlfn.IFS(
F777 = "A partir de Abril", "Aguardando Execução na Distribuidora",
A777 = "CAPACITAÇÃO", "Em execução no Corporativo",
TRUE, "Em Execução na Distribuidora"
)</f>
        <v>Em Execução na Distribuidora</v>
      </c>
      <c r="F777" s="4" t="str" cm="1">
        <f t="array" ref="F777">_xlfn.IFS(
AG777 &lt;&gt; "", "Jan-Dez/26",
AH777 &lt;&gt; "", "Fev-Dez/26",
AI777 &lt;&gt; "", "Mar-Dez/26", AJ777 &lt;&gt; "", "Abr-Dez/26",
TRUE, "A partir de Junho"
)</f>
        <v>Jan-Dez/26</v>
      </c>
      <c r="G777" s="4" t="s">
        <v>37</v>
      </c>
      <c r="H777" s="7" t="s">
        <v>54</v>
      </c>
      <c r="I777" s="8" t="s">
        <v>163</v>
      </c>
      <c r="J777" s="8" t="str" cm="1">
        <f t="array" aca="1" ref="J777" ca="1">_xlfn.LET(
  _xlpm.actual_value_month, INDEX(T777:AE777, MATCH(DATE(YEAR(TODAY()), MONTH(TODAY()), 1), $T$1:$AE$1, 0)),
  IF(_xlpm.actual_value_month &lt;&gt; "",_xlpm.actual_value_month &amp; " ações mensais", "")
)</f>
        <v/>
      </c>
      <c r="K777" s="8" t="str" cm="1">
        <f t="array" ref="K777">_xlfn.LET(
    _xlpm.sum_month, SUM(T777:AE777),
    IF(_xlpm.sum_month = 0, "", _xlpm.sum_month &amp; " DSS no ano")
)</f>
        <v/>
      </c>
      <c r="L777" s="9" t="s">
        <v>164</v>
      </c>
      <c r="M777" s="24">
        <v>1</v>
      </c>
      <c r="N777" s="5" t="s">
        <v>51</v>
      </c>
      <c r="O777" s="111" t="s">
        <v>52</v>
      </c>
      <c r="P777" s="10" t="s">
        <v>146</v>
      </c>
      <c r="Q777" s="10" t="s">
        <v>72</v>
      </c>
      <c r="R777" s="11" t="s">
        <v>147</v>
      </c>
      <c r="S777" s="11" t="s">
        <v>162</v>
      </c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G777" s="82">
        <v>8</v>
      </c>
      <c r="AH777" s="82">
        <v>8</v>
      </c>
      <c r="AI777" s="82">
        <v>8</v>
      </c>
      <c r="AJ777" s="82">
        <v>8</v>
      </c>
      <c r="AK777" s="71">
        <v>8</v>
      </c>
      <c r="AL777" s="71"/>
      <c r="AM777" s="71"/>
      <c r="AN777" s="71"/>
      <c r="AO777" s="71"/>
      <c r="AP777" s="71"/>
      <c r="AQ777" s="71"/>
      <c r="AR777" s="71"/>
      <c r="AS777" s="94">
        <f t="shared" ca="1" si="1070"/>
        <v>0</v>
      </c>
      <c r="AT777" s="95">
        <f t="shared" si="1071"/>
        <v>8</v>
      </c>
      <c r="AU777" s="97">
        <f t="shared" si="1072"/>
        <v>40</v>
      </c>
      <c r="AW777" s="83">
        <f t="shared" si="1073"/>
        <v>8</v>
      </c>
      <c r="AX777" s="83">
        <f t="shared" si="1074"/>
        <v>8</v>
      </c>
      <c r="AY777" s="83">
        <f t="shared" si="1075"/>
        <v>8</v>
      </c>
      <c r="AZ777" s="83">
        <f t="shared" si="1076"/>
        <v>8</v>
      </c>
      <c r="BA777" s="52"/>
      <c r="BB777" s="52"/>
      <c r="BC777" s="52"/>
      <c r="BD777" s="52"/>
      <c r="BE777" s="52"/>
      <c r="BF777" s="52"/>
      <c r="BG777" s="52"/>
      <c r="BH777" s="52"/>
      <c r="BI777" s="65" cm="1">
        <f t="array" ref="BI777">IFERROR(INDEX(AW777:BH777,1,MATCH(2,1/(AW777:BH777&lt;&gt;""))),"")</f>
        <v>8</v>
      </c>
      <c r="BJ777" s="68" cm="1">
        <f t="array" ref="BJ777">IF(BM777 = "", "",IFERROR(INDEX(AW777:BH777,1,MATCH(2,1/(AW777:BH777&lt;&gt;""),1)-1),""))</f>
        <v>8</v>
      </c>
      <c r="BK777" s="58">
        <f>IF((IF(AW777&gt;=115%,115%,AW777) + IF(AX777&gt;=115%,115%,AX777) + IF(AY777&gt;=115%,115%,AY777) + (IF(AZ777&gt;=115%,115%,AZ777) + IF(BA777&gt;=115%,115%,BA777) + IF(BB777&gt;=115%,115%,BB777) + IF(BC777&gt;=115%,115%,BC777) + IF(BD777&gt;=115%,115%,BD777) + IF(BE777&gt;=115%,115%,BE777) + IF(BF777&gt;=115%,115%,BF777) + IF(BG777&gt;=115%,115%,BG777) + IF(BH777&gt;=115%,115%,BH777)))/_xlfn.XLOOKUP(F777,Apuração!A:A,Apuração!B:B)&gt;=1.15,1.15,((IF(AZ777&gt;=115%,115%,AZ777) + IF(AX777&gt;=115%,115%,AX777) + IF(AY777&gt;=115%,115%,AY777) + (IF(AW777&gt;=115%,115%,AW777) + IF(BA777&gt;=115%,115%,BA777) + IF(BB777&gt;=115%,115%,BB777) + IF(BC777&gt;=115%,115%,BC777) + IF(BD777&gt;=115%,115%,BD777) + IF(BE777&gt;=115%,115%,BE777) + IF(BF777&gt;=115%,115%,BF777) + IF(BG777&gt;=115%,115%,BG777) + IF(BH777&gt;=115%,115%,BH777)))/_xlfn.XLOOKUP(F777,Apuração!A:A,Apuração!B:B)))</f>
        <v>0.3833333333333333</v>
      </c>
      <c r="BL777" s="58" cm="1">
        <f t="array" aca="1" ref="BL777" ca="1">IF(SUM(IFERROR(IF(INDEX(AW777:INDEX(AW777:BH777, MATCH(2, 1/(AW777:BH777&lt;&gt;""), 1)-1), ROW(INDIRECT("1:" &amp; MATCH(2, 1/(AW777:BH777&lt;&gt;""), 1)-1))) &gt;= 115%, 115%, INDEX(AW777:INDEX(AW777:BH777, MATCH(2, 1/(AW777:BH777&lt;&gt;""), 1)-1), ROW(INDIRECT("1:" &amp; MATCH(2, 1/(AW777:BH777&lt;&gt;""), 1)-1)))), 0))/_xlfn.XLOOKUP(F777,Apuração!A:A,Apuração!B:B)&gt;=1.15,1.15,SUM(IFERROR(IF(INDEX(AW777:INDEX(AW777:BH777, MATCH(2, 1/(AW777:BH777&lt;&gt;""), 1)-1), ROW(INDIRECT("1:" &amp; MATCH(2, 1/(AW777:BH777&lt;&gt;""), 1)-1))) &gt;= 115%, 115%, INDEX(AW777:INDEX(AW777:BH777, MATCH(2, 1/(AW777:BH777&lt;&gt;""), 1)-1), ROW(INDIRECT("1:" &amp; MATCH(2, 1/(AW777:BH777&lt;&gt;""), 1)-1)))), 0))/_xlfn.XLOOKUP(F777,Apuração!A:A,Apuração!B:B))</f>
        <v>0.28749999999999998</v>
      </c>
      <c r="BM777" s="55" cm="1">
        <f t="array" ref="BM777">IFERROR(
   INDEX($AW$1:$BH$1,
      _xlfn.AGGREGATE(14, 6, COLUMN($AW$1:$BH$1)/(AW777:BH777&lt;&gt;""), 2) - COLUMN($AW$1) + 1
   ),
"")</f>
        <v>46082</v>
      </c>
      <c r="BN777" s="55" cm="1">
        <f t="array" ref="BN777">IFERROR(INDEX($AW$1:$BH$1,1,MATCH(2,1/(AW777:BH777&lt;&gt;""))),"")</f>
        <v>46113</v>
      </c>
      <c r="BO777" s="53">
        <f ca="1">IFERROR(_xlfn.XLOOKUP(F777,Apuração!A:A,Apuração!C:C)/_xlfn.XLOOKUP(F777,Apuração!A:A,Apuração!B:B),0)</f>
        <v>0.41666666666666669</v>
      </c>
      <c r="BP777" s="53">
        <f ca="1">IFERROR(_xlfn.XLOOKUP(F777,Apuração!A:A,Apuração!D:D)/_xlfn.XLOOKUP(F777,Apuração!A:A,Apuração!B:B),0)</f>
        <v>0.33333333333333331</v>
      </c>
      <c r="BQ777" s="53">
        <f ca="1">IF(BK777&gt;=BO777,0,_xlfn.XLOOKUP(F777,Apuração!A:A,Apuração!B:B)*(BO777 + (1/_xlfn.XLOOKUP(F777,Apuração!A:A,Apuração!B:B)) - BK777))</f>
        <v>1.4000000000000004</v>
      </c>
      <c r="BR777" s="85">
        <f t="shared" ca="1" si="1077"/>
        <v>0</v>
      </c>
      <c r="BS777" s="53">
        <f ca="1">IFERROR((_xlfn.XLOOKUP(F777,Apuração!A:A,Apuração!C:C)+1)/_xlfn.XLOOKUP(F777,Apuração!A:A,Apuração!B:B),0)</f>
        <v>0.5</v>
      </c>
    </row>
    <row r="778" spans="1:71" ht="25.95" hidden="1" customHeight="1" x14ac:dyDescent="0.3">
      <c r="A778" s="42" t="s">
        <v>134</v>
      </c>
      <c r="B778" s="4" t="s">
        <v>158</v>
      </c>
      <c r="C778" s="5" t="s">
        <v>97</v>
      </c>
      <c r="D778" s="5" t="s">
        <v>104</v>
      </c>
      <c r="E778" s="4" t="str" cm="1">
        <f t="array" ref="E778">_xlfn.IFS(
F778 = "A partir de Abril", "Aguardando Execução na Distribuidora",
A778 = "CAPACITAÇÃO", "Em execução no Corporativo",
TRUE, "Em Execução na Distribuidora"
)</f>
        <v>Em Execução na Distribuidora</v>
      </c>
      <c r="F778" s="4" t="str" cm="1">
        <f t="array" ref="F778">_xlfn.IFS(
AG778 &lt;&gt; "", "Jan-Dez/26",
AH778 &lt;&gt; "", "Fev-Dez/26",
AI778 &lt;&gt; "", "Mar-Dez/26", AJ778 &lt;&gt; "", "Abr-Dez/26",
TRUE, "A partir de Junho"
)</f>
        <v>Jan-Dez/26</v>
      </c>
      <c r="G778" s="4" t="s">
        <v>37</v>
      </c>
      <c r="H778" s="7" t="s">
        <v>54</v>
      </c>
      <c r="I778" s="8" t="s">
        <v>163</v>
      </c>
      <c r="J778" s="8" t="str" cm="1">
        <f t="array" aca="1" ref="J778" ca="1">_xlfn.LET(
  _xlpm.actual_value_month, INDEX(T778:AE778, MATCH(DATE(YEAR(TODAY()), MONTH(TODAY()), 1), $T$1:$AE$1, 0)),
  IF(_xlpm.actual_value_month &lt;&gt; "",_xlpm.actual_value_month &amp; " ações mensais", "")
)</f>
        <v/>
      </c>
      <c r="K778" s="8" t="str" cm="1">
        <f t="array" ref="K778">_xlfn.LET(
    _xlpm.sum_month, SUM(T778:AE778),
    IF(_xlpm.sum_month = 0, "", _xlpm.sum_month &amp; " DSS no ano")
)</f>
        <v/>
      </c>
      <c r="L778" s="9" t="s">
        <v>164</v>
      </c>
      <c r="M778" s="24">
        <v>1</v>
      </c>
      <c r="N778" s="5" t="s">
        <v>51</v>
      </c>
      <c r="O778" s="111" t="s">
        <v>52</v>
      </c>
      <c r="P778" s="10" t="s">
        <v>146</v>
      </c>
      <c r="Q778" s="10" t="s">
        <v>72</v>
      </c>
      <c r="R778" s="11" t="s">
        <v>147</v>
      </c>
      <c r="S778" s="11" t="s">
        <v>162</v>
      </c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G778" s="82">
        <v>8</v>
      </c>
      <c r="AH778" s="82">
        <v>8</v>
      </c>
      <c r="AI778" s="82">
        <v>8</v>
      </c>
      <c r="AJ778" s="82">
        <v>8</v>
      </c>
      <c r="AK778" s="71">
        <v>8</v>
      </c>
      <c r="AL778" s="71"/>
      <c r="AM778" s="71"/>
      <c r="AN778" s="71"/>
      <c r="AO778" s="71"/>
      <c r="AP778" s="71"/>
      <c r="AQ778" s="71"/>
      <c r="AR778" s="71"/>
      <c r="AS778" s="94">
        <f t="shared" ca="1" si="1070"/>
        <v>0</v>
      </c>
      <c r="AT778" s="95">
        <f t="shared" si="1071"/>
        <v>8</v>
      </c>
      <c r="AU778" s="97">
        <f t="shared" si="1072"/>
        <v>40</v>
      </c>
      <c r="AW778" s="83">
        <f t="shared" si="1073"/>
        <v>8</v>
      </c>
      <c r="AX778" s="83">
        <f t="shared" si="1074"/>
        <v>8</v>
      </c>
      <c r="AY778" s="83">
        <f t="shared" si="1075"/>
        <v>8</v>
      </c>
      <c r="AZ778" s="83">
        <f t="shared" si="1076"/>
        <v>8</v>
      </c>
      <c r="BA778" s="52"/>
      <c r="BB778" s="52"/>
      <c r="BC778" s="52"/>
      <c r="BD778" s="52"/>
      <c r="BE778" s="52"/>
      <c r="BF778" s="52"/>
      <c r="BG778" s="52"/>
      <c r="BH778" s="52"/>
      <c r="BI778" s="65" cm="1">
        <f t="array" ref="BI778">IFERROR(INDEX(AW778:BH778,1,MATCH(2,1/(AW778:BH778&lt;&gt;""))),"")</f>
        <v>8</v>
      </c>
      <c r="BJ778" s="68" cm="1">
        <f t="array" ref="BJ778">IF(BM778 = "", "",IFERROR(INDEX(AW778:BH778,1,MATCH(2,1/(AW778:BH778&lt;&gt;""),1)-1),""))</f>
        <v>8</v>
      </c>
      <c r="BK778" s="58">
        <f>IF((IF(AW778&gt;=115%,115%,AW778) + IF(AX778&gt;=115%,115%,AX778) + IF(AY778&gt;=115%,115%,AY778) + (IF(AZ778&gt;=115%,115%,AZ778) + IF(BA778&gt;=115%,115%,BA778) + IF(BB778&gt;=115%,115%,BB778) + IF(BC778&gt;=115%,115%,BC778) + IF(BD778&gt;=115%,115%,BD778) + IF(BE778&gt;=115%,115%,BE778) + IF(BF778&gt;=115%,115%,BF778) + IF(BG778&gt;=115%,115%,BG778) + IF(BH778&gt;=115%,115%,BH778)))/_xlfn.XLOOKUP(F778,Apuração!A:A,Apuração!B:B)&gt;=1.15,1.15,((IF(AZ778&gt;=115%,115%,AZ778) + IF(AX778&gt;=115%,115%,AX778) + IF(AY778&gt;=115%,115%,AY778) + (IF(AW778&gt;=115%,115%,AW778) + IF(BA778&gt;=115%,115%,BA778) + IF(BB778&gt;=115%,115%,BB778) + IF(BC778&gt;=115%,115%,BC778) + IF(BD778&gt;=115%,115%,BD778) + IF(BE778&gt;=115%,115%,BE778) + IF(BF778&gt;=115%,115%,BF778) + IF(BG778&gt;=115%,115%,BG778) + IF(BH778&gt;=115%,115%,BH778)))/_xlfn.XLOOKUP(F778,Apuração!A:A,Apuração!B:B)))</f>
        <v>0.3833333333333333</v>
      </c>
      <c r="BL778" s="58" cm="1">
        <f t="array" aca="1" ref="BL778" ca="1">IF(SUM(IFERROR(IF(INDEX(AW778:INDEX(AW778:BH778, MATCH(2, 1/(AW778:BH778&lt;&gt;""), 1)-1), ROW(INDIRECT("1:" &amp; MATCH(2, 1/(AW778:BH778&lt;&gt;""), 1)-1))) &gt;= 115%, 115%, INDEX(AW778:INDEX(AW778:BH778, MATCH(2, 1/(AW778:BH778&lt;&gt;""), 1)-1), ROW(INDIRECT("1:" &amp; MATCH(2, 1/(AW778:BH778&lt;&gt;""), 1)-1)))), 0))/_xlfn.XLOOKUP(F778,Apuração!A:A,Apuração!B:B)&gt;=1.15,1.15,SUM(IFERROR(IF(INDEX(AW778:INDEX(AW778:BH778, MATCH(2, 1/(AW778:BH778&lt;&gt;""), 1)-1), ROW(INDIRECT("1:" &amp; MATCH(2, 1/(AW778:BH778&lt;&gt;""), 1)-1))) &gt;= 115%, 115%, INDEX(AW778:INDEX(AW778:BH778, MATCH(2, 1/(AW778:BH778&lt;&gt;""), 1)-1), ROW(INDIRECT("1:" &amp; MATCH(2, 1/(AW778:BH778&lt;&gt;""), 1)-1)))), 0))/_xlfn.XLOOKUP(F778,Apuração!A:A,Apuração!B:B))</f>
        <v>0.28749999999999998</v>
      </c>
      <c r="BM778" s="55" cm="1">
        <f t="array" ref="BM778">IFERROR(
   INDEX($AW$1:$BH$1,
      _xlfn.AGGREGATE(14, 6, COLUMN($AW$1:$BH$1)/(AW778:BH778&lt;&gt;""), 2) - COLUMN($AW$1) + 1
   ),
"")</f>
        <v>46082</v>
      </c>
      <c r="BN778" s="55" cm="1">
        <f t="array" ref="BN778">IFERROR(INDEX($AW$1:$BH$1,1,MATCH(2,1/(AW778:BH778&lt;&gt;""))),"")</f>
        <v>46113</v>
      </c>
      <c r="BO778" s="53">
        <f ca="1">IFERROR(_xlfn.XLOOKUP(F778,Apuração!A:A,Apuração!C:C)/_xlfn.XLOOKUP(F778,Apuração!A:A,Apuração!B:B),0)</f>
        <v>0.41666666666666669</v>
      </c>
      <c r="BP778" s="53">
        <f ca="1">IFERROR(_xlfn.XLOOKUP(F778,Apuração!A:A,Apuração!D:D)/_xlfn.XLOOKUP(F778,Apuração!A:A,Apuração!B:B),0)</f>
        <v>0.33333333333333331</v>
      </c>
      <c r="BQ778" s="53">
        <f ca="1">IF(BK778&gt;=BO778,0,_xlfn.XLOOKUP(F778,Apuração!A:A,Apuração!B:B)*(BO778 + (1/_xlfn.XLOOKUP(F778,Apuração!A:A,Apuração!B:B)) - BK778))</f>
        <v>1.4000000000000004</v>
      </c>
      <c r="BR778" s="85">
        <f t="shared" ca="1" si="1077"/>
        <v>0</v>
      </c>
      <c r="BS778" s="53">
        <f ca="1">IFERROR((_xlfn.XLOOKUP(F778,Apuração!A:A,Apuração!C:C)+1)/_xlfn.XLOOKUP(F778,Apuração!A:A,Apuração!B:B),0)</f>
        <v>0.5</v>
      </c>
    </row>
    <row r="779" spans="1:71" ht="25.95" hidden="1" customHeight="1" x14ac:dyDescent="0.3">
      <c r="A779" s="42" t="s">
        <v>134</v>
      </c>
      <c r="B779" s="4" t="s">
        <v>158</v>
      </c>
      <c r="C779" s="5" t="s">
        <v>97</v>
      </c>
      <c r="D779" s="5" t="s">
        <v>105</v>
      </c>
      <c r="E779" s="4" t="str" cm="1">
        <f t="array" ref="E779">_xlfn.IFS(
F779 = "A partir de Abril", "Aguardando Execução na Distribuidora",
A779 = "CAPACITAÇÃO", "Em execução no Corporativo",
TRUE, "Em Execução na Distribuidora"
)</f>
        <v>Em Execução na Distribuidora</v>
      </c>
      <c r="F779" s="4" t="str" cm="1">
        <f t="array" ref="F779">_xlfn.IFS(
AG779 &lt;&gt; "", "Jan-Dez/26",
AH779 &lt;&gt; "", "Fev-Dez/26",
AI779 &lt;&gt; "", "Mar-Dez/26", AJ779 &lt;&gt; "", "Abr-Dez/26",
TRUE, "A partir de Junho"
)</f>
        <v>Jan-Dez/26</v>
      </c>
      <c r="G779" s="4" t="s">
        <v>37</v>
      </c>
      <c r="H779" s="7" t="s">
        <v>54</v>
      </c>
      <c r="I779" s="8" t="s">
        <v>163</v>
      </c>
      <c r="J779" s="8" t="str" cm="1">
        <f t="array" aca="1" ref="J779" ca="1">_xlfn.LET(
  _xlpm.actual_value_month, INDEX(T779:AE779, MATCH(DATE(YEAR(TODAY()), MONTH(TODAY()), 1), $T$1:$AE$1, 0)),
  IF(_xlpm.actual_value_month &lt;&gt; "",_xlpm.actual_value_month &amp; " ações mensais", "")
)</f>
        <v/>
      </c>
      <c r="K779" s="8" t="str" cm="1">
        <f t="array" ref="K779">_xlfn.LET(
    _xlpm.sum_month, SUM(T779:AE779),
    IF(_xlpm.sum_month = 0, "", _xlpm.sum_month &amp; " DSS no ano")
)</f>
        <v/>
      </c>
      <c r="L779" s="9" t="s">
        <v>164</v>
      </c>
      <c r="M779" s="24">
        <v>1</v>
      </c>
      <c r="N779" s="5" t="s">
        <v>51</v>
      </c>
      <c r="O779" s="111" t="s">
        <v>52</v>
      </c>
      <c r="P779" s="10" t="s">
        <v>146</v>
      </c>
      <c r="Q779" s="10" t="s">
        <v>72</v>
      </c>
      <c r="R779" s="11" t="s">
        <v>147</v>
      </c>
      <c r="S779" s="11" t="s">
        <v>162</v>
      </c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G779" s="82">
        <v>8</v>
      </c>
      <c r="AH779" s="82">
        <v>8</v>
      </c>
      <c r="AI779" s="82">
        <v>8</v>
      </c>
      <c r="AJ779" s="82">
        <v>8</v>
      </c>
      <c r="AK779" s="71">
        <v>8</v>
      </c>
      <c r="AL779" s="71"/>
      <c r="AM779" s="71"/>
      <c r="AN779" s="71"/>
      <c r="AO779" s="71"/>
      <c r="AP779" s="71"/>
      <c r="AQ779" s="71"/>
      <c r="AR779" s="71"/>
      <c r="AS779" s="94">
        <f t="shared" ca="1" si="1070"/>
        <v>0</v>
      </c>
      <c r="AT779" s="95">
        <f t="shared" si="1071"/>
        <v>8</v>
      </c>
      <c r="AU779" s="97">
        <f t="shared" si="1072"/>
        <v>40</v>
      </c>
      <c r="AW779" s="83">
        <f t="shared" si="1073"/>
        <v>8</v>
      </c>
      <c r="AX779" s="83">
        <f t="shared" si="1074"/>
        <v>8</v>
      </c>
      <c r="AY779" s="83">
        <f t="shared" si="1075"/>
        <v>8</v>
      </c>
      <c r="AZ779" s="83">
        <f t="shared" si="1076"/>
        <v>8</v>
      </c>
      <c r="BA779" s="52"/>
      <c r="BB779" s="52"/>
      <c r="BC779" s="52"/>
      <c r="BD779" s="52"/>
      <c r="BE779" s="52"/>
      <c r="BF779" s="52"/>
      <c r="BG779" s="52"/>
      <c r="BH779" s="52"/>
      <c r="BI779" s="65" cm="1">
        <f t="array" ref="BI779">IFERROR(INDEX(AW779:BH779,1,MATCH(2,1/(AW779:BH779&lt;&gt;""))),"")</f>
        <v>8</v>
      </c>
      <c r="BJ779" s="68" cm="1">
        <f t="array" ref="BJ779">IF(BM779 = "", "",IFERROR(INDEX(AW779:BH779,1,MATCH(2,1/(AW779:BH779&lt;&gt;""),1)-1),""))</f>
        <v>8</v>
      </c>
      <c r="BK779" s="58">
        <f>IF((IF(AW779&gt;=115%,115%,AW779) + IF(AX779&gt;=115%,115%,AX779) + IF(AY779&gt;=115%,115%,AY779) + (IF(AZ779&gt;=115%,115%,AZ779) + IF(BA779&gt;=115%,115%,BA779) + IF(BB779&gt;=115%,115%,BB779) + IF(BC779&gt;=115%,115%,BC779) + IF(BD779&gt;=115%,115%,BD779) + IF(BE779&gt;=115%,115%,BE779) + IF(BF779&gt;=115%,115%,BF779) + IF(BG779&gt;=115%,115%,BG779) + IF(BH779&gt;=115%,115%,BH779)))/_xlfn.XLOOKUP(F779,Apuração!A:A,Apuração!B:B)&gt;=1.15,1.15,((IF(AZ779&gt;=115%,115%,AZ779) + IF(AX779&gt;=115%,115%,AX779) + IF(AY779&gt;=115%,115%,AY779) + (IF(AW779&gt;=115%,115%,AW779) + IF(BA779&gt;=115%,115%,BA779) + IF(BB779&gt;=115%,115%,BB779) + IF(BC779&gt;=115%,115%,BC779) + IF(BD779&gt;=115%,115%,BD779) + IF(BE779&gt;=115%,115%,BE779) + IF(BF779&gt;=115%,115%,BF779) + IF(BG779&gt;=115%,115%,BG779) + IF(BH779&gt;=115%,115%,BH779)))/_xlfn.XLOOKUP(F779,Apuração!A:A,Apuração!B:B)))</f>
        <v>0.3833333333333333</v>
      </c>
      <c r="BL779" s="58" cm="1">
        <f t="array" aca="1" ref="BL779" ca="1">IF(SUM(IFERROR(IF(INDEX(AW779:INDEX(AW779:BH779, MATCH(2, 1/(AW779:BH779&lt;&gt;""), 1)-1), ROW(INDIRECT("1:" &amp; MATCH(2, 1/(AW779:BH779&lt;&gt;""), 1)-1))) &gt;= 115%, 115%, INDEX(AW779:INDEX(AW779:BH779, MATCH(2, 1/(AW779:BH779&lt;&gt;""), 1)-1), ROW(INDIRECT("1:" &amp; MATCH(2, 1/(AW779:BH779&lt;&gt;""), 1)-1)))), 0))/_xlfn.XLOOKUP(F779,Apuração!A:A,Apuração!B:B)&gt;=1.15,1.15,SUM(IFERROR(IF(INDEX(AW779:INDEX(AW779:BH779, MATCH(2, 1/(AW779:BH779&lt;&gt;""), 1)-1), ROW(INDIRECT("1:" &amp; MATCH(2, 1/(AW779:BH779&lt;&gt;""), 1)-1))) &gt;= 115%, 115%, INDEX(AW779:INDEX(AW779:BH779, MATCH(2, 1/(AW779:BH779&lt;&gt;""), 1)-1), ROW(INDIRECT("1:" &amp; MATCH(2, 1/(AW779:BH779&lt;&gt;""), 1)-1)))), 0))/_xlfn.XLOOKUP(F779,Apuração!A:A,Apuração!B:B))</f>
        <v>0.28749999999999998</v>
      </c>
      <c r="BM779" s="55" cm="1">
        <f t="array" ref="BM779">IFERROR(
   INDEX($AW$1:$BH$1,
      _xlfn.AGGREGATE(14, 6, COLUMN($AW$1:$BH$1)/(AW779:BH779&lt;&gt;""), 2) - COLUMN($AW$1) + 1
   ),
"")</f>
        <v>46082</v>
      </c>
      <c r="BN779" s="55" cm="1">
        <f t="array" ref="BN779">IFERROR(INDEX($AW$1:$BH$1,1,MATCH(2,1/(AW779:BH779&lt;&gt;""))),"")</f>
        <v>46113</v>
      </c>
      <c r="BO779" s="53">
        <f ca="1">IFERROR(_xlfn.XLOOKUP(F779,Apuração!A:A,Apuração!C:C)/_xlfn.XLOOKUP(F779,Apuração!A:A,Apuração!B:B),0)</f>
        <v>0.41666666666666669</v>
      </c>
      <c r="BP779" s="53">
        <f ca="1">IFERROR(_xlfn.XLOOKUP(F779,Apuração!A:A,Apuração!D:D)/_xlfn.XLOOKUP(F779,Apuração!A:A,Apuração!B:B),0)</f>
        <v>0.33333333333333331</v>
      </c>
      <c r="BQ779" s="53">
        <f ca="1">IF(BK779&gt;=BO779,0,_xlfn.XLOOKUP(F779,Apuração!A:A,Apuração!B:B)*(BO779 + (1/_xlfn.XLOOKUP(F779,Apuração!A:A,Apuração!B:B)) - BK779))</f>
        <v>1.4000000000000004</v>
      </c>
      <c r="BR779" s="85">
        <f t="shared" ca="1" si="1077"/>
        <v>0</v>
      </c>
      <c r="BS779" s="53">
        <f ca="1">IFERROR((_xlfn.XLOOKUP(F779,Apuração!A:A,Apuração!C:C)+1)/_xlfn.XLOOKUP(F779,Apuração!A:A,Apuração!B:B),0)</f>
        <v>0.5</v>
      </c>
    </row>
    <row r="780" spans="1:71" ht="25.95" hidden="1" customHeight="1" x14ac:dyDescent="0.3">
      <c r="A780" s="42" t="s">
        <v>134</v>
      </c>
      <c r="B780" s="4" t="s">
        <v>158</v>
      </c>
      <c r="C780" s="5" t="s">
        <v>97</v>
      </c>
      <c r="D780" s="5" t="s">
        <v>106</v>
      </c>
      <c r="E780" s="4" t="str" cm="1">
        <f t="array" ref="E780">_xlfn.IFS(
F780 = "A partir de Abril", "Aguardando Execução na Distribuidora",
A780 = "CAPACITAÇÃO", "Em execução no Corporativo",
TRUE, "Em Execução na Distribuidora"
)</f>
        <v>Em Execução na Distribuidora</v>
      </c>
      <c r="F780" s="4" t="str" cm="1">
        <f t="array" ref="F780">_xlfn.IFS(
AG780 &lt;&gt; "", "Jan-Dez/26",
AH780 &lt;&gt; "", "Fev-Dez/26",
AI780 &lt;&gt; "", "Mar-Dez/26", AJ780 &lt;&gt; "", "Abr-Dez/26",
TRUE, "A partir de Junho"
)</f>
        <v>Jan-Dez/26</v>
      </c>
      <c r="G780" s="4" t="s">
        <v>37</v>
      </c>
      <c r="H780" s="7" t="s">
        <v>54</v>
      </c>
      <c r="I780" s="8" t="s">
        <v>163</v>
      </c>
      <c r="J780" s="8" t="str" cm="1">
        <f t="array" aca="1" ref="J780" ca="1">_xlfn.LET(
  _xlpm.actual_value_month, INDEX(T780:AE780, MATCH(DATE(YEAR(TODAY()), MONTH(TODAY()), 1), $T$1:$AE$1, 0)),
  IF(_xlpm.actual_value_month &lt;&gt; "",_xlpm.actual_value_month &amp; " ações mensais", "")
)</f>
        <v/>
      </c>
      <c r="K780" s="8" t="str" cm="1">
        <f t="array" ref="K780">_xlfn.LET(
    _xlpm.sum_month, SUM(T780:AE780),
    IF(_xlpm.sum_month = 0, "", _xlpm.sum_month &amp; " DSS no ano")
)</f>
        <v/>
      </c>
      <c r="L780" s="9" t="s">
        <v>164</v>
      </c>
      <c r="M780" s="24">
        <v>1</v>
      </c>
      <c r="N780" s="5" t="s">
        <v>51</v>
      </c>
      <c r="O780" s="111" t="s">
        <v>52</v>
      </c>
      <c r="P780" s="10" t="s">
        <v>146</v>
      </c>
      <c r="Q780" s="10" t="s">
        <v>72</v>
      </c>
      <c r="R780" s="11" t="s">
        <v>147</v>
      </c>
      <c r="S780" s="11" t="s">
        <v>162</v>
      </c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G780" s="82">
        <v>8</v>
      </c>
      <c r="AH780" s="82">
        <v>8</v>
      </c>
      <c r="AI780" s="82">
        <v>8</v>
      </c>
      <c r="AJ780" s="82">
        <v>8</v>
      </c>
      <c r="AK780" s="71">
        <v>8</v>
      </c>
      <c r="AL780" s="71"/>
      <c r="AM780" s="71"/>
      <c r="AN780" s="71"/>
      <c r="AO780" s="71"/>
      <c r="AP780" s="71"/>
      <c r="AQ780" s="71"/>
      <c r="AR780" s="71"/>
      <c r="AS780" s="94">
        <f t="shared" ca="1" si="1070"/>
        <v>0</v>
      </c>
      <c r="AT780" s="95">
        <f t="shared" si="1071"/>
        <v>8</v>
      </c>
      <c r="AU780" s="97">
        <f t="shared" si="1072"/>
        <v>40</v>
      </c>
      <c r="AW780" s="83">
        <f t="shared" si="1073"/>
        <v>8</v>
      </c>
      <c r="AX780" s="83">
        <f t="shared" si="1074"/>
        <v>8</v>
      </c>
      <c r="AY780" s="83">
        <f t="shared" si="1075"/>
        <v>8</v>
      </c>
      <c r="AZ780" s="83">
        <f t="shared" si="1076"/>
        <v>8</v>
      </c>
      <c r="BA780" s="52"/>
      <c r="BB780" s="52"/>
      <c r="BC780" s="52"/>
      <c r="BD780" s="52"/>
      <c r="BE780" s="52"/>
      <c r="BF780" s="52"/>
      <c r="BG780" s="52"/>
      <c r="BH780" s="52"/>
      <c r="BI780" s="65" cm="1">
        <f t="array" ref="BI780">IFERROR(INDEX(AW780:BH780,1,MATCH(2,1/(AW780:BH780&lt;&gt;""))),"")</f>
        <v>8</v>
      </c>
      <c r="BJ780" s="68" cm="1">
        <f t="array" ref="BJ780">IF(BM780 = "", "",IFERROR(INDEX(AW780:BH780,1,MATCH(2,1/(AW780:BH780&lt;&gt;""),1)-1),""))</f>
        <v>8</v>
      </c>
      <c r="BK780" s="58">
        <f>IF((IF(AW780&gt;=115%,115%,AW780) + IF(AX780&gt;=115%,115%,AX780) + IF(AY780&gt;=115%,115%,AY780) + (IF(AZ780&gt;=115%,115%,AZ780) + IF(BA780&gt;=115%,115%,BA780) + IF(BB780&gt;=115%,115%,BB780) + IF(BC780&gt;=115%,115%,BC780) + IF(BD780&gt;=115%,115%,BD780) + IF(BE780&gt;=115%,115%,BE780) + IF(BF780&gt;=115%,115%,BF780) + IF(BG780&gt;=115%,115%,BG780) + IF(BH780&gt;=115%,115%,BH780)))/_xlfn.XLOOKUP(F780,Apuração!A:A,Apuração!B:B)&gt;=1.15,1.15,((IF(AZ780&gt;=115%,115%,AZ780) + IF(AX780&gt;=115%,115%,AX780) + IF(AY780&gt;=115%,115%,AY780) + (IF(AW780&gt;=115%,115%,AW780) + IF(BA780&gt;=115%,115%,BA780) + IF(BB780&gt;=115%,115%,BB780) + IF(BC780&gt;=115%,115%,BC780) + IF(BD780&gt;=115%,115%,BD780) + IF(BE780&gt;=115%,115%,BE780) + IF(BF780&gt;=115%,115%,BF780) + IF(BG780&gt;=115%,115%,BG780) + IF(BH780&gt;=115%,115%,BH780)))/_xlfn.XLOOKUP(F780,Apuração!A:A,Apuração!B:B)))</f>
        <v>0.3833333333333333</v>
      </c>
      <c r="BL780" s="58" cm="1">
        <f t="array" aca="1" ref="BL780" ca="1">IF(SUM(IFERROR(IF(INDEX(AW780:INDEX(AW780:BH780, MATCH(2, 1/(AW780:BH780&lt;&gt;""), 1)-1), ROW(INDIRECT("1:" &amp; MATCH(2, 1/(AW780:BH780&lt;&gt;""), 1)-1))) &gt;= 115%, 115%, INDEX(AW780:INDEX(AW780:BH780, MATCH(2, 1/(AW780:BH780&lt;&gt;""), 1)-1), ROW(INDIRECT("1:" &amp; MATCH(2, 1/(AW780:BH780&lt;&gt;""), 1)-1)))), 0))/_xlfn.XLOOKUP(F780,Apuração!A:A,Apuração!B:B)&gt;=1.15,1.15,SUM(IFERROR(IF(INDEX(AW780:INDEX(AW780:BH780, MATCH(2, 1/(AW780:BH780&lt;&gt;""), 1)-1), ROW(INDIRECT("1:" &amp; MATCH(2, 1/(AW780:BH780&lt;&gt;""), 1)-1))) &gt;= 115%, 115%, INDEX(AW780:INDEX(AW780:BH780, MATCH(2, 1/(AW780:BH780&lt;&gt;""), 1)-1), ROW(INDIRECT("1:" &amp; MATCH(2, 1/(AW780:BH780&lt;&gt;""), 1)-1)))), 0))/_xlfn.XLOOKUP(F780,Apuração!A:A,Apuração!B:B))</f>
        <v>0.28749999999999998</v>
      </c>
      <c r="BM780" s="55" cm="1">
        <f t="array" ref="BM780">IFERROR(
   INDEX($AW$1:$BH$1,
      _xlfn.AGGREGATE(14, 6, COLUMN($AW$1:$BH$1)/(AW780:BH780&lt;&gt;""), 2) - COLUMN($AW$1) + 1
   ),
"")</f>
        <v>46082</v>
      </c>
      <c r="BN780" s="55" cm="1">
        <f t="array" ref="BN780">IFERROR(INDEX($AW$1:$BH$1,1,MATCH(2,1/(AW780:BH780&lt;&gt;""))),"")</f>
        <v>46113</v>
      </c>
      <c r="BO780" s="53">
        <f ca="1">IFERROR(_xlfn.XLOOKUP(F780,Apuração!A:A,Apuração!C:C)/_xlfn.XLOOKUP(F780,Apuração!A:A,Apuração!B:B),0)</f>
        <v>0.41666666666666669</v>
      </c>
      <c r="BP780" s="53">
        <f ca="1">IFERROR(_xlfn.XLOOKUP(F780,Apuração!A:A,Apuração!D:D)/_xlfn.XLOOKUP(F780,Apuração!A:A,Apuração!B:B),0)</f>
        <v>0.33333333333333331</v>
      </c>
      <c r="BQ780" s="53">
        <f ca="1">IF(BK780&gt;=BO780,0,_xlfn.XLOOKUP(F780,Apuração!A:A,Apuração!B:B)*(BO780 + (1/_xlfn.XLOOKUP(F780,Apuração!A:A,Apuração!B:B)) - BK780))</f>
        <v>1.4000000000000004</v>
      </c>
      <c r="BR780" s="85">
        <f t="shared" ca="1" si="1077"/>
        <v>0</v>
      </c>
      <c r="BS780" s="53">
        <f ca="1">IFERROR((_xlfn.XLOOKUP(F780,Apuração!A:A,Apuração!C:C)+1)/_xlfn.XLOOKUP(F780,Apuração!A:A,Apuração!B:B),0)</f>
        <v>0.5</v>
      </c>
    </row>
    <row r="781" spans="1:71" ht="25.95" hidden="1" customHeight="1" x14ac:dyDescent="0.3">
      <c r="A781" s="42" t="s">
        <v>134</v>
      </c>
      <c r="B781" s="4" t="s">
        <v>158</v>
      </c>
      <c r="C781" s="5" t="s">
        <v>97</v>
      </c>
      <c r="D781" s="5" t="s">
        <v>107</v>
      </c>
      <c r="E781" s="4" t="str" cm="1">
        <f t="array" ref="E781">_xlfn.IFS(
F781 = "A partir de Abril", "Aguardando Execução na Distribuidora",
A781 = "CAPACITAÇÃO", "Em execução no Corporativo",
TRUE, "Em Execução na Distribuidora"
)</f>
        <v>Em Execução na Distribuidora</v>
      </c>
      <c r="F781" s="4" t="str" cm="1">
        <f t="array" ref="F781">_xlfn.IFS(
AG781 &lt;&gt; "", "Jan-Dez/26",
AH781 &lt;&gt; "", "Fev-Dez/26",
AI781 &lt;&gt; "", "Mar-Dez/26", AJ781 &lt;&gt; "", "Abr-Dez/26",
TRUE, "A partir de Junho"
)</f>
        <v>Jan-Dez/26</v>
      </c>
      <c r="G781" s="4" t="s">
        <v>37</v>
      </c>
      <c r="H781" s="7" t="s">
        <v>54</v>
      </c>
      <c r="I781" s="8" t="s">
        <v>163</v>
      </c>
      <c r="J781" s="8" t="str" cm="1">
        <f t="array" aca="1" ref="J781" ca="1">_xlfn.LET(
  _xlpm.actual_value_month, INDEX(T781:AE781, MATCH(DATE(YEAR(TODAY()), MONTH(TODAY()), 1), $T$1:$AE$1, 0)),
  IF(_xlpm.actual_value_month &lt;&gt; "",_xlpm.actual_value_month &amp; " ações mensais", "")
)</f>
        <v/>
      </c>
      <c r="K781" s="8" t="str" cm="1">
        <f t="array" ref="K781">_xlfn.LET(
    _xlpm.sum_month, SUM(T781:AE781),
    IF(_xlpm.sum_month = 0, "", _xlpm.sum_month &amp; " DSS no ano")
)</f>
        <v/>
      </c>
      <c r="L781" s="9" t="s">
        <v>164</v>
      </c>
      <c r="M781" s="24">
        <v>1</v>
      </c>
      <c r="N781" s="5" t="s">
        <v>51</v>
      </c>
      <c r="O781" s="111" t="s">
        <v>52</v>
      </c>
      <c r="P781" s="10" t="s">
        <v>146</v>
      </c>
      <c r="Q781" s="10" t="s">
        <v>72</v>
      </c>
      <c r="R781" s="11" t="s">
        <v>147</v>
      </c>
      <c r="S781" s="11" t="s">
        <v>162</v>
      </c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G781" s="82">
        <v>8</v>
      </c>
      <c r="AH781" s="82">
        <v>8</v>
      </c>
      <c r="AI781" s="82">
        <v>8</v>
      </c>
      <c r="AJ781" s="82">
        <v>8</v>
      </c>
      <c r="AK781" s="71">
        <v>8</v>
      </c>
      <c r="AL781" s="71"/>
      <c r="AM781" s="71"/>
      <c r="AN781" s="71"/>
      <c r="AO781" s="71"/>
      <c r="AP781" s="71"/>
      <c r="AQ781" s="71"/>
      <c r="AR781" s="71"/>
      <c r="AS781" s="94">
        <f t="shared" ca="1" si="1070"/>
        <v>0</v>
      </c>
      <c r="AT781" s="95">
        <f t="shared" si="1071"/>
        <v>8</v>
      </c>
      <c r="AU781" s="97">
        <f t="shared" si="1072"/>
        <v>40</v>
      </c>
      <c r="AW781" s="83">
        <f t="shared" si="1073"/>
        <v>8</v>
      </c>
      <c r="AX781" s="83">
        <f t="shared" si="1074"/>
        <v>8</v>
      </c>
      <c r="AY781" s="83">
        <f t="shared" si="1075"/>
        <v>8</v>
      </c>
      <c r="AZ781" s="83">
        <f t="shared" si="1076"/>
        <v>8</v>
      </c>
      <c r="BA781" s="52"/>
      <c r="BB781" s="52"/>
      <c r="BC781" s="52"/>
      <c r="BD781" s="52"/>
      <c r="BE781" s="52"/>
      <c r="BF781" s="52"/>
      <c r="BG781" s="52"/>
      <c r="BH781" s="52"/>
      <c r="BI781" s="65" cm="1">
        <f t="array" ref="BI781">IFERROR(INDEX(AW781:BH781,1,MATCH(2,1/(AW781:BH781&lt;&gt;""))),"")</f>
        <v>8</v>
      </c>
      <c r="BJ781" s="68" cm="1">
        <f t="array" ref="BJ781">IF(BM781 = "", "",IFERROR(INDEX(AW781:BH781,1,MATCH(2,1/(AW781:BH781&lt;&gt;""),1)-1),""))</f>
        <v>8</v>
      </c>
      <c r="BK781" s="58">
        <f>IF((IF(AW781&gt;=115%,115%,AW781) + IF(AX781&gt;=115%,115%,AX781) + IF(AY781&gt;=115%,115%,AY781) + (IF(AZ781&gt;=115%,115%,AZ781) + IF(BA781&gt;=115%,115%,BA781) + IF(BB781&gt;=115%,115%,BB781) + IF(BC781&gt;=115%,115%,BC781) + IF(BD781&gt;=115%,115%,BD781) + IF(BE781&gt;=115%,115%,BE781) + IF(BF781&gt;=115%,115%,BF781) + IF(BG781&gt;=115%,115%,BG781) + IF(BH781&gt;=115%,115%,BH781)))/_xlfn.XLOOKUP(F781,Apuração!A:A,Apuração!B:B)&gt;=1.15,1.15,((IF(AZ781&gt;=115%,115%,AZ781) + IF(AX781&gt;=115%,115%,AX781) + IF(AY781&gt;=115%,115%,AY781) + (IF(AW781&gt;=115%,115%,AW781) + IF(BA781&gt;=115%,115%,BA781) + IF(BB781&gt;=115%,115%,BB781) + IF(BC781&gt;=115%,115%,BC781) + IF(BD781&gt;=115%,115%,BD781) + IF(BE781&gt;=115%,115%,BE781) + IF(BF781&gt;=115%,115%,BF781) + IF(BG781&gt;=115%,115%,BG781) + IF(BH781&gt;=115%,115%,BH781)))/_xlfn.XLOOKUP(F781,Apuração!A:A,Apuração!B:B)))</f>
        <v>0.3833333333333333</v>
      </c>
      <c r="BL781" s="58" cm="1">
        <f t="array" aca="1" ref="BL781" ca="1">IF(SUM(IFERROR(IF(INDEX(AW781:INDEX(AW781:BH781, MATCH(2, 1/(AW781:BH781&lt;&gt;""), 1)-1), ROW(INDIRECT("1:" &amp; MATCH(2, 1/(AW781:BH781&lt;&gt;""), 1)-1))) &gt;= 115%, 115%, INDEX(AW781:INDEX(AW781:BH781, MATCH(2, 1/(AW781:BH781&lt;&gt;""), 1)-1), ROW(INDIRECT("1:" &amp; MATCH(2, 1/(AW781:BH781&lt;&gt;""), 1)-1)))), 0))/_xlfn.XLOOKUP(F781,Apuração!A:A,Apuração!B:B)&gt;=1.15,1.15,SUM(IFERROR(IF(INDEX(AW781:INDEX(AW781:BH781, MATCH(2, 1/(AW781:BH781&lt;&gt;""), 1)-1), ROW(INDIRECT("1:" &amp; MATCH(2, 1/(AW781:BH781&lt;&gt;""), 1)-1))) &gt;= 115%, 115%, INDEX(AW781:INDEX(AW781:BH781, MATCH(2, 1/(AW781:BH781&lt;&gt;""), 1)-1), ROW(INDIRECT("1:" &amp; MATCH(2, 1/(AW781:BH781&lt;&gt;""), 1)-1)))), 0))/_xlfn.XLOOKUP(F781,Apuração!A:A,Apuração!B:B))</f>
        <v>0.28749999999999998</v>
      </c>
      <c r="BM781" s="55" cm="1">
        <f t="array" ref="BM781">IFERROR(
   INDEX($AW$1:$BH$1,
      _xlfn.AGGREGATE(14, 6, COLUMN($AW$1:$BH$1)/(AW781:BH781&lt;&gt;""), 2) - COLUMN($AW$1) + 1
   ),
"")</f>
        <v>46082</v>
      </c>
      <c r="BN781" s="55" cm="1">
        <f t="array" ref="BN781">IFERROR(INDEX($AW$1:$BH$1,1,MATCH(2,1/(AW781:BH781&lt;&gt;""))),"")</f>
        <v>46113</v>
      </c>
      <c r="BO781" s="53">
        <f ca="1">IFERROR(_xlfn.XLOOKUP(F781,Apuração!A:A,Apuração!C:C)/_xlfn.XLOOKUP(F781,Apuração!A:A,Apuração!B:B),0)</f>
        <v>0.41666666666666669</v>
      </c>
      <c r="BP781" s="53">
        <f ca="1">IFERROR(_xlfn.XLOOKUP(F781,Apuração!A:A,Apuração!D:D)/_xlfn.XLOOKUP(F781,Apuração!A:A,Apuração!B:B),0)</f>
        <v>0.33333333333333331</v>
      </c>
      <c r="BQ781" s="53">
        <f ca="1">IF(BK781&gt;=BO781,0,_xlfn.XLOOKUP(F781,Apuração!A:A,Apuração!B:B)*(BO781 + (1/_xlfn.XLOOKUP(F781,Apuração!A:A,Apuração!B:B)) - BK781))</f>
        <v>1.4000000000000004</v>
      </c>
      <c r="BR781" s="85">
        <f t="shared" ca="1" si="1077"/>
        <v>0</v>
      </c>
      <c r="BS781" s="53">
        <f ca="1">IFERROR((_xlfn.XLOOKUP(F781,Apuração!A:A,Apuração!C:C)+1)/_xlfn.XLOOKUP(F781,Apuração!A:A,Apuração!B:B),0)</f>
        <v>0.5</v>
      </c>
    </row>
    <row r="782" spans="1:71" ht="25.95" customHeight="1" x14ac:dyDescent="0.3">
      <c r="A782" s="42" t="s">
        <v>134</v>
      </c>
      <c r="B782" s="4" t="s">
        <v>158</v>
      </c>
      <c r="C782" s="5" t="s">
        <v>97</v>
      </c>
      <c r="D782" s="5" t="s">
        <v>36</v>
      </c>
      <c r="E782" s="4" t="str" cm="1">
        <f t="array" ref="E782">_xlfn.IFS(
F782 = "A partir de Abril", "Aguardando Execução na Distribuidora",
A782 = "CAPACITAÇÃO", "Em execução no Corporativo",
TRUE, "Em Execução na Distribuidora"
)</f>
        <v>Em Execução na Distribuidora</v>
      </c>
      <c r="F782" s="4" t="str" cm="1">
        <f t="array" ref="F782">_xlfn.IFS(
AG782 &lt;&gt; "", "Jan-Dez/26",
AH782 &lt;&gt; "", "Fev-Dez/26",
AI782 &lt;&gt; "", "Mar-Dez/26", AJ782 &lt;&gt; "", "Abr-Dez/26",
TRUE, "A partir de Junho"
)</f>
        <v>Jan-Dez/26</v>
      </c>
      <c r="G782" s="4" t="s">
        <v>62</v>
      </c>
      <c r="H782" s="7" t="s">
        <v>54</v>
      </c>
      <c r="I782" s="8" t="s">
        <v>165</v>
      </c>
      <c r="J782" s="8" t="str" cm="1">
        <f t="array" aca="1" ref="J782" ca="1">_xlfn.LET(
  _xlpm.actual_value_month, INDEX(T782:AE782, MATCH(DATE(YEAR(TODAY()), MONTH(TODAY()), 1), $T$1:$AE$1, 0)),
  IF(_xlpm.actual_value_month &lt;&gt; "",_xlpm.actual_value_month &amp; " ações mensais", "")
)</f>
        <v/>
      </c>
      <c r="K782" s="8" t="str" cm="1">
        <f t="array" ref="K782">_xlfn.LET(
    _xlpm.sum_month, SUM(T782:AE782),
    IF(_xlpm.sum_month = 0, "", _xlpm.sum_month &amp; " participações de líderes nas agendas semanais")
)</f>
        <v/>
      </c>
      <c r="L782" s="4" t="s">
        <v>166</v>
      </c>
      <c r="M782" s="24">
        <v>1</v>
      </c>
      <c r="N782" s="5" t="s">
        <v>51</v>
      </c>
      <c r="O782" s="111" t="s">
        <v>43</v>
      </c>
      <c r="P782" s="10" t="s">
        <v>44</v>
      </c>
      <c r="Q782" s="10" t="s">
        <v>44</v>
      </c>
      <c r="R782" s="11" t="s">
        <v>44</v>
      </c>
      <c r="S782" s="11" t="s">
        <v>44</v>
      </c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G782" s="71">
        <v>9</v>
      </c>
      <c r="AH782" s="71">
        <v>15</v>
      </c>
      <c r="AI782" s="71">
        <v>16</v>
      </c>
      <c r="AJ782" s="71">
        <v>0</v>
      </c>
      <c r="AK782" s="71">
        <v>0</v>
      </c>
      <c r="AL782" s="71"/>
      <c r="AM782" s="71"/>
      <c r="AN782" s="71"/>
      <c r="AO782" s="71"/>
      <c r="AP782" s="71"/>
      <c r="AQ782" s="71"/>
      <c r="AR782" s="71"/>
      <c r="AS782" s="94">
        <f t="shared" ca="1" si="966"/>
        <v>0</v>
      </c>
      <c r="AT782" s="95">
        <f>SUM(AG782:AR782)</f>
        <v>40</v>
      </c>
      <c r="AU782" s="97">
        <f t="shared" si="967"/>
        <v>40</v>
      </c>
      <c r="AW782" s="83">
        <f>AG782</f>
        <v>9</v>
      </c>
      <c r="AX782" s="83">
        <f t="shared" si="1067"/>
        <v>15</v>
      </c>
      <c r="AY782" s="83">
        <f t="shared" si="1068"/>
        <v>16</v>
      </c>
      <c r="AZ782" s="83">
        <f t="shared" si="1069"/>
        <v>0</v>
      </c>
      <c r="BA782" s="52"/>
      <c r="BB782" s="52"/>
      <c r="BC782" s="52"/>
      <c r="BD782" s="52"/>
      <c r="BE782" s="52"/>
      <c r="BF782" s="52"/>
      <c r="BG782" s="52"/>
      <c r="BH782" s="52"/>
      <c r="BI782" s="68" cm="1">
        <f t="array" ref="BI782">IFERROR(INDEX(AW782:BH782,1,MATCH(2,1/(AW782:BH782&lt;&gt;""))),"")</f>
        <v>0</v>
      </c>
      <c r="BJ782" s="68" cm="1">
        <f t="array" ref="BJ782">IF(BM782 = "", "",IFERROR(INDEX(AW782:BH782,1,MATCH(2,1/(AW782:BH782&lt;&gt;""),1)-1),""))</f>
        <v>16</v>
      </c>
      <c r="BK782" s="59">
        <f>IF((IF(AW782&gt;=150%,150%,AW782) + IF(AX782&gt;=150%,150%,AX782) + IF(AY782&gt;=150%,150%,AY782) + (IF(AW782&gt;=150%,150%,AW782) + IF(BA782&gt;=150%,150%,BA782) + IF(BB782&gt;=150%,150%,BB782) + IF(BC782&gt;=150%,150%,BC782) + IF(BD782&gt;=150%,150%,BD782) + IF(BE782&gt;=150%,150%,BE782) + IF(BF782&gt;=150%,150%,BF782) + IF(BG782&gt;=150%,150%,BG782) + IF(BH782&gt;=150%,150%,BH782)))/_xlfn.XLOOKUP(F782,Apuração!A:A,Apuração!B:B)&gt;=1.15,1.15,((IF(AW782&gt;=150%,150%,AW782) + IF(AX782&gt;=150%,150%,AX782) + IF(AY782&gt;=150%,150%,AY782) + (IF(AW782&gt;=150%,150%,AW782) + IF(BA782&gt;=150%,150%,BA782) + IF(BB782&gt;=150%,150%,BB782) + IF(BC782&gt;=150%,150%,BC782) + IF(BD782&gt;=150%,150%,BD782) + IF(BE782&gt;=150%,150%,BE782) + IF(BF782&gt;=150%,150%,BF782) + IF(BG782&gt;=150%,150%,BG782) + IF(BH782&gt;=150%,150%,BH782)))/_xlfn.XLOOKUP(F782,Apuração!A:A,Apuração!B:B)))</f>
        <v>0.5</v>
      </c>
      <c r="BL782" s="59" cm="1">
        <f t="array" aca="1" ref="BL782" ca="1">IF(SUM(IFERROR(IF(INDEX(AW782:INDEX(AW782:BH782, MATCH(2, 1/(AW782:BH782&lt;&gt;""), 1)-1), ROW(INDIRECT("1:" &amp; MATCH(2, 1/(AW782:BH782&lt;&gt;""), 1)-1))) &gt;= 150%, 150%, INDEX(AW782:INDEX(AW782:BH782, MATCH(2, 1/(AW782:BH782&lt;&gt;""), 1)-1), ROW(INDIRECT("1:" &amp; MATCH(2, 1/(AW782:BH782&lt;&gt;""), 1)-1)))), 0))/_xlfn.XLOOKUP(F782,Apuração!A:A,Apuração!B:B)&gt;=1.15,1.15,SUM(IFERROR(IF(INDEX(AW782:INDEX(AW782:BH782, MATCH(2, 1/(AW782:BH782&lt;&gt;""), 1)-1), ROW(INDIRECT("1:" &amp; MATCH(2, 1/(AW782:BH782&lt;&gt;""), 1)-1))) &gt;= 150%, 150%, INDEX(AW782:INDEX(AW782:BH782, MATCH(2, 1/(AW782:BH782&lt;&gt;""), 1)-1), ROW(INDIRECT("1:" &amp; MATCH(2, 1/(AW782:BH782&lt;&gt;""), 1)-1)))), 0))/_xlfn.XLOOKUP(F782,Apuração!A:A,Apuração!B:B))</f>
        <v>0.375</v>
      </c>
      <c r="BM782" s="55" cm="1">
        <f t="array" ref="BM782">IFERROR(
   INDEX($AW$1:$BH$1,
      _xlfn.AGGREGATE(14, 6, COLUMN($AW$1:$BH$1)/(AW782:BH782&lt;&gt;""), 2) - COLUMN($AW$1) + 1
   ),
"")</f>
        <v>46082</v>
      </c>
      <c r="BN782" s="55" cm="1">
        <f t="array" ref="BN782">IFERROR(INDEX($AW$1:$BH$1,1,MATCH(2,1/(AW782:BH782&lt;&gt;""))),"")</f>
        <v>46113</v>
      </c>
      <c r="BO782" s="53">
        <f ca="1">IFERROR(_xlfn.XLOOKUP(F782,Apuração!A:A,Apuração!C:C)/_xlfn.XLOOKUP(F782,Apuração!A:A,Apuração!B:B),0)</f>
        <v>0.41666666666666669</v>
      </c>
      <c r="BP782" s="53">
        <f ca="1">IFERROR(_xlfn.XLOOKUP(F782,Apuração!A:A,Apuração!D:D)/_xlfn.XLOOKUP(F782,Apuração!A:A,Apuração!B:B),0)</f>
        <v>0.33333333333333331</v>
      </c>
      <c r="BQ782" s="53">
        <f ca="1">IF(BK782&gt;=BO782,0,_xlfn.XLOOKUP(F782,Apuração!A:A,Apuração!B:B)*(BO782 + (1/_xlfn.XLOOKUP(F782,Apuração!A:A,Apuração!B:B)) - BK782))</f>
        <v>0</v>
      </c>
      <c r="BR782" s="85">
        <f t="shared" ca="1" si="898"/>
        <v>0</v>
      </c>
      <c r="BS782" s="53">
        <f ca="1">IFERROR((_xlfn.XLOOKUP(F782,Apuração!A:A,Apuração!C:C)+1)/_xlfn.XLOOKUP(F782,Apuração!A:A,Apuração!B:B),0)</f>
        <v>0.5</v>
      </c>
    </row>
    <row r="783" spans="1:71" ht="25.95" hidden="1" customHeight="1" x14ac:dyDescent="0.3">
      <c r="A783" s="42" t="s">
        <v>134</v>
      </c>
      <c r="B783" s="4" t="s">
        <v>158</v>
      </c>
      <c r="C783" s="5" t="s">
        <v>97</v>
      </c>
      <c r="D783" s="5" t="s">
        <v>98</v>
      </c>
      <c r="E783" s="4" t="str" cm="1">
        <f t="array" ref="E783">_xlfn.IFS(
F783 = "A partir de Abril", "Aguardando Execução na Distribuidora",
A783 = "CAPACITAÇÃO", "Em execução no Corporativo",
TRUE, "Em Execução na Distribuidora"
)</f>
        <v>Em Execução na Distribuidora</v>
      </c>
      <c r="F783" s="4" t="str" cm="1">
        <f t="array" ref="F783">_xlfn.IFS(
AG783 &lt;&gt; "", "Jan-Dez/26",
AH783 &lt;&gt; "", "Fev-Dez/26",
AI783 &lt;&gt; "", "Mar-Dez/26", AJ783 &lt;&gt; "", "Abr-Dez/26",
TRUE, "A partir de Junho"
)</f>
        <v>Jan-Dez/26</v>
      </c>
      <c r="G783" s="4" t="s">
        <v>62</v>
      </c>
      <c r="H783" s="7" t="s">
        <v>54</v>
      </c>
      <c r="I783" s="8" t="s">
        <v>165</v>
      </c>
      <c r="J783" s="8" t="str" cm="1">
        <f t="array" aca="1" ref="J783" ca="1">_xlfn.LET(
  _xlpm.actual_value_month, INDEX(T783:AE783, MATCH(DATE(YEAR(TODAY()), MONTH(TODAY()), 1), $T$1:$AE$1, 0)),
  IF(_xlpm.actual_value_month &lt;&gt; "",_xlpm.actual_value_month &amp; " ações mensais", "")
)</f>
        <v/>
      </c>
      <c r="K783" s="8" t="str" cm="1">
        <f t="array" ref="K783">_xlfn.LET(
    _xlpm.sum_month, SUM(T783:AE783),
    IF(_xlpm.sum_month = 0, "", _xlpm.sum_month &amp; " participações de líderes nas agendas semanais")
)</f>
        <v/>
      </c>
      <c r="L783" s="4" t="s">
        <v>166</v>
      </c>
      <c r="M783" s="24">
        <v>1</v>
      </c>
      <c r="N783" s="5" t="s">
        <v>51</v>
      </c>
      <c r="O783" s="111" t="s">
        <v>43</v>
      </c>
      <c r="P783" s="10" t="s">
        <v>44</v>
      </c>
      <c r="Q783" s="10" t="s">
        <v>44</v>
      </c>
      <c r="R783" s="11" t="s">
        <v>44</v>
      </c>
      <c r="S783" s="11" t="s">
        <v>44</v>
      </c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G783" s="145">
        <v>1</v>
      </c>
      <c r="AH783" s="145">
        <v>2</v>
      </c>
      <c r="AI783" s="145">
        <v>2</v>
      </c>
      <c r="AJ783" s="145">
        <v>0</v>
      </c>
      <c r="AK783" s="71">
        <v>0</v>
      </c>
      <c r="AL783" s="71"/>
      <c r="AM783" s="71"/>
      <c r="AN783" s="71"/>
      <c r="AO783" s="71"/>
      <c r="AP783" s="71"/>
      <c r="AQ783" s="71"/>
      <c r="AR783" s="71"/>
      <c r="AS783" s="94">
        <f t="shared" ref="AS783:AS792" ca="1" si="1078">IF(MONTH(TODAY())=3,SUM(T783:U783),IF(MONTH(TODAY())=4,SUM(T783:V783),IF(MONTH(TODAY())=5,SUM(T783:W783),IF(MONTH(TODAY())=6,SUM(T783:X783),IF(MONTH(TODAY())=7,SUM(T783:Y783),IF(MONTH(TODAY())=8,SUM(T783:Z783),IF(MONTH(TODAY())=9,SUM(T783:AA783),IF(MONTH(TODAY())=10,SUM(T783:AB783),IF(MONTH(TODAY())=11,SUM(T783:AC783),IF(MONTH(TODAY())=12,SUM(T783:AD783),IF(MONTH(TODAY())=1,SUM(T783:AE783),T783)))))))))))</f>
        <v>0</v>
      </c>
      <c r="AT783" s="95">
        <f t="shared" ref="AT783:AT792" si="1079">SUM(AG783:AR783)</f>
        <v>5</v>
      </c>
      <c r="AU783" s="97">
        <f t="shared" ref="AU783:AU792" si="1080">SUM(AG783:AR783)</f>
        <v>5</v>
      </c>
      <c r="AW783" s="83">
        <f t="shared" ref="AW783:AW792" si="1081">AG783</f>
        <v>1</v>
      </c>
      <c r="AX783" s="83">
        <f t="shared" ref="AX783:AX792" si="1082">AH783</f>
        <v>2</v>
      </c>
      <c r="AY783" s="83">
        <f t="shared" ref="AY783:AY792" si="1083">AI783</f>
        <v>2</v>
      </c>
      <c r="AZ783" s="83">
        <f t="shared" ref="AZ783:AZ792" si="1084">AJ783</f>
        <v>0</v>
      </c>
      <c r="BA783" s="52"/>
      <c r="BB783" s="52"/>
      <c r="BC783" s="52"/>
      <c r="BD783" s="52"/>
      <c r="BE783" s="52"/>
      <c r="BF783" s="52"/>
      <c r="BG783" s="52"/>
      <c r="BH783" s="52"/>
      <c r="BI783" s="68" cm="1">
        <f t="array" ref="BI783">IFERROR(INDEX(AW783:BH783,1,MATCH(2,1/(AW783:BH783&lt;&gt;""))),"")</f>
        <v>0</v>
      </c>
      <c r="BJ783" s="68" cm="1">
        <f t="array" ref="BJ783">IF(BM783 = "", "",IFERROR(INDEX(AW783:BH783,1,MATCH(2,1/(AW783:BH783&lt;&gt;""),1)-1),""))</f>
        <v>2</v>
      </c>
      <c r="BK783" s="59">
        <f>IF((IF(AW783&gt;=150%,150%,AW783) + IF(AX783&gt;=150%,150%,AX783) + IF(AY783&gt;=150%,150%,AY783) + (IF(AW783&gt;=150%,150%,AW783) + IF(BA783&gt;=150%,150%,BA783) + IF(BB783&gt;=150%,150%,BB783) + IF(BC783&gt;=150%,150%,BC783) + IF(BD783&gt;=150%,150%,BD783) + IF(BE783&gt;=150%,150%,BE783) + IF(BF783&gt;=150%,150%,BF783) + IF(BG783&gt;=150%,150%,BG783) + IF(BH783&gt;=150%,150%,BH783)))/_xlfn.XLOOKUP(F783,Apuração!A:A,Apuração!B:B)&gt;=1.15,1.15,((IF(AW783&gt;=150%,150%,AW783) + IF(AX783&gt;=150%,150%,AX783) + IF(AY783&gt;=150%,150%,AY783) + (IF(AW783&gt;=150%,150%,AW783) + IF(BA783&gt;=150%,150%,BA783) + IF(BB783&gt;=150%,150%,BB783) + IF(BC783&gt;=150%,150%,BC783) + IF(BD783&gt;=150%,150%,BD783) + IF(BE783&gt;=150%,150%,BE783) + IF(BF783&gt;=150%,150%,BF783) + IF(BG783&gt;=150%,150%,BG783) + IF(BH783&gt;=150%,150%,BH783)))/_xlfn.XLOOKUP(F783,Apuração!A:A,Apuração!B:B)))</f>
        <v>0.41666666666666669</v>
      </c>
      <c r="BL783" s="59" cm="1">
        <f t="array" aca="1" ref="BL783" ca="1">IF(SUM(IFERROR(IF(INDEX(AW783:INDEX(AW783:BH783, MATCH(2, 1/(AW783:BH783&lt;&gt;""), 1)-1), ROW(INDIRECT("1:" &amp; MATCH(2, 1/(AW783:BH783&lt;&gt;""), 1)-1))) &gt;= 150%, 150%, INDEX(AW783:INDEX(AW783:BH783, MATCH(2, 1/(AW783:BH783&lt;&gt;""), 1)-1), ROW(INDIRECT("1:" &amp; MATCH(2, 1/(AW783:BH783&lt;&gt;""), 1)-1)))), 0))/_xlfn.XLOOKUP(F783,Apuração!A:A,Apuração!B:B)&gt;=1.15,1.15,SUM(IFERROR(IF(INDEX(AW783:INDEX(AW783:BH783, MATCH(2, 1/(AW783:BH783&lt;&gt;""), 1)-1), ROW(INDIRECT("1:" &amp; MATCH(2, 1/(AW783:BH783&lt;&gt;""), 1)-1))) &gt;= 150%, 150%, INDEX(AW783:INDEX(AW783:BH783, MATCH(2, 1/(AW783:BH783&lt;&gt;""), 1)-1), ROW(INDIRECT("1:" &amp; MATCH(2, 1/(AW783:BH783&lt;&gt;""), 1)-1)))), 0))/_xlfn.XLOOKUP(F783,Apuração!A:A,Apuração!B:B))</f>
        <v>0.33333333333333331</v>
      </c>
      <c r="BM783" s="55" cm="1">
        <f t="array" ref="BM783">IFERROR(
   INDEX($AW$1:$BH$1,
      _xlfn.AGGREGATE(14, 6, COLUMN($AW$1:$BH$1)/(AW783:BH783&lt;&gt;""), 2) - COLUMN($AW$1) + 1
   ),
"")</f>
        <v>46082</v>
      </c>
      <c r="BN783" s="55" cm="1">
        <f t="array" ref="BN783">IFERROR(INDEX($AW$1:$BH$1,1,MATCH(2,1/(AW783:BH783&lt;&gt;""))),"")</f>
        <v>46113</v>
      </c>
      <c r="BO783" s="53">
        <f ca="1">IFERROR(_xlfn.XLOOKUP(F783,Apuração!A:A,Apuração!C:C)/_xlfn.XLOOKUP(F783,Apuração!A:A,Apuração!B:B),0)</f>
        <v>0.41666666666666669</v>
      </c>
      <c r="BP783" s="53">
        <f ca="1">IFERROR(_xlfn.XLOOKUP(F783,Apuração!A:A,Apuração!D:D)/_xlfn.XLOOKUP(F783,Apuração!A:A,Apuração!B:B),0)</f>
        <v>0.33333333333333331</v>
      </c>
      <c r="BQ783" s="53">
        <f ca="1">IF(BK783&gt;=BO783,0,_xlfn.XLOOKUP(F783,Apuração!A:A,Apuração!B:B)*(BO783 + (1/_xlfn.XLOOKUP(F783,Apuração!A:A,Apuração!B:B)) - BK783))</f>
        <v>0</v>
      </c>
      <c r="BR783" s="85">
        <f t="shared" ref="BR783:BR792" ca="1" si="1085">IF(BQ783=0,0,BQ783*Z783)</f>
        <v>0</v>
      </c>
      <c r="BS783" s="53">
        <f ca="1">IFERROR((_xlfn.XLOOKUP(F783,Apuração!A:A,Apuração!C:C)+1)/_xlfn.XLOOKUP(F783,Apuração!A:A,Apuração!B:B),0)</f>
        <v>0.5</v>
      </c>
    </row>
    <row r="784" spans="1:71" ht="25.95" hidden="1" customHeight="1" x14ac:dyDescent="0.3">
      <c r="A784" s="42" t="s">
        <v>134</v>
      </c>
      <c r="B784" s="4" t="s">
        <v>158</v>
      </c>
      <c r="C784" s="5" t="s">
        <v>97</v>
      </c>
      <c r="D784" s="5" t="s">
        <v>99</v>
      </c>
      <c r="E784" s="4" t="str" cm="1">
        <f t="array" ref="E784">_xlfn.IFS(
F784 = "A partir de Abril", "Aguardando Execução na Distribuidora",
A784 = "CAPACITAÇÃO", "Em execução no Corporativo",
TRUE, "Em Execução na Distribuidora"
)</f>
        <v>Em Execução na Distribuidora</v>
      </c>
      <c r="F784" s="4" t="str" cm="1">
        <f t="array" ref="F784">_xlfn.IFS(
AG784 &lt;&gt; "", "Jan-Dez/26",
AH784 &lt;&gt; "", "Fev-Dez/26",
AI784 &lt;&gt; "", "Mar-Dez/26", AJ784 &lt;&gt; "", "Abr-Dez/26",
TRUE, "A partir de Junho"
)</f>
        <v>Jan-Dez/26</v>
      </c>
      <c r="G784" s="4" t="s">
        <v>62</v>
      </c>
      <c r="H784" s="7" t="s">
        <v>54</v>
      </c>
      <c r="I784" s="8" t="s">
        <v>165</v>
      </c>
      <c r="J784" s="8" t="str" cm="1">
        <f t="array" aca="1" ref="J784" ca="1">_xlfn.LET(
  _xlpm.actual_value_month, INDEX(T784:AE784, MATCH(DATE(YEAR(TODAY()), MONTH(TODAY()), 1), $T$1:$AE$1, 0)),
  IF(_xlpm.actual_value_month &lt;&gt; "",_xlpm.actual_value_month &amp; " ações mensais", "")
)</f>
        <v/>
      </c>
      <c r="K784" s="8" t="str" cm="1">
        <f t="array" ref="K784">_xlfn.LET(
    _xlpm.sum_month, SUM(T784:AE784),
    IF(_xlpm.sum_month = 0, "", _xlpm.sum_month &amp; " participações de líderes nas agendas semanais")
)</f>
        <v/>
      </c>
      <c r="L784" s="4" t="s">
        <v>166</v>
      </c>
      <c r="M784" s="24">
        <v>1</v>
      </c>
      <c r="N784" s="5" t="s">
        <v>51</v>
      </c>
      <c r="O784" s="111" t="s">
        <v>43</v>
      </c>
      <c r="P784" s="10" t="s">
        <v>44</v>
      </c>
      <c r="Q784" s="10" t="s">
        <v>44</v>
      </c>
      <c r="R784" s="11" t="s">
        <v>44</v>
      </c>
      <c r="S784" s="11" t="s">
        <v>44</v>
      </c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G784" s="146">
        <v>1</v>
      </c>
      <c r="AH784" s="146">
        <v>2</v>
      </c>
      <c r="AI784" s="146">
        <v>1</v>
      </c>
      <c r="AJ784" s="146">
        <v>0</v>
      </c>
      <c r="AK784" s="71">
        <v>0</v>
      </c>
      <c r="AL784" s="71"/>
      <c r="AM784" s="71"/>
      <c r="AN784" s="71"/>
      <c r="AO784" s="71"/>
      <c r="AP784" s="71"/>
      <c r="AQ784" s="71"/>
      <c r="AR784" s="71"/>
      <c r="AS784" s="94">
        <f t="shared" ca="1" si="1078"/>
        <v>0</v>
      </c>
      <c r="AT784" s="95">
        <f t="shared" si="1079"/>
        <v>4</v>
      </c>
      <c r="AU784" s="97">
        <f t="shared" si="1080"/>
        <v>4</v>
      </c>
      <c r="AW784" s="83">
        <f t="shared" si="1081"/>
        <v>1</v>
      </c>
      <c r="AX784" s="83">
        <f t="shared" si="1082"/>
        <v>2</v>
      </c>
      <c r="AY784" s="83">
        <f t="shared" si="1083"/>
        <v>1</v>
      </c>
      <c r="AZ784" s="83">
        <f t="shared" si="1084"/>
        <v>0</v>
      </c>
      <c r="BA784" s="52"/>
      <c r="BB784" s="52"/>
      <c r="BC784" s="52"/>
      <c r="BD784" s="52"/>
      <c r="BE784" s="52"/>
      <c r="BF784" s="52"/>
      <c r="BG784" s="52"/>
      <c r="BH784" s="52"/>
      <c r="BI784" s="68" cm="1">
        <f t="array" ref="BI784">IFERROR(INDEX(AW784:BH784,1,MATCH(2,1/(AW784:BH784&lt;&gt;""))),"")</f>
        <v>0</v>
      </c>
      <c r="BJ784" s="68" cm="1">
        <f t="array" ref="BJ784">IF(BM784 = "", "",IFERROR(INDEX(AW784:BH784,1,MATCH(2,1/(AW784:BH784&lt;&gt;""),1)-1),""))</f>
        <v>1</v>
      </c>
      <c r="BK784" s="59">
        <f>IF((IF(AW784&gt;=150%,150%,AW784) + IF(AX784&gt;=150%,150%,AX784) + IF(AY784&gt;=150%,150%,AY784) + (IF(AW784&gt;=150%,150%,AW784) + IF(BA784&gt;=150%,150%,BA784) + IF(BB784&gt;=150%,150%,BB784) + IF(BC784&gt;=150%,150%,BC784) + IF(BD784&gt;=150%,150%,BD784) + IF(BE784&gt;=150%,150%,BE784) + IF(BF784&gt;=150%,150%,BF784) + IF(BG784&gt;=150%,150%,BG784) + IF(BH784&gt;=150%,150%,BH784)))/_xlfn.XLOOKUP(F784,Apuração!A:A,Apuração!B:B)&gt;=1.15,1.15,((IF(AW784&gt;=150%,150%,AW784) + IF(AX784&gt;=150%,150%,AX784) + IF(AY784&gt;=150%,150%,AY784) + (IF(AW784&gt;=150%,150%,AW784) + IF(BA784&gt;=150%,150%,BA784) + IF(BB784&gt;=150%,150%,BB784) + IF(BC784&gt;=150%,150%,BC784) + IF(BD784&gt;=150%,150%,BD784) + IF(BE784&gt;=150%,150%,BE784) + IF(BF784&gt;=150%,150%,BF784) + IF(BG784&gt;=150%,150%,BG784) + IF(BH784&gt;=150%,150%,BH784)))/_xlfn.XLOOKUP(F784,Apuração!A:A,Apuração!B:B)))</f>
        <v>0.375</v>
      </c>
      <c r="BL784" s="59" cm="1">
        <f t="array" aca="1" ref="BL784" ca="1">IF(SUM(IFERROR(IF(INDEX(AW784:INDEX(AW784:BH784, MATCH(2, 1/(AW784:BH784&lt;&gt;""), 1)-1), ROW(INDIRECT("1:" &amp; MATCH(2, 1/(AW784:BH784&lt;&gt;""), 1)-1))) &gt;= 150%, 150%, INDEX(AW784:INDEX(AW784:BH784, MATCH(2, 1/(AW784:BH784&lt;&gt;""), 1)-1), ROW(INDIRECT("1:" &amp; MATCH(2, 1/(AW784:BH784&lt;&gt;""), 1)-1)))), 0))/_xlfn.XLOOKUP(F784,Apuração!A:A,Apuração!B:B)&gt;=1.15,1.15,SUM(IFERROR(IF(INDEX(AW784:INDEX(AW784:BH784, MATCH(2, 1/(AW784:BH784&lt;&gt;""), 1)-1), ROW(INDIRECT("1:" &amp; MATCH(2, 1/(AW784:BH784&lt;&gt;""), 1)-1))) &gt;= 150%, 150%, INDEX(AW784:INDEX(AW784:BH784, MATCH(2, 1/(AW784:BH784&lt;&gt;""), 1)-1), ROW(INDIRECT("1:" &amp; MATCH(2, 1/(AW784:BH784&lt;&gt;""), 1)-1)))), 0))/_xlfn.XLOOKUP(F784,Apuração!A:A,Apuração!B:B))</f>
        <v>0.29166666666666669</v>
      </c>
      <c r="BM784" s="55" cm="1">
        <f t="array" ref="BM784">IFERROR(
   INDEX($AW$1:$BH$1,
      _xlfn.AGGREGATE(14, 6, COLUMN($AW$1:$BH$1)/(AW784:BH784&lt;&gt;""), 2) - COLUMN($AW$1) + 1
   ),
"")</f>
        <v>46082</v>
      </c>
      <c r="BN784" s="55" cm="1">
        <f t="array" ref="BN784">IFERROR(INDEX($AW$1:$BH$1,1,MATCH(2,1/(AW784:BH784&lt;&gt;""))),"")</f>
        <v>46113</v>
      </c>
      <c r="BO784" s="53">
        <f ca="1">IFERROR(_xlfn.XLOOKUP(F784,Apuração!A:A,Apuração!C:C)/_xlfn.XLOOKUP(F784,Apuração!A:A,Apuração!B:B),0)</f>
        <v>0.41666666666666669</v>
      </c>
      <c r="BP784" s="53">
        <f ca="1">IFERROR(_xlfn.XLOOKUP(F784,Apuração!A:A,Apuração!D:D)/_xlfn.XLOOKUP(F784,Apuração!A:A,Apuração!B:B),0)</f>
        <v>0.33333333333333331</v>
      </c>
      <c r="BQ784" s="53">
        <f ca="1">IF(BK784&gt;=BO784,0,_xlfn.XLOOKUP(F784,Apuração!A:A,Apuração!B:B)*(BO784 + (1/_xlfn.XLOOKUP(F784,Apuração!A:A,Apuração!B:B)) - BK784))</f>
        <v>1.5</v>
      </c>
      <c r="BR784" s="85">
        <f t="shared" ca="1" si="1085"/>
        <v>0</v>
      </c>
      <c r="BS784" s="53">
        <f ca="1">IFERROR((_xlfn.XLOOKUP(F784,Apuração!A:A,Apuração!C:C)+1)/_xlfn.XLOOKUP(F784,Apuração!A:A,Apuração!B:B),0)</f>
        <v>0.5</v>
      </c>
    </row>
    <row r="785" spans="1:71" ht="25.95" hidden="1" customHeight="1" x14ac:dyDescent="0.3">
      <c r="A785" s="42" t="s">
        <v>134</v>
      </c>
      <c r="B785" s="4" t="s">
        <v>158</v>
      </c>
      <c r="C785" s="5" t="s">
        <v>97</v>
      </c>
      <c r="D785" s="5" t="s">
        <v>100</v>
      </c>
      <c r="E785" s="4" t="str" cm="1">
        <f t="array" ref="E785">_xlfn.IFS(
F785 = "A partir de Abril", "Aguardando Execução na Distribuidora",
A785 = "CAPACITAÇÃO", "Em execução no Corporativo",
TRUE, "Em Execução na Distribuidora"
)</f>
        <v>Em Execução na Distribuidora</v>
      </c>
      <c r="F785" s="4" t="str" cm="1">
        <f t="array" ref="F785">_xlfn.IFS(
AG785 &lt;&gt; "", "Jan-Dez/26",
AH785 &lt;&gt; "", "Fev-Dez/26",
AI785 &lt;&gt; "", "Mar-Dez/26", AJ785 &lt;&gt; "", "Abr-Dez/26",
TRUE, "A partir de Junho"
)</f>
        <v>Jan-Dez/26</v>
      </c>
      <c r="G785" s="4" t="s">
        <v>62</v>
      </c>
      <c r="H785" s="7" t="s">
        <v>54</v>
      </c>
      <c r="I785" s="8" t="s">
        <v>165</v>
      </c>
      <c r="J785" s="8" t="str" cm="1">
        <f t="array" aca="1" ref="J785" ca="1">_xlfn.LET(
  _xlpm.actual_value_month, INDEX(T785:AE785, MATCH(DATE(YEAR(TODAY()), MONTH(TODAY()), 1), $T$1:$AE$1, 0)),
  IF(_xlpm.actual_value_month &lt;&gt; "",_xlpm.actual_value_month &amp; " ações mensais", "")
)</f>
        <v/>
      </c>
      <c r="K785" s="8" t="str" cm="1">
        <f t="array" ref="K785">_xlfn.LET(
    _xlpm.sum_month, SUM(T785:AE785),
    IF(_xlpm.sum_month = 0, "", _xlpm.sum_month &amp; " participações de líderes nas agendas semanais")
)</f>
        <v/>
      </c>
      <c r="L785" s="4" t="s">
        <v>166</v>
      </c>
      <c r="M785" s="24">
        <v>1</v>
      </c>
      <c r="N785" s="5" t="s">
        <v>51</v>
      </c>
      <c r="O785" s="111" t="s">
        <v>43</v>
      </c>
      <c r="P785" s="10" t="s">
        <v>44</v>
      </c>
      <c r="Q785" s="10" t="s">
        <v>44</v>
      </c>
      <c r="R785" s="11" t="s">
        <v>44</v>
      </c>
      <c r="S785" s="11" t="s">
        <v>44</v>
      </c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G785" s="146">
        <v>1</v>
      </c>
      <c r="AH785" s="146">
        <v>2</v>
      </c>
      <c r="AI785" s="146">
        <v>2</v>
      </c>
      <c r="AJ785" s="146">
        <v>0</v>
      </c>
      <c r="AK785" s="71">
        <v>0</v>
      </c>
      <c r="AL785" s="71"/>
      <c r="AM785" s="71"/>
      <c r="AN785" s="71"/>
      <c r="AO785" s="71"/>
      <c r="AP785" s="71"/>
      <c r="AQ785" s="71"/>
      <c r="AR785" s="71"/>
      <c r="AS785" s="94">
        <f t="shared" ca="1" si="1078"/>
        <v>0</v>
      </c>
      <c r="AT785" s="95">
        <f t="shared" si="1079"/>
        <v>5</v>
      </c>
      <c r="AU785" s="97">
        <f t="shared" si="1080"/>
        <v>5</v>
      </c>
      <c r="AW785" s="83">
        <f t="shared" si="1081"/>
        <v>1</v>
      </c>
      <c r="AX785" s="83">
        <f t="shared" si="1082"/>
        <v>2</v>
      </c>
      <c r="AY785" s="83">
        <f t="shared" si="1083"/>
        <v>2</v>
      </c>
      <c r="AZ785" s="83">
        <f t="shared" si="1084"/>
        <v>0</v>
      </c>
      <c r="BA785" s="52"/>
      <c r="BB785" s="52"/>
      <c r="BC785" s="52"/>
      <c r="BD785" s="52"/>
      <c r="BE785" s="52"/>
      <c r="BF785" s="52"/>
      <c r="BG785" s="52"/>
      <c r="BH785" s="52"/>
      <c r="BI785" s="68" cm="1">
        <f t="array" ref="BI785">IFERROR(INDEX(AW785:BH785,1,MATCH(2,1/(AW785:BH785&lt;&gt;""))),"")</f>
        <v>0</v>
      </c>
      <c r="BJ785" s="68" cm="1">
        <f t="array" ref="BJ785">IF(BM785 = "", "",IFERROR(INDEX(AW785:BH785,1,MATCH(2,1/(AW785:BH785&lt;&gt;""),1)-1),""))</f>
        <v>2</v>
      </c>
      <c r="BK785" s="59">
        <f>IF((IF(AW785&gt;=150%,150%,AW785) + IF(AX785&gt;=150%,150%,AX785) + IF(AY785&gt;=150%,150%,AY785) + (IF(AW785&gt;=150%,150%,AW785) + IF(BA785&gt;=150%,150%,BA785) + IF(BB785&gt;=150%,150%,BB785) + IF(BC785&gt;=150%,150%,BC785) + IF(BD785&gt;=150%,150%,BD785) + IF(BE785&gt;=150%,150%,BE785) + IF(BF785&gt;=150%,150%,BF785) + IF(BG785&gt;=150%,150%,BG785) + IF(BH785&gt;=150%,150%,BH785)))/_xlfn.XLOOKUP(F785,Apuração!A:A,Apuração!B:B)&gt;=1.15,1.15,((IF(AW785&gt;=150%,150%,AW785) + IF(AX785&gt;=150%,150%,AX785) + IF(AY785&gt;=150%,150%,AY785) + (IF(AW785&gt;=150%,150%,AW785) + IF(BA785&gt;=150%,150%,BA785) + IF(BB785&gt;=150%,150%,BB785) + IF(BC785&gt;=150%,150%,BC785) + IF(BD785&gt;=150%,150%,BD785) + IF(BE785&gt;=150%,150%,BE785) + IF(BF785&gt;=150%,150%,BF785) + IF(BG785&gt;=150%,150%,BG785) + IF(BH785&gt;=150%,150%,BH785)))/_xlfn.XLOOKUP(F785,Apuração!A:A,Apuração!B:B)))</f>
        <v>0.41666666666666669</v>
      </c>
      <c r="BL785" s="59" cm="1">
        <f t="array" aca="1" ref="BL785" ca="1">IF(SUM(IFERROR(IF(INDEX(AW785:INDEX(AW785:BH785, MATCH(2, 1/(AW785:BH785&lt;&gt;""), 1)-1), ROW(INDIRECT("1:" &amp; MATCH(2, 1/(AW785:BH785&lt;&gt;""), 1)-1))) &gt;= 150%, 150%, INDEX(AW785:INDEX(AW785:BH785, MATCH(2, 1/(AW785:BH785&lt;&gt;""), 1)-1), ROW(INDIRECT("1:" &amp; MATCH(2, 1/(AW785:BH785&lt;&gt;""), 1)-1)))), 0))/_xlfn.XLOOKUP(F785,Apuração!A:A,Apuração!B:B)&gt;=1.15,1.15,SUM(IFERROR(IF(INDEX(AW785:INDEX(AW785:BH785, MATCH(2, 1/(AW785:BH785&lt;&gt;""), 1)-1), ROW(INDIRECT("1:" &amp; MATCH(2, 1/(AW785:BH785&lt;&gt;""), 1)-1))) &gt;= 150%, 150%, INDEX(AW785:INDEX(AW785:BH785, MATCH(2, 1/(AW785:BH785&lt;&gt;""), 1)-1), ROW(INDIRECT("1:" &amp; MATCH(2, 1/(AW785:BH785&lt;&gt;""), 1)-1)))), 0))/_xlfn.XLOOKUP(F785,Apuração!A:A,Apuração!B:B))</f>
        <v>0.33333333333333331</v>
      </c>
      <c r="BM785" s="55" cm="1">
        <f t="array" ref="BM785">IFERROR(
   INDEX($AW$1:$BH$1,
      _xlfn.AGGREGATE(14, 6, COLUMN($AW$1:$BH$1)/(AW785:BH785&lt;&gt;""), 2) - COLUMN($AW$1) + 1
   ),
"")</f>
        <v>46082</v>
      </c>
      <c r="BN785" s="55" cm="1">
        <f t="array" ref="BN785">IFERROR(INDEX($AW$1:$BH$1,1,MATCH(2,1/(AW785:BH785&lt;&gt;""))),"")</f>
        <v>46113</v>
      </c>
      <c r="BO785" s="53">
        <f ca="1">IFERROR(_xlfn.XLOOKUP(F785,Apuração!A:A,Apuração!C:C)/_xlfn.XLOOKUP(F785,Apuração!A:A,Apuração!B:B),0)</f>
        <v>0.41666666666666669</v>
      </c>
      <c r="BP785" s="53">
        <f ca="1">IFERROR(_xlfn.XLOOKUP(F785,Apuração!A:A,Apuração!D:D)/_xlfn.XLOOKUP(F785,Apuração!A:A,Apuração!B:B),0)</f>
        <v>0.33333333333333331</v>
      </c>
      <c r="BQ785" s="53">
        <f ca="1">IF(BK785&gt;=BO785,0,_xlfn.XLOOKUP(F785,Apuração!A:A,Apuração!B:B)*(BO785 + (1/_xlfn.XLOOKUP(F785,Apuração!A:A,Apuração!B:B)) - BK785))</f>
        <v>0</v>
      </c>
      <c r="BR785" s="85">
        <f t="shared" ca="1" si="1085"/>
        <v>0</v>
      </c>
      <c r="BS785" s="53">
        <f ca="1">IFERROR((_xlfn.XLOOKUP(F785,Apuração!A:A,Apuração!C:C)+1)/_xlfn.XLOOKUP(F785,Apuração!A:A,Apuração!B:B),0)</f>
        <v>0.5</v>
      </c>
    </row>
    <row r="786" spans="1:71" ht="25.95" hidden="1" customHeight="1" x14ac:dyDescent="0.3">
      <c r="A786" s="42" t="s">
        <v>134</v>
      </c>
      <c r="B786" s="4" t="s">
        <v>158</v>
      </c>
      <c r="C786" s="5" t="s">
        <v>97</v>
      </c>
      <c r="D786" s="5" t="s">
        <v>101</v>
      </c>
      <c r="E786" s="4" t="str" cm="1">
        <f t="array" ref="E786">_xlfn.IFS(
F786 = "A partir de Abril", "Aguardando Execução na Distribuidora",
A786 = "CAPACITAÇÃO", "Em execução no Corporativo",
TRUE, "Em Execução na Distribuidora"
)</f>
        <v>Em Execução na Distribuidora</v>
      </c>
      <c r="F786" s="4" t="str" cm="1">
        <f t="array" ref="F786">_xlfn.IFS(
AG786 &lt;&gt; "", "Jan-Dez/26",
AH786 &lt;&gt; "", "Fev-Dez/26",
AI786 &lt;&gt; "", "Mar-Dez/26", AJ786 &lt;&gt; "", "Abr-Dez/26",
TRUE, "A partir de Junho"
)</f>
        <v>Jan-Dez/26</v>
      </c>
      <c r="G786" s="4" t="s">
        <v>62</v>
      </c>
      <c r="H786" s="7" t="s">
        <v>54</v>
      </c>
      <c r="I786" s="8" t="s">
        <v>165</v>
      </c>
      <c r="J786" s="8" t="str" cm="1">
        <f t="array" aca="1" ref="J786" ca="1">_xlfn.LET(
  _xlpm.actual_value_month, INDEX(T786:AE786, MATCH(DATE(YEAR(TODAY()), MONTH(TODAY()), 1), $T$1:$AE$1, 0)),
  IF(_xlpm.actual_value_month &lt;&gt; "",_xlpm.actual_value_month &amp; " ações mensais", "")
)</f>
        <v/>
      </c>
      <c r="K786" s="8" t="str" cm="1">
        <f t="array" ref="K786">_xlfn.LET(
    _xlpm.sum_month, SUM(T786:AE786),
    IF(_xlpm.sum_month = 0, "", _xlpm.sum_month &amp; " participações de líderes nas agendas semanais")
)</f>
        <v/>
      </c>
      <c r="L786" s="4" t="s">
        <v>166</v>
      </c>
      <c r="M786" s="24">
        <v>1</v>
      </c>
      <c r="N786" s="5" t="s">
        <v>51</v>
      </c>
      <c r="O786" s="111" t="s">
        <v>43</v>
      </c>
      <c r="P786" s="10" t="s">
        <v>44</v>
      </c>
      <c r="Q786" s="10" t="s">
        <v>44</v>
      </c>
      <c r="R786" s="11" t="s">
        <v>44</v>
      </c>
      <c r="S786" s="11" t="s">
        <v>44</v>
      </c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G786" s="146">
        <v>1</v>
      </c>
      <c r="AH786" s="146">
        <v>2</v>
      </c>
      <c r="AI786" s="146">
        <v>1</v>
      </c>
      <c r="AJ786" s="146">
        <v>0</v>
      </c>
      <c r="AK786" s="71">
        <v>0</v>
      </c>
      <c r="AL786" s="71"/>
      <c r="AM786" s="71"/>
      <c r="AN786" s="71"/>
      <c r="AO786" s="71"/>
      <c r="AP786" s="71"/>
      <c r="AQ786" s="71"/>
      <c r="AR786" s="71"/>
      <c r="AS786" s="94">
        <f t="shared" ca="1" si="1078"/>
        <v>0</v>
      </c>
      <c r="AT786" s="95">
        <f t="shared" si="1079"/>
        <v>4</v>
      </c>
      <c r="AU786" s="97">
        <f t="shared" si="1080"/>
        <v>4</v>
      </c>
      <c r="AW786" s="83">
        <f t="shared" si="1081"/>
        <v>1</v>
      </c>
      <c r="AX786" s="83">
        <f t="shared" si="1082"/>
        <v>2</v>
      </c>
      <c r="AY786" s="83">
        <f t="shared" si="1083"/>
        <v>1</v>
      </c>
      <c r="AZ786" s="83">
        <f t="shared" si="1084"/>
        <v>0</v>
      </c>
      <c r="BA786" s="52"/>
      <c r="BB786" s="52"/>
      <c r="BC786" s="52"/>
      <c r="BD786" s="52"/>
      <c r="BE786" s="52"/>
      <c r="BF786" s="52"/>
      <c r="BG786" s="52"/>
      <c r="BH786" s="52"/>
      <c r="BI786" s="68" cm="1">
        <f t="array" ref="BI786">IFERROR(INDEX(AW786:BH786,1,MATCH(2,1/(AW786:BH786&lt;&gt;""))),"")</f>
        <v>0</v>
      </c>
      <c r="BJ786" s="68" cm="1">
        <f t="array" ref="BJ786">IF(BM786 = "", "",IFERROR(INDEX(AW786:BH786,1,MATCH(2,1/(AW786:BH786&lt;&gt;""),1)-1),""))</f>
        <v>1</v>
      </c>
      <c r="BK786" s="59">
        <f>IF((IF(AW786&gt;=150%,150%,AW786) + IF(AX786&gt;=150%,150%,AX786) + IF(AY786&gt;=150%,150%,AY786) + (IF(AW786&gt;=150%,150%,AW786) + IF(BA786&gt;=150%,150%,BA786) + IF(BB786&gt;=150%,150%,BB786) + IF(BC786&gt;=150%,150%,BC786) + IF(BD786&gt;=150%,150%,BD786) + IF(BE786&gt;=150%,150%,BE786) + IF(BF786&gt;=150%,150%,BF786) + IF(BG786&gt;=150%,150%,BG786) + IF(BH786&gt;=150%,150%,BH786)))/_xlfn.XLOOKUP(F786,Apuração!A:A,Apuração!B:B)&gt;=1.15,1.15,((IF(AW786&gt;=150%,150%,AW786) + IF(AX786&gt;=150%,150%,AX786) + IF(AY786&gt;=150%,150%,AY786) + (IF(AW786&gt;=150%,150%,AW786) + IF(BA786&gt;=150%,150%,BA786) + IF(BB786&gt;=150%,150%,BB786) + IF(BC786&gt;=150%,150%,BC786) + IF(BD786&gt;=150%,150%,BD786) + IF(BE786&gt;=150%,150%,BE786) + IF(BF786&gt;=150%,150%,BF786) + IF(BG786&gt;=150%,150%,BG786) + IF(BH786&gt;=150%,150%,BH786)))/_xlfn.XLOOKUP(F786,Apuração!A:A,Apuração!B:B)))</f>
        <v>0.375</v>
      </c>
      <c r="BL786" s="59" cm="1">
        <f t="array" aca="1" ref="BL786" ca="1">IF(SUM(IFERROR(IF(INDEX(AW786:INDEX(AW786:BH786, MATCH(2, 1/(AW786:BH786&lt;&gt;""), 1)-1), ROW(INDIRECT("1:" &amp; MATCH(2, 1/(AW786:BH786&lt;&gt;""), 1)-1))) &gt;= 150%, 150%, INDEX(AW786:INDEX(AW786:BH786, MATCH(2, 1/(AW786:BH786&lt;&gt;""), 1)-1), ROW(INDIRECT("1:" &amp; MATCH(2, 1/(AW786:BH786&lt;&gt;""), 1)-1)))), 0))/_xlfn.XLOOKUP(F786,Apuração!A:A,Apuração!B:B)&gt;=1.15,1.15,SUM(IFERROR(IF(INDEX(AW786:INDEX(AW786:BH786, MATCH(2, 1/(AW786:BH786&lt;&gt;""), 1)-1), ROW(INDIRECT("1:" &amp; MATCH(2, 1/(AW786:BH786&lt;&gt;""), 1)-1))) &gt;= 150%, 150%, INDEX(AW786:INDEX(AW786:BH786, MATCH(2, 1/(AW786:BH786&lt;&gt;""), 1)-1), ROW(INDIRECT("1:" &amp; MATCH(2, 1/(AW786:BH786&lt;&gt;""), 1)-1)))), 0))/_xlfn.XLOOKUP(F786,Apuração!A:A,Apuração!B:B))</f>
        <v>0.29166666666666669</v>
      </c>
      <c r="BM786" s="55" cm="1">
        <f t="array" ref="BM786">IFERROR(
   INDEX($AW$1:$BH$1,
      _xlfn.AGGREGATE(14, 6, COLUMN($AW$1:$BH$1)/(AW786:BH786&lt;&gt;""), 2) - COLUMN($AW$1) + 1
   ),
"")</f>
        <v>46082</v>
      </c>
      <c r="BN786" s="55" cm="1">
        <f t="array" ref="BN786">IFERROR(INDEX($AW$1:$BH$1,1,MATCH(2,1/(AW786:BH786&lt;&gt;""))),"")</f>
        <v>46113</v>
      </c>
      <c r="BO786" s="53">
        <f ca="1">IFERROR(_xlfn.XLOOKUP(F786,Apuração!A:A,Apuração!C:C)/_xlfn.XLOOKUP(F786,Apuração!A:A,Apuração!B:B),0)</f>
        <v>0.41666666666666669</v>
      </c>
      <c r="BP786" s="53">
        <f ca="1">IFERROR(_xlfn.XLOOKUP(F786,Apuração!A:A,Apuração!D:D)/_xlfn.XLOOKUP(F786,Apuração!A:A,Apuração!B:B),0)</f>
        <v>0.33333333333333331</v>
      </c>
      <c r="BQ786" s="53">
        <f ca="1">IF(BK786&gt;=BO786,0,_xlfn.XLOOKUP(F786,Apuração!A:A,Apuração!B:B)*(BO786 + (1/_xlfn.XLOOKUP(F786,Apuração!A:A,Apuração!B:B)) - BK786))</f>
        <v>1.5</v>
      </c>
      <c r="BR786" s="85">
        <f t="shared" ca="1" si="1085"/>
        <v>0</v>
      </c>
      <c r="BS786" s="53">
        <f ca="1">IFERROR((_xlfn.XLOOKUP(F786,Apuração!A:A,Apuração!C:C)+1)/_xlfn.XLOOKUP(F786,Apuração!A:A,Apuração!B:B),0)</f>
        <v>0.5</v>
      </c>
    </row>
    <row r="787" spans="1:71" ht="25.95" hidden="1" customHeight="1" x14ac:dyDescent="0.3">
      <c r="A787" s="42" t="s">
        <v>134</v>
      </c>
      <c r="B787" s="4" t="s">
        <v>158</v>
      </c>
      <c r="C787" s="5" t="s">
        <v>97</v>
      </c>
      <c r="D787" s="5" t="s">
        <v>102</v>
      </c>
      <c r="E787" s="4" t="str" cm="1">
        <f t="array" ref="E787">_xlfn.IFS(
F787 = "A partir de Abril", "Aguardando Execução na Distribuidora",
A787 = "CAPACITAÇÃO", "Em execução no Corporativo",
TRUE, "Em Execução na Distribuidora"
)</f>
        <v>Em Execução na Distribuidora</v>
      </c>
      <c r="F787" s="4" t="str" cm="1">
        <f t="array" ref="F787">_xlfn.IFS(
AG787 &lt;&gt; "", "Jan-Dez/26",
AH787 &lt;&gt; "", "Fev-Dez/26",
AI787 &lt;&gt; "", "Mar-Dez/26", AJ787 &lt;&gt; "", "Abr-Dez/26",
TRUE, "A partir de Junho"
)</f>
        <v>Jan-Dez/26</v>
      </c>
      <c r="G787" s="4" t="s">
        <v>62</v>
      </c>
      <c r="H787" s="7" t="s">
        <v>54</v>
      </c>
      <c r="I787" s="8" t="s">
        <v>165</v>
      </c>
      <c r="J787" s="8" t="str" cm="1">
        <f t="array" aca="1" ref="J787" ca="1">_xlfn.LET(
  _xlpm.actual_value_month, INDEX(T787:AE787, MATCH(DATE(YEAR(TODAY()), MONTH(TODAY()), 1), $T$1:$AE$1, 0)),
  IF(_xlpm.actual_value_month &lt;&gt; "",_xlpm.actual_value_month &amp; " ações mensais", "")
)</f>
        <v/>
      </c>
      <c r="K787" s="8" t="str" cm="1">
        <f t="array" ref="K787">_xlfn.LET(
    _xlpm.sum_month, SUM(T787:AE787),
    IF(_xlpm.sum_month = 0, "", _xlpm.sum_month &amp; " participações de líderes nas agendas semanais")
)</f>
        <v/>
      </c>
      <c r="L787" s="4" t="s">
        <v>166</v>
      </c>
      <c r="M787" s="24">
        <v>1</v>
      </c>
      <c r="N787" s="5" t="s">
        <v>51</v>
      </c>
      <c r="O787" s="111" t="s">
        <v>43</v>
      </c>
      <c r="P787" s="10" t="s">
        <v>44</v>
      </c>
      <c r="Q787" s="10" t="s">
        <v>44</v>
      </c>
      <c r="R787" s="11" t="s">
        <v>44</v>
      </c>
      <c r="S787" s="11" t="s">
        <v>44</v>
      </c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G787" s="146">
        <v>1</v>
      </c>
      <c r="AH787" s="146">
        <v>1</v>
      </c>
      <c r="AI787" s="146">
        <v>2</v>
      </c>
      <c r="AJ787" s="146">
        <v>0</v>
      </c>
      <c r="AK787" s="71">
        <v>0</v>
      </c>
      <c r="AL787" s="71"/>
      <c r="AM787" s="71"/>
      <c r="AN787" s="71"/>
      <c r="AO787" s="71"/>
      <c r="AP787" s="71"/>
      <c r="AQ787" s="71"/>
      <c r="AR787" s="71"/>
      <c r="AS787" s="94">
        <f t="shared" ca="1" si="1078"/>
        <v>0</v>
      </c>
      <c r="AT787" s="95">
        <f t="shared" si="1079"/>
        <v>4</v>
      </c>
      <c r="AU787" s="97">
        <f t="shared" si="1080"/>
        <v>4</v>
      </c>
      <c r="AW787" s="83">
        <f t="shared" si="1081"/>
        <v>1</v>
      </c>
      <c r="AX787" s="83">
        <f t="shared" si="1082"/>
        <v>1</v>
      </c>
      <c r="AY787" s="83">
        <f t="shared" si="1083"/>
        <v>2</v>
      </c>
      <c r="AZ787" s="83">
        <f t="shared" si="1084"/>
        <v>0</v>
      </c>
      <c r="BA787" s="52"/>
      <c r="BB787" s="52"/>
      <c r="BC787" s="52"/>
      <c r="BD787" s="52"/>
      <c r="BE787" s="52"/>
      <c r="BF787" s="52"/>
      <c r="BG787" s="52"/>
      <c r="BH787" s="52"/>
      <c r="BI787" s="68" cm="1">
        <f t="array" ref="BI787">IFERROR(INDEX(AW787:BH787,1,MATCH(2,1/(AW787:BH787&lt;&gt;""))),"")</f>
        <v>0</v>
      </c>
      <c r="BJ787" s="68" cm="1">
        <f t="array" ref="BJ787">IF(BM787 = "", "",IFERROR(INDEX(AW787:BH787,1,MATCH(2,1/(AW787:BH787&lt;&gt;""),1)-1),""))</f>
        <v>2</v>
      </c>
      <c r="BK787" s="59">
        <f>IF((IF(AW787&gt;=150%,150%,AW787) + IF(AX787&gt;=150%,150%,AX787) + IF(AY787&gt;=150%,150%,AY787) + (IF(AW787&gt;=150%,150%,AW787) + IF(BA787&gt;=150%,150%,BA787) + IF(BB787&gt;=150%,150%,BB787) + IF(BC787&gt;=150%,150%,BC787) + IF(BD787&gt;=150%,150%,BD787) + IF(BE787&gt;=150%,150%,BE787) + IF(BF787&gt;=150%,150%,BF787) + IF(BG787&gt;=150%,150%,BG787) + IF(BH787&gt;=150%,150%,BH787)))/_xlfn.XLOOKUP(F787,Apuração!A:A,Apuração!B:B)&gt;=1.15,1.15,((IF(AW787&gt;=150%,150%,AW787) + IF(AX787&gt;=150%,150%,AX787) + IF(AY787&gt;=150%,150%,AY787) + (IF(AW787&gt;=150%,150%,AW787) + IF(BA787&gt;=150%,150%,BA787) + IF(BB787&gt;=150%,150%,BB787) + IF(BC787&gt;=150%,150%,BC787) + IF(BD787&gt;=150%,150%,BD787) + IF(BE787&gt;=150%,150%,BE787) + IF(BF787&gt;=150%,150%,BF787) + IF(BG787&gt;=150%,150%,BG787) + IF(BH787&gt;=150%,150%,BH787)))/_xlfn.XLOOKUP(F787,Apuração!A:A,Apuração!B:B)))</f>
        <v>0.375</v>
      </c>
      <c r="BL787" s="59" cm="1">
        <f t="array" aca="1" ref="BL787" ca="1">IF(SUM(IFERROR(IF(INDEX(AW787:INDEX(AW787:BH787, MATCH(2, 1/(AW787:BH787&lt;&gt;""), 1)-1), ROW(INDIRECT("1:" &amp; MATCH(2, 1/(AW787:BH787&lt;&gt;""), 1)-1))) &gt;= 150%, 150%, INDEX(AW787:INDEX(AW787:BH787, MATCH(2, 1/(AW787:BH787&lt;&gt;""), 1)-1), ROW(INDIRECT("1:" &amp; MATCH(2, 1/(AW787:BH787&lt;&gt;""), 1)-1)))), 0))/_xlfn.XLOOKUP(F787,Apuração!A:A,Apuração!B:B)&gt;=1.15,1.15,SUM(IFERROR(IF(INDEX(AW787:INDEX(AW787:BH787, MATCH(2, 1/(AW787:BH787&lt;&gt;""), 1)-1), ROW(INDIRECT("1:" &amp; MATCH(2, 1/(AW787:BH787&lt;&gt;""), 1)-1))) &gt;= 150%, 150%, INDEX(AW787:INDEX(AW787:BH787, MATCH(2, 1/(AW787:BH787&lt;&gt;""), 1)-1), ROW(INDIRECT("1:" &amp; MATCH(2, 1/(AW787:BH787&lt;&gt;""), 1)-1)))), 0))/_xlfn.XLOOKUP(F787,Apuração!A:A,Apuração!B:B))</f>
        <v>0.29166666666666669</v>
      </c>
      <c r="BM787" s="55" cm="1">
        <f t="array" ref="BM787">IFERROR(
   INDEX($AW$1:$BH$1,
      _xlfn.AGGREGATE(14, 6, COLUMN($AW$1:$BH$1)/(AW787:BH787&lt;&gt;""), 2) - COLUMN($AW$1) + 1
   ),
"")</f>
        <v>46082</v>
      </c>
      <c r="BN787" s="55" cm="1">
        <f t="array" ref="BN787">IFERROR(INDEX($AW$1:$BH$1,1,MATCH(2,1/(AW787:BH787&lt;&gt;""))),"")</f>
        <v>46113</v>
      </c>
      <c r="BO787" s="53">
        <f ca="1">IFERROR(_xlfn.XLOOKUP(F787,Apuração!A:A,Apuração!C:C)/_xlfn.XLOOKUP(F787,Apuração!A:A,Apuração!B:B),0)</f>
        <v>0.41666666666666669</v>
      </c>
      <c r="BP787" s="53">
        <f ca="1">IFERROR(_xlfn.XLOOKUP(F787,Apuração!A:A,Apuração!D:D)/_xlfn.XLOOKUP(F787,Apuração!A:A,Apuração!B:B),0)</f>
        <v>0.33333333333333331</v>
      </c>
      <c r="BQ787" s="53">
        <f ca="1">IF(BK787&gt;=BO787,0,_xlfn.XLOOKUP(F787,Apuração!A:A,Apuração!B:B)*(BO787 + (1/_xlfn.XLOOKUP(F787,Apuração!A:A,Apuração!B:B)) - BK787))</f>
        <v>1.5</v>
      </c>
      <c r="BR787" s="85">
        <f t="shared" ca="1" si="1085"/>
        <v>0</v>
      </c>
      <c r="BS787" s="53">
        <f ca="1">IFERROR((_xlfn.XLOOKUP(F787,Apuração!A:A,Apuração!C:C)+1)/_xlfn.XLOOKUP(F787,Apuração!A:A,Apuração!B:B),0)</f>
        <v>0.5</v>
      </c>
    </row>
    <row r="788" spans="1:71" ht="25.95" hidden="1" customHeight="1" x14ac:dyDescent="0.3">
      <c r="A788" s="42" t="s">
        <v>134</v>
      </c>
      <c r="B788" s="4" t="s">
        <v>158</v>
      </c>
      <c r="C788" s="5" t="s">
        <v>97</v>
      </c>
      <c r="D788" s="5" t="s">
        <v>103</v>
      </c>
      <c r="E788" s="4" t="str" cm="1">
        <f t="array" ref="E788">_xlfn.IFS(
F788 = "A partir de Abril", "Aguardando Execução na Distribuidora",
A788 = "CAPACITAÇÃO", "Em execução no Corporativo",
TRUE, "Em Execução na Distribuidora"
)</f>
        <v>Em Execução na Distribuidora</v>
      </c>
      <c r="F788" s="4" t="str" cm="1">
        <f t="array" ref="F788">_xlfn.IFS(
AG788 &lt;&gt; "", "Jan-Dez/26",
AH788 &lt;&gt; "", "Fev-Dez/26",
AI788 &lt;&gt; "", "Mar-Dez/26", AJ788 &lt;&gt; "", "Abr-Dez/26",
TRUE, "A partir de Junho"
)</f>
        <v>Jan-Dez/26</v>
      </c>
      <c r="G788" s="4" t="s">
        <v>62</v>
      </c>
      <c r="H788" s="7" t="s">
        <v>54</v>
      </c>
      <c r="I788" s="8" t="s">
        <v>165</v>
      </c>
      <c r="J788" s="8" t="str" cm="1">
        <f t="array" aca="1" ref="J788" ca="1">_xlfn.LET(
  _xlpm.actual_value_month, INDEX(T788:AE788, MATCH(DATE(YEAR(TODAY()), MONTH(TODAY()), 1), $T$1:$AE$1, 0)),
  IF(_xlpm.actual_value_month &lt;&gt; "",_xlpm.actual_value_month &amp; " ações mensais", "")
)</f>
        <v/>
      </c>
      <c r="K788" s="8" t="str" cm="1">
        <f t="array" ref="K788">_xlfn.LET(
    _xlpm.sum_month, SUM(T788:AE788),
    IF(_xlpm.sum_month = 0, "", _xlpm.sum_month &amp; " participações de líderes nas agendas semanais")
)</f>
        <v/>
      </c>
      <c r="L788" s="4" t="s">
        <v>166</v>
      </c>
      <c r="M788" s="24">
        <v>1</v>
      </c>
      <c r="N788" s="5" t="s">
        <v>51</v>
      </c>
      <c r="O788" s="111" t="s">
        <v>43</v>
      </c>
      <c r="P788" s="10" t="s">
        <v>44</v>
      </c>
      <c r="Q788" s="10" t="s">
        <v>44</v>
      </c>
      <c r="R788" s="11" t="s">
        <v>44</v>
      </c>
      <c r="S788" s="11" t="s">
        <v>44</v>
      </c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G788" s="146">
        <v>0</v>
      </c>
      <c r="AH788" s="146">
        <v>0</v>
      </c>
      <c r="AI788" s="146">
        <v>2</v>
      </c>
      <c r="AJ788" s="146">
        <v>0</v>
      </c>
      <c r="AK788" s="71">
        <v>0</v>
      </c>
      <c r="AL788" s="71"/>
      <c r="AM788" s="71"/>
      <c r="AN788" s="71"/>
      <c r="AO788" s="71"/>
      <c r="AP788" s="71"/>
      <c r="AQ788" s="71"/>
      <c r="AR788" s="71"/>
      <c r="AS788" s="94">
        <f t="shared" ca="1" si="1078"/>
        <v>0</v>
      </c>
      <c r="AT788" s="95">
        <f t="shared" si="1079"/>
        <v>2</v>
      </c>
      <c r="AU788" s="97">
        <f t="shared" si="1080"/>
        <v>2</v>
      </c>
      <c r="AW788" s="83">
        <f t="shared" si="1081"/>
        <v>0</v>
      </c>
      <c r="AX788" s="83">
        <f t="shared" si="1082"/>
        <v>0</v>
      </c>
      <c r="AY788" s="83">
        <f t="shared" si="1083"/>
        <v>2</v>
      </c>
      <c r="AZ788" s="83">
        <f t="shared" si="1084"/>
        <v>0</v>
      </c>
      <c r="BA788" s="52"/>
      <c r="BB788" s="52"/>
      <c r="BC788" s="52"/>
      <c r="BD788" s="52"/>
      <c r="BE788" s="52"/>
      <c r="BF788" s="52"/>
      <c r="BG788" s="52"/>
      <c r="BH788" s="52"/>
      <c r="BI788" s="68" cm="1">
        <f t="array" ref="BI788">IFERROR(INDEX(AW788:BH788,1,MATCH(2,1/(AW788:BH788&lt;&gt;""))),"")</f>
        <v>0</v>
      </c>
      <c r="BJ788" s="68" cm="1">
        <f t="array" ref="BJ788">IF(BM788 = "", "",IFERROR(INDEX(AW788:BH788,1,MATCH(2,1/(AW788:BH788&lt;&gt;""),1)-1),""))</f>
        <v>2</v>
      </c>
      <c r="BK788" s="59">
        <f>IF((IF(AW788&gt;=150%,150%,AW788) + IF(AX788&gt;=150%,150%,AX788) + IF(AY788&gt;=150%,150%,AY788) + (IF(AW788&gt;=150%,150%,AW788) + IF(BA788&gt;=150%,150%,BA788) + IF(BB788&gt;=150%,150%,BB788) + IF(BC788&gt;=150%,150%,BC788) + IF(BD788&gt;=150%,150%,BD788) + IF(BE788&gt;=150%,150%,BE788) + IF(BF788&gt;=150%,150%,BF788) + IF(BG788&gt;=150%,150%,BG788) + IF(BH788&gt;=150%,150%,BH788)))/_xlfn.XLOOKUP(F788,Apuração!A:A,Apuração!B:B)&gt;=1.15,1.15,((IF(AW788&gt;=150%,150%,AW788) + IF(AX788&gt;=150%,150%,AX788) + IF(AY788&gt;=150%,150%,AY788) + (IF(AW788&gt;=150%,150%,AW788) + IF(BA788&gt;=150%,150%,BA788) + IF(BB788&gt;=150%,150%,BB788) + IF(BC788&gt;=150%,150%,BC788) + IF(BD788&gt;=150%,150%,BD788) + IF(BE788&gt;=150%,150%,BE788) + IF(BF788&gt;=150%,150%,BF788) + IF(BG788&gt;=150%,150%,BG788) + IF(BH788&gt;=150%,150%,BH788)))/_xlfn.XLOOKUP(F788,Apuração!A:A,Apuração!B:B)))</f>
        <v>0.125</v>
      </c>
      <c r="BL788" s="59" cm="1">
        <f t="array" aca="1" ref="BL788" ca="1">IF(SUM(IFERROR(IF(INDEX(AW788:INDEX(AW788:BH788, MATCH(2, 1/(AW788:BH788&lt;&gt;""), 1)-1), ROW(INDIRECT("1:" &amp; MATCH(2, 1/(AW788:BH788&lt;&gt;""), 1)-1))) &gt;= 150%, 150%, INDEX(AW788:INDEX(AW788:BH788, MATCH(2, 1/(AW788:BH788&lt;&gt;""), 1)-1), ROW(INDIRECT("1:" &amp; MATCH(2, 1/(AW788:BH788&lt;&gt;""), 1)-1)))), 0))/_xlfn.XLOOKUP(F788,Apuração!A:A,Apuração!B:B)&gt;=1.15,1.15,SUM(IFERROR(IF(INDEX(AW788:INDEX(AW788:BH788, MATCH(2, 1/(AW788:BH788&lt;&gt;""), 1)-1), ROW(INDIRECT("1:" &amp; MATCH(2, 1/(AW788:BH788&lt;&gt;""), 1)-1))) &gt;= 150%, 150%, INDEX(AW788:INDEX(AW788:BH788, MATCH(2, 1/(AW788:BH788&lt;&gt;""), 1)-1), ROW(INDIRECT("1:" &amp; MATCH(2, 1/(AW788:BH788&lt;&gt;""), 1)-1)))), 0))/_xlfn.XLOOKUP(F788,Apuração!A:A,Apuração!B:B))</f>
        <v>0.125</v>
      </c>
      <c r="BM788" s="55" cm="1">
        <f t="array" ref="BM788">IFERROR(
   INDEX($AW$1:$BH$1,
      _xlfn.AGGREGATE(14, 6, COLUMN($AW$1:$BH$1)/(AW788:BH788&lt;&gt;""), 2) - COLUMN($AW$1) + 1
   ),
"")</f>
        <v>46082</v>
      </c>
      <c r="BN788" s="55" cm="1">
        <f t="array" ref="BN788">IFERROR(INDEX($AW$1:$BH$1,1,MATCH(2,1/(AW788:BH788&lt;&gt;""))),"")</f>
        <v>46113</v>
      </c>
      <c r="BO788" s="53">
        <f ca="1">IFERROR(_xlfn.XLOOKUP(F788,Apuração!A:A,Apuração!C:C)/_xlfn.XLOOKUP(F788,Apuração!A:A,Apuração!B:B),0)</f>
        <v>0.41666666666666669</v>
      </c>
      <c r="BP788" s="53">
        <f ca="1">IFERROR(_xlfn.XLOOKUP(F788,Apuração!A:A,Apuração!D:D)/_xlfn.XLOOKUP(F788,Apuração!A:A,Apuração!B:B),0)</f>
        <v>0.33333333333333331</v>
      </c>
      <c r="BQ788" s="53">
        <f ca="1">IF(BK788&gt;=BO788,0,_xlfn.XLOOKUP(F788,Apuração!A:A,Apuração!B:B)*(BO788 + (1/_xlfn.XLOOKUP(F788,Apuração!A:A,Apuração!B:B)) - BK788))</f>
        <v>4.5</v>
      </c>
      <c r="BR788" s="85">
        <f t="shared" ca="1" si="1085"/>
        <v>0</v>
      </c>
      <c r="BS788" s="53">
        <f ca="1">IFERROR((_xlfn.XLOOKUP(F788,Apuração!A:A,Apuração!C:C)+1)/_xlfn.XLOOKUP(F788,Apuração!A:A,Apuração!B:B),0)</f>
        <v>0.5</v>
      </c>
    </row>
    <row r="789" spans="1:71" ht="25.95" hidden="1" customHeight="1" x14ac:dyDescent="0.3">
      <c r="A789" s="42" t="s">
        <v>134</v>
      </c>
      <c r="B789" s="4" t="s">
        <v>158</v>
      </c>
      <c r="C789" s="5" t="s">
        <v>97</v>
      </c>
      <c r="D789" s="5" t="s">
        <v>104</v>
      </c>
      <c r="E789" s="4" t="str" cm="1">
        <f t="array" ref="E789">_xlfn.IFS(
F789 = "A partir de Abril", "Aguardando Execução na Distribuidora",
A789 = "CAPACITAÇÃO", "Em execução no Corporativo",
TRUE, "Em Execução na Distribuidora"
)</f>
        <v>Em Execução na Distribuidora</v>
      </c>
      <c r="F789" s="4" t="str" cm="1">
        <f t="array" ref="F789">_xlfn.IFS(
AG789 &lt;&gt; "", "Jan-Dez/26",
AH789 &lt;&gt; "", "Fev-Dez/26",
AI789 &lt;&gt; "", "Mar-Dez/26", AJ789 &lt;&gt; "", "Abr-Dez/26",
TRUE, "A partir de Junho"
)</f>
        <v>Jan-Dez/26</v>
      </c>
      <c r="G789" s="4" t="s">
        <v>62</v>
      </c>
      <c r="H789" s="7" t="s">
        <v>54</v>
      </c>
      <c r="I789" s="8" t="s">
        <v>165</v>
      </c>
      <c r="J789" s="8" t="str" cm="1">
        <f t="array" aca="1" ref="J789" ca="1">_xlfn.LET(
  _xlpm.actual_value_month, INDEX(T789:AE789, MATCH(DATE(YEAR(TODAY()), MONTH(TODAY()), 1), $T$1:$AE$1, 0)),
  IF(_xlpm.actual_value_month &lt;&gt; "",_xlpm.actual_value_month &amp; " ações mensais", "")
)</f>
        <v/>
      </c>
      <c r="K789" s="8" t="str" cm="1">
        <f t="array" ref="K789">_xlfn.LET(
    _xlpm.sum_month, SUM(T789:AE789),
    IF(_xlpm.sum_month = 0, "", _xlpm.sum_month &amp; " participações de líderes nas agendas semanais")
)</f>
        <v/>
      </c>
      <c r="L789" s="4" t="s">
        <v>166</v>
      </c>
      <c r="M789" s="24">
        <v>1</v>
      </c>
      <c r="N789" s="5" t="s">
        <v>51</v>
      </c>
      <c r="O789" s="111" t="s">
        <v>43</v>
      </c>
      <c r="P789" s="10" t="s">
        <v>44</v>
      </c>
      <c r="Q789" s="10" t="s">
        <v>44</v>
      </c>
      <c r="R789" s="11" t="s">
        <v>44</v>
      </c>
      <c r="S789" s="11" t="s">
        <v>44</v>
      </c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G789" s="146">
        <v>0</v>
      </c>
      <c r="AH789" s="146">
        <v>1</v>
      </c>
      <c r="AI789" s="146">
        <v>0</v>
      </c>
      <c r="AJ789" s="146">
        <v>0</v>
      </c>
      <c r="AK789" s="71">
        <v>0</v>
      </c>
      <c r="AL789" s="71"/>
      <c r="AM789" s="71"/>
      <c r="AN789" s="71"/>
      <c r="AO789" s="71"/>
      <c r="AP789" s="71"/>
      <c r="AQ789" s="71"/>
      <c r="AR789" s="71"/>
      <c r="AS789" s="94">
        <f t="shared" ca="1" si="1078"/>
        <v>0</v>
      </c>
      <c r="AT789" s="95">
        <f t="shared" si="1079"/>
        <v>1</v>
      </c>
      <c r="AU789" s="97">
        <f t="shared" si="1080"/>
        <v>1</v>
      </c>
      <c r="AW789" s="83">
        <f t="shared" si="1081"/>
        <v>0</v>
      </c>
      <c r="AX789" s="83">
        <f t="shared" si="1082"/>
        <v>1</v>
      </c>
      <c r="AY789" s="83">
        <f t="shared" si="1083"/>
        <v>0</v>
      </c>
      <c r="AZ789" s="83">
        <f t="shared" si="1084"/>
        <v>0</v>
      </c>
      <c r="BA789" s="52"/>
      <c r="BB789" s="52"/>
      <c r="BC789" s="52"/>
      <c r="BD789" s="52"/>
      <c r="BE789" s="52"/>
      <c r="BF789" s="52"/>
      <c r="BG789" s="52"/>
      <c r="BH789" s="52"/>
      <c r="BI789" s="68" cm="1">
        <f t="array" ref="BI789">IFERROR(INDEX(AW789:BH789,1,MATCH(2,1/(AW789:BH789&lt;&gt;""))),"")</f>
        <v>0</v>
      </c>
      <c r="BJ789" s="68" cm="1">
        <f t="array" ref="BJ789">IF(BM789 = "", "",IFERROR(INDEX(AW789:BH789,1,MATCH(2,1/(AW789:BH789&lt;&gt;""),1)-1),""))</f>
        <v>0</v>
      </c>
      <c r="BK789" s="59">
        <f>IF((IF(AW789&gt;=150%,150%,AW789) + IF(AX789&gt;=150%,150%,AX789) + IF(AY789&gt;=150%,150%,AY789) + (IF(AW789&gt;=150%,150%,AW789) + IF(BA789&gt;=150%,150%,BA789) + IF(BB789&gt;=150%,150%,BB789) + IF(BC789&gt;=150%,150%,BC789) + IF(BD789&gt;=150%,150%,BD789) + IF(BE789&gt;=150%,150%,BE789) + IF(BF789&gt;=150%,150%,BF789) + IF(BG789&gt;=150%,150%,BG789) + IF(BH789&gt;=150%,150%,BH789)))/_xlfn.XLOOKUP(F789,Apuração!A:A,Apuração!B:B)&gt;=1.15,1.15,((IF(AW789&gt;=150%,150%,AW789) + IF(AX789&gt;=150%,150%,AX789) + IF(AY789&gt;=150%,150%,AY789) + (IF(AW789&gt;=150%,150%,AW789) + IF(BA789&gt;=150%,150%,BA789) + IF(BB789&gt;=150%,150%,BB789) + IF(BC789&gt;=150%,150%,BC789) + IF(BD789&gt;=150%,150%,BD789) + IF(BE789&gt;=150%,150%,BE789) + IF(BF789&gt;=150%,150%,BF789) + IF(BG789&gt;=150%,150%,BG789) + IF(BH789&gt;=150%,150%,BH789)))/_xlfn.XLOOKUP(F789,Apuração!A:A,Apuração!B:B)))</f>
        <v>8.3333333333333329E-2</v>
      </c>
      <c r="BL789" s="59" cm="1">
        <f t="array" aca="1" ref="BL789" ca="1">IF(SUM(IFERROR(IF(INDEX(AW789:INDEX(AW789:BH789, MATCH(2, 1/(AW789:BH789&lt;&gt;""), 1)-1), ROW(INDIRECT("1:" &amp; MATCH(2, 1/(AW789:BH789&lt;&gt;""), 1)-1))) &gt;= 150%, 150%, INDEX(AW789:INDEX(AW789:BH789, MATCH(2, 1/(AW789:BH789&lt;&gt;""), 1)-1), ROW(INDIRECT("1:" &amp; MATCH(2, 1/(AW789:BH789&lt;&gt;""), 1)-1)))), 0))/_xlfn.XLOOKUP(F789,Apuração!A:A,Apuração!B:B)&gt;=1.15,1.15,SUM(IFERROR(IF(INDEX(AW789:INDEX(AW789:BH789, MATCH(2, 1/(AW789:BH789&lt;&gt;""), 1)-1), ROW(INDIRECT("1:" &amp; MATCH(2, 1/(AW789:BH789&lt;&gt;""), 1)-1))) &gt;= 150%, 150%, INDEX(AW789:INDEX(AW789:BH789, MATCH(2, 1/(AW789:BH789&lt;&gt;""), 1)-1), ROW(INDIRECT("1:" &amp; MATCH(2, 1/(AW789:BH789&lt;&gt;""), 1)-1)))), 0))/_xlfn.XLOOKUP(F789,Apuração!A:A,Apuração!B:B))</f>
        <v>8.3333333333333329E-2</v>
      </c>
      <c r="BM789" s="55" cm="1">
        <f t="array" ref="BM789">IFERROR(
   INDEX($AW$1:$BH$1,
      _xlfn.AGGREGATE(14, 6, COLUMN($AW$1:$BH$1)/(AW789:BH789&lt;&gt;""), 2) - COLUMN($AW$1) + 1
   ),
"")</f>
        <v>46082</v>
      </c>
      <c r="BN789" s="55" cm="1">
        <f t="array" ref="BN789">IFERROR(INDEX($AW$1:$BH$1,1,MATCH(2,1/(AW789:BH789&lt;&gt;""))),"")</f>
        <v>46113</v>
      </c>
      <c r="BO789" s="53">
        <f ca="1">IFERROR(_xlfn.XLOOKUP(F789,Apuração!A:A,Apuração!C:C)/_xlfn.XLOOKUP(F789,Apuração!A:A,Apuração!B:B),0)</f>
        <v>0.41666666666666669</v>
      </c>
      <c r="BP789" s="53">
        <f ca="1">IFERROR(_xlfn.XLOOKUP(F789,Apuração!A:A,Apuração!D:D)/_xlfn.XLOOKUP(F789,Apuração!A:A,Apuração!B:B),0)</f>
        <v>0.33333333333333331</v>
      </c>
      <c r="BQ789" s="53">
        <f ca="1">IF(BK789&gt;=BO789,0,_xlfn.XLOOKUP(F789,Apuração!A:A,Apuração!B:B)*(BO789 + (1/_xlfn.XLOOKUP(F789,Apuração!A:A,Apuração!B:B)) - BK789))</f>
        <v>5</v>
      </c>
      <c r="BR789" s="85">
        <f t="shared" ca="1" si="1085"/>
        <v>0</v>
      </c>
      <c r="BS789" s="53">
        <f ca="1">IFERROR((_xlfn.XLOOKUP(F789,Apuração!A:A,Apuração!C:C)+1)/_xlfn.XLOOKUP(F789,Apuração!A:A,Apuração!B:B),0)</f>
        <v>0.5</v>
      </c>
    </row>
    <row r="790" spans="1:71" ht="25.95" hidden="1" customHeight="1" x14ac:dyDescent="0.3">
      <c r="A790" s="42" t="s">
        <v>134</v>
      </c>
      <c r="B790" s="4" t="s">
        <v>158</v>
      </c>
      <c r="C790" s="5" t="s">
        <v>97</v>
      </c>
      <c r="D790" s="5" t="s">
        <v>105</v>
      </c>
      <c r="E790" s="4" t="str" cm="1">
        <f t="array" ref="E790">_xlfn.IFS(
F790 = "A partir de Abril", "Aguardando Execução na Distribuidora",
A790 = "CAPACITAÇÃO", "Em execução no Corporativo",
TRUE, "Em Execução na Distribuidora"
)</f>
        <v>Em Execução na Distribuidora</v>
      </c>
      <c r="F790" s="4" t="str" cm="1">
        <f t="array" ref="F790">_xlfn.IFS(
AG790 &lt;&gt; "", "Jan-Dez/26",
AH790 &lt;&gt; "", "Fev-Dez/26",
AI790 &lt;&gt; "", "Mar-Dez/26", AJ790 &lt;&gt; "", "Abr-Dez/26",
TRUE, "A partir de Junho"
)</f>
        <v>Jan-Dez/26</v>
      </c>
      <c r="G790" s="4" t="s">
        <v>62</v>
      </c>
      <c r="H790" s="7" t="s">
        <v>54</v>
      </c>
      <c r="I790" s="8" t="s">
        <v>165</v>
      </c>
      <c r="J790" s="8" t="str" cm="1">
        <f t="array" aca="1" ref="J790" ca="1">_xlfn.LET(
  _xlpm.actual_value_month, INDEX(T790:AE790, MATCH(DATE(YEAR(TODAY()), MONTH(TODAY()), 1), $T$1:$AE$1, 0)),
  IF(_xlpm.actual_value_month &lt;&gt; "",_xlpm.actual_value_month &amp; " ações mensais", "")
)</f>
        <v/>
      </c>
      <c r="K790" s="8" t="str" cm="1">
        <f t="array" ref="K790">_xlfn.LET(
    _xlpm.sum_month, SUM(T790:AE790),
    IF(_xlpm.sum_month = 0, "", _xlpm.sum_month &amp; " participações de líderes nas agendas semanais")
)</f>
        <v/>
      </c>
      <c r="L790" s="4" t="s">
        <v>166</v>
      </c>
      <c r="M790" s="24">
        <v>1</v>
      </c>
      <c r="N790" s="5" t="s">
        <v>51</v>
      </c>
      <c r="O790" s="111" t="s">
        <v>43</v>
      </c>
      <c r="P790" s="10" t="s">
        <v>44</v>
      </c>
      <c r="Q790" s="10" t="s">
        <v>44</v>
      </c>
      <c r="R790" s="11" t="s">
        <v>44</v>
      </c>
      <c r="S790" s="11" t="s">
        <v>44</v>
      </c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G790" s="146">
        <v>1</v>
      </c>
      <c r="AH790" s="146">
        <v>2</v>
      </c>
      <c r="AI790" s="146">
        <v>2</v>
      </c>
      <c r="AJ790" s="146">
        <v>0</v>
      </c>
      <c r="AK790" s="71">
        <v>0</v>
      </c>
      <c r="AL790" s="71"/>
      <c r="AM790" s="71"/>
      <c r="AN790" s="71"/>
      <c r="AO790" s="71"/>
      <c r="AP790" s="71"/>
      <c r="AQ790" s="71"/>
      <c r="AR790" s="71"/>
      <c r="AS790" s="94">
        <f t="shared" ca="1" si="1078"/>
        <v>0</v>
      </c>
      <c r="AT790" s="95">
        <f t="shared" si="1079"/>
        <v>5</v>
      </c>
      <c r="AU790" s="97">
        <f t="shared" si="1080"/>
        <v>5</v>
      </c>
      <c r="AW790" s="83">
        <f t="shared" si="1081"/>
        <v>1</v>
      </c>
      <c r="AX790" s="83">
        <f t="shared" si="1082"/>
        <v>2</v>
      </c>
      <c r="AY790" s="83">
        <f t="shared" si="1083"/>
        <v>2</v>
      </c>
      <c r="AZ790" s="83">
        <f t="shared" si="1084"/>
        <v>0</v>
      </c>
      <c r="BA790" s="52"/>
      <c r="BB790" s="52"/>
      <c r="BC790" s="52"/>
      <c r="BD790" s="52"/>
      <c r="BE790" s="52"/>
      <c r="BF790" s="52"/>
      <c r="BG790" s="52"/>
      <c r="BH790" s="52"/>
      <c r="BI790" s="68" cm="1">
        <f t="array" ref="BI790">IFERROR(INDEX(AW790:BH790,1,MATCH(2,1/(AW790:BH790&lt;&gt;""))),"")</f>
        <v>0</v>
      </c>
      <c r="BJ790" s="68" cm="1">
        <f t="array" ref="BJ790">IF(BM790 = "", "",IFERROR(INDEX(AW790:BH790,1,MATCH(2,1/(AW790:BH790&lt;&gt;""),1)-1),""))</f>
        <v>2</v>
      </c>
      <c r="BK790" s="59">
        <f>IF((IF(AW790&gt;=150%,150%,AW790) + IF(AX790&gt;=150%,150%,AX790) + IF(AY790&gt;=150%,150%,AY790) + (IF(AW790&gt;=150%,150%,AW790) + IF(BA790&gt;=150%,150%,BA790) + IF(BB790&gt;=150%,150%,BB790) + IF(BC790&gt;=150%,150%,BC790) + IF(BD790&gt;=150%,150%,BD790) + IF(BE790&gt;=150%,150%,BE790) + IF(BF790&gt;=150%,150%,BF790) + IF(BG790&gt;=150%,150%,BG790) + IF(BH790&gt;=150%,150%,BH790)))/_xlfn.XLOOKUP(F790,Apuração!A:A,Apuração!B:B)&gt;=1.15,1.15,((IF(AW790&gt;=150%,150%,AW790) + IF(AX790&gt;=150%,150%,AX790) + IF(AY790&gt;=150%,150%,AY790) + (IF(AW790&gt;=150%,150%,AW790) + IF(BA790&gt;=150%,150%,BA790) + IF(BB790&gt;=150%,150%,BB790) + IF(BC790&gt;=150%,150%,BC790) + IF(BD790&gt;=150%,150%,BD790) + IF(BE790&gt;=150%,150%,BE790) + IF(BF790&gt;=150%,150%,BF790) + IF(BG790&gt;=150%,150%,BG790) + IF(BH790&gt;=150%,150%,BH790)))/_xlfn.XLOOKUP(F790,Apuração!A:A,Apuração!B:B)))</f>
        <v>0.41666666666666669</v>
      </c>
      <c r="BL790" s="59" cm="1">
        <f t="array" aca="1" ref="BL790" ca="1">IF(SUM(IFERROR(IF(INDEX(AW790:INDEX(AW790:BH790, MATCH(2, 1/(AW790:BH790&lt;&gt;""), 1)-1), ROW(INDIRECT("1:" &amp; MATCH(2, 1/(AW790:BH790&lt;&gt;""), 1)-1))) &gt;= 150%, 150%, INDEX(AW790:INDEX(AW790:BH790, MATCH(2, 1/(AW790:BH790&lt;&gt;""), 1)-1), ROW(INDIRECT("1:" &amp; MATCH(2, 1/(AW790:BH790&lt;&gt;""), 1)-1)))), 0))/_xlfn.XLOOKUP(F790,Apuração!A:A,Apuração!B:B)&gt;=1.15,1.15,SUM(IFERROR(IF(INDEX(AW790:INDEX(AW790:BH790, MATCH(2, 1/(AW790:BH790&lt;&gt;""), 1)-1), ROW(INDIRECT("1:" &amp; MATCH(2, 1/(AW790:BH790&lt;&gt;""), 1)-1))) &gt;= 150%, 150%, INDEX(AW790:INDEX(AW790:BH790, MATCH(2, 1/(AW790:BH790&lt;&gt;""), 1)-1), ROW(INDIRECT("1:" &amp; MATCH(2, 1/(AW790:BH790&lt;&gt;""), 1)-1)))), 0))/_xlfn.XLOOKUP(F790,Apuração!A:A,Apuração!B:B))</f>
        <v>0.33333333333333331</v>
      </c>
      <c r="BM790" s="55" cm="1">
        <f t="array" ref="BM790">IFERROR(
   INDEX($AW$1:$BH$1,
      _xlfn.AGGREGATE(14, 6, COLUMN($AW$1:$BH$1)/(AW790:BH790&lt;&gt;""), 2) - COLUMN($AW$1) + 1
   ),
"")</f>
        <v>46082</v>
      </c>
      <c r="BN790" s="55" cm="1">
        <f t="array" ref="BN790">IFERROR(INDEX($AW$1:$BH$1,1,MATCH(2,1/(AW790:BH790&lt;&gt;""))),"")</f>
        <v>46113</v>
      </c>
      <c r="BO790" s="53">
        <f ca="1">IFERROR(_xlfn.XLOOKUP(F790,Apuração!A:A,Apuração!C:C)/_xlfn.XLOOKUP(F790,Apuração!A:A,Apuração!B:B),0)</f>
        <v>0.41666666666666669</v>
      </c>
      <c r="BP790" s="53">
        <f ca="1">IFERROR(_xlfn.XLOOKUP(F790,Apuração!A:A,Apuração!D:D)/_xlfn.XLOOKUP(F790,Apuração!A:A,Apuração!B:B),0)</f>
        <v>0.33333333333333331</v>
      </c>
      <c r="BQ790" s="53">
        <f ca="1">IF(BK790&gt;=BO790,0,_xlfn.XLOOKUP(F790,Apuração!A:A,Apuração!B:B)*(BO790 + (1/_xlfn.XLOOKUP(F790,Apuração!A:A,Apuração!B:B)) - BK790))</f>
        <v>0</v>
      </c>
      <c r="BR790" s="85">
        <f t="shared" ca="1" si="1085"/>
        <v>0</v>
      </c>
      <c r="BS790" s="53">
        <f ca="1">IFERROR((_xlfn.XLOOKUP(F790,Apuração!A:A,Apuração!C:C)+1)/_xlfn.XLOOKUP(F790,Apuração!A:A,Apuração!B:B),0)</f>
        <v>0.5</v>
      </c>
    </row>
    <row r="791" spans="1:71" ht="25.95" hidden="1" customHeight="1" x14ac:dyDescent="0.3">
      <c r="A791" s="42" t="s">
        <v>134</v>
      </c>
      <c r="B791" s="4" t="s">
        <v>158</v>
      </c>
      <c r="C791" s="5" t="s">
        <v>97</v>
      </c>
      <c r="D791" s="5" t="s">
        <v>106</v>
      </c>
      <c r="E791" s="4" t="str" cm="1">
        <f t="array" ref="E791">_xlfn.IFS(
F791 = "A partir de Abril", "Aguardando Execução na Distribuidora",
A791 = "CAPACITAÇÃO", "Em execução no Corporativo",
TRUE, "Em Execução na Distribuidora"
)</f>
        <v>Em Execução na Distribuidora</v>
      </c>
      <c r="F791" s="4" t="str" cm="1">
        <f t="array" ref="F791">_xlfn.IFS(
AG791 &lt;&gt; "", "Jan-Dez/26",
AH791 &lt;&gt; "", "Fev-Dez/26",
AI791 &lt;&gt; "", "Mar-Dez/26", AJ791 &lt;&gt; "", "Abr-Dez/26",
TRUE, "A partir de Junho"
)</f>
        <v>Jan-Dez/26</v>
      </c>
      <c r="G791" s="4" t="s">
        <v>62</v>
      </c>
      <c r="H791" s="7" t="s">
        <v>54</v>
      </c>
      <c r="I791" s="8" t="s">
        <v>165</v>
      </c>
      <c r="J791" s="8" t="str" cm="1">
        <f t="array" aca="1" ref="J791" ca="1">_xlfn.LET(
  _xlpm.actual_value_month, INDEX(T791:AE791, MATCH(DATE(YEAR(TODAY()), MONTH(TODAY()), 1), $T$1:$AE$1, 0)),
  IF(_xlpm.actual_value_month &lt;&gt; "",_xlpm.actual_value_month &amp; " ações mensais", "")
)</f>
        <v/>
      </c>
      <c r="K791" s="8" t="str" cm="1">
        <f t="array" ref="K791">_xlfn.LET(
    _xlpm.sum_month, SUM(T791:AE791),
    IF(_xlpm.sum_month = 0, "", _xlpm.sum_month &amp; " participações de líderes nas agendas semanais")
)</f>
        <v/>
      </c>
      <c r="L791" s="4" t="s">
        <v>166</v>
      </c>
      <c r="M791" s="24">
        <v>1</v>
      </c>
      <c r="N791" s="5" t="s">
        <v>51</v>
      </c>
      <c r="O791" s="111" t="s">
        <v>43</v>
      </c>
      <c r="P791" s="10" t="s">
        <v>44</v>
      </c>
      <c r="Q791" s="10" t="s">
        <v>44</v>
      </c>
      <c r="R791" s="11" t="s">
        <v>44</v>
      </c>
      <c r="S791" s="11" t="s">
        <v>44</v>
      </c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G791" s="146">
        <v>2</v>
      </c>
      <c r="AH791" s="146">
        <v>1</v>
      </c>
      <c r="AI791" s="146">
        <v>3</v>
      </c>
      <c r="AJ791" s="146">
        <v>0</v>
      </c>
      <c r="AK791" s="71">
        <v>0</v>
      </c>
      <c r="AL791" s="71"/>
      <c r="AM791" s="71"/>
      <c r="AN791" s="71"/>
      <c r="AO791" s="71"/>
      <c r="AP791" s="71"/>
      <c r="AQ791" s="71"/>
      <c r="AR791" s="71"/>
      <c r="AS791" s="94">
        <f t="shared" ca="1" si="1078"/>
        <v>0</v>
      </c>
      <c r="AT791" s="95">
        <f t="shared" si="1079"/>
        <v>6</v>
      </c>
      <c r="AU791" s="97">
        <f t="shared" si="1080"/>
        <v>6</v>
      </c>
      <c r="AW791" s="83">
        <f t="shared" si="1081"/>
        <v>2</v>
      </c>
      <c r="AX791" s="83">
        <f t="shared" si="1082"/>
        <v>1</v>
      </c>
      <c r="AY791" s="83">
        <f t="shared" si="1083"/>
        <v>3</v>
      </c>
      <c r="AZ791" s="83">
        <f t="shared" si="1084"/>
        <v>0</v>
      </c>
      <c r="BA791" s="52"/>
      <c r="BB791" s="52"/>
      <c r="BC791" s="52"/>
      <c r="BD791" s="52"/>
      <c r="BE791" s="52"/>
      <c r="BF791" s="52"/>
      <c r="BG791" s="52"/>
      <c r="BH791" s="52"/>
      <c r="BI791" s="68" cm="1">
        <f t="array" ref="BI791">IFERROR(INDEX(AW791:BH791,1,MATCH(2,1/(AW791:BH791&lt;&gt;""))),"")</f>
        <v>0</v>
      </c>
      <c r="BJ791" s="68" cm="1">
        <f t="array" ref="BJ791">IF(BM791 = "", "",IFERROR(INDEX(AW791:BH791,1,MATCH(2,1/(AW791:BH791&lt;&gt;""),1)-1),""))</f>
        <v>3</v>
      </c>
      <c r="BK791" s="59">
        <f>IF((IF(AW791&gt;=150%,150%,AW791) + IF(AX791&gt;=150%,150%,AX791) + IF(AY791&gt;=150%,150%,AY791) + (IF(AW791&gt;=150%,150%,AW791) + IF(BA791&gt;=150%,150%,BA791) + IF(BB791&gt;=150%,150%,BB791) + IF(BC791&gt;=150%,150%,BC791) + IF(BD791&gt;=150%,150%,BD791) + IF(BE791&gt;=150%,150%,BE791) + IF(BF791&gt;=150%,150%,BF791) + IF(BG791&gt;=150%,150%,BG791) + IF(BH791&gt;=150%,150%,BH791)))/_xlfn.XLOOKUP(F791,Apuração!A:A,Apuração!B:B)&gt;=1.15,1.15,((IF(AW791&gt;=150%,150%,AW791) + IF(AX791&gt;=150%,150%,AX791) + IF(AY791&gt;=150%,150%,AY791) + (IF(AW791&gt;=150%,150%,AW791) + IF(BA791&gt;=150%,150%,BA791) + IF(BB791&gt;=150%,150%,BB791) + IF(BC791&gt;=150%,150%,BC791) + IF(BD791&gt;=150%,150%,BD791) + IF(BE791&gt;=150%,150%,BE791) + IF(BF791&gt;=150%,150%,BF791) + IF(BG791&gt;=150%,150%,BG791) + IF(BH791&gt;=150%,150%,BH791)))/_xlfn.XLOOKUP(F791,Apuração!A:A,Apuração!B:B)))</f>
        <v>0.45833333333333331</v>
      </c>
      <c r="BL791" s="59" cm="1">
        <f t="array" aca="1" ref="BL791" ca="1">IF(SUM(IFERROR(IF(INDEX(AW791:INDEX(AW791:BH791, MATCH(2, 1/(AW791:BH791&lt;&gt;""), 1)-1), ROW(INDIRECT("1:" &amp; MATCH(2, 1/(AW791:BH791&lt;&gt;""), 1)-1))) &gt;= 150%, 150%, INDEX(AW791:INDEX(AW791:BH791, MATCH(2, 1/(AW791:BH791&lt;&gt;""), 1)-1), ROW(INDIRECT("1:" &amp; MATCH(2, 1/(AW791:BH791&lt;&gt;""), 1)-1)))), 0))/_xlfn.XLOOKUP(F791,Apuração!A:A,Apuração!B:B)&gt;=1.15,1.15,SUM(IFERROR(IF(INDEX(AW791:INDEX(AW791:BH791, MATCH(2, 1/(AW791:BH791&lt;&gt;""), 1)-1), ROW(INDIRECT("1:" &amp; MATCH(2, 1/(AW791:BH791&lt;&gt;""), 1)-1))) &gt;= 150%, 150%, INDEX(AW791:INDEX(AW791:BH791, MATCH(2, 1/(AW791:BH791&lt;&gt;""), 1)-1), ROW(INDIRECT("1:" &amp; MATCH(2, 1/(AW791:BH791&lt;&gt;""), 1)-1)))), 0))/_xlfn.XLOOKUP(F791,Apuração!A:A,Apuração!B:B))</f>
        <v>0.33333333333333331</v>
      </c>
      <c r="BM791" s="55" cm="1">
        <f t="array" ref="BM791">IFERROR(
   INDEX($AW$1:$BH$1,
      _xlfn.AGGREGATE(14, 6, COLUMN($AW$1:$BH$1)/(AW791:BH791&lt;&gt;""), 2) - COLUMN($AW$1) + 1
   ),
"")</f>
        <v>46082</v>
      </c>
      <c r="BN791" s="55" cm="1">
        <f t="array" ref="BN791">IFERROR(INDEX($AW$1:$BH$1,1,MATCH(2,1/(AW791:BH791&lt;&gt;""))),"")</f>
        <v>46113</v>
      </c>
      <c r="BO791" s="53">
        <f ca="1">IFERROR(_xlfn.XLOOKUP(F791,Apuração!A:A,Apuração!C:C)/_xlfn.XLOOKUP(F791,Apuração!A:A,Apuração!B:B),0)</f>
        <v>0.41666666666666669</v>
      </c>
      <c r="BP791" s="53">
        <f ca="1">IFERROR(_xlfn.XLOOKUP(F791,Apuração!A:A,Apuração!D:D)/_xlfn.XLOOKUP(F791,Apuração!A:A,Apuração!B:B),0)</f>
        <v>0.33333333333333331</v>
      </c>
      <c r="BQ791" s="53">
        <f ca="1">IF(BK791&gt;=BO791,0,_xlfn.XLOOKUP(F791,Apuração!A:A,Apuração!B:B)*(BO791 + (1/_xlfn.XLOOKUP(F791,Apuração!A:A,Apuração!B:B)) - BK791))</f>
        <v>0</v>
      </c>
      <c r="BR791" s="85">
        <f t="shared" ca="1" si="1085"/>
        <v>0</v>
      </c>
      <c r="BS791" s="53">
        <f ca="1">IFERROR((_xlfn.XLOOKUP(F791,Apuração!A:A,Apuração!C:C)+1)/_xlfn.XLOOKUP(F791,Apuração!A:A,Apuração!B:B),0)</f>
        <v>0.5</v>
      </c>
    </row>
    <row r="792" spans="1:71" ht="25.95" hidden="1" customHeight="1" x14ac:dyDescent="0.3">
      <c r="A792" s="42" t="s">
        <v>134</v>
      </c>
      <c r="B792" s="4" t="s">
        <v>158</v>
      </c>
      <c r="C792" s="5" t="s">
        <v>97</v>
      </c>
      <c r="D792" s="5" t="s">
        <v>107</v>
      </c>
      <c r="E792" s="4" t="str" cm="1">
        <f t="array" ref="E792">_xlfn.IFS(
F792 = "A partir de Abril", "Aguardando Execução na Distribuidora",
A792 = "CAPACITAÇÃO", "Em execução no Corporativo",
TRUE, "Em Execução na Distribuidora"
)</f>
        <v>Em Execução na Distribuidora</v>
      </c>
      <c r="F792" s="4" t="str" cm="1">
        <f t="array" ref="F792">_xlfn.IFS(
AG792 &lt;&gt; "", "Jan-Dez/26",
AH792 &lt;&gt; "", "Fev-Dez/26",
AI792 &lt;&gt; "", "Mar-Dez/26", AJ792 &lt;&gt; "", "Abr-Dez/26",
TRUE, "A partir de Junho"
)</f>
        <v>Jan-Dez/26</v>
      </c>
      <c r="G792" s="4" t="s">
        <v>62</v>
      </c>
      <c r="H792" s="7" t="s">
        <v>54</v>
      </c>
      <c r="I792" s="8" t="s">
        <v>165</v>
      </c>
      <c r="J792" s="8" t="str" cm="1">
        <f t="array" aca="1" ref="J792" ca="1">_xlfn.LET(
  _xlpm.actual_value_month, INDEX(T792:AE792, MATCH(DATE(YEAR(TODAY()), MONTH(TODAY()), 1), $T$1:$AE$1, 0)),
  IF(_xlpm.actual_value_month &lt;&gt; "",_xlpm.actual_value_month &amp; " ações mensais", "")
)</f>
        <v/>
      </c>
      <c r="K792" s="8" t="str" cm="1">
        <f t="array" ref="K792">_xlfn.LET(
    _xlpm.sum_month, SUM(T792:AE792),
    IF(_xlpm.sum_month = 0, "", _xlpm.sum_month &amp; " participações de líderes nas agendas semanais")
)</f>
        <v/>
      </c>
      <c r="L792" s="4" t="s">
        <v>166</v>
      </c>
      <c r="M792" s="24">
        <v>1</v>
      </c>
      <c r="N792" s="5" t="s">
        <v>51</v>
      </c>
      <c r="O792" s="111" t="s">
        <v>43</v>
      </c>
      <c r="P792" s="10" t="s">
        <v>44</v>
      </c>
      <c r="Q792" s="10" t="s">
        <v>44</v>
      </c>
      <c r="R792" s="11" t="s">
        <v>44</v>
      </c>
      <c r="S792" s="11" t="s">
        <v>44</v>
      </c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G792" s="146">
        <v>1</v>
      </c>
      <c r="AH792" s="146">
        <v>2</v>
      </c>
      <c r="AI792" s="146">
        <v>1</v>
      </c>
      <c r="AJ792" s="146">
        <v>0</v>
      </c>
      <c r="AK792" s="71">
        <v>0</v>
      </c>
      <c r="AL792" s="71"/>
      <c r="AM792" s="71"/>
      <c r="AN792" s="71"/>
      <c r="AO792" s="71"/>
      <c r="AP792" s="71"/>
      <c r="AQ792" s="71"/>
      <c r="AR792" s="71"/>
      <c r="AS792" s="94">
        <f t="shared" ca="1" si="1078"/>
        <v>0</v>
      </c>
      <c r="AT792" s="95">
        <f t="shared" si="1079"/>
        <v>4</v>
      </c>
      <c r="AU792" s="97">
        <f t="shared" si="1080"/>
        <v>4</v>
      </c>
      <c r="AW792" s="83">
        <f t="shared" si="1081"/>
        <v>1</v>
      </c>
      <c r="AX792" s="83">
        <f t="shared" si="1082"/>
        <v>2</v>
      </c>
      <c r="AY792" s="83">
        <f t="shared" si="1083"/>
        <v>1</v>
      </c>
      <c r="AZ792" s="83">
        <f t="shared" si="1084"/>
        <v>0</v>
      </c>
      <c r="BA792" s="52"/>
      <c r="BB792" s="52"/>
      <c r="BC792" s="52"/>
      <c r="BD792" s="52"/>
      <c r="BE792" s="52"/>
      <c r="BF792" s="52"/>
      <c r="BG792" s="52"/>
      <c r="BH792" s="52"/>
      <c r="BI792" s="68" cm="1">
        <f t="array" ref="BI792">IFERROR(INDEX(AW792:BH792,1,MATCH(2,1/(AW792:BH792&lt;&gt;""))),"")</f>
        <v>0</v>
      </c>
      <c r="BJ792" s="68" cm="1">
        <f t="array" ref="BJ792">IF(BM792 = "", "",IFERROR(INDEX(AW792:BH792,1,MATCH(2,1/(AW792:BH792&lt;&gt;""),1)-1),""))</f>
        <v>1</v>
      </c>
      <c r="BK792" s="59">
        <f>IF((IF(AW792&gt;=150%,150%,AW792) + IF(AX792&gt;=150%,150%,AX792) + IF(AY792&gt;=150%,150%,AY792) + (IF(AW792&gt;=150%,150%,AW792) + IF(BA792&gt;=150%,150%,BA792) + IF(BB792&gt;=150%,150%,BB792) + IF(BC792&gt;=150%,150%,BC792) + IF(BD792&gt;=150%,150%,BD792) + IF(BE792&gt;=150%,150%,BE792) + IF(BF792&gt;=150%,150%,BF792) + IF(BG792&gt;=150%,150%,BG792) + IF(BH792&gt;=150%,150%,BH792)))/_xlfn.XLOOKUP(F792,Apuração!A:A,Apuração!B:B)&gt;=1.15,1.15,((IF(AW792&gt;=150%,150%,AW792) + IF(AX792&gt;=150%,150%,AX792) + IF(AY792&gt;=150%,150%,AY792) + (IF(AW792&gt;=150%,150%,AW792) + IF(BA792&gt;=150%,150%,BA792) + IF(BB792&gt;=150%,150%,BB792) + IF(BC792&gt;=150%,150%,BC792) + IF(BD792&gt;=150%,150%,BD792) + IF(BE792&gt;=150%,150%,BE792) + IF(BF792&gt;=150%,150%,BF792) + IF(BG792&gt;=150%,150%,BG792) + IF(BH792&gt;=150%,150%,BH792)))/_xlfn.XLOOKUP(F792,Apuração!A:A,Apuração!B:B)))</f>
        <v>0.375</v>
      </c>
      <c r="BL792" s="59" cm="1">
        <f t="array" aca="1" ref="BL792" ca="1">IF(SUM(IFERROR(IF(INDEX(AW792:INDEX(AW792:BH792, MATCH(2, 1/(AW792:BH792&lt;&gt;""), 1)-1), ROW(INDIRECT("1:" &amp; MATCH(2, 1/(AW792:BH792&lt;&gt;""), 1)-1))) &gt;= 150%, 150%, INDEX(AW792:INDEX(AW792:BH792, MATCH(2, 1/(AW792:BH792&lt;&gt;""), 1)-1), ROW(INDIRECT("1:" &amp; MATCH(2, 1/(AW792:BH792&lt;&gt;""), 1)-1)))), 0))/_xlfn.XLOOKUP(F792,Apuração!A:A,Apuração!B:B)&gt;=1.15,1.15,SUM(IFERROR(IF(INDEX(AW792:INDEX(AW792:BH792, MATCH(2, 1/(AW792:BH792&lt;&gt;""), 1)-1), ROW(INDIRECT("1:" &amp; MATCH(2, 1/(AW792:BH792&lt;&gt;""), 1)-1))) &gt;= 150%, 150%, INDEX(AW792:INDEX(AW792:BH792, MATCH(2, 1/(AW792:BH792&lt;&gt;""), 1)-1), ROW(INDIRECT("1:" &amp; MATCH(2, 1/(AW792:BH792&lt;&gt;""), 1)-1)))), 0))/_xlfn.XLOOKUP(F792,Apuração!A:A,Apuração!B:B))</f>
        <v>0.29166666666666669</v>
      </c>
      <c r="BM792" s="55" cm="1">
        <f t="array" ref="BM792">IFERROR(
   INDEX($AW$1:$BH$1,
      _xlfn.AGGREGATE(14, 6, COLUMN($AW$1:$BH$1)/(AW792:BH792&lt;&gt;""), 2) - COLUMN($AW$1) + 1
   ),
"")</f>
        <v>46082</v>
      </c>
      <c r="BN792" s="55" cm="1">
        <f t="array" ref="BN792">IFERROR(INDEX($AW$1:$BH$1,1,MATCH(2,1/(AW792:BH792&lt;&gt;""))),"")</f>
        <v>46113</v>
      </c>
      <c r="BO792" s="53">
        <f ca="1">IFERROR(_xlfn.XLOOKUP(F792,Apuração!A:A,Apuração!C:C)/_xlfn.XLOOKUP(F792,Apuração!A:A,Apuração!B:B),0)</f>
        <v>0.41666666666666669</v>
      </c>
      <c r="BP792" s="53">
        <f ca="1">IFERROR(_xlfn.XLOOKUP(F792,Apuração!A:A,Apuração!D:D)/_xlfn.XLOOKUP(F792,Apuração!A:A,Apuração!B:B),0)</f>
        <v>0.33333333333333331</v>
      </c>
      <c r="BQ792" s="53">
        <f ca="1">IF(BK792&gt;=BO792,0,_xlfn.XLOOKUP(F792,Apuração!A:A,Apuração!B:B)*(BO792 + (1/_xlfn.XLOOKUP(F792,Apuração!A:A,Apuração!B:B)) - BK792))</f>
        <v>1.5</v>
      </c>
      <c r="BR792" s="85">
        <f t="shared" ca="1" si="1085"/>
        <v>0</v>
      </c>
      <c r="BS792" s="53">
        <f ca="1">IFERROR((_xlfn.XLOOKUP(F792,Apuração!A:A,Apuração!C:C)+1)/_xlfn.XLOOKUP(F792,Apuração!A:A,Apuração!B:B),0)</f>
        <v>0.5</v>
      </c>
    </row>
    <row r="793" spans="1:71" ht="25.95" customHeight="1" x14ac:dyDescent="0.3">
      <c r="A793" s="23" t="s">
        <v>134</v>
      </c>
      <c r="B793" s="4" t="s">
        <v>167</v>
      </c>
      <c r="C793" s="5" t="s">
        <v>97</v>
      </c>
      <c r="D793" s="5" t="s">
        <v>36</v>
      </c>
      <c r="E793" s="4" t="str" cm="1">
        <f t="array" ref="E793">_xlfn.IFS(
F793 = "A partir de Abril", "Aguardando Execução na Distribuidora",
A793 = "CAPACITAÇÃO", "Em execução no Corporativo",
TRUE, "Em Execução na Distribuidora"
)</f>
        <v>Em Execução na Distribuidora</v>
      </c>
      <c r="F793" s="4" t="str" cm="1">
        <f t="array" ref="F793">_xlfn.IFS(
AG793 &lt;&gt; "", "Jan-Dez/26",
AH793 &lt;&gt; "", "Fev-Dez/26",
AI793 &lt;&gt; "", "Mar-Dez/26", AJ793 &lt;&gt; "", "Abr-Dez/26",
TRUE, "A partir de Junho"
)</f>
        <v>Abr-Dez/26</v>
      </c>
      <c r="G793" s="4" t="s">
        <v>37</v>
      </c>
      <c r="H793" s="7" t="s">
        <v>54</v>
      </c>
      <c r="I793" s="8" t="s">
        <v>168</v>
      </c>
      <c r="J793" s="8" t="str" cm="1">
        <f t="array" aca="1" ref="J793" ca="1">_xlfn.LET(
  _xlpm.actual_value_month, INDEX(T793:AE793, MATCH(DATE(YEAR(TODAY()), MONTH(TODAY()), 1), $T$1:$AE$1, 0)),
  IF(_xlpm.actual_value_month &lt;&gt; "",_xlpm.actual_value_month &amp; " ações mensais", "")
)</f>
        <v>4 ações mensais</v>
      </c>
      <c r="K793" s="8" t="str" cm="1">
        <f t="array" ref="K793">_xlfn.LET(
    _xlpm.sum_month, SUM(T793:AE793),
    IF(_xlpm.sum_month = 0, "", _xlpm.sum_month &amp; " atividades no ano")
)</f>
        <v>36 atividades no ano</v>
      </c>
      <c r="L793" s="9" t="s">
        <v>169</v>
      </c>
      <c r="M793" s="24" t="s">
        <v>170</v>
      </c>
      <c r="N793" s="5" t="s">
        <v>42</v>
      </c>
      <c r="O793" s="5" t="s">
        <v>43</v>
      </c>
      <c r="P793" s="10" t="s">
        <v>44</v>
      </c>
      <c r="Q793" s="10" t="s">
        <v>44</v>
      </c>
      <c r="R793" s="11" t="s">
        <v>66</v>
      </c>
      <c r="S793" s="11" t="s">
        <v>67</v>
      </c>
      <c r="T793" s="22">
        <v>0</v>
      </c>
      <c r="U793" s="22">
        <v>0</v>
      </c>
      <c r="V793" s="22">
        <v>0</v>
      </c>
      <c r="W793" s="22">
        <v>4</v>
      </c>
      <c r="X793" s="22">
        <v>4</v>
      </c>
      <c r="Y793" s="22">
        <v>4</v>
      </c>
      <c r="Z793" s="22">
        <v>4</v>
      </c>
      <c r="AA793" s="22">
        <v>4</v>
      </c>
      <c r="AB793" s="22">
        <v>4</v>
      </c>
      <c r="AC793" s="22">
        <v>4</v>
      </c>
      <c r="AD793" s="22">
        <v>4</v>
      </c>
      <c r="AE793" s="22">
        <v>4</v>
      </c>
      <c r="AG793" s="71"/>
      <c r="AH793" s="71"/>
      <c r="AI793" s="71"/>
      <c r="AJ793" s="71">
        <v>10</v>
      </c>
      <c r="AK793" s="71">
        <v>10</v>
      </c>
      <c r="AL793" s="71"/>
      <c r="AM793" s="71"/>
      <c r="AN793" s="71"/>
      <c r="AO793" s="71"/>
      <c r="AP793" s="71"/>
      <c r="AQ793" s="71"/>
      <c r="AR793" s="71"/>
      <c r="AS793" s="94">
        <f t="shared" ca="1" si="966"/>
        <v>8</v>
      </c>
      <c r="AT793" s="95">
        <f>SUM(IF(AW793&lt;1.15,AG793,1.15*T793),IF(AX793&lt;1.15,AH793,1.15*U793),IF(AY793&lt;1.15,AI793,1.15*V793),IF(AZ793&lt;1.15,AJ793,1.15*W793),IF(BA793&lt;1.15,AK793,1.15*X793),IF(BB793&lt;1.15,AL793,1.15*Y793),IF(BC793&lt;1.15,AM793,1.15*Z793),IF(BD793&lt;1.15,AN793,1.15*AA793),IF(BE793&lt;1.15,AO793,1.15*AB793),IF(BF793&lt;1.15,AP793,1.15*AC793),IF(BG793&lt;1.15,AQ793,1.15*AD793),IF(BH793&lt;1.15,AR793,1.15*AE793))</f>
        <v>9.1999999999999993</v>
      </c>
      <c r="AU793" s="97">
        <f t="shared" si="967"/>
        <v>20</v>
      </c>
      <c r="AW793" s="51">
        <f t="shared" ref="AW793:AZ815" si="1086">IFERROR(IF(AG793="",0,AG793/T793),0)</f>
        <v>0</v>
      </c>
      <c r="AX793" s="51">
        <f t="shared" si="1086"/>
        <v>0</v>
      </c>
      <c r="AY793" s="51">
        <f t="shared" si="1086"/>
        <v>0</v>
      </c>
      <c r="AZ793" s="51">
        <f t="shared" si="1086"/>
        <v>2.5</v>
      </c>
      <c r="BA793" s="51">
        <f t="shared" ref="BA793:BA836" si="1087">IFERROR(IF(AK793="",0,AK793/X793),0)</f>
        <v>2.5</v>
      </c>
      <c r="BB793" s="51"/>
      <c r="BC793" s="51"/>
      <c r="BD793" s="51"/>
      <c r="BE793" s="51"/>
      <c r="BF793" s="51"/>
      <c r="BG793" s="51"/>
      <c r="BH793" s="51"/>
      <c r="BI793" s="65" cm="1">
        <f t="array" ref="BI793">IFERROR(INDEX(AW793:BH793,1,MATCH(2,1/(AW793:BH793&lt;&gt;""))),"")</f>
        <v>2.5</v>
      </c>
      <c r="BJ793" s="68" cm="1">
        <f t="array" ref="BJ793">IF(BM793 = "", "",IFERROR(INDEX(AW793:BH793,1,MATCH(2,1/(AW793:BH793&lt;&gt;""),1)-1),""))</f>
        <v>2.5</v>
      </c>
      <c r="BK793" s="58">
        <f>IF((IF(AW793&gt;=115%,115%,AW793) + IF(AX793&gt;=115%,115%,AX793) + IF(AY793&gt;=115%,115%,AY793) + (IF(AZ793&gt;=115%,115%,AZ793) + IF(BA793&gt;=115%,115%,BA793) + IF(BB793&gt;=115%,115%,BB793) + IF(BC793&gt;=115%,115%,BC793) + IF(BD793&gt;=115%,115%,BD793) + IF(BE793&gt;=115%,115%,BE793) + IF(BF793&gt;=133%,133%,BF793) + IF(BG793&gt;=115%,115%,BG793) + IF(BH793&gt;=115%,115%,BH793)))/_xlfn.XLOOKUP(F793,Apuração!A:A,Apuração!B:B)&gt;=1.15,1.15,((IF(AZ793&gt;=115%,115%,AZ793) + IF(AX793&gt;=115%,115%,AX793) + IF(AY793&gt;=115%,115%,AY793) + (IF(AW793&gt;=115%,115%,AW793) + IF(BA793&gt;=115%,115%,BA793) + IF(BB793&gt;=115%,115%,BB793) + IF(BC793&gt;=115%,115%,BC793) + IF(BD793&gt;=115%,115%,BD793) + IF(BE793&gt;=115%,115%,BE793) + IF(BF793&gt;=133%,133%,BF793) + IF(BG793&gt;=115%,115%,BG793) + IF(BH793&gt;=115%,115%,BH793)))/_xlfn.XLOOKUP(F793,Apuração!A:A,Apuração!B:B)))</f>
        <v>0.25555555555555554</v>
      </c>
      <c r="BL793" s="58" cm="1">
        <f t="array" aca="1" ref="BL793" ca="1">IF(SUM(IFERROR(IF(INDEX(AW793:INDEX(AW793:BH793, MATCH(2, 1/(AW793:BH793&lt;&gt;""), 1)-1), ROW(INDIRECT("1:" &amp; MATCH(2, 1/(AW793:BH793&lt;&gt;""), 1)-1))) &gt;= 115%, 115%, INDEX(AW793:INDEX(AW793:BH793, MATCH(2, 1/(AW793:BH793&lt;&gt;""), 1)-1), ROW(INDIRECT("1:" &amp; MATCH(2, 1/(AW793:BH793&lt;&gt;""), 1)-1)))), 0))/_xlfn.XLOOKUP(F793,Apuração!A:A,Apuração!B:B)&gt;=1.15,1.15,SUM(IFERROR(IF(INDEX(AW793:INDEX(AW793:BH793, MATCH(2, 1/(AW793:BH793&lt;&gt;""), 1)-1), ROW(INDIRECT("1:" &amp; MATCH(2, 1/(AW793:BH793&lt;&gt;""), 1)-1))) &gt;= 115%, 115%, INDEX(AW793:INDEX(AW793:BH793, MATCH(2, 1/(AW793:BH793&lt;&gt;""), 1)-1), ROW(INDIRECT("1:" &amp; MATCH(2, 1/(AW793:BH793&lt;&gt;""), 1)-1)))), 0))/_xlfn.XLOOKUP(F793,Apuração!A:A,Apuração!B:B))</f>
        <v>0.12777777777777777</v>
      </c>
      <c r="BM793" s="55" cm="1">
        <f t="array" ref="BM793">IFERROR(
   INDEX($AW$1:$BH$1,
      _xlfn.AGGREGATE(14, 6, COLUMN($AW$1:$BH$1)/(AW793:BH793&lt;&gt;""), 2) - COLUMN($AW$1) + 1
   ),
"")</f>
        <v>46113</v>
      </c>
      <c r="BN793" s="55" cm="1">
        <f t="array" ref="BN793">IFERROR(INDEX($AW$1:$BH$1,1,MATCH(2,1/(AW793:BH793&lt;&gt;""))),"")</f>
        <v>46143</v>
      </c>
      <c r="BO793" s="53">
        <f ca="1">IFERROR(_xlfn.XLOOKUP(F793,Apuração!A:A,Apuração!C:C)/_xlfn.XLOOKUP(F793,Apuração!A:A,Apuração!B:B),0)</f>
        <v>0.22222222222222221</v>
      </c>
      <c r="BP793" s="53">
        <f ca="1">IFERROR(_xlfn.XLOOKUP(F793,Apuração!A:A,Apuração!D:D)/_xlfn.XLOOKUP(F793,Apuração!A:A,Apuração!B:B),0)</f>
        <v>0.1111111111111111</v>
      </c>
      <c r="BQ793" s="53">
        <f ca="1">IF(BK793&gt;=BO793,0,_xlfn.XLOOKUP(F793,Apuração!A:A,Apuração!B:B)*(BO793 + (1/_xlfn.XLOOKUP(F793,Apuração!A:A,Apuração!B:B)) - BK793))</f>
        <v>0</v>
      </c>
      <c r="BR793" s="85">
        <f t="shared" ca="1" si="898"/>
        <v>0</v>
      </c>
      <c r="BS793" s="53">
        <f ca="1">IFERROR((_xlfn.XLOOKUP(F793,Apuração!A:A,Apuração!C:C)+1)/_xlfn.XLOOKUP(F793,Apuração!A:A,Apuração!B:B),0)</f>
        <v>0.33333333333333331</v>
      </c>
    </row>
    <row r="794" spans="1:71" ht="25.95" hidden="1" customHeight="1" x14ac:dyDescent="0.3">
      <c r="A794" s="23" t="s">
        <v>134</v>
      </c>
      <c r="B794" s="4" t="s">
        <v>167</v>
      </c>
      <c r="C794" s="5" t="s">
        <v>97</v>
      </c>
      <c r="D794" s="5" t="s">
        <v>98</v>
      </c>
      <c r="E794" s="4" t="str" cm="1">
        <f t="array" ref="E794">_xlfn.IFS(
F794 = "A partir de Abril", "Aguardando Execução na Distribuidora",
A794 = "CAPACITAÇÃO", "Em execução no Corporativo",
TRUE, "Em Execução na Distribuidora"
)</f>
        <v>Em Execução na Distribuidora</v>
      </c>
      <c r="F794" s="4" t="str" cm="1">
        <f t="array" ref="F794">_xlfn.IFS(
AG794 &lt;&gt; "", "Jan-Dez/26",
AH794 &lt;&gt; "", "Fev-Dez/26",
AI794 &lt;&gt; "", "Mar-Dez/26", AJ794 &lt;&gt; "", "Abr-Dez/26",
TRUE, "A partir de Junho"
)</f>
        <v>Abr-Dez/26</v>
      </c>
      <c r="G794" s="4" t="s">
        <v>37</v>
      </c>
      <c r="H794" s="7" t="s">
        <v>54</v>
      </c>
      <c r="I794" s="8" t="s">
        <v>168</v>
      </c>
      <c r="J794" s="8" t="str" cm="1">
        <f t="array" aca="1" ref="J794" ca="1">_xlfn.LET(
  _xlpm.actual_value_month, INDEX(T794:AE794, MATCH(DATE(YEAR(TODAY()), MONTH(TODAY()), 1), $T$1:$AE$1, 0)),
  IF(_xlpm.actual_value_month &lt;&gt; "",_xlpm.actual_value_month &amp; " ações mensais", "")
)</f>
        <v>1 ações mensais</v>
      </c>
      <c r="K794" s="8" t="str" cm="1">
        <f t="array" ref="K794">_xlfn.LET(
    _xlpm.sum_month, SUM(T794:AE794),
    IF(_xlpm.sum_month = 0, "", _xlpm.sum_month &amp; " atividades no ano")
)</f>
        <v>9 atividades no ano</v>
      </c>
      <c r="L794" s="9" t="s">
        <v>169</v>
      </c>
      <c r="M794" s="24" t="s">
        <v>170</v>
      </c>
      <c r="N794" s="5" t="s">
        <v>42</v>
      </c>
      <c r="O794" s="5" t="s">
        <v>43</v>
      </c>
      <c r="P794" s="10" t="s">
        <v>44</v>
      </c>
      <c r="Q794" s="10" t="s">
        <v>44</v>
      </c>
      <c r="R794" s="11" t="s">
        <v>66</v>
      </c>
      <c r="S794" s="11" t="s">
        <v>67</v>
      </c>
      <c r="T794" s="22"/>
      <c r="U794" s="22"/>
      <c r="V794" s="22"/>
      <c r="W794" s="22">
        <v>1</v>
      </c>
      <c r="X794" s="22">
        <v>1</v>
      </c>
      <c r="Y794" s="22">
        <v>1</v>
      </c>
      <c r="Z794" s="22">
        <v>1</v>
      </c>
      <c r="AA794" s="22">
        <v>1</v>
      </c>
      <c r="AB794" s="22">
        <v>1</v>
      </c>
      <c r="AC794" s="22">
        <v>1</v>
      </c>
      <c r="AD794" s="22">
        <v>1</v>
      </c>
      <c r="AE794" s="22">
        <v>1</v>
      </c>
      <c r="AG794" s="145"/>
      <c r="AH794" s="149"/>
      <c r="AI794" s="149"/>
      <c r="AJ794" s="149">
        <v>1</v>
      </c>
      <c r="AK794" s="71">
        <v>1</v>
      </c>
      <c r="AL794" s="71"/>
      <c r="AM794" s="71"/>
      <c r="AN794" s="71"/>
      <c r="AO794" s="71"/>
      <c r="AP794" s="71"/>
      <c r="AQ794" s="71"/>
      <c r="AR794" s="71"/>
      <c r="AS794" s="94">
        <f t="shared" ref="AS794:AS803" ca="1" si="1088">IF(MONTH(TODAY())=3,SUM(T794:U794),IF(MONTH(TODAY())=4,SUM(T794:V794),IF(MONTH(TODAY())=5,SUM(T794:W794),IF(MONTH(TODAY())=6,SUM(T794:X794),IF(MONTH(TODAY())=7,SUM(T794:Y794),IF(MONTH(TODAY())=8,SUM(T794:Z794),IF(MONTH(TODAY())=9,SUM(T794:AA794),IF(MONTH(TODAY())=10,SUM(T794:AB794),IF(MONTH(TODAY())=11,SUM(T794:AC794),IF(MONTH(TODAY())=12,SUM(T794:AD794),IF(MONTH(TODAY())=1,SUM(T794:AE794),T794)))))))))))</f>
        <v>2</v>
      </c>
      <c r="AT794" s="95">
        <f t="shared" ref="AT794:AT803" si="1089">SUM(IF(AW794&lt;1.15,AG794,1.15*T794),IF(AX794&lt;1.15,AH794,1.15*U794),IF(AY794&lt;1.15,AI794,1.15*V794),IF(AZ794&lt;1.15,AJ794,1.15*W794),IF(BA794&lt;1.15,AK794,1.15*X794),IF(BB794&lt;1.15,AL794,1.15*Y794),IF(BC794&lt;1.15,AM794,1.15*Z794),IF(BD794&lt;1.15,AN794,1.15*AA794),IF(BE794&lt;1.15,AO794,1.15*AB794),IF(BF794&lt;1.15,AP794,1.15*AC794),IF(BG794&lt;1.15,AQ794,1.15*AD794),IF(BH794&lt;1.15,AR794,1.15*AE794))</f>
        <v>2</v>
      </c>
      <c r="AU794" s="97">
        <f t="shared" ref="AU794:AU803" si="1090">SUM(AG794:AR794)</f>
        <v>2</v>
      </c>
      <c r="AW794" s="51">
        <f t="shared" ref="AW794:AW803" si="1091">IFERROR(IF(AG794="",0,AG794/T794),0)</f>
        <v>0</v>
      </c>
      <c r="AX794" s="51">
        <f t="shared" ref="AX794:AX803" si="1092">IFERROR(IF(AH794="",0,AH794/U794),0)</f>
        <v>0</v>
      </c>
      <c r="AY794" s="51">
        <f t="shared" ref="AY794:AY803" si="1093">IFERROR(IF(AI794="",0,AI794/V794),0)</f>
        <v>0</v>
      </c>
      <c r="AZ794" s="51">
        <f t="shared" ref="AZ794:AZ803" si="1094">IFERROR(IF(AJ794="",0,AJ794/W794),0)</f>
        <v>1</v>
      </c>
      <c r="BA794" s="51">
        <f t="shared" si="1087"/>
        <v>1</v>
      </c>
      <c r="BB794" s="51"/>
      <c r="BC794" s="51"/>
      <c r="BD794" s="51"/>
      <c r="BE794" s="51"/>
      <c r="BF794" s="51"/>
      <c r="BG794" s="51"/>
      <c r="BH794" s="51"/>
      <c r="BI794" s="65" cm="1">
        <f t="array" ref="BI794">IFERROR(INDEX(AW794:BH794,1,MATCH(2,1/(AW794:BH794&lt;&gt;""))),"")</f>
        <v>1</v>
      </c>
      <c r="BJ794" s="68" cm="1">
        <f t="array" ref="BJ794">IF(BM794 = "", "",IFERROR(INDEX(AW794:BH794,1,MATCH(2,1/(AW794:BH794&lt;&gt;""),1)-1),""))</f>
        <v>1</v>
      </c>
      <c r="BK794" s="58">
        <f>IF((IF(AW794&gt;=115%,115%,AW794) + IF(AX794&gt;=115%,115%,AX794) + IF(AY794&gt;=115%,115%,AY794) + (IF(AZ794&gt;=115%,115%,AZ794) + IF(BA794&gt;=115%,115%,BA794) + IF(BB794&gt;=115%,115%,BB794) + IF(BC794&gt;=115%,115%,BC794) + IF(BD794&gt;=115%,115%,BD794) + IF(BE794&gt;=115%,115%,BE794) + IF(BF794&gt;=133%,133%,BF794) + IF(BG794&gt;=115%,115%,BG794) + IF(BH794&gt;=115%,115%,BH794)))/_xlfn.XLOOKUP(F794,Apuração!A:A,Apuração!B:B)&gt;=1.15,1.15,((IF(AZ794&gt;=115%,115%,AZ794) + IF(AX794&gt;=115%,115%,AX794) + IF(AY794&gt;=115%,115%,AY794) + (IF(AW794&gt;=115%,115%,AW794) + IF(BA794&gt;=115%,115%,BA794) + IF(BB794&gt;=115%,115%,BB794) + IF(BC794&gt;=115%,115%,BC794) + IF(BD794&gt;=115%,115%,BD794) + IF(BE794&gt;=115%,115%,BE794) + IF(BF794&gt;=133%,133%,BF794) + IF(BG794&gt;=115%,115%,BG794) + IF(BH794&gt;=115%,115%,BH794)))/_xlfn.XLOOKUP(F794,Apuração!A:A,Apuração!B:B)))</f>
        <v>0.22222222222222221</v>
      </c>
      <c r="BL794" s="58" cm="1">
        <f t="array" aca="1" ref="BL794" ca="1">IF(SUM(IFERROR(IF(INDEX(AW794:INDEX(AW794:BH794, MATCH(2, 1/(AW794:BH794&lt;&gt;""), 1)-1), ROW(INDIRECT("1:" &amp; MATCH(2, 1/(AW794:BH794&lt;&gt;""), 1)-1))) &gt;= 115%, 115%, INDEX(AW794:INDEX(AW794:BH794, MATCH(2, 1/(AW794:BH794&lt;&gt;""), 1)-1), ROW(INDIRECT("1:" &amp; MATCH(2, 1/(AW794:BH794&lt;&gt;""), 1)-1)))), 0))/_xlfn.XLOOKUP(F794,Apuração!A:A,Apuração!B:B)&gt;=1.15,1.15,SUM(IFERROR(IF(INDEX(AW794:INDEX(AW794:BH794, MATCH(2, 1/(AW794:BH794&lt;&gt;""), 1)-1), ROW(INDIRECT("1:" &amp; MATCH(2, 1/(AW794:BH794&lt;&gt;""), 1)-1))) &gt;= 115%, 115%, INDEX(AW794:INDEX(AW794:BH794, MATCH(2, 1/(AW794:BH794&lt;&gt;""), 1)-1), ROW(INDIRECT("1:" &amp; MATCH(2, 1/(AW794:BH794&lt;&gt;""), 1)-1)))), 0))/_xlfn.XLOOKUP(F794,Apuração!A:A,Apuração!B:B))</f>
        <v>0.1111111111111111</v>
      </c>
      <c r="BM794" s="55" cm="1">
        <f t="array" ref="BM794">IFERROR(
   INDEX($AW$1:$BH$1,
      _xlfn.AGGREGATE(14, 6, COLUMN($AW$1:$BH$1)/(AW794:BH794&lt;&gt;""), 2) - COLUMN($AW$1) + 1
   ),
"")</f>
        <v>46113</v>
      </c>
      <c r="BN794" s="55" cm="1">
        <f t="array" ref="BN794">IFERROR(INDEX($AW$1:$BH$1,1,MATCH(2,1/(AW794:BH794&lt;&gt;""))),"")</f>
        <v>46143</v>
      </c>
      <c r="BO794" s="53">
        <f ca="1">IFERROR(_xlfn.XLOOKUP(F794,Apuração!A:A,Apuração!C:C)/_xlfn.XLOOKUP(F794,Apuração!A:A,Apuração!B:B),0)</f>
        <v>0.22222222222222221</v>
      </c>
      <c r="BP794" s="53">
        <f ca="1">IFERROR(_xlfn.XLOOKUP(F794,Apuração!A:A,Apuração!D:D)/_xlfn.XLOOKUP(F794,Apuração!A:A,Apuração!B:B),0)</f>
        <v>0.1111111111111111</v>
      </c>
      <c r="BQ794" s="53">
        <f ca="1">IF(BK794&gt;=BO794,0,_xlfn.XLOOKUP(F794,Apuração!A:A,Apuração!B:B)*(BO794 + (1/_xlfn.XLOOKUP(F794,Apuração!A:A,Apuração!B:B)) - BK794))</f>
        <v>0</v>
      </c>
      <c r="BR794" s="85">
        <f t="shared" ref="BR794:BR803" ca="1" si="1095">IF(BQ794=0,0,BQ794*Z794)</f>
        <v>0</v>
      </c>
      <c r="BS794" s="53">
        <f ca="1">IFERROR((_xlfn.XLOOKUP(F794,Apuração!A:A,Apuração!C:C)+1)/_xlfn.XLOOKUP(F794,Apuração!A:A,Apuração!B:B),0)</f>
        <v>0.33333333333333331</v>
      </c>
    </row>
    <row r="795" spans="1:71" ht="25.95" hidden="1" customHeight="1" x14ac:dyDescent="0.3">
      <c r="A795" s="23" t="s">
        <v>134</v>
      </c>
      <c r="B795" s="4" t="s">
        <v>167</v>
      </c>
      <c r="C795" s="5" t="s">
        <v>97</v>
      </c>
      <c r="D795" s="5" t="s">
        <v>99</v>
      </c>
      <c r="E795" s="4" t="str" cm="1">
        <f t="array" ref="E795">_xlfn.IFS(
F795 = "A partir de Abril", "Aguardando Execução na Distribuidora",
A795 = "CAPACITAÇÃO", "Em execução no Corporativo",
TRUE, "Em Execução na Distribuidora"
)</f>
        <v>Em Execução na Distribuidora</v>
      </c>
      <c r="F795" s="4" t="str" cm="1">
        <f t="array" ref="F795">_xlfn.IFS(
AG795 &lt;&gt; "", "Jan-Dez/26",
AH795 &lt;&gt; "", "Fev-Dez/26",
AI795 &lt;&gt; "", "Mar-Dez/26", AJ795 &lt;&gt; "", "Abr-Dez/26",
TRUE, "A partir de Junho"
)</f>
        <v>Abr-Dez/26</v>
      </c>
      <c r="G795" s="4" t="s">
        <v>37</v>
      </c>
      <c r="H795" s="7" t="s">
        <v>54</v>
      </c>
      <c r="I795" s="8" t="s">
        <v>168</v>
      </c>
      <c r="J795" s="8" t="str" cm="1">
        <f t="array" aca="1" ref="J795" ca="1">_xlfn.LET(
  _xlpm.actual_value_month, INDEX(T795:AE795, MATCH(DATE(YEAR(TODAY()), MONTH(TODAY()), 1), $T$1:$AE$1, 0)),
  IF(_xlpm.actual_value_month &lt;&gt; "",_xlpm.actual_value_month &amp; " ações mensais", "")
)</f>
        <v>1 ações mensais</v>
      </c>
      <c r="K795" s="8" t="str" cm="1">
        <f t="array" ref="K795">_xlfn.LET(
    _xlpm.sum_month, SUM(T795:AE795),
    IF(_xlpm.sum_month = 0, "", _xlpm.sum_month &amp; " atividades no ano")
)</f>
        <v>9 atividades no ano</v>
      </c>
      <c r="L795" s="9" t="s">
        <v>169</v>
      </c>
      <c r="M795" s="24" t="s">
        <v>170</v>
      </c>
      <c r="N795" s="5" t="s">
        <v>42</v>
      </c>
      <c r="O795" s="5" t="s">
        <v>43</v>
      </c>
      <c r="P795" s="10" t="s">
        <v>44</v>
      </c>
      <c r="Q795" s="10" t="s">
        <v>44</v>
      </c>
      <c r="R795" s="11" t="s">
        <v>66</v>
      </c>
      <c r="S795" s="11" t="s">
        <v>67</v>
      </c>
      <c r="T795" s="22"/>
      <c r="U795" s="22"/>
      <c r="V795" s="22"/>
      <c r="W795" s="143">
        <v>1</v>
      </c>
      <c r="X795" s="143">
        <v>1</v>
      </c>
      <c r="Y795" s="143">
        <v>1</v>
      </c>
      <c r="Z795" s="143">
        <v>1</v>
      </c>
      <c r="AA795" s="143">
        <v>1</v>
      </c>
      <c r="AB795" s="143">
        <v>1</v>
      </c>
      <c r="AC795" s="143">
        <v>1</v>
      </c>
      <c r="AD795" s="143">
        <v>1</v>
      </c>
      <c r="AE795" s="143">
        <v>1</v>
      </c>
      <c r="AG795" s="146"/>
      <c r="AH795" s="150"/>
      <c r="AI795" s="150"/>
      <c r="AJ795" s="150">
        <v>1</v>
      </c>
      <c r="AK795" s="71">
        <v>1</v>
      </c>
      <c r="AL795" s="71"/>
      <c r="AM795" s="71"/>
      <c r="AN795" s="71"/>
      <c r="AO795" s="71"/>
      <c r="AP795" s="71"/>
      <c r="AQ795" s="71"/>
      <c r="AR795" s="71"/>
      <c r="AS795" s="94">
        <f t="shared" ca="1" si="1088"/>
        <v>2</v>
      </c>
      <c r="AT795" s="95">
        <f t="shared" si="1089"/>
        <v>2</v>
      </c>
      <c r="AU795" s="97">
        <f t="shared" si="1090"/>
        <v>2</v>
      </c>
      <c r="AW795" s="51">
        <f t="shared" si="1091"/>
        <v>0</v>
      </c>
      <c r="AX795" s="51">
        <f t="shared" si="1092"/>
        <v>0</v>
      </c>
      <c r="AY795" s="51">
        <f t="shared" si="1093"/>
        <v>0</v>
      </c>
      <c r="AZ795" s="51">
        <f t="shared" si="1094"/>
        <v>1</v>
      </c>
      <c r="BA795" s="51">
        <f t="shared" si="1087"/>
        <v>1</v>
      </c>
      <c r="BB795" s="51"/>
      <c r="BC795" s="51"/>
      <c r="BD795" s="51"/>
      <c r="BE795" s="51"/>
      <c r="BF795" s="51"/>
      <c r="BG795" s="51"/>
      <c r="BH795" s="51"/>
      <c r="BI795" s="65" cm="1">
        <f t="array" ref="BI795">IFERROR(INDEX(AW795:BH795,1,MATCH(2,1/(AW795:BH795&lt;&gt;""))),"")</f>
        <v>1</v>
      </c>
      <c r="BJ795" s="68" cm="1">
        <f t="array" ref="BJ795">IF(BM795 = "", "",IFERROR(INDEX(AW795:BH795,1,MATCH(2,1/(AW795:BH795&lt;&gt;""),1)-1),""))</f>
        <v>1</v>
      </c>
      <c r="BK795" s="58">
        <f>IF((IF(AW795&gt;=115%,115%,AW795) + IF(AX795&gt;=115%,115%,AX795) + IF(AY795&gt;=115%,115%,AY795) + (IF(AZ795&gt;=115%,115%,AZ795) + IF(BA795&gt;=115%,115%,BA795) + IF(BB795&gt;=115%,115%,BB795) + IF(BC795&gt;=115%,115%,BC795) + IF(BD795&gt;=115%,115%,BD795) + IF(BE795&gt;=115%,115%,BE795) + IF(BF795&gt;=133%,133%,BF795) + IF(BG795&gt;=115%,115%,BG795) + IF(BH795&gt;=115%,115%,BH795)))/_xlfn.XLOOKUP(F795,Apuração!A:A,Apuração!B:B)&gt;=1.15,1.15,((IF(AZ795&gt;=115%,115%,AZ795) + IF(AX795&gt;=115%,115%,AX795) + IF(AY795&gt;=115%,115%,AY795) + (IF(AW795&gt;=115%,115%,AW795) + IF(BA795&gt;=115%,115%,BA795) + IF(BB795&gt;=115%,115%,BB795) + IF(BC795&gt;=115%,115%,BC795) + IF(BD795&gt;=115%,115%,BD795) + IF(BE795&gt;=115%,115%,BE795) + IF(BF795&gt;=133%,133%,BF795) + IF(BG795&gt;=115%,115%,BG795) + IF(BH795&gt;=115%,115%,BH795)))/_xlfn.XLOOKUP(F795,Apuração!A:A,Apuração!B:B)))</f>
        <v>0.22222222222222221</v>
      </c>
      <c r="BL795" s="58" cm="1">
        <f t="array" aca="1" ref="BL795" ca="1">IF(SUM(IFERROR(IF(INDEX(AW795:INDEX(AW795:BH795, MATCH(2, 1/(AW795:BH795&lt;&gt;""), 1)-1), ROW(INDIRECT("1:" &amp; MATCH(2, 1/(AW795:BH795&lt;&gt;""), 1)-1))) &gt;= 115%, 115%, INDEX(AW795:INDEX(AW795:BH795, MATCH(2, 1/(AW795:BH795&lt;&gt;""), 1)-1), ROW(INDIRECT("1:" &amp; MATCH(2, 1/(AW795:BH795&lt;&gt;""), 1)-1)))), 0))/_xlfn.XLOOKUP(F795,Apuração!A:A,Apuração!B:B)&gt;=1.15,1.15,SUM(IFERROR(IF(INDEX(AW795:INDEX(AW795:BH795, MATCH(2, 1/(AW795:BH795&lt;&gt;""), 1)-1), ROW(INDIRECT("1:" &amp; MATCH(2, 1/(AW795:BH795&lt;&gt;""), 1)-1))) &gt;= 115%, 115%, INDEX(AW795:INDEX(AW795:BH795, MATCH(2, 1/(AW795:BH795&lt;&gt;""), 1)-1), ROW(INDIRECT("1:" &amp; MATCH(2, 1/(AW795:BH795&lt;&gt;""), 1)-1)))), 0))/_xlfn.XLOOKUP(F795,Apuração!A:A,Apuração!B:B))</f>
        <v>0.1111111111111111</v>
      </c>
      <c r="BM795" s="55" cm="1">
        <f t="array" ref="BM795">IFERROR(
   INDEX($AW$1:$BH$1,
      _xlfn.AGGREGATE(14, 6, COLUMN($AW$1:$BH$1)/(AW795:BH795&lt;&gt;""), 2) - COLUMN($AW$1) + 1
   ),
"")</f>
        <v>46113</v>
      </c>
      <c r="BN795" s="55" cm="1">
        <f t="array" ref="BN795">IFERROR(INDEX($AW$1:$BH$1,1,MATCH(2,1/(AW795:BH795&lt;&gt;""))),"")</f>
        <v>46143</v>
      </c>
      <c r="BO795" s="53">
        <f ca="1">IFERROR(_xlfn.XLOOKUP(F795,Apuração!A:A,Apuração!C:C)/_xlfn.XLOOKUP(F795,Apuração!A:A,Apuração!B:B),0)</f>
        <v>0.22222222222222221</v>
      </c>
      <c r="BP795" s="53">
        <f ca="1">IFERROR(_xlfn.XLOOKUP(F795,Apuração!A:A,Apuração!D:D)/_xlfn.XLOOKUP(F795,Apuração!A:A,Apuração!B:B),0)</f>
        <v>0.1111111111111111</v>
      </c>
      <c r="BQ795" s="53">
        <f ca="1">IF(BK795&gt;=BO795,0,_xlfn.XLOOKUP(F795,Apuração!A:A,Apuração!B:B)*(BO795 + (1/_xlfn.XLOOKUP(F795,Apuração!A:A,Apuração!B:B)) - BK795))</f>
        <v>0</v>
      </c>
      <c r="BR795" s="85">
        <f t="shared" ca="1" si="1095"/>
        <v>0</v>
      </c>
      <c r="BS795" s="53">
        <f ca="1">IFERROR((_xlfn.XLOOKUP(F795,Apuração!A:A,Apuração!C:C)+1)/_xlfn.XLOOKUP(F795,Apuração!A:A,Apuração!B:B),0)</f>
        <v>0.33333333333333331</v>
      </c>
    </row>
    <row r="796" spans="1:71" ht="25.95" hidden="1" customHeight="1" x14ac:dyDescent="0.3">
      <c r="A796" s="23" t="s">
        <v>134</v>
      </c>
      <c r="B796" s="4" t="s">
        <v>167</v>
      </c>
      <c r="C796" s="5" t="s">
        <v>97</v>
      </c>
      <c r="D796" s="5" t="s">
        <v>100</v>
      </c>
      <c r="E796" s="4" t="str" cm="1">
        <f t="array" ref="E796">_xlfn.IFS(
F796 = "A partir de Abril", "Aguardando Execução na Distribuidora",
A796 = "CAPACITAÇÃO", "Em execução no Corporativo",
TRUE, "Em Execução na Distribuidora"
)</f>
        <v>Em Execução na Distribuidora</v>
      </c>
      <c r="F796" s="4" t="str" cm="1">
        <f t="array" ref="F796">_xlfn.IFS(
AG796 &lt;&gt; "", "Jan-Dez/26",
AH796 &lt;&gt; "", "Fev-Dez/26",
AI796 &lt;&gt; "", "Mar-Dez/26", AJ796 &lt;&gt; "", "Abr-Dez/26",
TRUE, "A partir de Junho"
)</f>
        <v>Abr-Dez/26</v>
      </c>
      <c r="G796" s="4" t="s">
        <v>37</v>
      </c>
      <c r="H796" s="7" t="s">
        <v>54</v>
      </c>
      <c r="I796" s="8" t="s">
        <v>168</v>
      </c>
      <c r="J796" s="8" t="str" cm="1">
        <f t="array" aca="1" ref="J796" ca="1">_xlfn.LET(
  _xlpm.actual_value_month, INDEX(T796:AE796, MATCH(DATE(YEAR(TODAY()), MONTH(TODAY()), 1), $T$1:$AE$1, 0)),
  IF(_xlpm.actual_value_month &lt;&gt; "",_xlpm.actual_value_month &amp; " ações mensais", "")
)</f>
        <v>1 ações mensais</v>
      </c>
      <c r="K796" s="8" t="str" cm="1">
        <f t="array" ref="K796">_xlfn.LET(
    _xlpm.sum_month, SUM(T796:AE796),
    IF(_xlpm.sum_month = 0, "", _xlpm.sum_month &amp; " atividades no ano")
)</f>
        <v>9 atividades no ano</v>
      </c>
      <c r="L796" s="9" t="s">
        <v>169</v>
      </c>
      <c r="M796" s="24" t="s">
        <v>170</v>
      </c>
      <c r="N796" s="5" t="s">
        <v>42</v>
      </c>
      <c r="O796" s="5" t="s">
        <v>43</v>
      </c>
      <c r="P796" s="10" t="s">
        <v>44</v>
      </c>
      <c r="Q796" s="10" t="s">
        <v>44</v>
      </c>
      <c r="R796" s="11" t="s">
        <v>66</v>
      </c>
      <c r="S796" s="11" t="s">
        <v>67</v>
      </c>
      <c r="T796" s="22"/>
      <c r="U796" s="22"/>
      <c r="V796" s="22"/>
      <c r="W796" s="143">
        <v>1</v>
      </c>
      <c r="X796" s="143">
        <v>1</v>
      </c>
      <c r="Y796" s="143">
        <v>1</v>
      </c>
      <c r="Z796" s="143">
        <v>1</v>
      </c>
      <c r="AA796" s="143">
        <v>1</v>
      </c>
      <c r="AB796" s="143">
        <v>1</v>
      </c>
      <c r="AC796" s="143">
        <v>1</v>
      </c>
      <c r="AD796" s="143">
        <v>1</v>
      </c>
      <c r="AE796" s="143">
        <v>1</v>
      </c>
      <c r="AG796" s="146"/>
      <c r="AH796" s="150"/>
      <c r="AI796" s="150"/>
      <c r="AJ796" s="150">
        <v>1</v>
      </c>
      <c r="AK796" s="71">
        <v>1</v>
      </c>
      <c r="AL796" s="71"/>
      <c r="AM796" s="71"/>
      <c r="AN796" s="71"/>
      <c r="AO796" s="71"/>
      <c r="AP796" s="71"/>
      <c r="AQ796" s="71"/>
      <c r="AR796" s="71"/>
      <c r="AS796" s="94">
        <f t="shared" ca="1" si="1088"/>
        <v>2</v>
      </c>
      <c r="AT796" s="95">
        <f t="shared" si="1089"/>
        <v>2</v>
      </c>
      <c r="AU796" s="97">
        <f t="shared" si="1090"/>
        <v>2</v>
      </c>
      <c r="AW796" s="51">
        <f t="shared" si="1091"/>
        <v>0</v>
      </c>
      <c r="AX796" s="51">
        <f t="shared" si="1092"/>
        <v>0</v>
      </c>
      <c r="AY796" s="51">
        <f t="shared" si="1093"/>
        <v>0</v>
      </c>
      <c r="AZ796" s="51">
        <f t="shared" si="1094"/>
        <v>1</v>
      </c>
      <c r="BA796" s="51">
        <f t="shared" si="1087"/>
        <v>1</v>
      </c>
      <c r="BB796" s="51"/>
      <c r="BC796" s="51"/>
      <c r="BD796" s="51"/>
      <c r="BE796" s="51"/>
      <c r="BF796" s="51"/>
      <c r="BG796" s="51"/>
      <c r="BH796" s="51"/>
      <c r="BI796" s="65" cm="1">
        <f t="array" ref="BI796">IFERROR(INDEX(AW796:BH796,1,MATCH(2,1/(AW796:BH796&lt;&gt;""))),"")</f>
        <v>1</v>
      </c>
      <c r="BJ796" s="68" cm="1">
        <f t="array" ref="BJ796">IF(BM796 = "", "",IFERROR(INDEX(AW796:BH796,1,MATCH(2,1/(AW796:BH796&lt;&gt;""),1)-1),""))</f>
        <v>1</v>
      </c>
      <c r="BK796" s="58">
        <f>IF((IF(AW796&gt;=115%,115%,AW796) + IF(AX796&gt;=115%,115%,AX796) + IF(AY796&gt;=115%,115%,AY796) + (IF(AZ796&gt;=115%,115%,AZ796) + IF(BA796&gt;=115%,115%,BA796) + IF(BB796&gt;=115%,115%,BB796) + IF(BC796&gt;=115%,115%,BC796) + IF(BD796&gt;=115%,115%,BD796) + IF(BE796&gt;=115%,115%,BE796) + IF(BF796&gt;=133%,133%,BF796) + IF(BG796&gt;=115%,115%,BG796) + IF(BH796&gt;=115%,115%,BH796)))/_xlfn.XLOOKUP(F796,Apuração!A:A,Apuração!B:B)&gt;=1.15,1.15,((IF(AZ796&gt;=115%,115%,AZ796) + IF(AX796&gt;=115%,115%,AX796) + IF(AY796&gt;=115%,115%,AY796) + (IF(AW796&gt;=115%,115%,AW796) + IF(BA796&gt;=115%,115%,BA796) + IF(BB796&gt;=115%,115%,BB796) + IF(BC796&gt;=115%,115%,BC796) + IF(BD796&gt;=115%,115%,BD796) + IF(BE796&gt;=115%,115%,BE796) + IF(BF796&gt;=133%,133%,BF796) + IF(BG796&gt;=115%,115%,BG796) + IF(BH796&gt;=115%,115%,BH796)))/_xlfn.XLOOKUP(F796,Apuração!A:A,Apuração!B:B)))</f>
        <v>0.22222222222222221</v>
      </c>
      <c r="BL796" s="58" cm="1">
        <f t="array" aca="1" ref="BL796" ca="1">IF(SUM(IFERROR(IF(INDEX(AW796:INDEX(AW796:BH796, MATCH(2, 1/(AW796:BH796&lt;&gt;""), 1)-1), ROW(INDIRECT("1:" &amp; MATCH(2, 1/(AW796:BH796&lt;&gt;""), 1)-1))) &gt;= 115%, 115%, INDEX(AW796:INDEX(AW796:BH796, MATCH(2, 1/(AW796:BH796&lt;&gt;""), 1)-1), ROW(INDIRECT("1:" &amp; MATCH(2, 1/(AW796:BH796&lt;&gt;""), 1)-1)))), 0))/_xlfn.XLOOKUP(F796,Apuração!A:A,Apuração!B:B)&gt;=1.15,1.15,SUM(IFERROR(IF(INDEX(AW796:INDEX(AW796:BH796, MATCH(2, 1/(AW796:BH796&lt;&gt;""), 1)-1), ROW(INDIRECT("1:" &amp; MATCH(2, 1/(AW796:BH796&lt;&gt;""), 1)-1))) &gt;= 115%, 115%, INDEX(AW796:INDEX(AW796:BH796, MATCH(2, 1/(AW796:BH796&lt;&gt;""), 1)-1), ROW(INDIRECT("1:" &amp; MATCH(2, 1/(AW796:BH796&lt;&gt;""), 1)-1)))), 0))/_xlfn.XLOOKUP(F796,Apuração!A:A,Apuração!B:B))</f>
        <v>0.1111111111111111</v>
      </c>
      <c r="BM796" s="55" cm="1">
        <f t="array" ref="BM796">IFERROR(
   INDEX($AW$1:$BH$1,
      _xlfn.AGGREGATE(14, 6, COLUMN($AW$1:$BH$1)/(AW796:BH796&lt;&gt;""), 2) - COLUMN($AW$1) + 1
   ),
"")</f>
        <v>46113</v>
      </c>
      <c r="BN796" s="55" cm="1">
        <f t="array" ref="BN796">IFERROR(INDEX($AW$1:$BH$1,1,MATCH(2,1/(AW796:BH796&lt;&gt;""))),"")</f>
        <v>46143</v>
      </c>
      <c r="BO796" s="53">
        <f ca="1">IFERROR(_xlfn.XLOOKUP(F796,Apuração!A:A,Apuração!C:C)/_xlfn.XLOOKUP(F796,Apuração!A:A,Apuração!B:B),0)</f>
        <v>0.22222222222222221</v>
      </c>
      <c r="BP796" s="53">
        <f ca="1">IFERROR(_xlfn.XLOOKUP(F796,Apuração!A:A,Apuração!D:D)/_xlfn.XLOOKUP(F796,Apuração!A:A,Apuração!B:B),0)</f>
        <v>0.1111111111111111</v>
      </c>
      <c r="BQ796" s="53">
        <f ca="1">IF(BK796&gt;=BO796,0,_xlfn.XLOOKUP(F796,Apuração!A:A,Apuração!B:B)*(BO796 + (1/_xlfn.XLOOKUP(F796,Apuração!A:A,Apuração!B:B)) - BK796))</f>
        <v>0</v>
      </c>
      <c r="BR796" s="85">
        <f t="shared" ca="1" si="1095"/>
        <v>0</v>
      </c>
      <c r="BS796" s="53">
        <f ca="1">IFERROR((_xlfn.XLOOKUP(F796,Apuração!A:A,Apuração!C:C)+1)/_xlfn.XLOOKUP(F796,Apuração!A:A,Apuração!B:B),0)</f>
        <v>0.33333333333333331</v>
      </c>
    </row>
    <row r="797" spans="1:71" ht="25.95" hidden="1" customHeight="1" x14ac:dyDescent="0.3">
      <c r="A797" s="23" t="s">
        <v>134</v>
      </c>
      <c r="B797" s="4" t="s">
        <v>167</v>
      </c>
      <c r="C797" s="5" t="s">
        <v>97</v>
      </c>
      <c r="D797" s="5" t="s">
        <v>101</v>
      </c>
      <c r="E797" s="4" t="str" cm="1">
        <f t="array" ref="E797">_xlfn.IFS(
F797 = "A partir de Abril", "Aguardando Execução na Distribuidora",
A797 = "CAPACITAÇÃO", "Em execução no Corporativo",
TRUE, "Em Execução na Distribuidora"
)</f>
        <v>Em Execução na Distribuidora</v>
      </c>
      <c r="F797" s="4" t="str" cm="1">
        <f t="array" ref="F797">_xlfn.IFS(
AG797 &lt;&gt; "", "Jan-Dez/26",
AH797 &lt;&gt; "", "Fev-Dez/26",
AI797 &lt;&gt; "", "Mar-Dez/26", AJ797 &lt;&gt; "", "Abr-Dez/26",
TRUE, "A partir de Junho"
)</f>
        <v>Abr-Dez/26</v>
      </c>
      <c r="G797" s="4" t="s">
        <v>37</v>
      </c>
      <c r="H797" s="7" t="s">
        <v>54</v>
      </c>
      <c r="I797" s="8" t="s">
        <v>168</v>
      </c>
      <c r="J797" s="8" t="str" cm="1">
        <f t="array" aca="1" ref="J797" ca="1">_xlfn.LET(
  _xlpm.actual_value_month, INDEX(T797:AE797, MATCH(DATE(YEAR(TODAY()), MONTH(TODAY()), 1), $T$1:$AE$1, 0)),
  IF(_xlpm.actual_value_month &lt;&gt; "",_xlpm.actual_value_month &amp; " ações mensais", "")
)</f>
        <v>1 ações mensais</v>
      </c>
      <c r="K797" s="8" t="str" cm="1">
        <f t="array" ref="K797">_xlfn.LET(
    _xlpm.sum_month, SUM(T797:AE797),
    IF(_xlpm.sum_month = 0, "", _xlpm.sum_month &amp; " atividades no ano")
)</f>
        <v>9 atividades no ano</v>
      </c>
      <c r="L797" s="9" t="s">
        <v>169</v>
      </c>
      <c r="M797" s="24" t="s">
        <v>170</v>
      </c>
      <c r="N797" s="5" t="s">
        <v>42</v>
      </c>
      <c r="O797" s="5" t="s">
        <v>43</v>
      </c>
      <c r="P797" s="10" t="s">
        <v>44</v>
      </c>
      <c r="Q797" s="10" t="s">
        <v>44</v>
      </c>
      <c r="R797" s="11" t="s">
        <v>66</v>
      </c>
      <c r="S797" s="11" t="s">
        <v>67</v>
      </c>
      <c r="T797" s="22"/>
      <c r="U797" s="22"/>
      <c r="V797" s="22"/>
      <c r="W797" s="143">
        <v>1</v>
      </c>
      <c r="X797" s="143">
        <v>1</v>
      </c>
      <c r="Y797" s="143">
        <v>1</v>
      </c>
      <c r="Z797" s="143">
        <v>1</v>
      </c>
      <c r="AA797" s="143">
        <v>1</v>
      </c>
      <c r="AB797" s="143">
        <v>1</v>
      </c>
      <c r="AC797" s="143">
        <v>1</v>
      </c>
      <c r="AD797" s="143">
        <v>1</v>
      </c>
      <c r="AE797" s="143">
        <v>1</v>
      </c>
      <c r="AG797" s="146"/>
      <c r="AH797" s="150"/>
      <c r="AI797" s="150"/>
      <c r="AJ797" s="150">
        <v>1</v>
      </c>
      <c r="AK797" s="71">
        <v>1</v>
      </c>
      <c r="AL797" s="71"/>
      <c r="AM797" s="71"/>
      <c r="AN797" s="71"/>
      <c r="AO797" s="71"/>
      <c r="AP797" s="71"/>
      <c r="AQ797" s="71"/>
      <c r="AR797" s="71"/>
      <c r="AS797" s="94">
        <f t="shared" ca="1" si="1088"/>
        <v>2</v>
      </c>
      <c r="AT797" s="95">
        <f t="shared" si="1089"/>
        <v>2</v>
      </c>
      <c r="AU797" s="97">
        <f t="shared" si="1090"/>
        <v>2</v>
      </c>
      <c r="AW797" s="51">
        <f t="shared" si="1091"/>
        <v>0</v>
      </c>
      <c r="AX797" s="51">
        <f t="shared" si="1092"/>
        <v>0</v>
      </c>
      <c r="AY797" s="51">
        <f t="shared" si="1093"/>
        <v>0</v>
      </c>
      <c r="AZ797" s="51">
        <f t="shared" si="1094"/>
        <v>1</v>
      </c>
      <c r="BA797" s="51">
        <f t="shared" si="1087"/>
        <v>1</v>
      </c>
      <c r="BB797" s="51"/>
      <c r="BC797" s="51"/>
      <c r="BD797" s="51"/>
      <c r="BE797" s="51"/>
      <c r="BF797" s="51"/>
      <c r="BG797" s="51"/>
      <c r="BH797" s="51"/>
      <c r="BI797" s="65" cm="1">
        <f t="array" ref="BI797">IFERROR(INDEX(AW797:BH797,1,MATCH(2,1/(AW797:BH797&lt;&gt;""))),"")</f>
        <v>1</v>
      </c>
      <c r="BJ797" s="68" cm="1">
        <f t="array" ref="BJ797">IF(BM797 = "", "",IFERROR(INDEX(AW797:BH797,1,MATCH(2,1/(AW797:BH797&lt;&gt;""),1)-1),""))</f>
        <v>1</v>
      </c>
      <c r="BK797" s="58">
        <f>IF((IF(AW797&gt;=115%,115%,AW797) + IF(AX797&gt;=115%,115%,AX797) + IF(AY797&gt;=115%,115%,AY797) + (IF(AZ797&gt;=115%,115%,AZ797) + IF(BA797&gt;=115%,115%,BA797) + IF(BB797&gt;=115%,115%,BB797) + IF(BC797&gt;=115%,115%,BC797) + IF(BD797&gt;=115%,115%,BD797) + IF(BE797&gt;=115%,115%,BE797) + IF(BF797&gt;=133%,133%,BF797) + IF(BG797&gt;=115%,115%,BG797) + IF(BH797&gt;=115%,115%,BH797)))/_xlfn.XLOOKUP(F797,Apuração!A:A,Apuração!B:B)&gt;=1.15,1.15,((IF(AZ797&gt;=115%,115%,AZ797) + IF(AX797&gt;=115%,115%,AX797) + IF(AY797&gt;=115%,115%,AY797) + (IF(AW797&gt;=115%,115%,AW797) + IF(BA797&gt;=115%,115%,BA797) + IF(BB797&gt;=115%,115%,BB797) + IF(BC797&gt;=115%,115%,BC797) + IF(BD797&gt;=115%,115%,BD797) + IF(BE797&gt;=115%,115%,BE797) + IF(BF797&gt;=133%,133%,BF797) + IF(BG797&gt;=115%,115%,BG797) + IF(BH797&gt;=115%,115%,BH797)))/_xlfn.XLOOKUP(F797,Apuração!A:A,Apuração!B:B)))</f>
        <v>0.22222222222222221</v>
      </c>
      <c r="BL797" s="58" cm="1">
        <f t="array" aca="1" ref="BL797" ca="1">IF(SUM(IFERROR(IF(INDEX(AW797:INDEX(AW797:BH797, MATCH(2, 1/(AW797:BH797&lt;&gt;""), 1)-1), ROW(INDIRECT("1:" &amp; MATCH(2, 1/(AW797:BH797&lt;&gt;""), 1)-1))) &gt;= 115%, 115%, INDEX(AW797:INDEX(AW797:BH797, MATCH(2, 1/(AW797:BH797&lt;&gt;""), 1)-1), ROW(INDIRECT("1:" &amp; MATCH(2, 1/(AW797:BH797&lt;&gt;""), 1)-1)))), 0))/_xlfn.XLOOKUP(F797,Apuração!A:A,Apuração!B:B)&gt;=1.15,1.15,SUM(IFERROR(IF(INDEX(AW797:INDEX(AW797:BH797, MATCH(2, 1/(AW797:BH797&lt;&gt;""), 1)-1), ROW(INDIRECT("1:" &amp; MATCH(2, 1/(AW797:BH797&lt;&gt;""), 1)-1))) &gt;= 115%, 115%, INDEX(AW797:INDEX(AW797:BH797, MATCH(2, 1/(AW797:BH797&lt;&gt;""), 1)-1), ROW(INDIRECT("1:" &amp; MATCH(2, 1/(AW797:BH797&lt;&gt;""), 1)-1)))), 0))/_xlfn.XLOOKUP(F797,Apuração!A:A,Apuração!B:B))</f>
        <v>0.1111111111111111</v>
      </c>
      <c r="BM797" s="55" cm="1">
        <f t="array" ref="BM797">IFERROR(
   INDEX($AW$1:$BH$1,
      _xlfn.AGGREGATE(14, 6, COLUMN($AW$1:$BH$1)/(AW797:BH797&lt;&gt;""), 2) - COLUMN($AW$1) + 1
   ),
"")</f>
        <v>46113</v>
      </c>
      <c r="BN797" s="55" cm="1">
        <f t="array" ref="BN797">IFERROR(INDEX($AW$1:$BH$1,1,MATCH(2,1/(AW797:BH797&lt;&gt;""))),"")</f>
        <v>46143</v>
      </c>
      <c r="BO797" s="53">
        <f ca="1">IFERROR(_xlfn.XLOOKUP(F797,Apuração!A:A,Apuração!C:C)/_xlfn.XLOOKUP(F797,Apuração!A:A,Apuração!B:B),0)</f>
        <v>0.22222222222222221</v>
      </c>
      <c r="BP797" s="53">
        <f ca="1">IFERROR(_xlfn.XLOOKUP(F797,Apuração!A:A,Apuração!D:D)/_xlfn.XLOOKUP(F797,Apuração!A:A,Apuração!B:B),0)</f>
        <v>0.1111111111111111</v>
      </c>
      <c r="BQ797" s="53">
        <f ca="1">IF(BK797&gt;=BO797,0,_xlfn.XLOOKUP(F797,Apuração!A:A,Apuração!B:B)*(BO797 + (1/_xlfn.XLOOKUP(F797,Apuração!A:A,Apuração!B:B)) - BK797))</f>
        <v>0</v>
      </c>
      <c r="BR797" s="85">
        <f t="shared" ca="1" si="1095"/>
        <v>0</v>
      </c>
      <c r="BS797" s="53">
        <f ca="1">IFERROR((_xlfn.XLOOKUP(F797,Apuração!A:A,Apuração!C:C)+1)/_xlfn.XLOOKUP(F797,Apuração!A:A,Apuração!B:B),0)</f>
        <v>0.33333333333333331</v>
      </c>
    </row>
    <row r="798" spans="1:71" ht="25.95" hidden="1" customHeight="1" x14ac:dyDescent="0.3">
      <c r="A798" s="23" t="s">
        <v>134</v>
      </c>
      <c r="B798" s="4" t="s">
        <v>167</v>
      </c>
      <c r="C798" s="5" t="s">
        <v>97</v>
      </c>
      <c r="D798" s="5" t="s">
        <v>102</v>
      </c>
      <c r="E798" s="4" t="str" cm="1">
        <f t="array" ref="E798">_xlfn.IFS(
F798 = "A partir de Abril", "Aguardando Execução na Distribuidora",
A798 = "CAPACITAÇÃO", "Em execução no Corporativo",
TRUE, "Em Execução na Distribuidora"
)</f>
        <v>Em Execução na Distribuidora</v>
      </c>
      <c r="F798" s="4" t="str" cm="1">
        <f t="array" ref="F798">_xlfn.IFS(
AG798 &lt;&gt; "", "Jan-Dez/26",
AH798 &lt;&gt; "", "Fev-Dez/26",
AI798 &lt;&gt; "", "Mar-Dez/26", AJ798 &lt;&gt; "", "Abr-Dez/26",
TRUE, "A partir de Junho"
)</f>
        <v>Abr-Dez/26</v>
      </c>
      <c r="G798" s="4" t="s">
        <v>37</v>
      </c>
      <c r="H798" s="7" t="s">
        <v>54</v>
      </c>
      <c r="I798" s="8" t="s">
        <v>168</v>
      </c>
      <c r="J798" s="8" t="str" cm="1">
        <f t="array" aca="1" ref="J798" ca="1">_xlfn.LET(
  _xlpm.actual_value_month, INDEX(T798:AE798, MATCH(DATE(YEAR(TODAY()), MONTH(TODAY()), 1), $T$1:$AE$1, 0)),
  IF(_xlpm.actual_value_month &lt;&gt; "",_xlpm.actual_value_month &amp; " ações mensais", "")
)</f>
        <v>1 ações mensais</v>
      </c>
      <c r="K798" s="8" t="str" cm="1">
        <f t="array" ref="K798">_xlfn.LET(
    _xlpm.sum_month, SUM(T798:AE798),
    IF(_xlpm.sum_month = 0, "", _xlpm.sum_month &amp; " atividades no ano")
)</f>
        <v>9 atividades no ano</v>
      </c>
      <c r="L798" s="9" t="s">
        <v>169</v>
      </c>
      <c r="M798" s="24" t="s">
        <v>170</v>
      </c>
      <c r="N798" s="5" t="s">
        <v>42</v>
      </c>
      <c r="O798" s="5" t="s">
        <v>43</v>
      </c>
      <c r="P798" s="10" t="s">
        <v>44</v>
      </c>
      <c r="Q798" s="10" t="s">
        <v>44</v>
      </c>
      <c r="R798" s="11" t="s">
        <v>66</v>
      </c>
      <c r="S798" s="11" t="s">
        <v>67</v>
      </c>
      <c r="T798" s="22"/>
      <c r="U798" s="22"/>
      <c r="V798" s="22"/>
      <c r="W798" s="143">
        <v>1</v>
      </c>
      <c r="X798" s="143">
        <v>1</v>
      </c>
      <c r="Y798" s="143">
        <v>1</v>
      </c>
      <c r="Z798" s="143">
        <v>1</v>
      </c>
      <c r="AA798" s="143">
        <v>1</v>
      </c>
      <c r="AB798" s="143">
        <v>1</v>
      </c>
      <c r="AC798" s="143">
        <v>1</v>
      </c>
      <c r="AD798" s="143">
        <v>1</v>
      </c>
      <c r="AE798" s="143">
        <v>1</v>
      </c>
      <c r="AG798" s="146"/>
      <c r="AH798" s="150"/>
      <c r="AI798" s="150"/>
      <c r="AJ798" s="150">
        <v>1</v>
      </c>
      <c r="AK798" s="71">
        <v>1</v>
      </c>
      <c r="AL798" s="71"/>
      <c r="AM798" s="71"/>
      <c r="AN798" s="71"/>
      <c r="AO798" s="71"/>
      <c r="AP798" s="71"/>
      <c r="AQ798" s="71"/>
      <c r="AR798" s="71"/>
      <c r="AS798" s="94">
        <f t="shared" ca="1" si="1088"/>
        <v>2</v>
      </c>
      <c r="AT798" s="95">
        <f t="shared" si="1089"/>
        <v>2</v>
      </c>
      <c r="AU798" s="97">
        <f t="shared" si="1090"/>
        <v>2</v>
      </c>
      <c r="AW798" s="51">
        <f t="shared" si="1091"/>
        <v>0</v>
      </c>
      <c r="AX798" s="51">
        <f t="shared" si="1092"/>
        <v>0</v>
      </c>
      <c r="AY798" s="51">
        <f t="shared" si="1093"/>
        <v>0</v>
      </c>
      <c r="AZ798" s="51">
        <f t="shared" si="1094"/>
        <v>1</v>
      </c>
      <c r="BA798" s="51">
        <f t="shared" si="1087"/>
        <v>1</v>
      </c>
      <c r="BB798" s="51"/>
      <c r="BC798" s="51"/>
      <c r="BD798" s="51"/>
      <c r="BE798" s="51"/>
      <c r="BF798" s="51"/>
      <c r="BG798" s="51"/>
      <c r="BH798" s="51"/>
      <c r="BI798" s="65" cm="1">
        <f t="array" ref="BI798">IFERROR(INDEX(AW798:BH798,1,MATCH(2,1/(AW798:BH798&lt;&gt;""))),"")</f>
        <v>1</v>
      </c>
      <c r="BJ798" s="68" cm="1">
        <f t="array" ref="BJ798">IF(BM798 = "", "",IFERROR(INDEX(AW798:BH798,1,MATCH(2,1/(AW798:BH798&lt;&gt;""),1)-1),""))</f>
        <v>1</v>
      </c>
      <c r="BK798" s="58">
        <f>IF((IF(AW798&gt;=115%,115%,AW798) + IF(AX798&gt;=115%,115%,AX798) + IF(AY798&gt;=115%,115%,AY798) + (IF(AZ798&gt;=115%,115%,AZ798) + IF(BA798&gt;=115%,115%,BA798) + IF(BB798&gt;=115%,115%,BB798) + IF(BC798&gt;=115%,115%,BC798) + IF(BD798&gt;=115%,115%,BD798) + IF(BE798&gt;=115%,115%,BE798) + IF(BF798&gt;=133%,133%,BF798) + IF(BG798&gt;=115%,115%,BG798) + IF(BH798&gt;=115%,115%,BH798)))/_xlfn.XLOOKUP(F798,Apuração!A:A,Apuração!B:B)&gt;=1.15,1.15,((IF(AZ798&gt;=115%,115%,AZ798) + IF(AX798&gt;=115%,115%,AX798) + IF(AY798&gt;=115%,115%,AY798) + (IF(AW798&gt;=115%,115%,AW798) + IF(BA798&gt;=115%,115%,BA798) + IF(BB798&gt;=115%,115%,BB798) + IF(BC798&gt;=115%,115%,BC798) + IF(BD798&gt;=115%,115%,BD798) + IF(BE798&gt;=115%,115%,BE798) + IF(BF798&gt;=133%,133%,BF798) + IF(BG798&gt;=115%,115%,BG798) + IF(BH798&gt;=115%,115%,BH798)))/_xlfn.XLOOKUP(F798,Apuração!A:A,Apuração!B:B)))</f>
        <v>0.22222222222222221</v>
      </c>
      <c r="BL798" s="58" cm="1">
        <f t="array" aca="1" ref="BL798" ca="1">IF(SUM(IFERROR(IF(INDEX(AW798:INDEX(AW798:BH798, MATCH(2, 1/(AW798:BH798&lt;&gt;""), 1)-1), ROW(INDIRECT("1:" &amp; MATCH(2, 1/(AW798:BH798&lt;&gt;""), 1)-1))) &gt;= 115%, 115%, INDEX(AW798:INDEX(AW798:BH798, MATCH(2, 1/(AW798:BH798&lt;&gt;""), 1)-1), ROW(INDIRECT("1:" &amp; MATCH(2, 1/(AW798:BH798&lt;&gt;""), 1)-1)))), 0))/_xlfn.XLOOKUP(F798,Apuração!A:A,Apuração!B:B)&gt;=1.15,1.15,SUM(IFERROR(IF(INDEX(AW798:INDEX(AW798:BH798, MATCH(2, 1/(AW798:BH798&lt;&gt;""), 1)-1), ROW(INDIRECT("1:" &amp; MATCH(2, 1/(AW798:BH798&lt;&gt;""), 1)-1))) &gt;= 115%, 115%, INDEX(AW798:INDEX(AW798:BH798, MATCH(2, 1/(AW798:BH798&lt;&gt;""), 1)-1), ROW(INDIRECT("1:" &amp; MATCH(2, 1/(AW798:BH798&lt;&gt;""), 1)-1)))), 0))/_xlfn.XLOOKUP(F798,Apuração!A:A,Apuração!B:B))</f>
        <v>0.1111111111111111</v>
      </c>
      <c r="BM798" s="55" cm="1">
        <f t="array" ref="BM798">IFERROR(
   INDEX($AW$1:$BH$1,
      _xlfn.AGGREGATE(14, 6, COLUMN($AW$1:$BH$1)/(AW798:BH798&lt;&gt;""), 2) - COLUMN($AW$1) + 1
   ),
"")</f>
        <v>46113</v>
      </c>
      <c r="BN798" s="55" cm="1">
        <f t="array" ref="BN798">IFERROR(INDEX($AW$1:$BH$1,1,MATCH(2,1/(AW798:BH798&lt;&gt;""))),"")</f>
        <v>46143</v>
      </c>
      <c r="BO798" s="53">
        <f ca="1">IFERROR(_xlfn.XLOOKUP(F798,Apuração!A:A,Apuração!C:C)/_xlfn.XLOOKUP(F798,Apuração!A:A,Apuração!B:B),0)</f>
        <v>0.22222222222222221</v>
      </c>
      <c r="BP798" s="53">
        <f ca="1">IFERROR(_xlfn.XLOOKUP(F798,Apuração!A:A,Apuração!D:D)/_xlfn.XLOOKUP(F798,Apuração!A:A,Apuração!B:B),0)</f>
        <v>0.1111111111111111</v>
      </c>
      <c r="BQ798" s="53">
        <f ca="1">IF(BK798&gt;=BO798,0,_xlfn.XLOOKUP(F798,Apuração!A:A,Apuração!B:B)*(BO798 + (1/_xlfn.XLOOKUP(F798,Apuração!A:A,Apuração!B:B)) - BK798))</f>
        <v>0</v>
      </c>
      <c r="BR798" s="85">
        <f t="shared" ca="1" si="1095"/>
        <v>0</v>
      </c>
      <c r="BS798" s="53">
        <f ca="1">IFERROR((_xlfn.XLOOKUP(F798,Apuração!A:A,Apuração!C:C)+1)/_xlfn.XLOOKUP(F798,Apuração!A:A,Apuração!B:B),0)</f>
        <v>0.33333333333333331</v>
      </c>
    </row>
    <row r="799" spans="1:71" ht="25.95" hidden="1" customHeight="1" x14ac:dyDescent="0.3">
      <c r="A799" s="23" t="s">
        <v>134</v>
      </c>
      <c r="B799" s="4" t="s">
        <v>167</v>
      </c>
      <c r="C799" s="5" t="s">
        <v>97</v>
      </c>
      <c r="D799" s="5" t="s">
        <v>103</v>
      </c>
      <c r="E799" s="4" t="str" cm="1">
        <f t="array" ref="E799">_xlfn.IFS(
F799 = "A partir de Abril", "Aguardando Execução na Distribuidora",
A799 = "CAPACITAÇÃO", "Em execução no Corporativo",
TRUE, "Em Execução na Distribuidora"
)</f>
        <v>Em Execução na Distribuidora</v>
      </c>
      <c r="F799" s="4" t="str" cm="1">
        <f t="array" ref="F799">_xlfn.IFS(
AG799 &lt;&gt; "", "Jan-Dez/26",
AH799 &lt;&gt; "", "Fev-Dez/26",
AI799 &lt;&gt; "", "Mar-Dez/26", AJ799 &lt;&gt; "", "Abr-Dez/26",
TRUE, "A partir de Junho"
)</f>
        <v>Abr-Dez/26</v>
      </c>
      <c r="G799" s="4" t="s">
        <v>37</v>
      </c>
      <c r="H799" s="7" t="s">
        <v>54</v>
      </c>
      <c r="I799" s="8" t="s">
        <v>168</v>
      </c>
      <c r="J799" s="8" t="str" cm="1">
        <f t="array" aca="1" ref="J799" ca="1">_xlfn.LET(
  _xlpm.actual_value_month, INDEX(T799:AE799, MATCH(DATE(YEAR(TODAY()), MONTH(TODAY()), 1), $T$1:$AE$1, 0)),
  IF(_xlpm.actual_value_month &lt;&gt; "",_xlpm.actual_value_month &amp; " ações mensais", "")
)</f>
        <v>1 ações mensais</v>
      </c>
      <c r="K799" s="8" t="str" cm="1">
        <f t="array" ref="K799">_xlfn.LET(
    _xlpm.sum_month, SUM(T799:AE799),
    IF(_xlpm.sum_month = 0, "", _xlpm.sum_month &amp; " atividades no ano")
)</f>
        <v>9 atividades no ano</v>
      </c>
      <c r="L799" s="9" t="s">
        <v>169</v>
      </c>
      <c r="M799" s="24" t="s">
        <v>170</v>
      </c>
      <c r="N799" s="5" t="s">
        <v>42</v>
      </c>
      <c r="O799" s="5" t="s">
        <v>43</v>
      </c>
      <c r="P799" s="10" t="s">
        <v>44</v>
      </c>
      <c r="Q799" s="10" t="s">
        <v>44</v>
      </c>
      <c r="R799" s="11" t="s">
        <v>66</v>
      </c>
      <c r="S799" s="11" t="s">
        <v>67</v>
      </c>
      <c r="T799" s="22"/>
      <c r="U799" s="22"/>
      <c r="V799" s="22"/>
      <c r="W799" s="143">
        <v>1</v>
      </c>
      <c r="X799" s="143">
        <v>1</v>
      </c>
      <c r="Y799" s="143">
        <v>1</v>
      </c>
      <c r="Z799" s="143">
        <v>1</v>
      </c>
      <c r="AA799" s="143">
        <v>1</v>
      </c>
      <c r="AB799" s="143">
        <v>1</v>
      </c>
      <c r="AC799" s="143">
        <v>1</v>
      </c>
      <c r="AD799" s="143">
        <v>1</v>
      </c>
      <c r="AE799" s="143">
        <v>1</v>
      </c>
      <c r="AG799" s="146"/>
      <c r="AH799" s="150"/>
      <c r="AI799" s="150"/>
      <c r="AJ799" s="150">
        <v>1</v>
      </c>
      <c r="AK799" s="71">
        <v>1</v>
      </c>
      <c r="AL799" s="71"/>
      <c r="AM799" s="71"/>
      <c r="AN799" s="71"/>
      <c r="AO799" s="71"/>
      <c r="AP799" s="71"/>
      <c r="AQ799" s="71"/>
      <c r="AR799" s="71"/>
      <c r="AS799" s="94">
        <f t="shared" ca="1" si="1088"/>
        <v>2</v>
      </c>
      <c r="AT799" s="95">
        <f t="shared" si="1089"/>
        <v>2</v>
      </c>
      <c r="AU799" s="97">
        <f t="shared" si="1090"/>
        <v>2</v>
      </c>
      <c r="AW799" s="51">
        <f t="shared" si="1091"/>
        <v>0</v>
      </c>
      <c r="AX799" s="51">
        <f t="shared" si="1092"/>
        <v>0</v>
      </c>
      <c r="AY799" s="51">
        <f t="shared" si="1093"/>
        <v>0</v>
      </c>
      <c r="AZ799" s="51">
        <f t="shared" si="1094"/>
        <v>1</v>
      </c>
      <c r="BA799" s="51">
        <f t="shared" si="1087"/>
        <v>1</v>
      </c>
      <c r="BB799" s="51"/>
      <c r="BC799" s="51"/>
      <c r="BD799" s="51"/>
      <c r="BE799" s="51"/>
      <c r="BF799" s="51"/>
      <c r="BG799" s="51"/>
      <c r="BH799" s="51"/>
      <c r="BI799" s="65" cm="1">
        <f t="array" ref="BI799">IFERROR(INDEX(AW799:BH799,1,MATCH(2,1/(AW799:BH799&lt;&gt;""))),"")</f>
        <v>1</v>
      </c>
      <c r="BJ799" s="68" cm="1">
        <f t="array" ref="BJ799">IF(BM799 = "", "",IFERROR(INDEX(AW799:BH799,1,MATCH(2,1/(AW799:BH799&lt;&gt;""),1)-1),""))</f>
        <v>1</v>
      </c>
      <c r="BK799" s="58">
        <f>IF((IF(AW799&gt;=115%,115%,AW799) + IF(AX799&gt;=115%,115%,AX799) + IF(AY799&gt;=115%,115%,AY799) + (IF(AZ799&gt;=115%,115%,AZ799) + IF(BA799&gt;=115%,115%,BA799) + IF(BB799&gt;=115%,115%,BB799) + IF(BC799&gt;=115%,115%,BC799) + IF(BD799&gt;=115%,115%,BD799) + IF(BE799&gt;=115%,115%,BE799) + IF(BF799&gt;=133%,133%,BF799) + IF(BG799&gt;=115%,115%,BG799) + IF(BH799&gt;=115%,115%,BH799)))/_xlfn.XLOOKUP(F799,Apuração!A:A,Apuração!B:B)&gt;=1.15,1.15,((IF(AZ799&gt;=115%,115%,AZ799) + IF(AX799&gt;=115%,115%,AX799) + IF(AY799&gt;=115%,115%,AY799) + (IF(AW799&gt;=115%,115%,AW799) + IF(BA799&gt;=115%,115%,BA799) + IF(BB799&gt;=115%,115%,BB799) + IF(BC799&gt;=115%,115%,BC799) + IF(BD799&gt;=115%,115%,BD799) + IF(BE799&gt;=115%,115%,BE799) + IF(BF799&gt;=133%,133%,BF799) + IF(BG799&gt;=115%,115%,BG799) + IF(BH799&gt;=115%,115%,BH799)))/_xlfn.XLOOKUP(F799,Apuração!A:A,Apuração!B:B)))</f>
        <v>0.22222222222222221</v>
      </c>
      <c r="BL799" s="58" cm="1">
        <f t="array" aca="1" ref="BL799" ca="1">IF(SUM(IFERROR(IF(INDEX(AW799:INDEX(AW799:BH799, MATCH(2, 1/(AW799:BH799&lt;&gt;""), 1)-1), ROW(INDIRECT("1:" &amp; MATCH(2, 1/(AW799:BH799&lt;&gt;""), 1)-1))) &gt;= 115%, 115%, INDEX(AW799:INDEX(AW799:BH799, MATCH(2, 1/(AW799:BH799&lt;&gt;""), 1)-1), ROW(INDIRECT("1:" &amp; MATCH(2, 1/(AW799:BH799&lt;&gt;""), 1)-1)))), 0))/_xlfn.XLOOKUP(F799,Apuração!A:A,Apuração!B:B)&gt;=1.15,1.15,SUM(IFERROR(IF(INDEX(AW799:INDEX(AW799:BH799, MATCH(2, 1/(AW799:BH799&lt;&gt;""), 1)-1), ROW(INDIRECT("1:" &amp; MATCH(2, 1/(AW799:BH799&lt;&gt;""), 1)-1))) &gt;= 115%, 115%, INDEX(AW799:INDEX(AW799:BH799, MATCH(2, 1/(AW799:BH799&lt;&gt;""), 1)-1), ROW(INDIRECT("1:" &amp; MATCH(2, 1/(AW799:BH799&lt;&gt;""), 1)-1)))), 0))/_xlfn.XLOOKUP(F799,Apuração!A:A,Apuração!B:B))</f>
        <v>0.1111111111111111</v>
      </c>
      <c r="BM799" s="55" cm="1">
        <f t="array" ref="BM799">IFERROR(
   INDEX($AW$1:$BH$1,
      _xlfn.AGGREGATE(14, 6, COLUMN($AW$1:$BH$1)/(AW799:BH799&lt;&gt;""), 2) - COLUMN($AW$1) + 1
   ),
"")</f>
        <v>46113</v>
      </c>
      <c r="BN799" s="55" cm="1">
        <f t="array" ref="BN799">IFERROR(INDEX($AW$1:$BH$1,1,MATCH(2,1/(AW799:BH799&lt;&gt;""))),"")</f>
        <v>46143</v>
      </c>
      <c r="BO799" s="53">
        <f ca="1">IFERROR(_xlfn.XLOOKUP(F799,Apuração!A:A,Apuração!C:C)/_xlfn.XLOOKUP(F799,Apuração!A:A,Apuração!B:B),0)</f>
        <v>0.22222222222222221</v>
      </c>
      <c r="BP799" s="53">
        <f ca="1">IFERROR(_xlfn.XLOOKUP(F799,Apuração!A:A,Apuração!D:D)/_xlfn.XLOOKUP(F799,Apuração!A:A,Apuração!B:B),0)</f>
        <v>0.1111111111111111</v>
      </c>
      <c r="BQ799" s="53">
        <f ca="1">IF(BK799&gt;=BO799,0,_xlfn.XLOOKUP(F799,Apuração!A:A,Apuração!B:B)*(BO799 + (1/_xlfn.XLOOKUP(F799,Apuração!A:A,Apuração!B:B)) - BK799))</f>
        <v>0</v>
      </c>
      <c r="BR799" s="85">
        <f t="shared" ca="1" si="1095"/>
        <v>0</v>
      </c>
      <c r="BS799" s="53">
        <f ca="1">IFERROR((_xlfn.XLOOKUP(F799,Apuração!A:A,Apuração!C:C)+1)/_xlfn.XLOOKUP(F799,Apuração!A:A,Apuração!B:B),0)</f>
        <v>0.33333333333333331</v>
      </c>
    </row>
    <row r="800" spans="1:71" ht="25.95" hidden="1" customHeight="1" x14ac:dyDescent="0.3">
      <c r="A800" s="23" t="s">
        <v>134</v>
      </c>
      <c r="B800" s="4" t="s">
        <v>167</v>
      </c>
      <c r="C800" s="5" t="s">
        <v>97</v>
      </c>
      <c r="D800" s="5" t="s">
        <v>104</v>
      </c>
      <c r="E800" s="4" t="str" cm="1">
        <f t="array" ref="E800">_xlfn.IFS(
F800 = "A partir de Abril", "Aguardando Execução na Distribuidora",
A800 = "CAPACITAÇÃO", "Em execução no Corporativo",
TRUE, "Em Execução na Distribuidora"
)</f>
        <v>Em Execução na Distribuidora</v>
      </c>
      <c r="F800" s="4" t="str" cm="1">
        <f t="array" ref="F800">_xlfn.IFS(
AG800 &lt;&gt; "", "Jan-Dez/26",
AH800 &lt;&gt; "", "Fev-Dez/26",
AI800 &lt;&gt; "", "Mar-Dez/26", AJ800 &lt;&gt; "", "Abr-Dez/26",
TRUE, "A partir de Junho"
)</f>
        <v>Abr-Dez/26</v>
      </c>
      <c r="G800" s="4" t="s">
        <v>37</v>
      </c>
      <c r="H800" s="7" t="s">
        <v>54</v>
      </c>
      <c r="I800" s="8" t="s">
        <v>168</v>
      </c>
      <c r="J800" s="8" t="str" cm="1">
        <f t="array" aca="1" ref="J800" ca="1">_xlfn.LET(
  _xlpm.actual_value_month, INDEX(T800:AE800, MATCH(DATE(YEAR(TODAY()), MONTH(TODAY()), 1), $T$1:$AE$1, 0)),
  IF(_xlpm.actual_value_month &lt;&gt; "",_xlpm.actual_value_month &amp; " ações mensais", "")
)</f>
        <v>1 ações mensais</v>
      </c>
      <c r="K800" s="8" t="str" cm="1">
        <f t="array" ref="K800">_xlfn.LET(
    _xlpm.sum_month, SUM(T800:AE800),
    IF(_xlpm.sum_month = 0, "", _xlpm.sum_month &amp; " atividades no ano")
)</f>
        <v>9 atividades no ano</v>
      </c>
      <c r="L800" s="9" t="s">
        <v>169</v>
      </c>
      <c r="M800" s="24" t="s">
        <v>170</v>
      </c>
      <c r="N800" s="5" t="s">
        <v>42</v>
      </c>
      <c r="O800" s="5" t="s">
        <v>43</v>
      </c>
      <c r="P800" s="10" t="s">
        <v>44</v>
      </c>
      <c r="Q800" s="10" t="s">
        <v>44</v>
      </c>
      <c r="R800" s="11" t="s">
        <v>66</v>
      </c>
      <c r="S800" s="11" t="s">
        <v>67</v>
      </c>
      <c r="T800" s="22"/>
      <c r="U800" s="22"/>
      <c r="V800" s="22"/>
      <c r="W800" s="143">
        <v>1</v>
      </c>
      <c r="X800" s="143">
        <v>1</v>
      </c>
      <c r="Y800" s="143">
        <v>1</v>
      </c>
      <c r="Z800" s="143">
        <v>1</v>
      </c>
      <c r="AA800" s="143">
        <v>1</v>
      </c>
      <c r="AB800" s="143">
        <v>1</v>
      </c>
      <c r="AC800" s="143">
        <v>1</v>
      </c>
      <c r="AD800" s="143">
        <v>1</v>
      </c>
      <c r="AE800" s="143">
        <v>1</v>
      </c>
      <c r="AG800" s="146"/>
      <c r="AH800" s="150"/>
      <c r="AI800" s="150"/>
      <c r="AJ800" s="150">
        <v>1</v>
      </c>
      <c r="AK800" s="71">
        <v>1</v>
      </c>
      <c r="AL800" s="71"/>
      <c r="AM800" s="71"/>
      <c r="AN800" s="71"/>
      <c r="AO800" s="71"/>
      <c r="AP800" s="71"/>
      <c r="AQ800" s="71"/>
      <c r="AR800" s="71"/>
      <c r="AS800" s="94">
        <f t="shared" ca="1" si="1088"/>
        <v>2</v>
      </c>
      <c r="AT800" s="95">
        <f t="shared" si="1089"/>
        <v>2</v>
      </c>
      <c r="AU800" s="97">
        <f t="shared" si="1090"/>
        <v>2</v>
      </c>
      <c r="AW800" s="51">
        <f t="shared" si="1091"/>
        <v>0</v>
      </c>
      <c r="AX800" s="51">
        <f t="shared" si="1092"/>
        <v>0</v>
      </c>
      <c r="AY800" s="51">
        <f t="shared" si="1093"/>
        <v>0</v>
      </c>
      <c r="AZ800" s="51">
        <f t="shared" si="1094"/>
        <v>1</v>
      </c>
      <c r="BA800" s="51">
        <f t="shared" si="1087"/>
        <v>1</v>
      </c>
      <c r="BB800" s="51"/>
      <c r="BC800" s="51"/>
      <c r="BD800" s="51"/>
      <c r="BE800" s="51"/>
      <c r="BF800" s="51"/>
      <c r="BG800" s="51"/>
      <c r="BH800" s="51"/>
      <c r="BI800" s="65" cm="1">
        <f t="array" ref="BI800">IFERROR(INDEX(AW800:BH800,1,MATCH(2,1/(AW800:BH800&lt;&gt;""))),"")</f>
        <v>1</v>
      </c>
      <c r="BJ800" s="68" cm="1">
        <f t="array" ref="BJ800">IF(BM800 = "", "",IFERROR(INDEX(AW800:BH800,1,MATCH(2,1/(AW800:BH800&lt;&gt;""),1)-1),""))</f>
        <v>1</v>
      </c>
      <c r="BK800" s="58">
        <f>IF((IF(AW800&gt;=115%,115%,AW800) + IF(AX800&gt;=115%,115%,AX800) + IF(AY800&gt;=115%,115%,AY800) + (IF(AZ800&gt;=115%,115%,AZ800) + IF(BA800&gt;=115%,115%,BA800) + IF(BB800&gt;=115%,115%,BB800) + IF(BC800&gt;=115%,115%,BC800) + IF(BD800&gt;=115%,115%,BD800) + IF(BE800&gt;=115%,115%,BE800) + IF(BF800&gt;=133%,133%,BF800) + IF(BG800&gt;=115%,115%,BG800) + IF(BH800&gt;=115%,115%,BH800)))/_xlfn.XLOOKUP(F800,Apuração!A:A,Apuração!B:B)&gt;=1.15,1.15,((IF(AZ800&gt;=115%,115%,AZ800) + IF(AX800&gt;=115%,115%,AX800) + IF(AY800&gt;=115%,115%,AY800) + (IF(AW800&gt;=115%,115%,AW800) + IF(BA800&gt;=115%,115%,BA800) + IF(BB800&gt;=115%,115%,BB800) + IF(BC800&gt;=115%,115%,BC800) + IF(BD800&gt;=115%,115%,BD800) + IF(BE800&gt;=115%,115%,BE800) + IF(BF800&gt;=133%,133%,BF800) + IF(BG800&gt;=115%,115%,BG800) + IF(BH800&gt;=115%,115%,BH800)))/_xlfn.XLOOKUP(F800,Apuração!A:A,Apuração!B:B)))</f>
        <v>0.22222222222222221</v>
      </c>
      <c r="BL800" s="58" cm="1">
        <f t="array" aca="1" ref="BL800" ca="1">IF(SUM(IFERROR(IF(INDEX(AW800:INDEX(AW800:BH800, MATCH(2, 1/(AW800:BH800&lt;&gt;""), 1)-1), ROW(INDIRECT("1:" &amp; MATCH(2, 1/(AW800:BH800&lt;&gt;""), 1)-1))) &gt;= 115%, 115%, INDEX(AW800:INDEX(AW800:BH800, MATCH(2, 1/(AW800:BH800&lt;&gt;""), 1)-1), ROW(INDIRECT("1:" &amp; MATCH(2, 1/(AW800:BH800&lt;&gt;""), 1)-1)))), 0))/_xlfn.XLOOKUP(F800,Apuração!A:A,Apuração!B:B)&gt;=1.15,1.15,SUM(IFERROR(IF(INDEX(AW800:INDEX(AW800:BH800, MATCH(2, 1/(AW800:BH800&lt;&gt;""), 1)-1), ROW(INDIRECT("1:" &amp; MATCH(2, 1/(AW800:BH800&lt;&gt;""), 1)-1))) &gt;= 115%, 115%, INDEX(AW800:INDEX(AW800:BH800, MATCH(2, 1/(AW800:BH800&lt;&gt;""), 1)-1), ROW(INDIRECT("1:" &amp; MATCH(2, 1/(AW800:BH800&lt;&gt;""), 1)-1)))), 0))/_xlfn.XLOOKUP(F800,Apuração!A:A,Apuração!B:B))</f>
        <v>0.1111111111111111</v>
      </c>
      <c r="BM800" s="55" cm="1">
        <f t="array" ref="BM800">IFERROR(
   INDEX($AW$1:$BH$1,
      _xlfn.AGGREGATE(14, 6, COLUMN($AW$1:$BH$1)/(AW800:BH800&lt;&gt;""), 2) - COLUMN($AW$1) + 1
   ),
"")</f>
        <v>46113</v>
      </c>
      <c r="BN800" s="55" cm="1">
        <f t="array" ref="BN800">IFERROR(INDEX($AW$1:$BH$1,1,MATCH(2,1/(AW800:BH800&lt;&gt;""))),"")</f>
        <v>46143</v>
      </c>
      <c r="BO800" s="53">
        <f ca="1">IFERROR(_xlfn.XLOOKUP(F800,Apuração!A:A,Apuração!C:C)/_xlfn.XLOOKUP(F800,Apuração!A:A,Apuração!B:B),0)</f>
        <v>0.22222222222222221</v>
      </c>
      <c r="BP800" s="53">
        <f ca="1">IFERROR(_xlfn.XLOOKUP(F800,Apuração!A:A,Apuração!D:D)/_xlfn.XLOOKUP(F800,Apuração!A:A,Apuração!B:B),0)</f>
        <v>0.1111111111111111</v>
      </c>
      <c r="BQ800" s="53">
        <f ca="1">IF(BK800&gt;=BO800,0,_xlfn.XLOOKUP(F800,Apuração!A:A,Apuração!B:B)*(BO800 + (1/_xlfn.XLOOKUP(F800,Apuração!A:A,Apuração!B:B)) - BK800))</f>
        <v>0</v>
      </c>
      <c r="BR800" s="85">
        <f t="shared" ca="1" si="1095"/>
        <v>0</v>
      </c>
      <c r="BS800" s="53">
        <f ca="1">IFERROR((_xlfn.XLOOKUP(F800,Apuração!A:A,Apuração!C:C)+1)/_xlfn.XLOOKUP(F800,Apuração!A:A,Apuração!B:B),0)</f>
        <v>0.33333333333333331</v>
      </c>
    </row>
    <row r="801" spans="1:71" ht="25.95" hidden="1" customHeight="1" x14ac:dyDescent="0.3">
      <c r="A801" s="23" t="s">
        <v>134</v>
      </c>
      <c r="B801" s="4" t="s">
        <v>167</v>
      </c>
      <c r="C801" s="5" t="s">
        <v>97</v>
      </c>
      <c r="D801" s="5" t="s">
        <v>105</v>
      </c>
      <c r="E801" s="4" t="str" cm="1">
        <f t="array" ref="E801">_xlfn.IFS(
F801 = "A partir de Abril", "Aguardando Execução na Distribuidora",
A801 = "CAPACITAÇÃO", "Em execução no Corporativo",
TRUE, "Em Execução na Distribuidora"
)</f>
        <v>Em Execução na Distribuidora</v>
      </c>
      <c r="F801" s="4" t="str" cm="1">
        <f t="array" ref="F801">_xlfn.IFS(
AG801 &lt;&gt; "", "Jan-Dez/26",
AH801 &lt;&gt; "", "Fev-Dez/26",
AI801 &lt;&gt; "", "Mar-Dez/26", AJ801 &lt;&gt; "", "Abr-Dez/26",
TRUE, "A partir de Junho"
)</f>
        <v>Abr-Dez/26</v>
      </c>
      <c r="G801" s="4" t="s">
        <v>37</v>
      </c>
      <c r="H801" s="7" t="s">
        <v>54</v>
      </c>
      <c r="I801" s="8" t="s">
        <v>168</v>
      </c>
      <c r="J801" s="8" t="str" cm="1">
        <f t="array" aca="1" ref="J801" ca="1">_xlfn.LET(
  _xlpm.actual_value_month, INDEX(T801:AE801, MATCH(DATE(YEAR(TODAY()), MONTH(TODAY()), 1), $T$1:$AE$1, 0)),
  IF(_xlpm.actual_value_month &lt;&gt; "",_xlpm.actual_value_month &amp; " ações mensais", "")
)</f>
        <v>1 ações mensais</v>
      </c>
      <c r="K801" s="8" t="str" cm="1">
        <f t="array" ref="K801">_xlfn.LET(
    _xlpm.sum_month, SUM(T801:AE801),
    IF(_xlpm.sum_month = 0, "", _xlpm.sum_month &amp; " atividades no ano")
)</f>
        <v>9 atividades no ano</v>
      </c>
      <c r="L801" s="9" t="s">
        <v>169</v>
      </c>
      <c r="M801" s="24" t="s">
        <v>170</v>
      </c>
      <c r="N801" s="5" t="s">
        <v>42</v>
      </c>
      <c r="O801" s="5" t="s">
        <v>43</v>
      </c>
      <c r="P801" s="10" t="s">
        <v>44</v>
      </c>
      <c r="Q801" s="10" t="s">
        <v>44</v>
      </c>
      <c r="R801" s="11" t="s">
        <v>66</v>
      </c>
      <c r="S801" s="11" t="s">
        <v>67</v>
      </c>
      <c r="T801" s="22"/>
      <c r="U801" s="22"/>
      <c r="V801" s="22"/>
      <c r="W801" s="143">
        <v>1</v>
      </c>
      <c r="X801" s="143">
        <v>1</v>
      </c>
      <c r="Y801" s="143">
        <v>1</v>
      </c>
      <c r="Z801" s="143">
        <v>1</v>
      </c>
      <c r="AA801" s="143">
        <v>1</v>
      </c>
      <c r="AB801" s="143">
        <v>1</v>
      </c>
      <c r="AC801" s="143">
        <v>1</v>
      </c>
      <c r="AD801" s="143">
        <v>1</v>
      </c>
      <c r="AE801" s="143">
        <v>1</v>
      </c>
      <c r="AG801" s="146"/>
      <c r="AH801" s="150"/>
      <c r="AI801" s="150"/>
      <c r="AJ801" s="150">
        <v>1</v>
      </c>
      <c r="AK801" s="71">
        <v>1</v>
      </c>
      <c r="AL801" s="71"/>
      <c r="AM801" s="71"/>
      <c r="AN801" s="71"/>
      <c r="AO801" s="71"/>
      <c r="AP801" s="71"/>
      <c r="AQ801" s="71"/>
      <c r="AR801" s="71"/>
      <c r="AS801" s="94">
        <f t="shared" ca="1" si="1088"/>
        <v>2</v>
      </c>
      <c r="AT801" s="95">
        <f t="shared" si="1089"/>
        <v>2</v>
      </c>
      <c r="AU801" s="97">
        <f t="shared" si="1090"/>
        <v>2</v>
      </c>
      <c r="AW801" s="51">
        <f t="shared" si="1091"/>
        <v>0</v>
      </c>
      <c r="AX801" s="51">
        <f t="shared" si="1092"/>
        <v>0</v>
      </c>
      <c r="AY801" s="51">
        <f t="shared" si="1093"/>
        <v>0</v>
      </c>
      <c r="AZ801" s="51">
        <f t="shared" si="1094"/>
        <v>1</v>
      </c>
      <c r="BA801" s="51">
        <f t="shared" si="1087"/>
        <v>1</v>
      </c>
      <c r="BB801" s="51"/>
      <c r="BC801" s="51"/>
      <c r="BD801" s="51"/>
      <c r="BE801" s="51"/>
      <c r="BF801" s="51"/>
      <c r="BG801" s="51"/>
      <c r="BH801" s="51"/>
      <c r="BI801" s="65" cm="1">
        <f t="array" ref="BI801">IFERROR(INDEX(AW801:BH801,1,MATCH(2,1/(AW801:BH801&lt;&gt;""))),"")</f>
        <v>1</v>
      </c>
      <c r="BJ801" s="68" cm="1">
        <f t="array" ref="BJ801">IF(BM801 = "", "",IFERROR(INDEX(AW801:BH801,1,MATCH(2,1/(AW801:BH801&lt;&gt;""),1)-1),""))</f>
        <v>1</v>
      </c>
      <c r="BK801" s="58">
        <f>IF((IF(AW801&gt;=115%,115%,AW801) + IF(AX801&gt;=115%,115%,AX801) + IF(AY801&gt;=115%,115%,AY801) + (IF(AZ801&gt;=115%,115%,AZ801) + IF(BA801&gt;=115%,115%,BA801) + IF(BB801&gt;=115%,115%,BB801) + IF(BC801&gt;=115%,115%,BC801) + IF(BD801&gt;=115%,115%,BD801) + IF(BE801&gt;=115%,115%,BE801) + IF(BF801&gt;=133%,133%,BF801) + IF(BG801&gt;=115%,115%,BG801) + IF(BH801&gt;=115%,115%,BH801)))/_xlfn.XLOOKUP(F801,Apuração!A:A,Apuração!B:B)&gt;=1.15,1.15,((IF(AZ801&gt;=115%,115%,AZ801) + IF(AX801&gt;=115%,115%,AX801) + IF(AY801&gt;=115%,115%,AY801) + (IF(AW801&gt;=115%,115%,AW801) + IF(BA801&gt;=115%,115%,BA801) + IF(BB801&gt;=115%,115%,BB801) + IF(BC801&gt;=115%,115%,BC801) + IF(BD801&gt;=115%,115%,BD801) + IF(BE801&gt;=115%,115%,BE801) + IF(BF801&gt;=133%,133%,BF801) + IF(BG801&gt;=115%,115%,BG801) + IF(BH801&gt;=115%,115%,BH801)))/_xlfn.XLOOKUP(F801,Apuração!A:A,Apuração!B:B)))</f>
        <v>0.22222222222222221</v>
      </c>
      <c r="BL801" s="58" cm="1">
        <f t="array" aca="1" ref="BL801" ca="1">IF(SUM(IFERROR(IF(INDEX(AW801:INDEX(AW801:BH801, MATCH(2, 1/(AW801:BH801&lt;&gt;""), 1)-1), ROW(INDIRECT("1:" &amp; MATCH(2, 1/(AW801:BH801&lt;&gt;""), 1)-1))) &gt;= 115%, 115%, INDEX(AW801:INDEX(AW801:BH801, MATCH(2, 1/(AW801:BH801&lt;&gt;""), 1)-1), ROW(INDIRECT("1:" &amp; MATCH(2, 1/(AW801:BH801&lt;&gt;""), 1)-1)))), 0))/_xlfn.XLOOKUP(F801,Apuração!A:A,Apuração!B:B)&gt;=1.15,1.15,SUM(IFERROR(IF(INDEX(AW801:INDEX(AW801:BH801, MATCH(2, 1/(AW801:BH801&lt;&gt;""), 1)-1), ROW(INDIRECT("1:" &amp; MATCH(2, 1/(AW801:BH801&lt;&gt;""), 1)-1))) &gt;= 115%, 115%, INDEX(AW801:INDEX(AW801:BH801, MATCH(2, 1/(AW801:BH801&lt;&gt;""), 1)-1), ROW(INDIRECT("1:" &amp; MATCH(2, 1/(AW801:BH801&lt;&gt;""), 1)-1)))), 0))/_xlfn.XLOOKUP(F801,Apuração!A:A,Apuração!B:B))</f>
        <v>0.1111111111111111</v>
      </c>
      <c r="BM801" s="55" cm="1">
        <f t="array" ref="BM801">IFERROR(
   INDEX($AW$1:$BH$1,
      _xlfn.AGGREGATE(14, 6, COLUMN($AW$1:$BH$1)/(AW801:BH801&lt;&gt;""), 2) - COLUMN($AW$1) + 1
   ),
"")</f>
        <v>46113</v>
      </c>
      <c r="BN801" s="55" cm="1">
        <f t="array" ref="BN801">IFERROR(INDEX($AW$1:$BH$1,1,MATCH(2,1/(AW801:BH801&lt;&gt;""))),"")</f>
        <v>46143</v>
      </c>
      <c r="BO801" s="53">
        <f ca="1">IFERROR(_xlfn.XLOOKUP(F801,Apuração!A:A,Apuração!C:C)/_xlfn.XLOOKUP(F801,Apuração!A:A,Apuração!B:B),0)</f>
        <v>0.22222222222222221</v>
      </c>
      <c r="BP801" s="53">
        <f ca="1">IFERROR(_xlfn.XLOOKUP(F801,Apuração!A:A,Apuração!D:D)/_xlfn.XLOOKUP(F801,Apuração!A:A,Apuração!B:B),0)</f>
        <v>0.1111111111111111</v>
      </c>
      <c r="BQ801" s="53">
        <f ca="1">IF(BK801&gt;=BO801,0,_xlfn.XLOOKUP(F801,Apuração!A:A,Apuração!B:B)*(BO801 + (1/_xlfn.XLOOKUP(F801,Apuração!A:A,Apuração!B:B)) - BK801))</f>
        <v>0</v>
      </c>
      <c r="BR801" s="85">
        <f t="shared" ca="1" si="1095"/>
        <v>0</v>
      </c>
      <c r="BS801" s="53">
        <f ca="1">IFERROR((_xlfn.XLOOKUP(F801,Apuração!A:A,Apuração!C:C)+1)/_xlfn.XLOOKUP(F801,Apuração!A:A,Apuração!B:B),0)</f>
        <v>0.33333333333333331</v>
      </c>
    </row>
    <row r="802" spans="1:71" ht="25.95" hidden="1" customHeight="1" x14ac:dyDescent="0.3">
      <c r="A802" s="23" t="s">
        <v>134</v>
      </c>
      <c r="B802" s="4" t="s">
        <v>167</v>
      </c>
      <c r="C802" s="5" t="s">
        <v>97</v>
      </c>
      <c r="D802" s="5" t="s">
        <v>106</v>
      </c>
      <c r="E802" s="4" t="str" cm="1">
        <f t="array" ref="E802">_xlfn.IFS(
F802 = "A partir de Abril", "Aguardando Execução na Distribuidora",
A802 = "CAPACITAÇÃO", "Em execução no Corporativo",
TRUE, "Em Execução na Distribuidora"
)</f>
        <v>Em Execução na Distribuidora</v>
      </c>
      <c r="F802" s="4" t="str" cm="1">
        <f t="array" ref="F802">_xlfn.IFS(
AG802 &lt;&gt; "", "Jan-Dez/26",
AH802 &lt;&gt; "", "Fev-Dez/26",
AI802 &lt;&gt; "", "Mar-Dez/26", AJ802 &lt;&gt; "", "Abr-Dez/26",
TRUE, "A partir de Junho"
)</f>
        <v>Abr-Dez/26</v>
      </c>
      <c r="G802" s="4" t="s">
        <v>37</v>
      </c>
      <c r="H802" s="7" t="s">
        <v>54</v>
      </c>
      <c r="I802" s="8" t="s">
        <v>168</v>
      </c>
      <c r="J802" s="8" t="str" cm="1">
        <f t="array" aca="1" ref="J802" ca="1">_xlfn.LET(
  _xlpm.actual_value_month, INDEX(T802:AE802, MATCH(DATE(YEAR(TODAY()), MONTH(TODAY()), 1), $T$1:$AE$1, 0)),
  IF(_xlpm.actual_value_month &lt;&gt; "",_xlpm.actual_value_month &amp; " ações mensais", "")
)</f>
        <v>1 ações mensais</v>
      </c>
      <c r="K802" s="8" t="str" cm="1">
        <f t="array" ref="K802">_xlfn.LET(
    _xlpm.sum_month, SUM(T802:AE802),
    IF(_xlpm.sum_month = 0, "", _xlpm.sum_month &amp; " atividades no ano")
)</f>
        <v>9 atividades no ano</v>
      </c>
      <c r="L802" s="9" t="s">
        <v>169</v>
      </c>
      <c r="M802" s="24" t="s">
        <v>170</v>
      </c>
      <c r="N802" s="5" t="s">
        <v>42</v>
      </c>
      <c r="O802" s="5" t="s">
        <v>43</v>
      </c>
      <c r="P802" s="10" t="s">
        <v>44</v>
      </c>
      <c r="Q802" s="10" t="s">
        <v>44</v>
      </c>
      <c r="R802" s="11" t="s">
        <v>66</v>
      </c>
      <c r="S802" s="11" t="s">
        <v>67</v>
      </c>
      <c r="T802" s="22"/>
      <c r="U802" s="22"/>
      <c r="V802" s="22"/>
      <c r="W802" s="143">
        <v>1</v>
      </c>
      <c r="X802" s="143">
        <v>1</v>
      </c>
      <c r="Y802" s="143">
        <v>1</v>
      </c>
      <c r="Z802" s="143">
        <v>1</v>
      </c>
      <c r="AA802" s="143">
        <v>1</v>
      </c>
      <c r="AB802" s="143">
        <v>1</v>
      </c>
      <c r="AC802" s="143">
        <v>1</v>
      </c>
      <c r="AD802" s="143">
        <v>1</v>
      </c>
      <c r="AE802" s="143">
        <v>1</v>
      </c>
      <c r="AG802" s="146"/>
      <c r="AH802" s="150"/>
      <c r="AI802" s="150"/>
      <c r="AJ802" s="150">
        <v>1</v>
      </c>
      <c r="AK802" s="71">
        <v>1</v>
      </c>
      <c r="AL802" s="71"/>
      <c r="AM802" s="71"/>
      <c r="AN802" s="71"/>
      <c r="AO802" s="71"/>
      <c r="AP802" s="71"/>
      <c r="AQ802" s="71"/>
      <c r="AR802" s="71"/>
      <c r="AS802" s="94">
        <f t="shared" ca="1" si="1088"/>
        <v>2</v>
      </c>
      <c r="AT802" s="95">
        <f t="shared" si="1089"/>
        <v>2</v>
      </c>
      <c r="AU802" s="97">
        <f t="shared" si="1090"/>
        <v>2</v>
      </c>
      <c r="AW802" s="51">
        <f t="shared" si="1091"/>
        <v>0</v>
      </c>
      <c r="AX802" s="51">
        <f t="shared" si="1092"/>
        <v>0</v>
      </c>
      <c r="AY802" s="51">
        <f t="shared" si="1093"/>
        <v>0</v>
      </c>
      <c r="AZ802" s="51">
        <f t="shared" si="1094"/>
        <v>1</v>
      </c>
      <c r="BA802" s="51">
        <f t="shared" si="1087"/>
        <v>1</v>
      </c>
      <c r="BB802" s="51"/>
      <c r="BC802" s="51"/>
      <c r="BD802" s="51"/>
      <c r="BE802" s="51"/>
      <c r="BF802" s="51"/>
      <c r="BG802" s="51"/>
      <c r="BH802" s="51"/>
      <c r="BI802" s="65" cm="1">
        <f t="array" ref="BI802">IFERROR(INDEX(AW802:BH802,1,MATCH(2,1/(AW802:BH802&lt;&gt;""))),"")</f>
        <v>1</v>
      </c>
      <c r="BJ802" s="68" cm="1">
        <f t="array" ref="BJ802">IF(BM802 = "", "",IFERROR(INDEX(AW802:BH802,1,MATCH(2,1/(AW802:BH802&lt;&gt;""),1)-1),""))</f>
        <v>1</v>
      </c>
      <c r="BK802" s="58">
        <f>IF((IF(AW802&gt;=115%,115%,AW802) + IF(AX802&gt;=115%,115%,AX802) + IF(AY802&gt;=115%,115%,AY802) + (IF(AZ802&gt;=115%,115%,AZ802) + IF(BA802&gt;=115%,115%,BA802) + IF(BB802&gt;=115%,115%,BB802) + IF(BC802&gt;=115%,115%,BC802) + IF(BD802&gt;=115%,115%,BD802) + IF(BE802&gt;=115%,115%,BE802) + IF(BF802&gt;=133%,133%,BF802) + IF(BG802&gt;=115%,115%,BG802) + IF(BH802&gt;=115%,115%,BH802)))/_xlfn.XLOOKUP(F802,Apuração!A:A,Apuração!B:B)&gt;=1.15,1.15,((IF(AZ802&gt;=115%,115%,AZ802) + IF(AX802&gt;=115%,115%,AX802) + IF(AY802&gt;=115%,115%,AY802) + (IF(AW802&gt;=115%,115%,AW802) + IF(BA802&gt;=115%,115%,BA802) + IF(BB802&gt;=115%,115%,BB802) + IF(BC802&gt;=115%,115%,BC802) + IF(BD802&gt;=115%,115%,BD802) + IF(BE802&gt;=115%,115%,BE802) + IF(BF802&gt;=133%,133%,BF802) + IF(BG802&gt;=115%,115%,BG802) + IF(BH802&gt;=115%,115%,BH802)))/_xlfn.XLOOKUP(F802,Apuração!A:A,Apuração!B:B)))</f>
        <v>0.22222222222222221</v>
      </c>
      <c r="BL802" s="58" cm="1">
        <f t="array" aca="1" ref="BL802" ca="1">IF(SUM(IFERROR(IF(INDEX(AW802:INDEX(AW802:BH802, MATCH(2, 1/(AW802:BH802&lt;&gt;""), 1)-1), ROW(INDIRECT("1:" &amp; MATCH(2, 1/(AW802:BH802&lt;&gt;""), 1)-1))) &gt;= 115%, 115%, INDEX(AW802:INDEX(AW802:BH802, MATCH(2, 1/(AW802:BH802&lt;&gt;""), 1)-1), ROW(INDIRECT("1:" &amp; MATCH(2, 1/(AW802:BH802&lt;&gt;""), 1)-1)))), 0))/_xlfn.XLOOKUP(F802,Apuração!A:A,Apuração!B:B)&gt;=1.15,1.15,SUM(IFERROR(IF(INDEX(AW802:INDEX(AW802:BH802, MATCH(2, 1/(AW802:BH802&lt;&gt;""), 1)-1), ROW(INDIRECT("1:" &amp; MATCH(2, 1/(AW802:BH802&lt;&gt;""), 1)-1))) &gt;= 115%, 115%, INDEX(AW802:INDEX(AW802:BH802, MATCH(2, 1/(AW802:BH802&lt;&gt;""), 1)-1), ROW(INDIRECT("1:" &amp; MATCH(2, 1/(AW802:BH802&lt;&gt;""), 1)-1)))), 0))/_xlfn.XLOOKUP(F802,Apuração!A:A,Apuração!B:B))</f>
        <v>0.1111111111111111</v>
      </c>
      <c r="BM802" s="55" cm="1">
        <f t="array" ref="BM802">IFERROR(
   INDEX($AW$1:$BH$1,
      _xlfn.AGGREGATE(14, 6, COLUMN($AW$1:$BH$1)/(AW802:BH802&lt;&gt;""), 2) - COLUMN($AW$1) + 1
   ),
"")</f>
        <v>46113</v>
      </c>
      <c r="BN802" s="55" cm="1">
        <f t="array" ref="BN802">IFERROR(INDEX($AW$1:$BH$1,1,MATCH(2,1/(AW802:BH802&lt;&gt;""))),"")</f>
        <v>46143</v>
      </c>
      <c r="BO802" s="53">
        <f ca="1">IFERROR(_xlfn.XLOOKUP(F802,Apuração!A:A,Apuração!C:C)/_xlfn.XLOOKUP(F802,Apuração!A:A,Apuração!B:B),0)</f>
        <v>0.22222222222222221</v>
      </c>
      <c r="BP802" s="53">
        <f ca="1">IFERROR(_xlfn.XLOOKUP(F802,Apuração!A:A,Apuração!D:D)/_xlfn.XLOOKUP(F802,Apuração!A:A,Apuração!B:B),0)</f>
        <v>0.1111111111111111</v>
      </c>
      <c r="BQ802" s="53">
        <f ca="1">IF(BK802&gt;=BO802,0,_xlfn.XLOOKUP(F802,Apuração!A:A,Apuração!B:B)*(BO802 + (1/_xlfn.XLOOKUP(F802,Apuração!A:A,Apuração!B:B)) - BK802))</f>
        <v>0</v>
      </c>
      <c r="BR802" s="85">
        <f t="shared" ca="1" si="1095"/>
        <v>0</v>
      </c>
      <c r="BS802" s="53">
        <f ca="1">IFERROR((_xlfn.XLOOKUP(F802,Apuração!A:A,Apuração!C:C)+1)/_xlfn.XLOOKUP(F802,Apuração!A:A,Apuração!B:B),0)</f>
        <v>0.33333333333333331</v>
      </c>
    </row>
    <row r="803" spans="1:71" ht="25.95" hidden="1" customHeight="1" x14ac:dyDescent="0.3">
      <c r="A803" s="23" t="s">
        <v>134</v>
      </c>
      <c r="B803" s="4" t="s">
        <v>167</v>
      </c>
      <c r="C803" s="5" t="s">
        <v>97</v>
      </c>
      <c r="D803" s="5" t="s">
        <v>107</v>
      </c>
      <c r="E803" s="4" t="str" cm="1">
        <f t="array" ref="E803">_xlfn.IFS(
F803 = "A partir de Abril", "Aguardando Execução na Distribuidora",
A803 = "CAPACITAÇÃO", "Em execução no Corporativo",
TRUE, "Em Execução na Distribuidora"
)</f>
        <v>Em Execução na Distribuidora</v>
      </c>
      <c r="F803" s="4" t="str" cm="1">
        <f t="array" ref="F803">_xlfn.IFS(
AG803 &lt;&gt; "", "Jan-Dez/26",
AH803 &lt;&gt; "", "Fev-Dez/26",
AI803 &lt;&gt; "", "Mar-Dez/26", AJ803 &lt;&gt; "", "Abr-Dez/26",
TRUE, "A partir de Junho"
)</f>
        <v>Abr-Dez/26</v>
      </c>
      <c r="G803" s="4" t="s">
        <v>37</v>
      </c>
      <c r="H803" s="7" t="s">
        <v>54</v>
      </c>
      <c r="I803" s="8" t="s">
        <v>168</v>
      </c>
      <c r="J803" s="8" t="str" cm="1">
        <f t="array" aca="1" ref="J803" ca="1">_xlfn.LET(
  _xlpm.actual_value_month, INDEX(T803:AE803, MATCH(DATE(YEAR(TODAY()), MONTH(TODAY()), 1), $T$1:$AE$1, 0)),
  IF(_xlpm.actual_value_month &lt;&gt; "",_xlpm.actual_value_month &amp; " ações mensais", "")
)</f>
        <v>1 ações mensais</v>
      </c>
      <c r="K803" s="8" t="str" cm="1">
        <f t="array" ref="K803">_xlfn.LET(
    _xlpm.sum_month, SUM(T803:AE803),
    IF(_xlpm.sum_month = 0, "", _xlpm.sum_month &amp; " atividades no ano")
)</f>
        <v>9 atividades no ano</v>
      </c>
      <c r="L803" s="9" t="s">
        <v>169</v>
      </c>
      <c r="M803" s="24" t="s">
        <v>170</v>
      </c>
      <c r="N803" s="5" t="s">
        <v>42</v>
      </c>
      <c r="O803" s="5" t="s">
        <v>43</v>
      </c>
      <c r="P803" s="10" t="s">
        <v>44</v>
      </c>
      <c r="Q803" s="10" t="s">
        <v>44</v>
      </c>
      <c r="R803" s="11" t="s">
        <v>66</v>
      </c>
      <c r="S803" s="11" t="s">
        <v>67</v>
      </c>
      <c r="T803" s="22"/>
      <c r="U803" s="22"/>
      <c r="V803" s="22"/>
      <c r="W803" s="143">
        <v>1</v>
      </c>
      <c r="X803" s="143">
        <v>1</v>
      </c>
      <c r="Y803" s="143">
        <v>1</v>
      </c>
      <c r="Z803" s="143">
        <v>1</v>
      </c>
      <c r="AA803" s="143">
        <v>1</v>
      </c>
      <c r="AB803" s="143">
        <v>1</v>
      </c>
      <c r="AC803" s="143">
        <v>1</v>
      </c>
      <c r="AD803" s="143">
        <v>1</v>
      </c>
      <c r="AE803" s="143">
        <v>1</v>
      </c>
      <c r="AG803" s="146"/>
      <c r="AH803" s="150"/>
      <c r="AI803" s="150"/>
      <c r="AJ803" s="150">
        <v>1</v>
      </c>
      <c r="AK803" s="71">
        <v>1</v>
      </c>
      <c r="AL803" s="71"/>
      <c r="AM803" s="71"/>
      <c r="AN803" s="71"/>
      <c r="AO803" s="71"/>
      <c r="AP803" s="71"/>
      <c r="AQ803" s="71"/>
      <c r="AR803" s="71"/>
      <c r="AS803" s="94">
        <f t="shared" ca="1" si="1088"/>
        <v>2</v>
      </c>
      <c r="AT803" s="95">
        <f t="shared" si="1089"/>
        <v>2</v>
      </c>
      <c r="AU803" s="97">
        <f t="shared" si="1090"/>
        <v>2</v>
      </c>
      <c r="AW803" s="51">
        <f t="shared" si="1091"/>
        <v>0</v>
      </c>
      <c r="AX803" s="51">
        <f t="shared" si="1092"/>
        <v>0</v>
      </c>
      <c r="AY803" s="51">
        <f t="shared" si="1093"/>
        <v>0</v>
      </c>
      <c r="AZ803" s="51">
        <f t="shared" si="1094"/>
        <v>1</v>
      </c>
      <c r="BA803" s="51">
        <f t="shared" si="1087"/>
        <v>1</v>
      </c>
      <c r="BB803" s="51"/>
      <c r="BC803" s="51"/>
      <c r="BD803" s="51"/>
      <c r="BE803" s="51"/>
      <c r="BF803" s="51"/>
      <c r="BG803" s="51"/>
      <c r="BH803" s="51"/>
      <c r="BI803" s="65" cm="1">
        <f t="array" ref="BI803">IFERROR(INDEX(AW803:BH803,1,MATCH(2,1/(AW803:BH803&lt;&gt;""))),"")</f>
        <v>1</v>
      </c>
      <c r="BJ803" s="68" cm="1">
        <f t="array" ref="BJ803">IF(BM803 = "", "",IFERROR(INDEX(AW803:BH803,1,MATCH(2,1/(AW803:BH803&lt;&gt;""),1)-1),""))</f>
        <v>1</v>
      </c>
      <c r="BK803" s="58">
        <f>IF((IF(AW803&gt;=115%,115%,AW803) + IF(AX803&gt;=115%,115%,AX803) + IF(AY803&gt;=115%,115%,AY803) + (IF(AZ803&gt;=115%,115%,AZ803) + IF(BA803&gt;=115%,115%,BA803) + IF(BB803&gt;=115%,115%,BB803) + IF(BC803&gt;=115%,115%,BC803) + IF(BD803&gt;=115%,115%,BD803) + IF(BE803&gt;=115%,115%,BE803) + IF(BF803&gt;=133%,133%,BF803) + IF(BG803&gt;=115%,115%,BG803) + IF(BH803&gt;=115%,115%,BH803)))/_xlfn.XLOOKUP(F803,Apuração!A:A,Apuração!B:B)&gt;=1.15,1.15,((IF(AZ803&gt;=115%,115%,AZ803) + IF(AX803&gt;=115%,115%,AX803) + IF(AY803&gt;=115%,115%,AY803) + (IF(AW803&gt;=115%,115%,AW803) + IF(BA803&gt;=115%,115%,BA803) + IF(BB803&gt;=115%,115%,BB803) + IF(BC803&gt;=115%,115%,BC803) + IF(BD803&gt;=115%,115%,BD803) + IF(BE803&gt;=115%,115%,BE803) + IF(BF803&gt;=133%,133%,BF803) + IF(BG803&gt;=115%,115%,BG803) + IF(BH803&gt;=115%,115%,BH803)))/_xlfn.XLOOKUP(F803,Apuração!A:A,Apuração!B:B)))</f>
        <v>0.22222222222222221</v>
      </c>
      <c r="BL803" s="58" cm="1">
        <f t="array" aca="1" ref="BL803" ca="1">IF(SUM(IFERROR(IF(INDEX(AW803:INDEX(AW803:BH803, MATCH(2, 1/(AW803:BH803&lt;&gt;""), 1)-1), ROW(INDIRECT("1:" &amp; MATCH(2, 1/(AW803:BH803&lt;&gt;""), 1)-1))) &gt;= 115%, 115%, INDEX(AW803:INDEX(AW803:BH803, MATCH(2, 1/(AW803:BH803&lt;&gt;""), 1)-1), ROW(INDIRECT("1:" &amp; MATCH(2, 1/(AW803:BH803&lt;&gt;""), 1)-1)))), 0))/_xlfn.XLOOKUP(F803,Apuração!A:A,Apuração!B:B)&gt;=1.15,1.15,SUM(IFERROR(IF(INDEX(AW803:INDEX(AW803:BH803, MATCH(2, 1/(AW803:BH803&lt;&gt;""), 1)-1), ROW(INDIRECT("1:" &amp; MATCH(2, 1/(AW803:BH803&lt;&gt;""), 1)-1))) &gt;= 115%, 115%, INDEX(AW803:INDEX(AW803:BH803, MATCH(2, 1/(AW803:BH803&lt;&gt;""), 1)-1), ROW(INDIRECT("1:" &amp; MATCH(2, 1/(AW803:BH803&lt;&gt;""), 1)-1)))), 0))/_xlfn.XLOOKUP(F803,Apuração!A:A,Apuração!B:B))</f>
        <v>0.1111111111111111</v>
      </c>
      <c r="BM803" s="55" cm="1">
        <f t="array" ref="BM803">IFERROR(
   INDEX($AW$1:$BH$1,
      _xlfn.AGGREGATE(14, 6, COLUMN($AW$1:$BH$1)/(AW803:BH803&lt;&gt;""), 2) - COLUMN($AW$1) + 1
   ),
"")</f>
        <v>46113</v>
      </c>
      <c r="BN803" s="55" cm="1">
        <f t="array" ref="BN803">IFERROR(INDEX($AW$1:$BH$1,1,MATCH(2,1/(AW803:BH803&lt;&gt;""))),"")</f>
        <v>46143</v>
      </c>
      <c r="BO803" s="53">
        <f ca="1">IFERROR(_xlfn.XLOOKUP(F803,Apuração!A:A,Apuração!C:C)/_xlfn.XLOOKUP(F803,Apuração!A:A,Apuração!B:B),0)</f>
        <v>0.22222222222222221</v>
      </c>
      <c r="BP803" s="53">
        <f ca="1">IFERROR(_xlfn.XLOOKUP(F803,Apuração!A:A,Apuração!D:D)/_xlfn.XLOOKUP(F803,Apuração!A:A,Apuração!B:B),0)</f>
        <v>0.1111111111111111</v>
      </c>
      <c r="BQ803" s="53">
        <f ca="1">IF(BK803&gt;=BO803,0,_xlfn.XLOOKUP(F803,Apuração!A:A,Apuração!B:B)*(BO803 + (1/_xlfn.XLOOKUP(F803,Apuração!A:A,Apuração!B:B)) - BK803))</f>
        <v>0</v>
      </c>
      <c r="BR803" s="85">
        <f t="shared" ca="1" si="1095"/>
        <v>0</v>
      </c>
      <c r="BS803" s="53">
        <f ca="1">IFERROR((_xlfn.XLOOKUP(F803,Apuração!A:A,Apuração!C:C)+1)/_xlfn.XLOOKUP(F803,Apuração!A:A,Apuração!B:B),0)</f>
        <v>0.33333333333333331</v>
      </c>
    </row>
    <row r="804" spans="1:71" ht="25.95" customHeight="1" x14ac:dyDescent="0.3">
      <c r="A804" s="23" t="s">
        <v>134</v>
      </c>
      <c r="B804" s="4" t="s">
        <v>167</v>
      </c>
      <c r="C804" s="5" t="s">
        <v>97</v>
      </c>
      <c r="D804" s="5" t="s">
        <v>36</v>
      </c>
      <c r="E804" s="4" t="str" cm="1">
        <f t="array" ref="E804">_xlfn.IFS(
F804 = "A partir de Abril", "Aguardando Execução na Distribuidora",
A804 = "CAPACITAÇÃO", "Em execução no Corporativo",
TRUE, "Em Execução na Distribuidora"
)</f>
        <v>Em Execução na Distribuidora</v>
      </c>
      <c r="F804" s="4" t="str" cm="1">
        <f t="array" ref="F804">_xlfn.IFS(
AG804 &lt;&gt; "", "Jan-Dez/26",
AH804 &lt;&gt; "", "Fev-Dez/26",
AI804 &lt;&gt; "", "Mar-Dez/26", AJ804 &lt;&gt; "", "Abr-Dez/26",
TRUE, "A partir de Junho"
)</f>
        <v>Abr-Dez/26</v>
      </c>
      <c r="G804" s="4" t="s">
        <v>37</v>
      </c>
      <c r="H804" s="7" t="s">
        <v>54</v>
      </c>
      <c r="I804" s="8" t="s">
        <v>171</v>
      </c>
      <c r="J804" s="8" t="str" cm="1">
        <f t="array" aca="1" ref="J804" ca="1">_xlfn.LET(
  _xlpm.actual_value_month, INDEX(T804:AE804, MATCH(DATE(YEAR(TODAY()), MONTH(TODAY()), 1), $T$1:$AE$1, 0)),
  IF(_xlpm.actual_value_month &lt;&gt; "",_xlpm.actual_value_month &amp; " colaboradores alcançados mensalmentes", "")
)</f>
        <v>3026 colaboradores alcançados mensalmentes</v>
      </c>
      <c r="K804" s="8" t="str" cm="1">
        <f t="array" ref="K804">_xlfn.LET(
    _xlpm.sum_month, SUM(T804:AE804),
    IF(_xlpm.sum_month = 0, "", _xlpm.sum_month &amp; " colaboradores alcançados durante no ano")
)</f>
        <v>27234 colaboradores alcançados durante no ano</v>
      </c>
      <c r="L804" s="9" t="s">
        <v>172</v>
      </c>
      <c r="M804" s="24" t="s">
        <v>173</v>
      </c>
      <c r="N804" s="5" t="s">
        <v>42</v>
      </c>
      <c r="O804" s="5" t="s">
        <v>43</v>
      </c>
      <c r="P804" s="10" t="s">
        <v>44</v>
      </c>
      <c r="Q804" s="10" t="s">
        <v>72</v>
      </c>
      <c r="R804" s="11" t="s">
        <v>66</v>
      </c>
      <c r="S804" s="11" t="s">
        <v>67</v>
      </c>
      <c r="T804" s="22">
        <v>0</v>
      </c>
      <c r="U804" s="22">
        <v>0</v>
      </c>
      <c r="V804" s="22">
        <v>0</v>
      </c>
      <c r="W804" s="22">
        <v>3026</v>
      </c>
      <c r="X804" s="22">
        <v>3026</v>
      </c>
      <c r="Y804" s="22">
        <v>3026</v>
      </c>
      <c r="Z804" s="22">
        <v>3026</v>
      </c>
      <c r="AA804" s="22">
        <v>3026</v>
      </c>
      <c r="AB804" s="22">
        <v>3026</v>
      </c>
      <c r="AC804" s="22">
        <v>3026</v>
      </c>
      <c r="AD804" s="22">
        <v>3026</v>
      </c>
      <c r="AE804" s="22">
        <v>3026</v>
      </c>
      <c r="AG804" s="71"/>
      <c r="AH804" s="71"/>
      <c r="AI804" s="71"/>
      <c r="AJ804" s="71">
        <v>1863</v>
      </c>
      <c r="AK804" s="71">
        <v>1709</v>
      </c>
      <c r="AL804" s="71"/>
      <c r="AM804" s="71"/>
      <c r="AN804" s="71"/>
      <c r="AO804" s="71"/>
      <c r="AP804" s="71"/>
      <c r="AQ804" s="71"/>
      <c r="AR804" s="71"/>
      <c r="AS804" s="94">
        <f t="shared" ca="1" si="966"/>
        <v>6052</v>
      </c>
      <c r="AT804" s="95">
        <f>SUM(IF(AW804&lt;1.15,AG804,1.15*T804),IF(AX804&lt;1.15,AH804,1.15*U804),IF(AY804&lt;1.15,AI804,1.15*V804),IF(AZ804&lt;1.15,AJ804,1.15*W804),IF(BA804&lt;1.15,AK804,1.15*X804),IF(BB804&lt;1.15,AL804,1.15*Y804),IF(BC804&lt;1.15,AM804,1.15*Z804),IF(BD804&lt;1.15,AN804,1.15*AA804),IF(BE804&lt;1.15,AO804,1.15*AB804),IF(BF804&lt;1.15,AP804,1.15*AC804),IF(BG804&lt;1.15,AQ804,1.15*AD804),IF(BH804&lt;1.15,AR804,1.15*AE804))</f>
        <v>3572</v>
      </c>
      <c r="AU804" s="97">
        <f t="shared" si="967"/>
        <v>3572</v>
      </c>
      <c r="AW804" s="51">
        <f t="shared" si="1086"/>
        <v>0</v>
      </c>
      <c r="AX804" s="51">
        <f t="shared" si="1086"/>
        <v>0</v>
      </c>
      <c r="AY804" s="51">
        <f t="shared" si="1086"/>
        <v>0</v>
      </c>
      <c r="AZ804" s="51">
        <f t="shared" si="1086"/>
        <v>0.61566424322538005</v>
      </c>
      <c r="BA804" s="51">
        <f t="shared" si="1087"/>
        <v>0.56477197620621278</v>
      </c>
      <c r="BB804" s="51"/>
      <c r="BC804" s="51"/>
      <c r="BD804" s="51"/>
      <c r="BE804" s="51"/>
      <c r="BF804" s="51"/>
      <c r="BG804" s="51"/>
      <c r="BH804" s="51"/>
      <c r="BI804" s="65" cm="1">
        <f t="array" ref="BI804">IFERROR(INDEX(AW804:BH804,1,MATCH(2,1/(AW804:BH804&lt;&gt;""))),"")</f>
        <v>0.56477197620621278</v>
      </c>
      <c r="BJ804" s="68" cm="1">
        <f t="array" ref="BJ804">IF(BM804 = "", "",IFERROR(INDEX(AW804:BH804,1,MATCH(2,1/(AW804:BH804&lt;&gt;""),1)-1),""))</f>
        <v>0.61566424322538005</v>
      </c>
      <c r="BK804" s="58">
        <f>IF((IF(AW804&gt;=115%,115%,AW804) + IF(AX804&gt;=160%,160%,AX804) + IF(AY804&gt;=115%,115%,AY804) + (IF(AZ804&gt;=115%,115%,AZ804) + IF(BA804&gt;=115%,115%,BA804) + IF(BB804&gt;=115%,115%,BB804) + IF(BC804&gt;=115%,115%,BC804) + IF(BD804&gt;=115%,115%,BD804) + IF(BE804&gt;=115%,115%,BE804) + IF(BF804&gt;=115%,115%,BF804) + IF(BG804&gt;=115%,115%,BG804) + IF(BH804&gt;=115%,115%,BH804)))/_xlfn.XLOOKUP(F804,Apuração!A:A,Apuração!B:B)&gt;=1.15,1.15,((IF(AZ804&gt;=115%,115%,AZ804) + IF(AX804&gt;=160%,160%,AX804) + IF(AY804&gt;=115%,115%,AY804) + (IF(AW804&gt;=115%,115%,AW804) + IF(BA804&gt;=115%,115%,BA804) + IF(BB804&gt;=115%,115%,BB804) + IF(BC804&gt;=115%,115%,BC804) + IF(BD804&gt;=115%,115%,BD804) + IF(BE804&gt;=115%,115%,BE804) + IF(BF804&gt;=115%,115%,BF804) + IF(BG804&gt;=115%,115%,BG804) + IF(BH804&gt;=115%,115%,BH804)))/_xlfn.XLOOKUP(F804,Apuração!A:A,Apuração!B:B)))</f>
        <v>0.13115957993684363</v>
      </c>
      <c r="BL804" s="58" cm="1">
        <f t="array" aca="1" ref="BL804" ca="1">IF(SUM(IFERROR(IF(INDEX(AW804:INDEX(AW804:BH804, MATCH(2, 1/(AW804:BH804&lt;&gt;""), 1)-1), ROW(INDIRECT("1:" &amp; MATCH(2, 1/(AW804:BH804&lt;&gt;""), 1)-1))) &gt;= 115%, 115%, INDEX(AW804:INDEX(AW804:BH804, MATCH(2, 1/(AW804:BH804&lt;&gt;""), 1)-1), ROW(INDIRECT("1:" &amp; MATCH(2, 1/(AW804:BH804&lt;&gt;""), 1)-1)))), 0))/_xlfn.XLOOKUP(F804,Apuração!A:A,Apuração!B:B)&gt;=1.15,1.15,SUM(IFERROR(IF(INDEX(AW804:INDEX(AW804:BH804, MATCH(2, 1/(AW804:BH804&lt;&gt;""), 1)-1), ROW(INDIRECT("1:" &amp; MATCH(2, 1/(AW804:BH804&lt;&gt;""), 1)-1))) &gt;= 115%, 115%, INDEX(AW804:INDEX(AW804:BH804, MATCH(2, 1/(AW804:BH804&lt;&gt;""), 1)-1), ROW(INDIRECT("1:" &amp; MATCH(2, 1/(AW804:BH804&lt;&gt;""), 1)-1)))), 0))/_xlfn.XLOOKUP(F804,Apuração!A:A,Apuração!B:B))</f>
        <v>6.8407138136153345E-2</v>
      </c>
      <c r="BM804" s="55" cm="1">
        <f t="array" ref="BM804">IFERROR(
   INDEX($AW$1:$BH$1,
      _xlfn.AGGREGATE(14, 6, COLUMN($AW$1:$BH$1)/(AW804:BH804&lt;&gt;""), 2) - COLUMN($AW$1) + 1
   ),
"")</f>
        <v>46113</v>
      </c>
      <c r="BN804" s="55" cm="1">
        <f t="array" ref="BN804">IFERROR(INDEX($AW$1:$BH$1,1,MATCH(2,1/(AW804:BH804&lt;&gt;""))),"")</f>
        <v>46143</v>
      </c>
      <c r="BO804" s="53">
        <f ca="1">IFERROR(_xlfn.XLOOKUP(F804,Apuração!A:A,Apuração!C:C)/_xlfn.XLOOKUP(F804,Apuração!A:A,Apuração!B:B),0)</f>
        <v>0.22222222222222221</v>
      </c>
      <c r="BP804" s="53">
        <f ca="1">IFERROR(_xlfn.XLOOKUP(F804,Apuração!A:A,Apuração!D:D)/_xlfn.XLOOKUP(F804,Apuração!A:A,Apuração!B:B),0)</f>
        <v>0.1111111111111111</v>
      </c>
      <c r="BQ804" s="53">
        <f ca="1">IF(BK804&gt;=BO804,0,_xlfn.XLOOKUP(F804,Apuração!A:A,Apuração!B:B)*(BO804 + (1/_xlfn.XLOOKUP(F804,Apuração!A:A,Apuração!B:B)) - BK804))</f>
        <v>1.8195637805684073</v>
      </c>
      <c r="BR804" s="85">
        <f t="shared" ca="1" si="898"/>
        <v>5506</v>
      </c>
      <c r="BS804" s="53">
        <f ca="1">IFERROR((_xlfn.XLOOKUP(F804,Apuração!A:A,Apuração!C:C)+1)/_xlfn.XLOOKUP(F804,Apuração!A:A,Apuração!B:B),0)</f>
        <v>0.33333333333333331</v>
      </c>
    </row>
    <row r="805" spans="1:71" ht="25.95" hidden="1" customHeight="1" x14ac:dyDescent="0.3">
      <c r="A805" s="23" t="s">
        <v>134</v>
      </c>
      <c r="B805" s="4" t="s">
        <v>167</v>
      </c>
      <c r="C805" s="5" t="s">
        <v>97</v>
      </c>
      <c r="D805" s="5" t="s">
        <v>98</v>
      </c>
      <c r="E805" s="4" t="str" cm="1">
        <f t="array" ref="E805">_xlfn.IFS(
F805 = "A partir de Abril", "Aguardando Execução na Distribuidora",
A805 = "CAPACITAÇÃO", "Em execução no Corporativo",
TRUE, "Em Execução na Distribuidora"
)</f>
        <v>Em Execução na Distribuidora</v>
      </c>
      <c r="F805" s="4" t="str" cm="1">
        <f t="array" ref="F805">_xlfn.IFS(
AG805 &lt;&gt; "", "Jan-Dez/26",
AH805 &lt;&gt; "", "Fev-Dez/26",
AI805 &lt;&gt; "", "Mar-Dez/26", AJ805 &lt;&gt; "", "Abr-Dez/26",
TRUE, "A partir de Junho"
)</f>
        <v>Abr-Dez/26</v>
      </c>
      <c r="G805" s="4" t="s">
        <v>37</v>
      </c>
      <c r="H805" s="7" t="s">
        <v>54</v>
      </c>
      <c r="I805" s="8" t="s">
        <v>171</v>
      </c>
      <c r="J805" s="8" t="str" cm="1">
        <f t="array" aca="1" ref="J805" ca="1">_xlfn.LET(
  _xlpm.actual_value_month, INDEX(T805:AE805, MATCH(DATE(YEAR(TODAY()), MONTH(TODAY()), 1), $T$1:$AE$1, 0)),
  IF(_xlpm.actual_value_month &lt;&gt; "",_xlpm.actual_value_month &amp; " colaboradores alcançados mensalmentes", "")
)</f>
        <v>201 colaboradores alcançados mensalmentes</v>
      </c>
      <c r="K805" s="8" t="str" cm="1">
        <f t="array" ref="K805">_xlfn.LET(
    _xlpm.sum_month, SUM(T805:AE805),
    IF(_xlpm.sum_month = 0, "", _xlpm.sum_month &amp; " colaboradores alcançados durante no ano")
)</f>
        <v>1809 colaboradores alcançados durante no ano</v>
      </c>
      <c r="L805" s="9" t="s">
        <v>172</v>
      </c>
      <c r="M805" s="24" t="s">
        <v>173</v>
      </c>
      <c r="N805" s="5" t="s">
        <v>42</v>
      </c>
      <c r="O805" s="5" t="s">
        <v>43</v>
      </c>
      <c r="P805" s="10" t="s">
        <v>44</v>
      </c>
      <c r="Q805" s="10" t="s">
        <v>72</v>
      </c>
      <c r="R805" s="11" t="s">
        <v>66</v>
      </c>
      <c r="S805" s="11" t="s">
        <v>67</v>
      </c>
      <c r="T805" s="22"/>
      <c r="U805" s="22"/>
      <c r="V805" s="22"/>
      <c r="W805" s="143">
        <v>201</v>
      </c>
      <c r="X805" s="143">
        <v>201</v>
      </c>
      <c r="Y805" s="143">
        <v>201</v>
      </c>
      <c r="Z805" s="143">
        <v>201</v>
      </c>
      <c r="AA805" s="143">
        <v>201</v>
      </c>
      <c r="AB805" s="143">
        <v>201</v>
      </c>
      <c r="AC805" s="143">
        <v>201</v>
      </c>
      <c r="AD805" s="143">
        <v>201</v>
      </c>
      <c r="AE805" s="143">
        <v>201</v>
      </c>
      <c r="AG805" s="71"/>
      <c r="AH805" s="71"/>
      <c r="AI805" s="71"/>
      <c r="AJ805" s="149">
        <v>60</v>
      </c>
      <c r="AK805" s="71">
        <v>246</v>
      </c>
      <c r="AL805" s="71"/>
      <c r="AM805" s="71"/>
      <c r="AN805" s="71"/>
      <c r="AO805" s="71"/>
      <c r="AP805" s="71"/>
      <c r="AQ805" s="71"/>
      <c r="AR805" s="71"/>
      <c r="AS805" s="94">
        <f t="shared" ref="AS805:AS814" ca="1" si="1096">IF(MONTH(TODAY())=3,SUM(T805:U805),IF(MONTH(TODAY())=4,SUM(T805:V805),IF(MONTH(TODAY())=5,SUM(T805:W805),IF(MONTH(TODAY())=6,SUM(T805:X805),IF(MONTH(TODAY())=7,SUM(T805:Y805),IF(MONTH(TODAY())=8,SUM(T805:Z805),IF(MONTH(TODAY())=9,SUM(T805:AA805),IF(MONTH(TODAY())=10,SUM(T805:AB805),IF(MONTH(TODAY())=11,SUM(T805:AC805),IF(MONTH(TODAY())=12,SUM(T805:AD805),IF(MONTH(TODAY())=1,SUM(T805:AE805),T805)))))))))))</f>
        <v>402</v>
      </c>
      <c r="AT805" s="95">
        <f t="shared" ref="AT805:AT814" si="1097">SUM(IF(AW805&lt;1.15,AG805,1.15*T805),IF(AX805&lt;1.15,AH805,1.15*U805),IF(AY805&lt;1.15,AI805,1.15*V805),IF(AZ805&lt;1.15,AJ805,1.15*W805),IF(BA805&lt;1.15,AK805,1.15*X805),IF(BB805&lt;1.15,AL805,1.15*Y805),IF(BC805&lt;1.15,AM805,1.15*Z805),IF(BD805&lt;1.15,AN805,1.15*AA805),IF(BE805&lt;1.15,AO805,1.15*AB805),IF(BF805&lt;1.15,AP805,1.15*AC805),IF(BG805&lt;1.15,AQ805,1.15*AD805),IF(BH805&lt;1.15,AR805,1.15*AE805))</f>
        <v>291.14999999999998</v>
      </c>
      <c r="AU805" s="97">
        <f t="shared" ref="AU805:AU814" si="1098">SUM(AG805:AR805)</f>
        <v>306</v>
      </c>
      <c r="AW805" s="51">
        <f t="shared" ref="AW805:AW814" si="1099">IFERROR(IF(AG805="",0,AG805/T805),0)</f>
        <v>0</v>
      </c>
      <c r="AX805" s="51">
        <f t="shared" ref="AX805:AX814" si="1100">IFERROR(IF(AH805="",0,AH805/U805),0)</f>
        <v>0</v>
      </c>
      <c r="AY805" s="51">
        <f t="shared" ref="AY805:AY814" si="1101">IFERROR(IF(AI805="",0,AI805/V805),0)</f>
        <v>0</v>
      </c>
      <c r="AZ805" s="51">
        <f t="shared" ref="AZ805:AZ814" si="1102">IFERROR(IF(AJ805="",0,AJ805/W805),0)</f>
        <v>0.29850746268656714</v>
      </c>
      <c r="BA805" s="51">
        <f t="shared" si="1087"/>
        <v>1.2238805970149254</v>
      </c>
      <c r="BB805" s="51"/>
      <c r="BC805" s="51"/>
      <c r="BD805" s="51"/>
      <c r="BE805" s="51"/>
      <c r="BF805" s="51"/>
      <c r="BG805" s="51"/>
      <c r="BH805" s="51"/>
      <c r="BI805" s="65" cm="1">
        <f t="array" ref="BI805">IFERROR(INDEX(AW805:BH805,1,MATCH(2,1/(AW805:BH805&lt;&gt;""))),"")</f>
        <v>1.2238805970149254</v>
      </c>
      <c r="BJ805" s="68" cm="1">
        <f t="array" ref="BJ805">IF(BM805 = "", "",IFERROR(INDEX(AW805:BH805,1,MATCH(2,1/(AW805:BH805&lt;&gt;""),1)-1),""))</f>
        <v>0.29850746268656714</v>
      </c>
      <c r="BK805" s="58">
        <f>IF((IF(AW805&gt;=115%,115%,AW805) + IF(AX805&gt;=160%,160%,AX805) + IF(AY805&gt;=115%,115%,AY805) + (IF(AZ805&gt;=115%,115%,AZ805) + IF(BA805&gt;=115%,115%,BA805) + IF(BB805&gt;=115%,115%,BB805) + IF(BC805&gt;=115%,115%,BC805) + IF(BD805&gt;=115%,115%,BD805) + IF(BE805&gt;=115%,115%,BE805) + IF(BF805&gt;=115%,115%,BF805) + IF(BG805&gt;=115%,115%,BG805) + IF(BH805&gt;=115%,115%,BH805)))/_xlfn.XLOOKUP(F805,Apuração!A:A,Apuração!B:B)&gt;=1.15,1.15,((IF(AZ805&gt;=115%,115%,AZ805) + IF(AX805&gt;=160%,160%,AX805) + IF(AY805&gt;=115%,115%,AY805) + (IF(AW805&gt;=115%,115%,AW805) + IF(BA805&gt;=115%,115%,BA805) + IF(BB805&gt;=115%,115%,BB805) + IF(BC805&gt;=115%,115%,BC805) + IF(BD805&gt;=115%,115%,BD805) + IF(BE805&gt;=115%,115%,BE805) + IF(BF805&gt;=115%,115%,BF805) + IF(BG805&gt;=115%,115%,BG805) + IF(BH805&gt;=115%,115%,BH805)))/_xlfn.XLOOKUP(F805,Apuração!A:A,Apuração!B:B)))</f>
        <v>0.16094527363184077</v>
      </c>
      <c r="BL805" s="58" cm="1">
        <f t="array" aca="1" ref="BL805" ca="1">IF(SUM(IFERROR(IF(INDEX(AW805:INDEX(AW805:BH805, MATCH(2, 1/(AW805:BH805&lt;&gt;""), 1)-1), ROW(INDIRECT("1:" &amp; MATCH(2, 1/(AW805:BH805&lt;&gt;""), 1)-1))) &gt;= 115%, 115%, INDEX(AW805:INDEX(AW805:BH805, MATCH(2, 1/(AW805:BH805&lt;&gt;""), 1)-1), ROW(INDIRECT("1:" &amp; MATCH(2, 1/(AW805:BH805&lt;&gt;""), 1)-1)))), 0))/_xlfn.XLOOKUP(F805,Apuração!A:A,Apuração!B:B)&gt;=1.15,1.15,SUM(IFERROR(IF(INDEX(AW805:INDEX(AW805:BH805, MATCH(2, 1/(AW805:BH805&lt;&gt;""), 1)-1), ROW(INDIRECT("1:" &amp; MATCH(2, 1/(AW805:BH805&lt;&gt;""), 1)-1))) &gt;= 115%, 115%, INDEX(AW805:INDEX(AW805:BH805, MATCH(2, 1/(AW805:BH805&lt;&gt;""), 1)-1), ROW(INDIRECT("1:" &amp; MATCH(2, 1/(AW805:BH805&lt;&gt;""), 1)-1)))), 0))/_xlfn.XLOOKUP(F805,Apuração!A:A,Apuração!B:B))</f>
        <v>3.3167495854063013E-2</v>
      </c>
      <c r="BM805" s="55" cm="1">
        <f t="array" ref="BM805">IFERROR(
   INDEX($AW$1:$BH$1,
      _xlfn.AGGREGATE(14, 6, COLUMN($AW$1:$BH$1)/(AW805:BH805&lt;&gt;""), 2) - COLUMN($AW$1) + 1
   ),
"")</f>
        <v>46113</v>
      </c>
      <c r="BN805" s="55" cm="1">
        <f t="array" ref="BN805">IFERROR(INDEX($AW$1:$BH$1,1,MATCH(2,1/(AW805:BH805&lt;&gt;""))),"")</f>
        <v>46143</v>
      </c>
      <c r="BO805" s="53">
        <f ca="1">IFERROR(_xlfn.XLOOKUP(F805,Apuração!A:A,Apuração!C:C)/_xlfn.XLOOKUP(F805,Apuração!A:A,Apuração!B:B),0)</f>
        <v>0.22222222222222221</v>
      </c>
      <c r="BP805" s="53">
        <f ca="1">IFERROR(_xlfn.XLOOKUP(F805,Apuração!A:A,Apuração!D:D)/_xlfn.XLOOKUP(F805,Apuração!A:A,Apuração!B:B),0)</f>
        <v>0.1111111111111111</v>
      </c>
      <c r="BQ805" s="53">
        <f ca="1">IF(BK805&gt;=BO805,0,_xlfn.XLOOKUP(F805,Apuração!A:A,Apuração!B:B)*(BO805 + (1/_xlfn.XLOOKUP(F805,Apuração!A:A,Apuração!B:B)) - BK805))</f>
        <v>1.551492537313433</v>
      </c>
      <c r="BR805" s="85">
        <f t="shared" ref="BR805:BR814" ca="1" si="1103">IF(BQ805=0,0,BQ805*Z805)</f>
        <v>311.85000000000002</v>
      </c>
      <c r="BS805" s="53">
        <f ca="1">IFERROR((_xlfn.XLOOKUP(F805,Apuração!A:A,Apuração!C:C)+1)/_xlfn.XLOOKUP(F805,Apuração!A:A,Apuração!B:B),0)</f>
        <v>0.33333333333333331</v>
      </c>
    </row>
    <row r="806" spans="1:71" ht="25.95" hidden="1" customHeight="1" x14ac:dyDescent="0.3">
      <c r="A806" s="23" t="s">
        <v>134</v>
      </c>
      <c r="B806" s="4" t="s">
        <v>167</v>
      </c>
      <c r="C806" s="5" t="s">
        <v>97</v>
      </c>
      <c r="D806" s="5" t="s">
        <v>99</v>
      </c>
      <c r="E806" s="4" t="str" cm="1">
        <f t="array" ref="E806">_xlfn.IFS(
F806 = "A partir de Abril", "Aguardando Execução na Distribuidora",
A806 = "CAPACITAÇÃO", "Em execução no Corporativo",
TRUE, "Em Execução na Distribuidora"
)</f>
        <v>Em Execução na Distribuidora</v>
      </c>
      <c r="F806" s="4" t="str" cm="1">
        <f t="array" ref="F806">_xlfn.IFS(
AG806 &lt;&gt; "", "Jan-Dez/26",
AH806 &lt;&gt; "", "Fev-Dez/26",
AI806 &lt;&gt; "", "Mar-Dez/26", AJ806 &lt;&gt; "", "Abr-Dez/26",
TRUE, "A partir de Junho"
)</f>
        <v>Abr-Dez/26</v>
      </c>
      <c r="G806" s="4" t="s">
        <v>37</v>
      </c>
      <c r="H806" s="7" t="s">
        <v>54</v>
      </c>
      <c r="I806" s="8" t="s">
        <v>171</v>
      </c>
      <c r="J806" s="8" t="str" cm="1">
        <f t="array" aca="1" ref="J806" ca="1">_xlfn.LET(
  _xlpm.actual_value_month, INDEX(T806:AE806, MATCH(DATE(YEAR(TODAY()), MONTH(TODAY()), 1), $T$1:$AE$1, 0)),
  IF(_xlpm.actual_value_month &lt;&gt; "",_xlpm.actual_value_month &amp; " colaboradores alcançados mensalmentes", "")
)</f>
        <v>191 colaboradores alcançados mensalmentes</v>
      </c>
      <c r="K806" s="8" t="str" cm="1">
        <f t="array" ref="K806">_xlfn.LET(
    _xlpm.sum_month, SUM(T806:AE806),
    IF(_xlpm.sum_month = 0, "", _xlpm.sum_month &amp; " colaboradores alcançados durante no ano")
)</f>
        <v>1719 colaboradores alcançados durante no ano</v>
      </c>
      <c r="L806" s="9" t="s">
        <v>172</v>
      </c>
      <c r="M806" s="24" t="s">
        <v>173</v>
      </c>
      <c r="N806" s="5" t="s">
        <v>42</v>
      </c>
      <c r="O806" s="5" t="s">
        <v>43</v>
      </c>
      <c r="P806" s="10" t="s">
        <v>44</v>
      </c>
      <c r="Q806" s="10" t="s">
        <v>72</v>
      </c>
      <c r="R806" s="11" t="s">
        <v>66</v>
      </c>
      <c r="S806" s="11" t="s">
        <v>67</v>
      </c>
      <c r="T806" s="22"/>
      <c r="U806" s="22"/>
      <c r="V806" s="22"/>
      <c r="W806" s="143">
        <v>191</v>
      </c>
      <c r="X806" s="143">
        <v>191</v>
      </c>
      <c r="Y806" s="143">
        <v>191</v>
      </c>
      <c r="Z806" s="143">
        <v>191</v>
      </c>
      <c r="AA806" s="143">
        <v>191</v>
      </c>
      <c r="AB806" s="143">
        <v>191</v>
      </c>
      <c r="AC806" s="143">
        <v>191</v>
      </c>
      <c r="AD806" s="143">
        <v>191</v>
      </c>
      <c r="AE806" s="143">
        <v>191</v>
      </c>
      <c r="AG806" s="71"/>
      <c r="AH806" s="71"/>
      <c r="AI806" s="71"/>
      <c r="AJ806" s="150">
        <v>299</v>
      </c>
      <c r="AK806" s="71">
        <v>142</v>
      </c>
      <c r="AL806" s="71"/>
      <c r="AM806" s="71"/>
      <c r="AN806" s="71"/>
      <c r="AO806" s="71"/>
      <c r="AP806" s="71"/>
      <c r="AQ806" s="71"/>
      <c r="AR806" s="71"/>
      <c r="AS806" s="94">
        <f t="shared" ca="1" si="1096"/>
        <v>382</v>
      </c>
      <c r="AT806" s="95">
        <f t="shared" si="1097"/>
        <v>361.65</v>
      </c>
      <c r="AU806" s="97">
        <f t="shared" si="1098"/>
        <v>441</v>
      </c>
      <c r="AW806" s="51">
        <f t="shared" si="1099"/>
        <v>0</v>
      </c>
      <c r="AX806" s="51">
        <f t="shared" si="1100"/>
        <v>0</v>
      </c>
      <c r="AY806" s="51">
        <f t="shared" si="1101"/>
        <v>0</v>
      </c>
      <c r="AZ806" s="51">
        <f t="shared" si="1102"/>
        <v>1.5654450261780104</v>
      </c>
      <c r="BA806" s="51">
        <f t="shared" si="1087"/>
        <v>0.74345549738219896</v>
      </c>
      <c r="BB806" s="51"/>
      <c r="BC806" s="51"/>
      <c r="BD806" s="51"/>
      <c r="BE806" s="51"/>
      <c r="BF806" s="51"/>
      <c r="BG806" s="51"/>
      <c r="BH806" s="51"/>
      <c r="BI806" s="65" cm="1">
        <f t="array" ref="BI806">IFERROR(INDEX(AW806:BH806,1,MATCH(2,1/(AW806:BH806&lt;&gt;""))),"")</f>
        <v>0.74345549738219896</v>
      </c>
      <c r="BJ806" s="68" cm="1">
        <f t="array" ref="BJ806">IF(BM806 = "", "",IFERROR(INDEX(AW806:BH806,1,MATCH(2,1/(AW806:BH806&lt;&gt;""),1)-1),""))</f>
        <v>1.5654450261780104</v>
      </c>
      <c r="BK806" s="58">
        <f>IF((IF(AW806&gt;=115%,115%,AW806) + IF(AX806&gt;=160%,160%,AX806) + IF(AY806&gt;=115%,115%,AY806) + (IF(AZ806&gt;=115%,115%,AZ806) + IF(BA806&gt;=115%,115%,BA806) + IF(BB806&gt;=115%,115%,BB806) + IF(BC806&gt;=115%,115%,BC806) + IF(BD806&gt;=115%,115%,BD806) + IF(BE806&gt;=115%,115%,BE806) + IF(BF806&gt;=115%,115%,BF806) + IF(BG806&gt;=115%,115%,BG806) + IF(BH806&gt;=115%,115%,BH806)))/_xlfn.XLOOKUP(F806,Apuração!A:A,Apuração!B:B)&gt;=1.15,1.15,((IF(AZ806&gt;=115%,115%,AZ806) + IF(AX806&gt;=160%,160%,AX806) + IF(AY806&gt;=115%,115%,AY806) + (IF(AW806&gt;=115%,115%,AW806) + IF(BA806&gt;=115%,115%,BA806) + IF(BB806&gt;=115%,115%,BB806) + IF(BC806&gt;=115%,115%,BC806) + IF(BD806&gt;=115%,115%,BD806) + IF(BE806&gt;=115%,115%,BE806) + IF(BF806&gt;=115%,115%,BF806) + IF(BG806&gt;=115%,115%,BG806) + IF(BH806&gt;=115%,115%,BH806)))/_xlfn.XLOOKUP(F806,Apuração!A:A,Apuração!B:B)))</f>
        <v>0.21038394415357764</v>
      </c>
      <c r="BL806" s="58" cm="1">
        <f t="array" aca="1" ref="BL806" ca="1">IF(SUM(IFERROR(IF(INDEX(AW806:INDEX(AW806:BH806, MATCH(2, 1/(AW806:BH806&lt;&gt;""), 1)-1), ROW(INDIRECT("1:" &amp; MATCH(2, 1/(AW806:BH806&lt;&gt;""), 1)-1))) &gt;= 115%, 115%, INDEX(AW806:INDEX(AW806:BH806, MATCH(2, 1/(AW806:BH806&lt;&gt;""), 1)-1), ROW(INDIRECT("1:" &amp; MATCH(2, 1/(AW806:BH806&lt;&gt;""), 1)-1)))), 0))/_xlfn.XLOOKUP(F806,Apuração!A:A,Apuração!B:B)&gt;=1.15,1.15,SUM(IFERROR(IF(INDEX(AW806:INDEX(AW806:BH806, MATCH(2, 1/(AW806:BH806&lt;&gt;""), 1)-1), ROW(INDIRECT("1:" &amp; MATCH(2, 1/(AW806:BH806&lt;&gt;""), 1)-1))) &gt;= 115%, 115%, INDEX(AW806:INDEX(AW806:BH806, MATCH(2, 1/(AW806:BH806&lt;&gt;""), 1)-1), ROW(INDIRECT("1:" &amp; MATCH(2, 1/(AW806:BH806&lt;&gt;""), 1)-1)))), 0))/_xlfn.XLOOKUP(F806,Apuração!A:A,Apuração!B:B))</f>
        <v>0.12777777777777777</v>
      </c>
      <c r="BM806" s="55" cm="1">
        <f t="array" ref="BM806">IFERROR(
   INDEX($AW$1:$BH$1,
      _xlfn.AGGREGATE(14, 6, COLUMN($AW$1:$BH$1)/(AW806:BH806&lt;&gt;""), 2) - COLUMN($AW$1) + 1
   ),
"")</f>
        <v>46113</v>
      </c>
      <c r="BN806" s="55" cm="1">
        <f t="array" ref="BN806">IFERROR(INDEX($AW$1:$BH$1,1,MATCH(2,1/(AW806:BH806&lt;&gt;""))),"")</f>
        <v>46143</v>
      </c>
      <c r="BO806" s="53">
        <f ca="1">IFERROR(_xlfn.XLOOKUP(F806,Apuração!A:A,Apuração!C:C)/_xlfn.XLOOKUP(F806,Apuração!A:A,Apuração!B:B),0)</f>
        <v>0.22222222222222221</v>
      </c>
      <c r="BP806" s="53">
        <f ca="1">IFERROR(_xlfn.XLOOKUP(F806,Apuração!A:A,Apuração!D:D)/_xlfn.XLOOKUP(F806,Apuração!A:A,Apuração!B:B),0)</f>
        <v>0.1111111111111111</v>
      </c>
      <c r="BQ806" s="53">
        <f ca="1">IF(BK806&gt;=BO806,0,_xlfn.XLOOKUP(F806,Apuração!A:A,Apuração!B:B)*(BO806 + (1/_xlfn.XLOOKUP(F806,Apuração!A:A,Apuração!B:B)) - BK806))</f>
        <v>1.1065445026178011</v>
      </c>
      <c r="BR806" s="85">
        <f t="shared" ca="1" si="1103"/>
        <v>211.35000000000002</v>
      </c>
      <c r="BS806" s="53">
        <f ca="1">IFERROR((_xlfn.XLOOKUP(F806,Apuração!A:A,Apuração!C:C)+1)/_xlfn.XLOOKUP(F806,Apuração!A:A,Apuração!B:B),0)</f>
        <v>0.33333333333333331</v>
      </c>
    </row>
    <row r="807" spans="1:71" ht="25.95" hidden="1" customHeight="1" x14ac:dyDescent="0.3">
      <c r="A807" s="23" t="s">
        <v>134</v>
      </c>
      <c r="B807" s="4" t="s">
        <v>167</v>
      </c>
      <c r="C807" s="5" t="s">
        <v>97</v>
      </c>
      <c r="D807" s="5" t="s">
        <v>100</v>
      </c>
      <c r="E807" s="4" t="str" cm="1">
        <f t="array" ref="E807">_xlfn.IFS(
F807 = "A partir de Abril", "Aguardando Execução na Distribuidora",
A807 = "CAPACITAÇÃO", "Em execução no Corporativo",
TRUE, "Em Execução na Distribuidora"
)</f>
        <v>Em Execução na Distribuidora</v>
      </c>
      <c r="F807" s="4" t="str" cm="1">
        <f t="array" ref="F807">_xlfn.IFS(
AG807 &lt;&gt; "", "Jan-Dez/26",
AH807 &lt;&gt; "", "Fev-Dez/26",
AI807 &lt;&gt; "", "Mar-Dez/26", AJ807 &lt;&gt; "", "Abr-Dez/26",
TRUE, "A partir de Junho"
)</f>
        <v>Abr-Dez/26</v>
      </c>
      <c r="G807" s="4" t="s">
        <v>37</v>
      </c>
      <c r="H807" s="7" t="s">
        <v>54</v>
      </c>
      <c r="I807" s="8" t="s">
        <v>171</v>
      </c>
      <c r="J807" s="8" t="str" cm="1">
        <f t="array" aca="1" ref="J807" ca="1">_xlfn.LET(
  _xlpm.actual_value_month, INDEX(T807:AE807, MATCH(DATE(YEAR(TODAY()), MONTH(TODAY()), 1), $T$1:$AE$1, 0)),
  IF(_xlpm.actual_value_month &lt;&gt; "",_xlpm.actual_value_month &amp; " colaboradores alcançados mensalmentes", "")
)</f>
        <v>308 colaboradores alcançados mensalmentes</v>
      </c>
      <c r="K807" s="8" t="str" cm="1">
        <f t="array" ref="K807">_xlfn.LET(
    _xlpm.sum_month, SUM(T807:AE807),
    IF(_xlpm.sum_month = 0, "", _xlpm.sum_month &amp; " colaboradores alcançados durante no ano")
)</f>
        <v>2772 colaboradores alcançados durante no ano</v>
      </c>
      <c r="L807" s="9" t="s">
        <v>172</v>
      </c>
      <c r="M807" s="24" t="s">
        <v>173</v>
      </c>
      <c r="N807" s="5" t="s">
        <v>42</v>
      </c>
      <c r="O807" s="5" t="s">
        <v>43</v>
      </c>
      <c r="P807" s="10" t="s">
        <v>44</v>
      </c>
      <c r="Q807" s="10" t="s">
        <v>72</v>
      </c>
      <c r="R807" s="11" t="s">
        <v>66</v>
      </c>
      <c r="S807" s="11" t="s">
        <v>67</v>
      </c>
      <c r="T807" s="22"/>
      <c r="U807" s="22"/>
      <c r="V807" s="22"/>
      <c r="W807" s="143">
        <v>308</v>
      </c>
      <c r="X807" s="143">
        <v>308</v>
      </c>
      <c r="Y807" s="143">
        <v>308</v>
      </c>
      <c r="Z807" s="143">
        <v>308</v>
      </c>
      <c r="AA807" s="143">
        <v>308</v>
      </c>
      <c r="AB807" s="143">
        <v>308</v>
      </c>
      <c r="AC807" s="143">
        <v>308</v>
      </c>
      <c r="AD807" s="143">
        <v>308</v>
      </c>
      <c r="AE807" s="143">
        <v>308</v>
      </c>
      <c r="AG807" s="71"/>
      <c r="AH807" s="71"/>
      <c r="AI807" s="71"/>
      <c r="AJ807" s="150">
        <v>73</v>
      </c>
      <c r="AK807" s="71">
        <v>122</v>
      </c>
      <c r="AL807" s="71"/>
      <c r="AM807" s="71"/>
      <c r="AN807" s="71"/>
      <c r="AO807" s="71"/>
      <c r="AP807" s="71"/>
      <c r="AQ807" s="71"/>
      <c r="AR807" s="71"/>
      <c r="AS807" s="94">
        <f t="shared" ca="1" si="1096"/>
        <v>616</v>
      </c>
      <c r="AT807" s="95">
        <f t="shared" si="1097"/>
        <v>195</v>
      </c>
      <c r="AU807" s="97">
        <f t="shared" si="1098"/>
        <v>195</v>
      </c>
      <c r="AW807" s="51">
        <f t="shared" si="1099"/>
        <v>0</v>
      </c>
      <c r="AX807" s="51">
        <f t="shared" si="1100"/>
        <v>0</v>
      </c>
      <c r="AY807" s="51">
        <f t="shared" si="1101"/>
        <v>0</v>
      </c>
      <c r="AZ807" s="51">
        <f t="shared" si="1102"/>
        <v>0.23701298701298701</v>
      </c>
      <c r="BA807" s="51">
        <f t="shared" si="1087"/>
        <v>0.39610389610389612</v>
      </c>
      <c r="BB807" s="51"/>
      <c r="BC807" s="51"/>
      <c r="BD807" s="51"/>
      <c r="BE807" s="51"/>
      <c r="BF807" s="51"/>
      <c r="BG807" s="51"/>
      <c r="BH807" s="51"/>
      <c r="BI807" s="65" cm="1">
        <f t="array" ref="BI807">IFERROR(INDEX(AW807:BH807,1,MATCH(2,1/(AW807:BH807&lt;&gt;""))),"")</f>
        <v>0.39610389610389612</v>
      </c>
      <c r="BJ807" s="68" cm="1">
        <f t="array" ref="BJ807">IF(BM807 = "", "",IFERROR(INDEX(AW807:BH807,1,MATCH(2,1/(AW807:BH807&lt;&gt;""),1)-1),""))</f>
        <v>0.23701298701298701</v>
      </c>
      <c r="BK807" s="58">
        <f>IF((IF(AW807&gt;=115%,115%,AW807) + IF(AX807&gt;=160%,160%,AX807) + IF(AY807&gt;=115%,115%,AY807) + (IF(AZ807&gt;=115%,115%,AZ807) + IF(BA807&gt;=115%,115%,BA807) + IF(BB807&gt;=115%,115%,BB807) + IF(BC807&gt;=115%,115%,BC807) + IF(BD807&gt;=115%,115%,BD807) + IF(BE807&gt;=115%,115%,BE807) + IF(BF807&gt;=115%,115%,BF807) + IF(BG807&gt;=115%,115%,BG807) + IF(BH807&gt;=115%,115%,BH807)))/_xlfn.XLOOKUP(F807,Apuração!A:A,Apuração!B:B)&gt;=1.15,1.15,((IF(AZ807&gt;=115%,115%,AZ807) + IF(AX807&gt;=160%,160%,AX807) + IF(AY807&gt;=115%,115%,AY807) + (IF(AW807&gt;=115%,115%,AW807) + IF(BA807&gt;=115%,115%,BA807) + IF(BB807&gt;=115%,115%,BB807) + IF(BC807&gt;=115%,115%,BC807) + IF(BD807&gt;=115%,115%,BD807) + IF(BE807&gt;=115%,115%,BE807) + IF(BF807&gt;=115%,115%,BF807) + IF(BG807&gt;=115%,115%,BG807) + IF(BH807&gt;=115%,115%,BH807)))/_xlfn.XLOOKUP(F807,Apuração!A:A,Apuração!B:B)))</f>
        <v>7.0346320346320351E-2</v>
      </c>
      <c r="BL807" s="58" cm="1">
        <f t="array" aca="1" ref="BL807" ca="1">IF(SUM(IFERROR(IF(INDEX(AW807:INDEX(AW807:BH807, MATCH(2, 1/(AW807:BH807&lt;&gt;""), 1)-1), ROW(INDIRECT("1:" &amp; MATCH(2, 1/(AW807:BH807&lt;&gt;""), 1)-1))) &gt;= 115%, 115%, INDEX(AW807:INDEX(AW807:BH807, MATCH(2, 1/(AW807:BH807&lt;&gt;""), 1)-1), ROW(INDIRECT("1:" &amp; MATCH(2, 1/(AW807:BH807&lt;&gt;""), 1)-1)))), 0))/_xlfn.XLOOKUP(F807,Apuração!A:A,Apuração!B:B)&gt;=1.15,1.15,SUM(IFERROR(IF(INDEX(AW807:INDEX(AW807:BH807, MATCH(2, 1/(AW807:BH807&lt;&gt;""), 1)-1), ROW(INDIRECT("1:" &amp; MATCH(2, 1/(AW807:BH807&lt;&gt;""), 1)-1))) &gt;= 115%, 115%, INDEX(AW807:INDEX(AW807:BH807, MATCH(2, 1/(AW807:BH807&lt;&gt;""), 1)-1), ROW(INDIRECT("1:" &amp; MATCH(2, 1/(AW807:BH807&lt;&gt;""), 1)-1)))), 0))/_xlfn.XLOOKUP(F807,Apuração!A:A,Apuração!B:B))</f>
        <v>2.6334776334776336E-2</v>
      </c>
      <c r="BM807" s="55" cm="1">
        <f t="array" ref="BM807">IFERROR(
   INDEX($AW$1:$BH$1,
      _xlfn.AGGREGATE(14, 6, COLUMN($AW$1:$BH$1)/(AW807:BH807&lt;&gt;""), 2) - COLUMN($AW$1) + 1
   ),
"")</f>
        <v>46113</v>
      </c>
      <c r="BN807" s="55" cm="1">
        <f t="array" ref="BN807">IFERROR(INDEX($AW$1:$BH$1,1,MATCH(2,1/(AW807:BH807&lt;&gt;""))),"")</f>
        <v>46143</v>
      </c>
      <c r="BO807" s="53">
        <f ca="1">IFERROR(_xlfn.XLOOKUP(F807,Apuração!A:A,Apuração!C:C)/_xlfn.XLOOKUP(F807,Apuração!A:A,Apuração!B:B),0)</f>
        <v>0.22222222222222221</v>
      </c>
      <c r="BP807" s="53">
        <f ca="1">IFERROR(_xlfn.XLOOKUP(F807,Apuração!A:A,Apuração!D:D)/_xlfn.XLOOKUP(F807,Apuração!A:A,Apuração!B:B),0)</f>
        <v>0.1111111111111111</v>
      </c>
      <c r="BQ807" s="53">
        <f ca="1">IF(BK807&gt;=BO807,0,_xlfn.XLOOKUP(F807,Apuração!A:A,Apuração!B:B)*(BO807 + (1/_xlfn.XLOOKUP(F807,Apuração!A:A,Apuração!B:B)) - BK807))</f>
        <v>2.366883116883117</v>
      </c>
      <c r="BR807" s="85">
        <f t="shared" ca="1" si="1103"/>
        <v>729</v>
      </c>
      <c r="BS807" s="53">
        <f ca="1">IFERROR((_xlfn.XLOOKUP(F807,Apuração!A:A,Apuração!C:C)+1)/_xlfn.XLOOKUP(F807,Apuração!A:A,Apuração!B:B),0)</f>
        <v>0.33333333333333331</v>
      </c>
    </row>
    <row r="808" spans="1:71" ht="25.95" hidden="1" customHeight="1" x14ac:dyDescent="0.3">
      <c r="A808" s="23" t="s">
        <v>134</v>
      </c>
      <c r="B808" s="4" t="s">
        <v>167</v>
      </c>
      <c r="C808" s="5" t="s">
        <v>97</v>
      </c>
      <c r="D808" s="5" t="s">
        <v>101</v>
      </c>
      <c r="E808" s="4" t="str" cm="1">
        <f t="array" ref="E808">_xlfn.IFS(
F808 = "A partir de Abril", "Aguardando Execução na Distribuidora",
A808 = "CAPACITAÇÃO", "Em execução no Corporativo",
TRUE, "Em Execução na Distribuidora"
)</f>
        <v>Em Execução na Distribuidora</v>
      </c>
      <c r="F808" s="4" t="str" cm="1">
        <f t="array" ref="F808">_xlfn.IFS(
AG808 &lt;&gt; "", "Jan-Dez/26",
AH808 &lt;&gt; "", "Fev-Dez/26",
AI808 &lt;&gt; "", "Mar-Dez/26", AJ808 &lt;&gt; "", "Abr-Dez/26",
TRUE, "A partir de Junho"
)</f>
        <v>Abr-Dez/26</v>
      </c>
      <c r="G808" s="4" t="s">
        <v>37</v>
      </c>
      <c r="H808" s="7" t="s">
        <v>54</v>
      </c>
      <c r="I808" s="8" t="s">
        <v>171</v>
      </c>
      <c r="J808" s="8" t="str" cm="1">
        <f t="array" aca="1" ref="J808" ca="1">_xlfn.LET(
  _xlpm.actual_value_month, INDEX(T808:AE808, MATCH(DATE(YEAR(TODAY()), MONTH(TODAY()), 1), $T$1:$AE$1, 0)),
  IF(_xlpm.actual_value_month &lt;&gt; "",_xlpm.actual_value_month &amp; " colaboradores alcançados mensalmentes", "")
)</f>
        <v>183 colaboradores alcançados mensalmentes</v>
      </c>
      <c r="K808" s="8" t="str" cm="1">
        <f t="array" ref="K808">_xlfn.LET(
    _xlpm.sum_month, SUM(T808:AE808),
    IF(_xlpm.sum_month = 0, "", _xlpm.sum_month &amp; " colaboradores alcançados durante no ano")
)</f>
        <v>1647 colaboradores alcançados durante no ano</v>
      </c>
      <c r="L808" s="9" t="s">
        <v>172</v>
      </c>
      <c r="M808" s="24" t="s">
        <v>173</v>
      </c>
      <c r="N808" s="5" t="s">
        <v>42</v>
      </c>
      <c r="O808" s="5" t="s">
        <v>43</v>
      </c>
      <c r="P808" s="10" t="s">
        <v>44</v>
      </c>
      <c r="Q808" s="10" t="s">
        <v>72</v>
      </c>
      <c r="R808" s="11" t="s">
        <v>66</v>
      </c>
      <c r="S808" s="11" t="s">
        <v>67</v>
      </c>
      <c r="T808" s="22"/>
      <c r="U808" s="22"/>
      <c r="V808" s="22"/>
      <c r="W808" s="143">
        <v>183</v>
      </c>
      <c r="X808" s="143">
        <v>183</v>
      </c>
      <c r="Y808" s="143">
        <v>183</v>
      </c>
      <c r="Z808" s="143">
        <v>183</v>
      </c>
      <c r="AA808" s="143">
        <v>183</v>
      </c>
      <c r="AB808" s="143">
        <v>183</v>
      </c>
      <c r="AC808" s="143">
        <v>183</v>
      </c>
      <c r="AD808" s="143">
        <v>183</v>
      </c>
      <c r="AE808" s="143">
        <v>183</v>
      </c>
      <c r="AG808" s="71"/>
      <c r="AH808" s="71"/>
      <c r="AI808" s="71"/>
      <c r="AJ808" s="150">
        <v>71</v>
      </c>
      <c r="AK808" s="71">
        <v>51</v>
      </c>
      <c r="AL808" s="71"/>
      <c r="AM808" s="71"/>
      <c r="AN808" s="71"/>
      <c r="AO808" s="71"/>
      <c r="AP808" s="71"/>
      <c r="AQ808" s="71"/>
      <c r="AR808" s="71"/>
      <c r="AS808" s="94">
        <f t="shared" ca="1" si="1096"/>
        <v>366</v>
      </c>
      <c r="AT808" s="95">
        <f t="shared" si="1097"/>
        <v>122</v>
      </c>
      <c r="AU808" s="97">
        <f t="shared" si="1098"/>
        <v>122</v>
      </c>
      <c r="AW808" s="51">
        <f t="shared" si="1099"/>
        <v>0</v>
      </c>
      <c r="AX808" s="51">
        <f t="shared" si="1100"/>
        <v>0</v>
      </c>
      <c r="AY808" s="51">
        <f t="shared" si="1101"/>
        <v>0</v>
      </c>
      <c r="AZ808" s="51">
        <f t="shared" si="1102"/>
        <v>0.38797814207650272</v>
      </c>
      <c r="BA808" s="51">
        <f t="shared" si="1087"/>
        <v>0.27868852459016391</v>
      </c>
      <c r="BB808" s="51"/>
      <c r="BC808" s="51"/>
      <c r="BD808" s="51"/>
      <c r="BE808" s="51"/>
      <c r="BF808" s="51"/>
      <c r="BG808" s="51"/>
      <c r="BH808" s="51"/>
      <c r="BI808" s="65" cm="1">
        <f t="array" ref="BI808">IFERROR(INDEX(AW808:BH808,1,MATCH(2,1/(AW808:BH808&lt;&gt;""))),"")</f>
        <v>0.27868852459016391</v>
      </c>
      <c r="BJ808" s="68" cm="1">
        <f t="array" ref="BJ808">IF(BM808 = "", "",IFERROR(INDEX(AW808:BH808,1,MATCH(2,1/(AW808:BH808&lt;&gt;""),1)-1),""))</f>
        <v>0.38797814207650272</v>
      </c>
      <c r="BK808" s="58">
        <f>IF((IF(AW808&gt;=115%,115%,AW808) + IF(AX808&gt;=160%,160%,AX808) + IF(AY808&gt;=115%,115%,AY808) + (IF(AZ808&gt;=115%,115%,AZ808) + IF(BA808&gt;=115%,115%,BA808) + IF(BB808&gt;=115%,115%,BB808) + IF(BC808&gt;=115%,115%,BC808) + IF(BD808&gt;=115%,115%,BD808) + IF(BE808&gt;=115%,115%,BE808) + IF(BF808&gt;=115%,115%,BF808) + IF(BG808&gt;=115%,115%,BG808) + IF(BH808&gt;=115%,115%,BH808)))/_xlfn.XLOOKUP(F808,Apuração!A:A,Apuração!B:B)&gt;=1.15,1.15,((IF(AZ808&gt;=115%,115%,AZ808) + IF(AX808&gt;=160%,160%,AX808) + IF(AY808&gt;=115%,115%,AY808) + (IF(AW808&gt;=115%,115%,AW808) + IF(BA808&gt;=115%,115%,BA808) + IF(BB808&gt;=115%,115%,BB808) + IF(BC808&gt;=115%,115%,BC808) + IF(BD808&gt;=115%,115%,BD808) + IF(BE808&gt;=115%,115%,BE808) + IF(BF808&gt;=115%,115%,BF808) + IF(BG808&gt;=115%,115%,BG808) + IF(BH808&gt;=115%,115%,BH808)))/_xlfn.XLOOKUP(F808,Apuração!A:A,Apuração!B:B)))</f>
        <v>7.407407407407407E-2</v>
      </c>
      <c r="BL808" s="58" cm="1">
        <f t="array" aca="1" ref="BL808" ca="1">IF(SUM(IFERROR(IF(INDEX(AW808:INDEX(AW808:BH808, MATCH(2, 1/(AW808:BH808&lt;&gt;""), 1)-1), ROW(INDIRECT("1:" &amp; MATCH(2, 1/(AW808:BH808&lt;&gt;""), 1)-1))) &gt;= 115%, 115%, INDEX(AW808:INDEX(AW808:BH808, MATCH(2, 1/(AW808:BH808&lt;&gt;""), 1)-1), ROW(INDIRECT("1:" &amp; MATCH(2, 1/(AW808:BH808&lt;&gt;""), 1)-1)))), 0))/_xlfn.XLOOKUP(F808,Apuração!A:A,Apuração!B:B)&gt;=1.15,1.15,SUM(IFERROR(IF(INDEX(AW808:INDEX(AW808:BH808, MATCH(2, 1/(AW808:BH808&lt;&gt;""), 1)-1), ROW(INDIRECT("1:" &amp; MATCH(2, 1/(AW808:BH808&lt;&gt;""), 1)-1))) &gt;= 115%, 115%, INDEX(AW808:INDEX(AW808:BH808, MATCH(2, 1/(AW808:BH808&lt;&gt;""), 1)-1), ROW(INDIRECT("1:" &amp; MATCH(2, 1/(AW808:BH808&lt;&gt;""), 1)-1)))), 0))/_xlfn.XLOOKUP(F808,Apuração!A:A,Apuração!B:B))</f>
        <v>4.3108682452944747E-2</v>
      </c>
      <c r="BM808" s="55" cm="1">
        <f t="array" ref="BM808">IFERROR(
   INDEX($AW$1:$BH$1,
      _xlfn.AGGREGATE(14, 6, COLUMN($AW$1:$BH$1)/(AW808:BH808&lt;&gt;""), 2) - COLUMN($AW$1) + 1
   ),
"")</f>
        <v>46113</v>
      </c>
      <c r="BN808" s="55" cm="1">
        <f t="array" ref="BN808">IFERROR(INDEX($AW$1:$BH$1,1,MATCH(2,1/(AW808:BH808&lt;&gt;""))),"")</f>
        <v>46143</v>
      </c>
      <c r="BO808" s="53">
        <f ca="1">IFERROR(_xlfn.XLOOKUP(F808,Apuração!A:A,Apuração!C:C)/_xlfn.XLOOKUP(F808,Apuração!A:A,Apuração!B:B),0)</f>
        <v>0.22222222222222221</v>
      </c>
      <c r="BP808" s="53">
        <f ca="1">IFERROR(_xlfn.XLOOKUP(F808,Apuração!A:A,Apuração!D:D)/_xlfn.XLOOKUP(F808,Apuração!A:A,Apuração!B:B),0)</f>
        <v>0.1111111111111111</v>
      </c>
      <c r="BQ808" s="53">
        <f ca="1">IF(BK808&gt;=BO808,0,_xlfn.XLOOKUP(F808,Apuração!A:A,Apuração!B:B)*(BO808 + (1/_xlfn.XLOOKUP(F808,Apuração!A:A,Apuração!B:B)) - BK808))</f>
        <v>2.333333333333333</v>
      </c>
      <c r="BR808" s="85">
        <f t="shared" ca="1" si="1103"/>
        <v>426.99999999999994</v>
      </c>
      <c r="BS808" s="53">
        <f ca="1">IFERROR((_xlfn.XLOOKUP(F808,Apuração!A:A,Apuração!C:C)+1)/_xlfn.XLOOKUP(F808,Apuração!A:A,Apuração!B:B),0)</f>
        <v>0.33333333333333331</v>
      </c>
    </row>
    <row r="809" spans="1:71" ht="25.95" hidden="1" customHeight="1" x14ac:dyDescent="0.3">
      <c r="A809" s="23" t="s">
        <v>134</v>
      </c>
      <c r="B809" s="4" t="s">
        <v>167</v>
      </c>
      <c r="C809" s="5" t="s">
        <v>97</v>
      </c>
      <c r="D809" s="5" t="s">
        <v>102</v>
      </c>
      <c r="E809" s="4" t="str" cm="1">
        <f t="array" ref="E809">_xlfn.IFS(
F809 = "A partir de Abril", "Aguardando Execução na Distribuidora",
A809 = "CAPACITAÇÃO", "Em execução no Corporativo",
TRUE, "Em Execução na Distribuidora"
)</f>
        <v>Em Execução na Distribuidora</v>
      </c>
      <c r="F809" s="4" t="str" cm="1">
        <f t="array" ref="F809">_xlfn.IFS(
AG809 &lt;&gt; "", "Jan-Dez/26",
AH809 &lt;&gt; "", "Fev-Dez/26",
AI809 &lt;&gt; "", "Mar-Dez/26", AJ809 &lt;&gt; "", "Abr-Dez/26",
TRUE, "A partir de Junho"
)</f>
        <v>Abr-Dez/26</v>
      </c>
      <c r="G809" s="4" t="s">
        <v>37</v>
      </c>
      <c r="H809" s="7" t="s">
        <v>54</v>
      </c>
      <c r="I809" s="8" t="s">
        <v>171</v>
      </c>
      <c r="J809" s="8" t="str" cm="1">
        <f t="array" aca="1" ref="J809" ca="1">_xlfn.LET(
  _xlpm.actual_value_month, INDEX(T809:AE809, MATCH(DATE(YEAR(TODAY()), MONTH(TODAY()), 1), $T$1:$AE$1, 0)),
  IF(_xlpm.actual_value_month &lt;&gt; "",_xlpm.actual_value_month &amp; " colaboradores alcançados mensalmentes", "")
)</f>
        <v>346 colaboradores alcançados mensalmentes</v>
      </c>
      <c r="K809" s="8" t="str" cm="1">
        <f t="array" ref="K809">_xlfn.LET(
    _xlpm.sum_month, SUM(T809:AE809),
    IF(_xlpm.sum_month = 0, "", _xlpm.sum_month &amp; " colaboradores alcançados durante no ano")
)</f>
        <v>3114 colaboradores alcançados durante no ano</v>
      </c>
      <c r="L809" s="9" t="s">
        <v>172</v>
      </c>
      <c r="M809" s="24" t="s">
        <v>173</v>
      </c>
      <c r="N809" s="5" t="s">
        <v>42</v>
      </c>
      <c r="O809" s="5" t="s">
        <v>43</v>
      </c>
      <c r="P809" s="10" t="s">
        <v>44</v>
      </c>
      <c r="Q809" s="10" t="s">
        <v>72</v>
      </c>
      <c r="R809" s="11" t="s">
        <v>66</v>
      </c>
      <c r="S809" s="11" t="s">
        <v>67</v>
      </c>
      <c r="T809" s="22"/>
      <c r="U809" s="22"/>
      <c r="V809" s="22"/>
      <c r="W809" s="143">
        <v>346</v>
      </c>
      <c r="X809" s="143">
        <v>346</v>
      </c>
      <c r="Y809" s="143">
        <v>346</v>
      </c>
      <c r="Z809" s="143">
        <v>346</v>
      </c>
      <c r="AA809" s="143">
        <v>346</v>
      </c>
      <c r="AB809" s="143">
        <v>346</v>
      </c>
      <c r="AC809" s="143">
        <v>346</v>
      </c>
      <c r="AD809" s="143">
        <v>346</v>
      </c>
      <c r="AE809" s="143">
        <v>346</v>
      </c>
      <c r="AG809" s="71"/>
      <c r="AH809" s="71"/>
      <c r="AI809" s="71"/>
      <c r="AJ809" s="150">
        <v>214</v>
      </c>
      <c r="AK809" s="71">
        <v>117</v>
      </c>
      <c r="AL809" s="71"/>
      <c r="AM809" s="71"/>
      <c r="AN809" s="71"/>
      <c r="AO809" s="71"/>
      <c r="AP809" s="71"/>
      <c r="AQ809" s="71"/>
      <c r="AR809" s="71"/>
      <c r="AS809" s="94">
        <f t="shared" ca="1" si="1096"/>
        <v>692</v>
      </c>
      <c r="AT809" s="95">
        <f t="shared" si="1097"/>
        <v>331</v>
      </c>
      <c r="AU809" s="97">
        <f t="shared" si="1098"/>
        <v>331</v>
      </c>
      <c r="AW809" s="51">
        <f t="shared" si="1099"/>
        <v>0</v>
      </c>
      <c r="AX809" s="51">
        <f t="shared" si="1100"/>
        <v>0</v>
      </c>
      <c r="AY809" s="51">
        <f t="shared" si="1101"/>
        <v>0</v>
      </c>
      <c r="AZ809" s="51">
        <f t="shared" si="1102"/>
        <v>0.61849710982658956</v>
      </c>
      <c r="BA809" s="51">
        <f t="shared" si="1087"/>
        <v>0.33815028901734107</v>
      </c>
      <c r="BB809" s="51"/>
      <c r="BC809" s="51"/>
      <c r="BD809" s="51"/>
      <c r="BE809" s="51"/>
      <c r="BF809" s="51"/>
      <c r="BG809" s="51"/>
      <c r="BH809" s="51"/>
      <c r="BI809" s="65" cm="1">
        <f t="array" ref="BI809">IFERROR(INDEX(AW809:BH809,1,MATCH(2,1/(AW809:BH809&lt;&gt;""))),"")</f>
        <v>0.33815028901734107</v>
      </c>
      <c r="BJ809" s="68" cm="1">
        <f t="array" ref="BJ809">IF(BM809 = "", "",IFERROR(INDEX(AW809:BH809,1,MATCH(2,1/(AW809:BH809&lt;&gt;""),1)-1),""))</f>
        <v>0.61849710982658956</v>
      </c>
      <c r="BK809" s="58">
        <f>IF((IF(AW809&gt;=115%,115%,AW809) + IF(AX809&gt;=160%,160%,AX809) + IF(AY809&gt;=115%,115%,AY809) + (IF(AZ809&gt;=115%,115%,AZ809) + IF(BA809&gt;=115%,115%,BA809) + IF(BB809&gt;=115%,115%,BB809) + IF(BC809&gt;=115%,115%,BC809) + IF(BD809&gt;=115%,115%,BD809) + IF(BE809&gt;=115%,115%,BE809) + IF(BF809&gt;=115%,115%,BF809) + IF(BG809&gt;=115%,115%,BG809) + IF(BH809&gt;=115%,115%,BH809)))/_xlfn.XLOOKUP(F809,Apuração!A:A,Apuração!B:B)&gt;=1.15,1.15,((IF(AZ809&gt;=115%,115%,AZ809) + IF(AX809&gt;=160%,160%,AX809) + IF(AY809&gt;=115%,115%,AY809) + (IF(AW809&gt;=115%,115%,AW809) + IF(BA809&gt;=115%,115%,BA809) + IF(BB809&gt;=115%,115%,BB809) + IF(BC809&gt;=115%,115%,BC809) + IF(BD809&gt;=115%,115%,BD809) + IF(BE809&gt;=115%,115%,BE809) + IF(BF809&gt;=115%,115%,BF809) + IF(BG809&gt;=115%,115%,BG809) + IF(BH809&gt;=115%,115%,BH809)))/_xlfn.XLOOKUP(F809,Apuração!A:A,Apuração!B:B)))</f>
        <v>0.1062941554271034</v>
      </c>
      <c r="BL809" s="58" cm="1">
        <f t="array" aca="1" ref="BL809" ca="1">IF(SUM(IFERROR(IF(INDEX(AW809:INDEX(AW809:BH809, MATCH(2, 1/(AW809:BH809&lt;&gt;""), 1)-1), ROW(INDIRECT("1:" &amp; MATCH(2, 1/(AW809:BH809&lt;&gt;""), 1)-1))) &gt;= 115%, 115%, INDEX(AW809:INDEX(AW809:BH809, MATCH(2, 1/(AW809:BH809&lt;&gt;""), 1)-1), ROW(INDIRECT("1:" &amp; MATCH(2, 1/(AW809:BH809&lt;&gt;""), 1)-1)))), 0))/_xlfn.XLOOKUP(F809,Apuração!A:A,Apuração!B:B)&gt;=1.15,1.15,SUM(IFERROR(IF(INDEX(AW809:INDEX(AW809:BH809, MATCH(2, 1/(AW809:BH809&lt;&gt;""), 1)-1), ROW(INDIRECT("1:" &amp; MATCH(2, 1/(AW809:BH809&lt;&gt;""), 1)-1))) &gt;= 115%, 115%, INDEX(AW809:INDEX(AW809:BH809, MATCH(2, 1/(AW809:BH809&lt;&gt;""), 1)-1), ROW(INDIRECT("1:" &amp; MATCH(2, 1/(AW809:BH809&lt;&gt;""), 1)-1)))), 0))/_xlfn.XLOOKUP(F809,Apuração!A:A,Apuração!B:B))</f>
        <v>6.8721901091843285E-2</v>
      </c>
      <c r="BM809" s="55" cm="1">
        <f t="array" ref="BM809">IFERROR(
   INDEX($AW$1:$BH$1,
      _xlfn.AGGREGATE(14, 6, COLUMN($AW$1:$BH$1)/(AW809:BH809&lt;&gt;""), 2) - COLUMN($AW$1) + 1
   ),
"")</f>
        <v>46113</v>
      </c>
      <c r="BN809" s="55" cm="1">
        <f t="array" ref="BN809">IFERROR(INDEX($AW$1:$BH$1,1,MATCH(2,1/(AW809:BH809&lt;&gt;""))),"")</f>
        <v>46143</v>
      </c>
      <c r="BO809" s="53">
        <f ca="1">IFERROR(_xlfn.XLOOKUP(F809,Apuração!A:A,Apuração!C:C)/_xlfn.XLOOKUP(F809,Apuração!A:A,Apuração!B:B),0)</f>
        <v>0.22222222222222221</v>
      </c>
      <c r="BP809" s="53">
        <f ca="1">IFERROR(_xlfn.XLOOKUP(F809,Apuração!A:A,Apuração!D:D)/_xlfn.XLOOKUP(F809,Apuração!A:A,Apuração!B:B),0)</f>
        <v>0.1111111111111111</v>
      </c>
      <c r="BQ809" s="53">
        <f ca="1">IF(BK809&gt;=BO809,0,_xlfn.XLOOKUP(F809,Apuração!A:A,Apuração!B:B)*(BO809 + (1/_xlfn.XLOOKUP(F809,Apuração!A:A,Apuração!B:B)) - BK809))</f>
        <v>2.043352601156069</v>
      </c>
      <c r="BR809" s="85">
        <f t="shared" ca="1" si="1103"/>
        <v>706.99999999999989</v>
      </c>
      <c r="BS809" s="53">
        <f ca="1">IFERROR((_xlfn.XLOOKUP(F809,Apuração!A:A,Apuração!C:C)+1)/_xlfn.XLOOKUP(F809,Apuração!A:A,Apuração!B:B),0)</f>
        <v>0.33333333333333331</v>
      </c>
    </row>
    <row r="810" spans="1:71" ht="25.95" hidden="1" customHeight="1" x14ac:dyDescent="0.3">
      <c r="A810" s="23" t="s">
        <v>134</v>
      </c>
      <c r="B810" s="4" t="s">
        <v>167</v>
      </c>
      <c r="C810" s="5" t="s">
        <v>97</v>
      </c>
      <c r="D810" s="5" t="s">
        <v>103</v>
      </c>
      <c r="E810" s="4" t="str" cm="1">
        <f t="array" ref="E810">_xlfn.IFS(
F810 = "A partir de Abril", "Aguardando Execução na Distribuidora",
A810 = "CAPACITAÇÃO", "Em execução no Corporativo",
TRUE, "Em Execução na Distribuidora"
)</f>
        <v>Em Execução na Distribuidora</v>
      </c>
      <c r="F810" s="4" t="str" cm="1">
        <f t="array" ref="F810">_xlfn.IFS(
AG810 &lt;&gt; "", "Jan-Dez/26",
AH810 &lt;&gt; "", "Fev-Dez/26",
AI810 &lt;&gt; "", "Mar-Dez/26", AJ810 &lt;&gt; "", "Abr-Dez/26",
TRUE, "A partir de Junho"
)</f>
        <v>Abr-Dez/26</v>
      </c>
      <c r="G810" s="4" t="s">
        <v>37</v>
      </c>
      <c r="H810" s="7" t="s">
        <v>54</v>
      </c>
      <c r="I810" s="8" t="s">
        <v>171</v>
      </c>
      <c r="J810" s="8" t="str" cm="1">
        <f t="array" aca="1" ref="J810" ca="1">_xlfn.LET(
  _xlpm.actual_value_month, INDEX(T810:AE810, MATCH(DATE(YEAR(TODAY()), MONTH(TODAY()), 1), $T$1:$AE$1, 0)),
  IF(_xlpm.actual_value_month &lt;&gt; "",_xlpm.actual_value_month &amp; " colaboradores alcançados mensalmentes", "")
)</f>
        <v>735 colaboradores alcançados mensalmentes</v>
      </c>
      <c r="K810" s="8" t="str" cm="1">
        <f t="array" ref="K810">_xlfn.LET(
    _xlpm.sum_month, SUM(T810:AE810),
    IF(_xlpm.sum_month = 0, "", _xlpm.sum_month &amp; " colaboradores alcançados durante no ano")
)</f>
        <v>6615 colaboradores alcançados durante no ano</v>
      </c>
      <c r="L810" s="9" t="s">
        <v>172</v>
      </c>
      <c r="M810" s="24" t="s">
        <v>173</v>
      </c>
      <c r="N810" s="5" t="s">
        <v>42</v>
      </c>
      <c r="O810" s="5" t="s">
        <v>43</v>
      </c>
      <c r="P810" s="10" t="s">
        <v>44</v>
      </c>
      <c r="Q810" s="10" t="s">
        <v>72</v>
      </c>
      <c r="R810" s="11" t="s">
        <v>66</v>
      </c>
      <c r="S810" s="11" t="s">
        <v>67</v>
      </c>
      <c r="T810" s="22"/>
      <c r="U810" s="22"/>
      <c r="V810" s="22"/>
      <c r="W810" s="143">
        <v>735</v>
      </c>
      <c r="X810" s="143">
        <v>735</v>
      </c>
      <c r="Y810" s="143">
        <v>735</v>
      </c>
      <c r="Z810" s="143">
        <v>735</v>
      </c>
      <c r="AA810" s="143">
        <v>735</v>
      </c>
      <c r="AB810" s="143">
        <v>735</v>
      </c>
      <c r="AC810" s="143">
        <v>735</v>
      </c>
      <c r="AD810" s="143">
        <v>735</v>
      </c>
      <c r="AE810" s="143">
        <v>735</v>
      </c>
      <c r="AG810" s="71"/>
      <c r="AH810" s="71"/>
      <c r="AI810" s="71"/>
      <c r="AJ810" s="150">
        <v>339</v>
      </c>
      <c r="AK810" s="71">
        <v>492</v>
      </c>
      <c r="AL810" s="71"/>
      <c r="AM810" s="71"/>
      <c r="AN810" s="71"/>
      <c r="AO810" s="71"/>
      <c r="AP810" s="71"/>
      <c r="AQ810" s="71"/>
      <c r="AR810" s="71"/>
      <c r="AS810" s="94">
        <f t="shared" ca="1" si="1096"/>
        <v>1470</v>
      </c>
      <c r="AT810" s="95">
        <f t="shared" si="1097"/>
        <v>831</v>
      </c>
      <c r="AU810" s="97">
        <f t="shared" si="1098"/>
        <v>831</v>
      </c>
      <c r="AW810" s="51">
        <f t="shared" si="1099"/>
        <v>0</v>
      </c>
      <c r="AX810" s="51">
        <f t="shared" si="1100"/>
        <v>0</v>
      </c>
      <c r="AY810" s="51">
        <f t="shared" si="1101"/>
        <v>0</v>
      </c>
      <c r="AZ810" s="51">
        <f t="shared" si="1102"/>
        <v>0.46122448979591835</v>
      </c>
      <c r="BA810" s="51">
        <f t="shared" si="1087"/>
        <v>0.66938775510204085</v>
      </c>
      <c r="BB810" s="51"/>
      <c r="BC810" s="51"/>
      <c r="BD810" s="51"/>
      <c r="BE810" s="51"/>
      <c r="BF810" s="51"/>
      <c r="BG810" s="51"/>
      <c r="BH810" s="51"/>
      <c r="BI810" s="65" cm="1">
        <f t="array" ref="BI810">IFERROR(INDEX(AW810:BH810,1,MATCH(2,1/(AW810:BH810&lt;&gt;""))),"")</f>
        <v>0.66938775510204085</v>
      </c>
      <c r="BJ810" s="68" cm="1">
        <f t="array" ref="BJ810">IF(BM810 = "", "",IFERROR(INDEX(AW810:BH810,1,MATCH(2,1/(AW810:BH810&lt;&gt;""),1)-1),""))</f>
        <v>0.46122448979591835</v>
      </c>
      <c r="BK810" s="58">
        <f>IF((IF(AW810&gt;=115%,115%,AW810) + IF(AX810&gt;=160%,160%,AX810) + IF(AY810&gt;=115%,115%,AY810) + (IF(AZ810&gt;=115%,115%,AZ810) + IF(BA810&gt;=115%,115%,BA810) + IF(BB810&gt;=115%,115%,BB810) + IF(BC810&gt;=115%,115%,BC810) + IF(BD810&gt;=115%,115%,BD810) + IF(BE810&gt;=115%,115%,BE810) + IF(BF810&gt;=115%,115%,BF810) + IF(BG810&gt;=115%,115%,BG810) + IF(BH810&gt;=115%,115%,BH810)))/_xlfn.XLOOKUP(F810,Apuração!A:A,Apuração!B:B)&gt;=1.15,1.15,((IF(AZ810&gt;=115%,115%,AZ810) + IF(AX810&gt;=160%,160%,AX810) + IF(AY810&gt;=115%,115%,AY810) + (IF(AW810&gt;=115%,115%,AW810) + IF(BA810&gt;=115%,115%,BA810) + IF(BB810&gt;=115%,115%,BB810) + IF(BC810&gt;=115%,115%,BC810) + IF(BD810&gt;=115%,115%,BD810) + IF(BE810&gt;=115%,115%,BE810) + IF(BF810&gt;=115%,115%,BF810) + IF(BG810&gt;=115%,115%,BG810) + IF(BH810&gt;=115%,115%,BH810)))/_xlfn.XLOOKUP(F810,Apuração!A:A,Apuração!B:B)))</f>
        <v>0.12562358276643992</v>
      </c>
      <c r="BL810" s="58" cm="1">
        <f t="array" aca="1" ref="BL810" ca="1">IF(SUM(IFERROR(IF(INDEX(AW810:INDEX(AW810:BH810, MATCH(2, 1/(AW810:BH810&lt;&gt;""), 1)-1), ROW(INDIRECT("1:" &amp; MATCH(2, 1/(AW810:BH810&lt;&gt;""), 1)-1))) &gt;= 115%, 115%, INDEX(AW810:INDEX(AW810:BH810, MATCH(2, 1/(AW810:BH810&lt;&gt;""), 1)-1), ROW(INDIRECT("1:" &amp; MATCH(2, 1/(AW810:BH810&lt;&gt;""), 1)-1)))), 0))/_xlfn.XLOOKUP(F810,Apuração!A:A,Apuração!B:B)&gt;=1.15,1.15,SUM(IFERROR(IF(INDEX(AW810:INDEX(AW810:BH810, MATCH(2, 1/(AW810:BH810&lt;&gt;""), 1)-1), ROW(INDIRECT("1:" &amp; MATCH(2, 1/(AW810:BH810&lt;&gt;""), 1)-1))) &gt;= 115%, 115%, INDEX(AW810:INDEX(AW810:BH810, MATCH(2, 1/(AW810:BH810&lt;&gt;""), 1)-1), ROW(INDIRECT("1:" &amp; MATCH(2, 1/(AW810:BH810&lt;&gt;""), 1)-1)))), 0))/_xlfn.XLOOKUP(F810,Apuração!A:A,Apuração!B:B))</f>
        <v>5.1247165532879814E-2</v>
      </c>
      <c r="BM810" s="55" cm="1">
        <f t="array" ref="BM810">IFERROR(
   INDEX($AW$1:$BH$1,
      _xlfn.AGGREGATE(14, 6, COLUMN($AW$1:$BH$1)/(AW810:BH810&lt;&gt;""), 2) - COLUMN($AW$1) + 1
   ),
"")</f>
        <v>46113</v>
      </c>
      <c r="BN810" s="55" cm="1">
        <f t="array" ref="BN810">IFERROR(INDEX($AW$1:$BH$1,1,MATCH(2,1/(AW810:BH810&lt;&gt;""))),"")</f>
        <v>46143</v>
      </c>
      <c r="BO810" s="53">
        <f ca="1">IFERROR(_xlfn.XLOOKUP(F810,Apuração!A:A,Apuração!C:C)/_xlfn.XLOOKUP(F810,Apuração!A:A,Apuração!B:B),0)</f>
        <v>0.22222222222222221</v>
      </c>
      <c r="BP810" s="53">
        <f ca="1">IFERROR(_xlfn.XLOOKUP(F810,Apuração!A:A,Apuração!D:D)/_xlfn.XLOOKUP(F810,Apuração!A:A,Apuração!B:B),0)</f>
        <v>0.1111111111111111</v>
      </c>
      <c r="BQ810" s="53">
        <f ca="1">IF(BK810&gt;=BO810,0,_xlfn.XLOOKUP(F810,Apuração!A:A,Apuração!B:B)*(BO810 + (1/_xlfn.XLOOKUP(F810,Apuração!A:A,Apuração!B:B)) - BK810))</f>
        <v>1.8693877551020406</v>
      </c>
      <c r="BR810" s="85">
        <f t="shared" ca="1" si="1103"/>
        <v>1373.9999999999998</v>
      </c>
      <c r="BS810" s="53">
        <f ca="1">IFERROR((_xlfn.XLOOKUP(F810,Apuração!A:A,Apuração!C:C)+1)/_xlfn.XLOOKUP(F810,Apuração!A:A,Apuração!B:B),0)</f>
        <v>0.33333333333333331</v>
      </c>
    </row>
    <row r="811" spans="1:71" ht="25.95" hidden="1" customHeight="1" x14ac:dyDescent="0.3">
      <c r="A811" s="23" t="s">
        <v>134</v>
      </c>
      <c r="B811" s="4" t="s">
        <v>167</v>
      </c>
      <c r="C811" s="5" t="s">
        <v>97</v>
      </c>
      <c r="D811" s="5" t="s">
        <v>104</v>
      </c>
      <c r="E811" s="4" t="str" cm="1">
        <f t="array" ref="E811">_xlfn.IFS(
F811 = "A partir de Abril", "Aguardando Execução na Distribuidora",
A811 = "CAPACITAÇÃO", "Em execução no Corporativo",
TRUE, "Em Execução na Distribuidora"
)</f>
        <v>Em Execução na Distribuidora</v>
      </c>
      <c r="F811" s="4" t="str" cm="1">
        <f t="array" ref="F811">_xlfn.IFS(
AG811 &lt;&gt; "", "Jan-Dez/26",
AH811 &lt;&gt; "", "Fev-Dez/26",
AI811 &lt;&gt; "", "Mar-Dez/26", AJ811 &lt;&gt; "", "Abr-Dez/26",
TRUE, "A partir de Junho"
)</f>
        <v>Abr-Dez/26</v>
      </c>
      <c r="G811" s="4" t="s">
        <v>37</v>
      </c>
      <c r="H811" s="7" t="s">
        <v>54</v>
      </c>
      <c r="I811" s="8" t="s">
        <v>171</v>
      </c>
      <c r="J811" s="8" t="str" cm="1">
        <f t="array" aca="1" ref="J811" ca="1">_xlfn.LET(
  _xlpm.actual_value_month, INDEX(T811:AE811, MATCH(DATE(YEAR(TODAY()), MONTH(TODAY()), 1), $T$1:$AE$1, 0)),
  IF(_xlpm.actual_value_month &lt;&gt; "",_xlpm.actual_value_month &amp; " colaboradores alcançados mensalmentes", "")
)</f>
        <v>407 colaboradores alcançados mensalmentes</v>
      </c>
      <c r="K811" s="8" t="str" cm="1">
        <f t="array" ref="K811">_xlfn.LET(
    _xlpm.sum_month, SUM(T811:AE811),
    IF(_xlpm.sum_month = 0, "", _xlpm.sum_month &amp; " colaboradores alcançados durante no ano")
)</f>
        <v>3663 colaboradores alcançados durante no ano</v>
      </c>
      <c r="L811" s="9" t="s">
        <v>172</v>
      </c>
      <c r="M811" s="24" t="s">
        <v>173</v>
      </c>
      <c r="N811" s="5" t="s">
        <v>42</v>
      </c>
      <c r="O811" s="5" t="s">
        <v>43</v>
      </c>
      <c r="P811" s="10" t="s">
        <v>44</v>
      </c>
      <c r="Q811" s="10" t="s">
        <v>72</v>
      </c>
      <c r="R811" s="11" t="s">
        <v>66</v>
      </c>
      <c r="S811" s="11" t="s">
        <v>67</v>
      </c>
      <c r="T811" s="22"/>
      <c r="U811" s="22"/>
      <c r="V811" s="22"/>
      <c r="W811" s="143">
        <v>407</v>
      </c>
      <c r="X811" s="143">
        <v>407</v>
      </c>
      <c r="Y811" s="143">
        <v>407</v>
      </c>
      <c r="Z811" s="143">
        <v>407</v>
      </c>
      <c r="AA811" s="143">
        <v>407</v>
      </c>
      <c r="AB811" s="143">
        <v>407</v>
      </c>
      <c r="AC811" s="143">
        <v>407</v>
      </c>
      <c r="AD811" s="143">
        <v>407</v>
      </c>
      <c r="AE811" s="143">
        <v>407</v>
      </c>
      <c r="AG811" s="71"/>
      <c r="AH811" s="71"/>
      <c r="AI811" s="71"/>
      <c r="AJ811" s="150">
        <v>259</v>
      </c>
      <c r="AK811" s="71">
        <v>112</v>
      </c>
      <c r="AL811" s="71"/>
      <c r="AM811" s="71"/>
      <c r="AN811" s="71"/>
      <c r="AO811" s="71"/>
      <c r="AP811" s="71"/>
      <c r="AQ811" s="71"/>
      <c r="AR811" s="71"/>
      <c r="AS811" s="94">
        <f t="shared" ca="1" si="1096"/>
        <v>814</v>
      </c>
      <c r="AT811" s="95">
        <f t="shared" si="1097"/>
        <v>371</v>
      </c>
      <c r="AU811" s="97">
        <f t="shared" si="1098"/>
        <v>371</v>
      </c>
      <c r="AW811" s="51">
        <f t="shared" si="1099"/>
        <v>0</v>
      </c>
      <c r="AX811" s="51">
        <f t="shared" si="1100"/>
        <v>0</v>
      </c>
      <c r="AY811" s="51">
        <f t="shared" si="1101"/>
        <v>0</v>
      </c>
      <c r="AZ811" s="51">
        <f t="shared" si="1102"/>
        <v>0.63636363636363635</v>
      </c>
      <c r="BA811" s="51">
        <f t="shared" si="1087"/>
        <v>0.27518427518427518</v>
      </c>
      <c r="BB811" s="51"/>
      <c r="BC811" s="51"/>
      <c r="BD811" s="51"/>
      <c r="BE811" s="51"/>
      <c r="BF811" s="51"/>
      <c r="BG811" s="51"/>
      <c r="BH811" s="51"/>
      <c r="BI811" s="65" cm="1">
        <f t="array" ref="BI811">IFERROR(INDEX(AW811:BH811,1,MATCH(2,1/(AW811:BH811&lt;&gt;""))),"")</f>
        <v>0.27518427518427518</v>
      </c>
      <c r="BJ811" s="68" cm="1">
        <f t="array" ref="BJ811">IF(BM811 = "", "",IFERROR(INDEX(AW811:BH811,1,MATCH(2,1/(AW811:BH811&lt;&gt;""),1)-1),""))</f>
        <v>0.63636363636363635</v>
      </c>
      <c r="BK811" s="58">
        <f>IF((IF(AW811&gt;=115%,115%,AW811) + IF(AX811&gt;=160%,160%,AX811) + IF(AY811&gt;=115%,115%,AY811) + (IF(AZ811&gt;=115%,115%,AZ811) + IF(BA811&gt;=115%,115%,BA811) + IF(BB811&gt;=115%,115%,BB811) + IF(BC811&gt;=115%,115%,BC811) + IF(BD811&gt;=115%,115%,BD811) + IF(BE811&gt;=115%,115%,BE811) + IF(BF811&gt;=115%,115%,BF811) + IF(BG811&gt;=115%,115%,BG811) + IF(BH811&gt;=115%,115%,BH811)))/_xlfn.XLOOKUP(F811,Apuração!A:A,Apuração!B:B)&gt;=1.15,1.15,((IF(AZ811&gt;=115%,115%,AZ811) + IF(AX811&gt;=160%,160%,AX811) + IF(AY811&gt;=115%,115%,AY811) + (IF(AW811&gt;=115%,115%,AW811) + IF(BA811&gt;=115%,115%,BA811) + IF(BB811&gt;=115%,115%,BB811) + IF(BC811&gt;=115%,115%,BC811) + IF(BD811&gt;=115%,115%,BD811) + IF(BE811&gt;=115%,115%,BE811) + IF(BF811&gt;=115%,115%,BF811) + IF(BG811&gt;=115%,115%,BG811) + IF(BH811&gt;=115%,115%,BH811)))/_xlfn.XLOOKUP(F811,Apuração!A:A,Apuração!B:B)))</f>
        <v>0.10128310128310128</v>
      </c>
      <c r="BL811" s="58" cm="1">
        <f t="array" aca="1" ref="BL811" ca="1">IF(SUM(IFERROR(IF(INDEX(AW811:INDEX(AW811:BH811, MATCH(2, 1/(AW811:BH811&lt;&gt;""), 1)-1), ROW(INDIRECT("1:" &amp; MATCH(2, 1/(AW811:BH811&lt;&gt;""), 1)-1))) &gt;= 115%, 115%, INDEX(AW811:INDEX(AW811:BH811, MATCH(2, 1/(AW811:BH811&lt;&gt;""), 1)-1), ROW(INDIRECT("1:" &amp; MATCH(2, 1/(AW811:BH811&lt;&gt;""), 1)-1)))), 0))/_xlfn.XLOOKUP(F811,Apuração!A:A,Apuração!B:B)&gt;=1.15,1.15,SUM(IFERROR(IF(INDEX(AW811:INDEX(AW811:BH811, MATCH(2, 1/(AW811:BH811&lt;&gt;""), 1)-1), ROW(INDIRECT("1:" &amp; MATCH(2, 1/(AW811:BH811&lt;&gt;""), 1)-1))) &gt;= 115%, 115%, INDEX(AW811:INDEX(AW811:BH811, MATCH(2, 1/(AW811:BH811&lt;&gt;""), 1)-1), ROW(INDIRECT("1:" &amp; MATCH(2, 1/(AW811:BH811&lt;&gt;""), 1)-1)))), 0))/_xlfn.XLOOKUP(F811,Apuração!A:A,Apuração!B:B))</f>
        <v>7.0707070707070704E-2</v>
      </c>
      <c r="BM811" s="55" cm="1">
        <f t="array" ref="BM811">IFERROR(
   INDEX($AW$1:$BH$1,
      _xlfn.AGGREGATE(14, 6, COLUMN($AW$1:$BH$1)/(AW811:BH811&lt;&gt;""), 2) - COLUMN($AW$1) + 1
   ),
"")</f>
        <v>46113</v>
      </c>
      <c r="BN811" s="55" cm="1">
        <f t="array" ref="BN811">IFERROR(INDEX($AW$1:$BH$1,1,MATCH(2,1/(AW811:BH811&lt;&gt;""))),"")</f>
        <v>46143</v>
      </c>
      <c r="BO811" s="53">
        <f ca="1">IFERROR(_xlfn.XLOOKUP(F811,Apuração!A:A,Apuração!C:C)/_xlfn.XLOOKUP(F811,Apuração!A:A,Apuração!B:B),0)</f>
        <v>0.22222222222222221</v>
      </c>
      <c r="BP811" s="53">
        <f ca="1">IFERROR(_xlfn.XLOOKUP(F811,Apuração!A:A,Apuração!D:D)/_xlfn.XLOOKUP(F811,Apuração!A:A,Apuração!B:B),0)</f>
        <v>0.1111111111111111</v>
      </c>
      <c r="BQ811" s="53">
        <f ca="1">IF(BK811&gt;=BO811,0,_xlfn.XLOOKUP(F811,Apuração!A:A,Apuração!B:B)*(BO811 + (1/_xlfn.XLOOKUP(F811,Apuração!A:A,Apuração!B:B)) - BK811))</f>
        <v>2.0884520884520885</v>
      </c>
      <c r="BR811" s="85">
        <f t="shared" ca="1" si="1103"/>
        <v>850</v>
      </c>
      <c r="BS811" s="53">
        <f ca="1">IFERROR((_xlfn.XLOOKUP(F811,Apuração!A:A,Apuração!C:C)+1)/_xlfn.XLOOKUP(F811,Apuração!A:A,Apuração!B:B),0)</f>
        <v>0.33333333333333331</v>
      </c>
    </row>
    <row r="812" spans="1:71" ht="25.95" hidden="1" customHeight="1" x14ac:dyDescent="0.3">
      <c r="A812" s="23" t="s">
        <v>134</v>
      </c>
      <c r="B812" s="4" t="s">
        <v>167</v>
      </c>
      <c r="C812" s="5" t="s">
        <v>97</v>
      </c>
      <c r="D812" s="5" t="s">
        <v>105</v>
      </c>
      <c r="E812" s="4" t="str" cm="1">
        <f t="array" ref="E812">_xlfn.IFS(
F812 = "A partir de Abril", "Aguardando Execução na Distribuidora",
A812 = "CAPACITAÇÃO", "Em execução no Corporativo",
TRUE, "Em Execução na Distribuidora"
)</f>
        <v>Em Execução na Distribuidora</v>
      </c>
      <c r="F812" s="4" t="str" cm="1">
        <f t="array" ref="F812">_xlfn.IFS(
AG812 &lt;&gt; "", "Jan-Dez/26",
AH812 &lt;&gt; "", "Fev-Dez/26",
AI812 &lt;&gt; "", "Mar-Dez/26", AJ812 &lt;&gt; "", "Abr-Dez/26",
TRUE, "A partir de Junho"
)</f>
        <v>Abr-Dez/26</v>
      </c>
      <c r="G812" s="4" t="s">
        <v>37</v>
      </c>
      <c r="H812" s="7" t="s">
        <v>54</v>
      </c>
      <c r="I812" s="8" t="s">
        <v>171</v>
      </c>
      <c r="J812" s="8" t="str" cm="1">
        <f t="array" aca="1" ref="J812" ca="1">_xlfn.LET(
  _xlpm.actual_value_month, INDEX(T812:AE812, MATCH(DATE(YEAR(TODAY()), MONTH(TODAY()), 1), $T$1:$AE$1, 0)),
  IF(_xlpm.actual_value_month &lt;&gt; "",_xlpm.actual_value_month &amp; " colaboradores alcançados mensalmentes", "")
)</f>
        <v>156 colaboradores alcançados mensalmentes</v>
      </c>
      <c r="K812" s="8" t="str" cm="1">
        <f t="array" ref="K812">_xlfn.LET(
    _xlpm.sum_month, SUM(T812:AE812),
    IF(_xlpm.sum_month = 0, "", _xlpm.sum_month &amp; " colaboradores alcançados durante no ano")
)</f>
        <v>1404 colaboradores alcançados durante no ano</v>
      </c>
      <c r="L812" s="9" t="s">
        <v>172</v>
      </c>
      <c r="M812" s="24" t="s">
        <v>173</v>
      </c>
      <c r="N812" s="5" t="s">
        <v>42</v>
      </c>
      <c r="O812" s="5" t="s">
        <v>43</v>
      </c>
      <c r="P812" s="10" t="s">
        <v>44</v>
      </c>
      <c r="Q812" s="10" t="s">
        <v>72</v>
      </c>
      <c r="R812" s="11" t="s">
        <v>66</v>
      </c>
      <c r="S812" s="11" t="s">
        <v>67</v>
      </c>
      <c r="T812" s="22"/>
      <c r="U812" s="22"/>
      <c r="V812" s="22"/>
      <c r="W812" s="143">
        <v>156</v>
      </c>
      <c r="X812" s="143">
        <v>156</v>
      </c>
      <c r="Y812" s="143">
        <v>156</v>
      </c>
      <c r="Z812" s="143">
        <v>156</v>
      </c>
      <c r="AA812" s="143">
        <v>156</v>
      </c>
      <c r="AB812" s="143">
        <v>156</v>
      </c>
      <c r="AC812" s="143">
        <v>156</v>
      </c>
      <c r="AD812" s="143">
        <v>156</v>
      </c>
      <c r="AE812" s="143">
        <v>156</v>
      </c>
      <c r="AG812" s="71"/>
      <c r="AH812" s="71"/>
      <c r="AI812" s="71"/>
      <c r="AJ812" s="150">
        <v>96</v>
      </c>
      <c r="AK812" s="71">
        <v>91</v>
      </c>
      <c r="AL812" s="71"/>
      <c r="AM812" s="71"/>
      <c r="AN812" s="71"/>
      <c r="AO812" s="71"/>
      <c r="AP812" s="71"/>
      <c r="AQ812" s="71"/>
      <c r="AR812" s="71"/>
      <c r="AS812" s="94">
        <f t="shared" ca="1" si="1096"/>
        <v>312</v>
      </c>
      <c r="AT812" s="95">
        <f t="shared" si="1097"/>
        <v>187</v>
      </c>
      <c r="AU812" s="97">
        <f t="shared" si="1098"/>
        <v>187</v>
      </c>
      <c r="AW812" s="51">
        <f t="shared" si="1099"/>
        <v>0</v>
      </c>
      <c r="AX812" s="51">
        <f t="shared" si="1100"/>
        <v>0</v>
      </c>
      <c r="AY812" s="51">
        <f t="shared" si="1101"/>
        <v>0</v>
      </c>
      <c r="AZ812" s="51">
        <f t="shared" si="1102"/>
        <v>0.61538461538461542</v>
      </c>
      <c r="BA812" s="51">
        <f t="shared" si="1087"/>
        <v>0.58333333333333337</v>
      </c>
      <c r="BB812" s="51"/>
      <c r="BC812" s="51"/>
      <c r="BD812" s="51"/>
      <c r="BE812" s="51"/>
      <c r="BF812" s="51"/>
      <c r="BG812" s="51"/>
      <c r="BH812" s="51"/>
      <c r="BI812" s="65" cm="1">
        <f t="array" ref="BI812">IFERROR(INDEX(AW812:BH812,1,MATCH(2,1/(AW812:BH812&lt;&gt;""))),"")</f>
        <v>0.58333333333333337</v>
      </c>
      <c r="BJ812" s="68" cm="1">
        <f t="array" ref="BJ812">IF(BM812 = "", "",IFERROR(INDEX(AW812:BH812,1,MATCH(2,1/(AW812:BH812&lt;&gt;""),1)-1),""))</f>
        <v>0.61538461538461542</v>
      </c>
      <c r="BK812" s="58">
        <f>IF((IF(AW812&gt;=115%,115%,AW812) + IF(AX812&gt;=160%,160%,AX812) + IF(AY812&gt;=115%,115%,AY812) + (IF(AZ812&gt;=115%,115%,AZ812) + IF(BA812&gt;=115%,115%,BA812) + IF(BB812&gt;=115%,115%,BB812) + IF(BC812&gt;=115%,115%,BC812) + IF(BD812&gt;=115%,115%,BD812) + IF(BE812&gt;=115%,115%,BE812) + IF(BF812&gt;=115%,115%,BF812) + IF(BG812&gt;=115%,115%,BG812) + IF(BH812&gt;=115%,115%,BH812)))/_xlfn.XLOOKUP(F812,Apuração!A:A,Apuração!B:B)&gt;=1.15,1.15,((IF(AZ812&gt;=115%,115%,AZ812) + IF(AX812&gt;=160%,160%,AX812) + IF(AY812&gt;=115%,115%,AY812) + (IF(AW812&gt;=115%,115%,AW812) + IF(BA812&gt;=115%,115%,BA812) + IF(BB812&gt;=115%,115%,BB812) + IF(BC812&gt;=115%,115%,BC812) + IF(BD812&gt;=115%,115%,BD812) + IF(BE812&gt;=115%,115%,BE812) + IF(BF812&gt;=115%,115%,BF812) + IF(BG812&gt;=115%,115%,BG812) + IF(BH812&gt;=115%,115%,BH812)))/_xlfn.XLOOKUP(F812,Apuração!A:A,Apuração!B:B)))</f>
        <v>0.13319088319088321</v>
      </c>
      <c r="BL812" s="58" cm="1">
        <f t="array" aca="1" ref="BL812" ca="1">IF(SUM(IFERROR(IF(INDEX(AW812:INDEX(AW812:BH812, MATCH(2, 1/(AW812:BH812&lt;&gt;""), 1)-1), ROW(INDIRECT("1:" &amp; MATCH(2, 1/(AW812:BH812&lt;&gt;""), 1)-1))) &gt;= 115%, 115%, INDEX(AW812:INDEX(AW812:BH812, MATCH(2, 1/(AW812:BH812&lt;&gt;""), 1)-1), ROW(INDIRECT("1:" &amp; MATCH(2, 1/(AW812:BH812&lt;&gt;""), 1)-1)))), 0))/_xlfn.XLOOKUP(F812,Apuração!A:A,Apuração!B:B)&gt;=1.15,1.15,SUM(IFERROR(IF(INDEX(AW812:INDEX(AW812:BH812, MATCH(2, 1/(AW812:BH812&lt;&gt;""), 1)-1), ROW(INDIRECT("1:" &amp; MATCH(2, 1/(AW812:BH812&lt;&gt;""), 1)-1))) &gt;= 115%, 115%, INDEX(AW812:INDEX(AW812:BH812, MATCH(2, 1/(AW812:BH812&lt;&gt;""), 1)-1), ROW(INDIRECT("1:" &amp; MATCH(2, 1/(AW812:BH812&lt;&gt;""), 1)-1)))), 0))/_xlfn.XLOOKUP(F812,Apuração!A:A,Apuração!B:B))</f>
        <v>6.8376068376068383E-2</v>
      </c>
      <c r="BM812" s="55" cm="1">
        <f t="array" ref="BM812">IFERROR(
   INDEX($AW$1:$BH$1,
      _xlfn.AGGREGATE(14, 6, COLUMN($AW$1:$BH$1)/(AW812:BH812&lt;&gt;""), 2) - COLUMN($AW$1) + 1
   ),
"")</f>
        <v>46113</v>
      </c>
      <c r="BN812" s="55" cm="1">
        <f t="array" ref="BN812">IFERROR(INDEX($AW$1:$BH$1,1,MATCH(2,1/(AW812:BH812&lt;&gt;""))),"")</f>
        <v>46143</v>
      </c>
      <c r="BO812" s="53">
        <f ca="1">IFERROR(_xlfn.XLOOKUP(F812,Apuração!A:A,Apuração!C:C)/_xlfn.XLOOKUP(F812,Apuração!A:A,Apuração!B:B),0)</f>
        <v>0.22222222222222221</v>
      </c>
      <c r="BP812" s="53">
        <f ca="1">IFERROR(_xlfn.XLOOKUP(F812,Apuração!A:A,Apuração!D:D)/_xlfn.XLOOKUP(F812,Apuração!A:A,Apuração!B:B),0)</f>
        <v>0.1111111111111111</v>
      </c>
      <c r="BQ812" s="53">
        <f ca="1">IF(BK812&gt;=BO812,0,_xlfn.XLOOKUP(F812,Apuração!A:A,Apuração!B:B)*(BO812 + (1/_xlfn.XLOOKUP(F812,Apuração!A:A,Apuração!B:B)) - BK812))</f>
        <v>1.8012820512820509</v>
      </c>
      <c r="BR812" s="85">
        <f t="shared" ca="1" si="1103"/>
        <v>280.99999999999994</v>
      </c>
      <c r="BS812" s="53">
        <f ca="1">IFERROR((_xlfn.XLOOKUP(F812,Apuração!A:A,Apuração!C:C)+1)/_xlfn.XLOOKUP(F812,Apuração!A:A,Apuração!B:B),0)</f>
        <v>0.33333333333333331</v>
      </c>
    </row>
    <row r="813" spans="1:71" ht="25.95" hidden="1" customHeight="1" x14ac:dyDescent="0.3">
      <c r="A813" s="23" t="s">
        <v>134</v>
      </c>
      <c r="B813" s="4" t="s">
        <v>167</v>
      </c>
      <c r="C813" s="5" t="s">
        <v>97</v>
      </c>
      <c r="D813" s="5" t="s">
        <v>106</v>
      </c>
      <c r="E813" s="4" t="str" cm="1">
        <f t="array" ref="E813">_xlfn.IFS(
F813 = "A partir de Abril", "Aguardando Execução na Distribuidora",
A813 = "CAPACITAÇÃO", "Em execução no Corporativo",
TRUE, "Em Execução na Distribuidora"
)</f>
        <v>Em Execução na Distribuidora</v>
      </c>
      <c r="F813" s="4" t="str" cm="1">
        <f t="array" ref="F813">_xlfn.IFS(
AG813 &lt;&gt; "", "Jan-Dez/26",
AH813 &lt;&gt; "", "Fev-Dez/26",
AI813 &lt;&gt; "", "Mar-Dez/26", AJ813 &lt;&gt; "", "Abr-Dez/26",
TRUE, "A partir de Junho"
)</f>
        <v>Abr-Dez/26</v>
      </c>
      <c r="G813" s="4" t="s">
        <v>37</v>
      </c>
      <c r="H813" s="7" t="s">
        <v>54</v>
      </c>
      <c r="I813" s="8" t="s">
        <v>171</v>
      </c>
      <c r="J813" s="8" t="str" cm="1">
        <f t="array" aca="1" ref="J813" ca="1">_xlfn.LET(
  _xlpm.actual_value_month, INDEX(T813:AE813, MATCH(DATE(YEAR(TODAY()), MONTH(TODAY()), 1), $T$1:$AE$1, 0)),
  IF(_xlpm.actual_value_month &lt;&gt; "",_xlpm.actual_value_month &amp; " colaboradores alcançados mensalmentes", "")
)</f>
        <v>267 colaboradores alcançados mensalmentes</v>
      </c>
      <c r="K813" s="8" t="str" cm="1">
        <f t="array" ref="K813">_xlfn.LET(
    _xlpm.sum_month, SUM(T813:AE813),
    IF(_xlpm.sum_month = 0, "", _xlpm.sum_month &amp; " colaboradores alcançados durante no ano")
)</f>
        <v>2403 colaboradores alcançados durante no ano</v>
      </c>
      <c r="L813" s="9" t="s">
        <v>172</v>
      </c>
      <c r="M813" s="24" t="s">
        <v>173</v>
      </c>
      <c r="N813" s="5" t="s">
        <v>42</v>
      </c>
      <c r="O813" s="5" t="s">
        <v>43</v>
      </c>
      <c r="P813" s="10" t="s">
        <v>44</v>
      </c>
      <c r="Q813" s="10" t="s">
        <v>72</v>
      </c>
      <c r="R813" s="11" t="s">
        <v>66</v>
      </c>
      <c r="S813" s="11" t="s">
        <v>67</v>
      </c>
      <c r="T813" s="22"/>
      <c r="U813" s="22"/>
      <c r="V813" s="22"/>
      <c r="W813" s="143">
        <v>267</v>
      </c>
      <c r="X813" s="143">
        <v>267</v>
      </c>
      <c r="Y813" s="143">
        <v>267</v>
      </c>
      <c r="Z813" s="143">
        <v>267</v>
      </c>
      <c r="AA813" s="143">
        <v>267</v>
      </c>
      <c r="AB813" s="143">
        <v>267</v>
      </c>
      <c r="AC813" s="143">
        <v>267</v>
      </c>
      <c r="AD813" s="143">
        <v>267</v>
      </c>
      <c r="AE813" s="143">
        <v>267</v>
      </c>
      <c r="AG813" s="71"/>
      <c r="AH813" s="71"/>
      <c r="AI813" s="71"/>
      <c r="AJ813" s="150">
        <v>155</v>
      </c>
      <c r="AK813" s="71">
        <v>172</v>
      </c>
      <c r="AL813" s="71"/>
      <c r="AM813" s="71"/>
      <c r="AN813" s="71"/>
      <c r="AO813" s="71"/>
      <c r="AP813" s="71"/>
      <c r="AQ813" s="71"/>
      <c r="AR813" s="71"/>
      <c r="AS813" s="94">
        <f t="shared" ca="1" si="1096"/>
        <v>534</v>
      </c>
      <c r="AT813" s="95">
        <f t="shared" si="1097"/>
        <v>327</v>
      </c>
      <c r="AU813" s="97">
        <f t="shared" si="1098"/>
        <v>327</v>
      </c>
      <c r="AW813" s="51">
        <f t="shared" si="1099"/>
        <v>0</v>
      </c>
      <c r="AX813" s="51">
        <f t="shared" si="1100"/>
        <v>0</v>
      </c>
      <c r="AY813" s="51">
        <f t="shared" si="1101"/>
        <v>0</v>
      </c>
      <c r="AZ813" s="51">
        <f t="shared" si="1102"/>
        <v>0.58052434456928836</v>
      </c>
      <c r="BA813" s="51">
        <f t="shared" si="1087"/>
        <v>0.64419475655430714</v>
      </c>
      <c r="BB813" s="51"/>
      <c r="BC813" s="51"/>
      <c r="BD813" s="51"/>
      <c r="BE813" s="51"/>
      <c r="BF813" s="51"/>
      <c r="BG813" s="51"/>
      <c r="BH813" s="51"/>
      <c r="BI813" s="65" cm="1">
        <f t="array" ref="BI813">IFERROR(INDEX(AW813:BH813,1,MATCH(2,1/(AW813:BH813&lt;&gt;""))),"")</f>
        <v>0.64419475655430714</v>
      </c>
      <c r="BJ813" s="68" cm="1">
        <f t="array" ref="BJ813">IF(BM813 = "", "",IFERROR(INDEX(AW813:BH813,1,MATCH(2,1/(AW813:BH813&lt;&gt;""),1)-1),""))</f>
        <v>0.58052434456928836</v>
      </c>
      <c r="BK813" s="58">
        <f>IF((IF(AW813&gt;=115%,115%,AW813) + IF(AX813&gt;=160%,160%,AX813) + IF(AY813&gt;=115%,115%,AY813) + (IF(AZ813&gt;=115%,115%,AZ813) + IF(BA813&gt;=115%,115%,BA813) + IF(BB813&gt;=115%,115%,BB813) + IF(BC813&gt;=115%,115%,BC813) + IF(BD813&gt;=115%,115%,BD813) + IF(BE813&gt;=115%,115%,BE813) + IF(BF813&gt;=115%,115%,BF813) + IF(BG813&gt;=115%,115%,BG813) + IF(BH813&gt;=115%,115%,BH813)))/_xlfn.XLOOKUP(F813,Apuração!A:A,Apuração!B:B)&gt;=1.15,1.15,((IF(AZ813&gt;=115%,115%,AZ813) + IF(AX813&gt;=160%,160%,AX813) + IF(AY813&gt;=115%,115%,AY813) + (IF(AW813&gt;=115%,115%,AW813) + IF(BA813&gt;=115%,115%,BA813) + IF(BB813&gt;=115%,115%,BB813) + IF(BC813&gt;=115%,115%,BC813) + IF(BD813&gt;=115%,115%,BD813) + IF(BE813&gt;=115%,115%,BE813) + IF(BF813&gt;=115%,115%,BF813) + IF(BG813&gt;=115%,115%,BG813) + IF(BH813&gt;=115%,115%,BH813)))/_xlfn.XLOOKUP(F813,Apuração!A:A,Apuração!B:B)))</f>
        <v>0.13607990012484394</v>
      </c>
      <c r="BL813" s="58" cm="1">
        <f t="array" aca="1" ref="BL813" ca="1">IF(SUM(IFERROR(IF(INDEX(AW813:INDEX(AW813:BH813, MATCH(2, 1/(AW813:BH813&lt;&gt;""), 1)-1), ROW(INDIRECT("1:" &amp; MATCH(2, 1/(AW813:BH813&lt;&gt;""), 1)-1))) &gt;= 115%, 115%, INDEX(AW813:INDEX(AW813:BH813, MATCH(2, 1/(AW813:BH813&lt;&gt;""), 1)-1), ROW(INDIRECT("1:" &amp; MATCH(2, 1/(AW813:BH813&lt;&gt;""), 1)-1)))), 0))/_xlfn.XLOOKUP(F813,Apuração!A:A,Apuração!B:B)&gt;=1.15,1.15,SUM(IFERROR(IF(INDEX(AW813:INDEX(AW813:BH813, MATCH(2, 1/(AW813:BH813&lt;&gt;""), 1)-1), ROW(INDIRECT("1:" &amp; MATCH(2, 1/(AW813:BH813&lt;&gt;""), 1)-1))) &gt;= 115%, 115%, INDEX(AW813:INDEX(AW813:BH813, MATCH(2, 1/(AW813:BH813&lt;&gt;""), 1)-1), ROW(INDIRECT("1:" &amp; MATCH(2, 1/(AW813:BH813&lt;&gt;""), 1)-1)))), 0))/_xlfn.XLOOKUP(F813,Apuração!A:A,Apuração!B:B))</f>
        <v>6.450270495214315E-2</v>
      </c>
      <c r="BM813" s="55" cm="1">
        <f t="array" ref="BM813">IFERROR(
   INDEX($AW$1:$BH$1,
      _xlfn.AGGREGATE(14, 6, COLUMN($AW$1:$BH$1)/(AW813:BH813&lt;&gt;""), 2) - COLUMN($AW$1) + 1
   ),
"")</f>
        <v>46113</v>
      </c>
      <c r="BN813" s="55" cm="1">
        <f t="array" ref="BN813">IFERROR(INDEX($AW$1:$BH$1,1,MATCH(2,1/(AW813:BH813&lt;&gt;""))),"")</f>
        <v>46143</v>
      </c>
      <c r="BO813" s="53">
        <f ca="1">IFERROR(_xlfn.XLOOKUP(F813,Apuração!A:A,Apuração!C:C)/_xlfn.XLOOKUP(F813,Apuração!A:A,Apuração!B:B),0)</f>
        <v>0.22222222222222221</v>
      </c>
      <c r="BP813" s="53">
        <f ca="1">IFERROR(_xlfn.XLOOKUP(F813,Apuração!A:A,Apuração!D:D)/_xlfn.XLOOKUP(F813,Apuração!A:A,Apuração!B:B),0)</f>
        <v>0.1111111111111111</v>
      </c>
      <c r="BQ813" s="53">
        <f ca="1">IF(BK813&gt;=BO813,0,_xlfn.XLOOKUP(F813,Apuração!A:A,Apuração!B:B)*(BO813 + (1/_xlfn.XLOOKUP(F813,Apuração!A:A,Apuração!B:B)) - BK813))</f>
        <v>1.7752808988764044</v>
      </c>
      <c r="BR813" s="85">
        <f t="shared" ca="1" si="1103"/>
        <v>474</v>
      </c>
      <c r="BS813" s="53">
        <f ca="1">IFERROR((_xlfn.XLOOKUP(F813,Apuração!A:A,Apuração!C:C)+1)/_xlfn.XLOOKUP(F813,Apuração!A:A,Apuração!B:B),0)</f>
        <v>0.33333333333333331</v>
      </c>
    </row>
    <row r="814" spans="1:71" ht="25.95" hidden="1" customHeight="1" x14ac:dyDescent="0.3">
      <c r="A814" s="23" t="s">
        <v>134</v>
      </c>
      <c r="B814" s="4" t="s">
        <v>167</v>
      </c>
      <c r="C814" s="5" t="s">
        <v>97</v>
      </c>
      <c r="D814" s="5" t="s">
        <v>107</v>
      </c>
      <c r="E814" s="4" t="str" cm="1">
        <f t="array" ref="E814">_xlfn.IFS(
F814 = "A partir de Abril", "Aguardando Execução na Distribuidora",
A814 = "CAPACITAÇÃO", "Em execução no Corporativo",
TRUE, "Em Execução na Distribuidora"
)</f>
        <v>Em Execução na Distribuidora</v>
      </c>
      <c r="F814" s="4" t="str" cm="1">
        <f t="array" ref="F814">_xlfn.IFS(
AG814 &lt;&gt; "", "Jan-Dez/26",
AH814 &lt;&gt; "", "Fev-Dez/26",
AI814 &lt;&gt; "", "Mar-Dez/26", AJ814 &lt;&gt; "", "Abr-Dez/26",
TRUE, "A partir de Junho"
)</f>
        <v>Abr-Dez/26</v>
      </c>
      <c r="G814" s="4" t="s">
        <v>37</v>
      </c>
      <c r="H814" s="7" t="s">
        <v>54</v>
      </c>
      <c r="I814" s="8" t="s">
        <v>171</v>
      </c>
      <c r="J814" s="8" t="str" cm="1">
        <f t="array" aca="1" ref="J814" ca="1">_xlfn.LET(
  _xlpm.actual_value_month, INDEX(T814:AE814, MATCH(DATE(YEAR(TODAY()), MONTH(TODAY()), 1), $T$1:$AE$1, 0)),
  IF(_xlpm.actual_value_month &lt;&gt; "",_xlpm.actual_value_month &amp; " colaboradores alcançados mensalmentes", "")
)</f>
        <v>232 colaboradores alcançados mensalmentes</v>
      </c>
      <c r="K814" s="8" t="str" cm="1">
        <f t="array" ref="K814">_xlfn.LET(
    _xlpm.sum_month, SUM(T814:AE814),
    IF(_xlpm.sum_month = 0, "", _xlpm.sum_month &amp; " colaboradores alcançados durante no ano")
)</f>
        <v>2088 colaboradores alcançados durante no ano</v>
      </c>
      <c r="L814" s="9" t="s">
        <v>172</v>
      </c>
      <c r="M814" s="24" t="s">
        <v>173</v>
      </c>
      <c r="N814" s="5" t="s">
        <v>42</v>
      </c>
      <c r="O814" s="5" t="s">
        <v>43</v>
      </c>
      <c r="P814" s="10" t="s">
        <v>44</v>
      </c>
      <c r="Q814" s="10" t="s">
        <v>72</v>
      </c>
      <c r="R814" s="11" t="s">
        <v>66</v>
      </c>
      <c r="S814" s="11" t="s">
        <v>67</v>
      </c>
      <c r="T814" s="22"/>
      <c r="U814" s="22"/>
      <c r="V814" s="22"/>
      <c r="W814" s="143">
        <v>232</v>
      </c>
      <c r="X814" s="143">
        <v>232</v>
      </c>
      <c r="Y814" s="143">
        <v>232</v>
      </c>
      <c r="Z814" s="143">
        <v>232</v>
      </c>
      <c r="AA814" s="143">
        <v>232</v>
      </c>
      <c r="AB814" s="143">
        <v>232</v>
      </c>
      <c r="AC814" s="143">
        <v>232</v>
      </c>
      <c r="AD814" s="143">
        <v>232</v>
      </c>
      <c r="AE814" s="143">
        <v>232</v>
      </c>
      <c r="AG814" s="71"/>
      <c r="AH814" s="71"/>
      <c r="AI814" s="71"/>
      <c r="AJ814" s="150">
        <v>297</v>
      </c>
      <c r="AK814" s="71">
        <v>164</v>
      </c>
      <c r="AL814" s="71"/>
      <c r="AM814" s="71"/>
      <c r="AN814" s="71"/>
      <c r="AO814" s="71"/>
      <c r="AP814" s="71"/>
      <c r="AQ814" s="71"/>
      <c r="AR814" s="71"/>
      <c r="AS814" s="94">
        <f t="shared" ca="1" si="1096"/>
        <v>464</v>
      </c>
      <c r="AT814" s="95">
        <f t="shared" si="1097"/>
        <v>430.79999999999995</v>
      </c>
      <c r="AU814" s="97">
        <f t="shared" si="1098"/>
        <v>461</v>
      </c>
      <c r="AW814" s="51">
        <f t="shared" si="1099"/>
        <v>0</v>
      </c>
      <c r="AX814" s="51">
        <f t="shared" si="1100"/>
        <v>0</v>
      </c>
      <c r="AY814" s="51">
        <f t="shared" si="1101"/>
        <v>0</v>
      </c>
      <c r="AZ814" s="51">
        <f t="shared" si="1102"/>
        <v>1.2801724137931034</v>
      </c>
      <c r="BA814" s="51">
        <f t="shared" si="1087"/>
        <v>0.7068965517241379</v>
      </c>
      <c r="BB814" s="51"/>
      <c r="BC814" s="51"/>
      <c r="BD814" s="51"/>
      <c r="BE814" s="51"/>
      <c r="BF814" s="51"/>
      <c r="BG814" s="51"/>
      <c r="BH814" s="51"/>
      <c r="BI814" s="65" cm="1">
        <f t="array" ref="BI814">IFERROR(INDEX(AW814:BH814,1,MATCH(2,1/(AW814:BH814&lt;&gt;""))),"")</f>
        <v>0.7068965517241379</v>
      </c>
      <c r="BJ814" s="68" cm="1">
        <f t="array" ref="BJ814">IF(BM814 = "", "",IFERROR(INDEX(AW814:BH814,1,MATCH(2,1/(AW814:BH814&lt;&gt;""),1)-1),""))</f>
        <v>1.2801724137931034</v>
      </c>
      <c r="BK814" s="58">
        <f>IF((IF(AW814&gt;=115%,115%,AW814) + IF(AX814&gt;=160%,160%,AX814) + IF(AY814&gt;=115%,115%,AY814) + (IF(AZ814&gt;=115%,115%,AZ814) + IF(BA814&gt;=115%,115%,BA814) + IF(BB814&gt;=115%,115%,BB814) + IF(BC814&gt;=115%,115%,BC814) + IF(BD814&gt;=115%,115%,BD814) + IF(BE814&gt;=115%,115%,BE814) + IF(BF814&gt;=115%,115%,BF814) + IF(BG814&gt;=115%,115%,BG814) + IF(BH814&gt;=115%,115%,BH814)))/_xlfn.XLOOKUP(F814,Apuração!A:A,Apuração!B:B)&gt;=1.15,1.15,((IF(AZ814&gt;=115%,115%,AZ814) + IF(AX814&gt;=160%,160%,AX814) + IF(AY814&gt;=115%,115%,AY814) + (IF(AW814&gt;=115%,115%,AW814) + IF(BA814&gt;=115%,115%,BA814) + IF(BB814&gt;=115%,115%,BB814) + IF(BC814&gt;=115%,115%,BC814) + IF(BD814&gt;=115%,115%,BD814) + IF(BE814&gt;=115%,115%,BE814) + IF(BF814&gt;=115%,115%,BF814) + IF(BG814&gt;=115%,115%,BG814) + IF(BH814&gt;=115%,115%,BH814)))/_xlfn.XLOOKUP(F814,Apuração!A:A,Apuração!B:B)))</f>
        <v>0.20632183908045976</v>
      </c>
      <c r="BL814" s="58" cm="1">
        <f t="array" aca="1" ref="BL814" ca="1">IF(SUM(IFERROR(IF(INDEX(AW814:INDEX(AW814:BH814, MATCH(2, 1/(AW814:BH814&lt;&gt;""), 1)-1), ROW(INDIRECT("1:" &amp; MATCH(2, 1/(AW814:BH814&lt;&gt;""), 1)-1))) &gt;= 115%, 115%, INDEX(AW814:INDEX(AW814:BH814, MATCH(2, 1/(AW814:BH814&lt;&gt;""), 1)-1), ROW(INDIRECT("1:" &amp; MATCH(2, 1/(AW814:BH814&lt;&gt;""), 1)-1)))), 0))/_xlfn.XLOOKUP(F814,Apuração!A:A,Apuração!B:B)&gt;=1.15,1.15,SUM(IFERROR(IF(INDEX(AW814:INDEX(AW814:BH814, MATCH(2, 1/(AW814:BH814&lt;&gt;""), 1)-1), ROW(INDIRECT("1:" &amp; MATCH(2, 1/(AW814:BH814&lt;&gt;""), 1)-1))) &gt;= 115%, 115%, INDEX(AW814:INDEX(AW814:BH814, MATCH(2, 1/(AW814:BH814&lt;&gt;""), 1)-1), ROW(INDIRECT("1:" &amp; MATCH(2, 1/(AW814:BH814&lt;&gt;""), 1)-1)))), 0))/_xlfn.XLOOKUP(F814,Apuração!A:A,Apuração!B:B))</f>
        <v>0.12777777777777777</v>
      </c>
      <c r="BM814" s="55" cm="1">
        <f t="array" ref="BM814">IFERROR(
   INDEX($AW$1:$BH$1,
      _xlfn.AGGREGATE(14, 6, COLUMN($AW$1:$BH$1)/(AW814:BH814&lt;&gt;""), 2) - COLUMN($AW$1) + 1
   ),
"")</f>
        <v>46113</v>
      </c>
      <c r="BN814" s="55" cm="1">
        <f t="array" ref="BN814">IFERROR(INDEX($AW$1:$BH$1,1,MATCH(2,1/(AW814:BH814&lt;&gt;""))),"")</f>
        <v>46143</v>
      </c>
      <c r="BO814" s="53">
        <f ca="1">IFERROR(_xlfn.XLOOKUP(F814,Apuração!A:A,Apuração!C:C)/_xlfn.XLOOKUP(F814,Apuração!A:A,Apuração!B:B),0)</f>
        <v>0.22222222222222221</v>
      </c>
      <c r="BP814" s="53">
        <f ca="1">IFERROR(_xlfn.XLOOKUP(F814,Apuração!A:A,Apuração!D:D)/_xlfn.XLOOKUP(F814,Apuração!A:A,Apuração!B:B),0)</f>
        <v>0.1111111111111111</v>
      </c>
      <c r="BQ814" s="53">
        <f ca="1">IF(BK814&gt;=BO814,0,_xlfn.XLOOKUP(F814,Apuração!A:A,Apuração!B:B)*(BO814 + (1/_xlfn.XLOOKUP(F814,Apuração!A:A,Apuração!B:B)) - BK814))</f>
        <v>1.143103448275862</v>
      </c>
      <c r="BR814" s="85">
        <f t="shared" ca="1" si="1103"/>
        <v>265.2</v>
      </c>
      <c r="BS814" s="53">
        <f ca="1">IFERROR((_xlfn.XLOOKUP(F814,Apuração!A:A,Apuração!C:C)+1)/_xlfn.XLOOKUP(F814,Apuração!A:A,Apuração!B:B),0)</f>
        <v>0.33333333333333331</v>
      </c>
    </row>
    <row r="815" spans="1:71" ht="25.95" customHeight="1" x14ac:dyDescent="0.3">
      <c r="A815" s="23" t="s">
        <v>134</v>
      </c>
      <c r="B815" s="4" t="s">
        <v>174</v>
      </c>
      <c r="C815" s="5" t="s">
        <v>97</v>
      </c>
      <c r="D815" s="5" t="s">
        <v>36</v>
      </c>
      <c r="E815" s="4" t="s">
        <v>96</v>
      </c>
      <c r="F815" s="4" t="str" cm="1">
        <f t="array" ref="F815">_xlfn.IFS(
AG815 &lt;&gt; "", "Jan-Dez/26",
AH815 &lt;&gt; "", "Fev-Dez/26",
AI815 &lt;&gt; "", "Mar-Dez/26", AJ815 &lt;&gt; "", "Abr-Dez/26",
TRUE, "A partir de Junho"
)</f>
        <v>A partir de Junho</v>
      </c>
      <c r="G815" s="4" t="s">
        <v>62</v>
      </c>
      <c r="H815" s="7" t="s">
        <v>38</v>
      </c>
      <c r="I815" s="8" t="s">
        <v>168</v>
      </c>
      <c r="J815" s="8" t="str" cm="1">
        <f t="array" aca="1" ref="J815" ca="1">_xlfn.LET(
  _xlpm.actual_value_month, INDEX(T815:AE815, MATCH(DATE(YEAR(TODAY()), MONTH(TODAY()), 1), $T$1:$AE$1, 0)),
  IF(_xlpm.actual_value_month &lt;&gt; "",_xlpm.actual_value_month &amp; " ações mensais", "")
)</f>
        <v/>
      </c>
      <c r="K815" s="8" t="str" cm="1">
        <f t="array" ref="K815">_xlfn.LET(
    _xlpm.sum_month, SUM(T815:AE815),
    IF(_xlpm.sum_month = 0, "", _xlpm.sum_month &amp; " ações no ano")
)</f>
        <v/>
      </c>
      <c r="L815" s="9" t="s">
        <v>169</v>
      </c>
      <c r="M815" s="24">
        <v>1</v>
      </c>
      <c r="N815" s="5" t="s">
        <v>42</v>
      </c>
      <c r="O815" s="5" t="s">
        <v>43</v>
      </c>
      <c r="P815" s="10" t="s">
        <v>44</v>
      </c>
      <c r="Q815" s="10" t="s">
        <v>44</v>
      </c>
      <c r="R815" s="11" t="s">
        <v>66</v>
      </c>
      <c r="S815" s="11" t="s">
        <v>67</v>
      </c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G815" s="71"/>
      <c r="AH815" s="71"/>
      <c r="AI815" s="71"/>
      <c r="AJ815" s="71"/>
      <c r="AK815" s="71"/>
      <c r="AL815" s="71"/>
      <c r="AM815" s="71"/>
      <c r="AN815" s="71"/>
      <c r="AO815" s="71"/>
      <c r="AP815" s="71"/>
      <c r="AQ815" s="71"/>
      <c r="AR815" s="71"/>
      <c r="AS815" s="94">
        <f t="shared" ca="1" si="966"/>
        <v>0</v>
      </c>
      <c r="AT815" s="95">
        <f>SUM(IF(AW815&lt;1.15,AG815,1.15*T815),IF(AX815&lt;1.15,AH815,1.15*U815),IF(AY815&lt;1.15,AI815,1.15*V815),IF(AZ815&lt;1.15,AJ815,1.15*W815),IF(BA815&lt;1.15,AK815,1.15*X815),IF(BB815&lt;1.15,AL815,1.15*Y815),IF(BC815&lt;1.15,AM815,1.15*Z815),IF(BD815&lt;1.15,AN815,1.15*AA815),IF(BE815&lt;1.15,AO815,1.15*AB815),IF(BF815&lt;1.15,AP815,1.15*AC815),IF(BG815&lt;1.15,AQ815,1.15*AD815),IF(BH815&lt;1.15,AR815,1.15*AE815))</f>
        <v>0</v>
      </c>
      <c r="AU815" s="97">
        <f t="shared" si="967"/>
        <v>0</v>
      </c>
      <c r="AW815" s="51">
        <f t="shared" si="1086"/>
        <v>0</v>
      </c>
      <c r="AX815" s="51">
        <f t="shared" si="1086"/>
        <v>0</v>
      </c>
      <c r="AY815" s="51">
        <f t="shared" si="1086"/>
        <v>0</v>
      </c>
      <c r="AZ815" s="51">
        <f t="shared" si="1086"/>
        <v>0</v>
      </c>
      <c r="BA815" s="51">
        <f t="shared" si="1087"/>
        <v>0</v>
      </c>
      <c r="BB815" s="51"/>
      <c r="BC815" s="51"/>
      <c r="BD815" s="51"/>
      <c r="BE815" s="51"/>
      <c r="BF815" s="51"/>
      <c r="BG815" s="51"/>
      <c r="BH815" s="51"/>
      <c r="BI815" s="65" cm="1">
        <f t="array" ref="BI815">IFERROR(INDEX(AW815:BH815,1,MATCH(2,1/(AW815:BH815&lt;&gt;""))),"")</f>
        <v>0</v>
      </c>
      <c r="BJ815" s="68" cm="1">
        <f t="array" ref="BJ815">IF(BM815 = "", "",IFERROR(INDEX(AW815:BH815,1,MATCH(2,1/(AW815:BH815&lt;&gt;""),1)-1),""))</f>
        <v>0</v>
      </c>
      <c r="BK815" s="58">
        <f>IF((IF(AW815&gt;=115%,115%,AW815) + IF(AX815&gt;=115%,115%,AX815) + IF(AY815&gt;=115%,115%,AY815) + (IF(AZ815&gt;=115%,115%,AZ815) + IF(BA815&gt;=115%,115%,BA815) + IF(BB815&gt;=115%,115%,BB815) + IF(BC815&gt;=115%,115%,BC815) + IF(BD815&gt;=115%,115%,BD815) + IF(BE815&gt;=115%,115%,BE815) + IF(BF815&gt;=115%,115%,BF815) + IF(BG815&gt;=115%,115%,BG815) + IF(BH815&gt;=115%,115%,BH815)))/_xlfn.XLOOKUP(F815,Apuração!A:A,Apuração!B:B)&gt;=1.15,1.15,((IF(AZ815&gt;=115%,115%,AZ815) + IF(AX815&gt;=115%,115%,AX815) + IF(AY815&gt;=115%,115%,AY815) + (IF(AW815&gt;=115%,115%,AW815) + IF(BA815&gt;=115%,115%,BA815) + IF(BB815&gt;=115%,115%,BB815) + IF(BC815&gt;=115%,115%,BC815) + IF(BD815&gt;=115%,115%,BD815) + IF(BE815&gt;=115%,115%,BE815) + IF(BF815&gt;=115%,115%,BF815) + IF(BG815&gt;=115%,115%,BG815) + IF(BH815&gt;=115%,115%,BH815)))/_xlfn.XLOOKUP(F815,Apuração!A:A,Apuração!B:B)))</f>
        <v>0</v>
      </c>
      <c r="BL815" s="58" cm="1">
        <f t="array" aca="1" ref="BL815" ca="1">IF(SUM(IFERROR(IF(INDEX(AW815:INDEX(AW815:BH815, MATCH(2, 1/(AW815:BH815&lt;&gt;""), 1)-1), ROW(INDIRECT("1:" &amp; MATCH(2, 1/(AW815:BH815&lt;&gt;""), 1)-1))) &gt;= 115%, 115%, INDEX(AW815:INDEX(AW815:BH815, MATCH(2, 1/(AW815:BH815&lt;&gt;""), 1)-1), ROW(INDIRECT("1:" &amp; MATCH(2, 1/(AW815:BH815&lt;&gt;""), 1)-1)))), 0))/_xlfn.XLOOKUP(F815,Apuração!A:A,Apuração!B:B)&gt;=1.15,1.15,SUM(IFERROR(IF(INDEX(AW815:INDEX(AW815:BH815, MATCH(2, 1/(AW815:BH815&lt;&gt;""), 1)-1), ROW(INDIRECT("1:" &amp; MATCH(2, 1/(AW815:BH815&lt;&gt;""), 1)-1))) &gt;= 115%, 115%, INDEX(AW815:INDEX(AW815:BH815, MATCH(2, 1/(AW815:BH815&lt;&gt;""), 1)-1), ROW(INDIRECT("1:" &amp; MATCH(2, 1/(AW815:BH815&lt;&gt;""), 1)-1)))), 0))/_xlfn.XLOOKUP(F815,Apuração!A:A,Apuração!B:B))</f>
        <v>0</v>
      </c>
      <c r="BM815" s="55" cm="1">
        <f t="array" ref="BM815">IFERROR(
   INDEX($AW$1:$BH$1,
      _xlfn.AGGREGATE(14, 6, COLUMN($AW$1:$BH$1)/(AW815:BH815&lt;&gt;""), 2) - COLUMN($AW$1) + 1
   ),
"")</f>
        <v>46113</v>
      </c>
      <c r="BN815" s="55" cm="1">
        <f t="array" ref="BN815">IFERROR(INDEX($AW$1:$BH$1,1,MATCH(2,1/(AW815:BH815&lt;&gt;""))),"")</f>
        <v>46143</v>
      </c>
      <c r="BO815" s="53">
        <f ca="1">IFERROR(_xlfn.XLOOKUP(F815,Apuração!A:A,Apuração!C:C)/_xlfn.XLOOKUP(F815,Apuração!A:A,Apuração!B:B),0)</f>
        <v>0</v>
      </c>
      <c r="BP815" s="53">
        <f ca="1">IFERROR(_xlfn.XLOOKUP(F815,Apuração!A:A,Apuração!D:D)/_xlfn.XLOOKUP(F815,Apuração!A:A,Apuração!B:B),0)</f>
        <v>0</v>
      </c>
      <c r="BQ815" s="53">
        <f ca="1">IF(BK815&gt;=BO815,0,_xlfn.XLOOKUP(F815,Apuração!A:A,Apuração!B:B)*(BO815 + (1/_xlfn.XLOOKUP(F815,Apuração!A:A,Apuração!B:B)) - BK815))</f>
        <v>0</v>
      </c>
      <c r="BR815" s="85">
        <f t="shared" ca="1" si="898"/>
        <v>0</v>
      </c>
      <c r="BS815" s="53">
        <f ca="1">IFERROR((_xlfn.XLOOKUP(F815,Apuração!A:A,Apuração!C:C)+1)/_xlfn.XLOOKUP(F815,Apuração!A:A,Apuração!B:B),0)</f>
        <v>0.14285714285714285</v>
      </c>
    </row>
    <row r="816" spans="1:71" ht="25.95" hidden="1" customHeight="1" x14ac:dyDescent="0.3">
      <c r="A816" s="23" t="s">
        <v>134</v>
      </c>
      <c r="B816" s="4" t="s">
        <v>174</v>
      </c>
      <c r="C816" s="5" t="s">
        <v>97</v>
      </c>
      <c r="D816" s="5" t="s">
        <v>98</v>
      </c>
      <c r="E816" s="4" t="s">
        <v>96</v>
      </c>
      <c r="F816" s="4" t="str" cm="1">
        <f t="array" ref="F816">_xlfn.IFS(
AG816 &lt;&gt; "", "Jan-Dez/26",
AH816 &lt;&gt; "", "Fev-Dez/26",
AI816 &lt;&gt; "", "Mar-Dez/26", AJ816 &lt;&gt; "", "Abr-Dez/26",
TRUE, "A partir de Junho"
)</f>
        <v>A partir de Junho</v>
      </c>
      <c r="G816" s="4" t="s">
        <v>62</v>
      </c>
      <c r="H816" s="7" t="s">
        <v>38</v>
      </c>
      <c r="I816" s="8" t="s">
        <v>168</v>
      </c>
      <c r="J816" s="8" t="str" cm="1">
        <f t="array" aca="1" ref="J816" ca="1">_xlfn.LET(
  _xlpm.actual_value_month, INDEX(T816:AE816, MATCH(DATE(YEAR(TODAY()), MONTH(TODAY()), 1), $T$1:$AE$1, 0)),
  IF(_xlpm.actual_value_month &lt;&gt; "",_xlpm.actual_value_month &amp; " ações mensais", "")
)</f>
        <v/>
      </c>
      <c r="K816" s="8" t="str" cm="1">
        <f t="array" ref="K816">_xlfn.LET(
    _xlpm.sum_month, SUM(T816:AE816),
    IF(_xlpm.sum_month = 0, "", _xlpm.sum_month &amp; " ações no ano")
)</f>
        <v/>
      </c>
      <c r="L816" s="9" t="s">
        <v>169</v>
      </c>
      <c r="M816" s="24">
        <v>1</v>
      </c>
      <c r="N816" s="5" t="s">
        <v>42</v>
      </c>
      <c r="O816" s="5" t="s">
        <v>43</v>
      </c>
      <c r="P816" s="10" t="s">
        <v>44</v>
      </c>
      <c r="Q816" s="10" t="s">
        <v>44</v>
      </c>
      <c r="R816" s="11" t="s">
        <v>66</v>
      </c>
      <c r="S816" s="11" t="s">
        <v>67</v>
      </c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G816" s="71"/>
      <c r="AH816" s="71"/>
      <c r="AI816" s="71"/>
      <c r="AJ816" s="71"/>
      <c r="AK816" s="71"/>
      <c r="AL816" s="71"/>
      <c r="AM816" s="71"/>
      <c r="AN816" s="71"/>
      <c r="AO816" s="71"/>
      <c r="AP816" s="71"/>
      <c r="AQ816" s="71"/>
      <c r="AR816" s="71"/>
      <c r="AS816" s="94">
        <f t="shared" ref="AS816:AS826" ca="1" si="1104">IF(MONTH(TODAY())=3,SUM(T816:U816),IF(MONTH(TODAY())=4,SUM(T816:V816),IF(MONTH(TODAY())=5,SUM(T816:W816),IF(MONTH(TODAY())=6,SUM(T816:X816),IF(MONTH(TODAY())=7,SUM(T816:Y816),IF(MONTH(TODAY())=8,SUM(T816:Z816),IF(MONTH(TODAY())=9,SUM(T816:AA816),IF(MONTH(TODAY())=10,SUM(T816:AB816),IF(MONTH(TODAY())=11,SUM(T816:AC816),IF(MONTH(TODAY())=12,SUM(T816:AD816),IF(MONTH(TODAY())=1,SUM(T816:AE816),T816)))))))))))</f>
        <v>0</v>
      </c>
      <c r="AT816" s="95">
        <f t="shared" ref="AT816:AT825" si="1105">SUM(IF(AW816&lt;1.15,AG816,1.15*T816),IF(AX816&lt;1.15,AH816,1.15*U816),IF(AY816&lt;1.15,AI816,1.15*V816),IF(AZ816&lt;1.15,AJ816,1.15*W816),IF(BA816&lt;1.15,AK816,1.15*X816),IF(BB816&lt;1.15,AL816,1.15*Y816),IF(BC816&lt;1.15,AM816,1.15*Z816),IF(BD816&lt;1.15,AN816,1.15*AA816),IF(BE816&lt;1.15,AO816,1.15*AB816),IF(BF816&lt;1.15,AP816,1.15*AC816),IF(BG816&lt;1.15,AQ816,1.15*AD816),IF(BH816&lt;1.15,AR816,1.15*AE816))</f>
        <v>0</v>
      </c>
      <c r="AU816" s="97">
        <f t="shared" ref="AU816:AU826" si="1106">SUM(AG816:AR816)</f>
        <v>0</v>
      </c>
      <c r="AW816" s="51">
        <f t="shared" ref="AW816:AW826" si="1107">IFERROR(IF(AG816="",0,AG816/T816),0)</f>
        <v>0</v>
      </c>
      <c r="AX816" s="51">
        <f t="shared" ref="AX816:AX826" si="1108">IFERROR(IF(AH816="",0,AH816/U816),0)</f>
        <v>0</v>
      </c>
      <c r="AY816" s="51">
        <f t="shared" ref="AY816:AY826" si="1109">IFERROR(IF(AI816="",0,AI816/V816),0)</f>
        <v>0</v>
      </c>
      <c r="AZ816" s="51">
        <f t="shared" ref="AZ816:AZ826" si="1110">IFERROR(IF(AJ816="",0,AJ816/W816),0)</f>
        <v>0</v>
      </c>
      <c r="BA816" s="51">
        <f t="shared" si="1087"/>
        <v>0</v>
      </c>
      <c r="BB816" s="51"/>
      <c r="BC816" s="51"/>
      <c r="BD816" s="51"/>
      <c r="BE816" s="51"/>
      <c r="BF816" s="51"/>
      <c r="BG816" s="51"/>
      <c r="BH816" s="51"/>
      <c r="BI816" s="65" cm="1">
        <f t="array" ref="BI816">IFERROR(INDEX(AW816:BH816,1,MATCH(2,1/(AW816:BH816&lt;&gt;""))),"")</f>
        <v>0</v>
      </c>
      <c r="BJ816" s="68" cm="1">
        <f t="array" ref="BJ816">IF(BM816 = "", "",IFERROR(INDEX(AW816:BH816,1,MATCH(2,1/(AW816:BH816&lt;&gt;""),1)-1),""))</f>
        <v>0</v>
      </c>
      <c r="BK816" s="58">
        <f>IF((IF(AW816&gt;=115%,115%,AW816) + IF(AX816&gt;=115%,115%,AX816) + IF(AY816&gt;=115%,115%,AY816) + (IF(AZ816&gt;=115%,115%,AZ816) + IF(BA816&gt;=115%,115%,BA816) + IF(BB816&gt;=115%,115%,BB816) + IF(BC816&gt;=115%,115%,BC816) + IF(BD816&gt;=115%,115%,BD816) + IF(BE816&gt;=115%,115%,BE816) + IF(BF816&gt;=115%,115%,BF816) + IF(BG816&gt;=115%,115%,BG816) + IF(BH816&gt;=115%,115%,BH816)))/_xlfn.XLOOKUP(F816,Apuração!A:A,Apuração!B:B)&gt;=1.15,1.15,((IF(AZ816&gt;=115%,115%,AZ816) + IF(AX816&gt;=115%,115%,AX816) + IF(AY816&gt;=115%,115%,AY816) + (IF(AW816&gt;=115%,115%,AW816) + IF(BA816&gt;=115%,115%,BA816) + IF(BB816&gt;=115%,115%,BB816) + IF(BC816&gt;=115%,115%,BC816) + IF(BD816&gt;=115%,115%,BD816) + IF(BE816&gt;=115%,115%,BE816) + IF(BF816&gt;=115%,115%,BF816) + IF(BG816&gt;=115%,115%,BG816) + IF(BH816&gt;=115%,115%,BH816)))/_xlfn.XLOOKUP(F816,Apuração!A:A,Apuração!B:B)))</f>
        <v>0</v>
      </c>
      <c r="BL816" s="58" cm="1">
        <f t="array" aca="1" ref="BL816" ca="1">IF(SUM(IFERROR(IF(INDEX(AW816:INDEX(AW816:BH816, MATCH(2, 1/(AW816:BH816&lt;&gt;""), 1)-1), ROW(INDIRECT("1:" &amp; MATCH(2, 1/(AW816:BH816&lt;&gt;""), 1)-1))) &gt;= 115%, 115%, INDEX(AW816:INDEX(AW816:BH816, MATCH(2, 1/(AW816:BH816&lt;&gt;""), 1)-1), ROW(INDIRECT("1:" &amp; MATCH(2, 1/(AW816:BH816&lt;&gt;""), 1)-1)))), 0))/_xlfn.XLOOKUP(F816,Apuração!A:A,Apuração!B:B)&gt;=1.15,1.15,SUM(IFERROR(IF(INDEX(AW816:INDEX(AW816:BH816, MATCH(2, 1/(AW816:BH816&lt;&gt;""), 1)-1), ROW(INDIRECT("1:" &amp; MATCH(2, 1/(AW816:BH816&lt;&gt;""), 1)-1))) &gt;= 115%, 115%, INDEX(AW816:INDEX(AW816:BH816, MATCH(2, 1/(AW816:BH816&lt;&gt;""), 1)-1), ROW(INDIRECT("1:" &amp; MATCH(2, 1/(AW816:BH816&lt;&gt;""), 1)-1)))), 0))/_xlfn.XLOOKUP(F816,Apuração!A:A,Apuração!B:B))</f>
        <v>0</v>
      </c>
      <c r="BM816" s="55" cm="1">
        <f t="array" ref="BM816">IFERROR(
   INDEX($AW$1:$BH$1,
      _xlfn.AGGREGATE(14, 6, COLUMN($AW$1:$BH$1)/(AW816:BH816&lt;&gt;""), 2) - COLUMN($AW$1) + 1
   ),
"")</f>
        <v>46113</v>
      </c>
      <c r="BN816" s="55" cm="1">
        <f t="array" ref="BN816">IFERROR(INDEX($AW$1:$BH$1,1,MATCH(2,1/(AW816:BH816&lt;&gt;""))),"")</f>
        <v>46143</v>
      </c>
      <c r="BO816" s="53">
        <f ca="1">IFERROR(_xlfn.XLOOKUP(F816,Apuração!A:A,Apuração!C:C)/_xlfn.XLOOKUP(F816,Apuração!A:A,Apuração!B:B),0)</f>
        <v>0</v>
      </c>
      <c r="BP816" s="53">
        <f ca="1">IFERROR(_xlfn.XLOOKUP(F816,Apuração!A:A,Apuração!D:D)/_xlfn.XLOOKUP(F816,Apuração!A:A,Apuração!B:B),0)</f>
        <v>0</v>
      </c>
      <c r="BQ816" s="53">
        <f ca="1">IF(BK816&gt;=BO816,0,_xlfn.XLOOKUP(F816,Apuração!A:A,Apuração!B:B)*(BO816 + (1/_xlfn.XLOOKUP(F816,Apuração!A:A,Apuração!B:B)) - BK816))</f>
        <v>0</v>
      </c>
      <c r="BR816" s="85">
        <f t="shared" ref="BR816:BR826" ca="1" si="1111">IF(BQ816=0,0,BQ816*Z816)</f>
        <v>0</v>
      </c>
      <c r="BS816" s="53">
        <f ca="1">IFERROR((_xlfn.XLOOKUP(F816,Apuração!A:A,Apuração!C:C)+1)/_xlfn.XLOOKUP(F816,Apuração!A:A,Apuração!B:B),0)</f>
        <v>0.14285714285714285</v>
      </c>
    </row>
    <row r="817" spans="1:71" ht="25.95" hidden="1" customHeight="1" x14ac:dyDescent="0.3">
      <c r="A817" s="23" t="s">
        <v>134</v>
      </c>
      <c r="B817" s="4" t="s">
        <v>174</v>
      </c>
      <c r="C817" s="5" t="s">
        <v>97</v>
      </c>
      <c r="D817" s="5" t="s">
        <v>99</v>
      </c>
      <c r="E817" s="4" t="s">
        <v>96</v>
      </c>
      <c r="F817" s="4" t="str" cm="1">
        <f t="array" ref="F817">_xlfn.IFS(
AG817 &lt;&gt; "", "Jan-Dez/26",
AH817 &lt;&gt; "", "Fev-Dez/26",
AI817 &lt;&gt; "", "Mar-Dez/26", AJ817 &lt;&gt; "", "Abr-Dez/26",
TRUE, "A partir de Junho"
)</f>
        <v>A partir de Junho</v>
      </c>
      <c r="G817" s="4" t="s">
        <v>62</v>
      </c>
      <c r="H817" s="7" t="s">
        <v>38</v>
      </c>
      <c r="I817" s="8" t="s">
        <v>168</v>
      </c>
      <c r="J817" s="8" t="str" cm="1">
        <f t="array" aca="1" ref="J817" ca="1">_xlfn.LET(
  _xlpm.actual_value_month, INDEX(T817:AE817, MATCH(DATE(YEAR(TODAY()), MONTH(TODAY()), 1), $T$1:$AE$1, 0)),
  IF(_xlpm.actual_value_month &lt;&gt; "",_xlpm.actual_value_month &amp; " ações mensais", "")
)</f>
        <v/>
      </c>
      <c r="K817" s="8" t="str" cm="1">
        <f t="array" ref="K817">_xlfn.LET(
    _xlpm.sum_month, SUM(T817:AE817),
    IF(_xlpm.sum_month = 0, "", _xlpm.sum_month &amp; " ações no ano")
)</f>
        <v/>
      </c>
      <c r="L817" s="9" t="s">
        <v>169</v>
      </c>
      <c r="M817" s="24">
        <v>1</v>
      </c>
      <c r="N817" s="5" t="s">
        <v>42</v>
      </c>
      <c r="O817" s="5" t="s">
        <v>43</v>
      </c>
      <c r="P817" s="10" t="s">
        <v>44</v>
      </c>
      <c r="Q817" s="10" t="s">
        <v>44</v>
      </c>
      <c r="R817" s="11" t="s">
        <v>66</v>
      </c>
      <c r="S817" s="11" t="s">
        <v>67</v>
      </c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G817" s="71"/>
      <c r="AH817" s="71"/>
      <c r="AI817" s="71"/>
      <c r="AJ817" s="71"/>
      <c r="AK817" s="71"/>
      <c r="AL817" s="71"/>
      <c r="AM817" s="71"/>
      <c r="AN817" s="71"/>
      <c r="AO817" s="71"/>
      <c r="AP817" s="71"/>
      <c r="AQ817" s="71"/>
      <c r="AR817" s="71"/>
      <c r="AS817" s="94">
        <f t="shared" ca="1" si="1104"/>
        <v>0</v>
      </c>
      <c r="AT817" s="95">
        <f t="shared" si="1105"/>
        <v>0</v>
      </c>
      <c r="AU817" s="97">
        <f t="shared" si="1106"/>
        <v>0</v>
      </c>
      <c r="AW817" s="51">
        <f t="shared" si="1107"/>
        <v>0</v>
      </c>
      <c r="AX817" s="51">
        <f t="shared" si="1108"/>
        <v>0</v>
      </c>
      <c r="AY817" s="51">
        <f t="shared" si="1109"/>
        <v>0</v>
      </c>
      <c r="AZ817" s="51">
        <f t="shared" si="1110"/>
        <v>0</v>
      </c>
      <c r="BA817" s="51">
        <f t="shared" si="1087"/>
        <v>0</v>
      </c>
      <c r="BB817" s="51"/>
      <c r="BC817" s="51"/>
      <c r="BD817" s="51"/>
      <c r="BE817" s="51"/>
      <c r="BF817" s="51"/>
      <c r="BG817" s="51"/>
      <c r="BH817" s="51"/>
      <c r="BI817" s="65" cm="1">
        <f t="array" ref="BI817">IFERROR(INDEX(AW817:BH817,1,MATCH(2,1/(AW817:BH817&lt;&gt;""))),"")</f>
        <v>0</v>
      </c>
      <c r="BJ817" s="68" cm="1">
        <f t="array" ref="BJ817">IF(BM817 = "", "",IFERROR(INDEX(AW817:BH817,1,MATCH(2,1/(AW817:BH817&lt;&gt;""),1)-1),""))</f>
        <v>0</v>
      </c>
      <c r="BK817" s="58">
        <f>IF((IF(AW817&gt;=115%,115%,AW817) + IF(AX817&gt;=115%,115%,AX817) + IF(AY817&gt;=115%,115%,AY817) + (IF(AZ817&gt;=115%,115%,AZ817) + IF(BA817&gt;=115%,115%,BA817) + IF(BB817&gt;=115%,115%,BB817) + IF(BC817&gt;=115%,115%,BC817) + IF(BD817&gt;=115%,115%,BD817) + IF(BE817&gt;=115%,115%,BE817) + IF(BF817&gt;=115%,115%,BF817) + IF(BG817&gt;=115%,115%,BG817) + IF(BH817&gt;=115%,115%,BH817)))/_xlfn.XLOOKUP(F817,Apuração!A:A,Apuração!B:B)&gt;=1.15,1.15,((IF(AZ817&gt;=115%,115%,AZ817) + IF(AX817&gt;=115%,115%,AX817) + IF(AY817&gt;=115%,115%,AY817) + (IF(AW817&gt;=115%,115%,AW817) + IF(BA817&gt;=115%,115%,BA817) + IF(BB817&gt;=115%,115%,BB817) + IF(BC817&gt;=115%,115%,BC817) + IF(BD817&gt;=115%,115%,BD817) + IF(BE817&gt;=115%,115%,BE817) + IF(BF817&gt;=115%,115%,BF817) + IF(BG817&gt;=115%,115%,BG817) + IF(BH817&gt;=115%,115%,BH817)))/_xlfn.XLOOKUP(F817,Apuração!A:A,Apuração!B:B)))</f>
        <v>0</v>
      </c>
      <c r="BL817" s="58" cm="1">
        <f t="array" aca="1" ref="BL817" ca="1">IF(SUM(IFERROR(IF(INDEX(AW817:INDEX(AW817:BH817, MATCH(2, 1/(AW817:BH817&lt;&gt;""), 1)-1), ROW(INDIRECT("1:" &amp; MATCH(2, 1/(AW817:BH817&lt;&gt;""), 1)-1))) &gt;= 115%, 115%, INDEX(AW817:INDEX(AW817:BH817, MATCH(2, 1/(AW817:BH817&lt;&gt;""), 1)-1), ROW(INDIRECT("1:" &amp; MATCH(2, 1/(AW817:BH817&lt;&gt;""), 1)-1)))), 0))/_xlfn.XLOOKUP(F817,Apuração!A:A,Apuração!B:B)&gt;=1.15,1.15,SUM(IFERROR(IF(INDEX(AW817:INDEX(AW817:BH817, MATCH(2, 1/(AW817:BH817&lt;&gt;""), 1)-1), ROW(INDIRECT("1:" &amp; MATCH(2, 1/(AW817:BH817&lt;&gt;""), 1)-1))) &gt;= 115%, 115%, INDEX(AW817:INDEX(AW817:BH817, MATCH(2, 1/(AW817:BH817&lt;&gt;""), 1)-1), ROW(INDIRECT("1:" &amp; MATCH(2, 1/(AW817:BH817&lt;&gt;""), 1)-1)))), 0))/_xlfn.XLOOKUP(F817,Apuração!A:A,Apuração!B:B))</f>
        <v>0</v>
      </c>
      <c r="BM817" s="55" cm="1">
        <f t="array" ref="BM817">IFERROR(
   INDEX($AW$1:$BH$1,
      _xlfn.AGGREGATE(14, 6, COLUMN($AW$1:$BH$1)/(AW817:BH817&lt;&gt;""), 2) - COLUMN($AW$1) + 1
   ),
"")</f>
        <v>46113</v>
      </c>
      <c r="BN817" s="55" cm="1">
        <f t="array" ref="BN817">IFERROR(INDEX($AW$1:$BH$1,1,MATCH(2,1/(AW817:BH817&lt;&gt;""))),"")</f>
        <v>46143</v>
      </c>
      <c r="BO817" s="53">
        <f ca="1">IFERROR(_xlfn.XLOOKUP(F817,Apuração!A:A,Apuração!C:C)/_xlfn.XLOOKUP(F817,Apuração!A:A,Apuração!B:B),0)</f>
        <v>0</v>
      </c>
      <c r="BP817" s="53">
        <f ca="1">IFERROR(_xlfn.XLOOKUP(F817,Apuração!A:A,Apuração!D:D)/_xlfn.XLOOKUP(F817,Apuração!A:A,Apuração!B:B),0)</f>
        <v>0</v>
      </c>
      <c r="BQ817" s="53">
        <f ca="1">IF(BK817&gt;=BO817,0,_xlfn.XLOOKUP(F817,Apuração!A:A,Apuração!B:B)*(BO817 + (1/_xlfn.XLOOKUP(F817,Apuração!A:A,Apuração!B:B)) - BK817))</f>
        <v>0</v>
      </c>
      <c r="BR817" s="85">
        <f t="shared" ca="1" si="1111"/>
        <v>0</v>
      </c>
      <c r="BS817" s="53">
        <f ca="1">IFERROR((_xlfn.XLOOKUP(F817,Apuração!A:A,Apuração!C:C)+1)/_xlfn.XLOOKUP(F817,Apuração!A:A,Apuração!B:B),0)</f>
        <v>0.14285714285714285</v>
      </c>
    </row>
    <row r="818" spans="1:71" ht="25.95" hidden="1" customHeight="1" x14ac:dyDescent="0.3">
      <c r="A818" s="23" t="s">
        <v>134</v>
      </c>
      <c r="B818" s="4" t="s">
        <v>174</v>
      </c>
      <c r="C818" s="5" t="s">
        <v>97</v>
      </c>
      <c r="D818" s="5" t="s">
        <v>100</v>
      </c>
      <c r="E818" s="4" t="s">
        <v>96</v>
      </c>
      <c r="F818" s="4" t="str" cm="1">
        <f t="array" ref="F818">_xlfn.IFS(
AG818 &lt;&gt; "", "Jan-Dez/26",
AH818 &lt;&gt; "", "Fev-Dez/26",
AI818 &lt;&gt; "", "Mar-Dez/26", AJ818 &lt;&gt; "", "Abr-Dez/26",
TRUE, "A partir de Junho"
)</f>
        <v>A partir de Junho</v>
      </c>
      <c r="G818" s="4" t="s">
        <v>62</v>
      </c>
      <c r="H818" s="7" t="s">
        <v>38</v>
      </c>
      <c r="I818" s="8" t="s">
        <v>168</v>
      </c>
      <c r="J818" s="8" t="str" cm="1">
        <f t="array" aca="1" ref="J818" ca="1">_xlfn.LET(
  _xlpm.actual_value_month, INDEX(T818:AE818, MATCH(DATE(YEAR(TODAY()), MONTH(TODAY()), 1), $T$1:$AE$1, 0)),
  IF(_xlpm.actual_value_month &lt;&gt; "",_xlpm.actual_value_month &amp; " ações mensais", "")
)</f>
        <v/>
      </c>
      <c r="K818" s="8" t="str" cm="1">
        <f t="array" ref="K818">_xlfn.LET(
    _xlpm.sum_month, SUM(T818:AE818),
    IF(_xlpm.sum_month = 0, "", _xlpm.sum_month &amp; " ações no ano")
)</f>
        <v/>
      </c>
      <c r="L818" s="9" t="s">
        <v>169</v>
      </c>
      <c r="M818" s="24">
        <v>1</v>
      </c>
      <c r="N818" s="5" t="s">
        <v>42</v>
      </c>
      <c r="O818" s="5" t="s">
        <v>43</v>
      </c>
      <c r="P818" s="10" t="s">
        <v>44</v>
      </c>
      <c r="Q818" s="10" t="s">
        <v>44</v>
      </c>
      <c r="R818" s="11" t="s">
        <v>66</v>
      </c>
      <c r="S818" s="11" t="s">
        <v>67</v>
      </c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G818" s="71"/>
      <c r="AH818" s="71"/>
      <c r="AI818" s="71"/>
      <c r="AJ818" s="71"/>
      <c r="AK818" s="71"/>
      <c r="AL818" s="71"/>
      <c r="AM818" s="71"/>
      <c r="AN818" s="71"/>
      <c r="AO818" s="71"/>
      <c r="AP818" s="71"/>
      <c r="AQ818" s="71"/>
      <c r="AR818" s="71"/>
      <c r="AS818" s="94">
        <f t="shared" ca="1" si="1104"/>
        <v>0</v>
      </c>
      <c r="AT818" s="95">
        <f t="shared" si="1105"/>
        <v>0</v>
      </c>
      <c r="AU818" s="97">
        <f t="shared" si="1106"/>
        <v>0</v>
      </c>
      <c r="AW818" s="51">
        <f t="shared" si="1107"/>
        <v>0</v>
      </c>
      <c r="AX818" s="51">
        <f t="shared" si="1108"/>
        <v>0</v>
      </c>
      <c r="AY818" s="51">
        <f t="shared" si="1109"/>
        <v>0</v>
      </c>
      <c r="AZ818" s="51">
        <f t="shared" si="1110"/>
        <v>0</v>
      </c>
      <c r="BA818" s="51">
        <f t="shared" si="1087"/>
        <v>0</v>
      </c>
      <c r="BB818" s="51"/>
      <c r="BC818" s="51"/>
      <c r="BD818" s="51"/>
      <c r="BE818" s="51"/>
      <c r="BF818" s="51"/>
      <c r="BG818" s="51"/>
      <c r="BH818" s="51"/>
      <c r="BI818" s="65" cm="1">
        <f t="array" ref="BI818">IFERROR(INDEX(AW818:BH818,1,MATCH(2,1/(AW818:BH818&lt;&gt;""))),"")</f>
        <v>0</v>
      </c>
      <c r="BJ818" s="68" cm="1">
        <f t="array" ref="BJ818">IF(BM818 = "", "",IFERROR(INDEX(AW818:BH818,1,MATCH(2,1/(AW818:BH818&lt;&gt;""),1)-1),""))</f>
        <v>0</v>
      </c>
      <c r="BK818" s="58">
        <f>IF((IF(AW818&gt;=115%,115%,AW818) + IF(AX818&gt;=115%,115%,AX818) + IF(AY818&gt;=115%,115%,AY818) + (IF(AZ818&gt;=115%,115%,AZ818) + IF(BA818&gt;=115%,115%,BA818) + IF(BB818&gt;=115%,115%,BB818) + IF(BC818&gt;=115%,115%,BC818) + IF(BD818&gt;=115%,115%,BD818) + IF(BE818&gt;=115%,115%,BE818) + IF(BF818&gt;=115%,115%,BF818) + IF(BG818&gt;=115%,115%,BG818) + IF(BH818&gt;=115%,115%,BH818)))/_xlfn.XLOOKUP(F818,Apuração!A:A,Apuração!B:B)&gt;=1.15,1.15,((IF(AZ818&gt;=115%,115%,AZ818) + IF(AX818&gt;=115%,115%,AX818) + IF(AY818&gt;=115%,115%,AY818) + (IF(AW818&gt;=115%,115%,AW818) + IF(BA818&gt;=115%,115%,BA818) + IF(BB818&gt;=115%,115%,BB818) + IF(BC818&gt;=115%,115%,BC818) + IF(BD818&gt;=115%,115%,BD818) + IF(BE818&gt;=115%,115%,BE818) + IF(BF818&gt;=115%,115%,BF818) + IF(BG818&gt;=115%,115%,BG818) + IF(BH818&gt;=115%,115%,BH818)))/_xlfn.XLOOKUP(F818,Apuração!A:A,Apuração!B:B)))</f>
        <v>0</v>
      </c>
      <c r="BL818" s="58" cm="1">
        <f t="array" aca="1" ref="BL818" ca="1">IF(SUM(IFERROR(IF(INDEX(AW818:INDEX(AW818:BH818, MATCH(2, 1/(AW818:BH818&lt;&gt;""), 1)-1), ROW(INDIRECT("1:" &amp; MATCH(2, 1/(AW818:BH818&lt;&gt;""), 1)-1))) &gt;= 115%, 115%, INDEX(AW818:INDEX(AW818:BH818, MATCH(2, 1/(AW818:BH818&lt;&gt;""), 1)-1), ROW(INDIRECT("1:" &amp; MATCH(2, 1/(AW818:BH818&lt;&gt;""), 1)-1)))), 0))/_xlfn.XLOOKUP(F818,Apuração!A:A,Apuração!B:B)&gt;=1.15,1.15,SUM(IFERROR(IF(INDEX(AW818:INDEX(AW818:BH818, MATCH(2, 1/(AW818:BH818&lt;&gt;""), 1)-1), ROW(INDIRECT("1:" &amp; MATCH(2, 1/(AW818:BH818&lt;&gt;""), 1)-1))) &gt;= 115%, 115%, INDEX(AW818:INDEX(AW818:BH818, MATCH(2, 1/(AW818:BH818&lt;&gt;""), 1)-1), ROW(INDIRECT("1:" &amp; MATCH(2, 1/(AW818:BH818&lt;&gt;""), 1)-1)))), 0))/_xlfn.XLOOKUP(F818,Apuração!A:A,Apuração!B:B))</f>
        <v>0</v>
      </c>
      <c r="BM818" s="55" cm="1">
        <f t="array" ref="BM818">IFERROR(
   INDEX($AW$1:$BH$1,
      _xlfn.AGGREGATE(14, 6, COLUMN($AW$1:$BH$1)/(AW818:BH818&lt;&gt;""), 2) - COLUMN($AW$1) + 1
   ),
"")</f>
        <v>46113</v>
      </c>
      <c r="BN818" s="55" cm="1">
        <f t="array" ref="BN818">IFERROR(INDEX($AW$1:$BH$1,1,MATCH(2,1/(AW818:BH818&lt;&gt;""))),"")</f>
        <v>46143</v>
      </c>
      <c r="BO818" s="53">
        <f ca="1">IFERROR(_xlfn.XLOOKUP(F818,Apuração!A:A,Apuração!C:C)/_xlfn.XLOOKUP(F818,Apuração!A:A,Apuração!B:B),0)</f>
        <v>0</v>
      </c>
      <c r="BP818" s="53">
        <f ca="1">IFERROR(_xlfn.XLOOKUP(F818,Apuração!A:A,Apuração!D:D)/_xlfn.XLOOKUP(F818,Apuração!A:A,Apuração!B:B),0)</f>
        <v>0</v>
      </c>
      <c r="BQ818" s="53">
        <f ca="1">IF(BK818&gt;=BO818,0,_xlfn.XLOOKUP(F818,Apuração!A:A,Apuração!B:B)*(BO818 + (1/_xlfn.XLOOKUP(F818,Apuração!A:A,Apuração!B:B)) - BK818))</f>
        <v>0</v>
      </c>
      <c r="BR818" s="85">
        <f t="shared" ca="1" si="1111"/>
        <v>0</v>
      </c>
      <c r="BS818" s="53">
        <f ca="1">IFERROR((_xlfn.XLOOKUP(F818,Apuração!A:A,Apuração!C:C)+1)/_xlfn.XLOOKUP(F818,Apuração!A:A,Apuração!B:B),0)</f>
        <v>0.14285714285714285</v>
      </c>
    </row>
    <row r="819" spans="1:71" ht="25.95" hidden="1" customHeight="1" x14ac:dyDescent="0.3">
      <c r="A819" s="23" t="s">
        <v>134</v>
      </c>
      <c r="B819" s="4" t="s">
        <v>174</v>
      </c>
      <c r="C819" s="5" t="s">
        <v>97</v>
      </c>
      <c r="D819" s="5" t="s">
        <v>101</v>
      </c>
      <c r="E819" s="4" t="s">
        <v>96</v>
      </c>
      <c r="F819" s="4" t="str" cm="1">
        <f t="array" ref="F819">_xlfn.IFS(
AG819 &lt;&gt; "", "Jan-Dez/26",
AH819 &lt;&gt; "", "Fev-Dez/26",
AI819 &lt;&gt; "", "Mar-Dez/26", AJ819 &lt;&gt; "", "Abr-Dez/26",
TRUE, "A partir de Junho"
)</f>
        <v>A partir de Junho</v>
      </c>
      <c r="G819" s="4" t="s">
        <v>62</v>
      </c>
      <c r="H819" s="7" t="s">
        <v>38</v>
      </c>
      <c r="I819" s="8" t="s">
        <v>168</v>
      </c>
      <c r="J819" s="8" t="str" cm="1">
        <f t="array" aca="1" ref="J819" ca="1">_xlfn.LET(
  _xlpm.actual_value_month, INDEX(T819:AE819, MATCH(DATE(YEAR(TODAY()), MONTH(TODAY()), 1), $T$1:$AE$1, 0)),
  IF(_xlpm.actual_value_month &lt;&gt; "",_xlpm.actual_value_month &amp; " ações mensais", "")
)</f>
        <v/>
      </c>
      <c r="K819" s="8" t="str" cm="1">
        <f t="array" ref="K819">_xlfn.LET(
    _xlpm.sum_month, SUM(T819:AE819),
    IF(_xlpm.sum_month = 0, "", _xlpm.sum_month &amp; " ações no ano")
)</f>
        <v/>
      </c>
      <c r="L819" s="9" t="s">
        <v>169</v>
      </c>
      <c r="M819" s="24">
        <v>1</v>
      </c>
      <c r="N819" s="5" t="s">
        <v>42</v>
      </c>
      <c r="O819" s="5" t="s">
        <v>43</v>
      </c>
      <c r="P819" s="10" t="s">
        <v>44</v>
      </c>
      <c r="Q819" s="10" t="s">
        <v>44</v>
      </c>
      <c r="R819" s="11" t="s">
        <v>66</v>
      </c>
      <c r="S819" s="11" t="s">
        <v>67</v>
      </c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G819" s="71"/>
      <c r="AH819" s="71"/>
      <c r="AI819" s="71"/>
      <c r="AJ819" s="71"/>
      <c r="AK819" s="71"/>
      <c r="AL819" s="71"/>
      <c r="AM819" s="71"/>
      <c r="AN819" s="71"/>
      <c r="AO819" s="71"/>
      <c r="AP819" s="71"/>
      <c r="AQ819" s="71"/>
      <c r="AR819" s="71"/>
      <c r="AS819" s="94">
        <f t="shared" ca="1" si="1104"/>
        <v>0</v>
      </c>
      <c r="AT819" s="95">
        <f t="shared" si="1105"/>
        <v>0</v>
      </c>
      <c r="AU819" s="97">
        <f t="shared" si="1106"/>
        <v>0</v>
      </c>
      <c r="AW819" s="51">
        <f t="shared" si="1107"/>
        <v>0</v>
      </c>
      <c r="AX819" s="51">
        <f t="shared" si="1108"/>
        <v>0</v>
      </c>
      <c r="AY819" s="51">
        <f t="shared" si="1109"/>
        <v>0</v>
      </c>
      <c r="AZ819" s="51">
        <f t="shared" si="1110"/>
        <v>0</v>
      </c>
      <c r="BA819" s="51">
        <f t="shared" si="1087"/>
        <v>0</v>
      </c>
      <c r="BB819" s="51"/>
      <c r="BC819" s="51"/>
      <c r="BD819" s="51"/>
      <c r="BE819" s="51"/>
      <c r="BF819" s="51"/>
      <c r="BG819" s="51"/>
      <c r="BH819" s="51"/>
      <c r="BI819" s="65" cm="1">
        <f t="array" ref="BI819">IFERROR(INDEX(AW819:BH819,1,MATCH(2,1/(AW819:BH819&lt;&gt;""))),"")</f>
        <v>0</v>
      </c>
      <c r="BJ819" s="68" cm="1">
        <f t="array" ref="BJ819">IF(BM819 = "", "",IFERROR(INDEX(AW819:BH819,1,MATCH(2,1/(AW819:BH819&lt;&gt;""),1)-1),""))</f>
        <v>0</v>
      </c>
      <c r="BK819" s="58">
        <f>IF((IF(AW819&gt;=115%,115%,AW819) + IF(AX819&gt;=115%,115%,AX819) + IF(AY819&gt;=115%,115%,AY819) + (IF(AZ819&gt;=115%,115%,AZ819) + IF(BA819&gt;=115%,115%,BA819) + IF(BB819&gt;=115%,115%,BB819) + IF(BC819&gt;=115%,115%,BC819) + IF(BD819&gt;=115%,115%,BD819) + IF(BE819&gt;=115%,115%,BE819) + IF(BF819&gt;=115%,115%,BF819) + IF(BG819&gt;=115%,115%,BG819) + IF(BH819&gt;=115%,115%,BH819)))/_xlfn.XLOOKUP(F819,Apuração!A:A,Apuração!B:B)&gt;=1.15,1.15,((IF(AZ819&gt;=115%,115%,AZ819) + IF(AX819&gt;=115%,115%,AX819) + IF(AY819&gt;=115%,115%,AY819) + (IF(AW819&gt;=115%,115%,AW819) + IF(BA819&gt;=115%,115%,BA819) + IF(BB819&gt;=115%,115%,BB819) + IF(BC819&gt;=115%,115%,BC819) + IF(BD819&gt;=115%,115%,BD819) + IF(BE819&gt;=115%,115%,BE819) + IF(BF819&gt;=115%,115%,BF819) + IF(BG819&gt;=115%,115%,BG819) + IF(BH819&gt;=115%,115%,BH819)))/_xlfn.XLOOKUP(F819,Apuração!A:A,Apuração!B:B)))</f>
        <v>0</v>
      </c>
      <c r="BL819" s="58" cm="1">
        <f t="array" aca="1" ref="BL819" ca="1">IF(SUM(IFERROR(IF(INDEX(AW819:INDEX(AW819:BH819, MATCH(2, 1/(AW819:BH819&lt;&gt;""), 1)-1), ROW(INDIRECT("1:" &amp; MATCH(2, 1/(AW819:BH819&lt;&gt;""), 1)-1))) &gt;= 115%, 115%, INDEX(AW819:INDEX(AW819:BH819, MATCH(2, 1/(AW819:BH819&lt;&gt;""), 1)-1), ROW(INDIRECT("1:" &amp; MATCH(2, 1/(AW819:BH819&lt;&gt;""), 1)-1)))), 0))/_xlfn.XLOOKUP(F819,Apuração!A:A,Apuração!B:B)&gt;=1.15,1.15,SUM(IFERROR(IF(INDEX(AW819:INDEX(AW819:BH819, MATCH(2, 1/(AW819:BH819&lt;&gt;""), 1)-1), ROW(INDIRECT("1:" &amp; MATCH(2, 1/(AW819:BH819&lt;&gt;""), 1)-1))) &gt;= 115%, 115%, INDEX(AW819:INDEX(AW819:BH819, MATCH(2, 1/(AW819:BH819&lt;&gt;""), 1)-1), ROW(INDIRECT("1:" &amp; MATCH(2, 1/(AW819:BH819&lt;&gt;""), 1)-1)))), 0))/_xlfn.XLOOKUP(F819,Apuração!A:A,Apuração!B:B))</f>
        <v>0</v>
      </c>
      <c r="BM819" s="55" cm="1">
        <f t="array" ref="BM819">IFERROR(
   INDEX($AW$1:$BH$1,
      _xlfn.AGGREGATE(14, 6, COLUMN($AW$1:$BH$1)/(AW819:BH819&lt;&gt;""), 2) - COLUMN($AW$1) + 1
   ),
"")</f>
        <v>46113</v>
      </c>
      <c r="BN819" s="55" cm="1">
        <f t="array" ref="BN819">IFERROR(INDEX($AW$1:$BH$1,1,MATCH(2,1/(AW819:BH819&lt;&gt;""))),"")</f>
        <v>46143</v>
      </c>
      <c r="BO819" s="53">
        <f ca="1">IFERROR(_xlfn.XLOOKUP(F819,Apuração!A:A,Apuração!C:C)/_xlfn.XLOOKUP(F819,Apuração!A:A,Apuração!B:B),0)</f>
        <v>0</v>
      </c>
      <c r="BP819" s="53">
        <f ca="1">IFERROR(_xlfn.XLOOKUP(F819,Apuração!A:A,Apuração!D:D)/_xlfn.XLOOKUP(F819,Apuração!A:A,Apuração!B:B),0)</f>
        <v>0</v>
      </c>
      <c r="BQ819" s="53">
        <f ca="1">IF(BK819&gt;=BO819,0,_xlfn.XLOOKUP(F819,Apuração!A:A,Apuração!B:B)*(BO819 + (1/_xlfn.XLOOKUP(F819,Apuração!A:A,Apuração!B:B)) - BK819))</f>
        <v>0</v>
      </c>
      <c r="BR819" s="85">
        <f t="shared" ca="1" si="1111"/>
        <v>0</v>
      </c>
      <c r="BS819" s="53">
        <f ca="1">IFERROR((_xlfn.XLOOKUP(F819,Apuração!A:A,Apuração!C:C)+1)/_xlfn.XLOOKUP(F819,Apuração!A:A,Apuração!B:B),0)</f>
        <v>0.14285714285714285</v>
      </c>
    </row>
    <row r="820" spans="1:71" ht="25.95" hidden="1" customHeight="1" x14ac:dyDescent="0.3">
      <c r="A820" s="23" t="s">
        <v>134</v>
      </c>
      <c r="B820" s="4" t="s">
        <v>174</v>
      </c>
      <c r="C820" s="5" t="s">
        <v>97</v>
      </c>
      <c r="D820" s="5" t="s">
        <v>102</v>
      </c>
      <c r="E820" s="4" t="s">
        <v>96</v>
      </c>
      <c r="F820" s="4" t="str" cm="1">
        <f t="array" ref="F820">_xlfn.IFS(
AG820 &lt;&gt; "", "Jan-Dez/26",
AH820 &lt;&gt; "", "Fev-Dez/26",
AI820 &lt;&gt; "", "Mar-Dez/26", AJ820 &lt;&gt; "", "Abr-Dez/26",
TRUE, "A partir de Junho"
)</f>
        <v>A partir de Junho</v>
      </c>
      <c r="G820" s="4" t="s">
        <v>62</v>
      </c>
      <c r="H820" s="7" t="s">
        <v>38</v>
      </c>
      <c r="I820" s="8" t="s">
        <v>168</v>
      </c>
      <c r="J820" s="8" t="str" cm="1">
        <f t="array" aca="1" ref="J820" ca="1">_xlfn.LET(
  _xlpm.actual_value_month, INDEX(T820:AE820, MATCH(DATE(YEAR(TODAY()), MONTH(TODAY()), 1), $T$1:$AE$1, 0)),
  IF(_xlpm.actual_value_month &lt;&gt; "",_xlpm.actual_value_month &amp; " ações mensais", "")
)</f>
        <v/>
      </c>
      <c r="K820" s="8" t="str" cm="1">
        <f t="array" ref="K820">_xlfn.LET(
    _xlpm.sum_month, SUM(T820:AE820),
    IF(_xlpm.sum_month = 0, "", _xlpm.sum_month &amp; " ações no ano")
)</f>
        <v/>
      </c>
      <c r="L820" s="9" t="s">
        <v>169</v>
      </c>
      <c r="M820" s="24">
        <v>1</v>
      </c>
      <c r="N820" s="5" t="s">
        <v>42</v>
      </c>
      <c r="O820" s="5" t="s">
        <v>43</v>
      </c>
      <c r="P820" s="10" t="s">
        <v>44</v>
      </c>
      <c r="Q820" s="10" t="s">
        <v>44</v>
      </c>
      <c r="R820" s="11" t="s">
        <v>66</v>
      </c>
      <c r="S820" s="11" t="s">
        <v>67</v>
      </c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G820" s="71"/>
      <c r="AH820" s="71"/>
      <c r="AI820" s="71"/>
      <c r="AJ820" s="71"/>
      <c r="AK820" s="71"/>
      <c r="AL820" s="71"/>
      <c r="AM820" s="71"/>
      <c r="AN820" s="71"/>
      <c r="AO820" s="71"/>
      <c r="AP820" s="71"/>
      <c r="AQ820" s="71"/>
      <c r="AR820" s="71"/>
      <c r="AS820" s="94">
        <f t="shared" ca="1" si="1104"/>
        <v>0</v>
      </c>
      <c r="AT820" s="95">
        <f t="shared" si="1105"/>
        <v>0</v>
      </c>
      <c r="AU820" s="97">
        <f t="shared" si="1106"/>
        <v>0</v>
      </c>
      <c r="AW820" s="51">
        <f t="shared" si="1107"/>
        <v>0</v>
      </c>
      <c r="AX820" s="51">
        <f t="shared" si="1108"/>
        <v>0</v>
      </c>
      <c r="AY820" s="51">
        <f t="shared" si="1109"/>
        <v>0</v>
      </c>
      <c r="AZ820" s="51">
        <f t="shared" si="1110"/>
        <v>0</v>
      </c>
      <c r="BA820" s="51">
        <f t="shared" si="1087"/>
        <v>0</v>
      </c>
      <c r="BB820" s="51"/>
      <c r="BC820" s="51"/>
      <c r="BD820" s="51"/>
      <c r="BE820" s="51"/>
      <c r="BF820" s="51"/>
      <c r="BG820" s="51"/>
      <c r="BH820" s="51"/>
      <c r="BI820" s="65" cm="1">
        <f t="array" ref="BI820">IFERROR(INDEX(AW820:BH820,1,MATCH(2,1/(AW820:BH820&lt;&gt;""))),"")</f>
        <v>0</v>
      </c>
      <c r="BJ820" s="68" cm="1">
        <f t="array" ref="BJ820">IF(BM820 = "", "",IFERROR(INDEX(AW820:BH820,1,MATCH(2,1/(AW820:BH820&lt;&gt;""),1)-1),""))</f>
        <v>0</v>
      </c>
      <c r="BK820" s="58">
        <f>IF((IF(AW820&gt;=115%,115%,AW820) + IF(AX820&gt;=115%,115%,AX820) + IF(AY820&gt;=115%,115%,AY820) + (IF(AZ820&gt;=115%,115%,AZ820) + IF(BA820&gt;=115%,115%,BA820) + IF(BB820&gt;=115%,115%,BB820) + IF(BC820&gt;=115%,115%,BC820) + IF(BD820&gt;=115%,115%,BD820) + IF(BE820&gt;=115%,115%,BE820) + IF(BF820&gt;=115%,115%,BF820) + IF(BG820&gt;=115%,115%,BG820) + IF(BH820&gt;=115%,115%,BH820)))/_xlfn.XLOOKUP(F820,Apuração!A:A,Apuração!B:B)&gt;=1.15,1.15,((IF(AZ820&gt;=115%,115%,AZ820) + IF(AX820&gt;=115%,115%,AX820) + IF(AY820&gt;=115%,115%,AY820) + (IF(AW820&gt;=115%,115%,AW820) + IF(BA820&gt;=115%,115%,BA820) + IF(BB820&gt;=115%,115%,BB820) + IF(BC820&gt;=115%,115%,BC820) + IF(BD820&gt;=115%,115%,BD820) + IF(BE820&gt;=115%,115%,BE820) + IF(BF820&gt;=115%,115%,BF820) + IF(BG820&gt;=115%,115%,BG820) + IF(BH820&gt;=115%,115%,BH820)))/_xlfn.XLOOKUP(F820,Apuração!A:A,Apuração!B:B)))</f>
        <v>0</v>
      </c>
      <c r="BL820" s="58" cm="1">
        <f t="array" aca="1" ref="BL820" ca="1">IF(SUM(IFERROR(IF(INDEX(AW820:INDEX(AW820:BH820, MATCH(2, 1/(AW820:BH820&lt;&gt;""), 1)-1), ROW(INDIRECT("1:" &amp; MATCH(2, 1/(AW820:BH820&lt;&gt;""), 1)-1))) &gt;= 115%, 115%, INDEX(AW820:INDEX(AW820:BH820, MATCH(2, 1/(AW820:BH820&lt;&gt;""), 1)-1), ROW(INDIRECT("1:" &amp; MATCH(2, 1/(AW820:BH820&lt;&gt;""), 1)-1)))), 0))/_xlfn.XLOOKUP(F820,Apuração!A:A,Apuração!B:B)&gt;=1.15,1.15,SUM(IFERROR(IF(INDEX(AW820:INDEX(AW820:BH820, MATCH(2, 1/(AW820:BH820&lt;&gt;""), 1)-1), ROW(INDIRECT("1:" &amp; MATCH(2, 1/(AW820:BH820&lt;&gt;""), 1)-1))) &gt;= 115%, 115%, INDEX(AW820:INDEX(AW820:BH820, MATCH(2, 1/(AW820:BH820&lt;&gt;""), 1)-1), ROW(INDIRECT("1:" &amp; MATCH(2, 1/(AW820:BH820&lt;&gt;""), 1)-1)))), 0))/_xlfn.XLOOKUP(F820,Apuração!A:A,Apuração!B:B))</f>
        <v>0</v>
      </c>
      <c r="BM820" s="55" cm="1">
        <f t="array" ref="BM820">IFERROR(
   INDEX($AW$1:$BH$1,
      _xlfn.AGGREGATE(14, 6, COLUMN($AW$1:$BH$1)/(AW820:BH820&lt;&gt;""), 2) - COLUMN($AW$1) + 1
   ),
"")</f>
        <v>46113</v>
      </c>
      <c r="BN820" s="55" cm="1">
        <f t="array" ref="BN820">IFERROR(INDEX($AW$1:$BH$1,1,MATCH(2,1/(AW820:BH820&lt;&gt;""))),"")</f>
        <v>46143</v>
      </c>
      <c r="BO820" s="53">
        <f ca="1">IFERROR(_xlfn.XLOOKUP(F820,Apuração!A:A,Apuração!C:C)/_xlfn.XLOOKUP(F820,Apuração!A:A,Apuração!B:B),0)</f>
        <v>0</v>
      </c>
      <c r="BP820" s="53">
        <f ca="1">IFERROR(_xlfn.XLOOKUP(F820,Apuração!A:A,Apuração!D:D)/_xlfn.XLOOKUP(F820,Apuração!A:A,Apuração!B:B),0)</f>
        <v>0</v>
      </c>
      <c r="BQ820" s="53">
        <f ca="1">IF(BK820&gt;=BO820,0,_xlfn.XLOOKUP(F820,Apuração!A:A,Apuração!B:B)*(BO820 + (1/_xlfn.XLOOKUP(F820,Apuração!A:A,Apuração!B:B)) - BK820))</f>
        <v>0</v>
      </c>
      <c r="BR820" s="85">
        <f t="shared" ca="1" si="1111"/>
        <v>0</v>
      </c>
      <c r="BS820" s="53">
        <f ca="1">IFERROR((_xlfn.XLOOKUP(F820,Apuração!A:A,Apuração!C:C)+1)/_xlfn.XLOOKUP(F820,Apuração!A:A,Apuração!B:B),0)</f>
        <v>0.14285714285714285</v>
      </c>
    </row>
    <row r="821" spans="1:71" ht="25.95" hidden="1" customHeight="1" x14ac:dyDescent="0.3">
      <c r="A821" s="23" t="s">
        <v>134</v>
      </c>
      <c r="B821" s="4" t="s">
        <v>174</v>
      </c>
      <c r="C821" s="5" t="s">
        <v>97</v>
      </c>
      <c r="D821" s="5" t="s">
        <v>103</v>
      </c>
      <c r="E821" s="4" t="s">
        <v>96</v>
      </c>
      <c r="F821" s="4" t="str" cm="1">
        <f t="array" ref="F821">_xlfn.IFS(
AG821 &lt;&gt; "", "Jan-Dez/26",
AH821 &lt;&gt; "", "Fev-Dez/26",
AI821 &lt;&gt; "", "Mar-Dez/26", AJ821 &lt;&gt; "", "Abr-Dez/26",
TRUE, "A partir de Junho"
)</f>
        <v>A partir de Junho</v>
      </c>
      <c r="G821" s="4" t="s">
        <v>62</v>
      </c>
      <c r="H821" s="7" t="s">
        <v>38</v>
      </c>
      <c r="I821" s="8" t="s">
        <v>168</v>
      </c>
      <c r="J821" s="8" t="str" cm="1">
        <f t="array" aca="1" ref="J821" ca="1">_xlfn.LET(
  _xlpm.actual_value_month, INDEX(T821:AE821, MATCH(DATE(YEAR(TODAY()), MONTH(TODAY()), 1), $T$1:$AE$1, 0)),
  IF(_xlpm.actual_value_month &lt;&gt; "",_xlpm.actual_value_month &amp; " ações mensais", "")
)</f>
        <v/>
      </c>
      <c r="K821" s="8" t="str" cm="1">
        <f t="array" ref="K821">_xlfn.LET(
    _xlpm.sum_month, SUM(T821:AE821),
    IF(_xlpm.sum_month = 0, "", _xlpm.sum_month &amp; " ações no ano")
)</f>
        <v/>
      </c>
      <c r="L821" s="9" t="s">
        <v>169</v>
      </c>
      <c r="M821" s="24">
        <v>1</v>
      </c>
      <c r="N821" s="5" t="s">
        <v>42</v>
      </c>
      <c r="O821" s="5" t="s">
        <v>43</v>
      </c>
      <c r="P821" s="10" t="s">
        <v>44</v>
      </c>
      <c r="Q821" s="10" t="s">
        <v>44</v>
      </c>
      <c r="R821" s="11" t="s">
        <v>66</v>
      </c>
      <c r="S821" s="11" t="s">
        <v>67</v>
      </c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G821" s="71"/>
      <c r="AH821" s="71"/>
      <c r="AI821" s="71"/>
      <c r="AJ821" s="71"/>
      <c r="AK821" s="71"/>
      <c r="AL821" s="71"/>
      <c r="AM821" s="71"/>
      <c r="AN821" s="71"/>
      <c r="AO821" s="71"/>
      <c r="AP821" s="71"/>
      <c r="AQ821" s="71"/>
      <c r="AR821" s="71"/>
      <c r="AS821" s="94">
        <f t="shared" ca="1" si="1104"/>
        <v>0</v>
      </c>
      <c r="AT821" s="95">
        <f t="shared" si="1105"/>
        <v>0</v>
      </c>
      <c r="AU821" s="97">
        <f t="shared" si="1106"/>
        <v>0</v>
      </c>
      <c r="AW821" s="51">
        <f t="shared" si="1107"/>
        <v>0</v>
      </c>
      <c r="AX821" s="51">
        <f t="shared" si="1108"/>
        <v>0</v>
      </c>
      <c r="AY821" s="51">
        <f t="shared" si="1109"/>
        <v>0</v>
      </c>
      <c r="AZ821" s="51">
        <f t="shared" si="1110"/>
        <v>0</v>
      </c>
      <c r="BA821" s="51">
        <f t="shared" si="1087"/>
        <v>0</v>
      </c>
      <c r="BB821" s="51"/>
      <c r="BC821" s="51"/>
      <c r="BD821" s="51"/>
      <c r="BE821" s="51"/>
      <c r="BF821" s="51"/>
      <c r="BG821" s="51"/>
      <c r="BH821" s="51"/>
      <c r="BI821" s="65" cm="1">
        <f t="array" ref="BI821">IFERROR(INDEX(AW821:BH821,1,MATCH(2,1/(AW821:BH821&lt;&gt;""))),"")</f>
        <v>0</v>
      </c>
      <c r="BJ821" s="68" cm="1">
        <f t="array" ref="BJ821">IF(BM821 = "", "",IFERROR(INDEX(AW821:BH821,1,MATCH(2,1/(AW821:BH821&lt;&gt;""),1)-1),""))</f>
        <v>0</v>
      </c>
      <c r="BK821" s="58">
        <f>IF((IF(AW821&gt;=115%,115%,AW821) + IF(AX821&gt;=115%,115%,AX821) + IF(AY821&gt;=115%,115%,AY821) + (IF(AZ821&gt;=115%,115%,AZ821) + IF(BA821&gt;=115%,115%,BA821) + IF(BB821&gt;=115%,115%,BB821) + IF(BC821&gt;=115%,115%,BC821) + IF(BD821&gt;=115%,115%,BD821) + IF(BE821&gt;=115%,115%,BE821) + IF(BF821&gt;=115%,115%,BF821) + IF(BG821&gt;=115%,115%,BG821) + IF(BH821&gt;=115%,115%,BH821)))/_xlfn.XLOOKUP(F821,Apuração!A:A,Apuração!B:B)&gt;=1.15,1.15,((IF(AZ821&gt;=115%,115%,AZ821) + IF(AX821&gt;=115%,115%,AX821) + IF(AY821&gt;=115%,115%,AY821) + (IF(AW821&gt;=115%,115%,AW821) + IF(BA821&gt;=115%,115%,BA821) + IF(BB821&gt;=115%,115%,BB821) + IF(BC821&gt;=115%,115%,BC821) + IF(BD821&gt;=115%,115%,BD821) + IF(BE821&gt;=115%,115%,BE821) + IF(BF821&gt;=115%,115%,BF821) + IF(BG821&gt;=115%,115%,BG821) + IF(BH821&gt;=115%,115%,BH821)))/_xlfn.XLOOKUP(F821,Apuração!A:A,Apuração!B:B)))</f>
        <v>0</v>
      </c>
      <c r="BL821" s="58" cm="1">
        <f t="array" aca="1" ref="BL821" ca="1">IF(SUM(IFERROR(IF(INDEX(AW821:INDEX(AW821:BH821, MATCH(2, 1/(AW821:BH821&lt;&gt;""), 1)-1), ROW(INDIRECT("1:" &amp; MATCH(2, 1/(AW821:BH821&lt;&gt;""), 1)-1))) &gt;= 115%, 115%, INDEX(AW821:INDEX(AW821:BH821, MATCH(2, 1/(AW821:BH821&lt;&gt;""), 1)-1), ROW(INDIRECT("1:" &amp; MATCH(2, 1/(AW821:BH821&lt;&gt;""), 1)-1)))), 0))/_xlfn.XLOOKUP(F821,Apuração!A:A,Apuração!B:B)&gt;=1.15,1.15,SUM(IFERROR(IF(INDEX(AW821:INDEX(AW821:BH821, MATCH(2, 1/(AW821:BH821&lt;&gt;""), 1)-1), ROW(INDIRECT("1:" &amp; MATCH(2, 1/(AW821:BH821&lt;&gt;""), 1)-1))) &gt;= 115%, 115%, INDEX(AW821:INDEX(AW821:BH821, MATCH(2, 1/(AW821:BH821&lt;&gt;""), 1)-1), ROW(INDIRECT("1:" &amp; MATCH(2, 1/(AW821:BH821&lt;&gt;""), 1)-1)))), 0))/_xlfn.XLOOKUP(F821,Apuração!A:A,Apuração!B:B))</f>
        <v>0</v>
      </c>
      <c r="BM821" s="55" cm="1">
        <f t="array" ref="BM821">IFERROR(
   INDEX($AW$1:$BH$1,
      _xlfn.AGGREGATE(14, 6, COLUMN($AW$1:$BH$1)/(AW821:BH821&lt;&gt;""), 2) - COLUMN($AW$1) + 1
   ),
"")</f>
        <v>46113</v>
      </c>
      <c r="BN821" s="55" cm="1">
        <f t="array" ref="BN821">IFERROR(INDEX($AW$1:$BH$1,1,MATCH(2,1/(AW821:BH821&lt;&gt;""))),"")</f>
        <v>46143</v>
      </c>
      <c r="BO821" s="53">
        <f ca="1">IFERROR(_xlfn.XLOOKUP(F821,Apuração!A:A,Apuração!C:C)/_xlfn.XLOOKUP(F821,Apuração!A:A,Apuração!B:B),0)</f>
        <v>0</v>
      </c>
      <c r="BP821" s="53">
        <f ca="1">IFERROR(_xlfn.XLOOKUP(F821,Apuração!A:A,Apuração!D:D)/_xlfn.XLOOKUP(F821,Apuração!A:A,Apuração!B:B),0)</f>
        <v>0</v>
      </c>
      <c r="BQ821" s="53">
        <f ca="1">IF(BK821&gt;=BO821,0,_xlfn.XLOOKUP(F821,Apuração!A:A,Apuração!B:B)*(BO821 + (1/_xlfn.XLOOKUP(F821,Apuração!A:A,Apuração!B:B)) - BK821))</f>
        <v>0</v>
      </c>
      <c r="BR821" s="85">
        <f t="shared" ca="1" si="1111"/>
        <v>0</v>
      </c>
      <c r="BS821" s="53">
        <f ca="1">IFERROR((_xlfn.XLOOKUP(F821,Apuração!A:A,Apuração!C:C)+1)/_xlfn.XLOOKUP(F821,Apuração!A:A,Apuração!B:B),0)</f>
        <v>0.14285714285714285</v>
      </c>
    </row>
    <row r="822" spans="1:71" ht="25.95" hidden="1" customHeight="1" x14ac:dyDescent="0.3">
      <c r="A822" s="23" t="s">
        <v>134</v>
      </c>
      <c r="B822" s="4" t="s">
        <v>174</v>
      </c>
      <c r="C822" s="5" t="s">
        <v>97</v>
      </c>
      <c r="D822" s="5" t="s">
        <v>104</v>
      </c>
      <c r="E822" s="4" t="s">
        <v>96</v>
      </c>
      <c r="F822" s="4" t="str" cm="1">
        <f t="array" ref="F822">_xlfn.IFS(
AG822 &lt;&gt; "", "Jan-Dez/26",
AH822 &lt;&gt; "", "Fev-Dez/26",
AI822 &lt;&gt; "", "Mar-Dez/26", AJ822 &lt;&gt; "", "Abr-Dez/26",
TRUE, "A partir de Junho"
)</f>
        <v>A partir de Junho</v>
      </c>
      <c r="G822" s="4" t="s">
        <v>62</v>
      </c>
      <c r="H822" s="7" t="s">
        <v>38</v>
      </c>
      <c r="I822" s="8" t="s">
        <v>168</v>
      </c>
      <c r="J822" s="8" t="str" cm="1">
        <f t="array" aca="1" ref="J822" ca="1">_xlfn.LET(
  _xlpm.actual_value_month, INDEX(T822:AE822, MATCH(DATE(YEAR(TODAY()), MONTH(TODAY()), 1), $T$1:$AE$1, 0)),
  IF(_xlpm.actual_value_month &lt;&gt; "",_xlpm.actual_value_month &amp; " ações mensais", "")
)</f>
        <v/>
      </c>
      <c r="K822" s="8" t="str" cm="1">
        <f t="array" ref="K822">_xlfn.LET(
    _xlpm.sum_month, SUM(T822:AE822),
    IF(_xlpm.sum_month = 0, "", _xlpm.sum_month &amp; " ações no ano")
)</f>
        <v/>
      </c>
      <c r="L822" s="9" t="s">
        <v>169</v>
      </c>
      <c r="M822" s="24">
        <v>1</v>
      </c>
      <c r="N822" s="5" t="s">
        <v>42</v>
      </c>
      <c r="O822" s="5" t="s">
        <v>43</v>
      </c>
      <c r="P822" s="10" t="s">
        <v>44</v>
      </c>
      <c r="Q822" s="10" t="s">
        <v>44</v>
      </c>
      <c r="R822" s="11" t="s">
        <v>66</v>
      </c>
      <c r="S822" s="11" t="s">
        <v>67</v>
      </c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G822" s="71"/>
      <c r="AH822" s="71"/>
      <c r="AI822" s="71"/>
      <c r="AJ822" s="71"/>
      <c r="AK822" s="71"/>
      <c r="AL822" s="71"/>
      <c r="AM822" s="71"/>
      <c r="AN822" s="71"/>
      <c r="AO822" s="71"/>
      <c r="AP822" s="71"/>
      <c r="AQ822" s="71"/>
      <c r="AR822" s="71"/>
      <c r="AS822" s="94">
        <f t="shared" ca="1" si="1104"/>
        <v>0</v>
      </c>
      <c r="AT822" s="95">
        <f t="shared" si="1105"/>
        <v>0</v>
      </c>
      <c r="AU822" s="97">
        <f t="shared" si="1106"/>
        <v>0</v>
      </c>
      <c r="AW822" s="51">
        <f t="shared" si="1107"/>
        <v>0</v>
      </c>
      <c r="AX822" s="51">
        <f t="shared" si="1108"/>
        <v>0</v>
      </c>
      <c r="AY822" s="51">
        <f t="shared" si="1109"/>
        <v>0</v>
      </c>
      <c r="AZ822" s="51">
        <f t="shared" si="1110"/>
        <v>0</v>
      </c>
      <c r="BA822" s="51">
        <f t="shared" si="1087"/>
        <v>0</v>
      </c>
      <c r="BB822" s="51"/>
      <c r="BC822" s="51"/>
      <c r="BD822" s="51"/>
      <c r="BE822" s="51"/>
      <c r="BF822" s="51"/>
      <c r="BG822" s="51"/>
      <c r="BH822" s="51"/>
      <c r="BI822" s="65" cm="1">
        <f t="array" ref="BI822">IFERROR(INDEX(AW822:BH822,1,MATCH(2,1/(AW822:BH822&lt;&gt;""))),"")</f>
        <v>0</v>
      </c>
      <c r="BJ822" s="68" cm="1">
        <f t="array" ref="BJ822">IF(BM822 = "", "",IFERROR(INDEX(AW822:BH822,1,MATCH(2,1/(AW822:BH822&lt;&gt;""),1)-1),""))</f>
        <v>0</v>
      </c>
      <c r="BK822" s="58">
        <f>IF((IF(AW822&gt;=115%,115%,AW822) + IF(AX822&gt;=115%,115%,AX822) + IF(AY822&gt;=115%,115%,AY822) + (IF(AZ822&gt;=115%,115%,AZ822) + IF(BA822&gt;=115%,115%,BA822) + IF(BB822&gt;=115%,115%,BB822) + IF(BC822&gt;=115%,115%,BC822) + IF(BD822&gt;=115%,115%,BD822) + IF(BE822&gt;=115%,115%,BE822) + IF(BF822&gt;=115%,115%,BF822) + IF(BG822&gt;=115%,115%,BG822) + IF(BH822&gt;=115%,115%,BH822)))/_xlfn.XLOOKUP(F822,Apuração!A:A,Apuração!B:B)&gt;=1.15,1.15,((IF(AZ822&gt;=115%,115%,AZ822) + IF(AX822&gt;=115%,115%,AX822) + IF(AY822&gt;=115%,115%,AY822) + (IF(AW822&gt;=115%,115%,AW822) + IF(BA822&gt;=115%,115%,BA822) + IF(BB822&gt;=115%,115%,BB822) + IF(BC822&gt;=115%,115%,BC822) + IF(BD822&gt;=115%,115%,BD822) + IF(BE822&gt;=115%,115%,BE822) + IF(BF822&gt;=115%,115%,BF822) + IF(BG822&gt;=115%,115%,BG822) + IF(BH822&gt;=115%,115%,BH822)))/_xlfn.XLOOKUP(F822,Apuração!A:A,Apuração!B:B)))</f>
        <v>0</v>
      </c>
      <c r="BL822" s="58" cm="1">
        <f t="array" aca="1" ref="BL822" ca="1">IF(SUM(IFERROR(IF(INDEX(AW822:INDEX(AW822:BH822, MATCH(2, 1/(AW822:BH822&lt;&gt;""), 1)-1), ROW(INDIRECT("1:" &amp; MATCH(2, 1/(AW822:BH822&lt;&gt;""), 1)-1))) &gt;= 115%, 115%, INDEX(AW822:INDEX(AW822:BH822, MATCH(2, 1/(AW822:BH822&lt;&gt;""), 1)-1), ROW(INDIRECT("1:" &amp; MATCH(2, 1/(AW822:BH822&lt;&gt;""), 1)-1)))), 0))/_xlfn.XLOOKUP(F822,Apuração!A:A,Apuração!B:B)&gt;=1.15,1.15,SUM(IFERROR(IF(INDEX(AW822:INDEX(AW822:BH822, MATCH(2, 1/(AW822:BH822&lt;&gt;""), 1)-1), ROW(INDIRECT("1:" &amp; MATCH(2, 1/(AW822:BH822&lt;&gt;""), 1)-1))) &gt;= 115%, 115%, INDEX(AW822:INDEX(AW822:BH822, MATCH(2, 1/(AW822:BH822&lt;&gt;""), 1)-1), ROW(INDIRECT("1:" &amp; MATCH(2, 1/(AW822:BH822&lt;&gt;""), 1)-1)))), 0))/_xlfn.XLOOKUP(F822,Apuração!A:A,Apuração!B:B))</f>
        <v>0</v>
      </c>
      <c r="BM822" s="55" cm="1">
        <f t="array" ref="BM822">IFERROR(
   INDEX($AW$1:$BH$1,
      _xlfn.AGGREGATE(14, 6, COLUMN($AW$1:$BH$1)/(AW822:BH822&lt;&gt;""), 2) - COLUMN($AW$1) + 1
   ),
"")</f>
        <v>46113</v>
      </c>
      <c r="BN822" s="55" cm="1">
        <f t="array" ref="BN822">IFERROR(INDEX($AW$1:$BH$1,1,MATCH(2,1/(AW822:BH822&lt;&gt;""))),"")</f>
        <v>46143</v>
      </c>
      <c r="BO822" s="53">
        <f ca="1">IFERROR(_xlfn.XLOOKUP(F822,Apuração!A:A,Apuração!C:C)/_xlfn.XLOOKUP(F822,Apuração!A:A,Apuração!B:B),0)</f>
        <v>0</v>
      </c>
      <c r="BP822" s="53">
        <f ca="1">IFERROR(_xlfn.XLOOKUP(F822,Apuração!A:A,Apuração!D:D)/_xlfn.XLOOKUP(F822,Apuração!A:A,Apuração!B:B),0)</f>
        <v>0</v>
      </c>
      <c r="BQ822" s="53">
        <f ca="1">IF(BK822&gt;=BO822,0,_xlfn.XLOOKUP(F822,Apuração!A:A,Apuração!B:B)*(BO822 + (1/_xlfn.XLOOKUP(F822,Apuração!A:A,Apuração!B:B)) - BK822))</f>
        <v>0</v>
      </c>
      <c r="BR822" s="85">
        <f t="shared" ca="1" si="1111"/>
        <v>0</v>
      </c>
      <c r="BS822" s="53">
        <f ca="1">IFERROR((_xlfn.XLOOKUP(F822,Apuração!A:A,Apuração!C:C)+1)/_xlfn.XLOOKUP(F822,Apuração!A:A,Apuração!B:B),0)</f>
        <v>0.14285714285714285</v>
      </c>
    </row>
    <row r="823" spans="1:71" ht="25.95" hidden="1" customHeight="1" x14ac:dyDescent="0.3">
      <c r="A823" s="23" t="s">
        <v>134</v>
      </c>
      <c r="B823" s="4" t="s">
        <v>174</v>
      </c>
      <c r="C823" s="5" t="s">
        <v>97</v>
      </c>
      <c r="D823" s="5" t="s">
        <v>105</v>
      </c>
      <c r="E823" s="4" t="s">
        <v>96</v>
      </c>
      <c r="F823" s="4" t="str" cm="1">
        <f t="array" ref="F823">_xlfn.IFS(
AG823 &lt;&gt; "", "Jan-Dez/26",
AH823 &lt;&gt; "", "Fev-Dez/26",
AI823 &lt;&gt; "", "Mar-Dez/26", AJ823 &lt;&gt; "", "Abr-Dez/26",
TRUE, "A partir de Junho"
)</f>
        <v>A partir de Junho</v>
      </c>
      <c r="G823" s="4" t="s">
        <v>62</v>
      </c>
      <c r="H823" s="7" t="s">
        <v>38</v>
      </c>
      <c r="I823" s="8" t="s">
        <v>168</v>
      </c>
      <c r="J823" s="8" t="str" cm="1">
        <f t="array" aca="1" ref="J823" ca="1">_xlfn.LET(
  _xlpm.actual_value_month, INDEX(T823:AE823, MATCH(DATE(YEAR(TODAY()), MONTH(TODAY()), 1), $T$1:$AE$1, 0)),
  IF(_xlpm.actual_value_month &lt;&gt; "",_xlpm.actual_value_month &amp; " ações mensais", "")
)</f>
        <v/>
      </c>
      <c r="K823" s="8" t="str" cm="1">
        <f t="array" ref="K823">_xlfn.LET(
    _xlpm.sum_month, SUM(T823:AE823),
    IF(_xlpm.sum_month = 0, "", _xlpm.sum_month &amp; " ações no ano")
)</f>
        <v/>
      </c>
      <c r="L823" s="9" t="s">
        <v>169</v>
      </c>
      <c r="M823" s="24">
        <v>1</v>
      </c>
      <c r="N823" s="5" t="s">
        <v>42</v>
      </c>
      <c r="O823" s="5" t="s">
        <v>43</v>
      </c>
      <c r="P823" s="10" t="s">
        <v>44</v>
      </c>
      <c r="Q823" s="10" t="s">
        <v>44</v>
      </c>
      <c r="R823" s="11" t="s">
        <v>66</v>
      </c>
      <c r="S823" s="11" t="s">
        <v>67</v>
      </c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G823" s="71"/>
      <c r="AH823" s="71"/>
      <c r="AI823" s="71"/>
      <c r="AJ823" s="71"/>
      <c r="AK823" s="71"/>
      <c r="AL823" s="71"/>
      <c r="AM823" s="71"/>
      <c r="AN823" s="71"/>
      <c r="AO823" s="71"/>
      <c r="AP823" s="71"/>
      <c r="AQ823" s="71"/>
      <c r="AR823" s="71"/>
      <c r="AS823" s="94">
        <f t="shared" ca="1" si="1104"/>
        <v>0</v>
      </c>
      <c r="AT823" s="95">
        <f t="shared" si="1105"/>
        <v>0</v>
      </c>
      <c r="AU823" s="97">
        <f t="shared" si="1106"/>
        <v>0</v>
      </c>
      <c r="AW823" s="51">
        <f t="shared" si="1107"/>
        <v>0</v>
      </c>
      <c r="AX823" s="51">
        <f t="shared" si="1108"/>
        <v>0</v>
      </c>
      <c r="AY823" s="51">
        <f t="shared" si="1109"/>
        <v>0</v>
      </c>
      <c r="AZ823" s="51">
        <f t="shared" si="1110"/>
        <v>0</v>
      </c>
      <c r="BA823" s="51">
        <f t="shared" si="1087"/>
        <v>0</v>
      </c>
      <c r="BB823" s="51"/>
      <c r="BC823" s="51"/>
      <c r="BD823" s="51"/>
      <c r="BE823" s="51"/>
      <c r="BF823" s="51"/>
      <c r="BG823" s="51"/>
      <c r="BH823" s="51"/>
      <c r="BI823" s="65" cm="1">
        <f t="array" ref="BI823">IFERROR(INDEX(AW823:BH823,1,MATCH(2,1/(AW823:BH823&lt;&gt;""))),"")</f>
        <v>0</v>
      </c>
      <c r="BJ823" s="68" cm="1">
        <f t="array" ref="BJ823">IF(BM823 = "", "",IFERROR(INDEX(AW823:BH823,1,MATCH(2,1/(AW823:BH823&lt;&gt;""),1)-1),""))</f>
        <v>0</v>
      </c>
      <c r="BK823" s="58">
        <f>IF((IF(AW823&gt;=115%,115%,AW823) + IF(AX823&gt;=115%,115%,AX823) + IF(AY823&gt;=115%,115%,AY823) + (IF(AZ823&gt;=115%,115%,AZ823) + IF(BA823&gt;=115%,115%,BA823) + IF(BB823&gt;=115%,115%,BB823) + IF(BC823&gt;=115%,115%,BC823) + IF(BD823&gt;=115%,115%,BD823) + IF(BE823&gt;=115%,115%,BE823) + IF(BF823&gt;=115%,115%,BF823) + IF(BG823&gt;=115%,115%,BG823) + IF(BH823&gt;=115%,115%,BH823)))/_xlfn.XLOOKUP(F823,Apuração!A:A,Apuração!B:B)&gt;=1.15,1.15,((IF(AZ823&gt;=115%,115%,AZ823) + IF(AX823&gt;=115%,115%,AX823) + IF(AY823&gt;=115%,115%,AY823) + (IF(AW823&gt;=115%,115%,AW823) + IF(BA823&gt;=115%,115%,BA823) + IF(BB823&gt;=115%,115%,BB823) + IF(BC823&gt;=115%,115%,BC823) + IF(BD823&gt;=115%,115%,BD823) + IF(BE823&gt;=115%,115%,BE823) + IF(BF823&gt;=115%,115%,BF823) + IF(BG823&gt;=115%,115%,BG823) + IF(BH823&gt;=115%,115%,BH823)))/_xlfn.XLOOKUP(F823,Apuração!A:A,Apuração!B:B)))</f>
        <v>0</v>
      </c>
      <c r="BL823" s="58" cm="1">
        <f t="array" aca="1" ref="BL823" ca="1">IF(SUM(IFERROR(IF(INDEX(AW823:INDEX(AW823:BH823, MATCH(2, 1/(AW823:BH823&lt;&gt;""), 1)-1), ROW(INDIRECT("1:" &amp; MATCH(2, 1/(AW823:BH823&lt;&gt;""), 1)-1))) &gt;= 115%, 115%, INDEX(AW823:INDEX(AW823:BH823, MATCH(2, 1/(AW823:BH823&lt;&gt;""), 1)-1), ROW(INDIRECT("1:" &amp; MATCH(2, 1/(AW823:BH823&lt;&gt;""), 1)-1)))), 0))/_xlfn.XLOOKUP(F823,Apuração!A:A,Apuração!B:B)&gt;=1.15,1.15,SUM(IFERROR(IF(INDEX(AW823:INDEX(AW823:BH823, MATCH(2, 1/(AW823:BH823&lt;&gt;""), 1)-1), ROW(INDIRECT("1:" &amp; MATCH(2, 1/(AW823:BH823&lt;&gt;""), 1)-1))) &gt;= 115%, 115%, INDEX(AW823:INDEX(AW823:BH823, MATCH(2, 1/(AW823:BH823&lt;&gt;""), 1)-1), ROW(INDIRECT("1:" &amp; MATCH(2, 1/(AW823:BH823&lt;&gt;""), 1)-1)))), 0))/_xlfn.XLOOKUP(F823,Apuração!A:A,Apuração!B:B))</f>
        <v>0</v>
      </c>
      <c r="BM823" s="55" cm="1">
        <f t="array" ref="BM823">IFERROR(
   INDEX($AW$1:$BH$1,
      _xlfn.AGGREGATE(14, 6, COLUMN($AW$1:$BH$1)/(AW823:BH823&lt;&gt;""), 2) - COLUMN($AW$1) + 1
   ),
"")</f>
        <v>46113</v>
      </c>
      <c r="BN823" s="55" cm="1">
        <f t="array" ref="BN823">IFERROR(INDEX($AW$1:$BH$1,1,MATCH(2,1/(AW823:BH823&lt;&gt;""))),"")</f>
        <v>46143</v>
      </c>
      <c r="BO823" s="53">
        <f ca="1">IFERROR(_xlfn.XLOOKUP(F823,Apuração!A:A,Apuração!C:C)/_xlfn.XLOOKUP(F823,Apuração!A:A,Apuração!B:B),0)</f>
        <v>0</v>
      </c>
      <c r="BP823" s="53">
        <f ca="1">IFERROR(_xlfn.XLOOKUP(F823,Apuração!A:A,Apuração!D:D)/_xlfn.XLOOKUP(F823,Apuração!A:A,Apuração!B:B),0)</f>
        <v>0</v>
      </c>
      <c r="BQ823" s="53">
        <f ca="1">IF(BK823&gt;=BO823,0,_xlfn.XLOOKUP(F823,Apuração!A:A,Apuração!B:B)*(BO823 + (1/_xlfn.XLOOKUP(F823,Apuração!A:A,Apuração!B:B)) - BK823))</f>
        <v>0</v>
      </c>
      <c r="BR823" s="85">
        <f t="shared" ca="1" si="1111"/>
        <v>0</v>
      </c>
      <c r="BS823" s="53">
        <f ca="1">IFERROR((_xlfn.XLOOKUP(F823,Apuração!A:A,Apuração!C:C)+1)/_xlfn.XLOOKUP(F823,Apuração!A:A,Apuração!B:B),0)</f>
        <v>0.14285714285714285</v>
      </c>
    </row>
    <row r="824" spans="1:71" ht="25.95" hidden="1" customHeight="1" x14ac:dyDescent="0.3">
      <c r="A824" s="23" t="s">
        <v>134</v>
      </c>
      <c r="B824" s="4" t="s">
        <v>174</v>
      </c>
      <c r="C824" s="5" t="s">
        <v>97</v>
      </c>
      <c r="D824" s="5" t="s">
        <v>106</v>
      </c>
      <c r="E824" s="4" t="s">
        <v>96</v>
      </c>
      <c r="F824" s="4" t="str" cm="1">
        <f t="array" ref="F824">_xlfn.IFS(
AG824 &lt;&gt; "", "Jan-Dez/26",
AH824 &lt;&gt; "", "Fev-Dez/26",
AI824 &lt;&gt; "", "Mar-Dez/26", AJ824 &lt;&gt; "", "Abr-Dez/26",
TRUE, "A partir de Junho"
)</f>
        <v>A partir de Junho</v>
      </c>
      <c r="G824" s="4" t="s">
        <v>62</v>
      </c>
      <c r="H824" s="7" t="s">
        <v>38</v>
      </c>
      <c r="I824" s="8" t="s">
        <v>168</v>
      </c>
      <c r="J824" s="8" t="str" cm="1">
        <f t="array" aca="1" ref="J824" ca="1">_xlfn.LET(
  _xlpm.actual_value_month, INDEX(T824:AE824, MATCH(DATE(YEAR(TODAY()), MONTH(TODAY()), 1), $T$1:$AE$1, 0)),
  IF(_xlpm.actual_value_month &lt;&gt; "",_xlpm.actual_value_month &amp; " ações mensais", "")
)</f>
        <v/>
      </c>
      <c r="K824" s="8" t="str" cm="1">
        <f t="array" ref="K824">_xlfn.LET(
    _xlpm.sum_month, SUM(T824:AE824),
    IF(_xlpm.sum_month = 0, "", _xlpm.sum_month &amp; " ações no ano")
)</f>
        <v/>
      </c>
      <c r="L824" s="9" t="s">
        <v>169</v>
      </c>
      <c r="M824" s="24">
        <v>1</v>
      </c>
      <c r="N824" s="5" t="s">
        <v>42</v>
      </c>
      <c r="O824" s="5" t="s">
        <v>43</v>
      </c>
      <c r="P824" s="10" t="s">
        <v>44</v>
      </c>
      <c r="Q824" s="10" t="s">
        <v>44</v>
      </c>
      <c r="R824" s="11" t="s">
        <v>66</v>
      </c>
      <c r="S824" s="11" t="s">
        <v>67</v>
      </c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G824" s="71"/>
      <c r="AH824" s="71"/>
      <c r="AI824" s="71"/>
      <c r="AJ824" s="71"/>
      <c r="AK824" s="71"/>
      <c r="AL824" s="71"/>
      <c r="AM824" s="71"/>
      <c r="AN824" s="71"/>
      <c r="AO824" s="71"/>
      <c r="AP824" s="71"/>
      <c r="AQ824" s="71"/>
      <c r="AR824" s="71"/>
      <c r="AS824" s="94">
        <f t="shared" ca="1" si="1104"/>
        <v>0</v>
      </c>
      <c r="AT824" s="95">
        <f t="shared" si="1105"/>
        <v>0</v>
      </c>
      <c r="AU824" s="97">
        <f t="shared" si="1106"/>
        <v>0</v>
      </c>
      <c r="AW824" s="51">
        <f t="shared" si="1107"/>
        <v>0</v>
      </c>
      <c r="AX824" s="51">
        <f t="shared" si="1108"/>
        <v>0</v>
      </c>
      <c r="AY824" s="51">
        <f t="shared" si="1109"/>
        <v>0</v>
      </c>
      <c r="AZ824" s="51">
        <f t="shared" si="1110"/>
        <v>0</v>
      </c>
      <c r="BA824" s="51">
        <f t="shared" si="1087"/>
        <v>0</v>
      </c>
      <c r="BB824" s="51"/>
      <c r="BC824" s="51"/>
      <c r="BD824" s="51"/>
      <c r="BE824" s="51"/>
      <c r="BF824" s="51"/>
      <c r="BG824" s="51"/>
      <c r="BH824" s="51"/>
      <c r="BI824" s="65" cm="1">
        <f t="array" ref="BI824">IFERROR(INDEX(AW824:BH824,1,MATCH(2,1/(AW824:BH824&lt;&gt;""))),"")</f>
        <v>0</v>
      </c>
      <c r="BJ824" s="68" cm="1">
        <f t="array" ref="BJ824">IF(BM824 = "", "",IFERROR(INDEX(AW824:BH824,1,MATCH(2,1/(AW824:BH824&lt;&gt;""),1)-1),""))</f>
        <v>0</v>
      </c>
      <c r="BK824" s="58">
        <f>IF((IF(AW824&gt;=115%,115%,AW824) + IF(AX824&gt;=115%,115%,AX824) + IF(AY824&gt;=115%,115%,AY824) + (IF(AZ824&gt;=115%,115%,AZ824) + IF(BA824&gt;=115%,115%,BA824) + IF(BB824&gt;=115%,115%,BB824) + IF(BC824&gt;=115%,115%,BC824) + IF(BD824&gt;=115%,115%,BD824) + IF(BE824&gt;=115%,115%,BE824) + IF(BF824&gt;=115%,115%,BF824) + IF(BG824&gt;=115%,115%,BG824) + IF(BH824&gt;=115%,115%,BH824)))/_xlfn.XLOOKUP(F824,Apuração!A:A,Apuração!B:B)&gt;=1.15,1.15,((IF(AZ824&gt;=115%,115%,AZ824) + IF(AX824&gt;=115%,115%,AX824) + IF(AY824&gt;=115%,115%,AY824) + (IF(AW824&gt;=115%,115%,AW824) + IF(BA824&gt;=115%,115%,BA824) + IF(BB824&gt;=115%,115%,BB824) + IF(BC824&gt;=115%,115%,BC824) + IF(BD824&gt;=115%,115%,BD824) + IF(BE824&gt;=115%,115%,BE824) + IF(BF824&gt;=115%,115%,BF824) + IF(BG824&gt;=115%,115%,BG824) + IF(BH824&gt;=115%,115%,BH824)))/_xlfn.XLOOKUP(F824,Apuração!A:A,Apuração!B:B)))</f>
        <v>0</v>
      </c>
      <c r="BL824" s="58" cm="1">
        <f t="array" aca="1" ref="BL824" ca="1">IF(SUM(IFERROR(IF(INDEX(AW824:INDEX(AW824:BH824, MATCH(2, 1/(AW824:BH824&lt;&gt;""), 1)-1), ROW(INDIRECT("1:" &amp; MATCH(2, 1/(AW824:BH824&lt;&gt;""), 1)-1))) &gt;= 115%, 115%, INDEX(AW824:INDEX(AW824:BH824, MATCH(2, 1/(AW824:BH824&lt;&gt;""), 1)-1), ROW(INDIRECT("1:" &amp; MATCH(2, 1/(AW824:BH824&lt;&gt;""), 1)-1)))), 0))/_xlfn.XLOOKUP(F824,Apuração!A:A,Apuração!B:B)&gt;=1.15,1.15,SUM(IFERROR(IF(INDEX(AW824:INDEX(AW824:BH824, MATCH(2, 1/(AW824:BH824&lt;&gt;""), 1)-1), ROW(INDIRECT("1:" &amp; MATCH(2, 1/(AW824:BH824&lt;&gt;""), 1)-1))) &gt;= 115%, 115%, INDEX(AW824:INDEX(AW824:BH824, MATCH(2, 1/(AW824:BH824&lt;&gt;""), 1)-1), ROW(INDIRECT("1:" &amp; MATCH(2, 1/(AW824:BH824&lt;&gt;""), 1)-1)))), 0))/_xlfn.XLOOKUP(F824,Apuração!A:A,Apuração!B:B))</f>
        <v>0</v>
      </c>
      <c r="BM824" s="55" cm="1">
        <f t="array" ref="BM824">IFERROR(
   INDEX($AW$1:$BH$1,
      _xlfn.AGGREGATE(14, 6, COLUMN($AW$1:$BH$1)/(AW824:BH824&lt;&gt;""), 2) - COLUMN($AW$1) + 1
   ),
"")</f>
        <v>46113</v>
      </c>
      <c r="BN824" s="55" cm="1">
        <f t="array" ref="BN824">IFERROR(INDEX($AW$1:$BH$1,1,MATCH(2,1/(AW824:BH824&lt;&gt;""))),"")</f>
        <v>46143</v>
      </c>
      <c r="BO824" s="53">
        <f ca="1">IFERROR(_xlfn.XLOOKUP(F824,Apuração!A:A,Apuração!C:C)/_xlfn.XLOOKUP(F824,Apuração!A:A,Apuração!B:B),0)</f>
        <v>0</v>
      </c>
      <c r="BP824" s="53">
        <f ca="1">IFERROR(_xlfn.XLOOKUP(F824,Apuração!A:A,Apuração!D:D)/_xlfn.XLOOKUP(F824,Apuração!A:A,Apuração!B:B),0)</f>
        <v>0</v>
      </c>
      <c r="BQ824" s="53">
        <f ca="1">IF(BK824&gt;=BO824,0,_xlfn.XLOOKUP(F824,Apuração!A:A,Apuração!B:B)*(BO824 + (1/_xlfn.XLOOKUP(F824,Apuração!A:A,Apuração!B:B)) - BK824))</f>
        <v>0</v>
      </c>
      <c r="BR824" s="85">
        <f t="shared" ca="1" si="1111"/>
        <v>0</v>
      </c>
      <c r="BS824" s="53">
        <f ca="1">IFERROR((_xlfn.XLOOKUP(F824,Apuração!A:A,Apuração!C:C)+1)/_xlfn.XLOOKUP(F824,Apuração!A:A,Apuração!B:B),0)</f>
        <v>0.14285714285714285</v>
      </c>
    </row>
    <row r="825" spans="1:71" ht="25.95" hidden="1" customHeight="1" x14ac:dyDescent="0.3">
      <c r="A825" s="23" t="s">
        <v>134</v>
      </c>
      <c r="B825" s="4" t="s">
        <v>174</v>
      </c>
      <c r="C825" s="5" t="s">
        <v>97</v>
      </c>
      <c r="D825" s="5" t="s">
        <v>107</v>
      </c>
      <c r="E825" s="4" t="s">
        <v>96</v>
      </c>
      <c r="F825" s="4" t="str" cm="1">
        <f t="array" ref="F825">_xlfn.IFS(
AG825 &lt;&gt; "", "Jan-Dez/26",
AH825 &lt;&gt; "", "Fev-Dez/26",
AI825 &lt;&gt; "", "Mar-Dez/26", AJ825 &lt;&gt; "", "Abr-Dez/26",
TRUE, "A partir de Junho"
)</f>
        <v>A partir de Junho</v>
      </c>
      <c r="G825" s="4" t="s">
        <v>62</v>
      </c>
      <c r="H825" s="7" t="s">
        <v>38</v>
      </c>
      <c r="I825" s="8" t="s">
        <v>168</v>
      </c>
      <c r="J825" s="8" t="str" cm="1">
        <f t="array" aca="1" ref="J825" ca="1">_xlfn.LET(
  _xlpm.actual_value_month, INDEX(T825:AE825, MATCH(DATE(YEAR(TODAY()), MONTH(TODAY()), 1), $T$1:$AE$1, 0)),
  IF(_xlpm.actual_value_month &lt;&gt; "",_xlpm.actual_value_month &amp; " ações mensais", "")
)</f>
        <v/>
      </c>
      <c r="K825" s="8" t="str" cm="1">
        <f t="array" ref="K825">_xlfn.LET(
    _xlpm.sum_month, SUM(T825:AE825),
    IF(_xlpm.sum_month = 0, "", _xlpm.sum_month &amp; " ações no ano")
)</f>
        <v/>
      </c>
      <c r="L825" s="9" t="s">
        <v>169</v>
      </c>
      <c r="M825" s="24">
        <v>1</v>
      </c>
      <c r="N825" s="5" t="s">
        <v>42</v>
      </c>
      <c r="O825" s="5" t="s">
        <v>43</v>
      </c>
      <c r="P825" s="10" t="s">
        <v>44</v>
      </c>
      <c r="Q825" s="10" t="s">
        <v>44</v>
      </c>
      <c r="R825" s="11" t="s">
        <v>66</v>
      </c>
      <c r="S825" s="11" t="s">
        <v>67</v>
      </c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G825" s="71"/>
      <c r="AH825" s="71"/>
      <c r="AI825" s="71"/>
      <c r="AJ825" s="71"/>
      <c r="AK825" s="71"/>
      <c r="AL825" s="71"/>
      <c r="AM825" s="71"/>
      <c r="AN825" s="71"/>
      <c r="AO825" s="71"/>
      <c r="AP825" s="71"/>
      <c r="AQ825" s="71"/>
      <c r="AR825" s="71"/>
      <c r="AS825" s="94">
        <f t="shared" ca="1" si="1104"/>
        <v>0</v>
      </c>
      <c r="AT825" s="95">
        <f t="shared" si="1105"/>
        <v>0</v>
      </c>
      <c r="AU825" s="97">
        <f t="shared" si="1106"/>
        <v>0</v>
      </c>
      <c r="AW825" s="51">
        <f t="shared" si="1107"/>
        <v>0</v>
      </c>
      <c r="AX825" s="51">
        <f t="shared" si="1108"/>
        <v>0</v>
      </c>
      <c r="AY825" s="51">
        <f t="shared" si="1109"/>
        <v>0</v>
      </c>
      <c r="AZ825" s="51">
        <f t="shared" si="1110"/>
        <v>0</v>
      </c>
      <c r="BA825" s="51">
        <f t="shared" si="1087"/>
        <v>0</v>
      </c>
      <c r="BB825" s="51"/>
      <c r="BC825" s="51"/>
      <c r="BD825" s="51"/>
      <c r="BE825" s="51"/>
      <c r="BF825" s="51"/>
      <c r="BG825" s="51"/>
      <c r="BH825" s="51"/>
      <c r="BI825" s="65" cm="1">
        <f t="array" ref="BI825">IFERROR(INDEX(AW825:BH825,1,MATCH(2,1/(AW825:BH825&lt;&gt;""))),"")</f>
        <v>0</v>
      </c>
      <c r="BJ825" s="68" cm="1">
        <f t="array" ref="BJ825">IF(BM825 = "", "",IFERROR(INDEX(AW825:BH825,1,MATCH(2,1/(AW825:BH825&lt;&gt;""),1)-1),""))</f>
        <v>0</v>
      </c>
      <c r="BK825" s="58">
        <f>IF((IF(AW825&gt;=115%,115%,AW825) + IF(AX825&gt;=115%,115%,AX825) + IF(AY825&gt;=115%,115%,AY825) + (IF(AZ825&gt;=115%,115%,AZ825) + IF(BA825&gt;=115%,115%,BA825) + IF(BB825&gt;=115%,115%,BB825) + IF(BC825&gt;=115%,115%,BC825) + IF(BD825&gt;=115%,115%,BD825) + IF(BE825&gt;=115%,115%,BE825) + IF(BF825&gt;=115%,115%,BF825) + IF(BG825&gt;=115%,115%,BG825) + IF(BH825&gt;=115%,115%,BH825)))/_xlfn.XLOOKUP(F825,Apuração!A:A,Apuração!B:B)&gt;=1.15,1.15,((IF(AZ825&gt;=115%,115%,AZ825) + IF(AX825&gt;=115%,115%,AX825) + IF(AY825&gt;=115%,115%,AY825) + (IF(AW825&gt;=115%,115%,AW825) + IF(BA825&gt;=115%,115%,BA825) + IF(BB825&gt;=115%,115%,BB825) + IF(BC825&gt;=115%,115%,BC825) + IF(BD825&gt;=115%,115%,BD825) + IF(BE825&gt;=115%,115%,BE825) + IF(BF825&gt;=115%,115%,BF825) + IF(BG825&gt;=115%,115%,BG825) + IF(BH825&gt;=115%,115%,BH825)))/_xlfn.XLOOKUP(F825,Apuração!A:A,Apuração!B:B)))</f>
        <v>0</v>
      </c>
      <c r="BL825" s="58" cm="1">
        <f t="array" aca="1" ref="BL825" ca="1">IF(SUM(IFERROR(IF(INDEX(AW825:INDEX(AW825:BH825, MATCH(2, 1/(AW825:BH825&lt;&gt;""), 1)-1), ROW(INDIRECT("1:" &amp; MATCH(2, 1/(AW825:BH825&lt;&gt;""), 1)-1))) &gt;= 115%, 115%, INDEX(AW825:INDEX(AW825:BH825, MATCH(2, 1/(AW825:BH825&lt;&gt;""), 1)-1), ROW(INDIRECT("1:" &amp; MATCH(2, 1/(AW825:BH825&lt;&gt;""), 1)-1)))), 0))/_xlfn.XLOOKUP(F825,Apuração!A:A,Apuração!B:B)&gt;=1.15,1.15,SUM(IFERROR(IF(INDEX(AW825:INDEX(AW825:BH825, MATCH(2, 1/(AW825:BH825&lt;&gt;""), 1)-1), ROW(INDIRECT("1:" &amp; MATCH(2, 1/(AW825:BH825&lt;&gt;""), 1)-1))) &gt;= 115%, 115%, INDEX(AW825:INDEX(AW825:BH825, MATCH(2, 1/(AW825:BH825&lt;&gt;""), 1)-1), ROW(INDIRECT("1:" &amp; MATCH(2, 1/(AW825:BH825&lt;&gt;""), 1)-1)))), 0))/_xlfn.XLOOKUP(F825,Apuração!A:A,Apuração!B:B))</f>
        <v>0</v>
      </c>
      <c r="BM825" s="55" cm="1">
        <f t="array" ref="BM825">IFERROR(
   INDEX($AW$1:$BH$1,
      _xlfn.AGGREGATE(14, 6, COLUMN($AW$1:$BH$1)/(AW825:BH825&lt;&gt;""), 2) - COLUMN($AW$1) + 1
   ),
"")</f>
        <v>46113</v>
      </c>
      <c r="BN825" s="55" cm="1">
        <f t="array" ref="BN825">IFERROR(INDEX($AW$1:$BH$1,1,MATCH(2,1/(AW825:BH825&lt;&gt;""))),"")</f>
        <v>46143</v>
      </c>
      <c r="BO825" s="53">
        <f ca="1">IFERROR(_xlfn.XLOOKUP(F825,Apuração!A:A,Apuração!C:C)/_xlfn.XLOOKUP(F825,Apuração!A:A,Apuração!B:B),0)</f>
        <v>0</v>
      </c>
      <c r="BP825" s="53">
        <f ca="1">IFERROR(_xlfn.XLOOKUP(F825,Apuração!A:A,Apuração!D:D)/_xlfn.XLOOKUP(F825,Apuração!A:A,Apuração!B:B),0)</f>
        <v>0</v>
      </c>
      <c r="BQ825" s="53">
        <f ca="1">IF(BK825&gt;=BO825,0,_xlfn.XLOOKUP(F825,Apuração!A:A,Apuração!B:B)*(BO825 + (1/_xlfn.XLOOKUP(F825,Apuração!A:A,Apuração!B:B)) - BK825))</f>
        <v>0</v>
      </c>
      <c r="BR825" s="85">
        <f t="shared" ca="1" si="1111"/>
        <v>0</v>
      </c>
      <c r="BS825" s="53">
        <f ca="1">IFERROR((_xlfn.XLOOKUP(F825,Apuração!A:A,Apuração!C:C)+1)/_xlfn.XLOOKUP(F825,Apuração!A:A,Apuração!B:B),0)</f>
        <v>0.14285714285714285</v>
      </c>
    </row>
    <row r="826" spans="1:71" ht="25.95" customHeight="1" x14ac:dyDescent="0.3">
      <c r="A826" s="23" t="s">
        <v>134</v>
      </c>
      <c r="B826" s="4" t="s">
        <v>174</v>
      </c>
      <c r="C826" s="5" t="s">
        <v>97</v>
      </c>
      <c r="D826" s="5" t="s">
        <v>36</v>
      </c>
      <c r="E826" s="4" t="s">
        <v>96</v>
      </c>
      <c r="F826" s="4" t="str" cm="1">
        <f t="array" ref="F826">_xlfn.IFS(
AG826 &lt;&gt; "", "Jan-Dez/26",
AH826 &lt;&gt; "", "Fev-Dez/26",
AI826 &lt;&gt; "", "Mar-Dez/26", AJ826 &lt;&gt; "", "Abr-Dez/26",
TRUE, "A partir de Junho"
)</f>
        <v>A partir de Junho</v>
      </c>
      <c r="G826" s="4" t="s">
        <v>62</v>
      </c>
      <c r="H826" s="7" t="s">
        <v>38</v>
      </c>
      <c r="I826" s="8" t="s">
        <v>171</v>
      </c>
      <c r="J826" s="8" t="str" cm="1">
        <f t="array" aca="1" ref="J826" ca="1">_xlfn.LET(
  _xlpm.actual_value_month, INDEX(T826:AE826, MATCH(DATE(YEAR(TODAY()), MONTH(TODAY()), 1), $T$1:$AE$1, 0)),
  IF(_xlpm.actual_value_month &lt;&gt; "",_xlpm.actual_value_month &amp; " ações mensais", "")
)</f>
        <v/>
      </c>
      <c r="K826" s="8" t="str" cm="1">
        <f t="array" ref="K826">_xlfn.LET(
    _xlpm.sum_month, SUM(T826:AE826),
    IF(_xlpm.sum_month = 0, "", _xlpm.sum_month &amp; " colaboradores impactados no ano")
)</f>
        <v/>
      </c>
      <c r="L826" s="9" t="s">
        <v>172</v>
      </c>
      <c r="M826" s="24">
        <v>1</v>
      </c>
      <c r="N826" s="5" t="s">
        <v>42</v>
      </c>
      <c r="O826" s="5" t="s">
        <v>43</v>
      </c>
      <c r="P826" s="10" t="s">
        <v>44</v>
      </c>
      <c r="Q826" s="10" t="s">
        <v>72</v>
      </c>
      <c r="R826" s="11" t="s">
        <v>66</v>
      </c>
      <c r="S826" s="11" t="s">
        <v>67</v>
      </c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G826" s="71"/>
      <c r="AH826" s="71"/>
      <c r="AI826" s="71"/>
      <c r="AJ826" s="71"/>
      <c r="AK826" s="71"/>
      <c r="AL826" s="71"/>
      <c r="AM826" s="71"/>
      <c r="AN826" s="71"/>
      <c r="AO826" s="71"/>
      <c r="AP826" s="71"/>
      <c r="AQ826" s="71"/>
      <c r="AR826" s="71"/>
      <c r="AS826" s="94">
        <f t="shared" ca="1" si="1104"/>
        <v>0</v>
      </c>
      <c r="AT826" s="95">
        <f>SUM(IF(AW826&lt;1.15,AG826,1.15*T826),IF(AX826&lt;1.15,AH826,1.15*U826),IF(AY826&lt;1.15,AI826,1.15*V826),IF(AZ826&lt;1.15,AJ826,1.15*W826),IF(BA826&lt;1.15,AK826,1.15*X826),IF(BB826&lt;1.15,AL826,1.15*Y826),IF(BC826&lt;1.15,AM826,1.15*Z826),IF(BD826&lt;1.15,AN826,1.15*AA826),IF(BE826&lt;1.15,AO826,1.15*AB826),IF(BF826&lt;1.15,AP826,1.15*AC826),IF(BG826&lt;1.15,AQ826,1.15*AD826),IF(BH826&lt;1.15,AR826,1.15*AE826))</f>
        <v>0</v>
      </c>
      <c r="AU826" s="97">
        <f t="shared" si="1106"/>
        <v>0</v>
      </c>
      <c r="AW826" s="51">
        <f t="shared" si="1107"/>
        <v>0</v>
      </c>
      <c r="AX826" s="51">
        <f t="shared" si="1108"/>
        <v>0</v>
      </c>
      <c r="AY826" s="51">
        <f t="shared" si="1109"/>
        <v>0</v>
      </c>
      <c r="AZ826" s="51">
        <f t="shared" si="1110"/>
        <v>0</v>
      </c>
      <c r="BA826" s="51">
        <f t="shared" si="1087"/>
        <v>0</v>
      </c>
      <c r="BB826" s="51"/>
      <c r="BC826" s="51"/>
      <c r="BD826" s="51"/>
      <c r="BE826" s="51"/>
      <c r="BF826" s="51"/>
      <c r="BG826" s="51"/>
      <c r="BH826" s="51"/>
      <c r="BI826" s="65" cm="1">
        <f t="array" ref="BI826">IFERROR(INDEX(AW826:BH826,1,MATCH(2,1/(AW826:BH826&lt;&gt;""))),"")</f>
        <v>0</v>
      </c>
      <c r="BJ826" s="68" cm="1">
        <f t="array" ref="BJ826">IF(BM826 = "", "",IFERROR(INDEX(AW826:BH826,1,MATCH(2,1/(AW826:BH826&lt;&gt;""),1)-1),""))</f>
        <v>0</v>
      </c>
      <c r="BK826" s="58">
        <f>IF((IF(AW826&gt;=115%,115%,AW826) + IF(AX826&gt;=115%,115%,AX826) + IF(AY826&gt;=115%,115%,AY826) + (IF(AZ826&gt;=115%,115%,AZ826) + IF(BA826&gt;=133%,133%,BA826) + IF(BB826&gt;=115%,115%,BB826) + IF(BC826&gt;=115%,115%,BC826) + IF(BD826&gt;=115%,115%,BD826) + IF(BE826&gt;=115%,115%,BE826) + IF(BF826&gt;=115%,115%,BF826) + IF(BG826&gt;=115%,115%,BG826) + IF(BH826&gt;=115%,115%,BH826)))/_xlfn.XLOOKUP(F826,Apuração!A:A,Apuração!B:B)&gt;=1.15,1.15,((IF(AZ826&gt;=115%,115%,AZ826) + IF(AX826&gt;=115%,115%,AX826) + IF(AY826&gt;=115%,115%,AY826) + (IF(AW826&gt;=115%,115%,AW826) + IF(BA826&gt;=133%,133%,BA826) + IF(BB826&gt;=115%,115%,BB826) + IF(BC826&gt;=115%,115%,BC826) + IF(BD826&gt;=115%,115%,BD826) + IF(BE826&gt;=115%,115%,BE826) + IF(BF826&gt;=115%,115%,BF826) + IF(BG826&gt;=115%,115%,BG826) + IF(BH826&gt;=115%,115%,BH826)))/_xlfn.XLOOKUP(F826,Apuração!A:A,Apuração!B:B)))</f>
        <v>0</v>
      </c>
      <c r="BL826" s="58" cm="1">
        <f t="array" aca="1" ref="BL826" ca="1">IF(SUM(IFERROR(IF(INDEX(AW826:INDEX(AW826:BH826, MATCH(2, 1/(AW826:BH826&lt;&gt;""), 1)-1), ROW(INDIRECT("1:" &amp; MATCH(2, 1/(AW826:BH826&lt;&gt;""), 1)-1))) &gt;= 115%, 115%, INDEX(AW826:INDEX(AW826:BH826, MATCH(2, 1/(AW826:BH826&lt;&gt;""), 1)-1), ROW(INDIRECT("1:" &amp; MATCH(2, 1/(AW826:BH826&lt;&gt;""), 1)-1)))), 0))/_xlfn.XLOOKUP(F826,Apuração!A:A,Apuração!B:B)&gt;=1.15,1.15,SUM(IFERROR(IF(INDEX(AW826:INDEX(AW826:BH826, MATCH(2, 1/(AW826:BH826&lt;&gt;""), 1)-1), ROW(INDIRECT("1:" &amp; MATCH(2, 1/(AW826:BH826&lt;&gt;""), 1)-1))) &gt;= 115%, 115%, INDEX(AW826:INDEX(AW826:BH826, MATCH(2, 1/(AW826:BH826&lt;&gt;""), 1)-1), ROW(INDIRECT("1:" &amp; MATCH(2, 1/(AW826:BH826&lt;&gt;""), 1)-1)))), 0))/_xlfn.XLOOKUP(F826,Apuração!A:A,Apuração!B:B))</f>
        <v>0</v>
      </c>
      <c r="BM826" s="55" cm="1">
        <f t="array" ref="BM826">IFERROR(
   INDEX($AW$1:$BH$1,
      _xlfn.AGGREGATE(14, 6, COLUMN($AW$1:$BH$1)/(AW826:BH826&lt;&gt;""), 2) - COLUMN($AW$1) + 1
   ),
"")</f>
        <v>46113</v>
      </c>
      <c r="BN826" s="55" cm="1">
        <f t="array" ref="BN826">IFERROR(INDEX($AW$1:$BH$1,1,MATCH(2,1/(AW826:BH826&lt;&gt;""))),"")</f>
        <v>46143</v>
      </c>
      <c r="BO826" s="53">
        <f ca="1">IFERROR(_xlfn.XLOOKUP(F826,Apuração!A:A,Apuração!C:C)/_xlfn.XLOOKUP(F826,Apuração!A:A,Apuração!B:B),0)</f>
        <v>0</v>
      </c>
      <c r="BP826" s="53">
        <f ca="1">IFERROR(_xlfn.XLOOKUP(F826,Apuração!A:A,Apuração!D:D)/_xlfn.XLOOKUP(F826,Apuração!A:A,Apuração!B:B),0)</f>
        <v>0</v>
      </c>
      <c r="BQ826" s="53">
        <f ca="1">IF(BK826&gt;=BO826,0,_xlfn.XLOOKUP(F826,Apuração!A:A,Apuração!B:B)*(BO826 + (1/_xlfn.XLOOKUP(F826,Apuração!A:A,Apuração!B:B)) - BK826))</f>
        <v>0</v>
      </c>
      <c r="BR826" s="85">
        <f t="shared" ca="1" si="1111"/>
        <v>0</v>
      </c>
      <c r="BS826" s="53">
        <f ca="1">IFERROR((_xlfn.XLOOKUP(F826,Apuração!A:A,Apuração!C:C)+1)/_xlfn.XLOOKUP(F826,Apuração!A:A,Apuração!B:B),0)</f>
        <v>0.14285714285714285</v>
      </c>
    </row>
    <row r="827" spans="1:71" ht="25.95" hidden="1" customHeight="1" x14ac:dyDescent="0.3">
      <c r="A827" s="23" t="s">
        <v>134</v>
      </c>
      <c r="B827" s="4" t="s">
        <v>174</v>
      </c>
      <c r="C827" s="5" t="s">
        <v>97</v>
      </c>
      <c r="D827" s="5" t="s">
        <v>98</v>
      </c>
      <c r="E827" s="4" t="s">
        <v>96</v>
      </c>
      <c r="F827" s="4" t="str" cm="1">
        <f t="array" ref="F827">_xlfn.IFS(
AG827 &lt;&gt; "", "Jan-Dez/26",
AH827 &lt;&gt; "", "Fev-Dez/26",
AI827 &lt;&gt; "", "Mar-Dez/26", AJ827 &lt;&gt; "", "Abr-Dez/26",
TRUE, "A partir de Junho"
)</f>
        <v>A partir de Junho</v>
      </c>
      <c r="G827" s="4" t="s">
        <v>62</v>
      </c>
      <c r="H827" s="7" t="s">
        <v>38</v>
      </c>
      <c r="I827" s="8" t="s">
        <v>171</v>
      </c>
      <c r="J827" s="8" t="str" cm="1">
        <f t="array" aca="1" ref="J827" ca="1">_xlfn.LET(
  _xlpm.actual_value_month, INDEX(T827:AE827, MATCH(DATE(YEAR(TODAY()), MONTH(TODAY()), 1), $T$1:$AE$1, 0)),
  IF(_xlpm.actual_value_month &lt;&gt; "",_xlpm.actual_value_month &amp; " ações mensais", "")
)</f>
        <v/>
      </c>
      <c r="K827" s="8" t="str" cm="1">
        <f t="array" ref="K827">_xlfn.LET(
    _xlpm.sum_month, SUM(T827:AE827),
    IF(_xlpm.sum_month = 0, "", _xlpm.sum_month &amp; " colaboradores impactados no ano")
)</f>
        <v/>
      </c>
      <c r="L827" s="9" t="s">
        <v>172</v>
      </c>
      <c r="M827" s="24">
        <v>1</v>
      </c>
      <c r="N827" s="5" t="s">
        <v>42</v>
      </c>
      <c r="O827" s="5" t="s">
        <v>43</v>
      </c>
      <c r="P827" s="10" t="s">
        <v>44</v>
      </c>
      <c r="Q827" s="10" t="s">
        <v>72</v>
      </c>
      <c r="R827" s="11" t="s">
        <v>66</v>
      </c>
      <c r="S827" s="11" t="s">
        <v>67</v>
      </c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G827" s="71"/>
      <c r="AH827" s="71"/>
      <c r="AI827" s="71"/>
      <c r="AJ827" s="71"/>
      <c r="AK827" s="71"/>
      <c r="AL827" s="71"/>
      <c r="AM827" s="71"/>
      <c r="AN827" s="71"/>
      <c r="AO827" s="71"/>
      <c r="AP827" s="71"/>
      <c r="AQ827" s="71"/>
      <c r="AR827" s="71"/>
      <c r="AS827" s="94">
        <f t="shared" ref="AS827:AS836" ca="1" si="1112">IF(MONTH(TODAY())=3,SUM(T827:U827),IF(MONTH(TODAY())=4,SUM(T827:V827),IF(MONTH(TODAY())=5,SUM(T827:W827),IF(MONTH(TODAY())=6,SUM(T827:X827),IF(MONTH(TODAY())=7,SUM(T827:Y827),IF(MONTH(TODAY())=8,SUM(T827:Z827),IF(MONTH(TODAY())=9,SUM(T827:AA827),IF(MONTH(TODAY())=10,SUM(T827:AB827),IF(MONTH(TODAY())=11,SUM(T827:AC827),IF(MONTH(TODAY())=12,SUM(T827:AD827),IF(MONTH(TODAY())=1,SUM(T827:AE827),T827)))))))))))</f>
        <v>0</v>
      </c>
      <c r="AT827" s="95">
        <f t="shared" ref="AT827:AT836" si="1113">SUM(IF(AW827&lt;1.15,AG827,1.15*T827),IF(AX827&lt;1.15,AH827,1.15*U827),IF(AY827&lt;1.15,AI827,1.15*V827),IF(AZ827&lt;1.15,AJ827,1.15*W827),IF(BA827&lt;1.15,AK827,1.15*X827),IF(BB827&lt;1.15,AL827,1.15*Y827),IF(BC827&lt;1.15,AM827,1.15*Z827),IF(BD827&lt;1.15,AN827,1.15*AA827),IF(BE827&lt;1.15,AO827,1.15*AB827),IF(BF827&lt;1.15,AP827,1.15*AC827),IF(BG827&lt;1.15,AQ827,1.15*AD827),IF(BH827&lt;1.15,AR827,1.15*AE827))</f>
        <v>0</v>
      </c>
      <c r="AU827" s="97">
        <f t="shared" ref="AU827:AU836" si="1114">SUM(AG827:AR827)</f>
        <v>0</v>
      </c>
      <c r="AW827" s="51">
        <f t="shared" ref="AW827:AW836" si="1115">IFERROR(IF(AG827="",0,AG827/T827),0)</f>
        <v>0</v>
      </c>
      <c r="AX827" s="51">
        <f t="shared" ref="AX827:AX836" si="1116">IFERROR(IF(AH827="",0,AH827/U827),0)</f>
        <v>0</v>
      </c>
      <c r="AY827" s="51">
        <f t="shared" ref="AY827:AY836" si="1117">IFERROR(IF(AI827="",0,AI827/V827),0)</f>
        <v>0</v>
      </c>
      <c r="AZ827" s="51">
        <f t="shared" ref="AZ827:AZ836" si="1118">IFERROR(IF(AJ827="",0,AJ827/W827),0)</f>
        <v>0</v>
      </c>
      <c r="BA827" s="51">
        <f t="shared" si="1087"/>
        <v>0</v>
      </c>
      <c r="BB827" s="51"/>
      <c r="BC827" s="51"/>
      <c r="BD827" s="51"/>
      <c r="BE827" s="51"/>
      <c r="BF827" s="51"/>
      <c r="BG827" s="51"/>
      <c r="BH827" s="51"/>
      <c r="BI827" s="65" cm="1">
        <f t="array" ref="BI827">IFERROR(INDEX(AW827:BH827,1,MATCH(2,1/(AW827:BH827&lt;&gt;""))),"")</f>
        <v>0</v>
      </c>
      <c r="BJ827" s="68" cm="1">
        <f t="array" ref="BJ827">IF(BM827 = "", "",IFERROR(INDEX(AW827:BH827,1,MATCH(2,1/(AW827:BH827&lt;&gt;""),1)-1),""))</f>
        <v>0</v>
      </c>
      <c r="BK827" s="58">
        <f>IF((IF(AW827&gt;=115%,115%,AW827) + IF(AX827&gt;=115%,115%,AX827) + IF(AY827&gt;=115%,115%,AY827) + (IF(AZ827&gt;=115%,115%,AZ827) + IF(BA827&gt;=133%,133%,BA827) + IF(BB827&gt;=115%,115%,BB827) + IF(BC827&gt;=115%,115%,BC827) + IF(BD827&gt;=115%,115%,BD827) + IF(BE827&gt;=115%,115%,BE827) + IF(BF827&gt;=115%,115%,BF827) + IF(BG827&gt;=115%,115%,BG827) + IF(BH827&gt;=115%,115%,BH827)))/_xlfn.XLOOKUP(F827,Apuração!A:A,Apuração!B:B)&gt;=1.15,1.15,((IF(AZ827&gt;=115%,115%,AZ827) + IF(AX827&gt;=115%,115%,AX827) + IF(AY827&gt;=115%,115%,AY827) + (IF(AW827&gt;=115%,115%,AW827) + IF(BA827&gt;=133%,133%,BA827) + IF(BB827&gt;=115%,115%,BB827) + IF(BC827&gt;=115%,115%,BC827) + IF(BD827&gt;=115%,115%,BD827) + IF(BE827&gt;=115%,115%,BE827) + IF(BF827&gt;=115%,115%,BF827) + IF(BG827&gt;=115%,115%,BG827) + IF(BH827&gt;=115%,115%,BH827)))/_xlfn.XLOOKUP(F827,Apuração!A:A,Apuração!B:B)))</f>
        <v>0</v>
      </c>
      <c r="BL827" s="58" cm="1">
        <f t="array" aca="1" ref="BL827" ca="1">IF(SUM(IFERROR(IF(INDEX(AW827:INDEX(AW827:BH827, MATCH(2, 1/(AW827:BH827&lt;&gt;""), 1)-1), ROW(INDIRECT("1:" &amp; MATCH(2, 1/(AW827:BH827&lt;&gt;""), 1)-1))) &gt;= 115%, 115%, INDEX(AW827:INDEX(AW827:BH827, MATCH(2, 1/(AW827:BH827&lt;&gt;""), 1)-1), ROW(INDIRECT("1:" &amp; MATCH(2, 1/(AW827:BH827&lt;&gt;""), 1)-1)))), 0))/_xlfn.XLOOKUP(F827,Apuração!A:A,Apuração!B:B)&gt;=1.15,1.15,SUM(IFERROR(IF(INDEX(AW827:INDEX(AW827:BH827, MATCH(2, 1/(AW827:BH827&lt;&gt;""), 1)-1), ROW(INDIRECT("1:" &amp; MATCH(2, 1/(AW827:BH827&lt;&gt;""), 1)-1))) &gt;= 115%, 115%, INDEX(AW827:INDEX(AW827:BH827, MATCH(2, 1/(AW827:BH827&lt;&gt;""), 1)-1), ROW(INDIRECT("1:" &amp; MATCH(2, 1/(AW827:BH827&lt;&gt;""), 1)-1)))), 0))/_xlfn.XLOOKUP(F827,Apuração!A:A,Apuração!B:B))</f>
        <v>0</v>
      </c>
      <c r="BM827" s="55" cm="1">
        <f t="array" ref="BM827">IFERROR(
   INDEX($AW$1:$BH$1,
      _xlfn.AGGREGATE(14, 6, COLUMN($AW$1:$BH$1)/(AW827:BH827&lt;&gt;""), 2) - COLUMN($AW$1) + 1
   ),
"")</f>
        <v>46113</v>
      </c>
      <c r="BN827" s="55" cm="1">
        <f t="array" ref="BN827">IFERROR(INDEX($AW$1:$BH$1,1,MATCH(2,1/(AW827:BH827&lt;&gt;""))),"")</f>
        <v>46143</v>
      </c>
      <c r="BO827" s="53">
        <f ca="1">IFERROR(_xlfn.XLOOKUP(F827,Apuração!A:A,Apuração!C:C)/_xlfn.XLOOKUP(F827,Apuração!A:A,Apuração!B:B),0)</f>
        <v>0</v>
      </c>
      <c r="BP827" s="53">
        <f ca="1">IFERROR(_xlfn.XLOOKUP(F827,Apuração!A:A,Apuração!D:D)/_xlfn.XLOOKUP(F827,Apuração!A:A,Apuração!B:B),0)</f>
        <v>0</v>
      </c>
      <c r="BQ827" s="53">
        <f ca="1">IF(BK827&gt;=BO827,0,_xlfn.XLOOKUP(F827,Apuração!A:A,Apuração!B:B)*(BO827 + (1/_xlfn.XLOOKUP(F827,Apuração!A:A,Apuração!B:B)) - BK827))</f>
        <v>0</v>
      </c>
      <c r="BR827" s="85">
        <f t="shared" ref="BR827:BR836" ca="1" si="1119">IF(BQ827=0,0,BQ827*Z827)</f>
        <v>0</v>
      </c>
      <c r="BS827" s="53">
        <f ca="1">IFERROR((_xlfn.XLOOKUP(F827,Apuração!A:A,Apuração!C:C)+1)/_xlfn.XLOOKUP(F827,Apuração!A:A,Apuração!B:B),0)</f>
        <v>0.14285714285714285</v>
      </c>
    </row>
    <row r="828" spans="1:71" ht="25.95" hidden="1" customHeight="1" x14ac:dyDescent="0.3">
      <c r="A828" s="23" t="s">
        <v>134</v>
      </c>
      <c r="B828" s="4" t="s">
        <v>174</v>
      </c>
      <c r="C828" s="5" t="s">
        <v>97</v>
      </c>
      <c r="D828" s="5" t="s">
        <v>99</v>
      </c>
      <c r="E828" s="4" t="s">
        <v>96</v>
      </c>
      <c r="F828" s="4" t="str" cm="1">
        <f t="array" ref="F828">_xlfn.IFS(
AG828 &lt;&gt; "", "Jan-Dez/26",
AH828 &lt;&gt; "", "Fev-Dez/26",
AI828 &lt;&gt; "", "Mar-Dez/26", AJ828 &lt;&gt; "", "Abr-Dez/26",
TRUE, "A partir de Junho"
)</f>
        <v>A partir de Junho</v>
      </c>
      <c r="G828" s="4" t="s">
        <v>62</v>
      </c>
      <c r="H828" s="7" t="s">
        <v>38</v>
      </c>
      <c r="I828" s="8" t="s">
        <v>171</v>
      </c>
      <c r="J828" s="8" t="str" cm="1">
        <f t="array" aca="1" ref="J828" ca="1">_xlfn.LET(
  _xlpm.actual_value_month, INDEX(T828:AE828, MATCH(DATE(YEAR(TODAY()), MONTH(TODAY()), 1), $T$1:$AE$1, 0)),
  IF(_xlpm.actual_value_month &lt;&gt; "",_xlpm.actual_value_month &amp; " ações mensais", "")
)</f>
        <v/>
      </c>
      <c r="K828" s="8" t="str" cm="1">
        <f t="array" ref="K828">_xlfn.LET(
    _xlpm.sum_month, SUM(T828:AE828),
    IF(_xlpm.sum_month = 0, "", _xlpm.sum_month &amp; " colaboradores impactados no ano")
)</f>
        <v/>
      </c>
      <c r="L828" s="9" t="s">
        <v>172</v>
      </c>
      <c r="M828" s="24">
        <v>1</v>
      </c>
      <c r="N828" s="5" t="s">
        <v>42</v>
      </c>
      <c r="O828" s="5" t="s">
        <v>43</v>
      </c>
      <c r="P828" s="10" t="s">
        <v>44</v>
      </c>
      <c r="Q828" s="10" t="s">
        <v>72</v>
      </c>
      <c r="R828" s="11" t="s">
        <v>66</v>
      </c>
      <c r="S828" s="11" t="s">
        <v>67</v>
      </c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G828" s="71"/>
      <c r="AH828" s="71"/>
      <c r="AI828" s="71"/>
      <c r="AJ828" s="71"/>
      <c r="AK828" s="71"/>
      <c r="AL828" s="71"/>
      <c r="AM828" s="71"/>
      <c r="AN828" s="71"/>
      <c r="AO828" s="71"/>
      <c r="AP828" s="71"/>
      <c r="AQ828" s="71"/>
      <c r="AR828" s="71"/>
      <c r="AS828" s="94">
        <f t="shared" ca="1" si="1112"/>
        <v>0</v>
      </c>
      <c r="AT828" s="95">
        <f t="shared" si="1113"/>
        <v>0</v>
      </c>
      <c r="AU828" s="97">
        <f t="shared" si="1114"/>
        <v>0</v>
      </c>
      <c r="AW828" s="51">
        <f t="shared" si="1115"/>
        <v>0</v>
      </c>
      <c r="AX828" s="51">
        <f t="shared" si="1116"/>
        <v>0</v>
      </c>
      <c r="AY828" s="51">
        <f t="shared" si="1117"/>
        <v>0</v>
      </c>
      <c r="AZ828" s="51">
        <f t="shared" si="1118"/>
        <v>0</v>
      </c>
      <c r="BA828" s="51">
        <f t="shared" si="1087"/>
        <v>0</v>
      </c>
      <c r="BB828" s="51"/>
      <c r="BC828" s="51"/>
      <c r="BD828" s="51"/>
      <c r="BE828" s="51"/>
      <c r="BF828" s="51"/>
      <c r="BG828" s="51"/>
      <c r="BH828" s="51"/>
      <c r="BI828" s="65" cm="1">
        <f t="array" ref="BI828">IFERROR(INDEX(AW828:BH828,1,MATCH(2,1/(AW828:BH828&lt;&gt;""))),"")</f>
        <v>0</v>
      </c>
      <c r="BJ828" s="68" cm="1">
        <f t="array" ref="BJ828">IF(BM828 = "", "",IFERROR(INDEX(AW828:BH828,1,MATCH(2,1/(AW828:BH828&lt;&gt;""),1)-1),""))</f>
        <v>0</v>
      </c>
      <c r="BK828" s="58">
        <f>IF((IF(AW828&gt;=115%,115%,AW828) + IF(AX828&gt;=115%,115%,AX828) + IF(AY828&gt;=115%,115%,AY828) + (IF(AZ828&gt;=115%,115%,AZ828) + IF(BA828&gt;=133%,133%,BA828) + IF(BB828&gt;=115%,115%,BB828) + IF(BC828&gt;=115%,115%,BC828) + IF(BD828&gt;=115%,115%,BD828) + IF(BE828&gt;=115%,115%,BE828) + IF(BF828&gt;=115%,115%,BF828) + IF(BG828&gt;=115%,115%,BG828) + IF(BH828&gt;=115%,115%,BH828)))/_xlfn.XLOOKUP(F828,Apuração!A:A,Apuração!B:B)&gt;=1.15,1.15,((IF(AZ828&gt;=115%,115%,AZ828) + IF(AX828&gt;=115%,115%,AX828) + IF(AY828&gt;=115%,115%,AY828) + (IF(AW828&gt;=115%,115%,AW828) + IF(BA828&gt;=133%,133%,BA828) + IF(BB828&gt;=115%,115%,BB828) + IF(BC828&gt;=115%,115%,BC828) + IF(BD828&gt;=115%,115%,BD828) + IF(BE828&gt;=115%,115%,BE828) + IF(BF828&gt;=115%,115%,BF828) + IF(BG828&gt;=115%,115%,BG828) + IF(BH828&gt;=115%,115%,BH828)))/_xlfn.XLOOKUP(F828,Apuração!A:A,Apuração!B:B)))</f>
        <v>0</v>
      </c>
      <c r="BL828" s="58" cm="1">
        <f t="array" aca="1" ref="BL828" ca="1">IF(SUM(IFERROR(IF(INDEX(AW828:INDEX(AW828:BH828, MATCH(2, 1/(AW828:BH828&lt;&gt;""), 1)-1), ROW(INDIRECT("1:" &amp; MATCH(2, 1/(AW828:BH828&lt;&gt;""), 1)-1))) &gt;= 115%, 115%, INDEX(AW828:INDEX(AW828:BH828, MATCH(2, 1/(AW828:BH828&lt;&gt;""), 1)-1), ROW(INDIRECT("1:" &amp; MATCH(2, 1/(AW828:BH828&lt;&gt;""), 1)-1)))), 0))/_xlfn.XLOOKUP(F828,Apuração!A:A,Apuração!B:B)&gt;=1.15,1.15,SUM(IFERROR(IF(INDEX(AW828:INDEX(AW828:BH828, MATCH(2, 1/(AW828:BH828&lt;&gt;""), 1)-1), ROW(INDIRECT("1:" &amp; MATCH(2, 1/(AW828:BH828&lt;&gt;""), 1)-1))) &gt;= 115%, 115%, INDEX(AW828:INDEX(AW828:BH828, MATCH(2, 1/(AW828:BH828&lt;&gt;""), 1)-1), ROW(INDIRECT("1:" &amp; MATCH(2, 1/(AW828:BH828&lt;&gt;""), 1)-1)))), 0))/_xlfn.XLOOKUP(F828,Apuração!A:A,Apuração!B:B))</f>
        <v>0</v>
      </c>
      <c r="BM828" s="55" cm="1">
        <f t="array" ref="BM828">IFERROR(
   INDEX($AW$1:$BH$1,
      _xlfn.AGGREGATE(14, 6, COLUMN($AW$1:$BH$1)/(AW828:BH828&lt;&gt;""), 2) - COLUMN($AW$1) + 1
   ),
"")</f>
        <v>46113</v>
      </c>
      <c r="BN828" s="55" cm="1">
        <f t="array" ref="BN828">IFERROR(INDEX($AW$1:$BH$1,1,MATCH(2,1/(AW828:BH828&lt;&gt;""))),"")</f>
        <v>46143</v>
      </c>
      <c r="BO828" s="53">
        <f ca="1">IFERROR(_xlfn.XLOOKUP(F828,Apuração!A:A,Apuração!C:C)/_xlfn.XLOOKUP(F828,Apuração!A:A,Apuração!B:B),0)</f>
        <v>0</v>
      </c>
      <c r="BP828" s="53">
        <f ca="1">IFERROR(_xlfn.XLOOKUP(F828,Apuração!A:A,Apuração!D:D)/_xlfn.XLOOKUP(F828,Apuração!A:A,Apuração!B:B),0)</f>
        <v>0</v>
      </c>
      <c r="BQ828" s="53">
        <f ca="1">IF(BK828&gt;=BO828,0,_xlfn.XLOOKUP(F828,Apuração!A:A,Apuração!B:B)*(BO828 + (1/_xlfn.XLOOKUP(F828,Apuração!A:A,Apuração!B:B)) - BK828))</f>
        <v>0</v>
      </c>
      <c r="BR828" s="85">
        <f t="shared" ca="1" si="1119"/>
        <v>0</v>
      </c>
      <c r="BS828" s="53">
        <f ca="1">IFERROR((_xlfn.XLOOKUP(F828,Apuração!A:A,Apuração!C:C)+1)/_xlfn.XLOOKUP(F828,Apuração!A:A,Apuração!B:B),0)</f>
        <v>0.14285714285714285</v>
      </c>
    </row>
    <row r="829" spans="1:71" ht="25.95" hidden="1" customHeight="1" x14ac:dyDescent="0.3">
      <c r="A829" s="23" t="s">
        <v>134</v>
      </c>
      <c r="B829" s="4" t="s">
        <v>174</v>
      </c>
      <c r="C829" s="5" t="s">
        <v>97</v>
      </c>
      <c r="D829" s="5" t="s">
        <v>100</v>
      </c>
      <c r="E829" s="4" t="s">
        <v>96</v>
      </c>
      <c r="F829" s="4" t="str" cm="1">
        <f t="array" ref="F829">_xlfn.IFS(
AG829 &lt;&gt; "", "Jan-Dez/26",
AH829 &lt;&gt; "", "Fev-Dez/26",
AI829 &lt;&gt; "", "Mar-Dez/26", AJ829 &lt;&gt; "", "Abr-Dez/26",
TRUE, "A partir de Junho"
)</f>
        <v>A partir de Junho</v>
      </c>
      <c r="G829" s="4" t="s">
        <v>62</v>
      </c>
      <c r="H829" s="7" t="s">
        <v>38</v>
      </c>
      <c r="I829" s="8" t="s">
        <v>171</v>
      </c>
      <c r="J829" s="8" t="str" cm="1">
        <f t="array" aca="1" ref="J829" ca="1">_xlfn.LET(
  _xlpm.actual_value_month, INDEX(T829:AE829, MATCH(DATE(YEAR(TODAY()), MONTH(TODAY()), 1), $T$1:$AE$1, 0)),
  IF(_xlpm.actual_value_month &lt;&gt; "",_xlpm.actual_value_month &amp; " ações mensais", "")
)</f>
        <v/>
      </c>
      <c r="K829" s="8" t="str" cm="1">
        <f t="array" ref="K829">_xlfn.LET(
    _xlpm.sum_month, SUM(T829:AE829),
    IF(_xlpm.sum_month = 0, "", _xlpm.sum_month &amp; " colaboradores impactados no ano")
)</f>
        <v/>
      </c>
      <c r="L829" s="9" t="s">
        <v>172</v>
      </c>
      <c r="M829" s="24">
        <v>1</v>
      </c>
      <c r="N829" s="5" t="s">
        <v>42</v>
      </c>
      <c r="O829" s="5" t="s">
        <v>43</v>
      </c>
      <c r="P829" s="10" t="s">
        <v>44</v>
      </c>
      <c r="Q829" s="10" t="s">
        <v>72</v>
      </c>
      <c r="R829" s="11" t="s">
        <v>66</v>
      </c>
      <c r="S829" s="11" t="s">
        <v>67</v>
      </c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G829" s="71"/>
      <c r="AH829" s="71"/>
      <c r="AI829" s="71"/>
      <c r="AJ829" s="71"/>
      <c r="AK829" s="71"/>
      <c r="AL829" s="71"/>
      <c r="AM829" s="71"/>
      <c r="AN829" s="71"/>
      <c r="AO829" s="71"/>
      <c r="AP829" s="71"/>
      <c r="AQ829" s="71"/>
      <c r="AR829" s="71"/>
      <c r="AS829" s="94">
        <f t="shared" ca="1" si="1112"/>
        <v>0</v>
      </c>
      <c r="AT829" s="95">
        <f t="shared" si="1113"/>
        <v>0</v>
      </c>
      <c r="AU829" s="97">
        <f t="shared" si="1114"/>
        <v>0</v>
      </c>
      <c r="AW829" s="51">
        <f t="shared" si="1115"/>
        <v>0</v>
      </c>
      <c r="AX829" s="51">
        <f t="shared" si="1116"/>
        <v>0</v>
      </c>
      <c r="AY829" s="51">
        <f t="shared" si="1117"/>
        <v>0</v>
      </c>
      <c r="AZ829" s="51">
        <f t="shared" si="1118"/>
        <v>0</v>
      </c>
      <c r="BA829" s="51">
        <f t="shared" si="1087"/>
        <v>0</v>
      </c>
      <c r="BB829" s="51"/>
      <c r="BC829" s="51"/>
      <c r="BD829" s="51"/>
      <c r="BE829" s="51"/>
      <c r="BF829" s="51"/>
      <c r="BG829" s="51"/>
      <c r="BH829" s="51"/>
      <c r="BI829" s="65" cm="1">
        <f t="array" ref="BI829">IFERROR(INDEX(AW829:BH829,1,MATCH(2,1/(AW829:BH829&lt;&gt;""))),"")</f>
        <v>0</v>
      </c>
      <c r="BJ829" s="68" cm="1">
        <f t="array" ref="BJ829">IF(BM829 = "", "",IFERROR(INDEX(AW829:BH829,1,MATCH(2,1/(AW829:BH829&lt;&gt;""),1)-1),""))</f>
        <v>0</v>
      </c>
      <c r="BK829" s="58">
        <f>IF((IF(AW829&gt;=115%,115%,AW829) + IF(AX829&gt;=115%,115%,AX829) + IF(AY829&gt;=115%,115%,AY829) + (IF(AZ829&gt;=115%,115%,AZ829) + IF(BA829&gt;=133%,133%,BA829) + IF(BB829&gt;=115%,115%,BB829) + IF(BC829&gt;=115%,115%,BC829) + IF(BD829&gt;=115%,115%,BD829) + IF(BE829&gt;=115%,115%,BE829) + IF(BF829&gt;=115%,115%,BF829) + IF(BG829&gt;=115%,115%,BG829) + IF(BH829&gt;=115%,115%,BH829)))/_xlfn.XLOOKUP(F829,Apuração!A:A,Apuração!B:B)&gt;=1.15,1.15,((IF(AZ829&gt;=115%,115%,AZ829) + IF(AX829&gt;=115%,115%,AX829) + IF(AY829&gt;=115%,115%,AY829) + (IF(AW829&gt;=115%,115%,AW829) + IF(BA829&gt;=133%,133%,BA829) + IF(BB829&gt;=115%,115%,BB829) + IF(BC829&gt;=115%,115%,BC829) + IF(BD829&gt;=115%,115%,BD829) + IF(BE829&gt;=115%,115%,BE829) + IF(BF829&gt;=115%,115%,BF829) + IF(BG829&gt;=115%,115%,BG829) + IF(BH829&gt;=115%,115%,BH829)))/_xlfn.XLOOKUP(F829,Apuração!A:A,Apuração!B:B)))</f>
        <v>0</v>
      </c>
      <c r="BL829" s="58" cm="1">
        <f t="array" aca="1" ref="BL829" ca="1">IF(SUM(IFERROR(IF(INDEX(AW829:INDEX(AW829:BH829, MATCH(2, 1/(AW829:BH829&lt;&gt;""), 1)-1), ROW(INDIRECT("1:" &amp; MATCH(2, 1/(AW829:BH829&lt;&gt;""), 1)-1))) &gt;= 115%, 115%, INDEX(AW829:INDEX(AW829:BH829, MATCH(2, 1/(AW829:BH829&lt;&gt;""), 1)-1), ROW(INDIRECT("1:" &amp; MATCH(2, 1/(AW829:BH829&lt;&gt;""), 1)-1)))), 0))/_xlfn.XLOOKUP(F829,Apuração!A:A,Apuração!B:B)&gt;=1.15,1.15,SUM(IFERROR(IF(INDEX(AW829:INDEX(AW829:BH829, MATCH(2, 1/(AW829:BH829&lt;&gt;""), 1)-1), ROW(INDIRECT("1:" &amp; MATCH(2, 1/(AW829:BH829&lt;&gt;""), 1)-1))) &gt;= 115%, 115%, INDEX(AW829:INDEX(AW829:BH829, MATCH(2, 1/(AW829:BH829&lt;&gt;""), 1)-1), ROW(INDIRECT("1:" &amp; MATCH(2, 1/(AW829:BH829&lt;&gt;""), 1)-1)))), 0))/_xlfn.XLOOKUP(F829,Apuração!A:A,Apuração!B:B))</f>
        <v>0</v>
      </c>
      <c r="BM829" s="55" cm="1">
        <f t="array" ref="BM829">IFERROR(
   INDEX($AW$1:$BH$1,
      _xlfn.AGGREGATE(14, 6, COLUMN($AW$1:$BH$1)/(AW829:BH829&lt;&gt;""), 2) - COLUMN($AW$1) + 1
   ),
"")</f>
        <v>46113</v>
      </c>
      <c r="BN829" s="55" cm="1">
        <f t="array" ref="BN829">IFERROR(INDEX($AW$1:$BH$1,1,MATCH(2,1/(AW829:BH829&lt;&gt;""))),"")</f>
        <v>46143</v>
      </c>
      <c r="BO829" s="53">
        <f ca="1">IFERROR(_xlfn.XLOOKUP(F829,Apuração!A:A,Apuração!C:C)/_xlfn.XLOOKUP(F829,Apuração!A:A,Apuração!B:B),0)</f>
        <v>0</v>
      </c>
      <c r="BP829" s="53">
        <f ca="1">IFERROR(_xlfn.XLOOKUP(F829,Apuração!A:A,Apuração!D:D)/_xlfn.XLOOKUP(F829,Apuração!A:A,Apuração!B:B),0)</f>
        <v>0</v>
      </c>
      <c r="BQ829" s="53">
        <f ca="1">IF(BK829&gt;=BO829,0,_xlfn.XLOOKUP(F829,Apuração!A:A,Apuração!B:B)*(BO829 + (1/_xlfn.XLOOKUP(F829,Apuração!A:A,Apuração!B:B)) - BK829))</f>
        <v>0</v>
      </c>
      <c r="BR829" s="85">
        <f t="shared" ca="1" si="1119"/>
        <v>0</v>
      </c>
      <c r="BS829" s="53">
        <f ca="1">IFERROR((_xlfn.XLOOKUP(F829,Apuração!A:A,Apuração!C:C)+1)/_xlfn.XLOOKUP(F829,Apuração!A:A,Apuração!B:B),0)</f>
        <v>0.14285714285714285</v>
      </c>
    </row>
    <row r="830" spans="1:71" ht="25.95" hidden="1" customHeight="1" x14ac:dyDescent="0.3">
      <c r="A830" s="23" t="s">
        <v>134</v>
      </c>
      <c r="B830" s="4" t="s">
        <v>174</v>
      </c>
      <c r="C830" s="5" t="s">
        <v>97</v>
      </c>
      <c r="D830" s="5" t="s">
        <v>101</v>
      </c>
      <c r="E830" s="4" t="s">
        <v>96</v>
      </c>
      <c r="F830" s="4" t="str" cm="1">
        <f t="array" ref="F830">_xlfn.IFS(
AG830 &lt;&gt; "", "Jan-Dez/26",
AH830 &lt;&gt; "", "Fev-Dez/26",
AI830 &lt;&gt; "", "Mar-Dez/26", AJ830 &lt;&gt; "", "Abr-Dez/26",
TRUE, "A partir de Junho"
)</f>
        <v>A partir de Junho</v>
      </c>
      <c r="G830" s="4" t="s">
        <v>62</v>
      </c>
      <c r="H830" s="7" t="s">
        <v>38</v>
      </c>
      <c r="I830" s="8" t="s">
        <v>171</v>
      </c>
      <c r="J830" s="8" t="str" cm="1">
        <f t="array" aca="1" ref="J830" ca="1">_xlfn.LET(
  _xlpm.actual_value_month, INDEX(T830:AE830, MATCH(DATE(YEAR(TODAY()), MONTH(TODAY()), 1), $T$1:$AE$1, 0)),
  IF(_xlpm.actual_value_month &lt;&gt; "",_xlpm.actual_value_month &amp; " ações mensais", "")
)</f>
        <v/>
      </c>
      <c r="K830" s="8" t="str" cm="1">
        <f t="array" ref="K830">_xlfn.LET(
    _xlpm.sum_month, SUM(T830:AE830),
    IF(_xlpm.sum_month = 0, "", _xlpm.sum_month &amp; " colaboradores impactados no ano")
)</f>
        <v/>
      </c>
      <c r="L830" s="9" t="s">
        <v>172</v>
      </c>
      <c r="M830" s="24">
        <v>1</v>
      </c>
      <c r="N830" s="5" t="s">
        <v>42</v>
      </c>
      <c r="O830" s="5" t="s">
        <v>43</v>
      </c>
      <c r="P830" s="10" t="s">
        <v>44</v>
      </c>
      <c r="Q830" s="10" t="s">
        <v>72</v>
      </c>
      <c r="R830" s="11" t="s">
        <v>66</v>
      </c>
      <c r="S830" s="11" t="s">
        <v>67</v>
      </c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G830" s="71"/>
      <c r="AH830" s="71"/>
      <c r="AI830" s="71"/>
      <c r="AJ830" s="71"/>
      <c r="AK830" s="71"/>
      <c r="AL830" s="71"/>
      <c r="AM830" s="71"/>
      <c r="AN830" s="71"/>
      <c r="AO830" s="71"/>
      <c r="AP830" s="71"/>
      <c r="AQ830" s="71"/>
      <c r="AR830" s="71"/>
      <c r="AS830" s="94">
        <f t="shared" ca="1" si="1112"/>
        <v>0</v>
      </c>
      <c r="AT830" s="95">
        <f t="shared" si="1113"/>
        <v>0</v>
      </c>
      <c r="AU830" s="97">
        <f t="shared" si="1114"/>
        <v>0</v>
      </c>
      <c r="AW830" s="51">
        <f t="shared" si="1115"/>
        <v>0</v>
      </c>
      <c r="AX830" s="51">
        <f t="shared" si="1116"/>
        <v>0</v>
      </c>
      <c r="AY830" s="51">
        <f t="shared" si="1117"/>
        <v>0</v>
      </c>
      <c r="AZ830" s="51">
        <f t="shared" si="1118"/>
        <v>0</v>
      </c>
      <c r="BA830" s="51">
        <f t="shared" si="1087"/>
        <v>0</v>
      </c>
      <c r="BB830" s="51"/>
      <c r="BC830" s="51"/>
      <c r="BD830" s="51"/>
      <c r="BE830" s="51"/>
      <c r="BF830" s="51"/>
      <c r="BG830" s="51"/>
      <c r="BH830" s="51"/>
      <c r="BI830" s="65" cm="1">
        <f t="array" ref="BI830">IFERROR(INDEX(AW830:BH830,1,MATCH(2,1/(AW830:BH830&lt;&gt;""))),"")</f>
        <v>0</v>
      </c>
      <c r="BJ830" s="68" cm="1">
        <f t="array" ref="BJ830">IF(BM830 = "", "",IFERROR(INDEX(AW830:BH830,1,MATCH(2,1/(AW830:BH830&lt;&gt;""),1)-1),""))</f>
        <v>0</v>
      </c>
      <c r="BK830" s="58">
        <f>IF((IF(AW830&gt;=115%,115%,AW830) + IF(AX830&gt;=115%,115%,AX830) + IF(AY830&gt;=115%,115%,AY830) + (IF(AZ830&gt;=115%,115%,AZ830) + IF(BA830&gt;=133%,133%,BA830) + IF(BB830&gt;=115%,115%,BB830) + IF(BC830&gt;=115%,115%,BC830) + IF(BD830&gt;=115%,115%,BD830) + IF(BE830&gt;=115%,115%,BE830) + IF(BF830&gt;=115%,115%,BF830) + IF(BG830&gt;=115%,115%,BG830) + IF(BH830&gt;=115%,115%,BH830)))/_xlfn.XLOOKUP(F830,Apuração!A:A,Apuração!B:B)&gt;=1.15,1.15,((IF(AZ830&gt;=115%,115%,AZ830) + IF(AX830&gt;=115%,115%,AX830) + IF(AY830&gt;=115%,115%,AY830) + (IF(AW830&gt;=115%,115%,AW830) + IF(BA830&gt;=133%,133%,BA830) + IF(BB830&gt;=115%,115%,BB830) + IF(BC830&gt;=115%,115%,BC830) + IF(BD830&gt;=115%,115%,BD830) + IF(BE830&gt;=115%,115%,BE830) + IF(BF830&gt;=115%,115%,BF830) + IF(BG830&gt;=115%,115%,BG830) + IF(BH830&gt;=115%,115%,BH830)))/_xlfn.XLOOKUP(F830,Apuração!A:A,Apuração!B:B)))</f>
        <v>0</v>
      </c>
      <c r="BL830" s="58" cm="1">
        <f t="array" aca="1" ref="BL830" ca="1">IF(SUM(IFERROR(IF(INDEX(AW830:INDEX(AW830:BH830, MATCH(2, 1/(AW830:BH830&lt;&gt;""), 1)-1), ROW(INDIRECT("1:" &amp; MATCH(2, 1/(AW830:BH830&lt;&gt;""), 1)-1))) &gt;= 115%, 115%, INDEX(AW830:INDEX(AW830:BH830, MATCH(2, 1/(AW830:BH830&lt;&gt;""), 1)-1), ROW(INDIRECT("1:" &amp; MATCH(2, 1/(AW830:BH830&lt;&gt;""), 1)-1)))), 0))/_xlfn.XLOOKUP(F830,Apuração!A:A,Apuração!B:B)&gt;=1.15,1.15,SUM(IFERROR(IF(INDEX(AW830:INDEX(AW830:BH830, MATCH(2, 1/(AW830:BH830&lt;&gt;""), 1)-1), ROW(INDIRECT("1:" &amp; MATCH(2, 1/(AW830:BH830&lt;&gt;""), 1)-1))) &gt;= 115%, 115%, INDEX(AW830:INDEX(AW830:BH830, MATCH(2, 1/(AW830:BH830&lt;&gt;""), 1)-1), ROW(INDIRECT("1:" &amp; MATCH(2, 1/(AW830:BH830&lt;&gt;""), 1)-1)))), 0))/_xlfn.XLOOKUP(F830,Apuração!A:A,Apuração!B:B))</f>
        <v>0</v>
      </c>
      <c r="BM830" s="55" cm="1">
        <f t="array" ref="BM830">IFERROR(
   INDEX($AW$1:$BH$1,
      _xlfn.AGGREGATE(14, 6, COLUMN($AW$1:$BH$1)/(AW830:BH830&lt;&gt;""), 2) - COLUMN($AW$1) + 1
   ),
"")</f>
        <v>46113</v>
      </c>
      <c r="BN830" s="55" cm="1">
        <f t="array" ref="BN830">IFERROR(INDEX($AW$1:$BH$1,1,MATCH(2,1/(AW830:BH830&lt;&gt;""))),"")</f>
        <v>46143</v>
      </c>
      <c r="BO830" s="53">
        <f ca="1">IFERROR(_xlfn.XLOOKUP(F830,Apuração!A:A,Apuração!C:C)/_xlfn.XLOOKUP(F830,Apuração!A:A,Apuração!B:B),0)</f>
        <v>0</v>
      </c>
      <c r="BP830" s="53">
        <f ca="1">IFERROR(_xlfn.XLOOKUP(F830,Apuração!A:A,Apuração!D:D)/_xlfn.XLOOKUP(F830,Apuração!A:A,Apuração!B:B),0)</f>
        <v>0</v>
      </c>
      <c r="BQ830" s="53">
        <f ca="1">IF(BK830&gt;=BO830,0,_xlfn.XLOOKUP(F830,Apuração!A:A,Apuração!B:B)*(BO830 + (1/_xlfn.XLOOKUP(F830,Apuração!A:A,Apuração!B:B)) - BK830))</f>
        <v>0</v>
      </c>
      <c r="BR830" s="85">
        <f t="shared" ca="1" si="1119"/>
        <v>0</v>
      </c>
      <c r="BS830" s="53">
        <f ca="1">IFERROR((_xlfn.XLOOKUP(F830,Apuração!A:A,Apuração!C:C)+1)/_xlfn.XLOOKUP(F830,Apuração!A:A,Apuração!B:B),0)</f>
        <v>0.14285714285714285</v>
      </c>
    </row>
    <row r="831" spans="1:71" ht="25.95" hidden="1" customHeight="1" x14ac:dyDescent="0.3">
      <c r="A831" s="23" t="s">
        <v>134</v>
      </c>
      <c r="B831" s="4" t="s">
        <v>174</v>
      </c>
      <c r="C831" s="5" t="s">
        <v>97</v>
      </c>
      <c r="D831" s="5" t="s">
        <v>102</v>
      </c>
      <c r="E831" s="4" t="s">
        <v>96</v>
      </c>
      <c r="F831" s="4" t="str" cm="1">
        <f t="array" ref="F831">_xlfn.IFS(
AG831 &lt;&gt; "", "Jan-Dez/26",
AH831 &lt;&gt; "", "Fev-Dez/26",
AI831 &lt;&gt; "", "Mar-Dez/26", AJ831 &lt;&gt; "", "Abr-Dez/26",
TRUE, "A partir de Junho"
)</f>
        <v>A partir de Junho</v>
      </c>
      <c r="G831" s="4" t="s">
        <v>62</v>
      </c>
      <c r="H831" s="7" t="s">
        <v>38</v>
      </c>
      <c r="I831" s="8" t="s">
        <v>171</v>
      </c>
      <c r="J831" s="8" t="str" cm="1">
        <f t="array" aca="1" ref="J831" ca="1">_xlfn.LET(
  _xlpm.actual_value_month, INDEX(T831:AE831, MATCH(DATE(YEAR(TODAY()), MONTH(TODAY()), 1), $T$1:$AE$1, 0)),
  IF(_xlpm.actual_value_month &lt;&gt; "",_xlpm.actual_value_month &amp; " ações mensais", "")
)</f>
        <v/>
      </c>
      <c r="K831" s="8" t="str" cm="1">
        <f t="array" ref="K831">_xlfn.LET(
    _xlpm.sum_month, SUM(T831:AE831),
    IF(_xlpm.sum_month = 0, "", _xlpm.sum_month &amp; " colaboradores impactados no ano")
)</f>
        <v/>
      </c>
      <c r="L831" s="9" t="s">
        <v>172</v>
      </c>
      <c r="M831" s="24">
        <v>1</v>
      </c>
      <c r="N831" s="5" t="s">
        <v>42</v>
      </c>
      <c r="O831" s="5" t="s">
        <v>43</v>
      </c>
      <c r="P831" s="10" t="s">
        <v>44</v>
      </c>
      <c r="Q831" s="10" t="s">
        <v>72</v>
      </c>
      <c r="R831" s="11" t="s">
        <v>66</v>
      </c>
      <c r="S831" s="11" t="s">
        <v>67</v>
      </c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G831" s="71"/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  <c r="AR831" s="71"/>
      <c r="AS831" s="94">
        <f t="shared" ca="1" si="1112"/>
        <v>0</v>
      </c>
      <c r="AT831" s="95">
        <f t="shared" si="1113"/>
        <v>0</v>
      </c>
      <c r="AU831" s="97">
        <f t="shared" si="1114"/>
        <v>0</v>
      </c>
      <c r="AW831" s="51">
        <f t="shared" si="1115"/>
        <v>0</v>
      </c>
      <c r="AX831" s="51">
        <f t="shared" si="1116"/>
        <v>0</v>
      </c>
      <c r="AY831" s="51">
        <f t="shared" si="1117"/>
        <v>0</v>
      </c>
      <c r="AZ831" s="51">
        <f t="shared" si="1118"/>
        <v>0</v>
      </c>
      <c r="BA831" s="51">
        <f t="shared" si="1087"/>
        <v>0</v>
      </c>
      <c r="BB831" s="51"/>
      <c r="BC831" s="51"/>
      <c r="BD831" s="51"/>
      <c r="BE831" s="51"/>
      <c r="BF831" s="51"/>
      <c r="BG831" s="51"/>
      <c r="BH831" s="51"/>
      <c r="BI831" s="65" cm="1">
        <f t="array" ref="BI831">IFERROR(INDEX(AW831:BH831,1,MATCH(2,1/(AW831:BH831&lt;&gt;""))),"")</f>
        <v>0</v>
      </c>
      <c r="BJ831" s="68" cm="1">
        <f t="array" ref="BJ831">IF(BM831 = "", "",IFERROR(INDEX(AW831:BH831,1,MATCH(2,1/(AW831:BH831&lt;&gt;""),1)-1),""))</f>
        <v>0</v>
      </c>
      <c r="BK831" s="58">
        <f>IF((IF(AW831&gt;=115%,115%,AW831) + IF(AX831&gt;=115%,115%,AX831) + IF(AY831&gt;=115%,115%,AY831) + (IF(AZ831&gt;=115%,115%,AZ831) + IF(BA831&gt;=133%,133%,BA831) + IF(BB831&gt;=115%,115%,BB831) + IF(BC831&gt;=115%,115%,BC831) + IF(BD831&gt;=115%,115%,BD831) + IF(BE831&gt;=115%,115%,BE831) + IF(BF831&gt;=115%,115%,BF831) + IF(BG831&gt;=115%,115%,BG831) + IF(BH831&gt;=115%,115%,BH831)))/_xlfn.XLOOKUP(F831,Apuração!A:A,Apuração!B:B)&gt;=1.15,1.15,((IF(AZ831&gt;=115%,115%,AZ831) + IF(AX831&gt;=115%,115%,AX831) + IF(AY831&gt;=115%,115%,AY831) + (IF(AW831&gt;=115%,115%,AW831) + IF(BA831&gt;=133%,133%,BA831) + IF(BB831&gt;=115%,115%,BB831) + IF(BC831&gt;=115%,115%,BC831) + IF(BD831&gt;=115%,115%,BD831) + IF(BE831&gt;=115%,115%,BE831) + IF(BF831&gt;=115%,115%,BF831) + IF(BG831&gt;=115%,115%,BG831) + IF(BH831&gt;=115%,115%,BH831)))/_xlfn.XLOOKUP(F831,Apuração!A:A,Apuração!B:B)))</f>
        <v>0</v>
      </c>
      <c r="BL831" s="58" cm="1">
        <f t="array" aca="1" ref="BL831" ca="1">IF(SUM(IFERROR(IF(INDEX(AW831:INDEX(AW831:BH831, MATCH(2, 1/(AW831:BH831&lt;&gt;""), 1)-1), ROW(INDIRECT("1:" &amp; MATCH(2, 1/(AW831:BH831&lt;&gt;""), 1)-1))) &gt;= 115%, 115%, INDEX(AW831:INDEX(AW831:BH831, MATCH(2, 1/(AW831:BH831&lt;&gt;""), 1)-1), ROW(INDIRECT("1:" &amp; MATCH(2, 1/(AW831:BH831&lt;&gt;""), 1)-1)))), 0))/_xlfn.XLOOKUP(F831,Apuração!A:A,Apuração!B:B)&gt;=1.15,1.15,SUM(IFERROR(IF(INDEX(AW831:INDEX(AW831:BH831, MATCH(2, 1/(AW831:BH831&lt;&gt;""), 1)-1), ROW(INDIRECT("1:" &amp; MATCH(2, 1/(AW831:BH831&lt;&gt;""), 1)-1))) &gt;= 115%, 115%, INDEX(AW831:INDEX(AW831:BH831, MATCH(2, 1/(AW831:BH831&lt;&gt;""), 1)-1), ROW(INDIRECT("1:" &amp; MATCH(2, 1/(AW831:BH831&lt;&gt;""), 1)-1)))), 0))/_xlfn.XLOOKUP(F831,Apuração!A:A,Apuração!B:B))</f>
        <v>0</v>
      </c>
      <c r="BM831" s="55" cm="1">
        <f t="array" ref="BM831">IFERROR(
   INDEX($AW$1:$BH$1,
      _xlfn.AGGREGATE(14, 6, COLUMN($AW$1:$BH$1)/(AW831:BH831&lt;&gt;""), 2) - COLUMN($AW$1) + 1
   ),
"")</f>
        <v>46113</v>
      </c>
      <c r="BN831" s="55" cm="1">
        <f t="array" ref="BN831">IFERROR(INDEX($AW$1:$BH$1,1,MATCH(2,1/(AW831:BH831&lt;&gt;""))),"")</f>
        <v>46143</v>
      </c>
      <c r="BO831" s="53">
        <f ca="1">IFERROR(_xlfn.XLOOKUP(F831,Apuração!A:A,Apuração!C:C)/_xlfn.XLOOKUP(F831,Apuração!A:A,Apuração!B:B),0)</f>
        <v>0</v>
      </c>
      <c r="BP831" s="53">
        <f ca="1">IFERROR(_xlfn.XLOOKUP(F831,Apuração!A:A,Apuração!D:D)/_xlfn.XLOOKUP(F831,Apuração!A:A,Apuração!B:B),0)</f>
        <v>0</v>
      </c>
      <c r="BQ831" s="53">
        <f ca="1">IF(BK831&gt;=BO831,0,_xlfn.XLOOKUP(F831,Apuração!A:A,Apuração!B:B)*(BO831 + (1/_xlfn.XLOOKUP(F831,Apuração!A:A,Apuração!B:B)) - BK831))</f>
        <v>0</v>
      </c>
      <c r="BR831" s="85">
        <f t="shared" ca="1" si="1119"/>
        <v>0</v>
      </c>
      <c r="BS831" s="53">
        <f ca="1">IFERROR((_xlfn.XLOOKUP(F831,Apuração!A:A,Apuração!C:C)+1)/_xlfn.XLOOKUP(F831,Apuração!A:A,Apuração!B:B),0)</f>
        <v>0.14285714285714285</v>
      </c>
    </row>
    <row r="832" spans="1:71" ht="25.95" hidden="1" customHeight="1" x14ac:dyDescent="0.3">
      <c r="A832" s="23" t="s">
        <v>134</v>
      </c>
      <c r="B832" s="4" t="s">
        <v>174</v>
      </c>
      <c r="C832" s="5" t="s">
        <v>97</v>
      </c>
      <c r="D832" s="5" t="s">
        <v>103</v>
      </c>
      <c r="E832" s="4" t="s">
        <v>96</v>
      </c>
      <c r="F832" s="4" t="str" cm="1">
        <f t="array" ref="F832">_xlfn.IFS(
AG832 &lt;&gt; "", "Jan-Dez/26",
AH832 &lt;&gt; "", "Fev-Dez/26",
AI832 &lt;&gt; "", "Mar-Dez/26", AJ832 &lt;&gt; "", "Abr-Dez/26",
TRUE, "A partir de Junho"
)</f>
        <v>A partir de Junho</v>
      </c>
      <c r="G832" s="4" t="s">
        <v>62</v>
      </c>
      <c r="H832" s="7" t="s">
        <v>38</v>
      </c>
      <c r="I832" s="8" t="s">
        <v>171</v>
      </c>
      <c r="J832" s="8" t="str" cm="1">
        <f t="array" aca="1" ref="J832" ca="1">_xlfn.LET(
  _xlpm.actual_value_month, INDEX(T832:AE832, MATCH(DATE(YEAR(TODAY()), MONTH(TODAY()), 1), $T$1:$AE$1, 0)),
  IF(_xlpm.actual_value_month &lt;&gt; "",_xlpm.actual_value_month &amp; " ações mensais", "")
)</f>
        <v/>
      </c>
      <c r="K832" s="8" t="str" cm="1">
        <f t="array" ref="K832">_xlfn.LET(
    _xlpm.sum_month, SUM(T832:AE832),
    IF(_xlpm.sum_month = 0, "", _xlpm.sum_month &amp; " colaboradores impactados no ano")
)</f>
        <v/>
      </c>
      <c r="L832" s="9" t="s">
        <v>172</v>
      </c>
      <c r="M832" s="24">
        <v>1</v>
      </c>
      <c r="N832" s="5" t="s">
        <v>42</v>
      </c>
      <c r="O832" s="5" t="s">
        <v>43</v>
      </c>
      <c r="P832" s="10" t="s">
        <v>44</v>
      </c>
      <c r="Q832" s="10" t="s">
        <v>72</v>
      </c>
      <c r="R832" s="11" t="s">
        <v>66</v>
      </c>
      <c r="S832" s="11" t="s">
        <v>67</v>
      </c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G832" s="71"/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  <c r="AR832" s="71"/>
      <c r="AS832" s="94">
        <f t="shared" ca="1" si="1112"/>
        <v>0</v>
      </c>
      <c r="AT832" s="95">
        <f t="shared" si="1113"/>
        <v>0</v>
      </c>
      <c r="AU832" s="97">
        <f t="shared" si="1114"/>
        <v>0</v>
      </c>
      <c r="AW832" s="51">
        <f t="shared" si="1115"/>
        <v>0</v>
      </c>
      <c r="AX832" s="51">
        <f t="shared" si="1116"/>
        <v>0</v>
      </c>
      <c r="AY832" s="51">
        <f t="shared" si="1117"/>
        <v>0</v>
      </c>
      <c r="AZ832" s="51">
        <f t="shared" si="1118"/>
        <v>0</v>
      </c>
      <c r="BA832" s="51">
        <f t="shared" si="1087"/>
        <v>0</v>
      </c>
      <c r="BB832" s="51"/>
      <c r="BC832" s="51"/>
      <c r="BD832" s="51"/>
      <c r="BE832" s="51"/>
      <c r="BF832" s="51"/>
      <c r="BG832" s="51"/>
      <c r="BH832" s="51"/>
      <c r="BI832" s="65" cm="1">
        <f t="array" ref="BI832">IFERROR(INDEX(AW832:BH832,1,MATCH(2,1/(AW832:BH832&lt;&gt;""))),"")</f>
        <v>0</v>
      </c>
      <c r="BJ832" s="68" cm="1">
        <f t="array" ref="BJ832">IF(BM832 = "", "",IFERROR(INDEX(AW832:BH832,1,MATCH(2,1/(AW832:BH832&lt;&gt;""),1)-1),""))</f>
        <v>0</v>
      </c>
      <c r="BK832" s="58">
        <f>IF((IF(AW832&gt;=115%,115%,AW832) + IF(AX832&gt;=115%,115%,AX832) + IF(AY832&gt;=115%,115%,AY832) + (IF(AZ832&gt;=115%,115%,AZ832) + IF(BA832&gt;=133%,133%,BA832) + IF(BB832&gt;=115%,115%,BB832) + IF(BC832&gt;=115%,115%,BC832) + IF(BD832&gt;=115%,115%,BD832) + IF(BE832&gt;=115%,115%,BE832) + IF(BF832&gt;=115%,115%,BF832) + IF(BG832&gt;=115%,115%,BG832) + IF(BH832&gt;=115%,115%,BH832)))/_xlfn.XLOOKUP(F832,Apuração!A:A,Apuração!B:B)&gt;=1.15,1.15,((IF(AZ832&gt;=115%,115%,AZ832) + IF(AX832&gt;=115%,115%,AX832) + IF(AY832&gt;=115%,115%,AY832) + (IF(AW832&gt;=115%,115%,AW832) + IF(BA832&gt;=133%,133%,BA832) + IF(BB832&gt;=115%,115%,BB832) + IF(BC832&gt;=115%,115%,BC832) + IF(BD832&gt;=115%,115%,BD832) + IF(BE832&gt;=115%,115%,BE832) + IF(BF832&gt;=115%,115%,BF832) + IF(BG832&gt;=115%,115%,BG832) + IF(BH832&gt;=115%,115%,BH832)))/_xlfn.XLOOKUP(F832,Apuração!A:A,Apuração!B:B)))</f>
        <v>0</v>
      </c>
      <c r="BL832" s="58" cm="1">
        <f t="array" aca="1" ref="BL832" ca="1">IF(SUM(IFERROR(IF(INDEX(AW832:INDEX(AW832:BH832, MATCH(2, 1/(AW832:BH832&lt;&gt;""), 1)-1), ROW(INDIRECT("1:" &amp; MATCH(2, 1/(AW832:BH832&lt;&gt;""), 1)-1))) &gt;= 115%, 115%, INDEX(AW832:INDEX(AW832:BH832, MATCH(2, 1/(AW832:BH832&lt;&gt;""), 1)-1), ROW(INDIRECT("1:" &amp; MATCH(2, 1/(AW832:BH832&lt;&gt;""), 1)-1)))), 0))/_xlfn.XLOOKUP(F832,Apuração!A:A,Apuração!B:B)&gt;=1.15,1.15,SUM(IFERROR(IF(INDEX(AW832:INDEX(AW832:BH832, MATCH(2, 1/(AW832:BH832&lt;&gt;""), 1)-1), ROW(INDIRECT("1:" &amp; MATCH(2, 1/(AW832:BH832&lt;&gt;""), 1)-1))) &gt;= 115%, 115%, INDEX(AW832:INDEX(AW832:BH832, MATCH(2, 1/(AW832:BH832&lt;&gt;""), 1)-1), ROW(INDIRECT("1:" &amp; MATCH(2, 1/(AW832:BH832&lt;&gt;""), 1)-1)))), 0))/_xlfn.XLOOKUP(F832,Apuração!A:A,Apuração!B:B))</f>
        <v>0</v>
      </c>
      <c r="BM832" s="55" cm="1">
        <f t="array" ref="BM832">IFERROR(
   INDEX($AW$1:$BH$1,
      _xlfn.AGGREGATE(14, 6, COLUMN($AW$1:$BH$1)/(AW832:BH832&lt;&gt;""), 2) - COLUMN($AW$1) + 1
   ),
"")</f>
        <v>46113</v>
      </c>
      <c r="BN832" s="55" cm="1">
        <f t="array" ref="BN832">IFERROR(INDEX($AW$1:$BH$1,1,MATCH(2,1/(AW832:BH832&lt;&gt;""))),"")</f>
        <v>46143</v>
      </c>
      <c r="BO832" s="53">
        <f ca="1">IFERROR(_xlfn.XLOOKUP(F832,Apuração!A:A,Apuração!C:C)/_xlfn.XLOOKUP(F832,Apuração!A:A,Apuração!B:B),0)</f>
        <v>0</v>
      </c>
      <c r="BP832" s="53">
        <f ca="1">IFERROR(_xlfn.XLOOKUP(F832,Apuração!A:A,Apuração!D:D)/_xlfn.XLOOKUP(F832,Apuração!A:A,Apuração!B:B),0)</f>
        <v>0</v>
      </c>
      <c r="BQ832" s="53">
        <f ca="1">IF(BK832&gt;=BO832,0,_xlfn.XLOOKUP(F832,Apuração!A:A,Apuração!B:B)*(BO832 + (1/_xlfn.XLOOKUP(F832,Apuração!A:A,Apuração!B:B)) - BK832))</f>
        <v>0</v>
      </c>
      <c r="BR832" s="85">
        <f t="shared" ca="1" si="1119"/>
        <v>0</v>
      </c>
      <c r="BS832" s="53">
        <f ca="1">IFERROR((_xlfn.XLOOKUP(F832,Apuração!A:A,Apuração!C:C)+1)/_xlfn.XLOOKUP(F832,Apuração!A:A,Apuração!B:B),0)</f>
        <v>0.14285714285714285</v>
      </c>
    </row>
    <row r="833" spans="1:71" ht="25.95" hidden="1" customHeight="1" x14ac:dyDescent="0.3">
      <c r="A833" s="23" t="s">
        <v>134</v>
      </c>
      <c r="B833" s="4" t="s">
        <v>174</v>
      </c>
      <c r="C833" s="5" t="s">
        <v>97</v>
      </c>
      <c r="D833" s="5" t="s">
        <v>104</v>
      </c>
      <c r="E833" s="4" t="s">
        <v>96</v>
      </c>
      <c r="F833" s="4" t="str" cm="1">
        <f t="array" ref="F833">_xlfn.IFS(
AG833 &lt;&gt; "", "Jan-Dez/26",
AH833 &lt;&gt; "", "Fev-Dez/26",
AI833 &lt;&gt; "", "Mar-Dez/26", AJ833 &lt;&gt; "", "Abr-Dez/26",
TRUE, "A partir de Junho"
)</f>
        <v>A partir de Junho</v>
      </c>
      <c r="G833" s="4" t="s">
        <v>62</v>
      </c>
      <c r="H833" s="7" t="s">
        <v>38</v>
      </c>
      <c r="I833" s="8" t="s">
        <v>171</v>
      </c>
      <c r="J833" s="8" t="str" cm="1">
        <f t="array" aca="1" ref="J833" ca="1">_xlfn.LET(
  _xlpm.actual_value_month, INDEX(T833:AE833, MATCH(DATE(YEAR(TODAY()), MONTH(TODAY()), 1), $T$1:$AE$1, 0)),
  IF(_xlpm.actual_value_month &lt;&gt; "",_xlpm.actual_value_month &amp; " ações mensais", "")
)</f>
        <v/>
      </c>
      <c r="K833" s="8" t="str" cm="1">
        <f t="array" ref="K833">_xlfn.LET(
    _xlpm.sum_month, SUM(T833:AE833),
    IF(_xlpm.sum_month = 0, "", _xlpm.sum_month &amp; " colaboradores impactados no ano")
)</f>
        <v/>
      </c>
      <c r="L833" s="9" t="s">
        <v>172</v>
      </c>
      <c r="M833" s="24">
        <v>1</v>
      </c>
      <c r="N833" s="5" t="s">
        <v>42</v>
      </c>
      <c r="O833" s="5" t="s">
        <v>43</v>
      </c>
      <c r="P833" s="10" t="s">
        <v>44</v>
      </c>
      <c r="Q833" s="10" t="s">
        <v>72</v>
      </c>
      <c r="R833" s="11" t="s">
        <v>66</v>
      </c>
      <c r="S833" s="11" t="s">
        <v>67</v>
      </c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G833" s="71"/>
      <c r="AH833" s="71"/>
      <c r="AI833" s="71"/>
      <c r="AJ833" s="71"/>
      <c r="AK833" s="71"/>
      <c r="AL833" s="71"/>
      <c r="AM833" s="71"/>
      <c r="AN833" s="71"/>
      <c r="AO833" s="71"/>
      <c r="AP833" s="71"/>
      <c r="AQ833" s="71"/>
      <c r="AR833" s="71"/>
      <c r="AS833" s="94">
        <f t="shared" ca="1" si="1112"/>
        <v>0</v>
      </c>
      <c r="AT833" s="95">
        <f t="shared" si="1113"/>
        <v>0</v>
      </c>
      <c r="AU833" s="97">
        <f t="shared" si="1114"/>
        <v>0</v>
      </c>
      <c r="AW833" s="51">
        <f t="shared" si="1115"/>
        <v>0</v>
      </c>
      <c r="AX833" s="51">
        <f t="shared" si="1116"/>
        <v>0</v>
      </c>
      <c r="AY833" s="51">
        <f t="shared" si="1117"/>
        <v>0</v>
      </c>
      <c r="AZ833" s="51">
        <f t="shared" si="1118"/>
        <v>0</v>
      </c>
      <c r="BA833" s="51">
        <f t="shared" si="1087"/>
        <v>0</v>
      </c>
      <c r="BB833" s="51"/>
      <c r="BC833" s="51"/>
      <c r="BD833" s="51"/>
      <c r="BE833" s="51"/>
      <c r="BF833" s="51"/>
      <c r="BG833" s="51"/>
      <c r="BH833" s="51"/>
      <c r="BI833" s="65" cm="1">
        <f t="array" ref="BI833">IFERROR(INDEX(AW833:BH833,1,MATCH(2,1/(AW833:BH833&lt;&gt;""))),"")</f>
        <v>0</v>
      </c>
      <c r="BJ833" s="68" cm="1">
        <f t="array" ref="BJ833">IF(BM833 = "", "",IFERROR(INDEX(AW833:BH833,1,MATCH(2,1/(AW833:BH833&lt;&gt;""),1)-1),""))</f>
        <v>0</v>
      </c>
      <c r="BK833" s="58">
        <f>IF((IF(AW833&gt;=115%,115%,AW833) + IF(AX833&gt;=115%,115%,AX833) + IF(AY833&gt;=115%,115%,AY833) + (IF(AZ833&gt;=115%,115%,AZ833) + IF(BA833&gt;=133%,133%,BA833) + IF(BB833&gt;=115%,115%,BB833) + IF(BC833&gt;=115%,115%,BC833) + IF(BD833&gt;=115%,115%,BD833) + IF(BE833&gt;=115%,115%,BE833) + IF(BF833&gt;=115%,115%,BF833) + IF(BG833&gt;=115%,115%,BG833) + IF(BH833&gt;=115%,115%,BH833)))/_xlfn.XLOOKUP(F833,Apuração!A:A,Apuração!B:B)&gt;=1.15,1.15,((IF(AZ833&gt;=115%,115%,AZ833) + IF(AX833&gt;=115%,115%,AX833) + IF(AY833&gt;=115%,115%,AY833) + (IF(AW833&gt;=115%,115%,AW833) + IF(BA833&gt;=133%,133%,BA833) + IF(BB833&gt;=115%,115%,BB833) + IF(BC833&gt;=115%,115%,BC833) + IF(BD833&gt;=115%,115%,BD833) + IF(BE833&gt;=115%,115%,BE833) + IF(BF833&gt;=115%,115%,BF833) + IF(BG833&gt;=115%,115%,BG833) + IF(BH833&gt;=115%,115%,BH833)))/_xlfn.XLOOKUP(F833,Apuração!A:A,Apuração!B:B)))</f>
        <v>0</v>
      </c>
      <c r="BL833" s="58" cm="1">
        <f t="array" aca="1" ref="BL833" ca="1">IF(SUM(IFERROR(IF(INDEX(AW833:INDEX(AW833:BH833, MATCH(2, 1/(AW833:BH833&lt;&gt;""), 1)-1), ROW(INDIRECT("1:" &amp; MATCH(2, 1/(AW833:BH833&lt;&gt;""), 1)-1))) &gt;= 115%, 115%, INDEX(AW833:INDEX(AW833:BH833, MATCH(2, 1/(AW833:BH833&lt;&gt;""), 1)-1), ROW(INDIRECT("1:" &amp; MATCH(2, 1/(AW833:BH833&lt;&gt;""), 1)-1)))), 0))/_xlfn.XLOOKUP(F833,Apuração!A:A,Apuração!B:B)&gt;=1.15,1.15,SUM(IFERROR(IF(INDEX(AW833:INDEX(AW833:BH833, MATCH(2, 1/(AW833:BH833&lt;&gt;""), 1)-1), ROW(INDIRECT("1:" &amp; MATCH(2, 1/(AW833:BH833&lt;&gt;""), 1)-1))) &gt;= 115%, 115%, INDEX(AW833:INDEX(AW833:BH833, MATCH(2, 1/(AW833:BH833&lt;&gt;""), 1)-1), ROW(INDIRECT("1:" &amp; MATCH(2, 1/(AW833:BH833&lt;&gt;""), 1)-1)))), 0))/_xlfn.XLOOKUP(F833,Apuração!A:A,Apuração!B:B))</f>
        <v>0</v>
      </c>
      <c r="BM833" s="55" cm="1">
        <f t="array" ref="BM833">IFERROR(
   INDEX($AW$1:$BH$1,
      _xlfn.AGGREGATE(14, 6, COLUMN($AW$1:$BH$1)/(AW833:BH833&lt;&gt;""), 2) - COLUMN($AW$1) + 1
   ),
"")</f>
        <v>46113</v>
      </c>
      <c r="BN833" s="55" cm="1">
        <f t="array" ref="BN833">IFERROR(INDEX($AW$1:$BH$1,1,MATCH(2,1/(AW833:BH833&lt;&gt;""))),"")</f>
        <v>46143</v>
      </c>
      <c r="BO833" s="53">
        <f ca="1">IFERROR(_xlfn.XLOOKUP(F833,Apuração!A:A,Apuração!C:C)/_xlfn.XLOOKUP(F833,Apuração!A:A,Apuração!B:B),0)</f>
        <v>0</v>
      </c>
      <c r="BP833" s="53">
        <f ca="1">IFERROR(_xlfn.XLOOKUP(F833,Apuração!A:A,Apuração!D:D)/_xlfn.XLOOKUP(F833,Apuração!A:A,Apuração!B:B),0)</f>
        <v>0</v>
      </c>
      <c r="BQ833" s="53">
        <f ca="1">IF(BK833&gt;=BO833,0,_xlfn.XLOOKUP(F833,Apuração!A:A,Apuração!B:B)*(BO833 + (1/_xlfn.XLOOKUP(F833,Apuração!A:A,Apuração!B:B)) - BK833))</f>
        <v>0</v>
      </c>
      <c r="BR833" s="85">
        <f t="shared" ca="1" si="1119"/>
        <v>0</v>
      </c>
      <c r="BS833" s="53">
        <f ca="1">IFERROR((_xlfn.XLOOKUP(F833,Apuração!A:A,Apuração!C:C)+1)/_xlfn.XLOOKUP(F833,Apuração!A:A,Apuração!B:B),0)</f>
        <v>0.14285714285714285</v>
      </c>
    </row>
    <row r="834" spans="1:71" ht="25.95" hidden="1" customHeight="1" x14ac:dyDescent="0.3">
      <c r="A834" s="23" t="s">
        <v>134</v>
      </c>
      <c r="B834" s="4" t="s">
        <v>174</v>
      </c>
      <c r="C834" s="5" t="s">
        <v>97</v>
      </c>
      <c r="D834" s="5" t="s">
        <v>105</v>
      </c>
      <c r="E834" s="4" t="s">
        <v>96</v>
      </c>
      <c r="F834" s="4" t="str" cm="1">
        <f t="array" ref="F834">_xlfn.IFS(
AG834 &lt;&gt; "", "Jan-Dez/26",
AH834 &lt;&gt; "", "Fev-Dez/26",
AI834 &lt;&gt; "", "Mar-Dez/26", AJ834 &lt;&gt; "", "Abr-Dez/26",
TRUE, "A partir de Junho"
)</f>
        <v>A partir de Junho</v>
      </c>
      <c r="G834" s="4" t="s">
        <v>62</v>
      </c>
      <c r="H834" s="7" t="s">
        <v>38</v>
      </c>
      <c r="I834" s="8" t="s">
        <v>171</v>
      </c>
      <c r="J834" s="8" t="str" cm="1">
        <f t="array" aca="1" ref="J834" ca="1">_xlfn.LET(
  _xlpm.actual_value_month, INDEX(T834:AE834, MATCH(DATE(YEAR(TODAY()), MONTH(TODAY()), 1), $T$1:$AE$1, 0)),
  IF(_xlpm.actual_value_month &lt;&gt; "",_xlpm.actual_value_month &amp; " ações mensais", "")
)</f>
        <v/>
      </c>
      <c r="K834" s="8" t="str" cm="1">
        <f t="array" ref="K834">_xlfn.LET(
    _xlpm.sum_month, SUM(T834:AE834),
    IF(_xlpm.sum_month = 0, "", _xlpm.sum_month &amp; " colaboradores impactados no ano")
)</f>
        <v/>
      </c>
      <c r="L834" s="9" t="s">
        <v>172</v>
      </c>
      <c r="M834" s="24">
        <v>1</v>
      </c>
      <c r="N834" s="5" t="s">
        <v>42</v>
      </c>
      <c r="O834" s="5" t="s">
        <v>43</v>
      </c>
      <c r="P834" s="10" t="s">
        <v>44</v>
      </c>
      <c r="Q834" s="10" t="s">
        <v>72</v>
      </c>
      <c r="R834" s="11" t="s">
        <v>66</v>
      </c>
      <c r="S834" s="11" t="s">
        <v>67</v>
      </c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G834" s="71"/>
      <c r="AH834" s="71"/>
      <c r="AI834" s="71"/>
      <c r="AJ834" s="71"/>
      <c r="AK834" s="71"/>
      <c r="AL834" s="71"/>
      <c r="AM834" s="71"/>
      <c r="AN834" s="71"/>
      <c r="AO834" s="71"/>
      <c r="AP834" s="71"/>
      <c r="AQ834" s="71"/>
      <c r="AR834" s="71"/>
      <c r="AS834" s="94">
        <f t="shared" ca="1" si="1112"/>
        <v>0</v>
      </c>
      <c r="AT834" s="95">
        <f t="shared" si="1113"/>
        <v>0</v>
      </c>
      <c r="AU834" s="97">
        <f t="shared" si="1114"/>
        <v>0</v>
      </c>
      <c r="AW834" s="51">
        <f t="shared" si="1115"/>
        <v>0</v>
      </c>
      <c r="AX834" s="51">
        <f t="shared" si="1116"/>
        <v>0</v>
      </c>
      <c r="AY834" s="51">
        <f t="shared" si="1117"/>
        <v>0</v>
      </c>
      <c r="AZ834" s="51">
        <f t="shared" si="1118"/>
        <v>0</v>
      </c>
      <c r="BA834" s="51">
        <f t="shared" si="1087"/>
        <v>0</v>
      </c>
      <c r="BB834" s="51"/>
      <c r="BC834" s="51"/>
      <c r="BD834" s="51"/>
      <c r="BE834" s="51"/>
      <c r="BF834" s="51"/>
      <c r="BG834" s="51"/>
      <c r="BH834" s="51"/>
      <c r="BI834" s="65" cm="1">
        <f t="array" ref="BI834">IFERROR(INDEX(AW834:BH834,1,MATCH(2,1/(AW834:BH834&lt;&gt;""))),"")</f>
        <v>0</v>
      </c>
      <c r="BJ834" s="68" cm="1">
        <f t="array" ref="BJ834">IF(BM834 = "", "",IFERROR(INDEX(AW834:BH834,1,MATCH(2,1/(AW834:BH834&lt;&gt;""),1)-1),""))</f>
        <v>0</v>
      </c>
      <c r="BK834" s="58">
        <f>IF((IF(AW834&gt;=115%,115%,AW834) + IF(AX834&gt;=115%,115%,AX834) + IF(AY834&gt;=115%,115%,AY834) + (IF(AZ834&gt;=115%,115%,AZ834) + IF(BA834&gt;=133%,133%,BA834) + IF(BB834&gt;=115%,115%,BB834) + IF(BC834&gt;=115%,115%,BC834) + IF(BD834&gt;=115%,115%,BD834) + IF(BE834&gt;=115%,115%,BE834) + IF(BF834&gt;=115%,115%,BF834) + IF(BG834&gt;=115%,115%,BG834) + IF(BH834&gt;=115%,115%,BH834)))/_xlfn.XLOOKUP(F834,Apuração!A:A,Apuração!B:B)&gt;=1.15,1.15,((IF(AZ834&gt;=115%,115%,AZ834) + IF(AX834&gt;=115%,115%,AX834) + IF(AY834&gt;=115%,115%,AY834) + (IF(AW834&gt;=115%,115%,AW834) + IF(BA834&gt;=133%,133%,BA834) + IF(BB834&gt;=115%,115%,BB834) + IF(BC834&gt;=115%,115%,BC834) + IF(BD834&gt;=115%,115%,BD834) + IF(BE834&gt;=115%,115%,BE834) + IF(BF834&gt;=115%,115%,BF834) + IF(BG834&gt;=115%,115%,BG834) + IF(BH834&gt;=115%,115%,BH834)))/_xlfn.XLOOKUP(F834,Apuração!A:A,Apuração!B:B)))</f>
        <v>0</v>
      </c>
      <c r="BL834" s="58" cm="1">
        <f t="array" aca="1" ref="BL834" ca="1">IF(SUM(IFERROR(IF(INDEX(AW834:INDEX(AW834:BH834, MATCH(2, 1/(AW834:BH834&lt;&gt;""), 1)-1), ROW(INDIRECT("1:" &amp; MATCH(2, 1/(AW834:BH834&lt;&gt;""), 1)-1))) &gt;= 115%, 115%, INDEX(AW834:INDEX(AW834:BH834, MATCH(2, 1/(AW834:BH834&lt;&gt;""), 1)-1), ROW(INDIRECT("1:" &amp; MATCH(2, 1/(AW834:BH834&lt;&gt;""), 1)-1)))), 0))/_xlfn.XLOOKUP(F834,Apuração!A:A,Apuração!B:B)&gt;=1.15,1.15,SUM(IFERROR(IF(INDEX(AW834:INDEX(AW834:BH834, MATCH(2, 1/(AW834:BH834&lt;&gt;""), 1)-1), ROW(INDIRECT("1:" &amp; MATCH(2, 1/(AW834:BH834&lt;&gt;""), 1)-1))) &gt;= 115%, 115%, INDEX(AW834:INDEX(AW834:BH834, MATCH(2, 1/(AW834:BH834&lt;&gt;""), 1)-1), ROW(INDIRECT("1:" &amp; MATCH(2, 1/(AW834:BH834&lt;&gt;""), 1)-1)))), 0))/_xlfn.XLOOKUP(F834,Apuração!A:A,Apuração!B:B))</f>
        <v>0</v>
      </c>
      <c r="BM834" s="55" cm="1">
        <f t="array" ref="BM834">IFERROR(
   INDEX($AW$1:$BH$1,
      _xlfn.AGGREGATE(14, 6, COLUMN($AW$1:$BH$1)/(AW834:BH834&lt;&gt;""), 2) - COLUMN($AW$1) + 1
   ),
"")</f>
        <v>46113</v>
      </c>
      <c r="BN834" s="55" cm="1">
        <f t="array" ref="BN834">IFERROR(INDEX($AW$1:$BH$1,1,MATCH(2,1/(AW834:BH834&lt;&gt;""))),"")</f>
        <v>46143</v>
      </c>
      <c r="BO834" s="53">
        <f ca="1">IFERROR(_xlfn.XLOOKUP(F834,Apuração!A:A,Apuração!C:C)/_xlfn.XLOOKUP(F834,Apuração!A:A,Apuração!B:B),0)</f>
        <v>0</v>
      </c>
      <c r="BP834" s="53">
        <f ca="1">IFERROR(_xlfn.XLOOKUP(F834,Apuração!A:A,Apuração!D:D)/_xlfn.XLOOKUP(F834,Apuração!A:A,Apuração!B:B),0)</f>
        <v>0</v>
      </c>
      <c r="BQ834" s="53">
        <f ca="1">IF(BK834&gt;=BO834,0,_xlfn.XLOOKUP(F834,Apuração!A:A,Apuração!B:B)*(BO834 + (1/_xlfn.XLOOKUP(F834,Apuração!A:A,Apuração!B:B)) - BK834))</f>
        <v>0</v>
      </c>
      <c r="BR834" s="85">
        <f t="shared" ca="1" si="1119"/>
        <v>0</v>
      </c>
      <c r="BS834" s="53">
        <f ca="1">IFERROR((_xlfn.XLOOKUP(F834,Apuração!A:A,Apuração!C:C)+1)/_xlfn.XLOOKUP(F834,Apuração!A:A,Apuração!B:B),0)</f>
        <v>0.14285714285714285</v>
      </c>
    </row>
    <row r="835" spans="1:71" ht="25.95" hidden="1" customHeight="1" x14ac:dyDescent="0.3">
      <c r="A835" s="23" t="s">
        <v>134</v>
      </c>
      <c r="B835" s="4" t="s">
        <v>174</v>
      </c>
      <c r="C835" s="5" t="s">
        <v>97</v>
      </c>
      <c r="D835" s="5" t="s">
        <v>106</v>
      </c>
      <c r="E835" s="4" t="s">
        <v>96</v>
      </c>
      <c r="F835" s="4" t="str" cm="1">
        <f t="array" ref="F835">_xlfn.IFS(
AG835 &lt;&gt; "", "Jan-Dez/26",
AH835 &lt;&gt; "", "Fev-Dez/26",
AI835 &lt;&gt; "", "Mar-Dez/26", AJ835 &lt;&gt; "", "Abr-Dez/26",
TRUE, "A partir de Junho"
)</f>
        <v>A partir de Junho</v>
      </c>
      <c r="G835" s="4" t="s">
        <v>62</v>
      </c>
      <c r="H835" s="7" t="s">
        <v>38</v>
      </c>
      <c r="I835" s="8" t="s">
        <v>171</v>
      </c>
      <c r="J835" s="8" t="str" cm="1">
        <f t="array" aca="1" ref="J835" ca="1">_xlfn.LET(
  _xlpm.actual_value_month, INDEX(T835:AE835, MATCH(DATE(YEAR(TODAY()), MONTH(TODAY()), 1), $T$1:$AE$1, 0)),
  IF(_xlpm.actual_value_month &lt;&gt; "",_xlpm.actual_value_month &amp; " ações mensais", "")
)</f>
        <v/>
      </c>
      <c r="K835" s="8" t="str" cm="1">
        <f t="array" ref="K835">_xlfn.LET(
    _xlpm.sum_month, SUM(T835:AE835),
    IF(_xlpm.sum_month = 0, "", _xlpm.sum_month &amp; " colaboradores impactados no ano")
)</f>
        <v/>
      </c>
      <c r="L835" s="9" t="s">
        <v>172</v>
      </c>
      <c r="M835" s="24">
        <v>1</v>
      </c>
      <c r="N835" s="5" t="s">
        <v>42</v>
      </c>
      <c r="O835" s="5" t="s">
        <v>43</v>
      </c>
      <c r="P835" s="10" t="s">
        <v>44</v>
      </c>
      <c r="Q835" s="10" t="s">
        <v>72</v>
      </c>
      <c r="R835" s="11" t="s">
        <v>66</v>
      </c>
      <c r="S835" s="11" t="s">
        <v>67</v>
      </c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G835" s="71"/>
      <c r="AH835" s="71"/>
      <c r="AI835" s="71"/>
      <c r="AJ835" s="71"/>
      <c r="AK835" s="71"/>
      <c r="AL835" s="71"/>
      <c r="AM835" s="71"/>
      <c r="AN835" s="71"/>
      <c r="AO835" s="71"/>
      <c r="AP835" s="71"/>
      <c r="AQ835" s="71"/>
      <c r="AR835" s="71"/>
      <c r="AS835" s="94">
        <f t="shared" ca="1" si="1112"/>
        <v>0</v>
      </c>
      <c r="AT835" s="95">
        <f t="shared" si="1113"/>
        <v>0</v>
      </c>
      <c r="AU835" s="97">
        <f t="shared" si="1114"/>
        <v>0</v>
      </c>
      <c r="AW835" s="51">
        <f t="shared" si="1115"/>
        <v>0</v>
      </c>
      <c r="AX835" s="51">
        <f t="shared" si="1116"/>
        <v>0</v>
      </c>
      <c r="AY835" s="51">
        <f t="shared" si="1117"/>
        <v>0</v>
      </c>
      <c r="AZ835" s="51">
        <f t="shared" si="1118"/>
        <v>0</v>
      </c>
      <c r="BA835" s="51">
        <f t="shared" si="1087"/>
        <v>0</v>
      </c>
      <c r="BB835" s="51"/>
      <c r="BC835" s="51"/>
      <c r="BD835" s="51"/>
      <c r="BE835" s="51"/>
      <c r="BF835" s="51"/>
      <c r="BG835" s="51"/>
      <c r="BH835" s="51"/>
      <c r="BI835" s="65" cm="1">
        <f t="array" ref="BI835">IFERROR(INDEX(AW835:BH835,1,MATCH(2,1/(AW835:BH835&lt;&gt;""))),"")</f>
        <v>0</v>
      </c>
      <c r="BJ835" s="68" cm="1">
        <f t="array" ref="BJ835">IF(BM835 = "", "",IFERROR(INDEX(AW835:BH835,1,MATCH(2,1/(AW835:BH835&lt;&gt;""),1)-1),""))</f>
        <v>0</v>
      </c>
      <c r="BK835" s="58">
        <f>IF((IF(AW835&gt;=115%,115%,AW835) + IF(AX835&gt;=115%,115%,AX835) + IF(AY835&gt;=115%,115%,AY835) + (IF(AZ835&gt;=115%,115%,AZ835) + IF(BA835&gt;=133%,133%,BA835) + IF(BB835&gt;=115%,115%,BB835) + IF(BC835&gt;=115%,115%,BC835) + IF(BD835&gt;=115%,115%,BD835) + IF(BE835&gt;=115%,115%,BE835) + IF(BF835&gt;=115%,115%,BF835) + IF(BG835&gt;=115%,115%,BG835) + IF(BH835&gt;=115%,115%,BH835)))/_xlfn.XLOOKUP(F835,Apuração!A:A,Apuração!B:B)&gt;=1.15,1.15,((IF(AZ835&gt;=115%,115%,AZ835) + IF(AX835&gt;=115%,115%,AX835) + IF(AY835&gt;=115%,115%,AY835) + (IF(AW835&gt;=115%,115%,AW835) + IF(BA835&gt;=133%,133%,BA835) + IF(BB835&gt;=115%,115%,BB835) + IF(BC835&gt;=115%,115%,BC835) + IF(BD835&gt;=115%,115%,BD835) + IF(BE835&gt;=115%,115%,BE835) + IF(BF835&gt;=115%,115%,BF835) + IF(BG835&gt;=115%,115%,BG835) + IF(BH835&gt;=115%,115%,BH835)))/_xlfn.XLOOKUP(F835,Apuração!A:A,Apuração!B:B)))</f>
        <v>0</v>
      </c>
      <c r="BL835" s="58" cm="1">
        <f t="array" aca="1" ref="BL835" ca="1">IF(SUM(IFERROR(IF(INDEX(AW835:INDEX(AW835:BH835, MATCH(2, 1/(AW835:BH835&lt;&gt;""), 1)-1), ROW(INDIRECT("1:" &amp; MATCH(2, 1/(AW835:BH835&lt;&gt;""), 1)-1))) &gt;= 115%, 115%, INDEX(AW835:INDEX(AW835:BH835, MATCH(2, 1/(AW835:BH835&lt;&gt;""), 1)-1), ROW(INDIRECT("1:" &amp; MATCH(2, 1/(AW835:BH835&lt;&gt;""), 1)-1)))), 0))/_xlfn.XLOOKUP(F835,Apuração!A:A,Apuração!B:B)&gt;=1.15,1.15,SUM(IFERROR(IF(INDEX(AW835:INDEX(AW835:BH835, MATCH(2, 1/(AW835:BH835&lt;&gt;""), 1)-1), ROW(INDIRECT("1:" &amp; MATCH(2, 1/(AW835:BH835&lt;&gt;""), 1)-1))) &gt;= 115%, 115%, INDEX(AW835:INDEX(AW835:BH835, MATCH(2, 1/(AW835:BH835&lt;&gt;""), 1)-1), ROW(INDIRECT("1:" &amp; MATCH(2, 1/(AW835:BH835&lt;&gt;""), 1)-1)))), 0))/_xlfn.XLOOKUP(F835,Apuração!A:A,Apuração!B:B))</f>
        <v>0</v>
      </c>
      <c r="BM835" s="55" cm="1">
        <f t="array" ref="BM835">IFERROR(
   INDEX($AW$1:$BH$1,
      _xlfn.AGGREGATE(14, 6, COLUMN($AW$1:$BH$1)/(AW835:BH835&lt;&gt;""), 2) - COLUMN($AW$1) + 1
   ),
"")</f>
        <v>46113</v>
      </c>
      <c r="BN835" s="55" cm="1">
        <f t="array" ref="BN835">IFERROR(INDEX($AW$1:$BH$1,1,MATCH(2,1/(AW835:BH835&lt;&gt;""))),"")</f>
        <v>46143</v>
      </c>
      <c r="BO835" s="53">
        <f ca="1">IFERROR(_xlfn.XLOOKUP(F835,Apuração!A:A,Apuração!C:C)/_xlfn.XLOOKUP(F835,Apuração!A:A,Apuração!B:B),0)</f>
        <v>0</v>
      </c>
      <c r="BP835" s="53">
        <f ca="1">IFERROR(_xlfn.XLOOKUP(F835,Apuração!A:A,Apuração!D:D)/_xlfn.XLOOKUP(F835,Apuração!A:A,Apuração!B:B),0)</f>
        <v>0</v>
      </c>
      <c r="BQ835" s="53">
        <f ca="1">IF(BK835&gt;=BO835,0,_xlfn.XLOOKUP(F835,Apuração!A:A,Apuração!B:B)*(BO835 + (1/_xlfn.XLOOKUP(F835,Apuração!A:A,Apuração!B:B)) - BK835))</f>
        <v>0</v>
      </c>
      <c r="BR835" s="85">
        <f t="shared" ca="1" si="1119"/>
        <v>0</v>
      </c>
      <c r="BS835" s="53">
        <f ca="1">IFERROR((_xlfn.XLOOKUP(F835,Apuração!A:A,Apuração!C:C)+1)/_xlfn.XLOOKUP(F835,Apuração!A:A,Apuração!B:B),0)</f>
        <v>0.14285714285714285</v>
      </c>
    </row>
    <row r="836" spans="1:71" ht="25.95" hidden="1" customHeight="1" x14ac:dyDescent="0.3">
      <c r="A836" s="23" t="s">
        <v>134</v>
      </c>
      <c r="B836" s="4" t="s">
        <v>174</v>
      </c>
      <c r="C836" s="5" t="s">
        <v>97</v>
      </c>
      <c r="D836" s="5" t="s">
        <v>107</v>
      </c>
      <c r="E836" s="4" t="s">
        <v>96</v>
      </c>
      <c r="F836" s="4" t="str" cm="1">
        <f t="array" ref="F836">_xlfn.IFS(
AG836 &lt;&gt; "", "Jan-Dez/26",
AH836 &lt;&gt; "", "Fev-Dez/26",
AI836 &lt;&gt; "", "Mar-Dez/26", AJ836 &lt;&gt; "", "Abr-Dez/26",
TRUE, "A partir de Junho"
)</f>
        <v>A partir de Junho</v>
      </c>
      <c r="G836" s="4" t="s">
        <v>62</v>
      </c>
      <c r="H836" s="7" t="s">
        <v>38</v>
      </c>
      <c r="I836" s="8" t="s">
        <v>171</v>
      </c>
      <c r="J836" s="8" t="str" cm="1">
        <f t="array" aca="1" ref="J836" ca="1">_xlfn.LET(
  _xlpm.actual_value_month, INDEX(T836:AE836, MATCH(DATE(YEAR(TODAY()), MONTH(TODAY()), 1), $T$1:$AE$1, 0)),
  IF(_xlpm.actual_value_month &lt;&gt; "",_xlpm.actual_value_month &amp; " ações mensais", "")
)</f>
        <v/>
      </c>
      <c r="K836" s="8" t="str" cm="1">
        <f t="array" ref="K836">_xlfn.LET(
    _xlpm.sum_month, SUM(T836:AE836),
    IF(_xlpm.sum_month = 0, "", _xlpm.sum_month &amp; " colaboradores impactados no ano")
)</f>
        <v/>
      </c>
      <c r="L836" s="9" t="s">
        <v>172</v>
      </c>
      <c r="M836" s="24">
        <v>1</v>
      </c>
      <c r="N836" s="5" t="s">
        <v>42</v>
      </c>
      <c r="O836" s="5" t="s">
        <v>43</v>
      </c>
      <c r="P836" s="10" t="s">
        <v>44</v>
      </c>
      <c r="Q836" s="10" t="s">
        <v>72</v>
      </c>
      <c r="R836" s="11" t="s">
        <v>66</v>
      </c>
      <c r="S836" s="11" t="s">
        <v>67</v>
      </c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G836" s="71"/>
      <c r="AH836" s="71"/>
      <c r="AI836" s="71"/>
      <c r="AJ836" s="71"/>
      <c r="AK836" s="71"/>
      <c r="AL836" s="71"/>
      <c r="AM836" s="71"/>
      <c r="AN836" s="71"/>
      <c r="AO836" s="71"/>
      <c r="AP836" s="71"/>
      <c r="AQ836" s="71"/>
      <c r="AR836" s="71"/>
      <c r="AS836" s="94">
        <f t="shared" ca="1" si="1112"/>
        <v>0</v>
      </c>
      <c r="AT836" s="95">
        <f t="shared" si="1113"/>
        <v>0</v>
      </c>
      <c r="AU836" s="97">
        <f t="shared" si="1114"/>
        <v>0</v>
      </c>
      <c r="AW836" s="51">
        <f t="shared" si="1115"/>
        <v>0</v>
      </c>
      <c r="AX836" s="51">
        <f t="shared" si="1116"/>
        <v>0</v>
      </c>
      <c r="AY836" s="51">
        <f t="shared" si="1117"/>
        <v>0</v>
      </c>
      <c r="AZ836" s="51">
        <f t="shared" si="1118"/>
        <v>0</v>
      </c>
      <c r="BA836" s="51">
        <f t="shared" si="1087"/>
        <v>0</v>
      </c>
      <c r="BB836" s="51"/>
      <c r="BC836" s="51"/>
      <c r="BD836" s="51"/>
      <c r="BE836" s="51"/>
      <c r="BF836" s="51"/>
      <c r="BG836" s="51"/>
      <c r="BH836" s="51"/>
      <c r="BI836" s="65" cm="1">
        <f t="array" ref="BI836">IFERROR(INDEX(AW836:BH836,1,MATCH(2,1/(AW836:BH836&lt;&gt;""))),"")</f>
        <v>0</v>
      </c>
      <c r="BJ836" s="68" cm="1">
        <f t="array" ref="BJ836">IF(BM836 = "", "",IFERROR(INDEX(AW836:BH836,1,MATCH(2,1/(AW836:BH836&lt;&gt;""),1)-1),""))</f>
        <v>0</v>
      </c>
      <c r="BK836" s="58">
        <f>IF((IF(AW836&gt;=115%,115%,AW836) + IF(AX836&gt;=115%,115%,AX836) + IF(AY836&gt;=115%,115%,AY836) + (IF(AZ836&gt;=115%,115%,AZ836) + IF(BA836&gt;=133%,133%,BA836) + IF(BB836&gt;=115%,115%,BB836) + IF(BC836&gt;=115%,115%,BC836) + IF(BD836&gt;=115%,115%,BD836) + IF(BE836&gt;=115%,115%,BE836) + IF(BF836&gt;=115%,115%,BF836) + IF(BG836&gt;=115%,115%,BG836) + IF(BH836&gt;=115%,115%,BH836)))/_xlfn.XLOOKUP(F836,Apuração!A:A,Apuração!B:B)&gt;=1.15,1.15,((IF(AZ836&gt;=115%,115%,AZ836) + IF(AX836&gt;=115%,115%,AX836) + IF(AY836&gt;=115%,115%,AY836) + (IF(AW836&gt;=115%,115%,AW836) + IF(BA836&gt;=133%,133%,BA836) + IF(BB836&gt;=115%,115%,BB836) + IF(BC836&gt;=115%,115%,BC836) + IF(BD836&gt;=115%,115%,BD836) + IF(BE836&gt;=115%,115%,BE836) + IF(BF836&gt;=115%,115%,BF836) + IF(BG836&gt;=115%,115%,BG836) + IF(BH836&gt;=115%,115%,BH836)))/_xlfn.XLOOKUP(F836,Apuração!A:A,Apuração!B:B)))</f>
        <v>0</v>
      </c>
      <c r="BL836" s="58" cm="1">
        <f t="array" aca="1" ref="BL836" ca="1">IF(SUM(IFERROR(IF(INDEX(AW836:INDEX(AW836:BH836, MATCH(2, 1/(AW836:BH836&lt;&gt;""), 1)-1), ROW(INDIRECT("1:" &amp; MATCH(2, 1/(AW836:BH836&lt;&gt;""), 1)-1))) &gt;= 115%, 115%, INDEX(AW836:INDEX(AW836:BH836, MATCH(2, 1/(AW836:BH836&lt;&gt;""), 1)-1), ROW(INDIRECT("1:" &amp; MATCH(2, 1/(AW836:BH836&lt;&gt;""), 1)-1)))), 0))/_xlfn.XLOOKUP(F836,Apuração!A:A,Apuração!B:B)&gt;=1.15,1.15,SUM(IFERROR(IF(INDEX(AW836:INDEX(AW836:BH836, MATCH(2, 1/(AW836:BH836&lt;&gt;""), 1)-1), ROW(INDIRECT("1:" &amp; MATCH(2, 1/(AW836:BH836&lt;&gt;""), 1)-1))) &gt;= 115%, 115%, INDEX(AW836:INDEX(AW836:BH836, MATCH(2, 1/(AW836:BH836&lt;&gt;""), 1)-1), ROW(INDIRECT("1:" &amp; MATCH(2, 1/(AW836:BH836&lt;&gt;""), 1)-1)))), 0))/_xlfn.XLOOKUP(F836,Apuração!A:A,Apuração!B:B))</f>
        <v>0</v>
      </c>
      <c r="BM836" s="55" cm="1">
        <f t="array" ref="BM836">IFERROR(
   INDEX($AW$1:$BH$1,
      _xlfn.AGGREGATE(14, 6, COLUMN($AW$1:$BH$1)/(AW836:BH836&lt;&gt;""), 2) - COLUMN($AW$1) + 1
   ),
"")</f>
        <v>46113</v>
      </c>
      <c r="BN836" s="55" cm="1">
        <f t="array" ref="BN836">IFERROR(INDEX($AW$1:$BH$1,1,MATCH(2,1/(AW836:BH836&lt;&gt;""))),"")</f>
        <v>46143</v>
      </c>
      <c r="BO836" s="53">
        <f ca="1">IFERROR(_xlfn.XLOOKUP(F836,Apuração!A:A,Apuração!C:C)/_xlfn.XLOOKUP(F836,Apuração!A:A,Apuração!B:B),0)</f>
        <v>0</v>
      </c>
      <c r="BP836" s="53">
        <f ca="1">IFERROR(_xlfn.XLOOKUP(F836,Apuração!A:A,Apuração!D:D)/_xlfn.XLOOKUP(F836,Apuração!A:A,Apuração!B:B),0)</f>
        <v>0</v>
      </c>
      <c r="BQ836" s="53">
        <f ca="1">IF(BK836&gt;=BO836,0,_xlfn.XLOOKUP(F836,Apuração!A:A,Apuração!B:B)*(BO836 + (1/_xlfn.XLOOKUP(F836,Apuração!A:A,Apuração!B:B)) - BK836))</f>
        <v>0</v>
      </c>
      <c r="BR836" s="85">
        <f t="shared" ca="1" si="1119"/>
        <v>0</v>
      </c>
      <c r="BS836" s="53">
        <f ca="1">IFERROR((_xlfn.XLOOKUP(F836,Apuração!A:A,Apuração!C:C)+1)/_xlfn.XLOOKUP(F836,Apuração!A:A,Apuração!B:B),0)</f>
        <v>0.14285714285714285</v>
      </c>
    </row>
    <row r="837" spans="1:71" ht="25.95" hidden="1" customHeight="1" x14ac:dyDescent="0.3">
      <c r="A837" s="33" t="s">
        <v>175</v>
      </c>
      <c r="B837" s="4" t="s">
        <v>176</v>
      </c>
      <c r="C837" s="5" t="s">
        <v>97</v>
      </c>
      <c r="D837" s="5" t="s">
        <v>36</v>
      </c>
      <c r="E837" s="4" t="str" cm="1">
        <f t="array" ref="E837">_xlfn.IFS(
F837 = "A partir de Abril", "Aguardando Execução na Distribuidora",
A837 = "CAPACITAÇÃO", "Em execução no Corporativo",
TRUE, "Em Execução na Distribuidora"
)</f>
        <v>Em execução no Corporativo</v>
      </c>
      <c r="F837" s="4" t="str" cm="1">
        <f t="array" ref="F837">_xlfn.IFS(
AG837 &lt;&gt; "", "Jan-Dez/26",
AH837 &lt;&gt; "", "Fev-Dez/26",
AI837 &lt;&gt; "", "Mar-Dez/26", AJ837 &lt;&gt; "", "Abr-Dez/26",
TRUE, "A partir de Junho"
)</f>
        <v>Mar-Dez/26</v>
      </c>
      <c r="G837" s="4" t="s">
        <v>37</v>
      </c>
      <c r="H837" s="7" t="s">
        <v>38</v>
      </c>
      <c r="I837" s="8" t="s">
        <v>177</v>
      </c>
      <c r="J837" s="8" t="str" cm="1">
        <f t="array" aca="1" ref="J837" ca="1">_xlfn.LET(
  _xlpm.actual_value_month, INDEX(T837:AE837, MATCH(DATE(YEAR(TODAY()), MONTH(TODAY()), 1), $T$1:$AE$1, 0)),
  IF(_xlpm.actual_value_month &lt;&gt; "", _xlpm.actual_value_month &amp; " certificados mensais", "")
)</f>
        <v>4159 certificados mensais</v>
      </c>
      <c r="K837" s="8" t="str">
        <f t="shared" ref="K837:K847" si="1120">_xlfn.LET(
    _xlpm.month, AD837,
    IF(_xlpm.month = 0, "", _xlpm.month &amp; " certificado anuais.")
)</f>
        <v>4578 certificado anuais.</v>
      </c>
      <c r="L837" s="9" t="s">
        <v>178</v>
      </c>
      <c r="M837" s="13">
        <v>1</v>
      </c>
      <c r="N837" s="5" t="s">
        <v>42</v>
      </c>
      <c r="O837" s="5" t="s">
        <v>43</v>
      </c>
      <c r="P837" s="10" t="s">
        <v>44</v>
      </c>
      <c r="Q837" s="10" t="s">
        <v>44</v>
      </c>
      <c r="R837" s="11" t="s">
        <v>179</v>
      </c>
      <c r="S837" s="11" t="s">
        <v>67</v>
      </c>
      <c r="T837" s="22"/>
      <c r="U837" s="22"/>
      <c r="V837" s="22">
        <v>2022</v>
      </c>
      <c r="W837" s="22">
        <v>2908</v>
      </c>
      <c r="X837" s="22">
        <v>3883</v>
      </c>
      <c r="Y837" s="22">
        <v>4159</v>
      </c>
      <c r="Z837" s="22">
        <v>4316</v>
      </c>
      <c r="AA837" s="22">
        <v>4425</v>
      </c>
      <c r="AB837" s="22">
        <v>4507</v>
      </c>
      <c r="AC837" s="22">
        <v>4566</v>
      </c>
      <c r="AD837" s="22">
        <v>4578</v>
      </c>
      <c r="AE837" s="22"/>
      <c r="AG837" s="71"/>
      <c r="AH837" s="71"/>
      <c r="AI837" s="71">
        <v>2085</v>
      </c>
      <c r="AJ837" s="71">
        <v>2105</v>
      </c>
      <c r="AK837" s="71"/>
      <c r="AL837" s="71"/>
      <c r="AM837" s="71"/>
      <c r="AN837" s="71"/>
      <c r="AO837" s="71"/>
      <c r="AP837" s="71"/>
      <c r="AQ837" s="71"/>
      <c r="AR837" s="71"/>
      <c r="AS837" s="94" cm="1">
        <f t="array" ref="AS837">IFERROR(INDEX(T837:AE837,1,MATCH(2,1/(T837:AE837&lt;&gt;""))),"")</f>
        <v>4578</v>
      </c>
      <c r="AT837" s="95" cm="1">
        <f t="array" ref="AT837">IFERROR(INDEX(AJ837:AR837,1,MATCH(2,1/(AJ837:AR837&lt;&gt;""))),"")</f>
        <v>2105</v>
      </c>
      <c r="AU837" s="97">
        <f t="shared" ref="AU837:AU980" si="1121">AT837</f>
        <v>2105</v>
      </c>
      <c r="AW837" s="51">
        <f t="shared" ref="AW837" si="1122">IFERROR(IF(AG837="",0,AG837/$AD837),0)</f>
        <v>0</v>
      </c>
      <c r="AX837" s="51">
        <f t="shared" ref="AX837" si="1123">IFERROR(IF(AH837="",0,AH837/$AD837),0)</f>
        <v>0</v>
      </c>
      <c r="AY837" s="51">
        <f>IFERROR(IF(AI837="",0,AI837/$AD837),0)</f>
        <v>0.45543905635648757</v>
      </c>
      <c r="AZ837" s="51">
        <f>IFERROR(IF(AJ837="",0,AJ837/$AD837),0)</f>
        <v>0.4598077763215378</v>
      </c>
      <c r="BA837" s="51"/>
      <c r="BB837" s="51"/>
      <c r="BC837" s="51"/>
      <c r="BD837" s="51"/>
      <c r="BE837" s="51"/>
      <c r="BF837" s="51"/>
      <c r="BG837" s="51"/>
      <c r="BH837" s="51"/>
      <c r="BI837" s="65" cm="1">
        <f t="array" ref="BI837">IFERROR(INDEX(AW837:BH837,1,MATCH(2,1/(AW837:BH837&lt;&gt;""))),"")</f>
        <v>0.4598077763215378</v>
      </c>
      <c r="BJ837" s="68" cm="1">
        <f t="array" ref="BJ837">IF(BM837 = "", "",IFERROR(INDEX(AW837:BH837,1,MATCH(2,1/(AW837:BH837&lt;&gt;""),1)-1),""))</f>
        <v>0.45543905635648757</v>
      </c>
      <c r="BK837" s="58" cm="1">
        <f t="array" ref="BK837">IFERROR(INDEX(AW837:BH837,1,MATCH(2,1/(AW837:BH837&lt;&gt;""))),"")</f>
        <v>0.4598077763215378</v>
      </c>
      <c r="BL837" s="58" cm="1">
        <f t="array" ref="BL837">IFERROR(INDEX(AW837:BH837,1,MATCH(2,1/(AW837:BH837&lt;&gt;""),1)-1),"")</f>
        <v>0.45543905635648757</v>
      </c>
      <c r="BM837" s="55" cm="1">
        <f t="array" ref="BM837">IFERROR(
   INDEX($AW$1:$BH$1,
      _xlfn.AGGREGATE(14, 6, COLUMN($AW$1:$BH$1)/(AW837:BH837&lt;&gt;""), 2) - COLUMN($AW$1) + 1
   ),
"")</f>
        <v>46082</v>
      </c>
      <c r="BN837" s="55" cm="1">
        <f t="array" ref="BN837">IFERROR(INDEX($AW$1:$BH$1,1,MATCH(2,1/(AW837:BH837&lt;&gt;""))),"")</f>
        <v>46113</v>
      </c>
      <c r="BO837" s="119" cm="1">
        <f t="array" aca="1" ref="BO837" ca="1">_xlfn.LET(
    _xlpm.mes_num, MONTH(TODAY())-1,
    _xlpm.coluna_ajustada, IF(_xlpm.mes_num=0, 12, _xlpm.mes_num),
    _xlpm.realizado_mes_anterior, INDEX(T837:AE837, 1, _xlpm.coluna_ajustada),
    _xlpm.previsto_total, AD837,
    _xlpm.realizado_mes_anterior / _xlpm.previsto_total
)</f>
        <v>0.8481869812145042</v>
      </c>
      <c r="BP837" s="53">
        <f ca="1">IFERROR(_xlfn.XLOOKUP(F837,Apuração!A:A,Apuração!D:D)/_xlfn.XLOOKUP(F837,Apuração!A:A,Apuração!B:B),0)</f>
        <v>0.2</v>
      </c>
      <c r="BQ837" s="53">
        <f ca="1">IF(BK837&gt;=BO837,0,_xlfn.XLOOKUP(F837,Apuração!A:A,Apuração!B:B)*(BO837 + (1/_xlfn.XLOOKUP(F837,Apuração!A:A,Apuração!B:B)) - BK837))</f>
        <v>4.8837920489296636</v>
      </c>
      <c r="BR837" s="85">
        <f t="shared" ca="1" si="898"/>
        <v>21078.446483180429</v>
      </c>
      <c r="BS837" s="53">
        <f ca="1">IFERROR((_xlfn.XLOOKUP(F837,Apuração!A:A,Apuração!C:C)+1)/_xlfn.XLOOKUP(F837,Apuração!A:A,Apuração!B:B),0)</f>
        <v>0.4</v>
      </c>
    </row>
    <row r="838" spans="1:71" ht="25.95" hidden="1" customHeight="1" x14ac:dyDescent="0.3">
      <c r="A838" s="33" t="s">
        <v>175</v>
      </c>
      <c r="B838" s="4" t="s">
        <v>176</v>
      </c>
      <c r="C838" s="5" t="s">
        <v>97</v>
      </c>
      <c r="D838" s="5" t="s">
        <v>98</v>
      </c>
      <c r="E838" s="4" t="str" cm="1">
        <f t="array" ref="E838">_xlfn.IFS(
F838 = "A partir de Abril", "Aguardando Execução na Distribuidora",
A838 = "CAPACITAÇÃO", "Em execução no Corporativo",
TRUE, "Em Execução na Distribuidora"
)</f>
        <v>Em execução no Corporativo</v>
      </c>
      <c r="F838" s="4" t="str" cm="1">
        <f t="array" ref="F838">_xlfn.IFS(
AG838 &lt;&gt; "", "Jan-Dez/26",
AH838 &lt;&gt; "", "Fev-Dez/26",
AI838 &lt;&gt; "", "Mar-Dez/26", AJ838 &lt;&gt; "", "Abr-Dez/26",
TRUE, "A partir de Junho"
)</f>
        <v>Mar-Dez/26</v>
      </c>
      <c r="G838" s="4" t="s">
        <v>37</v>
      </c>
      <c r="H838" s="7" t="s">
        <v>38</v>
      </c>
      <c r="I838" s="8" t="s">
        <v>177</v>
      </c>
      <c r="J838" s="8" t="str" cm="1">
        <f t="array" aca="1" ref="J838" ca="1">_xlfn.LET(
  _xlpm.actual_value_month, INDEX(T838:AE838, MATCH(DATE(YEAR(TODAY()), MONTH(TODAY()), 1), $T$1:$AE$1, 0)),
  IF(_xlpm.actual_value_month &lt;&gt; "", _xlpm.actual_value_month &amp; " certificados mensais", "")
)</f>
        <v>400 certificados mensais</v>
      </c>
      <c r="K838" s="8" t="str">
        <f t="shared" si="1120"/>
        <v>400 certificado anuais.</v>
      </c>
      <c r="L838" s="9" t="s">
        <v>178</v>
      </c>
      <c r="M838" s="13">
        <v>1</v>
      </c>
      <c r="N838" s="5" t="s">
        <v>42</v>
      </c>
      <c r="O838" s="5" t="s">
        <v>43</v>
      </c>
      <c r="P838" s="10" t="s">
        <v>44</v>
      </c>
      <c r="Q838" s="10" t="s">
        <v>44</v>
      </c>
      <c r="R838" s="11" t="s">
        <v>179</v>
      </c>
      <c r="S838" s="11" t="s">
        <v>67</v>
      </c>
      <c r="T838" s="22"/>
      <c r="U838" s="22"/>
      <c r="V838" s="143">
        <v>165</v>
      </c>
      <c r="W838" s="143">
        <v>296</v>
      </c>
      <c r="X838" s="143">
        <v>400</v>
      </c>
      <c r="Y838" s="143">
        <v>400</v>
      </c>
      <c r="Z838" s="143">
        <v>400</v>
      </c>
      <c r="AA838" s="143">
        <v>400</v>
      </c>
      <c r="AB838" s="143">
        <v>400</v>
      </c>
      <c r="AC838" s="143">
        <v>400</v>
      </c>
      <c r="AD838" s="143">
        <v>400</v>
      </c>
      <c r="AE838" s="22"/>
      <c r="AG838" s="71"/>
      <c r="AH838" s="71"/>
      <c r="AI838" s="82">
        <v>165</v>
      </c>
      <c r="AJ838" s="82">
        <v>165</v>
      </c>
      <c r="AK838" s="71"/>
      <c r="AL838" s="71"/>
      <c r="AM838" s="71"/>
      <c r="AN838" s="71"/>
      <c r="AO838" s="71"/>
      <c r="AP838" s="71"/>
      <c r="AQ838" s="71"/>
      <c r="AR838" s="71"/>
      <c r="AS838" s="94" cm="1">
        <f t="array" ref="AS838">IFERROR(INDEX(T838:AE838,1,MATCH(2,1/(T838:AE838&lt;&gt;""))),"")</f>
        <v>400</v>
      </c>
      <c r="AT838" s="95" cm="1">
        <f t="array" ref="AT838">IFERROR(INDEX(AJ838:AR838,1,MATCH(2,1/(AJ838:AR838&lt;&gt;""))),"")</f>
        <v>165</v>
      </c>
      <c r="AU838" s="97">
        <f t="shared" ref="AU838:AU847" si="1124">AT838</f>
        <v>165</v>
      </c>
      <c r="AW838" s="51">
        <f t="shared" ref="AW838:AW847" si="1125">IFERROR(IF(AG838="",0,AG838/$AD838),0)</f>
        <v>0</v>
      </c>
      <c r="AX838" s="51">
        <f t="shared" ref="AX838:AX847" si="1126">IFERROR(IF(AH838="",0,AH838/$AD838),0)</f>
        <v>0</v>
      </c>
      <c r="AY838" s="51">
        <f t="shared" ref="AY838:AY847" si="1127">IFERROR(IF(AI838="",0,AI838/$AD838),0)</f>
        <v>0.41249999999999998</v>
      </c>
      <c r="AZ838" s="51">
        <f t="shared" ref="AZ838:AZ847" si="1128">IFERROR(IF(AJ838="",0,AJ838/$AD838),0)</f>
        <v>0.41249999999999998</v>
      </c>
      <c r="BA838" s="51"/>
      <c r="BB838" s="51"/>
      <c r="BC838" s="51"/>
      <c r="BD838" s="51"/>
      <c r="BE838" s="51"/>
      <c r="BF838" s="51"/>
      <c r="BG838" s="51"/>
      <c r="BH838" s="51"/>
      <c r="BI838" s="65" cm="1">
        <f t="array" ref="BI838">IFERROR(INDEX(AW838:BH838,1,MATCH(2,1/(AW838:BH838&lt;&gt;""))),"")</f>
        <v>0.41249999999999998</v>
      </c>
      <c r="BJ838" s="68" cm="1">
        <f t="array" ref="BJ838">IF(BM838 = "", "",IFERROR(INDEX(AW838:BH838,1,MATCH(2,1/(AW838:BH838&lt;&gt;""),1)-1),""))</f>
        <v>0.41249999999999998</v>
      </c>
      <c r="BK838" s="58" cm="1">
        <f t="array" ref="BK838">IFERROR(INDEX(AW838:BH838,1,MATCH(2,1/(AW838:BH838&lt;&gt;""))),"")</f>
        <v>0.41249999999999998</v>
      </c>
      <c r="BL838" s="58" cm="1">
        <f t="array" ref="BL838">IFERROR(INDEX(AW838:BH838,1,MATCH(2,1/(AW838:BH838&lt;&gt;""),1)-1),"")</f>
        <v>0.41249999999999998</v>
      </c>
      <c r="BM838" s="55" cm="1">
        <f t="array" ref="BM838">IFERROR(
   INDEX($AW$1:$BH$1,
      _xlfn.AGGREGATE(14, 6, COLUMN($AW$1:$BH$1)/(AW838:BH838&lt;&gt;""), 2) - COLUMN($AW$1) + 1
   ),
"")</f>
        <v>46082</v>
      </c>
      <c r="BN838" s="55" cm="1">
        <f t="array" ref="BN838">IFERROR(INDEX($AW$1:$BH$1,1,MATCH(2,1/(AW838:BH838&lt;&gt;""))),"")</f>
        <v>46113</v>
      </c>
      <c r="BO838" s="119" cm="1">
        <f t="array" aca="1" ref="BO838" ca="1">_xlfn.LET(
    _xlpm.mes_num, MONTH(TODAY())-1,
    _xlpm.coluna_ajustada, IF(_xlpm.mes_num=0, 12, _xlpm.mes_num),
    _xlpm.realizado_mes_anterior, INDEX(T838:AE838, 1, _xlpm.coluna_ajustada),
    _xlpm.previsto_total, AD838,
    _xlpm.realizado_mes_anterior / _xlpm.previsto_total
)</f>
        <v>1</v>
      </c>
      <c r="BP838" s="53">
        <f ca="1">IFERROR(_xlfn.XLOOKUP(F838,Apuração!A:A,Apuração!D:D)/_xlfn.XLOOKUP(F838,Apuração!A:A,Apuração!B:B),0)</f>
        <v>0.2</v>
      </c>
      <c r="BQ838" s="53">
        <f ca="1">IF(BK838&gt;=BO838,0,_xlfn.XLOOKUP(F838,Apuração!A:A,Apuração!B:B)*(BO838 + (1/_xlfn.XLOOKUP(F838,Apuração!A:A,Apuração!B:B)) - BK838))</f>
        <v>6.8750000000000009</v>
      </c>
      <c r="BR838" s="85">
        <f t="shared" ref="BR838:BR847" ca="1" si="1129">IF(BQ838=0,0,BQ838*Z838)</f>
        <v>2750.0000000000005</v>
      </c>
      <c r="BS838" s="53">
        <f ca="1">IFERROR((_xlfn.XLOOKUP(F838,Apuração!A:A,Apuração!C:C)+1)/_xlfn.XLOOKUP(F838,Apuração!A:A,Apuração!B:B),0)</f>
        <v>0.4</v>
      </c>
    </row>
    <row r="839" spans="1:71" ht="25.95" hidden="1" customHeight="1" x14ac:dyDescent="0.3">
      <c r="A839" s="33" t="s">
        <v>175</v>
      </c>
      <c r="B839" s="4" t="s">
        <v>176</v>
      </c>
      <c r="C839" s="5" t="s">
        <v>97</v>
      </c>
      <c r="D839" s="5" t="s">
        <v>99</v>
      </c>
      <c r="E839" s="4" t="str" cm="1">
        <f t="array" ref="E839">_xlfn.IFS(
F839 = "A partir de Abril", "Aguardando Execução na Distribuidora",
A839 = "CAPACITAÇÃO", "Em execução no Corporativo",
TRUE, "Em Execução na Distribuidora"
)</f>
        <v>Em execução no Corporativo</v>
      </c>
      <c r="F839" s="4" t="str" cm="1">
        <f t="array" ref="F839">_xlfn.IFS(
AG839 &lt;&gt; "", "Jan-Dez/26",
AH839 &lt;&gt; "", "Fev-Dez/26",
AI839 &lt;&gt; "", "Mar-Dez/26", AJ839 &lt;&gt; "", "Abr-Dez/26",
TRUE, "A partir de Junho"
)</f>
        <v>Mar-Dez/26</v>
      </c>
      <c r="G839" s="4" t="s">
        <v>37</v>
      </c>
      <c r="H839" s="7" t="s">
        <v>38</v>
      </c>
      <c r="I839" s="8" t="s">
        <v>177</v>
      </c>
      <c r="J839" s="8" t="str" cm="1">
        <f t="array" aca="1" ref="J839" ca="1">_xlfn.LET(
  _xlpm.actual_value_month, INDEX(T839:AE839, MATCH(DATE(YEAR(TODAY()), MONTH(TODAY()), 1), $T$1:$AE$1, 0)),
  IF(_xlpm.actual_value_month &lt;&gt; "", _xlpm.actual_value_month &amp; " certificados mensais", "")
)</f>
        <v>191 certificados mensais</v>
      </c>
      <c r="K839" s="8" t="str">
        <f t="shared" si="1120"/>
        <v>208 certificado anuais.</v>
      </c>
      <c r="L839" s="9" t="s">
        <v>178</v>
      </c>
      <c r="M839" s="13">
        <v>1</v>
      </c>
      <c r="N839" s="5" t="s">
        <v>42</v>
      </c>
      <c r="O839" s="5" t="s">
        <v>43</v>
      </c>
      <c r="P839" s="10" t="s">
        <v>44</v>
      </c>
      <c r="Q839" s="10" t="s">
        <v>44</v>
      </c>
      <c r="R839" s="11" t="s">
        <v>179</v>
      </c>
      <c r="S839" s="11" t="s">
        <v>67</v>
      </c>
      <c r="T839" s="22"/>
      <c r="U839" s="22"/>
      <c r="V839" s="143">
        <v>173</v>
      </c>
      <c r="W839" s="143">
        <v>180</v>
      </c>
      <c r="X839" s="143">
        <v>186</v>
      </c>
      <c r="Y839" s="143">
        <v>191</v>
      </c>
      <c r="Z839" s="143">
        <v>198</v>
      </c>
      <c r="AA839" s="143">
        <v>206</v>
      </c>
      <c r="AB839" s="143">
        <v>208</v>
      </c>
      <c r="AC839" s="143">
        <v>208</v>
      </c>
      <c r="AD839" s="143">
        <v>208</v>
      </c>
      <c r="AE839" s="22"/>
      <c r="AG839" s="71"/>
      <c r="AH839" s="71"/>
      <c r="AI839" s="82">
        <v>176</v>
      </c>
      <c r="AJ839" s="82">
        <v>176</v>
      </c>
      <c r="AK839" s="71"/>
      <c r="AL839" s="71"/>
      <c r="AM839" s="71"/>
      <c r="AN839" s="71"/>
      <c r="AO839" s="71"/>
      <c r="AP839" s="71"/>
      <c r="AQ839" s="71"/>
      <c r="AR839" s="71"/>
      <c r="AS839" s="94" cm="1">
        <f t="array" ref="AS839">IFERROR(INDEX(T839:AE839,1,MATCH(2,1/(T839:AE839&lt;&gt;""))),"")</f>
        <v>208</v>
      </c>
      <c r="AT839" s="95" cm="1">
        <f t="array" ref="AT839">IFERROR(INDEX(AJ839:AR839,1,MATCH(2,1/(AJ839:AR839&lt;&gt;""))),"")</f>
        <v>176</v>
      </c>
      <c r="AU839" s="97">
        <f t="shared" si="1124"/>
        <v>176</v>
      </c>
      <c r="AW839" s="51">
        <f t="shared" si="1125"/>
        <v>0</v>
      </c>
      <c r="AX839" s="51">
        <f t="shared" si="1126"/>
        <v>0</v>
      </c>
      <c r="AY839" s="51">
        <f t="shared" si="1127"/>
        <v>0.84615384615384615</v>
      </c>
      <c r="AZ839" s="51">
        <f t="shared" si="1128"/>
        <v>0.84615384615384615</v>
      </c>
      <c r="BA839" s="51"/>
      <c r="BB839" s="51"/>
      <c r="BC839" s="51"/>
      <c r="BD839" s="51"/>
      <c r="BE839" s="51"/>
      <c r="BF839" s="51"/>
      <c r="BG839" s="51"/>
      <c r="BH839" s="51"/>
      <c r="BI839" s="65" cm="1">
        <f t="array" ref="BI839">IFERROR(INDEX(AW839:BH839,1,MATCH(2,1/(AW839:BH839&lt;&gt;""))),"")</f>
        <v>0.84615384615384615</v>
      </c>
      <c r="BJ839" s="68" cm="1">
        <f t="array" ref="BJ839">IF(BM839 = "", "",IFERROR(INDEX(AW839:BH839,1,MATCH(2,1/(AW839:BH839&lt;&gt;""),1)-1),""))</f>
        <v>0.84615384615384615</v>
      </c>
      <c r="BK839" s="58" cm="1">
        <f t="array" ref="BK839">IFERROR(INDEX(AW839:BH839,1,MATCH(2,1/(AW839:BH839&lt;&gt;""))),"")</f>
        <v>0.84615384615384615</v>
      </c>
      <c r="BL839" s="58" cm="1">
        <f t="array" ref="BL839">IFERROR(INDEX(AW839:BH839,1,MATCH(2,1/(AW839:BH839&lt;&gt;""),1)-1),"")</f>
        <v>0.84615384615384615</v>
      </c>
      <c r="BM839" s="55" cm="1">
        <f t="array" ref="BM839">IFERROR(
   INDEX($AW$1:$BH$1,
      _xlfn.AGGREGATE(14, 6, COLUMN($AW$1:$BH$1)/(AW839:BH839&lt;&gt;""), 2) - COLUMN($AW$1) + 1
   ),
"")</f>
        <v>46082</v>
      </c>
      <c r="BN839" s="55" cm="1">
        <f t="array" ref="BN839">IFERROR(INDEX($AW$1:$BH$1,1,MATCH(2,1/(AW839:BH839&lt;&gt;""))),"")</f>
        <v>46113</v>
      </c>
      <c r="BO839" s="119" cm="1">
        <f t="array" aca="1" ref="BO839" ca="1">_xlfn.LET(
    _xlpm.mes_num, MONTH(TODAY())-1,
    _xlpm.coluna_ajustada, IF(_xlpm.mes_num=0, 12, _xlpm.mes_num),
    _xlpm.realizado_mes_anterior, INDEX(T839:AE839, 1, _xlpm.coluna_ajustada),
    _xlpm.previsto_total, AD839,
    _xlpm.realizado_mes_anterior / _xlpm.previsto_total
)</f>
        <v>0.89423076923076927</v>
      </c>
      <c r="BP839" s="53">
        <f ca="1">IFERROR(_xlfn.XLOOKUP(F839,Apuração!A:A,Apuração!D:D)/_xlfn.XLOOKUP(F839,Apuração!A:A,Apuração!B:B),0)</f>
        <v>0.2</v>
      </c>
      <c r="BQ839" s="53">
        <f ca="1">IF(BK839&gt;=BO839,0,_xlfn.XLOOKUP(F839,Apuração!A:A,Apuração!B:B)*(BO839 + (1/_xlfn.XLOOKUP(F839,Apuração!A:A,Apuração!B:B)) - BK839))</f>
        <v>1.4807692307692311</v>
      </c>
      <c r="BR839" s="85">
        <f t="shared" ca="1" si="1129"/>
        <v>293.19230769230774</v>
      </c>
      <c r="BS839" s="53">
        <f ca="1">IFERROR((_xlfn.XLOOKUP(F839,Apuração!A:A,Apuração!C:C)+1)/_xlfn.XLOOKUP(F839,Apuração!A:A,Apuração!B:B),0)</f>
        <v>0.4</v>
      </c>
    </row>
    <row r="840" spans="1:71" ht="25.95" hidden="1" customHeight="1" x14ac:dyDescent="0.3">
      <c r="A840" s="33" t="s">
        <v>175</v>
      </c>
      <c r="B840" s="4" t="s">
        <v>176</v>
      </c>
      <c r="C840" s="5" t="s">
        <v>97</v>
      </c>
      <c r="D840" s="5" t="s">
        <v>100</v>
      </c>
      <c r="E840" s="4" t="str" cm="1">
        <f t="array" ref="E840">_xlfn.IFS(
F840 = "A partir de Abril", "Aguardando Execução na Distribuidora",
A840 = "CAPACITAÇÃO", "Em execução no Corporativo",
TRUE, "Em Execução na Distribuidora"
)</f>
        <v>Em execução no Corporativo</v>
      </c>
      <c r="F840" s="4" t="str" cm="1">
        <f t="array" ref="F840">_xlfn.IFS(
AG840 &lt;&gt; "", "Jan-Dez/26",
AH840 &lt;&gt; "", "Fev-Dez/26",
AI840 &lt;&gt; "", "Mar-Dez/26", AJ840 &lt;&gt; "", "Abr-Dez/26",
TRUE, "A partir de Junho"
)</f>
        <v>Mar-Dez/26</v>
      </c>
      <c r="G840" s="4" t="s">
        <v>37</v>
      </c>
      <c r="H840" s="7" t="s">
        <v>38</v>
      </c>
      <c r="I840" s="8" t="s">
        <v>177</v>
      </c>
      <c r="J840" s="8" t="str" cm="1">
        <f t="array" aca="1" ref="J840" ca="1">_xlfn.LET(
  _xlpm.actual_value_month, INDEX(T840:AE840, MATCH(DATE(YEAR(TODAY()), MONTH(TODAY()), 1), $T$1:$AE$1, 0)),
  IF(_xlpm.actual_value_month &lt;&gt; "", _xlpm.actual_value_month &amp; " certificados mensais", "")
)</f>
        <v>306 certificados mensais</v>
      </c>
      <c r="K840" s="8" t="str">
        <f t="shared" si="1120"/>
        <v>352 certificado anuais.</v>
      </c>
      <c r="L840" s="9" t="s">
        <v>178</v>
      </c>
      <c r="M840" s="13">
        <v>1</v>
      </c>
      <c r="N840" s="5" t="s">
        <v>42</v>
      </c>
      <c r="O840" s="5" t="s">
        <v>43</v>
      </c>
      <c r="P840" s="10" t="s">
        <v>44</v>
      </c>
      <c r="Q840" s="10" t="s">
        <v>44</v>
      </c>
      <c r="R840" s="11" t="s">
        <v>179</v>
      </c>
      <c r="S840" s="11" t="s">
        <v>67</v>
      </c>
      <c r="T840" s="22"/>
      <c r="U840" s="22"/>
      <c r="V840" s="143">
        <v>139</v>
      </c>
      <c r="W840" s="143">
        <v>244</v>
      </c>
      <c r="X840" s="143">
        <v>280</v>
      </c>
      <c r="Y840" s="143">
        <v>306</v>
      </c>
      <c r="Z840" s="143">
        <v>325</v>
      </c>
      <c r="AA840" s="143">
        <v>337</v>
      </c>
      <c r="AB840" s="143">
        <v>345</v>
      </c>
      <c r="AC840" s="143">
        <v>352</v>
      </c>
      <c r="AD840" s="143">
        <v>352</v>
      </c>
      <c r="AE840" s="22"/>
      <c r="AG840" s="71"/>
      <c r="AH840" s="71"/>
      <c r="AI840" s="82">
        <v>140</v>
      </c>
      <c r="AJ840" s="82">
        <v>140</v>
      </c>
      <c r="AK840" s="71"/>
      <c r="AL840" s="71"/>
      <c r="AM840" s="71"/>
      <c r="AN840" s="71"/>
      <c r="AO840" s="71"/>
      <c r="AP840" s="71"/>
      <c r="AQ840" s="71"/>
      <c r="AR840" s="71"/>
      <c r="AS840" s="94" cm="1">
        <f t="array" ref="AS840">IFERROR(INDEX(T840:AE840,1,MATCH(2,1/(T840:AE840&lt;&gt;""))),"")</f>
        <v>352</v>
      </c>
      <c r="AT840" s="95" cm="1">
        <f t="array" ref="AT840">IFERROR(INDEX(AJ840:AR840,1,MATCH(2,1/(AJ840:AR840&lt;&gt;""))),"")</f>
        <v>140</v>
      </c>
      <c r="AU840" s="97">
        <f t="shared" si="1124"/>
        <v>140</v>
      </c>
      <c r="AW840" s="51">
        <f t="shared" si="1125"/>
        <v>0</v>
      </c>
      <c r="AX840" s="51">
        <f t="shared" si="1126"/>
        <v>0</v>
      </c>
      <c r="AY840" s="51">
        <f t="shared" si="1127"/>
        <v>0.39772727272727271</v>
      </c>
      <c r="AZ840" s="51">
        <f t="shared" si="1128"/>
        <v>0.39772727272727271</v>
      </c>
      <c r="BA840" s="51"/>
      <c r="BB840" s="51"/>
      <c r="BC840" s="51"/>
      <c r="BD840" s="51"/>
      <c r="BE840" s="51"/>
      <c r="BF840" s="51"/>
      <c r="BG840" s="51"/>
      <c r="BH840" s="51"/>
      <c r="BI840" s="65" cm="1">
        <f t="array" ref="BI840">IFERROR(INDEX(AW840:BH840,1,MATCH(2,1/(AW840:BH840&lt;&gt;""))),"")</f>
        <v>0.39772727272727271</v>
      </c>
      <c r="BJ840" s="68" cm="1">
        <f t="array" ref="BJ840">IF(BM840 = "", "",IFERROR(INDEX(AW840:BH840,1,MATCH(2,1/(AW840:BH840&lt;&gt;""),1)-1),""))</f>
        <v>0.39772727272727271</v>
      </c>
      <c r="BK840" s="58" cm="1">
        <f t="array" ref="BK840">IFERROR(INDEX(AW840:BH840,1,MATCH(2,1/(AW840:BH840&lt;&gt;""))),"")</f>
        <v>0.39772727272727271</v>
      </c>
      <c r="BL840" s="58" cm="1">
        <f t="array" ref="BL840">IFERROR(INDEX(AW840:BH840,1,MATCH(2,1/(AW840:BH840&lt;&gt;""),1)-1),"")</f>
        <v>0.39772727272727271</v>
      </c>
      <c r="BM840" s="55" cm="1">
        <f t="array" ref="BM840">IFERROR(
   INDEX($AW$1:$BH$1,
      _xlfn.AGGREGATE(14, 6, COLUMN($AW$1:$BH$1)/(AW840:BH840&lt;&gt;""), 2) - COLUMN($AW$1) + 1
   ),
"")</f>
        <v>46082</v>
      </c>
      <c r="BN840" s="55" cm="1">
        <f t="array" ref="BN840">IFERROR(INDEX($AW$1:$BH$1,1,MATCH(2,1/(AW840:BH840&lt;&gt;""))),"")</f>
        <v>46113</v>
      </c>
      <c r="BO840" s="119" cm="1">
        <f t="array" aca="1" ref="BO840" ca="1">_xlfn.LET(
    _xlpm.mes_num, MONTH(TODAY())-1,
    _xlpm.coluna_ajustada, IF(_xlpm.mes_num=0, 12, _xlpm.mes_num),
    _xlpm.realizado_mes_anterior, INDEX(T840:AE840, 1, _xlpm.coluna_ajustada),
    _xlpm.previsto_total, AD840,
    _xlpm.realizado_mes_anterior / _xlpm.previsto_total
)</f>
        <v>0.79545454545454541</v>
      </c>
      <c r="BP840" s="53">
        <f ca="1">IFERROR(_xlfn.XLOOKUP(F840,Apuração!A:A,Apuração!D:D)/_xlfn.XLOOKUP(F840,Apuração!A:A,Apuração!B:B),0)</f>
        <v>0.2</v>
      </c>
      <c r="BQ840" s="53">
        <f ca="1">IF(BK840&gt;=BO840,0,_xlfn.XLOOKUP(F840,Apuração!A:A,Apuração!B:B)*(BO840 + (1/_xlfn.XLOOKUP(F840,Apuração!A:A,Apuração!B:B)) - BK840))</f>
        <v>4.9772727272727266</v>
      </c>
      <c r="BR840" s="85">
        <f t="shared" ca="1" si="1129"/>
        <v>1617.6136363636363</v>
      </c>
      <c r="BS840" s="53">
        <f ca="1">IFERROR((_xlfn.XLOOKUP(F840,Apuração!A:A,Apuração!C:C)+1)/_xlfn.XLOOKUP(F840,Apuração!A:A,Apuração!B:B),0)</f>
        <v>0.4</v>
      </c>
    </row>
    <row r="841" spans="1:71" ht="25.95" hidden="1" customHeight="1" x14ac:dyDescent="0.3">
      <c r="A841" s="33" t="s">
        <v>175</v>
      </c>
      <c r="B841" s="4" t="s">
        <v>176</v>
      </c>
      <c r="C841" s="5" t="s">
        <v>97</v>
      </c>
      <c r="D841" s="5" t="s">
        <v>101</v>
      </c>
      <c r="E841" s="4" t="str" cm="1">
        <f t="array" ref="E841">_xlfn.IFS(
F841 = "A partir de Abril", "Aguardando Execução na Distribuidora",
A841 = "CAPACITAÇÃO", "Em execução no Corporativo",
TRUE, "Em Execução na Distribuidora"
)</f>
        <v>Em execução no Corporativo</v>
      </c>
      <c r="F841" s="4" t="str" cm="1">
        <f t="array" ref="F841">_xlfn.IFS(
AG841 &lt;&gt; "", "Jan-Dez/26",
AH841 &lt;&gt; "", "Fev-Dez/26",
AI841 &lt;&gt; "", "Mar-Dez/26", AJ841 &lt;&gt; "", "Abr-Dez/26",
TRUE, "A partir de Junho"
)</f>
        <v>Mar-Dez/26</v>
      </c>
      <c r="G841" s="4" t="s">
        <v>37</v>
      </c>
      <c r="H841" s="7" t="s">
        <v>38</v>
      </c>
      <c r="I841" s="8" t="s">
        <v>177</v>
      </c>
      <c r="J841" s="8" t="str" cm="1">
        <f t="array" aca="1" ref="J841" ca="1">_xlfn.LET(
  _xlpm.actual_value_month, INDEX(T841:AE841, MATCH(DATE(YEAR(TODAY()), MONTH(TODAY()), 1), $T$1:$AE$1, 0)),
  IF(_xlpm.actual_value_month &lt;&gt; "", _xlpm.actual_value_month &amp; " certificados mensais", "")
)</f>
        <v>464 certificados mensais</v>
      </c>
      <c r="K841" s="8" t="str">
        <f t="shared" si="1120"/>
        <v>493 certificado anuais.</v>
      </c>
      <c r="L841" s="9" t="s">
        <v>178</v>
      </c>
      <c r="M841" s="13">
        <v>1</v>
      </c>
      <c r="N841" s="5" t="s">
        <v>42</v>
      </c>
      <c r="O841" s="5" t="s">
        <v>43</v>
      </c>
      <c r="P841" s="10" t="s">
        <v>44</v>
      </c>
      <c r="Q841" s="10" t="s">
        <v>44</v>
      </c>
      <c r="R841" s="11" t="s">
        <v>179</v>
      </c>
      <c r="S841" s="11" t="s">
        <v>67</v>
      </c>
      <c r="T841" s="22"/>
      <c r="U841" s="22"/>
      <c r="V841" s="143">
        <v>248</v>
      </c>
      <c r="W841" s="143">
        <v>364</v>
      </c>
      <c r="X841" s="143">
        <v>454</v>
      </c>
      <c r="Y841" s="143">
        <v>464</v>
      </c>
      <c r="Z841" s="143">
        <v>474</v>
      </c>
      <c r="AA841" s="143">
        <v>484</v>
      </c>
      <c r="AB841" s="143">
        <v>493</v>
      </c>
      <c r="AC841" s="143">
        <v>493</v>
      </c>
      <c r="AD841" s="143">
        <v>493</v>
      </c>
      <c r="AE841" s="22"/>
      <c r="AG841" s="71"/>
      <c r="AH841" s="71"/>
      <c r="AI841" s="82">
        <v>248</v>
      </c>
      <c r="AJ841" s="82">
        <v>248</v>
      </c>
      <c r="AK841" s="71"/>
      <c r="AL841" s="71"/>
      <c r="AM841" s="71"/>
      <c r="AN841" s="71"/>
      <c r="AO841" s="71"/>
      <c r="AP841" s="71"/>
      <c r="AQ841" s="71"/>
      <c r="AR841" s="71"/>
      <c r="AS841" s="94" cm="1">
        <f t="array" ref="AS841">IFERROR(INDEX(T841:AE841,1,MATCH(2,1/(T841:AE841&lt;&gt;""))),"")</f>
        <v>493</v>
      </c>
      <c r="AT841" s="95" cm="1">
        <f t="array" ref="AT841">IFERROR(INDEX(AJ841:AR841,1,MATCH(2,1/(AJ841:AR841&lt;&gt;""))),"")</f>
        <v>248</v>
      </c>
      <c r="AU841" s="97">
        <f t="shared" si="1124"/>
        <v>248</v>
      </c>
      <c r="AW841" s="51">
        <f t="shared" si="1125"/>
        <v>0</v>
      </c>
      <c r="AX841" s="51">
        <f t="shared" si="1126"/>
        <v>0</v>
      </c>
      <c r="AY841" s="51">
        <f t="shared" si="1127"/>
        <v>0.50304259634888437</v>
      </c>
      <c r="AZ841" s="51">
        <f t="shared" si="1128"/>
        <v>0.50304259634888437</v>
      </c>
      <c r="BA841" s="51"/>
      <c r="BB841" s="51"/>
      <c r="BC841" s="51"/>
      <c r="BD841" s="51"/>
      <c r="BE841" s="51"/>
      <c r="BF841" s="51"/>
      <c r="BG841" s="51"/>
      <c r="BH841" s="51"/>
      <c r="BI841" s="65" cm="1">
        <f t="array" ref="BI841">IFERROR(INDEX(AW841:BH841,1,MATCH(2,1/(AW841:BH841&lt;&gt;""))),"")</f>
        <v>0.50304259634888437</v>
      </c>
      <c r="BJ841" s="68" cm="1">
        <f t="array" ref="BJ841">IF(BM841 = "", "",IFERROR(INDEX(AW841:BH841,1,MATCH(2,1/(AW841:BH841&lt;&gt;""),1)-1),""))</f>
        <v>0.50304259634888437</v>
      </c>
      <c r="BK841" s="58" cm="1">
        <f t="array" ref="BK841">IFERROR(INDEX(AW841:BH841,1,MATCH(2,1/(AW841:BH841&lt;&gt;""))),"")</f>
        <v>0.50304259634888437</v>
      </c>
      <c r="BL841" s="58" cm="1">
        <f t="array" ref="BL841">IFERROR(INDEX(AW841:BH841,1,MATCH(2,1/(AW841:BH841&lt;&gt;""),1)-1),"")</f>
        <v>0.50304259634888437</v>
      </c>
      <c r="BM841" s="55" cm="1">
        <f t="array" ref="BM841">IFERROR(
   INDEX($AW$1:$BH$1,
      _xlfn.AGGREGATE(14, 6, COLUMN($AW$1:$BH$1)/(AW841:BH841&lt;&gt;""), 2) - COLUMN($AW$1) + 1
   ),
"")</f>
        <v>46082</v>
      </c>
      <c r="BN841" s="55" cm="1">
        <f t="array" ref="BN841">IFERROR(INDEX($AW$1:$BH$1,1,MATCH(2,1/(AW841:BH841&lt;&gt;""))),"")</f>
        <v>46113</v>
      </c>
      <c r="BO841" s="119" cm="1">
        <f t="array" aca="1" ref="BO841" ca="1">_xlfn.LET(
    _xlpm.mes_num, MONTH(TODAY())-1,
    _xlpm.coluna_ajustada, IF(_xlpm.mes_num=0, 12, _xlpm.mes_num),
    _xlpm.realizado_mes_anterior, INDEX(T841:AE841, 1, _xlpm.coluna_ajustada),
    _xlpm.previsto_total, AD841,
    _xlpm.realizado_mes_anterior / _xlpm.previsto_total
)</f>
        <v>0.92089249492900604</v>
      </c>
      <c r="BP841" s="53">
        <f ca="1">IFERROR(_xlfn.XLOOKUP(F841,Apuração!A:A,Apuração!D:D)/_xlfn.XLOOKUP(F841,Apuração!A:A,Apuração!B:B),0)</f>
        <v>0.2</v>
      </c>
      <c r="BQ841" s="53">
        <f ca="1">IF(BK841&gt;=BO841,0,_xlfn.XLOOKUP(F841,Apuração!A:A,Apuração!B:B)*(BO841 + (1/_xlfn.XLOOKUP(F841,Apuração!A:A,Apuração!B:B)) - BK841))</f>
        <v>5.1784989858012178</v>
      </c>
      <c r="BR841" s="85">
        <f t="shared" ca="1" si="1129"/>
        <v>2454.6085192697774</v>
      </c>
      <c r="BS841" s="53">
        <f ca="1">IFERROR((_xlfn.XLOOKUP(F841,Apuração!A:A,Apuração!C:C)+1)/_xlfn.XLOOKUP(F841,Apuração!A:A,Apuração!B:B),0)</f>
        <v>0.4</v>
      </c>
    </row>
    <row r="842" spans="1:71" ht="25.95" hidden="1" customHeight="1" x14ac:dyDescent="0.3">
      <c r="A842" s="33" t="s">
        <v>175</v>
      </c>
      <c r="B842" s="4" t="s">
        <v>176</v>
      </c>
      <c r="C842" s="5" t="s">
        <v>97</v>
      </c>
      <c r="D842" s="5" t="s">
        <v>102</v>
      </c>
      <c r="E842" s="4" t="str" cm="1">
        <f t="array" ref="E842">_xlfn.IFS(
F842 = "A partir de Abril", "Aguardando Execução na Distribuidora",
A842 = "CAPACITAÇÃO", "Em execução no Corporativo",
TRUE, "Em Execução na Distribuidora"
)</f>
        <v>Em execução no Corporativo</v>
      </c>
      <c r="F842" s="4" t="str" cm="1">
        <f t="array" ref="F842">_xlfn.IFS(
AG842 &lt;&gt; "", "Jan-Dez/26",
AH842 &lt;&gt; "", "Fev-Dez/26",
AI842 &lt;&gt; "", "Mar-Dez/26", AJ842 &lt;&gt; "", "Abr-Dez/26",
TRUE, "A partir de Junho"
)</f>
        <v>Mar-Dez/26</v>
      </c>
      <c r="G842" s="4" t="s">
        <v>37</v>
      </c>
      <c r="H842" s="7" t="s">
        <v>38</v>
      </c>
      <c r="I842" s="8" t="s">
        <v>177</v>
      </c>
      <c r="J842" s="8" t="str" cm="1">
        <f t="array" aca="1" ref="J842" ca="1">_xlfn.LET(
  _xlpm.actual_value_month, INDEX(T842:AE842, MATCH(DATE(YEAR(TODAY()), MONTH(TODAY()), 1), $T$1:$AE$1, 0)),
  IF(_xlpm.actual_value_month &lt;&gt; "", _xlpm.actual_value_month &amp; " certificados mensais", "")
)</f>
        <v>463 certificados mensais</v>
      </c>
      <c r="K842" s="8" t="str">
        <f t="shared" si="1120"/>
        <v>463 certificado anuais.</v>
      </c>
      <c r="L842" s="9" t="s">
        <v>178</v>
      </c>
      <c r="M842" s="13">
        <v>1</v>
      </c>
      <c r="N842" s="5" t="s">
        <v>42</v>
      </c>
      <c r="O842" s="5" t="s">
        <v>43</v>
      </c>
      <c r="P842" s="10" t="s">
        <v>44</v>
      </c>
      <c r="Q842" s="10" t="s">
        <v>44</v>
      </c>
      <c r="R842" s="11" t="s">
        <v>179</v>
      </c>
      <c r="S842" s="11" t="s">
        <v>67</v>
      </c>
      <c r="T842" s="22"/>
      <c r="U842" s="22"/>
      <c r="V842" s="143">
        <v>411</v>
      </c>
      <c r="W842" s="143">
        <v>426</v>
      </c>
      <c r="X842" s="143">
        <v>446</v>
      </c>
      <c r="Y842" s="143">
        <v>463</v>
      </c>
      <c r="Z842" s="143">
        <v>463</v>
      </c>
      <c r="AA842" s="143">
        <v>463</v>
      </c>
      <c r="AB842" s="143">
        <v>463</v>
      </c>
      <c r="AC842" s="143">
        <v>463</v>
      </c>
      <c r="AD842" s="143">
        <v>463</v>
      </c>
      <c r="AE842" s="22"/>
      <c r="AG842" s="71"/>
      <c r="AH842" s="71"/>
      <c r="AI842" s="82">
        <v>413</v>
      </c>
      <c r="AJ842" s="82">
        <v>413</v>
      </c>
      <c r="AK842" s="71"/>
      <c r="AL842" s="71"/>
      <c r="AM842" s="71"/>
      <c r="AN842" s="71"/>
      <c r="AO842" s="71"/>
      <c r="AP842" s="71"/>
      <c r="AQ842" s="71"/>
      <c r="AR842" s="71"/>
      <c r="AS842" s="94" cm="1">
        <f t="array" ref="AS842">IFERROR(INDEX(T842:AE842,1,MATCH(2,1/(T842:AE842&lt;&gt;""))),"")</f>
        <v>463</v>
      </c>
      <c r="AT842" s="95" cm="1">
        <f t="array" ref="AT842">IFERROR(INDEX(AJ842:AR842,1,MATCH(2,1/(AJ842:AR842&lt;&gt;""))),"")</f>
        <v>413</v>
      </c>
      <c r="AU842" s="97">
        <f t="shared" si="1124"/>
        <v>413</v>
      </c>
      <c r="AW842" s="51">
        <f t="shared" si="1125"/>
        <v>0</v>
      </c>
      <c r="AX842" s="51">
        <f t="shared" si="1126"/>
        <v>0</v>
      </c>
      <c r="AY842" s="51">
        <f t="shared" si="1127"/>
        <v>0.89200863930885532</v>
      </c>
      <c r="AZ842" s="51">
        <f t="shared" si="1128"/>
        <v>0.89200863930885532</v>
      </c>
      <c r="BA842" s="51"/>
      <c r="BB842" s="51"/>
      <c r="BC842" s="51"/>
      <c r="BD842" s="51"/>
      <c r="BE842" s="51"/>
      <c r="BF842" s="51"/>
      <c r="BG842" s="51"/>
      <c r="BH842" s="51"/>
      <c r="BI842" s="65" cm="1">
        <f t="array" ref="BI842">IFERROR(INDEX(AW842:BH842,1,MATCH(2,1/(AW842:BH842&lt;&gt;""))),"")</f>
        <v>0.89200863930885532</v>
      </c>
      <c r="BJ842" s="68" cm="1">
        <f t="array" ref="BJ842">IF(BM842 = "", "",IFERROR(INDEX(AW842:BH842,1,MATCH(2,1/(AW842:BH842&lt;&gt;""),1)-1),""))</f>
        <v>0.89200863930885532</v>
      </c>
      <c r="BK842" s="58" cm="1">
        <f t="array" ref="BK842">IFERROR(INDEX(AW842:BH842,1,MATCH(2,1/(AW842:BH842&lt;&gt;""))),"")</f>
        <v>0.89200863930885532</v>
      </c>
      <c r="BL842" s="58" cm="1">
        <f t="array" ref="BL842">IFERROR(INDEX(AW842:BH842,1,MATCH(2,1/(AW842:BH842&lt;&gt;""),1)-1),"")</f>
        <v>0.89200863930885532</v>
      </c>
      <c r="BM842" s="55" cm="1">
        <f t="array" ref="BM842">IFERROR(
   INDEX($AW$1:$BH$1,
      _xlfn.AGGREGATE(14, 6, COLUMN($AW$1:$BH$1)/(AW842:BH842&lt;&gt;""), 2) - COLUMN($AW$1) + 1
   ),
"")</f>
        <v>46082</v>
      </c>
      <c r="BN842" s="55" cm="1">
        <f t="array" ref="BN842">IFERROR(INDEX($AW$1:$BH$1,1,MATCH(2,1/(AW842:BH842&lt;&gt;""))),"")</f>
        <v>46113</v>
      </c>
      <c r="BO842" s="119" cm="1">
        <f t="array" aca="1" ref="BO842" ca="1">_xlfn.LET(
    _xlpm.mes_num, MONTH(TODAY())-1,
    _xlpm.coluna_ajustada, IF(_xlpm.mes_num=0, 12, _xlpm.mes_num),
    _xlpm.realizado_mes_anterior, INDEX(T842:AE842, 1, _xlpm.coluna_ajustada),
    _xlpm.previsto_total, AD842,
    _xlpm.realizado_mes_anterior / _xlpm.previsto_total
)</f>
        <v>0.96328293736501081</v>
      </c>
      <c r="BP842" s="53">
        <f ca="1">IFERROR(_xlfn.XLOOKUP(F842,Apuração!A:A,Apuração!D:D)/_xlfn.XLOOKUP(F842,Apuração!A:A,Apuração!B:B),0)</f>
        <v>0.2</v>
      </c>
      <c r="BQ842" s="53">
        <f ca="1">IF(BK842&gt;=BO842,0,_xlfn.XLOOKUP(F842,Apuração!A:A,Apuração!B:B)*(BO842 + (1/_xlfn.XLOOKUP(F842,Apuração!A:A,Apuração!B:B)) - BK842))</f>
        <v>1.7127429805615546</v>
      </c>
      <c r="BR842" s="85">
        <f t="shared" ca="1" si="1129"/>
        <v>792.99999999999977</v>
      </c>
      <c r="BS842" s="53">
        <f ca="1">IFERROR((_xlfn.XLOOKUP(F842,Apuração!A:A,Apuração!C:C)+1)/_xlfn.XLOOKUP(F842,Apuração!A:A,Apuração!B:B),0)</f>
        <v>0.4</v>
      </c>
    </row>
    <row r="843" spans="1:71" ht="25.95" hidden="1" customHeight="1" x14ac:dyDescent="0.3">
      <c r="A843" s="33" t="s">
        <v>175</v>
      </c>
      <c r="B843" s="4" t="s">
        <v>176</v>
      </c>
      <c r="C843" s="5" t="s">
        <v>97</v>
      </c>
      <c r="D843" s="5" t="s">
        <v>103</v>
      </c>
      <c r="E843" s="4" t="str" cm="1">
        <f t="array" ref="E843">_xlfn.IFS(
F843 = "A partir de Abril", "Aguardando Execução na Distribuidora",
A843 = "CAPACITAÇÃO", "Em execução no Corporativo",
TRUE, "Em Execução na Distribuidora"
)</f>
        <v>Em execução no Corporativo</v>
      </c>
      <c r="F843" s="4" t="str" cm="1">
        <f t="array" ref="F843">_xlfn.IFS(
AG843 &lt;&gt; "", "Jan-Dez/26",
AH843 &lt;&gt; "", "Fev-Dez/26",
AI843 &lt;&gt; "", "Mar-Dez/26", AJ843 &lt;&gt; "", "Abr-Dez/26",
TRUE, "A partir de Junho"
)</f>
        <v>Mar-Dez/26</v>
      </c>
      <c r="G843" s="4" t="s">
        <v>37</v>
      </c>
      <c r="H843" s="7" t="s">
        <v>38</v>
      </c>
      <c r="I843" s="8" t="s">
        <v>177</v>
      </c>
      <c r="J843" s="8" t="str" cm="1">
        <f t="array" aca="1" ref="J843" ca="1">_xlfn.LET(
  _xlpm.actual_value_month, INDEX(T843:AE843, MATCH(DATE(YEAR(TODAY()), MONTH(TODAY()), 1), $T$1:$AE$1, 0)),
  IF(_xlpm.actual_value_month &lt;&gt; "", _xlpm.actual_value_month &amp; " certificados mensais", "")
)</f>
        <v>551 certificados mensais</v>
      </c>
      <c r="K843" s="8" t="str">
        <f t="shared" si="1120"/>
        <v>692 certificado anuais.</v>
      </c>
      <c r="L843" s="9" t="s">
        <v>178</v>
      </c>
      <c r="M843" s="13">
        <v>1</v>
      </c>
      <c r="N843" s="5" t="s">
        <v>42</v>
      </c>
      <c r="O843" s="5" t="s">
        <v>43</v>
      </c>
      <c r="P843" s="10" t="s">
        <v>44</v>
      </c>
      <c r="Q843" s="10" t="s">
        <v>44</v>
      </c>
      <c r="R843" s="11" t="s">
        <v>179</v>
      </c>
      <c r="S843" s="11" t="s">
        <v>67</v>
      </c>
      <c r="T843" s="22"/>
      <c r="U843" s="22"/>
      <c r="V843" s="143">
        <v>292</v>
      </c>
      <c r="W843" s="143">
        <v>402</v>
      </c>
      <c r="X843" s="143">
        <v>502</v>
      </c>
      <c r="Y843" s="143">
        <v>551</v>
      </c>
      <c r="Z843" s="143">
        <v>594</v>
      </c>
      <c r="AA843" s="143">
        <v>626</v>
      </c>
      <c r="AB843" s="143">
        <v>650</v>
      </c>
      <c r="AC843" s="143">
        <v>672</v>
      </c>
      <c r="AD843" s="143">
        <v>692</v>
      </c>
      <c r="AE843" s="22"/>
      <c r="AG843" s="71"/>
      <c r="AH843" s="71"/>
      <c r="AI843" s="82">
        <v>294</v>
      </c>
      <c r="AJ843" s="82">
        <v>294</v>
      </c>
      <c r="AK843" s="71"/>
      <c r="AL843" s="71"/>
      <c r="AM843" s="71"/>
      <c r="AN843" s="71"/>
      <c r="AO843" s="71"/>
      <c r="AP843" s="71"/>
      <c r="AQ843" s="71"/>
      <c r="AR843" s="71"/>
      <c r="AS843" s="94" cm="1">
        <f t="array" ref="AS843">IFERROR(INDEX(T843:AE843,1,MATCH(2,1/(T843:AE843&lt;&gt;""))),"")</f>
        <v>692</v>
      </c>
      <c r="AT843" s="95" cm="1">
        <f t="array" ref="AT843">IFERROR(INDEX(AJ843:AR843,1,MATCH(2,1/(AJ843:AR843&lt;&gt;""))),"")</f>
        <v>294</v>
      </c>
      <c r="AU843" s="97">
        <f t="shared" si="1124"/>
        <v>294</v>
      </c>
      <c r="AW843" s="51">
        <f t="shared" si="1125"/>
        <v>0</v>
      </c>
      <c r="AX843" s="51">
        <f t="shared" si="1126"/>
        <v>0</v>
      </c>
      <c r="AY843" s="51">
        <f t="shared" si="1127"/>
        <v>0.42485549132947975</v>
      </c>
      <c r="AZ843" s="51">
        <f t="shared" si="1128"/>
        <v>0.42485549132947975</v>
      </c>
      <c r="BA843" s="51"/>
      <c r="BB843" s="51"/>
      <c r="BC843" s="51"/>
      <c r="BD843" s="51"/>
      <c r="BE843" s="51"/>
      <c r="BF843" s="51"/>
      <c r="BG843" s="51"/>
      <c r="BH843" s="51"/>
      <c r="BI843" s="65" cm="1">
        <f t="array" ref="BI843">IFERROR(INDEX(AW843:BH843,1,MATCH(2,1/(AW843:BH843&lt;&gt;""))),"")</f>
        <v>0.42485549132947975</v>
      </c>
      <c r="BJ843" s="68" cm="1">
        <f t="array" ref="BJ843">IF(BM843 = "", "",IFERROR(INDEX(AW843:BH843,1,MATCH(2,1/(AW843:BH843&lt;&gt;""),1)-1),""))</f>
        <v>0.42485549132947975</v>
      </c>
      <c r="BK843" s="58" cm="1">
        <f t="array" ref="BK843">IFERROR(INDEX(AW843:BH843,1,MATCH(2,1/(AW843:BH843&lt;&gt;""))),"")</f>
        <v>0.42485549132947975</v>
      </c>
      <c r="BL843" s="58" cm="1">
        <f t="array" ref="BL843">IFERROR(INDEX(AW843:BH843,1,MATCH(2,1/(AW843:BH843&lt;&gt;""),1)-1),"")</f>
        <v>0.42485549132947975</v>
      </c>
      <c r="BM843" s="55" cm="1">
        <f t="array" ref="BM843">IFERROR(
   INDEX($AW$1:$BH$1,
      _xlfn.AGGREGATE(14, 6, COLUMN($AW$1:$BH$1)/(AW843:BH843&lt;&gt;""), 2) - COLUMN($AW$1) + 1
   ),
"")</f>
        <v>46082</v>
      </c>
      <c r="BN843" s="55" cm="1">
        <f t="array" ref="BN843">IFERROR(INDEX($AW$1:$BH$1,1,MATCH(2,1/(AW843:BH843&lt;&gt;""))),"")</f>
        <v>46113</v>
      </c>
      <c r="BO843" s="119" cm="1">
        <f t="array" aca="1" ref="BO843" ca="1">_xlfn.LET(
    _xlpm.mes_num, MONTH(TODAY())-1,
    _xlpm.coluna_ajustada, IF(_xlpm.mes_num=0, 12, _xlpm.mes_num),
    _xlpm.realizado_mes_anterior, INDEX(T843:AE843, 1, _xlpm.coluna_ajustada),
    _xlpm.previsto_total, AD843,
    _xlpm.realizado_mes_anterior / _xlpm.previsto_total
)</f>
        <v>0.72543352601156075</v>
      </c>
      <c r="BP843" s="53">
        <f ca="1">IFERROR(_xlfn.XLOOKUP(F843,Apuração!A:A,Apuração!D:D)/_xlfn.XLOOKUP(F843,Apuração!A:A,Apuração!B:B),0)</f>
        <v>0.2</v>
      </c>
      <c r="BQ843" s="53">
        <f ca="1">IF(BK843&gt;=BO843,0,_xlfn.XLOOKUP(F843,Apuração!A:A,Apuração!B:B)*(BO843 + (1/_xlfn.XLOOKUP(F843,Apuração!A:A,Apuração!B:B)) - BK843))</f>
        <v>4.00578034682081</v>
      </c>
      <c r="BR843" s="85">
        <f t="shared" ca="1" si="1129"/>
        <v>2379.4335260115613</v>
      </c>
      <c r="BS843" s="53">
        <f ca="1">IFERROR((_xlfn.XLOOKUP(F843,Apuração!A:A,Apuração!C:C)+1)/_xlfn.XLOOKUP(F843,Apuração!A:A,Apuração!B:B),0)</f>
        <v>0.4</v>
      </c>
    </row>
    <row r="844" spans="1:71" ht="25.95" hidden="1" customHeight="1" x14ac:dyDescent="0.3">
      <c r="A844" s="33" t="s">
        <v>175</v>
      </c>
      <c r="B844" s="4" t="s">
        <v>176</v>
      </c>
      <c r="C844" s="5" t="s">
        <v>97</v>
      </c>
      <c r="D844" s="5" t="s">
        <v>104</v>
      </c>
      <c r="E844" s="4" t="str" cm="1">
        <f t="array" ref="E844">_xlfn.IFS(
F844 = "A partir de Abril", "Aguardando Execução na Distribuidora",
A844 = "CAPACITAÇÃO", "Em execução no Corporativo",
TRUE, "Em Execução na Distribuidora"
)</f>
        <v>Em execução no Corporativo</v>
      </c>
      <c r="F844" s="4" t="str" cm="1">
        <f t="array" ref="F844">_xlfn.IFS(
AG844 &lt;&gt; "", "Jan-Dez/26",
AH844 &lt;&gt; "", "Fev-Dez/26",
AI844 &lt;&gt; "", "Mar-Dez/26", AJ844 &lt;&gt; "", "Abr-Dez/26",
TRUE, "A partir de Junho"
)</f>
        <v>Mar-Dez/26</v>
      </c>
      <c r="G844" s="4" t="s">
        <v>37</v>
      </c>
      <c r="H844" s="7" t="s">
        <v>38</v>
      </c>
      <c r="I844" s="8" t="s">
        <v>177</v>
      </c>
      <c r="J844" s="8" t="str" cm="1">
        <f t="array" aca="1" ref="J844" ca="1">_xlfn.LET(
  _xlpm.actual_value_month, INDEX(T844:AE844, MATCH(DATE(YEAR(TODAY()), MONTH(TODAY()), 1), $T$1:$AE$1, 0)),
  IF(_xlpm.actual_value_month &lt;&gt; "", _xlpm.actual_value_month &amp; " certificados mensais", "")
)</f>
        <v>390 certificados mensais</v>
      </c>
      <c r="K844" s="8" t="str">
        <f t="shared" si="1120"/>
        <v>394 certificado anuais.</v>
      </c>
      <c r="L844" s="9" t="s">
        <v>178</v>
      </c>
      <c r="M844" s="13">
        <v>1</v>
      </c>
      <c r="N844" s="5" t="s">
        <v>42</v>
      </c>
      <c r="O844" s="5" t="s">
        <v>43</v>
      </c>
      <c r="P844" s="10" t="s">
        <v>44</v>
      </c>
      <c r="Q844" s="10" t="s">
        <v>44</v>
      </c>
      <c r="R844" s="11" t="s">
        <v>179</v>
      </c>
      <c r="S844" s="11" t="s">
        <v>67</v>
      </c>
      <c r="T844" s="22"/>
      <c r="U844" s="22"/>
      <c r="V844" s="143">
        <v>176</v>
      </c>
      <c r="W844" s="143">
        <v>290</v>
      </c>
      <c r="X844" s="143">
        <v>380</v>
      </c>
      <c r="Y844" s="143">
        <v>390</v>
      </c>
      <c r="Z844" s="143">
        <v>394</v>
      </c>
      <c r="AA844" s="143">
        <v>394</v>
      </c>
      <c r="AB844" s="143">
        <v>394</v>
      </c>
      <c r="AC844" s="143">
        <v>394</v>
      </c>
      <c r="AD844" s="143">
        <v>394</v>
      </c>
      <c r="AE844" s="22"/>
      <c r="AG844" s="71"/>
      <c r="AH844" s="71"/>
      <c r="AI844" s="82">
        <v>176</v>
      </c>
      <c r="AJ844" s="82">
        <v>176</v>
      </c>
      <c r="AK844" s="71"/>
      <c r="AL844" s="71"/>
      <c r="AM844" s="71"/>
      <c r="AN844" s="71"/>
      <c r="AO844" s="71"/>
      <c r="AP844" s="71"/>
      <c r="AQ844" s="71"/>
      <c r="AR844" s="71"/>
      <c r="AS844" s="94" cm="1">
        <f t="array" ref="AS844">IFERROR(INDEX(T844:AE844,1,MATCH(2,1/(T844:AE844&lt;&gt;""))),"")</f>
        <v>394</v>
      </c>
      <c r="AT844" s="95" cm="1">
        <f t="array" ref="AT844">IFERROR(INDEX(AJ844:AR844,1,MATCH(2,1/(AJ844:AR844&lt;&gt;""))),"")</f>
        <v>176</v>
      </c>
      <c r="AU844" s="97">
        <f t="shared" si="1124"/>
        <v>176</v>
      </c>
      <c r="AW844" s="51">
        <f t="shared" si="1125"/>
        <v>0</v>
      </c>
      <c r="AX844" s="51">
        <f t="shared" si="1126"/>
        <v>0</v>
      </c>
      <c r="AY844" s="51">
        <f t="shared" si="1127"/>
        <v>0.4467005076142132</v>
      </c>
      <c r="AZ844" s="51">
        <f t="shared" si="1128"/>
        <v>0.4467005076142132</v>
      </c>
      <c r="BA844" s="51"/>
      <c r="BB844" s="51"/>
      <c r="BC844" s="51"/>
      <c r="BD844" s="51"/>
      <c r="BE844" s="51"/>
      <c r="BF844" s="51"/>
      <c r="BG844" s="51"/>
      <c r="BH844" s="51"/>
      <c r="BI844" s="65" cm="1">
        <f t="array" ref="BI844">IFERROR(INDEX(AW844:BH844,1,MATCH(2,1/(AW844:BH844&lt;&gt;""))),"")</f>
        <v>0.4467005076142132</v>
      </c>
      <c r="BJ844" s="68" cm="1">
        <f t="array" ref="BJ844">IF(BM844 = "", "",IFERROR(INDEX(AW844:BH844,1,MATCH(2,1/(AW844:BH844&lt;&gt;""),1)-1),""))</f>
        <v>0.4467005076142132</v>
      </c>
      <c r="BK844" s="58" cm="1">
        <f t="array" ref="BK844">IFERROR(INDEX(AW844:BH844,1,MATCH(2,1/(AW844:BH844&lt;&gt;""))),"")</f>
        <v>0.4467005076142132</v>
      </c>
      <c r="BL844" s="58" cm="1">
        <f t="array" ref="BL844">IFERROR(INDEX(AW844:BH844,1,MATCH(2,1/(AW844:BH844&lt;&gt;""),1)-1),"")</f>
        <v>0.4467005076142132</v>
      </c>
      <c r="BM844" s="55" cm="1">
        <f t="array" ref="BM844">IFERROR(
   INDEX($AW$1:$BH$1,
      _xlfn.AGGREGATE(14, 6, COLUMN($AW$1:$BH$1)/(AW844:BH844&lt;&gt;""), 2) - COLUMN($AW$1) + 1
   ),
"")</f>
        <v>46082</v>
      </c>
      <c r="BN844" s="55" cm="1">
        <f t="array" ref="BN844">IFERROR(INDEX($AW$1:$BH$1,1,MATCH(2,1/(AW844:BH844&lt;&gt;""))),"")</f>
        <v>46113</v>
      </c>
      <c r="BO844" s="119" cm="1">
        <f t="array" aca="1" ref="BO844" ca="1">_xlfn.LET(
    _xlpm.mes_num, MONTH(TODAY())-1,
    _xlpm.coluna_ajustada, IF(_xlpm.mes_num=0, 12, _xlpm.mes_num),
    _xlpm.realizado_mes_anterior, INDEX(T844:AE844, 1, _xlpm.coluna_ajustada),
    _xlpm.previsto_total, AD844,
    _xlpm.realizado_mes_anterior / _xlpm.previsto_total
)</f>
        <v>0.96446700507614214</v>
      </c>
      <c r="BP844" s="53">
        <f ca="1">IFERROR(_xlfn.XLOOKUP(F844,Apuração!A:A,Apuração!D:D)/_xlfn.XLOOKUP(F844,Apuração!A:A,Apuração!B:B),0)</f>
        <v>0.2</v>
      </c>
      <c r="BQ844" s="53">
        <f ca="1">IF(BK844&gt;=BO844,0,_xlfn.XLOOKUP(F844,Apuração!A:A,Apuração!B:B)*(BO844 + (1/_xlfn.XLOOKUP(F844,Apuração!A:A,Apuração!B:B)) - BK844))</f>
        <v>6.1776649746192902</v>
      </c>
      <c r="BR844" s="85">
        <f t="shared" ca="1" si="1129"/>
        <v>2434.0000000000005</v>
      </c>
      <c r="BS844" s="53">
        <f ca="1">IFERROR((_xlfn.XLOOKUP(F844,Apuração!A:A,Apuração!C:C)+1)/_xlfn.XLOOKUP(F844,Apuração!A:A,Apuração!B:B),0)</f>
        <v>0.4</v>
      </c>
    </row>
    <row r="845" spans="1:71" ht="25.95" hidden="1" customHeight="1" x14ac:dyDescent="0.3">
      <c r="A845" s="33" t="s">
        <v>175</v>
      </c>
      <c r="B845" s="4" t="s">
        <v>176</v>
      </c>
      <c r="C845" s="5" t="s">
        <v>97</v>
      </c>
      <c r="D845" s="5" t="s">
        <v>105</v>
      </c>
      <c r="E845" s="4" t="str" cm="1">
        <f t="array" ref="E845">_xlfn.IFS(
F845 = "A partir de Abril", "Aguardando Execução na Distribuidora",
A845 = "CAPACITAÇÃO", "Em execução no Corporativo",
TRUE, "Em Execução na Distribuidora"
)</f>
        <v>Em execução no Corporativo</v>
      </c>
      <c r="F845" s="4" t="str" cm="1">
        <f t="array" ref="F845">_xlfn.IFS(
AG845 &lt;&gt; "", "Jan-Dez/26",
AH845 &lt;&gt; "", "Fev-Dez/26",
AI845 &lt;&gt; "", "Mar-Dez/26", AJ845 &lt;&gt; "", "Abr-Dez/26",
TRUE, "A partir de Junho"
)</f>
        <v>Mar-Dez/26</v>
      </c>
      <c r="G845" s="4" t="s">
        <v>37</v>
      </c>
      <c r="H845" s="7" t="s">
        <v>38</v>
      </c>
      <c r="I845" s="8" t="s">
        <v>177</v>
      </c>
      <c r="J845" s="8" t="str" cm="1">
        <f t="array" aca="1" ref="J845" ca="1">_xlfn.LET(
  _xlpm.actual_value_month, INDEX(T845:AE845, MATCH(DATE(YEAR(TODAY()), MONTH(TODAY()), 1), $T$1:$AE$1, 0)),
  IF(_xlpm.actual_value_month &lt;&gt; "", _xlpm.actual_value_month &amp; " certificados mensais", "")
)</f>
        <v>132 certificados mensais</v>
      </c>
      <c r="K845" s="8" t="str">
        <f t="shared" si="1120"/>
        <v>143 certificado anuais.</v>
      </c>
      <c r="L845" s="9" t="s">
        <v>178</v>
      </c>
      <c r="M845" s="13">
        <v>1</v>
      </c>
      <c r="N845" s="5" t="s">
        <v>42</v>
      </c>
      <c r="O845" s="5" t="s">
        <v>43</v>
      </c>
      <c r="P845" s="10" t="s">
        <v>44</v>
      </c>
      <c r="Q845" s="10" t="s">
        <v>44</v>
      </c>
      <c r="R845" s="11" t="s">
        <v>179</v>
      </c>
      <c r="S845" s="11" t="s">
        <v>67</v>
      </c>
      <c r="T845" s="22"/>
      <c r="U845" s="22"/>
      <c r="V845" s="143">
        <v>36</v>
      </c>
      <c r="W845" s="143">
        <v>98</v>
      </c>
      <c r="X845" s="143">
        <v>122</v>
      </c>
      <c r="Y845" s="143">
        <v>132</v>
      </c>
      <c r="Z845" s="143">
        <v>136</v>
      </c>
      <c r="AA845" s="143">
        <v>136</v>
      </c>
      <c r="AB845" s="143">
        <v>136</v>
      </c>
      <c r="AC845" s="143">
        <v>136</v>
      </c>
      <c r="AD845" s="143">
        <v>143</v>
      </c>
      <c r="AE845" s="22"/>
      <c r="AG845" s="71"/>
      <c r="AH845" s="71"/>
      <c r="AI845" s="82">
        <v>43</v>
      </c>
      <c r="AJ845" s="82">
        <v>43</v>
      </c>
      <c r="AK845" s="71"/>
      <c r="AL845" s="71"/>
      <c r="AM845" s="71"/>
      <c r="AN845" s="71"/>
      <c r="AO845" s="71"/>
      <c r="AP845" s="71"/>
      <c r="AQ845" s="71"/>
      <c r="AR845" s="71"/>
      <c r="AS845" s="94" cm="1">
        <f t="array" ref="AS845">IFERROR(INDEX(T845:AE845,1,MATCH(2,1/(T845:AE845&lt;&gt;""))),"")</f>
        <v>143</v>
      </c>
      <c r="AT845" s="95" cm="1">
        <f t="array" ref="AT845">IFERROR(INDEX(AJ845:AR845,1,MATCH(2,1/(AJ845:AR845&lt;&gt;""))),"")</f>
        <v>43</v>
      </c>
      <c r="AU845" s="97">
        <f t="shared" si="1124"/>
        <v>43</v>
      </c>
      <c r="AW845" s="51">
        <f t="shared" si="1125"/>
        <v>0</v>
      </c>
      <c r="AX845" s="51">
        <f t="shared" si="1126"/>
        <v>0</v>
      </c>
      <c r="AY845" s="51">
        <f t="shared" si="1127"/>
        <v>0.30069930069930068</v>
      </c>
      <c r="AZ845" s="51">
        <f t="shared" si="1128"/>
        <v>0.30069930069930068</v>
      </c>
      <c r="BA845" s="51"/>
      <c r="BB845" s="51"/>
      <c r="BC845" s="51"/>
      <c r="BD845" s="51"/>
      <c r="BE845" s="51"/>
      <c r="BF845" s="51"/>
      <c r="BG845" s="51"/>
      <c r="BH845" s="51"/>
      <c r="BI845" s="65" cm="1">
        <f t="array" ref="BI845">IFERROR(INDEX(AW845:BH845,1,MATCH(2,1/(AW845:BH845&lt;&gt;""))),"")</f>
        <v>0.30069930069930068</v>
      </c>
      <c r="BJ845" s="68" cm="1">
        <f t="array" ref="BJ845">IF(BM845 = "", "",IFERROR(INDEX(AW845:BH845,1,MATCH(2,1/(AW845:BH845&lt;&gt;""),1)-1),""))</f>
        <v>0.30069930069930068</v>
      </c>
      <c r="BK845" s="58" cm="1">
        <f t="array" ref="BK845">IFERROR(INDEX(AW845:BH845,1,MATCH(2,1/(AW845:BH845&lt;&gt;""))),"")</f>
        <v>0.30069930069930068</v>
      </c>
      <c r="BL845" s="58" cm="1">
        <f t="array" ref="BL845">IFERROR(INDEX(AW845:BH845,1,MATCH(2,1/(AW845:BH845&lt;&gt;""),1)-1),"")</f>
        <v>0.30069930069930068</v>
      </c>
      <c r="BM845" s="55" cm="1">
        <f t="array" ref="BM845">IFERROR(
   INDEX($AW$1:$BH$1,
      _xlfn.AGGREGATE(14, 6, COLUMN($AW$1:$BH$1)/(AW845:BH845&lt;&gt;""), 2) - COLUMN($AW$1) + 1
   ),
"")</f>
        <v>46082</v>
      </c>
      <c r="BN845" s="55" cm="1">
        <f t="array" ref="BN845">IFERROR(INDEX($AW$1:$BH$1,1,MATCH(2,1/(AW845:BH845&lt;&gt;""))),"")</f>
        <v>46113</v>
      </c>
      <c r="BO845" s="119" cm="1">
        <f t="array" aca="1" ref="BO845" ca="1">_xlfn.LET(
    _xlpm.mes_num, MONTH(TODAY())-1,
    _xlpm.coluna_ajustada, IF(_xlpm.mes_num=0, 12, _xlpm.mes_num),
    _xlpm.realizado_mes_anterior, INDEX(T845:AE845, 1, _xlpm.coluna_ajustada),
    _xlpm.previsto_total, AD845,
    _xlpm.realizado_mes_anterior / _xlpm.previsto_total
)</f>
        <v>0.85314685314685312</v>
      </c>
      <c r="BP845" s="53">
        <f ca="1">IFERROR(_xlfn.XLOOKUP(F845,Apuração!A:A,Apuração!D:D)/_xlfn.XLOOKUP(F845,Apuração!A:A,Apuração!B:B),0)</f>
        <v>0.2</v>
      </c>
      <c r="BQ845" s="53">
        <f ca="1">IF(BK845&gt;=BO845,0,_xlfn.XLOOKUP(F845,Apuração!A:A,Apuração!B:B)*(BO845 + (1/_xlfn.XLOOKUP(F845,Apuração!A:A,Apuração!B:B)) - BK845))</f>
        <v>6.5244755244755233</v>
      </c>
      <c r="BR845" s="85">
        <f t="shared" ca="1" si="1129"/>
        <v>887.32867132867113</v>
      </c>
      <c r="BS845" s="53">
        <f ca="1">IFERROR((_xlfn.XLOOKUP(F845,Apuração!A:A,Apuração!C:C)+1)/_xlfn.XLOOKUP(F845,Apuração!A:A,Apuração!B:B),0)</f>
        <v>0.4</v>
      </c>
    </row>
    <row r="846" spans="1:71" ht="25.95" hidden="1" customHeight="1" x14ac:dyDescent="0.3">
      <c r="A846" s="33" t="s">
        <v>175</v>
      </c>
      <c r="B846" s="4" t="s">
        <v>176</v>
      </c>
      <c r="C846" s="5" t="s">
        <v>97</v>
      </c>
      <c r="D846" s="5" t="s">
        <v>106</v>
      </c>
      <c r="E846" s="4" t="str" cm="1">
        <f t="array" ref="E846">_xlfn.IFS(
F846 = "A partir de Abril", "Aguardando Execução na Distribuidora",
A846 = "CAPACITAÇÃO", "Em execução no Corporativo",
TRUE, "Em Execução na Distribuidora"
)</f>
        <v>Em execução no Corporativo</v>
      </c>
      <c r="F846" s="4" t="str" cm="1">
        <f t="array" ref="F846">_xlfn.IFS(
AG846 &lt;&gt; "", "Jan-Dez/26",
AH846 &lt;&gt; "", "Fev-Dez/26",
AI846 &lt;&gt; "", "Mar-Dez/26", AJ846 &lt;&gt; "", "Abr-Dez/26",
TRUE, "A partir de Junho"
)</f>
        <v>Mar-Dez/26</v>
      </c>
      <c r="G846" s="4" t="s">
        <v>37</v>
      </c>
      <c r="H846" s="7" t="s">
        <v>38</v>
      </c>
      <c r="I846" s="8" t="s">
        <v>177</v>
      </c>
      <c r="J846" s="8" t="str" cm="1">
        <f t="array" aca="1" ref="J846" ca="1">_xlfn.LET(
  _xlpm.actual_value_month, INDEX(T846:AE846, MATCH(DATE(YEAR(TODAY()), MONTH(TODAY()), 1), $T$1:$AE$1, 0)),
  IF(_xlpm.actual_value_month &lt;&gt; "", _xlpm.actual_value_month &amp; " certificados mensais", "")
)</f>
        <v>296 certificados mensais</v>
      </c>
      <c r="K846" s="8" t="str">
        <f t="shared" si="1120"/>
        <v>326 certificado anuais.</v>
      </c>
      <c r="L846" s="9" t="s">
        <v>178</v>
      </c>
      <c r="M846" s="13">
        <v>1</v>
      </c>
      <c r="N846" s="5" t="s">
        <v>42</v>
      </c>
      <c r="O846" s="5" t="s">
        <v>43</v>
      </c>
      <c r="P846" s="10" t="s">
        <v>44</v>
      </c>
      <c r="Q846" s="10" t="s">
        <v>44</v>
      </c>
      <c r="R846" s="11" t="s">
        <v>179</v>
      </c>
      <c r="S846" s="11" t="s">
        <v>67</v>
      </c>
      <c r="T846" s="22"/>
      <c r="U846" s="22"/>
      <c r="V846" s="143">
        <v>185</v>
      </c>
      <c r="W846" s="143">
        <v>239</v>
      </c>
      <c r="X846" s="143">
        <v>285</v>
      </c>
      <c r="Y846" s="143">
        <v>296</v>
      </c>
      <c r="Z846" s="143">
        <v>306</v>
      </c>
      <c r="AA846" s="143">
        <v>316</v>
      </c>
      <c r="AB846" s="143">
        <v>326</v>
      </c>
      <c r="AC846" s="143">
        <v>326</v>
      </c>
      <c r="AD846" s="143">
        <v>326</v>
      </c>
      <c r="AE846" s="22"/>
      <c r="AG846" s="71"/>
      <c r="AH846" s="71"/>
      <c r="AI846" s="82">
        <v>184</v>
      </c>
      <c r="AJ846" s="82">
        <v>184</v>
      </c>
      <c r="AK846" s="71"/>
      <c r="AL846" s="71"/>
      <c r="AM846" s="71"/>
      <c r="AN846" s="71"/>
      <c r="AO846" s="71"/>
      <c r="AP846" s="71"/>
      <c r="AQ846" s="71"/>
      <c r="AR846" s="71"/>
      <c r="AS846" s="94" cm="1">
        <f t="array" ref="AS846">IFERROR(INDEX(T846:AE846,1,MATCH(2,1/(T846:AE846&lt;&gt;""))),"")</f>
        <v>326</v>
      </c>
      <c r="AT846" s="95" cm="1">
        <f t="array" ref="AT846">IFERROR(INDEX(AJ846:AR846,1,MATCH(2,1/(AJ846:AR846&lt;&gt;""))),"")</f>
        <v>184</v>
      </c>
      <c r="AU846" s="97">
        <f t="shared" si="1124"/>
        <v>184</v>
      </c>
      <c r="AW846" s="51">
        <f t="shared" si="1125"/>
        <v>0</v>
      </c>
      <c r="AX846" s="51">
        <f t="shared" si="1126"/>
        <v>0</v>
      </c>
      <c r="AY846" s="51">
        <f t="shared" si="1127"/>
        <v>0.56441717791411039</v>
      </c>
      <c r="AZ846" s="51">
        <f t="shared" si="1128"/>
        <v>0.56441717791411039</v>
      </c>
      <c r="BA846" s="51"/>
      <c r="BB846" s="51"/>
      <c r="BC846" s="51"/>
      <c r="BD846" s="51"/>
      <c r="BE846" s="51"/>
      <c r="BF846" s="51"/>
      <c r="BG846" s="51"/>
      <c r="BH846" s="51"/>
      <c r="BI846" s="65" cm="1">
        <f t="array" ref="BI846">IFERROR(INDEX(AW846:BH846,1,MATCH(2,1/(AW846:BH846&lt;&gt;""))),"")</f>
        <v>0.56441717791411039</v>
      </c>
      <c r="BJ846" s="68" cm="1">
        <f t="array" ref="BJ846">IF(BM846 = "", "",IFERROR(INDEX(AW846:BH846,1,MATCH(2,1/(AW846:BH846&lt;&gt;""),1)-1),""))</f>
        <v>0.56441717791411039</v>
      </c>
      <c r="BK846" s="58" cm="1">
        <f t="array" ref="BK846">IFERROR(INDEX(AW846:BH846,1,MATCH(2,1/(AW846:BH846&lt;&gt;""))),"")</f>
        <v>0.56441717791411039</v>
      </c>
      <c r="BL846" s="58" cm="1">
        <f t="array" ref="BL846">IFERROR(INDEX(AW846:BH846,1,MATCH(2,1/(AW846:BH846&lt;&gt;""),1)-1),"")</f>
        <v>0.56441717791411039</v>
      </c>
      <c r="BM846" s="55" cm="1">
        <f t="array" ref="BM846">IFERROR(
   INDEX($AW$1:$BH$1,
      _xlfn.AGGREGATE(14, 6, COLUMN($AW$1:$BH$1)/(AW846:BH846&lt;&gt;""), 2) - COLUMN($AW$1) + 1
   ),
"")</f>
        <v>46082</v>
      </c>
      <c r="BN846" s="55" cm="1">
        <f t="array" ref="BN846">IFERROR(INDEX($AW$1:$BH$1,1,MATCH(2,1/(AW846:BH846&lt;&gt;""))),"")</f>
        <v>46113</v>
      </c>
      <c r="BO846" s="119" cm="1">
        <f t="array" aca="1" ref="BO846" ca="1">_xlfn.LET(
    _xlpm.mes_num, MONTH(TODAY())-1,
    _xlpm.coluna_ajustada, IF(_xlpm.mes_num=0, 12, _xlpm.mes_num),
    _xlpm.realizado_mes_anterior, INDEX(T846:AE846, 1, _xlpm.coluna_ajustada),
    _xlpm.previsto_total, AD846,
    _xlpm.realizado_mes_anterior / _xlpm.previsto_total
)</f>
        <v>0.87423312883435578</v>
      </c>
      <c r="BP846" s="53">
        <f ca="1">IFERROR(_xlfn.XLOOKUP(F846,Apuração!A:A,Apuração!D:D)/_xlfn.XLOOKUP(F846,Apuração!A:A,Apuração!B:B),0)</f>
        <v>0.2</v>
      </c>
      <c r="BQ846" s="53">
        <f ca="1">IF(BK846&gt;=BO846,0,_xlfn.XLOOKUP(F846,Apuração!A:A,Apuração!B:B)*(BO846 + (1/_xlfn.XLOOKUP(F846,Apuração!A:A,Apuração!B:B)) - BK846))</f>
        <v>4.0981595092024534</v>
      </c>
      <c r="BR846" s="85">
        <f t="shared" ca="1" si="1129"/>
        <v>1254.0368098159508</v>
      </c>
      <c r="BS846" s="53">
        <f ca="1">IFERROR((_xlfn.XLOOKUP(F846,Apuração!A:A,Apuração!C:C)+1)/_xlfn.XLOOKUP(F846,Apuração!A:A,Apuração!B:B),0)</f>
        <v>0.4</v>
      </c>
    </row>
    <row r="847" spans="1:71" ht="25.95" hidden="1" customHeight="1" x14ac:dyDescent="0.3">
      <c r="A847" s="33" t="s">
        <v>175</v>
      </c>
      <c r="B847" s="4" t="s">
        <v>176</v>
      </c>
      <c r="C847" s="5" t="s">
        <v>97</v>
      </c>
      <c r="D847" s="5" t="s">
        <v>107</v>
      </c>
      <c r="E847" s="4" t="str" cm="1">
        <f t="array" ref="E847">_xlfn.IFS(
F847 = "A partir de Abril", "Aguardando Execução na Distribuidora",
A847 = "CAPACITAÇÃO", "Em execução no Corporativo",
TRUE, "Em Execução na Distribuidora"
)</f>
        <v>Em execução no Corporativo</v>
      </c>
      <c r="F847" s="4" t="str" cm="1">
        <f t="array" ref="F847">_xlfn.IFS(
AG847 &lt;&gt; "", "Jan-Dez/26",
AH847 &lt;&gt; "", "Fev-Dez/26",
AI847 &lt;&gt; "", "Mar-Dez/26", AJ847 &lt;&gt; "", "Abr-Dez/26",
TRUE, "A partir de Junho"
)</f>
        <v>Mar-Dez/26</v>
      </c>
      <c r="G847" s="4" t="s">
        <v>37</v>
      </c>
      <c r="H847" s="7" t="s">
        <v>38</v>
      </c>
      <c r="I847" s="8" t="s">
        <v>177</v>
      </c>
      <c r="J847" s="8" t="str" cm="1">
        <f t="array" aca="1" ref="J847" ca="1">_xlfn.LET(
  _xlpm.actual_value_month, INDEX(T847:AE847, MATCH(DATE(YEAR(TODAY()), MONTH(TODAY()), 1), $T$1:$AE$1, 0)),
  IF(_xlpm.actual_value_month &lt;&gt; "", _xlpm.actual_value_month &amp; " certificados mensais", "")
)</f>
        <v>365 certificados mensais</v>
      </c>
      <c r="K847" s="8" t="str">
        <f t="shared" si="1120"/>
        <v>411 certificado anuais.</v>
      </c>
      <c r="L847" s="9" t="s">
        <v>178</v>
      </c>
      <c r="M847" s="13">
        <v>1</v>
      </c>
      <c r="N847" s="5" t="s">
        <v>42</v>
      </c>
      <c r="O847" s="5" t="s">
        <v>43</v>
      </c>
      <c r="P847" s="10" t="s">
        <v>44</v>
      </c>
      <c r="Q847" s="10" t="s">
        <v>44</v>
      </c>
      <c r="R847" s="11" t="s">
        <v>179</v>
      </c>
      <c r="S847" s="11" t="s">
        <v>67</v>
      </c>
      <c r="T847" s="22"/>
      <c r="U847" s="22"/>
      <c r="V847" s="143">
        <v>259</v>
      </c>
      <c r="W847" s="143">
        <v>310</v>
      </c>
      <c r="X847" s="143">
        <v>353</v>
      </c>
      <c r="Y847" s="143">
        <v>365</v>
      </c>
      <c r="Z847" s="143">
        <v>377</v>
      </c>
      <c r="AA847" s="143">
        <v>387</v>
      </c>
      <c r="AB847" s="143">
        <v>399</v>
      </c>
      <c r="AC847" s="143">
        <v>411</v>
      </c>
      <c r="AD847" s="143">
        <v>411</v>
      </c>
      <c r="AE847" s="22"/>
      <c r="AG847" s="71"/>
      <c r="AH847" s="71"/>
      <c r="AI847" s="82">
        <v>259</v>
      </c>
      <c r="AJ847" s="82">
        <v>259</v>
      </c>
      <c r="AK847" s="71"/>
      <c r="AL847" s="71"/>
      <c r="AM847" s="71"/>
      <c r="AN847" s="71"/>
      <c r="AO847" s="71"/>
      <c r="AP847" s="71"/>
      <c r="AQ847" s="71"/>
      <c r="AR847" s="71"/>
      <c r="AS847" s="94" cm="1">
        <f t="array" ref="AS847">IFERROR(INDEX(T847:AE847,1,MATCH(2,1/(T847:AE847&lt;&gt;""))),"")</f>
        <v>411</v>
      </c>
      <c r="AT847" s="95" cm="1">
        <f t="array" ref="AT847">IFERROR(INDEX(AJ847:AR847,1,MATCH(2,1/(AJ847:AR847&lt;&gt;""))),"")</f>
        <v>259</v>
      </c>
      <c r="AU847" s="97">
        <f t="shared" si="1124"/>
        <v>259</v>
      </c>
      <c r="AW847" s="51">
        <f t="shared" si="1125"/>
        <v>0</v>
      </c>
      <c r="AX847" s="51">
        <f t="shared" si="1126"/>
        <v>0</v>
      </c>
      <c r="AY847" s="51">
        <f t="shared" si="1127"/>
        <v>0.63017031630170317</v>
      </c>
      <c r="AZ847" s="51">
        <f t="shared" si="1128"/>
        <v>0.63017031630170317</v>
      </c>
      <c r="BA847" s="51"/>
      <c r="BB847" s="51"/>
      <c r="BC847" s="51"/>
      <c r="BD847" s="51"/>
      <c r="BE847" s="51"/>
      <c r="BF847" s="51"/>
      <c r="BG847" s="51"/>
      <c r="BH847" s="51"/>
      <c r="BI847" s="65" cm="1">
        <f t="array" ref="BI847">IFERROR(INDEX(AW847:BH847,1,MATCH(2,1/(AW847:BH847&lt;&gt;""))),"")</f>
        <v>0.63017031630170317</v>
      </c>
      <c r="BJ847" s="68" cm="1">
        <f t="array" ref="BJ847">IF(BM847 = "", "",IFERROR(INDEX(AW847:BH847,1,MATCH(2,1/(AW847:BH847&lt;&gt;""),1)-1),""))</f>
        <v>0.63017031630170317</v>
      </c>
      <c r="BK847" s="58" cm="1">
        <f t="array" ref="BK847">IFERROR(INDEX(AW847:BH847,1,MATCH(2,1/(AW847:BH847&lt;&gt;""))),"")</f>
        <v>0.63017031630170317</v>
      </c>
      <c r="BL847" s="58" cm="1">
        <f t="array" ref="BL847">IFERROR(INDEX(AW847:BH847,1,MATCH(2,1/(AW847:BH847&lt;&gt;""),1)-1),"")</f>
        <v>0.63017031630170317</v>
      </c>
      <c r="BM847" s="55" cm="1">
        <f t="array" ref="BM847">IFERROR(
   INDEX($AW$1:$BH$1,
      _xlfn.AGGREGATE(14, 6, COLUMN($AW$1:$BH$1)/(AW847:BH847&lt;&gt;""), 2) - COLUMN($AW$1) + 1
   ),
"")</f>
        <v>46082</v>
      </c>
      <c r="BN847" s="55" cm="1">
        <f t="array" ref="BN847">IFERROR(INDEX($AW$1:$BH$1,1,MATCH(2,1/(AW847:BH847&lt;&gt;""))),"")</f>
        <v>46113</v>
      </c>
      <c r="BO847" s="119" cm="1">
        <f t="array" aca="1" ref="BO847" ca="1">_xlfn.LET(
    _xlpm.mes_num, MONTH(TODAY())-1,
    _xlpm.coluna_ajustada, IF(_xlpm.mes_num=0, 12, _xlpm.mes_num),
    _xlpm.realizado_mes_anterior, INDEX(T847:AE847, 1, _xlpm.coluna_ajustada),
    _xlpm.previsto_total, AD847,
    _xlpm.realizado_mes_anterior / _xlpm.previsto_total
)</f>
        <v>0.85888077858880774</v>
      </c>
      <c r="BP847" s="53">
        <f ca="1">IFERROR(_xlfn.XLOOKUP(F847,Apuração!A:A,Apuração!D:D)/_xlfn.XLOOKUP(F847,Apuração!A:A,Apuração!B:B),0)</f>
        <v>0.2</v>
      </c>
      <c r="BQ847" s="53">
        <f ca="1">IF(BK847&gt;=BO847,0,_xlfn.XLOOKUP(F847,Apuração!A:A,Apuração!B:B)*(BO847 + (1/_xlfn.XLOOKUP(F847,Apuração!A:A,Apuração!B:B)) - BK847))</f>
        <v>3.2871046228710457</v>
      </c>
      <c r="BR847" s="85">
        <f t="shared" ca="1" si="1129"/>
        <v>1239.2384428223843</v>
      </c>
      <c r="BS847" s="53">
        <f ca="1">IFERROR((_xlfn.XLOOKUP(F847,Apuração!A:A,Apuração!C:C)+1)/_xlfn.XLOOKUP(F847,Apuração!A:A,Apuração!B:B),0)</f>
        <v>0.4</v>
      </c>
    </row>
    <row r="848" spans="1:71" ht="25.95" hidden="1" customHeight="1" x14ac:dyDescent="0.3">
      <c r="A848" s="44" t="s">
        <v>175</v>
      </c>
      <c r="B848" s="4" t="s">
        <v>176</v>
      </c>
      <c r="C848" s="5" t="s">
        <v>97</v>
      </c>
      <c r="D848" s="5" t="s">
        <v>36</v>
      </c>
      <c r="E848" s="4" t="str" cm="1">
        <f t="array" ref="E848">_xlfn.IFS(
F848 = "A partir de Abril", "Aguardando Execução na Distribuidora",
A848 = "CAPACITAÇÃO", "Em execução no Corporativo",
TRUE, "Em Execução na Distribuidora"
)</f>
        <v>Em execução no Corporativo</v>
      </c>
      <c r="F848" s="4" t="str" cm="1">
        <f t="array" ref="F848">_xlfn.IFS(
AG848 &lt;&gt; "", "Jan-Dez/26",
AH848 &lt;&gt; "", "Fev-Dez/26",
AI848 &lt;&gt; "", "Mar-Dez/26", AJ848 &lt;&gt; "", "Abr-Dez/26",
TRUE, "A partir de Junho"
)</f>
        <v>Mar-Dez/26</v>
      </c>
      <c r="G848" s="4" t="s">
        <v>37</v>
      </c>
      <c r="H848" s="7" t="s">
        <v>38</v>
      </c>
      <c r="I848" s="21" t="s">
        <v>180</v>
      </c>
      <c r="J848" s="8" t="str" cm="1">
        <f t="array" aca="1" ref="J848" ca="1">_xlfn.LET(
  _xlpm.actual_value_month, INDEX(T848:AE848, MATCH(DATE(YEAR(TODAY()), MONTH(TODAY()), 1), $T$1:$AE$1, 0)),
  IF(_xlpm.actual_value_month &lt;&gt; "", _xlpm.actual_value_month &amp; " ações mensais", "")
)</f>
        <v/>
      </c>
      <c r="K848" s="8" t="str" cm="1">
        <f t="array" ref="K848">_xlfn.LET(
    _xlpm.sum_month, SUM(T848:AE848),
    IF(_xlpm.sum_month = 0, "", _xlpm.sum_month &amp; " colaboradores treinados.")
)</f>
        <v/>
      </c>
      <c r="L848" s="9" t="s">
        <v>220</v>
      </c>
      <c r="M848" s="13">
        <v>1</v>
      </c>
      <c r="N848" s="5" t="s">
        <v>51</v>
      </c>
      <c r="O848" s="5" t="s">
        <v>52</v>
      </c>
      <c r="P848" s="10" t="s">
        <v>44</v>
      </c>
      <c r="Q848" s="10"/>
      <c r="R848" s="11" t="s">
        <v>44</v>
      </c>
      <c r="S848" s="11" t="s">
        <v>44</v>
      </c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G848" s="71"/>
      <c r="AH848" s="71"/>
      <c r="AI848" s="71">
        <v>2085</v>
      </c>
      <c r="AJ848" s="71">
        <v>2105</v>
      </c>
      <c r="AK848" s="71"/>
      <c r="AL848" s="71"/>
      <c r="AM848" s="71"/>
      <c r="AN848" s="71"/>
      <c r="AO848" s="71"/>
      <c r="AP848" s="71"/>
      <c r="AQ848" s="71"/>
      <c r="AR848" s="71"/>
      <c r="AS848" s="94" t="str" cm="1">
        <f t="array" ref="AS848">IFERROR(INDEX(T848:AE848,1,MATCH(2,1/(T848:AE848&lt;&gt;""))),"")</f>
        <v/>
      </c>
      <c r="AT848" s="95" cm="1">
        <f t="array" ref="AT848">IFERROR(INDEX(AJ848:AR848,1,MATCH(2,1/(AJ848:AR848&lt;&gt;""))),"")</f>
        <v>2105</v>
      </c>
      <c r="AU848" s="97">
        <f t="shared" si="1121"/>
        <v>2105</v>
      </c>
      <c r="AW848" s="83">
        <f>AG848</f>
        <v>0</v>
      </c>
      <c r="AX848" s="52">
        <f t="shared" ref="AX848" si="1130">AH848</f>
        <v>0</v>
      </c>
      <c r="AY848" s="52">
        <f t="shared" ref="AY848:AZ848" si="1131">AI848</f>
        <v>2085</v>
      </c>
      <c r="AZ848" s="52">
        <f t="shared" si="1131"/>
        <v>2105</v>
      </c>
      <c r="BA848" s="52"/>
      <c r="BB848" s="52"/>
      <c r="BC848" s="52"/>
      <c r="BD848" s="52"/>
      <c r="BE848" s="52"/>
      <c r="BF848" s="52"/>
      <c r="BG848" s="52"/>
      <c r="BH848" s="52"/>
      <c r="BI848" s="68" cm="1">
        <f t="array" ref="BI848">IFERROR(INDEX(AW848:BH848,1,MATCH(2,1/(AW848:BH848&lt;&gt;""))),"")</f>
        <v>2105</v>
      </c>
      <c r="BJ848" s="68" cm="1">
        <f t="array" ref="BJ848">IF(BM848 = "", "",IFERROR(INDEX(AW848:BH848,1,MATCH(2,1/(AW848:BH848&lt;&gt;""),1)-1),""))</f>
        <v>2085</v>
      </c>
      <c r="BK848" s="59">
        <f>SUM(AW848:BH848)</f>
        <v>4190</v>
      </c>
      <c r="BL848" s="59" cm="1">
        <f t="array" ref="BL848">IFERROR(SUM(AW848:INDEX(AW848:BH848, MATCH(2, 1/(AW848:BH848&lt;&gt;""), 1) - 1))/_xlfn.XLOOKUP(F848,Apuração!A:A,Apuração!B:B),0)</f>
        <v>208.5</v>
      </c>
      <c r="BM848" s="55" cm="1">
        <f t="array" ref="BM848">IFERROR(
   INDEX($AW$1:$BH$1,
      _xlfn.AGGREGATE(14, 6, COLUMN($AW$1:$BH$1)/(AW848:BH848&lt;&gt;""), 2) - COLUMN($AW$1) + 1
   ),
"")</f>
        <v>46082</v>
      </c>
      <c r="BN848" s="55" cm="1">
        <f t="array" ref="BN848">IFERROR(INDEX($AW$1:$BH$1,1,MATCH(2,1/(AW848:BH848&lt;&gt;""))),"")</f>
        <v>46113</v>
      </c>
      <c r="BO848" s="53">
        <f ca="1">IFERROR(_xlfn.XLOOKUP(F848,Apuração!A:A,Apuração!C:C)/_xlfn.XLOOKUP(F848,Apuração!A:A,Apuração!B:B),0)</f>
        <v>0.3</v>
      </c>
      <c r="BP848" s="53">
        <f ca="1">IFERROR(_xlfn.XLOOKUP(F848,Apuração!A:A,Apuração!D:D)/_xlfn.XLOOKUP(F848,Apuração!A:A,Apuração!B:B),0)</f>
        <v>0.2</v>
      </c>
      <c r="BQ848" s="53">
        <f ca="1">IF(BK848&gt;=BO848,0,_xlfn.XLOOKUP(F848,Apuração!A:A,Apuração!B:B)*(BO848 + (1/_xlfn.XLOOKUP(F848,Apuração!A:A,Apuração!B:B)) - BK848))</f>
        <v>0</v>
      </c>
      <c r="BR848" s="85">
        <f t="shared" ca="1" si="898"/>
        <v>0</v>
      </c>
      <c r="BS848" s="53">
        <f ca="1">IFERROR((_xlfn.XLOOKUP(F848,Apuração!A:A,Apuração!C:C)+1)/_xlfn.XLOOKUP(F848,Apuração!A:A,Apuração!B:B),0)</f>
        <v>0.4</v>
      </c>
    </row>
    <row r="849" spans="1:71" ht="25.95" hidden="1" customHeight="1" x14ac:dyDescent="0.3">
      <c r="A849" s="44" t="s">
        <v>175</v>
      </c>
      <c r="B849" s="4" t="s">
        <v>176</v>
      </c>
      <c r="C849" s="5" t="s">
        <v>97</v>
      </c>
      <c r="D849" s="5" t="s">
        <v>98</v>
      </c>
      <c r="E849" s="4" t="str" cm="1">
        <f t="array" ref="E849">_xlfn.IFS(
F849 = "A partir de Abril", "Aguardando Execução na Distribuidora",
A849 = "CAPACITAÇÃO", "Em execução no Corporativo",
TRUE, "Em Execução na Distribuidora"
)</f>
        <v>Em execução no Corporativo</v>
      </c>
      <c r="F849" s="4" t="str" cm="1">
        <f t="array" ref="F849">_xlfn.IFS(
AG849 &lt;&gt; "", "Jan-Dez/26",
AH849 &lt;&gt; "", "Fev-Dez/26",
AI849 &lt;&gt; "", "Mar-Dez/26", AJ849 &lt;&gt; "", "Abr-Dez/26",
TRUE, "A partir de Junho"
)</f>
        <v>Mar-Dez/26</v>
      </c>
      <c r="G849" s="4" t="s">
        <v>37</v>
      </c>
      <c r="H849" s="7" t="s">
        <v>38</v>
      </c>
      <c r="I849" s="21" t="s">
        <v>180</v>
      </c>
      <c r="J849" s="8" t="str" cm="1">
        <f t="array" aca="1" ref="J849" ca="1">_xlfn.LET(
  _xlpm.actual_value_month, INDEX(T849:AE849, MATCH(DATE(YEAR(TODAY()), MONTH(TODAY()), 1), $T$1:$AE$1, 0)),
  IF(_xlpm.actual_value_month &lt;&gt; "", _xlpm.actual_value_month &amp; " ações mensais", "")
)</f>
        <v/>
      </c>
      <c r="K849" s="8" t="str" cm="1">
        <f t="array" ref="K849">_xlfn.LET(
    _xlpm.sum_month, SUM(T849:AE849),
    IF(_xlpm.sum_month = 0, "", _xlpm.sum_month &amp; " colaboradores treinados.")
)</f>
        <v/>
      </c>
      <c r="L849" s="9" t="s">
        <v>220</v>
      </c>
      <c r="M849" s="13">
        <v>1</v>
      </c>
      <c r="N849" s="5" t="s">
        <v>51</v>
      </c>
      <c r="O849" s="5" t="s">
        <v>52</v>
      </c>
      <c r="P849" s="10" t="s">
        <v>44</v>
      </c>
      <c r="Q849" s="10"/>
      <c r="R849" s="11" t="s">
        <v>44</v>
      </c>
      <c r="S849" s="11" t="s">
        <v>44</v>
      </c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G849" s="71"/>
      <c r="AH849" s="71"/>
      <c r="AI849" s="82">
        <v>165</v>
      </c>
      <c r="AJ849" s="82">
        <v>165</v>
      </c>
      <c r="AK849" s="71"/>
      <c r="AL849" s="71"/>
      <c r="AM849" s="71"/>
      <c r="AN849" s="71"/>
      <c r="AO849" s="71"/>
      <c r="AP849" s="71"/>
      <c r="AQ849" s="71"/>
      <c r="AR849" s="71"/>
      <c r="AS849" s="94" t="str" cm="1">
        <f t="array" ref="AS849">IFERROR(INDEX(T849:AE849,1,MATCH(2,1/(T849:AE849&lt;&gt;""))),"")</f>
        <v/>
      </c>
      <c r="AT849" s="95" cm="1">
        <f t="array" ref="AT849">IFERROR(INDEX(AJ849:AR849,1,MATCH(2,1/(AJ849:AR849&lt;&gt;""))),"")</f>
        <v>165</v>
      </c>
      <c r="AU849" s="97">
        <f t="shared" ref="AU849:AU858" si="1132">AT849</f>
        <v>165</v>
      </c>
      <c r="AW849" s="83">
        <f t="shared" ref="AW849:AW858" si="1133">AG849</f>
        <v>0</v>
      </c>
      <c r="AX849" s="52">
        <f t="shared" ref="AX849:AX858" si="1134">AH849</f>
        <v>0</v>
      </c>
      <c r="AY849" s="52">
        <f t="shared" ref="AY849:AY858" si="1135">AI849</f>
        <v>165</v>
      </c>
      <c r="AZ849" s="52">
        <f t="shared" ref="AZ849:AZ858" si="1136">AJ849</f>
        <v>165</v>
      </c>
      <c r="BA849" s="52"/>
      <c r="BB849" s="52"/>
      <c r="BC849" s="52"/>
      <c r="BD849" s="52"/>
      <c r="BE849" s="52"/>
      <c r="BF849" s="52"/>
      <c r="BG849" s="52"/>
      <c r="BH849" s="52"/>
      <c r="BI849" s="68" cm="1">
        <f t="array" ref="BI849">IFERROR(INDEX(AW849:BH849,1,MATCH(2,1/(AW849:BH849&lt;&gt;""))),"")</f>
        <v>165</v>
      </c>
      <c r="BJ849" s="68" cm="1">
        <f t="array" ref="BJ849">IF(BM849 = "", "",IFERROR(INDEX(AW849:BH849,1,MATCH(2,1/(AW849:BH849&lt;&gt;""),1)-1),""))</f>
        <v>165</v>
      </c>
      <c r="BK849" s="59">
        <f t="shared" ref="BK849:BK858" si="1137">SUM(AW849:BH849)</f>
        <v>330</v>
      </c>
      <c r="BL849" s="59" cm="1">
        <f t="array" ref="BL849">IFERROR(SUM(AW849:INDEX(AW849:BH849, MATCH(2, 1/(AW849:BH849&lt;&gt;""), 1) - 1))/_xlfn.XLOOKUP(F849,Apuração!A:A,Apuração!B:B),0)</f>
        <v>16.5</v>
      </c>
      <c r="BM849" s="55" cm="1">
        <f t="array" ref="BM849">IFERROR(
   INDEX($AW$1:$BH$1,
      _xlfn.AGGREGATE(14, 6, COLUMN($AW$1:$BH$1)/(AW849:BH849&lt;&gt;""), 2) - COLUMN($AW$1) + 1
   ),
"")</f>
        <v>46082</v>
      </c>
      <c r="BN849" s="55" cm="1">
        <f t="array" ref="BN849">IFERROR(INDEX($AW$1:$BH$1,1,MATCH(2,1/(AW849:BH849&lt;&gt;""))),"")</f>
        <v>46113</v>
      </c>
      <c r="BO849" s="53">
        <f ca="1">IFERROR(_xlfn.XLOOKUP(F849,Apuração!A:A,Apuração!C:C)/_xlfn.XLOOKUP(F849,Apuração!A:A,Apuração!B:B),0)</f>
        <v>0.3</v>
      </c>
      <c r="BP849" s="53">
        <f ca="1">IFERROR(_xlfn.XLOOKUP(F849,Apuração!A:A,Apuração!D:D)/_xlfn.XLOOKUP(F849,Apuração!A:A,Apuração!B:B),0)</f>
        <v>0.2</v>
      </c>
      <c r="BQ849" s="53">
        <f ca="1">IF(BK849&gt;=BO849,0,_xlfn.XLOOKUP(F849,Apuração!A:A,Apuração!B:B)*(BO849 + (1/_xlfn.XLOOKUP(F849,Apuração!A:A,Apuração!B:B)) - BK849))</f>
        <v>0</v>
      </c>
      <c r="BR849" s="85">
        <f t="shared" ref="BR849:BR858" ca="1" si="1138">IF(BQ849=0,0,BQ849*Z849)</f>
        <v>0</v>
      </c>
      <c r="BS849" s="53">
        <f ca="1">IFERROR((_xlfn.XLOOKUP(F849,Apuração!A:A,Apuração!C:C)+1)/_xlfn.XLOOKUP(F849,Apuração!A:A,Apuração!B:B),0)</f>
        <v>0.4</v>
      </c>
    </row>
    <row r="850" spans="1:71" ht="25.95" hidden="1" customHeight="1" x14ac:dyDescent="0.3">
      <c r="A850" s="44" t="s">
        <v>175</v>
      </c>
      <c r="B850" s="4" t="s">
        <v>176</v>
      </c>
      <c r="C850" s="5" t="s">
        <v>97</v>
      </c>
      <c r="D850" s="5" t="s">
        <v>99</v>
      </c>
      <c r="E850" s="4" t="str" cm="1">
        <f t="array" ref="E850">_xlfn.IFS(
F850 = "A partir de Abril", "Aguardando Execução na Distribuidora",
A850 = "CAPACITAÇÃO", "Em execução no Corporativo",
TRUE, "Em Execução na Distribuidora"
)</f>
        <v>Em execução no Corporativo</v>
      </c>
      <c r="F850" s="4" t="str" cm="1">
        <f t="array" ref="F850">_xlfn.IFS(
AG850 &lt;&gt; "", "Jan-Dez/26",
AH850 &lt;&gt; "", "Fev-Dez/26",
AI850 &lt;&gt; "", "Mar-Dez/26", AJ850 &lt;&gt; "", "Abr-Dez/26",
TRUE, "A partir de Junho"
)</f>
        <v>Mar-Dez/26</v>
      </c>
      <c r="G850" s="4" t="s">
        <v>37</v>
      </c>
      <c r="H850" s="7" t="s">
        <v>38</v>
      </c>
      <c r="I850" s="21" t="s">
        <v>180</v>
      </c>
      <c r="J850" s="8" t="str" cm="1">
        <f t="array" aca="1" ref="J850" ca="1">_xlfn.LET(
  _xlpm.actual_value_month, INDEX(T850:AE850, MATCH(DATE(YEAR(TODAY()), MONTH(TODAY()), 1), $T$1:$AE$1, 0)),
  IF(_xlpm.actual_value_month &lt;&gt; "", _xlpm.actual_value_month &amp; " ações mensais", "")
)</f>
        <v/>
      </c>
      <c r="K850" s="8" t="str" cm="1">
        <f t="array" ref="K850">_xlfn.LET(
    _xlpm.sum_month, SUM(T850:AE850),
    IF(_xlpm.sum_month = 0, "", _xlpm.sum_month &amp; " colaboradores treinados.")
)</f>
        <v/>
      </c>
      <c r="L850" s="9" t="s">
        <v>220</v>
      </c>
      <c r="M850" s="13">
        <v>1</v>
      </c>
      <c r="N850" s="5" t="s">
        <v>51</v>
      </c>
      <c r="O850" s="5" t="s">
        <v>52</v>
      </c>
      <c r="P850" s="10" t="s">
        <v>44</v>
      </c>
      <c r="Q850" s="10"/>
      <c r="R850" s="11" t="s">
        <v>44</v>
      </c>
      <c r="S850" s="11" t="s">
        <v>44</v>
      </c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G850" s="71"/>
      <c r="AH850" s="71"/>
      <c r="AI850" s="82">
        <v>176</v>
      </c>
      <c r="AJ850" s="82">
        <v>176</v>
      </c>
      <c r="AK850" s="71"/>
      <c r="AL850" s="71"/>
      <c r="AM850" s="71"/>
      <c r="AN850" s="71"/>
      <c r="AO850" s="71"/>
      <c r="AP850" s="71"/>
      <c r="AQ850" s="71"/>
      <c r="AR850" s="71"/>
      <c r="AS850" s="94" t="str" cm="1">
        <f t="array" ref="AS850">IFERROR(INDEX(T850:AE850,1,MATCH(2,1/(T850:AE850&lt;&gt;""))),"")</f>
        <v/>
      </c>
      <c r="AT850" s="95" cm="1">
        <f t="array" ref="AT850">IFERROR(INDEX(AJ850:AR850,1,MATCH(2,1/(AJ850:AR850&lt;&gt;""))),"")</f>
        <v>176</v>
      </c>
      <c r="AU850" s="97">
        <f t="shared" si="1132"/>
        <v>176</v>
      </c>
      <c r="AW850" s="83">
        <f t="shared" si="1133"/>
        <v>0</v>
      </c>
      <c r="AX850" s="52">
        <f t="shared" si="1134"/>
        <v>0</v>
      </c>
      <c r="AY850" s="52">
        <f t="shared" si="1135"/>
        <v>176</v>
      </c>
      <c r="AZ850" s="52">
        <f t="shared" si="1136"/>
        <v>176</v>
      </c>
      <c r="BA850" s="52"/>
      <c r="BB850" s="52"/>
      <c r="BC850" s="52"/>
      <c r="BD850" s="52"/>
      <c r="BE850" s="52"/>
      <c r="BF850" s="52"/>
      <c r="BG850" s="52"/>
      <c r="BH850" s="52"/>
      <c r="BI850" s="68" cm="1">
        <f t="array" ref="BI850">IFERROR(INDEX(AW850:BH850,1,MATCH(2,1/(AW850:BH850&lt;&gt;""))),"")</f>
        <v>176</v>
      </c>
      <c r="BJ850" s="68" cm="1">
        <f t="array" ref="BJ850">IF(BM850 = "", "",IFERROR(INDEX(AW850:BH850,1,MATCH(2,1/(AW850:BH850&lt;&gt;""),1)-1),""))</f>
        <v>176</v>
      </c>
      <c r="BK850" s="59">
        <f t="shared" si="1137"/>
        <v>352</v>
      </c>
      <c r="BL850" s="59" cm="1">
        <f t="array" ref="BL850">IFERROR(SUM(AW850:INDEX(AW850:BH850, MATCH(2, 1/(AW850:BH850&lt;&gt;""), 1) - 1))/_xlfn.XLOOKUP(F850,Apuração!A:A,Apuração!B:B),0)</f>
        <v>17.600000000000001</v>
      </c>
      <c r="BM850" s="55" cm="1">
        <f t="array" ref="BM850">IFERROR(
   INDEX($AW$1:$BH$1,
      _xlfn.AGGREGATE(14, 6, COLUMN($AW$1:$BH$1)/(AW850:BH850&lt;&gt;""), 2) - COLUMN($AW$1) + 1
   ),
"")</f>
        <v>46082</v>
      </c>
      <c r="BN850" s="55" cm="1">
        <f t="array" ref="BN850">IFERROR(INDEX($AW$1:$BH$1,1,MATCH(2,1/(AW850:BH850&lt;&gt;""))),"")</f>
        <v>46113</v>
      </c>
      <c r="BO850" s="53">
        <f ca="1">IFERROR(_xlfn.XLOOKUP(F850,Apuração!A:A,Apuração!C:C)/_xlfn.XLOOKUP(F850,Apuração!A:A,Apuração!B:B),0)</f>
        <v>0.3</v>
      </c>
      <c r="BP850" s="53">
        <f ca="1">IFERROR(_xlfn.XLOOKUP(F850,Apuração!A:A,Apuração!D:D)/_xlfn.XLOOKUP(F850,Apuração!A:A,Apuração!B:B),0)</f>
        <v>0.2</v>
      </c>
      <c r="BQ850" s="53">
        <f ca="1">IF(BK850&gt;=BO850,0,_xlfn.XLOOKUP(F850,Apuração!A:A,Apuração!B:B)*(BO850 + (1/_xlfn.XLOOKUP(F850,Apuração!A:A,Apuração!B:B)) - BK850))</f>
        <v>0</v>
      </c>
      <c r="BR850" s="85">
        <f t="shared" ca="1" si="1138"/>
        <v>0</v>
      </c>
      <c r="BS850" s="53">
        <f ca="1">IFERROR((_xlfn.XLOOKUP(F850,Apuração!A:A,Apuração!C:C)+1)/_xlfn.XLOOKUP(F850,Apuração!A:A,Apuração!B:B),0)</f>
        <v>0.4</v>
      </c>
    </row>
    <row r="851" spans="1:71" ht="25.95" hidden="1" customHeight="1" x14ac:dyDescent="0.3">
      <c r="A851" s="44" t="s">
        <v>175</v>
      </c>
      <c r="B851" s="4" t="s">
        <v>176</v>
      </c>
      <c r="C851" s="5" t="s">
        <v>97</v>
      </c>
      <c r="D851" s="5" t="s">
        <v>100</v>
      </c>
      <c r="E851" s="4" t="str" cm="1">
        <f t="array" ref="E851">_xlfn.IFS(
F851 = "A partir de Abril", "Aguardando Execução na Distribuidora",
A851 = "CAPACITAÇÃO", "Em execução no Corporativo",
TRUE, "Em Execução na Distribuidora"
)</f>
        <v>Em execução no Corporativo</v>
      </c>
      <c r="F851" s="4" t="str" cm="1">
        <f t="array" ref="F851">_xlfn.IFS(
AG851 &lt;&gt; "", "Jan-Dez/26",
AH851 &lt;&gt; "", "Fev-Dez/26",
AI851 &lt;&gt; "", "Mar-Dez/26", AJ851 &lt;&gt; "", "Abr-Dez/26",
TRUE, "A partir de Junho"
)</f>
        <v>Mar-Dez/26</v>
      </c>
      <c r="G851" s="4" t="s">
        <v>37</v>
      </c>
      <c r="H851" s="7" t="s">
        <v>38</v>
      </c>
      <c r="I851" s="21" t="s">
        <v>180</v>
      </c>
      <c r="J851" s="8" t="str" cm="1">
        <f t="array" aca="1" ref="J851" ca="1">_xlfn.LET(
  _xlpm.actual_value_month, INDEX(T851:AE851, MATCH(DATE(YEAR(TODAY()), MONTH(TODAY()), 1), $T$1:$AE$1, 0)),
  IF(_xlpm.actual_value_month &lt;&gt; "", _xlpm.actual_value_month &amp; " ações mensais", "")
)</f>
        <v/>
      </c>
      <c r="K851" s="8" t="str" cm="1">
        <f t="array" ref="K851">_xlfn.LET(
    _xlpm.sum_month, SUM(T851:AE851),
    IF(_xlpm.sum_month = 0, "", _xlpm.sum_month &amp; " colaboradores treinados.")
)</f>
        <v/>
      </c>
      <c r="L851" s="9" t="s">
        <v>220</v>
      </c>
      <c r="M851" s="13">
        <v>1</v>
      </c>
      <c r="N851" s="5" t="s">
        <v>51</v>
      </c>
      <c r="O851" s="5" t="s">
        <v>52</v>
      </c>
      <c r="P851" s="10" t="s">
        <v>44</v>
      </c>
      <c r="Q851" s="10"/>
      <c r="R851" s="11" t="s">
        <v>44</v>
      </c>
      <c r="S851" s="11" t="s">
        <v>44</v>
      </c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G851" s="71"/>
      <c r="AH851" s="71"/>
      <c r="AI851" s="82">
        <v>140</v>
      </c>
      <c r="AJ851" s="82">
        <v>140</v>
      </c>
      <c r="AK851" s="71"/>
      <c r="AL851" s="71"/>
      <c r="AM851" s="71"/>
      <c r="AN851" s="71"/>
      <c r="AO851" s="71"/>
      <c r="AP851" s="71"/>
      <c r="AQ851" s="71"/>
      <c r="AR851" s="71"/>
      <c r="AS851" s="94" t="str" cm="1">
        <f t="array" ref="AS851">IFERROR(INDEX(T851:AE851,1,MATCH(2,1/(T851:AE851&lt;&gt;""))),"")</f>
        <v/>
      </c>
      <c r="AT851" s="95" cm="1">
        <f t="array" ref="AT851">IFERROR(INDEX(AJ851:AR851,1,MATCH(2,1/(AJ851:AR851&lt;&gt;""))),"")</f>
        <v>140</v>
      </c>
      <c r="AU851" s="97">
        <f t="shared" si="1132"/>
        <v>140</v>
      </c>
      <c r="AW851" s="83">
        <f t="shared" si="1133"/>
        <v>0</v>
      </c>
      <c r="AX851" s="52">
        <f t="shared" si="1134"/>
        <v>0</v>
      </c>
      <c r="AY851" s="52">
        <f t="shared" si="1135"/>
        <v>140</v>
      </c>
      <c r="AZ851" s="52">
        <f t="shared" si="1136"/>
        <v>140</v>
      </c>
      <c r="BA851" s="52"/>
      <c r="BB851" s="52"/>
      <c r="BC851" s="52"/>
      <c r="BD851" s="52"/>
      <c r="BE851" s="52"/>
      <c r="BF851" s="52"/>
      <c r="BG851" s="52"/>
      <c r="BH851" s="52"/>
      <c r="BI851" s="68" cm="1">
        <f t="array" ref="BI851">IFERROR(INDEX(AW851:BH851,1,MATCH(2,1/(AW851:BH851&lt;&gt;""))),"")</f>
        <v>140</v>
      </c>
      <c r="BJ851" s="68" cm="1">
        <f t="array" ref="BJ851">IF(BM851 = "", "",IFERROR(INDEX(AW851:BH851,1,MATCH(2,1/(AW851:BH851&lt;&gt;""),1)-1),""))</f>
        <v>140</v>
      </c>
      <c r="BK851" s="59">
        <f t="shared" si="1137"/>
        <v>280</v>
      </c>
      <c r="BL851" s="59" cm="1">
        <f t="array" ref="BL851">IFERROR(SUM(AW851:INDEX(AW851:BH851, MATCH(2, 1/(AW851:BH851&lt;&gt;""), 1) - 1))/_xlfn.XLOOKUP(F851,Apuração!A:A,Apuração!B:B),0)</f>
        <v>14</v>
      </c>
      <c r="BM851" s="55" cm="1">
        <f t="array" ref="BM851">IFERROR(
   INDEX($AW$1:$BH$1,
      _xlfn.AGGREGATE(14, 6, COLUMN($AW$1:$BH$1)/(AW851:BH851&lt;&gt;""), 2) - COLUMN($AW$1) + 1
   ),
"")</f>
        <v>46082</v>
      </c>
      <c r="BN851" s="55" cm="1">
        <f t="array" ref="BN851">IFERROR(INDEX($AW$1:$BH$1,1,MATCH(2,1/(AW851:BH851&lt;&gt;""))),"")</f>
        <v>46113</v>
      </c>
      <c r="BO851" s="53">
        <f ca="1">IFERROR(_xlfn.XLOOKUP(F851,Apuração!A:A,Apuração!C:C)/_xlfn.XLOOKUP(F851,Apuração!A:A,Apuração!B:B),0)</f>
        <v>0.3</v>
      </c>
      <c r="BP851" s="53">
        <f ca="1">IFERROR(_xlfn.XLOOKUP(F851,Apuração!A:A,Apuração!D:D)/_xlfn.XLOOKUP(F851,Apuração!A:A,Apuração!B:B),0)</f>
        <v>0.2</v>
      </c>
      <c r="BQ851" s="53">
        <f ca="1">IF(BK851&gt;=BO851,0,_xlfn.XLOOKUP(F851,Apuração!A:A,Apuração!B:B)*(BO851 + (1/_xlfn.XLOOKUP(F851,Apuração!A:A,Apuração!B:B)) - BK851))</f>
        <v>0</v>
      </c>
      <c r="BR851" s="85">
        <f t="shared" ca="1" si="1138"/>
        <v>0</v>
      </c>
      <c r="BS851" s="53">
        <f ca="1">IFERROR((_xlfn.XLOOKUP(F851,Apuração!A:A,Apuração!C:C)+1)/_xlfn.XLOOKUP(F851,Apuração!A:A,Apuração!B:B),0)</f>
        <v>0.4</v>
      </c>
    </row>
    <row r="852" spans="1:71" ht="25.95" hidden="1" customHeight="1" x14ac:dyDescent="0.3">
      <c r="A852" s="44" t="s">
        <v>175</v>
      </c>
      <c r="B852" s="4" t="s">
        <v>176</v>
      </c>
      <c r="C852" s="5" t="s">
        <v>97</v>
      </c>
      <c r="D852" s="5" t="s">
        <v>101</v>
      </c>
      <c r="E852" s="4" t="str" cm="1">
        <f t="array" ref="E852">_xlfn.IFS(
F852 = "A partir de Abril", "Aguardando Execução na Distribuidora",
A852 = "CAPACITAÇÃO", "Em execução no Corporativo",
TRUE, "Em Execução na Distribuidora"
)</f>
        <v>Em execução no Corporativo</v>
      </c>
      <c r="F852" s="4" t="str" cm="1">
        <f t="array" ref="F852">_xlfn.IFS(
AG852 &lt;&gt; "", "Jan-Dez/26",
AH852 &lt;&gt; "", "Fev-Dez/26",
AI852 &lt;&gt; "", "Mar-Dez/26", AJ852 &lt;&gt; "", "Abr-Dez/26",
TRUE, "A partir de Junho"
)</f>
        <v>Mar-Dez/26</v>
      </c>
      <c r="G852" s="4" t="s">
        <v>37</v>
      </c>
      <c r="H852" s="7" t="s">
        <v>38</v>
      </c>
      <c r="I852" s="21" t="s">
        <v>180</v>
      </c>
      <c r="J852" s="8" t="str" cm="1">
        <f t="array" aca="1" ref="J852" ca="1">_xlfn.LET(
  _xlpm.actual_value_month, INDEX(T852:AE852, MATCH(DATE(YEAR(TODAY()), MONTH(TODAY()), 1), $T$1:$AE$1, 0)),
  IF(_xlpm.actual_value_month &lt;&gt; "", _xlpm.actual_value_month &amp; " ações mensais", "")
)</f>
        <v/>
      </c>
      <c r="K852" s="8" t="str" cm="1">
        <f t="array" ref="K852">_xlfn.LET(
    _xlpm.sum_month, SUM(T852:AE852),
    IF(_xlpm.sum_month = 0, "", _xlpm.sum_month &amp; " colaboradores treinados.")
)</f>
        <v/>
      </c>
      <c r="L852" s="9" t="s">
        <v>220</v>
      </c>
      <c r="M852" s="13">
        <v>1</v>
      </c>
      <c r="N852" s="5" t="s">
        <v>51</v>
      </c>
      <c r="O852" s="5" t="s">
        <v>52</v>
      </c>
      <c r="P852" s="10" t="s">
        <v>44</v>
      </c>
      <c r="Q852" s="10"/>
      <c r="R852" s="11" t="s">
        <v>44</v>
      </c>
      <c r="S852" s="11" t="s">
        <v>44</v>
      </c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G852" s="71"/>
      <c r="AH852" s="71"/>
      <c r="AI852" s="82">
        <v>248</v>
      </c>
      <c r="AJ852" s="82">
        <v>248</v>
      </c>
      <c r="AK852" s="71"/>
      <c r="AL852" s="71"/>
      <c r="AM852" s="71"/>
      <c r="AN852" s="71"/>
      <c r="AO852" s="71"/>
      <c r="AP852" s="71"/>
      <c r="AQ852" s="71"/>
      <c r="AR852" s="71"/>
      <c r="AS852" s="94" t="str" cm="1">
        <f t="array" ref="AS852">IFERROR(INDEX(T852:AE852,1,MATCH(2,1/(T852:AE852&lt;&gt;""))),"")</f>
        <v/>
      </c>
      <c r="AT852" s="95" cm="1">
        <f t="array" ref="AT852">IFERROR(INDEX(AJ852:AR852,1,MATCH(2,1/(AJ852:AR852&lt;&gt;""))),"")</f>
        <v>248</v>
      </c>
      <c r="AU852" s="97">
        <f t="shared" si="1132"/>
        <v>248</v>
      </c>
      <c r="AW852" s="83">
        <f t="shared" si="1133"/>
        <v>0</v>
      </c>
      <c r="AX852" s="52">
        <f t="shared" si="1134"/>
        <v>0</v>
      </c>
      <c r="AY852" s="52">
        <f t="shared" si="1135"/>
        <v>248</v>
      </c>
      <c r="AZ852" s="52">
        <f t="shared" si="1136"/>
        <v>248</v>
      </c>
      <c r="BA852" s="52"/>
      <c r="BB852" s="52"/>
      <c r="BC852" s="52"/>
      <c r="BD852" s="52"/>
      <c r="BE852" s="52"/>
      <c r="BF852" s="52"/>
      <c r="BG852" s="52"/>
      <c r="BH852" s="52"/>
      <c r="BI852" s="68" cm="1">
        <f t="array" ref="BI852">IFERROR(INDEX(AW852:BH852,1,MATCH(2,1/(AW852:BH852&lt;&gt;""))),"")</f>
        <v>248</v>
      </c>
      <c r="BJ852" s="68" cm="1">
        <f t="array" ref="BJ852">IF(BM852 = "", "",IFERROR(INDEX(AW852:BH852,1,MATCH(2,1/(AW852:BH852&lt;&gt;""),1)-1),""))</f>
        <v>248</v>
      </c>
      <c r="BK852" s="59">
        <f t="shared" si="1137"/>
        <v>496</v>
      </c>
      <c r="BL852" s="59" cm="1">
        <f t="array" ref="BL852">IFERROR(SUM(AW852:INDEX(AW852:BH852, MATCH(2, 1/(AW852:BH852&lt;&gt;""), 1) - 1))/_xlfn.XLOOKUP(F852,Apuração!A:A,Apuração!B:B),0)</f>
        <v>24.8</v>
      </c>
      <c r="BM852" s="55" cm="1">
        <f t="array" ref="BM852">IFERROR(
   INDEX($AW$1:$BH$1,
      _xlfn.AGGREGATE(14, 6, COLUMN($AW$1:$BH$1)/(AW852:BH852&lt;&gt;""), 2) - COLUMN($AW$1) + 1
   ),
"")</f>
        <v>46082</v>
      </c>
      <c r="BN852" s="55" cm="1">
        <f t="array" ref="BN852">IFERROR(INDEX($AW$1:$BH$1,1,MATCH(2,1/(AW852:BH852&lt;&gt;""))),"")</f>
        <v>46113</v>
      </c>
      <c r="BO852" s="53">
        <f ca="1">IFERROR(_xlfn.XLOOKUP(F852,Apuração!A:A,Apuração!C:C)/_xlfn.XLOOKUP(F852,Apuração!A:A,Apuração!B:B),0)</f>
        <v>0.3</v>
      </c>
      <c r="BP852" s="53">
        <f ca="1">IFERROR(_xlfn.XLOOKUP(F852,Apuração!A:A,Apuração!D:D)/_xlfn.XLOOKUP(F852,Apuração!A:A,Apuração!B:B),0)</f>
        <v>0.2</v>
      </c>
      <c r="BQ852" s="53">
        <f ca="1">IF(BK852&gt;=BO852,0,_xlfn.XLOOKUP(F852,Apuração!A:A,Apuração!B:B)*(BO852 + (1/_xlfn.XLOOKUP(F852,Apuração!A:A,Apuração!B:B)) - BK852))</f>
        <v>0</v>
      </c>
      <c r="BR852" s="85">
        <f t="shared" ca="1" si="1138"/>
        <v>0</v>
      </c>
      <c r="BS852" s="53">
        <f ca="1">IFERROR((_xlfn.XLOOKUP(F852,Apuração!A:A,Apuração!C:C)+1)/_xlfn.XLOOKUP(F852,Apuração!A:A,Apuração!B:B),0)</f>
        <v>0.4</v>
      </c>
    </row>
    <row r="853" spans="1:71" ht="25.95" hidden="1" customHeight="1" x14ac:dyDescent="0.3">
      <c r="A853" s="44" t="s">
        <v>175</v>
      </c>
      <c r="B853" s="4" t="s">
        <v>176</v>
      </c>
      <c r="C853" s="5" t="s">
        <v>97</v>
      </c>
      <c r="D853" s="5" t="s">
        <v>102</v>
      </c>
      <c r="E853" s="4" t="str" cm="1">
        <f t="array" ref="E853">_xlfn.IFS(
F853 = "A partir de Abril", "Aguardando Execução na Distribuidora",
A853 = "CAPACITAÇÃO", "Em execução no Corporativo",
TRUE, "Em Execução na Distribuidora"
)</f>
        <v>Em execução no Corporativo</v>
      </c>
      <c r="F853" s="4" t="str" cm="1">
        <f t="array" ref="F853">_xlfn.IFS(
AG853 &lt;&gt; "", "Jan-Dez/26",
AH853 &lt;&gt; "", "Fev-Dez/26",
AI853 &lt;&gt; "", "Mar-Dez/26", AJ853 &lt;&gt; "", "Abr-Dez/26",
TRUE, "A partir de Junho"
)</f>
        <v>Mar-Dez/26</v>
      </c>
      <c r="G853" s="4" t="s">
        <v>37</v>
      </c>
      <c r="H853" s="7" t="s">
        <v>38</v>
      </c>
      <c r="I853" s="21" t="s">
        <v>180</v>
      </c>
      <c r="J853" s="8" t="str" cm="1">
        <f t="array" aca="1" ref="J853" ca="1">_xlfn.LET(
  _xlpm.actual_value_month, INDEX(T853:AE853, MATCH(DATE(YEAR(TODAY()), MONTH(TODAY()), 1), $T$1:$AE$1, 0)),
  IF(_xlpm.actual_value_month &lt;&gt; "", _xlpm.actual_value_month &amp; " ações mensais", "")
)</f>
        <v/>
      </c>
      <c r="K853" s="8" t="str" cm="1">
        <f t="array" ref="K853">_xlfn.LET(
    _xlpm.sum_month, SUM(T853:AE853),
    IF(_xlpm.sum_month = 0, "", _xlpm.sum_month &amp; " colaboradores treinados.")
)</f>
        <v/>
      </c>
      <c r="L853" s="9" t="s">
        <v>220</v>
      </c>
      <c r="M853" s="13">
        <v>1</v>
      </c>
      <c r="N853" s="5" t="s">
        <v>51</v>
      </c>
      <c r="O853" s="5" t="s">
        <v>52</v>
      </c>
      <c r="P853" s="10" t="s">
        <v>44</v>
      </c>
      <c r="Q853" s="10"/>
      <c r="R853" s="11" t="s">
        <v>44</v>
      </c>
      <c r="S853" s="11" t="s">
        <v>44</v>
      </c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G853" s="71"/>
      <c r="AH853" s="71"/>
      <c r="AI853" s="82">
        <v>413</v>
      </c>
      <c r="AJ853" s="82">
        <v>413</v>
      </c>
      <c r="AK853" s="71"/>
      <c r="AL853" s="71"/>
      <c r="AM853" s="71"/>
      <c r="AN853" s="71"/>
      <c r="AO853" s="71"/>
      <c r="AP853" s="71"/>
      <c r="AQ853" s="71"/>
      <c r="AR853" s="71"/>
      <c r="AS853" s="94" t="str" cm="1">
        <f t="array" ref="AS853">IFERROR(INDEX(T853:AE853,1,MATCH(2,1/(T853:AE853&lt;&gt;""))),"")</f>
        <v/>
      </c>
      <c r="AT853" s="95" cm="1">
        <f t="array" ref="AT853">IFERROR(INDEX(AJ853:AR853,1,MATCH(2,1/(AJ853:AR853&lt;&gt;""))),"")</f>
        <v>413</v>
      </c>
      <c r="AU853" s="97">
        <f t="shared" si="1132"/>
        <v>413</v>
      </c>
      <c r="AW853" s="83">
        <f t="shared" si="1133"/>
        <v>0</v>
      </c>
      <c r="AX853" s="52">
        <f t="shared" si="1134"/>
        <v>0</v>
      </c>
      <c r="AY853" s="52">
        <f t="shared" si="1135"/>
        <v>413</v>
      </c>
      <c r="AZ853" s="52">
        <f t="shared" si="1136"/>
        <v>413</v>
      </c>
      <c r="BA853" s="52"/>
      <c r="BB853" s="52"/>
      <c r="BC853" s="52"/>
      <c r="BD853" s="52"/>
      <c r="BE853" s="52"/>
      <c r="BF853" s="52"/>
      <c r="BG853" s="52"/>
      <c r="BH853" s="52"/>
      <c r="BI853" s="68" cm="1">
        <f t="array" ref="BI853">IFERROR(INDEX(AW853:BH853,1,MATCH(2,1/(AW853:BH853&lt;&gt;""))),"")</f>
        <v>413</v>
      </c>
      <c r="BJ853" s="68" cm="1">
        <f t="array" ref="BJ853">IF(BM853 = "", "",IFERROR(INDEX(AW853:BH853,1,MATCH(2,1/(AW853:BH853&lt;&gt;""),1)-1),""))</f>
        <v>413</v>
      </c>
      <c r="BK853" s="59">
        <f t="shared" si="1137"/>
        <v>826</v>
      </c>
      <c r="BL853" s="59" cm="1">
        <f t="array" ref="BL853">IFERROR(SUM(AW853:INDEX(AW853:BH853, MATCH(2, 1/(AW853:BH853&lt;&gt;""), 1) - 1))/_xlfn.XLOOKUP(F853,Apuração!A:A,Apuração!B:B),0)</f>
        <v>41.3</v>
      </c>
      <c r="BM853" s="55" cm="1">
        <f t="array" ref="BM853">IFERROR(
   INDEX($AW$1:$BH$1,
      _xlfn.AGGREGATE(14, 6, COLUMN($AW$1:$BH$1)/(AW853:BH853&lt;&gt;""), 2) - COLUMN($AW$1) + 1
   ),
"")</f>
        <v>46082</v>
      </c>
      <c r="BN853" s="55" cm="1">
        <f t="array" ref="BN853">IFERROR(INDEX($AW$1:$BH$1,1,MATCH(2,1/(AW853:BH853&lt;&gt;""))),"")</f>
        <v>46113</v>
      </c>
      <c r="BO853" s="53">
        <f ca="1">IFERROR(_xlfn.XLOOKUP(F853,Apuração!A:A,Apuração!C:C)/_xlfn.XLOOKUP(F853,Apuração!A:A,Apuração!B:B),0)</f>
        <v>0.3</v>
      </c>
      <c r="BP853" s="53">
        <f ca="1">IFERROR(_xlfn.XLOOKUP(F853,Apuração!A:A,Apuração!D:D)/_xlfn.XLOOKUP(F853,Apuração!A:A,Apuração!B:B),0)</f>
        <v>0.2</v>
      </c>
      <c r="BQ853" s="53">
        <f ca="1">IF(BK853&gt;=BO853,0,_xlfn.XLOOKUP(F853,Apuração!A:A,Apuração!B:B)*(BO853 + (1/_xlfn.XLOOKUP(F853,Apuração!A:A,Apuração!B:B)) - BK853))</f>
        <v>0</v>
      </c>
      <c r="BR853" s="85">
        <f t="shared" ca="1" si="1138"/>
        <v>0</v>
      </c>
      <c r="BS853" s="53">
        <f ca="1">IFERROR((_xlfn.XLOOKUP(F853,Apuração!A:A,Apuração!C:C)+1)/_xlfn.XLOOKUP(F853,Apuração!A:A,Apuração!B:B),0)</f>
        <v>0.4</v>
      </c>
    </row>
    <row r="854" spans="1:71" ht="25.95" hidden="1" customHeight="1" x14ac:dyDescent="0.3">
      <c r="A854" s="44" t="s">
        <v>175</v>
      </c>
      <c r="B854" s="4" t="s">
        <v>176</v>
      </c>
      <c r="C854" s="5" t="s">
        <v>97</v>
      </c>
      <c r="D854" s="5" t="s">
        <v>103</v>
      </c>
      <c r="E854" s="4" t="str" cm="1">
        <f t="array" ref="E854">_xlfn.IFS(
F854 = "A partir de Abril", "Aguardando Execução na Distribuidora",
A854 = "CAPACITAÇÃO", "Em execução no Corporativo",
TRUE, "Em Execução na Distribuidora"
)</f>
        <v>Em execução no Corporativo</v>
      </c>
      <c r="F854" s="4" t="str" cm="1">
        <f t="array" ref="F854">_xlfn.IFS(
AG854 &lt;&gt; "", "Jan-Dez/26",
AH854 &lt;&gt; "", "Fev-Dez/26",
AI854 &lt;&gt; "", "Mar-Dez/26", AJ854 &lt;&gt; "", "Abr-Dez/26",
TRUE, "A partir de Junho"
)</f>
        <v>Mar-Dez/26</v>
      </c>
      <c r="G854" s="4" t="s">
        <v>37</v>
      </c>
      <c r="H854" s="7" t="s">
        <v>38</v>
      </c>
      <c r="I854" s="21" t="s">
        <v>180</v>
      </c>
      <c r="J854" s="8" t="str" cm="1">
        <f t="array" aca="1" ref="J854" ca="1">_xlfn.LET(
  _xlpm.actual_value_month, INDEX(T854:AE854, MATCH(DATE(YEAR(TODAY()), MONTH(TODAY()), 1), $T$1:$AE$1, 0)),
  IF(_xlpm.actual_value_month &lt;&gt; "", _xlpm.actual_value_month &amp; " ações mensais", "")
)</f>
        <v/>
      </c>
      <c r="K854" s="8" t="str" cm="1">
        <f t="array" ref="K854">_xlfn.LET(
    _xlpm.sum_month, SUM(T854:AE854),
    IF(_xlpm.sum_month = 0, "", _xlpm.sum_month &amp; " colaboradores treinados.")
)</f>
        <v/>
      </c>
      <c r="L854" s="9" t="s">
        <v>220</v>
      </c>
      <c r="M854" s="13">
        <v>1</v>
      </c>
      <c r="N854" s="5" t="s">
        <v>51</v>
      </c>
      <c r="O854" s="5" t="s">
        <v>52</v>
      </c>
      <c r="P854" s="10" t="s">
        <v>44</v>
      </c>
      <c r="Q854" s="10"/>
      <c r="R854" s="11" t="s">
        <v>44</v>
      </c>
      <c r="S854" s="11" t="s">
        <v>44</v>
      </c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G854" s="71"/>
      <c r="AH854" s="71"/>
      <c r="AI854" s="82">
        <v>294</v>
      </c>
      <c r="AJ854" s="82">
        <v>294</v>
      </c>
      <c r="AK854" s="71"/>
      <c r="AL854" s="71"/>
      <c r="AM854" s="71"/>
      <c r="AN854" s="71"/>
      <c r="AO854" s="71"/>
      <c r="AP854" s="71"/>
      <c r="AQ854" s="71"/>
      <c r="AR854" s="71"/>
      <c r="AS854" s="94" t="str" cm="1">
        <f t="array" ref="AS854">IFERROR(INDEX(T854:AE854,1,MATCH(2,1/(T854:AE854&lt;&gt;""))),"")</f>
        <v/>
      </c>
      <c r="AT854" s="95" cm="1">
        <f t="array" ref="AT854">IFERROR(INDEX(AJ854:AR854,1,MATCH(2,1/(AJ854:AR854&lt;&gt;""))),"")</f>
        <v>294</v>
      </c>
      <c r="AU854" s="97">
        <f t="shared" si="1132"/>
        <v>294</v>
      </c>
      <c r="AW854" s="83">
        <f t="shared" si="1133"/>
        <v>0</v>
      </c>
      <c r="AX854" s="52">
        <f t="shared" si="1134"/>
        <v>0</v>
      </c>
      <c r="AY854" s="52">
        <f t="shared" si="1135"/>
        <v>294</v>
      </c>
      <c r="AZ854" s="52">
        <f t="shared" si="1136"/>
        <v>294</v>
      </c>
      <c r="BA854" s="52"/>
      <c r="BB854" s="52"/>
      <c r="BC854" s="52"/>
      <c r="BD854" s="52"/>
      <c r="BE854" s="52"/>
      <c r="BF854" s="52"/>
      <c r="BG854" s="52"/>
      <c r="BH854" s="52"/>
      <c r="BI854" s="68" cm="1">
        <f t="array" ref="BI854">IFERROR(INDEX(AW854:BH854,1,MATCH(2,1/(AW854:BH854&lt;&gt;""))),"")</f>
        <v>294</v>
      </c>
      <c r="BJ854" s="68" cm="1">
        <f t="array" ref="BJ854">IF(BM854 = "", "",IFERROR(INDEX(AW854:BH854,1,MATCH(2,1/(AW854:BH854&lt;&gt;""),1)-1),""))</f>
        <v>294</v>
      </c>
      <c r="BK854" s="59">
        <f t="shared" si="1137"/>
        <v>588</v>
      </c>
      <c r="BL854" s="59" cm="1">
        <f t="array" ref="BL854">IFERROR(SUM(AW854:INDEX(AW854:BH854, MATCH(2, 1/(AW854:BH854&lt;&gt;""), 1) - 1))/_xlfn.XLOOKUP(F854,Apuração!A:A,Apuração!B:B),0)</f>
        <v>29.4</v>
      </c>
      <c r="BM854" s="55" cm="1">
        <f t="array" ref="BM854">IFERROR(
   INDEX($AW$1:$BH$1,
      _xlfn.AGGREGATE(14, 6, COLUMN($AW$1:$BH$1)/(AW854:BH854&lt;&gt;""), 2) - COLUMN($AW$1) + 1
   ),
"")</f>
        <v>46082</v>
      </c>
      <c r="BN854" s="55" cm="1">
        <f t="array" ref="BN854">IFERROR(INDEX($AW$1:$BH$1,1,MATCH(2,1/(AW854:BH854&lt;&gt;""))),"")</f>
        <v>46113</v>
      </c>
      <c r="BO854" s="53">
        <f ca="1">IFERROR(_xlfn.XLOOKUP(F854,Apuração!A:A,Apuração!C:C)/_xlfn.XLOOKUP(F854,Apuração!A:A,Apuração!B:B),0)</f>
        <v>0.3</v>
      </c>
      <c r="BP854" s="53">
        <f ca="1">IFERROR(_xlfn.XLOOKUP(F854,Apuração!A:A,Apuração!D:D)/_xlfn.XLOOKUP(F854,Apuração!A:A,Apuração!B:B),0)</f>
        <v>0.2</v>
      </c>
      <c r="BQ854" s="53">
        <f ca="1">IF(BK854&gt;=BO854,0,_xlfn.XLOOKUP(F854,Apuração!A:A,Apuração!B:B)*(BO854 + (1/_xlfn.XLOOKUP(F854,Apuração!A:A,Apuração!B:B)) - BK854))</f>
        <v>0</v>
      </c>
      <c r="BR854" s="85">
        <f t="shared" ca="1" si="1138"/>
        <v>0</v>
      </c>
      <c r="BS854" s="53">
        <f ca="1">IFERROR((_xlfn.XLOOKUP(F854,Apuração!A:A,Apuração!C:C)+1)/_xlfn.XLOOKUP(F854,Apuração!A:A,Apuração!B:B),0)</f>
        <v>0.4</v>
      </c>
    </row>
    <row r="855" spans="1:71" ht="25.95" hidden="1" customHeight="1" x14ac:dyDescent="0.3">
      <c r="A855" s="44" t="s">
        <v>175</v>
      </c>
      <c r="B855" s="4" t="s">
        <v>176</v>
      </c>
      <c r="C855" s="5" t="s">
        <v>97</v>
      </c>
      <c r="D855" s="5" t="s">
        <v>104</v>
      </c>
      <c r="E855" s="4" t="str" cm="1">
        <f t="array" ref="E855">_xlfn.IFS(
F855 = "A partir de Abril", "Aguardando Execução na Distribuidora",
A855 = "CAPACITAÇÃO", "Em execução no Corporativo",
TRUE, "Em Execução na Distribuidora"
)</f>
        <v>Em execução no Corporativo</v>
      </c>
      <c r="F855" s="4" t="str" cm="1">
        <f t="array" ref="F855">_xlfn.IFS(
AG855 &lt;&gt; "", "Jan-Dez/26",
AH855 &lt;&gt; "", "Fev-Dez/26",
AI855 &lt;&gt; "", "Mar-Dez/26", AJ855 &lt;&gt; "", "Abr-Dez/26",
TRUE, "A partir de Junho"
)</f>
        <v>Mar-Dez/26</v>
      </c>
      <c r="G855" s="4" t="s">
        <v>37</v>
      </c>
      <c r="H855" s="7" t="s">
        <v>38</v>
      </c>
      <c r="I855" s="21" t="s">
        <v>180</v>
      </c>
      <c r="J855" s="8" t="str" cm="1">
        <f t="array" aca="1" ref="J855" ca="1">_xlfn.LET(
  _xlpm.actual_value_month, INDEX(T855:AE855, MATCH(DATE(YEAR(TODAY()), MONTH(TODAY()), 1), $T$1:$AE$1, 0)),
  IF(_xlpm.actual_value_month &lt;&gt; "", _xlpm.actual_value_month &amp; " ações mensais", "")
)</f>
        <v/>
      </c>
      <c r="K855" s="8" t="str" cm="1">
        <f t="array" ref="K855">_xlfn.LET(
    _xlpm.sum_month, SUM(T855:AE855),
    IF(_xlpm.sum_month = 0, "", _xlpm.sum_month &amp; " colaboradores treinados.")
)</f>
        <v/>
      </c>
      <c r="L855" s="9" t="s">
        <v>220</v>
      </c>
      <c r="M855" s="13">
        <v>1</v>
      </c>
      <c r="N855" s="5" t="s">
        <v>51</v>
      </c>
      <c r="O855" s="5" t="s">
        <v>52</v>
      </c>
      <c r="P855" s="10" t="s">
        <v>44</v>
      </c>
      <c r="Q855" s="10"/>
      <c r="R855" s="11" t="s">
        <v>44</v>
      </c>
      <c r="S855" s="11" t="s">
        <v>44</v>
      </c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G855" s="71"/>
      <c r="AH855" s="71"/>
      <c r="AI855" s="82">
        <v>176</v>
      </c>
      <c r="AJ855" s="82">
        <v>176</v>
      </c>
      <c r="AK855" s="71"/>
      <c r="AL855" s="71"/>
      <c r="AM855" s="71"/>
      <c r="AN855" s="71"/>
      <c r="AO855" s="71"/>
      <c r="AP855" s="71"/>
      <c r="AQ855" s="71"/>
      <c r="AR855" s="71"/>
      <c r="AS855" s="94" t="str" cm="1">
        <f t="array" ref="AS855">IFERROR(INDEX(T855:AE855,1,MATCH(2,1/(T855:AE855&lt;&gt;""))),"")</f>
        <v/>
      </c>
      <c r="AT855" s="95" cm="1">
        <f t="array" ref="AT855">IFERROR(INDEX(AJ855:AR855,1,MATCH(2,1/(AJ855:AR855&lt;&gt;""))),"")</f>
        <v>176</v>
      </c>
      <c r="AU855" s="97">
        <f t="shared" si="1132"/>
        <v>176</v>
      </c>
      <c r="AW855" s="83">
        <f t="shared" si="1133"/>
        <v>0</v>
      </c>
      <c r="AX855" s="52">
        <f t="shared" si="1134"/>
        <v>0</v>
      </c>
      <c r="AY855" s="52">
        <f t="shared" si="1135"/>
        <v>176</v>
      </c>
      <c r="AZ855" s="52">
        <f t="shared" si="1136"/>
        <v>176</v>
      </c>
      <c r="BA855" s="52"/>
      <c r="BB855" s="52"/>
      <c r="BC855" s="52"/>
      <c r="BD855" s="52"/>
      <c r="BE855" s="52"/>
      <c r="BF855" s="52"/>
      <c r="BG855" s="52"/>
      <c r="BH855" s="52"/>
      <c r="BI855" s="68" cm="1">
        <f t="array" ref="BI855">IFERROR(INDEX(AW855:BH855,1,MATCH(2,1/(AW855:BH855&lt;&gt;""))),"")</f>
        <v>176</v>
      </c>
      <c r="BJ855" s="68" cm="1">
        <f t="array" ref="BJ855">IF(BM855 = "", "",IFERROR(INDEX(AW855:BH855,1,MATCH(2,1/(AW855:BH855&lt;&gt;""),1)-1),""))</f>
        <v>176</v>
      </c>
      <c r="BK855" s="59">
        <f t="shared" si="1137"/>
        <v>352</v>
      </c>
      <c r="BL855" s="59" cm="1">
        <f t="array" ref="BL855">IFERROR(SUM(AW855:INDEX(AW855:BH855, MATCH(2, 1/(AW855:BH855&lt;&gt;""), 1) - 1))/_xlfn.XLOOKUP(F855,Apuração!A:A,Apuração!B:B),0)</f>
        <v>17.600000000000001</v>
      </c>
      <c r="BM855" s="55" cm="1">
        <f t="array" ref="BM855">IFERROR(
   INDEX($AW$1:$BH$1,
      _xlfn.AGGREGATE(14, 6, COLUMN($AW$1:$BH$1)/(AW855:BH855&lt;&gt;""), 2) - COLUMN($AW$1) + 1
   ),
"")</f>
        <v>46082</v>
      </c>
      <c r="BN855" s="55" cm="1">
        <f t="array" ref="BN855">IFERROR(INDEX($AW$1:$BH$1,1,MATCH(2,1/(AW855:BH855&lt;&gt;""))),"")</f>
        <v>46113</v>
      </c>
      <c r="BO855" s="53">
        <f ca="1">IFERROR(_xlfn.XLOOKUP(F855,Apuração!A:A,Apuração!C:C)/_xlfn.XLOOKUP(F855,Apuração!A:A,Apuração!B:B),0)</f>
        <v>0.3</v>
      </c>
      <c r="BP855" s="53">
        <f ca="1">IFERROR(_xlfn.XLOOKUP(F855,Apuração!A:A,Apuração!D:D)/_xlfn.XLOOKUP(F855,Apuração!A:A,Apuração!B:B),0)</f>
        <v>0.2</v>
      </c>
      <c r="BQ855" s="53">
        <f ca="1">IF(BK855&gt;=BO855,0,_xlfn.XLOOKUP(F855,Apuração!A:A,Apuração!B:B)*(BO855 + (1/_xlfn.XLOOKUP(F855,Apuração!A:A,Apuração!B:B)) - BK855))</f>
        <v>0</v>
      </c>
      <c r="BR855" s="85">
        <f t="shared" ca="1" si="1138"/>
        <v>0</v>
      </c>
      <c r="BS855" s="53">
        <f ca="1">IFERROR((_xlfn.XLOOKUP(F855,Apuração!A:A,Apuração!C:C)+1)/_xlfn.XLOOKUP(F855,Apuração!A:A,Apuração!B:B),0)</f>
        <v>0.4</v>
      </c>
    </row>
    <row r="856" spans="1:71" ht="25.95" hidden="1" customHeight="1" x14ac:dyDescent="0.3">
      <c r="A856" s="44" t="s">
        <v>175</v>
      </c>
      <c r="B856" s="4" t="s">
        <v>176</v>
      </c>
      <c r="C856" s="5" t="s">
        <v>97</v>
      </c>
      <c r="D856" s="5" t="s">
        <v>105</v>
      </c>
      <c r="E856" s="4" t="str" cm="1">
        <f t="array" ref="E856">_xlfn.IFS(
F856 = "A partir de Abril", "Aguardando Execução na Distribuidora",
A856 = "CAPACITAÇÃO", "Em execução no Corporativo",
TRUE, "Em Execução na Distribuidora"
)</f>
        <v>Em execução no Corporativo</v>
      </c>
      <c r="F856" s="4" t="str" cm="1">
        <f t="array" ref="F856">_xlfn.IFS(
AG856 &lt;&gt; "", "Jan-Dez/26",
AH856 &lt;&gt; "", "Fev-Dez/26",
AI856 &lt;&gt; "", "Mar-Dez/26", AJ856 &lt;&gt; "", "Abr-Dez/26",
TRUE, "A partir de Junho"
)</f>
        <v>Mar-Dez/26</v>
      </c>
      <c r="G856" s="4" t="s">
        <v>37</v>
      </c>
      <c r="H856" s="7" t="s">
        <v>38</v>
      </c>
      <c r="I856" s="21" t="s">
        <v>180</v>
      </c>
      <c r="J856" s="8" t="str" cm="1">
        <f t="array" aca="1" ref="J856" ca="1">_xlfn.LET(
  _xlpm.actual_value_month, INDEX(T856:AE856, MATCH(DATE(YEAR(TODAY()), MONTH(TODAY()), 1), $T$1:$AE$1, 0)),
  IF(_xlpm.actual_value_month &lt;&gt; "", _xlpm.actual_value_month &amp; " ações mensais", "")
)</f>
        <v/>
      </c>
      <c r="K856" s="8" t="str" cm="1">
        <f t="array" ref="K856">_xlfn.LET(
    _xlpm.sum_month, SUM(T856:AE856),
    IF(_xlpm.sum_month = 0, "", _xlpm.sum_month &amp; " colaboradores treinados.")
)</f>
        <v/>
      </c>
      <c r="L856" s="9" t="s">
        <v>220</v>
      </c>
      <c r="M856" s="13">
        <v>1</v>
      </c>
      <c r="N856" s="5" t="s">
        <v>51</v>
      </c>
      <c r="O856" s="5" t="s">
        <v>52</v>
      </c>
      <c r="P856" s="10" t="s">
        <v>44</v>
      </c>
      <c r="Q856" s="10"/>
      <c r="R856" s="11" t="s">
        <v>44</v>
      </c>
      <c r="S856" s="11" t="s">
        <v>44</v>
      </c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G856" s="71"/>
      <c r="AH856" s="71"/>
      <c r="AI856" s="82">
        <v>43</v>
      </c>
      <c r="AJ856" s="82">
        <v>43</v>
      </c>
      <c r="AK856" s="71"/>
      <c r="AL856" s="71"/>
      <c r="AM856" s="71"/>
      <c r="AN856" s="71"/>
      <c r="AO856" s="71"/>
      <c r="AP856" s="71"/>
      <c r="AQ856" s="71"/>
      <c r="AR856" s="71"/>
      <c r="AS856" s="94" t="str" cm="1">
        <f t="array" ref="AS856">IFERROR(INDEX(T856:AE856,1,MATCH(2,1/(T856:AE856&lt;&gt;""))),"")</f>
        <v/>
      </c>
      <c r="AT856" s="95" cm="1">
        <f t="array" ref="AT856">IFERROR(INDEX(AJ856:AR856,1,MATCH(2,1/(AJ856:AR856&lt;&gt;""))),"")</f>
        <v>43</v>
      </c>
      <c r="AU856" s="97">
        <f t="shared" si="1132"/>
        <v>43</v>
      </c>
      <c r="AW856" s="83">
        <f t="shared" si="1133"/>
        <v>0</v>
      </c>
      <c r="AX856" s="52">
        <f t="shared" si="1134"/>
        <v>0</v>
      </c>
      <c r="AY856" s="52">
        <f t="shared" si="1135"/>
        <v>43</v>
      </c>
      <c r="AZ856" s="52">
        <f t="shared" si="1136"/>
        <v>43</v>
      </c>
      <c r="BA856" s="52"/>
      <c r="BB856" s="52"/>
      <c r="BC856" s="52"/>
      <c r="BD856" s="52"/>
      <c r="BE856" s="52"/>
      <c r="BF856" s="52"/>
      <c r="BG856" s="52"/>
      <c r="BH856" s="52"/>
      <c r="BI856" s="68" cm="1">
        <f t="array" ref="BI856">IFERROR(INDEX(AW856:BH856,1,MATCH(2,1/(AW856:BH856&lt;&gt;""))),"")</f>
        <v>43</v>
      </c>
      <c r="BJ856" s="68" cm="1">
        <f t="array" ref="BJ856">IF(BM856 = "", "",IFERROR(INDEX(AW856:BH856,1,MATCH(2,1/(AW856:BH856&lt;&gt;""),1)-1),""))</f>
        <v>43</v>
      </c>
      <c r="BK856" s="59">
        <f t="shared" si="1137"/>
        <v>86</v>
      </c>
      <c r="BL856" s="59" cm="1">
        <f t="array" ref="BL856">IFERROR(SUM(AW856:INDEX(AW856:BH856, MATCH(2, 1/(AW856:BH856&lt;&gt;""), 1) - 1))/_xlfn.XLOOKUP(F856,Apuração!A:A,Apuração!B:B),0)</f>
        <v>4.3</v>
      </c>
      <c r="BM856" s="55" cm="1">
        <f t="array" ref="BM856">IFERROR(
   INDEX($AW$1:$BH$1,
      _xlfn.AGGREGATE(14, 6, COLUMN($AW$1:$BH$1)/(AW856:BH856&lt;&gt;""), 2) - COLUMN($AW$1) + 1
   ),
"")</f>
        <v>46082</v>
      </c>
      <c r="BN856" s="55" cm="1">
        <f t="array" ref="BN856">IFERROR(INDEX($AW$1:$BH$1,1,MATCH(2,1/(AW856:BH856&lt;&gt;""))),"")</f>
        <v>46113</v>
      </c>
      <c r="BO856" s="53">
        <f ca="1">IFERROR(_xlfn.XLOOKUP(F856,Apuração!A:A,Apuração!C:C)/_xlfn.XLOOKUP(F856,Apuração!A:A,Apuração!B:B),0)</f>
        <v>0.3</v>
      </c>
      <c r="BP856" s="53">
        <f ca="1">IFERROR(_xlfn.XLOOKUP(F856,Apuração!A:A,Apuração!D:D)/_xlfn.XLOOKUP(F856,Apuração!A:A,Apuração!B:B),0)</f>
        <v>0.2</v>
      </c>
      <c r="BQ856" s="53">
        <f ca="1">IF(BK856&gt;=BO856,0,_xlfn.XLOOKUP(F856,Apuração!A:A,Apuração!B:B)*(BO856 + (1/_xlfn.XLOOKUP(F856,Apuração!A:A,Apuração!B:B)) - BK856))</f>
        <v>0</v>
      </c>
      <c r="BR856" s="85">
        <f t="shared" ca="1" si="1138"/>
        <v>0</v>
      </c>
      <c r="BS856" s="53">
        <f ca="1">IFERROR((_xlfn.XLOOKUP(F856,Apuração!A:A,Apuração!C:C)+1)/_xlfn.XLOOKUP(F856,Apuração!A:A,Apuração!B:B),0)</f>
        <v>0.4</v>
      </c>
    </row>
    <row r="857" spans="1:71" ht="25.95" hidden="1" customHeight="1" x14ac:dyDescent="0.3">
      <c r="A857" s="44" t="s">
        <v>175</v>
      </c>
      <c r="B857" s="4" t="s">
        <v>176</v>
      </c>
      <c r="C857" s="5" t="s">
        <v>97</v>
      </c>
      <c r="D857" s="5" t="s">
        <v>106</v>
      </c>
      <c r="E857" s="4" t="str" cm="1">
        <f t="array" ref="E857">_xlfn.IFS(
F857 = "A partir de Abril", "Aguardando Execução na Distribuidora",
A857 = "CAPACITAÇÃO", "Em execução no Corporativo",
TRUE, "Em Execução na Distribuidora"
)</f>
        <v>Em execução no Corporativo</v>
      </c>
      <c r="F857" s="4" t="str" cm="1">
        <f t="array" ref="F857">_xlfn.IFS(
AG857 &lt;&gt; "", "Jan-Dez/26",
AH857 &lt;&gt; "", "Fev-Dez/26",
AI857 &lt;&gt; "", "Mar-Dez/26", AJ857 &lt;&gt; "", "Abr-Dez/26",
TRUE, "A partir de Junho"
)</f>
        <v>Mar-Dez/26</v>
      </c>
      <c r="G857" s="4" t="s">
        <v>37</v>
      </c>
      <c r="H857" s="7" t="s">
        <v>38</v>
      </c>
      <c r="I857" s="21" t="s">
        <v>180</v>
      </c>
      <c r="J857" s="8" t="str" cm="1">
        <f t="array" aca="1" ref="J857" ca="1">_xlfn.LET(
  _xlpm.actual_value_month, INDEX(T857:AE857, MATCH(DATE(YEAR(TODAY()), MONTH(TODAY()), 1), $T$1:$AE$1, 0)),
  IF(_xlpm.actual_value_month &lt;&gt; "", _xlpm.actual_value_month &amp; " ações mensais", "")
)</f>
        <v/>
      </c>
      <c r="K857" s="8" t="str" cm="1">
        <f t="array" ref="K857">_xlfn.LET(
    _xlpm.sum_month, SUM(T857:AE857),
    IF(_xlpm.sum_month = 0, "", _xlpm.sum_month &amp; " colaboradores treinados.")
)</f>
        <v/>
      </c>
      <c r="L857" s="9" t="s">
        <v>220</v>
      </c>
      <c r="M857" s="13">
        <v>1</v>
      </c>
      <c r="N857" s="5" t="s">
        <v>51</v>
      </c>
      <c r="O857" s="5" t="s">
        <v>52</v>
      </c>
      <c r="P857" s="10" t="s">
        <v>44</v>
      </c>
      <c r="Q857" s="10"/>
      <c r="R857" s="11" t="s">
        <v>44</v>
      </c>
      <c r="S857" s="11" t="s">
        <v>44</v>
      </c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G857" s="71"/>
      <c r="AH857" s="71"/>
      <c r="AI857" s="82">
        <v>184</v>
      </c>
      <c r="AJ857" s="82">
        <v>184</v>
      </c>
      <c r="AK857" s="71"/>
      <c r="AL857" s="71"/>
      <c r="AM857" s="71"/>
      <c r="AN857" s="71"/>
      <c r="AO857" s="71"/>
      <c r="AP857" s="71"/>
      <c r="AQ857" s="71"/>
      <c r="AR857" s="71"/>
      <c r="AS857" s="94" t="str" cm="1">
        <f t="array" ref="AS857">IFERROR(INDEX(T857:AE857,1,MATCH(2,1/(T857:AE857&lt;&gt;""))),"")</f>
        <v/>
      </c>
      <c r="AT857" s="95" cm="1">
        <f t="array" ref="AT857">IFERROR(INDEX(AJ857:AR857,1,MATCH(2,1/(AJ857:AR857&lt;&gt;""))),"")</f>
        <v>184</v>
      </c>
      <c r="AU857" s="97">
        <f t="shared" si="1132"/>
        <v>184</v>
      </c>
      <c r="AW857" s="83">
        <f t="shared" si="1133"/>
        <v>0</v>
      </c>
      <c r="AX857" s="52">
        <f t="shared" si="1134"/>
        <v>0</v>
      </c>
      <c r="AY857" s="52">
        <f t="shared" si="1135"/>
        <v>184</v>
      </c>
      <c r="AZ857" s="52">
        <f t="shared" si="1136"/>
        <v>184</v>
      </c>
      <c r="BA857" s="52"/>
      <c r="BB857" s="52"/>
      <c r="BC857" s="52"/>
      <c r="BD857" s="52"/>
      <c r="BE857" s="52"/>
      <c r="BF857" s="52"/>
      <c r="BG857" s="52"/>
      <c r="BH857" s="52"/>
      <c r="BI857" s="68" cm="1">
        <f t="array" ref="BI857">IFERROR(INDEX(AW857:BH857,1,MATCH(2,1/(AW857:BH857&lt;&gt;""))),"")</f>
        <v>184</v>
      </c>
      <c r="BJ857" s="68" cm="1">
        <f t="array" ref="BJ857">IF(BM857 = "", "",IFERROR(INDEX(AW857:BH857,1,MATCH(2,1/(AW857:BH857&lt;&gt;""),1)-1),""))</f>
        <v>184</v>
      </c>
      <c r="BK857" s="59">
        <f t="shared" si="1137"/>
        <v>368</v>
      </c>
      <c r="BL857" s="59" cm="1">
        <f t="array" ref="BL857">IFERROR(SUM(AW857:INDEX(AW857:BH857, MATCH(2, 1/(AW857:BH857&lt;&gt;""), 1) - 1))/_xlfn.XLOOKUP(F857,Apuração!A:A,Apuração!B:B),0)</f>
        <v>18.399999999999999</v>
      </c>
      <c r="BM857" s="55" cm="1">
        <f t="array" ref="BM857">IFERROR(
   INDEX($AW$1:$BH$1,
      _xlfn.AGGREGATE(14, 6, COLUMN($AW$1:$BH$1)/(AW857:BH857&lt;&gt;""), 2) - COLUMN($AW$1) + 1
   ),
"")</f>
        <v>46082</v>
      </c>
      <c r="BN857" s="55" cm="1">
        <f t="array" ref="BN857">IFERROR(INDEX($AW$1:$BH$1,1,MATCH(2,1/(AW857:BH857&lt;&gt;""))),"")</f>
        <v>46113</v>
      </c>
      <c r="BO857" s="53">
        <f ca="1">IFERROR(_xlfn.XLOOKUP(F857,Apuração!A:A,Apuração!C:C)/_xlfn.XLOOKUP(F857,Apuração!A:A,Apuração!B:B),0)</f>
        <v>0.3</v>
      </c>
      <c r="BP857" s="53">
        <f ca="1">IFERROR(_xlfn.XLOOKUP(F857,Apuração!A:A,Apuração!D:D)/_xlfn.XLOOKUP(F857,Apuração!A:A,Apuração!B:B),0)</f>
        <v>0.2</v>
      </c>
      <c r="BQ857" s="53">
        <f ca="1">IF(BK857&gt;=BO857,0,_xlfn.XLOOKUP(F857,Apuração!A:A,Apuração!B:B)*(BO857 + (1/_xlfn.XLOOKUP(F857,Apuração!A:A,Apuração!B:B)) - BK857))</f>
        <v>0</v>
      </c>
      <c r="BR857" s="85">
        <f t="shared" ca="1" si="1138"/>
        <v>0</v>
      </c>
      <c r="BS857" s="53">
        <f ca="1">IFERROR((_xlfn.XLOOKUP(F857,Apuração!A:A,Apuração!C:C)+1)/_xlfn.XLOOKUP(F857,Apuração!A:A,Apuração!B:B),0)</f>
        <v>0.4</v>
      </c>
    </row>
    <row r="858" spans="1:71" ht="25.95" hidden="1" customHeight="1" x14ac:dyDescent="0.3">
      <c r="A858" s="44" t="s">
        <v>175</v>
      </c>
      <c r="B858" s="4" t="s">
        <v>176</v>
      </c>
      <c r="C858" s="5" t="s">
        <v>97</v>
      </c>
      <c r="D858" s="5" t="s">
        <v>107</v>
      </c>
      <c r="E858" s="4" t="str" cm="1">
        <f t="array" ref="E858">_xlfn.IFS(
F858 = "A partir de Abril", "Aguardando Execução na Distribuidora",
A858 = "CAPACITAÇÃO", "Em execução no Corporativo",
TRUE, "Em Execução na Distribuidora"
)</f>
        <v>Em execução no Corporativo</v>
      </c>
      <c r="F858" s="4" t="str" cm="1">
        <f t="array" ref="F858">_xlfn.IFS(
AG858 &lt;&gt; "", "Jan-Dez/26",
AH858 &lt;&gt; "", "Fev-Dez/26",
AI858 &lt;&gt; "", "Mar-Dez/26", AJ858 &lt;&gt; "", "Abr-Dez/26",
TRUE, "A partir de Junho"
)</f>
        <v>Mar-Dez/26</v>
      </c>
      <c r="G858" s="4" t="s">
        <v>37</v>
      </c>
      <c r="H858" s="7" t="s">
        <v>38</v>
      </c>
      <c r="I858" s="21" t="s">
        <v>180</v>
      </c>
      <c r="J858" s="8" t="str" cm="1">
        <f t="array" aca="1" ref="J858" ca="1">_xlfn.LET(
  _xlpm.actual_value_month, INDEX(T858:AE858, MATCH(DATE(YEAR(TODAY()), MONTH(TODAY()), 1), $T$1:$AE$1, 0)),
  IF(_xlpm.actual_value_month &lt;&gt; "", _xlpm.actual_value_month &amp; " ações mensais", "")
)</f>
        <v/>
      </c>
      <c r="K858" s="8" t="str" cm="1">
        <f t="array" ref="K858">_xlfn.LET(
    _xlpm.sum_month, SUM(T858:AE858),
    IF(_xlpm.sum_month = 0, "", _xlpm.sum_month &amp; " colaboradores treinados.")
)</f>
        <v/>
      </c>
      <c r="L858" s="9" t="s">
        <v>220</v>
      </c>
      <c r="M858" s="13">
        <v>1</v>
      </c>
      <c r="N858" s="5" t="s">
        <v>51</v>
      </c>
      <c r="O858" s="5" t="s">
        <v>52</v>
      </c>
      <c r="P858" s="10" t="s">
        <v>44</v>
      </c>
      <c r="Q858" s="10"/>
      <c r="R858" s="11" t="s">
        <v>44</v>
      </c>
      <c r="S858" s="11" t="s">
        <v>44</v>
      </c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G858" s="71"/>
      <c r="AH858" s="71"/>
      <c r="AI858" s="82">
        <v>259</v>
      </c>
      <c r="AJ858" s="82">
        <v>259</v>
      </c>
      <c r="AK858" s="71"/>
      <c r="AL858" s="71"/>
      <c r="AM858" s="71"/>
      <c r="AN858" s="71"/>
      <c r="AO858" s="71"/>
      <c r="AP858" s="71"/>
      <c r="AQ858" s="71"/>
      <c r="AR858" s="71"/>
      <c r="AS858" s="94" t="str" cm="1">
        <f t="array" ref="AS858">IFERROR(INDEX(T858:AE858,1,MATCH(2,1/(T858:AE858&lt;&gt;""))),"")</f>
        <v/>
      </c>
      <c r="AT858" s="95" cm="1">
        <f t="array" ref="AT858">IFERROR(INDEX(AJ858:AR858,1,MATCH(2,1/(AJ858:AR858&lt;&gt;""))),"")</f>
        <v>259</v>
      </c>
      <c r="AU858" s="97">
        <f t="shared" si="1132"/>
        <v>259</v>
      </c>
      <c r="AW858" s="83">
        <f t="shared" si="1133"/>
        <v>0</v>
      </c>
      <c r="AX858" s="52">
        <f t="shared" si="1134"/>
        <v>0</v>
      </c>
      <c r="AY858" s="52">
        <f t="shared" si="1135"/>
        <v>259</v>
      </c>
      <c r="AZ858" s="52">
        <f t="shared" si="1136"/>
        <v>259</v>
      </c>
      <c r="BA858" s="52"/>
      <c r="BB858" s="52"/>
      <c r="BC858" s="52"/>
      <c r="BD858" s="52"/>
      <c r="BE858" s="52"/>
      <c r="BF858" s="52"/>
      <c r="BG858" s="52"/>
      <c r="BH858" s="52"/>
      <c r="BI858" s="68" cm="1">
        <f t="array" ref="BI858">IFERROR(INDEX(AW858:BH858,1,MATCH(2,1/(AW858:BH858&lt;&gt;""))),"")</f>
        <v>259</v>
      </c>
      <c r="BJ858" s="68" cm="1">
        <f t="array" ref="BJ858">IF(BM858 = "", "",IFERROR(INDEX(AW858:BH858,1,MATCH(2,1/(AW858:BH858&lt;&gt;""),1)-1),""))</f>
        <v>259</v>
      </c>
      <c r="BK858" s="59">
        <f t="shared" si="1137"/>
        <v>518</v>
      </c>
      <c r="BL858" s="59" cm="1">
        <f t="array" ref="BL858">IFERROR(SUM(AW858:INDEX(AW858:BH858, MATCH(2, 1/(AW858:BH858&lt;&gt;""), 1) - 1))/_xlfn.XLOOKUP(F858,Apuração!A:A,Apuração!B:B),0)</f>
        <v>25.9</v>
      </c>
      <c r="BM858" s="55" cm="1">
        <f t="array" ref="BM858">IFERROR(
   INDEX($AW$1:$BH$1,
      _xlfn.AGGREGATE(14, 6, COLUMN($AW$1:$BH$1)/(AW858:BH858&lt;&gt;""), 2) - COLUMN($AW$1) + 1
   ),
"")</f>
        <v>46082</v>
      </c>
      <c r="BN858" s="55" cm="1">
        <f t="array" ref="BN858">IFERROR(INDEX($AW$1:$BH$1,1,MATCH(2,1/(AW858:BH858&lt;&gt;""))),"")</f>
        <v>46113</v>
      </c>
      <c r="BO858" s="53">
        <f ca="1">IFERROR(_xlfn.XLOOKUP(F858,Apuração!A:A,Apuração!C:C)/_xlfn.XLOOKUP(F858,Apuração!A:A,Apuração!B:B),0)</f>
        <v>0.3</v>
      </c>
      <c r="BP858" s="53">
        <f ca="1">IFERROR(_xlfn.XLOOKUP(F858,Apuração!A:A,Apuração!D:D)/_xlfn.XLOOKUP(F858,Apuração!A:A,Apuração!B:B),0)</f>
        <v>0.2</v>
      </c>
      <c r="BQ858" s="53">
        <f ca="1">IF(BK858&gt;=BO858,0,_xlfn.XLOOKUP(F858,Apuração!A:A,Apuração!B:B)*(BO858 + (1/_xlfn.XLOOKUP(F858,Apuração!A:A,Apuração!B:B)) - BK858))</f>
        <v>0</v>
      </c>
      <c r="BR858" s="85">
        <f t="shared" ca="1" si="1138"/>
        <v>0</v>
      </c>
      <c r="BS858" s="53">
        <f ca="1">IFERROR((_xlfn.XLOOKUP(F858,Apuração!A:A,Apuração!C:C)+1)/_xlfn.XLOOKUP(F858,Apuração!A:A,Apuração!B:B),0)</f>
        <v>0.4</v>
      </c>
    </row>
    <row r="859" spans="1:71" ht="25.95" hidden="1" customHeight="1" x14ac:dyDescent="0.3">
      <c r="A859" s="44" t="s">
        <v>175</v>
      </c>
      <c r="B859" s="4" t="s">
        <v>176</v>
      </c>
      <c r="C859" s="5" t="s">
        <v>97</v>
      </c>
      <c r="D859" s="5" t="s">
        <v>36</v>
      </c>
      <c r="E859" s="4" t="str" cm="1">
        <f t="array" ref="E859">_xlfn.IFS(
F859 = "A partir de Abril", "Aguardando Execução na Distribuidora",
A859 = "CAPACITAÇÃO", "Em execução no Corporativo",
TRUE, "Em Execução na Distribuidora"
)</f>
        <v>Em execução no Corporativo</v>
      </c>
      <c r="F859" s="4" t="str" cm="1">
        <f t="array" ref="F859">_xlfn.IFS(
AG859 &lt;&gt; "", "Jan-Dez/26",
AH859 &lt;&gt; "", "Fev-Dez/26",
AI859 &lt;&gt; "", "Mar-Dez/26", AJ859 &lt;&gt; "", "Abr-Dez/26",
TRUE, "A partir de Junho"
)</f>
        <v>Mar-Dez/26</v>
      </c>
      <c r="G859" s="4" t="s">
        <v>37</v>
      </c>
      <c r="H859" s="7" t="s">
        <v>38</v>
      </c>
      <c r="I859" s="21" t="s">
        <v>182</v>
      </c>
      <c r="J859" s="8" t="str" cm="1">
        <f t="array" aca="1" ref="J859" ca="1">_xlfn.LET(
  _xlpm.actual_value_month, INDEX(T859:AE859, MATCH(DATE(YEAR(TODAY()), MONTH(TODAY()), 1), $T$1:$AE$1, 0)),
  IF(_xlpm.actual_value_month &lt;&gt; "", _xlpm.actual_value_month &amp; " ações mensais", "")
)</f>
        <v/>
      </c>
      <c r="K859" s="8" t="str" cm="1">
        <f t="array" ref="K859">_xlfn.LET(
    _xlpm.sum_month, SUM(T859:AE859),
    IF(_xlpm.sum_month = 0, "", _xlpm.sum_month &amp; " taxa de aprovados")
)</f>
        <v>4190 taxa de aprovados</v>
      </c>
      <c r="L859" s="4" t="s">
        <v>183</v>
      </c>
      <c r="M859" s="13">
        <v>1</v>
      </c>
      <c r="N859" s="5" t="s">
        <v>51</v>
      </c>
      <c r="O859" s="5" t="s">
        <v>43</v>
      </c>
      <c r="P859" s="10" t="s">
        <v>44</v>
      </c>
      <c r="Q859" s="10" t="s">
        <v>44</v>
      </c>
      <c r="R859" s="11" t="s">
        <v>44</v>
      </c>
      <c r="S859" s="11" t="s">
        <v>44</v>
      </c>
      <c r="T859" s="22"/>
      <c r="U859" s="22"/>
      <c r="V859" s="22">
        <v>2085</v>
      </c>
      <c r="W859" s="22">
        <v>2105</v>
      </c>
      <c r="X859" s="22"/>
      <c r="Y859" s="22"/>
      <c r="Z859" s="22"/>
      <c r="AA859" s="22"/>
      <c r="AB859" s="22"/>
      <c r="AC859" s="22"/>
      <c r="AD859" s="22"/>
      <c r="AE859" s="22"/>
      <c r="AG859" s="71"/>
      <c r="AH859" s="71"/>
      <c r="AI859" s="71">
        <v>2085</v>
      </c>
      <c r="AJ859" s="71">
        <v>2105</v>
      </c>
      <c r="AK859" s="71"/>
      <c r="AL859" s="71"/>
      <c r="AM859" s="71"/>
      <c r="AN859" s="71"/>
      <c r="AO859" s="71"/>
      <c r="AP859" s="71"/>
      <c r="AQ859" s="71"/>
      <c r="AR859" s="71"/>
      <c r="AS859" s="94" cm="1">
        <f t="array" ref="AS859">IFERROR(INDEX(T859:AE859,1,MATCH(2,1/(T859:AE859&lt;&gt;""))),"")</f>
        <v>2105</v>
      </c>
      <c r="AT859" s="95" cm="1">
        <f t="array" ref="AT859">IFERROR(INDEX(AJ859:AR859,1,MATCH(2,1/(AJ859:AR859&lt;&gt;""))),"")</f>
        <v>2105</v>
      </c>
      <c r="AU859" s="97">
        <f t="shared" si="1121"/>
        <v>2105</v>
      </c>
      <c r="AW859" s="52">
        <f>IFERROR(IF(T859="",0,T859/AG859),0)</f>
        <v>0</v>
      </c>
      <c r="AX859" s="52">
        <f>IFERROR(IF(U859="",0,U859/AH859),0)</f>
        <v>0</v>
      </c>
      <c r="AY859" s="118">
        <f>IFERROR(IF(V859="",0,V859/AI859),0)</f>
        <v>1</v>
      </c>
      <c r="AZ859" s="118">
        <f>IFERROR(IF(W859="",0,W859/AJ859),0)</f>
        <v>1</v>
      </c>
      <c r="BA859" s="52"/>
      <c r="BB859" s="52"/>
      <c r="BC859" s="52"/>
      <c r="BD859" s="52"/>
      <c r="BE859" s="52"/>
      <c r="BF859" s="52"/>
      <c r="BG859" s="52"/>
      <c r="BH859" s="52"/>
      <c r="BI859" s="65" cm="1">
        <f t="array" ref="BI859">IFERROR(INDEX(AW859:BH859,1,MATCH(2,1/(AW859:BH859&lt;&gt;""))),"")</f>
        <v>1</v>
      </c>
      <c r="BJ859" s="68" cm="1">
        <f t="array" ref="BJ859">IF(BM859 = "", "",IFERROR(INDEX(AW859:BH859,1,MATCH(2,1/(AW859:BH859&lt;&gt;""),1)-1),""))</f>
        <v>1</v>
      </c>
      <c r="BK859" s="58" cm="1">
        <f t="array" ref="BK859">IFERROR(INDEX(AW859:BH859,1,MATCH(2,1/(AW859:BH859&lt;&gt;""))),"")</f>
        <v>1</v>
      </c>
      <c r="BL859" s="58" cm="1">
        <f t="array" ref="BL859">IFERROR(INDEX(AW859:BH859,1,MATCH(2,1/(AW859:BH859&lt;&gt;""),1)-1),"")</f>
        <v>1</v>
      </c>
      <c r="BM859" s="55" cm="1">
        <f t="array" ref="BM859">IFERROR(
   INDEX($AW$1:$BH$1,
      _xlfn.AGGREGATE(14, 6, COLUMN($AW$1:$BH$1)/(AW859:BH859&lt;&gt;""), 2) - COLUMN($AW$1) + 1
   ),
"")</f>
        <v>46082</v>
      </c>
      <c r="BN859" s="55" cm="1">
        <f t="array" ref="BN859">IFERROR(INDEX($AW$1:$BH$1,1,MATCH(2,1/(AW859:BH859&lt;&gt;""))),"")</f>
        <v>46113</v>
      </c>
      <c r="BO859" s="53">
        <f ca="1">IFERROR(_xlfn.XLOOKUP(F859,Apuração!A:A,Apuração!C:C)/_xlfn.XLOOKUP(F859,Apuração!A:A,Apuração!B:B),0)</f>
        <v>0.3</v>
      </c>
      <c r="BP859" s="53">
        <f ca="1">IFERROR(_xlfn.XLOOKUP(F859,Apuração!A:A,Apuração!D:D)/_xlfn.XLOOKUP(F859,Apuração!A:A,Apuração!B:B),0)</f>
        <v>0.2</v>
      </c>
      <c r="BQ859" s="53">
        <f ca="1">IF(BK859&gt;=BO859,0,_xlfn.XLOOKUP(F859,Apuração!A:A,Apuração!B:B)*(BO859 + (1/_xlfn.XLOOKUP(F859,Apuração!A:A,Apuração!B:B)) - BK859))</f>
        <v>0</v>
      </c>
      <c r="BR859" s="85">
        <f t="shared" ca="1" si="898"/>
        <v>0</v>
      </c>
      <c r="BS859" s="53">
        <f ca="1">IFERROR((_xlfn.XLOOKUP(F859,Apuração!A:A,Apuração!C:C)+1)/_xlfn.XLOOKUP(F859,Apuração!A:A,Apuração!B:B),0)</f>
        <v>0.4</v>
      </c>
    </row>
    <row r="860" spans="1:71" ht="25.95" hidden="1" customHeight="1" x14ac:dyDescent="0.3">
      <c r="A860" s="44" t="s">
        <v>175</v>
      </c>
      <c r="B860" s="4" t="s">
        <v>176</v>
      </c>
      <c r="C860" s="5" t="s">
        <v>97</v>
      </c>
      <c r="D860" s="5" t="s">
        <v>98</v>
      </c>
      <c r="E860" s="4" t="str" cm="1">
        <f t="array" ref="E860">_xlfn.IFS(
F860 = "A partir de Abril", "Aguardando Execução na Distribuidora",
A860 = "CAPACITAÇÃO", "Em execução no Corporativo",
TRUE, "Em Execução na Distribuidora"
)</f>
        <v>Em execução no Corporativo</v>
      </c>
      <c r="F860" s="4" t="str" cm="1">
        <f t="array" ref="F860">_xlfn.IFS(
AG860 &lt;&gt; "", "Jan-Dez/26",
AH860 &lt;&gt; "", "Fev-Dez/26",
AI860 &lt;&gt; "", "Mar-Dez/26", AJ860 &lt;&gt; "", "Abr-Dez/26",
TRUE, "A partir de Junho"
)</f>
        <v>Mar-Dez/26</v>
      </c>
      <c r="G860" s="4" t="s">
        <v>37</v>
      </c>
      <c r="H860" s="7" t="s">
        <v>38</v>
      </c>
      <c r="I860" s="21" t="s">
        <v>182</v>
      </c>
      <c r="J860" s="8" t="str" cm="1">
        <f t="array" aca="1" ref="J860" ca="1">_xlfn.LET(
  _xlpm.actual_value_month, INDEX(T860:AE860, MATCH(DATE(YEAR(TODAY()), MONTH(TODAY()), 1), $T$1:$AE$1, 0)),
  IF(_xlpm.actual_value_month &lt;&gt; "", _xlpm.actual_value_month &amp; " ações mensais", "")
)</f>
        <v/>
      </c>
      <c r="K860" s="8" t="str" cm="1">
        <f t="array" ref="K860">_xlfn.LET(
    _xlpm.sum_month, SUM(T860:AE860),
    IF(_xlpm.sum_month = 0, "", _xlpm.sum_month &amp; " taxa de aprovados")
)</f>
        <v>330 taxa de aprovados</v>
      </c>
      <c r="L860" s="4" t="s">
        <v>183</v>
      </c>
      <c r="M860" s="13">
        <v>1</v>
      </c>
      <c r="N860" s="5" t="s">
        <v>51</v>
      </c>
      <c r="O860" s="5" t="s">
        <v>43</v>
      </c>
      <c r="P860" s="10" t="s">
        <v>44</v>
      </c>
      <c r="Q860" s="10" t="s">
        <v>44</v>
      </c>
      <c r="R860" s="11" t="s">
        <v>44</v>
      </c>
      <c r="S860" s="11" t="s">
        <v>44</v>
      </c>
      <c r="T860" s="22"/>
      <c r="U860" s="22"/>
      <c r="V860" s="22">
        <v>165</v>
      </c>
      <c r="W860" s="22">
        <v>165</v>
      </c>
      <c r="X860" s="22"/>
      <c r="Y860" s="22"/>
      <c r="Z860" s="22"/>
      <c r="AA860" s="22"/>
      <c r="AB860" s="22"/>
      <c r="AC860" s="22"/>
      <c r="AD860" s="22"/>
      <c r="AE860" s="22"/>
      <c r="AG860" s="71"/>
      <c r="AH860" s="71"/>
      <c r="AI860" s="82">
        <v>165</v>
      </c>
      <c r="AJ860" s="82">
        <v>165</v>
      </c>
      <c r="AK860" s="71"/>
      <c r="AL860" s="71"/>
      <c r="AM860" s="71"/>
      <c r="AN860" s="71"/>
      <c r="AO860" s="71"/>
      <c r="AP860" s="71"/>
      <c r="AQ860" s="71"/>
      <c r="AR860" s="71"/>
      <c r="AS860" s="94" cm="1">
        <f t="array" ref="AS860">IFERROR(INDEX(T860:AE860,1,MATCH(2,1/(T860:AE860&lt;&gt;""))),"")</f>
        <v>165</v>
      </c>
      <c r="AT860" s="95" cm="1">
        <f t="array" ref="AT860">IFERROR(INDEX(AJ860:AR860,1,MATCH(2,1/(AJ860:AR860&lt;&gt;""))),"")</f>
        <v>165</v>
      </c>
      <c r="AU860" s="97">
        <f t="shared" ref="AU860:AU869" si="1139">AT860</f>
        <v>165</v>
      </c>
      <c r="AW860" s="52">
        <f t="shared" ref="AW860:AW869" si="1140">IFERROR(IF(T860="",0,T860/AG860),0)</f>
        <v>0</v>
      </c>
      <c r="AX860" s="52">
        <f t="shared" ref="AX860:AX869" si="1141">IFERROR(IF(U860="",0,U860/AH860),0)</f>
        <v>0</v>
      </c>
      <c r="AY860" s="118">
        <f t="shared" ref="AY860:AY869" si="1142">IFERROR(IF(V860="",0,V860/AI860),0)</f>
        <v>1</v>
      </c>
      <c r="AZ860" s="118">
        <f t="shared" ref="AZ860:AZ869" si="1143">IFERROR(IF(W860="",0,W860/AJ860),0)</f>
        <v>1</v>
      </c>
      <c r="BA860" s="52"/>
      <c r="BB860" s="52"/>
      <c r="BC860" s="52"/>
      <c r="BD860" s="52"/>
      <c r="BE860" s="52"/>
      <c r="BF860" s="52"/>
      <c r="BG860" s="52"/>
      <c r="BH860" s="52"/>
      <c r="BI860" s="65" cm="1">
        <f t="array" ref="BI860">IFERROR(INDEX(AW860:BH860,1,MATCH(2,1/(AW860:BH860&lt;&gt;""))),"")</f>
        <v>1</v>
      </c>
      <c r="BJ860" s="68" cm="1">
        <f t="array" ref="BJ860">IF(BM860 = "", "",IFERROR(INDEX(AW860:BH860,1,MATCH(2,1/(AW860:BH860&lt;&gt;""),1)-1),""))</f>
        <v>1</v>
      </c>
      <c r="BK860" s="58" cm="1">
        <f t="array" ref="BK860">IFERROR(INDEX(AW860:BH860,1,MATCH(2,1/(AW860:BH860&lt;&gt;""))),"")</f>
        <v>1</v>
      </c>
      <c r="BL860" s="58" cm="1">
        <f t="array" ref="BL860">IFERROR(INDEX(AW860:BH860,1,MATCH(2,1/(AW860:BH860&lt;&gt;""),1)-1),"")</f>
        <v>1</v>
      </c>
      <c r="BM860" s="55" cm="1">
        <f t="array" ref="BM860">IFERROR(
   INDEX($AW$1:$BH$1,
      _xlfn.AGGREGATE(14, 6, COLUMN($AW$1:$BH$1)/(AW860:BH860&lt;&gt;""), 2) - COLUMN($AW$1) + 1
   ),
"")</f>
        <v>46082</v>
      </c>
      <c r="BN860" s="55" cm="1">
        <f t="array" ref="BN860">IFERROR(INDEX($AW$1:$BH$1,1,MATCH(2,1/(AW860:BH860&lt;&gt;""))),"")</f>
        <v>46113</v>
      </c>
      <c r="BO860" s="53">
        <f ca="1">IFERROR(_xlfn.XLOOKUP(F860,Apuração!A:A,Apuração!C:C)/_xlfn.XLOOKUP(F860,Apuração!A:A,Apuração!B:B),0)</f>
        <v>0.3</v>
      </c>
      <c r="BP860" s="53">
        <f ca="1">IFERROR(_xlfn.XLOOKUP(F860,Apuração!A:A,Apuração!D:D)/_xlfn.XLOOKUP(F860,Apuração!A:A,Apuração!B:B),0)</f>
        <v>0.2</v>
      </c>
      <c r="BQ860" s="53">
        <f ca="1">IF(BK860&gt;=BO860,0,_xlfn.XLOOKUP(F860,Apuração!A:A,Apuração!B:B)*(BO860 + (1/_xlfn.XLOOKUP(F860,Apuração!A:A,Apuração!B:B)) - BK860))</f>
        <v>0</v>
      </c>
      <c r="BR860" s="85">
        <f t="shared" ref="BR860:BR869" ca="1" si="1144">IF(BQ860=0,0,BQ860*Z860)</f>
        <v>0</v>
      </c>
      <c r="BS860" s="53">
        <f ca="1">IFERROR((_xlfn.XLOOKUP(F860,Apuração!A:A,Apuração!C:C)+1)/_xlfn.XLOOKUP(F860,Apuração!A:A,Apuração!B:B),0)</f>
        <v>0.4</v>
      </c>
    </row>
    <row r="861" spans="1:71" ht="25.95" hidden="1" customHeight="1" x14ac:dyDescent="0.3">
      <c r="A861" s="44" t="s">
        <v>175</v>
      </c>
      <c r="B861" s="4" t="s">
        <v>176</v>
      </c>
      <c r="C861" s="5" t="s">
        <v>97</v>
      </c>
      <c r="D861" s="5" t="s">
        <v>99</v>
      </c>
      <c r="E861" s="4" t="str" cm="1">
        <f t="array" ref="E861">_xlfn.IFS(
F861 = "A partir de Abril", "Aguardando Execução na Distribuidora",
A861 = "CAPACITAÇÃO", "Em execução no Corporativo",
TRUE, "Em Execução na Distribuidora"
)</f>
        <v>Em execução no Corporativo</v>
      </c>
      <c r="F861" s="4" t="str" cm="1">
        <f t="array" ref="F861">_xlfn.IFS(
AG861 &lt;&gt; "", "Jan-Dez/26",
AH861 &lt;&gt; "", "Fev-Dez/26",
AI861 &lt;&gt; "", "Mar-Dez/26", AJ861 &lt;&gt; "", "Abr-Dez/26",
TRUE, "A partir de Junho"
)</f>
        <v>Mar-Dez/26</v>
      </c>
      <c r="G861" s="4" t="s">
        <v>37</v>
      </c>
      <c r="H861" s="7" t="s">
        <v>38</v>
      </c>
      <c r="I861" s="21" t="s">
        <v>182</v>
      </c>
      <c r="J861" s="8" t="str" cm="1">
        <f t="array" aca="1" ref="J861" ca="1">_xlfn.LET(
  _xlpm.actual_value_month, INDEX(T861:AE861, MATCH(DATE(YEAR(TODAY()), MONTH(TODAY()), 1), $T$1:$AE$1, 0)),
  IF(_xlpm.actual_value_month &lt;&gt; "", _xlpm.actual_value_month &amp; " ações mensais", "")
)</f>
        <v/>
      </c>
      <c r="K861" s="8" t="str" cm="1">
        <f t="array" ref="K861">_xlfn.LET(
    _xlpm.sum_month, SUM(T861:AE861),
    IF(_xlpm.sum_month = 0, "", _xlpm.sum_month &amp; " taxa de aprovados")
)</f>
        <v>352 taxa de aprovados</v>
      </c>
      <c r="L861" s="4" t="s">
        <v>183</v>
      </c>
      <c r="M861" s="13">
        <v>1</v>
      </c>
      <c r="N861" s="5" t="s">
        <v>51</v>
      </c>
      <c r="O861" s="5" t="s">
        <v>43</v>
      </c>
      <c r="P861" s="10" t="s">
        <v>44</v>
      </c>
      <c r="Q861" s="10" t="s">
        <v>44</v>
      </c>
      <c r="R861" s="11" t="s">
        <v>44</v>
      </c>
      <c r="S861" s="11" t="s">
        <v>44</v>
      </c>
      <c r="T861" s="22"/>
      <c r="U861" s="22"/>
      <c r="V861" s="22">
        <v>176</v>
      </c>
      <c r="W861" s="22">
        <v>176</v>
      </c>
      <c r="X861" s="22"/>
      <c r="Y861" s="22"/>
      <c r="Z861" s="22"/>
      <c r="AA861" s="22"/>
      <c r="AB861" s="22"/>
      <c r="AC861" s="22"/>
      <c r="AD861" s="22"/>
      <c r="AE861" s="22"/>
      <c r="AG861" s="71"/>
      <c r="AH861" s="71"/>
      <c r="AI861" s="82">
        <v>176</v>
      </c>
      <c r="AJ861" s="82">
        <v>176</v>
      </c>
      <c r="AK861" s="71"/>
      <c r="AL861" s="71"/>
      <c r="AM861" s="71"/>
      <c r="AN861" s="71"/>
      <c r="AO861" s="71"/>
      <c r="AP861" s="71"/>
      <c r="AQ861" s="71"/>
      <c r="AR861" s="71"/>
      <c r="AS861" s="94" cm="1">
        <f t="array" ref="AS861">IFERROR(INDEX(T861:AE861,1,MATCH(2,1/(T861:AE861&lt;&gt;""))),"")</f>
        <v>176</v>
      </c>
      <c r="AT861" s="95" cm="1">
        <f t="array" ref="AT861">IFERROR(INDEX(AJ861:AR861,1,MATCH(2,1/(AJ861:AR861&lt;&gt;""))),"")</f>
        <v>176</v>
      </c>
      <c r="AU861" s="97">
        <f t="shared" si="1139"/>
        <v>176</v>
      </c>
      <c r="AW861" s="52">
        <f t="shared" si="1140"/>
        <v>0</v>
      </c>
      <c r="AX861" s="52">
        <f t="shared" si="1141"/>
        <v>0</v>
      </c>
      <c r="AY861" s="118">
        <f t="shared" si="1142"/>
        <v>1</v>
      </c>
      <c r="AZ861" s="118">
        <f t="shared" si="1143"/>
        <v>1</v>
      </c>
      <c r="BA861" s="52"/>
      <c r="BB861" s="52"/>
      <c r="BC861" s="52"/>
      <c r="BD861" s="52"/>
      <c r="BE861" s="52"/>
      <c r="BF861" s="52"/>
      <c r="BG861" s="52"/>
      <c r="BH861" s="52"/>
      <c r="BI861" s="65" cm="1">
        <f t="array" ref="BI861">IFERROR(INDEX(AW861:BH861,1,MATCH(2,1/(AW861:BH861&lt;&gt;""))),"")</f>
        <v>1</v>
      </c>
      <c r="BJ861" s="68" cm="1">
        <f t="array" ref="BJ861">IF(BM861 = "", "",IFERROR(INDEX(AW861:BH861,1,MATCH(2,1/(AW861:BH861&lt;&gt;""),1)-1),""))</f>
        <v>1</v>
      </c>
      <c r="BK861" s="58" cm="1">
        <f t="array" ref="BK861">IFERROR(INDEX(AW861:BH861,1,MATCH(2,1/(AW861:BH861&lt;&gt;""))),"")</f>
        <v>1</v>
      </c>
      <c r="BL861" s="58" cm="1">
        <f t="array" ref="BL861">IFERROR(INDEX(AW861:BH861,1,MATCH(2,1/(AW861:BH861&lt;&gt;""),1)-1),"")</f>
        <v>1</v>
      </c>
      <c r="BM861" s="55" cm="1">
        <f t="array" ref="BM861">IFERROR(
   INDEX($AW$1:$BH$1,
      _xlfn.AGGREGATE(14, 6, COLUMN($AW$1:$BH$1)/(AW861:BH861&lt;&gt;""), 2) - COLUMN($AW$1) + 1
   ),
"")</f>
        <v>46082</v>
      </c>
      <c r="BN861" s="55" cm="1">
        <f t="array" ref="BN861">IFERROR(INDEX($AW$1:$BH$1,1,MATCH(2,1/(AW861:BH861&lt;&gt;""))),"")</f>
        <v>46113</v>
      </c>
      <c r="BO861" s="53">
        <f ca="1">IFERROR(_xlfn.XLOOKUP(F861,Apuração!A:A,Apuração!C:C)/_xlfn.XLOOKUP(F861,Apuração!A:A,Apuração!B:B),0)</f>
        <v>0.3</v>
      </c>
      <c r="BP861" s="53">
        <f ca="1">IFERROR(_xlfn.XLOOKUP(F861,Apuração!A:A,Apuração!D:D)/_xlfn.XLOOKUP(F861,Apuração!A:A,Apuração!B:B),0)</f>
        <v>0.2</v>
      </c>
      <c r="BQ861" s="53">
        <f ca="1">IF(BK861&gt;=BO861,0,_xlfn.XLOOKUP(F861,Apuração!A:A,Apuração!B:B)*(BO861 + (1/_xlfn.XLOOKUP(F861,Apuração!A:A,Apuração!B:B)) - BK861))</f>
        <v>0</v>
      </c>
      <c r="BR861" s="85">
        <f t="shared" ca="1" si="1144"/>
        <v>0</v>
      </c>
      <c r="BS861" s="53">
        <f ca="1">IFERROR((_xlfn.XLOOKUP(F861,Apuração!A:A,Apuração!C:C)+1)/_xlfn.XLOOKUP(F861,Apuração!A:A,Apuração!B:B),0)</f>
        <v>0.4</v>
      </c>
    </row>
    <row r="862" spans="1:71" ht="25.95" hidden="1" customHeight="1" x14ac:dyDescent="0.3">
      <c r="A862" s="44" t="s">
        <v>175</v>
      </c>
      <c r="B862" s="4" t="s">
        <v>176</v>
      </c>
      <c r="C862" s="5" t="s">
        <v>97</v>
      </c>
      <c r="D862" s="5" t="s">
        <v>100</v>
      </c>
      <c r="E862" s="4" t="str" cm="1">
        <f t="array" ref="E862">_xlfn.IFS(
F862 = "A partir de Abril", "Aguardando Execução na Distribuidora",
A862 = "CAPACITAÇÃO", "Em execução no Corporativo",
TRUE, "Em Execução na Distribuidora"
)</f>
        <v>Em execução no Corporativo</v>
      </c>
      <c r="F862" s="4" t="str" cm="1">
        <f t="array" ref="F862">_xlfn.IFS(
AG862 &lt;&gt; "", "Jan-Dez/26",
AH862 &lt;&gt; "", "Fev-Dez/26",
AI862 &lt;&gt; "", "Mar-Dez/26", AJ862 &lt;&gt; "", "Abr-Dez/26",
TRUE, "A partir de Junho"
)</f>
        <v>Mar-Dez/26</v>
      </c>
      <c r="G862" s="4" t="s">
        <v>37</v>
      </c>
      <c r="H862" s="7" t="s">
        <v>38</v>
      </c>
      <c r="I862" s="21" t="s">
        <v>182</v>
      </c>
      <c r="J862" s="8" t="str" cm="1">
        <f t="array" aca="1" ref="J862" ca="1">_xlfn.LET(
  _xlpm.actual_value_month, INDEX(T862:AE862, MATCH(DATE(YEAR(TODAY()), MONTH(TODAY()), 1), $T$1:$AE$1, 0)),
  IF(_xlpm.actual_value_month &lt;&gt; "", _xlpm.actual_value_month &amp; " ações mensais", "")
)</f>
        <v/>
      </c>
      <c r="K862" s="8" t="str" cm="1">
        <f t="array" ref="K862">_xlfn.LET(
    _xlpm.sum_month, SUM(T862:AE862),
    IF(_xlpm.sum_month = 0, "", _xlpm.sum_month &amp; " taxa de aprovados")
)</f>
        <v>280 taxa de aprovados</v>
      </c>
      <c r="L862" s="4" t="s">
        <v>183</v>
      </c>
      <c r="M862" s="13">
        <v>1</v>
      </c>
      <c r="N862" s="5" t="s">
        <v>51</v>
      </c>
      <c r="O862" s="5" t="s">
        <v>43</v>
      </c>
      <c r="P862" s="10" t="s">
        <v>44</v>
      </c>
      <c r="Q862" s="10" t="s">
        <v>44</v>
      </c>
      <c r="R862" s="11" t="s">
        <v>44</v>
      </c>
      <c r="S862" s="11" t="s">
        <v>44</v>
      </c>
      <c r="T862" s="22"/>
      <c r="U862" s="22"/>
      <c r="V862" s="22">
        <v>140</v>
      </c>
      <c r="W862" s="22">
        <v>140</v>
      </c>
      <c r="X862" s="22"/>
      <c r="Y862" s="22"/>
      <c r="Z862" s="22"/>
      <c r="AA862" s="22"/>
      <c r="AB862" s="22"/>
      <c r="AC862" s="22"/>
      <c r="AD862" s="22"/>
      <c r="AE862" s="22"/>
      <c r="AG862" s="71"/>
      <c r="AH862" s="71"/>
      <c r="AI862" s="82">
        <v>140</v>
      </c>
      <c r="AJ862" s="82">
        <v>140</v>
      </c>
      <c r="AK862" s="71"/>
      <c r="AL862" s="71"/>
      <c r="AM862" s="71"/>
      <c r="AN862" s="71"/>
      <c r="AO862" s="71"/>
      <c r="AP862" s="71"/>
      <c r="AQ862" s="71"/>
      <c r="AR862" s="71"/>
      <c r="AS862" s="94" cm="1">
        <f t="array" ref="AS862">IFERROR(INDEX(T862:AE862,1,MATCH(2,1/(T862:AE862&lt;&gt;""))),"")</f>
        <v>140</v>
      </c>
      <c r="AT862" s="95" cm="1">
        <f t="array" ref="AT862">IFERROR(INDEX(AJ862:AR862,1,MATCH(2,1/(AJ862:AR862&lt;&gt;""))),"")</f>
        <v>140</v>
      </c>
      <c r="AU862" s="97">
        <f t="shared" si="1139"/>
        <v>140</v>
      </c>
      <c r="AW862" s="52">
        <f t="shared" si="1140"/>
        <v>0</v>
      </c>
      <c r="AX862" s="52">
        <f t="shared" si="1141"/>
        <v>0</v>
      </c>
      <c r="AY862" s="118">
        <f t="shared" si="1142"/>
        <v>1</v>
      </c>
      <c r="AZ862" s="118">
        <f t="shared" si="1143"/>
        <v>1</v>
      </c>
      <c r="BA862" s="52"/>
      <c r="BB862" s="52"/>
      <c r="BC862" s="52"/>
      <c r="BD862" s="52"/>
      <c r="BE862" s="52"/>
      <c r="BF862" s="52"/>
      <c r="BG862" s="52"/>
      <c r="BH862" s="52"/>
      <c r="BI862" s="65" cm="1">
        <f t="array" ref="BI862">IFERROR(INDEX(AW862:BH862,1,MATCH(2,1/(AW862:BH862&lt;&gt;""))),"")</f>
        <v>1</v>
      </c>
      <c r="BJ862" s="68" cm="1">
        <f t="array" ref="BJ862">IF(BM862 = "", "",IFERROR(INDEX(AW862:BH862,1,MATCH(2,1/(AW862:BH862&lt;&gt;""),1)-1),""))</f>
        <v>1</v>
      </c>
      <c r="BK862" s="58" cm="1">
        <f t="array" ref="BK862">IFERROR(INDEX(AW862:BH862,1,MATCH(2,1/(AW862:BH862&lt;&gt;""))),"")</f>
        <v>1</v>
      </c>
      <c r="BL862" s="58" cm="1">
        <f t="array" ref="BL862">IFERROR(INDEX(AW862:BH862,1,MATCH(2,1/(AW862:BH862&lt;&gt;""),1)-1),"")</f>
        <v>1</v>
      </c>
      <c r="BM862" s="55" cm="1">
        <f t="array" ref="BM862">IFERROR(
   INDEX($AW$1:$BH$1,
      _xlfn.AGGREGATE(14, 6, COLUMN($AW$1:$BH$1)/(AW862:BH862&lt;&gt;""), 2) - COLUMN($AW$1) + 1
   ),
"")</f>
        <v>46082</v>
      </c>
      <c r="BN862" s="55" cm="1">
        <f t="array" ref="BN862">IFERROR(INDEX($AW$1:$BH$1,1,MATCH(2,1/(AW862:BH862&lt;&gt;""))),"")</f>
        <v>46113</v>
      </c>
      <c r="BO862" s="53">
        <f ca="1">IFERROR(_xlfn.XLOOKUP(F862,Apuração!A:A,Apuração!C:C)/_xlfn.XLOOKUP(F862,Apuração!A:A,Apuração!B:B),0)</f>
        <v>0.3</v>
      </c>
      <c r="BP862" s="53">
        <f ca="1">IFERROR(_xlfn.XLOOKUP(F862,Apuração!A:A,Apuração!D:D)/_xlfn.XLOOKUP(F862,Apuração!A:A,Apuração!B:B),0)</f>
        <v>0.2</v>
      </c>
      <c r="BQ862" s="53">
        <f ca="1">IF(BK862&gt;=BO862,0,_xlfn.XLOOKUP(F862,Apuração!A:A,Apuração!B:B)*(BO862 + (1/_xlfn.XLOOKUP(F862,Apuração!A:A,Apuração!B:B)) - BK862))</f>
        <v>0</v>
      </c>
      <c r="BR862" s="85">
        <f t="shared" ca="1" si="1144"/>
        <v>0</v>
      </c>
      <c r="BS862" s="53">
        <f ca="1">IFERROR((_xlfn.XLOOKUP(F862,Apuração!A:A,Apuração!C:C)+1)/_xlfn.XLOOKUP(F862,Apuração!A:A,Apuração!B:B),0)</f>
        <v>0.4</v>
      </c>
    </row>
    <row r="863" spans="1:71" ht="25.95" hidden="1" customHeight="1" x14ac:dyDescent="0.3">
      <c r="A863" s="44" t="s">
        <v>175</v>
      </c>
      <c r="B863" s="4" t="s">
        <v>176</v>
      </c>
      <c r="C863" s="5" t="s">
        <v>97</v>
      </c>
      <c r="D863" s="5" t="s">
        <v>101</v>
      </c>
      <c r="E863" s="4" t="str" cm="1">
        <f t="array" ref="E863">_xlfn.IFS(
F863 = "A partir de Abril", "Aguardando Execução na Distribuidora",
A863 = "CAPACITAÇÃO", "Em execução no Corporativo",
TRUE, "Em Execução na Distribuidora"
)</f>
        <v>Em execução no Corporativo</v>
      </c>
      <c r="F863" s="4" t="str" cm="1">
        <f t="array" ref="F863">_xlfn.IFS(
AG863 &lt;&gt; "", "Jan-Dez/26",
AH863 &lt;&gt; "", "Fev-Dez/26",
AI863 &lt;&gt; "", "Mar-Dez/26", AJ863 &lt;&gt; "", "Abr-Dez/26",
TRUE, "A partir de Junho"
)</f>
        <v>Mar-Dez/26</v>
      </c>
      <c r="G863" s="4" t="s">
        <v>37</v>
      </c>
      <c r="H863" s="7" t="s">
        <v>38</v>
      </c>
      <c r="I863" s="21" t="s">
        <v>182</v>
      </c>
      <c r="J863" s="8" t="str" cm="1">
        <f t="array" aca="1" ref="J863" ca="1">_xlfn.LET(
  _xlpm.actual_value_month, INDEX(T863:AE863, MATCH(DATE(YEAR(TODAY()), MONTH(TODAY()), 1), $T$1:$AE$1, 0)),
  IF(_xlpm.actual_value_month &lt;&gt; "", _xlpm.actual_value_month &amp; " ações mensais", "")
)</f>
        <v/>
      </c>
      <c r="K863" s="8" t="str" cm="1">
        <f t="array" ref="K863">_xlfn.LET(
    _xlpm.sum_month, SUM(T863:AE863),
    IF(_xlpm.sum_month = 0, "", _xlpm.sum_month &amp; " taxa de aprovados")
)</f>
        <v>496 taxa de aprovados</v>
      </c>
      <c r="L863" s="4" t="s">
        <v>183</v>
      </c>
      <c r="M863" s="13">
        <v>1</v>
      </c>
      <c r="N863" s="5" t="s">
        <v>51</v>
      </c>
      <c r="O863" s="5" t="s">
        <v>43</v>
      </c>
      <c r="P863" s="10" t="s">
        <v>44</v>
      </c>
      <c r="Q863" s="10" t="s">
        <v>44</v>
      </c>
      <c r="R863" s="11" t="s">
        <v>44</v>
      </c>
      <c r="S863" s="11" t="s">
        <v>44</v>
      </c>
      <c r="T863" s="22"/>
      <c r="U863" s="22"/>
      <c r="V863" s="22">
        <v>248</v>
      </c>
      <c r="W863" s="22">
        <v>248</v>
      </c>
      <c r="X863" s="22"/>
      <c r="Y863" s="22"/>
      <c r="Z863" s="22"/>
      <c r="AA863" s="22"/>
      <c r="AB863" s="22"/>
      <c r="AC863" s="22"/>
      <c r="AD863" s="22"/>
      <c r="AE863" s="22"/>
      <c r="AG863" s="71"/>
      <c r="AH863" s="71"/>
      <c r="AI863" s="82">
        <v>248</v>
      </c>
      <c r="AJ863" s="82">
        <v>248</v>
      </c>
      <c r="AK863" s="71"/>
      <c r="AL863" s="71"/>
      <c r="AM863" s="71"/>
      <c r="AN863" s="71"/>
      <c r="AO863" s="71"/>
      <c r="AP863" s="71"/>
      <c r="AQ863" s="71"/>
      <c r="AR863" s="71"/>
      <c r="AS863" s="94" cm="1">
        <f t="array" ref="AS863">IFERROR(INDEX(T863:AE863,1,MATCH(2,1/(T863:AE863&lt;&gt;""))),"")</f>
        <v>248</v>
      </c>
      <c r="AT863" s="95" cm="1">
        <f t="array" ref="AT863">IFERROR(INDEX(AJ863:AR863,1,MATCH(2,1/(AJ863:AR863&lt;&gt;""))),"")</f>
        <v>248</v>
      </c>
      <c r="AU863" s="97">
        <f t="shared" si="1139"/>
        <v>248</v>
      </c>
      <c r="AW863" s="52">
        <f t="shared" si="1140"/>
        <v>0</v>
      </c>
      <c r="AX863" s="52">
        <f t="shared" si="1141"/>
        <v>0</v>
      </c>
      <c r="AY863" s="118">
        <f t="shared" si="1142"/>
        <v>1</v>
      </c>
      <c r="AZ863" s="118">
        <f t="shared" si="1143"/>
        <v>1</v>
      </c>
      <c r="BA863" s="52"/>
      <c r="BB863" s="52"/>
      <c r="BC863" s="52"/>
      <c r="BD863" s="52"/>
      <c r="BE863" s="52"/>
      <c r="BF863" s="52"/>
      <c r="BG863" s="52"/>
      <c r="BH863" s="52"/>
      <c r="BI863" s="65" cm="1">
        <f t="array" ref="BI863">IFERROR(INDEX(AW863:BH863,1,MATCH(2,1/(AW863:BH863&lt;&gt;""))),"")</f>
        <v>1</v>
      </c>
      <c r="BJ863" s="68" cm="1">
        <f t="array" ref="BJ863">IF(BM863 = "", "",IFERROR(INDEX(AW863:BH863,1,MATCH(2,1/(AW863:BH863&lt;&gt;""),1)-1),""))</f>
        <v>1</v>
      </c>
      <c r="BK863" s="58" cm="1">
        <f t="array" ref="BK863">IFERROR(INDEX(AW863:BH863,1,MATCH(2,1/(AW863:BH863&lt;&gt;""))),"")</f>
        <v>1</v>
      </c>
      <c r="BL863" s="58" cm="1">
        <f t="array" ref="BL863">IFERROR(INDEX(AW863:BH863,1,MATCH(2,1/(AW863:BH863&lt;&gt;""),1)-1),"")</f>
        <v>1</v>
      </c>
      <c r="BM863" s="55" cm="1">
        <f t="array" ref="BM863">IFERROR(
   INDEX($AW$1:$BH$1,
      _xlfn.AGGREGATE(14, 6, COLUMN($AW$1:$BH$1)/(AW863:BH863&lt;&gt;""), 2) - COLUMN($AW$1) + 1
   ),
"")</f>
        <v>46082</v>
      </c>
      <c r="BN863" s="55" cm="1">
        <f t="array" ref="BN863">IFERROR(INDEX($AW$1:$BH$1,1,MATCH(2,1/(AW863:BH863&lt;&gt;""))),"")</f>
        <v>46113</v>
      </c>
      <c r="BO863" s="53">
        <f ca="1">IFERROR(_xlfn.XLOOKUP(F863,Apuração!A:A,Apuração!C:C)/_xlfn.XLOOKUP(F863,Apuração!A:A,Apuração!B:B),0)</f>
        <v>0.3</v>
      </c>
      <c r="BP863" s="53">
        <f ca="1">IFERROR(_xlfn.XLOOKUP(F863,Apuração!A:A,Apuração!D:D)/_xlfn.XLOOKUP(F863,Apuração!A:A,Apuração!B:B),0)</f>
        <v>0.2</v>
      </c>
      <c r="BQ863" s="53">
        <f ca="1">IF(BK863&gt;=BO863,0,_xlfn.XLOOKUP(F863,Apuração!A:A,Apuração!B:B)*(BO863 + (1/_xlfn.XLOOKUP(F863,Apuração!A:A,Apuração!B:B)) - BK863))</f>
        <v>0</v>
      </c>
      <c r="BR863" s="85">
        <f t="shared" ca="1" si="1144"/>
        <v>0</v>
      </c>
      <c r="BS863" s="53">
        <f ca="1">IFERROR((_xlfn.XLOOKUP(F863,Apuração!A:A,Apuração!C:C)+1)/_xlfn.XLOOKUP(F863,Apuração!A:A,Apuração!B:B),0)</f>
        <v>0.4</v>
      </c>
    </row>
    <row r="864" spans="1:71" ht="25.95" hidden="1" customHeight="1" x14ac:dyDescent="0.3">
      <c r="A864" s="44" t="s">
        <v>175</v>
      </c>
      <c r="B864" s="4" t="s">
        <v>176</v>
      </c>
      <c r="C864" s="5" t="s">
        <v>97</v>
      </c>
      <c r="D864" s="5" t="s">
        <v>102</v>
      </c>
      <c r="E864" s="4" t="str" cm="1">
        <f t="array" ref="E864">_xlfn.IFS(
F864 = "A partir de Abril", "Aguardando Execução na Distribuidora",
A864 = "CAPACITAÇÃO", "Em execução no Corporativo",
TRUE, "Em Execução na Distribuidora"
)</f>
        <v>Em execução no Corporativo</v>
      </c>
      <c r="F864" s="4" t="str" cm="1">
        <f t="array" ref="F864">_xlfn.IFS(
AG864 &lt;&gt; "", "Jan-Dez/26",
AH864 &lt;&gt; "", "Fev-Dez/26",
AI864 &lt;&gt; "", "Mar-Dez/26", AJ864 &lt;&gt; "", "Abr-Dez/26",
TRUE, "A partir de Junho"
)</f>
        <v>Mar-Dez/26</v>
      </c>
      <c r="G864" s="4" t="s">
        <v>37</v>
      </c>
      <c r="H864" s="7" t="s">
        <v>38</v>
      </c>
      <c r="I864" s="21" t="s">
        <v>182</v>
      </c>
      <c r="J864" s="8" t="str" cm="1">
        <f t="array" aca="1" ref="J864" ca="1">_xlfn.LET(
  _xlpm.actual_value_month, INDEX(T864:AE864, MATCH(DATE(YEAR(TODAY()), MONTH(TODAY()), 1), $T$1:$AE$1, 0)),
  IF(_xlpm.actual_value_month &lt;&gt; "", _xlpm.actual_value_month &amp; " ações mensais", "")
)</f>
        <v/>
      </c>
      <c r="K864" s="8" t="str" cm="1">
        <f t="array" ref="K864">_xlfn.LET(
    _xlpm.sum_month, SUM(T864:AE864),
    IF(_xlpm.sum_month = 0, "", _xlpm.sum_month &amp; " taxa de aprovados")
)</f>
        <v>826 taxa de aprovados</v>
      </c>
      <c r="L864" s="4" t="s">
        <v>183</v>
      </c>
      <c r="M864" s="13">
        <v>1</v>
      </c>
      <c r="N864" s="5" t="s">
        <v>51</v>
      </c>
      <c r="O864" s="5" t="s">
        <v>43</v>
      </c>
      <c r="P864" s="10" t="s">
        <v>44</v>
      </c>
      <c r="Q864" s="10" t="s">
        <v>44</v>
      </c>
      <c r="R864" s="11" t="s">
        <v>44</v>
      </c>
      <c r="S864" s="11" t="s">
        <v>44</v>
      </c>
      <c r="T864" s="22"/>
      <c r="U864" s="22"/>
      <c r="V864" s="22">
        <v>413</v>
      </c>
      <c r="W864" s="22">
        <v>413</v>
      </c>
      <c r="X864" s="22"/>
      <c r="Y864" s="22"/>
      <c r="Z864" s="22"/>
      <c r="AA864" s="22"/>
      <c r="AB864" s="22"/>
      <c r="AC864" s="22"/>
      <c r="AD864" s="22"/>
      <c r="AE864" s="22"/>
      <c r="AG864" s="71"/>
      <c r="AH864" s="71"/>
      <c r="AI864" s="82">
        <v>413</v>
      </c>
      <c r="AJ864" s="82">
        <v>413</v>
      </c>
      <c r="AK864" s="71"/>
      <c r="AL864" s="71"/>
      <c r="AM864" s="71"/>
      <c r="AN864" s="71"/>
      <c r="AO864" s="71"/>
      <c r="AP864" s="71"/>
      <c r="AQ864" s="71"/>
      <c r="AR864" s="71"/>
      <c r="AS864" s="94" cm="1">
        <f t="array" ref="AS864">IFERROR(INDEX(T864:AE864,1,MATCH(2,1/(T864:AE864&lt;&gt;""))),"")</f>
        <v>413</v>
      </c>
      <c r="AT864" s="95" cm="1">
        <f t="array" ref="AT864">IFERROR(INDEX(AJ864:AR864,1,MATCH(2,1/(AJ864:AR864&lt;&gt;""))),"")</f>
        <v>413</v>
      </c>
      <c r="AU864" s="97">
        <f t="shared" si="1139"/>
        <v>413</v>
      </c>
      <c r="AW864" s="52">
        <f t="shared" si="1140"/>
        <v>0</v>
      </c>
      <c r="AX864" s="52">
        <f t="shared" si="1141"/>
        <v>0</v>
      </c>
      <c r="AY864" s="118">
        <f t="shared" si="1142"/>
        <v>1</v>
      </c>
      <c r="AZ864" s="118">
        <f t="shared" si="1143"/>
        <v>1</v>
      </c>
      <c r="BA864" s="52"/>
      <c r="BB864" s="52"/>
      <c r="BC864" s="52"/>
      <c r="BD864" s="52"/>
      <c r="BE864" s="52"/>
      <c r="BF864" s="52"/>
      <c r="BG864" s="52"/>
      <c r="BH864" s="52"/>
      <c r="BI864" s="65" cm="1">
        <f t="array" ref="BI864">IFERROR(INDEX(AW864:BH864,1,MATCH(2,1/(AW864:BH864&lt;&gt;""))),"")</f>
        <v>1</v>
      </c>
      <c r="BJ864" s="68" cm="1">
        <f t="array" ref="BJ864">IF(BM864 = "", "",IFERROR(INDEX(AW864:BH864,1,MATCH(2,1/(AW864:BH864&lt;&gt;""),1)-1),""))</f>
        <v>1</v>
      </c>
      <c r="BK864" s="58" cm="1">
        <f t="array" ref="BK864">IFERROR(INDEX(AW864:BH864,1,MATCH(2,1/(AW864:BH864&lt;&gt;""))),"")</f>
        <v>1</v>
      </c>
      <c r="BL864" s="58" cm="1">
        <f t="array" ref="BL864">IFERROR(INDEX(AW864:BH864,1,MATCH(2,1/(AW864:BH864&lt;&gt;""),1)-1),"")</f>
        <v>1</v>
      </c>
      <c r="BM864" s="55" cm="1">
        <f t="array" ref="BM864">IFERROR(
   INDEX($AW$1:$BH$1,
      _xlfn.AGGREGATE(14, 6, COLUMN($AW$1:$BH$1)/(AW864:BH864&lt;&gt;""), 2) - COLUMN($AW$1) + 1
   ),
"")</f>
        <v>46082</v>
      </c>
      <c r="BN864" s="55" cm="1">
        <f t="array" ref="BN864">IFERROR(INDEX($AW$1:$BH$1,1,MATCH(2,1/(AW864:BH864&lt;&gt;""))),"")</f>
        <v>46113</v>
      </c>
      <c r="BO864" s="53">
        <f ca="1">IFERROR(_xlfn.XLOOKUP(F864,Apuração!A:A,Apuração!C:C)/_xlfn.XLOOKUP(F864,Apuração!A:A,Apuração!B:B),0)</f>
        <v>0.3</v>
      </c>
      <c r="BP864" s="53">
        <f ca="1">IFERROR(_xlfn.XLOOKUP(F864,Apuração!A:A,Apuração!D:D)/_xlfn.XLOOKUP(F864,Apuração!A:A,Apuração!B:B),0)</f>
        <v>0.2</v>
      </c>
      <c r="BQ864" s="53">
        <f ca="1">IF(BK864&gt;=BO864,0,_xlfn.XLOOKUP(F864,Apuração!A:A,Apuração!B:B)*(BO864 + (1/_xlfn.XLOOKUP(F864,Apuração!A:A,Apuração!B:B)) - BK864))</f>
        <v>0</v>
      </c>
      <c r="BR864" s="85">
        <f t="shared" ca="1" si="1144"/>
        <v>0</v>
      </c>
      <c r="BS864" s="53">
        <f ca="1">IFERROR((_xlfn.XLOOKUP(F864,Apuração!A:A,Apuração!C:C)+1)/_xlfn.XLOOKUP(F864,Apuração!A:A,Apuração!B:B),0)</f>
        <v>0.4</v>
      </c>
    </row>
    <row r="865" spans="1:71" ht="25.95" hidden="1" customHeight="1" x14ac:dyDescent="0.3">
      <c r="A865" s="44" t="s">
        <v>175</v>
      </c>
      <c r="B865" s="4" t="s">
        <v>176</v>
      </c>
      <c r="C865" s="5" t="s">
        <v>97</v>
      </c>
      <c r="D865" s="5" t="s">
        <v>103</v>
      </c>
      <c r="E865" s="4" t="str" cm="1">
        <f t="array" ref="E865">_xlfn.IFS(
F865 = "A partir de Abril", "Aguardando Execução na Distribuidora",
A865 = "CAPACITAÇÃO", "Em execução no Corporativo",
TRUE, "Em Execução na Distribuidora"
)</f>
        <v>Em execução no Corporativo</v>
      </c>
      <c r="F865" s="4" t="str" cm="1">
        <f t="array" ref="F865">_xlfn.IFS(
AG865 &lt;&gt; "", "Jan-Dez/26",
AH865 &lt;&gt; "", "Fev-Dez/26",
AI865 &lt;&gt; "", "Mar-Dez/26", AJ865 &lt;&gt; "", "Abr-Dez/26",
TRUE, "A partir de Junho"
)</f>
        <v>Mar-Dez/26</v>
      </c>
      <c r="G865" s="4" t="s">
        <v>37</v>
      </c>
      <c r="H865" s="7" t="s">
        <v>38</v>
      </c>
      <c r="I865" s="21" t="s">
        <v>182</v>
      </c>
      <c r="J865" s="8" t="str" cm="1">
        <f t="array" aca="1" ref="J865" ca="1">_xlfn.LET(
  _xlpm.actual_value_month, INDEX(T865:AE865, MATCH(DATE(YEAR(TODAY()), MONTH(TODAY()), 1), $T$1:$AE$1, 0)),
  IF(_xlpm.actual_value_month &lt;&gt; "", _xlpm.actual_value_month &amp; " ações mensais", "")
)</f>
        <v/>
      </c>
      <c r="K865" s="8" t="str" cm="1">
        <f t="array" ref="K865">_xlfn.LET(
    _xlpm.sum_month, SUM(T865:AE865),
    IF(_xlpm.sum_month = 0, "", _xlpm.sum_month &amp; " taxa de aprovados")
)</f>
        <v>588 taxa de aprovados</v>
      </c>
      <c r="L865" s="4" t="s">
        <v>183</v>
      </c>
      <c r="M865" s="13">
        <v>1</v>
      </c>
      <c r="N865" s="5" t="s">
        <v>51</v>
      </c>
      <c r="O865" s="5" t="s">
        <v>43</v>
      </c>
      <c r="P865" s="10" t="s">
        <v>44</v>
      </c>
      <c r="Q865" s="10" t="s">
        <v>44</v>
      </c>
      <c r="R865" s="11" t="s">
        <v>44</v>
      </c>
      <c r="S865" s="11" t="s">
        <v>44</v>
      </c>
      <c r="T865" s="22"/>
      <c r="U865" s="22"/>
      <c r="V865" s="22">
        <v>294</v>
      </c>
      <c r="W865" s="22">
        <v>294</v>
      </c>
      <c r="X865" s="22"/>
      <c r="Y865" s="22"/>
      <c r="Z865" s="22"/>
      <c r="AA865" s="22"/>
      <c r="AB865" s="22"/>
      <c r="AC865" s="22"/>
      <c r="AD865" s="22"/>
      <c r="AE865" s="22"/>
      <c r="AG865" s="71"/>
      <c r="AH865" s="71"/>
      <c r="AI865" s="82">
        <v>294</v>
      </c>
      <c r="AJ865" s="82">
        <v>294</v>
      </c>
      <c r="AK865" s="71"/>
      <c r="AL865" s="71"/>
      <c r="AM865" s="71"/>
      <c r="AN865" s="71"/>
      <c r="AO865" s="71"/>
      <c r="AP865" s="71"/>
      <c r="AQ865" s="71"/>
      <c r="AR865" s="71"/>
      <c r="AS865" s="94" cm="1">
        <f t="array" ref="AS865">IFERROR(INDEX(T865:AE865,1,MATCH(2,1/(T865:AE865&lt;&gt;""))),"")</f>
        <v>294</v>
      </c>
      <c r="AT865" s="95" cm="1">
        <f t="array" ref="AT865">IFERROR(INDEX(AJ865:AR865,1,MATCH(2,1/(AJ865:AR865&lt;&gt;""))),"")</f>
        <v>294</v>
      </c>
      <c r="AU865" s="97">
        <f t="shared" si="1139"/>
        <v>294</v>
      </c>
      <c r="AW865" s="52">
        <f t="shared" si="1140"/>
        <v>0</v>
      </c>
      <c r="AX865" s="52">
        <f t="shared" si="1141"/>
        <v>0</v>
      </c>
      <c r="AY865" s="118">
        <f t="shared" si="1142"/>
        <v>1</v>
      </c>
      <c r="AZ865" s="118">
        <f t="shared" si="1143"/>
        <v>1</v>
      </c>
      <c r="BA865" s="52"/>
      <c r="BB865" s="52"/>
      <c r="BC865" s="52"/>
      <c r="BD865" s="52"/>
      <c r="BE865" s="52"/>
      <c r="BF865" s="52"/>
      <c r="BG865" s="52"/>
      <c r="BH865" s="52"/>
      <c r="BI865" s="65" cm="1">
        <f t="array" ref="BI865">IFERROR(INDEX(AW865:BH865,1,MATCH(2,1/(AW865:BH865&lt;&gt;""))),"")</f>
        <v>1</v>
      </c>
      <c r="BJ865" s="68" cm="1">
        <f t="array" ref="BJ865">IF(BM865 = "", "",IFERROR(INDEX(AW865:BH865,1,MATCH(2,1/(AW865:BH865&lt;&gt;""),1)-1),""))</f>
        <v>1</v>
      </c>
      <c r="BK865" s="58" cm="1">
        <f t="array" ref="BK865">IFERROR(INDEX(AW865:BH865,1,MATCH(2,1/(AW865:BH865&lt;&gt;""))),"")</f>
        <v>1</v>
      </c>
      <c r="BL865" s="58" cm="1">
        <f t="array" ref="BL865">IFERROR(INDEX(AW865:BH865,1,MATCH(2,1/(AW865:BH865&lt;&gt;""),1)-1),"")</f>
        <v>1</v>
      </c>
      <c r="BM865" s="55" cm="1">
        <f t="array" ref="BM865">IFERROR(
   INDEX($AW$1:$BH$1,
      _xlfn.AGGREGATE(14, 6, COLUMN($AW$1:$BH$1)/(AW865:BH865&lt;&gt;""), 2) - COLUMN($AW$1) + 1
   ),
"")</f>
        <v>46082</v>
      </c>
      <c r="BN865" s="55" cm="1">
        <f t="array" ref="BN865">IFERROR(INDEX($AW$1:$BH$1,1,MATCH(2,1/(AW865:BH865&lt;&gt;""))),"")</f>
        <v>46113</v>
      </c>
      <c r="BO865" s="53">
        <f ca="1">IFERROR(_xlfn.XLOOKUP(F865,Apuração!A:A,Apuração!C:C)/_xlfn.XLOOKUP(F865,Apuração!A:A,Apuração!B:B),0)</f>
        <v>0.3</v>
      </c>
      <c r="BP865" s="53">
        <f ca="1">IFERROR(_xlfn.XLOOKUP(F865,Apuração!A:A,Apuração!D:D)/_xlfn.XLOOKUP(F865,Apuração!A:A,Apuração!B:B),0)</f>
        <v>0.2</v>
      </c>
      <c r="BQ865" s="53">
        <f ca="1">IF(BK865&gt;=BO865,0,_xlfn.XLOOKUP(F865,Apuração!A:A,Apuração!B:B)*(BO865 + (1/_xlfn.XLOOKUP(F865,Apuração!A:A,Apuração!B:B)) - BK865))</f>
        <v>0</v>
      </c>
      <c r="BR865" s="85">
        <f t="shared" ca="1" si="1144"/>
        <v>0</v>
      </c>
      <c r="BS865" s="53">
        <f ca="1">IFERROR((_xlfn.XLOOKUP(F865,Apuração!A:A,Apuração!C:C)+1)/_xlfn.XLOOKUP(F865,Apuração!A:A,Apuração!B:B),0)</f>
        <v>0.4</v>
      </c>
    </row>
    <row r="866" spans="1:71" ht="25.95" hidden="1" customHeight="1" x14ac:dyDescent="0.3">
      <c r="A866" s="44" t="s">
        <v>175</v>
      </c>
      <c r="B866" s="4" t="s">
        <v>176</v>
      </c>
      <c r="C866" s="5" t="s">
        <v>97</v>
      </c>
      <c r="D866" s="5" t="s">
        <v>104</v>
      </c>
      <c r="E866" s="4" t="str" cm="1">
        <f t="array" ref="E866">_xlfn.IFS(
F866 = "A partir de Abril", "Aguardando Execução na Distribuidora",
A866 = "CAPACITAÇÃO", "Em execução no Corporativo",
TRUE, "Em Execução na Distribuidora"
)</f>
        <v>Em execução no Corporativo</v>
      </c>
      <c r="F866" s="4" t="str" cm="1">
        <f t="array" ref="F866">_xlfn.IFS(
AG866 &lt;&gt; "", "Jan-Dez/26",
AH866 &lt;&gt; "", "Fev-Dez/26",
AI866 &lt;&gt; "", "Mar-Dez/26", AJ866 &lt;&gt; "", "Abr-Dez/26",
TRUE, "A partir de Junho"
)</f>
        <v>Mar-Dez/26</v>
      </c>
      <c r="G866" s="4" t="s">
        <v>37</v>
      </c>
      <c r="H866" s="7" t="s">
        <v>38</v>
      </c>
      <c r="I866" s="21" t="s">
        <v>182</v>
      </c>
      <c r="J866" s="8" t="str" cm="1">
        <f t="array" aca="1" ref="J866" ca="1">_xlfn.LET(
  _xlpm.actual_value_month, INDEX(T866:AE866, MATCH(DATE(YEAR(TODAY()), MONTH(TODAY()), 1), $T$1:$AE$1, 0)),
  IF(_xlpm.actual_value_month &lt;&gt; "", _xlpm.actual_value_month &amp; " ações mensais", "")
)</f>
        <v/>
      </c>
      <c r="K866" s="8" t="str" cm="1">
        <f t="array" ref="K866">_xlfn.LET(
    _xlpm.sum_month, SUM(T866:AE866),
    IF(_xlpm.sum_month = 0, "", _xlpm.sum_month &amp; " taxa de aprovados")
)</f>
        <v>352 taxa de aprovados</v>
      </c>
      <c r="L866" s="4" t="s">
        <v>183</v>
      </c>
      <c r="M866" s="13">
        <v>1</v>
      </c>
      <c r="N866" s="5" t="s">
        <v>51</v>
      </c>
      <c r="O866" s="5" t="s">
        <v>43</v>
      </c>
      <c r="P866" s="10" t="s">
        <v>44</v>
      </c>
      <c r="Q866" s="10" t="s">
        <v>44</v>
      </c>
      <c r="R866" s="11" t="s">
        <v>44</v>
      </c>
      <c r="S866" s="11" t="s">
        <v>44</v>
      </c>
      <c r="T866" s="22"/>
      <c r="U866" s="22"/>
      <c r="V866" s="22">
        <v>176</v>
      </c>
      <c r="W866" s="22">
        <v>176</v>
      </c>
      <c r="X866" s="22"/>
      <c r="Y866" s="22"/>
      <c r="Z866" s="22"/>
      <c r="AA866" s="22"/>
      <c r="AB866" s="22"/>
      <c r="AC866" s="22"/>
      <c r="AD866" s="22"/>
      <c r="AE866" s="22"/>
      <c r="AG866" s="71"/>
      <c r="AH866" s="71"/>
      <c r="AI866" s="82">
        <v>176</v>
      </c>
      <c r="AJ866" s="82">
        <v>176</v>
      </c>
      <c r="AK866" s="71"/>
      <c r="AL866" s="71"/>
      <c r="AM866" s="71"/>
      <c r="AN866" s="71"/>
      <c r="AO866" s="71"/>
      <c r="AP866" s="71"/>
      <c r="AQ866" s="71"/>
      <c r="AR866" s="71"/>
      <c r="AS866" s="94" cm="1">
        <f t="array" ref="AS866">IFERROR(INDEX(T866:AE866,1,MATCH(2,1/(T866:AE866&lt;&gt;""))),"")</f>
        <v>176</v>
      </c>
      <c r="AT866" s="95" cm="1">
        <f t="array" ref="AT866">IFERROR(INDEX(AJ866:AR866,1,MATCH(2,1/(AJ866:AR866&lt;&gt;""))),"")</f>
        <v>176</v>
      </c>
      <c r="AU866" s="97">
        <f t="shared" si="1139"/>
        <v>176</v>
      </c>
      <c r="AW866" s="52">
        <f t="shared" si="1140"/>
        <v>0</v>
      </c>
      <c r="AX866" s="52">
        <f t="shared" si="1141"/>
        <v>0</v>
      </c>
      <c r="AY866" s="118">
        <f t="shared" si="1142"/>
        <v>1</v>
      </c>
      <c r="AZ866" s="118">
        <f t="shared" si="1143"/>
        <v>1</v>
      </c>
      <c r="BA866" s="52"/>
      <c r="BB866" s="52"/>
      <c r="BC866" s="52"/>
      <c r="BD866" s="52"/>
      <c r="BE866" s="52"/>
      <c r="BF866" s="52"/>
      <c r="BG866" s="52"/>
      <c r="BH866" s="52"/>
      <c r="BI866" s="65" cm="1">
        <f t="array" ref="BI866">IFERROR(INDEX(AW866:BH866,1,MATCH(2,1/(AW866:BH866&lt;&gt;""))),"")</f>
        <v>1</v>
      </c>
      <c r="BJ866" s="68" cm="1">
        <f t="array" ref="BJ866">IF(BM866 = "", "",IFERROR(INDEX(AW866:BH866,1,MATCH(2,1/(AW866:BH866&lt;&gt;""),1)-1),""))</f>
        <v>1</v>
      </c>
      <c r="BK866" s="58" cm="1">
        <f t="array" ref="BK866">IFERROR(INDEX(AW866:BH866,1,MATCH(2,1/(AW866:BH866&lt;&gt;""))),"")</f>
        <v>1</v>
      </c>
      <c r="BL866" s="58" cm="1">
        <f t="array" ref="BL866">IFERROR(INDEX(AW866:BH866,1,MATCH(2,1/(AW866:BH866&lt;&gt;""),1)-1),"")</f>
        <v>1</v>
      </c>
      <c r="BM866" s="55" cm="1">
        <f t="array" ref="BM866">IFERROR(
   INDEX($AW$1:$BH$1,
      _xlfn.AGGREGATE(14, 6, COLUMN($AW$1:$BH$1)/(AW866:BH866&lt;&gt;""), 2) - COLUMN($AW$1) + 1
   ),
"")</f>
        <v>46082</v>
      </c>
      <c r="BN866" s="55" cm="1">
        <f t="array" ref="BN866">IFERROR(INDEX($AW$1:$BH$1,1,MATCH(2,1/(AW866:BH866&lt;&gt;""))),"")</f>
        <v>46113</v>
      </c>
      <c r="BO866" s="53">
        <f ca="1">IFERROR(_xlfn.XLOOKUP(F866,Apuração!A:A,Apuração!C:C)/_xlfn.XLOOKUP(F866,Apuração!A:A,Apuração!B:B),0)</f>
        <v>0.3</v>
      </c>
      <c r="BP866" s="53">
        <f ca="1">IFERROR(_xlfn.XLOOKUP(F866,Apuração!A:A,Apuração!D:D)/_xlfn.XLOOKUP(F866,Apuração!A:A,Apuração!B:B),0)</f>
        <v>0.2</v>
      </c>
      <c r="BQ866" s="53">
        <f ca="1">IF(BK866&gt;=BO866,0,_xlfn.XLOOKUP(F866,Apuração!A:A,Apuração!B:B)*(BO866 + (1/_xlfn.XLOOKUP(F866,Apuração!A:A,Apuração!B:B)) - BK866))</f>
        <v>0</v>
      </c>
      <c r="BR866" s="85">
        <f t="shared" ca="1" si="1144"/>
        <v>0</v>
      </c>
      <c r="BS866" s="53">
        <f ca="1">IFERROR((_xlfn.XLOOKUP(F866,Apuração!A:A,Apuração!C:C)+1)/_xlfn.XLOOKUP(F866,Apuração!A:A,Apuração!B:B),0)</f>
        <v>0.4</v>
      </c>
    </row>
    <row r="867" spans="1:71" ht="25.95" hidden="1" customHeight="1" x14ac:dyDescent="0.3">
      <c r="A867" s="44" t="s">
        <v>175</v>
      </c>
      <c r="B867" s="4" t="s">
        <v>176</v>
      </c>
      <c r="C867" s="5" t="s">
        <v>97</v>
      </c>
      <c r="D867" s="5" t="s">
        <v>105</v>
      </c>
      <c r="E867" s="4" t="str" cm="1">
        <f t="array" ref="E867">_xlfn.IFS(
F867 = "A partir de Abril", "Aguardando Execução na Distribuidora",
A867 = "CAPACITAÇÃO", "Em execução no Corporativo",
TRUE, "Em Execução na Distribuidora"
)</f>
        <v>Em execução no Corporativo</v>
      </c>
      <c r="F867" s="4" t="str" cm="1">
        <f t="array" ref="F867">_xlfn.IFS(
AG867 &lt;&gt; "", "Jan-Dez/26",
AH867 &lt;&gt; "", "Fev-Dez/26",
AI867 &lt;&gt; "", "Mar-Dez/26", AJ867 &lt;&gt; "", "Abr-Dez/26",
TRUE, "A partir de Junho"
)</f>
        <v>Mar-Dez/26</v>
      </c>
      <c r="G867" s="4" t="s">
        <v>37</v>
      </c>
      <c r="H867" s="7" t="s">
        <v>38</v>
      </c>
      <c r="I867" s="21" t="s">
        <v>182</v>
      </c>
      <c r="J867" s="8" t="str" cm="1">
        <f t="array" aca="1" ref="J867" ca="1">_xlfn.LET(
  _xlpm.actual_value_month, INDEX(T867:AE867, MATCH(DATE(YEAR(TODAY()), MONTH(TODAY()), 1), $T$1:$AE$1, 0)),
  IF(_xlpm.actual_value_month &lt;&gt; "", _xlpm.actual_value_month &amp; " ações mensais", "")
)</f>
        <v/>
      </c>
      <c r="K867" s="8" t="str" cm="1">
        <f t="array" ref="K867">_xlfn.LET(
    _xlpm.sum_month, SUM(T867:AE867),
    IF(_xlpm.sum_month = 0, "", _xlpm.sum_month &amp; " taxa de aprovados")
)</f>
        <v>86 taxa de aprovados</v>
      </c>
      <c r="L867" s="4" t="s">
        <v>183</v>
      </c>
      <c r="M867" s="13">
        <v>1</v>
      </c>
      <c r="N867" s="5" t="s">
        <v>51</v>
      </c>
      <c r="O867" s="5" t="s">
        <v>43</v>
      </c>
      <c r="P867" s="10" t="s">
        <v>44</v>
      </c>
      <c r="Q867" s="10" t="s">
        <v>44</v>
      </c>
      <c r="R867" s="11" t="s">
        <v>44</v>
      </c>
      <c r="S867" s="11" t="s">
        <v>44</v>
      </c>
      <c r="T867" s="22"/>
      <c r="U867" s="22"/>
      <c r="V867" s="22">
        <v>43</v>
      </c>
      <c r="W867" s="22">
        <v>43</v>
      </c>
      <c r="X867" s="22"/>
      <c r="Y867" s="22"/>
      <c r="Z867" s="22"/>
      <c r="AA867" s="22"/>
      <c r="AB867" s="22"/>
      <c r="AC867" s="22"/>
      <c r="AD867" s="22"/>
      <c r="AE867" s="22"/>
      <c r="AG867" s="71"/>
      <c r="AH867" s="71"/>
      <c r="AI867" s="82">
        <v>43</v>
      </c>
      <c r="AJ867" s="82">
        <v>43</v>
      </c>
      <c r="AK867" s="71"/>
      <c r="AL867" s="71"/>
      <c r="AM867" s="71"/>
      <c r="AN867" s="71"/>
      <c r="AO867" s="71"/>
      <c r="AP867" s="71"/>
      <c r="AQ867" s="71"/>
      <c r="AR867" s="71"/>
      <c r="AS867" s="94" cm="1">
        <f t="array" ref="AS867">IFERROR(INDEX(T867:AE867,1,MATCH(2,1/(T867:AE867&lt;&gt;""))),"")</f>
        <v>43</v>
      </c>
      <c r="AT867" s="95" cm="1">
        <f t="array" ref="AT867">IFERROR(INDEX(AJ867:AR867,1,MATCH(2,1/(AJ867:AR867&lt;&gt;""))),"")</f>
        <v>43</v>
      </c>
      <c r="AU867" s="97">
        <f t="shared" si="1139"/>
        <v>43</v>
      </c>
      <c r="AW867" s="52">
        <f t="shared" si="1140"/>
        <v>0</v>
      </c>
      <c r="AX867" s="52">
        <f t="shared" si="1141"/>
        <v>0</v>
      </c>
      <c r="AY867" s="118">
        <f t="shared" si="1142"/>
        <v>1</v>
      </c>
      <c r="AZ867" s="118">
        <f t="shared" si="1143"/>
        <v>1</v>
      </c>
      <c r="BA867" s="52"/>
      <c r="BB867" s="52"/>
      <c r="BC867" s="52"/>
      <c r="BD867" s="52"/>
      <c r="BE867" s="52"/>
      <c r="BF867" s="52"/>
      <c r="BG867" s="52"/>
      <c r="BH867" s="52"/>
      <c r="BI867" s="65" cm="1">
        <f t="array" ref="BI867">IFERROR(INDEX(AW867:BH867,1,MATCH(2,1/(AW867:BH867&lt;&gt;""))),"")</f>
        <v>1</v>
      </c>
      <c r="BJ867" s="68" cm="1">
        <f t="array" ref="BJ867">IF(BM867 = "", "",IFERROR(INDEX(AW867:BH867,1,MATCH(2,1/(AW867:BH867&lt;&gt;""),1)-1),""))</f>
        <v>1</v>
      </c>
      <c r="BK867" s="58" cm="1">
        <f t="array" ref="BK867">IFERROR(INDEX(AW867:BH867,1,MATCH(2,1/(AW867:BH867&lt;&gt;""))),"")</f>
        <v>1</v>
      </c>
      <c r="BL867" s="58" cm="1">
        <f t="array" ref="BL867">IFERROR(INDEX(AW867:BH867,1,MATCH(2,1/(AW867:BH867&lt;&gt;""),1)-1),"")</f>
        <v>1</v>
      </c>
      <c r="BM867" s="55" cm="1">
        <f t="array" ref="BM867">IFERROR(
   INDEX($AW$1:$BH$1,
      _xlfn.AGGREGATE(14, 6, COLUMN($AW$1:$BH$1)/(AW867:BH867&lt;&gt;""), 2) - COLUMN($AW$1) + 1
   ),
"")</f>
        <v>46082</v>
      </c>
      <c r="BN867" s="55" cm="1">
        <f t="array" ref="BN867">IFERROR(INDEX($AW$1:$BH$1,1,MATCH(2,1/(AW867:BH867&lt;&gt;""))),"")</f>
        <v>46113</v>
      </c>
      <c r="BO867" s="53">
        <f ca="1">IFERROR(_xlfn.XLOOKUP(F867,Apuração!A:A,Apuração!C:C)/_xlfn.XLOOKUP(F867,Apuração!A:A,Apuração!B:B),0)</f>
        <v>0.3</v>
      </c>
      <c r="BP867" s="53">
        <f ca="1">IFERROR(_xlfn.XLOOKUP(F867,Apuração!A:A,Apuração!D:D)/_xlfn.XLOOKUP(F867,Apuração!A:A,Apuração!B:B),0)</f>
        <v>0.2</v>
      </c>
      <c r="BQ867" s="53">
        <f ca="1">IF(BK867&gt;=BO867,0,_xlfn.XLOOKUP(F867,Apuração!A:A,Apuração!B:B)*(BO867 + (1/_xlfn.XLOOKUP(F867,Apuração!A:A,Apuração!B:B)) - BK867))</f>
        <v>0</v>
      </c>
      <c r="BR867" s="85">
        <f t="shared" ca="1" si="1144"/>
        <v>0</v>
      </c>
      <c r="BS867" s="53">
        <f ca="1">IFERROR((_xlfn.XLOOKUP(F867,Apuração!A:A,Apuração!C:C)+1)/_xlfn.XLOOKUP(F867,Apuração!A:A,Apuração!B:B),0)</f>
        <v>0.4</v>
      </c>
    </row>
    <row r="868" spans="1:71" ht="25.95" hidden="1" customHeight="1" x14ac:dyDescent="0.3">
      <c r="A868" s="44" t="s">
        <v>175</v>
      </c>
      <c r="B868" s="4" t="s">
        <v>176</v>
      </c>
      <c r="C868" s="5" t="s">
        <v>97</v>
      </c>
      <c r="D868" s="5" t="s">
        <v>106</v>
      </c>
      <c r="E868" s="4" t="str" cm="1">
        <f t="array" ref="E868">_xlfn.IFS(
F868 = "A partir de Abril", "Aguardando Execução na Distribuidora",
A868 = "CAPACITAÇÃO", "Em execução no Corporativo",
TRUE, "Em Execução na Distribuidora"
)</f>
        <v>Em execução no Corporativo</v>
      </c>
      <c r="F868" s="4" t="str" cm="1">
        <f t="array" ref="F868">_xlfn.IFS(
AG868 &lt;&gt; "", "Jan-Dez/26",
AH868 &lt;&gt; "", "Fev-Dez/26",
AI868 &lt;&gt; "", "Mar-Dez/26", AJ868 &lt;&gt; "", "Abr-Dez/26",
TRUE, "A partir de Junho"
)</f>
        <v>Mar-Dez/26</v>
      </c>
      <c r="G868" s="4" t="s">
        <v>37</v>
      </c>
      <c r="H868" s="7" t="s">
        <v>38</v>
      </c>
      <c r="I868" s="21" t="s">
        <v>182</v>
      </c>
      <c r="J868" s="8" t="str" cm="1">
        <f t="array" aca="1" ref="J868" ca="1">_xlfn.LET(
  _xlpm.actual_value_month, INDEX(T868:AE868, MATCH(DATE(YEAR(TODAY()), MONTH(TODAY()), 1), $T$1:$AE$1, 0)),
  IF(_xlpm.actual_value_month &lt;&gt; "", _xlpm.actual_value_month &amp; " ações mensais", "")
)</f>
        <v/>
      </c>
      <c r="K868" s="8" t="str" cm="1">
        <f t="array" ref="K868">_xlfn.LET(
    _xlpm.sum_month, SUM(T868:AE868),
    IF(_xlpm.sum_month = 0, "", _xlpm.sum_month &amp; " taxa de aprovados")
)</f>
        <v>368 taxa de aprovados</v>
      </c>
      <c r="L868" s="4" t="s">
        <v>183</v>
      </c>
      <c r="M868" s="13">
        <v>1</v>
      </c>
      <c r="N868" s="5" t="s">
        <v>51</v>
      </c>
      <c r="O868" s="5" t="s">
        <v>43</v>
      </c>
      <c r="P868" s="10" t="s">
        <v>44</v>
      </c>
      <c r="Q868" s="10" t="s">
        <v>44</v>
      </c>
      <c r="R868" s="11" t="s">
        <v>44</v>
      </c>
      <c r="S868" s="11" t="s">
        <v>44</v>
      </c>
      <c r="T868" s="22"/>
      <c r="U868" s="22"/>
      <c r="V868" s="22">
        <v>184</v>
      </c>
      <c r="W868" s="22">
        <v>184</v>
      </c>
      <c r="X868" s="22"/>
      <c r="Y868" s="22"/>
      <c r="Z868" s="22"/>
      <c r="AA868" s="22"/>
      <c r="AB868" s="22"/>
      <c r="AC868" s="22"/>
      <c r="AD868" s="22"/>
      <c r="AE868" s="22"/>
      <c r="AG868" s="71"/>
      <c r="AH868" s="71"/>
      <c r="AI868" s="82">
        <v>184</v>
      </c>
      <c r="AJ868" s="82">
        <v>184</v>
      </c>
      <c r="AK868" s="71"/>
      <c r="AL868" s="71"/>
      <c r="AM868" s="71"/>
      <c r="AN868" s="71"/>
      <c r="AO868" s="71"/>
      <c r="AP868" s="71"/>
      <c r="AQ868" s="71"/>
      <c r="AR868" s="71"/>
      <c r="AS868" s="94" cm="1">
        <f t="array" ref="AS868">IFERROR(INDEX(T868:AE868,1,MATCH(2,1/(T868:AE868&lt;&gt;""))),"")</f>
        <v>184</v>
      </c>
      <c r="AT868" s="95" cm="1">
        <f t="array" ref="AT868">IFERROR(INDEX(AJ868:AR868,1,MATCH(2,1/(AJ868:AR868&lt;&gt;""))),"")</f>
        <v>184</v>
      </c>
      <c r="AU868" s="97">
        <f t="shared" si="1139"/>
        <v>184</v>
      </c>
      <c r="AW868" s="52">
        <f t="shared" si="1140"/>
        <v>0</v>
      </c>
      <c r="AX868" s="52">
        <f t="shared" si="1141"/>
        <v>0</v>
      </c>
      <c r="AY868" s="118">
        <f t="shared" si="1142"/>
        <v>1</v>
      </c>
      <c r="AZ868" s="118">
        <f t="shared" si="1143"/>
        <v>1</v>
      </c>
      <c r="BA868" s="52"/>
      <c r="BB868" s="52"/>
      <c r="BC868" s="52"/>
      <c r="BD868" s="52"/>
      <c r="BE868" s="52"/>
      <c r="BF868" s="52"/>
      <c r="BG868" s="52"/>
      <c r="BH868" s="52"/>
      <c r="BI868" s="65" cm="1">
        <f t="array" ref="BI868">IFERROR(INDEX(AW868:BH868,1,MATCH(2,1/(AW868:BH868&lt;&gt;""))),"")</f>
        <v>1</v>
      </c>
      <c r="BJ868" s="68" cm="1">
        <f t="array" ref="BJ868">IF(BM868 = "", "",IFERROR(INDEX(AW868:BH868,1,MATCH(2,1/(AW868:BH868&lt;&gt;""),1)-1),""))</f>
        <v>1</v>
      </c>
      <c r="BK868" s="58" cm="1">
        <f t="array" ref="BK868">IFERROR(INDEX(AW868:BH868,1,MATCH(2,1/(AW868:BH868&lt;&gt;""))),"")</f>
        <v>1</v>
      </c>
      <c r="BL868" s="58" cm="1">
        <f t="array" ref="BL868">IFERROR(INDEX(AW868:BH868,1,MATCH(2,1/(AW868:BH868&lt;&gt;""),1)-1),"")</f>
        <v>1</v>
      </c>
      <c r="BM868" s="55" cm="1">
        <f t="array" ref="BM868">IFERROR(
   INDEX($AW$1:$BH$1,
      _xlfn.AGGREGATE(14, 6, COLUMN($AW$1:$BH$1)/(AW868:BH868&lt;&gt;""), 2) - COLUMN($AW$1) + 1
   ),
"")</f>
        <v>46082</v>
      </c>
      <c r="BN868" s="55" cm="1">
        <f t="array" ref="BN868">IFERROR(INDEX($AW$1:$BH$1,1,MATCH(2,1/(AW868:BH868&lt;&gt;""))),"")</f>
        <v>46113</v>
      </c>
      <c r="BO868" s="53">
        <f ca="1">IFERROR(_xlfn.XLOOKUP(F868,Apuração!A:A,Apuração!C:C)/_xlfn.XLOOKUP(F868,Apuração!A:A,Apuração!B:B),0)</f>
        <v>0.3</v>
      </c>
      <c r="BP868" s="53">
        <f ca="1">IFERROR(_xlfn.XLOOKUP(F868,Apuração!A:A,Apuração!D:D)/_xlfn.XLOOKUP(F868,Apuração!A:A,Apuração!B:B),0)</f>
        <v>0.2</v>
      </c>
      <c r="BQ868" s="53">
        <f ca="1">IF(BK868&gt;=BO868,0,_xlfn.XLOOKUP(F868,Apuração!A:A,Apuração!B:B)*(BO868 + (1/_xlfn.XLOOKUP(F868,Apuração!A:A,Apuração!B:B)) - BK868))</f>
        <v>0</v>
      </c>
      <c r="BR868" s="85">
        <f t="shared" ca="1" si="1144"/>
        <v>0</v>
      </c>
      <c r="BS868" s="53">
        <f ca="1">IFERROR((_xlfn.XLOOKUP(F868,Apuração!A:A,Apuração!C:C)+1)/_xlfn.XLOOKUP(F868,Apuração!A:A,Apuração!B:B),0)</f>
        <v>0.4</v>
      </c>
    </row>
    <row r="869" spans="1:71" ht="25.95" hidden="1" customHeight="1" x14ac:dyDescent="0.3">
      <c r="A869" s="44" t="s">
        <v>175</v>
      </c>
      <c r="B869" s="4" t="s">
        <v>176</v>
      </c>
      <c r="C869" s="5" t="s">
        <v>97</v>
      </c>
      <c r="D869" s="5" t="s">
        <v>107</v>
      </c>
      <c r="E869" s="4" t="str" cm="1">
        <f t="array" ref="E869">_xlfn.IFS(
F869 = "A partir de Abril", "Aguardando Execução na Distribuidora",
A869 = "CAPACITAÇÃO", "Em execução no Corporativo",
TRUE, "Em Execução na Distribuidora"
)</f>
        <v>Em execução no Corporativo</v>
      </c>
      <c r="F869" s="4" t="str" cm="1">
        <f t="array" ref="F869">_xlfn.IFS(
AG869 &lt;&gt; "", "Jan-Dez/26",
AH869 &lt;&gt; "", "Fev-Dez/26",
AI869 &lt;&gt; "", "Mar-Dez/26", AJ869 &lt;&gt; "", "Abr-Dez/26",
TRUE, "A partir de Junho"
)</f>
        <v>Mar-Dez/26</v>
      </c>
      <c r="G869" s="4" t="s">
        <v>37</v>
      </c>
      <c r="H869" s="7" t="s">
        <v>38</v>
      </c>
      <c r="I869" s="21" t="s">
        <v>182</v>
      </c>
      <c r="J869" s="8" t="str" cm="1">
        <f t="array" aca="1" ref="J869" ca="1">_xlfn.LET(
  _xlpm.actual_value_month, INDEX(T869:AE869, MATCH(DATE(YEAR(TODAY()), MONTH(TODAY()), 1), $T$1:$AE$1, 0)),
  IF(_xlpm.actual_value_month &lt;&gt; "", _xlpm.actual_value_month &amp; " ações mensais", "")
)</f>
        <v/>
      </c>
      <c r="K869" s="8" t="str" cm="1">
        <f t="array" ref="K869">_xlfn.LET(
    _xlpm.sum_month, SUM(T869:AE869),
    IF(_xlpm.sum_month = 0, "", _xlpm.sum_month &amp; " taxa de aprovados")
)</f>
        <v>518 taxa de aprovados</v>
      </c>
      <c r="L869" s="4" t="s">
        <v>183</v>
      </c>
      <c r="M869" s="13">
        <v>1</v>
      </c>
      <c r="N869" s="5" t="s">
        <v>51</v>
      </c>
      <c r="O869" s="5" t="s">
        <v>43</v>
      </c>
      <c r="P869" s="10" t="s">
        <v>44</v>
      </c>
      <c r="Q869" s="10" t="s">
        <v>44</v>
      </c>
      <c r="R869" s="11" t="s">
        <v>44</v>
      </c>
      <c r="S869" s="11" t="s">
        <v>44</v>
      </c>
      <c r="T869" s="22"/>
      <c r="U869" s="22"/>
      <c r="V869" s="22">
        <v>259</v>
      </c>
      <c r="W869" s="22">
        <v>259</v>
      </c>
      <c r="X869" s="22"/>
      <c r="Y869" s="22"/>
      <c r="Z869" s="22"/>
      <c r="AA869" s="22"/>
      <c r="AB869" s="22"/>
      <c r="AC869" s="22"/>
      <c r="AD869" s="22"/>
      <c r="AE869" s="22"/>
      <c r="AG869" s="71"/>
      <c r="AH869" s="71"/>
      <c r="AI869" s="82">
        <v>259</v>
      </c>
      <c r="AJ869" s="82">
        <v>259</v>
      </c>
      <c r="AK869" s="71"/>
      <c r="AL869" s="71"/>
      <c r="AM869" s="71"/>
      <c r="AN869" s="71"/>
      <c r="AO869" s="71"/>
      <c r="AP869" s="71"/>
      <c r="AQ869" s="71"/>
      <c r="AR869" s="71"/>
      <c r="AS869" s="94" cm="1">
        <f t="array" ref="AS869">IFERROR(INDEX(T869:AE869,1,MATCH(2,1/(T869:AE869&lt;&gt;""))),"")</f>
        <v>259</v>
      </c>
      <c r="AT869" s="95" cm="1">
        <f t="array" ref="AT869">IFERROR(INDEX(AJ869:AR869,1,MATCH(2,1/(AJ869:AR869&lt;&gt;""))),"")</f>
        <v>259</v>
      </c>
      <c r="AU869" s="97">
        <f t="shared" si="1139"/>
        <v>259</v>
      </c>
      <c r="AW869" s="52">
        <f t="shared" si="1140"/>
        <v>0</v>
      </c>
      <c r="AX869" s="52">
        <f t="shared" si="1141"/>
        <v>0</v>
      </c>
      <c r="AY869" s="118">
        <f t="shared" si="1142"/>
        <v>1</v>
      </c>
      <c r="AZ869" s="118">
        <f t="shared" si="1143"/>
        <v>1</v>
      </c>
      <c r="BA869" s="52"/>
      <c r="BB869" s="52"/>
      <c r="BC869" s="52"/>
      <c r="BD869" s="52"/>
      <c r="BE869" s="52"/>
      <c r="BF869" s="52"/>
      <c r="BG869" s="52"/>
      <c r="BH869" s="52"/>
      <c r="BI869" s="65" cm="1">
        <f t="array" ref="BI869">IFERROR(INDEX(AW869:BH869,1,MATCH(2,1/(AW869:BH869&lt;&gt;""))),"")</f>
        <v>1</v>
      </c>
      <c r="BJ869" s="68" cm="1">
        <f t="array" ref="BJ869">IF(BM869 = "", "",IFERROR(INDEX(AW869:BH869,1,MATCH(2,1/(AW869:BH869&lt;&gt;""),1)-1),""))</f>
        <v>1</v>
      </c>
      <c r="BK869" s="58" cm="1">
        <f t="array" ref="BK869">IFERROR(INDEX(AW869:BH869,1,MATCH(2,1/(AW869:BH869&lt;&gt;""))),"")</f>
        <v>1</v>
      </c>
      <c r="BL869" s="58" cm="1">
        <f t="array" ref="BL869">IFERROR(INDEX(AW869:BH869,1,MATCH(2,1/(AW869:BH869&lt;&gt;""),1)-1),"")</f>
        <v>1</v>
      </c>
      <c r="BM869" s="55" cm="1">
        <f t="array" ref="BM869">IFERROR(
   INDEX($AW$1:$BH$1,
      _xlfn.AGGREGATE(14, 6, COLUMN($AW$1:$BH$1)/(AW869:BH869&lt;&gt;""), 2) - COLUMN($AW$1) + 1
   ),
"")</f>
        <v>46082</v>
      </c>
      <c r="BN869" s="55" cm="1">
        <f t="array" ref="BN869">IFERROR(INDEX($AW$1:$BH$1,1,MATCH(2,1/(AW869:BH869&lt;&gt;""))),"")</f>
        <v>46113</v>
      </c>
      <c r="BO869" s="53">
        <f ca="1">IFERROR(_xlfn.XLOOKUP(F869,Apuração!A:A,Apuração!C:C)/_xlfn.XLOOKUP(F869,Apuração!A:A,Apuração!B:B),0)</f>
        <v>0.3</v>
      </c>
      <c r="BP869" s="53">
        <f ca="1">IFERROR(_xlfn.XLOOKUP(F869,Apuração!A:A,Apuração!D:D)/_xlfn.XLOOKUP(F869,Apuração!A:A,Apuração!B:B),0)</f>
        <v>0.2</v>
      </c>
      <c r="BQ869" s="53">
        <f ca="1">IF(BK869&gt;=BO869,0,_xlfn.XLOOKUP(F869,Apuração!A:A,Apuração!B:B)*(BO869 + (1/_xlfn.XLOOKUP(F869,Apuração!A:A,Apuração!B:B)) - BK869))</f>
        <v>0</v>
      </c>
      <c r="BR869" s="85">
        <f t="shared" ca="1" si="1144"/>
        <v>0</v>
      </c>
      <c r="BS869" s="53">
        <f ca="1">IFERROR((_xlfn.XLOOKUP(F869,Apuração!A:A,Apuração!C:C)+1)/_xlfn.XLOOKUP(F869,Apuração!A:A,Apuração!B:B),0)</f>
        <v>0.4</v>
      </c>
    </row>
    <row r="870" spans="1:71" ht="25.95" hidden="1" customHeight="1" x14ac:dyDescent="0.3">
      <c r="A870" s="33" t="s">
        <v>175</v>
      </c>
      <c r="B870" s="4" t="s">
        <v>184</v>
      </c>
      <c r="C870" s="5" t="s">
        <v>97</v>
      </c>
      <c r="D870" s="5" t="s">
        <v>36</v>
      </c>
      <c r="E870" s="4" t="str" cm="1">
        <f t="array" ref="E870">_xlfn.IFS(
F870 = "A partir de Abril", "Aguardando Execução na Distribuidora",
A870 = "CAPACITAÇÃO", "Em execução no Corporativo",
TRUE, "Em Execução na Distribuidora"
)</f>
        <v>Em execução no Corporativo</v>
      </c>
      <c r="F870" s="4" t="str" cm="1">
        <f t="array" ref="F870">_xlfn.IFS(
AG870 &lt;&gt; "", "Jan-Dez/26",
AH870 &lt;&gt; "", "Fev-Dez/26",
AI870 &lt;&gt; "", "Mar-Dez/26", AJ870 &lt;&gt; "", "Abr-Dez/26",
TRUE, "A partir de Junho"
)</f>
        <v>Mar-Dez/26</v>
      </c>
      <c r="G870" s="4" t="s">
        <v>37</v>
      </c>
      <c r="H870" s="7" t="s">
        <v>38</v>
      </c>
      <c r="I870" s="8" t="s">
        <v>177</v>
      </c>
      <c r="J870" s="8" t="str" cm="1">
        <f t="array" aca="1" ref="J870" ca="1">_xlfn.LET(
  _xlpm.actual_value_month, INDEX(T870:AE870, MATCH(DATE(YEAR(TODAY()), MONTH(TODAY()), 1), $T$1:$AE$1, 0)),
  IF(_xlpm.actual_value_month &lt;&gt; "", _xlpm.actual_value_month &amp; " certificados mensais", "")
)</f>
        <v>3801 certificados mensais</v>
      </c>
      <c r="K870" s="8" t="str">
        <f t="shared" ref="K870:K880" si="1145">_xlfn.LET(
    _xlpm.month, AC870,
    IF(_xlpm.month = 0, "", _xlpm.month &amp; " meta de certificados anuais")
)</f>
        <v>4145 meta de certificados anuais</v>
      </c>
      <c r="L870" s="9" t="s">
        <v>185</v>
      </c>
      <c r="M870" s="13">
        <v>1</v>
      </c>
      <c r="N870" s="5" t="s">
        <v>42</v>
      </c>
      <c r="O870" s="5" t="s">
        <v>43</v>
      </c>
      <c r="P870" s="10" t="s">
        <v>146</v>
      </c>
      <c r="Q870" s="10" t="s">
        <v>44</v>
      </c>
      <c r="R870" s="11" t="s">
        <v>179</v>
      </c>
      <c r="S870" s="11" t="s">
        <v>67</v>
      </c>
      <c r="T870" s="22"/>
      <c r="U870" s="22"/>
      <c r="V870" s="22">
        <v>3332</v>
      </c>
      <c r="W870" s="22">
        <f>4145*0.91</f>
        <v>3771.9500000000003</v>
      </c>
      <c r="X870" s="22">
        <v>3698</v>
      </c>
      <c r="Y870" s="22">
        <v>3801</v>
      </c>
      <c r="Z870" s="22">
        <v>3900</v>
      </c>
      <c r="AA870" s="22">
        <v>3995</v>
      </c>
      <c r="AB870" s="22">
        <v>4088</v>
      </c>
      <c r="AC870" s="22">
        <v>4145</v>
      </c>
      <c r="AD870" s="22"/>
      <c r="AE870" s="22"/>
      <c r="AG870" s="71"/>
      <c r="AH870" s="71"/>
      <c r="AI870" s="71">
        <v>3446</v>
      </c>
      <c r="AJ870" s="71">
        <v>3452</v>
      </c>
      <c r="AK870" s="71"/>
      <c r="AL870" s="71"/>
      <c r="AM870" s="71"/>
      <c r="AN870" s="71"/>
      <c r="AO870" s="71"/>
      <c r="AP870" s="71"/>
      <c r="AQ870" s="71"/>
      <c r="AR870" s="71"/>
      <c r="AS870" s="94" cm="1">
        <f t="array" ref="AS870">IFERROR(INDEX(T870:AE870,1,MATCH(2,1/(T870:AE870&lt;&gt;""))),"")</f>
        <v>4145</v>
      </c>
      <c r="AT870" s="95" cm="1">
        <f t="array" ref="AT870">IFERROR(INDEX(AJ870:AR870,1,MATCH(2,1/(AJ870:AR870&lt;&gt;""))),"")</f>
        <v>3452</v>
      </c>
      <c r="AU870" s="97">
        <f t="shared" si="1121"/>
        <v>3452</v>
      </c>
      <c r="AW870" s="51">
        <f t="shared" ref="AW870" si="1146">IFERROR(IF(AG870="",0,AG870/$AD870),0)</f>
        <v>0</v>
      </c>
      <c r="AX870" s="51">
        <f t="shared" ref="AX870" si="1147">IFERROR(IF(AH870="",0,AH870/$AD870),0)</f>
        <v>0</v>
      </c>
      <c r="AY870" s="51">
        <f>IFERROR(IF(AI870="",0,AI870/$AC870),0)</f>
        <v>0.83136308805790105</v>
      </c>
      <c r="AZ870" s="51">
        <f>IFERROR(IF(AJ870="",0,AJ870/$AC870),0)</f>
        <v>0.83281061519903499</v>
      </c>
      <c r="BA870" s="51"/>
      <c r="BB870" s="51"/>
      <c r="BC870" s="51"/>
      <c r="BD870" s="51"/>
      <c r="BE870" s="51"/>
      <c r="BF870" s="51"/>
      <c r="BG870" s="51"/>
      <c r="BH870" s="51"/>
      <c r="BI870" s="65" cm="1">
        <f t="array" ref="BI870">IFERROR(INDEX(AW870:BH870,1,MATCH(2,1/(AW870:BH870&lt;&gt;""))),"")</f>
        <v>0.83281061519903499</v>
      </c>
      <c r="BJ870" s="68" cm="1">
        <f t="array" ref="BJ870">IF(BM870 = "", "",IFERROR(INDEX(AW870:BH870,1,MATCH(2,1/(AW870:BH870&lt;&gt;""),1)-1),""))</f>
        <v>0.83136308805790105</v>
      </c>
      <c r="BK870" s="58" cm="1">
        <f t="array" ref="BK870">IFERROR(INDEX(AW870:BH870,1,MATCH(2,1/(AW870:BH870&lt;&gt;""))),"")</f>
        <v>0.83281061519903499</v>
      </c>
      <c r="BL870" s="58" cm="1">
        <f t="array" ref="BL870">IFERROR(INDEX(AW870:BH870,1,MATCH(2,1/(AW870:BH870&lt;&gt;""),1)-1),"")</f>
        <v>0.83136308805790105</v>
      </c>
      <c r="BM870" s="55" cm="1">
        <f t="array" ref="BM870">IFERROR(
   INDEX($AW$1:$BH$1,
      _xlfn.AGGREGATE(14, 6, COLUMN($AW$1:$BH$1)/(AW870:BH870&lt;&gt;""), 2) - COLUMN($AW$1) + 1
   ),
"")</f>
        <v>46082</v>
      </c>
      <c r="BN870" s="55" cm="1">
        <f t="array" ref="BN870">IFERROR(INDEX($AW$1:$BH$1,1,MATCH(2,1/(AW870:BH870&lt;&gt;""))),"")</f>
        <v>46113</v>
      </c>
      <c r="BO870" s="119" cm="1">
        <f t="array" aca="1" ref="BO870" ca="1">_xlfn.LET(
    _xlpm.mes_num, MONTH(TODAY())-1,
    _xlpm.coluna_ajustada, IF(_xlpm.mes_num=0, 12, _xlpm.mes_num),
    _xlpm.realizado_mes_anterior, INDEX(T870:AE870, 1, _xlpm.coluna_ajustada),
    _xlpm.previsto_total, AC870,
    _xlpm.realizado_mes_anterior / _xlpm.previsto_total
)</f>
        <v>0.89215922798552472</v>
      </c>
      <c r="BP870" s="53">
        <f ca="1">IFERROR(_xlfn.XLOOKUP(F870,Apuração!A:A,Apuração!D:D)/_xlfn.XLOOKUP(F870,Apuração!A:A,Apuração!B:B),0)</f>
        <v>0.2</v>
      </c>
      <c r="BQ870" s="53">
        <f ca="1">IF(BK870&gt;=BO870,0,_xlfn.XLOOKUP(F870,Apuração!A:A,Apuração!B:B)*(BO870 + (1/_xlfn.XLOOKUP(F870,Apuração!A:A,Apuração!B:B)) - BK870))</f>
        <v>1.5934861278648971</v>
      </c>
      <c r="BR870" s="85">
        <f t="shared" ca="1" si="898"/>
        <v>6214.5958986730984</v>
      </c>
      <c r="BS870" s="53">
        <f ca="1">IFERROR((_xlfn.XLOOKUP(F870,Apuração!A:A,Apuração!C:C)+1)/_xlfn.XLOOKUP(F870,Apuração!A:A,Apuração!B:B),0)</f>
        <v>0.4</v>
      </c>
    </row>
    <row r="871" spans="1:71" ht="25.95" hidden="1" customHeight="1" x14ac:dyDescent="0.3">
      <c r="A871" s="33" t="s">
        <v>175</v>
      </c>
      <c r="B871" s="4" t="s">
        <v>184</v>
      </c>
      <c r="C871" s="5" t="s">
        <v>97</v>
      </c>
      <c r="D871" s="5" t="s">
        <v>98</v>
      </c>
      <c r="E871" s="4" t="str" cm="1">
        <f t="array" ref="E871">_xlfn.IFS(
F871 = "A partir de Abril", "Aguardando Execução na Distribuidora",
A871 = "CAPACITAÇÃO", "Em execução no Corporativo",
TRUE, "Em Execução na Distribuidora"
)</f>
        <v>Em execução no Corporativo</v>
      </c>
      <c r="F871" s="4" t="str" cm="1">
        <f t="array" ref="F871">_xlfn.IFS(
AG871 &lt;&gt; "", "Jan-Dez/26",
AH871 &lt;&gt; "", "Fev-Dez/26",
AI871 &lt;&gt; "", "Mar-Dez/26", AJ871 &lt;&gt; "", "Abr-Dez/26",
TRUE, "A partir de Junho"
)</f>
        <v>Mar-Dez/26</v>
      </c>
      <c r="G871" s="4" t="s">
        <v>37</v>
      </c>
      <c r="H871" s="7" t="s">
        <v>38</v>
      </c>
      <c r="I871" s="8" t="s">
        <v>177</v>
      </c>
      <c r="J871" s="8" t="str" cm="1">
        <f t="array" aca="1" ref="J871" ca="1">_xlfn.LET(
  _xlpm.actual_value_month, INDEX(T871:AE871, MATCH(DATE(YEAR(TODAY()), MONTH(TODAY()), 1), $T$1:$AE$1, 0)),
  IF(_xlpm.actual_value_month &lt;&gt; "", _xlpm.actual_value_month &amp; " certificados mensais", "")
)</f>
        <v>386 certificados mensais</v>
      </c>
      <c r="K871" s="8" t="str">
        <f t="shared" si="1145"/>
        <v>427 meta de certificados anuais</v>
      </c>
      <c r="L871" s="9" t="s">
        <v>185</v>
      </c>
      <c r="M871" s="13">
        <v>1</v>
      </c>
      <c r="N871" s="5" t="s">
        <v>42</v>
      </c>
      <c r="O871" s="5" t="s">
        <v>43</v>
      </c>
      <c r="P871" s="10" t="s">
        <v>146</v>
      </c>
      <c r="Q871" s="10" t="s">
        <v>44</v>
      </c>
      <c r="R871" s="11" t="s">
        <v>179</v>
      </c>
      <c r="S871" s="11" t="s">
        <v>67</v>
      </c>
      <c r="T871" s="22"/>
      <c r="U871" s="22"/>
      <c r="V871" s="143">
        <v>317</v>
      </c>
      <c r="W871" s="143">
        <v>344</v>
      </c>
      <c r="X871" s="143">
        <v>365</v>
      </c>
      <c r="Y871" s="143">
        <v>386</v>
      </c>
      <c r="Z871" s="143">
        <v>406</v>
      </c>
      <c r="AA871" s="143">
        <v>426</v>
      </c>
      <c r="AB871" s="143">
        <v>427</v>
      </c>
      <c r="AC871" s="143">
        <v>427</v>
      </c>
      <c r="AD871" s="143">
        <v>427</v>
      </c>
      <c r="AE871" s="22"/>
      <c r="AG871" s="71"/>
      <c r="AH871" s="71"/>
      <c r="AI871" s="71">
        <v>317</v>
      </c>
      <c r="AJ871" s="71">
        <v>317</v>
      </c>
      <c r="AK871" s="71"/>
      <c r="AL871" s="71"/>
      <c r="AM871" s="71"/>
      <c r="AN871" s="71"/>
      <c r="AO871" s="71"/>
      <c r="AP871" s="71"/>
      <c r="AQ871" s="71"/>
      <c r="AR871" s="71"/>
      <c r="AS871" s="94" cm="1">
        <f t="array" ref="AS871">IFERROR(INDEX(T871:AE871,1,MATCH(2,1/(T871:AE871&lt;&gt;""))),"")</f>
        <v>427</v>
      </c>
      <c r="AT871" s="95" cm="1">
        <f t="array" ref="AT871">IFERROR(INDEX(AJ871:AR871,1,MATCH(2,1/(AJ871:AR871&lt;&gt;""))),"")</f>
        <v>317</v>
      </c>
      <c r="AU871" s="97">
        <f t="shared" ref="AU871:AU880" si="1148">AT871</f>
        <v>317</v>
      </c>
      <c r="AW871" s="51">
        <f t="shared" ref="AW871:AW880" si="1149">IFERROR(IF(AG871="",0,AG871/$AD871),0)</f>
        <v>0</v>
      </c>
      <c r="AX871" s="51">
        <f t="shared" ref="AX871:AX880" si="1150">IFERROR(IF(AH871="",0,AH871/$AD871),0)</f>
        <v>0</v>
      </c>
      <c r="AY871" s="51">
        <f t="shared" ref="AY871:AY880" si="1151">IFERROR(IF(AI871="",0,AI871/$AC871),0)</f>
        <v>0.74238875878220145</v>
      </c>
      <c r="AZ871" s="51">
        <f t="shared" ref="AZ871:AZ880" si="1152">IFERROR(IF(AJ871="",0,AJ871/$AC871),0)</f>
        <v>0.74238875878220145</v>
      </c>
      <c r="BA871" s="51"/>
      <c r="BB871" s="51"/>
      <c r="BC871" s="51"/>
      <c r="BD871" s="51"/>
      <c r="BE871" s="51"/>
      <c r="BF871" s="51"/>
      <c r="BG871" s="51"/>
      <c r="BH871" s="51"/>
      <c r="BI871" s="65" cm="1">
        <f t="array" ref="BI871">IFERROR(INDEX(AW871:BH871,1,MATCH(2,1/(AW871:BH871&lt;&gt;""))),"")</f>
        <v>0.74238875878220145</v>
      </c>
      <c r="BJ871" s="68" cm="1">
        <f t="array" ref="BJ871">IF(BM871 = "", "",IFERROR(INDEX(AW871:BH871,1,MATCH(2,1/(AW871:BH871&lt;&gt;""),1)-1),""))</f>
        <v>0.74238875878220145</v>
      </c>
      <c r="BK871" s="58" cm="1">
        <f t="array" ref="BK871">IFERROR(INDEX(AW871:BH871,1,MATCH(2,1/(AW871:BH871&lt;&gt;""))),"")</f>
        <v>0.74238875878220145</v>
      </c>
      <c r="BL871" s="58" cm="1">
        <f t="array" ref="BL871">IFERROR(INDEX(AW871:BH871,1,MATCH(2,1/(AW871:BH871&lt;&gt;""),1)-1),"")</f>
        <v>0.74238875878220145</v>
      </c>
      <c r="BM871" s="55" cm="1">
        <f t="array" ref="BM871">IFERROR(
   INDEX($AW$1:$BH$1,
      _xlfn.AGGREGATE(14, 6, COLUMN($AW$1:$BH$1)/(AW871:BH871&lt;&gt;""), 2) - COLUMN($AW$1) + 1
   ),
"")</f>
        <v>46082</v>
      </c>
      <c r="BN871" s="55" cm="1">
        <f t="array" ref="BN871">IFERROR(INDEX($AW$1:$BH$1,1,MATCH(2,1/(AW871:BH871&lt;&gt;""))),"")</f>
        <v>46113</v>
      </c>
      <c r="BO871" s="119" cm="1">
        <f t="array" aca="1" ref="BO871" ca="1">_xlfn.LET(
    _xlpm.mes_num, MONTH(TODAY())-1,
    _xlpm.coluna_ajustada, IF(_xlpm.mes_num=0, 12, _xlpm.mes_num),
    _xlpm.realizado_mes_anterior, INDEX(T871:AE871, 1, _xlpm.coluna_ajustada),
    _xlpm.previsto_total, AC871,
    _xlpm.realizado_mes_anterior / _xlpm.previsto_total
)</f>
        <v>0.85480093676814983</v>
      </c>
      <c r="BP871" s="53">
        <f ca="1">IFERROR(_xlfn.XLOOKUP(F871,Apuração!A:A,Apuração!D:D)/_xlfn.XLOOKUP(F871,Apuração!A:A,Apuração!B:B),0)</f>
        <v>0.2</v>
      </c>
      <c r="BQ871" s="53">
        <f ca="1">IF(BK871&gt;=BO871,0,_xlfn.XLOOKUP(F871,Apuração!A:A,Apuração!B:B)*(BO871 + (1/_xlfn.XLOOKUP(F871,Apuração!A:A,Apuração!B:B)) - BK871))</f>
        <v>2.1241217798594834</v>
      </c>
      <c r="BR871" s="85">
        <f t="shared" ref="BR871:BR880" ca="1" si="1153">IF(BQ871=0,0,BQ871*Z871)</f>
        <v>862.39344262295026</v>
      </c>
      <c r="BS871" s="53">
        <f ca="1">IFERROR((_xlfn.XLOOKUP(F871,Apuração!A:A,Apuração!C:C)+1)/_xlfn.XLOOKUP(F871,Apuração!A:A,Apuração!B:B),0)</f>
        <v>0.4</v>
      </c>
    </row>
    <row r="872" spans="1:71" ht="25.95" hidden="1" customHeight="1" x14ac:dyDescent="0.3">
      <c r="A872" s="33" t="s">
        <v>175</v>
      </c>
      <c r="B872" s="4" t="s">
        <v>184</v>
      </c>
      <c r="C872" s="5" t="s">
        <v>97</v>
      </c>
      <c r="D872" s="5" t="s">
        <v>99</v>
      </c>
      <c r="E872" s="4" t="str" cm="1">
        <f t="array" ref="E872">_xlfn.IFS(
F872 = "A partir de Abril", "Aguardando Execução na Distribuidora",
A872 = "CAPACITAÇÃO", "Em execução no Corporativo",
TRUE, "Em Execução na Distribuidora"
)</f>
        <v>Em execução no Corporativo</v>
      </c>
      <c r="F872" s="4" t="str" cm="1">
        <f t="array" ref="F872">_xlfn.IFS(
AG872 &lt;&gt; "", "Jan-Dez/26",
AH872 &lt;&gt; "", "Fev-Dez/26",
AI872 &lt;&gt; "", "Mar-Dez/26", AJ872 &lt;&gt; "", "Abr-Dez/26",
TRUE, "A partir de Junho"
)</f>
        <v>Mar-Dez/26</v>
      </c>
      <c r="G872" s="4" t="s">
        <v>37</v>
      </c>
      <c r="H872" s="7" t="s">
        <v>38</v>
      </c>
      <c r="I872" s="8" t="s">
        <v>177</v>
      </c>
      <c r="J872" s="8" t="str" cm="1">
        <f t="array" aca="1" ref="J872" ca="1">_xlfn.LET(
  _xlpm.actual_value_month, INDEX(T872:AE872, MATCH(DATE(YEAR(TODAY()), MONTH(TODAY()), 1), $T$1:$AE$1, 0)),
  IF(_xlpm.actual_value_month &lt;&gt; "", _xlpm.actual_value_month &amp; " certificados mensais", "")
)</f>
        <v>219 certificados mensais</v>
      </c>
      <c r="K872" s="8" t="str">
        <f t="shared" si="1145"/>
        <v>219 meta de certificados anuais</v>
      </c>
      <c r="L872" s="9" t="s">
        <v>185</v>
      </c>
      <c r="M872" s="13">
        <v>1</v>
      </c>
      <c r="N872" s="5" t="s">
        <v>42</v>
      </c>
      <c r="O872" s="5" t="s">
        <v>43</v>
      </c>
      <c r="P872" s="10" t="s">
        <v>146</v>
      </c>
      <c r="Q872" s="10" t="s">
        <v>44</v>
      </c>
      <c r="R872" s="11" t="s">
        <v>179</v>
      </c>
      <c r="S872" s="11" t="s">
        <v>67</v>
      </c>
      <c r="T872" s="22"/>
      <c r="U872" s="22"/>
      <c r="V872" s="143">
        <v>212</v>
      </c>
      <c r="W872" s="143">
        <v>219</v>
      </c>
      <c r="X872" s="143">
        <v>219</v>
      </c>
      <c r="Y872" s="143">
        <v>219</v>
      </c>
      <c r="Z872" s="143">
        <v>219</v>
      </c>
      <c r="AA872" s="143">
        <v>219</v>
      </c>
      <c r="AB872" s="143">
        <v>219</v>
      </c>
      <c r="AC872" s="143">
        <v>219</v>
      </c>
      <c r="AD872" s="143">
        <v>219</v>
      </c>
      <c r="AE872" s="22"/>
      <c r="AG872" s="71"/>
      <c r="AH872" s="71"/>
      <c r="AI872" s="71">
        <v>212</v>
      </c>
      <c r="AJ872" s="71">
        <v>212</v>
      </c>
      <c r="AK872" s="71"/>
      <c r="AL872" s="71"/>
      <c r="AM872" s="71"/>
      <c r="AN872" s="71"/>
      <c r="AO872" s="71"/>
      <c r="AP872" s="71"/>
      <c r="AQ872" s="71"/>
      <c r="AR872" s="71"/>
      <c r="AS872" s="94" cm="1">
        <f t="array" ref="AS872">IFERROR(INDEX(T872:AE872,1,MATCH(2,1/(T872:AE872&lt;&gt;""))),"")</f>
        <v>219</v>
      </c>
      <c r="AT872" s="95" cm="1">
        <f t="array" ref="AT872">IFERROR(INDEX(AJ872:AR872,1,MATCH(2,1/(AJ872:AR872&lt;&gt;""))),"")</f>
        <v>212</v>
      </c>
      <c r="AU872" s="97">
        <f t="shared" si="1148"/>
        <v>212</v>
      </c>
      <c r="AW872" s="51">
        <f t="shared" si="1149"/>
        <v>0</v>
      </c>
      <c r="AX872" s="51">
        <f t="shared" si="1150"/>
        <v>0</v>
      </c>
      <c r="AY872" s="51">
        <f t="shared" si="1151"/>
        <v>0.96803652968036524</v>
      </c>
      <c r="AZ872" s="51">
        <f t="shared" si="1152"/>
        <v>0.96803652968036524</v>
      </c>
      <c r="BA872" s="51"/>
      <c r="BB872" s="51"/>
      <c r="BC872" s="51"/>
      <c r="BD872" s="51"/>
      <c r="BE872" s="51"/>
      <c r="BF872" s="51"/>
      <c r="BG872" s="51"/>
      <c r="BH872" s="51"/>
      <c r="BI872" s="65" cm="1">
        <f t="array" ref="BI872">IFERROR(INDEX(AW872:BH872,1,MATCH(2,1/(AW872:BH872&lt;&gt;""))),"")</f>
        <v>0.96803652968036524</v>
      </c>
      <c r="BJ872" s="68" cm="1">
        <f t="array" ref="BJ872">IF(BM872 = "", "",IFERROR(INDEX(AW872:BH872,1,MATCH(2,1/(AW872:BH872&lt;&gt;""),1)-1),""))</f>
        <v>0.96803652968036524</v>
      </c>
      <c r="BK872" s="58" cm="1">
        <f t="array" ref="BK872">IFERROR(INDEX(AW872:BH872,1,MATCH(2,1/(AW872:BH872&lt;&gt;""))),"")</f>
        <v>0.96803652968036524</v>
      </c>
      <c r="BL872" s="58" cm="1">
        <f t="array" ref="BL872">IFERROR(INDEX(AW872:BH872,1,MATCH(2,1/(AW872:BH872&lt;&gt;""),1)-1),"")</f>
        <v>0.96803652968036524</v>
      </c>
      <c r="BM872" s="55" cm="1">
        <f t="array" ref="BM872">IFERROR(
   INDEX($AW$1:$BH$1,
      _xlfn.AGGREGATE(14, 6, COLUMN($AW$1:$BH$1)/(AW872:BH872&lt;&gt;""), 2) - COLUMN($AW$1) + 1
   ),
"")</f>
        <v>46082</v>
      </c>
      <c r="BN872" s="55" cm="1">
        <f t="array" ref="BN872">IFERROR(INDEX($AW$1:$BH$1,1,MATCH(2,1/(AW872:BH872&lt;&gt;""))),"")</f>
        <v>46113</v>
      </c>
      <c r="BO872" s="119" cm="1">
        <f t="array" aca="1" ref="BO872" ca="1">_xlfn.LET(
    _xlpm.mes_num, MONTH(TODAY())-1,
    _xlpm.coluna_ajustada, IF(_xlpm.mes_num=0, 12, _xlpm.mes_num),
    _xlpm.realizado_mes_anterior, INDEX(T872:AE872, 1, _xlpm.coluna_ajustada),
    _xlpm.previsto_total, AC872,
    _xlpm.realizado_mes_anterior / _xlpm.previsto_total
)</f>
        <v>1</v>
      </c>
      <c r="BP872" s="53">
        <f ca="1">IFERROR(_xlfn.XLOOKUP(F872,Apuração!A:A,Apuração!D:D)/_xlfn.XLOOKUP(F872,Apuração!A:A,Apuração!B:B),0)</f>
        <v>0.2</v>
      </c>
      <c r="BQ872" s="53">
        <f ca="1">IF(BK872&gt;=BO872,0,_xlfn.XLOOKUP(F872,Apuração!A:A,Apuração!B:B)*(BO872 + (1/_xlfn.XLOOKUP(F872,Apuração!A:A,Apuração!B:B)) - BK872))</f>
        <v>1.3196347031963485</v>
      </c>
      <c r="BR872" s="85">
        <f t="shared" ca="1" si="1153"/>
        <v>289.00000000000028</v>
      </c>
      <c r="BS872" s="53">
        <f ca="1">IFERROR((_xlfn.XLOOKUP(F872,Apuração!A:A,Apuração!C:C)+1)/_xlfn.XLOOKUP(F872,Apuração!A:A,Apuração!B:B),0)</f>
        <v>0.4</v>
      </c>
    </row>
    <row r="873" spans="1:71" ht="25.95" hidden="1" customHeight="1" x14ac:dyDescent="0.3">
      <c r="A873" s="33" t="s">
        <v>175</v>
      </c>
      <c r="B873" s="4" t="s">
        <v>184</v>
      </c>
      <c r="C873" s="5" t="s">
        <v>97</v>
      </c>
      <c r="D873" s="5" t="s">
        <v>100</v>
      </c>
      <c r="E873" s="4" t="str" cm="1">
        <f t="array" ref="E873">_xlfn.IFS(
F873 = "A partir de Abril", "Aguardando Execução na Distribuidora",
A873 = "CAPACITAÇÃO", "Em execução no Corporativo",
TRUE, "Em Execução na Distribuidora"
)</f>
        <v>Em execução no Corporativo</v>
      </c>
      <c r="F873" s="4" t="str" cm="1">
        <f t="array" ref="F873">_xlfn.IFS(
AG873 &lt;&gt; "", "Jan-Dez/26",
AH873 &lt;&gt; "", "Fev-Dez/26",
AI873 &lt;&gt; "", "Mar-Dez/26", AJ873 &lt;&gt; "", "Abr-Dez/26",
TRUE, "A partir de Junho"
)</f>
        <v>Mar-Dez/26</v>
      </c>
      <c r="G873" s="4" t="s">
        <v>37</v>
      </c>
      <c r="H873" s="7" t="s">
        <v>38</v>
      </c>
      <c r="I873" s="8" t="s">
        <v>177</v>
      </c>
      <c r="J873" s="8" t="str" cm="1">
        <f t="array" aca="1" ref="J873" ca="1">_xlfn.LET(
  _xlpm.actual_value_month, INDEX(T873:AE873, MATCH(DATE(YEAR(TODAY()), MONTH(TODAY()), 1), $T$1:$AE$1, 0)),
  IF(_xlpm.actual_value_month &lt;&gt; "", _xlpm.actual_value_month &amp; " certificados mensais", "")
)</f>
        <v>333 certificados mensais</v>
      </c>
      <c r="K873" s="8" t="str">
        <f t="shared" si="1145"/>
        <v>398 meta de certificados anuais</v>
      </c>
      <c r="L873" s="9" t="s">
        <v>185</v>
      </c>
      <c r="M873" s="13">
        <v>1</v>
      </c>
      <c r="N873" s="5" t="s">
        <v>42</v>
      </c>
      <c r="O873" s="5" t="s">
        <v>43</v>
      </c>
      <c r="P873" s="10" t="s">
        <v>146</v>
      </c>
      <c r="Q873" s="10" t="s">
        <v>44</v>
      </c>
      <c r="R873" s="11" t="s">
        <v>179</v>
      </c>
      <c r="S873" s="11" t="s">
        <v>67</v>
      </c>
      <c r="T873" s="22"/>
      <c r="U873" s="22"/>
      <c r="V873" s="143">
        <v>274</v>
      </c>
      <c r="W873" s="143">
        <v>294</v>
      </c>
      <c r="X873" s="143">
        <v>314</v>
      </c>
      <c r="Y873" s="143">
        <v>333</v>
      </c>
      <c r="Z873" s="143">
        <v>350</v>
      </c>
      <c r="AA873" s="143">
        <v>367</v>
      </c>
      <c r="AB873" s="143">
        <v>384</v>
      </c>
      <c r="AC873" s="143">
        <v>398</v>
      </c>
      <c r="AD873" s="143">
        <v>398</v>
      </c>
      <c r="AE873" s="22"/>
      <c r="AG873" s="71"/>
      <c r="AH873" s="71"/>
      <c r="AI873" s="71">
        <v>275</v>
      </c>
      <c r="AJ873" s="71">
        <v>275</v>
      </c>
      <c r="AK873" s="71"/>
      <c r="AL873" s="71"/>
      <c r="AM873" s="71"/>
      <c r="AN873" s="71"/>
      <c r="AO873" s="71"/>
      <c r="AP873" s="71"/>
      <c r="AQ873" s="71"/>
      <c r="AR873" s="71"/>
      <c r="AS873" s="94" cm="1">
        <f t="array" ref="AS873">IFERROR(INDEX(T873:AE873,1,MATCH(2,1/(T873:AE873&lt;&gt;""))),"")</f>
        <v>398</v>
      </c>
      <c r="AT873" s="95" cm="1">
        <f t="array" ref="AT873">IFERROR(INDEX(AJ873:AR873,1,MATCH(2,1/(AJ873:AR873&lt;&gt;""))),"")</f>
        <v>275</v>
      </c>
      <c r="AU873" s="97">
        <f t="shared" si="1148"/>
        <v>275</v>
      </c>
      <c r="AW873" s="51">
        <f t="shared" si="1149"/>
        <v>0</v>
      </c>
      <c r="AX873" s="51">
        <f t="shared" si="1150"/>
        <v>0</v>
      </c>
      <c r="AY873" s="51">
        <f t="shared" si="1151"/>
        <v>0.69095477386934678</v>
      </c>
      <c r="AZ873" s="51">
        <f t="shared" si="1152"/>
        <v>0.69095477386934678</v>
      </c>
      <c r="BA873" s="51"/>
      <c r="BB873" s="51"/>
      <c r="BC873" s="51"/>
      <c r="BD873" s="51"/>
      <c r="BE873" s="51"/>
      <c r="BF873" s="51"/>
      <c r="BG873" s="51"/>
      <c r="BH873" s="51"/>
      <c r="BI873" s="65" cm="1">
        <f t="array" ref="BI873">IFERROR(INDEX(AW873:BH873,1,MATCH(2,1/(AW873:BH873&lt;&gt;""))),"")</f>
        <v>0.69095477386934678</v>
      </c>
      <c r="BJ873" s="68" cm="1">
        <f t="array" ref="BJ873">IF(BM873 = "", "",IFERROR(INDEX(AW873:BH873,1,MATCH(2,1/(AW873:BH873&lt;&gt;""),1)-1),""))</f>
        <v>0.69095477386934678</v>
      </c>
      <c r="BK873" s="58" cm="1">
        <f t="array" ref="BK873">IFERROR(INDEX(AW873:BH873,1,MATCH(2,1/(AW873:BH873&lt;&gt;""))),"")</f>
        <v>0.69095477386934678</v>
      </c>
      <c r="BL873" s="58" cm="1">
        <f t="array" ref="BL873">IFERROR(INDEX(AW873:BH873,1,MATCH(2,1/(AW873:BH873&lt;&gt;""),1)-1),"")</f>
        <v>0.69095477386934678</v>
      </c>
      <c r="BM873" s="55" cm="1">
        <f t="array" ref="BM873">IFERROR(
   INDEX($AW$1:$BH$1,
      _xlfn.AGGREGATE(14, 6, COLUMN($AW$1:$BH$1)/(AW873:BH873&lt;&gt;""), 2) - COLUMN($AW$1) + 1
   ),
"")</f>
        <v>46082</v>
      </c>
      <c r="BN873" s="55" cm="1">
        <f t="array" ref="BN873">IFERROR(INDEX($AW$1:$BH$1,1,MATCH(2,1/(AW873:BH873&lt;&gt;""))),"")</f>
        <v>46113</v>
      </c>
      <c r="BO873" s="119" cm="1">
        <f t="array" aca="1" ref="BO873" ca="1">_xlfn.LET(
    _xlpm.mes_num, MONTH(TODAY())-1,
    _xlpm.coluna_ajustada, IF(_xlpm.mes_num=0, 12, _xlpm.mes_num),
    _xlpm.realizado_mes_anterior, INDEX(T873:AE873, 1, _xlpm.coluna_ajustada),
    _xlpm.previsto_total, AC873,
    _xlpm.realizado_mes_anterior / _xlpm.previsto_total
)</f>
        <v>0.78894472361809043</v>
      </c>
      <c r="BP873" s="53">
        <f ca="1">IFERROR(_xlfn.XLOOKUP(F873,Apuração!A:A,Apuração!D:D)/_xlfn.XLOOKUP(F873,Apuração!A:A,Apuração!B:B),0)</f>
        <v>0.2</v>
      </c>
      <c r="BQ873" s="53">
        <f ca="1">IF(BK873&gt;=BO873,0,_xlfn.XLOOKUP(F873,Apuração!A:A,Apuração!B:B)*(BO873 + (1/_xlfn.XLOOKUP(F873,Apuração!A:A,Apuração!B:B)) - BK873))</f>
        <v>1.9798994974874362</v>
      </c>
      <c r="BR873" s="85">
        <f t="shared" ca="1" si="1153"/>
        <v>692.96482412060266</v>
      </c>
      <c r="BS873" s="53">
        <f ca="1">IFERROR((_xlfn.XLOOKUP(F873,Apuração!A:A,Apuração!C:C)+1)/_xlfn.XLOOKUP(F873,Apuração!A:A,Apuração!B:B),0)</f>
        <v>0.4</v>
      </c>
    </row>
    <row r="874" spans="1:71" ht="25.95" hidden="1" customHeight="1" x14ac:dyDescent="0.3">
      <c r="A874" s="33" t="s">
        <v>175</v>
      </c>
      <c r="B874" s="4" t="s">
        <v>184</v>
      </c>
      <c r="C874" s="5" t="s">
        <v>97</v>
      </c>
      <c r="D874" s="5" t="s">
        <v>101</v>
      </c>
      <c r="E874" s="4" t="str" cm="1">
        <f t="array" ref="E874">_xlfn.IFS(
F874 = "A partir de Abril", "Aguardando Execução na Distribuidora",
A874 = "CAPACITAÇÃO", "Em execução no Corporativo",
TRUE, "Em Execução na Distribuidora"
)</f>
        <v>Em execução no Corporativo</v>
      </c>
      <c r="F874" s="4" t="str" cm="1">
        <f t="array" ref="F874">_xlfn.IFS(
AG874 &lt;&gt; "", "Jan-Dez/26",
AH874 &lt;&gt; "", "Fev-Dez/26",
AI874 &lt;&gt; "", "Mar-Dez/26", AJ874 &lt;&gt; "", "Abr-Dez/26",
TRUE, "A partir de Junho"
)</f>
        <v>Mar-Dez/26</v>
      </c>
      <c r="G874" s="4" t="s">
        <v>37</v>
      </c>
      <c r="H874" s="7" t="s">
        <v>38</v>
      </c>
      <c r="I874" s="8" t="s">
        <v>177</v>
      </c>
      <c r="J874" s="8" t="str" cm="1">
        <f t="array" aca="1" ref="J874" ca="1">_xlfn.LET(
  _xlpm.actual_value_month, INDEX(T874:AE874, MATCH(DATE(YEAR(TODAY()), MONTH(TODAY()), 1), $T$1:$AE$1, 0)),
  IF(_xlpm.actual_value_month &lt;&gt; "", _xlpm.actual_value_month &amp; " certificados mensais", "")
)</f>
        <v>468 certificados mensais</v>
      </c>
      <c r="K874" s="8" t="str">
        <f t="shared" si="1145"/>
        <v>504 meta de certificados anuais</v>
      </c>
      <c r="L874" s="9" t="s">
        <v>185</v>
      </c>
      <c r="M874" s="13">
        <v>1</v>
      </c>
      <c r="N874" s="5" t="s">
        <v>42</v>
      </c>
      <c r="O874" s="5" t="s">
        <v>43</v>
      </c>
      <c r="P874" s="10" t="s">
        <v>146</v>
      </c>
      <c r="Q874" s="10" t="s">
        <v>44</v>
      </c>
      <c r="R874" s="11" t="s">
        <v>179</v>
      </c>
      <c r="S874" s="11" t="s">
        <v>67</v>
      </c>
      <c r="T874" s="22"/>
      <c r="U874" s="22"/>
      <c r="V874" s="143">
        <v>400</v>
      </c>
      <c r="W874" s="143">
        <v>428</v>
      </c>
      <c r="X874" s="143">
        <v>452</v>
      </c>
      <c r="Y874" s="143">
        <v>468</v>
      </c>
      <c r="Z874" s="143">
        <v>482</v>
      </c>
      <c r="AA874" s="143">
        <v>493</v>
      </c>
      <c r="AB874" s="143">
        <v>504</v>
      </c>
      <c r="AC874" s="143">
        <v>504</v>
      </c>
      <c r="AD874" s="143">
        <v>504</v>
      </c>
      <c r="AE874" s="22"/>
      <c r="AG874" s="71"/>
      <c r="AH874" s="71"/>
      <c r="AI874" s="71">
        <v>402</v>
      </c>
      <c r="AJ874" s="71">
        <v>402</v>
      </c>
      <c r="AK874" s="71"/>
      <c r="AL874" s="71"/>
      <c r="AM874" s="71"/>
      <c r="AN874" s="71"/>
      <c r="AO874" s="71"/>
      <c r="AP874" s="71"/>
      <c r="AQ874" s="71"/>
      <c r="AR874" s="71"/>
      <c r="AS874" s="94" cm="1">
        <f t="array" ref="AS874">IFERROR(INDEX(T874:AE874,1,MATCH(2,1/(T874:AE874&lt;&gt;""))),"")</f>
        <v>504</v>
      </c>
      <c r="AT874" s="95" cm="1">
        <f t="array" ref="AT874">IFERROR(INDEX(AJ874:AR874,1,MATCH(2,1/(AJ874:AR874&lt;&gt;""))),"")</f>
        <v>402</v>
      </c>
      <c r="AU874" s="97">
        <f t="shared" si="1148"/>
        <v>402</v>
      </c>
      <c r="AW874" s="51">
        <f t="shared" si="1149"/>
        <v>0</v>
      </c>
      <c r="AX874" s="51">
        <f t="shared" si="1150"/>
        <v>0</v>
      </c>
      <c r="AY874" s="51">
        <f t="shared" si="1151"/>
        <v>0.79761904761904767</v>
      </c>
      <c r="AZ874" s="51">
        <f t="shared" si="1152"/>
        <v>0.79761904761904767</v>
      </c>
      <c r="BA874" s="51"/>
      <c r="BB874" s="51"/>
      <c r="BC874" s="51"/>
      <c r="BD874" s="51"/>
      <c r="BE874" s="51"/>
      <c r="BF874" s="51"/>
      <c r="BG874" s="51"/>
      <c r="BH874" s="51"/>
      <c r="BI874" s="65" cm="1">
        <f t="array" ref="BI874">IFERROR(INDEX(AW874:BH874,1,MATCH(2,1/(AW874:BH874&lt;&gt;""))),"")</f>
        <v>0.79761904761904767</v>
      </c>
      <c r="BJ874" s="68" cm="1">
        <f t="array" ref="BJ874">IF(BM874 = "", "",IFERROR(INDEX(AW874:BH874,1,MATCH(2,1/(AW874:BH874&lt;&gt;""),1)-1),""))</f>
        <v>0.79761904761904767</v>
      </c>
      <c r="BK874" s="58" cm="1">
        <f t="array" ref="BK874">IFERROR(INDEX(AW874:BH874,1,MATCH(2,1/(AW874:BH874&lt;&gt;""))),"")</f>
        <v>0.79761904761904767</v>
      </c>
      <c r="BL874" s="58" cm="1">
        <f t="array" ref="BL874">IFERROR(INDEX(AW874:BH874,1,MATCH(2,1/(AW874:BH874&lt;&gt;""),1)-1),"")</f>
        <v>0.79761904761904767</v>
      </c>
      <c r="BM874" s="55" cm="1">
        <f t="array" ref="BM874">IFERROR(
   INDEX($AW$1:$BH$1,
      _xlfn.AGGREGATE(14, 6, COLUMN($AW$1:$BH$1)/(AW874:BH874&lt;&gt;""), 2) - COLUMN($AW$1) + 1
   ),
"")</f>
        <v>46082</v>
      </c>
      <c r="BN874" s="55" cm="1">
        <f t="array" ref="BN874">IFERROR(INDEX($AW$1:$BH$1,1,MATCH(2,1/(AW874:BH874&lt;&gt;""))),"")</f>
        <v>46113</v>
      </c>
      <c r="BO874" s="119" cm="1">
        <f t="array" aca="1" ref="BO874" ca="1">_xlfn.LET(
    _xlpm.mes_num, MONTH(TODAY())-1,
    _xlpm.coluna_ajustada, IF(_xlpm.mes_num=0, 12, _xlpm.mes_num),
    _xlpm.realizado_mes_anterior, INDEX(T874:AE874, 1, _xlpm.coluna_ajustada),
    _xlpm.previsto_total, AC874,
    _xlpm.realizado_mes_anterior / _xlpm.previsto_total
)</f>
        <v>0.89682539682539686</v>
      </c>
      <c r="BP874" s="53">
        <f ca="1">IFERROR(_xlfn.XLOOKUP(F874,Apuração!A:A,Apuração!D:D)/_xlfn.XLOOKUP(F874,Apuração!A:A,Apuração!B:B),0)</f>
        <v>0.2</v>
      </c>
      <c r="BQ874" s="53">
        <f ca="1">IF(BK874&gt;=BO874,0,_xlfn.XLOOKUP(F874,Apuração!A:A,Apuração!B:B)*(BO874 + (1/_xlfn.XLOOKUP(F874,Apuração!A:A,Apuração!B:B)) - BK874))</f>
        <v>1.9920634920634916</v>
      </c>
      <c r="BR874" s="85">
        <f t="shared" ca="1" si="1153"/>
        <v>960.17460317460302</v>
      </c>
      <c r="BS874" s="53">
        <f ca="1">IFERROR((_xlfn.XLOOKUP(F874,Apuração!A:A,Apuração!C:C)+1)/_xlfn.XLOOKUP(F874,Apuração!A:A,Apuração!B:B),0)</f>
        <v>0.4</v>
      </c>
    </row>
    <row r="875" spans="1:71" ht="25.95" hidden="1" customHeight="1" x14ac:dyDescent="0.3">
      <c r="A875" s="33" t="s">
        <v>175</v>
      </c>
      <c r="B875" s="4" t="s">
        <v>184</v>
      </c>
      <c r="C875" s="5" t="s">
        <v>97</v>
      </c>
      <c r="D875" s="5" t="s">
        <v>102</v>
      </c>
      <c r="E875" s="4" t="str" cm="1">
        <f t="array" ref="E875">_xlfn.IFS(
F875 = "A partir de Abril", "Aguardando Execução na Distribuidora",
A875 = "CAPACITAÇÃO", "Em execução no Corporativo",
TRUE, "Em Execução na Distribuidora"
)</f>
        <v>Em execução no Corporativo</v>
      </c>
      <c r="F875" s="4" t="str" cm="1">
        <f t="array" ref="F875">_xlfn.IFS(
AG875 &lt;&gt; "", "Jan-Dez/26",
AH875 &lt;&gt; "", "Fev-Dez/26",
AI875 &lt;&gt; "", "Mar-Dez/26", AJ875 &lt;&gt; "", "Abr-Dez/26",
TRUE, "A partir de Junho"
)</f>
        <v>Mar-Dez/26</v>
      </c>
      <c r="G875" s="4" t="s">
        <v>37</v>
      </c>
      <c r="H875" s="7" t="s">
        <v>38</v>
      </c>
      <c r="I875" s="8" t="s">
        <v>177</v>
      </c>
      <c r="J875" s="8" t="str" cm="1">
        <f t="array" aca="1" ref="J875" ca="1">_xlfn.LET(
  _xlpm.actual_value_month, INDEX(T875:AE875, MATCH(DATE(YEAR(TODAY()), MONTH(TODAY()), 1), $T$1:$AE$1, 0)),
  IF(_xlpm.actual_value_month &lt;&gt; "", _xlpm.actual_value_month &amp; " certificados mensais", "")
)</f>
        <v>547 certificados mensais</v>
      </c>
      <c r="K875" s="8" t="str">
        <f t="shared" si="1145"/>
        <v>547 meta de certificados anuais</v>
      </c>
      <c r="L875" s="9" t="s">
        <v>185</v>
      </c>
      <c r="M875" s="13">
        <v>1</v>
      </c>
      <c r="N875" s="5" t="s">
        <v>42</v>
      </c>
      <c r="O875" s="5" t="s">
        <v>43</v>
      </c>
      <c r="P875" s="10" t="s">
        <v>146</v>
      </c>
      <c r="Q875" s="10" t="s">
        <v>44</v>
      </c>
      <c r="R875" s="11" t="s">
        <v>179</v>
      </c>
      <c r="S875" s="11" t="s">
        <v>67</v>
      </c>
      <c r="T875" s="22"/>
      <c r="U875" s="22"/>
      <c r="V875" s="143">
        <v>533</v>
      </c>
      <c r="W875" s="143">
        <v>537</v>
      </c>
      <c r="X875" s="143">
        <v>543</v>
      </c>
      <c r="Y875" s="143">
        <v>547</v>
      </c>
      <c r="Z875" s="143">
        <v>547</v>
      </c>
      <c r="AA875" s="143">
        <v>547</v>
      </c>
      <c r="AB875" s="143">
        <v>547</v>
      </c>
      <c r="AC875" s="143">
        <v>547</v>
      </c>
      <c r="AD875" s="143">
        <v>547</v>
      </c>
      <c r="AE875" s="22"/>
      <c r="AG875" s="71"/>
      <c r="AH875" s="71"/>
      <c r="AI875" s="71">
        <v>534</v>
      </c>
      <c r="AJ875" s="71">
        <v>534</v>
      </c>
      <c r="AK875" s="71"/>
      <c r="AL875" s="71"/>
      <c r="AM875" s="71"/>
      <c r="AN875" s="71"/>
      <c r="AO875" s="71"/>
      <c r="AP875" s="71"/>
      <c r="AQ875" s="71"/>
      <c r="AR875" s="71"/>
      <c r="AS875" s="94" cm="1">
        <f t="array" ref="AS875">IFERROR(INDEX(T875:AE875,1,MATCH(2,1/(T875:AE875&lt;&gt;""))),"")</f>
        <v>547</v>
      </c>
      <c r="AT875" s="95" cm="1">
        <f t="array" ref="AT875">IFERROR(INDEX(AJ875:AR875,1,MATCH(2,1/(AJ875:AR875&lt;&gt;""))),"")</f>
        <v>534</v>
      </c>
      <c r="AU875" s="97">
        <f t="shared" si="1148"/>
        <v>534</v>
      </c>
      <c r="AW875" s="51">
        <f t="shared" si="1149"/>
        <v>0</v>
      </c>
      <c r="AX875" s="51">
        <f t="shared" si="1150"/>
        <v>0</v>
      </c>
      <c r="AY875" s="51">
        <f t="shared" si="1151"/>
        <v>0.97623400365630708</v>
      </c>
      <c r="AZ875" s="51">
        <f t="shared" si="1152"/>
        <v>0.97623400365630708</v>
      </c>
      <c r="BA875" s="51"/>
      <c r="BB875" s="51"/>
      <c r="BC875" s="51"/>
      <c r="BD875" s="51"/>
      <c r="BE875" s="51"/>
      <c r="BF875" s="51"/>
      <c r="BG875" s="51"/>
      <c r="BH875" s="51"/>
      <c r="BI875" s="65" cm="1">
        <f t="array" ref="BI875">IFERROR(INDEX(AW875:BH875,1,MATCH(2,1/(AW875:BH875&lt;&gt;""))),"")</f>
        <v>0.97623400365630708</v>
      </c>
      <c r="BJ875" s="68" cm="1">
        <f t="array" ref="BJ875">IF(BM875 = "", "",IFERROR(INDEX(AW875:BH875,1,MATCH(2,1/(AW875:BH875&lt;&gt;""),1)-1),""))</f>
        <v>0.97623400365630708</v>
      </c>
      <c r="BK875" s="58" cm="1">
        <f t="array" ref="BK875">IFERROR(INDEX(AW875:BH875,1,MATCH(2,1/(AW875:BH875&lt;&gt;""))),"")</f>
        <v>0.97623400365630708</v>
      </c>
      <c r="BL875" s="58" cm="1">
        <f t="array" ref="BL875">IFERROR(INDEX(AW875:BH875,1,MATCH(2,1/(AW875:BH875&lt;&gt;""),1)-1),"")</f>
        <v>0.97623400365630708</v>
      </c>
      <c r="BM875" s="55" cm="1">
        <f t="array" ref="BM875">IFERROR(
   INDEX($AW$1:$BH$1,
      _xlfn.AGGREGATE(14, 6, COLUMN($AW$1:$BH$1)/(AW875:BH875&lt;&gt;""), 2) - COLUMN($AW$1) + 1
   ),
"")</f>
        <v>46082</v>
      </c>
      <c r="BN875" s="55" cm="1">
        <f t="array" ref="BN875">IFERROR(INDEX($AW$1:$BH$1,1,MATCH(2,1/(AW875:BH875&lt;&gt;""))),"")</f>
        <v>46113</v>
      </c>
      <c r="BO875" s="119" cm="1">
        <f t="array" aca="1" ref="BO875" ca="1">_xlfn.LET(
    _xlpm.mes_num, MONTH(TODAY())-1,
    _xlpm.coluna_ajustada, IF(_xlpm.mes_num=0, 12, _xlpm.mes_num),
    _xlpm.realizado_mes_anterior, INDEX(T875:AE875, 1, _xlpm.coluna_ajustada),
    _xlpm.previsto_total, AC875,
    _xlpm.realizado_mes_anterior / _xlpm.previsto_total
)</f>
        <v>0.99268738574040216</v>
      </c>
      <c r="BP875" s="53">
        <f ca="1">IFERROR(_xlfn.XLOOKUP(F875,Apuração!A:A,Apuração!D:D)/_xlfn.XLOOKUP(F875,Apuração!A:A,Apuração!B:B),0)</f>
        <v>0.2</v>
      </c>
      <c r="BQ875" s="53">
        <f ca="1">IF(BK875&gt;=BO875,0,_xlfn.XLOOKUP(F875,Apuração!A:A,Apuração!B:B)*(BO875 + (1/_xlfn.XLOOKUP(F875,Apuração!A:A,Apuração!B:B)) - BK875))</f>
        <v>1.1645338208409517</v>
      </c>
      <c r="BR875" s="85">
        <f t="shared" ca="1" si="1153"/>
        <v>637.00000000000057</v>
      </c>
      <c r="BS875" s="53">
        <f ca="1">IFERROR((_xlfn.XLOOKUP(F875,Apuração!A:A,Apuração!C:C)+1)/_xlfn.XLOOKUP(F875,Apuração!A:A,Apuração!B:B),0)</f>
        <v>0.4</v>
      </c>
    </row>
    <row r="876" spans="1:71" ht="25.95" hidden="1" customHeight="1" x14ac:dyDescent="0.3">
      <c r="A876" s="33" t="s">
        <v>175</v>
      </c>
      <c r="B876" s="4" t="s">
        <v>184</v>
      </c>
      <c r="C876" s="5" t="s">
        <v>97</v>
      </c>
      <c r="D876" s="5" t="s">
        <v>103</v>
      </c>
      <c r="E876" s="4" t="str" cm="1">
        <f t="array" ref="E876">_xlfn.IFS(
F876 = "A partir de Abril", "Aguardando Execução na Distribuidora",
A876 = "CAPACITAÇÃO", "Em execução no Corporativo",
TRUE, "Em Execução na Distribuidora"
)</f>
        <v>Em execução no Corporativo</v>
      </c>
      <c r="F876" s="4" t="str" cm="1">
        <f t="array" ref="F876">_xlfn.IFS(
AG876 &lt;&gt; "", "Jan-Dez/26",
AH876 &lt;&gt; "", "Fev-Dez/26",
AI876 &lt;&gt; "", "Mar-Dez/26", AJ876 &lt;&gt; "", "Abr-Dez/26",
TRUE, "A partir de Junho"
)</f>
        <v>Mar-Dez/26</v>
      </c>
      <c r="G876" s="4" t="s">
        <v>37</v>
      </c>
      <c r="H876" s="7" t="s">
        <v>38</v>
      </c>
      <c r="I876" s="8" t="s">
        <v>177</v>
      </c>
      <c r="J876" s="8" t="str" cm="1">
        <f t="array" aca="1" ref="J876" ca="1">_xlfn.LET(
  _xlpm.actual_value_month, INDEX(T876:AE876, MATCH(DATE(YEAR(TODAY()), MONTH(TODAY()), 1), $T$1:$AE$1, 0)),
  IF(_xlpm.actual_value_month &lt;&gt; "", _xlpm.actual_value_month &amp; " certificados mensais", "")
)</f>
        <v>629 certificados mensais</v>
      </c>
      <c r="K876" s="8" t="str">
        <f t="shared" si="1145"/>
        <v>708 meta de certificados anuais</v>
      </c>
      <c r="L876" s="9" t="s">
        <v>185</v>
      </c>
      <c r="M876" s="13">
        <v>1</v>
      </c>
      <c r="N876" s="5" t="s">
        <v>42</v>
      </c>
      <c r="O876" s="5" t="s">
        <v>43</v>
      </c>
      <c r="P876" s="10" t="s">
        <v>146</v>
      </c>
      <c r="Q876" s="10" t="s">
        <v>44</v>
      </c>
      <c r="R876" s="11" t="s">
        <v>179</v>
      </c>
      <c r="S876" s="11" t="s">
        <v>67</v>
      </c>
      <c r="T876" s="22"/>
      <c r="U876" s="22"/>
      <c r="V876" s="143">
        <v>536</v>
      </c>
      <c r="W876" s="143">
        <v>582</v>
      </c>
      <c r="X876" s="143">
        <v>607</v>
      </c>
      <c r="Y876" s="143">
        <v>629</v>
      </c>
      <c r="Z876" s="143">
        <v>651</v>
      </c>
      <c r="AA876" s="143">
        <v>670</v>
      </c>
      <c r="AB876" s="143">
        <v>689</v>
      </c>
      <c r="AC876" s="143">
        <v>708</v>
      </c>
      <c r="AD876" s="143">
        <v>708</v>
      </c>
      <c r="AE876" s="22"/>
      <c r="AG876" s="71"/>
      <c r="AH876" s="71"/>
      <c r="AI876" s="71">
        <v>536</v>
      </c>
      <c r="AJ876" s="71">
        <v>536</v>
      </c>
      <c r="AK876" s="71"/>
      <c r="AL876" s="71"/>
      <c r="AM876" s="71"/>
      <c r="AN876" s="71"/>
      <c r="AO876" s="71"/>
      <c r="AP876" s="71"/>
      <c r="AQ876" s="71"/>
      <c r="AR876" s="71"/>
      <c r="AS876" s="94" cm="1">
        <f t="array" ref="AS876">IFERROR(INDEX(T876:AE876,1,MATCH(2,1/(T876:AE876&lt;&gt;""))),"")</f>
        <v>708</v>
      </c>
      <c r="AT876" s="95" cm="1">
        <f t="array" ref="AT876">IFERROR(INDEX(AJ876:AR876,1,MATCH(2,1/(AJ876:AR876&lt;&gt;""))),"")</f>
        <v>536</v>
      </c>
      <c r="AU876" s="97">
        <f t="shared" si="1148"/>
        <v>536</v>
      </c>
      <c r="AW876" s="51">
        <f t="shared" si="1149"/>
        <v>0</v>
      </c>
      <c r="AX876" s="51">
        <f t="shared" si="1150"/>
        <v>0</v>
      </c>
      <c r="AY876" s="51">
        <f t="shared" si="1151"/>
        <v>0.75706214689265539</v>
      </c>
      <c r="AZ876" s="51">
        <f t="shared" si="1152"/>
        <v>0.75706214689265539</v>
      </c>
      <c r="BA876" s="51"/>
      <c r="BB876" s="51"/>
      <c r="BC876" s="51"/>
      <c r="BD876" s="51"/>
      <c r="BE876" s="51"/>
      <c r="BF876" s="51"/>
      <c r="BG876" s="51"/>
      <c r="BH876" s="51"/>
      <c r="BI876" s="65" cm="1">
        <f t="array" ref="BI876">IFERROR(INDEX(AW876:BH876,1,MATCH(2,1/(AW876:BH876&lt;&gt;""))),"")</f>
        <v>0.75706214689265539</v>
      </c>
      <c r="BJ876" s="68" cm="1">
        <f t="array" ref="BJ876">IF(BM876 = "", "",IFERROR(INDEX(AW876:BH876,1,MATCH(2,1/(AW876:BH876&lt;&gt;""),1)-1),""))</f>
        <v>0.75706214689265539</v>
      </c>
      <c r="BK876" s="58" cm="1">
        <f t="array" ref="BK876">IFERROR(INDEX(AW876:BH876,1,MATCH(2,1/(AW876:BH876&lt;&gt;""))),"")</f>
        <v>0.75706214689265539</v>
      </c>
      <c r="BL876" s="58" cm="1">
        <f t="array" ref="BL876">IFERROR(INDEX(AW876:BH876,1,MATCH(2,1/(AW876:BH876&lt;&gt;""),1)-1),"")</f>
        <v>0.75706214689265539</v>
      </c>
      <c r="BM876" s="55" cm="1">
        <f t="array" ref="BM876">IFERROR(
   INDEX($AW$1:$BH$1,
      _xlfn.AGGREGATE(14, 6, COLUMN($AW$1:$BH$1)/(AW876:BH876&lt;&gt;""), 2) - COLUMN($AW$1) + 1
   ),
"")</f>
        <v>46082</v>
      </c>
      <c r="BN876" s="55" cm="1">
        <f t="array" ref="BN876">IFERROR(INDEX($AW$1:$BH$1,1,MATCH(2,1/(AW876:BH876&lt;&gt;""))),"")</f>
        <v>46113</v>
      </c>
      <c r="BO876" s="119" cm="1">
        <f t="array" aca="1" ref="BO876" ca="1">_xlfn.LET(
    _xlpm.mes_num, MONTH(TODAY())-1,
    _xlpm.coluna_ajustada, IF(_xlpm.mes_num=0, 12, _xlpm.mes_num),
    _xlpm.realizado_mes_anterior, INDEX(T876:AE876, 1, _xlpm.coluna_ajustada),
    _xlpm.previsto_total, AC876,
    _xlpm.realizado_mes_anterior / _xlpm.previsto_total
)</f>
        <v>0.85734463276836159</v>
      </c>
      <c r="BP876" s="53">
        <f ca="1">IFERROR(_xlfn.XLOOKUP(F876,Apuração!A:A,Apuração!D:D)/_xlfn.XLOOKUP(F876,Apuração!A:A,Apuração!B:B),0)</f>
        <v>0.2</v>
      </c>
      <c r="BQ876" s="53">
        <f ca="1">IF(BK876&gt;=BO876,0,_xlfn.XLOOKUP(F876,Apuração!A:A,Apuração!B:B)*(BO876 + (1/_xlfn.XLOOKUP(F876,Apuração!A:A,Apuração!B:B)) - BK876))</f>
        <v>2.0028248587570618</v>
      </c>
      <c r="BR876" s="85">
        <f t="shared" ca="1" si="1153"/>
        <v>1303.8389830508472</v>
      </c>
      <c r="BS876" s="53">
        <f ca="1">IFERROR((_xlfn.XLOOKUP(F876,Apuração!A:A,Apuração!C:C)+1)/_xlfn.XLOOKUP(F876,Apuração!A:A,Apuração!B:B),0)</f>
        <v>0.4</v>
      </c>
    </row>
    <row r="877" spans="1:71" ht="25.95" hidden="1" customHeight="1" x14ac:dyDescent="0.3">
      <c r="A877" s="33" t="s">
        <v>175</v>
      </c>
      <c r="B877" s="4" t="s">
        <v>184</v>
      </c>
      <c r="C877" s="5" t="s">
        <v>97</v>
      </c>
      <c r="D877" s="5" t="s">
        <v>104</v>
      </c>
      <c r="E877" s="4" t="str" cm="1">
        <f t="array" ref="E877">_xlfn.IFS(
F877 = "A partir de Abril", "Aguardando Execução na Distribuidora",
A877 = "CAPACITAÇÃO", "Em execução no Corporativo",
TRUE, "Em Execução na Distribuidora"
)</f>
        <v>Em execução no Corporativo</v>
      </c>
      <c r="F877" s="4" t="str" cm="1">
        <f t="array" ref="F877">_xlfn.IFS(
AG877 &lt;&gt; "", "Jan-Dez/26",
AH877 &lt;&gt; "", "Fev-Dez/26",
AI877 &lt;&gt; "", "Mar-Dez/26", AJ877 &lt;&gt; "", "Abr-Dez/26",
TRUE, "A partir de Junho"
)</f>
        <v>Mar-Dez/26</v>
      </c>
      <c r="G877" s="4" t="s">
        <v>37</v>
      </c>
      <c r="H877" s="7" t="s">
        <v>38</v>
      </c>
      <c r="I877" s="8" t="s">
        <v>177</v>
      </c>
      <c r="J877" s="8" t="str" cm="1">
        <f t="array" aca="1" ref="J877" ca="1">_xlfn.LET(
  _xlpm.actual_value_month, INDEX(T877:AE877, MATCH(DATE(YEAR(TODAY()), MONTH(TODAY()), 1), $T$1:$AE$1, 0)),
  IF(_xlpm.actual_value_month &lt;&gt; "", _xlpm.actual_value_month &amp; " certificados mensais", "")
)</f>
        <v>360 certificados mensais</v>
      </c>
      <c r="K877" s="8" t="str">
        <f t="shared" si="1145"/>
        <v>414 meta de certificados anuais</v>
      </c>
      <c r="L877" s="9" t="s">
        <v>185</v>
      </c>
      <c r="M877" s="13">
        <v>1</v>
      </c>
      <c r="N877" s="5" t="s">
        <v>42</v>
      </c>
      <c r="O877" s="5" t="s">
        <v>43</v>
      </c>
      <c r="P877" s="10" t="s">
        <v>146</v>
      </c>
      <c r="Q877" s="10" t="s">
        <v>44</v>
      </c>
      <c r="R877" s="11" t="s">
        <v>179</v>
      </c>
      <c r="S877" s="11" t="s">
        <v>67</v>
      </c>
      <c r="T877" s="22"/>
      <c r="U877" s="22"/>
      <c r="V877" s="143">
        <v>312</v>
      </c>
      <c r="W877" s="143">
        <v>328</v>
      </c>
      <c r="X877" s="143">
        <v>344</v>
      </c>
      <c r="Y877" s="143">
        <v>360</v>
      </c>
      <c r="Z877" s="143">
        <v>376</v>
      </c>
      <c r="AA877" s="143">
        <v>392</v>
      </c>
      <c r="AB877" s="143">
        <v>404</v>
      </c>
      <c r="AC877" s="143">
        <v>414</v>
      </c>
      <c r="AD877" s="143">
        <v>414</v>
      </c>
      <c r="AE877" s="22"/>
      <c r="AG877" s="71"/>
      <c r="AH877" s="71"/>
      <c r="AI877" s="71">
        <v>312</v>
      </c>
      <c r="AJ877" s="71">
        <v>312</v>
      </c>
      <c r="AK877" s="71"/>
      <c r="AL877" s="71"/>
      <c r="AM877" s="71"/>
      <c r="AN877" s="71"/>
      <c r="AO877" s="71"/>
      <c r="AP877" s="71"/>
      <c r="AQ877" s="71"/>
      <c r="AR877" s="71"/>
      <c r="AS877" s="94" cm="1">
        <f t="array" ref="AS877">IFERROR(INDEX(T877:AE877,1,MATCH(2,1/(T877:AE877&lt;&gt;""))),"")</f>
        <v>414</v>
      </c>
      <c r="AT877" s="95" cm="1">
        <f t="array" ref="AT877">IFERROR(INDEX(AJ877:AR877,1,MATCH(2,1/(AJ877:AR877&lt;&gt;""))),"")</f>
        <v>312</v>
      </c>
      <c r="AU877" s="97">
        <f t="shared" si="1148"/>
        <v>312</v>
      </c>
      <c r="AW877" s="51">
        <f t="shared" si="1149"/>
        <v>0</v>
      </c>
      <c r="AX877" s="51">
        <f t="shared" si="1150"/>
        <v>0</v>
      </c>
      <c r="AY877" s="51">
        <f t="shared" si="1151"/>
        <v>0.75362318840579712</v>
      </c>
      <c r="AZ877" s="51">
        <f t="shared" si="1152"/>
        <v>0.75362318840579712</v>
      </c>
      <c r="BA877" s="51"/>
      <c r="BB877" s="51"/>
      <c r="BC877" s="51"/>
      <c r="BD877" s="51"/>
      <c r="BE877" s="51"/>
      <c r="BF877" s="51"/>
      <c r="BG877" s="51"/>
      <c r="BH877" s="51"/>
      <c r="BI877" s="65" cm="1">
        <f t="array" ref="BI877">IFERROR(INDEX(AW877:BH877,1,MATCH(2,1/(AW877:BH877&lt;&gt;""))),"")</f>
        <v>0.75362318840579712</v>
      </c>
      <c r="BJ877" s="68" cm="1">
        <f t="array" ref="BJ877">IF(BM877 = "", "",IFERROR(INDEX(AW877:BH877,1,MATCH(2,1/(AW877:BH877&lt;&gt;""),1)-1),""))</f>
        <v>0.75362318840579712</v>
      </c>
      <c r="BK877" s="58" cm="1">
        <f t="array" ref="BK877">IFERROR(INDEX(AW877:BH877,1,MATCH(2,1/(AW877:BH877&lt;&gt;""))),"")</f>
        <v>0.75362318840579712</v>
      </c>
      <c r="BL877" s="58" cm="1">
        <f t="array" ref="BL877">IFERROR(INDEX(AW877:BH877,1,MATCH(2,1/(AW877:BH877&lt;&gt;""),1)-1),"")</f>
        <v>0.75362318840579712</v>
      </c>
      <c r="BM877" s="55" cm="1">
        <f t="array" ref="BM877">IFERROR(
   INDEX($AW$1:$BH$1,
      _xlfn.AGGREGATE(14, 6, COLUMN($AW$1:$BH$1)/(AW877:BH877&lt;&gt;""), 2) - COLUMN($AW$1) + 1
   ),
"")</f>
        <v>46082</v>
      </c>
      <c r="BN877" s="55" cm="1">
        <f t="array" ref="BN877">IFERROR(INDEX($AW$1:$BH$1,1,MATCH(2,1/(AW877:BH877&lt;&gt;""))),"")</f>
        <v>46113</v>
      </c>
      <c r="BO877" s="119" cm="1">
        <f t="array" aca="1" ref="BO877" ca="1">_xlfn.LET(
    _xlpm.mes_num, MONTH(TODAY())-1,
    _xlpm.coluna_ajustada, IF(_xlpm.mes_num=0, 12, _xlpm.mes_num),
    _xlpm.realizado_mes_anterior, INDEX(T877:AE877, 1, _xlpm.coluna_ajustada),
    _xlpm.previsto_total, AC877,
    _xlpm.realizado_mes_anterior / _xlpm.previsto_total
)</f>
        <v>0.83091787439613529</v>
      </c>
      <c r="BP877" s="53">
        <f ca="1">IFERROR(_xlfn.XLOOKUP(F877,Apuração!A:A,Apuração!D:D)/_xlfn.XLOOKUP(F877,Apuração!A:A,Apuração!B:B),0)</f>
        <v>0.2</v>
      </c>
      <c r="BQ877" s="53">
        <f ca="1">IF(BK877&gt;=BO877,0,_xlfn.XLOOKUP(F877,Apuração!A:A,Apuração!B:B)*(BO877 + (1/_xlfn.XLOOKUP(F877,Apuração!A:A,Apuração!B:B)) - BK877))</f>
        <v>1.7729468599033815</v>
      </c>
      <c r="BR877" s="85">
        <f t="shared" ca="1" si="1153"/>
        <v>666.62801932367142</v>
      </c>
      <c r="BS877" s="53">
        <f ca="1">IFERROR((_xlfn.XLOOKUP(F877,Apuração!A:A,Apuração!C:C)+1)/_xlfn.XLOOKUP(F877,Apuração!A:A,Apuração!B:B),0)</f>
        <v>0.4</v>
      </c>
    </row>
    <row r="878" spans="1:71" ht="25.95" hidden="1" customHeight="1" x14ac:dyDescent="0.3">
      <c r="A878" s="33" t="s">
        <v>175</v>
      </c>
      <c r="B878" s="4" t="s">
        <v>184</v>
      </c>
      <c r="C878" s="5" t="s">
        <v>97</v>
      </c>
      <c r="D878" s="5" t="s">
        <v>105</v>
      </c>
      <c r="E878" s="4" t="str" cm="1">
        <f t="array" ref="E878">_xlfn.IFS(
F878 = "A partir de Abril", "Aguardando Execução na Distribuidora",
A878 = "CAPACITAÇÃO", "Em execução no Corporativo",
TRUE, "Em Execução na Distribuidora"
)</f>
        <v>Em execução no Corporativo</v>
      </c>
      <c r="F878" s="4" t="str" cm="1">
        <f t="array" ref="F878">_xlfn.IFS(
AG878 &lt;&gt; "", "Jan-Dez/26",
AH878 &lt;&gt; "", "Fev-Dez/26",
AI878 &lt;&gt; "", "Mar-Dez/26", AJ878 &lt;&gt; "", "Abr-Dez/26",
TRUE, "A partir de Junho"
)</f>
        <v>Mar-Dez/26</v>
      </c>
      <c r="G878" s="4" t="s">
        <v>37</v>
      </c>
      <c r="H878" s="7" t="s">
        <v>38</v>
      </c>
      <c r="I878" s="8" t="s">
        <v>177</v>
      </c>
      <c r="J878" s="8" t="str" cm="1">
        <f t="array" aca="1" ref="J878" ca="1">_xlfn.LET(
  _xlpm.actual_value_month, INDEX(T878:AE878, MATCH(DATE(YEAR(TODAY()), MONTH(TODAY()), 1), $T$1:$AE$1, 0)),
  IF(_xlpm.actual_value_month &lt;&gt; "", _xlpm.actual_value_month &amp; " certificados mensais", "")
)</f>
        <v>153 certificados mensais</v>
      </c>
      <c r="K878" s="8" t="str">
        <f t="shared" si="1145"/>
        <v>161 meta de certificados anuais</v>
      </c>
      <c r="L878" s="9" t="s">
        <v>185</v>
      </c>
      <c r="M878" s="13">
        <v>1</v>
      </c>
      <c r="N878" s="5" t="s">
        <v>42</v>
      </c>
      <c r="O878" s="5" t="s">
        <v>43</v>
      </c>
      <c r="P878" s="10" t="s">
        <v>146</v>
      </c>
      <c r="Q878" s="10" t="s">
        <v>44</v>
      </c>
      <c r="R878" s="11" t="s">
        <v>179</v>
      </c>
      <c r="S878" s="11" t="s">
        <v>67</v>
      </c>
      <c r="T878" s="22"/>
      <c r="U878" s="22"/>
      <c r="V878" s="143">
        <v>131</v>
      </c>
      <c r="W878" s="143">
        <v>149</v>
      </c>
      <c r="X878" s="143">
        <v>153</v>
      </c>
      <c r="Y878" s="143">
        <v>153</v>
      </c>
      <c r="Z878" s="143">
        <v>153</v>
      </c>
      <c r="AA878" s="143">
        <v>153</v>
      </c>
      <c r="AB878" s="143">
        <v>157</v>
      </c>
      <c r="AC878" s="143">
        <v>161</v>
      </c>
      <c r="AD878" s="143">
        <v>164</v>
      </c>
      <c r="AE878" s="22"/>
      <c r="AG878" s="71"/>
      <c r="AH878" s="71"/>
      <c r="AI878" s="71">
        <v>133</v>
      </c>
      <c r="AJ878" s="71">
        <v>133</v>
      </c>
      <c r="AK878" s="71"/>
      <c r="AL878" s="71"/>
      <c r="AM878" s="71"/>
      <c r="AN878" s="71"/>
      <c r="AO878" s="71"/>
      <c r="AP878" s="71"/>
      <c r="AQ878" s="71"/>
      <c r="AR878" s="71"/>
      <c r="AS878" s="94" cm="1">
        <f t="array" ref="AS878">IFERROR(INDEX(T878:AE878,1,MATCH(2,1/(T878:AE878&lt;&gt;""))),"")</f>
        <v>164</v>
      </c>
      <c r="AT878" s="95" cm="1">
        <f t="array" ref="AT878">IFERROR(INDEX(AJ878:AR878,1,MATCH(2,1/(AJ878:AR878&lt;&gt;""))),"")</f>
        <v>133</v>
      </c>
      <c r="AU878" s="97">
        <f t="shared" si="1148"/>
        <v>133</v>
      </c>
      <c r="AW878" s="51">
        <f t="shared" si="1149"/>
        <v>0</v>
      </c>
      <c r="AX878" s="51">
        <f t="shared" si="1150"/>
        <v>0</v>
      </c>
      <c r="AY878" s="51">
        <f t="shared" si="1151"/>
        <v>0.82608695652173914</v>
      </c>
      <c r="AZ878" s="51">
        <f t="shared" si="1152"/>
        <v>0.82608695652173914</v>
      </c>
      <c r="BA878" s="51"/>
      <c r="BB878" s="51"/>
      <c r="BC878" s="51"/>
      <c r="BD878" s="51"/>
      <c r="BE878" s="51"/>
      <c r="BF878" s="51"/>
      <c r="BG878" s="51"/>
      <c r="BH878" s="51"/>
      <c r="BI878" s="65" cm="1">
        <f t="array" ref="BI878">IFERROR(INDEX(AW878:BH878,1,MATCH(2,1/(AW878:BH878&lt;&gt;""))),"")</f>
        <v>0.82608695652173914</v>
      </c>
      <c r="BJ878" s="68" cm="1">
        <f t="array" ref="BJ878">IF(BM878 = "", "",IFERROR(INDEX(AW878:BH878,1,MATCH(2,1/(AW878:BH878&lt;&gt;""),1)-1),""))</f>
        <v>0.82608695652173914</v>
      </c>
      <c r="BK878" s="58" cm="1">
        <f t="array" ref="BK878">IFERROR(INDEX(AW878:BH878,1,MATCH(2,1/(AW878:BH878&lt;&gt;""))),"")</f>
        <v>0.82608695652173914</v>
      </c>
      <c r="BL878" s="58" cm="1">
        <f t="array" ref="BL878">IFERROR(INDEX(AW878:BH878,1,MATCH(2,1/(AW878:BH878&lt;&gt;""),1)-1),"")</f>
        <v>0.82608695652173914</v>
      </c>
      <c r="BM878" s="55" cm="1">
        <f t="array" ref="BM878">IFERROR(
   INDEX($AW$1:$BH$1,
      _xlfn.AGGREGATE(14, 6, COLUMN($AW$1:$BH$1)/(AW878:BH878&lt;&gt;""), 2) - COLUMN($AW$1) + 1
   ),
"")</f>
        <v>46082</v>
      </c>
      <c r="BN878" s="55" cm="1">
        <f t="array" ref="BN878">IFERROR(INDEX($AW$1:$BH$1,1,MATCH(2,1/(AW878:BH878&lt;&gt;""))),"")</f>
        <v>46113</v>
      </c>
      <c r="BO878" s="119" cm="1">
        <f t="array" aca="1" ref="BO878" ca="1">_xlfn.LET(
    _xlpm.mes_num, MONTH(TODAY())-1,
    _xlpm.coluna_ajustada, IF(_xlpm.mes_num=0, 12, _xlpm.mes_num),
    _xlpm.realizado_mes_anterior, INDEX(T878:AE878, 1, _xlpm.coluna_ajustada),
    _xlpm.previsto_total, AC878,
    _xlpm.realizado_mes_anterior / _xlpm.previsto_total
)</f>
        <v>0.9503105590062112</v>
      </c>
      <c r="BP878" s="53">
        <f ca="1">IFERROR(_xlfn.XLOOKUP(F878,Apuração!A:A,Apuração!D:D)/_xlfn.XLOOKUP(F878,Apuração!A:A,Apuração!B:B),0)</f>
        <v>0.2</v>
      </c>
      <c r="BQ878" s="53">
        <f ca="1">IF(BK878&gt;=BO878,0,_xlfn.XLOOKUP(F878,Apuração!A:A,Apuração!B:B)*(BO878 + (1/_xlfn.XLOOKUP(F878,Apuração!A:A,Apuração!B:B)) - BK878))</f>
        <v>2.2422360248447202</v>
      </c>
      <c r="BR878" s="85">
        <f t="shared" ca="1" si="1153"/>
        <v>343.06211180124217</v>
      </c>
      <c r="BS878" s="53">
        <f ca="1">IFERROR((_xlfn.XLOOKUP(F878,Apuração!A:A,Apuração!C:C)+1)/_xlfn.XLOOKUP(F878,Apuração!A:A,Apuração!B:B),0)</f>
        <v>0.4</v>
      </c>
    </row>
    <row r="879" spans="1:71" ht="25.95" hidden="1" customHeight="1" x14ac:dyDescent="0.3">
      <c r="A879" s="33" t="s">
        <v>175</v>
      </c>
      <c r="B879" s="4" t="s">
        <v>184</v>
      </c>
      <c r="C879" s="5" t="s">
        <v>97</v>
      </c>
      <c r="D879" s="5" t="s">
        <v>106</v>
      </c>
      <c r="E879" s="4" t="str" cm="1">
        <f t="array" ref="E879">_xlfn.IFS(
F879 = "A partir de Abril", "Aguardando Execução na Distribuidora",
A879 = "CAPACITAÇÃO", "Em execução no Corporativo",
TRUE, "Em Execução na Distribuidora"
)</f>
        <v>Em execução no Corporativo</v>
      </c>
      <c r="F879" s="4" t="str" cm="1">
        <f t="array" ref="F879">_xlfn.IFS(
AG879 &lt;&gt; "", "Jan-Dez/26",
AH879 &lt;&gt; "", "Fev-Dez/26",
AI879 &lt;&gt; "", "Mar-Dez/26", AJ879 &lt;&gt; "", "Abr-Dez/26",
TRUE, "A partir de Junho"
)</f>
        <v>Mar-Dez/26</v>
      </c>
      <c r="G879" s="4" t="s">
        <v>37</v>
      </c>
      <c r="H879" s="7" t="s">
        <v>38</v>
      </c>
      <c r="I879" s="8" t="s">
        <v>177</v>
      </c>
      <c r="J879" s="8" t="str" cm="1">
        <f t="array" aca="1" ref="J879" ca="1">_xlfn.LET(
  _xlpm.actual_value_month, INDEX(T879:AE879, MATCH(DATE(YEAR(TODAY()), MONTH(TODAY()), 1), $T$1:$AE$1, 0)),
  IF(_xlpm.actual_value_month &lt;&gt; "", _xlpm.actual_value_month &amp; " certificados mensais", "")
)</f>
        <v>347 certificados mensais</v>
      </c>
      <c r="K879" s="8" t="str">
        <f t="shared" si="1145"/>
        <v>347 meta de certificados anuais</v>
      </c>
      <c r="L879" s="9" t="s">
        <v>185</v>
      </c>
      <c r="M879" s="13">
        <v>1</v>
      </c>
      <c r="N879" s="5" t="s">
        <v>42</v>
      </c>
      <c r="O879" s="5" t="s">
        <v>43</v>
      </c>
      <c r="P879" s="10" t="s">
        <v>146</v>
      </c>
      <c r="Q879" s="10" t="s">
        <v>44</v>
      </c>
      <c r="R879" s="11" t="s">
        <v>179</v>
      </c>
      <c r="S879" s="11" t="s">
        <v>67</v>
      </c>
      <c r="T879" s="22"/>
      <c r="U879" s="22"/>
      <c r="V879" s="143">
        <v>328</v>
      </c>
      <c r="W879" s="143">
        <v>335</v>
      </c>
      <c r="X879" s="143">
        <v>341</v>
      </c>
      <c r="Y879" s="143">
        <v>347</v>
      </c>
      <c r="Z879" s="143">
        <v>347</v>
      </c>
      <c r="AA879" s="143">
        <v>347</v>
      </c>
      <c r="AB879" s="143">
        <v>347</v>
      </c>
      <c r="AC879" s="143">
        <v>347</v>
      </c>
      <c r="AD879" s="143">
        <v>347</v>
      </c>
      <c r="AE879" s="22"/>
      <c r="AG879" s="71"/>
      <c r="AH879" s="71"/>
      <c r="AI879" s="71">
        <v>328</v>
      </c>
      <c r="AJ879" s="71">
        <v>328</v>
      </c>
      <c r="AK879" s="71"/>
      <c r="AL879" s="71"/>
      <c r="AM879" s="71"/>
      <c r="AN879" s="71"/>
      <c r="AO879" s="71"/>
      <c r="AP879" s="71"/>
      <c r="AQ879" s="71"/>
      <c r="AR879" s="71"/>
      <c r="AS879" s="94" cm="1">
        <f t="array" ref="AS879">IFERROR(INDEX(T879:AE879,1,MATCH(2,1/(T879:AE879&lt;&gt;""))),"")</f>
        <v>347</v>
      </c>
      <c r="AT879" s="95" cm="1">
        <f t="array" ref="AT879">IFERROR(INDEX(AJ879:AR879,1,MATCH(2,1/(AJ879:AR879&lt;&gt;""))),"")</f>
        <v>328</v>
      </c>
      <c r="AU879" s="97">
        <f t="shared" si="1148"/>
        <v>328</v>
      </c>
      <c r="AW879" s="51">
        <f t="shared" si="1149"/>
        <v>0</v>
      </c>
      <c r="AX879" s="51">
        <f t="shared" si="1150"/>
        <v>0</v>
      </c>
      <c r="AY879" s="51">
        <f t="shared" si="1151"/>
        <v>0.94524495677233433</v>
      </c>
      <c r="AZ879" s="51">
        <f t="shared" si="1152"/>
        <v>0.94524495677233433</v>
      </c>
      <c r="BA879" s="51"/>
      <c r="BB879" s="51"/>
      <c r="BC879" s="51"/>
      <c r="BD879" s="51"/>
      <c r="BE879" s="51"/>
      <c r="BF879" s="51"/>
      <c r="BG879" s="51"/>
      <c r="BH879" s="51"/>
      <c r="BI879" s="65" cm="1">
        <f t="array" ref="BI879">IFERROR(INDEX(AW879:BH879,1,MATCH(2,1/(AW879:BH879&lt;&gt;""))),"")</f>
        <v>0.94524495677233433</v>
      </c>
      <c r="BJ879" s="68" cm="1">
        <f t="array" ref="BJ879">IF(BM879 = "", "",IFERROR(INDEX(AW879:BH879,1,MATCH(2,1/(AW879:BH879&lt;&gt;""),1)-1),""))</f>
        <v>0.94524495677233433</v>
      </c>
      <c r="BK879" s="58" cm="1">
        <f t="array" ref="BK879">IFERROR(INDEX(AW879:BH879,1,MATCH(2,1/(AW879:BH879&lt;&gt;""))),"")</f>
        <v>0.94524495677233433</v>
      </c>
      <c r="BL879" s="58" cm="1">
        <f t="array" ref="BL879">IFERROR(INDEX(AW879:BH879,1,MATCH(2,1/(AW879:BH879&lt;&gt;""),1)-1),"")</f>
        <v>0.94524495677233433</v>
      </c>
      <c r="BM879" s="55" cm="1">
        <f t="array" ref="BM879">IFERROR(
   INDEX($AW$1:$BH$1,
      _xlfn.AGGREGATE(14, 6, COLUMN($AW$1:$BH$1)/(AW879:BH879&lt;&gt;""), 2) - COLUMN($AW$1) + 1
   ),
"")</f>
        <v>46082</v>
      </c>
      <c r="BN879" s="55" cm="1">
        <f t="array" ref="BN879">IFERROR(INDEX($AW$1:$BH$1,1,MATCH(2,1/(AW879:BH879&lt;&gt;""))),"")</f>
        <v>46113</v>
      </c>
      <c r="BO879" s="119" cm="1">
        <f t="array" aca="1" ref="BO879" ca="1">_xlfn.LET(
    _xlpm.mes_num, MONTH(TODAY())-1,
    _xlpm.coluna_ajustada, IF(_xlpm.mes_num=0, 12, _xlpm.mes_num),
    _xlpm.realizado_mes_anterior, INDEX(T879:AE879, 1, _xlpm.coluna_ajustada),
    _xlpm.previsto_total, AC879,
    _xlpm.realizado_mes_anterior / _xlpm.previsto_total
)</f>
        <v>0.98270893371757928</v>
      </c>
      <c r="BP879" s="53">
        <f ca="1">IFERROR(_xlfn.XLOOKUP(F879,Apuração!A:A,Apuração!D:D)/_xlfn.XLOOKUP(F879,Apuração!A:A,Apuração!B:B),0)</f>
        <v>0.2</v>
      </c>
      <c r="BQ879" s="53">
        <f ca="1">IF(BK879&gt;=BO879,0,_xlfn.XLOOKUP(F879,Apuração!A:A,Apuração!B:B)*(BO879 + (1/_xlfn.XLOOKUP(F879,Apuração!A:A,Apuração!B:B)) - BK879))</f>
        <v>1.3746397694524493</v>
      </c>
      <c r="BR879" s="85">
        <f t="shared" ca="1" si="1153"/>
        <v>476.99999999999989</v>
      </c>
      <c r="BS879" s="53">
        <f ca="1">IFERROR((_xlfn.XLOOKUP(F879,Apuração!A:A,Apuração!C:C)+1)/_xlfn.XLOOKUP(F879,Apuração!A:A,Apuração!B:B),0)</f>
        <v>0.4</v>
      </c>
    </row>
    <row r="880" spans="1:71" ht="25.95" hidden="1" customHeight="1" x14ac:dyDescent="0.3">
      <c r="A880" s="33" t="s">
        <v>175</v>
      </c>
      <c r="B880" s="4" t="s">
        <v>184</v>
      </c>
      <c r="C880" s="5" t="s">
        <v>97</v>
      </c>
      <c r="D880" s="5" t="s">
        <v>107</v>
      </c>
      <c r="E880" s="4" t="str" cm="1">
        <f t="array" ref="E880">_xlfn.IFS(
F880 = "A partir de Abril", "Aguardando Execução na Distribuidora",
A880 = "CAPACITAÇÃO", "Em execução no Corporativo",
TRUE, "Em Execução na Distribuidora"
)</f>
        <v>Em execução no Corporativo</v>
      </c>
      <c r="F880" s="4" t="str" cm="1">
        <f t="array" ref="F880">_xlfn.IFS(
AG880 &lt;&gt; "", "Jan-Dez/26",
AH880 &lt;&gt; "", "Fev-Dez/26",
AI880 &lt;&gt; "", "Mar-Dez/26", AJ880 &lt;&gt; "", "Abr-Dez/26",
TRUE, "A partir de Junho"
)</f>
        <v>Mar-Dez/26</v>
      </c>
      <c r="G880" s="4" t="s">
        <v>37</v>
      </c>
      <c r="H880" s="7" t="s">
        <v>38</v>
      </c>
      <c r="I880" s="8" t="s">
        <v>177</v>
      </c>
      <c r="J880" s="8" t="str" cm="1">
        <f t="array" aca="1" ref="J880" ca="1">_xlfn.LET(
  _xlpm.actual_value_month, INDEX(T880:AE880, MATCH(DATE(YEAR(TODAY()), MONTH(TODAY()), 1), $T$1:$AE$1, 0)),
  IF(_xlpm.actual_value_month &lt;&gt; "", _xlpm.actual_value_month &amp; " certificados mensais", "")
)</f>
        <v>415 certificados mensais</v>
      </c>
      <c r="K880" s="8" t="str">
        <f t="shared" si="1145"/>
        <v>415 meta de certificados anuais</v>
      </c>
      <c r="L880" s="9" t="s">
        <v>185</v>
      </c>
      <c r="M880" s="13">
        <v>1</v>
      </c>
      <c r="N880" s="5" t="s">
        <v>42</v>
      </c>
      <c r="O880" s="5" t="s">
        <v>43</v>
      </c>
      <c r="P880" s="10" t="s">
        <v>146</v>
      </c>
      <c r="Q880" s="10" t="s">
        <v>44</v>
      </c>
      <c r="R880" s="11" t="s">
        <v>179</v>
      </c>
      <c r="S880" s="11" t="s">
        <v>67</v>
      </c>
      <c r="T880" s="22"/>
      <c r="U880" s="22"/>
      <c r="V880" s="143">
        <v>403</v>
      </c>
      <c r="W880" s="143">
        <v>411</v>
      </c>
      <c r="X880" s="143">
        <v>415</v>
      </c>
      <c r="Y880" s="143">
        <v>415</v>
      </c>
      <c r="Z880" s="143">
        <v>415</v>
      </c>
      <c r="AA880" s="143">
        <v>415</v>
      </c>
      <c r="AB880" s="143">
        <v>415</v>
      </c>
      <c r="AC880" s="143">
        <v>415</v>
      </c>
      <c r="AD880" s="143">
        <v>415</v>
      </c>
      <c r="AE880" s="22"/>
      <c r="AG880" s="71"/>
      <c r="AH880" s="71"/>
      <c r="AI880" s="71">
        <v>403</v>
      </c>
      <c r="AJ880" s="71">
        <v>403</v>
      </c>
      <c r="AK880" s="71"/>
      <c r="AL880" s="71"/>
      <c r="AM880" s="71"/>
      <c r="AN880" s="71"/>
      <c r="AO880" s="71"/>
      <c r="AP880" s="71"/>
      <c r="AQ880" s="71"/>
      <c r="AR880" s="71"/>
      <c r="AS880" s="94" cm="1">
        <f t="array" ref="AS880">IFERROR(INDEX(T880:AE880,1,MATCH(2,1/(T880:AE880&lt;&gt;""))),"")</f>
        <v>415</v>
      </c>
      <c r="AT880" s="95" cm="1">
        <f t="array" ref="AT880">IFERROR(INDEX(AJ880:AR880,1,MATCH(2,1/(AJ880:AR880&lt;&gt;""))),"")</f>
        <v>403</v>
      </c>
      <c r="AU880" s="97">
        <f t="shared" si="1148"/>
        <v>403</v>
      </c>
      <c r="AW880" s="51">
        <f t="shared" si="1149"/>
        <v>0</v>
      </c>
      <c r="AX880" s="51">
        <f t="shared" si="1150"/>
        <v>0</v>
      </c>
      <c r="AY880" s="51">
        <f t="shared" si="1151"/>
        <v>0.97108433734939759</v>
      </c>
      <c r="AZ880" s="51">
        <f t="shared" si="1152"/>
        <v>0.97108433734939759</v>
      </c>
      <c r="BA880" s="51"/>
      <c r="BB880" s="51"/>
      <c r="BC880" s="51"/>
      <c r="BD880" s="51"/>
      <c r="BE880" s="51"/>
      <c r="BF880" s="51"/>
      <c r="BG880" s="51"/>
      <c r="BH880" s="51"/>
      <c r="BI880" s="65" cm="1">
        <f t="array" ref="BI880">IFERROR(INDEX(AW880:BH880,1,MATCH(2,1/(AW880:BH880&lt;&gt;""))),"")</f>
        <v>0.97108433734939759</v>
      </c>
      <c r="BJ880" s="68" cm="1">
        <f t="array" ref="BJ880">IF(BM880 = "", "",IFERROR(INDEX(AW880:BH880,1,MATCH(2,1/(AW880:BH880&lt;&gt;""),1)-1),""))</f>
        <v>0.97108433734939759</v>
      </c>
      <c r="BK880" s="58" cm="1">
        <f t="array" ref="BK880">IFERROR(INDEX(AW880:BH880,1,MATCH(2,1/(AW880:BH880&lt;&gt;""))),"")</f>
        <v>0.97108433734939759</v>
      </c>
      <c r="BL880" s="58" cm="1">
        <f t="array" ref="BL880">IFERROR(INDEX(AW880:BH880,1,MATCH(2,1/(AW880:BH880&lt;&gt;""),1)-1),"")</f>
        <v>0.97108433734939759</v>
      </c>
      <c r="BM880" s="55" cm="1">
        <f t="array" ref="BM880">IFERROR(
   INDEX($AW$1:$BH$1,
      _xlfn.AGGREGATE(14, 6, COLUMN($AW$1:$BH$1)/(AW880:BH880&lt;&gt;""), 2) - COLUMN($AW$1) + 1
   ),
"")</f>
        <v>46082</v>
      </c>
      <c r="BN880" s="55" cm="1">
        <f t="array" ref="BN880">IFERROR(INDEX($AW$1:$BH$1,1,MATCH(2,1/(AW880:BH880&lt;&gt;""))),"")</f>
        <v>46113</v>
      </c>
      <c r="BO880" s="119" cm="1">
        <f t="array" aca="1" ref="BO880" ca="1">_xlfn.LET(
    _xlpm.mes_num, MONTH(TODAY())-1,
    _xlpm.coluna_ajustada, IF(_xlpm.mes_num=0, 12, _xlpm.mes_num),
    _xlpm.realizado_mes_anterior, INDEX(T880:AE880, 1, _xlpm.coluna_ajustada),
    _xlpm.previsto_total, AC880,
    _xlpm.realizado_mes_anterior / _xlpm.previsto_total
)</f>
        <v>1</v>
      </c>
      <c r="BP880" s="53">
        <f ca="1">IFERROR(_xlfn.XLOOKUP(F880,Apuração!A:A,Apuração!D:D)/_xlfn.XLOOKUP(F880,Apuração!A:A,Apuração!B:B),0)</f>
        <v>0.2</v>
      </c>
      <c r="BQ880" s="53">
        <f ca="1">IF(BK880&gt;=BO880,0,_xlfn.XLOOKUP(F880,Apuração!A:A,Apuração!B:B)*(BO880 + (1/_xlfn.XLOOKUP(F880,Apuração!A:A,Apuração!B:B)) - BK880))</f>
        <v>1.289156626506025</v>
      </c>
      <c r="BR880" s="85">
        <f t="shared" ca="1" si="1153"/>
        <v>535.00000000000034</v>
      </c>
      <c r="BS880" s="53">
        <f ca="1">IFERROR((_xlfn.XLOOKUP(F880,Apuração!A:A,Apuração!C:C)+1)/_xlfn.XLOOKUP(F880,Apuração!A:A,Apuração!B:B),0)</f>
        <v>0.4</v>
      </c>
    </row>
    <row r="881" spans="1:71" ht="25.95" hidden="1" customHeight="1" x14ac:dyDescent="0.3">
      <c r="A881" s="44" t="s">
        <v>175</v>
      </c>
      <c r="B881" s="4" t="s">
        <v>184</v>
      </c>
      <c r="C881" s="5" t="s">
        <v>97</v>
      </c>
      <c r="D881" s="5" t="s">
        <v>36</v>
      </c>
      <c r="E881" s="4" t="str" cm="1">
        <f t="array" ref="E881">_xlfn.IFS(
F881 = "A partir de Abril", "Aguardando Execução na Distribuidora",
A881 = "CAPACITAÇÃO", "Em execução no Corporativo",
TRUE, "Em Execução na Distribuidora"
)</f>
        <v>Em execução no Corporativo</v>
      </c>
      <c r="F881" s="4" t="str" cm="1">
        <f t="array" ref="F881">_xlfn.IFS(
AG881 &lt;&gt; "", "Jan-Dez/26",
AH881 &lt;&gt; "", "Fev-Dez/26",
AI881 &lt;&gt; "", "Mar-Dez/26", AJ881 &lt;&gt; "", "Abr-Dez/26",
TRUE, "A partir de Junho"
)</f>
        <v>Mar-Dez/26</v>
      </c>
      <c r="G881" s="4" t="s">
        <v>37</v>
      </c>
      <c r="H881" s="7" t="s">
        <v>38</v>
      </c>
      <c r="I881" s="21" t="s">
        <v>180</v>
      </c>
      <c r="J881" s="8" t="str" cm="1">
        <f t="array" aca="1" ref="J881" ca="1">_xlfn.LET(
  _xlpm.actual_value_month, INDEX(T881:AE881, MATCH(DATE(YEAR(TODAY()), MONTH(TODAY()), 1), $T$1:$AE$1, 0)),
  IF(_xlpm.actual_value_month &lt;&gt; "", _xlpm.actual_value_month &amp; " ações mensais", "")
)</f>
        <v/>
      </c>
      <c r="K881" s="8" t="str" cm="1">
        <f t="array" ref="K881">_xlfn.LET(
    _xlpm.sum_month, SUM(T881:AE881),
    IF(_xlpm.sum_month = 0, "", _xlpm.sum_month &amp; " colaboradores treinados.")
)</f>
        <v/>
      </c>
      <c r="L881" s="9" t="s">
        <v>220</v>
      </c>
      <c r="M881" s="13">
        <v>1</v>
      </c>
      <c r="N881" s="5" t="s">
        <v>51</v>
      </c>
      <c r="O881" s="5" t="s">
        <v>52</v>
      </c>
      <c r="P881" s="10" t="s">
        <v>146</v>
      </c>
      <c r="Q881" s="10" t="s">
        <v>44</v>
      </c>
      <c r="R881" s="11" t="s">
        <v>44</v>
      </c>
      <c r="S881" s="11" t="s">
        <v>44</v>
      </c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G881" s="71"/>
      <c r="AH881" s="71"/>
      <c r="AI881" s="71">
        <v>3446</v>
      </c>
      <c r="AJ881" s="71">
        <v>3452</v>
      </c>
      <c r="AK881" s="71"/>
      <c r="AL881" s="71"/>
      <c r="AM881" s="71"/>
      <c r="AN881" s="71"/>
      <c r="AO881" s="71"/>
      <c r="AP881" s="71"/>
      <c r="AQ881" s="71"/>
      <c r="AR881" s="71"/>
      <c r="AS881" s="94" t="str" cm="1">
        <f t="array" ref="AS881">IFERROR(INDEX(T881:AE881,1,MATCH(2,1/(T881:AE881&lt;&gt;""))),"")</f>
        <v/>
      </c>
      <c r="AT881" s="95" cm="1">
        <f t="array" ref="AT881">IFERROR(INDEX(AJ881:AR881,1,MATCH(2,1/(AJ881:AR881&lt;&gt;""))),"")</f>
        <v>3452</v>
      </c>
      <c r="AU881" s="97">
        <f t="shared" si="1121"/>
        <v>3452</v>
      </c>
      <c r="AW881" s="83">
        <f>AG881</f>
        <v>0</v>
      </c>
      <c r="AX881" s="52">
        <f t="shared" ref="AX881" si="1154">AH881</f>
        <v>0</v>
      </c>
      <c r="AY881" s="52">
        <f t="shared" ref="AY881:AZ881" si="1155">AI881</f>
        <v>3446</v>
      </c>
      <c r="AZ881" s="52">
        <f t="shared" si="1155"/>
        <v>3452</v>
      </c>
      <c r="BA881" s="52"/>
      <c r="BB881" s="52"/>
      <c r="BC881" s="52"/>
      <c r="BD881" s="52"/>
      <c r="BE881" s="52"/>
      <c r="BF881" s="52"/>
      <c r="BG881" s="52"/>
      <c r="BH881" s="52"/>
      <c r="BI881" s="68" cm="1">
        <f t="array" ref="BI881">IFERROR(INDEX(AW881:BH881,1,MATCH(2,1/(AW881:BH881&lt;&gt;""))),"")</f>
        <v>3452</v>
      </c>
      <c r="BJ881" s="68" cm="1">
        <f t="array" ref="BJ881">IF(BM881 = "", "",IFERROR(INDEX(AW881:BH881,1,MATCH(2,1/(AW881:BH881&lt;&gt;""),1)-1),""))</f>
        <v>3446</v>
      </c>
      <c r="BK881" s="59">
        <f>SUM(AW881:BH881)</f>
        <v>6898</v>
      </c>
      <c r="BL881" s="59" cm="1">
        <f t="array" ref="BL881">IFERROR(SUM(AW881:INDEX(AW881:BH881, MATCH(2, 1/(AW881:BH881&lt;&gt;""), 1) - 1))/_xlfn.XLOOKUP(F881,Apuração!A:A,Apuração!B:B),0)</f>
        <v>344.6</v>
      </c>
      <c r="BM881" s="55" cm="1">
        <f t="array" ref="BM881">IFERROR(
   INDEX($AW$1:$BH$1,
      _xlfn.AGGREGATE(14, 6, COLUMN($AW$1:$BH$1)/(AW881:BH881&lt;&gt;""), 2) - COLUMN($AW$1) + 1
   ),
"")</f>
        <v>46082</v>
      </c>
      <c r="BN881" s="55" cm="1">
        <f t="array" ref="BN881">IFERROR(INDEX($AW$1:$BH$1,1,MATCH(2,1/(AW881:BH881&lt;&gt;""))),"")</f>
        <v>46113</v>
      </c>
      <c r="BO881" s="53">
        <f ca="1">IFERROR(_xlfn.XLOOKUP(F881,Apuração!A:A,Apuração!C:C)/_xlfn.XLOOKUP(F881,Apuração!A:A,Apuração!B:B),0)</f>
        <v>0.3</v>
      </c>
      <c r="BP881" s="53">
        <f ca="1">IFERROR(_xlfn.XLOOKUP(F881,Apuração!A:A,Apuração!D:D)/_xlfn.XLOOKUP(F881,Apuração!A:A,Apuração!B:B),0)</f>
        <v>0.2</v>
      </c>
      <c r="BQ881" s="53">
        <f ca="1">IF(BK881&gt;=BO881,0,_xlfn.XLOOKUP(F881,Apuração!A:A,Apuração!B:B)*(BO881 + (1/_xlfn.XLOOKUP(F881,Apuração!A:A,Apuração!B:B)) - BK881))</f>
        <v>0</v>
      </c>
      <c r="BR881" s="85">
        <f t="shared" ca="1" si="898"/>
        <v>0</v>
      </c>
      <c r="BS881" s="53">
        <f ca="1">IFERROR((_xlfn.XLOOKUP(F881,Apuração!A:A,Apuração!C:C)+1)/_xlfn.XLOOKUP(F881,Apuração!A:A,Apuração!B:B),0)</f>
        <v>0.4</v>
      </c>
    </row>
    <row r="882" spans="1:71" ht="25.95" hidden="1" customHeight="1" x14ac:dyDescent="0.3">
      <c r="A882" s="44" t="s">
        <v>175</v>
      </c>
      <c r="B882" s="4" t="s">
        <v>184</v>
      </c>
      <c r="C882" s="5" t="s">
        <v>97</v>
      </c>
      <c r="D882" s="5" t="s">
        <v>98</v>
      </c>
      <c r="E882" s="4" t="str" cm="1">
        <f t="array" ref="E882">_xlfn.IFS(
F882 = "A partir de Abril", "Aguardando Execução na Distribuidora",
A882 = "CAPACITAÇÃO", "Em execução no Corporativo",
TRUE, "Em Execução na Distribuidora"
)</f>
        <v>Em execução no Corporativo</v>
      </c>
      <c r="F882" s="4" t="str" cm="1">
        <f t="array" ref="F882">_xlfn.IFS(
AG882 &lt;&gt; "", "Jan-Dez/26",
AH882 &lt;&gt; "", "Fev-Dez/26",
AI882 &lt;&gt; "", "Mar-Dez/26", AJ882 &lt;&gt; "", "Abr-Dez/26",
TRUE, "A partir de Junho"
)</f>
        <v>Mar-Dez/26</v>
      </c>
      <c r="G882" s="4" t="s">
        <v>37</v>
      </c>
      <c r="H882" s="7" t="s">
        <v>38</v>
      </c>
      <c r="I882" s="21" t="s">
        <v>180</v>
      </c>
      <c r="J882" s="8" t="str" cm="1">
        <f t="array" aca="1" ref="J882" ca="1">_xlfn.LET(
  _xlpm.actual_value_month, INDEX(T882:AE882, MATCH(DATE(YEAR(TODAY()), MONTH(TODAY()), 1), $T$1:$AE$1, 0)),
  IF(_xlpm.actual_value_month &lt;&gt; "", _xlpm.actual_value_month &amp; " ações mensais", "")
)</f>
        <v/>
      </c>
      <c r="K882" s="8" t="str" cm="1">
        <f t="array" ref="K882">_xlfn.LET(
    _xlpm.sum_month, SUM(T882:AE882),
    IF(_xlpm.sum_month = 0, "", _xlpm.sum_month &amp; " colaboradores treinados.")
)</f>
        <v/>
      </c>
      <c r="L882" s="9" t="s">
        <v>220</v>
      </c>
      <c r="M882" s="13">
        <v>1</v>
      </c>
      <c r="N882" s="5" t="s">
        <v>51</v>
      </c>
      <c r="O882" s="5" t="s">
        <v>52</v>
      </c>
      <c r="P882" s="10" t="s">
        <v>146</v>
      </c>
      <c r="Q882" s="10" t="s">
        <v>44</v>
      </c>
      <c r="R882" s="11" t="s">
        <v>44</v>
      </c>
      <c r="S882" s="11" t="s">
        <v>44</v>
      </c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G882" s="71"/>
      <c r="AH882" s="71"/>
      <c r="AI882" s="82">
        <v>317</v>
      </c>
      <c r="AJ882" s="82">
        <v>317</v>
      </c>
      <c r="AK882" s="71"/>
      <c r="AL882" s="71"/>
      <c r="AM882" s="71"/>
      <c r="AN882" s="71"/>
      <c r="AO882" s="71"/>
      <c r="AP882" s="71"/>
      <c r="AQ882" s="71"/>
      <c r="AR882" s="71"/>
      <c r="AS882" s="94" t="str" cm="1">
        <f t="array" ref="AS882">IFERROR(INDEX(T882:AE882,1,MATCH(2,1/(T882:AE882&lt;&gt;""))),"")</f>
        <v/>
      </c>
      <c r="AT882" s="95" cm="1">
        <f t="array" ref="AT882">IFERROR(INDEX(AJ882:AR882,1,MATCH(2,1/(AJ882:AR882&lt;&gt;""))),"")</f>
        <v>317</v>
      </c>
      <c r="AU882" s="97">
        <f t="shared" ref="AU882:AU891" si="1156">AT882</f>
        <v>317</v>
      </c>
      <c r="AW882" s="83">
        <f t="shared" ref="AW882:AW891" si="1157">AG882</f>
        <v>0</v>
      </c>
      <c r="AX882" s="52">
        <f t="shared" ref="AX882:AX891" si="1158">AH882</f>
        <v>0</v>
      </c>
      <c r="AY882" s="52">
        <f t="shared" ref="AY882:AY891" si="1159">AI882</f>
        <v>317</v>
      </c>
      <c r="AZ882" s="52">
        <f t="shared" ref="AZ882:AZ891" si="1160">AJ882</f>
        <v>317</v>
      </c>
      <c r="BA882" s="52"/>
      <c r="BB882" s="52"/>
      <c r="BC882" s="52"/>
      <c r="BD882" s="52"/>
      <c r="BE882" s="52"/>
      <c r="BF882" s="52"/>
      <c r="BG882" s="52"/>
      <c r="BH882" s="52"/>
      <c r="BI882" s="68" cm="1">
        <f t="array" ref="BI882">IFERROR(INDEX(AW882:BH882,1,MATCH(2,1/(AW882:BH882&lt;&gt;""))),"")</f>
        <v>317</v>
      </c>
      <c r="BJ882" s="68" cm="1">
        <f t="array" ref="BJ882">IF(BM882 = "", "",IFERROR(INDEX(AW882:BH882,1,MATCH(2,1/(AW882:BH882&lt;&gt;""),1)-1),""))</f>
        <v>317</v>
      </c>
      <c r="BK882" s="59">
        <f t="shared" ref="BK882:BK891" si="1161">SUM(AW882:BH882)</f>
        <v>634</v>
      </c>
      <c r="BL882" s="59" cm="1">
        <f t="array" ref="BL882">IFERROR(SUM(AW882:INDEX(AW882:BH882, MATCH(2, 1/(AW882:BH882&lt;&gt;""), 1) - 1))/_xlfn.XLOOKUP(F882,Apuração!A:A,Apuração!B:B),0)</f>
        <v>31.7</v>
      </c>
      <c r="BM882" s="55" cm="1">
        <f t="array" ref="BM882">IFERROR(
   INDEX($AW$1:$BH$1,
      _xlfn.AGGREGATE(14, 6, COLUMN($AW$1:$BH$1)/(AW882:BH882&lt;&gt;""), 2) - COLUMN($AW$1) + 1
   ),
"")</f>
        <v>46082</v>
      </c>
      <c r="BN882" s="55" cm="1">
        <f t="array" ref="BN882">IFERROR(INDEX($AW$1:$BH$1,1,MATCH(2,1/(AW882:BH882&lt;&gt;""))),"")</f>
        <v>46113</v>
      </c>
      <c r="BO882" s="53">
        <f ca="1">IFERROR(_xlfn.XLOOKUP(F882,Apuração!A:A,Apuração!C:C)/_xlfn.XLOOKUP(F882,Apuração!A:A,Apuração!B:B),0)</f>
        <v>0.3</v>
      </c>
      <c r="BP882" s="53">
        <f ca="1">IFERROR(_xlfn.XLOOKUP(F882,Apuração!A:A,Apuração!D:D)/_xlfn.XLOOKUP(F882,Apuração!A:A,Apuração!B:B),0)</f>
        <v>0.2</v>
      </c>
      <c r="BQ882" s="53">
        <f ca="1">IF(BK882&gt;=BO882,0,_xlfn.XLOOKUP(F882,Apuração!A:A,Apuração!B:B)*(BO882 + (1/_xlfn.XLOOKUP(F882,Apuração!A:A,Apuração!B:B)) - BK882))</f>
        <v>0</v>
      </c>
      <c r="BR882" s="85">
        <f t="shared" ref="BR882:BR891" ca="1" si="1162">IF(BQ882=0,0,BQ882*Z882)</f>
        <v>0</v>
      </c>
      <c r="BS882" s="53">
        <f ca="1">IFERROR((_xlfn.XLOOKUP(F882,Apuração!A:A,Apuração!C:C)+1)/_xlfn.XLOOKUP(F882,Apuração!A:A,Apuração!B:B),0)</f>
        <v>0.4</v>
      </c>
    </row>
    <row r="883" spans="1:71" ht="25.95" hidden="1" customHeight="1" x14ac:dyDescent="0.3">
      <c r="A883" s="44" t="s">
        <v>175</v>
      </c>
      <c r="B883" s="4" t="s">
        <v>184</v>
      </c>
      <c r="C883" s="5" t="s">
        <v>97</v>
      </c>
      <c r="D883" s="5" t="s">
        <v>99</v>
      </c>
      <c r="E883" s="4" t="str" cm="1">
        <f t="array" ref="E883">_xlfn.IFS(
F883 = "A partir de Abril", "Aguardando Execução na Distribuidora",
A883 = "CAPACITAÇÃO", "Em execução no Corporativo",
TRUE, "Em Execução na Distribuidora"
)</f>
        <v>Em execução no Corporativo</v>
      </c>
      <c r="F883" s="4" t="str" cm="1">
        <f t="array" ref="F883">_xlfn.IFS(
AG883 &lt;&gt; "", "Jan-Dez/26",
AH883 &lt;&gt; "", "Fev-Dez/26",
AI883 &lt;&gt; "", "Mar-Dez/26", AJ883 &lt;&gt; "", "Abr-Dez/26",
TRUE, "A partir de Junho"
)</f>
        <v>Mar-Dez/26</v>
      </c>
      <c r="G883" s="4" t="s">
        <v>37</v>
      </c>
      <c r="H883" s="7" t="s">
        <v>38</v>
      </c>
      <c r="I883" s="21" t="s">
        <v>180</v>
      </c>
      <c r="J883" s="8" t="str" cm="1">
        <f t="array" aca="1" ref="J883" ca="1">_xlfn.LET(
  _xlpm.actual_value_month, INDEX(T883:AE883, MATCH(DATE(YEAR(TODAY()), MONTH(TODAY()), 1), $T$1:$AE$1, 0)),
  IF(_xlpm.actual_value_month &lt;&gt; "", _xlpm.actual_value_month &amp; " ações mensais", "")
)</f>
        <v/>
      </c>
      <c r="K883" s="8" t="str" cm="1">
        <f t="array" ref="K883">_xlfn.LET(
    _xlpm.sum_month, SUM(T883:AE883),
    IF(_xlpm.sum_month = 0, "", _xlpm.sum_month &amp; " colaboradores treinados.")
)</f>
        <v/>
      </c>
      <c r="L883" s="9" t="s">
        <v>220</v>
      </c>
      <c r="M883" s="13">
        <v>1</v>
      </c>
      <c r="N883" s="5" t="s">
        <v>51</v>
      </c>
      <c r="O883" s="5" t="s">
        <v>52</v>
      </c>
      <c r="P883" s="10" t="s">
        <v>146</v>
      </c>
      <c r="Q883" s="10" t="s">
        <v>44</v>
      </c>
      <c r="R883" s="11" t="s">
        <v>44</v>
      </c>
      <c r="S883" s="11" t="s">
        <v>44</v>
      </c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G883" s="71"/>
      <c r="AH883" s="71"/>
      <c r="AI883" s="82">
        <v>212</v>
      </c>
      <c r="AJ883" s="82">
        <v>212</v>
      </c>
      <c r="AK883" s="71"/>
      <c r="AL883" s="71"/>
      <c r="AM883" s="71"/>
      <c r="AN883" s="71"/>
      <c r="AO883" s="71"/>
      <c r="AP883" s="71"/>
      <c r="AQ883" s="71"/>
      <c r="AR883" s="71"/>
      <c r="AS883" s="94" t="str" cm="1">
        <f t="array" ref="AS883">IFERROR(INDEX(T883:AE883,1,MATCH(2,1/(T883:AE883&lt;&gt;""))),"")</f>
        <v/>
      </c>
      <c r="AT883" s="95" cm="1">
        <f t="array" ref="AT883">IFERROR(INDEX(AJ883:AR883,1,MATCH(2,1/(AJ883:AR883&lt;&gt;""))),"")</f>
        <v>212</v>
      </c>
      <c r="AU883" s="97">
        <f t="shared" si="1156"/>
        <v>212</v>
      </c>
      <c r="AW883" s="83">
        <f t="shared" si="1157"/>
        <v>0</v>
      </c>
      <c r="AX883" s="52">
        <f t="shared" si="1158"/>
        <v>0</v>
      </c>
      <c r="AY883" s="52">
        <f t="shared" si="1159"/>
        <v>212</v>
      </c>
      <c r="AZ883" s="52">
        <f t="shared" si="1160"/>
        <v>212</v>
      </c>
      <c r="BA883" s="52"/>
      <c r="BB883" s="52"/>
      <c r="BC883" s="52"/>
      <c r="BD883" s="52"/>
      <c r="BE883" s="52"/>
      <c r="BF883" s="52"/>
      <c r="BG883" s="52"/>
      <c r="BH883" s="52"/>
      <c r="BI883" s="68" cm="1">
        <f t="array" ref="BI883">IFERROR(INDEX(AW883:BH883,1,MATCH(2,1/(AW883:BH883&lt;&gt;""))),"")</f>
        <v>212</v>
      </c>
      <c r="BJ883" s="68" cm="1">
        <f t="array" ref="BJ883">IF(BM883 = "", "",IFERROR(INDEX(AW883:BH883,1,MATCH(2,1/(AW883:BH883&lt;&gt;""),1)-1),""))</f>
        <v>212</v>
      </c>
      <c r="BK883" s="59">
        <f t="shared" si="1161"/>
        <v>424</v>
      </c>
      <c r="BL883" s="59" cm="1">
        <f t="array" ref="BL883">IFERROR(SUM(AW883:INDEX(AW883:BH883, MATCH(2, 1/(AW883:BH883&lt;&gt;""), 1) - 1))/_xlfn.XLOOKUP(F883,Apuração!A:A,Apuração!B:B),0)</f>
        <v>21.2</v>
      </c>
      <c r="BM883" s="55" cm="1">
        <f t="array" ref="BM883">IFERROR(
   INDEX($AW$1:$BH$1,
      _xlfn.AGGREGATE(14, 6, COLUMN($AW$1:$BH$1)/(AW883:BH883&lt;&gt;""), 2) - COLUMN($AW$1) + 1
   ),
"")</f>
        <v>46082</v>
      </c>
      <c r="BN883" s="55" cm="1">
        <f t="array" ref="BN883">IFERROR(INDEX($AW$1:$BH$1,1,MATCH(2,1/(AW883:BH883&lt;&gt;""))),"")</f>
        <v>46113</v>
      </c>
      <c r="BO883" s="53">
        <f ca="1">IFERROR(_xlfn.XLOOKUP(F883,Apuração!A:A,Apuração!C:C)/_xlfn.XLOOKUP(F883,Apuração!A:A,Apuração!B:B),0)</f>
        <v>0.3</v>
      </c>
      <c r="BP883" s="53">
        <f ca="1">IFERROR(_xlfn.XLOOKUP(F883,Apuração!A:A,Apuração!D:D)/_xlfn.XLOOKUP(F883,Apuração!A:A,Apuração!B:B),0)</f>
        <v>0.2</v>
      </c>
      <c r="BQ883" s="53">
        <f ca="1">IF(BK883&gt;=BO883,0,_xlfn.XLOOKUP(F883,Apuração!A:A,Apuração!B:B)*(BO883 + (1/_xlfn.XLOOKUP(F883,Apuração!A:A,Apuração!B:B)) - BK883))</f>
        <v>0</v>
      </c>
      <c r="BR883" s="85">
        <f t="shared" ca="1" si="1162"/>
        <v>0</v>
      </c>
      <c r="BS883" s="53">
        <f ca="1">IFERROR((_xlfn.XLOOKUP(F883,Apuração!A:A,Apuração!C:C)+1)/_xlfn.XLOOKUP(F883,Apuração!A:A,Apuração!B:B),0)</f>
        <v>0.4</v>
      </c>
    </row>
    <row r="884" spans="1:71" ht="25.95" hidden="1" customHeight="1" x14ac:dyDescent="0.3">
      <c r="A884" s="44" t="s">
        <v>175</v>
      </c>
      <c r="B884" s="4" t="s">
        <v>184</v>
      </c>
      <c r="C884" s="5" t="s">
        <v>97</v>
      </c>
      <c r="D884" s="5" t="s">
        <v>100</v>
      </c>
      <c r="E884" s="4" t="str" cm="1">
        <f t="array" ref="E884">_xlfn.IFS(
F884 = "A partir de Abril", "Aguardando Execução na Distribuidora",
A884 = "CAPACITAÇÃO", "Em execução no Corporativo",
TRUE, "Em Execução na Distribuidora"
)</f>
        <v>Em execução no Corporativo</v>
      </c>
      <c r="F884" s="4" t="str" cm="1">
        <f t="array" ref="F884">_xlfn.IFS(
AG884 &lt;&gt; "", "Jan-Dez/26",
AH884 &lt;&gt; "", "Fev-Dez/26",
AI884 &lt;&gt; "", "Mar-Dez/26", AJ884 &lt;&gt; "", "Abr-Dez/26",
TRUE, "A partir de Junho"
)</f>
        <v>Mar-Dez/26</v>
      </c>
      <c r="G884" s="4" t="s">
        <v>37</v>
      </c>
      <c r="H884" s="7" t="s">
        <v>38</v>
      </c>
      <c r="I884" s="21" t="s">
        <v>180</v>
      </c>
      <c r="J884" s="8" t="str" cm="1">
        <f t="array" aca="1" ref="J884" ca="1">_xlfn.LET(
  _xlpm.actual_value_month, INDEX(T884:AE884, MATCH(DATE(YEAR(TODAY()), MONTH(TODAY()), 1), $T$1:$AE$1, 0)),
  IF(_xlpm.actual_value_month &lt;&gt; "", _xlpm.actual_value_month &amp; " ações mensais", "")
)</f>
        <v/>
      </c>
      <c r="K884" s="8" t="str" cm="1">
        <f t="array" ref="K884">_xlfn.LET(
    _xlpm.sum_month, SUM(T884:AE884),
    IF(_xlpm.sum_month = 0, "", _xlpm.sum_month &amp; " colaboradores treinados.")
)</f>
        <v/>
      </c>
      <c r="L884" s="9" t="s">
        <v>220</v>
      </c>
      <c r="M884" s="13">
        <v>1</v>
      </c>
      <c r="N884" s="5" t="s">
        <v>51</v>
      </c>
      <c r="O884" s="5" t="s">
        <v>52</v>
      </c>
      <c r="P884" s="10" t="s">
        <v>146</v>
      </c>
      <c r="Q884" s="10" t="s">
        <v>44</v>
      </c>
      <c r="R884" s="11" t="s">
        <v>44</v>
      </c>
      <c r="S884" s="11" t="s">
        <v>44</v>
      </c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G884" s="71"/>
      <c r="AH884" s="71"/>
      <c r="AI884" s="82">
        <v>275</v>
      </c>
      <c r="AJ884" s="82">
        <v>275</v>
      </c>
      <c r="AK884" s="71"/>
      <c r="AL884" s="71"/>
      <c r="AM884" s="71"/>
      <c r="AN884" s="71"/>
      <c r="AO884" s="71"/>
      <c r="AP884" s="71"/>
      <c r="AQ884" s="71"/>
      <c r="AR884" s="71"/>
      <c r="AS884" s="94" t="str" cm="1">
        <f t="array" ref="AS884">IFERROR(INDEX(T884:AE884,1,MATCH(2,1/(T884:AE884&lt;&gt;""))),"")</f>
        <v/>
      </c>
      <c r="AT884" s="95" cm="1">
        <f t="array" ref="AT884">IFERROR(INDEX(AJ884:AR884,1,MATCH(2,1/(AJ884:AR884&lt;&gt;""))),"")</f>
        <v>275</v>
      </c>
      <c r="AU884" s="97">
        <f t="shared" si="1156"/>
        <v>275</v>
      </c>
      <c r="AW884" s="83">
        <f t="shared" si="1157"/>
        <v>0</v>
      </c>
      <c r="AX884" s="52">
        <f t="shared" si="1158"/>
        <v>0</v>
      </c>
      <c r="AY884" s="52">
        <f t="shared" si="1159"/>
        <v>275</v>
      </c>
      <c r="AZ884" s="52">
        <f t="shared" si="1160"/>
        <v>275</v>
      </c>
      <c r="BA884" s="52"/>
      <c r="BB884" s="52"/>
      <c r="BC884" s="52"/>
      <c r="BD884" s="52"/>
      <c r="BE884" s="52"/>
      <c r="BF884" s="52"/>
      <c r="BG884" s="52"/>
      <c r="BH884" s="52"/>
      <c r="BI884" s="68" cm="1">
        <f t="array" ref="BI884">IFERROR(INDEX(AW884:BH884,1,MATCH(2,1/(AW884:BH884&lt;&gt;""))),"")</f>
        <v>275</v>
      </c>
      <c r="BJ884" s="68" cm="1">
        <f t="array" ref="BJ884">IF(BM884 = "", "",IFERROR(INDEX(AW884:BH884,1,MATCH(2,1/(AW884:BH884&lt;&gt;""),1)-1),""))</f>
        <v>275</v>
      </c>
      <c r="BK884" s="59">
        <f t="shared" si="1161"/>
        <v>550</v>
      </c>
      <c r="BL884" s="59" cm="1">
        <f t="array" ref="BL884">IFERROR(SUM(AW884:INDEX(AW884:BH884, MATCH(2, 1/(AW884:BH884&lt;&gt;""), 1) - 1))/_xlfn.XLOOKUP(F884,Apuração!A:A,Apuração!B:B),0)</f>
        <v>27.5</v>
      </c>
      <c r="BM884" s="55" cm="1">
        <f t="array" ref="BM884">IFERROR(
   INDEX($AW$1:$BH$1,
      _xlfn.AGGREGATE(14, 6, COLUMN($AW$1:$BH$1)/(AW884:BH884&lt;&gt;""), 2) - COLUMN($AW$1) + 1
   ),
"")</f>
        <v>46082</v>
      </c>
      <c r="BN884" s="55" cm="1">
        <f t="array" ref="BN884">IFERROR(INDEX($AW$1:$BH$1,1,MATCH(2,1/(AW884:BH884&lt;&gt;""))),"")</f>
        <v>46113</v>
      </c>
      <c r="BO884" s="53">
        <f ca="1">IFERROR(_xlfn.XLOOKUP(F884,Apuração!A:A,Apuração!C:C)/_xlfn.XLOOKUP(F884,Apuração!A:A,Apuração!B:B),0)</f>
        <v>0.3</v>
      </c>
      <c r="BP884" s="53">
        <f ca="1">IFERROR(_xlfn.XLOOKUP(F884,Apuração!A:A,Apuração!D:D)/_xlfn.XLOOKUP(F884,Apuração!A:A,Apuração!B:B),0)</f>
        <v>0.2</v>
      </c>
      <c r="BQ884" s="53">
        <f ca="1">IF(BK884&gt;=BO884,0,_xlfn.XLOOKUP(F884,Apuração!A:A,Apuração!B:B)*(BO884 + (1/_xlfn.XLOOKUP(F884,Apuração!A:A,Apuração!B:B)) - BK884))</f>
        <v>0</v>
      </c>
      <c r="BR884" s="85">
        <f t="shared" ca="1" si="1162"/>
        <v>0</v>
      </c>
      <c r="BS884" s="53">
        <f ca="1">IFERROR((_xlfn.XLOOKUP(F884,Apuração!A:A,Apuração!C:C)+1)/_xlfn.XLOOKUP(F884,Apuração!A:A,Apuração!B:B),0)</f>
        <v>0.4</v>
      </c>
    </row>
    <row r="885" spans="1:71" ht="25.95" hidden="1" customHeight="1" x14ac:dyDescent="0.3">
      <c r="A885" s="44" t="s">
        <v>175</v>
      </c>
      <c r="B885" s="4" t="s">
        <v>184</v>
      </c>
      <c r="C885" s="5" t="s">
        <v>97</v>
      </c>
      <c r="D885" s="5" t="s">
        <v>101</v>
      </c>
      <c r="E885" s="4" t="str" cm="1">
        <f t="array" ref="E885">_xlfn.IFS(
F885 = "A partir de Abril", "Aguardando Execução na Distribuidora",
A885 = "CAPACITAÇÃO", "Em execução no Corporativo",
TRUE, "Em Execução na Distribuidora"
)</f>
        <v>Em execução no Corporativo</v>
      </c>
      <c r="F885" s="4" t="str" cm="1">
        <f t="array" ref="F885">_xlfn.IFS(
AG885 &lt;&gt; "", "Jan-Dez/26",
AH885 &lt;&gt; "", "Fev-Dez/26",
AI885 &lt;&gt; "", "Mar-Dez/26", AJ885 &lt;&gt; "", "Abr-Dez/26",
TRUE, "A partir de Junho"
)</f>
        <v>Mar-Dez/26</v>
      </c>
      <c r="G885" s="4" t="s">
        <v>37</v>
      </c>
      <c r="H885" s="7" t="s">
        <v>38</v>
      </c>
      <c r="I885" s="21" t="s">
        <v>180</v>
      </c>
      <c r="J885" s="8" t="str" cm="1">
        <f t="array" aca="1" ref="J885" ca="1">_xlfn.LET(
  _xlpm.actual_value_month, INDEX(T885:AE885, MATCH(DATE(YEAR(TODAY()), MONTH(TODAY()), 1), $T$1:$AE$1, 0)),
  IF(_xlpm.actual_value_month &lt;&gt; "", _xlpm.actual_value_month &amp; " ações mensais", "")
)</f>
        <v/>
      </c>
      <c r="K885" s="8" t="str" cm="1">
        <f t="array" ref="K885">_xlfn.LET(
    _xlpm.sum_month, SUM(T885:AE885),
    IF(_xlpm.sum_month = 0, "", _xlpm.sum_month &amp; " colaboradores treinados.")
)</f>
        <v/>
      </c>
      <c r="L885" s="9" t="s">
        <v>220</v>
      </c>
      <c r="M885" s="13">
        <v>1</v>
      </c>
      <c r="N885" s="5" t="s">
        <v>51</v>
      </c>
      <c r="O885" s="5" t="s">
        <v>52</v>
      </c>
      <c r="P885" s="10" t="s">
        <v>146</v>
      </c>
      <c r="Q885" s="10" t="s">
        <v>44</v>
      </c>
      <c r="R885" s="11" t="s">
        <v>44</v>
      </c>
      <c r="S885" s="11" t="s">
        <v>44</v>
      </c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G885" s="71"/>
      <c r="AH885" s="71"/>
      <c r="AI885" s="82">
        <v>402</v>
      </c>
      <c r="AJ885" s="82">
        <v>402</v>
      </c>
      <c r="AK885" s="71"/>
      <c r="AL885" s="71"/>
      <c r="AM885" s="71"/>
      <c r="AN885" s="71"/>
      <c r="AO885" s="71"/>
      <c r="AP885" s="71"/>
      <c r="AQ885" s="71"/>
      <c r="AR885" s="71"/>
      <c r="AS885" s="94" t="str" cm="1">
        <f t="array" ref="AS885">IFERROR(INDEX(T885:AE885,1,MATCH(2,1/(T885:AE885&lt;&gt;""))),"")</f>
        <v/>
      </c>
      <c r="AT885" s="95" cm="1">
        <f t="array" ref="AT885">IFERROR(INDEX(AJ885:AR885,1,MATCH(2,1/(AJ885:AR885&lt;&gt;""))),"")</f>
        <v>402</v>
      </c>
      <c r="AU885" s="97">
        <f t="shared" si="1156"/>
        <v>402</v>
      </c>
      <c r="AW885" s="83">
        <f t="shared" si="1157"/>
        <v>0</v>
      </c>
      <c r="AX885" s="52">
        <f t="shared" si="1158"/>
        <v>0</v>
      </c>
      <c r="AY885" s="52">
        <f t="shared" si="1159"/>
        <v>402</v>
      </c>
      <c r="AZ885" s="52">
        <f t="shared" si="1160"/>
        <v>402</v>
      </c>
      <c r="BA885" s="52"/>
      <c r="BB885" s="52"/>
      <c r="BC885" s="52"/>
      <c r="BD885" s="52"/>
      <c r="BE885" s="52"/>
      <c r="BF885" s="52"/>
      <c r="BG885" s="52"/>
      <c r="BH885" s="52"/>
      <c r="BI885" s="68" cm="1">
        <f t="array" ref="BI885">IFERROR(INDEX(AW885:BH885,1,MATCH(2,1/(AW885:BH885&lt;&gt;""))),"")</f>
        <v>402</v>
      </c>
      <c r="BJ885" s="68" cm="1">
        <f t="array" ref="BJ885">IF(BM885 = "", "",IFERROR(INDEX(AW885:BH885,1,MATCH(2,1/(AW885:BH885&lt;&gt;""),1)-1),""))</f>
        <v>402</v>
      </c>
      <c r="BK885" s="59">
        <f t="shared" si="1161"/>
        <v>804</v>
      </c>
      <c r="BL885" s="59" cm="1">
        <f t="array" ref="BL885">IFERROR(SUM(AW885:INDEX(AW885:BH885, MATCH(2, 1/(AW885:BH885&lt;&gt;""), 1) - 1))/_xlfn.XLOOKUP(F885,Apuração!A:A,Apuração!B:B),0)</f>
        <v>40.200000000000003</v>
      </c>
      <c r="BM885" s="55" cm="1">
        <f t="array" ref="BM885">IFERROR(
   INDEX($AW$1:$BH$1,
      _xlfn.AGGREGATE(14, 6, COLUMN($AW$1:$BH$1)/(AW885:BH885&lt;&gt;""), 2) - COLUMN($AW$1) + 1
   ),
"")</f>
        <v>46082</v>
      </c>
      <c r="BN885" s="55" cm="1">
        <f t="array" ref="BN885">IFERROR(INDEX($AW$1:$BH$1,1,MATCH(2,1/(AW885:BH885&lt;&gt;""))),"")</f>
        <v>46113</v>
      </c>
      <c r="BO885" s="53">
        <f ca="1">IFERROR(_xlfn.XLOOKUP(F885,Apuração!A:A,Apuração!C:C)/_xlfn.XLOOKUP(F885,Apuração!A:A,Apuração!B:B),0)</f>
        <v>0.3</v>
      </c>
      <c r="BP885" s="53">
        <f ca="1">IFERROR(_xlfn.XLOOKUP(F885,Apuração!A:A,Apuração!D:D)/_xlfn.XLOOKUP(F885,Apuração!A:A,Apuração!B:B),0)</f>
        <v>0.2</v>
      </c>
      <c r="BQ885" s="53">
        <f ca="1">IF(BK885&gt;=BO885,0,_xlfn.XLOOKUP(F885,Apuração!A:A,Apuração!B:B)*(BO885 + (1/_xlfn.XLOOKUP(F885,Apuração!A:A,Apuração!B:B)) - BK885))</f>
        <v>0</v>
      </c>
      <c r="BR885" s="85">
        <f t="shared" ca="1" si="1162"/>
        <v>0</v>
      </c>
      <c r="BS885" s="53">
        <f ca="1">IFERROR((_xlfn.XLOOKUP(F885,Apuração!A:A,Apuração!C:C)+1)/_xlfn.XLOOKUP(F885,Apuração!A:A,Apuração!B:B),0)</f>
        <v>0.4</v>
      </c>
    </row>
    <row r="886" spans="1:71" ht="25.95" hidden="1" customHeight="1" x14ac:dyDescent="0.3">
      <c r="A886" s="44" t="s">
        <v>175</v>
      </c>
      <c r="B886" s="4" t="s">
        <v>184</v>
      </c>
      <c r="C886" s="5" t="s">
        <v>97</v>
      </c>
      <c r="D886" s="5" t="s">
        <v>102</v>
      </c>
      <c r="E886" s="4" t="str" cm="1">
        <f t="array" ref="E886">_xlfn.IFS(
F886 = "A partir de Abril", "Aguardando Execução na Distribuidora",
A886 = "CAPACITAÇÃO", "Em execução no Corporativo",
TRUE, "Em Execução na Distribuidora"
)</f>
        <v>Em execução no Corporativo</v>
      </c>
      <c r="F886" s="4" t="str" cm="1">
        <f t="array" ref="F886">_xlfn.IFS(
AG886 &lt;&gt; "", "Jan-Dez/26",
AH886 &lt;&gt; "", "Fev-Dez/26",
AI886 &lt;&gt; "", "Mar-Dez/26", AJ886 &lt;&gt; "", "Abr-Dez/26",
TRUE, "A partir de Junho"
)</f>
        <v>Mar-Dez/26</v>
      </c>
      <c r="G886" s="4" t="s">
        <v>37</v>
      </c>
      <c r="H886" s="7" t="s">
        <v>38</v>
      </c>
      <c r="I886" s="21" t="s">
        <v>180</v>
      </c>
      <c r="J886" s="8" t="str" cm="1">
        <f t="array" aca="1" ref="J886" ca="1">_xlfn.LET(
  _xlpm.actual_value_month, INDEX(T886:AE886, MATCH(DATE(YEAR(TODAY()), MONTH(TODAY()), 1), $T$1:$AE$1, 0)),
  IF(_xlpm.actual_value_month &lt;&gt; "", _xlpm.actual_value_month &amp; " ações mensais", "")
)</f>
        <v/>
      </c>
      <c r="K886" s="8" t="str" cm="1">
        <f t="array" ref="K886">_xlfn.LET(
    _xlpm.sum_month, SUM(T886:AE886),
    IF(_xlpm.sum_month = 0, "", _xlpm.sum_month &amp; " colaboradores treinados.")
)</f>
        <v/>
      </c>
      <c r="L886" s="9" t="s">
        <v>220</v>
      </c>
      <c r="M886" s="13">
        <v>1</v>
      </c>
      <c r="N886" s="5" t="s">
        <v>51</v>
      </c>
      <c r="O886" s="5" t="s">
        <v>52</v>
      </c>
      <c r="P886" s="10" t="s">
        <v>146</v>
      </c>
      <c r="Q886" s="10" t="s">
        <v>44</v>
      </c>
      <c r="R886" s="11" t="s">
        <v>44</v>
      </c>
      <c r="S886" s="11" t="s">
        <v>44</v>
      </c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G886" s="71"/>
      <c r="AH886" s="71"/>
      <c r="AI886" s="82">
        <v>534</v>
      </c>
      <c r="AJ886" s="82">
        <v>534</v>
      </c>
      <c r="AK886" s="71"/>
      <c r="AL886" s="71"/>
      <c r="AM886" s="71"/>
      <c r="AN886" s="71"/>
      <c r="AO886" s="71"/>
      <c r="AP886" s="71"/>
      <c r="AQ886" s="71"/>
      <c r="AR886" s="71"/>
      <c r="AS886" s="94" t="str" cm="1">
        <f t="array" ref="AS886">IFERROR(INDEX(T886:AE886,1,MATCH(2,1/(T886:AE886&lt;&gt;""))),"")</f>
        <v/>
      </c>
      <c r="AT886" s="95" cm="1">
        <f t="array" ref="AT886">IFERROR(INDEX(AJ886:AR886,1,MATCH(2,1/(AJ886:AR886&lt;&gt;""))),"")</f>
        <v>534</v>
      </c>
      <c r="AU886" s="97">
        <f t="shared" si="1156"/>
        <v>534</v>
      </c>
      <c r="AW886" s="83">
        <f t="shared" si="1157"/>
        <v>0</v>
      </c>
      <c r="AX886" s="52">
        <f t="shared" si="1158"/>
        <v>0</v>
      </c>
      <c r="AY886" s="52">
        <f t="shared" si="1159"/>
        <v>534</v>
      </c>
      <c r="AZ886" s="52">
        <f t="shared" si="1160"/>
        <v>534</v>
      </c>
      <c r="BA886" s="52"/>
      <c r="BB886" s="52"/>
      <c r="BC886" s="52"/>
      <c r="BD886" s="52"/>
      <c r="BE886" s="52"/>
      <c r="BF886" s="52"/>
      <c r="BG886" s="52"/>
      <c r="BH886" s="52"/>
      <c r="BI886" s="68" cm="1">
        <f t="array" ref="BI886">IFERROR(INDEX(AW886:BH886,1,MATCH(2,1/(AW886:BH886&lt;&gt;""))),"")</f>
        <v>534</v>
      </c>
      <c r="BJ886" s="68" cm="1">
        <f t="array" ref="BJ886">IF(BM886 = "", "",IFERROR(INDEX(AW886:BH886,1,MATCH(2,1/(AW886:BH886&lt;&gt;""),1)-1),""))</f>
        <v>534</v>
      </c>
      <c r="BK886" s="59">
        <f t="shared" si="1161"/>
        <v>1068</v>
      </c>
      <c r="BL886" s="59" cm="1">
        <f t="array" ref="BL886">IFERROR(SUM(AW886:INDEX(AW886:BH886, MATCH(2, 1/(AW886:BH886&lt;&gt;""), 1) - 1))/_xlfn.XLOOKUP(F886,Apuração!A:A,Apuração!B:B),0)</f>
        <v>53.4</v>
      </c>
      <c r="BM886" s="55" cm="1">
        <f t="array" ref="BM886">IFERROR(
   INDEX($AW$1:$BH$1,
      _xlfn.AGGREGATE(14, 6, COLUMN($AW$1:$BH$1)/(AW886:BH886&lt;&gt;""), 2) - COLUMN($AW$1) + 1
   ),
"")</f>
        <v>46082</v>
      </c>
      <c r="BN886" s="55" cm="1">
        <f t="array" ref="BN886">IFERROR(INDEX($AW$1:$BH$1,1,MATCH(2,1/(AW886:BH886&lt;&gt;""))),"")</f>
        <v>46113</v>
      </c>
      <c r="BO886" s="53">
        <f ca="1">IFERROR(_xlfn.XLOOKUP(F886,Apuração!A:A,Apuração!C:C)/_xlfn.XLOOKUP(F886,Apuração!A:A,Apuração!B:B),0)</f>
        <v>0.3</v>
      </c>
      <c r="BP886" s="53">
        <f ca="1">IFERROR(_xlfn.XLOOKUP(F886,Apuração!A:A,Apuração!D:D)/_xlfn.XLOOKUP(F886,Apuração!A:A,Apuração!B:B),0)</f>
        <v>0.2</v>
      </c>
      <c r="BQ886" s="53">
        <f ca="1">IF(BK886&gt;=BO886,0,_xlfn.XLOOKUP(F886,Apuração!A:A,Apuração!B:B)*(BO886 + (1/_xlfn.XLOOKUP(F886,Apuração!A:A,Apuração!B:B)) - BK886))</f>
        <v>0</v>
      </c>
      <c r="BR886" s="85">
        <f t="shared" ca="1" si="1162"/>
        <v>0</v>
      </c>
      <c r="BS886" s="53">
        <f ca="1">IFERROR((_xlfn.XLOOKUP(F886,Apuração!A:A,Apuração!C:C)+1)/_xlfn.XLOOKUP(F886,Apuração!A:A,Apuração!B:B),0)</f>
        <v>0.4</v>
      </c>
    </row>
    <row r="887" spans="1:71" ht="25.95" hidden="1" customHeight="1" x14ac:dyDescent="0.3">
      <c r="A887" s="44" t="s">
        <v>175</v>
      </c>
      <c r="B887" s="4" t="s">
        <v>184</v>
      </c>
      <c r="C887" s="5" t="s">
        <v>97</v>
      </c>
      <c r="D887" s="5" t="s">
        <v>103</v>
      </c>
      <c r="E887" s="4" t="str" cm="1">
        <f t="array" ref="E887">_xlfn.IFS(
F887 = "A partir de Abril", "Aguardando Execução na Distribuidora",
A887 = "CAPACITAÇÃO", "Em execução no Corporativo",
TRUE, "Em Execução na Distribuidora"
)</f>
        <v>Em execução no Corporativo</v>
      </c>
      <c r="F887" s="4" t="str" cm="1">
        <f t="array" ref="F887">_xlfn.IFS(
AG887 &lt;&gt; "", "Jan-Dez/26",
AH887 &lt;&gt; "", "Fev-Dez/26",
AI887 &lt;&gt; "", "Mar-Dez/26", AJ887 &lt;&gt; "", "Abr-Dez/26",
TRUE, "A partir de Junho"
)</f>
        <v>Mar-Dez/26</v>
      </c>
      <c r="G887" s="4" t="s">
        <v>37</v>
      </c>
      <c r="H887" s="7" t="s">
        <v>38</v>
      </c>
      <c r="I887" s="21" t="s">
        <v>180</v>
      </c>
      <c r="J887" s="8" t="str" cm="1">
        <f t="array" aca="1" ref="J887" ca="1">_xlfn.LET(
  _xlpm.actual_value_month, INDEX(T887:AE887, MATCH(DATE(YEAR(TODAY()), MONTH(TODAY()), 1), $T$1:$AE$1, 0)),
  IF(_xlpm.actual_value_month &lt;&gt; "", _xlpm.actual_value_month &amp; " ações mensais", "")
)</f>
        <v/>
      </c>
      <c r="K887" s="8" t="str" cm="1">
        <f t="array" ref="K887">_xlfn.LET(
    _xlpm.sum_month, SUM(T887:AE887),
    IF(_xlpm.sum_month = 0, "", _xlpm.sum_month &amp; " colaboradores treinados.")
)</f>
        <v/>
      </c>
      <c r="L887" s="9" t="s">
        <v>220</v>
      </c>
      <c r="M887" s="13">
        <v>1</v>
      </c>
      <c r="N887" s="5" t="s">
        <v>51</v>
      </c>
      <c r="O887" s="5" t="s">
        <v>52</v>
      </c>
      <c r="P887" s="10" t="s">
        <v>146</v>
      </c>
      <c r="Q887" s="10" t="s">
        <v>44</v>
      </c>
      <c r="R887" s="11" t="s">
        <v>44</v>
      </c>
      <c r="S887" s="11" t="s">
        <v>44</v>
      </c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G887" s="71"/>
      <c r="AH887" s="71"/>
      <c r="AI887" s="82">
        <v>536</v>
      </c>
      <c r="AJ887" s="82">
        <v>536</v>
      </c>
      <c r="AK887" s="71"/>
      <c r="AL887" s="71"/>
      <c r="AM887" s="71"/>
      <c r="AN887" s="71"/>
      <c r="AO887" s="71"/>
      <c r="AP887" s="71"/>
      <c r="AQ887" s="71"/>
      <c r="AR887" s="71"/>
      <c r="AS887" s="94" t="str" cm="1">
        <f t="array" ref="AS887">IFERROR(INDEX(T887:AE887,1,MATCH(2,1/(T887:AE887&lt;&gt;""))),"")</f>
        <v/>
      </c>
      <c r="AT887" s="95" cm="1">
        <f t="array" ref="AT887">IFERROR(INDEX(AJ887:AR887,1,MATCH(2,1/(AJ887:AR887&lt;&gt;""))),"")</f>
        <v>536</v>
      </c>
      <c r="AU887" s="97">
        <f t="shared" si="1156"/>
        <v>536</v>
      </c>
      <c r="AW887" s="83">
        <f t="shared" si="1157"/>
        <v>0</v>
      </c>
      <c r="AX887" s="52">
        <f t="shared" si="1158"/>
        <v>0</v>
      </c>
      <c r="AY887" s="52">
        <f t="shared" si="1159"/>
        <v>536</v>
      </c>
      <c r="AZ887" s="52">
        <f t="shared" si="1160"/>
        <v>536</v>
      </c>
      <c r="BA887" s="52"/>
      <c r="BB887" s="52"/>
      <c r="BC887" s="52"/>
      <c r="BD887" s="52"/>
      <c r="BE887" s="52"/>
      <c r="BF887" s="52"/>
      <c r="BG887" s="52"/>
      <c r="BH887" s="52"/>
      <c r="BI887" s="68" cm="1">
        <f t="array" ref="BI887">IFERROR(INDEX(AW887:BH887,1,MATCH(2,1/(AW887:BH887&lt;&gt;""))),"")</f>
        <v>536</v>
      </c>
      <c r="BJ887" s="68" cm="1">
        <f t="array" ref="BJ887">IF(BM887 = "", "",IFERROR(INDEX(AW887:BH887,1,MATCH(2,1/(AW887:BH887&lt;&gt;""),1)-1),""))</f>
        <v>536</v>
      </c>
      <c r="BK887" s="59">
        <f t="shared" si="1161"/>
        <v>1072</v>
      </c>
      <c r="BL887" s="59" cm="1">
        <f t="array" ref="BL887">IFERROR(SUM(AW887:INDEX(AW887:BH887, MATCH(2, 1/(AW887:BH887&lt;&gt;""), 1) - 1))/_xlfn.XLOOKUP(F887,Apuração!A:A,Apuração!B:B),0)</f>
        <v>53.6</v>
      </c>
      <c r="BM887" s="55" cm="1">
        <f t="array" ref="BM887">IFERROR(
   INDEX($AW$1:$BH$1,
      _xlfn.AGGREGATE(14, 6, COLUMN($AW$1:$BH$1)/(AW887:BH887&lt;&gt;""), 2) - COLUMN($AW$1) + 1
   ),
"")</f>
        <v>46082</v>
      </c>
      <c r="BN887" s="55" cm="1">
        <f t="array" ref="BN887">IFERROR(INDEX($AW$1:$BH$1,1,MATCH(2,1/(AW887:BH887&lt;&gt;""))),"")</f>
        <v>46113</v>
      </c>
      <c r="BO887" s="53">
        <f ca="1">IFERROR(_xlfn.XLOOKUP(F887,Apuração!A:A,Apuração!C:C)/_xlfn.XLOOKUP(F887,Apuração!A:A,Apuração!B:B),0)</f>
        <v>0.3</v>
      </c>
      <c r="BP887" s="53">
        <f ca="1">IFERROR(_xlfn.XLOOKUP(F887,Apuração!A:A,Apuração!D:D)/_xlfn.XLOOKUP(F887,Apuração!A:A,Apuração!B:B),0)</f>
        <v>0.2</v>
      </c>
      <c r="BQ887" s="53">
        <f ca="1">IF(BK887&gt;=BO887,0,_xlfn.XLOOKUP(F887,Apuração!A:A,Apuração!B:B)*(BO887 + (1/_xlfn.XLOOKUP(F887,Apuração!A:A,Apuração!B:B)) - BK887))</f>
        <v>0</v>
      </c>
      <c r="BR887" s="85">
        <f t="shared" ca="1" si="1162"/>
        <v>0</v>
      </c>
      <c r="BS887" s="53">
        <f ca="1">IFERROR((_xlfn.XLOOKUP(F887,Apuração!A:A,Apuração!C:C)+1)/_xlfn.XLOOKUP(F887,Apuração!A:A,Apuração!B:B),0)</f>
        <v>0.4</v>
      </c>
    </row>
    <row r="888" spans="1:71" ht="25.95" hidden="1" customHeight="1" x14ac:dyDescent="0.3">
      <c r="A888" s="44" t="s">
        <v>175</v>
      </c>
      <c r="B888" s="4" t="s">
        <v>184</v>
      </c>
      <c r="C888" s="5" t="s">
        <v>97</v>
      </c>
      <c r="D888" s="5" t="s">
        <v>104</v>
      </c>
      <c r="E888" s="4" t="str" cm="1">
        <f t="array" ref="E888">_xlfn.IFS(
F888 = "A partir de Abril", "Aguardando Execução na Distribuidora",
A888 = "CAPACITAÇÃO", "Em execução no Corporativo",
TRUE, "Em Execução na Distribuidora"
)</f>
        <v>Em execução no Corporativo</v>
      </c>
      <c r="F888" s="4" t="str" cm="1">
        <f t="array" ref="F888">_xlfn.IFS(
AG888 &lt;&gt; "", "Jan-Dez/26",
AH888 &lt;&gt; "", "Fev-Dez/26",
AI888 &lt;&gt; "", "Mar-Dez/26", AJ888 &lt;&gt; "", "Abr-Dez/26",
TRUE, "A partir de Junho"
)</f>
        <v>Mar-Dez/26</v>
      </c>
      <c r="G888" s="4" t="s">
        <v>37</v>
      </c>
      <c r="H888" s="7" t="s">
        <v>38</v>
      </c>
      <c r="I888" s="21" t="s">
        <v>180</v>
      </c>
      <c r="J888" s="8" t="str" cm="1">
        <f t="array" aca="1" ref="J888" ca="1">_xlfn.LET(
  _xlpm.actual_value_month, INDEX(T888:AE888, MATCH(DATE(YEAR(TODAY()), MONTH(TODAY()), 1), $T$1:$AE$1, 0)),
  IF(_xlpm.actual_value_month &lt;&gt; "", _xlpm.actual_value_month &amp; " ações mensais", "")
)</f>
        <v/>
      </c>
      <c r="K888" s="8" t="str" cm="1">
        <f t="array" ref="K888">_xlfn.LET(
    _xlpm.sum_month, SUM(T888:AE888),
    IF(_xlpm.sum_month = 0, "", _xlpm.sum_month &amp; " colaboradores treinados.")
)</f>
        <v/>
      </c>
      <c r="L888" s="9" t="s">
        <v>220</v>
      </c>
      <c r="M888" s="13">
        <v>1</v>
      </c>
      <c r="N888" s="5" t="s">
        <v>51</v>
      </c>
      <c r="O888" s="5" t="s">
        <v>52</v>
      </c>
      <c r="P888" s="10" t="s">
        <v>146</v>
      </c>
      <c r="Q888" s="10" t="s">
        <v>44</v>
      </c>
      <c r="R888" s="11" t="s">
        <v>44</v>
      </c>
      <c r="S888" s="11" t="s">
        <v>44</v>
      </c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G888" s="71"/>
      <c r="AH888" s="71"/>
      <c r="AI888" s="82">
        <v>312</v>
      </c>
      <c r="AJ888" s="82">
        <v>312</v>
      </c>
      <c r="AK888" s="71"/>
      <c r="AL888" s="71"/>
      <c r="AM888" s="71"/>
      <c r="AN888" s="71"/>
      <c r="AO888" s="71"/>
      <c r="AP888" s="71"/>
      <c r="AQ888" s="71"/>
      <c r="AR888" s="71"/>
      <c r="AS888" s="94" t="str" cm="1">
        <f t="array" ref="AS888">IFERROR(INDEX(T888:AE888,1,MATCH(2,1/(T888:AE888&lt;&gt;""))),"")</f>
        <v/>
      </c>
      <c r="AT888" s="95" cm="1">
        <f t="array" ref="AT888">IFERROR(INDEX(AJ888:AR888,1,MATCH(2,1/(AJ888:AR888&lt;&gt;""))),"")</f>
        <v>312</v>
      </c>
      <c r="AU888" s="97">
        <f t="shared" si="1156"/>
        <v>312</v>
      </c>
      <c r="AW888" s="83">
        <f t="shared" si="1157"/>
        <v>0</v>
      </c>
      <c r="AX888" s="52">
        <f t="shared" si="1158"/>
        <v>0</v>
      </c>
      <c r="AY888" s="52">
        <f t="shared" si="1159"/>
        <v>312</v>
      </c>
      <c r="AZ888" s="52">
        <f t="shared" si="1160"/>
        <v>312</v>
      </c>
      <c r="BA888" s="52"/>
      <c r="BB888" s="52"/>
      <c r="BC888" s="52"/>
      <c r="BD888" s="52"/>
      <c r="BE888" s="52"/>
      <c r="BF888" s="52"/>
      <c r="BG888" s="52"/>
      <c r="BH888" s="52"/>
      <c r="BI888" s="68" cm="1">
        <f t="array" ref="BI888">IFERROR(INDEX(AW888:BH888,1,MATCH(2,1/(AW888:BH888&lt;&gt;""))),"")</f>
        <v>312</v>
      </c>
      <c r="BJ888" s="68" cm="1">
        <f t="array" ref="BJ888">IF(BM888 = "", "",IFERROR(INDEX(AW888:BH888,1,MATCH(2,1/(AW888:BH888&lt;&gt;""),1)-1),""))</f>
        <v>312</v>
      </c>
      <c r="BK888" s="59">
        <f t="shared" si="1161"/>
        <v>624</v>
      </c>
      <c r="BL888" s="59" cm="1">
        <f t="array" ref="BL888">IFERROR(SUM(AW888:INDEX(AW888:BH888, MATCH(2, 1/(AW888:BH888&lt;&gt;""), 1) - 1))/_xlfn.XLOOKUP(F888,Apuração!A:A,Apuração!B:B),0)</f>
        <v>31.2</v>
      </c>
      <c r="BM888" s="55" cm="1">
        <f t="array" ref="BM888">IFERROR(
   INDEX($AW$1:$BH$1,
      _xlfn.AGGREGATE(14, 6, COLUMN($AW$1:$BH$1)/(AW888:BH888&lt;&gt;""), 2) - COLUMN($AW$1) + 1
   ),
"")</f>
        <v>46082</v>
      </c>
      <c r="BN888" s="55" cm="1">
        <f t="array" ref="BN888">IFERROR(INDEX($AW$1:$BH$1,1,MATCH(2,1/(AW888:BH888&lt;&gt;""))),"")</f>
        <v>46113</v>
      </c>
      <c r="BO888" s="53">
        <f ca="1">IFERROR(_xlfn.XLOOKUP(F888,Apuração!A:A,Apuração!C:C)/_xlfn.XLOOKUP(F888,Apuração!A:A,Apuração!B:B),0)</f>
        <v>0.3</v>
      </c>
      <c r="BP888" s="53">
        <f ca="1">IFERROR(_xlfn.XLOOKUP(F888,Apuração!A:A,Apuração!D:D)/_xlfn.XLOOKUP(F888,Apuração!A:A,Apuração!B:B),0)</f>
        <v>0.2</v>
      </c>
      <c r="BQ888" s="53">
        <f ca="1">IF(BK888&gt;=BO888,0,_xlfn.XLOOKUP(F888,Apuração!A:A,Apuração!B:B)*(BO888 + (1/_xlfn.XLOOKUP(F888,Apuração!A:A,Apuração!B:B)) - BK888))</f>
        <v>0</v>
      </c>
      <c r="BR888" s="85">
        <f t="shared" ca="1" si="1162"/>
        <v>0</v>
      </c>
      <c r="BS888" s="53">
        <f ca="1">IFERROR((_xlfn.XLOOKUP(F888,Apuração!A:A,Apuração!C:C)+1)/_xlfn.XLOOKUP(F888,Apuração!A:A,Apuração!B:B),0)</f>
        <v>0.4</v>
      </c>
    </row>
    <row r="889" spans="1:71" ht="25.95" hidden="1" customHeight="1" x14ac:dyDescent="0.3">
      <c r="A889" s="44" t="s">
        <v>175</v>
      </c>
      <c r="B889" s="4" t="s">
        <v>184</v>
      </c>
      <c r="C889" s="5" t="s">
        <v>97</v>
      </c>
      <c r="D889" s="5" t="s">
        <v>105</v>
      </c>
      <c r="E889" s="4" t="str" cm="1">
        <f t="array" ref="E889">_xlfn.IFS(
F889 = "A partir de Abril", "Aguardando Execução na Distribuidora",
A889 = "CAPACITAÇÃO", "Em execução no Corporativo",
TRUE, "Em Execução na Distribuidora"
)</f>
        <v>Em execução no Corporativo</v>
      </c>
      <c r="F889" s="4" t="str" cm="1">
        <f t="array" ref="F889">_xlfn.IFS(
AG889 &lt;&gt; "", "Jan-Dez/26",
AH889 &lt;&gt; "", "Fev-Dez/26",
AI889 &lt;&gt; "", "Mar-Dez/26", AJ889 &lt;&gt; "", "Abr-Dez/26",
TRUE, "A partir de Junho"
)</f>
        <v>Mar-Dez/26</v>
      </c>
      <c r="G889" s="4" t="s">
        <v>37</v>
      </c>
      <c r="H889" s="7" t="s">
        <v>38</v>
      </c>
      <c r="I889" s="21" t="s">
        <v>180</v>
      </c>
      <c r="J889" s="8" t="str" cm="1">
        <f t="array" aca="1" ref="J889" ca="1">_xlfn.LET(
  _xlpm.actual_value_month, INDEX(T889:AE889, MATCH(DATE(YEAR(TODAY()), MONTH(TODAY()), 1), $T$1:$AE$1, 0)),
  IF(_xlpm.actual_value_month &lt;&gt; "", _xlpm.actual_value_month &amp; " ações mensais", "")
)</f>
        <v/>
      </c>
      <c r="K889" s="8" t="str" cm="1">
        <f t="array" ref="K889">_xlfn.LET(
    _xlpm.sum_month, SUM(T889:AE889),
    IF(_xlpm.sum_month = 0, "", _xlpm.sum_month &amp; " colaboradores treinados.")
)</f>
        <v/>
      </c>
      <c r="L889" s="9" t="s">
        <v>220</v>
      </c>
      <c r="M889" s="13">
        <v>1</v>
      </c>
      <c r="N889" s="5" t="s">
        <v>51</v>
      </c>
      <c r="O889" s="5" t="s">
        <v>52</v>
      </c>
      <c r="P889" s="10" t="s">
        <v>146</v>
      </c>
      <c r="Q889" s="10" t="s">
        <v>44</v>
      </c>
      <c r="R889" s="11" t="s">
        <v>44</v>
      </c>
      <c r="S889" s="11" t="s">
        <v>44</v>
      </c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G889" s="71"/>
      <c r="AH889" s="71"/>
      <c r="AI889" s="82">
        <v>133</v>
      </c>
      <c r="AJ889" s="82">
        <v>133</v>
      </c>
      <c r="AK889" s="71"/>
      <c r="AL889" s="71"/>
      <c r="AM889" s="71"/>
      <c r="AN889" s="71"/>
      <c r="AO889" s="71"/>
      <c r="AP889" s="71"/>
      <c r="AQ889" s="71"/>
      <c r="AR889" s="71"/>
      <c r="AS889" s="94" t="str" cm="1">
        <f t="array" ref="AS889">IFERROR(INDEX(T889:AE889,1,MATCH(2,1/(T889:AE889&lt;&gt;""))),"")</f>
        <v/>
      </c>
      <c r="AT889" s="95" cm="1">
        <f t="array" ref="AT889">IFERROR(INDEX(AJ889:AR889,1,MATCH(2,1/(AJ889:AR889&lt;&gt;""))),"")</f>
        <v>133</v>
      </c>
      <c r="AU889" s="97">
        <f t="shared" si="1156"/>
        <v>133</v>
      </c>
      <c r="AW889" s="83">
        <f t="shared" si="1157"/>
        <v>0</v>
      </c>
      <c r="AX889" s="52">
        <f t="shared" si="1158"/>
        <v>0</v>
      </c>
      <c r="AY889" s="52">
        <f t="shared" si="1159"/>
        <v>133</v>
      </c>
      <c r="AZ889" s="52">
        <f t="shared" si="1160"/>
        <v>133</v>
      </c>
      <c r="BA889" s="52"/>
      <c r="BB889" s="52"/>
      <c r="BC889" s="52"/>
      <c r="BD889" s="52"/>
      <c r="BE889" s="52"/>
      <c r="BF889" s="52"/>
      <c r="BG889" s="52"/>
      <c r="BH889" s="52"/>
      <c r="BI889" s="68" cm="1">
        <f t="array" ref="BI889">IFERROR(INDEX(AW889:BH889,1,MATCH(2,1/(AW889:BH889&lt;&gt;""))),"")</f>
        <v>133</v>
      </c>
      <c r="BJ889" s="68" cm="1">
        <f t="array" ref="BJ889">IF(BM889 = "", "",IFERROR(INDEX(AW889:BH889,1,MATCH(2,1/(AW889:BH889&lt;&gt;""),1)-1),""))</f>
        <v>133</v>
      </c>
      <c r="BK889" s="59">
        <f t="shared" si="1161"/>
        <v>266</v>
      </c>
      <c r="BL889" s="59" cm="1">
        <f t="array" ref="BL889">IFERROR(SUM(AW889:INDEX(AW889:BH889, MATCH(2, 1/(AW889:BH889&lt;&gt;""), 1) - 1))/_xlfn.XLOOKUP(F889,Apuração!A:A,Apuração!B:B),0)</f>
        <v>13.3</v>
      </c>
      <c r="BM889" s="55" cm="1">
        <f t="array" ref="BM889">IFERROR(
   INDEX($AW$1:$BH$1,
      _xlfn.AGGREGATE(14, 6, COLUMN($AW$1:$BH$1)/(AW889:BH889&lt;&gt;""), 2) - COLUMN($AW$1) + 1
   ),
"")</f>
        <v>46082</v>
      </c>
      <c r="BN889" s="55" cm="1">
        <f t="array" ref="BN889">IFERROR(INDEX($AW$1:$BH$1,1,MATCH(2,1/(AW889:BH889&lt;&gt;""))),"")</f>
        <v>46113</v>
      </c>
      <c r="BO889" s="53">
        <f ca="1">IFERROR(_xlfn.XLOOKUP(F889,Apuração!A:A,Apuração!C:C)/_xlfn.XLOOKUP(F889,Apuração!A:A,Apuração!B:B),0)</f>
        <v>0.3</v>
      </c>
      <c r="BP889" s="53">
        <f ca="1">IFERROR(_xlfn.XLOOKUP(F889,Apuração!A:A,Apuração!D:D)/_xlfn.XLOOKUP(F889,Apuração!A:A,Apuração!B:B),0)</f>
        <v>0.2</v>
      </c>
      <c r="BQ889" s="53">
        <f ca="1">IF(BK889&gt;=BO889,0,_xlfn.XLOOKUP(F889,Apuração!A:A,Apuração!B:B)*(BO889 + (1/_xlfn.XLOOKUP(F889,Apuração!A:A,Apuração!B:B)) - BK889))</f>
        <v>0</v>
      </c>
      <c r="BR889" s="85">
        <f t="shared" ca="1" si="1162"/>
        <v>0</v>
      </c>
      <c r="BS889" s="53">
        <f ca="1">IFERROR((_xlfn.XLOOKUP(F889,Apuração!A:A,Apuração!C:C)+1)/_xlfn.XLOOKUP(F889,Apuração!A:A,Apuração!B:B),0)</f>
        <v>0.4</v>
      </c>
    </row>
    <row r="890" spans="1:71" ht="25.95" hidden="1" customHeight="1" x14ac:dyDescent="0.3">
      <c r="A890" s="44" t="s">
        <v>175</v>
      </c>
      <c r="B890" s="4" t="s">
        <v>184</v>
      </c>
      <c r="C890" s="5" t="s">
        <v>97</v>
      </c>
      <c r="D890" s="5" t="s">
        <v>106</v>
      </c>
      <c r="E890" s="4" t="str" cm="1">
        <f t="array" ref="E890">_xlfn.IFS(
F890 = "A partir de Abril", "Aguardando Execução na Distribuidora",
A890 = "CAPACITAÇÃO", "Em execução no Corporativo",
TRUE, "Em Execução na Distribuidora"
)</f>
        <v>Em execução no Corporativo</v>
      </c>
      <c r="F890" s="4" t="str" cm="1">
        <f t="array" ref="F890">_xlfn.IFS(
AG890 &lt;&gt; "", "Jan-Dez/26",
AH890 &lt;&gt; "", "Fev-Dez/26",
AI890 &lt;&gt; "", "Mar-Dez/26", AJ890 &lt;&gt; "", "Abr-Dez/26",
TRUE, "A partir de Junho"
)</f>
        <v>Mar-Dez/26</v>
      </c>
      <c r="G890" s="4" t="s">
        <v>37</v>
      </c>
      <c r="H890" s="7" t="s">
        <v>38</v>
      </c>
      <c r="I890" s="21" t="s">
        <v>180</v>
      </c>
      <c r="J890" s="8" t="str" cm="1">
        <f t="array" aca="1" ref="J890" ca="1">_xlfn.LET(
  _xlpm.actual_value_month, INDEX(T890:AE890, MATCH(DATE(YEAR(TODAY()), MONTH(TODAY()), 1), $T$1:$AE$1, 0)),
  IF(_xlpm.actual_value_month &lt;&gt; "", _xlpm.actual_value_month &amp; " ações mensais", "")
)</f>
        <v/>
      </c>
      <c r="K890" s="8" t="str" cm="1">
        <f t="array" ref="K890">_xlfn.LET(
    _xlpm.sum_month, SUM(T890:AE890),
    IF(_xlpm.sum_month = 0, "", _xlpm.sum_month &amp; " colaboradores treinados.")
)</f>
        <v/>
      </c>
      <c r="L890" s="9" t="s">
        <v>220</v>
      </c>
      <c r="M890" s="13">
        <v>1</v>
      </c>
      <c r="N890" s="5" t="s">
        <v>51</v>
      </c>
      <c r="O890" s="5" t="s">
        <v>52</v>
      </c>
      <c r="P890" s="10" t="s">
        <v>146</v>
      </c>
      <c r="Q890" s="10" t="s">
        <v>44</v>
      </c>
      <c r="R890" s="11" t="s">
        <v>44</v>
      </c>
      <c r="S890" s="11" t="s">
        <v>44</v>
      </c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G890" s="71"/>
      <c r="AH890" s="71"/>
      <c r="AI890" s="82">
        <v>328</v>
      </c>
      <c r="AJ890" s="82">
        <v>328</v>
      </c>
      <c r="AK890" s="71"/>
      <c r="AL890" s="71"/>
      <c r="AM890" s="71"/>
      <c r="AN890" s="71"/>
      <c r="AO890" s="71"/>
      <c r="AP890" s="71"/>
      <c r="AQ890" s="71"/>
      <c r="AR890" s="71"/>
      <c r="AS890" s="94" t="str" cm="1">
        <f t="array" ref="AS890">IFERROR(INDEX(T890:AE890,1,MATCH(2,1/(T890:AE890&lt;&gt;""))),"")</f>
        <v/>
      </c>
      <c r="AT890" s="95" cm="1">
        <f t="array" ref="AT890">IFERROR(INDEX(AJ890:AR890,1,MATCH(2,1/(AJ890:AR890&lt;&gt;""))),"")</f>
        <v>328</v>
      </c>
      <c r="AU890" s="97">
        <f t="shared" si="1156"/>
        <v>328</v>
      </c>
      <c r="AW890" s="83">
        <f t="shared" si="1157"/>
        <v>0</v>
      </c>
      <c r="AX890" s="52">
        <f t="shared" si="1158"/>
        <v>0</v>
      </c>
      <c r="AY890" s="52">
        <f t="shared" si="1159"/>
        <v>328</v>
      </c>
      <c r="AZ890" s="52">
        <f t="shared" si="1160"/>
        <v>328</v>
      </c>
      <c r="BA890" s="52"/>
      <c r="BB890" s="52"/>
      <c r="BC890" s="52"/>
      <c r="BD890" s="52"/>
      <c r="BE890" s="52"/>
      <c r="BF890" s="52"/>
      <c r="BG890" s="52"/>
      <c r="BH890" s="52"/>
      <c r="BI890" s="68" cm="1">
        <f t="array" ref="BI890">IFERROR(INDEX(AW890:BH890,1,MATCH(2,1/(AW890:BH890&lt;&gt;""))),"")</f>
        <v>328</v>
      </c>
      <c r="BJ890" s="68" cm="1">
        <f t="array" ref="BJ890">IF(BM890 = "", "",IFERROR(INDEX(AW890:BH890,1,MATCH(2,1/(AW890:BH890&lt;&gt;""),1)-1),""))</f>
        <v>328</v>
      </c>
      <c r="BK890" s="59">
        <f t="shared" si="1161"/>
        <v>656</v>
      </c>
      <c r="BL890" s="59" cm="1">
        <f t="array" ref="BL890">IFERROR(SUM(AW890:INDEX(AW890:BH890, MATCH(2, 1/(AW890:BH890&lt;&gt;""), 1) - 1))/_xlfn.XLOOKUP(F890,Apuração!A:A,Apuração!B:B),0)</f>
        <v>32.799999999999997</v>
      </c>
      <c r="BM890" s="55" cm="1">
        <f t="array" ref="BM890">IFERROR(
   INDEX($AW$1:$BH$1,
      _xlfn.AGGREGATE(14, 6, COLUMN($AW$1:$BH$1)/(AW890:BH890&lt;&gt;""), 2) - COLUMN($AW$1) + 1
   ),
"")</f>
        <v>46082</v>
      </c>
      <c r="BN890" s="55" cm="1">
        <f t="array" ref="BN890">IFERROR(INDEX($AW$1:$BH$1,1,MATCH(2,1/(AW890:BH890&lt;&gt;""))),"")</f>
        <v>46113</v>
      </c>
      <c r="BO890" s="53">
        <f ca="1">IFERROR(_xlfn.XLOOKUP(F890,Apuração!A:A,Apuração!C:C)/_xlfn.XLOOKUP(F890,Apuração!A:A,Apuração!B:B),0)</f>
        <v>0.3</v>
      </c>
      <c r="BP890" s="53">
        <f ca="1">IFERROR(_xlfn.XLOOKUP(F890,Apuração!A:A,Apuração!D:D)/_xlfn.XLOOKUP(F890,Apuração!A:A,Apuração!B:B),0)</f>
        <v>0.2</v>
      </c>
      <c r="BQ890" s="53">
        <f ca="1">IF(BK890&gt;=BO890,0,_xlfn.XLOOKUP(F890,Apuração!A:A,Apuração!B:B)*(BO890 + (1/_xlfn.XLOOKUP(F890,Apuração!A:A,Apuração!B:B)) - BK890))</f>
        <v>0</v>
      </c>
      <c r="BR890" s="85">
        <f t="shared" ca="1" si="1162"/>
        <v>0</v>
      </c>
      <c r="BS890" s="53">
        <f ca="1">IFERROR((_xlfn.XLOOKUP(F890,Apuração!A:A,Apuração!C:C)+1)/_xlfn.XLOOKUP(F890,Apuração!A:A,Apuração!B:B),0)</f>
        <v>0.4</v>
      </c>
    </row>
    <row r="891" spans="1:71" ht="25.95" hidden="1" customHeight="1" x14ac:dyDescent="0.3">
      <c r="A891" s="44" t="s">
        <v>175</v>
      </c>
      <c r="B891" s="4" t="s">
        <v>184</v>
      </c>
      <c r="C891" s="5" t="s">
        <v>97</v>
      </c>
      <c r="D891" s="5" t="s">
        <v>107</v>
      </c>
      <c r="E891" s="4" t="str" cm="1">
        <f t="array" ref="E891">_xlfn.IFS(
F891 = "A partir de Abril", "Aguardando Execução na Distribuidora",
A891 = "CAPACITAÇÃO", "Em execução no Corporativo",
TRUE, "Em Execução na Distribuidora"
)</f>
        <v>Em execução no Corporativo</v>
      </c>
      <c r="F891" s="4" t="str" cm="1">
        <f t="array" ref="F891">_xlfn.IFS(
AG891 &lt;&gt; "", "Jan-Dez/26",
AH891 &lt;&gt; "", "Fev-Dez/26",
AI891 &lt;&gt; "", "Mar-Dez/26", AJ891 &lt;&gt; "", "Abr-Dez/26",
TRUE, "A partir de Junho"
)</f>
        <v>Mar-Dez/26</v>
      </c>
      <c r="G891" s="4" t="s">
        <v>37</v>
      </c>
      <c r="H891" s="7" t="s">
        <v>38</v>
      </c>
      <c r="I891" s="21" t="s">
        <v>180</v>
      </c>
      <c r="J891" s="8" t="str" cm="1">
        <f t="array" aca="1" ref="J891" ca="1">_xlfn.LET(
  _xlpm.actual_value_month, INDEX(T891:AE891, MATCH(DATE(YEAR(TODAY()), MONTH(TODAY()), 1), $T$1:$AE$1, 0)),
  IF(_xlpm.actual_value_month &lt;&gt; "", _xlpm.actual_value_month &amp; " ações mensais", "")
)</f>
        <v/>
      </c>
      <c r="K891" s="8" t="str" cm="1">
        <f t="array" ref="K891">_xlfn.LET(
    _xlpm.sum_month, SUM(T891:AE891),
    IF(_xlpm.sum_month = 0, "", _xlpm.sum_month &amp; " colaboradores treinados.")
)</f>
        <v/>
      </c>
      <c r="L891" s="9" t="s">
        <v>220</v>
      </c>
      <c r="M891" s="13">
        <v>1</v>
      </c>
      <c r="N891" s="5" t="s">
        <v>51</v>
      </c>
      <c r="O891" s="5" t="s">
        <v>52</v>
      </c>
      <c r="P891" s="10" t="s">
        <v>146</v>
      </c>
      <c r="Q891" s="10" t="s">
        <v>44</v>
      </c>
      <c r="R891" s="11" t="s">
        <v>44</v>
      </c>
      <c r="S891" s="11" t="s">
        <v>44</v>
      </c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G891" s="71"/>
      <c r="AH891" s="71"/>
      <c r="AI891" s="82">
        <v>403</v>
      </c>
      <c r="AJ891" s="82">
        <v>403</v>
      </c>
      <c r="AK891" s="71"/>
      <c r="AL891" s="71"/>
      <c r="AM891" s="71"/>
      <c r="AN891" s="71"/>
      <c r="AO891" s="71"/>
      <c r="AP891" s="71"/>
      <c r="AQ891" s="71"/>
      <c r="AR891" s="71"/>
      <c r="AS891" s="94" t="str" cm="1">
        <f t="array" ref="AS891">IFERROR(INDEX(T891:AE891,1,MATCH(2,1/(T891:AE891&lt;&gt;""))),"")</f>
        <v/>
      </c>
      <c r="AT891" s="95" cm="1">
        <f t="array" ref="AT891">IFERROR(INDEX(AJ891:AR891,1,MATCH(2,1/(AJ891:AR891&lt;&gt;""))),"")</f>
        <v>403</v>
      </c>
      <c r="AU891" s="97">
        <f t="shared" si="1156"/>
        <v>403</v>
      </c>
      <c r="AW891" s="83">
        <f t="shared" si="1157"/>
        <v>0</v>
      </c>
      <c r="AX891" s="52">
        <f t="shared" si="1158"/>
        <v>0</v>
      </c>
      <c r="AY891" s="52">
        <f t="shared" si="1159"/>
        <v>403</v>
      </c>
      <c r="AZ891" s="52">
        <f t="shared" si="1160"/>
        <v>403</v>
      </c>
      <c r="BA891" s="52"/>
      <c r="BB891" s="52"/>
      <c r="BC891" s="52"/>
      <c r="BD891" s="52"/>
      <c r="BE891" s="52"/>
      <c r="BF891" s="52"/>
      <c r="BG891" s="52"/>
      <c r="BH891" s="52"/>
      <c r="BI891" s="68" cm="1">
        <f t="array" ref="BI891">IFERROR(INDEX(AW891:BH891,1,MATCH(2,1/(AW891:BH891&lt;&gt;""))),"")</f>
        <v>403</v>
      </c>
      <c r="BJ891" s="68" cm="1">
        <f t="array" ref="BJ891">IF(BM891 = "", "",IFERROR(INDEX(AW891:BH891,1,MATCH(2,1/(AW891:BH891&lt;&gt;""),1)-1),""))</f>
        <v>403</v>
      </c>
      <c r="BK891" s="59">
        <f t="shared" si="1161"/>
        <v>806</v>
      </c>
      <c r="BL891" s="59" cm="1">
        <f t="array" ref="BL891">IFERROR(SUM(AW891:INDEX(AW891:BH891, MATCH(2, 1/(AW891:BH891&lt;&gt;""), 1) - 1))/_xlfn.XLOOKUP(F891,Apuração!A:A,Apuração!B:B),0)</f>
        <v>40.299999999999997</v>
      </c>
      <c r="BM891" s="55" cm="1">
        <f t="array" ref="BM891">IFERROR(
   INDEX($AW$1:$BH$1,
      _xlfn.AGGREGATE(14, 6, COLUMN($AW$1:$BH$1)/(AW891:BH891&lt;&gt;""), 2) - COLUMN($AW$1) + 1
   ),
"")</f>
        <v>46082</v>
      </c>
      <c r="BN891" s="55" cm="1">
        <f t="array" ref="BN891">IFERROR(INDEX($AW$1:$BH$1,1,MATCH(2,1/(AW891:BH891&lt;&gt;""))),"")</f>
        <v>46113</v>
      </c>
      <c r="BO891" s="53">
        <f ca="1">IFERROR(_xlfn.XLOOKUP(F891,Apuração!A:A,Apuração!C:C)/_xlfn.XLOOKUP(F891,Apuração!A:A,Apuração!B:B),0)</f>
        <v>0.3</v>
      </c>
      <c r="BP891" s="53">
        <f ca="1">IFERROR(_xlfn.XLOOKUP(F891,Apuração!A:A,Apuração!D:D)/_xlfn.XLOOKUP(F891,Apuração!A:A,Apuração!B:B),0)</f>
        <v>0.2</v>
      </c>
      <c r="BQ891" s="53">
        <f ca="1">IF(BK891&gt;=BO891,0,_xlfn.XLOOKUP(F891,Apuração!A:A,Apuração!B:B)*(BO891 + (1/_xlfn.XLOOKUP(F891,Apuração!A:A,Apuração!B:B)) - BK891))</f>
        <v>0</v>
      </c>
      <c r="BR891" s="85">
        <f t="shared" ca="1" si="1162"/>
        <v>0</v>
      </c>
      <c r="BS891" s="53">
        <f ca="1">IFERROR((_xlfn.XLOOKUP(F891,Apuração!A:A,Apuração!C:C)+1)/_xlfn.XLOOKUP(F891,Apuração!A:A,Apuração!B:B),0)</f>
        <v>0.4</v>
      </c>
    </row>
    <row r="892" spans="1:71" ht="25.95" hidden="1" customHeight="1" x14ac:dyDescent="0.3">
      <c r="A892" s="44" t="s">
        <v>175</v>
      </c>
      <c r="B892" s="4" t="s">
        <v>184</v>
      </c>
      <c r="C892" s="5" t="s">
        <v>97</v>
      </c>
      <c r="D892" s="5" t="s">
        <v>36</v>
      </c>
      <c r="E892" s="4" t="str" cm="1">
        <f t="array" ref="E892">_xlfn.IFS(
F892 = "A partir de Abril", "Aguardando Execução na Distribuidora",
A892 = "CAPACITAÇÃO", "Em execução no Corporativo",
TRUE, "Em Execução na Distribuidora"
)</f>
        <v>Em execução no Corporativo</v>
      </c>
      <c r="F892" s="4" t="str" cm="1">
        <f t="array" ref="F892">_xlfn.IFS(
AG892 &lt;&gt; "", "Jan-Dez/26",
AH892 &lt;&gt; "", "Fev-Dez/26",
AI892 &lt;&gt; "", "Mar-Dez/26", AJ892 &lt;&gt; "", "Abr-Dez/26",
TRUE, "A partir de Junho"
)</f>
        <v>Mar-Dez/26</v>
      </c>
      <c r="G892" s="4" t="s">
        <v>37</v>
      </c>
      <c r="H892" s="7" t="s">
        <v>38</v>
      </c>
      <c r="I892" s="21" t="s">
        <v>182</v>
      </c>
      <c r="J892" s="8" t="str" cm="1">
        <f t="array" aca="1" ref="J892" ca="1">_xlfn.LET(
  _xlpm.actual_value_month, INDEX(T892:AE892, MATCH(DATE(YEAR(TODAY()), MONTH(TODAY()), 1), $T$1:$AE$1, 0)),
  IF(_xlpm.actual_value_month &lt;&gt; "", _xlpm.actual_value_month &amp; " ações mensais", "")
)</f>
        <v/>
      </c>
      <c r="K892" s="8" t="str" cm="1">
        <f t="array" ref="K892">_xlfn.LET(
    _xlpm.sum_month, SUM(T892:AE892),
    IF(_xlpm.sum_month = 0, "", _xlpm.sum_month &amp; " taxa de aprovados")
)</f>
        <v>6898 taxa de aprovados</v>
      </c>
      <c r="L892" s="4" t="s">
        <v>186</v>
      </c>
      <c r="M892" s="13">
        <v>1</v>
      </c>
      <c r="N892" s="5" t="s">
        <v>51</v>
      </c>
      <c r="O892" s="5" t="s">
        <v>43</v>
      </c>
      <c r="P892" s="10" t="s">
        <v>44</v>
      </c>
      <c r="Q892" s="10" t="s">
        <v>44</v>
      </c>
      <c r="R892" s="11" t="s">
        <v>44</v>
      </c>
      <c r="S892" s="11" t="s">
        <v>44</v>
      </c>
      <c r="T892" s="22"/>
      <c r="U892" s="22"/>
      <c r="V892" s="22">
        <v>3446</v>
      </c>
      <c r="W892" s="22">
        <v>3452</v>
      </c>
      <c r="X892" s="22"/>
      <c r="Y892" s="22"/>
      <c r="Z892" s="22"/>
      <c r="AA892" s="22"/>
      <c r="AB892" s="22"/>
      <c r="AC892" s="22"/>
      <c r="AD892" s="22"/>
      <c r="AE892" s="22"/>
      <c r="AG892" s="71"/>
      <c r="AH892" s="71"/>
      <c r="AI892" s="71">
        <v>3446</v>
      </c>
      <c r="AJ892" s="71">
        <v>3452</v>
      </c>
      <c r="AK892" s="71"/>
      <c r="AL892" s="71"/>
      <c r="AM892" s="71"/>
      <c r="AN892" s="71"/>
      <c r="AO892" s="71"/>
      <c r="AP892" s="71"/>
      <c r="AQ892" s="71"/>
      <c r="AR892" s="71"/>
      <c r="AS892" s="94" cm="1">
        <f t="array" ref="AS892">IFERROR(INDEX(T892:AE892,1,MATCH(2,1/(T892:AE892&lt;&gt;""))),"")</f>
        <v>3452</v>
      </c>
      <c r="AT892" s="95" cm="1">
        <f t="array" ref="AT892">IFERROR(INDEX(AJ892:AR892,1,MATCH(2,1/(AJ892:AR892&lt;&gt;""))),"")</f>
        <v>3452</v>
      </c>
      <c r="AU892" s="97">
        <f t="shared" si="1121"/>
        <v>3452</v>
      </c>
      <c r="AW892" s="52">
        <f>IFERROR(IF(T892="",0,T892/AG892),0)</f>
        <v>0</v>
      </c>
      <c r="AX892" s="52">
        <f>IFERROR(IF(U892="",0,U892/AH892),0)</f>
        <v>0</v>
      </c>
      <c r="AY892" s="118">
        <f>IFERROR(IF(V892="",0,V892/AI892),0)</f>
        <v>1</v>
      </c>
      <c r="AZ892" s="118">
        <f>IFERROR(IF(W892="",0,W892/AJ892),0)</f>
        <v>1</v>
      </c>
      <c r="BA892" s="52"/>
      <c r="BB892" s="52"/>
      <c r="BC892" s="52"/>
      <c r="BD892" s="52"/>
      <c r="BE892" s="52"/>
      <c r="BF892" s="52"/>
      <c r="BG892" s="52"/>
      <c r="BH892" s="52"/>
      <c r="BI892" s="65" cm="1">
        <f t="array" ref="BI892">IFERROR(INDEX(AW892:BH892,1,MATCH(2,1/(AW892:BH892&lt;&gt;""))),"")</f>
        <v>1</v>
      </c>
      <c r="BJ892" s="68" cm="1">
        <f t="array" ref="BJ892">IF(BM892 = "", "",IFERROR(INDEX(AW892:BH892,1,MATCH(2,1/(AW892:BH892&lt;&gt;""),1)-1),""))</f>
        <v>1</v>
      </c>
      <c r="BK892" s="58" cm="1">
        <f t="array" ref="BK892">IFERROR(INDEX(AW892:BH892,1,MATCH(2,1/(AW892:BH892&lt;&gt;""))),"")</f>
        <v>1</v>
      </c>
      <c r="BL892" s="58" cm="1">
        <f t="array" ref="BL892">IFERROR(INDEX(AW892:BH892,1,MATCH(2,1/(AW892:BH892&lt;&gt;""),1)-1),"")</f>
        <v>1</v>
      </c>
      <c r="BM892" s="55" cm="1">
        <f t="array" ref="BM892">IFERROR(
   INDEX($AW$1:$BH$1,
      _xlfn.AGGREGATE(14, 6, COLUMN($AW$1:$BH$1)/(AW892:BH892&lt;&gt;""), 2) - COLUMN($AW$1) + 1
   ),
"")</f>
        <v>46082</v>
      </c>
      <c r="BN892" s="55" cm="1">
        <f t="array" ref="BN892">IFERROR(INDEX($AW$1:$BH$1,1,MATCH(2,1/(AW892:BH892&lt;&gt;""))),"")</f>
        <v>46113</v>
      </c>
      <c r="BO892" s="53">
        <f ca="1">IFERROR(_xlfn.XLOOKUP(F892,Apuração!A:A,Apuração!C:C)/_xlfn.XLOOKUP(F892,Apuração!A:A,Apuração!B:B),0)</f>
        <v>0.3</v>
      </c>
      <c r="BP892" s="53">
        <f ca="1">IFERROR(_xlfn.XLOOKUP(F892,Apuração!A:A,Apuração!D:D)/_xlfn.XLOOKUP(F892,Apuração!A:A,Apuração!B:B),0)</f>
        <v>0.2</v>
      </c>
      <c r="BQ892" s="53">
        <f ca="1">IF(BK892&gt;=BO892,0,_xlfn.XLOOKUP(F892,Apuração!A:A,Apuração!B:B)*(BO892 + (1/_xlfn.XLOOKUP(F892,Apuração!A:A,Apuração!B:B)) - BK892))</f>
        <v>0</v>
      </c>
      <c r="BR892" s="85">
        <f t="shared" ca="1" si="898"/>
        <v>0</v>
      </c>
      <c r="BS892" s="53">
        <f ca="1">IFERROR((_xlfn.XLOOKUP(F892,Apuração!A:A,Apuração!C:C)+1)/_xlfn.XLOOKUP(F892,Apuração!A:A,Apuração!B:B),0)</f>
        <v>0.4</v>
      </c>
    </row>
    <row r="893" spans="1:71" ht="25.95" hidden="1" customHeight="1" x14ac:dyDescent="0.3">
      <c r="A893" s="44" t="s">
        <v>175</v>
      </c>
      <c r="B893" s="4" t="s">
        <v>184</v>
      </c>
      <c r="C893" s="5" t="s">
        <v>97</v>
      </c>
      <c r="D893" s="5" t="s">
        <v>98</v>
      </c>
      <c r="E893" s="4" t="str" cm="1">
        <f t="array" ref="E893">_xlfn.IFS(
F893 = "A partir de Abril", "Aguardando Execução na Distribuidora",
A893 = "CAPACITAÇÃO", "Em execução no Corporativo",
TRUE, "Em Execução na Distribuidora"
)</f>
        <v>Em execução no Corporativo</v>
      </c>
      <c r="F893" s="4" t="str" cm="1">
        <f t="array" ref="F893">_xlfn.IFS(
AG893 &lt;&gt; "", "Jan-Dez/26",
AH893 &lt;&gt; "", "Fev-Dez/26",
AI893 &lt;&gt; "", "Mar-Dez/26", AJ893 &lt;&gt; "", "Abr-Dez/26",
TRUE, "A partir de Junho"
)</f>
        <v>Mar-Dez/26</v>
      </c>
      <c r="G893" s="4" t="s">
        <v>37</v>
      </c>
      <c r="H893" s="7" t="s">
        <v>38</v>
      </c>
      <c r="I893" s="21" t="s">
        <v>182</v>
      </c>
      <c r="J893" s="8" t="str" cm="1">
        <f t="array" aca="1" ref="J893" ca="1">_xlfn.LET(
  _xlpm.actual_value_month, INDEX(T893:AE893, MATCH(DATE(YEAR(TODAY()), MONTH(TODAY()), 1), $T$1:$AE$1, 0)),
  IF(_xlpm.actual_value_month &lt;&gt; "", _xlpm.actual_value_month &amp; " ações mensais", "")
)</f>
        <v/>
      </c>
      <c r="K893" s="8" t="str" cm="1">
        <f t="array" ref="K893">_xlfn.LET(
    _xlpm.sum_month, SUM(T893:AE893),
    IF(_xlpm.sum_month = 0, "", _xlpm.sum_month &amp; " taxa de aprovados")
)</f>
        <v>634 taxa de aprovados</v>
      </c>
      <c r="L893" s="4" t="s">
        <v>186</v>
      </c>
      <c r="M893" s="13">
        <v>1</v>
      </c>
      <c r="N893" s="5" t="s">
        <v>51</v>
      </c>
      <c r="O893" s="5" t="s">
        <v>43</v>
      </c>
      <c r="P893" s="10" t="s">
        <v>44</v>
      </c>
      <c r="Q893" s="10" t="s">
        <v>44</v>
      </c>
      <c r="R893" s="11" t="s">
        <v>44</v>
      </c>
      <c r="S893" s="11" t="s">
        <v>44</v>
      </c>
      <c r="T893" s="22"/>
      <c r="U893" s="22"/>
      <c r="V893" s="22">
        <v>317</v>
      </c>
      <c r="W893" s="22">
        <v>317</v>
      </c>
      <c r="X893" s="22"/>
      <c r="Y893" s="22"/>
      <c r="Z893" s="22"/>
      <c r="AA893" s="22"/>
      <c r="AB893" s="22"/>
      <c r="AC893" s="22"/>
      <c r="AD893" s="22"/>
      <c r="AE893" s="22"/>
      <c r="AG893" s="71"/>
      <c r="AH893" s="71"/>
      <c r="AI893" s="82">
        <v>317</v>
      </c>
      <c r="AJ893" s="82">
        <v>317</v>
      </c>
      <c r="AK893" s="71"/>
      <c r="AL893" s="71"/>
      <c r="AM893" s="71"/>
      <c r="AN893" s="71"/>
      <c r="AO893" s="71"/>
      <c r="AP893" s="71"/>
      <c r="AQ893" s="71"/>
      <c r="AR893" s="71"/>
      <c r="AS893" s="94" cm="1">
        <f t="array" ref="AS893">IFERROR(INDEX(T893:AE893,1,MATCH(2,1/(T893:AE893&lt;&gt;""))),"")</f>
        <v>317</v>
      </c>
      <c r="AT893" s="95" cm="1">
        <f t="array" ref="AT893">IFERROR(INDEX(AJ893:AR893,1,MATCH(2,1/(AJ893:AR893&lt;&gt;""))),"")</f>
        <v>317</v>
      </c>
      <c r="AU893" s="97">
        <f t="shared" ref="AU893:AU902" si="1163">AT893</f>
        <v>317</v>
      </c>
      <c r="AW893" s="52">
        <f t="shared" ref="AW893:AW902" si="1164">IFERROR(IF(T893="",0,T893/AG893),0)</f>
        <v>0</v>
      </c>
      <c r="AX893" s="52">
        <f t="shared" ref="AX893:AX902" si="1165">IFERROR(IF(U893="",0,U893/AH893),0)</f>
        <v>0</v>
      </c>
      <c r="AY893" s="118">
        <f t="shared" ref="AY893:AY902" si="1166">IFERROR(IF(V893="",0,V893/AI893),0)</f>
        <v>1</v>
      </c>
      <c r="AZ893" s="118">
        <f t="shared" ref="AZ893:AZ902" si="1167">IFERROR(IF(W893="",0,W893/AJ893),0)</f>
        <v>1</v>
      </c>
      <c r="BA893" s="52"/>
      <c r="BB893" s="52"/>
      <c r="BC893" s="52"/>
      <c r="BD893" s="52"/>
      <c r="BE893" s="52"/>
      <c r="BF893" s="52"/>
      <c r="BG893" s="52"/>
      <c r="BH893" s="52"/>
      <c r="BI893" s="65" cm="1">
        <f t="array" ref="BI893">IFERROR(INDEX(AW893:BH893,1,MATCH(2,1/(AW893:BH893&lt;&gt;""))),"")</f>
        <v>1</v>
      </c>
      <c r="BJ893" s="68" cm="1">
        <f t="array" ref="BJ893">IF(BM893 = "", "",IFERROR(INDEX(AW893:BH893,1,MATCH(2,1/(AW893:BH893&lt;&gt;""),1)-1),""))</f>
        <v>1</v>
      </c>
      <c r="BK893" s="58" cm="1">
        <f t="array" ref="BK893">IFERROR(INDEX(AW893:BH893,1,MATCH(2,1/(AW893:BH893&lt;&gt;""))),"")</f>
        <v>1</v>
      </c>
      <c r="BL893" s="58" cm="1">
        <f t="array" ref="BL893">IFERROR(INDEX(AW893:BH893,1,MATCH(2,1/(AW893:BH893&lt;&gt;""),1)-1),"")</f>
        <v>1</v>
      </c>
      <c r="BM893" s="55" cm="1">
        <f t="array" ref="BM893">IFERROR(
   INDEX($AW$1:$BH$1,
      _xlfn.AGGREGATE(14, 6, COLUMN($AW$1:$BH$1)/(AW893:BH893&lt;&gt;""), 2) - COLUMN($AW$1) + 1
   ),
"")</f>
        <v>46082</v>
      </c>
      <c r="BN893" s="55" cm="1">
        <f t="array" ref="BN893">IFERROR(INDEX($AW$1:$BH$1,1,MATCH(2,1/(AW893:BH893&lt;&gt;""))),"")</f>
        <v>46113</v>
      </c>
      <c r="BO893" s="53">
        <f ca="1">IFERROR(_xlfn.XLOOKUP(F893,Apuração!A:A,Apuração!C:C)/_xlfn.XLOOKUP(F893,Apuração!A:A,Apuração!B:B),0)</f>
        <v>0.3</v>
      </c>
      <c r="BP893" s="53">
        <f ca="1">IFERROR(_xlfn.XLOOKUP(F893,Apuração!A:A,Apuração!D:D)/_xlfn.XLOOKUP(F893,Apuração!A:A,Apuração!B:B),0)</f>
        <v>0.2</v>
      </c>
      <c r="BQ893" s="53">
        <f ca="1">IF(BK893&gt;=BO893,0,_xlfn.XLOOKUP(F893,Apuração!A:A,Apuração!B:B)*(BO893 + (1/_xlfn.XLOOKUP(F893,Apuração!A:A,Apuração!B:B)) - BK893))</f>
        <v>0</v>
      </c>
      <c r="BR893" s="85">
        <f t="shared" ref="BR893:BR902" ca="1" si="1168">IF(BQ893=0,0,BQ893*Z893)</f>
        <v>0</v>
      </c>
      <c r="BS893" s="53">
        <f ca="1">IFERROR((_xlfn.XLOOKUP(F893,Apuração!A:A,Apuração!C:C)+1)/_xlfn.XLOOKUP(F893,Apuração!A:A,Apuração!B:B),0)</f>
        <v>0.4</v>
      </c>
    </row>
    <row r="894" spans="1:71" ht="25.95" hidden="1" customHeight="1" x14ac:dyDescent="0.3">
      <c r="A894" s="44" t="s">
        <v>175</v>
      </c>
      <c r="B894" s="4" t="s">
        <v>184</v>
      </c>
      <c r="C894" s="5" t="s">
        <v>97</v>
      </c>
      <c r="D894" s="5" t="s">
        <v>99</v>
      </c>
      <c r="E894" s="4" t="str" cm="1">
        <f t="array" ref="E894">_xlfn.IFS(
F894 = "A partir de Abril", "Aguardando Execução na Distribuidora",
A894 = "CAPACITAÇÃO", "Em execução no Corporativo",
TRUE, "Em Execução na Distribuidora"
)</f>
        <v>Em execução no Corporativo</v>
      </c>
      <c r="F894" s="4" t="str" cm="1">
        <f t="array" ref="F894">_xlfn.IFS(
AG894 &lt;&gt; "", "Jan-Dez/26",
AH894 &lt;&gt; "", "Fev-Dez/26",
AI894 &lt;&gt; "", "Mar-Dez/26", AJ894 &lt;&gt; "", "Abr-Dez/26",
TRUE, "A partir de Junho"
)</f>
        <v>Mar-Dez/26</v>
      </c>
      <c r="G894" s="4" t="s">
        <v>37</v>
      </c>
      <c r="H894" s="7" t="s">
        <v>38</v>
      </c>
      <c r="I894" s="21" t="s">
        <v>182</v>
      </c>
      <c r="J894" s="8" t="str" cm="1">
        <f t="array" aca="1" ref="J894" ca="1">_xlfn.LET(
  _xlpm.actual_value_month, INDEX(T894:AE894, MATCH(DATE(YEAR(TODAY()), MONTH(TODAY()), 1), $T$1:$AE$1, 0)),
  IF(_xlpm.actual_value_month &lt;&gt; "", _xlpm.actual_value_month &amp; " ações mensais", "")
)</f>
        <v/>
      </c>
      <c r="K894" s="8" t="str" cm="1">
        <f t="array" ref="K894">_xlfn.LET(
    _xlpm.sum_month, SUM(T894:AE894),
    IF(_xlpm.sum_month = 0, "", _xlpm.sum_month &amp; " taxa de aprovados")
)</f>
        <v>424 taxa de aprovados</v>
      </c>
      <c r="L894" s="4" t="s">
        <v>186</v>
      </c>
      <c r="M894" s="13">
        <v>1</v>
      </c>
      <c r="N894" s="5" t="s">
        <v>51</v>
      </c>
      <c r="O894" s="5" t="s">
        <v>43</v>
      </c>
      <c r="P894" s="10" t="s">
        <v>44</v>
      </c>
      <c r="Q894" s="10" t="s">
        <v>44</v>
      </c>
      <c r="R894" s="11" t="s">
        <v>44</v>
      </c>
      <c r="S894" s="11" t="s">
        <v>44</v>
      </c>
      <c r="T894" s="22"/>
      <c r="U894" s="22"/>
      <c r="V894" s="22">
        <v>212</v>
      </c>
      <c r="W894" s="22">
        <v>212</v>
      </c>
      <c r="X894" s="22"/>
      <c r="Y894" s="22"/>
      <c r="Z894" s="22"/>
      <c r="AA894" s="22"/>
      <c r="AB894" s="22"/>
      <c r="AC894" s="22"/>
      <c r="AD894" s="22"/>
      <c r="AE894" s="22"/>
      <c r="AG894" s="71"/>
      <c r="AH894" s="71"/>
      <c r="AI894" s="82">
        <v>212</v>
      </c>
      <c r="AJ894" s="82">
        <v>212</v>
      </c>
      <c r="AK894" s="71"/>
      <c r="AL894" s="71"/>
      <c r="AM894" s="71"/>
      <c r="AN894" s="71"/>
      <c r="AO894" s="71"/>
      <c r="AP894" s="71"/>
      <c r="AQ894" s="71"/>
      <c r="AR894" s="71"/>
      <c r="AS894" s="94" cm="1">
        <f t="array" ref="AS894">IFERROR(INDEX(T894:AE894,1,MATCH(2,1/(T894:AE894&lt;&gt;""))),"")</f>
        <v>212</v>
      </c>
      <c r="AT894" s="95" cm="1">
        <f t="array" ref="AT894">IFERROR(INDEX(AJ894:AR894,1,MATCH(2,1/(AJ894:AR894&lt;&gt;""))),"")</f>
        <v>212</v>
      </c>
      <c r="AU894" s="97">
        <f t="shared" si="1163"/>
        <v>212</v>
      </c>
      <c r="AW894" s="52">
        <f t="shared" si="1164"/>
        <v>0</v>
      </c>
      <c r="AX894" s="52">
        <f t="shared" si="1165"/>
        <v>0</v>
      </c>
      <c r="AY894" s="118">
        <f t="shared" si="1166"/>
        <v>1</v>
      </c>
      <c r="AZ894" s="118">
        <f t="shared" si="1167"/>
        <v>1</v>
      </c>
      <c r="BA894" s="52"/>
      <c r="BB894" s="52"/>
      <c r="BC894" s="52"/>
      <c r="BD894" s="52"/>
      <c r="BE894" s="52"/>
      <c r="BF894" s="52"/>
      <c r="BG894" s="52"/>
      <c r="BH894" s="52"/>
      <c r="BI894" s="65" cm="1">
        <f t="array" ref="BI894">IFERROR(INDEX(AW894:BH894,1,MATCH(2,1/(AW894:BH894&lt;&gt;""))),"")</f>
        <v>1</v>
      </c>
      <c r="BJ894" s="68" cm="1">
        <f t="array" ref="BJ894">IF(BM894 = "", "",IFERROR(INDEX(AW894:BH894,1,MATCH(2,1/(AW894:BH894&lt;&gt;""),1)-1),""))</f>
        <v>1</v>
      </c>
      <c r="BK894" s="58" cm="1">
        <f t="array" ref="BK894">IFERROR(INDEX(AW894:BH894,1,MATCH(2,1/(AW894:BH894&lt;&gt;""))),"")</f>
        <v>1</v>
      </c>
      <c r="BL894" s="58" cm="1">
        <f t="array" ref="BL894">IFERROR(INDEX(AW894:BH894,1,MATCH(2,1/(AW894:BH894&lt;&gt;""),1)-1),"")</f>
        <v>1</v>
      </c>
      <c r="BM894" s="55" cm="1">
        <f t="array" ref="BM894">IFERROR(
   INDEX($AW$1:$BH$1,
      _xlfn.AGGREGATE(14, 6, COLUMN($AW$1:$BH$1)/(AW894:BH894&lt;&gt;""), 2) - COLUMN($AW$1) + 1
   ),
"")</f>
        <v>46082</v>
      </c>
      <c r="BN894" s="55" cm="1">
        <f t="array" ref="BN894">IFERROR(INDEX($AW$1:$BH$1,1,MATCH(2,1/(AW894:BH894&lt;&gt;""))),"")</f>
        <v>46113</v>
      </c>
      <c r="BO894" s="53">
        <f ca="1">IFERROR(_xlfn.XLOOKUP(F894,Apuração!A:A,Apuração!C:C)/_xlfn.XLOOKUP(F894,Apuração!A:A,Apuração!B:B),0)</f>
        <v>0.3</v>
      </c>
      <c r="BP894" s="53">
        <f ca="1">IFERROR(_xlfn.XLOOKUP(F894,Apuração!A:A,Apuração!D:D)/_xlfn.XLOOKUP(F894,Apuração!A:A,Apuração!B:B),0)</f>
        <v>0.2</v>
      </c>
      <c r="BQ894" s="53">
        <f ca="1">IF(BK894&gt;=BO894,0,_xlfn.XLOOKUP(F894,Apuração!A:A,Apuração!B:B)*(BO894 + (1/_xlfn.XLOOKUP(F894,Apuração!A:A,Apuração!B:B)) - BK894))</f>
        <v>0</v>
      </c>
      <c r="BR894" s="85">
        <f t="shared" ca="1" si="1168"/>
        <v>0</v>
      </c>
      <c r="BS894" s="53">
        <f ca="1">IFERROR((_xlfn.XLOOKUP(F894,Apuração!A:A,Apuração!C:C)+1)/_xlfn.XLOOKUP(F894,Apuração!A:A,Apuração!B:B),0)</f>
        <v>0.4</v>
      </c>
    </row>
    <row r="895" spans="1:71" ht="25.95" hidden="1" customHeight="1" x14ac:dyDescent="0.3">
      <c r="A895" s="44" t="s">
        <v>175</v>
      </c>
      <c r="B895" s="4" t="s">
        <v>184</v>
      </c>
      <c r="C895" s="5" t="s">
        <v>97</v>
      </c>
      <c r="D895" s="5" t="s">
        <v>100</v>
      </c>
      <c r="E895" s="4" t="str" cm="1">
        <f t="array" ref="E895">_xlfn.IFS(
F895 = "A partir de Abril", "Aguardando Execução na Distribuidora",
A895 = "CAPACITAÇÃO", "Em execução no Corporativo",
TRUE, "Em Execução na Distribuidora"
)</f>
        <v>Em execução no Corporativo</v>
      </c>
      <c r="F895" s="4" t="str" cm="1">
        <f t="array" ref="F895">_xlfn.IFS(
AG895 &lt;&gt; "", "Jan-Dez/26",
AH895 &lt;&gt; "", "Fev-Dez/26",
AI895 &lt;&gt; "", "Mar-Dez/26", AJ895 &lt;&gt; "", "Abr-Dez/26",
TRUE, "A partir de Junho"
)</f>
        <v>Mar-Dez/26</v>
      </c>
      <c r="G895" s="4" t="s">
        <v>37</v>
      </c>
      <c r="H895" s="7" t="s">
        <v>38</v>
      </c>
      <c r="I895" s="21" t="s">
        <v>182</v>
      </c>
      <c r="J895" s="8" t="str" cm="1">
        <f t="array" aca="1" ref="J895" ca="1">_xlfn.LET(
  _xlpm.actual_value_month, INDEX(T895:AE895, MATCH(DATE(YEAR(TODAY()), MONTH(TODAY()), 1), $T$1:$AE$1, 0)),
  IF(_xlpm.actual_value_month &lt;&gt; "", _xlpm.actual_value_month &amp; " ações mensais", "")
)</f>
        <v/>
      </c>
      <c r="K895" s="8" t="str" cm="1">
        <f t="array" ref="K895">_xlfn.LET(
    _xlpm.sum_month, SUM(T895:AE895),
    IF(_xlpm.sum_month = 0, "", _xlpm.sum_month &amp; " taxa de aprovados")
)</f>
        <v>550 taxa de aprovados</v>
      </c>
      <c r="L895" s="4" t="s">
        <v>186</v>
      </c>
      <c r="M895" s="13">
        <v>1</v>
      </c>
      <c r="N895" s="5" t="s">
        <v>51</v>
      </c>
      <c r="O895" s="5" t="s">
        <v>43</v>
      </c>
      <c r="P895" s="10" t="s">
        <v>44</v>
      </c>
      <c r="Q895" s="10" t="s">
        <v>44</v>
      </c>
      <c r="R895" s="11" t="s">
        <v>44</v>
      </c>
      <c r="S895" s="11" t="s">
        <v>44</v>
      </c>
      <c r="T895" s="22"/>
      <c r="U895" s="22"/>
      <c r="V895" s="22">
        <v>275</v>
      </c>
      <c r="W895" s="22">
        <v>275</v>
      </c>
      <c r="X895" s="22"/>
      <c r="Y895" s="22"/>
      <c r="Z895" s="22"/>
      <c r="AA895" s="22"/>
      <c r="AB895" s="22"/>
      <c r="AC895" s="22"/>
      <c r="AD895" s="22"/>
      <c r="AE895" s="22"/>
      <c r="AG895" s="71"/>
      <c r="AH895" s="71"/>
      <c r="AI895" s="82">
        <v>275</v>
      </c>
      <c r="AJ895" s="82">
        <v>275</v>
      </c>
      <c r="AK895" s="71"/>
      <c r="AL895" s="71"/>
      <c r="AM895" s="71"/>
      <c r="AN895" s="71"/>
      <c r="AO895" s="71"/>
      <c r="AP895" s="71"/>
      <c r="AQ895" s="71"/>
      <c r="AR895" s="71"/>
      <c r="AS895" s="94" cm="1">
        <f t="array" ref="AS895">IFERROR(INDEX(T895:AE895,1,MATCH(2,1/(T895:AE895&lt;&gt;""))),"")</f>
        <v>275</v>
      </c>
      <c r="AT895" s="95" cm="1">
        <f t="array" ref="AT895">IFERROR(INDEX(AJ895:AR895,1,MATCH(2,1/(AJ895:AR895&lt;&gt;""))),"")</f>
        <v>275</v>
      </c>
      <c r="AU895" s="97">
        <f t="shared" si="1163"/>
        <v>275</v>
      </c>
      <c r="AW895" s="52">
        <f t="shared" si="1164"/>
        <v>0</v>
      </c>
      <c r="AX895" s="52">
        <f t="shared" si="1165"/>
        <v>0</v>
      </c>
      <c r="AY895" s="118">
        <f t="shared" si="1166"/>
        <v>1</v>
      </c>
      <c r="AZ895" s="118">
        <f t="shared" si="1167"/>
        <v>1</v>
      </c>
      <c r="BA895" s="52"/>
      <c r="BB895" s="52"/>
      <c r="BC895" s="52"/>
      <c r="BD895" s="52"/>
      <c r="BE895" s="52"/>
      <c r="BF895" s="52"/>
      <c r="BG895" s="52"/>
      <c r="BH895" s="52"/>
      <c r="BI895" s="65" cm="1">
        <f t="array" ref="BI895">IFERROR(INDEX(AW895:BH895,1,MATCH(2,1/(AW895:BH895&lt;&gt;""))),"")</f>
        <v>1</v>
      </c>
      <c r="BJ895" s="68" cm="1">
        <f t="array" ref="BJ895">IF(BM895 = "", "",IFERROR(INDEX(AW895:BH895,1,MATCH(2,1/(AW895:BH895&lt;&gt;""),1)-1),""))</f>
        <v>1</v>
      </c>
      <c r="BK895" s="58" cm="1">
        <f t="array" ref="BK895">IFERROR(INDEX(AW895:BH895,1,MATCH(2,1/(AW895:BH895&lt;&gt;""))),"")</f>
        <v>1</v>
      </c>
      <c r="BL895" s="58" cm="1">
        <f t="array" ref="BL895">IFERROR(INDEX(AW895:BH895,1,MATCH(2,1/(AW895:BH895&lt;&gt;""),1)-1),"")</f>
        <v>1</v>
      </c>
      <c r="BM895" s="55" cm="1">
        <f t="array" ref="BM895">IFERROR(
   INDEX($AW$1:$BH$1,
      _xlfn.AGGREGATE(14, 6, COLUMN($AW$1:$BH$1)/(AW895:BH895&lt;&gt;""), 2) - COLUMN($AW$1) + 1
   ),
"")</f>
        <v>46082</v>
      </c>
      <c r="BN895" s="55" cm="1">
        <f t="array" ref="BN895">IFERROR(INDEX($AW$1:$BH$1,1,MATCH(2,1/(AW895:BH895&lt;&gt;""))),"")</f>
        <v>46113</v>
      </c>
      <c r="BO895" s="53">
        <f ca="1">IFERROR(_xlfn.XLOOKUP(F895,Apuração!A:A,Apuração!C:C)/_xlfn.XLOOKUP(F895,Apuração!A:A,Apuração!B:B),0)</f>
        <v>0.3</v>
      </c>
      <c r="BP895" s="53">
        <f ca="1">IFERROR(_xlfn.XLOOKUP(F895,Apuração!A:A,Apuração!D:D)/_xlfn.XLOOKUP(F895,Apuração!A:A,Apuração!B:B),0)</f>
        <v>0.2</v>
      </c>
      <c r="BQ895" s="53">
        <f ca="1">IF(BK895&gt;=BO895,0,_xlfn.XLOOKUP(F895,Apuração!A:A,Apuração!B:B)*(BO895 + (1/_xlfn.XLOOKUP(F895,Apuração!A:A,Apuração!B:B)) - BK895))</f>
        <v>0</v>
      </c>
      <c r="BR895" s="85">
        <f t="shared" ca="1" si="1168"/>
        <v>0</v>
      </c>
      <c r="BS895" s="53">
        <f ca="1">IFERROR((_xlfn.XLOOKUP(F895,Apuração!A:A,Apuração!C:C)+1)/_xlfn.XLOOKUP(F895,Apuração!A:A,Apuração!B:B),0)</f>
        <v>0.4</v>
      </c>
    </row>
    <row r="896" spans="1:71" ht="25.95" hidden="1" customHeight="1" x14ac:dyDescent="0.3">
      <c r="A896" s="44" t="s">
        <v>175</v>
      </c>
      <c r="B896" s="4" t="s">
        <v>184</v>
      </c>
      <c r="C896" s="5" t="s">
        <v>97</v>
      </c>
      <c r="D896" s="5" t="s">
        <v>101</v>
      </c>
      <c r="E896" s="4" t="str" cm="1">
        <f t="array" ref="E896">_xlfn.IFS(
F896 = "A partir de Abril", "Aguardando Execução na Distribuidora",
A896 = "CAPACITAÇÃO", "Em execução no Corporativo",
TRUE, "Em Execução na Distribuidora"
)</f>
        <v>Em execução no Corporativo</v>
      </c>
      <c r="F896" s="4" t="str" cm="1">
        <f t="array" ref="F896">_xlfn.IFS(
AG896 &lt;&gt; "", "Jan-Dez/26",
AH896 &lt;&gt; "", "Fev-Dez/26",
AI896 &lt;&gt; "", "Mar-Dez/26", AJ896 &lt;&gt; "", "Abr-Dez/26",
TRUE, "A partir de Junho"
)</f>
        <v>Mar-Dez/26</v>
      </c>
      <c r="G896" s="4" t="s">
        <v>37</v>
      </c>
      <c r="H896" s="7" t="s">
        <v>38</v>
      </c>
      <c r="I896" s="21" t="s">
        <v>182</v>
      </c>
      <c r="J896" s="8" t="str" cm="1">
        <f t="array" aca="1" ref="J896" ca="1">_xlfn.LET(
  _xlpm.actual_value_month, INDEX(T896:AE896, MATCH(DATE(YEAR(TODAY()), MONTH(TODAY()), 1), $T$1:$AE$1, 0)),
  IF(_xlpm.actual_value_month &lt;&gt; "", _xlpm.actual_value_month &amp; " ações mensais", "")
)</f>
        <v/>
      </c>
      <c r="K896" s="8" t="str" cm="1">
        <f t="array" ref="K896">_xlfn.LET(
    _xlpm.sum_month, SUM(T896:AE896),
    IF(_xlpm.sum_month = 0, "", _xlpm.sum_month &amp; " taxa de aprovados")
)</f>
        <v>804 taxa de aprovados</v>
      </c>
      <c r="L896" s="4" t="s">
        <v>186</v>
      </c>
      <c r="M896" s="13">
        <v>1</v>
      </c>
      <c r="N896" s="5" t="s">
        <v>51</v>
      </c>
      <c r="O896" s="5" t="s">
        <v>43</v>
      </c>
      <c r="P896" s="10" t="s">
        <v>44</v>
      </c>
      <c r="Q896" s="10" t="s">
        <v>44</v>
      </c>
      <c r="R896" s="11" t="s">
        <v>44</v>
      </c>
      <c r="S896" s="11" t="s">
        <v>44</v>
      </c>
      <c r="T896" s="22"/>
      <c r="U896" s="22"/>
      <c r="V896" s="22">
        <v>402</v>
      </c>
      <c r="W896" s="22">
        <v>402</v>
      </c>
      <c r="X896" s="22"/>
      <c r="Y896" s="22"/>
      <c r="Z896" s="22"/>
      <c r="AA896" s="22"/>
      <c r="AB896" s="22"/>
      <c r="AC896" s="22"/>
      <c r="AD896" s="22"/>
      <c r="AE896" s="22"/>
      <c r="AG896" s="71"/>
      <c r="AH896" s="71"/>
      <c r="AI896" s="82">
        <v>402</v>
      </c>
      <c r="AJ896" s="82">
        <v>402</v>
      </c>
      <c r="AK896" s="71"/>
      <c r="AL896" s="71"/>
      <c r="AM896" s="71"/>
      <c r="AN896" s="71"/>
      <c r="AO896" s="71"/>
      <c r="AP896" s="71"/>
      <c r="AQ896" s="71"/>
      <c r="AR896" s="71"/>
      <c r="AS896" s="94" cm="1">
        <f t="array" ref="AS896">IFERROR(INDEX(T896:AE896,1,MATCH(2,1/(T896:AE896&lt;&gt;""))),"")</f>
        <v>402</v>
      </c>
      <c r="AT896" s="95" cm="1">
        <f t="array" ref="AT896">IFERROR(INDEX(AJ896:AR896,1,MATCH(2,1/(AJ896:AR896&lt;&gt;""))),"")</f>
        <v>402</v>
      </c>
      <c r="AU896" s="97">
        <f t="shared" si="1163"/>
        <v>402</v>
      </c>
      <c r="AW896" s="52">
        <f t="shared" si="1164"/>
        <v>0</v>
      </c>
      <c r="AX896" s="52">
        <f t="shared" si="1165"/>
        <v>0</v>
      </c>
      <c r="AY896" s="118">
        <f t="shared" si="1166"/>
        <v>1</v>
      </c>
      <c r="AZ896" s="118">
        <f t="shared" si="1167"/>
        <v>1</v>
      </c>
      <c r="BA896" s="52"/>
      <c r="BB896" s="52"/>
      <c r="BC896" s="52"/>
      <c r="BD896" s="52"/>
      <c r="BE896" s="52"/>
      <c r="BF896" s="52"/>
      <c r="BG896" s="52"/>
      <c r="BH896" s="52"/>
      <c r="BI896" s="65" cm="1">
        <f t="array" ref="BI896">IFERROR(INDEX(AW896:BH896,1,MATCH(2,1/(AW896:BH896&lt;&gt;""))),"")</f>
        <v>1</v>
      </c>
      <c r="BJ896" s="68" cm="1">
        <f t="array" ref="BJ896">IF(BM896 = "", "",IFERROR(INDEX(AW896:BH896,1,MATCH(2,1/(AW896:BH896&lt;&gt;""),1)-1),""))</f>
        <v>1</v>
      </c>
      <c r="BK896" s="58" cm="1">
        <f t="array" ref="BK896">IFERROR(INDEX(AW896:BH896,1,MATCH(2,1/(AW896:BH896&lt;&gt;""))),"")</f>
        <v>1</v>
      </c>
      <c r="BL896" s="58" cm="1">
        <f t="array" ref="BL896">IFERROR(INDEX(AW896:BH896,1,MATCH(2,1/(AW896:BH896&lt;&gt;""),1)-1),"")</f>
        <v>1</v>
      </c>
      <c r="BM896" s="55" cm="1">
        <f t="array" ref="BM896">IFERROR(
   INDEX($AW$1:$BH$1,
      _xlfn.AGGREGATE(14, 6, COLUMN($AW$1:$BH$1)/(AW896:BH896&lt;&gt;""), 2) - COLUMN($AW$1) + 1
   ),
"")</f>
        <v>46082</v>
      </c>
      <c r="BN896" s="55" cm="1">
        <f t="array" ref="BN896">IFERROR(INDEX($AW$1:$BH$1,1,MATCH(2,1/(AW896:BH896&lt;&gt;""))),"")</f>
        <v>46113</v>
      </c>
      <c r="BO896" s="53">
        <f ca="1">IFERROR(_xlfn.XLOOKUP(F896,Apuração!A:A,Apuração!C:C)/_xlfn.XLOOKUP(F896,Apuração!A:A,Apuração!B:B),0)</f>
        <v>0.3</v>
      </c>
      <c r="BP896" s="53">
        <f ca="1">IFERROR(_xlfn.XLOOKUP(F896,Apuração!A:A,Apuração!D:D)/_xlfn.XLOOKUP(F896,Apuração!A:A,Apuração!B:B),0)</f>
        <v>0.2</v>
      </c>
      <c r="BQ896" s="53">
        <f ca="1">IF(BK896&gt;=BO896,0,_xlfn.XLOOKUP(F896,Apuração!A:A,Apuração!B:B)*(BO896 + (1/_xlfn.XLOOKUP(F896,Apuração!A:A,Apuração!B:B)) - BK896))</f>
        <v>0</v>
      </c>
      <c r="BR896" s="85">
        <f t="shared" ca="1" si="1168"/>
        <v>0</v>
      </c>
      <c r="BS896" s="53">
        <f ca="1">IFERROR((_xlfn.XLOOKUP(F896,Apuração!A:A,Apuração!C:C)+1)/_xlfn.XLOOKUP(F896,Apuração!A:A,Apuração!B:B),0)</f>
        <v>0.4</v>
      </c>
    </row>
    <row r="897" spans="1:71" ht="25.95" hidden="1" customHeight="1" x14ac:dyDescent="0.3">
      <c r="A897" s="44" t="s">
        <v>175</v>
      </c>
      <c r="B897" s="4" t="s">
        <v>184</v>
      </c>
      <c r="C897" s="5" t="s">
        <v>97</v>
      </c>
      <c r="D897" s="5" t="s">
        <v>102</v>
      </c>
      <c r="E897" s="4" t="str" cm="1">
        <f t="array" ref="E897">_xlfn.IFS(
F897 = "A partir de Abril", "Aguardando Execução na Distribuidora",
A897 = "CAPACITAÇÃO", "Em execução no Corporativo",
TRUE, "Em Execução na Distribuidora"
)</f>
        <v>Em execução no Corporativo</v>
      </c>
      <c r="F897" s="4" t="str" cm="1">
        <f t="array" ref="F897">_xlfn.IFS(
AG897 &lt;&gt; "", "Jan-Dez/26",
AH897 &lt;&gt; "", "Fev-Dez/26",
AI897 &lt;&gt; "", "Mar-Dez/26", AJ897 &lt;&gt; "", "Abr-Dez/26",
TRUE, "A partir de Junho"
)</f>
        <v>Mar-Dez/26</v>
      </c>
      <c r="G897" s="4" t="s">
        <v>37</v>
      </c>
      <c r="H897" s="7" t="s">
        <v>38</v>
      </c>
      <c r="I897" s="21" t="s">
        <v>182</v>
      </c>
      <c r="J897" s="8" t="str" cm="1">
        <f t="array" aca="1" ref="J897" ca="1">_xlfn.LET(
  _xlpm.actual_value_month, INDEX(T897:AE897, MATCH(DATE(YEAR(TODAY()), MONTH(TODAY()), 1), $T$1:$AE$1, 0)),
  IF(_xlpm.actual_value_month &lt;&gt; "", _xlpm.actual_value_month &amp; " ações mensais", "")
)</f>
        <v/>
      </c>
      <c r="K897" s="8" t="str" cm="1">
        <f t="array" ref="K897">_xlfn.LET(
    _xlpm.sum_month, SUM(T897:AE897),
    IF(_xlpm.sum_month = 0, "", _xlpm.sum_month &amp; " taxa de aprovados")
)</f>
        <v>1068 taxa de aprovados</v>
      </c>
      <c r="L897" s="4" t="s">
        <v>186</v>
      </c>
      <c r="M897" s="13">
        <v>1</v>
      </c>
      <c r="N897" s="5" t="s">
        <v>51</v>
      </c>
      <c r="O897" s="5" t="s">
        <v>43</v>
      </c>
      <c r="P897" s="10" t="s">
        <v>44</v>
      </c>
      <c r="Q897" s="10" t="s">
        <v>44</v>
      </c>
      <c r="R897" s="11" t="s">
        <v>44</v>
      </c>
      <c r="S897" s="11" t="s">
        <v>44</v>
      </c>
      <c r="T897" s="22"/>
      <c r="U897" s="22"/>
      <c r="V897" s="22">
        <v>534</v>
      </c>
      <c r="W897" s="22">
        <v>534</v>
      </c>
      <c r="X897" s="22"/>
      <c r="Y897" s="22"/>
      <c r="Z897" s="22"/>
      <c r="AA897" s="22"/>
      <c r="AB897" s="22"/>
      <c r="AC897" s="22"/>
      <c r="AD897" s="22"/>
      <c r="AE897" s="22"/>
      <c r="AG897" s="71"/>
      <c r="AH897" s="71"/>
      <c r="AI897" s="82">
        <v>534</v>
      </c>
      <c r="AJ897" s="82">
        <v>534</v>
      </c>
      <c r="AK897" s="71"/>
      <c r="AL897" s="71"/>
      <c r="AM897" s="71"/>
      <c r="AN897" s="71"/>
      <c r="AO897" s="71"/>
      <c r="AP897" s="71"/>
      <c r="AQ897" s="71"/>
      <c r="AR897" s="71"/>
      <c r="AS897" s="94" cm="1">
        <f t="array" ref="AS897">IFERROR(INDEX(T897:AE897,1,MATCH(2,1/(T897:AE897&lt;&gt;""))),"")</f>
        <v>534</v>
      </c>
      <c r="AT897" s="95" cm="1">
        <f t="array" ref="AT897">IFERROR(INDEX(AJ897:AR897,1,MATCH(2,1/(AJ897:AR897&lt;&gt;""))),"")</f>
        <v>534</v>
      </c>
      <c r="AU897" s="97">
        <f t="shared" si="1163"/>
        <v>534</v>
      </c>
      <c r="AW897" s="52">
        <f t="shared" si="1164"/>
        <v>0</v>
      </c>
      <c r="AX897" s="52">
        <f t="shared" si="1165"/>
        <v>0</v>
      </c>
      <c r="AY897" s="118">
        <f t="shared" si="1166"/>
        <v>1</v>
      </c>
      <c r="AZ897" s="118">
        <f t="shared" si="1167"/>
        <v>1</v>
      </c>
      <c r="BA897" s="52"/>
      <c r="BB897" s="52"/>
      <c r="BC897" s="52"/>
      <c r="BD897" s="52"/>
      <c r="BE897" s="52"/>
      <c r="BF897" s="52"/>
      <c r="BG897" s="52"/>
      <c r="BH897" s="52"/>
      <c r="BI897" s="65" cm="1">
        <f t="array" ref="BI897">IFERROR(INDEX(AW897:BH897,1,MATCH(2,1/(AW897:BH897&lt;&gt;""))),"")</f>
        <v>1</v>
      </c>
      <c r="BJ897" s="68" cm="1">
        <f t="array" ref="BJ897">IF(BM897 = "", "",IFERROR(INDEX(AW897:BH897,1,MATCH(2,1/(AW897:BH897&lt;&gt;""),1)-1),""))</f>
        <v>1</v>
      </c>
      <c r="BK897" s="58" cm="1">
        <f t="array" ref="BK897">IFERROR(INDEX(AW897:BH897,1,MATCH(2,1/(AW897:BH897&lt;&gt;""))),"")</f>
        <v>1</v>
      </c>
      <c r="BL897" s="58" cm="1">
        <f t="array" ref="BL897">IFERROR(INDEX(AW897:BH897,1,MATCH(2,1/(AW897:BH897&lt;&gt;""),1)-1),"")</f>
        <v>1</v>
      </c>
      <c r="BM897" s="55" cm="1">
        <f t="array" ref="BM897">IFERROR(
   INDEX($AW$1:$BH$1,
      _xlfn.AGGREGATE(14, 6, COLUMN($AW$1:$BH$1)/(AW897:BH897&lt;&gt;""), 2) - COLUMN($AW$1) + 1
   ),
"")</f>
        <v>46082</v>
      </c>
      <c r="BN897" s="55" cm="1">
        <f t="array" ref="BN897">IFERROR(INDEX($AW$1:$BH$1,1,MATCH(2,1/(AW897:BH897&lt;&gt;""))),"")</f>
        <v>46113</v>
      </c>
      <c r="BO897" s="53">
        <f ca="1">IFERROR(_xlfn.XLOOKUP(F897,Apuração!A:A,Apuração!C:C)/_xlfn.XLOOKUP(F897,Apuração!A:A,Apuração!B:B),0)</f>
        <v>0.3</v>
      </c>
      <c r="BP897" s="53">
        <f ca="1">IFERROR(_xlfn.XLOOKUP(F897,Apuração!A:A,Apuração!D:D)/_xlfn.XLOOKUP(F897,Apuração!A:A,Apuração!B:B),0)</f>
        <v>0.2</v>
      </c>
      <c r="BQ897" s="53">
        <f ca="1">IF(BK897&gt;=BO897,0,_xlfn.XLOOKUP(F897,Apuração!A:A,Apuração!B:B)*(BO897 + (1/_xlfn.XLOOKUP(F897,Apuração!A:A,Apuração!B:B)) - BK897))</f>
        <v>0</v>
      </c>
      <c r="BR897" s="85">
        <f t="shared" ca="1" si="1168"/>
        <v>0</v>
      </c>
      <c r="BS897" s="53">
        <f ca="1">IFERROR((_xlfn.XLOOKUP(F897,Apuração!A:A,Apuração!C:C)+1)/_xlfn.XLOOKUP(F897,Apuração!A:A,Apuração!B:B),0)</f>
        <v>0.4</v>
      </c>
    </row>
    <row r="898" spans="1:71" ht="25.95" hidden="1" customHeight="1" x14ac:dyDescent="0.3">
      <c r="A898" s="44" t="s">
        <v>175</v>
      </c>
      <c r="B898" s="4" t="s">
        <v>184</v>
      </c>
      <c r="C898" s="5" t="s">
        <v>97</v>
      </c>
      <c r="D898" s="5" t="s">
        <v>103</v>
      </c>
      <c r="E898" s="4" t="str" cm="1">
        <f t="array" ref="E898">_xlfn.IFS(
F898 = "A partir de Abril", "Aguardando Execução na Distribuidora",
A898 = "CAPACITAÇÃO", "Em execução no Corporativo",
TRUE, "Em Execução na Distribuidora"
)</f>
        <v>Em execução no Corporativo</v>
      </c>
      <c r="F898" s="4" t="str" cm="1">
        <f t="array" ref="F898">_xlfn.IFS(
AG898 &lt;&gt; "", "Jan-Dez/26",
AH898 &lt;&gt; "", "Fev-Dez/26",
AI898 &lt;&gt; "", "Mar-Dez/26", AJ898 &lt;&gt; "", "Abr-Dez/26",
TRUE, "A partir de Junho"
)</f>
        <v>Mar-Dez/26</v>
      </c>
      <c r="G898" s="4" t="s">
        <v>37</v>
      </c>
      <c r="H898" s="7" t="s">
        <v>38</v>
      </c>
      <c r="I898" s="21" t="s">
        <v>182</v>
      </c>
      <c r="J898" s="8" t="str" cm="1">
        <f t="array" aca="1" ref="J898" ca="1">_xlfn.LET(
  _xlpm.actual_value_month, INDEX(T898:AE898, MATCH(DATE(YEAR(TODAY()), MONTH(TODAY()), 1), $T$1:$AE$1, 0)),
  IF(_xlpm.actual_value_month &lt;&gt; "", _xlpm.actual_value_month &amp; " ações mensais", "")
)</f>
        <v/>
      </c>
      <c r="K898" s="8" t="str" cm="1">
        <f t="array" ref="K898">_xlfn.LET(
    _xlpm.sum_month, SUM(T898:AE898),
    IF(_xlpm.sum_month = 0, "", _xlpm.sum_month &amp; " taxa de aprovados")
)</f>
        <v>1072 taxa de aprovados</v>
      </c>
      <c r="L898" s="4" t="s">
        <v>186</v>
      </c>
      <c r="M898" s="13">
        <v>1</v>
      </c>
      <c r="N898" s="5" t="s">
        <v>51</v>
      </c>
      <c r="O898" s="5" t="s">
        <v>43</v>
      </c>
      <c r="P898" s="10" t="s">
        <v>44</v>
      </c>
      <c r="Q898" s="10" t="s">
        <v>44</v>
      </c>
      <c r="R898" s="11" t="s">
        <v>44</v>
      </c>
      <c r="S898" s="11" t="s">
        <v>44</v>
      </c>
      <c r="T898" s="22"/>
      <c r="U898" s="22"/>
      <c r="V898" s="22">
        <v>536</v>
      </c>
      <c r="W898" s="22">
        <v>536</v>
      </c>
      <c r="X898" s="22"/>
      <c r="Y898" s="22"/>
      <c r="Z898" s="22"/>
      <c r="AA898" s="22"/>
      <c r="AB898" s="22"/>
      <c r="AC898" s="22"/>
      <c r="AD898" s="22"/>
      <c r="AE898" s="22"/>
      <c r="AG898" s="71"/>
      <c r="AH898" s="71"/>
      <c r="AI898" s="82">
        <v>536</v>
      </c>
      <c r="AJ898" s="82">
        <v>536</v>
      </c>
      <c r="AK898" s="71"/>
      <c r="AL898" s="71"/>
      <c r="AM898" s="71"/>
      <c r="AN898" s="71"/>
      <c r="AO898" s="71"/>
      <c r="AP898" s="71"/>
      <c r="AQ898" s="71"/>
      <c r="AR898" s="71"/>
      <c r="AS898" s="94" cm="1">
        <f t="array" ref="AS898">IFERROR(INDEX(T898:AE898,1,MATCH(2,1/(T898:AE898&lt;&gt;""))),"")</f>
        <v>536</v>
      </c>
      <c r="AT898" s="95" cm="1">
        <f t="array" ref="AT898">IFERROR(INDEX(AJ898:AR898,1,MATCH(2,1/(AJ898:AR898&lt;&gt;""))),"")</f>
        <v>536</v>
      </c>
      <c r="AU898" s="97">
        <f t="shared" si="1163"/>
        <v>536</v>
      </c>
      <c r="AW898" s="52">
        <f t="shared" si="1164"/>
        <v>0</v>
      </c>
      <c r="AX898" s="52">
        <f t="shared" si="1165"/>
        <v>0</v>
      </c>
      <c r="AY898" s="118">
        <f t="shared" si="1166"/>
        <v>1</v>
      </c>
      <c r="AZ898" s="118">
        <f t="shared" si="1167"/>
        <v>1</v>
      </c>
      <c r="BA898" s="52"/>
      <c r="BB898" s="52"/>
      <c r="BC898" s="52"/>
      <c r="BD898" s="52"/>
      <c r="BE898" s="52"/>
      <c r="BF898" s="52"/>
      <c r="BG898" s="52"/>
      <c r="BH898" s="52"/>
      <c r="BI898" s="65" cm="1">
        <f t="array" ref="BI898">IFERROR(INDEX(AW898:BH898,1,MATCH(2,1/(AW898:BH898&lt;&gt;""))),"")</f>
        <v>1</v>
      </c>
      <c r="BJ898" s="68" cm="1">
        <f t="array" ref="BJ898">IF(BM898 = "", "",IFERROR(INDEX(AW898:BH898,1,MATCH(2,1/(AW898:BH898&lt;&gt;""),1)-1),""))</f>
        <v>1</v>
      </c>
      <c r="BK898" s="58" cm="1">
        <f t="array" ref="BK898">IFERROR(INDEX(AW898:BH898,1,MATCH(2,1/(AW898:BH898&lt;&gt;""))),"")</f>
        <v>1</v>
      </c>
      <c r="BL898" s="58" cm="1">
        <f t="array" ref="BL898">IFERROR(INDEX(AW898:BH898,1,MATCH(2,1/(AW898:BH898&lt;&gt;""),1)-1),"")</f>
        <v>1</v>
      </c>
      <c r="BM898" s="55" cm="1">
        <f t="array" ref="BM898">IFERROR(
   INDEX($AW$1:$BH$1,
      _xlfn.AGGREGATE(14, 6, COLUMN($AW$1:$BH$1)/(AW898:BH898&lt;&gt;""), 2) - COLUMN($AW$1) + 1
   ),
"")</f>
        <v>46082</v>
      </c>
      <c r="BN898" s="55" cm="1">
        <f t="array" ref="BN898">IFERROR(INDEX($AW$1:$BH$1,1,MATCH(2,1/(AW898:BH898&lt;&gt;""))),"")</f>
        <v>46113</v>
      </c>
      <c r="BO898" s="53">
        <f ca="1">IFERROR(_xlfn.XLOOKUP(F898,Apuração!A:A,Apuração!C:C)/_xlfn.XLOOKUP(F898,Apuração!A:A,Apuração!B:B),0)</f>
        <v>0.3</v>
      </c>
      <c r="BP898" s="53">
        <f ca="1">IFERROR(_xlfn.XLOOKUP(F898,Apuração!A:A,Apuração!D:D)/_xlfn.XLOOKUP(F898,Apuração!A:A,Apuração!B:B),0)</f>
        <v>0.2</v>
      </c>
      <c r="BQ898" s="53">
        <f ca="1">IF(BK898&gt;=BO898,0,_xlfn.XLOOKUP(F898,Apuração!A:A,Apuração!B:B)*(BO898 + (1/_xlfn.XLOOKUP(F898,Apuração!A:A,Apuração!B:B)) - BK898))</f>
        <v>0</v>
      </c>
      <c r="BR898" s="85">
        <f t="shared" ca="1" si="1168"/>
        <v>0</v>
      </c>
      <c r="BS898" s="53">
        <f ca="1">IFERROR((_xlfn.XLOOKUP(F898,Apuração!A:A,Apuração!C:C)+1)/_xlfn.XLOOKUP(F898,Apuração!A:A,Apuração!B:B),0)</f>
        <v>0.4</v>
      </c>
    </row>
    <row r="899" spans="1:71" ht="25.95" hidden="1" customHeight="1" x14ac:dyDescent="0.3">
      <c r="A899" s="44" t="s">
        <v>175</v>
      </c>
      <c r="B899" s="4" t="s">
        <v>184</v>
      </c>
      <c r="C899" s="5" t="s">
        <v>97</v>
      </c>
      <c r="D899" s="5" t="s">
        <v>104</v>
      </c>
      <c r="E899" s="4" t="str" cm="1">
        <f t="array" ref="E899">_xlfn.IFS(
F899 = "A partir de Abril", "Aguardando Execução na Distribuidora",
A899 = "CAPACITAÇÃO", "Em execução no Corporativo",
TRUE, "Em Execução na Distribuidora"
)</f>
        <v>Em execução no Corporativo</v>
      </c>
      <c r="F899" s="4" t="str" cm="1">
        <f t="array" ref="F899">_xlfn.IFS(
AG899 &lt;&gt; "", "Jan-Dez/26",
AH899 &lt;&gt; "", "Fev-Dez/26",
AI899 &lt;&gt; "", "Mar-Dez/26", AJ899 &lt;&gt; "", "Abr-Dez/26",
TRUE, "A partir de Junho"
)</f>
        <v>Mar-Dez/26</v>
      </c>
      <c r="G899" s="4" t="s">
        <v>37</v>
      </c>
      <c r="H899" s="7" t="s">
        <v>38</v>
      </c>
      <c r="I899" s="21" t="s">
        <v>182</v>
      </c>
      <c r="J899" s="8" t="str" cm="1">
        <f t="array" aca="1" ref="J899" ca="1">_xlfn.LET(
  _xlpm.actual_value_month, INDEX(T899:AE899, MATCH(DATE(YEAR(TODAY()), MONTH(TODAY()), 1), $T$1:$AE$1, 0)),
  IF(_xlpm.actual_value_month &lt;&gt; "", _xlpm.actual_value_month &amp; " ações mensais", "")
)</f>
        <v/>
      </c>
      <c r="K899" s="8" t="str" cm="1">
        <f t="array" ref="K899">_xlfn.LET(
    _xlpm.sum_month, SUM(T899:AE899),
    IF(_xlpm.sum_month = 0, "", _xlpm.sum_month &amp; " taxa de aprovados")
)</f>
        <v>624 taxa de aprovados</v>
      </c>
      <c r="L899" s="4" t="s">
        <v>186</v>
      </c>
      <c r="M899" s="13">
        <v>1</v>
      </c>
      <c r="N899" s="5" t="s">
        <v>51</v>
      </c>
      <c r="O899" s="5" t="s">
        <v>43</v>
      </c>
      <c r="P899" s="10" t="s">
        <v>44</v>
      </c>
      <c r="Q899" s="10" t="s">
        <v>44</v>
      </c>
      <c r="R899" s="11" t="s">
        <v>44</v>
      </c>
      <c r="S899" s="11" t="s">
        <v>44</v>
      </c>
      <c r="T899" s="22"/>
      <c r="U899" s="22"/>
      <c r="V899" s="22">
        <v>312</v>
      </c>
      <c r="W899" s="22">
        <v>312</v>
      </c>
      <c r="X899" s="22"/>
      <c r="Y899" s="22"/>
      <c r="Z899" s="22"/>
      <c r="AA899" s="22"/>
      <c r="AB899" s="22"/>
      <c r="AC899" s="22"/>
      <c r="AD899" s="22"/>
      <c r="AE899" s="22"/>
      <c r="AG899" s="71"/>
      <c r="AH899" s="71"/>
      <c r="AI899" s="82">
        <v>312</v>
      </c>
      <c r="AJ899" s="82">
        <v>312</v>
      </c>
      <c r="AK899" s="71"/>
      <c r="AL899" s="71"/>
      <c r="AM899" s="71"/>
      <c r="AN899" s="71"/>
      <c r="AO899" s="71"/>
      <c r="AP899" s="71"/>
      <c r="AQ899" s="71"/>
      <c r="AR899" s="71"/>
      <c r="AS899" s="94" cm="1">
        <f t="array" ref="AS899">IFERROR(INDEX(T899:AE899,1,MATCH(2,1/(T899:AE899&lt;&gt;""))),"")</f>
        <v>312</v>
      </c>
      <c r="AT899" s="95" cm="1">
        <f t="array" ref="AT899">IFERROR(INDEX(AJ899:AR899,1,MATCH(2,1/(AJ899:AR899&lt;&gt;""))),"")</f>
        <v>312</v>
      </c>
      <c r="AU899" s="97">
        <f t="shared" si="1163"/>
        <v>312</v>
      </c>
      <c r="AW899" s="52">
        <f t="shared" si="1164"/>
        <v>0</v>
      </c>
      <c r="AX899" s="52">
        <f t="shared" si="1165"/>
        <v>0</v>
      </c>
      <c r="AY899" s="118">
        <f t="shared" si="1166"/>
        <v>1</v>
      </c>
      <c r="AZ899" s="118">
        <f t="shared" si="1167"/>
        <v>1</v>
      </c>
      <c r="BA899" s="52"/>
      <c r="BB899" s="52"/>
      <c r="BC899" s="52"/>
      <c r="BD899" s="52"/>
      <c r="BE899" s="52"/>
      <c r="BF899" s="52"/>
      <c r="BG899" s="52"/>
      <c r="BH899" s="52"/>
      <c r="BI899" s="65" cm="1">
        <f t="array" ref="BI899">IFERROR(INDEX(AW899:BH899,1,MATCH(2,1/(AW899:BH899&lt;&gt;""))),"")</f>
        <v>1</v>
      </c>
      <c r="BJ899" s="68" cm="1">
        <f t="array" ref="BJ899">IF(BM899 = "", "",IFERROR(INDEX(AW899:BH899,1,MATCH(2,1/(AW899:BH899&lt;&gt;""),1)-1),""))</f>
        <v>1</v>
      </c>
      <c r="BK899" s="58" cm="1">
        <f t="array" ref="BK899">IFERROR(INDEX(AW899:BH899,1,MATCH(2,1/(AW899:BH899&lt;&gt;""))),"")</f>
        <v>1</v>
      </c>
      <c r="BL899" s="58" cm="1">
        <f t="array" ref="BL899">IFERROR(INDEX(AW899:BH899,1,MATCH(2,1/(AW899:BH899&lt;&gt;""),1)-1),"")</f>
        <v>1</v>
      </c>
      <c r="BM899" s="55" cm="1">
        <f t="array" ref="BM899">IFERROR(
   INDEX($AW$1:$BH$1,
      _xlfn.AGGREGATE(14, 6, COLUMN($AW$1:$BH$1)/(AW899:BH899&lt;&gt;""), 2) - COLUMN($AW$1) + 1
   ),
"")</f>
        <v>46082</v>
      </c>
      <c r="BN899" s="55" cm="1">
        <f t="array" ref="BN899">IFERROR(INDEX($AW$1:$BH$1,1,MATCH(2,1/(AW899:BH899&lt;&gt;""))),"")</f>
        <v>46113</v>
      </c>
      <c r="BO899" s="53">
        <f ca="1">IFERROR(_xlfn.XLOOKUP(F899,Apuração!A:A,Apuração!C:C)/_xlfn.XLOOKUP(F899,Apuração!A:A,Apuração!B:B),0)</f>
        <v>0.3</v>
      </c>
      <c r="BP899" s="53">
        <f ca="1">IFERROR(_xlfn.XLOOKUP(F899,Apuração!A:A,Apuração!D:D)/_xlfn.XLOOKUP(F899,Apuração!A:A,Apuração!B:B),0)</f>
        <v>0.2</v>
      </c>
      <c r="BQ899" s="53">
        <f ca="1">IF(BK899&gt;=BO899,0,_xlfn.XLOOKUP(F899,Apuração!A:A,Apuração!B:B)*(BO899 + (1/_xlfn.XLOOKUP(F899,Apuração!A:A,Apuração!B:B)) - BK899))</f>
        <v>0</v>
      </c>
      <c r="BR899" s="85">
        <f t="shared" ca="1" si="1168"/>
        <v>0</v>
      </c>
      <c r="BS899" s="53">
        <f ca="1">IFERROR((_xlfn.XLOOKUP(F899,Apuração!A:A,Apuração!C:C)+1)/_xlfn.XLOOKUP(F899,Apuração!A:A,Apuração!B:B),0)</f>
        <v>0.4</v>
      </c>
    </row>
    <row r="900" spans="1:71" ht="25.95" hidden="1" customHeight="1" x14ac:dyDescent="0.3">
      <c r="A900" s="44" t="s">
        <v>175</v>
      </c>
      <c r="B900" s="4" t="s">
        <v>184</v>
      </c>
      <c r="C900" s="5" t="s">
        <v>97</v>
      </c>
      <c r="D900" s="5" t="s">
        <v>105</v>
      </c>
      <c r="E900" s="4" t="str" cm="1">
        <f t="array" ref="E900">_xlfn.IFS(
F900 = "A partir de Abril", "Aguardando Execução na Distribuidora",
A900 = "CAPACITAÇÃO", "Em execução no Corporativo",
TRUE, "Em Execução na Distribuidora"
)</f>
        <v>Em execução no Corporativo</v>
      </c>
      <c r="F900" s="4" t="str" cm="1">
        <f t="array" ref="F900">_xlfn.IFS(
AG900 &lt;&gt; "", "Jan-Dez/26",
AH900 &lt;&gt; "", "Fev-Dez/26",
AI900 &lt;&gt; "", "Mar-Dez/26", AJ900 &lt;&gt; "", "Abr-Dez/26",
TRUE, "A partir de Junho"
)</f>
        <v>Mar-Dez/26</v>
      </c>
      <c r="G900" s="4" t="s">
        <v>37</v>
      </c>
      <c r="H900" s="7" t="s">
        <v>38</v>
      </c>
      <c r="I900" s="21" t="s">
        <v>182</v>
      </c>
      <c r="J900" s="8" t="str" cm="1">
        <f t="array" aca="1" ref="J900" ca="1">_xlfn.LET(
  _xlpm.actual_value_month, INDEX(T900:AE900, MATCH(DATE(YEAR(TODAY()), MONTH(TODAY()), 1), $T$1:$AE$1, 0)),
  IF(_xlpm.actual_value_month &lt;&gt; "", _xlpm.actual_value_month &amp; " ações mensais", "")
)</f>
        <v/>
      </c>
      <c r="K900" s="8" t="str" cm="1">
        <f t="array" ref="K900">_xlfn.LET(
    _xlpm.sum_month, SUM(T900:AE900),
    IF(_xlpm.sum_month = 0, "", _xlpm.sum_month &amp; " taxa de aprovados")
)</f>
        <v>266 taxa de aprovados</v>
      </c>
      <c r="L900" s="4" t="s">
        <v>186</v>
      </c>
      <c r="M900" s="13">
        <v>1</v>
      </c>
      <c r="N900" s="5" t="s">
        <v>51</v>
      </c>
      <c r="O900" s="5" t="s">
        <v>43</v>
      </c>
      <c r="P900" s="10" t="s">
        <v>44</v>
      </c>
      <c r="Q900" s="10" t="s">
        <v>44</v>
      </c>
      <c r="R900" s="11" t="s">
        <v>44</v>
      </c>
      <c r="S900" s="11" t="s">
        <v>44</v>
      </c>
      <c r="T900" s="22"/>
      <c r="U900" s="22"/>
      <c r="V900" s="22">
        <v>133</v>
      </c>
      <c r="W900" s="22">
        <v>133</v>
      </c>
      <c r="X900" s="22"/>
      <c r="Y900" s="22"/>
      <c r="Z900" s="22"/>
      <c r="AA900" s="22"/>
      <c r="AB900" s="22"/>
      <c r="AC900" s="22"/>
      <c r="AD900" s="22"/>
      <c r="AE900" s="22"/>
      <c r="AG900" s="71"/>
      <c r="AH900" s="71"/>
      <c r="AI900" s="82">
        <v>133</v>
      </c>
      <c r="AJ900" s="82">
        <v>133</v>
      </c>
      <c r="AK900" s="71"/>
      <c r="AL900" s="71"/>
      <c r="AM900" s="71"/>
      <c r="AN900" s="71"/>
      <c r="AO900" s="71"/>
      <c r="AP900" s="71"/>
      <c r="AQ900" s="71"/>
      <c r="AR900" s="71"/>
      <c r="AS900" s="94" cm="1">
        <f t="array" ref="AS900">IFERROR(INDEX(T900:AE900,1,MATCH(2,1/(T900:AE900&lt;&gt;""))),"")</f>
        <v>133</v>
      </c>
      <c r="AT900" s="95" cm="1">
        <f t="array" ref="AT900">IFERROR(INDEX(AJ900:AR900,1,MATCH(2,1/(AJ900:AR900&lt;&gt;""))),"")</f>
        <v>133</v>
      </c>
      <c r="AU900" s="97">
        <f t="shared" si="1163"/>
        <v>133</v>
      </c>
      <c r="AW900" s="52">
        <f t="shared" si="1164"/>
        <v>0</v>
      </c>
      <c r="AX900" s="52">
        <f t="shared" si="1165"/>
        <v>0</v>
      </c>
      <c r="AY900" s="118">
        <f t="shared" si="1166"/>
        <v>1</v>
      </c>
      <c r="AZ900" s="118">
        <f t="shared" si="1167"/>
        <v>1</v>
      </c>
      <c r="BA900" s="52"/>
      <c r="BB900" s="52"/>
      <c r="BC900" s="52"/>
      <c r="BD900" s="52"/>
      <c r="BE900" s="52"/>
      <c r="BF900" s="52"/>
      <c r="BG900" s="52"/>
      <c r="BH900" s="52"/>
      <c r="BI900" s="65" cm="1">
        <f t="array" ref="BI900">IFERROR(INDEX(AW900:BH900,1,MATCH(2,1/(AW900:BH900&lt;&gt;""))),"")</f>
        <v>1</v>
      </c>
      <c r="BJ900" s="68" cm="1">
        <f t="array" ref="BJ900">IF(BM900 = "", "",IFERROR(INDEX(AW900:BH900,1,MATCH(2,1/(AW900:BH900&lt;&gt;""),1)-1),""))</f>
        <v>1</v>
      </c>
      <c r="BK900" s="58" cm="1">
        <f t="array" ref="BK900">IFERROR(INDEX(AW900:BH900,1,MATCH(2,1/(AW900:BH900&lt;&gt;""))),"")</f>
        <v>1</v>
      </c>
      <c r="BL900" s="58" cm="1">
        <f t="array" ref="BL900">IFERROR(INDEX(AW900:BH900,1,MATCH(2,1/(AW900:BH900&lt;&gt;""),1)-1),"")</f>
        <v>1</v>
      </c>
      <c r="BM900" s="55" cm="1">
        <f t="array" ref="BM900">IFERROR(
   INDEX($AW$1:$BH$1,
      _xlfn.AGGREGATE(14, 6, COLUMN($AW$1:$BH$1)/(AW900:BH900&lt;&gt;""), 2) - COLUMN($AW$1) + 1
   ),
"")</f>
        <v>46082</v>
      </c>
      <c r="BN900" s="55" cm="1">
        <f t="array" ref="BN900">IFERROR(INDEX($AW$1:$BH$1,1,MATCH(2,1/(AW900:BH900&lt;&gt;""))),"")</f>
        <v>46113</v>
      </c>
      <c r="BO900" s="53">
        <f ca="1">IFERROR(_xlfn.XLOOKUP(F900,Apuração!A:A,Apuração!C:C)/_xlfn.XLOOKUP(F900,Apuração!A:A,Apuração!B:B),0)</f>
        <v>0.3</v>
      </c>
      <c r="BP900" s="53">
        <f ca="1">IFERROR(_xlfn.XLOOKUP(F900,Apuração!A:A,Apuração!D:D)/_xlfn.XLOOKUP(F900,Apuração!A:A,Apuração!B:B),0)</f>
        <v>0.2</v>
      </c>
      <c r="BQ900" s="53">
        <f ca="1">IF(BK900&gt;=BO900,0,_xlfn.XLOOKUP(F900,Apuração!A:A,Apuração!B:B)*(BO900 + (1/_xlfn.XLOOKUP(F900,Apuração!A:A,Apuração!B:B)) - BK900))</f>
        <v>0</v>
      </c>
      <c r="BR900" s="85">
        <f t="shared" ca="1" si="1168"/>
        <v>0</v>
      </c>
      <c r="BS900" s="53">
        <f ca="1">IFERROR((_xlfn.XLOOKUP(F900,Apuração!A:A,Apuração!C:C)+1)/_xlfn.XLOOKUP(F900,Apuração!A:A,Apuração!B:B),0)</f>
        <v>0.4</v>
      </c>
    </row>
    <row r="901" spans="1:71" ht="25.95" hidden="1" customHeight="1" x14ac:dyDescent="0.3">
      <c r="A901" s="44" t="s">
        <v>175</v>
      </c>
      <c r="B901" s="4" t="s">
        <v>184</v>
      </c>
      <c r="C901" s="5" t="s">
        <v>97</v>
      </c>
      <c r="D901" s="5" t="s">
        <v>106</v>
      </c>
      <c r="E901" s="4" t="str" cm="1">
        <f t="array" ref="E901">_xlfn.IFS(
F901 = "A partir de Abril", "Aguardando Execução na Distribuidora",
A901 = "CAPACITAÇÃO", "Em execução no Corporativo",
TRUE, "Em Execução na Distribuidora"
)</f>
        <v>Em execução no Corporativo</v>
      </c>
      <c r="F901" s="4" t="str" cm="1">
        <f t="array" ref="F901">_xlfn.IFS(
AG901 &lt;&gt; "", "Jan-Dez/26",
AH901 &lt;&gt; "", "Fev-Dez/26",
AI901 &lt;&gt; "", "Mar-Dez/26", AJ901 &lt;&gt; "", "Abr-Dez/26",
TRUE, "A partir de Junho"
)</f>
        <v>Mar-Dez/26</v>
      </c>
      <c r="G901" s="4" t="s">
        <v>37</v>
      </c>
      <c r="H901" s="7" t="s">
        <v>38</v>
      </c>
      <c r="I901" s="21" t="s">
        <v>182</v>
      </c>
      <c r="J901" s="8" t="str" cm="1">
        <f t="array" aca="1" ref="J901" ca="1">_xlfn.LET(
  _xlpm.actual_value_month, INDEX(T901:AE901, MATCH(DATE(YEAR(TODAY()), MONTH(TODAY()), 1), $T$1:$AE$1, 0)),
  IF(_xlpm.actual_value_month &lt;&gt; "", _xlpm.actual_value_month &amp; " ações mensais", "")
)</f>
        <v/>
      </c>
      <c r="K901" s="8" t="str" cm="1">
        <f t="array" ref="K901">_xlfn.LET(
    _xlpm.sum_month, SUM(T901:AE901),
    IF(_xlpm.sum_month = 0, "", _xlpm.sum_month &amp; " taxa de aprovados")
)</f>
        <v>656 taxa de aprovados</v>
      </c>
      <c r="L901" s="4" t="s">
        <v>186</v>
      </c>
      <c r="M901" s="13">
        <v>1</v>
      </c>
      <c r="N901" s="5" t="s">
        <v>51</v>
      </c>
      <c r="O901" s="5" t="s">
        <v>43</v>
      </c>
      <c r="P901" s="10" t="s">
        <v>44</v>
      </c>
      <c r="Q901" s="10" t="s">
        <v>44</v>
      </c>
      <c r="R901" s="11" t="s">
        <v>44</v>
      </c>
      <c r="S901" s="11" t="s">
        <v>44</v>
      </c>
      <c r="T901" s="22"/>
      <c r="U901" s="22"/>
      <c r="V901" s="22">
        <v>328</v>
      </c>
      <c r="W901" s="22">
        <v>328</v>
      </c>
      <c r="X901" s="22"/>
      <c r="Y901" s="22"/>
      <c r="Z901" s="22"/>
      <c r="AA901" s="22"/>
      <c r="AB901" s="22"/>
      <c r="AC901" s="22"/>
      <c r="AD901" s="22"/>
      <c r="AE901" s="22"/>
      <c r="AG901" s="71"/>
      <c r="AH901" s="71"/>
      <c r="AI901" s="82">
        <v>328</v>
      </c>
      <c r="AJ901" s="82">
        <v>328</v>
      </c>
      <c r="AK901" s="71"/>
      <c r="AL901" s="71"/>
      <c r="AM901" s="71"/>
      <c r="AN901" s="71"/>
      <c r="AO901" s="71"/>
      <c r="AP901" s="71"/>
      <c r="AQ901" s="71"/>
      <c r="AR901" s="71"/>
      <c r="AS901" s="94" cm="1">
        <f t="array" ref="AS901">IFERROR(INDEX(T901:AE901,1,MATCH(2,1/(T901:AE901&lt;&gt;""))),"")</f>
        <v>328</v>
      </c>
      <c r="AT901" s="95" cm="1">
        <f t="array" ref="AT901">IFERROR(INDEX(AJ901:AR901,1,MATCH(2,1/(AJ901:AR901&lt;&gt;""))),"")</f>
        <v>328</v>
      </c>
      <c r="AU901" s="97">
        <f t="shared" si="1163"/>
        <v>328</v>
      </c>
      <c r="AW901" s="52">
        <f t="shared" si="1164"/>
        <v>0</v>
      </c>
      <c r="AX901" s="52">
        <f t="shared" si="1165"/>
        <v>0</v>
      </c>
      <c r="AY901" s="118">
        <f t="shared" si="1166"/>
        <v>1</v>
      </c>
      <c r="AZ901" s="118">
        <f t="shared" si="1167"/>
        <v>1</v>
      </c>
      <c r="BA901" s="52"/>
      <c r="BB901" s="52"/>
      <c r="BC901" s="52"/>
      <c r="BD901" s="52"/>
      <c r="BE901" s="52"/>
      <c r="BF901" s="52"/>
      <c r="BG901" s="52"/>
      <c r="BH901" s="52"/>
      <c r="BI901" s="65" cm="1">
        <f t="array" ref="BI901">IFERROR(INDEX(AW901:BH901,1,MATCH(2,1/(AW901:BH901&lt;&gt;""))),"")</f>
        <v>1</v>
      </c>
      <c r="BJ901" s="68" cm="1">
        <f t="array" ref="BJ901">IF(BM901 = "", "",IFERROR(INDEX(AW901:BH901,1,MATCH(2,1/(AW901:BH901&lt;&gt;""),1)-1),""))</f>
        <v>1</v>
      </c>
      <c r="BK901" s="58" cm="1">
        <f t="array" ref="BK901">IFERROR(INDEX(AW901:BH901,1,MATCH(2,1/(AW901:BH901&lt;&gt;""))),"")</f>
        <v>1</v>
      </c>
      <c r="BL901" s="58" cm="1">
        <f t="array" ref="BL901">IFERROR(INDEX(AW901:BH901,1,MATCH(2,1/(AW901:BH901&lt;&gt;""),1)-1),"")</f>
        <v>1</v>
      </c>
      <c r="BM901" s="55" cm="1">
        <f t="array" ref="BM901">IFERROR(
   INDEX($AW$1:$BH$1,
      _xlfn.AGGREGATE(14, 6, COLUMN($AW$1:$BH$1)/(AW901:BH901&lt;&gt;""), 2) - COLUMN($AW$1) + 1
   ),
"")</f>
        <v>46082</v>
      </c>
      <c r="BN901" s="55" cm="1">
        <f t="array" ref="BN901">IFERROR(INDEX($AW$1:$BH$1,1,MATCH(2,1/(AW901:BH901&lt;&gt;""))),"")</f>
        <v>46113</v>
      </c>
      <c r="BO901" s="53">
        <f ca="1">IFERROR(_xlfn.XLOOKUP(F901,Apuração!A:A,Apuração!C:C)/_xlfn.XLOOKUP(F901,Apuração!A:A,Apuração!B:B),0)</f>
        <v>0.3</v>
      </c>
      <c r="BP901" s="53">
        <f ca="1">IFERROR(_xlfn.XLOOKUP(F901,Apuração!A:A,Apuração!D:D)/_xlfn.XLOOKUP(F901,Apuração!A:A,Apuração!B:B),0)</f>
        <v>0.2</v>
      </c>
      <c r="BQ901" s="53">
        <f ca="1">IF(BK901&gt;=BO901,0,_xlfn.XLOOKUP(F901,Apuração!A:A,Apuração!B:B)*(BO901 + (1/_xlfn.XLOOKUP(F901,Apuração!A:A,Apuração!B:B)) - BK901))</f>
        <v>0</v>
      </c>
      <c r="BR901" s="85">
        <f t="shared" ca="1" si="1168"/>
        <v>0</v>
      </c>
      <c r="BS901" s="53">
        <f ca="1">IFERROR((_xlfn.XLOOKUP(F901,Apuração!A:A,Apuração!C:C)+1)/_xlfn.XLOOKUP(F901,Apuração!A:A,Apuração!B:B),0)</f>
        <v>0.4</v>
      </c>
    </row>
    <row r="902" spans="1:71" ht="25.95" hidden="1" customHeight="1" x14ac:dyDescent="0.3">
      <c r="A902" s="44" t="s">
        <v>175</v>
      </c>
      <c r="B902" s="4" t="s">
        <v>184</v>
      </c>
      <c r="C902" s="5" t="s">
        <v>97</v>
      </c>
      <c r="D902" s="5" t="s">
        <v>107</v>
      </c>
      <c r="E902" s="4" t="str" cm="1">
        <f t="array" ref="E902">_xlfn.IFS(
F902 = "A partir de Abril", "Aguardando Execução na Distribuidora",
A902 = "CAPACITAÇÃO", "Em execução no Corporativo",
TRUE, "Em Execução na Distribuidora"
)</f>
        <v>Em execução no Corporativo</v>
      </c>
      <c r="F902" s="4" t="str" cm="1">
        <f t="array" ref="F902">_xlfn.IFS(
AG902 &lt;&gt; "", "Jan-Dez/26",
AH902 &lt;&gt; "", "Fev-Dez/26",
AI902 &lt;&gt; "", "Mar-Dez/26", AJ902 &lt;&gt; "", "Abr-Dez/26",
TRUE, "A partir de Junho"
)</f>
        <v>Mar-Dez/26</v>
      </c>
      <c r="G902" s="4" t="s">
        <v>37</v>
      </c>
      <c r="H902" s="7" t="s">
        <v>38</v>
      </c>
      <c r="I902" s="21" t="s">
        <v>182</v>
      </c>
      <c r="J902" s="8" t="str" cm="1">
        <f t="array" aca="1" ref="J902" ca="1">_xlfn.LET(
  _xlpm.actual_value_month, INDEX(T902:AE902, MATCH(DATE(YEAR(TODAY()), MONTH(TODAY()), 1), $T$1:$AE$1, 0)),
  IF(_xlpm.actual_value_month &lt;&gt; "", _xlpm.actual_value_month &amp; " ações mensais", "")
)</f>
        <v/>
      </c>
      <c r="K902" s="8" t="str" cm="1">
        <f t="array" ref="K902">_xlfn.LET(
    _xlpm.sum_month, SUM(T902:AE902),
    IF(_xlpm.sum_month = 0, "", _xlpm.sum_month &amp; " taxa de aprovados")
)</f>
        <v>806 taxa de aprovados</v>
      </c>
      <c r="L902" s="4" t="s">
        <v>186</v>
      </c>
      <c r="M902" s="13">
        <v>1</v>
      </c>
      <c r="N902" s="5" t="s">
        <v>51</v>
      </c>
      <c r="O902" s="5" t="s">
        <v>43</v>
      </c>
      <c r="P902" s="10" t="s">
        <v>44</v>
      </c>
      <c r="Q902" s="10" t="s">
        <v>44</v>
      </c>
      <c r="R902" s="11" t="s">
        <v>44</v>
      </c>
      <c r="S902" s="11" t="s">
        <v>44</v>
      </c>
      <c r="T902" s="22"/>
      <c r="U902" s="22"/>
      <c r="V902" s="22">
        <v>403</v>
      </c>
      <c r="W902" s="22">
        <v>403</v>
      </c>
      <c r="X902" s="22"/>
      <c r="Y902" s="22"/>
      <c r="Z902" s="22"/>
      <c r="AA902" s="22"/>
      <c r="AB902" s="22"/>
      <c r="AC902" s="22"/>
      <c r="AD902" s="22"/>
      <c r="AE902" s="22"/>
      <c r="AG902" s="71"/>
      <c r="AH902" s="71"/>
      <c r="AI902" s="82">
        <v>403</v>
      </c>
      <c r="AJ902" s="82">
        <v>403</v>
      </c>
      <c r="AK902" s="71"/>
      <c r="AL902" s="71"/>
      <c r="AM902" s="71"/>
      <c r="AN902" s="71"/>
      <c r="AO902" s="71"/>
      <c r="AP902" s="71"/>
      <c r="AQ902" s="71"/>
      <c r="AR902" s="71"/>
      <c r="AS902" s="94" cm="1">
        <f t="array" ref="AS902">IFERROR(INDEX(T902:AE902,1,MATCH(2,1/(T902:AE902&lt;&gt;""))),"")</f>
        <v>403</v>
      </c>
      <c r="AT902" s="95" cm="1">
        <f t="array" ref="AT902">IFERROR(INDEX(AJ902:AR902,1,MATCH(2,1/(AJ902:AR902&lt;&gt;""))),"")</f>
        <v>403</v>
      </c>
      <c r="AU902" s="97">
        <f t="shared" si="1163"/>
        <v>403</v>
      </c>
      <c r="AW902" s="52">
        <f t="shared" si="1164"/>
        <v>0</v>
      </c>
      <c r="AX902" s="52">
        <f t="shared" si="1165"/>
        <v>0</v>
      </c>
      <c r="AY902" s="118">
        <f t="shared" si="1166"/>
        <v>1</v>
      </c>
      <c r="AZ902" s="118">
        <f t="shared" si="1167"/>
        <v>1</v>
      </c>
      <c r="BA902" s="52"/>
      <c r="BB902" s="52"/>
      <c r="BC902" s="52"/>
      <c r="BD902" s="52"/>
      <c r="BE902" s="52"/>
      <c r="BF902" s="52"/>
      <c r="BG902" s="52"/>
      <c r="BH902" s="52"/>
      <c r="BI902" s="65" cm="1">
        <f t="array" ref="BI902">IFERROR(INDEX(AW902:BH902,1,MATCH(2,1/(AW902:BH902&lt;&gt;""))),"")</f>
        <v>1</v>
      </c>
      <c r="BJ902" s="68" cm="1">
        <f t="array" ref="BJ902">IF(BM902 = "", "",IFERROR(INDEX(AW902:BH902,1,MATCH(2,1/(AW902:BH902&lt;&gt;""),1)-1),""))</f>
        <v>1</v>
      </c>
      <c r="BK902" s="58" cm="1">
        <f t="array" ref="BK902">IFERROR(INDEX(AW902:BH902,1,MATCH(2,1/(AW902:BH902&lt;&gt;""))),"")</f>
        <v>1</v>
      </c>
      <c r="BL902" s="58" cm="1">
        <f t="array" ref="BL902">IFERROR(INDEX(AW902:BH902,1,MATCH(2,1/(AW902:BH902&lt;&gt;""),1)-1),"")</f>
        <v>1</v>
      </c>
      <c r="BM902" s="55" cm="1">
        <f t="array" ref="BM902">IFERROR(
   INDEX($AW$1:$BH$1,
      _xlfn.AGGREGATE(14, 6, COLUMN($AW$1:$BH$1)/(AW902:BH902&lt;&gt;""), 2) - COLUMN($AW$1) + 1
   ),
"")</f>
        <v>46082</v>
      </c>
      <c r="BN902" s="55" cm="1">
        <f t="array" ref="BN902">IFERROR(INDEX($AW$1:$BH$1,1,MATCH(2,1/(AW902:BH902&lt;&gt;""))),"")</f>
        <v>46113</v>
      </c>
      <c r="BO902" s="53">
        <f ca="1">IFERROR(_xlfn.XLOOKUP(F902,Apuração!A:A,Apuração!C:C)/_xlfn.XLOOKUP(F902,Apuração!A:A,Apuração!B:B),0)</f>
        <v>0.3</v>
      </c>
      <c r="BP902" s="53">
        <f ca="1">IFERROR(_xlfn.XLOOKUP(F902,Apuração!A:A,Apuração!D:D)/_xlfn.XLOOKUP(F902,Apuração!A:A,Apuração!B:B),0)</f>
        <v>0.2</v>
      </c>
      <c r="BQ902" s="53">
        <f ca="1">IF(BK902&gt;=BO902,0,_xlfn.XLOOKUP(F902,Apuração!A:A,Apuração!B:B)*(BO902 + (1/_xlfn.XLOOKUP(F902,Apuração!A:A,Apuração!B:B)) - BK902))</f>
        <v>0</v>
      </c>
      <c r="BR902" s="85">
        <f t="shared" ca="1" si="1168"/>
        <v>0</v>
      </c>
      <c r="BS902" s="53">
        <f ca="1">IFERROR((_xlfn.XLOOKUP(F902,Apuração!A:A,Apuração!C:C)+1)/_xlfn.XLOOKUP(F902,Apuração!A:A,Apuração!B:B),0)</f>
        <v>0.4</v>
      </c>
    </row>
    <row r="903" spans="1:71" ht="25.95" hidden="1" customHeight="1" x14ac:dyDescent="0.3">
      <c r="A903" s="33" t="s">
        <v>175</v>
      </c>
      <c r="B903" s="4" t="s">
        <v>187</v>
      </c>
      <c r="C903" s="5" t="s">
        <v>97</v>
      </c>
      <c r="D903" s="5" t="s">
        <v>36</v>
      </c>
      <c r="E903" s="4" t="s">
        <v>96</v>
      </c>
      <c r="F903" s="4" t="str" cm="1">
        <f t="array" ref="F903">_xlfn.IFS(
AG903 &lt;&gt; "", "Jan-Dez/26",
AH903 &lt;&gt; "", "Fev-Dez/26",
AI903 &lt;&gt; "", "Mar-Dez/26", AJ903 &lt;&gt; "", "Abr-Dez/26",
TRUE, "A partir de Junho"
)</f>
        <v>A partir de Junho</v>
      </c>
      <c r="G903" s="4" t="s">
        <v>62</v>
      </c>
      <c r="H903" s="7" t="s">
        <v>54</v>
      </c>
      <c r="I903" s="8" t="s">
        <v>188</v>
      </c>
      <c r="J903" s="8" t="str" cm="1">
        <f t="array" aca="1" ref="J903" ca="1">_xlfn.LET(
  _xlpm.actual_value_month, INDEX(T903:AE903, MATCH(DATE(YEAR(TODAY()), MONTH(TODAY()), 1), $T$1:$AE$1, 0)),
  IF(_xlpm.actual_value_month &lt;&gt; "", _xlpm.actual_value_month &amp; " ações mensais", "")
)</f>
        <v/>
      </c>
      <c r="K903" s="8" t="str" cm="1">
        <f t="array" ref="K903">_xlfn.LET(
    _xlpm.sum_month, SUM(T903:AE903),
    IF(_xlpm.sum_month = 0, "", _xlpm.sum_month &amp; " taxa de aderência de treinados.")
)</f>
        <v/>
      </c>
      <c r="L903" s="9" t="s">
        <v>189</v>
      </c>
      <c r="M903" s="13">
        <v>1</v>
      </c>
      <c r="N903" s="5" t="s">
        <v>42</v>
      </c>
      <c r="O903" s="5" t="s">
        <v>43</v>
      </c>
      <c r="P903" s="10" t="s">
        <v>146</v>
      </c>
      <c r="Q903" s="10" t="s">
        <v>44</v>
      </c>
      <c r="R903" s="11" t="s">
        <v>44</v>
      </c>
      <c r="S903" s="11" t="s">
        <v>44</v>
      </c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G903" s="71"/>
      <c r="AH903" s="71"/>
      <c r="AI903" s="71"/>
      <c r="AJ903" s="71"/>
      <c r="AK903" s="71"/>
      <c r="AL903" s="71"/>
      <c r="AM903" s="71"/>
      <c r="AN903" s="71"/>
      <c r="AO903" s="71"/>
      <c r="AP903" s="71"/>
      <c r="AQ903" s="71"/>
      <c r="AR903" s="71"/>
      <c r="AS903" s="94" t="str" cm="1">
        <f t="array" ref="AS903">IFERROR(INDEX(T903:AE903,1,MATCH(2,1/(T903:AE903&lt;&gt;""))),"")</f>
        <v/>
      </c>
      <c r="AT903" s="95">
        <f>AN903</f>
        <v>0</v>
      </c>
      <c r="AU903" s="97">
        <f t="shared" si="1121"/>
        <v>0</v>
      </c>
      <c r="AW903" s="51"/>
      <c r="AX903" s="51"/>
      <c r="AY903" s="51"/>
      <c r="AZ903" s="51"/>
      <c r="BA903" s="51"/>
      <c r="BB903" s="51"/>
      <c r="BC903" s="51"/>
      <c r="BD903" s="51"/>
      <c r="BE903" s="51"/>
      <c r="BF903" s="51"/>
      <c r="BG903" s="51"/>
      <c r="BH903" s="51"/>
      <c r="BI903" s="65" t="str" cm="1">
        <f t="array" ref="BI903">IFERROR(INDEX(AW903:BH903,1,MATCH(2,1/(AW903:BH903&lt;&gt;""))),"")</f>
        <v/>
      </c>
      <c r="BJ903" s="68" t="str" cm="1">
        <f t="array" ref="BJ903">IF(BM903 = "", "",IFERROR(INDEX(AW903:BH903,1,MATCH(2,1/(AW903:BH903&lt;&gt;""),1)-1),""))</f>
        <v/>
      </c>
      <c r="BK903" s="58" t="str" cm="1">
        <f t="array" ref="BK903">IFERROR(INDEX(AW903:BH903,1,MATCH(2,1/(AW903:BH903&lt;&gt;""))),"")</f>
        <v/>
      </c>
      <c r="BL903" s="58" cm="1">
        <f t="array" aca="1" ref="BL903" ca="1">IF(SUM(IFERROR(IF(INDEX(AW903:INDEX(AW903:BH903, MATCH(2, 1/(AW903:BH903&lt;&gt;""), 1)-1), ROW(INDIRECT("1:" &amp; MATCH(2, 1/(AW903:BH903&lt;&gt;""), 1)-1))) &gt;= 115%, 115%, INDEX(AW903:INDEX(AW903:BH903, MATCH(2, 1/(AW903:BH903&lt;&gt;""), 1)-1), ROW(INDIRECT("1:" &amp; MATCH(2, 1/(AW903:BH903&lt;&gt;""), 1)-1)))), 0))/_xlfn.XLOOKUP(F903,Apuração!A:A,Apuração!B:B)&gt;=1.15,1.15,SUM(IFERROR(IF(INDEX(AW903:INDEX(AW903:BH903, MATCH(2, 1/(AW903:BH903&lt;&gt;""), 1)-1), ROW(INDIRECT("1:" &amp; MATCH(2, 1/(AW903:BH903&lt;&gt;""), 1)-1))) &gt;= 115%, 115%, INDEX(AW903:INDEX(AW903:BH903, MATCH(2, 1/(AW903:BH903&lt;&gt;""), 1)-1), ROW(INDIRECT("1:" &amp; MATCH(2, 1/(AW903:BH903&lt;&gt;""), 1)-1)))), 0))/_xlfn.XLOOKUP(F903,Apuração!A:A,Apuração!B:B))</f>
        <v>0</v>
      </c>
      <c r="BM903" s="55" t="str" cm="1">
        <f t="array" ref="BM903">IFERROR(
   INDEX($AW$1:$BH$1,
      _xlfn.AGGREGATE(14, 6, COLUMN($AW$1:$BH$1)/(AW903:BH903&lt;&gt;""), 2) - COLUMN($AW$1) + 1
   ),
"")</f>
        <v/>
      </c>
      <c r="BN903" s="55" t="str" cm="1">
        <f t="array" ref="BN903">IFERROR(INDEX($AW$1:$BH$1,1,MATCH(2,1/(AW903:BH903&lt;&gt;""))),"")</f>
        <v/>
      </c>
      <c r="BO903" s="53">
        <f ca="1">IFERROR(_xlfn.XLOOKUP(F903,Apuração!A:A,Apuração!C:C)/_xlfn.XLOOKUP(F903,Apuração!A:A,Apuração!B:B),0)</f>
        <v>0</v>
      </c>
      <c r="BP903" s="53">
        <f ca="1">IFERROR(_xlfn.XLOOKUP(F903,Apuração!A:A,Apuração!D:D)/_xlfn.XLOOKUP(F903,Apuração!A:A,Apuração!B:B),0)</f>
        <v>0</v>
      </c>
      <c r="BQ903" s="53">
        <f ca="1">IF(BK903&gt;=BO903,0,_xlfn.XLOOKUP(F903,Apuração!A:A,Apuração!B:B)*(BO903 + (1/_xlfn.XLOOKUP(F903,Apuração!A:A,Apuração!B:B)) - BK903))</f>
        <v>0</v>
      </c>
      <c r="BR903" s="85">
        <f t="shared" ca="1" si="898"/>
        <v>0</v>
      </c>
      <c r="BS903" s="53">
        <f ca="1">IFERROR((_xlfn.XLOOKUP(F903,Apuração!A:A,Apuração!C:C)+1)/_xlfn.XLOOKUP(F903,Apuração!A:A,Apuração!B:B),0)</f>
        <v>0.14285714285714285</v>
      </c>
    </row>
    <row r="904" spans="1:71" ht="25.95" hidden="1" customHeight="1" x14ac:dyDescent="0.3">
      <c r="A904" s="33" t="s">
        <v>175</v>
      </c>
      <c r="B904" s="4" t="s">
        <v>187</v>
      </c>
      <c r="C904" s="5" t="s">
        <v>97</v>
      </c>
      <c r="D904" s="5" t="s">
        <v>98</v>
      </c>
      <c r="E904" s="4" t="s">
        <v>96</v>
      </c>
      <c r="F904" s="4" t="str" cm="1">
        <f t="array" ref="F904">_xlfn.IFS(
AG904 &lt;&gt; "", "Jan-Dez/26",
AH904 &lt;&gt; "", "Fev-Dez/26",
AI904 &lt;&gt; "", "Mar-Dez/26", AJ904 &lt;&gt; "", "Abr-Dez/26",
TRUE, "A partir de Junho"
)</f>
        <v>A partir de Junho</v>
      </c>
      <c r="G904" s="4" t="s">
        <v>62</v>
      </c>
      <c r="H904" s="7" t="s">
        <v>54</v>
      </c>
      <c r="I904" s="8" t="s">
        <v>188</v>
      </c>
      <c r="J904" s="8" t="str" cm="1">
        <f t="array" aca="1" ref="J904" ca="1">_xlfn.LET(
  _xlpm.actual_value_month, INDEX(T904:AE904, MATCH(DATE(YEAR(TODAY()), MONTH(TODAY()), 1), $T$1:$AE$1, 0)),
  IF(_xlpm.actual_value_month &lt;&gt; "", _xlpm.actual_value_month &amp; " ações mensais", "")
)</f>
        <v/>
      </c>
      <c r="K904" s="8" t="str" cm="1">
        <f t="array" ref="K904">_xlfn.LET(
    _xlpm.sum_month, SUM(T904:AE904),
    IF(_xlpm.sum_month = 0, "", _xlpm.sum_month &amp; " taxa de aderência de treinados.")
)</f>
        <v/>
      </c>
      <c r="L904" s="9" t="s">
        <v>189</v>
      </c>
      <c r="M904" s="13">
        <v>1</v>
      </c>
      <c r="N904" s="5" t="s">
        <v>42</v>
      </c>
      <c r="O904" s="5" t="s">
        <v>43</v>
      </c>
      <c r="P904" s="10" t="s">
        <v>146</v>
      </c>
      <c r="Q904" s="10" t="s">
        <v>44</v>
      </c>
      <c r="R904" s="11" t="s">
        <v>44</v>
      </c>
      <c r="S904" s="11" t="s">
        <v>44</v>
      </c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G904" s="71"/>
      <c r="AH904" s="71"/>
      <c r="AI904" s="71"/>
      <c r="AJ904" s="71"/>
      <c r="AK904" s="71"/>
      <c r="AL904" s="71"/>
      <c r="AM904" s="71"/>
      <c r="AN904" s="71"/>
      <c r="AO904" s="71"/>
      <c r="AP904" s="71"/>
      <c r="AQ904" s="71"/>
      <c r="AR904" s="71"/>
      <c r="AS904" s="94" t="str" cm="1">
        <f t="array" ref="AS904">IFERROR(INDEX(T904:AE904,1,MATCH(2,1/(T904:AE904&lt;&gt;""))),"")</f>
        <v/>
      </c>
      <c r="AT904" s="95">
        <f t="shared" ref="AT904:AT913" si="1169">AN904</f>
        <v>0</v>
      </c>
      <c r="AU904" s="97">
        <f t="shared" ref="AU904:AU913" si="1170">AT904</f>
        <v>0</v>
      </c>
      <c r="AW904" s="51"/>
      <c r="AX904" s="51"/>
      <c r="AY904" s="51"/>
      <c r="AZ904" s="51"/>
      <c r="BA904" s="51"/>
      <c r="BB904" s="51"/>
      <c r="BC904" s="51"/>
      <c r="BD904" s="51"/>
      <c r="BE904" s="51"/>
      <c r="BF904" s="51"/>
      <c r="BG904" s="51"/>
      <c r="BH904" s="51"/>
      <c r="BI904" s="65" t="str" cm="1">
        <f t="array" ref="BI904">IFERROR(INDEX(AW904:BH904,1,MATCH(2,1/(AW904:BH904&lt;&gt;""))),"")</f>
        <v/>
      </c>
      <c r="BJ904" s="68" t="str" cm="1">
        <f t="array" ref="BJ904">IF(BM904 = "", "",IFERROR(INDEX(AW904:BH904,1,MATCH(2,1/(AW904:BH904&lt;&gt;""),1)-1),""))</f>
        <v/>
      </c>
      <c r="BK904" s="58" t="str" cm="1">
        <f t="array" ref="BK904">IFERROR(INDEX(AW904:BH904,1,MATCH(2,1/(AW904:BH904&lt;&gt;""))),"")</f>
        <v/>
      </c>
      <c r="BL904" s="58" cm="1">
        <f t="array" aca="1" ref="BL904" ca="1">IF(SUM(IFERROR(IF(INDEX(AW904:INDEX(AW904:BH904, MATCH(2, 1/(AW904:BH904&lt;&gt;""), 1)-1), ROW(INDIRECT("1:" &amp; MATCH(2, 1/(AW904:BH904&lt;&gt;""), 1)-1))) &gt;= 115%, 115%, INDEX(AW904:INDEX(AW904:BH904, MATCH(2, 1/(AW904:BH904&lt;&gt;""), 1)-1), ROW(INDIRECT("1:" &amp; MATCH(2, 1/(AW904:BH904&lt;&gt;""), 1)-1)))), 0))/_xlfn.XLOOKUP(F904,Apuração!A:A,Apuração!B:B)&gt;=1.15,1.15,SUM(IFERROR(IF(INDEX(AW904:INDEX(AW904:BH904, MATCH(2, 1/(AW904:BH904&lt;&gt;""), 1)-1), ROW(INDIRECT("1:" &amp; MATCH(2, 1/(AW904:BH904&lt;&gt;""), 1)-1))) &gt;= 115%, 115%, INDEX(AW904:INDEX(AW904:BH904, MATCH(2, 1/(AW904:BH904&lt;&gt;""), 1)-1), ROW(INDIRECT("1:" &amp; MATCH(2, 1/(AW904:BH904&lt;&gt;""), 1)-1)))), 0))/_xlfn.XLOOKUP(F904,Apuração!A:A,Apuração!B:B))</f>
        <v>0</v>
      </c>
      <c r="BM904" s="55" t="str" cm="1">
        <f t="array" ref="BM904">IFERROR(
   INDEX($AW$1:$BH$1,
      _xlfn.AGGREGATE(14, 6, COLUMN($AW$1:$BH$1)/(AW904:BH904&lt;&gt;""), 2) - COLUMN($AW$1) + 1
   ),
"")</f>
        <v/>
      </c>
      <c r="BN904" s="55" t="str" cm="1">
        <f t="array" ref="BN904">IFERROR(INDEX($AW$1:$BH$1,1,MATCH(2,1/(AW904:BH904&lt;&gt;""))),"")</f>
        <v/>
      </c>
      <c r="BO904" s="53">
        <f ca="1">IFERROR(_xlfn.XLOOKUP(F904,Apuração!A:A,Apuração!C:C)/_xlfn.XLOOKUP(F904,Apuração!A:A,Apuração!B:B),0)</f>
        <v>0</v>
      </c>
      <c r="BP904" s="53">
        <f ca="1">IFERROR(_xlfn.XLOOKUP(F904,Apuração!A:A,Apuração!D:D)/_xlfn.XLOOKUP(F904,Apuração!A:A,Apuração!B:B),0)</f>
        <v>0</v>
      </c>
      <c r="BQ904" s="53">
        <f ca="1">IF(BK904&gt;=BO904,0,_xlfn.XLOOKUP(F904,Apuração!A:A,Apuração!B:B)*(BO904 + (1/_xlfn.XLOOKUP(F904,Apuração!A:A,Apuração!B:B)) - BK904))</f>
        <v>0</v>
      </c>
      <c r="BR904" s="85">
        <f t="shared" ref="BR904:BR913" ca="1" si="1171">IF(BQ904=0,0,BQ904*Z904)</f>
        <v>0</v>
      </c>
      <c r="BS904" s="53">
        <f ca="1">IFERROR((_xlfn.XLOOKUP(F904,Apuração!A:A,Apuração!C:C)+1)/_xlfn.XLOOKUP(F904,Apuração!A:A,Apuração!B:B),0)</f>
        <v>0.14285714285714285</v>
      </c>
    </row>
    <row r="905" spans="1:71" ht="25.95" hidden="1" customHeight="1" x14ac:dyDescent="0.3">
      <c r="A905" s="33" t="s">
        <v>175</v>
      </c>
      <c r="B905" s="4" t="s">
        <v>187</v>
      </c>
      <c r="C905" s="5" t="s">
        <v>97</v>
      </c>
      <c r="D905" s="5" t="s">
        <v>99</v>
      </c>
      <c r="E905" s="4" t="s">
        <v>96</v>
      </c>
      <c r="F905" s="4" t="str" cm="1">
        <f t="array" ref="F905">_xlfn.IFS(
AG905 &lt;&gt; "", "Jan-Dez/26",
AH905 &lt;&gt; "", "Fev-Dez/26",
AI905 &lt;&gt; "", "Mar-Dez/26", AJ905 &lt;&gt; "", "Abr-Dez/26",
TRUE, "A partir de Junho"
)</f>
        <v>A partir de Junho</v>
      </c>
      <c r="G905" s="4" t="s">
        <v>62</v>
      </c>
      <c r="H905" s="7" t="s">
        <v>54</v>
      </c>
      <c r="I905" s="8" t="s">
        <v>188</v>
      </c>
      <c r="J905" s="8" t="str" cm="1">
        <f t="array" aca="1" ref="J905" ca="1">_xlfn.LET(
  _xlpm.actual_value_month, INDEX(T905:AE905, MATCH(DATE(YEAR(TODAY()), MONTH(TODAY()), 1), $T$1:$AE$1, 0)),
  IF(_xlpm.actual_value_month &lt;&gt; "", _xlpm.actual_value_month &amp; " ações mensais", "")
)</f>
        <v/>
      </c>
      <c r="K905" s="8" t="str" cm="1">
        <f t="array" ref="K905">_xlfn.LET(
    _xlpm.sum_month, SUM(T905:AE905),
    IF(_xlpm.sum_month = 0, "", _xlpm.sum_month &amp; " taxa de aderência de treinados.")
)</f>
        <v/>
      </c>
      <c r="L905" s="9" t="s">
        <v>189</v>
      </c>
      <c r="M905" s="13">
        <v>1</v>
      </c>
      <c r="N905" s="5" t="s">
        <v>42</v>
      </c>
      <c r="O905" s="5" t="s">
        <v>43</v>
      </c>
      <c r="P905" s="10" t="s">
        <v>146</v>
      </c>
      <c r="Q905" s="10" t="s">
        <v>44</v>
      </c>
      <c r="R905" s="11" t="s">
        <v>44</v>
      </c>
      <c r="S905" s="11" t="s">
        <v>44</v>
      </c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G905" s="71"/>
      <c r="AH905" s="71"/>
      <c r="AI905" s="71"/>
      <c r="AJ905" s="71"/>
      <c r="AK905" s="71"/>
      <c r="AL905" s="71"/>
      <c r="AM905" s="71"/>
      <c r="AN905" s="71"/>
      <c r="AO905" s="71"/>
      <c r="AP905" s="71"/>
      <c r="AQ905" s="71"/>
      <c r="AR905" s="71"/>
      <c r="AS905" s="94" t="str" cm="1">
        <f t="array" ref="AS905">IFERROR(INDEX(T905:AE905,1,MATCH(2,1/(T905:AE905&lt;&gt;""))),"")</f>
        <v/>
      </c>
      <c r="AT905" s="95">
        <f t="shared" si="1169"/>
        <v>0</v>
      </c>
      <c r="AU905" s="97">
        <f t="shared" si="1170"/>
        <v>0</v>
      </c>
      <c r="AW905" s="51"/>
      <c r="AX905" s="51"/>
      <c r="AY905" s="51"/>
      <c r="AZ905" s="51"/>
      <c r="BA905" s="51"/>
      <c r="BB905" s="51"/>
      <c r="BC905" s="51"/>
      <c r="BD905" s="51"/>
      <c r="BE905" s="51"/>
      <c r="BF905" s="51"/>
      <c r="BG905" s="51"/>
      <c r="BH905" s="51"/>
      <c r="BI905" s="65" t="str" cm="1">
        <f t="array" ref="BI905">IFERROR(INDEX(AW905:BH905,1,MATCH(2,1/(AW905:BH905&lt;&gt;""))),"")</f>
        <v/>
      </c>
      <c r="BJ905" s="68" t="str" cm="1">
        <f t="array" ref="BJ905">IF(BM905 = "", "",IFERROR(INDEX(AW905:BH905,1,MATCH(2,1/(AW905:BH905&lt;&gt;""),1)-1),""))</f>
        <v/>
      </c>
      <c r="BK905" s="58" t="str" cm="1">
        <f t="array" ref="BK905">IFERROR(INDEX(AW905:BH905,1,MATCH(2,1/(AW905:BH905&lt;&gt;""))),"")</f>
        <v/>
      </c>
      <c r="BL905" s="58" cm="1">
        <f t="array" aca="1" ref="BL905" ca="1">IF(SUM(IFERROR(IF(INDEX(AW905:INDEX(AW905:BH905, MATCH(2, 1/(AW905:BH905&lt;&gt;""), 1)-1), ROW(INDIRECT("1:" &amp; MATCH(2, 1/(AW905:BH905&lt;&gt;""), 1)-1))) &gt;= 115%, 115%, INDEX(AW905:INDEX(AW905:BH905, MATCH(2, 1/(AW905:BH905&lt;&gt;""), 1)-1), ROW(INDIRECT("1:" &amp; MATCH(2, 1/(AW905:BH905&lt;&gt;""), 1)-1)))), 0))/_xlfn.XLOOKUP(F905,Apuração!A:A,Apuração!B:B)&gt;=1.15,1.15,SUM(IFERROR(IF(INDEX(AW905:INDEX(AW905:BH905, MATCH(2, 1/(AW905:BH905&lt;&gt;""), 1)-1), ROW(INDIRECT("1:" &amp; MATCH(2, 1/(AW905:BH905&lt;&gt;""), 1)-1))) &gt;= 115%, 115%, INDEX(AW905:INDEX(AW905:BH905, MATCH(2, 1/(AW905:BH905&lt;&gt;""), 1)-1), ROW(INDIRECT("1:" &amp; MATCH(2, 1/(AW905:BH905&lt;&gt;""), 1)-1)))), 0))/_xlfn.XLOOKUP(F905,Apuração!A:A,Apuração!B:B))</f>
        <v>0</v>
      </c>
      <c r="BM905" s="55" t="str" cm="1">
        <f t="array" ref="BM905">IFERROR(
   INDEX($AW$1:$BH$1,
      _xlfn.AGGREGATE(14, 6, COLUMN($AW$1:$BH$1)/(AW905:BH905&lt;&gt;""), 2) - COLUMN($AW$1) + 1
   ),
"")</f>
        <v/>
      </c>
      <c r="BN905" s="55" t="str" cm="1">
        <f t="array" ref="BN905">IFERROR(INDEX($AW$1:$BH$1,1,MATCH(2,1/(AW905:BH905&lt;&gt;""))),"")</f>
        <v/>
      </c>
      <c r="BO905" s="53">
        <f ca="1">IFERROR(_xlfn.XLOOKUP(F905,Apuração!A:A,Apuração!C:C)/_xlfn.XLOOKUP(F905,Apuração!A:A,Apuração!B:B),0)</f>
        <v>0</v>
      </c>
      <c r="BP905" s="53">
        <f ca="1">IFERROR(_xlfn.XLOOKUP(F905,Apuração!A:A,Apuração!D:D)/_xlfn.XLOOKUP(F905,Apuração!A:A,Apuração!B:B),0)</f>
        <v>0</v>
      </c>
      <c r="BQ905" s="53">
        <f ca="1">IF(BK905&gt;=BO905,0,_xlfn.XLOOKUP(F905,Apuração!A:A,Apuração!B:B)*(BO905 + (1/_xlfn.XLOOKUP(F905,Apuração!A:A,Apuração!B:B)) - BK905))</f>
        <v>0</v>
      </c>
      <c r="BR905" s="85">
        <f t="shared" ca="1" si="1171"/>
        <v>0</v>
      </c>
      <c r="BS905" s="53">
        <f ca="1">IFERROR((_xlfn.XLOOKUP(F905,Apuração!A:A,Apuração!C:C)+1)/_xlfn.XLOOKUP(F905,Apuração!A:A,Apuração!B:B),0)</f>
        <v>0.14285714285714285</v>
      </c>
    </row>
    <row r="906" spans="1:71" ht="25.95" hidden="1" customHeight="1" x14ac:dyDescent="0.3">
      <c r="A906" s="33" t="s">
        <v>175</v>
      </c>
      <c r="B906" s="4" t="s">
        <v>187</v>
      </c>
      <c r="C906" s="5" t="s">
        <v>97</v>
      </c>
      <c r="D906" s="5" t="s">
        <v>100</v>
      </c>
      <c r="E906" s="4" t="s">
        <v>96</v>
      </c>
      <c r="F906" s="4" t="str" cm="1">
        <f t="array" ref="F906">_xlfn.IFS(
AG906 &lt;&gt; "", "Jan-Dez/26",
AH906 &lt;&gt; "", "Fev-Dez/26",
AI906 &lt;&gt; "", "Mar-Dez/26", AJ906 &lt;&gt; "", "Abr-Dez/26",
TRUE, "A partir de Junho"
)</f>
        <v>A partir de Junho</v>
      </c>
      <c r="G906" s="4" t="s">
        <v>62</v>
      </c>
      <c r="H906" s="7" t="s">
        <v>54</v>
      </c>
      <c r="I906" s="8" t="s">
        <v>188</v>
      </c>
      <c r="J906" s="8" t="str" cm="1">
        <f t="array" aca="1" ref="J906" ca="1">_xlfn.LET(
  _xlpm.actual_value_month, INDEX(T906:AE906, MATCH(DATE(YEAR(TODAY()), MONTH(TODAY()), 1), $T$1:$AE$1, 0)),
  IF(_xlpm.actual_value_month &lt;&gt; "", _xlpm.actual_value_month &amp; " ações mensais", "")
)</f>
        <v/>
      </c>
      <c r="K906" s="8" t="str" cm="1">
        <f t="array" ref="K906">_xlfn.LET(
    _xlpm.sum_month, SUM(T906:AE906),
    IF(_xlpm.sum_month = 0, "", _xlpm.sum_month &amp; " taxa de aderência de treinados.")
)</f>
        <v/>
      </c>
      <c r="L906" s="9" t="s">
        <v>189</v>
      </c>
      <c r="M906" s="13">
        <v>1</v>
      </c>
      <c r="N906" s="5" t="s">
        <v>42</v>
      </c>
      <c r="O906" s="5" t="s">
        <v>43</v>
      </c>
      <c r="P906" s="10" t="s">
        <v>146</v>
      </c>
      <c r="Q906" s="10" t="s">
        <v>44</v>
      </c>
      <c r="R906" s="11" t="s">
        <v>44</v>
      </c>
      <c r="S906" s="11" t="s">
        <v>44</v>
      </c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G906" s="71"/>
      <c r="AH906" s="71"/>
      <c r="AI906" s="71"/>
      <c r="AJ906" s="71"/>
      <c r="AK906" s="71"/>
      <c r="AL906" s="71"/>
      <c r="AM906" s="71"/>
      <c r="AN906" s="71"/>
      <c r="AO906" s="71"/>
      <c r="AP906" s="71"/>
      <c r="AQ906" s="71"/>
      <c r="AR906" s="71"/>
      <c r="AS906" s="94" t="str" cm="1">
        <f t="array" ref="AS906">IFERROR(INDEX(T906:AE906,1,MATCH(2,1/(T906:AE906&lt;&gt;""))),"")</f>
        <v/>
      </c>
      <c r="AT906" s="95">
        <f t="shared" si="1169"/>
        <v>0</v>
      </c>
      <c r="AU906" s="97">
        <f t="shared" si="1170"/>
        <v>0</v>
      </c>
      <c r="AW906" s="51"/>
      <c r="AX906" s="51"/>
      <c r="AY906" s="51"/>
      <c r="AZ906" s="51"/>
      <c r="BA906" s="51"/>
      <c r="BB906" s="51"/>
      <c r="BC906" s="51"/>
      <c r="BD906" s="51"/>
      <c r="BE906" s="51"/>
      <c r="BF906" s="51"/>
      <c r="BG906" s="51"/>
      <c r="BH906" s="51"/>
      <c r="BI906" s="65" t="str" cm="1">
        <f t="array" ref="BI906">IFERROR(INDEX(AW906:BH906,1,MATCH(2,1/(AW906:BH906&lt;&gt;""))),"")</f>
        <v/>
      </c>
      <c r="BJ906" s="68" t="str" cm="1">
        <f t="array" ref="BJ906">IF(BM906 = "", "",IFERROR(INDEX(AW906:BH906,1,MATCH(2,1/(AW906:BH906&lt;&gt;""),1)-1),""))</f>
        <v/>
      </c>
      <c r="BK906" s="58" t="str" cm="1">
        <f t="array" ref="BK906">IFERROR(INDEX(AW906:BH906,1,MATCH(2,1/(AW906:BH906&lt;&gt;""))),"")</f>
        <v/>
      </c>
      <c r="BL906" s="58" cm="1">
        <f t="array" aca="1" ref="BL906" ca="1">IF(SUM(IFERROR(IF(INDEX(AW906:INDEX(AW906:BH906, MATCH(2, 1/(AW906:BH906&lt;&gt;""), 1)-1), ROW(INDIRECT("1:" &amp; MATCH(2, 1/(AW906:BH906&lt;&gt;""), 1)-1))) &gt;= 115%, 115%, INDEX(AW906:INDEX(AW906:BH906, MATCH(2, 1/(AW906:BH906&lt;&gt;""), 1)-1), ROW(INDIRECT("1:" &amp; MATCH(2, 1/(AW906:BH906&lt;&gt;""), 1)-1)))), 0))/_xlfn.XLOOKUP(F906,Apuração!A:A,Apuração!B:B)&gt;=1.15,1.15,SUM(IFERROR(IF(INDEX(AW906:INDEX(AW906:BH906, MATCH(2, 1/(AW906:BH906&lt;&gt;""), 1)-1), ROW(INDIRECT("1:" &amp; MATCH(2, 1/(AW906:BH906&lt;&gt;""), 1)-1))) &gt;= 115%, 115%, INDEX(AW906:INDEX(AW906:BH906, MATCH(2, 1/(AW906:BH906&lt;&gt;""), 1)-1), ROW(INDIRECT("1:" &amp; MATCH(2, 1/(AW906:BH906&lt;&gt;""), 1)-1)))), 0))/_xlfn.XLOOKUP(F906,Apuração!A:A,Apuração!B:B))</f>
        <v>0</v>
      </c>
      <c r="BM906" s="55" t="str" cm="1">
        <f t="array" ref="BM906">IFERROR(
   INDEX($AW$1:$BH$1,
      _xlfn.AGGREGATE(14, 6, COLUMN($AW$1:$BH$1)/(AW906:BH906&lt;&gt;""), 2) - COLUMN($AW$1) + 1
   ),
"")</f>
        <v/>
      </c>
      <c r="BN906" s="55" t="str" cm="1">
        <f t="array" ref="BN906">IFERROR(INDEX($AW$1:$BH$1,1,MATCH(2,1/(AW906:BH906&lt;&gt;""))),"")</f>
        <v/>
      </c>
      <c r="BO906" s="53">
        <f ca="1">IFERROR(_xlfn.XLOOKUP(F906,Apuração!A:A,Apuração!C:C)/_xlfn.XLOOKUP(F906,Apuração!A:A,Apuração!B:B),0)</f>
        <v>0</v>
      </c>
      <c r="BP906" s="53">
        <f ca="1">IFERROR(_xlfn.XLOOKUP(F906,Apuração!A:A,Apuração!D:D)/_xlfn.XLOOKUP(F906,Apuração!A:A,Apuração!B:B),0)</f>
        <v>0</v>
      </c>
      <c r="BQ906" s="53">
        <f ca="1">IF(BK906&gt;=BO906,0,_xlfn.XLOOKUP(F906,Apuração!A:A,Apuração!B:B)*(BO906 + (1/_xlfn.XLOOKUP(F906,Apuração!A:A,Apuração!B:B)) - BK906))</f>
        <v>0</v>
      </c>
      <c r="BR906" s="85">
        <f t="shared" ca="1" si="1171"/>
        <v>0</v>
      </c>
      <c r="BS906" s="53">
        <f ca="1">IFERROR((_xlfn.XLOOKUP(F906,Apuração!A:A,Apuração!C:C)+1)/_xlfn.XLOOKUP(F906,Apuração!A:A,Apuração!B:B),0)</f>
        <v>0.14285714285714285</v>
      </c>
    </row>
    <row r="907" spans="1:71" ht="25.95" hidden="1" customHeight="1" x14ac:dyDescent="0.3">
      <c r="A907" s="33" t="s">
        <v>175</v>
      </c>
      <c r="B907" s="4" t="s">
        <v>187</v>
      </c>
      <c r="C907" s="5" t="s">
        <v>97</v>
      </c>
      <c r="D907" s="5" t="s">
        <v>101</v>
      </c>
      <c r="E907" s="4" t="s">
        <v>96</v>
      </c>
      <c r="F907" s="4" t="str" cm="1">
        <f t="array" ref="F907">_xlfn.IFS(
AG907 &lt;&gt; "", "Jan-Dez/26",
AH907 &lt;&gt; "", "Fev-Dez/26",
AI907 &lt;&gt; "", "Mar-Dez/26", AJ907 &lt;&gt; "", "Abr-Dez/26",
TRUE, "A partir de Junho"
)</f>
        <v>A partir de Junho</v>
      </c>
      <c r="G907" s="4" t="s">
        <v>62</v>
      </c>
      <c r="H907" s="7" t="s">
        <v>54</v>
      </c>
      <c r="I907" s="8" t="s">
        <v>188</v>
      </c>
      <c r="J907" s="8" t="str" cm="1">
        <f t="array" aca="1" ref="J907" ca="1">_xlfn.LET(
  _xlpm.actual_value_month, INDEX(T907:AE907, MATCH(DATE(YEAR(TODAY()), MONTH(TODAY()), 1), $T$1:$AE$1, 0)),
  IF(_xlpm.actual_value_month &lt;&gt; "", _xlpm.actual_value_month &amp; " ações mensais", "")
)</f>
        <v/>
      </c>
      <c r="K907" s="8" t="str" cm="1">
        <f t="array" ref="K907">_xlfn.LET(
    _xlpm.sum_month, SUM(T907:AE907),
    IF(_xlpm.sum_month = 0, "", _xlpm.sum_month &amp; " taxa de aderência de treinados.")
)</f>
        <v/>
      </c>
      <c r="L907" s="9" t="s">
        <v>189</v>
      </c>
      <c r="M907" s="13">
        <v>1</v>
      </c>
      <c r="N907" s="5" t="s">
        <v>42</v>
      </c>
      <c r="O907" s="5" t="s">
        <v>43</v>
      </c>
      <c r="P907" s="10" t="s">
        <v>146</v>
      </c>
      <c r="Q907" s="10" t="s">
        <v>44</v>
      </c>
      <c r="R907" s="11" t="s">
        <v>44</v>
      </c>
      <c r="S907" s="11" t="s">
        <v>44</v>
      </c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G907" s="71"/>
      <c r="AH907" s="71"/>
      <c r="AI907" s="71"/>
      <c r="AJ907" s="71"/>
      <c r="AK907" s="71"/>
      <c r="AL907" s="71"/>
      <c r="AM907" s="71"/>
      <c r="AN907" s="71"/>
      <c r="AO907" s="71"/>
      <c r="AP907" s="71"/>
      <c r="AQ907" s="71"/>
      <c r="AR907" s="71"/>
      <c r="AS907" s="94" t="str" cm="1">
        <f t="array" ref="AS907">IFERROR(INDEX(T907:AE907,1,MATCH(2,1/(T907:AE907&lt;&gt;""))),"")</f>
        <v/>
      </c>
      <c r="AT907" s="95">
        <f t="shared" si="1169"/>
        <v>0</v>
      </c>
      <c r="AU907" s="97">
        <f t="shared" si="1170"/>
        <v>0</v>
      </c>
      <c r="AW907" s="51"/>
      <c r="AX907" s="51"/>
      <c r="AY907" s="51"/>
      <c r="AZ907" s="51"/>
      <c r="BA907" s="51"/>
      <c r="BB907" s="51"/>
      <c r="BC907" s="51"/>
      <c r="BD907" s="51"/>
      <c r="BE907" s="51"/>
      <c r="BF907" s="51"/>
      <c r="BG907" s="51"/>
      <c r="BH907" s="51"/>
      <c r="BI907" s="65" t="str" cm="1">
        <f t="array" ref="BI907">IFERROR(INDEX(AW907:BH907,1,MATCH(2,1/(AW907:BH907&lt;&gt;""))),"")</f>
        <v/>
      </c>
      <c r="BJ907" s="68" t="str" cm="1">
        <f t="array" ref="BJ907">IF(BM907 = "", "",IFERROR(INDEX(AW907:BH907,1,MATCH(2,1/(AW907:BH907&lt;&gt;""),1)-1),""))</f>
        <v/>
      </c>
      <c r="BK907" s="58" t="str" cm="1">
        <f t="array" ref="BK907">IFERROR(INDEX(AW907:BH907,1,MATCH(2,1/(AW907:BH907&lt;&gt;""))),"")</f>
        <v/>
      </c>
      <c r="BL907" s="58" cm="1">
        <f t="array" aca="1" ref="BL907" ca="1">IF(SUM(IFERROR(IF(INDEX(AW907:INDEX(AW907:BH907, MATCH(2, 1/(AW907:BH907&lt;&gt;""), 1)-1), ROW(INDIRECT("1:" &amp; MATCH(2, 1/(AW907:BH907&lt;&gt;""), 1)-1))) &gt;= 115%, 115%, INDEX(AW907:INDEX(AW907:BH907, MATCH(2, 1/(AW907:BH907&lt;&gt;""), 1)-1), ROW(INDIRECT("1:" &amp; MATCH(2, 1/(AW907:BH907&lt;&gt;""), 1)-1)))), 0))/_xlfn.XLOOKUP(F907,Apuração!A:A,Apuração!B:B)&gt;=1.15,1.15,SUM(IFERROR(IF(INDEX(AW907:INDEX(AW907:BH907, MATCH(2, 1/(AW907:BH907&lt;&gt;""), 1)-1), ROW(INDIRECT("1:" &amp; MATCH(2, 1/(AW907:BH907&lt;&gt;""), 1)-1))) &gt;= 115%, 115%, INDEX(AW907:INDEX(AW907:BH907, MATCH(2, 1/(AW907:BH907&lt;&gt;""), 1)-1), ROW(INDIRECT("1:" &amp; MATCH(2, 1/(AW907:BH907&lt;&gt;""), 1)-1)))), 0))/_xlfn.XLOOKUP(F907,Apuração!A:A,Apuração!B:B))</f>
        <v>0</v>
      </c>
      <c r="BM907" s="55" t="str" cm="1">
        <f t="array" ref="BM907">IFERROR(
   INDEX($AW$1:$BH$1,
      _xlfn.AGGREGATE(14, 6, COLUMN($AW$1:$BH$1)/(AW907:BH907&lt;&gt;""), 2) - COLUMN($AW$1) + 1
   ),
"")</f>
        <v/>
      </c>
      <c r="BN907" s="55" t="str" cm="1">
        <f t="array" ref="BN907">IFERROR(INDEX($AW$1:$BH$1,1,MATCH(2,1/(AW907:BH907&lt;&gt;""))),"")</f>
        <v/>
      </c>
      <c r="BO907" s="53">
        <f ca="1">IFERROR(_xlfn.XLOOKUP(F907,Apuração!A:A,Apuração!C:C)/_xlfn.XLOOKUP(F907,Apuração!A:A,Apuração!B:B),0)</f>
        <v>0</v>
      </c>
      <c r="BP907" s="53">
        <f ca="1">IFERROR(_xlfn.XLOOKUP(F907,Apuração!A:A,Apuração!D:D)/_xlfn.XLOOKUP(F907,Apuração!A:A,Apuração!B:B),0)</f>
        <v>0</v>
      </c>
      <c r="BQ907" s="53">
        <f ca="1">IF(BK907&gt;=BO907,0,_xlfn.XLOOKUP(F907,Apuração!A:A,Apuração!B:B)*(BO907 + (1/_xlfn.XLOOKUP(F907,Apuração!A:A,Apuração!B:B)) - BK907))</f>
        <v>0</v>
      </c>
      <c r="BR907" s="85">
        <f t="shared" ca="1" si="1171"/>
        <v>0</v>
      </c>
      <c r="BS907" s="53">
        <f ca="1">IFERROR((_xlfn.XLOOKUP(F907,Apuração!A:A,Apuração!C:C)+1)/_xlfn.XLOOKUP(F907,Apuração!A:A,Apuração!B:B),0)</f>
        <v>0.14285714285714285</v>
      </c>
    </row>
    <row r="908" spans="1:71" ht="25.95" hidden="1" customHeight="1" x14ac:dyDescent="0.3">
      <c r="A908" s="33" t="s">
        <v>175</v>
      </c>
      <c r="B908" s="4" t="s">
        <v>187</v>
      </c>
      <c r="C908" s="5" t="s">
        <v>97</v>
      </c>
      <c r="D908" s="5" t="s">
        <v>102</v>
      </c>
      <c r="E908" s="4" t="s">
        <v>96</v>
      </c>
      <c r="F908" s="4" t="str" cm="1">
        <f t="array" ref="F908">_xlfn.IFS(
AG908 &lt;&gt; "", "Jan-Dez/26",
AH908 &lt;&gt; "", "Fev-Dez/26",
AI908 &lt;&gt; "", "Mar-Dez/26", AJ908 &lt;&gt; "", "Abr-Dez/26",
TRUE, "A partir de Junho"
)</f>
        <v>A partir de Junho</v>
      </c>
      <c r="G908" s="4" t="s">
        <v>62</v>
      </c>
      <c r="H908" s="7" t="s">
        <v>54</v>
      </c>
      <c r="I908" s="8" t="s">
        <v>188</v>
      </c>
      <c r="J908" s="8" t="str" cm="1">
        <f t="array" aca="1" ref="J908" ca="1">_xlfn.LET(
  _xlpm.actual_value_month, INDEX(T908:AE908, MATCH(DATE(YEAR(TODAY()), MONTH(TODAY()), 1), $T$1:$AE$1, 0)),
  IF(_xlpm.actual_value_month &lt;&gt; "", _xlpm.actual_value_month &amp; " ações mensais", "")
)</f>
        <v/>
      </c>
      <c r="K908" s="8" t="str" cm="1">
        <f t="array" ref="K908">_xlfn.LET(
    _xlpm.sum_month, SUM(T908:AE908),
    IF(_xlpm.sum_month = 0, "", _xlpm.sum_month &amp; " taxa de aderência de treinados.")
)</f>
        <v/>
      </c>
      <c r="L908" s="9" t="s">
        <v>189</v>
      </c>
      <c r="M908" s="13">
        <v>1</v>
      </c>
      <c r="N908" s="5" t="s">
        <v>42</v>
      </c>
      <c r="O908" s="5" t="s">
        <v>43</v>
      </c>
      <c r="P908" s="10" t="s">
        <v>146</v>
      </c>
      <c r="Q908" s="10" t="s">
        <v>44</v>
      </c>
      <c r="R908" s="11" t="s">
        <v>44</v>
      </c>
      <c r="S908" s="11" t="s">
        <v>44</v>
      </c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G908" s="71"/>
      <c r="AH908" s="71"/>
      <c r="AI908" s="71"/>
      <c r="AJ908" s="71"/>
      <c r="AK908" s="71"/>
      <c r="AL908" s="71"/>
      <c r="AM908" s="71"/>
      <c r="AN908" s="71"/>
      <c r="AO908" s="71"/>
      <c r="AP908" s="71"/>
      <c r="AQ908" s="71"/>
      <c r="AR908" s="71"/>
      <c r="AS908" s="94" t="str" cm="1">
        <f t="array" ref="AS908">IFERROR(INDEX(T908:AE908,1,MATCH(2,1/(T908:AE908&lt;&gt;""))),"")</f>
        <v/>
      </c>
      <c r="AT908" s="95">
        <f t="shared" si="1169"/>
        <v>0</v>
      </c>
      <c r="AU908" s="97">
        <f t="shared" si="1170"/>
        <v>0</v>
      </c>
      <c r="AW908" s="51"/>
      <c r="AX908" s="51"/>
      <c r="AY908" s="51"/>
      <c r="AZ908" s="51"/>
      <c r="BA908" s="51"/>
      <c r="BB908" s="51"/>
      <c r="BC908" s="51"/>
      <c r="BD908" s="51"/>
      <c r="BE908" s="51"/>
      <c r="BF908" s="51"/>
      <c r="BG908" s="51"/>
      <c r="BH908" s="51"/>
      <c r="BI908" s="65" t="str" cm="1">
        <f t="array" ref="BI908">IFERROR(INDEX(AW908:BH908,1,MATCH(2,1/(AW908:BH908&lt;&gt;""))),"")</f>
        <v/>
      </c>
      <c r="BJ908" s="68" t="str" cm="1">
        <f t="array" ref="BJ908">IF(BM908 = "", "",IFERROR(INDEX(AW908:BH908,1,MATCH(2,1/(AW908:BH908&lt;&gt;""),1)-1),""))</f>
        <v/>
      </c>
      <c r="BK908" s="58" t="str" cm="1">
        <f t="array" ref="BK908">IFERROR(INDEX(AW908:BH908,1,MATCH(2,1/(AW908:BH908&lt;&gt;""))),"")</f>
        <v/>
      </c>
      <c r="BL908" s="58" cm="1">
        <f t="array" aca="1" ref="BL908" ca="1">IF(SUM(IFERROR(IF(INDEX(AW908:INDEX(AW908:BH908, MATCH(2, 1/(AW908:BH908&lt;&gt;""), 1)-1), ROW(INDIRECT("1:" &amp; MATCH(2, 1/(AW908:BH908&lt;&gt;""), 1)-1))) &gt;= 115%, 115%, INDEX(AW908:INDEX(AW908:BH908, MATCH(2, 1/(AW908:BH908&lt;&gt;""), 1)-1), ROW(INDIRECT("1:" &amp; MATCH(2, 1/(AW908:BH908&lt;&gt;""), 1)-1)))), 0))/_xlfn.XLOOKUP(F908,Apuração!A:A,Apuração!B:B)&gt;=1.15,1.15,SUM(IFERROR(IF(INDEX(AW908:INDEX(AW908:BH908, MATCH(2, 1/(AW908:BH908&lt;&gt;""), 1)-1), ROW(INDIRECT("1:" &amp; MATCH(2, 1/(AW908:BH908&lt;&gt;""), 1)-1))) &gt;= 115%, 115%, INDEX(AW908:INDEX(AW908:BH908, MATCH(2, 1/(AW908:BH908&lt;&gt;""), 1)-1), ROW(INDIRECT("1:" &amp; MATCH(2, 1/(AW908:BH908&lt;&gt;""), 1)-1)))), 0))/_xlfn.XLOOKUP(F908,Apuração!A:A,Apuração!B:B))</f>
        <v>0</v>
      </c>
      <c r="BM908" s="55" t="str" cm="1">
        <f t="array" ref="BM908">IFERROR(
   INDEX($AW$1:$BH$1,
      _xlfn.AGGREGATE(14, 6, COLUMN($AW$1:$BH$1)/(AW908:BH908&lt;&gt;""), 2) - COLUMN($AW$1) + 1
   ),
"")</f>
        <v/>
      </c>
      <c r="BN908" s="55" t="str" cm="1">
        <f t="array" ref="BN908">IFERROR(INDEX($AW$1:$BH$1,1,MATCH(2,1/(AW908:BH908&lt;&gt;""))),"")</f>
        <v/>
      </c>
      <c r="BO908" s="53">
        <f ca="1">IFERROR(_xlfn.XLOOKUP(F908,Apuração!A:A,Apuração!C:C)/_xlfn.XLOOKUP(F908,Apuração!A:A,Apuração!B:B),0)</f>
        <v>0</v>
      </c>
      <c r="BP908" s="53">
        <f ca="1">IFERROR(_xlfn.XLOOKUP(F908,Apuração!A:A,Apuração!D:D)/_xlfn.XLOOKUP(F908,Apuração!A:A,Apuração!B:B),0)</f>
        <v>0</v>
      </c>
      <c r="BQ908" s="53">
        <f ca="1">IF(BK908&gt;=BO908,0,_xlfn.XLOOKUP(F908,Apuração!A:A,Apuração!B:B)*(BO908 + (1/_xlfn.XLOOKUP(F908,Apuração!A:A,Apuração!B:B)) - BK908))</f>
        <v>0</v>
      </c>
      <c r="BR908" s="85">
        <f t="shared" ca="1" si="1171"/>
        <v>0</v>
      </c>
      <c r="BS908" s="53">
        <f ca="1">IFERROR((_xlfn.XLOOKUP(F908,Apuração!A:A,Apuração!C:C)+1)/_xlfn.XLOOKUP(F908,Apuração!A:A,Apuração!B:B),0)</f>
        <v>0.14285714285714285</v>
      </c>
    </row>
    <row r="909" spans="1:71" ht="25.95" hidden="1" customHeight="1" x14ac:dyDescent="0.3">
      <c r="A909" s="33" t="s">
        <v>175</v>
      </c>
      <c r="B909" s="4" t="s">
        <v>187</v>
      </c>
      <c r="C909" s="5" t="s">
        <v>97</v>
      </c>
      <c r="D909" s="5" t="s">
        <v>103</v>
      </c>
      <c r="E909" s="4" t="s">
        <v>96</v>
      </c>
      <c r="F909" s="4" t="str" cm="1">
        <f t="array" ref="F909">_xlfn.IFS(
AG909 &lt;&gt; "", "Jan-Dez/26",
AH909 &lt;&gt; "", "Fev-Dez/26",
AI909 &lt;&gt; "", "Mar-Dez/26", AJ909 &lt;&gt; "", "Abr-Dez/26",
TRUE, "A partir de Junho"
)</f>
        <v>A partir de Junho</v>
      </c>
      <c r="G909" s="4" t="s">
        <v>62</v>
      </c>
      <c r="H909" s="7" t="s">
        <v>54</v>
      </c>
      <c r="I909" s="8" t="s">
        <v>188</v>
      </c>
      <c r="J909" s="8" t="str" cm="1">
        <f t="array" aca="1" ref="J909" ca="1">_xlfn.LET(
  _xlpm.actual_value_month, INDEX(T909:AE909, MATCH(DATE(YEAR(TODAY()), MONTH(TODAY()), 1), $T$1:$AE$1, 0)),
  IF(_xlpm.actual_value_month &lt;&gt; "", _xlpm.actual_value_month &amp; " ações mensais", "")
)</f>
        <v/>
      </c>
      <c r="K909" s="8" t="str" cm="1">
        <f t="array" ref="K909">_xlfn.LET(
    _xlpm.sum_month, SUM(T909:AE909),
    IF(_xlpm.sum_month = 0, "", _xlpm.sum_month &amp; " taxa de aderência de treinados.")
)</f>
        <v/>
      </c>
      <c r="L909" s="9" t="s">
        <v>189</v>
      </c>
      <c r="M909" s="13">
        <v>1</v>
      </c>
      <c r="N909" s="5" t="s">
        <v>42</v>
      </c>
      <c r="O909" s="5" t="s">
        <v>43</v>
      </c>
      <c r="P909" s="10" t="s">
        <v>146</v>
      </c>
      <c r="Q909" s="10" t="s">
        <v>44</v>
      </c>
      <c r="R909" s="11" t="s">
        <v>44</v>
      </c>
      <c r="S909" s="11" t="s">
        <v>44</v>
      </c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G909" s="71"/>
      <c r="AH909" s="71"/>
      <c r="AI909" s="71"/>
      <c r="AJ909" s="71"/>
      <c r="AK909" s="71"/>
      <c r="AL909" s="71"/>
      <c r="AM909" s="71"/>
      <c r="AN909" s="71"/>
      <c r="AO909" s="71"/>
      <c r="AP909" s="71"/>
      <c r="AQ909" s="71"/>
      <c r="AR909" s="71"/>
      <c r="AS909" s="94" t="str" cm="1">
        <f t="array" ref="AS909">IFERROR(INDEX(T909:AE909,1,MATCH(2,1/(T909:AE909&lt;&gt;""))),"")</f>
        <v/>
      </c>
      <c r="AT909" s="95">
        <f t="shared" si="1169"/>
        <v>0</v>
      </c>
      <c r="AU909" s="97">
        <f t="shared" si="1170"/>
        <v>0</v>
      </c>
      <c r="AW909" s="51"/>
      <c r="AX909" s="51"/>
      <c r="AY909" s="51"/>
      <c r="AZ909" s="51"/>
      <c r="BA909" s="51"/>
      <c r="BB909" s="51"/>
      <c r="BC909" s="51"/>
      <c r="BD909" s="51"/>
      <c r="BE909" s="51"/>
      <c r="BF909" s="51"/>
      <c r="BG909" s="51"/>
      <c r="BH909" s="51"/>
      <c r="BI909" s="65" t="str" cm="1">
        <f t="array" ref="BI909">IFERROR(INDEX(AW909:BH909,1,MATCH(2,1/(AW909:BH909&lt;&gt;""))),"")</f>
        <v/>
      </c>
      <c r="BJ909" s="68" t="str" cm="1">
        <f t="array" ref="BJ909">IF(BM909 = "", "",IFERROR(INDEX(AW909:BH909,1,MATCH(2,1/(AW909:BH909&lt;&gt;""),1)-1),""))</f>
        <v/>
      </c>
      <c r="BK909" s="58" t="str" cm="1">
        <f t="array" ref="BK909">IFERROR(INDEX(AW909:BH909,1,MATCH(2,1/(AW909:BH909&lt;&gt;""))),"")</f>
        <v/>
      </c>
      <c r="BL909" s="58" cm="1">
        <f t="array" aca="1" ref="BL909" ca="1">IF(SUM(IFERROR(IF(INDEX(AW909:INDEX(AW909:BH909, MATCH(2, 1/(AW909:BH909&lt;&gt;""), 1)-1), ROW(INDIRECT("1:" &amp; MATCH(2, 1/(AW909:BH909&lt;&gt;""), 1)-1))) &gt;= 115%, 115%, INDEX(AW909:INDEX(AW909:BH909, MATCH(2, 1/(AW909:BH909&lt;&gt;""), 1)-1), ROW(INDIRECT("1:" &amp; MATCH(2, 1/(AW909:BH909&lt;&gt;""), 1)-1)))), 0))/_xlfn.XLOOKUP(F909,Apuração!A:A,Apuração!B:B)&gt;=1.15,1.15,SUM(IFERROR(IF(INDEX(AW909:INDEX(AW909:BH909, MATCH(2, 1/(AW909:BH909&lt;&gt;""), 1)-1), ROW(INDIRECT("1:" &amp; MATCH(2, 1/(AW909:BH909&lt;&gt;""), 1)-1))) &gt;= 115%, 115%, INDEX(AW909:INDEX(AW909:BH909, MATCH(2, 1/(AW909:BH909&lt;&gt;""), 1)-1), ROW(INDIRECT("1:" &amp; MATCH(2, 1/(AW909:BH909&lt;&gt;""), 1)-1)))), 0))/_xlfn.XLOOKUP(F909,Apuração!A:A,Apuração!B:B))</f>
        <v>0</v>
      </c>
      <c r="BM909" s="55" t="str" cm="1">
        <f t="array" ref="BM909">IFERROR(
   INDEX($AW$1:$BH$1,
      _xlfn.AGGREGATE(14, 6, COLUMN($AW$1:$BH$1)/(AW909:BH909&lt;&gt;""), 2) - COLUMN($AW$1) + 1
   ),
"")</f>
        <v/>
      </c>
      <c r="BN909" s="55" t="str" cm="1">
        <f t="array" ref="BN909">IFERROR(INDEX($AW$1:$BH$1,1,MATCH(2,1/(AW909:BH909&lt;&gt;""))),"")</f>
        <v/>
      </c>
      <c r="BO909" s="53">
        <f ca="1">IFERROR(_xlfn.XLOOKUP(F909,Apuração!A:A,Apuração!C:C)/_xlfn.XLOOKUP(F909,Apuração!A:A,Apuração!B:B),0)</f>
        <v>0</v>
      </c>
      <c r="BP909" s="53">
        <f ca="1">IFERROR(_xlfn.XLOOKUP(F909,Apuração!A:A,Apuração!D:D)/_xlfn.XLOOKUP(F909,Apuração!A:A,Apuração!B:B),0)</f>
        <v>0</v>
      </c>
      <c r="BQ909" s="53">
        <f ca="1">IF(BK909&gt;=BO909,0,_xlfn.XLOOKUP(F909,Apuração!A:A,Apuração!B:B)*(BO909 + (1/_xlfn.XLOOKUP(F909,Apuração!A:A,Apuração!B:B)) - BK909))</f>
        <v>0</v>
      </c>
      <c r="BR909" s="85">
        <f t="shared" ca="1" si="1171"/>
        <v>0</v>
      </c>
      <c r="BS909" s="53">
        <f ca="1">IFERROR((_xlfn.XLOOKUP(F909,Apuração!A:A,Apuração!C:C)+1)/_xlfn.XLOOKUP(F909,Apuração!A:A,Apuração!B:B),0)</f>
        <v>0.14285714285714285</v>
      </c>
    </row>
    <row r="910" spans="1:71" ht="25.95" hidden="1" customHeight="1" x14ac:dyDescent="0.3">
      <c r="A910" s="33" t="s">
        <v>175</v>
      </c>
      <c r="B910" s="4" t="s">
        <v>187</v>
      </c>
      <c r="C910" s="5" t="s">
        <v>97</v>
      </c>
      <c r="D910" s="5" t="s">
        <v>104</v>
      </c>
      <c r="E910" s="4" t="s">
        <v>96</v>
      </c>
      <c r="F910" s="4" t="str" cm="1">
        <f t="array" ref="F910">_xlfn.IFS(
AG910 &lt;&gt; "", "Jan-Dez/26",
AH910 &lt;&gt; "", "Fev-Dez/26",
AI910 &lt;&gt; "", "Mar-Dez/26", AJ910 &lt;&gt; "", "Abr-Dez/26",
TRUE, "A partir de Junho"
)</f>
        <v>A partir de Junho</v>
      </c>
      <c r="G910" s="4" t="s">
        <v>62</v>
      </c>
      <c r="H910" s="7" t="s">
        <v>54</v>
      </c>
      <c r="I910" s="8" t="s">
        <v>188</v>
      </c>
      <c r="J910" s="8" t="str" cm="1">
        <f t="array" aca="1" ref="J910" ca="1">_xlfn.LET(
  _xlpm.actual_value_month, INDEX(T910:AE910, MATCH(DATE(YEAR(TODAY()), MONTH(TODAY()), 1), $T$1:$AE$1, 0)),
  IF(_xlpm.actual_value_month &lt;&gt; "", _xlpm.actual_value_month &amp; " ações mensais", "")
)</f>
        <v/>
      </c>
      <c r="K910" s="8" t="str" cm="1">
        <f t="array" ref="K910">_xlfn.LET(
    _xlpm.sum_month, SUM(T910:AE910),
    IF(_xlpm.sum_month = 0, "", _xlpm.sum_month &amp; " taxa de aderência de treinados.")
)</f>
        <v/>
      </c>
      <c r="L910" s="9" t="s">
        <v>189</v>
      </c>
      <c r="M910" s="13">
        <v>1</v>
      </c>
      <c r="N910" s="5" t="s">
        <v>42</v>
      </c>
      <c r="O910" s="5" t="s">
        <v>43</v>
      </c>
      <c r="P910" s="10" t="s">
        <v>146</v>
      </c>
      <c r="Q910" s="10" t="s">
        <v>44</v>
      </c>
      <c r="R910" s="11" t="s">
        <v>44</v>
      </c>
      <c r="S910" s="11" t="s">
        <v>44</v>
      </c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G910" s="71"/>
      <c r="AH910" s="71"/>
      <c r="AI910" s="71"/>
      <c r="AJ910" s="71"/>
      <c r="AK910" s="71"/>
      <c r="AL910" s="71"/>
      <c r="AM910" s="71"/>
      <c r="AN910" s="71"/>
      <c r="AO910" s="71"/>
      <c r="AP910" s="71"/>
      <c r="AQ910" s="71"/>
      <c r="AR910" s="71"/>
      <c r="AS910" s="94" t="str" cm="1">
        <f t="array" ref="AS910">IFERROR(INDEX(T910:AE910,1,MATCH(2,1/(T910:AE910&lt;&gt;""))),"")</f>
        <v/>
      </c>
      <c r="AT910" s="95">
        <f t="shared" si="1169"/>
        <v>0</v>
      </c>
      <c r="AU910" s="97">
        <f t="shared" si="1170"/>
        <v>0</v>
      </c>
      <c r="AW910" s="51"/>
      <c r="AX910" s="51"/>
      <c r="AY910" s="51"/>
      <c r="AZ910" s="51"/>
      <c r="BA910" s="51"/>
      <c r="BB910" s="51"/>
      <c r="BC910" s="51"/>
      <c r="BD910" s="51"/>
      <c r="BE910" s="51"/>
      <c r="BF910" s="51"/>
      <c r="BG910" s="51"/>
      <c r="BH910" s="51"/>
      <c r="BI910" s="65" t="str" cm="1">
        <f t="array" ref="BI910">IFERROR(INDEX(AW910:BH910,1,MATCH(2,1/(AW910:BH910&lt;&gt;""))),"")</f>
        <v/>
      </c>
      <c r="BJ910" s="68" t="str" cm="1">
        <f t="array" ref="BJ910">IF(BM910 = "", "",IFERROR(INDEX(AW910:BH910,1,MATCH(2,1/(AW910:BH910&lt;&gt;""),1)-1),""))</f>
        <v/>
      </c>
      <c r="BK910" s="58" t="str" cm="1">
        <f t="array" ref="BK910">IFERROR(INDEX(AW910:BH910,1,MATCH(2,1/(AW910:BH910&lt;&gt;""))),"")</f>
        <v/>
      </c>
      <c r="BL910" s="58" cm="1">
        <f t="array" aca="1" ref="BL910" ca="1">IF(SUM(IFERROR(IF(INDEX(AW910:INDEX(AW910:BH910, MATCH(2, 1/(AW910:BH910&lt;&gt;""), 1)-1), ROW(INDIRECT("1:" &amp; MATCH(2, 1/(AW910:BH910&lt;&gt;""), 1)-1))) &gt;= 115%, 115%, INDEX(AW910:INDEX(AW910:BH910, MATCH(2, 1/(AW910:BH910&lt;&gt;""), 1)-1), ROW(INDIRECT("1:" &amp; MATCH(2, 1/(AW910:BH910&lt;&gt;""), 1)-1)))), 0))/_xlfn.XLOOKUP(F910,Apuração!A:A,Apuração!B:B)&gt;=1.15,1.15,SUM(IFERROR(IF(INDEX(AW910:INDEX(AW910:BH910, MATCH(2, 1/(AW910:BH910&lt;&gt;""), 1)-1), ROW(INDIRECT("1:" &amp; MATCH(2, 1/(AW910:BH910&lt;&gt;""), 1)-1))) &gt;= 115%, 115%, INDEX(AW910:INDEX(AW910:BH910, MATCH(2, 1/(AW910:BH910&lt;&gt;""), 1)-1), ROW(INDIRECT("1:" &amp; MATCH(2, 1/(AW910:BH910&lt;&gt;""), 1)-1)))), 0))/_xlfn.XLOOKUP(F910,Apuração!A:A,Apuração!B:B))</f>
        <v>0</v>
      </c>
      <c r="BM910" s="55" t="str" cm="1">
        <f t="array" ref="BM910">IFERROR(
   INDEX($AW$1:$BH$1,
      _xlfn.AGGREGATE(14, 6, COLUMN($AW$1:$BH$1)/(AW910:BH910&lt;&gt;""), 2) - COLUMN($AW$1) + 1
   ),
"")</f>
        <v/>
      </c>
      <c r="BN910" s="55" t="str" cm="1">
        <f t="array" ref="BN910">IFERROR(INDEX($AW$1:$BH$1,1,MATCH(2,1/(AW910:BH910&lt;&gt;""))),"")</f>
        <v/>
      </c>
      <c r="BO910" s="53">
        <f ca="1">IFERROR(_xlfn.XLOOKUP(F910,Apuração!A:A,Apuração!C:C)/_xlfn.XLOOKUP(F910,Apuração!A:A,Apuração!B:B),0)</f>
        <v>0</v>
      </c>
      <c r="BP910" s="53">
        <f ca="1">IFERROR(_xlfn.XLOOKUP(F910,Apuração!A:A,Apuração!D:D)/_xlfn.XLOOKUP(F910,Apuração!A:A,Apuração!B:B),0)</f>
        <v>0</v>
      </c>
      <c r="BQ910" s="53">
        <f ca="1">IF(BK910&gt;=BO910,0,_xlfn.XLOOKUP(F910,Apuração!A:A,Apuração!B:B)*(BO910 + (1/_xlfn.XLOOKUP(F910,Apuração!A:A,Apuração!B:B)) - BK910))</f>
        <v>0</v>
      </c>
      <c r="BR910" s="85">
        <f t="shared" ca="1" si="1171"/>
        <v>0</v>
      </c>
      <c r="BS910" s="53">
        <f ca="1">IFERROR((_xlfn.XLOOKUP(F910,Apuração!A:A,Apuração!C:C)+1)/_xlfn.XLOOKUP(F910,Apuração!A:A,Apuração!B:B),0)</f>
        <v>0.14285714285714285</v>
      </c>
    </row>
    <row r="911" spans="1:71" ht="25.95" hidden="1" customHeight="1" x14ac:dyDescent="0.3">
      <c r="A911" s="33" t="s">
        <v>175</v>
      </c>
      <c r="B911" s="4" t="s">
        <v>187</v>
      </c>
      <c r="C911" s="5" t="s">
        <v>97</v>
      </c>
      <c r="D911" s="5" t="s">
        <v>105</v>
      </c>
      <c r="E911" s="4" t="s">
        <v>96</v>
      </c>
      <c r="F911" s="4" t="str" cm="1">
        <f t="array" ref="F911">_xlfn.IFS(
AG911 &lt;&gt; "", "Jan-Dez/26",
AH911 &lt;&gt; "", "Fev-Dez/26",
AI911 &lt;&gt; "", "Mar-Dez/26", AJ911 &lt;&gt; "", "Abr-Dez/26",
TRUE, "A partir de Junho"
)</f>
        <v>A partir de Junho</v>
      </c>
      <c r="G911" s="4" t="s">
        <v>62</v>
      </c>
      <c r="H911" s="7" t="s">
        <v>54</v>
      </c>
      <c r="I911" s="8" t="s">
        <v>188</v>
      </c>
      <c r="J911" s="8" t="str" cm="1">
        <f t="array" aca="1" ref="J911" ca="1">_xlfn.LET(
  _xlpm.actual_value_month, INDEX(T911:AE911, MATCH(DATE(YEAR(TODAY()), MONTH(TODAY()), 1), $T$1:$AE$1, 0)),
  IF(_xlpm.actual_value_month &lt;&gt; "", _xlpm.actual_value_month &amp; " ações mensais", "")
)</f>
        <v/>
      </c>
      <c r="K911" s="8" t="str" cm="1">
        <f t="array" ref="K911">_xlfn.LET(
    _xlpm.sum_month, SUM(T911:AE911),
    IF(_xlpm.sum_month = 0, "", _xlpm.sum_month &amp; " taxa de aderência de treinados.")
)</f>
        <v/>
      </c>
      <c r="L911" s="9" t="s">
        <v>189</v>
      </c>
      <c r="M911" s="13">
        <v>1</v>
      </c>
      <c r="N911" s="5" t="s">
        <v>42</v>
      </c>
      <c r="O911" s="5" t="s">
        <v>43</v>
      </c>
      <c r="P911" s="10" t="s">
        <v>146</v>
      </c>
      <c r="Q911" s="10" t="s">
        <v>44</v>
      </c>
      <c r="R911" s="11" t="s">
        <v>44</v>
      </c>
      <c r="S911" s="11" t="s">
        <v>44</v>
      </c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G911" s="71"/>
      <c r="AH911" s="71"/>
      <c r="AI911" s="71"/>
      <c r="AJ911" s="71"/>
      <c r="AK911" s="71"/>
      <c r="AL911" s="71"/>
      <c r="AM911" s="71"/>
      <c r="AN911" s="71"/>
      <c r="AO911" s="71"/>
      <c r="AP911" s="71"/>
      <c r="AQ911" s="71"/>
      <c r="AR911" s="71"/>
      <c r="AS911" s="94" t="str" cm="1">
        <f t="array" ref="AS911">IFERROR(INDEX(T911:AE911,1,MATCH(2,1/(T911:AE911&lt;&gt;""))),"")</f>
        <v/>
      </c>
      <c r="AT911" s="95">
        <f t="shared" si="1169"/>
        <v>0</v>
      </c>
      <c r="AU911" s="97">
        <f t="shared" si="1170"/>
        <v>0</v>
      </c>
      <c r="AW911" s="51"/>
      <c r="AX911" s="51"/>
      <c r="AY911" s="51"/>
      <c r="AZ911" s="51"/>
      <c r="BA911" s="51"/>
      <c r="BB911" s="51"/>
      <c r="BC911" s="51"/>
      <c r="BD911" s="51"/>
      <c r="BE911" s="51"/>
      <c r="BF911" s="51"/>
      <c r="BG911" s="51"/>
      <c r="BH911" s="51"/>
      <c r="BI911" s="65" t="str" cm="1">
        <f t="array" ref="BI911">IFERROR(INDEX(AW911:BH911,1,MATCH(2,1/(AW911:BH911&lt;&gt;""))),"")</f>
        <v/>
      </c>
      <c r="BJ911" s="68" t="str" cm="1">
        <f t="array" ref="BJ911">IF(BM911 = "", "",IFERROR(INDEX(AW911:BH911,1,MATCH(2,1/(AW911:BH911&lt;&gt;""),1)-1),""))</f>
        <v/>
      </c>
      <c r="BK911" s="58" t="str" cm="1">
        <f t="array" ref="BK911">IFERROR(INDEX(AW911:BH911,1,MATCH(2,1/(AW911:BH911&lt;&gt;""))),"")</f>
        <v/>
      </c>
      <c r="BL911" s="58" cm="1">
        <f t="array" aca="1" ref="BL911" ca="1">IF(SUM(IFERROR(IF(INDEX(AW911:INDEX(AW911:BH911, MATCH(2, 1/(AW911:BH911&lt;&gt;""), 1)-1), ROW(INDIRECT("1:" &amp; MATCH(2, 1/(AW911:BH911&lt;&gt;""), 1)-1))) &gt;= 115%, 115%, INDEX(AW911:INDEX(AW911:BH911, MATCH(2, 1/(AW911:BH911&lt;&gt;""), 1)-1), ROW(INDIRECT("1:" &amp; MATCH(2, 1/(AW911:BH911&lt;&gt;""), 1)-1)))), 0))/_xlfn.XLOOKUP(F911,Apuração!A:A,Apuração!B:B)&gt;=1.15,1.15,SUM(IFERROR(IF(INDEX(AW911:INDEX(AW911:BH911, MATCH(2, 1/(AW911:BH911&lt;&gt;""), 1)-1), ROW(INDIRECT("1:" &amp; MATCH(2, 1/(AW911:BH911&lt;&gt;""), 1)-1))) &gt;= 115%, 115%, INDEX(AW911:INDEX(AW911:BH911, MATCH(2, 1/(AW911:BH911&lt;&gt;""), 1)-1), ROW(INDIRECT("1:" &amp; MATCH(2, 1/(AW911:BH911&lt;&gt;""), 1)-1)))), 0))/_xlfn.XLOOKUP(F911,Apuração!A:A,Apuração!B:B))</f>
        <v>0</v>
      </c>
      <c r="BM911" s="55" t="str" cm="1">
        <f t="array" ref="BM911">IFERROR(
   INDEX($AW$1:$BH$1,
      _xlfn.AGGREGATE(14, 6, COLUMN($AW$1:$BH$1)/(AW911:BH911&lt;&gt;""), 2) - COLUMN($AW$1) + 1
   ),
"")</f>
        <v/>
      </c>
      <c r="BN911" s="55" t="str" cm="1">
        <f t="array" ref="BN911">IFERROR(INDEX($AW$1:$BH$1,1,MATCH(2,1/(AW911:BH911&lt;&gt;""))),"")</f>
        <v/>
      </c>
      <c r="BO911" s="53">
        <f ca="1">IFERROR(_xlfn.XLOOKUP(F911,Apuração!A:A,Apuração!C:C)/_xlfn.XLOOKUP(F911,Apuração!A:A,Apuração!B:B),0)</f>
        <v>0</v>
      </c>
      <c r="BP911" s="53">
        <f ca="1">IFERROR(_xlfn.XLOOKUP(F911,Apuração!A:A,Apuração!D:D)/_xlfn.XLOOKUP(F911,Apuração!A:A,Apuração!B:B),0)</f>
        <v>0</v>
      </c>
      <c r="BQ911" s="53">
        <f ca="1">IF(BK911&gt;=BO911,0,_xlfn.XLOOKUP(F911,Apuração!A:A,Apuração!B:B)*(BO911 + (1/_xlfn.XLOOKUP(F911,Apuração!A:A,Apuração!B:B)) - BK911))</f>
        <v>0</v>
      </c>
      <c r="BR911" s="85">
        <f t="shared" ca="1" si="1171"/>
        <v>0</v>
      </c>
      <c r="BS911" s="53">
        <f ca="1">IFERROR((_xlfn.XLOOKUP(F911,Apuração!A:A,Apuração!C:C)+1)/_xlfn.XLOOKUP(F911,Apuração!A:A,Apuração!B:B),0)</f>
        <v>0.14285714285714285</v>
      </c>
    </row>
    <row r="912" spans="1:71" ht="25.95" hidden="1" customHeight="1" x14ac:dyDescent="0.3">
      <c r="A912" s="33" t="s">
        <v>175</v>
      </c>
      <c r="B912" s="4" t="s">
        <v>187</v>
      </c>
      <c r="C912" s="5" t="s">
        <v>97</v>
      </c>
      <c r="D912" s="5" t="s">
        <v>106</v>
      </c>
      <c r="E912" s="4" t="s">
        <v>96</v>
      </c>
      <c r="F912" s="4" t="str" cm="1">
        <f t="array" ref="F912">_xlfn.IFS(
AG912 &lt;&gt; "", "Jan-Dez/26",
AH912 &lt;&gt; "", "Fev-Dez/26",
AI912 &lt;&gt; "", "Mar-Dez/26", AJ912 &lt;&gt; "", "Abr-Dez/26",
TRUE, "A partir de Junho"
)</f>
        <v>A partir de Junho</v>
      </c>
      <c r="G912" s="4" t="s">
        <v>62</v>
      </c>
      <c r="H912" s="7" t="s">
        <v>54</v>
      </c>
      <c r="I912" s="8" t="s">
        <v>188</v>
      </c>
      <c r="J912" s="8" t="str" cm="1">
        <f t="array" aca="1" ref="J912" ca="1">_xlfn.LET(
  _xlpm.actual_value_month, INDEX(T912:AE912, MATCH(DATE(YEAR(TODAY()), MONTH(TODAY()), 1), $T$1:$AE$1, 0)),
  IF(_xlpm.actual_value_month &lt;&gt; "", _xlpm.actual_value_month &amp; " ações mensais", "")
)</f>
        <v/>
      </c>
      <c r="K912" s="8" t="str" cm="1">
        <f t="array" ref="K912">_xlfn.LET(
    _xlpm.sum_month, SUM(T912:AE912),
    IF(_xlpm.sum_month = 0, "", _xlpm.sum_month &amp; " taxa de aderência de treinados.")
)</f>
        <v/>
      </c>
      <c r="L912" s="9" t="s">
        <v>189</v>
      </c>
      <c r="M912" s="13">
        <v>1</v>
      </c>
      <c r="N912" s="5" t="s">
        <v>42</v>
      </c>
      <c r="O912" s="5" t="s">
        <v>43</v>
      </c>
      <c r="P912" s="10" t="s">
        <v>146</v>
      </c>
      <c r="Q912" s="10" t="s">
        <v>44</v>
      </c>
      <c r="R912" s="11" t="s">
        <v>44</v>
      </c>
      <c r="S912" s="11" t="s">
        <v>44</v>
      </c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G912" s="71"/>
      <c r="AH912" s="71"/>
      <c r="AI912" s="71"/>
      <c r="AJ912" s="71"/>
      <c r="AK912" s="71"/>
      <c r="AL912" s="71"/>
      <c r="AM912" s="71"/>
      <c r="AN912" s="71"/>
      <c r="AO912" s="71"/>
      <c r="AP912" s="71"/>
      <c r="AQ912" s="71"/>
      <c r="AR912" s="71"/>
      <c r="AS912" s="94" t="str" cm="1">
        <f t="array" ref="AS912">IFERROR(INDEX(T912:AE912,1,MATCH(2,1/(T912:AE912&lt;&gt;""))),"")</f>
        <v/>
      </c>
      <c r="AT912" s="95">
        <f t="shared" si="1169"/>
        <v>0</v>
      </c>
      <c r="AU912" s="97">
        <f t="shared" si="1170"/>
        <v>0</v>
      </c>
      <c r="AW912" s="51"/>
      <c r="AX912" s="51"/>
      <c r="AY912" s="51"/>
      <c r="AZ912" s="51"/>
      <c r="BA912" s="51"/>
      <c r="BB912" s="51"/>
      <c r="BC912" s="51"/>
      <c r="BD912" s="51"/>
      <c r="BE912" s="51"/>
      <c r="BF912" s="51"/>
      <c r="BG912" s="51"/>
      <c r="BH912" s="51"/>
      <c r="BI912" s="65" t="str" cm="1">
        <f t="array" ref="BI912">IFERROR(INDEX(AW912:BH912,1,MATCH(2,1/(AW912:BH912&lt;&gt;""))),"")</f>
        <v/>
      </c>
      <c r="BJ912" s="68" t="str" cm="1">
        <f t="array" ref="BJ912">IF(BM912 = "", "",IFERROR(INDEX(AW912:BH912,1,MATCH(2,1/(AW912:BH912&lt;&gt;""),1)-1),""))</f>
        <v/>
      </c>
      <c r="BK912" s="58" t="str" cm="1">
        <f t="array" ref="BK912">IFERROR(INDEX(AW912:BH912,1,MATCH(2,1/(AW912:BH912&lt;&gt;""))),"")</f>
        <v/>
      </c>
      <c r="BL912" s="58" cm="1">
        <f t="array" aca="1" ref="BL912" ca="1">IF(SUM(IFERROR(IF(INDEX(AW912:INDEX(AW912:BH912, MATCH(2, 1/(AW912:BH912&lt;&gt;""), 1)-1), ROW(INDIRECT("1:" &amp; MATCH(2, 1/(AW912:BH912&lt;&gt;""), 1)-1))) &gt;= 115%, 115%, INDEX(AW912:INDEX(AW912:BH912, MATCH(2, 1/(AW912:BH912&lt;&gt;""), 1)-1), ROW(INDIRECT("1:" &amp; MATCH(2, 1/(AW912:BH912&lt;&gt;""), 1)-1)))), 0))/_xlfn.XLOOKUP(F912,Apuração!A:A,Apuração!B:B)&gt;=1.15,1.15,SUM(IFERROR(IF(INDEX(AW912:INDEX(AW912:BH912, MATCH(2, 1/(AW912:BH912&lt;&gt;""), 1)-1), ROW(INDIRECT("1:" &amp; MATCH(2, 1/(AW912:BH912&lt;&gt;""), 1)-1))) &gt;= 115%, 115%, INDEX(AW912:INDEX(AW912:BH912, MATCH(2, 1/(AW912:BH912&lt;&gt;""), 1)-1), ROW(INDIRECT("1:" &amp; MATCH(2, 1/(AW912:BH912&lt;&gt;""), 1)-1)))), 0))/_xlfn.XLOOKUP(F912,Apuração!A:A,Apuração!B:B))</f>
        <v>0</v>
      </c>
      <c r="BM912" s="55" t="str" cm="1">
        <f t="array" ref="BM912">IFERROR(
   INDEX($AW$1:$BH$1,
      _xlfn.AGGREGATE(14, 6, COLUMN($AW$1:$BH$1)/(AW912:BH912&lt;&gt;""), 2) - COLUMN($AW$1) + 1
   ),
"")</f>
        <v/>
      </c>
      <c r="BN912" s="55" t="str" cm="1">
        <f t="array" ref="BN912">IFERROR(INDEX($AW$1:$BH$1,1,MATCH(2,1/(AW912:BH912&lt;&gt;""))),"")</f>
        <v/>
      </c>
      <c r="BO912" s="53">
        <f ca="1">IFERROR(_xlfn.XLOOKUP(F912,Apuração!A:A,Apuração!C:C)/_xlfn.XLOOKUP(F912,Apuração!A:A,Apuração!B:B),0)</f>
        <v>0</v>
      </c>
      <c r="BP912" s="53">
        <f ca="1">IFERROR(_xlfn.XLOOKUP(F912,Apuração!A:A,Apuração!D:D)/_xlfn.XLOOKUP(F912,Apuração!A:A,Apuração!B:B),0)</f>
        <v>0</v>
      </c>
      <c r="BQ912" s="53">
        <f ca="1">IF(BK912&gt;=BO912,0,_xlfn.XLOOKUP(F912,Apuração!A:A,Apuração!B:B)*(BO912 + (1/_xlfn.XLOOKUP(F912,Apuração!A:A,Apuração!B:B)) - BK912))</f>
        <v>0</v>
      </c>
      <c r="BR912" s="85">
        <f t="shared" ca="1" si="1171"/>
        <v>0</v>
      </c>
      <c r="BS912" s="53">
        <f ca="1">IFERROR((_xlfn.XLOOKUP(F912,Apuração!A:A,Apuração!C:C)+1)/_xlfn.XLOOKUP(F912,Apuração!A:A,Apuração!B:B),0)</f>
        <v>0.14285714285714285</v>
      </c>
    </row>
    <row r="913" spans="1:71" ht="25.95" hidden="1" customHeight="1" x14ac:dyDescent="0.3">
      <c r="A913" s="33" t="s">
        <v>175</v>
      </c>
      <c r="B913" s="4" t="s">
        <v>187</v>
      </c>
      <c r="C913" s="5" t="s">
        <v>97</v>
      </c>
      <c r="D913" s="5" t="s">
        <v>107</v>
      </c>
      <c r="E913" s="4" t="s">
        <v>96</v>
      </c>
      <c r="F913" s="4" t="str" cm="1">
        <f t="array" ref="F913">_xlfn.IFS(
AG913 &lt;&gt; "", "Jan-Dez/26",
AH913 &lt;&gt; "", "Fev-Dez/26",
AI913 &lt;&gt; "", "Mar-Dez/26", AJ913 &lt;&gt; "", "Abr-Dez/26",
TRUE, "A partir de Junho"
)</f>
        <v>A partir de Junho</v>
      </c>
      <c r="G913" s="4" t="s">
        <v>62</v>
      </c>
      <c r="H913" s="7" t="s">
        <v>54</v>
      </c>
      <c r="I913" s="8" t="s">
        <v>188</v>
      </c>
      <c r="J913" s="8" t="str" cm="1">
        <f t="array" aca="1" ref="J913" ca="1">_xlfn.LET(
  _xlpm.actual_value_month, INDEX(T913:AE913, MATCH(DATE(YEAR(TODAY()), MONTH(TODAY()), 1), $T$1:$AE$1, 0)),
  IF(_xlpm.actual_value_month &lt;&gt; "", _xlpm.actual_value_month &amp; " ações mensais", "")
)</f>
        <v/>
      </c>
      <c r="K913" s="8" t="str" cm="1">
        <f t="array" ref="K913">_xlfn.LET(
    _xlpm.sum_month, SUM(T913:AE913),
    IF(_xlpm.sum_month = 0, "", _xlpm.sum_month &amp; " taxa de aderência de treinados.")
)</f>
        <v/>
      </c>
      <c r="L913" s="9" t="s">
        <v>189</v>
      </c>
      <c r="M913" s="13">
        <v>1</v>
      </c>
      <c r="N913" s="5" t="s">
        <v>42</v>
      </c>
      <c r="O913" s="5" t="s">
        <v>43</v>
      </c>
      <c r="P913" s="10" t="s">
        <v>146</v>
      </c>
      <c r="Q913" s="10" t="s">
        <v>44</v>
      </c>
      <c r="R913" s="11" t="s">
        <v>44</v>
      </c>
      <c r="S913" s="11" t="s">
        <v>44</v>
      </c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G913" s="71"/>
      <c r="AH913" s="71"/>
      <c r="AI913" s="71"/>
      <c r="AJ913" s="71"/>
      <c r="AK913" s="71"/>
      <c r="AL913" s="71"/>
      <c r="AM913" s="71"/>
      <c r="AN913" s="71"/>
      <c r="AO913" s="71"/>
      <c r="AP913" s="71"/>
      <c r="AQ913" s="71"/>
      <c r="AR913" s="71"/>
      <c r="AS913" s="94" t="str" cm="1">
        <f t="array" ref="AS913">IFERROR(INDEX(T913:AE913,1,MATCH(2,1/(T913:AE913&lt;&gt;""))),"")</f>
        <v/>
      </c>
      <c r="AT913" s="95">
        <f t="shared" si="1169"/>
        <v>0</v>
      </c>
      <c r="AU913" s="97">
        <f t="shared" si="1170"/>
        <v>0</v>
      </c>
      <c r="AW913" s="51"/>
      <c r="AX913" s="51"/>
      <c r="AY913" s="51"/>
      <c r="AZ913" s="51"/>
      <c r="BA913" s="51"/>
      <c r="BB913" s="51"/>
      <c r="BC913" s="51"/>
      <c r="BD913" s="51"/>
      <c r="BE913" s="51"/>
      <c r="BF913" s="51"/>
      <c r="BG913" s="51"/>
      <c r="BH913" s="51"/>
      <c r="BI913" s="65" t="str" cm="1">
        <f t="array" ref="BI913">IFERROR(INDEX(AW913:BH913,1,MATCH(2,1/(AW913:BH913&lt;&gt;""))),"")</f>
        <v/>
      </c>
      <c r="BJ913" s="68" t="str" cm="1">
        <f t="array" ref="BJ913">IF(BM913 = "", "",IFERROR(INDEX(AW913:BH913,1,MATCH(2,1/(AW913:BH913&lt;&gt;""),1)-1),""))</f>
        <v/>
      </c>
      <c r="BK913" s="58" t="str" cm="1">
        <f t="array" ref="BK913">IFERROR(INDEX(AW913:BH913,1,MATCH(2,1/(AW913:BH913&lt;&gt;""))),"")</f>
        <v/>
      </c>
      <c r="BL913" s="58" cm="1">
        <f t="array" aca="1" ref="BL913" ca="1">IF(SUM(IFERROR(IF(INDEX(AW913:INDEX(AW913:BH913, MATCH(2, 1/(AW913:BH913&lt;&gt;""), 1)-1), ROW(INDIRECT("1:" &amp; MATCH(2, 1/(AW913:BH913&lt;&gt;""), 1)-1))) &gt;= 115%, 115%, INDEX(AW913:INDEX(AW913:BH913, MATCH(2, 1/(AW913:BH913&lt;&gt;""), 1)-1), ROW(INDIRECT("1:" &amp; MATCH(2, 1/(AW913:BH913&lt;&gt;""), 1)-1)))), 0))/_xlfn.XLOOKUP(F913,Apuração!A:A,Apuração!B:B)&gt;=1.15,1.15,SUM(IFERROR(IF(INDEX(AW913:INDEX(AW913:BH913, MATCH(2, 1/(AW913:BH913&lt;&gt;""), 1)-1), ROW(INDIRECT("1:" &amp; MATCH(2, 1/(AW913:BH913&lt;&gt;""), 1)-1))) &gt;= 115%, 115%, INDEX(AW913:INDEX(AW913:BH913, MATCH(2, 1/(AW913:BH913&lt;&gt;""), 1)-1), ROW(INDIRECT("1:" &amp; MATCH(2, 1/(AW913:BH913&lt;&gt;""), 1)-1)))), 0))/_xlfn.XLOOKUP(F913,Apuração!A:A,Apuração!B:B))</f>
        <v>0</v>
      </c>
      <c r="BM913" s="55" t="str" cm="1">
        <f t="array" ref="BM913">IFERROR(
   INDEX($AW$1:$BH$1,
      _xlfn.AGGREGATE(14, 6, COLUMN($AW$1:$BH$1)/(AW913:BH913&lt;&gt;""), 2) - COLUMN($AW$1) + 1
   ),
"")</f>
        <v/>
      </c>
      <c r="BN913" s="55" t="str" cm="1">
        <f t="array" ref="BN913">IFERROR(INDEX($AW$1:$BH$1,1,MATCH(2,1/(AW913:BH913&lt;&gt;""))),"")</f>
        <v/>
      </c>
      <c r="BO913" s="53">
        <f ca="1">IFERROR(_xlfn.XLOOKUP(F913,Apuração!A:A,Apuração!C:C)/_xlfn.XLOOKUP(F913,Apuração!A:A,Apuração!B:B),0)</f>
        <v>0</v>
      </c>
      <c r="BP913" s="53">
        <f ca="1">IFERROR(_xlfn.XLOOKUP(F913,Apuração!A:A,Apuração!D:D)/_xlfn.XLOOKUP(F913,Apuração!A:A,Apuração!B:B),0)</f>
        <v>0</v>
      </c>
      <c r="BQ913" s="53">
        <f ca="1">IF(BK913&gt;=BO913,0,_xlfn.XLOOKUP(F913,Apuração!A:A,Apuração!B:B)*(BO913 + (1/_xlfn.XLOOKUP(F913,Apuração!A:A,Apuração!B:B)) - BK913))</f>
        <v>0</v>
      </c>
      <c r="BR913" s="85">
        <f t="shared" ca="1" si="1171"/>
        <v>0</v>
      </c>
      <c r="BS913" s="53">
        <f ca="1">IFERROR((_xlfn.XLOOKUP(F913,Apuração!A:A,Apuração!C:C)+1)/_xlfn.XLOOKUP(F913,Apuração!A:A,Apuração!B:B),0)</f>
        <v>0.14285714285714285</v>
      </c>
    </row>
    <row r="914" spans="1:71" ht="25.95" hidden="1" customHeight="1" x14ac:dyDescent="0.3">
      <c r="A914" s="44" t="s">
        <v>175</v>
      </c>
      <c r="B914" s="4" t="s">
        <v>187</v>
      </c>
      <c r="C914" s="5" t="s">
        <v>97</v>
      </c>
      <c r="D914" s="5" t="s">
        <v>36</v>
      </c>
      <c r="E914" s="4" t="s">
        <v>96</v>
      </c>
      <c r="F914" s="4" t="str" cm="1">
        <f t="array" ref="F914">_xlfn.IFS(
AG914 &lt;&gt; "", "Jan-Dez/26",
AH914 &lt;&gt; "", "Fev-Dez/26",
AI914 &lt;&gt; "", "Mar-Dez/26", AJ914 &lt;&gt; "", "Abr-Dez/26",
TRUE, "A partir de Junho"
)</f>
        <v>A partir de Junho</v>
      </c>
      <c r="G914" s="4" t="s">
        <v>62</v>
      </c>
      <c r="H914" s="7" t="s">
        <v>54</v>
      </c>
      <c r="I914" s="21" t="s">
        <v>190</v>
      </c>
      <c r="J914" s="8" t="str" cm="1">
        <f t="array" aca="1" ref="J914" ca="1">_xlfn.LET(
  _xlpm.actual_value_month, INDEX(T914:AE914, MATCH(DATE(YEAR(TODAY()), MONTH(TODAY()), 1), $T$1:$AE$1, 0)),
  IF(_xlpm.actual_value_month &lt;&gt; "", _xlpm.actual_value_month &amp; " ações mensais", "")
)</f>
        <v/>
      </c>
      <c r="K914" s="8" t="str" cm="1">
        <f t="array" ref="K914">_xlfn.LET(
    _xlpm.sum_month, SUM(T914:AE914),
    IF(_xlpm.sum_month = 0, "", _xlpm.sum_month &amp; " treinados não mapeados.")
)</f>
        <v/>
      </c>
      <c r="L914" s="9" t="s">
        <v>191</v>
      </c>
      <c r="M914" s="13">
        <v>1</v>
      </c>
      <c r="N914" s="5" t="s">
        <v>51</v>
      </c>
      <c r="O914" s="5" t="s">
        <v>52</v>
      </c>
      <c r="P914" s="10" t="s">
        <v>146</v>
      </c>
      <c r="Q914" s="10" t="s">
        <v>44</v>
      </c>
      <c r="R914" s="11" t="s">
        <v>44</v>
      </c>
      <c r="S914" s="11" t="s">
        <v>44</v>
      </c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G914" s="71"/>
      <c r="AH914" s="71"/>
      <c r="AI914" s="71"/>
      <c r="AJ914" s="71"/>
      <c r="AK914" s="71"/>
      <c r="AL914" s="71"/>
      <c r="AM914" s="71"/>
      <c r="AN914" s="71"/>
      <c r="AO914" s="71"/>
      <c r="AP914" s="71"/>
      <c r="AQ914" s="71"/>
      <c r="AR914" s="71"/>
      <c r="AS914" s="94" t="str" cm="1">
        <f t="array" ref="AS914">IFERROR(INDEX(T914:AE914,1,MATCH(2,1/(T914:AE914&lt;&gt;""))),"")</f>
        <v/>
      </c>
      <c r="AT914" s="95">
        <f>AN914</f>
        <v>0</v>
      </c>
      <c r="AU914" s="97">
        <f t="shared" si="1121"/>
        <v>0</v>
      </c>
      <c r="AW914" s="52">
        <f>AG914</f>
        <v>0</v>
      </c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68" cm="1">
        <f t="array" ref="BI914">IFERROR(INDEX(AW914:BH914,1,MATCH(2,1/(AW914:BH914&lt;&gt;""))),"")</f>
        <v>0</v>
      </c>
      <c r="BJ914" s="68" t="str" cm="1">
        <f t="array" ref="BJ914">IF(BM914 = "", "",IFERROR(INDEX(AW914:BH914,1,MATCH(2,1/(AW914:BH914&lt;&gt;""),1)-1),""))</f>
        <v/>
      </c>
      <c r="BK914" s="59">
        <f>SUM(AW914:BH914)</f>
        <v>0</v>
      </c>
      <c r="BL914" s="59">
        <f>SUM(AW914:BE914)</f>
        <v>0</v>
      </c>
      <c r="BM914" s="55" t="str" cm="1">
        <f t="array" ref="BM914">IFERROR(
   INDEX($AW$1:$BH$1,
      _xlfn.AGGREGATE(14, 6, COLUMN($AW$1:$BH$1)/(AW914:BH914&lt;&gt;""), 2) - COLUMN($AW$1) + 1
   ),
"")</f>
        <v/>
      </c>
      <c r="BN914" s="55" cm="1">
        <f t="array" ref="BN914">IFERROR(INDEX($AW$1:$BH$1,1,MATCH(2,1/(AW914:BH914&lt;&gt;""))),"")</f>
        <v>46023</v>
      </c>
      <c r="BO914" s="53">
        <f ca="1">IFERROR(_xlfn.XLOOKUP(F914,Apuração!A:A,Apuração!C:C)/_xlfn.XLOOKUP(F914,Apuração!A:A,Apuração!B:B),0)</f>
        <v>0</v>
      </c>
      <c r="BP914" s="53">
        <f ca="1">IFERROR(_xlfn.XLOOKUP(F914,Apuração!A:A,Apuração!D:D)/_xlfn.XLOOKUP(F914,Apuração!A:A,Apuração!B:B),0)</f>
        <v>0</v>
      </c>
      <c r="BQ914" s="53">
        <f ca="1">IF(BK914&gt;=BO914,0,_xlfn.XLOOKUP(F914,Apuração!A:A,Apuração!B:B)*(BO914 + (1/_xlfn.XLOOKUP(F914,Apuração!A:A,Apuração!B:B)) - BK914))</f>
        <v>0</v>
      </c>
      <c r="BR914" s="85">
        <f t="shared" ref="BR914:BR980" ca="1" si="1172">IF(BQ914=0,0,BQ914*Z914)</f>
        <v>0</v>
      </c>
      <c r="BS914" s="53">
        <f ca="1">IFERROR((_xlfn.XLOOKUP(F914,Apuração!A:A,Apuração!C:C)+1)/_xlfn.XLOOKUP(F914,Apuração!A:A,Apuração!B:B),0)</f>
        <v>0.14285714285714285</v>
      </c>
    </row>
    <row r="915" spans="1:71" ht="25.95" hidden="1" customHeight="1" x14ac:dyDescent="0.3">
      <c r="A915" s="44" t="s">
        <v>175</v>
      </c>
      <c r="B915" s="4" t="s">
        <v>187</v>
      </c>
      <c r="C915" s="5" t="s">
        <v>97</v>
      </c>
      <c r="D915" s="5" t="s">
        <v>98</v>
      </c>
      <c r="E915" s="4" t="s">
        <v>96</v>
      </c>
      <c r="F915" s="4" t="str" cm="1">
        <f t="array" ref="F915">_xlfn.IFS(
AG915 &lt;&gt; "", "Jan-Dez/26",
AH915 &lt;&gt; "", "Fev-Dez/26",
AI915 &lt;&gt; "", "Mar-Dez/26", AJ915 &lt;&gt; "", "Abr-Dez/26",
TRUE, "A partir de Junho"
)</f>
        <v>A partir de Junho</v>
      </c>
      <c r="G915" s="4" t="s">
        <v>62</v>
      </c>
      <c r="H915" s="7" t="s">
        <v>54</v>
      </c>
      <c r="I915" s="21" t="s">
        <v>190</v>
      </c>
      <c r="J915" s="8" t="str" cm="1">
        <f t="array" aca="1" ref="J915" ca="1">_xlfn.LET(
  _xlpm.actual_value_month, INDEX(T915:AE915, MATCH(DATE(YEAR(TODAY()), MONTH(TODAY()), 1), $T$1:$AE$1, 0)),
  IF(_xlpm.actual_value_month &lt;&gt; "", _xlpm.actual_value_month &amp; " ações mensais", "")
)</f>
        <v/>
      </c>
      <c r="K915" s="8" t="str" cm="1">
        <f t="array" ref="K915">_xlfn.LET(
    _xlpm.sum_month, SUM(T915:AE915),
    IF(_xlpm.sum_month = 0, "", _xlpm.sum_month &amp; " treinados não mapeados.")
)</f>
        <v/>
      </c>
      <c r="L915" s="9" t="s">
        <v>191</v>
      </c>
      <c r="M915" s="13">
        <v>1</v>
      </c>
      <c r="N915" s="5" t="s">
        <v>51</v>
      </c>
      <c r="O915" s="5" t="s">
        <v>52</v>
      </c>
      <c r="P915" s="10" t="s">
        <v>146</v>
      </c>
      <c r="Q915" s="10" t="s">
        <v>44</v>
      </c>
      <c r="R915" s="11" t="s">
        <v>44</v>
      </c>
      <c r="S915" s="11" t="s">
        <v>44</v>
      </c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G915" s="71"/>
      <c r="AH915" s="71"/>
      <c r="AI915" s="71"/>
      <c r="AJ915" s="71"/>
      <c r="AK915" s="71"/>
      <c r="AL915" s="71"/>
      <c r="AM915" s="71"/>
      <c r="AN915" s="71"/>
      <c r="AO915" s="71"/>
      <c r="AP915" s="71"/>
      <c r="AQ915" s="71"/>
      <c r="AR915" s="71"/>
      <c r="AS915" s="94" t="str" cm="1">
        <f t="array" ref="AS915">IFERROR(INDEX(T915:AE915,1,MATCH(2,1/(T915:AE915&lt;&gt;""))),"")</f>
        <v/>
      </c>
      <c r="AT915" s="95">
        <f t="shared" ref="AT915:AT924" si="1173">AN915</f>
        <v>0</v>
      </c>
      <c r="AU915" s="97">
        <f t="shared" ref="AU915:AU924" si="1174">AT915</f>
        <v>0</v>
      </c>
      <c r="AW915" s="52">
        <f t="shared" ref="AW915:AW924" si="1175">AG915</f>
        <v>0</v>
      </c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68" cm="1">
        <f t="array" ref="BI915">IFERROR(INDEX(AW915:BH915,1,MATCH(2,1/(AW915:BH915&lt;&gt;""))),"")</f>
        <v>0</v>
      </c>
      <c r="BJ915" s="68" t="str" cm="1">
        <f t="array" ref="BJ915">IF(BM915 = "", "",IFERROR(INDEX(AW915:BH915,1,MATCH(2,1/(AW915:BH915&lt;&gt;""),1)-1),""))</f>
        <v/>
      </c>
      <c r="BK915" s="59">
        <f t="shared" ref="BK915:BK924" si="1176">SUM(AW915:BH915)</f>
        <v>0</v>
      </c>
      <c r="BL915" s="59">
        <f t="shared" ref="BL915:BL924" si="1177">SUM(AW915:BE915)</f>
        <v>0</v>
      </c>
      <c r="BM915" s="55" t="str" cm="1">
        <f t="array" ref="BM915">IFERROR(
   INDEX($AW$1:$BH$1,
      _xlfn.AGGREGATE(14, 6, COLUMN($AW$1:$BH$1)/(AW915:BH915&lt;&gt;""), 2) - COLUMN($AW$1) + 1
   ),
"")</f>
        <v/>
      </c>
      <c r="BN915" s="55" cm="1">
        <f t="array" ref="BN915">IFERROR(INDEX($AW$1:$BH$1,1,MATCH(2,1/(AW915:BH915&lt;&gt;""))),"")</f>
        <v>46023</v>
      </c>
      <c r="BO915" s="53">
        <f ca="1">IFERROR(_xlfn.XLOOKUP(F915,Apuração!A:A,Apuração!C:C)/_xlfn.XLOOKUP(F915,Apuração!A:A,Apuração!B:B),0)</f>
        <v>0</v>
      </c>
      <c r="BP915" s="53">
        <f ca="1">IFERROR(_xlfn.XLOOKUP(F915,Apuração!A:A,Apuração!D:D)/_xlfn.XLOOKUP(F915,Apuração!A:A,Apuração!B:B),0)</f>
        <v>0</v>
      </c>
      <c r="BQ915" s="53">
        <f ca="1">IF(BK915&gt;=BO915,0,_xlfn.XLOOKUP(F915,Apuração!A:A,Apuração!B:B)*(BO915 + (1/_xlfn.XLOOKUP(F915,Apuração!A:A,Apuração!B:B)) - BK915))</f>
        <v>0</v>
      </c>
      <c r="BR915" s="85">
        <f t="shared" ref="BR915:BR924" ca="1" si="1178">IF(BQ915=0,0,BQ915*Z915)</f>
        <v>0</v>
      </c>
      <c r="BS915" s="53">
        <f ca="1">IFERROR((_xlfn.XLOOKUP(F915,Apuração!A:A,Apuração!C:C)+1)/_xlfn.XLOOKUP(F915,Apuração!A:A,Apuração!B:B),0)</f>
        <v>0.14285714285714285</v>
      </c>
    </row>
    <row r="916" spans="1:71" ht="25.95" hidden="1" customHeight="1" x14ac:dyDescent="0.3">
      <c r="A916" s="44" t="s">
        <v>175</v>
      </c>
      <c r="B916" s="4" t="s">
        <v>187</v>
      </c>
      <c r="C916" s="5" t="s">
        <v>97</v>
      </c>
      <c r="D916" s="5" t="s">
        <v>99</v>
      </c>
      <c r="E916" s="4" t="s">
        <v>96</v>
      </c>
      <c r="F916" s="4" t="str" cm="1">
        <f t="array" ref="F916">_xlfn.IFS(
AG916 &lt;&gt; "", "Jan-Dez/26",
AH916 &lt;&gt; "", "Fev-Dez/26",
AI916 &lt;&gt; "", "Mar-Dez/26", AJ916 &lt;&gt; "", "Abr-Dez/26",
TRUE, "A partir de Junho"
)</f>
        <v>A partir de Junho</v>
      </c>
      <c r="G916" s="4" t="s">
        <v>62</v>
      </c>
      <c r="H916" s="7" t="s">
        <v>54</v>
      </c>
      <c r="I916" s="21" t="s">
        <v>190</v>
      </c>
      <c r="J916" s="8" t="str" cm="1">
        <f t="array" aca="1" ref="J916" ca="1">_xlfn.LET(
  _xlpm.actual_value_month, INDEX(T916:AE916, MATCH(DATE(YEAR(TODAY()), MONTH(TODAY()), 1), $T$1:$AE$1, 0)),
  IF(_xlpm.actual_value_month &lt;&gt; "", _xlpm.actual_value_month &amp; " ações mensais", "")
)</f>
        <v/>
      </c>
      <c r="K916" s="8" t="str" cm="1">
        <f t="array" ref="K916">_xlfn.LET(
    _xlpm.sum_month, SUM(T916:AE916),
    IF(_xlpm.sum_month = 0, "", _xlpm.sum_month &amp; " treinados não mapeados.")
)</f>
        <v/>
      </c>
      <c r="L916" s="9" t="s">
        <v>191</v>
      </c>
      <c r="M916" s="13">
        <v>1</v>
      </c>
      <c r="N916" s="5" t="s">
        <v>51</v>
      </c>
      <c r="O916" s="5" t="s">
        <v>52</v>
      </c>
      <c r="P916" s="10" t="s">
        <v>146</v>
      </c>
      <c r="Q916" s="10" t="s">
        <v>44</v>
      </c>
      <c r="R916" s="11" t="s">
        <v>44</v>
      </c>
      <c r="S916" s="11" t="s">
        <v>44</v>
      </c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G916" s="71"/>
      <c r="AH916" s="71"/>
      <c r="AI916" s="71"/>
      <c r="AJ916" s="71"/>
      <c r="AK916" s="71"/>
      <c r="AL916" s="71"/>
      <c r="AM916" s="71"/>
      <c r="AN916" s="71"/>
      <c r="AO916" s="71"/>
      <c r="AP916" s="71"/>
      <c r="AQ916" s="71"/>
      <c r="AR916" s="71"/>
      <c r="AS916" s="94" t="str" cm="1">
        <f t="array" ref="AS916">IFERROR(INDEX(T916:AE916,1,MATCH(2,1/(T916:AE916&lt;&gt;""))),"")</f>
        <v/>
      </c>
      <c r="AT916" s="95">
        <f t="shared" si="1173"/>
        <v>0</v>
      </c>
      <c r="AU916" s="97">
        <f t="shared" si="1174"/>
        <v>0</v>
      </c>
      <c r="AW916" s="52">
        <f t="shared" si="1175"/>
        <v>0</v>
      </c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68" cm="1">
        <f t="array" ref="BI916">IFERROR(INDEX(AW916:BH916,1,MATCH(2,1/(AW916:BH916&lt;&gt;""))),"")</f>
        <v>0</v>
      </c>
      <c r="BJ916" s="68" t="str" cm="1">
        <f t="array" ref="BJ916">IF(BM916 = "", "",IFERROR(INDEX(AW916:BH916,1,MATCH(2,1/(AW916:BH916&lt;&gt;""),1)-1),""))</f>
        <v/>
      </c>
      <c r="BK916" s="59">
        <f t="shared" si="1176"/>
        <v>0</v>
      </c>
      <c r="BL916" s="59">
        <f t="shared" si="1177"/>
        <v>0</v>
      </c>
      <c r="BM916" s="55" t="str" cm="1">
        <f t="array" ref="BM916">IFERROR(
   INDEX($AW$1:$BH$1,
      _xlfn.AGGREGATE(14, 6, COLUMN($AW$1:$BH$1)/(AW916:BH916&lt;&gt;""), 2) - COLUMN($AW$1) + 1
   ),
"")</f>
        <v/>
      </c>
      <c r="BN916" s="55" cm="1">
        <f t="array" ref="BN916">IFERROR(INDEX($AW$1:$BH$1,1,MATCH(2,1/(AW916:BH916&lt;&gt;""))),"")</f>
        <v>46023</v>
      </c>
      <c r="BO916" s="53">
        <f ca="1">IFERROR(_xlfn.XLOOKUP(F916,Apuração!A:A,Apuração!C:C)/_xlfn.XLOOKUP(F916,Apuração!A:A,Apuração!B:B),0)</f>
        <v>0</v>
      </c>
      <c r="BP916" s="53">
        <f ca="1">IFERROR(_xlfn.XLOOKUP(F916,Apuração!A:A,Apuração!D:D)/_xlfn.XLOOKUP(F916,Apuração!A:A,Apuração!B:B),0)</f>
        <v>0</v>
      </c>
      <c r="BQ916" s="53">
        <f ca="1">IF(BK916&gt;=BO916,0,_xlfn.XLOOKUP(F916,Apuração!A:A,Apuração!B:B)*(BO916 + (1/_xlfn.XLOOKUP(F916,Apuração!A:A,Apuração!B:B)) - BK916))</f>
        <v>0</v>
      </c>
      <c r="BR916" s="85">
        <f t="shared" ca="1" si="1178"/>
        <v>0</v>
      </c>
      <c r="BS916" s="53">
        <f ca="1">IFERROR((_xlfn.XLOOKUP(F916,Apuração!A:A,Apuração!C:C)+1)/_xlfn.XLOOKUP(F916,Apuração!A:A,Apuração!B:B),0)</f>
        <v>0.14285714285714285</v>
      </c>
    </row>
    <row r="917" spans="1:71" ht="25.95" hidden="1" customHeight="1" x14ac:dyDescent="0.3">
      <c r="A917" s="44" t="s">
        <v>175</v>
      </c>
      <c r="B917" s="4" t="s">
        <v>187</v>
      </c>
      <c r="C917" s="5" t="s">
        <v>97</v>
      </c>
      <c r="D917" s="5" t="s">
        <v>100</v>
      </c>
      <c r="E917" s="4" t="s">
        <v>96</v>
      </c>
      <c r="F917" s="4" t="str" cm="1">
        <f t="array" ref="F917">_xlfn.IFS(
AG917 &lt;&gt; "", "Jan-Dez/26",
AH917 &lt;&gt; "", "Fev-Dez/26",
AI917 &lt;&gt; "", "Mar-Dez/26", AJ917 &lt;&gt; "", "Abr-Dez/26",
TRUE, "A partir de Junho"
)</f>
        <v>A partir de Junho</v>
      </c>
      <c r="G917" s="4" t="s">
        <v>62</v>
      </c>
      <c r="H917" s="7" t="s">
        <v>54</v>
      </c>
      <c r="I917" s="21" t="s">
        <v>190</v>
      </c>
      <c r="J917" s="8" t="str" cm="1">
        <f t="array" aca="1" ref="J917" ca="1">_xlfn.LET(
  _xlpm.actual_value_month, INDEX(T917:AE917, MATCH(DATE(YEAR(TODAY()), MONTH(TODAY()), 1), $T$1:$AE$1, 0)),
  IF(_xlpm.actual_value_month &lt;&gt; "", _xlpm.actual_value_month &amp; " ações mensais", "")
)</f>
        <v/>
      </c>
      <c r="K917" s="8" t="str" cm="1">
        <f t="array" ref="K917">_xlfn.LET(
    _xlpm.sum_month, SUM(T917:AE917),
    IF(_xlpm.sum_month = 0, "", _xlpm.sum_month &amp; " treinados não mapeados.")
)</f>
        <v/>
      </c>
      <c r="L917" s="9" t="s">
        <v>191</v>
      </c>
      <c r="M917" s="13">
        <v>1</v>
      </c>
      <c r="N917" s="5" t="s">
        <v>51</v>
      </c>
      <c r="O917" s="5" t="s">
        <v>52</v>
      </c>
      <c r="P917" s="10" t="s">
        <v>146</v>
      </c>
      <c r="Q917" s="10" t="s">
        <v>44</v>
      </c>
      <c r="R917" s="11" t="s">
        <v>44</v>
      </c>
      <c r="S917" s="11" t="s">
        <v>44</v>
      </c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G917" s="71"/>
      <c r="AH917" s="71"/>
      <c r="AI917" s="71"/>
      <c r="AJ917" s="71"/>
      <c r="AK917" s="71"/>
      <c r="AL917" s="71"/>
      <c r="AM917" s="71"/>
      <c r="AN917" s="71"/>
      <c r="AO917" s="71"/>
      <c r="AP917" s="71"/>
      <c r="AQ917" s="71"/>
      <c r="AR917" s="71"/>
      <c r="AS917" s="94" t="str" cm="1">
        <f t="array" ref="AS917">IFERROR(INDEX(T917:AE917,1,MATCH(2,1/(T917:AE917&lt;&gt;""))),"")</f>
        <v/>
      </c>
      <c r="AT917" s="95">
        <f t="shared" si="1173"/>
        <v>0</v>
      </c>
      <c r="AU917" s="97">
        <f t="shared" si="1174"/>
        <v>0</v>
      </c>
      <c r="AW917" s="52">
        <f t="shared" si="1175"/>
        <v>0</v>
      </c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68" cm="1">
        <f t="array" ref="BI917">IFERROR(INDEX(AW917:BH917,1,MATCH(2,1/(AW917:BH917&lt;&gt;""))),"")</f>
        <v>0</v>
      </c>
      <c r="BJ917" s="68" t="str" cm="1">
        <f t="array" ref="BJ917">IF(BM917 = "", "",IFERROR(INDEX(AW917:BH917,1,MATCH(2,1/(AW917:BH917&lt;&gt;""),1)-1),""))</f>
        <v/>
      </c>
      <c r="BK917" s="59">
        <f t="shared" si="1176"/>
        <v>0</v>
      </c>
      <c r="BL917" s="59">
        <f t="shared" si="1177"/>
        <v>0</v>
      </c>
      <c r="BM917" s="55" t="str" cm="1">
        <f t="array" ref="BM917">IFERROR(
   INDEX($AW$1:$BH$1,
      _xlfn.AGGREGATE(14, 6, COLUMN($AW$1:$BH$1)/(AW917:BH917&lt;&gt;""), 2) - COLUMN($AW$1) + 1
   ),
"")</f>
        <v/>
      </c>
      <c r="BN917" s="55" cm="1">
        <f t="array" ref="BN917">IFERROR(INDEX($AW$1:$BH$1,1,MATCH(2,1/(AW917:BH917&lt;&gt;""))),"")</f>
        <v>46023</v>
      </c>
      <c r="BO917" s="53">
        <f ca="1">IFERROR(_xlfn.XLOOKUP(F917,Apuração!A:A,Apuração!C:C)/_xlfn.XLOOKUP(F917,Apuração!A:A,Apuração!B:B),0)</f>
        <v>0</v>
      </c>
      <c r="BP917" s="53">
        <f ca="1">IFERROR(_xlfn.XLOOKUP(F917,Apuração!A:A,Apuração!D:D)/_xlfn.XLOOKUP(F917,Apuração!A:A,Apuração!B:B),0)</f>
        <v>0</v>
      </c>
      <c r="BQ917" s="53">
        <f ca="1">IF(BK917&gt;=BO917,0,_xlfn.XLOOKUP(F917,Apuração!A:A,Apuração!B:B)*(BO917 + (1/_xlfn.XLOOKUP(F917,Apuração!A:A,Apuração!B:B)) - BK917))</f>
        <v>0</v>
      </c>
      <c r="BR917" s="85">
        <f t="shared" ca="1" si="1178"/>
        <v>0</v>
      </c>
      <c r="BS917" s="53">
        <f ca="1">IFERROR((_xlfn.XLOOKUP(F917,Apuração!A:A,Apuração!C:C)+1)/_xlfn.XLOOKUP(F917,Apuração!A:A,Apuração!B:B),0)</f>
        <v>0.14285714285714285</v>
      </c>
    </row>
    <row r="918" spans="1:71" ht="25.95" hidden="1" customHeight="1" x14ac:dyDescent="0.3">
      <c r="A918" s="44" t="s">
        <v>175</v>
      </c>
      <c r="B918" s="4" t="s">
        <v>187</v>
      </c>
      <c r="C918" s="5" t="s">
        <v>97</v>
      </c>
      <c r="D918" s="5" t="s">
        <v>101</v>
      </c>
      <c r="E918" s="4" t="s">
        <v>96</v>
      </c>
      <c r="F918" s="4" t="str" cm="1">
        <f t="array" ref="F918">_xlfn.IFS(
AG918 &lt;&gt; "", "Jan-Dez/26",
AH918 &lt;&gt; "", "Fev-Dez/26",
AI918 &lt;&gt; "", "Mar-Dez/26", AJ918 &lt;&gt; "", "Abr-Dez/26",
TRUE, "A partir de Junho"
)</f>
        <v>A partir de Junho</v>
      </c>
      <c r="G918" s="4" t="s">
        <v>62</v>
      </c>
      <c r="H918" s="7" t="s">
        <v>54</v>
      </c>
      <c r="I918" s="21" t="s">
        <v>190</v>
      </c>
      <c r="J918" s="8" t="str" cm="1">
        <f t="array" aca="1" ref="J918" ca="1">_xlfn.LET(
  _xlpm.actual_value_month, INDEX(T918:AE918, MATCH(DATE(YEAR(TODAY()), MONTH(TODAY()), 1), $T$1:$AE$1, 0)),
  IF(_xlpm.actual_value_month &lt;&gt; "", _xlpm.actual_value_month &amp; " ações mensais", "")
)</f>
        <v/>
      </c>
      <c r="K918" s="8" t="str" cm="1">
        <f t="array" ref="K918">_xlfn.LET(
    _xlpm.sum_month, SUM(T918:AE918),
    IF(_xlpm.sum_month = 0, "", _xlpm.sum_month &amp; " treinados não mapeados.")
)</f>
        <v/>
      </c>
      <c r="L918" s="9" t="s">
        <v>191</v>
      </c>
      <c r="M918" s="13">
        <v>1</v>
      </c>
      <c r="N918" s="5" t="s">
        <v>51</v>
      </c>
      <c r="O918" s="5" t="s">
        <v>52</v>
      </c>
      <c r="P918" s="10" t="s">
        <v>146</v>
      </c>
      <c r="Q918" s="10" t="s">
        <v>44</v>
      </c>
      <c r="R918" s="11" t="s">
        <v>44</v>
      </c>
      <c r="S918" s="11" t="s">
        <v>44</v>
      </c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G918" s="71"/>
      <c r="AH918" s="71"/>
      <c r="AI918" s="71"/>
      <c r="AJ918" s="71"/>
      <c r="AK918" s="71"/>
      <c r="AL918" s="71"/>
      <c r="AM918" s="71"/>
      <c r="AN918" s="71"/>
      <c r="AO918" s="71"/>
      <c r="AP918" s="71"/>
      <c r="AQ918" s="71"/>
      <c r="AR918" s="71"/>
      <c r="AS918" s="94" t="str" cm="1">
        <f t="array" ref="AS918">IFERROR(INDEX(T918:AE918,1,MATCH(2,1/(T918:AE918&lt;&gt;""))),"")</f>
        <v/>
      </c>
      <c r="AT918" s="95">
        <f t="shared" si="1173"/>
        <v>0</v>
      </c>
      <c r="AU918" s="97">
        <f t="shared" si="1174"/>
        <v>0</v>
      </c>
      <c r="AW918" s="52">
        <f t="shared" si="1175"/>
        <v>0</v>
      </c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68" cm="1">
        <f t="array" ref="BI918">IFERROR(INDEX(AW918:BH918,1,MATCH(2,1/(AW918:BH918&lt;&gt;""))),"")</f>
        <v>0</v>
      </c>
      <c r="BJ918" s="68" t="str" cm="1">
        <f t="array" ref="BJ918">IF(BM918 = "", "",IFERROR(INDEX(AW918:BH918,1,MATCH(2,1/(AW918:BH918&lt;&gt;""),1)-1),""))</f>
        <v/>
      </c>
      <c r="BK918" s="59">
        <f t="shared" si="1176"/>
        <v>0</v>
      </c>
      <c r="BL918" s="59">
        <f t="shared" si="1177"/>
        <v>0</v>
      </c>
      <c r="BM918" s="55" t="str" cm="1">
        <f t="array" ref="BM918">IFERROR(
   INDEX($AW$1:$BH$1,
      _xlfn.AGGREGATE(14, 6, COLUMN($AW$1:$BH$1)/(AW918:BH918&lt;&gt;""), 2) - COLUMN($AW$1) + 1
   ),
"")</f>
        <v/>
      </c>
      <c r="BN918" s="55" cm="1">
        <f t="array" ref="BN918">IFERROR(INDEX($AW$1:$BH$1,1,MATCH(2,1/(AW918:BH918&lt;&gt;""))),"")</f>
        <v>46023</v>
      </c>
      <c r="BO918" s="53">
        <f ca="1">IFERROR(_xlfn.XLOOKUP(F918,Apuração!A:A,Apuração!C:C)/_xlfn.XLOOKUP(F918,Apuração!A:A,Apuração!B:B),0)</f>
        <v>0</v>
      </c>
      <c r="BP918" s="53">
        <f ca="1">IFERROR(_xlfn.XLOOKUP(F918,Apuração!A:A,Apuração!D:D)/_xlfn.XLOOKUP(F918,Apuração!A:A,Apuração!B:B),0)</f>
        <v>0</v>
      </c>
      <c r="BQ918" s="53">
        <f ca="1">IF(BK918&gt;=BO918,0,_xlfn.XLOOKUP(F918,Apuração!A:A,Apuração!B:B)*(BO918 + (1/_xlfn.XLOOKUP(F918,Apuração!A:A,Apuração!B:B)) - BK918))</f>
        <v>0</v>
      </c>
      <c r="BR918" s="85">
        <f t="shared" ca="1" si="1178"/>
        <v>0</v>
      </c>
      <c r="BS918" s="53">
        <f ca="1">IFERROR((_xlfn.XLOOKUP(F918,Apuração!A:A,Apuração!C:C)+1)/_xlfn.XLOOKUP(F918,Apuração!A:A,Apuração!B:B),0)</f>
        <v>0.14285714285714285</v>
      </c>
    </row>
    <row r="919" spans="1:71" ht="25.95" hidden="1" customHeight="1" x14ac:dyDescent="0.3">
      <c r="A919" s="44" t="s">
        <v>175</v>
      </c>
      <c r="B919" s="4" t="s">
        <v>187</v>
      </c>
      <c r="C919" s="5" t="s">
        <v>97</v>
      </c>
      <c r="D919" s="5" t="s">
        <v>102</v>
      </c>
      <c r="E919" s="4" t="s">
        <v>96</v>
      </c>
      <c r="F919" s="4" t="str" cm="1">
        <f t="array" ref="F919">_xlfn.IFS(
AG919 &lt;&gt; "", "Jan-Dez/26",
AH919 &lt;&gt; "", "Fev-Dez/26",
AI919 &lt;&gt; "", "Mar-Dez/26", AJ919 &lt;&gt; "", "Abr-Dez/26",
TRUE, "A partir de Junho"
)</f>
        <v>A partir de Junho</v>
      </c>
      <c r="G919" s="4" t="s">
        <v>62</v>
      </c>
      <c r="H919" s="7" t="s">
        <v>54</v>
      </c>
      <c r="I919" s="21" t="s">
        <v>190</v>
      </c>
      <c r="J919" s="8" t="str" cm="1">
        <f t="array" aca="1" ref="J919" ca="1">_xlfn.LET(
  _xlpm.actual_value_month, INDEX(T919:AE919, MATCH(DATE(YEAR(TODAY()), MONTH(TODAY()), 1), $T$1:$AE$1, 0)),
  IF(_xlpm.actual_value_month &lt;&gt; "", _xlpm.actual_value_month &amp; " ações mensais", "")
)</f>
        <v/>
      </c>
      <c r="K919" s="8" t="str" cm="1">
        <f t="array" ref="K919">_xlfn.LET(
    _xlpm.sum_month, SUM(T919:AE919),
    IF(_xlpm.sum_month = 0, "", _xlpm.sum_month &amp; " treinados não mapeados.")
)</f>
        <v/>
      </c>
      <c r="L919" s="9" t="s">
        <v>191</v>
      </c>
      <c r="M919" s="13">
        <v>1</v>
      </c>
      <c r="N919" s="5" t="s">
        <v>51</v>
      </c>
      <c r="O919" s="5" t="s">
        <v>52</v>
      </c>
      <c r="P919" s="10" t="s">
        <v>146</v>
      </c>
      <c r="Q919" s="10" t="s">
        <v>44</v>
      </c>
      <c r="R919" s="11" t="s">
        <v>44</v>
      </c>
      <c r="S919" s="11" t="s">
        <v>44</v>
      </c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G919" s="71"/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  <c r="AR919" s="71"/>
      <c r="AS919" s="94" t="str" cm="1">
        <f t="array" ref="AS919">IFERROR(INDEX(T919:AE919,1,MATCH(2,1/(T919:AE919&lt;&gt;""))),"")</f>
        <v/>
      </c>
      <c r="AT919" s="95">
        <f t="shared" si="1173"/>
        <v>0</v>
      </c>
      <c r="AU919" s="97">
        <f t="shared" si="1174"/>
        <v>0</v>
      </c>
      <c r="AW919" s="52">
        <f t="shared" si="1175"/>
        <v>0</v>
      </c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68" cm="1">
        <f t="array" ref="BI919">IFERROR(INDEX(AW919:BH919,1,MATCH(2,1/(AW919:BH919&lt;&gt;""))),"")</f>
        <v>0</v>
      </c>
      <c r="BJ919" s="68" t="str" cm="1">
        <f t="array" ref="BJ919">IF(BM919 = "", "",IFERROR(INDEX(AW919:BH919,1,MATCH(2,1/(AW919:BH919&lt;&gt;""),1)-1),""))</f>
        <v/>
      </c>
      <c r="BK919" s="59">
        <f t="shared" si="1176"/>
        <v>0</v>
      </c>
      <c r="BL919" s="59">
        <f t="shared" si="1177"/>
        <v>0</v>
      </c>
      <c r="BM919" s="55" t="str" cm="1">
        <f t="array" ref="BM919">IFERROR(
   INDEX($AW$1:$BH$1,
      _xlfn.AGGREGATE(14, 6, COLUMN($AW$1:$BH$1)/(AW919:BH919&lt;&gt;""), 2) - COLUMN($AW$1) + 1
   ),
"")</f>
        <v/>
      </c>
      <c r="BN919" s="55" cm="1">
        <f t="array" ref="BN919">IFERROR(INDEX($AW$1:$BH$1,1,MATCH(2,1/(AW919:BH919&lt;&gt;""))),"")</f>
        <v>46023</v>
      </c>
      <c r="BO919" s="53">
        <f ca="1">IFERROR(_xlfn.XLOOKUP(F919,Apuração!A:A,Apuração!C:C)/_xlfn.XLOOKUP(F919,Apuração!A:A,Apuração!B:B),0)</f>
        <v>0</v>
      </c>
      <c r="BP919" s="53">
        <f ca="1">IFERROR(_xlfn.XLOOKUP(F919,Apuração!A:A,Apuração!D:D)/_xlfn.XLOOKUP(F919,Apuração!A:A,Apuração!B:B),0)</f>
        <v>0</v>
      </c>
      <c r="BQ919" s="53">
        <f ca="1">IF(BK919&gt;=BO919,0,_xlfn.XLOOKUP(F919,Apuração!A:A,Apuração!B:B)*(BO919 + (1/_xlfn.XLOOKUP(F919,Apuração!A:A,Apuração!B:B)) - BK919))</f>
        <v>0</v>
      </c>
      <c r="BR919" s="85">
        <f t="shared" ca="1" si="1178"/>
        <v>0</v>
      </c>
      <c r="BS919" s="53">
        <f ca="1">IFERROR((_xlfn.XLOOKUP(F919,Apuração!A:A,Apuração!C:C)+1)/_xlfn.XLOOKUP(F919,Apuração!A:A,Apuração!B:B),0)</f>
        <v>0.14285714285714285</v>
      </c>
    </row>
    <row r="920" spans="1:71" ht="25.95" hidden="1" customHeight="1" x14ac:dyDescent="0.3">
      <c r="A920" s="44" t="s">
        <v>175</v>
      </c>
      <c r="B920" s="4" t="s">
        <v>187</v>
      </c>
      <c r="C920" s="5" t="s">
        <v>97</v>
      </c>
      <c r="D920" s="5" t="s">
        <v>103</v>
      </c>
      <c r="E920" s="4" t="s">
        <v>96</v>
      </c>
      <c r="F920" s="4" t="str" cm="1">
        <f t="array" ref="F920">_xlfn.IFS(
AG920 &lt;&gt; "", "Jan-Dez/26",
AH920 &lt;&gt; "", "Fev-Dez/26",
AI920 &lt;&gt; "", "Mar-Dez/26", AJ920 &lt;&gt; "", "Abr-Dez/26",
TRUE, "A partir de Junho"
)</f>
        <v>A partir de Junho</v>
      </c>
      <c r="G920" s="4" t="s">
        <v>62</v>
      </c>
      <c r="H920" s="7" t="s">
        <v>54</v>
      </c>
      <c r="I920" s="21" t="s">
        <v>190</v>
      </c>
      <c r="J920" s="8" t="str" cm="1">
        <f t="array" aca="1" ref="J920" ca="1">_xlfn.LET(
  _xlpm.actual_value_month, INDEX(T920:AE920, MATCH(DATE(YEAR(TODAY()), MONTH(TODAY()), 1), $T$1:$AE$1, 0)),
  IF(_xlpm.actual_value_month &lt;&gt; "", _xlpm.actual_value_month &amp; " ações mensais", "")
)</f>
        <v/>
      </c>
      <c r="K920" s="8" t="str" cm="1">
        <f t="array" ref="K920">_xlfn.LET(
    _xlpm.sum_month, SUM(T920:AE920),
    IF(_xlpm.sum_month = 0, "", _xlpm.sum_month &amp; " treinados não mapeados.")
)</f>
        <v/>
      </c>
      <c r="L920" s="9" t="s">
        <v>191</v>
      </c>
      <c r="M920" s="13">
        <v>1</v>
      </c>
      <c r="N920" s="5" t="s">
        <v>51</v>
      </c>
      <c r="O920" s="5" t="s">
        <v>52</v>
      </c>
      <c r="P920" s="10" t="s">
        <v>146</v>
      </c>
      <c r="Q920" s="10" t="s">
        <v>44</v>
      </c>
      <c r="R920" s="11" t="s">
        <v>44</v>
      </c>
      <c r="S920" s="11" t="s">
        <v>44</v>
      </c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G920" s="71"/>
      <c r="AH920" s="71"/>
      <c r="AI920" s="71"/>
      <c r="AJ920" s="71"/>
      <c r="AK920" s="71"/>
      <c r="AL920" s="71"/>
      <c r="AM920" s="71"/>
      <c r="AN920" s="71"/>
      <c r="AO920" s="71"/>
      <c r="AP920" s="71"/>
      <c r="AQ920" s="71"/>
      <c r="AR920" s="71"/>
      <c r="AS920" s="94" t="str" cm="1">
        <f t="array" ref="AS920">IFERROR(INDEX(T920:AE920,1,MATCH(2,1/(T920:AE920&lt;&gt;""))),"")</f>
        <v/>
      </c>
      <c r="AT920" s="95">
        <f t="shared" si="1173"/>
        <v>0</v>
      </c>
      <c r="AU920" s="97">
        <f t="shared" si="1174"/>
        <v>0</v>
      </c>
      <c r="AW920" s="52">
        <f t="shared" si="1175"/>
        <v>0</v>
      </c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68" cm="1">
        <f t="array" ref="BI920">IFERROR(INDEX(AW920:BH920,1,MATCH(2,1/(AW920:BH920&lt;&gt;""))),"")</f>
        <v>0</v>
      </c>
      <c r="BJ920" s="68" t="str" cm="1">
        <f t="array" ref="BJ920">IF(BM920 = "", "",IFERROR(INDEX(AW920:BH920,1,MATCH(2,1/(AW920:BH920&lt;&gt;""),1)-1),""))</f>
        <v/>
      </c>
      <c r="BK920" s="59">
        <f t="shared" si="1176"/>
        <v>0</v>
      </c>
      <c r="BL920" s="59">
        <f t="shared" si="1177"/>
        <v>0</v>
      </c>
      <c r="BM920" s="55" t="str" cm="1">
        <f t="array" ref="BM920">IFERROR(
   INDEX($AW$1:$BH$1,
      _xlfn.AGGREGATE(14, 6, COLUMN($AW$1:$BH$1)/(AW920:BH920&lt;&gt;""), 2) - COLUMN($AW$1) + 1
   ),
"")</f>
        <v/>
      </c>
      <c r="BN920" s="55" cm="1">
        <f t="array" ref="BN920">IFERROR(INDEX($AW$1:$BH$1,1,MATCH(2,1/(AW920:BH920&lt;&gt;""))),"")</f>
        <v>46023</v>
      </c>
      <c r="BO920" s="53">
        <f ca="1">IFERROR(_xlfn.XLOOKUP(F920,Apuração!A:A,Apuração!C:C)/_xlfn.XLOOKUP(F920,Apuração!A:A,Apuração!B:B),0)</f>
        <v>0</v>
      </c>
      <c r="BP920" s="53">
        <f ca="1">IFERROR(_xlfn.XLOOKUP(F920,Apuração!A:A,Apuração!D:D)/_xlfn.XLOOKUP(F920,Apuração!A:A,Apuração!B:B),0)</f>
        <v>0</v>
      </c>
      <c r="BQ920" s="53">
        <f ca="1">IF(BK920&gt;=BO920,0,_xlfn.XLOOKUP(F920,Apuração!A:A,Apuração!B:B)*(BO920 + (1/_xlfn.XLOOKUP(F920,Apuração!A:A,Apuração!B:B)) - BK920))</f>
        <v>0</v>
      </c>
      <c r="BR920" s="85">
        <f t="shared" ca="1" si="1178"/>
        <v>0</v>
      </c>
      <c r="BS920" s="53">
        <f ca="1">IFERROR((_xlfn.XLOOKUP(F920,Apuração!A:A,Apuração!C:C)+1)/_xlfn.XLOOKUP(F920,Apuração!A:A,Apuração!B:B),0)</f>
        <v>0.14285714285714285</v>
      </c>
    </row>
    <row r="921" spans="1:71" ht="25.95" hidden="1" customHeight="1" x14ac:dyDescent="0.3">
      <c r="A921" s="44" t="s">
        <v>175</v>
      </c>
      <c r="B921" s="4" t="s">
        <v>187</v>
      </c>
      <c r="C921" s="5" t="s">
        <v>97</v>
      </c>
      <c r="D921" s="5" t="s">
        <v>104</v>
      </c>
      <c r="E921" s="4" t="s">
        <v>96</v>
      </c>
      <c r="F921" s="4" t="str" cm="1">
        <f t="array" ref="F921">_xlfn.IFS(
AG921 &lt;&gt; "", "Jan-Dez/26",
AH921 &lt;&gt; "", "Fev-Dez/26",
AI921 &lt;&gt; "", "Mar-Dez/26", AJ921 &lt;&gt; "", "Abr-Dez/26",
TRUE, "A partir de Junho"
)</f>
        <v>A partir de Junho</v>
      </c>
      <c r="G921" s="4" t="s">
        <v>62</v>
      </c>
      <c r="H921" s="7" t="s">
        <v>54</v>
      </c>
      <c r="I921" s="21" t="s">
        <v>190</v>
      </c>
      <c r="J921" s="8" t="str" cm="1">
        <f t="array" aca="1" ref="J921" ca="1">_xlfn.LET(
  _xlpm.actual_value_month, INDEX(T921:AE921, MATCH(DATE(YEAR(TODAY()), MONTH(TODAY()), 1), $T$1:$AE$1, 0)),
  IF(_xlpm.actual_value_month &lt;&gt; "", _xlpm.actual_value_month &amp; " ações mensais", "")
)</f>
        <v/>
      </c>
      <c r="K921" s="8" t="str" cm="1">
        <f t="array" ref="K921">_xlfn.LET(
    _xlpm.sum_month, SUM(T921:AE921),
    IF(_xlpm.sum_month = 0, "", _xlpm.sum_month &amp; " treinados não mapeados.")
)</f>
        <v/>
      </c>
      <c r="L921" s="9" t="s">
        <v>191</v>
      </c>
      <c r="M921" s="13">
        <v>1</v>
      </c>
      <c r="N921" s="5" t="s">
        <v>51</v>
      </c>
      <c r="O921" s="5" t="s">
        <v>52</v>
      </c>
      <c r="P921" s="10" t="s">
        <v>146</v>
      </c>
      <c r="Q921" s="10" t="s">
        <v>44</v>
      </c>
      <c r="R921" s="11" t="s">
        <v>44</v>
      </c>
      <c r="S921" s="11" t="s">
        <v>44</v>
      </c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G921" s="71"/>
      <c r="AH921" s="71"/>
      <c r="AI921" s="71"/>
      <c r="AJ921" s="71"/>
      <c r="AK921" s="71"/>
      <c r="AL921" s="71"/>
      <c r="AM921" s="71"/>
      <c r="AN921" s="71"/>
      <c r="AO921" s="71"/>
      <c r="AP921" s="71"/>
      <c r="AQ921" s="71"/>
      <c r="AR921" s="71"/>
      <c r="AS921" s="94" t="str" cm="1">
        <f t="array" ref="AS921">IFERROR(INDEX(T921:AE921,1,MATCH(2,1/(T921:AE921&lt;&gt;""))),"")</f>
        <v/>
      </c>
      <c r="AT921" s="95">
        <f t="shared" si="1173"/>
        <v>0</v>
      </c>
      <c r="AU921" s="97">
        <f t="shared" si="1174"/>
        <v>0</v>
      </c>
      <c r="AW921" s="52">
        <f t="shared" si="1175"/>
        <v>0</v>
      </c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68" cm="1">
        <f t="array" ref="BI921">IFERROR(INDEX(AW921:BH921,1,MATCH(2,1/(AW921:BH921&lt;&gt;""))),"")</f>
        <v>0</v>
      </c>
      <c r="BJ921" s="68" t="str" cm="1">
        <f t="array" ref="BJ921">IF(BM921 = "", "",IFERROR(INDEX(AW921:BH921,1,MATCH(2,1/(AW921:BH921&lt;&gt;""),1)-1),""))</f>
        <v/>
      </c>
      <c r="BK921" s="59">
        <f t="shared" si="1176"/>
        <v>0</v>
      </c>
      <c r="BL921" s="59">
        <f t="shared" si="1177"/>
        <v>0</v>
      </c>
      <c r="BM921" s="55" t="str" cm="1">
        <f t="array" ref="BM921">IFERROR(
   INDEX($AW$1:$BH$1,
      _xlfn.AGGREGATE(14, 6, COLUMN($AW$1:$BH$1)/(AW921:BH921&lt;&gt;""), 2) - COLUMN($AW$1) + 1
   ),
"")</f>
        <v/>
      </c>
      <c r="BN921" s="55" cm="1">
        <f t="array" ref="BN921">IFERROR(INDEX($AW$1:$BH$1,1,MATCH(2,1/(AW921:BH921&lt;&gt;""))),"")</f>
        <v>46023</v>
      </c>
      <c r="BO921" s="53">
        <f ca="1">IFERROR(_xlfn.XLOOKUP(F921,Apuração!A:A,Apuração!C:C)/_xlfn.XLOOKUP(F921,Apuração!A:A,Apuração!B:B),0)</f>
        <v>0</v>
      </c>
      <c r="BP921" s="53">
        <f ca="1">IFERROR(_xlfn.XLOOKUP(F921,Apuração!A:A,Apuração!D:D)/_xlfn.XLOOKUP(F921,Apuração!A:A,Apuração!B:B),0)</f>
        <v>0</v>
      </c>
      <c r="BQ921" s="53">
        <f ca="1">IF(BK921&gt;=BO921,0,_xlfn.XLOOKUP(F921,Apuração!A:A,Apuração!B:B)*(BO921 + (1/_xlfn.XLOOKUP(F921,Apuração!A:A,Apuração!B:B)) - BK921))</f>
        <v>0</v>
      </c>
      <c r="BR921" s="85">
        <f t="shared" ca="1" si="1178"/>
        <v>0</v>
      </c>
      <c r="BS921" s="53">
        <f ca="1">IFERROR((_xlfn.XLOOKUP(F921,Apuração!A:A,Apuração!C:C)+1)/_xlfn.XLOOKUP(F921,Apuração!A:A,Apuração!B:B),0)</f>
        <v>0.14285714285714285</v>
      </c>
    </row>
    <row r="922" spans="1:71" ht="25.95" hidden="1" customHeight="1" x14ac:dyDescent="0.3">
      <c r="A922" s="44" t="s">
        <v>175</v>
      </c>
      <c r="B922" s="4" t="s">
        <v>187</v>
      </c>
      <c r="C922" s="5" t="s">
        <v>97</v>
      </c>
      <c r="D922" s="5" t="s">
        <v>105</v>
      </c>
      <c r="E922" s="4" t="s">
        <v>96</v>
      </c>
      <c r="F922" s="4" t="str" cm="1">
        <f t="array" ref="F922">_xlfn.IFS(
AG922 &lt;&gt; "", "Jan-Dez/26",
AH922 &lt;&gt; "", "Fev-Dez/26",
AI922 &lt;&gt; "", "Mar-Dez/26", AJ922 &lt;&gt; "", "Abr-Dez/26",
TRUE, "A partir de Junho"
)</f>
        <v>A partir de Junho</v>
      </c>
      <c r="G922" s="4" t="s">
        <v>62</v>
      </c>
      <c r="H922" s="7" t="s">
        <v>54</v>
      </c>
      <c r="I922" s="21" t="s">
        <v>190</v>
      </c>
      <c r="J922" s="8" t="str" cm="1">
        <f t="array" aca="1" ref="J922" ca="1">_xlfn.LET(
  _xlpm.actual_value_month, INDEX(T922:AE922, MATCH(DATE(YEAR(TODAY()), MONTH(TODAY()), 1), $T$1:$AE$1, 0)),
  IF(_xlpm.actual_value_month &lt;&gt; "", _xlpm.actual_value_month &amp; " ações mensais", "")
)</f>
        <v/>
      </c>
      <c r="K922" s="8" t="str" cm="1">
        <f t="array" ref="K922">_xlfn.LET(
    _xlpm.sum_month, SUM(T922:AE922),
    IF(_xlpm.sum_month = 0, "", _xlpm.sum_month &amp; " treinados não mapeados.")
)</f>
        <v/>
      </c>
      <c r="L922" s="9" t="s">
        <v>191</v>
      </c>
      <c r="M922" s="13">
        <v>1</v>
      </c>
      <c r="N922" s="5" t="s">
        <v>51</v>
      </c>
      <c r="O922" s="5" t="s">
        <v>52</v>
      </c>
      <c r="P922" s="10" t="s">
        <v>146</v>
      </c>
      <c r="Q922" s="10" t="s">
        <v>44</v>
      </c>
      <c r="R922" s="11" t="s">
        <v>44</v>
      </c>
      <c r="S922" s="11" t="s">
        <v>44</v>
      </c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G922" s="71"/>
      <c r="AH922" s="71"/>
      <c r="AI922" s="71"/>
      <c r="AJ922" s="71"/>
      <c r="AK922" s="71"/>
      <c r="AL922" s="71"/>
      <c r="AM922" s="71"/>
      <c r="AN922" s="71"/>
      <c r="AO922" s="71"/>
      <c r="AP922" s="71"/>
      <c r="AQ922" s="71"/>
      <c r="AR922" s="71"/>
      <c r="AS922" s="94" t="str" cm="1">
        <f t="array" ref="AS922">IFERROR(INDEX(T922:AE922,1,MATCH(2,1/(T922:AE922&lt;&gt;""))),"")</f>
        <v/>
      </c>
      <c r="AT922" s="95">
        <f t="shared" si="1173"/>
        <v>0</v>
      </c>
      <c r="AU922" s="97">
        <f t="shared" si="1174"/>
        <v>0</v>
      </c>
      <c r="AW922" s="52">
        <f t="shared" si="1175"/>
        <v>0</v>
      </c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68" cm="1">
        <f t="array" ref="BI922">IFERROR(INDEX(AW922:BH922,1,MATCH(2,1/(AW922:BH922&lt;&gt;""))),"")</f>
        <v>0</v>
      </c>
      <c r="BJ922" s="68" t="str" cm="1">
        <f t="array" ref="BJ922">IF(BM922 = "", "",IFERROR(INDEX(AW922:BH922,1,MATCH(2,1/(AW922:BH922&lt;&gt;""),1)-1),""))</f>
        <v/>
      </c>
      <c r="BK922" s="59">
        <f t="shared" si="1176"/>
        <v>0</v>
      </c>
      <c r="BL922" s="59">
        <f t="shared" si="1177"/>
        <v>0</v>
      </c>
      <c r="BM922" s="55" t="str" cm="1">
        <f t="array" ref="BM922">IFERROR(
   INDEX($AW$1:$BH$1,
      _xlfn.AGGREGATE(14, 6, COLUMN($AW$1:$BH$1)/(AW922:BH922&lt;&gt;""), 2) - COLUMN($AW$1) + 1
   ),
"")</f>
        <v/>
      </c>
      <c r="BN922" s="55" cm="1">
        <f t="array" ref="BN922">IFERROR(INDEX($AW$1:$BH$1,1,MATCH(2,1/(AW922:BH922&lt;&gt;""))),"")</f>
        <v>46023</v>
      </c>
      <c r="BO922" s="53">
        <f ca="1">IFERROR(_xlfn.XLOOKUP(F922,Apuração!A:A,Apuração!C:C)/_xlfn.XLOOKUP(F922,Apuração!A:A,Apuração!B:B),0)</f>
        <v>0</v>
      </c>
      <c r="BP922" s="53">
        <f ca="1">IFERROR(_xlfn.XLOOKUP(F922,Apuração!A:A,Apuração!D:D)/_xlfn.XLOOKUP(F922,Apuração!A:A,Apuração!B:B),0)</f>
        <v>0</v>
      </c>
      <c r="BQ922" s="53">
        <f ca="1">IF(BK922&gt;=BO922,0,_xlfn.XLOOKUP(F922,Apuração!A:A,Apuração!B:B)*(BO922 + (1/_xlfn.XLOOKUP(F922,Apuração!A:A,Apuração!B:B)) - BK922))</f>
        <v>0</v>
      </c>
      <c r="BR922" s="85">
        <f t="shared" ca="1" si="1178"/>
        <v>0</v>
      </c>
      <c r="BS922" s="53">
        <f ca="1">IFERROR((_xlfn.XLOOKUP(F922,Apuração!A:A,Apuração!C:C)+1)/_xlfn.XLOOKUP(F922,Apuração!A:A,Apuração!B:B),0)</f>
        <v>0.14285714285714285</v>
      </c>
    </row>
    <row r="923" spans="1:71" ht="25.95" hidden="1" customHeight="1" x14ac:dyDescent="0.3">
      <c r="A923" s="44" t="s">
        <v>175</v>
      </c>
      <c r="B923" s="4" t="s">
        <v>187</v>
      </c>
      <c r="C923" s="5" t="s">
        <v>97</v>
      </c>
      <c r="D923" s="5" t="s">
        <v>106</v>
      </c>
      <c r="E923" s="4" t="s">
        <v>96</v>
      </c>
      <c r="F923" s="4" t="str" cm="1">
        <f t="array" ref="F923">_xlfn.IFS(
AG923 &lt;&gt; "", "Jan-Dez/26",
AH923 &lt;&gt; "", "Fev-Dez/26",
AI923 &lt;&gt; "", "Mar-Dez/26", AJ923 &lt;&gt; "", "Abr-Dez/26",
TRUE, "A partir de Junho"
)</f>
        <v>A partir de Junho</v>
      </c>
      <c r="G923" s="4" t="s">
        <v>62</v>
      </c>
      <c r="H923" s="7" t="s">
        <v>54</v>
      </c>
      <c r="I923" s="21" t="s">
        <v>190</v>
      </c>
      <c r="J923" s="8" t="str" cm="1">
        <f t="array" aca="1" ref="J923" ca="1">_xlfn.LET(
  _xlpm.actual_value_month, INDEX(T923:AE923, MATCH(DATE(YEAR(TODAY()), MONTH(TODAY()), 1), $T$1:$AE$1, 0)),
  IF(_xlpm.actual_value_month &lt;&gt; "", _xlpm.actual_value_month &amp; " ações mensais", "")
)</f>
        <v/>
      </c>
      <c r="K923" s="8" t="str" cm="1">
        <f t="array" ref="K923">_xlfn.LET(
    _xlpm.sum_month, SUM(T923:AE923),
    IF(_xlpm.sum_month = 0, "", _xlpm.sum_month &amp; " treinados não mapeados.")
)</f>
        <v/>
      </c>
      <c r="L923" s="9" t="s">
        <v>191</v>
      </c>
      <c r="M923" s="13">
        <v>1</v>
      </c>
      <c r="N923" s="5" t="s">
        <v>51</v>
      </c>
      <c r="O923" s="5" t="s">
        <v>52</v>
      </c>
      <c r="P923" s="10" t="s">
        <v>146</v>
      </c>
      <c r="Q923" s="10" t="s">
        <v>44</v>
      </c>
      <c r="R923" s="11" t="s">
        <v>44</v>
      </c>
      <c r="S923" s="11" t="s">
        <v>44</v>
      </c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G923" s="71"/>
      <c r="AH923" s="71"/>
      <c r="AI923" s="71"/>
      <c r="AJ923" s="71"/>
      <c r="AK923" s="71"/>
      <c r="AL923" s="71"/>
      <c r="AM923" s="71"/>
      <c r="AN923" s="71"/>
      <c r="AO923" s="71"/>
      <c r="AP923" s="71"/>
      <c r="AQ923" s="71"/>
      <c r="AR923" s="71"/>
      <c r="AS923" s="94" t="str" cm="1">
        <f t="array" ref="AS923">IFERROR(INDEX(T923:AE923,1,MATCH(2,1/(T923:AE923&lt;&gt;""))),"")</f>
        <v/>
      </c>
      <c r="AT923" s="95">
        <f t="shared" si="1173"/>
        <v>0</v>
      </c>
      <c r="AU923" s="97">
        <f t="shared" si="1174"/>
        <v>0</v>
      </c>
      <c r="AW923" s="52">
        <f t="shared" si="1175"/>
        <v>0</v>
      </c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68" cm="1">
        <f t="array" ref="BI923">IFERROR(INDEX(AW923:BH923,1,MATCH(2,1/(AW923:BH923&lt;&gt;""))),"")</f>
        <v>0</v>
      </c>
      <c r="BJ923" s="68" t="str" cm="1">
        <f t="array" ref="BJ923">IF(BM923 = "", "",IFERROR(INDEX(AW923:BH923,1,MATCH(2,1/(AW923:BH923&lt;&gt;""),1)-1),""))</f>
        <v/>
      </c>
      <c r="BK923" s="59">
        <f t="shared" si="1176"/>
        <v>0</v>
      </c>
      <c r="BL923" s="59">
        <f t="shared" si="1177"/>
        <v>0</v>
      </c>
      <c r="BM923" s="55" t="str" cm="1">
        <f t="array" ref="BM923">IFERROR(
   INDEX($AW$1:$BH$1,
      _xlfn.AGGREGATE(14, 6, COLUMN($AW$1:$BH$1)/(AW923:BH923&lt;&gt;""), 2) - COLUMN($AW$1) + 1
   ),
"")</f>
        <v/>
      </c>
      <c r="BN923" s="55" cm="1">
        <f t="array" ref="BN923">IFERROR(INDEX($AW$1:$BH$1,1,MATCH(2,1/(AW923:BH923&lt;&gt;""))),"")</f>
        <v>46023</v>
      </c>
      <c r="BO923" s="53">
        <f ca="1">IFERROR(_xlfn.XLOOKUP(F923,Apuração!A:A,Apuração!C:C)/_xlfn.XLOOKUP(F923,Apuração!A:A,Apuração!B:B),0)</f>
        <v>0</v>
      </c>
      <c r="BP923" s="53">
        <f ca="1">IFERROR(_xlfn.XLOOKUP(F923,Apuração!A:A,Apuração!D:D)/_xlfn.XLOOKUP(F923,Apuração!A:A,Apuração!B:B),0)</f>
        <v>0</v>
      </c>
      <c r="BQ923" s="53">
        <f ca="1">IF(BK923&gt;=BO923,0,_xlfn.XLOOKUP(F923,Apuração!A:A,Apuração!B:B)*(BO923 + (1/_xlfn.XLOOKUP(F923,Apuração!A:A,Apuração!B:B)) - BK923))</f>
        <v>0</v>
      </c>
      <c r="BR923" s="85">
        <f t="shared" ca="1" si="1178"/>
        <v>0</v>
      </c>
      <c r="BS923" s="53">
        <f ca="1">IFERROR((_xlfn.XLOOKUP(F923,Apuração!A:A,Apuração!C:C)+1)/_xlfn.XLOOKUP(F923,Apuração!A:A,Apuração!B:B),0)</f>
        <v>0.14285714285714285</v>
      </c>
    </row>
    <row r="924" spans="1:71" ht="25.95" hidden="1" customHeight="1" x14ac:dyDescent="0.3">
      <c r="A924" s="44" t="s">
        <v>175</v>
      </c>
      <c r="B924" s="4" t="s">
        <v>187</v>
      </c>
      <c r="C924" s="5" t="s">
        <v>97</v>
      </c>
      <c r="D924" s="5" t="s">
        <v>107</v>
      </c>
      <c r="E924" s="4" t="s">
        <v>96</v>
      </c>
      <c r="F924" s="4" t="str" cm="1">
        <f t="array" ref="F924">_xlfn.IFS(
AG924 &lt;&gt; "", "Jan-Dez/26",
AH924 &lt;&gt; "", "Fev-Dez/26",
AI924 &lt;&gt; "", "Mar-Dez/26", AJ924 &lt;&gt; "", "Abr-Dez/26",
TRUE, "A partir de Junho"
)</f>
        <v>A partir de Junho</v>
      </c>
      <c r="G924" s="4" t="s">
        <v>62</v>
      </c>
      <c r="H924" s="7" t="s">
        <v>54</v>
      </c>
      <c r="I924" s="21" t="s">
        <v>190</v>
      </c>
      <c r="J924" s="8" t="str" cm="1">
        <f t="array" aca="1" ref="J924" ca="1">_xlfn.LET(
  _xlpm.actual_value_month, INDEX(T924:AE924, MATCH(DATE(YEAR(TODAY()), MONTH(TODAY()), 1), $T$1:$AE$1, 0)),
  IF(_xlpm.actual_value_month &lt;&gt; "", _xlpm.actual_value_month &amp; " ações mensais", "")
)</f>
        <v/>
      </c>
      <c r="K924" s="8" t="str" cm="1">
        <f t="array" ref="K924">_xlfn.LET(
    _xlpm.sum_month, SUM(T924:AE924),
    IF(_xlpm.sum_month = 0, "", _xlpm.sum_month &amp; " treinados não mapeados.")
)</f>
        <v/>
      </c>
      <c r="L924" s="9" t="s">
        <v>191</v>
      </c>
      <c r="M924" s="13">
        <v>1</v>
      </c>
      <c r="N924" s="5" t="s">
        <v>51</v>
      </c>
      <c r="O924" s="5" t="s">
        <v>52</v>
      </c>
      <c r="P924" s="10" t="s">
        <v>146</v>
      </c>
      <c r="Q924" s="10" t="s">
        <v>44</v>
      </c>
      <c r="R924" s="11" t="s">
        <v>44</v>
      </c>
      <c r="S924" s="11" t="s">
        <v>44</v>
      </c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G924" s="71"/>
      <c r="AH924" s="71"/>
      <c r="AI924" s="71"/>
      <c r="AJ924" s="71"/>
      <c r="AK924" s="71"/>
      <c r="AL924" s="71"/>
      <c r="AM924" s="71"/>
      <c r="AN924" s="71"/>
      <c r="AO924" s="71"/>
      <c r="AP924" s="71"/>
      <c r="AQ924" s="71"/>
      <c r="AR924" s="71"/>
      <c r="AS924" s="94" t="str" cm="1">
        <f t="array" ref="AS924">IFERROR(INDEX(T924:AE924,1,MATCH(2,1/(T924:AE924&lt;&gt;""))),"")</f>
        <v/>
      </c>
      <c r="AT924" s="95">
        <f t="shared" si="1173"/>
        <v>0</v>
      </c>
      <c r="AU924" s="97">
        <f t="shared" si="1174"/>
        <v>0</v>
      </c>
      <c r="AW924" s="52">
        <f t="shared" si="1175"/>
        <v>0</v>
      </c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68" cm="1">
        <f t="array" ref="BI924">IFERROR(INDEX(AW924:BH924,1,MATCH(2,1/(AW924:BH924&lt;&gt;""))),"")</f>
        <v>0</v>
      </c>
      <c r="BJ924" s="68" t="str" cm="1">
        <f t="array" ref="BJ924">IF(BM924 = "", "",IFERROR(INDEX(AW924:BH924,1,MATCH(2,1/(AW924:BH924&lt;&gt;""),1)-1),""))</f>
        <v/>
      </c>
      <c r="BK924" s="59">
        <f t="shared" si="1176"/>
        <v>0</v>
      </c>
      <c r="BL924" s="59">
        <f t="shared" si="1177"/>
        <v>0</v>
      </c>
      <c r="BM924" s="55" t="str" cm="1">
        <f t="array" ref="BM924">IFERROR(
   INDEX($AW$1:$BH$1,
      _xlfn.AGGREGATE(14, 6, COLUMN($AW$1:$BH$1)/(AW924:BH924&lt;&gt;""), 2) - COLUMN($AW$1) + 1
   ),
"")</f>
        <v/>
      </c>
      <c r="BN924" s="55" cm="1">
        <f t="array" ref="BN924">IFERROR(INDEX($AW$1:$BH$1,1,MATCH(2,1/(AW924:BH924&lt;&gt;""))),"")</f>
        <v>46023</v>
      </c>
      <c r="BO924" s="53">
        <f ca="1">IFERROR(_xlfn.XLOOKUP(F924,Apuração!A:A,Apuração!C:C)/_xlfn.XLOOKUP(F924,Apuração!A:A,Apuração!B:B),0)</f>
        <v>0</v>
      </c>
      <c r="BP924" s="53">
        <f ca="1">IFERROR(_xlfn.XLOOKUP(F924,Apuração!A:A,Apuração!D:D)/_xlfn.XLOOKUP(F924,Apuração!A:A,Apuração!B:B),0)</f>
        <v>0</v>
      </c>
      <c r="BQ924" s="53">
        <f ca="1">IF(BK924&gt;=BO924,0,_xlfn.XLOOKUP(F924,Apuração!A:A,Apuração!B:B)*(BO924 + (1/_xlfn.XLOOKUP(F924,Apuração!A:A,Apuração!B:B)) - BK924))</f>
        <v>0</v>
      </c>
      <c r="BR924" s="85">
        <f t="shared" ca="1" si="1178"/>
        <v>0</v>
      </c>
      <c r="BS924" s="53">
        <f ca="1">IFERROR((_xlfn.XLOOKUP(F924,Apuração!A:A,Apuração!C:C)+1)/_xlfn.XLOOKUP(F924,Apuração!A:A,Apuração!B:B),0)</f>
        <v>0.14285714285714285</v>
      </c>
    </row>
    <row r="925" spans="1:71" ht="25.95" hidden="1" customHeight="1" x14ac:dyDescent="0.3">
      <c r="A925" s="44" t="s">
        <v>175</v>
      </c>
      <c r="B925" s="4" t="s">
        <v>187</v>
      </c>
      <c r="C925" s="5" t="s">
        <v>97</v>
      </c>
      <c r="D925" s="5" t="s">
        <v>36</v>
      </c>
      <c r="E925" s="4" t="s">
        <v>96</v>
      </c>
      <c r="F925" s="4" t="str" cm="1">
        <f t="array" ref="F925">_xlfn.IFS(
AG925 &lt;&gt; "", "Jan-Dez/26",
AH925 &lt;&gt; "", "Fev-Dez/26",
AI925 &lt;&gt; "", "Mar-Dez/26", AJ925 &lt;&gt; "", "Abr-Dez/26",
TRUE, "A partir de Junho"
)</f>
        <v>A partir de Junho</v>
      </c>
      <c r="G925" s="4" t="s">
        <v>62</v>
      </c>
      <c r="H925" s="7" t="s">
        <v>54</v>
      </c>
      <c r="I925" s="34" t="s">
        <v>192</v>
      </c>
      <c r="J925" s="8" t="str" cm="1">
        <f t="array" aca="1" ref="J925" ca="1">_xlfn.LET(
  _xlpm.actual_value_month, INDEX(T925:AE925, MATCH(DATE(YEAR(TODAY()), MONTH(TODAY()), 1), $T$1:$AE$1, 0)),
  IF(_xlpm.actual_value_month &lt;&gt; "", _xlpm.actual_value_month &amp; " ações mensais", "")
)</f>
        <v/>
      </c>
      <c r="K925" s="34" t="str" cm="1">
        <f t="array" ref="K925">_xlfn.LET(
    _xlpm.sum_month, SUM(T925:AE925),
    IF(_xlpm.sum_month = 0, "", _xlpm.sum_month &amp; " colaboradores treinados.")
)</f>
        <v/>
      </c>
      <c r="L925" s="4" t="s">
        <v>193</v>
      </c>
      <c r="M925" s="9"/>
      <c r="N925" s="5" t="s">
        <v>51</v>
      </c>
      <c r="O925" s="5" t="s">
        <v>52</v>
      </c>
      <c r="P925" s="10" t="s">
        <v>44</v>
      </c>
      <c r="Q925" s="10" t="s">
        <v>44</v>
      </c>
      <c r="R925" s="11" t="s">
        <v>44</v>
      </c>
      <c r="S925" s="11" t="s">
        <v>44</v>
      </c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G925" s="71"/>
      <c r="AH925" s="71"/>
      <c r="AI925" s="71"/>
      <c r="AJ925" s="71"/>
      <c r="AK925" s="71"/>
      <c r="AL925" s="71"/>
      <c r="AM925" s="71"/>
      <c r="AN925" s="71"/>
      <c r="AO925" s="71"/>
      <c r="AP925" s="71"/>
      <c r="AQ925" s="71"/>
      <c r="AR925" s="71"/>
      <c r="AS925" s="94" t="str" cm="1">
        <f t="array" ref="AS925">IFERROR(INDEX(T925:AE925,1,MATCH(2,1/(T925:AE925&lt;&gt;""))),"")</f>
        <v/>
      </c>
      <c r="AT925" s="95">
        <f>AN925</f>
        <v>0</v>
      </c>
      <c r="AU925" s="97">
        <f t="shared" si="1121"/>
        <v>0</v>
      </c>
      <c r="AW925" s="52">
        <f>AG925</f>
        <v>0</v>
      </c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68" cm="1">
        <f t="array" ref="BI925">IFERROR(INDEX(AW925:BH925,1,MATCH(2,1/(AW925:BH925&lt;&gt;""))),"")</f>
        <v>0</v>
      </c>
      <c r="BJ925" s="68" t="str" cm="1">
        <f t="array" ref="BJ925">IF(BM925 = "", "",IFERROR(INDEX(AW925:BH925,1,MATCH(2,1/(AW925:BH925&lt;&gt;""),1)-1),""))</f>
        <v/>
      </c>
      <c r="BK925" s="59">
        <f>SUM(AW925:BH925)</f>
        <v>0</v>
      </c>
      <c r="BL925" s="59">
        <f>SUM(AW925:BE925)</f>
        <v>0</v>
      </c>
      <c r="BM925" s="55" t="str" cm="1">
        <f t="array" ref="BM925">IFERROR(
   INDEX($AW$1:$BH$1,
      _xlfn.AGGREGATE(14, 6, COLUMN($AW$1:$BH$1)/(AW925:BH925&lt;&gt;""), 2) - COLUMN($AW$1) + 1
   ),
"")</f>
        <v/>
      </c>
      <c r="BN925" s="55" cm="1">
        <f t="array" ref="BN925">IFERROR(INDEX($AW$1:$BH$1,1,MATCH(2,1/(AW925:BH925&lt;&gt;""))),"")</f>
        <v>46023</v>
      </c>
      <c r="BO925" s="53">
        <f ca="1">IFERROR(_xlfn.XLOOKUP(F925,Apuração!A:A,Apuração!C:C)/_xlfn.XLOOKUP(F925,Apuração!A:A,Apuração!B:B),0)</f>
        <v>0</v>
      </c>
      <c r="BP925" s="53">
        <f ca="1">IFERROR(_xlfn.XLOOKUP(F925,Apuração!A:A,Apuração!D:D)/_xlfn.XLOOKUP(F925,Apuração!A:A,Apuração!B:B),0)</f>
        <v>0</v>
      </c>
      <c r="BQ925" s="53">
        <f ca="1">IF(BK925&gt;=BO925,0,_xlfn.XLOOKUP(F925,Apuração!A:A,Apuração!B:B)*(BO925 + (1/_xlfn.XLOOKUP(F925,Apuração!A:A,Apuração!B:B)) - BK925))</f>
        <v>0</v>
      </c>
      <c r="BR925" s="85">
        <f t="shared" ca="1" si="1172"/>
        <v>0</v>
      </c>
      <c r="BS925" s="53">
        <f ca="1">IFERROR((_xlfn.XLOOKUP(F925,Apuração!A:A,Apuração!C:C)+1)/_xlfn.XLOOKUP(F925,Apuração!A:A,Apuração!B:B),0)</f>
        <v>0.14285714285714285</v>
      </c>
    </row>
    <row r="926" spans="1:71" ht="25.95" hidden="1" customHeight="1" x14ac:dyDescent="0.3">
      <c r="A926" s="44" t="s">
        <v>175</v>
      </c>
      <c r="B926" s="4" t="s">
        <v>187</v>
      </c>
      <c r="C926" s="5" t="s">
        <v>97</v>
      </c>
      <c r="D926" s="5" t="s">
        <v>98</v>
      </c>
      <c r="E926" s="4" t="s">
        <v>96</v>
      </c>
      <c r="F926" s="4" t="str" cm="1">
        <f t="array" ref="F926">_xlfn.IFS(
AG926 &lt;&gt; "", "Jan-Dez/26",
AH926 &lt;&gt; "", "Fev-Dez/26",
AI926 &lt;&gt; "", "Mar-Dez/26", AJ926 &lt;&gt; "", "Abr-Dez/26",
TRUE, "A partir de Junho"
)</f>
        <v>A partir de Junho</v>
      </c>
      <c r="G926" s="4" t="s">
        <v>62</v>
      </c>
      <c r="H926" s="7" t="s">
        <v>54</v>
      </c>
      <c r="I926" s="34" t="s">
        <v>192</v>
      </c>
      <c r="J926" s="8" t="str" cm="1">
        <f t="array" aca="1" ref="J926" ca="1">_xlfn.LET(
  _xlpm.actual_value_month, INDEX(T926:AE926, MATCH(DATE(YEAR(TODAY()), MONTH(TODAY()), 1), $T$1:$AE$1, 0)),
  IF(_xlpm.actual_value_month &lt;&gt; "", _xlpm.actual_value_month &amp; " ações mensais", "")
)</f>
        <v/>
      </c>
      <c r="K926" s="34" t="str" cm="1">
        <f t="array" ref="K926">_xlfn.LET(
    _xlpm.sum_month, SUM(T926:AE926),
    IF(_xlpm.sum_month = 0, "", _xlpm.sum_month &amp; " colaboradores treinados.")
)</f>
        <v/>
      </c>
      <c r="L926" s="4" t="s">
        <v>193</v>
      </c>
      <c r="M926" s="9"/>
      <c r="N926" s="5" t="s">
        <v>51</v>
      </c>
      <c r="O926" s="5" t="s">
        <v>52</v>
      </c>
      <c r="P926" s="10" t="s">
        <v>44</v>
      </c>
      <c r="Q926" s="10" t="s">
        <v>44</v>
      </c>
      <c r="R926" s="11" t="s">
        <v>44</v>
      </c>
      <c r="S926" s="11" t="s">
        <v>44</v>
      </c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G926" s="71"/>
      <c r="AH926" s="71"/>
      <c r="AI926" s="71"/>
      <c r="AJ926" s="71"/>
      <c r="AK926" s="71"/>
      <c r="AL926" s="71"/>
      <c r="AM926" s="71"/>
      <c r="AN926" s="71"/>
      <c r="AO926" s="71"/>
      <c r="AP926" s="71"/>
      <c r="AQ926" s="71"/>
      <c r="AR926" s="71"/>
      <c r="AS926" s="94" t="str" cm="1">
        <f t="array" ref="AS926">IFERROR(INDEX(T926:AE926,1,MATCH(2,1/(T926:AE926&lt;&gt;""))),"")</f>
        <v/>
      </c>
      <c r="AT926" s="95">
        <f t="shared" ref="AT926:AT935" si="1179">AN926</f>
        <v>0</v>
      </c>
      <c r="AU926" s="97">
        <f t="shared" ref="AU926:AU935" si="1180">AT926</f>
        <v>0</v>
      </c>
      <c r="AW926" s="52">
        <f t="shared" ref="AW926:AW935" si="1181">AG926</f>
        <v>0</v>
      </c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68" cm="1">
        <f t="array" ref="BI926">IFERROR(INDEX(AW926:BH926,1,MATCH(2,1/(AW926:BH926&lt;&gt;""))),"")</f>
        <v>0</v>
      </c>
      <c r="BJ926" s="68" t="str" cm="1">
        <f t="array" ref="BJ926">IF(BM926 = "", "",IFERROR(INDEX(AW926:BH926,1,MATCH(2,1/(AW926:BH926&lt;&gt;""),1)-1),""))</f>
        <v/>
      </c>
      <c r="BK926" s="59">
        <f t="shared" ref="BK926:BK935" si="1182">SUM(AW926:BH926)</f>
        <v>0</v>
      </c>
      <c r="BL926" s="59">
        <f t="shared" ref="BL926:BL935" si="1183">SUM(AW926:BE926)</f>
        <v>0</v>
      </c>
      <c r="BM926" s="55" t="str" cm="1">
        <f t="array" ref="BM926">IFERROR(
   INDEX($AW$1:$BH$1,
      _xlfn.AGGREGATE(14, 6, COLUMN($AW$1:$BH$1)/(AW926:BH926&lt;&gt;""), 2) - COLUMN($AW$1) + 1
   ),
"")</f>
        <v/>
      </c>
      <c r="BN926" s="55" cm="1">
        <f t="array" ref="BN926">IFERROR(INDEX($AW$1:$BH$1,1,MATCH(2,1/(AW926:BH926&lt;&gt;""))),"")</f>
        <v>46023</v>
      </c>
      <c r="BO926" s="53">
        <f ca="1">IFERROR(_xlfn.XLOOKUP(F926,Apuração!A:A,Apuração!C:C)/_xlfn.XLOOKUP(F926,Apuração!A:A,Apuração!B:B),0)</f>
        <v>0</v>
      </c>
      <c r="BP926" s="53">
        <f ca="1">IFERROR(_xlfn.XLOOKUP(F926,Apuração!A:A,Apuração!D:D)/_xlfn.XLOOKUP(F926,Apuração!A:A,Apuração!B:B),0)</f>
        <v>0</v>
      </c>
      <c r="BQ926" s="53">
        <f ca="1">IF(BK926&gt;=BO926,0,_xlfn.XLOOKUP(F926,Apuração!A:A,Apuração!B:B)*(BO926 + (1/_xlfn.XLOOKUP(F926,Apuração!A:A,Apuração!B:B)) - BK926))</f>
        <v>0</v>
      </c>
      <c r="BR926" s="85">
        <f t="shared" ref="BR926:BR935" ca="1" si="1184">IF(BQ926=0,0,BQ926*Z926)</f>
        <v>0</v>
      </c>
      <c r="BS926" s="53">
        <f ca="1">IFERROR((_xlfn.XLOOKUP(F926,Apuração!A:A,Apuração!C:C)+1)/_xlfn.XLOOKUP(F926,Apuração!A:A,Apuração!B:B),0)</f>
        <v>0.14285714285714285</v>
      </c>
    </row>
    <row r="927" spans="1:71" ht="25.95" hidden="1" customHeight="1" x14ac:dyDescent="0.3">
      <c r="A927" s="44" t="s">
        <v>175</v>
      </c>
      <c r="B927" s="4" t="s">
        <v>187</v>
      </c>
      <c r="C927" s="5" t="s">
        <v>97</v>
      </c>
      <c r="D927" s="5" t="s">
        <v>99</v>
      </c>
      <c r="E927" s="4" t="s">
        <v>96</v>
      </c>
      <c r="F927" s="4" t="str" cm="1">
        <f t="array" ref="F927">_xlfn.IFS(
AG927 &lt;&gt; "", "Jan-Dez/26",
AH927 &lt;&gt; "", "Fev-Dez/26",
AI927 &lt;&gt; "", "Mar-Dez/26", AJ927 &lt;&gt; "", "Abr-Dez/26",
TRUE, "A partir de Junho"
)</f>
        <v>A partir de Junho</v>
      </c>
      <c r="G927" s="4" t="s">
        <v>62</v>
      </c>
      <c r="H927" s="7" t="s">
        <v>54</v>
      </c>
      <c r="I927" s="34" t="s">
        <v>192</v>
      </c>
      <c r="J927" s="8" t="str" cm="1">
        <f t="array" aca="1" ref="J927" ca="1">_xlfn.LET(
  _xlpm.actual_value_month, INDEX(T927:AE927, MATCH(DATE(YEAR(TODAY()), MONTH(TODAY()), 1), $T$1:$AE$1, 0)),
  IF(_xlpm.actual_value_month &lt;&gt; "", _xlpm.actual_value_month &amp; " ações mensais", "")
)</f>
        <v/>
      </c>
      <c r="K927" s="34" t="str" cm="1">
        <f t="array" ref="K927">_xlfn.LET(
    _xlpm.sum_month, SUM(T927:AE927),
    IF(_xlpm.sum_month = 0, "", _xlpm.sum_month &amp; " colaboradores treinados.")
)</f>
        <v/>
      </c>
      <c r="L927" s="4" t="s">
        <v>193</v>
      </c>
      <c r="M927" s="9"/>
      <c r="N927" s="5" t="s">
        <v>51</v>
      </c>
      <c r="O927" s="5" t="s">
        <v>52</v>
      </c>
      <c r="P927" s="10" t="s">
        <v>44</v>
      </c>
      <c r="Q927" s="10" t="s">
        <v>44</v>
      </c>
      <c r="R927" s="11" t="s">
        <v>44</v>
      </c>
      <c r="S927" s="11" t="s">
        <v>44</v>
      </c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G927" s="71"/>
      <c r="AH927" s="71"/>
      <c r="AI927" s="71"/>
      <c r="AJ927" s="71"/>
      <c r="AK927" s="71"/>
      <c r="AL927" s="71"/>
      <c r="AM927" s="71"/>
      <c r="AN927" s="71"/>
      <c r="AO927" s="71"/>
      <c r="AP927" s="71"/>
      <c r="AQ927" s="71"/>
      <c r="AR927" s="71"/>
      <c r="AS927" s="94" t="str" cm="1">
        <f t="array" ref="AS927">IFERROR(INDEX(T927:AE927,1,MATCH(2,1/(T927:AE927&lt;&gt;""))),"")</f>
        <v/>
      </c>
      <c r="AT927" s="95">
        <f t="shared" si="1179"/>
        <v>0</v>
      </c>
      <c r="AU927" s="97">
        <f t="shared" si="1180"/>
        <v>0</v>
      </c>
      <c r="AW927" s="52">
        <f t="shared" si="1181"/>
        <v>0</v>
      </c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68" cm="1">
        <f t="array" ref="BI927">IFERROR(INDEX(AW927:BH927,1,MATCH(2,1/(AW927:BH927&lt;&gt;""))),"")</f>
        <v>0</v>
      </c>
      <c r="BJ927" s="68" t="str" cm="1">
        <f t="array" ref="BJ927">IF(BM927 = "", "",IFERROR(INDEX(AW927:BH927,1,MATCH(2,1/(AW927:BH927&lt;&gt;""),1)-1),""))</f>
        <v/>
      </c>
      <c r="BK927" s="59">
        <f t="shared" si="1182"/>
        <v>0</v>
      </c>
      <c r="BL927" s="59">
        <f t="shared" si="1183"/>
        <v>0</v>
      </c>
      <c r="BM927" s="55" t="str" cm="1">
        <f t="array" ref="BM927">IFERROR(
   INDEX($AW$1:$BH$1,
      _xlfn.AGGREGATE(14, 6, COLUMN($AW$1:$BH$1)/(AW927:BH927&lt;&gt;""), 2) - COLUMN($AW$1) + 1
   ),
"")</f>
        <v/>
      </c>
      <c r="BN927" s="55" cm="1">
        <f t="array" ref="BN927">IFERROR(INDEX($AW$1:$BH$1,1,MATCH(2,1/(AW927:BH927&lt;&gt;""))),"")</f>
        <v>46023</v>
      </c>
      <c r="BO927" s="53">
        <f ca="1">IFERROR(_xlfn.XLOOKUP(F927,Apuração!A:A,Apuração!C:C)/_xlfn.XLOOKUP(F927,Apuração!A:A,Apuração!B:B),0)</f>
        <v>0</v>
      </c>
      <c r="BP927" s="53">
        <f ca="1">IFERROR(_xlfn.XLOOKUP(F927,Apuração!A:A,Apuração!D:D)/_xlfn.XLOOKUP(F927,Apuração!A:A,Apuração!B:B),0)</f>
        <v>0</v>
      </c>
      <c r="BQ927" s="53">
        <f ca="1">IF(BK927&gt;=BO927,0,_xlfn.XLOOKUP(F927,Apuração!A:A,Apuração!B:B)*(BO927 + (1/_xlfn.XLOOKUP(F927,Apuração!A:A,Apuração!B:B)) - BK927))</f>
        <v>0</v>
      </c>
      <c r="BR927" s="85">
        <f t="shared" ca="1" si="1184"/>
        <v>0</v>
      </c>
      <c r="BS927" s="53">
        <f ca="1">IFERROR((_xlfn.XLOOKUP(F927,Apuração!A:A,Apuração!C:C)+1)/_xlfn.XLOOKUP(F927,Apuração!A:A,Apuração!B:B),0)</f>
        <v>0.14285714285714285</v>
      </c>
    </row>
    <row r="928" spans="1:71" ht="25.95" hidden="1" customHeight="1" x14ac:dyDescent="0.3">
      <c r="A928" s="44" t="s">
        <v>175</v>
      </c>
      <c r="B928" s="4" t="s">
        <v>187</v>
      </c>
      <c r="C928" s="5" t="s">
        <v>97</v>
      </c>
      <c r="D928" s="5" t="s">
        <v>100</v>
      </c>
      <c r="E928" s="4" t="s">
        <v>96</v>
      </c>
      <c r="F928" s="4" t="str" cm="1">
        <f t="array" ref="F928">_xlfn.IFS(
AG928 &lt;&gt; "", "Jan-Dez/26",
AH928 &lt;&gt; "", "Fev-Dez/26",
AI928 &lt;&gt; "", "Mar-Dez/26", AJ928 &lt;&gt; "", "Abr-Dez/26",
TRUE, "A partir de Junho"
)</f>
        <v>A partir de Junho</v>
      </c>
      <c r="G928" s="4" t="s">
        <v>62</v>
      </c>
      <c r="H928" s="7" t="s">
        <v>54</v>
      </c>
      <c r="I928" s="34" t="s">
        <v>192</v>
      </c>
      <c r="J928" s="8" t="str" cm="1">
        <f t="array" aca="1" ref="J928" ca="1">_xlfn.LET(
  _xlpm.actual_value_month, INDEX(T928:AE928, MATCH(DATE(YEAR(TODAY()), MONTH(TODAY()), 1), $T$1:$AE$1, 0)),
  IF(_xlpm.actual_value_month &lt;&gt; "", _xlpm.actual_value_month &amp; " ações mensais", "")
)</f>
        <v/>
      </c>
      <c r="K928" s="34" t="str" cm="1">
        <f t="array" ref="K928">_xlfn.LET(
    _xlpm.sum_month, SUM(T928:AE928),
    IF(_xlpm.sum_month = 0, "", _xlpm.sum_month &amp; " colaboradores treinados.")
)</f>
        <v/>
      </c>
      <c r="L928" s="4" t="s">
        <v>193</v>
      </c>
      <c r="M928" s="9"/>
      <c r="N928" s="5" t="s">
        <v>51</v>
      </c>
      <c r="O928" s="5" t="s">
        <v>52</v>
      </c>
      <c r="P928" s="10" t="s">
        <v>44</v>
      </c>
      <c r="Q928" s="10" t="s">
        <v>44</v>
      </c>
      <c r="R928" s="11" t="s">
        <v>44</v>
      </c>
      <c r="S928" s="11" t="s">
        <v>44</v>
      </c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G928" s="71"/>
      <c r="AH928" s="71"/>
      <c r="AI928" s="71"/>
      <c r="AJ928" s="71"/>
      <c r="AK928" s="71"/>
      <c r="AL928" s="71"/>
      <c r="AM928" s="71"/>
      <c r="AN928" s="71"/>
      <c r="AO928" s="71"/>
      <c r="AP928" s="71"/>
      <c r="AQ928" s="71"/>
      <c r="AR928" s="71"/>
      <c r="AS928" s="94" t="str" cm="1">
        <f t="array" ref="AS928">IFERROR(INDEX(T928:AE928,1,MATCH(2,1/(T928:AE928&lt;&gt;""))),"")</f>
        <v/>
      </c>
      <c r="AT928" s="95">
        <f t="shared" si="1179"/>
        <v>0</v>
      </c>
      <c r="AU928" s="97">
        <f t="shared" si="1180"/>
        <v>0</v>
      </c>
      <c r="AW928" s="52">
        <f t="shared" si="1181"/>
        <v>0</v>
      </c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68" cm="1">
        <f t="array" ref="BI928">IFERROR(INDEX(AW928:BH928,1,MATCH(2,1/(AW928:BH928&lt;&gt;""))),"")</f>
        <v>0</v>
      </c>
      <c r="BJ928" s="68" t="str" cm="1">
        <f t="array" ref="BJ928">IF(BM928 = "", "",IFERROR(INDEX(AW928:BH928,1,MATCH(2,1/(AW928:BH928&lt;&gt;""),1)-1),""))</f>
        <v/>
      </c>
      <c r="BK928" s="59">
        <f t="shared" si="1182"/>
        <v>0</v>
      </c>
      <c r="BL928" s="59">
        <f t="shared" si="1183"/>
        <v>0</v>
      </c>
      <c r="BM928" s="55" t="str" cm="1">
        <f t="array" ref="BM928">IFERROR(
   INDEX($AW$1:$BH$1,
      _xlfn.AGGREGATE(14, 6, COLUMN($AW$1:$BH$1)/(AW928:BH928&lt;&gt;""), 2) - COLUMN($AW$1) + 1
   ),
"")</f>
        <v/>
      </c>
      <c r="BN928" s="55" cm="1">
        <f t="array" ref="BN928">IFERROR(INDEX($AW$1:$BH$1,1,MATCH(2,1/(AW928:BH928&lt;&gt;""))),"")</f>
        <v>46023</v>
      </c>
      <c r="BO928" s="53">
        <f ca="1">IFERROR(_xlfn.XLOOKUP(F928,Apuração!A:A,Apuração!C:C)/_xlfn.XLOOKUP(F928,Apuração!A:A,Apuração!B:B),0)</f>
        <v>0</v>
      </c>
      <c r="BP928" s="53">
        <f ca="1">IFERROR(_xlfn.XLOOKUP(F928,Apuração!A:A,Apuração!D:D)/_xlfn.XLOOKUP(F928,Apuração!A:A,Apuração!B:B),0)</f>
        <v>0</v>
      </c>
      <c r="BQ928" s="53">
        <f ca="1">IF(BK928&gt;=BO928,0,_xlfn.XLOOKUP(F928,Apuração!A:A,Apuração!B:B)*(BO928 + (1/_xlfn.XLOOKUP(F928,Apuração!A:A,Apuração!B:B)) - BK928))</f>
        <v>0</v>
      </c>
      <c r="BR928" s="85">
        <f t="shared" ca="1" si="1184"/>
        <v>0</v>
      </c>
      <c r="BS928" s="53">
        <f ca="1">IFERROR((_xlfn.XLOOKUP(F928,Apuração!A:A,Apuração!C:C)+1)/_xlfn.XLOOKUP(F928,Apuração!A:A,Apuração!B:B),0)</f>
        <v>0.14285714285714285</v>
      </c>
    </row>
    <row r="929" spans="1:71" ht="25.95" hidden="1" customHeight="1" x14ac:dyDescent="0.3">
      <c r="A929" s="44" t="s">
        <v>175</v>
      </c>
      <c r="B929" s="4" t="s">
        <v>187</v>
      </c>
      <c r="C929" s="5" t="s">
        <v>97</v>
      </c>
      <c r="D929" s="5" t="s">
        <v>101</v>
      </c>
      <c r="E929" s="4" t="s">
        <v>96</v>
      </c>
      <c r="F929" s="4" t="str" cm="1">
        <f t="array" ref="F929">_xlfn.IFS(
AG929 &lt;&gt; "", "Jan-Dez/26",
AH929 &lt;&gt; "", "Fev-Dez/26",
AI929 &lt;&gt; "", "Mar-Dez/26", AJ929 &lt;&gt; "", "Abr-Dez/26",
TRUE, "A partir de Junho"
)</f>
        <v>A partir de Junho</v>
      </c>
      <c r="G929" s="4" t="s">
        <v>62</v>
      </c>
      <c r="H929" s="7" t="s">
        <v>54</v>
      </c>
      <c r="I929" s="34" t="s">
        <v>192</v>
      </c>
      <c r="J929" s="8" t="str" cm="1">
        <f t="array" aca="1" ref="J929" ca="1">_xlfn.LET(
  _xlpm.actual_value_month, INDEX(T929:AE929, MATCH(DATE(YEAR(TODAY()), MONTH(TODAY()), 1), $T$1:$AE$1, 0)),
  IF(_xlpm.actual_value_month &lt;&gt; "", _xlpm.actual_value_month &amp; " ações mensais", "")
)</f>
        <v/>
      </c>
      <c r="K929" s="34" t="str" cm="1">
        <f t="array" ref="K929">_xlfn.LET(
    _xlpm.sum_month, SUM(T929:AE929),
    IF(_xlpm.sum_month = 0, "", _xlpm.sum_month &amp; " colaboradores treinados.")
)</f>
        <v/>
      </c>
      <c r="L929" s="4" t="s">
        <v>193</v>
      </c>
      <c r="M929" s="9"/>
      <c r="N929" s="5" t="s">
        <v>51</v>
      </c>
      <c r="O929" s="5" t="s">
        <v>52</v>
      </c>
      <c r="P929" s="10" t="s">
        <v>44</v>
      </c>
      <c r="Q929" s="10" t="s">
        <v>44</v>
      </c>
      <c r="R929" s="11" t="s">
        <v>44</v>
      </c>
      <c r="S929" s="11" t="s">
        <v>44</v>
      </c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G929" s="71"/>
      <c r="AH929" s="71"/>
      <c r="AI929" s="71"/>
      <c r="AJ929" s="71"/>
      <c r="AK929" s="71"/>
      <c r="AL929" s="71"/>
      <c r="AM929" s="71"/>
      <c r="AN929" s="71"/>
      <c r="AO929" s="71"/>
      <c r="AP929" s="71"/>
      <c r="AQ929" s="71"/>
      <c r="AR929" s="71"/>
      <c r="AS929" s="94" t="str" cm="1">
        <f t="array" ref="AS929">IFERROR(INDEX(T929:AE929,1,MATCH(2,1/(T929:AE929&lt;&gt;""))),"")</f>
        <v/>
      </c>
      <c r="AT929" s="95">
        <f t="shared" si="1179"/>
        <v>0</v>
      </c>
      <c r="AU929" s="97">
        <f t="shared" si="1180"/>
        <v>0</v>
      </c>
      <c r="AW929" s="52">
        <f t="shared" si="1181"/>
        <v>0</v>
      </c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68" cm="1">
        <f t="array" ref="BI929">IFERROR(INDEX(AW929:BH929,1,MATCH(2,1/(AW929:BH929&lt;&gt;""))),"")</f>
        <v>0</v>
      </c>
      <c r="BJ929" s="68" t="str" cm="1">
        <f t="array" ref="BJ929">IF(BM929 = "", "",IFERROR(INDEX(AW929:BH929,1,MATCH(2,1/(AW929:BH929&lt;&gt;""),1)-1),""))</f>
        <v/>
      </c>
      <c r="BK929" s="59">
        <f t="shared" si="1182"/>
        <v>0</v>
      </c>
      <c r="BL929" s="59">
        <f t="shared" si="1183"/>
        <v>0</v>
      </c>
      <c r="BM929" s="55" t="str" cm="1">
        <f t="array" ref="BM929">IFERROR(
   INDEX($AW$1:$BH$1,
      _xlfn.AGGREGATE(14, 6, COLUMN($AW$1:$BH$1)/(AW929:BH929&lt;&gt;""), 2) - COLUMN($AW$1) + 1
   ),
"")</f>
        <v/>
      </c>
      <c r="BN929" s="55" cm="1">
        <f t="array" ref="BN929">IFERROR(INDEX($AW$1:$BH$1,1,MATCH(2,1/(AW929:BH929&lt;&gt;""))),"")</f>
        <v>46023</v>
      </c>
      <c r="BO929" s="53">
        <f ca="1">IFERROR(_xlfn.XLOOKUP(F929,Apuração!A:A,Apuração!C:C)/_xlfn.XLOOKUP(F929,Apuração!A:A,Apuração!B:B),0)</f>
        <v>0</v>
      </c>
      <c r="BP929" s="53">
        <f ca="1">IFERROR(_xlfn.XLOOKUP(F929,Apuração!A:A,Apuração!D:D)/_xlfn.XLOOKUP(F929,Apuração!A:A,Apuração!B:B),0)</f>
        <v>0</v>
      </c>
      <c r="BQ929" s="53">
        <f ca="1">IF(BK929&gt;=BO929,0,_xlfn.XLOOKUP(F929,Apuração!A:A,Apuração!B:B)*(BO929 + (1/_xlfn.XLOOKUP(F929,Apuração!A:A,Apuração!B:B)) - BK929))</f>
        <v>0</v>
      </c>
      <c r="BR929" s="85">
        <f t="shared" ca="1" si="1184"/>
        <v>0</v>
      </c>
      <c r="BS929" s="53">
        <f ca="1">IFERROR((_xlfn.XLOOKUP(F929,Apuração!A:A,Apuração!C:C)+1)/_xlfn.XLOOKUP(F929,Apuração!A:A,Apuração!B:B),0)</f>
        <v>0.14285714285714285</v>
      </c>
    </row>
    <row r="930" spans="1:71" ht="25.95" hidden="1" customHeight="1" x14ac:dyDescent="0.3">
      <c r="A930" s="44" t="s">
        <v>175</v>
      </c>
      <c r="B930" s="4" t="s">
        <v>187</v>
      </c>
      <c r="C930" s="5" t="s">
        <v>97</v>
      </c>
      <c r="D930" s="5" t="s">
        <v>102</v>
      </c>
      <c r="E930" s="4" t="s">
        <v>96</v>
      </c>
      <c r="F930" s="4" t="str" cm="1">
        <f t="array" ref="F930">_xlfn.IFS(
AG930 &lt;&gt; "", "Jan-Dez/26",
AH930 &lt;&gt; "", "Fev-Dez/26",
AI930 &lt;&gt; "", "Mar-Dez/26", AJ930 &lt;&gt; "", "Abr-Dez/26",
TRUE, "A partir de Junho"
)</f>
        <v>A partir de Junho</v>
      </c>
      <c r="G930" s="4" t="s">
        <v>62</v>
      </c>
      <c r="H930" s="7" t="s">
        <v>54</v>
      </c>
      <c r="I930" s="34" t="s">
        <v>192</v>
      </c>
      <c r="J930" s="8" t="str" cm="1">
        <f t="array" aca="1" ref="J930" ca="1">_xlfn.LET(
  _xlpm.actual_value_month, INDEX(T930:AE930, MATCH(DATE(YEAR(TODAY()), MONTH(TODAY()), 1), $T$1:$AE$1, 0)),
  IF(_xlpm.actual_value_month &lt;&gt; "", _xlpm.actual_value_month &amp; " ações mensais", "")
)</f>
        <v/>
      </c>
      <c r="K930" s="34" t="str" cm="1">
        <f t="array" ref="K930">_xlfn.LET(
    _xlpm.sum_month, SUM(T930:AE930),
    IF(_xlpm.sum_month = 0, "", _xlpm.sum_month &amp; " colaboradores treinados.")
)</f>
        <v/>
      </c>
      <c r="L930" s="4" t="s">
        <v>193</v>
      </c>
      <c r="M930" s="9"/>
      <c r="N930" s="5" t="s">
        <v>51</v>
      </c>
      <c r="O930" s="5" t="s">
        <v>52</v>
      </c>
      <c r="P930" s="10" t="s">
        <v>44</v>
      </c>
      <c r="Q930" s="10" t="s">
        <v>44</v>
      </c>
      <c r="R930" s="11" t="s">
        <v>44</v>
      </c>
      <c r="S930" s="11" t="s">
        <v>44</v>
      </c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G930" s="71"/>
      <c r="AH930" s="71"/>
      <c r="AI930" s="71"/>
      <c r="AJ930" s="71"/>
      <c r="AK930" s="71"/>
      <c r="AL930" s="71"/>
      <c r="AM930" s="71"/>
      <c r="AN930" s="71"/>
      <c r="AO930" s="71"/>
      <c r="AP930" s="71"/>
      <c r="AQ930" s="71"/>
      <c r="AR930" s="71"/>
      <c r="AS930" s="94" t="str" cm="1">
        <f t="array" ref="AS930">IFERROR(INDEX(T930:AE930,1,MATCH(2,1/(T930:AE930&lt;&gt;""))),"")</f>
        <v/>
      </c>
      <c r="AT930" s="95">
        <f t="shared" si="1179"/>
        <v>0</v>
      </c>
      <c r="AU930" s="97">
        <f t="shared" si="1180"/>
        <v>0</v>
      </c>
      <c r="AW930" s="52">
        <f t="shared" si="1181"/>
        <v>0</v>
      </c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68" cm="1">
        <f t="array" ref="BI930">IFERROR(INDEX(AW930:BH930,1,MATCH(2,1/(AW930:BH930&lt;&gt;""))),"")</f>
        <v>0</v>
      </c>
      <c r="BJ930" s="68" t="str" cm="1">
        <f t="array" ref="BJ930">IF(BM930 = "", "",IFERROR(INDEX(AW930:BH930,1,MATCH(2,1/(AW930:BH930&lt;&gt;""),1)-1),""))</f>
        <v/>
      </c>
      <c r="BK930" s="59">
        <f t="shared" si="1182"/>
        <v>0</v>
      </c>
      <c r="BL930" s="59">
        <f t="shared" si="1183"/>
        <v>0</v>
      </c>
      <c r="BM930" s="55" t="str" cm="1">
        <f t="array" ref="BM930">IFERROR(
   INDEX($AW$1:$BH$1,
      _xlfn.AGGREGATE(14, 6, COLUMN($AW$1:$BH$1)/(AW930:BH930&lt;&gt;""), 2) - COLUMN($AW$1) + 1
   ),
"")</f>
        <v/>
      </c>
      <c r="BN930" s="55" cm="1">
        <f t="array" ref="BN930">IFERROR(INDEX($AW$1:$BH$1,1,MATCH(2,1/(AW930:BH930&lt;&gt;""))),"")</f>
        <v>46023</v>
      </c>
      <c r="BO930" s="53">
        <f ca="1">IFERROR(_xlfn.XLOOKUP(F930,Apuração!A:A,Apuração!C:C)/_xlfn.XLOOKUP(F930,Apuração!A:A,Apuração!B:B),0)</f>
        <v>0</v>
      </c>
      <c r="BP930" s="53">
        <f ca="1">IFERROR(_xlfn.XLOOKUP(F930,Apuração!A:A,Apuração!D:D)/_xlfn.XLOOKUP(F930,Apuração!A:A,Apuração!B:B),0)</f>
        <v>0</v>
      </c>
      <c r="BQ930" s="53">
        <f ca="1">IF(BK930&gt;=BO930,0,_xlfn.XLOOKUP(F930,Apuração!A:A,Apuração!B:B)*(BO930 + (1/_xlfn.XLOOKUP(F930,Apuração!A:A,Apuração!B:B)) - BK930))</f>
        <v>0</v>
      </c>
      <c r="BR930" s="85">
        <f t="shared" ca="1" si="1184"/>
        <v>0</v>
      </c>
      <c r="BS930" s="53">
        <f ca="1">IFERROR((_xlfn.XLOOKUP(F930,Apuração!A:A,Apuração!C:C)+1)/_xlfn.XLOOKUP(F930,Apuração!A:A,Apuração!B:B),0)</f>
        <v>0.14285714285714285</v>
      </c>
    </row>
    <row r="931" spans="1:71" ht="25.95" hidden="1" customHeight="1" x14ac:dyDescent="0.3">
      <c r="A931" s="44" t="s">
        <v>175</v>
      </c>
      <c r="B931" s="4" t="s">
        <v>187</v>
      </c>
      <c r="C931" s="5" t="s">
        <v>97</v>
      </c>
      <c r="D931" s="5" t="s">
        <v>103</v>
      </c>
      <c r="E931" s="4" t="s">
        <v>96</v>
      </c>
      <c r="F931" s="4" t="str" cm="1">
        <f t="array" ref="F931">_xlfn.IFS(
AG931 &lt;&gt; "", "Jan-Dez/26",
AH931 &lt;&gt; "", "Fev-Dez/26",
AI931 &lt;&gt; "", "Mar-Dez/26", AJ931 &lt;&gt; "", "Abr-Dez/26",
TRUE, "A partir de Junho"
)</f>
        <v>A partir de Junho</v>
      </c>
      <c r="G931" s="4" t="s">
        <v>62</v>
      </c>
      <c r="H931" s="7" t="s">
        <v>54</v>
      </c>
      <c r="I931" s="34" t="s">
        <v>192</v>
      </c>
      <c r="J931" s="8" t="str" cm="1">
        <f t="array" aca="1" ref="J931" ca="1">_xlfn.LET(
  _xlpm.actual_value_month, INDEX(T931:AE931, MATCH(DATE(YEAR(TODAY()), MONTH(TODAY()), 1), $T$1:$AE$1, 0)),
  IF(_xlpm.actual_value_month &lt;&gt; "", _xlpm.actual_value_month &amp; " ações mensais", "")
)</f>
        <v/>
      </c>
      <c r="K931" s="34" t="str" cm="1">
        <f t="array" ref="K931">_xlfn.LET(
    _xlpm.sum_month, SUM(T931:AE931),
    IF(_xlpm.sum_month = 0, "", _xlpm.sum_month &amp; " colaboradores treinados.")
)</f>
        <v/>
      </c>
      <c r="L931" s="4" t="s">
        <v>193</v>
      </c>
      <c r="M931" s="9"/>
      <c r="N931" s="5" t="s">
        <v>51</v>
      </c>
      <c r="O931" s="5" t="s">
        <v>52</v>
      </c>
      <c r="P931" s="10" t="s">
        <v>44</v>
      </c>
      <c r="Q931" s="10" t="s">
        <v>44</v>
      </c>
      <c r="R931" s="11" t="s">
        <v>44</v>
      </c>
      <c r="S931" s="11" t="s">
        <v>44</v>
      </c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G931" s="71"/>
      <c r="AH931" s="71"/>
      <c r="AI931" s="71"/>
      <c r="AJ931" s="71"/>
      <c r="AK931" s="71"/>
      <c r="AL931" s="71"/>
      <c r="AM931" s="71"/>
      <c r="AN931" s="71"/>
      <c r="AO931" s="71"/>
      <c r="AP931" s="71"/>
      <c r="AQ931" s="71"/>
      <c r="AR931" s="71"/>
      <c r="AS931" s="94" t="str" cm="1">
        <f t="array" ref="AS931">IFERROR(INDEX(T931:AE931,1,MATCH(2,1/(T931:AE931&lt;&gt;""))),"")</f>
        <v/>
      </c>
      <c r="AT931" s="95">
        <f t="shared" si="1179"/>
        <v>0</v>
      </c>
      <c r="AU931" s="97">
        <f t="shared" si="1180"/>
        <v>0</v>
      </c>
      <c r="AW931" s="52">
        <f t="shared" si="1181"/>
        <v>0</v>
      </c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68" cm="1">
        <f t="array" ref="BI931">IFERROR(INDEX(AW931:BH931,1,MATCH(2,1/(AW931:BH931&lt;&gt;""))),"")</f>
        <v>0</v>
      </c>
      <c r="BJ931" s="68" t="str" cm="1">
        <f t="array" ref="BJ931">IF(BM931 = "", "",IFERROR(INDEX(AW931:BH931,1,MATCH(2,1/(AW931:BH931&lt;&gt;""),1)-1),""))</f>
        <v/>
      </c>
      <c r="BK931" s="59">
        <f t="shared" si="1182"/>
        <v>0</v>
      </c>
      <c r="BL931" s="59">
        <f t="shared" si="1183"/>
        <v>0</v>
      </c>
      <c r="BM931" s="55" t="str" cm="1">
        <f t="array" ref="BM931">IFERROR(
   INDEX($AW$1:$BH$1,
      _xlfn.AGGREGATE(14, 6, COLUMN($AW$1:$BH$1)/(AW931:BH931&lt;&gt;""), 2) - COLUMN($AW$1) + 1
   ),
"")</f>
        <v/>
      </c>
      <c r="BN931" s="55" cm="1">
        <f t="array" ref="BN931">IFERROR(INDEX($AW$1:$BH$1,1,MATCH(2,1/(AW931:BH931&lt;&gt;""))),"")</f>
        <v>46023</v>
      </c>
      <c r="BO931" s="53">
        <f ca="1">IFERROR(_xlfn.XLOOKUP(F931,Apuração!A:A,Apuração!C:C)/_xlfn.XLOOKUP(F931,Apuração!A:A,Apuração!B:B),0)</f>
        <v>0</v>
      </c>
      <c r="BP931" s="53">
        <f ca="1">IFERROR(_xlfn.XLOOKUP(F931,Apuração!A:A,Apuração!D:D)/_xlfn.XLOOKUP(F931,Apuração!A:A,Apuração!B:B),0)</f>
        <v>0</v>
      </c>
      <c r="BQ931" s="53">
        <f ca="1">IF(BK931&gt;=BO931,0,_xlfn.XLOOKUP(F931,Apuração!A:A,Apuração!B:B)*(BO931 + (1/_xlfn.XLOOKUP(F931,Apuração!A:A,Apuração!B:B)) - BK931))</f>
        <v>0</v>
      </c>
      <c r="BR931" s="85">
        <f t="shared" ca="1" si="1184"/>
        <v>0</v>
      </c>
      <c r="BS931" s="53">
        <f ca="1">IFERROR((_xlfn.XLOOKUP(F931,Apuração!A:A,Apuração!C:C)+1)/_xlfn.XLOOKUP(F931,Apuração!A:A,Apuração!B:B),0)</f>
        <v>0.14285714285714285</v>
      </c>
    </row>
    <row r="932" spans="1:71" ht="25.95" hidden="1" customHeight="1" x14ac:dyDescent="0.3">
      <c r="A932" s="44" t="s">
        <v>175</v>
      </c>
      <c r="B932" s="4" t="s">
        <v>187</v>
      </c>
      <c r="C932" s="5" t="s">
        <v>97</v>
      </c>
      <c r="D932" s="5" t="s">
        <v>104</v>
      </c>
      <c r="E932" s="4" t="s">
        <v>96</v>
      </c>
      <c r="F932" s="4" t="str" cm="1">
        <f t="array" ref="F932">_xlfn.IFS(
AG932 &lt;&gt; "", "Jan-Dez/26",
AH932 &lt;&gt; "", "Fev-Dez/26",
AI932 &lt;&gt; "", "Mar-Dez/26", AJ932 &lt;&gt; "", "Abr-Dez/26",
TRUE, "A partir de Junho"
)</f>
        <v>A partir de Junho</v>
      </c>
      <c r="G932" s="4" t="s">
        <v>62</v>
      </c>
      <c r="H932" s="7" t="s">
        <v>54</v>
      </c>
      <c r="I932" s="34" t="s">
        <v>192</v>
      </c>
      <c r="J932" s="8" t="str" cm="1">
        <f t="array" aca="1" ref="J932" ca="1">_xlfn.LET(
  _xlpm.actual_value_month, INDEX(T932:AE932, MATCH(DATE(YEAR(TODAY()), MONTH(TODAY()), 1), $T$1:$AE$1, 0)),
  IF(_xlpm.actual_value_month &lt;&gt; "", _xlpm.actual_value_month &amp; " ações mensais", "")
)</f>
        <v/>
      </c>
      <c r="K932" s="34" t="str" cm="1">
        <f t="array" ref="K932">_xlfn.LET(
    _xlpm.sum_month, SUM(T932:AE932),
    IF(_xlpm.sum_month = 0, "", _xlpm.sum_month &amp; " colaboradores treinados.")
)</f>
        <v/>
      </c>
      <c r="L932" s="4" t="s">
        <v>193</v>
      </c>
      <c r="M932" s="9"/>
      <c r="N932" s="5" t="s">
        <v>51</v>
      </c>
      <c r="O932" s="5" t="s">
        <v>52</v>
      </c>
      <c r="P932" s="10" t="s">
        <v>44</v>
      </c>
      <c r="Q932" s="10" t="s">
        <v>44</v>
      </c>
      <c r="R932" s="11" t="s">
        <v>44</v>
      </c>
      <c r="S932" s="11" t="s">
        <v>44</v>
      </c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G932" s="71"/>
      <c r="AH932" s="71"/>
      <c r="AI932" s="71"/>
      <c r="AJ932" s="71"/>
      <c r="AK932" s="71"/>
      <c r="AL932" s="71"/>
      <c r="AM932" s="71"/>
      <c r="AN932" s="71"/>
      <c r="AO932" s="71"/>
      <c r="AP932" s="71"/>
      <c r="AQ932" s="71"/>
      <c r="AR932" s="71"/>
      <c r="AS932" s="94" t="str" cm="1">
        <f t="array" ref="AS932">IFERROR(INDEX(T932:AE932,1,MATCH(2,1/(T932:AE932&lt;&gt;""))),"")</f>
        <v/>
      </c>
      <c r="AT932" s="95">
        <f t="shared" si="1179"/>
        <v>0</v>
      </c>
      <c r="AU932" s="97">
        <f t="shared" si="1180"/>
        <v>0</v>
      </c>
      <c r="AW932" s="52">
        <f t="shared" si="1181"/>
        <v>0</v>
      </c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68" cm="1">
        <f t="array" ref="BI932">IFERROR(INDEX(AW932:BH932,1,MATCH(2,1/(AW932:BH932&lt;&gt;""))),"")</f>
        <v>0</v>
      </c>
      <c r="BJ932" s="68" t="str" cm="1">
        <f t="array" ref="BJ932">IF(BM932 = "", "",IFERROR(INDEX(AW932:BH932,1,MATCH(2,1/(AW932:BH932&lt;&gt;""),1)-1),""))</f>
        <v/>
      </c>
      <c r="BK932" s="59">
        <f t="shared" si="1182"/>
        <v>0</v>
      </c>
      <c r="BL932" s="59">
        <f t="shared" si="1183"/>
        <v>0</v>
      </c>
      <c r="BM932" s="55" t="str" cm="1">
        <f t="array" ref="BM932">IFERROR(
   INDEX($AW$1:$BH$1,
      _xlfn.AGGREGATE(14, 6, COLUMN($AW$1:$BH$1)/(AW932:BH932&lt;&gt;""), 2) - COLUMN($AW$1) + 1
   ),
"")</f>
        <v/>
      </c>
      <c r="BN932" s="55" cm="1">
        <f t="array" ref="BN932">IFERROR(INDEX($AW$1:$BH$1,1,MATCH(2,1/(AW932:BH932&lt;&gt;""))),"")</f>
        <v>46023</v>
      </c>
      <c r="BO932" s="53">
        <f ca="1">IFERROR(_xlfn.XLOOKUP(F932,Apuração!A:A,Apuração!C:C)/_xlfn.XLOOKUP(F932,Apuração!A:A,Apuração!B:B),0)</f>
        <v>0</v>
      </c>
      <c r="BP932" s="53">
        <f ca="1">IFERROR(_xlfn.XLOOKUP(F932,Apuração!A:A,Apuração!D:D)/_xlfn.XLOOKUP(F932,Apuração!A:A,Apuração!B:B),0)</f>
        <v>0</v>
      </c>
      <c r="BQ932" s="53">
        <f ca="1">IF(BK932&gt;=BO932,0,_xlfn.XLOOKUP(F932,Apuração!A:A,Apuração!B:B)*(BO932 + (1/_xlfn.XLOOKUP(F932,Apuração!A:A,Apuração!B:B)) - BK932))</f>
        <v>0</v>
      </c>
      <c r="BR932" s="85">
        <f t="shared" ca="1" si="1184"/>
        <v>0</v>
      </c>
      <c r="BS932" s="53">
        <f ca="1">IFERROR((_xlfn.XLOOKUP(F932,Apuração!A:A,Apuração!C:C)+1)/_xlfn.XLOOKUP(F932,Apuração!A:A,Apuração!B:B),0)</f>
        <v>0.14285714285714285</v>
      </c>
    </row>
    <row r="933" spans="1:71" ht="25.95" hidden="1" customHeight="1" x14ac:dyDescent="0.3">
      <c r="A933" s="44" t="s">
        <v>175</v>
      </c>
      <c r="B933" s="4" t="s">
        <v>187</v>
      </c>
      <c r="C933" s="5" t="s">
        <v>97</v>
      </c>
      <c r="D933" s="5" t="s">
        <v>105</v>
      </c>
      <c r="E933" s="4" t="s">
        <v>96</v>
      </c>
      <c r="F933" s="4" t="str" cm="1">
        <f t="array" ref="F933">_xlfn.IFS(
AG933 &lt;&gt; "", "Jan-Dez/26",
AH933 &lt;&gt; "", "Fev-Dez/26",
AI933 &lt;&gt; "", "Mar-Dez/26", AJ933 &lt;&gt; "", "Abr-Dez/26",
TRUE, "A partir de Junho"
)</f>
        <v>A partir de Junho</v>
      </c>
      <c r="G933" s="4" t="s">
        <v>62</v>
      </c>
      <c r="H933" s="7" t="s">
        <v>54</v>
      </c>
      <c r="I933" s="34" t="s">
        <v>192</v>
      </c>
      <c r="J933" s="8" t="str" cm="1">
        <f t="array" aca="1" ref="J933" ca="1">_xlfn.LET(
  _xlpm.actual_value_month, INDEX(T933:AE933, MATCH(DATE(YEAR(TODAY()), MONTH(TODAY()), 1), $T$1:$AE$1, 0)),
  IF(_xlpm.actual_value_month &lt;&gt; "", _xlpm.actual_value_month &amp; " ações mensais", "")
)</f>
        <v/>
      </c>
      <c r="K933" s="34" t="str" cm="1">
        <f t="array" ref="K933">_xlfn.LET(
    _xlpm.sum_month, SUM(T933:AE933),
    IF(_xlpm.sum_month = 0, "", _xlpm.sum_month &amp; " colaboradores treinados.")
)</f>
        <v/>
      </c>
      <c r="L933" s="4" t="s">
        <v>193</v>
      </c>
      <c r="M933" s="9"/>
      <c r="N933" s="5" t="s">
        <v>51</v>
      </c>
      <c r="O933" s="5" t="s">
        <v>52</v>
      </c>
      <c r="P933" s="10" t="s">
        <v>44</v>
      </c>
      <c r="Q933" s="10" t="s">
        <v>44</v>
      </c>
      <c r="R933" s="11" t="s">
        <v>44</v>
      </c>
      <c r="S933" s="11" t="s">
        <v>44</v>
      </c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G933" s="71"/>
      <c r="AH933" s="71"/>
      <c r="AI933" s="71"/>
      <c r="AJ933" s="71"/>
      <c r="AK933" s="71"/>
      <c r="AL933" s="71"/>
      <c r="AM933" s="71"/>
      <c r="AN933" s="71"/>
      <c r="AO933" s="71"/>
      <c r="AP933" s="71"/>
      <c r="AQ933" s="71"/>
      <c r="AR933" s="71"/>
      <c r="AS933" s="94" t="str" cm="1">
        <f t="array" ref="AS933">IFERROR(INDEX(T933:AE933,1,MATCH(2,1/(T933:AE933&lt;&gt;""))),"")</f>
        <v/>
      </c>
      <c r="AT933" s="95">
        <f t="shared" si="1179"/>
        <v>0</v>
      </c>
      <c r="AU933" s="97">
        <f t="shared" si="1180"/>
        <v>0</v>
      </c>
      <c r="AW933" s="52">
        <f t="shared" si="1181"/>
        <v>0</v>
      </c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68" cm="1">
        <f t="array" ref="BI933">IFERROR(INDEX(AW933:BH933,1,MATCH(2,1/(AW933:BH933&lt;&gt;""))),"")</f>
        <v>0</v>
      </c>
      <c r="BJ933" s="68" t="str" cm="1">
        <f t="array" ref="BJ933">IF(BM933 = "", "",IFERROR(INDEX(AW933:BH933,1,MATCH(2,1/(AW933:BH933&lt;&gt;""),1)-1),""))</f>
        <v/>
      </c>
      <c r="BK933" s="59">
        <f t="shared" si="1182"/>
        <v>0</v>
      </c>
      <c r="BL933" s="59">
        <f t="shared" si="1183"/>
        <v>0</v>
      </c>
      <c r="BM933" s="55" t="str" cm="1">
        <f t="array" ref="BM933">IFERROR(
   INDEX($AW$1:$BH$1,
      _xlfn.AGGREGATE(14, 6, COLUMN($AW$1:$BH$1)/(AW933:BH933&lt;&gt;""), 2) - COLUMN($AW$1) + 1
   ),
"")</f>
        <v/>
      </c>
      <c r="BN933" s="55" cm="1">
        <f t="array" ref="BN933">IFERROR(INDEX($AW$1:$BH$1,1,MATCH(2,1/(AW933:BH933&lt;&gt;""))),"")</f>
        <v>46023</v>
      </c>
      <c r="BO933" s="53">
        <f ca="1">IFERROR(_xlfn.XLOOKUP(F933,Apuração!A:A,Apuração!C:C)/_xlfn.XLOOKUP(F933,Apuração!A:A,Apuração!B:B),0)</f>
        <v>0</v>
      </c>
      <c r="BP933" s="53">
        <f ca="1">IFERROR(_xlfn.XLOOKUP(F933,Apuração!A:A,Apuração!D:D)/_xlfn.XLOOKUP(F933,Apuração!A:A,Apuração!B:B),0)</f>
        <v>0</v>
      </c>
      <c r="BQ933" s="53">
        <f ca="1">IF(BK933&gt;=BO933,0,_xlfn.XLOOKUP(F933,Apuração!A:A,Apuração!B:B)*(BO933 + (1/_xlfn.XLOOKUP(F933,Apuração!A:A,Apuração!B:B)) - BK933))</f>
        <v>0</v>
      </c>
      <c r="BR933" s="85">
        <f t="shared" ca="1" si="1184"/>
        <v>0</v>
      </c>
      <c r="BS933" s="53">
        <f ca="1">IFERROR((_xlfn.XLOOKUP(F933,Apuração!A:A,Apuração!C:C)+1)/_xlfn.XLOOKUP(F933,Apuração!A:A,Apuração!B:B),0)</f>
        <v>0.14285714285714285</v>
      </c>
    </row>
    <row r="934" spans="1:71" ht="25.95" hidden="1" customHeight="1" x14ac:dyDescent="0.3">
      <c r="A934" s="44" t="s">
        <v>175</v>
      </c>
      <c r="B934" s="4" t="s">
        <v>187</v>
      </c>
      <c r="C934" s="5" t="s">
        <v>97</v>
      </c>
      <c r="D934" s="5" t="s">
        <v>106</v>
      </c>
      <c r="E934" s="4" t="s">
        <v>96</v>
      </c>
      <c r="F934" s="4" t="str" cm="1">
        <f t="array" ref="F934">_xlfn.IFS(
AG934 &lt;&gt; "", "Jan-Dez/26",
AH934 &lt;&gt; "", "Fev-Dez/26",
AI934 &lt;&gt; "", "Mar-Dez/26", AJ934 &lt;&gt; "", "Abr-Dez/26",
TRUE, "A partir de Junho"
)</f>
        <v>A partir de Junho</v>
      </c>
      <c r="G934" s="4" t="s">
        <v>62</v>
      </c>
      <c r="H934" s="7" t="s">
        <v>54</v>
      </c>
      <c r="I934" s="34" t="s">
        <v>192</v>
      </c>
      <c r="J934" s="8" t="str" cm="1">
        <f t="array" aca="1" ref="J934" ca="1">_xlfn.LET(
  _xlpm.actual_value_month, INDEX(T934:AE934, MATCH(DATE(YEAR(TODAY()), MONTH(TODAY()), 1), $T$1:$AE$1, 0)),
  IF(_xlpm.actual_value_month &lt;&gt; "", _xlpm.actual_value_month &amp; " ações mensais", "")
)</f>
        <v/>
      </c>
      <c r="K934" s="34" t="str" cm="1">
        <f t="array" ref="K934">_xlfn.LET(
    _xlpm.sum_month, SUM(T934:AE934),
    IF(_xlpm.sum_month = 0, "", _xlpm.sum_month &amp; " colaboradores treinados.")
)</f>
        <v/>
      </c>
      <c r="L934" s="4" t="s">
        <v>193</v>
      </c>
      <c r="M934" s="9"/>
      <c r="N934" s="5" t="s">
        <v>51</v>
      </c>
      <c r="O934" s="5" t="s">
        <v>52</v>
      </c>
      <c r="P934" s="10" t="s">
        <v>44</v>
      </c>
      <c r="Q934" s="10" t="s">
        <v>44</v>
      </c>
      <c r="R934" s="11" t="s">
        <v>44</v>
      </c>
      <c r="S934" s="11" t="s">
        <v>44</v>
      </c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G934" s="71"/>
      <c r="AH934" s="71"/>
      <c r="AI934" s="71"/>
      <c r="AJ934" s="71"/>
      <c r="AK934" s="71"/>
      <c r="AL934" s="71"/>
      <c r="AM934" s="71"/>
      <c r="AN934" s="71"/>
      <c r="AO934" s="71"/>
      <c r="AP934" s="71"/>
      <c r="AQ934" s="71"/>
      <c r="AR934" s="71"/>
      <c r="AS934" s="94" t="str" cm="1">
        <f t="array" ref="AS934">IFERROR(INDEX(T934:AE934,1,MATCH(2,1/(T934:AE934&lt;&gt;""))),"")</f>
        <v/>
      </c>
      <c r="AT934" s="95">
        <f t="shared" si="1179"/>
        <v>0</v>
      </c>
      <c r="AU934" s="97">
        <f t="shared" si="1180"/>
        <v>0</v>
      </c>
      <c r="AW934" s="52">
        <f t="shared" si="1181"/>
        <v>0</v>
      </c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68" cm="1">
        <f t="array" ref="BI934">IFERROR(INDEX(AW934:BH934,1,MATCH(2,1/(AW934:BH934&lt;&gt;""))),"")</f>
        <v>0</v>
      </c>
      <c r="BJ934" s="68" t="str" cm="1">
        <f t="array" ref="BJ934">IF(BM934 = "", "",IFERROR(INDEX(AW934:BH934,1,MATCH(2,1/(AW934:BH934&lt;&gt;""),1)-1),""))</f>
        <v/>
      </c>
      <c r="BK934" s="59">
        <f t="shared" si="1182"/>
        <v>0</v>
      </c>
      <c r="BL934" s="59">
        <f t="shared" si="1183"/>
        <v>0</v>
      </c>
      <c r="BM934" s="55" t="str" cm="1">
        <f t="array" ref="BM934">IFERROR(
   INDEX($AW$1:$BH$1,
      _xlfn.AGGREGATE(14, 6, COLUMN($AW$1:$BH$1)/(AW934:BH934&lt;&gt;""), 2) - COLUMN($AW$1) + 1
   ),
"")</f>
        <v/>
      </c>
      <c r="BN934" s="55" cm="1">
        <f t="array" ref="BN934">IFERROR(INDEX($AW$1:$BH$1,1,MATCH(2,1/(AW934:BH934&lt;&gt;""))),"")</f>
        <v>46023</v>
      </c>
      <c r="BO934" s="53">
        <f ca="1">IFERROR(_xlfn.XLOOKUP(F934,Apuração!A:A,Apuração!C:C)/_xlfn.XLOOKUP(F934,Apuração!A:A,Apuração!B:B),0)</f>
        <v>0</v>
      </c>
      <c r="BP934" s="53">
        <f ca="1">IFERROR(_xlfn.XLOOKUP(F934,Apuração!A:A,Apuração!D:D)/_xlfn.XLOOKUP(F934,Apuração!A:A,Apuração!B:B),0)</f>
        <v>0</v>
      </c>
      <c r="BQ934" s="53">
        <f ca="1">IF(BK934&gt;=BO934,0,_xlfn.XLOOKUP(F934,Apuração!A:A,Apuração!B:B)*(BO934 + (1/_xlfn.XLOOKUP(F934,Apuração!A:A,Apuração!B:B)) - BK934))</f>
        <v>0</v>
      </c>
      <c r="BR934" s="85">
        <f t="shared" ca="1" si="1184"/>
        <v>0</v>
      </c>
      <c r="BS934" s="53">
        <f ca="1">IFERROR((_xlfn.XLOOKUP(F934,Apuração!A:A,Apuração!C:C)+1)/_xlfn.XLOOKUP(F934,Apuração!A:A,Apuração!B:B),0)</f>
        <v>0.14285714285714285</v>
      </c>
    </row>
    <row r="935" spans="1:71" ht="25.95" hidden="1" customHeight="1" x14ac:dyDescent="0.3">
      <c r="A935" s="44" t="s">
        <v>175</v>
      </c>
      <c r="B935" s="4" t="s">
        <v>187</v>
      </c>
      <c r="C935" s="5" t="s">
        <v>97</v>
      </c>
      <c r="D935" s="5" t="s">
        <v>107</v>
      </c>
      <c r="E935" s="4" t="s">
        <v>96</v>
      </c>
      <c r="F935" s="4" t="str" cm="1">
        <f t="array" ref="F935">_xlfn.IFS(
AG935 &lt;&gt; "", "Jan-Dez/26",
AH935 &lt;&gt; "", "Fev-Dez/26",
AI935 &lt;&gt; "", "Mar-Dez/26", AJ935 &lt;&gt; "", "Abr-Dez/26",
TRUE, "A partir de Junho"
)</f>
        <v>A partir de Junho</v>
      </c>
      <c r="G935" s="4" t="s">
        <v>62</v>
      </c>
      <c r="H935" s="7" t="s">
        <v>54</v>
      </c>
      <c r="I935" s="34" t="s">
        <v>192</v>
      </c>
      <c r="J935" s="8" t="str" cm="1">
        <f t="array" aca="1" ref="J935" ca="1">_xlfn.LET(
  _xlpm.actual_value_month, INDEX(T935:AE935, MATCH(DATE(YEAR(TODAY()), MONTH(TODAY()), 1), $T$1:$AE$1, 0)),
  IF(_xlpm.actual_value_month &lt;&gt; "", _xlpm.actual_value_month &amp; " ações mensais", "")
)</f>
        <v/>
      </c>
      <c r="K935" s="34" t="str" cm="1">
        <f t="array" ref="K935">_xlfn.LET(
    _xlpm.sum_month, SUM(T935:AE935),
    IF(_xlpm.sum_month = 0, "", _xlpm.sum_month &amp; " colaboradores treinados.")
)</f>
        <v/>
      </c>
      <c r="L935" s="4" t="s">
        <v>193</v>
      </c>
      <c r="M935" s="9"/>
      <c r="N935" s="5" t="s">
        <v>51</v>
      </c>
      <c r="O935" s="5" t="s">
        <v>52</v>
      </c>
      <c r="P935" s="10" t="s">
        <v>44</v>
      </c>
      <c r="Q935" s="10" t="s">
        <v>44</v>
      </c>
      <c r="R935" s="11" t="s">
        <v>44</v>
      </c>
      <c r="S935" s="11" t="s">
        <v>44</v>
      </c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G935" s="71"/>
      <c r="AH935" s="71"/>
      <c r="AI935" s="71"/>
      <c r="AJ935" s="71"/>
      <c r="AK935" s="71"/>
      <c r="AL935" s="71"/>
      <c r="AM935" s="71"/>
      <c r="AN935" s="71"/>
      <c r="AO935" s="71"/>
      <c r="AP935" s="71"/>
      <c r="AQ935" s="71"/>
      <c r="AR935" s="71"/>
      <c r="AS935" s="94" t="str" cm="1">
        <f t="array" ref="AS935">IFERROR(INDEX(T935:AE935,1,MATCH(2,1/(T935:AE935&lt;&gt;""))),"")</f>
        <v/>
      </c>
      <c r="AT935" s="95">
        <f t="shared" si="1179"/>
        <v>0</v>
      </c>
      <c r="AU935" s="97">
        <f t="shared" si="1180"/>
        <v>0</v>
      </c>
      <c r="AW935" s="52">
        <f t="shared" si="1181"/>
        <v>0</v>
      </c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68" cm="1">
        <f t="array" ref="BI935">IFERROR(INDEX(AW935:BH935,1,MATCH(2,1/(AW935:BH935&lt;&gt;""))),"")</f>
        <v>0</v>
      </c>
      <c r="BJ935" s="68" t="str" cm="1">
        <f t="array" ref="BJ935">IF(BM935 = "", "",IFERROR(INDEX(AW935:BH935,1,MATCH(2,1/(AW935:BH935&lt;&gt;""),1)-1),""))</f>
        <v/>
      </c>
      <c r="BK935" s="59">
        <f t="shared" si="1182"/>
        <v>0</v>
      </c>
      <c r="BL935" s="59">
        <f t="shared" si="1183"/>
        <v>0</v>
      </c>
      <c r="BM935" s="55" t="str" cm="1">
        <f t="array" ref="BM935">IFERROR(
   INDEX($AW$1:$BH$1,
      _xlfn.AGGREGATE(14, 6, COLUMN($AW$1:$BH$1)/(AW935:BH935&lt;&gt;""), 2) - COLUMN($AW$1) + 1
   ),
"")</f>
        <v/>
      </c>
      <c r="BN935" s="55" cm="1">
        <f t="array" ref="BN935">IFERROR(INDEX($AW$1:$BH$1,1,MATCH(2,1/(AW935:BH935&lt;&gt;""))),"")</f>
        <v>46023</v>
      </c>
      <c r="BO935" s="53">
        <f ca="1">IFERROR(_xlfn.XLOOKUP(F935,Apuração!A:A,Apuração!C:C)/_xlfn.XLOOKUP(F935,Apuração!A:A,Apuração!B:B),0)</f>
        <v>0</v>
      </c>
      <c r="BP935" s="53">
        <f ca="1">IFERROR(_xlfn.XLOOKUP(F935,Apuração!A:A,Apuração!D:D)/_xlfn.XLOOKUP(F935,Apuração!A:A,Apuração!B:B),0)</f>
        <v>0</v>
      </c>
      <c r="BQ935" s="53">
        <f ca="1">IF(BK935&gt;=BO935,0,_xlfn.XLOOKUP(F935,Apuração!A:A,Apuração!B:B)*(BO935 + (1/_xlfn.XLOOKUP(F935,Apuração!A:A,Apuração!B:B)) - BK935))</f>
        <v>0</v>
      </c>
      <c r="BR935" s="85">
        <f t="shared" ca="1" si="1184"/>
        <v>0</v>
      </c>
      <c r="BS935" s="53">
        <f ca="1">IFERROR((_xlfn.XLOOKUP(F935,Apuração!A:A,Apuração!C:C)+1)/_xlfn.XLOOKUP(F935,Apuração!A:A,Apuração!B:B),0)</f>
        <v>0.14285714285714285</v>
      </c>
    </row>
    <row r="936" spans="1:71" ht="25.95" hidden="1" customHeight="1" x14ac:dyDescent="0.3">
      <c r="A936" s="33" t="s">
        <v>175</v>
      </c>
      <c r="B936" s="4" t="s">
        <v>194</v>
      </c>
      <c r="C936" s="5" t="s">
        <v>97</v>
      </c>
      <c r="D936" s="5" t="s">
        <v>36</v>
      </c>
      <c r="E936" s="4" t="s">
        <v>96</v>
      </c>
      <c r="F936" s="4" t="str" cm="1">
        <f t="array" ref="F936">_xlfn.IFS(
AG936 &lt;&gt; "", "Jan-Dez/26",
AH936 &lt;&gt; "", "Fev-Dez/26",
AI936 &lt;&gt; "", "Mar-Dez/26", AJ936 &lt;&gt; "", "Abr-Dez/26",
TRUE, "A partir de Junho"
)</f>
        <v>A partir de Junho</v>
      </c>
      <c r="G936" s="4" t="s">
        <v>62</v>
      </c>
      <c r="H936" s="7" t="s">
        <v>38</v>
      </c>
      <c r="I936" s="8" t="s">
        <v>177</v>
      </c>
      <c r="J936" s="8" t="str" cm="1">
        <f t="array" aca="1" ref="J936" ca="1">_xlfn.LET(
  _xlpm.actual_value_month, INDEX(T936:AE936, MATCH(DATE(YEAR(TODAY()), MONTH(TODAY()), 1), $T$1:$AE$1, 0)),
  IF(_xlpm.actual_value_month &lt;&gt; "", _xlpm.actual_value_month &amp; " ações mensais", "")
)</f>
        <v/>
      </c>
      <c r="K936" s="8" t="str" cm="1">
        <f t="array" ref="K936">_xlfn.LET(
    _xlpm.sum_month, SUM(T936:AE936),
    IF(_xlpm.sum_month = 0, "", _xlpm.sum_month &amp; " certificados gerados.")
)</f>
        <v/>
      </c>
      <c r="L936" s="9" t="s">
        <v>195</v>
      </c>
      <c r="M936" s="13">
        <v>1</v>
      </c>
      <c r="N936" s="5" t="s">
        <v>42</v>
      </c>
      <c r="O936" s="5" t="s">
        <v>43</v>
      </c>
      <c r="P936" s="10" t="s">
        <v>146</v>
      </c>
      <c r="Q936" s="10" t="s">
        <v>44</v>
      </c>
      <c r="R936" s="11" t="s">
        <v>179</v>
      </c>
      <c r="S936" s="11" t="s">
        <v>67</v>
      </c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G936" s="71"/>
      <c r="AH936" s="71"/>
      <c r="AI936" s="71"/>
      <c r="AJ936" s="71"/>
      <c r="AK936" s="71"/>
      <c r="AL936" s="71"/>
      <c r="AM936" s="71"/>
      <c r="AN936" s="71"/>
      <c r="AO936" s="71"/>
      <c r="AP936" s="71"/>
      <c r="AQ936" s="71"/>
      <c r="AR936" s="71"/>
      <c r="AS936" s="94" t="str" cm="1">
        <f t="array" ref="AS936">IFERROR(INDEX(T936:AE936,1,MATCH(2,1/(T936:AE936&lt;&gt;""))),"")</f>
        <v/>
      </c>
      <c r="AT936" s="95" t="str" cm="1">
        <f t="array" ref="AT936">IFERROR(INDEX(AJ936:AR936,1,MATCH(2,1/(AJ936:AR936&lt;&gt;""))),"")</f>
        <v/>
      </c>
      <c r="AU936" s="97" t="str">
        <f t="shared" si="1121"/>
        <v/>
      </c>
      <c r="AW936" s="51"/>
      <c r="AX936" s="51"/>
      <c r="AY936" s="51"/>
      <c r="AZ936" s="51"/>
      <c r="BA936" s="51"/>
      <c r="BB936" s="51"/>
      <c r="BC936" s="51"/>
      <c r="BD936" s="51"/>
      <c r="BE936" s="51"/>
      <c r="BF936" s="51"/>
      <c r="BG936" s="51"/>
      <c r="BH936" s="51"/>
      <c r="BI936" s="65" t="str" cm="1">
        <f t="array" ref="BI936">IFERROR(INDEX(AW936:BH936,1,MATCH(2,1/(AW936:BH936&lt;&gt;""))),"")</f>
        <v/>
      </c>
      <c r="BJ936" s="68" t="str" cm="1">
        <f t="array" ref="BJ936">IF(BM936 = "", "",IFERROR(INDEX(AW936:BH936,1,MATCH(2,1/(AW936:BH936&lt;&gt;""),1)-1),""))</f>
        <v/>
      </c>
      <c r="BK936" s="58" t="str" cm="1">
        <f t="array" ref="BK936">IFERROR(INDEX(AW936:BH936,1,MATCH(2,1/(AW936:BH936&lt;&gt;""))),"")</f>
        <v/>
      </c>
      <c r="BL936" s="58" t="str" cm="1">
        <f t="array" ref="BL936">IFERROR(INDEX(AW936:BH936,1,MATCH(2,1/(AW936:BH936&lt;&gt;""),1)-1),"")</f>
        <v/>
      </c>
      <c r="BM936" s="55" t="str" cm="1">
        <f t="array" ref="BM936">IFERROR(
   INDEX($AW$1:$BH$1,
      _xlfn.AGGREGATE(14, 6, COLUMN($AW$1:$BH$1)/(AW936:BH936&lt;&gt;""), 2) - COLUMN($AW$1) + 1
   ),
"")</f>
        <v/>
      </c>
      <c r="BN936" s="55" t="str" cm="1">
        <f t="array" ref="BN936">IFERROR(INDEX($AW$1:$BH$1,1,MATCH(2,1/(AW936:BH936&lt;&gt;""))),"")</f>
        <v/>
      </c>
      <c r="BO936" s="53">
        <f ca="1">IFERROR(_xlfn.XLOOKUP(F936,Apuração!A:A,Apuração!C:C)/_xlfn.XLOOKUP(F936,Apuração!A:A,Apuração!B:B),0)</f>
        <v>0</v>
      </c>
      <c r="BP936" s="53">
        <f ca="1">IFERROR(_xlfn.XLOOKUP(F936,Apuração!A:A,Apuração!D:D)/_xlfn.XLOOKUP(F936,Apuração!A:A,Apuração!B:B),0)</f>
        <v>0</v>
      </c>
      <c r="BQ936" s="53">
        <f ca="1">IF(BK936&gt;=BO936,0,_xlfn.XLOOKUP(F936,Apuração!A:A,Apuração!B:B)*(BO936 + (1/_xlfn.XLOOKUP(F936,Apuração!A:A,Apuração!B:B)) - BK936))</f>
        <v>0</v>
      </c>
      <c r="BR936" s="85">
        <f t="shared" ca="1" si="1172"/>
        <v>0</v>
      </c>
      <c r="BS936" s="53">
        <f ca="1">IFERROR((_xlfn.XLOOKUP(F936,Apuração!A:A,Apuração!C:C)+1)/_xlfn.XLOOKUP(F936,Apuração!A:A,Apuração!B:B),0)</f>
        <v>0.14285714285714285</v>
      </c>
    </row>
    <row r="937" spans="1:71" ht="25.95" hidden="1" customHeight="1" x14ac:dyDescent="0.3">
      <c r="A937" s="33" t="s">
        <v>175</v>
      </c>
      <c r="B937" s="4" t="s">
        <v>194</v>
      </c>
      <c r="C937" s="5" t="s">
        <v>97</v>
      </c>
      <c r="D937" s="5" t="s">
        <v>98</v>
      </c>
      <c r="E937" s="4" t="s">
        <v>96</v>
      </c>
      <c r="F937" s="4" t="str" cm="1">
        <f t="array" ref="F937">_xlfn.IFS(
AG937 &lt;&gt; "", "Jan-Dez/26",
AH937 &lt;&gt; "", "Fev-Dez/26",
AI937 &lt;&gt; "", "Mar-Dez/26", AJ937 &lt;&gt; "", "Abr-Dez/26",
TRUE, "A partir de Junho"
)</f>
        <v>A partir de Junho</v>
      </c>
      <c r="G937" s="4" t="s">
        <v>62</v>
      </c>
      <c r="H937" s="7" t="s">
        <v>38</v>
      </c>
      <c r="I937" s="8" t="s">
        <v>177</v>
      </c>
      <c r="J937" s="8" t="str" cm="1">
        <f t="array" aca="1" ref="J937" ca="1">_xlfn.LET(
  _xlpm.actual_value_month, INDEX(T937:AE937, MATCH(DATE(YEAR(TODAY()), MONTH(TODAY()), 1), $T$1:$AE$1, 0)),
  IF(_xlpm.actual_value_month &lt;&gt; "", _xlpm.actual_value_month &amp; " ações mensais", "")
)</f>
        <v/>
      </c>
      <c r="K937" s="8" t="str" cm="1">
        <f t="array" ref="K937">_xlfn.LET(
    _xlpm.sum_month, SUM(T937:AE937),
    IF(_xlpm.sum_month = 0, "", _xlpm.sum_month &amp; " certificados gerados.")
)</f>
        <v/>
      </c>
      <c r="L937" s="9" t="s">
        <v>195</v>
      </c>
      <c r="M937" s="13">
        <v>1</v>
      </c>
      <c r="N937" s="5" t="s">
        <v>42</v>
      </c>
      <c r="O937" s="5" t="s">
        <v>43</v>
      </c>
      <c r="P937" s="10" t="s">
        <v>146</v>
      </c>
      <c r="Q937" s="10" t="s">
        <v>44</v>
      </c>
      <c r="R937" s="11" t="s">
        <v>179</v>
      </c>
      <c r="S937" s="11" t="s">
        <v>67</v>
      </c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G937" s="71"/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  <c r="AR937" s="71"/>
      <c r="AS937" s="94" t="str" cm="1">
        <f t="array" ref="AS937">IFERROR(INDEX(T937:AE937,1,MATCH(2,1/(T937:AE937&lt;&gt;""))),"")</f>
        <v/>
      </c>
      <c r="AT937" s="95" t="str" cm="1">
        <f t="array" ref="AT937">IFERROR(INDEX(AJ937:AR937,1,MATCH(2,1/(AJ937:AR937&lt;&gt;""))),"")</f>
        <v/>
      </c>
      <c r="AU937" s="97" t="str">
        <f t="shared" ref="AU937:AU946" si="1185">AT937</f>
        <v/>
      </c>
      <c r="AW937" s="51"/>
      <c r="AX937" s="51"/>
      <c r="AY937" s="51"/>
      <c r="AZ937" s="51"/>
      <c r="BA937" s="51"/>
      <c r="BB937" s="51"/>
      <c r="BC937" s="51"/>
      <c r="BD937" s="51"/>
      <c r="BE937" s="51"/>
      <c r="BF937" s="51"/>
      <c r="BG937" s="51"/>
      <c r="BH937" s="51"/>
      <c r="BI937" s="65" t="str" cm="1">
        <f t="array" ref="BI937">IFERROR(INDEX(AW937:BH937,1,MATCH(2,1/(AW937:BH937&lt;&gt;""))),"")</f>
        <v/>
      </c>
      <c r="BJ937" s="68" t="str" cm="1">
        <f t="array" ref="BJ937">IF(BM937 = "", "",IFERROR(INDEX(AW937:BH937,1,MATCH(2,1/(AW937:BH937&lt;&gt;""),1)-1),""))</f>
        <v/>
      </c>
      <c r="BK937" s="58" t="str" cm="1">
        <f t="array" ref="BK937">IFERROR(INDEX(AW937:BH937,1,MATCH(2,1/(AW937:BH937&lt;&gt;""))),"")</f>
        <v/>
      </c>
      <c r="BL937" s="58" t="str" cm="1">
        <f t="array" ref="BL937">IFERROR(INDEX(AW937:BH937,1,MATCH(2,1/(AW937:BH937&lt;&gt;""),1)-1),"")</f>
        <v/>
      </c>
      <c r="BM937" s="55" t="str" cm="1">
        <f t="array" ref="BM937">IFERROR(
   INDEX($AW$1:$BH$1,
      _xlfn.AGGREGATE(14, 6, COLUMN($AW$1:$BH$1)/(AW937:BH937&lt;&gt;""), 2) - COLUMN($AW$1) + 1
   ),
"")</f>
        <v/>
      </c>
      <c r="BN937" s="55" t="str" cm="1">
        <f t="array" ref="BN937">IFERROR(INDEX($AW$1:$BH$1,1,MATCH(2,1/(AW937:BH937&lt;&gt;""))),"")</f>
        <v/>
      </c>
      <c r="BO937" s="53">
        <f ca="1">IFERROR(_xlfn.XLOOKUP(F937,Apuração!A:A,Apuração!C:C)/_xlfn.XLOOKUP(F937,Apuração!A:A,Apuração!B:B),0)</f>
        <v>0</v>
      </c>
      <c r="BP937" s="53">
        <f ca="1">IFERROR(_xlfn.XLOOKUP(F937,Apuração!A:A,Apuração!D:D)/_xlfn.XLOOKUP(F937,Apuração!A:A,Apuração!B:B),0)</f>
        <v>0</v>
      </c>
      <c r="BQ937" s="53">
        <f ca="1">IF(BK937&gt;=BO937,0,_xlfn.XLOOKUP(F937,Apuração!A:A,Apuração!B:B)*(BO937 + (1/_xlfn.XLOOKUP(F937,Apuração!A:A,Apuração!B:B)) - BK937))</f>
        <v>0</v>
      </c>
      <c r="BR937" s="85">
        <f t="shared" ref="BR937:BR946" ca="1" si="1186">IF(BQ937=0,0,BQ937*Z937)</f>
        <v>0</v>
      </c>
      <c r="BS937" s="53">
        <f ca="1">IFERROR((_xlfn.XLOOKUP(F937,Apuração!A:A,Apuração!C:C)+1)/_xlfn.XLOOKUP(F937,Apuração!A:A,Apuração!B:B),0)</f>
        <v>0.14285714285714285</v>
      </c>
    </row>
    <row r="938" spans="1:71" ht="25.95" hidden="1" customHeight="1" x14ac:dyDescent="0.3">
      <c r="A938" s="33" t="s">
        <v>175</v>
      </c>
      <c r="B938" s="4" t="s">
        <v>194</v>
      </c>
      <c r="C938" s="5" t="s">
        <v>97</v>
      </c>
      <c r="D938" s="5" t="s">
        <v>99</v>
      </c>
      <c r="E938" s="4" t="s">
        <v>96</v>
      </c>
      <c r="F938" s="4" t="str" cm="1">
        <f t="array" ref="F938">_xlfn.IFS(
AG938 &lt;&gt; "", "Jan-Dez/26",
AH938 &lt;&gt; "", "Fev-Dez/26",
AI938 &lt;&gt; "", "Mar-Dez/26", AJ938 &lt;&gt; "", "Abr-Dez/26",
TRUE, "A partir de Junho"
)</f>
        <v>A partir de Junho</v>
      </c>
      <c r="G938" s="4" t="s">
        <v>62</v>
      </c>
      <c r="H938" s="7" t="s">
        <v>38</v>
      </c>
      <c r="I938" s="8" t="s">
        <v>177</v>
      </c>
      <c r="J938" s="8" t="str" cm="1">
        <f t="array" aca="1" ref="J938" ca="1">_xlfn.LET(
  _xlpm.actual_value_month, INDEX(T938:AE938, MATCH(DATE(YEAR(TODAY()), MONTH(TODAY()), 1), $T$1:$AE$1, 0)),
  IF(_xlpm.actual_value_month &lt;&gt; "", _xlpm.actual_value_month &amp; " ações mensais", "")
)</f>
        <v/>
      </c>
      <c r="K938" s="8" t="str" cm="1">
        <f t="array" ref="K938">_xlfn.LET(
    _xlpm.sum_month, SUM(T938:AE938),
    IF(_xlpm.sum_month = 0, "", _xlpm.sum_month &amp; " certificados gerados.")
)</f>
        <v/>
      </c>
      <c r="L938" s="9" t="s">
        <v>195</v>
      </c>
      <c r="M938" s="13">
        <v>1</v>
      </c>
      <c r="N938" s="5" t="s">
        <v>42</v>
      </c>
      <c r="O938" s="5" t="s">
        <v>43</v>
      </c>
      <c r="P938" s="10" t="s">
        <v>146</v>
      </c>
      <c r="Q938" s="10" t="s">
        <v>44</v>
      </c>
      <c r="R938" s="11" t="s">
        <v>179</v>
      </c>
      <c r="S938" s="11" t="s">
        <v>67</v>
      </c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G938" s="71"/>
      <c r="AH938" s="71"/>
      <c r="AI938" s="71"/>
      <c r="AJ938" s="71"/>
      <c r="AK938" s="71"/>
      <c r="AL938" s="71"/>
      <c r="AM938" s="71"/>
      <c r="AN938" s="71"/>
      <c r="AO938" s="71"/>
      <c r="AP938" s="71"/>
      <c r="AQ938" s="71"/>
      <c r="AR938" s="71"/>
      <c r="AS938" s="94" t="str" cm="1">
        <f t="array" ref="AS938">IFERROR(INDEX(T938:AE938,1,MATCH(2,1/(T938:AE938&lt;&gt;""))),"")</f>
        <v/>
      </c>
      <c r="AT938" s="95" t="str" cm="1">
        <f t="array" ref="AT938">IFERROR(INDEX(AJ938:AR938,1,MATCH(2,1/(AJ938:AR938&lt;&gt;""))),"")</f>
        <v/>
      </c>
      <c r="AU938" s="97" t="str">
        <f t="shared" si="1185"/>
        <v/>
      </c>
      <c r="AW938" s="51"/>
      <c r="AX938" s="51"/>
      <c r="AY938" s="51"/>
      <c r="AZ938" s="51"/>
      <c r="BA938" s="51"/>
      <c r="BB938" s="51"/>
      <c r="BC938" s="51"/>
      <c r="BD938" s="51"/>
      <c r="BE938" s="51"/>
      <c r="BF938" s="51"/>
      <c r="BG938" s="51"/>
      <c r="BH938" s="51"/>
      <c r="BI938" s="65" t="str" cm="1">
        <f t="array" ref="BI938">IFERROR(INDEX(AW938:BH938,1,MATCH(2,1/(AW938:BH938&lt;&gt;""))),"")</f>
        <v/>
      </c>
      <c r="BJ938" s="68" t="str" cm="1">
        <f t="array" ref="BJ938">IF(BM938 = "", "",IFERROR(INDEX(AW938:BH938,1,MATCH(2,1/(AW938:BH938&lt;&gt;""),1)-1),""))</f>
        <v/>
      </c>
      <c r="BK938" s="58" t="str" cm="1">
        <f t="array" ref="BK938">IFERROR(INDEX(AW938:BH938,1,MATCH(2,1/(AW938:BH938&lt;&gt;""))),"")</f>
        <v/>
      </c>
      <c r="BL938" s="58" t="str" cm="1">
        <f t="array" ref="BL938">IFERROR(INDEX(AW938:BH938,1,MATCH(2,1/(AW938:BH938&lt;&gt;""),1)-1),"")</f>
        <v/>
      </c>
      <c r="BM938" s="55" t="str" cm="1">
        <f t="array" ref="BM938">IFERROR(
   INDEX($AW$1:$BH$1,
      _xlfn.AGGREGATE(14, 6, COLUMN($AW$1:$BH$1)/(AW938:BH938&lt;&gt;""), 2) - COLUMN($AW$1) + 1
   ),
"")</f>
        <v/>
      </c>
      <c r="BN938" s="55" t="str" cm="1">
        <f t="array" ref="BN938">IFERROR(INDEX($AW$1:$BH$1,1,MATCH(2,1/(AW938:BH938&lt;&gt;""))),"")</f>
        <v/>
      </c>
      <c r="BO938" s="53">
        <f ca="1">IFERROR(_xlfn.XLOOKUP(F938,Apuração!A:A,Apuração!C:C)/_xlfn.XLOOKUP(F938,Apuração!A:A,Apuração!B:B),0)</f>
        <v>0</v>
      </c>
      <c r="BP938" s="53">
        <f ca="1">IFERROR(_xlfn.XLOOKUP(F938,Apuração!A:A,Apuração!D:D)/_xlfn.XLOOKUP(F938,Apuração!A:A,Apuração!B:B),0)</f>
        <v>0</v>
      </c>
      <c r="BQ938" s="53">
        <f ca="1">IF(BK938&gt;=BO938,0,_xlfn.XLOOKUP(F938,Apuração!A:A,Apuração!B:B)*(BO938 + (1/_xlfn.XLOOKUP(F938,Apuração!A:A,Apuração!B:B)) - BK938))</f>
        <v>0</v>
      </c>
      <c r="BR938" s="85">
        <f t="shared" ca="1" si="1186"/>
        <v>0</v>
      </c>
      <c r="BS938" s="53">
        <f ca="1">IFERROR((_xlfn.XLOOKUP(F938,Apuração!A:A,Apuração!C:C)+1)/_xlfn.XLOOKUP(F938,Apuração!A:A,Apuração!B:B),0)</f>
        <v>0.14285714285714285</v>
      </c>
    </row>
    <row r="939" spans="1:71" ht="25.95" hidden="1" customHeight="1" x14ac:dyDescent="0.3">
      <c r="A939" s="33" t="s">
        <v>175</v>
      </c>
      <c r="B939" s="4" t="s">
        <v>194</v>
      </c>
      <c r="C939" s="5" t="s">
        <v>97</v>
      </c>
      <c r="D939" s="5" t="s">
        <v>100</v>
      </c>
      <c r="E939" s="4" t="s">
        <v>96</v>
      </c>
      <c r="F939" s="4" t="str" cm="1">
        <f t="array" ref="F939">_xlfn.IFS(
AG939 &lt;&gt; "", "Jan-Dez/26",
AH939 &lt;&gt; "", "Fev-Dez/26",
AI939 &lt;&gt; "", "Mar-Dez/26", AJ939 &lt;&gt; "", "Abr-Dez/26",
TRUE, "A partir de Junho"
)</f>
        <v>A partir de Junho</v>
      </c>
      <c r="G939" s="4" t="s">
        <v>62</v>
      </c>
      <c r="H939" s="7" t="s">
        <v>38</v>
      </c>
      <c r="I939" s="8" t="s">
        <v>177</v>
      </c>
      <c r="J939" s="8" t="str" cm="1">
        <f t="array" aca="1" ref="J939" ca="1">_xlfn.LET(
  _xlpm.actual_value_month, INDEX(T939:AE939, MATCH(DATE(YEAR(TODAY()), MONTH(TODAY()), 1), $T$1:$AE$1, 0)),
  IF(_xlpm.actual_value_month &lt;&gt; "", _xlpm.actual_value_month &amp; " ações mensais", "")
)</f>
        <v/>
      </c>
      <c r="K939" s="8" t="str" cm="1">
        <f t="array" ref="K939">_xlfn.LET(
    _xlpm.sum_month, SUM(T939:AE939),
    IF(_xlpm.sum_month = 0, "", _xlpm.sum_month &amp; " certificados gerados.")
)</f>
        <v/>
      </c>
      <c r="L939" s="9" t="s">
        <v>195</v>
      </c>
      <c r="M939" s="13">
        <v>1</v>
      </c>
      <c r="N939" s="5" t="s">
        <v>42</v>
      </c>
      <c r="O939" s="5" t="s">
        <v>43</v>
      </c>
      <c r="P939" s="10" t="s">
        <v>146</v>
      </c>
      <c r="Q939" s="10" t="s">
        <v>44</v>
      </c>
      <c r="R939" s="11" t="s">
        <v>179</v>
      </c>
      <c r="S939" s="11" t="s">
        <v>67</v>
      </c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G939" s="71"/>
      <c r="AH939" s="71"/>
      <c r="AI939" s="71"/>
      <c r="AJ939" s="71"/>
      <c r="AK939" s="71"/>
      <c r="AL939" s="71"/>
      <c r="AM939" s="71"/>
      <c r="AN939" s="71"/>
      <c r="AO939" s="71"/>
      <c r="AP939" s="71"/>
      <c r="AQ939" s="71"/>
      <c r="AR939" s="71"/>
      <c r="AS939" s="94" t="str" cm="1">
        <f t="array" ref="AS939">IFERROR(INDEX(T939:AE939,1,MATCH(2,1/(T939:AE939&lt;&gt;""))),"")</f>
        <v/>
      </c>
      <c r="AT939" s="95" t="str" cm="1">
        <f t="array" ref="AT939">IFERROR(INDEX(AJ939:AR939,1,MATCH(2,1/(AJ939:AR939&lt;&gt;""))),"")</f>
        <v/>
      </c>
      <c r="AU939" s="97" t="str">
        <f t="shared" si="1185"/>
        <v/>
      </c>
      <c r="AW939" s="51"/>
      <c r="AX939" s="51"/>
      <c r="AY939" s="51"/>
      <c r="AZ939" s="51"/>
      <c r="BA939" s="51"/>
      <c r="BB939" s="51"/>
      <c r="BC939" s="51"/>
      <c r="BD939" s="51"/>
      <c r="BE939" s="51"/>
      <c r="BF939" s="51"/>
      <c r="BG939" s="51"/>
      <c r="BH939" s="51"/>
      <c r="BI939" s="65" t="str" cm="1">
        <f t="array" ref="BI939">IFERROR(INDEX(AW939:BH939,1,MATCH(2,1/(AW939:BH939&lt;&gt;""))),"")</f>
        <v/>
      </c>
      <c r="BJ939" s="68" t="str" cm="1">
        <f t="array" ref="BJ939">IF(BM939 = "", "",IFERROR(INDEX(AW939:BH939,1,MATCH(2,1/(AW939:BH939&lt;&gt;""),1)-1),""))</f>
        <v/>
      </c>
      <c r="BK939" s="58" t="str" cm="1">
        <f t="array" ref="BK939">IFERROR(INDEX(AW939:BH939,1,MATCH(2,1/(AW939:BH939&lt;&gt;""))),"")</f>
        <v/>
      </c>
      <c r="BL939" s="58" t="str" cm="1">
        <f t="array" ref="BL939">IFERROR(INDEX(AW939:BH939,1,MATCH(2,1/(AW939:BH939&lt;&gt;""),1)-1),"")</f>
        <v/>
      </c>
      <c r="BM939" s="55" t="str" cm="1">
        <f t="array" ref="BM939">IFERROR(
   INDEX($AW$1:$BH$1,
      _xlfn.AGGREGATE(14, 6, COLUMN($AW$1:$BH$1)/(AW939:BH939&lt;&gt;""), 2) - COLUMN($AW$1) + 1
   ),
"")</f>
        <v/>
      </c>
      <c r="BN939" s="55" t="str" cm="1">
        <f t="array" ref="BN939">IFERROR(INDEX($AW$1:$BH$1,1,MATCH(2,1/(AW939:BH939&lt;&gt;""))),"")</f>
        <v/>
      </c>
      <c r="BO939" s="53">
        <f ca="1">IFERROR(_xlfn.XLOOKUP(F939,Apuração!A:A,Apuração!C:C)/_xlfn.XLOOKUP(F939,Apuração!A:A,Apuração!B:B),0)</f>
        <v>0</v>
      </c>
      <c r="BP939" s="53">
        <f ca="1">IFERROR(_xlfn.XLOOKUP(F939,Apuração!A:A,Apuração!D:D)/_xlfn.XLOOKUP(F939,Apuração!A:A,Apuração!B:B),0)</f>
        <v>0</v>
      </c>
      <c r="BQ939" s="53">
        <f ca="1">IF(BK939&gt;=BO939,0,_xlfn.XLOOKUP(F939,Apuração!A:A,Apuração!B:B)*(BO939 + (1/_xlfn.XLOOKUP(F939,Apuração!A:A,Apuração!B:B)) - BK939))</f>
        <v>0</v>
      </c>
      <c r="BR939" s="85">
        <f t="shared" ca="1" si="1186"/>
        <v>0</v>
      </c>
      <c r="BS939" s="53">
        <f ca="1">IFERROR((_xlfn.XLOOKUP(F939,Apuração!A:A,Apuração!C:C)+1)/_xlfn.XLOOKUP(F939,Apuração!A:A,Apuração!B:B),0)</f>
        <v>0.14285714285714285</v>
      </c>
    </row>
    <row r="940" spans="1:71" ht="25.95" hidden="1" customHeight="1" x14ac:dyDescent="0.3">
      <c r="A940" s="33" t="s">
        <v>175</v>
      </c>
      <c r="B940" s="4" t="s">
        <v>194</v>
      </c>
      <c r="C940" s="5" t="s">
        <v>97</v>
      </c>
      <c r="D940" s="5" t="s">
        <v>101</v>
      </c>
      <c r="E940" s="4" t="s">
        <v>96</v>
      </c>
      <c r="F940" s="4" t="str" cm="1">
        <f t="array" ref="F940">_xlfn.IFS(
AG940 &lt;&gt; "", "Jan-Dez/26",
AH940 &lt;&gt; "", "Fev-Dez/26",
AI940 &lt;&gt; "", "Mar-Dez/26", AJ940 &lt;&gt; "", "Abr-Dez/26",
TRUE, "A partir de Junho"
)</f>
        <v>A partir de Junho</v>
      </c>
      <c r="G940" s="4" t="s">
        <v>62</v>
      </c>
      <c r="H940" s="7" t="s">
        <v>38</v>
      </c>
      <c r="I940" s="8" t="s">
        <v>177</v>
      </c>
      <c r="J940" s="8" t="str" cm="1">
        <f t="array" aca="1" ref="J940" ca="1">_xlfn.LET(
  _xlpm.actual_value_month, INDEX(T940:AE940, MATCH(DATE(YEAR(TODAY()), MONTH(TODAY()), 1), $T$1:$AE$1, 0)),
  IF(_xlpm.actual_value_month &lt;&gt; "", _xlpm.actual_value_month &amp; " ações mensais", "")
)</f>
        <v/>
      </c>
      <c r="K940" s="8" t="str" cm="1">
        <f t="array" ref="K940">_xlfn.LET(
    _xlpm.sum_month, SUM(T940:AE940),
    IF(_xlpm.sum_month = 0, "", _xlpm.sum_month &amp; " certificados gerados.")
)</f>
        <v/>
      </c>
      <c r="L940" s="9" t="s">
        <v>195</v>
      </c>
      <c r="M940" s="13">
        <v>1</v>
      </c>
      <c r="N940" s="5" t="s">
        <v>42</v>
      </c>
      <c r="O940" s="5" t="s">
        <v>43</v>
      </c>
      <c r="P940" s="10" t="s">
        <v>146</v>
      </c>
      <c r="Q940" s="10" t="s">
        <v>44</v>
      </c>
      <c r="R940" s="11" t="s">
        <v>179</v>
      </c>
      <c r="S940" s="11" t="s">
        <v>67</v>
      </c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G940" s="71"/>
      <c r="AH940" s="71"/>
      <c r="AI940" s="71"/>
      <c r="AJ940" s="71"/>
      <c r="AK940" s="71"/>
      <c r="AL940" s="71"/>
      <c r="AM940" s="71"/>
      <c r="AN940" s="71"/>
      <c r="AO940" s="71"/>
      <c r="AP940" s="71"/>
      <c r="AQ940" s="71"/>
      <c r="AR940" s="71"/>
      <c r="AS940" s="94" t="str" cm="1">
        <f t="array" ref="AS940">IFERROR(INDEX(T940:AE940,1,MATCH(2,1/(T940:AE940&lt;&gt;""))),"")</f>
        <v/>
      </c>
      <c r="AT940" s="95" t="str" cm="1">
        <f t="array" ref="AT940">IFERROR(INDEX(AJ940:AR940,1,MATCH(2,1/(AJ940:AR940&lt;&gt;""))),"")</f>
        <v/>
      </c>
      <c r="AU940" s="97" t="str">
        <f t="shared" si="1185"/>
        <v/>
      </c>
      <c r="AW940" s="51"/>
      <c r="AX940" s="51"/>
      <c r="AY940" s="51"/>
      <c r="AZ940" s="51"/>
      <c r="BA940" s="51"/>
      <c r="BB940" s="51"/>
      <c r="BC940" s="51"/>
      <c r="BD940" s="51"/>
      <c r="BE940" s="51"/>
      <c r="BF940" s="51"/>
      <c r="BG940" s="51"/>
      <c r="BH940" s="51"/>
      <c r="BI940" s="65" t="str" cm="1">
        <f t="array" ref="BI940">IFERROR(INDEX(AW940:BH940,1,MATCH(2,1/(AW940:BH940&lt;&gt;""))),"")</f>
        <v/>
      </c>
      <c r="BJ940" s="68" t="str" cm="1">
        <f t="array" ref="BJ940">IF(BM940 = "", "",IFERROR(INDEX(AW940:BH940,1,MATCH(2,1/(AW940:BH940&lt;&gt;""),1)-1),""))</f>
        <v/>
      </c>
      <c r="BK940" s="58" t="str" cm="1">
        <f t="array" ref="BK940">IFERROR(INDEX(AW940:BH940,1,MATCH(2,1/(AW940:BH940&lt;&gt;""))),"")</f>
        <v/>
      </c>
      <c r="BL940" s="58" t="str" cm="1">
        <f t="array" ref="BL940">IFERROR(INDEX(AW940:BH940,1,MATCH(2,1/(AW940:BH940&lt;&gt;""),1)-1),"")</f>
        <v/>
      </c>
      <c r="BM940" s="55" t="str" cm="1">
        <f t="array" ref="BM940">IFERROR(
   INDEX($AW$1:$BH$1,
      _xlfn.AGGREGATE(14, 6, COLUMN($AW$1:$BH$1)/(AW940:BH940&lt;&gt;""), 2) - COLUMN($AW$1) + 1
   ),
"")</f>
        <v/>
      </c>
      <c r="BN940" s="55" t="str" cm="1">
        <f t="array" ref="BN940">IFERROR(INDEX($AW$1:$BH$1,1,MATCH(2,1/(AW940:BH940&lt;&gt;""))),"")</f>
        <v/>
      </c>
      <c r="BO940" s="53">
        <f ca="1">IFERROR(_xlfn.XLOOKUP(F940,Apuração!A:A,Apuração!C:C)/_xlfn.XLOOKUP(F940,Apuração!A:A,Apuração!B:B),0)</f>
        <v>0</v>
      </c>
      <c r="BP940" s="53">
        <f ca="1">IFERROR(_xlfn.XLOOKUP(F940,Apuração!A:A,Apuração!D:D)/_xlfn.XLOOKUP(F940,Apuração!A:A,Apuração!B:B),0)</f>
        <v>0</v>
      </c>
      <c r="BQ940" s="53">
        <f ca="1">IF(BK940&gt;=BO940,0,_xlfn.XLOOKUP(F940,Apuração!A:A,Apuração!B:B)*(BO940 + (1/_xlfn.XLOOKUP(F940,Apuração!A:A,Apuração!B:B)) - BK940))</f>
        <v>0</v>
      </c>
      <c r="BR940" s="85">
        <f t="shared" ca="1" si="1186"/>
        <v>0</v>
      </c>
      <c r="BS940" s="53">
        <f ca="1">IFERROR((_xlfn.XLOOKUP(F940,Apuração!A:A,Apuração!C:C)+1)/_xlfn.XLOOKUP(F940,Apuração!A:A,Apuração!B:B),0)</f>
        <v>0.14285714285714285</v>
      </c>
    </row>
    <row r="941" spans="1:71" ht="25.95" hidden="1" customHeight="1" x14ac:dyDescent="0.3">
      <c r="A941" s="33" t="s">
        <v>175</v>
      </c>
      <c r="B941" s="4" t="s">
        <v>194</v>
      </c>
      <c r="C941" s="5" t="s">
        <v>97</v>
      </c>
      <c r="D941" s="5" t="s">
        <v>102</v>
      </c>
      <c r="E941" s="4" t="s">
        <v>96</v>
      </c>
      <c r="F941" s="4" t="str" cm="1">
        <f t="array" ref="F941">_xlfn.IFS(
AG941 &lt;&gt; "", "Jan-Dez/26",
AH941 &lt;&gt; "", "Fev-Dez/26",
AI941 &lt;&gt; "", "Mar-Dez/26", AJ941 &lt;&gt; "", "Abr-Dez/26",
TRUE, "A partir de Junho"
)</f>
        <v>A partir de Junho</v>
      </c>
      <c r="G941" s="4" t="s">
        <v>62</v>
      </c>
      <c r="H941" s="7" t="s">
        <v>38</v>
      </c>
      <c r="I941" s="8" t="s">
        <v>177</v>
      </c>
      <c r="J941" s="8" t="str" cm="1">
        <f t="array" aca="1" ref="J941" ca="1">_xlfn.LET(
  _xlpm.actual_value_month, INDEX(T941:AE941, MATCH(DATE(YEAR(TODAY()), MONTH(TODAY()), 1), $T$1:$AE$1, 0)),
  IF(_xlpm.actual_value_month &lt;&gt; "", _xlpm.actual_value_month &amp; " ações mensais", "")
)</f>
        <v/>
      </c>
      <c r="K941" s="8" t="str" cm="1">
        <f t="array" ref="K941">_xlfn.LET(
    _xlpm.sum_month, SUM(T941:AE941),
    IF(_xlpm.sum_month = 0, "", _xlpm.sum_month &amp; " certificados gerados.")
)</f>
        <v/>
      </c>
      <c r="L941" s="9" t="s">
        <v>195</v>
      </c>
      <c r="M941" s="13">
        <v>1</v>
      </c>
      <c r="N941" s="5" t="s">
        <v>42</v>
      </c>
      <c r="O941" s="5" t="s">
        <v>43</v>
      </c>
      <c r="P941" s="10" t="s">
        <v>146</v>
      </c>
      <c r="Q941" s="10" t="s">
        <v>44</v>
      </c>
      <c r="R941" s="11" t="s">
        <v>179</v>
      </c>
      <c r="S941" s="11" t="s">
        <v>67</v>
      </c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G941" s="71"/>
      <c r="AH941" s="71"/>
      <c r="AI941" s="71"/>
      <c r="AJ941" s="71"/>
      <c r="AK941" s="71"/>
      <c r="AL941" s="71"/>
      <c r="AM941" s="71"/>
      <c r="AN941" s="71"/>
      <c r="AO941" s="71"/>
      <c r="AP941" s="71"/>
      <c r="AQ941" s="71"/>
      <c r="AR941" s="71"/>
      <c r="AS941" s="94" t="str" cm="1">
        <f t="array" ref="AS941">IFERROR(INDEX(T941:AE941,1,MATCH(2,1/(T941:AE941&lt;&gt;""))),"")</f>
        <v/>
      </c>
      <c r="AT941" s="95" t="str" cm="1">
        <f t="array" ref="AT941">IFERROR(INDEX(AJ941:AR941,1,MATCH(2,1/(AJ941:AR941&lt;&gt;""))),"")</f>
        <v/>
      </c>
      <c r="AU941" s="97" t="str">
        <f t="shared" si="1185"/>
        <v/>
      </c>
      <c r="AW941" s="51"/>
      <c r="AX941" s="51"/>
      <c r="AY941" s="51"/>
      <c r="AZ941" s="51"/>
      <c r="BA941" s="51"/>
      <c r="BB941" s="51"/>
      <c r="BC941" s="51"/>
      <c r="BD941" s="51"/>
      <c r="BE941" s="51"/>
      <c r="BF941" s="51"/>
      <c r="BG941" s="51"/>
      <c r="BH941" s="51"/>
      <c r="BI941" s="65" t="str" cm="1">
        <f t="array" ref="BI941">IFERROR(INDEX(AW941:BH941,1,MATCH(2,1/(AW941:BH941&lt;&gt;""))),"")</f>
        <v/>
      </c>
      <c r="BJ941" s="68" t="str" cm="1">
        <f t="array" ref="BJ941">IF(BM941 = "", "",IFERROR(INDEX(AW941:BH941,1,MATCH(2,1/(AW941:BH941&lt;&gt;""),1)-1),""))</f>
        <v/>
      </c>
      <c r="BK941" s="58" t="str" cm="1">
        <f t="array" ref="BK941">IFERROR(INDEX(AW941:BH941,1,MATCH(2,1/(AW941:BH941&lt;&gt;""))),"")</f>
        <v/>
      </c>
      <c r="BL941" s="58" t="str" cm="1">
        <f t="array" ref="BL941">IFERROR(INDEX(AW941:BH941,1,MATCH(2,1/(AW941:BH941&lt;&gt;""),1)-1),"")</f>
        <v/>
      </c>
      <c r="BM941" s="55" t="str" cm="1">
        <f t="array" ref="BM941">IFERROR(
   INDEX($AW$1:$BH$1,
      _xlfn.AGGREGATE(14, 6, COLUMN($AW$1:$BH$1)/(AW941:BH941&lt;&gt;""), 2) - COLUMN($AW$1) + 1
   ),
"")</f>
        <v/>
      </c>
      <c r="BN941" s="55" t="str" cm="1">
        <f t="array" ref="BN941">IFERROR(INDEX($AW$1:$BH$1,1,MATCH(2,1/(AW941:BH941&lt;&gt;""))),"")</f>
        <v/>
      </c>
      <c r="BO941" s="53">
        <f ca="1">IFERROR(_xlfn.XLOOKUP(F941,Apuração!A:A,Apuração!C:C)/_xlfn.XLOOKUP(F941,Apuração!A:A,Apuração!B:B),0)</f>
        <v>0</v>
      </c>
      <c r="BP941" s="53">
        <f ca="1">IFERROR(_xlfn.XLOOKUP(F941,Apuração!A:A,Apuração!D:D)/_xlfn.XLOOKUP(F941,Apuração!A:A,Apuração!B:B),0)</f>
        <v>0</v>
      </c>
      <c r="BQ941" s="53">
        <f ca="1">IF(BK941&gt;=BO941,0,_xlfn.XLOOKUP(F941,Apuração!A:A,Apuração!B:B)*(BO941 + (1/_xlfn.XLOOKUP(F941,Apuração!A:A,Apuração!B:B)) - BK941))</f>
        <v>0</v>
      </c>
      <c r="BR941" s="85">
        <f t="shared" ca="1" si="1186"/>
        <v>0</v>
      </c>
      <c r="BS941" s="53">
        <f ca="1">IFERROR((_xlfn.XLOOKUP(F941,Apuração!A:A,Apuração!C:C)+1)/_xlfn.XLOOKUP(F941,Apuração!A:A,Apuração!B:B),0)</f>
        <v>0.14285714285714285</v>
      </c>
    </row>
    <row r="942" spans="1:71" ht="25.95" hidden="1" customHeight="1" x14ac:dyDescent="0.3">
      <c r="A942" s="33" t="s">
        <v>175</v>
      </c>
      <c r="B942" s="4" t="s">
        <v>194</v>
      </c>
      <c r="C942" s="5" t="s">
        <v>97</v>
      </c>
      <c r="D942" s="5" t="s">
        <v>103</v>
      </c>
      <c r="E942" s="4" t="s">
        <v>96</v>
      </c>
      <c r="F942" s="4" t="str" cm="1">
        <f t="array" ref="F942">_xlfn.IFS(
AG942 &lt;&gt; "", "Jan-Dez/26",
AH942 &lt;&gt; "", "Fev-Dez/26",
AI942 &lt;&gt; "", "Mar-Dez/26", AJ942 &lt;&gt; "", "Abr-Dez/26",
TRUE, "A partir de Junho"
)</f>
        <v>A partir de Junho</v>
      </c>
      <c r="G942" s="4" t="s">
        <v>62</v>
      </c>
      <c r="H942" s="7" t="s">
        <v>38</v>
      </c>
      <c r="I942" s="8" t="s">
        <v>177</v>
      </c>
      <c r="J942" s="8" t="str" cm="1">
        <f t="array" aca="1" ref="J942" ca="1">_xlfn.LET(
  _xlpm.actual_value_month, INDEX(T942:AE942, MATCH(DATE(YEAR(TODAY()), MONTH(TODAY()), 1), $T$1:$AE$1, 0)),
  IF(_xlpm.actual_value_month &lt;&gt; "", _xlpm.actual_value_month &amp; " ações mensais", "")
)</f>
        <v/>
      </c>
      <c r="K942" s="8" t="str" cm="1">
        <f t="array" ref="K942">_xlfn.LET(
    _xlpm.sum_month, SUM(T942:AE942),
    IF(_xlpm.sum_month = 0, "", _xlpm.sum_month &amp; " certificados gerados.")
)</f>
        <v/>
      </c>
      <c r="L942" s="9" t="s">
        <v>195</v>
      </c>
      <c r="M942" s="13">
        <v>1</v>
      </c>
      <c r="N942" s="5" t="s">
        <v>42</v>
      </c>
      <c r="O942" s="5" t="s">
        <v>43</v>
      </c>
      <c r="P942" s="10" t="s">
        <v>146</v>
      </c>
      <c r="Q942" s="10" t="s">
        <v>44</v>
      </c>
      <c r="R942" s="11" t="s">
        <v>179</v>
      </c>
      <c r="S942" s="11" t="s">
        <v>67</v>
      </c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G942" s="71"/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  <c r="AR942" s="71"/>
      <c r="AS942" s="94" t="str" cm="1">
        <f t="array" ref="AS942">IFERROR(INDEX(T942:AE942,1,MATCH(2,1/(T942:AE942&lt;&gt;""))),"")</f>
        <v/>
      </c>
      <c r="AT942" s="95" t="str" cm="1">
        <f t="array" ref="AT942">IFERROR(INDEX(AJ942:AR942,1,MATCH(2,1/(AJ942:AR942&lt;&gt;""))),"")</f>
        <v/>
      </c>
      <c r="AU942" s="97" t="str">
        <f t="shared" si="1185"/>
        <v/>
      </c>
      <c r="AW942" s="51"/>
      <c r="AX942" s="51"/>
      <c r="AY942" s="51"/>
      <c r="AZ942" s="51"/>
      <c r="BA942" s="51"/>
      <c r="BB942" s="51"/>
      <c r="BC942" s="51"/>
      <c r="BD942" s="51"/>
      <c r="BE942" s="51"/>
      <c r="BF942" s="51"/>
      <c r="BG942" s="51"/>
      <c r="BH942" s="51"/>
      <c r="BI942" s="65" t="str" cm="1">
        <f t="array" ref="BI942">IFERROR(INDEX(AW942:BH942,1,MATCH(2,1/(AW942:BH942&lt;&gt;""))),"")</f>
        <v/>
      </c>
      <c r="BJ942" s="68" t="str" cm="1">
        <f t="array" ref="BJ942">IF(BM942 = "", "",IFERROR(INDEX(AW942:BH942,1,MATCH(2,1/(AW942:BH942&lt;&gt;""),1)-1),""))</f>
        <v/>
      </c>
      <c r="BK942" s="58" t="str" cm="1">
        <f t="array" ref="BK942">IFERROR(INDEX(AW942:BH942,1,MATCH(2,1/(AW942:BH942&lt;&gt;""))),"")</f>
        <v/>
      </c>
      <c r="BL942" s="58" t="str" cm="1">
        <f t="array" ref="BL942">IFERROR(INDEX(AW942:BH942,1,MATCH(2,1/(AW942:BH942&lt;&gt;""),1)-1),"")</f>
        <v/>
      </c>
      <c r="BM942" s="55" t="str" cm="1">
        <f t="array" ref="BM942">IFERROR(
   INDEX($AW$1:$BH$1,
      _xlfn.AGGREGATE(14, 6, COLUMN($AW$1:$BH$1)/(AW942:BH942&lt;&gt;""), 2) - COLUMN($AW$1) + 1
   ),
"")</f>
        <v/>
      </c>
      <c r="BN942" s="55" t="str" cm="1">
        <f t="array" ref="BN942">IFERROR(INDEX($AW$1:$BH$1,1,MATCH(2,1/(AW942:BH942&lt;&gt;""))),"")</f>
        <v/>
      </c>
      <c r="BO942" s="53">
        <f ca="1">IFERROR(_xlfn.XLOOKUP(F942,Apuração!A:A,Apuração!C:C)/_xlfn.XLOOKUP(F942,Apuração!A:A,Apuração!B:B),0)</f>
        <v>0</v>
      </c>
      <c r="BP942" s="53">
        <f ca="1">IFERROR(_xlfn.XLOOKUP(F942,Apuração!A:A,Apuração!D:D)/_xlfn.XLOOKUP(F942,Apuração!A:A,Apuração!B:B),0)</f>
        <v>0</v>
      </c>
      <c r="BQ942" s="53">
        <f ca="1">IF(BK942&gt;=BO942,0,_xlfn.XLOOKUP(F942,Apuração!A:A,Apuração!B:B)*(BO942 + (1/_xlfn.XLOOKUP(F942,Apuração!A:A,Apuração!B:B)) - BK942))</f>
        <v>0</v>
      </c>
      <c r="BR942" s="85">
        <f t="shared" ca="1" si="1186"/>
        <v>0</v>
      </c>
      <c r="BS942" s="53">
        <f ca="1">IFERROR((_xlfn.XLOOKUP(F942,Apuração!A:A,Apuração!C:C)+1)/_xlfn.XLOOKUP(F942,Apuração!A:A,Apuração!B:B),0)</f>
        <v>0.14285714285714285</v>
      </c>
    </row>
    <row r="943" spans="1:71" ht="25.95" hidden="1" customHeight="1" x14ac:dyDescent="0.3">
      <c r="A943" s="33" t="s">
        <v>175</v>
      </c>
      <c r="B943" s="4" t="s">
        <v>194</v>
      </c>
      <c r="C943" s="5" t="s">
        <v>97</v>
      </c>
      <c r="D943" s="5" t="s">
        <v>104</v>
      </c>
      <c r="E943" s="4" t="s">
        <v>96</v>
      </c>
      <c r="F943" s="4" t="str" cm="1">
        <f t="array" ref="F943">_xlfn.IFS(
AG943 &lt;&gt; "", "Jan-Dez/26",
AH943 &lt;&gt; "", "Fev-Dez/26",
AI943 &lt;&gt; "", "Mar-Dez/26", AJ943 &lt;&gt; "", "Abr-Dez/26",
TRUE, "A partir de Junho"
)</f>
        <v>A partir de Junho</v>
      </c>
      <c r="G943" s="4" t="s">
        <v>62</v>
      </c>
      <c r="H943" s="7" t="s">
        <v>38</v>
      </c>
      <c r="I943" s="8" t="s">
        <v>177</v>
      </c>
      <c r="J943" s="8" t="str" cm="1">
        <f t="array" aca="1" ref="J943" ca="1">_xlfn.LET(
  _xlpm.actual_value_month, INDEX(T943:AE943, MATCH(DATE(YEAR(TODAY()), MONTH(TODAY()), 1), $T$1:$AE$1, 0)),
  IF(_xlpm.actual_value_month &lt;&gt; "", _xlpm.actual_value_month &amp; " ações mensais", "")
)</f>
        <v/>
      </c>
      <c r="K943" s="8" t="str" cm="1">
        <f t="array" ref="K943">_xlfn.LET(
    _xlpm.sum_month, SUM(T943:AE943),
    IF(_xlpm.sum_month = 0, "", _xlpm.sum_month &amp; " certificados gerados.")
)</f>
        <v/>
      </c>
      <c r="L943" s="9" t="s">
        <v>195</v>
      </c>
      <c r="M943" s="13">
        <v>1</v>
      </c>
      <c r="N943" s="5" t="s">
        <v>42</v>
      </c>
      <c r="O943" s="5" t="s">
        <v>43</v>
      </c>
      <c r="P943" s="10" t="s">
        <v>146</v>
      </c>
      <c r="Q943" s="10" t="s">
        <v>44</v>
      </c>
      <c r="R943" s="11" t="s">
        <v>179</v>
      </c>
      <c r="S943" s="11" t="s">
        <v>67</v>
      </c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G943" s="71"/>
      <c r="AH943" s="71"/>
      <c r="AI943" s="71"/>
      <c r="AJ943" s="71"/>
      <c r="AK943" s="71"/>
      <c r="AL943" s="71"/>
      <c r="AM943" s="71"/>
      <c r="AN943" s="71"/>
      <c r="AO943" s="71"/>
      <c r="AP943" s="71"/>
      <c r="AQ943" s="71"/>
      <c r="AR943" s="71"/>
      <c r="AS943" s="94" t="str" cm="1">
        <f t="array" ref="AS943">IFERROR(INDEX(T943:AE943,1,MATCH(2,1/(T943:AE943&lt;&gt;""))),"")</f>
        <v/>
      </c>
      <c r="AT943" s="95" t="str" cm="1">
        <f t="array" ref="AT943">IFERROR(INDEX(AJ943:AR943,1,MATCH(2,1/(AJ943:AR943&lt;&gt;""))),"")</f>
        <v/>
      </c>
      <c r="AU943" s="97" t="str">
        <f t="shared" si="1185"/>
        <v/>
      </c>
      <c r="AW943" s="51"/>
      <c r="AX943" s="51"/>
      <c r="AY943" s="51"/>
      <c r="AZ943" s="51"/>
      <c r="BA943" s="51"/>
      <c r="BB943" s="51"/>
      <c r="BC943" s="51"/>
      <c r="BD943" s="51"/>
      <c r="BE943" s="51"/>
      <c r="BF943" s="51"/>
      <c r="BG943" s="51"/>
      <c r="BH943" s="51"/>
      <c r="BI943" s="65" t="str" cm="1">
        <f t="array" ref="BI943">IFERROR(INDEX(AW943:BH943,1,MATCH(2,1/(AW943:BH943&lt;&gt;""))),"")</f>
        <v/>
      </c>
      <c r="BJ943" s="68" t="str" cm="1">
        <f t="array" ref="BJ943">IF(BM943 = "", "",IFERROR(INDEX(AW943:BH943,1,MATCH(2,1/(AW943:BH943&lt;&gt;""),1)-1),""))</f>
        <v/>
      </c>
      <c r="BK943" s="58" t="str" cm="1">
        <f t="array" ref="BK943">IFERROR(INDEX(AW943:BH943,1,MATCH(2,1/(AW943:BH943&lt;&gt;""))),"")</f>
        <v/>
      </c>
      <c r="BL943" s="58" t="str" cm="1">
        <f t="array" ref="BL943">IFERROR(INDEX(AW943:BH943,1,MATCH(2,1/(AW943:BH943&lt;&gt;""),1)-1),"")</f>
        <v/>
      </c>
      <c r="BM943" s="55" t="str" cm="1">
        <f t="array" ref="BM943">IFERROR(
   INDEX($AW$1:$BH$1,
      _xlfn.AGGREGATE(14, 6, COLUMN($AW$1:$BH$1)/(AW943:BH943&lt;&gt;""), 2) - COLUMN($AW$1) + 1
   ),
"")</f>
        <v/>
      </c>
      <c r="BN943" s="55" t="str" cm="1">
        <f t="array" ref="BN943">IFERROR(INDEX($AW$1:$BH$1,1,MATCH(2,1/(AW943:BH943&lt;&gt;""))),"")</f>
        <v/>
      </c>
      <c r="BO943" s="53">
        <f ca="1">IFERROR(_xlfn.XLOOKUP(F943,Apuração!A:A,Apuração!C:C)/_xlfn.XLOOKUP(F943,Apuração!A:A,Apuração!B:B),0)</f>
        <v>0</v>
      </c>
      <c r="BP943" s="53">
        <f ca="1">IFERROR(_xlfn.XLOOKUP(F943,Apuração!A:A,Apuração!D:D)/_xlfn.XLOOKUP(F943,Apuração!A:A,Apuração!B:B),0)</f>
        <v>0</v>
      </c>
      <c r="BQ943" s="53">
        <f ca="1">IF(BK943&gt;=BO943,0,_xlfn.XLOOKUP(F943,Apuração!A:A,Apuração!B:B)*(BO943 + (1/_xlfn.XLOOKUP(F943,Apuração!A:A,Apuração!B:B)) - BK943))</f>
        <v>0</v>
      </c>
      <c r="BR943" s="85">
        <f t="shared" ca="1" si="1186"/>
        <v>0</v>
      </c>
      <c r="BS943" s="53">
        <f ca="1">IFERROR((_xlfn.XLOOKUP(F943,Apuração!A:A,Apuração!C:C)+1)/_xlfn.XLOOKUP(F943,Apuração!A:A,Apuração!B:B),0)</f>
        <v>0.14285714285714285</v>
      </c>
    </row>
    <row r="944" spans="1:71" ht="25.95" hidden="1" customHeight="1" x14ac:dyDescent="0.3">
      <c r="A944" s="33" t="s">
        <v>175</v>
      </c>
      <c r="B944" s="4" t="s">
        <v>194</v>
      </c>
      <c r="C944" s="5" t="s">
        <v>97</v>
      </c>
      <c r="D944" s="5" t="s">
        <v>105</v>
      </c>
      <c r="E944" s="4" t="s">
        <v>96</v>
      </c>
      <c r="F944" s="4" t="str" cm="1">
        <f t="array" ref="F944">_xlfn.IFS(
AG944 &lt;&gt; "", "Jan-Dez/26",
AH944 &lt;&gt; "", "Fev-Dez/26",
AI944 &lt;&gt; "", "Mar-Dez/26", AJ944 &lt;&gt; "", "Abr-Dez/26",
TRUE, "A partir de Junho"
)</f>
        <v>A partir de Junho</v>
      </c>
      <c r="G944" s="4" t="s">
        <v>62</v>
      </c>
      <c r="H944" s="7" t="s">
        <v>38</v>
      </c>
      <c r="I944" s="8" t="s">
        <v>177</v>
      </c>
      <c r="J944" s="8" t="str" cm="1">
        <f t="array" aca="1" ref="J944" ca="1">_xlfn.LET(
  _xlpm.actual_value_month, INDEX(T944:AE944, MATCH(DATE(YEAR(TODAY()), MONTH(TODAY()), 1), $T$1:$AE$1, 0)),
  IF(_xlpm.actual_value_month &lt;&gt; "", _xlpm.actual_value_month &amp; " ações mensais", "")
)</f>
        <v/>
      </c>
      <c r="K944" s="8" t="str" cm="1">
        <f t="array" ref="K944">_xlfn.LET(
    _xlpm.sum_month, SUM(T944:AE944),
    IF(_xlpm.sum_month = 0, "", _xlpm.sum_month &amp; " certificados gerados.")
)</f>
        <v/>
      </c>
      <c r="L944" s="9" t="s">
        <v>195</v>
      </c>
      <c r="M944" s="13">
        <v>1</v>
      </c>
      <c r="N944" s="5" t="s">
        <v>42</v>
      </c>
      <c r="O944" s="5" t="s">
        <v>43</v>
      </c>
      <c r="P944" s="10" t="s">
        <v>146</v>
      </c>
      <c r="Q944" s="10" t="s">
        <v>44</v>
      </c>
      <c r="R944" s="11" t="s">
        <v>179</v>
      </c>
      <c r="S944" s="11" t="s">
        <v>67</v>
      </c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G944" s="71"/>
      <c r="AH944" s="71"/>
      <c r="AI944" s="71"/>
      <c r="AJ944" s="71"/>
      <c r="AK944" s="71"/>
      <c r="AL944" s="71"/>
      <c r="AM944" s="71"/>
      <c r="AN944" s="71"/>
      <c r="AO944" s="71"/>
      <c r="AP944" s="71"/>
      <c r="AQ944" s="71"/>
      <c r="AR944" s="71"/>
      <c r="AS944" s="94" t="str" cm="1">
        <f t="array" ref="AS944">IFERROR(INDEX(T944:AE944,1,MATCH(2,1/(T944:AE944&lt;&gt;""))),"")</f>
        <v/>
      </c>
      <c r="AT944" s="95" t="str" cm="1">
        <f t="array" ref="AT944">IFERROR(INDEX(AJ944:AR944,1,MATCH(2,1/(AJ944:AR944&lt;&gt;""))),"")</f>
        <v/>
      </c>
      <c r="AU944" s="97" t="str">
        <f t="shared" si="1185"/>
        <v/>
      </c>
      <c r="AW944" s="51"/>
      <c r="AX944" s="51"/>
      <c r="AY944" s="51"/>
      <c r="AZ944" s="51"/>
      <c r="BA944" s="51"/>
      <c r="BB944" s="51"/>
      <c r="BC944" s="51"/>
      <c r="BD944" s="51"/>
      <c r="BE944" s="51"/>
      <c r="BF944" s="51"/>
      <c r="BG944" s="51"/>
      <c r="BH944" s="51"/>
      <c r="BI944" s="65" t="str" cm="1">
        <f t="array" ref="BI944">IFERROR(INDEX(AW944:BH944,1,MATCH(2,1/(AW944:BH944&lt;&gt;""))),"")</f>
        <v/>
      </c>
      <c r="BJ944" s="68" t="str" cm="1">
        <f t="array" ref="BJ944">IF(BM944 = "", "",IFERROR(INDEX(AW944:BH944,1,MATCH(2,1/(AW944:BH944&lt;&gt;""),1)-1),""))</f>
        <v/>
      </c>
      <c r="BK944" s="58" t="str" cm="1">
        <f t="array" ref="BK944">IFERROR(INDEX(AW944:BH944,1,MATCH(2,1/(AW944:BH944&lt;&gt;""))),"")</f>
        <v/>
      </c>
      <c r="BL944" s="58" t="str" cm="1">
        <f t="array" ref="BL944">IFERROR(INDEX(AW944:BH944,1,MATCH(2,1/(AW944:BH944&lt;&gt;""),1)-1),"")</f>
        <v/>
      </c>
      <c r="BM944" s="55" t="str" cm="1">
        <f t="array" ref="BM944">IFERROR(
   INDEX($AW$1:$BH$1,
      _xlfn.AGGREGATE(14, 6, COLUMN($AW$1:$BH$1)/(AW944:BH944&lt;&gt;""), 2) - COLUMN($AW$1) + 1
   ),
"")</f>
        <v/>
      </c>
      <c r="BN944" s="55" t="str" cm="1">
        <f t="array" ref="BN944">IFERROR(INDEX($AW$1:$BH$1,1,MATCH(2,1/(AW944:BH944&lt;&gt;""))),"")</f>
        <v/>
      </c>
      <c r="BO944" s="53">
        <f ca="1">IFERROR(_xlfn.XLOOKUP(F944,Apuração!A:A,Apuração!C:C)/_xlfn.XLOOKUP(F944,Apuração!A:A,Apuração!B:B),0)</f>
        <v>0</v>
      </c>
      <c r="BP944" s="53">
        <f ca="1">IFERROR(_xlfn.XLOOKUP(F944,Apuração!A:A,Apuração!D:D)/_xlfn.XLOOKUP(F944,Apuração!A:A,Apuração!B:B),0)</f>
        <v>0</v>
      </c>
      <c r="BQ944" s="53">
        <f ca="1">IF(BK944&gt;=BO944,0,_xlfn.XLOOKUP(F944,Apuração!A:A,Apuração!B:B)*(BO944 + (1/_xlfn.XLOOKUP(F944,Apuração!A:A,Apuração!B:B)) - BK944))</f>
        <v>0</v>
      </c>
      <c r="BR944" s="85">
        <f t="shared" ca="1" si="1186"/>
        <v>0</v>
      </c>
      <c r="BS944" s="53">
        <f ca="1">IFERROR((_xlfn.XLOOKUP(F944,Apuração!A:A,Apuração!C:C)+1)/_xlfn.XLOOKUP(F944,Apuração!A:A,Apuração!B:B),0)</f>
        <v>0.14285714285714285</v>
      </c>
    </row>
    <row r="945" spans="1:71" ht="25.95" hidden="1" customHeight="1" x14ac:dyDescent="0.3">
      <c r="A945" s="33" t="s">
        <v>175</v>
      </c>
      <c r="B945" s="4" t="s">
        <v>194</v>
      </c>
      <c r="C945" s="5" t="s">
        <v>97</v>
      </c>
      <c r="D945" s="5" t="s">
        <v>106</v>
      </c>
      <c r="E945" s="4" t="s">
        <v>96</v>
      </c>
      <c r="F945" s="4" t="str" cm="1">
        <f t="array" ref="F945">_xlfn.IFS(
AG945 &lt;&gt; "", "Jan-Dez/26",
AH945 &lt;&gt; "", "Fev-Dez/26",
AI945 &lt;&gt; "", "Mar-Dez/26", AJ945 &lt;&gt; "", "Abr-Dez/26",
TRUE, "A partir de Junho"
)</f>
        <v>A partir de Junho</v>
      </c>
      <c r="G945" s="4" t="s">
        <v>62</v>
      </c>
      <c r="H945" s="7" t="s">
        <v>38</v>
      </c>
      <c r="I945" s="8" t="s">
        <v>177</v>
      </c>
      <c r="J945" s="8" t="str" cm="1">
        <f t="array" aca="1" ref="J945" ca="1">_xlfn.LET(
  _xlpm.actual_value_month, INDEX(T945:AE945, MATCH(DATE(YEAR(TODAY()), MONTH(TODAY()), 1), $T$1:$AE$1, 0)),
  IF(_xlpm.actual_value_month &lt;&gt; "", _xlpm.actual_value_month &amp; " ações mensais", "")
)</f>
        <v/>
      </c>
      <c r="K945" s="8" t="str" cm="1">
        <f t="array" ref="K945">_xlfn.LET(
    _xlpm.sum_month, SUM(T945:AE945),
    IF(_xlpm.sum_month = 0, "", _xlpm.sum_month &amp; " certificados gerados.")
)</f>
        <v/>
      </c>
      <c r="L945" s="9" t="s">
        <v>195</v>
      </c>
      <c r="M945" s="13">
        <v>1</v>
      </c>
      <c r="N945" s="5" t="s">
        <v>42</v>
      </c>
      <c r="O945" s="5" t="s">
        <v>43</v>
      </c>
      <c r="P945" s="10" t="s">
        <v>146</v>
      </c>
      <c r="Q945" s="10" t="s">
        <v>44</v>
      </c>
      <c r="R945" s="11" t="s">
        <v>179</v>
      </c>
      <c r="S945" s="11" t="s">
        <v>67</v>
      </c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G945" s="71"/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  <c r="AR945" s="71"/>
      <c r="AS945" s="94" t="str" cm="1">
        <f t="array" ref="AS945">IFERROR(INDEX(T945:AE945,1,MATCH(2,1/(T945:AE945&lt;&gt;""))),"")</f>
        <v/>
      </c>
      <c r="AT945" s="95" t="str" cm="1">
        <f t="array" ref="AT945">IFERROR(INDEX(AJ945:AR945,1,MATCH(2,1/(AJ945:AR945&lt;&gt;""))),"")</f>
        <v/>
      </c>
      <c r="AU945" s="97" t="str">
        <f t="shared" si="1185"/>
        <v/>
      </c>
      <c r="AW945" s="51"/>
      <c r="AX945" s="51"/>
      <c r="AY945" s="51"/>
      <c r="AZ945" s="51"/>
      <c r="BA945" s="51"/>
      <c r="BB945" s="51"/>
      <c r="BC945" s="51"/>
      <c r="BD945" s="51"/>
      <c r="BE945" s="51"/>
      <c r="BF945" s="51"/>
      <c r="BG945" s="51"/>
      <c r="BH945" s="51"/>
      <c r="BI945" s="65" t="str" cm="1">
        <f t="array" ref="BI945">IFERROR(INDEX(AW945:BH945,1,MATCH(2,1/(AW945:BH945&lt;&gt;""))),"")</f>
        <v/>
      </c>
      <c r="BJ945" s="68" t="str" cm="1">
        <f t="array" ref="BJ945">IF(BM945 = "", "",IFERROR(INDEX(AW945:BH945,1,MATCH(2,1/(AW945:BH945&lt;&gt;""),1)-1),""))</f>
        <v/>
      </c>
      <c r="BK945" s="58" t="str" cm="1">
        <f t="array" ref="BK945">IFERROR(INDEX(AW945:BH945,1,MATCH(2,1/(AW945:BH945&lt;&gt;""))),"")</f>
        <v/>
      </c>
      <c r="BL945" s="58" t="str" cm="1">
        <f t="array" ref="BL945">IFERROR(INDEX(AW945:BH945,1,MATCH(2,1/(AW945:BH945&lt;&gt;""),1)-1),"")</f>
        <v/>
      </c>
      <c r="BM945" s="55" t="str" cm="1">
        <f t="array" ref="BM945">IFERROR(
   INDEX($AW$1:$BH$1,
      _xlfn.AGGREGATE(14, 6, COLUMN($AW$1:$BH$1)/(AW945:BH945&lt;&gt;""), 2) - COLUMN($AW$1) + 1
   ),
"")</f>
        <v/>
      </c>
      <c r="BN945" s="55" t="str" cm="1">
        <f t="array" ref="BN945">IFERROR(INDEX($AW$1:$BH$1,1,MATCH(2,1/(AW945:BH945&lt;&gt;""))),"")</f>
        <v/>
      </c>
      <c r="BO945" s="53">
        <f ca="1">IFERROR(_xlfn.XLOOKUP(F945,Apuração!A:A,Apuração!C:C)/_xlfn.XLOOKUP(F945,Apuração!A:A,Apuração!B:B),0)</f>
        <v>0</v>
      </c>
      <c r="BP945" s="53">
        <f ca="1">IFERROR(_xlfn.XLOOKUP(F945,Apuração!A:A,Apuração!D:D)/_xlfn.XLOOKUP(F945,Apuração!A:A,Apuração!B:B),0)</f>
        <v>0</v>
      </c>
      <c r="BQ945" s="53">
        <f ca="1">IF(BK945&gt;=BO945,0,_xlfn.XLOOKUP(F945,Apuração!A:A,Apuração!B:B)*(BO945 + (1/_xlfn.XLOOKUP(F945,Apuração!A:A,Apuração!B:B)) - BK945))</f>
        <v>0</v>
      </c>
      <c r="BR945" s="85">
        <f t="shared" ca="1" si="1186"/>
        <v>0</v>
      </c>
      <c r="BS945" s="53">
        <f ca="1">IFERROR((_xlfn.XLOOKUP(F945,Apuração!A:A,Apuração!C:C)+1)/_xlfn.XLOOKUP(F945,Apuração!A:A,Apuração!B:B),0)</f>
        <v>0.14285714285714285</v>
      </c>
    </row>
    <row r="946" spans="1:71" ht="25.95" hidden="1" customHeight="1" x14ac:dyDescent="0.3">
      <c r="A946" s="33" t="s">
        <v>175</v>
      </c>
      <c r="B946" s="4" t="s">
        <v>194</v>
      </c>
      <c r="C946" s="5" t="s">
        <v>97</v>
      </c>
      <c r="D946" s="5" t="s">
        <v>107</v>
      </c>
      <c r="E946" s="4" t="s">
        <v>96</v>
      </c>
      <c r="F946" s="4" t="str" cm="1">
        <f t="array" ref="F946">_xlfn.IFS(
AG946 &lt;&gt; "", "Jan-Dez/26",
AH946 &lt;&gt; "", "Fev-Dez/26",
AI946 &lt;&gt; "", "Mar-Dez/26", AJ946 &lt;&gt; "", "Abr-Dez/26",
TRUE, "A partir de Junho"
)</f>
        <v>A partir de Junho</v>
      </c>
      <c r="G946" s="4" t="s">
        <v>62</v>
      </c>
      <c r="H946" s="7" t="s">
        <v>38</v>
      </c>
      <c r="I946" s="8" t="s">
        <v>177</v>
      </c>
      <c r="J946" s="8" t="str" cm="1">
        <f t="array" aca="1" ref="J946" ca="1">_xlfn.LET(
  _xlpm.actual_value_month, INDEX(T946:AE946, MATCH(DATE(YEAR(TODAY()), MONTH(TODAY()), 1), $T$1:$AE$1, 0)),
  IF(_xlpm.actual_value_month &lt;&gt; "", _xlpm.actual_value_month &amp; " ações mensais", "")
)</f>
        <v/>
      </c>
      <c r="K946" s="8" t="str" cm="1">
        <f t="array" ref="K946">_xlfn.LET(
    _xlpm.sum_month, SUM(T946:AE946),
    IF(_xlpm.sum_month = 0, "", _xlpm.sum_month &amp; " certificados gerados.")
)</f>
        <v/>
      </c>
      <c r="L946" s="9" t="s">
        <v>195</v>
      </c>
      <c r="M946" s="13">
        <v>1</v>
      </c>
      <c r="N946" s="5" t="s">
        <v>42</v>
      </c>
      <c r="O946" s="5" t="s">
        <v>43</v>
      </c>
      <c r="P946" s="10" t="s">
        <v>146</v>
      </c>
      <c r="Q946" s="10" t="s">
        <v>44</v>
      </c>
      <c r="R946" s="11" t="s">
        <v>179</v>
      </c>
      <c r="S946" s="11" t="s">
        <v>67</v>
      </c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G946" s="71"/>
      <c r="AH946" s="71"/>
      <c r="AI946" s="71"/>
      <c r="AJ946" s="71"/>
      <c r="AK946" s="71"/>
      <c r="AL946" s="71"/>
      <c r="AM946" s="71"/>
      <c r="AN946" s="71"/>
      <c r="AO946" s="71"/>
      <c r="AP946" s="71"/>
      <c r="AQ946" s="71"/>
      <c r="AR946" s="71"/>
      <c r="AS946" s="94" t="str" cm="1">
        <f t="array" ref="AS946">IFERROR(INDEX(T946:AE946,1,MATCH(2,1/(T946:AE946&lt;&gt;""))),"")</f>
        <v/>
      </c>
      <c r="AT946" s="95" t="str" cm="1">
        <f t="array" ref="AT946">IFERROR(INDEX(AJ946:AR946,1,MATCH(2,1/(AJ946:AR946&lt;&gt;""))),"")</f>
        <v/>
      </c>
      <c r="AU946" s="97" t="str">
        <f t="shared" si="1185"/>
        <v/>
      </c>
      <c r="AW946" s="51"/>
      <c r="AX946" s="51"/>
      <c r="AY946" s="51"/>
      <c r="AZ946" s="51"/>
      <c r="BA946" s="51"/>
      <c r="BB946" s="51"/>
      <c r="BC946" s="51"/>
      <c r="BD946" s="51"/>
      <c r="BE946" s="51"/>
      <c r="BF946" s="51"/>
      <c r="BG946" s="51"/>
      <c r="BH946" s="51"/>
      <c r="BI946" s="65" t="str" cm="1">
        <f t="array" ref="BI946">IFERROR(INDEX(AW946:BH946,1,MATCH(2,1/(AW946:BH946&lt;&gt;""))),"")</f>
        <v/>
      </c>
      <c r="BJ946" s="68" t="str" cm="1">
        <f t="array" ref="BJ946">IF(BM946 = "", "",IFERROR(INDEX(AW946:BH946,1,MATCH(2,1/(AW946:BH946&lt;&gt;""),1)-1),""))</f>
        <v/>
      </c>
      <c r="BK946" s="58" t="str" cm="1">
        <f t="array" ref="BK946">IFERROR(INDEX(AW946:BH946,1,MATCH(2,1/(AW946:BH946&lt;&gt;""))),"")</f>
        <v/>
      </c>
      <c r="BL946" s="58" t="str" cm="1">
        <f t="array" ref="BL946">IFERROR(INDEX(AW946:BH946,1,MATCH(2,1/(AW946:BH946&lt;&gt;""),1)-1),"")</f>
        <v/>
      </c>
      <c r="BM946" s="55" t="str" cm="1">
        <f t="array" ref="BM946">IFERROR(
   INDEX($AW$1:$BH$1,
      _xlfn.AGGREGATE(14, 6, COLUMN($AW$1:$BH$1)/(AW946:BH946&lt;&gt;""), 2) - COLUMN($AW$1) + 1
   ),
"")</f>
        <v/>
      </c>
      <c r="BN946" s="55" t="str" cm="1">
        <f t="array" ref="BN946">IFERROR(INDEX($AW$1:$BH$1,1,MATCH(2,1/(AW946:BH946&lt;&gt;""))),"")</f>
        <v/>
      </c>
      <c r="BO946" s="53">
        <f ca="1">IFERROR(_xlfn.XLOOKUP(F946,Apuração!A:A,Apuração!C:C)/_xlfn.XLOOKUP(F946,Apuração!A:A,Apuração!B:B),0)</f>
        <v>0</v>
      </c>
      <c r="BP946" s="53">
        <f ca="1">IFERROR(_xlfn.XLOOKUP(F946,Apuração!A:A,Apuração!D:D)/_xlfn.XLOOKUP(F946,Apuração!A:A,Apuração!B:B),0)</f>
        <v>0</v>
      </c>
      <c r="BQ946" s="53">
        <f ca="1">IF(BK946&gt;=BO946,0,_xlfn.XLOOKUP(F946,Apuração!A:A,Apuração!B:B)*(BO946 + (1/_xlfn.XLOOKUP(F946,Apuração!A:A,Apuração!B:B)) - BK946))</f>
        <v>0</v>
      </c>
      <c r="BR946" s="85">
        <f t="shared" ca="1" si="1186"/>
        <v>0</v>
      </c>
      <c r="BS946" s="53">
        <f ca="1">IFERROR((_xlfn.XLOOKUP(F946,Apuração!A:A,Apuração!C:C)+1)/_xlfn.XLOOKUP(F946,Apuração!A:A,Apuração!B:B),0)</f>
        <v>0.14285714285714285</v>
      </c>
    </row>
    <row r="947" spans="1:71" ht="25.95" hidden="1" customHeight="1" x14ac:dyDescent="0.3">
      <c r="A947" s="44" t="s">
        <v>175</v>
      </c>
      <c r="B947" s="4" t="s">
        <v>194</v>
      </c>
      <c r="C947" s="5" t="s">
        <v>97</v>
      </c>
      <c r="D947" s="5" t="s">
        <v>36</v>
      </c>
      <c r="E947" s="4" t="s">
        <v>96</v>
      </c>
      <c r="F947" s="4" t="str" cm="1">
        <f t="array" ref="F947">_xlfn.IFS(
AG947 &lt;&gt; "", "Jan-Dez/26",
AH947 &lt;&gt; "", "Fev-Dez/26",
AI947 &lt;&gt; "", "Mar-Dez/26", AJ947 &lt;&gt; "", "Abr-Dez/26",
TRUE, "A partir de Junho"
)</f>
        <v>A partir de Junho</v>
      </c>
      <c r="G947" s="4" t="s">
        <v>62</v>
      </c>
      <c r="H947" s="7" t="s">
        <v>38</v>
      </c>
      <c r="I947" s="21" t="s">
        <v>180</v>
      </c>
      <c r="J947" s="8" t="str" cm="1">
        <f t="array" aca="1" ref="J947" ca="1">_xlfn.LET(
  _xlpm.actual_value_month, INDEX(T947:AE947, MATCH(DATE(YEAR(TODAY()), MONTH(TODAY()), 1), $T$1:$AE$1, 0)),
  IF(_xlpm.actual_value_month &lt;&gt; "", _xlpm.actual_value_month &amp; " ações mensais", "")
)</f>
        <v/>
      </c>
      <c r="K947" s="34" t="str" cm="1">
        <f t="array" ref="K947">_xlfn.LET(
    _xlpm.sum_month, SUM(T947:AE947),
    IF(_xlpm.sum_month = 0, "", _xlpm.sum_month &amp; " colaboradores treinados.")
)</f>
        <v/>
      </c>
      <c r="L947" s="9" t="s">
        <v>196</v>
      </c>
      <c r="M947" s="13">
        <v>1</v>
      </c>
      <c r="N947" s="5" t="s">
        <v>51</v>
      </c>
      <c r="O947" s="5" t="s">
        <v>52</v>
      </c>
      <c r="P947" s="10" t="s">
        <v>146</v>
      </c>
      <c r="Q947" s="10" t="s">
        <v>44</v>
      </c>
      <c r="R947" s="11" t="s">
        <v>44</v>
      </c>
      <c r="S947" s="11" t="s">
        <v>44</v>
      </c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G947" s="71"/>
      <c r="AH947" s="71"/>
      <c r="AI947" s="71"/>
      <c r="AJ947" s="71"/>
      <c r="AK947" s="71"/>
      <c r="AL947" s="71"/>
      <c r="AM947" s="71"/>
      <c r="AN947" s="71"/>
      <c r="AO947" s="71"/>
      <c r="AP947" s="71"/>
      <c r="AQ947" s="71"/>
      <c r="AR947" s="71"/>
      <c r="AS947" s="94" t="str" cm="1">
        <f t="array" ref="AS947">IFERROR(INDEX(T947:AE947,1,MATCH(2,1/(T947:AE947&lt;&gt;""))),"")</f>
        <v/>
      </c>
      <c r="AT947" s="95" t="str" cm="1">
        <f t="array" ref="AT947">IFERROR(INDEX(AJ947:AR947,1,MATCH(2,1/(AJ947:AR947&lt;&gt;""))),"")</f>
        <v/>
      </c>
      <c r="AU947" s="97" t="str">
        <f t="shared" si="1121"/>
        <v/>
      </c>
      <c r="AW947" s="52">
        <f>AG947</f>
        <v>0</v>
      </c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68" cm="1">
        <f t="array" ref="BI947">IFERROR(INDEX(AW947:BH947,1,MATCH(2,1/(AW947:BH947&lt;&gt;""))),"")</f>
        <v>0</v>
      </c>
      <c r="BJ947" s="68" t="str" cm="1">
        <f t="array" ref="BJ947">IF(BM947 = "", "",IFERROR(INDEX(AW947:BH947,1,MATCH(2,1/(AW947:BH947&lt;&gt;""),1)-1),""))</f>
        <v/>
      </c>
      <c r="BK947" s="59">
        <f>SUM(AW947:BH947)</f>
        <v>0</v>
      </c>
      <c r="BL947" s="59" cm="1">
        <f t="array" ref="BL947">IFERROR(SUM(AW947:INDEX(AW947:BH947, MATCH(2, 1/(AW947:BH947&lt;&gt;""), 1) - 1))/_xlfn.XLOOKUP(F947,Apuração!A:A,Apuração!B:B),0)</f>
        <v>0</v>
      </c>
      <c r="BM947" s="55" t="str" cm="1">
        <f t="array" ref="BM947">IFERROR(
   INDEX($AW$1:$BH$1,
      _xlfn.AGGREGATE(14, 6, COLUMN($AW$1:$BH$1)/(AW947:BH947&lt;&gt;""), 2) - COLUMN($AW$1) + 1
   ),
"")</f>
        <v/>
      </c>
      <c r="BN947" s="55" cm="1">
        <f t="array" ref="BN947">IFERROR(INDEX($AW$1:$BH$1,1,MATCH(2,1/(AW947:BH947&lt;&gt;""))),"")</f>
        <v>46023</v>
      </c>
      <c r="BO947" s="53">
        <f ca="1">IFERROR(_xlfn.XLOOKUP(F947,Apuração!A:A,Apuração!C:C)/_xlfn.XLOOKUP(F947,Apuração!A:A,Apuração!B:B),0)</f>
        <v>0</v>
      </c>
      <c r="BP947" s="53">
        <f ca="1">IFERROR(_xlfn.XLOOKUP(F947,Apuração!A:A,Apuração!D:D)/_xlfn.XLOOKUP(F947,Apuração!A:A,Apuração!B:B),0)</f>
        <v>0</v>
      </c>
      <c r="BQ947" s="53">
        <f ca="1">IF(BK947&gt;=BO947,0,_xlfn.XLOOKUP(F947,Apuração!A:A,Apuração!B:B)*(BO947 + (1/_xlfn.XLOOKUP(F947,Apuração!A:A,Apuração!B:B)) - BK947))</f>
        <v>0</v>
      </c>
      <c r="BR947" s="85">
        <f t="shared" ca="1" si="1172"/>
        <v>0</v>
      </c>
      <c r="BS947" s="53">
        <f ca="1">IFERROR((_xlfn.XLOOKUP(F947,Apuração!A:A,Apuração!C:C)+1)/_xlfn.XLOOKUP(F947,Apuração!A:A,Apuração!B:B),0)</f>
        <v>0.14285714285714285</v>
      </c>
    </row>
    <row r="948" spans="1:71" ht="25.95" hidden="1" customHeight="1" x14ac:dyDescent="0.3">
      <c r="A948" s="44" t="s">
        <v>175</v>
      </c>
      <c r="B948" s="4" t="s">
        <v>194</v>
      </c>
      <c r="C948" s="5" t="s">
        <v>97</v>
      </c>
      <c r="D948" s="5" t="s">
        <v>98</v>
      </c>
      <c r="E948" s="4" t="s">
        <v>96</v>
      </c>
      <c r="F948" s="4" t="str" cm="1">
        <f t="array" ref="F948">_xlfn.IFS(
AG948 &lt;&gt; "", "Jan-Dez/26",
AH948 &lt;&gt; "", "Fev-Dez/26",
AI948 &lt;&gt; "", "Mar-Dez/26", AJ948 &lt;&gt; "", "Abr-Dez/26",
TRUE, "A partir de Junho"
)</f>
        <v>A partir de Junho</v>
      </c>
      <c r="G948" s="4" t="s">
        <v>62</v>
      </c>
      <c r="H948" s="7" t="s">
        <v>38</v>
      </c>
      <c r="I948" s="21" t="s">
        <v>180</v>
      </c>
      <c r="J948" s="8" t="str" cm="1">
        <f t="array" aca="1" ref="J948" ca="1">_xlfn.LET(
  _xlpm.actual_value_month, INDEX(T948:AE948, MATCH(DATE(YEAR(TODAY()), MONTH(TODAY()), 1), $T$1:$AE$1, 0)),
  IF(_xlpm.actual_value_month &lt;&gt; "", _xlpm.actual_value_month &amp; " ações mensais", "")
)</f>
        <v/>
      </c>
      <c r="K948" s="34" t="str" cm="1">
        <f t="array" ref="K948">_xlfn.LET(
    _xlpm.sum_month, SUM(T948:AE948),
    IF(_xlpm.sum_month = 0, "", _xlpm.sum_month &amp; " colaboradores treinados.")
)</f>
        <v/>
      </c>
      <c r="L948" s="9" t="s">
        <v>196</v>
      </c>
      <c r="M948" s="13">
        <v>1</v>
      </c>
      <c r="N948" s="5" t="s">
        <v>51</v>
      </c>
      <c r="O948" s="5" t="s">
        <v>52</v>
      </c>
      <c r="P948" s="10" t="s">
        <v>146</v>
      </c>
      <c r="Q948" s="10" t="s">
        <v>44</v>
      </c>
      <c r="R948" s="11" t="s">
        <v>44</v>
      </c>
      <c r="S948" s="11" t="s">
        <v>44</v>
      </c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G948" s="71"/>
      <c r="AH948" s="71"/>
      <c r="AI948" s="71"/>
      <c r="AJ948" s="71"/>
      <c r="AK948" s="71"/>
      <c r="AL948" s="71"/>
      <c r="AM948" s="71"/>
      <c r="AN948" s="71"/>
      <c r="AO948" s="71"/>
      <c r="AP948" s="71"/>
      <c r="AQ948" s="71"/>
      <c r="AR948" s="71"/>
      <c r="AS948" s="94" t="str" cm="1">
        <f t="array" ref="AS948">IFERROR(INDEX(T948:AE948,1,MATCH(2,1/(T948:AE948&lt;&gt;""))),"")</f>
        <v/>
      </c>
      <c r="AT948" s="95" t="str" cm="1">
        <f t="array" ref="AT948">IFERROR(INDEX(AJ948:AR948,1,MATCH(2,1/(AJ948:AR948&lt;&gt;""))),"")</f>
        <v/>
      </c>
      <c r="AU948" s="97" t="str">
        <f t="shared" ref="AU948:AU957" si="1187">AT948</f>
        <v/>
      </c>
      <c r="AW948" s="52">
        <f t="shared" ref="AW948:AW957" si="1188">AG948</f>
        <v>0</v>
      </c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68" cm="1">
        <f t="array" ref="BI948">IFERROR(INDEX(AW948:BH948,1,MATCH(2,1/(AW948:BH948&lt;&gt;""))),"")</f>
        <v>0</v>
      </c>
      <c r="BJ948" s="68" t="str" cm="1">
        <f t="array" ref="BJ948">IF(BM948 = "", "",IFERROR(INDEX(AW948:BH948,1,MATCH(2,1/(AW948:BH948&lt;&gt;""),1)-1),""))</f>
        <v/>
      </c>
      <c r="BK948" s="59">
        <f t="shared" ref="BK948:BK957" si="1189">SUM(AW948:BH948)</f>
        <v>0</v>
      </c>
      <c r="BL948" s="59" cm="1">
        <f t="array" ref="BL948">IFERROR(SUM(AW948:INDEX(AW948:BH948, MATCH(2, 1/(AW948:BH948&lt;&gt;""), 1) - 1))/_xlfn.XLOOKUP(F948,Apuração!A:A,Apuração!B:B),0)</f>
        <v>0</v>
      </c>
      <c r="BM948" s="55" t="str" cm="1">
        <f t="array" ref="BM948">IFERROR(
   INDEX($AW$1:$BH$1,
      _xlfn.AGGREGATE(14, 6, COLUMN($AW$1:$BH$1)/(AW948:BH948&lt;&gt;""), 2) - COLUMN($AW$1) + 1
   ),
"")</f>
        <v/>
      </c>
      <c r="BN948" s="55" cm="1">
        <f t="array" ref="BN948">IFERROR(INDEX($AW$1:$BH$1,1,MATCH(2,1/(AW948:BH948&lt;&gt;""))),"")</f>
        <v>46023</v>
      </c>
      <c r="BO948" s="53">
        <f ca="1">IFERROR(_xlfn.XLOOKUP(F948,Apuração!A:A,Apuração!C:C)/_xlfn.XLOOKUP(F948,Apuração!A:A,Apuração!B:B),0)</f>
        <v>0</v>
      </c>
      <c r="BP948" s="53">
        <f ca="1">IFERROR(_xlfn.XLOOKUP(F948,Apuração!A:A,Apuração!D:D)/_xlfn.XLOOKUP(F948,Apuração!A:A,Apuração!B:B),0)</f>
        <v>0</v>
      </c>
      <c r="BQ948" s="53">
        <f ca="1">IF(BK948&gt;=BO948,0,_xlfn.XLOOKUP(F948,Apuração!A:A,Apuração!B:B)*(BO948 + (1/_xlfn.XLOOKUP(F948,Apuração!A:A,Apuração!B:B)) - BK948))</f>
        <v>0</v>
      </c>
      <c r="BR948" s="85">
        <f t="shared" ref="BR948:BR957" ca="1" si="1190">IF(BQ948=0,0,BQ948*Z948)</f>
        <v>0</v>
      </c>
      <c r="BS948" s="53">
        <f ca="1">IFERROR((_xlfn.XLOOKUP(F948,Apuração!A:A,Apuração!C:C)+1)/_xlfn.XLOOKUP(F948,Apuração!A:A,Apuração!B:B),0)</f>
        <v>0.14285714285714285</v>
      </c>
    </row>
    <row r="949" spans="1:71" ht="25.95" hidden="1" customHeight="1" x14ac:dyDescent="0.3">
      <c r="A949" s="44" t="s">
        <v>175</v>
      </c>
      <c r="B949" s="4" t="s">
        <v>194</v>
      </c>
      <c r="C949" s="5" t="s">
        <v>97</v>
      </c>
      <c r="D949" s="5" t="s">
        <v>99</v>
      </c>
      <c r="E949" s="4" t="s">
        <v>96</v>
      </c>
      <c r="F949" s="4" t="str" cm="1">
        <f t="array" ref="F949">_xlfn.IFS(
AG949 &lt;&gt; "", "Jan-Dez/26",
AH949 &lt;&gt; "", "Fev-Dez/26",
AI949 &lt;&gt; "", "Mar-Dez/26", AJ949 &lt;&gt; "", "Abr-Dez/26",
TRUE, "A partir de Junho"
)</f>
        <v>A partir de Junho</v>
      </c>
      <c r="G949" s="4" t="s">
        <v>62</v>
      </c>
      <c r="H949" s="7" t="s">
        <v>38</v>
      </c>
      <c r="I949" s="21" t="s">
        <v>180</v>
      </c>
      <c r="J949" s="8" t="str" cm="1">
        <f t="array" aca="1" ref="J949" ca="1">_xlfn.LET(
  _xlpm.actual_value_month, INDEX(T949:AE949, MATCH(DATE(YEAR(TODAY()), MONTH(TODAY()), 1), $T$1:$AE$1, 0)),
  IF(_xlpm.actual_value_month &lt;&gt; "", _xlpm.actual_value_month &amp; " ações mensais", "")
)</f>
        <v/>
      </c>
      <c r="K949" s="34" t="str" cm="1">
        <f t="array" ref="K949">_xlfn.LET(
    _xlpm.sum_month, SUM(T949:AE949),
    IF(_xlpm.sum_month = 0, "", _xlpm.sum_month &amp; " colaboradores treinados.")
)</f>
        <v/>
      </c>
      <c r="L949" s="9" t="s">
        <v>196</v>
      </c>
      <c r="M949" s="13">
        <v>1</v>
      </c>
      <c r="N949" s="5" t="s">
        <v>51</v>
      </c>
      <c r="O949" s="5" t="s">
        <v>52</v>
      </c>
      <c r="P949" s="10" t="s">
        <v>146</v>
      </c>
      <c r="Q949" s="10" t="s">
        <v>44</v>
      </c>
      <c r="R949" s="11" t="s">
        <v>44</v>
      </c>
      <c r="S949" s="11" t="s">
        <v>44</v>
      </c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G949" s="71"/>
      <c r="AH949" s="71"/>
      <c r="AI949" s="71"/>
      <c r="AJ949" s="71"/>
      <c r="AK949" s="71"/>
      <c r="AL949" s="71"/>
      <c r="AM949" s="71"/>
      <c r="AN949" s="71"/>
      <c r="AO949" s="71"/>
      <c r="AP949" s="71"/>
      <c r="AQ949" s="71"/>
      <c r="AR949" s="71"/>
      <c r="AS949" s="94" t="str" cm="1">
        <f t="array" ref="AS949">IFERROR(INDEX(T949:AE949,1,MATCH(2,1/(T949:AE949&lt;&gt;""))),"")</f>
        <v/>
      </c>
      <c r="AT949" s="95" t="str" cm="1">
        <f t="array" ref="AT949">IFERROR(INDEX(AJ949:AR949,1,MATCH(2,1/(AJ949:AR949&lt;&gt;""))),"")</f>
        <v/>
      </c>
      <c r="AU949" s="97" t="str">
        <f t="shared" si="1187"/>
        <v/>
      </c>
      <c r="AW949" s="52">
        <f t="shared" si="1188"/>
        <v>0</v>
      </c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68" cm="1">
        <f t="array" ref="BI949">IFERROR(INDEX(AW949:BH949,1,MATCH(2,1/(AW949:BH949&lt;&gt;""))),"")</f>
        <v>0</v>
      </c>
      <c r="BJ949" s="68" t="str" cm="1">
        <f t="array" ref="BJ949">IF(BM949 = "", "",IFERROR(INDEX(AW949:BH949,1,MATCH(2,1/(AW949:BH949&lt;&gt;""),1)-1),""))</f>
        <v/>
      </c>
      <c r="BK949" s="59">
        <f t="shared" si="1189"/>
        <v>0</v>
      </c>
      <c r="BL949" s="59" cm="1">
        <f t="array" ref="BL949">IFERROR(SUM(AW949:INDEX(AW949:BH949, MATCH(2, 1/(AW949:BH949&lt;&gt;""), 1) - 1))/_xlfn.XLOOKUP(F949,Apuração!A:A,Apuração!B:B),0)</f>
        <v>0</v>
      </c>
      <c r="BM949" s="55" t="str" cm="1">
        <f t="array" ref="BM949">IFERROR(
   INDEX($AW$1:$BH$1,
      _xlfn.AGGREGATE(14, 6, COLUMN($AW$1:$BH$1)/(AW949:BH949&lt;&gt;""), 2) - COLUMN($AW$1) + 1
   ),
"")</f>
        <v/>
      </c>
      <c r="BN949" s="55" cm="1">
        <f t="array" ref="BN949">IFERROR(INDEX($AW$1:$BH$1,1,MATCH(2,1/(AW949:BH949&lt;&gt;""))),"")</f>
        <v>46023</v>
      </c>
      <c r="BO949" s="53">
        <f ca="1">IFERROR(_xlfn.XLOOKUP(F949,Apuração!A:A,Apuração!C:C)/_xlfn.XLOOKUP(F949,Apuração!A:A,Apuração!B:B),0)</f>
        <v>0</v>
      </c>
      <c r="BP949" s="53">
        <f ca="1">IFERROR(_xlfn.XLOOKUP(F949,Apuração!A:A,Apuração!D:D)/_xlfn.XLOOKUP(F949,Apuração!A:A,Apuração!B:B),0)</f>
        <v>0</v>
      </c>
      <c r="BQ949" s="53">
        <f ca="1">IF(BK949&gt;=BO949,0,_xlfn.XLOOKUP(F949,Apuração!A:A,Apuração!B:B)*(BO949 + (1/_xlfn.XLOOKUP(F949,Apuração!A:A,Apuração!B:B)) - BK949))</f>
        <v>0</v>
      </c>
      <c r="BR949" s="85">
        <f t="shared" ca="1" si="1190"/>
        <v>0</v>
      </c>
      <c r="BS949" s="53">
        <f ca="1">IFERROR((_xlfn.XLOOKUP(F949,Apuração!A:A,Apuração!C:C)+1)/_xlfn.XLOOKUP(F949,Apuração!A:A,Apuração!B:B),0)</f>
        <v>0.14285714285714285</v>
      </c>
    </row>
    <row r="950" spans="1:71" ht="25.95" hidden="1" customHeight="1" x14ac:dyDescent="0.3">
      <c r="A950" s="44" t="s">
        <v>175</v>
      </c>
      <c r="B950" s="4" t="s">
        <v>194</v>
      </c>
      <c r="C950" s="5" t="s">
        <v>97</v>
      </c>
      <c r="D950" s="5" t="s">
        <v>100</v>
      </c>
      <c r="E950" s="4" t="s">
        <v>96</v>
      </c>
      <c r="F950" s="4" t="str" cm="1">
        <f t="array" ref="F950">_xlfn.IFS(
AG950 &lt;&gt; "", "Jan-Dez/26",
AH950 &lt;&gt; "", "Fev-Dez/26",
AI950 &lt;&gt; "", "Mar-Dez/26", AJ950 &lt;&gt; "", "Abr-Dez/26",
TRUE, "A partir de Junho"
)</f>
        <v>A partir de Junho</v>
      </c>
      <c r="G950" s="4" t="s">
        <v>62</v>
      </c>
      <c r="H950" s="7" t="s">
        <v>38</v>
      </c>
      <c r="I950" s="21" t="s">
        <v>180</v>
      </c>
      <c r="J950" s="8" t="str" cm="1">
        <f t="array" aca="1" ref="J950" ca="1">_xlfn.LET(
  _xlpm.actual_value_month, INDEX(T950:AE950, MATCH(DATE(YEAR(TODAY()), MONTH(TODAY()), 1), $T$1:$AE$1, 0)),
  IF(_xlpm.actual_value_month &lt;&gt; "", _xlpm.actual_value_month &amp; " ações mensais", "")
)</f>
        <v/>
      </c>
      <c r="K950" s="34" t="str" cm="1">
        <f t="array" ref="K950">_xlfn.LET(
    _xlpm.sum_month, SUM(T950:AE950),
    IF(_xlpm.sum_month = 0, "", _xlpm.sum_month &amp; " colaboradores treinados.")
)</f>
        <v/>
      </c>
      <c r="L950" s="9" t="s">
        <v>196</v>
      </c>
      <c r="M950" s="13">
        <v>1</v>
      </c>
      <c r="N950" s="5" t="s">
        <v>51</v>
      </c>
      <c r="O950" s="5" t="s">
        <v>52</v>
      </c>
      <c r="P950" s="10" t="s">
        <v>146</v>
      </c>
      <c r="Q950" s="10" t="s">
        <v>44</v>
      </c>
      <c r="R950" s="11" t="s">
        <v>44</v>
      </c>
      <c r="S950" s="11" t="s">
        <v>44</v>
      </c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G950" s="71"/>
      <c r="AH950" s="71"/>
      <c r="AI950" s="71"/>
      <c r="AJ950" s="71"/>
      <c r="AK950" s="71"/>
      <c r="AL950" s="71"/>
      <c r="AM950" s="71"/>
      <c r="AN950" s="71"/>
      <c r="AO950" s="71"/>
      <c r="AP950" s="71"/>
      <c r="AQ950" s="71"/>
      <c r="AR950" s="71"/>
      <c r="AS950" s="94" t="str" cm="1">
        <f t="array" ref="AS950">IFERROR(INDEX(T950:AE950,1,MATCH(2,1/(T950:AE950&lt;&gt;""))),"")</f>
        <v/>
      </c>
      <c r="AT950" s="95" t="str" cm="1">
        <f t="array" ref="AT950">IFERROR(INDEX(AJ950:AR950,1,MATCH(2,1/(AJ950:AR950&lt;&gt;""))),"")</f>
        <v/>
      </c>
      <c r="AU950" s="97" t="str">
        <f t="shared" si="1187"/>
        <v/>
      </c>
      <c r="AW950" s="52">
        <f t="shared" si="1188"/>
        <v>0</v>
      </c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68" cm="1">
        <f t="array" ref="BI950">IFERROR(INDEX(AW950:BH950,1,MATCH(2,1/(AW950:BH950&lt;&gt;""))),"")</f>
        <v>0</v>
      </c>
      <c r="BJ950" s="68" t="str" cm="1">
        <f t="array" ref="BJ950">IF(BM950 = "", "",IFERROR(INDEX(AW950:BH950,1,MATCH(2,1/(AW950:BH950&lt;&gt;""),1)-1),""))</f>
        <v/>
      </c>
      <c r="BK950" s="59">
        <f t="shared" si="1189"/>
        <v>0</v>
      </c>
      <c r="BL950" s="59" cm="1">
        <f t="array" ref="BL950">IFERROR(SUM(AW950:INDEX(AW950:BH950, MATCH(2, 1/(AW950:BH950&lt;&gt;""), 1) - 1))/_xlfn.XLOOKUP(F950,Apuração!A:A,Apuração!B:B),0)</f>
        <v>0</v>
      </c>
      <c r="BM950" s="55" t="str" cm="1">
        <f t="array" ref="BM950">IFERROR(
   INDEX($AW$1:$BH$1,
      _xlfn.AGGREGATE(14, 6, COLUMN($AW$1:$BH$1)/(AW950:BH950&lt;&gt;""), 2) - COLUMN($AW$1) + 1
   ),
"")</f>
        <v/>
      </c>
      <c r="BN950" s="55" cm="1">
        <f t="array" ref="BN950">IFERROR(INDEX($AW$1:$BH$1,1,MATCH(2,1/(AW950:BH950&lt;&gt;""))),"")</f>
        <v>46023</v>
      </c>
      <c r="BO950" s="53">
        <f ca="1">IFERROR(_xlfn.XLOOKUP(F950,Apuração!A:A,Apuração!C:C)/_xlfn.XLOOKUP(F950,Apuração!A:A,Apuração!B:B),0)</f>
        <v>0</v>
      </c>
      <c r="BP950" s="53">
        <f ca="1">IFERROR(_xlfn.XLOOKUP(F950,Apuração!A:A,Apuração!D:D)/_xlfn.XLOOKUP(F950,Apuração!A:A,Apuração!B:B),0)</f>
        <v>0</v>
      </c>
      <c r="BQ950" s="53">
        <f ca="1">IF(BK950&gt;=BO950,0,_xlfn.XLOOKUP(F950,Apuração!A:A,Apuração!B:B)*(BO950 + (1/_xlfn.XLOOKUP(F950,Apuração!A:A,Apuração!B:B)) - BK950))</f>
        <v>0</v>
      </c>
      <c r="BR950" s="85">
        <f t="shared" ca="1" si="1190"/>
        <v>0</v>
      </c>
      <c r="BS950" s="53">
        <f ca="1">IFERROR((_xlfn.XLOOKUP(F950,Apuração!A:A,Apuração!C:C)+1)/_xlfn.XLOOKUP(F950,Apuração!A:A,Apuração!B:B),0)</f>
        <v>0.14285714285714285</v>
      </c>
    </row>
    <row r="951" spans="1:71" ht="25.95" hidden="1" customHeight="1" x14ac:dyDescent="0.3">
      <c r="A951" s="44" t="s">
        <v>175</v>
      </c>
      <c r="B951" s="4" t="s">
        <v>194</v>
      </c>
      <c r="C951" s="5" t="s">
        <v>97</v>
      </c>
      <c r="D951" s="5" t="s">
        <v>101</v>
      </c>
      <c r="E951" s="4" t="s">
        <v>96</v>
      </c>
      <c r="F951" s="4" t="str" cm="1">
        <f t="array" ref="F951">_xlfn.IFS(
AG951 &lt;&gt; "", "Jan-Dez/26",
AH951 &lt;&gt; "", "Fev-Dez/26",
AI951 &lt;&gt; "", "Mar-Dez/26", AJ951 &lt;&gt; "", "Abr-Dez/26",
TRUE, "A partir de Junho"
)</f>
        <v>A partir de Junho</v>
      </c>
      <c r="G951" s="4" t="s">
        <v>62</v>
      </c>
      <c r="H951" s="7" t="s">
        <v>38</v>
      </c>
      <c r="I951" s="21" t="s">
        <v>180</v>
      </c>
      <c r="J951" s="8" t="str" cm="1">
        <f t="array" aca="1" ref="J951" ca="1">_xlfn.LET(
  _xlpm.actual_value_month, INDEX(T951:AE951, MATCH(DATE(YEAR(TODAY()), MONTH(TODAY()), 1), $T$1:$AE$1, 0)),
  IF(_xlpm.actual_value_month &lt;&gt; "", _xlpm.actual_value_month &amp; " ações mensais", "")
)</f>
        <v/>
      </c>
      <c r="K951" s="34" t="str" cm="1">
        <f t="array" ref="K951">_xlfn.LET(
    _xlpm.sum_month, SUM(T951:AE951),
    IF(_xlpm.sum_month = 0, "", _xlpm.sum_month &amp; " colaboradores treinados.")
)</f>
        <v/>
      </c>
      <c r="L951" s="9" t="s">
        <v>196</v>
      </c>
      <c r="M951" s="13">
        <v>1</v>
      </c>
      <c r="N951" s="5" t="s">
        <v>51</v>
      </c>
      <c r="O951" s="5" t="s">
        <v>52</v>
      </c>
      <c r="P951" s="10" t="s">
        <v>146</v>
      </c>
      <c r="Q951" s="10" t="s">
        <v>44</v>
      </c>
      <c r="R951" s="11" t="s">
        <v>44</v>
      </c>
      <c r="S951" s="11" t="s">
        <v>44</v>
      </c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G951" s="71"/>
      <c r="AH951" s="71"/>
      <c r="AI951" s="71"/>
      <c r="AJ951" s="71"/>
      <c r="AK951" s="71"/>
      <c r="AL951" s="71"/>
      <c r="AM951" s="71"/>
      <c r="AN951" s="71"/>
      <c r="AO951" s="71"/>
      <c r="AP951" s="71"/>
      <c r="AQ951" s="71"/>
      <c r="AR951" s="71"/>
      <c r="AS951" s="94" t="str" cm="1">
        <f t="array" ref="AS951">IFERROR(INDEX(T951:AE951,1,MATCH(2,1/(T951:AE951&lt;&gt;""))),"")</f>
        <v/>
      </c>
      <c r="AT951" s="95" t="str" cm="1">
        <f t="array" ref="AT951">IFERROR(INDEX(AJ951:AR951,1,MATCH(2,1/(AJ951:AR951&lt;&gt;""))),"")</f>
        <v/>
      </c>
      <c r="AU951" s="97" t="str">
        <f t="shared" si="1187"/>
        <v/>
      </c>
      <c r="AW951" s="52">
        <f t="shared" si="1188"/>
        <v>0</v>
      </c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68" cm="1">
        <f t="array" ref="BI951">IFERROR(INDEX(AW951:BH951,1,MATCH(2,1/(AW951:BH951&lt;&gt;""))),"")</f>
        <v>0</v>
      </c>
      <c r="BJ951" s="68" t="str" cm="1">
        <f t="array" ref="BJ951">IF(BM951 = "", "",IFERROR(INDEX(AW951:BH951,1,MATCH(2,1/(AW951:BH951&lt;&gt;""),1)-1),""))</f>
        <v/>
      </c>
      <c r="BK951" s="59">
        <f t="shared" si="1189"/>
        <v>0</v>
      </c>
      <c r="BL951" s="59" cm="1">
        <f t="array" ref="BL951">IFERROR(SUM(AW951:INDEX(AW951:BH951, MATCH(2, 1/(AW951:BH951&lt;&gt;""), 1) - 1))/_xlfn.XLOOKUP(F951,Apuração!A:A,Apuração!B:B),0)</f>
        <v>0</v>
      </c>
      <c r="BM951" s="55" t="str" cm="1">
        <f t="array" ref="BM951">IFERROR(
   INDEX($AW$1:$BH$1,
      _xlfn.AGGREGATE(14, 6, COLUMN($AW$1:$BH$1)/(AW951:BH951&lt;&gt;""), 2) - COLUMN($AW$1) + 1
   ),
"")</f>
        <v/>
      </c>
      <c r="BN951" s="55" cm="1">
        <f t="array" ref="BN951">IFERROR(INDEX($AW$1:$BH$1,1,MATCH(2,1/(AW951:BH951&lt;&gt;""))),"")</f>
        <v>46023</v>
      </c>
      <c r="BO951" s="53">
        <f ca="1">IFERROR(_xlfn.XLOOKUP(F951,Apuração!A:A,Apuração!C:C)/_xlfn.XLOOKUP(F951,Apuração!A:A,Apuração!B:B),0)</f>
        <v>0</v>
      </c>
      <c r="BP951" s="53">
        <f ca="1">IFERROR(_xlfn.XLOOKUP(F951,Apuração!A:A,Apuração!D:D)/_xlfn.XLOOKUP(F951,Apuração!A:A,Apuração!B:B),0)</f>
        <v>0</v>
      </c>
      <c r="BQ951" s="53">
        <f ca="1">IF(BK951&gt;=BO951,0,_xlfn.XLOOKUP(F951,Apuração!A:A,Apuração!B:B)*(BO951 + (1/_xlfn.XLOOKUP(F951,Apuração!A:A,Apuração!B:B)) - BK951))</f>
        <v>0</v>
      </c>
      <c r="BR951" s="85">
        <f t="shared" ca="1" si="1190"/>
        <v>0</v>
      </c>
      <c r="BS951" s="53">
        <f ca="1">IFERROR((_xlfn.XLOOKUP(F951,Apuração!A:A,Apuração!C:C)+1)/_xlfn.XLOOKUP(F951,Apuração!A:A,Apuração!B:B),0)</f>
        <v>0.14285714285714285</v>
      </c>
    </row>
    <row r="952" spans="1:71" ht="25.95" hidden="1" customHeight="1" x14ac:dyDescent="0.3">
      <c r="A952" s="44" t="s">
        <v>175</v>
      </c>
      <c r="B952" s="4" t="s">
        <v>194</v>
      </c>
      <c r="C952" s="5" t="s">
        <v>97</v>
      </c>
      <c r="D952" s="5" t="s">
        <v>102</v>
      </c>
      <c r="E952" s="4" t="s">
        <v>96</v>
      </c>
      <c r="F952" s="4" t="str" cm="1">
        <f t="array" ref="F952">_xlfn.IFS(
AG952 &lt;&gt; "", "Jan-Dez/26",
AH952 &lt;&gt; "", "Fev-Dez/26",
AI952 &lt;&gt; "", "Mar-Dez/26", AJ952 &lt;&gt; "", "Abr-Dez/26",
TRUE, "A partir de Junho"
)</f>
        <v>A partir de Junho</v>
      </c>
      <c r="G952" s="4" t="s">
        <v>62</v>
      </c>
      <c r="H952" s="7" t="s">
        <v>38</v>
      </c>
      <c r="I952" s="21" t="s">
        <v>180</v>
      </c>
      <c r="J952" s="8" t="str" cm="1">
        <f t="array" aca="1" ref="J952" ca="1">_xlfn.LET(
  _xlpm.actual_value_month, INDEX(T952:AE952, MATCH(DATE(YEAR(TODAY()), MONTH(TODAY()), 1), $T$1:$AE$1, 0)),
  IF(_xlpm.actual_value_month &lt;&gt; "", _xlpm.actual_value_month &amp; " ações mensais", "")
)</f>
        <v/>
      </c>
      <c r="K952" s="34" t="str" cm="1">
        <f t="array" ref="K952">_xlfn.LET(
    _xlpm.sum_month, SUM(T952:AE952),
    IF(_xlpm.sum_month = 0, "", _xlpm.sum_month &amp; " colaboradores treinados.")
)</f>
        <v/>
      </c>
      <c r="L952" s="9" t="s">
        <v>196</v>
      </c>
      <c r="M952" s="13">
        <v>1</v>
      </c>
      <c r="N952" s="5" t="s">
        <v>51</v>
      </c>
      <c r="O952" s="5" t="s">
        <v>52</v>
      </c>
      <c r="P952" s="10" t="s">
        <v>146</v>
      </c>
      <c r="Q952" s="10" t="s">
        <v>44</v>
      </c>
      <c r="R952" s="11" t="s">
        <v>44</v>
      </c>
      <c r="S952" s="11" t="s">
        <v>44</v>
      </c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G952" s="71"/>
      <c r="AH952" s="71"/>
      <c r="AI952" s="71"/>
      <c r="AJ952" s="71"/>
      <c r="AK952" s="71"/>
      <c r="AL952" s="71"/>
      <c r="AM952" s="71"/>
      <c r="AN952" s="71"/>
      <c r="AO952" s="71"/>
      <c r="AP952" s="71"/>
      <c r="AQ952" s="71"/>
      <c r="AR952" s="71"/>
      <c r="AS952" s="94" t="str" cm="1">
        <f t="array" ref="AS952">IFERROR(INDEX(T952:AE952,1,MATCH(2,1/(T952:AE952&lt;&gt;""))),"")</f>
        <v/>
      </c>
      <c r="AT952" s="95" t="str" cm="1">
        <f t="array" ref="AT952">IFERROR(INDEX(AJ952:AR952,1,MATCH(2,1/(AJ952:AR952&lt;&gt;""))),"")</f>
        <v/>
      </c>
      <c r="AU952" s="97" t="str">
        <f t="shared" si="1187"/>
        <v/>
      </c>
      <c r="AW952" s="52">
        <f t="shared" si="1188"/>
        <v>0</v>
      </c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68" cm="1">
        <f t="array" ref="BI952">IFERROR(INDEX(AW952:BH952,1,MATCH(2,1/(AW952:BH952&lt;&gt;""))),"")</f>
        <v>0</v>
      </c>
      <c r="BJ952" s="68" t="str" cm="1">
        <f t="array" ref="BJ952">IF(BM952 = "", "",IFERROR(INDEX(AW952:BH952,1,MATCH(2,1/(AW952:BH952&lt;&gt;""),1)-1),""))</f>
        <v/>
      </c>
      <c r="BK952" s="59">
        <f t="shared" si="1189"/>
        <v>0</v>
      </c>
      <c r="BL952" s="59" cm="1">
        <f t="array" ref="BL952">IFERROR(SUM(AW952:INDEX(AW952:BH952, MATCH(2, 1/(AW952:BH952&lt;&gt;""), 1) - 1))/_xlfn.XLOOKUP(F952,Apuração!A:A,Apuração!B:B),0)</f>
        <v>0</v>
      </c>
      <c r="BM952" s="55" t="str" cm="1">
        <f t="array" ref="BM952">IFERROR(
   INDEX($AW$1:$BH$1,
      _xlfn.AGGREGATE(14, 6, COLUMN($AW$1:$BH$1)/(AW952:BH952&lt;&gt;""), 2) - COLUMN($AW$1) + 1
   ),
"")</f>
        <v/>
      </c>
      <c r="BN952" s="55" cm="1">
        <f t="array" ref="BN952">IFERROR(INDEX($AW$1:$BH$1,1,MATCH(2,1/(AW952:BH952&lt;&gt;""))),"")</f>
        <v>46023</v>
      </c>
      <c r="BO952" s="53">
        <f ca="1">IFERROR(_xlfn.XLOOKUP(F952,Apuração!A:A,Apuração!C:C)/_xlfn.XLOOKUP(F952,Apuração!A:A,Apuração!B:B),0)</f>
        <v>0</v>
      </c>
      <c r="BP952" s="53">
        <f ca="1">IFERROR(_xlfn.XLOOKUP(F952,Apuração!A:A,Apuração!D:D)/_xlfn.XLOOKUP(F952,Apuração!A:A,Apuração!B:B),0)</f>
        <v>0</v>
      </c>
      <c r="BQ952" s="53">
        <f ca="1">IF(BK952&gt;=BO952,0,_xlfn.XLOOKUP(F952,Apuração!A:A,Apuração!B:B)*(BO952 + (1/_xlfn.XLOOKUP(F952,Apuração!A:A,Apuração!B:B)) - BK952))</f>
        <v>0</v>
      </c>
      <c r="BR952" s="85">
        <f t="shared" ca="1" si="1190"/>
        <v>0</v>
      </c>
      <c r="BS952" s="53">
        <f ca="1">IFERROR((_xlfn.XLOOKUP(F952,Apuração!A:A,Apuração!C:C)+1)/_xlfn.XLOOKUP(F952,Apuração!A:A,Apuração!B:B),0)</f>
        <v>0.14285714285714285</v>
      </c>
    </row>
    <row r="953" spans="1:71" ht="25.95" hidden="1" customHeight="1" x14ac:dyDescent="0.3">
      <c r="A953" s="44" t="s">
        <v>175</v>
      </c>
      <c r="B953" s="4" t="s">
        <v>194</v>
      </c>
      <c r="C953" s="5" t="s">
        <v>97</v>
      </c>
      <c r="D953" s="5" t="s">
        <v>103</v>
      </c>
      <c r="E953" s="4" t="s">
        <v>96</v>
      </c>
      <c r="F953" s="4" t="str" cm="1">
        <f t="array" ref="F953">_xlfn.IFS(
AG953 &lt;&gt; "", "Jan-Dez/26",
AH953 &lt;&gt; "", "Fev-Dez/26",
AI953 &lt;&gt; "", "Mar-Dez/26", AJ953 &lt;&gt; "", "Abr-Dez/26",
TRUE, "A partir de Junho"
)</f>
        <v>A partir de Junho</v>
      </c>
      <c r="G953" s="4" t="s">
        <v>62</v>
      </c>
      <c r="H953" s="7" t="s">
        <v>38</v>
      </c>
      <c r="I953" s="21" t="s">
        <v>180</v>
      </c>
      <c r="J953" s="8" t="str" cm="1">
        <f t="array" aca="1" ref="J953" ca="1">_xlfn.LET(
  _xlpm.actual_value_month, INDEX(T953:AE953, MATCH(DATE(YEAR(TODAY()), MONTH(TODAY()), 1), $T$1:$AE$1, 0)),
  IF(_xlpm.actual_value_month &lt;&gt; "", _xlpm.actual_value_month &amp; " ações mensais", "")
)</f>
        <v/>
      </c>
      <c r="K953" s="34" t="str" cm="1">
        <f t="array" ref="K953">_xlfn.LET(
    _xlpm.sum_month, SUM(T953:AE953),
    IF(_xlpm.sum_month = 0, "", _xlpm.sum_month &amp; " colaboradores treinados.")
)</f>
        <v/>
      </c>
      <c r="L953" s="9" t="s">
        <v>196</v>
      </c>
      <c r="M953" s="13">
        <v>1</v>
      </c>
      <c r="N953" s="5" t="s">
        <v>51</v>
      </c>
      <c r="O953" s="5" t="s">
        <v>52</v>
      </c>
      <c r="P953" s="10" t="s">
        <v>146</v>
      </c>
      <c r="Q953" s="10" t="s">
        <v>44</v>
      </c>
      <c r="R953" s="11" t="s">
        <v>44</v>
      </c>
      <c r="S953" s="11" t="s">
        <v>44</v>
      </c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G953" s="71"/>
      <c r="AH953" s="71"/>
      <c r="AI953" s="71"/>
      <c r="AJ953" s="71"/>
      <c r="AK953" s="71"/>
      <c r="AL953" s="71"/>
      <c r="AM953" s="71"/>
      <c r="AN953" s="71"/>
      <c r="AO953" s="71"/>
      <c r="AP953" s="71"/>
      <c r="AQ953" s="71"/>
      <c r="AR953" s="71"/>
      <c r="AS953" s="94" t="str" cm="1">
        <f t="array" ref="AS953">IFERROR(INDEX(T953:AE953,1,MATCH(2,1/(T953:AE953&lt;&gt;""))),"")</f>
        <v/>
      </c>
      <c r="AT953" s="95" t="str" cm="1">
        <f t="array" ref="AT953">IFERROR(INDEX(AJ953:AR953,1,MATCH(2,1/(AJ953:AR953&lt;&gt;""))),"")</f>
        <v/>
      </c>
      <c r="AU953" s="97" t="str">
        <f t="shared" si="1187"/>
        <v/>
      </c>
      <c r="AW953" s="52">
        <f t="shared" si="1188"/>
        <v>0</v>
      </c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68" cm="1">
        <f t="array" ref="BI953">IFERROR(INDEX(AW953:BH953,1,MATCH(2,1/(AW953:BH953&lt;&gt;""))),"")</f>
        <v>0</v>
      </c>
      <c r="BJ953" s="68" t="str" cm="1">
        <f t="array" ref="BJ953">IF(BM953 = "", "",IFERROR(INDEX(AW953:BH953,1,MATCH(2,1/(AW953:BH953&lt;&gt;""),1)-1),""))</f>
        <v/>
      </c>
      <c r="BK953" s="59">
        <f t="shared" si="1189"/>
        <v>0</v>
      </c>
      <c r="BL953" s="59" cm="1">
        <f t="array" ref="BL953">IFERROR(SUM(AW953:INDEX(AW953:BH953, MATCH(2, 1/(AW953:BH953&lt;&gt;""), 1) - 1))/_xlfn.XLOOKUP(F953,Apuração!A:A,Apuração!B:B),0)</f>
        <v>0</v>
      </c>
      <c r="BM953" s="55" t="str" cm="1">
        <f t="array" ref="BM953">IFERROR(
   INDEX($AW$1:$BH$1,
      _xlfn.AGGREGATE(14, 6, COLUMN($AW$1:$BH$1)/(AW953:BH953&lt;&gt;""), 2) - COLUMN($AW$1) + 1
   ),
"")</f>
        <v/>
      </c>
      <c r="BN953" s="55" cm="1">
        <f t="array" ref="BN953">IFERROR(INDEX($AW$1:$BH$1,1,MATCH(2,1/(AW953:BH953&lt;&gt;""))),"")</f>
        <v>46023</v>
      </c>
      <c r="BO953" s="53">
        <f ca="1">IFERROR(_xlfn.XLOOKUP(F953,Apuração!A:A,Apuração!C:C)/_xlfn.XLOOKUP(F953,Apuração!A:A,Apuração!B:B),0)</f>
        <v>0</v>
      </c>
      <c r="BP953" s="53">
        <f ca="1">IFERROR(_xlfn.XLOOKUP(F953,Apuração!A:A,Apuração!D:D)/_xlfn.XLOOKUP(F953,Apuração!A:A,Apuração!B:B),0)</f>
        <v>0</v>
      </c>
      <c r="BQ953" s="53">
        <f ca="1">IF(BK953&gt;=BO953,0,_xlfn.XLOOKUP(F953,Apuração!A:A,Apuração!B:B)*(BO953 + (1/_xlfn.XLOOKUP(F953,Apuração!A:A,Apuração!B:B)) - BK953))</f>
        <v>0</v>
      </c>
      <c r="BR953" s="85">
        <f t="shared" ca="1" si="1190"/>
        <v>0</v>
      </c>
      <c r="BS953" s="53">
        <f ca="1">IFERROR((_xlfn.XLOOKUP(F953,Apuração!A:A,Apuração!C:C)+1)/_xlfn.XLOOKUP(F953,Apuração!A:A,Apuração!B:B),0)</f>
        <v>0.14285714285714285</v>
      </c>
    </row>
    <row r="954" spans="1:71" ht="25.95" hidden="1" customHeight="1" x14ac:dyDescent="0.3">
      <c r="A954" s="44" t="s">
        <v>175</v>
      </c>
      <c r="B954" s="4" t="s">
        <v>194</v>
      </c>
      <c r="C954" s="5" t="s">
        <v>97</v>
      </c>
      <c r="D954" s="5" t="s">
        <v>104</v>
      </c>
      <c r="E954" s="4" t="s">
        <v>96</v>
      </c>
      <c r="F954" s="4" t="str" cm="1">
        <f t="array" ref="F954">_xlfn.IFS(
AG954 &lt;&gt; "", "Jan-Dez/26",
AH954 &lt;&gt; "", "Fev-Dez/26",
AI954 &lt;&gt; "", "Mar-Dez/26", AJ954 &lt;&gt; "", "Abr-Dez/26",
TRUE, "A partir de Junho"
)</f>
        <v>A partir de Junho</v>
      </c>
      <c r="G954" s="4" t="s">
        <v>62</v>
      </c>
      <c r="H954" s="7" t="s">
        <v>38</v>
      </c>
      <c r="I954" s="21" t="s">
        <v>180</v>
      </c>
      <c r="J954" s="8" t="str" cm="1">
        <f t="array" aca="1" ref="J954" ca="1">_xlfn.LET(
  _xlpm.actual_value_month, INDEX(T954:AE954, MATCH(DATE(YEAR(TODAY()), MONTH(TODAY()), 1), $T$1:$AE$1, 0)),
  IF(_xlpm.actual_value_month &lt;&gt; "", _xlpm.actual_value_month &amp; " ações mensais", "")
)</f>
        <v/>
      </c>
      <c r="K954" s="34" t="str" cm="1">
        <f t="array" ref="K954">_xlfn.LET(
    _xlpm.sum_month, SUM(T954:AE954),
    IF(_xlpm.sum_month = 0, "", _xlpm.sum_month &amp; " colaboradores treinados.")
)</f>
        <v/>
      </c>
      <c r="L954" s="9" t="s">
        <v>196</v>
      </c>
      <c r="M954" s="13">
        <v>1</v>
      </c>
      <c r="N954" s="5" t="s">
        <v>51</v>
      </c>
      <c r="O954" s="5" t="s">
        <v>52</v>
      </c>
      <c r="P954" s="10" t="s">
        <v>146</v>
      </c>
      <c r="Q954" s="10" t="s">
        <v>44</v>
      </c>
      <c r="R954" s="11" t="s">
        <v>44</v>
      </c>
      <c r="S954" s="11" t="s">
        <v>44</v>
      </c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G954" s="71"/>
      <c r="AH954" s="71"/>
      <c r="AI954" s="71"/>
      <c r="AJ954" s="71"/>
      <c r="AK954" s="71"/>
      <c r="AL954" s="71"/>
      <c r="AM954" s="71"/>
      <c r="AN954" s="71"/>
      <c r="AO954" s="71"/>
      <c r="AP954" s="71"/>
      <c r="AQ954" s="71"/>
      <c r="AR954" s="71"/>
      <c r="AS954" s="94" t="str" cm="1">
        <f t="array" ref="AS954">IFERROR(INDEX(T954:AE954,1,MATCH(2,1/(T954:AE954&lt;&gt;""))),"")</f>
        <v/>
      </c>
      <c r="AT954" s="95" t="str" cm="1">
        <f t="array" ref="AT954">IFERROR(INDEX(AJ954:AR954,1,MATCH(2,1/(AJ954:AR954&lt;&gt;""))),"")</f>
        <v/>
      </c>
      <c r="AU954" s="97" t="str">
        <f t="shared" si="1187"/>
        <v/>
      </c>
      <c r="AW954" s="52">
        <f t="shared" si="1188"/>
        <v>0</v>
      </c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68" cm="1">
        <f t="array" ref="BI954">IFERROR(INDEX(AW954:BH954,1,MATCH(2,1/(AW954:BH954&lt;&gt;""))),"")</f>
        <v>0</v>
      </c>
      <c r="BJ954" s="68" t="str" cm="1">
        <f t="array" ref="BJ954">IF(BM954 = "", "",IFERROR(INDEX(AW954:BH954,1,MATCH(2,1/(AW954:BH954&lt;&gt;""),1)-1),""))</f>
        <v/>
      </c>
      <c r="BK954" s="59">
        <f t="shared" si="1189"/>
        <v>0</v>
      </c>
      <c r="BL954" s="59" cm="1">
        <f t="array" ref="BL954">IFERROR(SUM(AW954:INDEX(AW954:BH954, MATCH(2, 1/(AW954:BH954&lt;&gt;""), 1) - 1))/_xlfn.XLOOKUP(F954,Apuração!A:A,Apuração!B:B),0)</f>
        <v>0</v>
      </c>
      <c r="BM954" s="55" t="str" cm="1">
        <f t="array" ref="BM954">IFERROR(
   INDEX($AW$1:$BH$1,
      _xlfn.AGGREGATE(14, 6, COLUMN($AW$1:$BH$1)/(AW954:BH954&lt;&gt;""), 2) - COLUMN($AW$1) + 1
   ),
"")</f>
        <v/>
      </c>
      <c r="BN954" s="55" cm="1">
        <f t="array" ref="BN954">IFERROR(INDEX($AW$1:$BH$1,1,MATCH(2,1/(AW954:BH954&lt;&gt;""))),"")</f>
        <v>46023</v>
      </c>
      <c r="BO954" s="53">
        <f ca="1">IFERROR(_xlfn.XLOOKUP(F954,Apuração!A:A,Apuração!C:C)/_xlfn.XLOOKUP(F954,Apuração!A:A,Apuração!B:B),0)</f>
        <v>0</v>
      </c>
      <c r="BP954" s="53">
        <f ca="1">IFERROR(_xlfn.XLOOKUP(F954,Apuração!A:A,Apuração!D:D)/_xlfn.XLOOKUP(F954,Apuração!A:A,Apuração!B:B),0)</f>
        <v>0</v>
      </c>
      <c r="BQ954" s="53">
        <f ca="1">IF(BK954&gt;=BO954,0,_xlfn.XLOOKUP(F954,Apuração!A:A,Apuração!B:B)*(BO954 + (1/_xlfn.XLOOKUP(F954,Apuração!A:A,Apuração!B:B)) - BK954))</f>
        <v>0</v>
      </c>
      <c r="BR954" s="85">
        <f t="shared" ca="1" si="1190"/>
        <v>0</v>
      </c>
      <c r="BS954" s="53">
        <f ca="1">IFERROR((_xlfn.XLOOKUP(F954,Apuração!A:A,Apuração!C:C)+1)/_xlfn.XLOOKUP(F954,Apuração!A:A,Apuração!B:B),0)</f>
        <v>0.14285714285714285</v>
      </c>
    </row>
    <row r="955" spans="1:71" ht="25.95" hidden="1" customHeight="1" x14ac:dyDescent="0.3">
      <c r="A955" s="44" t="s">
        <v>175</v>
      </c>
      <c r="B955" s="4" t="s">
        <v>194</v>
      </c>
      <c r="C955" s="5" t="s">
        <v>97</v>
      </c>
      <c r="D955" s="5" t="s">
        <v>105</v>
      </c>
      <c r="E955" s="4" t="s">
        <v>96</v>
      </c>
      <c r="F955" s="4" t="str" cm="1">
        <f t="array" ref="F955">_xlfn.IFS(
AG955 &lt;&gt; "", "Jan-Dez/26",
AH955 &lt;&gt; "", "Fev-Dez/26",
AI955 &lt;&gt; "", "Mar-Dez/26", AJ955 &lt;&gt; "", "Abr-Dez/26",
TRUE, "A partir de Junho"
)</f>
        <v>A partir de Junho</v>
      </c>
      <c r="G955" s="4" t="s">
        <v>62</v>
      </c>
      <c r="H955" s="7" t="s">
        <v>38</v>
      </c>
      <c r="I955" s="21" t="s">
        <v>180</v>
      </c>
      <c r="J955" s="8" t="str" cm="1">
        <f t="array" aca="1" ref="J955" ca="1">_xlfn.LET(
  _xlpm.actual_value_month, INDEX(T955:AE955, MATCH(DATE(YEAR(TODAY()), MONTH(TODAY()), 1), $T$1:$AE$1, 0)),
  IF(_xlpm.actual_value_month &lt;&gt; "", _xlpm.actual_value_month &amp; " ações mensais", "")
)</f>
        <v/>
      </c>
      <c r="K955" s="34" t="str" cm="1">
        <f t="array" ref="K955">_xlfn.LET(
    _xlpm.sum_month, SUM(T955:AE955),
    IF(_xlpm.sum_month = 0, "", _xlpm.sum_month &amp; " colaboradores treinados.")
)</f>
        <v/>
      </c>
      <c r="L955" s="9" t="s">
        <v>196</v>
      </c>
      <c r="M955" s="13">
        <v>1</v>
      </c>
      <c r="N955" s="5" t="s">
        <v>51</v>
      </c>
      <c r="O955" s="5" t="s">
        <v>52</v>
      </c>
      <c r="P955" s="10" t="s">
        <v>146</v>
      </c>
      <c r="Q955" s="10" t="s">
        <v>44</v>
      </c>
      <c r="R955" s="11" t="s">
        <v>44</v>
      </c>
      <c r="S955" s="11" t="s">
        <v>44</v>
      </c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G955" s="71"/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  <c r="AR955" s="71"/>
      <c r="AS955" s="94" t="str" cm="1">
        <f t="array" ref="AS955">IFERROR(INDEX(T955:AE955,1,MATCH(2,1/(T955:AE955&lt;&gt;""))),"")</f>
        <v/>
      </c>
      <c r="AT955" s="95" t="str" cm="1">
        <f t="array" ref="AT955">IFERROR(INDEX(AJ955:AR955,1,MATCH(2,1/(AJ955:AR955&lt;&gt;""))),"")</f>
        <v/>
      </c>
      <c r="AU955" s="97" t="str">
        <f t="shared" si="1187"/>
        <v/>
      </c>
      <c r="AW955" s="52">
        <f t="shared" si="1188"/>
        <v>0</v>
      </c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68" cm="1">
        <f t="array" ref="BI955">IFERROR(INDEX(AW955:BH955,1,MATCH(2,1/(AW955:BH955&lt;&gt;""))),"")</f>
        <v>0</v>
      </c>
      <c r="BJ955" s="68" t="str" cm="1">
        <f t="array" ref="BJ955">IF(BM955 = "", "",IFERROR(INDEX(AW955:BH955,1,MATCH(2,1/(AW955:BH955&lt;&gt;""),1)-1),""))</f>
        <v/>
      </c>
      <c r="BK955" s="59">
        <f t="shared" si="1189"/>
        <v>0</v>
      </c>
      <c r="BL955" s="59" cm="1">
        <f t="array" ref="BL955">IFERROR(SUM(AW955:INDEX(AW955:BH955, MATCH(2, 1/(AW955:BH955&lt;&gt;""), 1) - 1))/_xlfn.XLOOKUP(F955,Apuração!A:A,Apuração!B:B),0)</f>
        <v>0</v>
      </c>
      <c r="BM955" s="55" t="str" cm="1">
        <f t="array" ref="BM955">IFERROR(
   INDEX($AW$1:$BH$1,
      _xlfn.AGGREGATE(14, 6, COLUMN($AW$1:$BH$1)/(AW955:BH955&lt;&gt;""), 2) - COLUMN($AW$1) + 1
   ),
"")</f>
        <v/>
      </c>
      <c r="BN955" s="55" cm="1">
        <f t="array" ref="BN955">IFERROR(INDEX($AW$1:$BH$1,1,MATCH(2,1/(AW955:BH955&lt;&gt;""))),"")</f>
        <v>46023</v>
      </c>
      <c r="BO955" s="53">
        <f ca="1">IFERROR(_xlfn.XLOOKUP(F955,Apuração!A:A,Apuração!C:C)/_xlfn.XLOOKUP(F955,Apuração!A:A,Apuração!B:B),0)</f>
        <v>0</v>
      </c>
      <c r="BP955" s="53">
        <f ca="1">IFERROR(_xlfn.XLOOKUP(F955,Apuração!A:A,Apuração!D:D)/_xlfn.XLOOKUP(F955,Apuração!A:A,Apuração!B:B),0)</f>
        <v>0</v>
      </c>
      <c r="BQ955" s="53">
        <f ca="1">IF(BK955&gt;=BO955,0,_xlfn.XLOOKUP(F955,Apuração!A:A,Apuração!B:B)*(BO955 + (1/_xlfn.XLOOKUP(F955,Apuração!A:A,Apuração!B:B)) - BK955))</f>
        <v>0</v>
      </c>
      <c r="BR955" s="85">
        <f t="shared" ca="1" si="1190"/>
        <v>0</v>
      </c>
      <c r="BS955" s="53">
        <f ca="1">IFERROR((_xlfn.XLOOKUP(F955,Apuração!A:A,Apuração!C:C)+1)/_xlfn.XLOOKUP(F955,Apuração!A:A,Apuração!B:B),0)</f>
        <v>0.14285714285714285</v>
      </c>
    </row>
    <row r="956" spans="1:71" ht="25.95" hidden="1" customHeight="1" x14ac:dyDescent="0.3">
      <c r="A956" s="44" t="s">
        <v>175</v>
      </c>
      <c r="B956" s="4" t="s">
        <v>194</v>
      </c>
      <c r="C956" s="5" t="s">
        <v>97</v>
      </c>
      <c r="D956" s="5" t="s">
        <v>106</v>
      </c>
      <c r="E956" s="4" t="s">
        <v>96</v>
      </c>
      <c r="F956" s="4" t="str" cm="1">
        <f t="array" ref="F956">_xlfn.IFS(
AG956 &lt;&gt; "", "Jan-Dez/26",
AH956 &lt;&gt; "", "Fev-Dez/26",
AI956 &lt;&gt; "", "Mar-Dez/26", AJ956 &lt;&gt; "", "Abr-Dez/26",
TRUE, "A partir de Junho"
)</f>
        <v>A partir de Junho</v>
      </c>
      <c r="G956" s="4" t="s">
        <v>62</v>
      </c>
      <c r="H956" s="7" t="s">
        <v>38</v>
      </c>
      <c r="I956" s="21" t="s">
        <v>180</v>
      </c>
      <c r="J956" s="8" t="str" cm="1">
        <f t="array" aca="1" ref="J956" ca="1">_xlfn.LET(
  _xlpm.actual_value_month, INDEX(T956:AE956, MATCH(DATE(YEAR(TODAY()), MONTH(TODAY()), 1), $T$1:$AE$1, 0)),
  IF(_xlpm.actual_value_month &lt;&gt; "", _xlpm.actual_value_month &amp; " ações mensais", "")
)</f>
        <v/>
      </c>
      <c r="K956" s="34" t="str" cm="1">
        <f t="array" ref="K956">_xlfn.LET(
    _xlpm.sum_month, SUM(T956:AE956),
    IF(_xlpm.sum_month = 0, "", _xlpm.sum_month &amp; " colaboradores treinados.")
)</f>
        <v/>
      </c>
      <c r="L956" s="9" t="s">
        <v>196</v>
      </c>
      <c r="M956" s="13">
        <v>1</v>
      </c>
      <c r="N956" s="5" t="s">
        <v>51</v>
      </c>
      <c r="O956" s="5" t="s">
        <v>52</v>
      </c>
      <c r="P956" s="10" t="s">
        <v>146</v>
      </c>
      <c r="Q956" s="10" t="s">
        <v>44</v>
      </c>
      <c r="R956" s="11" t="s">
        <v>44</v>
      </c>
      <c r="S956" s="11" t="s">
        <v>44</v>
      </c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G956" s="71"/>
      <c r="AH956" s="71"/>
      <c r="AI956" s="71"/>
      <c r="AJ956" s="71"/>
      <c r="AK956" s="71"/>
      <c r="AL956" s="71"/>
      <c r="AM956" s="71"/>
      <c r="AN956" s="71"/>
      <c r="AO956" s="71"/>
      <c r="AP956" s="71"/>
      <c r="AQ956" s="71"/>
      <c r="AR956" s="71"/>
      <c r="AS956" s="94" t="str" cm="1">
        <f t="array" ref="AS956">IFERROR(INDEX(T956:AE956,1,MATCH(2,1/(T956:AE956&lt;&gt;""))),"")</f>
        <v/>
      </c>
      <c r="AT956" s="95" t="str" cm="1">
        <f t="array" ref="AT956">IFERROR(INDEX(AJ956:AR956,1,MATCH(2,1/(AJ956:AR956&lt;&gt;""))),"")</f>
        <v/>
      </c>
      <c r="AU956" s="97" t="str">
        <f t="shared" si="1187"/>
        <v/>
      </c>
      <c r="AW956" s="52">
        <f t="shared" si="1188"/>
        <v>0</v>
      </c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68" cm="1">
        <f t="array" ref="BI956">IFERROR(INDEX(AW956:BH956,1,MATCH(2,1/(AW956:BH956&lt;&gt;""))),"")</f>
        <v>0</v>
      </c>
      <c r="BJ956" s="68" t="str" cm="1">
        <f t="array" ref="BJ956">IF(BM956 = "", "",IFERROR(INDEX(AW956:BH956,1,MATCH(2,1/(AW956:BH956&lt;&gt;""),1)-1),""))</f>
        <v/>
      </c>
      <c r="BK956" s="59">
        <f t="shared" si="1189"/>
        <v>0</v>
      </c>
      <c r="BL956" s="59" cm="1">
        <f t="array" ref="BL956">IFERROR(SUM(AW956:INDEX(AW956:BH956, MATCH(2, 1/(AW956:BH956&lt;&gt;""), 1) - 1))/_xlfn.XLOOKUP(F956,Apuração!A:A,Apuração!B:B),0)</f>
        <v>0</v>
      </c>
      <c r="BM956" s="55" t="str" cm="1">
        <f t="array" ref="BM956">IFERROR(
   INDEX($AW$1:$BH$1,
      _xlfn.AGGREGATE(14, 6, COLUMN($AW$1:$BH$1)/(AW956:BH956&lt;&gt;""), 2) - COLUMN($AW$1) + 1
   ),
"")</f>
        <v/>
      </c>
      <c r="BN956" s="55" cm="1">
        <f t="array" ref="BN956">IFERROR(INDEX($AW$1:$BH$1,1,MATCH(2,1/(AW956:BH956&lt;&gt;""))),"")</f>
        <v>46023</v>
      </c>
      <c r="BO956" s="53">
        <f ca="1">IFERROR(_xlfn.XLOOKUP(F956,Apuração!A:A,Apuração!C:C)/_xlfn.XLOOKUP(F956,Apuração!A:A,Apuração!B:B),0)</f>
        <v>0</v>
      </c>
      <c r="BP956" s="53">
        <f ca="1">IFERROR(_xlfn.XLOOKUP(F956,Apuração!A:A,Apuração!D:D)/_xlfn.XLOOKUP(F956,Apuração!A:A,Apuração!B:B),0)</f>
        <v>0</v>
      </c>
      <c r="BQ956" s="53">
        <f ca="1">IF(BK956&gt;=BO956,0,_xlfn.XLOOKUP(F956,Apuração!A:A,Apuração!B:B)*(BO956 + (1/_xlfn.XLOOKUP(F956,Apuração!A:A,Apuração!B:B)) - BK956))</f>
        <v>0</v>
      </c>
      <c r="BR956" s="85">
        <f t="shared" ca="1" si="1190"/>
        <v>0</v>
      </c>
      <c r="BS956" s="53">
        <f ca="1">IFERROR((_xlfn.XLOOKUP(F956,Apuração!A:A,Apuração!C:C)+1)/_xlfn.XLOOKUP(F956,Apuração!A:A,Apuração!B:B),0)</f>
        <v>0.14285714285714285</v>
      </c>
    </row>
    <row r="957" spans="1:71" ht="25.95" hidden="1" customHeight="1" x14ac:dyDescent="0.3">
      <c r="A957" s="44" t="s">
        <v>175</v>
      </c>
      <c r="B957" s="4" t="s">
        <v>194</v>
      </c>
      <c r="C957" s="5" t="s">
        <v>97</v>
      </c>
      <c r="D957" s="5" t="s">
        <v>107</v>
      </c>
      <c r="E957" s="4" t="s">
        <v>96</v>
      </c>
      <c r="F957" s="4" t="str" cm="1">
        <f t="array" ref="F957">_xlfn.IFS(
AG957 &lt;&gt; "", "Jan-Dez/26",
AH957 &lt;&gt; "", "Fev-Dez/26",
AI957 &lt;&gt; "", "Mar-Dez/26", AJ957 &lt;&gt; "", "Abr-Dez/26",
TRUE, "A partir de Junho"
)</f>
        <v>A partir de Junho</v>
      </c>
      <c r="G957" s="4" t="s">
        <v>62</v>
      </c>
      <c r="H957" s="7" t="s">
        <v>38</v>
      </c>
      <c r="I957" s="21" t="s">
        <v>180</v>
      </c>
      <c r="J957" s="8" t="str" cm="1">
        <f t="array" aca="1" ref="J957" ca="1">_xlfn.LET(
  _xlpm.actual_value_month, INDEX(T957:AE957, MATCH(DATE(YEAR(TODAY()), MONTH(TODAY()), 1), $T$1:$AE$1, 0)),
  IF(_xlpm.actual_value_month &lt;&gt; "", _xlpm.actual_value_month &amp; " ações mensais", "")
)</f>
        <v/>
      </c>
      <c r="K957" s="34" t="str" cm="1">
        <f t="array" ref="K957">_xlfn.LET(
    _xlpm.sum_month, SUM(T957:AE957),
    IF(_xlpm.sum_month = 0, "", _xlpm.sum_month &amp; " colaboradores treinados.")
)</f>
        <v/>
      </c>
      <c r="L957" s="9" t="s">
        <v>196</v>
      </c>
      <c r="M957" s="13">
        <v>1</v>
      </c>
      <c r="N957" s="5" t="s">
        <v>51</v>
      </c>
      <c r="O957" s="5" t="s">
        <v>52</v>
      </c>
      <c r="P957" s="10" t="s">
        <v>146</v>
      </c>
      <c r="Q957" s="10" t="s">
        <v>44</v>
      </c>
      <c r="R957" s="11" t="s">
        <v>44</v>
      </c>
      <c r="S957" s="11" t="s">
        <v>44</v>
      </c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G957" s="71"/>
      <c r="AH957" s="71"/>
      <c r="AI957" s="71"/>
      <c r="AJ957" s="71"/>
      <c r="AK957" s="71"/>
      <c r="AL957" s="71"/>
      <c r="AM957" s="71"/>
      <c r="AN957" s="71"/>
      <c r="AO957" s="71"/>
      <c r="AP957" s="71"/>
      <c r="AQ957" s="71"/>
      <c r="AR957" s="71"/>
      <c r="AS957" s="94" t="str" cm="1">
        <f t="array" ref="AS957">IFERROR(INDEX(T957:AE957,1,MATCH(2,1/(T957:AE957&lt;&gt;""))),"")</f>
        <v/>
      </c>
      <c r="AT957" s="95" t="str" cm="1">
        <f t="array" ref="AT957">IFERROR(INDEX(AJ957:AR957,1,MATCH(2,1/(AJ957:AR957&lt;&gt;""))),"")</f>
        <v/>
      </c>
      <c r="AU957" s="97" t="str">
        <f t="shared" si="1187"/>
        <v/>
      </c>
      <c r="AW957" s="52">
        <f t="shared" si="1188"/>
        <v>0</v>
      </c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68" cm="1">
        <f t="array" ref="BI957">IFERROR(INDEX(AW957:BH957,1,MATCH(2,1/(AW957:BH957&lt;&gt;""))),"")</f>
        <v>0</v>
      </c>
      <c r="BJ957" s="68" t="str" cm="1">
        <f t="array" ref="BJ957">IF(BM957 = "", "",IFERROR(INDEX(AW957:BH957,1,MATCH(2,1/(AW957:BH957&lt;&gt;""),1)-1),""))</f>
        <v/>
      </c>
      <c r="BK957" s="59">
        <f t="shared" si="1189"/>
        <v>0</v>
      </c>
      <c r="BL957" s="59" cm="1">
        <f t="array" ref="BL957">IFERROR(SUM(AW957:INDEX(AW957:BH957, MATCH(2, 1/(AW957:BH957&lt;&gt;""), 1) - 1))/_xlfn.XLOOKUP(F957,Apuração!A:A,Apuração!B:B),0)</f>
        <v>0</v>
      </c>
      <c r="BM957" s="55" t="str" cm="1">
        <f t="array" ref="BM957">IFERROR(
   INDEX($AW$1:$BH$1,
      _xlfn.AGGREGATE(14, 6, COLUMN($AW$1:$BH$1)/(AW957:BH957&lt;&gt;""), 2) - COLUMN($AW$1) + 1
   ),
"")</f>
        <v/>
      </c>
      <c r="BN957" s="55" cm="1">
        <f t="array" ref="BN957">IFERROR(INDEX($AW$1:$BH$1,1,MATCH(2,1/(AW957:BH957&lt;&gt;""))),"")</f>
        <v>46023</v>
      </c>
      <c r="BO957" s="53">
        <f ca="1">IFERROR(_xlfn.XLOOKUP(F957,Apuração!A:A,Apuração!C:C)/_xlfn.XLOOKUP(F957,Apuração!A:A,Apuração!B:B),0)</f>
        <v>0</v>
      </c>
      <c r="BP957" s="53">
        <f ca="1">IFERROR(_xlfn.XLOOKUP(F957,Apuração!A:A,Apuração!D:D)/_xlfn.XLOOKUP(F957,Apuração!A:A,Apuração!B:B),0)</f>
        <v>0</v>
      </c>
      <c r="BQ957" s="53">
        <f ca="1">IF(BK957&gt;=BO957,0,_xlfn.XLOOKUP(F957,Apuração!A:A,Apuração!B:B)*(BO957 + (1/_xlfn.XLOOKUP(F957,Apuração!A:A,Apuração!B:B)) - BK957))</f>
        <v>0</v>
      </c>
      <c r="BR957" s="85">
        <f t="shared" ca="1" si="1190"/>
        <v>0</v>
      </c>
      <c r="BS957" s="53">
        <f ca="1">IFERROR((_xlfn.XLOOKUP(F957,Apuração!A:A,Apuração!C:C)+1)/_xlfn.XLOOKUP(F957,Apuração!A:A,Apuração!B:B),0)</f>
        <v>0.14285714285714285</v>
      </c>
    </row>
    <row r="958" spans="1:71" ht="25.95" hidden="1" customHeight="1" x14ac:dyDescent="0.3">
      <c r="A958" s="44" t="s">
        <v>175</v>
      </c>
      <c r="B958" s="4" t="s">
        <v>194</v>
      </c>
      <c r="C958" s="5" t="s">
        <v>97</v>
      </c>
      <c r="D958" s="5" t="s">
        <v>36</v>
      </c>
      <c r="E958" s="4" t="s">
        <v>96</v>
      </c>
      <c r="F958" s="4" t="str" cm="1">
        <f t="array" ref="F958">_xlfn.IFS(
AG958 &lt;&gt; "", "Jan-Dez/26",
AH958 &lt;&gt; "", "Fev-Dez/26",
AI958 &lt;&gt; "", "Mar-Dez/26", AJ958 &lt;&gt; "", "Abr-Dez/26",
TRUE, "A partir de Junho"
)</f>
        <v>A partir de Junho</v>
      </c>
      <c r="G958" s="4" t="s">
        <v>62</v>
      </c>
      <c r="H958" s="7" t="s">
        <v>38</v>
      </c>
      <c r="I958" s="21" t="s">
        <v>182</v>
      </c>
      <c r="J958" s="8" t="str" cm="1">
        <f t="array" aca="1" ref="J958" ca="1">_xlfn.LET(
  _xlpm.actual_value_month, INDEX(T958:AE958, MATCH(DATE(YEAR(TODAY()), MONTH(TODAY()), 1), $T$1:$AE$1, 0)),
  IF(_xlpm.actual_value_month &lt;&gt; "", _xlpm.actual_value_month &amp; " ações mensais", "")
)</f>
        <v/>
      </c>
      <c r="K958" s="8" t="str" cm="1">
        <f t="array" ref="K958">_xlfn.LET(
    _xlpm.sum_month, SUM(T958:AE958),
    IF(_xlpm.sum_month = 0, "", _xlpm.sum_month &amp; " taxa de aprovados")
)</f>
        <v/>
      </c>
      <c r="L958" s="4" t="s">
        <v>183</v>
      </c>
      <c r="M958" s="13">
        <v>1</v>
      </c>
      <c r="N958" s="5" t="s">
        <v>51</v>
      </c>
      <c r="O958" s="5" t="s">
        <v>43</v>
      </c>
      <c r="P958" s="10" t="s">
        <v>44</v>
      </c>
      <c r="Q958" s="10" t="s">
        <v>44</v>
      </c>
      <c r="R958" s="11" t="s">
        <v>44</v>
      </c>
      <c r="S958" s="11" t="s">
        <v>44</v>
      </c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G958" s="71"/>
      <c r="AH958" s="71"/>
      <c r="AI958" s="71"/>
      <c r="AJ958" s="71"/>
      <c r="AK958" s="71"/>
      <c r="AL958" s="71"/>
      <c r="AM958" s="71"/>
      <c r="AN958" s="71"/>
      <c r="AO958" s="71"/>
      <c r="AP958" s="71"/>
      <c r="AQ958" s="71"/>
      <c r="AR958" s="71"/>
      <c r="AS958" s="94" t="str" cm="1">
        <f t="array" ref="AS958">IFERROR(INDEX(T958:AE958,1,MATCH(2,1/(T958:AE958&lt;&gt;""))),"")</f>
        <v/>
      </c>
      <c r="AT958" s="95" t="str" cm="1">
        <f t="array" ref="AT958">IFERROR(INDEX(AJ958:AR958,1,MATCH(2,1/(AJ958:AR958&lt;&gt;""))),"")</f>
        <v/>
      </c>
      <c r="AU958" s="97" t="str">
        <f t="shared" si="1121"/>
        <v/>
      </c>
      <c r="AW958" s="51" t="str">
        <f>IFERROR(IF(AG958="","",AG958/T958),0)</f>
        <v/>
      </c>
      <c r="AX958" s="51"/>
      <c r="AY958" s="51"/>
      <c r="AZ958" s="51"/>
      <c r="BA958" s="51"/>
      <c r="BB958" s="51"/>
      <c r="BC958" s="51"/>
      <c r="BD958" s="51"/>
      <c r="BE958" s="51"/>
      <c r="BF958" s="51"/>
      <c r="BG958" s="51"/>
      <c r="BH958" s="51"/>
      <c r="BI958" s="65" t="str" cm="1">
        <f t="array" ref="BI958">IFERROR(INDEX(AW958:BH958,1,MATCH(2,1/(AW958:BH958&lt;&gt;""))),"")</f>
        <v/>
      </c>
      <c r="BJ958" s="68" t="str" cm="1">
        <f t="array" ref="BJ958">IF(BM958 = "", "",IFERROR(INDEX(AW958:BH958,1,MATCH(2,1/(AW958:BH958&lt;&gt;""),1)-1),""))</f>
        <v/>
      </c>
      <c r="BK958" s="58" t="str" cm="1">
        <f t="array" ref="BK958">IFERROR(INDEX(AW958:BH958,1,MATCH(2,1/(AW958:BH958&lt;&gt;""))),"")</f>
        <v/>
      </c>
      <c r="BL958" s="58" t="str" cm="1">
        <f t="array" ref="BL958">IFERROR(INDEX(AW958:BH958,1,MATCH(2,1/(AW958:BH958&lt;&gt;""),1)-1),"")</f>
        <v/>
      </c>
      <c r="BM958" s="55" t="str" cm="1">
        <f t="array" ref="BM958">IFERROR(
   INDEX($AW$1:$BH$1,
      _xlfn.AGGREGATE(14, 6, COLUMN($AW$1:$BH$1)/(AW958:BH958&lt;&gt;""), 2) - COLUMN($AW$1) + 1
   ),
"")</f>
        <v/>
      </c>
      <c r="BN958" s="55" t="str" cm="1">
        <f t="array" ref="BN958">IFERROR(INDEX($AW$1:$BH$1,1,MATCH(2,1/(AW958:BH958&lt;&gt;""))),"")</f>
        <v/>
      </c>
      <c r="BO958" s="53">
        <f ca="1">IFERROR(_xlfn.XLOOKUP(F958,Apuração!A:A,Apuração!C:C)/_xlfn.XLOOKUP(F958,Apuração!A:A,Apuração!B:B),0)</f>
        <v>0</v>
      </c>
      <c r="BP958" s="53">
        <f ca="1">IFERROR(_xlfn.XLOOKUP(F958,Apuração!A:A,Apuração!D:D)/_xlfn.XLOOKUP(F958,Apuração!A:A,Apuração!B:B),0)</f>
        <v>0</v>
      </c>
      <c r="BQ958" s="53">
        <f ca="1">IF(BK958&gt;=BO958,0,_xlfn.XLOOKUP(F958,Apuração!A:A,Apuração!B:B)*(BO958 + (1/_xlfn.XLOOKUP(F958,Apuração!A:A,Apuração!B:B)) - BK958))</f>
        <v>0</v>
      </c>
      <c r="BR958" s="85">
        <f t="shared" ca="1" si="1172"/>
        <v>0</v>
      </c>
      <c r="BS958" s="53">
        <f ca="1">IFERROR((_xlfn.XLOOKUP(F958,Apuração!A:A,Apuração!C:C)+1)/_xlfn.XLOOKUP(F958,Apuração!A:A,Apuração!B:B),0)</f>
        <v>0.14285714285714285</v>
      </c>
    </row>
    <row r="959" spans="1:71" ht="25.95" hidden="1" customHeight="1" x14ac:dyDescent="0.3">
      <c r="A959" s="44" t="s">
        <v>175</v>
      </c>
      <c r="B959" s="4" t="s">
        <v>194</v>
      </c>
      <c r="C959" s="5" t="s">
        <v>97</v>
      </c>
      <c r="D959" s="5" t="s">
        <v>98</v>
      </c>
      <c r="E959" s="4" t="s">
        <v>96</v>
      </c>
      <c r="F959" s="4" t="str" cm="1">
        <f t="array" ref="F959">_xlfn.IFS(
AG959 &lt;&gt; "", "Jan-Dez/26",
AH959 &lt;&gt; "", "Fev-Dez/26",
AI959 &lt;&gt; "", "Mar-Dez/26", AJ959 &lt;&gt; "", "Abr-Dez/26",
TRUE, "A partir de Junho"
)</f>
        <v>A partir de Junho</v>
      </c>
      <c r="G959" s="4" t="s">
        <v>62</v>
      </c>
      <c r="H959" s="7" t="s">
        <v>38</v>
      </c>
      <c r="I959" s="21" t="s">
        <v>182</v>
      </c>
      <c r="J959" s="8" t="str" cm="1">
        <f t="array" aca="1" ref="J959" ca="1">_xlfn.LET(
  _xlpm.actual_value_month, INDEX(T959:AE959, MATCH(DATE(YEAR(TODAY()), MONTH(TODAY()), 1), $T$1:$AE$1, 0)),
  IF(_xlpm.actual_value_month &lt;&gt; "", _xlpm.actual_value_month &amp; " ações mensais", "")
)</f>
        <v/>
      </c>
      <c r="K959" s="8" t="str" cm="1">
        <f t="array" ref="K959">_xlfn.LET(
    _xlpm.sum_month, SUM(T959:AE959),
    IF(_xlpm.sum_month = 0, "", _xlpm.sum_month &amp; " taxa de aprovados")
)</f>
        <v/>
      </c>
      <c r="L959" s="4" t="s">
        <v>183</v>
      </c>
      <c r="M959" s="13">
        <v>1</v>
      </c>
      <c r="N959" s="5" t="s">
        <v>51</v>
      </c>
      <c r="O959" s="5" t="s">
        <v>43</v>
      </c>
      <c r="P959" s="10" t="s">
        <v>44</v>
      </c>
      <c r="Q959" s="10" t="s">
        <v>44</v>
      </c>
      <c r="R959" s="11" t="s">
        <v>44</v>
      </c>
      <c r="S959" s="11" t="s">
        <v>44</v>
      </c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G959" s="71"/>
      <c r="AH959" s="71"/>
      <c r="AI959" s="71"/>
      <c r="AJ959" s="71"/>
      <c r="AK959" s="71"/>
      <c r="AL959" s="71"/>
      <c r="AM959" s="71"/>
      <c r="AN959" s="71"/>
      <c r="AO959" s="71"/>
      <c r="AP959" s="71"/>
      <c r="AQ959" s="71"/>
      <c r="AR959" s="71"/>
      <c r="AS959" s="94" t="str" cm="1">
        <f t="array" ref="AS959">IFERROR(INDEX(T959:AE959,1,MATCH(2,1/(T959:AE959&lt;&gt;""))),"")</f>
        <v/>
      </c>
      <c r="AT959" s="95" t="str" cm="1">
        <f t="array" ref="AT959">IFERROR(INDEX(AJ959:AR959,1,MATCH(2,1/(AJ959:AR959&lt;&gt;""))),"")</f>
        <v/>
      </c>
      <c r="AU959" s="97" t="str">
        <f t="shared" ref="AU959:AU968" si="1191">AT959</f>
        <v/>
      </c>
      <c r="AW959" s="51" t="str">
        <f t="shared" ref="AW959:AW968" si="1192">IFERROR(IF(AG959="","",AG959/T959),0)</f>
        <v/>
      </c>
      <c r="AX959" s="51"/>
      <c r="AY959" s="51"/>
      <c r="AZ959" s="51"/>
      <c r="BA959" s="51"/>
      <c r="BB959" s="51"/>
      <c r="BC959" s="51"/>
      <c r="BD959" s="51"/>
      <c r="BE959" s="51"/>
      <c r="BF959" s="51"/>
      <c r="BG959" s="51"/>
      <c r="BH959" s="51"/>
      <c r="BI959" s="65" t="str" cm="1">
        <f t="array" ref="BI959">IFERROR(INDEX(AW959:BH959,1,MATCH(2,1/(AW959:BH959&lt;&gt;""))),"")</f>
        <v/>
      </c>
      <c r="BJ959" s="68" t="str" cm="1">
        <f t="array" ref="BJ959">IF(BM959 = "", "",IFERROR(INDEX(AW959:BH959,1,MATCH(2,1/(AW959:BH959&lt;&gt;""),1)-1),""))</f>
        <v/>
      </c>
      <c r="BK959" s="58" t="str" cm="1">
        <f t="array" ref="BK959">IFERROR(INDEX(AW959:BH959,1,MATCH(2,1/(AW959:BH959&lt;&gt;""))),"")</f>
        <v/>
      </c>
      <c r="BL959" s="58" t="str" cm="1">
        <f t="array" ref="BL959">IFERROR(INDEX(AW959:BH959,1,MATCH(2,1/(AW959:BH959&lt;&gt;""),1)-1),"")</f>
        <v/>
      </c>
      <c r="BM959" s="55" t="str" cm="1">
        <f t="array" ref="BM959">IFERROR(
   INDEX($AW$1:$BH$1,
      _xlfn.AGGREGATE(14, 6, COLUMN($AW$1:$BH$1)/(AW959:BH959&lt;&gt;""), 2) - COLUMN($AW$1) + 1
   ),
"")</f>
        <v/>
      </c>
      <c r="BN959" s="55" t="str" cm="1">
        <f t="array" ref="BN959">IFERROR(INDEX($AW$1:$BH$1,1,MATCH(2,1/(AW959:BH959&lt;&gt;""))),"")</f>
        <v/>
      </c>
      <c r="BO959" s="53">
        <f ca="1">IFERROR(_xlfn.XLOOKUP(F959,Apuração!A:A,Apuração!C:C)/_xlfn.XLOOKUP(F959,Apuração!A:A,Apuração!B:B),0)</f>
        <v>0</v>
      </c>
      <c r="BP959" s="53">
        <f ca="1">IFERROR(_xlfn.XLOOKUP(F959,Apuração!A:A,Apuração!D:D)/_xlfn.XLOOKUP(F959,Apuração!A:A,Apuração!B:B),0)</f>
        <v>0</v>
      </c>
      <c r="BQ959" s="53">
        <f ca="1">IF(BK959&gt;=BO959,0,_xlfn.XLOOKUP(F959,Apuração!A:A,Apuração!B:B)*(BO959 + (1/_xlfn.XLOOKUP(F959,Apuração!A:A,Apuração!B:B)) - BK959))</f>
        <v>0</v>
      </c>
      <c r="BR959" s="85">
        <f t="shared" ref="BR959:BR968" ca="1" si="1193">IF(BQ959=0,0,BQ959*Z959)</f>
        <v>0</v>
      </c>
      <c r="BS959" s="53">
        <f ca="1">IFERROR((_xlfn.XLOOKUP(F959,Apuração!A:A,Apuração!C:C)+1)/_xlfn.XLOOKUP(F959,Apuração!A:A,Apuração!B:B),0)</f>
        <v>0.14285714285714285</v>
      </c>
    </row>
    <row r="960" spans="1:71" ht="25.95" hidden="1" customHeight="1" x14ac:dyDescent="0.3">
      <c r="A960" s="44" t="s">
        <v>175</v>
      </c>
      <c r="B960" s="4" t="s">
        <v>194</v>
      </c>
      <c r="C960" s="5" t="s">
        <v>97</v>
      </c>
      <c r="D960" s="5" t="s">
        <v>99</v>
      </c>
      <c r="E960" s="4" t="s">
        <v>96</v>
      </c>
      <c r="F960" s="4" t="str" cm="1">
        <f t="array" ref="F960">_xlfn.IFS(
AG960 &lt;&gt; "", "Jan-Dez/26",
AH960 &lt;&gt; "", "Fev-Dez/26",
AI960 &lt;&gt; "", "Mar-Dez/26", AJ960 &lt;&gt; "", "Abr-Dez/26",
TRUE, "A partir de Junho"
)</f>
        <v>A partir de Junho</v>
      </c>
      <c r="G960" s="4" t="s">
        <v>62</v>
      </c>
      <c r="H960" s="7" t="s">
        <v>38</v>
      </c>
      <c r="I960" s="21" t="s">
        <v>182</v>
      </c>
      <c r="J960" s="8" t="str" cm="1">
        <f t="array" aca="1" ref="J960" ca="1">_xlfn.LET(
  _xlpm.actual_value_month, INDEX(T960:AE960, MATCH(DATE(YEAR(TODAY()), MONTH(TODAY()), 1), $T$1:$AE$1, 0)),
  IF(_xlpm.actual_value_month &lt;&gt; "", _xlpm.actual_value_month &amp; " ações mensais", "")
)</f>
        <v/>
      </c>
      <c r="K960" s="8" t="str" cm="1">
        <f t="array" ref="K960">_xlfn.LET(
    _xlpm.sum_month, SUM(T960:AE960),
    IF(_xlpm.sum_month = 0, "", _xlpm.sum_month &amp; " taxa de aprovados")
)</f>
        <v/>
      </c>
      <c r="L960" s="4" t="s">
        <v>183</v>
      </c>
      <c r="M960" s="13">
        <v>1</v>
      </c>
      <c r="N960" s="5" t="s">
        <v>51</v>
      </c>
      <c r="O960" s="5" t="s">
        <v>43</v>
      </c>
      <c r="P960" s="10" t="s">
        <v>44</v>
      </c>
      <c r="Q960" s="10" t="s">
        <v>44</v>
      </c>
      <c r="R960" s="11" t="s">
        <v>44</v>
      </c>
      <c r="S960" s="11" t="s">
        <v>44</v>
      </c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G960" s="71"/>
      <c r="AH960" s="71"/>
      <c r="AI960" s="71"/>
      <c r="AJ960" s="71"/>
      <c r="AK960" s="71"/>
      <c r="AL960" s="71"/>
      <c r="AM960" s="71"/>
      <c r="AN960" s="71"/>
      <c r="AO960" s="71"/>
      <c r="AP960" s="71"/>
      <c r="AQ960" s="71"/>
      <c r="AR960" s="71"/>
      <c r="AS960" s="94" t="str" cm="1">
        <f t="array" ref="AS960">IFERROR(INDEX(T960:AE960,1,MATCH(2,1/(T960:AE960&lt;&gt;""))),"")</f>
        <v/>
      </c>
      <c r="AT960" s="95" t="str" cm="1">
        <f t="array" ref="AT960">IFERROR(INDEX(AJ960:AR960,1,MATCH(2,1/(AJ960:AR960&lt;&gt;""))),"")</f>
        <v/>
      </c>
      <c r="AU960" s="97" t="str">
        <f t="shared" si="1191"/>
        <v/>
      </c>
      <c r="AW960" s="51" t="str">
        <f t="shared" si="1192"/>
        <v/>
      </c>
      <c r="AX960" s="51"/>
      <c r="AY960" s="51"/>
      <c r="AZ960" s="51"/>
      <c r="BA960" s="51"/>
      <c r="BB960" s="51"/>
      <c r="BC960" s="51"/>
      <c r="BD960" s="51"/>
      <c r="BE960" s="51"/>
      <c r="BF960" s="51"/>
      <c r="BG960" s="51"/>
      <c r="BH960" s="51"/>
      <c r="BI960" s="65" t="str" cm="1">
        <f t="array" ref="BI960">IFERROR(INDEX(AW960:BH960,1,MATCH(2,1/(AW960:BH960&lt;&gt;""))),"")</f>
        <v/>
      </c>
      <c r="BJ960" s="68" t="str" cm="1">
        <f t="array" ref="BJ960">IF(BM960 = "", "",IFERROR(INDEX(AW960:BH960,1,MATCH(2,1/(AW960:BH960&lt;&gt;""),1)-1),""))</f>
        <v/>
      </c>
      <c r="BK960" s="58" t="str" cm="1">
        <f t="array" ref="BK960">IFERROR(INDEX(AW960:BH960,1,MATCH(2,1/(AW960:BH960&lt;&gt;""))),"")</f>
        <v/>
      </c>
      <c r="BL960" s="58" t="str" cm="1">
        <f t="array" ref="BL960">IFERROR(INDEX(AW960:BH960,1,MATCH(2,1/(AW960:BH960&lt;&gt;""),1)-1),"")</f>
        <v/>
      </c>
      <c r="BM960" s="55" t="str" cm="1">
        <f t="array" ref="BM960">IFERROR(
   INDEX($AW$1:$BH$1,
      _xlfn.AGGREGATE(14, 6, COLUMN($AW$1:$BH$1)/(AW960:BH960&lt;&gt;""), 2) - COLUMN($AW$1) + 1
   ),
"")</f>
        <v/>
      </c>
      <c r="BN960" s="55" t="str" cm="1">
        <f t="array" ref="BN960">IFERROR(INDEX($AW$1:$BH$1,1,MATCH(2,1/(AW960:BH960&lt;&gt;""))),"")</f>
        <v/>
      </c>
      <c r="BO960" s="53">
        <f ca="1">IFERROR(_xlfn.XLOOKUP(F960,Apuração!A:A,Apuração!C:C)/_xlfn.XLOOKUP(F960,Apuração!A:A,Apuração!B:B),0)</f>
        <v>0</v>
      </c>
      <c r="BP960" s="53">
        <f ca="1">IFERROR(_xlfn.XLOOKUP(F960,Apuração!A:A,Apuração!D:D)/_xlfn.XLOOKUP(F960,Apuração!A:A,Apuração!B:B),0)</f>
        <v>0</v>
      </c>
      <c r="BQ960" s="53">
        <f ca="1">IF(BK960&gt;=BO960,0,_xlfn.XLOOKUP(F960,Apuração!A:A,Apuração!B:B)*(BO960 + (1/_xlfn.XLOOKUP(F960,Apuração!A:A,Apuração!B:B)) - BK960))</f>
        <v>0</v>
      </c>
      <c r="BR960" s="85">
        <f t="shared" ca="1" si="1193"/>
        <v>0</v>
      </c>
      <c r="BS960" s="53">
        <f ca="1">IFERROR((_xlfn.XLOOKUP(F960,Apuração!A:A,Apuração!C:C)+1)/_xlfn.XLOOKUP(F960,Apuração!A:A,Apuração!B:B),0)</f>
        <v>0.14285714285714285</v>
      </c>
    </row>
    <row r="961" spans="1:71" ht="25.95" hidden="1" customHeight="1" x14ac:dyDescent="0.3">
      <c r="A961" s="44" t="s">
        <v>175</v>
      </c>
      <c r="B961" s="4" t="s">
        <v>194</v>
      </c>
      <c r="C961" s="5" t="s">
        <v>97</v>
      </c>
      <c r="D961" s="5" t="s">
        <v>100</v>
      </c>
      <c r="E961" s="4" t="s">
        <v>96</v>
      </c>
      <c r="F961" s="4" t="str" cm="1">
        <f t="array" ref="F961">_xlfn.IFS(
AG961 &lt;&gt; "", "Jan-Dez/26",
AH961 &lt;&gt; "", "Fev-Dez/26",
AI961 &lt;&gt; "", "Mar-Dez/26", AJ961 &lt;&gt; "", "Abr-Dez/26",
TRUE, "A partir de Junho"
)</f>
        <v>A partir de Junho</v>
      </c>
      <c r="G961" s="4" t="s">
        <v>62</v>
      </c>
      <c r="H961" s="7" t="s">
        <v>38</v>
      </c>
      <c r="I961" s="21" t="s">
        <v>182</v>
      </c>
      <c r="J961" s="8" t="str" cm="1">
        <f t="array" aca="1" ref="J961" ca="1">_xlfn.LET(
  _xlpm.actual_value_month, INDEX(T961:AE961, MATCH(DATE(YEAR(TODAY()), MONTH(TODAY()), 1), $T$1:$AE$1, 0)),
  IF(_xlpm.actual_value_month &lt;&gt; "", _xlpm.actual_value_month &amp; " ações mensais", "")
)</f>
        <v/>
      </c>
      <c r="K961" s="8" t="str" cm="1">
        <f t="array" ref="K961">_xlfn.LET(
    _xlpm.sum_month, SUM(T961:AE961),
    IF(_xlpm.sum_month = 0, "", _xlpm.sum_month &amp; " taxa de aprovados")
)</f>
        <v/>
      </c>
      <c r="L961" s="4" t="s">
        <v>183</v>
      </c>
      <c r="M961" s="13">
        <v>1</v>
      </c>
      <c r="N961" s="5" t="s">
        <v>51</v>
      </c>
      <c r="O961" s="5" t="s">
        <v>43</v>
      </c>
      <c r="P961" s="10" t="s">
        <v>44</v>
      </c>
      <c r="Q961" s="10" t="s">
        <v>44</v>
      </c>
      <c r="R961" s="11" t="s">
        <v>44</v>
      </c>
      <c r="S961" s="11" t="s">
        <v>44</v>
      </c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G961" s="71"/>
      <c r="AH961" s="71"/>
      <c r="AI961" s="71"/>
      <c r="AJ961" s="71"/>
      <c r="AK961" s="71"/>
      <c r="AL961" s="71"/>
      <c r="AM961" s="71"/>
      <c r="AN961" s="71"/>
      <c r="AO961" s="71"/>
      <c r="AP961" s="71"/>
      <c r="AQ961" s="71"/>
      <c r="AR961" s="71"/>
      <c r="AS961" s="94" t="str" cm="1">
        <f t="array" ref="AS961">IFERROR(INDEX(T961:AE961,1,MATCH(2,1/(T961:AE961&lt;&gt;""))),"")</f>
        <v/>
      </c>
      <c r="AT961" s="95" t="str" cm="1">
        <f t="array" ref="AT961">IFERROR(INDEX(AJ961:AR961,1,MATCH(2,1/(AJ961:AR961&lt;&gt;""))),"")</f>
        <v/>
      </c>
      <c r="AU961" s="97" t="str">
        <f t="shared" si="1191"/>
        <v/>
      </c>
      <c r="AW961" s="51" t="str">
        <f t="shared" si="1192"/>
        <v/>
      </c>
      <c r="AX961" s="51"/>
      <c r="AY961" s="51"/>
      <c r="AZ961" s="51"/>
      <c r="BA961" s="51"/>
      <c r="BB961" s="51"/>
      <c r="BC961" s="51"/>
      <c r="BD961" s="51"/>
      <c r="BE961" s="51"/>
      <c r="BF961" s="51"/>
      <c r="BG961" s="51"/>
      <c r="BH961" s="51"/>
      <c r="BI961" s="65" t="str" cm="1">
        <f t="array" ref="BI961">IFERROR(INDEX(AW961:BH961,1,MATCH(2,1/(AW961:BH961&lt;&gt;""))),"")</f>
        <v/>
      </c>
      <c r="BJ961" s="68" t="str" cm="1">
        <f t="array" ref="BJ961">IF(BM961 = "", "",IFERROR(INDEX(AW961:BH961,1,MATCH(2,1/(AW961:BH961&lt;&gt;""),1)-1),""))</f>
        <v/>
      </c>
      <c r="BK961" s="58" t="str" cm="1">
        <f t="array" ref="BK961">IFERROR(INDEX(AW961:BH961,1,MATCH(2,1/(AW961:BH961&lt;&gt;""))),"")</f>
        <v/>
      </c>
      <c r="BL961" s="58" t="str" cm="1">
        <f t="array" ref="BL961">IFERROR(INDEX(AW961:BH961,1,MATCH(2,1/(AW961:BH961&lt;&gt;""),1)-1),"")</f>
        <v/>
      </c>
      <c r="BM961" s="55" t="str" cm="1">
        <f t="array" ref="BM961">IFERROR(
   INDEX($AW$1:$BH$1,
      _xlfn.AGGREGATE(14, 6, COLUMN($AW$1:$BH$1)/(AW961:BH961&lt;&gt;""), 2) - COLUMN($AW$1) + 1
   ),
"")</f>
        <v/>
      </c>
      <c r="BN961" s="55" t="str" cm="1">
        <f t="array" ref="BN961">IFERROR(INDEX($AW$1:$BH$1,1,MATCH(2,1/(AW961:BH961&lt;&gt;""))),"")</f>
        <v/>
      </c>
      <c r="BO961" s="53">
        <f ca="1">IFERROR(_xlfn.XLOOKUP(F961,Apuração!A:A,Apuração!C:C)/_xlfn.XLOOKUP(F961,Apuração!A:A,Apuração!B:B),0)</f>
        <v>0</v>
      </c>
      <c r="BP961" s="53">
        <f ca="1">IFERROR(_xlfn.XLOOKUP(F961,Apuração!A:A,Apuração!D:D)/_xlfn.XLOOKUP(F961,Apuração!A:A,Apuração!B:B),0)</f>
        <v>0</v>
      </c>
      <c r="BQ961" s="53">
        <f ca="1">IF(BK961&gt;=BO961,0,_xlfn.XLOOKUP(F961,Apuração!A:A,Apuração!B:B)*(BO961 + (1/_xlfn.XLOOKUP(F961,Apuração!A:A,Apuração!B:B)) - BK961))</f>
        <v>0</v>
      </c>
      <c r="BR961" s="85">
        <f t="shared" ca="1" si="1193"/>
        <v>0</v>
      </c>
      <c r="BS961" s="53">
        <f ca="1">IFERROR((_xlfn.XLOOKUP(F961,Apuração!A:A,Apuração!C:C)+1)/_xlfn.XLOOKUP(F961,Apuração!A:A,Apuração!B:B),0)</f>
        <v>0.14285714285714285</v>
      </c>
    </row>
    <row r="962" spans="1:71" ht="25.95" hidden="1" customHeight="1" x14ac:dyDescent="0.3">
      <c r="A962" s="44" t="s">
        <v>175</v>
      </c>
      <c r="B962" s="4" t="s">
        <v>194</v>
      </c>
      <c r="C962" s="5" t="s">
        <v>97</v>
      </c>
      <c r="D962" s="5" t="s">
        <v>101</v>
      </c>
      <c r="E962" s="4" t="s">
        <v>96</v>
      </c>
      <c r="F962" s="4" t="str" cm="1">
        <f t="array" ref="F962">_xlfn.IFS(
AG962 &lt;&gt; "", "Jan-Dez/26",
AH962 &lt;&gt; "", "Fev-Dez/26",
AI962 &lt;&gt; "", "Mar-Dez/26", AJ962 &lt;&gt; "", "Abr-Dez/26",
TRUE, "A partir de Junho"
)</f>
        <v>A partir de Junho</v>
      </c>
      <c r="G962" s="4" t="s">
        <v>62</v>
      </c>
      <c r="H962" s="7" t="s">
        <v>38</v>
      </c>
      <c r="I962" s="21" t="s">
        <v>182</v>
      </c>
      <c r="J962" s="8" t="str" cm="1">
        <f t="array" aca="1" ref="J962" ca="1">_xlfn.LET(
  _xlpm.actual_value_month, INDEX(T962:AE962, MATCH(DATE(YEAR(TODAY()), MONTH(TODAY()), 1), $T$1:$AE$1, 0)),
  IF(_xlpm.actual_value_month &lt;&gt; "", _xlpm.actual_value_month &amp; " ações mensais", "")
)</f>
        <v/>
      </c>
      <c r="K962" s="8" t="str" cm="1">
        <f t="array" ref="K962">_xlfn.LET(
    _xlpm.sum_month, SUM(T962:AE962),
    IF(_xlpm.sum_month = 0, "", _xlpm.sum_month &amp; " taxa de aprovados")
)</f>
        <v/>
      </c>
      <c r="L962" s="4" t="s">
        <v>183</v>
      </c>
      <c r="M962" s="13">
        <v>1</v>
      </c>
      <c r="N962" s="5" t="s">
        <v>51</v>
      </c>
      <c r="O962" s="5" t="s">
        <v>43</v>
      </c>
      <c r="P962" s="10" t="s">
        <v>44</v>
      </c>
      <c r="Q962" s="10" t="s">
        <v>44</v>
      </c>
      <c r="R962" s="11" t="s">
        <v>44</v>
      </c>
      <c r="S962" s="11" t="s">
        <v>44</v>
      </c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G962" s="71"/>
      <c r="AH962" s="71"/>
      <c r="AI962" s="71"/>
      <c r="AJ962" s="71"/>
      <c r="AK962" s="71"/>
      <c r="AL962" s="71"/>
      <c r="AM962" s="71"/>
      <c r="AN962" s="71"/>
      <c r="AO962" s="71"/>
      <c r="AP962" s="71"/>
      <c r="AQ962" s="71"/>
      <c r="AR962" s="71"/>
      <c r="AS962" s="94" t="str" cm="1">
        <f t="array" ref="AS962">IFERROR(INDEX(T962:AE962,1,MATCH(2,1/(T962:AE962&lt;&gt;""))),"")</f>
        <v/>
      </c>
      <c r="AT962" s="95" t="str" cm="1">
        <f t="array" ref="AT962">IFERROR(INDEX(AJ962:AR962,1,MATCH(2,1/(AJ962:AR962&lt;&gt;""))),"")</f>
        <v/>
      </c>
      <c r="AU962" s="97" t="str">
        <f t="shared" si="1191"/>
        <v/>
      </c>
      <c r="AW962" s="51" t="str">
        <f t="shared" si="1192"/>
        <v/>
      </c>
      <c r="AX962" s="51"/>
      <c r="AY962" s="51"/>
      <c r="AZ962" s="51"/>
      <c r="BA962" s="51"/>
      <c r="BB962" s="51"/>
      <c r="BC962" s="51"/>
      <c r="BD962" s="51"/>
      <c r="BE962" s="51"/>
      <c r="BF962" s="51"/>
      <c r="BG962" s="51"/>
      <c r="BH962" s="51"/>
      <c r="BI962" s="65" t="str" cm="1">
        <f t="array" ref="BI962">IFERROR(INDEX(AW962:BH962,1,MATCH(2,1/(AW962:BH962&lt;&gt;""))),"")</f>
        <v/>
      </c>
      <c r="BJ962" s="68" t="str" cm="1">
        <f t="array" ref="BJ962">IF(BM962 = "", "",IFERROR(INDEX(AW962:BH962,1,MATCH(2,1/(AW962:BH962&lt;&gt;""),1)-1),""))</f>
        <v/>
      </c>
      <c r="BK962" s="58" t="str" cm="1">
        <f t="array" ref="BK962">IFERROR(INDEX(AW962:BH962,1,MATCH(2,1/(AW962:BH962&lt;&gt;""))),"")</f>
        <v/>
      </c>
      <c r="BL962" s="58" t="str" cm="1">
        <f t="array" ref="BL962">IFERROR(INDEX(AW962:BH962,1,MATCH(2,1/(AW962:BH962&lt;&gt;""),1)-1),"")</f>
        <v/>
      </c>
      <c r="BM962" s="55" t="str" cm="1">
        <f t="array" ref="BM962">IFERROR(
   INDEX($AW$1:$BH$1,
      _xlfn.AGGREGATE(14, 6, COLUMN($AW$1:$BH$1)/(AW962:BH962&lt;&gt;""), 2) - COLUMN($AW$1) + 1
   ),
"")</f>
        <v/>
      </c>
      <c r="BN962" s="55" t="str" cm="1">
        <f t="array" ref="BN962">IFERROR(INDEX($AW$1:$BH$1,1,MATCH(2,1/(AW962:BH962&lt;&gt;""))),"")</f>
        <v/>
      </c>
      <c r="BO962" s="53">
        <f ca="1">IFERROR(_xlfn.XLOOKUP(F962,Apuração!A:A,Apuração!C:C)/_xlfn.XLOOKUP(F962,Apuração!A:A,Apuração!B:B),0)</f>
        <v>0</v>
      </c>
      <c r="BP962" s="53">
        <f ca="1">IFERROR(_xlfn.XLOOKUP(F962,Apuração!A:A,Apuração!D:D)/_xlfn.XLOOKUP(F962,Apuração!A:A,Apuração!B:B),0)</f>
        <v>0</v>
      </c>
      <c r="BQ962" s="53">
        <f ca="1">IF(BK962&gt;=BO962,0,_xlfn.XLOOKUP(F962,Apuração!A:A,Apuração!B:B)*(BO962 + (1/_xlfn.XLOOKUP(F962,Apuração!A:A,Apuração!B:B)) - BK962))</f>
        <v>0</v>
      </c>
      <c r="BR962" s="85">
        <f t="shared" ca="1" si="1193"/>
        <v>0</v>
      </c>
      <c r="BS962" s="53">
        <f ca="1">IFERROR((_xlfn.XLOOKUP(F962,Apuração!A:A,Apuração!C:C)+1)/_xlfn.XLOOKUP(F962,Apuração!A:A,Apuração!B:B),0)</f>
        <v>0.14285714285714285</v>
      </c>
    </row>
    <row r="963" spans="1:71" ht="25.95" hidden="1" customHeight="1" x14ac:dyDescent="0.3">
      <c r="A963" s="44" t="s">
        <v>175</v>
      </c>
      <c r="B963" s="4" t="s">
        <v>194</v>
      </c>
      <c r="C963" s="5" t="s">
        <v>97</v>
      </c>
      <c r="D963" s="5" t="s">
        <v>102</v>
      </c>
      <c r="E963" s="4" t="s">
        <v>96</v>
      </c>
      <c r="F963" s="4" t="str" cm="1">
        <f t="array" ref="F963">_xlfn.IFS(
AG963 &lt;&gt; "", "Jan-Dez/26",
AH963 &lt;&gt; "", "Fev-Dez/26",
AI963 &lt;&gt; "", "Mar-Dez/26", AJ963 &lt;&gt; "", "Abr-Dez/26",
TRUE, "A partir de Junho"
)</f>
        <v>A partir de Junho</v>
      </c>
      <c r="G963" s="4" t="s">
        <v>62</v>
      </c>
      <c r="H963" s="7" t="s">
        <v>38</v>
      </c>
      <c r="I963" s="21" t="s">
        <v>182</v>
      </c>
      <c r="J963" s="8" t="str" cm="1">
        <f t="array" aca="1" ref="J963" ca="1">_xlfn.LET(
  _xlpm.actual_value_month, INDEX(T963:AE963, MATCH(DATE(YEAR(TODAY()), MONTH(TODAY()), 1), $T$1:$AE$1, 0)),
  IF(_xlpm.actual_value_month &lt;&gt; "", _xlpm.actual_value_month &amp; " ações mensais", "")
)</f>
        <v/>
      </c>
      <c r="K963" s="8" t="str" cm="1">
        <f t="array" ref="K963">_xlfn.LET(
    _xlpm.sum_month, SUM(T963:AE963),
    IF(_xlpm.sum_month = 0, "", _xlpm.sum_month &amp; " taxa de aprovados")
)</f>
        <v/>
      </c>
      <c r="L963" s="4" t="s">
        <v>183</v>
      </c>
      <c r="M963" s="13">
        <v>1</v>
      </c>
      <c r="N963" s="5" t="s">
        <v>51</v>
      </c>
      <c r="O963" s="5" t="s">
        <v>43</v>
      </c>
      <c r="P963" s="10" t="s">
        <v>44</v>
      </c>
      <c r="Q963" s="10" t="s">
        <v>44</v>
      </c>
      <c r="R963" s="11" t="s">
        <v>44</v>
      </c>
      <c r="S963" s="11" t="s">
        <v>44</v>
      </c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G963" s="71"/>
      <c r="AH963" s="71"/>
      <c r="AI963" s="71"/>
      <c r="AJ963" s="71"/>
      <c r="AK963" s="71"/>
      <c r="AL963" s="71"/>
      <c r="AM963" s="71"/>
      <c r="AN963" s="71"/>
      <c r="AO963" s="71"/>
      <c r="AP963" s="71"/>
      <c r="AQ963" s="71"/>
      <c r="AR963" s="71"/>
      <c r="AS963" s="94" t="str" cm="1">
        <f t="array" ref="AS963">IFERROR(INDEX(T963:AE963,1,MATCH(2,1/(T963:AE963&lt;&gt;""))),"")</f>
        <v/>
      </c>
      <c r="AT963" s="95" t="str" cm="1">
        <f t="array" ref="AT963">IFERROR(INDEX(AJ963:AR963,1,MATCH(2,1/(AJ963:AR963&lt;&gt;""))),"")</f>
        <v/>
      </c>
      <c r="AU963" s="97" t="str">
        <f t="shared" si="1191"/>
        <v/>
      </c>
      <c r="AW963" s="51" t="str">
        <f t="shared" si="1192"/>
        <v/>
      </c>
      <c r="AX963" s="51"/>
      <c r="AY963" s="51"/>
      <c r="AZ963" s="51"/>
      <c r="BA963" s="51"/>
      <c r="BB963" s="51"/>
      <c r="BC963" s="51"/>
      <c r="BD963" s="51"/>
      <c r="BE963" s="51"/>
      <c r="BF963" s="51"/>
      <c r="BG963" s="51"/>
      <c r="BH963" s="51"/>
      <c r="BI963" s="65" t="str" cm="1">
        <f t="array" ref="BI963">IFERROR(INDEX(AW963:BH963,1,MATCH(2,1/(AW963:BH963&lt;&gt;""))),"")</f>
        <v/>
      </c>
      <c r="BJ963" s="68" t="str" cm="1">
        <f t="array" ref="BJ963">IF(BM963 = "", "",IFERROR(INDEX(AW963:BH963,1,MATCH(2,1/(AW963:BH963&lt;&gt;""),1)-1),""))</f>
        <v/>
      </c>
      <c r="BK963" s="58" t="str" cm="1">
        <f t="array" ref="BK963">IFERROR(INDEX(AW963:BH963,1,MATCH(2,1/(AW963:BH963&lt;&gt;""))),"")</f>
        <v/>
      </c>
      <c r="BL963" s="58" t="str" cm="1">
        <f t="array" ref="BL963">IFERROR(INDEX(AW963:BH963,1,MATCH(2,1/(AW963:BH963&lt;&gt;""),1)-1),"")</f>
        <v/>
      </c>
      <c r="BM963" s="55" t="str" cm="1">
        <f t="array" ref="BM963">IFERROR(
   INDEX($AW$1:$BH$1,
      _xlfn.AGGREGATE(14, 6, COLUMN($AW$1:$BH$1)/(AW963:BH963&lt;&gt;""), 2) - COLUMN($AW$1) + 1
   ),
"")</f>
        <v/>
      </c>
      <c r="BN963" s="55" t="str" cm="1">
        <f t="array" ref="BN963">IFERROR(INDEX($AW$1:$BH$1,1,MATCH(2,1/(AW963:BH963&lt;&gt;""))),"")</f>
        <v/>
      </c>
      <c r="BO963" s="53">
        <f ca="1">IFERROR(_xlfn.XLOOKUP(F963,Apuração!A:A,Apuração!C:C)/_xlfn.XLOOKUP(F963,Apuração!A:A,Apuração!B:B),0)</f>
        <v>0</v>
      </c>
      <c r="BP963" s="53">
        <f ca="1">IFERROR(_xlfn.XLOOKUP(F963,Apuração!A:A,Apuração!D:D)/_xlfn.XLOOKUP(F963,Apuração!A:A,Apuração!B:B),0)</f>
        <v>0</v>
      </c>
      <c r="BQ963" s="53">
        <f ca="1">IF(BK963&gt;=BO963,0,_xlfn.XLOOKUP(F963,Apuração!A:A,Apuração!B:B)*(BO963 + (1/_xlfn.XLOOKUP(F963,Apuração!A:A,Apuração!B:B)) - BK963))</f>
        <v>0</v>
      </c>
      <c r="BR963" s="85">
        <f t="shared" ca="1" si="1193"/>
        <v>0</v>
      </c>
      <c r="BS963" s="53">
        <f ca="1">IFERROR((_xlfn.XLOOKUP(F963,Apuração!A:A,Apuração!C:C)+1)/_xlfn.XLOOKUP(F963,Apuração!A:A,Apuração!B:B),0)</f>
        <v>0.14285714285714285</v>
      </c>
    </row>
    <row r="964" spans="1:71" ht="25.95" hidden="1" customHeight="1" x14ac:dyDescent="0.3">
      <c r="A964" s="44" t="s">
        <v>175</v>
      </c>
      <c r="B964" s="4" t="s">
        <v>194</v>
      </c>
      <c r="C964" s="5" t="s">
        <v>97</v>
      </c>
      <c r="D964" s="5" t="s">
        <v>103</v>
      </c>
      <c r="E964" s="4" t="s">
        <v>96</v>
      </c>
      <c r="F964" s="4" t="str" cm="1">
        <f t="array" ref="F964">_xlfn.IFS(
AG964 &lt;&gt; "", "Jan-Dez/26",
AH964 &lt;&gt; "", "Fev-Dez/26",
AI964 &lt;&gt; "", "Mar-Dez/26", AJ964 &lt;&gt; "", "Abr-Dez/26",
TRUE, "A partir de Junho"
)</f>
        <v>A partir de Junho</v>
      </c>
      <c r="G964" s="4" t="s">
        <v>62</v>
      </c>
      <c r="H964" s="7" t="s">
        <v>38</v>
      </c>
      <c r="I964" s="21" t="s">
        <v>182</v>
      </c>
      <c r="J964" s="8" t="str" cm="1">
        <f t="array" aca="1" ref="J964" ca="1">_xlfn.LET(
  _xlpm.actual_value_month, INDEX(T964:AE964, MATCH(DATE(YEAR(TODAY()), MONTH(TODAY()), 1), $T$1:$AE$1, 0)),
  IF(_xlpm.actual_value_month &lt;&gt; "", _xlpm.actual_value_month &amp; " ações mensais", "")
)</f>
        <v/>
      </c>
      <c r="K964" s="8" t="str" cm="1">
        <f t="array" ref="K964">_xlfn.LET(
    _xlpm.sum_month, SUM(T964:AE964),
    IF(_xlpm.sum_month = 0, "", _xlpm.sum_month &amp; " taxa de aprovados")
)</f>
        <v/>
      </c>
      <c r="L964" s="4" t="s">
        <v>183</v>
      </c>
      <c r="M964" s="13">
        <v>1</v>
      </c>
      <c r="N964" s="5" t="s">
        <v>51</v>
      </c>
      <c r="O964" s="5" t="s">
        <v>43</v>
      </c>
      <c r="P964" s="10" t="s">
        <v>44</v>
      </c>
      <c r="Q964" s="10" t="s">
        <v>44</v>
      </c>
      <c r="R964" s="11" t="s">
        <v>44</v>
      </c>
      <c r="S964" s="11" t="s">
        <v>44</v>
      </c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G964" s="71"/>
      <c r="AH964" s="71"/>
      <c r="AI964" s="71"/>
      <c r="AJ964" s="71"/>
      <c r="AK964" s="71"/>
      <c r="AL964" s="71"/>
      <c r="AM964" s="71"/>
      <c r="AN964" s="71"/>
      <c r="AO964" s="71"/>
      <c r="AP964" s="71"/>
      <c r="AQ964" s="71"/>
      <c r="AR964" s="71"/>
      <c r="AS964" s="94" t="str" cm="1">
        <f t="array" ref="AS964">IFERROR(INDEX(T964:AE964,1,MATCH(2,1/(T964:AE964&lt;&gt;""))),"")</f>
        <v/>
      </c>
      <c r="AT964" s="95" t="str" cm="1">
        <f t="array" ref="AT964">IFERROR(INDEX(AJ964:AR964,1,MATCH(2,1/(AJ964:AR964&lt;&gt;""))),"")</f>
        <v/>
      </c>
      <c r="AU964" s="97" t="str">
        <f t="shared" si="1191"/>
        <v/>
      </c>
      <c r="AW964" s="51" t="str">
        <f t="shared" si="1192"/>
        <v/>
      </c>
      <c r="AX964" s="51"/>
      <c r="AY964" s="51"/>
      <c r="AZ964" s="51"/>
      <c r="BA964" s="51"/>
      <c r="BB964" s="51"/>
      <c r="BC964" s="51"/>
      <c r="BD964" s="51"/>
      <c r="BE964" s="51"/>
      <c r="BF964" s="51"/>
      <c r="BG964" s="51"/>
      <c r="BH964" s="51"/>
      <c r="BI964" s="65" t="str" cm="1">
        <f t="array" ref="BI964">IFERROR(INDEX(AW964:BH964,1,MATCH(2,1/(AW964:BH964&lt;&gt;""))),"")</f>
        <v/>
      </c>
      <c r="BJ964" s="68" t="str" cm="1">
        <f t="array" ref="BJ964">IF(BM964 = "", "",IFERROR(INDEX(AW964:BH964,1,MATCH(2,1/(AW964:BH964&lt;&gt;""),1)-1),""))</f>
        <v/>
      </c>
      <c r="BK964" s="58" t="str" cm="1">
        <f t="array" ref="BK964">IFERROR(INDEX(AW964:BH964,1,MATCH(2,1/(AW964:BH964&lt;&gt;""))),"")</f>
        <v/>
      </c>
      <c r="BL964" s="58" t="str" cm="1">
        <f t="array" ref="BL964">IFERROR(INDEX(AW964:BH964,1,MATCH(2,1/(AW964:BH964&lt;&gt;""),1)-1),"")</f>
        <v/>
      </c>
      <c r="BM964" s="55" t="str" cm="1">
        <f t="array" ref="BM964">IFERROR(
   INDEX($AW$1:$BH$1,
      _xlfn.AGGREGATE(14, 6, COLUMN($AW$1:$BH$1)/(AW964:BH964&lt;&gt;""), 2) - COLUMN($AW$1) + 1
   ),
"")</f>
        <v/>
      </c>
      <c r="BN964" s="55" t="str" cm="1">
        <f t="array" ref="BN964">IFERROR(INDEX($AW$1:$BH$1,1,MATCH(2,1/(AW964:BH964&lt;&gt;""))),"")</f>
        <v/>
      </c>
      <c r="BO964" s="53">
        <f ca="1">IFERROR(_xlfn.XLOOKUP(F964,Apuração!A:A,Apuração!C:C)/_xlfn.XLOOKUP(F964,Apuração!A:A,Apuração!B:B),0)</f>
        <v>0</v>
      </c>
      <c r="BP964" s="53">
        <f ca="1">IFERROR(_xlfn.XLOOKUP(F964,Apuração!A:A,Apuração!D:D)/_xlfn.XLOOKUP(F964,Apuração!A:A,Apuração!B:B),0)</f>
        <v>0</v>
      </c>
      <c r="BQ964" s="53">
        <f ca="1">IF(BK964&gt;=BO964,0,_xlfn.XLOOKUP(F964,Apuração!A:A,Apuração!B:B)*(BO964 + (1/_xlfn.XLOOKUP(F964,Apuração!A:A,Apuração!B:B)) - BK964))</f>
        <v>0</v>
      </c>
      <c r="BR964" s="85">
        <f t="shared" ca="1" si="1193"/>
        <v>0</v>
      </c>
      <c r="BS964" s="53">
        <f ca="1">IFERROR((_xlfn.XLOOKUP(F964,Apuração!A:A,Apuração!C:C)+1)/_xlfn.XLOOKUP(F964,Apuração!A:A,Apuração!B:B),0)</f>
        <v>0.14285714285714285</v>
      </c>
    </row>
    <row r="965" spans="1:71" ht="25.95" hidden="1" customHeight="1" x14ac:dyDescent="0.3">
      <c r="A965" s="44" t="s">
        <v>175</v>
      </c>
      <c r="B965" s="4" t="s">
        <v>194</v>
      </c>
      <c r="C965" s="5" t="s">
        <v>97</v>
      </c>
      <c r="D965" s="5" t="s">
        <v>104</v>
      </c>
      <c r="E965" s="4" t="s">
        <v>96</v>
      </c>
      <c r="F965" s="4" t="str" cm="1">
        <f t="array" ref="F965">_xlfn.IFS(
AG965 &lt;&gt; "", "Jan-Dez/26",
AH965 &lt;&gt; "", "Fev-Dez/26",
AI965 &lt;&gt; "", "Mar-Dez/26", AJ965 &lt;&gt; "", "Abr-Dez/26",
TRUE, "A partir de Junho"
)</f>
        <v>A partir de Junho</v>
      </c>
      <c r="G965" s="4" t="s">
        <v>62</v>
      </c>
      <c r="H965" s="7" t="s">
        <v>38</v>
      </c>
      <c r="I965" s="21" t="s">
        <v>182</v>
      </c>
      <c r="J965" s="8" t="str" cm="1">
        <f t="array" aca="1" ref="J965" ca="1">_xlfn.LET(
  _xlpm.actual_value_month, INDEX(T965:AE965, MATCH(DATE(YEAR(TODAY()), MONTH(TODAY()), 1), $T$1:$AE$1, 0)),
  IF(_xlpm.actual_value_month &lt;&gt; "", _xlpm.actual_value_month &amp; " ações mensais", "")
)</f>
        <v/>
      </c>
      <c r="K965" s="8" t="str" cm="1">
        <f t="array" ref="K965">_xlfn.LET(
    _xlpm.sum_month, SUM(T965:AE965),
    IF(_xlpm.sum_month = 0, "", _xlpm.sum_month &amp; " taxa de aprovados")
)</f>
        <v/>
      </c>
      <c r="L965" s="4" t="s">
        <v>183</v>
      </c>
      <c r="M965" s="13">
        <v>1</v>
      </c>
      <c r="N965" s="5" t="s">
        <v>51</v>
      </c>
      <c r="O965" s="5" t="s">
        <v>43</v>
      </c>
      <c r="P965" s="10" t="s">
        <v>44</v>
      </c>
      <c r="Q965" s="10" t="s">
        <v>44</v>
      </c>
      <c r="R965" s="11" t="s">
        <v>44</v>
      </c>
      <c r="S965" s="11" t="s">
        <v>44</v>
      </c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G965" s="71"/>
      <c r="AH965" s="71"/>
      <c r="AI965" s="71"/>
      <c r="AJ965" s="71"/>
      <c r="AK965" s="71"/>
      <c r="AL965" s="71"/>
      <c r="AM965" s="71"/>
      <c r="AN965" s="71"/>
      <c r="AO965" s="71"/>
      <c r="AP965" s="71"/>
      <c r="AQ965" s="71"/>
      <c r="AR965" s="71"/>
      <c r="AS965" s="94" t="str" cm="1">
        <f t="array" ref="AS965">IFERROR(INDEX(T965:AE965,1,MATCH(2,1/(T965:AE965&lt;&gt;""))),"")</f>
        <v/>
      </c>
      <c r="AT965" s="95" t="str" cm="1">
        <f t="array" ref="AT965">IFERROR(INDEX(AJ965:AR965,1,MATCH(2,1/(AJ965:AR965&lt;&gt;""))),"")</f>
        <v/>
      </c>
      <c r="AU965" s="97" t="str">
        <f t="shared" si="1191"/>
        <v/>
      </c>
      <c r="AW965" s="51" t="str">
        <f t="shared" si="1192"/>
        <v/>
      </c>
      <c r="AX965" s="51"/>
      <c r="AY965" s="51"/>
      <c r="AZ965" s="51"/>
      <c r="BA965" s="51"/>
      <c r="BB965" s="51"/>
      <c r="BC965" s="51"/>
      <c r="BD965" s="51"/>
      <c r="BE965" s="51"/>
      <c r="BF965" s="51"/>
      <c r="BG965" s="51"/>
      <c r="BH965" s="51"/>
      <c r="BI965" s="65" t="str" cm="1">
        <f t="array" ref="BI965">IFERROR(INDEX(AW965:BH965,1,MATCH(2,1/(AW965:BH965&lt;&gt;""))),"")</f>
        <v/>
      </c>
      <c r="BJ965" s="68" t="str" cm="1">
        <f t="array" ref="BJ965">IF(BM965 = "", "",IFERROR(INDEX(AW965:BH965,1,MATCH(2,1/(AW965:BH965&lt;&gt;""),1)-1),""))</f>
        <v/>
      </c>
      <c r="BK965" s="58" t="str" cm="1">
        <f t="array" ref="BK965">IFERROR(INDEX(AW965:BH965,1,MATCH(2,1/(AW965:BH965&lt;&gt;""))),"")</f>
        <v/>
      </c>
      <c r="BL965" s="58" t="str" cm="1">
        <f t="array" ref="BL965">IFERROR(INDEX(AW965:BH965,1,MATCH(2,1/(AW965:BH965&lt;&gt;""),1)-1),"")</f>
        <v/>
      </c>
      <c r="BM965" s="55" t="str" cm="1">
        <f t="array" ref="BM965">IFERROR(
   INDEX($AW$1:$BH$1,
      _xlfn.AGGREGATE(14, 6, COLUMN($AW$1:$BH$1)/(AW965:BH965&lt;&gt;""), 2) - COLUMN($AW$1) + 1
   ),
"")</f>
        <v/>
      </c>
      <c r="BN965" s="55" t="str" cm="1">
        <f t="array" ref="BN965">IFERROR(INDEX($AW$1:$BH$1,1,MATCH(2,1/(AW965:BH965&lt;&gt;""))),"")</f>
        <v/>
      </c>
      <c r="BO965" s="53">
        <f ca="1">IFERROR(_xlfn.XLOOKUP(F965,Apuração!A:A,Apuração!C:C)/_xlfn.XLOOKUP(F965,Apuração!A:A,Apuração!B:B),0)</f>
        <v>0</v>
      </c>
      <c r="BP965" s="53">
        <f ca="1">IFERROR(_xlfn.XLOOKUP(F965,Apuração!A:A,Apuração!D:D)/_xlfn.XLOOKUP(F965,Apuração!A:A,Apuração!B:B),0)</f>
        <v>0</v>
      </c>
      <c r="BQ965" s="53">
        <f ca="1">IF(BK965&gt;=BO965,0,_xlfn.XLOOKUP(F965,Apuração!A:A,Apuração!B:B)*(BO965 + (1/_xlfn.XLOOKUP(F965,Apuração!A:A,Apuração!B:B)) - BK965))</f>
        <v>0</v>
      </c>
      <c r="BR965" s="85">
        <f t="shared" ca="1" si="1193"/>
        <v>0</v>
      </c>
      <c r="BS965" s="53">
        <f ca="1">IFERROR((_xlfn.XLOOKUP(F965,Apuração!A:A,Apuração!C:C)+1)/_xlfn.XLOOKUP(F965,Apuração!A:A,Apuração!B:B),0)</f>
        <v>0.14285714285714285</v>
      </c>
    </row>
    <row r="966" spans="1:71" ht="25.95" hidden="1" customHeight="1" x14ac:dyDescent="0.3">
      <c r="A966" s="44" t="s">
        <v>175</v>
      </c>
      <c r="B966" s="4" t="s">
        <v>194</v>
      </c>
      <c r="C966" s="5" t="s">
        <v>97</v>
      </c>
      <c r="D966" s="5" t="s">
        <v>105</v>
      </c>
      <c r="E966" s="4" t="s">
        <v>96</v>
      </c>
      <c r="F966" s="4" t="str" cm="1">
        <f t="array" ref="F966">_xlfn.IFS(
AG966 &lt;&gt; "", "Jan-Dez/26",
AH966 &lt;&gt; "", "Fev-Dez/26",
AI966 &lt;&gt; "", "Mar-Dez/26", AJ966 &lt;&gt; "", "Abr-Dez/26",
TRUE, "A partir de Junho"
)</f>
        <v>A partir de Junho</v>
      </c>
      <c r="G966" s="4" t="s">
        <v>62</v>
      </c>
      <c r="H966" s="7" t="s">
        <v>38</v>
      </c>
      <c r="I966" s="21" t="s">
        <v>182</v>
      </c>
      <c r="J966" s="8" t="str" cm="1">
        <f t="array" aca="1" ref="J966" ca="1">_xlfn.LET(
  _xlpm.actual_value_month, INDEX(T966:AE966, MATCH(DATE(YEAR(TODAY()), MONTH(TODAY()), 1), $T$1:$AE$1, 0)),
  IF(_xlpm.actual_value_month &lt;&gt; "", _xlpm.actual_value_month &amp; " ações mensais", "")
)</f>
        <v/>
      </c>
      <c r="K966" s="8" t="str" cm="1">
        <f t="array" ref="K966">_xlfn.LET(
    _xlpm.sum_month, SUM(T966:AE966),
    IF(_xlpm.sum_month = 0, "", _xlpm.sum_month &amp; " taxa de aprovados")
)</f>
        <v/>
      </c>
      <c r="L966" s="4" t="s">
        <v>183</v>
      </c>
      <c r="M966" s="13">
        <v>1</v>
      </c>
      <c r="N966" s="5" t="s">
        <v>51</v>
      </c>
      <c r="O966" s="5" t="s">
        <v>43</v>
      </c>
      <c r="P966" s="10" t="s">
        <v>44</v>
      </c>
      <c r="Q966" s="10" t="s">
        <v>44</v>
      </c>
      <c r="R966" s="11" t="s">
        <v>44</v>
      </c>
      <c r="S966" s="11" t="s">
        <v>44</v>
      </c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G966" s="71"/>
      <c r="AH966" s="71"/>
      <c r="AI966" s="71"/>
      <c r="AJ966" s="71"/>
      <c r="AK966" s="71"/>
      <c r="AL966" s="71"/>
      <c r="AM966" s="71"/>
      <c r="AN966" s="71"/>
      <c r="AO966" s="71"/>
      <c r="AP966" s="71"/>
      <c r="AQ966" s="71"/>
      <c r="AR966" s="71"/>
      <c r="AS966" s="94" t="str" cm="1">
        <f t="array" ref="AS966">IFERROR(INDEX(T966:AE966,1,MATCH(2,1/(T966:AE966&lt;&gt;""))),"")</f>
        <v/>
      </c>
      <c r="AT966" s="95" t="str" cm="1">
        <f t="array" ref="AT966">IFERROR(INDEX(AJ966:AR966,1,MATCH(2,1/(AJ966:AR966&lt;&gt;""))),"")</f>
        <v/>
      </c>
      <c r="AU966" s="97" t="str">
        <f t="shared" si="1191"/>
        <v/>
      </c>
      <c r="AW966" s="51" t="str">
        <f t="shared" si="1192"/>
        <v/>
      </c>
      <c r="AX966" s="51"/>
      <c r="AY966" s="51"/>
      <c r="AZ966" s="51"/>
      <c r="BA966" s="51"/>
      <c r="BB966" s="51"/>
      <c r="BC966" s="51"/>
      <c r="BD966" s="51"/>
      <c r="BE966" s="51"/>
      <c r="BF966" s="51"/>
      <c r="BG966" s="51"/>
      <c r="BH966" s="51"/>
      <c r="BI966" s="65" t="str" cm="1">
        <f t="array" ref="BI966">IFERROR(INDEX(AW966:BH966,1,MATCH(2,1/(AW966:BH966&lt;&gt;""))),"")</f>
        <v/>
      </c>
      <c r="BJ966" s="68" t="str" cm="1">
        <f t="array" ref="BJ966">IF(BM966 = "", "",IFERROR(INDEX(AW966:BH966,1,MATCH(2,1/(AW966:BH966&lt;&gt;""),1)-1),""))</f>
        <v/>
      </c>
      <c r="BK966" s="58" t="str" cm="1">
        <f t="array" ref="BK966">IFERROR(INDEX(AW966:BH966,1,MATCH(2,1/(AW966:BH966&lt;&gt;""))),"")</f>
        <v/>
      </c>
      <c r="BL966" s="58" t="str" cm="1">
        <f t="array" ref="BL966">IFERROR(INDEX(AW966:BH966,1,MATCH(2,1/(AW966:BH966&lt;&gt;""),1)-1),"")</f>
        <v/>
      </c>
      <c r="BM966" s="55" t="str" cm="1">
        <f t="array" ref="BM966">IFERROR(
   INDEX($AW$1:$BH$1,
      _xlfn.AGGREGATE(14, 6, COLUMN($AW$1:$BH$1)/(AW966:BH966&lt;&gt;""), 2) - COLUMN($AW$1) + 1
   ),
"")</f>
        <v/>
      </c>
      <c r="BN966" s="55" t="str" cm="1">
        <f t="array" ref="BN966">IFERROR(INDEX($AW$1:$BH$1,1,MATCH(2,1/(AW966:BH966&lt;&gt;""))),"")</f>
        <v/>
      </c>
      <c r="BO966" s="53">
        <f ca="1">IFERROR(_xlfn.XLOOKUP(F966,Apuração!A:A,Apuração!C:C)/_xlfn.XLOOKUP(F966,Apuração!A:A,Apuração!B:B),0)</f>
        <v>0</v>
      </c>
      <c r="BP966" s="53">
        <f ca="1">IFERROR(_xlfn.XLOOKUP(F966,Apuração!A:A,Apuração!D:D)/_xlfn.XLOOKUP(F966,Apuração!A:A,Apuração!B:B),0)</f>
        <v>0</v>
      </c>
      <c r="BQ966" s="53">
        <f ca="1">IF(BK966&gt;=BO966,0,_xlfn.XLOOKUP(F966,Apuração!A:A,Apuração!B:B)*(BO966 + (1/_xlfn.XLOOKUP(F966,Apuração!A:A,Apuração!B:B)) - BK966))</f>
        <v>0</v>
      </c>
      <c r="BR966" s="85">
        <f t="shared" ca="1" si="1193"/>
        <v>0</v>
      </c>
      <c r="BS966" s="53">
        <f ca="1">IFERROR((_xlfn.XLOOKUP(F966,Apuração!A:A,Apuração!C:C)+1)/_xlfn.XLOOKUP(F966,Apuração!A:A,Apuração!B:B),0)</f>
        <v>0.14285714285714285</v>
      </c>
    </row>
    <row r="967" spans="1:71" ht="25.95" hidden="1" customHeight="1" x14ac:dyDescent="0.3">
      <c r="A967" s="44" t="s">
        <v>175</v>
      </c>
      <c r="B967" s="4" t="s">
        <v>194</v>
      </c>
      <c r="C967" s="5" t="s">
        <v>97</v>
      </c>
      <c r="D967" s="5" t="s">
        <v>106</v>
      </c>
      <c r="E967" s="4" t="s">
        <v>96</v>
      </c>
      <c r="F967" s="4" t="str" cm="1">
        <f t="array" ref="F967">_xlfn.IFS(
AG967 &lt;&gt; "", "Jan-Dez/26",
AH967 &lt;&gt; "", "Fev-Dez/26",
AI967 &lt;&gt; "", "Mar-Dez/26", AJ967 &lt;&gt; "", "Abr-Dez/26",
TRUE, "A partir de Junho"
)</f>
        <v>A partir de Junho</v>
      </c>
      <c r="G967" s="4" t="s">
        <v>62</v>
      </c>
      <c r="H967" s="7" t="s">
        <v>38</v>
      </c>
      <c r="I967" s="21" t="s">
        <v>182</v>
      </c>
      <c r="J967" s="8" t="str" cm="1">
        <f t="array" aca="1" ref="J967" ca="1">_xlfn.LET(
  _xlpm.actual_value_month, INDEX(T967:AE967, MATCH(DATE(YEAR(TODAY()), MONTH(TODAY()), 1), $T$1:$AE$1, 0)),
  IF(_xlpm.actual_value_month &lt;&gt; "", _xlpm.actual_value_month &amp; " ações mensais", "")
)</f>
        <v/>
      </c>
      <c r="K967" s="8" t="str" cm="1">
        <f t="array" ref="K967">_xlfn.LET(
    _xlpm.sum_month, SUM(T967:AE967),
    IF(_xlpm.sum_month = 0, "", _xlpm.sum_month &amp; " taxa de aprovados")
)</f>
        <v/>
      </c>
      <c r="L967" s="4" t="s">
        <v>183</v>
      </c>
      <c r="M967" s="13">
        <v>1</v>
      </c>
      <c r="N967" s="5" t="s">
        <v>51</v>
      </c>
      <c r="O967" s="5" t="s">
        <v>43</v>
      </c>
      <c r="P967" s="10" t="s">
        <v>44</v>
      </c>
      <c r="Q967" s="10" t="s">
        <v>44</v>
      </c>
      <c r="R967" s="11" t="s">
        <v>44</v>
      </c>
      <c r="S967" s="11" t="s">
        <v>44</v>
      </c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G967" s="71"/>
      <c r="AH967" s="71"/>
      <c r="AI967" s="71"/>
      <c r="AJ967" s="71"/>
      <c r="AK967" s="71"/>
      <c r="AL967" s="71"/>
      <c r="AM967" s="71"/>
      <c r="AN967" s="71"/>
      <c r="AO967" s="71"/>
      <c r="AP967" s="71"/>
      <c r="AQ967" s="71"/>
      <c r="AR967" s="71"/>
      <c r="AS967" s="94" t="str" cm="1">
        <f t="array" ref="AS967">IFERROR(INDEX(T967:AE967,1,MATCH(2,1/(T967:AE967&lt;&gt;""))),"")</f>
        <v/>
      </c>
      <c r="AT967" s="95" t="str" cm="1">
        <f t="array" ref="AT967">IFERROR(INDEX(AJ967:AR967,1,MATCH(2,1/(AJ967:AR967&lt;&gt;""))),"")</f>
        <v/>
      </c>
      <c r="AU967" s="97" t="str">
        <f t="shared" si="1191"/>
        <v/>
      </c>
      <c r="AW967" s="51" t="str">
        <f t="shared" si="1192"/>
        <v/>
      </c>
      <c r="AX967" s="51"/>
      <c r="AY967" s="51"/>
      <c r="AZ967" s="51"/>
      <c r="BA967" s="51"/>
      <c r="BB967" s="51"/>
      <c r="BC967" s="51"/>
      <c r="BD967" s="51"/>
      <c r="BE967" s="51"/>
      <c r="BF967" s="51"/>
      <c r="BG967" s="51"/>
      <c r="BH967" s="51"/>
      <c r="BI967" s="65" t="str" cm="1">
        <f t="array" ref="BI967">IFERROR(INDEX(AW967:BH967,1,MATCH(2,1/(AW967:BH967&lt;&gt;""))),"")</f>
        <v/>
      </c>
      <c r="BJ967" s="68" t="str" cm="1">
        <f t="array" ref="BJ967">IF(BM967 = "", "",IFERROR(INDEX(AW967:BH967,1,MATCH(2,1/(AW967:BH967&lt;&gt;""),1)-1),""))</f>
        <v/>
      </c>
      <c r="BK967" s="58" t="str" cm="1">
        <f t="array" ref="BK967">IFERROR(INDEX(AW967:BH967,1,MATCH(2,1/(AW967:BH967&lt;&gt;""))),"")</f>
        <v/>
      </c>
      <c r="BL967" s="58" t="str" cm="1">
        <f t="array" ref="BL967">IFERROR(INDEX(AW967:BH967,1,MATCH(2,1/(AW967:BH967&lt;&gt;""),1)-1),"")</f>
        <v/>
      </c>
      <c r="BM967" s="55" t="str" cm="1">
        <f t="array" ref="BM967">IFERROR(
   INDEX($AW$1:$BH$1,
      _xlfn.AGGREGATE(14, 6, COLUMN($AW$1:$BH$1)/(AW967:BH967&lt;&gt;""), 2) - COLUMN($AW$1) + 1
   ),
"")</f>
        <v/>
      </c>
      <c r="BN967" s="55" t="str" cm="1">
        <f t="array" ref="BN967">IFERROR(INDEX($AW$1:$BH$1,1,MATCH(2,1/(AW967:BH967&lt;&gt;""))),"")</f>
        <v/>
      </c>
      <c r="BO967" s="53">
        <f ca="1">IFERROR(_xlfn.XLOOKUP(F967,Apuração!A:A,Apuração!C:C)/_xlfn.XLOOKUP(F967,Apuração!A:A,Apuração!B:B),0)</f>
        <v>0</v>
      </c>
      <c r="BP967" s="53">
        <f ca="1">IFERROR(_xlfn.XLOOKUP(F967,Apuração!A:A,Apuração!D:D)/_xlfn.XLOOKUP(F967,Apuração!A:A,Apuração!B:B),0)</f>
        <v>0</v>
      </c>
      <c r="BQ967" s="53">
        <f ca="1">IF(BK967&gt;=BO967,0,_xlfn.XLOOKUP(F967,Apuração!A:A,Apuração!B:B)*(BO967 + (1/_xlfn.XLOOKUP(F967,Apuração!A:A,Apuração!B:B)) - BK967))</f>
        <v>0</v>
      </c>
      <c r="BR967" s="85">
        <f t="shared" ca="1" si="1193"/>
        <v>0</v>
      </c>
      <c r="BS967" s="53">
        <f ca="1">IFERROR((_xlfn.XLOOKUP(F967,Apuração!A:A,Apuração!C:C)+1)/_xlfn.XLOOKUP(F967,Apuração!A:A,Apuração!B:B),0)</f>
        <v>0.14285714285714285</v>
      </c>
    </row>
    <row r="968" spans="1:71" ht="25.95" hidden="1" customHeight="1" x14ac:dyDescent="0.3">
      <c r="A968" s="44" t="s">
        <v>175</v>
      </c>
      <c r="B968" s="4" t="s">
        <v>194</v>
      </c>
      <c r="C968" s="5" t="s">
        <v>97</v>
      </c>
      <c r="D968" s="5" t="s">
        <v>107</v>
      </c>
      <c r="E968" s="4" t="s">
        <v>96</v>
      </c>
      <c r="F968" s="4" t="str" cm="1">
        <f t="array" ref="F968">_xlfn.IFS(
AG968 &lt;&gt; "", "Jan-Dez/26",
AH968 &lt;&gt; "", "Fev-Dez/26",
AI968 &lt;&gt; "", "Mar-Dez/26", AJ968 &lt;&gt; "", "Abr-Dez/26",
TRUE, "A partir de Junho"
)</f>
        <v>A partir de Junho</v>
      </c>
      <c r="G968" s="4" t="s">
        <v>62</v>
      </c>
      <c r="H968" s="7" t="s">
        <v>38</v>
      </c>
      <c r="I968" s="21" t="s">
        <v>182</v>
      </c>
      <c r="J968" s="8" t="str" cm="1">
        <f t="array" aca="1" ref="J968" ca="1">_xlfn.LET(
  _xlpm.actual_value_month, INDEX(T968:AE968, MATCH(DATE(YEAR(TODAY()), MONTH(TODAY()), 1), $T$1:$AE$1, 0)),
  IF(_xlpm.actual_value_month &lt;&gt; "", _xlpm.actual_value_month &amp; " ações mensais", "")
)</f>
        <v/>
      </c>
      <c r="K968" s="8" t="str" cm="1">
        <f t="array" ref="K968">_xlfn.LET(
    _xlpm.sum_month, SUM(T968:AE968),
    IF(_xlpm.sum_month = 0, "", _xlpm.sum_month &amp; " taxa de aprovados")
)</f>
        <v/>
      </c>
      <c r="L968" s="4" t="s">
        <v>183</v>
      </c>
      <c r="M968" s="13">
        <v>1</v>
      </c>
      <c r="N968" s="5" t="s">
        <v>51</v>
      </c>
      <c r="O968" s="5" t="s">
        <v>43</v>
      </c>
      <c r="P968" s="10" t="s">
        <v>44</v>
      </c>
      <c r="Q968" s="10" t="s">
        <v>44</v>
      </c>
      <c r="R968" s="11" t="s">
        <v>44</v>
      </c>
      <c r="S968" s="11" t="s">
        <v>44</v>
      </c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G968" s="71"/>
      <c r="AH968" s="71"/>
      <c r="AI968" s="71"/>
      <c r="AJ968" s="71"/>
      <c r="AK968" s="71"/>
      <c r="AL968" s="71"/>
      <c r="AM968" s="71"/>
      <c r="AN968" s="71"/>
      <c r="AO968" s="71"/>
      <c r="AP968" s="71"/>
      <c r="AQ968" s="71"/>
      <c r="AR968" s="71"/>
      <c r="AS968" s="94" t="str" cm="1">
        <f t="array" ref="AS968">IFERROR(INDEX(T968:AE968,1,MATCH(2,1/(T968:AE968&lt;&gt;""))),"")</f>
        <v/>
      </c>
      <c r="AT968" s="95" t="str" cm="1">
        <f t="array" ref="AT968">IFERROR(INDEX(AJ968:AR968,1,MATCH(2,1/(AJ968:AR968&lt;&gt;""))),"")</f>
        <v/>
      </c>
      <c r="AU968" s="97" t="str">
        <f t="shared" si="1191"/>
        <v/>
      </c>
      <c r="AW968" s="51" t="str">
        <f t="shared" si="1192"/>
        <v/>
      </c>
      <c r="AX968" s="51"/>
      <c r="AY968" s="51"/>
      <c r="AZ968" s="51"/>
      <c r="BA968" s="51"/>
      <c r="BB968" s="51"/>
      <c r="BC968" s="51"/>
      <c r="BD968" s="51"/>
      <c r="BE968" s="51"/>
      <c r="BF968" s="51"/>
      <c r="BG968" s="51"/>
      <c r="BH968" s="51"/>
      <c r="BI968" s="65" t="str" cm="1">
        <f t="array" ref="BI968">IFERROR(INDEX(AW968:BH968,1,MATCH(2,1/(AW968:BH968&lt;&gt;""))),"")</f>
        <v/>
      </c>
      <c r="BJ968" s="68" t="str" cm="1">
        <f t="array" ref="BJ968">IF(BM968 = "", "",IFERROR(INDEX(AW968:BH968,1,MATCH(2,1/(AW968:BH968&lt;&gt;""),1)-1),""))</f>
        <v/>
      </c>
      <c r="BK968" s="58" t="str" cm="1">
        <f t="array" ref="BK968">IFERROR(INDEX(AW968:BH968,1,MATCH(2,1/(AW968:BH968&lt;&gt;""))),"")</f>
        <v/>
      </c>
      <c r="BL968" s="58" t="str" cm="1">
        <f t="array" ref="BL968">IFERROR(INDEX(AW968:BH968,1,MATCH(2,1/(AW968:BH968&lt;&gt;""),1)-1),"")</f>
        <v/>
      </c>
      <c r="BM968" s="55" t="str" cm="1">
        <f t="array" ref="BM968">IFERROR(
   INDEX($AW$1:$BH$1,
      _xlfn.AGGREGATE(14, 6, COLUMN($AW$1:$BH$1)/(AW968:BH968&lt;&gt;""), 2) - COLUMN($AW$1) + 1
   ),
"")</f>
        <v/>
      </c>
      <c r="BN968" s="55" t="str" cm="1">
        <f t="array" ref="BN968">IFERROR(INDEX($AW$1:$BH$1,1,MATCH(2,1/(AW968:BH968&lt;&gt;""))),"")</f>
        <v/>
      </c>
      <c r="BO968" s="53">
        <f ca="1">IFERROR(_xlfn.XLOOKUP(F968,Apuração!A:A,Apuração!C:C)/_xlfn.XLOOKUP(F968,Apuração!A:A,Apuração!B:B),0)</f>
        <v>0</v>
      </c>
      <c r="BP968" s="53">
        <f ca="1">IFERROR(_xlfn.XLOOKUP(F968,Apuração!A:A,Apuração!D:D)/_xlfn.XLOOKUP(F968,Apuração!A:A,Apuração!B:B),0)</f>
        <v>0</v>
      </c>
      <c r="BQ968" s="53">
        <f ca="1">IF(BK968&gt;=BO968,0,_xlfn.XLOOKUP(F968,Apuração!A:A,Apuração!B:B)*(BO968 + (1/_xlfn.XLOOKUP(F968,Apuração!A:A,Apuração!B:B)) - BK968))</f>
        <v>0</v>
      </c>
      <c r="BR968" s="85">
        <f t="shared" ca="1" si="1193"/>
        <v>0</v>
      </c>
      <c r="BS968" s="53">
        <f ca="1">IFERROR((_xlfn.XLOOKUP(F968,Apuração!A:A,Apuração!C:C)+1)/_xlfn.XLOOKUP(F968,Apuração!A:A,Apuração!B:B),0)</f>
        <v>0.14285714285714285</v>
      </c>
    </row>
    <row r="969" spans="1:71" ht="25.95" hidden="1" customHeight="1" x14ac:dyDescent="0.3">
      <c r="A969" s="33" t="s">
        <v>175</v>
      </c>
      <c r="B969" s="4" t="s">
        <v>197</v>
      </c>
      <c r="C969" s="5" t="s">
        <v>97</v>
      </c>
      <c r="D969" s="5" t="s">
        <v>36</v>
      </c>
      <c r="E969" s="4" t="s">
        <v>96</v>
      </c>
      <c r="F969" s="4" t="str" cm="1">
        <f t="array" ref="F969">_xlfn.IFS(
AG969 &lt;&gt; "", "Jan-Dez/26",
AH969 &lt;&gt; "", "Fev-Dez/26",
AI969 &lt;&gt; "", "Mar-Dez/26", AJ969 &lt;&gt; "", "Abr-Dez/26",
TRUE, "A partir de Junho"
)</f>
        <v>A partir de Junho</v>
      </c>
      <c r="G969" s="4" t="s">
        <v>62</v>
      </c>
      <c r="H969" s="7" t="s">
        <v>38</v>
      </c>
      <c r="I969" s="8" t="s">
        <v>177</v>
      </c>
      <c r="J969" s="8" t="str" cm="1">
        <f t="array" aca="1" ref="J969" ca="1">_xlfn.LET(
  _xlpm.actual_value_month, INDEX(T969:AE969, MATCH(DATE(YEAR(TODAY()), MONTH(TODAY()), 1), $T$1:$AE$1, 0)),
  IF(_xlpm.actual_value_month &lt;&gt; "", _xlpm.actual_value_month &amp; " ações mensais", "")
)</f>
        <v/>
      </c>
      <c r="K969" s="8" t="str" cm="1">
        <f t="array" ref="K969">_xlfn.LET(
    _xlpm.sum_month, SUM(T969:AE969),
    IF(_xlpm.sum_month = 0, "", _xlpm.sum_month &amp; " certificados gerados.")
)</f>
        <v/>
      </c>
      <c r="L969" s="9" t="s">
        <v>198</v>
      </c>
      <c r="M969" s="13">
        <v>1</v>
      </c>
      <c r="N969" s="5" t="s">
        <v>42</v>
      </c>
      <c r="O969" s="5" t="s">
        <v>43</v>
      </c>
      <c r="P969" s="10" t="s">
        <v>146</v>
      </c>
      <c r="Q969" s="10" t="s">
        <v>44</v>
      </c>
      <c r="R969" s="11" t="s">
        <v>179</v>
      </c>
      <c r="S969" s="11" t="s">
        <v>67</v>
      </c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G969" s="71"/>
      <c r="AH969" s="71"/>
      <c r="AI969" s="71"/>
      <c r="AJ969" s="71"/>
      <c r="AK969" s="71"/>
      <c r="AL969" s="71"/>
      <c r="AM969" s="71"/>
      <c r="AN969" s="71"/>
      <c r="AO969" s="71"/>
      <c r="AP969" s="71"/>
      <c r="AQ969" s="71"/>
      <c r="AR969" s="71"/>
      <c r="AS969" s="94" t="str" cm="1">
        <f t="array" ref="AS969">IFERROR(INDEX(T969:AE969,1,MATCH(2,1/(T969:AE969&lt;&gt;""))),"")</f>
        <v/>
      </c>
      <c r="AT969" s="95" t="str" cm="1">
        <f t="array" ref="AT969">IFERROR(INDEX(AJ969:AR969,1,MATCH(2,1/(AJ969:AR969&lt;&gt;""))),"")</f>
        <v/>
      </c>
      <c r="AU969" s="97" t="str">
        <f t="shared" si="1121"/>
        <v/>
      </c>
      <c r="AW969" s="51"/>
      <c r="AX969" s="51"/>
      <c r="AY969" s="51"/>
      <c r="AZ969" s="51"/>
      <c r="BA969" s="51"/>
      <c r="BB969" s="51"/>
      <c r="BC969" s="51"/>
      <c r="BD969" s="51"/>
      <c r="BE969" s="51"/>
      <c r="BF969" s="51"/>
      <c r="BG969" s="51"/>
      <c r="BH969" s="51"/>
      <c r="BI969" s="65" t="str" cm="1">
        <f t="array" ref="BI969">IFERROR(INDEX(AW969:BH969,1,MATCH(2,1/(AW969:BH969&lt;&gt;""))),"")</f>
        <v/>
      </c>
      <c r="BJ969" s="68" t="str" cm="1">
        <f t="array" ref="BJ969">IF(BM969 = "", "",IFERROR(INDEX(AW969:BH969,1,MATCH(2,1/(AW969:BH969&lt;&gt;""),1)-1),""))</f>
        <v/>
      </c>
      <c r="BK969" s="58" t="str" cm="1">
        <f t="array" ref="BK969">IFERROR(INDEX(AW969:BH969,1,MATCH(2,1/(AW969:BH969&lt;&gt;""))),"")</f>
        <v/>
      </c>
      <c r="BL969" s="58" t="str" cm="1">
        <f t="array" ref="BL969">IFERROR(INDEX(AW969:BH969,1,MATCH(2,1/(AW969:BH969&lt;&gt;""),1)-1),"")</f>
        <v/>
      </c>
      <c r="BM969" s="55" t="str" cm="1">
        <f t="array" ref="BM969">IFERROR(
   INDEX($AW$1:$BH$1,
      _xlfn.AGGREGATE(14, 6, COLUMN($AW$1:$BH$1)/(AW969:BH969&lt;&gt;""), 2) - COLUMN($AW$1) + 1
   ),
"")</f>
        <v/>
      </c>
      <c r="BN969" s="55" t="str" cm="1">
        <f t="array" ref="BN969">IFERROR(INDEX($AW$1:$BH$1,1,MATCH(2,1/(AW969:BH969&lt;&gt;""))),"")</f>
        <v/>
      </c>
      <c r="BO969" s="53">
        <f ca="1">IFERROR(_xlfn.XLOOKUP(F969,Apuração!A:A,Apuração!C:C)/_xlfn.XLOOKUP(F969,Apuração!A:A,Apuração!B:B),0)</f>
        <v>0</v>
      </c>
      <c r="BP969" s="53">
        <f ca="1">IFERROR(_xlfn.XLOOKUP(F969,Apuração!A:A,Apuração!D:D)/_xlfn.XLOOKUP(F969,Apuração!A:A,Apuração!B:B),0)</f>
        <v>0</v>
      </c>
      <c r="BQ969" s="53">
        <f ca="1">IF(BK969&gt;=BO969,0,_xlfn.XLOOKUP(F969,Apuração!A:A,Apuração!B:B)*(BO969 + (1/_xlfn.XLOOKUP(F969,Apuração!A:A,Apuração!B:B)) - BK969))</f>
        <v>0</v>
      </c>
      <c r="BR969" s="85">
        <f t="shared" ca="1" si="1172"/>
        <v>0</v>
      </c>
      <c r="BS969" s="53">
        <f ca="1">IFERROR((_xlfn.XLOOKUP(F969,Apuração!A:A,Apuração!C:C)+1)/_xlfn.XLOOKUP(F969,Apuração!A:A,Apuração!B:B),0)</f>
        <v>0.14285714285714285</v>
      </c>
    </row>
    <row r="970" spans="1:71" ht="25.95" hidden="1" customHeight="1" x14ac:dyDescent="0.3">
      <c r="A970" s="33" t="s">
        <v>175</v>
      </c>
      <c r="B970" s="4" t="s">
        <v>197</v>
      </c>
      <c r="C970" s="5" t="s">
        <v>97</v>
      </c>
      <c r="D970" s="5" t="s">
        <v>98</v>
      </c>
      <c r="E970" s="4" t="s">
        <v>96</v>
      </c>
      <c r="F970" s="4" t="str" cm="1">
        <f t="array" ref="F970">_xlfn.IFS(
AG970 &lt;&gt; "", "Jan-Dez/26",
AH970 &lt;&gt; "", "Fev-Dez/26",
AI970 &lt;&gt; "", "Mar-Dez/26", AJ970 &lt;&gt; "", "Abr-Dez/26",
TRUE, "A partir de Junho"
)</f>
        <v>A partir de Junho</v>
      </c>
      <c r="G970" s="4" t="s">
        <v>62</v>
      </c>
      <c r="H970" s="7" t="s">
        <v>38</v>
      </c>
      <c r="I970" s="8" t="s">
        <v>177</v>
      </c>
      <c r="J970" s="8" t="str" cm="1">
        <f t="array" aca="1" ref="J970" ca="1">_xlfn.LET(
  _xlpm.actual_value_month, INDEX(T970:AE970, MATCH(DATE(YEAR(TODAY()), MONTH(TODAY()), 1), $T$1:$AE$1, 0)),
  IF(_xlpm.actual_value_month &lt;&gt; "", _xlpm.actual_value_month &amp; " ações mensais", "")
)</f>
        <v/>
      </c>
      <c r="K970" s="8" t="str" cm="1">
        <f t="array" ref="K970">_xlfn.LET(
    _xlpm.sum_month, SUM(T970:AE970),
    IF(_xlpm.sum_month = 0, "", _xlpm.sum_month &amp; " certificados gerados.")
)</f>
        <v/>
      </c>
      <c r="L970" s="9" t="s">
        <v>198</v>
      </c>
      <c r="M970" s="13">
        <v>1</v>
      </c>
      <c r="N970" s="5" t="s">
        <v>42</v>
      </c>
      <c r="O970" s="5" t="s">
        <v>43</v>
      </c>
      <c r="P970" s="10" t="s">
        <v>146</v>
      </c>
      <c r="Q970" s="10" t="s">
        <v>44</v>
      </c>
      <c r="R970" s="11" t="s">
        <v>179</v>
      </c>
      <c r="S970" s="11" t="s">
        <v>67</v>
      </c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G970" s="71"/>
      <c r="AH970" s="71"/>
      <c r="AI970" s="71"/>
      <c r="AJ970" s="71"/>
      <c r="AK970" s="71"/>
      <c r="AL970" s="71"/>
      <c r="AM970" s="71"/>
      <c r="AN970" s="71"/>
      <c r="AO970" s="71"/>
      <c r="AP970" s="71"/>
      <c r="AQ970" s="71"/>
      <c r="AR970" s="71"/>
      <c r="AS970" s="94" t="str" cm="1">
        <f t="array" ref="AS970">IFERROR(INDEX(T970:AE970,1,MATCH(2,1/(T970:AE970&lt;&gt;""))),"")</f>
        <v/>
      </c>
      <c r="AT970" s="95" t="str" cm="1">
        <f t="array" ref="AT970">IFERROR(INDEX(AJ970:AR970,1,MATCH(2,1/(AJ970:AR970&lt;&gt;""))),"")</f>
        <v/>
      </c>
      <c r="AU970" s="97" t="str">
        <f t="shared" ref="AU970:AU979" si="1194">AT970</f>
        <v/>
      </c>
      <c r="AW970" s="51"/>
      <c r="AX970" s="51"/>
      <c r="AY970" s="51"/>
      <c r="AZ970" s="51"/>
      <c r="BA970" s="51"/>
      <c r="BB970" s="51"/>
      <c r="BC970" s="51"/>
      <c r="BD970" s="51"/>
      <c r="BE970" s="51"/>
      <c r="BF970" s="51"/>
      <c r="BG970" s="51"/>
      <c r="BH970" s="51"/>
      <c r="BI970" s="65" t="str" cm="1">
        <f t="array" ref="BI970">IFERROR(INDEX(AW970:BH970,1,MATCH(2,1/(AW970:BH970&lt;&gt;""))),"")</f>
        <v/>
      </c>
      <c r="BJ970" s="68" t="str" cm="1">
        <f t="array" ref="BJ970">IF(BM970 = "", "",IFERROR(INDEX(AW970:BH970,1,MATCH(2,1/(AW970:BH970&lt;&gt;""),1)-1),""))</f>
        <v/>
      </c>
      <c r="BK970" s="58" t="str" cm="1">
        <f t="array" ref="BK970">IFERROR(INDEX(AW970:BH970,1,MATCH(2,1/(AW970:BH970&lt;&gt;""))),"")</f>
        <v/>
      </c>
      <c r="BL970" s="58" t="str" cm="1">
        <f t="array" ref="BL970">IFERROR(INDEX(AW970:BH970,1,MATCH(2,1/(AW970:BH970&lt;&gt;""),1)-1),"")</f>
        <v/>
      </c>
      <c r="BM970" s="55" t="str" cm="1">
        <f t="array" ref="BM970">IFERROR(
   INDEX($AW$1:$BH$1,
      _xlfn.AGGREGATE(14, 6, COLUMN($AW$1:$BH$1)/(AW970:BH970&lt;&gt;""), 2) - COLUMN($AW$1) + 1
   ),
"")</f>
        <v/>
      </c>
      <c r="BN970" s="55" t="str" cm="1">
        <f t="array" ref="BN970">IFERROR(INDEX($AW$1:$BH$1,1,MATCH(2,1/(AW970:BH970&lt;&gt;""))),"")</f>
        <v/>
      </c>
      <c r="BO970" s="53">
        <f ca="1">IFERROR(_xlfn.XLOOKUP(F970,Apuração!A:A,Apuração!C:C)/_xlfn.XLOOKUP(F970,Apuração!A:A,Apuração!B:B),0)</f>
        <v>0</v>
      </c>
      <c r="BP970" s="53">
        <f ca="1">IFERROR(_xlfn.XLOOKUP(F970,Apuração!A:A,Apuração!D:D)/_xlfn.XLOOKUP(F970,Apuração!A:A,Apuração!B:B),0)</f>
        <v>0</v>
      </c>
      <c r="BQ970" s="53">
        <f ca="1">IF(BK970&gt;=BO970,0,_xlfn.XLOOKUP(F970,Apuração!A:A,Apuração!B:B)*(BO970 + (1/_xlfn.XLOOKUP(F970,Apuração!A:A,Apuração!B:B)) - BK970))</f>
        <v>0</v>
      </c>
      <c r="BR970" s="85">
        <f t="shared" ref="BR970:BR979" ca="1" si="1195">IF(BQ970=0,0,BQ970*Z970)</f>
        <v>0</v>
      </c>
      <c r="BS970" s="53">
        <f ca="1">IFERROR((_xlfn.XLOOKUP(F970,Apuração!A:A,Apuração!C:C)+1)/_xlfn.XLOOKUP(F970,Apuração!A:A,Apuração!B:B),0)</f>
        <v>0.14285714285714285</v>
      </c>
    </row>
    <row r="971" spans="1:71" ht="25.95" hidden="1" customHeight="1" x14ac:dyDescent="0.3">
      <c r="A971" s="33" t="s">
        <v>175</v>
      </c>
      <c r="B971" s="4" t="s">
        <v>197</v>
      </c>
      <c r="C971" s="5" t="s">
        <v>97</v>
      </c>
      <c r="D971" s="5" t="s">
        <v>99</v>
      </c>
      <c r="E971" s="4" t="s">
        <v>96</v>
      </c>
      <c r="F971" s="4" t="str" cm="1">
        <f t="array" ref="F971">_xlfn.IFS(
AG971 &lt;&gt; "", "Jan-Dez/26",
AH971 &lt;&gt; "", "Fev-Dez/26",
AI971 &lt;&gt; "", "Mar-Dez/26", AJ971 &lt;&gt; "", "Abr-Dez/26",
TRUE, "A partir de Junho"
)</f>
        <v>A partir de Junho</v>
      </c>
      <c r="G971" s="4" t="s">
        <v>62</v>
      </c>
      <c r="H971" s="7" t="s">
        <v>38</v>
      </c>
      <c r="I971" s="8" t="s">
        <v>177</v>
      </c>
      <c r="J971" s="8" t="str" cm="1">
        <f t="array" aca="1" ref="J971" ca="1">_xlfn.LET(
  _xlpm.actual_value_month, INDEX(T971:AE971, MATCH(DATE(YEAR(TODAY()), MONTH(TODAY()), 1), $T$1:$AE$1, 0)),
  IF(_xlpm.actual_value_month &lt;&gt; "", _xlpm.actual_value_month &amp; " ações mensais", "")
)</f>
        <v/>
      </c>
      <c r="K971" s="8" t="str" cm="1">
        <f t="array" ref="K971">_xlfn.LET(
    _xlpm.sum_month, SUM(T971:AE971),
    IF(_xlpm.sum_month = 0, "", _xlpm.sum_month &amp; " certificados gerados.")
)</f>
        <v/>
      </c>
      <c r="L971" s="9" t="s">
        <v>198</v>
      </c>
      <c r="M971" s="13">
        <v>1</v>
      </c>
      <c r="N971" s="5" t="s">
        <v>42</v>
      </c>
      <c r="O971" s="5" t="s">
        <v>43</v>
      </c>
      <c r="P971" s="10" t="s">
        <v>146</v>
      </c>
      <c r="Q971" s="10" t="s">
        <v>44</v>
      </c>
      <c r="R971" s="11" t="s">
        <v>179</v>
      </c>
      <c r="S971" s="11" t="s">
        <v>67</v>
      </c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G971" s="71"/>
      <c r="AH971" s="71"/>
      <c r="AI971" s="71"/>
      <c r="AJ971" s="71"/>
      <c r="AK971" s="71"/>
      <c r="AL971" s="71"/>
      <c r="AM971" s="71"/>
      <c r="AN971" s="71"/>
      <c r="AO971" s="71"/>
      <c r="AP971" s="71"/>
      <c r="AQ971" s="71"/>
      <c r="AR971" s="71"/>
      <c r="AS971" s="94" t="str" cm="1">
        <f t="array" ref="AS971">IFERROR(INDEX(T971:AE971,1,MATCH(2,1/(T971:AE971&lt;&gt;""))),"")</f>
        <v/>
      </c>
      <c r="AT971" s="95" t="str" cm="1">
        <f t="array" ref="AT971">IFERROR(INDEX(AJ971:AR971,1,MATCH(2,1/(AJ971:AR971&lt;&gt;""))),"")</f>
        <v/>
      </c>
      <c r="AU971" s="97" t="str">
        <f t="shared" si="1194"/>
        <v/>
      </c>
      <c r="AW971" s="51"/>
      <c r="AX971" s="51"/>
      <c r="AY971" s="51"/>
      <c r="AZ971" s="51"/>
      <c r="BA971" s="51"/>
      <c r="BB971" s="51"/>
      <c r="BC971" s="51"/>
      <c r="BD971" s="51"/>
      <c r="BE971" s="51"/>
      <c r="BF971" s="51"/>
      <c r="BG971" s="51"/>
      <c r="BH971" s="51"/>
      <c r="BI971" s="65" t="str" cm="1">
        <f t="array" ref="BI971">IFERROR(INDEX(AW971:BH971,1,MATCH(2,1/(AW971:BH971&lt;&gt;""))),"")</f>
        <v/>
      </c>
      <c r="BJ971" s="68" t="str" cm="1">
        <f t="array" ref="BJ971">IF(BM971 = "", "",IFERROR(INDEX(AW971:BH971,1,MATCH(2,1/(AW971:BH971&lt;&gt;""),1)-1),""))</f>
        <v/>
      </c>
      <c r="BK971" s="58" t="str" cm="1">
        <f t="array" ref="BK971">IFERROR(INDEX(AW971:BH971,1,MATCH(2,1/(AW971:BH971&lt;&gt;""))),"")</f>
        <v/>
      </c>
      <c r="BL971" s="58" t="str" cm="1">
        <f t="array" ref="BL971">IFERROR(INDEX(AW971:BH971,1,MATCH(2,1/(AW971:BH971&lt;&gt;""),1)-1),"")</f>
        <v/>
      </c>
      <c r="BM971" s="55" t="str" cm="1">
        <f t="array" ref="BM971">IFERROR(
   INDEX($AW$1:$BH$1,
      _xlfn.AGGREGATE(14, 6, COLUMN($AW$1:$BH$1)/(AW971:BH971&lt;&gt;""), 2) - COLUMN($AW$1) + 1
   ),
"")</f>
        <v/>
      </c>
      <c r="BN971" s="55" t="str" cm="1">
        <f t="array" ref="BN971">IFERROR(INDEX($AW$1:$BH$1,1,MATCH(2,1/(AW971:BH971&lt;&gt;""))),"")</f>
        <v/>
      </c>
      <c r="BO971" s="53">
        <f ca="1">IFERROR(_xlfn.XLOOKUP(F971,Apuração!A:A,Apuração!C:C)/_xlfn.XLOOKUP(F971,Apuração!A:A,Apuração!B:B),0)</f>
        <v>0</v>
      </c>
      <c r="BP971" s="53">
        <f ca="1">IFERROR(_xlfn.XLOOKUP(F971,Apuração!A:A,Apuração!D:D)/_xlfn.XLOOKUP(F971,Apuração!A:A,Apuração!B:B),0)</f>
        <v>0</v>
      </c>
      <c r="BQ971" s="53">
        <f ca="1">IF(BK971&gt;=BO971,0,_xlfn.XLOOKUP(F971,Apuração!A:A,Apuração!B:B)*(BO971 + (1/_xlfn.XLOOKUP(F971,Apuração!A:A,Apuração!B:B)) - BK971))</f>
        <v>0</v>
      </c>
      <c r="BR971" s="85">
        <f t="shared" ca="1" si="1195"/>
        <v>0</v>
      </c>
      <c r="BS971" s="53">
        <f ca="1">IFERROR((_xlfn.XLOOKUP(F971,Apuração!A:A,Apuração!C:C)+1)/_xlfn.XLOOKUP(F971,Apuração!A:A,Apuração!B:B),0)</f>
        <v>0.14285714285714285</v>
      </c>
    </row>
    <row r="972" spans="1:71" ht="25.95" hidden="1" customHeight="1" x14ac:dyDescent="0.3">
      <c r="A972" s="33" t="s">
        <v>175</v>
      </c>
      <c r="B972" s="4" t="s">
        <v>197</v>
      </c>
      <c r="C972" s="5" t="s">
        <v>97</v>
      </c>
      <c r="D972" s="5" t="s">
        <v>100</v>
      </c>
      <c r="E972" s="4" t="s">
        <v>96</v>
      </c>
      <c r="F972" s="4" t="str" cm="1">
        <f t="array" ref="F972">_xlfn.IFS(
AG972 &lt;&gt; "", "Jan-Dez/26",
AH972 &lt;&gt; "", "Fev-Dez/26",
AI972 &lt;&gt; "", "Mar-Dez/26", AJ972 &lt;&gt; "", "Abr-Dez/26",
TRUE, "A partir de Junho"
)</f>
        <v>A partir de Junho</v>
      </c>
      <c r="G972" s="4" t="s">
        <v>62</v>
      </c>
      <c r="H972" s="7" t="s">
        <v>38</v>
      </c>
      <c r="I972" s="8" t="s">
        <v>177</v>
      </c>
      <c r="J972" s="8" t="str" cm="1">
        <f t="array" aca="1" ref="J972" ca="1">_xlfn.LET(
  _xlpm.actual_value_month, INDEX(T972:AE972, MATCH(DATE(YEAR(TODAY()), MONTH(TODAY()), 1), $T$1:$AE$1, 0)),
  IF(_xlpm.actual_value_month &lt;&gt; "", _xlpm.actual_value_month &amp; " ações mensais", "")
)</f>
        <v/>
      </c>
      <c r="K972" s="8" t="str" cm="1">
        <f t="array" ref="K972">_xlfn.LET(
    _xlpm.sum_month, SUM(T972:AE972),
    IF(_xlpm.sum_month = 0, "", _xlpm.sum_month &amp; " certificados gerados.")
)</f>
        <v/>
      </c>
      <c r="L972" s="9" t="s">
        <v>198</v>
      </c>
      <c r="M972" s="13">
        <v>1</v>
      </c>
      <c r="N972" s="5" t="s">
        <v>42</v>
      </c>
      <c r="O972" s="5" t="s">
        <v>43</v>
      </c>
      <c r="P972" s="10" t="s">
        <v>146</v>
      </c>
      <c r="Q972" s="10" t="s">
        <v>44</v>
      </c>
      <c r="R972" s="11" t="s">
        <v>179</v>
      </c>
      <c r="S972" s="11" t="s">
        <v>67</v>
      </c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G972" s="71"/>
      <c r="AH972" s="71"/>
      <c r="AI972" s="71"/>
      <c r="AJ972" s="71"/>
      <c r="AK972" s="71"/>
      <c r="AL972" s="71"/>
      <c r="AM972" s="71"/>
      <c r="AN972" s="71"/>
      <c r="AO972" s="71"/>
      <c r="AP972" s="71"/>
      <c r="AQ972" s="71"/>
      <c r="AR972" s="71"/>
      <c r="AS972" s="94" t="str" cm="1">
        <f t="array" ref="AS972">IFERROR(INDEX(T972:AE972,1,MATCH(2,1/(T972:AE972&lt;&gt;""))),"")</f>
        <v/>
      </c>
      <c r="AT972" s="95" t="str" cm="1">
        <f t="array" ref="AT972">IFERROR(INDEX(AJ972:AR972,1,MATCH(2,1/(AJ972:AR972&lt;&gt;""))),"")</f>
        <v/>
      </c>
      <c r="AU972" s="97" t="str">
        <f t="shared" si="1194"/>
        <v/>
      </c>
      <c r="AW972" s="51"/>
      <c r="AX972" s="51"/>
      <c r="AY972" s="51"/>
      <c r="AZ972" s="51"/>
      <c r="BA972" s="51"/>
      <c r="BB972" s="51"/>
      <c r="BC972" s="51"/>
      <c r="BD972" s="51"/>
      <c r="BE972" s="51"/>
      <c r="BF972" s="51"/>
      <c r="BG972" s="51"/>
      <c r="BH972" s="51"/>
      <c r="BI972" s="65" t="str" cm="1">
        <f t="array" ref="BI972">IFERROR(INDEX(AW972:BH972,1,MATCH(2,1/(AW972:BH972&lt;&gt;""))),"")</f>
        <v/>
      </c>
      <c r="BJ972" s="68" t="str" cm="1">
        <f t="array" ref="BJ972">IF(BM972 = "", "",IFERROR(INDEX(AW972:BH972,1,MATCH(2,1/(AW972:BH972&lt;&gt;""),1)-1),""))</f>
        <v/>
      </c>
      <c r="BK972" s="58" t="str" cm="1">
        <f t="array" ref="BK972">IFERROR(INDEX(AW972:BH972,1,MATCH(2,1/(AW972:BH972&lt;&gt;""))),"")</f>
        <v/>
      </c>
      <c r="BL972" s="58" t="str" cm="1">
        <f t="array" ref="BL972">IFERROR(INDEX(AW972:BH972,1,MATCH(2,1/(AW972:BH972&lt;&gt;""),1)-1),"")</f>
        <v/>
      </c>
      <c r="BM972" s="55" t="str" cm="1">
        <f t="array" ref="BM972">IFERROR(
   INDEX($AW$1:$BH$1,
      _xlfn.AGGREGATE(14, 6, COLUMN($AW$1:$BH$1)/(AW972:BH972&lt;&gt;""), 2) - COLUMN($AW$1) + 1
   ),
"")</f>
        <v/>
      </c>
      <c r="BN972" s="55" t="str" cm="1">
        <f t="array" ref="BN972">IFERROR(INDEX($AW$1:$BH$1,1,MATCH(2,1/(AW972:BH972&lt;&gt;""))),"")</f>
        <v/>
      </c>
      <c r="BO972" s="53">
        <f ca="1">IFERROR(_xlfn.XLOOKUP(F972,Apuração!A:A,Apuração!C:C)/_xlfn.XLOOKUP(F972,Apuração!A:A,Apuração!B:B),0)</f>
        <v>0</v>
      </c>
      <c r="BP972" s="53">
        <f ca="1">IFERROR(_xlfn.XLOOKUP(F972,Apuração!A:A,Apuração!D:D)/_xlfn.XLOOKUP(F972,Apuração!A:A,Apuração!B:B),0)</f>
        <v>0</v>
      </c>
      <c r="BQ972" s="53">
        <f ca="1">IF(BK972&gt;=BO972,0,_xlfn.XLOOKUP(F972,Apuração!A:A,Apuração!B:B)*(BO972 + (1/_xlfn.XLOOKUP(F972,Apuração!A:A,Apuração!B:B)) - BK972))</f>
        <v>0</v>
      </c>
      <c r="BR972" s="85">
        <f t="shared" ca="1" si="1195"/>
        <v>0</v>
      </c>
      <c r="BS972" s="53">
        <f ca="1">IFERROR((_xlfn.XLOOKUP(F972,Apuração!A:A,Apuração!C:C)+1)/_xlfn.XLOOKUP(F972,Apuração!A:A,Apuração!B:B),0)</f>
        <v>0.14285714285714285</v>
      </c>
    </row>
    <row r="973" spans="1:71" ht="25.95" hidden="1" customHeight="1" x14ac:dyDescent="0.3">
      <c r="A973" s="33" t="s">
        <v>175</v>
      </c>
      <c r="B973" s="4" t="s">
        <v>197</v>
      </c>
      <c r="C973" s="5" t="s">
        <v>97</v>
      </c>
      <c r="D973" s="5" t="s">
        <v>101</v>
      </c>
      <c r="E973" s="4" t="s">
        <v>96</v>
      </c>
      <c r="F973" s="4" t="str" cm="1">
        <f t="array" ref="F973">_xlfn.IFS(
AG973 &lt;&gt; "", "Jan-Dez/26",
AH973 &lt;&gt; "", "Fev-Dez/26",
AI973 &lt;&gt; "", "Mar-Dez/26", AJ973 &lt;&gt; "", "Abr-Dez/26",
TRUE, "A partir de Junho"
)</f>
        <v>A partir de Junho</v>
      </c>
      <c r="G973" s="4" t="s">
        <v>62</v>
      </c>
      <c r="H973" s="7" t="s">
        <v>38</v>
      </c>
      <c r="I973" s="8" t="s">
        <v>177</v>
      </c>
      <c r="J973" s="8" t="str" cm="1">
        <f t="array" aca="1" ref="J973" ca="1">_xlfn.LET(
  _xlpm.actual_value_month, INDEX(T973:AE973, MATCH(DATE(YEAR(TODAY()), MONTH(TODAY()), 1), $T$1:$AE$1, 0)),
  IF(_xlpm.actual_value_month &lt;&gt; "", _xlpm.actual_value_month &amp; " ações mensais", "")
)</f>
        <v/>
      </c>
      <c r="K973" s="8" t="str" cm="1">
        <f t="array" ref="K973">_xlfn.LET(
    _xlpm.sum_month, SUM(T973:AE973),
    IF(_xlpm.sum_month = 0, "", _xlpm.sum_month &amp; " certificados gerados.")
)</f>
        <v/>
      </c>
      <c r="L973" s="9" t="s">
        <v>198</v>
      </c>
      <c r="M973" s="13">
        <v>1</v>
      </c>
      <c r="N973" s="5" t="s">
        <v>42</v>
      </c>
      <c r="O973" s="5" t="s">
        <v>43</v>
      </c>
      <c r="P973" s="10" t="s">
        <v>146</v>
      </c>
      <c r="Q973" s="10" t="s">
        <v>44</v>
      </c>
      <c r="R973" s="11" t="s">
        <v>179</v>
      </c>
      <c r="S973" s="11" t="s">
        <v>67</v>
      </c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G973" s="71"/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  <c r="AR973" s="71"/>
      <c r="AS973" s="94" t="str" cm="1">
        <f t="array" ref="AS973">IFERROR(INDEX(T973:AE973,1,MATCH(2,1/(T973:AE973&lt;&gt;""))),"")</f>
        <v/>
      </c>
      <c r="AT973" s="95" t="str" cm="1">
        <f t="array" ref="AT973">IFERROR(INDEX(AJ973:AR973,1,MATCH(2,1/(AJ973:AR973&lt;&gt;""))),"")</f>
        <v/>
      </c>
      <c r="AU973" s="97" t="str">
        <f t="shared" si="1194"/>
        <v/>
      </c>
      <c r="AW973" s="51"/>
      <c r="AX973" s="51"/>
      <c r="AY973" s="51"/>
      <c r="AZ973" s="51"/>
      <c r="BA973" s="51"/>
      <c r="BB973" s="51"/>
      <c r="BC973" s="51"/>
      <c r="BD973" s="51"/>
      <c r="BE973" s="51"/>
      <c r="BF973" s="51"/>
      <c r="BG973" s="51"/>
      <c r="BH973" s="51"/>
      <c r="BI973" s="65" t="str" cm="1">
        <f t="array" ref="BI973">IFERROR(INDEX(AW973:BH973,1,MATCH(2,1/(AW973:BH973&lt;&gt;""))),"")</f>
        <v/>
      </c>
      <c r="BJ973" s="68" t="str" cm="1">
        <f t="array" ref="BJ973">IF(BM973 = "", "",IFERROR(INDEX(AW973:BH973,1,MATCH(2,1/(AW973:BH973&lt;&gt;""),1)-1),""))</f>
        <v/>
      </c>
      <c r="BK973" s="58" t="str" cm="1">
        <f t="array" ref="BK973">IFERROR(INDEX(AW973:BH973,1,MATCH(2,1/(AW973:BH973&lt;&gt;""))),"")</f>
        <v/>
      </c>
      <c r="BL973" s="58" t="str" cm="1">
        <f t="array" ref="BL973">IFERROR(INDEX(AW973:BH973,1,MATCH(2,1/(AW973:BH973&lt;&gt;""),1)-1),"")</f>
        <v/>
      </c>
      <c r="BM973" s="55" t="str" cm="1">
        <f t="array" ref="BM973">IFERROR(
   INDEX($AW$1:$BH$1,
      _xlfn.AGGREGATE(14, 6, COLUMN($AW$1:$BH$1)/(AW973:BH973&lt;&gt;""), 2) - COLUMN($AW$1) + 1
   ),
"")</f>
        <v/>
      </c>
      <c r="BN973" s="55" t="str" cm="1">
        <f t="array" ref="BN973">IFERROR(INDEX($AW$1:$BH$1,1,MATCH(2,1/(AW973:BH973&lt;&gt;""))),"")</f>
        <v/>
      </c>
      <c r="BO973" s="53">
        <f ca="1">IFERROR(_xlfn.XLOOKUP(F973,Apuração!A:A,Apuração!C:C)/_xlfn.XLOOKUP(F973,Apuração!A:A,Apuração!B:B),0)</f>
        <v>0</v>
      </c>
      <c r="BP973" s="53">
        <f ca="1">IFERROR(_xlfn.XLOOKUP(F973,Apuração!A:A,Apuração!D:D)/_xlfn.XLOOKUP(F973,Apuração!A:A,Apuração!B:B),0)</f>
        <v>0</v>
      </c>
      <c r="BQ973" s="53">
        <f ca="1">IF(BK973&gt;=BO973,0,_xlfn.XLOOKUP(F973,Apuração!A:A,Apuração!B:B)*(BO973 + (1/_xlfn.XLOOKUP(F973,Apuração!A:A,Apuração!B:B)) - BK973))</f>
        <v>0</v>
      </c>
      <c r="BR973" s="85">
        <f t="shared" ca="1" si="1195"/>
        <v>0</v>
      </c>
      <c r="BS973" s="53">
        <f ca="1">IFERROR((_xlfn.XLOOKUP(F973,Apuração!A:A,Apuração!C:C)+1)/_xlfn.XLOOKUP(F973,Apuração!A:A,Apuração!B:B),0)</f>
        <v>0.14285714285714285</v>
      </c>
    </row>
    <row r="974" spans="1:71" ht="25.95" hidden="1" customHeight="1" x14ac:dyDescent="0.3">
      <c r="A974" s="33" t="s">
        <v>175</v>
      </c>
      <c r="B974" s="4" t="s">
        <v>197</v>
      </c>
      <c r="C974" s="5" t="s">
        <v>97</v>
      </c>
      <c r="D974" s="5" t="s">
        <v>102</v>
      </c>
      <c r="E974" s="4" t="s">
        <v>96</v>
      </c>
      <c r="F974" s="4" t="str" cm="1">
        <f t="array" ref="F974">_xlfn.IFS(
AG974 &lt;&gt; "", "Jan-Dez/26",
AH974 &lt;&gt; "", "Fev-Dez/26",
AI974 &lt;&gt; "", "Mar-Dez/26", AJ974 &lt;&gt; "", "Abr-Dez/26",
TRUE, "A partir de Junho"
)</f>
        <v>A partir de Junho</v>
      </c>
      <c r="G974" s="4" t="s">
        <v>62</v>
      </c>
      <c r="H974" s="7" t="s">
        <v>38</v>
      </c>
      <c r="I974" s="8" t="s">
        <v>177</v>
      </c>
      <c r="J974" s="8" t="str" cm="1">
        <f t="array" aca="1" ref="J974" ca="1">_xlfn.LET(
  _xlpm.actual_value_month, INDEX(T974:AE974, MATCH(DATE(YEAR(TODAY()), MONTH(TODAY()), 1), $T$1:$AE$1, 0)),
  IF(_xlpm.actual_value_month &lt;&gt; "", _xlpm.actual_value_month &amp; " ações mensais", "")
)</f>
        <v/>
      </c>
      <c r="K974" s="8" t="str" cm="1">
        <f t="array" ref="K974">_xlfn.LET(
    _xlpm.sum_month, SUM(T974:AE974),
    IF(_xlpm.sum_month = 0, "", _xlpm.sum_month &amp; " certificados gerados.")
)</f>
        <v/>
      </c>
      <c r="L974" s="9" t="s">
        <v>198</v>
      </c>
      <c r="M974" s="13">
        <v>1</v>
      </c>
      <c r="N974" s="5" t="s">
        <v>42</v>
      </c>
      <c r="O974" s="5" t="s">
        <v>43</v>
      </c>
      <c r="P974" s="10" t="s">
        <v>146</v>
      </c>
      <c r="Q974" s="10" t="s">
        <v>44</v>
      </c>
      <c r="R974" s="11" t="s">
        <v>179</v>
      </c>
      <c r="S974" s="11" t="s">
        <v>67</v>
      </c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G974" s="71"/>
      <c r="AH974" s="71"/>
      <c r="AI974" s="71"/>
      <c r="AJ974" s="71"/>
      <c r="AK974" s="71"/>
      <c r="AL974" s="71"/>
      <c r="AM974" s="71"/>
      <c r="AN974" s="71"/>
      <c r="AO974" s="71"/>
      <c r="AP974" s="71"/>
      <c r="AQ974" s="71"/>
      <c r="AR974" s="71"/>
      <c r="AS974" s="94" t="str" cm="1">
        <f t="array" ref="AS974">IFERROR(INDEX(T974:AE974,1,MATCH(2,1/(T974:AE974&lt;&gt;""))),"")</f>
        <v/>
      </c>
      <c r="AT974" s="95" t="str" cm="1">
        <f t="array" ref="AT974">IFERROR(INDEX(AJ974:AR974,1,MATCH(2,1/(AJ974:AR974&lt;&gt;""))),"")</f>
        <v/>
      </c>
      <c r="AU974" s="97" t="str">
        <f t="shared" si="1194"/>
        <v/>
      </c>
      <c r="AW974" s="51"/>
      <c r="AX974" s="51"/>
      <c r="AY974" s="51"/>
      <c r="AZ974" s="51"/>
      <c r="BA974" s="51"/>
      <c r="BB974" s="51"/>
      <c r="BC974" s="51"/>
      <c r="BD974" s="51"/>
      <c r="BE974" s="51"/>
      <c r="BF974" s="51"/>
      <c r="BG974" s="51"/>
      <c r="BH974" s="51"/>
      <c r="BI974" s="65" t="str" cm="1">
        <f t="array" ref="BI974">IFERROR(INDEX(AW974:BH974,1,MATCH(2,1/(AW974:BH974&lt;&gt;""))),"")</f>
        <v/>
      </c>
      <c r="BJ974" s="68" t="str" cm="1">
        <f t="array" ref="BJ974">IF(BM974 = "", "",IFERROR(INDEX(AW974:BH974,1,MATCH(2,1/(AW974:BH974&lt;&gt;""),1)-1),""))</f>
        <v/>
      </c>
      <c r="BK974" s="58" t="str" cm="1">
        <f t="array" ref="BK974">IFERROR(INDEX(AW974:BH974,1,MATCH(2,1/(AW974:BH974&lt;&gt;""))),"")</f>
        <v/>
      </c>
      <c r="BL974" s="58" t="str" cm="1">
        <f t="array" ref="BL974">IFERROR(INDEX(AW974:BH974,1,MATCH(2,1/(AW974:BH974&lt;&gt;""),1)-1),"")</f>
        <v/>
      </c>
      <c r="BM974" s="55" t="str" cm="1">
        <f t="array" ref="BM974">IFERROR(
   INDEX($AW$1:$BH$1,
      _xlfn.AGGREGATE(14, 6, COLUMN($AW$1:$BH$1)/(AW974:BH974&lt;&gt;""), 2) - COLUMN($AW$1) + 1
   ),
"")</f>
        <v/>
      </c>
      <c r="BN974" s="55" t="str" cm="1">
        <f t="array" ref="BN974">IFERROR(INDEX($AW$1:$BH$1,1,MATCH(2,1/(AW974:BH974&lt;&gt;""))),"")</f>
        <v/>
      </c>
      <c r="BO974" s="53">
        <f ca="1">IFERROR(_xlfn.XLOOKUP(F974,Apuração!A:A,Apuração!C:C)/_xlfn.XLOOKUP(F974,Apuração!A:A,Apuração!B:B),0)</f>
        <v>0</v>
      </c>
      <c r="BP974" s="53">
        <f ca="1">IFERROR(_xlfn.XLOOKUP(F974,Apuração!A:A,Apuração!D:D)/_xlfn.XLOOKUP(F974,Apuração!A:A,Apuração!B:B),0)</f>
        <v>0</v>
      </c>
      <c r="BQ974" s="53">
        <f ca="1">IF(BK974&gt;=BO974,0,_xlfn.XLOOKUP(F974,Apuração!A:A,Apuração!B:B)*(BO974 + (1/_xlfn.XLOOKUP(F974,Apuração!A:A,Apuração!B:B)) - BK974))</f>
        <v>0</v>
      </c>
      <c r="BR974" s="85">
        <f t="shared" ca="1" si="1195"/>
        <v>0</v>
      </c>
      <c r="BS974" s="53">
        <f ca="1">IFERROR((_xlfn.XLOOKUP(F974,Apuração!A:A,Apuração!C:C)+1)/_xlfn.XLOOKUP(F974,Apuração!A:A,Apuração!B:B),0)</f>
        <v>0.14285714285714285</v>
      </c>
    </row>
    <row r="975" spans="1:71" ht="25.95" hidden="1" customHeight="1" x14ac:dyDescent="0.3">
      <c r="A975" s="33" t="s">
        <v>175</v>
      </c>
      <c r="B975" s="4" t="s">
        <v>197</v>
      </c>
      <c r="C975" s="5" t="s">
        <v>97</v>
      </c>
      <c r="D975" s="5" t="s">
        <v>103</v>
      </c>
      <c r="E975" s="4" t="s">
        <v>96</v>
      </c>
      <c r="F975" s="4" t="str" cm="1">
        <f t="array" ref="F975">_xlfn.IFS(
AG975 &lt;&gt; "", "Jan-Dez/26",
AH975 &lt;&gt; "", "Fev-Dez/26",
AI975 &lt;&gt; "", "Mar-Dez/26", AJ975 &lt;&gt; "", "Abr-Dez/26",
TRUE, "A partir de Junho"
)</f>
        <v>A partir de Junho</v>
      </c>
      <c r="G975" s="4" t="s">
        <v>62</v>
      </c>
      <c r="H975" s="7" t="s">
        <v>38</v>
      </c>
      <c r="I975" s="8" t="s">
        <v>177</v>
      </c>
      <c r="J975" s="8" t="str" cm="1">
        <f t="array" aca="1" ref="J975" ca="1">_xlfn.LET(
  _xlpm.actual_value_month, INDEX(T975:AE975, MATCH(DATE(YEAR(TODAY()), MONTH(TODAY()), 1), $T$1:$AE$1, 0)),
  IF(_xlpm.actual_value_month &lt;&gt; "", _xlpm.actual_value_month &amp; " ações mensais", "")
)</f>
        <v/>
      </c>
      <c r="K975" s="8" t="str" cm="1">
        <f t="array" ref="K975">_xlfn.LET(
    _xlpm.sum_month, SUM(T975:AE975),
    IF(_xlpm.sum_month = 0, "", _xlpm.sum_month &amp; " certificados gerados.")
)</f>
        <v/>
      </c>
      <c r="L975" s="9" t="s">
        <v>198</v>
      </c>
      <c r="M975" s="13">
        <v>1</v>
      </c>
      <c r="N975" s="5" t="s">
        <v>42</v>
      </c>
      <c r="O975" s="5" t="s">
        <v>43</v>
      </c>
      <c r="P975" s="10" t="s">
        <v>146</v>
      </c>
      <c r="Q975" s="10" t="s">
        <v>44</v>
      </c>
      <c r="R975" s="11" t="s">
        <v>179</v>
      </c>
      <c r="S975" s="11" t="s">
        <v>67</v>
      </c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G975" s="71"/>
      <c r="AH975" s="71"/>
      <c r="AI975" s="71"/>
      <c r="AJ975" s="71"/>
      <c r="AK975" s="71"/>
      <c r="AL975" s="71"/>
      <c r="AM975" s="71"/>
      <c r="AN975" s="71"/>
      <c r="AO975" s="71"/>
      <c r="AP975" s="71"/>
      <c r="AQ975" s="71"/>
      <c r="AR975" s="71"/>
      <c r="AS975" s="94" t="str" cm="1">
        <f t="array" ref="AS975">IFERROR(INDEX(T975:AE975,1,MATCH(2,1/(T975:AE975&lt;&gt;""))),"")</f>
        <v/>
      </c>
      <c r="AT975" s="95" t="str" cm="1">
        <f t="array" ref="AT975">IFERROR(INDEX(AJ975:AR975,1,MATCH(2,1/(AJ975:AR975&lt;&gt;""))),"")</f>
        <v/>
      </c>
      <c r="AU975" s="97" t="str">
        <f t="shared" si="1194"/>
        <v/>
      </c>
      <c r="AW975" s="51"/>
      <c r="AX975" s="51"/>
      <c r="AY975" s="51"/>
      <c r="AZ975" s="51"/>
      <c r="BA975" s="51"/>
      <c r="BB975" s="51"/>
      <c r="BC975" s="51"/>
      <c r="BD975" s="51"/>
      <c r="BE975" s="51"/>
      <c r="BF975" s="51"/>
      <c r="BG975" s="51"/>
      <c r="BH975" s="51"/>
      <c r="BI975" s="65" t="str" cm="1">
        <f t="array" ref="BI975">IFERROR(INDEX(AW975:BH975,1,MATCH(2,1/(AW975:BH975&lt;&gt;""))),"")</f>
        <v/>
      </c>
      <c r="BJ975" s="68" t="str" cm="1">
        <f t="array" ref="BJ975">IF(BM975 = "", "",IFERROR(INDEX(AW975:BH975,1,MATCH(2,1/(AW975:BH975&lt;&gt;""),1)-1),""))</f>
        <v/>
      </c>
      <c r="BK975" s="58" t="str" cm="1">
        <f t="array" ref="BK975">IFERROR(INDEX(AW975:BH975,1,MATCH(2,1/(AW975:BH975&lt;&gt;""))),"")</f>
        <v/>
      </c>
      <c r="BL975" s="58" t="str" cm="1">
        <f t="array" ref="BL975">IFERROR(INDEX(AW975:BH975,1,MATCH(2,1/(AW975:BH975&lt;&gt;""),1)-1),"")</f>
        <v/>
      </c>
      <c r="BM975" s="55" t="str" cm="1">
        <f t="array" ref="BM975">IFERROR(
   INDEX($AW$1:$BH$1,
      _xlfn.AGGREGATE(14, 6, COLUMN($AW$1:$BH$1)/(AW975:BH975&lt;&gt;""), 2) - COLUMN($AW$1) + 1
   ),
"")</f>
        <v/>
      </c>
      <c r="BN975" s="55" t="str" cm="1">
        <f t="array" ref="BN975">IFERROR(INDEX($AW$1:$BH$1,1,MATCH(2,1/(AW975:BH975&lt;&gt;""))),"")</f>
        <v/>
      </c>
      <c r="BO975" s="53">
        <f ca="1">IFERROR(_xlfn.XLOOKUP(F975,Apuração!A:A,Apuração!C:C)/_xlfn.XLOOKUP(F975,Apuração!A:A,Apuração!B:B),0)</f>
        <v>0</v>
      </c>
      <c r="BP975" s="53">
        <f ca="1">IFERROR(_xlfn.XLOOKUP(F975,Apuração!A:A,Apuração!D:D)/_xlfn.XLOOKUP(F975,Apuração!A:A,Apuração!B:B),0)</f>
        <v>0</v>
      </c>
      <c r="BQ975" s="53">
        <f ca="1">IF(BK975&gt;=BO975,0,_xlfn.XLOOKUP(F975,Apuração!A:A,Apuração!B:B)*(BO975 + (1/_xlfn.XLOOKUP(F975,Apuração!A:A,Apuração!B:B)) - BK975))</f>
        <v>0</v>
      </c>
      <c r="BR975" s="85">
        <f t="shared" ca="1" si="1195"/>
        <v>0</v>
      </c>
      <c r="BS975" s="53">
        <f ca="1">IFERROR((_xlfn.XLOOKUP(F975,Apuração!A:A,Apuração!C:C)+1)/_xlfn.XLOOKUP(F975,Apuração!A:A,Apuração!B:B),0)</f>
        <v>0.14285714285714285</v>
      </c>
    </row>
    <row r="976" spans="1:71" ht="25.95" hidden="1" customHeight="1" x14ac:dyDescent="0.3">
      <c r="A976" s="33" t="s">
        <v>175</v>
      </c>
      <c r="B976" s="4" t="s">
        <v>197</v>
      </c>
      <c r="C976" s="5" t="s">
        <v>97</v>
      </c>
      <c r="D976" s="5" t="s">
        <v>104</v>
      </c>
      <c r="E976" s="4" t="s">
        <v>96</v>
      </c>
      <c r="F976" s="4" t="str" cm="1">
        <f t="array" ref="F976">_xlfn.IFS(
AG976 &lt;&gt; "", "Jan-Dez/26",
AH976 &lt;&gt; "", "Fev-Dez/26",
AI976 &lt;&gt; "", "Mar-Dez/26", AJ976 &lt;&gt; "", "Abr-Dez/26",
TRUE, "A partir de Junho"
)</f>
        <v>A partir de Junho</v>
      </c>
      <c r="G976" s="4" t="s">
        <v>62</v>
      </c>
      <c r="H976" s="7" t="s">
        <v>38</v>
      </c>
      <c r="I976" s="8" t="s">
        <v>177</v>
      </c>
      <c r="J976" s="8" t="str" cm="1">
        <f t="array" aca="1" ref="J976" ca="1">_xlfn.LET(
  _xlpm.actual_value_month, INDEX(T976:AE976, MATCH(DATE(YEAR(TODAY()), MONTH(TODAY()), 1), $T$1:$AE$1, 0)),
  IF(_xlpm.actual_value_month &lt;&gt; "", _xlpm.actual_value_month &amp; " ações mensais", "")
)</f>
        <v/>
      </c>
      <c r="K976" s="8" t="str" cm="1">
        <f t="array" ref="K976">_xlfn.LET(
    _xlpm.sum_month, SUM(T976:AE976),
    IF(_xlpm.sum_month = 0, "", _xlpm.sum_month &amp; " certificados gerados.")
)</f>
        <v/>
      </c>
      <c r="L976" s="9" t="s">
        <v>198</v>
      </c>
      <c r="M976" s="13">
        <v>1</v>
      </c>
      <c r="N976" s="5" t="s">
        <v>42</v>
      </c>
      <c r="O976" s="5" t="s">
        <v>43</v>
      </c>
      <c r="P976" s="10" t="s">
        <v>146</v>
      </c>
      <c r="Q976" s="10" t="s">
        <v>44</v>
      </c>
      <c r="R976" s="11" t="s">
        <v>179</v>
      </c>
      <c r="S976" s="11" t="s">
        <v>67</v>
      </c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G976" s="71"/>
      <c r="AH976" s="71"/>
      <c r="AI976" s="71"/>
      <c r="AJ976" s="71"/>
      <c r="AK976" s="71"/>
      <c r="AL976" s="71"/>
      <c r="AM976" s="71"/>
      <c r="AN976" s="71"/>
      <c r="AO976" s="71"/>
      <c r="AP976" s="71"/>
      <c r="AQ976" s="71"/>
      <c r="AR976" s="71"/>
      <c r="AS976" s="94" t="str" cm="1">
        <f t="array" ref="AS976">IFERROR(INDEX(T976:AE976,1,MATCH(2,1/(T976:AE976&lt;&gt;""))),"")</f>
        <v/>
      </c>
      <c r="AT976" s="95" t="str" cm="1">
        <f t="array" ref="AT976">IFERROR(INDEX(AJ976:AR976,1,MATCH(2,1/(AJ976:AR976&lt;&gt;""))),"")</f>
        <v/>
      </c>
      <c r="AU976" s="97" t="str">
        <f t="shared" si="1194"/>
        <v/>
      </c>
      <c r="AW976" s="51"/>
      <c r="AX976" s="51"/>
      <c r="AY976" s="51"/>
      <c r="AZ976" s="51"/>
      <c r="BA976" s="51"/>
      <c r="BB976" s="51"/>
      <c r="BC976" s="51"/>
      <c r="BD976" s="51"/>
      <c r="BE976" s="51"/>
      <c r="BF976" s="51"/>
      <c r="BG976" s="51"/>
      <c r="BH976" s="51"/>
      <c r="BI976" s="65" t="str" cm="1">
        <f t="array" ref="BI976">IFERROR(INDEX(AW976:BH976,1,MATCH(2,1/(AW976:BH976&lt;&gt;""))),"")</f>
        <v/>
      </c>
      <c r="BJ976" s="68" t="str" cm="1">
        <f t="array" ref="BJ976">IF(BM976 = "", "",IFERROR(INDEX(AW976:BH976,1,MATCH(2,1/(AW976:BH976&lt;&gt;""),1)-1),""))</f>
        <v/>
      </c>
      <c r="BK976" s="58" t="str" cm="1">
        <f t="array" ref="BK976">IFERROR(INDEX(AW976:BH976,1,MATCH(2,1/(AW976:BH976&lt;&gt;""))),"")</f>
        <v/>
      </c>
      <c r="BL976" s="58" t="str" cm="1">
        <f t="array" ref="BL976">IFERROR(INDEX(AW976:BH976,1,MATCH(2,1/(AW976:BH976&lt;&gt;""),1)-1),"")</f>
        <v/>
      </c>
      <c r="BM976" s="55" t="str" cm="1">
        <f t="array" ref="BM976">IFERROR(
   INDEX($AW$1:$BH$1,
      _xlfn.AGGREGATE(14, 6, COLUMN($AW$1:$BH$1)/(AW976:BH976&lt;&gt;""), 2) - COLUMN($AW$1) + 1
   ),
"")</f>
        <v/>
      </c>
      <c r="BN976" s="55" t="str" cm="1">
        <f t="array" ref="BN976">IFERROR(INDEX($AW$1:$BH$1,1,MATCH(2,1/(AW976:BH976&lt;&gt;""))),"")</f>
        <v/>
      </c>
      <c r="BO976" s="53">
        <f ca="1">IFERROR(_xlfn.XLOOKUP(F976,Apuração!A:A,Apuração!C:C)/_xlfn.XLOOKUP(F976,Apuração!A:A,Apuração!B:B),0)</f>
        <v>0</v>
      </c>
      <c r="BP976" s="53">
        <f ca="1">IFERROR(_xlfn.XLOOKUP(F976,Apuração!A:A,Apuração!D:D)/_xlfn.XLOOKUP(F976,Apuração!A:A,Apuração!B:B),0)</f>
        <v>0</v>
      </c>
      <c r="BQ976" s="53">
        <f ca="1">IF(BK976&gt;=BO976,0,_xlfn.XLOOKUP(F976,Apuração!A:A,Apuração!B:B)*(BO976 + (1/_xlfn.XLOOKUP(F976,Apuração!A:A,Apuração!B:B)) - BK976))</f>
        <v>0</v>
      </c>
      <c r="BR976" s="85">
        <f t="shared" ca="1" si="1195"/>
        <v>0</v>
      </c>
      <c r="BS976" s="53">
        <f ca="1">IFERROR((_xlfn.XLOOKUP(F976,Apuração!A:A,Apuração!C:C)+1)/_xlfn.XLOOKUP(F976,Apuração!A:A,Apuração!B:B),0)</f>
        <v>0.14285714285714285</v>
      </c>
    </row>
    <row r="977" spans="1:71" ht="25.95" hidden="1" customHeight="1" x14ac:dyDescent="0.3">
      <c r="A977" s="33" t="s">
        <v>175</v>
      </c>
      <c r="B977" s="4" t="s">
        <v>197</v>
      </c>
      <c r="C977" s="5" t="s">
        <v>97</v>
      </c>
      <c r="D977" s="5" t="s">
        <v>105</v>
      </c>
      <c r="E977" s="4" t="s">
        <v>96</v>
      </c>
      <c r="F977" s="4" t="str" cm="1">
        <f t="array" ref="F977">_xlfn.IFS(
AG977 &lt;&gt; "", "Jan-Dez/26",
AH977 &lt;&gt; "", "Fev-Dez/26",
AI977 &lt;&gt; "", "Mar-Dez/26", AJ977 &lt;&gt; "", "Abr-Dez/26",
TRUE, "A partir de Junho"
)</f>
        <v>A partir de Junho</v>
      </c>
      <c r="G977" s="4" t="s">
        <v>62</v>
      </c>
      <c r="H977" s="7" t="s">
        <v>38</v>
      </c>
      <c r="I977" s="8" t="s">
        <v>177</v>
      </c>
      <c r="J977" s="8" t="str" cm="1">
        <f t="array" aca="1" ref="J977" ca="1">_xlfn.LET(
  _xlpm.actual_value_month, INDEX(T977:AE977, MATCH(DATE(YEAR(TODAY()), MONTH(TODAY()), 1), $T$1:$AE$1, 0)),
  IF(_xlpm.actual_value_month &lt;&gt; "", _xlpm.actual_value_month &amp; " ações mensais", "")
)</f>
        <v/>
      </c>
      <c r="K977" s="8" t="str" cm="1">
        <f t="array" ref="K977">_xlfn.LET(
    _xlpm.sum_month, SUM(T977:AE977),
    IF(_xlpm.sum_month = 0, "", _xlpm.sum_month &amp; " certificados gerados.")
)</f>
        <v/>
      </c>
      <c r="L977" s="9" t="s">
        <v>198</v>
      </c>
      <c r="M977" s="13">
        <v>1</v>
      </c>
      <c r="N977" s="5" t="s">
        <v>42</v>
      </c>
      <c r="O977" s="5" t="s">
        <v>43</v>
      </c>
      <c r="P977" s="10" t="s">
        <v>146</v>
      </c>
      <c r="Q977" s="10" t="s">
        <v>44</v>
      </c>
      <c r="R977" s="11" t="s">
        <v>179</v>
      </c>
      <c r="S977" s="11" t="s">
        <v>67</v>
      </c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G977" s="71"/>
      <c r="AH977" s="71"/>
      <c r="AI977" s="71"/>
      <c r="AJ977" s="71"/>
      <c r="AK977" s="71"/>
      <c r="AL977" s="71"/>
      <c r="AM977" s="71"/>
      <c r="AN977" s="71"/>
      <c r="AO977" s="71"/>
      <c r="AP977" s="71"/>
      <c r="AQ977" s="71"/>
      <c r="AR977" s="71"/>
      <c r="AS977" s="94" t="str" cm="1">
        <f t="array" ref="AS977">IFERROR(INDEX(T977:AE977,1,MATCH(2,1/(T977:AE977&lt;&gt;""))),"")</f>
        <v/>
      </c>
      <c r="AT977" s="95" t="str" cm="1">
        <f t="array" ref="AT977">IFERROR(INDEX(AJ977:AR977,1,MATCH(2,1/(AJ977:AR977&lt;&gt;""))),"")</f>
        <v/>
      </c>
      <c r="AU977" s="97" t="str">
        <f t="shared" si="1194"/>
        <v/>
      </c>
      <c r="AW977" s="51"/>
      <c r="AX977" s="51"/>
      <c r="AY977" s="51"/>
      <c r="AZ977" s="51"/>
      <c r="BA977" s="51"/>
      <c r="BB977" s="51"/>
      <c r="BC977" s="51"/>
      <c r="BD977" s="51"/>
      <c r="BE977" s="51"/>
      <c r="BF977" s="51"/>
      <c r="BG977" s="51"/>
      <c r="BH977" s="51"/>
      <c r="BI977" s="65" t="str" cm="1">
        <f t="array" ref="BI977">IFERROR(INDEX(AW977:BH977,1,MATCH(2,1/(AW977:BH977&lt;&gt;""))),"")</f>
        <v/>
      </c>
      <c r="BJ977" s="68" t="str" cm="1">
        <f t="array" ref="BJ977">IF(BM977 = "", "",IFERROR(INDEX(AW977:BH977,1,MATCH(2,1/(AW977:BH977&lt;&gt;""),1)-1),""))</f>
        <v/>
      </c>
      <c r="BK977" s="58" t="str" cm="1">
        <f t="array" ref="BK977">IFERROR(INDEX(AW977:BH977,1,MATCH(2,1/(AW977:BH977&lt;&gt;""))),"")</f>
        <v/>
      </c>
      <c r="BL977" s="58" t="str" cm="1">
        <f t="array" ref="BL977">IFERROR(INDEX(AW977:BH977,1,MATCH(2,1/(AW977:BH977&lt;&gt;""),1)-1),"")</f>
        <v/>
      </c>
      <c r="BM977" s="55" t="str" cm="1">
        <f t="array" ref="BM977">IFERROR(
   INDEX($AW$1:$BH$1,
      _xlfn.AGGREGATE(14, 6, COLUMN($AW$1:$BH$1)/(AW977:BH977&lt;&gt;""), 2) - COLUMN($AW$1) + 1
   ),
"")</f>
        <v/>
      </c>
      <c r="BN977" s="55" t="str" cm="1">
        <f t="array" ref="BN977">IFERROR(INDEX($AW$1:$BH$1,1,MATCH(2,1/(AW977:BH977&lt;&gt;""))),"")</f>
        <v/>
      </c>
      <c r="BO977" s="53">
        <f ca="1">IFERROR(_xlfn.XLOOKUP(F977,Apuração!A:A,Apuração!C:C)/_xlfn.XLOOKUP(F977,Apuração!A:A,Apuração!B:B),0)</f>
        <v>0</v>
      </c>
      <c r="BP977" s="53">
        <f ca="1">IFERROR(_xlfn.XLOOKUP(F977,Apuração!A:A,Apuração!D:D)/_xlfn.XLOOKUP(F977,Apuração!A:A,Apuração!B:B),0)</f>
        <v>0</v>
      </c>
      <c r="BQ977" s="53">
        <f ca="1">IF(BK977&gt;=BO977,0,_xlfn.XLOOKUP(F977,Apuração!A:A,Apuração!B:B)*(BO977 + (1/_xlfn.XLOOKUP(F977,Apuração!A:A,Apuração!B:B)) - BK977))</f>
        <v>0</v>
      </c>
      <c r="BR977" s="85">
        <f t="shared" ca="1" si="1195"/>
        <v>0</v>
      </c>
      <c r="BS977" s="53">
        <f ca="1">IFERROR((_xlfn.XLOOKUP(F977,Apuração!A:A,Apuração!C:C)+1)/_xlfn.XLOOKUP(F977,Apuração!A:A,Apuração!B:B),0)</f>
        <v>0.14285714285714285</v>
      </c>
    </row>
    <row r="978" spans="1:71" ht="25.95" hidden="1" customHeight="1" x14ac:dyDescent="0.3">
      <c r="A978" s="33" t="s">
        <v>175</v>
      </c>
      <c r="B978" s="4" t="s">
        <v>197</v>
      </c>
      <c r="C978" s="5" t="s">
        <v>97</v>
      </c>
      <c r="D978" s="5" t="s">
        <v>106</v>
      </c>
      <c r="E978" s="4" t="s">
        <v>96</v>
      </c>
      <c r="F978" s="4" t="str" cm="1">
        <f t="array" ref="F978">_xlfn.IFS(
AG978 &lt;&gt; "", "Jan-Dez/26",
AH978 &lt;&gt; "", "Fev-Dez/26",
AI978 &lt;&gt; "", "Mar-Dez/26", AJ978 &lt;&gt; "", "Abr-Dez/26",
TRUE, "A partir de Junho"
)</f>
        <v>A partir de Junho</v>
      </c>
      <c r="G978" s="4" t="s">
        <v>62</v>
      </c>
      <c r="H978" s="7" t="s">
        <v>38</v>
      </c>
      <c r="I978" s="8" t="s">
        <v>177</v>
      </c>
      <c r="J978" s="8" t="str" cm="1">
        <f t="array" aca="1" ref="J978" ca="1">_xlfn.LET(
  _xlpm.actual_value_month, INDEX(T978:AE978, MATCH(DATE(YEAR(TODAY()), MONTH(TODAY()), 1), $T$1:$AE$1, 0)),
  IF(_xlpm.actual_value_month &lt;&gt; "", _xlpm.actual_value_month &amp; " ações mensais", "")
)</f>
        <v/>
      </c>
      <c r="K978" s="8" t="str" cm="1">
        <f t="array" ref="K978">_xlfn.LET(
    _xlpm.sum_month, SUM(T978:AE978),
    IF(_xlpm.sum_month = 0, "", _xlpm.sum_month &amp; " certificados gerados.")
)</f>
        <v/>
      </c>
      <c r="L978" s="9" t="s">
        <v>198</v>
      </c>
      <c r="M978" s="13">
        <v>1</v>
      </c>
      <c r="N978" s="5" t="s">
        <v>42</v>
      </c>
      <c r="O978" s="5" t="s">
        <v>43</v>
      </c>
      <c r="P978" s="10" t="s">
        <v>146</v>
      </c>
      <c r="Q978" s="10" t="s">
        <v>44</v>
      </c>
      <c r="R978" s="11" t="s">
        <v>179</v>
      </c>
      <c r="S978" s="11" t="s">
        <v>67</v>
      </c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G978" s="71"/>
      <c r="AH978" s="71"/>
      <c r="AI978" s="71"/>
      <c r="AJ978" s="71"/>
      <c r="AK978" s="71"/>
      <c r="AL978" s="71"/>
      <c r="AM978" s="71"/>
      <c r="AN978" s="71"/>
      <c r="AO978" s="71"/>
      <c r="AP978" s="71"/>
      <c r="AQ978" s="71"/>
      <c r="AR978" s="71"/>
      <c r="AS978" s="94" t="str" cm="1">
        <f t="array" ref="AS978">IFERROR(INDEX(T978:AE978,1,MATCH(2,1/(T978:AE978&lt;&gt;""))),"")</f>
        <v/>
      </c>
      <c r="AT978" s="95" t="str" cm="1">
        <f t="array" ref="AT978">IFERROR(INDEX(AJ978:AR978,1,MATCH(2,1/(AJ978:AR978&lt;&gt;""))),"")</f>
        <v/>
      </c>
      <c r="AU978" s="97" t="str">
        <f t="shared" si="1194"/>
        <v/>
      </c>
      <c r="AW978" s="51"/>
      <c r="AX978" s="51"/>
      <c r="AY978" s="51"/>
      <c r="AZ978" s="51"/>
      <c r="BA978" s="51"/>
      <c r="BB978" s="51"/>
      <c r="BC978" s="51"/>
      <c r="BD978" s="51"/>
      <c r="BE978" s="51"/>
      <c r="BF978" s="51"/>
      <c r="BG978" s="51"/>
      <c r="BH978" s="51"/>
      <c r="BI978" s="65" t="str" cm="1">
        <f t="array" ref="BI978">IFERROR(INDEX(AW978:BH978,1,MATCH(2,1/(AW978:BH978&lt;&gt;""))),"")</f>
        <v/>
      </c>
      <c r="BJ978" s="68" t="str" cm="1">
        <f t="array" ref="BJ978">IF(BM978 = "", "",IFERROR(INDEX(AW978:BH978,1,MATCH(2,1/(AW978:BH978&lt;&gt;""),1)-1),""))</f>
        <v/>
      </c>
      <c r="BK978" s="58" t="str" cm="1">
        <f t="array" ref="BK978">IFERROR(INDEX(AW978:BH978,1,MATCH(2,1/(AW978:BH978&lt;&gt;""))),"")</f>
        <v/>
      </c>
      <c r="BL978" s="58" t="str" cm="1">
        <f t="array" ref="BL978">IFERROR(INDEX(AW978:BH978,1,MATCH(2,1/(AW978:BH978&lt;&gt;""),1)-1),"")</f>
        <v/>
      </c>
      <c r="BM978" s="55" t="str" cm="1">
        <f t="array" ref="BM978">IFERROR(
   INDEX($AW$1:$BH$1,
      _xlfn.AGGREGATE(14, 6, COLUMN($AW$1:$BH$1)/(AW978:BH978&lt;&gt;""), 2) - COLUMN($AW$1) + 1
   ),
"")</f>
        <v/>
      </c>
      <c r="BN978" s="55" t="str" cm="1">
        <f t="array" ref="BN978">IFERROR(INDEX($AW$1:$BH$1,1,MATCH(2,1/(AW978:BH978&lt;&gt;""))),"")</f>
        <v/>
      </c>
      <c r="BO978" s="53">
        <f ca="1">IFERROR(_xlfn.XLOOKUP(F978,Apuração!A:A,Apuração!C:C)/_xlfn.XLOOKUP(F978,Apuração!A:A,Apuração!B:B),0)</f>
        <v>0</v>
      </c>
      <c r="BP978" s="53">
        <f ca="1">IFERROR(_xlfn.XLOOKUP(F978,Apuração!A:A,Apuração!D:D)/_xlfn.XLOOKUP(F978,Apuração!A:A,Apuração!B:B),0)</f>
        <v>0</v>
      </c>
      <c r="BQ978" s="53">
        <f ca="1">IF(BK978&gt;=BO978,0,_xlfn.XLOOKUP(F978,Apuração!A:A,Apuração!B:B)*(BO978 + (1/_xlfn.XLOOKUP(F978,Apuração!A:A,Apuração!B:B)) - BK978))</f>
        <v>0</v>
      </c>
      <c r="BR978" s="85">
        <f t="shared" ca="1" si="1195"/>
        <v>0</v>
      </c>
      <c r="BS978" s="53">
        <f ca="1">IFERROR((_xlfn.XLOOKUP(F978,Apuração!A:A,Apuração!C:C)+1)/_xlfn.XLOOKUP(F978,Apuração!A:A,Apuração!B:B),0)</f>
        <v>0.14285714285714285</v>
      </c>
    </row>
    <row r="979" spans="1:71" ht="25.95" hidden="1" customHeight="1" x14ac:dyDescent="0.3">
      <c r="A979" s="33" t="s">
        <v>175</v>
      </c>
      <c r="B979" s="4" t="s">
        <v>197</v>
      </c>
      <c r="C979" s="5" t="s">
        <v>97</v>
      </c>
      <c r="D979" s="5" t="s">
        <v>107</v>
      </c>
      <c r="E979" s="4" t="s">
        <v>96</v>
      </c>
      <c r="F979" s="4" t="str" cm="1">
        <f t="array" ref="F979">_xlfn.IFS(
AG979 &lt;&gt; "", "Jan-Dez/26",
AH979 &lt;&gt; "", "Fev-Dez/26",
AI979 &lt;&gt; "", "Mar-Dez/26", AJ979 &lt;&gt; "", "Abr-Dez/26",
TRUE, "A partir de Junho"
)</f>
        <v>A partir de Junho</v>
      </c>
      <c r="G979" s="4" t="s">
        <v>62</v>
      </c>
      <c r="H979" s="7" t="s">
        <v>38</v>
      </c>
      <c r="I979" s="8" t="s">
        <v>177</v>
      </c>
      <c r="J979" s="8" t="str" cm="1">
        <f t="array" aca="1" ref="J979" ca="1">_xlfn.LET(
  _xlpm.actual_value_month, INDEX(T979:AE979, MATCH(DATE(YEAR(TODAY()), MONTH(TODAY()), 1), $T$1:$AE$1, 0)),
  IF(_xlpm.actual_value_month &lt;&gt; "", _xlpm.actual_value_month &amp; " ações mensais", "")
)</f>
        <v/>
      </c>
      <c r="K979" s="8" t="str" cm="1">
        <f t="array" ref="K979">_xlfn.LET(
    _xlpm.sum_month, SUM(T979:AE979),
    IF(_xlpm.sum_month = 0, "", _xlpm.sum_month &amp; " certificados gerados.")
)</f>
        <v/>
      </c>
      <c r="L979" s="9" t="s">
        <v>198</v>
      </c>
      <c r="M979" s="13">
        <v>1</v>
      </c>
      <c r="N979" s="5" t="s">
        <v>42</v>
      </c>
      <c r="O979" s="5" t="s">
        <v>43</v>
      </c>
      <c r="P979" s="10" t="s">
        <v>146</v>
      </c>
      <c r="Q979" s="10" t="s">
        <v>44</v>
      </c>
      <c r="R979" s="11" t="s">
        <v>179</v>
      </c>
      <c r="S979" s="11" t="s">
        <v>67</v>
      </c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G979" s="71"/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  <c r="AR979" s="71"/>
      <c r="AS979" s="94" t="str" cm="1">
        <f t="array" ref="AS979">IFERROR(INDEX(T979:AE979,1,MATCH(2,1/(T979:AE979&lt;&gt;""))),"")</f>
        <v/>
      </c>
      <c r="AT979" s="95" t="str" cm="1">
        <f t="array" ref="AT979">IFERROR(INDEX(AJ979:AR979,1,MATCH(2,1/(AJ979:AR979&lt;&gt;""))),"")</f>
        <v/>
      </c>
      <c r="AU979" s="97" t="str">
        <f t="shared" si="1194"/>
        <v/>
      </c>
      <c r="AW979" s="51"/>
      <c r="AX979" s="51"/>
      <c r="AY979" s="51"/>
      <c r="AZ979" s="51"/>
      <c r="BA979" s="51"/>
      <c r="BB979" s="51"/>
      <c r="BC979" s="51"/>
      <c r="BD979" s="51"/>
      <c r="BE979" s="51"/>
      <c r="BF979" s="51"/>
      <c r="BG979" s="51"/>
      <c r="BH979" s="51"/>
      <c r="BI979" s="65" t="str" cm="1">
        <f t="array" ref="BI979">IFERROR(INDEX(AW979:BH979,1,MATCH(2,1/(AW979:BH979&lt;&gt;""))),"")</f>
        <v/>
      </c>
      <c r="BJ979" s="68" t="str" cm="1">
        <f t="array" ref="BJ979">IF(BM979 = "", "",IFERROR(INDEX(AW979:BH979,1,MATCH(2,1/(AW979:BH979&lt;&gt;""),1)-1),""))</f>
        <v/>
      </c>
      <c r="BK979" s="58" t="str" cm="1">
        <f t="array" ref="BK979">IFERROR(INDEX(AW979:BH979,1,MATCH(2,1/(AW979:BH979&lt;&gt;""))),"")</f>
        <v/>
      </c>
      <c r="BL979" s="58" t="str" cm="1">
        <f t="array" ref="BL979">IFERROR(INDEX(AW979:BH979,1,MATCH(2,1/(AW979:BH979&lt;&gt;""),1)-1),"")</f>
        <v/>
      </c>
      <c r="BM979" s="55" t="str" cm="1">
        <f t="array" ref="BM979">IFERROR(
   INDEX($AW$1:$BH$1,
      _xlfn.AGGREGATE(14, 6, COLUMN($AW$1:$BH$1)/(AW979:BH979&lt;&gt;""), 2) - COLUMN($AW$1) + 1
   ),
"")</f>
        <v/>
      </c>
      <c r="BN979" s="55" t="str" cm="1">
        <f t="array" ref="BN979">IFERROR(INDEX($AW$1:$BH$1,1,MATCH(2,1/(AW979:BH979&lt;&gt;""))),"")</f>
        <v/>
      </c>
      <c r="BO979" s="53">
        <f ca="1">IFERROR(_xlfn.XLOOKUP(F979,Apuração!A:A,Apuração!C:C)/_xlfn.XLOOKUP(F979,Apuração!A:A,Apuração!B:B),0)</f>
        <v>0</v>
      </c>
      <c r="BP979" s="53">
        <f ca="1">IFERROR(_xlfn.XLOOKUP(F979,Apuração!A:A,Apuração!D:D)/_xlfn.XLOOKUP(F979,Apuração!A:A,Apuração!B:B),0)</f>
        <v>0</v>
      </c>
      <c r="BQ979" s="53">
        <f ca="1">IF(BK979&gt;=BO979,0,_xlfn.XLOOKUP(F979,Apuração!A:A,Apuração!B:B)*(BO979 + (1/_xlfn.XLOOKUP(F979,Apuração!A:A,Apuração!B:B)) - BK979))</f>
        <v>0</v>
      </c>
      <c r="BR979" s="85">
        <f t="shared" ca="1" si="1195"/>
        <v>0</v>
      </c>
      <c r="BS979" s="53">
        <f ca="1">IFERROR((_xlfn.XLOOKUP(F979,Apuração!A:A,Apuração!C:C)+1)/_xlfn.XLOOKUP(F979,Apuração!A:A,Apuração!B:B),0)</f>
        <v>0.14285714285714285</v>
      </c>
    </row>
    <row r="980" spans="1:71" ht="25.95" hidden="1" customHeight="1" x14ac:dyDescent="0.3">
      <c r="A980" s="44" t="s">
        <v>175</v>
      </c>
      <c r="B980" s="4" t="s">
        <v>197</v>
      </c>
      <c r="C980" s="5" t="s">
        <v>97</v>
      </c>
      <c r="D980" s="5" t="s">
        <v>36</v>
      </c>
      <c r="E980" s="4" t="s">
        <v>96</v>
      </c>
      <c r="F980" s="4" t="str" cm="1">
        <f t="array" ref="F980">_xlfn.IFS(
AG980 &lt;&gt; "", "Jan-Dez/26",
AH980 &lt;&gt; "", "Fev-Dez/26",
AI980 &lt;&gt; "", "Mar-Dez/26", AJ980 &lt;&gt; "", "Abr-Dez/26",
TRUE, "A partir de Junho"
)</f>
        <v>A partir de Junho</v>
      </c>
      <c r="G980" s="4" t="s">
        <v>62</v>
      </c>
      <c r="H980" s="7" t="s">
        <v>38</v>
      </c>
      <c r="I980" s="21" t="s">
        <v>180</v>
      </c>
      <c r="J980" s="8" t="str" cm="1">
        <f t="array" aca="1" ref="J980" ca="1">_xlfn.LET(
  _xlpm.actual_value_month, INDEX(T980:AE980, MATCH(DATE(YEAR(TODAY()), MONTH(TODAY()), 1), $T$1:$AE$1, 0)),
  IF(_xlpm.actual_value_month &lt;&gt; "", _xlpm.actual_value_month &amp; " ações mensais", "")
)</f>
        <v/>
      </c>
      <c r="K980" s="34" t="str" cm="1">
        <f t="array" ref="K980">_xlfn.LET(
    _xlpm.sum_month, SUM(T980:AE980),
    IF(_xlpm.sum_month = 0, "", _xlpm.sum_month &amp; " colaboradores treinados.")
)</f>
        <v/>
      </c>
      <c r="L980" s="9" t="s">
        <v>199</v>
      </c>
      <c r="M980" s="13">
        <v>1</v>
      </c>
      <c r="N980" s="5" t="s">
        <v>51</v>
      </c>
      <c r="O980" s="5" t="s">
        <v>52</v>
      </c>
      <c r="P980" s="10" t="s">
        <v>146</v>
      </c>
      <c r="Q980" s="10" t="s">
        <v>44</v>
      </c>
      <c r="R980" s="11" t="s">
        <v>44</v>
      </c>
      <c r="S980" s="11" t="s">
        <v>44</v>
      </c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G980" s="71"/>
      <c r="AH980" s="71"/>
      <c r="AI980" s="71"/>
      <c r="AJ980" s="71"/>
      <c r="AK980" s="71"/>
      <c r="AL980" s="71"/>
      <c r="AM980" s="71"/>
      <c r="AN980" s="71"/>
      <c r="AO980" s="71"/>
      <c r="AP980" s="71"/>
      <c r="AQ980" s="71"/>
      <c r="AR980" s="71"/>
      <c r="AS980" s="94" t="str" cm="1">
        <f t="array" ref="AS980">IFERROR(INDEX(T980:AE980,1,MATCH(2,1/(T980:AE980&lt;&gt;""))),"")</f>
        <v/>
      </c>
      <c r="AT980" s="95" t="str" cm="1">
        <f t="array" ref="AT980">IFERROR(INDEX(AJ980:AR980,1,MATCH(2,1/(AJ980:AR980&lt;&gt;""))),"")</f>
        <v/>
      </c>
      <c r="AU980" s="97" t="str">
        <f t="shared" si="1121"/>
        <v/>
      </c>
      <c r="AW980" s="52">
        <f>AG980</f>
        <v>0</v>
      </c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68" cm="1">
        <f t="array" ref="BI980">IFERROR(INDEX(AW980:BH980,1,MATCH(2,1/(AW980:BH980&lt;&gt;""))),"")</f>
        <v>0</v>
      </c>
      <c r="BJ980" s="68" t="str" cm="1">
        <f t="array" ref="BJ980">IF(BM980 = "", "",IFERROR(INDEX(AW980:BH980,1,MATCH(2,1/(AW980:BH980&lt;&gt;""),1)-1),""))</f>
        <v/>
      </c>
      <c r="BK980" s="59">
        <f>SUM(AW980:BH980)</f>
        <v>0</v>
      </c>
      <c r="BL980" s="59" cm="1">
        <f t="array" ref="BL980">IFERROR(SUM(AW980:INDEX(AW980:BH980, MATCH(2, 1/(AW980:BH980&lt;&gt;""), 1) - 1))/_xlfn.XLOOKUP(F980,Apuração!A:A,Apuração!B:B),0)</f>
        <v>0</v>
      </c>
      <c r="BM980" s="55" t="str" cm="1">
        <f t="array" ref="BM980">IFERROR(
   INDEX($AW$1:$BH$1,
      _xlfn.AGGREGATE(14, 6, COLUMN($AW$1:$BH$1)/(AW980:BH980&lt;&gt;""), 2) - COLUMN($AW$1) + 1
   ),
"")</f>
        <v/>
      </c>
      <c r="BN980" s="55" cm="1">
        <f t="array" ref="BN980">IFERROR(INDEX($AW$1:$BH$1,1,MATCH(2,1/(AW980:BH980&lt;&gt;""))),"")</f>
        <v>46023</v>
      </c>
      <c r="BO980" s="53">
        <f ca="1">IFERROR(_xlfn.XLOOKUP(F980,Apuração!A:A,Apuração!C:C)/_xlfn.XLOOKUP(F980,Apuração!A:A,Apuração!B:B),0)</f>
        <v>0</v>
      </c>
      <c r="BP980" s="53">
        <f ca="1">IFERROR(_xlfn.XLOOKUP(F980,Apuração!A:A,Apuração!D:D)/_xlfn.XLOOKUP(F980,Apuração!A:A,Apuração!B:B),0)</f>
        <v>0</v>
      </c>
      <c r="BQ980" s="53">
        <f ca="1">IF(BK980&gt;=BO980,0,_xlfn.XLOOKUP(F980,Apuração!A:A,Apuração!B:B)*(BO980 + (1/_xlfn.XLOOKUP(F980,Apuração!A:A,Apuração!B:B)) - BK980))</f>
        <v>0</v>
      </c>
      <c r="BR980" s="85">
        <f t="shared" ca="1" si="1172"/>
        <v>0</v>
      </c>
      <c r="BS980" s="53">
        <f ca="1">IFERROR((_xlfn.XLOOKUP(F980,Apuração!A:A,Apuração!C:C)+1)/_xlfn.XLOOKUP(F980,Apuração!A:A,Apuração!B:B),0)</f>
        <v>0.14285714285714285</v>
      </c>
    </row>
    <row r="981" spans="1:71" ht="25.95" hidden="1" customHeight="1" x14ac:dyDescent="0.3">
      <c r="A981" s="44" t="s">
        <v>175</v>
      </c>
      <c r="B981" s="4" t="s">
        <v>197</v>
      </c>
      <c r="C981" s="5" t="s">
        <v>97</v>
      </c>
      <c r="D981" s="5" t="s">
        <v>98</v>
      </c>
      <c r="E981" s="4" t="s">
        <v>96</v>
      </c>
      <c r="F981" s="4" t="str" cm="1">
        <f t="array" ref="F981">_xlfn.IFS(
AG981 &lt;&gt; "", "Jan-Dez/26",
AH981 &lt;&gt; "", "Fev-Dez/26",
AI981 &lt;&gt; "", "Mar-Dez/26", AJ981 &lt;&gt; "", "Abr-Dez/26",
TRUE, "A partir de Junho"
)</f>
        <v>A partir de Junho</v>
      </c>
      <c r="G981" s="4" t="s">
        <v>62</v>
      </c>
      <c r="H981" s="7" t="s">
        <v>38</v>
      </c>
      <c r="I981" s="21" t="s">
        <v>180</v>
      </c>
      <c r="J981" s="8" t="str" cm="1">
        <f t="array" aca="1" ref="J981" ca="1">_xlfn.LET(
  _xlpm.actual_value_month, INDEX(T981:AE981, MATCH(DATE(YEAR(TODAY()), MONTH(TODAY()), 1), $T$1:$AE$1, 0)),
  IF(_xlpm.actual_value_month &lt;&gt; "", _xlpm.actual_value_month &amp; " ações mensais", "")
)</f>
        <v/>
      </c>
      <c r="K981" s="34" t="str" cm="1">
        <f t="array" ref="K981">_xlfn.LET(
    _xlpm.sum_month, SUM(T981:AE981),
    IF(_xlpm.sum_month = 0, "", _xlpm.sum_month &amp; " colaboradores treinados.")
)</f>
        <v/>
      </c>
      <c r="L981" s="9" t="s">
        <v>199</v>
      </c>
      <c r="M981" s="13">
        <v>1</v>
      </c>
      <c r="N981" s="5" t="s">
        <v>51</v>
      </c>
      <c r="O981" s="5" t="s">
        <v>52</v>
      </c>
      <c r="P981" s="10" t="s">
        <v>146</v>
      </c>
      <c r="Q981" s="10" t="s">
        <v>44</v>
      </c>
      <c r="R981" s="11" t="s">
        <v>44</v>
      </c>
      <c r="S981" s="11" t="s">
        <v>44</v>
      </c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G981" s="71"/>
      <c r="AH981" s="71"/>
      <c r="AI981" s="71"/>
      <c r="AJ981" s="71"/>
      <c r="AK981" s="71"/>
      <c r="AL981" s="71"/>
      <c r="AM981" s="71"/>
      <c r="AN981" s="71"/>
      <c r="AO981" s="71"/>
      <c r="AP981" s="71"/>
      <c r="AQ981" s="71"/>
      <c r="AR981" s="71"/>
      <c r="AS981" s="94" t="str" cm="1">
        <f t="array" ref="AS981">IFERROR(INDEX(T981:AE981,1,MATCH(2,1/(T981:AE981&lt;&gt;""))),"")</f>
        <v/>
      </c>
      <c r="AT981" s="95" t="str" cm="1">
        <f t="array" ref="AT981">IFERROR(INDEX(AJ981:AR981,1,MATCH(2,1/(AJ981:AR981&lt;&gt;""))),"")</f>
        <v/>
      </c>
      <c r="AU981" s="97" t="str">
        <f t="shared" ref="AU981:AU990" si="1196">AT981</f>
        <v/>
      </c>
      <c r="AW981" s="52">
        <f t="shared" ref="AW981:AW990" si="1197">AG981</f>
        <v>0</v>
      </c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68" cm="1">
        <f t="array" ref="BI981">IFERROR(INDEX(AW981:BH981,1,MATCH(2,1/(AW981:BH981&lt;&gt;""))),"")</f>
        <v>0</v>
      </c>
      <c r="BJ981" s="68" t="str" cm="1">
        <f t="array" ref="BJ981">IF(BM981 = "", "",IFERROR(INDEX(AW981:BH981,1,MATCH(2,1/(AW981:BH981&lt;&gt;""),1)-1),""))</f>
        <v/>
      </c>
      <c r="BK981" s="59">
        <f t="shared" ref="BK981:BK990" si="1198">SUM(AW981:BH981)</f>
        <v>0</v>
      </c>
      <c r="BL981" s="59" cm="1">
        <f t="array" ref="BL981">IFERROR(SUM(AW981:INDEX(AW981:BH981, MATCH(2, 1/(AW981:BH981&lt;&gt;""), 1) - 1))/_xlfn.XLOOKUP(F981,Apuração!A:A,Apuração!B:B),0)</f>
        <v>0</v>
      </c>
      <c r="BM981" s="55" t="str" cm="1">
        <f t="array" ref="BM981">IFERROR(
   INDEX($AW$1:$BH$1,
      _xlfn.AGGREGATE(14, 6, COLUMN($AW$1:$BH$1)/(AW981:BH981&lt;&gt;""), 2) - COLUMN($AW$1) + 1
   ),
"")</f>
        <v/>
      </c>
      <c r="BN981" s="55" cm="1">
        <f t="array" ref="BN981">IFERROR(INDEX($AW$1:$BH$1,1,MATCH(2,1/(AW981:BH981&lt;&gt;""))),"")</f>
        <v>46023</v>
      </c>
      <c r="BO981" s="53">
        <f ca="1">IFERROR(_xlfn.XLOOKUP(F981,Apuração!A:A,Apuração!C:C)/_xlfn.XLOOKUP(F981,Apuração!A:A,Apuração!B:B),0)</f>
        <v>0</v>
      </c>
      <c r="BP981" s="53">
        <f ca="1">IFERROR(_xlfn.XLOOKUP(F981,Apuração!A:A,Apuração!D:D)/_xlfn.XLOOKUP(F981,Apuração!A:A,Apuração!B:B),0)</f>
        <v>0</v>
      </c>
      <c r="BQ981" s="53">
        <f ca="1">IF(BK981&gt;=BO981,0,_xlfn.XLOOKUP(F981,Apuração!A:A,Apuração!B:B)*(BO981 + (1/_xlfn.XLOOKUP(F981,Apuração!A:A,Apuração!B:B)) - BK981))</f>
        <v>0</v>
      </c>
      <c r="BR981" s="85">
        <f t="shared" ref="BR981:BR990" ca="1" si="1199">IF(BQ981=0,0,BQ981*Z981)</f>
        <v>0</v>
      </c>
      <c r="BS981" s="53">
        <f ca="1">IFERROR((_xlfn.XLOOKUP(F981,Apuração!A:A,Apuração!C:C)+1)/_xlfn.XLOOKUP(F981,Apuração!A:A,Apuração!B:B),0)</f>
        <v>0.14285714285714285</v>
      </c>
    </row>
    <row r="982" spans="1:71" ht="25.95" hidden="1" customHeight="1" x14ac:dyDescent="0.3">
      <c r="A982" s="44" t="s">
        <v>175</v>
      </c>
      <c r="B982" s="4" t="s">
        <v>197</v>
      </c>
      <c r="C982" s="5" t="s">
        <v>97</v>
      </c>
      <c r="D982" s="5" t="s">
        <v>99</v>
      </c>
      <c r="E982" s="4" t="s">
        <v>96</v>
      </c>
      <c r="F982" s="4" t="str" cm="1">
        <f t="array" ref="F982">_xlfn.IFS(
AG982 &lt;&gt; "", "Jan-Dez/26",
AH982 &lt;&gt; "", "Fev-Dez/26",
AI982 &lt;&gt; "", "Mar-Dez/26", AJ982 &lt;&gt; "", "Abr-Dez/26",
TRUE, "A partir de Junho"
)</f>
        <v>A partir de Junho</v>
      </c>
      <c r="G982" s="4" t="s">
        <v>62</v>
      </c>
      <c r="H982" s="7" t="s">
        <v>38</v>
      </c>
      <c r="I982" s="21" t="s">
        <v>180</v>
      </c>
      <c r="J982" s="8" t="str" cm="1">
        <f t="array" aca="1" ref="J982" ca="1">_xlfn.LET(
  _xlpm.actual_value_month, INDEX(T982:AE982, MATCH(DATE(YEAR(TODAY()), MONTH(TODAY()), 1), $T$1:$AE$1, 0)),
  IF(_xlpm.actual_value_month &lt;&gt; "", _xlpm.actual_value_month &amp; " ações mensais", "")
)</f>
        <v/>
      </c>
      <c r="K982" s="34" t="str" cm="1">
        <f t="array" ref="K982">_xlfn.LET(
    _xlpm.sum_month, SUM(T982:AE982),
    IF(_xlpm.sum_month = 0, "", _xlpm.sum_month &amp; " colaboradores treinados.")
)</f>
        <v/>
      </c>
      <c r="L982" s="9" t="s">
        <v>199</v>
      </c>
      <c r="M982" s="13">
        <v>1</v>
      </c>
      <c r="N982" s="5" t="s">
        <v>51</v>
      </c>
      <c r="O982" s="5" t="s">
        <v>52</v>
      </c>
      <c r="P982" s="10" t="s">
        <v>146</v>
      </c>
      <c r="Q982" s="10" t="s">
        <v>44</v>
      </c>
      <c r="R982" s="11" t="s">
        <v>44</v>
      </c>
      <c r="S982" s="11" t="s">
        <v>44</v>
      </c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G982" s="71"/>
      <c r="AH982" s="71"/>
      <c r="AI982" s="71"/>
      <c r="AJ982" s="71"/>
      <c r="AK982" s="71"/>
      <c r="AL982" s="71"/>
      <c r="AM982" s="71"/>
      <c r="AN982" s="71"/>
      <c r="AO982" s="71"/>
      <c r="AP982" s="71"/>
      <c r="AQ982" s="71"/>
      <c r="AR982" s="71"/>
      <c r="AS982" s="94" t="str" cm="1">
        <f t="array" ref="AS982">IFERROR(INDEX(T982:AE982,1,MATCH(2,1/(T982:AE982&lt;&gt;""))),"")</f>
        <v/>
      </c>
      <c r="AT982" s="95" t="str" cm="1">
        <f t="array" ref="AT982">IFERROR(INDEX(AJ982:AR982,1,MATCH(2,1/(AJ982:AR982&lt;&gt;""))),"")</f>
        <v/>
      </c>
      <c r="AU982" s="97" t="str">
        <f t="shared" si="1196"/>
        <v/>
      </c>
      <c r="AW982" s="52">
        <f t="shared" si="1197"/>
        <v>0</v>
      </c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68" cm="1">
        <f t="array" ref="BI982">IFERROR(INDEX(AW982:BH982,1,MATCH(2,1/(AW982:BH982&lt;&gt;""))),"")</f>
        <v>0</v>
      </c>
      <c r="BJ982" s="68" t="str" cm="1">
        <f t="array" ref="BJ982">IF(BM982 = "", "",IFERROR(INDEX(AW982:BH982,1,MATCH(2,1/(AW982:BH982&lt;&gt;""),1)-1),""))</f>
        <v/>
      </c>
      <c r="BK982" s="59">
        <f t="shared" si="1198"/>
        <v>0</v>
      </c>
      <c r="BL982" s="59" cm="1">
        <f t="array" ref="BL982">IFERROR(SUM(AW982:INDEX(AW982:BH982, MATCH(2, 1/(AW982:BH982&lt;&gt;""), 1) - 1))/_xlfn.XLOOKUP(F982,Apuração!A:A,Apuração!B:B),0)</f>
        <v>0</v>
      </c>
      <c r="BM982" s="55" t="str" cm="1">
        <f t="array" ref="BM982">IFERROR(
   INDEX($AW$1:$BH$1,
      _xlfn.AGGREGATE(14, 6, COLUMN($AW$1:$BH$1)/(AW982:BH982&lt;&gt;""), 2) - COLUMN($AW$1) + 1
   ),
"")</f>
        <v/>
      </c>
      <c r="BN982" s="55" cm="1">
        <f t="array" ref="BN982">IFERROR(INDEX($AW$1:$BH$1,1,MATCH(2,1/(AW982:BH982&lt;&gt;""))),"")</f>
        <v>46023</v>
      </c>
      <c r="BO982" s="53">
        <f ca="1">IFERROR(_xlfn.XLOOKUP(F982,Apuração!A:A,Apuração!C:C)/_xlfn.XLOOKUP(F982,Apuração!A:A,Apuração!B:B),0)</f>
        <v>0</v>
      </c>
      <c r="BP982" s="53">
        <f ca="1">IFERROR(_xlfn.XLOOKUP(F982,Apuração!A:A,Apuração!D:D)/_xlfn.XLOOKUP(F982,Apuração!A:A,Apuração!B:B),0)</f>
        <v>0</v>
      </c>
      <c r="BQ982" s="53">
        <f ca="1">IF(BK982&gt;=BO982,0,_xlfn.XLOOKUP(F982,Apuração!A:A,Apuração!B:B)*(BO982 + (1/_xlfn.XLOOKUP(F982,Apuração!A:A,Apuração!B:B)) - BK982))</f>
        <v>0</v>
      </c>
      <c r="BR982" s="85">
        <f t="shared" ca="1" si="1199"/>
        <v>0</v>
      </c>
      <c r="BS982" s="53">
        <f ca="1">IFERROR((_xlfn.XLOOKUP(F982,Apuração!A:A,Apuração!C:C)+1)/_xlfn.XLOOKUP(F982,Apuração!A:A,Apuração!B:B),0)</f>
        <v>0.14285714285714285</v>
      </c>
    </row>
    <row r="983" spans="1:71" ht="25.95" hidden="1" customHeight="1" x14ac:dyDescent="0.3">
      <c r="A983" s="44" t="s">
        <v>175</v>
      </c>
      <c r="B983" s="4" t="s">
        <v>197</v>
      </c>
      <c r="C983" s="5" t="s">
        <v>97</v>
      </c>
      <c r="D983" s="5" t="s">
        <v>100</v>
      </c>
      <c r="E983" s="4" t="s">
        <v>96</v>
      </c>
      <c r="F983" s="4" t="str" cm="1">
        <f t="array" ref="F983">_xlfn.IFS(
AG983 &lt;&gt; "", "Jan-Dez/26",
AH983 &lt;&gt; "", "Fev-Dez/26",
AI983 &lt;&gt; "", "Mar-Dez/26", AJ983 &lt;&gt; "", "Abr-Dez/26",
TRUE, "A partir de Junho"
)</f>
        <v>A partir de Junho</v>
      </c>
      <c r="G983" s="4" t="s">
        <v>62</v>
      </c>
      <c r="H983" s="7" t="s">
        <v>38</v>
      </c>
      <c r="I983" s="21" t="s">
        <v>180</v>
      </c>
      <c r="J983" s="8" t="str" cm="1">
        <f t="array" aca="1" ref="J983" ca="1">_xlfn.LET(
  _xlpm.actual_value_month, INDEX(T983:AE983, MATCH(DATE(YEAR(TODAY()), MONTH(TODAY()), 1), $T$1:$AE$1, 0)),
  IF(_xlpm.actual_value_month &lt;&gt; "", _xlpm.actual_value_month &amp; " ações mensais", "")
)</f>
        <v/>
      </c>
      <c r="K983" s="34" t="str" cm="1">
        <f t="array" ref="K983">_xlfn.LET(
    _xlpm.sum_month, SUM(T983:AE983),
    IF(_xlpm.sum_month = 0, "", _xlpm.sum_month &amp; " colaboradores treinados.")
)</f>
        <v/>
      </c>
      <c r="L983" s="9" t="s">
        <v>199</v>
      </c>
      <c r="M983" s="13">
        <v>1</v>
      </c>
      <c r="N983" s="5" t="s">
        <v>51</v>
      </c>
      <c r="O983" s="5" t="s">
        <v>52</v>
      </c>
      <c r="P983" s="10" t="s">
        <v>146</v>
      </c>
      <c r="Q983" s="10" t="s">
        <v>44</v>
      </c>
      <c r="R983" s="11" t="s">
        <v>44</v>
      </c>
      <c r="S983" s="11" t="s">
        <v>44</v>
      </c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G983" s="71"/>
      <c r="AH983" s="71"/>
      <c r="AI983" s="71"/>
      <c r="AJ983" s="71"/>
      <c r="AK983" s="71"/>
      <c r="AL983" s="71"/>
      <c r="AM983" s="71"/>
      <c r="AN983" s="71"/>
      <c r="AO983" s="71"/>
      <c r="AP983" s="71"/>
      <c r="AQ983" s="71"/>
      <c r="AR983" s="71"/>
      <c r="AS983" s="94" t="str" cm="1">
        <f t="array" ref="AS983">IFERROR(INDEX(T983:AE983,1,MATCH(2,1/(T983:AE983&lt;&gt;""))),"")</f>
        <v/>
      </c>
      <c r="AT983" s="95" t="str" cm="1">
        <f t="array" ref="AT983">IFERROR(INDEX(AJ983:AR983,1,MATCH(2,1/(AJ983:AR983&lt;&gt;""))),"")</f>
        <v/>
      </c>
      <c r="AU983" s="97" t="str">
        <f t="shared" si="1196"/>
        <v/>
      </c>
      <c r="AW983" s="52">
        <f t="shared" si="1197"/>
        <v>0</v>
      </c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68" cm="1">
        <f t="array" ref="BI983">IFERROR(INDEX(AW983:BH983,1,MATCH(2,1/(AW983:BH983&lt;&gt;""))),"")</f>
        <v>0</v>
      </c>
      <c r="BJ983" s="68" t="str" cm="1">
        <f t="array" ref="BJ983">IF(BM983 = "", "",IFERROR(INDEX(AW983:BH983,1,MATCH(2,1/(AW983:BH983&lt;&gt;""),1)-1),""))</f>
        <v/>
      </c>
      <c r="BK983" s="59">
        <f t="shared" si="1198"/>
        <v>0</v>
      </c>
      <c r="BL983" s="59" cm="1">
        <f t="array" ref="BL983">IFERROR(SUM(AW983:INDEX(AW983:BH983, MATCH(2, 1/(AW983:BH983&lt;&gt;""), 1) - 1))/_xlfn.XLOOKUP(F983,Apuração!A:A,Apuração!B:B),0)</f>
        <v>0</v>
      </c>
      <c r="BM983" s="55" t="str" cm="1">
        <f t="array" ref="BM983">IFERROR(
   INDEX($AW$1:$BH$1,
      _xlfn.AGGREGATE(14, 6, COLUMN($AW$1:$BH$1)/(AW983:BH983&lt;&gt;""), 2) - COLUMN($AW$1) + 1
   ),
"")</f>
        <v/>
      </c>
      <c r="BN983" s="55" cm="1">
        <f t="array" ref="BN983">IFERROR(INDEX($AW$1:$BH$1,1,MATCH(2,1/(AW983:BH983&lt;&gt;""))),"")</f>
        <v>46023</v>
      </c>
      <c r="BO983" s="53">
        <f ca="1">IFERROR(_xlfn.XLOOKUP(F983,Apuração!A:A,Apuração!C:C)/_xlfn.XLOOKUP(F983,Apuração!A:A,Apuração!B:B),0)</f>
        <v>0</v>
      </c>
      <c r="BP983" s="53">
        <f ca="1">IFERROR(_xlfn.XLOOKUP(F983,Apuração!A:A,Apuração!D:D)/_xlfn.XLOOKUP(F983,Apuração!A:A,Apuração!B:B),0)</f>
        <v>0</v>
      </c>
      <c r="BQ983" s="53">
        <f ca="1">IF(BK983&gt;=BO983,0,_xlfn.XLOOKUP(F983,Apuração!A:A,Apuração!B:B)*(BO983 + (1/_xlfn.XLOOKUP(F983,Apuração!A:A,Apuração!B:B)) - BK983))</f>
        <v>0</v>
      </c>
      <c r="BR983" s="85">
        <f t="shared" ca="1" si="1199"/>
        <v>0</v>
      </c>
      <c r="BS983" s="53">
        <f ca="1">IFERROR((_xlfn.XLOOKUP(F983,Apuração!A:A,Apuração!C:C)+1)/_xlfn.XLOOKUP(F983,Apuração!A:A,Apuração!B:B),0)</f>
        <v>0.14285714285714285</v>
      </c>
    </row>
    <row r="984" spans="1:71" ht="25.95" hidden="1" customHeight="1" x14ac:dyDescent="0.3">
      <c r="A984" s="44" t="s">
        <v>175</v>
      </c>
      <c r="B984" s="4" t="s">
        <v>197</v>
      </c>
      <c r="C984" s="5" t="s">
        <v>97</v>
      </c>
      <c r="D984" s="5" t="s">
        <v>101</v>
      </c>
      <c r="E984" s="4" t="s">
        <v>96</v>
      </c>
      <c r="F984" s="4" t="str" cm="1">
        <f t="array" ref="F984">_xlfn.IFS(
AG984 &lt;&gt; "", "Jan-Dez/26",
AH984 &lt;&gt; "", "Fev-Dez/26",
AI984 &lt;&gt; "", "Mar-Dez/26", AJ984 &lt;&gt; "", "Abr-Dez/26",
TRUE, "A partir de Junho"
)</f>
        <v>A partir de Junho</v>
      </c>
      <c r="G984" s="4" t="s">
        <v>62</v>
      </c>
      <c r="H984" s="7" t="s">
        <v>38</v>
      </c>
      <c r="I984" s="21" t="s">
        <v>180</v>
      </c>
      <c r="J984" s="8" t="str" cm="1">
        <f t="array" aca="1" ref="J984" ca="1">_xlfn.LET(
  _xlpm.actual_value_month, INDEX(T984:AE984, MATCH(DATE(YEAR(TODAY()), MONTH(TODAY()), 1), $T$1:$AE$1, 0)),
  IF(_xlpm.actual_value_month &lt;&gt; "", _xlpm.actual_value_month &amp; " ações mensais", "")
)</f>
        <v/>
      </c>
      <c r="K984" s="34" t="str" cm="1">
        <f t="array" ref="K984">_xlfn.LET(
    _xlpm.sum_month, SUM(T984:AE984),
    IF(_xlpm.sum_month = 0, "", _xlpm.sum_month &amp; " colaboradores treinados.")
)</f>
        <v/>
      </c>
      <c r="L984" s="9" t="s">
        <v>199</v>
      </c>
      <c r="M984" s="13">
        <v>1</v>
      </c>
      <c r="N984" s="5" t="s">
        <v>51</v>
      </c>
      <c r="O984" s="5" t="s">
        <v>52</v>
      </c>
      <c r="P984" s="10" t="s">
        <v>146</v>
      </c>
      <c r="Q984" s="10" t="s">
        <v>44</v>
      </c>
      <c r="R984" s="11" t="s">
        <v>44</v>
      </c>
      <c r="S984" s="11" t="s">
        <v>44</v>
      </c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G984" s="71"/>
      <c r="AH984" s="71"/>
      <c r="AI984" s="71"/>
      <c r="AJ984" s="71"/>
      <c r="AK984" s="71"/>
      <c r="AL984" s="71"/>
      <c r="AM984" s="71"/>
      <c r="AN984" s="71"/>
      <c r="AO984" s="71"/>
      <c r="AP984" s="71"/>
      <c r="AQ984" s="71"/>
      <c r="AR984" s="71"/>
      <c r="AS984" s="94" t="str" cm="1">
        <f t="array" ref="AS984">IFERROR(INDEX(T984:AE984,1,MATCH(2,1/(T984:AE984&lt;&gt;""))),"")</f>
        <v/>
      </c>
      <c r="AT984" s="95" t="str" cm="1">
        <f t="array" ref="AT984">IFERROR(INDEX(AJ984:AR984,1,MATCH(2,1/(AJ984:AR984&lt;&gt;""))),"")</f>
        <v/>
      </c>
      <c r="AU984" s="97" t="str">
        <f t="shared" si="1196"/>
        <v/>
      </c>
      <c r="AW984" s="52">
        <f t="shared" si="1197"/>
        <v>0</v>
      </c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68" cm="1">
        <f t="array" ref="BI984">IFERROR(INDEX(AW984:BH984,1,MATCH(2,1/(AW984:BH984&lt;&gt;""))),"")</f>
        <v>0</v>
      </c>
      <c r="BJ984" s="68" t="str" cm="1">
        <f t="array" ref="BJ984">IF(BM984 = "", "",IFERROR(INDEX(AW984:BH984,1,MATCH(2,1/(AW984:BH984&lt;&gt;""),1)-1),""))</f>
        <v/>
      </c>
      <c r="BK984" s="59">
        <f t="shared" si="1198"/>
        <v>0</v>
      </c>
      <c r="BL984" s="59" cm="1">
        <f t="array" ref="BL984">IFERROR(SUM(AW984:INDEX(AW984:BH984, MATCH(2, 1/(AW984:BH984&lt;&gt;""), 1) - 1))/_xlfn.XLOOKUP(F984,Apuração!A:A,Apuração!B:B),0)</f>
        <v>0</v>
      </c>
      <c r="BM984" s="55" t="str" cm="1">
        <f t="array" ref="BM984">IFERROR(
   INDEX($AW$1:$BH$1,
      _xlfn.AGGREGATE(14, 6, COLUMN($AW$1:$BH$1)/(AW984:BH984&lt;&gt;""), 2) - COLUMN($AW$1) + 1
   ),
"")</f>
        <v/>
      </c>
      <c r="BN984" s="55" cm="1">
        <f t="array" ref="BN984">IFERROR(INDEX($AW$1:$BH$1,1,MATCH(2,1/(AW984:BH984&lt;&gt;""))),"")</f>
        <v>46023</v>
      </c>
      <c r="BO984" s="53">
        <f ca="1">IFERROR(_xlfn.XLOOKUP(F984,Apuração!A:A,Apuração!C:C)/_xlfn.XLOOKUP(F984,Apuração!A:A,Apuração!B:B),0)</f>
        <v>0</v>
      </c>
      <c r="BP984" s="53">
        <f ca="1">IFERROR(_xlfn.XLOOKUP(F984,Apuração!A:A,Apuração!D:D)/_xlfn.XLOOKUP(F984,Apuração!A:A,Apuração!B:B),0)</f>
        <v>0</v>
      </c>
      <c r="BQ984" s="53">
        <f ca="1">IF(BK984&gt;=BO984,0,_xlfn.XLOOKUP(F984,Apuração!A:A,Apuração!B:B)*(BO984 + (1/_xlfn.XLOOKUP(F984,Apuração!A:A,Apuração!B:B)) - BK984))</f>
        <v>0</v>
      </c>
      <c r="BR984" s="85">
        <f t="shared" ca="1" si="1199"/>
        <v>0</v>
      </c>
      <c r="BS984" s="53">
        <f ca="1">IFERROR((_xlfn.XLOOKUP(F984,Apuração!A:A,Apuração!C:C)+1)/_xlfn.XLOOKUP(F984,Apuração!A:A,Apuração!B:B),0)</f>
        <v>0.14285714285714285</v>
      </c>
    </row>
    <row r="985" spans="1:71" ht="25.95" hidden="1" customHeight="1" x14ac:dyDescent="0.3">
      <c r="A985" s="44" t="s">
        <v>175</v>
      </c>
      <c r="B985" s="4" t="s">
        <v>197</v>
      </c>
      <c r="C985" s="5" t="s">
        <v>97</v>
      </c>
      <c r="D985" s="5" t="s">
        <v>102</v>
      </c>
      <c r="E985" s="4" t="s">
        <v>96</v>
      </c>
      <c r="F985" s="4" t="str" cm="1">
        <f t="array" ref="F985">_xlfn.IFS(
AG985 &lt;&gt; "", "Jan-Dez/26",
AH985 &lt;&gt; "", "Fev-Dez/26",
AI985 &lt;&gt; "", "Mar-Dez/26", AJ985 &lt;&gt; "", "Abr-Dez/26",
TRUE, "A partir de Junho"
)</f>
        <v>A partir de Junho</v>
      </c>
      <c r="G985" s="4" t="s">
        <v>62</v>
      </c>
      <c r="H985" s="7" t="s">
        <v>38</v>
      </c>
      <c r="I985" s="21" t="s">
        <v>180</v>
      </c>
      <c r="J985" s="8" t="str" cm="1">
        <f t="array" aca="1" ref="J985" ca="1">_xlfn.LET(
  _xlpm.actual_value_month, INDEX(T985:AE985, MATCH(DATE(YEAR(TODAY()), MONTH(TODAY()), 1), $T$1:$AE$1, 0)),
  IF(_xlpm.actual_value_month &lt;&gt; "", _xlpm.actual_value_month &amp; " ações mensais", "")
)</f>
        <v/>
      </c>
      <c r="K985" s="34" t="str" cm="1">
        <f t="array" ref="K985">_xlfn.LET(
    _xlpm.sum_month, SUM(T985:AE985),
    IF(_xlpm.sum_month = 0, "", _xlpm.sum_month &amp; " colaboradores treinados.")
)</f>
        <v/>
      </c>
      <c r="L985" s="9" t="s">
        <v>199</v>
      </c>
      <c r="M985" s="13">
        <v>1</v>
      </c>
      <c r="N985" s="5" t="s">
        <v>51</v>
      </c>
      <c r="O985" s="5" t="s">
        <v>52</v>
      </c>
      <c r="P985" s="10" t="s">
        <v>146</v>
      </c>
      <c r="Q985" s="10" t="s">
        <v>44</v>
      </c>
      <c r="R985" s="11" t="s">
        <v>44</v>
      </c>
      <c r="S985" s="11" t="s">
        <v>44</v>
      </c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G985" s="71"/>
      <c r="AH985" s="71"/>
      <c r="AI985" s="71"/>
      <c r="AJ985" s="71"/>
      <c r="AK985" s="71"/>
      <c r="AL985" s="71"/>
      <c r="AM985" s="71"/>
      <c r="AN985" s="71"/>
      <c r="AO985" s="71"/>
      <c r="AP985" s="71"/>
      <c r="AQ985" s="71"/>
      <c r="AR985" s="71"/>
      <c r="AS985" s="94" t="str" cm="1">
        <f t="array" ref="AS985">IFERROR(INDEX(T985:AE985,1,MATCH(2,1/(T985:AE985&lt;&gt;""))),"")</f>
        <v/>
      </c>
      <c r="AT985" s="95" t="str" cm="1">
        <f t="array" ref="AT985">IFERROR(INDEX(AJ985:AR985,1,MATCH(2,1/(AJ985:AR985&lt;&gt;""))),"")</f>
        <v/>
      </c>
      <c r="AU985" s="97" t="str">
        <f t="shared" si="1196"/>
        <v/>
      </c>
      <c r="AW985" s="52">
        <f t="shared" si="1197"/>
        <v>0</v>
      </c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68" cm="1">
        <f t="array" ref="BI985">IFERROR(INDEX(AW985:BH985,1,MATCH(2,1/(AW985:BH985&lt;&gt;""))),"")</f>
        <v>0</v>
      </c>
      <c r="BJ985" s="68" t="str" cm="1">
        <f t="array" ref="BJ985">IF(BM985 = "", "",IFERROR(INDEX(AW985:BH985,1,MATCH(2,1/(AW985:BH985&lt;&gt;""),1)-1),""))</f>
        <v/>
      </c>
      <c r="BK985" s="59">
        <f t="shared" si="1198"/>
        <v>0</v>
      </c>
      <c r="BL985" s="59" cm="1">
        <f t="array" ref="BL985">IFERROR(SUM(AW985:INDEX(AW985:BH985, MATCH(2, 1/(AW985:BH985&lt;&gt;""), 1) - 1))/_xlfn.XLOOKUP(F985,Apuração!A:A,Apuração!B:B),0)</f>
        <v>0</v>
      </c>
      <c r="BM985" s="55" t="str" cm="1">
        <f t="array" ref="BM985">IFERROR(
   INDEX($AW$1:$BH$1,
      _xlfn.AGGREGATE(14, 6, COLUMN($AW$1:$BH$1)/(AW985:BH985&lt;&gt;""), 2) - COLUMN($AW$1) + 1
   ),
"")</f>
        <v/>
      </c>
      <c r="BN985" s="55" cm="1">
        <f t="array" ref="BN985">IFERROR(INDEX($AW$1:$BH$1,1,MATCH(2,1/(AW985:BH985&lt;&gt;""))),"")</f>
        <v>46023</v>
      </c>
      <c r="BO985" s="53">
        <f ca="1">IFERROR(_xlfn.XLOOKUP(F985,Apuração!A:A,Apuração!C:C)/_xlfn.XLOOKUP(F985,Apuração!A:A,Apuração!B:B),0)</f>
        <v>0</v>
      </c>
      <c r="BP985" s="53">
        <f ca="1">IFERROR(_xlfn.XLOOKUP(F985,Apuração!A:A,Apuração!D:D)/_xlfn.XLOOKUP(F985,Apuração!A:A,Apuração!B:B),0)</f>
        <v>0</v>
      </c>
      <c r="BQ985" s="53">
        <f ca="1">IF(BK985&gt;=BO985,0,_xlfn.XLOOKUP(F985,Apuração!A:A,Apuração!B:B)*(BO985 + (1/_xlfn.XLOOKUP(F985,Apuração!A:A,Apuração!B:B)) - BK985))</f>
        <v>0</v>
      </c>
      <c r="BR985" s="85">
        <f t="shared" ca="1" si="1199"/>
        <v>0</v>
      </c>
      <c r="BS985" s="53">
        <f ca="1">IFERROR((_xlfn.XLOOKUP(F985,Apuração!A:A,Apuração!C:C)+1)/_xlfn.XLOOKUP(F985,Apuração!A:A,Apuração!B:B),0)</f>
        <v>0.14285714285714285</v>
      </c>
    </row>
    <row r="986" spans="1:71" ht="25.95" hidden="1" customHeight="1" x14ac:dyDescent="0.3">
      <c r="A986" s="44" t="s">
        <v>175</v>
      </c>
      <c r="B986" s="4" t="s">
        <v>197</v>
      </c>
      <c r="C986" s="5" t="s">
        <v>97</v>
      </c>
      <c r="D986" s="5" t="s">
        <v>103</v>
      </c>
      <c r="E986" s="4" t="s">
        <v>96</v>
      </c>
      <c r="F986" s="4" t="str" cm="1">
        <f t="array" ref="F986">_xlfn.IFS(
AG986 &lt;&gt; "", "Jan-Dez/26",
AH986 &lt;&gt; "", "Fev-Dez/26",
AI986 &lt;&gt; "", "Mar-Dez/26", AJ986 &lt;&gt; "", "Abr-Dez/26",
TRUE, "A partir de Junho"
)</f>
        <v>A partir de Junho</v>
      </c>
      <c r="G986" s="4" t="s">
        <v>62</v>
      </c>
      <c r="H986" s="7" t="s">
        <v>38</v>
      </c>
      <c r="I986" s="21" t="s">
        <v>180</v>
      </c>
      <c r="J986" s="8" t="str" cm="1">
        <f t="array" aca="1" ref="J986" ca="1">_xlfn.LET(
  _xlpm.actual_value_month, INDEX(T986:AE986, MATCH(DATE(YEAR(TODAY()), MONTH(TODAY()), 1), $T$1:$AE$1, 0)),
  IF(_xlpm.actual_value_month &lt;&gt; "", _xlpm.actual_value_month &amp; " ações mensais", "")
)</f>
        <v/>
      </c>
      <c r="K986" s="34" t="str" cm="1">
        <f t="array" ref="K986">_xlfn.LET(
    _xlpm.sum_month, SUM(T986:AE986),
    IF(_xlpm.sum_month = 0, "", _xlpm.sum_month &amp; " colaboradores treinados.")
)</f>
        <v/>
      </c>
      <c r="L986" s="9" t="s">
        <v>199</v>
      </c>
      <c r="M986" s="13">
        <v>1</v>
      </c>
      <c r="N986" s="5" t="s">
        <v>51</v>
      </c>
      <c r="O986" s="5" t="s">
        <v>52</v>
      </c>
      <c r="P986" s="10" t="s">
        <v>146</v>
      </c>
      <c r="Q986" s="10" t="s">
        <v>44</v>
      </c>
      <c r="R986" s="11" t="s">
        <v>44</v>
      </c>
      <c r="S986" s="11" t="s">
        <v>44</v>
      </c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G986" s="71"/>
      <c r="AH986" s="71"/>
      <c r="AI986" s="71"/>
      <c r="AJ986" s="71"/>
      <c r="AK986" s="71"/>
      <c r="AL986" s="71"/>
      <c r="AM986" s="71"/>
      <c r="AN986" s="71"/>
      <c r="AO986" s="71"/>
      <c r="AP986" s="71"/>
      <c r="AQ986" s="71"/>
      <c r="AR986" s="71"/>
      <c r="AS986" s="94" t="str" cm="1">
        <f t="array" ref="AS986">IFERROR(INDEX(T986:AE986,1,MATCH(2,1/(T986:AE986&lt;&gt;""))),"")</f>
        <v/>
      </c>
      <c r="AT986" s="95" t="str" cm="1">
        <f t="array" ref="AT986">IFERROR(INDEX(AJ986:AR986,1,MATCH(2,1/(AJ986:AR986&lt;&gt;""))),"")</f>
        <v/>
      </c>
      <c r="AU986" s="97" t="str">
        <f t="shared" si="1196"/>
        <v/>
      </c>
      <c r="AW986" s="52">
        <f t="shared" si="1197"/>
        <v>0</v>
      </c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68" cm="1">
        <f t="array" ref="BI986">IFERROR(INDEX(AW986:BH986,1,MATCH(2,1/(AW986:BH986&lt;&gt;""))),"")</f>
        <v>0</v>
      </c>
      <c r="BJ986" s="68" t="str" cm="1">
        <f t="array" ref="BJ986">IF(BM986 = "", "",IFERROR(INDEX(AW986:BH986,1,MATCH(2,1/(AW986:BH986&lt;&gt;""),1)-1),""))</f>
        <v/>
      </c>
      <c r="BK986" s="59">
        <f t="shared" si="1198"/>
        <v>0</v>
      </c>
      <c r="BL986" s="59" cm="1">
        <f t="array" ref="BL986">IFERROR(SUM(AW986:INDEX(AW986:BH986, MATCH(2, 1/(AW986:BH986&lt;&gt;""), 1) - 1))/_xlfn.XLOOKUP(F986,Apuração!A:A,Apuração!B:B),0)</f>
        <v>0</v>
      </c>
      <c r="BM986" s="55" t="str" cm="1">
        <f t="array" ref="BM986">IFERROR(
   INDEX($AW$1:$BH$1,
      _xlfn.AGGREGATE(14, 6, COLUMN($AW$1:$BH$1)/(AW986:BH986&lt;&gt;""), 2) - COLUMN($AW$1) + 1
   ),
"")</f>
        <v/>
      </c>
      <c r="BN986" s="55" cm="1">
        <f t="array" ref="BN986">IFERROR(INDEX($AW$1:$BH$1,1,MATCH(2,1/(AW986:BH986&lt;&gt;""))),"")</f>
        <v>46023</v>
      </c>
      <c r="BO986" s="53">
        <f ca="1">IFERROR(_xlfn.XLOOKUP(F986,Apuração!A:A,Apuração!C:C)/_xlfn.XLOOKUP(F986,Apuração!A:A,Apuração!B:B),0)</f>
        <v>0</v>
      </c>
      <c r="BP986" s="53">
        <f ca="1">IFERROR(_xlfn.XLOOKUP(F986,Apuração!A:A,Apuração!D:D)/_xlfn.XLOOKUP(F986,Apuração!A:A,Apuração!B:B),0)</f>
        <v>0</v>
      </c>
      <c r="BQ986" s="53">
        <f ca="1">IF(BK986&gt;=BO986,0,_xlfn.XLOOKUP(F986,Apuração!A:A,Apuração!B:B)*(BO986 + (1/_xlfn.XLOOKUP(F986,Apuração!A:A,Apuração!B:B)) - BK986))</f>
        <v>0</v>
      </c>
      <c r="BR986" s="85">
        <f t="shared" ca="1" si="1199"/>
        <v>0</v>
      </c>
      <c r="BS986" s="53">
        <f ca="1">IFERROR((_xlfn.XLOOKUP(F986,Apuração!A:A,Apuração!C:C)+1)/_xlfn.XLOOKUP(F986,Apuração!A:A,Apuração!B:B),0)</f>
        <v>0.14285714285714285</v>
      </c>
    </row>
    <row r="987" spans="1:71" ht="25.95" hidden="1" customHeight="1" x14ac:dyDescent="0.3">
      <c r="A987" s="44" t="s">
        <v>175</v>
      </c>
      <c r="B987" s="4" t="s">
        <v>197</v>
      </c>
      <c r="C987" s="5" t="s">
        <v>97</v>
      </c>
      <c r="D987" s="5" t="s">
        <v>104</v>
      </c>
      <c r="E987" s="4" t="s">
        <v>96</v>
      </c>
      <c r="F987" s="4" t="str" cm="1">
        <f t="array" ref="F987">_xlfn.IFS(
AG987 &lt;&gt; "", "Jan-Dez/26",
AH987 &lt;&gt; "", "Fev-Dez/26",
AI987 &lt;&gt; "", "Mar-Dez/26", AJ987 &lt;&gt; "", "Abr-Dez/26",
TRUE, "A partir de Junho"
)</f>
        <v>A partir de Junho</v>
      </c>
      <c r="G987" s="4" t="s">
        <v>62</v>
      </c>
      <c r="H987" s="7" t="s">
        <v>38</v>
      </c>
      <c r="I987" s="21" t="s">
        <v>180</v>
      </c>
      <c r="J987" s="8" t="str" cm="1">
        <f t="array" aca="1" ref="J987" ca="1">_xlfn.LET(
  _xlpm.actual_value_month, INDEX(T987:AE987, MATCH(DATE(YEAR(TODAY()), MONTH(TODAY()), 1), $T$1:$AE$1, 0)),
  IF(_xlpm.actual_value_month &lt;&gt; "", _xlpm.actual_value_month &amp; " ações mensais", "")
)</f>
        <v/>
      </c>
      <c r="K987" s="34" t="str" cm="1">
        <f t="array" ref="K987">_xlfn.LET(
    _xlpm.sum_month, SUM(T987:AE987),
    IF(_xlpm.sum_month = 0, "", _xlpm.sum_month &amp; " colaboradores treinados.")
)</f>
        <v/>
      </c>
      <c r="L987" s="9" t="s">
        <v>199</v>
      </c>
      <c r="M987" s="13">
        <v>1</v>
      </c>
      <c r="N987" s="5" t="s">
        <v>51</v>
      </c>
      <c r="O987" s="5" t="s">
        <v>52</v>
      </c>
      <c r="P987" s="10" t="s">
        <v>146</v>
      </c>
      <c r="Q987" s="10" t="s">
        <v>44</v>
      </c>
      <c r="R987" s="11" t="s">
        <v>44</v>
      </c>
      <c r="S987" s="11" t="s">
        <v>44</v>
      </c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G987" s="71"/>
      <c r="AH987" s="71"/>
      <c r="AI987" s="71"/>
      <c r="AJ987" s="71"/>
      <c r="AK987" s="71"/>
      <c r="AL987" s="71"/>
      <c r="AM987" s="71"/>
      <c r="AN987" s="71"/>
      <c r="AO987" s="71"/>
      <c r="AP987" s="71"/>
      <c r="AQ987" s="71"/>
      <c r="AR987" s="71"/>
      <c r="AS987" s="94" t="str" cm="1">
        <f t="array" ref="AS987">IFERROR(INDEX(T987:AE987,1,MATCH(2,1/(T987:AE987&lt;&gt;""))),"")</f>
        <v/>
      </c>
      <c r="AT987" s="95" t="str" cm="1">
        <f t="array" ref="AT987">IFERROR(INDEX(AJ987:AR987,1,MATCH(2,1/(AJ987:AR987&lt;&gt;""))),"")</f>
        <v/>
      </c>
      <c r="AU987" s="97" t="str">
        <f t="shared" si="1196"/>
        <v/>
      </c>
      <c r="AW987" s="52">
        <f t="shared" si="1197"/>
        <v>0</v>
      </c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68" cm="1">
        <f t="array" ref="BI987">IFERROR(INDEX(AW987:BH987,1,MATCH(2,1/(AW987:BH987&lt;&gt;""))),"")</f>
        <v>0</v>
      </c>
      <c r="BJ987" s="68" t="str" cm="1">
        <f t="array" ref="BJ987">IF(BM987 = "", "",IFERROR(INDEX(AW987:BH987,1,MATCH(2,1/(AW987:BH987&lt;&gt;""),1)-1),""))</f>
        <v/>
      </c>
      <c r="BK987" s="59">
        <f t="shared" si="1198"/>
        <v>0</v>
      </c>
      <c r="BL987" s="59" cm="1">
        <f t="array" ref="BL987">IFERROR(SUM(AW987:INDEX(AW987:BH987, MATCH(2, 1/(AW987:BH987&lt;&gt;""), 1) - 1))/_xlfn.XLOOKUP(F987,Apuração!A:A,Apuração!B:B),0)</f>
        <v>0</v>
      </c>
      <c r="BM987" s="55" t="str" cm="1">
        <f t="array" ref="BM987">IFERROR(
   INDEX($AW$1:$BH$1,
      _xlfn.AGGREGATE(14, 6, COLUMN($AW$1:$BH$1)/(AW987:BH987&lt;&gt;""), 2) - COLUMN($AW$1) + 1
   ),
"")</f>
        <v/>
      </c>
      <c r="BN987" s="55" cm="1">
        <f t="array" ref="BN987">IFERROR(INDEX($AW$1:$BH$1,1,MATCH(2,1/(AW987:BH987&lt;&gt;""))),"")</f>
        <v>46023</v>
      </c>
      <c r="BO987" s="53">
        <f ca="1">IFERROR(_xlfn.XLOOKUP(F987,Apuração!A:A,Apuração!C:C)/_xlfn.XLOOKUP(F987,Apuração!A:A,Apuração!B:B),0)</f>
        <v>0</v>
      </c>
      <c r="BP987" s="53">
        <f ca="1">IFERROR(_xlfn.XLOOKUP(F987,Apuração!A:A,Apuração!D:D)/_xlfn.XLOOKUP(F987,Apuração!A:A,Apuração!B:B),0)</f>
        <v>0</v>
      </c>
      <c r="BQ987" s="53">
        <f ca="1">IF(BK987&gt;=BO987,0,_xlfn.XLOOKUP(F987,Apuração!A:A,Apuração!B:B)*(BO987 + (1/_xlfn.XLOOKUP(F987,Apuração!A:A,Apuração!B:B)) - BK987))</f>
        <v>0</v>
      </c>
      <c r="BR987" s="85">
        <f t="shared" ca="1" si="1199"/>
        <v>0</v>
      </c>
      <c r="BS987" s="53">
        <f ca="1">IFERROR((_xlfn.XLOOKUP(F987,Apuração!A:A,Apuração!C:C)+1)/_xlfn.XLOOKUP(F987,Apuração!A:A,Apuração!B:B),0)</f>
        <v>0.14285714285714285</v>
      </c>
    </row>
    <row r="988" spans="1:71" ht="25.95" hidden="1" customHeight="1" x14ac:dyDescent="0.3">
      <c r="A988" s="44" t="s">
        <v>175</v>
      </c>
      <c r="B988" s="4" t="s">
        <v>197</v>
      </c>
      <c r="C988" s="5" t="s">
        <v>97</v>
      </c>
      <c r="D988" s="5" t="s">
        <v>105</v>
      </c>
      <c r="E988" s="4" t="s">
        <v>96</v>
      </c>
      <c r="F988" s="4" t="str" cm="1">
        <f t="array" ref="F988">_xlfn.IFS(
AG988 &lt;&gt; "", "Jan-Dez/26",
AH988 &lt;&gt; "", "Fev-Dez/26",
AI988 &lt;&gt; "", "Mar-Dez/26", AJ988 &lt;&gt; "", "Abr-Dez/26",
TRUE, "A partir de Junho"
)</f>
        <v>A partir de Junho</v>
      </c>
      <c r="G988" s="4" t="s">
        <v>62</v>
      </c>
      <c r="H988" s="7" t="s">
        <v>38</v>
      </c>
      <c r="I988" s="21" t="s">
        <v>180</v>
      </c>
      <c r="J988" s="8" t="str" cm="1">
        <f t="array" aca="1" ref="J988" ca="1">_xlfn.LET(
  _xlpm.actual_value_month, INDEX(T988:AE988, MATCH(DATE(YEAR(TODAY()), MONTH(TODAY()), 1), $T$1:$AE$1, 0)),
  IF(_xlpm.actual_value_month &lt;&gt; "", _xlpm.actual_value_month &amp; " ações mensais", "")
)</f>
        <v/>
      </c>
      <c r="K988" s="34" t="str" cm="1">
        <f t="array" ref="K988">_xlfn.LET(
    _xlpm.sum_month, SUM(T988:AE988),
    IF(_xlpm.sum_month = 0, "", _xlpm.sum_month &amp; " colaboradores treinados.")
)</f>
        <v/>
      </c>
      <c r="L988" s="9" t="s">
        <v>199</v>
      </c>
      <c r="M988" s="13">
        <v>1</v>
      </c>
      <c r="N988" s="5" t="s">
        <v>51</v>
      </c>
      <c r="O988" s="5" t="s">
        <v>52</v>
      </c>
      <c r="P988" s="10" t="s">
        <v>146</v>
      </c>
      <c r="Q988" s="10" t="s">
        <v>44</v>
      </c>
      <c r="R988" s="11" t="s">
        <v>44</v>
      </c>
      <c r="S988" s="11" t="s">
        <v>44</v>
      </c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G988" s="71"/>
      <c r="AH988" s="71"/>
      <c r="AI988" s="71"/>
      <c r="AJ988" s="71"/>
      <c r="AK988" s="71"/>
      <c r="AL988" s="71"/>
      <c r="AM988" s="71"/>
      <c r="AN988" s="71"/>
      <c r="AO988" s="71"/>
      <c r="AP988" s="71"/>
      <c r="AQ988" s="71"/>
      <c r="AR988" s="71"/>
      <c r="AS988" s="94" t="str" cm="1">
        <f t="array" ref="AS988">IFERROR(INDEX(T988:AE988,1,MATCH(2,1/(T988:AE988&lt;&gt;""))),"")</f>
        <v/>
      </c>
      <c r="AT988" s="95" t="str" cm="1">
        <f t="array" ref="AT988">IFERROR(INDEX(AJ988:AR988,1,MATCH(2,1/(AJ988:AR988&lt;&gt;""))),"")</f>
        <v/>
      </c>
      <c r="AU988" s="97" t="str">
        <f t="shared" si="1196"/>
        <v/>
      </c>
      <c r="AW988" s="52">
        <f t="shared" si="1197"/>
        <v>0</v>
      </c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68" cm="1">
        <f t="array" ref="BI988">IFERROR(INDEX(AW988:BH988,1,MATCH(2,1/(AW988:BH988&lt;&gt;""))),"")</f>
        <v>0</v>
      </c>
      <c r="BJ988" s="68" t="str" cm="1">
        <f t="array" ref="BJ988">IF(BM988 = "", "",IFERROR(INDEX(AW988:BH988,1,MATCH(2,1/(AW988:BH988&lt;&gt;""),1)-1),""))</f>
        <v/>
      </c>
      <c r="BK988" s="59">
        <f t="shared" si="1198"/>
        <v>0</v>
      </c>
      <c r="BL988" s="59" cm="1">
        <f t="array" ref="BL988">IFERROR(SUM(AW988:INDEX(AW988:BH988, MATCH(2, 1/(AW988:BH988&lt;&gt;""), 1) - 1))/_xlfn.XLOOKUP(F988,Apuração!A:A,Apuração!B:B),0)</f>
        <v>0</v>
      </c>
      <c r="BM988" s="55" t="str" cm="1">
        <f t="array" ref="BM988">IFERROR(
   INDEX($AW$1:$BH$1,
      _xlfn.AGGREGATE(14, 6, COLUMN($AW$1:$BH$1)/(AW988:BH988&lt;&gt;""), 2) - COLUMN($AW$1) + 1
   ),
"")</f>
        <v/>
      </c>
      <c r="BN988" s="55" cm="1">
        <f t="array" ref="BN988">IFERROR(INDEX($AW$1:$BH$1,1,MATCH(2,1/(AW988:BH988&lt;&gt;""))),"")</f>
        <v>46023</v>
      </c>
      <c r="BO988" s="53">
        <f ca="1">IFERROR(_xlfn.XLOOKUP(F988,Apuração!A:A,Apuração!C:C)/_xlfn.XLOOKUP(F988,Apuração!A:A,Apuração!B:B),0)</f>
        <v>0</v>
      </c>
      <c r="BP988" s="53">
        <f ca="1">IFERROR(_xlfn.XLOOKUP(F988,Apuração!A:A,Apuração!D:D)/_xlfn.XLOOKUP(F988,Apuração!A:A,Apuração!B:B),0)</f>
        <v>0</v>
      </c>
      <c r="BQ988" s="53">
        <f ca="1">IF(BK988&gt;=BO988,0,_xlfn.XLOOKUP(F988,Apuração!A:A,Apuração!B:B)*(BO988 + (1/_xlfn.XLOOKUP(F988,Apuração!A:A,Apuração!B:B)) - BK988))</f>
        <v>0</v>
      </c>
      <c r="BR988" s="85">
        <f t="shared" ca="1" si="1199"/>
        <v>0</v>
      </c>
      <c r="BS988" s="53">
        <f ca="1">IFERROR((_xlfn.XLOOKUP(F988,Apuração!A:A,Apuração!C:C)+1)/_xlfn.XLOOKUP(F988,Apuração!A:A,Apuração!B:B),0)</f>
        <v>0.14285714285714285</v>
      </c>
    </row>
    <row r="989" spans="1:71" ht="25.95" hidden="1" customHeight="1" x14ac:dyDescent="0.3">
      <c r="A989" s="44" t="s">
        <v>175</v>
      </c>
      <c r="B989" s="4" t="s">
        <v>197</v>
      </c>
      <c r="C989" s="5" t="s">
        <v>97</v>
      </c>
      <c r="D989" s="5" t="s">
        <v>106</v>
      </c>
      <c r="E989" s="4" t="s">
        <v>96</v>
      </c>
      <c r="F989" s="4" t="str" cm="1">
        <f t="array" ref="F989">_xlfn.IFS(
AG989 &lt;&gt; "", "Jan-Dez/26",
AH989 &lt;&gt; "", "Fev-Dez/26",
AI989 &lt;&gt; "", "Mar-Dez/26", AJ989 &lt;&gt; "", "Abr-Dez/26",
TRUE, "A partir de Junho"
)</f>
        <v>A partir de Junho</v>
      </c>
      <c r="G989" s="4" t="s">
        <v>62</v>
      </c>
      <c r="H989" s="7" t="s">
        <v>38</v>
      </c>
      <c r="I989" s="21" t="s">
        <v>180</v>
      </c>
      <c r="J989" s="8" t="str" cm="1">
        <f t="array" aca="1" ref="J989" ca="1">_xlfn.LET(
  _xlpm.actual_value_month, INDEX(T989:AE989, MATCH(DATE(YEAR(TODAY()), MONTH(TODAY()), 1), $T$1:$AE$1, 0)),
  IF(_xlpm.actual_value_month &lt;&gt; "", _xlpm.actual_value_month &amp; " ações mensais", "")
)</f>
        <v/>
      </c>
      <c r="K989" s="34" t="str" cm="1">
        <f t="array" ref="K989">_xlfn.LET(
    _xlpm.sum_month, SUM(T989:AE989),
    IF(_xlpm.sum_month = 0, "", _xlpm.sum_month &amp; " colaboradores treinados.")
)</f>
        <v/>
      </c>
      <c r="L989" s="9" t="s">
        <v>199</v>
      </c>
      <c r="M989" s="13">
        <v>1</v>
      </c>
      <c r="N989" s="5" t="s">
        <v>51</v>
      </c>
      <c r="O989" s="5" t="s">
        <v>52</v>
      </c>
      <c r="P989" s="10" t="s">
        <v>146</v>
      </c>
      <c r="Q989" s="10" t="s">
        <v>44</v>
      </c>
      <c r="R989" s="11" t="s">
        <v>44</v>
      </c>
      <c r="S989" s="11" t="s">
        <v>44</v>
      </c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G989" s="71"/>
      <c r="AH989" s="71"/>
      <c r="AI989" s="71"/>
      <c r="AJ989" s="71"/>
      <c r="AK989" s="71"/>
      <c r="AL989" s="71"/>
      <c r="AM989" s="71"/>
      <c r="AN989" s="71"/>
      <c r="AO989" s="71"/>
      <c r="AP989" s="71"/>
      <c r="AQ989" s="71"/>
      <c r="AR989" s="71"/>
      <c r="AS989" s="94" t="str" cm="1">
        <f t="array" ref="AS989">IFERROR(INDEX(T989:AE989,1,MATCH(2,1/(T989:AE989&lt;&gt;""))),"")</f>
        <v/>
      </c>
      <c r="AT989" s="95" t="str" cm="1">
        <f t="array" ref="AT989">IFERROR(INDEX(AJ989:AR989,1,MATCH(2,1/(AJ989:AR989&lt;&gt;""))),"")</f>
        <v/>
      </c>
      <c r="AU989" s="97" t="str">
        <f t="shared" si="1196"/>
        <v/>
      </c>
      <c r="AW989" s="52">
        <f t="shared" si="1197"/>
        <v>0</v>
      </c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68" cm="1">
        <f t="array" ref="BI989">IFERROR(INDEX(AW989:BH989,1,MATCH(2,1/(AW989:BH989&lt;&gt;""))),"")</f>
        <v>0</v>
      </c>
      <c r="BJ989" s="68" t="str" cm="1">
        <f t="array" ref="BJ989">IF(BM989 = "", "",IFERROR(INDEX(AW989:BH989,1,MATCH(2,1/(AW989:BH989&lt;&gt;""),1)-1),""))</f>
        <v/>
      </c>
      <c r="BK989" s="59">
        <f t="shared" si="1198"/>
        <v>0</v>
      </c>
      <c r="BL989" s="59" cm="1">
        <f t="array" ref="BL989">IFERROR(SUM(AW989:INDEX(AW989:BH989, MATCH(2, 1/(AW989:BH989&lt;&gt;""), 1) - 1))/_xlfn.XLOOKUP(F989,Apuração!A:A,Apuração!B:B),0)</f>
        <v>0</v>
      </c>
      <c r="BM989" s="55" t="str" cm="1">
        <f t="array" ref="BM989">IFERROR(
   INDEX($AW$1:$BH$1,
      _xlfn.AGGREGATE(14, 6, COLUMN($AW$1:$BH$1)/(AW989:BH989&lt;&gt;""), 2) - COLUMN($AW$1) + 1
   ),
"")</f>
        <v/>
      </c>
      <c r="BN989" s="55" cm="1">
        <f t="array" ref="BN989">IFERROR(INDEX($AW$1:$BH$1,1,MATCH(2,1/(AW989:BH989&lt;&gt;""))),"")</f>
        <v>46023</v>
      </c>
      <c r="BO989" s="53">
        <f ca="1">IFERROR(_xlfn.XLOOKUP(F989,Apuração!A:A,Apuração!C:C)/_xlfn.XLOOKUP(F989,Apuração!A:A,Apuração!B:B),0)</f>
        <v>0</v>
      </c>
      <c r="BP989" s="53">
        <f ca="1">IFERROR(_xlfn.XLOOKUP(F989,Apuração!A:A,Apuração!D:D)/_xlfn.XLOOKUP(F989,Apuração!A:A,Apuração!B:B),0)</f>
        <v>0</v>
      </c>
      <c r="BQ989" s="53">
        <f ca="1">IF(BK989&gt;=BO989,0,_xlfn.XLOOKUP(F989,Apuração!A:A,Apuração!B:B)*(BO989 + (1/_xlfn.XLOOKUP(F989,Apuração!A:A,Apuração!B:B)) - BK989))</f>
        <v>0</v>
      </c>
      <c r="BR989" s="85">
        <f t="shared" ca="1" si="1199"/>
        <v>0</v>
      </c>
      <c r="BS989" s="53">
        <f ca="1">IFERROR((_xlfn.XLOOKUP(F989,Apuração!A:A,Apuração!C:C)+1)/_xlfn.XLOOKUP(F989,Apuração!A:A,Apuração!B:B),0)</f>
        <v>0.14285714285714285</v>
      </c>
    </row>
    <row r="990" spans="1:71" ht="25.95" hidden="1" customHeight="1" x14ac:dyDescent="0.3">
      <c r="A990" s="44" t="s">
        <v>175</v>
      </c>
      <c r="B990" s="4" t="s">
        <v>197</v>
      </c>
      <c r="C990" s="5" t="s">
        <v>97</v>
      </c>
      <c r="D990" s="5" t="s">
        <v>107</v>
      </c>
      <c r="E990" s="4" t="s">
        <v>96</v>
      </c>
      <c r="F990" s="4" t="str" cm="1">
        <f t="array" ref="F990">_xlfn.IFS(
AG990 &lt;&gt; "", "Jan-Dez/26",
AH990 &lt;&gt; "", "Fev-Dez/26",
AI990 &lt;&gt; "", "Mar-Dez/26", AJ990 &lt;&gt; "", "Abr-Dez/26",
TRUE, "A partir de Junho"
)</f>
        <v>A partir de Junho</v>
      </c>
      <c r="G990" s="4" t="s">
        <v>62</v>
      </c>
      <c r="H990" s="7" t="s">
        <v>38</v>
      </c>
      <c r="I990" s="21" t="s">
        <v>180</v>
      </c>
      <c r="J990" s="8" t="str" cm="1">
        <f t="array" aca="1" ref="J990" ca="1">_xlfn.LET(
  _xlpm.actual_value_month, INDEX(T990:AE990, MATCH(DATE(YEAR(TODAY()), MONTH(TODAY()), 1), $T$1:$AE$1, 0)),
  IF(_xlpm.actual_value_month &lt;&gt; "", _xlpm.actual_value_month &amp; " ações mensais", "")
)</f>
        <v/>
      </c>
      <c r="K990" s="34" t="str" cm="1">
        <f t="array" ref="K990">_xlfn.LET(
    _xlpm.sum_month, SUM(T990:AE990),
    IF(_xlpm.sum_month = 0, "", _xlpm.sum_month &amp; " colaboradores treinados.")
)</f>
        <v/>
      </c>
      <c r="L990" s="9" t="s">
        <v>199</v>
      </c>
      <c r="M990" s="13">
        <v>1</v>
      </c>
      <c r="N990" s="5" t="s">
        <v>51</v>
      </c>
      <c r="O990" s="5" t="s">
        <v>52</v>
      </c>
      <c r="P990" s="10" t="s">
        <v>146</v>
      </c>
      <c r="Q990" s="10" t="s">
        <v>44</v>
      </c>
      <c r="R990" s="11" t="s">
        <v>44</v>
      </c>
      <c r="S990" s="11" t="s">
        <v>44</v>
      </c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G990" s="71"/>
      <c r="AH990" s="71"/>
      <c r="AI990" s="71"/>
      <c r="AJ990" s="71"/>
      <c r="AK990" s="71"/>
      <c r="AL990" s="71"/>
      <c r="AM990" s="71"/>
      <c r="AN990" s="71"/>
      <c r="AO990" s="71"/>
      <c r="AP990" s="71"/>
      <c r="AQ990" s="71"/>
      <c r="AR990" s="71"/>
      <c r="AS990" s="94" t="str" cm="1">
        <f t="array" ref="AS990">IFERROR(INDEX(T990:AE990,1,MATCH(2,1/(T990:AE990&lt;&gt;""))),"")</f>
        <v/>
      </c>
      <c r="AT990" s="95" t="str" cm="1">
        <f t="array" ref="AT990">IFERROR(INDEX(AJ990:AR990,1,MATCH(2,1/(AJ990:AR990&lt;&gt;""))),"")</f>
        <v/>
      </c>
      <c r="AU990" s="97" t="str">
        <f t="shared" si="1196"/>
        <v/>
      </c>
      <c r="AW990" s="52">
        <f t="shared" si="1197"/>
        <v>0</v>
      </c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68" cm="1">
        <f t="array" ref="BI990">IFERROR(INDEX(AW990:BH990,1,MATCH(2,1/(AW990:BH990&lt;&gt;""))),"")</f>
        <v>0</v>
      </c>
      <c r="BJ990" s="68" t="str" cm="1">
        <f t="array" ref="BJ990">IF(BM990 = "", "",IFERROR(INDEX(AW990:BH990,1,MATCH(2,1/(AW990:BH990&lt;&gt;""),1)-1),""))</f>
        <v/>
      </c>
      <c r="BK990" s="59">
        <f t="shared" si="1198"/>
        <v>0</v>
      </c>
      <c r="BL990" s="59" cm="1">
        <f t="array" ref="BL990">IFERROR(SUM(AW990:INDEX(AW990:BH990, MATCH(2, 1/(AW990:BH990&lt;&gt;""), 1) - 1))/_xlfn.XLOOKUP(F990,Apuração!A:A,Apuração!B:B),0)</f>
        <v>0</v>
      </c>
      <c r="BM990" s="55" t="str" cm="1">
        <f t="array" ref="BM990">IFERROR(
   INDEX($AW$1:$BH$1,
      _xlfn.AGGREGATE(14, 6, COLUMN($AW$1:$BH$1)/(AW990:BH990&lt;&gt;""), 2) - COLUMN($AW$1) + 1
   ),
"")</f>
        <v/>
      </c>
      <c r="BN990" s="55" cm="1">
        <f t="array" ref="BN990">IFERROR(INDEX($AW$1:$BH$1,1,MATCH(2,1/(AW990:BH990&lt;&gt;""))),"")</f>
        <v>46023</v>
      </c>
      <c r="BO990" s="53">
        <f ca="1">IFERROR(_xlfn.XLOOKUP(F990,Apuração!A:A,Apuração!C:C)/_xlfn.XLOOKUP(F990,Apuração!A:A,Apuração!B:B),0)</f>
        <v>0</v>
      </c>
      <c r="BP990" s="53">
        <f ca="1">IFERROR(_xlfn.XLOOKUP(F990,Apuração!A:A,Apuração!D:D)/_xlfn.XLOOKUP(F990,Apuração!A:A,Apuração!B:B),0)</f>
        <v>0</v>
      </c>
      <c r="BQ990" s="53">
        <f ca="1">IF(BK990&gt;=BO990,0,_xlfn.XLOOKUP(F990,Apuração!A:A,Apuração!B:B)*(BO990 + (1/_xlfn.XLOOKUP(F990,Apuração!A:A,Apuração!B:B)) - BK990))</f>
        <v>0</v>
      </c>
      <c r="BR990" s="85">
        <f t="shared" ca="1" si="1199"/>
        <v>0</v>
      </c>
      <c r="BS990" s="53">
        <f ca="1">IFERROR((_xlfn.XLOOKUP(F990,Apuração!A:A,Apuração!C:C)+1)/_xlfn.XLOOKUP(F990,Apuração!A:A,Apuração!B:B),0)</f>
        <v>0.14285714285714285</v>
      </c>
    </row>
    <row r="991" spans="1:71" ht="25.95" hidden="1" customHeight="1" x14ac:dyDescent="0.3">
      <c r="A991" s="44" t="s">
        <v>175</v>
      </c>
      <c r="B991" s="4" t="s">
        <v>197</v>
      </c>
      <c r="C991" s="5" t="s">
        <v>97</v>
      </c>
      <c r="D991" s="5" t="s">
        <v>36</v>
      </c>
      <c r="E991" s="4" t="s">
        <v>96</v>
      </c>
      <c r="F991" s="4" t="str" cm="1">
        <f t="array" ref="F991">_xlfn.IFS(
AG991 &lt;&gt; "", "Jan-Dez/26",
AH991 &lt;&gt; "", "Fev-Dez/26",
AI991 &lt;&gt; "", "Mar-Dez/26", AJ991 &lt;&gt; "", "Abr-Dez/26",
TRUE, "A partir de Junho"
)</f>
        <v>A partir de Junho</v>
      </c>
      <c r="G991" s="4" t="s">
        <v>62</v>
      </c>
      <c r="H991" s="7" t="s">
        <v>38</v>
      </c>
      <c r="I991" s="21" t="s">
        <v>182</v>
      </c>
      <c r="J991" s="8" t="str" cm="1">
        <f t="array" aca="1" ref="J991" ca="1">_xlfn.LET(
  _xlpm.actual_value_month, INDEX(T991:AE991, MATCH(DATE(YEAR(TODAY()), MONTH(TODAY()), 1), $T$1:$AE$1, 0)),
  IF(_xlpm.actual_value_month &lt;&gt; "", _xlpm.actual_value_month &amp; " ações mensais", "")
)</f>
        <v/>
      </c>
      <c r="K991" s="8" t="str" cm="1">
        <f t="array" ref="K991">_xlfn.LET(
    _xlpm.sum_month, SUM(T991:AE991),
    IF(_xlpm.sum_month = 0, "", _xlpm.sum_month &amp; " taxa de aprovados")
)</f>
        <v/>
      </c>
      <c r="L991" s="4" t="s">
        <v>183</v>
      </c>
      <c r="M991" s="13">
        <v>1</v>
      </c>
      <c r="N991" s="5" t="s">
        <v>51</v>
      </c>
      <c r="O991" s="5" t="s">
        <v>43</v>
      </c>
      <c r="P991" s="10" t="s">
        <v>44</v>
      </c>
      <c r="Q991" s="10" t="s">
        <v>44</v>
      </c>
      <c r="R991" s="11" t="s">
        <v>44</v>
      </c>
      <c r="S991" s="11" t="s">
        <v>44</v>
      </c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G991" s="71"/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  <c r="AR991" s="71"/>
      <c r="AS991" s="94" t="str" cm="1">
        <f t="array" ref="AS991">IFERROR(INDEX(T991:AE991,1,MATCH(2,1/(T991:AE991&lt;&gt;""))),"")</f>
        <v/>
      </c>
      <c r="AT991" s="95" t="str" cm="1">
        <f t="array" ref="AT991">IFERROR(INDEX(AJ991:AR991,1,MATCH(2,1/(AJ991:AR991&lt;&gt;""))),"")</f>
        <v/>
      </c>
      <c r="AU991" s="97" t="str">
        <f t="shared" ref="AU991" si="1200">AT991</f>
        <v/>
      </c>
      <c r="AW991" s="51" t="str">
        <f>IFERROR(IF(AG991="","",AG991/T991),0)</f>
        <v/>
      </c>
      <c r="AX991" s="51"/>
      <c r="AY991" s="51"/>
      <c r="AZ991" s="51"/>
      <c r="BA991" s="51"/>
      <c r="BB991" s="51"/>
      <c r="BC991" s="51"/>
      <c r="BD991" s="51"/>
      <c r="BE991" s="51"/>
      <c r="BF991" s="51"/>
      <c r="BG991" s="51"/>
      <c r="BH991" s="51"/>
      <c r="BI991" s="65" t="str" cm="1">
        <f t="array" ref="BI991">IFERROR(INDEX(AW991:BH991,1,MATCH(2,1/(AW991:BH991&lt;&gt;""))),"")</f>
        <v/>
      </c>
      <c r="BJ991" s="68" t="str" cm="1">
        <f t="array" ref="BJ991">IF(BM991 = "", "",IFERROR(INDEX(AW991:BH991,1,MATCH(2,1/(AW991:BH991&lt;&gt;""),1)-1),""))</f>
        <v/>
      </c>
      <c r="BK991" s="58" t="str" cm="1">
        <f t="array" ref="BK991">IFERROR(INDEX(AW991:BH991,1,MATCH(2,1/(AW991:BH991&lt;&gt;""))),"")</f>
        <v/>
      </c>
      <c r="BL991" s="58" t="str" cm="1">
        <f t="array" ref="BL991">IFERROR(INDEX(AW991:BH991,1,MATCH(2,1/(AW991:BH991&lt;&gt;""),1)-1),"")</f>
        <v/>
      </c>
      <c r="BM991" s="55" t="str" cm="1">
        <f t="array" ref="BM991">IFERROR(
   INDEX($AW$1:$BH$1,
      _xlfn.AGGREGATE(14, 6, COLUMN($AW$1:$BH$1)/(AW991:BH991&lt;&gt;""), 2) - COLUMN($AW$1) + 1
   ),
"")</f>
        <v/>
      </c>
      <c r="BN991" s="55" t="str" cm="1">
        <f t="array" ref="BN991">IFERROR(INDEX($AW$1:$BH$1,1,MATCH(2,1/(AW991:BH991&lt;&gt;""))),"")</f>
        <v/>
      </c>
      <c r="BO991" s="53">
        <f ca="1">IFERROR(_xlfn.XLOOKUP(F991,Apuração!A:A,Apuração!C:C)/_xlfn.XLOOKUP(F991,Apuração!A:A,Apuração!B:B),0)</f>
        <v>0</v>
      </c>
      <c r="BP991" s="53">
        <f ca="1">IFERROR(_xlfn.XLOOKUP(F991,Apuração!A:A,Apuração!D:D)/_xlfn.XLOOKUP(F991,Apuração!A:A,Apuração!B:B),0)</f>
        <v>0</v>
      </c>
      <c r="BQ991" s="53">
        <f ca="1">IF(BK991&gt;=BO991,0,_xlfn.XLOOKUP(F991,Apuração!A:A,Apuração!B:B)*(BO991 + (1/_xlfn.XLOOKUP(F991,Apuração!A:A,Apuração!B:B)) - BK991))</f>
        <v>0</v>
      </c>
      <c r="BR991" s="85">
        <f t="shared" ref="BR991" ca="1" si="1201">IF(BQ991=0,0,BQ991*Z991)</f>
        <v>0</v>
      </c>
      <c r="BS991" s="53">
        <f ca="1">IFERROR((_xlfn.XLOOKUP(F991,Apuração!A:A,Apuração!C:C)+1)/_xlfn.XLOOKUP(F991,Apuração!A:A,Apuração!B:B),0)</f>
        <v>0.14285714285714285</v>
      </c>
    </row>
    <row r="992" spans="1:71" ht="25.95" hidden="1" customHeight="1" x14ac:dyDescent="0.3">
      <c r="A992" s="44" t="s">
        <v>175</v>
      </c>
      <c r="B992" s="4" t="s">
        <v>197</v>
      </c>
      <c r="C992" s="5" t="s">
        <v>97</v>
      </c>
      <c r="D992" s="5" t="s">
        <v>98</v>
      </c>
      <c r="E992" s="4" t="s">
        <v>96</v>
      </c>
      <c r="F992" s="4" t="str" cm="1">
        <f t="array" ref="F992">_xlfn.IFS(
AG992 &lt;&gt; "", "Jan-Dez/26",
AH992 &lt;&gt; "", "Fev-Dez/26",
AI992 &lt;&gt; "", "Mar-Dez/26", AJ992 &lt;&gt; "", "Abr-Dez/26",
TRUE, "A partir de Junho"
)</f>
        <v>A partir de Junho</v>
      </c>
      <c r="G992" s="4" t="s">
        <v>62</v>
      </c>
      <c r="H992" s="7" t="s">
        <v>38</v>
      </c>
      <c r="I992" s="21" t="s">
        <v>182</v>
      </c>
      <c r="J992" s="8" t="str" cm="1">
        <f t="array" aca="1" ref="J992" ca="1">_xlfn.LET(
  _xlpm.actual_value_month, INDEX(T992:AE992, MATCH(DATE(YEAR(TODAY()), MONTH(TODAY()), 1), $T$1:$AE$1, 0)),
  IF(_xlpm.actual_value_month &lt;&gt; "", _xlpm.actual_value_month &amp; " ações mensais", "")
)</f>
        <v/>
      </c>
      <c r="K992" s="8" t="str" cm="1">
        <f t="array" ref="K992">_xlfn.LET(
    _xlpm.sum_month, SUM(T992:AE992),
    IF(_xlpm.sum_month = 0, "", _xlpm.sum_month &amp; " taxa de aprovados")
)</f>
        <v/>
      </c>
      <c r="L992" s="4" t="s">
        <v>183</v>
      </c>
      <c r="M992" s="13">
        <v>1</v>
      </c>
      <c r="N992" s="5" t="s">
        <v>51</v>
      </c>
      <c r="O992" s="5" t="s">
        <v>43</v>
      </c>
      <c r="P992" s="10" t="s">
        <v>44</v>
      </c>
      <c r="Q992" s="10" t="s">
        <v>44</v>
      </c>
      <c r="R992" s="11" t="s">
        <v>44</v>
      </c>
      <c r="S992" s="11" t="s">
        <v>44</v>
      </c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G992" s="71"/>
      <c r="AH992" s="71"/>
      <c r="AI992" s="71"/>
      <c r="AJ992" s="71"/>
      <c r="AK992" s="71"/>
      <c r="AL992" s="71"/>
      <c r="AM992" s="71"/>
      <c r="AN992" s="71"/>
      <c r="AO992" s="71"/>
      <c r="AP992" s="71"/>
      <c r="AQ992" s="71"/>
      <c r="AR992" s="71"/>
      <c r="AS992" s="94" t="str" cm="1">
        <f t="array" ref="AS992">IFERROR(INDEX(T992:AE992,1,MATCH(2,1/(T992:AE992&lt;&gt;""))),"")</f>
        <v/>
      </c>
      <c r="AT992" s="95" t="str" cm="1">
        <f t="array" ref="AT992">IFERROR(INDEX(AJ992:AR992,1,MATCH(2,1/(AJ992:AR992&lt;&gt;""))),"")</f>
        <v/>
      </c>
      <c r="AU992" s="97" t="str">
        <f t="shared" ref="AU992:AU1001" si="1202">AT992</f>
        <v/>
      </c>
      <c r="AW992" s="51" t="str">
        <f t="shared" ref="AW992:AW1001" si="1203">IFERROR(IF(AG992="","",AG992/T992),0)</f>
        <v/>
      </c>
      <c r="AX992" s="51"/>
      <c r="AY992" s="51"/>
      <c r="AZ992" s="51"/>
      <c r="BA992" s="51"/>
      <c r="BB992" s="51"/>
      <c r="BC992" s="51"/>
      <c r="BD992" s="51"/>
      <c r="BE992" s="51"/>
      <c r="BF992" s="51"/>
      <c r="BG992" s="51"/>
      <c r="BH992" s="51"/>
      <c r="BI992" s="65" t="str" cm="1">
        <f t="array" ref="BI992">IFERROR(INDEX(AW992:BH992,1,MATCH(2,1/(AW992:BH992&lt;&gt;""))),"")</f>
        <v/>
      </c>
      <c r="BJ992" s="68" t="str" cm="1">
        <f t="array" ref="BJ992">IF(BM992 = "", "",IFERROR(INDEX(AW992:BH992,1,MATCH(2,1/(AW992:BH992&lt;&gt;""),1)-1),""))</f>
        <v/>
      </c>
      <c r="BK992" s="58" t="str" cm="1">
        <f t="array" ref="BK992">IFERROR(INDEX(AW992:BH992,1,MATCH(2,1/(AW992:BH992&lt;&gt;""))),"")</f>
        <v/>
      </c>
      <c r="BL992" s="58" t="str" cm="1">
        <f t="array" ref="BL992">IFERROR(INDEX(AW992:BH992,1,MATCH(2,1/(AW992:BH992&lt;&gt;""),1)-1),"")</f>
        <v/>
      </c>
      <c r="BM992" s="55" t="str" cm="1">
        <f t="array" ref="BM992">IFERROR(
   INDEX($AW$1:$BH$1,
      _xlfn.AGGREGATE(14, 6, COLUMN($AW$1:$BH$1)/(AW992:BH992&lt;&gt;""), 2) - COLUMN($AW$1) + 1
   ),
"")</f>
        <v/>
      </c>
      <c r="BN992" s="55" t="str" cm="1">
        <f t="array" ref="BN992">IFERROR(INDEX($AW$1:$BH$1,1,MATCH(2,1/(AW992:BH992&lt;&gt;""))),"")</f>
        <v/>
      </c>
      <c r="BO992" s="53">
        <f ca="1">IFERROR(_xlfn.XLOOKUP(F992,Apuração!A:A,Apuração!C:C)/_xlfn.XLOOKUP(F992,Apuração!A:A,Apuração!B:B),0)</f>
        <v>0</v>
      </c>
      <c r="BP992" s="53">
        <f ca="1">IFERROR(_xlfn.XLOOKUP(F992,Apuração!A:A,Apuração!D:D)/_xlfn.XLOOKUP(F992,Apuração!A:A,Apuração!B:B),0)</f>
        <v>0</v>
      </c>
      <c r="BQ992" s="53">
        <f ca="1">IF(BK992&gt;=BO992,0,_xlfn.XLOOKUP(F992,Apuração!A:A,Apuração!B:B)*(BO992 + (1/_xlfn.XLOOKUP(F992,Apuração!A:A,Apuração!B:B)) - BK992))</f>
        <v>0</v>
      </c>
      <c r="BR992" s="85">
        <f t="shared" ref="BR992:BR1001" ca="1" si="1204">IF(BQ992=0,0,BQ992*Z992)</f>
        <v>0</v>
      </c>
      <c r="BS992" s="53">
        <f ca="1">IFERROR((_xlfn.XLOOKUP(F992,Apuração!A:A,Apuração!C:C)+1)/_xlfn.XLOOKUP(F992,Apuração!A:A,Apuração!B:B),0)</f>
        <v>0.14285714285714285</v>
      </c>
    </row>
    <row r="993" spans="1:71" ht="25.95" hidden="1" customHeight="1" x14ac:dyDescent="0.3">
      <c r="A993" s="44" t="s">
        <v>175</v>
      </c>
      <c r="B993" s="4" t="s">
        <v>197</v>
      </c>
      <c r="C993" s="5" t="s">
        <v>97</v>
      </c>
      <c r="D993" s="5" t="s">
        <v>99</v>
      </c>
      <c r="E993" s="4" t="s">
        <v>96</v>
      </c>
      <c r="F993" s="4" t="str" cm="1">
        <f t="array" ref="F993">_xlfn.IFS(
AG993 &lt;&gt; "", "Jan-Dez/26",
AH993 &lt;&gt; "", "Fev-Dez/26",
AI993 &lt;&gt; "", "Mar-Dez/26", AJ993 &lt;&gt; "", "Abr-Dez/26",
TRUE, "A partir de Junho"
)</f>
        <v>A partir de Junho</v>
      </c>
      <c r="G993" s="4" t="s">
        <v>62</v>
      </c>
      <c r="H993" s="7" t="s">
        <v>38</v>
      </c>
      <c r="I993" s="21" t="s">
        <v>182</v>
      </c>
      <c r="J993" s="8" t="str" cm="1">
        <f t="array" aca="1" ref="J993" ca="1">_xlfn.LET(
  _xlpm.actual_value_month, INDEX(T993:AE993, MATCH(DATE(YEAR(TODAY()), MONTH(TODAY()), 1), $T$1:$AE$1, 0)),
  IF(_xlpm.actual_value_month &lt;&gt; "", _xlpm.actual_value_month &amp; " ações mensais", "")
)</f>
        <v/>
      </c>
      <c r="K993" s="8" t="str" cm="1">
        <f t="array" ref="K993">_xlfn.LET(
    _xlpm.sum_month, SUM(T993:AE993),
    IF(_xlpm.sum_month = 0, "", _xlpm.sum_month &amp; " taxa de aprovados")
)</f>
        <v/>
      </c>
      <c r="L993" s="4" t="s">
        <v>183</v>
      </c>
      <c r="M993" s="13">
        <v>1</v>
      </c>
      <c r="N993" s="5" t="s">
        <v>51</v>
      </c>
      <c r="O993" s="5" t="s">
        <v>43</v>
      </c>
      <c r="P993" s="10" t="s">
        <v>44</v>
      </c>
      <c r="Q993" s="10" t="s">
        <v>44</v>
      </c>
      <c r="R993" s="11" t="s">
        <v>44</v>
      </c>
      <c r="S993" s="11" t="s">
        <v>44</v>
      </c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G993" s="71"/>
      <c r="AH993" s="71"/>
      <c r="AI993" s="71"/>
      <c r="AJ993" s="71"/>
      <c r="AK993" s="71"/>
      <c r="AL993" s="71"/>
      <c r="AM993" s="71"/>
      <c r="AN993" s="71"/>
      <c r="AO993" s="71"/>
      <c r="AP993" s="71"/>
      <c r="AQ993" s="71"/>
      <c r="AR993" s="71"/>
      <c r="AS993" s="94" t="str" cm="1">
        <f t="array" ref="AS993">IFERROR(INDEX(T993:AE993,1,MATCH(2,1/(T993:AE993&lt;&gt;""))),"")</f>
        <v/>
      </c>
      <c r="AT993" s="95" t="str" cm="1">
        <f t="array" ref="AT993">IFERROR(INDEX(AJ993:AR993,1,MATCH(2,1/(AJ993:AR993&lt;&gt;""))),"")</f>
        <v/>
      </c>
      <c r="AU993" s="97" t="str">
        <f t="shared" si="1202"/>
        <v/>
      </c>
      <c r="AW993" s="51" t="str">
        <f t="shared" si="1203"/>
        <v/>
      </c>
      <c r="AX993" s="51"/>
      <c r="AY993" s="51"/>
      <c r="AZ993" s="51"/>
      <c r="BA993" s="51"/>
      <c r="BB993" s="51"/>
      <c r="BC993" s="51"/>
      <c r="BD993" s="51"/>
      <c r="BE993" s="51"/>
      <c r="BF993" s="51"/>
      <c r="BG993" s="51"/>
      <c r="BH993" s="51"/>
      <c r="BI993" s="65" t="str" cm="1">
        <f t="array" ref="BI993">IFERROR(INDEX(AW993:BH993,1,MATCH(2,1/(AW993:BH993&lt;&gt;""))),"")</f>
        <v/>
      </c>
      <c r="BJ993" s="68" t="str" cm="1">
        <f t="array" ref="BJ993">IF(BM993 = "", "",IFERROR(INDEX(AW993:BH993,1,MATCH(2,1/(AW993:BH993&lt;&gt;""),1)-1),""))</f>
        <v/>
      </c>
      <c r="BK993" s="58" t="str" cm="1">
        <f t="array" ref="BK993">IFERROR(INDEX(AW993:BH993,1,MATCH(2,1/(AW993:BH993&lt;&gt;""))),"")</f>
        <v/>
      </c>
      <c r="BL993" s="58" t="str" cm="1">
        <f t="array" ref="BL993">IFERROR(INDEX(AW993:BH993,1,MATCH(2,1/(AW993:BH993&lt;&gt;""),1)-1),"")</f>
        <v/>
      </c>
      <c r="BM993" s="55" t="str" cm="1">
        <f t="array" ref="BM993">IFERROR(
   INDEX($AW$1:$BH$1,
      _xlfn.AGGREGATE(14, 6, COLUMN($AW$1:$BH$1)/(AW993:BH993&lt;&gt;""), 2) - COLUMN($AW$1) + 1
   ),
"")</f>
        <v/>
      </c>
      <c r="BN993" s="55" t="str" cm="1">
        <f t="array" ref="BN993">IFERROR(INDEX($AW$1:$BH$1,1,MATCH(2,1/(AW993:BH993&lt;&gt;""))),"")</f>
        <v/>
      </c>
      <c r="BO993" s="53">
        <f ca="1">IFERROR(_xlfn.XLOOKUP(F993,Apuração!A:A,Apuração!C:C)/_xlfn.XLOOKUP(F993,Apuração!A:A,Apuração!B:B),0)</f>
        <v>0</v>
      </c>
      <c r="BP993" s="53">
        <f ca="1">IFERROR(_xlfn.XLOOKUP(F993,Apuração!A:A,Apuração!D:D)/_xlfn.XLOOKUP(F993,Apuração!A:A,Apuração!B:B),0)</f>
        <v>0</v>
      </c>
      <c r="BQ993" s="53">
        <f ca="1">IF(BK993&gt;=BO993,0,_xlfn.XLOOKUP(F993,Apuração!A:A,Apuração!B:B)*(BO993 + (1/_xlfn.XLOOKUP(F993,Apuração!A:A,Apuração!B:B)) - BK993))</f>
        <v>0</v>
      </c>
      <c r="BR993" s="85">
        <f t="shared" ca="1" si="1204"/>
        <v>0</v>
      </c>
      <c r="BS993" s="53">
        <f ca="1">IFERROR((_xlfn.XLOOKUP(F993,Apuração!A:A,Apuração!C:C)+1)/_xlfn.XLOOKUP(F993,Apuração!A:A,Apuração!B:B),0)</f>
        <v>0.14285714285714285</v>
      </c>
    </row>
    <row r="994" spans="1:71" ht="25.95" hidden="1" customHeight="1" x14ac:dyDescent="0.3">
      <c r="A994" s="44" t="s">
        <v>175</v>
      </c>
      <c r="B994" s="4" t="s">
        <v>197</v>
      </c>
      <c r="C994" s="5" t="s">
        <v>97</v>
      </c>
      <c r="D994" s="5" t="s">
        <v>100</v>
      </c>
      <c r="E994" s="4" t="s">
        <v>96</v>
      </c>
      <c r="F994" s="4" t="str" cm="1">
        <f t="array" ref="F994">_xlfn.IFS(
AG994 &lt;&gt; "", "Jan-Dez/26",
AH994 &lt;&gt; "", "Fev-Dez/26",
AI994 &lt;&gt; "", "Mar-Dez/26", AJ994 &lt;&gt; "", "Abr-Dez/26",
TRUE, "A partir de Junho"
)</f>
        <v>A partir de Junho</v>
      </c>
      <c r="G994" s="4" t="s">
        <v>62</v>
      </c>
      <c r="H994" s="7" t="s">
        <v>38</v>
      </c>
      <c r="I994" s="21" t="s">
        <v>182</v>
      </c>
      <c r="J994" s="8" t="str" cm="1">
        <f t="array" aca="1" ref="J994" ca="1">_xlfn.LET(
  _xlpm.actual_value_month, INDEX(T994:AE994, MATCH(DATE(YEAR(TODAY()), MONTH(TODAY()), 1), $T$1:$AE$1, 0)),
  IF(_xlpm.actual_value_month &lt;&gt; "", _xlpm.actual_value_month &amp; " ações mensais", "")
)</f>
        <v/>
      </c>
      <c r="K994" s="8" t="str" cm="1">
        <f t="array" ref="K994">_xlfn.LET(
    _xlpm.sum_month, SUM(T994:AE994),
    IF(_xlpm.sum_month = 0, "", _xlpm.sum_month &amp; " taxa de aprovados")
)</f>
        <v/>
      </c>
      <c r="L994" s="4" t="s">
        <v>183</v>
      </c>
      <c r="M994" s="13">
        <v>1</v>
      </c>
      <c r="N994" s="5" t="s">
        <v>51</v>
      </c>
      <c r="O994" s="5" t="s">
        <v>43</v>
      </c>
      <c r="P994" s="10" t="s">
        <v>44</v>
      </c>
      <c r="Q994" s="10" t="s">
        <v>44</v>
      </c>
      <c r="R994" s="11" t="s">
        <v>44</v>
      </c>
      <c r="S994" s="11" t="s">
        <v>44</v>
      </c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G994" s="71"/>
      <c r="AH994" s="71"/>
      <c r="AI994" s="71"/>
      <c r="AJ994" s="71"/>
      <c r="AK994" s="71"/>
      <c r="AL994" s="71"/>
      <c r="AM994" s="71"/>
      <c r="AN994" s="71"/>
      <c r="AO994" s="71"/>
      <c r="AP994" s="71"/>
      <c r="AQ994" s="71"/>
      <c r="AR994" s="71"/>
      <c r="AS994" s="94" t="str" cm="1">
        <f t="array" ref="AS994">IFERROR(INDEX(T994:AE994,1,MATCH(2,1/(T994:AE994&lt;&gt;""))),"")</f>
        <v/>
      </c>
      <c r="AT994" s="95" t="str" cm="1">
        <f t="array" ref="AT994">IFERROR(INDEX(AJ994:AR994,1,MATCH(2,1/(AJ994:AR994&lt;&gt;""))),"")</f>
        <v/>
      </c>
      <c r="AU994" s="97" t="str">
        <f t="shared" si="1202"/>
        <v/>
      </c>
      <c r="AW994" s="51" t="str">
        <f t="shared" si="1203"/>
        <v/>
      </c>
      <c r="AX994" s="51"/>
      <c r="AY994" s="51"/>
      <c r="AZ994" s="51"/>
      <c r="BA994" s="51"/>
      <c r="BB994" s="51"/>
      <c r="BC994" s="51"/>
      <c r="BD994" s="51"/>
      <c r="BE994" s="51"/>
      <c r="BF994" s="51"/>
      <c r="BG994" s="51"/>
      <c r="BH994" s="51"/>
      <c r="BI994" s="65" t="str" cm="1">
        <f t="array" ref="BI994">IFERROR(INDEX(AW994:BH994,1,MATCH(2,1/(AW994:BH994&lt;&gt;""))),"")</f>
        <v/>
      </c>
      <c r="BJ994" s="68" t="str" cm="1">
        <f t="array" ref="BJ994">IF(BM994 = "", "",IFERROR(INDEX(AW994:BH994,1,MATCH(2,1/(AW994:BH994&lt;&gt;""),1)-1),""))</f>
        <v/>
      </c>
      <c r="BK994" s="58" t="str" cm="1">
        <f t="array" ref="BK994">IFERROR(INDEX(AW994:BH994,1,MATCH(2,1/(AW994:BH994&lt;&gt;""))),"")</f>
        <v/>
      </c>
      <c r="BL994" s="58" t="str" cm="1">
        <f t="array" ref="BL994">IFERROR(INDEX(AW994:BH994,1,MATCH(2,1/(AW994:BH994&lt;&gt;""),1)-1),"")</f>
        <v/>
      </c>
      <c r="BM994" s="55" t="str" cm="1">
        <f t="array" ref="BM994">IFERROR(
   INDEX($AW$1:$BH$1,
      _xlfn.AGGREGATE(14, 6, COLUMN($AW$1:$BH$1)/(AW994:BH994&lt;&gt;""), 2) - COLUMN($AW$1) + 1
   ),
"")</f>
        <v/>
      </c>
      <c r="BN994" s="55" t="str" cm="1">
        <f t="array" ref="BN994">IFERROR(INDEX($AW$1:$BH$1,1,MATCH(2,1/(AW994:BH994&lt;&gt;""))),"")</f>
        <v/>
      </c>
      <c r="BO994" s="53">
        <f ca="1">IFERROR(_xlfn.XLOOKUP(F994,Apuração!A:A,Apuração!C:C)/_xlfn.XLOOKUP(F994,Apuração!A:A,Apuração!B:B),0)</f>
        <v>0</v>
      </c>
      <c r="BP994" s="53">
        <f ca="1">IFERROR(_xlfn.XLOOKUP(F994,Apuração!A:A,Apuração!D:D)/_xlfn.XLOOKUP(F994,Apuração!A:A,Apuração!B:B),0)</f>
        <v>0</v>
      </c>
      <c r="BQ994" s="53">
        <f ca="1">IF(BK994&gt;=BO994,0,_xlfn.XLOOKUP(F994,Apuração!A:A,Apuração!B:B)*(BO994 + (1/_xlfn.XLOOKUP(F994,Apuração!A:A,Apuração!B:B)) - BK994))</f>
        <v>0</v>
      </c>
      <c r="BR994" s="85">
        <f t="shared" ca="1" si="1204"/>
        <v>0</v>
      </c>
      <c r="BS994" s="53">
        <f ca="1">IFERROR((_xlfn.XLOOKUP(F994,Apuração!A:A,Apuração!C:C)+1)/_xlfn.XLOOKUP(F994,Apuração!A:A,Apuração!B:B),0)</f>
        <v>0.14285714285714285</v>
      </c>
    </row>
    <row r="995" spans="1:71" ht="25.95" hidden="1" customHeight="1" x14ac:dyDescent="0.3">
      <c r="A995" s="44" t="s">
        <v>175</v>
      </c>
      <c r="B995" s="4" t="s">
        <v>197</v>
      </c>
      <c r="C995" s="5" t="s">
        <v>97</v>
      </c>
      <c r="D995" s="5" t="s">
        <v>101</v>
      </c>
      <c r="E995" s="4" t="s">
        <v>96</v>
      </c>
      <c r="F995" s="4" t="str" cm="1">
        <f t="array" ref="F995">_xlfn.IFS(
AG995 &lt;&gt; "", "Jan-Dez/26",
AH995 &lt;&gt; "", "Fev-Dez/26",
AI995 &lt;&gt; "", "Mar-Dez/26", AJ995 &lt;&gt; "", "Abr-Dez/26",
TRUE, "A partir de Junho"
)</f>
        <v>A partir de Junho</v>
      </c>
      <c r="G995" s="4" t="s">
        <v>62</v>
      </c>
      <c r="H995" s="7" t="s">
        <v>38</v>
      </c>
      <c r="I995" s="21" t="s">
        <v>182</v>
      </c>
      <c r="J995" s="8" t="str" cm="1">
        <f t="array" aca="1" ref="J995" ca="1">_xlfn.LET(
  _xlpm.actual_value_month, INDEX(T995:AE995, MATCH(DATE(YEAR(TODAY()), MONTH(TODAY()), 1), $T$1:$AE$1, 0)),
  IF(_xlpm.actual_value_month &lt;&gt; "", _xlpm.actual_value_month &amp; " ações mensais", "")
)</f>
        <v/>
      </c>
      <c r="K995" s="8" t="str" cm="1">
        <f t="array" ref="K995">_xlfn.LET(
    _xlpm.sum_month, SUM(T995:AE995),
    IF(_xlpm.sum_month = 0, "", _xlpm.sum_month &amp; " taxa de aprovados")
)</f>
        <v/>
      </c>
      <c r="L995" s="4" t="s">
        <v>183</v>
      </c>
      <c r="M995" s="13">
        <v>1</v>
      </c>
      <c r="N995" s="5" t="s">
        <v>51</v>
      </c>
      <c r="O995" s="5" t="s">
        <v>43</v>
      </c>
      <c r="P995" s="10" t="s">
        <v>44</v>
      </c>
      <c r="Q995" s="10" t="s">
        <v>44</v>
      </c>
      <c r="R995" s="11" t="s">
        <v>44</v>
      </c>
      <c r="S995" s="11" t="s">
        <v>44</v>
      </c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G995" s="71"/>
      <c r="AH995" s="71"/>
      <c r="AI995" s="71"/>
      <c r="AJ995" s="71"/>
      <c r="AK995" s="71"/>
      <c r="AL995" s="71"/>
      <c r="AM995" s="71"/>
      <c r="AN995" s="71"/>
      <c r="AO995" s="71"/>
      <c r="AP995" s="71"/>
      <c r="AQ995" s="71"/>
      <c r="AR995" s="71"/>
      <c r="AS995" s="94" t="str" cm="1">
        <f t="array" ref="AS995">IFERROR(INDEX(T995:AE995,1,MATCH(2,1/(T995:AE995&lt;&gt;""))),"")</f>
        <v/>
      </c>
      <c r="AT995" s="95" t="str" cm="1">
        <f t="array" ref="AT995">IFERROR(INDEX(AJ995:AR995,1,MATCH(2,1/(AJ995:AR995&lt;&gt;""))),"")</f>
        <v/>
      </c>
      <c r="AU995" s="97" t="str">
        <f t="shared" si="1202"/>
        <v/>
      </c>
      <c r="AW995" s="51" t="str">
        <f t="shared" si="1203"/>
        <v/>
      </c>
      <c r="AX995" s="51"/>
      <c r="AY995" s="51"/>
      <c r="AZ995" s="51"/>
      <c r="BA995" s="51"/>
      <c r="BB995" s="51"/>
      <c r="BC995" s="51"/>
      <c r="BD995" s="51"/>
      <c r="BE995" s="51"/>
      <c r="BF995" s="51"/>
      <c r="BG995" s="51"/>
      <c r="BH995" s="51"/>
      <c r="BI995" s="65" t="str" cm="1">
        <f t="array" ref="BI995">IFERROR(INDEX(AW995:BH995,1,MATCH(2,1/(AW995:BH995&lt;&gt;""))),"")</f>
        <v/>
      </c>
      <c r="BJ995" s="68" t="str" cm="1">
        <f t="array" ref="BJ995">IF(BM995 = "", "",IFERROR(INDEX(AW995:BH995,1,MATCH(2,1/(AW995:BH995&lt;&gt;""),1)-1),""))</f>
        <v/>
      </c>
      <c r="BK995" s="58" t="str" cm="1">
        <f t="array" ref="BK995">IFERROR(INDEX(AW995:BH995,1,MATCH(2,1/(AW995:BH995&lt;&gt;""))),"")</f>
        <v/>
      </c>
      <c r="BL995" s="58" t="str" cm="1">
        <f t="array" ref="BL995">IFERROR(INDEX(AW995:BH995,1,MATCH(2,1/(AW995:BH995&lt;&gt;""),1)-1),"")</f>
        <v/>
      </c>
      <c r="BM995" s="55" t="str" cm="1">
        <f t="array" ref="BM995">IFERROR(
   INDEX($AW$1:$BH$1,
      _xlfn.AGGREGATE(14, 6, COLUMN($AW$1:$BH$1)/(AW995:BH995&lt;&gt;""), 2) - COLUMN($AW$1) + 1
   ),
"")</f>
        <v/>
      </c>
      <c r="BN995" s="55" t="str" cm="1">
        <f t="array" ref="BN995">IFERROR(INDEX($AW$1:$BH$1,1,MATCH(2,1/(AW995:BH995&lt;&gt;""))),"")</f>
        <v/>
      </c>
      <c r="BO995" s="53">
        <f ca="1">IFERROR(_xlfn.XLOOKUP(F995,Apuração!A:A,Apuração!C:C)/_xlfn.XLOOKUP(F995,Apuração!A:A,Apuração!B:B),0)</f>
        <v>0</v>
      </c>
      <c r="BP995" s="53">
        <f ca="1">IFERROR(_xlfn.XLOOKUP(F995,Apuração!A:A,Apuração!D:D)/_xlfn.XLOOKUP(F995,Apuração!A:A,Apuração!B:B),0)</f>
        <v>0</v>
      </c>
      <c r="BQ995" s="53">
        <f ca="1">IF(BK995&gt;=BO995,0,_xlfn.XLOOKUP(F995,Apuração!A:A,Apuração!B:B)*(BO995 + (1/_xlfn.XLOOKUP(F995,Apuração!A:A,Apuração!B:B)) - BK995))</f>
        <v>0</v>
      </c>
      <c r="BR995" s="85">
        <f t="shared" ca="1" si="1204"/>
        <v>0</v>
      </c>
      <c r="BS995" s="53">
        <f ca="1">IFERROR((_xlfn.XLOOKUP(F995,Apuração!A:A,Apuração!C:C)+1)/_xlfn.XLOOKUP(F995,Apuração!A:A,Apuração!B:B),0)</f>
        <v>0.14285714285714285</v>
      </c>
    </row>
    <row r="996" spans="1:71" ht="25.95" hidden="1" customHeight="1" x14ac:dyDescent="0.3">
      <c r="A996" s="44" t="s">
        <v>175</v>
      </c>
      <c r="B996" s="4" t="s">
        <v>197</v>
      </c>
      <c r="C996" s="5" t="s">
        <v>97</v>
      </c>
      <c r="D996" s="5" t="s">
        <v>102</v>
      </c>
      <c r="E996" s="4" t="s">
        <v>96</v>
      </c>
      <c r="F996" s="4" t="str" cm="1">
        <f t="array" ref="F996">_xlfn.IFS(
AG996 &lt;&gt; "", "Jan-Dez/26",
AH996 &lt;&gt; "", "Fev-Dez/26",
AI996 &lt;&gt; "", "Mar-Dez/26", AJ996 &lt;&gt; "", "Abr-Dez/26",
TRUE, "A partir de Junho"
)</f>
        <v>A partir de Junho</v>
      </c>
      <c r="G996" s="4" t="s">
        <v>62</v>
      </c>
      <c r="H996" s="7" t="s">
        <v>38</v>
      </c>
      <c r="I996" s="21" t="s">
        <v>182</v>
      </c>
      <c r="J996" s="8" t="str" cm="1">
        <f t="array" aca="1" ref="J996" ca="1">_xlfn.LET(
  _xlpm.actual_value_month, INDEX(T996:AE996, MATCH(DATE(YEAR(TODAY()), MONTH(TODAY()), 1), $T$1:$AE$1, 0)),
  IF(_xlpm.actual_value_month &lt;&gt; "", _xlpm.actual_value_month &amp; " ações mensais", "")
)</f>
        <v/>
      </c>
      <c r="K996" s="8" t="str" cm="1">
        <f t="array" ref="K996">_xlfn.LET(
    _xlpm.sum_month, SUM(T996:AE996),
    IF(_xlpm.sum_month = 0, "", _xlpm.sum_month &amp; " taxa de aprovados")
)</f>
        <v/>
      </c>
      <c r="L996" s="4" t="s">
        <v>183</v>
      </c>
      <c r="M996" s="13">
        <v>1</v>
      </c>
      <c r="N996" s="5" t="s">
        <v>51</v>
      </c>
      <c r="O996" s="5" t="s">
        <v>43</v>
      </c>
      <c r="P996" s="10" t="s">
        <v>44</v>
      </c>
      <c r="Q996" s="10" t="s">
        <v>44</v>
      </c>
      <c r="R996" s="11" t="s">
        <v>44</v>
      </c>
      <c r="S996" s="11" t="s">
        <v>44</v>
      </c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G996" s="71"/>
      <c r="AH996" s="71"/>
      <c r="AI996" s="71"/>
      <c r="AJ996" s="71"/>
      <c r="AK996" s="71"/>
      <c r="AL996" s="71"/>
      <c r="AM996" s="71"/>
      <c r="AN996" s="71"/>
      <c r="AO996" s="71"/>
      <c r="AP996" s="71"/>
      <c r="AQ996" s="71"/>
      <c r="AR996" s="71"/>
      <c r="AS996" s="94" t="str" cm="1">
        <f t="array" ref="AS996">IFERROR(INDEX(T996:AE996,1,MATCH(2,1/(T996:AE996&lt;&gt;""))),"")</f>
        <v/>
      </c>
      <c r="AT996" s="95" t="str" cm="1">
        <f t="array" ref="AT996">IFERROR(INDEX(AJ996:AR996,1,MATCH(2,1/(AJ996:AR996&lt;&gt;""))),"")</f>
        <v/>
      </c>
      <c r="AU996" s="97" t="str">
        <f t="shared" si="1202"/>
        <v/>
      </c>
      <c r="AW996" s="51" t="str">
        <f t="shared" si="1203"/>
        <v/>
      </c>
      <c r="AX996" s="51"/>
      <c r="AY996" s="51"/>
      <c r="AZ996" s="51"/>
      <c r="BA996" s="51"/>
      <c r="BB996" s="51"/>
      <c r="BC996" s="51"/>
      <c r="BD996" s="51"/>
      <c r="BE996" s="51"/>
      <c r="BF996" s="51"/>
      <c r="BG996" s="51"/>
      <c r="BH996" s="51"/>
      <c r="BI996" s="65" t="str" cm="1">
        <f t="array" ref="BI996">IFERROR(INDEX(AW996:BH996,1,MATCH(2,1/(AW996:BH996&lt;&gt;""))),"")</f>
        <v/>
      </c>
      <c r="BJ996" s="68" t="str" cm="1">
        <f t="array" ref="BJ996">IF(BM996 = "", "",IFERROR(INDEX(AW996:BH996,1,MATCH(2,1/(AW996:BH996&lt;&gt;""),1)-1),""))</f>
        <v/>
      </c>
      <c r="BK996" s="58" t="str" cm="1">
        <f t="array" ref="BK996">IFERROR(INDEX(AW996:BH996,1,MATCH(2,1/(AW996:BH996&lt;&gt;""))),"")</f>
        <v/>
      </c>
      <c r="BL996" s="58" t="str" cm="1">
        <f t="array" ref="BL996">IFERROR(INDEX(AW996:BH996,1,MATCH(2,1/(AW996:BH996&lt;&gt;""),1)-1),"")</f>
        <v/>
      </c>
      <c r="BM996" s="55" t="str" cm="1">
        <f t="array" ref="BM996">IFERROR(
   INDEX($AW$1:$BH$1,
      _xlfn.AGGREGATE(14, 6, COLUMN($AW$1:$BH$1)/(AW996:BH996&lt;&gt;""), 2) - COLUMN($AW$1) + 1
   ),
"")</f>
        <v/>
      </c>
      <c r="BN996" s="55" t="str" cm="1">
        <f t="array" ref="BN996">IFERROR(INDEX($AW$1:$BH$1,1,MATCH(2,1/(AW996:BH996&lt;&gt;""))),"")</f>
        <v/>
      </c>
      <c r="BO996" s="53">
        <f ca="1">IFERROR(_xlfn.XLOOKUP(F996,Apuração!A:A,Apuração!C:C)/_xlfn.XLOOKUP(F996,Apuração!A:A,Apuração!B:B),0)</f>
        <v>0</v>
      </c>
      <c r="BP996" s="53">
        <f ca="1">IFERROR(_xlfn.XLOOKUP(F996,Apuração!A:A,Apuração!D:D)/_xlfn.XLOOKUP(F996,Apuração!A:A,Apuração!B:B),0)</f>
        <v>0</v>
      </c>
      <c r="BQ996" s="53">
        <f ca="1">IF(BK996&gt;=BO996,0,_xlfn.XLOOKUP(F996,Apuração!A:A,Apuração!B:B)*(BO996 + (1/_xlfn.XLOOKUP(F996,Apuração!A:A,Apuração!B:B)) - BK996))</f>
        <v>0</v>
      </c>
      <c r="BR996" s="85">
        <f t="shared" ca="1" si="1204"/>
        <v>0</v>
      </c>
      <c r="BS996" s="53">
        <f ca="1">IFERROR((_xlfn.XLOOKUP(F996,Apuração!A:A,Apuração!C:C)+1)/_xlfn.XLOOKUP(F996,Apuração!A:A,Apuração!B:B),0)</f>
        <v>0.14285714285714285</v>
      </c>
    </row>
    <row r="997" spans="1:71" ht="25.95" hidden="1" customHeight="1" x14ac:dyDescent="0.3">
      <c r="A997" s="44" t="s">
        <v>175</v>
      </c>
      <c r="B997" s="4" t="s">
        <v>197</v>
      </c>
      <c r="C997" s="5" t="s">
        <v>97</v>
      </c>
      <c r="D997" s="5" t="s">
        <v>103</v>
      </c>
      <c r="E997" s="4" t="s">
        <v>96</v>
      </c>
      <c r="F997" s="4" t="str" cm="1">
        <f t="array" ref="F997">_xlfn.IFS(
AG997 &lt;&gt; "", "Jan-Dez/26",
AH997 &lt;&gt; "", "Fev-Dez/26",
AI997 &lt;&gt; "", "Mar-Dez/26", AJ997 &lt;&gt; "", "Abr-Dez/26",
TRUE, "A partir de Junho"
)</f>
        <v>A partir de Junho</v>
      </c>
      <c r="G997" s="4" t="s">
        <v>62</v>
      </c>
      <c r="H997" s="7" t="s">
        <v>38</v>
      </c>
      <c r="I997" s="21" t="s">
        <v>182</v>
      </c>
      <c r="J997" s="8" t="str" cm="1">
        <f t="array" aca="1" ref="J997" ca="1">_xlfn.LET(
  _xlpm.actual_value_month, INDEX(T997:AE997, MATCH(DATE(YEAR(TODAY()), MONTH(TODAY()), 1), $T$1:$AE$1, 0)),
  IF(_xlpm.actual_value_month &lt;&gt; "", _xlpm.actual_value_month &amp; " ações mensais", "")
)</f>
        <v/>
      </c>
      <c r="K997" s="8" t="str" cm="1">
        <f t="array" ref="K997">_xlfn.LET(
    _xlpm.sum_month, SUM(T997:AE997),
    IF(_xlpm.sum_month = 0, "", _xlpm.sum_month &amp; " taxa de aprovados")
)</f>
        <v/>
      </c>
      <c r="L997" s="4" t="s">
        <v>183</v>
      </c>
      <c r="M997" s="13">
        <v>1</v>
      </c>
      <c r="N997" s="5" t="s">
        <v>51</v>
      </c>
      <c r="O997" s="5" t="s">
        <v>43</v>
      </c>
      <c r="P997" s="10" t="s">
        <v>44</v>
      </c>
      <c r="Q997" s="10" t="s">
        <v>44</v>
      </c>
      <c r="R997" s="11" t="s">
        <v>44</v>
      </c>
      <c r="S997" s="11" t="s">
        <v>44</v>
      </c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G997" s="71"/>
      <c r="AH997" s="71"/>
      <c r="AI997" s="71"/>
      <c r="AJ997" s="71"/>
      <c r="AK997" s="71"/>
      <c r="AL997" s="71"/>
      <c r="AM997" s="71"/>
      <c r="AN997" s="71"/>
      <c r="AO997" s="71"/>
      <c r="AP997" s="71"/>
      <c r="AQ997" s="71"/>
      <c r="AR997" s="71"/>
      <c r="AS997" s="94" t="str" cm="1">
        <f t="array" ref="AS997">IFERROR(INDEX(T997:AE997,1,MATCH(2,1/(T997:AE997&lt;&gt;""))),"")</f>
        <v/>
      </c>
      <c r="AT997" s="95" t="str" cm="1">
        <f t="array" ref="AT997">IFERROR(INDEX(AJ997:AR997,1,MATCH(2,1/(AJ997:AR997&lt;&gt;""))),"")</f>
        <v/>
      </c>
      <c r="AU997" s="97" t="str">
        <f t="shared" si="1202"/>
        <v/>
      </c>
      <c r="AW997" s="51" t="str">
        <f t="shared" si="1203"/>
        <v/>
      </c>
      <c r="AX997" s="51"/>
      <c r="AY997" s="51"/>
      <c r="AZ997" s="51"/>
      <c r="BA997" s="51"/>
      <c r="BB997" s="51"/>
      <c r="BC997" s="51"/>
      <c r="BD997" s="51"/>
      <c r="BE997" s="51"/>
      <c r="BF997" s="51"/>
      <c r="BG997" s="51"/>
      <c r="BH997" s="51"/>
      <c r="BI997" s="65" t="str" cm="1">
        <f t="array" ref="BI997">IFERROR(INDEX(AW997:BH997,1,MATCH(2,1/(AW997:BH997&lt;&gt;""))),"")</f>
        <v/>
      </c>
      <c r="BJ997" s="68" t="str" cm="1">
        <f t="array" ref="BJ997">IF(BM997 = "", "",IFERROR(INDEX(AW997:BH997,1,MATCH(2,1/(AW997:BH997&lt;&gt;""),1)-1),""))</f>
        <v/>
      </c>
      <c r="BK997" s="58" t="str" cm="1">
        <f t="array" ref="BK997">IFERROR(INDEX(AW997:BH997,1,MATCH(2,1/(AW997:BH997&lt;&gt;""))),"")</f>
        <v/>
      </c>
      <c r="BL997" s="58" t="str" cm="1">
        <f t="array" ref="BL997">IFERROR(INDEX(AW997:BH997,1,MATCH(2,1/(AW997:BH997&lt;&gt;""),1)-1),"")</f>
        <v/>
      </c>
      <c r="BM997" s="55" t="str" cm="1">
        <f t="array" ref="BM997">IFERROR(
   INDEX($AW$1:$BH$1,
      _xlfn.AGGREGATE(14, 6, COLUMN($AW$1:$BH$1)/(AW997:BH997&lt;&gt;""), 2) - COLUMN($AW$1) + 1
   ),
"")</f>
        <v/>
      </c>
      <c r="BN997" s="55" t="str" cm="1">
        <f t="array" ref="BN997">IFERROR(INDEX($AW$1:$BH$1,1,MATCH(2,1/(AW997:BH997&lt;&gt;""))),"")</f>
        <v/>
      </c>
      <c r="BO997" s="53">
        <f ca="1">IFERROR(_xlfn.XLOOKUP(F997,Apuração!A:A,Apuração!C:C)/_xlfn.XLOOKUP(F997,Apuração!A:A,Apuração!B:B),0)</f>
        <v>0</v>
      </c>
      <c r="BP997" s="53">
        <f ca="1">IFERROR(_xlfn.XLOOKUP(F997,Apuração!A:A,Apuração!D:D)/_xlfn.XLOOKUP(F997,Apuração!A:A,Apuração!B:B),0)</f>
        <v>0</v>
      </c>
      <c r="BQ997" s="53">
        <f ca="1">IF(BK997&gt;=BO997,0,_xlfn.XLOOKUP(F997,Apuração!A:A,Apuração!B:B)*(BO997 + (1/_xlfn.XLOOKUP(F997,Apuração!A:A,Apuração!B:B)) - BK997))</f>
        <v>0</v>
      </c>
      <c r="BR997" s="85">
        <f t="shared" ca="1" si="1204"/>
        <v>0</v>
      </c>
      <c r="BS997" s="53">
        <f ca="1">IFERROR((_xlfn.XLOOKUP(F997,Apuração!A:A,Apuração!C:C)+1)/_xlfn.XLOOKUP(F997,Apuração!A:A,Apuração!B:B),0)</f>
        <v>0.14285714285714285</v>
      </c>
    </row>
    <row r="998" spans="1:71" ht="25.95" hidden="1" customHeight="1" x14ac:dyDescent="0.3">
      <c r="A998" s="44" t="s">
        <v>175</v>
      </c>
      <c r="B998" s="4" t="s">
        <v>197</v>
      </c>
      <c r="C998" s="5" t="s">
        <v>97</v>
      </c>
      <c r="D998" s="5" t="s">
        <v>104</v>
      </c>
      <c r="E998" s="4" t="s">
        <v>96</v>
      </c>
      <c r="F998" s="4" t="str" cm="1">
        <f t="array" ref="F998">_xlfn.IFS(
AG998 &lt;&gt; "", "Jan-Dez/26",
AH998 &lt;&gt; "", "Fev-Dez/26",
AI998 &lt;&gt; "", "Mar-Dez/26", AJ998 &lt;&gt; "", "Abr-Dez/26",
TRUE, "A partir de Junho"
)</f>
        <v>A partir de Junho</v>
      </c>
      <c r="G998" s="4" t="s">
        <v>62</v>
      </c>
      <c r="H998" s="7" t="s">
        <v>38</v>
      </c>
      <c r="I998" s="21" t="s">
        <v>182</v>
      </c>
      <c r="J998" s="8" t="str" cm="1">
        <f t="array" aca="1" ref="J998" ca="1">_xlfn.LET(
  _xlpm.actual_value_month, INDEX(T998:AE998, MATCH(DATE(YEAR(TODAY()), MONTH(TODAY()), 1), $T$1:$AE$1, 0)),
  IF(_xlpm.actual_value_month &lt;&gt; "", _xlpm.actual_value_month &amp; " ações mensais", "")
)</f>
        <v/>
      </c>
      <c r="K998" s="8" t="str" cm="1">
        <f t="array" ref="K998">_xlfn.LET(
    _xlpm.sum_month, SUM(T998:AE998),
    IF(_xlpm.sum_month = 0, "", _xlpm.sum_month &amp; " taxa de aprovados")
)</f>
        <v/>
      </c>
      <c r="L998" s="4" t="s">
        <v>183</v>
      </c>
      <c r="M998" s="13">
        <v>1</v>
      </c>
      <c r="N998" s="5" t="s">
        <v>51</v>
      </c>
      <c r="O998" s="5" t="s">
        <v>43</v>
      </c>
      <c r="P998" s="10" t="s">
        <v>44</v>
      </c>
      <c r="Q998" s="10" t="s">
        <v>44</v>
      </c>
      <c r="R998" s="11" t="s">
        <v>44</v>
      </c>
      <c r="S998" s="11" t="s">
        <v>44</v>
      </c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G998" s="71"/>
      <c r="AH998" s="71"/>
      <c r="AI998" s="71"/>
      <c r="AJ998" s="71"/>
      <c r="AK998" s="71"/>
      <c r="AL998" s="71"/>
      <c r="AM998" s="71"/>
      <c r="AN998" s="71"/>
      <c r="AO998" s="71"/>
      <c r="AP998" s="71"/>
      <c r="AQ998" s="71"/>
      <c r="AR998" s="71"/>
      <c r="AS998" s="94" t="str" cm="1">
        <f t="array" ref="AS998">IFERROR(INDEX(T998:AE998,1,MATCH(2,1/(T998:AE998&lt;&gt;""))),"")</f>
        <v/>
      </c>
      <c r="AT998" s="95" t="str" cm="1">
        <f t="array" ref="AT998">IFERROR(INDEX(AJ998:AR998,1,MATCH(2,1/(AJ998:AR998&lt;&gt;""))),"")</f>
        <v/>
      </c>
      <c r="AU998" s="97" t="str">
        <f t="shared" si="1202"/>
        <v/>
      </c>
      <c r="AW998" s="51" t="str">
        <f t="shared" si="1203"/>
        <v/>
      </c>
      <c r="AX998" s="51"/>
      <c r="AY998" s="51"/>
      <c r="AZ998" s="51"/>
      <c r="BA998" s="51"/>
      <c r="BB998" s="51"/>
      <c r="BC998" s="51"/>
      <c r="BD998" s="51"/>
      <c r="BE998" s="51"/>
      <c r="BF998" s="51"/>
      <c r="BG998" s="51"/>
      <c r="BH998" s="51"/>
      <c r="BI998" s="65" t="str" cm="1">
        <f t="array" ref="BI998">IFERROR(INDEX(AW998:BH998,1,MATCH(2,1/(AW998:BH998&lt;&gt;""))),"")</f>
        <v/>
      </c>
      <c r="BJ998" s="68" t="str" cm="1">
        <f t="array" ref="BJ998">IF(BM998 = "", "",IFERROR(INDEX(AW998:BH998,1,MATCH(2,1/(AW998:BH998&lt;&gt;""),1)-1),""))</f>
        <v/>
      </c>
      <c r="BK998" s="58" t="str" cm="1">
        <f t="array" ref="BK998">IFERROR(INDEX(AW998:BH998,1,MATCH(2,1/(AW998:BH998&lt;&gt;""))),"")</f>
        <v/>
      </c>
      <c r="BL998" s="58" t="str" cm="1">
        <f t="array" ref="BL998">IFERROR(INDEX(AW998:BH998,1,MATCH(2,1/(AW998:BH998&lt;&gt;""),1)-1),"")</f>
        <v/>
      </c>
      <c r="BM998" s="55" t="str" cm="1">
        <f t="array" ref="BM998">IFERROR(
   INDEX($AW$1:$BH$1,
      _xlfn.AGGREGATE(14, 6, COLUMN($AW$1:$BH$1)/(AW998:BH998&lt;&gt;""), 2) - COLUMN($AW$1) + 1
   ),
"")</f>
        <v/>
      </c>
      <c r="BN998" s="55" t="str" cm="1">
        <f t="array" ref="BN998">IFERROR(INDEX($AW$1:$BH$1,1,MATCH(2,1/(AW998:BH998&lt;&gt;""))),"")</f>
        <v/>
      </c>
      <c r="BO998" s="53">
        <f ca="1">IFERROR(_xlfn.XLOOKUP(F998,Apuração!A:A,Apuração!C:C)/_xlfn.XLOOKUP(F998,Apuração!A:A,Apuração!B:B),0)</f>
        <v>0</v>
      </c>
      <c r="BP998" s="53">
        <f ca="1">IFERROR(_xlfn.XLOOKUP(F998,Apuração!A:A,Apuração!D:D)/_xlfn.XLOOKUP(F998,Apuração!A:A,Apuração!B:B),0)</f>
        <v>0</v>
      </c>
      <c r="BQ998" s="53">
        <f ca="1">IF(BK998&gt;=BO998,0,_xlfn.XLOOKUP(F998,Apuração!A:A,Apuração!B:B)*(BO998 + (1/_xlfn.XLOOKUP(F998,Apuração!A:A,Apuração!B:B)) - BK998))</f>
        <v>0</v>
      </c>
      <c r="BR998" s="85">
        <f t="shared" ca="1" si="1204"/>
        <v>0</v>
      </c>
      <c r="BS998" s="53">
        <f ca="1">IFERROR((_xlfn.XLOOKUP(F998,Apuração!A:A,Apuração!C:C)+1)/_xlfn.XLOOKUP(F998,Apuração!A:A,Apuração!B:B),0)</f>
        <v>0.14285714285714285</v>
      </c>
    </row>
    <row r="999" spans="1:71" ht="25.95" hidden="1" customHeight="1" x14ac:dyDescent="0.3">
      <c r="A999" s="44" t="s">
        <v>175</v>
      </c>
      <c r="B999" s="4" t="s">
        <v>197</v>
      </c>
      <c r="C999" s="5" t="s">
        <v>97</v>
      </c>
      <c r="D999" s="5" t="s">
        <v>105</v>
      </c>
      <c r="E999" s="4" t="s">
        <v>96</v>
      </c>
      <c r="F999" s="4" t="str" cm="1">
        <f t="array" ref="F999">_xlfn.IFS(
AG999 &lt;&gt; "", "Jan-Dez/26",
AH999 &lt;&gt; "", "Fev-Dez/26",
AI999 &lt;&gt; "", "Mar-Dez/26", AJ999 &lt;&gt; "", "Abr-Dez/26",
TRUE, "A partir de Junho"
)</f>
        <v>A partir de Junho</v>
      </c>
      <c r="G999" s="4" t="s">
        <v>62</v>
      </c>
      <c r="H999" s="7" t="s">
        <v>38</v>
      </c>
      <c r="I999" s="21" t="s">
        <v>182</v>
      </c>
      <c r="J999" s="8" t="str" cm="1">
        <f t="array" aca="1" ref="J999" ca="1">_xlfn.LET(
  _xlpm.actual_value_month, INDEX(T999:AE999, MATCH(DATE(YEAR(TODAY()), MONTH(TODAY()), 1), $T$1:$AE$1, 0)),
  IF(_xlpm.actual_value_month &lt;&gt; "", _xlpm.actual_value_month &amp; " ações mensais", "")
)</f>
        <v/>
      </c>
      <c r="K999" s="8" t="str" cm="1">
        <f t="array" ref="K999">_xlfn.LET(
    _xlpm.sum_month, SUM(T999:AE999),
    IF(_xlpm.sum_month = 0, "", _xlpm.sum_month &amp; " taxa de aprovados")
)</f>
        <v/>
      </c>
      <c r="L999" s="4" t="s">
        <v>183</v>
      </c>
      <c r="M999" s="13">
        <v>1</v>
      </c>
      <c r="N999" s="5" t="s">
        <v>51</v>
      </c>
      <c r="O999" s="5" t="s">
        <v>43</v>
      </c>
      <c r="P999" s="10" t="s">
        <v>44</v>
      </c>
      <c r="Q999" s="10" t="s">
        <v>44</v>
      </c>
      <c r="R999" s="11" t="s">
        <v>44</v>
      </c>
      <c r="S999" s="11" t="s">
        <v>44</v>
      </c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G999" s="71"/>
      <c r="AH999" s="71"/>
      <c r="AI999" s="71"/>
      <c r="AJ999" s="71"/>
      <c r="AK999" s="71"/>
      <c r="AL999" s="71"/>
      <c r="AM999" s="71"/>
      <c r="AN999" s="71"/>
      <c r="AO999" s="71"/>
      <c r="AP999" s="71"/>
      <c r="AQ999" s="71"/>
      <c r="AR999" s="71"/>
      <c r="AS999" s="94" t="str" cm="1">
        <f t="array" ref="AS999">IFERROR(INDEX(T999:AE999,1,MATCH(2,1/(T999:AE999&lt;&gt;""))),"")</f>
        <v/>
      </c>
      <c r="AT999" s="95" t="str" cm="1">
        <f t="array" ref="AT999">IFERROR(INDEX(AJ999:AR999,1,MATCH(2,1/(AJ999:AR999&lt;&gt;""))),"")</f>
        <v/>
      </c>
      <c r="AU999" s="97" t="str">
        <f t="shared" si="1202"/>
        <v/>
      </c>
      <c r="AW999" s="51" t="str">
        <f t="shared" si="1203"/>
        <v/>
      </c>
      <c r="AX999" s="51"/>
      <c r="AY999" s="51"/>
      <c r="AZ999" s="51"/>
      <c r="BA999" s="51"/>
      <c r="BB999" s="51"/>
      <c r="BC999" s="51"/>
      <c r="BD999" s="51"/>
      <c r="BE999" s="51"/>
      <c r="BF999" s="51"/>
      <c r="BG999" s="51"/>
      <c r="BH999" s="51"/>
      <c r="BI999" s="65" t="str" cm="1">
        <f t="array" ref="BI999">IFERROR(INDEX(AW999:BH999,1,MATCH(2,1/(AW999:BH999&lt;&gt;""))),"")</f>
        <v/>
      </c>
      <c r="BJ999" s="68" t="str" cm="1">
        <f t="array" ref="BJ999">IF(BM999 = "", "",IFERROR(INDEX(AW999:BH999,1,MATCH(2,1/(AW999:BH999&lt;&gt;""),1)-1),""))</f>
        <v/>
      </c>
      <c r="BK999" s="58" t="str" cm="1">
        <f t="array" ref="BK999">IFERROR(INDEX(AW999:BH999,1,MATCH(2,1/(AW999:BH999&lt;&gt;""))),"")</f>
        <v/>
      </c>
      <c r="BL999" s="58" t="str" cm="1">
        <f t="array" ref="BL999">IFERROR(INDEX(AW999:BH999,1,MATCH(2,1/(AW999:BH999&lt;&gt;""),1)-1),"")</f>
        <v/>
      </c>
      <c r="BM999" s="55" t="str" cm="1">
        <f t="array" ref="BM999">IFERROR(
   INDEX($AW$1:$BH$1,
      _xlfn.AGGREGATE(14, 6, COLUMN($AW$1:$BH$1)/(AW999:BH999&lt;&gt;""), 2) - COLUMN($AW$1) + 1
   ),
"")</f>
        <v/>
      </c>
      <c r="BN999" s="55" t="str" cm="1">
        <f t="array" ref="BN999">IFERROR(INDEX($AW$1:$BH$1,1,MATCH(2,1/(AW999:BH999&lt;&gt;""))),"")</f>
        <v/>
      </c>
      <c r="BO999" s="53">
        <f ca="1">IFERROR(_xlfn.XLOOKUP(F999,Apuração!A:A,Apuração!C:C)/_xlfn.XLOOKUP(F999,Apuração!A:A,Apuração!B:B),0)</f>
        <v>0</v>
      </c>
      <c r="BP999" s="53">
        <f ca="1">IFERROR(_xlfn.XLOOKUP(F999,Apuração!A:A,Apuração!D:D)/_xlfn.XLOOKUP(F999,Apuração!A:A,Apuração!B:B),0)</f>
        <v>0</v>
      </c>
      <c r="BQ999" s="53">
        <f ca="1">IF(BK999&gt;=BO999,0,_xlfn.XLOOKUP(F999,Apuração!A:A,Apuração!B:B)*(BO999 + (1/_xlfn.XLOOKUP(F999,Apuração!A:A,Apuração!B:B)) - BK999))</f>
        <v>0</v>
      </c>
      <c r="BR999" s="85">
        <f t="shared" ca="1" si="1204"/>
        <v>0</v>
      </c>
      <c r="BS999" s="53">
        <f ca="1">IFERROR((_xlfn.XLOOKUP(F999,Apuração!A:A,Apuração!C:C)+1)/_xlfn.XLOOKUP(F999,Apuração!A:A,Apuração!B:B),0)</f>
        <v>0.14285714285714285</v>
      </c>
    </row>
    <row r="1000" spans="1:71" ht="25.95" hidden="1" customHeight="1" x14ac:dyDescent="0.3">
      <c r="A1000" s="44" t="s">
        <v>175</v>
      </c>
      <c r="B1000" s="4" t="s">
        <v>197</v>
      </c>
      <c r="C1000" s="5" t="s">
        <v>97</v>
      </c>
      <c r="D1000" s="5" t="s">
        <v>106</v>
      </c>
      <c r="E1000" s="4" t="s">
        <v>96</v>
      </c>
      <c r="F1000" s="4" t="str" cm="1">
        <f t="array" ref="F1000">_xlfn.IFS(
AG1000 &lt;&gt; "", "Jan-Dez/26",
AH1000 &lt;&gt; "", "Fev-Dez/26",
AI1000 &lt;&gt; "", "Mar-Dez/26", AJ1000 &lt;&gt; "", "Abr-Dez/26",
TRUE, "A partir de Junho"
)</f>
        <v>A partir de Junho</v>
      </c>
      <c r="G1000" s="4" t="s">
        <v>62</v>
      </c>
      <c r="H1000" s="7" t="s">
        <v>38</v>
      </c>
      <c r="I1000" s="21" t="s">
        <v>182</v>
      </c>
      <c r="J1000" s="8" t="str" cm="1">
        <f t="array" aca="1" ref="J1000" ca="1">_xlfn.LET(
  _xlpm.actual_value_month, INDEX(T1000:AE1000, MATCH(DATE(YEAR(TODAY()), MONTH(TODAY()), 1), $T$1:$AE$1, 0)),
  IF(_xlpm.actual_value_month &lt;&gt; "", _xlpm.actual_value_month &amp; " ações mensais", "")
)</f>
        <v/>
      </c>
      <c r="K1000" s="8" t="str" cm="1">
        <f t="array" ref="K1000">_xlfn.LET(
    _xlpm.sum_month, SUM(T1000:AE1000),
    IF(_xlpm.sum_month = 0, "", _xlpm.sum_month &amp; " taxa de aprovados")
)</f>
        <v/>
      </c>
      <c r="L1000" s="4" t="s">
        <v>183</v>
      </c>
      <c r="M1000" s="13">
        <v>1</v>
      </c>
      <c r="N1000" s="5" t="s">
        <v>51</v>
      </c>
      <c r="O1000" s="5" t="s">
        <v>43</v>
      </c>
      <c r="P1000" s="10" t="s">
        <v>44</v>
      </c>
      <c r="Q1000" s="10" t="s">
        <v>44</v>
      </c>
      <c r="R1000" s="11" t="s">
        <v>44</v>
      </c>
      <c r="S1000" s="11" t="s">
        <v>44</v>
      </c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G1000" s="71"/>
      <c r="AH1000" s="71"/>
      <c r="AI1000" s="71"/>
      <c r="AJ1000" s="71"/>
      <c r="AK1000" s="71"/>
      <c r="AL1000" s="71"/>
      <c r="AM1000" s="71"/>
      <c r="AN1000" s="71"/>
      <c r="AO1000" s="71"/>
      <c r="AP1000" s="71"/>
      <c r="AQ1000" s="71"/>
      <c r="AR1000" s="71"/>
      <c r="AS1000" s="94" t="str" cm="1">
        <f t="array" ref="AS1000">IFERROR(INDEX(T1000:AE1000,1,MATCH(2,1/(T1000:AE1000&lt;&gt;""))),"")</f>
        <v/>
      </c>
      <c r="AT1000" s="95" t="str" cm="1">
        <f t="array" ref="AT1000">IFERROR(INDEX(AJ1000:AR1000,1,MATCH(2,1/(AJ1000:AR1000&lt;&gt;""))),"")</f>
        <v/>
      </c>
      <c r="AU1000" s="97" t="str">
        <f t="shared" si="1202"/>
        <v/>
      </c>
      <c r="AW1000" s="51" t="str">
        <f t="shared" si="1203"/>
        <v/>
      </c>
      <c r="AX1000" s="51"/>
      <c r="AY1000" s="51"/>
      <c r="AZ1000" s="51"/>
      <c r="BA1000" s="51"/>
      <c r="BB1000" s="51"/>
      <c r="BC1000" s="51"/>
      <c r="BD1000" s="51"/>
      <c r="BE1000" s="51"/>
      <c r="BF1000" s="51"/>
      <c r="BG1000" s="51"/>
      <c r="BH1000" s="51"/>
      <c r="BI1000" s="65" t="str" cm="1">
        <f t="array" ref="BI1000">IFERROR(INDEX(AW1000:BH1000,1,MATCH(2,1/(AW1000:BH1000&lt;&gt;""))),"")</f>
        <v/>
      </c>
      <c r="BJ1000" s="68" t="str" cm="1">
        <f t="array" ref="BJ1000">IF(BM1000 = "", "",IFERROR(INDEX(AW1000:BH1000,1,MATCH(2,1/(AW1000:BH1000&lt;&gt;""),1)-1),""))</f>
        <v/>
      </c>
      <c r="BK1000" s="58" t="str" cm="1">
        <f t="array" ref="BK1000">IFERROR(INDEX(AW1000:BH1000,1,MATCH(2,1/(AW1000:BH1000&lt;&gt;""))),"")</f>
        <v/>
      </c>
      <c r="BL1000" s="58" t="str" cm="1">
        <f t="array" ref="BL1000">IFERROR(INDEX(AW1000:BH1000,1,MATCH(2,1/(AW1000:BH1000&lt;&gt;""),1)-1),"")</f>
        <v/>
      </c>
      <c r="BM1000" s="55" t="str" cm="1">
        <f t="array" ref="BM1000">IFERROR(
   INDEX($AW$1:$BH$1,
      _xlfn.AGGREGATE(14, 6, COLUMN($AW$1:$BH$1)/(AW1000:BH1000&lt;&gt;""), 2) - COLUMN($AW$1) + 1
   ),
"")</f>
        <v/>
      </c>
      <c r="BN1000" s="55" t="str" cm="1">
        <f t="array" ref="BN1000">IFERROR(INDEX($AW$1:$BH$1,1,MATCH(2,1/(AW1000:BH1000&lt;&gt;""))),"")</f>
        <v/>
      </c>
      <c r="BO1000" s="53">
        <f ca="1">IFERROR(_xlfn.XLOOKUP(F1000,Apuração!A:A,Apuração!C:C)/_xlfn.XLOOKUP(F1000,Apuração!A:A,Apuração!B:B),0)</f>
        <v>0</v>
      </c>
      <c r="BP1000" s="53">
        <f ca="1">IFERROR(_xlfn.XLOOKUP(F1000,Apuração!A:A,Apuração!D:D)/_xlfn.XLOOKUP(F1000,Apuração!A:A,Apuração!B:B),0)</f>
        <v>0</v>
      </c>
      <c r="BQ1000" s="53">
        <f ca="1">IF(BK1000&gt;=BO1000,0,_xlfn.XLOOKUP(F1000,Apuração!A:A,Apuração!B:B)*(BO1000 + (1/_xlfn.XLOOKUP(F1000,Apuração!A:A,Apuração!B:B)) - BK1000))</f>
        <v>0</v>
      </c>
      <c r="BR1000" s="85">
        <f t="shared" ca="1" si="1204"/>
        <v>0</v>
      </c>
      <c r="BS1000" s="53">
        <f ca="1">IFERROR((_xlfn.XLOOKUP(F1000,Apuração!A:A,Apuração!C:C)+1)/_xlfn.XLOOKUP(F1000,Apuração!A:A,Apuração!B:B),0)</f>
        <v>0.14285714285714285</v>
      </c>
    </row>
    <row r="1001" spans="1:71" ht="25.95" hidden="1" customHeight="1" x14ac:dyDescent="0.3">
      <c r="A1001" s="44" t="s">
        <v>175</v>
      </c>
      <c r="B1001" s="4" t="s">
        <v>197</v>
      </c>
      <c r="C1001" s="5" t="s">
        <v>97</v>
      </c>
      <c r="D1001" s="5" t="s">
        <v>107</v>
      </c>
      <c r="E1001" s="4" t="s">
        <v>96</v>
      </c>
      <c r="F1001" s="4" t="str" cm="1">
        <f t="array" ref="F1001">_xlfn.IFS(
AG1001 &lt;&gt; "", "Jan-Dez/26",
AH1001 &lt;&gt; "", "Fev-Dez/26",
AI1001 &lt;&gt; "", "Mar-Dez/26", AJ1001 &lt;&gt; "", "Abr-Dez/26",
TRUE, "A partir de Junho"
)</f>
        <v>A partir de Junho</v>
      </c>
      <c r="G1001" s="4" t="s">
        <v>62</v>
      </c>
      <c r="H1001" s="7" t="s">
        <v>38</v>
      </c>
      <c r="I1001" s="21" t="s">
        <v>182</v>
      </c>
      <c r="J1001" s="8" t="str" cm="1">
        <f t="array" aca="1" ref="J1001" ca="1">_xlfn.LET(
  _xlpm.actual_value_month, INDEX(T1001:AE1001, MATCH(DATE(YEAR(TODAY()), MONTH(TODAY()), 1), $T$1:$AE$1, 0)),
  IF(_xlpm.actual_value_month &lt;&gt; "", _xlpm.actual_value_month &amp; " ações mensais", "")
)</f>
        <v/>
      </c>
      <c r="K1001" s="8" t="str" cm="1">
        <f t="array" ref="K1001">_xlfn.LET(
    _xlpm.sum_month, SUM(T1001:AE1001),
    IF(_xlpm.sum_month = 0, "", _xlpm.sum_month &amp; " taxa de aprovados")
)</f>
        <v/>
      </c>
      <c r="L1001" s="4" t="s">
        <v>183</v>
      </c>
      <c r="M1001" s="13">
        <v>1</v>
      </c>
      <c r="N1001" s="5" t="s">
        <v>51</v>
      </c>
      <c r="O1001" s="5" t="s">
        <v>43</v>
      </c>
      <c r="P1001" s="10" t="s">
        <v>44</v>
      </c>
      <c r="Q1001" s="10" t="s">
        <v>44</v>
      </c>
      <c r="R1001" s="11" t="s">
        <v>44</v>
      </c>
      <c r="S1001" s="11" t="s">
        <v>44</v>
      </c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G1001" s="71"/>
      <c r="AH1001" s="71"/>
      <c r="AI1001" s="71"/>
      <c r="AJ1001" s="71"/>
      <c r="AK1001" s="71"/>
      <c r="AL1001" s="71"/>
      <c r="AM1001" s="71"/>
      <c r="AN1001" s="71"/>
      <c r="AO1001" s="71"/>
      <c r="AP1001" s="71"/>
      <c r="AQ1001" s="71"/>
      <c r="AR1001" s="71"/>
      <c r="AS1001" s="94" t="str" cm="1">
        <f t="array" ref="AS1001">IFERROR(INDEX(T1001:AE1001,1,MATCH(2,1/(T1001:AE1001&lt;&gt;""))),"")</f>
        <v/>
      </c>
      <c r="AT1001" s="95" t="str" cm="1">
        <f t="array" ref="AT1001">IFERROR(INDEX(AJ1001:AR1001,1,MATCH(2,1/(AJ1001:AR1001&lt;&gt;""))),"")</f>
        <v/>
      </c>
      <c r="AU1001" s="97" t="str">
        <f t="shared" si="1202"/>
        <v/>
      </c>
      <c r="AW1001" s="51" t="str">
        <f t="shared" si="1203"/>
        <v/>
      </c>
      <c r="AX1001" s="51"/>
      <c r="AY1001" s="51"/>
      <c r="AZ1001" s="51"/>
      <c r="BA1001" s="51"/>
      <c r="BB1001" s="51"/>
      <c r="BC1001" s="51"/>
      <c r="BD1001" s="51"/>
      <c r="BE1001" s="51"/>
      <c r="BF1001" s="51"/>
      <c r="BG1001" s="51"/>
      <c r="BH1001" s="51"/>
      <c r="BI1001" s="65" t="str" cm="1">
        <f t="array" ref="BI1001">IFERROR(INDEX(AW1001:BH1001,1,MATCH(2,1/(AW1001:BH1001&lt;&gt;""))),"")</f>
        <v/>
      </c>
      <c r="BJ1001" s="68" t="str" cm="1">
        <f t="array" ref="BJ1001">IF(BM1001 = "", "",IFERROR(INDEX(AW1001:BH1001,1,MATCH(2,1/(AW1001:BH1001&lt;&gt;""),1)-1),""))</f>
        <v/>
      </c>
      <c r="BK1001" s="58" t="str" cm="1">
        <f t="array" ref="BK1001">IFERROR(INDEX(AW1001:BH1001,1,MATCH(2,1/(AW1001:BH1001&lt;&gt;""))),"")</f>
        <v/>
      </c>
      <c r="BL1001" s="58" t="str" cm="1">
        <f t="array" ref="BL1001">IFERROR(INDEX(AW1001:BH1001,1,MATCH(2,1/(AW1001:BH1001&lt;&gt;""),1)-1),"")</f>
        <v/>
      </c>
      <c r="BM1001" s="55" t="str" cm="1">
        <f t="array" ref="BM1001">IFERROR(
   INDEX($AW$1:$BH$1,
      _xlfn.AGGREGATE(14, 6, COLUMN($AW$1:$BH$1)/(AW1001:BH1001&lt;&gt;""), 2) - COLUMN($AW$1) + 1
   ),
"")</f>
        <v/>
      </c>
      <c r="BN1001" s="55" t="str" cm="1">
        <f t="array" ref="BN1001">IFERROR(INDEX($AW$1:$BH$1,1,MATCH(2,1/(AW1001:BH1001&lt;&gt;""))),"")</f>
        <v/>
      </c>
      <c r="BO1001" s="53">
        <f ca="1">IFERROR(_xlfn.XLOOKUP(F1001,Apuração!A:A,Apuração!C:C)/_xlfn.XLOOKUP(F1001,Apuração!A:A,Apuração!B:B),0)</f>
        <v>0</v>
      </c>
      <c r="BP1001" s="53">
        <f ca="1">IFERROR(_xlfn.XLOOKUP(F1001,Apuração!A:A,Apuração!D:D)/_xlfn.XLOOKUP(F1001,Apuração!A:A,Apuração!B:B),0)</f>
        <v>0</v>
      </c>
      <c r="BQ1001" s="53">
        <f ca="1">IF(BK1001&gt;=BO1001,0,_xlfn.XLOOKUP(F1001,Apuração!A:A,Apuração!B:B)*(BO1001 + (1/_xlfn.XLOOKUP(F1001,Apuração!A:A,Apuração!B:B)) - BK1001))</f>
        <v>0</v>
      </c>
      <c r="BR1001" s="85">
        <f t="shared" ca="1" si="1204"/>
        <v>0</v>
      </c>
      <c r="BS1001" s="53">
        <f ca="1">IFERROR((_xlfn.XLOOKUP(F1001,Apuração!A:A,Apuração!C:C)+1)/_xlfn.XLOOKUP(F1001,Apuração!A:A,Apuração!B:B),0)</f>
        <v>0.14285714285714285</v>
      </c>
    </row>
    <row r="1002" spans="1:71" ht="25.95" hidden="1" customHeight="1" x14ac:dyDescent="0.3">
      <c r="A1002" s="72" t="s">
        <v>44</v>
      </c>
      <c r="B1002" s="73" t="s">
        <v>44</v>
      </c>
      <c r="C1002" s="74" t="s">
        <v>97</v>
      </c>
      <c r="D1002" s="5" t="s">
        <v>36</v>
      </c>
      <c r="E1002" s="4" t="str" cm="1">
        <f t="array" ref="E1002">_xlfn.IFS(
F1002 = "A partir de Abril", "Aguardando Execução na Distribuidora",
A1002 = "CAPACITAÇÃO", "Em execução no Corporativo",
TRUE, "Em Execução na Distribuidora"
)</f>
        <v>Em Execução na Distribuidora</v>
      </c>
      <c r="F1002" s="4" t="str" cm="1">
        <f t="array" ref="F1002">_xlfn.IFS(
AG1002 &lt;&gt; "", "Jan-Dez/26",
AH1002 &lt;&gt; "", "Fev-Dez/26",
AI1002 &lt;&gt; "", "Mar-Dez/26", AJ1002 &lt;&gt; "", "Abr-Dez/26",
TRUE, "A partir de Junho"
)</f>
        <v>A partir de Junho</v>
      </c>
      <c r="G1002" s="75" t="s">
        <v>44</v>
      </c>
      <c r="H1002" s="76" t="s">
        <v>44</v>
      </c>
      <c r="I1002" s="77"/>
      <c r="J1002" s="77"/>
      <c r="K1002" s="77"/>
      <c r="L1002" s="77" t="s">
        <v>227</v>
      </c>
      <c r="M1002" s="78"/>
      <c r="N1002" s="74" t="s">
        <v>42</v>
      </c>
      <c r="O1002" s="74" t="s">
        <v>52</v>
      </c>
      <c r="P1002" s="75" t="s">
        <v>44</v>
      </c>
      <c r="Q1002" s="75" t="s">
        <v>44</v>
      </c>
      <c r="R1002" s="79" t="s">
        <v>44</v>
      </c>
      <c r="S1002" s="79" t="s">
        <v>44</v>
      </c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G1002" s="112"/>
      <c r="AH1002" s="112"/>
      <c r="AI1002" s="112"/>
      <c r="AJ1002" s="112"/>
      <c r="AK1002" s="112"/>
      <c r="AL1002" s="112"/>
      <c r="AM1002" s="112"/>
      <c r="AN1002" s="112"/>
      <c r="AO1002" s="112"/>
      <c r="AP1002" s="112"/>
      <c r="AQ1002" s="112"/>
      <c r="AR1002" s="112"/>
      <c r="AS1002" s="94"/>
      <c r="AT1002" s="95"/>
      <c r="AU1002" s="97"/>
      <c r="AW1002" s="88">
        <f>AG1002/100</f>
        <v>0</v>
      </c>
      <c r="AX1002" s="88">
        <f t="shared" ref="AX1002:AZ1002" si="1205">AH1002/100</f>
        <v>0</v>
      </c>
      <c r="AY1002" s="88">
        <f t="shared" si="1205"/>
        <v>0</v>
      </c>
      <c r="AZ1002" s="88">
        <f t="shared" si="1205"/>
        <v>0</v>
      </c>
      <c r="BA1002" s="88"/>
      <c r="BB1002" s="88"/>
      <c r="BC1002" s="88"/>
      <c r="BD1002" s="88"/>
      <c r="BE1002" s="88"/>
      <c r="BF1002" s="88"/>
      <c r="BG1002" s="88"/>
      <c r="BH1002" s="88"/>
      <c r="BI1002" s="68" cm="1">
        <f t="array" ref="BI1002">IFERROR(INDEX(AW1002:BH1002,1,MATCH(2,1/(AW1002:BH1002&lt;&gt;""))),"")</f>
        <v>0</v>
      </c>
      <c r="BJ1002" s="68" cm="1">
        <f t="array" ref="BJ1002">IF(BM1002 = "", "",IFERROR(INDEX(AW1002:BH1002,1,MATCH(2,1/(AW1002:BH1002&lt;&gt;""),1)-1),""))</f>
        <v>0</v>
      </c>
      <c r="BK1002" s="57" cm="1">
        <f t="array" ref="BK1002">IFERROR(INDEX(AW1002:BH1002,1,MATCH(2,1/(AW1002:BH1002&lt;&gt;""),1)),"")</f>
        <v>0</v>
      </c>
      <c r="BL1002" s="57" cm="1">
        <f t="array" ref="BL1002">IF(BM1002 = "", "",IFERROR(INDEX(AW1002:BH1002,1,MATCH(2,1/(AW1002:BH1002&lt;&gt;""),1)-1),""))</f>
        <v>0</v>
      </c>
      <c r="BM1002" s="55" cm="1">
        <f t="array" ref="BM1002">IFERROR(
   INDEX($AW$1:$BH$1,
      _xlfn.AGGREGATE(14, 6, COLUMN($AW$1:$BH$1)/(AW1002:BH1002&lt;&gt;""), 2) - COLUMN($AW$1) + 1
   ),
"")</f>
        <v>46082</v>
      </c>
      <c r="BN1002" s="55" cm="1">
        <f t="array" ref="BN1002">IFERROR(INDEX($AW$1:$BH$1,1,MATCH(2,1/(AW1002:BH1002&lt;&gt;""))),"")</f>
        <v>46113</v>
      </c>
      <c r="BO1002" s="53">
        <f ca="1">IFERROR(_xlfn.XLOOKUP(F1002,Apuração!A:A,Apuração!C:C)/_xlfn.XLOOKUP(F1002,Apuração!A:A,Apuração!B:B),0)</f>
        <v>0</v>
      </c>
      <c r="BP1002" s="53">
        <f ca="1">IFERROR(_xlfn.XLOOKUP(F1002,Apuração!A:A,Apuração!D:D)/_xlfn.XLOOKUP(F1002,Apuração!A:A,Apuração!B:B),0)</f>
        <v>0</v>
      </c>
      <c r="BQ1002" s="53">
        <f ca="1">IF(BK1002&gt;=BO1002,0,_xlfn.XLOOKUP(F1002,Apuração!A:A,Apuração!B:B)*(BO1002 + (1/_xlfn.XLOOKUP(F1002,Apuração!A:A,Apuração!B:B)) - BK1002))</f>
        <v>0</v>
      </c>
      <c r="BR1002" s="85">
        <f ca="1">IF(BQ1002=0,0,BQ1002*Z1002)</f>
        <v>0</v>
      </c>
      <c r="BS1002" s="53">
        <f ca="1">IFERROR((_xlfn.XLOOKUP(F1002,Apuração!A:A,Apuração!C:C)+1)/_xlfn.XLOOKUP(F1002,Apuração!A:A,Apuração!B:B),0)</f>
        <v>0.14285714285714285</v>
      </c>
    </row>
    <row r="1003" spans="1:71" ht="25.95" hidden="1" customHeight="1" x14ac:dyDescent="0.3">
      <c r="A1003" s="72" t="s">
        <v>44</v>
      </c>
      <c r="B1003" s="73" t="s">
        <v>44</v>
      </c>
      <c r="C1003" s="74" t="s">
        <v>97</v>
      </c>
      <c r="D1003" s="5" t="s">
        <v>98</v>
      </c>
      <c r="E1003" s="4" t="str" cm="1">
        <f t="array" ref="E1003">_xlfn.IFS(
F1003 = "A partir de Abril", "Aguardando Execução na Distribuidora",
A1003 = "CAPACITAÇÃO", "Em execução no Corporativo",
TRUE, "Em Execução na Distribuidora"
)</f>
        <v>Em Execução na Distribuidora</v>
      </c>
      <c r="F1003" s="4" t="str" cm="1">
        <f t="array" ref="F1003">_xlfn.IFS(
AG1003 &lt;&gt; "", "Jan-Dez/26",
AH1003 &lt;&gt; "", "Fev-Dez/26",
AI1003 &lt;&gt; "", "Mar-Dez/26", AJ1003 &lt;&gt; "", "Abr-Dez/26",
TRUE, "A partir de Junho"
)</f>
        <v>A partir de Junho</v>
      </c>
      <c r="G1003" s="75" t="s">
        <v>44</v>
      </c>
      <c r="H1003" s="76" t="s">
        <v>44</v>
      </c>
      <c r="I1003" s="77"/>
      <c r="J1003" s="77"/>
      <c r="K1003" s="77"/>
      <c r="L1003" s="77" t="s">
        <v>227</v>
      </c>
      <c r="M1003" s="78"/>
      <c r="N1003" s="74" t="s">
        <v>42</v>
      </c>
      <c r="O1003" s="74" t="s">
        <v>52</v>
      </c>
      <c r="P1003" s="75" t="s">
        <v>44</v>
      </c>
      <c r="Q1003" s="75" t="s">
        <v>44</v>
      </c>
      <c r="R1003" s="79" t="s">
        <v>44</v>
      </c>
      <c r="S1003" s="79" t="s">
        <v>44</v>
      </c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G1003" s="71"/>
      <c r="AH1003" s="71"/>
      <c r="AI1003" s="71"/>
      <c r="AJ1003" s="71"/>
      <c r="AK1003" s="71"/>
      <c r="AL1003" s="71"/>
      <c r="AM1003" s="71"/>
      <c r="AN1003" s="71"/>
      <c r="AO1003" s="71"/>
      <c r="AP1003" s="71"/>
      <c r="AQ1003" s="71"/>
      <c r="AR1003" s="71"/>
      <c r="AS1003" s="94"/>
      <c r="AT1003" s="95"/>
      <c r="AU1003" s="97"/>
      <c r="AW1003" s="88">
        <f t="shared" ref="AW1003:AW1012" si="1206">AG1003/100</f>
        <v>0</v>
      </c>
      <c r="AX1003" s="88"/>
      <c r="AY1003" s="88"/>
      <c r="AZ1003" s="88"/>
      <c r="BA1003" s="88"/>
      <c r="BB1003" s="88"/>
      <c r="BC1003" s="88"/>
      <c r="BD1003" s="88"/>
      <c r="BE1003" s="88"/>
      <c r="BF1003" s="88"/>
      <c r="BG1003" s="88"/>
      <c r="BH1003" s="88"/>
      <c r="BI1003" s="68" cm="1">
        <f t="array" ref="BI1003">IFERROR(INDEX(AW1003:BH1003,1,MATCH(2,1/(AW1003:BH1003&lt;&gt;""))),"")</f>
        <v>0</v>
      </c>
      <c r="BJ1003" s="68" t="str" cm="1">
        <f t="array" ref="BJ1003">IF(BM1003 = "", "",IFERROR(INDEX(AW1003:BH1003,1,MATCH(2,1/(AW1003:BH1003&lt;&gt;""),1)-1),""))</f>
        <v/>
      </c>
      <c r="BK1003" s="57" cm="1">
        <f t="array" ref="BK1003">IFERROR(INDEX(AW1003:BH1003,1,MATCH(2,1/(AW1003:BH1003&lt;&gt;""),1)),"")</f>
        <v>0</v>
      </c>
      <c r="BL1003" s="57" t="str" cm="1">
        <f t="array" ref="BL1003">IF(BM1003 = "", "",IFERROR(INDEX(AW1003:BH1003,1,MATCH(2,1/(AW1003:BH1003&lt;&gt;""),1)-1),""))</f>
        <v/>
      </c>
      <c r="BM1003" s="55" t="str" cm="1">
        <f t="array" ref="BM1003">IFERROR(
   INDEX($AW$1:$BH$1,
      _xlfn.AGGREGATE(14, 6, COLUMN($AW$1:$BH$1)/(AW1003:BH1003&lt;&gt;""), 2) - COLUMN($AW$1) + 1
   ),
"")</f>
        <v/>
      </c>
      <c r="BN1003" s="55" cm="1">
        <f t="array" ref="BN1003">IFERROR(INDEX($AW$1:$BH$1,1,MATCH(2,1/(AW1003:BH1003&lt;&gt;""))),"")</f>
        <v>46023</v>
      </c>
      <c r="BO1003" s="53">
        <f ca="1">IFERROR(_xlfn.XLOOKUP(F1003,Apuração!A:A,Apuração!C:C)/_xlfn.XLOOKUP(F1003,Apuração!A:A,Apuração!B:B),0)</f>
        <v>0</v>
      </c>
      <c r="BP1003" s="53">
        <f ca="1">IFERROR(_xlfn.XLOOKUP(F1003,Apuração!A:A,Apuração!D:D)/_xlfn.XLOOKUP(F1003,Apuração!A:A,Apuração!B:B),0)</f>
        <v>0</v>
      </c>
      <c r="BQ1003" s="53">
        <f ca="1">IF(BK1003&gt;=BO1003,0,_xlfn.XLOOKUP(F1003,Apuração!A:A,Apuração!B:B)*(BO1003 + (1/_xlfn.XLOOKUP(F1003,Apuração!A:A,Apuração!B:B)) - BK1003))</f>
        <v>0</v>
      </c>
      <c r="BR1003" s="85">
        <f t="shared" ref="BR1003:BR1012" ca="1" si="1207">IF(BQ1003=0,0,BQ1003*Z1003)</f>
        <v>0</v>
      </c>
      <c r="BS1003" s="53">
        <f ca="1">IFERROR((_xlfn.XLOOKUP(F1003,Apuração!A:A,Apuração!C:C)+1)/_xlfn.XLOOKUP(F1003,Apuração!A:A,Apuração!B:B),0)</f>
        <v>0.14285714285714285</v>
      </c>
    </row>
    <row r="1004" spans="1:71" ht="25.95" hidden="1" customHeight="1" x14ac:dyDescent="0.3">
      <c r="A1004" s="72" t="s">
        <v>44</v>
      </c>
      <c r="B1004" s="73" t="s">
        <v>44</v>
      </c>
      <c r="C1004" s="74" t="s">
        <v>97</v>
      </c>
      <c r="D1004" s="5" t="s">
        <v>99</v>
      </c>
      <c r="E1004" s="4" t="str" cm="1">
        <f t="array" ref="E1004">_xlfn.IFS(
F1004 = "A partir de Abril", "Aguardando Execução na Distribuidora",
A1004 = "CAPACITAÇÃO", "Em execução no Corporativo",
TRUE, "Em Execução na Distribuidora"
)</f>
        <v>Em Execução na Distribuidora</v>
      </c>
      <c r="F1004" s="4" t="str" cm="1">
        <f t="array" ref="F1004">_xlfn.IFS(
AG1004 &lt;&gt; "", "Jan-Dez/26",
AH1004 &lt;&gt; "", "Fev-Dez/26",
AI1004 &lt;&gt; "", "Mar-Dez/26", AJ1004 &lt;&gt; "", "Abr-Dez/26",
TRUE, "A partir de Junho"
)</f>
        <v>A partir de Junho</v>
      </c>
      <c r="G1004" s="75" t="s">
        <v>44</v>
      </c>
      <c r="H1004" s="76" t="s">
        <v>44</v>
      </c>
      <c r="I1004" s="77"/>
      <c r="J1004" s="77"/>
      <c r="K1004" s="77"/>
      <c r="L1004" s="77" t="s">
        <v>227</v>
      </c>
      <c r="M1004" s="78"/>
      <c r="N1004" s="74" t="s">
        <v>42</v>
      </c>
      <c r="O1004" s="74" t="s">
        <v>52</v>
      </c>
      <c r="P1004" s="75" t="s">
        <v>44</v>
      </c>
      <c r="Q1004" s="75" t="s">
        <v>44</v>
      </c>
      <c r="R1004" s="79" t="s">
        <v>44</v>
      </c>
      <c r="S1004" s="79" t="s">
        <v>44</v>
      </c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G1004" s="71"/>
      <c r="AH1004" s="71"/>
      <c r="AI1004" s="71"/>
      <c r="AJ1004" s="71"/>
      <c r="AK1004" s="71"/>
      <c r="AL1004" s="71"/>
      <c r="AM1004" s="71"/>
      <c r="AN1004" s="71"/>
      <c r="AO1004" s="71"/>
      <c r="AP1004" s="71"/>
      <c r="AQ1004" s="71"/>
      <c r="AR1004" s="71"/>
      <c r="AS1004" s="94"/>
      <c r="AT1004" s="95"/>
      <c r="AU1004" s="97"/>
      <c r="AW1004" s="88">
        <f t="shared" si="1206"/>
        <v>0</v>
      </c>
      <c r="AX1004" s="88"/>
      <c r="AY1004" s="88"/>
      <c r="AZ1004" s="88"/>
      <c r="BA1004" s="88"/>
      <c r="BB1004" s="88"/>
      <c r="BC1004" s="88"/>
      <c r="BD1004" s="88"/>
      <c r="BE1004" s="88"/>
      <c r="BF1004" s="88"/>
      <c r="BG1004" s="88"/>
      <c r="BH1004" s="88"/>
      <c r="BI1004" s="68" cm="1">
        <f t="array" ref="BI1004">IFERROR(INDEX(AW1004:BH1004,1,MATCH(2,1/(AW1004:BH1004&lt;&gt;""))),"")</f>
        <v>0</v>
      </c>
      <c r="BJ1004" s="68" t="str" cm="1">
        <f t="array" ref="BJ1004">IF(BM1004 = "", "",IFERROR(INDEX(AW1004:BH1004,1,MATCH(2,1/(AW1004:BH1004&lt;&gt;""),1)-1),""))</f>
        <v/>
      </c>
      <c r="BK1004" s="57" cm="1">
        <f t="array" ref="BK1004">IFERROR(INDEX(AW1004:BH1004,1,MATCH(2,1/(AW1004:BH1004&lt;&gt;""),1)),"")</f>
        <v>0</v>
      </c>
      <c r="BL1004" s="57" t="str" cm="1">
        <f t="array" ref="BL1004">IF(BM1004 = "", "",IFERROR(INDEX(AW1004:BH1004,1,MATCH(2,1/(AW1004:BH1004&lt;&gt;""),1)-1),""))</f>
        <v/>
      </c>
      <c r="BM1004" s="55" t="str" cm="1">
        <f t="array" ref="BM1004">IFERROR(
   INDEX($AW$1:$BH$1,
      _xlfn.AGGREGATE(14, 6, COLUMN($AW$1:$BH$1)/(AW1004:BH1004&lt;&gt;""), 2) - COLUMN($AW$1) + 1
   ),
"")</f>
        <v/>
      </c>
      <c r="BN1004" s="55" cm="1">
        <f t="array" ref="BN1004">IFERROR(INDEX($AW$1:$BH$1,1,MATCH(2,1/(AW1004:BH1004&lt;&gt;""))),"")</f>
        <v>46023</v>
      </c>
      <c r="BO1004" s="53">
        <f ca="1">IFERROR(_xlfn.XLOOKUP(F1004,Apuração!A:A,Apuração!C:C)/_xlfn.XLOOKUP(F1004,Apuração!A:A,Apuração!B:B),0)</f>
        <v>0</v>
      </c>
      <c r="BP1004" s="53">
        <f ca="1">IFERROR(_xlfn.XLOOKUP(F1004,Apuração!A:A,Apuração!D:D)/_xlfn.XLOOKUP(F1004,Apuração!A:A,Apuração!B:B),0)</f>
        <v>0</v>
      </c>
      <c r="BQ1004" s="53">
        <f ca="1">IF(BK1004&gt;=BO1004,0,_xlfn.XLOOKUP(F1004,Apuração!A:A,Apuração!B:B)*(BO1004 + (1/_xlfn.XLOOKUP(F1004,Apuração!A:A,Apuração!B:B)) - BK1004))</f>
        <v>0</v>
      </c>
      <c r="BR1004" s="85">
        <f t="shared" ca="1" si="1207"/>
        <v>0</v>
      </c>
      <c r="BS1004" s="53">
        <f ca="1">IFERROR((_xlfn.XLOOKUP(F1004,Apuração!A:A,Apuração!C:C)+1)/_xlfn.XLOOKUP(F1004,Apuração!A:A,Apuração!B:B),0)</f>
        <v>0.14285714285714285</v>
      </c>
    </row>
    <row r="1005" spans="1:71" ht="25.95" hidden="1" customHeight="1" x14ac:dyDescent="0.3">
      <c r="A1005" s="72" t="s">
        <v>44</v>
      </c>
      <c r="B1005" s="73" t="s">
        <v>44</v>
      </c>
      <c r="C1005" s="74" t="s">
        <v>97</v>
      </c>
      <c r="D1005" s="5" t="s">
        <v>100</v>
      </c>
      <c r="E1005" s="4" t="str" cm="1">
        <f t="array" ref="E1005">_xlfn.IFS(
F1005 = "A partir de Abril", "Aguardando Execução na Distribuidora",
A1005 = "CAPACITAÇÃO", "Em execução no Corporativo",
TRUE, "Em Execução na Distribuidora"
)</f>
        <v>Em Execução na Distribuidora</v>
      </c>
      <c r="F1005" s="4" t="str" cm="1">
        <f t="array" ref="F1005">_xlfn.IFS(
AG1005 &lt;&gt; "", "Jan-Dez/26",
AH1005 &lt;&gt; "", "Fev-Dez/26",
AI1005 &lt;&gt; "", "Mar-Dez/26", AJ1005 &lt;&gt; "", "Abr-Dez/26",
TRUE, "A partir de Junho"
)</f>
        <v>A partir de Junho</v>
      </c>
      <c r="G1005" s="75" t="s">
        <v>44</v>
      </c>
      <c r="H1005" s="76" t="s">
        <v>44</v>
      </c>
      <c r="I1005" s="77"/>
      <c r="J1005" s="77"/>
      <c r="K1005" s="77"/>
      <c r="L1005" s="77" t="s">
        <v>227</v>
      </c>
      <c r="M1005" s="78"/>
      <c r="N1005" s="74" t="s">
        <v>42</v>
      </c>
      <c r="O1005" s="74" t="s">
        <v>52</v>
      </c>
      <c r="P1005" s="75" t="s">
        <v>44</v>
      </c>
      <c r="Q1005" s="75" t="s">
        <v>44</v>
      </c>
      <c r="R1005" s="79" t="s">
        <v>44</v>
      </c>
      <c r="S1005" s="79" t="s">
        <v>44</v>
      </c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G1005" s="71"/>
      <c r="AH1005" s="71"/>
      <c r="AI1005" s="71"/>
      <c r="AJ1005" s="71"/>
      <c r="AK1005" s="71"/>
      <c r="AL1005" s="71"/>
      <c r="AM1005" s="71"/>
      <c r="AN1005" s="71"/>
      <c r="AO1005" s="71"/>
      <c r="AP1005" s="71"/>
      <c r="AQ1005" s="71"/>
      <c r="AR1005" s="71"/>
      <c r="AS1005" s="94"/>
      <c r="AT1005" s="95"/>
      <c r="AU1005" s="97"/>
      <c r="AW1005" s="88">
        <f t="shared" si="1206"/>
        <v>0</v>
      </c>
      <c r="AX1005" s="88"/>
      <c r="AY1005" s="88"/>
      <c r="AZ1005" s="88"/>
      <c r="BA1005" s="88"/>
      <c r="BB1005" s="88"/>
      <c r="BC1005" s="88"/>
      <c r="BD1005" s="88"/>
      <c r="BE1005" s="88"/>
      <c r="BF1005" s="88"/>
      <c r="BG1005" s="88"/>
      <c r="BH1005" s="88"/>
      <c r="BI1005" s="68" cm="1">
        <f t="array" ref="BI1005">IFERROR(INDEX(AW1005:BH1005,1,MATCH(2,1/(AW1005:BH1005&lt;&gt;""))),"")</f>
        <v>0</v>
      </c>
      <c r="BJ1005" s="68" t="str" cm="1">
        <f t="array" ref="BJ1005">IF(BM1005 = "", "",IFERROR(INDEX(AW1005:BH1005,1,MATCH(2,1/(AW1005:BH1005&lt;&gt;""),1)-1),""))</f>
        <v/>
      </c>
      <c r="BK1005" s="57" cm="1">
        <f t="array" ref="BK1005">IFERROR(INDEX(AW1005:BH1005,1,MATCH(2,1/(AW1005:BH1005&lt;&gt;""),1)),"")</f>
        <v>0</v>
      </c>
      <c r="BL1005" s="57" t="str" cm="1">
        <f t="array" ref="BL1005">IF(BM1005 = "", "",IFERROR(INDEX(AW1005:BH1005,1,MATCH(2,1/(AW1005:BH1005&lt;&gt;""),1)-1),""))</f>
        <v/>
      </c>
      <c r="BM1005" s="55" t="str" cm="1">
        <f t="array" ref="BM1005">IFERROR(
   INDEX($AW$1:$BH$1,
      _xlfn.AGGREGATE(14, 6, COLUMN($AW$1:$BH$1)/(AW1005:BH1005&lt;&gt;""), 2) - COLUMN($AW$1) + 1
   ),
"")</f>
        <v/>
      </c>
      <c r="BN1005" s="55" cm="1">
        <f t="array" ref="BN1005">IFERROR(INDEX($AW$1:$BH$1,1,MATCH(2,1/(AW1005:BH1005&lt;&gt;""))),"")</f>
        <v>46023</v>
      </c>
      <c r="BO1005" s="53">
        <f ca="1">IFERROR(_xlfn.XLOOKUP(F1005,Apuração!A:A,Apuração!C:C)/_xlfn.XLOOKUP(F1005,Apuração!A:A,Apuração!B:B),0)</f>
        <v>0</v>
      </c>
      <c r="BP1005" s="53">
        <f ca="1">IFERROR(_xlfn.XLOOKUP(F1005,Apuração!A:A,Apuração!D:D)/_xlfn.XLOOKUP(F1005,Apuração!A:A,Apuração!B:B),0)</f>
        <v>0</v>
      </c>
      <c r="BQ1005" s="53">
        <f ca="1">IF(BK1005&gt;=BO1005,0,_xlfn.XLOOKUP(F1005,Apuração!A:A,Apuração!B:B)*(BO1005 + (1/_xlfn.XLOOKUP(F1005,Apuração!A:A,Apuração!B:B)) - BK1005))</f>
        <v>0</v>
      </c>
      <c r="BR1005" s="85">
        <f t="shared" ca="1" si="1207"/>
        <v>0</v>
      </c>
      <c r="BS1005" s="53">
        <f ca="1">IFERROR((_xlfn.XLOOKUP(F1005,Apuração!A:A,Apuração!C:C)+1)/_xlfn.XLOOKUP(F1005,Apuração!A:A,Apuração!B:B),0)</f>
        <v>0.14285714285714285</v>
      </c>
    </row>
    <row r="1006" spans="1:71" ht="25.95" hidden="1" customHeight="1" x14ac:dyDescent="0.3">
      <c r="A1006" s="72" t="s">
        <v>44</v>
      </c>
      <c r="B1006" s="73" t="s">
        <v>44</v>
      </c>
      <c r="C1006" s="74" t="s">
        <v>97</v>
      </c>
      <c r="D1006" s="5" t="s">
        <v>101</v>
      </c>
      <c r="E1006" s="4" t="str" cm="1">
        <f t="array" ref="E1006">_xlfn.IFS(
F1006 = "A partir de Abril", "Aguardando Execução na Distribuidora",
A1006 = "CAPACITAÇÃO", "Em execução no Corporativo",
TRUE, "Em Execução na Distribuidora"
)</f>
        <v>Em Execução na Distribuidora</v>
      </c>
      <c r="F1006" s="4" t="str" cm="1">
        <f t="array" ref="F1006">_xlfn.IFS(
AG1006 &lt;&gt; "", "Jan-Dez/26",
AH1006 &lt;&gt; "", "Fev-Dez/26",
AI1006 &lt;&gt; "", "Mar-Dez/26", AJ1006 &lt;&gt; "", "Abr-Dez/26",
TRUE, "A partir de Junho"
)</f>
        <v>A partir de Junho</v>
      </c>
      <c r="G1006" s="75" t="s">
        <v>44</v>
      </c>
      <c r="H1006" s="76" t="s">
        <v>44</v>
      </c>
      <c r="I1006" s="77"/>
      <c r="J1006" s="77"/>
      <c r="K1006" s="77"/>
      <c r="L1006" s="77" t="s">
        <v>227</v>
      </c>
      <c r="M1006" s="78"/>
      <c r="N1006" s="74" t="s">
        <v>42</v>
      </c>
      <c r="O1006" s="74" t="s">
        <v>52</v>
      </c>
      <c r="P1006" s="75" t="s">
        <v>44</v>
      </c>
      <c r="Q1006" s="75" t="s">
        <v>44</v>
      </c>
      <c r="R1006" s="79" t="s">
        <v>44</v>
      </c>
      <c r="S1006" s="79" t="s">
        <v>44</v>
      </c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G1006" s="71"/>
      <c r="AH1006" s="71"/>
      <c r="AI1006" s="71"/>
      <c r="AJ1006" s="71"/>
      <c r="AK1006" s="71"/>
      <c r="AL1006" s="71"/>
      <c r="AM1006" s="71"/>
      <c r="AN1006" s="71"/>
      <c r="AO1006" s="71"/>
      <c r="AP1006" s="71"/>
      <c r="AQ1006" s="71"/>
      <c r="AR1006" s="71"/>
      <c r="AS1006" s="94"/>
      <c r="AT1006" s="95"/>
      <c r="AU1006" s="97"/>
      <c r="AW1006" s="88">
        <f t="shared" si="1206"/>
        <v>0</v>
      </c>
      <c r="AX1006" s="88"/>
      <c r="AY1006" s="88"/>
      <c r="AZ1006" s="88"/>
      <c r="BA1006" s="88"/>
      <c r="BB1006" s="88"/>
      <c r="BC1006" s="88"/>
      <c r="BD1006" s="88"/>
      <c r="BE1006" s="88"/>
      <c r="BF1006" s="88"/>
      <c r="BG1006" s="88"/>
      <c r="BH1006" s="88"/>
      <c r="BI1006" s="68" cm="1">
        <f t="array" ref="BI1006">IFERROR(INDEX(AW1006:BH1006,1,MATCH(2,1/(AW1006:BH1006&lt;&gt;""))),"")</f>
        <v>0</v>
      </c>
      <c r="BJ1006" s="68" t="str" cm="1">
        <f t="array" ref="BJ1006">IF(BM1006 = "", "",IFERROR(INDEX(AW1006:BH1006,1,MATCH(2,1/(AW1006:BH1006&lt;&gt;""),1)-1),""))</f>
        <v/>
      </c>
      <c r="BK1006" s="57" cm="1">
        <f t="array" ref="BK1006">IFERROR(INDEX(AW1006:BH1006,1,MATCH(2,1/(AW1006:BH1006&lt;&gt;""),1)),"")</f>
        <v>0</v>
      </c>
      <c r="BL1006" s="57" t="str" cm="1">
        <f t="array" ref="BL1006">IF(BM1006 = "", "",IFERROR(INDEX(AW1006:BH1006,1,MATCH(2,1/(AW1006:BH1006&lt;&gt;""),1)-1),""))</f>
        <v/>
      </c>
      <c r="BM1006" s="55" t="str" cm="1">
        <f t="array" ref="BM1006">IFERROR(
   INDEX($AW$1:$BH$1,
      _xlfn.AGGREGATE(14, 6, COLUMN($AW$1:$BH$1)/(AW1006:BH1006&lt;&gt;""), 2) - COLUMN($AW$1) + 1
   ),
"")</f>
        <v/>
      </c>
      <c r="BN1006" s="55" cm="1">
        <f t="array" ref="BN1006">IFERROR(INDEX($AW$1:$BH$1,1,MATCH(2,1/(AW1006:BH1006&lt;&gt;""))),"")</f>
        <v>46023</v>
      </c>
      <c r="BO1006" s="53">
        <f ca="1">IFERROR(_xlfn.XLOOKUP(F1006,Apuração!A:A,Apuração!C:C)/_xlfn.XLOOKUP(F1006,Apuração!A:A,Apuração!B:B),0)</f>
        <v>0</v>
      </c>
      <c r="BP1006" s="53">
        <f ca="1">IFERROR(_xlfn.XLOOKUP(F1006,Apuração!A:A,Apuração!D:D)/_xlfn.XLOOKUP(F1006,Apuração!A:A,Apuração!B:B),0)</f>
        <v>0</v>
      </c>
      <c r="BQ1006" s="53">
        <f ca="1">IF(BK1006&gt;=BO1006,0,_xlfn.XLOOKUP(F1006,Apuração!A:A,Apuração!B:B)*(BO1006 + (1/_xlfn.XLOOKUP(F1006,Apuração!A:A,Apuração!B:B)) - BK1006))</f>
        <v>0</v>
      </c>
      <c r="BR1006" s="85">
        <f t="shared" ca="1" si="1207"/>
        <v>0</v>
      </c>
      <c r="BS1006" s="53">
        <f ca="1">IFERROR((_xlfn.XLOOKUP(F1006,Apuração!A:A,Apuração!C:C)+1)/_xlfn.XLOOKUP(F1006,Apuração!A:A,Apuração!B:B),0)</f>
        <v>0.14285714285714285</v>
      </c>
    </row>
    <row r="1007" spans="1:71" ht="25.95" hidden="1" customHeight="1" x14ac:dyDescent="0.3">
      <c r="A1007" s="72" t="s">
        <v>44</v>
      </c>
      <c r="B1007" s="73" t="s">
        <v>44</v>
      </c>
      <c r="C1007" s="74" t="s">
        <v>97</v>
      </c>
      <c r="D1007" s="5" t="s">
        <v>102</v>
      </c>
      <c r="E1007" s="4" t="str" cm="1">
        <f t="array" ref="E1007">_xlfn.IFS(
F1007 = "A partir de Abril", "Aguardando Execução na Distribuidora",
A1007 = "CAPACITAÇÃO", "Em execução no Corporativo",
TRUE, "Em Execução na Distribuidora"
)</f>
        <v>Em Execução na Distribuidora</v>
      </c>
      <c r="F1007" s="4" t="str" cm="1">
        <f t="array" ref="F1007">_xlfn.IFS(
AG1007 &lt;&gt; "", "Jan-Dez/26",
AH1007 &lt;&gt; "", "Fev-Dez/26",
AI1007 &lt;&gt; "", "Mar-Dez/26", AJ1007 &lt;&gt; "", "Abr-Dez/26",
TRUE, "A partir de Junho"
)</f>
        <v>A partir de Junho</v>
      </c>
      <c r="G1007" s="75" t="s">
        <v>44</v>
      </c>
      <c r="H1007" s="76" t="s">
        <v>44</v>
      </c>
      <c r="I1007" s="77"/>
      <c r="J1007" s="77"/>
      <c r="K1007" s="77"/>
      <c r="L1007" s="77" t="s">
        <v>227</v>
      </c>
      <c r="M1007" s="78"/>
      <c r="N1007" s="74" t="s">
        <v>42</v>
      </c>
      <c r="O1007" s="74" t="s">
        <v>52</v>
      </c>
      <c r="P1007" s="75" t="s">
        <v>44</v>
      </c>
      <c r="Q1007" s="75" t="s">
        <v>44</v>
      </c>
      <c r="R1007" s="79" t="s">
        <v>44</v>
      </c>
      <c r="S1007" s="79" t="s">
        <v>44</v>
      </c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G1007" s="71"/>
      <c r="AH1007" s="71"/>
      <c r="AI1007" s="71"/>
      <c r="AJ1007" s="71"/>
      <c r="AK1007" s="71"/>
      <c r="AL1007" s="71"/>
      <c r="AM1007" s="71"/>
      <c r="AN1007" s="71"/>
      <c r="AO1007" s="71"/>
      <c r="AP1007" s="71"/>
      <c r="AQ1007" s="71"/>
      <c r="AR1007" s="71"/>
      <c r="AS1007" s="94"/>
      <c r="AT1007" s="95"/>
      <c r="AU1007" s="97"/>
      <c r="AW1007" s="88">
        <f t="shared" si="1206"/>
        <v>0</v>
      </c>
      <c r="AX1007" s="88"/>
      <c r="AY1007" s="88"/>
      <c r="AZ1007" s="88"/>
      <c r="BA1007" s="88"/>
      <c r="BB1007" s="88"/>
      <c r="BC1007" s="88"/>
      <c r="BD1007" s="88"/>
      <c r="BE1007" s="88"/>
      <c r="BF1007" s="88"/>
      <c r="BG1007" s="88"/>
      <c r="BH1007" s="88"/>
      <c r="BI1007" s="68" cm="1">
        <f t="array" ref="BI1007">IFERROR(INDEX(AW1007:BH1007,1,MATCH(2,1/(AW1007:BH1007&lt;&gt;""))),"")</f>
        <v>0</v>
      </c>
      <c r="BJ1007" s="68" t="str" cm="1">
        <f t="array" ref="BJ1007">IF(BM1007 = "", "",IFERROR(INDEX(AW1007:BH1007,1,MATCH(2,1/(AW1007:BH1007&lt;&gt;""),1)-1),""))</f>
        <v/>
      </c>
      <c r="BK1007" s="57" cm="1">
        <f t="array" ref="BK1007">IFERROR(INDEX(AW1007:BH1007,1,MATCH(2,1/(AW1007:BH1007&lt;&gt;""),1)),"")</f>
        <v>0</v>
      </c>
      <c r="BL1007" s="57" t="str" cm="1">
        <f t="array" ref="BL1007">IF(BM1007 = "", "",IFERROR(INDEX(AW1007:BH1007,1,MATCH(2,1/(AW1007:BH1007&lt;&gt;""),1)-1),""))</f>
        <v/>
      </c>
      <c r="BM1007" s="55" t="str" cm="1">
        <f t="array" ref="BM1007">IFERROR(
   INDEX($AW$1:$BH$1,
      _xlfn.AGGREGATE(14, 6, COLUMN($AW$1:$BH$1)/(AW1007:BH1007&lt;&gt;""), 2) - COLUMN($AW$1) + 1
   ),
"")</f>
        <v/>
      </c>
      <c r="BN1007" s="55" cm="1">
        <f t="array" ref="BN1007">IFERROR(INDEX($AW$1:$BH$1,1,MATCH(2,1/(AW1007:BH1007&lt;&gt;""))),"")</f>
        <v>46023</v>
      </c>
      <c r="BO1007" s="53">
        <f ca="1">IFERROR(_xlfn.XLOOKUP(F1007,Apuração!A:A,Apuração!C:C)/_xlfn.XLOOKUP(F1007,Apuração!A:A,Apuração!B:B),0)</f>
        <v>0</v>
      </c>
      <c r="BP1007" s="53">
        <f ca="1">IFERROR(_xlfn.XLOOKUP(F1007,Apuração!A:A,Apuração!D:D)/_xlfn.XLOOKUP(F1007,Apuração!A:A,Apuração!B:B),0)</f>
        <v>0</v>
      </c>
      <c r="BQ1007" s="53">
        <f ca="1">IF(BK1007&gt;=BO1007,0,_xlfn.XLOOKUP(F1007,Apuração!A:A,Apuração!B:B)*(BO1007 + (1/_xlfn.XLOOKUP(F1007,Apuração!A:A,Apuração!B:B)) - BK1007))</f>
        <v>0</v>
      </c>
      <c r="BR1007" s="85">
        <f t="shared" ca="1" si="1207"/>
        <v>0</v>
      </c>
      <c r="BS1007" s="53">
        <f ca="1">IFERROR((_xlfn.XLOOKUP(F1007,Apuração!A:A,Apuração!C:C)+1)/_xlfn.XLOOKUP(F1007,Apuração!A:A,Apuração!B:B),0)</f>
        <v>0.14285714285714285</v>
      </c>
    </row>
    <row r="1008" spans="1:71" ht="25.95" hidden="1" customHeight="1" x14ac:dyDescent="0.3">
      <c r="A1008" s="72" t="s">
        <v>44</v>
      </c>
      <c r="B1008" s="73" t="s">
        <v>44</v>
      </c>
      <c r="C1008" s="74" t="s">
        <v>97</v>
      </c>
      <c r="D1008" s="5" t="s">
        <v>103</v>
      </c>
      <c r="E1008" s="4" t="str" cm="1">
        <f t="array" ref="E1008">_xlfn.IFS(
F1008 = "A partir de Abril", "Aguardando Execução na Distribuidora",
A1008 = "CAPACITAÇÃO", "Em execução no Corporativo",
TRUE, "Em Execução na Distribuidora"
)</f>
        <v>Em Execução na Distribuidora</v>
      </c>
      <c r="F1008" s="4" t="str" cm="1">
        <f t="array" ref="F1008">_xlfn.IFS(
AG1008 &lt;&gt; "", "Jan-Dez/26",
AH1008 &lt;&gt; "", "Fev-Dez/26",
AI1008 &lt;&gt; "", "Mar-Dez/26", AJ1008 &lt;&gt; "", "Abr-Dez/26",
TRUE, "A partir de Junho"
)</f>
        <v>A partir de Junho</v>
      </c>
      <c r="G1008" s="75" t="s">
        <v>44</v>
      </c>
      <c r="H1008" s="76" t="s">
        <v>44</v>
      </c>
      <c r="I1008" s="77"/>
      <c r="J1008" s="77"/>
      <c r="K1008" s="77"/>
      <c r="L1008" s="77" t="s">
        <v>227</v>
      </c>
      <c r="M1008" s="78"/>
      <c r="N1008" s="74" t="s">
        <v>42</v>
      </c>
      <c r="O1008" s="74" t="s">
        <v>52</v>
      </c>
      <c r="P1008" s="75" t="s">
        <v>44</v>
      </c>
      <c r="Q1008" s="75" t="s">
        <v>44</v>
      </c>
      <c r="R1008" s="79" t="s">
        <v>44</v>
      </c>
      <c r="S1008" s="79" t="s">
        <v>44</v>
      </c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G1008" s="71"/>
      <c r="AH1008" s="71"/>
      <c r="AI1008" s="71"/>
      <c r="AJ1008" s="71"/>
      <c r="AK1008" s="71"/>
      <c r="AL1008" s="71"/>
      <c r="AM1008" s="71"/>
      <c r="AN1008" s="71"/>
      <c r="AO1008" s="71"/>
      <c r="AP1008" s="71"/>
      <c r="AQ1008" s="71"/>
      <c r="AR1008" s="71"/>
      <c r="AS1008" s="94"/>
      <c r="AT1008" s="95"/>
      <c r="AU1008" s="97"/>
      <c r="AW1008" s="88">
        <f t="shared" si="1206"/>
        <v>0</v>
      </c>
      <c r="AX1008" s="88"/>
      <c r="AY1008" s="88"/>
      <c r="AZ1008" s="88"/>
      <c r="BA1008" s="88"/>
      <c r="BB1008" s="88"/>
      <c r="BC1008" s="88"/>
      <c r="BD1008" s="88"/>
      <c r="BE1008" s="88"/>
      <c r="BF1008" s="88"/>
      <c r="BG1008" s="88"/>
      <c r="BH1008" s="88"/>
      <c r="BI1008" s="68" cm="1">
        <f t="array" ref="BI1008">IFERROR(INDEX(AW1008:BH1008,1,MATCH(2,1/(AW1008:BH1008&lt;&gt;""))),"")</f>
        <v>0</v>
      </c>
      <c r="BJ1008" s="68" t="str" cm="1">
        <f t="array" ref="BJ1008">IF(BM1008 = "", "",IFERROR(INDEX(AW1008:BH1008,1,MATCH(2,1/(AW1008:BH1008&lt;&gt;""),1)-1),""))</f>
        <v/>
      </c>
      <c r="BK1008" s="57" cm="1">
        <f t="array" ref="BK1008">IFERROR(INDEX(AW1008:BH1008,1,MATCH(2,1/(AW1008:BH1008&lt;&gt;""),1)),"")</f>
        <v>0</v>
      </c>
      <c r="BL1008" s="57" t="str" cm="1">
        <f t="array" ref="BL1008">IF(BM1008 = "", "",IFERROR(INDEX(AW1008:BH1008,1,MATCH(2,1/(AW1008:BH1008&lt;&gt;""),1)-1),""))</f>
        <v/>
      </c>
      <c r="BM1008" s="55" t="str" cm="1">
        <f t="array" ref="BM1008">IFERROR(
   INDEX($AW$1:$BH$1,
      _xlfn.AGGREGATE(14, 6, COLUMN($AW$1:$BH$1)/(AW1008:BH1008&lt;&gt;""), 2) - COLUMN($AW$1) + 1
   ),
"")</f>
        <v/>
      </c>
      <c r="BN1008" s="55" cm="1">
        <f t="array" ref="BN1008">IFERROR(INDEX($AW$1:$BH$1,1,MATCH(2,1/(AW1008:BH1008&lt;&gt;""))),"")</f>
        <v>46023</v>
      </c>
      <c r="BO1008" s="53">
        <f ca="1">IFERROR(_xlfn.XLOOKUP(F1008,Apuração!A:A,Apuração!C:C)/_xlfn.XLOOKUP(F1008,Apuração!A:A,Apuração!B:B),0)</f>
        <v>0</v>
      </c>
      <c r="BP1008" s="53">
        <f ca="1">IFERROR(_xlfn.XLOOKUP(F1008,Apuração!A:A,Apuração!D:D)/_xlfn.XLOOKUP(F1008,Apuração!A:A,Apuração!B:B),0)</f>
        <v>0</v>
      </c>
      <c r="BQ1008" s="53">
        <f ca="1">IF(BK1008&gt;=BO1008,0,_xlfn.XLOOKUP(F1008,Apuração!A:A,Apuração!B:B)*(BO1008 + (1/_xlfn.XLOOKUP(F1008,Apuração!A:A,Apuração!B:B)) - BK1008))</f>
        <v>0</v>
      </c>
      <c r="BR1008" s="85">
        <f t="shared" ca="1" si="1207"/>
        <v>0</v>
      </c>
      <c r="BS1008" s="53">
        <f ca="1">IFERROR((_xlfn.XLOOKUP(F1008,Apuração!A:A,Apuração!C:C)+1)/_xlfn.XLOOKUP(F1008,Apuração!A:A,Apuração!B:B),0)</f>
        <v>0.14285714285714285</v>
      </c>
    </row>
    <row r="1009" spans="1:71" ht="25.95" hidden="1" customHeight="1" x14ac:dyDescent="0.3">
      <c r="A1009" s="72" t="s">
        <v>44</v>
      </c>
      <c r="B1009" s="73" t="s">
        <v>44</v>
      </c>
      <c r="C1009" s="74" t="s">
        <v>97</v>
      </c>
      <c r="D1009" s="5" t="s">
        <v>104</v>
      </c>
      <c r="E1009" s="4" t="str" cm="1">
        <f t="array" ref="E1009">_xlfn.IFS(
F1009 = "A partir de Abril", "Aguardando Execução na Distribuidora",
A1009 = "CAPACITAÇÃO", "Em execução no Corporativo",
TRUE, "Em Execução na Distribuidora"
)</f>
        <v>Em Execução na Distribuidora</v>
      </c>
      <c r="F1009" s="4" t="str" cm="1">
        <f t="array" ref="F1009">_xlfn.IFS(
AG1009 &lt;&gt; "", "Jan-Dez/26",
AH1009 &lt;&gt; "", "Fev-Dez/26",
AI1009 &lt;&gt; "", "Mar-Dez/26", AJ1009 &lt;&gt; "", "Abr-Dez/26",
TRUE, "A partir de Junho"
)</f>
        <v>A partir de Junho</v>
      </c>
      <c r="G1009" s="75" t="s">
        <v>44</v>
      </c>
      <c r="H1009" s="76" t="s">
        <v>44</v>
      </c>
      <c r="I1009" s="77"/>
      <c r="J1009" s="77"/>
      <c r="K1009" s="77"/>
      <c r="L1009" s="77" t="s">
        <v>227</v>
      </c>
      <c r="M1009" s="78"/>
      <c r="N1009" s="74" t="s">
        <v>42</v>
      </c>
      <c r="O1009" s="74" t="s">
        <v>52</v>
      </c>
      <c r="P1009" s="75" t="s">
        <v>44</v>
      </c>
      <c r="Q1009" s="75" t="s">
        <v>44</v>
      </c>
      <c r="R1009" s="79" t="s">
        <v>44</v>
      </c>
      <c r="S1009" s="79" t="s">
        <v>44</v>
      </c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G1009" s="71"/>
      <c r="AH1009" s="71"/>
      <c r="AI1009" s="71"/>
      <c r="AJ1009" s="71"/>
      <c r="AK1009" s="71"/>
      <c r="AL1009" s="71"/>
      <c r="AM1009" s="71"/>
      <c r="AN1009" s="71"/>
      <c r="AO1009" s="71"/>
      <c r="AP1009" s="71"/>
      <c r="AQ1009" s="71"/>
      <c r="AR1009" s="71"/>
      <c r="AS1009" s="94"/>
      <c r="AT1009" s="95"/>
      <c r="AU1009" s="97"/>
      <c r="AW1009" s="88">
        <f t="shared" si="1206"/>
        <v>0</v>
      </c>
      <c r="AX1009" s="88"/>
      <c r="AY1009" s="88"/>
      <c r="AZ1009" s="88"/>
      <c r="BA1009" s="88"/>
      <c r="BB1009" s="88"/>
      <c r="BC1009" s="88"/>
      <c r="BD1009" s="88"/>
      <c r="BE1009" s="88"/>
      <c r="BF1009" s="88"/>
      <c r="BG1009" s="88"/>
      <c r="BH1009" s="88"/>
      <c r="BI1009" s="68" cm="1">
        <f t="array" ref="BI1009">IFERROR(INDEX(AW1009:BH1009,1,MATCH(2,1/(AW1009:BH1009&lt;&gt;""))),"")</f>
        <v>0</v>
      </c>
      <c r="BJ1009" s="68" t="str" cm="1">
        <f t="array" ref="BJ1009">IF(BM1009 = "", "",IFERROR(INDEX(AW1009:BH1009,1,MATCH(2,1/(AW1009:BH1009&lt;&gt;""),1)-1),""))</f>
        <v/>
      </c>
      <c r="BK1009" s="57" cm="1">
        <f t="array" ref="BK1009">IFERROR(INDEX(AW1009:BH1009,1,MATCH(2,1/(AW1009:BH1009&lt;&gt;""),1)),"")</f>
        <v>0</v>
      </c>
      <c r="BL1009" s="57" t="str" cm="1">
        <f t="array" ref="BL1009">IF(BM1009 = "", "",IFERROR(INDEX(AW1009:BH1009,1,MATCH(2,1/(AW1009:BH1009&lt;&gt;""),1)-1),""))</f>
        <v/>
      </c>
      <c r="BM1009" s="55" t="str" cm="1">
        <f t="array" ref="BM1009">IFERROR(
   INDEX($AW$1:$BH$1,
      _xlfn.AGGREGATE(14, 6, COLUMN($AW$1:$BH$1)/(AW1009:BH1009&lt;&gt;""), 2) - COLUMN($AW$1) + 1
   ),
"")</f>
        <v/>
      </c>
      <c r="BN1009" s="55" cm="1">
        <f t="array" ref="BN1009">IFERROR(INDEX($AW$1:$BH$1,1,MATCH(2,1/(AW1009:BH1009&lt;&gt;""))),"")</f>
        <v>46023</v>
      </c>
      <c r="BO1009" s="53">
        <f ca="1">IFERROR(_xlfn.XLOOKUP(F1009,Apuração!A:A,Apuração!C:C)/_xlfn.XLOOKUP(F1009,Apuração!A:A,Apuração!B:B),0)</f>
        <v>0</v>
      </c>
      <c r="BP1009" s="53">
        <f ca="1">IFERROR(_xlfn.XLOOKUP(F1009,Apuração!A:A,Apuração!D:D)/_xlfn.XLOOKUP(F1009,Apuração!A:A,Apuração!B:B),0)</f>
        <v>0</v>
      </c>
      <c r="BQ1009" s="53">
        <f ca="1">IF(BK1009&gt;=BO1009,0,_xlfn.XLOOKUP(F1009,Apuração!A:A,Apuração!B:B)*(BO1009 + (1/_xlfn.XLOOKUP(F1009,Apuração!A:A,Apuração!B:B)) - BK1009))</f>
        <v>0</v>
      </c>
      <c r="BR1009" s="85">
        <f t="shared" ca="1" si="1207"/>
        <v>0</v>
      </c>
      <c r="BS1009" s="53">
        <f ca="1">IFERROR((_xlfn.XLOOKUP(F1009,Apuração!A:A,Apuração!C:C)+1)/_xlfn.XLOOKUP(F1009,Apuração!A:A,Apuração!B:B),0)</f>
        <v>0.14285714285714285</v>
      </c>
    </row>
    <row r="1010" spans="1:71" ht="25.95" hidden="1" customHeight="1" x14ac:dyDescent="0.3">
      <c r="A1010" s="72" t="s">
        <v>44</v>
      </c>
      <c r="B1010" s="73" t="s">
        <v>44</v>
      </c>
      <c r="C1010" s="74" t="s">
        <v>97</v>
      </c>
      <c r="D1010" s="5" t="s">
        <v>105</v>
      </c>
      <c r="E1010" s="4" t="str" cm="1">
        <f t="array" ref="E1010">_xlfn.IFS(
F1010 = "A partir de Abril", "Aguardando Execução na Distribuidora",
A1010 = "CAPACITAÇÃO", "Em execução no Corporativo",
TRUE, "Em Execução na Distribuidora"
)</f>
        <v>Em Execução na Distribuidora</v>
      </c>
      <c r="F1010" s="4" t="str" cm="1">
        <f t="array" ref="F1010">_xlfn.IFS(
AG1010 &lt;&gt; "", "Jan-Dez/26",
AH1010 &lt;&gt; "", "Fev-Dez/26",
AI1010 &lt;&gt; "", "Mar-Dez/26", AJ1010 &lt;&gt; "", "Abr-Dez/26",
TRUE, "A partir de Junho"
)</f>
        <v>A partir de Junho</v>
      </c>
      <c r="G1010" s="75" t="s">
        <v>44</v>
      </c>
      <c r="H1010" s="76" t="s">
        <v>44</v>
      </c>
      <c r="I1010" s="77"/>
      <c r="J1010" s="77"/>
      <c r="K1010" s="77"/>
      <c r="L1010" s="77" t="s">
        <v>227</v>
      </c>
      <c r="M1010" s="78"/>
      <c r="N1010" s="74" t="s">
        <v>42</v>
      </c>
      <c r="O1010" s="74" t="s">
        <v>52</v>
      </c>
      <c r="P1010" s="75" t="s">
        <v>44</v>
      </c>
      <c r="Q1010" s="75" t="s">
        <v>44</v>
      </c>
      <c r="R1010" s="79" t="s">
        <v>44</v>
      </c>
      <c r="S1010" s="79" t="s">
        <v>44</v>
      </c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G1010" s="71"/>
      <c r="AH1010" s="71"/>
      <c r="AI1010" s="71"/>
      <c r="AJ1010" s="71"/>
      <c r="AK1010" s="71"/>
      <c r="AL1010" s="71"/>
      <c r="AM1010" s="71"/>
      <c r="AN1010" s="71"/>
      <c r="AO1010" s="71"/>
      <c r="AP1010" s="71"/>
      <c r="AQ1010" s="71"/>
      <c r="AR1010" s="71"/>
      <c r="AS1010" s="94"/>
      <c r="AT1010" s="95"/>
      <c r="AU1010" s="97"/>
      <c r="AW1010" s="88">
        <f t="shared" si="1206"/>
        <v>0</v>
      </c>
      <c r="AX1010" s="88"/>
      <c r="AY1010" s="88"/>
      <c r="AZ1010" s="88"/>
      <c r="BA1010" s="88"/>
      <c r="BB1010" s="88"/>
      <c r="BC1010" s="88"/>
      <c r="BD1010" s="88"/>
      <c r="BE1010" s="88"/>
      <c r="BF1010" s="88"/>
      <c r="BG1010" s="88"/>
      <c r="BH1010" s="88"/>
      <c r="BI1010" s="68" cm="1">
        <f t="array" ref="BI1010">IFERROR(INDEX(AW1010:BH1010,1,MATCH(2,1/(AW1010:BH1010&lt;&gt;""))),"")</f>
        <v>0</v>
      </c>
      <c r="BJ1010" s="68" t="str" cm="1">
        <f t="array" ref="BJ1010">IF(BM1010 = "", "",IFERROR(INDEX(AW1010:BH1010,1,MATCH(2,1/(AW1010:BH1010&lt;&gt;""),1)-1),""))</f>
        <v/>
      </c>
      <c r="BK1010" s="57" cm="1">
        <f t="array" ref="BK1010">IFERROR(INDEX(AW1010:BH1010,1,MATCH(2,1/(AW1010:BH1010&lt;&gt;""),1)),"")</f>
        <v>0</v>
      </c>
      <c r="BL1010" s="57" t="str" cm="1">
        <f t="array" ref="BL1010">IF(BM1010 = "", "",IFERROR(INDEX(AW1010:BH1010,1,MATCH(2,1/(AW1010:BH1010&lt;&gt;""),1)-1),""))</f>
        <v/>
      </c>
      <c r="BM1010" s="55" t="str" cm="1">
        <f t="array" ref="BM1010">IFERROR(
   INDEX($AW$1:$BH$1,
      _xlfn.AGGREGATE(14, 6, COLUMN($AW$1:$BH$1)/(AW1010:BH1010&lt;&gt;""), 2) - COLUMN($AW$1) + 1
   ),
"")</f>
        <v/>
      </c>
      <c r="BN1010" s="55" cm="1">
        <f t="array" ref="BN1010">IFERROR(INDEX($AW$1:$BH$1,1,MATCH(2,1/(AW1010:BH1010&lt;&gt;""))),"")</f>
        <v>46023</v>
      </c>
      <c r="BO1010" s="53">
        <f ca="1">IFERROR(_xlfn.XLOOKUP(F1010,Apuração!A:A,Apuração!C:C)/_xlfn.XLOOKUP(F1010,Apuração!A:A,Apuração!B:B),0)</f>
        <v>0</v>
      </c>
      <c r="BP1010" s="53">
        <f ca="1">IFERROR(_xlfn.XLOOKUP(F1010,Apuração!A:A,Apuração!D:D)/_xlfn.XLOOKUP(F1010,Apuração!A:A,Apuração!B:B),0)</f>
        <v>0</v>
      </c>
      <c r="BQ1010" s="53">
        <f ca="1">IF(BK1010&gt;=BO1010,0,_xlfn.XLOOKUP(F1010,Apuração!A:A,Apuração!B:B)*(BO1010 + (1/_xlfn.XLOOKUP(F1010,Apuração!A:A,Apuração!B:B)) - BK1010))</f>
        <v>0</v>
      </c>
      <c r="BR1010" s="85">
        <f t="shared" ca="1" si="1207"/>
        <v>0</v>
      </c>
      <c r="BS1010" s="53">
        <f ca="1">IFERROR((_xlfn.XLOOKUP(F1010,Apuração!A:A,Apuração!C:C)+1)/_xlfn.XLOOKUP(F1010,Apuração!A:A,Apuração!B:B),0)</f>
        <v>0.14285714285714285</v>
      </c>
    </row>
    <row r="1011" spans="1:71" ht="25.95" hidden="1" customHeight="1" x14ac:dyDescent="0.3">
      <c r="A1011" s="72" t="s">
        <v>44</v>
      </c>
      <c r="B1011" s="73" t="s">
        <v>44</v>
      </c>
      <c r="C1011" s="74" t="s">
        <v>97</v>
      </c>
      <c r="D1011" s="5" t="s">
        <v>106</v>
      </c>
      <c r="E1011" s="4" t="str" cm="1">
        <f t="array" ref="E1011">_xlfn.IFS(
F1011 = "A partir de Abril", "Aguardando Execução na Distribuidora",
A1011 = "CAPACITAÇÃO", "Em execução no Corporativo",
TRUE, "Em Execução na Distribuidora"
)</f>
        <v>Em Execução na Distribuidora</v>
      </c>
      <c r="F1011" s="4" t="str" cm="1">
        <f t="array" ref="F1011">_xlfn.IFS(
AG1011 &lt;&gt; "", "Jan-Dez/26",
AH1011 &lt;&gt; "", "Fev-Dez/26",
AI1011 &lt;&gt; "", "Mar-Dez/26", AJ1011 &lt;&gt; "", "Abr-Dez/26",
TRUE, "A partir de Junho"
)</f>
        <v>A partir de Junho</v>
      </c>
      <c r="G1011" s="75" t="s">
        <v>44</v>
      </c>
      <c r="H1011" s="76" t="s">
        <v>44</v>
      </c>
      <c r="I1011" s="77"/>
      <c r="J1011" s="77"/>
      <c r="K1011" s="77"/>
      <c r="L1011" s="77" t="s">
        <v>227</v>
      </c>
      <c r="M1011" s="78"/>
      <c r="N1011" s="74" t="s">
        <v>42</v>
      </c>
      <c r="O1011" s="74" t="s">
        <v>52</v>
      </c>
      <c r="P1011" s="75" t="s">
        <v>44</v>
      </c>
      <c r="Q1011" s="75" t="s">
        <v>44</v>
      </c>
      <c r="R1011" s="79" t="s">
        <v>44</v>
      </c>
      <c r="S1011" s="79" t="s">
        <v>44</v>
      </c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G1011" s="71"/>
      <c r="AH1011" s="71"/>
      <c r="AI1011" s="71"/>
      <c r="AJ1011" s="71"/>
      <c r="AK1011" s="71"/>
      <c r="AL1011" s="71"/>
      <c r="AM1011" s="71"/>
      <c r="AN1011" s="71"/>
      <c r="AO1011" s="71"/>
      <c r="AP1011" s="71"/>
      <c r="AQ1011" s="71"/>
      <c r="AR1011" s="71"/>
      <c r="AS1011" s="94"/>
      <c r="AT1011" s="95"/>
      <c r="AU1011" s="97"/>
      <c r="AW1011" s="88">
        <f t="shared" si="1206"/>
        <v>0</v>
      </c>
      <c r="AX1011" s="88"/>
      <c r="AY1011" s="88"/>
      <c r="AZ1011" s="88"/>
      <c r="BA1011" s="88"/>
      <c r="BB1011" s="88"/>
      <c r="BC1011" s="88"/>
      <c r="BD1011" s="88"/>
      <c r="BE1011" s="88"/>
      <c r="BF1011" s="88"/>
      <c r="BG1011" s="88"/>
      <c r="BH1011" s="88"/>
      <c r="BI1011" s="68" cm="1">
        <f t="array" ref="BI1011">IFERROR(INDEX(AW1011:BH1011,1,MATCH(2,1/(AW1011:BH1011&lt;&gt;""))),"")</f>
        <v>0</v>
      </c>
      <c r="BJ1011" s="68" t="str" cm="1">
        <f t="array" ref="BJ1011">IF(BM1011 = "", "",IFERROR(INDEX(AW1011:BH1011,1,MATCH(2,1/(AW1011:BH1011&lt;&gt;""),1)-1),""))</f>
        <v/>
      </c>
      <c r="BK1011" s="57" cm="1">
        <f t="array" ref="BK1011">IFERROR(INDEX(AW1011:BH1011,1,MATCH(2,1/(AW1011:BH1011&lt;&gt;""),1)),"")</f>
        <v>0</v>
      </c>
      <c r="BL1011" s="57" t="str" cm="1">
        <f t="array" ref="BL1011">IF(BM1011 = "", "",IFERROR(INDEX(AW1011:BH1011,1,MATCH(2,1/(AW1011:BH1011&lt;&gt;""),1)-1),""))</f>
        <v/>
      </c>
      <c r="BM1011" s="55" t="str" cm="1">
        <f t="array" ref="BM1011">IFERROR(
   INDEX($AW$1:$BH$1,
      _xlfn.AGGREGATE(14, 6, COLUMN($AW$1:$BH$1)/(AW1011:BH1011&lt;&gt;""), 2) - COLUMN($AW$1) + 1
   ),
"")</f>
        <v/>
      </c>
      <c r="BN1011" s="55" cm="1">
        <f t="array" ref="BN1011">IFERROR(INDEX($AW$1:$BH$1,1,MATCH(2,1/(AW1011:BH1011&lt;&gt;""))),"")</f>
        <v>46023</v>
      </c>
      <c r="BO1011" s="53">
        <f ca="1">IFERROR(_xlfn.XLOOKUP(F1011,Apuração!A:A,Apuração!C:C)/_xlfn.XLOOKUP(F1011,Apuração!A:A,Apuração!B:B),0)</f>
        <v>0</v>
      </c>
      <c r="BP1011" s="53">
        <f ca="1">IFERROR(_xlfn.XLOOKUP(F1011,Apuração!A:A,Apuração!D:D)/_xlfn.XLOOKUP(F1011,Apuração!A:A,Apuração!B:B),0)</f>
        <v>0</v>
      </c>
      <c r="BQ1011" s="53">
        <f ca="1">IF(BK1011&gt;=BO1011,0,_xlfn.XLOOKUP(F1011,Apuração!A:A,Apuração!B:B)*(BO1011 + (1/_xlfn.XLOOKUP(F1011,Apuração!A:A,Apuração!B:B)) - BK1011))</f>
        <v>0</v>
      </c>
      <c r="BR1011" s="85">
        <f t="shared" ca="1" si="1207"/>
        <v>0</v>
      </c>
      <c r="BS1011" s="53">
        <f ca="1">IFERROR((_xlfn.XLOOKUP(F1011,Apuração!A:A,Apuração!C:C)+1)/_xlfn.XLOOKUP(F1011,Apuração!A:A,Apuração!B:B),0)</f>
        <v>0.14285714285714285</v>
      </c>
    </row>
    <row r="1012" spans="1:71" ht="25.95" hidden="1" customHeight="1" x14ac:dyDescent="0.3">
      <c r="A1012" s="72" t="s">
        <v>44</v>
      </c>
      <c r="B1012" s="73" t="s">
        <v>44</v>
      </c>
      <c r="C1012" s="74" t="s">
        <v>97</v>
      </c>
      <c r="D1012" s="5" t="s">
        <v>107</v>
      </c>
      <c r="E1012" s="4" t="str" cm="1">
        <f t="array" ref="E1012">_xlfn.IFS(
F1012 = "A partir de Abril", "Aguardando Execução na Distribuidora",
A1012 = "CAPACITAÇÃO", "Em execução no Corporativo",
TRUE, "Em Execução na Distribuidora"
)</f>
        <v>Em Execução na Distribuidora</v>
      </c>
      <c r="F1012" s="4" t="str" cm="1">
        <f t="array" ref="F1012">_xlfn.IFS(
AG1012 &lt;&gt; "", "Jan-Dez/26",
AH1012 &lt;&gt; "", "Fev-Dez/26",
AI1012 &lt;&gt; "", "Mar-Dez/26", AJ1012 &lt;&gt; "", "Abr-Dez/26",
TRUE, "A partir de Junho"
)</f>
        <v>A partir de Junho</v>
      </c>
      <c r="G1012" s="75" t="s">
        <v>44</v>
      </c>
      <c r="H1012" s="76" t="s">
        <v>44</v>
      </c>
      <c r="I1012" s="77"/>
      <c r="J1012" s="77"/>
      <c r="K1012" s="77"/>
      <c r="L1012" s="77" t="s">
        <v>227</v>
      </c>
      <c r="M1012" s="78"/>
      <c r="N1012" s="74" t="s">
        <v>42</v>
      </c>
      <c r="O1012" s="74" t="s">
        <v>52</v>
      </c>
      <c r="P1012" s="75" t="s">
        <v>44</v>
      </c>
      <c r="Q1012" s="75" t="s">
        <v>44</v>
      </c>
      <c r="R1012" s="79" t="s">
        <v>44</v>
      </c>
      <c r="S1012" s="79" t="s">
        <v>44</v>
      </c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  <c r="AG1012" s="71"/>
      <c r="AH1012" s="71"/>
      <c r="AI1012" s="71"/>
      <c r="AJ1012" s="71"/>
      <c r="AK1012" s="71"/>
      <c r="AL1012" s="71"/>
      <c r="AM1012" s="71"/>
      <c r="AN1012" s="71"/>
      <c r="AO1012" s="71"/>
      <c r="AP1012" s="71"/>
      <c r="AQ1012" s="71"/>
      <c r="AR1012" s="71"/>
      <c r="AS1012" s="94"/>
      <c r="AT1012" s="95"/>
      <c r="AU1012" s="97"/>
      <c r="AW1012" s="88">
        <f t="shared" si="1206"/>
        <v>0</v>
      </c>
      <c r="AX1012" s="88"/>
      <c r="AY1012" s="88"/>
      <c r="AZ1012" s="88"/>
      <c r="BA1012" s="88"/>
      <c r="BB1012" s="88"/>
      <c r="BC1012" s="88"/>
      <c r="BD1012" s="88"/>
      <c r="BE1012" s="88"/>
      <c r="BF1012" s="88"/>
      <c r="BG1012" s="88"/>
      <c r="BH1012" s="88"/>
      <c r="BI1012" s="68" cm="1">
        <f t="array" ref="BI1012">IFERROR(INDEX(AW1012:BH1012,1,MATCH(2,1/(AW1012:BH1012&lt;&gt;""))),"")</f>
        <v>0</v>
      </c>
      <c r="BJ1012" s="68" t="str" cm="1">
        <f t="array" ref="BJ1012">IF(BM1012 = "", "",IFERROR(INDEX(AW1012:BH1012,1,MATCH(2,1/(AW1012:BH1012&lt;&gt;""),1)-1),""))</f>
        <v/>
      </c>
      <c r="BK1012" s="57" cm="1">
        <f t="array" ref="BK1012">IFERROR(INDEX(AW1012:BH1012,1,MATCH(2,1/(AW1012:BH1012&lt;&gt;""),1)),"")</f>
        <v>0</v>
      </c>
      <c r="BL1012" s="57" t="str" cm="1">
        <f t="array" ref="BL1012">IF(BM1012 = "", "",IFERROR(INDEX(AW1012:BH1012,1,MATCH(2,1/(AW1012:BH1012&lt;&gt;""),1)-1),""))</f>
        <v/>
      </c>
      <c r="BM1012" s="55" t="str" cm="1">
        <f t="array" ref="BM1012">IFERROR(
   INDEX($AW$1:$BH$1,
      _xlfn.AGGREGATE(14, 6, COLUMN($AW$1:$BH$1)/(AW1012:BH1012&lt;&gt;""), 2) - COLUMN($AW$1) + 1
   ),
"")</f>
        <v/>
      </c>
      <c r="BN1012" s="55" cm="1">
        <f t="array" ref="BN1012">IFERROR(INDEX($AW$1:$BH$1,1,MATCH(2,1/(AW1012:BH1012&lt;&gt;""))),"")</f>
        <v>46023</v>
      </c>
      <c r="BO1012" s="53">
        <f ca="1">IFERROR(_xlfn.XLOOKUP(F1012,Apuração!A:A,Apuração!C:C)/_xlfn.XLOOKUP(F1012,Apuração!A:A,Apuração!B:B),0)</f>
        <v>0</v>
      </c>
      <c r="BP1012" s="53">
        <f ca="1">IFERROR(_xlfn.XLOOKUP(F1012,Apuração!A:A,Apuração!D:D)/_xlfn.XLOOKUP(F1012,Apuração!A:A,Apuração!B:B),0)</f>
        <v>0</v>
      </c>
      <c r="BQ1012" s="53">
        <f ca="1">IF(BK1012&gt;=BO1012,0,_xlfn.XLOOKUP(F1012,Apuração!A:A,Apuração!B:B)*(BO1012 + (1/_xlfn.XLOOKUP(F1012,Apuração!A:A,Apuração!B:B)) - BK1012))</f>
        <v>0</v>
      </c>
      <c r="BR1012" s="85">
        <f t="shared" ca="1" si="1207"/>
        <v>0</v>
      </c>
      <c r="BS1012" s="53">
        <f ca="1">IFERROR((_xlfn.XLOOKUP(F1012,Apuração!A:A,Apuração!C:C)+1)/_xlfn.XLOOKUP(F1012,Apuração!A:A,Apuração!B:B),0)</f>
        <v>0.14285714285714285</v>
      </c>
    </row>
    <row r="1013" spans="1:71" ht="25.95" hidden="1" customHeight="1" x14ac:dyDescent="0.3">
      <c r="A1013" s="72" t="s">
        <v>44</v>
      </c>
      <c r="B1013" s="73" t="s">
        <v>44</v>
      </c>
      <c r="C1013" s="74" t="s">
        <v>97</v>
      </c>
      <c r="D1013" s="5" t="s">
        <v>36</v>
      </c>
      <c r="E1013" s="4" t="str" cm="1">
        <f t="array" ref="E1013">_xlfn.IFS(
F1013 = "A partir de Abril", "Aguardando Execução na Distribuidora",
A1013 = "CAPACITAÇÃO", "Em execução no Corporativo",
TRUE, "Em Execução na Distribuidora"
)</f>
        <v>Em Execução na Distribuidora</v>
      </c>
      <c r="F1013" s="4" t="str" cm="1">
        <f t="array" ref="F1013">_xlfn.IFS(
AG1013 &lt;&gt; "", "Jan-Dez/26",
AH1013 &lt;&gt; "", "Fev-Dez/26",
AI1013 &lt;&gt; "", "Mar-Dez/26", AJ1013 &lt;&gt; "", "Abr-Dez/26",
TRUE, "A partir de Junho"
)</f>
        <v>Jan-Dez/26</v>
      </c>
      <c r="G1013" s="75" t="s">
        <v>44</v>
      </c>
      <c r="H1013" s="76" t="s">
        <v>44</v>
      </c>
      <c r="I1013" s="77"/>
      <c r="J1013" s="77"/>
      <c r="K1013" s="77"/>
      <c r="L1013" s="77" t="s">
        <v>228</v>
      </c>
      <c r="M1013" s="78"/>
      <c r="N1013" s="74" t="s">
        <v>42</v>
      </c>
      <c r="O1013" s="74" t="s">
        <v>52</v>
      </c>
      <c r="P1013" s="75" t="s">
        <v>44</v>
      </c>
      <c r="Q1013" s="75" t="s">
        <v>44</v>
      </c>
      <c r="R1013" s="79" t="s">
        <v>44</v>
      </c>
      <c r="S1013" s="79" t="s">
        <v>44</v>
      </c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G1013" s="112">
        <v>3.3546232485025604</v>
      </c>
      <c r="AH1013" s="112">
        <v>3.0682510194455777</v>
      </c>
      <c r="AI1013" s="112">
        <v>2.1066308142980379</v>
      </c>
      <c r="AJ1013" s="112">
        <v>2.7291521527947107</v>
      </c>
      <c r="AK1013" s="112"/>
      <c r="AL1013" s="112"/>
      <c r="AM1013" s="112"/>
      <c r="AN1013" s="112"/>
      <c r="AO1013" s="112"/>
      <c r="AP1013" s="112"/>
      <c r="AQ1013" s="112"/>
      <c r="AR1013" s="112"/>
      <c r="AS1013" s="94"/>
      <c r="AT1013" s="95"/>
      <c r="AU1013" s="97"/>
      <c r="AW1013" s="84">
        <f>AG1013</f>
        <v>3.3546232485025604</v>
      </c>
      <c r="AX1013" s="84">
        <f>AH1013</f>
        <v>3.0682510194455777</v>
      </c>
      <c r="AY1013" s="84">
        <f>AI1013</f>
        <v>2.1066308142980379</v>
      </c>
      <c r="AZ1013" s="84">
        <f>AJ1013</f>
        <v>2.7291521527947107</v>
      </c>
      <c r="BA1013" s="84"/>
      <c r="BB1013" s="84"/>
      <c r="BC1013" s="84"/>
      <c r="BD1013" s="84"/>
      <c r="BE1013" s="84"/>
      <c r="BF1013" s="84"/>
      <c r="BG1013" s="84"/>
      <c r="BH1013" s="84"/>
      <c r="BI1013" s="68" cm="1">
        <f t="array" ref="BI1013">IFERROR(INDEX(AW1013:BH1013,1,MATCH(2,1/(AW1013:BH1013&lt;&gt;""))),"")</f>
        <v>2.7291521527947107</v>
      </c>
      <c r="BJ1013" s="68" cm="1">
        <f t="array" ref="BJ1013">IF(BM1013 = "", "",IFERROR(INDEX(AW1013:BH1013,1,MATCH(2,1/(AW1013:BH1013&lt;&gt;""),1)-1),""))</f>
        <v>2.1066308142980379</v>
      </c>
      <c r="BK1013" s="57" cm="1">
        <f t="array" ref="BK1013">IFERROR(INDEX(AW1013:BH1013,1,MATCH(2,1/(AW1013:BH1013&lt;&gt;""),1)),"")</f>
        <v>2.7291521527947107</v>
      </c>
      <c r="BL1013" s="57" cm="1">
        <f t="array" ref="BL1013">IF(BM1013 = "", "",IFERROR(INDEX(AW1013:BH1013,1,MATCH(2,1/(AW1013:BH1013&lt;&gt;""),1)-1),""))</f>
        <v>2.1066308142980379</v>
      </c>
      <c r="BM1013" s="55" cm="1">
        <f t="array" ref="BM1013">IFERROR(
   INDEX($AW$1:$BH$1,
      _xlfn.AGGREGATE(14, 6, COLUMN($AW$1:$BH$1)/(AW1013:BH1013&lt;&gt;""), 2) - COLUMN($AW$1) + 1
   ),
"")</f>
        <v>46082</v>
      </c>
      <c r="BN1013" s="55" cm="1">
        <f t="array" ref="BN1013">IFERROR(INDEX($AW$1:$BH$1,1,MATCH(2,1/(AW1013:BH1013&lt;&gt;""))),"")</f>
        <v>46113</v>
      </c>
      <c r="BO1013" s="53">
        <f ca="1">IFERROR(_xlfn.XLOOKUP(F1013,Apuração!A:A,Apuração!C:C)/_xlfn.XLOOKUP(F1013,Apuração!A:A,Apuração!B:B),0)</f>
        <v>0.41666666666666669</v>
      </c>
      <c r="BP1013" s="53">
        <f ca="1">IFERROR(_xlfn.XLOOKUP(F1013,Apuração!A:A,Apuração!D:D)/_xlfn.XLOOKUP(F1013,Apuração!A:A,Apuração!B:B),0)</f>
        <v>0.33333333333333331</v>
      </c>
      <c r="BQ1013" s="53">
        <f ca="1">IF(BK1013&gt;=BO1013,0,_xlfn.XLOOKUP(F1013,Apuração!A:A,Apuração!B:B)*(BO1013 + (1/_xlfn.XLOOKUP(F1013,Apuração!A:A,Apuração!B:B)) - BK1013))</f>
        <v>0</v>
      </c>
      <c r="BR1013" s="85">
        <f ca="1">IF(BQ1013=0,0,BQ1013*Z1013)</f>
        <v>0</v>
      </c>
      <c r="BS1013" s="53">
        <f ca="1">IFERROR((_xlfn.XLOOKUP(F1013,Apuração!A:A,Apuração!C:C)+1)/_xlfn.XLOOKUP(F1013,Apuração!A:A,Apuração!B:B),0)</f>
        <v>0.5</v>
      </c>
    </row>
    <row r="1014" spans="1:71" ht="25.95" hidden="1" customHeight="1" x14ac:dyDescent="0.3">
      <c r="A1014" s="72" t="s">
        <v>44</v>
      </c>
      <c r="B1014" s="73" t="s">
        <v>44</v>
      </c>
      <c r="C1014" s="74" t="s">
        <v>97</v>
      </c>
      <c r="D1014" s="5" t="s">
        <v>98</v>
      </c>
      <c r="E1014" s="4" t="str" cm="1">
        <f t="array" ref="E1014">_xlfn.IFS(
F1014 = "A partir de Abril", "Aguardando Execução na Distribuidora",
A1014 = "CAPACITAÇÃO", "Em execução no Corporativo",
TRUE, "Em Execução na Distribuidora"
)</f>
        <v>Em Execução na Distribuidora</v>
      </c>
      <c r="F1014" s="4" t="str" cm="1">
        <f t="array" ref="F1014">_xlfn.IFS(
AG1014 &lt;&gt; "", "Jan-Dez/26",
AH1014 &lt;&gt; "", "Fev-Dez/26",
AI1014 &lt;&gt; "", "Mar-Dez/26", AJ1014 &lt;&gt; "", "Abr-Dez/26",
TRUE, "A partir de Junho"
)</f>
        <v>A partir de Junho</v>
      </c>
      <c r="G1014" s="75" t="s">
        <v>44</v>
      </c>
      <c r="H1014" s="76" t="s">
        <v>44</v>
      </c>
      <c r="I1014" s="77"/>
      <c r="J1014" s="77"/>
      <c r="K1014" s="77"/>
      <c r="L1014" s="77" t="s">
        <v>228</v>
      </c>
      <c r="M1014" s="78"/>
      <c r="N1014" s="74" t="s">
        <v>42</v>
      </c>
      <c r="O1014" s="74" t="s">
        <v>52</v>
      </c>
      <c r="P1014" s="75" t="s">
        <v>44</v>
      </c>
      <c r="Q1014" s="75" t="s">
        <v>44</v>
      </c>
      <c r="R1014" s="79" t="s">
        <v>44</v>
      </c>
      <c r="S1014" s="79" t="s">
        <v>44</v>
      </c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  <c r="AE1014" s="22"/>
      <c r="AG1014" s="112"/>
      <c r="AH1014" s="112"/>
      <c r="AI1014" s="112"/>
      <c r="AJ1014" s="71"/>
      <c r="AK1014" s="71"/>
      <c r="AL1014" s="71"/>
      <c r="AM1014" s="71"/>
      <c r="AN1014" s="71"/>
      <c r="AO1014" s="71"/>
      <c r="AP1014" s="71"/>
      <c r="AQ1014" s="71"/>
      <c r="AR1014" s="71"/>
      <c r="AS1014" s="94"/>
      <c r="AT1014" s="95"/>
      <c r="AU1014" s="97"/>
      <c r="AW1014" s="84">
        <f t="shared" ref="AW1014:AW1023" si="1208">AG1014</f>
        <v>0</v>
      </c>
      <c r="AX1014" s="84">
        <f t="shared" ref="AX1014:AX1023" si="1209">AH1014</f>
        <v>0</v>
      </c>
      <c r="AY1014" s="84">
        <f t="shared" ref="AY1014:AY1023" si="1210">AI1014</f>
        <v>0</v>
      </c>
      <c r="AZ1014" s="84"/>
      <c r="BA1014" s="84"/>
      <c r="BB1014" s="84"/>
      <c r="BC1014" s="84"/>
      <c r="BD1014" s="84"/>
      <c r="BE1014" s="84"/>
      <c r="BF1014" s="84"/>
      <c r="BG1014" s="84"/>
      <c r="BH1014" s="84"/>
      <c r="BI1014" s="68" cm="1">
        <f t="array" ref="BI1014">IFERROR(INDEX(AW1014:BH1014,1,MATCH(2,1/(AW1014:BH1014&lt;&gt;""))),"")</f>
        <v>0</v>
      </c>
      <c r="BJ1014" s="68" cm="1">
        <f t="array" ref="BJ1014">IF(BM1014 = "", "",IFERROR(INDEX(AW1014:BH1014,1,MATCH(2,1/(AW1014:BH1014&lt;&gt;""),1)-1),""))</f>
        <v>0</v>
      </c>
      <c r="BK1014" s="57" cm="1">
        <f t="array" ref="BK1014">IFERROR(INDEX(AW1014:BH1014,1,MATCH(2,1/(AW1014:BH1014&lt;&gt;""),1)),"")</f>
        <v>0</v>
      </c>
      <c r="BL1014" s="57" cm="1">
        <f t="array" ref="BL1014">IF(BM1014 = "", "",IFERROR(INDEX(AW1014:BH1014,1,MATCH(2,1/(AW1014:BH1014&lt;&gt;""),1)-1),""))</f>
        <v>0</v>
      </c>
      <c r="BM1014" s="55" cm="1">
        <f t="array" ref="BM1014">IFERROR(
   INDEX($AW$1:$BH$1,
      _xlfn.AGGREGATE(14, 6, COLUMN($AW$1:$BH$1)/(AW1014:BH1014&lt;&gt;""), 2) - COLUMN($AW$1) + 1
   ),
"")</f>
        <v>46054</v>
      </c>
      <c r="BN1014" s="55" cm="1">
        <f t="array" ref="BN1014">IFERROR(INDEX($AW$1:$BH$1,1,MATCH(2,1/(AW1014:BH1014&lt;&gt;""))),"")</f>
        <v>46082</v>
      </c>
      <c r="BO1014" s="53">
        <f ca="1">IFERROR(_xlfn.XLOOKUP(F1014,Apuração!A:A,Apuração!C:C)/_xlfn.XLOOKUP(F1014,Apuração!A:A,Apuração!B:B),0)</f>
        <v>0</v>
      </c>
      <c r="BP1014" s="53">
        <f ca="1">IFERROR(_xlfn.XLOOKUP(F1014,Apuração!A:A,Apuração!D:D)/_xlfn.XLOOKUP(F1014,Apuração!A:A,Apuração!B:B),0)</f>
        <v>0</v>
      </c>
      <c r="BQ1014" s="53">
        <f ca="1">IF(BK1014&gt;=BO1014,0,_xlfn.XLOOKUP(F1014,Apuração!A:A,Apuração!B:B)*(BO1014 + (1/_xlfn.XLOOKUP(F1014,Apuração!A:A,Apuração!B:B)) - BK1014))</f>
        <v>0</v>
      </c>
      <c r="BR1014" s="85">
        <f t="shared" ref="BR1014:BR1023" ca="1" si="1211">IF(BQ1014=0,0,BQ1014*Z1014)</f>
        <v>0</v>
      </c>
      <c r="BS1014" s="53">
        <f ca="1">IFERROR((_xlfn.XLOOKUP(F1014,Apuração!A:A,Apuração!C:C)+1)/_xlfn.XLOOKUP(F1014,Apuração!A:A,Apuração!B:B),0)</f>
        <v>0.14285714285714285</v>
      </c>
    </row>
    <row r="1015" spans="1:71" ht="25.95" hidden="1" customHeight="1" x14ac:dyDescent="0.3">
      <c r="A1015" s="72" t="s">
        <v>44</v>
      </c>
      <c r="B1015" s="73" t="s">
        <v>44</v>
      </c>
      <c r="C1015" s="74" t="s">
        <v>97</v>
      </c>
      <c r="D1015" s="5" t="s">
        <v>99</v>
      </c>
      <c r="E1015" s="4" t="str" cm="1">
        <f t="array" ref="E1015">_xlfn.IFS(
F1015 = "A partir de Abril", "Aguardando Execução na Distribuidora",
A1015 = "CAPACITAÇÃO", "Em execução no Corporativo",
TRUE, "Em Execução na Distribuidora"
)</f>
        <v>Em Execução na Distribuidora</v>
      </c>
      <c r="F1015" s="4" t="str" cm="1">
        <f t="array" ref="F1015">_xlfn.IFS(
AG1015 &lt;&gt; "", "Jan-Dez/26",
AH1015 &lt;&gt; "", "Fev-Dez/26",
AI1015 &lt;&gt; "", "Mar-Dez/26", AJ1015 &lt;&gt; "", "Abr-Dez/26",
TRUE, "A partir de Junho"
)</f>
        <v>A partir de Junho</v>
      </c>
      <c r="G1015" s="75" t="s">
        <v>44</v>
      </c>
      <c r="H1015" s="76" t="s">
        <v>44</v>
      </c>
      <c r="I1015" s="77"/>
      <c r="J1015" s="77"/>
      <c r="K1015" s="77"/>
      <c r="L1015" s="77" t="s">
        <v>228</v>
      </c>
      <c r="M1015" s="78"/>
      <c r="N1015" s="74" t="s">
        <v>42</v>
      </c>
      <c r="O1015" s="74" t="s">
        <v>52</v>
      </c>
      <c r="P1015" s="75" t="s">
        <v>44</v>
      </c>
      <c r="Q1015" s="75" t="s">
        <v>44</v>
      </c>
      <c r="R1015" s="79" t="s">
        <v>44</v>
      </c>
      <c r="S1015" s="79" t="s">
        <v>44</v>
      </c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G1015" s="112"/>
      <c r="AH1015" s="112"/>
      <c r="AI1015" s="112"/>
      <c r="AJ1015" s="71"/>
      <c r="AK1015" s="71"/>
      <c r="AL1015" s="71"/>
      <c r="AM1015" s="71"/>
      <c r="AN1015" s="71"/>
      <c r="AO1015" s="71"/>
      <c r="AP1015" s="71"/>
      <c r="AQ1015" s="71"/>
      <c r="AR1015" s="71"/>
      <c r="AS1015" s="94"/>
      <c r="AT1015" s="95"/>
      <c r="AU1015" s="97"/>
      <c r="AW1015" s="84">
        <f t="shared" si="1208"/>
        <v>0</v>
      </c>
      <c r="AX1015" s="84">
        <f t="shared" si="1209"/>
        <v>0</v>
      </c>
      <c r="AY1015" s="84">
        <f t="shared" si="1210"/>
        <v>0</v>
      </c>
      <c r="AZ1015" s="84"/>
      <c r="BA1015" s="84"/>
      <c r="BB1015" s="84"/>
      <c r="BC1015" s="84"/>
      <c r="BD1015" s="84"/>
      <c r="BE1015" s="84"/>
      <c r="BF1015" s="84"/>
      <c r="BG1015" s="84"/>
      <c r="BH1015" s="84"/>
      <c r="BI1015" s="68" cm="1">
        <f t="array" ref="BI1015">IFERROR(INDEX(AW1015:BH1015,1,MATCH(2,1/(AW1015:BH1015&lt;&gt;""))),"")</f>
        <v>0</v>
      </c>
      <c r="BJ1015" s="68" cm="1">
        <f t="array" ref="BJ1015">IF(BM1015 = "", "",IFERROR(INDEX(AW1015:BH1015,1,MATCH(2,1/(AW1015:BH1015&lt;&gt;""),1)-1),""))</f>
        <v>0</v>
      </c>
      <c r="BK1015" s="57" cm="1">
        <f t="array" ref="BK1015">IFERROR(INDEX(AW1015:BH1015,1,MATCH(2,1/(AW1015:BH1015&lt;&gt;""),1)),"")</f>
        <v>0</v>
      </c>
      <c r="BL1015" s="57" cm="1">
        <f t="array" ref="BL1015">IF(BM1015 = "", "",IFERROR(INDEX(AW1015:BH1015,1,MATCH(2,1/(AW1015:BH1015&lt;&gt;""),1)-1),""))</f>
        <v>0</v>
      </c>
      <c r="BM1015" s="55" cm="1">
        <f t="array" ref="BM1015">IFERROR(
   INDEX($AW$1:$BH$1,
      _xlfn.AGGREGATE(14, 6, COLUMN($AW$1:$BH$1)/(AW1015:BH1015&lt;&gt;""), 2) - COLUMN($AW$1) + 1
   ),
"")</f>
        <v>46054</v>
      </c>
      <c r="BN1015" s="55" cm="1">
        <f t="array" ref="BN1015">IFERROR(INDEX($AW$1:$BH$1,1,MATCH(2,1/(AW1015:BH1015&lt;&gt;""))),"")</f>
        <v>46082</v>
      </c>
      <c r="BO1015" s="53">
        <f ca="1">IFERROR(_xlfn.XLOOKUP(F1015,Apuração!A:A,Apuração!C:C)/_xlfn.XLOOKUP(F1015,Apuração!A:A,Apuração!B:B),0)</f>
        <v>0</v>
      </c>
      <c r="BP1015" s="53">
        <f ca="1">IFERROR(_xlfn.XLOOKUP(F1015,Apuração!A:A,Apuração!D:D)/_xlfn.XLOOKUP(F1015,Apuração!A:A,Apuração!B:B),0)</f>
        <v>0</v>
      </c>
      <c r="BQ1015" s="53">
        <f ca="1">IF(BK1015&gt;=BO1015,0,_xlfn.XLOOKUP(F1015,Apuração!A:A,Apuração!B:B)*(BO1015 + (1/_xlfn.XLOOKUP(F1015,Apuração!A:A,Apuração!B:B)) - BK1015))</f>
        <v>0</v>
      </c>
      <c r="BR1015" s="85">
        <f t="shared" ca="1" si="1211"/>
        <v>0</v>
      </c>
      <c r="BS1015" s="53">
        <f ca="1">IFERROR((_xlfn.XLOOKUP(F1015,Apuração!A:A,Apuração!C:C)+1)/_xlfn.XLOOKUP(F1015,Apuração!A:A,Apuração!B:B),0)</f>
        <v>0.14285714285714285</v>
      </c>
    </row>
    <row r="1016" spans="1:71" ht="25.95" hidden="1" customHeight="1" x14ac:dyDescent="0.3">
      <c r="A1016" s="72" t="s">
        <v>44</v>
      </c>
      <c r="B1016" s="73" t="s">
        <v>44</v>
      </c>
      <c r="C1016" s="74" t="s">
        <v>97</v>
      </c>
      <c r="D1016" s="5" t="s">
        <v>100</v>
      </c>
      <c r="E1016" s="4" t="str" cm="1">
        <f t="array" ref="E1016">_xlfn.IFS(
F1016 = "A partir de Abril", "Aguardando Execução na Distribuidora",
A1016 = "CAPACITAÇÃO", "Em execução no Corporativo",
TRUE, "Em Execução na Distribuidora"
)</f>
        <v>Em Execução na Distribuidora</v>
      </c>
      <c r="F1016" s="4" t="str" cm="1">
        <f t="array" ref="F1016">_xlfn.IFS(
AG1016 &lt;&gt; "", "Jan-Dez/26",
AH1016 &lt;&gt; "", "Fev-Dez/26",
AI1016 &lt;&gt; "", "Mar-Dez/26", AJ1016 &lt;&gt; "", "Abr-Dez/26",
TRUE, "A partir de Junho"
)</f>
        <v>A partir de Junho</v>
      </c>
      <c r="G1016" s="75" t="s">
        <v>44</v>
      </c>
      <c r="H1016" s="76" t="s">
        <v>44</v>
      </c>
      <c r="I1016" s="77"/>
      <c r="J1016" s="77"/>
      <c r="K1016" s="77"/>
      <c r="L1016" s="77" t="s">
        <v>228</v>
      </c>
      <c r="M1016" s="78"/>
      <c r="N1016" s="74" t="s">
        <v>42</v>
      </c>
      <c r="O1016" s="74" t="s">
        <v>52</v>
      </c>
      <c r="P1016" s="75" t="s">
        <v>44</v>
      </c>
      <c r="Q1016" s="75" t="s">
        <v>44</v>
      </c>
      <c r="R1016" s="79" t="s">
        <v>44</v>
      </c>
      <c r="S1016" s="79" t="s">
        <v>44</v>
      </c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  <c r="AG1016" s="112"/>
      <c r="AH1016" s="112"/>
      <c r="AI1016" s="112"/>
      <c r="AJ1016" s="71"/>
      <c r="AK1016" s="71"/>
      <c r="AL1016" s="71"/>
      <c r="AM1016" s="71"/>
      <c r="AN1016" s="71"/>
      <c r="AO1016" s="71"/>
      <c r="AP1016" s="71"/>
      <c r="AQ1016" s="71"/>
      <c r="AR1016" s="71"/>
      <c r="AS1016" s="94"/>
      <c r="AT1016" s="95"/>
      <c r="AU1016" s="97"/>
      <c r="AW1016" s="84">
        <f t="shared" si="1208"/>
        <v>0</v>
      </c>
      <c r="AX1016" s="84">
        <f t="shared" si="1209"/>
        <v>0</v>
      </c>
      <c r="AY1016" s="84">
        <f t="shared" si="1210"/>
        <v>0</v>
      </c>
      <c r="AZ1016" s="84"/>
      <c r="BA1016" s="84"/>
      <c r="BB1016" s="84"/>
      <c r="BC1016" s="84"/>
      <c r="BD1016" s="84"/>
      <c r="BE1016" s="84"/>
      <c r="BF1016" s="84"/>
      <c r="BG1016" s="84"/>
      <c r="BH1016" s="84"/>
      <c r="BI1016" s="68" cm="1">
        <f t="array" ref="BI1016">IFERROR(INDEX(AW1016:BH1016,1,MATCH(2,1/(AW1016:BH1016&lt;&gt;""))),"")</f>
        <v>0</v>
      </c>
      <c r="BJ1016" s="68" cm="1">
        <f t="array" ref="BJ1016">IF(BM1016 = "", "",IFERROR(INDEX(AW1016:BH1016,1,MATCH(2,1/(AW1016:BH1016&lt;&gt;""),1)-1),""))</f>
        <v>0</v>
      </c>
      <c r="BK1016" s="57" cm="1">
        <f t="array" ref="BK1016">IFERROR(INDEX(AW1016:BH1016,1,MATCH(2,1/(AW1016:BH1016&lt;&gt;""),1)),"")</f>
        <v>0</v>
      </c>
      <c r="BL1016" s="57" cm="1">
        <f t="array" ref="BL1016">IF(BM1016 = "", "",IFERROR(INDEX(AW1016:BH1016,1,MATCH(2,1/(AW1016:BH1016&lt;&gt;""),1)-1),""))</f>
        <v>0</v>
      </c>
      <c r="BM1016" s="55" cm="1">
        <f t="array" ref="BM1016">IFERROR(
   INDEX($AW$1:$BH$1,
      _xlfn.AGGREGATE(14, 6, COLUMN($AW$1:$BH$1)/(AW1016:BH1016&lt;&gt;""), 2) - COLUMN($AW$1) + 1
   ),
"")</f>
        <v>46054</v>
      </c>
      <c r="BN1016" s="55" cm="1">
        <f t="array" ref="BN1016">IFERROR(INDEX($AW$1:$BH$1,1,MATCH(2,1/(AW1016:BH1016&lt;&gt;""))),"")</f>
        <v>46082</v>
      </c>
      <c r="BO1016" s="53">
        <f ca="1">IFERROR(_xlfn.XLOOKUP(F1016,Apuração!A:A,Apuração!C:C)/_xlfn.XLOOKUP(F1016,Apuração!A:A,Apuração!B:B),0)</f>
        <v>0</v>
      </c>
      <c r="BP1016" s="53">
        <f ca="1">IFERROR(_xlfn.XLOOKUP(F1016,Apuração!A:A,Apuração!D:D)/_xlfn.XLOOKUP(F1016,Apuração!A:A,Apuração!B:B),0)</f>
        <v>0</v>
      </c>
      <c r="BQ1016" s="53">
        <f ca="1">IF(BK1016&gt;=BO1016,0,_xlfn.XLOOKUP(F1016,Apuração!A:A,Apuração!B:B)*(BO1016 + (1/_xlfn.XLOOKUP(F1016,Apuração!A:A,Apuração!B:B)) - BK1016))</f>
        <v>0</v>
      </c>
      <c r="BR1016" s="85">
        <f t="shared" ca="1" si="1211"/>
        <v>0</v>
      </c>
      <c r="BS1016" s="53">
        <f ca="1">IFERROR((_xlfn.XLOOKUP(F1016,Apuração!A:A,Apuração!C:C)+1)/_xlfn.XLOOKUP(F1016,Apuração!A:A,Apuração!B:B),0)</f>
        <v>0.14285714285714285</v>
      </c>
    </row>
    <row r="1017" spans="1:71" ht="25.95" hidden="1" customHeight="1" x14ac:dyDescent="0.3">
      <c r="A1017" s="72" t="s">
        <v>44</v>
      </c>
      <c r="B1017" s="73" t="s">
        <v>44</v>
      </c>
      <c r="C1017" s="74" t="s">
        <v>97</v>
      </c>
      <c r="D1017" s="5" t="s">
        <v>101</v>
      </c>
      <c r="E1017" s="4" t="str" cm="1">
        <f t="array" ref="E1017">_xlfn.IFS(
F1017 = "A partir de Abril", "Aguardando Execução na Distribuidora",
A1017 = "CAPACITAÇÃO", "Em execução no Corporativo",
TRUE, "Em Execução na Distribuidora"
)</f>
        <v>Em Execução na Distribuidora</v>
      </c>
      <c r="F1017" s="4" t="str" cm="1">
        <f t="array" ref="F1017">_xlfn.IFS(
AG1017 &lt;&gt; "", "Jan-Dez/26",
AH1017 &lt;&gt; "", "Fev-Dez/26",
AI1017 &lt;&gt; "", "Mar-Dez/26", AJ1017 &lt;&gt; "", "Abr-Dez/26",
TRUE, "A partir de Junho"
)</f>
        <v>A partir de Junho</v>
      </c>
      <c r="G1017" s="75" t="s">
        <v>44</v>
      </c>
      <c r="H1017" s="76" t="s">
        <v>44</v>
      </c>
      <c r="I1017" s="77"/>
      <c r="J1017" s="77"/>
      <c r="K1017" s="77"/>
      <c r="L1017" s="77" t="s">
        <v>228</v>
      </c>
      <c r="M1017" s="78"/>
      <c r="N1017" s="74" t="s">
        <v>42</v>
      </c>
      <c r="O1017" s="74" t="s">
        <v>52</v>
      </c>
      <c r="P1017" s="75" t="s">
        <v>44</v>
      </c>
      <c r="Q1017" s="75" t="s">
        <v>44</v>
      </c>
      <c r="R1017" s="79" t="s">
        <v>44</v>
      </c>
      <c r="S1017" s="79" t="s">
        <v>44</v>
      </c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G1017" s="112"/>
      <c r="AH1017" s="112"/>
      <c r="AI1017" s="112"/>
      <c r="AJ1017" s="71"/>
      <c r="AK1017" s="71"/>
      <c r="AL1017" s="71"/>
      <c r="AM1017" s="71"/>
      <c r="AN1017" s="71"/>
      <c r="AO1017" s="71"/>
      <c r="AP1017" s="71"/>
      <c r="AQ1017" s="71"/>
      <c r="AR1017" s="71"/>
      <c r="AS1017" s="94"/>
      <c r="AT1017" s="95"/>
      <c r="AU1017" s="97"/>
      <c r="AW1017" s="84">
        <f t="shared" si="1208"/>
        <v>0</v>
      </c>
      <c r="AX1017" s="84">
        <f t="shared" si="1209"/>
        <v>0</v>
      </c>
      <c r="AY1017" s="84">
        <f t="shared" si="1210"/>
        <v>0</v>
      </c>
      <c r="AZ1017" s="84"/>
      <c r="BA1017" s="84"/>
      <c r="BB1017" s="84"/>
      <c r="BC1017" s="84"/>
      <c r="BD1017" s="84"/>
      <c r="BE1017" s="84"/>
      <c r="BF1017" s="84"/>
      <c r="BG1017" s="84"/>
      <c r="BH1017" s="84"/>
      <c r="BI1017" s="68" cm="1">
        <f t="array" ref="BI1017">IFERROR(INDEX(AW1017:BH1017,1,MATCH(2,1/(AW1017:BH1017&lt;&gt;""))),"")</f>
        <v>0</v>
      </c>
      <c r="BJ1017" s="68" cm="1">
        <f t="array" ref="BJ1017">IF(BM1017 = "", "",IFERROR(INDEX(AW1017:BH1017,1,MATCH(2,1/(AW1017:BH1017&lt;&gt;""),1)-1),""))</f>
        <v>0</v>
      </c>
      <c r="BK1017" s="57" cm="1">
        <f t="array" ref="BK1017">IFERROR(INDEX(AW1017:BH1017,1,MATCH(2,1/(AW1017:BH1017&lt;&gt;""),1)),"")</f>
        <v>0</v>
      </c>
      <c r="BL1017" s="57" cm="1">
        <f t="array" ref="BL1017">IF(BM1017 = "", "",IFERROR(INDEX(AW1017:BH1017,1,MATCH(2,1/(AW1017:BH1017&lt;&gt;""),1)-1),""))</f>
        <v>0</v>
      </c>
      <c r="BM1017" s="55" cm="1">
        <f t="array" ref="BM1017">IFERROR(
   INDEX($AW$1:$BH$1,
      _xlfn.AGGREGATE(14, 6, COLUMN($AW$1:$BH$1)/(AW1017:BH1017&lt;&gt;""), 2) - COLUMN($AW$1) + 1
   ),
"")</f>
        <v>46054</v>
      </c>
      <c r="BN1017" s="55" cm="1">
        <f t="array" ref="BN1017">IFERROR(INDEX($AW$1:$BH$1,1,MATCH(2,1/(AW1017:BH1017&lt;&gt;""))),"")</f>
        <v>46082</v>
      </c>
      <c r="BO1017" s="53">
        <f ca="1">IFERROR(_xlfn.XLOOKUP(F1017,Apuração!A:A,Apuração!C:C)/_xlfn.XLOOKUP(F1017,Apuração!A:A,Apuração!B:B),0)</f>
        <v>0</v>
      </c>
      <c r="BP1017" s="53">
        <f ca="1">IFERROR(_xlfn.XLOOKUP(F1017,Apuração!A:A,Apuração!D:D)/_xlfn.XLOOKUP(F1017,Apuração!A:A,Apuração!B:B),0)</f>
        <v>0</v>
      </c>
      <c r="BQ1017" s="53">
        <f ca="1">IF(BK1017&gt;=BO1017,0,_xlfn.XLOOKUP(F1017,Apuração!A:A,Apuração!B:B)*(BO1017 + (1/_xlfn.XLOOKUP(F1017,Apuração!A:A,Apuração!B:B)) - BK1017))</f>
        <v>0</v>
      </c>
      <c r="BR1017" s="85">
        <f t="shared" ca="1" si="1211"/>
        <v>0</v>
      </c>
      <c r="BS1017" s="53">
        <f ca="1">IFERROR((_xlfn.XLOOKUP(F1017,Apuração!A:A,Apuração!C:C)+1)/_xlfn.XLOOKUP(F1017,Apuração!A:A,Apuração!B:B),0)</f>
        <v>0.14285714285714285</v>
      </c>
    </row>
    <row r="1018" spans="1:71" ht="25.95" hidden="1" customHeight="1" x14ac:dyDescent="0.3">
      <c r="A1018" s="72" t="s">
        <v>44</v>
      </c>
      <c r="B1018" s="73" t="s">
        <v>44</v>
      </c>
      <c r="C1018" s="74" t="s">
        <v>97</v>
      </c>
      <c r="D1018" s="5" t="s">
        <v>102</v>
      </c>
      <c r="E1018" s="4" t="str" cm="1">
        <f t="array" ref="E1018">_xlfn.IFS(
F1018 = "A partir de Abril", "Aguardando Execução na Distribuidora",
A1018 = "CAPACITAÇÃO", "Em execução no Corporativo",
TRUE, "Em Execução na Distribuidora"
)</f>
        <v>Em Execução na Distribuidora</v>
      </c>
      <c r="F1018" s="4" t="str" cm="1">
        <f t="array" ref="F1018">_xlfn.IFS(
AG1018 &lt;&gt; "", "Jan-Dez/26",
AH1018 &lt;&gt; "", "Fev-Dez/26",
AI1018 &lt;&gt; "", "Mar-Dez/26", AJ1018 &lt;&gt; "", "Abr-Dez/26",
TRUE, "A partir de Junho"
)</f>
        <v>A partir de Junho</v>
      </c>
      <c r="G1018" s="75" t="s">
        <v>44</v>
      </c>
      <c r="H1018" s="76" t="s">
        <v>44</v>
      </c>
      <c r="I1018" s="77"/>
      <c r="J1018" s="77"/>
      <c r="K1018" s="77"/>
      <c r="L1018" s="77" t="s">
        <v>228</v>
      </c>
      <c r="M1018" s="78"/>
      <c r="N1018" s="74" t="s">
        <v>42</v>
      </c>
      <c r="O1018" s="74" t="s">
        <v>52</v>
      </c>
      <c r="P1018" s="75" t="s">
        <v>44</v>
      </c>
      <c r="Q1018" s="75" t="s">
        <v>44</v>
      </c>
      <c r="R1018" s="79" t="s">
        <v>44</v>
      </c>
      <c r="S1018" s="79" t="s">
        <v>44</v>
      </c>
      <c r="T1018" s="22"/>
      <c r="U1018" s="22"/>
      <c r="V1018" s="22"/>
      <c r="W1018" s="22"/>
      <c r="X1018" s="22"/>
      <c r="Y1018" s="22"/>
      <c r="Z1018" s="22"/>
      <c r="AA1018" s="22"/>
      <c r="AB1018" s="22"/>
      <c r="AC1018" s="22"/>
      <c r="AD1018" s="22"/>
      <c r="AE1018" s="22"/>
      <c r="AG1018" s="112"/>
      <c r="AH1018" s="112"/>
      <c r="AI1018" s="112"/>
      <c r="AJ1018" s="71"/>
      <c r="AK1018" s="71"/>
      <c r="AL1018" s="71"/>
      <c r="AM1018" s="71"/>
      <c r="AN1018" s="71"/>
      <c r="AO1018" s="71"/>
      <c r="AP1018" s="71"/>
      <c r="AQ1018" s="71"/>
      <c r="AR1018" s="71"/>
      <c r="AS1018" s="94"/>
      <c r="AT1018" s="95"/>
      <c r="AU1018" s="97"/>
      <c r="AW1018" s="84">
        <f t="shared" si="1208"/>
        <v>0</v>
      </c>
      <c r="AX1018" s="84">
        <f t="shared" si="1209"/>
        <v>0</v>
      </c>
      <c r="AY1018" s="84">
        <f t="shared" si="1210"/>
        <v>0</v>
      </c>
      <c r="AZ1018" s="84"/>
      <c r="BA1018" s="84"/>
      <c r="BB1018" s="84"/>
      <c r="BC1018" s="84"/>
      <c r="BD1018" s="84"/>
      <c r="BE1018" s="84"/>
      <c r="BF1018" s="84"/>
      <c r="BG1018" s="84"/>
      <c r="BH1018" s="84"/>
      <c r="BI1018" s="68" cm="1">
        <f t="array" ref="BI1018">IFERROR(INDEX(AW1018:BH1018,1,MATCH(2,1/(AW1018:BH1018&lt;&gt;""))),"")</f>
        <v>0</v>
      </c>
      <c r="BJ1018" s="68" cm="1">
        <f t="array" ref="BJ1018">IF(BM1018 = "", "",IFERROR(INDEX(AW1018:BH1018,1,MATCH(2,1/(AW1018:BH1018&lt;&gt;""),1)-1),""))</f>
        <v>0</v>
      </c>
      <c r="BK1018" s="57" cm="1">
        <f t="array" ref="BK1018">IFERROR(INDEX(AW1018:BH1018,1,MATCH(2,1/(AW1018:BH1018&lt;&gt;""),1)),"")</f>
        <v>0</v>
      </c>
      <c r="BL1018" s="57" cm="1">
        <f t="array" ref="BL1018">IF(BM1018 = "", "",IFERROR(INDEX(AW1018:BH1018,1,MATCH(2,1/(AW1018:BH1018&lt;&gt;""),1)-1),""))</f>
        <v>0</v>
      </c>
      <c r="BM1018" s="55" cm="1">
        <f t="array" ref="BM1018">IFERROR(
   INDEX($AW$1:$BH$1,
      _xlfn.AGGREGATE(14, 6, COLUMN($AW$1:$BH$1)/(AW1018:BH1018&lt;&gt;""), 2) - COLUMN($AW$1) + 1
   ),
"")</f>
        <v>46054</v>
      </c>
      <c r="BN1018" s="55" cm="1">
        <f t="array" ref="BN1018">IFERROR(INDEX($AW$1:$BH$1,1,MATCH(2,1/(AW1018:BH1018&lt;&gt;""))),"")</f>
        <v>46082</v>
      </c>
      <c r="BO1018" s="53">
        <f ca="1">IFERROR(_xlfn.XLOOKUP(F1018,Apuração!A:A,Apuração!C:C)/_xlfn.XLOOKUP(F1018,Apuração!A:A,Apuração!B:B),0)</f>
        <v>0</v>
      </c>
      <c r="BP1018" s="53">
        <f ca="1">IFERROR(_xlfn.XLOOKUP(F1018,Apuração!A:A,Apuração!D:D)/_xlfn.XLOOKUP(F1018,Apuração!A:A,Apuração!B:B),0)</f>
        <v>0</v>
      </c>
      <c r="BQ1018" s="53">
        <f ca="1">IF(BK1018&gt;=BO1018,0,_xlfn.XLOOKUP(F1018,Apuração!A:A,Apuração!B:B)*(BO1018 + (1/_xlfn.XLOOKUP(F1018,Apuração!A:A,Apuração!B:B)) - BK1018))</f>
        <v>0</v>
      </c>
      <c r="BR1018" s="85">
        <f t="shared" ca="1" si="1211"/>
        <v>0</v>
      </c>
      <c r="BS1018" s="53">
        <f ca="1">IFERROR((_xlfn.XLOOKUP(F1018,Apuração!A:A,Apuração!C:C)+1)/_xlfn.XLOOKUP(F1018,Apuração!A:A,Apuração!B:B),0)</f>
        <v>0.14285714285714285</v>
      </c>
    </row>
    <row r="1019" spans="1:71" ht="25.95" hidden="1" customHeight="1" x14ac:dyDescent="0.3">
      <c r="A1019" s="72" t="s">
        <v>44</v>
      </c>
      <c r="B1019" s="73" t="s">
        <v>44</v>
      </c>
      <c r="C1019" s="74" t="s">
        <v>97</v>
      </c>
      <c r="D1019" s="5" t="s">
        <v>103</v>
      </c>
      <c r="E1019" s="4" t="str" cm="1">
        <f t="array" ref="E1019">_xlfn.IFS(
F1019 = "A partir de Abril", "Aguardando Execução na Distribuidora",
A1019 = "CAPACITAÇÃO", "Em execução no Corporativo",
TRUE, "Em Execução na Distribuidora"
)</f>
        <v>Em Execução na Distribuidora</v>
      </c>
      <c r="F1019" s="4" t="str" cm="1">
        <f t="array" ref="F1019">_xlfn.IFS(
AG1019 &lt;&gt; "", "Jan-Dez/26",
AH1019 &lt;&gt; "", "Fev-Dez/26",
AI1019 &lt;&gt; "", "Mar-Dez/26", AJ1019 &lt;&gt; "", "Abr-Dez/26",
TRUE, "A partir de Junho"
)</f>
        <v>A partir de Junho</v>
      </c>
      <c r="G1019" s="75" t="s">
        <v>44</v>
      </c>
      <c r="H1019" s="76" t="s">
        <v>44</v>
      </c>
      <c r="I1019" s="77"/>
      <c r="J1019" s="77"/>
      <c r="K1019" s="77"/>
      <c r="L1019" s="77" t="s">
        <v>228</v>
      </c>
      <c r="M1019" s="78"/>
      <c r="N1019" s="74" t="s">
        <v>42</v>
      </c>
      <c r="O1019" s="74" t="s">
        <v>52</v>
      </c>
      <c r="P1019" s="75" t="s">
        <v>44</v>
      </c>
      <c r="Q1019" s="75" t="s">
        <v>44</v>
      </c>
      <c r="R1019" s="79" t="s">
        <v>44</v>
      </c>
      <c r="S1019" s="79" t="s">
        <v>44</v>
      </c>
      <c r="T1019" s="22"/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  <c r="AE1019" s="22"/>
      <c r="AG1019" s="112"/>
      <c r="AH1019" s="112"/>
      <c r="AI1019" s="112"/>
      <c r="AJ1019" s="71"/>
      <c r="AK1019" s="71"/>
      <c r="AL1019" s="71"/>
      <c r="AM1019" s="71"/>
      <c r="AN1019" s="71"/>
      <c r="AO1019" s="71"/>
      <c r="AP1019" s="71"/>
      <c r="AQ1019" s="71"/>
      <c r="AR1019" s="71"/>
      <c r="AS1019" s="94"/>
      <c r="AT1019" s="95"/>
      <c r="AU1019" s="97"/>
      <c r="AW1019" s="84">
        <f t="shared" si="1208"/>
        <v>0</v>
      </c>
      <c r="AX1019" s="84">
        <f t="shared" si="1209"/>
        <v>0</v>
      </c>
      <c r="AY1019" s="84">
        <f t="shared" si="1210"/>
        <v>0</v>
      </c>
      <c r="AZ1019" s="84"/>
      <c r="BA1019" s="84"/>
      <c r="BB1019" s="84"/>
      <c r="BC1019" s="84"/>
      <c r="BD1019" s="84"/>
      <c r="BE1019" s="84"/>
      <c r="BF1019" s="84"/>
      <c r="BG1019" s="84"/>
      <c r="BH1019" s="84"/>
      <c r="BI1019" s="68" cm="1">
        <f t="array" ref="BI1019">IFERROR(INDEX(AW1019:BH1019,1,MATCH(2,1/(AW1019:BH1019&lt;&gt;""))),"")</f>
        <v>0</v>
      </c>
      <c r="BJ1019" s="68" cm="1">
        <f t="array" ref="BJ1019">IF(BM1019 = "", "",IFERROR(INDEX(AW1019:BH1019,1,MATCH(2,1/(AW1019:BH1019&lt;&gt;""),1)-1),""))</f>
        <v>0</v>
      </c>
      <c r="BK1019" s="57" cm="1">
        <f t="array" ref="BK1019">IFERROR(INDEX(AW1019:BH1019,1,MATCH(2,1/(AW1019:BH1019&lt;&gt;""),1)),"")</f>
        <v>0</v>
      </c>
      <c r="BL1019" s="57" cm="1">
        <f t="array" ref="BL1019">IF(BM1019 = "", "",IFERROR(INDEX(AW1019:BH1019,1,MATCH(2,1/(AW1019:BH1019&lt;&gt;""),1)-1),""))</f>
        <v>0</v>
      </c>
      <c r="BM1019" s="55" cm="1">
        <f t="array" ref="BM1019">IFERROR(
   INDEX($AW$1:$BH$1,
      _xlfn.AGGREGATE(14, 6, COLUMN($AW$1:$BH$1)/(AW1019:BH1019&lt;&gt;""), 2) - COLUMN($AW$1) + 1
   ),
"")</f>
        <v>46054</v>
      </c>
      <c r="BN1019" s="55" cm="1">
        <f t="array" ref="BN1019">IFERROR(INDEX($AW$1:$BH$1,1,MATCH(2,1/(AW1019:BH1019&lt;&gt;""))),"")</f>
        <v>46082</v>
      </c>
      <c r="BO1019" s="53">
        <f ca="1">IFERROR(_xlfn.XLOOKUP(F1019,Apuração!A:A,Apuração!C:C)/_xlfn.XLOOKUP(F1019,Apuração!A:A,Apuração!B:B),0)</f>
        <v>0</v>
      </c>
      <c r="BP1019" s="53">
        <f ca="1">IFERROR(_xlfn.XLOOKUP(F1019,Apuração!A:A,Apuração!D:D)/_xlfn.XLOOKUP(F1019,Apuração!A:A,Apuração!B:B),0)</f>
        <v>0</v>
      </c>
      <c r="BQ1019" s="53">
        <f ca="1">IF(BK1019&gt;=BO1019,0,_xlfn.XLOOKUP(F1019,Apuração!A:A,Apuração!B:B)*(BO1019 + (1/_xlfn.XLOOKUP(F1019,Apuração!A:A,Apuração!B:B)) - BK1019))</f>
        <v>0</v>
      </c>
      <c r="BR1019" s="85">
        <f t="shared" ca="1" si="1211"/>
        <v>0</v>
      </c>
      <c r="BS1019" s="53">
        <f ca="1">IFERROR((_xlfn.XLOOKUP(F1019,Apuração!A:A,Apuração!C:C)+1)/_xlfn.XLOOKUP(F1019,Apuração!A:A,Apuração!B:B),0)</f>
        <v>0.14285714285714285</v>
      </c>
    </row>
    <row r="1020" spans="1:71" ht="25.95" hidden="1" customHeight="1" x14ac:dyDescent="0.3">
      <c r="A1020" s="72" t="s">
        <v>44</v>
      </c>
      <c r="B1020" s="73" t="s">
        <v>44</v>
      </c>
      <c r="C1020" s="74" t="s">
        <v>97</v>
      </c>
      <c r="D1020" s="5" t="s">
        <v>104</v>
      </c>
      <c r="E1020" s="4" t="str" cm="1">
        <f t="array" ref="E1020">_xlfn.IFS(
F1020 = "A partir de Abril", "Aguardando Execução na Distribuidora",
A1020 = "CAPACITAÇÃO", "Em execução no Corporativo",
TRUE, "Em Execução na Distribuidora"
)</f>
        <v>Em Execução na Distribuidora</v>
      </c>
      <c r="F1020" s="4" t="str" cm="1">
        <f t="array" ref="F1020">_xlfn.IFS(
AG1020 &lt;&gt; "", "Jan-Dez/26",
AH1020 &lt;&gt; "", "Fev-Dez/26",
AI1020 &lt;&gt; "", "Mar-Dez/26", AJ1020 &lt;&gt; "", "Abr-Dez/26",
TRUE, "A partir de Junho"
)</f>
        <v>A partir de Junho</v>
      </c>
      <c r="G1020" s="75" t="s">
        <v>44</v>
      </c>
      <c r="H1020" s="76" t="s">
        <v>44</v>
      </c>
      <c r="I1020" s="77"/>
      <c r="J1020" s="77"/>
      <c r="K1020" s="77"/>
      <c r="L1020" s="77" t="s">
        <v>228</v>
      </c>
      <c r="M1020" s="78"/>
      <c r="N1020" s="74" t="s">
        <v>42</v>
      </c>
      <c r="O1020" s="74" t="s">
        <v>52</v>
      </c>
      <c r="P1020" s="75" t="s">
        <v>44</v>
      </c>
      <c r="Q1020" s="75" t="s">
        <v>44</v>
      </c>
      <c r="R1020" s="79" t="s">
        <v>44</v>
      </c>
      <c r="S1020" s="79" t="s">
        <v>44</v>
      </c>
      <c r="T1020" s="22"/>
      <c r="U1020" s="22"/>
      <c r="V1020" s="22"/>
      <c r="W1020" s="22"/>
      <c r="X1020" s="22"/>
      <c r="Y1020" s="22"/>
      <c r="Z1020" s="22"/>
      <c r="AA1020" s="22"/>
      <c r="AB1020" s="22"/>
      <c r="AC1020" s="22"/>
      <c r="AD1020" s="22"/>
      <c r="AE1020" s="22"/>
      <c r="AG1020" s="112"/>
      <c r="AH1020" s="112"/>
      <c r="AI1020" s="112"/>
      <c r="AJ1020" s="71"/>
      <c r="AK1020" s="71"/>
      <c r="AL1020" s="71"/>
      <c r="AM1020" s="71"/>
      <c r="AN1020" s="71"/>
      <c r="AO1020" s="71"/>
      <c r="AP1020" s="71"/>
      <c r="AQ1020" s="71"/>
      <c r="AR1020" s="71"/>
      <c r="AS1020" s="94"/>
      <c r="AT1020" s="95"/>
      <c r="AU1020" s="97"/>
      <c r="AW1020" s="84">
        <f t="shared" si="1208"/>
        <v>0</v>
      </c>
      <c r="AX1020" s="84">
        <f t="shared" si="1209"/>
        <v>0</v>
      </c>
      <c r="AY1020" s="84">
        <f t="shared" si="1210"/>
        <v>0</v>
      </c>
      <c r="AZ1020" s="84"/>
      <c r="BA1020" s="84"/>
      <c r="BB1020" s="84"/>
      <c r="BC1020" s="84"/>
      <c r="BD1020" s="84"/>
      <c r="BE1020" s="84"/>
      <c r="BF1020" s="84"/>
      <c r="BG1020" s="84"/>
      <c r="BH1020" s="84"/>
      <c r="BI1020" s="68" cm="1">
        <f t="array" ref="BI1020">IFERROR(INDEX(AW1020:BH1020,1,MATCH(2,1/(AW1020:BH1020&lt;&gt;""))),"")</f>
        <v>0</v>
      </c>
      <c r="BJ1020" s="68" cm="1">
        <f t="array" ref="BJ1020">IF(BM1020 = "", "",IFERROR(INDEX(AW1020:BH1020,1,MATCH(2,1/(AW1020:BH1020&lt;&gt;""),1)-1),""))</f>
        <v>0</v>
      </c>
      <c r="BK1020" s="57" cm="1">
        <f t="array" ref="BK1020">IFERROR(INDEX(AW1020:BH1020,1,MATCH(2,1/(AW1020:BH1020&lt;&gt;""),1)),"")</f>
        <v>0</v>
      </c>
      <c r="BL1020" s="57" cm="1">
        <f t="array" ref="BL1020">IF(BM1020 = "", "",IFERROR(INDEX(AW1020:BH1020,1,MATCH(2,1/(AW1020:BH1020&lt;&gt;""),1)-1),""))</f>
        <v>0</v>
      </c>
      <c r="BM1020" s="55" cm="1">
        <f t="array" ref="BM1020">IFERROR(
   INDEX($AW$1:$BH$1,
      _xlfn.AGGREGATE(14, 6, COLUMN($AW$1:$BH$1)/(AW1020:BH1020&lt;&gt;""), 2) - COLUMN($AW$1) + 1
   ),
"")</f>
        <v>46054</v>
      </c>
      <c r="BN1020" s="55" cm="1">
        <f t="array" ref="BN1020">IFERROR(INDEX($AW$1:$BH$1,1,MATCH(2,1/(AW1020:BH1020&lt;&gt;""))),"")</f>
        <v>46082</v>
      </c>
      <c r="BO1020" s="53">
        <f ca="1">IFERROR(_xlfn.XLOOKUP(F1020,Apuração!A:A,Apuração!C:C)/_xlfn.XLOOKUP(F1020,Apuração!A:A,Apuração!B:B),0)</f>
        <v>0</v>
      </c>
      <c r="BP1020" s="53">
        <f ca="1">IFERROR(_xlfn.XLOOKUP(F1020,Apuração!A:A,Apuração!D:D)/_xlfn.XLOOKUP(F1020,Apuração!A:A,Apuração!B:B),0)</f>
        <v>0</v>
      </c>
      <c r="BQ1020" s="53">
        <f ca="1">IF(BK1020&gt;=BO1020,0,_xlfn.XLOOKUP(F1020,Apuração!A:A,Apuração!B:B)*(BO1020 + (1/_xlfn.XLOOKUP(F1020,Apuração!A:A,Apuração!B:B)) - BK1020))</f>
        <v>0</v>
      </c>
      <c r="BR1020" s="85">
        <f t="shared" ca="1" si="1211"/>
        <v>0</v>
      </c>
      <c r="BS1020" s="53">
        <f ca="1">IFERROR((_xlfn.XLOOKUP(F1020,Apuração!A:A,Apuração!C:C)+1)/_xlfn.XLOOKUP(F1020,Apuração!A:A,Apuração!B:B),0)</f>
        <v>0.14285714285714285</v>
      </c>
    </row>
    <row r="1021" spans="1:71" ht="25.95" hidden="1" customHeight="1" x14ac:dyDescent="0.3">
      <c r="A1021" s="72" t="s">
        <v>44</v>
      </c>
      <c r="B1021" s="73" t="s">
        <v>44</v>
      </c>
      <c r="C1021" s="74" t="s">
        <v>97</v>
      </c>
      <c r="D1021" s="5" t="s">
        <v>105</v>
      </c>
      <c r="E1021" s="4" t="str" cm="1">
        <f t="array" ref="E1021">_xlfn.IFS(
F1021 = "A partir de Abril", "Aguardando Execução na Distribuidora",
A1021 = "CAPACITAÇÃO", "Em execução no Corporativo",
TRUE, "Em Execução na Distribuidora"
)</f>
        <v>Em Execução na Distribuidora</v>
      </c>
      <c r="F1021" s="4" t="str" cm="1">
        <f t="array" ref="F1021">_xlfn.IFS(
AG1021 &lt;&gt; "", "Jan-Dez/26",
AH1021 &lt;&gt; "", "Fev-Dez/26",
AI1021 &lt;&gt; "", "Mar-Dez/26", AJ1021 &lt;&gt; "", "Abr-Dez/26",
TRUE, "A partir de Junho"
)</f>
        <v>A partir de Junho</v>
      </c>
      <c r="G1021" s="75" t="s">
        <v>44</v>
      </c>
      <c r="H1021" s="76" t="s">
        <v>44</v>
      </c>
      <c r="I1021" s="77"/>
      <c r="J1021" s="77"/>
      <c r="K1021" s="77"/>
      <c r="L1021" s="77" t="s">
        <v>228</v>
      </c>
      <c r="M1021" s="78"/>
      <c r="N1021" s="74" t="s">
        <v>42</v>
      </c>
      <c r="O1021" s="74" t="s">
        <v>52</v>
      </c>
      <c r="P1021" s="75" t="s">
        <v>44</v>
      </c>
      <c r="Q1021" s="75" t="s">
        <v>44</v>
      </c>
      <c r="R1021" s="79" t="s">
        <v>44</v>
      </c>
      <c r="S1021" s="79" t="s">
        <v>44</v>
      </c>
      <c r="T1021" s="22"/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  <c r="AE1021" s="22"/>
      <c r="AG1021" s="112"/>
      <c r="AH1021" s="112"/>
      <c r="AI1021" s="112"/>
      <c r="AJ1021" s="71"/>
      <c r="AK1021" s="71"/>
      <c r="AL1021" s="71"/>
      <c r="AM1021" s="71"/>
      <c r="AN1021" s="71"/>
      <c r="AO1021" s="71"/>
      <c r="AP1021" s="71"/>
      <c r="AQ1021" s="71"/>
      <c r="AR1021" s="71"/>
      <c r="AS1021" s="94"/>
      <c r="AT1021" s="95"/>
      <c r="AU1021" s="97"/>
      <c r="AW1021" s="84">
        <f t="shared" si="1208"/>
        <v>0</v>
      </c>
      <c r="AX1021" s="84">
        <f t="shared" si="1209"/>
        <v>0</v>
      </c>
      <c r="AY1021" s="84">
        <f t="shared" si="1210"/>
        <v>0</v>
      </c>
      <c r="AZ1021" s="84"/>
      <c r="BA1021" s="84"/>
      <c r="BB1021" s="84"/>
      <c r="BC1021" s="84"/>
      <c r="BD1021" s="84"/>
      <c r="BE1021" s="84"/>
      <c r="BF1021" s="84"/>
      <c r="BG1021" s="84"/>
      <c r="BH1021" s="84"/>
      <c r="BI1021" s="68" cm="1">
        <f t="array" ref="BI1021">IFERROR(INDEX(AW1021:BH1021,1,MATCH(2,1/(AW1021:BH1021&lt;&gt;""))),"")</f>
        <v>0</v>
      </c>
      <c r="BJ1021" s="68" cm="1">
        <f t="array" ref="BJ1021">IF(BM1021 = "", "",IFERROR(INDEX(AW1021:BH1021,1,MATCH(2,1/(AW1021:BH1021&lt;&gt;""),1)-1),""))</f>
        <v>0</v>
      </c>
      <c r="BK1021" s="57" cm="1">
        <f t="array" ref="BK1021">IFERROR(INDEX(AW1021:BH1021,1,MATCH(2,1/(AW1021:BH1021&lt;&gt;""),1)),"")</f>
        <v>0</v>
      </c>
      <c r="BL1021" s="57" cm="1">
        <f t="array" ref="BL1021">IF(BM1021 = "", "",IFERROR(INDEX(AW1021:BH1021,1,MATCH(2,1/(AW1021:BH1021&lt;&gt;""),1)-1),""))</f>
        <v>0</v>
      </c>
      <c r="BM1021" s="55" cm="1">
        <f t="array" ref="BM1021">IFERROR(
   INDEX($AW$1:$BH$1,
      _xlfn.AGGREGATE(14, 6, COLUMN($AW$1:$BH$1)/(AW1021:BH1021&lt;&gt;""), 2) - COLUMN($AW$1) + 1
   ),
"")</f>
        <v>46054</v>
      </c>
      <c r="BN1021" s="55" cm="1">
        <f t="array" ref="BN1021">IFERROR(INDEX($AW$1:$BH$1,1,MATCH(2,1/(AW1021:BH1021&lt;&gt;""))),"")</f>
        <v>46082</v>
      </c>
      <c r="BO1021" s="53">
        <f ca="1">IFERROR(_xlfn.XLOOKUP(F1021,Apuração!A:A,Apuração!C:C)/_xlfn.XLOOKUP(F1021,Apuração!A:A,Apuração!B:B),0)</f>
        <v>0</v>
      </c>
      <c r="BP1021" s="53">
        <f ca="1">IFERROR(_xlfn.XLOOKUP(F1021,Apuração!A:A,Apuração!D:D)/_xlfn.XLOOKUP(F1021,Apuração!A:A,Apuração!B:B),0)</f>
        <v>0</v>
      </c>
      <c r="BQ1021" s="53">
        <f ca="1">IF(BK1021&gt;=BO1021,0,_xlfn.XLOOKUP(F1021,Apuração!A:A,Apuração!B:B)*(BO1021 + (1/_xlfn.XLOOKUP(F1021,Apuração!A:A,Apuração!B:B)) - BK1021))</f>
        <v>0</v>
      </c>
      <c r="BR1021" s="85">
        <f t="shared" ca="1" si="1211"/>
        <v>0</v>
      </c>
      <c r="BS1021" s="53">
        <f ca="1">IFERROR((_xlfn.XLOOKUP(F1021,Apuração!A:A,Apuração!C:C)+1)/_xlfn.XLOOKUP(F1021,Apuração!A:A,Apuração!B:B),0)</f>
        <v>0.14285714285714285</v>
      </c>
    </row>
    <row r="1022" spans="1:71" ht="25.95" hidden="1" customHeight="1" x14ac:dyDescent="0.3">
      <c r="A1022" s="72" t="s">
        <v>44</v>
      </c>
      <c r="B1022" s="73" t="s">
        <v>44</v>
      </c>
      <c r="C1022" s="74" t="s">
        <v>97</v>
      </c>
      <c r="D1022" s="5" t="s">
        <v>106</v>
      </c>
      <c r="E1022" s="4" t="str" cm="1">
        <f t="array" ref="E1022">_xlfn.IFS(
F1022 = "A partir de Abril", "Aguardando Execução na Distribuidora",
A1022 = "CAPACITAÇÃO", "Em execução no Corporativo",
TRUE, "Em Execução na Distribuidora"
)</f>
        <v>Em Execução na Distribuidora</v>
      </c>
      <c r="F1022" s="4" t="str" cm="1">
        <f t="array" ref="F1022">_xlfn.IFS(
AG1022 &lt;&gt; "", "Jan-Dez/26",
AH1022 &lt;&gt; "", "Fev-Dez/26",
AI1022 &lt;&gt; "", "Mar-Dez/26", AJ1022 &lt;&gt; "", "Abr-Dez/26",
TRUE, "A partir de Junho"
)</f>
        <v>A partir de Junho</v>
      </c>
      <c r="G1022" s="75" t="s">
        <v>44</v>
      </c>
      <c r="H1022" s="76" t="s">
        <v>44</v>
      </c>
      <c r="I1022" s="77"/>
      <c r="J1022" s="77"/>
      <c r="K1022" s="77"/>
      <c r="L1022" s="77" t="s">
        <v>228</v>
      </c>
      <c r="M1022" s="78"/>
      <c r="N1022" s="74" t="s">
        <v>42</v>
      </c>
      <c r="O1022" s="74" t="s">
        <v>52</v>
      </c>
      <c r="P1022" s="75" t="s">
        <v>44</v>
      </c>
      <c r="Q1022" s="75" t="s">
        <v>44</v>
      </c>
      <c r="R1022" s="79" t="s">
        <v>44</v>
      </c>
      <c r="S1022" s="79" t="s">
        <v>44</v>
      </c>
      <c r="T1022" s="22"/>
      <c r="U1022" s="22"/>
      <c r="V1022" s="22"/>
      <c r="W1022" s="22"/>
      <c r="X1022" s="22"/>
      <c r="Y1022" s="22"/>
      <c r="Z1022" s="22"/>
      <c r="AA1022" s="22"/>
      <c r="AB1022" s="22"/>
      <c r="AC1022" s="22"/>
      <c r="AD1022" s="22"/>
      <c r="AE1022" s="22"/>
      <c r="AG1022" s="112"/>
      <c r="AH1022" s="112"/>
      <c r="AI1022" s="112"/>
      <c r="AJ1022" s="71"/>
      <c r="AK1022" s="71"/>
      <c r="AL1022" s="71"/>
      <c r="AM1022" s="71"/>
      <c r="AN1022" s="71"/>
      <c r="AO1022" s="71"/>
      <c r="AP1022" s="71"/>
      <c r="AQ1022" s="71"/>
      <c r="AR1022" s="71"/>
      <c r="AS1022" s="94"/>
      <c r="AT1022" s="95"/>
      <c r="AU1022" s="97"/>
      <c r="AW1022" s="84">
        <f t="shared" si="1208"/>
        <v>0</v>
      </c>
      <c r="AX1022" s="84">
        <f t="shared" si="1209"/>
        <v>0</v>
      </c>
      <c r="AY1022" s="84">
        <f t="shared" si="1210"/>
        <v>0</v>
      </c>
      <c r="AZ1022" s="84"/>
      <c r="BA1022" s="84"/>
      <c r="BB1022" s="84"/>
      <c r="BC1022" s="84"/>
      <c r="BD1022" s="84"/>
      <c r="BE1022" s="84"/>
      <c r="BF1022" s="84"/>
      <c r="BG1022" s="84"/>
      <c r="BH1022" s="84"/>
      <c r="BI1022" s="68" cm="1">
        <f t="array" ref="BI1022">IFERROR(INDEX(AW1022:BH1022,1,MATCH(2,1/(AW1022:BH1022&lt;&gt;""))),"")</f>
        <v>0</v>
      </c>
      <c r="BJ1022" s="68" cm="1">
        <f t="array" ref="BJ1022">IF(BM1022 = "", "",IFERROR(INDEX(AW1022:BH1022,1,MATCH(2,1/(AW1022:BH1022&lt;&gt;""),1)-1),""))</f>
        <v>0</v>
      </c>
      <c r="BK1022" s="57" cm="1">
        <f t="array" ref="BK1022">IFERROR(INDEX(AW1022:BH1022,1,MATCH(2,1/(AW1022:BH1022&lt;&gt;""),1)),"")</f>
        <v>0</v>
      </c>
      <c r="BL1022" s="57" cm="1">
        <f t="array" ref="BL1022">IF(BM1022 = "", "",IFERROR(INDEX(AW1022:BH1022,1,MATCH(2,1/(AW1022:BH1022&lt;&gt;""),1)-1),""))</f>
        <v>0</v>
      </c>
      <c r="BM1022" s="55" cm="1">
        <f t="array" ref="BM1022">IFERROR(
   INDEX($AW$1:$BH$1,
      _xlfn.AGGREGATE(14, 6, COLUMN($AW$1:$BH$1)/(AW1022:BH1022&lt;&gt;""), 2) - COLUMN($AW$1) + 1
   ),
"")</f>
        <v>46054</v>
      </c>
      <c r="BN1022" s="55" cm="1">
        <f t="array" ref="BN1022">IFERROR(INDEX($AW$1:$BH$1,1,MATCH(2,1/(AW1022:BH1022&lt;&gt;""))),"")</f>
        <v>46082</v>
      </c>
      <c r="BO1022" s="53">
        <f ca="1">IFERROR(_xlfn.XLOOKUP(F1022,Apuração!A:A,Apuração!C:C)/_xlfn.XLOOKUP(F1022,Apuração!A:A,Apuração!B:B),0)</f>
        <v>0</v>
      </c>
      <c r="BP1022" s="53">
        <f ca="1">IFERROR(_xlfn.XLOOKUP(F1022,Apuração!A:A,Apuração!D:D)/_xlfn.XLOOKUP(F1022,Apuração!A:A,Apuração!B:B),0)</f>
        <v>0</v>
      </c>
      <c r="BQ1022" s="53">
        <f ca="1">IF(BK1022&gt;=BO1022,0,_xlfn.XLOOKUP(F1022,Apuração!A:A,Apuração!B:B)*(BO1022 + (1/_xlfn.XLOOKUP(F1022,Apuração!A:A,Apuração!B:B)) - BK1022))</f>
        <v>0</v>
      </c>
      <c r="BR1022" s="85">
        <f t="shared" ca="1" si="1211"/>
        <v>0</v>
      </c>
      <c r="BS1022" s="53">
        <f ca="1">IFERROR((_xlfn.XLOOKUP(F1022,Apuração!A:A,Apuração!C:C)+1)/_xlfn.XLOOKUP(F1022,Apuração!A:A,Apuração!B:B),0)</f>
        <v>0.14285714285714285</v>
      </c>
    </row>
    <row r="1023" spans="1:71" ht="25.95" hidden="1" customHeight="1" x14ac:dyDescent="0.3">
      <c r="A1023" s="72" t="s">
        <v>44</v>
      </c>
      <c r="B1023" s="73" t="s">
        <v>44</v>
      </c>
      <c r="C1023" s="74" t="s">
        <v>97</v>
      </c>
      <c r="D1023" s="5" t="s">
        <v>107</v>
      </c>
      <c r="E1023" s="4" t="str" cm="1">
        <f t="array" ref="E1023">_xlfn.IFS(
F1023 = "A partir de Abril", "Aguardando Execução na Distribuidora",
A1023 = "CAPACITAÇÃO", "Em execução no Corporativo",
TRUE, "Em Execução na Distribuidora"
)</f>
        <v>Em Execução na Distribuidora</v>
      </c>
      <c r="F1023" s="4" t="str" cm="1">
        <f t="array" ref="F1023">_xlfn.IFS(
AG1023 &lt;&gt; "", "Jan-Dez/26",
AH1023 &lt;&gt; "", "Fev-Dez/26",
AI1023 &lt;&gt; "", "Mar-Dez/26", AJ1023 &lt;&gt; "", "Abr-Dez/26",
TRUE, "A partir de Junho"
)</f>
        <v>A partir de Junho</v>
      </c>
      <c r="G1023" s="75" t="s">
        <v>44</v>
      </c>
      <c r="H1023" s="76" t="s">
        <v>44</v>
      </c>
      <c r="I1023" s="77"/>
      <c r="J1023" s="77"/>
      <c r="K1023" s="77"/>
      <c r="L1023" s="77" t="s">
        <v>228</v>
      </c>
      <c r="M1023" s="78"/>
      <c r="N1023" s="74" t="s">
        <v>42</v>
      </c>
      <c r="O1023" s="74" t="s">
        <v>52</v>
      </c>
      <c r="P1023" s="75" t="s">
        <v>44</v>
      </c>
      <c r="Q1023" s="75" t="s">
        <v>44</v>
      </c>
      <c r="R1023" s="79" t="s">
        <v>44</v>
      </c>
      <c r="S1023" s="79" t="s">
        <v>44</v>
      </c>
      <c r="T1023" s="22"/>
      <c r="U1023" s="22"/>
      <c r="V1023" s="22"/>
      <c r="W1023" s="22"/>
      <c r="X1023" s="22"/>
      <c r="Y1023" s="22"/>
      <c r="Z1023" s="22"/>
      <c r="AA1023" s="22"/>
      <c r="AB1023" s="22"/>
      <c r="AC1023" s="22"/>
      <c r="AD1023" s="22"/>
      <c r="AE1023" s="22"/>
      <c r="AG1023" s="112"/>
      <c r="AH1023" s="112"/>
      <c r="AI1023" s="112"/>
      <c r="AJ1023" s="71"/>
      <c r="AK1023" s="71"/>
      <c r="AL1023" s="71"/>
      <c r="AM1023" s="71"/>
      <c r="AN1023" s="71"/>
      <c r="AO1023" s="71"/>
      <c r="AP1023" s="71"/>
      <c r="AQ1023" s="71"/>
      <c r="AR1023" s="71"/>
      <c r="AS1023" s="94"/>
      <c r="AT1023" s="95"/>
      <c r="AU1023" s="97"/>
      <c r="AW1023" s="84">
        <f t="shared" si="1208"/>
        <v>0</v>
      </c>
      <c r="AX1023" s="84">
        <f t="shared" si="1209"/>
        <v>0</v>
      </c>
      <c r="AY1023" s="84">
        <f t="shared" si="1210"/>
        <v>0</v>
      </c>
      <c r="AZ1023" s="84"/>
      <c r="BA1023" s="84"/>
      <c r="BB1023" s="84"/>
      <c r="BC1023" s="84"/>
      <c r="BD1023" s="84"/>
      <c r="BE1023" s="84"/>
      <c r="BF1023" s="84"/>
      <c r="BG1023" s="84"/>
      <c r="BH1023" s="84"/>
      <c r="BI1023" s="68" cm="1">
        <f t="array" ref="BI1023">IFERROR(INDEX(AW1023:BH1023,1,MATCH(2,1/(AW1023:BH1023&lt;&gt;""))),"")</f>
        <v>0</v>
      </c>
      <c r="BJ1023" s="68" cm="1">
        <f t="array" ref="BJ1023">IF(BM1023 = "", "",IFERROR(INDEX(AW1023:BH1023,1,MATCH(2,1/(AW1023:BH1023&lt;&gt;""),1)-1),""))</f>
        <v>0</v>
      </c>
      <c r="BK1023" s="57" cm="1">
        <f t="array" ref="BK1023">IFERROR(INDEX(AW1023:BH1023,1,MATCH(2,1/(AW1023:BH1023&lt;&gt;""),1)),"")</f>
        <v>0</v>
      </c>
      <c r="BL1023" s="57" cm="1">
        <f t="array" ref="BL1023">IF(BM1023 = "", "",IFERROR(INDEX(AW1023:BH1023,1,MATCH(2,1/(AW1023:BH1023&lt;&gt;""),1)-1),""))</f>
        <v>0</v>
      </c>
      <c r="BM1023" s="55" cm="1">
        <f t="array" ref="BM1023">IFERROR(
   INDEX($AW$1:$BH$1,
      _xlfn.AGGREGATE(14, 6, COLUMN($AW$1:$BH$1)/(AW1023:BH1023&lt;&gt;""), 2) - COLUMN($AW$1) + 1
   ),
"")</f>
        <v>46054</v>
      </c>
      <c r="BN1023" s="55" cm="1">
        <f t="array" ref="BN1023">IFERROR(INDEX($AW$1:$BH$1,1,MATCH(2,1/(AW1023:BH1023&lt;&gt;""))),"")</f>
        <v>46082</v>
      </c>
      <c r="BO1023" s="53">
        <f ca="1">IFERROR(_xlfn.XLOOKUP(F1023,Apuração!A:A,Apuração!C:C)/_xlfn.XLOOKUP(F1023,Apuração!A:A,Apuração!B:B),0)</f>
        <v>0</v>
      </c>
      <c r="BP1023" s="53">
        <f ca="1">IFERROR(_xlfn.XLOOKUP(F1023,Apuração!A:A,Apuração!D:D)/_xlfn.XLOOKUP(F1023,Apuração!A:A,Apuração!B:B),0)</f>
        <v>0</v>
      </c>
      <c r="BQ1023" s="53">
        <f ca="1">IF(BK1023&gt;=BO1023,0,_xlfn.XLOOKUP(F1023,Apuração!A:A,Apuração!B:B)*(BO1023 + (1/_xlfn.XLOOKUP(F1023,Apuração!A:A,Apuração!B:B)) - BK1023))</f>
        <v>0</v>
      </c>
      <c r="BR1023" s="85">
        <f t="shared" ca="1" si="1211"/>
        <v>0</v>
      </c>
      <c r="BS1023" s="53">
        <f ca="1">IFERROR((_xlfn.XLOOKUP(F1023,Apuração!A:A,Apuração!C:C)+1)/_xlfn.XLOOKUP(F1023,Apuração!A:A,Apuração!B:B),0)</f>
        <v>0.14285714285714285</v>
      </c>
    </row>
    <row r="1024" spans="1:71" ht="25.95" hidden="1" customHeight="1" x14ac:dyDescent="0.3">
      <c r="A1024" s="35" t="s">
        <v>44</v>
      </c>
      <c r="B1024" s="10" t="s">
        <v>44</v>
      </c>
      <c r="C1024" s="5" t="s">
        <v>97</v>
      </c>
      <c r="D1024" s="5" t="s">
        <v>36</v>
      </c>
      <c r="E1024" s="4" t="str" cm="1">
        <f t="array" ref="E1024">_xlfn.IFS(
F1024 = "A partir de Abril", "Aguardando Execução na Distribuidora",
A1024 = "CAPACITAÇÃO", "Em execução no Corporativo",
TRUE, "Em Execução na Distribuidora"
)</f>
        <v>Em Execução na Distribuidora</v>
      </c>
      <c r="F1024" s="4" t="str" cm="1">
        <f t="array" ref="F1024">_xlfn.IFS(
AG1024 &lt;&gt; "", "Jan-Dez/26",
AH1024 &lt;&gt; "", "Fev-Dez/26",
AI1024 &lt;&gt; "", "Mar-Dez/26", AJ1024 &lt;&gt; "", "Abr-Dez/26",
TRUE, "A partir de Junho"
)</f>
        <v>Jan-Dez/26</v>
      </c>
      <c r="G1024" s="10" t="s">
        <v>44</v>
      </c>
      <c r="H1024" s="36" t="s">
        <v>44</v>
      </c>
      <c r="I1024" s="37"/>
      <c r="J1024" s="37"/>
      <c r="K1024" s="37"/>
      <c r="L1024" s="37" t="s">
        <v>200</v>
      </c>
      <c r="M1024" s="37"/>
      <c r="N1024" s="5" t="s">
        <v>42</v>
      </c>
      <c r="O1024" s="5" t="s">
        <v>52</v>
      </c>
      <c r="P1024" s="10" t="s">
        <v>44</v>
      </c>
      <c r="Q1024" s="10" t="s">
        <v>44</v>
      </c>
      <c r="R1024" s="11" t="s">
        <v>44</v>
      </c>
      <c r="S1024" s="11" t="s">
        <v>44</v>
      </c>
      <c r="T1024" s="22"/>
      <c r="U1024" s="22"/>
      <c r="V1024" s="22"/>
      <c r="W1024" s="22"/>
      <c r="X1024" s="22"/>
      <c r="Y1024" s="22"/>
      <c r="Z1024" s="22"/>
      <c r="AA1024" s="22"/>
      <c r="AB1024" s="22"/>
      <c r="AC1024" s="22"/>
      <c r="AD1024" s="22"/>
      <c r="AE1024" s="22"/>
      <c r="AG1024" s="112">
        <v>2.39</v>
      </c>
      <c r="AH1024" s="112">
        <v>2.1</v>
      </c>
      <c r="AI1024" s="112">
        <v>2.0699999999999998</v>
      </c>
      <c r="AJ1024" s="112">
        <v>2.27</v>
      </c>
      <c r="AK1024" s="112"/>
      <c r="AL1024" s="112"/>
      <c r="AM1024" s="112"/>
      <c r="AN1024" s="112"/>
      <c r="AO1024" s="112"/>
      <c r="AP1024" s="112"/>
      <c r="AQ1024" s="112"/>
      <c r="AR1024" s="112"/>
      <c r="AS1024" s="94"/>
      <c r="AT1024" s="95"/>
      <c r="AU1024" s="97"/>
      <c r="AW1024" s="84">
        <f t="shared" ref="AW1024:AW1032" si="1212">AG1024</f>
        <v>2.39</v>
      </c>
      <c r="AX1024" s="84">
        <f t="shared" ref="AX1024:AX1032" si="1213">AH1024</f>
        <v>2.1</v>
      </c>
      <c r="AY1024" s="84">
        <f t="shared" ref="AY1024:AZ1032" si="1214">AI1024</f>
        <v>2.0699999999999998</v>
      </c>
      <c r="AZ1024" s="84">
        <f t="shared" si="1214"/>
        <v>2.27</v>
      </c>
      <c r="BA1024" s="84"/>
      <c r="BB1024" s="84"/>
      <c r="BC1024" s="84"/>
      <c r="BD1024" s="84"/>
      <c r="BE1024" s="84"/>
      <c r="BF1024" s="84"/>
      <c r="BG1024" s="84"/>
      <c r="BH1024" s="84"/>
      <c r="BI1024" s="68" cm="1">
        <f t="array" ref="BI1024">IFERROR(INDEX(AW1024:BH1024,1,MATCH(2,1/(AW1024:BH1024&lt;&gt;""))),"")</f>
        <v>2.27</v>
      </c>
      <c r="BJ1024" s="68" cm="1">
        <f t="array" ref="BJ1024">IF(BM1024 = "", "",IFERROR(INDEX(AW1024:BH1024,1,MATCH(2,1/(AW1024:BH1024&lt;&gt;""),1)-1),""))</f>
        <v>2.0699999999999998</v>
      </c>
      <c r="BK1024" s="57" cm="1">
        <f t="array" ref="BK1024">IFERROR(INDEX(AW1024:BH1024,1,MATCH(2,1/(AW1024:BH1024&lt;&gt;""),1)),"")</f>
        <v>2.27</v>
      </c>
      <c r="BL1024" s="57" cm="1">
        <f t="array" ref="BL1024">IF(BM1024 = "", "",IFERROR(INDEX(AW1024:BH1024,1,MATCH(2,1/(AW1024:BH1024&lt;&gt;""),1)-1),""))</f>
        <v>2.0699999999999998</v>
      </c>
      <c r="BM1024" s="55" cm="1">
        <f t="array" ref="BM1024">IFERROR(
   INDEX($AW$1:$BH$1,
      _xlfn.AGGREGATE(14, 6, COLUMN($AW$1:$BH$1)/(AW1024:BH1024&lt;&gt;""), 2) - COLUMN($AW$1) + 1
   ),
"")</f>
        <v>46082</v>
      </c>
      <c r="BN1024" s="55" cm="1">
        <f t="array" ref="BN1024">IFERROR(INDEX($AW$1:$BH$1,1,MATCH(2,1/(AW1024:BH1024&lt;&gt;""))),"")</f>
        <v>46113</v>
      </c>
      <c r="BO1024" s="53">
        <f ca="1">IFERROR(_xlfn.XLOOKUP(F1024,Apuração!A:A,Apuração!C:C)/_xlfn.XLOOKUP(F1024,Apuração!A:A,Apuração!B:B),0)</f>
        <v>0.41666666666666669</v>
      </c>
      <c r="BP1024" s="53">
        <f ca="1">IFERROR(_xlfn.XLOOKUP(F1024,Apuração!A:A,Apuração!D:D)/_xlfn.XLOOKUP(F1024,Apuração!A:A,Apuração!B:B),0)</f>
        <v>0.33333333333333331</v>
      </c>
      <c r="BQ1024" s="53">
        <f ca="1">IF(BK1024&gt;=BO1024,0,_xlfn.XLOOKUP(F1024,Apuração!A:A,Apuração!B:B)*(BO1024 + (1/_xlfn.XLOOKUP(F1024,Apuração!A:A,Apuração!B:B)) - BK1024))</f>
        <v>0</v>
      </c>
      <c r="BR1024" s="85">
        <f t="shared" ref="BR1024:BR1032" ca="1" si="1215">IF(BQ1024=0,0,BQ1024*Z1024)</f>
        <v>0</v>
      </c>
      <c r="BS1024" s="53">
        <f ca="1">IFERROR((_xlfn.XLOOKUP(F1024,Apuração!A:A,Apuração!C:C)+1)/_xlfn.XLOOKUP(F1024,Apuração!A:A,Apuração!B:B),0)</f>
        <v>0.5</v>
      </c>
    </row>
    <row r="1025" spans="1:71" ht="25.95" hidden="1" customHeight="1" x14ac:dyDescent="0.3">
      <c r="A1025" s="35" t="s">
        <v>44</v>
      </c>
      <c r="B1025" s="10" t="s">
        <v>44</v>
      </c>
      <c r="C1025" s="5" t="s">
        <v>97</v>
      </c>
      <c r="D1025" s="5" t="s">
        <v>98</v>
      </c>
      <c r="E1025" s="4" t="str" cm="1">
        <f t="array" ref="E1025">_xlfn.IFS(
F1025 = "A partir de Abril", "Aguardando Execução na Distribuidora",
A1025 = "CAPACITAÇÃO", "Em execução no Corporativo",
TRUE, "Em Execução na Distribuidora"
)</f>
        <v>Em Execução na Distribuidora</v>
      </c>
      <c r="F1025" s="4" t="str" cm="1">
        <f t="array" ref="F1025">_xlfn.IFS(
AG1025 &lt;&gt; "", "Jan-Dez/26",
AH1025 &lt;&gt; "", "Fev-Dez/26",
AI1025 &lt;&gt; "", "Mar-Dez/26", AJ1025 &lt;&gt; "", "Abr-Dez/26",
TRUE, "A partir de Junho"
)</f>
        <v>A partir de Junho</v>
      </c>
      <c r="G1025" s="10" t="s">
        <v>44</v>
      </c>
      <c r="H1025" s="36" t="s">
        <v>44</v>
      </c>
      <c r="I1025" s="37"/>
      <c r="J1025" s="37"/>
      <c r="K1025" s="37"/>
      <c r="L1025" s="37" t="s">
        <v>200</v>
      </c>
      <c r="M1025" s="37"/>
      <c r="N1025" s="5" t="s">
        <v>42</v>
      </c>
      <c r="O1025" s="5" t="s">
        <v>52</v>
      </c>
      <c r="P1025" s="10" t="s">
        <v>44</v>
      </c>
      <c r="Q1025" s="10" t="s">
        <v>44</v>
      </c>
      <c r="R1025" s="11" t="s">
        <v>44</v>
      </c>
      <c r="S1025" s="11" t="s">
        <v>44</v>
      </c>
      <c r="T1025" s="22"/>
      <c r="U1025" s="22"/>
      <c r="V1025" s="22"/>
      <c r="W1025" s="22"/>
      <c r="X1025" s="22"/>
      <c r="Y1025" s="22"/>
      <c r="Z1025" s="22"/>
      <c r="AA1025" s="22"/>
      <c r="AB1025" s="22"/>
      <c r="AC1025" s="22"/>
      <c r="AD1025" s="22"/>
      <c r="AE1025" s="22"/>
      <c r="AG1025" s="112"/>
      <c r="AH1025" s="112"/>
      <c r="AI1025" s="112"/>
      <c r="AJ1025" s="71"/>
      <c r="AK1025" s="71"/>
      <c r="AL1025" s="71"/>
      <c r="AM1025" s="71"/>
      <c r="AN1025" s="71"/>
      <c r="AO1025" s="71"/>
      <c r="AP1025" s="71"/>
      <c r="AQ1025" s="71"/>
      <c r="AR1025" s="71"/>
      <c r="AS1025" s="94"/>
      <c r="AT1025" s="95"/>
      <c r="AU1025" s="97"/>
      <c r="AW1025" s="84">
        <f t="shared" si="1212"/>
        <v>0</v>
      </c>
      <c r="AX1025" s="84">
        <f t="shared" si="1213"/>
        <v>0</v>
      </c>
      <c r="AY1025" s="84">
        <f t="shared" si="1214"/>
        <v>0</v>
      </c>
      <c r="AZ1025" s="84"/>
      <c r="BA1025" s="84"/>
      <c r="BB1025" s="84"/>
      <c r="BC1025" s="84"/>
      <c r="BD1025" s="84"/>
      <c r="BE1025" s="84"/>
      <c r="BF1025" s="84"/>
      <c r="BG1025" s="84"/>
      <c r="BH1025" s="84"/>
      <c r="BI1025" s="68" cm="1">
        <f t="array" ref="BI1025">IFERROR(INDEX(AW1025:BH1025,1,MATCH(2,1/(AW1025:BH1025&lt;&gt;""))),"")</f>
        <v>0</v>
      </c>
      <c r="BJ1025" s="68" cm="1">
        <f t="array" ref="BJ1025">IF(BM1025 = "", "",IFERROR(INDEX(AW1025:BH1025,1,MATCH(2,1/(AW1025:BH1025&lt;&gt;""),1)-1),""))</f>
        <v>0</v>
      </c>
      <c r="BK1025" s="57" cm="1">
        <f t="array" ref="BK1025">IFERROR(INDEX(AW1025:BH1025,1,MATCH(2,1/(AW1025:BH1025&lt;&gt;""),1)),"")</f>
        <v>0</v>
      </c>
      <c r="BL1025" s="57" cm="1">
        <f t="array" ref="BL1025">IF(BM1025 = "", "",IFERROR(INDEX(AW1025:BH1025,1,MATCH(2,1/(AW1025:BH1025&lt;&gt;""),1)-1),""))</f>
        <v>0</v>
      </c>
      <c r="BM1025" s="55" cm="1">
        <f t="array" ref="BM1025">IFERROR(
   INDEX($AW$1:$BH$1,
      _xlfn.AGGREGATE(14, 6, COLUMN($AW$1:$BH$1)/(AW1025:BH1025&lt;&gt;""), 2) - COLUMN($AW$1) + 1
   ),
"")</f>
        <v>46054</v>
      </c>
      <c r="BN1025" s="55" cm="1">
        <f t="array" ref="BN1025">IFERROR(INDEX($AW$1:$BH$1,1,MATCH(2,1/(AW1025:BH1025&lt;&gt;""))),"")</f>
        <v>46082</v>
      </c>
      <c r="BO1025" s="53">
        <f ca="1">IFERROR(_xlfn.XLOOKUP(F1025,Apuração!A:A,Apuração!C:C)/_xlfn.XLOOKUP(F1025,Apuração!A:A,Apuração!B:B),0)</f>
        <v>0</v>
      </c>
      <c r="BP1025" s="53">
        <f ca="1">IFERROR(_xlfn.XLOOKUP(F1025,Apuração!A:A,Apuração!D:D)/_xlfn.XLOOKUP(F1025,Apuração!A:A,Apuração!B:B),0)</f>
        <v>0</v>
      </c>
      <c r="BQ1025" s="53">
        <f ca="1">IF(BK1025&gt;=BO1025,0,_xlfn.XLOOKUP(F1025,Apuração!A:A,Apuração!B:B)*(BO1025 + (1/_xlfn.XLOOKUP(F1025,Apuração!A:A,Apuração!B:B)) - BK1025))</f>
        <v>0</v>
      </c>
      <c r="BR1025" s="85">
        <f t="shared" ca="1" si="1215"/>
        <v>0</v>
      </c>
      <c r="BS1025" s="53">
        <f ca="1">IFERROR((_xlfn.XLOOKUP(F1025,Apuração!A:A,Apuração!C:C)+1)/_xlfn.XLOOKUP(F1025,Apuração!A:A,Apuração!B:B),0)</f>
        <v>0.14285714285714285</v>
      </c>
    </row>
    <row r="1026" spans="1:71" ht="25.95" hidden="1" customHeight="1" x14ac:dyDescent="0.3">
      <c r="A1026" s="35" t="s">
        <v>44</v>
      </c>
      <c r="B1026" s="10" t="s">
        <v>44</v>
      </c>
      <c r="C1026" s="5" t="s">
        <v>97</v>
      </c>
      <c r="D1026" s="5" t="s">
        <v>99</v>
      </c>
      <c r="E1026" s="4" t="str" cm="1">
        <f t="array" ref="E1026">_xlfn.IFS(
F1026 = "A partir de Abril", "Aguardando Execução na Distribuidora",
A1026 = "CAPACITAÇÃO", "Em execução no Corporativo",
TRUE, "Em Execução na Distribuidora"
)</f>
        <v>Em Execução na Distribuidora</v>
      </c>
      <c r="F1026" s="4" t="str" cm="1">
        <f t="array" ref="F1026">_xlfn.IFS(
AG1026 &lt;&gt; "", "Jan-Dez/26",
AH1026 &lt;&gt; "", "Fev-Dez/26",
AI1026 &lt;&gt; "", "Mar-Dez/26", AJ1026 &lt;&gt; "", "Abr-Dez/26",
TRUE, "A partir de Junho"
)</f>
        <v>A partir de Junho</v>
      </c>
      <c r="G1026" s="10" t="s">
        <v>44</v>
      </c>
      <c r="H1026" s="36" t="s">
        <v>44</v>
      </c>
      <c r="I1026" s="37"/>
      <c r="J1026" s="37"/>
      <c r="K1026" s="37"/>
      <c r="L1026" s="37" t="s">
        <v>200</v>
      </c>
      <c r="M1026" s="37"/>
      <c r="N1026" s="5" t="s">
        <v>42</v>
      </c>
      <c r="O1026" s="5" t="s">
        <v>52</v>
      </c>
      <c r="P1026" s="10" t="s">
        <v>44</v>
      </c>
      <c r="Q1026" s="10" t="s">
        <v>44</v>
      </c>
      <c r="R1026" s="11" t="s">
        <v>44</v>
      </c>
      <c r="S1026" s="11" t="s">
        <v>44</v>
      </c>
      <c r="T1026" s="22"/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22"/>
      <c r="AG1026" s="112"/>
      <c r="AH1026" s="112"/>
      <c r="AI1026" s="112"/>
      <c r="AJ1026" s="71"/>
      <c r="AK1026" s="71"/>
      <c r="AL1026" s="71"/>
      <c r="AM1026" s="71"/>
      <c r="AN1026" s="71"/>
      <c r="AO1026" s="71"/>
      <c r="AP1026" s="71"/>
      <c r="AQ1026" s="71"/>
      <c r="AR1026" s="71"/>
      <c r="AS1026" s="94"/>
      <c r="AT1026" s="95"/>
      <c r="AU1026" s="97"/>
      <c r="AW1026" s="84">
        <f t="shared" si="1212"/>
        <v>0</v>
      </c>
      <c r="AX1026" s="84">
        <f t="shared" si="1213"/>
        <v>0</v>
      </c>
      <c r="AY1026" s="84">
        <f t="shared" si="1214"/>
        <v>0</v>
      </c>
      <c r="AZ1026" s="84"/>
      <c r="BA1026" s="84"/>
      <c r="BB1026" s="84"/>
      <c r="BC1026" s="84"/>
      <c r="BD1026" s="84"/>
      <c r="BE1026" s="84"/>
      <c r="BF1026" s="84"/>
      <c r="BG1026" s="84"/>
      <c r="BH1026" s="84"/>
      <c r="BI1026" s="68" cm="1">
        <f t="array" ref="BI1026">IFERROR(INDEX(AW1026:BH1026,1,MATCH(2,1/(AW1026:BH1026&lt;&gt;""))),"")</f>
        <v>0</v>
      </c>
      <c r="BJ1026" s="68" cm="1">
        <f t="array" ref="BJ1026">IF(BM1026 = "", "",IFERROR(INDEX(AW1026:BH1026,1,MATCH(2,1/(AW1026:BH1026&lt;&gt;""),1)-1),""))</f>
        <v>0</v>
      </c>
      <c r="BK1026" s="57" cm="1">
        <f t="array" ref="BK1026">IFERROR(INDEX(AW1026:BH1026,1,MATCH(2,1/(AW1026:BH1026&lt;&gt;""),1)),"")</f>
        <v>0</v>
      </c>
      <c r="BL1026" s="57" cm="1">
        <f t="array" ref="BL1026">IF(BM1026 = "", "",IFERROR(INDEX(AW1026:BH1026,1,MATCH(2,1/(AW1026:BH1026&lt;&gt;""),1)-1),""))</f>
        <v>0</v>
      </c>
      <c r="BM1026" s="55" cm="1">
        <f t="array" ref="BM1026">IFERROR(
   INDEX($AW$1:$BH$1,
      _xlfn.AGGREGATE(14, 6, COLUMN($AW$1:$BH$1)/(AW1026:BH1026&lt;&gt;""), 2) - COLUMN($AW$1) + 1
   ),
"")</f>
        <v>46054</v>
      </c>
      <c r="BN1026" s="55" cm="1">
        <f t="array" ref="BN1026">IFERROR(INDEX($AW$1:$BH$1,1,MATCH(2,1/(AW1026:BH1026&lt;&gt;""))),"")</f>
        <v>46082</v>
      </c>
      <c r="BO1026" s="53">
        <f ca="1">IFERROR(_xlfn.XLOOKUP(F1026,Apuração!A:A,Apuração!C:C)/_xlfn.XLOOKUP(F1026,Apuração!A:A,Apuração!B:B),0)</f>
        <v>0</v>
      </c>
      <c r="BP1026" s="53">
        <f ca="1">IFERROR(_xlfn.XLOOKUP(F1026,Apuração!A:A,Apuração!D:D)/_xlfn.XLOOKUP(F1026,Apuração!A:A,Apuração!B:B),0)</f>
        <v>0</v>
      </c>
      <c r="BQ1026" s="53">
        <f ca="1">IF(BK1026&gt;=BO1026,0,_xlfn.XLOOKUP(F1026,Apuração!A:A,Apuração!B:B)*(BO1026 + (1/_xlfn.XLOOKUP(F1026,Apuração!A:A,Apuração!B:B)) - BK1026))</f>
        <v>0</v>
      </c>
      <c r="BR1026" s="85">
        <f t="shared" ca="1" si="1215"/>
        <v>0</v>
      </c>
      <c r="BS1026" s="53">
        <f ca="1">IFERROR((_xlfn.XLOOKUP(F1026,Apuração!A:A,Apuração!C:C)+1)/_xlfn.XLOOKUP(F1026,Apuração!A:A,Apuração!B:B),0)</f>
        <v>0.14285714285714285</v>
      </c>
    </row>
    <row r="1027" spans="1:71" ht="25.95" hidden="1" customHeight="1" x14ac:dyDescent="0.3">
      <c r="A1027" s="35" t="s">
        <v>44</v>
      </c>
      <c r="B1027" s="10" t="s">
        <v>44</v>
      </c>
      <c r="C1027" s="5" t="s">
        <v>97</v>
      </c>
      <c r="D1027" s="5" t="s">
        <v>100</v>
      </c>
      <c r="E1027" s="4" t="str" cm="1">
        <f t="array" ref="E1027">_xlfn.IFS(
F1027 = "A partir de Abril", "Aguardando Execução na Distribuidora",
A1027 = "CAPACITAÇÃO", "Em execução no Corporativo",
TRUE, "Em Execução na Distribuidora"
)</f>
        <v>Em Execução na Distribuidora</v>
      </c>
      <c r="F1027" s="4" t="str" cm="1">
        <f t="array" ref="F1027">_xlfn.IFS(
AG1027 &lt;&gt; "", "Jan-Dez/26",
AH1027 &lt;&gt; "", "Fev-Dez/26",
AI1027 &lt;&gt; "", "Mar-Dez/26", AJ1027 &lt;&gt; "", "Abr-Dez/26",
TRUE, "A partir de Junho"
)</f>
        <v>A partir de Junho</v>
      </c>
      <c r="G1027" s="10" t="s">
        <v>44</v>
      </c>
      <c r="H1027" s="36" t="s">
        <v>44</v>
      </c>
      <c r="I1027" s="37"/>
      <c r="J1027" s="37"/>
      <c r="K1027" s="37"/>
      <c r="L1027" s="37" t="s">
        <v>200</v>
      </c>
      <c r="M1027" s="37"/>
      <c r="N1027" s="5" t="s">
        <v>42</v>
      </c>
      <c r="O1027" s="5" t="s">
        <v>52</v>
      </c>
      <c r="P1027" s="10" t="s">
        <v>44</v>
      </c>
      <c r="Q1027" s="10" t="s">
        <v>44</v>
      </c>
      <c r="R1027" s="11" t="s">
        <v>44</v>
      </c>
      <c r="S1027" s="11" t="s">
        <v>44</v>
      </c>
      <c r="T1027" s="22"/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  <c r="AE1027" s="22"/>
      <c r="AG1027" s="112"/>
      <c r="AH1027" s="112"/>
      <c r="AI1027" s="112"/>
      <c r="AJ1027" s="71"/>
      <c r="AK1027" s="71"/>
      <c r="AL1027" s="71"/>
      <c r="AM1027" s="71"/>
      <c r="AN1027" s="71"/>
      <c r="AO1027" s="71"/>
      <c r="AP1027" s="71"/>
      <c r="AQ1027" s="71"/>
      <c r="AR1027" s="71"/>
      <c r="AS1027" s="94"/>
      <c r="AT1027" s="95"/>
      <c r="AU1027" s="97"/>
      <c r="AW1027" s="84">
        <f t="shared" si="1212"/>
        <v>0</v>
      </c>
      <c r="AX1027" s="84">
        <f t="shared" si="1213"/>
        <v>0</v>
      </c>
      <c r="AY1027" s="84">
        <f t="shared" si="1214"/>
        <v>0</v>
      </c>
      <c r="AZ1027" s="84"/>
      <c r="BA1027" s="84"/>
      <c r="BB1027" s="84"/>
      <c r="BC1027" s="84"/>
      <c r="BD1027" s="84"/>
      <c r="BE1027" s="84"/>
      <c r="BF1027" s="84"/>
      <c r="BG1027" s="84"/>
      <c r="BH1027" s="84"/>
      <c r="BI1027" s="68" cm="1">
        <f t="array" ref="BI1027">IFERROR(INDEX(AW1027:BH1027,1,MATCH(2,1/(AW1027:BH1027&lt;&gt;""))),"")</f>
        <v>0</v>
      </c>
      <c r="BJ1027" s="68" cm="1">
        <f t="array" ref="BJ1027">IF(BM1027 = "", "",IFERROR(INDEX(AW1027:BH1027,1,MATCH(2,1/(AW1027:BH1027&lt;&gt;""),1)-1),""))</f>
        <v>0</v>
      </c>
      <c r="BK1027" s="57" cm="1">
        <f t="array" ref="BK1027">IFERROR(INDEX(AW1027:BH1027,1,MATCH(2,1/(AW1027:BH1027&lt;&gt;""),1)),"")</f>
        <v>0</v>
      </c>
      <c r="BL1027" s="57" cm="1">
        <f t="array" ref="BL1027">IF(BM1027 = "", "",IFERROR(INDEX(AW1027:BH1027,1,MATCH(2,1/(AW1027:BH1027&lt;&gt;""),1)-1),""))</f>
        <v>0</v>
      </c>
      <c r="BM1027" s="55" cm="1">
        <f t="array" ref="BM1027">IFERROR(
   INDEX($AW$1:$BH$1,
      _xlfn.AGGREGATE(14, 6, COLUMN($AW$1:$BH$1)/(AW1027:BH1027&lt;&gt;""), 2) - COLUMN($AW$1) + 1
   ),
"")</f>
        <v>46054</v>
      </c>
      <c r="BN1027" s="55" cm="1">
        <f t="array" ref="BN1027">IFERROR(INDEX($AW$1:$BH$1,1,MATCH(2,1/(AW1027:BH1027&lt;&gt;""))),"")</f>
        <v>46082</v>
      </c>
      <c r="BO1027" s="53">
        <f ca="1">IFERROR(_xlfn.XLOOKUP(F1027,Apuração!A:A,Apuração!C:C)/_xlfn.XLOOKUP(F1027,Apuração!A:A,Apuração!B:B),0)</f>
        <v>0</v>
      </c>
      <c r="BP1027" s="53">
        <f ca="1">IFERROR(_xlfn.XLOOKUP(F1027,Apuração!A:A,Apuração!D:D)/_xlfn.XLOOKUP(F1027,Apuração!A:A,Apuração!B:B),0)</f>
        <v>0</v>
      </c>
      <c r="BQ1027" s="53">
        <f ca="1">IF(BK1027&gt;=BO1027,0,_xlfn.XLOOKUP(F1027,Apuração!A:A,Apuração!B:B)*(BO1027 + (1/_xlfn.XLOOKUP(F1027,Apuração!A:A,Apuração!B:B)) - BK1027))</f>
        <v>0</v>
      </c>
      <c r="BR1027" s="85">
        <f t="shared" ca="1" si="1215"/>
        <v>0</v>
      </c>
      <c r="BS1027" s="53">
        <f ca="1">IFERROR((_xlfn.XLOOKUP(F1027,Apuração!A:A,Apuração!C:C)+1)/_xlfn.XLOOKUP(F1027,Apuração!A:A,Apuração!B:B),0)</f>
        <v>0.14285714285714285</v>
      </c>
    </row>
    <row r="1028" spans="1:71" ht="25.95" hidden="1" customHeight="1" x14ac:dyDescent="0.3">
      <c r="A1028" s="35" t="s">
        <v>44</v>
      </c>
      <c r="B1028" s="10" t="s">
        <v>44</v>
      </c>
      <c r="C1028" s="5" t="s">
        <v>97</v>
      </c>
      <c r="D1028" s="5" t="s">
        <v>101</v>
      </c>
      <c r="E1028" s="4" t="str" cm="1">
        <f t="array" ref="E1028">_xlfn.IFS(
F1028 = "A partir de Abril", "Aguardando Execução na Distribuidora",
A1028 = "CAPACITAÇÃO", "Em execução no Corporativo",
TRUE, "Em Execução na Distribuidora"
)</f>
        <v>Em Execução na Distribuidora</v>
      </c>
      <c r="F1028" s="4" t="str" cm="1">
        <f t="array" ref="F1028">_xlfn.IFS(
AG1028 &lt;&gt; "", "Jan-Dez/26",
AH1028 &lt;&gt; "", "Fev-Dez/26",
AI1028 &lt;&gt; "", "Mar-Dez/26", AJ1028 &lt;&gt; "", "Abr-Dez/26",
TRUE, "A partir de Junho"
)</f>
        <v>A partir de Junho</v>
      </c>
      <c r="G1028" s="10" t="s">
        <v>44</v>
      </c>
      <c r="H1028" s="36" t="s">
        <v>44</v>
      </c>
      <c r="I1028" s="37"/>
      <c r="J1028" s="37"/>
      <c r="K1028" s="37"/>
      <c r="L1028" s="37" t="s">
        <v>200</v>
      </c>
      <c r="M1028" s="37"/>
      <c r="N1028" s="5" t="s">
        <v>42</v>
      </c>
      <c r="O1028" s="5" t="s">
        <v>52</v>
      </c>
      <c r="P1028" s="10" t="s">
        <v>44</v>
      </c>
      <c r="Q1028" s="10" t="s">
        <v>44</v>
      </c>
      <c r="R1028" s="11" t="s">
        <v>44</v>
      </c>
      <c r="S1028" s="11" t="s">
        <v>44</v>
      </c>
      <c r="T1028" s="22"/>
      <c r="U1028" s="22"/>
      <c r="V1028" s="22"/>
      <c r="W1028" s="22"/>
      <c r="X1028" s="22"/>
      <c r="Y1028" s="22"/>
      <c r="Z1028" s="22"/>
      <c r="AA1028" s="22"/>
      <c r="AB1028" s="22"/>
      <c r="AC1028" s="22"/>
      <c r="AD1028" s="22"/>
      <c r="AE1028" s="22"/>
      <c r="AG1028" s="112"/>
      <c r="AH1028" s="112"/>
      <c r="AI1028" s="112"/>
      <c r="AJ1028" s="71"/>
      <c r="AK1028" s="71"/>
      <c r="AL1028" s="71"/>
      <c r="AM1028" s="71"/>
      <c r="AN1028" s="71"/>
      <c r="AO1028" s="71"/>
      <c r="AP1028" s="71"/>
      <c r="AQ1028" s="71"/>
      <c r="AR1028" s="71"/>
      <c r="AS1028" s="94"/>
      <c r="AT1028" s="95"/>
      <c r="AU1028" s="97"/>
      <c r="AW1028" s="84">
        <f t="shared" si="1212"/>
        <v>0</v>
      </c>
      <c r="AX1028" s="84">
        <f t="shared" si="1213"/>
        <v>0</v>
      </c>
      <c r="AY1028" s="84">
        <f t="shared" si="1214"/>
        <v>0</v>
      </c>
      <c r="AZ1028" s="84"/>
      <c r="BA1028" s="84"/>
      <c r="BB1028" s="84"/>
      <c r="BC1028" s="84"/>
      <c r="BD1028" s="84"/>
      <c r="BE1028" s="84"/>
      <c r="BF1028" s="84"/>
      <c r="BG1028" s="84"/>
      <c r="BH1028" s="84"/>
      <c r="BI1028" s="68" cm="1">
        <f t="array" ref="BI1028">IFERROR(INDEX(AW1028:BH1028,1,MATCH(2,1/(AW1028:BH1028&lt;&gt;""))),"")</f>
        <v>0</v>
      </c>
      <c r="BJ1028" s="68" cm="1">
        <f t="array" ref="BJ1028">IF(BM1028 = "", "",IFERROR(INDEX(AW1028:BH1028,1,MATCH(2,1/(AW1028:BH1028&lt;&gt;""),1)-1),""))</f>
        <v>0</v>
      </c>
      <c r="BK1028" s="57" cm="1">
        <f t="array" ref="BK1028">IFERROR(INDEX(AW1028:BH1028,1,MATCH(2,1/(AW1028:BH1028&lt;&gt;""),1)),"")</f>
        <v>0</v>
      </c>
      <c r="BL1028" s="57" cm="1">
        <f t="array" ref="BL1028">IF(BM1028 = "", "",IFERROR(INDEX(AW1028:BH1028,1,MATCH(2,1/(AW1028:BH1028&lt;&gt;""),1)-1),""))</f>
        <v>0</v>
      </c>
      <c r="BM1028" s="55" cm="1">
        <f t="array" ref="BM1028">IFERROR(
   INDEX($AW$1:$BH$1,
      _xlfn.AGGREGATE(14, 6, COLUMN($AW$1:$BH$1)/(AW1028:BH1028&lt;&gt;""), 2) - COLUMN($AW$1) + 1
   ),
"")</f>
        <v>46054</v>
      </c>
      <c r="BN1028" s="55" cm="1">
        <f t="array" ref="BN1028">IFERROR(INDEX($AW$1:$BH$1,1,MATCH(2,1/(AW1028:BH1028&lt;&gt;""))),"")</f>
        <v>46082</v>
      </c>
      <c r="BO1028" s="53">
        <f ca="1">IFERROR(_xlfn.XLOOKUP(F1028,Apuração!A:A,Apuração!C:C)/_xlfn.XLOOKUP(F1028,Apuração!A:A,Apuração!B:B),0)</f>
        <v>0</v>
      </c>
      <c r="BP1028" s="53">
        <f ca="1">IFERROR(_xlfn.XLOOKUP(F1028,Apuração!A:A,Apuração!D:D)/_xlfn.XLOOKUP(F1028,Apuração!A:A,Apuração!B:B),0)</f>
        <v>0</v>
      </c>
      <c r="BQ1028" s="53">
        <f ca="1">IF(BK1028&gt;=BO1028,0,_xlfn.XLOOKUP(F1028,Apuração!A:A,Apuração!B:B)*(BO1028 + (1/_xlfn.XLOOKUP(F1028,Apuração!A:A,Apuração!B:B)) - BK1028))</f>
        <v>0</v>
      </c>
      <c r="BR1028" s="85">
        <f t="shared" ca="1" si="1215"/>
        <v>0</v>
      </c>
      <c r="BS1028" s="53">
        <f ca="1">IFERROR((_xlfn.XLOOKUP(F1028,Apuração!A:A,Apuração!C:C)+1)/_xlfn.XLOOKUP(F1028,Apuração!A:A,Apuração!B:B),0)</f>
        <v>0.14285714285714285</v>
      </c>
    </row>
    <row r="1029" spans="1:71" ht="25.95" hidden="1" customHeight="1" x14ac:dyDescent="0.3">
      <c r="A1029" s="35" t="s">
        <v>44</v>
      </c>
      <c r="B1029" s="10" t="s">
        <v>44</v>
      </c>
      <c r="C1029" s="5" t="s">
        <v>97</v>
      </c>
      <c r="D1029" s="5" t="s">
        <v>102</v>
      </c>
      <c r="E1029" s="4" t="str" cm="1">
        <f t="array" ref="E1029">_xlfn.IFS(
F1029 = "A partir de Abril", "Aguardando Execução na Distribuidora",
A1029 = "CAPACITAÇÃO", "Em execução no Corporativo",
TRUE, "Em Execução na Distribuidora"
)</f>
        <v>Em Execução na Distribuidora</v>
      </c>
      <c r="F1029" s="4" t="str" cm="1">
        <f t="array" ref="F1029">_xlfn.IFS(
AG1029 &lt;&gt; "", "Jan-Dez/26",
AH1029 &lt;&gt; "", "Fev-Dez/26",
AI1029 &lt;&gt; "", "Mar-Dez/26", AJ1029 &lt;&gt; "", "Abr-Dez/26",
TRUE, "A partir de Junho"
)</f>
        <v>A partir de Junho</v>
      </c>
      <c r="G1029" s="10" t="s">
        <v>44</v>
      </c>
      <c r="H1029" s="36" t="s">
        <v>44</v>
      </c>
      <c r="I1029" s="37"/>
      <c r="J1029" s="37"/>
      <c r="K1029" s="37"/>
      <c r="L1029" s="37" t="s">
        <v>200</v>
      </c>
      <c r="M1029" s="37"/>
      <c r="N1029" s="5" t="s">
        <v>42</v>
      </c>
      <c r="O1029" s="5" t="s">
        <v>52</v>
      </c>
      <c r="P1029" s="10" t="s">
        <v>44</v>
      </c>
      <c r="Q1029" s="10" t="s">
        <v>44</v>
      </c>
      <c r="R1029" s="11" t="s">
        <v>44</v>
      </c>
      <c r="S1029" s="11" t="s">
        <v>44</v>
      </c>
      <c r="T1029" s="22"/>
      <c r="U1029" s="22"/>
      <c r="V1029" s="22"/>
      <c r="W1029" s="22"/>
      <c r="X1029" s="22"/>
      <c r="Y1029" s="22"/>
      <c r="Z1029" s="22"/>
      <c r="AA1029" s="22"/>
      <c r="AB1029" s="22"/>
      <c r="AC1029" s="22"/>
      <c r="AD1029" s="22"/>
      <c r="AE1029" s="22"/>
      <c r="AG1029" s="112"/>
      <c r="AH1029" s="112"/>
      <c r="AI1029" s="112"/>
      <c r="AJ1029" s="71"/>
      <c r="AK1029" s="71"/>
      <c r="AL1029" s="71"/>
      <c r="AM1029" s="71"/>
      <c r="AN1029" s="71"/>
      <c r="AO1029" s="71"/>
      <c r="AP1029" s="71"/>
      <c r="AQ1029" s="71"/>
      <c r="AR1029" s="71"/>
      <c r="AS1029" s="94"/>
      <c r="AT1029" s="95"/>
      <c r="AU1029" s="97"/>
      <c r="AW1029" s="84">
        <f t="shared" si="1212"/>
        <v>0</v>
      </c>
      <c r="AX1029" s="84">
        <f t="shared" si="1213"/>
        <v>0</v>
      </c>
      <c r="AY1029" s="84">
        <f t="shared" si="1214"/>
        <v>0</v>
      </c>
      <c r="AZ1029" s="84"/>
      <c r="BA1029" s="84"/>
      <c r="BB1029" s="84"/>
      <c r="BC1029" s="84"/>
      <c r="BD1029" s="84"/>
      <c r="BE1029" s="84"/>
      <c r="BF1029" s="84"/>
      <c r="BG1029" s="84"/>
      <c r="BH1029" s="84"/>
      <c r="BI1029" s="68" cm="1">
        <f t="array" ref="BI1029">IFERROR(INDEX(AW1029:BH1029,1,MATCH(2,1/(AW1029:BH1029&lt;&gt;""))),"")</f>
        <v>0</v>
      </c>
      <c r="BJ1029" s="68" cm="1">
        <f t="array" ref="BJ1029">IF(BM1029 = "", "",IFERROR(INDEX(AW1029:BH1029,1,MATCH(2,1/(AW1029:BH1029&lt;&gt;""),1)-1),""))</f>
        <v>0</v>
      </c>
      <c r="BK1029" s="57" cm="1">
        <f t="array" ref="BK1029">IFERROR(INDEX(AW1029:BH1029,1,MATCH(2,1/(AW1029:BH1029&lt;&gt;""),1)),"")</f>
        <v>0</v>
      </c>
      <c r="BL1029" s="57" cm="1">
        <f t="array" ref="BL1029">IF(BM1029 = "", "",IFERROR(INDEX(AW1029:BH1029,1,MATCH(2,1/(AW1029:BH1029&lt;&gt;""),1)-1),""))</f>
        <v>0</v>
      </c>
      <c r="BM1029" s="55" cm="1">
        <f t="array" ref="BM1029">IFERROR(
   INDEX($AW$1:$BH$1,
      _xlfn.AGGREGATE(14, 6, COLUMN($AW$1:$BH$1)/(AW1029:BH1029&lt;&gt;""), 2) - COLUMN($AW$1) + 1
   ),
"")</f>
        <v>46054</v>
      </c>
      <c r="BN1029" s="55" cm="1">
        <f t="array" ref="BN1029">IFERROR(INDEX($AW$1:$BH$1,1,MATCH(2,1/(AW1029:BH1029&lt;&gt;""))),"")</f>
        <v>46082</v>
      </c>
      <c r="BO1029" s="53">
        <f ca="1">IFERROR(_xlfn.XLOOKUP(F1029,Apuração!A:A,Apuração!C:C)/_xlfn.XLOOKUP(F1029,Apuração!A:A,Apuração!B:B),0)</f>
        <v>0</v>
      </c>
      <c r="BP1029" s="53">
        <f ca="1">IFERROR(_xlfn.XLOOKUP(F1029,Apuração!A:A,Apuração!D:D)/_xlfn.XLOOKUP(F1029,Apuração!A:A,Apuração!B:B),0)</f>
        <v>0</v>
      </c>
      <c r="BQ1029" s="53">
        <f ca="1">IF(BK1029&gt;=BO1029,0,_xlfn.XLOOKUP(F1029,Apuração!A:A,Apuração!B:B)*(BO1029 + (1/_xlfn.XLOOKUP(F1029,Apuração!A:A,Apuração!B:B)) - BK1029))</f>
        <v>0</v>
      </c>
      <c r="BR1029" s="85">
        <f t="shared" ca="1" si="1215"/>
        <v>0</v>
      </c>
      <c r="BS1029" s="53">
        <f ca="1">IFERROR((_xlfn.XLOOKUP(F1029,Apuração!A:A,Apuração!C:C)+1)/_xlfn.XLOOKUP(F1029,Apuração!A:A,Apuração!B:B),0)</f>
        <v>0.14285714285714285</v>
      </c>
    </row>
    <row r="1030" spans="1:71" ht="25.95" hidden="1" customHeight="1" x14ac:dyDescent="0.3">
      <c r="A1030" s="35" t="s">
        <v>44</v>
      </c>
      <c r="B1030" s="10" t="s">
        <v>44</v>
      </c>
      <c r="C1030" s="5" t="s">
        <v>97</v>
      </c>
      <c r="D1030" s="5" t="s">
        <v>103</v>
      </c>
      <c r="E1030" s="4" t="str" cm="1">
        <f t="array" ref="E1030">_xlfn.IFS(
F1030 = "A partir de Abril", "Aguardando Execução na Distribuidora",
A1030 = "CAPACITAÇÃO", "Em execução no Corporativo",
TRUE, "Em Execução na Distribuidora"
)</f>
        <v>Em Execução na Distribuidora</v>
      </c>
      <c r="F1030" s="4" t="str" cm="1">
        <f t="array" ref="F1030">_xlfn.IFS(
AG1030 &lt;&gt; "", "Jan-Dez/26",
AH1030 &lt;&gt; "", "Fev-Dez/26",
AI1030 &lt;&gt; "", "Mar-Dez/26", AJ1030 &lt;&gt; "", "Abr-Dez/26",
TRUE, "A partir de Junho"
)</f>
        <v>A partir de Junho</v>
      </c>
      <c r="G1030" s="10" t="s">
        <v>44</v>
      </c>
      <c r="H1030" s="36" t="s">
        <v>44</v>
      </c>
      <c r="I1030" s="37"/>
      <c r="J1030" s="37"/>
      <c r="K1030" s="37"/>
      <c r="L1030" s="37" t="s">
        <v>200</v>
      </c>
      <c r="M1030" s="37"/>
      <c r="N1030" s="5" t="s">
        <v>42</v>
      </c>
      <c r="O1030" s="5" t="s">
        <v>52</v>
      </c>
      <c r="P1030" s="10" t="s">
        <v>44</v>
      </c>
      <c r="Q1030" s="10" t="s">
        <v>44</v>
      </c>
      <c r="R1030" s="11" t="s">
        <v>44</v>
      </c>
      <c r="S1030" s="11" t="s">
        <v>44</v>
      </c>
      <c r="T1030" s="22"/>
      <c r="U1030" s="22"/>
      <c r="V1030" s="22"/>
      <c r="W1030" s="22"/>
      <c r="X1030" s="22"/>
      <c r="Y1030" s="22"/>
      <c r="Z1030" s="22"/>
      <c r="AA1030" s="22"/>
      <c r="AB1030" s="22"/>
      <c r="AC1030" s="22"/>
      <c r="AD1030" s="22"/>
      <c r="AE1030" s="22"/>
      <c r="AG1030" s="112"/>
      <c r="AH1030" s="112"/>
      <c r="AI1030" s="112"/>
      <c r="AJ1030" s="71"/>
      <c r="AK1030" s="71"/>
      <c r="AL1030" s="71"/>
      <c r="AM1030" s="71"/>
      <c r="AN1030" s="71"/>
      <c r="AO1030" s="71"/>
      <c r="AP1030" s="71"/>
      <c r="AQ1030" s="71"/>
      <c r="AR1030" s="71"/>
      <c r="AS1030" s="94"/>
      <c r="AT1030" s="95"/>
      <c r="AU1030" s="97"/>
      <c r="AW1030" s="84">
        <f t="shared" si="1212"/>
        <v>0</v>
      </c>
      <c r="AX1030" s="84">
        <f t="shared" si="1213"/>
        <v>0</v>
      </c>
      <c r="AY1030" s="84">
        <f t="shared" si="1214"/>
        <v>0</v>
      </c>
      <c r="AZ1030" s="84"/>
      <c r="BA1030" s="84"/>
      <c r="BB1030" s="84"/>
      <c r="BC1030" s="84"/>
      <c r="BD1030" s="84"/>
      <c r="BE1030" s="84"/>
      <c r="BF1030" s="84"/>
      <c r="BG1030" s="84"/>
      <c r="BH1030" s="84"/>
      <c r="BI1030" s="68" cm="1">
        <f t="array" ref="BI1030">IFERROR(INDEX(AW1030:BH1030,1,MATCH(2,1/(AW1030:BH1030&lt;&gt;""))),"")</f>
        <v>0</v>
      </c>
      <c r="BJ1030" s="68" cm="1">
        <f t="array" ref="BJ1030">IF(BM1030 = "", "",IFERROR(INDEX(AW1030:BH1030,1,MATCH(2,1/(AW1030:BH1030&lt;&gt;""),1)-1),""))</f>
        <v>0</v>
      </c>
      <c r="BK1030" s="57" cm="1">
        <f t="array" ref="BK1030">IFERROR(INDEX(AW1030:BH1030,1,MATCH(2,1/(AW1030:BH1030&lt;&gt;""),1)),"")</f>
        <v>0</v>
      </c>
      <c r="BL1030" s="57" cm="1">
        <f t="array" ref="BL1030">IF(BM1030 = "", "",IFERROR(INDEX(AW1030:BH1030,1,MATCH(2,1/(AW1030:BH1030&lt;&gt;""),1)-1),""))</f>
        <v>0</v>
      </c>
      <c r="BM1030" s="55" cm="1">
        <f t="array" ref="BM1030">IFERROR(
   INDEX($AW$1:$BH$1,
      _xlfn.AGGREGATE(14, 6, COLUMN($AW$1:$BH$1)/(AW1030:BH1030&lt;&gt;""), 2) - COLUMN($AW$1) + 1
   ),
"")</f>
        <v>46054</v>
      </c>
      <c r="BN1030" s="55" cm="1">
        <f t="array" ref="BN1030">IFERROR(INDEX($AW$1:$BH$1,1,MATCH(2,1/(AW1030:BH1030&lt;&gt;""))),"")</f>
        <v>46082</v>
      </c>
      <c r="BO1030" s="53">
        <f ca="1">IFERROR(_xlfn.XLOOKUP(F1030,Apuração!A:A,Apuração!C:C)/_xlfn.XLOOKUP(F1030,Apuração!A:A,Apuração!B:B),0)</f>
        <v>0</v>
      </c>
      <c r="BP1030" s="53">
        <f ca="1">IFERROR(_xlfn.XLOOKUP(F1030,Apuração!A:A,Apuração!D:D)/_xlfn.XLOOKUP(F1030,Apuração!A:A,Apuração!B:B),0)</f>
        <v>0</v>
      </c>
      <c r="BQ1030" s="53">
        <f ca="1">IF(BK1030&gt;=BO1030,0,_xlfn.XLOOKUP(F1030,Apuração!A:A,Apuração!B:B)*(BO1030 + (1/_xlfn.XLOOKUP(F1030,Apuração!A:A,Apuração!B:B)) - BK1030))</f>
        <v>0</v>
      </c>
      <c r="BR1030" s="85">
        <f t="shared" ca="1" si="1215"/>
        <v>0</v>
      </c>
      <c r="BS1030" s="53">
        <f ca="1">IFERROR((_xlfn.XLOOKUP(F1030,Apuração!A:A,Apuração!C:C)+1)/_xlfn.XLOOKUP(F1030,Apuração!A:A,Apuração!B:B),0)</f>
        <v>0.14285714285714285</v>
      </c>
    </row>
    <row r="1031" spans="1:71" ht="25.95" hidden="1" customHeight="1" x14ac:dyDescent="0.3">
      <c r="A1031" s="35" t="s">
        <v>44</v>
      </c>
      <c r="B1031" s="10" t="s">
        <v>44</v>
      </c>
      <c r="C1031" s="5" t="s">
        <v>97</v>
      </c>
      <c r="D1031" s="5" t="s">
        <v>104</v>
      </c>
      <c r="E1031" s="4" t="str" cm="1">
        <f t="array" ref="E1031">_xlfn.IFS(
F1031 = "A partir de Abril", "Aguardando Execução na Distribuidora",
A1031 = "CAPACITAÇÃO", "Em execução no Corporativo",
TRUE, "Em Execução na Distribuidora"
)</f>
        <v>Em Execução na Distribuidora</v>
      </c>
      <c r="F1031" s="4" t="str" cm="1">
        <f t="array" ref="F1031">_xlfn.IFS(
AG1031 &lt;&gt; "", "Jan-Dez/26",
AH1031 &lt;&gt; "", "Fev-Dez/26",
AI1031 &lt;&gt; "", "Mar-Dez/26", AJ1031 &lt;&gt; "", "Abr-Dez/26",
TRUE, "A partir de Junho"
)</f>
        <v>A partir de Junho</v>
      </c>
      <c r="G1031" s="10" t="s">
        <v>44</v>
      </c>
      <c r="H1031" s="36" t="s">
        <v>44</v>
      </c>
      <c r="I1031" s="37"/>
      <c r="J1031" s="37"/>
      <c r="K1031" s="37"/>
      <c r="L1031" s="37" t="s">
        <v>200</v>
      </c>
      <c r="M1031" s="37"/>
      <c r="N1031" s="5" t="s">
        <v>42</v>
      </c>
      <c r="O1031" s="5" t="s">
        <v>52</v>
      </c>
      <c r="P1031" s="10" t="s">
        <v>44</v>
      </c>
      <c r="Q1031" s="10" t="s">
        <v>44</v>
      </c>
      <c r="R1031" s="11" t="s">
        <v>44</v>
      </c>
      <c r="S1031" s="11" t="s">
        <v>44</v>
      </c>
      <c r="T1031" s="22"/>
      <c r="U1031" s="22"/>
      <c r="V1031" s="22"/>
      <c r="W1031" s="22"/>
      <c r="X1031" s="22"/>
      <c r="Y1031" s="22"/>
      <c r="Z1031" s="22"/>
      <c r="AA1031" s="22"/>
      <c r="AB1031" s="22"/>
      <c r="AC1031" s="22"/>
      <c r="AD1031" s="22"/>
      <c r="AE1031" s="22"/>
      <c r="AG1031" s="112"/>
      <c r="AH1031" s="112"/>
      <c r="AI1031" s="112"/>
      <c r="AJ1031" s="71"/>
      <c r="AK1031" s="71"/>
      <c r="AL1031" s="71"/>
      <c r="AM1031" s="71"/>
      <c r="AN1031" s="71"/>
      <c r="AO1031" s="71"/>
      <c r="AP1031" s="71"/>
      <c r="AQ1031" s="71"/>
      <c r="AR1031" s="71"/>
      <c r="AS1031" s="94"/>
      <c r="AT1031" s="95"/>
      <c r="AU1031" s="97"/>
      <c r="AW1031" s="84">
        <f t="shared" si="1212"/>
        <v>0</v>
      </c>
      <c r="AX1031" s="84">
        <f t="shared" si="1213"/>
        <v>0</v>
      </c>
      <c r="AY1031" s="84">
        <f t="shared" si="1214"/>
        <v>0</v>
      </c>
      <c r="AZ1031" s="84"/>
      <c r="BA1031" s="84"/>
      <c r="BB1031" s="84"/>
      <c r="BC1031" s="84"/>
      <c r="BD1031" s="84"/>
      <c r="BE1031" s="84"/>
      <c r="BF1031" s="84"/>
      <c r="BG1031" s="84"/>
      <c r="BH1031" s="84"/>
      <c r="BI1031" s="68" cm="1">
        <f t="array" ref="BI1031">IFERROR(INDEX(AW1031:BH1031,1,MATCH(2,1/(AW1031:BH1031&lt;&gt;""))),"")</f>
        <v>0</v>
      </c>
      <c r="BJ1031" s="68" cm="1">
        <f t="array" ref="BJ1031">IF(BM1031 = "", "",IFERROR(INDEX(AW1031:BH1031,1,MATCH(2,1/(AW1031:BH1031&lt;&gt;""),1)-1),""))</f>
        <v>0</v>
      </c>
      <c r="BK1031" s="57" cm="1">
        <f t="array" ref="BK1031">IFERROR(INDEX(AW1031:BH1031,1,MATCH(2,1/(AW1031:BH1031&lt;&gt;""),1)),"")</f>
        <v>0</v>
      </c>
      <c r="BL1031" s="57" cm="1">
        <f t="array" ref="BL1031">IF(BM1031 = "", "",IFERROR(INDEX(AW1031:BH1031,1,MATCH(2,1/(AW1031:BH1031&lt;&gt;""),1)-1),""))</f>
        <v>0</v>
      </c>
      <c r="BM1031" s="55" cm="1">
        <f t="array" ref="BM1031">IFERROR(
   INDEX($AW$1:$BH$1,
      _xlfn.AGGREGATE(14, 6, COLUMN($AW$1:$BH$1)/(AW1031:BH1031&lt;&gt;""), 2) - COLUMN($AW$1) + 1
   ),
"")</f>
        <v>46054</v>
      </c>
      <c r="BN1031" s="55" cm="1">
        <f t="array" ref="BN1031">IFERROR(INDEX($AW$1:$BH$1,1,MATCH(2,1/(AW1031:BH1031&lt;&gt;""))),"")</f>
        <v>46082</v>
      </c>
      <c r="BO1031" s="53">
        <f ca="1">IFERROR(_xlfn.XLOOKUP(F1031,Apuração!A:A,Apuração!C:C)/_xlfn.XLOOKUP(F1031,Apuração!A:A,Apuração!B:B),0)</f>
        <v>0</v>
      </c>
      <c r="BP1031" s="53">
        <f ca="1">IFERROR(_xlfn.XLOOKUP(F1031,Apuração!A:A,Apuração!D:D)/_xlfn.XLOOKUP(F1031,Apuração!A:A,Apuração!B:B),0)</f>
        <v>0</v>
      </c>
      <c r="BQ1031" s="53">
        <f ca="1">IF(BK1031&gt;=BO1031,0,_xlfn.XLOOKUP(F1031,Apuração!A:A,Apuração!B:B)*(BO1031 + (1/_xlfn.XLOOKUP(F1031,Apuração!A:A,Apuração!B:B)) - BK1031))</f>
        <v>0</v>
      </c>
      <c r="BR1031" s="85">
        <f t="shared" ca="1" si="1215"/>
        <v>0</v>
      </c>
      <c r="BS1031" s="53">
        <f ca="1">IFERROR((_xlfn.XLOOKUP(F1031,Apuração!A:A,Apuração!C:C)+1)/_xlfn.XLOOKUP(F1031,Apuração!A:A,Apuração!B:B),0)</f>
        <v>0.14285714285714285</v>
      </c>
    </row>
    <row r="1032" spans="1:71" ht="25.95" hidden="1" customHeight="1" x14ac:dyDescent="0.3">
      <c r="A1032" s="35" t="s">
        <v>44</v>
      </c>
      <c r="B1032" s="10" t="s">
        <v>44</v>
      </c>
      <c r="C1032" s="5" t="s">
        <v>97</v>
      </c>
      <c r="D1032" s="5" t="s">
        <v>105</v>
      </c>
      <c r="E1032" s="4" t="str" cm="1">
        <f t="array" ref="E1032">_xlfn.IFS(
F1032 = "A partir de Abril", "Aguardando Execução na Distribuidora",
A1032 = "CAPACITAÇÃO", "Em execução no Corporativo",
TRUE, "Em Execução na Distribuidora"
)</f>
        <v>Em Execução na Distribuidora</v>
      </c>
      <c r="F1032" s="4" t="str" cm="1">
        <f t="array" ref="F1032">_xlfn.IFS(
AG1032 &lt;&gt; "", "Jan-Dez/26",
AH1032 &lt;&gt; "", "Fev-Dez/26",
AI1032 &lt;&gt; "", "Mar-Dez/26", AJ1032 &lt;&gt; "", "Abr-Dez/26",
TRUE, "A partir de Junho"
)</f>
        <v>A partir de Junho</v>
      </c>
      <c r="G1032" s="10" t="s">
        <v>44</v>
      </c>
      <c r="H1032" s="36" t="s">
        <v>44</v>
      </c>
      <c r="I1032" s="37"/>
      <c r="J1032" s="37"/>
      <c r="K1032" s="37"/>
      <c r="L1032" s="37" t="s">
        <v>200</v>
      </c>
      <c r="M1032" s="37"/>
      <c r="N1032" s="5" t="s">
        <v>42</v>
      </c>
      <c r="O1032" s="5" t="s">
        <v>52</v>
      </c>
      <c r="P1032" s="10" t="s">
        <v>44</v>
      </c>
      <c r="Q1032" s="10" t="s">
        <v>44</v>
      </c>
      <c r="R1032" s="11" t="s">
        <v>44</v>
      </c>
      <c r="S1032" s="11" t="s">
        <v>44</v>
      </c>
      <c r="T1032" s="22"/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  <c r="AE1032" s="22"/>
      <c r="AG1032" s="112"/>
      <c r="AH1032" s="112"/>
      <c r="AI1032" s="112"/>
      <c r="AJ1032" s="71"/>
      <c r="AK1032" s="71"/>
      <c r="AL1032" s="71"/>
      <c r="AM1032" s="71"/>
      <c r="AN1032" s="71"/>
      <c r="AO1032" s="71"/>
      <c r="AP1032" s="71"/>
      <c r="AQ1032" s="71"/>
      <c r="AR1032" s="71"/>
      <c r="AS1032" s="94"/>
      <c r="AT1032" s="95"/>
      <c r="AU1032" s="97"/>
      <c r="AW1032" s="84">
        <f t="shared" si="1212"/>
        <v>0</v>
      </c>
      <c r="AX1032" s="84">
        <f t="shared" si="1213"/>
        <v>0</v>
      </c>
      <c r="AY1032" s="84">
        <f t="shared" si="1214"/>
        <v>0</v>
      </c>
      <c r="AZ1032" s="84"/>
      <c r="BA1032" s="84"/>
      <c r="BB1032" s="84"/>
      <c r="BC1032" s="84"/>
      <c r="BD1032" s="84"/>
      <c r="BE1032" s="84"/>
      <c r="BF1032" s="84"/>
      <c r="BG1032" s="84"/>
      <c r="BH1032" s="84"/>
      <c r="BI1032" s="68" cm="1">
        <f t="array" ref="BI1032">IFERROR(INDEX(AW1032:BH1032,1,MATCH(2,1/(AW1032:BH1032&lt;&gt;""))),"")</f>
        <v>0</v>
      </c>
      <c r="BJ1032" s="68" cm="1">
        <f t="array" ref="BJ1032">IF(BM1032 = "", "",IFERROR(INDEX(AW1032:BH1032,1,MATCH(2,1/(AW1032:BH1032&lt;&gt;""),1)-1),""))</f>
        <v>0</v>
      </c>
      <c r="BK1032" s="57" cm="1">
        <f t="array" ref="BK1032">IFERROR(INDEX(AW1032:BH1032,1,MATCH(2,1/(AW1032:BH1032&lt;&gt;""),1)),"")</f>
        <v>0</v>
      </c>
      <c r="BL1032" s="57" cm="1">
        <f t="array" ref="BL1032">IF(BM1032 = "", "",IFERROR(INDEX(AW1032:BH1032,1,MATCH(2,1/(AW1032:BH1032&lt;&gt;""),1)-1),""))</f>
        <v>0</v>
      </c>
      <c r="BM1032" s="55" cm="1">
        <f t="array" ref="BM1032">IFERROR(
   INDEX($AW$1:$BH$1,
      _xlfn.AGGREGATE(14, 6, COLUMN($AW$1:$BH$1)/(AW1032:BH1032&lt;&gt;""), 2) - COLUMN($AW$1) + 1
   ),
"")</f>
        <v>46054</v>
      </c>
      <c r="BN1032" s="55" cm="1">
        <f t="array" ref="BN1032">IFERROR(INDEX($AW$1:$BH$1,1,MATCH(2,1/(AW1032:BH1032&lt;&gt;""))),"")</f>
        <v>46082</v>
      </c>
      <c r="BO1032" s="53">
        <f ca="1">IFERROR(_xlfn.XLOOKUP(F1032,Apuração!A:A,Apuração!C:C)/_xlfn.XLOOKUP(F1032,Apuração!A:A,Apuração!B:B),0)</f>
        <v>0</v>
      </c>
      <c r="BP1032" s="53">
        <f ca="1">IFERROR(_xlfn.XLOOKUP(F1032,Apuração!A:A,Apuração!D:D)/_xlfn.XLOOKUP(F1032,Apuração!A:A,Apuração!B:B),0)</f>
        <v>0</v>
      </c>
      <c r="BQ1032" s="53">
        <f ca="1">IF(BK1032&gt;=BO1032,0,_xlfn.XLOOKUP(F1032,Apuração!A:A,Apuração!B:B)*(BO1032 + (1/_xlfn.XLOOKUP(F1032,Apuração!A:A,Apuração!B:B)) - BK1032))</f>
        <v>0</v>
      </c>
      <c r="BR1032" s="85">
        <f t="shared" ca="1" si="1215"/>
        <v>0</v>
      </c>
      <c r="BS1032" s="53">
        <f ca="1">IFERROR((_xlfn.XLOOKUP(F1032,Apuração!A:A,Apuração!C:C)+1)/_xlfn.XLOOKUP(F1032,Apuração!A:A,Apuração!B:B),0)</f>
        <v>0.14285714285714285</v>
      </c>
    </row>
    <row r="1033" spans="1:71" ht="25.95" hidden="1" customHeight="1" x14ac:dyDescent="0.3">
      <c r="A1033" s="35" t="s">
        <v>44</v>
      </c>
      <c r="B1033" s="10" t="s">
        <v>44</v>
      </c>
      <c r="C1033" s="5" t="s">
        <v>97</v>
      </c>
      <c r="D1033" s="5" t="s">
        <v>106</v>
      </c>
      <c r="E1033" s="4" t="str" cm="1">
        <f t="array" ref="E1033">_xlfn.IFS(
F1033 = "A partir de Abril", "Aguardando Execução na Distribuidora",
A1033 = "CAPACITAÇÃO", "Em execução no Corporativo",
TRUE, "Em Execução na Distribuidora"
)</f>
        <v>Em Execução na Distribuidora</v>
      </c>
      <c r="F1033" s="4" t="str" cm="1">
        <f t="array" ref="F1033">_xlfn.IFS(
AG1033 &lt;&gt; "", "Jan-Dez/26",
AH1033 &lt;&gt; "", "Fev-Dez/26",
AI1033 &lt;&gt; "", "Mar-Dez/26", AJ1033 &lt;&gt; "", "Abr-Dez/26",
TRUE, "A partir de Junho"
)</f>
        <v>A partir de Junho</v>
      </c>
      <c r="G1033" s="10" t="s">
        <v>44</v>
      </c>
      <c r="H1033" s="36" t="s">
        <v>44</v>
      </c>
      <c r="I1033" s="37"/>
      <c r="J1033" s="37"/>
      <c r="K1033" s="37"/>
      <c r="L1033" s="37" t="s">
        <v>200</v>
      </c>
      <c r="M1033" s="37"/>
      <c r="N1033" s="5" t="s">
        <v>42</v>
      </c>
      <c r="O1033" s="5" t="s">
        <v>52</v>
      </c>
      <c r="P1033" s="10" t="s">
        <v>44</v>
      </c>
      <c r="Q1033" s="10" t="s">
        <v>44</v>
      </c>
      <c r="R1033" s="11" t="s">
        <v>44</v>
      </c>
      <c r="S1033" s="11" t="s">
        <v>44</v>
      </c>
      <c r="T1033" s="22"/>
      <c r="U1033" s="22"/>
      <c r="V1033" s="22"/>
      <c r="W1033" s="22"/>
      <c r="X1033" s="22"/>
      <c r="Y1033" s="22"/>
      <c r="Z1033" s="22"/>
      <c r="AA1033" s="22"/>
      <c r="AB1033" s="22"/>
      <c r="AC1033" s="22"/>
      <c r="AD1033" s="22"/>
      <c r="AE1033" s="22"/>
      <c r="AG1033" s="112"/>
      <c r="AH1033" s="112"/>
      <c r="AI1033" s="112"/>
      <c r="AJ1033" s="71"/>
      <c r="AK1033" s="71"/>
      <c r="AL1033" s="71"/>
      <c r="AM1033" s="71"/>
      <c r="AN1033" s="71"/>
      <c r="AO1033" s="71"/>
      <c r="AP1033" s="71"/>
      <c r="AQ1033" s="71"/>
      <c r="AR1033" s="71"/>
      <c r="AS1033" s="94"/>
      <c r="AT1033" s="95"/>
      <c r="AU1033" s="97"/>
      <c r="AW1033" s="84">
        <f t="shared" ref="AW1033:AY1035" si="1216">AG1033</f>
        <v>0</v>
      </c>
      <c r="AX1033" s="84">
        <f t="shared" si="1216"/>
        <v>0</v>
      </c>
      <c r="AY1033" s="84">
        <f t="shared" si="1216"/>
        <v>0</v>
      </c>
      <c r="AZ1033" s="84"/>
      <c r="BA1033" s="84"/>
      <c r="BB1033" s="84"/>
      <c r="BC1033" s="84"/>
      <c r="BD1033" s="84"/>
      <c r="BE1033" s="84"/>
      <c r="BF1033" s="84"/>
      <c r="BG1033" s="84"/>
      <c r="BH1033" s="84"/>
      <c r="BI1033" s="68" cm="1">
        <f t="array" ref="BI1033">IFERROR(INDEX(AW1033:BH1033,1,MATCH(2,1/(AW1033:BH1033&lt;&gt;""))),"")</f>
        <v>0</v>
      </c>
      <c r="BJ1033" s="68" cm="1">
        <f t="array" ref="BJ1033">IF(BM1033 = "", "",IFERROR(INDEX(AW1033:BH1033,1,MATCH(2,1/(AW1033:BH1033&lt;&gt;""),1)-1),""))</f>
        <v>0</v>
      </c>
      <c r="BK1033" s="57" cm="1">
        <f t="array" ref="BK1033">IFERROR(INDEX(AW1033:BH1033,1,MATCH(2,1/(AW1033:BH1033&lt;&gt;""),1)),"")</f>
        <v>0</v>
      </c>
      <c r="BL1033" s="57" cm="1">
        <f t="array" ref="BL1033">IF(BM1033 = "", "",IFERROR(INDEX(AW1033:BH1033,1,MATCH(2,1/(AW1033:BH1033&lt;&gt;""),1)-1),""))</f>
        <v>0</v>
      </c>
      <c r="BM1033" s="55" cm="1">
        <f t="array" ref="BM1033">IFERROR(
   INDEX($AW$1:$BH$1,
      _xlfn.AGGREGATE(14, 6, COLUMN($AW$1:$BH$1)/(AW1033:BH1033&lt;&gt;""), 2) - COLUMN($AW$1) + 1
   ),
"")</f>
        <v>46054</v>
      </c>
      <c r="BN1033" s="55" cm="1">
        <f t="array" ref="BN1033">IFERROR(INDEX($AW$1:$BH$1,1,MATCH(2,1/(AW1033:BH1033&lt;&gt;""))),"")</f>
        <v>46082</v>
      </c>
      <c r="BO1033" s="53">
        <f ca="1">IFERROR(_xlfn.XLOOKUP(F1033,Apuração!A:A,Apuração!C:C)/_xlfn.XLOOKUP(F1033,Apuração!A:A,Apuração!B:B),0)</f>
        <v>0</v>
      </c>
      <c r="BP1033" s="53">
        <f ca="1">IFERROR(_xlfn.XLOOKUP(F1033,Apuração!A:A,Apuração!D:D)/_xlfn.XLOOKUP(F1033,Apuração!A:A,Apuração!B:B),0)</f>
        <v>0</v>
      </c>
      <c r="BQ1033" s="53">
        <f ca="1">IF(BK1033&gt;=BO1033,0,_xlfn.XLOOKUP(F1033,Apuração!A:A,Apuração!B:B)*(BO1033 + (1/_xlfn.XLOOKUP(F1033,Apuração!A:A,Apuração!B:B)) - BK1033))</f>
        <v>0</v>
      </c>
      <c r="BR1033" s="85">
        <f ca="1">IF(BQ1033=0,0,BQ1033*Z1033)</f>
        <v>0</v>
      </c>
      <c r="BS1033" s="53">
        <f ca="1">IFERROR((_xlfn.XLOOKUP(F1033,Apuração!A:A,Apuração!C:C)+1)/_xlfn.XLOOKUP(F1033,Apuração!A:A,Apuração!B:B),0)</f>
        <v>0.14285714285714285</v>
      </c>
    </row>
    <row r="1034" spans="1:71" ht="25.95" hidden="1" customHeight="1" x14ac:dyDescent="0.3">
      <c r="A1034" s="35" t="s">
        <v>44</v>
      </c>
      <c r="B1034" s="10" t="s">
        <v>44</v>
      </c>
      <c r="C1034" s="5" t="s">
        <v>97</v>
      </c>
      <c r="D1034" s="5" t="s">
        <v>107</v>
      </c>
      <c r="E1034" s="4" t="str" cm="1">
        <f t="array" ref="E1034">_xlfn.IFS(
F1034 = "A partir de Abril", "Aguardando Execução na Distribuidora",
A1034 = "CAPACITAÇÃO", "Em execução no Corporativo",
TRUE, "Em Execução na Distribuidora"
)</f>
        <v>Em Execução na Distribuidora</v>
      </c>
      <c r="F1034" s="4" t="str" cm="1">
        <f t="array" ref="F1034">_xlfn.IFS(
AG1034 &lt;&gt; "", "Jan-Dez/26",
AH1034 &lt;&gt; "", "Fev-Dez/26",
AI1034 &lt;&gt; "", "Mar-Dez/26", AJ1034 &lt;&gt; "", "Abr-Dez/26",
TRUE, "A partir de Junho"
)</f>
        <v>A partir de Junho</v>
      </c>
      <c r="G1034" s="10" t="s">
        <v>44</v>
      </c>
      <c r="H1034" s="36" t="s">
        <v>44</v>
      </c>
      <c r="I1034" s="37"/>
      <c r="J1034" s="37"/>
      <c r="K1034" s="37"/>
      <c r="L1034" s="37" t="s">
        <v>200</v>
      </c>
      <c r="M1034" s="37"/>
      <c r="N1034" s="5" t="s">
        <v>42</v>
      </c>
      <c r="O1034" s="5" t="s">
        <v>52</v>
      </c>
      <c r="P1034" s="10" t="s">
        <v>44</v>
      </c>
      <c r="Q1034" s="10" t="s">
        <v>44</v>
      </c>
      <c r="R1034" s="11" t="s">
        <v>44</v>
      </c>
      <c r="S1034" s="11" t="s">
        <v>44</v>
      </c>
      <c r="T1034" s="22"/>
      <c r="U1034" s="22"/>
      <c r="V1034" s="22"/>
      <c r="W1034" s="22"/>
      <c r="X1034" s="22"/>
      <c r="Y1034" s="22"/>
      <c r="Z1034" s="22"/>
      <c r="AA1034" s="22"/>
      <c r="AB1034" s="22"/>
      <c r="AC1034" s="22"/>
      <c r="AD1034" s="22"/>
      <c r="AE1034" s="22"/>
      <c r="AG1034" s="112"/>
      <c r="AH1034" s="112"/>
      <c r="AI1034" s="112"/>
      <c r="AJ1034" s="71"/>
      <c r="AK1034" s="71"/>
      <c r="AL1034" s="71"/>
      <c r="AM1034" s="71"/>
      <c r="AN1034" s="71"/>
      <c r="AO1034" s="71"/>
      <c r="AP1034" s="71"/>
      <c r="AQ1034" s="71"/>
      <c r="AR1034" s="71"/>
      <c r="AS1034" s="94"/>
      <c r="AT1034" s="95"/>
      <c r="AU1034" s="97"/>
      <c r="AW1034" s="84">
        <f t="shared" si="1216"/>
        <v>0</v>
      </c>
      <c r="AX1034" s="84">
        <f t="shared" si="1216"/>
        <v>0</v>
      </c>
      <c r="AY1034" s="84">
        <f t="shared" si="1216"/>
        <v>0</v>
      </c>
      <c r="AZ1034" s="84"/>
      <c r="BA1034" s="84"/>
      <c r="BB1034" s="84"/>
      <c r="BC1034" s="84"/>
      <c r="BD1034" s="84"/>
      <c r="BE1034" s="84"/>
      <c r="BF1034" s="84"/>
      <c r="BG1034" s="84"/>
      <c r="BH1034" s="84"/>
      <c r="BI1034" s="68" cm="1">
        <f t="array" ref="BI1034">IFERROR(INDEX(AW1034:BH1034,1,MATCH(2,1/(AW1034:BH1034&lt;&gt;""))),"")</f>
        <v>0</v>
      </c>
      <c r="BJ1034" s="68" cm="1">
        <f t="array" ref="BJ1034">IF(BM1034 = "", "",IFERROR(INDEX(AW1034:BH1034,1,MATCH(2,1/(AW1034:BH1034&lt;&gt;""),1)-1),""))</f>
        <v>0</v>
      </c>
      <c r="BK1034" s="57" cm="1">
        <f t="array" ref="BK1034">IFERROR(INDEX(AW1034:BH1034,1,MATCH(2,1/(AW1034:BH1034&lt;&gt;""),1)),"")</f>
        <v>0</v>
      </c>
      <c r="BL1034" s="57" cm="1">
        <f t="array" ref="BL1034">IF(BM1034 = "", "",IFERROR(INDEX(AW1034:BH1034,1,MATCH(2,1/(AW1034:BH1034&lt;&gt;""),1)-1),""))</f>
        <v>0</v>
      </c>
      <c r="BM1034" s="55" cm="1">
        <f t="array" ref="BM1034">IFERROR(
   INDEX($AW$1:$BH$1,
      _xlfn.AGGREGATE(14, 6, COLUMN($AW$1:$BH$1)/(AW1034:BH1034&lt;&gt;""), 2) - COLUMN($AW$1) + 1
   ),
"")</f>
        <v>46054</v>
      </c>
      <c r="BN1034" s="55" cm="1">
        <f t="array" ref="BN1034">IFERROR(INDEX($AW$1:$BH$1,1,MATCH(2,1/(AW1034:BH1034&lt;&gt;""))),"")</f>
        <v>46082</v>
      </c>
      <c r="BO1034" s="53">
        <f ca="1">IFERROR(_xlfn.XLOOKUP(F1034,Apuração!A:A,Apuração!C:C)/_xlfn.XLOOKUP(F1034,Apuração!A:A,Apuração!B:B),0)</f>
        <v>0</v>
      </c>
      <c r="BP1034" s="53">
        <f ca="1">IFERROR(_xlfn.XLOOKUP(F1034,Apuração!A:A,Apuração!D:D)/_xlfn.XLOOKUP(F1034,Apuração!A:A,Apuração!B:B),0)</f>
        <v>0</v>
      </c>
      <c r="BQ1034" s="53">
        <f ca="1">IF(BK1034&gt;=BO1034,0,_xlfn.XLOOKUP(F1034,Apuração!A:A,Apuração!B:B)*(BO1034 + (1/_xlfn.XLOOKUP(F1034,Apuração!A:A,Apuração!B:B)) - BK1034))</f>
        <v>0</v>
      </c>
      <c r="BR1034" s="85">
        <f ca="1">IF(BQ1034=0,0,BQ1034*Z1034)</f>
        <v>0</v>
      </c>
      <c r="BS1034" s="53">
        <f ca="1">IFERROR((_xlfn.XLOOKUP(F1034,Apuração!A:A,Apuração!C:C)+1)/_xlfn.XLOOKUP(F1034,Apuração!A:A,Apuração!B:B),0)</f>
        <v>0.14285714285714285</v>
      </c>
    </row>
    <row r="1035" spans="1:71" ht="25.95" hidden="1" customHeight="1" x14ac:dyDescent="0.3">
      <c r="A1035" s="35" t="s">
        <v>44</v>
      </c>
      <c r="B1035" s="10" t="s">
        <v>44</v>
      </c>
      <c r="C1035" s="5" t="s">
        <v>97</v>
      </c>
      <c r="D1035" s="5" t="s">
        <v>36</v>
      </c>
      <c r="E1035" s="4" t="str" cm="1">
        <f t="array" ref="E1035">_xlfn.IFS(
F1035 = "A partir de Abril", "Aguardando Execução na Distribuidora",
A1035 = "CAPACITAÇÃO", "Em execução no Corporativo",
TRUE, "Em Execução na Distribuidora"
)</f>
        <v>Em Execução na Distribuidora</v>
      </c>
      <c r="F1035" s="4" t="str" cm="1">
        <f t="array" ref="F1035">_xlfn.IFS(
AG1035 &lt;&gt; "", "Jan-Dez/26",
AH1035 &lt;&gt; "", "Fev-Dez/26",
AI1035 &lt;&gt; "", "Mar-Dez/26", AJ1035 &lt;&gt; "", "Abr-Dez/26",
TRUE, "A partir de Junho"
)</f>
        <v>Jan-Dez/26</v>
      </c>
      <c r="G1035" s="10" t="s">
        <v>44</v>
      </c>
      <c r="H1035" s="36" t="s">
        <v>44</v>
      </c>
      <c r="I1035" s="37"/>
      <c r="J1035" s="37"/>
      <c r="K1035" s="37"/>
      <c r="L1035" s="37" t="s">
        <v>203</v>
      </c>
      <c r="M1035" s="37"/>
      <c r="N1035" s="5" t="s">
        <v>42</v>
      </c>
      <c r="O1035" s="5" t="s">
        <v>52</v>
      </c>
      <c r="P1035" s="10" t="s">
        <v>44</v>
      </c>
      <c r="Q1035" s="10" t="s">
        <v>44</v>
      </c>
      <c r="R1035" s="11" t="s">
        <v>44</v>
      </c>
      <c r="S1035" s="11" t="s">
        <v>44</v>
      </c>
      <c r="T1035" s="22"/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22"/>
      <c r="AG1035" s="112">
        <v>2.34</v>
      </c>
      <c r="AH1035" s="112">
        <v>2.87</v>
      </c>
      <c r="AI1035" s="112">
        <v>1.06</v>
      </c>
      <c r="AJ1035" s="112">
        <v>2.83</v>
      </c>
      <c r="AK1035" s="112"/>
      <c r="AL1035" s="112"/>
      <c r="AM1035" s="112"/>
      <c r="AN1035" s="112"/>
      <c r="AO1035" s="112"/>
      <c r="AP1035" s="112"/>
      <c r="AQ1035" s="112"/>
      <c r="AR1035" s="112"/>
      <c r="AS1035" s="94"/>
      <c r="AT1035" s="95"/>
      <c r="AU1035" s="97"/>
      <c r="AW1035" s="84">
        <f t="shared" si="1216"/>
        <v>2.34</v>
      </c>
      <c r="AX1035" s="84">
        <f t="shared" si="1216"/>
        <v>2.87</v>
      </c>
      <c r="AY1035" s="84">
        <f>AI1035</f>
        <v>1.06</v>
      </c>
      <c r="AZ1035" s="84">
        <f>AJ1035</f>
        <v>2.83</v>
      </c>
      <c r="BA1035" s="84"/>
      <c r="BB1035" s="84"/>
      <c r="BC1035" s="84"/>
      <c r="BD1035" s="84"/>
      <c r="BE1035" s="84"/>
      <c r="BF1035" s="84"/>
      <c r="BG1035" s="84"/>
      <c r="BH1035" s="84"/>
      <c r="BI1035" s="68" cm="1">
        <f t="array" ref="BI1035">IFERROR(INDEX(AW1035:BH1035,1,MATCH(2,1/(AW1035:BH1035&lt;&gt;""))),"")</f>
        <v>2.83</v>
      </c>
      <c r="BJ1035" s="68" cm="1">
        <f t="array" ref="BJ1035">IF(BM1035 = "", "",IFERROR(INDEX(AW1035:BH1035,1,MATCH(2,1/(AW1035:BH1035&lt;&gt;""),1)-1),""))</f>
        <v>1.06</v>
      </c>
      <c r="BK1035" s="57" cm="1">
        <f t="array" ref="BK1035">IFERROR(INDEX(AW1035:BH1035,1,MATCH(2,1/(AW1035:BH1035&lt;&gt;""),1)),"")</f>
        <v>2.83</v>
      </c>
      <c r="BL1035" s="57" cm="1">
        <f t="array" ref="BL1035">IF(BM1035 = "", "",IFERROR(INDEX(AW1035:BH1035,1,MATCH(2,1/(AW1035:BH1035&lt;&gt;""),1)-1),""))</f>
        <v>1.06</v>
      </c>
      <c r="BM1035" s="55" cm="1">
        <f t="array" ref="BM1035">IFERROR(
   INDEX($AW$1:$BH$1,
      _xlfn.AGGREGATE(14, 6, COLUMN($AW$1:$BH$1)/(AW1035:BH1035&lt;&gt;""), 2) - COLUMN($AW$1) + 1
   ),
"")</f>
        <v>46082</v>
      </c>
      <c r="BN1035" s="55" cm="1">
        <f t="array" ref="BN1035">IFERROR(INDEX($AW$1:$BH$1,1,MATCH(2,1/(AW1035:BH1035&lt;&gt;""))),"")</f>
        <v>46113</v>
      </c>
      <c r="BO1035" s="53">
        <f ca="1">IFERROR(_xlfn.XLOOKUP(F1035,Apuração!A:A,Apuração!C:C)/_xlfn.XLOOKUP(F1035,Apuração!A:A,Apuração!B:B),0)</f>
        <v>0.41666666666666669</v>
      </c>
      <c r="BP1035" s="53">
        <f ca="1">IFERROR(_xlfn.XLOOKUP(F1035,Apuração!A:A,Apuração!D:D)/_xlfn.XLOOKUP(F1035,Apuração!A:A,Apuração!B:B),0)</f>
        <v>0.33333333333333331</v>
      </c>
      <c r="BQ1035" s="53">
        <f ca="1">IF(BK1035&gt;=BO1035,0,_xlfn.XLOOKUP(F1035,Apuração!A:A,Apuração!B:B)*(BO1035 + (1/_xlfn.XLOOKUP(F1035,Apuração!A:A,Apuração!B:B)) - BK1035))</f>
        <v>0</v>
      </c>
      <c r="BR1035" s="85">
        <f ca="1">IF(BQ1035=0,0,BQ1035*Z1035)</f>
        <v>0</v>
      </c>
      <c r="BS1035" s="53">
        <f ca="1">IFERROR((_xlfn.XLOOKUP(F1035,Apuração!A:A,Apuração!C:C)+1)/_xlfn.XLOOKUP(F1035,Apuração!A:A,Apuração!B:B),0)</f>
        <v>0.5</v>
      </c>
    </row>
    <row r="1036" spans="1:71" ht="25.95" hidden="1" customHeight="1" x14ac:dyDescent="0.3">
      <c r="A1036" s="35" t="s">
        <v>44</v>
      </c>
      <c r="B1036" s="10" t="s">
        <v>44</v>
      </c>
      <c r="C1036" s="5" t="s">
        <v>97</v>
      </c>
      <c r="D1036" s="5" t="s">
        <v>98</v>
      </c>
      <c r="E1036" s="4" t="str" cm="1">
        <f t="array" ref="E1036">_xlfn.IFS(
F1036 = "A partir de Abril", "Aguardando Execução na Distribuidora",
A1036 = "CAPACITAÇÃO", "Em execução no Corporativo",
TRUE, "Em Execução na Distribuidora"
)</f>
        <v>Em Execução na Distribuidora</v>
      </c>
      <c r="F1036" s="4" t="str" cm="1">
        <f t="array" ref="F1036">_xlfn.IFS(
AG1036 &lt;&gt; "", "Jan-Dez/26",
AH1036 &lt;&gt; "", "Fev-Dez/26",
AI1036 &lt;&gt; "", "Mar-Dez/26", AJ1036 &lt;&gt; "", "Abr-Dez/26",
TRUE, "A partir de Junho"
)</f>
        <v>A partir de Junho</v>
      </c>
      <c r="G1036" s="10" t="s">
        <v>44</v>
      </c>
      <c r="H1036" s="36" t="s">
        <v>44</v>
      </c>
      <c r="I1036" s="37"/>
      <c r="J1036" s="37"/>
      <c r="K1036" s="37"/>
      <c r="L1036" s="37" t="s">
        <v>203</v>
      </c>
      <c r="M1036" s="37"/>
      <c r="N1036" s="5" t="s">
        <v>42</v>
      </c>
      <c r="O1036" s="5" t="s">
        <v>52</v>
      </c>
      <c r="P1036" s="10" t="s">
        <v>44</v>
      </c>
      <c r="Q1036" s="10" t="s">
        <v>44</v>
      </c>
      <c r="R1036" s="11" t="s">
        <v>44</v>
      </c>
      <c r="S1036" s="11" t="s">
        <v>44</v>
      </c>
      <c r="T1036" s="22"/>
      <c r="U1036" s="22"/>
      <c r="V1036" s="22"/>
      <c r="W1036" s="22"/>
      <c r="X1036" s="22"/>
      <c r="Y1036" s="22"/>
      <c r="Z1036" s="22"/>
      <c r="AA1036" s="22"/>
      <c r="AB1036" s="22"/>
      <c r="AC1036" s="22"/>
      <c r="AD1036" s="22"/>
      <c r="AE1036" s="22"/>
      <c r="AG1036" s="112"/>
      <c r="AH1036" s="112"/>
      <c r="AI1036" s="112"/>
      <c r="AJ1036" s="71"/>
      <c r="AK1036" s="71"/>
      <c r="AL1036" s="71"/>
      <c r="AM1036" s="71"/>
      <c r="AN1036" s="71"/>
      <c r="AO1036" s="71"/>
      <c r="AP1036" s="71"/>
      <c r="AQ1036" s="71"/>
      <c r="AR1036" s="71"/>
      <c r="AS1036" s="94"/>
      <c r="AT1036" s="95"/>
      <c r="AU1036" s="97"/>
      <c r="AW1036" s="84">
        <f t="shared" ref="AW1036:AW1045" si="1217">AG1036</f>
        <v>0</v>
      </c>
      <c r="AX1036" s="84">
        <f t="shared" ref="AX1036:AX1046" si="1218">AH1036</f>
        <v>0</v>
      </c>
      <c r="AY1036" s="84">
        <f t="shared" ref="AY1036:AY1046" si="1219">AI1036</f>
        <v>0</v>
      </c>
      <c r="AZ1036" s="84"/>
      <c r="BA1036" s="84"/>
      <c r="BB1036" s="84"/>
      <c r="BC1036" s="84"/>
      <c r="BD1036" s="84"/>
      <c r="BE1036" s="84"/>
      <c r="BF1036" s="84"/>
      <c r="BG1036" s="84"/>
      <c r="BH1036" s="84"/>
      <c r="BI1036" s="68" cm="1">
        <f t="array" ref="BI1036">IFERROR(INDEX(AW1036:BH1036,1,MATCH(2,1/(AW1036:BH1036&lt;&gt;""))),"")</f>
        <v>0</v>
      </c>
      <c r="BJ1036" s="68" cm="1">
        <f t="array" ref="BJ1036">IF(BM1036 = "", "",IFERROR(INDEX(AW1036:BH1036,1,MATCH(2,1/(AW1036:BH1036&lt;&gt;""),1)-1),""))</f>
        <v>0</v>
      </c>
      <c r="BK1036" s="57" cm="1">
        <f t="array" ref="BK1036">IFERROR(INDEX(AW1036:BH1036,1,MATCH(2,1/(AW1036:BH1036&lt;&gt;""),1)),"")</f>
        <v>0</v>
      </c>
      <c r="BL1036" s="57" cm="1">
        <f t="array" ref="BL1036">IF(BM1036 = "", "",IFERROR(INDEX(AW1036:BH1036,1,MATCH(2,1/(AW1036:BH1036&lt;&gt;""),1)-1),""))</f>
        <v>0</v>
      </c>
      <c r="BM1036" s="55" cm="1">
        <f t="array" ref="BM1036">IFERROR(
   INDEX($AW$1:$BH$1,
      _xlfn.AGGREGATE(14, 6, COLUMN($AW$1:$BH$1)/(AW1036:BH1036&lt;&gt;""), 2) - COLUMN($AW$1) + 1
   ),
"")</f>
        <v>46054</v>
      </c>
      <c r="BN1036" s="55" cm="1">
        <f t="array" ref="BN1036">IFERROR(INDEX($AW$1:$BH$1,1,MATCH(2,1/(AW1036:BH1036&lt;&gt;""))),"")</f>
        <v>46082</v>
      </c>
      <c r="BO1036" s="53">
        <f ca="1">IFERROR(_xlfn.XLOOKUP(F1036,Apuração!A:A,Apuração!C:C)/_xlfn.XLOOKUP(F1036,Apuração!A:A,Apuração!B:B),0)</f>
        <v>0</v>
      </c>
      <c r="BP1036" s="53">
        <f ca="1">IFERROR(_xlfn.XLOOKUP(F1036,Apuração!A:A,Apuração!D:D)/_xlfn.XLOOKUP(F1036,Apuração!A:A,Apuração!B:B),0)</f>
        <v>0</v>
      </c>
      <c r="BQ1036" s="53">
        <f ca="1">IF(BK1036&gt;=BO1036,0,_xlfn.XLOOKUP(F1036,Apuração!A:A,Apuração!B:B)*(BO1036 + (1/_xlfn.XLOOKUP(F1036,Apuração!A:A,Apuração!B:B)) - BK1036))</f>
        <v>0</v>
      </c>
      <c r="BR1036" s="85">
        <f t="shared" ref="BR1036:BR1045" ca="1" si="1220">IF(BQ1036=0,0,BQ1036*Z1036)</f>
        <v>0</v>
      </c>
      <c r="BS1036" s="53">
        <f ca="1">IFERROR((_xlfn.XLOOKUP(F1036,Apuração!A:A,Apuração!C:C)+1)/_xlfn.XLOOKUP(F1036,Apuração!A:A,Apuração!B:B),0)</f>
        <v>0.14285714285714285</v>
      </c>
    </row>
    <row r="1037" spans="1:71" ht="25.95" hidden="1" customHeight="1" x14ac:dyDescent="0.3">
      <c r="A1037" s="35" t="s">
        <v>44</v>
      </c>
      <c r="B1037" s="10" t="s">
        <v>44</v>
      </c>
      <c r="C1037" s="5" t="s">
        <v>97</v>
      </c>
      <c r="D1037" s="5" t="s">
        <v>99</v>
      </c>
      <c r="E1037" s="4" t="str" cm="1">
        <f t="array" ref="E1037">_xlfn.IFS(
F1037 = "A partir de Abril", "Aguardando Execução na Distribuidora",
A1037 = "CAPACITAÇÃO", "Em execução no Corporativo",
TRUE, "Em Execução na Distribuidora"
)</f>
        <v>Em Execução na Distribuidora</v>
      </c>
      <c r="F1037" s="4" t="str" cm="1">
        <f t="array" ref="F1037">_xlfn.IFS(
AG1037 &lt;&gt; "", "Jan-Dez/26",
AH1037 &lt;&gt; "", "Fev-Dez/26",
AI1037 &lt;&gt; "", "Mar-Dez/26", AJ1037 &lt;&gt; "", "Abr-Dez/26",
TRUE, "A partir de Junho"
)</f>
        <v>A partir de Junho</v>
      </c>
      <c r="G1037" s="10" t="s">
        <v>44</v>
      </c>
      <c r="H1037" s="36" t="s">
        <v>44</v>
      </c>
      <c r="I1037" s="37"/>
      <c r="J1037" s="37"/>
      <c r="K1037" s="37"/>
      <c r="L1037" s="37" t="s">
        <v>203</v>
      </c>
      <c r="M1037" s="37"/>
      <c r="N1037" s="5" t="s">
        <v>42</v>
      </c>
      <c r="O1037" s="5" t="s">
        <v>52</v>
      </c>
      <c r="P1037" s="10" t="s">
        <v>44</v>
      </c>
      <c r="Q1037" s="10" t="s">
        <v>44</v>
      </c>
      <c r="R1037" s="11" t="s">
        <v>44</v>
      </c>
      <c r="S1037" s="11" t="s">
        <v>44</v>
      </c>
      <c r="T1037" s="22"/>
      <c r="U1037" s="22"/>
      <c r="V1037" s="22"/>
      <c r="W1037" s="22"/>
      <c r="X1037" s="22"/>
      <c r="Y1037" s="22"/>
      <c r="Z1037" s="22"/>
      <c r="AA1037" s="22"/>
      <c r="AB1037" s="22"/>
      <c r="AC1037" s="22"/>
      <c r="AD1037" s="22"/>
      <c r="AE1037" s="22"/>
      <c r="AG1037" s="112"/>
      <c r="AH1037" s="112"/>
      <c r="AI1037" s="112"/>
      <c r="AJ1037" s="71"/>
      <c r="AK1037" s="71"/>
      <c r="AL1037" s="71"/>
      <c r="AM1037" s="71"/>
      <c r="AN1037" s="71"/>
      <c r="AO1037" s="71"/>
      <c r="AP1037" s="71"/>
      <c r="AQ1037" s="71"/>
      <c r="AR1037" s="71"/>
      <c r="AS1037" s="94"/>
      <c r="AT1037" s="95"/>
      <c r="AU1037" s="97"/>
      <c r="AW1037" s="84">
        <f t="shared" si="1217"/>
        <v>0</v>
      </c>
      <c r="AX1037" s="84">
        <f t="shared" si="1218"/>
        <v>0</v>
      </c>
      <c r="AY1037" s="84">
        <f t="shared" si="1219"/>
        <v>0</v>
      </c>
      <c r="AZ1037" s="84"/>
      <c r="BA1037" s="84"/>
      <c r="BB1037" s="84"/>
      <c r="BC1037" s="84"/>
      <c r="BD1037" s="84"/>
      <c r="BE1037" s="84"/>
      <c r="BF1037" s="84"/>
      <c r="BG1037" s="84"/>
      <c r="BH1037" s="84"/>
      <c r="BI1037" s="68" cm="1">
        <f t="array" ref="BI1037">IFERROR(INDEX(AW1037:BH1037,1,MATCH(2,1/(AW1037:BH1037&lt;&gt;""))),"")</f>
        <v>0</v>
      </c>
      <c r="BJ1037" s="68" cm="1">
        <f t="array" ref="BJ1037">IF(BM1037 = "", "",IFERROR(INDEX(AW1037:BH1037,1,MATCH(2,1/(AW1037:BH1037&lt;&gt;""),1)-1),""))</f>
        <v>0</v>
      </c>
      <c r="BK1037" s="57" cm="1">
        <f t="array" ref="BK1037">IFERROR(INDEX(AW1037:BH1037,1,MATCH(2,1/(AW1037:BH1037&lt;&gt;""),1)),"")</f>
        <v>0</v>
      </c>
      <c r="BL1037" s="57" cm="1">
        <f t="array" ref="BL1037">IF(BM1037 = "", "",IFERROR(INDEX(AW1037:BH1037,1,MATCH(2,1/(AW1037:BH1037&lt;&gt;""),1)-1),""))</f>
        <v>0</v>
      </c>
      <c r="BM1037" s="55" cm="1">
        <f t="array" ref="BM1037">IFERROR(
   INDEX($AW$1:$BH$1,
      _xlfn.AGGREGATE(14, 6, COLUMN($AW$1:$BH$1)/(AW1037:BH1037&lt;&gt;""), 2) - COLUMN($AW$1) + 1
   ),
"")</f>
        <v>46054</v>
      </c>
      <c r="BN1037" s="55" cm="1">
        <f t="array" ref="BN1037">IFERROR(INDEX($AW$1:$BH$1,1,MATCH(2,1/(AW1037:BH1037&lt;&gt;""))),"")</f>
        <v>46082</v>
      </c>
      <c r="BO1037" s="53">
        <f ca="1">IFERROR(_xlfn.XLOOKUP(F1037,Apuração!A:A,Apuração!C:C)/_xlfn.XLOOKUP(F1037,Apuração!A:A,Apuração!B:B),0)</f>
        <v>0</v>
      </c>
      <c r="BP1037" s="53">
        <f ca="1">IFERROR(_xlfn.XLOOKUP(F1037,Apuração!A:A,Apuração!D:D)/_xlfn.XLOOKUP(F1037,Apuração!A:A,Apuração!B:B),0)</f>
        <v>0</v>
      </c>
      <c r="BQ1037" s="53">
        <f ca="1">IF(BK1037&gt;=BO1037,0,_xlfn.XLOOKUP(F1037,Apuração!A:A,Apuração!B:B)*(BO1037 + (1/_xlfn.XLOOKUP(F1037,Apuração!A:A,Apuração!B:B)) - BK1037))</f>
        <v>0</v>
      </c>
      <c r="BR1037" s="85">
        <f t="shared" ca="1" si="1220"/>
        <v>0</v>
      </c>
      <c r="BS1037" s="53">
        <f ca="1">IFERROR((_xlfn.XLOOKUP(F1037,Apuração!A:A,Apuração!C:C)+1)/_xlfn.XLOOKUP(F1037,Apuração!A:A,Apuração!B:B),0)</f>
        <v>0.14285714285714285</v>
      </c>
    </row>
    <row r="1038" spans="1:71" ht="25.95" hidden="1" customHeight="1" x14ac:dyDescent="0.3">
      <c r="A1038" s="35" t="s">
        <v>44</v>
      </c>
      <c r="B1038" s="10" t="s">
        <v>44</v>
      </c>
      <c r="C1038" s="5" t="s">
        <v>97</v>
      </c>
      <c r="D1038" s="5" t="s">
        <v>100</v>
      </c>
      <c r="E1038" s="4" t="str" cm="1">
        <f t="array" ref="E1038">_xlfn.IFS(
F1038 = "A partir de Abril", "Aguardando Execução na Distribuidora",
A1038 = "CAPACITAÇÃO", "Em execução no Corporativo",
TRUE, "Em Execução na Distribuidora"
)</f>
        <v>Em Execução na Distribuidora</v>
      </c>
      <c r="F1038" s="4" t="str" cm="1">
        <f t="array" ref="F1038">_xlfn.IFS(
AG1038 &lt;&gt; "", "Jan-Dez/26",
AH1038 &lt;&gt; "", "Fev-Dez/26",
AI1038 &lt;&gt; "", "Mar-Dez/26", AJ1038 &lt;&gt; "", "Abr-Dez/26",
TRUE, "A partir de Junho"
)</f>
        <v>A partir de Junho</v>
      </c>
      <c r="G1038" s="10" t="s">
        <v>44</v>
      </c>
      <c r="H1038" s="36" t="s">
        <v>44</v>
      </c>
      <c r="I1038" s="37"/>
      <c r="J1038" s="37"/>
      <c r="K1038" s="37"/>
      <c r="L1038" s="37" t="s">
        <v>203</v>
      </c>
      <c r="M1038" s="37"/>
      <c r="N1038" s="5" t="s">
        <v>42</v>
      </c>
      <c r="O1038" s="5" t="s">
        <v>52</v>
      </c>
      <c r="P1038" s="10" t="s">
        <v>44</v>
      </c>
      <c r="Q1038" s="10" t="s">
        <v>44</v>
      </c>
      <c r="R1038" s="11" t="s">
        <v>44</v>
      </c>
      <c r="S1038" s="11" t="s">
        <v>44</v>
      </c>
      <c r="T1038" s="22"/>
      <c r="U1038" s="22"/>
      <c r="V1038" s="22"/>
      <c r="W1038" s="22"/>
      <c r="X1038" s="22"/>
      <c r="Y1038" s="22"/>
      <c r="Z1038" s="22"/>
      <c r="AA1038" s="22"/>
      <c r="AB1038" s="22"/>
      <c r="AC1038" s="22"/>
      <c r="AD1038" s="22"/>
      <c r="AE1038" s="22"/>
      <c r="AG1038" s="112"/>
      <c r="AH1038" s="112"/>
      <c r="AI1038" s="112"/>
      <c r="AJ1038" s="71"/>
      <c r="AK1038" s="71"/>
      <c r="AL1038" s="71"/>
      <c r="AM1038" s="71"/>
      <c r="AN1038" s="71"/>
      <c r="AO1038" s="71"/>
      <c r="AP1038" s="71"/>
      <c r="AQ1038" s="71"/>
      <c r="AR1038" s="71"/>
      <c r="AS1038" s="94"/>
      <c r="AT1038" s="95"/>
      <c r="AU1038" s="97"/>
      <c r="AW1038" s="84">
        <f t="shared" si="1217"/>
        <v>0</v>
      </c>
      <c r="AX1038" s="84">
        <f t="shared" si="1218"/>
        <v>0</v>
      </c>
      <c r="AY1038" s="84">
        <f t="shared" si="1219"/>
        <v>0</v>
      </c>
      <c r="AZ1038" s="84"/>
      <c r="BA1038" s="84"/>
      <c r="BB1038" s="84"/>
      <c r="BC1038" s="84"/>
      <c r="BD1038" s="84"/>
      <c r="BE1038" s="84"/>
      <c r="BF1038" s="84"/>
      <c r="BG1038" s="84"/>
      <c r="BH1038" s="84"/>
      <c r="BI1038" s="68" cm="1">
        <f t="array" ref="BI1038">IFERROR(INDEX(AW1038:BH1038,1,MATCH(2,1/(AW1038:BH1038&lt;&gt;""))),"")</f>
        <v>0</v>
      </c>
      <c r="BJ1038" s="68" cm="1">
        <f t="array" ref="BJ1038">IF(BM1038 = "", "",IFERROR(INDEX(AW1038:BH1038,1,MATCH(2,1/(AW1038:BH1038&lt;&gt;""),1)-1),""))</f>
        <v>0</v>
      </c>
      <c r="BK1038" s="57" cm="1">
        <f t="array" ref="BK1038">IFERROR(INDEX(AW1038:BH1038,1,MATCH(2,1/(AW1038:BH1038&lt;&gt;""),1)),"")</f>
        <v>0</v>
      </c>
      <c r="BL1038" s="57" cm="1">
        <f t="array" ref="BL1038">IF(BM1038 = "", "",IFERROR(INDEX(AW1038:BH1038,1,MATCH(2,1/(AW1038:BH1038&lt;&gt;""),1)-1),""))</f>
        <v>0</v>
      </c>
      <c r="BM1038" s="55" cm="1">
        <f t="array" ref="BM1038">IFERROR(
   INDEX($AW$1:$BH$1,
      _xlfn.AGGREGATE(14, 6, COLUMN($AW$1:$BH$1)/(AW1038:BH1038&lt;&gt;""), 2) - COLUMN($AW$1) + 1
   ),
"")</f>
        <v>46054</v>
      </c>
      <c r="BN1038" s="55" cm="1">
        <f t="array" ref="BN1038">IFERROR(INDEX($AW$1:$BH$1,1,MATCH(2,1/(AW1038:BH1038&lt;&gt;""))),"")</f>
        <v>46082</v>
      </c>
      <c r="BO1038" s="53">
        <f ca="1">IFERROR(_xlfn.XLOOKUP(F1038,Apuração!A:A,Apuração!C:C)/_xlfn.XLOOKUP(F1038,Apuração!A:A,Apuração!B:B),0)</f>
        <v>0</v>
      </c>
      <c r="BP1038" s="53">
        <f ca="1">IFERROR(_xlfn.XLOOKUP(F1038,Apuração!A:A,Apuração!D:D)/_xlfn.XLOOKUP(F1038,Apuração!A:A,Apuração!B:B),0)</f>
        <v>0</v>
      </c>
      <c r="BQ1038" s="53">
        <f ca="1">IF(BK1038&gt;=BO1038,0,_xlfn.XLOOKUP(F1038,Apuração!A:A,Apuração!B:B)*(BO1038 + (1/_xlfn.XLOOKUP(F1038,Apuração!A:A,Apuração!B:B)) - BK1038))</f>
        <v>0</v>
      </c>
      <c r="BR1038" s="85">
        <f t="shared" ca="1" si="1220"/>
        <v>0</v>
      </c>
      <c r="BS1038" s="53">
        <f ca="1">IFERROR((_xlfn.XLOOKUP(F1038,Apuração!A:A,Apuração!C:C)+1)/_xlfn.XLOOKUP(F1038,Apuração!A:A,Apuração!B:B),0)</f>
        <v>0.14285714285714285</v>
      </c>
    </row>
    <row r="1039" spans="1:71" ht="25.95" hidden="1" customHeight="1" x14ac:dyDescent="0.3">
      <c r="A1039" s="35" t="s">
        <v>44</v>
      </c>
      <c r="B1039" s="10" t="s">
        <v>44</v>
      </c>
      <c r="C1039" s="5" t="s">
        <v>97</v>
      </c>
      <c r="D1039" s="5" t="s">
        <v>101</v>
      </c>
      <c r="E1039" s="4" t="str" cm="1">
        <f t="array" ref="E1039">_xlfn.IFS(
F1039 = "A partir de Abril", "Aguardando Execução na Distribuidora",
A1039 = "CAPACITAÇÃO", "Em execução no Corporativo",
TRUE, "Em Execução na Distribuidora"
)</f>
        <v>Em Execução na Distribuidora</v>
      </c>
      <c r="F1039" s="4" t="str" cm="1">
        <f t="array" ref="F1039">_xlfn.IFS(
AG1039 &lt;&gt; "", "Jan-Dez/26",
AH1039 &lt;&gt; "", "Fev-Dez/26",
AI1039 &lt;&gt; "", "Mar-Dez/26", AJ1039 &lt;&gt; "", "Abr-Dez/26",
TRUE, "A partir de Junho"
)</f>
        <v>A partir de Junho</v>
      </c>
      <c r="G1039" s="10" t="s">
        <v>44</v>
      </c>
      <c r="H1039" s="36" t="s">
        <v>44</v>
      </c>
      <c r="I1039" s="37"/>
      <c r="J1039" s="37"/>
      <c r="K1039" s="37"/>
      <c r="L1039" s="37" t="s">
        <v>203</v>
      </c>
      <c r="M1039" s="37"/>
      <c r="N1039" s="5" t="s">
        <v>42</v>
      </c>
      <c r="O1039" s="5" t="s">
        <v>52</v>
      </c>
      <c r="P1039" s="10" t="s">
        <v>44</v>
      </c>
      <c r="Q1039" s="10" t="s">
        <v>44</v>
      </c>
      <c r="R1039" s="11" t="s">
        <v>44</v>
      </c>
      <c r="S1039" s="11" t="s">
        <v>44</v>
      </c>
      <c r="T1039" s="22"/>
      <c r="U1039" s="22"/>
      <c r="V1039" s="22"/>
      <c r="W1039" s="22"/>
      <c r="X1039" s="22"/>
      <c r="Y1039" s="22"/>
      <c r="Z1039" s="22"/>
      <c r="AA1039" s="22"/>
      <c r="AB1039" s="22"/>
      <c r="AC1039" s="22"/>
      <c r="AD1039" s="22"/>
      <c r="AE1039" s="22"/>
      <c r="AG1039" s="112"/>
      <c r="AH1039" s="112"/>
      <c r="AI1039" s="112"/>
      <c r="AJ1039" s="71"/>
      <c r="AK1039" s="71"/>
      <c r="AL1039" s="71"/>
      <c r="AM1039" s="71"/>
      <c r="AN1039" s="71"/>
      <c r="AO1039" s="71"/>
      <c r="AP1039" s="71"/>
      <c r="AQ1039" s="71"/>
      <c r="AR1039" s="71"/>
      <c r="AS1039" s="94"/>
      <c r="AT1039" s="95"/>
      <c r="AU1039" s="97"/>
      <c r="AW1039" s="84">
        <f t="shared" si="1217"/>
        <v>0</v>
      </c>
      <c r="AX1039" s="84">
        <f t="shared" si="1218"/>
        <v>0</v>
      </c>
      <c r="AY1039" s="84">
        <f t="shared" si="1219"/>
        <v>0</v>
      </c>
      <c r="AZ1039" s="84"/>
      <c r="BA1039" s="84"/>
      <c r="BB1039" s="84"/>
      <c r="BC1039" s="84"/>
      <c r="BD1039" s="84"/>
      <c r="BE1039" s="84"/>
      <c r="BF1039" s="84"/>
      <c r="BG1039" s="84"/>
      <c r="BH1039" s="84"/>
      <c r="BI1039" s="68" cm="1">
        <f t="array" ref="BI1039">IFERROR(INDEX(AW1039:BH1039,1,MATCH(2,1/(AW1039:BH1039&lt;&gt;""))),"")</f>
        <v>0</v>
      </c>
      <c r="BJ1039" s="68" cm="1">
        <f t="array" ref="BJ1039">IF(BM1039 = "", "",IFERROR(INDEX(AW1039:BH1039,1,MATCH(2,1/(AW1039:BH1039&lt;&gt;""),1)-1),""))</f>
        <v>0</v>
      </c>
      <c r="BK1039" s="57" cm="1">
        <f t="array" ref="BK1039">IFERROR(INDEX(AW1039:BH1039,1,MATCH(2,1/(AW1039:BH1039&lt;&gt;""),1)),"")</f>
        <v>0</v>
      </c>
      <c r="BL1039" s="57" cm="1">
        <f t="array" ref="BL1039">IF(BM1039 = "", "",IFERROR(INDEX(AW1039:BH1039,1,MATCH(2,1/(AW1039:BH1039&lt;&gt;""),1)-1),""))</f>
        <v>0</v>
      </c>
      <c r="BM1039" s="55" cm="1">
        <f t="array" ref="BM1039">IFERROR(
   INDEX($AW$1:$BH$1,
      _xlfn.AGGREGATE(14, 6, COLUMN($AW$1:$BH$1)/(AW1039:BH1039&lt;&gt;""), 2) - COLUMN($AW$1) + 1
   ),
"")</f>
        <v>46054</v>
      </c>
      <c r="BN1039" s="55" cm="1">
        <f t="array" ref="BN1039">IFERROR(INDEX($AW$1:$BH$1,1,MATCH(2,1/(AW1039:BH1039&lt;&gt;""))),"")</f>
        <v>46082</v>
      </c>
      <c r="BO1039" s="53">
        <f ca="1">IFERROR(_xlfn.XLOOKUP(F1039,Apuração!A:A,Apuração!C:C)/_xlfn.XLOOKUP(F1039,Apuração!A:A,Apuração!B:B),0)</f>
        <v>0</v>
      </c>
      <c r="BP1039" s="53">
        <f ca="1">IFERROR(_xlfn.XLOOKUP(F1039,Apuração!A:A,Apuração!D:D)/_xlfn.XLOOKUP(F1039,Apuração!A:A,Apuração!B:B),0)</f>
        <v>0</v>
      </c>
      <c r="BQ1039" s="53">
        <f ca="1">IF(BK1039&gt;=BO1039,0,_xlfn.XLOOKUP(F1039,Apuração!A:A,Apuração!B:B)*(BO1039 + (1/_xlfn.XLOOKUP(F1039,Apuração!A:A,Apuração!B:B)) - BK1039))</f>
        <v>0</v>
      </c>
      <c r="BR1039" s="85">
        <f t="shared" ca="1" si="1220"/>
        <v>0</v>
      </c>
      <c r="BS1039" s="53">
        <f ca="1">IFERROR((_xlfn.XLOOKUP(F1039,Apuração!A:A,Apuração!C:C)+1)/_xlfn.XLOOKUP(F1039,Apuração!A:A,Apuração!B:B),0)</f>
        <v>0.14285714285714285</v>
      </c>
    </row>
    <row r="1040" spans="1:71" ht="25.95" hidden="1" customHeight="1" x14ac:dyDescent="0.3">
      <c r="A1040" s="35" t="s">
        <v>44</v>
      </c>
      <c r="B1040" s="10" t="s">
        <v>44</v>
      </c>
      <c r="C1040" s="5" t="s">
        <v>97</v>
      </c>
      <c r="D1040" s="5" t="s">
        <v>102</v>
      </c>
      <c r="E1040" s="4" t="str" cm="1">
        <f t="array" ref="E1040">_xlfn.IFS(
F1040 = "A partir de Abril", "Aguardando Execução na Distribuidora",
A1040 = "CAPACITAÇÃO", "Em execução no Corporativo",
TRUE, "Em Execução na Distribuidora"
)</f>
        <v>Em Execução na Distribuidora</v>
      </c>
      <c r="F1040" s="4" t="str" cm="1">
        <f t="array" ref="F1040">_xlfn.IFS(
AG1040 &lt;&gt; "", "Jan-Dez/26",
AH1040 &lt;&gt; "", "Fev-Dez/26",
AI1040 &lt;&gt; "", "Mar-Dez/26", AJ1040 &lt;&gt; "", "Abr-Dez/26",
TRUE, "A partir de Junho"
)</f>
        <v>A partir de Junho</v>
      </c>
      <c r="G1040" s="10" t="s">
        <v>44</v>
      </c>
      <c r="H1040" s="36" t="s">
        <v>44</v>
      </c>
      <c r="I1040" s="37"/>
      <c r="J1040" s="37"/>
      <c r="K1040" s="37"/>
      <c r="L1040" s="37" t="s">
        <v>203</v>
      </c>
      <c r="M1040" s="37"/>
      <c r="N1040" s="5" t="s">
        <v>42</v>
      </c>
      <c r="O1040" s="5" t="s">
        <v>52</v>
      </c>
      <c r="P1040" s="10" t="s">
        <v>44</v>
      </c>
      <c r="Q1040" s="10" t="s">
        <v>44</v>
      </c>
      <c r="R1040" s="11" t="s">
        <v>44</v>
      </c>
      <c r="S1040" s="11" t="s">
        <v>44</v>
      </c>
      <c r="T1040" s="22"/>
      <c r="U1040" s="22"/>
      <c r="V1040" s="22"/>
      <c r="W1040" s="22"/>
      <c r="X1040" s="22"/>
      <c r="Y1040" s="22"/>
      <c r="Z1040" s="22"/>
      <c r="AA1040" s="22"/>
      <c r="AB1040" s="22"/>
      <c r="AC1040" s="22"/>
      <c r="AD1040" s="22"/>
      <c r="AE1040" s="22"/>
      <c r="AG1040" s="112"/>
      <c r="AH1040" s="112"/>
      <c r="AI1040" s="112"/>
      <c r="AJ1040" s="71"/>
      <c r="AK1040" s="71"/>
      <c r="AL1040" s="71"/>
      <c r="AM1040" s="71"/>
      <c r="AN1040" s="71"/>
      <c r="AO1040" s="71"/>
      <c r="AP1040" s="71"/>
      <c r="AQ1040" s="71"/>
      <c r="AR1040" s="71"/>
      <c r="AS1040" s="94"/>
      <c r="AT1040" s="95"/>
      <c r="AU1040" s="97"/>
      <c r="AW1040" s="84">
        <f t="shared" si="1217"/>
        <v>0</v>
      </c>
      <c r="AX1040" s="84">
        <f t="shared" si="1218"/>
        <v>0</v>
      </c>
      <c r="AY1040" s="84">
        <f t="shared" si="1219"/>
        <v>0</v>
      </c>
      <c r="AZ1040" s="84"/>
      <c r="BA1040" s="84"/>
      <c r="BB1040" s="84"/>
      <c r="BC1040" s="84"/>
      <c r="BD1040" s="84"/>
      <c r="BE1040" s="84"/>
      <c r="BF1040" s="84"/>
      <c r="BG1040" s="84"/>
      <c r="BH1040" s="84"/>
      <c r="BI1040" s="68" cm="1">
        <f t="array" ref="BI1040">IFERROR(INDEX(AW1040:BH1040,1,MATCH(2,1/(AW1040:BH1040&lt;&gt;""))),"")</f>
        <v>0</v>
      </c>
      <c r="BJ1040" s="68" cm="1">
        <f t="array" ref="BJ1040">IF(BM1040 = "", "",IFERROR(INDEX(AW1040:BH1040,1,MATCH(2,1/(AW1040:BH1040&lt;&gt;""),1)-1),""))</f>
        <v>0</v>
      </c>
      <c r="BK1040" s="57" cm="1">
        <f t="array" ref="BK1040">IFERROR(INDEX(AW1040:BH1040,1,MATCH(2,1/(AW1040:BH1040&lt;&gt;""),1)),"")</f>
        <v>0</v>
      </c>
      <c r="BL1040" s="57" cm="1">
        <f t="array" ref="BL1040">IF(BM1040 = "", "",IFERROR(INDEX(AW1040:BH1040,1,MATCH(2,1/(AW1040:BH1040&lt;&gt;""),1)-1),""))</f>
        <v>0</v>
      </c>
      <c r="BM1040" s="55" cm="1">
        <f t="array" ref="BM1040">IFERROR(
   INDEX($AW$1:$BH$1,
      _xlfn.AGGREGATE(14, 6, COLUMN($AW$1:$BH$1)/(AW1040:BH1040&lt;&gt;""), 2) - COLUMN($AW$1) + 1
   ),
"")</f>
        <v>46054</v>
      </c>
      <c r="BN1040" s="55" cm="1">
        <f t="array" ref="BN1040">IFERROR(INDEX($AW$1:$BH$1,1,MATCH(2,1/(AW1040:BH1040&lt;&gt;""))),"")</f>
        <v>46082</v>
      </c>
      <c r="BO1040" s="53">
        <f ca="1">IFERROR(_xlfn.XLOOKUP(F1040,Apuração!A:A,Apuração!C:C)/_xlfn.XLOOKUP(F1040,Apuração!A:A,Apuração!B:B),0)</f>
        <v>0</v>
      </c>
      <c r="BP1040" s="53">
        <f ca="1">IFERROR(_xlfn.XLOOKUP(F1040,Apuração!A:A,Apuração!D:D)/_xlfn.XLOOKUP(F1040,Apuração!A:A,Apuração!B:B),0)</f>
        <v>0</v>
      </c>
      <c r="BQ1040" s="53">
        <f ca="1">IF(BK1040&gt;=BO1040,0,_xlfn.XLOOKUP(F1040,Apuração!A:A,Apuração!B:B)*(BO1040 + (1/_xlfn.XLOOKUP(F1040,Apuração!A:A,Apuração!B:B)) - BK1040))</f>
        <v>0</v>
      </c>
      <c r="BR1040" s="85">
        <f t="shared" ca="1" si="1220"/>
        <v>0</v>
      </c>
      <c r="BS1040" s="53">
        <f ca="1">IFERROR((_xlfn.XLOOKUP(F1040,Apuração!A:A,Apuração!C:C)+1)/_xlfn.XLOOKUP(F1040,Apuração!A:A,Apuração!B:B),0)</f>
        <v>0.14285714285714285</v>
      </c>
    </row>
    <row r="1041" spans="1:71" ht="25.95" hidden="1" customHeight="1" x14ac:dyDescent="0.3">
      <c r="A1041" s="35" t="s">
        <v>44</v>
      </c>
      <c r="B1041" s="10" t="s">
        <v>44</v>
      </c>
      <c r="C1041" s="5" t="s">
        <v>97</v>
      </c>
      <c r="D1041" s="5" t="s">
        <v>103</v>
      </c>
      <c r="E1041" s="4" t="str" cm="1">
        <f t="array" ref="E1041">_xlfn.IFS(
F1041 = "A partir de Abril", "Aguardando Execução na Distribuidora",
A1041 = "CAPACITAÇÃO", "Em execução no Corporativo",
TRUE, "Em Execução na Distribuidora"
)</f>
        <v>Em Execução na Distribuidora</v>
      </c>
      <c r="F1041" s="4" t="str" cm="1">
        <f t="array" ref="F1041">_xlfn.IFS(
AG1041 &lt;&gt; "", "Jan-Dez/26",
AH1041 &lt;&gt; "", "Fev-Dez/26",
AI1041 &lt;&gt; "", "Mar-Dez/26", AJ1041 &lt;&gt; "", "Abr-Dez/26",
TRUE, "A partir de Junho"
)</f>
        <v>A partir de Junho</v>
      </c>
      <c r="G1041" s="10" t="s">
        <v>44</v>
      </c>
      <c r="H1041" s="36" t="s">
        <v>44</v>
      </c>
      <c r="I1041" s="37"/>
      <c r="J1041" s="37"/>
      <c r="K1041" s="37"/>
      <c r="L1041" s="37" t="s">
        <v>203</v>
      </c>
      <c r="M1041" s="37"/>
      <c r="N1041" s="5" t="s">
        <v>42</v>
      </c>
      <c r="O1041" s="5" t="s">
        <v>52</v>
      </c>
      <c r="P1041" s="10" t="s">
        <v>44</v>
      </c>
      <c r="Q1041" s="10" t="s">
        <v>44</v>
      </c>
      <c r="R1041" s="11" t="s">
        <v>44</v>
      </c>
      <c r="S1041" s="11" t="s">
        <v>44</v>
      </c>
      <c r="T1041" s="22"/>
      <c r="U1041" s="22"/>
      <c r="V1041" s="22"/>
      <c r="W1041" s="22"/>
      <c r="X1041" s="22"/>
      <c r="Y1041" s="22"/>
      <c r="Z1041" s="22"/>
      <c r="AA1041" s="22"/>
      <c r="AB1041" s="22"/>
      <c r="AC1041" s="22"/>
      <c r="AD1041" s="22"/>
      <c r="AE1041" s="22"/>
      <c r="AG1041" s="112"/>
      <c r="AH1041" s="112"/>
      <c r="AI1041" s="112"/>
      <c r="AJ1041" s="71"/>
      <c r="AK1041" s="71"/>
      <c r="AL1041" s="71"/>
      <c r="AM1041" s="71"/>
      <c r="AN1041" s="71"/>
      <c r="AO1041" s="71"/>
      <c r="AP1041" s="71"/>
      <c r="AQ1041" s="71"/>
      <c r="AR1041" s="71"/>
      <c r="AS1041" s="94"/>
      <c r="AT1041" s="95"/>
      <c r="AU1041" s="97"/>
      <c r="AW1041" s="84">
        <f t="shared" si="1217"/>
        <v>0</v>
      </c>
      <c r="AX1041" s="84">
        <f t="shared" si="1218"/>
        <v>0</v>
      </c>
      <c r="AY1041" s="84">
        <f t="shared" si="1219"/>
        <v>0</v>
      </c>
      <c r="AZ1041" s="84"/>
      <c r="BA1041" s="84"/>
      <c r="BB1041" s="84"/>
      <c r="BC1041" s="84"/>
      <c r="BD1041" s="84"/>
      <c r="BE1041" s="84"/>
      <c r="BF1041" s="84"/>
      <c r="BG1041" s="84"/>
      <c r="BH1041" s="84"/>
      <c r="BI1041" s="68" cm="1">
        <f t="array" ref="BI1041">IFERROR(INDEX(AW1041:BH1041,1,MATCH(2,1/(AW1041:BH1041&lt;&gt;""))),"")</f>
        <v>0</v>
      </c>
      <c r="BJ1041" s="68" cm="1">
        <f t="array" ref="BJ1041">IF(BM1041 = "", "",IFERROR(INDEX(AW1041:BH1041,1,MATCH(2,1/(AW1041:BH1041&lt;&gt;""),1)-1),""))</f>
        <v>0</v>
      </c>
      <c r="BK1041" s="57" cm="1">
        <f t="array" ref="BK1041">IFERROR(INDEX(AW1041:BH1041,1,MATCH(2,1/(AW1041:BH1041&lt;&gt;""),1)),"")</f>
        <v>0</v>
      </c>
      <c r="BL1041" s="57" cm="1">
        <f t="array" ref="BL1041">IF(BM1041 = "", "",IFERROR(INDEX(AW1041:BH1041,1,MATCH(2,1/(AW1041:BH1041&lt;&gt;""),1)-1),""))</f>
        <v>0</v>
      </c>
      <c r="BM1041" s="55" cm="1">
        <f t="array" ref="BM1041">IFERROR(
   INDEX($AW$1:$BH$1,
      _xlfn.AGGREGATE(14, 6, COLUMN($AW$1:$BH$1)/(AW1041:BH1041&lt;&gt;""), 2) - COLUMN($AW$1) + 1
   ),
"")</f>
        <v>46054</v>
      </c>
      <c r="BN1041" s="55" cm="1">
        <f t="array" ref="BN1041">IFERROR(INDEX($AW$1:$BH$1,1,MATCH(2,1/(AW1041:BH1041&lt;&gt;""))),"")</f>
        <v>46082</v>
      </c>
      <c r="BO1041" s="53">
        <f ca="1">IFERROR(_xlfn.XLOOKUP(F1041,Apuração!A:A,Apuração!C:C)/_xlfn.XLOOKUP(F1041,Apuração!A:A,Apuração!B:B),0)</f>
        <v>0</v>
      </c>
      <c r="BP1041" s="53">
        <f ca="1">IFERROR(_xlfn.XLOOKUP(F1041,Apuração!A:A,Apuração!D:D)/_xlfn.XLOOKUP(F1041,Apuração!A:A,Apuração!B:B),0)</f>
        <v>0</v>
      </c>
      <c r="BQ1041" s="53">
        <f ca="1">IF(BK1041&gt;=BO1041,0,_xlfn.XLOOKUP(F1041,Apuração!A:A,Apuração!B:B)*(BO1041 + (1/_xlfn.XLOOKUP(F1041,Apuração!A:A,Apuração!B:B)) - BK1041))</f>
        <v>0</v>
      </c>
      <c r="BR1041" s="85">
        <f t="shared" ca="1" si="1220"/>
        <v>0</v>
      </c>
      <c r="BS1041" s="53">
        <f ca="1">IFERROR((_xlfn.XLOOKUP(F1041,Apuração!A:A,Apuração!C:C)+1)/_xlfn.XLOOKUP(F1041,Apuração!A:A,Apuração!B:B),0)</f>
        <v>0.14285714285714285</v>
      </c>
    </row>
    <row r="1042" spans="1:71" ht="25.95" hidden="1" customHeight="1" x14ac:dyDescent="0.3">
      <c r="A1042" s="35" t="s">
        <v>44</v>
      </c>
      <c r="B1042" s="10" t="s">
        <v>44</v>
      </c>
      <c r="C1042" s="5" t="s">
        <v>97</v>
      </c>
      <c r="D1042" s="5" t="s">
        <v>104</v>
      </c>
      <c r="E1042" s="4" t="str" cm="1">
        <f t="array" ref="E1042">_xlfn.IFS(
F1042 = "A partir de Abril", "Aguardando Execução na Distribuidora",
A1042 = "CAPACITAÇÃO", "Em execução no Corporativo",
TRUE, "Em Execução na Distribuidora"
)</f>
        <v>Em Execução na Distribuidora</v>
      </c>
      <c r="F1042" s="4" t="str" cm="1">
        <f t="array" ref="F1042">_xlfn.IFS(
AG1042 &lt;&gt; "", "Jan-Dez/26",
AH1042 &lt;&gt; "", "Fev-Dez/26",
AI1042 &lt;&gt; "", "Mar-Dez/26", AJ1042 &lt;&gt; "", "Abr-Dez/26",
TRUE, "A partir de Junho"
)</f>
        <v>A partir de Junho</v>
      </c>
      <c r="G1042" s="10" t="s">
        <v>44</v>
      </c>
      <c r="H1042" s="36" t="s">
        <v>44</v>
      </c>
      <c r="I1042" s="37"/>
      <c r="J1042" s="37"/>
      <c r="K1042" s="37"/>
      <c r="L1042" s="37" t="s">
        <v>203</v>
      </c>
      <c r="M1042" s="37"/>
      <c r="N1042" s="5" t="s">
        <v>42</v>
      </c>
      <c r="O1042" s="5" t="s">
        <v>52</v>
      </c>
      <c r="P1042" s="10" t="s">
        <v>44</v>
      </c>
      <c r="Q1042" s="10" t="s">
        <v>44</v>
      </c>
      <c r="R1042" s="11" t="s">
        <v>44</v>
      </c>
      <c r="S1042" s="11" t="s">
        <v>44</v>
      </c>
      <c r="T1042" s="22"/>
      <c r="U1042" s="22"/>
      <c r="V1042" s="22"/>
      <c r="W1042" s="22"/>
      <c r="X1042" s="22"/>
      <c r="Y1042" s="22"/>
      <c r="Z1042" s="22"/>
      <c r="AA1042" s="22"/>
      <c r="AB1042" s="22"/>
      <c r="AC1042" s="22"/>
      <c r="AD1042" s="22"/>
      <c r="AE1042" s="22"/>
      <c r="AG1042" s="112"/>
      <c r="AH1042" s="112"/>
      <c r="AI1042" s="112"/>
      <c r="AJ1042" s="71"/>
      <c r="AK1042" s="71"/>
      <c r="AL1042" s="71"/>
      <c r="AM1042" s="71"/>
      <c r="AN1042" s="71"/>
      <c r="AO1042" s="71"/>
      <c r="AP1042" s="71"/>
      <c r="AQ1042" s="71"/>
      <c r="AR1042" s="71"/>
      <c r="AS1042" s="94"/>
      <c r="AT1042" s="95"/>
      <c r="AU1042" s="97"/>
      <c r="AW1042" s="84">
        <f t="shared" si="1217"/>
        <v>0</v>
      </c>
      <c r="AX1042" s="84">
        <f t="shared" si="1218"/>
        <v>0</v>
      </c>
      <c r="AY1042" s="84">
        <f t="shared" si="1219"/>
        <v>0</v>
      </c>
      <c r="AZ1042" s="84"/>
      <c r="BA1042" s="84"/>
      <c r="BB1042" s="84"/>
      <c r="BC1042" s="84"/>
      <c r="BD1042" s="84"/>
      <c r="BE1042" s="84"/>
      <c r="BF1042" s="84"/>
      <c r="BG1042" s="84"/>
      <c r="BH1042" s="84"/>
      <c r="BI1042" s="68" cm="1">
        <f t="array" ref="BI1042">IFERROR(INDEX(AW1042:BH1042,1,MATCH(2,1/(AW1042:BH1042&lt;&gt;""))),"")</f>
        <v>0</v>
      </c>
      <c r="BJ1042" s="68" cm="1">
        <f t="array" ref="BJ1042">IF(BM1042 = "", "",IFERROR(INDEX(AW1042:BH1042,1,MATCH(2,1/(AW1042:BH1042&lt;&gt;""),1)-1),""))</f>
        <v>0</v>
      </c>
      <c r="BK1042" s="57" cm="1">
        <f t="array" ref="BK1042">IFERROR(INDEX(AW1042:BH1042,1,MATCH(2,1/(AW1042:BH1042&lt;&gt;""),1)),"")</f>
        <v>0</v>
      </c>
      <c r="BL1042" s="57" cm="1">
        <f t="array" ref="BL1042">IF(BM1042 = "", "",IFERROR(INDEX(AW1042:BH1042,1,MATCH(2,1/(AW1042:BH1042&lt;&gt;""),1)-1),""))</f>
        <v>0</v>
      </c>
      <c r="BM1042" s="55" cm="1">
        <f t="array" ref="BM1042">IFERROR(
   INDEX($AW$1:$BH$1,
      _xlfn.AGGREGATE(14, 6, COLUMN($AW$1:$BH$1)/(AW1042:BH1042&lt;&gt;""), 2) - COLUMN($AW$1) + 1
   ),
"")</f>
        <v>46054</v>
      </c>
      <c r="BN1042" s="55" cm="1">
        <f t="array" ref="BN1042">IFERROR(INDEX($AW$1:$BH$1,1,MATCH(2,1/(AW1042:BH1042&lt;&gt;""))),"")</f>
        <v>46082</v>
      </c>
      <c r="BO1042" s="53">
        <f ca="1">IFERROR(_xlfn.XLOOKUP(F1042,Apuração!A:A,Apuração!C:C)/_xlfn.XLOOKUP(F1042,Apuração!A:A,Apuração!B:B),0)</f>
        <v>0</v>
      </c>
      <c r="BP1042" s="53">
        <f ca="1">IFERROR(_xlfn.XLOOKUP(F1042,Apuração!A:A,Apuração!D:D)/_xlfn.XLOOKUP(F1042,Apuração!A:A,Apuração!B:B),0)</f>
        <v>0</v>
      </c>
      <c r="BQ1042" s="53">
        <f ca="1">IF(BK1042&gt;=BO1042,0,_xlfn.XLOOKUP(F1042,Apuração!A:A,Apuração!B:B)*(BO1042 + (1/_xlfn.XLOOKUP(F1042,Apuração!A:A,Apuração!B:B)) - BK1042))</f>
        <v>0</v>
      </c>
      <c r="BR1042" s="85">
        <f t="shared" ca="1" si="1220"/>
        <v>0</v>
      </c>
      <c r="BS1042" s="53">
        <f ca="1">IFERROR((_xlfn.XLOOKUP(F1042,Apuração!A:A,Apuração!C:C)+1)/_xlfn.XLOOKUP(F1042,Apuração!A:A,Apuração!B:B),0)</f>
        <v>0.14285714285714285</v>
      </c>
    </row>
    <row r="1043" spans="1:71" ht="25.95" hidden="1" customHeight="1" x14ac:dyDescent="0.3">
      <c r="A1043" s="35" t="s">
        <v>44</v>
      </c>
      <c r="B1043" s="10" t="s">
        <v>44</v>
      </c>
      <c r="C1043" s="5" t="s">
        <v>97</v>
      </c>
      <c r="D1043" s="5" t="s">
        <v>105</v>
      </c>
      <c r="E1043" s="4" t="str" cm="1">
        <f t="array" ref="E1043">_xlfn.IFS(
F1043 = "A partir de Abril", "Aguardando Execução na Distribuidora",
A1043 = "CAPACITAÇÃO", "Em execução no Corporativo",
TRUE, "Em Execução na Distribuidora"
)</f>
        <v>Em Execução na Distribuidora</v>
      </c>
      <c r="F1043" s="4" t="str" cm="1">
        <f t="array" ref="F1043">_xlfn.IFS(
AG1043 &lt;&gt; "", "Jan-Dez/26",
AH1043 &lt;&gt; "", "Fev-Dez/26",
AI1043 &lt;&gt; "", "Mar-Dez/26", AJ1043 &lt;&gt; "", "Abr-Dez/26",
TRUE, "A partir de Junho"
)</f>
        <v>A partir de Junho</v>
      </c>
      <c r="G1043" s="10" t="s">
        <v>44</v>
      </c>
      <c r="H1043" s="36" t="s">
        <v>44</v>
      </c>
      <c r="I1043" s="37"/>
      <c r="J1043" s="37"/>
      <c r="K1043" s="37"/>
      <c r="L1043" s="37" t="s">
        <v>203</v>
      </c>
      <c r="M1043" s="37"/>
      <c r="N1043" s="5" t="s">
        <v>42</v>
      </c>
      <c r="O1043" s="5" t="s">
        <v>52</v>
      </c>
      <c r="P1043" s="10" t="s">
        <v>44</v>
      </c>
      <c r="Q1043" s="10" t="s">
        <v>44</v>
      </c>
      <c r="R1043" s="11" t="s">
        <v>44</v>
      </c>
      <c r="S1043" s="11" t="s">
        <v>44</v>
      </c>
      <c r="T1043" s="22"/>
      <c r="U1043" s="22"/>
      <c r="V1043" s="22"/>
      <c r="W1043" s="22"/>
      <c r="X1043" s="22"/>
      <c r="Y1043" s="22"/>
      <c r="Z1043" s="22"/>
      <c r="AA1043" s="22"/>
      <c r="AB1043" s="22"/>
      <c r="AC1043" s="22"/>
      <c r="AD1043" s="22"/>
      <c r="AE1043" s="22"/>
      <c r="AG1043" s="112"/>
      <c r="AH1043" s="112"/>
      <c r="AI1043" s="112"/>
      <c r="AJ1043" s="71"/>
      <c r="AK1043" s="71"/>
      <c r="AL1043" s="71"/>
      <c r="AM1043" s="71"/>
      <c r="AN1043" s="71"/>
      <c r="AO1043" s="71"/>
      <c r="AP1043" s="71"/>
      <c r="AQ1043" s="71"/>
      <c r="AR1043" s="71"/>
      <c r="AS1043" s="94"/>
      <c r="AT1043" s="95"/>
      <c r="AU1043" s="97"/>
      <c r="AW1043" s="84">
        <f t="shared" si="1217"/>
        <v>0</v>
      </c>
      <c r="AX1043" s="84">
        <f t="shared" si="1218"/>
        <v>0</v>
      </c>
      <c r="AY1043" s="84">
        <f t="shared" si="1219"/>
        <v>0</v>
      </c>
      <c r="AZ1043" s="84"/>
      <c r="BA1043" s="84"/>
      <c r="BB1043" s="84"/>
      <c r="BC1043" s="84"/>
      <c r="BD1043" s="84"/>
      <c r="BE1043" s="84"/>
      <c r="BF1043" s="84"/>
      <c r="BG1043" s="84"/>
      <c r="BH1043" s="84"/>
      <c r="BI1043" s="68" cm="1">
        <f t="array" ref="BI1043">IFERROR(INDEX(AW1043:BH1043,1,MATCH(2,1/(AW1043:BH1043&lt;&gt;""))),"")</f>
        <v>0</v>
      </c>
      <c r="BJ1043" s="68" cm="1">
        <f t="array" ref="BJ1043">IF(BM1043 = "", "",IFERROR(INDEX(AW1043:BH1043,1,MATCH(2,1/(AW1043:BH1043&lt;&gt;""),1)-1),""))</f>
        <v>0</v>
      </c>
      <c r="BK1043" s="57" cm="1">
        <f t="array" ref="BK1043">IFERROR(INDEX(AW1043:BH1043,1,MATCH(2,1/(AW1043:BH1043&lt;&gt;""),1)),"")</f>
        <v>0</v>
      </c>
      <c r="BL1043" s="57" cm="1">
        <f t="array" ref="BL1043">IF(BM1043 = "", "",IFERROR(INDEX(AW1043:BH1043,1,MATCH(2,1/(AW1043:BH1043&lt;&gt;""),1)-1),""))</f>
        <v>0</v>
      </c>
      <c r="BM1043" s="55" cm="1">
        <f t="array" ref="BM1043">IFERROR(
   INDEX($AW$1:$BH$1,
      _xlfn.AGGREGATE(14, 6, COLUMN($AW$1:$BH$1)/(AW1043:BH1043&lt;&gt;""), 2) - COLUMN($AW$1) + 1
   ),
"")</f>
        <v>46054</v>
      </c>
      <c r="BN1043" s="55" cm="1">
        <f t="array" ref="BN1043">IFERROR(INDEX($AW$1:$BH$1,1,MATCH(2,1/(AW1043:BH1043&lt;&gt;""))),"")</f>
        <v>46082</v>
      </c>
      <c r="BO1043" s="53">
        <f ca="1">IFERROR(_xlfn.XLOOKUP(F1043,Apuração!A:A,Apuração!C:C)/_xlfn.XLOOKUP(F1043,Apuração!A:A,Apuração!B:B),0)</f>
        <v>0</v>
      </c>
      <c r="BP1043" s="53">
        <f ca="1">IFERROR(_xlfn.XLOOKUP(F1043,Apuração!A:A,Apuração!D:D)/_xlfn.XLOOKUP(F1043,Apuração!A:A,Apuração!B:B),0)</f>
        <v>0</v>
      </c>
      <c r="BQ1043" s="53">
        <f ca="1">IF(BK1043&gt;=BO1043,0,_xlfn.XLOOKUP(F1043,Apuração!A:A,Apuração!B:B)*(BO1043 + (1/_xlfn.XLOOKUP(F1043,Apuração!A:A,Apuração!B:B)) - BK1043))</f>
        <v>0</v>
      </c>
      <c r="BR1043" s="85">
        <f t="shared" ca="1" si="1220"/>
        <v>0</v>
      </c>
      <c r="BS1043" s="53">
        <f ca="1">IFERROR((_xlfn.XLOOKUP(F1043,Apuração!A:A,Apuração!C:C)+1)/_xlfn.XLOOKUP(F1043,Apuração!A:A,Apuração!B:B),0)</f>
        <v>0.14285714285714285</v>
      </c>
    </row>
    <row r="1044" spans="1:71" ht="25.95" hidden="1" customHeight="1" x14ac:dyDescent="0.3">
      <c r="A1044" s="35" t="s">
        <v>44</v>
      </c>
      <c r="B1044" s="10" t="s">
        <v>44</v>
      </c>
      <c r="C1044" s="5" t="s">
        <v>97</v>
      </c>
      <c r="D1044" s="5" t="s">
        <v>106</v>
      </c>
      <c r="E1044" s="4" t="str" cm="1">
        <f t="array" ref="E1044">_xlfn.IFS(
F1044 = "A partir de Abril", "Aguardando Execução na Distribuidora",
A1044 = "CAPACITAÇÃO", "Em execução no Corporativo",
TRUE, "Em Execução na Distribuidora"
)</f>
        <v>Em Execução na Distribuidora</v>
      </c>
      <c r="F1044" s="4" t="str" cm="1">
        <f t="array" ref="F1044">_xlfn.IFS(
AG1044 &lt;&gt; "", "Jan-Dez/26",
AH1044 &lt;&gt; "", "Fev-Dez/26",
AI1044 &lt;&gt; "", "Mar-Dez/26", AJ1044 &lt;&gt; "", "Abr-Dez/26",
TRUE, "A partir de Junho"
)</f>
        <v>A partir de Junho</v>
      </c>
      <c r="G1044" s="10" t="s">
        <v>44</v>
      </c>
      <c r="H1044" s="36" t="s">
        <v>44</v>
      </c>
      <c r="I1044" s="37"/>
      <c r="J1044" s="37"/>
      <c r="K1044" s="37"/>
      <c r="L1044" s="37" t="s">
        <v>203</v>
      </c>
      <c r="M1044" s="37"/>
      <c r="N1044" s="5" t="s">
        <v>42</v>
      </c>
      <c r="O1044" s="5" t="s">
        <v>52</v>
      </c>
      <c r="P1044" s="10" t="s">
        <v>44</v>
      </c>
      <c r="Q1044" s="10" t="s">
        <v>44</v>
      </c>
      <c r="R1044" s="11" t="s">
        <v>44</v>
      </c>
      <c r="S1044" s="11" t="s">
        <v>44</v>
      </c>
      <c r="T1044" s="22"/>
      <c r="U1044" s="22"/>
      <c r="V1044" s="22"/>
      <c r="W1044" s="22"/>
      <c r="X1044" s="22"/>
      <c r="Y1044" s="22"/>
      <c r="Z1044" s="22"/>
      <c r="AA1044" s="22"/>
      <c r="AB1044" s="22"/>
      <c r="AC1044" s="22"/>
      <c r="AD1044" s="22"/>
      <c r="AE1044" s="22"/>
      <c r="AG1044" s="112"/>
      <c r="AH1044" s="112"/>
      <c r="AI1044" s="112"/>
      <c r="AJ1044" s="71"/>
      <c r="AK1044" s="71"/>
      <c r="AL1044" s="71"/>
      <c r="AM1044" s="71"/>
      <c r="AN1044" s="71"/>
      <c r="AO1044" s="71"/>
      <c r="AP1044" s="71"/>
      <c r="AQ1044" s="71"/>
      <c r="AR1044" s="71"/>
      <c r="AS1044" s="94"/>
      <c r="AT1044" s="95"/>
      <c r="AU1044" s="97"/>
      <c r="AW1044" s="84">
        <f t="shared" si="1217"/>
        <v>0</v>
      </c>
      <c r="AX1044" s="84">
        <f t="shared" si="1218"/>
        <v>0</v>
      </c>
      <c r="AY1044" s="84">
        <f t="shared" si="1219"/>
        <v>0</v>
      </c>
      <c r="AZ1044" s="84"/>
      <c r="BA1044" s="84"/>
      <c r="BB1044" s="84"/>
      <c r="BC1044" s="84"/>
      <c r="BD1044" s="84"/>
      <c r="BE1044" s="84"/>
      <c r="BF1044" s="84"/>
      <c r="BG1044" s="84"/>
      <c r="BH1044" s="84"/>
      <c r="BI1044" s="68" cm="1">
        <f t="array" ref="BI1044">IFERROR(INDEX(AW1044:BH1044,1,MATCH(2,1/(AW1044:BH1044&lt;&gt;""))),"")</f>
        <v>0</v>
      </c>
      <c r="BJ1044" s="68" cm="1">
        <f t="array" ref="BJ1044">IF(BM1044 = "", "",IFERROR(INDEX(AW1044:BH1044,1,MATCH(2,1/(AW1044:BH1044&lt;&gt;""),1)-1),""))</f>
        <v>0</v>
      </c>
      <c r="BK1044" s="57" cm="1">
        <f t="array" ref="BK1044">IFERROR(INDEX(AW1044:BH1044,1,MATCH(2,1/(AW1044:BH1044&lt;&gt;""),1)),"")</f>
        <v>0</v>
      </c>
      <c r="BL1044" s="57" cm="1">
        <f t="array" ref="BL1044">IF(BM1044 = "", "",IFERROR(INDEX(AW1044:BH1044,1,MATCH(2,1/(AW1044:BH1044&lt;&gt;""),1)-1),""))</f>
        <v>0</v>
      </c>
      <c r="BM1044" s="55" cm="1">
        <f t="array" ref="BM1044">IFERROR(
   INDEX($AW$1:$BH$1,
      _xlfn.AGGREGATE(14, 6, COLUMN($AW$1:$BH$1)/(AW1044:BH1044&lt;&gt;""), 2) - COLUMN($AW$1) + 1
   ),
"")</f>
        <v>46054</v>
      </c>
      <c r="BN1044" s="55" cm="1">
        <f t="array" ref="BN1044">IFERROR(INDEX($AW$1:$BH$1,1,MATCH(2,1/(AW1044:BH1044&lt;&gt;""))),"")</f>
        <v>46082</v>
      </c>
      <c r="BO1044" s="53">
        <f ca="1">IFERROR(_xlfn.XLOOKUP(F1044,Apuração!A:A,Apuração!C:C)/_xlfn.XLOOKUP(F1044,Apuração!A:A,Apuração!B:B),0)</f>
        <v>0</v>
      </c>
      <c r="BP1044" s="53">
        <f ca="1">IFERROR(_xlfn.XLOOKUP(F1044,Apuração!A:A,Apuração!D:D)/_xlfn.XLOOKUP(F1044,Apuração!A:A,Apuração!B:B),0)</f>
        <v>0</v>
      </c>
      <c r="BQ1044" s="53">
        <f ca="1">IF(BK1044&gt;=BO1044,0,_xlfn.XLOOKUP(F1044,Apuração!A:A,Apuração!B:B)*(BO1044 + (1/_xlfn.XLOOKUP(F1044,Apuração!A:A,Apuração!B:B)) - BK1044))</f>
        <v>0</v>
      </c>
      <c r="BR1044" s="85">
        <f t="shared" ca="1" si="1220"/>
        <v>0</v>
      </c>
      <c r="BS1044" s="53">
        <f ca="1">IFERROR((_xlfn.XLOOKUP(F1044,Apuração!A:A,Apuração!C:C)+1)/_xlfn.XLOOKUP(F1044,Apuração!A:A,Apuração!B:B),0)</f>
        <v>0.14285714285714285</v>
      </c>
    </row>
    <row r="1045" spans="1:71" ht="25.95" hidden="1" customHeight="1" x14ac:dyDescent="0.3">
      <c r="A1045" s="35" t="s">
        <v>44</v>
      </c>
      <c r="B1045" s="10" t="s">
        <v>44</v>
      </c>
      <c r="C1045" s="5" t="s">
        <v>97</v>
      </c>
      <c r="D1045" s="5" t="s">
        <v>107</v>
      </c>
      <c r="E1045" s="4" t="str" cm="1">
        <f t="array" ref="E1045">_xlfn.IFS(
F1045 = "A partir de Abril", "Aguardando Execução na Distribuidora",
A1045 = "CAPACITAÇÃO", "Em execução no Corporativo",
TRUE, "Em Execução na Distribuidora"
)</f>
        <v>Em Execução na Distribuidora</v>
      </c>
      <c r="F1045" s="4" t="str" cm="1">
        <f t="array" ref="F1045">_xlfn.IFS(
AG1045 &lt;&gt; "", "Jan-Dez/26",
AH1045 &lt;&gt; "", "Fev-Dez/26",
AI1045 &lt;&gt; "", "Mar-Dez/26", AJ1045 &lt;&gt; "", "Abr-Dez/26",
TRUE, "A partir de Junho"
)</f>
        <v>A partir de Junho</v>
      </c>
      <c r="G1045" s="10" t="s">
        <v>44</v>
      </c>
      <c r="H1045" s="36" t="s">
        <v>44</v>
      </c>
      <c r="I1045" s="37"/>
      <c r="J1045" s="37"/>
      <c r="K1045" s="37"/>
      <c r="L1045" s="37" t="s">
        <v>203</v>
      </c>
      <c r="M1045" s="37"/>
      <c r="N1045" s="5" t="s">
        <v>42</v>
      </c>
      <c r="O1045" s="5" t="s">
        <v>52</v>
      </c>
      <c r="P1045" s="10" t="s">
        <v>44</v>
      </c>
      <c r="Q1045" s="10" t="s">
        <v>44</v>
      </c>
      <c r="R1045" s="11" t="s">
        <v>44</v>
      </c>
      <c r="S1045" s="11" t="s">
        <v>44</v>
      </c>
      <c r="T1045" s="22"/>
      <c r="U1045" s="22"/>
      <c r="V1045" s="22"/>
      <c r="W1045" s="22"/>
      <c r="X1045" s="22"/>
      <c r="Y1045" s="22"/>
      <c r="Z1045" s="22"/>
      <c r="AA1045" s="22"/>
      <c r="AB1045" s="22"/>
      <c r="AC1045" s="22"/>
      <c r="AD1045" s="22"/>
      <c r="AE1045" s="22"/>
      <c r="AG1045" s="112"/>
      <c r="AH1045" s="112"/>
      <c r="AI1045" s="112"/>
      <c r="AJ1045" s="71"/>
      <c r="AK1045" s="71"/>
      <c r="AL1045" s="71"/>
      <c r="AM1045" s="71"/>
      <c r="AN1045" s="71"/>
      <c r="AO1045" s="71"/>
      <c r="AP1045" s="71"/>
      <c r="AQ1045" s="71"/>
      <c r="AR1045" s="71"/>
      <c r="AS1045" s="94"/>
      <c r="AT1045" s="95"/>
      <c r="AU1045" s="97"/>
      <c r="AW1045" s="84">
        <f t="shared" si="1217"/>
        <v>0</v>
      </c>
      <c r="AX1045" s="84">
        <f t="shared" si="1218"/>
        <v>0</v>
      </c>
      <c r="AY1045" s="84">
        <f t="shared" si="1219"/>
        <v>0</v>
      </c>
      <c r="AZ1045" s="84"/>
      <c r="BA1045" s="84"/>
      <c r="BB1045" s="84"/>
      <c r="BC1045" s="84"/>
      <c r="BD1045" s="84"/>
      <c r="BE1045" s="84"/>
      <c r="BF1045" s="84"/>
      <c r="BG1045" s="84"/>
      <c r="BH1045" s="84"/>
      <c r="BI1045" s="68" cm="1">
        <f t="array" ref="BI1045">IFERROR(INDEX(AW1045:BH1045,1,MATCH(2,1/(AW1045:BH1045&lt;&gt;""))),"")</f>
        <v>0</v>
      </c>
      <c r="BJ1045" s="68" cm="1">
        <f t="array" ref="BJ1045">IF(BM1045 = "", "",IFERROR(INDEX(AW1045:BH1045,1,MATCH(2,1/(AW1045:BH1045&lt;&gt;""),1)-1),""))</f>
        <v>0</v>
      </c>
      <c r="BK1045" s="57" cm="1">
        <f t="array" ref="BK1045">IFERROR(INDEX(AW1045:BH1045,1,MATCH(2,1/(AW1045:BH1045&lt;&gt;""),1)),"")</f>
        <v>0</v>
      </c>
      <c r="BL1045" s="57" cm="1">
        <f t="array" ref="BL1045">IF(BM1045 = "", "",IFERROR(INDEX(AW1045:BH1045,1,MATCH(2,1/(AW1045:BH1045&lt;&gt;""),1)-1),""))</f>
        <v>0</v>
      </c>
      <c r="BM1045" s="55" cm="1">
        <f t="array" ref="BM1045">IFERROR(
   INDEX($AW$1:$BH$1,
      _xlfn.AGGREGATE(14, 6, COLUMN($AW$1:$BH$1)/(AW1045:BH1045&lt;&gt;""), 2) - COLUMN($AW$1) + 1
   ),
"")</f>
        <v>46054</v>
      </c>
      <c r="BN1045" s="55" cm="1">
        <f t="array" ref="BN1045">IFERROR(INDEX($AW$1:$BH$1,1,MATCH(2,1/(AW1045:BH1045&lt;&gt;""))),"")</f>
        <v>46082</v>
      </c>
      <c r="BO1045" s="53">
        <f ca="1">IFERROR(_xlfn.XLOOKUP(F1045,Apuração!A:A,Apuração!C:C)/_xlfn.XLOOKUP(F1045,Apuração!A:A,Apuração!B:B),0)</f>
        <v>0</v>
      </c>
      <c r="BP1045" s="53">
        <f ca="1">IFERROR(_xlfn.XLOOKUP(F1045,Apuração!A:A,Apuração!D:D)/_xlfn.XLOOKUP(F1045,Apuração!A:A,Apuração!B:B),0)</f>
        <v>0</v>
      </c>
      <c r="BQ1045" s="53">
        <f ca="1">IF(BK1045&gt;=BO1045,0,_xlfn.XLOOKUP(F1045,Apuração!A:A,Apuração!B:B)*(BO1045 + (1/_xlfn.XLOOKUP(F1045,Apuração!A:A,Apuração!B:B)) - BK1045))</f>
        <v>0</v>
      </c>
      <c r="BR1045" s="85">
        <f t="shared" ca="1" si="1220"/>
        <v>0</v>
      </c>
      <c r="BS1045" s="53">
        <f ca="1">IFERROR((_xlfn.XLOOKUP(F1045,Apuração!A:A,Apuração!C:C)+1)/_xlfn.XLOOKUP(F1045,Apuração!A:A,Apuração!B:B),0)</f>
        <v>0.14285714285714285</v>
      </c>
    </row>
    <row r="1046" spans="1:71" ht="25.95" hidden="1" customHeight="1" x14ac:dyDescent="0.3">
      <c r="A1046" s="35" t="s">
        <v>44</v>
      </c>
      <c r="B1046" s="10" t="s">
        <v>44</v>
      </c>
      <c r="C1046" s="5" t="s">
        <v>97</v>
      </c>
      <c r="D1046" s="5" t="s">
        <v>36</v>
      </c>
      <c r="E1046" s="4" t="str" cm="1">
        <f t="array" ref="E1046">_xlfn.IFS(
F1046 = "A partir de Abril", "Aguardando Execução na Distribuidora",
A1046 = "CAPACITAÇÃO", "Em execução no Corporativo",
TRUE, "Em Execução na Distribuidora"
)</f>
        <v>Em Execução na Distribuidora</v>
      </c>
      <c r="F1046" s="4" t="str" cm="1">
        <f t="array" ref="F1046">_xlfn.IFS(
AG1046 &lt;&gt; "", "Jan-Dez/26",
AH1046 &lt;&gt; "", "Fev-Dez/26",
AI1046 &lt;&gt; "", "Mar-Dez/26", AJ1046 &lt;&gt; "", "Abr-Dez/26",
TRUE, "A partir de Junho"
)</f>
        <v>A partir de Junho</v>
      </c>
      <c r="G1046" s="10" t="s">
        <v>44</v>
      </c>
      <c r="H1046" s="36" t="s">
        <v>44</v>
      </c>
      <c r="I1046" s="37"/>
      <c r="J1046" s="37"/>
      <c r="K1046" s="37"/>
      <c r="L1046" s="37" t="s">
        <v>207</v>
      </c>
      <c r="M1046" s="37"/>
      <c r="N1046" s="5" t="s">
        <v>42</v>
      </c>
      <c r="O1046" s="5" t="s">
        <v>52</v>
      </c>
      <c r="P1046" s="10" t="s">
        <v>44</v>
      </c>
      <c r="Q1046" s="10" t="s">
        <v>44</v>
      </c>
      <c r="R1046" s="11" t="s">
        <v>44</v>
      </c>
      <c r="S1046" s="11" t="s">
        <v>44</v>
      </c>
      <c r="T1046" s="22"/>
      <c r="U1046" s="22"/>
      <c r="V1046" s="22"/>
      <c r="W1046" s="22"/>
      <c r="X1046" s="22"/>
      <c r="Y1046" s="22"/>
      <c r="Z1046" s="22"/>
      <c r="AA1046" s="22"/>
      <c r="AB1046" s="22"/>
      <c r="AC1046" s="22"/>
      <c r="AD1046" s="22"/>
      <c r="AE1046" s="22"/>
      <c r="AG1046" s="112"/>
      <c r="AH1046" s="112"/>
      <c r="AI1046" s="112"/>
      <c r="AJ1046" s="112"/>
      <c r="AK1046" s="112"/>
      <c r="AL1046" s="112"/>
      <c r="AM1046" s="112"/>
      <c r="AN1046" s="112"/>
      <c r="AO1046" s="112"/>
      <c r="AP1046" s="112"/>
      <c r="AQ1046" s="112"/>
      <c r="AR1046" s="112"/>
      <c r="AS1046" s="94"/>
      <c r="AT1046" s="95"/>
      <c r="AU1046" s="97"/>
      <c r="AW1046" s="84">
        <f>AG1046</f>
        <v>0</v>
      </c>
      <c r="AX1046" s="84">
        <f t="shared" si="1218"/>
        <v>0</v>
      </c>
      <c r="AY1046" s="84">
        <f t="shared" si="1219"/>
        <v>0</v>
      </c>
      <c r="AZ1046" s="84">
        <f t="shared" ref="AZ1046" si="1221">AJ1046</f>
        <v>0</v>
      </c>
      <c r="BA1046" s="84"/>
      <c r="BB1046" s="84"/>
      <c r="BC1046" s="84"/>
      <c r="BD1046" s="84"/>
      <c r="BE1046" s="84"/>
      <c r="BF1046" s="84"/>
      <c r="BG1046" s="84"/>
      <c r="BH1046" s="84"/>
      <c r="BI1046" s="68" cm="1">
        <f t="array" ref="BI1046">IFERROR(INDEX(AW1046:BH1046,1,MATCH(2,1/(AW1046:BH1046&lt;&gt;""))),"")</f>
        <v>0</v>
      </c>
      <c r="BJ1046" s="68" cm="1">
        <f t="array" ref="BJ1046">IF(BM1046 = "", "",IFERROR(INDEX(AW1046:BH1046,1,MATCH(2,1/(AW1046:BH1046&lt;&gt;""),1)-1),""))</f>
        <v>0</v>
      </c>
      <c r="BK1046" s="57" cm="1">
        <f t="array" ref="BK1046">IFERROR(INDEX(AW1046:BH1046,1,MATCH(2,1/(AW1046:BH1046&lt;&gt;""),1)),"")</f>
        <v>0</v>
      </c>
      <c r="BL1046" s="57" cm="1">
        <f t="array" ref="BL1046">IF(BM1046 = "", "",IFERROR(INDEX(AW1046:BH1046,1,MATCH(2,1/(AW1046:BH1046&lt;&gt;""),1)-1),""))</f>
        <v>0</v>
      </c>
      <c r="BM1046" s="55" cm="1">
        <f t="array" ref="BM1046">IFERROR(
   INDEX($AW$1:$BH$1,
      _xlfn.AGGREGATE(14, 6, COLUMN($AW$1:$BH$1)/(AW1046:BH1046&lt;&gt;""), 2) - COLUMN($AW$1) + 1
   ),
"")</f>
        <v>46082</v>
      </c>
      <c r="BN1046" s="55" cm="1">
        <f t="array" ref="BN1046">IFERROR(INDEX($AW$1:$BH$1,1,MATCH(2,1/(AW1046:BH1046&lt;&gt;""))),"")</f>
        <v>46113</v>
      </c>
      <c r="BO1046" s="53">
        <f ca="1">IFERROR(_xlfn.XLOOKUP(F1046,Apuração!A:A,Apuração!C:C)/_xlfn.XLOOKUP(F1046,Apuração!A:A,Apuração!B:B),0)</f>
        <v>0</v>
      </c>
      <c r="BP1046" s="53">
        <f ca="1">IFERROR(_xlfn.XLOOKUP(F1046,Apuração!A:A,Apuração!D:D)/_xlfn.XLOOKUP(F1046,Apuração!A:A,Apuração!B:B),0)</f>
        <v>0</v>
      </c>
      <c r="BQ1046" s="53">
        <f ca="1">IF(BK1046&gt;=BO1046,0,_xlfn.XLOOKUP(F1046,Apuração!A:A,Apuração!B:B)*(BO1046 + (1/_xlfn.XLOOKUP(F1046,Apuração!A:A,Apuração!B:B)) - BK1046))</f>
        <v>0</v>
      </c>
      <c r="BR1046" s="85">
        <f ca="1">IF(BQ1046=0,0,BQ1046*Z1046)</f>
        <v>0</v>
      </c>
      <c r="BS1046" s="53">
        <f ca="1">IFERROR((_xlfn.XLOOKUP(F1046,Apuração!A:A,Apuração!C:C)+1)/_xlfn.XLOOKUP(F1046,Apuração!A:A,Apuração!B:B),0)</f>
        <v>0.14285714285714285</v>
      </c>
    </row>
    <row r="1047" spans="1:71" ht="25.95" hidden="1" customHeight="1" x14ac:dyDescent="0.3">
      <c r="A1047" s="35" t="s">
        <v>44</v>
      </c>
      <c r="B1047" s="10" t="s">
        <v>44</v>
      </c>
      <c r="C1047" s="5" t="s">
        <v>97</v>
      </c>
      <c r="D1047" s="5" t="s">
        <v>98</v>
      </c>
      <c r="E1047" s="4" t="str" cm="1">
        <f t="array" ref="E1047">_xlfn.IFS(
F1047 = "A partir de Abril", "Aguardando Execução na Distribuidora",
A1047 = "CAPACITAÇÃO", "Em execução no Corporativo",
TRUE, "Em Execução na Distribuidora"
)</f>
        <v>Em Execução na Distribuidora</v>
      </c>
      <c r="F1047" s="4" t="str" cm="1">
        <f t="array" ref="F1047">_xlfn.IFS(
AG1047 &lt;&gt; "", "Jan-Dez/26",
AH1047 &lt;&gt; "", "Fev-Dez/26",
AI1047 &lt;&gt; "", "Mar-Dez/26", AJ1047 &lt;&gt; "", "Abr-Dez/26",
TRUE, "A partir de Junho"
)</f>
        <v>A partir de Junho</v>
      </c>
      <c r="G1047" s="10" t="s">
        <v>44</v>
      </c>
      <c r="H1047" s="36" t="s">
        <v>44</v>
      </c>
      <c r="I1047" s="37"/>
      <c r="J1047" s="37"/>
      <c r="K1047" s="37"/>
      <c r="L1047" s="37" t="s">
        <v>207</v>
      </c>
      <c r="M1047" s="37"/>
      <c r="N1047" s="5" t="s">
        <v>42</v>
      </c>
      <c r="O1047" s="5" t="s">
        <v>52</v>
      </c>
      <c r="P1047" s="10" t="s">
        <v>44</v>
      </c>
      <c r="Q1047" s="10" t="s">
        <v>44</v>
      </c>
      <c r="R1047" s="11" t="s">
        <v>44</v>
      </c>
      <c r="S1047" s="11" t="s">
        <v>44</v>
      </c>
      <c r="T1047" s="22"/>
      <c r="U1047" s="22"/>
      <c r="V1047" s="22"/>
      <c r="W1047" s="22"/>
      <c r="X1047" s="22"/>
      <c r="Y1047" s="22"/>
      <c r="Z1047" s="22"/>
      <c r="AA1047" s="22"/>
      <c r="AB1047" s="22"/>
      <c r="AC1047" s="22"/>
      <c r="AD1047" s="22"/>
      <c r="AE1047" s="22"/>
      <c r="AG1047" s="71"/>
      <c r="AH1047" s="71"/>
      <c r="AI1047" s="71"/>
      <c r="AJ1047" s="71"/>
      <c r="AK1047" s="71"/>
      <c r="AL1047" s="71"/>
      <c r="AM1047" s="71"/>
      <c r="AN1047" s="71"/>
      <c r="AO1047" s="71"/>
      <c r="AP1047" s="71"/>
      <c r="AQ1047" s="71"/>
      <c r="AR1047" s="71"/>
      <c r="AS1047" s="94"/>
      <c r="AT1047" s="95"/>
      <c r="AU1047" s="97"/>
      <c r="AW1047" s="84">
        <f t="shared" ref="AW1047:AW1056" si="1222">AG1047</f>
        <v>0</v>
      </c>
      <c r="AX1047" s="84"/>
      <c r="AY1047" s="84"/>
      <c r="AZ1047" s="84"/>
      <c r="BA1047" s="84"/>
      <c r="BB1047" s="84"/>
      <c r="BC1047" s="84"/>
      <c r="BD1047" s="84"/>
      <c r="BE1047" s="84"/>
      <c r="BF1047" s="84"/>
      <c r="BG1047" s="84"/>
      <c r="BH1047" s="84"/>
      <c r="BI1047" s="68" cm="1">
        <f t="array" ref="BI1047">IFERROR(INDEX(AW1047:BH1047,1,MATCH(2,1/(AW1047:BH1047&lt;&gt;""))),"")</f>
        <v>0</v>
      </c>
      <c r="BJ1047" s="68" t="str" cm="1">
        <f t="array" ref="BJ1047">IF(BM1047 = "", "",IFERROR(INDEX(AW1047:BH1047,1,MATCH(2,1/(AW1047:BH1047&lt;&gt;""),1)-1),""))</f>
        <v/>
      </c>
      <c r="BK1047" s="57" cm="1">
        <f t="array" ref="BK1047">IFERROR(INDEX(AW1047:BH1047,1,MATCH(2,1/(AW1047:BH1047&lt;&gt;""),1)),"")</f>
        <v>0</v>
      </c>
      <c r="BL1047" s="57" t="str" cm="1">
        <f t="array" ref="BL1047">IF(BM1047 = "", "",IFERROR(INDEX(AW1047:BH1047,1,MATCH(2,1/(AW1047:BH1047&lt;&gt;""),1)-1),""))</f>
        <v/>
      </c>
      <c r="BM1047" s="55" t="str" cm="1">
        <f t="array" ref="BM1047">IFERROR(
   INDEX($AW$1:$BH$1,
      _xlfn.AGGREGATE(14, 6, COLUMN($AW$1:$BH$1)/(AW1047:BH1047&lt;&gt;""), 2) - COLUMN($AW$1) + 1
   ),
"")</f>
        <v/>
      </c>
      <c r="BN1047" s="55" cm="1">
        <f t="array" ref="BN1047">IFERROR(INDEX($AW$1:$BH$1,1,MATCH(2,1/(AW1047:BH1047&lt;&gt;""))),"")</f>
        <v>46023</v>
      </c>
      <c r="BO1047" s="53">
        <f ca="1">IFERROR(_xlfn.XLOOKUP(F1047,Apuração!A:A,Apuração!C:C)/_xlfn.XLOOKUP(F1047,Apuração!A:A,Apuração!B:B),0)</f>
        <v>0</v>
      </c>
      <c r="BP1047" s="53">
        <f ca="1">IFERROR(_xlfn.XLOOKUP(F1047,Apuração!A:A,Apuração!D:D)/_xlfn.XLOOKUP(F1047,Apuração!A:A,Apuração!B:B),0)</f>
        <v>0</v>
      </c>
      <c r="BQ1047" s="53">
        <f ca="1">IF(BK1047&gt;=BO1047,0,_xlfn.XLOOKUP(F1047,Apuração!A:A,Apuração!B:B)*(BO1047 + (1/_xlfn.XLOOKUP(F1047,Apuração!A:A,Apuração!B:B)) - BK1047))</f>
        <v>0</v>
      </c>
      <c r="BR1047" s="85">
        <f t="shared" ref="BR1047:BR1056" ca="1" si="1223">IF(BQ1047=0,0,BQ1047*Z1047)</f>
        <v>0</v>
      </c>
      <c r="BS1047" s="53">
        <f ca="1">IFERROR((_xlfn.XLOOKUP(F1047,Apuração!A:A,Apuração!C:C)+1)/_xlfn.XLOOKUP(F1047,Apuração!A:A,Apuração!B:B),0)</f>
        <v>0.14285714285714285</v>
      </c>
    </row>
    <row r="1048" spans="1:71" ht="25.95" hidden="1" customHeight="1" x14ac:dyDescent="0.3">
      <c r="A1048" s="35" t="s">
        <v>44</v>
      </c>
      <c r="B1048" s="10" t="s">
        <v>44</v>
      </c>
      <c r="C1048" s="5" t="s">
        <v>97</v>
      </c>
      <c r="D1048" s="5" t="s">
        <v>99</v>
      </c>
      <c r="E1048" s="4" t="str" cm="1">
        <f t="array" ref="E1048">_xlfn.IFS(
F1048 = "A partir de Abril", "Aguardando Execução na Distribuidora",
A1048 = "CAPACITAÇÃO", "Em execução no Corporativo",
TRUE, "Em Execução na Distribuidora"
)</f>
        <v>Em Execução na Distribuidora</v>
      </c>
      <c r="F1048" s="4" t="str" cm="1">
        <f t="array" ref="F1048">_xlfn.IFS(
AG1048 &lt;&gt; "", "Jan-Dez/26",
AH1048 &lt;&gt; "", "Fev-Dez/26",
AI1048 &lt;&gt; "", "Mar-Dez/26", AJ1048 &lt;&gt; "", "Abr-Dez/26",
TRUE, "A partir de Junho"
)</f>
        <v>A partir de Junho</v>
      </c>
      <c r="G1048" s="10" t="s">
        <v>44</v>
      </c>
      <c r="H1048" s="36" t="s">
        <v>44</v>
      </c>
      <c r="I1048" s="37"/>
      <c r="J1048" s="37"/>
      <c r="K1048" s="37"/>
      <c r="L1048" s="37" t="s">
        <v>207</v>
      </c>
      <c r="M1048" s="37"/>
      <c r="N1048" s="5" t="s">
        <v>42</v>
      </c>
      <c r="O1048" s="5" t="s">
        <v>52</v>
      </c>
      <c r="P1048" s="10" t="s">
        <v>44</v>
      </c>
      <c r="Q1048" s="10" t="s">
        <v>44</v>
      </c>
      <c r="R1048" s="11" t="s">
        <v>44</v>
      </c>
      <c r="S1048" s="11" t="s">
        <v>44</v>
      </c>
      <c r="T1048" s="22"/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  <c r="AG1048" s="71"/>
      <c r="AH1048" s="71"/>
      <c r="AI1048" s="71"/>
      <c r="AJ1048" s="71"/>
      <c r="AK1048" s="71"/>
      <c r="AL1048" s="71"/>
      <c r="AM1048" s="71"/>
      <c r="AN1048" s="71"/>
      <c r="AO1048" s="71"/>
      <c r="AP1048" s="71"/>
      <c r="AQ1048" s="71"/>
      <c r="AR1048" s="71"/>
      <c r="AS1048" s="94"/>
      <c r="AT1048" s="95"/>
      <c r="AU1048" s="97"/>
      <c r="AW1048" s="84">
        <f t="shared" si="1222"/>
        <v>0</v>
      </c>
      <c r="AX1048" s="84"/>
      <c r="AY1048" s="84"/>
      <c r="AZ1048" s="84"/>
      <c r="BA1048" s="84"/>
      <c r="BB1048" s="84"/>
      <c r="BC1048" s="84"/>
      <c r="BD1048" s="84"/>
      <c r="BE1048" s="84"/>
      <c r="BF1048" s="84"/>
      <c r="BG1048" s="84"/>
      <c r="BH1048" s="84"/>
      <c r="BI1048" s="68" cm="1">
        <f t="array" ref="BI1048">IFERROR(INDEX(AW1048:BH1048,1,MATCH(2,1/(AW1048:BH1048&lt;&gt;""))),"")</f>
        <v>0</v>
      </c>
      <c r="BJ1048" s="68" t="str" cm="1">
        <f t="array" ref="BJ1048">IF(BM1048 = "", "",IFERROR(INDEX(AW1048:BH1048,1,MATCH(2,1/(AW1048:BH1048&lt;&gt;""),1)-1),""))</f>
        <v/>
      </c>
      <c r="BK1048" s="57" cm="1">
        <f t="array" ref="BK1048">IFERROR(INDEX(AW1048:BH1048,1,MATCH(2,1/(AW1048:BH1048&lt;&gt;""),1)),"")</f>
        <v>0</v>
      </c>
      <c r="BL1048" s="57" t="str" cm="1">
        <f t="array" ref="BL1048">IF(BM1048 = "", "",IFERROR(INDEX(AW1048:BH1048,1,MATCH(2,1/(AW1048:BH1048&lt;&gt;""),1)-1),""))</f>
        <v/>
      </c>
      <c r="BM1048" s="55" t="str" cm="1">
        <f t="array" ref="BM1048">IFERROR(
   INDEX($AW$1:$BH$1,
      _xlfn.AGGREGATE(14, 6, COLUMN($AW$1:$BH$1)/(AW1048:BH1048&lt;&gt;""), 2) - COLUMN($AW$1) + 1
   ),
"")</f>
        <v/>
      </c>
      <c r="BN1048" s="55" cm="1">
        <f t="array" ref="BN1048">IFERROR(INDEX($AW$1:$BH$1,1,MATCH(2,1/(AW1048:BH1048&lt;&gt;""))),"")</f>
        <v>46023</v>
      </c>
      <c r="BO1048" s="53">
        <f ca="1">IFERROR(_xlfn.XLOOKUP(F1048,Apuração!A:A,Apuração!C:C)/_xlfn.XLOOKUP(F1048,Apuração!A:A,Apuração!B:B),0)</f>
        <v>0</v>
      </c>
      <c r="BP1048" s="53">
        <f ca="1">IFERROR(_xlfn.XLOOKUP(F1048,Apuração!A:A,Apuração!D:D)/_xlfn.XLOOKUP(F1048,Apuração!A:A,Apuração!B:B),0)</f>
        <v>0</v>
      </c>
      <c r="BQ1048" s="53">
        <f ca="1">IF(BK1048&gt;=BO1048,0,_xlfn.XLOOKUP(F1048,Apuração!A:A,Apuração!B:B)*(BO1048 + (1/_xlfn.XLOOKUP(F1048,Apuração!A:A,Apuração!B:B)) - BK1048))</f>
        <v>0</v>
      </c>
      <c r="BR1048" s="85">
        <f t="shared" ca="1" si="1223"/>
        <v>0</v>
      </c>
      <c r="BS1048" s="53">
        <f ca="1">IFERROR((_xlfn.XLOOKUP(F1048,Apuração!A:A,Apuração!C:C)+1)/_xlfn.XLOOKUP(F1048,Apuração!A:A,Apuração!B:B),0)</f>
        <v>0.14285714285714285</v>
      </c>
    </row>
    <row r="1049" spans="1:71" ht="25.95" hidden="1" customHeight="1" x14ac:dyDescent="0.3">
      <c r="A1049" s="35" t="s">
        <v>44</v>
      </c>
      <c r="B1049" s="10" t="s">
        <v>44</v>
      </c>
      <c r="C1049" s="5" t="s">
        <v>97</v>
      </c>
      <c r="D1049" s="5" t="s">
        <v>100</v>
      </c>
      <c r="E1049" s="4" t="str" cm="1">
        <f t="array" ref="E1049">_xlfn.IFS(
F1049 = "A partir de Abril", "Aguardando Execução na Distribuidora",
A1049 = "CAPACITAÇÃO", "Em execução no Corporativo",
TRUE, "Em Execução na Distribuidora"
)</f>
        <v>Em Execução na Distribuidora</v>
      </c>
      <c r="F1049" s="4" t="str" cm="1">
        <f t="array" ref="F1049">_xlfn.IFS(
AG1049 &lt;&gt; "", "Jan-Dez/26",
AH1049 &lt;&gt; "", "Fev-Dez/26",
AI1049 &lt;&gt; "", "Mar-Dez/26", AJ1049 &lt;&gt; "", "Abr-Dez/26",
TRUE, "A partir de Junho"
)</f>
        <v>A partir de Junho</v>
      </c>
      <c r="G1049" s="10" t="s">
        <v>44</v>
      </c>
      <c r="H1049" s="36" t="s">
        <v>44</v>
      </c>
      <c r="I1049" s="37"/>
      <c r="J1049" s="37"/>
      <c r="K1049" s="37"/>
      <c r="L1049" s="37" t="s">
        <v>207</v>
      </c>
      <c r="M1049" s="37"/>
      <c r="N1049" s="5" t="s">
        <v>42</v>
      </c>
      <c r="O1049" s="5" t="s">
        <v>52</v>
      </c>
      <c r="P1049" s="10" t="s">
        <v>44</v>
      </c>
      <c r="Q1049" s="10" t="s">
        <v>44</v>
      </c>
      <c r="R1049" s="11" t="s">
        <v>44</v>
      </c>
      <c r="S1049" s="11" t="s">
        <v>44</v>
      </c>
      <c r="T1049" s="22"/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  <c r="AG1049" s="71"/>
      <c r="AH1049" s="71"/>
      <c r="AI1049" s="71"/>
      <c r="AJ1049" s="71"/>
      <c r="AK1049" s="71"/>
      <c r="AL1049" s="71"/>
      <c r="AM1049" s="71"/>
      <c r="AN1049" s="71"/>
      <c r="AO1049" s="71"/>
      <c r="AP1049" s="71"/>
      <c r="AQ1049" s="71"/>
      <c r="AR1049" s="71"/>
      <c r="AS1049" s="94"/>
      <c r="AT1049" s="95"/>
      <c r="AU1049" s="97"/>
      <c r="AW1049" s="84">
        <f t="shared" si="1222"/>
        <v>0</v>
      </c>
      <c r="AX1049" s="84"/>
      <c r="AY1049" s="84"/>
      <c r="AZ1049" s="84"/>
      <c r="BA1049" s="84"/>
      <c r="BB1049" s="84"/>
      <c r="BC1049" s="84"/>
      <c r="BD1049" s="84"/>
      <c r="BE1049" s="84"/>
      <c r="BF1049" s="84"/>
      <c r="BG1049" s="84"/>
      <c r="BH1049" s="84"/>
      <c r="BI1049" s="68" cm="1">
        <f t="array" ref="BI1049">IFERROR(INDEX(AW1049:BH1049,1,MATCH(2,1/(AW1049:BH1049&lt;&gt;""))),"")</f>
        <v>0</v>
      </c>
      <c r="BJ1049" s="68" t="str" cm="1">
        <f t="array" ref="BJ1049">IF(BM1049 = "", "",IFERROR(INDEX(AW1049:BH1049,1,MATCH(2,1/(AW1049:BH1049&lt;&gt;""),1)-1),""))</f>
        <v/>
      </c>
      <c r="BK1049" s="57" cm="1">
        <f t="array" ref="BK1049">IFERROR(INDEX(AW1049:BH1049,1,MATCH(2,1/(AW1049:BH1049&lt;&gt;""),1)),"")</f>
        <v>0</v>
      </c>
      <c r="BL1049" s="57" t="str" cm="1">
        <f t="array" ref="BL1049">IF(BM1049 = "", "",IFERROR(INDEX(AW1049:BH1049,1,MATCH(2,1/(AW1049:BH1049&lt;&gt;""),1)-1),""))</f>
        <v/>
      </c>
      <c r="BM1049" s="55" t="str" cm="1">
        <f t="array" ref="BM1049">IFERROR(
   INDEX($AW$1:$BH$1,
      _xlfn.AGGREGATE(14, 6, COLUMN($AW$1:$BH$1)/(AW1049:BH1049&lt;&gt;""), 2) - COLUMN($AW$1) + 1
   ),
"")</f>
        <v/>
      </c>
      <c r="BN1049" s="55" cm="1">
        <f t="array" ref="BN1049">IFERROR(INDEX($AW$1:$BH$1,1,MATCH(2,1/(AW1049:BH1049&lt;&gt;""))),"")</f>
        <v>46023</v>
      </c>
      <c r="BO1049" s="53">
        <f ca="1">IFERROR(_xlfn.XLOOKUP(F1049,Apuração!A:A,Apuração!C:C)/_xlfn.XLOOKUP(F1049,Apuração!A:A,Apuração!B:B),0)</f>
        <v>0</v>
      </c>
      <c r="BP1049" s="53">
        <f ca="1">IFERROR(_xlfn.XLOOKUP(F1049,Apuração!A:A,Apuração!D:D)/_xlfn.XLOOKUP(F1049,Apuração!A:A,Apuração!B:B),0)</f>
        <v>0</v>
      </c>
      <c r="BQ1049" s="53">
        <f ca="1">IF(BK1049&gt;=BO1049,0,_xlfn.XLOOKUP(F1049,Apuração!A:A,Apuração!B:B)*(BO1049 + (1/_xlfn.XLOOKUP(F1049,Apuração!A:A,Apuração!B:B)) - BK1049))</f>
        <v>0</v>
      </c>
      <c r="BR1049" s="85">
        <f t="shared" ca="1" si="1223"/>
        <v>0</v>
      </c>
      <c r="BS1049" s="53">
        <f ca="1">IFERROR((_xlfn.XLOOKUP(F1049,Apuração!A:A,Apuração!C:C)+1)/_xlfn.XLOOKUP(F1049,Apuração!A:A,Apuração!B:B),0)</f>
        <v>0.14285714285714285</v>
      </c>
    </row>
    <row r="1050" spans="1:71" ht="25.95" hidden="1" customHeight="1" x14ac:dyDescent="0.3">
      <c r="A1050" s="35" t="s">
        <v>44</v>
      </c>
      <c r="B1050" s="10" t="s">
        <v>44</v>
      </c>
      <c r="C1050" s="5" t="s">
        <v>97</v>
      </c>
      <c r="D1050" s="5" t="s">
        <v>101</v>
      </c>
      <c r="E1050" s="4" t="str" cm="1">
        <f t="array" ref="E1050">_xlfn.IFS(
F1050 = "A partir de Abril", "Aguardando Execução na Distribuidora",
A1050 = "CAPACITAÇÃO", "Em execução no Corporativo",
TRUE, "Em Execução na Distribuidora"
)</f>
        <v>Em Execução na Distribuidora</v>
      </c>
      <c r="F1050" s="4" t="str" cm="1">
        <f t="array" ref="F1050">_xlfn.IFS(
AG1050 &lt;&gt; "", "Jan-Dez/26",
AH1050 &lt;&gt; "", "Fev-Dez/26",
AI1050 &lt;&gt; "", "Mar-Dez/26", AJ1050 &lt;&gt; "", "Abr-Dez/26",
TRUE, "A partir de Junho"
)</f>
        <v>A partir de Junho</v>
      </c>
      <c r="G1050" s="10" t="s">
        <v>44</v>
      </c>
      <c r="H1050" s="36" t="s">
        <v>44</v>
      </c>
      <c r="I1050" s="37"/>
      <c r="J1050" s="37"/>
      <c r="K1050" s="37"/>
      <c r="L1050" s="37" t="s">
        <v>207</v>
      </c>
      <c r="M1050" s="37"/>
      <c r="N1050" s="5" t="s">
        <v>42</v>
      </c>
      <c r="O1050" s="5" t="s">
        <v>52</v>
      </c>
      <c r="P1050" s="10" t="s">
        <v>44</v>
      </c>
      <c r="Q1050" s="10" t="s">
        <v>44</v>
      </c>
      <c r="R1050" s="11" t="s">
        <v>44</v>
      </c>
      <c r="S1050" s="11" t="s">
        <v>44</v>
      </c>
      <c r="T1050" s="22"/>
      <c r="U1050" s="22"/>
      <c r="V1050" s="22"/>
      <c r="W1050" s="22"/>
      <c r="X1050" s="22"/>
      <c r="Y1050" s="22"/>
      <c r="Z1050" s="22"/>
      <c r="AA1050" s="22"/>
      <c r="AB1050" s="22"/>
      <c r="AC1050" s="22"/>
      <c r="AD1050" s="22"/>
      <c r="AE1050" s="22"/>
      <c r="AG1050" s="71"/>
      <c r="AH1050" s="71"/>
      <c r="AI1050" s="71"/>
      <c r="AJ1050" s="71"/>
      <c r="AK1050" s="71"/>
      <c r="AL1050" s="71"/>
      <c r="AM1050" s="71"/>
      <c r="AN1050" s="71"/>
      <c r="AO1050" s="71"/>
      <c r="AP1050" s="71"/>
      <c r="AQ1050" s="71"/>
      <c r="AR1050" s="71"/>
      <c r="AS1050" s="94"/>
      <c r="AT1050" s="95"/>
      <c r="AU1050" s="97"/>
      <c r="AW1050" s="84">
        <f t="shared" si="1222"/>
        <v>0</v>
      </c>
      <c r="AX1050" s="84"/>
      <c r="AY1050" s="84"/>
      <c r="AZ1050" s="84"/>
      <c r="BA1050" s="84"/>
      <c r="BB1050" s="84"/>
      <c r="BC1050" s="84"/>
      <c r="BD1050" s="84"/>
      <c r="BE1050" s="84"/>
      <c r="BF1050" s="84"/>
      <c r="BG1050" s="84"/>
      <c r="BH1050" s="84"/>
      <c r="BI1050" s="68" cm="1">
        <f t="array" ref="BI1050">IFERROR(INDEX(AW1050:BH1050,1,MATCH(2,1/(AW1050:BH1050&lt;&gt;""))),"")</f>
        <v>0</v>
      </c>
      <c r="BJ1050" s="68" t="str" cm="1">
        <f t="array" ref="BJ1050">IF(BM1050 = "", "",IFERROR(INDEX(AW1050:BH1050,1,MATCH(2,1/(AW1050:BH1050&lt;&gt;""),1)-1),""))</f>
        <v/>
      </c>
      <c r="BK1050" s="57" cm="1">
        <f t="array" ref="BK1050">IFERROR(INDEX(AW1050:BH1050,1,MATCH(2,1/(AW1050:BH1050&lt;&gt;""),1)),"")</f>
        <v>0</v>
      </c>
      <c r="BL1050" s="57" t="str" cm="1">
        <f t="array" ref="BL1050">IF(BM1050 = "", "",IFERROR(INDEX(AW1050:BH1050,1,MATCH(2,1/(AW1050:BH1050&lt;&gt;""),1)-1),""))</f>
        <v/>
      </c>
      <c r="BM1050" s="55" t="str" cm="1">
        <f t="array" ref="BM1050">IFERROR(
   INDEX($AW$1:$BH$1,
      _xlfn.AGGREGATE(14, 6, COLUMN($AW$1:$BH$1)/(AW1050:BH1050&lt;&gt;""), 2) - COLUMN($AW$1) + 1
   ),
"")</f>
        <v/>
      </c>
      <c r="BN1050" s="55" cm="1">
        <f t="array" ref="BN1050">IFERROR(INDEX($AW$1:$BH$1,1,MATCH(2,1/(AW1050:BH1050&lt;&gt;""))),"")</f>
        <v>46023</v>
      </c>
      <c r="BO1050" s="53">
        <f ca="1">IFERROR(_xlfn.XLOOKUP(F1050,Apuração!A:A,Apuração!C:C)/_xlfn.XLOOKUP(F1050,Apuração!A:A,Apuração!B:B),0)</f>
        <v>0</v>
      </c>
      <c r="BP1050" s="53">
        <f ca="1">IFERROR(_xlfn.XLOOKUP(F1050,Apuração!A:A,Apuração!D:D)/_xlfn.XLOOKUP(F1050,Apuração!A:A,Apuração!B:B),0)</f>
        <v>0</v>
      </c>
      <c r="BQ1050" s="53">
        <f ca="1">IF(BK1050&gt;=BO1050,0,_xlfn.XLOOKUP(F1050,Apuração!A:A,Apuração!B:B)*(BO1050 + (1/_xlfn.XLOOKUP(F1050,Apuração!A:A,Apuração!B:B)) - BK1050))</f>
        <v>0</v>
      </c>
      <c r="BR1050" s="85">
        <f t="shared" ca="1" si="1223"/>
        <v>0</v>
      </c>
      <c r="BS1050" s="53">
        <f ca="1">IFERROR((_xlfn.XLOOKUP(F1050,Apuração!A:A,Apuração!C:C)+1)/_xlfn.XLOOKUP(F1050,Apuração!A:A,Apuração!B:B),0)</f>
        <v>0.14285714285714285</v>
      </c>
    </row>
    <row r="1051" spans="1:71" ht="25.95" hidden="1" customHeight="1" x14ac:dyDescent="0.3">
      <c r="A1051" s="35" t="s">
        <v>44</v>
      </c>
      <c r="B1051" s="10" t="s">
        <v>44</v>
      </c>
      <c r="C1051" s="5" t="s">
        <v>97</v>
      </c>
      <c r="D1051" s="5" t="s">
        <v>102</v>
      </c>
      <c r="E1051" s="4" t="str" cm="1">
        <f t="array" ref="E1051">_xlfn.IFS(
F1051 = "A partir de Abril", "Aguardando Execução na Distribuidora",
A1051 = "CAPACITAÇÃO", "Em execução no Corporativo",
TRUE, "Em Execução na Distribuidora"
)</f>
        <v>Em Execução na Distribuidora</v>
      </c>
      <c r="F1051" s="4" t="str" cm="1">
        <f t="array" ref="F1051">_xlfn.IFS(
AG1051 &lt;&gt; "", "Jan-Dez/26",
AH1051 &lt;&gt; "", "Fev-Dez/26",
AI1051 &lt;&gt; "", "Mar-Dez/26", AJ1051 &lt;&gt; "", "Abr-Dez/26",
TRUE, "A partir de Junho"
)</f>
        <v>A partir de Junho</v>
      </c>
      <c r="G1051" s="10" t="s">
        <v>44</v>
      </c>
      <c r="H1051" s="36" t="s">
        <v>44</v>
      </c>
      <c r="I1051" s="37"/>
      <c r="J1051" s="37"/>
      <c r="K1051" s="37"/>
      <c r="L1051" s="37" t="s">
        <v>207</v>
      </c>
      <c r="M1051" s="37"/>
      <c r="N1051" s="5" t="s">
        <v>42</v>
      </c>
      <c r="O1051" s="5" t="s">
        <v>52</v>
      </c>
      <c r="P1051" s="10" t="s">
        <v>44</v>
      </c>
      <c r="Q1051" s="10" t="s">
        <v>44</v>
      </c>
      <c r="R1051" s="11" t="s">
        <v>44</v>
      </c>
      <c r="S1051" s="11" t="s">
        <v>44</v>
      </c>
      <c r="T1051" s="22"/>
      <c r="U1051" s="22"/>
      <c r="V1051" s="22"/>
      <c r="W1051" s="22"/>
      <c r="X1051" s="22"/>
      <c r="Y1051" s="22"/>
      <c r="Z1051" s="22"/>
      <c r="AA1051" s="22"/>
      <c r="AB1051" s="22"/>
      <c r="AC1051" s="22"/>
      <c r="AD1051" s="22"/>
      <c r="AE1051" s="22"/>
      <c r="AG1051" s="71"/>
      <c r="AH1051" s="71"/>
      <c r="AI1051" s="71"/>
      <c r="AJ1051" s="71"/>
      <c r="AK1051" s="71"/>
      <c r="AL1051" s="71"/>
      <c r="AM1051" s="71"/>
      <c r="AN1051" s="71"/>
      <c r="AO1051" s="71"/>
      <c r="AP1051" s="71"/>
      <c r="AQ1051" s="71"/>
      <c r="AR1051" s="71"/>
      <c r="AS1051" s="94"/>
      <c r="AT1051" s="95"/>
      <c r="AU1051" s="97"/>
      <c r="AW1051" s="84">
        <f t="shared" si="1222"/>
        <v>0</v>
      </c>
      <c r="AX1051" s="84"/>
      <c r="AY1051" s="84"/>
      <c r="AZ1051" s="84"/>
      <c r="BA1051" s="84"/>
      <c r="BB1051" s="84"/>
      <c r="BC1051" s="84"/>
      <c r="BD1051" s="84"/>
      <c r="BE1051" s="84"/>
      <c r="BF1051" s="84"/>
      <c r="BG1051" s="84"/>
      <c r="BH1051" s="84"/>
      <c r="BI1051" s="68" cm="1">
        <f t="array" ref="BI1051">IFERROR(INDEX(AW1051:BH1051,1,MATCH(2,1/(AW1051:BH1051&lt;&gt;""))),"")</f>
        <v>0</v>
      </c>
      <c r="BJ1051" s="68" t="str" cm="1">
        <f t="array" ref="BJ1051">IF(BM1051 = "", "",IFERROR(INDEX(AW1051:BH1051,1,MATCH(2,1/(AW1051:BH1051&lt;&gt;""),1)-1),""))</f>
        <v/>
      </c>
      <c r="BK1051" s="57" cm="1">
        <f t="array" ref="BK1051">IFERROR(INDEX(AW1051:BH1051,1,MATCH(2,1/(AW1051:BH1051&lt;&gt;""),1)),"")</f>
        <v>0</v>
      </c>
      <c r="BL1051" s="57" t="str" cm="1">
        <f t="array" ref="BL1051">IF(BM1051 = "", "",IFERROR(INDEX(AW1051:BH1051,1,MATCH(2,1/(AW1051:BH1051&lt;&gt;""),1)-1),""))</f>
        <v/>
      </c>
      <c r="BM1051" s="55" t="str" cm="1">
        <f t="array" ref="BM1051">IFERROR(
   INDEX($AW$1:$BH$1,
      _xlfn.AGGREGATE(14, 6, COLUMN($AW$1:$BH$1)/(AW1051:BH1051&lt;&gt;""), 2) - COLUMN($AW$1) + 1
   ),
"")</f>
        <v/>
      </c>
      <c r="BN1051" s="55" cm="1">
        <f t="array" ref="BN1051">IFERROR(INDEX($AW$1:$BH$1,1,MATCH(2,1/(AW1051:BH1051&lt;&gt;""))),"")</f>
        <v>46023</v>
      </c>
      <c r="BO1051" s="53">
        <f ca="1">IFERROR(_xlfn.XLOOKUP(F1051,Apuração!A:A,Apuração!C:C)/_xlfn.XLOOKUP(F1051,Apuração!A:A,Apuração!B:B),0)</f>
        <v>0</v>
      </c>
      <c r="BP1051" s="53">
        <f ca="1">IFERROR(_xlfn.XLOOKUP(F1051,Apuração!A:A,Apuração!D:D)/_xlfn.XLOOKUP(F1051,Apuração!A:A,Apuração!B:B),0)</f>
        <v>0</v>
      </c>
      <c r="BQ1051" s="53">
        <f ca="1">IF(BK1051&gt;=BO1051,0,_xlfn.XLOOKUP(F1051,Apuração!A:A,Apuração!B:B)*(BO1051 + (1/_xlfn.XLOOKUP(F1051,Apuração!A:A,Apuração!B:B)) - BK1051))</f>
        <v>0</v>
      </c>
      <c r="BR1051" s="85">
        <f t="shared" ca="1" si="1223"/>
        <v>0</v>
      </c>
      <c r="BS1051" s="53">
        <f ca="1">IFERROR((_xlfn.XLOOKUP(F1051,Apuração!A:A,Apuração!C:C)+1)/_xlfn.XLOOKUP(F1051,Apuração!A:A,Apuração!B:B),0)</f>
        <v>0.14285714285714285</v>
      </c>
    </row>
    <row r="1052" spans="1:71" ht="25.95" hidden="1" customHeight="1" x14ac:dyDescent="0.3">
      <c r="A1052" s="35" t="s">
        <v>44</v>
      </c>
      <c r="B1052" s="10" t="s">
        <v>44</v>
      </c>
      <c r="C1052" s="5" t="s">
        <v>97</v>
      </c>
      <c r="D1052" s="5" t="s">
        <v>103</v>
      </c>
      <c r="E1052" s="4" t="str" cm="1">
        <f t="array" ref="E1052">_xlfn.IFS(
F1052 = "A partir de Abril", "Aguardando Execução na Distribuidora",
A1052 = "CAPACITAÇÃO", "Em execução no Corporativo",
TRUE, "Em Execução na Distribuidora"
)</f>
        <v>Em Execução na Distribuidora</v>
      </c>
      <c r="F1052" s="4" t="str" cm="1">
        <f t="array" ref="F1052">_xlfn.IFS(
AG1052 &lt;&gt; "", "Jan-Dez/26",
AH1052 &lt;&gt; "", "Fev-Dez/26",
AI1052 &lt;&gt; "", "Mar-Dez/26", AJ1052 &lt;&gt; "", "Abr-Dez/26",
TRUE, "A partir de Junho"
)</f>
        <v>A partir de Junho</v>
      </c>
      <c r="G1052" s="10" t="s">
        <v>44</v>
      </c>
      <c r="H1052" s="36" t="s">
        <v>44</v>
      </c>
      <c r="I1052" s="37"/>
      <c r="J1052" s="37"/>
      <c r="K1052" s="37"/>
      <c r="L1052" s="37" t="s">
        <v>207</v>
      </c>
      <c r="M1052" s="37"/>
      <c r="N1052" s="5" t="s">
        <v>42</v>
      </c>
      <c r="O1052" s="5" t="s">
        <v>52</v>
      </c>
      <c r="P1052" s="10" t="s">
        <v>44</v>
      </c>
      <c r="Q1052" s="10" t="s">
        <v>44</v>
      </c>
      <c r="R1052" s="11" t="s">
        <v>44</v>
      </c>
      <c r="S1052" s="11" t="s">
        <v>44</v>
      </c>
      <c r="T1052" s="22"/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  <c r="AG1052" s="71"/>
      <c r="AH1052" s="71"/>
      <c r="AI1052" s="71"/>
      <c r="AJ1052" s="71"/>
      <c r="AK1052" s="71"/>
      <c r="AL1052" s="71"/>
      <c r="AM1052" s="71"/>
      <c r="AN1052" s="71"/>
      <c r="AO1052" s="71"/>
      <c r="AP1052" s="71"/>
      <c r="AQ1052" s="71"/>
      <c r="AR1052" s="71"/>
      <c r="AS1052" s="94"/>
      <c r="AT1052" s="95"/>
      <c r="AU1052" s="97"/>
      <c r="AW1052" s="84">
        <f t="shared" si="1222"/>
        <v>0</v>
      </c>
      <c r="AX1052" s="84"/>
      <c r="AY1052" s="84"/>
      <c r="AZ1052" s="84"/>
      <c r="BA1052" s="84"/>
      <c r="BB1052" s="84"/>
      <c r="BC1052" s="84"/>
      <c r="BD1052" s="84"/>
      <c r="BE1052" s="84"/>
      <c r="BF1052" s="84"/>
      <c r="BG1052" s="84"/>
      <c r="BH1052" s="84"/>
      <c r="BI1052" s="68" cm="1">
        <f t="array" ref="BI1052">IFERROR(INDEX(AW1052:BH1052,1,MATCH(2,1/(AW1052:BH1052&lt;&gt;""))),"")</f>
        <v>0</v>
      </c>
      <c r="BJ1052" s="68" t="str" cm="1">
        <f t="array" ref="BJ1052">IF(BM1052 = "", "",IFERROR(INDEX(AW1052:BH1052,1,MATCH(2,1/(AW1052:BH1052&lt;&gt;""),1)-1),""))</f>
        <v/>
      </c>
      <c r="BK1052" s="57" cm="1">
        <f t="array" ref="BK1052">IFERROR(INDEX(AW1052:BH1052,1,MATCH(2,1/(AW1052:BH1052&lt;&gt;""),1)),"")</f>
        <v>0</v>
      </c>
      <c r="BL1052" s="57" t="str" cm="1">
        <f t="array" ref="BL1052">IF(BM1052 = "", "",IFERROR(INDEX(AW1052:BH1052,1,MATCH(2,1/(AW1052:BH1052&lt;&gt;""),1)-1),""))</f>
        <v/>
      </c>
      <c r="BM1052" s="55" t="str" cm="1">
        <f t="array" ref="BM1052">IFERROR(
   INDEX($AW$1:$BH$1,
      _xlfn.AGGREGATE(14, 6, COLUMN($AW$1:$BH$1)/(AW1052:BH1052&lt;&gt;""), 2) - COLUMN($AW$1) + 1
   ),
"")</f>
        <v/>
      </c>
      <c r="BN1052" s="55" cm="1">
        <f t="array" ref="BN1052">IFERROR(INDEX($AW$1:$BH$1,1,MATCH(2,1/(AW1052:BH1052&lt;&gt;""))),"")</f>
        <v>46023</v>
      </c>
      <c r="BO1052" s="53">
        <f ca="1">IFERROR(_xlfn.XLOOKUP(F1052,Apuração!A:A,Apuração!C:C)/_xlfn.XLOOKUP(F1052,Apuração!A:A,Apuração!B:B),0)</f>
        <v>0</v>
      </c>
      <c r="BP1052" s="53">
        <f ca="1">IFERROR(_xlfn.XLOOKUP(F1052,Apuração!A:A,Apuração!D:D)/_xlfn.XLOOKUP(F1052,Apuração!A:A,Apuração!B:B),0)</f>
        <v>0</v>
      </c>
      <c r="BQ1052" s="53">
        <f ca="1">IF(BK1052&gt;=BO1052,0,_xlfn.XLOOKUP(F1052,Apuração!A:A,Apuração!B:B)*(BO1052 + (1/_xlfn.XLOOKUP(F1052,Apuração!A:A,Apuração!B:B)) - BK1052))</f>
        <v>0</v>
      </c>
      <c r="BR1052" s="85">
        <f t="shared" ca="1" si="1223"/>
        <v>0</v>
      </c>
      <c r="BS1052" s="53">
        <f ca="1">IFERROR((_xlfn.XLOOKUP(F1052,Apuração!A:A,Apuração!C:C)+1)/_xlfn.XLOOKUP(F1052,Apuração!A:A,Apuração!B:B),0)</f>
        <v>0.14285714285714285</v>
      </c>
    </row>
    <row r="1053" spans="1:71" ht="25.95" hidden="1" customHeight="1" x14ac:dyDescent="0.3">
      <c r="A1053" s="35" t="s">
        <v>44</v>
      </c>
      <c r="B1053" s="10" t="s">
        <v>44</v>
      </c>
      <c r="C1053" s="5" t="s">
        <v>97</v>
      </c>
      <c r="D1053" s="5" t="s">
        <v>104</v>
      </c>
      <c r="E1053" s="4" t="str" cm="1">
        <f t="array" ref="E1053">_xlfn.IFS(
F1053 = "A partir de Abril", "Aguardando Execução na Distribuidora",
A1053 = "CAPACITAÇÃO", "Em execução no Corporativo",
TRUE, "Em Execução na Distribuidora"
)</f>
        <v>Em Execução na Distribuidora</v>
      </c>
      <c r="F1053" s="4" t="str" cm="1">
        <f t="array" ref="F1053">_xlfn.IFS(
AG1053 &lt;&gt; "", "Jan-Dez/26",
AH1053 &lt;&gt; "", "Fev-Dez/26",
AI1053 &lt;&gt; "", "Mar-Dez/26", AJ1053 &lt;&gt; "", "Abr-Dez/26",
TRUE, "A partir de Junho"
)</f>
        <v>A partir de Junho</v>
      </c>
      <c r="G1053" s="10" t="s">
        <v>44</v>
      </c>
      <c r="H1053" s="36" t="s">
        <v>44</v>
      </c>
      <c r="I1053" s="37"/>
      <c r="J1053" s="37"/>
      <c r="K1053" s="37"/>
      <c r="L1053" s="37" t="s">
        <v>207</v>
      </c>
      <c r="M1053" s="37"/>
      <c r="N1053" s="5" t="s">
        <v>42</v>
      </c>
      <c r="O1053" s="5" t="s">
        <v>52</v>
      </c>
      <c r="P1053" s="10" t="s">
        <v>44</v>
      </c>
      <c r="Q1053" s="10" t="s">
        <v>44</v>
      </c>
      <c r="R1053" s="11" t="s">
        <v>44</v>
      </c>
      <c r="S1053" s="11" t="s">
        <v>44</v>
      </c>
      <c r="T1053" s="22"/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  <c r="AG1053" s="71"/>
      <c r="AH1053" s="71"/>
      <c r="AI1053" s="71"/>
      <c r="AJ1053" s="71"/>
      <c r="AK1053" s="71"/>
      <c r="AL1053" s="71"/>
      <c r="AM1053" s="71"/>
      <c r="AN1053" s="71"/>
      <c r="AO1053" s="71"/>
      <c r="AP1053" s="71"/>
      <c r="AQ1053" s="71"/>
      <c r="AR1053" s="71"/>
      <c r="AS1053" s="94"/>
      <c r="AT1053" s="95"/>
      <c r="AU1053" s="97"/>
      <c r="AW1053" s="84">
        <f t="shared" si="1222"/>
        <v>0</v>
      </c>
      <c r="AX1053" s="84"/>
      <c r="AY1053" s="84"/>
      <c r="AZ1053" s="84"/>
      <c r="BA1053" s="84"/>
      <c r="BB1053" s="84"/>
      <c r="BC1053" s="84"/>
      <c r="BD1053" s="84"/>
      <c r="BE1053" s="84"/>
      <c r="BF1053" s="84"/>
      <c r="BG1053" s="84"/>
      <c r="BH1053" s="84"/>
      <c r="BI1053" s="68" cm="1">
        <f t="array" ref="BI1053">IFERROR(INDEX(AW1053:BH1053,1,MATCH(2,1/(AW1053:BH1053&lt;&gt;""))),"")</f>
        <v>0</v>
      </c>
      <c r="BJ1053" s="68" t="str" cm="1">
        <f t="array" ref="BJ1053">IF(BM1053 = "", "",IFERROR(INDEX(AW1053:BH1053,1,MATCH(2,1/(AW1053:BH1053&lt;&gt;""),1)-1),""))</f>
        <v/>
      </c>
      <c r="BK1053" s="57" cm="1">
        <f t="array" ref="BK1053">IFERROR(INDEX(AW1053:BH1053,1,MATCH(2,1/(AW1053:BH1053&lt;&gt;""),1)),"")</f>
        <v>0</v>
      </c>
      <c r="BL1053" s="57" t="str" cm="1">
        <f t="array" ref="BL1053">IF(BM1053 = "", "",IFERROR(INDEX(AW1053:BH1053,1,MATCH(2,1/(AW1053:BH1053&lt;&gt;""),1)-1),""))</f>
        <v/>
      </c>
      <c r="BM1053" s="55" t="str" cm="1">
        <f t="array" ref="BM1053">IFERROR(
   INDEX($AW$1:$BH$1,
      _xlfn.AGGREGATE(14, 6, COLUMN($AW$1:$BH$1)/(AW1053:BH1053&lt;&gt;""), 2) - COLUMN($AW$1) + 1
   ),
"")</f>
        <v/>
      </c>
      <c r="BN1053" s="55" cm="1">
        <f t="array" ref="BN1053">IFERROR(INDEX($AW$1:$BH$1,1,MATCH(2,1/(AW1053:BH1053&lt;&gt;""))),"")</f>
        <v>46023</v>
      </c>
      <c r="BO1053" s="53">
        <f ca="1">IFERROR(_xlfn.XLOOKUP(F1053,Apuração!A:A,Apuração!C:C)/_xlfn.XLOOKUP(F1053,Apuração!A:A,Apuração!B:B),0)</f>
        <v>0</v>
      </c>
      <c r="BP1053" s="53">
        <f ca="1">IFERROR(_xlfn.XLOOKUP(F1053,Apuração!A:A,Apuração!D:D)/_xlfn.XLOOKUP(F1053,Apuração!A:A,Apuração!B:B),0)</f>
        <v>0</v>
      </c>
      <c r="BQ1053" s="53">
        <f ca="1">IF(BK1053&gt;=BO1053,0,_xlfn.XLOOKUP(F1053,Apuração!A:A,Apuração!B:B)*(BO1053 + (1/_xlfn.XLOOKUP(F1053,Apuração!A:A,Apuração!B:B)) - BK1053))</f>
        <v>0</v>
      </c>
      <c r="BR1053" s="85">
        <f t="shared" ca="1" si="1223"/>
        <v>0</v>
      </c>
      <c r="BS1053" s="53">
        <f ca="1">IFERROR((_xlfn.XLOOKUP(F1053,Apuração!A:A,Apuração!C:C)+1)/_xlfn.XLOOKUP(F1053,Apuração!A:A,Apuração!B:B),0)</f>
        <v>0.14285714285714285</v>
      </c>
    </row>
    <row r="1054" spans="1:71" ht="25.95" hidden="1" customHeight="1" x14ac:dyDescent="0.3">
      <c r="A1054" s="35" t="s">
        <v>44</v>
      </c>
      <c r="B1054" s="10" t="s">
        <v>44</v>
      </c>
      <c r="C1054" s="5" t="s">
        <v>97</v>
      </c>
      <c r="D1054" s="5" t="s">
        <v>105</v>
      </c>
      <c r="E1054" s="4" t="str" cm="1">
        <f t="array" ref="E1054">_xlfn.IFS(
F1054 = "A partir de Abril", "Aguardando Execução na Distribuidora",
A1054 = "CAPACITAÇÃO", "Em execução no Corporativo",
TRUE, "Em Execução na Distribuidora"
)</f>
        <v>Em Execução na Distribuidora</v>
      </c>
      <c r="F1054" s="4" t="str" cm="1">
        <f t="array" ref="F1054">_xlfn.IFS(
AG1054 &lt;&gt; "", "Jan-Dez/26",
AH1054 &lt;&gt; "", "Fev-Dez/26",
AI1054 &lt;&gt; "", "Mar-Dez/26", AJ1054 &lt;&gt; "", "Abr-Dez/26",
TRUE, "A partir de Junho"
)</f>
        <v>A partir de Junho</v>
      </c>
      <c r="G1054" s="10" t="s">
        <v>44</v>
      </c>
      <c r="H1054" s="36" t="s">
        <v>44</v>
      </c>
      <c r="I1054" s="37"/>
      <c r="J1054" s="37"/>
      <c r="K1054" s="37"/>
      <c r="L1054" s="37" t="s">
        <v>207</v>
      </c>
      <c r="M1054" s="37"/>
      <c r="N1054" s="5" t="s">
        <v>42</v>
      </c>
      <c r="O1054" s="5" t="s">
        <v>52</v>
      </c>
      <c r="P1054" s="10" t="s">
        <v>44</v>
      </c>
      <c r="Q1054" s="10" t="s">
        <v>44</v>
      </c>
      <c r="R1054" s="11" t="s">
        <v>44</v>
      </c>
      <c r="S1054" s="11" t="s">
        <v>44</v>
      </c>
      <c r="T1054" s="22"/>
      <c r="U1054" s="22"/>
      <c r="V1054" s="22"/>
      <c r="W1054" s="22"/>
      <c r="X1054" s="22"/>
      <c r="Y1054" s="22"/>
      <c r="Z1054" s="22"/>
      <c r="AA1054" s="22"/>
      <c r="AB1054" s="22"/>
      <c r="AC1054" s="22"/>
      <c r="AD1054" s="22"/>
      <c r="AE1054" s="22"/>
      <c r="AG1054" s="71"/>
      <c r="AH1054" s="71"/>
      <c r="AI1054" s="71"/>
      <c r="AJ1054" s="71"/>
      <c r="AK1054" s="71"/>
      <c r="AL1054" s="71"/>
      <c r="AM1054" s="71"/>
      <c r="AN1054" s="71"/>
      <c r="AO1054" s="71"/>
      <c r="AP1054" s="71"/>
      <c r="AQ1054" s="71"/>
      <c r="AR1054" s="71"/>
      <c r="AS1054" s="94"/>
      <c r="AT1054" s="95"/>
      <c r="AU1054" s="97"/>
      <c r="AW1054" s="84">
        <f t="shared" si="1222"/>
        <v>0</v>
      </c>
      <c r="AX1054" s="84"/>
      <c r="AY1054" s="84"/>
      <c r="AZ1054" s="84"/>
      <c r="BA1054" s="84"/>
      <c r="BB1054" s="84"/>
      <c r="BC1054" s="84"/>
      <c r="BD1054" s="84"/>
      <c r="BE1054" s="84"/>
      <c r="BF1054" s="84"/>
      <c r="BG1054" s="84"/>
      <c r="BH1054" s="84"/>
      <c r="BI1054" s="68" cm="1">
        <f t="array" ref="BI1054">IFERROR(INDEX(AW1054:BH1054,1,MATCH(2,1/(AW1054:BH1054&lt;&gt;""))),"")</f>
        <v>0</v>
      </c>
      <c r="BJ1054" s="68" t="str" cm="1">
        <f t="array" ref="BJ1054">IF(BM1054 = "", "",IFERROR(INDEX(AW1054:BH1054,1,MATCH(2,1/(AW1054:BH1054&lt;&gt;""),1)-1),""))</f>
        <v/>
      </c>
      <c r="BK1054" s="57" cm="1">
        <f t="array" ref="BK1054">IFERROR(INDEX(AW1054:BH1054,1,MATCH(2,1/(AW1054:BH1054&lt;&gt;""),1)),"")</f>
        <v>0</v>
      </c>
      <c r="BL1054" s="57" t="str" cm="1">
        <f t="array" ref="BL1054">IF(BM1054 = "", "",IFERROR(INDEX(AW1054:BH1054,1,MATCH(2,1/(AW1054:BH1054&lt;&gt;""),1)-1),""))</f>
        <v/>
      </c>
      <c r="BM1054" s="55" t="str" cm="1">
        <f t="array" ref="BM1054">IFERROR(
   INDEX($AW$1:$BH$1,
      _xlfn.AGGREGATE(14, 6, COLUMN($AW$1:$BH$1)/(AW1054:BH1054&lt;&gt;""), 2) - COLUMN($AW$1) + 1
   ),
"")</f>
        <v/>
      </c>
      <c r="BN1054" s="55" cm="1">
        <f t="array" ref="BN1054">IFERROR(INDEX($AW$1:$BH$1,1,MATCH(2,1/(AW1054:BH1054&lt;&gt;""))),"")</f>
        <v>46023</v>
      </c>
      <c r="BO1054" s="53">
        <f ca="1">IFERROR(_xlfn.XLOOKUP(F1054,Apuração!A:A,Apuração!C:C)/_xlfn.XLOOKUP(F1054,Apuração!A:A,Apuração!B:B),0)</f>
        <v>0</v>
      </c>
      <c r="BP1054" s="53">
        <f ca="1">IFERROR(_xlfn.XLOOKUP(F1054,Apuração!A:A,Apuração!D:D)/_xlfn.XLOOKUP(F1054,Apuração!A:A,Apuração!B:B),0)</f>
        <v>0</v>
      </c>
      <c r="BQ1054" s="53">
        <f ca="1">IF(BK1054&gt;=BO1054,0,_xlfn.XLOOKUP(F1054,Apuração!A:A,Apuração!B:B)*(BO1054 + (1/_xlfn.XLOOKUP(F1054,Apuração!A:A,Apuração!B:B)) - BK1054))</f>
        <v>0</v>
      </c>
      <c r="BR1054" s="85">
        <f t="shared" ca="1" si="1223"/>
        <v>0</v>
      </c>
      <c r="BS1054" s="53">
        <f ca="1">IFERROR((_xlfn.XLOOKUP(F1054,Apuração!A:A,Apuração!C:C)+1)/_xlfn.XLOOKUP(F1054,Apuração!A:A,Apuração!B:B),0)</f>
        <v>0.14285714285714285</v>
      </c>
    </row>
    <row r="1055" spans="1:71" ht="25.95" hidden="1" customHeight="1" x14ac:dyDescent="0.3">
      <c r="A1055" s="35" t="s">
        <v>44</v>
      </c>
      <c r="B1055" s="10" t="s">
        <v>44</v>
      </c>
      <c r="C1055" s="5" t="s">
        <v>97</v>
      </c>
      <c r="D1055" s="5" t="s">
        <v>106</v>
      </c>
      <c r="E1055" s="4" t="str" cm="1">
        <f t="array" ref="E1055">_xlfn.IFS(
F1055 = "A partir de Abril", "Aguardando Execução na Distribuidora",
A1055 = "CAPACITAÇÃO", "Em execução no Corporativo",
TRUE, "Em Execução na Distribuidora"
)</f>
        <v>Em Execução na Distribuidora</v>
      </c>
      <c r="F1055" s="4" t="str" cm="1">
        <f t="array" ref="F1055">_xlfn.IFS(
AG1055 &lt;&gt; "", "Jan-Dez/26",
AH1055 &lt;&gt; "", "Fev-Dez/26",
AI1055 &lt;&gt; "", "Mar-Dez/26", AJ1055 &lt;&gt; "", "Abr-Dez/26",
TRUE, "A partir de Junho"
)</f>
        <v>A partir de Junho</v>
      </c>
      <c r="G1055" s="10" t="s">
        <v>44</v>
      </c>
      <c r="H1055" s="36" t="s">
        <v>44</v>
      </c>
      <c r="I1055" s="37"/>
      <c r="J1055" s="37"/>
      <c r="K1055" s="37"/>
      <c r="L1055" s="37" t="s">
        <v>207</v>
      </c>
      <c r="M1055" s="37"/>
      <c r="N1055" s="5" t="s">
        <v>42</v>
      </c>
      <c r="O1055" s="5" t="s">
        <v>52</v>
      </c>
      <c r="P1055" s="10" t="s">
        <v>44</v>
      </c>
      <c r="Q1055" s="10" t="s">
        <v>44</v>
      </c>
      <c r="R1055" s="11" t="s">
        <v>44</v>
      </c>
      <c r="S1055" s="11" t="s">
        <v>44</v>
      </c>
      <c r="T1055" s="22"/>
      <c r="U1055" s="22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  <c r="AG1055" s="71"/>
      <c r="AH1055" s="71"/>
      <c r="AI1055" s="71"/>
      <c r="AJ1055" s="71"/>
      <c r="AK1055" s="71"/>
      <c r="AL1055" s="71"/>
      <c r="AM1055" s="71"/>
      <c r="AN1055" s="71"/>
      <c r="AO1055" s="71"/>
      <c r="AP1055" s="71"/>
      <c r="AQ1055" s="71"/>
      <c r="AR1055" s="71"/>
      <c r="AS1055" s="94"/>
      <c r="AT1055" s="95"/>
      <c r="AU1055" s="97"/>
      <c r="AW1055" s="84">
        <f t="shared" si="1222"/>
        <v>0</v>
      </c>
      <c r="AX1055" s="84"/>
      <c r="AY1055" s="84"/>
      <c r="AZ1055" s="84"/>
      <c r="BA1055" s="84"/>
      <c r="BB1055" s="84"/>
      <c r="BC1055" s="84"/>
      <c r="BD1055" s="84"/>
      <c r="BE1055" s="84"/>
      <c r="BF1055" s="84"/>
      <c r="BG1055" s="84"/>
      <c r="BH1055" s="84"/>
      <c r="BI1055" s="68" cm="1">
        <f t="array" ref="BI1055">IFERROR(INDEX(AW1055:BH1055,1,MATCH(2,1/(AW1055:BH1055&lt;&gt;""))),"")</f>
        <v>0</v>
      </c>
      <c r="BJ1055" s="68" t="str" cm="1">
        <f t="array" ref="BJ1055">IF(BM1055 = "", "",IFERROR(INDEX(AW1055:BH1055,1,MATCH(2,1/(AW1055:BH1055&lt;&gt;""),1)-1),""))</f>
        <v/>
      </c>
      <c r="BK1055" s="57" cm="1">
        <f t="array" ref="BK1055">IFERROR(INDEX(AW1055:BH1055,1,MATCH(2,1/(AW1055:BH1055&lt;&gt;""),1)),"")</f>
        <v>0</v>
      </c>
      <c r="BL1055" s="57" t="str" cm="1">
        <f t="array" ref="BL1055">IF(BM1055 = "", "",IFERROR(INDEX(AW1055:BH1055,1,MATCH(2,1/(AW1055:BH1055&lt;&gt;""),1)-1),""))</f>
        <v/>
      </c>
      <c r="BM1055" s="55" t="str" cm="1">
        <f t="array" ref="BM1055">IFERROR(
   INDEX($AW$1:$BH$1,
      _xlfn.AGGREGATE(14, 6, COLUMN($AW$1:$BH$1)/(AW1055:BH1055&lt;&gt;""), 2) - COLUMN($AW$1) + 1
   ),
"")</f>
        <v/>
      </c>
      <c r="BN1055" s="55" cm="1">
        <f t="array" ref="BN1055">IFERROR(INDEX($AW$1:$BH$1,1,MATCH(2,1/(AW1055:BH1055&lt;&gt;""))),"")</f>
        <v>46023</v>
      </c>
      <c r="BO1055" s="53">
        <f ca="1">IFERROR(_xlfn.XLOOKUP(F1055,Apuração!A:A,Apuração!C:C)/_xlfn.XLOOKUP(F1055,Apuração!A:A,Apuração!B:B),0)</f>
        <v>0</v>
      </c>
      <c r="BP1055" s="53">
        <f ca="1">IFERROR(_xlfn.XLOOKUP(F1055,Apuração!A:A,Apuração!D:D)/_xlfn.XLOOKUP(F1055,Apuração!A:A,Apuração!B:B),0)</f>
        <v>0</v>
      </c>
      <c r="BQ1055" s="53">
        <f ca="1">IF(BK1055&gt;=BO1055,0,_xlfn.XLOOKUP(F1055,Apuração!A:A,Apuração!B:B)*(BO1055 + (1/_xlfn.XLOOKUP(F1055,Apuração!A:A,Apuração!B:B)) - BK1055))</f>
        <v>0</v>
      </c>
      <c r="BR1055" s="85">
        <f t="shared" ca="1" si="1223"/>
        <v>0</v>
      </c>
      <c r="BS1055" s="53">
        <f ca="1">IFERROR((_xlfn.XLOOKUP(F1055,Apuração!A:A,Apuração!C:C)+1)/_xlfn.XLOOKUP(F1055,Apuração!A:A,Apuração!B:B),0)</f>
        <v>0.14285714285714285</v>
      </c>
    </row>
    <row r="1056" spans="1:71" ht="25.95" hidden="1" customHeight="1" x14ac:dyDescent="0.3">
      <c r="A1056" s="35" t="s">
        <v>44</v>
      </c>
      <c r="B1056" s="10" t="s">
        <v>44</v>
      </c>
      <c r="C1056" s="5" t="s">
        <v>97</v>
      </c>
      <c r="D1056" s="5" t="s">
        <v>107</v>
      </c>
      <c r="E1056" s="4" t="str" cm="1">
        <f t="array" ref="E1056">_xlfn.IFS(
F1056 = "A partir de Abril", "Aguardando Execução na Distribuidora",
A1056 = "CAPACITAÇÃO", "Em execução no Corporativo",
TRUE, "Em Execução na Distribuidora"
)</f>
        <v>Em Execução na Distribuidora</v>
      </c>
      <c r="F1056" s="4" t="str" cm="1">
        <f t="array" ref="F1056">_xlfn.IFS(
AG1056 &lt;&gt; "", "Jan-Dez/26",
AH1056 &lt;&gt; "", "Fev-Dez/26",
AI1056 &lt;&gt; "", "Mar-Dez/26", AJ1056 &lt;&gt; "", "Abr-Dez/26",
TRUE, "A partir de Junho"
)</f>
        <v>A partir de Junho</v>
      </c>
      <c r="G1056" s="10" t="s">
        <v>44</v>
      </c>
      <c r="H1056" s="36" t="s">
        <v>44</v>
      </c>
      <c r="I1056" s="37"/>
      <c r="J1056" s="37"/>
      <c r="K1056" s="37"/>
      <c r="L1056" s="37" t="s">
        <v>207</v>
      </c>
      <c r="M1056" s="37"/>
      <c r="N1056" s="5" t="s">
        <v>42</v>
      </c>
      <c r="O1056" s="5" t="s">
        <v>52</v>
      </c>
      <c r="P1056" s="10" t="s">
        <v>44</v>
      </c>
      <c r="Q1056" s="10" t="s">
        <v>44</v>
      </c>
      <c r="R1056" s="11" t="s">
        <v>44</v>
      </c>
      <c r="S1056" s="11" t="s">
        <v>44</v>
      </c>
      <c r="T1056" s="22"/>
      <c r="U1056" s="22"/>
      <c r="V1056" s="22"/>
      <c r="W1056" s="22"/>
      <c r="X1056" s="22"/>
      <c r="Y1056" s="22"/>
      <c r="Z1056" s="22"/>
      <c r="AA1056" s="22"/>
      <c r="AB1056" s="22"/>
      <c r="AC1056" s="22"/>
      <c r="AD1056" s="22"/>
      <c r="AE1056" s="22"/>
      <c r="AG1056" s="71"/>
      <c r="AH1056" s="71"/>
      <c r="AI1056" s="71"/>
      <c r="AJ1056" s="71"/>
      <c r="AK1056" s="71"/>
      <c r="AL1056" s="71"/>
      <c r="AM1056" s="71"/>
      <c r="AN1056" s="71"/>
      <c r="AO1056" s="71"/>
      <c r="AP1056" s="71"/>
      <c r="AQ1056" s="71"/>
      <c r="AR1056" s="71"/>
      <c r="AS1056" s="94"/>
      <c r="AT1056" s="95"/>
      <c r="AU1056" s="97"/>
      <c r="AW1056" s="84">
        <f t="shared" si="1222"/>
        <v>0</v>
      </c>
      <c r="AX1056" s="84"/>
      <c r="AY1056" s="84"/>
      <c r="AZ1056" s="84"/>
      <c r="BA1056" s="84"/>
      <c r="BB1056" s="84"/>
      <c r="BC1056" s="84"/>
      <c r="BD1056" s="84"/>
      <c r="BE1056" s="84"/>
      <c r="BF1056" s="84"/>
      <c r="BG1056" s="84"/>
      <c r="BH1056" s="84"/>
      <c r="BI1056" s="68" cm="1">
        <f t="array" ref="BI1056">IFERROR(INDEX(AW1056:BH1056,1,MATCH(2,1/(AW1056:BH1056&lt;&gt;""))),"")</f>
        <v>0</v>
      </c>
      <c r="BJ1056" s="68" t="str" cm="1">
        <f t="array" ref="BJ1056">IF(BM1056 = "", "",IFERROR(INDEX(AW1056:BH1056,1,MATCH(2,1/(AW1056:BH1056&lt;&gt;""),1)-1),""))</f>
        <v/>
      </c>
      <c r="BK1056" s="57" cm="1">
        <f t="array" ref="BK1056">IFERROR(INDEX(AW1056:BH1056,1,MATCH(2,1/(AW1056:BH1056&lt;&gt;""),1)),"")</f>
        <v>0</v>
      </c>
      <c r="BL1056" s="57" t="str" cm="1">
        <f t="array" ref="BL1056">IF(BM1056 = "", "",IFERROR(INDEX(AW1056:BH1056,1,MATCH(2,1/(AW1056:BH1056&lt;&gt;""),1)-1),""))</f>
        <v/>
      </c>
      <c r="BM1056" s="55" t="str" cm="1">
        <f t="array" ref="BM1056">IFERROR(
   INDEX($AW$1:$BH$1,
      _xlfn.AGGREGATE(14, 6, COLUMN($AW$1:$BH$1)/(AW1056:BH1056&lt;&gt;""), 2) - COLUMN($AW$1) + 1
   ),
"")</f>
        <v/>
      </c>
      <c r="BN1056" s="55" cm="1">
        <f t="array" ref="BN1056">IFERROR(INDEX($AW$1:$BH$1,1,MATCH(2,1/(AW1056:BH1056&lt;&gt;""))),"")</f>
        <v>46023</v>
      </c>
      <c r="BO1056" s="53">
        <f ca="1">IFERROR(_xlfn.XLOOKUP(F1056,Apuração!A:A,Apuração!C:C)/_xlfn.XLOOKUP(F1056,Apuração!A:A,Apuração!B:B),0)</f>
        <v>0</v>
      </c>
      <c r="BP1056" s="53">
        <f ca="1">IFERROR(_xlfn.XLOOKUP(F1056,Apuração!A:A,Apuração!D:D)/_xlfn.XLOOKUP(F1056,Apuração!A:A,Apuração!B:B),0)</f>
        <v>0</v>
      </c>
      <c r="BQ1056" s="53">
        <f ca="1">IF(BK1056&gt;=BO1056,0,_xlfn.XLOOKUP(F1056,Apuração!A:A,Apuração!B:B)*(BO1056 + (1/_xlfn.XLOOKUP(F1056,Apuração!A:A,Apuração!B:B)) - BK1056))</f>
        <v>0</v>
      </c>
      <c r="BR1056" s="85">
        <f t="shared" ca="1" si="1223"/>
        <v>0</v>
      </c>
      <c r="BS1056" s="53">
        <f ca="1">IFERROR((_xlfn.XLOOKUP(F1056,Apuração!A:A,Apuração!C:C)+1)/_xlfn.XLOOKUP(F1056,Apuração!A:A,Apuração!B:B),0)</f>
        <v>0.14285714285714285</v>
      </c>
    </row>
    <row r="1057" spans="1:71" ht="25.95" hidden="1" customHeight="1" x14ac:dyDescent="0.3">
      <c r="A1057" s="35" t="s">
        <v>44</v>
      </c>
      <c r="B1057" s="10" t="s">
        <v>44</v>
      </c>
      <c r="C1057" s="5" t="s">
        <v>97</v>
      </c>
      <c r="D1057" s="5" t="s">
        <v>36</v>
      </c>
      <c r="E1057" s="4" t="str" cm="1">
        <f t="array" ref="E1057">_xlfn.IFS(
F1057 = "A partir de Abril", "Aguardando Execução na Distribuidora",
A1057 = "CAPACITAÇÃO", "Em execução no Corporativo",
TRUE, "Em Execução na Distribuidora"
)</f>
        <v>Em Execução na Distribuidora</v>
      </c>
      <c r="F1057" s="4" t="str" cm="1">
        <f t="array" ref="F1057">_xlfn.IFS(
AG1057 &lt;&gt; "", "Jan-Dez/26",
AH1057 &lt;&gt; "", "Fev-Dez/26",
AI1057 &lt;&gt; "", "Mar-Dez/26", AJ1057 &lt;&gt; "", "Abr-Dez/26",
TRUE, "A partir de Junho"
)</f>
        <v>Jan-Dez/26</v>
      </c>
      <c r="G1057" s="10" t="s">
        <v>44</v>
      </c>
      <c r="H1057" s="36" t="s">
        <v>44</v>
      </c>
      <c r="I1057" s="37"/>
      <c r="J1057" s="37"/>
      <c r="K1057" s="37"/>
      <c r="L1057" s="37" t="s">
        <v>204</v>
      </c>
      <c r="M1057" s="37"/>
      <c r="N1057" s="5" t="s">
        <v>42</v>
      </c>
      <c r="O1057" s="5" t="s">
        <v>52</v>
      </c>
      <c r="P1057" s="10" t="s">
        <v>44</v>
      </c>
      <c r="Q1057" s="10" t="s">
        <v>44</v>
      </c>
      <c r="R1057" s="11" t="s">
        <v>44</v>
      </c>
      <c r="S1057" s="11" t="s">
        <v>44</v>
      </c>
      <c r="T1057" s="22"/>
      <c r="U1057" s="22"/>
      <c r="V1057" s="22"/>
      <c r="W1057" s="22"/>
      <c r="X1057" s="22"/>
      <c r="Y1057" s="22"/>
      <c r="Z1057" s="22"/>
      <c r="AA1057" s="22"/>
      <c r="AB1057" s="22"/>
      <c r="AC1057" s="22"/>
      <c r="AD1057" s="22"/>
      <c r="AE1057" s="22"/>
      <c r="AG1057" s="112">
        <v>0</v>
      </c>
      <c r="AH1057" s="112">
        <v>0</v>
      </c>
      <c r="AI1057" s="112">
        <v>0</v>
      </c>
      <c r="AJ1057" s="112">
        <v>0.54</v>
      </c>
      <c r="AK1057" s="112"/>
      <c r="AL1057" s="112"/>
      <c r="AM1057" s="112"/>
      <c r="AN1057" s="112"/>
      <c r="AO1057" s="112"/>
      <c r="AP1057" s="112"/>
      <c r="AQ1057" s="112"/>
      <c r="AR1057" s="112"/>
      <c r="AS1057" s="94"/>
      <c r="AT1057" s="95"/>
      <c r="AU1057" s="97"/>
      <c r="AW1057" s="84">
        <f>AG1057</f>
        <v>0</v>
      </c>
      <c r="AX1057" s="84">
        <f>AH1057</f>
        <v>0</v>
      </c>
      <c r="AY1057" s="84">
        <f>AI1057</f>
        <v>0</v>
      </c>
      <c r="AZ1057" s="84">
        <f>AJ1057</f>
        <v>0.54</v>
      </c>
      <c r="BA1057" s="84"/>
      <c r="BB1057" s="84"/>
      <c r="BC1057" s="84"/>
      <c r="BD1057" s="84"/>
      <c r="BE1057" s="84"/>
      <c r="BF1057" s="84"/>
      <c r="BG1057" s="84"/>
      <c r="BH1057" s="84"/>
      <c r="BI1057" s="68" cm="1">
        <f t="array" ref="BI1057">IFERROR(INDEX(AW1057:BH1057,1,MATCH(2,1/(AW1057:BH1057&lt;&gt;""))),"")</f>
        <v>0.54</v>
      </c>
      <c r="BJ1057" s="68" cm="1">
        <f t="array" ref="BJ1057">IF(BM1057 = "", "",IFERROR(INDEX(AW1057:BH1057,1,MATCH(2,1/(AW1057:BH1057&lt;&gt;""),1)-1),""))</f>
        <v>0</v>
      </c>
      <c r="BK1057" s="57" cm="1">
        <f t="array" ref="BK1057">IFERROR(INDEX(AW1057:BH1057,1,MATCH(2,1/(AW1057:BH1057&lt;&gt;""),1)),"")</f>
        <v>0.54</v>
      </c>
      <c r="BL1057" s="57" cm="1">
        <f t="array" ref="BL1057">IF(BM1057 = "", "",IFERROR(INDEX(AW1057:BH1057,1,MATCH(2,1/(AW1057:BH1057&lt;&gt;""),1)-1),""))</f>
        <v>0</v>
      </c>
      <c r="BM1057" s="55" cm="1">
        <f t="array" ref="BM1057">IFERROR(
   INDEX($AW$1:$BH$1,
      _xlfn.AGGREGATE(14, 6, COLUMN($AW$1:$BH$1)/(AW1057:BH1057&lt;&gt;""), 2) - COLUMN($AW$1) + 1
   ),
"")</f>
        <v>46082</v>
      </c>
      <c r="BN1057" s="55" cm="1">
        <f t="array" ref="BN1057">IFERROR(INDEX($AW$1:$BH$1,1,MATCH(2,1/(AW1057:BH1057&lt;&gt;""))),"")</f>
        <v>46113</v>
      </c>
      <c r="BO1057" s="53">
        <f ca="1">IFERROR(_xlfn.XLOOKUP(F1057,Apuração!A:A,Apuração!C:C)/_xlfn.XLOOKUP(F1057,Apuração!A:A,Apuração!B:B),0)</f>
        <v>0.41666666666666669</v>
      </c>
      <c r="BP1057" s="53">
        <f ca="1">IFERROR(_xlfn.XLOOKUP(F1057,Apuração!A:A,Apuração!D:D)/_xlfn.XLOOKUP(F1057,Apuração!A:A,Apuração!B:B),0)</f>
        <v>0.33333333333333331</v>
      </c>
      <c r="BQ1057" s="53">
        <f ca="1">IF(BK1057&gt;=BO1057,0,_xlfn.XLOOKUP(F1057,Apuração!A:A,Apuração!B:B)*(BO1057 + (1/_xlfn.XLOOKUP(F1057,Apuração!A:A,Apuração!B:B)) - BK1057))</f>
        <v>0</v>
      </c>
      <c r="BR1057" s="85">
        <f ca="1">IF(BQ1057=0,0,BQ1057*Z1057)</f>
        <v>0</v>
      </c>
      <c r="BS1057" s="53">
        <f ca="1">IFERROR((_xlfn.XLOOKUP(F1057,Apuração!A:A,Apuração!C:C)+1)/_xlfn.XLOOKUP(F1057,Apuração!A:A,Apuração!B:B),0)</f>
        <v>0.5</v>
      </c>
    </row>
    <row r="1058" spans="1:71" ht="25.95" hidden="1" customHeight="1" x14ac:dyDescent="0.3">
      <c r="A1058" s="35" t="s">
        <v>44</v>
      </c>
      <c r="B1058" s="10" t="s">
        <v>44</v>
      </c>
      <c r="C1058" s="5" t="s">
        <v>97</v>
      </c>
      <c r="D1058" s="5" t="s">
        <v>98</v>
      </c>
      <c r="E1058" s="4" t="str" cm="1">
        <f t="array" ref="E1058">_xlfn.IFS(
F1058 = "A partir de Abril", "Aguardando Execução na Distribuidora",
A1058 = "CAPACITAÇÃO", "Em execução no Corporativo",
TRUE, "Em Execução na Distribuidora"
)</f>
        <v>Em Execução na Distribuidora</v>
      </c>
      <c r="F1058" s="4" t="str" cm="1">
        <f t="array" ref="F1058">_xlfn.IFS(
AG1058 &lt;&gt; "", "Jan-Dez/26",
AH1058 &lt;&gt; "", "Fev-Dez/26",
AI1058 &lt;&gt; "", "Mar-Dez/26", AJ1058 &lt;&gt; "", "Abr-Dez/26",
TRUE, "A partir de Junho"
)</f>
        <v>A partir de Junho</v>
      </c>
      <c r="G1058" s="10" t="s">
        <v>44</v>
      </c>
      <c r="H1058" s="36" t="s">
        <v>44</v>
      </c>
      <c r="I1058" s="37"/>
      <c r="J1058" s="37"/>
      <c r="K1058" s="37"/>
      <c r="L1058" s="37" t="s">
        <v>204</v>
      </c>
      <c r="M1058" s="37"/>
      <c r="N1058" s="5" t="s">
        <v>42</v>
      </c>
      <c r="O1058" s="5" t="s">
        <v>52</v>
      </c>
      <c r="P1058" s="10" t="s">
        <v>44</v>
      </c>
      <c r="Q1058" s="10" t="s">
        <v>44</v>
      </c>
      <c r="R1058" s="11" t="s">
        <v>44</v>
      </c>
      <c r="S1058" s="11" t="s">
        <v>44</v>
      </c>
      <c r="T1058" s="22"/>
      <c r="U1058" s="22"/>
      <c r="V1058" s="22"/>
      <c r="W1058" s="22"/>
      <c r="X1058" s="22"/>
      <c r="Y1058" s="22"/>
      <c r="Z1058" s="22"/>
      <c r="AA1058" s="22"/>
      <c r="AB1058" s="22"/>
      <c r="AC1058" s="22"/>
      <c r="AD1058" s="22"/>
      <c r="AE1058" s="22"/>
      <c r="AG1058" s="112"/>
      <c r="AH1058" s="112"/>
      <c r="AI1058" s="112"/>
      <c r="AJ1058" s="71"/>
      <c r="AK1058" s="71"/>
      <c r="AL1058" s="71"/>
      <c r="AM1058" s="71"/>
      <c r="AN1058" s="71"/>
      <c r="AO1058" s="71"/>
      <c r="AP1058" s="71"/>
      <c r="AQ1058" s="71"/>
      <c r="AR1058" s="71"/>
      <c r="AS1058" s="94"/>
      <c r="AT1058" s="95"/>
      <c r="AU1058" s="97"/>
      <c r="AW1058" s="84">
        <f t="shared" ref="AW1058:AW1067" si="1224">AG1058</f>
        <v>0</v>
      </c>
      <c r="AX1058" s="84">
        <f t="shared" ref="AX1058:AX1067" si="1225">AH1058</f>
        <v>0</v>
      </c>
      <c r="AY1058" s="84">
        <f t="shared" ref="AY1058:AY1067" si="1226">AI1058</f>
        <v>0</v>
      </c>
      <c r="AZ1058" s="84"/>
      <c r="BA1058" s="84"/>
      <c r="BB1058" s="84"/>
      <c r="BC1058" s="84"/>
      <c r="BD1058" s="84"/>
      <c r="BE1058" s="84"/>
      <c r="BF1058" s="84"/>
      <c r="BG1058" s="84"/>
      <c r="BH1058" s="84"/>
      <c r="BI1058" s="68" cm="1">
        <f t="array" ref="BI1058">IFERROR(INDEX(AW1058:BH1058,1,MATCH(2,1/(AW1058:BH1058&lt;&gt;""))),"")</f>
        <v>0</v>
      </c>
      <c r="BJ1058" s="68" cm="1">
        <f t="array" ref="BJ1058">IF(BM1058 = "", "",IFERROR(INDEX(AW1058:BH1058,1,MATCH(2,1/(AW1058:BH1058&lt;&gt;""),1)-1),""))</f>
        <v>0</v>
      </c>
      <c r="BK1058" s="57" cm="1">
        <f t="array" ref="BK1058">IFERROR(INDEX(AW1058:BH1058,1,MATCH(2,1/(AW1058:BH1058&lt;&gt;""),1)),"")</f>
        <v>0</v>
      </c>
      <c r="BL1058" s="57" cm="1">
        <f t="array" ref="BL1058">IF(BM1058 = "", "",IFERROR(INDEX(AW1058:BH1058,1,MATCH(2,1/(AW1058:BH1058&lt;&gt;""),1)-1),""))</f>
        <v>0</v>
      </c>
      <c r="BM1058" s="55" cm="1">
        <f t="array" ref="BM1058">IFERROR(
   INDEX($AW$1:$BH$1,
      _xlfn.AGGREGATE(14, 6, COLUMN($AW$1:$BH$1)/(AW1058:BH1058&lt;&gt;""), 2) - COLUMN($AW$1) + 1
   ),
"")</f>
        <v>46054</v>
      </c>
      <c r="BN1058" s="55" cm="1">
        <f t="array" ref="BN1058">IFERROR(INDEX($AW$1:$BH$1,1,MATCH(2,1/(AW1058:BH1058&lt;&gt;""))),"")</f>
        <v>46082</v>
      </c>
      <c r="BO1058" s="53">
        <f ca="1">IFERROR(_xlfn.XLOOKUP(F1058,Apuração!A:A,Apuração!C:C)/_xlfn.XLOOKUP(F1058,Apuração!A:A,Apuração!B:B),0)</f>
        <v>0</v>
      </c>
      <c r="BP1058" s="53">
        <f ca="1">IFERROR(_xlfn.XLOOKUP(F1058,Apuração!A:A,Apuração!D:D)/_xlfn.XLOOKUP(F1058,Apuração!A:A,Apuração!B:B),0)</f>
        <v>0</v>
      </c>
      <c r="BQ1058" s="53">
        <f ca="1">IF(BK1058&gt;=BO1058,0,_xlfn.XLOOKUP(F1058,Apuração!A:A,Apuração!B:B)*(BO1058 + (1/_xlfn.XLOOKUP(F1058,Apuração!A:A,Apuração!B:B)) - BK1058))</f>
        <v>0</v>
      </c>
      <c r="BR1058" s="85">
        <f t="shared" ref="BR1058:BR1067" ca="1" si="1227">IF(BQ1058=0,0,BQ1058*Z1058)</f>
        <v>0</v>
      </c>
      <c r="BS1058" s="53">
        <f ca="1">IFERROR((_xlfn.XLOOKUP(F1058,Apuração!A:A,Apuração!C:C)+1)/_xlfn.XLOOKUP(F1058,Apuração!A:A,Apuração!B:B),0)</f>
        <v>0.14285714285714285</v>
      </c>
    </row>
    <row r="1059" spans="1:71" ht="25.95" hidden="1" customHeight="1" x14ac:dyDescent="0.3">
      <c r="A1059" s="35" t="s">
        <v>44</v>
      </c>
      <c r="B1059" s="10" t="s">
        <v>44</v>
      </c>
      <c r="C1059" s="5" t="s">
        <v>97</v>
      </c>
      <c r="D1059" s="5" t="s">
        <v>99</v>
      </c>
      <c r="E1059" s="4" t="str" cm="1">
        <f t="array" ref="E1059">_xlfn.IFS(
F1059 = "A partir de Abril", "Aguardando Execução na Distribuidora",
A1059 = "CAPACITAÇÃO", "Em execução no Corporativo",
TRUE, "Em Execução na Distribuidora"
)</f>
        <v>Em Execução na Distribuidora</v>
      </c>
      <c r="F1059" s="4" t="str" cm="1">
        <f t="array" ref="F1059">_xlfn.IFS(
AG1059 &lt;&gt; "", "Jan-Dez/26",
AH1059 &lt;&gt; "", "Fev-Dez/26",
AI1059 &lt;&gt; "", "Mar-Dez/26", AJ1059 &lt;&gt; "", "Abr-Dez/26",
TRUE, "A partir de Junho"
)</f>
        <v>A partir de Junho</v>
      </c>
      <c r="G1059" s="10" t="s">
        <v>44</v>
      </c>
      <c r="H1059" s="36" t="s">
        <v>44</v>
      </c>
      <c r="I1059" s="37"/>
      <c r="J1059" s="37"/>
      <c r="K1059" s="37"/>
      <c r="L1059" s="37" t="s">
        <v>204</v>
      </c>
      <c r="M1059" s="37"/>
      <c r="N1059" s="5" t="s">
        <v>42</v>
      </c>
      <c r="O1059" s="5" t="s">
        <v>52</v>
      </c>
      <c r="P1059" s="10" t="s">
        <v>44</v>
      </c>
      <c r="Q1059" s="10" t="s">
        <v>44</v>
      </c>
      <c r="R1059" s="11" t="s">
        <v>44</v>
      </c>
      <c r="S1059" s="11" t="s">
        <v>44</v>
      </c>
      <c r="T1059" s="22"/>
      <c r="U1059" s="22"/>
      <c r="V1059" s="22"/>
      <c r="W1059" s="22"/>
      <c r="X1059" s="22"/>
      <c r="Y1059" s="22"/>
      <c r="Z1059" s="22"/>
      <c r="AA1059" s="22"/>
      <c r="AB1059" s="22"/>
      <c r="AC1059" s="22"/>
      <c r="AD1059" s="22"/>
      <c r="AE1059" s="22"/>
      <c r="AG1059" s="112"/>
      <c r="AH1059" s="112"/>
      <c r="AI1059" s="112"/>
      <c r="AJ1059" s="71"/>
      <c r="AK1059" s="71"/>
      <c r="AL1059" s="71"/>
      <c r="AM1059" s="71"/>
      <c r="AN1059" s="71"/>
      <c r="AO1059" s="71"/>
      <c r="AP1059" s="71"/>
      <c r="AQ1059" s="71"/>
      <c r="AR1059" s="71"/>
      <c r="AS1059" s="94"/>
      <c r="AT1059" s="95"/>
      <c r="AU1059" s="97"/>
      <c r="AW1059" s="84">
        <f t="shared" si="1224"/>
        <v>0</v>
      </c>
      <c r="AX1059" s="84">
        <f t="shared" si="1225"/>
        <v>0</v>
      </c>
      <c r="AY1059" s="84">
        <f t="shared" si="1226"/>
        <v>0</v>
      </c>
      <c r="AZ1059" s="84"/>
      <c r="BA1059" s="84"/>
      <c r="BB1059" s="84"/>
      <c r="BC1059" s="84"/>
      <c r="BD1059" s="84"/>
      <c r="BE1059" s="84"/>
      <c r="BF1059" s="84"/>
      <c r="BG1059" s="84"/>
      <c r="BH1059" s="84"/>
      <c r="BI1059" s="68" cm="1">
        <f t="array" ref="BI1059">IFERROR(INDEX(AW1059:BH1059,1,MATCH(2,1/(AW1059:BH1059&lt;&gt;""))),"")</f>
        <v>0</v>
      </c>
      <c r="BJ1059" s="68" cm="1">
        <f t="array" ref="BJ1059">IF(BM1059 = "", "",IFERROR(INDEX(AW1059:BH1059,1,MATCH(2,1/(AW1059:BH1059&lt;&gt;""),1)-1),""))</f>
        <v>0</v>
      </c>
      <c r="BK1059" s="57" cm="1">
        <f t="array" ref="BK1059">IFERROR(INDEX(AW1059:BH1059,1,MATCH(2,1/(AW1059:BH1059&lt;&gt;""),1)),"")</f>
        <v>0</v>
      </c>
      <c r="BL1059" s="57" cm="1">
        <f t="array" ref="BL1059">IF(BM1059 = "", "",IFERROR(INDEX(AW1059:BH1059,1,MATCH(2,1/(AW1059:BH1059&lt;&gt;""),1)-1),""))</f>
        <v>0</v>
      </c>
      <c r="BM1059" s="55" cm="1">
        <f t="array" ref="BM1059">IFERROR(
   INDEX($AW$1:$BH$1,
      _xlfn.AGGREGATE(14, 6, COLUMN($AW$1:$BH$1)/(AW1059:BH1059&lt;&gt;""), 2) - COLUMN($AW$1) + 1
   ),
"")</f>
        <v>46054</v>
      </c>
      <c r="BN1059" s="55" cm="1">
        <f t="array" ref="BN1059">IFERROR(INDEX($AW$1:$BH$1,1,MATCH(2,1/(AW1059:BH1059&lt;&gt;""))),"")</f>
        <v>46082</v>
      </c>
      <c r="BO1059" s="53">
        <f ca="1">IFERROR(_xlfn.XLOOKUP(F1059,Apuração!A:A,Apuração!C:C)/_xlfn.XLOOKUP(F1059,Apuração!A:A,Apuração!B:B),0)</f>
        <v>0</v>
      </c>
      <c r="BP1059" s="53">
        <f ca="1">IFERROR(_xlfn.XLOOKUP(F1059,Apuração!A:A,Apuração!D:D)/_xlfn.XLOOKUP(F1059,Apuração!A:A,Apuração!B:B),0)</f>
        <v>0</v>
      </c>
      <c r="BQ1059" s="53">
        <f ca="1">IF(BK1059&gt;=BO1059,0,_xlfn.XLOOKUP(F1059,Apuração!A:A,Apuração!B:B)*(BO1059 + (1/_xlfn.XLOOKUP(F1059,Apuração!A:A,Apuração!B:B)) - BK1059))</f>
        <v>0</v>
      </c>
      <c r="BR1059" s="85">
        <f t="shared" ca="1" si="1227"/>
        <v>0</v>
      </c>
      <c r="BS1059" s="53">
        <f ca="1">IFERROR((_xlfn.XLOOKUP(F1059,Apuração!A:A,Apuração!C:C)+1)/_xlfn.XLOOKUP(F1059,Apuração!A:A,Apuração!B:B),0)</f>
        <v>0.14285714285714285</v>
      </c>
    </row>
    <row r="1060" spans="1:71" ht="25.95" hidden="1" customHeight="1" x14ac:dyDescent="0.3">
      <c r="A1060" s="35" t="s">
        <v>44</v>
      </c>
      <c r="B1060" s="10" t="s">
        <v>44</v>
      </c>
      <c r="C1060" s="5" t="s">
        <v>97</v>
      </c>
      <c r="D1060" s="5" t="s">
        <v>100</v>
      </c>
      <c r="E1060" s="4" t="str" cm="1">
        <f t="array" ref="E1060">_xlfn.IFS(
F1060 = "A partir de Abril", "Aguardando Execução na Distribuidora",
A1060 = "CAPACITAÇÃO", "Em execução no Corporativo",
TRUE, "Em Execução na Distribuidora"
)</f>
        <v>Em Execução na Distribuidora</v>
      </c>
      <c r="F1060" s="4" t="str" cm="1">
        <f t="array" ref="F1060">_xlfn.IFS(
AG1060 &lt;&gt; "", "Jan-Dez/26",
AH1060 &lt;&gt; "", "Fev-Dez/26",
AI1060 &lt;&gt; "", "Mar-Dez/26", AJ1060 &lt;&gt; "", "Abr-Dez/26",
TRUE, "A partir de Junho"
)</f>
        <v>A partir de Junho</v>
      </c>
      <c r="G1060" s="10" t="s">
        <v>44</v>
      </c>
      <c r="H1060" s="36" t="s">
        <v>44</v>
      </c>
      <c r="I1060" s="37"/>
      <c r="J1060" s="37"/>
      <c r="K1060" s="37"/>
      <c r="L1060" s="37" t="s">
        <v>204</v>
      </c>
      <c r="M1060" s="37"/>
      <c r="N1060" s="5" t="s">
        <v>42</v>
      </c>
      <c r="O1060" s="5" t="s">
        <v>52</v>
      </c>
      <c r="P1060" s="10" t="s">
        <v>44</v>
      </c>
      <c r="Q1060" s="10" t="s">
        <v>44</v>
      </c>
      <c r="R1060" s="11" t="s">
        <v>44</v>
      </c>
      <c r="S1060" s="11" t="s">
        <v>44</v>
      </c>
      <c r="T1060" s="22"/>
      <c r="U1060" s="22"/>
      <c r="V1060" s="22"/>
      <c r="W1060" s="22"/>
      <c r="X1060" s="22"/>
      <c r="Y1060" s="22"/>
      <c r="Z1060" s="22"/>
      <c r="AA1060" s="22"/>
      <c r="AB1060" s="22"/>
      <c r="AC1060" s="22"/>
      <c r="AD1060" s="22"/>
      <c r="AE1060" s="22"/>
      <c r="AG1060" s="112"/>
      <c r="AH1060" s="112"/>
      <c r="AI1060" s="112"/>
      <c r="AJ1060" s="71"/>
      <c r="AK1060" s="71"/>
      <c r="AL1060" s="71"/>
      <c r="AM1060" s="71"/>
      <c r="AN1060" s="71"/>
      <c r="AO1060" s="71"/>
      <c r="AP1060" s="71"/>
      <c r="AQ1060" s="71"/>
      <c r="AR1060" s="71"/>
      <c r="AS1060" s="94"/>
      <c r="AT1060" s="95"/>
      <c r="AU1060" s="97"/>
      <c r="AW1060" s="84">
        <f t="shared" si="1224"/>
        <v>0</v>
      </c>
      <c r="AX1060" s="84">
        <f t="shared" si="1225"/>
        <v>0</v>
      </c>
      <c r="AY1060" s="84">
        <f t="shared" si="1226"/>
        <v>0</v>
      </c>
      <c r="AZ1060" s="84"/>
      <c r="BA1060" s="84"/>
      <c r="BB1060" s="84"/>
      <c r="BC1060" s="84"/>
      <c r="BD1060" s="84"/>
      <c r="BE1060" s="84"/>
      <c r="BF1060" s="84"/>
      <c r="BG1060" s="84"/>
      <c r="BH1060" s="84"/>
      <c r="BI1060" s="68" cm="1">
        <f t="array" ref="BI1060">IFERROR(INDEX(AW1060:BH1060,1,MATCH(2,1/(AW1060:BH1060&lt;&gt;""))),"")</f>
        <v>0</v>
      </c>
      <c r="BJ1060" s="68" cm="1">
        <f t="array" ref="BJ1060">IF(BM1060 = "", "",IFERROR(INDEX(AW1060:BH1060,1,MATCH(2,1/(AW1060:BH1060&lt;&gt;""),1)-1),""))</f>
        <v>0</v>
      </c>
      <c r="BK1060" s="57" cm="1">
        <f t="array" ref="BK1060">IFERROR(INDEX(AW1060:BH1060,1,MATCH(2,1/(AW1060:BH1060&lt;&gt;""),1)),"")</f>
        <v>0</v>
      </c>
      <c r="BL1060" s="57" cm="1">
        <f t="array" ref="BL1060">IF(BM1060 = "", "",IFERROR(INDEX(AW1060:BH1060,1,MATCH(2,1/(AW1060:BH1060&lt;&gt;""),1)-1),""))</f>
        <v>0</v>
      </c>
      <c r="BM1060" s="55" cm="1">
        <f t="array" ref="BM1060">IFERROR(
   INDEX($AW$1:$BH$1,
      _xlfn.AGGREGATE(14, 6, COLUMN($AW$1:$BH$1)/(AW1060:BH1060&lt;&gt;""), 2) - COLUMN($AW$1) + 1
   ),
"")</f>
        <v>46054</v>
      </c>
      <c r="BN1060" s="55" cm="1">
        <f t="array" ref="BN1060">IFERROR(INDEX($AW$1:$BH$1,1,MATCH(2,1/(AW1060:BH1060&lt;&gt;""))),"")</f>
        <v>46082</v>
      </c>
      <c r="BO1060" s="53">
        <f ca="1">IFERROR(_xlfn.XLOOKUP(F1060,Apuração!A:A,Apuração!C:C)/_xlfn.XLOOKUP(F1060,Apuração!A:A,Apuração!B:B),0)</f>
        <v>0</v>
      </c>
      <c r="BP1060" s="53">
        <f ca="1">IFERROR(_xlfn.XLOOKUP(F1060,Apuração!A:A,Apuração!D:D)/_xlfn.XLOOKUP(F1060,Apuração!A:A,Apuração!B:B),0)</f>
        <v>0</v>
      </c>
      <c r="BQ1060" s="53">
        <f ca="1">IF(BK1060&gt;=BO1060,0,_xlfn.XLOOKUP(F1060,Apuração!A:A,Apuração!B:B)*(BO1060 + (1/_xlfn.XLOOKUP(F1060,Apuração!A:A,Apuração!B:B)) - BK1060))</f>
        <v>0</v>
      </c>
      <c r="BR1060" s="85">
        <f t="shared" ca="1" si="1227"/>
        <v>0</v>
      </c>
      <c r="BS1060" s="53">
        <f ca="1">IFERROR((_xlfn.XLOOKUP(F1060,Apuração!A:A,Apuração!C:C)+1)/_xlfn.XLOOKUP(F1060,Apuração!A:A,Apuração!B:B),0)</f>
        <v>0.14285714285714285</v>
      </c>
    </row>
    <row r="1061" spans="1:71" ht="25.95" hidden="1" customHeight="1" x14ac:dyDescent="0.3">
      <c r="A1061" s="35" t="s">
        <v>44</v>
      </c>
      <c r="B1061" s="10" t="s">
        <v>44</v>
      </c>
      <c r="C1061" s="5" t="s">
        <v>97</v>
      </c>
      <c r="D1061" s="5" t="s">
        <v>101</v>
      </c>
      <c r="E1061" s="4" t="str" cm="1">
        <f t="array" ref="E1061">_xlfn.IFS(
F1061 = "A partir de Abril", "Aguardando Execução na Distribuidora",
A1061 = "CAPACITAÇÃO", "Em execução no Corporativo",
TRUE, "Em Execução na Distribuidora"
)</f>
        <v>Em Execução na Distribuidora</v>
      </c>
      <c r="F1061" s="4" t="str" cm="1">
        <f t="array" ref="F1061">_xlfn.IFS(
AG1061 &lt;&gt; "", "Jan-Dez/26",
AH1061 &lt;&gt; "", "Fev-Dez/26",
AI1061 &lt;&gt; "", "Mar-Dez/26", AJ1061 &lt;&gt; "", "Abr-Dez/26",
TRUE, "A partir de Junho"
)</f>
        <v>A partir de Junho</v>
      </c>
      <c r="G1061" s="10" t="s">
        <v>44</v>
      </c>
      <c r="H1061" s="36" t="s">
        <v>44</v>
      </c>
      <c r="I1061" s="37"/>
      <c r="J1061" s="37"/>
      <c r="K1061" s="37"/>
      <c r="L1061" s="37" t="s">
        <v>204</v>
      </c>
      <c r="M1061" s="37"/>
      <c r="N1061" s="5" t="s">
        <v>42</v>
      </c>
      <c r="O1061" s="5" t="s">
        <v>52</v>
      </c>
      <c r="P1061" s="10" t="s">
        <v>44</v>
      </c>
      <c r="Q1061" s="10" t="s">
        <v>44</v>
      </c>
      <c r="R1061" s="11" t="s">
        <v>44</v>
      </c>
      <c r="S1061" s="11" t="s">
        <v>44</v>
      </c>
      <c r="T1061" s="22"/>
      <c r="U1061" s="22"/>
      <c r="V1061" s="22"/>
      <c r="W1061" s="22"/>
      <c r="X1061" s="22"/>
      <c r="Y1061" s="22"/>
      <c r="Z1061" s="22"/>
      <c r="AA1061" s="22"/>
      <c r="AB1061" s="22"/>
      <c r="AC1061" s="22"/>
      <c r="AD1061" s="22"/>
      <c r="AE1061" s="22"/>
      <c r="AG1061" s="112"/>
      <c r="AH1061" s="112"/>
      <c r="AI1061" s="112"/>
      <c r="AJ1061" s="71"/>
      <c r="AK1061" s="71"/>
      <c r="AL1061" s="71"/>
      <c r="AM1061" s="71"/>
      <c r="AN1061" s="71"/>
      <c r="AO1061" s="71"/>
      <c r="AP1061" s="71"/>
      <c r="AQ1061" s="71"/>
      <c r="AR1061" s="71"/>
      <c r="AS1061" s="94"/>
      <c r="AT1061" s="95"/>
      <c r="AU1061" s="97"/>
      <c r="AW1061" s="84">
        <f t="shared" si="1224"/>
        <v>0</v>
      </c>
      <c r="AX1061" s="84">
        <f t="shared" si="1225"/>
        <v>0</v>
      </c>
      <c r="AY1061" s="84">
        <f t="shared" si="1226"/>
        <v>0</v>
      </c>
      <c r="AZ1061" s="84"/>
      <c r="BA1061" s="84"/>
      <c r="BB1061" s="84"/>
      <c r="BC1061" s="84"/>
      <c r="BD1061" s="84"/>
      <c r="BE1061" s="84"/>
      <c r="BF1061" s="84"/>
      <c r="BG1061" s="84"/>
      <c r="BH1061" s="84"/>
      <c r="BI1061" s="68" cm="1">
        <f t="array" ref="BI1061">IFERROR(INDEX(AW1061:BH1061,1,MATCH(2,1/(AW1061:BH1061&lt;&gt;""))),"")</f>
        <v>0</v>
      </c>
      <c r="BJ1061" s="68" cm="1">
        <f t="array" ref="BJ1061">IF(BM1061 = "", "",IFERROR(INDEX(AW1061:BH1061,1,MATCH(2,1/(AW1061:BH1061&lt;&gt;""),1)-1),""))</f>
        <v>0</v>
      </c>
      <c r="BK1061" s="57" cm="1">
        <f t="array" ref="BK1061">IFERROR(INDEX(AW1061:BH1061,1,MATCH(2,1/(AW1061:BH1061&lt;&gt;""),1)),"")</f>
        <v>0</v>
      </c>
      <c r="BL1061" s="57" cm="1">
        <f t="array" ref="BL1061">IF(BM1061 = "", "",IFERROR(INDEX(AW1061:BH1061,1,MATCH(2,1/(AW1061:BH1061&lt;&gt;""),1)-1),""))</f>
        <v>0</v>
      </c>
      <c r="BM1061" s="55" cm="1">
        <f t="array" ref="BM1061">IFERROR(
   INDEX($AW$1:$BH$1,
      _xlfn.AGGREGATE(14, 6, COLUMN($AW$1:$BH$1)/(AW1061:BH1061&lt;&gt;""), 2) - COLUMN($AW$1) + 1
   ),
"")</f>
        <v>46054</v>
      </c>
      <c r="BN1061" s="55" cm="1">
        <f t="array" ref="BN1061">IFERROR(INDEX($AW$1:$BH$1,1,MATCH(2,1/(AW1061:BH1061&lt;&gt;""))),"")</f>
        <v>46082</v>
      </c>
      <c r="BO1061" s="53">
        <f ca="1">IFERROR(_xlfn.XLOOKUP(F1061,Apuração!A:A,Apuração!C:C)/_xlfn.XLOOKUP(F1061,Apuração!A:A,Apuração!B:B),0)</f>
        <v>0</v>
      </c>
      <c r="BP1061" s="53">
        <f ca="1">IFERROR(_xlfn.XLOOKUP(F1061,Apuração!A:A,Apuração!D:D)/_xlfn.XLOOKUP(F1061,Apuração!A:A,Apuração!B:B),0)</f>
        <v>0</v>
      </c>
      <c r="BQ1061" s="53">
        <f ca="1">IF(BK1061&gt;=BO1061,0,_xlfn.XLOOKUP(F1061,Apuração!A:A,Apuração!B:B)*(BO1061 + (1/_xlfn.XLOOKUP(F1061,Apuração!A:A,Apuração!B:B)) - BK1061))</f>
        <v>0</v>
      </c>
      <c r="BR1061" s="85">
        <f t="shared" ca="1" si="1227"/>
        <v>0</v>
      </c>
      <c r="BS1061" s="53">
        <f ca="1">IFERROR((_xlfn.XLOOKUP(F1061,Apuração!A:A,Apuração!C:C)+1)/_xlfn.XLOOKUP(F1061,Apuração!A:A,Apuração!B:B),0)</f>
        <v>0.14285714285714285</v>
      </c>
    </row>
    <row r="1062" spans="1:71" ht="25.95" hidden="1" customHeight="1" x14ac:dyDescent="0.3">
      <c r="A1062" s="35" t="s">
        <v>44</v>
      </c>
      <c r="B1062" s="10" t="s">
        <v>44</v>
      </c>
      <c r="C1062" s="5" t="s">
        <v>97</v>
      </c>
      <c r="D1062" s="5" t="s">
        <v>102</v>
      </c>
      <c r="E1062" s="4" t="str" cm="1">
        <f t="array" ref="E1062">_xlfn.IFS(
F1062 = "A partir de Abril", "Aguardando Execução na Distribuidora",
A1062 = "CAPACITAÇÃO", "Em execução no Corporativo",
TRUE, "Em Execução na Distribuidora"
)</f>
        <v>Em Execução na Distribuidora</v>
      </c>
      <c r="F1062" s="4" t="str" cm="1">
        <f t="array" ref="F1062">_xlfn.IFS(
AG1062 &lt;&gt; "", "Jan-Dez/26",
AH1062 &lt;&gt; "", "Fev-Dez/26",
AI1062 &lt;&gt; "", "Mar-Dez/26", AJ1062 &lt;&gt; "", "Abr-Dez/26",
TRUE, "A partir de Junho"
)</f>
        <v>A partir de Junho</v>
      </c>
      <c r="G1062" s="10" t="s">
        <v>44</v>
      </c>
      <c r="H1062" s="36" t="s">
        <v>44</v>
      </c>
      <c r="I1062" s="37"/>
      <c r="J1062" s="37"/>
      <c r="K1062" s="37"/>
      <c r="L1062" s="37" t="s">
        <v>204</v>
      </c>
      <c r="M1062" s="37"/>
      <c r="N1062" s="5" t="s">
        <v>42</v>
      </c>
      <c r="O1062" s="5" t="s">
        <v>52</v>
      </c>
      <c r="P1062" s="10" t="s">
        <v>44</v>
      </c>
      <c r="Q1062" s="10" t="s">
        <v>44</v>
      </c>
      <c r="R1062" s="11" t="s">
        <v>44</v>
      </c>
      <c r="S1062" s="11" t="s">
        <v>44</v>
      </c>
      <c r="T1062" s="22"/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  <c r="AG1062" s="112"/>
      <c r="AH1062" s="112"/>
      <c r="AI1062" s="112"/>
      <c r="AJ1062" s="71"/>
      <c r="AK1062" s="71"/>
      <c r="AL1062" s="71"/>
      <c r="AM1062" s="71"/>
      <c r="AN1062" s="71"/>
      <c r="AO1062" s="71"/>
      <c r="AP1062" s="71"/>
      <c r="AQ1062" s="71"/>
      <c r="AR1062" s="71"/>
      <c r="AS1062" s="94"/>
      <c r="AT1062" s="95"/>
      <c r="AU1062" s="97"/>
      <c r="AW1062" s="84">
        <f t="shared" si="1224"/>
        <v>0</v>
      </c>
      <c r="AX1062" s="84">
        <f t="shared" si="1225"/>
        <v>0</v>
      </c>
      <c r="AY1062" s="84">
        <f t="shared" si="1226"/>
        <v>0</v>
      </c>
      <c r="AZ1062" s="84"/>
      <c r="BA1062" s="84"/>
      <c r="BB1062" s="84"/>
      <c r="BC1062" s="84"/>
      <c r="BD1062" s="84"/>
      <c r="BE1062" s="84"/>
      <c r="BF1062" s="84"/>
      <c r="BG1062" s="84"/>
      <c r="BH1062" s="84"/>
      <c r="BI1062" s="68" cm="1">
        <f t="array" ref="BI1062">IFERROR(INDEX(AW1062:BH1062,1,MATCH(2,1/(AW1062:BH1062&lt;&gt;""))),"")</f>
        <v>0</v>
      </c>
      <c r="BJ1062" s="68" cm="1">
        <f t="array" ref="BJ1062">IF(BM1062 = "", "",IFERROR(INDEX(AW1062:BH1062,1,MATCH(2,1/(AW1062:BH1062&lt;&gt;""),1)-1),""))</f>
        <v>0</v>
      </c>
      <c r="BK1062" s="57" cm="1">
        <f t="array" ref="BK1062">IFERROR(INDEX(AW1062:BH1062,1,MATCH(2,1/(AW1062:BH1062&lt;&gt;""),1)),"")</f>
        <v>0</v>
      </c>
      <c r="BL1062" s="57" cm="1">
        <f t="array" ref="BL1062">IF(BM1062 = "", "",IFERROR(INDEX(AW1062:BH1062,1,MATCH(2,1/(AW1062:BH1062&lt;&gt;""),1)-1),""))</f>
        <v>0</v>
      </c>
      <c r="BM1062" s="55" cm="1">
        <f t="array" ref="BM1062">IFERROR(
   INDEX($AW$1:$BH$1,
      _xlfn.AGGREGATE(14, 6, COLUMN($AW$1:$BH$1)/(AW1062:BH1062&lt;&gt;""), 2) - COLUMN($AW$1) + 1
   ),
"")</f>
        <v>46054</v>
      </c>
      <c r="BN1062" s="55" cm="1">
        <f t="array" ref="BN1062">IFERROR(INDEX($AW$1:$BH$1,1,MATCH(2,1/(AW1062:BH1062&lt;&gt;""))),"")</f>
        <v>46082</v>
      </c>
      <c r="BO1062" s="53">
        <f ca="1">IFERROR(_xlfn.XLOOKUP(F1062,Apuração!A:A,Apuração!C:C)/_xlfn.XLOOKUP(F1062,Apuração!A:A,Apuração!B:B),0)</f>
        <v>0</v>
      </c>
      <c r="BP1062" s="53">
        <f ca="1">IFERROR(_xlfn.XLOOKUP(F1062,Apuração!A:A,Apuração!D:D)/_xlfn.XLOOKUP(F1062,Apuração!A:A,Apuração!B:B),0)</f>
        <v>0</v>
      </c>
      <c r="BQ1062" s="53">
        <f ca="1">IF(BK1062&gt;=BO1062,0,_xlfn.XLOOKUP(F1062,Apuração!A:A,Apuração!B:B)*(BO1062 + (1/_xlfn.XLOOKUP(F1062,Apuração!A:A,Apuração!B:B)) - BK1062))</f>
        <v>0</v>
      </c>
      <c r="BR1062" s="85">
        <f t="shared" ca="1" si="1227"/>
        <v>0</v>
      </c>
      <c r="BS1062" s="53">
        <f ca="1">IFERROR((_xlfn.XLOOKUP(F1062,Apuração!A:A,Apuração!C:C)+1)/_xlfn.XLOOKUP(F1062,Apuração!A:A,Apuração!B:B),0)</f>
        <v>0.14285714285714285</v>
      </c>
    </row>
    <row r="1063" spans="1:71" ht="25.95" hidden="1" customHeight="1" x14ac:dyDescent="0.3">
      <c r="A1063" s="35" t="s">
        <v>44</v>
      </c>
      <c r="B1063" s="10" t="s">
        <v>44</v>
      </c>
      <c r="C1063" s="5" t="s">
        <v>97</v>
      </c>
      <c r="D1063" s="5" t="s">
        <v>103</v>
      </c>
      <c r="E1063" s="4" t="str" cm="1">
        <f t="array" ref="E1063">_xlfn.IFS(
F1063 = "A partir de Abril", "Aguardando Execução na Distribuidora",
A1063 = "CAPACITAÇÃO", "Em execução no Corporativo",
TRUE, "Em Execução na Distribuidora"
)</f>
        <v>Em Execução na Distribuidora</v>
      </c>
      <c r="F1063" s="4" t="str" cm="1">
        <f t="array" ref="F1063">_xlfn.IFS(
AG1063 &lt;&gt; "", "Jan-Dez/26",
AH1063 &lt;&gt; "", "Fev-Dez/26",
AI1063 &lt;&gt; "", "Mar-Dez/26", AJ1063 &lt;&gt; "", "Abr-Dez/26",
TRUE, "A partir de Junho"
)</f>
        <v>A partir de Junho</v>
      </c>
      <c r="G1063" s="10" t="s">
        <v>44</v>
      </c>
      <c r="H1063" s="36" t="s">
        <v>44</v>
      </c>
      <c r="I1063" s="37"/>
      <c r="J1063" s="37"/>
      <c r="K1063" s="37"/>
      <c r="L1063" s="37" t="s">
        <v>204</v>
      </c>
      <c r="M1063" s="37"/>
      <c r="N1063" s="5" t="s">
        <v>42</v>
      </c>
      <c r="O1063" s="5" t="s">
        <v>52</v>
      </c>
      <c r="P1063" s="10" t="s">
        <v>44</v>
      </c>
      <c r="Q1063" s="10" t="s">
        <v>44</v>
      </c>
      <c r="R1063" s="11" t="s">
        <v>44</v>
      </c>
      <c r="S1063" s="11" t="s">
        <v>44</v>
      </c>
      <c r="T1063" s="22"/>
      <c r="U1063" s="22"/>
      <c r="V1063" s="22"/>
      <c r="W1063" s="22"/>
      <c r="X1063" s="22"/>
      <c r="Y1063" s="22"/>
      <c r="Z1063" s="22"/>
      <c r="AA1063" s="22"/>
      <c r="AB1063" s="22"/>
      <c r="AC1063" s="22"/>
      <c r="AD1063" s="22"/>
      <c r="AE1063" s="22"/>
      <c r="AG1063" s="112"/>
      <c r="AH1063" s="112"/>
      <c r="AI1063" s="112"/>
      <c r="AJ1063" s="71"/>
      <c r="AK1063" s="71"/>
      <c r="AL1063" s="71"/>
      <c r="AM1063" s="71"/>
      <c r="AN1063" s="71"/>
      <c r="AO1063" s="71"/>
      <c r="AP1063" s="71"/>
      <c r="AQ1063" s="71"/>
      <c r="AR1063" s="71"/>
      <c r="AS1063" s="94"/>
      <c r="AT1063" s="95"/>
      <c r="AU1063" s="97"/>
      <c r="AW1063" s="84">
        <f t="shared" si="1224"/>
        <v>0</v>
      </c>
      <c r="AX1063" s="84">
        <f t="shared" si="1225"/>
        <v>0</v>
      </c>
      <c r="AY1063" s="84">
        <f t="shared" si="1226"/>
        <v>0</v>
      </c>
      <c r="AZ1063" s="84"/>
      <c r="BA1063" s="84"/>
      <c r="BB1063" s="84"/>
      <c r="BC1063" s="84"/>
      <c r="BD1063" s="84"/>
      <c r="BE1063" s="84"/>
      <c r="BF1063" s="84"/>
      <c r="BG1063" s="84"/>
      <c r="BH1063" s="84"/>
      <c r="BI1063" s="68" cm="1">
        <f t="array" ref="BI1063">IFERROR(INDEX(AW1063:BH1063,1,MATCH(2,1/(AW1063:BH1063&lt;&gt;""))),"")</f>
        <v>0</v>
      </c>
      <c r="BJ1063" s="68" cm="1">
        <f t="array" ref="BJ1063">IF(BM1063 = "", "",IFERROR(INDEX(AW1063:BH1063,1,MATCH(2,1/(AW1063:BH1063&lt;&gt;""),1)-1),""))</f>
        <v>0</v>
      </c>
      <c r="BK1063" s="57" cm="1">
        <f t="array" ref="BK1063">IFERROR(INDEX(AW1063:BH1063,1,MATCH(2,1/(AW1063:BH1063&lt;&gt;""),1)),"")</f>
        <v>0</v>
      </c>
      <c r="BL1063" s="57" cm="1">
        <f t="array" ref="BL1063">IF(BM1063 = "", "",IFERROR(INDEX(AW1063:BH1063,1,MATCH(2,1/(AW1063:BH1063&lt;&gt;""),1)-1),""))</f>
        <v>0</v>
      </c>
      <c r="BM1063" s="55" cm="1">
        <f t="array" ref="BM1063">IFERROR(
   INDEX($AW$1:$BH$1,
      _xlfn.AGGREGATE(14, 6, COLUMN($AW$1:$BH$1)/(AW1063:BH1063&lt;&gt;""), 2) - COLUMN($AW$1) + 1
   ),
"")</f>
        <v>46054</v>
      </c>
      <c r="BN1063" s="55" cm="1">
        <f t="array" ref="BN1063">IFERROR(INDEX($AW$1:$BH$1,1,MATCH(2,1/(AW1063:BH1063&lt;&gt;""))),"")</f>
        <v>46082</v>
      </c>
      <c r="BO1063" s="53">
        <f ca="1">IFERROR(_xlfn.XLOOKUP(F1063,Apuração!A:A,Apuração!C:C)/_xlfn.XLOOKUP(F1063,Apuração!A:A,Apuração!B:B),0)</f>
        <v>0</v>
      </c>
      <c r="BP1063" s="53">
        <f ca="1">IFERROR(_xlfn.XLOOKUP(F1063,Apuração!A:A,Apuração!D:D)/_xlfn.XLOOKUP(F1063,Apuração!A:A,Apuração!B:B),0)</f>
        <v>0</v>
      </c>
      <c r="BQ1063" s="53">
        <f ca="1">IF(BK1063&gt;=BO1063,0,_xlfn.XLOOKUP(F1063,Apuração!A:A,Apuração!B:B)*(BO1063 + (1/_xlfn.XLOOKUP(F1063,Apuração!A:A,Apuração!B:B)) - BK1063))</f>
        <v>0</v>
      </c>
      <c r="BR1063" s="85">
        <f t="shared" ca="1" si="1227"/>
        <v>0</v>
      </c>
      <c r="BS1063" s="53">
        <f ca="1">IFERROR((_xlfn.XLOOKUP(F1063,Apuração!A:A,Apuração!C:C)+1)/_xlfn.XLOOKUP(F1063,Apuração!A:A,Apuração!B:B),0)</f>
        <v>0.14285714285714285</v>
      </c>
    </row>
    <row r="1064" spans="1:71" ht="25.95" hidden="1" customHeight="1" x14ac:dyDescent="0.3">
      <c r="A1064" s="35" t="s">
        <v>44</v>
      </c>
      <c r="B1064" s="10" t="s">
        <v>44</v>
      </c>
      <c r="C1064" s="5" t="s">
        <v>97</v>
      </c>
      <c r="D1064" s="5" t="s">
        <v>104</v>
      </c>
      <c r="E1064" s="4" t="str" cm="1">
        <f t="array" ref="E1064">_xlfn.IFS(
F1064 = "A partir de Abril", "Aguardando Execução na Distribuidora",
A1064 = "CAPACITAÇÃO", "Em execução no Corporativo",
TRUE, "Em Execução na Distribuidora"
)</f>
        <v>Em Execução na Distribuidora</v>
      </c>
      <c r="F1064" s="4" t="str" cm="1">
        <f t="array" ref="F1064">_xlfn.IFS(
AG1064 &lt;&gt; "", "Jan-Dez/26",
AH1064 &lt;&gt; "", "Fev-Dez/26",
AI1064 &lt;&gt; "", "Mar-Dez/26", AJ1064 &lt;&gt; "", "Abr-Dez/26",
TRUE, "A partir de Junho"
)</f>
        <v>A partir de Junho</v>
      </c>
      <c r="G1064" s="10" t="s">
        <v>44</v>
      </c>
      <c r="H1064" s="36" t="s">
        <v>44</v>
      </c>
      <c r="I1064" s="37"/>
      <c r="J1064" s="37"/>
      <c r="K1064" s="37"/>
      <c r="L1064" s="37" t="s">
        <v>204</v>
      </c>
      <c r="M1064" s="37"/>
      <c r="N1064" s="5" t="s">
        <v>42</v>
      </c>
      <c r="O1064" s="5" t="s">
        <v>52</v>
      </c>
      <c r="P1064" s="10" t="s">
        <v>44</v>
      </c>
      <c r="Q1064" s="10" t="s">
        <v>44</v>
      </c>
      <c r="R1064" s="11" t="s">
        <v>44</v>
      </c>
      <c r="S1064" s="11" t="s">
        <v>44</v>
      </c>
      <c r="T1064" s="22"/>
      <c r="U1064" s="22"/>
      <c r="V1064" s="22"/>
      <c r="W1064" s="22"/>
      <c r="X1064" s="22"/>
      <c r="Y1064" s="22"/>
      <c r="Z1064" s="22"/>
      <c r="AA1064" s="22"/>
      <c r="AB1064" s="22"/>
      <c r="AC1064" s="22"/>
      <c r="AD1064" s="22"/>
      <c r="AE1064" s="22"/>
      <c r="AG1064" s="112"/>
      <c r="AH1064" s="112"/>
      <c r="AI1064" s="112"/>
      <c r="AJ1064" s="71"/>
      <c r="AK1064" s="71"/>
      <c r="AL1064" s="71"/>
      <c r="AM1064" s="71"/>
      <c r="AN1064" s="71"/>
      <c r="AO1064" s="71"/>
      <c r="AP1064" s="71"/>
      <c r="AQ1064" s="71"/>
      <c r="AR1064" s="71"/>
      <c r="AS1064" s="94"/>
      <c r="AT1064" s="95"/>
      <c r="AU1064" s="97"/>
      <c r="AW1064" s="84">
        <f t="shared" si="1224"/>
        <v>0</v>
      </c>
      <c r="AX1064" s="84">
        <f t="shared" si="1225"/>
        <v>0</v>
      </c>
      <c r="AY1064" s="84">
        <f t="shared" si="1226"/>
        <v>0</v>
      </c>
      <c r="AZ1064" s="84"/>
      <c r="BA1064" s="84"/>
      <c r="BB1064" s="84"/>
      <c r="BC1064" s="84"/>
      <c r="BD1064" s="84"/>
      <c r="BE1064" s="84"/>
      <c r="BF1064" s="84"/>
      <c r="BG1064" s="84"/>
      <c r="BH1064" s="84"/>
      <c r="BI1064" s="68" cm="1">
        <f t="array" ref="BI1064">IFERROR(INDEX(AW1064:BH1064,1,MATCH(2,1/(AW1064:BH1064&lt;&gt;""))),"")</f>
        <v>0</v>
      </c>
      <c r="BJ1064" s="68" cm="1">
        <f t="array" ref="BJ1064">IF(BM1064 = "", "",IFERROR(INDEX(AW1064:BH1064,1,MATCH(2,1/(AW1064:BH1064&lt;&gt;""),1)-1),""))</f>
        <v>0</v>
      </c>
      <c r="BK1064" s="57" cm="1">
        <f t="array" ref="BK1064">IFERROR(INDEX(AW1064:BH1064,1,MATCH(2,1/(AW1064:BH1064&lt;&gt;""),1)),"")</f>
        <v>0</v>
      </c>
      <c r="BL1064" s="57" cm="1">
        <f t="array" ref="BL1064">IF(BM1064 = "", "",IFERROR(INDEX(AW1064:BH1064,1,MATCH(2,1/(AW1064:BH1064&lt;&gt;""),1)-1),""))</f>
        <v>0</v>
      </c>
      <c r="BM1064" s="55" cm="1">
        <f t="array" ref="BM1064">IFERROR(
   INDEX($AW$1:$BH$1,
      _xlfn.AGGREGATE(14, 6, COLUMN($AW$1:$BH$1)/(AW1064:BH1064&lt;&gt;""), 2) - COLUMN($AW$1) + 1
   ),
"")</f>
        <v>46054</v>
      </c>
      <c r="BN1064" s="55" cm="1">
        <f t="array" ref="BN1064">IFERROR(INDEX($AW$1:$BH$1,1,MATCH(2,1/(AW1064:BH1064&lt;&gt;""))),"")</f>
        <v>46082</v>
      </c>
      <c r="BO1064" s="53">
        <f ca="1">IFERROR(_xlfn.XLOOKUP(F1064,Apuração!A:A,Apuração!C:C)/_xlfn.XLOOKUP(F1064,Apuração!A:A,Apuração!B:B),0)</f>
        <v>0</v>
      </c>
      <c r="BP1064" s="53">
        <f ca="1">IFERROR(_xlfn.XLOOKUP(F1064,Apuração!A:A,Apuração!D:D)/_xlfn.XLOOKUP(F1064,Apuração!A:A,Apuração!B:B),0)</f>
        <v>0</v>
      </c>
      <c r="BQ1064" s="53">
        <f ca="1">IF(BK1064&gt;=BO1064,0,_xlfn.XLOOKUP(F1064,Apuração!A:A,Apuração!B:B)*(BO1064 + (1/_xlfn.XLOOKUP(F1064,Apuração!A:A,Apuração!B:B)) - BK1064))</f>
        <v>0</v>
      </c>
      <c r="BR1064" s="85">
        <f t="shared" ca="1" si="1227"/>
        <v>0</v>
      </c>
      <c r="BS1064" s="53">
        <f ca="1">IFERROR((_xlfn.XLOOKUP(F1064,Apuração!A:A,Apuração!C:C)+1)/_xlfn.XLOOKUP(F1064,Apuração!A:A,Apuração!B:B),0)</f>
        <v>0.14285714285714285</v>
      </c>
    </row>
    <row r="1065" spans="1:71" ht="25.95" hidden="1" customHeight="1" x14ac:dyDescent="0.3">
      <c r="A1065" s="35" t="s">
        <v>44</v>
      </c>
      <c r="B1065" s="10" t="s">
        <v>44</v>
      </c>
      <c r="C1065" s="5" t="s">
        <v>97</v>
      </c>
      <c r="D1065" s="5" t="s">
        <v>105</v>
      </c>
      <c r="E1065" s="4" t="str" cm="1">
        <f t="array" ref="E1065">_xlfn.IFS(
F1065 = "A partir de Abril", "Aguardando Execução na Distribuidora",
A1065 = "CAPACITAÇÃO", "Em execução no Corporativo",
TRUE, "Em Execução na Distribuidora"
)</f>
        <v>Em Execução na Distribuidora</v>
      </c>
      <c r="F1065" s="4" t="str" cm="1">
        <f t="array" ref="F1065">_xlfn.IFS(
AG1065 &lt;&gt; "", "Jan-Dez/26",
AH1065 &lt;&gt; "", "Fev-Dez/26",
AI1065 &lt;&gt; "", "Mar-Dez/26", AJ1065 &lt;&gt; "", "Abr-Dez/26",
TRUE, "A partir de Junho"
)</f>
        <v>A partir de Junho</v>
      </c>
      <c r="G1065" s="10" t="s">
        <v>44</v>
      </c>
      <c r="H1065" s="36" t="s">
        <v>44</v>
      </c>
      <c r="I1065" s="37"/>
      <c r="J1065" s="37"/>
      <c r="K1065" s="37"/>
      <c r="L1065" s="37" t="s">
        <v>204</v>
      </c>
      <c r="M1065" s="37"/>
      <c r="N1065" s="5" t="s">
        <v>42</v>
      </c>
      <c r="O1065" s="5" t="s">
        <v>52</v>
      </c>
      <c r="P1065" s="10" t="s">
        <v>44</v>
      </c>
      <c r="Q1065" s="10" t="s">
        <v>44</v>
      </c>
      <c r="R1065" s="11" t="s">
        <v>44</v>
      </c>
      <c r="S1065" s="11" t="s">
        <v>44</v>
      </c>
      <c r="T1065" s="22"/>
      <c r="U1065" s="22"/>
      <c r="V1065" s="22"/>
      <c r="W1065" s="22"/>
      <c r="X1065" s="22"/>
      <c r="Y1065" s="22"/>
      <c r="Z1065" s="22"/>
      <c r="AA1065" s="22"/>
      <c r="AB1065" s="22"/>
      <c r="AC1065" s="22"/>
      <c r="AD1065" s="22"/>
      <c r="AE1065" s="22"/>
      <c r="AG1065" s="112"/>
      <c r="AH1065" s="112"/>
      <c r="AI1065" s="112"/>
      <c r="AJ1065" s="71"/>
      <c r="AK1065" s="71"/>
      <c r="AL1065" s="71"/>
      <c r="AM1065" s="71"/>
      <c r="AN1065" s="71"/>
      <c r="AO1065" s="71"/>
      <c r="AP1065" s="71"/>
      <c r="AQ1065" s="71"/>
      <c r="AR1065" s="71"/>
      <c r="AS1065" s="94"/>
      <c r="AT1065" s="95"/>
      <c r="AU1065" s="97"/>
      <c r="AW1065" s="84">
        <f t="shared" si="1224"/>
        <v>0</v>
      </c>
      <c r="AX1065" s="84">
        <f t="shared" si="1225"/>
        <v>0</v>
      </c>
      <c r="AY1065" s="84">
        <f t="shared" si="1226"/>
        <v>0</v>
      </c>
      <c r="AZ1065" s="84"/>
      <c r="BA1065" s="84"/>
      <c r="BB1065" s="84"/>
      <c r="BC1065" s="84"/>
      <c r="BD1065" s="84"/>
      <c r="BE1065" s="84"/>
      <c r="BF1065" s="84"/>
      <c r="BG1065" s="84"/>
      <c r="BH1065" s="84"/>
      <c r="BI1065" s="68" cm="1">
        <f t="array" ref="BI1065">IFERROR(INDEX(AW1065:BH1065,1,MATCH(2,1/(AW1065:BH1065&lt;&gt;""))),"")</f>
        <v>0</v>
      </c>
      <c r="BJ1065" s="68" cm="1">
        <f t="array" ref="BJ1065">IF(BM1065 = "", "",IFERROR(INDEX(AW1065:BH1065,1,MATCH(2,1/(AW1065:BH1065&lt;&gt;""),1)-1),""))</f>
        <v>0</v>
      </c>
      <c r="BK1065" s="57" cm="1">
        <f t="array" ref="BK1065">IFERROR(INDEX(AW1065:BH1065,1,MATCH(2,1/(AW1065:BH1065&lt;&gt;""),1)),"")</f>
        <v>0</v>
      </c>
      <c r="BL1065" s="57" cm="1">
        <f t="array" ref="BL1065">IF(BM1065 = "", "",IFERROR(INDEX(AW1065:BH1065,1,MATCH(2,1/(AW1065:BH1065&lt;&gt;""),1)-1),""))</f>
        <v>0</v>
      </c>
      <c r="BM1065" s="55" cm="1">
        <f t="array" ref="BM1065">IFERROR(
   INDEX($AW$1:$BH$1,
      _xlfn.AGGREGATE(14, 6, COLUMN($AW$1:$BH$1)/(AW1065:BH1065&lt;&gt;""), 2) - COLUMN($AW$1) + 1
   ),
"")</f>
        <v>46054</v>
      </c>
      <c r="BN1065" s="55" cm="1">
        <f t="array" ref="BN1065">IFERROR(INDEX($AW$1:$BH$1,1,MATCH(2,1/(AW1065:BH1065&lt;&gt;""))),"")</f>
        <v>46082</v>
      </c>
      <c r="BO1065" s="53">
        <f ca="1">IFERROR(_xlfn.XLOOKUP(F1065,Apuração!A:A,Apuração!C:C)/_xlfn.XLOOKUP(F1065,Apuração!A:A,Apuração!B:B),0)</f>
        <v>0</v>
      </c>
      <c r="BP1065" s="53">
        <f ca="1">IFERROR(_xlfn.XLOOKUP(F1065,Apuração!A:A,Apuração!D:D)/_xlfn.XLOOKUP(F1065,Apuração!A:A,Apuração!B:B),0)</f>
        <v>0</v>
      </c>
      <c r="BQ1065" s="53">
        <f ca="1">IF(BK1065&gt;=BO1065,0,_xlfn.XLOOKUP(F1065,Apuração!A:A,Apuração!B:B)*(BO1065 + (1/_xlfn.XLOOKUP(F1065,Apuração!A:A,Apuração!B:B)) - BK1065))</f>
        <v>0</v>
      </c>
      <c r="BR1065" s="85">
        <f t="shared" ca="1" si="1227"/>
        <v>0</v>
      </c>
      <c r="BS1065" s="53">
        <f ca="1">IFERROR((_xlfn.XLOOKUP(F1065,Apuração!A:A,Apuração!C:C)+1)/_xlfn.XLOOKUP(F1065,Apuração!A:A,Apuração!B:B),0)</f>
        <v>0.14285714285714285</v>
      </c>
    </row>
    <row r="1066" spans="1:71" ht="25.95" hidden="1" customHeight="1" x14ac:dyDescent="0.3">
      <c r="A1066" s="35" t="s">
        <v>44</v>
      </c>
      <c r="B1066" s="10" t="s">
        <v>44</v>
      </c>
      <c r="C1066" s="5" t="s">
        <v>97</v>
      </c>
      <c r="D1066" s="5" t="s">
        <v>106</v>
      </c>
      <c r="E1066" s="4" t="str" cm="1">
        <f t="array" ref="E1066">_xlfn.IFS(
F1066 = "A partir de Abril", "Aguardando Execução na Distribuidora",
A1066 = "CAPACITAÇÃO", "Em execução no Corporativo",
TRUE, "Em Execução na Distribuidora"
)</f>
        <v>Em Execução na Distribuidora</v>
      </c>
      <c r="F1066" s="4" t="str" cm="1">
        <f t="array" ref="F1066">_xlfn.IFS(
AG1066 &lt;&gt; "", "Jan-Dez/26",
AH1066 &lt;&gt; "", "Fev-Dez/26",
AI1066 &lt;&gt; "", "Mar-Dez/26", AJ1066 &lt;&gt; "", "Abr-Dez/26",
TRUE, "A partir de Junho"
)</f>
        <v>A partir de Junho</v>
      </c>
      <c r="G1066" s="10" t="s">
        <v>44</v>
      </c>
      <c r="H1066" s="36" t="s">
        <v>44</v>
      </c>
      <c r="I1066" s="37"/>
      <c r="J1066" s="37"/>
      <c r="K1066" s="37"/>
      <c r="L1066" s="37" t="s">
        <v>204</v>
      </c>
      <c r="M1066" s="37"/>
      <c r="N1066" s="5" t="s">
        <v>42</v>
      </c>
      <c r="O1066" s="5" t="s">
        <v>52</v>
      </c>
      <c r="P1066" s="10" t="s">
        <v>44</v>
      </c>
      <c r="Q1066" s="10" t="s">
        <v>44</v>
      </c>
      <c r="R1066" s="11" t="s">
        <v>44</v>
      </c>
      <c r="S1066" s="11" t="s">
        <v>44</v>
      </c>
      <c r="T1066" s="22"/>
      <c r="U1066" s="22"/>
      <c r="V1066" s="22"/>
      <c r="W1066" s="22"/>
      <c r="X1066" s="22"/>
      <c r="Y1066" s="22"/>
      <c r="Z1066" s="22"/>
      <c r="AA1066" s="22"/>
      <c r="AB1066" s="22"/>
      <c r="AC1066" s="22"/>
      <c r="AD1066" s="22"/>
      <c r="AE1066" s="22"/>
      <c r="AG1066" s="112"/>
      <c r="AH1066" s="112"/>
      <c r="AI1066" s="112"/>
      <c r="AJ1066" s="71"/>
      <c r="AK1066" s="71"/>
      <c r="AL1066" s="71"/>
      <c r="AM1066" s="71"/>
      <c r="AN1066" s="71"/>
      <c r="AO1066" s="71"/>
      <c r="AP1066" s="71"/>
      <c r="AQ1066" s="71"/>
      <c r="AR1066" s="71"/>
      <c r="AS1066" s="94"/>
      <c r="AT1066" s="95"/>
      <c r="AU1066" s="97"/>
      <c r="AW1066" s="84">
        <f t="shared" si="1224"/>
        <v>0</v>
      </c>
      <c r="AX1066" s="84">
        <f t="shared" si="1225"/>
        <v>0</v>
      </c>
      <c r="AY1066" s="84">
        <f t="shared" si="1226"/>
        <v>0</v>
      </c>
      <c r="AZ1066" s="84"/>
      <c r="BA1066" s="84"/>
      <c r="BB1066" s="84"/>
      <c r="BC1066" s="84"/>
      <c r="BD1066" s="84"/>
      <c r="BE1066" s="84"/>
      <c r="BF1066" s="84"/>
      <c r="BG1066" s="84"/>
      <c r="BH1066" s="84"/>
      <c r="BI1066" s="68" cm="1">
        <f t="array" ref="BI1066">IFERROR(INDEX(AW1066:BH1066,1,MATCH(2,1/(AW1066:BH1066&lt;&gt;""))),"")</f>
        <v>0</v>
      </c>
      <c r="BJ1066" s="68" cm="1">
        <f t="array" ref="BJ1066">IF(BM1066 = "", "",IFERROR(INDEX(AW1066:BH1066,1,MATCH(2,1/(AW1066:BH1066&lt;&gt;""),1)-1),""))</f>
        <v>0</v>
      </c>
      <c r="BK1066" s="57" cm="1">
        <f t="array" ref="BK1066">IFERROR(INDEX(AW1066:BH1066,1,MATCH(2,1/(AW1066:BH1066&lt;&gt;""),1)),"")</f>
        <v>0</v>
      </c>
      <c r="BL1066" s="57" cm="1">
        <f t="array" ref="BL1066">IF(BM1066 = "", "",IFERROR(INDEX(AW1066:BH1066,1,MATCH(2,1/(AW1066:BH1066&lt;&gt;""),1)-1),""))</f>
        <v>0</v>
      </c>
      <c r="BM1066" s="55" cm="1">
        <f t="array" ref="BM1066">IFERROR(
   INDEX($AW$1:$BH$1,
      _xlfn.AGGREGATE(14, 6, COLUMN($AW$1:$BH$1)/(AW1066:BH1066&lt;&gt;""), 2) - COLUMN($AW$1) + 1
   ),
"")</f>
        <v>46054</v>
      </c>
      <c r="BN1066" s="55" cm="1">
        <f t="array" ref="BN1066">IFERROR(INDEX($AW$1:$BH$1,1,MATCH(2,1/(AW1066:BH1066&lt;&gt;""))),"")</f>
        <v>46082</v>
      </c>
      <c r="BO1066" s="53">
        <f ca="1">IFERROR(_xlfn.XLOOKUP(F1066,Apuração!A:A,Apuração!C:C)/_xlfn.XLOOKUP(F1066,Apuração!A:A,Apuração!B:B),0)</f>
        <v>0</v>
      </c>
      <c r="BP1066" s="53">
        <f ca="1">IFERROR(_xlfn.XLOOKUP(F1066,Apuração!A:A,Apuração!D:D)/_xlfn.XLOOKUP(F1066,Apuração!A:A,Apuração!B:B),0)</f>
        <v>0</v>
      </c>
      <c r="BQ1066" s="53">
        <f ca="1">IF(BK1066&gt;=BO1066,0,_xlfn.XLOOKUP(F1066,Apuração!A:A,Apuração!B:B)*(BO1066 + (1/_xlfn.XLOOKUP(F1066,Apuração!A:A,Apuração!B:B)) - BK1066))</f>
        <v>0</v>
      </c>
      <c r="BR1066" s="85">
        <f t="shared" ca="1" si="1227"/>
        <v>0</v>
      </c>
      <c r="BS1066" s="53">
        <f ca="1">IFERROR((_xlfn.XLOOKUP(F1066,Apuração!A:A,Apuração!C:C)+1)/_xlfn.XLOOKUP(F1066,Apuração!A:A,Apuração!B:B),0)</f>
        <v>0.14285714285714285</v>
      </c>
    </row>
    <row r="1067" spans="1:71" ht="25.95" hidden="1" customHeight="1" x14ac:dyDescent="0.3">
      <c r="A1067" s="35" t="s">
        <v>44</v>
      </c>
      <c r="B1067" s="10" t="s">
        <v>44</v>
      </c>
      <c r="C1067" s="5" t="s">
        <v>97</v>
      </c>
      <c r="D1067" s="5" t="s">
        <v>107</v>
      </c>
      <c r="E1067" s="4" t="str" cm="1">
        <f t="array" ref="E1067">_xlfn.IFS(
F1067 = "A partir de Abril", "Aguardando Execução na Distribuidora",
A1067 = "CAPACITAÇÃO", "Em execução no Corporativo",
TRUE, "Em Execução na Distribuidora"
)</f>
        <v>Em Execução na Distribuidora</v>
      </c>
      <c r="F1067" s="4" t="str" cm="1">
        <f t="array" ref="F1067">_xlfn.IFS(
AG1067 &lt;&gt; "", "Jan-Dez/26",
AH1067 &lt;&gt; "", "Fev-Dez/26",
AI1067 &lt;&gt; "", "Mar-Dez/26", AJ1067 &lt;&gt; "", "Abr-Dez/26",
TRUE, "A partir de Junho"
)</f>
        <v>A partir de Junho</v>
      </c>
      <c r="G1067" s="10" t="s">
        <v>44</v>
      </c>
      <c r="H1067" s="36" t="s">
        <v>44</v>
      </c>
      <c r="I1067" s="37"/>
      <c r="J1067" s="37"/>
      <c r="K1067" s="37"/>
      <c r="L1067" s="37" t="s">
        <v>204</v>
      </c>
      <c r="M1067" s="37"/>
      <c r="N1067" s="5" t="s">
        <v>42</v>
      </c>
      <c r="O1067" s="5" t="s">
        <v>52</v>
      </c>
      <c r="P1067" s="10" t="s">
        <v>44</v>
      </c>
      <c r="Q1067" s="10" t="s">
        <v>44</v>
      </c>
      <c r="R1067" s="11" t="s">
        <v>44</v>
      </c>
      <c r="S1067" s="11" t="s">
        <v>44</v>
      </c>
      <c r="T1067" s="22"/>
      <c r="U1067" s="22"/>
      <c r="V1067" s="22"/>
      <c r="W1067" s="22"/>
      <c r="X1067" s="22"/>
      <c r="Y1067" s="22"/>
      <c r="Z1067" s="22"/>
      <c r="AA1067" s="22"/>
      <c r="AB1067" s="22"/>
      <c r="AC1067" s="22"/>
      <c r="AD1067" s="22"/>
      <c r="AE1067" s="22"/>
      <c r="AG1067" s="112"/>
      <c r="AH1067" s="112"/>
      <c r="AI1067" s="112"/>
      <c r="AJ1067" s="71"/>
      <c r="AK1067" s="71"/>
      <c r="AL1067" s="71"/>
      <c r="AM1067" s="71"/>
      <c r="AN1067" s="71"/>
      <c r="AO1067" s="71"/>
      <c r="AP1067" s="71"/>
      <c r="AQ1067" s="71"/>
      <c r="AR1067" s="71"/>
      <c r="AS1067" s="94"/>
      <c r="AT1067" s="95"/>
      <c r="AU1067" s="97"/>
      <c r="AW1067" s="84">
        <f t="shared" si="1224"/>
        <v>0</v>
      </c>
      <c r="AX1067" s="84">
        <f t="shared" si="1225"/>
        <v>0</v>
      </c>
      <c r="AY1067" s="84">
        <f t="shared" si="1226"/>
        <v>0</v>
      </c>
      <c r="AZ1067" s="84"/>
      <c r="BA1067" s="84"/>
      <c r="BB1067" s="84"/>
      <c r="BC1067" s="84"/>
      <c r="BD1067" s="84"/>
      <c r="BE1067" s="84"/>
      <c r="BF1067" s="84"/>
      <c r="BG1067" s="84"/>
      <c r="BH1067" s="84"/>
      <c r="BI1067" s="68" cm="1">
        <f t="array" ref="BI1067">IFERROR(INDEX(AW1067:BH1067,1,MATCH(2,1/(AW1067:BH1067&lt;&gt;""))),"")</f>
        <v>0</v>
      </c>
      <c r="BJ1067" s="68" cm="1">
        <f t="array" ref="BJ1067">IF(BM1067 = "", "",IFERROR(INDEX(AW1067:BH1067,1,MATCH(2,1/(AW1067:BH1067&lt;&gt;""),1)-1),""))</f>
        <v>0</v>
      </c>
      <c r="BK1067" s="57" cm="1">
        <f t="array" ref="BK1067">IFERROR(INDEX(AW1067:BH1067,1,MATCH(2,1/(AW1067:BH1067&lt;&gt;""),1)),"")</f>
        <v>0</v>
      </c>
      <c r="BL1067" s="57" cm="1">
        <f t="array" ref="BL1067">IF(BM1067 = "", "",IFERROR(INDEX(AW1067:BH1067,1,MATCH(2,1/(AW1067:BH1067&lt;&gt;""),1)-1),""))</f>
        <v>0</v>
      </c>
      <c r="BM1067" s="55" cm="1">
        <f t="array" ref="BM1067">IFERROR(
   INDEX($AW$1:$BH$1,
      _xlfn.AGGREGATE(14, 6, COLUMN($AW$1:$BH$1)/(AW1067:BH1067&lt;&gt;""), 2) - COLUMN($AW$1) + 1
   ),
"")</f>
        <v>46054</v>
      </c>
      <c r="BN1067" s="55" cm="1">
        <f t="array" ref="BN1067">IFERROR(INDEX($AW$1:$BH$1,1,MATCH(2,1/(AW1067:BH1067&lt;&gt;""))),"")</f>
        <v>46082</v>
      </c>
      <c r="BO1067" s="53">
        <f ca="1">IFERROR(_xlfn.XLOOKUP(F1067,Apuração!A:A,Apuração!C:C)/_xlfn.XLOOKUP(F1067,Apuração!A:A,Apuração!B:B),0)</f>
        <v>0</v>
      </c>
      <c r="BP1067" s="53">
        <f ca="1">IFERROR(_xlfn.XLOOKUP(F1067,Apuração!A:A,Apuração!D:D)/_xlfn.XLOOKUP(F1067,Apuração!A:A,Apuração!B:B),0)</f>
        <v>0</v>
      </c>
      <c r="BQ1067" s="53">
        <f ca="1">IF(BK1067&gt;=BO1067,0,_xlfn.XLOOKUP(F1067,Apuração!A:A,Apuração!B:B)*(BO1067 + (1/_xlfn.XLOOKUP(F1067,Apuração!A:A,Apuração!B:B)) - BK1067))</f>
        <v>0</v>
      </c>
      <c r="BR1067" s="85">
        <f t="shared" ca="1" si="1227"/>
        <v>0</v>
      </c>
      <c r="BS1067" s="53">
        <f ca="1">IFERROR((_xlfn.XLOOKUP(F1067,Apuração!A:A,Apuração!C:C)+1)/_xlfn.XLOOKUP(F1067,Apuração!A:A,Apuração!B:B),0)</f>
        <v>0.14285714285714285</v>
      </c>
    </row>
    <row r="1068" spans="1:71" ht="25.95" hidden="1" customHeight="1" x14ac:dyDescent="0.3">
      <c r="A1068" s="35" t="s">
        <v>44</v>
      </c>
      <c r="B1068" s="10" t="s">
        <v>44</v>
      </c>
      <c r="C1068" s="5" t="s">
        <v>97</v>
      </c>
      <c r="D1068" s="5" t="s">
        <v>36</v>
      </c>
      <c r="E1068" s="4" t="str" cm="1">
        <f t="array" ref="E1068">_xlfn.IFS(
F1068 = "A partir de Abril", "Aguardando Execução na Distribuidora",
A1068 = "CAPACITAÇÃO", "Em execução no Corporativo",
TRUE, "Em Execução na Distribuidora"
)</f>
        <v>Em Execução na Distribuidora</v>
      </c>
      <c r="F1068" s="4" t="str" cm="1">
        <f t="array" ref="F1068">_xlfn.IFS(
AG1068 &lt;&gt; "", "Jan-Dez/26",
AH1068 &lt;&gt; "", "Fev-Dez/26",
AI1068 &lt;&gt; "", "Mar-Dez/26", AJ1068 &lt;&gt; "", "Abr-Dez/26",
TRUE, "A partir de Junho"
)</f>
        <v>Jan-Dez/26</v>
      </c>
      <c r="G1068" s="10" t="s">
        <v>44</v>
      </c>
      <c r="H1068" s="36" t="s">
        <v>44</v>
      </c>
      <c r="I1068" s="37"/>
      <c r="J1068" s="37"/>
      <c r="K1068" s="37"/>
      <c r="L1068" s="37" t="s">
        <v>206</v>
      </c>
      <c r="M1068" s="37"/>
      <c r="N1068" s="5" t="s">
        <v>42</v>
      </c>
      <c r="O1068" s="5" t="s">
        <v>52</v>
      </c>
      <c r="P1068" s="10" t="s">
        <v>44</v>
      </c>
      <c r="Q1068" s="10" t="s">
        <v>44</v>
      </c>
      <c r="R1068" s="11" t="s">
        <v>44</v>
      </c>
      <c r="S1068" s="11" t="s">
        <v>44</v>
      </c>
      <c r="T1068" s="22"/>
      <c r="U1068" s="22"/>
      <c r="V1068" s="22"/>
      <c r="W1068" s="22"/>
      <c r="X1068" s="22"/>
      <c r="Y1068" s="22"/>
      <c r="Z1068" s="22"/>
      <c r="AA1068" s="22"/>
      <c r="AB1068" s="22"/>
      <c r="AC1068" s="22"/>
      <c r="AD1068" s="22"/>
      <c r="AE1068" s="22"/>
      <c r="AG1068" s="112">
        <v>1.17</v>
      </c>
      <c r="AH1068" s="112">
        <v>0.36</v>
      </c>
      <c r="AI1068" s="112">
        <v>1.06</v>
      </c>
      <c r="AJ1068" s="112">
        <v>1.04</v>
      </c>
      <c r="AK1068" s="112"/>
      <c r="AL1068" s="112"/>
      <c r="AM1068" s="112"/>
      <c r="AN1068" s="112"/>
      <c r="AO1068" s="112"/>
      <c r="AP1068" s="112"/>
      <c r="AQ1068" s="112"/>
      <c r="AR1068" s="112"/>
      <c r="AS1068" s="94"/>
      <c r="AT1068" s="95"/>
      <c r="AU1068" s="97"/>
      <c r="AW1068" s="84">
        <f>AG1068</f>
        <v>1.17</v>
      </c>
      <c r="AX1068" s="84">
        <f>AH1068</f>
        <v>0.36</v>
      </c>
      <c r="AY1068" s="84">
        <f>AI1068</f>
        <v>1.06</v>
      </c>
      <c r="AZ1068" s="84">
        <f>AJ1068</f>
        <v>1.04</v>
      </c>
      <c r="BA1068" s="84"/>
      <c r="BB1068" s="84"/>
      <c r="BC1068" s="84"/>
      <c r="BD1068" s="84"/>
      <c r="BE1068" s="84"/>
      <c r="BF1068" s="84"/>
      <c r="BG1068" s="84"/>
      <c r="BH1068" s="84"/>
      <c r="BI1068" s="68" cm="1">
        <f t="array" ref="BI1068">IFERROR(INDEX(AW1068:BH1068,1,MATCH(2,1/(AW1068:BH1068&lt;&gt;""))),"")</f>
        <v>1.04</v>
      </c>
      <c r="BJ1068" s="68" cm="1">
        <f t="array" ref="BJ1068">IF(BM1068 = "", "",IFERROR(INDEX(AW1068:BH1068,1,MATCH(2,1/(AW1068:BH1068&lt;&gt;""),1)-1),""))</f>
        <v>1.06</v>
      </c>
      <c r="BK1068" s="57" cm="1">
        <f t="array" ref="BK1068">IFERROR(INDEX(AW1068:BH1068,1,MATCH(2,1/(AW1068:BH1068&lt;&gt;""),1)),"")</f>
        <v>1.04</v>
      </c>
      <c r="BL1068" s="57" cm="1">
        <f t="array" ref="BL1068">IF(BM1068 = "", "",IFERROR(INDEX(AW1068:BH1068,1,MATCH(2,1/(AW1068:BH1068&lt;&gt;""),1)-1),""))</f>
        <v>1.06</v>
      </c>
      <c r="BM1068" s="55" cm="1">
        <f t="array" ref="BM1068">IFERROR(
   INDEX($AW$1:$BH$1,
      _xlfn.AGGREGATE(14, 6, COLUMN($AW$1:$BH$1)/(AW1068:BH1068&lt;&gt;""), 2) - COLUMN($AW$1) + 1
   ),
"")</f>
        <v>46082</v>
      </c>
      <c r="BN1068" s="55" cm="1">
        <f t="array" ref="BN1068">IFERROR(INDEX($AW$1:$BH$1,1,MATCH(2,1/(AW1068:BH1068&lt;&gt;""))),"")</f>
        <v>46113</v>
      </c>
      <c r="BO1068" s="53">
        <f ca="1">IFERROR(_xlfn.XLOOKUP(F1068,Apuração!A:A,Apuração!C:C)/_xlfn.XLOOKUP(F1068,Apuração!A:A,Apuração!B:B),0)</f>
        <v>0.41666666666666669</v>
      </c>
      <c r="BP1068" s="53">
        <f ca="1">IFERROR(_xlfn.XLOOKUP(F1068,Apuração!A:A,Apuração!D:D)/_xlfn.XLOOKUP(F1068,Apuração!A:A,Apuração!B:B),0)</f>
        <v>0.33333333333333331</v>
      </c>
      <c r="BQ1068" s="53">
        <f ca="1">IF(BK1068&gt;=BO1068,0,_xlfn.XLOOKUP(F1068,Apuração!A:A,Apuração!B:B)*(BO1068 + (1/_xlfn.XLOOKUP(F1068,Apuração!A:A,Apuração!B:B)) - BK1068))</f>
        <v>0</v>
      </c>
      <c r="BR1068" s="85">
        <f ca="1">IF(BQ1068=0,0,BQ1068*Z1068)</f>
        <v>0</v>
      </c>
      <c r="BS1068" s="53">
        <f ca="1">IFERROR((_xlfn.XLOOKUP(F1068,Apuração!A:A,Apuração!C:C)+1)/_xlfn.XLOOKUP(F1068,Apuração!A:A,Apuração!B:B),0)</f>
        <v>0.5</v>
      </c>
    </row>
    <row r="1069" spans="1:71" ht="25.95" hidden="1" customHeight="1" x14ac:dyDescent="0.3">
      <c r="A1069" s="3" t="s">
        <v>33</v>
      </c>
      <c r="B1069" s="4" t="s">
        <v>34</v>
      </c>
      <c r="C1069" s="5" t="s">
        <v>209</v>
      </c>
      <c r="D1069" s="5" t="s">
        <v>36</v>
      </c>
      <c r="E1069" s="4" t="s">
        <v>61</v>
      </c>
      <c r="F1069" s="4" t="str" cm="1">
        <f t="array" ref="F1069">_xlfn.IFS(
AG1069 &lt;&gt; "", "Jan-Dez/26",
AH1069 &lt;&gt; "", "Fev-Dez/26",
AI1069 &lt;&gt; "", "Mar-Dez/26", AJ1069 &lt;&gt; "", "Abr-Dez/26",
TRUE, "A partir de Junho"
)</f>
        <v>A partir de Junho</v>
      </c>
      <c r="G1069" s="6" t="s">
        <v>62</v>
      </c>
      <c r="H1069" s="7" t="s">
        <v>54</v>
      </c>
      <c r="I1069" s="8" t="s">
        <v>39</v>
      </c>
      <c r="J1069" s="8" t="str" cm="1">
        <f t="array" aca="1" ref="J1069" ca="1">_xlfn.LET(
  _xlpm.actual_value_month, INDEX(T1069:AE1069, MATCH(DATE(YEAR(TODAY()), MONTH(TODAY()), 1), $T$1:$AE$1, 0)),
  IF(_xlpm.actual_value_month &lt;&gt; "",_xlpm.actual_value_month &amp; " soluções mensais", "")
)</f>
        <v>5 soluções mensais</v>
      </c>
      <c r="K1069" s="8" t="str" cm="1">
        <f t="array" ref="K1069">_xlfn.LET(
    _xlpm.sum_month, SUM(T1069:AE1069),
    IF(_xlpm.sum_month = 0, "", _xlpm.sum_month &amp; " soluções implementadas no ano")
)</f>
        <v>45 soluções implementadas no ano</v>
      </c>
      <c r="L1069" s="9" t="s">
        <v>40</v>
      </c>
      <c r="M1069" s="9" t="s">
        <v>41</v>
      </c>
      <c r="N1069" s="5" t="s">
        <v>42</v>
      </c>
      <c r="O1069" s="5" t="s">
        <v>43</v>
      </c>
      <c r="P1069" s="10" t="s">
        <v>44</v>
      </c>
      <c r="Q1069" s="10" t="s">
        <v>44</v>
      </c>
      <c r="R1069" s="11" t="s">
        <v>45</v>
      </c>
      <c r="S1069" s="11" t="s">
        <v>46</v>
      </c>
      <c r="T1069" s="22"/>
      <c r="U1069" s="22"/>
      <c r="V1069" s="22"/>
      <c r="W1069" s="22">
        <v>5</v>
      </c>
      <c r="X1069" s="22">
        <v>5</v>
      </c>
      <c r="Y1069" s="22">
        <v>5</v>
      </c>
      <c r="Z1069" s="22">
        <v>5</v>
      </c>
      <c r="AA1069" s="22">
        <v>5</v>
      </c>
      <c r="AB1069" s="22">
        <v>5</v>
      </c>
      <c r="AC1069" s="22">
        <v>5</v>
      </c>
      <c r="AD1069" s="22">
        <v>5</v>
      </c>
      <c r="AE1069" s="22">
        <v>5</v>
      </c>
      <c r="AG1069" s="71"/>
      <c r="AH1069" s="71"/>
      <c r="AI1069" s="71"/>
      <c r="AJ1069" s="71"/>
      <c r="AK1069" s="71"/>
      <c r="AL1069" s="71"/>
      <c r="AM1069" s="71"/>
      <c r="AN1069" s="71"/>
      <c r="AO1069" s="71"/>
      <c r="AP1069" s="71"/>
      <c r="AQ1069" s="71"/>
      <c r="AR1069" s="71"/>
      <c r="AS1069" s="94">
        <f ca="1">IF(MONTH(TODAY())=3,SUM(T1069:U1069),IF(MONTH(TODAY())=4,SUM(T1069:V1069),IF(MONTH(TODAY())=5,SUM(T1069:W1069),IF(MONTH(TODAY())=6,SUM(T1069:X1069),IF(MONTH(TODAY())=7,SUM(T1069:Y1069),IF(MONTH(TODAY())=8,SUM(T1069:Z1069),IF(MONTH(TODAY())=9,SUM(T1069:AA1069),IF(MONTH(TODAY())=10,SUM(T1069:AB1069),IF(MONTH(TODAY())=11,SUM(T1069:AC1069),IF(MONTH(TODAY())=12,SUM(T1069:AD1069),IF(MONTH(TODAY())=1,SUM(T1069:AE1069),T1069)))))))))))</f>
        <v>10</v>
      </c>
      <c r="AT1069" s="95">
        <f>SUM(IF(AW1069&lt;1.15,AG1069,1.15*T1069),IF(AX1069&lt;1.15,AH1069,1.15*U1069),IF(AY1069&lt;1.15,AI1069,1.15*V1069),IF(AZ1069&lt;1.15,AJ1069,1.15*W1069),IF(BA1069&lt;1.15,AK1069,1.15*X1069),IF(BB1069&lt;1.15,AL1069,1.15*Y1069),IF(BC1069&lt;1.15,AM1069,1.15*Z1069),IF(BD1069&lt;1.15,AN1069,1.15*AA1069),IF(BE1069&lt;1.15,AO1069,1.15*AB1069),IF(BF1069&lt;1.15,AP1069,1.15*AC1069),IF(BG1069&lt;1.15,AQ1069,1.15*AD1069),IF(BH1069&lt;1.15,AR1069,1.15*AE1069))</f>
        <v>0</v>
      </c>
      <c r="AU1069" s="97">
        <f>SUM(AG1069:AR1069)</f>
        <v>0</v>
      </c>
      <c r="AW1069" s="51">
        <f>IFERROR(IF(AG1069="",0,AG1069/T1069),0)</f>
        <v>0</v>
      </c>
      <c r="AX1069" s="51">
        <f>IFERROR(IF(AH1069="",0,AH1069/U1069),0)</f>
        <v>0</v>
      </c>
      <c r="AY1069" s="51">
        <f>IFERROR(IF(AI1069="",0,AI1069/V1069),0)</f>
        <v>0</v>
      </c>
      <c r="AZ1069" s="51">
        <f>IFERROR(IF(AJ1069="",0,AJ1069/W1069),0)</f>
        <v>0</v>
      </c>
      <c r="BA1069" s="51"/>
      <c r="BB1069" s="51"/>
      <c r="BC1069" s="51"/>
      <c r="BD1069" s="51"/>
      <c r="BE1069" s="51"/>
      <c r="BF1069" s="51"/>
      <c r="BG1069" s="51"/>
      <c r="BH1069" s="51"/>
      <c r="BI1069" s="65" cm="1">
        <f t="array" ref="BI1069">IFERROR(INDEX(AW1069:BH1069,1,MATCH(2,1/(AW1069:BH1069&lt;&gt;""))),"")</f>
        <v>0</v>
      </c>
      <c r="BJ1069" s="68" cm="1">
        <f t="array" ref="BJ1069">IF(BM1069 = "", "",IFERROR(INDEX(AW1069:BH1069,1,MATCH(2,1/(AW1069:BH1069&lt;&gt;""),1)-1),""))</f>
        <v>0</v>
      </c>
      <c r="BK1069" s="58">
        <f>IF((IF(AW1069&gt;=115%,115%,AW1069) + IF(AX1069&gt;=115%,115%,AX1069) + IF(AY1069&gt;=115%,115%,AY1069) + (IF(AZ1069&gt;=115%,115%,AZ1069) + IF(BA1069&gt;=115%,115%,BA1069) + IF(BB1069&gt;=115%,115%,BB1069) + IF(BC1069&gt;=115%,115%,BC1069) + IF(BD1069&gt;=115%,115%,BD1069) + IF(BE1069&gt;=115%,115%,BE1069) + IF(BF1069&gt;=115%,115%,BF1069) + IF(BG1069&gt;=115%,115%,BG1069) + IF(BH1069&gt;=115%,115%,BH1069)))/_xlfn.XLOOKUP(F1069,Apuração!A:A,Apuração!B:B)&gt;=1.15,1.15,((IF(AZ1069&gt;=115%,115%,AZ1069) + IF(AX1069&gt;=115%,115%,AX1069) + IF(AY1069&gt;=115%,115%,AY1069) + (IF(AW1069&gt;=115%,115%,AW1069) + IF(BA1069&gt;=115%,115%,BA1069) + IF(BB1069&gt;=115%,115%,BB1069) + IF(BC1069&gt;=115%,115%,BC1069) + IF(BD1069&gt;=115%,115%,BD1069) + IF(BE1069&gt;=115%,115%,BE1069) + IF(BF1069&gt;=115%,115%,BF1069) + IF(BG1069&gt;=115%,115%,BG1069) + IF(BH1069&gt;=115%,115%,BH1069)))/_xlfn.XLOOKUP(F1069,Apuração!A:A,Apuração!B:B)))</f>
        <v>0</v>
      </c>
      <c r="BL1069" s="58" cm="1">
        <f t="array" aca="1" ref="BL1069" ca="1">IF(SUM(IFERROR(IF(INDEX(AW1069:INDEX(AW1069:BH1069, MATCH(2, 1/(AW1069:BH1069&lt;&gt;""), 1)-1), ROW(INDIRECT("1:" &amp; MATCH(2, 1/(AW1069:BH1069&lt;&gt;""), 1)-1))) &gt;= 115%, 115%, INDEX(AW1069:INDEX(AW1069:BH1069, MATCH(2, 1/(AW1069:BH1069&lt;&gt;""), 1)-1), ROW(INDIRECT("1:" &amp; MATCH(2, 1/(AW1069:BH1069&lt;&gt;""), 1)-1)))), 0))/_xlfn.XLOOKUP(F1069,Apuração!A:A,Apuração!B:B)&gt;=1.15,1.15,SUM(IFERROR(IF(INDEX(AW1069:INDEX(AW1069:BH1069, MATCH(2, 1/(AW1069:BH1069&lt;&gt;""), 1)-1), ROW(INDIRECT("1:" &amp; MATCH(2, 1/(AW1069:BH1069&lt;&gt;""), 1)-1))) &gt;= 115%, 115%, INDEX(AW1069:INDEX(AW1069:BH1069, MATCH(2, 1/(AW1069:BH1069&lt;&gt;""), 1)-1), ROW(INDIRECT("1:" &amp; MATCH(2, 1/(AW1069:BH1069&lt;&gt;""), 1)-1)))), 0))/_xlfn.XLOOKUP(F1069,Apuração!A:A,Apuração!B:B))</f>
        <v>0</v>
      </c>
      <c r="BM1069" s="55" cm="1">
        <f t="array" ref="BM1069">IFERROR(
   INDEX($AW$1:$BH$1,
      _xlfn.AGGREGATE(14, 6, COLUMN($AW$1:$BH$1)/(AW1069:BH1069&lt;&gt;""), 2) - COLUMN($AW$1) + 1
   ),
"")</f>
        <v>46082</v>
      </c>
      <c r="BN1069" s="55" cm="1">
        <f t="array" ref="BN1069">IFERROR(INDEX($AW$1:$BH$1,1,MATCH(2,1/(AW1069:BH1069&lt;&gt;""))),"")</f>
        <v>46113</v>
      </c>
      <c r="BO1069" s="53">
        <f ca="1">IFERROR(_xlfn.XLOOKUP(F1069,Apuração!A:A,Apuração!C:C)/_xlfn.XLOOKUP(F1069,Apuração!A:A,Apuração!B:B),0)</f>
        <v>0</v>
      </c>
      <c r="BP1069" s="53">
        <f ca="1">IFERROR(_xlfn.XLOOKUP(F1069,Apuração!A:A,Apuração!D:D)/_xlfn.XLOOKUP(F1069,Apuração!A:A,Apuração!B:B),0)</f>
        <v>0</v>
      </c>
      <c r="BQ1069" s="53">
        <f ca="1">IF(BK1069&gt;=BO1069,0,_xlfn.XLOOKUP(F1069,Apuração!A:A,Apuração!B:B)*(BO1069 + (1/_xlfn.XLOOKUP(F1069,Apuração!A:A,Apuração!B:B)) - BK1069))</f>
        <v>0</v>
      </c>
      <c r="BR1069" s="85">
        <f ca="1">IF(BQ1069=0,0,BQ1069*Z1069)</f>
        <v>0</v>
      </c>
      <c r="BS1069" s="53">
        <f ca="1">IFERROR((_xlfn.XLOOKUP(F1069,Apuração!A:A,Apuração!C:C)+1)/_xlfn.XLOOKUP(F1069,Apuração!A:A,Apuração!B:B),0)</f>
        <v>0.14285714285714285</v>
      </c>
    </row>
    <row r="1070" spans="1:71" ht="25.95" hidden="1" customHeight="1" x14ac:dyDescent="0.3">
      <c r="A1070" s="3" t="s">
        <v>33</v>
      </c>
      <c r="B1070" s="4" t="s">
        <v>34</v>
      </c>
      <c r="C1070" s="5" t="s">
        <v>209</v>
      </c>
      <c r="D1070" s="5" t="s">
        <v>210</v>
      </c>
      <c r="E1070" s="4" t="str" cm="1">
        <f t="array" ref="E1070">_xlfn.IFS(
F1070 = "A partir de Abril", "Aguardando Execução na Distribuidora",
A1070 = "CAPACITAÇÃO", "Em execução no Corporativo",
TRUE, "Em Execução na Distribuidora"
)</f>
        <v>Em Execução na Distribuidora</v>
      </c>
      <c r="F1070" s="4" t="str" cm="1">
        <f t="array" ref="F1070">_xlfn.IFS(
AG1070 &lt;&gt; "", "Jan-Dez/26",
AH1070 &lt;&gt; "", "Fev-Dez/26",
AI1070 &lt;&gt; "", "Mar-Dez/26", AJ1070 &lt;&gt; "", "Abr-Dez/26",
TRUE, "A partir de Junho"
)</f>
        <v>A partir de Junho</v>
      </c>
      <c r="G1070" s="6" t="s">
        <v>62</v>
      </c>
      <c r="H1070" s="7" t="s">
        <v>54</v>
      </c>
      <c r="I1070" s="8" t="s">
        <v>39</v>
      </c>
      <c r="J1070" s="8" t="str" cm="1">
        <f t="array" aca="1" ref="J1070" ca="1">_xlfn.LET(
  _xlpm.actual_value_month, INDEX(T1070:AE1070, MATCH(DATE(YEAR(TODAY()), MONTH(TODAY()), 1), $T$1:$AE$1, 0)),
  IF(_xlpm.actual_value_month &lt;&gt; "",_xlpm.actual_value_month &amp; " soluções mensais", "")
)</f>
        <v>1 soluções mensais</v>
      </c>
      <c r="K1070" s="8" t="str" cm="1">
        <f t="array" ref="K1070">_xlfn.LET(
    _xlpm.sum_month, SUM(T1070:AE1070),
    IF(_xlpm.sum_month = 0, "", _xlpm.sum_month &amp; " soluções implementadas no ano")
)</f>
        <v>9 soluções implementadas no ano</v>
      </c>
      <c r="L1070" s="9" t="s">
        <v>40</v>
      </c>
      <c r="M1070" s="9" t="s">
        <v>41</v>
      </c>
      <c r="N1070" s="5" t="s">
        <v>42</v>
      </c>
      <c r="O1070" s="5" t="s">
        <v>43</v>
      </c>
      <c r="P1070" s="10" t="s">
        <v>44</v>
      </c>
      <c r="Q1070" s="10" t="s">
        <v>44</v>
      </c>
      <c r="R1070" s="11" t="s">
        <v>45</v>
      </c>
      <c r="S1070" s="11" t="s">
        <v>46</v>
      </c>
      <c r="T1070" s="22"/>
      <c r="U1070" s="22"/>
      <c r="V1070" s="22"/>
      <c r="W1070" s="152">
        <v>1</v>
      </c>
      <c r="X1070" s="152">
        <v>1</v>
      </c>
      <c r="Y1070" s="152">
        <v>1</v>
      </c>
      <c r="Z1070" s="152">
        <v>1</v>
      </c>
      <c r="AA1070" s="152">
        <v>1</v>
      </c>
      <c r="AB1070" s="152">
        <v>1</v>
      </c>
      <c r="AC1070" s="152">
        <v>1</v>
      </c>
      <c r="AD1070" s="152">
        <v>1</v>
      </c>
      <c r="AE1070" s="152">
        <v>1</v>
      </c>
      <c r="AG1070" s="71"/>
      <c r="AH1070" s="71"/>
      <c r="AI1070" s="71"/>
      <c r="AJ1070" s="71"/>
      <c r="AK1070" s="71"/>
      <c r="AL1070" s="71"/>
      <c r="AM1070" s="71"/>
      <c r="AN1070" s="71"/>
      <c r="AO1070" s="71"/>
      <c r="AP1070" s="71"/>
      <c r="AQ1070" s="71"/>
      <c r="AR1070" s="71"/>
      <c r="AS1070" s="94">
        <f t="shared" ref="AS1070:AS1074" ca="1" si="1228">IF(MONTH(TODAY())=3,SUM(T1070:U1070),IF(MONTH(TODAY())=4,SUM(T1070:V1070),IF(MONTH(TODAY())=5,SUM(T1070:W1070),IF(MONTH(TODAY())=6,SUM(T1070:X1070),IF(MONTH(TODAY())=7,SUM(T1070:Y1070),IF(MONTH(TODAY())=8,SUM(T1070:Z1070),IF(MONTH(TODAY())=9,SUM(T1070:AA1070),IF(MONTH(TODAY())=10,SUM(T1070:AB1070),IF(MONTH(TODAY())=11,SUM(T1070:AC1070),IF(MONTH(TODAY())=12,SUM(T1070:AD1070),IF(MONTH(TODAY())=1,SUM(T1070:AE1070),T1070)))))))))))</f>
        <v>2</v>
      </c>
      <c r="AT1070" s="95">
        <f t="shared" ref="AT1070:AT1074" si="1229">SUM(IF(AW1070&lt;1.15,AG1070,1.15*T1070),IF(AX1070&lt;1.15,AH1070,1.15*U1070),IF(AY1070&lt;1.15,AI1070,1.15*V1070),IF(AZ1070&lt;1.15,AJ1070,1.15*W1070),IF(BA1070&lt;1.15,AK1070,1.15*X1070),IF(BB1070&lt;1.15,AL1070,1.15*Y1070),IF(BC1070&lt;1.15,AM1070,1.15*Z1070),IF(BD1070&lt;1.15,AN1070,1.15*AA1070),IF(BE1070&lt;1.15,AO1070,1.15*AB1070),IF(BF1070&lt;1.15,AP1070,1.15*AC1070),IF(BG1070&lt;1.15,AQ1070,1.15*AD1070),IF(BH1070&lt;1.15,AR1070,1.15*AE1070))</f>
        <v>0</v>
      </c>
      <c r="AU1070" s="97">
        <f t="shared" ref="AU1070:AU1074" si="1230">SUM(AG1070:AR1070)</f>
        <v>0</v>
      </c>
      <c r="AW1070" s="51">
        <f t="shared" ref="AW1070:AW1074" si="1231">IFERROR(IF(AG1070="",0,AG1070/T1070),0)</f>
        <v>0</v>
      </c>
      <c r="AX1070" s="51">
        <f t="shared" ref="AX1070:AX1074" si="1232">IFERROR(IF(AH1070="",0,AH1070/U1070),0)</f>
        <v>0</v>
      </c>
      <c r="AY1070" s="51">
        <f t="shared" ref="AY1070:AY1074" si="1233">IFERROR(IF(AI1070="",0,AI1070/V1070),0)</f>
        <v>0</v>
      </c>
      <c r="AZ1070" s="51">
        <f t="shared" ref="AZ1070:AZ1074" si="1234">IFERROR(IF(AJ1070="",0,AJ1070/W1070),0)</f>
        <v>0</v>
      </c>
      <c r="BA1070" s="51"/>
      <c r="BB1070" s="51"/>
      <c r="BC1070" s="51"/>
      <c r="BD1070" s="51"/>
      <c r="BE1070" s="51"/>
      <c r="BF1070" s="51"/>
      <c r="BG1070" s="51"/>
      <c r="BH1070" s="51"/>
      <c r="BI1070" s="65" cm="1">
        <f t="array" ref="BI1070">IFERROR(INDEX(AW1070:BH1070,1,MATCH(2,1/(AW1070:BH1070&lt;&gt;""))),"")</f>
        <v>0</v>
      </c>
      <c r="BJ1070" s="68" cm="1">
        <f t="array" ref="BJ1070">IF(BM1070 = "", "",IFERROR(INDEX(AW1070:BH1070,1,MATCH(2,1/(AW1070:BH1070&lt;&gt;""),1)-1),""))</f>
        <v>0</v>
      </c>
      <c r="BK1070" s="58">
        <f>IF((IF(AW1070&gt;=115%,115%,AW1070) + IF(AX1070&gt;=115%,115%,AX1070) + IF(AY1070&gt;=115%,115%,AY1070) + (IF(AZ1070&gt;=115%,115%,AZ1070) + IF(BA1070&gt;=115%,115%,BA1070) + IF(BB1070&gt;=115%,115%,BB1070) + IF(BC1070&gt;=115%,115%,BC1070) + IF(BD1070&gt;=115%,115%,BD1070) + IF(BE1070&gt;=115%,115%,BE1070) + IF(BF1070&gt;=115%,115%,BF1070) + IF(BG1070&gt;=115%,115%,BG1070) + IF(BH1070&gt;=115%,115%,BH1070)))/_xlfn.XLOOKUP(F1070,Apuração!A:A,Apuração!B:B)&gt;=1.15,1.15,((IF(AZ1070&gt;=115%,115%,AZ1070) + IF(AX1070&gt;=115%,115%,AX1070) + IF(AY1070&gt;=115%,115%,AY1070) + (IF(AW1070&gt;=115%,115%,AW1070) + IF(BA1070&gt;=115%,115%,BA1070) + IF(BB1070&gt;=115%,115%,BB1070) + IF(BC1070&gt;=115%,115%,BC1070) + IF(BD1070&gt;=115%,115%,BD1070) + IF(BE1070&gt;=115%,115%,BE1070) + IF(BF1070&gt;=115%,115%,BF1070) + IF(BG1070&gt;=115%,115%,BG1070) + IF(BH1070&gt;=115%,115%,BH1070)))/_xlfn.XLOOKUP(F1070,Apuração!A:A,Apuração!B:B)))</f>
        <v>0</v>
      </c>
      <c r="BL1070" s="58" cm="1">
        <f t="array" aca="1" ref="BL1070" ca="1">IF(SUM(IFERROR(IF(INDEX(AW1070:INDEX(AW1070:BH1070, MATCH(2, 1/(AW1070:BH1070&lt;&gt;""), 1)-1), ROW(INDIRECT("1:" &amp; MATCH(2, 1/(AW1070:BH1070&lt;&gt;""), 1)-1))) &gt;= 115%, 115%, INDEX(AW1070:INDEX(AW1070:BH1070, MATCH(2, 1/(AW1070:BH1070&lt;&gt;""), 1)-1), ROW(INDIRECT("1:" &amp; MATCH(2, 1/(AW1070:BH1070&lt;&gt;""), 1)-1)))), 0))/_xlfn.XLOOKUP(F1070,Apuração!A:A,Apuração!B:B)&gt;=1.15,1.15,SUM(IFERROR(IF(INDEX(AW1070:INDEX(AW1070:BH1070, MATCH(2, 1/(AW1070:BH1070&lt;&gt;""), 1)-1), ROW(INDIRECT("1:" &amp; MATCH(2, 1/(AW1070:BH1070&lt;&gt;""), 1)-1))) &gt;= 115%, 115%, INDEX(AW1070:INDEX(AW1070:BH1070, MATCH(2, 1/(AW1070:BH1070&lt;&gt;""), 1)-1), ROW(INDIRECT("1:" &amp; MATCH(2, 1/(AW1070:BH1070&lt;&gt;""), 1)-1)))), 0))/_xlfn.XLOOKUP(F1070,Apuração!A:A,Apuração!B:B))</f>
        <v>0</v>
      </c>
      <c r="BM1070" s="55" cm="1">
        <f t="array" ref="BM1070">IFERROR(
   INDEX($AW$1:$BH$1,
      _xlfn.AGGREGATE(14, 6, COLUMN($AW$1:$BH$1)/(AW1070:BH1070&lt;&gt;""), 2) - COLUMN($AW$1) + 1
   ),
"")</f>
        <v>46082</v>
      </c>
      <c r="BN1070" s="55" cm="1">
        <f t="array" ref="BN1070">IFERROR(INDEX($AW$1:$BH$1,1,MATCH(2,1/(AW1070:BH1070&lt;&gt;""))),"")</f>
        <v>46113</v>
      </c>
      <c r="BO1070" s="53">
        <f ca="1">IFERROR(_xlfn.XLOOKUP(F1070,Apuração!A:A,Apuração!C:C)/_xlfn.XLOOKUP(F1070,Apuração!A:A,Apuração!B:B),0)</f>
        <v>0</v>
      </c>
      <c r="BP1070" s="53">
        <f ca="1">IFERROR(_xlfn.XLOOKUP(F1070,Apuração!A:A,Apuração!D:D)/_xlfn.XLOOKUP(F1070,Apuração!A:A,Apuração!B:B),0)</f>
        <v>0</v>
      </c>
      <c r="BQ1070" s="53">
        <f ca="1">IF(BK1070&gt;=BO1070,0,_xlfn.XLOOKUP(F1070,Apuração!A:A,Apuração!B:B)*(BO1070 + (1/_xlfn.XLOOKUP(F1070,Apuração!A:A,Apuração!B:B)) - BK1070))</f>
        <v>0</v>
      </c>
      <c r="BR1070" s="85">
        <f t="shared" ref="BR1070:BR1074" ca="1" si="1235">IF(BQ1070=0,0,BQ1070*Z1070)</f>
        <v>0</v>
      </c>
      <c r="BS1070" s="53">
        <f ca="1">IFERROR((_xlfn.XLOOKUP(F1070,Apuração!A:A,Apuração!C:C)+1)/_xlfn.XLOOKUP(F1070,Apuração!A:A,Apuração!B:B),0)</f>
        <v>0.14285714285714285</v>
      </c>
    </row>
    <row r="1071" spans="1:71" ht="25.95" hidden="1" customHeight="1" x14ac:dyDescent="0.3">
      <c r="A1071" s="3" t="s">
        <v>33</v>
      </c>
      <c r="B1071" s="4" t="s">
        <v>34</v>
      </c>
      <c r="C1071" s="5" t="s">
        <v>209</v>
      </c>
      <c r="D1071" s="5" t="s">
        <v>47</v>
      </c>
      <c r="E1071" s="4" t="str" cm="1">
        <f t="array" ref="E1071">_xlfn.IFS(
F1071 = "A partir de Abril", "Aguardando Execução na Distribuidora",
A1071 = "CAPACITAÇÃO", "Em execução no Corporativo",
TRUE, "Em Execução na Distribuidora"
)</f>
        <v>Em Execução na Distribuidora</v>
      </c>
      <c r="F1071" s="4" t="str" cm="1">
        <f t="array" ref="F1071">_xlfn.IFS(
AG1071 &lt;&gt; "", "Jan-Dez/26",
AH1071 &lt;&gt; "", "Fev-Dez/26",
AI1071 &lt;&gt; "", "Mar-Dez/26", AJ1071 &lt;&gt; "", "Abr-Dez/26",
TRUE, "A partir de Junho"
)</f>
        <v>A partir de Junho</v>
      </c>
      <c r="G1071" s="6" t="s">
        <v>62</v>
      </c>
      <c r="H1071" s="7" t="s">
        <v>54</v>
      </c>
      <c r="I1071" s="8" t="s">
        <v>39</v>
      </c>
      <c r="J1071" s="8" t="str" cm="1">
        <f t="array" aca="1" ref="J1071" ca="1">_xlfn.LET(
  _xlpm.actual_value_month, INDEX(T1071:AE1071, MATCH(DATE(YEAR(TODAY()), MONTH(TODAY()), 1), $T$1:$AE$1, 0)),
  IF(_xlpm.actual_value_month &lt;&gt; "",_xlpm.actual_value_month &amp; " soluções mensais", "")
)</f>
        <v>1 soluções mensais</v>
      </c>
      <c r="K1071" s="8" t="str" cm="1">
        <f t="array" ref="K1071">_xlfn.LET(
    _xlpm.sum_month, SUM(T1071:AE1071),
    IF(_xlpm.sum_month = 0, "", _xlpm.sum_month &amp; " soluções implementadas no ano")
)</f>
        <v>9 soluções implementadas no ano</v>
      </c>
      <c r="L1071" s="9" t="s">
        <v>40</v>
      </c>
      <c r="M1071" s="9" t="s">
        <v>41</v>
      </c>
      <c r="N1071" s="5" t="s">
        <v>42</v>
      </c>
      <c r="O1071" s="5" t="s">
        <v>43</v>
      </c>
      <c r="P1071" s="10" t="s">
        <v>44</v>
      </c>
      <c r="Q1071" s="10" t="s">
        <v>44</v>
      </c>
      <c r="R1071" s="11" t="s">
        <v>45</v>
      </c>
      <c r="S1071" s="11" t="s">
        <v>46</v>
      </c>
      <c r="T1071" s="22"/>
      <c r="U1071" s="22"/>
      <c r="V1071" s="22"/>
      <c r="W1071" s="152">
        <v>1</v>
      </c>
      <c r="X1071" s="152">
        <v>1</v>
      </c>
      <c r="Y1071" s="152">
        <v>1</v>
      </c>
      <c r="Z1071" s="152">
        <v>1</v>
      </c>
      <c r="AA1071" s="152">
        <v>1</v>
      </c>
      <c r="AB1071" s="152">
        <v>1</v>
      </c>
      <c r="AC1071" s="152">
        <v>1</v>
      </c>
      <c r="AD1071" s="152">
        <v>1</v>
      </c>
      <c r="AE1071" s="152">
        <v>1</v>
      </c>
      <c r="AG1071" s="71"/>
      <c r="AH1071" s="71"/>
      <c r="AI1071" s="71"/>
      <c r="AJ1071" s="71"/>
      <c r="AK1071" s="71"/>
      <c r="AL1071" s="71"/>
      <c r="AM1071" s="71"/>
      <c r="AN1071" s="71"/>
      <c r="AO1071" s="71"/>
      <c r="AP1071" s="71"/>
      <c r="AQ1071" s="71"/>
      <c r="AR1071" s="71"/>
      <c r="AS1071" s="94">
        <f t="shared" ca="1" si="1228"/>
        <v>2</v>
      </c>
      <c r="AT1071" s="95">
        <f t="shared" si="1229"/>
        <v>0</v>
      </c>
      <c r="AU1071" s="97">
        <f t="shared" si="1230"/>
        <v>0</v>
      </c>
      <c r="AW1071" s="51">
        <f t="shared" si="1231"/>
        <v>0</v>
      </c>
      <c r="AX1071" s="51">
        <f t="shared" si="1232"/>
        <v>0</v>
      </c>
      <c r="AY1071" s="51">
        <f t="shared" si="1233"/>
        <v>0</v>
      </c>
      <c r="AZ1071" s="51">
        <f t="shared" si="1234"/>
        <v>0</v>
      </c>
      <c r="BA1071" s="51"/>
      <c r="BB1071" s="51"/>
      <c r="BC1071" s="51"/>
      <c r="BD1071" s="51"/>
      <c r="BE1071" s="51"/>
      <c r="BF1071" s="51"/>
      <c r="BG1071" s="51"/>
      <c r="BH1071" s="51"/>
      <c r="BI1071" s="65" cm="1">
        <f t="array" ref="BI1071">IFERROR(INDEX(AW1071:BH1071,1,MATCH(2,1/(AW1071:BH1071&lt;&gt;""))),"")</f>
        <v>0</v>
      </c>
      <c r="BJ1071" s="68" cm="1">
        <f t="array" ref="BJ1071">IF(BM1071 = "", "",IFERROR(INDEX(AW1071:BH1071,1,MATCH(2,1/(AW1071:BH1071&lt;&gt;""),1)-1),""))</f>
        <v>0</v>
      </c>
      <c r="BK1071" s="58">
        <f>IF((IF(AW1071&gt;=115%,115%,AW1071) + IF(AX1071&gt;=115%,115%,AX1071) + IF(AY1071&gt;=115%,115%,AY1071) + (IF(AZ1071&gt;=115%,115%,AZ1071) + IF(BA1071&gt;=115%,115%,BA1071) + IF(BB1071&gt;=115%,115%,BB1071) + IF(BC1071&gt;=115%,115%,BC1071) + IF(BD1071&gt;=115%,115%,BD1071) + IF(BE1071&gt;=115%,115%,BE1071) + IF(BF1071&gt;=115%,115%,BF1071) + IF(BG1071&gt;=115%,115%,BG1071) + IF(BH1071&gt;=115%,115%,BH1071)))/_xlfn.XLOOKUP(F1071,Apuração!A:A,Apuração!B:B)&gt;=1.15,1.15,((IF(AZ1071&gt;=115%,115%,AZ1071) + IF(AX1071&gt;=115%,115%,AX1071) + IF(AY1071&gt;=115%,115%,AY1071) + (IF(AW1071&gt;=115%,115%,AW1071) + IF(BA1071&gt;=115%,115%,BA1071) + IF(BB1071&gt;=115%,115%,BB1071) + IF(BC1071&gt;=115%,115%,BC1071) + IF(BD1071&gt;=115%,115%,BD1071) + IF(BE1071&gt;=115%,115%,BE1071) + IF(BF1071&gt;=115%,115%,BF1071) + IF(BG1071&gt;=115%,115%,BG1071) + IF(BH1071&gt;=115%,115%,BH1071)))/_xlfn.XLOOKUP(F1071,Apuração!A:A,Apuração!B:B)))</f>
        <v>0</v>
      </c>
      <c r="BL1071" s="58" cm="1">
        <f t="array" aca="1" ref="BL1071" ca="1">IF(SUM(IFERROR(IF(INDEX(AW1071:INDEX(AW1071:BH1071, MATCH(2, 1/(AW1071:BH1071&lt;&gt;""), 1)-1), ROW(INDIRECT("1:" &amp; MATCH(2, 1/(AW1071:BH1071&lt;&gt;""), 1)-1))) &gt;= 115%, 115%, INDEX(AW1071:INDEX(AW1071:BH1071, MATCH(2, 1/(AW1071:BH1071&lt;&gt;""), 1)-1), ROW(INDIRECT("1:" &amp; MATCH(2, 1/(AW1071:BH1071&lt;&gt;""), 1)-1)))), 0))/_xlfn.XLOOKUP(F1071,Apuração!A:A,Apuração!B:B)&gt;=1.15,1.15,SUM(IFERROR(IF(INDEX(AW1071:INDEX(AW1071:BH1071, MATCH(2, 1/(AW1071:BH1071&lt;&gt;""), 1)-1), ROW(INDIRECT("1:" &amp; MATCH(2, 1/(AW1071:BH1071&lt;&gt;""), 1)-1))) &gt;= 115%, 115%, INDEX(AW1071:INDEX(AW1071:BH1071, MATCH(2, 1/(AW1071:BH1071&lt;&gt;""), 1)-1), ROW(INDIRECT("1:" &amp; MATCH(2, 1/(AW1071:BH1071&lt;&gt;""), 1)-1)))), 0))/_xlfn.XLOOKUP(F1071,Apuração!A:A,Apuração!B:B))</f>
        <v>0</v>
      </c>
      <c r="BM1071" s="55" cm="1">
        <f t="array" ref="BM1071">IFERROR(
   INDEX($AW$1:$BH$1,
      _xlfn.AGGREGATE(14, 6, COLUMN($AW$1:$BH$1)/(AW1071:BH1071&lt;&gt;""), 2) - COLUMN($AW$1) + 1
   ),
"")</f>
        <v>46082</v>
      </c>
      <c r="BN1071" s="55" cm="1">
        <f t="array" ref="BN1071">IFERROR(INDEX($AW$1:$BH$1,1,MATCH(2,1/(AW1071:BH1071&lt;&gt;""))),"")</f>
        <v>46113</v>
      </c>
      <c r="BO1071" s="53">
        <f ca="1">IFERROR(_xlfn.XLOOKUP(F1071,Apuração!A:A,Apuração!C:C)/_xlfn.XLOOKUP(F1071,Apuração!A:A,Apuração!B:B),0)</f>
        <v>0</v>
      </c>
      <c r="BP1071" s="53">
        <f ca="1">IFERROR(_xlfn.XLOOKUP(F1071,Apuração!A:A,Apuração!D:D)/_xlfn.XLOOKUP(F1071,Apuração!A:A,Apuração!B:B),0)</f>
        <v>0</v>
      </c>
      <c r="BQ1071" s="53">
        <f ca="1">IF(BK1071&gt;=BO1071,0,_xlfn.XLOOKUP(F1071,Apuração!A:A,Apuração!B:B)*(BO1071 + (1/_xlfn.XLOOKUP(F1071,Apuração!A:A,Apuração!B:B)) - BK1071))</f>
        <v>0</v>
      </c>
      <c r="BR1071" s="85">
        <f t="shared" ca="1" si="1235"/>
        <v>0</v>
      </c>
      <c r="BS1071" s="53">
        <f ca="1">IFERROR((_xlfn.XLOOKUP(F1071,Apuração!A:A,Apuração!C:C)+1)/_xlfn.XLOOKUP(F1071,Apuração!A:A,Apuração!B:B),0)</f>
        <v>0.14285714285714285</v>
      </c>
    </row>
    <row r="1072" spans="1:71" ht="25.95" hidden="1" customHeight="1" x14ac:dyDescent="0.3">
      <c r="A1072" s="3" t="s">
        <v>33</v>
      </c>
      <c r="B1072" s="4" t="s">
        <v>34</v>
      </c>
      <c r="C1072" s="5" t="s">
        <v>209</v>
      </c>
      <c r="D1072" s="5" t="s">
        <v>211</v>
      </c>
      <c r="E1072" s="4" t="str" cm="1">
        <f t="array" ref="E1072">_xlfn.IFS(
F1072 = "A partir de Abril", "Aguardando Execução na Distribuidora",
A1072 = "CAPACITAÇÃO", "Em execução no Corporativo",
TRUE, "Em Execução na Distribuidora"
)</f>
        <v>Em Execução na Distribuidora</v>
      </c>
      <c r="F1072" s="4" t="str" cm="1">
        <f t="array" ref="F1072">_xlfn.IFS(
AG1072 &lt;&gt; "", "Jan-Dez/26",
AH1072 &lt;&gt; "", "Fev-Dez/26",
AI1072 &lt;&gt; "", "Mar-Dez/26", AJ1072 &lt;&gt; "", "Abr-Dez/26",
TRUE, "A partir de Junho"
)</f>
        <v>A partir de Junho</v>
      </c>
      <c r="G1072" s="6" t="s">
        <v>62</v>
      </c>
      <c r="H1072" s="7" t="s">
        <v>54</v>
      </c>
      <c r="I1072" s="8" t="s">
        <v>39</v>
      </c>
      <c r="J1072" s="8" t="str" cm="1">
        <f t="array" aca="1" ref="J1072" ca="1">_xlfn.LET(
  _xlpm.actual_value_month, INDEX(T1072:AE1072, MATCH(DATE(YEAR(TODAY()), MONTH(TODAY()), 1), $T$1:$AE$1, 0)),
  IF(_xlpm.actual_value_month &lt;&gt; "",_xlpm.actual_value_month &amp; " soluções mensais", "")
)</f>
        <v>1 soluções mensais</v>
      </c>
      <c r="K1072" s="8" t="str" cm="1">
        <f t="array" ref="K1072">_xlfn.LET(
    _xlpm.sum_month, SUM(T1072:AE1072),
    IF(_xlpm.sum_month = 0, "", _xlpm.sum_month &amp; " soluções implementadas no ano")
)</f>
        <v>9 soluções implementadas no ano</v>
      </c>
      <c r="L1072" s="9" t="s">
        <v>40</v>
      </c>
      <c r="M1072" s="9" t="s">
        <v>41</v>
      </c>
      <c r="N1072" s="5" t="s">
        <v>42</v>
      </c>
      <c r="O1072" s="5" t="s">
        <v>43</v>
      </c>
      <c r="P1072" s="10" t="s">
        <v>44</v>
      </c>
      <c r="Q1072" s="10" t="s">
        <v>44</v>
      </c>
      <c r="R1072" s="11" t="s">
        <v>45</v>
      </c>
      <c r="S1072" s="11" t="s">
        <v>46</v>
      </c>
      <c r="T1072" s="22"/>
      <c r="U1072" s="22"/>
      <c r="V1072" s="22"/>
      <c r="W1072" s="152">
        <v>1</v>
      </c>
      <c r="X1072" s="152">
        <v>1</v>
      </c>
      <c r="Y1072" s="152">
        <v>1</v>
      </c>
      <c r="Z1072" s="152">
        <v>1</v>
      </c>
      <c r="AA1072" s="152">
        <v>1</v>
      </c>
      <c r="AB1072" s="152">
        <v>1</v>
      </c>
      <c r="AC1072" s="152">
        <v>1</v>
      </c>
      <c r="AD1072" s="152">
        <v>1</v>
      </c>
      <c r="AE1072" s="152">
        <v>1</v>
      </c>
      <c r="AG1072" s="71"/>
      <c r="AH1072" s="71"/>
      <c r="AI1072" s="71"/>
      <c r="AJ1072" s="71"/>
      <c r="AK1072" s="71"/>
      <c r="AL1072" s="71"/>
      <c r="AM1072" s="71"/>
      <c r="AN1072" s="71"/>
      <c r="AO1072" s="71"/>
      <c r="AP1072" s="71"/>
      <c r="AQ1072" s="71"/>
      <c r="AR1072" s="71"/>
      <c r="AS1072" s="94">
        <f t="shared" ca="1" si="1228"/>
        <v>2</v>
      </c>
      <c r="AT1072" s="95">
        <f t="shared" si="1229"/>
        <v>0</v>
      </c>
      <c r="AU1072" s="97">
        <f t="shared" si="1230"/>
        <v>0</v>
      </c>
      <c r="AW1072" s="51">
        <f t="shared" si="1231"/>
        <v>0</v>
      </c>
      <c r="AX1072" s="51">
        <f t="shared" si="1232"/>
        <v>0</v>
      </c>
      <c r="AY1072" s="51">
        <f t="shared" si="1233"/>
        <v>0</v>
      </c>
      <c r="AZ1072" s="51">
        <f t="shared" si="1234"/>
        <v>0</v>
      </c>
      <c r="BA1072" s="51"/>
      <c r="BB1072" s="51"/>
      <c r="BC1072" s="51"/>
      <c r="BD1072" s="51"/>
      <c r="BE1072" s="51"/>
      <c r="BF1072" s="51"/>
      <c r="BG1072" s="51"/>
      <c r="BH1072" s="51"/>
      <c r="BI1072" s="65" cm="1">
        <f t="array" ref="BI1072">IFERROR(INDEX(AW1072:BH1072,1,MATCH(2,1/(AW1072:BH1072&lt;&gt;""))),"")</f>
        <v>0</v>
      </c>
      <c r="BJ1072" s="68" cm="1">
        <f t="array" ref="BJ1072">IF(BM1072 = "", "",IFERROR(INDEX(AW1072:BH1072,1,MATCH(2,1/(AW1072:BH1072&lt;&gt;""),1)-1),""))</f>
        <v>0</v>
      </c>
      <c r="BK1072" s="58">
        <f>IF((IF(AW1072&gt;=115%,115%,AW1072) + IF(AX1072&gt;=115%,115%,AX1072) + IF(AY1072&gt;=115%,115%,AY1072) + (IF(AZ1072&gt;=115%,115%,AZ1072) + IF(BA1072&gt;=115%,115%,BA1072) + IF(BB1072&gt;=115%,115%,BB1072) + IF(BC1072&gt;=115%,115%,BC1072) + IF(BD1072&gt;=115%,115%,BD1072) + IF(BE1072&gt;=115%,115%,BE1072) + IF(BF1072&gt;=115%,115%,BF1072) + IF(BG1072&gt;=115%,115%,BG1072) + IF(BH1072&gt;=115%,115%,BH1072)))/_xlfn.XLOOKUP(F1072,Apuração!A:A,Apuração!B:B)&gt;=1.15,1.15,((IF(AZ1072&gt;=115%,115%,AZ1072) + IF(AX1072&gt;=115%,115%,AX1072) + IF(AY1072&gt;=115%,115%,AY1072) + (IF(AW1072&gt;=115%,115%,AW1072) + IF(BA1072&gt;=115%,115%,BA1072) + IF(BB1072&gt;=115%,115%,BB1072) + IF(BC1072&gt;=115%,115%,BC1072) + IF(BD1072&gt;=115%,115%,BD1072) + IF(BE1072&gt;=115%,115%,BE1072) + IF(BF1072&gt;=115%,115%,BF1072) + IF(BG1072&gt;=115%,115%,BG1072) + IF(BH1072&gt;=115%,115%,BH1072)))/_xlfn.XLOOKUP(F1072,Apuração!A:A,Apuração!B:B)))</f>
        <v>0</v>
      </c>
      <c r="BL1072" s="58" cm="1">
        <f t="array" aca="1" ref="BL1072" ca="1">IF(SUM(IFERROR(IF(INDEX(AW1072:INDEX(AW1072:BH1072, MATCH(2, 1/(AW1072:BH1072&lt;&gt;""), 1)-1), ROW(INDIRECT("1:" &amp; MATCH(2, 1/(AW1072:BH1072&lt;&gt;""), 1)-1))) &gt;= 115%, 115%, INDEX(AW1072:INDEX(AW1072:BH1072, MATCH(2, 1/(AW1072:BH1072&lt;&gt;""), 1)-1), ROW(INDIRECT("1:" &amp; MATCH(2, 1/(AW1072:BH1072&lt;&gt;""), 1)-1)))), 0))/_xlfn.XLOOKUP(F1072,Apuração!A:A,Apuração!B:B)&gt;=1.15,1.15,SUM(IFERROR(IF(INDEX(AW1072:INDEX(AW1072:BH1072, MATCH(2, 1/(AW1072:BH1072&lt;&gt;""), 1)-1), ROW(INDIRECT("1:" &amp; MATCH(2, 1/(AW1072:BH1072&lt;&gt;""), 1)-1))) &gt;= 115%, 115%, INDEX(AW1072:INDEX(AW1072:BH1072, MATCH(2, 1/(AW1072:BH1072&lt;&gt;""), 1)-1), ROW(INDIRECT("1:" &amp; MATCH(2, 1/(AW1072:BH1072&lt;&gt;""), 1)-1)))), 0))/_xlfn.XLOOKUP(F1072,Apuração!A:A,Apuração!B:B))</f>
        <v>0</v>
      </c>
      <c r="BM1072" s="55" cm="1">
        <f t="array" ref="BM1072">IFERROR(
   INDEX($AW$1:$BH$1,
      _xlfn.AGGREGATE(14, 6, COLUMN($AW$1:$BH$1)/(AW1072:BH1072&lt;&gt;""), 2) - COLUMN($AW$1) + 1
   ),
"")</f>
        <v>46082</v>
      </c>
      <c r="BN1072" s="55" cm="1">
        <f t="array" ref="BN1072">IFERROR(INDEX($AW$1:$BH$1,1,MATCH(2,1/(AW1072:BH1072&lt;&gt;""))),"")</f>
        <v>46113</v>
      </c>
      <c r="BO1072" s="53">
        <f ca="1">IFERROR(_xlfn.XLOOKUP(F1072,Apuração!A:A,Apuração!C:C)/_xlfn.XLOOKUP(F1072,Apuração!A:A,Apuração!B:B),0)</f>
        <v>0</v>
      </c>
      <c r="BP1072" s="53">
        <f ca="1">IFERROR(_xlfn.XLOOKUP(F1072,Apuração!A:A,Apuração!D:D)/_xlfn.XLOOKUP(F1072,Apuração!A:A,Apuração!B:B),0)</f>
        <v>0</v>
      </c>
      <c r="BQ1072" s="53">
        <f ca="1">IF(BK1072&gt;=BO1072,0,_xlfn.XLOOKUP(F1072,Apuração!A:A,Apuração!B:B)*(BO1072 + (1/_xlfn.XLOOKUP(F1072,Apuração!A:A,Apuração!B:B)) - BK1072))</f>
        <v>0</v>
      </c>
      <c r="BR1072" s="85">
        <f t="shared" ca="1" si="1235"/>
        <v>0</v>
      </c>
      <c r="BS1072" s="53">
        <f ca="1">IFERROR((_xlfn.XLOOKUP(F1072,Apuração!A:A,Apuração!C:C)+1)/_xlfn.XLOOKUP(F1072,Apuração!A:A,Apuração!B:B),0)</f>
        <v>0.14285714285714285</v>
      </c>
    </row>
    <row r="1073" spans="1:71" ht="25.95" hidden="1" customHeight="1" x14ac:dyDescent="0.3">
      <c r="A1073" s="3" t="s">
        <v>33</v>
      </c>
      <c r="B1073" s="4" t="s">
        <v>34</v>
      </c>
      <c r="C1073" s="5" t="s">
        <v>209</v>
      </c>
      <c r="D1073" s="5" t="s">
        <v>212</v>
      </c>
      <c r="E1073" s="4" t="str" cm="1">
        <f t="array" ref="E1073">_xlfn.IFS(
F1073 = "A partir de Abril", "Aguardando Execução na Distribuidora",
A1073 = "CAPACITAÇÃO", "Em execução no Corporativo",
TRUE, "Em Execução na Distribuidora"
)</f>
        <v>Em Execução na Distribuidora</v>
      </c>
      <c r="F1073" s="4" t="str" cm="1">
        <f t="array" ref="F1073">_xlfn.IFS(
AG1073 &lt;&gt; "", "Jan-Dez/26",
AH1073 &lt;&gt; "", "Fev-Dez/26",
AI1073 &lt;&gt; "", "Mar-Dez/26", AJ1073 &lt;&gt; "", "Abr-Dez/26",
TRUE, "A partir de Junho"
)</f>
        <v>A partir de Junho</v>
      </c>
      <c r="G1073" s="6" t="s">
        <v>62</v>
      </c>
      <c r="H1073" s="7" t="s">
        <v>54</v>
      </c>
      <c r="I1073" s="8" t="s">
        <v>39</v>
      </c>
      <c r="J1073" s="8" t="str" cm="1">
        <f t="array" aca="1" ref="J1073" ca="1">_xlfn.LET(
  _xlpm.actual_value_month, INDEX(T1073:AE1073, MATCH(DATE(YEAR(TODAY()), MONTH(TODAY()), 1), $T$1:$AE$1, 0)),
  IF(_xlpm.actual_value_month &lt;&gt; "",_xlpm.actual_value_month &amp; " soluções mensais", "")
)</f>
        <v>1 soluções mensais</v>
      </c>
      <c r="K1073" s="8" t="str" cm="1">
        <f t="array" ref="K1073">_xlfn.LET(
    _xlpm.sum_month, SUM(T1073:AE1073),
    IF(_xlpm.sum_month = 0, "", _xlpm.sum_month &amp; " soluções implementadas no ano")
)</f>
        <v>9 soluções implementadas no ano</v>
      </c>
      <c r="L1073" s="9" t="s">
        <v>40</v>
      </c>
      <c r="M1073" s="9" t="s">
        <v>41</v>
      </c>
      <c r="N1073" s="5" t="s">
        <v>42</v>
      </c>
      <c r="O1073" s="5" t="s">
        <v>43</v>
      </c>
      <c r="P1073" s="10" t="s">
        <v>44</v>
      </c>
      <c r="Q1073" s="10" t="s">
        <v>44</v>
      </c>
      <c r="R1073" s="11" t="s">
        <v>45</v>
      </c>
      <c r="S1073" s="11" t="s">
        <v>46</v>
      </c>
      <c r="T1073" s="22"/>
      <c r="U1073" s="22"/>
      <c r="V1073" s="22"/>
      <c r="W1073" s="152">
        <v>1</v>
      </c>
      <c r="X1073" s="152">
        <v>1</v>
      </c>
      <c r="Y1073" s="152">
        <v>1</v>
      </c>
      <c r="Z1073" s="152">
        <v>1</v>
      </c>
      <c r="AA1073" s="152">
        <v>1</v>
      </c>
      <c r="AB1073" s="152">
        <v>1</v>
      </c>
      <c r="AC1073" s="152">
        <v>1</v>
      </c>
      <c r="AD1073" s="152">
        <v>1</v>
      </c>
      <c r="AE1073" s="152">
        <v>1</v>
      </c>
      <c r="AG1073" s="71"/>
      <c r="AH1073" s="71"/>
      <c r="AI1073" s="71"/>
      <c r="AJ1073" s="71"/>
      <c r="AK1073" s="71"/>
      <c r="AL1073" s="71"/>
      <c r="AM1073" s="71"/>
      <c r="AN1073" s="71"/>
      <c r="AO1073" s="71"/>
      <c r="AP1073" s="71"/>
      <c r="AQ1073" s="71"/>
      <c r="AR1073" s="71"/>
      <c r="AS1073" s="94">
        <f t="shared" ca="1" si="1228"/>
        <v>2</v>
      </c>
      <c r="AT1073" s="95">
        <f t="shared" si="1229"/>
        <v>0</v>
      </c>
      <c r="AU1073" s="97">
        <f t="shared" si="1230"/>
        <v>0</v>
      </c>
      <c r="AW1073" s="51">
        <f t="shared" si="1231"/>
        <v>0</v>
      </c>
      <c r="AX1073" s="51">
        <f t="shared" si="1232"/>
        <v>0</v>
      </c>
      <c r="AY1073" s="51">
        <f t="shared" si="1233"/>
        <v>0</v>
      </c>
      <c r="AZ1073" s="51">
        <f t="shared" si="1234"/>
        <v>0</v>
      </c>
      <c r="BA1073" s="51"/>
      <c r="BB1073" s="51"/>
      <c r="BC1073" s="51"/>
      <c r="BD1073" s="51"/>
      <c r="BE1073" s="51"/>
      <c r="BF1073" s="51"/>
      <c r="BG1073" s="51"/>
      <c r="BH1073" s="51"/>
      <c r="BI1073" s="65" cm="1">
        <f t="array" ref="BI1073">IFERROR(INDEX(AW1073:BH1073,1,MATCH(2,1/(AW1073:BH1073&lt;&gt;""))),"")</f>
        <v>0</v>
      </c>
      <c r="BJ1073" s="68" cm="1">
        <f t="array" ref="BJ1073">IF(BM1073 = "", "",IFERROR(INDEX(AW1073:BH1073,1,MATCH(2,1/(AW1073:BH1073&lt;&gt;""),1)-1),""))</f>
        <v>0</v>
      </c>
      <c r="BK1073" s="58">
        <f>IF((IF(AW1073&gt;=115%,115%,AW1073) + IF(AX1073&gt;=115%,115%,AX1073) + IF(AY1073&gt;=115%,115%,AY1073) + (IF(AZ1073&gt;=115%,115%,AZ1073) + IF(BA1073&gt;=115%,115%,BA1073) + IF(BB1073&gt;=115%,115%,BB1073) + IF(BC1073&gt;=115%,115%,BC1073) + IF(BD1073&gt;=115%,115%,BD1073) + IF(BE1073&gt;=115%,115%,BE1073) + IF(BF1073&gt;=115%,115%,BF1073) + IF(BG1073&gt;=115%,115%,BG1073) + IF(BH1073&gt;=115%,115%,BH1073)))/_xlfn.XLOOKUP(F1073,Apuração!A:A,Apuração!B:B)&gt;=1.15,1.15,((IF(AZ1073&gt;=115%,115%,AZ1073) + IF(AX1073&gt;=115%,115%,AX1073) + IF(AY1073&gt;=115%,115%,AY1073) + (IF(AW1073&gt;=115%,115%,AW1073) + IF(BA1073&gt;=115%,115%,BA1073) + IF(BB1073&gt;=115%,115%,BB1073) + IF(BC1073&gt;=115%,115%,BC1073) + IF(BD1073&gt;=115%,115%,BD1073) + IF(BE1073&gt;=115%,115%,BE1073) + IF(BF1073&gt;=115%,115%,BF1073) + IF(BG1073&gt;=115%,115%,BG1073) + IF(BH1073&gt;=115%,115%,BH1073)))/_xlfn.XLOOKUP(F1073,Apuração!A:A,Apuração!B:B)))</f>
        <v>0</v>
      </c>
      <c r="BL1073" s="58" cm="1">
        <f t="array" aca="1" ref="BL1073" ca="1">IF(SUM(IFERROR(IF(INDEX(AW1073:INDEX(AW1073:BH1073, MATCH(2, 1/(AW1073:BH1073&lt;&gt;""), 1)-1), ROW(INDIRECT("1:" &amp; MATCH(2, 1/(AW1073:BH1073&lt;&gt;""), 1)-1))) &gt;= 115%, 115%, INDEX(AW1073:INDEX(AW1073:BH1073, MATCH(2, 1/(AW1073:BH1073&lt;&gt;""), 1)-1), ROW(INDIRECT("1:" &amp; MATCH(2, 1/(AW1073:BH1073&lt;&gt;""), 1)-1)))), 0))/_xlfn.XLOOKUP(F1073,Apuração!A:A,Apuração!B:B)&gt;=1.15,1.15,SUM(IFERROR(IF(INDEX(AW1073:INDEX(AW1073:BH1073, MATCH(2, 1/(AW1073:BH1073&lt;&gt;""), 1)-1), ROW(INDIRECT("1:" &amp; MATCH(2, 1/(AW1073:BH1073&lt;&gt;""), 1)-1))) &gt;= 115%, 115%, INDEX(AW1073:INDEX(AW1073:BH1073, MATCH(2, 1/(AW1073:BH1073&lt;&gt;""), 1)-1), ROW(INDIRECT("1:" &amp; MATCH(2, 1/(AW1073:BH1073&lt;&gt;""), 1)-1)))), 0))/_xlfn.XLOOKUP(F1073,Apuração!A:A,Apuração!B:B))</f>
        <v>0</v>
      </c>
      <c r="BM1073" s="55" cm="1">
        <f t="array" ref="BM1073">IFERROR(
   INDEX($AW$1:$BH$1,
      _xlfn.AGGREGATE(14, 6, COLUMN($AW$1:$BH$1)/(AW1073:BH1073&lt;&gt;""), 2) - COLUMN($AW$1) + 1
   ),
"")</f>
        <v>46082</v>
      </c>
      <c r="BN1073" s="55" cm="1">
        <f t="array" ref="BN1073">IFERROR(INDEX($AW$1:$BH$1,1,MATCH(2,1/(AW1073:BH1073&lt;&gt;""))),"")</f>
        <v>46113</v>
      </c>
      <c r="BO1073" s="53">
        <f ca="1">IFERROR(_xlfn.XLOOKUP(F1073,Apuração!A:A,Apuração!C:C)/_xlfn.XLOOKUP(F1073,Apuração!A:A,Apuração!B:B),0)</f>
        <v>0</v>
      </c>
      <c r="BP1073" s="53">
        <f ca="1">IFERROR(_xlfn.XLOOKUP(F1073,Apuração!A:A,Apuração!D:D)/_xlfn.XLOOKUP(F1073,Apuração!A:A,Apuração!B:B),0)</f>
        <v>0</v>
      </c>
      <c r="BQ1073" s="53">
        <f ca="1">IF(BK1073&gt;=BO1073,0,_xlfn.XLOOKUP(F1073,Apuração!A:A,Apuração!B:B)*(BO1073 + (1/_xlfn.XLOOKUP(F1073,Apuração!A:A,Apuração!B:B)) - BK1073))</f>
        <v>0</v>
      </c>
      <c r="BR1073" s="85">
        <f t="shared" ca="1" si="1235"/>
        <v>0</v>
      </c>
      <c r="BS1073" s="53">
        <f ca="1">IFERROR((_xlfn.XLOOKUP(F1073,Apuração!A:A,Apuração!C:C)+1)/_xlfn.XLOOKUP(F1073,Apuração!A:A,Apuração!B:B),0)</f>
        <v>0.14285714285714285</v>
      </c>
    </row>
    <row r="1074" spans="1:71" ht="25.95" hidden="1" customHeight="1" x14ac:dyDescent="0.3">
      <c r="A1074" s="3" t="s">
        <v>33</v>
      </c>
      <c r="B1074" s="4" t="s">
        <v>34</v>
      </c>
      <c r="C1074" s="5" t="s">
        <v>209</v>
      </c>
      <c r="D1074" s="5" t="s">
        <v>213</v>
      </c>
      <c r="E1074" s="4" t="str" cm="1">
        <f t="array" ref="E1074">_xlfn.IFS(
F1074 = "A partir de Abril", "Aguardando Execução na Distribuidora",
A1074 = "CAPACITAÇÃO", "Em execução no Corporativo",
TRUE, "Em Execução na Distribuidora"
)</f>
        <v>Em Execução na Distribuidora</v>
      </c>
      <c r="F1074" s="4" t="str" cm="1">
        <f t="array" ref="F1074">_xlfn.IFS(
AG1074 &lt;&gt; "", "Jan-Dez/26",
AH1074 &lt;&gt; "", "Fev-Dez/26",
AI1074 &lt;&gt; "", "Mar-Dez/26", AJ1074 &lt;&gt; "", "Abr-Dez/26",
TRUE, "A partir de Junho"
)</f>
        <v>A partir de Junho</v>
      </c>
      <c r="G1074" s="6" t="s">
        <v>62</v>
      </c>
      <c r="H1074" s="7" t="s">
        <v>54</v>
      </c>
      <c r="I1074" s="8" t="s">
        <v>39</v>
      </c>
      <c r="J1074" s="8" t="str" cm="1">
        <f t="array" aca="1" ref="J1074" ca="1">_xlfn.LET(
  _xlpm.actual_value_month, INDEX(T1074:AE1074, MATCH(DATE(YEAR(TODAY()), MONTH(TODAY()), 1), $T$1:$AE$1, 0)),
  IF(_xlpm.actual_value_month &lt;&gt; "",_xlpm.actual_value_month &amp; " soluções mensais", "")
)</f>
        <v>1 soluções mensais</v>
      </c>
      <c r="K1074" s="8" t="str" cm="1">
        <f t="array" ref="K1074">_xlfn.LET(
    _xlpm.sum_month, SUM(T1074:AE1074),
    IF(_xlpm.sum_month = 0, "", _xlpm.sum_month &amp; " soluções implementadas no ano")
)</f>
        <v>9 soluções implementadas no ano</v>
      </c>
      <c r="L1074" s="9" t="s">
        <v>40</v>
      </c>
      <c r="M1074" s="9" t="s">
        <v>41</v>
      </c>
      <c r="N1074" s="5" t="s">
        <v>42</v>
      </c>
      <c r="O1074" s="5" t="s">
        <v>43</v>
      </c>
      <c r="P1074" s="10" t="s">
        <v>44</v>
      </c>
      <c r="Q1074" s="10" t="s">
        <v>44</v>
      </c>
      <c r="R1074" s="11" t="s">
        <v>45</v>
      </c>
      <c r="S1074" s="11" t="s">
        <v>46</v>
      </c>
      <c r="T1074" s="22"/>
      <c r="U1074" s="22"/>
      <c r="V1074" s="22"/>
      <c r="W1074" s="152">
        <v>1</v>
      </c>
      <c r="X1074" s="152">
        <v>1</v>
      </c>
      <c r="Y1074" s="152">
        <v>1</v>
      </c>
      <c r="Z1074" s="152">
        <v>1</v>
      </c>
      <c r="AA1074" s="152">
        <v>1</v>
      </c>
      <c r="AB1074" s="152">
        <v>1</v>
      </c>
      <c r="AC1074" s="152">
        <v>1</v>
      </c>
      <c r="AD1074" s="152">
        <v>1</v>
      </c>
      <c r="AE1074" s="152">
        <v>1</v>
      </c>
      <c r="AG1074" s="71"/>
      <c r="AH1074" s="71"/>
      <c r="AI1074" s="71"/>
      <c r="AJ1074" s="71"/>
      <c r="AK1074" s="71"/>
      <c r="AL1074" s="71"/>
      <c r="AM1074" s="71"/>
      <c r="AN1074" s="71"/>
      <c r="AO1074" s="71"/>
      <c r="AP1074" s="71"/>
      <c r="AQ1074" s="71"/>
      <c r="AR1074" s="71"/>
      <c r="AS1074" s="94">
        <f t="shared" ca="1" si="1228"/>
        <v>2</v>
      </c>
      <c r="AT1074" s="95">
        <f t="shared" si="1229"/>
        <v>0</v>
      </c>
      <c r="AU1074" s="97">
        <f t="shared" si="1230"/>
        <v>0</v>
      </c>
      <c r="AW1074" s="51">
        <f t="shared" si="1231"/>
        <v>0</v>
      </c>
      <c r="AX1074" s="51">
        <f t="shared" si="1232"/>
        <v>0</v>
      </c>
      <c r="AY1074" s="51">
        <f t="shared" si="1233"/>
        <v>0</v>
      </c>
      <c r="AZ1074" s="51">
        <f t="shared" si="1234"/>
        <v>0</v>
      </c>
      <c r="BA1074" s="51"/>
      <c r="BB1074" s="51"/>
      <c r="BC1074" s="51"/>
      <c r="BD1074" s="51"/>
      <c r="BE1074" s="51"/>
      <c r="BF1074" s="51"/>
      <c r="BG1074" s="51"/>
      <c r="BH1074" s="51"/>
      <c r="BI1074" s="65" cm="1">
        <f t="array" ref="BI1074">IFERROR(INDEX(AW1074:BH1074,1,MATCH(2,1/(AW1074:BH1074&lt;&gt;""))),"")</f>
        <v>0</v>
      </c>
      <c r="BJ1074" s="68" cm="1">
        <f t="array" ref="BJ1074">IF(BM1074 = "", "",IFERROR(INDEX(AW1074:BH1074,1,MATCH(2,1/(AW1074:BH1074&lt;&gt;""),1)-1),""))</f>
        <v>0</v>
      </c>
      <c r="BK1074" s="58">
        <f>IF((IF(AW1074&gt;=115%,115%,AW1074) + IF(AX1074&gt;=115%,115%,AX1074) + IF(AY1074&gt;=115%,115%,AY1074) + (IF(AZ1074&gt;=115%,115%,AZ1074) + IF(BA1074&gt;=115%,115%,BA1074) + IF(BB1074&gt;=115%,115%,BB1074) + IF(BC1074&gt;=115%,115%,BC1074) + IF(BD1074&gt;=115%,115%,BD1074) + IF(BE1074&gt;=115%,115%,BE1074) + IF(BF1074&gt;=115%,115%,BF1074) + IF(BG1074&gt;=115%,115%,BG1074) + IF(BH1074&gt;=115%,115%,BH1074)))/_xlfn.XLOOKUP(F1074,Apuração!A:A,Apuração!B:B)&gt;=1.15,1.15,((IF(AZ1074&gt;=115%,115%,AZ1074) + IF(AX1074&gt;=115%,115%,AX1074) + IF(AY1074&gt;=115%,115%,AY1074) + (IF(AW1074&gt;=115%,115%,AW1074) + IF(BA1074&gt;=115%,115%,BA1074) + IF(BB1074&gt;=115%,115%,BB1074) + IF(BC1074&gt;=115%,115%,BC1074) + IF(BD1074&gt;=115%,115%,BD1074) + IF(BE1074&gt;=115%,115%,BE1074) + IF(BF1074&gt;=115%,115%,BF1074) + IF(BG1074&gt;=115%,115%,BG1074) + IF(BH1074&gt;=115%,115%,BH1074)))/_xlfn.XLOOKUP(F1074,Apuração!A:A,Apuração!B:B)))</f>
        <v>0</v>
      </c>
      <c r="BL1074" s="58" cm="1">
        <f t="array" aca="1" ref="BL1074" ca="1">IF(SUM(IFERROR(IF(INDEX(AW1074:INDEX(AW1074:BH1074, MATCH(2, 1/(AW1074:BH1074&lt;&gt;""), 1)-1), ROW(INDIRECT("1:" &amp; MATCH(2, 1/(AW1074:BH1074&lt;&gt;""), 1)-1))) &gt;= 115%, 115%, INDEX(AW1074:INDEX(AW1074:BH1074, MATCH(2, 1/(AW1074:BH1074&lt;&gt;""), 1)-1), ROW(INDIRECT("1:" &amp; MATCH(2, 1/(AW1074:BH1074&lt;&gt;""), 1)-1)))), 0))/_xlfn.XLOOKUP(F1074,Apuração!A:A,Apuração!B:B)&gt;=1.15,1.15,SUM(IFERROR(IF(INDEX(AW1074:INDEX(AW1074:BH1074, MATCH(2, 1/(AW1074:BH1074&lt;&gt;""), 1)-1), ROW(INDIRECT("1:" &amp; MATCH(2, 1/(AW1074:BH1074&lt;&gt;""), 1)-1))) &gt;= 115%, 115%, INDEX(AW1074:INDEX(AW1074:BH1074, MATCH(2, 1/(AW1074:BH1074&lt;&gt;""), 1)-1), ROW(INDIRECT("1:" &amp; MATCH(2, 1/(AW1074:BH1074&lt;&gt;""), 1)-1)))), 0))/_xlfn.XLOOKUP(F1074,Apuração!A:A,Apuração!B:B))</f>
        <v>0</v>
      </c>
      <c r="BM1074" s="55" cm="1">
        <f t="array" ref="BM1074">IFERROR(
   INDEX($AW$1:$BH$1,
      _xlfn.AGGREGATE(14, 6, COLUMN($AW$1:$BH$1)/(AW1074:BH1074&lt;&gt;""), 2) - COLUMN($AW$1) + 1
   ),
"")</f>
        <v>46082</v>
      </c>
      <c r="BN1074" s="55" cm="1">
        <f t="array" ref="BN1074">IFERROR(INDEX($AW$1:$BH$1,1,MATCH(2,1/(AW1074:BH1074&lt;&gt;""))),"")</f>
        <v>46113</v>
      </c>
      <c r="BO1074" s="53">
        <f ca="1">IFERROR(_xlfn.XLOOKUP(F1074,Apuração!A:A,Apuração!C:C)/_xlfn.XLOOKUP(F1074,Apuração!A:A,Apuração!B:B),0)</f>
        <v>0</v>
      </c>
      <c r="BP1074" s="53">
        <f ca="1">IFERROR(_xlfn.XLOOKUP(F1074,Apuração!A:A,Apuração!D:D)/_xlfn.XLOOKUP(F1074,Apuração!A:A,Apuração!B:B),0)</f>
        <v>0</v>
      </c>
      <c r="BQ1074" s="53">
        <f ca="1">IF(BK1074&gt;=BO1074,0,_xlfn.XLOOKUP(F1074,Apuração!A:A,Apuração!B:B)*(BO1074 + (1/_xlfn.XLOOKUP(F1074,Apuração!A:A,Apuração!B:B)) - BK1074))</f>
        <v>0</v>
      </c>
      <c r="BR1074" s="85">
        <f t="shared" ca="1" si="1235"/>
        <v>0</v>
      </c>
      <c r="BS1074" s="53">
        <f ca="1">IFERROR((_xlfn.XLOOKUP(F1074,Apuração!A:A,Apuração!C:C)+1)/_xlfn.XLOOKUP(F1074,Apuração!A:A,Apuração!B:B),0)</f>
        <v>0.14285714285714285</v>
      </c>
    </row>
    <row r="1075" spans="1:71" ht="25.95" hidden="1" customHeight="1" x14ac:dyDescent="0.3">
      <c r="A1075" s="39" t="s">
        <v>33</v>
      </c>
      <c r="B1075" s="4" t="s">
        <v>34</v>
      </c>
      <c r="C1075" s="5" t="s">
        <v>209</v>
      </c>
      <c r="D1075" s="5" t="s">
        <v>36</v>
      </c>
      <c r="E1075" s="4" t="s">
        <v>61</v>
      </c>
      <c r="F1075" s="4" t="str" cm="1">
        <f t="array" ref="F1075">_xlfn.IFS(
AG1075 &lt;&gt; "", "Jan-Dez/26",
AH1075 &lt;&gt; "", "Fev-Dez/26",
AI1075 &lt;&gt; "", "Mar-Dez/26", AJ1075 &lt;&gt; "", "Abr-Dez/26",
TRUE, "A partir de Junho"
)</f>
        <v>A partir de Junho</v>
      </c>
      <c r="G1075" s="6" t="s">
        <v>62</v>
      </c>
      <c r="H1075" s="7" t="s">
        <v>54</v>
      </c>
      <c r="I1075" s="9" t="s">
        <v>49</v>
      </c>
      <c r="J1075" s="8" t="str" cm="1">
        <f t="array" aca="1" ref="J1075" ca="1">_xlfn.LET(
  _xlpm.actual_value_month, INDEX(T1075:AE1075, MATCH(DATE(YEAR(TODAY()), MONTH(TODAY()), 1), $T$1:$AE$1, 0)),
  IF(_xlpm.actual_value_month &lt;&gt; "",_xlpm.actual_value_month &amp; " ações mensais", "")
)</f>
        <v/>
      </c>
      <c r="K1075" s="8" t="str" cm="1">
        <f t="array" ref="K1075">_xlfn.LET(
    _xlpm.sum_month, SUM(T1075:AE1075),
    IF(_xlpm.sum_month = 0, "", _xlpm.sum_month &amp; " soluções implementadas no ano")
)</f>
        <v/>
      </c>
      <c r="L1075" s="9" t="s">
        <v>50</v>
      </c>
      <c r="M1075" s="9"/>
      <c r="N1075" s="5" t="s">
        <v>51</v>
      </c>
      <c r="O1075" s="5" t="s">
        <v>52</v>
      </c>
      <c r="P1075" s="10" t="s">
        <v>44</v>
      </c>
      <c r="Q1075" s="10" t="s">
        <v>44</v>
      </c>
      <c r="R1075" s="10" t="s">
        <v>44</v>
      </c>
      <c r="S1075" s="10" t="s">
        <v>44</v>
      </c>
      <c r="T1075" s="22"/>
      <c r="U1075" s="22"/>
      <c r="V1075" s="22"/>
      <c r="W1075" s="22"/>
      <c r="X1075" s="22"/>
      <c r="Y1075" s="22"/>
      <c r="Z1075" s="22"/>
      <c r="AA1075" s="22"/>
      <c r="AB1075" s="22"/>
      <c r="AC1075" s="22"/>
      <c r="AD1075" s="22"/>
      <c r="AE1075" s="22"/>
      <c r="AG1075" s="71"/>
      <c r="AH1075" s="71"/>
      <c r="AI1075" s="71"/>
      <c r="AJ1075" s="71"/>
      <c r="AK1075" s="71"/>
      <c r="AL1075" s="71"/>
      <c r="AM1075" s="71"/>
      <c r="AN1075" s="71"/>
      <c r="AO1075" s="71"/>
      <c r="AP1075" s="71"/>
      <c r="AQ1075" s="71"/>
      <c r="AR1075" s="71"/>
      <c r="AS1075" s="94">
        <f ca="1">IF(MONTH(TODAY())=3,SUM(T1075:U1075),IF(MONTH(TODAY())=4,SUM(T1075:V1075),IF(MONTH(TODAY())=5,SUM(T1075:W1075),IF(MONTH(TODAY())=6,SUM(T1075:X1075),IF(MONTH(TODAY())=7,SUM(T1075:Y1075),IF(MONTH(TODAY())=8,SUM(T1075:Z1075),IF(MONTH(TODAY())=9,SUM(T1075:AA1075),IF(MONTH(TODAY())=10,SUM(T1075:AB1075),IF(MONTH(TODAY())=11,SUM(T1075:AC1075),IF(MONTH(TODAY())=12,SUM(T1075:AD1075),IF(MONTH(TODAY())=1,SUM(T1075:AE1075),T1075)))))))))))</f>
        <v>0</v>
      </c>
      <c r="AT1075" s="95">
        <f>SUM(AG1075:AR1075)</f>
        <v>0</v>
      </c>
      <c r="AU1075" s="97">
        <f>SUM(AG1075:AR1075)</f>
        <v>0</v>
      </c>
      <c r="AW1075" s="83">
        <f>AG1075</f>
        <v>0</v>
      </c>
      <c r="AX1075" s="83">
        <f>AH1075</f>
        <v>0</v>
      </c>
      <c r="AY1075" s="83">
        <f>AI1075</f>
        <v>0</v>
      </c>
      <c r="AZ1075" s="83">
        <f>AJ1075</f>
        <v>0</v>
      </c>
      <c r="BA1075" s="52"/>
      <c r="BB1075" s="52"/>
      <c r="BC1075" s="52"/>
      <c r="BD1075" s="52"/>
      <c r="BE1075" s="52"/>
      <c r="BF1075" s="52"/>
      <c r="BG1075" s="52"/>
      <c r="BH1075" s="52"/>
      <c r="BI1075" s="68" cm="1">
        <f t="array" ref="BI1075">IFERROR(INDEX(AW1075:BH1075,1,MATCH(2,1/(AW1075:BH1075&lt;&gt;""))),"")</f>
        <v>0</v>
      </c>
      <c r="BJ1075" s="68" cm="1">
        <f t="array" ref="BJ1075">IF(BM1075 = "", "",IFERROR(INDEX(AW1075:BH1075,1,MATCH(2,1/(AW1075:BH1075&lt;&gt;""),1)-1),""))</f>
        <v>0</v>
      </c>
      <c r="BK1075" s="59">
        <f>SUM(AW1075:BH1075)</f>
        <v>0</v>
      </c>
      <c r="BL1075" s="59" cm="1">
        <f t="array" ref="BL1075">IFERROR(SUM(AW1075:INDEX(AW1075:BH1075, MATCH(2, 1/(AW1075:BH1075&lt;&gt;""), 1) - 1))/_xlfn.XLOOKUP(F1075,Apuração!A:A,Apuração!B:B),0)</f>
        <v>0</v>
      </c>
      <c r="BM1075" s="55" cm="1">
        <f t="array" ref="BM1075">IFERROR(
   INDEX($AW$1:$BH$1,
      _xlfn.AGGREGATE(14, 6, COLUMN($AW$1:$BH$1)/(AW1075:BH1075&lt;&gt;""), 2) - COLUMN($AW$1) + 1
   ),
"")</f>
        <v>46082</v>
      </c>
      <c r="BN1075" s="55" cm="1">
        <f t="array" ref="BN1075">IFERROR(INDEX($AW$1:$BH$1,1,MATCH(2,1/(AW1075:BH1075&lt;&gt;""))),"")</f>
        <v>46113</v>
      </c>
      <c r="BO1075" s="53">
        <f ca="1">IFERROR(_xlfn.XLOOKUP(F1075,Apuração!A:A,Apuração!C:C)/_xlfn.XLOOKUP(F1075,Apuração!A:A,Apuração!B:B),0)</f>
        <v>0</v>
      </c>
      <c r="BP1075" s="53">
        <f ca="1">IFERROR(_xlfn.XLOOKUP(F1075,Apuração!A:A,Apuração!D:D)/_xlfn.XLOOKUP(F1075,Apuração!A:A,Apuração!B:B),0)</f>
        <v>0</v>
      </c>
      <c r="BQ1075" s="53">
        <f ca="1">IF(BK1075&gt;=BO1075,0,_xlfn.XLOOKUP(F1075,Apuração!A:A,Apuração!B:B)*(BO1075 + (1/_xlfn.XLOOKUP(F1075,Apuração!A:A,Apuração!B:B)) - BK1075))</f>
        <v>0</v>
      </c>
      <c r="BR1075" s="85">
        <f ca="1">IF(BQ1075=0,0,BQ1075*Z1075)</f>
        <v>0</v>
      </c>
      <c r="BS1075" s="53">
        <f ca="1">IFERROR((_xlfn.XLOOKUP(F1075,Apuração!A:A,Apuração!C:C)+1)/_xlfn.XLOOKUP(F1075,Apuração!A:A,Apuração!B:B),0)</f>
        <v>0.14285714285714285</v>
      </c>
    </row>
    <row r="1076" spans="1:71" ht="25.95" hidden="1" customHeight="1" x14ac:dyDescent="0.3">
      <c r="A1076" s="39" t="s">
        <v>33</v>
      </c>
      <c r="B1076" s="4" t="s">
        <v>34</v>
      </c>
      <c r="C1076" s="5" t="s">
        <v>209</v>
      </c>
      <c r="D1076" s="5" t="s">
        <v>210</v>
      </c>
      <c r="E1076" s="4" t="str" cm="1">
        <f t="array" ref="E1076">_xlfn.IFS(
F1076 = "A partir de Abril", "Aguardando Execução na Distribuidora",
A1076 = "CAPACITAÇÃO", "Em execução no Corporativo",
TRUE, "Em Execução na Distribuidora"
)</f>
        <v>Em Execução na Distribuidora</v>
      </c>
      <c r="F1076" s="4" t="str" cm="1">
        <f t="array" ref="F1076">_xlfn.IFS(
AG1076 &lt;&gt; "", "Jan-Dez/26",
AH1076 &lt;&gt; "", "Fev-Dez/26",
AI1076 &lt;&gt; "", "Mar-Dez/26", AJ1076 &lt;&gt; "", "Abr-Dez/26",
TRUE, "A partir de Junho"
)</f>
        <v>A partir de Junho</v>
      </c>
      <c r="G1076" s="6" t="s">
        <v>62</v>
      </c>
      <c r="H1076" s="7" t="s">
        <v>54</v>
      </c>
      <c r="I1076" s="9" t="s">
        <v>49</v>
      </c>
      <c r="J1076" s="8" t="str" cm="1">
        <f t="array" aca="1" ref="J1076" ca="1">_xlfn.LET(
  _xlpm.actual_value_month, INDEX(T1076:AE1076, MATCH(DATE(YEAR(TODAY()), MONTH(TODAY()), 1), $T$1:$AE$1, 0)),
  IF(_xlpm.actual_value_month &lt;&gt; "",_xlpm.actual_value_month &amp; " ações mensais", "")
)</f>
        <v/>
      </c>
      <c r="K1076" s="8" t="str" cm="1">
        <f t="array" ref="K1076">_xlfn.LET(
    _xlpm.sum_month, SUM(T1076:AE1076),
    IF(_xlpm.sum_month = 0, "", _xlpm.sum_month &amp; " soluções implementadas no ano")
)</f>
        <v/>
      </c>
      <c r="L1076" s="9" t="s">
        <v>50</v>
      </c>
      <c r="M1076" s="9"/>
      <c r="N1076" s="5" t="s">
        <v>51</v>
      </c>
      <c r="O1076" s="5" t="s">
        <v>52</v>
      </c>
      <c r="P1076" s="10" t="s">
        <v>44</v>
      </c>
      <c r="Q1076" s="10" t="s">
        <v>44</v>
      </c>
      <c r="R1076" s="10" t="s">
        <v>44</v>
      </c>
      <c r="S1076" s="10" t="s">
        <v>44</v>
      </c>
      <c r="T1076" s="22"/>
      <c r="U1076" s="22"/>
      <c r="V1076" s="22"/>
      <c r="W1076" s="22"/>
      <c r="X1076" s="22"/>
      <c r="Y1076" s="22"/>
      <c r="Z1076" s="22"/>
      <c r="AA1076" s="22"/>
      <c r="AB1076" s="22"/>
      <c r="AC1076" s="22"/>
      <c r="AD1076" s="22"/>
      <c r="AE1076" s="22"/>
      <c r="AG1076" s="71"/>
      <c r="AH1076" s="71"/>
      <c r="AI1076" s="71"/>
      <c r="AJ1076" s="71"/>
      <c r="AK1076" s="71"/>
      <c r="AL1076" s="71"/>
      <c r="AM1076" s="71"/>
      <c r="AN1076" s="71"/>
      <c r="AO1076" s="71"/>
      <c r="AP1076" s="71"/>
      <c r="AQ1076" s="71"/>
      <c r="AR1076" s="71"/>
      <c r="AS1076" s="94">
        <f t="shared" ref="AS1076:AS1080" ca="1" si="1236">IF(MONTH(TODAY())=3,SUM(T1076:U1076),IF(MONTH(TODAY())=4,SUM(T1076:V1076),IF(MONTH(TODAY())=5,SUM(T1076:W1076),IF(MONTH(TODAY())=6,SUM(T1076:X1076),IF(MONTH(TODAY())=7,SUM(T1076:Y1076),IF(MONTH(TODAY())=8,SUM(T1076:Z1076),IF(MONTH(TODAY())=9,SUM(T1076:AA1076),IF(MONTH(TODAY())=10,SUM(T1076:AB1076),IF(MONTH(TODAY())=11,SUM(T1076:AC1076),IF(MONTH(TODAY())=12,SUM(T1076:AD1076),IF(MONTH(TODAY())=1,SUM(T1076:AE1076),T1076)))))))))))</f>
        <v>0</v>
      </c>
      <c r="AT1076" s="95">
        <f t="shared" ref="AT1076:AT1080" si="1237">SUM(AG1076:AR1076)</f>
        <v>0</v>
      </c>
      <c r="AU1076" s="97">
        <f t="shared" ref="AU1076:AU1080" si="1238">SUM(AG1076:AR1076)</f>
        <v>0</v>
      </c>
      <c r="AW1076" s="83">
        <f t="shared" ref="AW1076:AW1080" si="1239">AG1076</f>
        <v>0</v>
      </c>
      <c r="AX1076" s="83">
        <f t="shared" ref="AX1076:AX1080" si="1240">AH1076</f>
        <v>0</v>
      </c>
      <c r="AY1076" s="83">
        <f t="shared" ref="AY1076:AY1080" si="1241">AI1076</f>
        <v>0</v>
      </c>
      <c r="AZ1076" s="83">
        <f t="shared" ref="AZ1076:AZ1080" si="1242">AJ1076</f>
        <v>0</v>
      </c>
      <c r="BA1076" s="52"/>
      <c r="BB1076" s="52"/>
      <c r="BC1076" s="52"/>
      <c r="BD1076" s="52"/>
      <c r="BE1076" s="52"/>
      <c r="BF1076" s="52"/>
      <c r="BG1076" s="52"/>
      <c r="BH1076" s="52"/>
      <c r="BI1076" s="68" cm="1">
        <f t="array" ref="BI1076">IFERROR(INDEX(AW1076:BH1076,1,MATCH(2,1/(AW1076:BH1076&lt;&gt;""))),"")</f>
        <v>0</v>
      </c>
      <c r="BJ1076" s="68" cm="1">
        <f t="array" ref="BJ1076">IF(BM1076 = "", "",IFERROR(INDEX(AW1076:BH1076,1,MATCH(2,1/(AW1076:BH1076&lt;&gt;""),1)-1),""))</f>
        <v>0</v>
      </c>
      <c r="BK1076" s="59">
        <f t="shared" ref="BK1076:BK1080" si="1243">SUM(AW1076:BH1076)</f>
        <v>0</v>
      </c>
      <c r="BL1076" s="59" cm="1">
        <f t="array" ref="BL1076">IFERROR(SUM(AW1076:INDEX(AW1076:BH1076, MATCH(2, 1/(AW1076:BH1076&lt;&gt;""), 1) - 1))/_xlfn.XLOOKUP(F1076,Apuração!A:A,Apuração!B:B),0)</f>
        <v>0</v>
      </c>
      <c r="BM1076" s="55" cm="1">
        <f t="array" ref="BM1076">IFERROR(
   INDEX($AW$1:$BH$1,
      _xlfn.AGGREGATE(14, 6, COLUMN($AW$1:$BH$1)/(AW1076:BH1076&lt;&gt;""), 2) - COLUMN($AW$1) + 1
   ),
"")</f>
        <v>46082</v>
      </c>
      <c r="BN1076" s="55" cm="1">
        <f t="array" ref="BN1076">IFERROR(INDEX($AW$1:$BH$1,1,MATCH(2,1/(AW1076:BH1076&lt;&gt;""))),"")</f>
        <v>46113</v>
      </c>
      <c r="BO1076" s="53">
        <f ca="1">IFERROR(_xlfn.XLOOKUP(F1076,Apuração!A:A,Apuração!C:C)/_xlfn.XLOOKUP(F1076,Apuração!A:A,Apuração!B:B),0)</f>
        <v>0</v>
      </c>
      <c r="BP1076" s="53">
        <f ca="1">IFERROR(_xlfn.XLOOKUP(F1076,Apuração!A:A,Apuração!D:D)/_xlfn.XLOOKUP(F1076,Apuração!A:A,Apuração!B:B),0)</f>
        <v>0</v>
      </c>
      <c r="BQ1076" s="53">
        <f ca="1">IF(BK1076&gt;=BO1076,0,_xlfn.XLOOKUP(F1076,Apuração!A:A,Apuração!B:B)*(BO1076 + (1/_xlfn.XLOOKUP(F1076,Apuração!A:A,Apuração!B:B)) - BK1076))</f>
        <v>0</v>
      </c>
      <c r="BR1076" s="85">
        <f t="shared" ref="BR1076:BR1080" ca="1" si="1244">IF(BQ1076=0,0,BQ1076*Z1076)</f>
        <v>0</v>
      </c>
      <c r="BS1076" s="53">
        <f ca="1">IFERROR((_xlfn.XLOOKUP(F1076,Apuração!A:A,Apuração!C:C)+1)/_xlfn.XLOOKUP(F1076,Apuração!A:A,Apuração!B:B),0)</f>
        <v>0.14285714285714285</v>
      </c>
    </row>
    <row r="1077" spans="1:71" ht="25.95" hidden="1" customHeight="1" x14ac:dyDescent="0.3">
      <c r="A1077" s="39" t="s">
        <v>33</v>
      </c>
      <c r="B1077" s="4" t="s">
        <v>34</v>
      </c>
      <c r="C1077" s="5" t="s">
        <v>209</v>
      </c>
      <c r="D1077" s="5" t="s">
        <v>47</v>
      </c>
      <c r="E1077" s="4" t="str" cm="1">
        <f t="array" ref="E1077">_xlfn.IFS(
F1077 = "A partir de Abril", "Aguardando Execução na Distribuidora",
A1077 = "CAPACITAÇÃO", "Em execução no Corporativo",
TRUE, "Em Execução na Distribuidora"
)</f>
        <v>Em Execução na Distribuidora</v>
      </c>
      <c r="F1077" s="4" t="str" cm="1">
        <f t="array" ref="F1077">_xlfn.IFS(
AG1077 &lt;&gt; "", "Jan-Dez/26",
AH1077 &lt;&gt; "", "Fev-Dez/26",
AI1077 &lt;&gt; "", "Mar-Dez/26", AJ1077 &lt;&gt; "", "Abr-Dez/26",
TRUE, "A partir de Junho"
)</f>
        <v>A partir de Junho</v>
      </c>
      <c r="G1077" s="6" t="s">
        <v>62</v>
      </c>
      <c r="H1077" s="7" t="s">
        <v>54</v>
      </c>
      <c r="I1077" s="9" t="s">
        <v>49</v>
      </c>
      <c r="J1077" s="8" t="str" cm="1">
        <f t="array" aca="1" ref="J1077" ca="1">_xlfn.LET(
  _xlpm.actual_value_month, INDEX(T1077:AE1077, MATCH(DATE(YEAR(TODAY()), MONTH(TODAY()), 1), $T$1:$AE$1, 0)),
  IF(_xlpm.actual_value_month &lt;&gt; "",_xlpm.actual_value_month &amp; " ações mensais", "")
)</f>
        <v/>
      </c>
      <c r="K1077" s="8" t="str" cm="1">
        <f t="array" ref="K1077">_xlfn.LET(
    _xlpm.sum_month, SUM(T1077:AE1077),
    IF(_xlpm.sum_month = 0, "", _xlpm.sum_month &amp; " soluções implementadas no ano")
)</f>
        <v/>
      </c>
      <c r="L1077" s="9" t="s">
        <v>50</v>
      </c>
      <c r="M1077" s="9"/>
      <c r="N1077" s="5" t="s">
        <v>51</v>
      </c>
      <c r="O1077" s="5" t="s">
        <v>52</v>
      </c>
      <c r="P1077" s="10" t="s">
        <v>44</v>
      </c>
      <c r="Q1077" s="10" t="s">
        <v>44</v>
      </c>
      <c r="R1077" s="10" t="s">
        <v>44</v>
      </c>
      <c r="S1077" s="10" t="s">
        <v>44</v>
      </c>
      <c r="T1077" s="22"/>
      <c r="U1077" s="22"/>
      <c r="V1077" s="22"/>
      <c r="W1077" s="22"/>
      <c r="X1077" s="22"/>
      <c r="Y1077" s="22"/>
      <c r="Z1077" s="22"/>
      <c r="AA1077" s="22"/>
      <c r="AB1077" s="22"/>
      <c r="AC1077" s="22"/>
      <c r="AD1077" s="22"/>
      <c r="AE1077" s="22"/>
      <c r="AG1077" s="71"/>
      <c r="AH1077" s="71"/>
      <c r="AI1077" s="71"/>
      <c r="AJ1077" s="71"/>
      <c r="AK1077" s="71"/>
      <c r="AL1077" s="71"/>
      <c r="AM1077" s="71"/>
      <c r="AN1077" s="71"/>
      <c r="AO1077" s="71"/>
      <c r="AP1077" s="71"/>
      <c r="AQ1077" s="71"/>
      <c r="AR1077" s="71"/>
      <c r="AS1077" s="94">
        <f t="shared" ca="1" si="1236"/>
        <v>0</v>
      </c>
      <c r="AT1077" s="95">
        <f t="shared" si="1237"/>
        <v>0</v>
      </c>
      <c r="AU1077" s="97">
        <f t="shared" si="1238"/>
        <v>0</v>
      </c>
      <c r="AW1077" s="83">
        <f t="shared" si="1239"/>
        <v>0</v>
      </c>
      <c r="AX1077" s="83">
        <f t="shared" si="1240"/>
        <v>0</v>
      </c>
      <c r="AY1077" s="83">
        <f t="shared" si="1241"/>
        <v>0</v>
      </c>
      <c r="AZ1077" s="83">
        <f t="shared" si="1242"/>
        <v>0</v>
      </c>
      <c r="BA1077" s="52"/>
      <c r="BB1077" s="52"/>
      <c r="BC1077" s="52"/>
      <c r="BD1077" s="52"/>
      <c r="BE1077" s="52"/>
      <c r="BF1077" s="52"/>
      <c r="BG1077" s="52"/>
      <c r="BH1077" s="52"/>
      <c r="BI1077" s="68" cm="1">
        <f t="array" ref="BI1077">IFERROR(INDEX(AW1077:BH1077,1,MATCH(2,1/(AW1077:BH1077&lt;&gt;""))),"")</f>
        <v>0</v>
      </c>
      <c r="BJ1077" s="68" cm="1">
        <f t="array" ref="BJ1077">IF(BM1077 = "", "",IFERROR(INDEX(AW1077:BH1077,1,MATCH(2,1/(AW1077:BH1077&lt;&gt;""),1)-1),""))</f>
        <v>0</v>
      </c>
      <c r="BK1077" s="59">
        <f t="shared" si="1243"/>
        <v>0</v>
      </c>
      <c r="BL1077" s="59" cm="1">
        <f t="array" ref="BL1077">IFERROR(SUM(AW1077:INDEX(AW1077:BH1077, MATCH(2, 1/(AW1077:BH1077&lt;&gt;""), 1) - 1))/_xlfn.XLOOKUP(F1077,Apuração!A:A,Apuração!B:B),0)</f>
        <v>0</v>
      </c>
      <c r="BM1077" s="55" cm="1">
        <f t="array" ref="BM1077">IFERROR(
   INDEX($AW$1:$BH$1,
      _xlfn.AGGREGATE(14, 6, COLUMN($AW$1:$BH$1)/(AW1077:BH1077&lt;&gt;""), 2) - COLUMN($AW$1) + 1
   ),
"")</f>
        <v>46082</v>
      </c>
      <c r="BN1077" s="55" cm="1">
        <f t="array" ref="BN1077">IFERROR(INDEX($AW$1:$BH$1,1,MATCH(2,1/(AW1077:BH1077&lt;&gt;""))),"")</f>
        <v>46113</v>
      </c>
      <c r="BO1077" s="53">
        <f ca="1">IFERROR(_xlfn.XLOOKUP(F1077,Apuração!A:A,Apuração!C:C)/_xlfn.XLOOKUP(F1077,Apuração!A:A,Apuração!B:B),0)</f>
        <v>0</v>
      </c>
      <c r="BP1077" s="53">
        <f ca="1">IFERROR(_xlfn.XLOOKUP(F1077,Apuração!A:A,Apuração!D:D)/_xlfn.XLOOKUP(F1077,Apuração!A:A,Apuração!B:B),0)</f>
        <v>0</v>
      </c>
      <c r="BQ1077" s="53">
        <f ca="1">IF(BK1077&gt;=BO1077,0,_xlfn.XLOOKUP(F1077,Apuração!A:A,Apuração!B:B)*(BO1077 + (1/_xlfn.XLOOKUP(F1077,Apuração!A:A,Apuração!B:B)) - BK1077))</f>
        <v>0</v>
      </c>
      <c r="BR1077" s="85">
        <f t="shared" ca="1" si="1244"/>
        <v>0</v>
      </c>
      <c r="BS1077" s="53">
        <f ca="1">IFERROR((_xlfn.XLOOKUP(F1077,Apuração!A:A,Apuração!C:C)+1)/_xlfn.XLOOKUP(F1077,Apuração!A:A,Apuração!B:B),0)</f>
        <v>0.14285714285714285</v>
      </c>
    </row>
    <row r="1078" spans="1:71" ht="25.95" hidden="1" customHeight="1" x14ac:dyDescent="0.3">
      <c r="A1078" s="39" t="s">
        <v>33</v>
      </c>
      <c r="B1078" s="4" t="s">
        <v>34</v>
      </c>
      <c r="C1078" s="5" t="s">
        <v>209</v>
      </c>
      <c r="D1078" s="5" t="s">
        <v>211</v>
      </c>
      <c r="E1078" s="4" t="str" cm="1">
        <f t="array" ref="E1078">_xlfn.IFS(
F1078 = "A partir de Abril", "Aguardando Execução na Distribuidora",
A1078 = "CAPACITAÇÃO", "Em execução no Corporativo",
TRUE, "Em Execução na Distribuidora"
)</f>
        <v>Em Execução na Distribuidora</v>
      </c>
      <c r="F1078" s="4" t="str" cm="1">
        <f t="array" ref="F1078">_xlfn.IFS(
AG1078 &lt;&gt; "", "Jan-Dez/26",
AH1078 &lt;&gt; "", "Fev-Dez/26",
AI1078 &lt;&gt; "", "Mar-Dez/26", AJ1078 &lt;&gt; "", "Abr-Dez/26",
TRUE, "A partir de Junho"
)</f>
        <v>A partir de Junho</v>
      </c>
      <c r="G1078" s="6" t="s">
        <v>62</v>
      </c>
      <c r="H1078" s="7" t="s">
        <v>54</v>
      </c>
      <c r="I1078" s="9" t="s">
        <v>49</v>
      </c>
      <c r="J1078" s="8" t="str" cm="1">
        <f t="array" aca="1" ref="J1078" ca="1">_xlfn.LET(
  _xlpm.actual_value_month, INDEX(T1078:AE1078, MATCH(DATE(YEAR(TODAY()), MONTH(TODAY()), 1), $T$1:$AE$1, 0)),
  IF(_xlpm.actual_value_month &lt;&gt; "",_xlpm.actual_value_month &amp; " ações mensais", "")
)</f>
        <v/>
      </c>
      <c r="K1078" s="8" t="str" cm="1">
        <f t="array" ref="K1078">_xlfn.LET(
    _xlpm.sum_month, SUM(T1078:AE1078),
    IF(_xlpm.sum_month = 0, "", _xlpm.sum_month &amp; " soluções implementadas no ano")
)</f>
        <v/>
      </c>
      <c r="L1078" s="9" t="s">
        <v>50</v>
      </c>
      <c r="M1078" s="9"/>
      <c r="N1078" s="5" t="s">
        <v>51</v>
      </c>
      <c r="O1078" s="5" t="s">
        <v>52</v>
      </c>
      <c r="P1078" s="10" t="s">
        <v>44</v>
      </c>
      <c r="Q1078" s="10" t="s">
        <v>44</v>
      </c>
      <c r="R1078" s="10" t="s">
        <v>44</v>
      </c>
      <c r="S1078" s="10" t="s">
        <v>44</v>
      </c>
      <c r="T1078" s="22"/>
      <c r="U1078" s="22"/>
      <c r="V1078" s="22"/>
      <c r="W1078" s="22"/>
      <c r="X1078" s="22"/>
      <c r="Y1078" s="22"/>
      <c r="Z1078" s="22"/>
      <c r="AA1078" s="22"/>
      <c r="AB1078" s="22"/>
      <c r="AC1078" s="22"/>
      <c r="AD1078" s="22"/>
      <c r="AE1078" s="22"/>
      <c r="AG1078" s="71"/>
      <c r="AH1078" s="71"/>
      <c r="AI1078" s="71"/>
      <c r="AJ1078" s="71"/>
      <c r="AK1078" s="71"/>
      <c r="AL1078" s="71"/>
      <c r="AM1078" s="71"/>
      <c r="AN1078" s="71"/>
      <c r="AO1078" s="71"/>
      <c r="AP1078" s="71"/>
      <c r="AQ1078" s="71"/>
      <c r="AR1078" s="71"/>
      <c r="AS1078" s="94">
        <f t="shared" ca="1" si="1236"/>
        <v>0</v>
      </c>
      <c r="AT1078" s="95">
        <f t="shared" si="1237"/>
        <v>0</v>
      </c>
      <c r="AU1078" s="97">
        <f t="shared" si="1238"/>
        <v>0</v>
      </c>
      <c r="AW1078" s="83">
        <f t="shared" si="1239"/>
        <v>0</v>
      </c>
      <c r="AX1078" s="83">
        <f t="shared" si="1240"/>
        <v>0</v>
      </c>
      <c r="AY1078" s="83">
        <f t="shared" si="1241"/>
        <v>0</v>
      </c>
      <c r="AZ1078" s="83">
        <f t="shared" si="1242"/>
        <v>0</v>
      </c>
      <c r="BA1078" s="52"/>
      <c r="BB1078" s="52"/>
      <c r="BC1078" s="52"/>
      <c r="BD1078" s="52"/>
      <c r="BE1078" s="52"/>
      <c r="BF1078" s="52"/>
      <c r="BG1078" s="52"/>
      <c r="BH1078" s="52"/>
      <c r="BI1078" s="68" cm="1">
        <f t="array" ref="BI1078">IFERROR(INDEX(AW1078:BH1078,1,MATCH(2,1/(AW1078:BH1078&lt;&gt;""))),"")</f>
        <v>0</v>
      </c>
      <c r="BJ1078" s="68" cm="1">
        <f t="array" ref="BJ1078">IF(BM1078 = "", "",IFERROR(INDEX(AW1078:BH1078,1,MATCH(2,1/(AW1078:BH1078&lt;&gt;""),1)-1),""))</f>
        <v>0</v>
      </c>
      <c r="BK1078" s="59">
        <f t="shared" si="1243"/>
        <v>0</v>
      </c>
      <c r="BL1078" s="59" cm="1">
        <f t="array" ref="BL1078">IFERROR(SUM(AW1078:INDEX(AW1078:BH1078, MATCH(2, 1/(AW1078:BH1078&lt;&gt;""), 1) - 1))/_xlfn.XLOOKUP(F1078,Apuração!A:A,Apuração!B:B),0)</f>
        <v>0</v>
      </c>
      <c r="BM1078" s="55" cm="1">
        <f t="array" ref="BM1078">IFERROR(
   INDEX($AW$1:$BH$1,
      _xlfn.AGGREGATE(14, 6, COLUMN($AW$1:$BH$1)/(AW1078:BH1078&lt;&gt;""), 2) - COLUMN($AW$1) + 1
   ),
"")</f>
        <v>46082</v>
      </c>
      <c r="BN1078" s="55" cm="1">
        <f t="array" ref="BN1078">IFERROR(INDEX($AW$1:$BH$1,1,MATCH(2,1/(AW1078:BH1078&lt;&gt;""))),"")</f>
        <v>46113</v>
      </c>
      <c r="BO1078" s="53">
        <f ca="1">IFERROR(_xlfn.XLOOKUP(F1078,Apuração!A:A,Apuração!C:C)/_xlfn.XLOOKUP(F1078,Apuração!A:A,Apuração!B:B),0)</f>
        <v>0</v>
      </c>
      <c r="BP1078" s="53">
        <f ca="1">IFERROR(_xlfn.XLOOKUP(F1078,Apuração!A:A,Apuração!D:D)/_xlfn.XLOOKUP(F1078,Apuração!A:A,Apuração!B:B),0)</f>
        <v>0</v>
      </c>
      <c r="BQ1078" s="53">
        <f ca="1">IF(BK1078&gt;=BO1078,0,_xlfn.XLOOKUP(F1078,Apuração!A:A,Apuração!B:B)*(BO1078 + (1/_xlfn.XLOOKUP(F1078,Apuração!A:A,Apuração!B:B)) - BK1078))</f>
        <v>0</v>
      </c>
      <c r="BR1078" s="85">
        <f t="shared" ca="1" si="1244"/>
        <v>0</v>
      </c>
      <c r="BS1078" s="53">
        <f ca="1">IFERROR((_xlfn.XLOOKUP(F1078,Apuração!A:A,Apuração!C:C)+1)/_xlfn.XLOOKUP(F1078,Apuração!A:A,Apuração!B:B),0)</f>
        <v>0.14285714285714285</v>
      </c>
    </row>
    <row r="1079" spans="1:71" ht="25.95" hidden="1" customHeight="1" x14ac:dyDescent="0.3">
      <c r="A1079" s="39" t="s">
        <v>33</v>
      </c>
      <c r="B1079" s="4" t="s">
        <v>34</v>
      </c>
      <c r="C1079" s="5" t="s">
        <v>209</v>
      </c>
      <c r="D1079" s="5" t="s">
        <v>212</v>
      </c>
      <c r="E1079" s="4" t="str" cm="1">
        <f t="array" ref="E1079">_xlfn.IFS(
F1079 = "A partir de Abril", "Aguardando Execução na Distribuidora",
A1079 = "CAPACITAÇÃO", "Em execução no Corporativo",
TRUE, "Em Execução na Distribuidora"
)</f>
        <v>Em Execução na Distribuidora</v>
      </c>
      <c r="F1079" s="4" t="str" cm="1">
        <f t="array" ref="F1079">_xlfn.IFS(
AG1079 &lt;&gt; "", "Jan-Dez/26",
AH1079 &lt;&gt; "", "Fev-Dez/26",
AI1079 &lt;&gt; "", "Mar-Dez/26", AJ1079 &lt;&gt; "", "Abr-Dez/26",
TRUE, "A partir de Junho"
)</f>
        <v>A partir de Junho</v>
      </c>
      <c r="G1079" s="6" t="s">
        <v>62</v>
      </c>
      <c r="H1079" s="7" t="s">
        <v>54</v>
      </c>
      <c r="I1079" s="9" t="s">
        <v>49</v>
      </c>
      <c r="J1079" s="8" t="str" cm="1">
        <f t="array" aca="1" ref="J1079" ca="1">_xlfn.LET(
  _xlpm.actual_value_month, INDEX(T1079:AE1079, MATCH(DATE(YEAR(TODAY()), MONTH(TODAY()), 1), $T$1:$AE$1, 0)),
  IF(_xlpm.actual_value_month &lt;&gt; "",_xlpm.actual_value_month &amp; " ações mensais", "")
)</f>
        <v/>
      </c>
      <c r="K1079" s="8" t="str" cm="1">
        <f t="array" ref="K1079">_xlfn.LET(
    _xlpm.sum_month, SUM(T1079:AE1079),
    IF(_xlpm.sum_month = 0, "", _xlpm.sum_month &amp; " soluções implementadas no ano")
)</f>
        <v/>
      </c>
      <c r="L1079" s="9" t="s">
        <v>50</v>
      </c>
      <c r="M1079" s="9"/>
      <c r="N1079" s="5" t="s">
        <v>51</v>
      </c>
      <c r="O1079" s="5" t="s">
        <v>52</v>
      </c>
      <c r="P1079" s="10" t="s">
        <v>44</v>
      </c>
      <c r="Q1079" s="10" t="s">
        <v>44</v>
      </c>
      <c r="R1079" s="10" t="s">
        <v>44</v>
      </c>
      <c r="S1079" s="10" t="s">
        <v>44</v>
      </c>
      <c r="T1079" s="22"/>
      <c r="U1079" s="22"/>
      <c r="V1079" s="22"/>
      <c r="W1079" s="22"/>
      <c r="X1079" s="22"/>
      <c r="Y1079" s="22"/>
      <c r="Z1079" s="22"/>
      <c r="AA1079" s="22"/>
      <c r="AB1079" s="22"/>
      <c r="AC1079" s="22"/>
      <c r="AD1079" s="22"/>
      <c r="AE1079" s="22"/>
      <c r="AG1079" s="71"/>
      <c r="AH1079" s="71"/>
      <c r="AI1079" s="71"/>
      <c r="AJ1079" s="71"/>
      <c r="AK1079" s="71"/>
      <c r="AL1079" s="71"/>
      <c r="AM1079" s="71"/>
      <c r="AN1079" s="71"/>
      <c r="AO1079" s="71"/>
      <c r="AP1079" s="71"/>
      <c r="AQ1079" s="71"/>
      <c r="AR1079" s="71"/>
      <c r="AS1079" s="94">
        <f t="shared" ca="1" si="1236"/>
        <v>0</v>
      </c>
      <c r="AT1079" s="95">
        <f t="shared" si="1237"/>
        <v>0</v>
      </c>
      <c r="AU1079" s="97">
        <f t="shared" si="1238"/>
        <v>0</v>
      </c>
      <c r="AW1079" s="83">
        <f t="shared" si="1239"/>
        <v>0</v>
      </c>
      <c r="AX1079" s="83">
        <f t="shared" si="1240"/>
        <v>0</v>
      </c>
      <c r="AY1079" s="83">
        <f t="shared" si="1241"/>
        <v>0</v>
      </c>
      <c r="AZ1079" s="83">
        <f t="shared" si="1242"/>
        <v>0</v>
      </c>
      <c r="BA1079" s="52"/>
      <c r="BB1079" s="52"/>
      <c r="BC1079" s="52"/>
      <c r="BD1079" s="52"/>
      <c r="BE1079" s="52"/>
      <c r="BF1079" s="52"/>
      <c r="BG1079" s="52"/>
      <c r="BH1079" s="52"/>
      <c r="BI1079" s="68" cm="1">
        <f t="array" ref="BI1079">IFERROR(INDEX(AW1079:BH1079,1,MATCH(2,1/(AW1079:BH1079&lt;&gt;""))),"")</f>
        <v>0</v>
      </c>
      <c r="BJ1079" s="68" cm="1">
        <f t="array" ref="BJ1079">IF(BM1079 = "", "",IFERROR(INDEX(AW1079:BH1079,1,MATCH(2,1/(AW1079:BH1079&lt;&gt;""),1)-1),""))</f>
        <v>0</v>
      </c>
      <c r="BK1079" s="59">
        <f t="shared" si="1243"/>
        <v>0</v>
      </c>
      <c r="BL1079" s="59" cm="1">
        <f t="array" ref="BL1079">IFERROR(SUM(AW1079:INDEX(AW1079:BH1079, MATCH(2, 1/(AW1079:BH1079&lt;&gt;""), 1) - 1))/_xlfn.XLOOKUP(F1079,Apuração!A:A,Apuração!B:B),0)</f>
        <v>0</v>
      </c>
      <c r="BM1079" s="55" cm="1">
        <f t="array" ref="BM1079">IFERROR(
   INDEX($AW$1:$BH$1,
      _xlfn.AGGREGATE(14, 6, COLUMN($AW$1:$BH$1)/(AW1079:BH1079&lt;&gt;""), 2) - COLUMN($AW$1) + 1
   ),
"")</f>
        <v>46082</v>
      </c>
      <c r="BN1079" s="55" cm="1">
        <f t="array" ref="BN1079">IFERROR(INDEX($AW$1:$BH$1,1,MATCH(2,1/(AW1079:BH1079&lt;&gt;""))),"")</f>
        <v>46113</v>
      </c>
      <c r="BO1079" s="53">
        <f ca="1">IFERROR(_xlfn.XLOOKUP(F1079,Apuração!A:A,Apuração!C:C)/_xlfn.XLOOKUP(F1079,Apuração!A:A,Apuração!B:B),0)</f>
        <v>0</v>
      </c>
      <c r="BP1079" s="53">
        <f ca="1">IFERROR(_xlfn.XLOOKUP(F1079,Apuração!A:A,Apuração!D:D)/_xlfn.XLOOKUP(F1079,Apuração!A:A,Apuração!B:B),0)</f>
        <v>0</v>
      </c>
      <c r="BQ1079" s="53">
        <f ca="1">IF(BK1079&gt;=BO1079,0,_xlfn.XLOOKUP(F1079,Apuração!A:A,Apuração!B:B)*(BO1079 + (1/_xlfn.XLOOKUP(F1079,Apuração!A:A,Apuração!B:B)) - BK1079))</f>
        <v>0</v>
      </c>
      <c r="BR1079" s="85">
        <f t="shared" ca="1" si="1244"/>
        <v>0</v>
      </c>
      <c r="BS1079" s="53">
        <f ca="1">IFERROR((_xlfn.XLOOKUP(F1079,Apuração!A:A,Apuração!C:C)+1)/_xlfn.XLOOKUP(F1079,Apuração!A:A,Apuração!B:B),0)</f>
        <v>0.14285714285714285</v>
      </c>
    </row>
    <row r="1080" spans="1:71" ht="25.95" hidden="1" customHeight="1" x14ac:dyDescent="0.3">
      <c r="A1080" s="39" t="s">
        <v>33</v>
      </c>
      <c r="B1080" s="4" t="s">
        <v>34</v>
      </c>
      <c r="C1080" s="5" t="s">
        <v>209</v>
      </c>
      <c r="D1080" s="5" t="s">
        <v>213</v>
      </c>
      <c r="E1080" s="4" t="str" cm="1">
        <f t="array" ref="E1080">_xlfn.IFS(
F1080 = "A partir de Abril", "Aguardando Execução na Distribuidora",
A1080 = "CAPACITAÇÃO", "Em execução no Corporativo",
TRUE, "Em Execução na Distribuidora"
)</f>
        <v>Em Execução na Distribuidora</v>
      </c>
      <c r="F1080" s="4" t="str" cm="1">
        <f t="array" ref="F1080">_xlfn.IFS(
AG1080 &lt;&gt; "", "Jan-Dez/26",
AH1080 &lt;&gt; "", "Fev-Dez/26",
AI1080 &lt;&gt; "", "Mar-Dez/26", AJ1080 &lt;&gt; "", "Abr-Dez/26",
TRUE, "A partir de Junho"
)</f>
        <v>A partir de Junho</v>
      </c>
      <c r="G1080" s="6" t="s">
        <v>62</v>
      </c>
      <c r="H1080" s="7" t="s">
        <v>54</v>
      </c>
      <c r="I1080" s="9" t="s">
        <v>49</v>
      </c>
      <c r="J1080" s="8" t="str" cm="1">
        <f t="array" aca="1" ref="J1080" ca="1">_xlfn.LET(
  _xlpm.actual_value_month, INDEX(T1080:AE1080, MATCH(DATE(YEAR(TODAY()), MONTH(TODAY()), 1), $T$1:$AE$1, 0)),
  IF(_xlpm.actual_value_month &lt;&gt; "",_xlpm.actual_value_month &amp; " ações mensais", "")
)</f>
        <v/>
      </c>
      <c r="K1080" s="8" t="str" cm="1">
        <f t="array" ref="K1080">_xlfn.LET(
    _xlpm.sum_month, SUM(T1080:AE1080),
    IF(_xlpm.sum_month = 0, "", _xlpm.sum_month &amp; " soluções implementadas no ano")
)</f>
        <v/>
      </c>
      <c r="L1080" s="9" t="s">
        <v>50</v>
      </c>
      <c r="M1080" s="9"/>
      <c r="N1080" s="5" t="s">
        <v>51</v>
      </c>
      <c r="O1080" s="5" t="s">
        <v>52</v>
      </c>
      <c r="P1080" s="10" t="s">
        <v>44</v>
      </c>
      <c r="Q1080" s="10" t="s">
        <v>44</v>
      </c>
      <c r="R1080" s="10" t="s">
        <v>44</v>
      </c>
      <c r="S1080" s="10" t="s">
        <v>44</v>
      </c>
      <c r="T1080" s="22"/>
      <c r="U1080" s="22"/>
      <c r="V1080" s="22"/>
      <c r="W1080" s="22"/>
      <c r="X1080" s="22"/>
      <c r="Y1080" s="22"/>
      <c r="Z1080" s="22"/>
      <c r="AA1080" s="22"/>
      <c r="AB1080" s="22"/>
      <c r="AC1080" s="22"/>
      <c r="AD1080" s="22"/>
      <c r="AE1080" s="22"/>
      <c r="AG1080" s="71"/>
      <c r="AH1080" s="71"/>
      <c r="AI1080" s="71"/>
      <c r="AJ1080" s="71"/>
      <c r="AK1080" s="71"/>
      <c r="AL1080" s="71"/>
      <c r="AM1080" s="71"/>
      <c r="AN1080" s="71"/>
      <c r="AO1080" s="71"/>
      <c r="AP1080" s="71"/>
      <c r="AQ1080" s="71"/>
      <c r="AR1080" s="71"/>
      <c r="AS1080" s="94">
        <f t="shared" ca="1" si="1236"/>
        <v>0</v>
      </c>
      <c r="AT1080" s="95">
        <f t="shared" si="1237"/>
        <v>0</v>
      </c>
      <c r="AU1080" s="97">
        <f t="shared" si="1238"/>
        <v>0</v>
      </c>
      <c r="AW1080" s="83">
        <f t="shared" si="1239"/>
        <v>0</v>
      </c>
      <c r="AX1080" s="83">
        <f t="shared" si="1240"/>
        <v>0</v>
      </c>
      <c r="AY1080" s="83">
        <f t="shared" si="1241"/>
        <v>0</v>
      </c>
      <c r="AZ1080" s="83">
        <f t="shared" si="1242"/>
        <v>0</v>
      </c>
      <c r="BA1080" s="52"/>
      <c r="BB1080" s="52"/>
      <c r="BC1080" s="52"/>
      <c r="BD1080" s="52"/>
      <c r="BE1080" s="52"/>
      <c r="BF1080" s="52"/>
      <c r="BG1080" s="52"/>
      <c r="BH1080" s="52"/>
      <c r="BI1080" s="68" cm="1">
        <f t="array" ref="BI1080">IFERROR(INDEX(AW1080:BH1080,1,MATCH(2,1/(AW1080:BH1080&lt;&gt;""))),"")</f>
        <v>0</v>
      </c>
      <c r="BJ1080" s="68" cm="1">
        <f t="array" ref="BJ1080">IF(BM1080 = "", "",IFERROR(INDEX(AW1080:BH1080,1,MATCH(2,1/(AW1080:BH1080&lt;&gt;""),1)-1),""))</f>
        <v>0</v>
      </c>
      <c r="BK1080" s="59">
        <f t="shared" si="1243"/>
        <v>0</v>
      </c>
      <c r="BL1080" s="59" cm="1">
        <f t="array" ref="BL1080">IFERROR(SUM(AW1080:INDEX(AW1080:BH1080, MATCH(2, 1/(AW1080:BH1080&lt;&gt;""), 1) - 1))/_xlfn.XLOOKUP(F1080,Apuração!A:A,Apuração!B:B),0)</f>
        <v>0</v>
      </c>
      <c r="BM1080" s="55" cm="1">
        <f t="array" ref="BM1080">IFERROR(
   INDEX($AW$1:$BH$1,
      _xlfn.AGGREGATE(14, 6, COLUMN($AW$1:$BH$1)/(AW1080:BH1080&lt;&gt;""), 2) - COLUMN($AW$1) + 1
   ),
"")</f>
        <v>46082</v>
      </c>
      <c r="BN1080" s="55" cm="1">
        <f t="array" ref="BN1080">IFERROR(INDEX($AW$1:$BH$1,1,MATCH(2,1/(AW1080:BH1080&lt;&gt;""))),"")</f>
        <v>46113</v>
      </c>
      <c r="BO1080" s="53">
        <f ca="1">IFERROR(_xlfn.XLOOKUP(F1080,Apuração!A:A,Apuração!C:C)/_xlfn.XLOOKUP(F1080,Apuração!A:A,Apuração!B:B),0)</f>
        <v>0</v>
      </c>
      <c r="BP1080" s="53">
        <f ca="1">IFERROR(_xlfn.XLOOKUP(F1080,Apuração!A:A,Apuração!D:D)/_xlfn.XLOOKUP(F1080,Apuração!A:A,Apuração!B:B),0)</f>
        <v>0</v>
      </c>
      <c r="BQ1080" s="53">
        <f ca="1">IF(BK1080&gt;=BO1080,0,_xlfn.XLOOKUP(F1080,Apuração!A:A,Apuração!B:B)*(BO1080 + (1/_xlfn.XLOOKUP(F1080,Apuração!A:A,Apuração!B:B)) - BK1080))</f>
        <v>0</v>
      </c>
      <c r="BR1080" s="85">
        <f t="shared" ca="1" si="1244"/>
        <v>0</v>
      </c>
      <c r="BS1080" s="53">
        <f ca="1">IFERROR((_xlfn.XLOOKUP(F1080,Apuração!A:A,Apuração!C:C)+1)/_xlfn.XLOOKUP(F1080,Apuração!A:A,Apuração!B:B),0)</f>
        <v>0.14285714285714285</v>
      </c>
    </row>
    <row r="1081" spans="1:71" ht="25.95" hidden="1" customHeight="1" x14ac:dyDescent="0.3">
      <c r="A1081" s="3" t="s">
        <v>33</v>
      </c>
      <c r="B1081" s="4" t="s">
        <v>53</v>
      </c>
      <c r="C1081" s="5" t="s">
        <v>209</v>
      </c>
      <c r="D1081" s="5" t="s">
        <v>36</v>
      </c>
      <c r="E1081" s="4" t="str" cm="1">
        <f t="array" ref="E1081">_xlfn.IFS(
F1081 = "A partir de Abril", "Aguardando Execução na Distribuidora",
A1081 = "CAPACITAÇÃO", "Em execução no Corporativo",
TRUE, "Em Execução na Distribuidora"
)</f>
        <v>Em Execução na Distribuidora</v>
      </c>
      <c r="F1081" s="4" t="str" cm="1">
        <f t="array" ref="F1081">_xlfn.IFS(
AG1081 &lt;&gt; "", "Jan-Dez/26",
AH1081 &lt;&gt; "", "Fev-Dez/26",
AI1081 &lt;&gt; "", "Mar-Dez/26", AJ1081 &lt;&gt; "", "Abr-Dez/26",
TRUE, "A partir de Junho"
)</f>
        <v>Jan-Dez/26</v>
      </c>
      <c r="G1081" s="4" t="s">
        <v>37</v>
      </c>
      <c r="H1081" s="7" t="s">
        <v>54</v>
      </c>
      <c r="I1081" s="8" t="s">
        <v>55</v>
      </c>
      <c r="J1081" s="8" t="str" cm="1">
        <f t="array" aca="1" ref="J1081" ca="1">_xlfn.LET(
  _xlpm.actual_value_month, INDEX(T1081:AE1081, MATCH(DATE(YEAR(TODAY()), MONTH(TODAY()), 1), $T$1:$AE$1, 0)),
  IF(_xlpm.actual_value_month &lt;&gt; "",_xlpm.actual_value_month &amp; " eventos mensais", "")
)</f>
        <v>5 eventos mensais</v>
      </c>
      <c r="K1081" s="14" t="str" cm="1">
        <f t="array" ref="K1081">_xlfn.LET(
    _xlpm.sum_month, SUM(T1081:AE1081),
    IF(_xlpm.sum_month = 0, "", _xlpm.sum_month &amp; "  eventos no ano")
)</f>
        <v>84  eventos no ano</v>
      </c>
      <c r="L1081" s="9" t="s">
        <v>56</v>
      </c>
      <c r="M1081" s="13" t="s">
        <v>57</v>
      </c>
      <c r="N1081" s="5" t="s">
        <v>42</v>
      </c>
      <c r="O1081" s="5" t="s">
        <v>43</v>
      </c>
      <c r="P1081" s="10" t="s">
        <v>58</v>
      </c>
      <c r="Q1081" s="10" t="s">
        <v>44</v>
      </c>
      <c r="R1081" s="11" t="s">
        <v>45</v>
      </c>
      <c r="S1081" s="11" t="s">
        <v>46</v>
      </c>
      <c r="T1081" s="22">
        <v>7</v>
      </c>
      <c r="U1081" s="22">
        <v>12</v>
      </c>
      <c r="V1081" s="22">
        <v>20</v>
      </c>
      <c r="W1081" s="22">
        <v>5</v>
      </c>
      <c r="X1081" s="22">
        <v>5</v>
      </c>
      <c r="Y1081" s="22">
        <v>5</v>
      </c>
      <c r="Z1081" s="22">
        <v>5</v>
      </c>
      <c r="AA1081" s="22">
        <v>5</v>
      </c>
      <c r="AB1081" s="22">
        <v>5</v>
      </c>
      <c r="AC1081" s="22">
        <v>5</v>
      </c>
      <c r="AD1081" s="22">
        <v>5</v>
      </c>
      <c r="AE1081" s="22">
        <v>5</v>
      </c>
      <c r="AG1081" s="71">
        <v>7</v>
      </c>
      <c r="AH1081" s="71">
        <v>12</v>
      </c>
      <c r="AI1081" s="71">
        <v>20</v>
      </c>
      <c r="AJ1081" s="71">
        <v>18</v>
      </c>
      <c r="AK1081" s="71"/>
      <c r="AL1081" s="71"/>
      <c r="AM1081" s="71"/>
      <c r="AN1081" s="71"/>
      <c r="AO1081" s="71"/>
      <c r="AP1081" s="71"/>
      <c r="AQ1081" s="71"/>
      <c r="AR1081" s="71"/>
      <c r="AS1081" s="94">
        <f ca="1">IF(MONTH(TODAY())=3,SUM(T1081:U1081),IF(MONTH(TODAY())=4,SUM(T1081:V1081),IF(MONTH(TODAY())=5,SUM(T1081:W1081),IF(MONTH(TODAY())=6,SUM(T1081:X1081),IF(MONTH(TODAY())=7,SUM(T1081:Y1081),IF(MONTH(TODAY())=8,SUM(T1081:Z1081),IF(MONTH(TODAY())=9,SUM(T1081:AA1081),IF(MONTH(TODAY())=10,SUM(T1081:AB1081),IF(MONTH(TODAY())=11,SUM(T1081:AC1081),IF(MONTH(TODAY())=12,SUM(T1081:AD1081),IF(MONTH(TODAY())=1,SUM(T1081:AE1081),T1081)))))))))))</f>
        <v>49</v>
      </c>
      <c r="AT1081" s="95">
        <f>SUM(IF(AW1081&lt;1.15,AG1081,1.15*T1081),IF(AX1081&lt;1.15,AH1081,1.15*U1081),IF(AY1081&lt;1.15,AI1081,1.15*V1081),IF(AZ1081&lt;1.15,AJ1081,1.15*W1081),IF(BA1081&lt;1.15,AK1081,1.15*X1081),IF(BB1081&lt;1.15,AL1081,1.15*Y1081),IF(BC1081&lt;1.15,AM1081,1.15*Z1081),IF(BD1081&lt;1.15,AN1081,1.15*AA1081),IF(BE1081&lt;1.15,AO1081,1.15*AB1081),IF(BF1081&lt;1.15,AP1081,1.15*AC1081),IF(BG1081&lt;1.15,AQ1081,1.15*AD1081),IF(BH1081&lt;1.15,AR1081,1.15*AE1081))</f>
        <v>44.75</v>
      </c>
      <c r="AU1081" s="97">
        <f>SUM(AG1081:AR1081)</f>
        <v>57</v>
      </c>
      <c r="AW1081" s="51">
        <f>IFERROR(IF(AG1081="",0,AG1081/T1081),0)</f>
        <v>1</v>
      </c>
      <c r="AX1081" s="51">
        <f>IFERROR(IF(AH1081="",0,AH1081/U1081),0)</f>
        <v>1</v>
      </c>
      <c r="AY1081" s="51">
        <f>IFERROR(IF(AI1081="",0,AI1081/V1081),0)</f>
        <v>1</v>
      </c>
      <c r="AZ1081" s="51">
        <f>IFERROR(IF(AJ1081="",0,AJ1081/W1081),0)</f>
        <v>3.6</v>
      </c>
      <c r="BA1081" s="51"/>
      <c r="BB1081" s="51"/>
      <c r="BC1081" s="51"/>
      <c r="BD1081" s="51"/>
      <c r="BE1081" s="51"/>
      <c r="BF1081" s="51"/>
      <c r="BG1081" s="51"/>
      <c r="BH1081" s="51"/>
      <c r="BI1081" s="65" cm="1">
        <f t="array" ref="BI1081">IFERROR(INDEX(AW1081:BH1081,1,MATCH(2,1/(AW1081:BH1081&lt;&gt;""))),"")</f>
        <v>3.6</v>
      </c>
      <c r="BJ1081" s="68" cm="1">
        <f t="array" ref="BJ1081">IF(BM1081 = "", "",IFERROR(INDEX(AW1081:BH1081,1,MATCH(2,1/(AW1081:BH1081&lt;&gt;""),1)-1),""))</f>
        <v>1</v>
      </c>
      <c r="BK1081" s="58">
        <f>IF((IF(AW1081&gt;=115%,115%,AW1081) + IF(AX1081&gt;=115%,115%,AX1081) + IF(AY1081&gt;=115%,115%,AY1081) + (IF(AZ1081&gt;=115%,115%,AZ1081) + IF(BA1081&gt;=115%,115%,BA1081) + IF(BB1081&gt;=115%,115%,BB1081) + IF(BC1081&gt;=115%,115%,BC1081) + IF(BD1081&gt;=115%,115%,BD1081) + IF(BE1081&gt;=115%,115%,BE1081) + IF(BF1081&gt;=115%,115%,BF1081) + IF(BG1081&gt;=115%,115%,BG1081) + IF(BH1081&gt;=115%,115%,BH1081)))/_xlfn.XLOOKUP(F1081,Apuração!A:A,Apuração!B:B)&gt;=1.15,1.15,((IF(AZ1081&gt;=115%,115%,AZ1081) + IF(AX1081&gt;=115%,115%,AX1081) + IF(AY1081&gt;=115%,115%,AY1081) + (IF(AW1081&gt;=115%,115%,AW1081) + IF(BA1081&gt;=115%,115%,BA1081) + IF(BB1081&gt;=115%,115%,BB1081) + IF(BC1081&gt;=115%,115%,BC1081) + IF(BD1081&gt;=115%,115%,BD1081) + IF(BE1081&gt;=115%,115%,BE1081) + IF(BF1081&gt;=115%,115%,BF1081) + IF(BG1081&gt;=115%,115%,BG1081) + IF(BH1081&gt;=115%,115%,BH1081)))/_xlfn.XLOOKUP(F1081,Apuração!A:A,Apuração!B:B)))</f>
        <v>0.34583333333333338</v>
      </c>
      <c r="BL1081" s="58" cm="1">
        <f t="array" aca="1" ref="BL1081" ca="1">IF(SUM(IFERROR(IF(INDEX(AW1081:INDEX(AW1081:BH1081, MATCH(2, 1/(AW1081:BH1081&lt;&gt;""), 1)-1), ROW(INDIRECT("1:" &amp; MATCH(2, 1/(AW1081:BH1081&lt;&gt;""), 1)-1))) &gt;= 115%, 115%, INDEX(AW1081:INDEX(AW1081:BH1081, MATCH(2, 1/(AW1081:BH1081&lt;&gt;""), 1)-1), ROW(INDIRECT("1:" &amp; MATCH(2, 1/(AW1081:BH1081&lt;&gt;""), 1)-1)))), 0))/_xlfn.XLOOKUP(F1081,Apuração!A:A,Apuração!B:B)&gt;=1.15,1.15,SUM(IFERROR(IF(INDEX(AW1081:INDEX(AW1081:BH1081, MATCH(2, 1/(AW1081:BH1081&lt;&gt;""), 1)-1), ROW(INDIRECT("1:" &amp; MATCH(2, 1/(AW1081:BH1081&lt;&gt;""), 1)-1))) &gt;= 115%, 115%, INDEX(AW1081:INDEX(AW1081:BH1081, MATCH(2, 1/(AW1081:BH1081&lt;&gt;""), 1)-1), ROW(INDIRECT("1:" &amp; MATCH(2, 1/(AW1081:BH1081&lt;&gt;""), 1)-1)))), 0))/_xlfn.XLOOKUP(F1081,Apuração!A:A,Apuração!B:B))</f>
        <v>0.25</v>
      </c>
      <c r="BM1081" s="55" cm="1">
        <f t="array" ref="BM1081">IFERROR(
   INDEX($AW$1:$BH$1,
      _xlfn.AGGREGATE(14, 6, COLUMN($AW$1:$BH$1)/(AW1081:BH1081&lt;&gt;""), 2) - COLUMN($AW$1) + 1
   ),
"")</f>
        <v>46082</v>
      </c>
      <c r="BN1081" s="55" cm="1">
        <f t="array" ref="BN1081">IFERROR(INDEX($AW$1:$BH$1,1,MATCH(2,1/(AW1081:BH1081&lt;&gt;""))),"")</f>
        <v>46113</v>
      </c>
      <c r="BO1081" s="53">
        <f ca="1">IFERROR(_xlfn.XLOOKUP(F1081,Apuração!A:A,Apuração!C:C)/_xlfn.XLOOKUP(F1081,Apuração!A:A,Apuração!B:B),0)</f>
        <v>0.41666666666666669</v>
      </c>
      <c r="BP1081" s="53">
        <f ca="1">IFERROR(_xlfn.XLOOKUP(F1081,Apuração!A:A,Apuração!D:D)/_xlfn.XLOOKUP(F1081,Apuração!A:A,Apuração!B:B),0)</f>
        <v>0.33333333333333331</v>
      </c>
      <c r="BQ1081" s="53">
        <f ca="1">IF(BK1081&gt;=BO1081,0,_xlfn.XLOOKUP(F1081,Apuração!A:A,Apuração!B:B)*(BO1081 + (1/_xlfn.XLOOKUP(F1081,Apuração!A:A,Apuração!B:B)) - BK1081))</f>
        <v>1.8499999999999994</v>
      </c>
      <c r="BR1081" s="85">
        <f ca="1">IF(BQ1081=0,0,BQ1081*Z1081)</f>
        <v>9.2499999999999964</v>
      </c>
      <c r="BS1081" s="53">
        <f ca="1">IFERROR((_xlfn.XLOOKUP(F1081,Apuração!A:A,Apuração!C:C)+1)/_xlfn.XLOOKUP(F1081,Apuração!A:A,Apuração!B:B),0)</f>
        <v>0.5</v>
      </c>
    </row>
    <row r="1082" spans="1:71" ht="25.95" hidden="1" customHeight="1" x14ac:dyDescent="0.3">
      <c r="A1082" s="3" t="s">
        <v>33</v>
      </c>
      <c r="B1082" s="4" t="s">
        <v>53</v>
      </c>
      <c r="C1082" s="5" t="s">
        <v>209</v>
      </c>
      <c r="D1082" s="5" t="s">
        <v>210</v>
      </c>
      <c r="E1082" s="4" t="str" cm="1">
        <f t="array" ref="E1082">_xlfn.IFS(
F1082 = "A partir de Abril", "Aguardando Execução na Distribuidora",
A1082 = "CAPACITAÇÃO", "Em execução no Corporativo",
TRUE, "Em Execução na Distribuidora"
)</f>
        <v>Em Execução na Distribuidora</v>
      </c>
      <c r="F1082" s="4" t="str" cm="1">
        <f t="array" ref="F1082">_xlfn.IFS(
AG1082 &lt;&gt; "", "Jan-Dez/26",
AH1082 &lt;&gt; "", "Fev-Dez/26",
AI1082 &lt;&gt; "", "Mar-Dez/26", AJ1082 &lt;&gt; "", "Abr-Dez/26",
TRUE, "A partir de Junho"
)</f>
        <v>Jan-Dez/26</v>
      </c>
      <c r="G1082" s="4" t="s">
        <v>37</v>
      </c>
      <c r="H1082" s="7" t="s">
        <v>54</v>
      </c>
      <c r="I1082" s="8" t="s">
        <v>55</v>
      </c>
      <c r="J1082" s="8" t="str" cm="1">
        <f t="array" aca="1" ref="J1082" ca="1">_xlfn.LET(
  _xlpm.actual_value_month, INDEX(T1082:AE1082, MATCH(DATE(YEAR(TODAY()), MONTH(TODAY()), 1), $T$1:$AE$1, 0)),
  IF(_xlpm.actual_value_month &lt;&gt; "",_xlpm.actual_value_month &amp; " eventos mensais", "")
)</f>
        <v>1 eventos mensais</v>
      </c>
      <c r="K1082" s="14" t="str" cm="1">
        <f t="array" ref="K1082">_xlfn.LET(
    _xlpm.sum_month, SUM(T1082:AE1082),
    IF(_xlpm.sum_month = 0, "", _xlpm.sum_month &amp; "  eventos no ano")
)</f>
        <v>40  eventos no ano</v>
      </c>
      <c r="L1082" s="9" t="s">
        <v>56</v>
      </c>
      <c r="M1082" s="13" t="s">
        <v>57</v>
      </c>
      <c r="N1082" s="5" t="s">
        <v>42</v>
      </c>
      <c r="O1082" s="5" t="s">
        <v>43</v>
      </c>
      <c r="P1082" s="10" t="s">
        <v>58</v>
      </c>
      <c r="Q1082" s="10" t="s">
        <v>44</v>
      </c>
      <c r="R1082" s="11" t="s">
        <v>45</v>
      </c>
      <c r="S1082" s="11" t="s">
        <v>46</v>
      </c>
      <c r="T1082" s="143">
        <v>7</v>
      </c>
      <c r="U1082" s="143">
        <v>8</v>
      </c>
      <c r="V1082" s="143">
        <v>16</v>
      </c>
      <c r="W1082" s="143">
        <v>1</v>
      </c>
      <c r="X1082" s="143">
        <v>1</v>
      </c>
      <c r="Y1082" s="143">
        <v>1</v>
      </c>
      <c r="Z1082" s="143">
        <v>1</v>
      </c>
      <c r="AA1082" s="143">
        <v>1</v>
      </c>
      <c r="AB1082" s="143">
        <v>1</v>
      </c>
      <c r="AC1082" s="143">
        <v>1</v>
      </c>
      <c r="AD1082" s="143">
        <v>1</v>
      </c>
      <c r="AE1082" s="143">
        <v>1</v>
      </c>
      <c r="AG1082" s="145">
        <v>7</v>
      </c>
      <c r="AH1082" s="149">
        <v>8</v>
      </c>
      <c r="AI1082" s="149">
        <v>16</v>
      </c>
      <c r="AJ1082" s="145">
        <v>13</v>
      </c>
      <c r="AK1082" s="71"/>
      <c r="AL1082" s="71"/>
      <c r="AM1082" s="71"/>
      <c r="AN1082" s="71"/>
      <c r="AO1082" s="71"/>
      <c r="AP1082" s="71"/>
      <c r="AQ1082" s="71"/>
      <c r="AR1082" s="71"/>
      <c r="AS1082" s="94">
        <f t="shared" ref="AS1082:AS1086" ca="1" si="1245">IF(MONTH(TODAY())=3,SUM(T1082:U1082),IF(MONTH(TODAY())=4,SUM(T1082:V1082),IF(MONTH(TODAY())=5,SUM(T1082:W1082),IF(MONTH(TODAY())=6,SUM(T1082:X1082),IF(MONTH(TODAY())=7,SUM(T1082:Y1082),IF(MONTH(TODAY())=8,SUM(T1082:Z1082),IF(MONTH(TODAY())=9,SUM(T1082:AA1082),IF(MONTH(TODAY())=10,SUM(T1082:AB1082),IF(MONTH(TODAY())=11,SUM(T1082:AC1082),IF(MONTH(TODAY())=12,SUM(T1082:AD1082),IF(MONTH(TODAY())=1,SUM(T1082:AE1082),T1082)))))))))))</f>
        <v>33</v>
      </c>
      <c r="AT1082" s="95">
        <f t="shared" ref="AT1082:AT1086" si="1246">SUM(IF(AW1082&lt;1.15,AG1082,1.15*T1082),IF(AX1082&lt;1.15,AH1082,1.15*U1082),IF(AY1082&lt;1.15,AI1082,1.15*V1082),IF(AZ1082&lt;1.15,AJ1082,1.15*W1082),IF(BA1082&lt;1.15,AK1082,1.15*X1082),IF(BB1082&lt;1.15,AL1082,1.15*Y1082),IF(BC1082&lt;1.15,AM1082,1.15*Z1082),IF(BD1082&lt;1.15,AN1082,1.15*AA1082),IF(BE1082&lt;1.15,AO1082,1.15*AB1082),IF(BF1082&lt;1.15,AP1082,1.15*AC1082),IF(BG1082&lt;1.15,AQ1082,1.15*AD1082),IF(BH1082&lt;1.15,AR1082,1.15*AE1082))</f>
        <v>32.15</v>
      </c>
      <c r="AU1082" s="97">
        <f t="shared" ref="AU1082:AU1086" si="1247">SUM(AG1082:AR1082)</f>
        <v>44</v>
      </c>
      <c r="AW1082" s="51">
        <f t="shared" ref="AW1082:AW1086" si="1248">IFERROR(IF(AG1082="",0,AG1082/T1082),0)</f>
        <v>1</v>
      </c>
      <c r="AX1082" s="51">
        <f t="shared" ref="AX1082:AX1086" si="1249">IFERROR(IF(AH1082="",0,AH1082/U1082),0)</f>
        <v>1</v>
      </c>
      <c r="AY1082" s="51">
        <f t="shared" ref="AY1082:AY1086" si="1250">IFERROR(IF(AI1082="",0,AI1082/V1082),0)</f>
        <v>1</v>
      </c>
      <c r="AZ1082" s="51">
        <f t="shared" ref="AZ1082:AZ1086" si="1251">IFERROR(IF(AJ1082="",0,AJ1082/W1082),0)</f>
        <v>13</v>
      </c>
      <c r="BA1082" s="51"/>
      <c r="BB1082" s="51"/>
      <c r="BC1082" s="51"/>
      <c r="BD1082" s="51"/>
      <c r="BE1082" s="51"/>
      <c r="BF1082" s="51"/>
      <c r="BG1082" s="51"/>
      <c r="BH1082" s="51"/>
      <c r="BI1082" s="65" cm="1">
        <f t="array" ref="BI1082">IFERROR(INDEX(AW1082:BH1082,1,MATCH(2,1/(AW1082:BH1082&lt;&gt;""))),"")</f>
        <v>13</v>
      </c>
      <c r="BJ1082" s="68" cm="1">
        <f t="array" ref="BJ1082">IF(BM1082 = "", "",IFERROR(INDEX(AW1082:BH1082,1,MATCH(2,1/(AW1082:BH1082&lt;&gt;""),1)-1),""))</f>
        <v>1</v>
      </c>
      <c r="BK1082" s="58">
        <f>IF((IF(AW1082&gt;=115%,115%,AW1082) + IF(AX1082&gt;=115%,115%,AX1082) + IF(AY1082&gt;=115%,115%,AY1082) + (IF(AZ1082&gt;=115%,115%,AZ1082) + IF(BA1082&gt;=115%,115%,BA1082) + IF(BB1082&gt;=115%,115%,BB1082) + IF(BC1082&gt;=115%,115%,BC1082) + IF(BD1082&gt;=115%,115%,BD1082) + IF(BE1082&gt;=115%,115%,BE1082) + IF(BF1082&gt;=115%,115%,BF1082) + IF(BG1082&gt;=115%,115%,BG1082) + IF(BH1082&gt;=115%,115%,BH1082)))/_xlfn.XLOOKUP(F1082,Apuração!A:A,Apuração!B:B)&gt;=1.15,1.15,((IF(AZ1082&gt;=115%,115%,AZ1082) + IF(AX1082&gt;=115%,115%,AX1082) + IF(AY1082&gt;=115%,115%,AY1082) + (IF(AW1082&gt;=115%,115%,AW1082) + IF(BA1082&gt;=115%,115%,BA1082) + IF(BB1082&gt;=115%,115%,BB1082) + IF(BC1082&gt;=115%,115%,BC1082) + IF(BD1082&gt;=115%,115%,BD1082) + IF(BE1082&gt;=115%,115%,BE1082) + IF(BF1082&gt;=115%,115%,BF1082) + IF(BG1082&gt;=115%,115%,BG1082) + IF(BH1082&gt;=115%,115%,BH1082)))/_xlfn.XLOOKUP(F1082,Apuração!A:A,Apuração!B:B)))</f>
        <v>0.34583333333333338</v>
      </c>
      <c r="BL1082" s="58" cm="1">
        <f t="array" aca="1" ref="BL1082" ca="1">IF(SUM(IFERROR(IF(INDEX(AW1082:INDEX(AW1082:BH1082, MATCH(2, 1/(AW1082:BH1082&lt;&gt;""), 1)-1), ROW(INDIRECT("1:" &amp; MATCH(2, 1/(AW1082:BH1082&lt;&gt;""), 1)-1))) &gt;= 115%, 115%, INDEX(AW1082:INDEX(AW1082:BH1082, MATCH(2, 1/(AW1082:BH1082&lt;&gt;""), 1)-1), ROW(INDIRECT("1:" &amp; MATCH(2, 1/(AW1082:BH1082&lt;&gt;""), 1)-1)))), 0))/_xlfn.XLOOKUP(F1082,Apuração!A:A,Apuração!B:B)&gt;=1.15,1.15,SUM(IFERROR(IF(INDEX(AW1082:INDEX(AW1082:BH1082, MATCH(2, 1/(AW1082:BH1082&lt;&gt;""), 1)-1), ROW(INDIRECT("1:" &amp; MATCH(2, 1/(AW1082:BH1082&lt;&gt;""), 1)-1))) &gt;= 115%, 115%, INDEX(AW1082:INDEX(AW1082:BH1082, MATCH(2, 1/(AW1082:BH1082&lt;&gt;""), 1)-1), ROW(INDIRECT("1:" &amp; MATCH(2, 1/(AW1082:BH1082&lt;&gt;""), 1)-1)))), 0))/_xlfn.XLOOKUP(F1082,Apuração!A:A,Apuração!B:B))</f>
        <v>0.25</v>
      </c>
      <c r="BM1082" s="55" cm="1">
        <f t="array" ref="BM1082">IFERROR(
   INDEX($AW$1:$BH$1,
      _xlfn.AGGREGATE(14, 6, COLUMN($AW$1:$BH$1)/(AW1082:BH1082&lt;&gt;""), 2) - COLUMN($AW$1) + 1
   ),
"")</f>
        <v>46082</v>
      </c>
      <c r="BN1082" s="55" cm="1">
        <f t="array" ref="BN1082">IFERROR(INDEX($AW$1:$BH$1,1,MATCH(2,1/(AW1082:BH1082&lt;&gt;""))),"")</f>
        <v>46113</v>
      </c>
      <c r="BO1082" s="53">
        <f ca="1">IFERROR(_xlfn.XLOOKUP(F1082,Apuração!A:A,Apuração!C:C)/_xlfn.XLOOKUP(F1082,Apuração!A:A,Apuração!B:B),0)</f>
        <v>0.41666666666666669</v>
      </c>
      <c r="BP1082" s="53">
        <f ca="1">IFERROR(_xlfn.XLOOKUP(F1082,Apuração!A:A,Apuração!D:D)/_xlfn.XLOOKUP(F1082,Apuração!A:A,Apuração!B:B),0)</f>
        <v>0.33333333333333331</v>
      </c>
      <c r="BQ1082" s="53">
        <f ca="1">IF(BK1082&gt;=BO1082,0,_xlfn.XLOOKUP(F1082,Apuração!A:A,Apuração!B:B)*(BO1082 + (1/_xlfn.XLOOKUP(F1082,Apuração!A:A,Apuração!B:B)) - BK1082))</f>
        <v>1.8499999999999994</v>
      </c>
      <c r="BR1082" s="85">
        <f t="shared" ref="BR1082:BR1086" ca="1" si="1252">IF(BQ1082=0,0,BQ1082*Z1082)</f>
        <v>1.8499999999999994</v>
      </c>
      <c r="BS1082" s="53">
        <f ca="1">IFERROR((_xlfn.XLOOKUP(F1082,Apuração!A:A,Apuração!C:C)+1)/_xlfn.XLOOKUP(F1082,Apuração!A:A,Apuração!B:B),0)</f>
        <v>0.5</v>
      </c>
    </row>
    <row r="1083" spans="1:71" ht="25.95" hidden="1" customHeight="1" x14ac:dyDescent="0.3">
      <c r="A1083" s="3" t="s">
        <v>33</v>
      </c>
      <c r="B1083" s="4" t="s">
        <v>53</v>
      </c>
      <c r="C1083" s="5" t="s">
        <v>209</v>
      </c>
      <c r="D1083" s="5" t="s">
        <v>47</v>
      </c>
      <c r="E1083" s="4" t="str" cm="1">
        <f t="array" ref="E1083">_xlfn.IFS(
F1083 = "A partir de Abril", "Aguardando Execução na Distribuidora",
A1083 = "CAPACITAÇÃO", "Em execução no Corporativo",
TRUE, "Em Execução na Distribuidora"
)</f>
        <v>Em Execução na Distribuidora</v>
      </c>
      <c r="F1083" s="4" t="str" cm="1">
        <f t="array" ref="F1083">_xlfn.IFS(
AG1083 &lt;&gt; "", "Jan-Dez/26",
AH1083 &lt;&gt; "", "Fev-Dez/26",
AI1083 &lt;&gt; "", "Mar-Dez/26", AJ1083 &lt;&gt; "", "Abr-Dez/26",
TRUE, "A partir de Junho"
)</f>
        <v>Jan-Dez/26</v>
      </c>
      <c r="G1083" s="4" t="s">
        <v>37</v>
      </c>
      <c r="H1083" s="7" t="s">
        <v>54</v>
      </c>
      <c r="I1083" s="8" t="s">
        <v>55</v>
      </c>
      <c r="J1083" s="8" t="str" cm="1">
        <f t="array" aca="1" ref="J1083" ca="1">_xlfn.LET(
  _xlpm.actual_value_month, INDEX(T1083:AE1083, MATCH(DATE(YEAR(TODAY()), MONTH(TODAY()), 1), $T$1:$AE$1, 0)),
  IF(_xlpm.actual_value_month &lt;&gt; "",_xlpm.actual_value_month &amp; " eventos mensais", "")
)</f>
        <v>1 eventos mensais</v>
      </c>
      <c r="K1083" s="14" t="str" cm="1">
        <f t="array" ref="K1083">_xlfn.LET(
    _xlpm.sum_month, SUM(T1083:AE1083),
    IF(_xlpm.sum_month = 0, "", _xlpm.sum_month &amp; "  eventos no ano")
)</f>
        <v>9  eventos no ano</v>
      </c>
      <c r="L1083" s="9" t="s">
        <v>56</v>
      </c>
      <c r="M1083" s="13" t="s">
        <v>57</v>
      </c>
      <c r="N1083" s="5" t="s">
        <v>42</v>
      </c>
      <c r="O1083" s="5" t="s">
        <v>43</v>
      </c>
      <c r="P1083" s="10" t="s">
        <v>58</v>
      </c>
      <c r="Q1083" s="10" t="s">
        <v>44</v>
      </c>
      <c r="R1083" s="11" t="s">
        <v>45</v>
      </c>
      <c r="S1083" s="11" t="s">
        <v>46</v>
      </c>
      <c r="T1083" s="143">
        <v>0</v>
      </c>
      <c r="U1083" s="143">
        <v>0</v>
      </c>
      <c r="V1083" s="143">
        <v>0</v>
      </c>
      <c r="W1083" s="143">
        <v>1</v>
      </c>
      <c r="X1083" s="143">
        <v>1</v>
      </c>
      <c r="Y1083" s="143">
        <v>1</v>
      </c>
      <c r="Z1083" s="143">
        <v>1</v>
      </c>
      <c r="AA1083" s="143">
        <v>1</v>
      </c>
      <c r="AB1083" s="143">
        <v>1</v>
      </c>
      <c r="AC1083" s="143">
        <v>1</v>
      </c>
      <c r="AD1083" s="143">
        <v>1</v>
      </c>
      <c r="AE1083" s="143">
        <v>1</v>
      </c>
      <c r="AG1083" s="146">
        <v>0</v>
      </c>
      <c r="AH1083" s="150">
        <v>0</v>
      </c>
      <c r="AI1083" s="150">
        <v>0</v>
      </c>
      <c r="AJ1083" s="146">
        <v>3</v>
      </c>
      <c r="AK1083" s="71"/>
      <c r="AL1083" s="71"/>
      <c r="AM1083" s="71"/>
      <c r="AN1083" s="71"/>
      <c r="AO1083" s="71"/>
      <c r="AP1083" s="71"/>
      <c r="AQ1083" s="71"/>
      <c r="AR1083" s="71"/>
      <c r="AS1083" s="94">
        <f t="shared" ca="1" si="1245"/>
        <v>2</v>
      </c>
      <c r="AT1083" s="95">
        <f t="shared" si="1246"/>
        <v>1.1499999999999999</v>
      </c>
      <c r="AU1083" s="97">
        <f t="shared" si="1247"/>
        <v>3</v>
      </c>
      <c r="AW1083" s="51">
        <f t="shared" si="1248"/>
        <v>0</v>
      </c>
      <c r="AX1083" s="51">
        <f t="shared" si="1249"/>
        <v>0</v>
      </c>
      <c r="AY1083" s="51">
        <f t="shared" si="1250"/>
        <v>0</v>
      </c>
      <c r="AZ1083" s="51">
        <f t="shared" si="1251"/>
        <v>3</v>
      </c>
      <c r="BA1083" s="51"/>
      <c r="BB1083" s="51"/>
      <c r="BC1083" s="51"/>
      <c r="BD1083" s="51"/>
      <c r="BE1083" s="51"/>
      <c r="BF1083" s="51"/>
      <c r="BG1083" s="51"/>
      <c r="BH1083" s="51"/>
      <c r="BI1083" s="65" cm="1">
        <f t="array" ref="BI1083">IFERROR(INDEX(AW1083:BH1083,1,MATCH(2,1/(AW1083:BH1083&lt;&gt;""))),"")</f>
        <v>3</v>
      </c>
      <c r="BJ1083" s="68" cm="1">
        <f t="array" ref="BJ1083">IF(BM1083 = "", "",IFERROR(INDEX(AW1083:BH1083,1,MATCH(2,1/(AW1083:BH1083&lt;&gt;""),1)-1),""))</f>
        <v>0</v>
      </c>
      <c r="BK1083" s="58">
        <f>IF((IF(AW1083&gt;=115%,115%,AW1083) + IF(AX1083&gt;=115%,115%,AX1083) + IF(AY1083&gt;=115%,115%,AY1083) + (IF(AZ1083&gt;=115%,115%,AZ1083) + IF(BA1083&gt;=115%,115%,BA1083) + IF(BB1083&gt;=115%,115%,BB1083) + IF(BC1083&gt;=115%,115%,BC1083) + IF(BD1083&gt;=115%,115%,BD1083) + IF(BE1083&gt;=115%,115%,BE1083) + IF(BF1083&gt;=115%,115%,BF1083) + IF(BG1083&gt;=115%,115%,BG1083) + IF(BH1083&gt;=115%,115%,BH1083)))/_xlfn.XLOOKUP(F1083,Apuração!A:A,Apuração!B:B)&gt;=1.15,1.15,((IF(AZ1083&gt;=115%,115%,AZ1083) + IF(AX1083&gt;=115%,115%,AX1083) + IF(AY1083&gt;=115%,115%,AY1083) + (IF(AW1083&gt;=115%,115%,AW1083) + IF(BA1083&gt;=115%,115%,BA1083) + IF(BB1083&gt;=115%,115%,BB1083) + IF(BC1083&gt;=115%,115%,BC1083) + IF(BD1083&gt;=115%,115%,BD1083) + IF(BE1083&gt;=115%,115%,BE1083) + IF(BF1083&gt;=115%,115%,BF1083) + IF(BG1083&gt;=115%,115%,BG1083) + IF(BH1083&gt;=115%,115%,BH1083)))/_xlfn.XLOOKUP(F1083,Apuração!A:A,Apuração!B:B)))</f>
        <v>9.5833333333333326E-2</v>
      </c>
      <c r="BL1083" s="58" cm="1">
        <f t="array" aca="1" ref="BL1083" ca="1">IF(SUM(IFERROR(IF(INDEX(AW1083:INDEX(AW1083:BH1083, MATCH(2, 1/(AW1083:BH1083&lt;&gt;""), 1)-1), ROW(INDIRECT("1:" &amp; MATCH(2, 1/(AW1083:BH1083&lt;&gt;""), 1)-1))) &gt;= 115%, 115%, INDEX(AW1083:INDEX(AW1083:BH1083, MATCH(2, 1/(AW1083:BH1083&lt;&gt;""), 1)-1), ROW(INDIRECT("1:" &amp; MATCH(2, 1/(AW1083:BH1083&lt;&gt;""), 1)-1)))), 0))/_xlfn.XLOOKUP(F1083,Apuração!A:A,Apuração!B:B)&gt;=1.15,1.15,SUM(IFERROR(IF(INDEX(AW1083:INDEX(AW1083:BH1083, MATCH(2, 1/(AW1083:BH1083&lt;&gt;""), 1)-1), ROW(INDIRECT("1:" &amp; MATCH(2, 1/(AW1083:BH1083&lt;&gt;""), 1)-1))) &gt;= 115%, 115%, INDEX(AW1083:INDEX(AW1083:BH1083, MATCH(2, 1/(AW1083:BH1083&lt;&gt;""), 1)-1), ROW(INDIRECT("1:" &amp; MATCH(2, 1/(AW1083:BH1083&lt;&gt;""), 1)-1)))), 0))/_xlfn.XLOOKUP(F1083,Apuração!A:A,Apuração!B:B))</f>
        <v>0</v>
      </c>
      <c r="BM1083" s="55" cm="1">
        <f t="array" ref="BM1083">IFERROR(
   INDEX($AW$1:$BH$1,
      _xlfn.AGGREGATE(14, 6, COLUMN($AW$1:$BH$1)/(AW1083:BH1083&lt;&gt;""), 2) - COLUMN($AW$1) + 1
   ),
"")</f>
        <v>46082</v>
      </c>
      <c r="BN1083" s="55" cm="1">
        <f t="array" ref="BN1083">IFERROR(INDEX($AW$1:$BH$1,1,MATCH(2,1/(AW1083:BH1083&lt;&gt;""))),"")</f>
        <v>46113</v>
      </c>
      <c r="BO1083" s="53">
        <f ca="1">IFERROR(_xlfn.XLOOKUP(F1083,Apuração!A:A,Apuração!C:C)/_xlfn.XLOOKUP(F1083,Apuração!A:A,Apuração!B:B),0)</f>
        <v>0.41666666666666669</v>
      </c>
      <c r="BP1083" s="53">
        <f ca="1">IFERROR(_xlfn.XLOOKUP(F1083,Apuração!A:A,Apuração!D:D)/_xlfn.XLOOKUP(F1083,Apuração!A:A,Apuração!B:B),0)</f>
        <v>0.33333333333333331</v>
      </c>
      <c r="BQ1083" s="53">
        <f ca="1">IF(BK1083&gt;=BO1083,0,_xlfn.XLOOKUP(F1083,Apuração!A:A,Apuração!B:B)*(BO1083 + (1/_xlfn.XLOOKUP(F1083,Apuração!A:A,Apuração!B:B)) - BK1083))</f>
        <v>4.8499999999999996</v>
      </c>
      <c r="BR1083" s="85">
        <f t="shared" ca="1" si="1252"/>
        <v>4.8499999999999996</v>
      </c>
      <c r="BS1083" s="53">
        <f ca="1">IFERROR((_xlfn.XLOOKUP(F1083,Apuração!A:A,Apuração!C:C)+1)/_xlfn.XLOOKUP(F1083,Apuração!A:A,Apuração!B:B),0)</f>
        <v>0.5</v>
      </c>
    </row>
    <row r="1084" spans="1:71" ht="25.95" hidden="1" customHeight="1" x14ac:dyDescent="0.3">
      <c r="A1084" s="3" t="s">
        <v>33</v>
      </c>
      <c r="B1084" s="4" t="s">
        <v>53</v>
      </c>
      <c r="C1084" s="5" t="s">
        <v>209</v>
      </c>
      <c r="D1084" s="5" t="s">
        <v>211</v>
      </c>
      <c r="E1084" s="4" t="str" cm="1">
        <f t="array" ref="E1084">_xlfn.IFS(
F1084 = "A partir de Abril", "Aguardando Execução na Distribuidora",
A1084 = "CAPACITAÇÃO", "Em execução no Corporativo",
TRUE, "Em Execução na Distribuidora"
)</f>
        <v>Em Execução na Distribuidora</v>
      </c>
      <c r="F1084" s="4" t="str" cm="1">
        <f t="array" ref="F1084">_xlfn.IFS(
AG1084 &lt;&gt; "", "Jan-Dez/26",
AH1084 &lt;&gt; "", "Fev-Dez/26",
AI1084 &lt;&gt; "", "Mar-Dez/26", AJ1084 &lt;&gt; "", "Abr-Dez/26",
TRUE, "A partir de Junho"
)</f>
        <v>Jan-Dez/26</v>
      </c>
      <c r="G1084" s="4" t="s">
        <v>37</v>
      </c>
      <c r="H1084" s="7" t="s">
        <v>54</v>
      </c>
      <c r="I1084" s="8" t="s">
        <v>55</v>
      </c>
      <c r="J1084" s="8" t="str" cm="1">
        <f t="array" aca="1" ref="J1084" ca="1">_xlfn.LET(
  _xlpm.actual_value_month, INDEX(T1084:AE1084, MATCH(DATE(YEAR(TODAY()), MONTH(TODAY()), 1), $T$1:$AE$1, 0)),
  IF(_xlpm.actual_value_month &lt;&gt; "",_xlpm.actual_value_month &amp; " eventos mensais", "")
)</f>
        <v>1 eventos mensais</v>
      </c>
      <c r="K1084" s="14" t="str" cm="1">
        <f t="array" ref="K1084">_xlfn.LET(
    _xlpm.sum_month, SUM(T1084:AE1084),
    IF(_xlpm.sum_month = 0, "", _xlpm.sum_month &amp; "  eventos no ano")
)</f>
        <v>9  eventos no ano</v>
      </c>
      <c r="L1084" s="9" t="s">
        <v>56</v>
      </c>
      <c r="M1084" s="13" t="s">
        <v>57</v>
      </c>
      <c r="N1084" s="5" t="s">
        <v>42</v>
      </c>
      <c r="O1084" s="5" t="s">
        <v>43</v>
      </c>
      <c r="P1084" s="10" t="s">
        <v>58</v>
      </c>
      <c r="Q1084" s="10" t="s">
        <v>44</v>
      </c>
      <c r="R1084" s="11" t="s">
        <v>45</v>
      </c>
      <c r="S1084" s="11" t="s">
        <v>46</v>
      </c>
      <c r="T1084" s="143">
        <v>0</v>
      </c>
      <c r="U1084" s="143">
        <v>0</v>
      </c>
      <c r="V1084" s="143">
        <v>0</v>
      </c>
      <c r="W1084" s="143">
        <v>1</v>
      </c>
      <c r="X1084" s="143">
        <v>1</v>
      </c>
      <c r="Y1084" s="143">
        <v>1</v>
      </c>
      <c r="Z1084" s="143">
        <v>1</v>
      </c>
      <c r="AA1084" s="143">
        <v>1</v>
      </c>
      <c r="AB1084" s="143">
        <v>1</v>
      </c>
      <c r="AC1084" s="143">
        <v>1</v>
      </c>
      <c r="AD1084" s="143">
        <v>1</v>
      </c>
      <c r="AE1084" s="143">
        <v>1</v>
      </c>
      <c r="AG1084" s="146">
        <v>0</v>
      </c>
      <c r="AH1084" s="150">
        <v>0</v>
      </c>
      <c r="AI1084" s="150">
        <v>0</v>
      </c>
      <c r="AJ1084" s="146">
        <v>0</v>
      </c>
      <c r="AK1084" s="71"/>
      <c r="AL1084" s="71"/>
      <c r="AM1084" s="71"/>
      <c r="AN1084" s="71"/>
      <c r="AO1084" s="71"/>
      <c r="AP1084" s="71"/>
      <c r="AQ1084" s="71"/>
      <c r="AR1084" s="71"/>
      <c r="AS1084" s="94">
        <f t="shared" ca="1" si="1245"/>
        <v>2</v>
      </c>
      <c r="AT1084" s="95">
        <f t="shared" si="1246"/>
        <v>0</v>
      </c>
      <c r="AU1084" s="97">
        <f t="shared" si="1247"/>
        <v>0</v>
      </c>
      <c r="AW1084" s="51">
        <f t="shared" si="1248"/>
        <v>0</v>
      </c>
      <c r="AX1084" s="51">
        <f t="shared" si="1249"/>
        <v>0</v>
      </c>
      <c r="AY1084" s="51">
        <f t="shared" si="1250"/>
        <v>0</v>
      </c>
      <c r="AZ1084" s="51">
        <f t="shared" si="1251"/>
        <v>0</v>
      </c>
      <c r="BA1084" s="51"/>
      <c r="BB1084" s="51"/>
      <c r="BC1084" s="51"/>
      <c r="BD1084" s="51"/>
      <c r="BE1084" s="51"/>
      <c r="BF1084" s="51"/>
      <c r="BG1084" s="51"/>
      <c r="BH1084" s="51"/>
      <c r="BI1084" s="65" cm="1">
        <f t="array" ref="BI1084">IFERROR(INDEX(AW1084:BH1084,1,MATCH(2,1/(AW1084:BH1084&lt;&gt;""))),"")</f>
        <v>0</v>
      </c>
      <c r="BJ1084" s="68" cm="1">
        <f t="array" ref="BJ1084">IF(BM1084 = "", "",IFERROR(INDEX(AW1084:BH1084,1,MATCH(2,1/(AW1084:BH1084&lt;&gt;""),1)-1),""))</f>
        <v>0</v>
      </c>
      <c r="BK1084" s="58">
        <f>IF((IF(AW1084&gt;=115%,115%,AW1084) + IF(AX1084&gt;=115%,115%,AX1084) + IF(AY1084&gt;=115%,115%,AY1084) + (IF(AZ1084&gt;=115%,115%,AZ1084) + IF(BA1084&gt;=115%,115%,BA1084) + IF(BB1084&gt;=115%,115%,BB1084) + IF(BC1084&gt;=115%,115%,BC1084) + IF(BD1084&gt;=115%,115%,BD1084) + IF(BE1084&gt;=115%,115%,BE1084) + IF(BF1084&gt;=115%,115%,BF1084) + IF(BG1084&gt;=115%,115%,BG1084) + IF(BH1084&gt;=115%,115%,BH1084)))/_xlfn.XLOOKUP(F1084,Apuração!A:A,Apuração!B:B)&gt;=1.15,1.15,((IF(AZ1084&gt;=115%,115%,AZ1084) + IF(AX1084&gt;=115%,115%,AX1084) + IF(AY1084&gt;=115%,115%,AY1084) + (IF(AW1084&gt;=115%,115%,AW1084) + IF(BA1084&gt;=115%,115%,BA1084) + IF(BB1084&gt;=115%,115%,BB1084) + IF(BC1084&gt;=115%,115%,BC1084) + IF(BD1084&gt;=115%,115%,BD1084) + IF(BE1084&gt;=115%,115%,BE1084) + IF(BF1084&gt;=115%,115%,BF1084) + IF(BG1084&gt;=115%,115%,BG1084) + IF(BH1084&gt;=115%,115%,BH1084)))/_xlfn.XLOOKUP(F1084,Apuração!A:A,Apuração!B:B)))</f>
        <v>0</v>
      </c>
      <c r="BL1084" s="58" cm="1">
        <f t="array" aca="1" ref="BL1084" ca="1">IF(SUM(IFERROR(IF(INDEX(AW1084:INDEX(AW1084:BH1084, MATCH(2, 1/(AW1084:BH1084&lt;&gt;""), 1)-1), ROW(INDIRECT("1:" &amp; MATCH(2, 1/(AW1084:BH1084&lt;&gt;""), 1)-1))) &gt;= 115%, 115%, INDEX(AW1084:INDEX(AW1084:BH1084, MATCH(2, 1/(AW1084:BH1084&lt;&gt;""), 1)-1), ROW(INDIRECT("1:" &amp; MATCH(2, 1/(AW1084:BH1084&lt;&gt;""), 1)-1)))), 0))/_xlfn.XLOOKUP(F1084,Apuração!A:A,Apuração!B:B)&gt;=1.15,1.15,SUM(IFERROR(IF(INDEX(AW1084:INDEX(AW1084:BH1084, MATCH(2, 1/(AW1084:BH1084&lt;&gt;""), 1)-1), ROW(INDIRECT("1:" &amp; MATCH(2, 1/(AW1084:BH1084&lt;&gt;""), 1)-1))) &gt;= 115%, 115%, INDEX(AW1084:INDEX(AW1084:BH1084, MATCH(2, 1/(AW1084:BH1084&lt;&gt;""), 1)-1), ROW(INDIRECT("1:" &amp; MATCH(2, 1/(AW1084:BH1084&lt;&gt;""), 1)-1)))), 0))/_xlfn.XLOOKUP(F1084,Apuração!A:A,Apuração!B:B))</f>
        <v>0</v>
      </c>
      <c r="BM1084" s="55" cm="1">
        <f t="array" ref="BM1084">IFERROR(
   INDEX($AW$1:$BH$1,
      _xlfn.AGGREGATE(14, 6, COLUMN($AW$1:$BH$1)/(AW1084:BH1084&lt;&gt;""), 2) - COLUMN($AW$1) + 1
   ),
"")</f>
        <v>46082</v>
      </c>
      <c r="BN1084" s="55" cm="1">
        <f t="array" ref="BN1084">IFERROR(INDEX($AW$1:$BH$1,1,MATCH(2,1/(AW1084:BH1084&lt;&gt;""))),"")</f>
        <v>46113</v>
      </c>
      <c r="BO1084" s="53">
        <f ca="1">IFERROR(_xlfn.XLOOKUP(F1084,Apuração!A:A,Apuração!C:C)/_xlfn.XLOOKUP(F1084,Apuração!A:A,Apuração!B:B),0)</f>
        <v>0.41666666666666669</v>
      </c>
      <c r="BP1084" s="53">
        <f ca="1">IFERROR(_xlfn.XLOOKUP(F1084,Apuração!A:A,Apuração!D:D)/_xlfn.XLOOKUP(F1084,Apuração!A:A,Apuração!B:B),0)</f>
        <v>0.33333333333333331</v>
      </c>
      <c r="BQ1084" s="53">
        <f ca="1">IF(BK1084&gt;=BO1084,0,_xlfn.XLOOKUP(F1084,Apuração!A:A,Apuração!B:B)*(BO1084 + (1/_xlfn.XLOOKUP(F1084,Apuração!A:A,Apuração!B:B)) - BK1084))</f>
        <v>6</v>
      </c>
      <c r="BR1084" s="85">
        <f t="shared" ca="1" si="1252"/>
        <v>6</v>
      </c>
      <c r="BS1084" s="53">
        <f ca="1">IFERROR((_xlfn.XLOOKUP(F1084,Apuração!A:A,Apuração!C:C)+1)/_xlfn.XLOOKUP(F1084,Apuração!A:A,Apuração!B:B),0)</f>
        <v>0.5</v>
      </c>
    </row>
    <row r="1085" spans="1:71" ht="25.95" hidden="1" customHeight="1" x14ac:dyDescent="0.3">
      <c r="A1085" s="3" t="s">
        <v>33</v>
      </c>
      <c r="B1085" s="4" t="s">
        <v>53</v>
      </c>
      <c r="C1085" s="5" t="s">
        <v>209</v>
      </c>
      <c r="D1085" s="5" t="s">
        <v>212</v>
      </c>
      <c r="E1085" s="4" t="str" cm="1">
        <f t="array" ref="E1085">_xlfn.IFS(
F1085 = "A partir de Abril", "Aguardando Execução na Distribuidora",
A1085 = "CAPACITAÇÃO", "Em execução no Corporativo",
TRUE, "Em Execução na Distribuidora"
)</f>
        <v>Em Execução na Distribuidora</v>
      </c>
      <c r="F1085" s="4" t="str" cm="1">
        <f t="array" ref="F1085">_xlfn.IFS(
AG1085 &lt;&gt; "", "Jan-Dez/26",
AH1085 &lt;&gt; "", "Fev-Dez/26",
AI1085 &lt;&gt; "", "Mar-Dez/26", AJ1085 &lt;&gt; "", "Abr-Dez/26",
TRUE, "A partir de Junho"
)</f>
        <v>Jan-Dez/26</v>
      </c>
      <c r="G1085" s="4" t="s">
        <v>37</v>
      </c>
      <c r="H1085" s="7" t="s">
        <v>54</v>
      </c>
      <c r="I1085" s="8" t="s">
        <v>55</v>
      </c>
      <c r="J1085" s="8" t="str" cm="1">
        <f t="array" aca="1" ref="J1085" ca="1">_xlfn.LET(
  _xlpm.actual_value_month, INDEX(T1085:AE1085, MATCH(DATE(YEAR(TODAY()), MONTH(TODAY()), 1), $T$1:$AE$1, 0)),
  IF(_xlpm.actual_value_month &lt;&gt; "",_xlpm.actual_value_month &amp; " eventos mensais", "")
)</f>
        <v>1 eventos mensais</v>
      </c>
      <c r="K1085" s="14" t="str" cm="1">
        <f t="array" ref="K1085">_xlfn.LET(
    _xlpm.sum_month, SUM(T1085:AE1085),
    IF(_xlpm.sum_month = 0, "", _xlpm.sum_month &amp; "  eventos no ano")
)</f>
        <v>13  eventos no ano</v>
      </c>
      <c r="L1085" s="9" t="s">
        <v>56</v>
      </c>
      <c r="M1085" s="13" t="s">
        <v>57</v>
      </c>
      <c r="N1085" s="5" t="s">
        <v>42</v>
      </c>
      <c r="O1085" s="5" t="s">
        <v>43</v>
      </c>
      <c r="P1085" s="10" t="s">
        <v>58</v>
      </c>
      <c r="Q1085" s="10" t="s">
        <v>44</v>
      </c>
      <c r="R1085" s="11" t="s">
        <v>45</v>
      </c>
      <c r="S1085" s="11" t="s">
        <v>46</v>
      </c>
      <c r="T1085" s="143">
        <v>0</v>
      </c>
      <c r="U1085" s="143">
        <v>3</v>
      </c>
      <c r="V1085" s="143">
        <v>1</v>
      </c>
      <c r="W1085" s="143">
        <v>1</v>
      </c>
      <c r="X1085" s="143">
        <v>1</v>
      </c>
      <c r="Y1085" s="143">
        <v>1</v>
      </c>
      <c r="Z1085" s="143">
        <v>1</v>
      </c>
      <c r="AA1085" s="143">
        <v>1</v>
      </c>
      <c r="AB1085" s="143">
        <v>1</v>
      </c>
      <c r="AC1085" s="143">
        <v>1</v>
      </c>
      <c r="AD1085" s="143">
        <v>1</v>
      </c>
      <c r="AE1085" s="143">
        <v>1</v>
      </c>
      <c r="AG1085" s="146">
        <v>0</v>
      </c>
      <c r="AH1085" s="150">
        <v>3</v>
      </c>
      <c r="AI1085" s="150">
        <v>1</v>
      </c>
      <c r="AJ1085" s="146">
        <v>0</v>
      </c>
      <c r="AK1085" s="71"/>
      <c r="AL1085" s="71"/>
      <c r="AM1085" s="71"/>
      <c r="AN1085" s="71"/>
      <c r="AO1085" s="71"/>
      <c r="AP1085" s="71"/>
      <c r="AQ1085" s="71"/>
      <c r="AR1085" s="71"/>
      <c r="AS1085" s="94">
        <f t="shared" ca="1" si="1245"/>
        <v>6</v>
      </c>
      <c r="AT1085" s="95">
        <f t="shared" si="1246"/>
        <v>4</v>
      </c>
      <c r="AU1085" s="97">
        <f t="shared" si="1247"/>
        <v>4</v>
      </c>
      <c r="AW1085" s="51">
        <f t="shared" si="1248"/>
        <v>0</v>
      </c>
      <c r="AX1085" s="51">
        <f t="shared" si="1249"/>
        <v>1</v>
      </c>
      <c r="AY1085" s="51">
        <f t="shared" si="1250"/>
        <v>1</v>
      </c>
      <c r="AZ1085" s="51">
        <f t="shared" si="1251"/>
        <v>0</v>
      </c>
      <c r="BA1085" s="51"/>
      <c r="BB1085" s="51"/>
      <c r="BC1085" s="51"/>
      <c r="BD1085" s="51"/>
      <c r="BE1085" s="51"/>
      <c r="BF1085" s="51"/>
      <c r="BG1085" s="51"/>
      <c r="BH1085" s="51"/>
      <c r="BI1085" s="65" cm="1">
        <f t="array" ref="BI1085">IFERROR(INDEX(AW1085:BH1085,1,MATCH(2,1/(AW1085:BH1085&lt;&gt;""))),"")</f>
        <v>0</v>
      </c>
      <c r="BJ1085" s="68" cm="1">
        <f t="array" ref="BJ1085">IF(BM1085 = "", "",IFERROR(INDEX(AW1085:BH1085,1,MATCH(2,1/(AW1085:BH1085&lt;&gt;""),1)-1),""))</f>
        <v>1</v>
      </c>
      <c r="BK1085" s="58">
        <f>IF((IF(AW1085&gt;=115%,115%,AW1085) + IF(AX1085&gt;=115%,115%,AX1085) + IF(AY1085&gt;=115%,115%,AY1085) + (IF(AZ1085&gt;=115%,115%,AZ1085) + IF(BA1085&gt;=115%,115%,BA1085) + IF(BB1085&gt;=115%,115%,BB1085) + IF(BC1085&gt;=115%,115%,BC1085) + IF(BD1085&gt;=115%,115%,BD1085) + IF(BE1085&gt;=115%,115%,BE1085) + IF(BF1085&gt;=115%,115%,BF1085) + IF(BG1085&gt;=115%,115%,BG1085) + IF(BH1085&gt;=115%,115%,BH1085)))/_xlfn.XLOOKUP(F1085,Apuração!A:A,Apuração!B:B)&gt;=1.15,1.15,((IF(AZ1085&gt;=115%,115%,AZ1085) + IF(AX1085&gt;=115%,115%,AX1085) + IF(AY1085&gt;=115%,115%,AY1085) + (IF(AW1085&gt;=115%,115%,AW1085) + IF(BA1085&gt;=115%,115%,BA1085) + IF(BB1085&gt;=115%,115%,BB1085) + IF(BC1085&gt;=115%,115%,BC1085) + IF(BD1085&gt;=115%,115%,BD1085) + IF(BE1085&gt;=115%,115%,BE1085) + IF(BF1085&gt;=115%,115%,BF1085) + IF(BG1085&gt;=115%,115%,BG1085) + IF(BH1085&gt;=115%,115%,BH1085)))/_xlfn.XLOOKUP(F1085,Apuração!A:A,Apuração!B:B)))</f>
        <v>0.16666666666666666</v>
      </c>
      <c r="BL1085" s="58" cm="1">
        <f t="array" aca="1" ref="BL1085" ca="1">IF(SUM(IFERROR(IF(INDEX(AW1085:INDEX(AW1085:BH1085, MATCH(2, 1/(AW1085:BH1085&lt;&gt;""), 1)-1), ROW(INDIRECT("1:" &amp; MATCH(2, 1/(AW1085:BH1085&lt;&gt;""), 1)-1))) &gt;= 115%, 115%, INDEX(AW1085:INDEX(AW1085:BH1085, MATCH(2, 1/(AW1085:BH1085&lt;&gt;""), 1)-1), ROW(INDIRECT("1:" &amp; MATCH(2, 1/(AW1085:BH1085&lt;&gt;""), 1)-1)))), 0))/_xlfn.XLOOKUP(F1085,Apuração!A:A,Apuração!B:B)&gt;=1.15,1.15,SUM(IFERROR(IF(INDEX(AW1085:INDEX(AW1085:BH1085, MATCH(2, 1/(AW1085:BH1085&lt;&gt;""), 1)-1), ROW(INDIRECT("1:" &amp; MATCH(2, 1/(AW1085:BH1085&lt;&gt;""), 1)-1))) &gt;= 115%, 115%, INDEX(AW1085:INDEX(AW1085:BH1085, MATCH(2, 1/(AW1085:BH1085&lt;&gt;""), 1)-1), ROW(INDIRECT("1:" &amp; MATCH(2, 1/(AW1085:BH1085&lt;&gt;""), 1)-1)))), 0))/_xlfn.XLOOKUP(F1085,Apuração!A:A,Apuração!B:B))</f>
        <v>0.16666666666666666</v>
      </c>
      <c r="BM1085" s="55" cm="1">
        <f t="array" ref="BM1085">IFERROR(
   INDEX($AW$1:$BH$1,
      _xlfn.AGGREGATE(14, 6, COLUMN($AW$1:$BH$1)/(AW1085:BH1085&lt;&gt;""), 2) - COLUMN($AW$1) + 1
   ),
"")</f>
        <v>46082</v>
      </c>
      <c r="BN1085" s="55" cm="1">
        <f t="array" ref="BN1085">IFERROR(INDEX($AW$1:$BH$1,1,MATCH(2,1/(AW1085:BH1085&lt;&gt;""))),"")</f>
        <v>46113</v>
      </c>
      <c r="BO1085" s="53">
        <f ca="1">IFERROR(_xlfn.XLOOKUP(F1085,Apuração!A:A,Apuração!C:C)/_xlfn.XLOOKUP(F1085,Apuração!A:A,Apuração!B:B),0)</f>
        <v>0.41666666666666669</v>
      </c>
      <c r="BP1085" s="53">
        <f ca="1">IFERROR(_xlfn.XLOOKUP(F1085,Apuração!A:A,Apuração!D:D)/_xlfn.XLOOKUP(F1085,Apuração!A:A,Apuração!B:B),0)</f>
        <v>0.33333333333333331</v>
      </c>
      <c r="BQ1085" s="53">
        <f ca="1">IF(BK1085&gt;=BO1085,0,_xlfn.XLOOKUP(F1085,Apuração!A:A,Apuração!B:B)*(BO1085 + (1/_xlfn.XLOOKUP(F1085,Apuração!A:A,Apuração!B:B)) - BK1085))</f>
        <v>4</v>
      </c>
      <c r="BR1085" s="85">
        <f t="shared" ca="1" si="1252"/>
        <v>4</v>
      </c>
      <c r="BS1085" s="53">
        <f ca="1">IFERROR((_xlfn.XLOOKUP(F1085,Apuração!A:A,Apuração!C:C)+1)/_xlfn.XLOOKUP(F1085,Apuração!A:A,Apuração!B:B),0)</f>
        <v>0.5</v>
      </c>
    </row>
    <row r="1086" spans="1:71" ht="25.95" hidden="1" customHeight="1" x14ac:dyDescent="0.3">
      <c r="A1086" s="3" t="s">
        <v>33</v>
      </c>
      <c r="B1086" s="4" t="s">
        <v>53</v>
      </c>
      <c r="C1086" s="5" t="s">
        <v>209</v>
      </c>
      <c r="D1086" s="5" t="s">
        <v>213</v>
      </c>
      <c r="E1086" s="4" t="str" cm="1">
        <f t="array" ref="E1086">_xlfn.IFS(
F1086 = "A partir de Abril", "Aguardando Execução na Distribuidora",
A1086 = "CAPACITAÇÃO", "Em execução no Corporativo",
TRUE, "Em Execução na Distribuidora"
)</f>
        <v>Em Execução na Distribuidora</v>
      </c>
      <c r="F1086" s="4" t="str" cm="1">
        <f t="array" ref="F1086">_xlfn.IFS(
AG1086 &lt;&gt; "", "Jan-Dez/26",
AH1086 &lt;&gt; "", "Fev-Dez/26",
AI1086 &lt;&gt; "", "Mar-Dez/26", AJ1086 &lt;&gt; "", "Abr-Dez/26",
TRUE, "A partir de Junho"
)</f>
        <v>Jan-Dez/26</v>
      </c>
      <c r="G1086" s="4" t="s">
        <v>37</v>
      </c>
      <c r="H1086" s="7" t="s">
        <v>54</v>
      </c>
      <c r="I1086" s="8" t="s">
        <v>55</v>
      </c>
      <c r="J1086" s="8" t="str" cm="1">
        <f t="array" aca="1" ref="J1086" ca="1">_xlfn.LET(
  _xlpm.actual_value_month, INDEX(T1086:AE1086, MATCH(DATE(YEAR(TODAY()), MONTH(TODAY()), 1), $T$1:$AE$1, 0)),
  IF(_xlpm.actual_value_month &lt;&gt; "",_xlpm.actual_value_month &amp; " eventos mensais", "")
)</f>
        <v>1 eventos mensais</v>
      </c>
      <c r="K1086" s="14" t="str" cm="1">
        <f t="array" ref="K1086">_xlfn.LET(
    _xlpm.sum_month, SUM(T1086:AE1086),
    IF(_xlpm.sum_month = 0, "", _xlpm.sum_month &amp; "  eventos no ano")
)</f>
        <v>13  eventos no ano</v>
      </c>
      <c r="L1086" s="9" t="s">
        <v>56</v>
      </c>
      <c r="M1086" s="13" t="s">
        <v>57</v>
      </c>
      <c r="N1086" s="5" t="s">
        <v>42</v>
      </c>
      <c r="O1086" s="5" t="s">
        <v>43</v>
      </c>
      <c r="P1086" s="10" t="s">
        <v>58</v>
      </c>
      <c r="Q1086" s="10" t="s">
        <v>44</v>
      </c>
      <c r="R1086" s="11" t="s">
        <v>45</v>
      </c>
      <c r="S1086" s="11" t="s">
        <v>46</v>
      </c>
      <c r="T1086" s="143">
        <v>0</v>
      </c>
      <c r="U1086" s="143">
        <v>1</v>
      </c>
      <c r="V1086" s="143">
        <v>3</v>
      </c>
      <c r="W1086" s="143">
        <v>1</v>
      </c>
      <c r="X1086" s="143">
        <v>1</v>
      </c>
      <c r="Y1086" s="143">
        <v>1</v>
      </c>
      <c r="Z1086" s="143">
        <v>1</v>
      </c>
      <c r="AA1086" s="143">
        <v>1</v>
      </c>
      <c r="AB1086" s="143">
        <v>1</v>
      </c>
      <c r="AC1086" s="143">
        <v>1</v>
      </c>
      <c r="AD1086" s="143">
        <v>1</v>
      </c>
      <c r="AE1086" s="143">
        <v>1</v>
      </c>
      <c r="AG1086" s="146">
        <v>0</v>
      </c>
      <c r="AH1086" s="150">
        <v>1</v>
      </c>
      <c r="AI1086" s="150">
        <v>3</v>
      </c>
      <c r="AJ1086" s="146">
        <v>2</v>
      </c>
      <c r="AK1086" s="71"/>
      <c r="AL1086" s="71"/>
      <c r="AM1086" s="71"/>
      <c r="AN1086" s="71"/>
      <c r="AO1086" s="71"/>
      <c r="AP1086" s="71"/>
      <c r="AQ1086" s="71"/>
      <c r="AR1086" s="71"/>
      <c r="AS1086" s="94">
        <f t="shared" ca="1" si="1245"/>
        <v>6</v>
      </c>
      <c r="AT1086" s="95">
        <f t="shared" si="1246"/>
        <v>5.15</v>
      </c>
      <c r="AU1086" s="97">
        <f t="shared" si="1247"/>
        <v>6</v>
      </c>
      <c r="AW1086" s="51">
        <f t="shared" si="1248"/>
        <v>0</v>
      </c>
      <c r="AX1086" s="51">
        <f t="shared" si="1249"/>
        <v>1</v>
      </c>
      <c r="AY1086" s="51">
        <f t="shared" si="1250"/>
        <v>1</v>
      </c>
      <c r="AZ1086" s="51">
        <f t="shared" si="1251"/>
        <v>2</v>
      </c>
      <c r="BA1086" s="51"/>
      <c r="BB1086" s="51"/>
      <c r="BC1086" s="51"/>
      <c r="BD1086" s="51"/>
      <c r="BE1086" s="51"/>
      <c r="BF1086" s="51"/>
      <c r="BG1086" s="51"/>
      <c r="BH1086" s="51"/>
      <c r="BI1086" s="65" cm="1">
        <f t="array" ref="BI1086">IFERROR(INDEX(AW1086:BH1086,1,MATCH(2,1/(AW1086:BH1086&lt;&gt;""))),"")</f>
        <v>2</v>
      </c>
      <c r="BJ1086" s="68" cm="1">
        <f t="array" ref="BJ1086">IF(BM1086 = "", "",IFERROR(INDEX(AW1086:BH1086,1,MATCH(2,1/(AW1086:BH1086&lt;&gt;""),1)-1),""))</f>
        <v>1</v>
      </c>
      <c r="BK1086" s="58">
        <f>IF((IF(AW1086&gt;=115%,115%,AW1086) + IF(AX1086&gt;=115%,115%,AX1086) + IF(AY1086&gt;=115%,115%,AY1086) + (IF(AZ1086&gt;=115%,115%,AZ1086) + IF(BA1086&gt;=115%,115%,BA1086) + IF(BB1086&gt;=115%,115%,BB1086) + IF(BC1086&gt;=115%,115%,BC1086) + IF(BD1086&gt;=115%,115%,BD1086) + IF(BE1086&gt;=115%,115%,BE1086) + IF(BF1086&gt;=115%,115%,BF1086) + IF(BG1086&gt;=115%,115%,BG1086) + IF(BH1086&gt;=115%,115%,BH1086)))/_xlfn.XLOOKUP(F1086,Apuração!A:A,Apuração!B:B)&gt;=1.15,1.15,((IF(AZ1086&gt;=115%,115%,AZ1086) + IF(AX1086&gt;=115%,115%,AX1086) + IF(AY1086&gt;=115%,115%,AY1086) + (IF(AW1086&gt;=115%,115%,AW1086) + IF(BA1086&gt;=115%,115%,BA1086) + IF(BB1086&gt;=115%,115%,BB1086) + IF(BC1086&gt;=115%,115%,BC1086) + IF(BD1086&gt;=115%,115%,BD1086) + IF(BE1086&gt;=115%,115%,BE1086) + IF(BF1086&gt;=115%,115%,BF1086) + IF(BG1086&gt;=115%,115%,BG1086) + IF(BH1086&gt;=115%,115%,BH1086)))/_xlfn.XLOOKUP(F1086,Apuração!A:A,Apuração!B:B)))</f>
        <v>0.26250000000000001</v>
      </c>
      <c r="BL1086" s="58" cm="1">
        <f t="array" aca="1" ref="BL1086" ca="1">IF(SUM(IFERROR(IF(INDEX(AW1086:INDEX(AW1086:BH1086, MATCH(2, 1/(AW1086:BH1086&lt;&gt;""), 1)-1), ROW(INDIRECT("1:" &amp; MATCH(2, 1/(AW1086:BH1086&lt;&gt;""), 1)-1))) &gt;= 115%, 115%, INDEX(AW1086:INDEX(AW1086:BH1086, MATCH(2, 1/(AW1086:BH1086&lt;&gt;""), 1)-1), ROW(INDIRECT("1:" &amp; MATCH(2, 1/(AW1086:BH1086&lt;&gt;""), 1)-1)))), 0))/_xlfn.XLOOKUP(F1086,Apuração!A:A,Apuração!B:B)&gt;=1.15,1.15,SUM(IFERROR(IF(INDEX(AW1086:INDEX(AW1086:BH1086, MATCH(2, 1/(AW1086:BH1086&lt;&gt;""), 1)-1), ROW(INDIRECT("1:" &amp; MATCH(2, 1/(AW1086:BH1086&lt;&gt;""), 1)-1))) &gt;= 115%, 115%, INDEX(AW1086:INDEX(AW1086:BH1086, MATCH(2, 1/(AW1086:BH1086&lt;&gt;""), 1)-1), ROW(INDIRECT("1:" &amp; MATCH(2, 1/(AW1086:BH1086&lt;&gt;""), 1)-1)))), 0))/_xlfn.XLOOKUP(F1086,Apuração!A:A,Apuração!B:B))</f>
        <v>0.16666666666666666</v>
      </c>
      <c r="BM1086" s="55" cm="1">
        <f t="array" ref="BM1086">IFERROR(
   INDEX($AW$1:$BH$1,
      _xlfn.AGGREGATE(14, 6, COLUMN($AW$1:$BH$1)/(AW1086:BH1086&lt;&gt;""), 2) - COLUMN($AW$1) + 1
   ),
"")</f>
        <v>46082</v>
      </c>
      <c r="BN1086" s="55" cm="1">
        <f t="array" ref="BN1086">IFERROR(INDEX($AW$1:$BH$1,1,MATCH(2,1/(AW1086:BH1086&lt;&gt;""))),"")</f>
        <v>46113</v>
      </c>
      <c r="BO1086" s="53">
        <f ca="1">IFERROR(_xlfn.XLOOKUP(F1086,Apuração!A:A,Apuração!C:C)/_xlfn.XLOOKUP(F1086,Apuração!A:A,Apuração!B:B),0)</f>
        <v>0.41666666666666669</v>
      </c>
      <c r="BP1086" s="53">
        <f ca="1">IFERROR(_xlfn.XLOOKUP(F1086,Apuração!A:A,Apuração!D:D)/_xlfn.XLOOKUP(F1086,Apuração!A:A,Apuração!B:B),0)</f>
        <v>0.33333333333333331</v>
      </c>
      <c r="BQ1086" s="53">
        <f ca="1">IF(BK1086&gt;=BO1086,0,_xlfn.XLOOKUP(F1086,Apuração!A:A,Apuração!B:B)*(BO1086 + (1/_xlfn.XLOOKUP(F1086,Apuração!A:A,Apuração!B:B)) - BK1086))</f>
        <v>2.8499999999999996</v>
      </c>
      <c r="BR1086" s="85">
        <f t="shared" ca="1" si="1252"/>
        <v>2.8499999999999996</v>
      </c>
      <c r="BS1086" s="53">
        <f ca="1">IFERROR((_xlfn.XLOOKUP(F1086,Apuração!A:A,Apuração!C:C)+1)/_xlfn.XLOOKUP(F1086,Apuração!A:A,Apuração!B:B),0)</f>
        <v>0.5</v>
      </c>
    </row>
    <row r="1087" spans="1:71" ht="25.95" hidden="1" customHeight="1" x14ac:dyDescent="0.3">
      <c r="A1087" s="39" t="s">
        <v>33</v>
      </c>
      <c r="B1087" s="4" t="s">
        <v>53</v>
      </c>
      <c r="C1087" s="5" t="s">
        <v>209</v>
      </c>
      <c r="D1087" s="5" t="s">
        <v>36</v>
      </c>
      <c r="E1087" s="4" t="str" cm="1">
        <f t="array" ref="E1087">_xlfn.IFS(
F1087 = "A partir de Abril", "Aguardando Execução na Distribuidora",
A1087 = "CAPACITAÇÃO", "Em execução no Corporativo",
TRUE, "Em Execução na Distribuidora"
)</f>
        <v>Em Execução na Distribuidora</v>
      </c>
      <c r="F1087" s="4" t="str" cm="1">
        <f t="array" ref="F1087">_xlfn.IFS(
AG1087 &lt;&gt; "", "Jan-Dez/26",
AH1087 &lt;&gt; "", "Fev-Dez/26",
AI1087 &lt;&gt; "", "Mar-Dez/26", AJ1087 &lt;&gt; "", "Abr-Dez/26",
TRUE, "A partir de Junho"
)</f>
        <v>Jan-Dez/26</v>
      </c>
      <c r="G1087" s="4" t="s">
        <v>37</v>
      </c>
      <c r="H1087" s="7" t="s">
        <v>54</v>
      </c>
      <c r="I1087" s="8" t="s">
        <v>59</v>
      </c>
      <c r="J1087" s="8" t="str" cm="1">
        <f t="array" aca="1" ref="J1087" ca="1">_xlfn.LET(
  _xlpm.actual_value_month, INDEX(T1087:AE1087, MATCH(DATE(YEAR(TODAY()), MONTH(TODAY()), 1), $T$1:$AE$1, 0)),
  IF(_xlpm.actual_value_month &lt;&gt; "",_xlpm.actual_value_month &amp; " ações mensais", "")
)</f>
        <v/>
      </c>
      <c r="K1087" s="12" t="str" cm="1">
        <f t="array" ref="K1087">_xlfn.LET(
    _xlpm.sum_month, SUM(T1087:AE1087),
    IF(_xlpm.sum_month = 0, "", _xlpm.sum_month &amp; " pessoas impactadas no ano")
)</f>
        <v/>
      </c>
      <c r="L1087" s="9" t="s">
        <v>59</v>
      </c>
      <c r="M1087" s="13">
        <v>1</v>
      </c>
      <c r="N1087" s="5" t="s">
        <v>51</v>
      </c>
      <c r="O1087" s="5" t="s">
        <v>52</v>
      </c>
      <c r="P1087" s="10" t="s">
        <v>44</v>
      </c>
      <c r="Q1087" s="10" t="s">
        <v>44</v>
      </c>
      <c r="R1087" s="11" t="s">
        <v>44</v>
      </c>
      <c r="S1087" s="11" t="s">
        <v>44</v>
      </c>
      <c r="T1087" s="22"/>
      <c r="U1087" s="22"/>
      <c r="V1087" s="22"/>
      <c r="W1087" s="22"/>
      <c r="X1087" s="22"/>
      <c r="Y1087" s="22"/>
      <c r="Z1087" s="22"/>
      <c r="AA1087" s="22"/>
      <c r="AB1087" s="22"/>
      <c r="AC1087" s="22"/>
      <c r="AD1087" s="22"/>
      <c r="AE1087" s="22"/>
      <c r="AG1087" s="71">
        <v>17</v>
      </c>
      <c r="AH1087" s="71">
        <v>29</v>
      </c>
      <c r="AI1087" s="71">
        <v>98</v>
      </c>
      <c r="AJ1087" s="71">
        <v>89</v>
      </c>
      <c r="AK1087" s="71"/>
      <c r="AL1087" s="71"/>
      <c r="AM1087" s="71"/>
      <c r="AN1087" s="71"/>
      <c r="AO1087" s="71"/>
      <c r="AP1087" s="71"/>
      <c r="AQ1087" s="71"/>
      <c r="AR1087" s="71"/>
      <c r="AS1087" s="94">
        <f ca="1">IF(MONTH(TODAY())=3,SUM(T1087:U1087),IF(MONTH(TODAY())=4,SUM(T1087:V1087),IF(MONTH(TODAY())=5,SUM(T1087:W1087),IF(MONTH(TODAY())=6,SUM(T1087:X1087),IF(MONTH(TODAY())=7,SUM(T1087:Y1087),IF(MONTH(TODAY())=8,SUM(T1087:Z1087),IF(MONTH(TODAY())=9,SUM(T1087:AA1087),IF(MONTH(TODAY())=10,SUM(T1087:AB1087),IF(MONTH(TODAY())=11,SUM(T1087:AC1087),IF(MONTH(TODAY())=12,SUM(T1087:AD1087),IF(MONTH(TODAY())=1,SUM(T1087:AE1087),T1087)))))))))))</f>
        <v>0</v>
      </c>
      <c r="AT1087" s="95">
        <f>SUM(AG1087:AR1087)</f>
        <v>233</v>
      </c>
      <c r="AU1087" s="97">
        <f>SUM(AG1087:AR1087)</f>
        <v>233</v>
      </c>
      <c r="AW1087" s="83">
        <f>AG1087</f>
        <v>17</v>
      </c>
      <c r="AX1087" s="83">
        <f>AH1087</f>
        <v>29</v>
      </c>
      <c r="AY1087" s="83">
        <f>AI1087</f>
        <v>98</v>
      </c>
      <c r="AZ1087" s="83">
        <f>AJ1087</f>
        <v>89</v>
      </c>
      <c r="BA1087" s="52"/>
      <c r="BB1087" s="52"/>
      <c r="BC1087" s="52"/>
      <c r="BD1087" s="52"/>
      <c r="BE1087" s="52"/>
      <c r="BF1087" s="52"/>
      <c r="BG1087" s="52"/>
      <c r="BH1087" s="52"/>
      <c r="BI1087" s="68" cm="1">
        <f t="array" ref="BI1087">IFERROR(INDEX(AW1087:BH1087,1,MATCH(2,1/(AW1087:BH1087&lt;&gt;""))),"")</f>
        <v>89</v>
      </c>
      <c r="BJ1087" s="68" cm="1">
        <f t="array" ref="BJ1087">IF(BM1087 = "", "",IFERROR(INDEX(AW1087:BH1087,1,MATCH(2,1/(AW1087:BH1087&lt;&gt;""),1)-1),""))</f>
        <v>98</v>
      </c>
      <c r="BK1087" s="59">
        <f>SUM(AW1087:BH1087)</f>
        <v>233</v>
      </c>
      <c r="BL1087" s="59" cm="1">
        <f t="array" ref="BL1087">IFERROR(SUM(AW1087:INDEX(AW1087:BH1087, MATCH(2, 1/(AW1087:BH1087&lt;&gt;""), 1) - 1))/_xlfn.XLOOKUP(F1087,Apuração!A:A,Apuração!B:B),0)</f>
        <v>12</v>
      </c>
      <c r="BM1087" s="55" cm="1">
        <f t="array" ref="BM1087">IFERROR(
   INDEX($AW$1:$BH$1,
      _xlfn.AGGREGATE(14, 6, COLUMN($AW$1:$BH$1)/(AW1087:BH1087&lt;&gt;""), 2) - COLUMN($AW$1) + 1
   ),
"")</f>
        <v>46082</v>
      </c>
      <c r="BN1087" s="55" cm="1">
        <f t="array" ref="BN1087">IFERROR(INDEX($AW$1:$BH$1,1,MATCH(2,1/(AW1087:BH1087&lt;&gt;""))),"")</f>
        <v>46113</v>
      </c>
      <c r="BO1087" s="53">
        <f ca="1">IFERROR(_xlfn.XLOOKUP(F1087,Apuração!A:A,Apuração!C:C)/_xlfn.XLOOKUP(F1087,Apuração!A:A,Apuração!B:B),0)</f>
        <v>0.41666666666666669</v>
      </c>
      <c r="BP1087" s="53">
        <f ca="1">IFERROR(_xlfn.XLOOKUP(F1087,Apuração!A:A,Apuração!D:D)/_xlfn.XLOOKUP(F1087,Apuração!A:A,Apuração!B:B),0)</f>
        <v>0.33333333333333331</v>
      </c>
      <c r="BQ1087" s="53">
        <f ca="1">IF(BK1087&gt;=BO1087,0,_xlfn.XLOOKUP(F1087,Apuração!A:A,Apuração!B:B)*(BO1087 + (1/_xlfn.XLOOKUP(F1087,Apuração!A:A,Apuração!B:B)) - BK1087))</f>
        <v>0</v>
      </c>
      <c r="BR1087" s="85">
        <f ca="1">IF(BQ1087=0,0,BQ1087*Z1087)</f>
        <v>0</v>
      </c>
      <c r="BS1087" s="53">
        <f ca="1">IFERROR((_xlfn.XLOOKUP(F1087,Apuração!A:A,Apuração!C:C)+1)/_xlfn.XLOOKUP(F1087,Apuração!A:A,Apuração!B:B),0)</f>
        <v>0.5</v>
      </c>
    </row>
    <row r="1088" spans="1:71" ht="25.95" hidden="1" customHeight="1" x14ac:dyDescent="0.3">
      <c r="A1088" s="39" t="s">
        <v>33</v>
      </c>
      <c r="B1088" s="4" t="s">
        <v>53</v>
      </c>
      <c r="C1088" s="5" t="s">
        <v>209</v>
      </c>
      <c r="D1088" s="5" t="s">
        <v>210</v>
      </c>
      <c r="E1088" s="4" t="str" cm="1">
        <f t="array" ref="E1088">_xlfn.IFS(
F1088 = "A partir de Abril", "Aguardando Execução na Distribuidora",
A1088 = "CAPACITAÇÃO", "Em execução no Corporativo",
TRUE, "Em Execução na Distribuidora"
)</f>
        <v>Em Execução na Distribuidora</v>
      </c>
      <c r="F1088" s="4" t="str" cm="1">
        <f t="array" ref="F1088">_xlfn.IFS(
AG1088 &lt;&gt; "", "Jan-Dez/26",
AH1088 &lt;&gt; "", "Fev-Dez/26",
AI1088 &lt;&gt; "", "Mar-Dez/26", AJ1088 &lt;&gt; "", "Abr-Dez/26",
TRUE, "A partir de Junho"
)</f>
        <v>Jan-Dez/26</v>
      </c>
      <c r="G1088" s="4" t="s">
        <v>37</v>
      </c>
      <c r="H1088" s="7" t="s">
        <v>54</v>
      </c>
      <c r="I1088" s="8" t="s">
        <v>59</v>
      </c>
      <c r="J1088" s="8" t="str" cm="1">
        <f t="array" aca="1" ref="J1088" ca="1">_xlfn.LET(
  _xlpm.actual_value_month, INDEX(T1088:AE1088, MATCH(DATE(YEAR(TODAY()), MONTH(TODAY()), 1), $T$1:$AE$1, 0)),
  IF(_xlpm.actual_value_month &lt;&gt; "",_xlpm.actual_value_month &amp; " ações mensais", "")
)</f>
        <v/>
      </c>
      <c r="K1088" s="12" t="str" cm="1">
        <f t="array" ref="K1088">_xlfn.LET(
    _xlpm.sum_month, SUM(T1088:AE1088),
    IF(_xlpm.sum_month = 0, "", _xlpm.sum_month &amp; " pessoas impactadas no ano")
)</f>
        <v/>
      </c>
      <c r="L1088" s="9" t="s">
        <v>59</v>
      </c>
      <c r="M1088" s="13">
        <v>1</v>
      </c>
      <c r="N1088" s="5" t="s">
        <v>51</v>
      </c>
      <c r="O1088" s="5" t="s">
        <v>52</v>
      </c>
      <c r="P1088" s="10" t="s">
        <v>44</v>
      </c>
      <c r="Q1088" s="10" t="s">
        <v>44</v>
      </c>
      <c r="R1088" s="11" t="s">
        <v>44</v>
      </c>
      <c r="S1088" s="11" t="s">
        <v>44</v>
      </c>
      <c r="T1088" s="22"/>
      <c r="U1088" s="22"/>
      <c r="V1088" s="22"/>
      <c r="W1088" s="22"/>
      <c r="X1088" s="22"/>
      <c r="Y1088" s="22"/>
      <c r="Z1088" s="22"/>
      <c r="AA1088" s="22"/>
      <c r="AB1088" s="22"/>
      <c r="AC1088" s="22"/>
      <c r="AD1088" s="22"/>
      <c r="AE1088" s="22"/>
      <c r="AG1088" s="82">
        <v>17</v>
      </c>
      <c r="AH1088" s="82">
        <v>13</v>
      </c>
      <c r="AI1088" s="82">
        <v>42</v>
      </c>
      <c r="AJ1088" s="145">
        <v>25</v>
      </c>
      <c r="AK1088" s="71"/>
      <c r="AL1088" s="71"/>
      <c r="AM1088" s="71"/>
      <c r="AN1088" s="71"/>
      <c r="AO1088" s="71"/>
      <c r="AP1088" s="71"/>
      <c r="AQ1088" s="71"/>
      <c r="AR1088" s="71"/>
      <c r="AS1088" s="94">
        <f t="shared" ref="AS1088:AS1092" ca="1" si="1253">IF(MONTH(TODAY())=3,SUM(T1088:U1088),IF(MONTH(TODAY())=4,SUM(T1088:V1088),IF(MONTH(TODAY())=5,SUM(T1088:W1088),IF(MONTH(TODAY())=6,SUM(T1088:X1088),IF(MONTH(TODAY())=7,SUM(T1088:Y1088),IF(MONTH(TODAY())=8,SUM(T1088:Z1088),IF(MONTH(TODAY())=9,SUM(T1088:AA1088),IF(MONTH(TODAY())=10,SUM(T1088:AB1088),IF(MONTH(TODAY())=11,SUM(T1088:AC1088),IF(MONTH(TODAY())=12,SUM(T1088:AD1088),IF(MONTH(TODAY())=1,SUM(T1088:AE1088),T1088)))))))))))</f>
        <v>0</v>
      </c>
      <c r="AT1088" s="95">
        <f t="shared" ref="AT1088:AT1092" si="1254">SUM(AG1088:AR1088)</f>
        <v>97</v>
      </c>
      <c r="AU1088" s="97">
        <f t="shared" ref="AU1088:AU1092" si="1255">SUM(AG1088:AR1088)</f>
        <v>97</v>
      </c>
      <c r="AW1088" s="83">
        <f t="shared" ref="AW1088:AW1092" si="1256">AG1088</f>
        <v>17</v>
      </c>
      <c r="AX1088" s="83">
        <f t="shared" ref="AX1088:AX1092" si="1257">AH1088</f>
        <v>13</v>
      </c>
      <c r="AY1088" s="83">
        <f t="shared" ref="AY1088:AY1092" si="1258">AI1088</f>
        <v>42</v>
      </c>
      <c r="AZ1088" s="83">
        <f t="shared" ref="AZ1088:AZ1092" si="1259">AJ1088</f>
        <v>25</v>
      </c>
      <c r="BA1088" s="52"/>
      <c r="BB1088" s="52"/>
      <c r="BC1088" s="52"/>
      <c r="BD1088" s="52"/>
      <c r="BE1088" s="52"/>
      <c r="BF1088" s="52"/>
      <c r="BG1088" s="52"/>
      <c r="BH1088" s="52"/>
      <c r="BI1088" s="68" cm="1">
        <f t="array" ref="BI1088">IFERROR(INDEX(AW1088:BH1088,1,MATCH(2,1/(AW1088:BH1088&lt;&gt;""))),"")</f>
        <v>25</v>
      </c>
      <c r="BJ1088" s="68" cm="1">
        <f t="array" ref="BJ1088">IF(BM1088 = "", "",IFERROR(INDEX(AW1088:BH1088,1,MATCH(2,1/(AW1088:BH1088&lt;&gt;""),1)-1),""))</f>
        <v>42</v>
      </c>
      <c r="BK1088" s="59">
        <f t="shared" ref="BK1088:BK1092" si="1260">SUM(AW1088:BH1088)</f>
        <v>97</v>
      </c>
      <c r="BL1088" s="59" cm="1">
        <f t="array" ref="BL1088">IFERROR(SUM(AW1088:INDEX(AW1088:BH1088, MATCH(2, 1/(AW1088:BH1088&lt;&gt;""), 1) - 1))/_xlfn.XLOOKUP(F1088,Apuração!A:A,Apuração!B:B),0)</f>
        <v>6</v>
      </c>
      <c r="BM1088" s="55" cm="1">
        <f t="array" ref="BM1088">IFERROR(
   INDEX($AW$1:$BH$1,
      _xlfn.AGGREGATE(14, 6, COLUMN($AW$1:$BH$1)/(AW1088:BH1088&lt;&gt;""), 2) - COLUMN($AW$1) + 1
   ),
"")</f>
        <v>46082</v>
      </c>
      <c r="BN1088" s="55" cm="1">
        <f t="array" ref="BN1088">IFERROR(INDEX($AW$1:$BH$1,1,MATCH(2,1/(AW1088:BH1088&lt;&gt;""))),"")</f>
        <v>46113</v>
      </c>
      <c r="BO1088" s="53">
        <f ca="1">IFERROR(_xlfn.XLOOKUP(F1088,Apuração!A:A,Apuração!C:C)/_xlfn.XLOOKUP(F1088,Apuração!A:A,Apuração!B:B),0)</f>
        <v>0.41666666666666669</v>
      </c>
      <c r="BP1088" s="53">
        <f ca="1">IFERROR(_xlfn.XLOOKUP(F1088,Apuração!A:A,Apuração!D:D)/_xlfn.XLOOKUP(F1088,Apuração!A:A,Apuração!B:B),0)</f>
        <v>0.33333333333333331</v>
      </c>
      <c r="BQ1088" s="53">
        <f ca="1">IF(BK1088&gt;=BO1088,0,_xlfn.XLOOKUP(F1088,Apuração!A:A,Apuração!B:B)*(BO1088 + (1/_xlfn.XLOOKUP(F1088,Apuração!A:A,Apuração!B:B)) - BK1088))</f>
        <v>0</v>
      </c>
      <c r="BR1088" s="85">
        <f t="shared" ref="BR1088:BR1092" ca="1" si="1261">IF(BQ1088=0,0,BQ1088*Z1088)</f>
        <v>0</v>
      </c>
      <c r="BS1088" s="53">
        <f ca="1">IFERROR((_xlfn.XLOOKUP(F1088,Apuração!A:A,Apuração!C:C)+1)/_xlfn.XLOOKUP(F1088,Apuração!A:A,Apuração!B:B),0)</f>
        <v>0.5</v>
      </c>
    </row>
    <row r="1089" spans="1:71" ht="25.95" hidden="1" customHeight="1" x14ac:dyDescent="0.3">
      <c r="A1089" s="39" t="s">
        <v>33</v>
      </c>
      <c r="B1089" s="4" t="s">
        <v>53</v>
      </c>
      <c r="C1089" s="5" t="s">
        <v>209</v>
      </c>
      <c r="D1089" s="5" t="s">
        <v>47</v>
      </c>
      <c r="E1089" s="4" t="str" cm="1">
        <f t="array" ref="E1089">_xlfn.IFS(
F1089 = "A partir de Abril", "Aguardando Execução na Distribuidora",
A1089 = "CAPACITAÇÃO", "Em execução no Corporativo",
TRUE, "Em Execução na Distribuidora"
)</f>
        <v>Em Execução na Distribuidora</v>
      </c>
      <c r="F1089" s="4" t="str" cm="1">
        <f t="array" ref="F1089">_xlfn.IFS(
AG1089 &lt;&gt; "", "Jan-Dez/26",
AH1089 &lt;&gt; "", "Fev-Dez/26",
AI1089 &lt;&gt; "", "Mar-Dez/26", AJ1089 &lt;&gt; "", "Abr-Dez/26",
TRUE, "A partir de Junho"
)</f>
        <v>Jan-Dez/26</v>
      </c>
      <c r="G1089" s="4" t="s">
        <v>37</v>
      </c>
      <c r="H1089" s="7" t="s">
        <v>54</v>
      </c>
      <c r="I1089" s="8" t="s">
        <v>59</v>
      </c>
      <c r="J1089" s="8" t="str" cm="1">
        <f t="array" aca="1" ref="J1089" ca="1">_xlfn.LET(
  _xlpm.actual_value_month, INDEX(T1089:AE1089, MATCH(DATE(YEAR(TODAY()), MONTH(TODAY()), 1), $T$1:$AE$1, 0)),
  IF(_xlpm.actual_value_month &lt;&gt; "",_xlpm.actual_value_month &amp; " ações mensais", "")
)</f>
        <v/>
      </c>
      <c r="K1089" s="12" t="str" cm="1">
        <f t="array" ref="K1089">_xlfn.LET(
    _xlpm.sum_month, SUM(T1089:AE1089),
    IF(_xlpm.sum_month = 0, "", _xlpm.sum_month &amp; " pessoas impactadas no ano")
)</f>
        <v/>
      </c>
      <c r="L1089" s="9" t="s">
        <v>59</v>
      </c>
      <c r="M1089" s="13">
        <v>1</v>
      </c>
      <c r="N1089" s="5" t="s">
        <v>51</v>
      </c>
      <c r="O1089" s="5" t="s">
        <v>52</v>
      </c>
      <c r="P1089" s="10" t="s">
        <v>44</v>
      </c>
      <c r="Q1089" s="10" t="s">
        <v>44</v>
      </c>
      <c r="R1089" s="11" t="s">
        <v>44</v>
      </c>
      <c r="S1089" s="11" t="s">
        <v>44</v>
      </c>
      <c r="T1089" s="22"/>
      <c r="U1089" s="22"/>
      <c r="V1089" s="22"/>
      <c r="W1089" s="22"/>
      <c r="X1089" s="22"/>
      <c r="Y1089" s="22"/>
      <c r="Z1089" s="22"/>
      <c r="AA1089" s="22"/>
      <c r="AB1089" s="22"/>
      <c r="AC1089" s="22"/>
      <c r="AD1089" s="22"/>
      <c r="AE1089" s="22"/>
      <c r="AG1089" s="82">
        <v>0</v>
      </c>
      <c r="AH1089" s="82">
        <v>0</v>
      </c>
      <c r="AI1089" s="82">
        <v>0</v>
      </c>
      <c r="AJ1089" s="146">
        <v>40</v>
      </c>
      <c r="AK1089" s="71"/>
      <c r="AL1089" s="71"/>
      <c r="AM1089" s="71"/>
      <c r="AN1089" s="71"/>
      <c r="AO1089" s="71"/>
      <c r="AP1089" s="71"/>
      <c r="AQ1089" s="71"/>
      <c r="AR1089" s="71"/>
      <c r="AS1089" s="94">
        <f t="shared" ca="1" si="1253"/>
        <v>0</v>
      </c>
      <c r="AT1089" s="95">
        <f t="shared" si="1254"/>
        <v>40</v>
      </c>
      <c r="AU1089" s="97">
        <f t="shared" si="1255"/>
        <v>40</v>
      </c>
      <c r="AW1089" s="83">
        <f t="shared" si="1256"/>
        <v>0</v>
      </c>
      <c r="AX1089" s="83">
        <f t="shared" si="1257"/>
        <v>0</v>
      </c>
      <c r="AY1089" s="83">
        <f t="shared" si="1258"/>
        <v>0</v>
      </c>
      <c r="AZ1089" s="83">
        <f t="shared" si="1259"/>
        <v>40</v>
      </c>
      <c r="BA1089" s="52"/>
      <c r="BB1089" s="52"/>
      <c r="BC1089" s="52"/>
      <c r="BD1089" s="52"/>
      <c r="BE1089" s="52"/>
      <c r="BF1089" s="52"/>
      <c r="BG1089" s="52"/>
      <c r="BH1089" s="52"/>
      <c r="BI1089" s="68" cm="1">
        <f t="array" ref="BI1089">IFERROR(INDEX(AW1089:BH1089,1,MATCH(2,1/(AW1089:BH1089&lt;&gt;""))),"")</f>
        <v>40</v>
      </c>
      <c r="BJ1089" s="68" cm="1">
        <f t="array" ref="BJ1089">IF(BM1089 = "", "",IFERROR(INDEX(AW1089:BH1089,1,MATCH(2,1/(AW1089:BH1089&lt;&gt;""),1)-1),""))</f>
        <v>0</v>
      </c>
      <c r="BK1089" s="59">
        <f t="shared" si="1260"/>
        <v>40</v>
      </c>
      <c r="BL1089" s="59" cm="1">
        <f t="array" ref="BL1089">IFERROR(SUM(AW1089:INDEX(AW1089:BH1089, MATCH(2, 1/(AW1089:BH1089&lt;&gt;""), 1) - 1))/_xlfn.XLOOKUP(F1089,Apuração!A:A,Apuração!B:B),0)</f>
        <v>0</v>
      </c>
      <c r="BM1089" s="55" cm="1">
        <f t="array" ref="BM1089">IFERROR(
   INDEX($AW$1:$BH$1,
      _xlfn.AGGREGATE(14, 6, COLUMN($AW$1:$BH$1)/(AW1089:BH1089&lt;&gt;""), 2) - COLUMN($AW$1) + 1
   ),
"")</f>
        <v>46082</v>
      </c>
      <c r="BN1089" s="55" cm="1">
        <f t="array" ref="BN1089">IFERROR(INDEX($AW$1:$BH$1,1,MATCH(2,1/(AW1089:BH1089&lt;&gt;""))),"")</f>
        <v>46113</v>
      </c>
      <c r="BO1089" s="53">
        <f ca="1">IFERROR(_xlfn.XLOOKUP(F1089,Apuração!A:A,Apuração!C:C)/_xlfn.XLOOKUP(F1089,Apuração!A:A,Apuração!B:B),0)</f>
        <v>0.41666666666666669</v>
      </c>
      <c r="BP1089" s="53">
        <f ca="1">IFERROR(_xlfn.XLOOKUP(F1089,Apuração!A:A,Apuração!D:D)/_xlfn.XLOOKUP(F1089,Apuração!A:A,Apuração!B:B),0)</f>
        <v>0.33333333333333331</v>
      </c>
      <c r="BQ1089" s="53">
        <f ca="1">IF(BK1089&gt;=BO1089,0,_xlfn.XLOOKUP(F1089,Apuração!A:A,Apuração!B:B)*(BO1089 + (1/_xlfn.XLOOKUP(F1089,Apuração!A:A,Apuração!B:B)) - BK1089))</f>
        <v>0</v>
      </c>
      <c r="BR1089" s="85">
        <f t="shared" ca="1" si="1261"/>
        <v>0</v>
      </c>
      <c r="BS1089" s="53">
        <f ca="1">IFERROR((_xlfn.XLOOKUP(F1089,Apuração!A:A,Apuração!C:C)+1)/_xlfn.XLOOKUP(F1089,Apuração!A:A,Apuração!B:B),0)</f>
        <v>0.5</v>
      </c>
    </row>
    <row r="1090" spans="1:71" ht="25.95" hidden="1" customHeight="1" x14ac:dyDescent="0.3">
      <c r="A1090" s="39" t="s">
        <v>33</v>
      </c>
      <c r="B1090" s="4" t="s">
        <v>53</v>
      </c>
      <c r="C1090" s="5" t="s">
        <v>209</v>
      </c>
      <c r="D1090" s="5" t="s">
        <v>211</v>
      </c>
      <c r="E1090" s="4" t="str" cm="1">
        <f t="array" ref="E1090">_xlfn.IFS(
F1090 = "A partir de Abril", "Aguardando Execução na Distribuidora",
A1090 = "CAPACITAÇÃO", "Em execução no Corporativo",
TRUE, "Em Execução na Distribuidora"
)</f>
        <v>Em Execução na Distribuidora</v>
      </c>
      <c r="F1090" s="4" t="str" cm="1">
        <f t="array" ref="F1090">_xlfn.IFS(
AG1090 &lt;&gt; "", "Jan-Dez/26",
AH1090 &lt;&gt; "", "Fev-Dez/26",
AI1090 &lt;&gt; "", "Mar-Dez/26", AJ1090 &lt;&gt; "", "Abr-Dez/26",
TRUE, "A partir de Junho"
)</f>
        <v>Jan-Dez/26</v>
      </c>
      <c r="G1090" s="4" t="s">
        <v>37</v>
      </c>
      <c r="H1090" s="7" t="s">
        <v>54</v>
      </c>
      <c r="I1090" s="8" t="s">
        <v>59</v>
      </c>
      <c r="J1090" s="8" t="str" cm="1">
        <f t="array" aca="1" ref="J1090" ca="1">_xlfn.LET(
  _xlpm.actual_value_month, INDEX(T1090:AE1090, MATCH(DATE(YEAR(TODAY()), MONTH(TODAY()), 1), $T$1:$AE$1, 0)),
  IF(_xlpm.actual_value_month &lt;&gt; "",_xlpm.actual_value_month &amp; " ações mensais", "")
)</f>
        <v/>
      </c>
      <c r="K1090" s="12" t="str" cm="1">
        <f t="array" ref="K1090">_xlfn.LET(
    _xlpm.sum_month, SUM(T1090:AE1090),
    IF(_xlpm.sum_month = 0, "", _xlpm.sum_month &amp; " pessoas impactadas no ano")
)</f>
        <v/>
      </c>
      <c r="L1090" s="9" t="s">
        <v>59</v>
      </c>
      <c r="M1090" s="13">
        <v>1</v>
      </c>
      <c r="N1090" s="5" t="s">
        <v>51</v>
      </c>
      <c r="O1090" s="5" t="s">
        <v>52</v>
      </c>
      <c r="P1090" s="10" t="s">
        <v>44</v>
      </c>
      <c r="Q1090" s="10" t="s">
        <v>44</v>
      </c>
      <c r="R1090" s="11" t="s">
        <v>44</v>
      </c>
      <c r="S1090" s="11" t="s">
        <v>44</v>
      </c>
      <c r="T1090" s="22"/>
      <c r="U1090" s="22"/>
      <c r="V1090" s="22"/>
      <c r="W1090" s="22"/>
      <c r="X1090" s="22"/>
      <c r="Y1090" s="22"/>
      <c r="Z1090" s="22"/>
      <c r="AA1090" s="22"/>
      <c r="AB1090" s="22"/>
      <c r="AC1090" s="22"/>
      <c r="AD1090" s="22"/>
      <c r="AE1090" s="22"/>
      <c r="AG1090" s="82">
        <v>0</v>
      </c>
      <c r="AH1090" s="82">
        <v>0</v>
      </c>
      <c r="AI1090" s="82">
        <v>0</v>
      </c>
      <c r="AJ1090" s="146">
        <v>0</v>
      </c>
      <c r="AK1090" s="71"/>
      <c r="AL1090" s="71"/>
      <c r="AM1090" s="71"/>
      <c r="AN1090" s="71"/>
      <c r="AO1090" s="71"/>
      <c r="AP1090" s="71"/>
      <c r="AQ1090" s="71"/>
      <c r="AR1090" s="71"/>
      <c r="AS1090" s="94">
        <f t="shared" ca="1" si="1253"/>
        <v>0</v>
      </c>
      <c r="AT1090" s="95">
        <f t="shared" si="1254"/>
        <v>0</v>
      </c>
      <c r="AU1090" s="97">
        <f t="shared" si="1255"/>
        <v>0</v>
      </c>
      <c r="AW1090" s="83">
        <f t="shared" si="1256"/>
        <v>0</v>
      </c>
      <c r="AX1090" s="83">
        <f t="shared" si="1257"/>
        <v>0</v>
      </c>
      <c r="AY1090" s="83">
        <f t="shared" si="1258"/>
        <v>0</v>
      </c>
      <c r="AZ1090" s="83">
        <f t="shared" si="1259"/>
        <v>0</v>
      </c>
      <c r="BA1090" s="52"/>
      <c r="BB1090" s="52"/>
      <c r="BC1090" s="52"/>
      <c r="BD1090" s="52"/>
      <c r="BE1090" s="52"/>
      <c r="BF1090" s="52"/>
      <c r="BG1090" s="52"/>
      <c r="BH1090" s="52"/>
      <c r="BI1090" s="68" cm="1">
        <f t="array" ref="BI1090">IFERROR(INDEX(AW1090:BH1090,1,MATCH(2,1/(AW1090:BH1090&lt;&gt;""))),"")</f>
        <v>0</v>
      </c>
      <c r="BJ1090" s="68" cm="1">
        <f t="array" ref="BJ1090">IF(BM1090 = "", "",IFERROR(INDEX(AW1090:BH1090,1,MATCH(2,1/(AW1090:BH1090&lt;&gt;""),1)-1),""))</f>
        <v>0</v>
      </c>
      <c r="BK1090" s="59">
        <f t="shared" si="1260"/>
        <v>0</v>
      </c>
      <c r="BL1090" s="59" cm="1">
        <f t="array" ref="BL1090">IFERROR(SUM(AW1090:INDEX(AW1090:BH1090, MATCH(2, 1/(AW1090:BH1090&lt;&gt;""), 1) - 1))/_xlfn.XLOOKUP(F1090,Apuração!A:A,Apuração!B:B),0)</f>
        <v>0</v>
      </c>
      <c r="BM1090" s="55" cm="1">
        <f t="array" ref="BM1090">IFERROR(
   INDEX($AW$1:$BH$1,
      _xlfn.AGGREGATE(14, 6, COLUMN($AW$1:$BH$1)/(AW1090:BH1090&lt;&gt;""), 2) - COLUMN($AW$1) + 1
   ),
"")</f>
        <v>46082</v>
      </c>
      <c r="BN1090" s="55" cm="1">
        <f t="array" ref="BN1090">IFERROR(INDEX($AW$1:$BH$1,1,MATCH(2,1/(AW1090:BH1090&lt;&gt;""))),"")</f>
        <v>46113</v>
      </c>
      <c r="BO1090" s="53">
        <f ca="1">IFERROR(_xlfn.XLOOKUP(F1090,Apuração!A:A,Apuração!C:C)/_xlfn.XLOOKUP(F1090,Apuração!A:A,Apuração!B:B),0)</f>
        <v>0.41666666666666669</v>
      </c>
      <c r="BP1090" s="53">
        <f ca="1">IFERROR(_xlfn.XLOOKUP(F1090,Apuração!A:A,Apuração!D:D)/_xlfn.XLOOKUP(F1090,Apuração!A:A,Apuração!B:B),0)</f>
        <v>0.33333333333333331</v>
      </c>
      <c r="BQ1090" s="53">
        <f ca="1">IF(BK1090&gt;=BO1090,0,_xlfn.XLOOKUP(F1090,Apuração!A:A,Apuração!B:B)*(BO1090 + (1/_xlfn.XLOOKUP(F1090,Apuração!A:A,Apuração!B:B)) - BK1090))</f>
        <v>6</v>
      </c>
      <c r="BR1090" s="85">
        <f t="shared" ca="1" si="1261"/>
        <v>0</v>
      </c>
      <c r="BS1090" s="53">
        <f ca="1">IFERROR((_xlfn.XLOOKUP(F1090,Apuração!A:A,Apuração!C:C)+1)/_xlfn.XLOOKUP(F1090,Apuração!A:A,Apuração!B:B),0)</f>
        <v>0.5</v>
      </c>
    </row>
    <row r="1091" spans="1:71" ht="25.95" hidden="1" customHeight="1" x14ac:dyDescent="0.3">
      <c r="A1091" s="39" t="s">
        <v>33</v>
      </c>
      <c r="B1091" s="4" t="s">
        <v>53</v>
      </c>
      <c r="C1091" s="5" t="s">
        <v>209</v>
      </c>
      <c r="D1091" s="5" t="s">
        <v>212</v>
      </c>
      <c r="E1091" s="4" t="str" cm="1">
        <f t="array" ref="E1091">_xlfn.IFS(
F1091 = "A partir de Abril", "Aguardando Execução na Distribuidora",
A1091 = "CAPACITAÇÃO", "Em execução no Corporativo",
TRUE, "Em Execução na Distribuidora"
)</f>
        <v>Em Execução na Distribuidora</v>
      </c>
      <c r="F1091" s="4" t="str" cm="1">
        <f t="array" ref="F1091">_xlfn.IFS(
AG1091 &lt;&gt; "", "Jan-Dez/26",
AH1091 &lt;&gt; "", "Fev-Dez/26",
AI1091 &lt;&gt; "", "Mar-Dez/26", AJ1091 &lt;&gt; "", "Abr-Dez/26",
TRUE, "A partir de Junho"
)</f>
        <v>Jan-Dez/26</v>
      </c>
      <c r="G1091" s="4" t="s">
        <v>37</v>
      </c>
      <c r="H1091" s="7" t="s">
        <v>54</v>
      </c>
      <c r="I1091" s="8" t="s">
        <v>59</v>
      </c>
      <c r="J1091" s="8" t="str" cm="1">
        <f t="array" aca="1" ref="J1091" ca="1">_xlfn.LET(
  _xlpm.actual_value_month, INDEX(T1091:AE1091, MATCH(DATE(YEAR(TODAY()), MONTH(TODAY()), 1), $T$1:$AE$1, 0)),
  IF(_xlpm.actual_value_month &lt;&gt; "",_xlpm.actual_value_month &amp; " ações mensais", "")
)</f>
        <v/>
      </c>
      <c r="K1091" s="12" t="str" cm="1">
        <f t="array" ref="K1091">_xlfn.LET(
    _xlpm.sum_month, SUM(T1091:AE1091),
    IF(_xlpm.sum_month = 0, "", _xlpm.sum_month &amp; " pessoas impactadas no ano")
)</f>
        <v/>
      </c>
      <c r="L1091" s="9" t="s">
        <v>59</v>
      </c>
      <c r="M1091" s="13">
        <v>1</v>
      </c>
      <c r="N1091" s="5" t="s">
        <v>51</v>
      </c>
      <c r="O1091" s="5" t="s">
        <v>52</v>
      </c>
      <c r="P1091" s="10" t="s">
        <v>44</v>
      </c>
      <c r="Q1091" s="10" t="s">
        <v>44</v>
      </c>
      <c r="R1091" s="11" t="s">
        <v>44</v>
      </c>
      <c r="S1091" s="11" t="s">
        <v>44</v>
      </c>
      <c r="T1091" s="22"/>
      <c r="U1091" s="22"/>
      <c r="V1091" s="22"/>
      <c r="W1091" s="22"/>
      <c r="X1091" s="22"/>
      <c r="Y1091" s="22"/>
      <c r="Z1091" s="22"/>
      <c r="AA1091" s="22"/>
      <c r="AB1091" s="22"/>
      <c r="AC1091" s="22"/>
      <c r="AD1091" s="22"/>
      <c r="AE1091" s="22"/>
      <c r="AG1091" s="82">
        <v>0</v>
      </c>
      <c r="AH1091" s="82">
        <v>6</v>
      </c>
      <c r="AI1091" s="82">
        <v>40</v>
      </c>
      <c r="AJ1091" s="146">
        <v>0</v>
      </c>
      <c r="AK1091" s="71"/>
      <c r="AL1091" s="71"/>
      <c r="AM1091" s="71"/>
      <c r="AN1091" s="71"/>
      <c r="AO1091" s="71"/>
      <c r="AP1091" s="71"/>
      <c r="AQ1091" s="71"/>
      <c r="AR1091" s="71"/>
      <c r="AS1091" s="94">
        <f t="shared" ca="1" si="1253"/>
        <v>0</v>
      </c>
      <c r="AT1091" s="95">
        <f t="shared" si="1254"/>
        <v>46</v>
      </c>
      <c r="AU1091" s="97">
        <f t="shared" si="1255"/>
        <v>46</v>
      </c>
      <c r="AW1091" s="83">
        <f t="shared" si="1256"/>
        <v>0</v>
      </c>
      <c r="AX1091" s="83">
        <f t="shared" si="1257"/>
        <v>6</v>
      </c>
      <c r="AY1091" s="83">
        <f t="shared" si="1258"/>
        <v>40</v>
      </c>
      <c r="AZ1091" s="83">
        <f t="shared" si="1259"/>
        <v>0</v>
      </c>
      <c r="BA1091" s="52"/>
      <c r="BB1091" s="52"/>
      <c r="BC1091" s="52"/>
      <c r="BD1091" s="52"/>
      <c r="BE1091" s="52"/>
      <c r="BF1091" s="52"/>
      <c r="BG1091" s="52"/>
      <c r="BH1091" s="52"/>
      <c r="BI1091" s="68" cm="1">
        <f t="array" ref="BI1091">IFERROR(INDEX(AW1091:BH1091,1,MATCH(2,1/(AW1091:BH1091&lt;&gt;""))),"")</f>
        <v>0</v>
      </c>
      <c r="BJ1091" s="68" cm="1">
        <f t="array" ref="BJ1091">IF(BM1091 = "", "",IFERROR(INDEX(AW1091:BH1091,1,MATCH(2,1/(AW1091:BH1091&lt;&gt;""),1)-1),""))</f>
        <v>40</v>
      </c>
      <c r="BK1091" s="59">
        <f t="shared" si="1260"/>
        <v>46</v>
      </c>
      <c r="BL1091" s="59" cm="1">
        <f t="array" ref="BL1091">IFERROR(SUM(AW1091:INDEX(AW1091:BH1091, MATCH(2, 1/(AW1091:BH1091&lt;&gt;""), 1) - 1))/_xlfn.XLOOKUP(F1091,Apuração!A:A,Apuração!B:B),0)</f>
        <v>3.8333333333333335</v>
      </c>
      <c r="BM1091" s="55" cm="1">
        <f t="array" ref="BM1091">IFERROR(
   INDEX($AW$1:$BH$1,
      _xlfn.AGGREGATE(14, 6, COLUMN($AW$1:$BH$1)/(AW1091:BH1091&lt;&gt;""), 2) - COLUMN($AW$1) + 1
   ),
"")</f>
        <v>46082</v>
      </c>
      <c r="BN1091" s="55" cm="1">
        <f t="array" ref="BN1091">IFERROR(INDEX($AW$1:$BH$1,1,MATCH(2,1/(AW1091:BH1091&lt;&gt;""))),"")</f>
        <v>46113</v>
      </c>
      <c r="BO1091" s="53">
        <f ca="1">IFERROR(_xlfn.XLOOKUP(F1091,Apuração!A:A,Apuração!C:C)/_xlfn.XLOOKUP(F1091,Apuração!A:A,Apuração!B:B),0)</f>
        <v>0.41666666666666669</v>
      </c>
      <c r="BP1091" s="53">
        <f ca="1">IFERROR(_xlfn.XLOOKUP(F1091,Apuração!A:A,Apuração!D:D)/_xlfn.XLOOKUP(F1091,Apuração!A:A,Apuração!B:B),0)</f>
        <v>0.33333333333333331</v>
      </c>
      <c r="BQ1091" s="53">
        <f ca="1">IF(BK1091&gt;=BO1091,0,_xlfn.XLOOKUP(F1091,Apuração!A:A,Apuração!B:B)*(BO1091 + (1/_xlfn.XLOOKUP(F1091,Apuração!A:A,Apuração!B:B)) - BK1091))</f>
        <v>0</v>
      </c>
      <c r="BR1091" s="85">
        <f t="shared" ca="1" si="1261"/>
        <v>0</v>
      </c>
      <c r="BS1091" s="53">
        <f ca="1">IFERROR((_xlfn.XLOOKUP(F1091,Apuração!A:A,Apuração!C:C)+1)/_xlfn.XLOOKUP(F1091,Apuração!A:A,Apuração!B:B),0)</f>
        <v>0.5</v>
      </c>
    </row>
    <row r="1092" spans="1:71" ht="25.95" hidden="1" customHeight="1" x14ac:dyDescent="0.3">
      <c r="A1092" s="39" t="s">
        <v>33</v>
      </c>
      <c r="B1092" s="4" t="s">
        <v>53</v>
      </c>
      <c r="C1092" s="5" t="s">
        <v>209</v>
      </c>
      <c r="D1092" s="5" t="s">
        <v>213</v>
      </c>
      <c r="E1092" s="4" t="str" cm="1">
        <f t="array" ref="E1092">_xlfn.IFS(
F1092 = "A partir de Abril", "Aguardando Execução na Distribuidora",
A1092 = "CAPACITAÇÃO", "Em execução no Corporativo",
TRUE, "Em Execução na Distribuidora"
)</f>
        <v>Em Execução na Distribuidora</v>
      </c>
      <c r="F1092" s="4" t="str" cm="1">
        <f t="array" ref="F1092">_xlfn.IFS(
AG1092 &lt;&gt; "", "Jan-Dez/26",
AH1092 &lt;&gt; "", "Fev-Dez/26",
AI1092 &lt;&gt; "", "Mar-Dez/26", AJ1092 &lt;&gt; "", "Abr-Dez/26",
TRUE, "A partir de Junho"
)</f>
        <v>Jan-Dez/26</v>
      </c>
      <c r="G1092" s="4" t="s">
        <v>37</v>
      </c>
      <c r="H1092" s="7" t="s">
        <v>54</v>
      </c>
      <c r="I1092" s="8" t="s">
        <v>59</v>
      </c>
      <c r="J1092" s="8" t="str" cm="1">
        <f t="array" aca="1" ref="J1092" ca="1">_xlfn.LET(
  _xlpm.actual_value_month, INDEX(T1092:AE1092, MATCH(DATE(YEAR(TODAY()), MONTH(TODAY()), 1), $T$1:$AE$1, 0)),
  IF(_xlpm.actual_value_month &lt;&gt; "",_xlpm.actual_value_month &amp; " ações mensais", "")
)</f>
        <v/>
      </c>
      <c r="K1092" s="12" t="str" cm="1">
        <f t="array" ref="K1092">_xlfn.LET(
    _xlpm.sum_month, SUM(T1092:AE1092),
    IF(_xlpm.sum_month = 0, "", _xlpm.sum_month &amp; " pessoas impactadas no ano")
)</f>
        <v/>
      </c>
      <c r="L1092" s="9" t="s">
        <v>59</v>
      </c>
      <c r="M1092" s="13">
        <v>1</v>
      </c>
      <c r="N1092" s="5" t="s">
        <v>51</v>
      </c>
      <c r="O1092" s="5" t="s">
        <v>52</v>
      </c>
      <c r="P1092" s="10" t="s">
        <v>44</v>
      </c>
      <c r="Q1092" s="10" t="s">
        <v>44</v>
      </c>
      <c r="R1092" s="11" t="s">
        <v>44</v>
      </c>
      <c r="S1092" s="11" t="s">
        <v>44</v>
      </c>
      <c r="T1092" s="22"/>
      <c r="U1092" s="22"/>
      <c r="V1092" s="22"/>
      <c r="W1092" s="22"/>
      <c r="X1092" s="22"/>
      <c r="Y1092" s="22"/>
      <c r="Z1092" s="22"/>
      <c r="AA1092" s="22"/>
      <c r="AB1092" s="22"/>
      <c r="AC1092" s="22"/>
      <c r="AD1092" s="22"/>
      <c r="AE1092" s="22"/>
      <c r="AG1092" s="82">
        <v>0</v>
      </c>
      <c r="AH1092" s="82">
        <v>10</v>
      </c>
      <c r="AI1092" s="82">
        <v>16</v>
      </c>
      <c r="AJ1092" s="146">
        <v>24</v>
      </c>
      <c r="AK1092" s="71"/>
      <c r="AL1092" s="71"/>
      <c r="AM1092" s="71"/>
      <c r="AN1092" s="71"/>
      <c r="AO1092" s="71"/>
      <c r="AP1092" s="71"/>
      <c r="AQ1092" s="71"/>
      <c r="AR1092" s="71"/>
      <c r="AS1092" s="94">
        <f t="shared" ca="1" si="1253"/>
        <v>0</v>
      </c>
      <c r="AT1092" s="95">
        <f t="shared" si="1254"/>
        <v>50</v>
      </c>
      <c r="AU1092" s="97">
        <f t="shared" si="1255"/>
        <v>50</v>
      </c>
      <c r="AW1092" s="83">
        <f t="shared" si="1256"/>
        <v>0</v>
      </c>
      <c r="AX1092" s="83">
        <f t="shared" si="1257"/>
        <v>10</v>
      </c>
      <c r="AY1092" s="83">
        <f t="shared" si="1258"/>
        <v>16</v>
      </c>
      <c r="AZ1092" s="83">
        <f t="shared" si="1259"/>
        <v>24</v>
      </c>
      <c r="BA1092" s="52"/>
      <c r="BB1092" s="52"/>
      <c r="BC1092" s="52"/>
      <c r="BD1092" s="52"/>
      <c r="BE1092" s="52"/>
      <c r="BF1092" s="52"/>
      <c r="BG1092" s="52"/>
      <c r="BH1092" s="52"/>
      <c r="BI1092" s="68" cm="1">
        <f t="array" ref="BI1092">IFERROR(INDEX(AW1092:BH1092,1,MATCH(2,1/(AW1092:BH1092&lt;&gt;""))),"")</f>
        <v>24</v>
      </c>
      <c r="BJ1092" s="68" cm="1">
        <f t="array" ref="BJ1092">IF(BM1092 = "", "",IFERROR(INDEX(AW1092:BH1092,1,MATCH(2,1/(AW1092:BH1092&lt;&gt;""),1)-1),""))</f>
        <v>16</v>
      </c>
      <c r="BK1092" s="59">
        <f t="shared" si="1260"/>
        <v>50</v>
      </c>
      <c r="BL1092" s="59" cm="1">
        <f t="array" ref="BL1092">IFERROR(SUM(AW1092:INDEX(AW1092:BH1092, MATCH(2, 1/(AW1092:BH1092&lt;&gt;""), 1) - 1))/_xlfn.XLOOKUP(F1092,Apuração!A:A,Apuração!B:B),0)</f>
        <v>2.1666666666666665</v>
      </c>
      <c r="BM1092" s="55" cm="1">
        <f t="array" ref="BM1092">IFERROR(
   INDEX($AW$1:$BH$1,
      _xlfn.AGGREGATE(14, 6, COLUMN($AW$1:$BH$1)/(AW1092:BH1092&lt;&gt;""), 2) - COLUMN($AW$1) + 1
   ),
"")</f>
        <v>46082</v>
      </c>
      <c r="BN1092" s="55" cm="1">
        <f t="array" ref="BN1092">IFERROR(INDEX($AW$1:$BH$1,1,MATCH(2,1/(AW1092:BH1092&lt;&gt;""))),"")</f>
        <v>46113</v>
      </c>
      <c r="BO1092" s="53">
        <f ca="1">IFERROR(_xlfn.XLOOKUP(F1092,Apuração!A:A,Apuração!C:C)/_xlfn.XLOOKUP(F1092,Apuração!A:A,Apuração!B:B),0)</f>
        <v>0.41666666666666669</v>
      </c>
      <c r="BP1092" s="53">
        <f ca="1">IFERROR(_xlfn.XLOOKUP(F1092,Apuração!A:A,Apuração!D:D)/_xlfn.XLOOKUP(F1092,Apuração!A:A,Apuração!B:B),0)</f>
        <v>0.33333333333333331</v>
      </c>
      <c r="BQ1092" s="53">
        <f ca="1">IF(BK1092&gt;=BO1092,0,_xlfn.XLOOKUP(F1092,Apuração!A:A,Apuração!B:B)*(BO1092 + (1/_xlfn.XLOOKUP(F1092,Apuração!A:A,Apuração!B:B)) - BK1092))</f>
        <v>0</v>
      </c>
      <c r="BR1092" s="85">
        <f t="shared" ca="1" si="1261"/>
        <v>0</v>
      </c>
      <c r="BS1092" s="53">
        <f ca="1">IFERROR((_xlfn.XLOOKUP(F1092,Apuração!A:A,Apuração!C:C)+1)/_xlfn.XLOOKUP(F1092,Apuração!A:A,Apuração!B:B),0)</f>
        <v>0.5</v>
      </c>
    </row>
    <row r="1093" spans="1:71" ht="25.95" hidden="1" customHeight="1" x14ac:dyDescent="0.3">
      <c r="A1093" s="3" t="s">
        <v>33</v>
      </c>
      <c r="B1093" s="4" t="s">
        <v>60</v>
      </c>
      <c r="C1093" s="5" t="s">
        <v>209</v>
      </c>
      <c r="D1093" s="5" t="s">
        <v>36</v>
      </c>
      <c r="E1093" s="4" t="str" cm="1">
        <f t="array" ref="E1093">_xlfn.IFS(
F1093 = "A partir de Abril", "Aguardando Execução na Distribuidora",
A1093 = "CAPACITAÇÃO", "Em execução no Corporativo",
TRUE, "Em Execução na Distribuidora"
)</f>
        <v>Em Execução na Distribuidora</v>
      </c>
      <c r="F1093" s="4" t="str" cm="1">
        <f t="array" ref="F1093">_xlfn.IFS(
AG1093 &lt;&gt; "", "Jan-Dez/26",
AH1093 &lt;&gt; "", "Fev-Dez/26",
AI1093 &lt;&gt; "", "Mar-Dez/26", AJ1093 &lt;&gt; "", "Abr-Dez/26",
TRUE, "A partir de Junho"
)</f>
        <v>Jan-Dez/26</v>
      </c>
      <c r="G1093" s="16" t="s">
        <v>37</v>
      </c>
      <c r="H1093" s="7" t="s">
        <v>110</v>
      </c>
      <c r="I1093" s="8" t="s">
        <v>63</v>
      </c>
      <c r="J1093" s="8" t="str" cm="1">
        <f t="array" aca="1" ref="J1093" ca="1">_xlfn.LET(
  _xlpm.actual_value_month, INDEX(T1093:AE1093, MATCH(DATE(YEAR(TODAY()), MONTH(TODAY()), 1), $T$1:$AE$1, 0)),
  IF(_xlpm.actual_value_month &lt;&gt; "",_xlpm.actual_value_month &amp; " ações mensais", "")
)</f>
        <v/>
      </c>
      <c r="K1093" s="17" t="str" cm="1">
        <f t="array" ref="K1093">_xlfn.LET(
    _xlpm.sum_month, SUM(T1093:AE1093),
    IF(_xlpm.sum_month = 0, "", _xlpm.sum_month &amp; " eventos realizados")
)</f>
        <v>39690 eventos realizados</v>
      </c>
      <c r="L1093" s="9" t="s">
        <v>64</v>
      </c>
      <c r="M1093" s="13" t="s">
        <v>65</v>
      </c>
      <c r="N1093" s="5" t="s">
        <v>42</v>
      </c>
      <c r="O1093" s="5" t="s">
        <v>43</v>
      </c>
      <c r="P1093" s="10" t="s">
        <v>44</v>
      </c>
      <c r="Q1093" s="10" t="s">
        <v>44</v>
      </c>
      <c r="R1093" s="11" t="s">
        <v>66</v>
      </c>
      <c r="S1093" s="11" t="s">
        <v>67</v>
      </c>
      <c r="T1093" s="22">
        <v>6624</v>
      </c>
      <c r="U1093" s="22">
        <v>9507</v>
      </c>
      <c r="V1093" s="22">
        <v>13266</v>
      </c>
      <c r="W1093" s="22">
        <v>10293</v>
      </c>
      <c r="X1093" s="22"/>
      <c r="Y1093" s="22"/>
      <c r="Z1093" s="22"/>
      <c r="AA1093" s="22"/>
      <c r="AB1093" s="22"/>
      <c r="AC1093" s="22"/>
      <c r="AD1093" s="22"/>
      <c r="AE1093" s="22"/>
      <c r="AG1093" s="71">
        <v>6624</v>
      </c>
      <c r="AH1093" s="71">
        <v>9507</v>
      </c>
      <c r="AI1093" s="71">
        <v>13266</v>
      </c>
      <c r="AJ1093" s="71">
        <v>10293</v>
      </c>
      <c r="AK1093" s="71"/>
      <c r="AL1093" s="71"/>
      <c r="AM1093" s="71"/>
      <c r="AN1093" s="71"/>
      <c r="AO1093" s="71"/>
      <c r="AP1093" s="71"/>
      <c r="AQ1093" s="71"/>
      <c r="AR1093" s="71"/>
      <c r="AS1093" s="94">
        <f ca="1">IF(MONTH(TODAY())=3,SUM(T1093:U1093),IF(MONTH(TODAY())=4,SUM(T1093:V1093),IF(MONTH(TODAY())=5,SUM(T1093:W1093),IF(MONTH(TODAY())=6,SUM(T1093:X1093),IF(MONTH(TODAY())=7,SUM(T1093:Y1093),IF(MONTH(TODAY())=8,SUM(T1093:Z1093),IF(MONTH(TODAY())=9,SUM(T1093:AA1093),IF(MONTH(TODAY())=10,SUM(T1093:AB1093),IF(MONTH(TODAY())=11,SUM(T1093:AC1093),IF(MONTH(TODAY())=12,SUM(T1093:AD1093),IF(MONTH(TODAY())=1,SUM(T1093:AE1093),T1093)))))))))))</f>
        <v>39690</v>
      </c>
      <c r="AT1093" s="95">
        <f>SUM(IF(AW1093&lt;1.15,AG1093,1.15*T1093),IF(AX1093&lt;1.15,AH1093,1.15*U1093),IF(AY1093&lt;1.15,AI1093,1.15*V1093),IF(AZ1093&lt;1.15,AJ1093,1.15*W1093),IF(BA1093&lt;1.15,AK1093,1.15*X1093),IF(BB1093&lt;1.15,AL1093,1.15*Y1093),IF(BC1093&lt;1.15,AM1093,1.15*Z1093),IF(BD1093&lt;1.15,AN1093,1.15*AA1093),IF(BE1093&lt;1.15,AO1093,1.15*AB1093),IF(BF1093&lt;1.15,AP1093,1.15*AC1093),IF(BG1093&lt;1.15,AQ1093,1.15*AD1093),IF(BH1093&lt;1.15,AR1093,1.15*AE1093))</f>
        <v>39690</v>
      </c>
      <c r="AU1093" s="97">
        <f>SUM(AG1093:AR1093)</f>
        <v>39690</v>
      </c>
      <c r="AW1093" s="51">
        <f>IFERROR(IF(AG1093="",0,AG1093/T1093),0)</f>
        <v>1</v>
      </c>
      <c r="AX1093" s="51">
        <f>IFERROR(IF(AH1093="",0,AH1093/U1093),0)</f>
        <v>1</v>
      </c>
      <c r="AY1093" s="51">
        <f>IFERROR(IF(AI1093="",0,AI1093/V1093),0)</f>
        <v>1</v>
      </c>
      <c r="AZ1093" s="51">
        <f>IFERROR(IF(AJ1093="",0,AJ1093/W1093),0)</f>
        <v>1</v>
      </c>
      <c r="BA1093" s="51"/>
      <c r="BB1093" s="51"/>
      <c r="BC1093" s="51"/>
      <c r="BD1093" s="51"/>
      <c r="BE1093" s="51"/>
      <c r="BF1093" s="51"/>
      <c r="BG1093" s="51"/>
      <c r="BH1093" s="51"/>
      <c r="BI1093" s="65" cm="1">
        <f t="array" ref="BI1093">IFERROR(INDEX(AW1093:BH1093,1,MATCH(2,1/(AW1093:BH1093&lt;&gt;""))),"")</f>
        <v>1</v>
      </c>
      <c r="BJ1093" s="68" cm="1">
        <f t="array" ref="BJ1093">IF(BM1093 = "", "",IFERROR(INDEX(AW1093:BH1093,1,MATCH(2,1/(AW1093:BH1093&lt;&gt;""),1)-1),""))</f>
        <v>1</v>
      </c>
      <c r="BK1093" s="58">
        <f>IF((IF(AW1093&gt;=115%,115%,AW1093) + IF(AX1093&gt;=115%,115%,AX1093) + IF(AY1093&gt;=115%,115%,AY1093) + (IF(AZ1093&gt;=115%,115%,AZ1093) + IF(BA1093&gt;=115%,115%,BA1093) + IF(BB1093&gt;=115%,115%,BB1093) + IF(BC1093&gt;=115%,115%,BC1093) + IF(BD1093&gt;=115%,115%,BD1093) + IF(BE1093&gt;=115%,115%,BE1093) + IF(BF1093&gt;=115%,115%,BF1093) + IF(BG1093&gt;=115%,115%,BG1093) + IF(BH1093&gt;=115%,115%,BH1093)))/_xlfn.XLOOKUP(F1093,Apuração!A:A,Apuração!B:B)&gt;=1.15,1.15,((IF(AZ1093&gt;=115%,115%,AZ1093) + IF(AX1093&gt;=115%,115%,AX1093) + IF(AY1093&gt;=115%,115%,AY1093) + (IF(AW1093&gt;=115%,115%,AW1093) + IF(BA1093&gt;=115%,115%,BA1093) + IF(BB1093&gt;=115%,115%,BB1093) + IF(BC1093&gt;=115%,115%,BC1093) + IF(BD1093&gt;=115%,115%,BD1093) + IF(BE1093&gt;=115%,115%,BE1093) + IF(BF1093&gt;=115%,115%,BF1093) + IF(BG1093&gt;=115%,115%,BG1093) + IF(BH1093&gt;=115%,115%,BH1093)))/_xlfn.XLOOKUP(F1093,Apuração!A:A,Apuração!B:B)))</f>
        <v>0.33333333333333331</v>
      </c>
      <c r="BL1093" s="58" cm="1">
        <f t="array" aca="1" ref="BL1093" ca="1">IF(SUM(IFERROR(IF(INDEX(AW1093:INDEX(AW1093:BH1093, MATCH(2, 1/(AW1093:BH1093&lt;&gt;""), 1)-1), ROW(INDIRECT("1:" &amp; MATCH(2, 1/(AW1093:BH1093&lt;&gt;""), 1)-1))) &gt;= 115%, 115%, INDEX(AW1093:INDEX(AW1093:BH1093, MATCH(2, 1/(AW1093:BH1093&lt;&gt;""), 1)-1), ROW(INDIRECT("1:" &amp; MATCH(2, 1/(AW1093:BH1093&lt;&gt;""), 1)-1)))), 0))/_xlfn.XLOOKUP(F1093,Apuração!A:A,Apuração!B:B)&gt;=1.15,1.15,SUM(IFERROR(IF(INDEX(AW1093:INDEX(AW1093:BH1093, MATCH(2, 1/(AW1093:BH1093&lt;&gt;""), 1)-1), ROW(INDIRECT("1:" &amp; MATCH(2, 1/(AW1093:BH1093&lt;&gt;""), 1)-1))) &gt;= 115%, 115%, INDEX(AW1093:INDEX(AW1093:BH1093, MATCH(2, 1/(AW1093:BH1093&lt;&gt;""), 1)-1), ROW(INDIRECT("1:" &amp; MATCH(2, 1/(AW1093:BH1093&lt;&gt;""), 1)-1)))), 0))/_xlfn.XLOOKUP(F1093,Apuração!A:A,Apuração!B:B))</f>
        <v>0.25</v>
      </c>
      <c r="BM1093" s="55" cm="1">
        <f t="array" ref="BM1093">IFERROR(
   INDEX($AW$1:$BH$1,
      _xlfn.AGGREGATE(14, 6, COLUMN($AW$1:$BH$1)/(AW1093:BH1093&lt;&gt;""), 2) - COLUMN($AW$1) + 1
   ),
"")</f>
        <v>46082</v>
      </c>
      <c r="BN1093" s="55" cm="1">
        <f t="array" ref="BN1093">IFERROR(INDEX($AW$1:$BH$1,1,MATCH(2,1/(AW1093:BH1093&lt;&gt;""))),"")</f>
        <v>46113</v>
      </c>
      <c r="BO1093" s="53">
        <f ca="1">IFERROR(_xlfn.XLOOKUP(F1093,Apuração!A:A,Apuração!C:C)/_xlfn.XLOOKUP(F1093,Apuração!A:A,Apuração!B:B),0)</f>
        <v>0.41666666666666669</v>
      </c>
      <c r="BP1093" s="53">
        <f ca="1">IFERROR(_xlfn.XLOOKUP(F1093,Apuração!A:A,Apuração!D:D)/_xlfn.XLOOKUP(F1093,Apuração!A:A,Apuração!B:B),0)</f>
        <v>0.33333333333333331</v>
      </c>
      <c r="BQ1093" s="53">
        <f ca="1">IF(BK1093&gt;=BO1093,0,_xlfn.XLOOKUP(F1093,Apuração!A:A,Apuração!B:B)*(BO1093 + (1/_xlfn.XLOOKUP(F1093,Apuração!A:A,Apuração!B:B)) - BK1093))</f>
        <v>2</v>
      </c>
      <c r="BR1093" s="85">
        <f ca="1">IF(BQ1093=0,0,BQ1093*Z1093)</f>
        <v>0</v>
      </c>
      <c r="BS1093" s="53">
        <f ca="1">IFERROR((_xlfn.XLOOKUP(F1093,Apuração!A:A,Apuração!C:C)+1)/_xlfn.XLOOKUP(F1093,Apuração!A:A,Apuração!B:B),0)</f>
        <v>0.5</v>
      </c>
    </row>
    <row r="1094" spans="1:71" ht="25.95" hidden="1" customHeight="1" x14ac:dyDescent="0.3">
      <c r="A1094" s="3" t="s">
        <v>33</v>
      </c>
      <c r="B1094" s="4" t="s">
        <v>60</v>
      </c>
      <c r="C1094" s="5" t="s">
        <v>209</v>
      </c>
      <c r="D1094" s="5" t="s">
        <v>210</v>
      </c>
      <c r="E1094" s="4" t="str" cm="1">
        <f t="array" ref="E1094">_xlfn.IFS(
F1094 = "A partir de Abril", "Aguardando Execução na Distribuidora",
A1094 = "CAPACITAÇÃO", "Em execução no Corporativo",
TRUE, "Em Execução na Distribuidora"
)</f>
        <v>Em Execução na Distribuidora</v>
      </c>
      <c r="F1094" s="4" t="str" cm="1">
        <f t="array" ref="F1094">_xlfn.IFS(
AG1094 &lt;&gt; "", "Jan-Dez/26",
AH1094 &lt;&gt; "", "Fev-Dez/26",
AI1094 &lt;&gt; "", "Mar-Dez/26", AJ1094 &lt;&gt; "", "Abr-Dez/26",
TRUE, "A partir de Junho"
)</f>
        <v>A partir de Junho</v>
      </c>
      <c r="G1094" s="16" t="s">
        <v>37</v>
      </c>
      <c r="H1094" s="7" t="s">
        <v>110</v>
      </c>
      <c r="I1094" s="8" t="s">
        <v>63</v>
      </c>
      <c r="J1094" s="8" t="str" cm="1">
        <f t="array" aca="1" ref="J1094" ca="1">_xlfn.LET(
  _xlpm.actual_value_month, INDEX(T1094:AE1094, MATCH(DATE(YEAR(TODAY()), MONTH(TODAY()), 1), $T$1:$AE$1, 0)),
  IF(_xlpm.actual_value_month &lt;&gt; "",_xlpm.actual_value_month &amp; " ações mensais", "")
)</f>
        <v/>
      </c>
      <c r="K1094" s="17" t="str" cm="1">
        <f t="array" ref="K1094">_xlfn.LET(
    _xlpm.sum_month, SUM(T1094:AE1094),
    IF(_xlpm.sum_month = 0, "", _xlpm.sum_month &amp; " eventos realizados")
)</f>
        <v/>
      </c>
      <c r="L1094" s="9" t="s">
        <v>64</v>
      </c>
      <c r="M1094" s="13" t="s">
        <v>65</v>
      </c>
      <c r="N1094" s="5" t="s">
        <v>42</v>
      </c>
      <c r="O1094" s="5" t="s">
        <v>43</v>
      </c>
      <c r="P1094" s="10" t="s">
        <v>44</v>
      </c>
      <c r="Q1094" s="10" t="s">
        <v>44</v>
      </c>
      <c r="R1094" s="11" t="s">
        <v>66</v>
      </c>
      <c r="S1094" s="11" t="s">
        <v>67</v>
      </c>
      <c r="T1094" s="143"/>
      <c r="U1094" s="143"/>
      <c r="V1094" s="22"/>
      <c r="W1094" s="22"/>
      <c r="X1094" s="22"/>
      <c r="Y1094" s="22"/>
      <c r="Z1094" s="22"/>
      <c r="AA1094" s="22"/>
      <c r="AB1094" s="22"/>
      <c r="AC1094" s="22"/>
      <c r="AD1094" s="22"/>
      <c r="AE1094" s="22"/>
      <c r="AG1094" s="71"/>
      <c r="AH1094" s="71"/>
      <c r="AI1094" s="71"/>
      <c r="AJ1094" s="71"/>
      <c r="AK1094" s="71"/>
      <c r="AL1094" s="71"/>
      <c r="AM1094" s="71"/>
      <c r="AN1094" s="71"/>
      <c r="AO1094" s="71"/>
      <c r="AP1094" s="71"/>
      <c r="AQ1094" s="71"/>
      <c r="AR1094" s="71"/>
      <c r="AS1094" s="94">
        <f t="shared" ref="AS1094:AS1098" ca="1" si="1262">IF(MONTH(TODAY())=3,SUM(T1094:U1094),IF(MONTH(TODAY())=4,SUM(T1094:V1094),IF(MONTH(TODAY())=5,SUM(T1094:W1094),IF(MONTH(TODAY())=6,SUM(T1094:X1094),IF(MONTH(TODAY())=7,SUM(T1094:Y1094),IF(MONTH(TODAY())=8,SUM(T1094:Z1094),IF(MONTH(TODAY())=9,SUM(T1094:AA1094),IF(MONTH(TODAY())=10,SUM(T1094:AB1094),IF(MONTH(TODAY())=11,SUM(T1094:AC1094),IF(MONTH(TODAY())=12,SUM(T1094:AD1094),IF(MONTH(TODAY())=1,SUM(T1094:AE1094),T1094)))))))))))</f>
        <v>0</v>
      </c>
      <c r="AT1094" s="95">
        <f t="shared" ref="AT1094:AT1098" si="1263">SUM(IF(AW1094&lt;1.15,AG1094,1.15*T1094),IF(AX1094&lt;1.15,AH1094,1.15*U1094),IF(AY1094&lt;1.15,AI1094,1.15*V1094),IF(AZ1094&lt;1.15,AJ1094,1.15*W1094),IF(BA1094&lt;1.15,AK1094,1.15*X1094),IF(BB1094&lt;1.15,AL1094,1.15*Y1094),IF(BC1094&lt;1.15,AM1094,1.15*Z1094),IF(BD1094&lt;1.15,AN1094,1.15*AA1094),IF(BE1094&lt;1.15,AO1094,1.15*AB1094),IF(BF1094&lt;1.15,AP1094,1.15*AC1094),IF(BG1094&lt;1.15,AQ1094,1.15*AD1094),IF(BH1094&lt;1.15,AR1094,1.15*AE1094))</f>
        <v>0</v>
      </c>
      <c r="AU1094" s="97">
        <f t="shared" ref="AU1094:AU1098" si="1264">SUM(AG1094:AR1094)</f>
        <v>0</v>
      </c>
      <c r="AW1094" s="51">
        <f t="shared" ref="AW1094:AW1098" si="1265">IFERROR(IF(AG1094="",0,AG1094/T1094),0)</f>
        <v>0</v>
      </c>
      <c r="AX1094" s="51">
        <f t="shared" ref="AX1094:AX1098" si="1266">IFERROR(IF(AH1094="",0,AH1094/U1094),0)</f>
        <v>0</v>
      </c>
      <c r="AY1094" s="51">
        <f t="shared" ref="AY1094:AY1098" si="1267">IFERROR(IF(AI1094="",0,AI1094/V1094),0)</f>
        <v>0</v>
      </c>
      <c r="AZ1094" s="51">
        <f t="shared" ref="AZ1094:AZ1098" si="1268">IFERROR(IF(AJ1094="",0,AJ1094/W1094),0)</f>
        <v>0</v>
      </c>
      <c r="BA1094" s="51"/>
      <c r="BB1094" s="51"/>
      <c r="BC1094" s="51"/>
      <c r="BD1094" s="51"/>
      <c r="BE1094" s="51"/>
      <c r="BF1094" s="51"/>
      <c r="BG1094" s="51"/>
      <c r="BH1094" s="51"/>
      <c r="BI1094" s="65" cm="1">
        <f t="array" ref="BI1094">IFERROR(INDEX(AW1094:BH1094,1,MATCH(2,1/(AW1094:BH1094&lt;&gt;""))),"")</f>
        <v>0</v>
      </c>
      <c r="BJ1094" s="68" cm="1">
        <f t="array" ref="BJ1094">IF(BM1094 = "", "",IFERROR(INDEX(AW1094:BH1094,1,MATCH(2,1/(AW1094:BH1094&lt;&gt;""),1)-1),""))</f>
        <v>0</v>
      </c>
      <c r="BK1094" s="58">
        <f>IF((IF(AW1094&gt;=115%,115%,AW1094) + IF(AX1094&gt;=115%,115%,AX1094) + IF(AY1094&gt;=115%,115%,AY1094) + (IF(AZ1094&gt;=115%,115%,AZ1094) + IF(BA1094&gt;=115%,115%,BA1094) + IF(BB1094&gt;=115%,115%,BB1094) + IF(BC1094&gt;=115%,115%,BC1094) + IF(BD1094&gt;=115%,115%,BD1094) + IF(BE1094&gt;=115%,115%,BE1094) + IF(BF1094&gt;=115%,115%,BF1094) + IF(BG1094&gt;=115%,115%,BG1094) + IF(BH1094&gt;=115%,115%,BH1094)))/_xlfn.XLOOKUP(F1094,Apuração!A:A,Apuração!B:B)&gt;=1.15,1.15,((IF(AZ1094&gt;=115%,115%,AZ1094) + IF(AX1094&gt;=115%,115%,AX1094) + IF(AY1094&gt;=115%,115%,AY1094) + (IF(AW1094&gt;=115%,115%,AW1094) + IF(BA1094&gt;=115%,115%,BA1094) + IF(BB1094&gt;=115%,115%,BB1094) + IF(BC1094&gt;=115%,115%,BC1094) + IF(BD1094&gt;=115%,115%,BD1094) + IF(BE1094&gt;=115%,115%,BE1094) + IF(BF1094&gt;=115%,115%,BF1094) + IF(BG1094&gt;=115%,115%,BG1094) + IF(BH1094&gt;=115%,115%,BH1094)))/_xlfn.XLOOKUP(F1094,Apuração!A:A,Apuração!B:B)))</f>
        <v>0</v>
      </c>
      <c r="BL1094" s="58" cm="1">
        <f t="array" aca="1" ref="BL1094" ca="1">IF(SUM(IFERROR(IF(INDEX(AW1094:INDEX(AW1094:BH1094, MATCH(2, 1/(AW1094:BH1094&lt;&gt;""), 1)-1), ROW(INDIRECT("1:" &amp; MATCH(2, 1/(AW1094:BH1094&lt;&gt;""), 1)-1))) &gt;= 115%, 115%, INDEX(AW1094:INDEX(AW1094:BH1094, MATCH(2, 1/(AW1094:BH1094&lt;&gt;""), 1)-1), ROW(INDIRECT("1:" &amp; MATCH(2, 1/(AW1094:BH1094&lt;&gt;""), 1)-1)))), 0))/_xlfn.XLOOKUP(F1094,Apuração!A:A,Apuração!B:B)&gt;=1.15,1.15,SUM(IFERROR(IF(INDEX(AW1094:INDEX(AW1094:BH1094, MATCH(2, 1/(AW1094:BH1094&lt;&gt;""), 1)-1), ROW(INDIRECT("1:" &amp; MATCH(2, 1/(AW1094:BH1094&lt;&gt;""), 1)-1))) &gt;= 115%, 115%, INDEX(AW1094:INDEX(AW1094:BH1094, MATCH(2, 1/(AW1094:BH1094&lt;&gt;""), 1)-1), ROW(INDIRECT("1:" &amp; MATCH(2, 1/(AW1094:BH1094&lt;&gt;""), 1)-1)))), 0))/_xlfn.XLOOKUP(F1094,Apuração!A:A,Apuração!B:B))</f>
        <v>0</v>
      </c>
      <c r="BM1094" s="55" cm="1">
        <f t="array" ref="BM1094">IFERROR(
   INDEX($AW$1:$BH$1,
      _xlfn.AGGREGATE(14, 6, COLUMN($AW$1:$BH$1)/(AW1094:BH1094&lt;&gt;""), 2) - COLUMN($AW$1) + 1
   ),
"")</f>
        <v>46082</v>
      </c>
      <c r="BN1094" s="55" cm="1">
        <f t="array" ref="BN1094">IFERROR(INDEX($AW$1:$BH$1,1,MATCH(2,1/(AW1094:BH1094&lt;&gt;""))),"")</f>
        <v>46113</v>
      </c>
      <c r="BO1094" s="53">
        <f ca="1">IFERROR(_xlfn.XLOOKUP(F1094,Apuração!A:A,Apuração!C:C)/_xlfn.XLOOKUP(F1094,Apuração!A:A,Apuração!B:B),0)</f>
        <v>0</v>
      </c>
      <c r="BP1094" s="53">
        <f ca="1">IFERROR(_xlfn.XLOOKUP(F1094,Apuração!A:A,Apuração!D:D)/_xlfn.XLOOKUP(F1094,Apuração!A:A,Apuração!B:B),0)</f>
        <v>0</v>
      </c>
      <c r="BQ1094" s="53">
        <f ca="1">IF(BK1094&gt;=BO1094,0,_xlfn.XLOOKUP(F1094,Apuração!A:A,Apuração!B:B)*(BO1094 + (1/_xlfn.XLOOKUP(F1094,Apuração!A:A,Apuração!B:B)) - BK1094))</f>
        <v>0</v>
      </c>
      <c r="BR1094" s="85">
        <f t="shared" ref="BR1094:BR1098" ca="1" si="1269">IF(BQ1094=0,0,BQ1094*Z1094)</f>
        <v>0</v>
      </c>
      <c r="BS1094" s="53">
        <f ca="1">IFERROR((_xlfn.XLOOKUP(F1094,Apuração!A:A,Apuração!C:C)+1)/_xlfn.XLOOKUP(F1094,Apuração!A:A,Apuração!B:B),0)</f>
        <v>0.14285714285714285</v>
      </c>
    </row>
    <row r="1095" spans="1:71" ht="25.95" hidden="1" customHeight="1" x14ac:dyDescent="0.3">
      <c r="A1095" s="3" t="s">
        <v>33</v>
      </c>
      <c r="B1095" s="4" t="s">
        <v>60</v>
      </c>
      <c r="C1095" s="5" t="s">
        <v>209</v>
      </c>
      <c r="D1095" s="5" t="s">
        <v>47</v>
      </c>
      <c r="E1095" s="4" t="str" cm="1">
        <f t="array" ref="E1095">_xlfn.IFS(
F1095 = "A partir de Abril", "Aguardando Execução na Distribuidora",
A1095 = "CAPACITAÇÃO", "Em execução no Corporativo",
TRUE, "Em Execução na Distribuidora"
)</f>
        <v>Em Execução na Distribuidora</v>
      </c>
      <c r="F1095" s="4" t="str" cm="1">
        <f t="array" ref="F1095">_xlfn.IFS(
AG1095 &lt;&gt; "", "Jan-Dez/26",
AH1095 &lt;&gt; "", "Fev-Dez/26",
AI1095 &lt;&gt; "", "Mar-Dez/26", AJ1095 &lt;&gt; "", "Abr-Dez/26",
TRUE, "A partir de Junho"
)</f>
        <v>A partir de Junho</v>
      </c>
      <c r="G1095" s="16" t="s">
        <v>37</v>
      </c>
      <c r="H1095" s="7" t="s">
        <v>110</v>
      </c>
      <c r="I1095" s="8" t="s">
        <v>63</v>
      </c>
      <c r="J1095" s="8" t="str" cm="1">
        <f t="array" aca="1" ref="J1095" ca="1">_xlfn.LET(
  _xlpm.actual_value_month, INDEX(T1095:AE1095, MATCH(DATE(YEAR(TODAY()), MONTH(TODAY()), 1), $T$1:$AE$1, 0)),
  IF(_xlpm.actual_value_month &lt;&gt; "",_xlpm.actual_value_month &amp; " ações mensais", "")
)</f>
        <v/>
      </c>
      <c r="K1095" s="17" t="str" cm="1">
        <f t="array" ref="K1095">_xlfn.LET(
    _xlpm.sum_month, SUM(T1095:AE1095),
    IF(_xlpm.sum_month = 0, "", _xlpm.sum_month &amp; " eventos realizados")
)</f>
        <v/>
      </c>
      <c r="L1095" s="9" t="s">
        <v>64</v>
      </c>
      <c r="M1095" s="13" t="s">
        <v>65</v>
      </c>
      <c r="N1095" s="5" t="s">
        <v>42</v>
      </c>
      <c r="O1095" s="5" t="s">
        <v>43</v>
      </c>
      <c r="P1095" s="10" t="s">
        <v>44</v>
      </c>
      <c r="Q1095" s="10" t="s">
        <v>44</v>
      </c>
      <c r="R1095" s="11" t="s">
        <v>66</v>
      </c>
      <c r="S1095" s="11" t="s">
        <v>67</v>
      </c>
      <c r="T1095" s="143"/>
      <c r="U1095" s="143"/>
      <c r="V1095" s="22"/>
      <c r="W1095" s="22"/>
      <c r="X1095" s="22"/>
      <c r="Y1095" s="22"/>
      <c r="Z1095" s="22"/>
      <c r="AA1095" s="22"/>
      <c r="AB1095" s="22"/>
      <c r="AC1095" s="22"/>
      <c r="AD1095" s="22"/>
      <c r="AE1095" s="22"/>
      <c r="AG1095" s="71"/>
      <c r="AH1095" s="71"/>
      <c r="AI1095" s="71"/>
      <c r="AJ1095" s="71"/>
      <c r="AK1095" s="71"/>
      <c r="AL1095" s="71"/>
      <c r="AM1095" s="71"/>
      <c r="AN1095" s="71"/>
      <c r="AO1095" s="71"/>
      <c r="AP1095" s="71"/>
      <c r="AQ1095" s="71"/>
      <c r="AR1095" s="71"/>
      <c r="AS1095" s="94">
        <f t="shared" ca="1" si="1262"/>
        <v>0</v>
      </c>
      <c r="AT1095" s="95">
        <f t="shared" si="1263"/>
        <v>0</v>
      </c>
      <c r="AU1095" s="97">
        <f t="shared" si="1264"/>
        <v>0</v>
      </c>
      <c r="AW1095" s="51">
        <f t="shared" si="1265"/>
        <v>0</v>
      </c>
      <c r="AX1095" s="51">
        <f t="shared" si="1266"/>
        <v>0</v>
      </c>
      <c r="AY1095" s="51">
        <f t="shared" si="1267"/>
        <v>0</v>
      </c>
      <c r="AZ1095" s="51">
        <f t="shared" si="1268"/>
        <v>0</v>
      </c>
      <c r="BA1095" s="51"/>
      <c r="BB1095" s="51"/>
      <c r="BC1095" s="51"/>
      <c r="BD1095" s="51"/>
      <c r="BE1095" s="51"/>
      <c r="BF1095" s="51"/>
      <c r="BG1095" s="51"/>
      <c r="BH1095" s="51"/>
      <c r="BI1095" s="65" cm="1">
        <f t="array" ref="BI1095">IFERROR(INDEX(AW1095:BH1095,1,MATCH(2,1/(AW1095:BH1095&lt;&gt;""))),"")</f>
        <v>0</v>
      </c>
      <c r="BJ1095" s="68" cm="1">
        <f t="array" ref="BJ1095">IF(BM1095 = "", "",IFERROR(INDEX(AW1095:BH1095,1,MATCH(2,1/(AW1095:BH1095&lt;&gt;""),1)-1),""))</f>
        <v>0</v>
      </c>
      <c r="BK1095" s="58">
        <f>IF((IF(AW1095&gt;=115%,115%,AW1095) + IF(AX1095&gt;=115%,115%,AX1095) + IF(AY1095&gt;=115%,115%,AY1095) + (IF(AZ1095&gt;=115%,115%,AZ1095) + IF(BA1095&gt;=115%,115%,BA1095) + IF(BB1095&gt;=115%,115%,BB1095) + IF(BC1095&gt;=115%,115%,BC1095) + IF(BD1095&gt;=115%,115%,BD1095) + IF(BE1095&gt;=115%,115%,BE1095) + IF(BF1095&gt;=115%,115%,BF1095) + IF(BG1095&gt;=115%,115%,BG1095) + IF(BH1095&gt;=115%,115%,BH1095)))/_xlfn.XLOOKUP(F1095,Apuração!A:A,Apuração!B:B)&gt;=1.15,1.15,((IF(AZ1095&gt;=115%,115%,AZ1095) + IF(AX1095&gt;=115%,115%,AX1095) + IF(AY1095&gt;=115%,115%,AY1095) + (IF(AW1095&gt;=115%,115%,AW1095) + IF(BA1095&gt;=115%,115%,BA1095) + IF(BB1095&gt;=115%,115%,BB1095) + IF(BC1095&gt;=115%,115%,BC1095) + IF(BD1095&gt;=115%,115%,BD1095) + IF(BE1095&gt;=115%,115%,BE1095) + IF(BF1095&gt;=115%,115%,BF1095) + IF(BG1095&gt;=115%,115%,BG1095) + IF(BH1095&gt;=115%,115%,BH1095)))/_xlfn.XLOOKUP(F1095,Apuração!A:A,Apuração!B:B)))</f>
        <v>0</v>
      </c>
      <c r="BL1095" s="58" cm="1">
        <f t="array" aca="1" ref="BL1095" ca="1">IF(SUM(IFERROR(IF(INDEX(AW1095:INDEX(AW1095:BH1095, MATCH(2, 1/(AW1095:BH1095&lt;&gt;""), 1)-1), ROW(INDIRECT("1:" &amp; MATCH(2, 1/(AW1095:BH1095&lt;&gt;""), 1)-1))) &gt;= 115%, 115%, INDEX(AW1095:INDEX(AW1095:BH1095, MATCH(2, 1/(AW1095:BH1095&lt;&gt;""), 1)-1), ROW(INDIRECT("1:" &amp; MATCH(2, 1/(AW1095:BH1095&lt;&gt;""), 1)-1)))), 0))/_xlfn.XLOOKUP(F1095,Apuração!A:A,Apuração!B:B)&gt;=1.15,1.15,SUM(IFERROR(IF(INDEX(AW1095:INDEX(AW1095:BH1095, MATCH(2, 1/(AW1095:BH1095&lt;&gt;""), 1)-1), ROW(INDIRECT("1:" &amp; MATCH(2, 1/(AW1095:BH1095&lt;&gt;""), 1)-1))) &gt;= 115%, 115%, INDEX(AW1095:INDEX(AW1095:BH1095, MATCH(2, 1/(AW1095:BH1095&lt;&gt;""), 1)-1), ROW(INDIRECT("1:" &amp; MATCH(2, 1/(AW1095:BH1095&lt;&gt;""), 1)-1)))), 0))/_xlfn.XLOOKUP(F1095,Apuração!A:A,Apuração!B:B))</f>
        <v>0</v>
      </c>
      <c r="BM1095" s="55" cm="1">
        <f t="array" ref="BM1095">IFERROR(
   INDEX($AW$1:$BH$1,
      _xlfn.AGGREGATE(14, 6, COLUMN($AW$1:$BH$1)/(AW1095:BH1095&lt;&gt;""), 2) - COLUMN($AW$1) + 1
   ),
"")</f>
        <v>46082</v>
      </c>
      <c r="BN1095" s="55" cm="1">
        <f t="array" ref="BN1095">IFERROR(INDEX($AW$1:$BH$1,1,MATCH(2,1/(AW1095:BH1095&lt;&gt;""))),"")</f>
        <v>46113</v>
      </c>
      <c r="BO1095" s="53">
        <f ca="1">IFERROR(_xlfn.XLOOKUP(F1095,Apuração!A:A,Apuração!C:C)/_xlfn.XLOOKUP(F1095,Apuração!A:A,Apuração!B:B),0)</f>
        <v>0</v>
      </c>
      <c r="BP1095" s="53">
        <f ca="1">IFERROR(_xlfn.XLOOKUP(F1095,Apuração!A:A,Apuração!D:D)/_xlfn.XLOOKUP(F1095,Apuração!A:A,Apuração!B:B),0)</f>
        <v>0</v>
      </c>
      <c r="BQ1095" s="53">
        <f ca="1">IF(BK1095&gt;=BO1095,0,_xlfn.XLOOKUP(F1095,Apuração!A:A,Apuração!B:B)*(BO1095 + (1/_xlfn.XLOOKUP(F1095,Apuração!A:A,Apuração!B:B)) - BK1095))</f>
        <v>0</v>
      </c>
      <c r="BR1095" s="85">
        <f t="shared" ca="1" si="1269"/>
        <v>0</v>
      </c>
      <c r="BS1095" s="53">
        <f ca="1">IFERROR((_xlfn.XLOOKUP(F1095,Apuração!A:A,Apuração!C:C)+1)/_xlfn.XLOOKUP(F1095,Apuração!A:A,Apuração!B:B),0)</f>
        <v>0.14285714285714285</v>
      </c>
    </row>
    <row r="1096" spans="1:71" ht="25.95" hidden="1" customHeight="1" x14ac:dyDescent="0.3">
      <c r="A1096" s="3" t="s">
        <v>33</v>
      </c>
      <c r="B1096" s="4" t="s">
        <v>60</v>
      </c>
      <c r="C1096" s="5" t="s">
        <v>209</v>
      </c>
      <c r="D1096" s="5" t="s">
        <v>211</v>
      </c>
      <c r="E1096" s="4" t="str" cm="1">
        <f t="array" ref="E1096">_xlfn.IFS(
F1096 = "A partir de Abril", "Aguardando Execução na Distribuidora",
A1096 = "CAPACITAÇÃO", "Em execução no Corporativo",
TRUE, "Em Execução na Distribuidora"
)</f>
        <v>Em Execução na Distribuidora</v>
      </c>
      <c r="F1096" s="4" t="str" cm="1">
        <f t="array" ref="F1096">_xlfn.IFS(
AG1096 &lt;&gt; "", "Jan-Dez/26",
AH1096 &lt;&gt; "", "Fev-Dez/26",
AI1096 &lt;&gt; "", "Mar-Dez/26", AJ1096 &lt;&gt; "", "Abr-Dez/26",
TRUE, "A partir de Junho"
)</f>
        <v>A partir de Junho</v>
      </c>
      <c r="G1096" s="16" t="s">
        <v>37</v>
      </c>
      <c r="H1096" s="7" t="s">
        <v>110</v>
      </c>
      <c r="I1096" s="8" t="s">
        <v>63</v>
      </c>
      <c r="J1096" s="8" t="str" cm="1">
        <f t="array" aca="1" ref="J1096" ca="1">_xlfn.LET(
  _xlpm.actual_value_month, INDEX(T1096:AE1096, MATCH(DATE(YEAR(TODAY()), MONTH(TODAY()), 1), $T$1:$AE$1, 0)),
  IF(_xlpm.actual_value_month &lt;&gt; "",_xlpm.actual_value_month &amp; " ações mensais", "")
)</f>
        <v/>
      </c>
      <c r="K1096" s="17" t="str" cm="1">
        <f t="array" ref="K1096">_xlfn.LET(
    _xlpm.sum_month, SUM(T1096:AE1096),
    IF(_xlpm.sum_month = 0, "", _xlpm.sum_month &amp; " eventos realizados")
)</f>
        <v/>
      </c>
      <c r="L1096" s="9" t="s">
        <v>64</v>
      </c>
      <c r="M1096" s="13" t="s">
        <v>65</v>
      </c>
      <c r="N1096" s="5" t="s">
        <v>42</v>
      </c>
      <c r="O1096" s="5" t="s">
        <v>43</v>
      </c>
      <c r="P1096" s="10" t="s">
        <v>44</v>
      </c>
      <c r="Q1096" s="10" t="s">
        <v>44</v>
      </c>
      <c r="R1096" s="11" t="s">
        <v>66</v>
      </c>
      <c r="S1096" s="11" t="s">
        <v>67</v>
      </c>
      <c r="T1096" s="143"/>
      <c r="U1096" s="143"/>
      <c r="V1096" s="22"/>
      <c r="W1096" s="22"/>
      <c r="X1096" s="22"/>
      <c r="Y1096" s="22"/>
      <c r="Z1096" s="22"/>
      <c r="AA1096" s="22"/>
      <c r="AB1096" s="22"/>
      <c r="AC1096" s="22"/>
      <c r="AD1096" s="22"/>
      <c r="AE1096" s="22"/>
      <c r="AG1096" s="71"/>
      <c r="AH1096" s="71"/>
      <c r="AI1096" s="71"/>
      <c r="AJ1096" s="71"/>
      <c r="AK1096" s="71"/>
      <c r="AL1096" s="71"/>
      <c r="AM1096" s="71"/>
      <c r="AN1096" s="71"/>
      <c r="AO1096" s="71"/>
      <c r="AP1096" s="71"/>
      <c r="AQ1096" s="71"/>
      <c r="AR1096" s="71"/>
      <c r="AS1096" s="94">
        <f t="shared" ca="1" si="1262"/>
        <v>0</v>
      </c>
      <c r="AT1096" s="95">
        <f t="shared" si="1263"/>
        <v>0</v>
      </c>
      <c r="AU1096" s="97">
        <f t="shared" si="1264"/>
        <v>0</v>
      </c>
      <c r="AW1096" s="51">
        <f t="shared" si="1265"/>
        <v>0</v>
      </c>
      <c r="AX1096" s="51">
        <f t="shared" si="1266"/>
        <v>0</v>
      </c>
      <c r="AY1096" s="51">
        <f t="shared" si="1267"/>
        <v>0</v>
      </c>
      <c r="AZ1096" s="51">
        <f t="shared" si="1268"/>
        <v>0</v>
      </c>
      <c r="BA1096" s="51"/>
      <c r="BB1096" s="51"/>
      <c r="BC1096" s="51"/>
      <c r="BD1096" s="51"/>
      <c r="BE1096" s="51"/>
      <c r="BF1096" s="51"/>
      <c r="BG1096" s="51"/>
      <c r="BH1096" s="51"/>
      <c r="BI1096" s="65" cm="1">
        <f t="array" ref="BI1096">IFERROR(INDEX(AW1096:BH1096,1,MATCH(2,1/(AW1096:BH1096&lt;&gt;""))),"")</f>
        <v>0</v>
      </c>
      <c r="BJ1096" s="68" cm="1">
        <f t="array" ref="BJ1096">IF(BM1096 = "", "",IFERROR(INDEX(AW1096:BH1096,1,MATCH(2,1/(AW1096:BH1096&lt;&gt;""),1)-1),""))</f>
        <v>0</v>
      </c>
      <c r="BK1096" s="58">
        <f>IF((IF(AW1096&gt;=115%,115%,AW1096) + IF(AX1096&gt;=115%,115%,AX1096) + IF(AY1096&gt;=115%,115%,AY1096) + (IF(AZ1096&gt;=115%,115%,AZ1096) + IF(BA1096&gt;=115%,115%,BA1096) + IF(BB1096&gt;=115%,115%,BB1096) + IF(BC1096&gt;=115%,115%,BC1096) + IF(BD1096&gt;=115%,115%,BD1096) + IF(BE1096&gt;=115%,115%,BE1096) + IF(BF1096&gt;=115%,115%,BF1096) + IF(BG1096&gt;=115%,115%,BG1096) + IF(BH1096&gt;=115%,115%,BH1096)))/_xlfn.XLOOKUP(F1096,Apuração!A:A,Apuração!B:B)&gt;=1.15,1.15,((IF(AZ1096&gt;=115%,115%,AZ1096) + IF(AX1096&gt;=115%,115%,AX1096) + IF(AY1096&gt;=115%,115%,AY1096) + (IF(AW1096&gt;=115%,115%,AW1096) + IF(BA1096&gt;=115%,115%,BA1096) + IF(BB1096&gt;=115%,115%,BB1096) + IF(BC1096&gt;=115%,115%,BC1096) + IF(BD1096&gt;=115%,115%,BD1096) + IF(BE1096&gt;=115%,115%,BE1096) + IF(BF1096&gt;=115%,115%,BF1096) + IF(BG1096&gt;=115%,115%,BG1096) + IF(BH1096&gt;=115%,115%,BH1096)))/_xlfn.XLOOKUP(F1096,Apuração!A:A,Apuração!B:B)))</f>
        <v>0</v>
      </c>
      <c r="BL1096" s="58" cm="1">
        <f t="array" aca="1" ref="BL1096" ca="1">IF(SUM(IFERROR(IF(INDEX(AW1096:INDEX(AW1096:BH1096, MATCH(2, 1/(AW1096:BH1096&lt;&gt;""), 1)-1), ROW(INDIRECT("1:" &amp; MATCH(2, 1/(AW1096:BH1096&lt;&gt;""), 1)-1))) &gt;= 115%, 115%, INDEX(AW1096:INDEX(AW1096:BH1096, MATCH(2, 1/(AW1096:BH1096&lt;&gt;""), 1)-1), ROW(INDIRECT("1:" &amp; MATCH(2, 1/(AW1096:BH1096&lt;&gt;""), 1)-1)))), 0))/_xlfn.XLOOKUP(F1096,Apuração!A:A,Apuração!B:B)&gt;=1.15,1.15,SUM(IFERROR(IF(INDEX(AW1096:INDEX(AW1096:BH1096, MATCH(2, 1/(AW1096:BH1096&lt;&gt;""), 1)-1), ROW(INDIRECT("1:" &amp; MATCH(2, 1/(AW1096:BH1096&lt;&gt;""), 1)-1))) &gt;= 115%, 115%, INDEX(AW1096:INDEX(AW1096:BH1096, MATCH(2, 1/(AW1096:BH1096&lt;&gt;""), 1)-1), ROW(INDIRECT("1:" &amp; MATCH(2, 1/(AW1096:BH1096&lt;&gt;""), 1)-1)))), 0))/_xlfn.XLOOKUP(F1096,Apuração!A:A,Apuração!B:B))</f>
        <v>0</v>
      </c>
      <c r="BM1096" s="55" cm="1">
        <f t="array" ref="BM1096">IFERROR(
   INDEX($AW$1:$BH$1,
      _xlfn.AGGREGATE(14, 6, COLUMN($AW$1:$BH$1)/(AW1096:BH1096&lt;&gt;""), 2) - COLUMN($AW$1) + 1
   ),
"")</f>
        <v>46082</v>
      </c>
      <c r="BN1096" s="55" cm="1">
        <f t="array" ref="BN1096">IFERROR(INDEX($AW$1:$BH$1,1,MATCH(2,1/(AW1096:BH1096&lt;&gt;""))),"")</f>
        <v>46113</v>
      </c>
      <c r="BO1096" s="53">
        <f ca="1">IFERROR(_xlfn.XLOOKUP(F1096,Apuração!A:A,Apuração!C:C)/_xlfn.XLOOKUP(F1096,Apuração!A:A,Apuração!B:B),0)</f>
        <v>0</v>
      </c>
      <c r="BP1096" s="53">
        <f ca="1">IFERROR(_xlfn.XLOOKUP(F1096,Apuração!A:A,Apuração!D:D)/_xlfn.XLOOKUP(F1096,Apuração!A:A,Apuração!B:B),0)</f>
        <v>0</v>
      </c>
      <c r="BQ1096" s="53">
        <f ca="1">IF(BK1096&gt;=BO1096,0,_xlfn.XLOOKUP(F1096,Apuração!A:A,Apuração!B:B)*(BO1096 + (1/_xlfn.XLOOKUP(F1096,Apuração!A:A,Apuração!B:B)) - BK1096))</f>
        <v>0</v>
      </c>
      <c r="BR1096" s="85">
        <f t="shared" ca="1" si="1269"/>
        <v>0</v>
      </c>
      <c r="BS1096" s="53">
        <f ca="1">IFERROR((_xlfn.XLOOKUP(F1096,Apuração!A:A,Apuração!C:C)+1)/_xlfn.XLOOKUP(F1096,Apuração!A:A,Apuração!B:B),0)</f>
        <v>0.14285714285714285</v>
      </c>
    </row>
    <row r="1097" spans="1:71" ht="25.95" hidden="1" customHeight="1" x14ac:dyDescent="0.3">
      <c r="A1097" s="3" t="s">
        <v>33</v>
      </c>
      <c r="B1097" s="4" t="s">
        <v>60</v>
      </c>
      <c r="C1097" s="5" t="s">
        <v>209</v>
      </c>
      <c r="D1097" s="5" t="s">
        <v>212</v>
      </c>
      <c r="E1097" s="4" t="str" cm="1">
        <f t="array" ref="E1097">_xlfn.IFS(
F1097 = "A partir de Abril", "Aguardando Execução na Distribuidora",
A1097 = "CAPACITAÇÃO", "Em execução no Corporativo",
TRUE, "Em Execução na Distribuidora"
)</f>
        <v>Em Execução na Distribuidora</v>
      </c>
      <c r="F1097" s="4" t="str" cm="1">
        <f t="array" ref="F1097">_xlfn.IFS(
AG1097 &lt;&gt; "", "Jan-Dez/26",
AH1097 &lt;&gt; "", "Fev-Dez/26",
AI1097 &lt;&gt; "", "Mar-Dez/26", AJ1097 &lt;&gt; "", "Abr-Dez/26",
TRUE, "A partir de Junho"
)</f>
        <v>A partir de Junho</v>
      </c>
      <c r="G1097" s="16" t="s">
        <v>37</v>
      </c>
      <c r="H1097" s="7" t="s">
        <v>110</v>
      </c>
      <c r="I1097" s="8" t="s">
        <v>63</v>
      </c>
      <c r="J1097" s="8" t="str" cm="1">
        <f t="array" aca="1" ref="J1097" ca="1">_xlfn.LET(
  _xlpm.actual_value_month, INDEX(T1097:AE1097, MATCH(DATE(YEAR(TODAY()), MONTH(TODAY()), 1), $T$1:$AE$1, 0)),
  IF(_xlpm.actual_value_month &lt;&gt; "",_xlpm.actual_value_month &amp; " ações mensais", "")
)</f>
        <v/>
      </c>
      <c r="K1097" s="17" t="str" cm="1">
        <f t="array" ref="K1097">_xlfn.LET(
    _xlpm.sum_month, SUM(T1097:AE1097),
    IF(_xlpm.sum_month = 0, "", _xlpm.sum_month &amp; " eventos realizados")
)</f>
        <v/>
      </c>
      <c r="L1097" s="9" t="s">
        <v>64</v>
      </c>
      <c r="M1097" s="13" t="s">
        <v>65</v>
      </c>
      <c r="N1097" s="5" t="s">
        <v>42</v>
      </c>
      <c r="O1097" s="5" t="s">
        <v>43</v>
      </c>
      <c r="P1097" s="10" t="s">
        <v>44</v>
      </c>
      <c r="Q1097" s="10" t="s">
        <v>44</v>
      </c>
      <c r="R1097" s="11" t="s">
        <v>66</v>
      </c>
      <c r="S1097" s="11" t="s">
        <v>67</v>
      </c>
      <c r="T1097" s="143"/>
      <c r="U1097" s="143"/>
      <c r="V1097" s="22"/>
      <c r="W1097" s="22"/>
      <c r="X1097" s="22"/>
      <c r="Y1097" s="22"/>
      <c r="Z1097" s="22"/>
      <c r="AA1097" s="22"/>
      <c r="AB1097" s="22"/>
      <c r="AC1097" s="22"/>
      <c r="AD1097" s="22"/>
      <c r="AE1097" s="22"/>
      <c r="AG1097" s="71"/>
      <c r="AH1097" s="71"/>
      <c r="AI1097" s="71"/>
      <c r="AJ1097" s="71"/>
      <c r="AK1097" s="71"/>
      <c r="AL1097" s="71"/>
      <c r="AM1097" s="71"/>
      <c r="AN1097" s="71"/>
      <c r="AO1097" s="71"/>
      <c r="AP1097" s="71"/>
      <c r="AQ1097" s="71"/>
      <c r="AR1097" s="71"/>
      <c r="AS1097" s="94">
        <f t="shared" ca="1" si="1262"/>
        <v>0</v>
      </c>
      <c r="AT1097" s="95">
        <f t="shared" si="1263"/>
        <v>0</v>
      </c>
      <c r="AU1097" s="97">
        <f t="shared" si="1264"/>
        <v>0</v>
      </c>
      <c r="AW1097" s="51">
        <f t="shared" si="1265"/>
        <v>0</v>
      </c>
      <c r="AX1097" s="51">
        <f t="shared" si="1266"/>
        <v>0</v>
      </c>
      <c r="AY1097" s="51">
        <f t="shared" si="1267"/>
        <v>0</v>
      </c>
      <c r="AZ1097" s="51">
        <f t="shared" si="1268"/>
        <v>0</v>
      </c>
      <c r="BA1097" s="51"/>
      <c r="BB1097" s="51"/>
      <c r="BC1097" s="51"/>
      <c r="BD1097" s="51"/>
      <c r="BE1097" s="51"/>
      <c r="BF1097" s="51"/>
      <c r="BG1097" s="51"/>
      <c r="BH1097" s="51"/>
      <c r="BI1097" s="65" cm="1">
        <f t="array" ref="BI1097">IFERROR(INDEX(AW1097:BH1097,1,MATCH(2,1/(AW1097:BH1097&lt;&gt;""))),"")</f>
        <v>0</v>
      </c>
      <c r="BJ1097" s="68" cm="1">
        <f t="array" ref="BJ1097">IF(BM1097 = "", "",IFERROR(INDEX(AW1097:BH1097,1,MATCH(2,1/(AW1097:BH1097&lt;&gt;""),1)-1),""))</f>
        <v>0</v>
      </c>
      <c r="BK1097" s="58">
        <f>IF((IF(AW1097&gt;=115%,115%,AW1097) + IF(AX1097&gt;=115%,115%,AX1097) + IF(AY1097&gt;=115%,115%,AY1097) + (IF(AZ1097&gt;=115%,115%,AZ1097) + IF(BA1097&gt;=115%,115%,BA1097) + IF(BB1097&gt;=115%,115%,BB1097) + IF(BC1097&gt;=115%,115%,BC1097) + IF(BD1097&gt;=115%,115%,BD1097) + IF(BE1097&gt;=115%,115%,BE1097) + IF(BF1097&gt;=115%,115%,BF1097) + IF(BG1097&gt;=115%,115%,BG1097) + IF(BH1097&gt;=115%,115%,BH1097)))/_xlfn.XLOOKUP(F1097,Apuração!A:A,Apuração!B:B)&gt;=1.15,1.15,((IF(AZ1097&gt;=115%,115%,AZ1097) + IF(AX1097&gt;=115%,115%,AX1097) + IF(AY1097&gt;=115%,115%,AY1097) + (IF(AW1097&gt;=115%,115%,AW1097) + IF(BA1097&gt;=115%,115%,BA1097) + IF(BB1097&gt;=115%,115%,BB1097) + IF(BC1097&gt;=115%,115%,BC1097) + IF(BD1097&gt;=115%,115%,BD1097) + IF(BE1097&gt;=115%,115%,BE1097) + IF(BF1097&gt;=115%,115%,BF1097) + IF(BG1097&gt;=115%,115%,BG1097) + IF(BH1097&gt;=115%,115%,BH1097)))/_xlfn.XLOOKUP(F1097,Apuração!A:A,Apuração!B:B)))</f>
        <v>0</v>
      </c>
      <c r="BL1097" s="58" cm="1">
        <f t="array" aca="1" ref="BL1097" ca="1">IF(SUM(IFERROR(IF(INDEX(AW1097:INDEX(AW1097:BH1097, MATCH(2, 1/(AW1097:BH1097&lt;&gt;""), 1)-1), ROW(INDIRECT("1:" &amp; MATCH(2, 1/(AW1097:BH1097&lt;&gt;""), 1)-1))) &gt;= 115%, 115%, INDEX(AW1097:INDEX(AW1097:BH1097, MATCH(2, 1/(AW1097:BH1097&lt;&gt;""), 1)-1), ROW(INDIRECT("1:" &amp; MATCH(2, 1/(AW1097:BH1097&lt;&gt;""), 1)-1)))), 0))/_xlfn.XLOOKUP(F1097,Apuração!A:A,Apuração!B:B)&gt;=1.15,1.15,SUM(IFERROR(IF(INDEX(AW1097:INDEX(AW1097:BH1097, MATCH(2, 1/(AW1097:BH1097&lt;&gt;""), 1)-1), ROW(INDIRECT("1:" &amp; MATCH(2, 1/(AW1097:BH1097&lt;&gt;""), 1)-1))) &gt;= 115%, 115%, INDEX(AW1097:INDEX(AW1097:BH1097, MATCH(2, 1/(AW1097:BH1097&lt;&gt;""), 1)-1), ROW(INDIRECT("1:" &amp; MATCH(2, 1/(AW1097:BH1097&lt;&gt;""), 1)-1)))), 0))/_xlfn.XLOOKUP(F1097,Apuração!A:A,Apuração!B:B))</f>
        <v>0</v>
      </c>
      <c r="BM1097" s="55" cm="1">
        <f t="array" ref="BM1097">IFERROR(
   INDEX($AW$1:$BH$1,
      _xlfn.AGGREGATE(14, 6, COLUMN($AW$1:$BH$1)/(AW1097:BH1097&lt;&gt;""), 2) - COLUMN($AW$1) + 1
   ),
"")</f>
        <v>46082</v>
      </c>
      <c r="BN1097" s="55" cm="1">
        <f t="array" ref="BN1097">IFERROR(INDEX($AW$1:$BH$1,1,MATCH(2,1/(AW1097:BH1097&lt;&gt;""))),"")</f>
        <v>46113</v>
      </c>
      <c r="BO1097" s="53">
        <f ca="1">IFERROR(_xlfn.XLOOKUP(F1097,Apuração!A:A,Apuração!C:C)/_xlfn.XLOOKUP(F1097,Apuração!A:A,Apuração!B:B),0)</f>
        <v>0</v>
      </c>
      <c r="BP1097" s="53">
        <f ca="1">IFERROR(_xlfn.XLOOKUP(F1097,Apuração!A:A,Apuração!D:D)/_xlfn.XLOOKUP(F1097,Apuração!A:A,Apuração!B:B),0)</f>
        <v>0</v>
      </c>
      <c r="BQ1097" s="53">
        <f ca="1">IF(BK1097&gt;=BO1097,0,_xlfn.XLOOKUP(F1097,Apuração!A:A,Apuração!B:B)*(BO1097 + (1/_xlfn.XLOOKUP(F1097,Apuração!A:A,Apuração!B:B)) - BK1097))</f>
        <v>0</v>
      </c>
      <c r="BR1097" s="85">
        <f t="shared" ca="1" si="1269"/>
        <v>0</v>
      </c>
      <c r="BS1097" s="53">
        <f ca="1">IFERROR((_xlfn.XLOOKUP(F1097,Apuração!A:A,Apuração!C:C)+1)/_xlfn.XLOOKUP(F1097,Apuração!A:A,Apuração!B:B),0)</f>
        <v>0.14285714285714285</v>
      </c>
    </row>
    <row r="1098" spans="1:71" ht="25.95" hidden="1" customHeight="1" x14ac:dyDescent="0.3">
      <c r="A1098" s="3" t="s">
        <v>33</v>
      </c>
      <c r="B1098" s="4" t="s">
        <v>60</v>
      </c>
      <c r="C1098" s="5" t="s">
        <v>209</v>
      </c>
      <c r="D1098" s="5" t="s">
        <v>213</v>
      </c>
      <c r="E1098" s="4" t="str" cm="1">
        <f t="array" ref="E1098">_xlfn.IFS(
F1098 = "A partir de Abril", "Aguardando Execução na Distribuidora",
A1098 = "CAPACITAÇÃO", "Em execução no Corporativo",
TRUE, "Em Execução na Distribuidora"
)</f>
        <v>Em Execução na Distribuidora</v>
      </c>
      <c r="F1098" s="4" t="str" cm="1">
        <f t="array" ref="F1098">_xlfn.IFS(
AG1098 &lt;&gt; "", "Jan-Dez/26",
AH1098 &lt;&gt; "", "Fev-Dez/26",
AI1098 &lt;&gt; "", "Mar-Dez/26", AJ1098 &lt;&gt; "", "Abr-Dez/26",
TRUE, "A partir de Junho"
)</f>
        <v>A partir de Junho</v>
      </c>
      <c r="G1098" s="16" t="s">
        <v>37</v>
      </c>
      <c r="H1098" s="7" t="s">
        <v>110</v>
      </c>
      <c r="I1098" s="8" t="s">
        <v>63</v>
      </c>
      <c r="J1098" s="8" t="str" cm="1">
        <f t="array" aca="1" ref="J1098" ca="1">_xlfn.LET(
  _xlpm.actual_value_month, INDEX(T1098:AE1098, MATCH(DATE(YEAR(TODAY()), MONTH(TODAY()), 1), $T$1:$AE$1, 0)),
  IF(_xlpm.actual_value_month &lt;&gt; "",_xlpm.actual_value_month &amp; " ações mensais", "")
)</f>
        <v/>
      </c>
      <c r="K1098" s="17" t="str" cm="1">
        <f t="array" ref="K1098">_xlfn.LET(
    _xlpm.sum_month, SUM(T1098:AE1098),
    IF(_xlpm.sum_month = 0, "", _xlpm.sum_month &amp; " eventos realizados")
)</f>
        <v/>
      </c>
      <c r="L1098" s="9" t="s">
        <v>64</v>
      </c>
      <c r="M1098" s="13" t="s">
        <v>65</v>
      </c>
      <c r="N1098" s="5" t="s">
        <v>42</v>
      </c>
      <c r="O1098" s="5" t="s">
        <v>43</v>
      </c>
      <c r="P1098" s="10" t="s">
        <v>44</v>
      </c>
      <c r="Q1098" s="10" t="s">
        <v>44</v>
      </c>
      <c r="R1098" s="11" t="s">
        <v>66</v>
      </c>
      <c r="S1098" s="11" t="s">
        <v>67</v>
      </c>
      <c r="T1098" s="143"/>
      <c r="U1098" s="143"/>
      <c r="V1098" s="22"/>
      <c r="W1098" s="22"/>
      <c r="X1098" s="22"/>
      <c r="Y1098" s="22"/>
      <c r="Z1098" s="22"/>
      <c r="AA1098" s="22"/>
      <c r="AB1098" s="22"/>
      <c r="AC1098" s="22"/>
      <c r="AD1098" s="22"/>
      <c r="AE1098" s="22"/>
      <c r="AG1098" s="71"/>
      <c r="AH1098" s="71"/>
      <c r="AI1098" s="71"/>
      <c r="AJ1098" s="71"/>
      <c r="AK1098" s="71"/>
      <c r="AL1098" s="71"/>
      <c r="AM1098" s="71"/>
      <c r="AN1098" s="71"/>
      <c r="AO1098" s="71"/>
      <c r="AP1098" s="71"/>
      <c r="AQ1098" s="71"/>
      <c r="AR1098" s="71"/>
      <c r="AS1098" s="94">
        <f t="shared" ca="1" si="1262"/>
        <v>0</v>
      </c>
      <c r="AT1098" s="95">
        <f t="shared" si="1263"/>
        <v>0</v>
      </c>
      <c r="AU1098" s="97">
        <f t="shared" si="1264"/>
        <v>0</v>
      </c>
      <c r="AW1098" s="51">
        <f t="shared" si="1265"/>
        <v>0</v>
      </c>
      <c r="AX1098" s="51">
        <f t="shared" si="1266"/>
        <v>0</v>
      </c>
      <c r="AY1098" s="51">
        <f t="shared" si="1267"/>
        <v>0</v>
      </c>
      <c r="AZ1098" s="51">
        <f t="shared" si="1268"/>
        <v>0</v>
      </c>
      <c r="BA1098" s="51"/>
      <c r="BB1098" s="51"/>
      <c r="BC1098" s="51"/>
      <c r="BD1098" s="51"/>
      <c r="BE1098" s="51"/>
      <c r="BF1098" s="51"/>
      <c r="BG1098" s="51"/>
      <c r="BH1098" s="51"/>
      <c r="BI1098" s="65" cm="1">
        <f t="array" ref="BI1098">IFERROR(INDEX(AW1098:BH1098,1,MATCH(2,1/(AW1098:BH1098&lt;&gt;""))),"")</f>
        <v>0</v>
      </c>
      <c r="BJ1098" s="68" cm="1">
        <f t="array" ref="BJ1098">IF(BM1098 = "", "",IFERROR(INDEX(AW1098:BH1098,1,MATCH(2,1/(AW1098:BH1098&lt;&gt;""),1)-1),""))</f>
        <v>0</v>
      </c>
      <c r="BK1098" s="58">
        <f>IF((IF(AW1098&gt;=115%,115%,AW1098) + IF(AX1098&gt;=115%,115%,AX1098) + IF(AY1098&gt;=115%,115%,AY1098) + (IF(AZ1098&gt;=115%,115%,AZ1098) + IF(BA1098&gt;=115%,115%,BA1098) + IF(BB1098&gt;=115%,115%,BB1098) + IF(BC1098&gt;=115%,115%,BC1098) + IF(BD1098&gt;=115%,115%,BD1098) + IF(BE1098&gt;=115%,115%,BE1098) + IF(BF1098&gt;=115%,115%,BF1098) + IF(BG1098&gt;=115%,115%,BG1098) + IF(BH1098&gt;=115%,115%,BH1098)))/_xlfn.XLOOKUP(F1098,Apuração!A:A,Apuração!B:B)&gt;=1.15,1.15,((IF(AZ1098&gt;=115%,115%,AZ1098) + IF(AX1098&gt;=115%,115%,AX1098) + IF(AY1098&gt;=115%,115%,AY1098) + (IF(AW1098&gt;=115%,115%,AW1098) + IF(BA1098&gt;=115%,115%,BA1098) + IF(BB1098&gt;=115%,115%,BB1098) + IF(BC1098&gt;=115%,115%,BC1098) + IF(BD1098&gt;=115%,115%,BD1098) + IF(BE1098&gt;=115%,115%,BE1098) + IF(BF1098&gt;=115%,115%,BF1098) + IF(BG1098&gt;=115%,115%,BG1098) + IF(BH1098&gt;=115%,115%,BH1098)))/_xlfn.XLOOKUP(F1098,Apuração!A:A,Apuração!B:B)))</f>
        <v>0</v>
      </c>
      <c r="BL1098" s="58" cm="1">
        <f t="array" aca="1" ref="BL1098" ca="1">IF(SUM(IFERROR(IF(INDEX(AW1098:INDEX(AW1098:BH1098, MATCH(2, 1/(AW1098:BH1098&lt;&gt;""), 1)-1), ROW(INDIRECT("1:" &amp; MATCH(2, 1/(AW1098:BH1098&lt;&gt;""), 1)-1))) &gt;= 115%, 115%, INDEX(AW1098:INDEX(AW1098:BH1098, MATCH(2, 1/(AW1098:BH1098&lt;&gt;""), 1)-1), ROW(INDIRECT("1:" &amp; MATCH(2, 1/(AW1098:BH1098&lt;&gt;""), 1)-1)))), 0))/_xlfn.XLOOKUP(F1098,Apuração!A:A,Apuração!B:B)&gt;=1.15,1.15,SUM(IFERROR(IF(INDEX(AW1098:INDEX(AW1098:BH1098, MATCH(2, 1/(AW1098:BH1098&lt;&gt;""), 1)-1), ROW(INDIRECT("1:" &amp; MATCH(2, 1/(AW1098:BH1098&lt;&gt;""), 1)-1))) &gt;= 115%, 115%, INDEX(AW1098:INDEX(AW1098:BH1098, MATCH(2, 1/(AW1098:BH1098&lt;&gt;""), 1)-1), ROW(INDIRECT("1:" &amp; MATCH(2, 1/(AW1098:BH1098&lt;&gt;""), 1)-1)))), 0))/_xlfn.XLOOKUP(F1098,Apuração!A:A,Apuração!B:B))</f>
        <v>0</v>
      </c>
      <c r="BM1098" s="55" cm="1">
        <f t="array" ref="BM1098">IFERROR(
   INDEX($AW$1:$BH$1,
      _xlfn.AGGREGATE(14, 6, COLUMN($AW$1:$BH$1)/(AW1098:BH1098&lt;&gt;""), 2) - COLUMN($AW$1) + 1
   ),
"")</f>
        <v>46082</v>
      </c>
      <c r="BN1098" s="55" cm="1">
        <f t="array" ref="BN1098">IFERROR(INDEX($AW$1:$BH$1,1,MATCH(2,1/(AW1098:BH1098&lt;&gt;""))),"")</f>
        <v>46113</v>
      </c>
      <c r="BO1098" s="53">
        <f ca="1">IFERROR(_xlfn.XLOOKUP(F1098,Apuração!A:A,Apuração!C:C)/_xlfn.XLOOKUP(F1098,Apuração!A:A,Apuração!B:B),0)</f>
        <v>0</v>
      </c>
      <c r="BP1098" s="53">
        <f ca="1">IFERROR(_xlfn.XLOOKUP(F1098,Apuração!A:A,Apuração!D:D)/_xlfn.XLOOKUP(F1098,Apuração!A:A,Apuração!B:B),0)</f>
        <v>0</v>
      </c>
      <c r="BQ1098" s="53">
        <f ca="1">IF(BK1098&gt;=BO1098,0,_xlfn.XLOOKUP(F1098,Apuração!A:A,Apuração!B:B)*(BO1098 + (1/_xlfn.XLOOKUP(F1098,Apuração!A:A,Apuração!B:B)) - BK1098))</f>
        <v>0</v>
      </c>
      <c r="BR1098" s="85">
        <f t="shared" ca="1" si="1269"/>
        <v>0</v>
      </c>
      <c r="BS1098" s="53">
        <f ca="1">IFERROR((_xlfn.XLOOKUP(F1098,Apuração!A:A,Apuração!C:C)+1)/_xlfn.XLOOKUP(F1098,Apuração!A:A,Apuração!B:B),0)</f>
        <v>0.14285714285714285</v>
      </c>
    </row>
    <row r="1099" spans="1:71" ht="25.95" hidden="1" customHeight="1" x14ac:dyDescent="0.3">
      <c r="A1099" s="39" t="s">
        <v>33</v>
      </c>
      <c r="B1099" s="4" t="s">
        <v>60</v>
      </c>
      <c r="C1099" s="5" t="s">
        <v>209</v>
      </c>
      <c r="D1099" s="5" t="s">
        <v>36</v>
      </c>
      <c r="E1099" s="4" t="str" cm="1">
        <f t="array" ref="E1099">_xlfn.IFS(
F1099 = "A partir de Abril", "Aguardando Execução na Distribuidora",
A1099 = "CAPACITAÇÃO", "Em execução no Corporativo",
TRUE, "Em Execução na Distribuidora"
)</f>
        <v>Em Execução na Distribuidora</v>
      </c>
      <c r="F1099" s="4" t="str" cm="1">
        <f t="array" ref="F1099">_xlfn.IFS(
AG1099 &lt;&gt; "", "Jan-Dez/26",
AH1099 &lt;&gt; "", "Fev-Dez/26",
AI1099 &lt;&gt; "", "Mar-Dez/26", AJ1099 &lt;&gt; "", "Abr-Dez/26",
TRUE, "A partir de Junho"
)</f>
        <v>Jan-Dez/26</v>
      </c>
      <c r="G1099" s="4" t="s">
        <v>37</v>
      </c>
      <c r="H1099" s="7" t="s">
        <v>110</v>
      </c>
      <c r="I1099" s="8" t="s">
        <v>68</v>
      </c>
      <c r="J1099" s="8" t="str" cm="1">
        <f t="array" aca="1" ref="J1099" ca="1">_xlfn.LET(
  _xlpm.actual_value_month, INDEX(T1099:AE1099, MATCH(DATE(YEAR(TODAY()), MONTH(TODAY()), 1), $T$1:$AE$1, 0)),
  IF(_xlpm.actual_value_month &lt;&gt; "",_xlpm.actual_value_month &amp; " ações mensais", "")
)</f>
        <v/>
      </c>
      <c r="K1099" s="18" t="str" cm="1">
        <f t="array" ref="K1099">_xlfn.LET(
    _xlpm.sum_month, SUM(T1099:AE1099),
    IF(_xlpm.sum_month = 0, "", _xlpm.sum_month &amp; " notificações.")
)</f>
        <v/>
      </c>
      <c r="L1099" s="4" t="s">
        <v>69</v>
      </c>
      <c r="M1099" s="19">
        <v>1</v>
      </c>
      <c r="N1099" s="5" t="s">
        <v>51</v>
      </c>
      <c r="O1099" s="5" t="s">
        <v>43</v>
      </c>
      <c r="P1099" s="10" t="s">
        <v>44</v>
      </c>
      <c r="Q1099" s="10" t="s">
        <v>44</v>
      </c>
      <c r="R1099" s="11" t="s">
        <v>44</v>
      </c>
      <c r="S1099" s="11" t="s">
        <v>44</v>
      </c>
      <c r="T1099" s="22"/>
      <c r="U1099" s="22"/>
      <c r="V1099" s="22"/>
      <c r="W1099" s="22"/>
      <c r="X1099" s="22"/>
      <c r="Y1099" s="22"/>
      <c r="Z1099" s="22"/>
      <c r="AA1099" s="22"/>
      <c r="AB1099" s="22"/>
      <c r="AC1099" s="22"/>
      <c r="AD1099" s="22"/>
      <c r="AE1099" s="22"/>
      <c r="AG1099" s="71">
        <v>94</v>
      </c>
      <c r="AH1099" s="71">
        <v>124</v>
      </c>
      <c r="AI1099" s="71">
        <v>211</v>
      </c>
      <c r="AJ1099" s="71">
        <v>213</v>
      </c>
      <c r="AK1099" s="71"/>
      <c r="AL1099" s="71"/>
      <c r="AM1099" s="71"/>
      <c r="AN1099" s="71"/>
      <c r="AO1099" s="71"/>
      <c r="AP1099" s="71"/>
      <c r="AQ1099" s="71"/>
      <c r="AR1099" s="71"/>
      <c r="AS1099" s="94">
        <f ca="1">IF(MONTH(TODAY())=3,SUM(T1099:U1099),IF(MONTH(TODAY())=4,SUM(T1099:V1099),IF(MONTH(TODAY())=5,SUM(T1099:W1099),IF(MONTH(TODAY())=6,SUM(T1099:X1099),IF(MONTH(TODAY())=7,SUM(T1099:Y1099),IF(MONTH(TODAY())=8,SUM(T1099:Z1099),IF(MONTH(TODAY())=9,SUM(T1099:AA1099),IF(MONTH(TODAY())=10,SUM(T1099:AB1099),IF(MONTH(TODAY())=11,SUM(T1099:AC1099),IF(MONTH(TODAY())=12,SUM(T1099:AD1099),IF(MONTH(TODAY())=1,SUM(T1099:AE1099),T1099)))))))))))</f>
        <v>0</v>
      </c>
      <c r="AT1099" s="95">
        <f>SUM(AG1099:AR1099)</f>
        <v>642</v>
      </c>
      <c r="AU1099" s="97">
        <f>SUM(AG1099:AR1099)</f>
        <v>642</v>
      </c>
      <c r="AW1099" s="83">
        <f>AG1099</f>
        <v>94</v>
      </c>
      <c r="AX1099" s="83">
        <f>AH1099</f>
        <v>124</v>
      </c>
      <c r="AY1099" s="83">
        <f>AI1099</f>
        <v>211</v>
      </c>
      <c r="AZ1099" s="83">
        <f>AJ1099</f>
        <v>213</v>
      </c>
      <c r="BA1099" s="52"/>
      <c r="BB1099" s="52"/>
      <c r="BC1099" s="52"/>
      <c r="BD1099" s="52"/>
      <c r="BE1099" s="52"/>
      <c r="BF1099" s="52"/>
      <c r="BG1099" s="52"/>
      <c r="BH1099" s="52"/>
      <c r="BI1099" s="68" cm="1">
        <f t="array" ref="BI1099">IFERROR(INDEX(AW1099:BH1099,1,MATCH(2,1/(AW1099:BH1099&lt;&gt;""))),"")</f>
        <v>213</v>
      </c>
      <c r="BJ1099" s="68" cm="1">
        <f t="array" ref="BJ1099">IF(BM1099 = "", "",IFERROR(INDEX(AW1099:BH1099,1,MATCH(2,1/(AW1099:BH1099&lt;&gt;""),1)-1),""))</f>
        <v>211</v>
      </c>
      <c r="BK1099" s="59">
        <f>IF((IF(AW1099&gt;=150%,150%,AW1099) + IF(AX1099&gt;=150%,150%,AX1099) + IF(AY1099&gt;=150%,150%,AY1099) + (IF(AW1099&gt;=150%,150%,AW1099) + IF(BA1099&gt;=150%,150%,BA1099) + IF(BB1099&gt;=150%,150%,BB1099) + IF(BC1099&gt;=150%,150%,BC1099) + IF(BD1099&gt;=150%,150%,BD1099) + IF(BE1099&gt;=150%,150%,BE1099) + IF(BF1099&gt;=150%,150%,BF1099) + IF(BG1099&gt;=150%,150%,BG1099) + IF(BH1099&gt;=150%,150%,BH1099)))/_xlfn.XLOOKUP(F1099,Apuração!A:A,Apuração!B:B)&gt;=1.15,1.15,((IF(AW1099&gt;=150%,150%,AW1099) + IF(AX1099&gt;=150%,150%,AX1099) + IF(AY1099&gt;=150%,150%,AY1099) + (IF(AW1099&gt;=150%,150%,AW1099) + IF(BA1099&gt;=150%,150%,BA1099) + IF(BB1099&gt;=150%,150%,BB1099) + IF(BC1099&gt;=150%,150%,BC1099) + IF(BD1099&gt;=150%,150%,BD1099) + IF(BE1099&gt;=150%,150%,BE1099) + IF(BF1099&gt;=150%,150%,BF1099) + IF(BG1099&gt;=150%,150%,BG1099) + IF(BH1099&gt;=150%,150%,BH1099)))/_xlfn.XLOOKUP(F1099,Apuração!A:A,Apuração!B:B)))</f>
        <v>0.5</v>
      </c>
      <c r="BL1099" s="59" cm="1">
        <f t="array" aca="1" ref="BL1099" ca="1">IF(SUM(IFERROR(IF(INDEX(AW1099:INDEX(AW1099:BH1099, MATCH(2, 1/(AW1099:BH1099&lt;&gt;""), 1)-1), ROW(INDIRECT("1:" &amp; MATCH(2, 1/(AW1099:BH1099&lt;&gt;""), 1)-1))) &gt;= 150%, 150%, INDEX(AW1099:INDEX(AW1099:BH1099, MATCH(2, 1/(AW1099:BH1099&lt;&gt;""), 1)-1), ROW(INDIRECT("1:" &amp; MATCH(2, 1/(AW1099:BH1099&lt;&gt;""), 1)-1)))), 0))/_xlfn.XLOOKUP(F1099,Apuração!A:A,Apuração!B:B)&gt;=1.15,1.15,SUM(IFERROR(IF(INDEX(AW1099:INDEX(AW1099:BH1099, MATCH(2, 1/(AW1099:BH1099&lt;&gt;""), 1)-1), ROW(INDIRECT("1:" &amp; MATCH(2, 1/(AW1099:BH1099&lt;&gt;""), 1)-1))) &gt;= 150%, 150%, INDEX(AW1099:INDEX(AW1099:BH1099, MATCH(2, 1/(AW1099:BH1099&lt;&gt;""), 1)-1), ROW(INDIRECT("1:" &amp; MATCH(2, 1/(AW1099:BH1099&lt;&gt;""), 1)-1)))), 0))/_xlfn.XLOOKUP(F1099,Apuração!A:A,Apuração!B:B))</f>
        <v>0.375</v>
      </c>
      <c r="BM1099" s="55" cm="1">
        <f t="array" ref="BM1099">IFERROR(
   INDEX($AW$1:$BH$1,
      _xlfn.AGGREGATE(14, 6, COLUMN($AW$1:$BH$1)/(AW1099:BH1099&lt;&gt;""), 2) - COLUMN($AW$1) + 1
   ),
"")</f>
        <v>46082</v>
      </c>
      <c r="BN1099" s="55" cm="1">
        <f t="array" ref="BN1099">IFERROR(INDEX($AW$1:$BH$1,1,MATCH(2,1/(AW1099:BH1099&lt;&gt;""))),"")</f>
        <v>46113</v>
      </c>
      <c r="BO1099" s="53">
        <f ca="1">IFERROR(_xlfn.XLOOKUP(F1099,Apuração!A:A,Apuração!C:C)/_xlfn.XLOOKUP(F1099,Apuração!A:A,Apuração!B:B),0)</f>
        <v>0.41666666666666669</v>
      </c>
      <c r="BP1099" s="53">
        <f ca="1">IFERROR(_xlfn.XLOOKUP(F1099,Apuração!A:A,Apuração!D:D)/_xlfn.XLOOKUP(F1099,Apuração!A:A,Apuração!B:B),0)</f>
        <v>0.33333333333333331</v>
      </c>
      <c r="BQ1099" s="53">
        <f ca="1">IF(BK1099&gt;=BO1099,0,_xlfn.XLOOKUP(F1099,Apuração!A:A,Apuração!B:B)*(BO1099 + (1/_xlfn.XLOOKUP(F1099,Apuração!A:A,Apuração!B:B)) - BK1099))</f>
        <v>0</v>
      </c>
      <c r="BR1099" s="85">
        <f ca="1">IF(BQ1099=0,0,BQ1099*Z1099)</f>
        <v>0</v>
      </c>
      <c r="BS1099" s="53">
        <f ca="1">IFERROR((_xlfn.XLOOKUP(F1099,Apuração!A:A,Apuração!C:C)+1)/_xlfn.XLOOKUP(F1099,Apuração!A:A,Apuração!B:B),0)</f>
        <v>0.5</v>
      </c>
    </row>
    <row r="1100" spans="1:71" ht="25.95" hidden="1" customHeight="1" x14ac:dyDescent="0.3">
      <c r="A1100" s="39" t="s">
        <v>33</v>
      </c>
      <c r="B1100" s="4" t="s">
        <v>60</v>
      </c>
      <c r="C1100" s="5" t="s">
        <v>209</v>
      </c>
      <c r="D1100" s="5" t="s">
        <v>210</v>
      </c>
      <c r="E1100" s="4" t="str" cm="1">
        <f t="array" ref="E1100">_xlfn.IFS(
F1100 = "A partir de Abril", "Aguardando Execução na Distribuidora",
A1100 = "CAPACITAÇÃO", "Em execução no Corporativo",
TRUE, "Em Execução na Distribuidora"
)</f>
        <v>Em Execução na Distribuidora</v>
      </c>
      <c r="F1100" s="4" t="str" cm="1">
        <f t="array" ref="F1100">_xlfn.IFS(
AG1100 &lt;&gt; "", "Jan-Dez/26",
AH1100 &lt;&gt; "", "Fev-Dez/26",
AI1100 &lt;&gt; "", "Mar-Dez/26", AJ1100 &lt;&gt; "", "Abr-Dez/26",
TRUE, "A partir de Junho"
)</f>
        <v>A partir de Junho</v>
      </c>
      <c r="G1100" s="4" t="s">
        <v>37</v>
      </c>
      <c r="H1100" s="7" t="s">
        <v>110</v>
      </c>
      <c r="I1100" s="8" t="s">
        <v>68</v>
      </c>
      <c r="J1100" s="8" t="str" cm="1">
        <f t="array" aca="1" ref="J1100" ca="1">_xlfn.LET(
  _xlpm.actual_value_month, INDEX(T1100:AE1100, MATCH(DATE(YEAR(TODAY()), MONTH(TODAY()), 1), $T$1:$AE$1, 0)),
  IF(_xlpm.actual_value_month &lt;&gt; "",_xlpm.actual_value_month &amp; " ações mensais", "")
)</f>
        <v/>
      </c>
      <c r="K1100" s="18" t="str" cm="1">
        <f t="array" ref="K1100">_xlfn.LET(
    _xlpm.sum_month, SUM(T1100:AE1100),
    IF(_xlpm.sum_month = 0, "", _xlpm.sum_month &amp; " notificações.")
)</f>
        <v/>
      </c>
      <c r="L1100" s="4" t="s">
        <v>69</v>
      </c>
      <c r="M1100" s="19">
        <v>1</v>
      </c>
      <c r="N1100" s="5" t="s">
        <v>51</v>
      </c>
      <c r="O1100" s="5" t="s">
        <v>43</v>
      </c>
      <c r="P1100" s="10" t="s">
        <v>44</v>
      </c>
      <c r="Q1100" s="10" t="s">
        <v>44</v>
      </c>
      <c r="R1100" s="11" t="s">
        <v>44</v>
      </c>
      <c r="S1100" s="11" t="s">
        <v>44</v>
      </c>
      <c r="T1100" s="22"/>
      <c r="U1100" s="22"/>
      <c r="V1100" s="22"/>
      <c r="W1100" s="22"/>
      <c r="X1100" s="22"/>
      <c r="Y1100" s="22"/>
      <c r="Z1100" s="22"/>
      <c r="AA1100" s="22"/>
      <c r="AB1100" s="22"/>
      <c r="AC1100" s="22"/>
      <c r="AD1100" s="22"/>
      <c r="AE1100" s="22"/>
      <c r="AG1100" s="145"/>
      <c r="AH1100" s="149"/>
      <c r="AI1100" s="71"/>
      <c r="AJ1100" s="71"/>
      <c r="AK1100" s="71"/>
      <c r="AL1100" s="71"/>
      <c r="AM1100" s="71"/>
      <c r="AN1100" s="71"/>
      <c r="AO1100" s="71"/>
      <c r="AP1100" s="71"/>
      <c r="AQ1100" s="71"/>
      <c r="AR1100" s="71"/>
      <c r="AS1100" s="94">
        <f t="shared" ref="AS1100:AS1104" ca="1" si="1270">IF(MONTH(TODAY())=3,SUM(T1100:U1100),IF(MONTH(TODAY())=4,SUM(T1100:V1100),IF(MONTH(TODAY())=5,SUM(T1100:W1100),IF(MONTH(TODAY())=6,SUM(T1100:X1100),IF(MONTH(TODAY())=7,SUM(T1100:Y1100),IF(MONTH(TODAY())=8,SUM(T1100:Z1100),IF(MONTH(TODAY())=9,SUM(T1100:AA1100),IF(MONTH(TODAY())=10,SUM(T1100:AB1100),IF(MONTH(TODAY())=11,SUM(T1100:AC1100),IF(MONTH(TODAY())=12,SUM(T1100:AD1100),IF(MONTH(TODAY())=1,SUM(T1100:AE1100),T1100)))))))))))</f>
        <v>0</v>
      </c>
      <c r="AT1100" s="95">
        <f t="shared" ref="AT1100:AT1104" si="1271">SUM(AG1100:AR1100)</f>
        <v>0</v>
      </c>
      <c r="AU1100" s="97">
        <f t="shared" ref="AU1100:AU1104" si="1272">SUM(AG1100:AR1100)</f>
        <v>0</v>
      </c>
      <c r="AW1100" s="83">
        <f t="shared" ref="AW1100:AW1104" si="1273">AG1100</f>
        <v>0</v>
      </c>
      <c r="AX1100" s="83">
        <f t="shared" ref="AX1100:AX1104" si="1274">AH1100</f>
        <v>0</v>
      </c>
      <c r="AY1100" s="83">
        <f t="shared" ref="AY1100:AY1104" si="1275">AI1100</f>
        <v>0</v>
      </c>
      <c r="AZ1100" s="83">
        <f t="shared" ref="AZ1100:AZ1104" si="1276">AJ1100</f>
        <v>0</v>
      </c>
      <c r="BA1100" s="52"/>
      <c r="BB1100" s="52"/>
      <c r="BC1100" s="52"/>
      <c r="BD1100" s="52"/>
      <c r="BE1100" s="52"/>
      <c r="BF1100" s="52"/>
      <c r="BG1100" s="52"/>
      <c r="BH1100" s="52"/>
      <c r="BI1100" s="68" cm="1">
        <f t="array" ref="BI1100">IFERROR(INDEX(AW1100:BH1100,1,MATCH(2,1/(AW1100:BH1100&lt;&gt;""))),"")</f>
        <v>0</v>
      </c>
      <c r="BJ1100" s="68" cm="1">
        <f t="array" ref="BJ1100">IF(BM1100 = "", "",IFERROR(INDEX(AW1100:BH1100,1,MATCH(2,1/(AW1100:BH1100&lt;&gt;""),1)-1),""))</f>
        <v>0</v>
      </c>
      <c r="BK1100" s="59">
        <f>IF((IF(AW1100&gt;=150%,150%,AW1100) + IF(AX1100&gt;=150%,150%,AX1100) + IF(AY1100&gt;=150%,150%,AY1100) + (IF(AW1100&gt;=150%,150%,AW1100) + IF(BA1100&gt;=150%,150%,BA1100) + IF(BB1100&gt;=150%,150%,BB1100) + IF(BC1100&gt;=150%,150%,BC1100) + IF(BD1100&gt;=150%,150%,BD1100) + IF(BE1100&gt;=150%,150%,BE1100) + IF(BF1100&gt;=150%,150%,BF1100) + IF(BG1100&gt;=150%,150%,BG1100) + IF(BH1100&gt;=150%,150%,BH1100)))/_xlfn.XLOOKUP(F1100,Apuração!A:A,Apuração!B:B)&gt;=1.15,1.15,((IF(AW1100&gt;=150%,150%,AW1100) + IF(AX1100&gt;=150%,150%,AX1100) + IF(AY1100&gt;=150%,150%,AY1100) + (IF(AW1100&gt;=150%,150%,AW1100) + IF(BA1100&gt;=150%,150%,BA1100) + IF(BB1100&gt;=150%,150%,BB1100) + IF(BC1100&gt;=150%,150%,BC1100) + IF(BD1100&gt;=150%,150%,BD1100) + IF(BE1100&gt;=150%,150%,BE1100) + IF(BF1100&gt;=150%,150%,BF1100) + IF(BG1100&gt;=150%,150%,BG1100) + IF(BH1100&gt;=150%,150%,BH1100)))/_xlfn.XLOOKUP(F1100,Apuração!A:A,Apuração!B:B)))</f>
        <v>0</v>
      </c>
      <c r="BL1100" s="59" cm="1">
        <f t="array" aca="1" ref="BL1100" ca="1">IF(SUM(IFERROR(IF(INDEX(AW1100:INDEX(AW1100:BH1100, MATCH(2, 1/(AW1100:BH1100&lt;&gt;""), 1)-1), ROW(INDIRECT("1:" &amp; MATCH(2, 1/(AW1100:BH1100&lt;&gt;""), 1)-1))) &gt;= 150%, 150%, INDEX(AW1100:INDEX(AW1100:BH1100, MATCH(2, 1/(AW1100:BH1100&lt;&gt;""), 1)-1), ROW(INDIRECT("1:" &amp; MATCH(2, 1/(AW1100:BH1100&lt;&gt;""), 1)-1)))), 0))/_xlfn.XLOOKUP(F1100,Apuração!A:A,Apuração!B:B)&gt;=1.15,1.15,SUM(IFERROR(IF(INDEX(AW1100:INDEX(AW1100:BH1100, MATCH(2, 1/(AW1100:BH1100&lt;&gt;""), 1)-1), ROW(INDIRECT("1:" &amp; MATCH(2, 1/(AW1100:BH1100&lt;&gt;""), 1)-1))) &gt;= 150%, 150%, INDEX(AW1100:INDEX(AW1100:BH1100, MATCH(2, 1/(AW1100:BH1100&lt;&gt;""), 1)-1), ROW(INDIRECT("1:" &amp; MATCH(2, 1/(AW1100:BH1100&lt;&gt;""), 1)-1)))), 0))/_xlfn.XLOOKUP(F1100,Apuração!A:A,Apuração!B:B))</f>
        <v>0</v>
      </c>
      <c r="BM1100" s="55" cm="1">
        <f t="array" ref="BM1100">IFERROR(
   INDEX($AW$1:$BH$1,
      _xlfn.AGGREGATE(14, 6, COLUMN($AW$1:$BH$1)/(AW1100:BH1100&lt;&gt;""), 2) - COLUMN($AW$1) + 1
   ),
"")</f>
        <v>46082</v>
      </c>
      <c r="BN1100" s="55" cm="1">
        <f t="array" ref="BN1100">IFERROR(INDEX($AW$1:$BH$1,1,MATCH(2,1/(AW1100:BH1100&lt;&gt;""))),"")</f>
        <v>46113</v>
      </c>
      <c r="BO1100" s="53">
        <f ca="1">IFERROR(_xlfn.XLOOKUP(F1100,Apuração!A:A,Apuração!C:C)/_xlfn.XLOOKUP(F1100,Apuração!A:A,Apuração!B:B),0)</f>
        <v>0</v>
      </c>
      <c r="BP1100" s="53">
        <f ca="1">IFERROR(_xlfn.XLOOKUP(F1100,Apuração!A:A,Apuração!D:D)/_xlfn.XLOOKUP(F1100,Apuração!A:A,Apuração!B:B),0)</f>
        <v>0</v>
      </c>
      <c r="BQ1100" s="53">
        <f ca="1">IF(BK1100&gt;=BO1100,0,_xlfn.XLOOKUP(F1100,Apuração!A:A,Apuração!B:B)*(BO1100 + (1/_xlfn.XLOOKUP(F1100,Apuração!A:A,Apuração!B:B)) - BK1100))</f>
        <v>0</v>
      </c>
      <c r="BR1100" s="85">
        <f t="shared" ref="BR1100:BR1104" ca="1" si="1277">IF(BQ1100=0,0,BQ1100*Z1100)</f>
        <v>0</v>
      </c>
      <c r="BS1100" s="53">
        <f ca="1">IFERROR((_xlfn.XLOOKUP(F1100,Apuração!A:A,Apuração!C:C)+1)/_xlfn.XLOOKUP(F1100,Apuração!A:A,Apuração!B:B),0)</f>
        <v>0.14285714285714285</v>
      </c>
    </row>
    <row r="1101" spans="1:71" ht="25.95" hidden="1" customHeight="1" x14ac:dyDescent="0.3">
      <c r="A1101" s="39" t="s">
        <v>33</v>
      </c>
      <c r="B1101" s="4" t="s">
        <v>60</v>
      </c>
      <c r="C1101" s="5" t="s">
        <v>209</v>
      </c>
      <c r="D1101" s="5" t="s">
        <v>47</v>
      </c>
      <c r="E1101" s="4" t="str" cm="1">
        <f t="array" ref="E1101">_xlfn.IFS(
F1101 = "A partir de Abril", "Aguardando Execução na Distribuidora",
A1101 = "CAPACITAÇÃO", "Em execução no Corporativo",
TRUE, "Em Execução na Distribuidora"
)</f>
        <v>Em Execução na Distribuidora</v>
      </c>
      <c r="F1101" s="4" t="str" cm="1">
        <f t="array" ref="F1101">_xlfn.IFS(
AG1101 &lt;&gt; "", "Jan-Dez/26",
AH1101 &lt;&gt; "", "Fev-Dez/26",
AI1101 &lt;&gt; "", "Mar-Dez/26", AJ1101 &lt;&gt; "", "Abr-Dez/26",
TRUE, "A partir de Junho"
)</f>
        <v>A partir de Junho</v>
      </c>
      <c r="G1101" s="4" t="s">
        <v>37</v>
      </c>
      <c r="H1101" s="7" t="s">
        <v>110</v>
      </c>
      <c r="I1101" s="8" t="s">
        <v>68</v>
      </c>
      <c r="J1101" s="8" t="str" cm="1">
        <f t="array" aca="1" ref="J1101" ca="1">_xlfn.LET(
  _xlpm.actual_value_month, INDEX(T1101:AE1101, MATCH(DATE(YEAR(TODAY()), MONTH(TODAY()), 1), $T$1:$AE$1, 0)),
  IF(_xlpm.actual_value_month &lt;&gt; "",_xlpm.actual_value_month &amp; " ações mensais", "")
)</f>
        <v/>
      </c>
      <c r="K1101" s="18" t="str" cm="1">
        <f t="array" ref="K1101">_xlfn.LET(
    _xlpm.sum_month, SUM(T1101:AE1101),
    IF(_xlpm.sum_month = 0, "", _xlpm.sum_month &amp; " notificações.")
)</f>
        <v/>
      </c>
      <c r="L1101" s="4" t="s">
        <v>69</v>
      </c>
      <c r="M1101" s="19">
        <v>1</v>
      </c>
      <c r="N1101" s="5" t="s">
        <v>51</v>
      </c>
      <c r="O1101" s="5" t="s">
        <v>43</v>
      </c>
      <c r="P1101" s="10" t="s">
        <v>44</v>
      </c>
      <c r="Q1101" s="10" t="s">
        <v>44</v>
      </c>
      <c r="R1101" s="11" t="s">
        <v>44</v>
      </c>
      <c r="S1101" s="11" t="s">
        <v>44</v>
      </c>
      <c r="T1101" s="22"/>
      <c r="U1101" s="22"/>
      <c r="V1101" s="22"/>
      <c r="W1101" s="22"/>
      <c r="X1101" s="22"/>
      <c r="Y1101" s="22"/>
      <c r="Z1101" s="22"/>
      <c r="AA1101" s="22"/>
      <c r="AB1101" s="22"/>
      <c r="AC1101" s="22"/>
      <c r="AD1101" s="22"/>
      <c r="AE1101" s="22"/>
      <c r="AG1101" s="146"/>
      <c r="AH1101" s="150"/>
      <c r="AI1101" s="71"/>
      <c r="AJ1101" s="71"/>
      <c r="AK1101" s="71"/>
      <c r="AL1101" s="71"/>
      <c r="AM1101" s="71"/>
      <c r="AN1101" s="71"/>
      <c r="AO1101" s="71"/>
      <c r="AP1101" s="71"/>
      <c r="AQ1101" s="71"/>
      <c r="AR1101" s="71"/>
      <c r="AS1101" s="94">
        <f t="shared" ca="1" si="1270"/>
        <v>0</v>
      </c>
      <c r="AT1101" s="95">
        <f t="shared" si="1271"/>
        <v>0</v>
      </c>
      <c r="AU1101" s="97">
        <f t="shared" si="1272"/>
        <v>0</v>
      </c>
      <c r="AW1101" s="83">
        <f t="shared" si="1273"/>
        <v>0</v>
      </c>
      <c r="AX1101" s="83">
        <f t="shared" si="1274"/>
        <v>0</v>
      </c>
      <c r="AY1101" s="83">
        <f t="shared" si="1275"/>
        <v>0</v>
      </c>
      <c r="AZ1101" s="83">
        <f t="shared" si="1276"/>
        <v>0</v>
      </c>
      <c r="BA1101" s="52"/>
      <c r="BB1101" s="52"/>
      <c r="BC1101" s="52"/>
      <c r="BD1101" s="52"/>
      <c r="BE1101" s="52"/>
      <c r="BF1101" s="52"/>
      <c r="BG1101" s="52"/>
      <c r="BH1101" s="52"/>
      <c r="BI1101" s="68" cm="1">
        <f t="array" ref="BI1101">IFERROR(INDEX(AW1101:BH1101,1,MATCH(2,1/(AW1101:BH1101&lt;&gt;""))),"")</f>
        <v>0</v>
      </c>
      <c r="BJ1101" s="68" cm="1">
        <f t="array" ref="BJ1101">IF(BM1101 = "", "",IFERROR(INDEX(AW1101:BH1101,1,MATCH(2,1/(AW1101:BH1101&lt;&gt;""),1)-1),""))</f>
        <v>0</v>
      </c>
      <c r="BK1101" s="59">
        <f>IF((IF(AW1101&gt;=150%,150%,AW1101) + IF(AX1101&gt;=150%,150%,AX1101) + IF(AY1101&gt;=150%,150%,AY1101) + (IF(AW1101&gt;=150%,150%,AW1101) + IF(BA1101&gt;=150%,150%,BA1101) + IF(BB1101&gt;=150%,150%,BB1101) + IF(BC1101&gt;=150%,150%,BC1101) + IF(BD1101&gt;=150%,150%,BD1101) + IF(BE1101&gt;=150%,150%,BE1101) + IF(BF1101&gt;=150%,150%,BF1101) + IF(BG1101&gt;=150%,150%,BG1101) + IF(BH1101&gt;=150%,150%,BH1101)))/_xlfn.XLOOKUP(F1101,Apuração!A:A,Apuração!B:B)&gt;=1.15,1.15,((IF(AW1101&gt;=150%,150%,AW1101) + IF(AX1101&gt;=150%,150%,AX1101) + IF(AY1101&gt;=150%,150%,AY1101) + (IF(AW1101&gt;=150%,150%,AW1101) + IF(BA1101&gt;=150%,150%,BA1101) + IF(BB1101&gt;=150%,150%,BB1101) + IF(BC1101&gt;=150%,150%,BC1101) + IF(BD1101&gt;=150%,150%,BD1101) + IF(BE1101&gt;=150%,150%,BE1101) + IF(BF1101&gt;=150%,150%,BF1101) + IF(BG1101&gt;=150%,150%,BG1101) + IF(BH1101&gt;=150%,150%,BH1101)))/_xlfn.XLOOKUP(F1101,Apuração!A:A,Apuração!B:B)))</f>
        <v>0</v>
      </c>
      <c r="BL1101" s="59" cm="1">
        <f t="array" aca="1" ref="BL1101" ca="1">IF(SUM(IFERROR(IF(INDEX(AW1101:INDEX(AW1101:BH1101, MATCH(2, 1/(AW1101:BH1101&lt;&gt;""), 1)-1), ROW(INDIRECT("1:" &amp; MATCH(2, 1/(AW1101:BH1101&lt;&gt;""), 1)-1))) &gt;= 150%, 150%, INDEX(AW1101:INDEX(AW1101:BH1101, MATCH(2, 1/(AW1101:BH1101&lt;&gt;""), 1)-1), ROW(INDIRECT("1:" &amp; MATCH(2, 1/(AW1101:BH1101&lt;&gt;""), 1)-1)))), 0))/_xlfn.XLOOKUP(F1101,Apuração!A:A,Apuração!B:B)&gt;=1.15,1.15,SUM(IFERROR(IF(INDEX(AW1101:INDEX(AW1101:BH1101, MATCH(2, 1/(AW1101:BH1101&lt;&gt;""), 1)-1), ROW(INDIRECT("1:" &amp; MATCH(2, 1/(AW1101:BH1101&lt;&gt;""), 1)-1))) &gt;= 150%, 150%, INDEX(AW1101:INDEX(AW1101:BH1101, MATCH(2, 1/(AW1101:BH1101&lt;&gt;""), 1)-1), ROW(INDIRECT("1:" &amp; MATCH(2, 1/(AW1101:BH1101&lt;&gt;""), 1)-1)))), 0))/_xlfn.XLOOKUP(F1101,Apuração!A:A,Apuração!B:B))</f>
        <v>0</v>
      </c>
      <c r="BM1101" s="55" cm="1">
        <f t="array" ref="BM1101">IFERROR(
   INDEX($AW$1:$BH$1,
      _xlfn.AGGREGATE(14, 6, COLUMN($AW$1:$BH$1)/(AW1101:BH1101&lt;&gt;""), 2) - COLUMN($AW$1) + 1
   ),
"")</f>
        <v>46082</v>
      </c>
      <c r="BN1101" s="55" cm="1">
        <f t="array" ref="BN1101">IFERROR(INDEX($AW$1:$BH$1,1,MATCH(2,1/(AW1101:BH1101&lt;&gt;""))),"")</f>
        <v>46113</v>
      </c>
      <c r="BO1101" s="53">
        <f ca="1">IFERROR(_xlfn.XLOOKUP(F1101,Apuração!A:A,Apuração!C:C)/_xlfn.XLOOKUP(F1101,Apuração!A:A,Apuração!B:B),0)</f>
        <v>0</v>
      </c>
      <c r="BP1101" s="53">
        <f ca="1">IFERROR(_xlfn.XLOOKUP(F1101,Apuração!A:A,Apuração!D:D)/_xlfn.XLOOKUP(F1101,Apuração!A:A,Apuração!B:B),0)</f>
        <v>0</v>
      </c>
      <c r="BQ1101" s="53">
        <f ca="1">IF(BK1101&gt;=BO1101,0,_xlfn.XLOOKUP(F1101,Apuração!A:A,Apuração!B:B)*(BO1101 + (1/_xlfn.XLOOKUP(F1101,Apuração!A:A,Apuração!B:B)) - BK1101))</f>
        <v>0</v>
      </c>
      <c r="BR1101" s="85">
        <f t="shared" ca="1" si="1277"/>
        <v>0</v>
      </c>
      <c r="BS1101" s="53">
        <f ca="1">IFERROR((_xlfn.XLOOKUP(F1101,Apuração!A:A,Apuração!C:C)+1)/_xlfn.XLOOKUP(F1101,Apuração!A:A,Apuração!B:B),0)</f>
        <v>0.14285714285714285</v>
      </c>
    </row>
    <row r="1102" spans="1:71" ht="25.95" hidden="1" customHeight="1" x14ac:dyDescent="0.3">
      <c r="A1102" s="39" t="s">
        <v>33</v>
      </c>
      <c r="B1102" s="4" t="s">
        <v>60</v>
      </c>
      <c r="C1102" s="5" t="s">
        <v>209</v>
      </c>
      <c r="D1102" s="5" t="s">
        <v>211</v>
      </c>
      <c r="E1102" s="4" t="str" cm="1">
        <f t="array" ref="E1102">_xlfn.IFS(
F1102 = "A partir de Abril", "Aguardando Execução na Distribuidora",
A1102 = "CAPACITAÇÃO", "Em execução no Corporativo",
TRUE, "Em Execução na Distribuidora"
)</f>
        <v>Em Execução na Distribuidora</v>
      </c>
      <c r="F1102" s="4" t="str" cm="1">
        <f t="array" ref="F1102">_xlfn.IFS(
AG1102 &lt;&gt; "", "Jan-Dez/26",
AH1102 &lt;&gt; "", "Fev-Dez/26",
AI1102 &lt;&gt; "", "Mar-Dez/26", AJ1102 &lt;&gt; "", "Abr-Dez/26",
TRUE, "A partir de Junho"
)</f>
        <v>A partir de Junho</v>
      </c>
      <c r="G1102" s="4" t="s">
        <v>37</v>
      </c>
      <c r="H1102" s="7" t="s">
        <v>110</v>
      </c>
      <c r="I1102" s="8" t="s">
        <v>68</v>
      </c>
      <c r="J1102" s="8" t="str" cm="1">
        <f t="array" aca="1" ref="J1102" ca="1">_xlfn.LET(
  _xlpm.actual_value_month, INDEX(T1102:AE1102, MATCH(DATE(YEAR(TODAY()), MONTH(TODAY()), 1), $T$1:$AE$1, 0)),
  IF(_xlpm.actual_value_month &lt;&gt; "",_xlpm.actual_value_month &amp; " ações mensais", "")
)</f>
        <v/>
      </c>
      <c r="K1102" s="18" t="str" cm="1">
        <f t="array" ref="K1102">_xlfn.LET(
    _xlpm.sum_month, SUM(T1102:AE1102),
    IF(_xlpm.sum_month = 0, "", _xlpm.sum_month &amp; " notificações.")
)</f>
        <v/>
      </c>
      <c r="L1102" s="4" t="s">
        <v>69</v>
      </c>
      <c r="M1102" s="19">
        <v>1</v>
      </c>
      <c r="N1102" s="5" t="s">
        <v>51</v>
      </c>
      <c r="O1102" s="5" t="s">
        <v>43</v>
      </c>
      <c r="P1102" s="10" t="s">
        <v>44</v>
      </c>
      <c r="Q1102" s="10" t="s">
        <v>44</v>
      </c>
      <c r="R1102" s="11" t="s">
        <v>44</v>
      </c>
      <c r="S1102" s="11" t="s">
        <v>44</v>
      </c>
      <c r="T1102" s="22"/>
      <c r="U1102" s="22"/>
      <c r="V1102" s="22"/>
      <c r="W1102" s="22"/>
      <c r="X1102" s="22"/>
      <c r="Y1102" s="22"/>
      <c r="Z1102" s="22"/>
      <c r="AA1102" s="22"/>
      <c r="AB1102" s="22"/>
      <c r="AC1102" s="22"/>
      <c r="AD1102" s="22"/>
      <c r="AE1102" s="22"/>
      <c r="AG1102" s="146"/>
      <c r="AH1102" s="150"/>
      <c r="AI1102" s="71"/>
      <c r="AJ1102" s="71"/>
      <c r="AK1102" s="71"/>
      <c r="AL1102" s="71"/>
      <c r="AM1102" s="71"/>
      <c r="AN1102" s="71"/>
      <c r="AO1102" s="71"/>
      <c r="AP1102" s="71"/>
      <c r="AQ1102" s="71"/>
      <c r="AR1102" s="71"/>
      <c r="AS1102" s="94">
        <f t="shared" ca="1" si="1270"/>
        <v>0</v>
      </c>
      <c r="AT1102" s="95">
        <f t="shared" si="1271"/>
        <v>0</v>
      </c>
      <c r="AU1102" s="97">
        <f t="shared" si="1272"/>
        <v>0</v>
      </c>
      <c r="AW1102" s="83">
        <f t="shared" si="1273"/>
        <v>0</v>
      </c>
      <c r="AX1102" s="83">
        <f t="shared" si="1274"/>
        <v>0</v>
      </c>
      <c r="AY1102" s="83">
        <f t="shared" si="1275"/>
        <v>0</v>
      </c>
      <c r="AZ1102" s="83">
        <f t="shared" si="1276"/>
        <v>0</v>
      </c>
      <c r="BA1102" s="52"/>
      <c r="BB1102" s="52"/>
      <c r="BC1102" s="52"/>
      <c r="BD1102" s="52"/>
      <c r="BE1102" s="52"/>
      <c r="BF1102" s="52"/>
      <c r="BG1102" s="52"/>
      <c r="BH1102" s="52"/>
      <c r="BI1102" s="68" cm="1">
        <f t="array" ref="BI1102">IFERROR(INDEX(AW1102:BH1102,1,MATCH(2,1/(AW1102:BH1102&lt;&gt;""))),"")</f>
        <v>0</v>
      </c>
      <c r="BJ1102" s="68" cm="1">
        <f t="array" ref="BJ1102">IF(BM1102 = "", "",IFERROR(INDEX(AW1102:BH1102,1,MATCH(2,1/(AW1102:BH1102&lt;&gt;""),1)-1),""))</f>
        <v>0</v>
      </c>
      <c r="BK1102" s="59">
        <f>IF((IF(AW1102&gt;=150%,150%,AW1102) + IF(AX1102&gt;=150%,150%,AX1102) + IF(AY1102&gt;=150%,150%,AY1102) + (IF(AW1102&gt;=150%,150%,AW1102) + IF(BA1102&gt;=150%,150%,BA1102) + IF(BB1102&gt;=150%,150%,BB1102) + IF(BC1102&gt;=150%,150%,BC1102) + IF(BD1102&gt;=150%,150%,BD1102) + IF(BE1102&gt;=150%,150%,BE1102) + IF(BF1102&gt;=150%,150%,BF1102) + IF(BG1102&gt;=150%,150%,BG1102) + IF(BH1102&gt;=150%,150%,BH1102)))/_xlfn.XLOOKUP(F1102,Apuração!A:A,Apuração!B:B)&gt;=1.15,1.15,((IF(AW1102&gt;=150%,150%,AW1102) + IF(AX1102&gt;=150%,150%,AX1102) + IF(AY1102&gt;=150%,150%,AY1102) + (IF(AW1102&gt;=150%,150%,AW1102) + IF(BA1102&gt;=150%,150%,BA1102) + IF(BB1102&gt;=150%,150%,BB1102) + IF(BC1102&gt;=150%,150%,BC1102) + IF(BD1102&gt;=150%,150%,BD1102) + IF(BE1102&gt;=150%,150%,BE1102) + IF(BF1102&gt;=150%,150%,BF1102) + IF(BG1102&gt;=150%,150%,BG1102) + IF(BH1102&gt;=150%,150%,BH1102)))/_xlfn.XLOOKUP(F1102,Apuração!A:A,Apuração!B:B)))</f>
        <v>0</v>
      </c>
      <c r="BL1102" s="59" cm="1">
        <f t="array" aca="1" ref="BL1102" ca="1">IF(SUM(IFERROR(IF(INDEX(AW1102:INDEX(AW1102:BH1102, MATCH(2, 1/(AW1102:BH1102&lt;&gt;""), 1)-1), ROW(INDIRECT("1:" &amp; MATCH(2, 1/(AW1102:BH1102&lt;&gt;""), 1)-1))) &gt;= 150%, 150%, INDEX(AW1102:INDEX(AW1102:BH1102, MATCH(2, 1/(AW1102:BH1102&lt;&gt;""), 1)-1), ROW(INDIRECT("1:" &amp; MATCH(2, 1/(AW1102:BH1102&lt;&gt;""), 1)-1)))), 0))/_xlfn.XLOOKUP(F1102,Apuração!A:A,Apuração!B:B)&gt;=1.15,1.15,SUM(IFERROR(IF(INDEX(AW1102:INDEX(AW1102:BH1102, MATCH(2, 1/(AW1102:BH1102&lt;&gt;""), 1)-1), ROW(INDIRECT("1:" &amp; MATCH(2, 1/(AW1102:BH1102&lt;&gt;""), 1)-1))) &gt;= 150%, 150%, INDEX(AW1102:INDEX(AW1102:BH1102, MATCH(2, 1/(AW1102:BH1102&lt;&gt;""), 1)-1), ROW(INDIRECT("1:" &amp; MATCH(2, 1/(AW1102:BH1102&lt;&gt;""), 1)-1)))), 0))/_xlfn.XLOOKUP(F1102,Apuração!A:A,Apuração!B:B))</f>
        <v>0</v>
      </c>
      <c r="BM1102" s="55" cm="1">
        <f t="array" ref="BM1102">IFERROR(
   INDEX($AW$1:$BH$1,
      _xlfn.AGGREGATE(14, 6, COLUMN($AW$1:$BH$1)/(AW1102:BH1102&lt;&gt;""), 2) - COLUMN($AW$1) + 1
   ),
"")</f>
        <v>46082</v>
      </c>
      <c r="BN1102" s="55" cm="1">
        <f t="array" ref="BN1102">IFERROR(INDEX($AW$1:$BH$1,1,MATCH(2,1/(AW1102:BH1102&lt;&gt;""))),"")</f>
        <v>46113</v>
      </c>
      <c r="BO1102" s="53">
        <f ca="1">IFERROR(_xlfn.XLOOKUP(F1102,Apuração!A:A,Apuração!C:C)/_xlfn.XLOOKUP(F1102,Apuração!A:A,Apuração!B:B),0)</f>
        <v>0</v>
      </c>
      <c r="BP1102" s="53">
        <f ca="1">IFERROR(_xlfn.XLOOKUP(F1102,Apuração!A:A,Apuração!D:D)/_xlfn.XLOOKUP(F1102,Apuração!A:A,Apuração!B:B),0)</f>
        <v>0</v>
      </c>
      <c r="BQ1102" s="53">
        <f ca="1">IF(BK1102&gt;=BO1102,0,_xlfn.XLOOKUP(F1102,Apuração!A:A,Apuração!B:B)*(BO1102 + (1/_xlfn.XLOOKUP(F1102,Apuração!A:A,Apuração!B:B)) - BK1102))</f>
        <v>0</v>
      </c>
      <c r="BR1102" s="85">
        <f t="shared" ca="1" si="1277"/>
        <v>0</v>
      </c>
      <c r="BS1102" s="53">
        <f ca="1">IFERROR((_xlfn.XLOOKUP(F1102,Apuração!A:A,Apuração!C:C)+1)/_xlfn.XLOOKUP(F1102,Apuração!A:A,Apuração!B:B),0)</f>
        <v>0.14285714285714285</v>
      </c>
    </row>
    <row r="1103" spans="1:71" ht="25.95" hidden="1" customHeight="1" x14ac:dyDescent="0.3">
      <c r="A1103" s="39" t="s">
        <v>33</v>
      </c>
      <c r="B1103" s="4" t="s">
        <v>60</v>
      </c>
      <c r="C1103" s="5" t="s">
        <v>209</v>
      </c>
      <c r="D1103" s="5" t="s">
        <v>212</v>
      </c>
      <c r="E1103" s="4" t="str" cm="1">
        <f t="array" ref="E1103">_xlfn.IFS(
F1103 = "A partir de Abril", "Aguardando Execução na Distribuidora",
A1103 = "CAPACITAÇÃO", "Em execução no Corporativo",
TRUE, "Em Execução na Distribuidora"
)</f>
        <v>Em Execução na Distribuidora</v>
      </c>
      <c r="F1103" s="4" t="str" cm="1">
        <f t="array" ref="F1103">_xlfn.IFS(
AG1103 &lt;&gt; "", "Jan-Dez/26",
AH1103 &lt;&gt; "", "Fev-Dez/26",
AI1103 &lt;&gt; "", "Mar-Dez/26", AJ1103 &lt;&gt; "", "Abr-Dez/26",
TRUE, "A partir de Junho"
)</f>
        <v>A partir de Junho</v>
      </c>
      <c r="G1103" s="4" t="s">
        <v>37</v>
      </c>
      <c r="H1103" s="7" t="s">
        <v>110</v>
      </c>
      <c r="I1103" s="8" t="s">
        <v>68</v>
      </c>
      <c r="J1103" s="8" t="str" cm="1">
        <f t="array" aca="1" ref="J1103" ca="1">_xlfn.LET(
  _xlpm.actual_value_month, INDEX(T1103:AE1103, MATCH(DATE(YEAR(TODAY()), MONTH(TODAY()), 1), $T$1:$AE$1, 0)),
  IF(_xlpm.actual_value_month &lt;&gt; "",_xlpm.actual_value_month &amp; " ações mensais", "")
)</f>
        <v/>
      </c>
      <c r="K1103" s="18" t="str" cm="1">
        <f t="array" ref="K1103">_xlfn.LET(
    _xlpm.sum_month, SUM(T1103:AE1103),
    IF(_xlpm.sum_month = 0, "", _xlpm.sum_month &amp; " notificações.")
)</f>
        <v/>
      </c>
      <c r="L1103" s="4" t="s">
        <v>69</v>
      </c>
      <c r="M1103" s="19">
        <v>1</v>
      </c>
      <c r="N1103" s="5" t="s">
        <v>51</v>
      </c>
      <c r="O1103" s="5" t="s">
        <v>43</v>
      </c>
      <c r="P1103" s="10" t="s">
        <v>44</v>
      </c>
      <c r="Q1103" s="10" t="s">
        <v>44</v>
      </c>
      <c r="R1103" s="11" t="s">
        <v>44</v>
      </c>
      <c r="S1103" s="11" t="s">
        <v>44</v>
      </c>
      <c r="T1103" s="22"/>
      <c r="U1103" s="22"/>
      <c r="V1103" s="22"/>
      <c r="W1103" s="22"/>
      <c r="X1103" s="22"/>
      <c r="Y1103" s="22"/>
      <c r="Z1103" s="22"/>
      <c r="AA1103" s="22"/>
      <c r="AB1103" s="22"/>
      <c r="AC1103" s="22"/>
      <c r="AD1103" s="22"/>
      <c r="AE1103" s="22"/>
      <c r="AG1103" s="146"/>
      <c r="AH1103" s="150"/>
      <c r="AI1103" s="71"/>
      <c r="AJ1103" s="71"/>
      <c r="AK1103" s="71"/>
      <c r="AL1103" s="71"/>
      <c r="AM1103" s="71"/>
      <c r="AN1103" s="71"/>
      <c r="AO1103" s="71"/>
      <c r="AP1103" s="71"/>
      <c r="AQ1103" s="71"/>
      <c r="AR1103" s="71"/>
      <c r="AS1103" s="94">
        <f t="shared" ca="1" si="1270"/>
        <v>0</v>
      </c>
      <c r="AT1103" s="95">
        <f t="shared" si="1271"/>
        <v>0</v>
      </c>
      <c r="AU1103" s="97">
        <f t="shared" si="1272"/>
        <v>0</v>
      </c>
      <c r="AW1103" s="83">
        <f t="shared" si="1273"/>
        <v>0</v>
      </c>
      <c r="AX1103" s="83">
        <f t="shared" si="1274"/>
        <v>0</v>
      </c>
      <c r="AY1103" s="83">
        <f t="shared" si="1275"/>
        <v>0</v>
      </c>
      <c r="AZ1103" s="83">
        <f t="shared" si="1276"/>
        <v>0</v>
      </c>
      <c r="BA1103" s="52"/>
      <c r="BB1103" s="52"/>
      <c r="BC1103" s="52"/>
      <c r="BD1103" s="52"/>
      <c r="BE1103" s="52"/>
      <c r="BF1103" s="52"/>
      <c r="BG1103" s="52"/>
      <c r="BH1103" s="52"/>
      <c r="BI1103" s="68" cm="1">
        <f t="array" ref="BI1103">IFERROR(INDEX(AW1103:BH1103,1,MATCH(2,1/(AW1103:BH1103&lt;&gt;""))),"")</f>
        <v>0</v>
      </c>
      <c r="BJ1103" s="68" cm="1">
        <f t="array" ref="BJ1103">IF(BM1103 = "", "",IFERROR(INDEX(AW1103:BH1103,1,MATCH(2,1/(AW1103:BH1103&lt;&gt;""),1)-1),""))</f>
        <v>0</v>
      </c>
      <c r="BK1103" s="59">
        <f>IF((IF(AW1103&gt;=150%,150%,AW1103) + IF(AX1103&gt;=150%,150%,AX1103) + IF(AY1103&gt;=150%,150%,AY1103) + (IF(AW1103&gt;=150%,150%,AW1103) + IF(BA1103&gt;=150%,150%,BA1103) + IF(BB1103&gt;=150%,150%,BB1103) + IF(BC1103&gt;=150%,150%,BC1103) + IF(BD1103&gt;=150%,150%,BD1103) + IF(BE1103&gt;=150%,150%,BE1103) + IF(BF1103&gt;=150%,150%,BF1103) + IF(BG1103&gt;=150%,150%,BG1103) + IF(BH1103&gt;=150%,150%,BH1103)))/_xlfn.XLOOKUP(F1103,Apuração!A:A,Apuração!B:B)&gt;=1.15,1.15,((IF(AW1103&gt;=150%,150%,AW1103) + IF(AX1103&gt;=150%,150%,AX1103) + IF(AY1103&gt;=150%,150%,AY1103) + (IF(AW1103&gt;=150%,150%,AW1103) + IF(BA1103&gt;=150%,150%,BA1103) + IF(BB1103&gt;=150%,150%,BB1103) + IF(BC1103&gt;=150%,150%,BC1103) + IF(BD1103&gt;=150%,150%,BD1103) + IF(BE1103&gt;=150%,150%,BE1103) + IF(BF1103&gt;=150%,150%,BF1103) + IF(BG1103&gt;=150%,150%,BG1103) + IF(BH1103&gt;=150%,150%,BH1103)))/_xlfn.XLOOKUP(F1103,Apuração!A:A,Apuração!B:B)))</f>
        <v>0</v>
      </c>
      <c r="BL1103" s="59" cm="1">
        <f t="array" aca="1" ref="BL1103" ca="1">IF(SUM(IFERROR(IF(INDEX(AW1103:INDEX(AW1103:BH1103, MATCH(2, 1/(AW1103:BH1103&lt;&gt;""), 1)-1), ROW(INDIRECT("1:" &amp; MATCH(2, 1/(AW1103:BH1103&lt;&gt;""), 1)-1))) &gt;= 150%, 150%, INDEX(AW1103:INDEX(AW1103:BH1103, MATCH(2, 1/(AW1103:BH1103&lt;&gt;""), 1)-1), ROW(INDIRECT("1:" &amp; MATCH(2, 1/(AW1103:BH1103&lt;&gt;""), 1)-1)))), 0))/_xlfn.XLOOKUP(F1103,Apuração!A:A,Apuração!B:B)&gt;=1.15,1.15,SUM(IFERROR(IF(INDEX(AW1103:INDEX(AW1103:BH1103, MATCH(2, 1/(AW1103:BH1103&lt;&gt;""), 1)-1), ROW(INDIRECT("1:" &amp; MATCH(2, 1/(AW1103:BH1103&lt;&gt;""), 1)-1))) &gt;= 150%, 150%, INDEX(AW1103:INDEX(AW1103:BH1103, MATCH(2, 1/(AW1103:BH1103&lt;&gt;""), 1)-1), ROW(INDIRECT("1:" &amp; MATCH(2, 1/(AW1103:BH1103&lt;&gt;""), 1)-1)))), 0))/_xlfn.XLOOKUP(F1103,Apuração!A:A,Apuração!B:B))</f>
        <v>0</v>
      </c>
      <c r="BM1103" s="55" cm="1">
        <f t="array" ref="BM1103">IFERROR(
   INDEX($AW$1:$BH$1,
      _xlfn.AGGREGATE(14, 6, COLUMN($AW$1:$BH$1)/(AW1103:BH1103&lt;&gt;""), 2) - COLUMN($AW$1) + 1
   ),
"")</f>
        <v>46082</v>
      </c>
      <c r="BN1103" s="55" cm="1">
        <f t="array" ref="BN1103">IFERROR(INDEX($AW$1:$BH$1,1,MATCH(2,1/(AW1103:BH1103&lt;&gt;""))),"")</f>
        <v>46113</v>
      </c>
      <c r="BO1103" s="53">
        <f ca="1">IFERROR(_xlfn.XLOOKUP(F1103,Apuração!A:A,Apuração!C:C)/_xlfn.XLOOKUP(F1103,Apuração!A:A,Apuração!B:B),0)</f>
        <v>0</v>
      </c>
      <c r="BP1103" s="53">
        <f ca="1">IFERROR(_xlfn.XLOOKUP(F1103,Apuração!A:A,Apuração!D:D)/_xlfn.XLOOKUP(F1103,Apuração!A:A,Apuração!B:B),0)</f>
        <v>0</v>
      </c>
      <c r="BQ1103" s="53">
        <f ca="1">IF(BK1103&gt;=BO1103,0,_xlfn.XLOOKUP(F1103,Apuração!A:A,Apuração!B:B)*(BO1103 + (1/_xlfn.XLOOKUP(F1103,Apuração!A:A,Apuração!B:B)) - BK1103))</f>
        <v>0</v>
      </c>
      <c r="BR1103" s="85">
        <f t="shared" ca="1" si="1277"/>
        <v>0</v>
      </c>
      <c r="BS1103" s="53">
        <f ca="1">IFERROR((_xlfn.XLOOKUP(F1103,Apuração!A:A,Apuração!C:C)+1)/_xlfn.XLOOKUP(F1103,Apuração!A:A,Apuração!B:B),0)</f>
        <v>0.14285714285714285</v>
      </c>
    </row>
    <row r="1104" spans="1:71" ht="25.95" hidden="1" customHeight="1" x14ac:dyDescent="0.3">
      <c r="A1104" s="39" t="s">
        <v>33</v>
      </c>
      <c r="B1104" s="4" t="s">
        <v>60</v>
      </c>
      <c r="C1104" s="5" t="s">
        <v>209</v>
      </c>
      <c r="D1104" s="5" t="s">
        <v>213</v>
      </c>
      <c r="E1104" s="4" t="str" cm="1">
        <f t="array" ref="E1104">_xlfn.IFS(
F1104 = "A partir de Abril", "Aguardando Execução na Distribuidora",
A1104 = "CAPACITAÇÃO", "Em execução no Corporativo",
TRUE, "Em Execução na Distribuidora"
)</f>
        <v>Em Execução na Distribuidora</v>
      </c>
      <c r="F1104" s="4" t="str" cm="1">
        <f t="array" ref="F1104">_xlfn.IFS(
AG1104 &lt;&gt; "", "Jan-Dez/26",
AH1104 &lt;&gt; "", "Fev-Dez/26",
AI1104 &lt;&gt; "", "Mar-Dez/26", AJ1104 &lt;&gt; "", "Abr-Dez/26",
TRUE, "A partir de Junho"
)</f>
        <v>A partir de Junho</v>
      </c>
      <c r="G1104" s="4" t="s">
        <v>37</v>
      </c>
      <c r="H1104" s="7" t="s">
        <v>110</v>
      </c>
      <c r="I1104" s="8" t="s">
        <v>68</v>
      </c>
      <c r="J1104" s="8" t="str" cm="1">
        <f t="array" aca="1" ref="J1104" ca="1">_xlfn.LET(
  _xlpm.actual_value_month, INDEX(T1104:AE1104, MATCH(DATE(YEAR(TODAY()), MONTH(TODAY()), 1), $T$1:$AE$1, 0)),
  IF(_xlpm.actual_value_month &lt;&gt; "",_xlpm.actual_value_month &amp; " ações mensais", "")
)</f>
        <v/>
      </c>
      <c r="K1104" s="18" t="str" cm="1">
        <f t="array" ref="K1104">_xlfn.LET(
    _xlpm.sum_month, SUM(T1104:AE1104),
    IF(_xlpm.sum_month = 0, "", _xlpm.sum_month &amp; " notificações.")
)</f>
        <v/>
      </c>
      <c r="L1104" s="4" t="s">
        <v>69</v>
      </c>
      <c r="M1104" s="19">
        <v>1</v>
      </c>
      <c r="N1104" s="5" t="s">
        <v>51</v>
      </c>
      <c r="O1104" s="5" t="s">
        <v>43</v>
      </c>
      <c r="P1104" s="10" t="s">
        <v>44</v>
      </c>
      <c r="Q1104" s="10" t="s">
        <v>44</v>
      </c>
      <c r="R1104" s="11" t="s">
        <v>44</v>
      </c>
      <c r="S1104" s="11" t="s">
        <v>44</v>
      </c>
      <c r="T1104" s="22"/>
      <c r="U1104" s="22"/>
      <c r="V1104" s="22"/>
      <c r="W1104" s="22"/>
      <c r="X1104" s="22"/>
      <c r="Y1104" s="22"/>
      <c r="Z1104" s="22"/>
      <c r="AA1104" s="22"/>
      <c r="AB1104" s="22"/>
      <c r="AC1104" s="22"/>
      <c r="AD1104" s="22"/>
      <c r="AE1104" s="22"/>
      <c r="AG1104" s="146"/>
      <c r="AH1104" s="150"/>
      <c r="AI1104" s="71"/>
      <c r="AJ1104" s="71"/>
      <c r="AK1104" s="71"/>
      <c r="AL1104" s="71"/>
      <c r="AM1104" s="71"/>
      <c r="AN1104" s="71"/>
      <c r="AO1104" s="71"/>
      <c r="AP1104" s="71"/>
      <c r="AQ1104" s="71"/>
      <c r="AR1104" s="71"/>
      <c r="AS1104" s="94">
        <f t="shared" ca="1" si="1270"/>
        <v>0</v>
      </c>
      <c r="AT1104" s="95">
        <f t="shared" si="1271"/>
        <v>0</v>
      </c>
      <c r="AU1104" s="97">
        <f t="shared" si="1272"/>
        <v>0</v>
      </c>
      <c r="AW1104" s="83">
        <f t="shared" si="1273"/>
        <v>0</v>
      </c>
      <c r="AX1104" s="83">
        <f t="shared" si="1274"/>
        <v>0</v>
      </c>
      <c r="AY1104" s="83">
        <f t="shared" si="1275"/>
        <v>0</v>
      </c>
      <c r="AZ1104" s="83">
        <f t="shared" si="1276"/>
        <v>0</v>
      </c>
      <c r="BA1104" s="52"/>
      <c r="BB1104" s="52"/>
      <c r="BC1104" s="52"/>
      <c r="BD1104" s="52"/>
      <c r="BE1104" s="52"/>
      <c r="BF1104" s="52"/>
      <c r="BG1104" s="52"/>
      <c r="BH1104" s="52"/>
      <c r="BI1104" s="68" cm="1">
        <f t="array" ref="BI1104">IFERROR(INDEX(AW1104:BH1104,1,MATCH(2,1/(AW1104:BH1104&lt;&gt;""))),"")</f>
        <v>0</v>
      </c>
      <c r="BJ1104" s="68" cm="1">
        <f t="array" ref="BJ1104">IF(BM1104 = "", "",IFERROR(INDEX(AW1104:BH1104,1,MATCH(2,1/(AW1104:BH1104&lt;&gt;""),1)-1),""))</f>
        <v>0</v>
      </c>
      <c r="BK1104" s="59">
        <f>IF((IF(AW1104&gt;=150%,150%,AW1104) + IF(AX1104&gt;=150%,150%,AX1104) + IF(AY1104&gt;=150%,150%,AY1104) + (IF(AW1104&gt;=150%,150%,AW1104) + IF(BA1104&gt;=150%,150%,BA1104) + IF(BB1104&gt;=150%,150%,BB1104) + IF(BC1104&gt;=150%,150%,BC1104) + IF(BD1104&gt;=150%,150%,BD1104) + IF(BE1104&gt;=150%,150%,BE1104) + IF(BF1104&gt;=150%,150%,BF1104) + IF(BG1104&gt;=150%,150%,BG1104) + IF(BH1104&gt;=150%,150%,BH1104)))/_xlfn.XLOOKUP(F1104,Apuração!A:A,Apuração!B:B)&gt;=1.15,1.15,((IF(AW1104&gt;=150%,150%,AW1104) + IF(AX1104&gt;=150%,150%,AX1104) + IF(AY1104&gt;=150%,150%,AY1104) + (IF(AW1104&gt;=150%,150%,AW1104) + IF(BA1104&gt;=150%,150%,BA1104) + IF(BB1104&gt;=150%,150%,BB1104) + IF(BC1104&gt;=150%,150%,BC1104) + IF(BD1104&gt;=150%,150%,BD1104) + IF(BE1104&gt;=150%,150%,BE1104) + IF(BF1104&gt;=150%,150%,BF1104) + IF(BG1104&gt;=150%,150%,BG1104) + IF(BH1104&gt;=150%,150%,BH1104)))/_xlfn.XLOOKUP(F1104,Apuração!A:A,Apuração!B:B)))</f>
        <v>0</v>
      </c>
      <c r="BL1104" s="59" cm="1">
        <f t="array" aca="1" ref="BL1104" ca="1">IF(SUM(IFERROR(IF(INDEX(AW1104:INDEX(AW1104:BH1104, MATCH(2, 1/(AW1104:BH1104&lt;&gt;""), 1)-1), ROW(INDIRECT("1:" &amp; MATCH(2, 1/(AW1104:BH1104&lt;&gt;""), 1)-1))) &gt;= 150%, 150%, INDEX(AW1104:INDEX(AW1104:BH1104, MATCH(2, 1/(AW1104:BH1104&lt;&gt;""), 1)-1), ROW(INDIRECT("1:" &amp; MATCH(2, 1/(AW1104:BH1104&lt;&gt;""), 1)-1)))), 0))/_xlfn.XLOOKUP(F1104,Apuração!A:A,Apuração!B:B)&gt;=1.15,1.15,SUM(IFERROR(IF(INDEX(AW1104:INDEX(AW1104:BH1104, MATCH(2, 1/(AW1104:BH1104&lt;&gt;""), 1)-1), ROW(INDIRECT("1:" &amp; MATCH(2, 1/(AW1104:BH1104&lt;&gt;""), 1)-1))) &gt;= 150%, 150%, INDEX(AW1104:INDEX(AW1104:BH1104, MATCH(2, 1/(AW1104:BH1104&lt;&gt;""), 1)-1), ROW(INDIRECT("1:" &amp; MATCH(2, 1/(AW1104:BH1104&lt;&gt;""), 1)-1)))), 0))/_xlfn.XLOOKUP(F1104,Apuração!A:A,Apuração!B:B))</f>
        <v>0</v>
      </c>
      <c r="BM1104" s="55" cm="1">
        <f t="array" ref="BM1104">IFERROR(
   INDEX($AW$1:$BH$1,
      _xlfn.AGGREGATE(14, 6, COLUMN($AW$1:$BH$1)/(AW1104:BH1104&lt;&gt;""), 2) - COLUMN($AW$1) + 1
   ),
"")</f>
        <v>46082</v>
      </c>
      <c r="BN1104" s="55" cm="1">
        <f t="array" ref="BN1104">IFERROR(INDEX($AW$1:$BH$1,1,MATCH(2,1/(AW1104:BH1104&lt;&gt;""))),"")</f>
        <v>46113</v>
      </c>
      <c r="BO1104" s="53">
        <f ca="1">IFERROR(_xlfn.XLOOKUP(F1104,Apuração!A:A,Apuração!C:C)/_xlfn.XLOOKUP(F1104,Apuração!A:A,Apuração!B:B),0)</f>
        <v>0</v>
      </c>
      <c r="BP1104" s="53">
        <f ca="1">IFERROR(_xlfn.XLOOKUP(F1104,Apuração!A:A,Apuração!D:D)/_xlfn.XLOOKUP(F1104,Apuração!A:A,Apuração!B:B),0)</f>
        <v>0</v>
      </c>
      <c r="BQ1104" s="53">
        <f ca="1">IF(BK1104&gt;=BO1104,0,_xlfn.XLOOKUP(F1104,Apuração!A:A,Apuração!B:B)*(BO1104 + (1/_xlfn.XLOOKUP(F1104,Apuração!A:A,Apuração!B:B)) - BK1104))</f>
        <v>0</v>
      </c>
      <c r="BR1104" s="85">
        <f t="shared" ca="1" si="1277"/>
        <v>0</v>
      </c>
      <c r="BS1104" s="53">
        <f ca="1">IFERROR((_xlfn.XLOOKUP(F1104,Apuração!A:A,Apuração!C:C)+1)/_xlfn.XLOOKUP(F1104,Apuração!A:A,Apuração!B:B),0)</f>
        <v>0.14285714285714285</v>
      </c>
    </row>
    <row r="1105" spans="1:71" ht="25.95" hidden="1" customHeight="1" x14ac:dyDescent="0.3">
      <c r="A1105" s="3" t="s">
        <v>33</v>
      </c>
      <c r="B1105" s="4" t="s">
        <v>70</v>
      </c>
      <c r="C1105" s="5" t="s">
        <v>209</v>
      </c>
      <c r="D1105" s="5" t="s">
        <v>36</v>
      </c>
      <c r="E1105" s="4" t="str" cm="1">
        <f t="array" ref="E1105">_xlfn.IFS(
F1105 = "A partir de Abril", "Aguardando Execução na Distribuidora",
A1105 = "CAPACITAÇÃO", "Em execução no Corporativo",
TRUE, "Em Execução na Distribuidora"
)</f>
        <v>Em Execução na Distribuidora</v>
      </c>
      <c r="F1105" s="4" t="str" cm="1">
        <f t="array" ref="F1105">_xlfn.IFS(
AG1105 &lt;&gt; "", "Jan-Dez/26",
AH1105 &lt;&gt; "", "Fev-Dez/26",
AI1105 &lt;&gt; "", "Mar-Dez/26", AJ1105 &lt;&gt; "", "Abr-Dez/26",
TRUE, "A partir de Junho"
)</f>
        <v>Jan-Dez/26</v>
      </c>
      <c r="G1105" s="4" t="s">
        <v>37</v>
      </c>
      <c r="H1105" s="7" t="s">
        <v>38</v>
      </c>
      <c r="I1105" s="8" t="s">
        <v>55</v>
      </c>
      <c r="J1105" s="8" t="str" cm="1">
        <f t="array" aca="1" ref="J1105" ca="1">_xlfn.LET(
  _xlpm.actual_value_month, INDEX(T1105:AE1105, MATCH(DATE(YEAR(TODAY()), MONTH(TODAY()), 1), $T$1:$AE$1, 0)),
  IF(_xlpm.actual_value_month &lt;&gt; "",_xlpm.actual_value_month &amp; " eventos mensais", "")
)</f>
        <v>5 eventos mensais</v>
      </c>
      <c r="K1105" s="14" t="str" cm="1">
        <f t="array" ref="K1105">_xlfn.LET(
    _xlpm.sum_month, SUM(T1105:AE1105),
    IF(_xlpm.sum_month = 0, "", _xlpm.sum_month &amp; "  eventos no ano")
)</f>
        <v>124  eventos no ano</v>
      </c>
      <c r="L1105" s="9" t="s">
        <v>56</v>
      </c>
      <c r="M1105" s="13" t="s">
        <v>71</v>
      </c>
      <c r="N1105" s="5" t="s">
        <v>42</v>
      </c>
      <c r="O1105" s="5" t="s">
        <v>43</v>
      </c>
      <c r="P1105" s="10" t="s">
        <v>58</v>
      </c>
      <c r="Q1105" s="10" t="s">
        <v>72</v>
      </c>
      <c r="R1105" s="11" t="s">
        <v>45</v>
      </c>
      <c r="S1105" s="11" t="s">
        <v>46</v>
      </c>
      <c r="T1105" s="22">
        <v>19</v>
      </c>
      <c r="U1105" s="22">
        <v>32</v>
      </c>
      <c r="V1105" s="22">
        <v>28</v>
      </c>
      <c r="W1105" s="22">
        <v>5</v>
      </c>
      <c r="X1105" s="22">
        <v>5</v>
      </c>
      <c r="Y1105" s="22">
        <v>5</v>
      </c>
      <c r="Z1105" s="22">
        <v>5</v>
      </c>
      <c r="AA1105" s="22">
        <v>5</v>
      </c>
      <c r="AB1105" s="22">
        <v>5</v>
      </c>
      <c r="AC1105" s="22">
        <v>5</v>
      </c>
      <c r="AD1105" s="22">
        <v>5</v>
      </c>
      <c r="AE1105" s="22">
        <v>5</v>
      </c>
      <c r="AG1105" s="71">
        <v>19</v>
      </c>
      <c r="AH1105" s="71">
        <v>32</v>
      </c>
      <c r="AI1105" s="71">
        <v>28</v>
      </c>
      <c r="AJ1105" s="71">
        <v>15</v>
      </c>
      <c r="AK1105" s="71"/>
      <c r="AL1105" s="71"/>
      <c r="AM1105" s="71"/>
      <c r="AN1105" s="71"/>
      <c r="AO1105" s="71"/>
      <c r="AP1105" s="71"/>
      <c r="AQ1105" s="71"/>
      <c r="AR1105" s="71"/>
      <c r="AS1105" s="94">
        <f ca="1">IF(MONTH(TODAY())=3,SUM(T1105:U1105),IF(MONTH(TODAY())=4,SUM(T1105:V1105),IF(MONTH(TODAY())=5,SUM(T1105:W1105),IF(MONTH(TODAY())=6,SUM(T1105:X1105),IF(MONTH(TODAY())=7,SUM(T1105:Y1105),IF(MONTH(TODAY())=8,SUM(T1105:Z1105),IF(MONTH(TODAY())=9,SUM(T1105:AA1105),IF(MONTH(TODAY())=10,SUM(T1105:AB1105),IF(MONTH(TODAY())=11,SUM(T1105:AC1105),IF(MONTH(TODAY())=12,SUM(T1105:AD1105),IF(MONTH(TODAY())=1,SUM(T1105:AE1105),T1105)))))))))))</f>
        <v>89</v>
      </c>
      <c r="AT1105" s="95">
        <f>SUM(IF(AW1105&lt;1.15,AG1105,1.15*T1105),IF(AX1105&lt;1.15,AH1105,1.15*U1105),IF(AY1105&lt;1.15,AI1105,1.15*V1105),IF(AZ1105&lt;1.15,AJ1105,1.15*W1105),IF(BA1105&lt;1.15,AK1105,1.15*X1105),IF(BB1105&lt;1.15,AL1105,1.15*Y1105),IF(BC1105&lt;1.15,AM1105,1.15*Z1105),IF(BD1105&lt;1.15,AN1105,1.15*AA1105),IF(BE1105&lt;1.15,AO1105,1.15*AB1105),IF(BF1105&lt;1.15,AP1105,1.15*AC1105),IF(BG1105&lt;1.15,AQ1105,1.15*AD1105),IF(BH1105&lt;1.15,AR1105,1.15*AE1105))</f>
        <v>84.75</v>
      </c>
      <c r="AU1105" s="97">
        <f>SUM(AG1105:AR1105)</f>
        <v>94</v>
      </c>
      <c r="AW1105" s="51">
        <f>IFERROR(IF(AG1105="",0,AG1105/T1105),0)</f>
        <v>1</v>
      </c>
      <c r="AX1105" s="51">
        <f>IFERROR(IF(AH1105="",0,AH1105/U1105),0)</f>
        <v>1</v>
      </c>
      <c r="AY1105" s="51">
        <f>IFERROR(IF(AI1105="",0,AI1105/V1105),0)</f>
        <v>1</v>
      </c>
      <c r="AZ1105" s="51">
        <f>IFERROR(IF(AJ1105="",0,AJ1105/W1105),0)</f>
        <v>3</v>
      </c>
      <c r="BA1105" s="51"/>
      <c r="BB1105" s="51"/>
      <c r="BC1105" s="51"/>
      <c r="BD1105" s="51"/>
      <c r="BE1105" s="51"/>
      <c r="BF1105" s="51"/>
      <c r="BG1105" s="51"/>
      <c r="BH1105" s="51"/>
      <c r="BI1105" s="65" cm="1">
        <f t="array" ref="BI1105">IFERROR(INDEX(AW1105:BH1105,1,MATCH(2,1/(AW1105:BH1105&lt;&gt;""))),"")</f>
        <v>3</v>
      </c>
      <c r="BJ1105" s="68" cm="1">
        <f t="array" ref="BJ1105">IF(BM1105 = "", "",IFERROR(INDEX(AW1105:BH1105,1,MATCH(2,1/(AW1105:BH1105&lt;&gt;""),1)-1),""))</f>
        <v>1</v>
      </c>
      <c r="BK1105" s="58">
        <f>IF((IF(AW1105&gt;=115%,115%,AW1105) + IF(AX1105&gt;=115%,115%,AX1105) + IF(AY1105&gt;=115%,115%,AY1105) + (IF(AZ1105&gt;=115%,115%,AZ1105) + IF(BA1105&gt;=115%,115%,BA1105) + IF(BB1105&gt;=115%,115%,BB1105) + IF(BC1105&gt;=115%,115%,BC1105) + IF(BD1105&gt;=115%,115%,BD1105) + IF(BE1105&gt;=115%,115%,BE1105) + IF(BF1105&gt;=115%,115%,BF1105) + IF(BG1105&gt;=115%,115%,BG1105) + IF(BH1105&gt;=115%,115%,BH1105)))/_xlfn.XLOOKUP(F1105,Apuração!A:A,Apuração!B:B)&gt;=1.15,1.15,((IF(AZ1105&gt;=115%,115%,AZ1105) + IF(AX1105&gt;=115%,115%,AX1105) + IF(AY1105&gt;=115%,115%,AY1105) + (IF(AW1105&gt;=115%,115%,AW1105) + IF(BA1105&gt;=115%,115%,BA1105) + IF(BB1105&gt;=115%,115%,BB1105) + IF(BC1105&gt;=115%,115%,BC1105) + IF(BD1105&gt;=115%,115%,BD1105) + IF(BE1105&gt;=115%,115%,BE1105) + IF(BF1105&gt;=115%,115%,BF1105) + IF(BG1105&gt;=115%,115%,BG1105) + IF(BH1105&gt;=115%,115%,BH1105)))/_xlfn.XLOOKUP(F1105,Apuração!A:A,Apuração!B:B)))</f>
        <v>0.34583333333333338</v>
      </c>
      <c r="BL1105" s="58" cm="1">
        <f t="array" aca="1" ref="BL1105" ca="1">IF(SUM(IFERROR(IF(INDEX(AW1105:INDEX(AW1105:BH1105, MATCH(2, 1/(AW1105:BH1105&lt;&gt;""), 1)-1), ROW(INDIRECT("1:" &amp; MATCH(2, 1/(AW1105:BH1105&lt;&gt;""), 1)-1))) &gt;= 115%, 115%, INDEX(AW1105:INDEX(AW1105:BH1105, MATCH(2, 1/(AW1105:BH1105&lt;&gt;""), 1)-1), ROW(INDIRECT("1:" &amp; MATCH(2, 1/(AW1105:BH1105&lt;&gt;""), 1)-1)))), 0))/_xlfn.XLOOKUP(F1105,Apuração!A:A,Apuração!B:B)&gt;=1.15,1.15,SUM(IFERROR(IF(INDEX(AW1105:INDEX(AW1105:BH1105, MATCH(2, 1/(AW1105:BH1105&lt;&gt;""), 1)-1), ROW(INDIRECT("1:" &amp; MATCH(2, 1/(AW1105:BH1105&lt;&gt;""), 1)-1))) &gt;= 115%, 115%, INDEX(AW1105:INDEX(AW1105:BH1105, MATCH(2, 1/(AW1105:BH1105&lt;&gt;""), 1)-1), ROW(INDIRECT("1:" &amp; MATCH(2, 1/(AW1105:BH1105&lt;&gt;""), 1)-1)))), 0))/_xlfn.XLOOKUP(F1105,Apuração!A:A,Apuração!B:B))</f>
        <v>0.25</v>
      </c>
      <c r="BM1105" s="55" cm="1">
        <f t="array" ref="BM1105">IFERROR(
   INDEX($AW$1:$BH$1,
      _xlfn.AGGREGATE(14, 6, COLUMN($AW$1:$BH$1)/(AW1105:BH1105&lt;&gt;""), 2) - COLUMN($AW$1) + 1
   ),
"")</f>
        <v>46082</v>
      </c>
      <c r="BN1105" s="55" cm="1">
        <f t="array" ref="BN1105">IFERROR(INDEX($AW$1:$BH$1,1,MATCH(2,1/(AW1105:BH1105&lt;&gt;""))),"")</f>
        <v>46113</v>
      </c>
      <c r="BO1105" s="53">
        <f ca="1">IFERROR(_xlfn.XLOOKUP(F1105,Apuração!A:A,Apuração!C:C)/_xlfn.XLOOKUP(F1105,Apuração!A:A,Apuração!B:B),0)</f>
        <v>0.41666666666666669</v>
      </c>
      <c r="BP1105" s="53">
        <f ca="1">IFERROR(_xlfn.XLOOKUP(F1105,Apuração!A:A,Apuração!D:D)/_xlfn.XLOOKUP(F1105,Apuração!A:A,Apuração!B:B),0)</f>
        <v>0.33333333333333331</v>
      </c>
      <c r="BQ1105" s="53">
        <f ca="1">IF(BK1105&gt;=BO1105,0,_xlfn.XLOOKUP(F1105,Apuração!A:A,Apuração!B:B)*(BO1105 + (1/_xlfn.XLOOKUP(F1105,Apuração!A:A,Apuração!B:B)) - BK1105))</f>
        <v>1.8499999999999994</v>
      </c>
      <c r="BR1105" s="85">
        <f ca="1">IF(BQ1105=0,0,BQ1105*Z1105)</f>
        <v>9.2499999999999964</v>
      </c>
      <c r="BS1105" s="53">
        <f ca="1">IFERROR((_xlfn.XLOOKUP(F1105,Apuração!A:A,Apuração!C:C)+1)/_xlfn.XLOOKUP(F1105,Apuração!A:A,Apuração!B:B),0)</f>
        <v>0.5</v>
      </c>
    </row>
    <row r="1106" spans="1:71" ht="25.95" hidden="1" customHeight="1" x14ac:dyDescent="0.3">
      <c r="A1106" s="3" t="s">
        <v>33</v>
      </c>
      <c r="B1106" s="4" t="s">
        <v>70</v>
      </c>
      <c r="C1106" s="5" t="s">
        <v>209</v>
      </c>
      <c r="D1106" s="5" t="s">
        <v>210</v>
      </c>
      <c r="E1106" s="4" t="str" cm="1">
        <f t="array" ref="E1106">_xlfn.IFS(
F1106 = "A partir de Abril", "Aguardando Execução na Distribuidora",
A1106 = "CAPACITAÇÃO", "Em execução no Corporativo",
TRUE, "Em Execução na Distribuidora"
)</f>
        <v>Em Execução na Distribuidora</v>
      </c>
      <c r="F1106" s="4" t="str" cm="1">
        <f t="array" ref="F1106">_xlfn.IFS(
AG1106 &lt;&gt; "", "Jan-Dez/26",
AH1106 &lt;&gt; "", "Fev-Dez/26",
AI1106 &lt;&gt; "", "Mar-Dez/26", AJ1106 &lt;&gt; "", "Abr-Dez/26",
TRUE, "A partir de Junho"
)</f>
        <v>Jan-Dez/26</v>
      </c>
      <c r="G1106" s="4" t="s">
        <v>37</v>
      </c>
      <c r="H1106" s="7" t="s">
        <v>38</v>
      </c>
      <c r="I1106" s="8" t="s">
        <v>55</v>
      </c>
      <c r="J1106" s="8" t="str" cm="1">
        <f t="array" aca="1" ref="J1106" ca="1">_xlfn.LET(
  _xlpm.actual_value_month, INDEX(T1106:AE1106, MATCH(DATE(YEAR(TODAY()), MONTH(TODAY()), 1), $T$1:$AE$1, 0)),
  IF(_xlpm.actual_value_month &lt;&gt; "",_xlpm.actual_value_month &amp; " eventos mensais", "")
)</f>
        <v>1 eventos mensais</v>
      </c>
      <c r="K1106" s="14" t="str" cm="1">
        <f t="array" ref="K1106">_xlfn.LET(
    _xlpm.sum_month, SUM(T1106:AE1106),
    IF(_xlpm.sum_month = 0, "", _xlpm.sum_month &amp; "  eventos no ano")
)</f>
        <v>39  eventos no ano</v>
      </c>
      <c r="L1106" s="9" t="s">
        <v>56</v>
      </c>
      <c r="M1106" s="13" t="s">
        <v>71</v>
      </c>
      <c r="N1106" s="5" t="s">
        <v>42</v>
      </c>
      <c r="O1106" s="5" t="s">
        <v>43</v>
      </c>
      <c r="P1106" s="10" t="s">
        <v>58</v>
      </c>
      <c r="Q1106" s="10" t="s">
        <v>72</v>
      </c>
      <c r="R1106" s="11" t="s">
        <v>45</v>
      </c>
      <c r="S1106" s="11" t="s">
        <v>46</v>
      </c>
      <c r="T1106" s="143">
        <v>14</v>
      </c>
      <c r="U1106" s="143">
        <v>9</v>
      </c>
      <c r="V1106" s="143">
        <v>7</v>
      </c>
      <c r="W1106" s="143">
        <v>1</v>
      </c>
      <c r="X1106" s="143">
        <v>1</v>
      </c>
      <c r="Y1106" s="143">
        <v>1</v>
      </c>
      <c r="Z1106" s="143">
        <v>1</v>
      </c>
      <c r="AA1106" s="143">
        <v>1</v>
      </c>
      <c r="AB1106" s="143">
        <v>1</v>
      </c>
      <c r="AC1106" s="143">
        <v>1</v>
      </c>
      <c r="AD1106" s="143">
        <v>1</v>
      </c>
      <c r="AE1106" s="143">
        <v>1</v>
      </c>
      <c r="AG1106" s="71">
        <v>14</v>
      </c>
      <c r="AH1106" s="71">
        <v>9</v>
      </c>
      <c r="AI1106" s="71">
        <v>7</v>
      </c>
      <c r="AJ1106" s="71">
        <v>3</v>
      </c>
      <c r="AK1106" s="71"/>
      <c r="AL1106" s="71"/>
      <c r="AM1106" s="71"/>
      <c r="AN1106" s="71"/>
      <c r="AO1106" s="71"/>
      <c r="AP1106" s="71"/>
      <c r="AQ1106" s="71"/>
      <c r="AR1106" s="71"/>
      <c r="AS1106" s="94">
        <f t="shared" ref="AS1106:AS1110" ca="1" si="1278">IF(MONTH(TODAY())=3,SUM(T1106:U1106),IF(MONTH(TODAY())=4,SUM(T1106:V1106),IF(MONTH(TODAY())=5,SUM(T1106:W1106),IF(MONTH(TODAY())=6,SUM(T1106:X1106),IF(MONTH(TODAY())=7,SUM(T1106:Y1106),IF(MONTH(TODAY())=8,SUM(T1106:Z1106),IF(MONTH(TODAY())=9,SUM(T1106:AA1106),IF(MONTH(TODAY())=10,SUM(T1106:AB1106),IF(MONTH(TODAY())=11,SUM(T1106:AC1106),IF(MONTH(TODAY())=12,SUM(T1106:AD1106),IF(MONTH(TODAY())=1,SUM(T1106:AE1106),T1106)))))))))))</f>
        <v>32</v>
      </c>
      <c r="AT1106" s="95">
        <f t="shared" ref="AT1106:AT1110" si="1279">SUM(IF(AW1106&lt;1.15,AG1106,1.15*T1106),IF(AX1106&lt;1.15,AH1106,1.15*U1106),IF(AY1106&lt;1.15,AI1106,1.15*V1106),IF(AZ1106&lt;1.15,AJ1106,1.15*W1106),IF(BA1106&lt;1.15,AK1106,1.15*X1106),IF(BB1106&lt;1.15,AL1106,1.15*Y1106),IF(BC1106&lt;1.15,AM1106,1.15*Z1106),IF(BD1106&lt;1.15,AN1106,1.15*AA1106),IF(BE1106&lt;1.15,AO1106,1.15*AB1106),IF(BF1106&lt;1.15,AP1106,1.15*AC1106),IF(BG1106&lt;1.15,AQ1106,1.15*AD1106),IF(BH1106&lt;1.15,AR1106,1.15*AE1106))</f>
        <v>31.15</v>
      </c>
      <c r="AU1106" s="97">
        <f t="shared" ref="AU1106:AU1110" si="1280">SUM(AG1106:AR1106)</f>
        <v>33</v>
      </c>
      <c r="AW1106" s="51">
        <f t="shared" ref="AW1106:AW1110" si="1281">IFERROR(IF(AG1106="",0,AG1106/T1106),0)</f>
        <v>1</v>
      </c>
      <c r="AX1106" s="51">
        <f t="shared" ref="AX1106:AX1110" si="1282">IFERROR(IF(AH1106="",0,AH1106/U1106),0)</f>
        <v>1</v>
      </c>
      <c r="AY1106" s="51">
        <f t="shared" ref="AY1106:AY1110" si="1283">IFERROR(IF(AI1106="",0,AI1106/V1106),0)</f>
        <v>1</v>
      </c>
      <c r="AZ1106" s="51">
        <f t="shared" ref="AZ1106:AZ1110" si="1284">IFERROR(IF(AJ1106="",0,AJ1106/W1106),0)</f>
        <v>3</v>
      </c>
      <c r="BA1106" s="51"/>
      <c r="BB1106" s="51"/>
      <c r="BC1106" s="51"/>
      <c r="BD1106" s="51"/>
      <c r="BE1106" s="51"/>
      <c r="BF1106" s="51"/>
      <c r="BG1106" s="51"/>
      <c r="BH1106" s="51"/>
      <c r="BI1106" s="65" cm="1">
        <f t="array" ref="BI1106">IFERROR(INDEX(AW1106:BH1106,1,MATCH(2,1/(AW1106:BH1106&lt;&gt;""))),"")</f>
        <v>3</v>
      </c>
      <c r="BJ1106" s="68" cm="1">
        <f t="array" ref="BJ1106">IF(BM1106 = "", "",IFERROR(INDEX(AW1106:BH1106,1,MATCH(2,1/(AW1106:BH1106&lt;&gt;""),1)-1),""))</f>
        <v>1</v>
      </c>
      <c r="BK1106" s="58">
        <f>IF((IF(AW1106&gt;=115%,115%,AW1106) + IF(AX1106&gt;=115%,115%,AX1106) + IF(AY1106&gt;=115%,115%,AY1106) + (IF(AZ1106&gt;=115%,115%,AZ1106) + IF(BA1106&gt;=115%,115%,BA1106) + IF(BB1106&gt;=115%,115%,BB1106) + IF(BC1106&gt;=115%,115%,BC1106) + IF(BD1106&gt;=115%,115%,BD1106) + IF(BE1106&gt;=115%,115%,BE1106) + IF(BF1106&gt;=115%,115%,BF1106) + IF(BG1106&gt;=115%,115%,BG1106) + IF(BH1106&gt;=115%,115%,BH1106)))/_xlfn.XLOOKUP(F1106,Apuração!A:A,Apuração!B:B)&gt;=1.15,1.15,((IF(AZ1106&gt;=115%,115%,AZ1106) + IF(AX1106&gt;=115%,115%,AX1106) + IF(AY1106&gt;=115%,115%,AY1106) + (IF(AW1106&gt;=115%,115%,AW1106) + IF(BA1106&gt;=115%,115%,BA1106) + IF(BB1106&gt;=115%,115%,BB1106) + IF(BC1106&gt;=115%,115%,BC1106) + IF(BD1106&gt;=115%,115%,BD1106) + IF(BE1106&gt;=115%,115%,BE1106) + IF(BF1106&gt;=115%,115%,BF1106) + IF(BG1106&gt;=115%,115%,BG1106) + IF(BH1106&gt;=115%,115%,BH1106)))/_xlfn.XLOOKUP(F1106,Apuração!A:A,Apuração!B:B)))</f>
        <v>0.34583333333333338</v>
      </c>
      <c r="BL1106" s="58" cm="1">
        <f t="array" aca="1" ref="BL1106" ca="1">IF(SUM(IFERROR(IF(INDEX(AW1106:INDEX(AW1106:BH1106, MATCH(2, 1/(AW1106:BH1106&lt;&gt;""), 1)-1), ROW(INDIRECT("1:" &amp; MATCH(2, 1/(AW1106:BH1106&lt;&gt;""), 1)-1))) &gt;= 115%, 115%, INDEX(AW1106:INDEX(AW1106:BH1106, MATCH(2, 1/(AW1106:BH1106&lt;&gt;""), 1)-1), ROW(INDIRECT("1:" &amp; MATCH(2, 1/(AW1106:BH1106&lt;&gt;""), 1)-1)))), 0))/_xlfn.XLOOKUP(F1106,Apuração!A:A,Apuração!B:B)&gt;=1.15,1.15,SUM(IFERROR(IF(INDEX(AW1106:INDEX(AW1106:BH1106, MATCH(2, 1/(AW1106:BH1106&lt;&gt;""), 1)-1), ROW(INDIRECT("1:" &amp; MATCH(2, 1/(AW1106:BH1106&lt;&gt;""), 1)-1))) &gt;= 115%, 115%, INDEX(AW1106:INDEX(AW1106:BH1106, MATCH(2, 1/(AW1106:BH1106&lt;&gt;""), 1)-1), ROW(INDIRECT("1:" &amp; MATCH(2, 1/(AW1106:BH1106&lt;&gt;""), 1)-1)))), 0))/_xlfn.XLOOKUP(F1106,Apuração!A:A,Apuração!B:B))</f>
        <v>0.25</v>
      </c>
      <c r="BM1106" s="55" cm="1">
        <f t="array" ref="BM1106">IFERROR(
   INDEX($AW$1:$BH$1,
      _xlfn.AGGREGATE(14, 6, COLUMN($AW$1:$BH$1)/(AW1106:BH1106&lt;&gt;""), 2) - COLUMN($AW$1) + 1
   ),
"")</f>
        <v>46082</v>
      </c>
      <c r="BN1106" s="55" cm="1">
        <f t="array" ref="BN1106">IFERROR(INDEX($AW$1:$BH$1,1,MATCH(2,1/(AW1106:BH1106&lt;&gt;""))),"")</f>
        <v>46113</v>
      </c>
      <c r="BO1106" s="53">
        <f ca="1">IFERROR(_xlfn.XLOOKUP(F1106,Apuração!A:A,Apuração!C:C)/_xlfn.XLOOKUP(F1106,Apuração!A:A,Apuração!B:B),0)</f>
        <v>0.41666666666666669</v>
      </c>
      <c r="BP1106" s="53">
        <f ca="1">IFERROR(_xlfn.XLOOKUP(F1106,Apuração!A:A,Apuração!D:D)/_xlfn.XLOOKUP(F1106,Apuração!A:A,Apuração!B:B),0)</f>
        <v>0.33333333333333331</v>
      </c>
      <c r="BQ1106" s="53">
        <f ca="1">IF(BK1106&gt;=BO1106,0,_xlfn.XLOOKUP(F1106,Apuração!A:A,Apuração!B:B)*(BO1106 + (1/_xlfn.XLOOKUP(F1106,Apuração!A:A,Apuração!B:B)) - BK1106))</f>
        <v>1.8499999999999994</v>
      </c>
      <c r="BR1106" s="85">
        <f t="shared" ref="BR1106:BR1110" ca="1" si="1285">IF(BQ1106=0,0,BQ1106*Z1106)</f>
        <v>1.8499999999999994</v>
      </c>
      <c r="BS1106" s="53">
        <f ca="1">IFERROR((_xlfn.XLOOKUP(F1106,Apuração!A:A,Apuração!C:C)+1)/_xlfn.XLOOKUP(F1106,Apuração!A:A,Apuração!B:B),0)</f>
        <v>0.5</v>
      </c>
    </row>
    <row r="1107" spans="1:71" ht="25.95" hidden="1" customHeight="1" x14ac:dyDescent="0.3">
      <c r="A1107" s="3" t="s">
        <v>33</v>
      </c>
      <c r="B1107" s="4" t="s">
        <v>70</v>
      </c>
      <c r="C1107" s="5" t="s">
        <v>209</v>
      </c>
      <c r="D1107" s="5" t="s">
        <v>47</v>
      </c>
      <c r="E1107" s="4" t="str" cm="1">
        <f t="array" ref="E1107">_xlfn.IFS(
F1107 = "A partir de Abril", "Aguardando Execução na Distribuidora",
A1107 = "CAPACITAÇÃO", "Em execução no Corporativo",
TRUE, "Em Execução na Distribuidora"
)</f>
        <v>Em Execução na Distribuidora</v>
      </c>
      <c r="F1107" s="4" t="str" cm="1">
        <f t="array" ref="F1107">_xlfn.IFS(
AG1107 &lt;&gt; "", "Jan-Dez/26",
AH1107 &lt;&gt; "", "Fev-Dez/26",
AI1107 &lt;&gt; "", "Mar-Dez/26", AJ1107 &lt;&gt; "", "Abr-Dez/26",
TRUE, "A partir de Junho"
)</f>
        <v>Jan-Dez/26</v>
      </c>
      <c r="G1107" s="4" t="s">
        <v>37</v>
      </c>
      <c r="H1107" s="7" t="s">
        <v>38</v>
      </c>
      <c r="I1107" s="8" t="s">
        <v>55</v>
      </c>
      <c r="J1107" s="8" t="str" cm="1">
        <f t="array" aca="1" ref="J1107" ca="1">_xlfn.LET(
  _xlpm.actual_value_month, INDEX(T1107:AE1107, MATCH(DATE(YEAR(TODAY()), MONTH(TODAY()), 1), $T$1:$AE$1, 0)),
  IF(_xlpm.actual_value_month &lt;&gt; "",_xlpm.actual_value_month &amp; " eventos mensais", "")
)</f>
        <v>1 eventos mensais</v>
      </c>
      <c r="K1107" s="14" t="str" cm="1">
        <f t="array" ref="K1107">_xlfn.LET(
    _xlpm.sum_month, SUM(T1107:AE1107),
    IF(_xlpm.sum_month = 0, "", _xlpm.sum_month &amp; "  eventos no ano")
)</f>
        <v>21  eventos no ano</v>
      </c>
      <c r="L1107" s="9" t="s">
        <v>56</v>
      </c>
      <c r="M1107" s="13" t="s">
        <v>71</v>
      </c>
      <c r="N1107" s="5" t="s">
        <v>42</v>
      </c>
      <c r="O1107" s="5" t="s">
        <v>43</v>
      </c>
      <c r="P1107" s="10" t="s">
        <v>58</v>
      </c>
      <c r="Q1107" s="10" t="s">
        <v>72</v>
      </c>
      <c r="R1107" s="11" t="s">
        <v>45</v>
      </c>
      <c r="S1107" s="11" t="s">
        <v>46</v>
      </c>
      <c r="T1107" s="143">
        <v>0</v>
      </c>
      <c r="U1107" s="143">
        <v>7</v>
      </c>
      <c r="V1107" s="143">
        <v>5</v>
      </c>
      <c r="W1107" s="143">
        <v>1</v>
      </c>
      <c r="X1107" s="143">
        <v>1</v>
      </c>
      <c r="Y1107" s="143">
        <v>1</v>
      </c>
      <c r="Z1107" s="143">
        <v>1</v>
      </c>
      <c r="AA1107" s="143">
        <v>1</v>
      </c>
      <c r="AB1107" s="143">
        <v>1</v>
      </c>
      <c r="AC1107" s="143">
        <v>1</v>
      </c>
      <c r="AD1107" s="143">
        <v>1</v>
      </c>
      <c r="AE1107" s="143">
        <v>1</v>
      </c>
      <c r="AG1107" s="71">
        <v>0</v>
      </c>
      <c r="AH1107" s="71">
        <v>7</v>
      </c>
      <c r="AI1107" s="71">
        <v>5</v>
      </c>
      <c r="AJ1107" s="71">
        <v>2</v>
      </c>
      <c r="AK1107" s="71"/>
      <c r="AL1107" s="71"/>
      <c r="AM1107" s="71"/>
      <c r="AN1107" s="71"/>
      <c r="AO1107" s="71"/>
      <c r="AP1107" s="71"/>
      <c r="AQ1107" s="71"/>
      <c r="AR1107" s="71"/>
      <c r="AS1107" s="94">
        <f t="shared" ca="1" si="1278"/>
        <v>14</v>
      </c>
      <c r="AT1107" s="95">
        <f t="shared" si="1279"/>
        <v>13.15</v>
      </c>
      <c r="AU1107" s="97">
        <f t="shared" si="1280"/>
        <v>14</v>
      </c>
      <c r="AW1107" s="51">
        <f t="shared" si="1281"/>
        <v>0</v>
      </c>
      <c r="AX1107" s="51">
        <f t="shared" si="1282"/>
        <v>1</v>
      </c>
      <c r="AY1107" s="51">
        <f t="shared" si="1283"/>
        <v>1</v>
      </c>
      <c r="AZ1107" s="51">
        <f t="shared" si="1284"/>
        <v>2</v>
      </c>
      <c r="BA1107" s="51"/>
      <c r="BB1107" s="51"/>
      <c r="BC1107" s="51"/>
      <c r="BD1107" s="51"/>
      <c r="BE1107" s="51"/>
      <c r="BF1107" s="51"/>
      <c r="BG1107" s="51"/>
      <c r="BH1107" s="51"/>
      <c r="BI1107" s="65" cm="1">
        <f t="array" ref="BI1107">IFERROR(INDEX(AW1107:BH1107,1,MATCH(2,1/(AW1107:BH1107&lt;&gt;""))),"")</f>
        <v>2</v>
      </c>
      <c r="BJ1107" s="68" cm="1">
        <f t="array" ref="BJ1107">IF(BM1107 = "", "",IFERROR(INDEX(AW1107:BH1107,1,MATCH(2,1/(AW1107:BH1107&lt;&gt;""),1)-1),""))</f>
        <v>1</v>
      </c>
      <c r="BK1107" s="58">
        <f>IF((IF(AW1107&gt;=115%,115%,AW1107) + IF(AX1107&gt;=115%,115%,AX1107) + IF(AY1107&gt;=115%,115%,AY1107) + (IF(AZ1107&gt;=115%,115%,AZ1107) + IF(BA1107&gt;=115%,115%,BA1107) + IF(BB1107&gt;=115%,115%,BB1107) + IF(BC1107&gt;=115%,115%,BC1107) + IF(BD1107&gt;=115%,115%,BD1107) + IF(BE1107&gt;=115%,115%,BE1107) + IF(BF1107&gt;=115%,115%,BF1107) + IF(BG1107&gt;=115%,115%,BG1107) + IF(BH1107&gt;=115%,115%,BH1107)))/_xlfn.XLOOKUP(F1107,Apuração!A:A,Apuração!B:B)&gt;=1.15,1.15,((IF(AZ1107&gt;=115%,115%,AZ1107) + IF(AX1107&gt;=115%,115%,AX1107) + IF(AY1107&gt;=115%,115%,AY1107) + (IF(AW1107&gt;=115%,115%,AW1107) + IF(BA1107&gt;=115%,115%,BA1107) + IF(BB1107&gt;=115%,115%,BB1107) + IF(BC1107&gt;=115%,115%,BC1107) + IF(BD1107&gt;=115%,115%,BD1107) + IF(BE1107&gt;=115%,115%,BE1107) + IF(BF1107&gt;=115%,115%,BF1107) + IF(BG1107&gt;=115%,115%,BG1107) + IF(BH1107&gt;=115%,115%,BH1107)))/_xlfn.XLOOKUP(F1107,Apuração!A:A,Apuração!B:B)))</f>
        <v>0.26250000000000001</v>
      </c>
      <c r="BL1107" s="58" cm="1">
        <f t="array" aca="1" ref="BL1107" ca="1">IF(SUM(IFERROR(IF(INDEX(AW1107:INDEX(AW1107:BH1107, MATCH(2, 1/(AW1107:BH1107&lt;&gt;""), 1)-1), ROW(INDIRECT("1:" &amp; MATCH(2, 1/(AW1107:BH1107&lt;&gt;""), 1)-1))) &gt;= 115%, 115%, INDEX(AW1107:INDEX(AW1107:BH1107, MATCH(2, 1/(AW1107:BH1107&lt;&gt;""), 1)-1), ROW(INDIRECT("1:" &amp; MATCH(2, 1/(AW1107:BH1107&lt;&gt;""), 1)-1)))), 0))/_xlfn.XLOOKUP(F1107,Apuração!A:A,Apuração!B:B)&gt;=1.15,1.15,SUM(IFERROR(IF(INDEX(AW1107:INDEX(AW1107:BH1107, MATCH(2, 1/(AW1107:BH1107&lt;&gt;""), 1)-1), ROW(INDIRECT("1:" &amp; MATCH(2, 1/(AW1107:BH1107&lt;&gt;""), 1)-1))) &gt;= 115%, 115%, INDEX(AW1107:INDEX(AW1107:BH1107, MATCH(2, 1/(AW1107:BH1107&lt;&gt;""), 1)-1), ROW(INDIRECT("1:" &amp; MATCH(2, 1/(AW1107:BH1107&lt;&gt;""), 1)-1)))), 0))/_xlfn.XLOOKUP(F1107,Apuração!A:A,Apuração!B:B))</f>
        <v>0.16666666666666666</v>
      </c>
      <c r="BM1107" s="55" cm="1">
        <f t="array" ref="BM1107">IFERROR(
   INDEX($AW$1:$BH$1,
      _xlfn.AGGREGATE(14, 6, COLUMN($AW$1:$BH$1)/(AW1107:BH1107&lt;&gt;""), 2) - COLUMN($AW$1) + 1
   ),
"")</f>
        <v>46082</v>
      </c>
      <c r="BN1107" s="55" cm="1">
        <f t="array" ref="BN1107">IFERROR(INDEX($AW$1:$BH$1,1,MATCH(2,1/(AW1107:BH1107&lt;&gt;""))),"")</f>
        <v>46113</v>
      </c>
      <c r="BO1107" s="53">
        <f ca="1">IFERROR(_xlfn.XLOOKUP(F1107,Apuração!A:A,Apuração!C:C)/_xlfn.XLOOKUP(F1107,Apuração!A:A,Apuração!B:B),0)</f>
        <v>0.41666666666666669</v>
      </c>
      <c r="BP1107" s="53">
        <f ca="1">IFERROR(_xlfn.XLOOKUP(F1107,Apuração!A:A,Apuração!D:D)/_xlfn.XLOOKUP(F1107,Apuração!A:A,Apuração!B:B),0)</f>
        <v>0.33333333333333331</v>
      </c>
      <c r="BQ1107" s="53">
        <f ca="1">IF(BK1107&gt;=BO1107,0,_xlfn.XLOOKUP(F1107,Apuração!A:A,Apuração!B:B)*(BO1107 + (1/_xlfn.XLOOKUP(F1107,Apuração!A:A,Apuração!B:B)) - BK1107))</f>
        <v>2.8499999999999996</v>
      </c>
      <c r="BR1107" s="85">
        <f t="shared" ca="1" si="1285"/>
        <v>2.8499999999999996</v>
      </c>
      <c r="BS1107" s="53">
        <f ca="1">IFERROR((_xlfn.XLOOKUP(F1107,Apuração!A:A,Apuração!C:C)+1)/_xlfn.XLOOKUP(F1107,Apuração!A:A,Apuração!B:B),0)</f>
        <v>0.5</v>
      </c>
    </row>
    <row r="1108" spans="1:71" ht="25.95" hidden="1" customHeight="1" x14ac:dyDescent="0.3">
      <c r="A1108" s="3" t="s">
        <v>33</v>
      </c>
      <c r="B1108" s="4" t="s">
        <v>70</v>
      </c>
      <c r="C1108" s="5" t="s">
        <v>209</v>
      </c>
      <c r="D1108" s="5" t="s">
        <v>211</v>
      </c>
      <c r="E1108" s="4" t="str" cm="1">
        <f t="array" ref="E1108">_xlfn.IFS(
F1108 = "A partir de Abril", "Aguardando Execução na Distribuidora",
A1108 = "CAPACITAÇÃO", "Em execução no Corporativo",
TRUE, "Em Execução na Distribuidora"
)</f>
        <v>Em Execução na Distribuidora</v>
      </c>
      <c r="F1108" s="4" t="str" cm="1">
        <f t="array" ref="F1108">_xlfn.IFS(
AG1108 &lt;&gt; "", "Jan-Dez/26",
AH1108 &lt;&gt; "", "Fev-Dez/26",
AI1108 &lt;&gt; "", "Mar-Dez/26", AJ1108 &lt;&gt; "", "Abr-Dez/26",
TRUE, "A partir de Junho"
)</f>
        <v>Jan-Dez/26</v>
      </c>
      <c r="G1108" s="4" t="s">
        <v>37</v>
      </c>
      <c r="H1108" s="7" t="s">
        <v>38</v>
      </c>
      <c r="I1108" s="8" t="s">
        <v>55</v>
      </c>
      <c r="J1108" s="8" t="str" cm="1">
        <f t="array" aca="1" ref="J1108" ca="1">_xlfn.LET(
  _xlpm.actual_value_month, INDEX(T1108:AE1108, MATCH(DATE(YEAR(TODAY()), MONTH(TODAY()), 1), $T$1:$AE$1, 0)),
  IF(_xlpm.actual_value_month &lt;&gt; "",_xlpm.actual_value_month &amp; " eventos mensais", "")
)</f>
        <v>1 eventos mensais</v>
      </c>
      <c r="K1108" s="14" t="str" cm="1">
        <f t="array" ref="K1108">_xlfn.LET(
    _xlpm.sum_month, SUM(T1108:AE1108),
    IF(_xlpm.sum_month = 0, "", _xlpm.sum_month &amp; "  eventos no ano")
)</f>
        <v>17  eventos no ano</v>
      </c>
      <c r="L1108" s="9" t="s">
        <v>56</v>
      </c>
      <c r="M1108" s="13" t="s">
        <v>71</v>
      </c>
      <c r="N1108" s="5" t="s">
        <v>42</v>
      </c>
      <c r="O1108" s="5" t="s">
        <v>43</v>
      </c>
      <c r="P1108" s="10" t="s">
        <v>58</v>
      </c>
      <c r="Q1108" s="10" t="s">
        <v>72</v>
      </c>
      <c r="R1108" s="11" t="s">
        <v>45</v>
      </c>
      <c r="S1108" s="11" t="s">
        <v>46</v>
      </c>
      <c r="T1108" s="143">
        <v>0</v>
      </c>
      <c r="U1108" s="143">
        <v>4</v>
      </c>
      <c r="V1108" s="143">
        <v>4</v>
      </c>
      <c r="W1108" s="143">
        <v>1</v>
      </c>
      <c r="X1108" s="143">
        <v>1</v>
      </c>
      <c r="Y1108" s="143">
        <v>1</v>
      </c>
      <c r="Z1108" s="143">
        <v>1</v>
      </c>
      <c r="AA1108" s="143">
        <v>1</v>
      </c>
      <c r="AB1108" s="143">
        <v>1</v>
      </c>
      <c r="AC1108" s="143">
        <v>1</v>
      </c>
      <c r="AD1108" s="143">
        <v>1</v>
      </c>
      <c r="AE1108" s="143">
        <v>1</v>
      </c>
      <c r="AG1108" s="71">
        <v>0</v>
      </c>
      <c r="AH1108" s="71">
        <v>4</v>
      </c>
      <c r="AI1108" s="71">
        <v>4</v>
      </c>
      <c r="AJ1108" s="71">
        <v>2</v>
      </c>
      <c r="AK1108" s="71"/>
      <c r="AL1108" s="71"/>
      <c r="AM1108" s="71"/>
      <c r="AN1108" s="71"/>
      <c r="AO1108" s="71"/>
      <c r="AP1108" s="71"/>
      <c r="AQ1108" s="71"/>
      <c r="AR1108" s="71"/>
      <c r="AS1108" s="94">
        <f t="shared" ca="1" si="1278"/>
        <v>10</v>
      </c>
      <c r="AT1108" s="95">
        <f t="shared" si="1279"/>
        <v>9.15</v>
      </c>
      <c r="AU1108" s="97">
        <f t="shared" si="1280"/>
        <v>10</v>
      </c>
      <c r="AW1108" s="51">
        <f t="shared" si="1281"/>
        <v>0</v>
      </c>
      <c r="AX1108" s="51">
        <f t="shared" si="1282"/>
        <v>1</v>
      </c>
      <c r="AY1108" s="51">
        <f t="shared" si="1283"/>
        <v>1</v>
      </c>
      <c r="AZ1108" s="51">
        <f t="shared" si="1284"/>
        <v>2</v>
      </c>
      <c r="BA1108" s="51"/>
      <c r="BB1108" s="51"/>
      <c r="BC1108" s="51"/>
      <c r="BD1108" s="51"/>
      <c r="BE1108" s="51"/>
      <c r="BF1108" s="51"/>
      <c r="BG1108" s="51"/>
      <c r="BH1108" s="51"/>
      <c r="BI1108" s="65" cm="1">
        <f t="array" ref="BI1108">IFERROR(INDEX(AW1108:BH1108,1,MATCH(2,1/(AW1108:BH1108&lt;&gt;""))),"")</f>
        <v>2</v>
      </c>
      <c r="BJ1108" s="68" cm="1">
        <f t="array" ref="BJ1108">IF(BM1108 = "", "",IFERROR(INDEX(AW1108:BH1108,1,MATCH(2,1/(AW1108:BH1108&lt;&gt;""),1)-1),""))</f>
        <v>1</v>
      </c>
      <c r="BK1108" s="58">
        <f>IF((IF(AW1108&gt;=115%,115%,AW1108) + IF(AX1108&gt;=115%,115%,AX1108) + IF(AY1108&gt;=115%,115%,AY1108) + (IF(AZ1108&gt;=115%,115%,AZ1108) + IF(BA1108&gt;=115%,115%,BA1108) + IF(BB1108&gt;=115%,115%,BB1108) + IF(BC1108&gt;=115%,115%,BC1108) + IF(BD1108&gt;=115%,115%,BD1108) + IF(BE1108&gt;=115%,115%,BE1108) + IF(BF1108&gt;=115%,115%,BF1108) + IF(BG1108&gt;=115%,115%,BG1108) + IF(BH1108&gt;=115%,115%,BH1108)))/_xlfn.XLOOKUP(F1108,Apuração!A:A,Apuração!B:B)&gt;=1.15,1.15,((IF(AZ1108&gt;=115%,115%,AZ1108) + IF(AX1108&gt;=115%,115%,AX1108) + IF(AY1108&gt;=115%,115%,AY1108) + (IF(AW1108&gt;=115%,115%,AW1108) + IF(BA1108&gt;=115%,115%,BA1108) + IF(BB1108&gt;=115%,115%,BB1108) + IF(BC1108&gt;=115%,115%,BC1108) + IF(BD1108&gt;=115%,115%,BD1108) + IF(BE1108&gt;=115%,115%,BE1108) + IF(BF1108&gt;=115%,115%,BF1108) + IF(BG1108&gt;=115%,115%,BG1108) + IF(BH1108&gt;=115%,115%,BH1108)))/_xlfn.XLOOKUP(F1108,Apuração!A:A,Apuração!B:B)))</f>
        <v>0.26250000000000001</v>
      </c>
      <c r="BL1108" s="58" cm="1">
        <f t="array" aca="1" ref="BL1108" ca="1">IF(SUM(IFERROR(IF(INDEX(AW1108:INDEX(AW1108:BH1108, MATCH(2, 1/(AW1108:BH1108&lt;&gt;""), 1)-1), ROW(INDIRECT("1:" &amp; MATCH(2, 1/(AW1108:BH1108&lt;&gt;""), 1)-1))) &gt;= 115%, 115%, INDEX(AW1108:INDEX(AW1108:BH1108, MATCH(2, 1/(AW1108:BH1108&lt;&gt;""), 1)-1), ROW(INDIRECT("1:" &amp; MATCH(2, 1/(AW1108:BH1108&lt;&gt;""), 1)-1)))), 0))/_xlfn.XLOOKUP(F1108,Apuração!A:A,Apuração!B:B)&gt;=1.15,1.15,SUM(IFERROR(IF(INDEX(AW1108:INDEX(AW1108:BH1108, MATCH(2, 1/(AW1108:BH1108&lt;&gt;""), 1)-1), ROW(INDIRECT("1:" &amp; MATCH(2, 1/(AW1108:BH1108&lt;&gt;""), 1)-1))) &gt;= 115%, 115%, INDEX(AW1108:INDEX(AW1108:BH1108, MATCH(2, 1/(AW1108:BH1108&lt;&gt;""), 1)-1), ROW(INDIRECT("1:" &amp; MATCH(2, 1/(AW1108:BH1108&lt;&gt;""), 1)-1)))), 0))/_xlfn.XLOOKUP(F1108,Apuração!A:A,Apuração!B:B))</f>
        <v>0.16666666666666666</v>
      </c>
      <c r="BM1108" s="55" cm="1">
        <f t="array" ref="BM1108">IFERROR(
   INDEX($AW$1:$BH$1,
      _xlfn.AGGREGATE(14, 6, COLUMN($AW$1:$BH$1)/(AW1108:BH1108&lt;&gt;""), 2) - COLUMN($AW$1) + 1
   ),
"")</f>
        <v>46082</v>
      </c>
      <c r="BN1108" s="55" cm="1">
        <f t="array" ref="BN1108">IFERROR(INDEX($AW$1:$BH$1,1,MATCH(2,1/(AW1108:BH1108&lt;&gt;""))),"")</f>
        <v>46113</v>
      </c>
      <c r="BO1108" s="53">
        <f ca="1">IFERROR(_xlfn.XLOOKUP(F1108,Apuração!A:A,Apuração!C:C)/_xlfn.XLOOKUP(F1108,Apuração!A:A,Apuração!B:B),0)</f>
        <v>0.41666666666666669</v>
      </c>
      <c r="BP1108" s="53">
        <f ca="1">IFERROR(_xlfn.XLOOKUP(F1108,Apuração!A:A,Apuração!D:D)/_xlfn.XLOOKUP(F1108,Apuração!A:A,Apuração!B:B),0)</f>
        <v>0.33333333333333331</v>
      </c>
      <c r="BQ1108" s="53">
        <f ca="1">IF(BK1108&gt;=BO1108,0,_xlfn.XLOOKUP(F1108,Apuração!A:A,Apuração!B:B)*(BO1108 + (1/_xlfn.XLOOKUP(F1108,Apuração!A:A,Apuração!B:B)) - BK1108))</f>
        <v>2.8499999999999996</v>
      </c>
      <c r="BR1108" s="85">
        <f t="shared" ca="1" si="1285"/>
        <v>2.8499999999999996</v>
      </c>
      <c r="BS1108" s="53">
        <f ca="1">IFERROR((_xlfn.XLOOKUP(F1108,Apuração!A:A,Apuração!C:C)+1)/_xlfn.XLOOKUP(F1108,Apuração!A:A,Apuração!B:B),0)</f>
        <v>0.5</v>
      </c>
    </row>
    <row r="1109" spans="1:71" ht="25.95" hidden="1" customHeight="1" x14ac:dyDescent="0.3">
      <c r="A1109" s="3" t="s">
        <v>33</v>
      </c>
      <c r="B1109" s="4" t="s">
        <v>70</v>
      </c>
      <c r="C1109" s="5" t="s">
        <v>209</v>
      </c>
      <c r="D1109" s="5" t="s">
        <v>212</v>
      </c>
      <c r="E1109" s="4" t="str" cm="1">
        <f t="array" ref="E1109">_xlfn.IFS(
F1109 = "A partir de Abril", "Aguardando Execução na Distribuidora",
A1109 = "CAPACITAÇÃO", "Em execução no Corporativo",
TRUE, "Em Execução na Distribuidora"
)</f>
        <v>Em Execução na Distribuidora</v>
      </c>
      <c r="F1109" s="4" t="str" cm="1">
        <f t="array" ref="F1109">_xlfn.IFS(
AG1109 &lt;&gt; "", "Jan-Dez/26",
AH1109 &lt;&gt; "", "Fev-Dez/26",
AI1109 &lt;&gt; "", "Mar-Dez/26", AJ1109 &lt;&gt; "", "Abr-Dez/26",
TRUE, "A partir de Junho"
)</f>
        <v>Jan-Dez/26</v>
      </c>
      <c r="G1109" s="4" t="s">
        <v>37</v>
      </c>
      <c r="H1109" s="7" t="s">
        <v>38</v>
      </c>
      <c r="I1109" s="8" t="s">
        <v>55</v>
      </c>
      <c r="J1109" s="8" t="str" cm="1">
        <f t="array" aca="1" ref="J1109" ca="1">_xlfn.LET(
  _xlpm.actual_value_month, INDEX(T1109:AE1109, MATCH(DATE(YEAR(TODAY()), MONTH(TODAY()), 1), $T$1:$AE$1, 0)),
  IF(_xlpm.actual_value_month &lt;&gt; "",_xlpm.actual_value_month &amp; " eventos mensais", "")
)</f>
        <v>1 eventos mensais</v>
      </c>
      <c r="K1109" s="14" t="str" cm="1">
        <f t="array" ref="K1109">_xlfn.LET(
    _xlpm.sum_month, SUM(T1109:AE1109),
    IF(_xlpm.sum_month = 0, "", _xlpm.sum_month &amp; "  eventos no ano")
)</f>
        <v>12  eventos no ano</v>
      </c>
      <c r="L1109" s="9" t="s">
        <v>56</v>
      </c>
      <c r="M1109" s="13" t="s">
        <v>71</v>
      </c>
      <c r="N1109" s="5" t="s">
        <v>42</v>
      </c>
      <c r="O1109" s="5" t="s">
        <v>43</v>
      </c>
      <c r="P1109" s="10" t="s">
        <v>58</v>
      </c>
      <c r="Q1109" s="10" t="s">
        <v>72</v>
      </c>
      <c r="R1109" s="11" t="s">
        <v>45</v>
      </c>
      <c r="S1109" s="11" t="s">
        <v>46</v>
      </c>
      <c r="T1109" s="143">
        <v>1</v>
      </c>
      <c r="U1109" s="143">
        <v>1</v>
      </c>
      <c r="V1109" s="143">
        <v>1</v>
      </c>
      <c r="W1109" s="143">
        <v>1</v>
      </c>
      <c r="X1109" s="143">
        <v>1</v>
      </c>
      <c r="Y1109" s="143">
        <v>1</v>
      </c>
      <c r="Z1109" s="143">
        <v>1</v>
      </c>
      <c r="AA1109" s="143">
        <v>1</v>
      </c>
      <c r="AB1109" s="143">
        <v>1</v>
      </c>
      <c r="AC1109" s="143">
        <v>1</v>
      </c>
      <c r="AD1109" s="143">
        <v>1</v>
      </c>
      <c r="AE1109" s="143">
        <v>1</v>
      </c>
      <c r="AG1109" s="71">
        <v>1</v>
      </c>
      <c r="AH1109" s="71">
        <v>1</v>
      </c>
      <c r="AI1109" s="71">
        <v>1</v>
      </c>
      <c r="AJ1109" s="71">
        <v>1</v>
      </c>
      <c r="AK1109" s="71"/>
      <c r="AL1109" s="71"/>
      <c r="AM1109" s="71"/>
      <c r="AN1109" s="71"/>
      <c r="AO1109" s="71"/>
      <c r="AP1109" s="71"/>
      <c r="AQ1109" s="71"/>
      <c r="AR1109" s="71"/>
      <c r="AS1109" s="94">
        <f t="shared" ca="1" si="1278"/>
        <v>5</v>
      </c>
      <c r="AT1109" s="95">
        <f t="shared" si="1279"/>
        <v>4</v>
      </c>
      <c r="AU1109" s="97">
        <f t="shared" si="1280"/>
        <v>4</v>
      </c>
      <c r="AW1109" s="51">
        <f t="shared" si="1281"/>
        <v>1</v>
      </c>
      <c r="AX1109" s="51">
        <f t="shared" si="1282"/>
        <v>1</v>
      </c>
      <c r="AY1109" s="51">
        <f t="shared" si="1283"/>
        <v>1</v>
      </c>
      <c r="AZ1109" s="51">
        <f t="shared" si="1284"/>
        <v>1</v>
      </c>
      <c r="BA1109" s="51"/>
      <c r="BB1109" s="51"/>
      <c r="BC1109" s="51"/>
      <c r="BD1109" s="51"/>
      <c r="BE1109" s="51"/>
      <c r="BF1109" s="51"/>
      <c r="BG1109" s="51"/>
      <c r="BH1109" s="51"/>
      <c r="BI1109" s="65" cm="1">
        <f t="array" ref="BI1109">IFERROR(INDEX(AW1109:BH1109,1,MATCH(2,1/(AW1109:BH1109&lt;&gt;""))),"")</f>
        <v>1</v>
      </c>
      <c r="BJ1109" s="68" cm="1">
        <f t="array" ref="BJ1109">IF(BM1109 = "", "",IFERROR(INDEX(AW1109:BH1109,1,MATCH(2,1/(AW1109:BH1109&lt;&gt;""),1)-1),""))</f>
        <v>1</v>
      </c>
      <c r="BK1109" s="58">
        <f>IF((IF(AW1109&gt;=115%,115%,AW1109) + IF(AX1109&gt;=115%,115%,AX1109) + IF(AY1109&gt;=115%,115%,AY1109) + (IF(AZ1109&gt;=115%,115%,AZ1109) + IF(BA1109&gt;=115%,115%,BA1109) + IF(BB1109&gt;=115%,115%,BB1109) + IF(BC1109&gt;=115%,115%,BC1109) + IF(BD1109&gt;=115%,115%,BD1109) + IF(BE1109&gt;=115%,115%,BE1109) + IF(BF1109&gt;=115%,115%,BF1109) + IF(BG1109&gt;=115%,115%,BG1109) + IF(BH1109&gt;=115%,115%,BH1109)))/_xlfn.XLOOKUP(F1109,Apuração!A:A,Apuração!B:B)&gt;=1.15,1.15,((IF(AZ1109&gt;=115%,115%,AZ1109) + IF(AX1109&gt;=115%,115%,AX1109) + IF(AY1109&gt;=115%,115%,AY1109) + (IF(AW1109&gt;=115%,115%,AW1109) + IF(BA1109&gt;=115%,115%,BA1109) + IF(BB1109&gt;=115%,115%,BB1109) + IF(BC1109&gt;=115%,115%,BC1109) + IF(BD1109&gt;=115%,115%,BD1109) + IF(BE1109&gt;=115%,115%,BE1109) + IF(BF1109&gt;=115%,115%,BF1109) + IF(BG1109&gt;=115%,115%,BG1109) + IF(BH1109&gt;=115%,115%,BH1109)))/_xlfn.XLOOKUP(F1109,Apuração!A:A,Apuração!B:B)))</f>
        <v>0.33333333333333331</v>
      </c>
      <c r="BL1109" s="58" cm="1">
        <f t="array" aca="1" ref="BL1109" ca="1">IF(SUM(IFERROR(IF(INDEX(AW1109:INDEX(AW1109:BH1109, MATCH(2, 1/(AW1109:BH1109&lt;&gt;""), 1)-1), ROW(INDIRECT("1:" &amp; MATCH(2, 1/(AW1109:BH1109&lt;&gt;""), 1)-1))) &gt;= 115%, 115%, INDEX(AW1109:INDEX(AW1109:BH1109, MATCH(2, 1/(AW1109:BH1109&lt;&gt;""), 1)-1), ROW(INDIRECT("1:" &amp; MATCH(2, 1/(AW1109:BH1109&lt;&gt;""), 1)-1)))), 0))/_xlfn.XLOOKUP(F1109,Apuração!A:A,Apuração!B:B)&gt;=1.15,1.15,SUM(IFERROR(IF(INDEX(AW1109:INDEX(AW1109:BH1109, MATCH(2, 1/(AW1109:BH1109&lt;&gt;""), 1)-1), ROW(INDIRECT("1:" &amp; MATCH(2, 1/(AW1109:BH1109&lt;&gt;""), 1)-1))) &gt;= 115%, 115%, INDEX(AW1109:INDEX(AW1109:BH1109, MATCH(2, 1/(AW1109:BH1109&lt;&gt;""), 1)-1), ROW(INDIRECT("1:" &amp; MATCH(2, 1/(AW1109:BH1109&lt;&gt;""), 1)-1)))), 0))/_xlfn.XLOOKUP(F1109,Apuração!A:A,Apuração!B:B))</f>
        <v>0.25</v>
      </c>
      <c r="BM1109" s="55" cm="1">
        <f t="array" ref="BM1109">IFERROR(
   INDEX($AW$1:$BH$1,
      _xlfn.AGGREGATE(14, 6, COLUMN($AW$1:$BH$1)/(AW1109:BH1109&lt;&gt;""), 2) - COLUMN($AW$1) + 1
   ),
"")</f>
        <v>46082</v>
      </c>
      <c r="BN1109" s="55" cm="1">
        <f t="array" ref="BN1109">IFERROR(INDEX($AW$1:$BH$1,1,MATCH(2,1/(AW1109:BH1109&lt;&gt;""))),"")</f>
        <v>46113</v>
      </c>
      <c r="BO1109" s="53">
        <f ca="1">IFERROR(_xlfn.XLOOKUP(F1109,Apuração!A:A,Apuração!C:C)/_xlfn.XLOOKUP(F1109,Apuração!A:A,Apuração!B:B),0)</f>
        <v>0.41666666666666669</v>
      </c>
      <c r="BP1109" s="53">
        <f ca="1">IFERROR(_xlfn.XLOOKUP(F1109,Apuração!A:A,Apuração!D:D)/_xlfn.XLOOKUP(F1109,Apuração!A:A,Apuração!B:B),0)</f>
        <v>0.33333333333333331</v>
      </c>
      <c r="BQ1109" s="53">
        <f ca="1">IF(BK1109&gt;=BO1109,0,_xlfn.XLOOKUP(F1109,Apuração!A:A,Apuração!B:B)*(BO1109 + (1/_xlfn.XLOOKUP(F1109,Apuração!A:A,Apuração!B:B)) - BK1109))</f>
        <v>2</v>
      </c>
      <c r="BR1109" s="85">
        <f t="shared" ca="1" si="1285"/>
        <v>2</v>
      </c>
      <c r="BS1109" s="53">
        <f ca="1">IFERROR((_xlfn.XLOOKUP(F1109,Apuração!A:A,Apuração!C:C)+1)/_xlfn.XLOOKUP(F1109,Apuração!A:A,Apuração!B:B),0)</f>
        <v>0.5</v>
      </c>
    </row>
    <row r="1110" spans="1:71" ht="25.95" hidden="1" customHeight="1" x14ac:dyDescent="0.3">
      <c r="A1110" s="3" t="s">
        <v>33</v>
      </c>
      <c r="B1110" s="4" t="s">
        <v>70</v>
      </c>
      <c r="C1110" s="5" t="s">
        <v>209</v>
      </c>
      <c r="D1110" s="5" t="s">
        <v>213</v>
      </c>
      <c r="E1110" s="4" t="str" cm="1">
        <f t="array" ref="E1110">_xlfn.IFS(
F1110 = "A partir de Abril", "Aguardando Execução na Distribuidora",
A1110 = "CAPACITAÇÃO", "Em execução no Corporativo",
TRUE, "Em Execução na Distribuidora"
)</f>
        <v>Em Execução na Distribuidora</v>
      </c>
      <c r="F1110" s="4" t="str" cm="1">
        <f t="array" ref="F1110">_xlfn.IFS(
AG1110 &lt;&gt; "", "Jan-Dez/26",
AH1110 &lt;&gt; "", "Fev-Dez/26",
AI1110 &lt;&gt; "", "Mar-Dez/26", AJ1110 &lt;&gt; "", "Abr-Dez/26",
TRUE, "A partir de Junho"
)</f>
        <v>Jan-Dez/26</v>
      </c>
      <c r="G1110" s="4" t="s">
        <v>37</v>
      </c>
      <c r="H1110" s="7" t="s">
        <v>38</v>
      </c>
      <c r="I1110" s="8" t="s">
        <v>55</v>
      </c>
      <c r="J1110" s="8" t="str" cm="1">
        <f t="array" aca="1" ref="J1110" ca="1">_xlfn.LET(
  _xlpm.actual_value_month, INDEX(T1110:AE1110, MATCH(DATE(YEAR(TODAY()), MONTH(TODAY()), 1), $T$1:$AE$1, 0)),
  IF(_xlpm.actual_value_month &lt;&gt; "",_xlpm.actual_value_month &amp; " eventos mensais", "")
)</f>
        <v>1 eventos mensais</v>
      </c>
      <c r="K1110" s="14" t="str" cm="1">
        <f t="array" ref="K1110">_xlfn.LET(
    _xlpm.sum_month, SUM(T1110:AE1110),
    IF(_xlpm.sum_month = 0, "", _xlpm.sum_month &amp; "  eventos no ano")
)</f>
        <v>35  eventos no ano</v>
      </c>
      <c r="L1110" s="9" t="s">
        <v>56</v>
      </c>
      <c r="M1110" s="13" t="s">
        <v>71</v>
      </c>
      <c r="N1110" s="5" t="s">
        <v>42</v>
      </c>
      <c r="O1110" s="5" t="s">
        <v>43</v>
      </c>
      <c r="P1110" s="10" t="s">
        <v>58</v>
      </c>
      <c r="Q1110" s="10" t="s">
        <v>72</v>
      </c>
      <c r="R1110" s="11" t="s">
        <v>45</v>
      </c>
      <c r="S1110" s="11" t="s">
        <v>46</v>
      </c>
      <c r="T1110" s="143">
        <v>4</v>
      </c>
      <c r="U1110" s="143">
        <v>11</v>
      </c>
      <c r="V1110" s="143">
        <v>11</v>
      </c>
      <c r="W1110" s="143">
        <v>1</v>
      </c>
      <c r="X1110" s="143">
        <v>1</v>
      </c>
      <c r="Y1110" s="143">
        <v>1</v>
      </c>
      <c r="Z1110" s="143">
        <v>1</v>
      </c>
      <c r="AA1110" s="143">
        <v>1</v>
      </c>
      <c r="AB1110" s="143">
        <v>1</v>
      </c>
      <c r="AC1110" s="143">
        <v>1</v>
      </c>
      <c r="AD1110" s="143">
        <v>1</v>
      </c>
      <c r="AE1110" s="143">
        <v>1</v>
      </c>
      <c r="AG1110" s="71">
        <v>4</v>
      </c>
      <c r="AH1110" s="71">
        <v>11</v>
      </c>
      <c r="AI1110" s="71">
        <v>11</v>
      </c>
      <c r="AJ1110" s="71">
        <v>7</v>
      </c>
      <c r="AK1110" s="71"/>
      <c r="AL1110" s="71"/>
      <c r="AM1110" s="71"/>
      <c r="AN1110" s="71"/>
      <c r="AO1110" s="71"/>
      <c r="AP1110" s="71"/>
      <c r="AQ1110" s="71"/>
      <c r="AR1110" s="71"/>
      <c r="AS1110" s="94">
        <f t="shared" ca="1" si="1278"/>
        <v>28</v>
      </c>
      <c r="AT1110" s="95">
        <f t="shared" si="1279"/>
        <v>27.15</v>
      </c>
      <c r="AU1110" s="97">
        <f t="shared" si="1280"/>
        <v>33</v>
      </c>
      <c r="AW1110" s="51">
        <f t="shared" si="1281"/>
        <v>1</v>
      </c>
      <c r="AX1110" s="51">
        <f t="shared" si="1282"/>
        <v>1</v>
      </c>
      <c r="AY1110" s="51">
        <f t="shared" si="1283"/>
        <v>1</v>
      </c>
      <c r="AZ1110" s="51">
        <f t="shared" si="1284"/>
        <v>7</v>
      </c>
      <c r="BA1110" s="51"/>
      <c r="BB1110" s="51"/>
      <c r="BC1110" s="51"/>
      <c r="BD1110" s="51"/>
      <c r="BE1110" s="51"/>
      <c r="BF1110" s="51"/>
      <c r="BG1110" s="51"/>
      <c r="BH1110" s="51"/>
      <c r="BI1110" s="65" cm="1">
        <f t="array" ref="BI1110">IFERROR(INDEX(AW1110:BH1110,1,MATCH(2,1/(AW1110:BH1110&lt;&gt;""))),"")</f>
        <v>7</v>
      </c>
      <c r="BJ1110" s="68" cm="1">
        <f t="array" ref="BJ1110">IF(BM1110 = "", "",IFERROR(INDEX(AW1110:BH1110,1,MATCH(2,1/(AW1110:BH1110&lt;&gt;""),1)-1),""))</f>
        <v>1</v>
      </c>
      <c r="BK1110" s="58">
        <f>IF((IF(AW1110&gt;=115%,115%,AW1110) + IF(AX1110&gt;=115%,115%,AX1110) + IF(AY1110&gt;=115%,115%,AY1110) + (IF(AZ1110&gt;=115%,115%,AZ1110) + IF(BA1110&gt;=115%,115%,BA1110) + IF(BB1110&gt;=115%,115%,BB1110) + IF(BC1110&gt;=115%,115%,BC1110) + IF(BD1110&gt;=115%,115%,BD1110) + IF(BE1110&gt;=115%,115%,BE1110) + IF(BF1110&gt;=115%,115%,BF1110) + IF(BG1110&gt;=115%,115%,BG1110) + IF(BH1110&gt;=115%,115%,BH1110)))/_xlfn.XLOOKUP(F1110,Apuração!A:A,Apuração!B:B)&gt;=1.15,1.15,((IF(AZ1110&gt;=115%,115%,AZ1110) + IF(AX1110&gt;=115%,115%,AX1110) + IF(AY1110&gt;=115%,115%,AY1110) + (IF(AW1110&gt;=115%,115%,AW1110) + IF(BA1110&gt;=115%,115%,BA1110) + IF(BB1110&gt;=115%,115%,BB1110) + IF(BC1110&gt;=115%,115%,BC1110) + IF(BD1110&gt;=115%,115%,BD1110) + IF(BE1110&gt;=115%,115%,BE1110) + IF(BF1110&gt;=115%,115%,BF1110) + IF(BG1110&gt;=115%,115%,BG1110) + IF(BH1110&gt;=115%,115%,BH1110)))/_xlfn.XLOOKUP(F1110,Apuração!A:A,Apuração!B:B)))</f>
        <v>0.34583333333333338</v>
      </c>
      <c r="BL1110" s="58" cm="1">
        <f t="array" aca="1" ref="BL1110" ca="1">IF(SUM(IFERROR(IF(INDEX(AW1110:INDEX(AW1110:BH1110, MATCH(2, 1/(AW1110:BH1110&lt;&gt;""), 1)-1), ROW(INDIRECT("1:" &amp; MATCH(2, 1/(AW1110:BH1110&lt;&gt;""), 1)-1))) &gt;= 115%, 115%, INDEX(AW1110:INDEX(AW1110:BH1110, MATCH(2, 1/(AW1110:BH1110&lt;&gt;""), 1)-1), ROW(INDIRECT("1:" &amp; MATCH(2, 1/(AW1110:BH1110&lt;&gt;""), 1)-1)))), 0))/_xlfn.XLOOKUP(F1110,Apuração!A:A,Apuração!B:B)&gt;=1.15,1.15,SUM(IFERROR(IF(INDEX(AW1110:INDEX(AW1110:BH1110, MATCH(2, 1/(AW1110:BH1110&lt;&gt;""), 1)-1), ROW(INDIRECT("1:" &amp; MATCH(2, 1/(AW1110:BH1110&lt;&gt;""), 1)-1))) &gt;= 115%, 115%, INDEX(AW1110:INDEX(AW1110:BH1110, MATCH(2, 1/(AW1110:BH1110&lt;&gt;""), 1)-1), ROW(INDIRECT("1:" &amp; MATCH(2, 1/(AW1110:BH1110&lt;&gt;""), 1)-1)))), 0))/_xlfn.XLOOKUP(F1110,Apuração!A:A,Apuração!B:B))</f>
        <v>0.25</v>
      </c>
      <c r="BM1110" s="55" cm="1">
        <f t="array" ref="BM1110">IFERROR(
   INDEX($AW$1:$BH$1,
      _xlfn.AGGREGATE(14, 6, COLUMN($AW$1:$BH$1)/(AW1110:BH1110&lt;&gt;""), 2) - COLUMN($AW$1) + 1
   ),
"")</f>
        <v>46082</v>
      </c>
      <c r="BN1110" s="55" cm="1">
        <f t="array" ref="BN1110">IFERROR(INDEX($AW$1:$BH$1,1,MATCH(2,1/(AW1110:BH1110&lt;&gt;""))),"")</f>
        <v>46113</v>
      </c>
      <c r="BO1110" s="53">
        <f ca="1">IFERROR(_xlfn.XLOOKUP(F1110,Apuração!A:A,Apuração!C:C)/_xlfn.XLOOKUP(F1110,Apuração!A:A,Apuração!B:B),0)</f>
        <v>0.41666666666666669</v>
      </c>
      <c r="BP1110" s="53">
        <f ca="1">IFERROR(_xlfn.XLOOKUP(F1110,Apuração!A:A,Apuração!D:D)/_xlfn.XLOOKUP(F1110,Apuração!A:A,Apuração!B:B),0)</f>
        <v>0.33333333333333331</v>
      </c>
      <c r="BQ1110" s="53">
        <f ca="1">IF(BK1110&gt;=BO1110,0,_xlfn.XLOOKUP(F1110,Apuração!A:A,Apuração!B:B)*(BO1110 + (1/_xlfn.XLOOKUP(F1110,Apuração!A:A,Apuração!B:B)) - BK1110))</f>
        <v>1.8499999999999994</v>
      </c>
      <c r="BR1110" s="85">
        <f t="shared" ca="1" si="1285"/>
        <v>1.8499999999999994</v>
      </c>
      <c r="BS1110" s="53">
        <f ca="1">IFERROR((_xlfn.XLOOKUP(F1110,Apuração!A:A,Apuração!C:C)+1)/_xlfn.XLOOKUP(F1110,Apuração!A:A,Apuração!B:B),0)</f>
        <v>0.5</v>
      </c>
    </row>
    <row r="1111" spans="1:71" ht="25.95" hidden="1" customHeight="1" x14ac:dyDescent="0.3">
      <c r="A1111" s="39" t="s">
        <v>33</v>
      </c>
      <c r="B1111" s="4" t="s">
        <v>70</v>
      </c>
      <c r="C1111" s="5" t="s">
        <v>209</v>
      </c>
      <c r="D1111" s="5" t="s">
        <v>36</v>
      </c>
      <c r="E1111" s="4" t="str" cm="1">
        <f t="array" ref="E1111">_xlfn.IFS(
F1111 = "A partir de Abril", "Aguardando Execução na Distribuidora",
A1111 = "CAPACITAÇÃO", "Em execução no Corporativo",
TRUE, "Em Execução na Distribuidora"
)</f>
        <v>Em Execução na Distribuidora</v>
      </c>
      <c r="F1111" s="4" t="str" cm="1">
        <f t="array" ref="F1111">_xlfn.IFS(
AG1111 &lt;&gt; "", "Jan-Dez/26",
AH1111 &lt;&gt; "", "Fev-Dez/26",
AI1111 &lt;&gt; "", "Mar-Dez/26", AJ1111 &lt;&gt; "", "Abr-Dez/26",
TRUE, "A partir de Junho"
)</f>
        <v>Jan-Dez/26</v>
      </c>
      <c r="G1111" s="4" t="s">
        <v>37</v>
      </c>
      <c r="H1111" s="7" t="s">
        <v>38</v>
      </c>
      <c r="I1111" s="8" t="s">
        <v>59</v>
      </c>
      <c r="J1111" s="8" t="str" cm="1">
        <f t="array" aca="1" ref="J1111" ca="1">_xlfn.LET(
  _xlpm.actual_value_month, INDEX(T1111:AE1111, MATCH(DATE(YEAR(TODAY()), MONTH(TODAY()), 1), $T$1:$AE$1, 0)),
  IF(_xlpm.actual_value_month &lt;&gt; "",_xlpm.actual_value_month &amp; " ações mensais", "")
)</f>
        <v/>
      </c>
      <c r="K1111" s="14" t="str" cm="1">
        <f t="array" ref="K1111">_xlfn.LET(
    _xlpm.sum_month, SUM(T1111:AE1111),
    IF(_xlpm.sum_month = 0, "", _xlpm.sum_month &amp; " pessoas impactadas no ano.")
)</f>
        <v/>
      </c>
      <c r="L1111" s="9" t="s">
        <v>59</v>
      </c>
      <c r="M1111" s="13">
        <v>1</v>
      </c>
      <c r="N1111" s="5" t="s">
        <v>51</v>
      </c>
      <c r="O1111" s="5" t="s">
        <v>52</v>
      </c>
      <c r="P1111" s="10" t="s">
        <v>44</v>
      </c>
      <c r="Q1111" s="10" t="s">
        <v>44</v>
      </c>
      <c r="R1111" s="11" t="s">
        <v>44</v>
      </c>
      <c r="S1111" s="11" t="s">
        <v>44</v>
      </c>
      <c r="T1111" s="22"/>
      <c r="U1111" s="22"/>
      <c r="V1111" s="22"/>
      <c r="W1111" s="22"/>
      <c r="X1111" s="22"/>
      <c r="Y1111" s="22"/>
      <c r="Z1111" s="22"/>
      <c r="AA1111" s="22"/>
      <c r="AB1111" s="22"/>
      <c r="AC1111" s="22"/>
      <c r="AD1111" s="22"/>
      <c r="AE1111" s="22"/>
      <c r="AG1111" s="71">
        <v>166</v>
      </c>
      <c r="AH1111" s="71">
        <v>181</v>
      </c>
      <c r="AI1111" s="71">
        <v>255</v>
      </c>
      <c r="AJ1111" s="71">
        <v>203</v>
      </c>
      <c r="AK1111" s="71"/>
      <c r="AL1111" s="71"/>
      <c r="AM1111" s="71"/>
      <c r="AN1111" s="71"/>
      <c r="AO1111" s="71"/>
      <c r="AP1111" s="71"/>
      <c r="AQ1111" s="71"/>
      <c r="AR1111" s="71"/>
      <c r="AS1111" s="94">
        <f ca="1">IF(MONTH(TODAY())=3,SUM(T1111:U1111),IF(MONTH(TODAY())=4,SUM(T1111:V1111),IF(MONTH(TODAY())=5,SUM(T1111:W1111),IF(MONTH(TODAY())=6,SUM(T1111:X1111),IF(MONTH(TODAY())=7,SUM(T1111:Y1111),IF(MONTH(TODAY())=8,SUM(T1111:Z1111),IF(MONTH(TODAY())=9,SUM(T1111:AA1111),IF(MONTH(TODAY())=10,SUM(T1111:AB1111),IF(MONTH(TODAY())=11,SUM(T1111:AC1111),IF(MONTH(TODAY())=12,SUM(T1111:AD1111),IF(MONTH(TODAY())=1,SUM(T1111:AE1111),T1111)))))))))))</f>
        <v>0</v>
      </c>
      <c r="AT1111" s="95">
        <f>SUM(AG1111:AR1111)</f>
        <v>805</v>
      </c>
      <c r="AU1111" s="97">
        <f>SUM(AG1111:AR1111)</f>
        <v>805</v>
      </c>
      <c r="AW1111" s="83">
        <f>AG1111</f>
        <v>166</v>
      </c>
      <c r="AX1111" s="83">
        <f>AH1111</f>
        <v>181</v>
      </c>
      <c r="AY1111" s="83">
        <f>AI1111</f>
        <v>255</v>
      </c>
      <c r="AZ1111" s="83">
        <f>AJ1111</f>
        <v>203</v>
      </c>
      <c r="BA1111" s="52"/>
      <c r="BB1111" s="52"/>
      <c r="BC1111" s="52"/>
      <c r="BD1111" s="52"/>
      <c r="BE1111" s="52"/>
      <c r="BF1111" s="52"/>
      <c r="BG1111" s="52"/>
      <c r="BH1111" s="52"/>
      <c r="BI1111" s="68" cm="1">
        <f t="array" ref="BI1111">IFERROR(INDEX(AW1111:BH1111,1,MATCH(2,1/(AW1111:BH1111&lt;&gt;""))),"")</f>
        <v>203</v>
      </c>
      <c r="BJ1111" s="68" cm="1">
        <f t="array" ref="BJ1111">IF(BM1111 = "", "",IFERROR(INDEX(AW1111:BH1111,1,MATCH(2,1/(AW1111:BH1111&lt;&gt;""),1)-1),""))</f>
        <v>255</v>
      </c>
      <c r="BK1111" s="59">
        <f>SUM(AW1111:BH1111)</f>
        <v>805</v>
      </c>
      <c r="BL1111" s="59" cm="1">
        <f t="array" ref="BL1111">IFERROR(SUM(AW1111:INDEX(AW1111:BH1111, MATCH(2, 1/(AW1111:BH1111&lt;&gt;""), 1) - 1))/_xlfn.XLOOKUP(F1111,Apuração!A:A,Apuração!B:B),0)</f>
        <v>50.166666666666664</v>
      </c>
      <c r="BM1111" s="55" cm="1">
        <f t="array" ref="BM1111">IFERROR(
   INDEX($AW$1:$BH$1,
      _xlfn.AGGREGATE(14, 6, COLUMN($AW$1:$BH$1)/(AW1111:BH1111&lt;&gt;""), 2) - COLUMN($AW$1) + 1
   ),
"")</f>
        <v>46082</v>
      </c>
      <c r="BN1111" s="55" cm="1">
        <f t="array" ref="BN1111">IFERROR(INDEX($AW$1:$BH$1,1,MATCH(2,1/(AW1111:BH1111&lt;&gt;""))),"")</f>
        <v>46113</v>
      </c>
      <c r="BO1111" s="53">
        <f ca="1">IFERROR(_xlfn.XLOOKUP(F1111,Apuração!A:A,Apuração!C:C)/_xlfn.XLOOKUP(F1111,Apuração!A:A,Apuração!B:B),0)</f>
        <v>0.41666666666666669</v>
      </c>
      <c r="BP1111" s="53">
        <f ca="1">IFERROR(_xlfn.XLOOKUP(F1111,Apuração!A:A,Apuração!D:D)/_xlfn.XLOOKUP(F1111,Apuração!A:A,Apuração!B:B),0)</f>
        <v>0.33333333333333331</v>
      </c>
      <c r="BQ1111" s="53">
        <f ca="1">IF(BK1111&gt;=BO1111,0,_xlfn.XLOOKUP(F1111,Apuração!A:A,Apuração!B:B)*(BO1111 + (1/_xlfn.XLOOKUP(F1111,Apuração!A:A,Apuração!B:B)) - BK1111))</f>
        <v>0</v>
      </c>
      <c r="BR1111" s="85">
        <f ca="1">IF(BQ1111=0,0,BQ1111*Z1111)</f>
        <v>0</v>
      </c>
      <c r="BS1111" s="53">
        <f ca="1">IFERROR((_xlfn.XLOOKUP(F1111,Apuração!A:A,Apuração!C:C)+1)/_xlfn.XLOOKUP(F1111,Apuração!A:A,Apuração!B:B),0)</f>
        <v>0.5</v>
      </c>
    </row>
    <row r="1112" spans="1:71" ht="25.95" hidden="1" customHeight="1" x14ac:dyDescent="0.3">
      <c r="A1112" s="39" t="s">
        <v>33</v>
      </c>
      <c r="B1112" s="4" t="s">
        <v>70</v>
      </c>
      <c r="C1112" s="5" t="s">
        <v>209</v>
      </c>
      <c r="D1112" s="5" t="s">
        <v>210</v>
      </c>
      <c r="E1112" s="4" t="str" cm="1">
        <f t="array" ref="E1112">_xlfn.IFS(
F1112 = "A partir de Abril", "Aguardando Execução na Distribuidora",
A1112 = "CAPACITAÇÃO", "Em execução no Corporativo",
TRUE, "Em Execução na Distribuidora"
)</f>
        <v>Em Execução na Distribuidora</v>
      </c>
      <c r="F1112" s="4" t="str" cm="1">
        <f t="array" ref="F1112">_xlfn.IFS(
AG1112 &lt;&gt; "", "Jan-Dez/26",
AH1112 &lt;&gt; "", "Fev-Dez/26",
AI1112 &lt;&gt; "", "Mar-Dez/26", AJ1112 &lt;&gt; "", "Abr-Dez/26",
TRUE, "A partir de Junho"
)</f>
        <v>Jan-Dez/26</v>
      </c>
      <c r="G1112" s="4" t="s">
        <v>37</v>
      </c>
      <c r="H1112" s="7" t="s">
        <v>38</v>
      </c>
      <c r="I1112" s="8" t="s">
        <v>59</v>
      </c>
      <c r="J1112" s="8" t="str" cm="1">
        <f t="array" aca="1" ref="J1112" ca="1">_xlfn.LET(
  _xlpm.actual_value_month, INDEX(T1112:AE1112, MATCH(DATE(YEAR(TODAY()), MONTH(TODAY()), 1), $T$1:$AE$1, 0)),
  IF(_xlpm.actual_value_month &lt;&gt; "",_xlpm.actual_value_month &amp; " ações mensais", "")
)</f>
        <v/>
      </c>
      <c r="K1112" s="14" t="str" cm="1">
        <f t="array" ref="K1112">_xlfn.LET(
    _xlpm.sum_month, SUM(T1112:AE1112),
    IF(_xlpm.sum_month = 0, "", _xlpm.sum_month &amp; " pessoas impactadas no ano.")
)</f>
        <v/>
      </c>
      <c r="L1112" s="9" t="s">
        <v>59</v>
      </c>
      <c r="M1112" s="13">
        <v>1</v>
      </c>
      <c r="N1112" s="5" t="s">
        <v>51</v>
      </c>
      <c r="O1112" s="5" t="s">
        <v>52</v>
      </c>
      <c r="P1112" s="10" t="s">
        <v>44</v>
      </c>
      <c r="Q1112" s="10" t="s">
        <v>44</v>
      </c>
      <c r="R1112" s="11" t="s">
        <v>44</v>
      </c>
      <c r="S1112" s="11" t="s">
        <v>44</v>
      </c>
      <c r="T1112" s="22"/>
      <c r="U1112" s="22"/>
      <c r="V1112" s="22"/>
      <c r="W1112" s="22"/>
      <c r="X1112" s="22"/>
      <c r="Y1112" s="22"/>
      <c r="Z1112" s="22"/>
      <c r="AA1112" s="22"/>
      <c r="AB1112" s="22"/>
      <c r="AC1112" s="22"/>
      <c r="AD1112" s="22"/>
      <c r="AE1112" s="22"/>
      <c r="AG1112" s="145">
        <v>63</v>
      </c>
      <c r="AH1112" s="149">
        <v>62</v>
      </c>
      <c r="AI1112" s="149">
        <v>64</v>
      </c>
      <c r="AJ1112" s="145">
        <v>20</v>
      </c>
      <c r="AK1112" s="71"/>
      <c r="AL1112" s="71"/>
      <c r="AM1112" s="71"/>
      <c r="AN1112" s="71"/>
      <c r="AO1112" s="71"/>
      <c r="AP1112" s="71"/>
      <c r="AQ1112" s="71"/>
      <c r="AR1112" s="71"/>
      <c r="AS1112" s="94">
        <f t="shared" ref="AS1112:AS1116" ca="1" si="1286">IF(MONTH(TODAY())=3,SUM(T1112:U1112),IF(MONTH(TODAY())=4,SUM(T1112:V1112),IF(MONTH(TODAY())=5,SUM(T1112:W1112),IF(MONTH(TODAY())=6,SUM(T1112:X1112),IF(MONTH(TODAY())=7,SUM(T1112:Y1112),IF(MONTH(TODAY())=8,SUM(T1112:Z1112),IF(MONTH(TODAY())=9,SUM(T1112:AA1112),IF(MONTH(TODAY())=10,SUM(T1112:AB1112),IF(MONTH(TODAY())=11,SUM(T1112:AC1112),IF(MONTH(TODAY())=12,SUM(T1112:AD1112),IF(MONTH(TODAY())=1,SUM(T1112:AE1112),T1112)))))))))))</f>
        <v>0</v>
      </c>
      <c r="AT1112" s="95">
        <f t="shared" ref="AT1112:AT1116" si="1287">SUM(AG1112:AR1112)</f>
        <v>209</v>
      </c>
      <c r="AU1112" s="97">
        <f t="shared" ref="AU1112:AU1116" si="1288">SUM(AG1112:AR1112)</f>
        <v>209</v>
      </c>
      <c r="AW1112" s="83">
        <f t="shared" ref="AW1112:AW1116" si="1289">AG1112</f>
        <v>63</v>
      </c>
      <c r="AX1112" s="83">
        <f t="shared" ref="AX1112:AX1116" si="1290">AH1112</f>
        <v>62</v>
      </c>
      <c r="AY1112" s="83">
        <f t="shared" ref="AY1112:AY1116" si="1291">AI1112</f>
        <v>64</v>
      </c>
      <c r="AZ1112" s="83">
        <f t="shared" ref="AZ1112:AZ1116" si="1292">AJ1112</f>
        <v>20</v>
      </c>
      <c r="BA1112" s="52"/>
      <c r="BB1112" s="52"/>
      <c r="BC1112" s="52"/>
      <c r="BD1112" s="52"/>
      <c r="BE1112" s="52"/>
      <c r="BF1112" s="52"/>
      <c r="BG1112" s="52"/>
      <c r="BH1112" s="52"/>
      <c r="BI1112" s="68" cm="1">
        <f t="array" ref="BI1112">IFERROR(INDEX(AW1112:BH1112,1,MATCH(2,1/(AW1112:BH1112&lt;&gt;""))),"")</f>
        <v>20</v>
      </c>
      <c r="BJ1112" s="68" cm="1">
        <f t="array" ref="BJ1112">IF(BM1112 = "", "",IFERROR(INDEX(AW1112:BH1112,1,MATCH(2,1/(AW1112:BH1112&lt;&gt;""),1)-1),""))</f>
        <v>64</v>
      </c>
      <c r="BK1112" s="59">
        <f t="shared" ref="BK1112:BK1116" si="1293">SUM(AW1112:BH1112)</f>
        <v>209</v>
      </c>
      <c r="BL1112" s="59" cm="1">
        <f t="array" ref="BL1112">IFERROR(SUM(AW1112:INDEX(AW1112:BH1112, MATCH(2, 1/(AW1112:BH1112&lt;&gt;""), 1) - 1))/_xlfn.XLOOKUP(F1112,Apuração!A:A,Apuração!B:B),0)</f>
        <v>15.75</v>
      </c>
      <c r="BM1112" s="55" cm="1">
        <f t="array" ref="BM1112">IFERROR(
   INDEX($AW$1:$BH$1,
      _xlfn.AGGREGATE(14, 6, COLUMN($AW$1:$BH$1)/(AW1112:BH1112&lt;&gt;""), 2) - COLUMN($AW$1) + 1
   ),
"")</f>
        <v>46082</v>
      </c>
      <c r="BN1112" s="55" cm="1">
        <f t="array" ref="BN1112">IFERROR(INDEX($AW$1:$BH$1,1,MATCH(2,1/(AW1112:BH1112&lt;&gt;""))),"")</f>
        <v>46113</v>
      </c>
      <c r="BO1112" s="53">
        <f ca="1">IFERROR(_xlfn.XLOOKUP(F1112,Apuração!A:A,Apuração!C:C)/_xlfn.XLOOKUP(F1112,Apuração!A:A,Apuração!B:B),0)</f>
        <v>0.41666666666666669</v>
      </c>
      <c r="BP1112" s="53">
        <f ca="1">IFERROR(_xlfn.XLOOKUP(F1112,Apuração!A:A,Apuração!D:D)/_xlfn.XLOOKUP(F1112,Apuração!A:A,Apuração!B:B),0)</f>
        <v>0.33333333333333331</v>
      </c>
      <c r="BQ1112" s="53">
        <f ca="1">IF(BK1112&gt;=BO1112,0,_xlfn.XLOOKUP(F1112,Apuração!A:A,Apuração!B:B)*(BO1112 + (1/_xlfn.XLOOKUP(F1112,Apuração!A:A,Apuração!B:B)) - BK1112))</f>
        <v>0</v>
      </c>
      <c r="BR1112" s="85">
        <f t="shared" ref="BR1112:BR1116" ca="1" si="1294">IF(BQ1112=0,0,BQ1112*Z1112)</f>
        <v>0</v>
      </c>
      <c r="BS1112" s="53">
        <f ca="1">IFERROR((_xlfn.XLOOKUP(F1112,Apuração!A:A,Apuração!C:C)+1)/_xlfn.XLOOKUP(F1112,Apuração!A:A,Apuração!B:B),0)</f>
        <v>0.5</v>
      </c>
    </row>
    <row r="1113" spans="1:71" ht="25.95" hidden="1" customHeight="1" x14ac:dyDescent="0.3">
      <c r="A1113" s="39" t="s">
        <v>33</v>
      </c>
      <c r="B1113" s="4" t="s">
        <v>70</v>
      </c>
      <c r="C1113" s="5" t="s">
        <v>209</v>
      </c>
      <c r="D1113" s="5" t="s">
        <v>47</v>
      </c>
      <c r="E1113" s="4" t="str" cm="1">
        <f t="array" ref="E1113">_xlfn.IFS(
F1113 = "A partir de Abril", "Aguardando Execução na Distribuidora",
A1113 = "CAPACITAÇÃO", "Em execução no Corporativo",
TRUE, "Em Execução na Distribuidora"
)</f>
        <v>Em Execução na Distribuidora</v>
      </c>
      <c r="F1113" s="4" t="str" cm="1">
        <f t="array" ref="F1113">_xlfn.IFS(
AG1113 &lt;&gt; "", "Jan-Dez/26",
AH1113 &lt;&gt; "", "Fev-Dez/26",
AI1113 &lt;&gt; "", "Mar-Dez/26", AJ1113 &lt;&gt; "", "Abr-Dez/26",
TRUE, "A partir de Junho"
)</f>
        <v>Jan-Dez/26</v>
      </c>
      <c r="G1113" s="4" t="s">
        <v>37</v>
      </c>
      <c r="H1113" s="7" t="s">
        <v>38</v>
      </c>
      <c r="I1113" s="8" t="s">
        <v>59</v>
      </c>
      <c r="J1113" s="8" t="str" cm="1">
        <f t="array" aca="1" ref="J1113" ca="1">_xlfn.LET(
  _xlpm.actual_value_month, INDEX(T1113:AE1113, MATCH(DATE(YEAR(TODAY()), MONTH(TODAY()), 1), $T$1:$AE$1, 0)),
  IF(_xlpm.actual_value_month &lt;&gt; "",_xlpm.actual_value_month &amp; " ações mensais", "")
)</f>
        <v/>
      </c>
      <c r="K1113" s="14" t="str" cm="1">
        <f t="array" ref="K1113">_xlfn.LET(
    _xlpm.sum_month, SUM(T1113:AE1113),
    IF(_xlpm.sum_month = 0, "", _xlpm.sum_month &amp; " pessoas impactadas no ano.")
)</f>
        <v/>
      </c>
      <c r="L1113" s="9" t="s">
        <v>59</v>
      </c>
      <c r="M1113" s="13">
        <v>1</v>
      </c>
      <c r="N1113" s="5" t="s">
        <v>51</v>
      </c>
      <c r="O1113" s="5" t="s">
        <v>52</v>
      </c>
      <c r="P1113" s="10" t="s">
        <v>44</v>
      </c>
      <c r="Q1113" s="10" t="s">
        <v>44</v>
      </c>
      <c r="R1113" s="11" t="s">
        <v>44</v>
      </c>
      <c r="S1113" s="11" t="s">
        <v>44</v>
      </c>
      <c r="T1113" s="22"/>
      <c r="U1113" s="22"/>
      <c r="V1113" s="22"/>
      <c r="W1113" s="22"/>
      <c r="X1113" s="22"/>
      <c r="Y1113" s="22"/>
      <c r="Z1113" s="22"/>
      <c r="AA1113" s="22"/>
      <c r="AB1113" s="22"/>
      <c r="AC1113" s="22"/>
      <c r="AD1113" s="22"/>
      <c r="AE1113" s="22"/>
      <c r="AG1113" s="146">
        <v>0</v>
      </c>
      <c r="AH1113" s="150">
        <v>29</v>
      </c>
      <c r="AI1113" s="150">
        <v>29</v>
      </c>
      <c r="AJ1113" s="146">
        <v>5</v>
      </c>
      <c r="AK1113" s="71"/>
      <c r="AL1113" s="71"/>
      <c r="AM1113" s="71"/>
      <c r="AN1113" s="71"/>
      <c r="AO1113" s="71"/>
      <c r="AP1113" s="71"/>
      <c r="AQ1113" s="71"/>
      <c r="AR1113" s="71"/>
      <c r="AS1113" s="94">
        <f t="shared" ca="1" si="1286"/>
        <v>0</v>
      </c>
      <c r="AT1113" s="95">
        <f t="shared" si="1287"/>
        <v>63</v>
      </c>
      <c r="AU1113" s="97">
        <f t="shared" si="1288"/>
        <v>63</v>
      </c>
      <c r="AW1113" s="83">
        <f t="shared" si="1289"/>
        <v>0</v>
      </c>
      <c r="AX1113" s="83">
        <f t="shared" si="1290"/>
        <v>29</v>
      </c>
      <c r="AY1113" s="83">
        <f t="shared" si="1291"/>
        <v>29</v>
      </c>
      <c r="AZ1113" s="83">
        <f t="shared" si="1292"/>
        <v>5</v>
      </c>
      <c r="BA1113" s="52"/>
      <c r="BB1113" s="52"/>
      <c r="BC1113" s="52"/>
      <c r="BD1113" s="52"/>
      <c r="BE1113" s="52"/>
      <c r="BF1113" s="52"/>
      <c r="BG1113" s="52"/>
      <c r="BH1113" s="52"/>
      <c r="BI1113" s="68" cm="1">
        <f t="array" ref="BI1113">IFERROR(INDEX(AW1113:BH1113,1,MATCH(2,1/(AW1113:BH1113&lt;&gt;""))),"")</f>
        <v>5</v>
      </c>
      <c r="BJ1113" s="68" cm="1">
        <f t="array" ref="BJ1113">IF(BM1113 = "", "",IFERROR(INDEX(AW1113:BH1113,1,MATCH(2,1/(AW1113:BH1113&lt;&gt;""),1)-1),""))</f>
        <v>29</v>
      </c>
      <c r="BK1113" s="59">
        <f t="shared" si="1293"/>
        <v>63</v>
      </c>
      <c r="BL1113" s="59" cm="1">
        <f t="array" ref="BL1113">IFERROR(SUM(AW1113:INDEX(AW1113:BH1113, MATCH(2, 1/(AW1113:BH1113&lt;&gt;""), 1) - 1))/_xlfn.XLOOKUP(F1113,Apuração!A:A,Apuração!B:B),0)</f>
        <v>4.833333333333333</v>
      </c>
      <c r="BM1113" s="55" cm="1">
        <f t="array" ref="BM1113">IFERROR(
   INDEX($AW$1:$BH$1,
      _xlfn.AGGREGATE(14, 6, COLUMN($AW$1:$BH$1)/(AW1113:BH1113&lt;&gt;""), 2) - COLUMN($AW$1) + 1
   ),
"")</f>
        <v>46082</v>
      </c>
      <c r="BN1113" s="55" cm="1">
        <f t="array" ref="BN1113">IFERROR(INDEX($AW$1:$BH$1,1,MATCH(2,1/(AW1113:BH1113&lt;&gt;""))),"")</f>
        <v>46113</v>
      </c>
      <c r="BO1113" s="53">
        <f ca="1">IFERROR(_xlfn.XLOOKUP(F1113,Apuração!A:A,Apuração!C:C)/_xlfn.XLOOKUP(F1113,Apuração!A:A,Apuração!B:B),0)</f>
        <v>0.41666666666666669</v>
      </c>
      <c r="BP1113" s="53">
        <f ca="1">IFERROR(_xlfn.XLOOKUP(F1113,Apuração!A:A,Apuração!D:D)/_xlfn.XLOOKUP(F1113,Apuração!A:A,Apuração!B:B),0)</f>
        <v>0.33333333333333331</v>
      </c>
      <c r="BQ1113" s="53">
        <f ca="1">IF(BK1113&gt;=BO1113,0,_xlfn.XLOOKUP(F1113,Apuração!A:A,Apuração!B:B)*(BO1113 + (1/_xlfn.XLOOKUP(F1113,Apuração!A:A,Apuração!B:B)) - BK1113))</f>
        <v>0</v>
      </c>
      <c r="BR1113" s="85">
        <f t="shared" ca="1" si="1294"/>
        <v>0</v>
      </c>
      <c r="BS1113" s="53">
        <f ca="1">IFERROR((_xlfn.XLOOKUP(F1113,Apuração!A:A,Apuração!C:C)+1)/_xlfn.XLOOKUP(F1113,Apuração!A:A,Apuração!B:B),0)</f>
        <v>0.5</v>
      </c>
    </row>
    <row r="1114" spans="1:71" ht="25.95" hidden="1" customHeight="1" x14ac:dyDescent="0.3">
      <c r="A1114" s="39" t="s">
        <v>33</v>
      </c>
      <c r="B1114" s="4" t="s">
        <v>70</v>
      </c>
      <c r="C1114" s="5" t="s">
        <v>209</v>
      </c>
      <c r="D1114" s="5" t="s">
        <v>211</v>
      </c>
      <c r="E1114" s="4" t="str" cm="1">
        <f t="array" ref="E1114">_xlfn.IFS(
F1114 = "A partir de Abril", "Aguardando Execução na Distribuidora",
A1114 = "CAPACITAÇÃO", "Em execução no Corporativo",
TRUE, "Em Execução na Distribuidora"
)</f>
        <v>Em Execução na Distribuidora</v>
      </c>
      <c r="F1114" s="4" t="str" cm="1">
        <f t="array" ref="F1114">_xlfn.IFS(
AG1114 &lt;&gt; "", "Jan-Dez/26",
AH1114 &lt;&gt; "", "Fev-Dez/26",
AI1114 &lt;&gt; "", "Mar-Dez/26", AJ1114 &lt;&gt; "", "Abr-Dez/26",
TRUE, "A partir de Junho"
)</f>
        <v>Jan-Dez/26</v>
      </c>
      <c r="G1114" s="4" t="s">
        <v>37</v>
      </c>
      <c r="H1114" s="7" t="s">
        <v>38</v>
      </c>
      <c r="I1114" s="8" t="s">
        <v>59</v>
      </c>
      <c r="J1114" s="8" t="str" cm="1">
        <f t="array" aca="1" ref="J1114" ca="1">_xlfn.LET(
  _xlpm.actual_value_month, INDEX(T1114:AE1114, MATCH(DATE(YEAR(TODAY()), MONTH(TODAY()), 1), $T$1:$AE$1, 0)),
  IF(_xlpm.actual_value_month &lt;&gt; "",_xlpm.actual_value_month &amp; " ações mensais", "")
)</f>
        <v/>
      </c>
      <c r="K1114" s="14" t="str" cm="1">
        <f t="array" ref="K1114">_xlfn.LET(
    _xlpm.sum_month, SUM(T1114:AE1114),
    IF(_xlpm.sum_month = 0, "", _xlpm.sum_month &amp; " pessoas impactadas no ano.")
)</f>
        <v/>
      </c>
      <c r="L1114" s="9" t="s">
        <v>59</v>
      </c>
      <c r="M1114" s="13">
        <v>1</v>
      </c>
      <c r="N1114" s="5" t="s">
        <v>51</v>
      </c>
      <c r="O1114" s="5" t="s">
        <v>52</v>
      </c>
      <c r="P1114" s="10" t="s">
        <v>44</v>
      </c>
      <c r="Q1114" s="10" t="s">
        <v>44</v>
      </c>
      <c r="R1114" s="11" t="s">
        <v>44</v>
      </c>
      <c r="S1114" s="11" t="s">
        <v>44</v>
      </c>
      <c r="T1114" s="22"/>
      <c r="U1114" s="22"/>
      <c r="V1114" s="22"/>
      <c r="W1114" s="22"/>
      <c r="X1114" s="22"/>
      <c r="Y1114" s="22"/>
      <c r="Z1114" s="22"/>
      <c r="AA1114" s="22"/>
      <c r="AB1114" s="22"/>
      <c r="AC1114" s="22"/>
      <c r="AD1114" s="22"/>
      <c r="AE1114" s="22"/>
      <c r="AG1114" s="146">
        <v>0</v>
      </c>
      <c r="AH1114" s="150">
        <v>17</v>
      </c>
      <c r="AI1114" s="150">
        <v>18</v>
      </c>
      <c r="AJ1114" s="146">
        <v>15</v>
      </c>
      <c r="AK1114" s="71"/>
      <c r="AL1114" s="71"/>
      <c r="AM1114" s="71"/>
      <c r="AN1114" s="71"/>
      <c r="AO1114" s="71"/>
      <c r="AP1114" s="71"/>
      <c r="AQ1114" s="71"/>
      <c r="AR1114" s="71"/>
      <c r="AS1114" s="94">
        <f t="shared" ca="1" si="1286"/>
        <v>0</v>
      </c>
      <c r="AT1114" s="95">
        <f t="shared" si="1287"/>
        <v>50</v>
      </c>
      <c r="AU1114" s="97">
        <f t="shared" si="1288"/>
        <v>50</v>
      </c>
      <c r="AW1114" s="83">
        <f t="shared" si="1289"/>
        <v>0</v>
      </c>
      <c r="AX1114" s="83">
        <f t="shared" si="1290"/>
        <v>17</v>
      </c>
      <c r="AY1114" s="83">
        <f t="shared" si="1291"/>
        <v>18</v>
      </c>
      <c r="AZ1114" s="83">
        <f t="shared" si="1292"/>
        <v>15</v>
      </c>
      <c r="BA1114" s="52"/>
      <c r="BB1114" s="52"/>
      <c r="BC1114" s="52"/>
      <c r="BD1114" s="52"/>
      <c r="BE1114" s="52"/>
      <c r="BF1114" s="52"/>
      <c r="BG1114" s="52"/>
      <c r="BH1114" s="52"/>
      <c r="BI1114" s="68" cm="1">
        <f t="array" ref="BI1114">IFERROR(INDEX(AW1114:BH1114,1,MATCH(2,1/(AW1114:BH1114&lt;&gt;""))),"")</f>
        <v>15</v>
      </c>
      <c r="BJ1114" s="68" cm="1">
        <f t="array" ref="BJ1114">IF(BM1114 = "", "",IFERROR(INDEX(AW1114:BH1114,1,MATCH(2,1/(AW1114:BH1114&lt;&gt;""),1)-1),""))</f>
        <v>18</v>
      </c>
      <c r="BK1114" s="59">
        <f t="shared" si="1293"/>
        <v>50</v>
      </c>
      <c r="BL1114" s="59" cm="1">
        <f t="array" ref="BL1114">IFERROR(SUM(AW1114:INDEX(AW1114:BH1114, MATCH(2, 1/(AW1114:BH1114&lt;&gt;""), 1) - 1))/_xlfn.XLOOKUP(F1114,Apuração!A:A,Apuração!B:B),0)</f>
        <v>2.9166666666666665</v>
      </c>
      <c r="BM1114" s="55" cm="1">
        <f t="array" ref="BM1114">IFERROR(
   INDEX($AW$1:$BH$1,
      _xlfn.AGGREGATE(14, 6, COLUMN($AW$1:$BH$1)/(AW1114:BH1114&lt;&gt;""), 2) - COLUMN($AW$1) + 1
   ),
"")</f>
        <v>46082</v>
      </c>
      <c r="BN1114" s="55" cm="1">
        <f t="array" ref="BN1114">IFERROR(INDEX($AW$1:$BH$1,1,MATCH(2,1/(AW1114:BH1114&lt;&gt;""))),"")</f>
        <v>46113</v>
      </c>
      <c r="BO1114" s="53">
        <f ca="1">IFERROR(_xlfn.XLOOKUP(F1114,Apuração!A:A,Apuração!C:C)/_xlfn.XLOOKUP(F1114,Apuração!A:A,Apuração!B:B),0)</f>
        <v>0.41666666666666669</v>
      </c>
      <c r="BP1114" s="53">
        <f ca="1">IFERROR(_xlfn.XLOOKUP(F1114,Apuração!A:A,Apuração!D:D)/_xlfn.XLOOKUP(F1114,Apuração!A:A,Apuração!B:B),0)</f>
        <v>0.33333333333333331</v>
      </c>
      <c r="BQ1114" s="53">
        <f ca="1">IF(BK1114&gt;=BO1114,0,_xlfn.XLOOKUP(F1114,Apuração!A:A,Apuração!B:B)*(BO1114 + (1/_xlfn.XLOOKUP(F1114,Apuração!A:A,Apuração!B:B)) - BK1114))</f>
        <v>0</v>
      </c>
      <c r="BR1114" s="85">
        <f t="shared" ca="1" si="1294"/>
        <v>0</v>
      </c>
      <c r="BS1114" s="53">
        <f ca="1">IFERROR((_xlfn.XLOOKUP(F1114,Apuração!A:A,Apuração!C:C)+1)/_xlfn.XLOOKUP(F1114,Apuração!A:A,Apuração!B:B),0)</f>
        <v>0.5</v>
      </c>
    </row>
    <row r="1115" spans="1:71" ht="25.95" hidden="1" customHeight="1" x14ac:dyDescent="0.3">
      <c r="A1115" s="39" t="s">
        <v>33</v>
      </c>
      <c r="B1115" s="4" t="s">
        <v>70</v>
      </c>
      <c r="C1115" s="5" t="s">
        <v>209</v>
      </c>
      <c r="D1115" s="5" t="s">
        <v>212</v>
      </c>
      <c r="E1115" s="4" t="str" cm="1">
        <f t="array" ref="E1115">_xlfn.IFS(
F1115 = "A partir de Abril", "Aguardando Execução na Distribuidora",
A1115 = "CAPACITAÇÃO", "Em execução no Corporativo",
TRUE, "Em Execução na Distribuidora"
)</f>
        <v>Em Execução na Distribuidora</v>
      </c>
      <c r="F1115" s="4" t="str" cm="1">
        <f t="array" ref="F1115">_xlfn.IFS(
AG1115 &lt;&gt; "", "Jan-Dez/26",
AH1115 &lt;&gt; "", "Fev-Dez/26",
AI1115 &lt;&gt; "", "Mar-Dez/26", AJ1115 &lt;&gt; "", "Abr-Dez/26",
TRUE, "A partir de Junho"
)</f>
        <v>Jan-Dez/26</v>
      </c>
      <c r="G1115" s="4" t="s">
        <v>37</v>
      </c>
      <c r="H1115" s="7" t="s">
        <v>38</v>
      </c>
      <c r="I1115" s="8" t="s">
        <v>59</v>
      </c>
      <c r="J1115" s="8" t="str" cm="1">
        <f t="array" aca="1" ref="J1115" ca="1">_xlfn.LET(
  _xlpm.actual_value_month, INDEX(T1115:AE1115, MATCH(DATE(YEAR(TODAY()), MONTH(TODAY()), 1), $T$1:$AE$1, 0)),
  IF(_xlpm.actual_value_month &lt;&gt; "",_xlpm.actual_value_month &amp; " ações mensais", "")
)</f>
        <v/>
      </c>
      <c r="K1115" s="14" t="str" cm="1">
        <f t="array" ref="K1115">_xlfn.LET(
    _xlpm.sum_month, SUM(T1115:AE1115),
    IF(_xlpm.sum_month = 0, "", _xlpm.sum_month &amp; " pessoas impactadas no ano.")
)</f>
        <v/>
      </c>
      <c r="L1115" s="9" t="s">
        <v>59</v>
      </c>
      <c r="M1115" s="13">
        <v>1</v>
      </c>
      <c r="N1115" s="5" t="s">
        <v>51</v>
      </c>
      <c r="O1115" s="5" t="s">
        <v>52</v>
      </c>
      <c r="P1115" s="10" t="s">
        <v>44</v>
      </c>
      <c r="Q1115" s="10" t="s">
        <v>44</v>
      </c>
      <c r="R1115" s="11" t="s">
        <v>44</v>
      </c>
      <c r="S1115" s="11" t="s">
        <v>44</v>
      </c>
      <c r="T1115" s="22"/>
      <c r="U1115" s="22"/>
      <c r="V1115" s="22"/>
      <c r="W1115" s="22"/>
      <c r="X1115" s="22"/>
      <c r="Y1115" s="22"/>
      <c r="Z1115" s="22"/>
      <c r="AA1115" s="22"/>
      <c r="AB1115" s="22"/>
      <c r="AC1115" s="22"/>
      <c r="AD1115" s="22"/>
      <c r="AE1115" s="22"/>
      <c r="AG1115" s="146">
        <v>60</v>
      </c>
      <c r="AH1115" s="150">
        <v>5</v>
      </c>
      <c r="AI1115" s="150">
        <v>55</v>
      </c>
      <c r="AJ1115" s="146">
        <v>25</v>
      </c>
      <c r="AK1115" s="71"/>
      <c r="AL1115" s="71"/>
      <c r="AM1115" s="71"/>
      <c r="AN1115" s="71"/>
      <c r="AO1115" s="71"/>
      <c r="AP1115" s="71"/>
      <c r="AQ1115" s="71"/>
      <c r="AR1115" s="71"/>
      <c r="AS1115" s="94">
        <f t="shared" ca="1" si="1286"/>
        <v>0</v>
      </c>
      <c r="AT1115" s="95">
        <f t="shared" si="1287"/>
        <v>145</v>
      </c>
      <c r="AU1115" s="97">
        <f t="shared" si="1288"/>
        <v>145</v>
      </c>
      <c r="AW1115" s="83">
        <f t="shared" si="1289"/>
        <v>60</v>
      </c>
      <c r="AX1115" s="83">
        <f t="shared" si="1290"/>
        <v>5</v>
      </c>
      <c r="AY1115" s="83">
        <f t="shared" si="1291"/>
        <v>55</v>
      </c>
      <c r="AZ1115" s="83">
        <f t="shared" si="1292"/>
        <v>25</v>
      </c>
      <c r="BA1115" s="52"/>
      <c r="BB1115" s="52"/>
      <c r="BC1115" s="52"/>
      <c r="BD1115" s="52"/>
      <c r="BE1115" s="52"/>
      <c r="BF1115" s="52"/>
      <c r="BG1115" s="52"/>
      <c r="BH1115" s="52"/>
      <c r="BI1115" s="68" cm="1">
        <f t="array" ref="BI1115">IFERROR(INDEX(AW1115:BH1115,1,MATCH(2,1/(AW1115:BH1115&lt;&gt;""))),"")</f>
        <v>25</v>
      </c>
      <c r="BJ1115" s="68" cm="1">
        <f t="array" ref="BJ1115">IF(BM1115 = "", "",IFERROR(INDEX(AW1115:BH1115,1,MATCH(2,1/(AW1115:BH1115&lt;&gt;""),1)-1),""))</f>
        <v>55</v>
      </c>
      <c r="BK1115" s="59">
        <f t="shared" si="1293"/>
        <v>145</v>
      </c>
      <c r="BL1115" s="59" cm="1">
        <f t="array" ref="BL1115">IFERROR(SUM(AW1115:INDEX(AW1115:BH1115, MATCH(2, 1/(AW1115:BH1115&lt;&gt;""), 1) - 1))/_xlfn.XLOOKUP(F1115,Apuração!A:A,Apuração!B:B),0)</f>
        <v>10</v>
      </c>
      <c r="BM1115" s="55" cm="1">
        <f t="array" ref="BM1115">IFERROR(
   INDEX($AW$1:$BH$1,
      _xlfn.AGGREGATE(14, 6, COLUMN($AW$1:$BH$1)/(AW1115:BH1115&lt;&gt;""), 2) - COLUMN($AW$1) + 1
   ),
"")</f>
        <v>46082</v>
      </c>
      <c r="BN1115" s="55" cm="1">
        <f t="array" ref="BN1115">IFERROR(INDEX($AW$1:$BH$1,1,MATCH(2,1/(AW1115:BH1115&lt;&gt;""))),"")</f>
        <v>46113</v>
      </c>
      <c r="BO1115" s="53">
        <f ca="1">IFERROR(_xlfn.XLOOKUP(F1115,Apuração!A:A,Apuração!C:C)/_xlfn.XLOOKUP(F1115,Apuração!A:A,Apuração!B:B),0)</f>
        <v>0.41666666666666669</v>
      </c>
      <c r="BP1115" s="53">
        <f ca="1">IFERROR(_xlfn.XLOOKUP(F1115,Apuração!A:A,Apuração!D:D)/_xlfn.XLOOKUP(F1115,Apuração!A:A,Apuração!B:B),0)</f>
        <v>0.33333333333333331</v>
      </c>
      <c r="BQ1115" s="53">
        <f ca="1">IF(BK1115&gt;=BO1115,0,_xlfn.XLOOKUP(F1115,Apuração!A:A,Apuração!B:B)*(BO1115 + (1/_xlfn.XLOOKUP(F1115,Apuração!A:A,Apuração!B:B)) - BK1115))</f>
        <v>0</v>
      </c>
      <c r="BR1115" s="85">
        <f t="shared" ca="1" si="1294"/>
        <v>0</v>
      </c>
      <c r="BS1115" s="53">
        <f ca="1">IFERROR((_xlfn.XLOOKUP(F1115,Apuração!A:A,Apuração!C:C)+1)/_xlfn.XLOOKUP(F1115,Apuração!A:A,Apuração!B:B),0)</f>
        <v>0.5</v>
      </c>
    </row>
    <row r="1116" spans="1:71" ht="25.95" hidden="1" customHeight="1" x14ac:dyDescent="0.3">
      <c r="A1116" s="39" t="s">
        <v>33</v>
      </c>
      <c r="B1116" s="4" t="s">
        <v>70</v>
      </c>
      <c r="C1116" s="5" t="s">
        <v>209</v>
      </c>
      <c r="D1116" s="5" t="s">
        <v>213</v>
      </c>
      <c r="E1116" s="4" t="str" cm="1">
        <f t="array" ref="E1116">_xlfn.IFS(
F1116 = "A partir de Abril", "Aguardando Execução na Distribuidora",
A1116 = "CAPACITAÇÃO", "Em execução no Corporativo",
TRUE, "Em Execução na Distribuidora"
)</f>
        <v>Em Execução na Distribuidora</v>
      </c>
      <c r="F1116" s="4" t="str" cm="1">
        <f t="array" ref="F1116">_xlfn.IFS(
AG1116 &lt;&gt; "", "Jan-Dez/26",
AH1116 &lt;&gt; "", "Fev-Dez/26",
AI1116 &lt;&gt; "", "Mar-Dez/26", AJ1116 &lt;&gt; "", "Abr-Dez/26",
TRUE, "A partir de Junho"
)</f>
        <v>Jan-Dez/26</v>
      </c>
      <c r="G1116" s="4" t="s">
        <v>37</v>
      </c>
      <c r="H1116" s="7" t="s">
        <v>38</v>
      </c>
      <c r="I1116" s="8" t="s">
        <v>59</v>
      </c>
      <c r="J1116" s="8" t="str" cm="1">
        <f t="array" aca="1" ref="J1116" ca="1">_xlfn.LET(
  _xlpm.actual_value_month, INDEX(T1116:AE1116, MATCH(DATE(YEAR(TODAY()), MONTH(TODAY()), 1), $T$1:$AE$1, 0)),
  IF(_xlpm.actual_value_month &lt;&gt; "",_xlpm.actual_value_month &amp; " ações mensais", "")
)</f>
        <v/>
      </c>
      <c r="K1116" s="14" t="str" cm="1">
        <f t="array" ref="K1116">_xlfn.LET(
    _xlpm.sum_month, SUM(T1116:AE1116),
    IF(_xlpm.sum_month = 0, "", _xlpm.sum_month &amp; " pessoas impactadas no ano.")
)</f>
        <v/>
      </c>
      <c r="L1116" s="9" t="s">
        <v>59</v>
      </c>
      <c r="M1116" s="13">
        <v>1</v>
      </c>
      <c r="N1116" s="5" t="s">
        <v>51</v>
      </c>
      <c r="O1116" s="5" t="s">
        <v>52</v>
      </c>
      <c r="P1116" s="10" t="s">
        <v>44</v>
      </c>
      <c r="Q1116" s="10" t="s">
        <v>44</v>
      </c>
      <c r="R1116" s="11" t="s">
        <v>44</v>
      </c>
      <c r="S1116" s="11" t="s">
        <v>44</v>
      </c>
      <c r="T1116" s="22"/>
      <c r="U1116" s="22"/>
      <c r="V1116" s="22"/>
      <c r="W1116" s="22"/>
      <c r="X1116" s="22"/>
      <c r="Y1116" s="22"/>
      <c r="Z1116" s="22"/>
      <c r="AA1116" s="22"/>
      <c r="AB1116" s="22"/>
      <c r="AC1116" s="22"/>
      <c r="AD1116" s="22"/>
      <c r="AE1116" s="22"/>
      <c r="AG1116" s="146">
        <v>43</v>
      </c>
      <c r="AH1116" s="150">
        <v>68</v>
      </c>
      <c r="AI1116" s="150">
        <v>89</v>
      </c>
      <c r="AJ1116" s="146">
        <v>138</v>
      </c>
      <c r="AK1116" s="71"/>
      <c r="AL1116" s="71"/>
      <c r="AM1116" s="71"/>
      <c r="AN1116" s="71"/>
      <c r="AO1116" s="71"/>
      <c r="AP1116" s="71"/>
      <c r="AQ1116" s="71"/>
      <c r="AR1116" s="71"/>
      <c r="AS1116" s="94">
        <f t="shared" ca="1" si="1286"/>
        <v>0</v>
      </c>
      <c r="AT1116" s="95">
        <f t="shared" si="1287"/>
        <v>338</v>
      </c>
      <c r="AU1116" s="97">
        <f t="shared" si="1288"/>
        <v>338</v>
      </c>
      <c r="AW1116" s="83">
        <f t="shared" si="1289"/>
        <v>43</v>
      </c>
      <c r="AX1116" s="83">
        <f t="shared" si="1290"/>
        <v>68</v>
      </c>
      <c r="AY1116" s="83">
        <f t="shared" si="1291"/>
        <v>89</v>
      </c>
      <c r="AZ1116" s="83">
        <f t="shared" si="1292"/>
        <v>138</v>
      </c>
      <c r="BA1116" s="52"/>
      <c r="BB1116" s="52"/>
      <c r="BC1116" s="52"/>
      <c r="BD1116" s="52"/>
      <c r="BE1116" s="52"/>
      <c r="BF1116" s="52"/>
      <c r="BG1116" s="52"/>
      <c r="BH1116" s="52"/>
      <c r="BI1116" s="68" cm="1">
        <f t="array" ref="BI1116">IFERROR(INDEX(AW1116:BH1116,1,MATCH(2,1/(AW1116:BH1116&lt;&gt;""))),"")</f>
        <v>138</v>
      </c>
      <c r="BJ1116" s="68" cm="1">
        <f t="array" ref="BJ1116">IF(BM1116 = "", "",IFERROR(INDEX(AW1116:BH1116,1,MATCH(2,1/(AW1116:BH1116&lt;&gt;""),1)-1),""))</f>
        <v>89</v>
      </c>
      <c r="BK1116" s="59">
        <f t="shared" si="1293"/>
        <v>338</v>
      </c>
      <c r="BL1116" s="59" cm="1">
        <f t="array" ref="BL1116">IFERROR(SUM(AW1116:INDEX(AW1116:BH1116, MATCH(2, 1/(AW1116:BH1116&lt;&gt;""), 1) - 1))/_xlfn.XLOOKUP(F1116,Apuração!A:A,Apuração!B:B),0)</f>
        <v>16.666666666666668</v>
      </c>
      <c r="BM1116" s="55" cm="1">
        <f t="array" ref="BM1116">IFERROR(
   INDEX($AW$1:$BH$1,
      _xlfn.AGGREGATE(14, 6, COLUMN($AW$1:$BH$1)/(AW1116:BH1116&lt;&gt;""), 2) - COLUMN($AW$1) + 1
   ),
"")</f>
        <v>46082</v>
      </c>
      <c r="BN1116" s="55" cm="1">
        <f t="array" ref="BN1116">IFERROR(INDEX($AW$1:$BH$1,1,MATCH(2,1/(AW1116:BH1116&lt;&gt;""))),"")</f>
        <v>46113</v>
      </c>
      <c r="BO1116" s="53">
        <f ca="1">IFERROR(_xlfn.XLOOKUP(F1116,Apuração!A:A,Apuração!C:C)/_xlfn.XLOOKUP(F1116,Apuração!A:A,Apuração!B:B),0)</f>
        <v>0.41666666666666669</v>
      </c>
      <c r="BP1116" s="53">
        <f ca="1">IFERROR(_xlfn.XLOOKUP(F1116,Apuração!A:A,Apuração!D:D)/_xlfn.XLOOKUP(F1116,Apuração!A:A,Apuração!B:B),0)</f>
        <v>0.33333333333333331</v>
      </c>
      <c r="BQ1116" s="53">
        <f ca="1">IF(BK1116&gt;=BO1116,0,_xlfn.XLOOKUP(F1116,Apuração!A:A,Apuração!B:B)*(BO1116 + (1/_xlfn.XLOOKUP(F1116,Apuração!A:A,Apuração!B:B)) - BK1116))</f>
        <v>0</v>
      </c>
      <c r="BR1116" s="85">
        <f t="shared" ca="1" si="1294"/>
        <v>0</v>
      </c>
      <c r="BS1116" s="53">
        <f ca="1">IFERROR((_xlfn.XLOOKUP(F1116,Apuração!A:A,Apuração!C:C)+1)/_xlfn.XLOOKUP(F1116,Apuração!A:A,Apuração!B:B),0)</f>
        <v>0.5</v>
      </c>
    </row>
    <row r="1117" spans="1:71" ht="25.95" hidden="1" customHeight="1" x14ac:dyDescent="0.3">
      <c r="A1117" s="3" t="s">
        <v>33</v>
      </c>
      <c r="B1117" s="4" t="s">
        <v>73</v>
      </c>
      <c r="C1117" s="5" t="s">
        <v>209</v>
      </c>
      <c r="D1117" s="5" t="s">
        <v>36</v>
      </c>
      <c r="E1117" s="4" t="str" cm="1">
        <f t="array" ref="E1117">_xlfn.IFS(
F1117 = "A partir de Abril", "Aguardando Execução na Distribuidora",
A1117 = "CAPACITAÇÃO", "Em execução no Corporativo",
TRUE, "Em Execução na Distribuidora"
)</f>
        <v>Em Execução na Distribuidora</v>
      </c>
      <c r="F1117" s="4" t="str" cm="1">
        <f t="array" ref="F1117">_xlfn.IFS(
AG1117 &lt;&gt; "", "Jan-Dez/26",
AH1117 &lt;&gt; "", "Fev-Dez/26",
AI1117 &lt;&gt; "", "Mar-Dez/26", AJ1117 &lt;&gt; "", "Abr-Dez/26",
TRUE, "A partir de Junho"
)</f>
        <v>Jan-Dez/26</v>
      </c>
      <c r="G1117" s="4" t="s">
        <v>37</v>
      </c>
      <c r="H1117" s="7" t="s">
        <v>54</v>
      </c>
      <c r="I1117" s="8" t="s">
        <v>55</v>
      </c>
      <c r="J1117" s="8" t="str" cm="1">
        <f t="array" aca="1" ref="J1117" ca="1">_xlfn.LET(
  _xlpm.actual_value_month, INDEX(T1117:AE1117, MATCH(DATE(YEAR(TODAY()), MONTH(TODAY()), 1), $T$1:$AE$1, 0)),
  IF(_xlpm.actual_value_month &lt;&gt; "",_xlpm.actual_value_month &amp; " eventos mensais", "")
)</f>
        <v>10 eventos mensais</v>
      </c>
      <c r="K1117" s="14" t="str" cm="1">
        <f t="array" ref="K1117">_xlfn.LET(
    _xlpm.sum_month, SUM(T1117:AE1117),
    IF(_xlpm.sum_month = 0, "", _xlpm.sum_month &amp; "  eventos no ano")
)</f>
        <v>137  eventos no ano</v>
      </c>
      <c r="L1117" s="9" t="s">
        <v>64</v>
      </c>
      <c r="M1117" s="13" t="s">
        <v>74</v>
      </c>
      <c r="N1117" s="5" t="s">
        <v>42</v>
      </c>
      <c r="O1117" s="5" t="s">
        <v>43</v>
      </c>
      <c r="P1117" s="10" t="s">
        <v>44</v>
      </c>
      <c r="Q1117" s="10" t="s">
        <v>75</v>
      </c>
      <c r="R1117" s="11" t="s">
        <v>44</v>
      </c>
      <c r="S1117" s="11" t="s">
        <v>44</v>
      </c>
      <c r="T1117" s="22">
        <v>3</v>
      </c>
      <c r="U1117" s="22">
        <v>16</v>
      </c>
      <c r="V1117" s="22">
        <v>28</v>
      </c>
      <c r="W1117" s="22">
        <v>10</v>
      </c>
      <c r="X1117" s="22">
        <v>10</v>
      </c>
      <c r="Y1117" s="22">
        <v>10</v>
      </c>
      <c r="Z1117" s="22">
        <v>10</v>
      </c>
      <c r="AA1117" s="22">
        <v>10</v>
      </c>
      <c r="AB1117" s="22">
        <v>10</v>
      </c>
      <c r="AC1117" s="22">
        <v>10</v>
      </c>
      <c r="AD1117" s="22">
        <v>10</v>
      </c>
      <c r="AE1117" s="22">
        <v>10</v>
      </c>
      <c r="AG1117" s="71">
        <v>3</v>
      </c>
      <c r="AH1117" s="71">
        <v>16</v>
      </c>
      <c r="AI1117" s="71">
        <v>28</v>
      </c>
      <c r="AJ1117" s="71">
        <v>49</v>
      </c>
      <c r="AK1117" s="71"/>
      <c r="AL1117" s="71"/>
      <c r="AM1117" s="71"/>
      <c r="AN1117" s="71"/>
      <c r="AO1117" s="71"/>
      <c r="AP1117" s="71"/>
      <c r="AQ1117" s="71"/>
      <c r="AR1117" s="71"/>
      <c r="AS1117" s="94">
        <f ca="1">IF(MONTH(TODAY())=3,SUM(T1117:U1117),IF(MONTH(TODAY())=4,SUM(T1117:V1117),IF(MONTH(TODAY())=5,SUM(T1117:W1117),IF(MONTH(TODAY())=6,SUM(T1117:X1117),IF(MONTH(TODAY())=7,SUM(T1117:Y1117),IF(MONTH(TODAY())=8,SUM(T1117:Z1117),IF(MONTH(TODAY())=9,SUM(T1117:AA1117),IF(MONTH(TODAY())=10,SUM(T1117:AB1117),IF(MONTH(TODAY())=11,SUM(T1117:AC1117),IF(MONTH(TODAY())=12,SUM(T1117:AD1117),IF(MONTH(TODAY())=1,SUM(T1117:AE1117),T1117)))))))))))</f>
        <v>67</v>
      </c>
      <c r="AT1117" s="95">
        <f>SUM(IF(AW1117&lt;1.15,AG1117,1.15*T1117),IF(AX1117&lt;1.15,AH1117,1.15*U1117),IF(AY1117&lt;1.15,AI1117,1.15*V1117),IF(AZ1117&lt;1.15,AJ1117,1.15*W1117),IF(BA1117&lt;1.15,AK1117,1.15*X1117),IF(BB1117&lt;1.15,AL1117,1.15*Y1117),IF(BC1117&lt;1.15,AM1117,1.15*Z1117),IF(BD1117&lt;1.15,AN1117,1.15*AA1117),IF(BE1117&lt;1.15,AO1117,1.15*AB1117),IF(BF1117&lt;1.15,AP1117,1.15*AC1117),IF(BG1117&lt;1.15,AQ1117,1.15*AD1117),IF(BH1117&lt;1.15,AR1117,1.15*AE1117))</f>
        <v>58.5</v>
      </c>
      <c r="AU1117" s="97">
        <f>SUM(AG1117:AR1117)</f>
        <v>96</v>
      </c>
      <c r="AW1117" s="51">
        <f>IFERROR(IF(AG1117="",0,AG1117/T1117),0)</f>
        <v>1</v>
      </c>
      <c r="AX1117" s="51">
        <f>IFERROR(IF(AH1117="",0,AH1117/U1117),0)</f>
        <v>1</v>
      </c>
      <c r="AY1117" s="51">
        <f>IFERROR(IF(AI1117="",0,AI1117/V1117),0)</f>
        <v>1</v>
      </c>
      <c r="AZ1117" s="51">
        <f>IFERROR(IF(AJ1117="",0,AJ1117/W1117),0)</f>
        <v>4.9000000000000004</v>
      </c>
      <c r="BA1117" s="51"/>
      <c r="BB1117" s="51"/>
      <c r="BC1117" s="51"/>
      <c r="BD1117" s="51"/>
      <c r="BE1117" s="51"/>
      <c r="BF1117" s="51"/>
      <c r="BG1117" s="51"/>
      <c r="BH1117" s="51"/>
      <c r="BI1117" s="65" cm="1">
        <f t="array" ref="BI1117">IFERROR(INDEX(AW1117:BH1117,1,MATCH(2,1/(AW1117:BH1117&lt;&gt;""))),"")</f>
        <v>4.9000000000000004</v>
      </c>
      <c r="BJ1117" s="68" cm="1">
        <f t="array" ref="BJ1117">IF(BM1117 = "", "",IFERROR(INDEX(AW1117:BH1117,1,MATCH(2,1/(AW1117:BH1117&lt;&gt;""),1)-1),""))</f>
        <v>1</v>
      </c>
      <c r="BK1117" s="58">
        <f>IF((IF(AW1117&gt;=115%,115%,AW1117) + IF(AX1117&gt;=115%,115%,AX1117) + IF(AY1117&gt;=160%,160%,AY1117) + (IF(AZ1117&gt;=115%,115%,AZ1117) + IF(BA1117&gt;=135%,135%,BA1117) + IF(BB1117&gt;=115%,115%,BB1117) + IF(BC1117&gt;=115%,115%,BC1117) + IF(BD1117&gt;=115%,115%,BD1117) + IF(BE1117&gt;=115%,115%,BE1117) + IF(BF1117&gt;=115%,115%,BF1117) + IF(BG1117&gt;=115%,115%,BG1117) + IF(BH1117&gt;=115%,115%,BH1117)))/_xlfn.XLOOKUP(F1117,Apuração!A:A,Apuração!B:B)&gt;=1.15,1.15,((IF(AZ1117&gt;=115%,115%,AZ1117) + IF(AX1117&gt;=115%,115%,AX1117) + IF(AY1117&gt;=160%,160%,AY1117) + (IF(AW1117&gt;=115%,115%,AW1117) + IF(BA1117&gt;=135%,135%,BA1117) + IF(BB1117&gt;=115%,115%,BB1117) + IF(BC1117&gt;=115%,115%,BC1117) + IF(BD1117&gt;=115%,115%,BD1117) + IF(BE1117&gt;=115%,115%,BE1117) + IF(BF1117&gt;=115%,115%,BF1117) + IF(BG1117&gt;=115%,115%,BG1117) + IF(BH1117&gt;=115%,115%,BH1117)))/_xlfn.XLOOKUP(F1117,Apuração!A:A,Apuração!B:B)))</f>
        <v>0.34583333333333338</v>
      </c>
      <c r="BL1117" s="58" cm="1">
        <f t="array" aca="1" ref="BL1117" ca="1">IF(SUM(IFERROR(IF(INDEX(AW1117:INDEX(AW1117:BH1117, MATCH(2, 1/(AW1117:BH1117&lt;&gt;""), 1)-1), ROW(INDIRECT("1:" &amp; MATCH(2, 1/(AW1117:BH1117&lt;&gt;""), 1)-1))) &gt;= 115%, 115%, INDEX(AW1117:INDEX(AW1117:BH1117, MATCH(2, 1/(AW1117:BH1117&lt;&gt;""), 1)-1), ROW(INDIRECT("1:" &amp; MATCH(2, 1/(AW1117:BH1117&lt;&gt;""), 1)-1)))), 0))/_xlfn.XLOOKUP(F1117,Apuração!A:A,Apuração!B:B)&gt;=1.15,1.15,SUM(IFERROR(IF(INDEX(AW1117:INDEX(AW1117:BH1117, MATCH(2, 1/(AW1117:BH1117&lt;&gt;""), 1)-1), ROW(INDIRECT("1:" &amp; MATCH(2, 1/(AW1117:BH1117&lt;&gt;""), 1)-1))) &gt;= 115%, 115%, INDEX(AW1117:INDEX(AW1117:BH1117, MATCH(2, 1/(AW1117:BH1117&lt;&gt;""), 1)-1), ROW(INDIRECT("1:" &amp; MATCH(2, 1/(AW1117:BH1117&lt;&gt;""), 1)-1)))), 0))/_xlfn.XLOOKUP(F1117,Apuração!A:A,Apuração!B:B))</f>
        <v>0.25</v>
      </c>
      <c r="BM1117" s="55" cm="1">
        <f t="array" ref="BM1117">IFERROR(
   INDEX($AW$1:$BH$1,
      _xlfn.AGGREGATE(14, 6, COLUMN($AW$1:$BH$1)/(AW1117:BH1117&lt;&gt;""), 2) - COLUMN($AW$1) + 1
   ),
"")</f>
        <v>46082</v>
      </c>
      <c r="BN1117" s="55" cm="1">
        <f t="array" ref="BN1117">IFERROR(INDEX($AW$1:$BH$1,1,MATCH(2,1/(AW1117:BH1117&lt;&gt;""))),"")</f>
        <v>46113</v>
      </c>
      <c r="BO1117" s="53">
        <f ca="1">IFERROR(_xlfn.XLOOKUP(F1117,Apuração!A:A,Apuração!C:C)/_xlfn.XLOOKUP(F1117,Apuração!A:A,Apuração!B:B),0)</f>
        <v>0.41666666666666669</v>
      </c>
      <c r="BP1117" s="53">
        <f ca="1">IFERROR(_xlfn.XLOOKUP(F1117,Apuração!A:A,Apuração!D:D)/_xlfn.XLOOKUP(F1117,Apuração!A:A,Apuração!B:B),0)</f>
        <v>0.33333333333333331</v>
      </c>
      <c r="BQ1117" s="53">
        <f ca="1">IF(BK1117&gt;=BO1117,0,_xlfn.XLOOKUP(F1117,Apuração!A:A,Apuração!B:B)*(BO1117 + (1/_xlfn.XLOOKUP(F1117,Apuração!A:A,Apuração!B:B)) - BK1117))</f>
        <v>1.8499999999999994</v>
      </c>
      <c r="BR1117" s="85">
        <f ca="1">IF(BQ1117=0,0,BQ1117*Z1117)</f>
        <v>18.499999999999993</v>
      </c>
      <c r="BS1117" s="53">
        <f ca="1">IFERROR((_xlfn.XLOOKUP(F1117,Apuração!A:A,Apuração!C:C)+1)/_xlfn.XLOOKUP(F1117,Apuração!A:A,Apuração!B:B),0)</f>
        <v>0.5</v>
      </c>
    </row>
    <row r="1118" spans="1:71" ht="25.95" hidden="1" customHeight="1" x14ac:dyDescent="0.3">
      <c r="A1118" s="3" t="s">
        <v>33</v>
      </c>
      <c r="B1118" s="4" t="s">
        <v>73</v>
      </c>
      <c r="C1118" s="5" t="s">
        <v>209</v>
      </c>
      <c r="D1118" s="5" t="s">
        <v>210</v>
      </c>
      <c r="E1118" s="4" t="str" cm="1">
        <f t="array" ref="E1118">_xlfn.IFS(
F1118 = "A partir de Abril", "Aguardando Execução na Distribuidora",
A1118 = "CAPACITAÇÃO", "Em execução no Corporativo",
TRUE, "Em Execução na Distribuidora"
)</f>
        <v>Em Execução na Distribuidora</v>
      </c>
      <c r="F1118" s="4" t="str" cm="1">
        <f t="array" ref="F1118">_xlfn.IFS(
AG1118 &lt;&gt; "", "Jan-Dez/26",
AH1118 &lt;&gt; "", "Fev-Dez/26",
AI1118 &lt;&gt; "", "Mar-Dez/26", AJ1118 &lt;&gt; "", "Abr-Dez/26",
TRUE, "A partir de Junho"
)</f>
        <v>Jan-Dez/26</v>
      </c>
      <c r="G1118" s="4" t="s">
        <v>37</v>
      </c>
      <c r="H1118" s="7" t="s">
        <v>54</v>
      </c>
      <c r="I1118" s="8" t="s">
        <v>55</v>
      </c>
      <c r="J1118" s="8" t="str" cm="1">
        <f t="array" aca="1" ref="J1118" ca="1">_xlfn.LET(
  _xlpm.actual_value_month, INDEX(T1118:AE1118, MATCH(DATE(YEAR(TODAY()), MONTH(TODAY()), 1), $T$1:$AE$1, 0)),
  IF(_xlpm.actual_value_month &lt;&gt; "",_xlpm.actual_value_month &amp; " eventos mensais", "")
)</f>
        <v>2 eventos mensais</v>
      </c>
      <c r="K1118" s="14" t="str" cm="1">
        <f t="array" ref="K1118">_xlfn.LET(
    _xlpm.sum_month, SUM(T1118:AE1118),
    IF(_xlpm.sum_month = 0, "", _xlpm.sum_month &amp; "  eventos no ano")
)</f>
        <v>37  eventos no ano</v>
      </c>
      <c r="L1118" s="9" t="s">
        <v>64</v>
      </c>
      <c r="M1118" s="13" t="s">
        <v>74</v>
      </c>
      <c r="N1118" s="5" t="s">
        <v>42</v>
      </c>
      <c r="O1118" s="5" t="s">
        <v>43</v>
      </c>
      <c r="P1118" s="10" t="s">
        <v>44</v>
      </c>
      <c r="Q1118" s="10" t="s">
        <v>75</v>
      </c>
      <c r="R1118" s="11" t="s">
        <v>44</v>
      </c>
      <c r="S1118" s="11" t="s">
        <v>44</v>
      </c>
      <c r="T1118" s="143">
        <v>2</v>
      </c>
      <c r="U1118" s="143">
        <v>5</v>
      </c>
      <c r="V1118" s="143">
        <v>12</v>
      </c>
      <c r="W1118" s="143">
        <v>2</v>
      </c>
      <c r="X1118" s="143">
        <v>2</v>
      </c>
      <c r="Y1118" s="143">
        <v>2</v>
      </c>
      <c r="Z1118" s="143">
        <v>2</v>
      </c>
      <c r="AA1118" s="143">
        <v>2</v>
      </c>
      <c r="AB1118" s="143">
        <v>2</v>
      </c>
      <c r="AC1118" s="143">
        <v>2</v>
      </c>
      <c r="AD1118" s="143">
        <v>2</v>
      </c>
      <c r="AE1118" s="143">
        <v>2</v>
      </c>
      <c r="AG1118" s="145">
        <v>2</v>
      </c>
      <c r="AH1118" s="149">
        <v>5</v>
      </c>
      <c r="AI1118" s="149">
        <v>12</v>
      </c>
      <c r="AJ1118" s="145">
        <v>35</v>
      </c>
      <c r="AK1118" s="71"/>
      <c r="AL1118" s="71"/>
      <c r="AM1118" s="71"/>
      <c r="AN1118" s="71"/>
      <c r="AO1118" s="71"/>
      <c r="AP1118" s="71"/>
      <c r="AQ1118" s="71"/>
      <c r="AR1118" s="71"/>
      <c r="AS1118" s="94">
        <f t="shared" ref="AS1118:AS1122" ca="1" si="1295">IF(MONTH(TODAY())=3,SUM(T1118:U1118),IF(MONTH(TODAY())=4,SUM(T1118:V1118),IF(MONTH(TODAY())=5,SUM(T1118:W1118),IF(MONTH(TODAY())=6,SUM(T1118:X1118),IF(MONTH(TODAY())=7,SUM(T1118:Y1118),IF(MONTH(TODAY())=8,SUM(T1118:Z1118),IF(MONTH(TODAY())=9,SUM(T1118:AA1118),IF(MONTH(TODAY())=10,SUM(T1118:AB1118),IF(MONTH(TODAY())=11,SUM(T1118:AC1118),IF(MONTH(TODAY())=12,SUM(T1118:AD1118),IF(MONTH(TODAY())=1,SUM(T1118:AE1118),T1118)))))))))))</f>
        <v>23</v>
      </c>
      <c r="AT1118" s="95">
        <f t="shared" ref="AT1118:AT1122" si="1296">SUM(IF(AW1118&lt;1.15,AG1118,1.15*T1118),IF(AX1118&lt;1.15,AH1118,1.15*U1118),IF(AY1118&lt;1.15,AI1118,1.15*V1118),IF(AZ1118&lt;1.15,AJ1118,1.15*W1118),IF(BA1118&lt;1.15,AK1118,1.15*X1118),IF(BB1118&lt;1.15,AL1118,1.15*Y1118),IF(BC1118&lt;1.15,AM1118,1.15*Z1118),IF(BD1118&lt;1.15,AN1118,1.15*AA1118),IF(BE1118&lt;1.15,AO1118,1.15*AB1118),IF(BF1118&lt;1.15,AP1118,1.15*AC1118),IF(BG1118&lt;1.15,AQ1118,1.15*AD1118),IF(BH1118&lt;1.15,AR1118,1.15*AE1118))</f>
        <v>21.3</v>
      </c>
      <c r="AU1118" s="97">
        <f t="shared" ref="AU1118:AU1122" si="1297">SUM(AG1118:AR1118)</f>
        <v>54</v>
      </c>
      <c r="AW1118" s="51">
        <f t="shared" ref="AW1118:AW1122" si="1298">IFERROR(IF(AG1118="",0,AG1118/T1118),0)</f>
        <v>1</v>
      </c>
      <c r="AX1118" s="51">
        <f t="shared" ref="AX1118:AX1122" si="1299">IFERROR(IF(AH1118="",0,AH1118/U1118),0)</f>
        <v>1</v>
      </c>
      <c r="AY1118" s="51">
        <f t="shared" ref="AY1118:AY1122" si="1300">IFERROR(IF(AI1118="",0,AI1118/V1118),0)</f>
        <v>1</v>
      </c>
      <c r="AZ1118" s="51">
        <f t="shared" ref="AZ1118:AZ1122" si="1301">IFERROR(IF(AJ1118="",0,AJ1118/W1118),0)</f>
        <v>17.5</v>
      </c>
      <c r="BA1118" s="51"/>
      <c r="BB1118" s="51"/>
      <c r="BC1118" s="51"/>
      <c r="BD1118" s="51"/>
      <c r="BE1118" s="51"/>
      <c r="BF1118" s="51"/>
      <c r="BG1118" s="51"/>
      <c r="BH1118" s="51"/>
      <c r="BI1118" s="65" cm="1">
        <f t="array" ref="BI1118">IFERROR(INDEX(AW1118:BH1118,1,MATCH(2,1/(AW1118:BH1118&lt;&gt;""))),"")</f>
        <v>17.5</v>
      </c>
      <c r="BJ1118" s="68" cm="1">
        <f t="array" ref="BJ1118">IF(BM1118 = "", "",IFERROR(INDEX(AW1118:BH1118,1,MATCH(2,1/(AW1118:BH1118&lt;&gt;""),1)-1),""))</f>
        <v>1</v>
      </c>
      <c r="BK1118" s="58">
        <f>IF((IF(AW1118&gt;=115%,115%,AW1118) + IF(AX1118&gt;=115%,115%,AX1118) + IF(AY1118&gt;=160%,160%,AY1118) + (IF(AZ1118&gt;=115%,115%,AZ1118) + IF(BA1118&gt;=135%,135%,BA1118) + IF(BB1118&gt;=115%,115%,BB1118) + IF(BC1118&gt;=115%,115%,BC1118) + IF(BD1118&gt;=115%,115%,BD1118) + IF(BE1118&gt;=115%,115%,BE1118) + IF(BF1118&gt;=115%,115%,BF1118) + IF(BG1118&gt;=115%,115%,BG1118) + IF(BH1118&gt;=115%,115%,BH1118)))/_xlfn.XLOOKUP(F1118,Apuração!A:A,Apuração!B:B)&gt;=1.15,1.15,((IF(AZ1118&gt;=115%,115%,AZ1118) + IF(AX1118&gt;=115%,115%,AX1118) + IF(AY1118&gt;=160%,160%,AY1118) + (IF(AW1118&gt;=115%,115%,AW1118) + IF(BA1118&gt;=135%,135%,BA1118) + IF(BB1118&gt;=115%,115%,BB1118) + IF(BC1118&gt;=115%,115%,BC1118) + IF(BD1118&gt;=115%,115%,BD1118) + IF(BE1118&gt;=115%,115%,BE1118) + IF(BF1118&gt;=115%,115%,BF1118) + IF(BG1118&gt;=115%,115%,BG1118) + IF(BH1118&gt;=115%,115%,BH1118)))/_xlfn.XLOOKUP(F1118,Apuração!A:A,Apuração!B:B)))</f>
        <v>0.34583333333333338</v>
      </c>
      <c r="BL1118" s="58" cm="1">
        <f t="array" aca="1" ref="BL1118" ca="1">IF(SUM(IFERROR(IF(INDEX(AW1118:INDEX(AW1118:BH1118, MATCH(2, 1/(AW1118:BH1118&lt;&gt;""), 1)-1), ROW(INDIRECT("1:" &amp; MATCH(2, 1/(AW1118:BH1118&lt;&gt;""), 1)-1))) &gt;= 115%, 115%, INDEX(AW1118:INDEX(AW1118:BH1118, MATCH(2, 1/(AW1118:BH1118&lt;&gt;""), 1)-1), ROW(INDIRECT("1:" &amp; MATCH(2, 1/(AW1118:BH1118&lt;&gt;""), 1)-1)))), 0))/_xlfn.XLOOKUP(F1118,Apuração!A:A,Apuração!B:B)&gt;=1.15,1.15,SUM(IFERROR(IF(INDEX(AW1118:INDEX(AW1118:BH1118, MATCH(2, 1/(AW1118:BH1118&lt;&gt;""), 1)-1), ROW(INDIRECT("1:" &amp; MATCH(2, 1/(AW1118:BH1118&lt;&gt;""), 1)-1))) &gt;= 115%, 115%, INDEX(AW1118:INDEX(AW1118:BH1118, MATCH(2, 1/(AW1118:BH1118&lt;&gt;""), 1)-1), ROW(INDIRECT("1:" &amp; MATCH(2, 1/(AW1118:BH1118&lt;&gt;""), 1)-1)))), 0))/_xlfn.XLOOKUP(F1118,Apuração!A:A,Apuração!B:B))</f>
        <v>0.25</v>
      </c>
      <c r="BM1118" s="55" cm="1">
        <f t="array" ref="BM1118">IFERROR(
   INDEX($AW$1:$BH$1,
      _xlfn.AGGREGATE(14, 6, COLUMN($AW$1:$BH$1)/(AW1118:BH1118&lt;&gt;""), 2) - COLUMN($AW$1) + 1
   ),
"")</f>
        <v>46082</v>
      </c>
      <c r="BN1118" s="55" cm="1">
        <f t="array" ref="BN1118">IFERROR(INDEX($AW$1:$BH$1,1,MATCH(2,1/(AW1118:BH1118&lt;&gt;""))),"")</f>
        <v>46113</v>
      </c>
      <c r="BO1118" s="53">
        <f ca="1">IFERROR(_xlfn.XLOOKUP(F1118,Apuração!A:A,Apuração!C:C)/_xlfn.XLOOKUP(F1118,Apuração!A:A,Apuração!B:B),0)</f>
        <v>0.41666666666666669</v>
      </c>
      <c r="BP1118" s="53">
        <f ca="1">IFERROR(_xlfn.XLOOKUP(F1118,Apuração!A:A,Apuração!D:D)/_xlfn.XLOOKUP(F1118,Apuração!A:A,Apuração!B:B),0)</f>
        <v>0.33333333333333331</v>
      </c>
      <c r="BQ1118" s="53">
        <f ca="1">IF(BK1118&gt;=BO1118,0,_xlfn.XLOOKUP(F1118,Apuração!A:A,Apuração!B:B)*(BO1118 + (1/_xlfn.XLOOKUP(F1118,Apuração!A:A,Apuração!B:B)) - BK1118))</f>
        <v>1.8499999999999994</v>
      </c>
      <c r="BR1118" s="85">
        <f t="shared" ref="BR1118:BR1122" ca="1" si="1302">IF(BQ1118=0,0,BQ1118*Z1118)</f>
        <v>3.6999999999999988</v>
      </c>
      <c r="BS1118" s="53">
        <f ca="1">IFERROR((_xlfn.XLOOKUP(F1118,Apuração!A:A,Apuração!C:C)+1)/_xlfn.XLOOKUP(F1118,Apuração!A:A,Apuração!B:B),0)</f>
        <v>0.5</v>
      </c>
    </row>
    <row r="1119" spans="1:71" ht="25.95" hidden="1" customHeight="1" x14ac:dyDescent="0.3">
      <c r="A1119" s="3" t="s">
        <v>33</v>
      </c>
      <c r="B1119" s="4" t="s">
        <v>73</v>
      </c>
      <c r="C1119" s="5" t="s">
        <v>209</v>
      </c>
      <c r="D1119" s="5" t="s">
        <v>47</v>
      </c>
      <c r="E1119" s="4" t="str" cm="1">
        <f t="array" ref="E1119">_xlfn.IFS(
F1119 = "A partir de Abril", "Aguardando Execução na Distribuidora",
A1119 = "CAPACITAÇÃO", "Em execução no Corporativo",
TRUE, "Em Execução na Distribuidora"
)</f>
        <v>Em Execução na Distribuidora</v>
      </c>
      <c r="F1119" s="4" t="str" cm="1">
        <f t="array" ref="F1119">_xlfn.IFS(
AG1119 &lt;&gt; "", "Jan-Dez/26",
AH1119 &lt;&gt; "", "Fev-Dez/26",
AI1119 &lt;&gt; "", "Mar-Dez/26", AJ1119 &lt;&gt; "", "Abr-Dez/26",
TRUE, "A partir de Junho"
)</f>
        <v>Jan-Dez/26</v>
      </c>
      <c r="G1119" s="4" t="s">
        <v>37</v>
      </c>
      <c r="H1119" s="7" t="s">
        <v>54</v>
      </c>
      <c r="I1119" s="8" t="s">
        <v>55</v>
      </c>
      <c r="J1119" s="8" t="str" cm="1">
        <f t="array" aca="1" ref="J1119" ca="1">_xlfn.LET(
  _xlpm.actual_value_month, INDEX(T1119:AE1119, MATCH(DATE(YEAR(TODAY()), MONTH(TODAY()), 1), $T$1:$AE$1, 0)),
  IF(_xlpm.actual_value_month &lt;&gt; "",_xlpm.actual_value_month &amp; " eventos mensais", "")
)</f>
        <v>2 eventos mensais</v>
      </c>
      <c r="K1119" s="14" t="str" cm="1">
        <f t="array" ref="K1119">_xlfn.LET(
    _xlpm.sum_month, SUM(T1119:AE1119),
    IF(_xlpm.sum_month = 0, "", _xlpm.sum_month &amp; "  eventos no ano")
)</f>
        <v>28  eventos no ano</v>
      </c>
      <c r="L1119" s="9" t="s">
        <v>64</v>
      </c>
      <c r="M1119" s="13" t="s">
        <v>74</v>
      </c>
      <c r="N1119" s="5" t="s">
        <v>42</v>
      </c>
      <c r="O1119" s="5" t="s">
        <v>43</v>
      </c>
      <c r="P1119" s="10" t="s">
        <v>44</v>
      </c>
      <c r="Q1119" s="10" t="s">
        <v>75</v>
      </c>
      <c r="R1119" s="11" t="s">
        <v>44</v>
      </c>
      <c r="S1119" s="11" t="s">
        <v>44</v>
      </c>
      <c r="T1119" s="143">
        <v>0</v>
      </c>
      <c r="U1119" s="143">
        <v>6</v>
      </c>
      <c r="V1119" s="143">
        <v>4</v>
      </c>
      <c r="W1119" s="143">
        <v>2</v>
      </c>
      <c r="X1119" s="143">
        <v>2</v>
      </c>
      <c r="Y1119" s="143">
        <v>2</v>
      </c>
      <c r="Z1119" s="143">
        <v>2</v>
      </c>
      <c r="AA1119" s="143">
        <v>2</v>
      </c>
      <c r="AB1119" s="143">
        <v>2</v>
      </c>
      <c r="AC1119" s="143">
        <v>2</v>
      </c>
      <c r="AD1119" s="143">
        <v>2</v>
      </c>
      <c r="AE1119" s="143">
        <v>2</v>
      </c>
      <c r="AG1119" s="146">
        <v>0</v>
      </c>
      <c r="AH1119" s="150">
        <v>6</v>
      </c>
      <c r="AI1119" s="150">
        <v>4</v>
      </c>
      <c r="AJ1119" s="146">
        <v>2</v>
      </c>
      <c r="AK1119" s="71"/>
      <c r="AL1119" s="71"/>
      <c r="AM1119" s="71"/>
      <c r="AN1119" s="71"/>
      <c r="AO1119" s="71"/>
      <c r="AP1119" s="71"/>
      <c r="AQ1119" s="71"/>
      <c r="AR1119" s="71"/>
      <c r="AS1119" s="94">
        <f t="shared" ca="1" si="1295"/>
        <v>14</v>
      </c>
      <c r="AT1119" s="95">
        <f t="shared" si="1296"/>
        <v>12</v>
      </c>
      <c r="AU1119" s="97">
        <f t="shared" si="1297"/>
        <v>12</v>
      </c>
      <c r="AW1119" s="51">
        <f t="shared" si="1298"/>
        <v>0</v>
      </c>
      <c r="AX1119" s="51">
        <f t="shared" si="1299"/>
        <v>1</v>
      </c>
      <c r="AY1119" s="51">
        <f t="shared" si="1300"/>
        <v>1</v>
      </c>
      <c r="AZ1119" s="51">
        <f t="shared" si="1301"/>
        <v>1</v>
      </c>
      <c r="BA1119" s="51"/>
      <c r="BB1119" s="51"/>
      <c r="BC1119" s="51"/>
      <c r="BD1119" s="51"/>
      <c r="BE1119" s="51"/>
      <c r="BF1119" s="51"/>
      <c r="BG1119" s="51"/>
      <c r="BH1119" s="51"/>
      <c r="BI1119" s="65" cm="1">
        <f t="array" ref="BI1119">IFERROR(INDEX(AW1119:BH1119,1,MATCH(2,1/(AW1119:BH1119&lt;&gt;""))),"")</f>
        <v>1</v>
      </c>
      <c r="BJ1119" s="68" cm="1">
        <f t="array" ref="BJ1119">IF(BM1119 = "", "",IFERROR(INDEX(AW1119:BH1119,1,MATCH(2,1/(AW1119:BH1119&lt;&gt;""),1)-1),""))</f>
        <v>1</v>
      </c>
      <c r="BK1119" s="58">
        <f>IF((IF(AW1119&gt;=115%,115%,AW1119) + IF(AX1119&gt;=115%,115%,AX1119) + IF(AY1119&gt;=160%,160%,AY1119) + (IF(AZ1119&gt;=115%,115%,AZ1119) + IF(BA1119&gt;=135%,135%,BA1119) + IF(BB1119&gt;=115%,115%,BB1119) + IF(BC1119&gt;=115%,115%,BC1119) + IF(BD1119&gt;=115%,115%,BD1119) + IF(BE1119&gt;=115%,115%,BE1119) + IF(BF1119&gt;=115%,115%,BF1119) + IF(BG1119&gt;=115%,115%,BG1119) + IF(BH1119&gt;=115%,115%,BH1119)))/_xlfn.XLOOKUP(F1119,Apuração!A:A,Apuração!B:B)&gt;=1.15,1.15,((IF(AZ1119&gt;=115%,115%,AZ1119) + IF(AX1119&gt;=115%,115%,AX1119) + IF(AY1119&gt;=160%,160%,AY1119) + (IF(AW1119&gt;=115%,115%,AW1119) + IF(BA1119&gt;=135%,135%,BA1119) + IF(BB1119&gt;=115%,115%,BB1119) + IF(BC1119&gt;=115%,115%,BC1119) + IF(BD1119&gt;=115%,115%,BD1119) + IF(BE1119&gt;=115%,115%,BE1119) + IF(BF1119&gt;=115%,115%,BF1119) + IF(BG1119&gt;=115%,115%,BG1119) + IF(BH1119&gt;=115%,115%,BH1119)))/_xlfn.XLOOKUP(F1119,Apuração!A:A,Apuração!B:B)))</f>
        <v>0.25</v>
      </c>
      <c r="BL1119" s="58" cm="1">
        <f t="array" aca="1" ref="BL1119" ca="1">IF(SUM(IFERROR(IF(INDEX(AW1119:INDEX(AW1119:BH1119, MATCH(2, 1/(AW1119:BH1119&lt;&gt;""), 1)-1), ROW(INDIRECT("1:" &amp; MATCH(2, 1/(AW1119:BH1119&lt;&gt;""), 1)-1))) &gt;= 115%, 115%, INDEX(AW1119:INDEX(AW1119:BH1119, MATCH(2, 1/(AW1119:BH1119&lt;&gt;""), 1)-1), ROW(INDIRECT("1:" &amp; MATCH(2, 1/(AW1119:BH1119&lt;&gt;""), 1)-1)))), 0))/_xlfn.XLOOKUP(F1119,Apuração!A:A,Apuração!B:B)&gt;=1.15,1.15,SUM(IFERROR(IF(INDEX(AW1119:INDEX(AW1119:BH1119, MATCH(2, 1/(AW1119:BH1119&lt;&gt;""), 1)-1), ROW(INDIRECT("1:" &amp; MATCH(2, 1/(AW1119:BH1119&lt;&gt;""), 1)-1))) &gt;= 115%, 115%, INDEX(AW1119:INDEX(AW1119:BH1119, MATCH(2, 1/(AW1119:BH1119&lt;&gt;""), 1)-1), ROW(INDIRECT("1:" &amp; MATCH(2, 1/(AW1119:BH1119&lt;&gt;""), 1)-1)))), 0))/_xlfn.XLOOKUP(F1119,Apuração!A:A,Apuração!B:B))</f>
        <v>0.16666666666666666</v>
      </c>
      <c r="BM1119" s="55" cm="1">
        <f t="array" ref="BM1119">IFERROR(
   INDEX($AW$1:$BH$1,
      _xlfn.AGGREGATE(14, 6, COLUMN($AW$1:$BH$1)/(AW1119:BH1119&lt;&gt;""), 2) - COLUMN($AW$1) + 1
   ),
"")</f>
        <v>46082</v>
      </c>
      <c r="BN1119" s="55" cm="1">
        <f t="array" ref="BN1119">IFERROR(INDEX($AW$1:$BH$1,1,MATCH(2,1/(AW1119:BH1119&lt;&gt;""))),"")</f>
        <v>46113</v>
      </c>
      <c r="BO1119" s="53">
        <f ca="1">IFERROR(_xlfn.XLOOKUP(F1119,Apuração!A:A,Apuração!C:C)/_xlfn.XLOOKUP(F1119,Apuração!A:A,Apuração!B:B),0)</f>
        <v>0.41666666666666669</v>
      </c>
      <c r="BP1119" s="53">
        <f ca="1">IFERROR(_xlfn.XLOOKUP(F1119,Apuração!A:A,Apuração!D:D)/_xlfn.XLOOKUP(F1119,Apuração!A:A,Apuração!B:B),0)</f>
        <v>0.33333333333333331</v>
      </c>
      <c r="BQ1119" s="53">
        <f ca="1">IF(BK1119&gt;=BO1119,0,_xlfn.XLOOKUP(F1119,Apuração!A:A,Apuração!B:B)*(BO1119 + (1/_xlfn.XLOOKUP(F1119,Apuração!A:A,Apuração!B:B)) - BK1119))</f>
        <v>3</v>
      </c>
      <c r="BR1119" s="85">
        <f t="shared" ca="1" si="1302"/>
        <v>6</v>
      </c>
      <c r="BS1119" s="53">
        <f ca="1">IFERROR((_xlfn.XLOOKUP(F1119,Apuração!A:A,Apuração!C:C)+1)/_xlfn.XLOOKUP(F1119,Apuração!A:A,Apuração!B:B),0)</f>
        <v>0.5</v>
      </c>
    </row>
    <row r="1120" spans="1:71" ht="25.95" hidden="1" customHeight="1" x14ac:dyDescent="0.3">
      <c r="A1120" s="3" t="s">
        <v>33</v>
      </c>
      <c r="B1120" s="4" t="s">
        <v>73</v>
      </c>
      <c r="C1120" s="5" t="s">
        <v>209</v>
      </c>
      <c r="D1120" s="5" t="s">
        <v>211</v>
      </c>
      <c r="E1120" s="4" t="str" cm="1">
        <f t="array" ref="E1120">_xlfn.IFS(
F1120 = "A partir de Abril", "Aguardando Execução na Distribuidora",
A1120 = "CAPACITAÇÃO", "Em execução no Corporativo",
TRUE, "Em Execução na Distribuidora"
)</f>
        <v>Em Execução na Distribuidora</v>
      </c>
      <c r="F1120" s="4" t="str" cm="1">
        <f t="array" ref="F1120">_xlfn.IFS(
AG1120 &lt;&gt; "", "Jan-Dez/26",
AH1120 &lt;&gt; "", "Fev-Dez/26",
AI1120 &lt;&gt; "", "Mar-Dez/26", AJ1120 &lt;&gt; "", "Abr-Dez/26",
TRUE, "A partir de Junho"
)</f>
        <v>Jan-Dez/26</v>
      </c>
      <c r="G1120" s="4" t="s">
        <v>37</v>
      </c>
      <c r="H1120" s="7" t="s">
        <v>54</v>
      </c>
      <c r="I1120" s="8" t="s">
        <v>55</v>
      </c>
      <c r="J1120" s="8" t="str" cm="1">
        <f t="array" aca="1" ref="J1120" ca="1">_xlfn.LET(
  _xlpm.actual_value_month, INDEX(T1120:AE1120, MATCH(DATE(YEAR(TODAY()), MONTH(TODAY()), 1), $T$1:$AE$1, 0)),
  IF(_xlpm.actual_value_month &lt;&gt; "",_xlpm.actual_value_month &amp; " eventos mensais", "")
)</f>
        <v>2 eventos mensais</v>
      </c>
      <c r="K1120" s="14" t="str" cm="1">
        <f t="array" ref="K1120">_xlfn.LET(
    _xlpm.sum_month, SUM(T1120:AE1120),
    IF(_xlpm.sum_month = 0, "", _xlpm.sum_month &amp; "  eventos no ano")
)</f>
        <v>22  eventos no ano</v>
      </c>
      <c r="L1120" s="9" t="s">
        <v>64</v>
      </c>
      <c r="M1120" s="13" t="s">
        <v>74</v>
      </c>
      <c r="N1120" s="5" t="s">
        <v>42</v>
      </c>
      <c r="O1120" s="5" t="s">
        <v>43</v>
      </c>
      <c r="P1120" s="10" t="s">
        <v>44</v>
      </c>
      <c r="Q1120" s="10" t="s">
        <v>75</v>
      </c>
      <c r="R1120" s="11" t="s">
        <v>44</v>
      </c>
      <c r="S1120" s="11" t="s">
        <v>44</v>
      </c>
      <c r="T1120" s="143">
        <v>0</v>
      </c>
      <c r="U1120" s="143">
        <v>1</v>
      </c>
      <c r="V1120" s="143">
        <v>3</v>
      </c>
      <c r="W1120" s="143">
        <v>2</v>
      </c>
      <c r="X1120" s="143">
        <v>2</v>
      </c>
      <c r="Y1120" s="143">
        <v>2</v>
      </c>
      <c r="Z1120" s="143">
        <v>2</v>
      </c>
      <c r="AA1120" s="143">
        <v>2</v>
      </c>
      <c r="AB1120" s="143">
        <v>2</v>
      </c>
      <c r="AC1120" s="143">
        <v>2</v>
      </c>
      <c r="AD1120" s="143">
        <v>2</v>
      </c>
      <c r="AE1120" s="143">
        <v>2</v>
      </c>
      <c r="AG1120" s="146">
        <v>0</v>
      </c>
      <c r="AH1120" s="150">
        <v>1</v>
      </c>
      <c r="AI1120" s="150">
        <v>3</v>
      </c>
      <c r="AJ1120" s="146">
        <v>3</v>
      </c>
      <c r="AK1120" s="71"/>
      <c r="AL1120" s="71"/>
      <c r="AM1120" s="71"/>
      <c r="AN1120" s="71"/>
      <c r="AO1120" s="71"/>
      <c r="AP1120" s="71"/>
      <c r="AQ1120" s="71"/>
      <c r="AR1120" s="71"/>
      <c r="AS1120" s="94">
        <f t="shared" ca="1" si="1295"/>
        <v>8</v>
      </c>
      <c r="AT1120" s="95">
        <f t="shared" si="1296"/>
        <v>6.3</v>
      </c>
      <c r="AU1120" s="97">
        <f t="shared" si="1297"/>
        <v>7</v>
      </c>
      <c r="AW1120" s="51">
        <f t="shared" si="1298"/>
        <v>0</v>
      </c>
      <c r="AX1120" s="51">
        <f t="shared" si="1299"/>
        <v>1</v>
      </c>
      <c r="AY1120" s="51">
        <f t="shared" si="1300"/>
        <v>1</v>
      </c>
      <c r="AZ1120" s="51">
        <f t="shared" si="1301"/>
        <v>1.5</v>
      </c>
      <c r="BA1120" s="51"/>
      <c r="BB1120" s="51"/>
      <c r="BC1120" s="51"/>
      <c r="BD1120" s="51"/>
      <c r="BE1120" s="51"/>
      <c r="BF1120" s="51"/>
      <c r="BG1120" s="51"/>
      <c r="BH1120" s="51"/>
      <c r="BI1120" s="65" cm="1">
        <f t="array" ref="BI1120">IFERROR(INDEX(AW1120:BH1120,1,MATCH(2,1/(AW1120:BH1120&lt;&gt;""))),"")</f>
        <v>1.5</v>
      </c>
      <c r="BJ1120" s="68" cm="1">
        <f t="array" ref="BJ1120">IF(BM1120 = "", "",IFERROR(INDEX(AW1120:BH1120,1,MATCH(2,1/(AW1120:BH1120&lt;&gt;""),1)-1),""))</f>
        <v>1</v>
      </c>
      <c r="BK1120" s="58">
        <f>IF((IF(AW1120&gt;=115%,115%,AW1120) + IF(AX1120&gt;=115%,115%,AX1120) + IF(AY1120&gt;=160%,160%,AY1120) + (IF(AZ1120&gt;=115%,115%,AZ1120) + IF(BA1120&gt;=135%,135%,BA1120) + IF(BB1120&gt;=115%,115%,BB1120) + IF(BC1120&gt;=115%,115%,BC1120) + IF(BD1120&gt;=115%,115%,BD1120) + IF(BE1120&gt;=115%,115%,BE1120) + IF(BF1120&gt;=115%,115%,BF1120) + IF(BG1120&gt;=115%,115%,BG1120) + IF(BH1120&gt;=115%,115%,BH1120)))/_xlfn.XLOOKUP(F1120,Apuração!A:A,Apuração!B:B)&gt;=1.15,1.15,((IF(AZ1120&gt;=115%,115%,AZ1120) + IF(AX1120&gt;=115%,115%,AX1120) + IF(AY1120&gt;=160%,160%,AY1120) + (IF(AW1120&gt;=115%,115%,AW1120) + IF(BA1120&gt;=135%,135%,BA1120) + IF(BB1120&gt;=115%,115%,BB1120) + IF(BC1120&gt;=115%,115%,BC1120) + IF(BD1120&gt;=115%,115%,BD1120) + IF(BE1120&gt;=115%,115%,BE1120) + IF(BF1120&gt;=115%,115%,BF1120) + IF(BG1120&gt;=115%,115%,BG1120) + IF(BH1120&gt;=115%,115%,BH1120)))/_xlfn.XLOOKUP(F1120,Apuração!A:A,Apuração!B:B)))</f>
        <v>0.26250000000000001</v>
      </c>
      <c r="BL1120" s="58" cm="1">
        <f t="array" aca="1" ref="BL1120" ca="1">IF(SUM(IFERROR(IF(INDEX(AW1120:INDEX(AW1120:BH1120, MATCH(2, 1/(AW1120:BH1120&lt;&gt;""), 1)-1), ROW(INDIRECT("1:" &amp; MATCH(2, 1/(AW1120:BH1120&lt;&gt;""), 1)-1))) &gt;= 115%, 115%, INDEX(AW1120:INDEX(AW1120:BH1120, MATCH(2, 1/(AW1120:BH1120&lt;&gt;""), 1)-1), ROW(INDIRECT("1:" &amp; MATCH(2, 1/(AW1120:BH1120&lt;&gt;""), 1)-1)))), 0))/_xlfn.XLOOKUP(F1120,Apuração!A:A,Apuração!B:B)&gt;=1.15,1.15,SUM(IFERROR(IF(INDEX(AW1120:INDEX(AW1120:BH1120, MATCH(2, 1/(AW1120:BH1120&lt;&gt;""), 1)-1), ROW(INDIRECT("1:" &amp; MATCH(2, 1/(AW1120:BH1120&lt;&gt;""), 1)-1))) &gt;= 115%, 115%, INDEX(AW1120:INDEX(AW1120:BH1120, MATCH(2, 1/(AW1120:BH1120&lt;&gt;""), 1)-1), ROW(INDIRECT("1:" &amp; MATCH(2, 1/(AW1120:BH1120&lt;&gt;""), 1)-1)))), 0))/_xlfn.XLOOKUP(F1120,Apuração!A:A,Apuração!B:B))</f>
        <v>0.16666666666666666</v>
      </c>
      <c r="BM1120" s="55" cm="1">
        <f t="array" ref="BM1120">IFERROR(
   INDEX($AW$1:$BH$1,
      _xlfn.AGGREGATE(14, 6, COLUMN($AW$1:$BH$1)/(AW1120:BH1120&lt;&gt;""), 2) - COLUMN($AW$1) + 1
   ),
"")</f>
        <v>46082</v>
      </c>
      <c r="BN1120" s="55" cm="1">
        <f t="array" ref="BN1120">IFERROR(INDEX($AW$1:$BH$1,1,MATCH(2,1/(AW1120:BH1120&lt;&gt;""))),"")</f>
        <v>46113</v>
      </c>
      <c r="BO1120" s="53">
        <f ca="1">IFERROR(_xlfn.XLOOKUP(F1120,Apuração!A:A,Apuração!C:C)/_xlfn.XLOOKUP(F1120,Apuração!A:A,Apuração!B:B),0)</f>
        <v>0.41666666666666669</v>
      </c>
      <c r="BP1120" s="53">
        <f ca="1">IFERROR(_xlfn.XLOOKUP(F1120,Apuração!A:A,Apuração!D:D)/_xlfn.XLOOKUP(F1120,Apuração!A:A,Apuração!B:B),0)</f>
        <v>0.33333333333333331</v>
      </c>
      <c r="BQ1120" s="53">
        <f ca="1">IF(BK1120&gt;=BO1120,0,_xlfn.XLOOKUP(F1120,Apuração!A:A,Apuração!B:B)*(BO1120 + (1/_xlfn.XLOOKUP(F1120,Apuração!A:A,Apuração!B:B)) - BK1120))</f>
        <v>2.8499999999999996</v>
      </c>
      <c r="BR1120" s="85">
        <f t="shared" ca="1" si="1302"/>
        <v>5.6999999999999993</v>
      </c>
      <c r="BS1120" s="53">
        <f ca="1">IFERROR((_xlfn.XLOOKUP(F1120,Apuração!A:A,Apuração!C:C)+1)/_xlfn.XLOOKUP(F1120,Apuração!A:A,Apuração!B:B),0)</f>
        <v>0.5</v>
      </c>
    </row>
    <row r="1121" spans="1:71" ht="25.95" hidden="1" customHeight="1" x14ac:dyDescent="0.3">
      <c r="A1121" s="3" t="s">
        <v>33</v>
      </c>
      <c r="B1121" s="4" t="s">
        <v>73</v>
      </c>
      <c r="C1121" s="5" t="s">
        <v>209</v>
      </c>
      <c r="D1121" s="5" t="s">
        <v>212</v>
      </c>
      <c r="E1121" s="4" t="str" cm="1">
        <f t="array" ref="E1121">_xlfn.IFS(
F1121 = "A partir de Abril", "Aguardando Execução na Distribuidora",
A1121 = "CAPACITAÇÃO", "Em execução no Corporativo",
TRUE, "Em Execução na Distribuidora"
)</f>
        <v>Em Execução na Distribuidora</v>
      </c>
      <c r="F1121" s="4" t="str" cm="1">
        <f t="array" ref="F1121">_xlfn.IFS(
AG1121 &lt;&gt; "", "Jan-Dez/26",
AH1121 &lt;&gt; "", "Fev-Dez/26",
AI1121 &lt;&gt; "", "Mar-Dez/26", AJ1121 &lt;&gt; "", "Abr-Dez/26",
TRUE, "A partir de Junho"
)</f>
        <v>Jan-Dez/26</v>
      </c>
      <c r="G1121" s="4" t="s">
        <v>37</v>
      </c>
      <c r="H1121" s="7" t="s">
        <v>54</v>
      </c>
      <c r="I1121" s="8" t="s">
        <v>55</v>
      </c>
      <c r="J1121" s="8" t="str" cm="1">
        <f t="array" aca="1" ref="J1121" ca="1">_xlfn.LET(
  _xlpm.actual_value_month, INDEX(T1121:AE1121, MATCH(DATE(YEAR(TODAY()), MONTH(TODAY()), 1), $T$1:$AE$1, 0)),
  IF(_xlpm.actual_value_month &lt;&gt; "",_xlpm.actual_value_month &amp; " eventos mensais", "")
)</f>
        <v>2 eventos mensais</v>
      </c>
      <c r="K1121" s="14" t="str" cm="1">
        <f t="array" ref="K1121">_xlfn.LET(
    _xlpm.sum_month, SUM(T1121:AE1121),
    IF(_xlpm.sum_month = 0, "", _xlpm.sum_month &amp; "  eventos no ano")
)</f>
        <v>21  eventos no ano</v>
      </c>
      <c r="L1121" s="9" t="s">
        <v>64</v>
      </c>
      <c r="M1121" s="13" t="s">
        <v>74</v>
      </c>
      <c r="N1121" s="5" t="s">
        <v>42</v>
      </c>
      <c r="O1121" s="5" t="s">
        <v>43</v>
      </c>
      <c r="P1121" s="10" t="s">
        <v>44</v>
      </c>
      <c r="Q1121" s="10" t="s">
        <v>75</v>
      </c>
      <c r="R1121" s="11" t="s">
        <v>44</v>
      </c>
      <c r="S1121" s="11" t="s">
        <v>44</v>
      </c>
      <c r="T1121" s="143">
        <v>0</v>
      </c>
      <c r="U1121" s="143">
        <v>1</v>
      </c>
      <c r="V1121" s="143">
        <v>2</v>
      </c>
      <c r="W1121" s="143">
        <v>2</v>
      </c>
      <c r="X1121" s="143">
        <v>2</v>
      </c>
      <c r="Y1121" s="143">
        <v>2</v>
      </c>
      <c r="Z1121" s="143">
        <v>2</v>
      </c>
      <c r="AA1121" s="143">
        <v>2</v>
      </c>
      <c r="AB1121" s="143">
        <v>2</v>
      </c>
      <c r="AC1121" s="143">
        <v>2</v>
      </c>
      <c r="AD1121" s="143">
        <v>2</v>
      </c>
      <c r="AE1121" s="143">
        <v>2</v>
      </c>
      <c r="AG1121" s="146">
        <v>0</v>
      </c>
      <c r="AH1121" s="150">
        <v>1</v>
      </c>
      <c r="AI1121" s="150">
        <v>2</v>
      </c>
      <c r="AJ1121" s="146">
        <v>5</v>
      </c>
      <c r="AK1121" s="71"/>
      <c r="AL1121" s="71"/>
      <c r="AM1121" s="71"/>
      <c r="AN1121" s="71"/>
      <c r="AO1121" s="71"/>
      <c r="AP1121" s="71"/>
      <c r="AQ1121" s="71"/>
      <c r="AR1121" s="71"/>
      <c r="AS1121" s="94">
        <f t="shared" ca="1" si="1295"/>
        <v>7</v>
      </c>
      <c r="AT1121" s="95">
        <f t="shared" si="1296"/>
        <v>5.3</v>
      </c>
      <c r="AU1121" s="97">
        <f t="shared" si="1297"/>
        <v>8</v>
      </c>
      <c r="AW1121" s="51">
        <f t="shared" si="1298"/>
        <v>0</v>
      </c>
      <c r="AX1121" s="51">
        <f t="shared" si="1299"/>
        <v>1</v>
      </c>
      <c r="AY1121" s="51">
        <f t="shared" si="1300"/>
        <v>1</v>
      </c>
      <c r="AZ1121" s="51">
        <f t="shared" si="1301"/>
        <v>2.5</v>
      </c>
      <c r="BA1121" s="51"/>
      <c r="BB1121" s="51"/>
      <c r="BC1121" s="51"/>
      <c r="BD1121" s="51"/>
      <c r="BE1121" s="51"/>
      <c r="BF1121" s="51"/>
      <c r="BG1121" s="51"/>
      <c r="BH1121" s="51"/>
      <c r="BI1121" s="65" cm="1">
        <f t="array" ref="BI1121">IFERROR(INDEX(AW1121:BH1121,1,MATCH(2,1/(AW1121:BH1121&lt;&gt;""))),"")</f>
        <v>2.5</v>
      </c>
      <c r="BJ1121" s="68" cm="1">
        <f t="array" ref="BJ1121">IF(BM1121 = "", "",IFERROR(INDEX(AW1121:BH1121,1,MATCH(2,1/(AW1121:BH1121&lt;&gt;""),1)-1),""))</f>
        <v>1</v>
      </c>
      <c r="BK1121" s="58">
        <f>IF((IF(AW1121&gt;=115%,115%,AW1121) + IF(AX1121&gt;=115%,115%,AX1121) + IF(AY1121&gt;=160%,160%,AY1121) + (IF(AZ1121&gt;=115%,115%,AZ1121) + IF(BA1121&gt;=135%,135%,BA1121) + IF(BB1121&gt;=115%,115%,BB1121) + IF(BC1121&gt;=115%,115%,BC1121) + IF(BD1121&gt;=115%,115%,BD1121) + IF(BE1121&gt;=115%,115%,BE1121) + IF(BF1121&gt;=115%,115%,BF1121) + IF(BG1121&gt;=115%,115%,BG1121) + IF(BH1121&gt;=115%,115%,BH1121)))/_xlfn.XLOOKUP(F1121,Apuração!A:A,Apuração!B:B)&gt;=1.15,1.15,((IF(AZ1121&gt;=115%,115%,AZ1121) + IF(AX1121&gt;=115%,115%,AX1121) + IF(AY1121&gt;=160%,160%,AY1121) + (IF(AW1121&gt;=115%,115%,AW1121) + IF(BA1121&gt;=135%,135%,BA1121) + IF(BB1121&gt;=115%,115%,BB1121) + IF(BC1121&gt;=115%,115%,BC1121) + IF(BD1121&gt;=115%,115%,BD1121) + IF(BE1121&gt;=115%,115%,BE1121) + IF(BF1121&gt;=115%,115%,BF1121) + IF(BG1121&gt;=115%,115%,BG1121) + IF(BH1121&gt;=115%,115%,BH1121)))/_xlfn.XLOOKUP(F1121,Apuração!A:A,Apuração!B:B)))</f>
        <v>0.26250000000000001</v>
      </c>
      <c r="BL1121" s="58" cm="1">
        <f t="array" aca="1" ref="BL1121" ca="1">IF(SUM(IFERROR(IF(INDEX(AW1121:INDEX(AW1121:BH1121, MATCH(2, 1/(AW1121:BH1121&lt;&gt;""), 1)-1), ROW(INDIRECT("1:" &amp; MATCH(2, 1/(AW1121:BH1121&lt;&gt;""), 1)-1))) &gt;= 115%, 115%, INDEX(AW1121:INDEX(AW1121:BH1121, MATCH(2, 1/(AW1121:BH1121&lt;&gt;""), 1)-1), ROW(INDIRECT("1:" &amp; MATCH(2, 1/(AW1121:BH1121&lt;&gt;""), 1)-1)))), 0))/_xlfn.XLOOKUP(F1121,Apuração!A:A,Apuração!B:B)&gt;=1.15,1.15,SUM(IFERROR(IF(INDEX(AW1121:INDEX(AW1121:BH1121, MATCH(2, 1/(AW1121:BH1121&lt;&gt;""), 1)-1), ROW(INDIRECT("1:" &amp; MATCH(2, 1/(AW1121:BH1121&lt;&gt;""), 1)-1))) &gt;= 115%, 115%, INDEX(AW1121:INDEX(AW1121:BH1121, MATCH(2, 1/(AW1121:BH1121&lt;&gt;""), 1)-1), ROW(INDIRECT("1:" &amp; MATCH(2, 1/(AW1121:BH1121&lt;&gt;""), 1)-1)))), 0))/_xlfn.XLOOKUP(F1121,Apuração!A:A,Apuração!B:B))</f>
        <v>0.16666666666666666</v>
      </c>
      <c r="BM1121" s="55" cm="1">
        <f t="array" ref="BM1121">IFERROR(
   INDEX($AW$1:$BH$1,
      _xlfn.AGGREGATE(14, 6, COLUMN($AW$1:$BH$1)/(AW1121:BH1121&lt;&gt;""), 2) - COLUMN($AW$1) + 1
   ),
"")</f>
        <v>46082</v>
      </c>
      <c r="BN1121" s="55" cm="1">
        <f t="array" ref="BN1121">IFERROR(INDEX($AW$1:$BH$1,1,MATCH(2,1/(AW1121:BH1121&lt;&gt;""))),"")</f>
        <v>46113</v>
      </c>
      <c r="BO1121" s="53">
        <f ca="1">IFERROR(_xlfn.XLOOKUP(F1121,Apuração!A:A,Apuração!C:C)/_xlfn.XLOOKUP(F1121,Apuração!A:A,Apuração!B:B),0)</f>
        <v>0.41666666666666669</v>
      </c>
      <c r="BP1121" s="53">
        <f ca="1">IFERROR(_xlfn.XLOOKUP(F1121,Apuração!A:A,Apuração!D:D)/_xlfn.XLOOKUP(F1121,Apuração!A:A,Apuração!B:B),0)</f>
        <v>0.33333333333333331</v>
      </c>
      <c r="BQ1121" s="53">
        <f ca="1">IF(BK1121&gt;=BO1121,0,_xlfn.XLOOKUP(F1121,Apuração!A:A,Apuração!B:B)*(BO1121 + (1/_xlfn.XLOOKUP(F1121,Apuração!A:A,Apuração!B:B)) - BK1121))</f>
        <v>2.8499999999999996</v>
      </c>
      <c r="BR1121" s="85">
        <f t="shared" ca="1" si="1302"/>
        <v>5.6999999999999993</v>
      </c>
      <c r="BS1121" s="53">
        <f ca="1">IFERROR((_xlfn.XLOOKUP(F1121,Apuração!A:A,Apuração!C:C)+1)/_xlfn.XLOOKUP(F1121,Apuração!A:A,Apuração!B:B),0)</f>
        <v>0.5</v>
      </c>
    </row>
    <row r="1122" spans="1:71" ht="25.95" hidden="1" customHeight="1" x14ac:dyDescent="0.3">
      <c r="A1122" s="3" t="s">
        <v>33</v>
      </c>
      <c r="B1122" s="4" t="s">
        <v>73</v>
      </c>
      <c r="C1122" s="5" t="s">
        <v>209</v>
      </c>
      <c r="D1122" s="5" t="s">
        <v>213</v>
      </c>
      <c r="E1122" s="4" t="str" cm="1">
        <f t="array" ref="E1122">_xlfn.IFS(
F1122 = "A partir de Abril", "Aguardando Execução na Distribuidora",
A1122 = "CAPACITAÇÃO", "Em execução no Corporativo",
TRUE, "Em Execução na Distribuidora"
)</f>
        <v>Em Execução na Distribuidora</v>
      </c>
      <c r="F1122" s="4" t="str" cm="1">
        <f t="array" ref="F1122">_xlfn.IFS(
AG1122 &lt;&gt; "", "Jan-Dez/26",
AH1122 &lt;&gt; "", "Fev-Dez/26",
AI1122 &lt;&gt; "", "Mar-Dez/26", AJ1122 &lt;&gt; "", "Abr-Dez/26",
TRUE, "A partir de Junho"
)</f>
        <v>Jan-Dez/26</v>
      </c>
      <c r="G1122" s="4" t="s">
        <v>37</v>
      </c>
      <c r="H1122" s="7" t="s">
        <v>54</v>
      </c>
      <c r="I1122" s="8" t="s">
        <v>55</v>
      </c>
      <c r="J1122" s="8" t="str" cm="1">
        <f t="array" aca="1" ref="J1122" ca="1">_xlfn.LET(
  _xlpm.actual_value_month, INDEX(T1122:AE1122, MATCH(DATE(YEAR(TODAY()), MONTH(TODAY()), 1), $T$1:$AE$1, 0)),
  IF(_xlpm.actual_value_month &lt;&gt; "",_xlpm.actual_value_month &amp; " eventos mensais", "")
)</f>
        <v>2 eventos mensais</v>
      </c>
      <c r="K1122" s="14" t="str" cm="1">
        <f t="array" ref="K1122">_xlfn.LET(
    _xlpm.sum_month, SUM(T1122:AE1122),
    IF(_xlpm.sum_month = 0, "", _xlpm.sum_month &amp; "  eventos no ano")
)</f>
        <v>29  eventos no ano</v>
      </c>
      <c r="L1122" s="9" t="s">
        <v>64</v>
      </c>
      <c r="M1122" s="13" t="s">
        <v>74</v>
      </c>
      <c r="N1122" s="5" t="s">
        <v>42</v>
      </c>
      <c r="O1122" s="5" t="s">
        <v>43</v>
      </c>
      <c r="P1122" s="10" t="s">
        <v>44</v>
      </c>
      <c r="Q1122" s="10" t="s">
        <v>75</v>
      </c>
      <c r="R1122" s="11" t="s">
        <v>44</v>
      </c>
      <c r="S1122" s="11" t="s">
        <v>44</v>
      </c>
      <c r="T1122" s="143">
        <v>1</v>
      </c>
      <c r="U1122" s="143">
        <v>3</v>
      </c>
      <c r="V1122" s="143">
        <v>7</v>
      </c>
      <c r="W1122" s="143">
        <v>2</v>
      </c>
      <c r="X1122" s="143">
        <v>2</v>
      </c>
      <c r="Y1122" s="143">
        <v>2</v>
      </c>
      <c r="Z1122" s="143">
        <v>2</v>
      </c>
      <c r="AA1122" s="143">
        <v>2</v>
      </c>
      <c r="AB1122" s="143">
        <v>2</v>
      </c>
      <c r="AC1122" s="143">
        <v>2</v>
      </c>
      <c r="AD1122" s="143">
        <v>2</v>
      </c>
      <c r="AE1122" s="143">
        <v>2</v>
      </c>
      <c r="AG1122" s="146">
        <v>1</v>
      </c>
      <c r="AH1122" s="150">
        <v>3</v>
      </c>
      <c r="AI1122" s="150">
        <v>7</v>
      </c>
      <c r="AJ1122" s="146">
        <v>4</v>
      </c>
      <c r="AK1122" s="71"/>
      <c r="AL1122" s="71"/>
      <c r="AM1122" s="71"/>
      <c r="AN1122" s="71"/>
      <c r="AO1122" s="71"/>
      <c r="AP1122" s="71"/>
      <c r="AQ1122" s="71"/>
      <c r="AR1122" s="71"/>
      <c r="AS1122" s="94">
        <f t="shared" ca="1" si="1295"/>
        <v>15</v>
      </c>
      <c r="AT1122" s="95">
        <f t="shared" si="1296"/>
        <v>13.3</v>
      </c>
      <c r="AU1122" s="97">
        <f t="shared" si="1297"/>
        <v>15</v>
      </c>
      <c r="AW1122" s="51">
        <f t="shared" si="1298"/>
        <v>1</v>
      </c>
      <c r="AX1122" s="51">
        <f t="shared" si="1299"/>
        <v>1</v>
      </c>
      <c r="AY1122" s="51">
        <f t="shared" si="1300"/>
        <v>1</v>
      </c>
      <c r="AZ1122" s="51">
        <f t="shared" si="1301"/>
        <v>2</v>
      </c>
      <c r="BA1122" s="51"/>
      <c r="BB1122" s="51"/>
      <c r="BC1122" s="51"/>
      <c r="BD1122" s="51"/>
      <c r="BE1122" s="51"/>
      <c r="BF1122" s="51"/>
      <c r="BG1122" s="51"/>
      <c r="BH1122" s="51"/>
      <c r="BI1122" s="65" cm="1">
        <f t="array" ref="BI1122">IFERROR(INDEX(AW1122:BH1122,1,MATCH(2,1/(AW1122:BH1122&lt;&gt;""))),"")</f>
        <v>2</v>
      </c>
      <c r="BJ1122" s="68" cm="1">
        <f t="array" ref="BJ1122">IF(BM1122 = "", "",IFERROR(INDEX(AW1122:BH1122,1,MATCH(2,1/(AW1122:BH1122&lt;&gt;""),1)-1),""))</f>
        <v>1</v>
      </c>
      <c r="BK1122" s="58">
        <f>IF((IF(AW1122&gt;=115%,115%,AW1122) + IF(AX1122&gt;=115%,115%,AX1122) + IF(AY1122&gt;=160%,160%,AY1122) + (IF(AZ1122&gt;=115%,115%,AZ1122) + IF(BA1122&gt;=135%,135%,BA1122) + IF(BB1122&gt;=115%,115%,BB1122) + IF(BC1122&gt;=115%,115%,BC1122) + IF(BD1122&gt;=115%,115%,BD1122) + IF(BE1122&gt;=115%,115%,BE1122) + IF(BF1122&gt;=115%,115%,BF1122) + IF(BG1122&gt;=115%,115%,BG1122) + IF(BH1122&gt;=115%,115%,BH1122)))/_xlfn.XLOOKUP(F1122,Apuração!A:A,Apuração!B:B)&gt;=1.15,1.15,((IF(AZ1122&gt;=115%,115%,AZ1122) + IF(AX1122&gt;=115%,115%,AX1122) + IF(AY1122&gt;=160%,160%,AY1122) + (IF(AW1122&gt;=115%,115%,AW1122) + IF(BA1122&gt;=135%,135%,BA1122) + IF(BB1122&gt;=115%,115%,BB1122) + IF(BC1122&gt;=115%,115%,BC1122) + IF(BD1122&gt;=115%,115%,BD1122) + IF(BE1122&gt;=115%,115%,BE1122) + IF(BF1122&gt;=115%,115%,BF1122) + IF(BG1122&gt;=115%,115%,BG1122) + IF(BH1122&gt;=115%,115%,BH1122)))/_xlfn.XLOOKUP(F1122,Apuração!A:A,Apuração!B:B)))</f>
        <v>0.34583333333333338</v>
      </c>
      <c r="BL1122" s="58" cm="1">
        <f t="array" aca="1" ref="BL1122" ca="1">IF(SUM(IFERROR(IF(INDEX(AW1122:INDEX(AW1122:BH1122, MATCH(2, 1/(AW1122:BH1122&lt;&gt;""), 1)-1), ROW(INDIRECT("1:" &amp; MATCH(2, 1/(AW1122:BH1122&lt;&gt;""), 1)-1))) &gt;= 115%, 115%, INDEX(AW1122:INDEX(AW1122:BH1122, MATCH(2, 1/(AW1122:BH1122&lt;&gt;""), 1)-1), ROW(INDIRECT("1:" &amp; MATCH(2, 1/(AW1122:BH1122&lt;&gt;""), 1)-1)))), 0))/_xlfn.XLOOKUP(F1122,Apuração!A:A,Apuração!B:B)&gt;=1.15,1.15,SUM(IFERROR(IF(INDEX(AW1122:INDEX(AW1122:BH1122, MATCH(2, 1/(AW1122:BH1122&lt;&gt;""), 1)-1), ROW(INDIRECT("1:" &amp; MATCH(2, 1/(AW1122:BH1122&lt;&gt;""), 1)-1))) &gt;= 115%, 115%, INDEX(AW1122:INDEX(AW1122:BH1122, MATCH(2, 1/(AW1122:BH1122&lt;&gt;""), 1)-1), ROW(INDIRECT("1:" &amp; MATCH(2, 1/(AW1122:BH1122&lt;&gt;""), 1)-1)))), 0))/_xlfn.XLOOKUP(F1122,Apuração!A:A,Apuração!B:B))</f>
        <v>0.25</v>
      </c>
      <c r="BM1122" s="55" cm="1">
        <f t="array" ref="BM1122">IFERROR(
   INDEX($AW$1:$BH$1,
      _xlfn.AGGREGATE(14, 6, COLUMN($AW$1:$BH$1)/(AW1122:BH1122&lt;&gt;""), 2) - COLUMN($AW$1) + 1
   ),
"")</f>
        <v>46082</v>
      </c>
      <c r="BN1122" s="55" cm="1">
        <f t="array" ref="BN1122">IFERROR(INDEX($AW$1:$BH$1,1,MATCH(2,1/(AW1122:BH1122&lt;&gt;""))),"")</f>
        <v>46113</v>
      </c>
      <c r="BO1122" s="53">
        <f ca="1">IFERROR(_xlfn.XLOOKUP(F1122,Apuração!A:A,Apuração!C:C)/_xlfn.XLOOKUP(F1122,Apuração!A:A,Apuração!B:B),0)</f>
        <v>0.41666666666666669</v>
      </c>
      <c r="BP1122" s="53">
        <f ca="1">IFERROR(_xlfn.XLOOKUP(F1122,Apuração!A:A,Apuração!D:D)/_xlfn.XLOOKUP(F1122,Apuração!A:A,Apuração!B:B),0)</f>
        <v>0.33333333333333331</v>
      </c>
      <c r="BQ1122" s="53">
        <f ca="1">IF(BK1122&gt;=BO1122,0,_xlfn.XLOOKUP(F1122,Apuração!A:A,Apuração!B:B)*(BO1122 + (1/_xlfn.XLOOKUP(F1122,Apuração!A:A,Apuração!B:B)) - BK1122))</f>
        <v>1.8499999999999994</v>
      </c>
      <c r="BR1122" s="85">
        <f t="shared" ca="1" si="1302"/>
        <v>3.6999999999999988</v>
      </c>
      <c r="BS1122" s="53">
        <f ca="1">IFERROR((_xlfn.XLOOKUP(F1122,Apuração!A:A,Apuração!C:C)+1)/_xlfn.XLOOKUP(F1122,Apuração!A:A,Apuração!B:B),0)</f>
        <v>0.5</v>
      </c>
    </row>
    <row r="1123" spans="1:71" ht="25.95" hidden="1" customHeight="1" x14ac:dyDescent="0.3">
      <c r="A1123" s="39" t="s">
        <v>33</v>
      </c>
      <c r="B1123" s="4" t="s">
        <v>73</v>
      </c>
      <c r="C1123" s="5" t="s">
        <v>209</v>
      </c>
      <c r="D1123" s="5" t="s">
        <v>36</v>
      </c>
      <c r="E1123" s="4" t="str" cm="1">
        <f t="array" ref="E1123">_xlfn.IFS(
F1123 = "A partir de Abril", "Aguardando Execução na Distribuidora",
A1123 = "CAPACITAÇÃO", "Em execução no Corporativo",
TRUE, "Em Execução na Distribuidora"
)</f>
        <v>Em Execução na Distribuidora</v>
      </c>
      <c r="F1123" s="4" t="str" cm="1">
        <f t="array" ref="F1123">_xlfn.IFS(
AG1123 &lt;&gt; "", "Jan-Dez/26",
AH1123 &lt;&gt; "", "Fev-Dez/26",
AI1123 &lt;&gt; "", "Mar-Dez/26", AJ1123 &lt;&gt; "", "Abr-Dez/26",
TRUE, "A partir de Junho"
)</f>
        <v>Jan-Dez/26</v>
      </c>
      <c r="G1123" s="4" t="s">
        <v>37</v>
      </c>
      <c r="H1123" s="7" t="s">
        <v>54</v>
      </c>
      <c r="I1123" s="9" t="s">
        <v>76</v>
      </c>
      <c r="J1123" s="8" t="str" cm="1">
        <f t="array" aca="1" ref="J1123" ca="1">_xlfn.LET(
  _xlpm.actual_value_month, INDEX(T1123:AE1123, MATCH(DATE(YEAR(TODAY()), MONTH(TODAY()), 1), $T$1:$AE$1, 0)),
  IF(_xlpm.actual_value_month &lt;&gt; "",_xlpm.actual_value_month &amp; " ações mensais", "")
)</f>
        <v/>
      </c>
      <c r="K1123" s="14" t="str" cm="1">
        <f t="array" ref="K1123">_xlfn.LET(
    _xlpm.sum_month, SUM(T1123:AE1123),
    IF(_xlpm.sum_month = 0, "", _xlpm.sum_month &amp; " pessoas impactadas no ano.")
)</f>
        <v/>
      </c>
      <c r="L1123" s="9" t="s">
        <v>76</v>
      </c>
      <c r="M1123" s="13">
        <v>1</v>
      </c>
      <c r="N1123" s="5" t="s">
        <v>51</v>
      </c>
      <c r="O1123" s="5" t="s">
        <v>52</v>
      </c>
      <c r="P1123" s="10" t="s">
        <v>44</v>
      </c>
      <c r="Q1123" s="10" t="s">
        <v>44</v>
      </c>
      <c r="R1123" s="11" t="s">
        <v>44</v>
      </c>
      <c r="S1123" s="11" t="s">
        <v>44</v>
      </c>
      <c r="T1123" s="22"/>
      <c r="U1123" s="22"/>
      <c r="V1123" s="22"/>
      <c r="W1123" s="22"/>
      <c r="X1123" s="22"/>
      <c r="Y1123" s="22"/>
      <c r="Z1123" s="22"/>
      <c r="AA1123" s="22"/>
      <c r="AB1123" s="22"/>
      <c r="AC1123" s="22"/>
      <c r="AD1123" s="22"/>
      <c r="AE1123" s="22"/>
      <c r="AG1123" s="71">
        <v>138</v>
      </c>
      <c r="AH1123" s="71">
        <v>1221</v>
      </c>
      <c r="AI1123" s="71">
        <v>2188</v>
      </c>
      <c r="AJ1123" s="71">
        <v>1620</v>
      </c>
      <c r="AK1123" s="71"/>
      <c r="AL1123" s="71"/>
      <c r="AM1123" s="71"/>
      <c r="AN1123" s="71"/>
      <c r="AO1123" s="71"/>
      <c r="AP1123" s="71"/>
      <c r="AQ1123" s="71"/>
      <c r="AR1123" s="71"/>
      <c r="AS1123" s="94">
        <f ca="1">IF(MONTH(TODAY())=3,SUM(T1123:U1123),IF(MONTH(TODAY())=4,SUM(T1123:V1123),IF(MONTH(TODAY())=5,SUM(T1123:W1123),IF(MONTH(TODAY())=6,SUM(T1123:X1123),IF(MONTH(TODAY())=7,SUM(T1123:Y1123),IF(MONTH(TODAY())=8,SUM(T1123:Z1123),IF(MONTH(TODAY())=9,SUM(T1123:AA1123),IF(MONTH(TODAY())=10,SUM(T1123:AB1123),IF(MONTH(TODAY())=11,SUM(T1123:AC1123),IF(MONTH(TODAY())=12,SUM(T1123:AD1123),IF(MONTH(TODAY())=1,SUM(T1123:AE1123),T1123)))))))))))</f>
        <v>0</v>
      </c>
      <c r="AT1123" s="95">
        <f>SUM(AG1123:AR1123)</f>
        <v>5167</v>
      </c>
      <c r="AU1123" s="97">
        <f>SUM(AG1123:AR1123)</f>
        <v>5167</v>
      </c>
      <c r="AW1123" s="83">
        <f>AG1123</f>
        <v>138</v>
      </c>
      <c r="AX1123" s="83">
        <f>AH1123</f>
        <v>1221</v>
      </c>
      <c r="AY1123" s="83">
        <f>AI1123</f>
        <v>2188</v>
      </c>
      <c r="AZ1123" s="83">
        <f>AJ1123</f>
        <v>1620</v>
      </c>
      <c r="BA1123" s="52"/>
      <c r="BB1123" s="52"/>
      <c r="BC1123" s="52"/>
      <c r="BD1123" s="52"/>
      <c r="BE1123" s="52"/>
      <c r="BF1123" s="52"/>
      <c r="BG1123" s="52"/>
      <c r="BH1123" s="52"/>
      <c r="BI1123" s="68" cm="1">
        <f t="array" ref="BI1123">IFERROR(INDEX(AW1123:BH1123,1,MATCH(2,1/(AW1123:BH1123&lt;&gt;""))),"")</f>
        <v>1620</v>
      </c>
      <c r="BJ1123" s="68" cm="1">
        <f t="array" ref="BJ1123">IF(BM1123 = "", "",IFERROR(INDEX(AW1123:BH1123,1,MATCH(2,1/(AW1123:BH1123&lt;&gt;""),1)-1),""))</f>
        <v>2188</v>
      </c>
      <c r="BK1123" s="59">
        <f>SUM(AW1123:BH1123)</f>
        <v>5167</v>
      </c>
      <c r="BL1123" s="59" cm="1">
        <f t="array" ref="BL1123">IFERROR(SUM(AW1123:INDEX(AW1123:BH1123, MATCH(2, 1/(AW1123:BH1123&lt;&gt;""), 1) - 1))/_xlfn.XLOOKUP(F1123,Apuração!A:A,Apuração!B:B),0)</f>
        <v>295.58333333333331</v>
      </c>
      <c r="BM1123" s="55" cm="1">
        <f t="array" ref="BM1123">IFERROR(
   INDEX($AW$1:$BH$1,
      _xlfn.AGGREGATE(14, 6, COLUMN($AW$1:$BH$1)/(AW1123:BH1123&lt;&gt;""), 2) - COLUMN($AW$1) + 1
   ),
"")</f>
        <v>46082</v>
      </c>
      <c r="BN1123" s="55" cm="1">
        <f t="array" ref="BN1123">IFERROR(INDEX($AW$1:$BH$1,1,MATCH(2,1/(AW1123:BH1123&lt;&gt;""))),"")</f>
        <v>46113</v>
      </c>
      <c r="BO1123" s="53">
        <f ca="1">IFERROR(_xlfn.XLOOKUP(F1123,Apuração!A:A,Apuração!C:C)/_xlfn.XLOOKUP(F1123,Apuração!A:A,Apuração!B:B),0)</f>
        <v>0.41666666666666669</v>
      </c>
      <c r="BP1123" s="53">
        <f ca="1">IFERROR(_xlfn.XLOOKUP(F1123,Apuração!A:A,Apuração!D:D)/_xlfn.XLOOKUP(F1123,Apuração!A:A,Apuração!B:B),0)</f>
        <v>0.33333333333333331</v>
      </c>
      <c r="BQ1123" s="53">
        <f ca="1">IF(BK1123&gt;=BO1123,0,_xlfn.XLOOKUP(F1123,Apuração!A:A,Apuração!B:B)*(BO1123 + (1/_xlfn.XLOOKUP(F1123,Apuração!A:A,Apuração!B:B)) - BK1123))</f>
        <v>0</v>
      </c>
      <c r="BR1123" s="85">
        <f ca="1">IF(BQ1123=0,0,BQ1123*Z1123)</f>
        <v>0</v>
      </c>
      <c r="BS1123" s="53">
        <f ca="1">IFERROR((_xlfn.XLOOKUP(F1123,Apuração!A:A,Apuração!C:C)+1)/_xlfn.XLOOKUP(F1123,Apuração!A:A,Apuração!B:B),0)</f>
        <v>0.5</v>
      </c>
    </row>
    <row r="1124" spans="1:71" ht="25.95" hidden="1" customHeight="1" x14ac:dyDescent="0.3">
      <c r="A1124" s="39" t="s">
        <v>33</v>
      </c>
      <c r="B1124" s="4" t="s">
        <v>73</v>
      </c>
      <c r="C1124" s="5" t="s">
        <v>209</v>
      </c>
      <c r="D1124" s="5" t="s">
        <v>210</v>
      </c>
      <c r="E1124" s="4" t="str" cm="1">
        <f t="array" ref="E1124">_xlfn.IFS(
F1124 = "A partir de Abril", "Aguardando Execução na Distribuidora",
A1124 = "CAPACITAÇÃO", "Em execução no Corporativo",
TRUE, "Em Execução na Distribuidora"
)</f>
        <v>Em Execução na Distribuidora</v>
      </c>
      <c r="F1124" s="4" t="str" cm="1">
        <f t="array" ref="F1124">_xlfn.IFS(
AG1124 &lt;&gt; "", "Jan-Dez/26",
AH1124 &lt;&gt; "", "Fev-Dez/26",
AI1124 &lt;&gt; "", "Mar-Dez/26", AJ1124 &lt;&gt; "", "Abr-Dez/26",
TRUE, "A partir de Junho"
)</f>
        <v>Jan-Dez/26</v>
      </c>
      <c r="G1124" s="4" t="s">
        <v>37</v>
      </c>
      <c r="H1124" s="7" t="s">
        <v>54</v>
      </c>
      <c r="I1124" s="9" t="s">
        <v>76</v>
      </c>
      <c r="J1124" s="8" t="str" cm="1">
        <f t="array" aca="1" ref="J1124" ca="1">_xlfn.LET(
  _xlpm.actual_value_month, INDEX(T1124:AE1124, MATCH(DATE(YEAR(TODAY()), MONTH(TODAY()), 1), $T$1:$AE$1, 0)),
  IF(_xlpm.actual_value_month &lt;&gt; "",_xlpm.actual_value_month &amp; " ações mensais", "")
)</f>
        <v/>
      </c>
      <c r="K1124" s="14" t="str" cm="1">
        <f t="array" ref="K1124">_xlfn.LET(
    _xlpm.sum_month, SUM(T1124:AE1124),
    IF(_xlpm.sum_month = 0, "", _xlpm.sum_month &amp; " pessoas impactadas no ano.")
)</f>
        <v/>
      </c>
      <c r="L1124" s="9" t="s">
        <v>76</v>
      </c>
      <c r="M1124" s="13">
        <v>1</v>
      </c>
      <c r="N1124" s="5" t="s">
        <v>51</v>
      </c>
      <c r="O1124" s="5" t="s">
        <v>52</v>
      </c>
      <c r="P1124" s="10" t="s">
        <v>44</v>
      </c>
      <c r="Q1124" s="10" t="s">
        <v>44</v>
      </c>
      <c r="R1124" s="11" t="s">
        <v>44</v>
      </c>
      <c r="S1124" s="11" t="s">
        <v>44</v>
      </c>
      <c r="T1124" s="22"/>
      <c r="U1124" s="22"/>
      <c r="V1124" s="22"/>
      <c r="W1124" s="22"/>
      <c r="X1124" s="22"/>
      <c r="Y1124" s="22"/>
      <c r="Z1124" s="22"/>
      <c r="AA1124" s="22"/>
      <c r="AB1124" s="22"/>
      <c r="AC1124" s="22"/>
      <c r="AD1124" s="22"/>
      <c r="AE1124" s="22"/>
      <c r="AG1124" s="145">
        <v>71</v>
      </c>
      <c r="AH1124" s="149">
        <v>572</v>
      </c>
      <c r="AI1124" s="153">
        <v>1262</v>
      </c>
      <c r="AJ1124" s="154">
        <v>1034</v>
      </c>
      <c r="AK1124" s="71"/>
      <c r="AL1124" s="71"/>
      <c r="AM1124" s="71"/>
      <c r="AN1124" s="71"/>
      <c r="AO1124" s="71"/>
      <c r="AP1124" s="71"/>
      <c r="AQ1124" s="71"/>
      <c r="AR1124" s="71"/>
      <c r="AS1124" s="94">
        <f t="shared" ref="AS1124:AS1128" ca="1" si="1303">IF(MONTH(TODAY())=3,SUM(T1124:U1124),IF(MONTH(TODAY())=4,SUM(T1124:V1124),IF(MONTH(TODAY())=5,SUM(T1124:W1124),IF(MONTH(TODAY())=6,SUM(T1124:X1124),IF(MONTH(TODAY())=7,SUM(T1124:Y1124),IF(MONTH(TODAY())=8,SUM(T1124:Z1124),IF(MONTH(TODAY())=9,SUM(T1124:AA1124),IF(MONTH(TODAY())=10,SUM(T1124:AB1124),IF(MONTH(TODAY())=11,SUM(T1124:AC1124),IF(MONTH(TODAY())=12,SUM(T1124:AD1124),IF(MONTH(TODAY())=1,SUM(T1124:AE1124),T1124)))))))))))</f>
        <v>0</v>
      </c>
      <c r="AT1124" s="95">
        <f t="shared" ref="AT1124:AT1128" si="1304">SUM(AG1124:AR1124)</f>
        <v>2939</v>
      </c>
      <c r="AU1124" s="97">
        <f t="shared" ref="AU1124:AU1128" si="1305">SUM(AG1124:AR1124)</f>
        <v>2939</v>
      </c>
      <c r="AW1124" s="83">
        <f t="shared" ref="AW1124:AW1128" si="1306">AG1124</f>
        <v>71</v>
      </c>
      <c r="AX1124" s="83">
        <f t="shared" ref="AX1124:AX1128" si="1307">AH1124</f>
        <v>572</v>
      </c>
      <c r="AY1124" s="83">
        <f t="shared" ref="AY1124:AY1128" si="1308">AI1124</f>
        <v>1262</v>
      </c>
      <c r="AZ1124" s="83">
        <f t="shared" ref="AZ1124:AZ1128" si="1309">AJ1124</f>
        <v>1034</v>
      </c>
      <c r="BA1124" s="52"/>
      <c r="BB1124" s="52"/>
      <c r="BC1124" s="52"/>
      <c r="BD1124" s="52"/>
      <c r="BE1124" s="52"/>
      <c r="BF1124" s="52"/>
      <c r="BG1124" s="52"/>
      <c r="BH1124" s="52"/>
      <c r="BI1124" s="68" cm="1">
        <f t="array" ref="BI1124">IFERROR(INDEX(AW1124:BH1124,1,MATCH(2,1/(AW1124:BH1124&lt;&gt;""))),"")</f>
        <v>1034</v>
      </c>
      <c r="BJ1124" s="68" cm="1">
        <f t="array" ref="BJ1124">IF(BM1124 = "", "",IFERROR(INDEX(AW1124:BH1124,1,MATCH(2,1/(AW1124:BH1124&lt;&gt;""),1)-1),""))</f>
        <v>1262</v>
      </c>
      <c r="BK1124" s="59">
        <f t="shared" ref="BK1124:BK1128" si="1310">SUM(AW1124:BH1124)</f>
        <v>2939</v>
      </c>
      <c r="BL1124" s="59" cm="1">
        <f t="array" ref="BL1124">IFERROR(SUM(AW1124:INDEX(AW1124:BH1124, MATCH(2, 1/(AW1124:BH1124&lt;&gt;""), 1) - 1))/_xlfn.XLOOKUP(F1124,Apuração!A:A,Apuração!B:B),0)</f>
        <v>158.75</v>
      </c>
      <c r="BM1124" s="55" cm="1">
        <f t="array" ref="BM1124">IFERROR(
   INDEX($AW$1:$BH$1,
      _xlfn.AGGREGATE(14, 6, COLUMN($AW$1:$BH$1)/(AW1124:BH1124&lt;&gt;""), 2) - COLUMN($AW$1) + 1
   ),
"")</f>
        <v>46082</v>
      </c>
      <c r="BN1124" s="55" cm="1">
        <f t="array" ref="BN1124">IFERROR(INDEX($AW$1:$BH$1,1,MATCH(2,1/(AW1124:BH1124&lt;&gt;""))),"")</f>
        <v>46113</v>
      </c>
      <c r="BO1124" s="53">
        <f ca="1">IFERROR(_xlfn.XLOOKUP(F1124,Apuração!A:A,Apuração!C:C)/_xlfn.XLOOKUP(F1124,Apuração!A:A,Apuração!B:B),0)</f>
        <v>0.41666666666666669</v>
      </c>
      <c r="BP1124" s="53">
        <f ca="1">IFERROR(_xlfn.XLOOKUP(F1124,Apuração!A:A,Apuração!D:D)/_xlfn.XLOOKUP(F1124,Apuração!A:A,Apuração!B:B),0)</f>
        <v>0.33333333333333331</v>
      </c>
      <c r="BQ1124" s="53">
        <f ca="1">IF(BK1124&gt;=BO1124,0,_xlfn.XLOOKUP(F1124,Apuração!A:A,Apuração!B:B)*(BO1124 + (1/_xlfn.XLOOKUP(F1124,Apuração!A:A,Apuração!B:B)) - BK1124))</f>
        <v>0</v>
      </c>
      <c r="BR1124" s="85">
        <f t="shared" ref="BR1124:BR1128" ca="1" si="1311">IF(BQ1124=0,0,BQ1124*Z1124)</f>
        <v>0</v>
      </c>
      <c r="BS1124" s="53">
        <f ca="1">IFERROR((_xlfn.XLOOKUP(F1124,Apuração!A:A,Apuração!C:C)+1)/_xlfn.XLOOKUP(F1124,Apuração!A:A,Apuração!B:B),0)</f>
        <v>0.5</v>
      </c>
    </row>
    <row r="1125" spans="1:71" ht="25.95" hidden="1" customHeight="1" x14ac:dyDescent="0.3">
      <c r="A1125" s="39" t="s">
        <v>33</v>
      </c>
      <c r="B1125" s="4" t="s">
        <v>73</v>
      </c>
      <c r="C1125" s="5" t="s">
        <v>209</v>
      </c>
      <c r="D1125" s="5" t="s">
        <v>47</v>
      </c>
      <c r="E1125" s="4" t="str" cm="1">
        <f t="array" ref="E1125">_xlfn.IFS(
F1125 = "A partir de Abril", "Aguardando Execução na Distribuidora",
A1125 = "CAPACITAÇÃO", "Em execução no Corporativo",
TRUE, "Em Execução na Distribuidora"
)</f>
        <v>Em Execução na Distribuidora</v>
      </c>
      <c r="F1125" s="4" t="str" cm="1">
        <f t="array" ref="F1125">_xlfn.IFS(
AG1125 &lt;&gt; "", "Jan-Dez/26",
AH1125 &lt;&gt; "", "Fev-Dez/26",
AI1125 &lt;&gt; "", "Mar-Dez/26", AJ1125 &lt;&gt; "", "Abr-Dez/26",
TRUE, "A partir de Junho"
)</f>
        <v>Jan-Dez/26</v>
      </c>
      <c r="G1125" s="4" t="s">
        <v>37</v>
      </c>
      <c r="H1125" s="7" t="s">
        <v>54</v>
      </c>
      <c r="I1125" s="9" t="s">
        <v>76</v>
      </c>
      <c r="J1125" s="8" t="str" cm="1">
        <f t="array" aca="1" ref="J1125" ca="1">_xlfn.LET(
  _xlpm.actual_value_month, INDEX(T1125:AE1125, MATCH(DATE(YEAR(TODAY()), MONTH(TODAY()), 1), $T$1:$AE$1, 0)),
  IF(_xlpm.actual_value_month &lt;&gt; "",_xlpm.actual_value_month &amp; " ações mensais", "")
)</f>
        <v/>
      </c>
      <c r="K1125" s="14" t="str" cm="1">
        <f t="array" ref="K1125">_xlfn.LET(
    _xlpm.sum_month, SUM(T1125:AE1125),
    IF(_xlpm.sum_month = 0, "", _xlpm.sum_month &amp; " pessoas impactadas no ano.")
)</f>
        <v/>
      </c>
      <c r="L1125" s="9" t="s">
        <v>76</v>
      </c>
      <c r="M1125" s="13">
        <v>1</v>
      </c>
      <c r="N1125" s="5" t="s">
        <v>51</v>
      </c>
      <c r="O1125" s="5" t="s">
        <v>52</v>
      </c>
      <c r="P1125" s="10" t="s">
        <v>44</v>
      </c>
      <c r="Q1125" s="10" t="s">
        <v>44</v>
      </c>
      <c r="R1125" s="11" t="s">
        <v>44</v>
      </c>
      <c r="S1125" s="11" t="s">
        <v>44</v>
      </c>
      <c r="T1125" s="22"/>
      <c r="U1125" s="22"/>
      <c r="V1125" s="22"/>
      <c r="W1125" s="22"/>
      <c r="X1125" s="22"/>
      <c r="Y1125" s="22"/>
      <c r="Z1125" s="22"/>
      <c r="AA1125" s="22"/>
      <c r="AB1125" s="22"/>
      <c r="AC1125" s="22"/>
      <c r="AD1125" s="22"/>
      <c r="AE1125" s="22"/>
      <c r="AG1125" s="146">
        <v>0</v>
      </c>
      <c r="AH1125" s="150">
        <v>217</v>
      </c>
      <c r="AI1125" s="150">
        <v>382</v>
      </c>
      <c r="AJ1125" s="146">
        <v>90</v>
      </c>
      <c r="AK1125" s="71"/>
      <c r="AL1125" s="71"/>
      <c r="AM1125" s="71"/>
      <c r="AN1125" s="71"/>
      <c r="AO1125" s="71"/>
      <c r="AP1125" s="71"/>
      <c r="AQ1125" s="71"/>
      <c r="AR1125" s="71"/>
      <c r="AS1125" s="94">
        <f t="shared" ca="1" si="1303"/>
        <v>0</v>
      </c>
      <c r="AT1125" s="95">
        <f t="shared" si="1304"/>
        <v>689</v>
      </c>
      <c r="AU1125" s="97">
        <f t="shared" si="1305"/>
        <v>689</v>
      </c>
      <c r="AW1125" s="83">
        <f t="shared" si="1306"/>
        <v>0</v>
      </c>
      <c r="AX1125" s="83">
        <f t="shared" si="1307"/>
        <v>217</v>
      </c>
      <c r="AY1125" s="83">
        <f t="shared" si="1308"/>
        <v>382</v>
      </c>
      <c r="AZ1125" s="83">
        <f t="shared" si="1309"/>
        <v>90</v>
      </c>
      <c r="BA1125" s="52"/>
      <c r="BB1125" s="52"/>
      <c r="BC1125" s="52"/>
      <c r="BD1125" s="52"/>
      <c r="BE1125" s="52"/>
      <c r="BF1125" s="52"/>
      <c r="BG1125" s="52"/>
      <c r="BH1125" s="52"/>
      <c r="BI1125" s="68" cm="1">
        <f t="array" ref="BI1125">IFERROR(INDEX(AW1125:BH1125,1,MATCH(2,1/(AW1125:BH1125&lt;&gt;""))),"")</f>
        <v>90</v>
      </c>
      <c r="BJ1125" s="68" cm="1">
        <f t="array" ref="BJ1125">IF(BM1125 = "", "",IFERROR(INDEX(AW1125:BH1125,1,MATCH(2,1/(AW1125:BH1125&lt;&gt;""),1)-1),""))</f>
        <v>382</v>
      </c>
      <c r="BK1125" s="59">
        <f t="shared" si="1310"/>
        <v>689</v>
      </c>
      <c r="BL1125" s="59" cm="1">
        <f t="array" ref="BL1125">IFERROR(SUM(AW1125:INDEX(AW1125:BH1125, MATCH(2, 1/(AW1125:BH1125&lt;&gt;""), 1) - 1))/_xlfn.XLOOKUP(F1125,Apuração!A:A,Apuração!B:B),0)</f>
        <v>49.916666666666664</v>
      </c>
      <c r="BM1125" s="55" cm="1">
        <f t="array" ref="BM1125">IFERROR(
   INDEX($AW$1:$BH$1,
      _xlfn.AGGREGATE(14, 6, COLUMN($AW$1:$BH$1)/(AW1125:BH1125&lt;&gt;""), 2) - COLUMN($AW$1) + 1
   ),
"")</f>
        <v>46082</v>
      </c>
      <c r="BN1125" s="55" cm="1">
        <f t="array" ref="BN1125">IFERROR(INDEX($AW$1:$BH$1,1,MATCH(2,1/(AW1125:BH1125&lt;&gt;""))),"")</f>
        <v>46113</v>
      </c>
      <c r="BO1125" s="53">
        <f ca="1">IFERROR(_xlfn.XLOOKUP(F1125,Apuração!A:A,Apuração!C:C)/_xlfn.XLOOKUP(F1125,Apuração!A:A,Apuração!B:B),0)</f>
        <v>0.41666666666666669</v>
      </c>
      <c r="BP1125" s="53">
        <f ca="1">IFERROR(_xlfn.XLOOKUP(F1125,Apuração!A:A,Apuração!D:D)/_xlfn.XLOOKUP(F1125,Apuração!A:A,Apuração!B:B),0)</f>
        <v>0.33333333333333331</v>
      </c>
      <c r="BQ1125" s="53">
        <f ca="1">IF(BK1125&gt;=BO1125,0,_xlfn.XLOOKUP(F1125,Apuração!A:A,Apuração!B:B)*(BO1125 + (1/_xlfn.XLOOKUP(F1125,Apuração!A:A,Apuração!B:B)) - BK1125))</f>
        <v>0</v>
      </c>
      <c r="BR1125" s="85">
        <f t="shared" ca="1" si="1311"/>
        <v>0</v>
      </c>
      <c r="BS1125" s="53">
        <f ca="1">IFERROR((_xlfn.XLOOKUP(F1125,Apuração!A:A,Apuração!C:C)+1)/_xlfn.XLOOKUP(F1125,Apuração!A:A,Apuração!B:B),0)</f>
        <v>0.5</v>
      </c>
    </row>
    <row r="1126" spans="1:71" ht="25.95" hidden="1" customHeight="1" x14ac:dyDescent="0.3">
      <c r="A1126" s="39" t="s">
        <v>33</v>
      </c>
      <c r="B1126" s="4" t="s">
        <v>73</v>
      </c>
      <c r="C1126" s="5" t="s">
        <v>209</v>
      </c>
      <c r="D1126" s="5" t="s">
        <v>211</v>
      </c>
      <c r="E1126" s="4" t="str" cm="1">
        <f t="array" ref="E1126">_xlfn.IFS(
F1126 = "A partir de Abril", "Aguardando Execução na Distribuidora",
A1126 = "CAPACITAÇÃO", "Em execução no Corporativo",
TRUE, "Em Execução na Distribuidora"
)</f>
        <v>Em Execução na Distribuidora</v>
      </c>
      <c r="F1126" s="4" t="str" cm="1">
        <f t="array" ref="F1126">_xlfn.IFS(
AG1126 &lt;&gt; "", "Jan-Dez/26",
AH1126 &lt;&gt; "", "Fev-Dez/26",
AI1126 &lt;&gt; "", "Mar-Dez/26", AJ1126 &lt;&gt; "", "Abr-Dez/26",
TRUE, "A partir de Junho"
)</f>
        <v>Jan-Dez/26</v>
      </c>
      <c r="G1126" s="4" t="s">
        <v>37</v>
      </c>
      <c r="H1126" s="7" t="s">
        <v>54</v>
      </c>
      <c r="I1126" s="9" t="s">
        <v>76</v>
      </c>
      <c r="J1126" s="8" t="str" cm="1">
        <f t="array" aca="1" ref="J1126" ca="1">_xlfn.LET(
  _xlpm.actual_value_month, INDEX(T1126:AE1126, MATCH(DATE(YEAR(TODAY()), MONTH(TODAY()), 1), $T$1:$AE$1, 0)),
  IF(_xlpm.actual_value_month &lt;&gt; "",_xlpm.actual_value_month &amp; " ações mensais", "")
)</f>
        <v/>
      </c>
      <c r="K1126" s="14" t="str" cm="1">
        <f t="array" ref="K1126">_xlfn.LET(
    _xlpm.sum_month, SUM(T1126:AE1126),
    IF(_xlpm.sum_month = 0, "", _xlpm.sum_month &amp; " pessoas impactadas no ano.")
)</f>
        <v/>
      </c>
      <c r="L1126" s="9" t="s">
        <v>76</v>
      </c>
      <c r="M1126" s="13">
        <v>1</v>
      </c>
      <c r="N1126" s="5" t="s">
        <v>51</v>
      </c>
      <c r="O1126" s="5" t="s">
        <v>52</v>
      </c>
      <c r="P1126" s="10" t="s">
        <v>44</v>
      </c>
      <c r="Q1126" s="10" t="s">
        <v>44</v>
      </c>
      <c r="R1126" s="11" t="s">
        <v>44</v>
      </c>
      <c r="S1126" s="11" t="s">
        <v>44</v>
      </c>
      <c r="T1126" s="22"/>
      <c r="U1126" s="22"/>
      <c r="V1126" s="22"/>
      <c r="W1126" s="22"/>
      <c r="X1126" s="22"/>
      <c r="Y1126" s="22"/>
      <c r="Z1126" s="22"/>
      <c r="AA1126" s="22"/>
      <c r="AB1126" s="22"/>
      <c r="AC1126" s="22"/>
      <c r="AD1126" s="22"/>
      <c r="AE1126" s="22"/>
      <c r="AG1126" s="146">
        <v>0</v>
      </c>
      <c r="AH1126" s="150">
        <v>32</v>
      </c>
      <c r="AI1126" s="150">
        <v>98</v>
      </c>
      <c r="AJ1126" s="146">
        <v>83</v>
      </c>
      <c r="AK1126" s="71"/>
      <c r="AL1126" s="71"/>
      <c r="AM1126" s="71"/>
      <c r="AN1126" s="71"/>
      <c r="AO1126" s="71"/>
      <c r="AP1126" s="71"/>
      <c r="AQ1126" s="71"/>
      <c r="AR1126" s="71"/>
      <c r="AS1126" s="94">
        <f t="shared" ca="1" si="1303"/>
        <v>0</v>
      </c>
      <c r="AT1126" s="95">
        <f t="shared" si="1304"/>
        <v>213</v>
      </c>
      <c r="AU1126" s="97">
        <f t="shared" si="1305"/>
        <v>213</v>
      </c>
      <c r="AW1126" s="83">
        <f t="shared" si="1306"/>
        <v>0</v>
      </c>
      <c r="AX1126" s="83">
        <f t="shared" si="1307"/>
        <v>32</v>
      </c>
      <c r="AY1126" s="83">
        <f t="shared" si="1308"/>
        <v>98</v>
      </c>
      <c r="AZ1126" s="83">
        <f t="shared" si="1309"/>
        <v>83</v>
      </c>
      <c r="BA1126" s="52"/>
      <c r="BB1126" s="52"/>
      <c r="BC1126" s="52"/>
      <c r="BD1126" s="52"/>
      <c r="BE1126" s="52"/>
      <c r="BF1126" s="52"/>
      <c r="BG1126" s="52"/>
      <c r="BH1126" s="52"/>
      <c r="BI1126" s="68" cm="1">
        <f t="array" ref="BI1126">IFERROR(INDEX(AW1126:BH1126,1,MATCH(2,1/(AW1126:BH1126&lt;&gt;""))),"")</f>
        <v>83</v>
      </c>
      <c r="BJ1126" s="68" cm="1">
        <f t="array" ref="BJ1126">IF(BM1126 = "", "",IFERROR(INDEX(AW1126:BH1126,1,MATCH(2,1/(AW1126:BH1126&lt;&gt;""),1)-1),""))</f>
        <v>98</v>
      </c>
      <c r="BK1126" s="59">
        <f t="shared" si="1310"/>
        <v>213</v>
      </c>
      <c r="BL1126" s="59" cm="1">
        <f t="array" ref="BL1126">IFERROR(SUM(AW1126:INDEX(AW1126:BH1126, MATCH(2, 1/(AW1126:BH1126&lt;&gt;""), 1) - 1))/_xlfn.XLOOKUP(F1126,Apuração!A:A,Apuração!B:B),0)</f>
        <v>10.833333333333334</v>
      </c>
      <c r="BM1126" s="55" cm="1">
        <f t="array" ref="BM1126">IFERROR(
   INDEX($AW$1:$BH$1,
      _xlfn.AGGREGATE(14, 6, COLUMN($AW$1:$BH$1)/(AW1126:BH1126&lt;&gt;""), 2) - COLUMN($AW$1) + 1
   ),
"")</f>
        <v>46082</v>
      </c>
      <c r="BN1126" s="55" cm="1">
        <f t="array" ref="BN1126">IFERROR(INDEX($AW$1:$BH$1,1,MATCH(2,1/(AW1126:BH1126&lt;&gt;""))),"")</f>
        <v>46113</v>
      </c>
      <c r="BO1126" s="53">
        <f ca="1">IFERROR(_xlfn.XLOOKUP(F1126,Apuração!A:A,Apuração!C:C)/_xlfn.XLOOKUP(F1126,Apuração!A:A,Apuração!B:B),0)</f>
        <v>0.41666666666666669</v>
      </c>
      <c r="BP1126" s="53">
        <f ca="1">IFERROR(_xlfn.XLOOKUP(F1126,Apuração!A:A,Apuração!D:D)/_xlfn.XLOOKUP(F1126,Apuração!A:A,Apuração!B:B),0)</f>
        <v>0.33333333333333331</v>
      </c>
      <c r="BQ1126" s="53">
        <f ca="1">IF(BK1126&gt;=BO1126,0,_xlfn.XLOOKUP(F1126,Apuração!A:A,Apuração!B:B)*(BO1126 + (1/_xlfn.XLOOKUP(F1126,Apuração!A:A,Apuração!B:B)) - BK1126))</f>
        <v>0</v>
      </c>
      <c r="BR1126" s="85">
        <f t="shared" ca="1" si="1311"/>
        <v>0</v>
      </c>
      <c r="BS1126" s="53">
        <f ca="1">IFERROR((_xlfn.XLOOKUP(F1126,Apuração!A:A,Apuração!C:C)+1)/_xlfn.XLOOKUP(F1126,Apuração!A:A,Apuração!B:B),0)</f>
        <v>0.5</v>
      </c>
    </row>
    <row r="1127" spans="1:71" ht="25.95" hidden="1" customHeight="1" x14ac:dyDescent="0.3">
      <c r="A1127" s="39" t="s">
        <v>33</v>
      </c>
      <c r="B1127" s="4" t="s">
        <v>73</v>
      </c>
      <c r="C1127" s="5" t="s">
        <v>209</v>
      </c>
      <c r="D1127" s="5" t="s">
        <v>212</v>
      </c>
      <c r="E1127" s="4" t="str" cm="1">
        <f t="array" ref="E1127">_xlfn.IFS(
F1127 = "A partir de Abril", "Aguardando Execução na Distribuidora",
A1127 = "CAPACITAÇÃO", "Em execução no Corporativo",
TRUE, "Em Execução na Distribuidora"
)</f>
        <v>Em Execução na Distribuidora</v>
      </c>
      <c r="F1127" s="4" t="str" cm="1">
        <f t="array" ref="F1127">_xlfn.IFS(
AG1127 &lt;&gt; "", "Jan-Dez/26",
AH1127 &lt;&gt; "", "Fev-Dez/26",
AI1127 &lt;&gt; "", "Mar-Dez/26", AJ1127 &lt;&gt; "", "Abr-Dez/26",
TRUE, "A partir de Junho"
)</f>
        <v>Jan-Dez/26</v>
      </c>
      <c r="G1127" s="4" t="s">
        <v>37</v>
      </c>
      <c r="H1127" s="7" t="s">
        <v>54</v>
      </c>
      <c r="I1127" s="9" t="s">
        <v>76</v>
      </c>
      <c r="J1127" s="8" t="str" cm="1">
        <f t="array" aca="1" ref="J1127" ca="1">_xlfn.LET(
  _xlpm.actual_value_month, INDEX(T1127:AE1127, MATCH(DATE(YEAR(TODAY()), MONTH(TODAY()), 1), $T$1:$AE$1, 0)),
  IF(_xlpm.actual_value_month &lt;&gt; "",_xlpm.actual_value_month &amp; " ações mensais", "")
)</f>
        <v/>
      </c>
      <c r="K1127" s="14" t="str" cm="1">
        <f t="array" ref="K1127">_xlfn.LET(
    _xlpm.sum_month, SUM(T1127:AE1127),
    IF(_xlpm.sum_month = 0, "", _xlpm.sum_month &amp; " pessoas impactadas no ano.")
)</f>
        <v/>
      </c>
      <c r="L1127" s="9" t="s">
        <v>76</v>
      </c>
      <c r="M1127" s="13">
        <v>1</v>
      </c>
      <c r="N1127" s="5" t="s">
        <v>51</v>
      </c>
      <c r="O1127" s="5" t="s">
        <v>52</v>
      </c>
      <c r="P1127" s="10" t="s">
        <v>44</v>
      </c>
      <c r="Q1127" s="10" t="s">
        <v>44</v>
      </c>
      <c r="R1127" s="11" t="s">
        <v>44</v>
      </c>
      <c r="S1127" s="11" t="s">
        <v>44</v>
      </c>
      <c r="T1127" s="22"/>
      <c r="U1127" s="22"/>
      <c r="V1127" s="22"/>
      <c r="W1127" s="22"/>
      <c r="X1127" s="22"/>
      <c r="Y1127" s="22"/>
      <c r="Z1127" s="22"/>
      <c r="AA1127" s="22"/>
      <c r="AB1127" s="22"/>
      <c r="AC1127" s="22"/>
      <c r="AD1127" s="22"/>
      <c r="AE1127" s="22"/>
      <c r="AG1127" s="146">
        <v>0</v>
      </c>
      <c r="AH1127" s="150">
        <v>110</v>
      </c>
      <c r="AI1127" s="150">
        <v>158</v>
      </c>
      <c r="AJ1127" s="146">
        <v>114</v>
      </c>
      <c r="AK1127" s="71"/>
      <c r="AL1127" s="71"/>
      <c r="AM1127" s="71"/>
      <c r="AN1127" s="71"/>
      <c r="AO1127" s="71"/>
      <c r="AP1127" s="71"/>
      <c r="AQ1127" s="71"/>
      <c r="AR1127" s="71"/>
      <c r="AS1127" s="94">
        <f t="shared" ca="1" si="1303"/>
        <v>0</v>
      </c>
      <c r="AT1127" s="95">
        <f t="shared" si="1304"/>
        <v>382</v>
      </c>
      <c r="AU1127" s="97">
        <f t="shared" si="1305"/>
        <v>382</v>
      </c>
      <c r="AW1127" s="83">
        <f t="shared" si="1306"/>
        <v>0</v>
      </c>
      <c r="AX1127" s="83">
        <f t="shared" si="1307"/>
        <v>110</v>
      </c>
      <c r="AY1127" s="83">
        <f t="shared" si="1308"/>
        <v>158</v>
      </c>
      <c r="AZ1127" s="83">
        <f t="shared" si="1309"/>
        <v>114</v>
      </c>
      <c r="BA1127" s="52"/>
      <c r="BB1127" s="52"/>
      <c r="BC1127" s="52"/>
      <c r="BD1127" s="52"/>
      <c r="BE1127" s="52"/>
      <c r="BF1127" s="52"/>
      <c r="BG1127" s="52"/>
      <c r="BH1127" s="52"/>
      <c r="BI1127" s="68" cm="1">
        <f t="array" ref="BI1127">IFERROR(INDEX(AW1127:BH1127,1,MATCH(2,1/(AW1127:BH1127&lt;&gt;""))),"")</f>
        <v>114</v>
      </c>
      <c r="BJ1127" s="68" cm="1">
        <f t="array" ref="BJ1127">IF(BM1127 = "", "",IFERROR(INDEX(AW1127:BH1127,1,MATCH(2,1/(AW1127:BH1127&lt;&gt;""),1)-1),""))</f>
        <v>158</v>
      </c>
      <c r="BK1127" s="59">
        <f t="shared" si="1310"/>
        <v>382</v>
      </c>
      <c r="BL1127" s="59" cm="1">
        <f t="array" ref="BL1127">IFERROR(SUM(AW1127:INDEX(AW1127:BH1127, MATCH(2, 1/(AW1127:BH1127&lt;&gt;""), 1) - 1))/_xlfn.XLOOKUP(F1127,Apuração!A:A,Apuração!B:B),0)</f>
        <v>22.333333333333332</v>
      </c>
      <c r="BM1127" s="55" cm="1">
        <f t="array" ref="BM1127">IFERROR(
   INDEX($AW$1:$BH$1,
      _xlfn.AGGREGATE(14, 6, COLUMN($AW$1:$BH$1)/(AW1127:BH1127&lt;&gt;""), 2) - COLUMN($AW$1) + 1
   ),
"")</f>
        <v>46082</v>
      </c>
      <c r="BN1127" s="55" cm="1">
        <f t="array" ref="BN1127">IFERROR(INDEX($AW$1:$BH$1,1,MATCH(2,1/(AW1127:BH1127&lt;&gt;""))),"")</f>
        <v>46113</v>
      </c>
      <c r="BO1127" s="53">
        <f ca="1">IFERROR(_xlfn.XLOOKUP(F1127,Apuração!A:A,Apuração!C:C)/_xlfn.XLOOKUP(F1127,Apuração!A:A,Apuração!B:B),0)</f>
        <v>0.41666666666666669</v>
      </c>
      <c r="BP1127" s="53">
        <f ca="1">IFERROR(_xlfn.XLOOKUP(F1127,Apuração!A:A,Apuração!D:D)/_xlfn.XLOOKUP(F1127,Apuração!A:A,Apuração!B:B),0)</f>
        <v>0.33333333333333331</v>
      </c>
      <c r="BQ1127" s="53">
        <f ca="1">IF(BK1127&gt;=BO1127,0,_xlfn.XLOOKUP(F1127,Apuração!A:A,Apuração!B:B)*(BO1127 + (1/_xlfn.XLOOKUP(F1127,Apuração!A:A,Apuração!B:B)) - BK1127))</f>
        <v>0</v>
      </c>
      <c r="BR1127" s="85">
        <f t="shared" ca="1" si="1311"/>
        <v>0</v>
      </c>
      <c r="BS1127" s="53">
        <f ca="1">IFERROR((_xlfn.XLOOKUP(F1127,Apuração!A:A,Apuração!C:C)+1)/_xlfn.XLOOKUP(F1127,Apuração!A:A,Apuração!B:B),0)</f>
        <v>0.5</v>
      </c>
    </row>
    <row r="1128" spans="1:71" ht="25.95" hidden="1" customHeight="1" x14ac:dyDescent="0.3">
      <c r="A1128" s="39" t="s">
        <v>33</v>
      </c>
      <c r="B1128" s="4" t="s">
        <v>73</v>
      </c>
      <c r="C1128" s="5" t="s">
        <v>209</v>
      </c>
      <c r="D1128" s="5" t="s">
        <v>213</v>
      </c>
      <c r="E1128" s="4" t="str" cm="1">
        <f t="array" ref="E1128">_xlfn.IFS(
F1128 = "A partir de Abril", "Aguardando Execução na Distribuidora",
A1128 = "CAPACITAÇÃO", "Em execução no Corporativo",
TRUE, "Em Execução na Distribuidora"
)</f>
        <v>Em Execução na Distribuidora</v>
      </c>
      <c r="F1128" s="4" t="str" cm="1">
        <f t="array" ref="F1128">_xlfn.IFS(
AG1128 &lt;&gt; "", "Jan-Dez/26",
AH1128 &lt;&gt; "", "Fev-Dez/26",
AI1128 &lt;&gt; "", "Mar-Dez/26", AJ1128 &lt;&gt; "", "Abr-Dez/26",
TRUE, "A partir de Junho"
)</f>
        <v>Jan-Dez/26</v>
      </c>
      <c r="G1128" s="4" t="s">
        <v>37</v>
      </c>
      <c r="H1128" s="7" t="s">
        <v>54</v>
      </c>
      <c r="I1128" s="9" t="s">
        <v>76</v>
      </c>
      <c r="J1128" s="8" t="str" cm="1">
        <f t="array" aca="1" ref="J1128" ca="1">_xlfn.LET(
  _xlpm.actual_value_month, INDEX(T1128:AE1128, MATCH(DATE(YEAR(TODAY()), MONTH(TODAY()), 1), $T$1:$AE$1, 0)),
  IF(_xlpm.actual_value_month &lt;&gt; "",_xlpm.actual_value_month &amp; " ações mensais", "")
)</f>
        <v/>
      </c>
      <c r="K1128" s="14" t="str" cm="1">
        <f t="array" ref="K1128">_xlfn.LET(
    _xlpm.sum_month, SUM(T1128:AE1128),
    IF(_xlpm.sum_month = 0, "", _xlpm.sum_month &amp; " pessoas impactadas no ano.")
)</f>
        <v/>
      </c>
      <c r="L1128" s="9" t="s">
        <v>76</v>
      </c>
      <c r="M1128" s="13">
        <v>1</v>
      </c>
      <c r="N1128" s="5" t="s">
        <v>51</v>
      </c>
      <c r="O1128" s="5" t="s">
        <v>52</v>
      </c>
      <c r="P1128" s="10" t="s">
        <v>44</v>
      </c>
      <c r="Q1128" s="10" t="s">
        <v>44</v>
      </c>
      <c r="R1128" s="11" t="s">
        <v>44</v>
      </c>
      <c r="S1128" s="11" t="s">
        <v>44</v>
      </c>
      <c r="T1128" s="22"/>
      <c r="U1128" s="22"/>
      <c r="V1128" s="22"/>
      <c r="W1128" s="22"/>
      <c r="X1128" s="22"/>
      <c r="Y1128" s="22"/>
      <c r="Z1128" s="22"/>
      <c r="AA1128" s="22"/>
      <c r="AB1128" s="22"/>
      <c r="AC1128" s="22"/>
      <c r="AD1128" s="22"/>
      <c r="AE1128" s="22"/>
      <c r="AG1128" s="146">
        <v>67</v>
      </c>
      <c r="AH1128" s="150">
        <v>290</v>
      </c>
      <c r="AI1128" s="150">
        <v>288</v>
      </c>
      <c r="AJ1128" s="146">
        <v>299</v>
      </c>
      <c r="AK1128" s="71"/>
      <c r="AL1128" s="71"/>
      <c r="AM1128" s="71"/>
      <c r="AN1128" s="71"/>
      <c r="AO1128" s="71"/>
      <c r="AP1128" s="71"/>
      <c r="AQ1128" s="71"/>
      <c r="AR1128" s="71"/>
      <c r="AS1128" s="94">
        <f t="shared" ca="1" si="1303"/>
        <v>0</v>
      </c>
      <c r="AT1128" s="95">
        <f t="shared" si="1304"/>
        <v>944</v>
      </c>
      <c r="AU1128" s="97">
        <f t="shared" si="1305"/>
        <v>944</v>
      </c>
      <c r="AW1128" s="83">
        <f t="shared" si="1306"/>
        <v>67</v>
      </c>
      <c r="AX1128" s="83">
        <f t="shared" si="1307"/>
        <v>290</v>
      </c>
      <c r="AY1128" s="83">
        <f t="shared" si="1308"/>
        <v>288</v>
      </c>
      <c r="AZ1128" s="83">
        <f t="shared" si="1309"/>
        <v>299</v>
      </c>
      <c r="BA1128" s="52"/>
      <c r="BB1128" s="52"/>
      <c r="BC1128" s="52"/>
      <c r="BD1128" s="52"/>
      <c r="BE1128" s="52"/>
      <c r="BF1128" s="52"/>
      <c r="BG1128" s="52"/>
      <c r="BH1128" s="52"/>
      <c r="BI1128" s="68" cm="1">
        <f t="array" ref="BI1128">IFERROR(INDEX(AW1128:BH1128,1,MATCH(2,1/(AW1128:BH1128&lt;&gt;""))),"")</f>
        <v>299</v>
      </c>
      <c r="BJ1128" s="68" cm="1">
        <f t="array" ref="BJ1128">IF(BM1128 = "", "",IFERROR(INDEX(AW1128:BH1128,1,MATCH(2,1/(AW1128:BH1128&lt;&gt;""),1)-1),""))</f>
        <v>288</v>
      </c>
      <c r="BK1128" s="59">
        <f t="shared" si="1310"/>
        <v>944</v>
      </c>
      <c r="BL1128" s="59" cm="1">
        <f t="array" ref="BL1128">IFERROR(SUM(AW1128:INDEX(AW1128:BH1128, MATCH(2, 1/(AW1128:BH1128&lt;&gt;""), 1) - 1))/_xlfn.XLOOKUP(F1128,Apuração!A:A,Apuração!B:B),0)</f>
        <v>53.75</v>
      </c>
      <c r="BM1128" s="55" cm="1">
        <f t="array" ref="BM1128">IFERROR(
   INDEX($AW$1:$BH$1,
      _xlfn.AGGREGATE(14, 6, COLUMN($AW$1:$BH$1)/(AW1128:BH1128&lt;&gt;""), 2) - COLUMN($AW$1) + 1
   ),
"")</f>
        <v>46082</v>
      </c>
      <c r="BN1128" s="55" cm="1">
        <f t="array" ref="BN1128">IFERROR(INDEX($AW$1:$BH$1,1,MATCH(2,1/(AW1128:BH1128&lt;&gt;""))),"")</f>
        <v>46113</v>
      </c>
      <c r="BO1128" s="53">
        <f ca="1">IFERROR(_xlfn.XLOOKUP(F1128,Apuração!A:A,Apuração!C:C)/_xlfn.XLOOKUP(F1128,Apuração!A:A,Apuração!B:B),0)</f>
        <v>0.41666666666666669</v>
      </c>
      <c r="BP1128" s="53">
        <f ca="1">IFERROR(_xlfn.XLOOKUP(F1128,Apuração!A:A,Apuração!D:D)/_xlfn.XLOOKUP(F1128,Apuração!A:A,Apuração!B:B),0)</f>
        <v>0.33333333333333331</v>
      </c>
      <c r="BQ1128" s="53">
        <f ca="1">IF(BK1128&gt;=BO1128,0,_xlfn.XLOOKUP(F1128,Apuração!A:A,Apuração!B:B)*(BO1128 + (1/_xlfn.XLOOKUP(F1128,Apuração!A:A,Apuração!B:B)) - BK1128))</f>
        <v>0</v>
      </c>
      <c r="BR1128" s="85">
        <f t="shared" ca="1" si="1311"/>
        <v>0</v>
      </c>
      <c r="BS1128" s="53">
        <f ca="1">IFERROR((_xlfn.XLOOKUP(F1128,Apuração!A:A,Apuração!C:C)+1)/_xlfn.XLOOKUP(F1128,Apuração!A:A,Apuração!B:B),0)</f>
        <v>0.5</v>
      </c>
    </row>
    <row r="1129" spans="1:71" ht="25.95" hidden="1" customHeight="1" x14ac:dyDescent="0.3">
      <c r="A1129" s="3" t="s">
        <v>33</v>
      </c>
      <c r="B1129" s="4" t="s">
        <v>77</v>
      </c>
      <c r="C1129" s="5" t="s">
        <v>209</v>
      </c>
      <c r="D1129" s="5" t="s">
        <v>36</v>
      </c>
      <c r="E1129" s="4" t="str" cm="1">
        <f t="array" ref="E1129">_xlfn.IFS(
F1129 = "A partir de Abril", "Aguardando Execução na Distribuidora",
A1129 = "CAPACITAÇÃO", "Em execução no Corporativo",
TRUE, "Em Execução na Distribuidora"
)</f>
        <v>Em Execução na Distribuidora</v>
      </c>
      <c r="F1129" s="4" t="str" cm="1">
        <f t="array" ref="F1129">_xlfn.IFS(
AG1129 &lt;&gt; "", "Jan-Dez/26",
AH1129 &lt;&gt; "", "Fev-Dez/26",
AI1129 &lt;&gt; "", "Mar-Dez/26", AJ1129 &lt;&gt; "", "Abr-Dez/26",
TRUE, "A partir de Junho"
)</f>
        <v>Jan-Dez/26</v>
      </c>
      <c r="G1129" s="4" t="s">
        <v>37</v>
      </c>
      <c r="H1129" s="7" t="s">
        <v>54</v>
      </c>
      <c r="I1129" s="8" t="s">
        <v>78</v>
      </c>
      <c r="J1129" s="8" t="str" cm="1">
        <f t="array" aca="1" ref="J1129" ca="1">_xlfn.LET(
  _xlpm.actual_value_month, INDEX(T1129:AE1129, MATCH(DATE(YEAR(TODAY()), MONTH(TODAY()), 1), $T$1:$AE$1, 0)),
  IF(_xlpm.actual_value_month &lt;&gt; "",_xlpm.actual_value_month &amp; " eventos mensais", "")
)</f>
        <v>20 eventos mensais</v>
      </c>
      <c r="K1129" s="8" t="str" cm="1">
        <f t="array" ref="K1129">_xlfn.LET(
    _xlpm.sum_month, SUM(T1129:AE1129),
    IF(_xlpm.sum_month = 0, "", _xlpm.sum_month &amp; " eventos no ano.")
)</f>
        <v>1004 eventos no ano.</v>
      </c>
      <c r="L1129" s="9" t="s">
        <v>56</v>
      </c>
      <c r="M1129" s="13" t="s">
        <v>79</v>
      </c>
      <c r="N1129" s="5" t="s">
        <v>42</v>
      </c>
      <c r="O1129" s="5" t="s">
        <v>43</v>
      </c>
      <c r="P1129" s="10" t="s">
        <v>44</v>
      </c>
      <c r="Q1129" s="10" t="s">
        <v>44</v>
      </c>
      <c r="R1129" s="11" t="s">
        <v>44</v>
      </c>
      <c r="S1129" s="11" t="s">
        <v>44</v>
      </c>
      <c r="T1129" s="22">
        <v>327</v>
      </c>
      <c r="U1129" s="22">
        <v>316</v>
      </c>
      <c r="V1129" s="22">
        <v>181</v>
      </c>
      <c r="W1129" s="22">
        <v>20</v>
      </c>
      <c r="X1129" s="22">
        <v>20</v>
      </c>
      <c r="Y1129" s="22">
        <v>20</v>
      </c>
      <c r="Z1129" s="22">
        <v>20</v>
      </c>
      <c r="AA1129" s="22">
        <v>20</v>
      </c>
      <c r="AB1129" s="22">
        <v>20</v>
      </c>
      <c r="AC1129" s="22">
        <v>20</v>
      </c>
      <c r="AD1129" s="22">
        <v>20</v>
      </c>
      <c r="AE1129" s="22">
        <v>20</v>
      </c>
      <c r="AG1129" s="71">
        <v>327</v>
      </c>
      <c r="AH1129" s="71">
        <v>316</v>
      </c>
      <c r="AI1129" s="71">
        <v>181</v>
      </c>
      <c r="AJ1129" s="71">
        <v>204</v>
      </c>
      <c r="AK1129" s="71"/>
      <c r="AL1129" s="71"/>
      <c r="AM1129" s="71"/>
      <c r="AN1129" s="71"/>
      <c r="AO1129" s="71"/>
      <c r="AP1129" s="71"/>
      <c r="AQ1129" s="71"/>
      <c r="AR1129" s="71"/>
      <c r="AS1129" s="94">
        <f ca="1">IF(MONTH(TODAY())=3,SUM(T1129:U1129),IF(MONTH(TODAY())=4,SUM(T1129:V1129),IF(MONTH(TODAY())=5,SUM(T1129:W1129),IF(MONTH(TODAY())=6,SUM(T1129:X1129),IF(MONTH(TODAY())=7,SUM(T1129:Y1129),IF(MONTH(TODAY())=8,SUM(T1129:Z1129),IF(MONTH(TODAY())=9,SUM(T1129:AA1129),IF(MONTH(TODAY())=10,SUM(T1129:AB1129),IF(MONTH(TODAY())=11,SUM(T1129:AC1129),IF(MONTH(TODAY())=12,SUM(T1129:AD1129),IF(MONTH(TODAY())=1,SUM(T1129:AE1129),T1129)))))))))))</f>
        <v>864</v>
      </c>
      <c r="AT1129" s="95">
        <f>SUM(IF(AW1129&lt;1.15,AG1129,1.15*T1129),IF(AX1129&lt;1.15,AH1129,1.15*U1129),IF(AY1129&lt;1.15,AI1129,1.15*V1129),IF(AZ1129&lt;1.15,AJ1129,1.15*W1129),IF(BA1129&lt;1.15,AK1129,1.15*X1129),IF(BB1129&lt;1.15,AL1129,1.15*Y1129),IF(BC1129&lt;1.15,AM1129,1.15*Z1129),IF(BD1129&lt;1.15,AN1129,1.15*AA1129),IF(BE1129&lt;1.15,AO1129,1.15*AB1129),IF(BF1129&lt;1.15,AP1129,1.15*AC1129),IF(BG1129&lt;1.15,AQ1129,1.15*AD1129),IF(BH1129&lt;1.15,AR1129,1.15*AE1129))</f>
        <v>847</v>
      </c>
      <c r="AU1129" s="97">
        <f>SUM(AG1129:AR1129)</f>
        <v>1028</v>
      </c>
      <c r="AW1129" s="51">
        <f>IFERROR(IF(AG1129="",0,AG1129/T1129),0)</f>
        <v>1</v>
      </c>
      <c r="AX1129" s="51">
        <f>IFERROR(IF(AH1129="",0,AH1129/U1129),0)</f>
        <v>1</v>
      </c>
      <c r="AY1129" s="51">
        <f>IFERROR(IF(AI1129="",0,AI1129/V1129),0)</f>
        <v>1</v>
      </c>
      <c r="AZ1129" s="51">
        <f>IFERROR(IF(AJ1129="",0,AJ1129/W1129),0)</f>
        <v>10.199999999999999</v>
      </c>
      <c r="BA1129" s="51"/>
      <c r="BB1129" s="51"/>
      <c r="BC1129" s="51"/>
      <c r="BD1129" s="51"/>
      <c r="BE1129" s="51"/>
      <c r="BF1129" s="51"/>
      <c r="BG1129" s="51"/>
      <c r="BH1129" s="51"/>
      <c r="BI1129" s="65" cm="1">
        <f t="array" ref="BI1129">IFERROR(INDEX(AW1129:BH1129,1,MATCH(2,1/(AW1129:BH1129&lt;&gt;""))),"")</f>
        <v>10.199999999999999</v>
      </c>
      <c r="BJ1129" s="68" cm="1">
        <f t="array" ref="BJ1129">IF(BM1129 = "", "",IFERROR(INDEX(AW1129:BH1129,1,MATCH(2,1/(AW1129:BH1129&lt;&gt;""),1)-1),""))</f>
        <v>1</v>
      </c>
      <c r="BK1129" s="58">
        <f>IF((IF(AW1129&gt;=115%,115%,AW1129) + IF(AX1129&gt;=115%,115%,AX1129) + IF(AY1129&gt;=115%,115%,AY1129) + (IF(AZ1129&gt;=115%,115%,AZ1129) + IF(BA1129&gt;=115%,115%,BA1129) + IF(BB1129&gt;=115%,115%,BB1129) + IF(BC1129&gt;=115%,115%,BC1129) + IF(BD1129&gt;=115%,115%,BD1129) + IF(BE1129&gt;=115%,115%,BE1129) + IF(BF1129&gt;=115%,115%,BF1129) + IF(BG1129&gt;=115%,115%,BG1129) + IF(BH1129&gt;=115%,115%,BH1129)))/_xlfn.XLOOKUP(F1129,Apuração!A:A,Apuração!B:B)&gt;=1.15,1.15,((IF(AZ1129&gt;=115%,115%,AZ1129) + IF(AX1129&gt;=115%,115%,AX1129) + IF(AY1129&gt;=115%,115%,AY1129) + (IF(AW1129&gt;=115%,115%,AW1129) + IF(BA1129&gt;=115%,115%,BA1129) + IF(BB1129&gt;=115%,115%,BB1129) + IF(BC1129&gt;=115%,115%,BC1129) + IF(BD1129&gt;=115%,115%,BD1129) + IF(BE1129&gt;=115%,115%,BE1129) + IF(BF1129&gt;=115%,115%,BF1129) + IF(BG1129&gt;=115%,115%,BG1129) + IF(BH1129&gt;=115%,115%,BH1129)))/_xlfn.XLOOKUP(F1129,Apuração!A:A,Apuração!B:B)))</f>
        <v>0.34583333333333338</v>
      </c>
      <c r="BL1129" s="58" cm="1">
        <f t="array" aca="1" ref="BL1129" ca="1">IF(SUM(IFERROR(IF(INDEX(AW1129:INDEX(AW1129:BH1129, MATCH(2, 1/(AW1129:BH1129&lt;&gt;""), 1)-1), ROW(INDIRECT("1:" &amp; MATCH(2, 1/(AW1129:BH1129&lt;&gt;""), 1)-1))) &gt;= 115%, 115%, INDEX(AW1129:INDEX(AW1129:BH1129, MATCH(2, 1/(AW1129:BH1129&lt;&gt;""), 1)-1), ROW(INDIRECT("1:" &amp; MATCH(2, 1/(AW1129:BH1129&lt;&gt;""), 1)-1)))), 0))/_xlfn.XLOOKUP(F1129,Apuração!A:A,Apuração!B:B)&gt;=1.15,1.15,SUM(IFERROR(IF(INDEX(AW1129:INDEX(AW1129:BH1129, MATCH(2, 1/(AW1129:BH1129&lt;&gt;""), 1)-1), ROW(INDIRECT("1:" &amp; MATCH(2, 1/(AW1129:BH1129&lt;&gt;""), 1)-1))) &gt;= 115%, 115%, INDEX(AW1129:INDEX(AW1129:BH1129, MATCH(2, 1/(AW1129:BH1129&lt;&gt;""), 1)-1), ROW(INDIRECT("1:" &amp; MATCH(2, 1/(AW1129:BH1129&lt;&gt;""), 1)-1)))), 0))/_xlfn.XLOOKUP(F1129,Apuração!A:A,Apuração!B:B))</f>
        <v>0.25</v>
      </c>
      <c r="BM1129" s="55" cm="1">
        <f t="array" ref="BM1129">IFERROR(
   INDEX($AW$1:$BH$1,
      _xlfn.AGGREGATE(14, 6, COLUMN($AW$1:$BH$1)/(AW1129:BH1129&lt;&gt;""), 2) - COLUMN($AW$1) + 1
   ),
"")</f>
        <v>46082</v>
      </c>
      <c r="BN1129" s="55" cm="1">
        <f t="array" ref="BN1129">IFERROR(INDEX($AW$1:$BH$1,1,MATCH(2,1/(AW1129:BH1129&lt;&gt;""))),"")</f>
        <v>46113</v>
      </c>
      <c r="BO1129" s="53">
        <f ca="1">IFERROR(_xlfn.XLOOKUP(F1129,Apuração!A:A,Apuração!C:C)/_xlfn.XLOOKUP(F1129,Apuração!A:A,Apuração!B:B),0)</f>
        <v>0.41666666666666669</v>
      </c>
      <c r="BP1129" s="53">
        <f ca="1">IFERROR(_xlfn.XLOOKUP(F1129,Apuração!A:A,Apuração!D:D)/_xlfn.XLOOKUP(F1129,Apuração!A:A,Apuração!B:B),0)</f>
        <v>0.33333333333333331</v>
      </c>
      <c r="BQ1129" s="53">
        <f ca="1">IF(BK1129&gt;=BO1129,0,_xlfn.XLOOKUP(F1129,Apuração!A:A,Apuração!B:B)*(BO1129 + (1/_xlfn.XLOOKUP(F1129,Apuração!A:A,Apuração!B:B)) - BK1129))</f>
        <v>1.8499999999999994</v>
      </c>
      <c r="BR1129" s="85">
        <f ca="1">IF(BQ1129=0,0,BQ1129*Z1129)</f>
        <v>36.999999999999986</v>
      </c>
      <c r="BS1129" s="53">
        <f ca="1">IFERROR((_xlfn.XLOOKUP(F1129,Apuração!A:A,Apuração!C:C)+1)/_xlfn.XLOOKUP(F1129,Apuração!A:A,Apuração!B:B),0)</f>
        <v>0.5</v>
      </c>
    </row>
    <row r="1130" spans="1:71" ht="25.95" hidden="1" customHeight="1" x14ac:dyDescent="0.3">
      <c r="A1130" s="3" t="s">
        <v>33</v>
      </c>
      <c r="B1130" s="4" t="s">
        <v>77</v>
      </c>
      <c r="C1130" s="5" t="s">
        <v>209</v>
      </c>
      <c r="D1130" s="5" t="s">
        <v>210</v>
      </c>
      <c r="E1130" s="4" t="str" cm="1">
        <f t="array" ref="E1130">_xlfn.IFS(
F1130 = "A partir de Abril", "Aguardando Execução na Distribuidora",
A1130 = "CAPACITAÇÃO", "Em execução no Corporativo",
TRUE, "Em Execução na Distribuidora"
)</f>
        <v>Em Execução na Distribuidora</v>
      </c>
      <c r="F1130" s="4" t="str" cm="1">
        <f t="array" ref="F1130">_xlfn.IFS(
AG1130 &lt;&gt; "", "Jan-Dez/26",
AH1130 &lt;&gt; "", "Fev-Dez/26",
AI1130 &lt;&gt; "", "Mar-Dez/26", AJ1130 &lt;&gt; "", "Abr-Dez/26",
TRUE, "A partir de Junho"
)</f>
        <v>Jan-Dez/26</v>
      </c>
      <c r="G1130" s="4" t="s">
        <v>37</v>
      </c>
      <c r="H1130" s="7" t="s">
        <v>54</v>
      </c>
      <c r="I1130" s="8" t="s">
        <v>78</v>
      </c>
      <c r="J1130" s="8" t="str" cm="1">
        <f t="array" aca="1" ref="J1130" ca="1">_xlfn.LET(
  _xlpm.actual_value_month, INDEX(T1130:AE1130, MATCH(DATE(YEAR(TODAY()), MONTH(TODAY()), 1), $T$1:$AE$1, 0)),
  IF(_xlpm.actual_value_month &lt;&gt; "",_xlpm.actual_value_month &amp; " eventos mensais", "")
)</f>
        <v>4 eventos mensais</v>
      </c>
      <c r="K1130" s="8" t="str" cm="1">
        <f t="array" ref="K1130">_xlfn.LET(
    _xlpm.sum_month, SUM(T1130:AE1130),
    IF(_xlpm.sum_month = 0, "", _xlpm.sum_month &amp; " eventos no ano.")
)</f>
        <v>152 eventos no ano.</v>
      </c>
      <c r="L1130" s="9" t="s">
        <v>56</v>
      </c>
      <c r="M1130" s="13" t="s">
        <v>79</v>
      </c>
      <c r="N1130" s="5" t="s">
        <v>42</v>
      </c>
      <c r="O1130" s="5" t="s">
        <v>43</v>
      </c>
      <c r="P1130" s="10" t="s">
        <v>44</v>
      </c>
      <c r="Q1130" s="10" t="s">
        <v>44</v>
      </c>
      <c r="R1130" s="11" t="s">
        <v>44</v>
      </c>
      <c r="S1130" s="11" t="s">
        <v>44</v>
      </c>
      <c r="T1130" s="143">
        <v>39</v>
      </c>
      <c r="U1130" s="143">
        <v>50</v>
      </c>
      <c r="V1130" s="143">
        <v>27</v>
      </c>
      <c r="W1130" s="143">
        <v>4</v>
      </c>
      <c r="X1130" s="143">
        <v>4</v>
      </c>
      <c r="Y1130" s="143">
        <v>4</v>
      </c>
      <c r="Z1130" s="143">
        <v>4</v>
      </c>
      <c r="AA1130" s="143">
        <v>4</v>
      </c>
      <c r="AB1130" s="143">
        <v>4</v>
      </c>
      <c r="AC1130" s="143">
        <v>4</v>
      </c>
      <c r="AD1130" s="143">
        <v>4</v>
      </c>
      <c r="AE1130" s="143">
        <v>4</v>
      </c>
      <c r="AG1130" s="82">
        <v>39</v>
      </c>
      <c r="AH1130" s="82">
        <v>50</v>
      </c>
      <c r="AI1130" s="82">
        <v>27</v>
      </c>
      <c r="AJ1130" s="82">
        <v>31</v>
      </c>
      <c r="AK1130" s="71"/>
      <c r="AL1130" s="71"/>
      <c r="AM1130" s="71"/>
      <c r="AN1130" s="71"/>
      <c r="AO1130" s="71"/>
      <c r="AP1130" s="71"/>
      <c r="AQ1130" s="71"/>
      <c r="AR1130" s="71"/>
      <c r="AS1130" s="94">
        <f t="shared" ref="AS1130:AS1134" ca="1" si="1312">IF(MONTH(TODAY())=3,SUM(T1130:U1130),IF(MONTH(TODAY())=4,SUM(T1130:V1130),IF(MONTH(TODAY())=5,SUM(T1130:W1130),IF(MONTH(TODAY())=6,SUM(T1130:X1130),IF(MONTH(TODAY())=7,SUM(T1130:Y1130),IF(MONTH(TODAY())=8,SUM(T1130:Z1130),IF(MONTH(TODAY())=9,SUM(T1130:AA1130),IF(MONTH(TODAY())=10,SUM(T1130:AB1130),IF(MONTH(TODAY())=11,SUM(T1130:AC1130),IF(MONTH(TODAY())=12,SUM(T1130:AD1130),IF(MONTH(TODAY())=1,SUM(T1130:AE1130),T1130)))))))))))</f>
        <v>124</v>
      </c>
      <c r="AT1130" s="95">
        <f t="shared" ref="AT1130:AT1134" si="1313">SUM(IF(AW1130&lt;1.15,AG1130,1.15*T1130),IF(AX1130&lt;1.15,AH1130,1.15*U1130),IF(AY1130&lt;1.15,AI1130,1.15*V1130),IF(AZ1130&lt;1.15,AJ1130,1.15*W1130),IF(BA1130&lt;1.15,AK1130,1.15*X1130),IF(BB1130&lt;1.15,AL1130,1.15*Y1130),IF(BC1130&lt;1.15,AM1130,1.15*Z1130),IF(BD1130&lt;1.15,AN1130,1.15*AA1130),IF(BE1130&lt;1.15,AO1130,1.15*AB1130),IF(BF1130&lt;1.15,AP1130,1.15*AC1130),IF(BG1130&lt;1.15,AQ1130,1.15*AD1130),IF(BH1130&lt;1.15,AR1130,1.15*AE1130))</f>
        <v>120.6</v>
      </c>
      <c r="AU1130" s="97">
        <f t="shared" ref="AU1130:AU1134" si="1314">SUM(AG1130:AR1130)</f>
        <v>147</v>
      </c>
      <c r="AW1130" s="51">
        <f t="shared" ref="AW1130:AW1134" si="1315">IFERROR(IF(AG1130="",0,AG1130/T1130),0)</f>
        <v>1</v>
      </c>
      <c r="AX1130" s="51">
        <f t="shared" ref="AX1130:AX1134" si="1316">IFERROR(IF(AH1130="",0,AH1130/U1130),0)</f>
        <v>1</v>
      </c>
      <c r="AY1130" s="51">
        <f t="shared" ref="AY1130:AY1134" si="1317">IFERROR(IF(AI1130="",0,AI1130/V1130),0)</f>
        <v>1</v>
      </c>
      <c r="AZ1130" s="51">
        <f t="shared" ref="AZ1130:AZ1134" si="1318">IFERROR(IF(AJ1130="",0,AJ1130/W1130),0)</f>
        <v>7.75</v>
      </c>
      <c r="BA1130" s="51"/>
      <c r="BB1130" s="51"/>
      <c r="BC1130" s="51"/>
      <c r="BD1130" s="51"/>
      <c r="BE1130" s="51"/>
      <c r="BF1130" s="51"/>
      <c r="BG1130" s="51"/>
      <c r="BH1130" s="51"/>
      <c r="BI1130" s="65" cm="1">
        <f t="array" ref="BI1130">IFERROR(INDEX(AW1130:BH1130,1,MATCH(2,1/(AW1130:BH1130&lt;&gt;""))),"")</f>
        <v>7.75</v>
      </c>
      <c r="BJ1130" s="68" cm="1">
        <f t="array" ref="BJ1130">IF(BM1130 = "", "",IFERROR(INDEX(AW1130:BH1130,1,MATCH(2,1/(AW1130:BH1130&lt;&gt;""),1)-1),""))</f>
        <v>1</v>
      </c>
      <c r="BK1130" s="58">
        <f>IF((IF(AW1130&gt;=115%,115%,AW1130) + IF(AX1130&gt;=115%,115%,AX1130) + IF(AY1130&gt;=115%,115%,AY1130) + (IF(AZ1130&gt;=115%,115%,AZ1130) + IF(BA1130&gt;=115%,115%,BA1130) + IF(BB1130&gt;=115%,115%,BB1130) + IF(BC1130&gt;=115%,115%,BC1130) + IF(BD1130&gt;=115%,115%,BD1130) + IF(BE1130&gt;=115%,115%,BE1130) + IF(BF1130&gt;=115%,115%,BF1130) + IF(BG1130&gt;=115%,115%,BG1130) + IF(BH1130&gt;=115%,115%,BH1130)))/_xlfn.XLOOKUP(F1130,Apuração!A:A,Apuração!B:B)&gt;=1.15,1.15,((IF(AZ1130&gt;=115%,115%,AZ1130) + IF(AX1130&gt;=115%,115%,AX1130) + IF(AY1130&gt;=115%,115%,AY1130) + (IF(AW1130&gt;=115%,115%,AW1130) + IF(BA1130&gt;=115%,115%,BA1130) + IF(BB1130&gt;=115%,115%,BB1130) + IF(BC1130&gt;=115%,115%,BC1130) + IF(BD1130&gt;=115%,115%,BD1130) + IF(BE1130&gt;=115%,115%,BE1130) + IF(BF1130&gt;=115%,115%,BF1130) + IF(BG1130&gt;=115%,115%,BG1130) + IF(BH1130&gt;=115%,115%,BH1130)))/_xlfn.XLOOKUP(F1130,Apuração!A:A,Apuração!B:B)))</f>
        <v>0.34583333333333338</v>
      </c>
      <c r="BL1130" s="58" cm="1">
        <f t="array" aca="1" ref="BL1130" ca="1">IF(SUM(IFERROR(IF(INDEX(AW1130:INDEX(AW1130:BH1130, MATCH(2, 1/(AW1130:BH1130&lt;&gt;""), 1)-1), ROW(INDIRECT("1:" &amp; MATCH(2, 1/(AW1130:BH1130&lt;&gt;""), 1)-1))) &gt;= 115%, 115%, INDEX(AW1130:INDEX(AW1130:BH1130, MATCH(2, 1/(AW1130:BH1130&lt;&gt;""), 1)-1), ROW(INDIRECT("1:" &amp; MATCH(2, 1/(AW1130:BH1130&lt;&gt;""), 1)-1)))), 0))/_xlfn.XLOOKUP(F1130,Apuração!A:A,Apuração!B:B)&gt;=1.15,1.15,SUM(IFERROR(IF(INDEX(AW1130:INDEX(AW1130:BH1130, MATCH(2, 1/(AW1130:BH1130&lt;&gt;""), 1)-1), ROW(INDIRECT("1:" &amp; MATCH(2, 1/(AW1130:BH1130&lt;&gt;""), 1)-1))) &gt;= 115%, 115%, INDEX(AW1130:INDEX(AW1130:BH1130, MATCH(2, 1/(AW1130:BH1130&lt;&gt;""), 1)-1), ROW(INDIRECT("1:" &amp; MATCH(2, 1/(AW1130:BH1130&lt;&gt;""), 1)-1)))), 0))/_xlfn.XLOOKUP(F1130,Apuração!A:A,Apuração!B:B))</f>
        <v>0.25</v>
      </c>
      <c r="BM1130" s="55" cm="1">
        <f t="array" ref="BM1130">IFERROR(
   INDEX($AW$1:$BH$1,
      _xlfn.AGGREGATE(14, 6, COLUMN($AW$1:$BH$1)/(AW1130:BH1130&lt;&gt;""), 2) - COLUMN($AW$1) + 1
   ),
"")</f>
        <v>46082</v>
      </c>
      <c r="BN1130" s="55" cm="1">
        <f t="array" ref="BN1130">IFERROR(INDEX($AW$1:$BH$1,1,MATCH(2,1/(AW1130:BH1130&lt;&gt;""))),"")</f>
        <v>46113</v>
      </c>
      <c r="BO1130" s="53">
        <f ca="1">IFERROR(_xlfn.XLOOKUP(F1130,Apuração!A:A,Apuração!C:C)/_xlfn.XLOOKUP(F1130,Apuração!A:A,Apuração!B:B),0)</f>
        <v>0.41666666666666669</v>
      </c>
      <c r="BP1130" s="53">
        <f ca="1">IFERROR(_xlfn.XLOOKUP(F1130,Apuração!A:A,Apuração!D:D)/_xlfn.XLOOKUP(F1130,Apuração!A:A,Apuração!B:B),0)</f>
        <v>0.33333333333333331</v>
      </c>
      <c r="BQ1130" s="53">
        <f ca="1">IF(BK1130&gt;=BO1130,0,_xlfn.XLOOKUP(F1130,Apuração!A:A,Apuração!B:B)*(BO1130 + (1/_xlfn.XLOOKUP(F1130,Apuração!A:A,Apuração!B:B)) - BK1130))</f>
        <v>1.8499999999999994</v>
      </c>
      <c r="BR1130" s="85">
        <f t="shared" ref="BR1130:BR1134" ca="1" si="1319">IF(BQ1130=0,0,BQ1130*Z1130)</f>
        <v>7.3999999999999977</v>
      </c>
      <c r="BS1130" s="53">
        <f ca="1">IFERROR((_xlfn.XLOOKUP(F1130,Apuração!A:A,Apuração!C:C)+1)/_xlfn.XLOOKUP(F1130,Apuração!A:A,Apuração!B:B),0)</f>
        <v>0.5</v>
      </c>
    </row>
    <row r="1131" spans="1:71" ht="25.95" hidden="1" customHeight="1" x14ac:dyDescent="0.3">
      <c r="A1131" s="3" t="s">
        <v>33</v>
      </c>
      <c r="B1131" s="4" t="s">
        <v>77</v>
      </c>
      <c r="C1131" s="5" t="s">
        <v>209</v>
      </c>
      <c r="D1131" s="5" t="s">
        <v>47</v>
      </c>
      <c r="E1131" s="4" t="str" cm="1">
        <f t="array" ref="E1131">_xlfn.IFS(
F1131 = "A partir de Abril", "Aguardando Execução na Distribuidora",
A1131 = "CAPACITAÇÃO", "Em execução no Corporativo",
TRUE, "Em Execução na Distribuidora"
)</f>
        <v>Em Execução na Distribuidora</v>
      </c>
      <c r="F1131" s="4" t="str" cm="1">
        <f t="array" ref="F1131">_xlfn.IFS(
AG1131 &lt;&gt; "", "Jan-Dez/26",
AH1131 &lt;&gt; "", "Fev-Dez/26",
AI1131 &lt;&gt; "", "Mar-Dez/26", AJ1131 &lt;&gt; "", "Abr-Dez/26",
TRUE, "A partir de Junho"
)</f>
        <v>Jan-Dez/26</v>
      </c>
      <c r="G1131" s="4" t="s">
        <v>37</v>
      </c>
      <c r="H1131" s="7" t="s">
        <v>54</v>
      </c>
      <c r="I1131" s="8" t="s">
        <v>78</v>
      </c>
      <c r="J1131" s="8" t="str" cm="1">
        <f t="array" aca="1" ref="J1131" ca="1">_xlfn.LET(
  _xlpm.actual_value_month, INDEX(T1131:AE1131, MATCH(DATE(YEAR(TODAY()), MONTH(TODAY()), 1), $T$1:$AE$1, 0)),
  IF(_xlpm.actual_value_month &lt;&gt; "",_xlpm.actual_value_month &amp; " eventos mensais", "")
)</f>
        <v>4 eventos mensais</v>
      </c>
      <c r="K1131" s="8" t="str" cm="1">
        <f t="array" ref="K1131">_xlfn.LET(
    _xlpm.sum_month, SUM(T1131:AE1131),
    IF(_xlpm.sum_month = 0, "", _xlpm.sum_month &amp; " eventos no ano.")
)</f>
        <v>153 eventos no ano.</v>
      </c>
      <c r="L1131" s="9" t="s">
        <v>56</v>
      </c>
      <c r="M1131" s="13" t="s">
        <v>79</v>
      </c>
      <c r="N1131" s="5" t="s">
        <v>42</v>
      </c>
      <c r="O1131" s="5" t="s">
        <v>43</v>
      </c>
      <c r="P1131" s="10" t="s">
        <v>44</v>
      </c>
      <c r="Q1131" s="10" t="s">
        <v>44</v>
      </c>
      <c r="R1131" s="11" t="s">
        <v>44</v>
      </c>
      <c r="S1131" s="11" t="s">
        <v>44</v>
      </c>
      <c r="T1131" s="143">
        <v>36</v>
      </c>
      <c r="U1131" s="143">
        <v>37</v>
      </c>
      <c r="V1131" s="143">
        <v>44</v>
      </c>
      <c r="W1131" s="143">
        <v>4</v>
      </c>
      <c r="X1131" s="143">
        <v>4</v>
      </c>
      <c r="Y1131" s="143">
        <v>4</v>
      </c>
      <c r="Z1131" s="143">
        <v>4</v>
      </c>
      <c r="AA1131" s="143">
        <v>4</v>
      </c>
      <c r="AB1131" s="143">
        <v>4</v>
      </c>
      <c r="AC1131" s="143">
        <v>4</v>
      </c>
      <c r="AD1131" s="143">
        <v>4</v>
      </c>
      <c r="AE1131" s="143">
        <v>4</v>
      </c>
      <c r="AG1131" s="82">
        <v>36</v>
      </c>
      <c r="AH1131" s="82">
        <v>37</v>
      </c>
      <c r="AI1131" s="82">
        <v>44</v>
      </c>
      <c r="AJ1131" s="82">
        <v>29</v>
      </c>
      <c r="AK1131" s="71"/>
      <c r="AL1131" s="71"/>
      <c r="AM1131" s="71"/>
      <c r="AN1131" s="71"/>
      <c r="AO1131" s="71"/>
      <c r="AP1131" s="71"/>
      <c r="AQ1131" s="71"/>
      <c r="AR1131" s="71"/>
      <c r="AS1131" s="94">
        <f t="shared" ca="1" si="1312"/>
        <v>125</v>
      </c>
      <c r="AT1131" s="95">
        <f t="shared" si="1313"/>
        <v>121.6</v>
      </c>
      <c r="AU1131" s="97">
        <f t="shared" si="1314"/>
        <v>146</v>
      </c>
      <c r="AW1131" s="51">
        <f t="shared" si="1315"/>
        <v>1</v>
      </c>
      <c r="AX1131" s="51">
        <f t="shared" si="1316"/>
        <v>1</v>
      </c>
      <c r="AY1131" s="51">
        <f t="shared" si="1317"/>
        <v>1</v>
      </c>
      <c r="AZ1131" s="51">
        <f t="shared" si="1318"/>
        <v>7.25</v>
      </c>
      <c r="BA1131" s="51"/>
      <c r="BB1131" s="51"/>
      <c r="BC1131" s="51"/>
      <c r="BD1131" s="51"/>
      <c r="BE1131" s="51"/>
      <c r="BF1131" s="51"/>
      <c r="BG1131" s="51"/>
      <c r="BH1131" s="51"/>
      <c r="BI1131" s="65" cm="1">
        <f t="array" ref="BI1131">IFERROR(INDEX(AW1131:BH1131,1,MATCH(2,1/(AW1131:BH1131&lt;&gt;""))),"")</f>
        <v>7.25</v>
      </c>
      <c r="BJ1131" s="68" cm="1">
        <f t="array" ref="BJ1131">IF(BM1131 = "", "",IFERROR(INDEX(AW1131:BH1131,1,MATCH(2,1/(AW1131:BH1131&lt;&gt;""),1)-1),""))</f>
        <v>1</v>
      </c>
      <c r="BK1131" s="58">
        <f>IF((IF(AW1131&gt;=115%,115%,AW1131) + IF(AX1131&gt;=115%,115%,AX1131) + IF(AY1131&gt;=115%,115%,AY1131) + (IF(AZ1131&gt;=115%,115%,AZ1131) + IF(BA1131&gt;=115%,115%,BA1131) + IF(BB1131&gt;=115%,115%,BB1131) + IF(BC1131&gt;=115%,115%,BC1131) + IF(BD1131&gt;=115%,115%,BD1131) + IF(BE1131&gt;=115%,115%,BE1131) + IF(BF1131&gt;=115%,115%,BF1131) + IF(BG1131&gt;=115%,115%,BG1131) + IF(BH1131&gt;=115%,115%,BH1131)))/_xlfn.XLOOKUP(F1131,Apuração!A:A,Apuração!B:B)&gt;=1.15,1.15,((IF(AZ1131&gt;=115%,115%,AZ1131) + IF(AX1131&gt;=115%,115%,AX1131) + IF(AY1131&gt;=115%,115%,AY1131) + (IF(AW1131&gt;=115%,115%,AW1131) + IF(BA1131&gt;=115%,115%,BA1131) + IF(BB1131&gt;=115%,115%,BB1131) + IF(BC1131&gt;=115%,115%,BC1131) + IF(BD1131&gt;=115%,115%,BD1131) + IF(BE1131&gt;=115%,115%,BE1131) + IF(BF1131&gt;=115%,115%,BF1131) + IF(BG1131&gt;=115%,115%,BG1131) + IF(BH1131&gt;=115%,115%,BH1131)))/_xlfn.XLOOKUP(F1131,Apuração!A:A,Apuração!B:B)))</f>
        <v>0.34583333333333338</v>
      </c>
      <c r="BL1131" s="58" cm="1">
        <f t="array" aca="1" ref="BL1131" ca="1">IF(SUM(IFERROR(IF(INDEX(AW1131:INDEX(AW1131:BH1131, MATCH(2, 1/(AW1131:BH1131&lt;&gt;""), 1)-1), ROW(INDIRECT("1:" &amp; MATCH(2, 1/(AW1131:BH1131&lt;&gt;""), 1)-1))) &gt;= 115%, 115%, INDEX(AW1131:INDEX(AW1131:BH1131, MATCH(2, 1/(AW1131:BH1131&lt;&gt;""), 1)-1), ROW(INDIRECT("1:" &amp; MATCH(2, 1/(AW1131:BH1131&lt;&gt;""), 1)-1)))), 0))/_xlfn.XLOOKUP(F1131,Apuração!A:A,Apuração!B:B)&gt;=1.15,1.15,SUM(IFERROR(IF(INDEX(AW1131:INDEX(AW1131:BH1131, MATCH(2, 1/(AW1131:BH1131&lt;&gt;""), 1)-1), ROW(INDIRECT("1:" &amp; MATCH(2, 1/(AW1131:BH1131&lt;&gt;""), 1)-1))) &gt;= 115%, 115%, INDEX(AW1131:INDEX(AW1131:BH1131, MATCH(2, 1/(AW1131:BH1131&lt;&gt;""), 1)-1), ROW(INDIRECT("1:" &amp; MATCH(2, 1/(AW1131:BH1131&lt;&gt;""), 1)-1)))), 0))/_xlfn.XLOOKUP(F1131,Apuração!A:A,Apuração!B:B))</f>
        <v>0.25</v>
      </c>
      <c r="BM1131" s="55" cm="1">
        <f t="array" ref="BM1131">IFERROR(
   INDEX($AW$1:$BH$1,
      _xlfn.AGGREGATE(14, 6, COLUMN($AW$1:$BH$1)/(AW1131:BH1131&lt;&gt;""), 2) - COLUMN($AW$1) + 1
   ),
"")</f>
        <v>46082</v>
      </c>
      <c r="BN1131" s="55" cm="1">
        <f t="array" ref="BN1131">IFERROR(INDEX($AW$1:$BH$1,1,MATCH(2,1/(AW1131:BH1131&lt;&gt;""))),"")</f>
        <v>46113</v>
      </c>
      <c r="BO1131" s="53">
        <f ca="1">IFERROR(_xlfn.XLOOKUP(F1131,Apuração!A:A,Apuração!C:C)/_xlfn.XLOOKUP(F1131,Apuração!A:A,Apuração!B:B),0)</f>
        <v>0.41666666666666669</v>
      </c>
      <c r="BP1131" s="53">
        <f ca="1">IFERROR(_xlfn.XLOOKUP(F1131,Apuração!A:A,Apuração!D:D)/_xlfn.XLOOKUP(F1131,Apuração!A:A,Apuração!B:B),0)</f>
        <v>0.33333333333333331</v>
      </c>
      <c r="BQ1131" s="53">
        <f ca="1">IF(BK1131&gt;=BO1131,0,_xlfn.XLOOKUP(F1131,Apuração!A:A,Apuração!B:B)*(BO1131 + (1/_xlfn.XLOOKUP(F1131,Apuração!A:A,Apuração!B:B)) - BK1131))</f>
        <v>1.8499999999999994</v>
      </c>
      <c r="BR1131" s="85">
        <f t="shared" ca="1" si="1319"/>
        <v>7.3999999999999977</v>
      </c>
      <c r="BS1131" s="53">
        <f ca="1">IFERROR((_xlfn.XLOOKUP(F1131,Apuração!A:A,Apuração!C:C)+1)/_xlfn.XLOOKUP(F1131,Apuração!A:A,Apuração!B:B),0)</f>
        <v>0.5</v>
      </c>
    </row>
    <row r="1132" spans="1:71" ht="25.95" hidden="1" customHeight="1" x14ac:dyDescent="0.3">
      <c r="A1132" s="3" t="s">
        <v>33</v>
      </c>
      <c r="B1132" s="4" t="s">
        <v>77</v>
      </c>
      <c r="C1132" s="5" t="s">
        <v>209</v>
      </c>
      <c r="D1132" s="5" t="s">
        <v>211</v>
      </c>
      <c r="E1132" s="4" t="str" cm="1">
        <f t="array" ref="E1132">_xlfn.IFS(
F1132 = "A partir de Abril", "Aguardando Execução na Distribuidora",
A1132 = "CAPACITAÇÃO", "Em execução no Corporativo",
TRUE, "Em Execução na Distribuidora"
)</f>
        <v>Em Execução na Distribuidora</v>
      </c>
      <c r="F1132" s="4" t="str" cm="1">
        <f t="array" ref="F1132">_xlfn.IFS(
AG1132 &lt;&gt; "", "Jan-Dez/26",
AH1132 &lt;&gt; "", "Fev-Dez/26",
AI1132 &lt;&gt; "", "Mar-Dez/26", AJ1132 &lt;&gt; "", "Abr-Dez/26",
TRUE, "A partir de Junho"
)</f>
        <v>Jan-Dez/26</v>
      </c>
      <c r="G1132" s="4" t="s">
        <v>37</v>
      </c>
      <c r="H1132" s="7" t="s">
        <v>54</v>
      </c>
      <c r="I1132" s="8" t="s">
        <v>78</v>
      </c>
      <c r="J1132" s="8" t="str" cm="1">
        <f t="array" aca="1" ref="J1132" ca="1">_xlfn.LET(
  _xlpm.actual_value_month, INDEX(T1132:AE1132, MATCH(DATE(YEAR(TODAY()), MONTH(TODAY()), 1), $T$1:$AE$1, 0)),
  IF(_xlpm.actual_value_month &lt;&gt; "",_xlpm.actual_value_month &amp; " eventos mensais", "")
)</f>
        <v>4 eventos mensais</v>
      </c>
      <c r="K1132" s="8" t="str" cm="1">
        <f t="array" ref="K1132">_xlfn.LET(
    _xlpm.sum_month, SUM(T1132:AE1132),
    IF(_xlpm.sum_month = 0, "", _xlpm.sum_month &amp; " eventos no ano.")
)</f>
        <v>79 eventos no ano.</v>
      </c>
      <c r="L1132" s="9" t="s">
        <v>56</v>
      </c>
      <c r="M1132" s="13" t="s">
        <v>79</v>
      </c>
      <c r="N1132" s="5" t="s">
        <v>42</v>
      </c>
      <c r="O1132" s="5" t="s">
        <v>43</v>
      </c>
      <c r="P1132" s="10" t="s">
        <v>44</v>
      </c>
      <c r="Q1132" s="10" t="s">
        <v>44</v>
      </c>
      <c r="R1132" s="11" t="s">
        <v>44</v>
      </c>
      <c r="S1132" s="11" t="s">
        <v>44</v>
      </c>
      <c r="T1132" s="143">
        <v>14</v>
      </c>
      <c r="U1132" s="143">
        <v>19</v>
      </c>
      <c r="V1132" s="143">
        <v>10</v>
      </c>
      <c r="W1132" s="143">
        <v>4</v>
      </c>
      <c r="X1132" s="143">
        <v>4</v>
      </c>
      <c r="Y1132" s="143">
        <v>4</v>
      </c>
      <c r="Z1132" s="143">
        <v>4</v>
      </c>
      <c r="AA1132" s="143">
        <v>4</v>
      </c>
      <c r="AB1132" s="143">
        <v>4</v>
      </c>
      <c r="AC1132" s="143">
        <v>4</v>
      </c>
      <c r="AD1132" s="143">
        <v>4</v>
      </c>
      <c r="AE1132" s="143">
        <v>4</v>
      </c>
      <c r="AG1132" s="82">
        <v>14</v>
      </c>
      <c r="AH1132" s="82">
        <v>19</v>
      </c>
      <c r="AI1132" s="82">
        <v>10</v>
      </c>
      <c r="AJ1132" s="82">
        <v>13</v>
      </c>
      <c r="AK1132" s="71"/>
      <c r="AL1132" s="71"/>
      <c r="AM1132" s="71"/>
      <c r="AN1132" s="71"/>
      <c r="AO1132" s="71"/>
      <c r="AP1132" s="71"/>
      <c r="AQ1132" s="71"/>
      <c r="AR1132" s="71"/>
      <c r="AS1132" s="94">
        <f t="shared" ca="1" si="1312"/>
        <v>51</v>
      </c>
      <c r="AT1132" s="95">
        <f t="shared" si="1313"/>
        <v>47.6</v>
      </c>
      <c r="AU1132" s="97">
        <f t="shared" si="1314"/>
        <v>56</v>
      </c>
      <c r="AW1132" s="51">
        <f t="shared" si="1315"/>
        <v>1</v>
      </c>
      <c r="AX1132" s="51">
        <f t="shared" si="1316"/>
        <v>1</v>
      </c>
      <c r="AY1132" s="51">
        <f t="shared" si="1317"/>
        <v>1</v>
      </c>
      <c r="AZ1132" s="51">
        <f t="shared" si="1318"/>
        <v>3.25</v>
      </c>
      <c r="BA1132" s="51"/>
      <c r="BB1132" s="51"/>
      <c r="BC1132" s="51"/>
      <c r="BD1132" s="51"/>
      <c r="BE1132" s="51"/>
      <c r="BF1132" s="51"/>
      <c r="BG1132" s="51"/>
      <c r="BH1132" s="51"/>
      <c r="BI1132" s="65" cm="1">
        <f t="array" ref="BI1132">IFERROR(INDEX(AW1132:BH1132,1,MATCH(2,1/(AW1132:BH1132&lt;&gt;""))),"")</f>
        <v>3.25</v>
      </c>
      <c r="BJ1132" s="68" cm="1">
        <f t="array" ref="BJ1132">IF(BM1132 = "", "",IFERROR(INDEX(AW1132:BH1132,1,MATCH(2,1/(AW1132:BH1132&lt;&gt;""),1)-1),""))</f>
        <v>1</v>
      </c>
      <c r="BK1132" s="58">
        <f>IF((IF(AW1132&gt;=115%,115%,AW1132) + IF(AX1132&gt;=115%,115%,AX1132) + IF(AY1132&gt;=115%,115%,AY1132) + (IF(AZ1132&gt;=115%,115%,AZ1132) + IF(BA1132&gt;=115%,115%,BA1132) + IF(BB1132&gt;=115%,115%,BB1132) + IF(BC1132&gt;=115%,115%,BC1132) + IF(BD1132&gt;=115%,115%,BD1132) + IF(BE1132&gt;=115%,115%,BE1132) + IF(BF1132&gt;=115%,115%,BF1132) + IF(BG1132&gt;=115%,115%,BG1132) + IF(BH1132&gt;=115%,115%,BH1132)))/_xlfn.XLOOKUP(F1132,Apuração!A:A,Apuração!B:B)&gt;=1.15,1.15,((IF(AZ1132&gt;=115%,115%,AZ1132) + IF(AX1132&gt;=115%,115%,AX1132) + IF(AY1132&gt;=115%,115%,AY1132) + (IF(AW1132&gt;=115%,115%,AW1132) + IF(BA1132&gt;=115%,115%,BA1132) + IF(BB1132&gt;=115%,115%,BB1132) + IF(BC1132&gt;=115%,115%,BC1132) + IF(BD1132&gt;=115%,115%,BD1132) + IF(BE1132&gt;=115%,115%,BE1132) + IF(BF1132&gt;=115%,115%,BF1132) + IF(BG1132&gt;=115%,115%,BG1132) + IF(BH1132&gt;=115%,115%,BH1132)))/_xlfn.XLOOKUP(F1132,Apuração!A:A,Apuração!B:B)))</f>
        <v>0.34583333333333338</v>
      </c>
      <c r="BL1132" s="58" cm="1">
        <f t="array" aca="1" ref="BL1132" ca="1">IF(SUM(IFERROR(IF(INDEX(AW1132:INDEX(AW1132:BH1132, MATCH(2, 1/(AW1132:BH1132&lt;&gt;""), 1)-1), ROW(INDIRECT("1:" &amp; MATCH(2, 1/(AW1132:BH1132&lt;&gt;""), 1)-1))) &gt;= 115%, 115%, INDEX(AW1132:INDEX(AW1132:BH1132, MATCH(2, 1/(AW1132:BH1132&lt;&gt;""), 1)-1), ROW(INDIRECT("1:" &amp; MATCH(2, 1/(AW1132:BH1132&lt;&gt;""), 1)-1)))), 0))/_xlfn.XLOOKUP(F1132,Apuração!A:A,Apuração!B:B)&gt;=1.15,1.15,SUM(IFERROR(IF(INDEX(AW1132:INDEX(AW1132:BH1132, MATCH(2, 1/(AW1132:BH1132&lt;&gt;""), 1)-1), ROW(INDIRECT("1:" &amp; MATCH(2, 1/(AW1132:BH1132&lt;&gt;""), 1)-1))) &gt;= 115%, 115%, INDEX(AW1132:INDEX(AW1132:BH1132, MATCH(2, 1/(AW1132:BH1132&lt;&gt;""), 1)-1), ROW(INDIRECT("1:" &amp; MATCH(2, 1/(AW1132:BH1132&lt;&gt;""), 1)-1)))), 0))/_xlfn.XLOOKUP(F1132,Apuração!A:A,Apuração!B:B))</f>
        <v>0.25</v>
      </c>
      <c r="BM1132" s="55" cm="1">
        <f t="array" ref="BM1132">IFERROR(
   INDEX($AW$1:$BH$1,
      _xlfn.AGGREGATE(14, 6, COLUMN($AW$1:$BH$1)/(AW1132:BH1132&lt;&gt;""), 2) - COLUMN($AW$1) + 1
   ),
"")</f>
        <v>46082</v>
      </c>
      <c r="BN1132" s="55" cm="1">
        <f t="array" ref="BN1132">IFERROR(INDEX($AW$1:$BH$1,1,MATCH(2,1/(AW1132:BH1132&lt;&gt;""))),"")</f>
        <v>46113</v>
      </c>
      <c r="BO1132" s="53">
        <f ca="1">IFERROR(_xlfn.XLOOKUP(F1132,Apuração!A:A,Apuração!C:C)/_xlfn.XLOOKUP(F1132,Apuração!A:A,Apuração!B:B),0)</f>
        <v>0.41666666666666669</v>
      </c>
      <c r="BP1132" s="53">
        <f ca="1">IFERROR(_xlfn.XLOOKUP(F1132,Apuração!A:A,Apuração!D:D)/_xlfn.XLOOKUP(F1132,Apuração!A:A,Apuração!B:B),0)</f>
        <v>0.33333333333333331</v>
      </c>
      <c r="BQ1132" s="53">
        <f ca="1">IF(BK1132&gt;=BO1132,0,_xlfn.XLOOKUP(F1132,Apuração!A:A,Apuração!B:B)*(BO1132 + (1/_xlfn.XLOOKUP(F1132,Apuração!A:A,Apuração!B:B)) - BK1132))</f>
        <v>1.8499999999999994</v>
      </c>
      <c r="BR1132" s="85">
        <f t="shared" ca="1" si="1319"/>
        <v>7.3999999999999977</v>
      </c>
      <c r="BS1132" s="53">
        <f ca="1">IFERROR((_xlfn.XLOOKUP(F1132,Apuração!A:A,Apuração!C:C)+1)/_xlfn.XLOOKUP(F1132,Apuração!A:A,Apuração!B:B),0)</f>
        <v>0.5</v>
      </c>
    </row>
    <row r="1133" spans="1:71" ht="25.95" hidden="1" customHeight="1" x14ac:dyDescent="0.3">
      <c r="A1133" s="3" t="s">
        <v>33</v>
      </c>
      <c r="B1133" s="4" t="s">
        <v>77</v>
      </c>
      <c r="C1133" s="5" t="s">
        <v>209</v>
      </c>
      <c r="D1133" s="5" t="s">
        <v>212</v>
      </c>
      <c r="E1133" s="4" t="str" cm="1">
        <f t="array" ref="E1133">_xlfn.IFS(
F1133 = "A partir de Abril", "Aguardando Execução na Distribuidora",
A1133 = "CAPACITAÇÃO", "Em execução no Corporativo",
TRUE, "Em Execução na Distribuidora"
)</f>
        <v>Em Execução na Distribuidora</v>
      </c>
      <c r="F1133" s="4" t="str" cm="1">
        <f t="array" ref="F1133">_xlfn.IFS(
AG1133 &lt;&gt; "", "Jan-Dez/26",
AH1133 &lt;&gt; "", "Fev-Dez/26",
AI1133 &lt;&gt; "", "Mar-Dez/26", AJ1133 &lt;&gt; "", "Abr-Dez/26",
TRUE, "A partir de Junho"
)</f>
        <v>Jan-Dez/26</v>
      </c>
      <c r="G1133" s="4" t="s">
        <v>37</v>
      </c>
      <c r="H1133" s="7" t="s">
        <v>54</v>
      </c>
      <c r="I1133" s="8" t="s">
        <v>78</v>
      </c>
      <c r="J1133" s="8" t="str" cm="1">
        <f t="array" aca="1" ref="J1133" ca="1">_xlfn.LET(
  _xlpm.actual_value_month, INDEX(T1133:AE1133, MATCH(DATE(YEAR(TODAY()), MONTH(TODAY()), 1), $T$1:$AE$1, 0)),
  IF(_xlpm.actual_value_month &lt;&gt; "",_xlpm.actual_value_month &amp; " eventos mensais", "")
)</f>
        <v>4 eventos mensais</v>
      </c>
      <c r="K1133" s="8" t="str" cm="1">
        <f t="array" ref="K1133">_xlfn.LET(
    _xlpm.sum_month, SUM(T1133:AE1133),
    IF(_xlpm.sum_month = 0, "", _xlpm.sum_month &amp; " eventos no ano.")
)</f>
        <v>296 eventos no ano.</v>
      </c>
      <c r="L1133" s="9" t="s">
        <v>56</v>
      </c>
      <c r="M1133" s="13" t="s">
        <v>79</v>
      </c>
      <c r="N1133" s="5" t="s">
        <v>42</v>
      </c>
      <c r="O1133" s="5" t="s">
        <v>43</v>
      </c>
      <c r="P1133" s="10" t="s">
        <v>44</v>
      </c>
      <c r="Q1133" s="10" t="s">
        <v>44</v>
      </c>
      <c r="R1133" s="11" t="s">
        <v>44</v>
      </c>
      <c r="S1133" s="11" t="s">
        <v>44</v>
      </c>
      <c r="T1133" s="143">
        <v>93</v>
      </c>
      <c r="U1133" s="143">
        <v>123</v>
      </c>
      <c r="V1133" s="143">
        <v>44</v>
      </c>
      <c r="W1133" s="143">
        <v>4</v>
      </c>
      <c r="X1133" s="143">
        <v>4</v>
      </c>
      <c r="Y1133" s="143">
        <v>4</v>
      </c>
      <c r="Z1133" s="143">
        <v>4</v>
      </c>
      <c r="AA1133" s="143">
        <v>4</v>
      </c>
      <c r="AB1133" s="143">
        <v>4</v>
      </c>
      <c r="AC1133" s="143">
        <v>4</v>
      </c>
      <c r="AD1133" s="143">
        <v>4</v>
      </c>
      <c r="AE1133" s="143">
        <v>4</v>
      </c>
      <c r="AG1133" s="82">
        <v>93</v>
      </c>
      <c r="AH1133" s="82">
        <v>123</v>
      </c>
      <c r="AI1133" s="82">
        <v>44</v>
      </c>
      <c r="AJ1133" s="82">
        <v>64</v>
      </c>
      <c r="AK1133" s="71"/>
      <c r="AL1133" s="71"/>
      <c r="AM1133" s="71"/>
      <c r="AN1133" s="71"/>
      <c r="AO1133" s="71"/>
      <c r="AP1133" s="71"/>
      <c r="AQ1133" s="71"/>
      <c r="AR1133" s="71"/>
      <c r="AS1133" s="94">
        <f t="shared" ca="1" si="1312"/>
        <v>268</v>
      </c>
      <c r="AT1133" s="95">
        <f t="shared" si="1313"/>
        <v>264.60000000000002</v>
      </c>
      <c r="AU1133" s="97">
        <f t="shared" si="1314"/>
        <v>324</v>
      </c>
      <c r="AW1133" s="51">
        <f t="shared" si="1315"/>
        <v>1</v>
      </c>
      <c r="AX1133" s="51">
        <f t="shared" si="1316"/>
        <v>1</v>
      </c>
      <c r="AY1133" s="51">
        <f t="shared" si="1317"/>
        <v>1</v>
      </c>
      <c r="AZ1133" s="51">
        <f t="shared" si="1318"/>
        <v>16</v>
      </c>
      <c r="BA1133" s="51"/>
      <c r="BB1133" s="51"/>
      <c r="BC1133" s="51"/>
      <c r="BD1133" s="51"/>
      <c r="BE1133" s="51"/>
      <c r="BF1133" s="51"/>
      <c r="BG1133" s="51"/>
      <c r="BH1133" s="51"/>
      <c r="BI1133" s="65" cm="1">
        <f t="array" ref="BI1133">IFERROR(INDEX(AW1133:BH1133,1,MATCH(2,1/(AW1133:BH1133&lt;&gt;""))),"")</f>
        <v>16</v>
      </c>
      <c r="BJ1133" s="68" cm="1">
        <f t="array" ref="BJ1133">IF(BM1133 = "", "",IFERROR(INDEX(AW1133:BH1133,1,MATCH(2,1/(AW1133:BH1133&lt;&gt;""),1)-1),""))</f>
        <v>1</v>
      </c>
      <c r="BK1133" s="58">
        <f>IF((IF(AW1133&gt;=115%,115%,AW1133) + IF(AX1133&gt;=115%,115%,AX1133) + IF(AY1133&gt;=115%,115%,AY1133) + (IF(AZ1133&gt;=115%,115%,AZ1133) + IF(BA1133&gt;=115%,115%,BA1133) + IF(BB1133&gt;=115%,115%,BB1133) + IF(BC1133&gt;=115%,115%,BC1133) + IF(BD1133&gt;=115%,115%,BD1133) + IF(BE1133&gt;=115%,115%,BE1133) + IF(BF1133&gt;=115%,115%,BF1133) + IF(BG1133&gt;=115%,115%,BG1133) + IF(BH1133&gt;=115%,115%,BH1133)))/_xlfn.XLOOKUP(F1133,Apuração!A:A,Apuração!B:B)&gt;=1.15,1.15,((IF(AZ1133&gt;=115%,115%,AZ1133) + IF(AX1133&gt;=115%,115%,AX1133) + IF(AY1133&gt;=115%,115%,AY1133) + (IF(AW1133&gt;=115%,115%,AW1133) + IF(BA1133&gt;=115%,115%,BA1133) + IF(BB1133&gt;=115%,115%,BB1133) + IF(BC1133&gt;=115%,115%,BC1133) + IF(BD1133&gt;=115%,115%,BD1133) + IF(BE1133&gt;=115%,115%,BE1133) + IF(BF1133&gt;=115%,115%,BF1133) + IF(BG1133&gt;=115%,115%,BG1133) + IF(BH1133&gt;=115%,115%,BH1133)))/_xlfn.XLOOKUP(F1133,Apuração!A:A,Apuração!B:B)))</f>
        <v>0.34583333333333338</v>
      </c>
      <c r="BL1133" s="58" cm="1">
        <f t="array" aca="1" ref="BL1133" ca="1">IF(SUM(IFERROR(IF(INDEX(AW1133:INDEX(AW1133:BH1133, MATCH(2, 1/(AW1133:BH1133&lt;&gt;""), 1)-1), ROW(INDIRECT("1:" &amp; MATCH(2, 1/(AW1133:BH1133&lt;&gt;""), 1)-1))) &gt;= 115%, 115%, INDEX(AW1133:INDEX(AW1133:BH1133, MATCH(2, 1/(AW1133:BH1133&lt;&gt;""), 1)-1), ROW(INDIRECT("1:" &amp; MATCH(2, 1/(AW1133:BH1133&lt;&gt;""), 1)-1)))), 0))/_xlfn.XLOOKUP(F1133,Apuração!A:A,Apuração!B:B)&gt;=1.15,1.15,SUM(IFERROR(IF(INDEX(AW1133:INDEX(AW1133:BH1133, MATCH(2, 1/(AW1133:BH1133&lt;&gt;""), 1)-1), ROW(INDIRECT("1:" &amp; MATCH(2, 1/(AW1133:BH1133&lt;&gt;""), 1)-1))) &gt;= 115%, 115%, INDEX(AW1133:INDEX(AW1133:BH1133, MATCH(2, 1/(AW1133:BH1133&lt;&gt;""), 1)-1), ROW(INDIRECT("1:" &amp; MATCH(2, 1/(AW1133:BH1133&lt;&gt;""), 1)-1)))), 0))/_xlfn.XLOOKUP(F1133,Apuração!A:A,Apuração!B:B))</f>
        <v>0.25</v>
      </c>
      <c r="BM1133" s="55" cm="1">
        <f t="array" ref="BM1133">IFERROR(
   INDEX($AW$1:$BH$1,
      _xlfn.AGGREGATE(14, 6, COLUMN($AW$1:$BH$1)/(AW1133:BH1133&lt;&gt;""), 2) - COLUMN($AW$1) + 1
   ),
"")</f>
        <v>46082</v>
      </c>
      <c r="BN1133" s="55" cm="1">
        <f t="array" ref="BN1133">IFERROR(INDEX($AW$1:$BH$1,1,MATCH(2,1/(AW1133:BH1133&lt;&gt;""))),"")</f>
        <v>46113</v>
      </c>
      <c r="BO1133" s="53">
        <f ca="1">IFERROR(_xlfn.XLOOKUP(F1133,Apuração!A:A,Apuração!C:C)/_xlfn.XLOOKUP(F1133,Apuração!A:A,Apuração!B:B),0)</f>
        <v>0.41666666666666669</v>
      </c>
      <c r="BP1133" s="53">
        <f ca="1">IFERROR(_xlfn.XLOOKUP(F1133,Apuração!A:A,Apuração!D:D)/_xlfn.XLOOKUP(F1133,Apuração!A:A,Apuração!B:B),0)</f>
        <v>0.33333333333333331</v>
      </c>
      <c r="BQ1133" s="53">
        <f ca="1">IF(BK1133&gt;=BO1133,0,_xlfn.XLOOKUP(F1133,Apuração!A:A,Apuração!B:B)*(BO1133 + (1/_xlfn.XLOOKUP(F1133,Apuração!A:A,Apuração!B:B)) - BK1133))</f>
        <v>1.8499999999999994</v>
      </c>
      <c r="BR1133" s="85">
        <f t="shared" ca="1" si="1319"/>
        <v>7.3999999999999977</v>
      </c>
      <c r="BS1133" s="53">
        <f ca="1">IFERROR((_xlfn.XLOOKUP(F1133,Apuração!A:A,Apuração!C:C)+1)/_xlfn.XLOOKUP(F1133,Apuração!A:A,Apuração!B:B),0)</f>
        <v>0.5</v>
      </c>
    </row>
    <row r="1134" spans="1:71" ht="25.95" hidden="1" customHeight="1" x14ac:dyDescent="0.3">
      <c r="A1134" s="3" t="s">
        <v>33</v>
      </c>
      <c r="B1134" s="4" t="s">
        <v>77</v>
      </c>
      <c r="C1134" s="5" t="s">
        <v>209</v>
      </c>
      <c r="D1134" s="5" t="s">
        <v>213</v>
      </c>
      <c r="E1134" s="4" t="str" cm="1">
        <f t="array" ref="E1134">_xlfn.IFS(
F1134 = "A partir de Abril", "Aguardando Execução na Distribuidora",
A1134 = "CAPACITAÇÃO", "Em execução no Corporativo",
TRUE, "Em Execução na Distribuidora"
)</f>
        <v>Em Execução na Distribuidora</v>
      </c>
      <c r="F1134" s="4" t="str" cm="1">
        <f t="array" ref="F1134">_xlfn.IFS(
AG1134 &lt;&gt; "", "Jan-Dez/26",
AH1134 &lt;&gt; "", "Fev-Dez/26",
AI1134 &lt;&gt; "", "Mar-Dez/26", AJ1134 &lt;&gt; "", "Abr-Dez/26",
TRUE, "A partir de Junho"
)</f>
        <v>Jan-Dez/26</v>
      </c>
      <c r="G1134" s="4" t="s">
        <v>37</v>
      </c>
      <c r="H1134" s="7" t="s">
        <v>54</v>
      </c>
      <c r="I1134" s="8" t="s">
        <v>78</v>
      </c>
      <c r="J1134" s="8" t="str" cm="1">
        <f t="array" aca="1" ref="J1134" ca="1">_xlfn.LET(
  _xlpm.actual_value_month, INDEX(T1134:AE1134, MATCH(DATE(YEAR(TODAY()), MONTH(TODAY()), 1), $T$1:$AE$1, 0)),
  IF(_xlpm.actual_value_month &lt;&gt; "",_xlpm.actual_value_month &amp; " eventos mensais", "")
)</f>
        <v>4 eventos mensais</v>
      </c>
      <c r="K1134" s="8" t="str" cm="1">
        <f t="array" ref="K1134">_xlfn.LET(
    _xlpm.sum_month, SUM(T1134:AE1134),
    IF(_xlpm.sum_month = 0, "", _xlpm.sum_month &amp; " eventos no ano.")
)</f>
        <v>324 eventos no ano.</v>
      </c>
      <c r="L1134" s="9" t="s">
        <v>56</v>
      </c>
      <c r="M1134" s="13" t="s">
        <v>79</v>
      </c>
      <c r="N1134" s="5" t="s">
        <v>42</v>
      </c>
      <c r="O1134" s="5" t="s">
        <v>43</v>
      </c>
      <c r="P1134" s="10" t="s">
        <v>44</v>
      </c>
      <c r="Q1134" s="10" t="s">
        <v>44</v>
      </c>
      <c r="R1134" s="11" t="s">
        <v>44</v>
      </c>
      <c r="S1134" s="11" t="s">
        <v>44</v>
      </c>
      <c r="T1134" s="143">
        <v>145</v>
      </c>
      <c r="U1134" s="143">
        <v>87</v>
      </c>
      <c r="V1134" s="143">
        <v>56</v>
      </c>
      <c r="W1134" s="143">
        <v>4</v>
      </c>
      <c r="X1134" s="143">
        <v>4</v>
      </c>
      <c r="Y1134" s="143">
        <v>4</v>
      </c>
      <c r="Z1134" s="143">
        <v>4</v>
      </c>
      <c r="AA1134" s="143">
        <v>4</v>
      </c>
      <c r="AB1134" s="143">
        <v>4</v>
      </c>
      <c r="AC1134" s="143">
        <v>4</v>
      </c>
      <c r="AD1134" s="143">
        <v>4</v>
      </c>
      <c r="AE1134" s="143">
        <v>4</v>
      </c>
      <c r="AG1134" s="82">
        <v>145</v>
      </c>
      <c r="AH1134" s="82">
        <v>87</v>
      </c>
      <c r="AI1134" s="82">
        <v>56</v>
      </c>
      <c r="AJ1134" s="82">
        <v>67</v>
      </c>
      <c r="AK1134" s="71"/>
      <c r="AL1134" s="71"/>
      <c r="AM1134" s="71"/>
      <c r="AN1134" s="71"/>
      <c r="AO1134" s="71"/>
      <c r="AP1134" s="71"/>
      <c r="AQ1134" s="71"/>
      <c r="AR1134" s="71"/>
      <c r="AS1134" s="94">
        <f t="shared" ca="1" si="1312"/>
        <v>296</v>
      </c>
      <c r="AT1134" s="95">
        <f t="shared" si="1313"/>
        <v>292.60000000000002</v>
      </c>
      <c r="AU1134" s="97">
        <f t="shared" si="1314"/>
        <v>355</v>
      </c>
      <c r="AW1134" s="51">
        <f t="shared" si="1315"/>
        <v>1</v>
      </c>
      <c r="AX1134" s="51">
        <f t="shared" si="1316"/>
        <v>1</v>
      </c>
      <c r="AY1134" s="51">
        <f t="shared" si="1317"/>
        <v>1</v>
      </c>
      <c r="AZ1134" s="51">
        <f t="shared" si="1318"/>
        <v>16.75</v>
      </c>
      <c r="BA1134" s="51"/>
      <c r="BB1134" s="51"/>
      <c r="BC1134" s="51"/>
      <c r="BD1134" s="51"/>
      <c r="BE1134" s="51"/>
      <c r="BF1134" s="51"/>
      <c r="BG1134" s="51"/>
      <c r="BH1134" s="51"/>
      <c r="BI1134" s="65" cm="1">
        <f t="array" ref="BI1134">IFERROR(INDEX(AW1134:BH1134,1,MATCH(2,1/(AW1134:BH1134&lt;&gt;""))),"")</f>
        <v>16.75</v>
      </c>
      <c r="BJ1134" s="68" cm="1">
        <f t="array" ref="BJ1134">IF(BM1134 = "", "",IFERROR(INDEX(AW1134:BH1134,1,MATCH(2,1/(AW1134:BH1134&lt;&gt;""),1)-1),""))</f>
        <v>1</v>
      </c>
      <c r="BK1134" s="58">
        <f>IF((IF(AW1134&gt;=115%,115%,AW1134) + IF(AX1134&gt;=115%,115%,AX1134) + IF(AY1134&gt;=115%,115%,AY1134) + (IF(AZ1134&gt;=115%,115%,AZ1134) + IF(BA1134&gt;=115%,115%,BA1134) + IF(BB1134&gt;=115%,115%,BB1134) + IF(BC1134&gt;=115%,115%,BC1134) + IF(BD1134&gt;=115%,115%,BD1134) + IF(BE1134&gt;=115%,115%,BE1134) + IF(BF1134&gt;=115%,115%,BF1134) + IF(BG1134&gt;=115%,115%,BG1134) + IF(BH1134&gt;=115%,115%,BH1134)))/_xlfn.XLOOKUP(F1134,Apuração!A:A,Apuração!B:B)&gt;=1.15,1.15,((IF(AZ1134&gt;=115%,115%,AZ1134) + IF(AX1134&gt;=115%,115%,AX1134) + IF(AY1134&gt;=115%,115%,AY1134) + (IF(AW1134&gt;=115%,115%,AW1134) + IF(BA1134&gt;=115%,115%,BA1134) + IF(BB1134&gt;=115%,115%,BB1134) + IF(BC1134&gt;=115%,115%,BC1134) + IF(BD1134&gt;=115%,115%,BD1134) + IF(BE1134&gt;=115%,115%,BE1134) + IF(BF1134&gt;=115%,115%,BF1134) + IF(BG1134&gt;=115%,115%,BG1134) + IF(BH1134&gt;=115%,115%,BH1134)))/_xlfn.XLOOKUP(F1134,Apuração!A:A,Apuração!B:B)))</f>
        <v>0.34583333333333338</v>
      </c>
      <c r="BL1134" s="58" cm="1">
        <f t="array" aca="1" ref="BL1134" ca="1">IF(SUM(IFERROR(IF(INDEX(AW1134:INDEX(AW1134:BH1134, MATCH(2, 1/(AW1134:BH1134&lt;&gt;""), 1)-1), ROW(INDIRECT("1:" &amp; MATCH(2, 1/(AW1134:BH1134&lt;&gt;""), 1)-1))) &gt;= 115%, 115%, INDEX(AW1134:INDEX(AW1134:BH1134, MATCH(2, 1/(AW1134:BH1134&lt;&gt;""), 1)-1), ROW(INDIRECT("1:" &amp; MATCH(2, 1/(AW1134:BH1134&lt;&gt;""), 1)-1)))), 0))/_xlfn.XLOOKUP(F1134,Apuração!A:A,Apuração!B:B)&gt;=1.15,1.15,SUM(IFERROR(IF(INDEX(AW1134:INDEX(AW1134:BH1134, MATCH(2, 1/(AW1134:BH1134&lt;&gt;""), 1)-1), ROW(INDIRECT("1:" &amp; MATCH(2, 1/(AW1134:BH1134&lt;&gt;""), 1)-1))) &gt;= 115%, 115%, INDEX(AW1134:INDEX(AW1134:BH1134, MATCH(2, 1/(AW1134:BH1134&lt;&gt;""), 1)-1), ROW(INDIRECT("1:" &amp; MATCH(2, 1/(AW1134:BH1134&lt;&gt;""), 1)-1)))), 0))/_xlfn.XLOOKUP(F1134,Apuração!A:A,Apuração!B:B))</f>
        <v>0.25</v>
      </c>
      <c r="BM1134" s="55" cm="1">
        <f t="array" ref="BM1134">IFERROR(
   INDEX($AW$1:$BH$1,
      _xlfn.AGGREGATE(14, 6, COLUMN($AW$1:$BH$1)/(AW1134:BH1134&lt;&gt;""), 2) - COLUMN($AW$1) + 1
   ),
"")</f>
        <v>46082</v>
      </c>
      <c r="BN1134" s="55" cm="1">
        <f t="array" ref="BN1134">IFERROR(INDEX($AW$1:$BH$1,1,MATCH(2,1/(AW1134:BH1134&lt;&gt;""))),"")</f>
        <v>46113</v>
      </c>
      <c r="BO1134" s="53">
        <f ca="1">IFERROR(_xlfn.XLOOKUP(F1134,Apuração!A:A,Apuração!C:C)/_xlfn.XLOOKUP(F1134,Apuração!A:A,Apuração!B:B),0)</f>
        <v>0.41666666666666669</v>
      </c>
      <c r="BP1134" s="53">
        <f ca="1">IFERROR(_xlfn.XLOOKUP(F1134,Apuração!A:A,Apuração!D:D)/_xlfn.XLOOKUP(F1134,Apuração!A:A,Apuração!B:B),0)</f>
        <v>0.33333333333333331</v>
      </c>
      <c r="BQ1134" s="53">
        <f ca="1">IF(BK1134&gt;=BO1134,0,_xlfn.XLOOKUP(F1134,Apuração!A:A,Apuração!B:B)*(BO1134 + (1/_xlfn.XLOOKUP(F1134,Apuração!A:A,Apuração!B:B)) - BK1134))</f>
        <v>1.8499999999999994</v>
      </c>
      <c r="BR1134" s="85">
        <f t="shared" ca="1" si="1319"/>
        <v>7.3999999999999977</v>
      </c>
      <c r="BS1134" s="53">
        <f ca="1">IFERROR((_xlfn.XLOOKUP(F1134,Apuração!A:A,Apuração!C:C)+1)/_xlfn.XLOOKUP(F1134,Apuração!A:A,Apuração!B:B),0)</f>
        <v>0.5</v>
      </c>
    </row>
    <row r="1135" spans="1:71" ht="25.95" hidden="1" customHeight="1" x14ac:dyDescent="0.3">
      <c r="A1135" s="39" t="s">
        <v>33</v>
      </c>
      <c r="B1135" s="4" t="s">
        <v>77</v>
      </c>
      <c r="C1135" s="5" t="s">
        <v>209</v>
      </c>
      <c r="D1135" s="5" t="s">
        <v>36</v>
      </c>
      <c r="E1135" s="4" t="str" cm="1">
        <f t="array" ref="E1135">_xlfn.IFS(
F1135 = "A partir de Abril", "Aguardando Execução na Distribuidora",
A1135 = "CAPACITAÇÃO", "Em execução no Corporativo",
TRUE, "Em Execução na Distribuidora"
)</f>
        <v>Em Execução na Distribuidora</v>
      </c>
      <c r="F1135" s="4" t="str" cm="1">
        <f t="array" ref="F1135">_xlfn.IFS(
AG1135 &lt;&gt; "", "Jan-Dez/26",
AH1135 &lt;&gt; "", "Fev-Dez/26",
AI1135 &lt;&gt; "", "Mar-Dez/26", AJ1135 &lt;&gt; "", "Abr-Dez/26",
TRUE, "A partir de Junho"
)</f>
        <v>Jan-Dez/26</v>
      </c>
      <c r="G1135" s="4" t="s">
        <v>37</v>
      </c>
      <c r="H1135" s="7" t="s">
        <v>54</v>
      </c>
      <c r="I1135" s="9" t="s">
        <v>76</v>
      </c>
      <c r="J1135" s="8" t="str" cm="1">
        <f t="array" aca="1" ref="J1135" ca="1">_xlfn.LET(
  _xlpm.actual_value_month, INDEX(T1135:AE1135, MATCH(DATE(YEAR(TODAY()), MONTH(TODAY()), 1), $T$1:$AE$1, 0)),
  IF(_xlpm.actual_value_month &lt;&gt; "",_xlpm.actual_value_month &amp; " ações mensais", "")
)</f>
        <v/>
      </c>
      <c r="K1135" s="8" t="str" cm="1">
        <f t="array" ref="K1135">_xlfn.LET(
    _xlpm.sum_month, SUM(T1135:AE1135),
    IF(_xlpm.sum_month = 0, "", _xlpm.sum_month &amp; " pessoas impactadas no ano.")
)</f>
        <v/>
      </c>
      <c r="L1135" s="9" t="s">
        <v>76</v>
      </c>
      <c r="M1135" s="19">
        <v>1</v>
      </c>
      <c r="N1135" s="5" t="s">
        <v>51</v>
      </c>
      <c r="O1135" s="5" t="s">
        <v>52</v>
      </c>
      <c r="P1135" s="10" t="s">
        <v>44</v>
      </c>
      <c r="Q1135" s="10" t="s">
        <v>44</v>
      </c>
      <c r="R1135" s="11" t="s">
        <v>44</v>
      </c>
      <c r="S1135" s="11" t="s">
        <v>44</v>
      </c>
      <c r="T1135" s="22"/>
      <c r="U1135" s="22"/>
      <c r="V1135" s="22"/>
      <c r="W1135" s="22"/>
      <c r="X1135" s="22"/>
      <c r="Y1135" s="22"/>
      <c r="Z1135" s="22"/>
      <c r="AA1135" s="22"/>
      <c r="AB1135" s="22"/>
      <c r="AC1135" s="22"/>
      <c r="AD1135" s="22"/>
      <c r="AE1135" s="22"/>
      <c r="AG1135" s="71">
        <v>288450</v>
      </c>
      <c r="AH1135" s="71">
        <v>268200</v>
      </c>
      <c r="AI1135" s="71">
        <v>153850</v>
      </c>
      <c r="AJ1135" s="71">
        <v>153600</v>
      </c>
      <c r="AK1135" s="71"/>
      <c r="AL1135" s="71"/>
      <c r="AM1135" s="71"/>
      <c r="AN1135" s="71"/>
      <c r="AO1135" s="71"/>
      <c r="AP1135" s="71"/>
      <c r="AQ1135" s="71"/>
      <c r="AR1135" s="71"/>
      <c r="AS1135" s="94">
        <f ca="1">IF(MONTH(TODAY())=3,SUM(T1135:U1135),IF(MONTH(TODAY())=4,SUM(T1135:V1135),IF(MONTH(TODAY())=5,SUM(T1135:W1135),IF(MONTH(TODAY())=6,SUM(T1135:X1135),IF(MONTH(TODAY())=7,SUM(T1135:Y1135),IF(MONTH(TODAY())=8,SUM(T1135:Z1135),IF(MONTH(TODAY())=9,SUM(T1135:AA1135),IF(MONTH(TODAY())=10,SUM(T1135:AB1135),IF(MONTH(TODAY())=11,SUM(T1135:AC1135),IF(MONTH(TODAY())=12,SUM(T1135:AD1135),IF(MONTH(TODAY())=1,SUM(T1135:AE1135),T1135)))))))))))</f>
        <v>0</v>
      </c>
      <c r="AT1135" s="95">
        <f>SUM(AG1135:AR1135)</f>
        <v>864100</v>
      </c>
      <c r="AU1135" s="97">
        <f>SUM(AG1135:AR1135)</f>
        <v>864100</v>
      </c>
      <c r="AW1135" s="83">
        <f>AG1135</f>
        <v>288450</v>
      </c>
      <c r="AX1135" s="83">
        <f>AH1135</f>
        <v>268200</v>
      </c>
      <c r="AY1135" s="83">
        <f>AI1135</f>
        <v>153850</v>
      </c>
      <c r="AZ1135" s="83">
        <f>AJ1135</f>
        <v>153600</v>
      </c>
      <c r="BA1135" s="52"/>
      <c r="BB1135" s="52"/>
      <c r="BC1135" s="52"/>
      <c r="BD1135" s="52"/>
      <c r="BE1135" s="52"/>
      <c r="BF1135" s="52"/>
      <c r="BG1135" s="52"/>
      <c r="BH1135" s="52"/>
      <c r="BI1135" s="68" cm="1">
        <f t="array" ref="BI1135">IFERROR(INDEX(AW1135:BH1135,1,MATCH(2,1/(AW1135:BH1135&lt;&gt;""))),"")</f>
        <v>153600</v>
      </c>
      <c r="BJ1135" s="68" cm="1">
        <f t="array" ref="BJ1135">IF(BM1135 = "", "",IFERROR(INDEX(AW1135:BH1135,1,MATCH(2,1/(AW1135:BH1135&lt;&gt;""),1)-1),""))</f>
        <v>153850</v>
      </c>
      <c r="BK1135" s="59">
        <f>SUM(AW1135:BH1135)</f>
        <v>864100</v>
      </c>
      <c r="BL1135" s="59" cm="1">
        <f t="array" ref="BL1135">IFERROR(SUM(AW1135:INDEX(AW1135:BH1135, MATCH(2, 1/(AW1135:BH1135&lt;&gt;""), 1) - 1))/_xlfn.XLOOKUP(F1135,Apuração!A:A,Apuração!B:B),0)</f>
        <v>59208.333333333336</v>
      </c>
      <c r="BM1135" s="55" cm="1">
        <f t="array" ref="BM1135">IFERROR(
   INDEX($AW$1:$BH$1,
      _xlfn.AGGREGATE(14, 6, COLUMN($AW$1:$BH$1)/(AW1135:BH1135&lt;&gt;""), 2) - COLUMN($AW$1) + 1
   ),
"")</f>
        <v>46082</v>
      </c>
      <c r="BN1135" s="55" cm="1">
        <f t="array" ref="BN1135">IFERROR(INDEX($AW$1:$BH$1,1,MATCH(2,1/(AW1135:BH1135&lt;&gt;""))),"")</f>
        <v>46113</v>
      </c>
      <c r="BO1135" s="53">
        <f ca="1">IFERROR(_xlfn.XLOOKUP(F1135,Apuração!A:A,Apuração!C:C)/_xlfn.XLOOKUP(F1135,Apuração!A:A,Apuração!B:B),0)</f>
        <v>0.41666666666666669</v>
      </c>
      <c r="BP1135" s="53">
        <f ca="1">IFERROR(_xlfn.XLOOKUP(F1135,Apuração!A:A,Apuração!D:D)/_xlfn.XLOOKUP(F1135,Apuração!A:A,Apuração!B:B),0)</f>
        <v>0.33333333333333331</v>
      </c>
      <c r="BQ1135" s="53">
        <f ca="1">IF(BK1135&gt;=BO1135,0,_xlfn.XLOOKUP(F1135,Apuração!A:A,Apuração!B:B)*(BO1135 + (1/_xlfn.XLOOKUP(F1135,Apuração!A:A,Apuração!B:B)) - BK1135))</f>
        <v>0</v>
      </c>
      <c r="BR1135" s="85">
        <f ca="1">IF(BQ1135=0,0,BQ1135*Z1135)</f>
        <v>0</v>
      </c>
      <c r="BS1135" s="53">
        <f ca="1">IFERROR((_xlfn.XLOOKUP(F1135,Apuração!A:A,Apuração!C:C)+1)/_xlfn.XLOOKUP(F1135,Apuração!A:A,Apuração!B:B),0)</f>
        <v>0.5</v>
      </c>
    </row>
    <row r="1136" spans="1:71" ht="25.95" hidden="1" customHeight="1" x14ac:dyDescent="0.3">
      <c r="A1136" s="39" t="s">
        <v>33</v>
      </c>
      <c r="B1136" s="4" t="s">
        <v>77</v>
      </c>
      <c r="C1136" s="5" t="s">
        <v>209</v>
      </c>
      <c r="D1136" s="5" t="s">
        <v>210</v>
      </c>
      <c r="E1136" s="4" t="str" cm="1">
        <f t="array" ref="E1136">_xlfn.IFS(
F1136 = "A partir de Abril", "Aguardando Execução na Distribuidora",
A1136 = "CAPACITAÇÃO", "Em execução no Corporativo",
TRUE, "Em Execução na Distribuidora"
)</f>
        <v>Em Execução na Distribuidora</v>
      </c>
      <c r="F1136" s="4" t="str" cm="1">
        <f t="array" ref="F1136">_xlfn.IFS(
AG1136 &lt;&gt; "", "Jan-Dez/26",
AH1136 &lt;&gt; "", "Fev-Dez/26",
AI1136 &lt;&gt; "", "Mar-Dez/26", AJ1136 &lt;&gt; "", "Abr-Dez/26",
TRUE, "A partir de Junho"
)</f>
        <v>Jan-Dez/26</v>
      </c>
      <c r="G1136" s="4" t="s">
        <v>37</v>
      </c>
      <c r="H1136" s="7" t="s">
        <v>54</v>
      </c>
      <c r="I1136" s="9" t="s">
        <v>76</v>
      </c>
      <c r="J1136" s="8" t="str" cm="1">
        <f t="array" aca="1" ref="J1136" ca="1">_xlfn.LET(
  _xlpm.actual_value_month, INDEX(T1136:AE1136, MATCH(DATE(YEAR(TODAY()), MONTH(TODAY()), 1), $T$1:$AE$1, 0)),
  IF(_xlpm.actual_value_month &lt;&gt; "",_xlpm.actual_value_month &amp; " ações mensais", "")
)</f>
        <v/>
      </c>
      <c r="K1136" s="8" t="str" cm="1">
        <f t="array" ref="K1136">_xlfn.LET(
    _xlpm.sum_month, SUM(T1136:AE1136),
    IF(_xlpm.sum_month = 0, "", _xlpm.sum_month &amp; " pessoas impactadas no ano.")
)</f>
        <v/>
      </c>
      <c r="L1136" s="9" t="s">
        <v>76</v>
      </c>
      <c r="M1136" s="19">
        <v>1</v>
      </c>
      <c r="N1136" s="5" t="s">
        <v>51</v>
      </c>
      <c r="O1136" s="5" t="s">
        <v>52</v>
      </c>
      <c r="P1136" s="10" t="s">
        <v>44</v>
      </c>
      <c r="Q1136" s="10" t="s">
        <v>44</v>
      </c>
      <c r="R1136" s="11" t="s">
        <v>44</v>
      </c>
      <c r="S1136" s="11" t="s">
        <v>44</v>
      </c>
      <c r="T1136" s="22"/>
      <c r="U1136" s="22"/>
      <c r="V1136" s="22"/>
      <c r="W1136" s="22"/>
      <c r="X1136" s="22"/>
      <c r="Y1136" s="22"/>
      <c r="Z1136" s="22"/>
      <c r="AA1136" s="22"/>
      <c r="AB1136" s="22"/>
      <c r="AC1136" s="22"/>
      <c r="AD1136" s="22"/>
      <c r="AE1136" s="22"/>
      <c r="AG1136" s="154">
        <v>44000</v>
      </c>
      <c r="AH1136" s="153">
        <v>55250</v>
      </c>
      <c r="AI1136" s="153">
        <v>29750</v>
      </c>
      <c r="AJ1136" s="153">
        <v>34000</v>
      </c>
      <c r="AK1136" s="71"/>
      <c r="AL1136" s="71"/>
      <c r="AM1136" s="71"/>
      <c r="AN1136" s="71"/>
      <c r="AO1136" s="71"/>
      <c r="AP1136" s="71"/>
      <c r="AQ1136" s="71"/>
      <c r="AR1136" s="71"/>
      <c r="AS1136" s="94">
        <f t="shared" ref="AS1136:AS1140" ca="1" si="1320">IF(MONTH(TODAY())=3,SUM(T1136:U1136),IF(MONTH(TODAY())=4,SUM(T1136:V1136),IF(MONTH(TODAY())=5,SUM(T1136:W1136),IF(MONTH(TODAY())=6,SUM(T1136:X1136),IF(MONTH(TODAY())=7,SUM(T1136:Y1136),IF(MONTH(TODAY())=8,SUM(T1136:Z1136),IF(MONTH(TODAY())=9,SUM(T1136:AA1136),IF(MONTH(TODAY())=10,SUM(T1136:AB1136),IF(MONTH(TODAY())=11,SUM(T1136:AC1136),IF(MONTH(TODAY())=12,SUM(T1136:AD1136),IF(MONTH(TODAY())=1,SUM(T1136:AE1136),T1136)))))))))))</f>
        <v>0</v>
      </c>
      <c r="AT1136" s="95">
        <f t="shared" ref="AT1136:AT1140" si="1321">SUM(AG1136:AR1136)</f>
        <v>163000</v>
      </c>
      <c r="AU1136" s="97">
        <f t="shared" ref="AU1136:AU1140" si="1322">SUM(AG1136:AR1136)</f>
        <v>163000</v>
      </c>
      <c r="AW1136" s="83">
        <f t="shared" ref="AW1136:AW1140" si="1323">AG1136</f>
        <v>44000</v>
      </c>
      <c r="AX1136" s="83">
        <f t="shared" ref="AX1136:AX1140" si="1324">AH1136</f>
        <v>55250</v>
      </c>
      <c r="AY1136" s="83">
        <f t="shared" ref="AY1136:AY1140" si="1325">AI1136</f>
        <v>29750</v>
      </c>
      <c r="AZ1136" s="83">
        <f t="shared" ref="AZ1136:AZ1140" si="1326">AJ1136</f>
        <v>34000</v>
      </c>
      <c r="BA1136" s="52"/>
      <c r="BB1136" s="52"/>
      <c r="BC1136" s="52"/>
      <c r="BD1136" s="52"/>
      <c r="BE1136" s="52"/>
      <c r="BF1136" s="52"/>
      <c r="BG1136" s="52"/>
      <c r="BH1136" s="52"/>
      <c r="BI1136" s="68" cm="1">
        <f t="array" ref="BI1136">IFERROR(INDEX(AW1136:BH1136,1,MATCH(2,1/(AW1136:BH1136&lt;&gt;""))),"")</f>
        <v>34000</v>
      </c>
      <c r="BJ1136" s="68" cm="1">
        <f t="array" ref="BJ1136">IF(BM1136 = "", "",IFERROR(INDEX(AW1136:BH1136,1,MATCH(2,1/(AW1136:BH1136&lt;&gt;""),1)-1),""))</f>
        <v>29750</v>
      </c>
      <c r="BK1136" s="59">
        <f t="shared" ref="BK1136:BK1140" si="1327">SUM(AW1136:BH1136)</f>
        <v>163000</v>
      </c>
      <c r="BL1136" s="59" cm="1">
        <f t="array" ref="BL1136">IFERROR(SUM(AW1136:INDEX(AW1136:BH1136, MATCH(2, 1/(AW1136:BH1136&lt;&gt;""), 1) - 1))/_xlfn.XLOOKUP(F1136,Apuração!A:A,Apuração!B:B),0)</f>
        <v>10750</v>
      </c>
      <c r="BM1136" s="55" cm="1">
        <f t="array" ref="BM1136">IFERROR(
   INDEX($AW$1:$BH$1,
      _xlfn.AGGREGATE(14, 6, COLUMN($AW$1:$BH$1)/(AW1136:BH1136&lt;&gt;""), 2) - COLUMN($AW$1) + 1
   ),
"")</f>
        <v>46082</v>
      </c>
      <c r="BN1136" s="55" cm="1">
        <f t="array" ref="BN1136">IFERROR(INDEX($AW$1:$BH$1,1,MATCH(2,1/(AW1136:BH1136&lt;&gt;""))),"")</f>
        <v>46113</v>
      </c>
      <c r="BO1136" s="53">
        <f ca="1">IFERROR(_xlfn.XLOOKUP(F1136,Apuração!A:A,Apuração!C:C)/_xlfn.XLOOKUP(F1136,Apuração!A:A,Apuração!B:B),0)</f>
        <v>0.41666666666666669</v>
      </c>
      <c r="BP1136" s="53">
        <f ca="1">IFERROR(_xlfn.XLOOKUP(F1136,Apuração!A:A,Apuração!D:D)/_xlfn.XLOOKUP(F1136,Apuração!A:A,Apuração!B:B),0)</f>
        <v>0.33333333333333331</v>
      </c>
      <c r="BQ1136" s="53">
        <f ca="1">IF(BK1136&gt;=BO1136,0,_xlfn.XLOOKUP(F1136,Apuração!A:A,Apuração!B:B)*(BO1136 + (1/_xlfn.XLOOKUP(F1136,Apuração!A:A,Apuração!B:B)) - BK1136))</f>
        <v>0</v>
      </c>
      <c r="BR1136" s="85">
        <f t="shared" ref="BR1136:BR1140" ca="1" si="1328">IF(BQ1136=0,0,BQ1136*Z1136)</f>
        <v>0</v>
      </c>
      <c r="BS1136" s="53">
        <f ca="1">IFERROR((_xlfn.XLOOKUP(F1136,Apuração!A:A,Apuração!C:C)+1)/_xlfn.XLOOKUP(F1136,Apuração!A:A,Apuração!B:B),0)</f>
        <v>0.5</v>
      </c>
    </row>
    <row r="1137" spans="1:71" ht="25.95" hidden="1" customHeight="1" x14ac:dyDescent="0.3">
      <c r="A1137" s="39" t="s">
        <v>33</v>
      </c>
      <c r="B1137" s="4" t="s">
        <v>77</v>
      </c>
      <c r="C1137" s="5" t="s">
        <v>209</v>
      </c>
      <c r="D1137" s="5" t="s">
        <v>47</v>
      </c>
      <c r="E1137" s="4" t="str" cm="1">
        <f t="array" ref="E1137">_xlfn.IFS(
F1137 = "A partir de Abril", "Aguardando Execução na Distribuidora",
A1137 = "CAPACITAÇÃO", "Em execução no Corporativo",
TRUE, "Em Execução na Distribuidora"
)</f>
        <v>Em Execução na Distribuidora</v>
      </c>
      <c r="F1137" s="4" t="str" cm="1">
        <f t="array" ref="F1137">_xlfn.IFS(
AG1137 &lt;&gt; "", "Jan-Dez/26",
AH1137 &lt;&gt; "", "Fev-Dez/26",
AI1137 &lt;&gt; "", "Mar-Dez/26", AJ1137 &lt;&gt; "", "Abr-Dez/26",
TRUE, "A partir de Junho"
)</f>
        <v>Jan-Dez/26</v>
      </c>
      <c r="G1137" s="4" t="s">
        <v>37</v>
      </c>
      <c r="H1137" s="7" t="s">
        <v>54</v>
      </c>
      <c r="I1137" s="9" t="s">
        <v>76</v>
      </c>
      <c r="J1137" s="8" t="str" cm="1">
        <f t="array" aca="1" ref="J1137" ca="1">_xlfn.LET(
  _xlpm.actual_value_month, INDEX(T1137:AE1137, MATCH(DATE(YEAR(TODAY()), MONTH(TODAY()), 1), $T$1:$AE$1, 0)),
  IF(_xlpm.actual_value_month &lt;&gt; "",_xlpm.actual_value_month &amp; " ações mensais", "")
)</f>
        <v/>
      </c>
      <c r="K1137" s="8" t="str" cm="1">
        <f t="array" ref="K1137">_xlfn.LET(
    _xlpm.sum_month, SUM(T1137:AE1137),
    IF(_xlpm.sum_month = 0, "", _xlpm.sum_month &amp; " pessoas impactadas no ano.")
)</f>
        <v/>
      </c>
      <c r="L1137" s="9" t="s">
        <v>76</v>
      </c>
      <c r="M1137" s="19">
        <v>1</v>
      </c>
      <c r="N1137" s="5" t="s">
        <v>51</v>
      </c>
      <c r="O1137" s="5" t="s">
        <v>52</v>
      </c>
      <c r="P1137" s="10" t="s">
        <v>44</v>
      </c>
      <c r="Q1137" s="10" t="s">
        <v>44</v>
      </c>
      <c r="R1137" s="11" t="s">
        <v>44</v>
      </c>
      <c r="S1137" s="11" t="s">
        <v>44</v>
      </c>
      <c r="T1137" s="22"/>
      <c r="U1137" s="22"/>
      <c r="V1137" s="22"/>
      <c r="W1137" s="22"/>
      <c r="X1137" s="22"/>
      <c r="Y1137" s="22"/>
      <c r="Z1137" s="22"/>
      <c r="AA1137" s="22"/>
      <c r="AB1137" s="22"/>
      <c r="AC1137" s="22"/>
      <c r="AD1137" s="22"/>
      <c r="AE1137" s="22"/>
      <c r="AG1137" s="148">
        <v>40250</v>
      </c>
      <c r="AH1137" s="155">
        <v>24250</v>
      </c>
      <c r="AI1137" s="155">
        <v>39750</v>
      </c>
      <c r="AJ1137" s="155">
        <v>22250</v>
      </c>
      <c r="AK1137" s="71"/>
      <c r="AL1137" s="71"/>
      <c r="AM1137" s="71"/>
      <c r="AN1137" s="71"/>
      <c r="AO1137" s="71"/>
      <c r="AP1137" s="71"/>
      <c r="AQ1137" s="71"/>
      <c r="AR1137" s="71"/>
      <c r="AS1137" s="94">
        <f t="shared" ca="1" si="1320"/>
        <v>0</v>
      </c>
      <c r="AT1137" s="95">
        <f t="shared" si="1321"/>
        <v>126500</v>
      </c>
      <c r="AU1137" s="97">
        <f t="shared" si="1322"/>
        <v>126500</v>
      </c>
      <c r="AW1137" s="83">
        <f t="shared" si="1323"/>
        <v>40250</v>
      </c>
      <c r="AX1137" s="83">
        <f t="shared" si="1324"/>
        <v>24250</v>
      </c>
      <c r="AY1137" s="83">
        <f t="shared" si="1325"/>
        <v>39750</v>
      </c>
      <c r="AZ1137" s="83">
        <f t="shared" si="1326"/>
        <v>22250</v>
      </c>
      <c r="BA1137" s="52"/>
      <c r="BB1137" s="52"/>
      <c r="BC1137" s="52"/>
      <c r="BD1137" s="52"/>
      <c r="BE1137" s="52"/>
      <c r="BF1137" s="52"/>
      <c r="BG1137" s="52"/>
      <c r="BH1137" s="52"/>
      <c r="BI1137" s="68" cm="1">
        <f t="array" ref="BI1137">IFERROR(INDEX(AW1137:BH1137,1,MATCH(2,1/(AW1137:BH1137&lt;&gt;""))),"")</f>
        <v>22250</v>
      </c>
      <c r="BJ1137" s="68" cm="1">
        <f t="array" ref="BJ1137">IF(BM1137 = "", "",IFERROR(INDEX(AW1137:BH1137,1,MATCH(2,1/(AW1137:BH1137&lt;&gt;""),1)-1),""))</f>
        <v>39750</v>
      </c>
      <c r="BK1137" s="59">
        <f t="shared" si="1327"/>
        <v>126500</v>
      </c>
      <c r="BL1137" s="59" cm="1">
        <f t="array" ref="BL1137">IFERROR(SUM(AW1137:INDEX(AW1137:BH1137, MATCH(2, 1/(AW1137:BH1137&lt;&gt;""), 1) - 1))/_xlfn.XLOOKUP(F1137,Apuração!A:A,Apuração!B:B),0)</f>
        <v>8687.5</v>
      </c>
      <c r="BM1137" s="55" cm="1">
        <f t="array" ref="BM1137">IFERROR(
   INDEX($AW$1:$BH$1,
      _xlfn.AGGREGATE(14, 6, COLUMN($AW$1:$BH$1)/(AW1137:BH1137&lt;&gt;""), 2) - COLUMN($AW$1) + 1
   ),
"")</f>
        <v>46082</v>
      </c>
      <c r="BN1137" s="55" cm="1">
        <f t="array" ref="BN1137">IFERROR(INDEX($AW$1:$BH$1,1,MATCH(2,1/(AW1137:BH1137&lt;&gt;""))),"")</f>
        <v>46113</v>
      </c>
      <c r="BO1137" s="53">
        <f ca="1">IFERROR(_xlfn.XLOOKUP(F1137,Apuração!A:A,Apuração!C:C)/_xlfn.XLOOKUP(F1137,Apuração!A:A,Apuração!B:B),0)</f>
        <v>0.41666666666666669</v>
      </c>
      <c r="BP1137" s="53">
        <f ca="1">IFERROR(_xlfn.XLOOKUP(F1137,Apuração!A:A,Apuração!D:D)/_xlfn.XLOOKUP(F1137,Apuração!A:A,Apuração!B:B),0)</f>
        <v>0.33333333333333331</v>
      </c>
      <c r="BQ1137" s="53">
        <f ca="1">IF(BK1137&gt;=BO1137,0,_xlfn.XLOOKUP(F1137,Apuração!A:A,Apuração!B:B)*(BO1137 + (1/_xlfn.XLOOKUP(F1137,Apuração!A:A,Apuração!B:B)) - BK1137))</f>
        <v>0</v>
      </c>
      <c r="BR1137" s="85">
        <f t="shared" ca="1" si="1328"/>
        <v>0</v>
      </c>
      <c r="BS1137" s="53">
        <f ca="1">IFERROR((_xlfn.XLOOKUP(F1137,Apuração!A:A,Apuração!C:C)+1)/_xlfn.XLOOKUP(F1137,Apuração!A:A,Apuração!B:B),0)</f>
        <v>0.5</v>
      </c>
    </row>
    <row r="1138" spans="1:71" ht="25.95" hidden="1" customHeight="1" x14ac:dyDescent="0.3">
      <c r="A1138" s="39" t="s">
        <v>33</v>
      </c>
      <c r="B1138" s="4" t="s">
        <v>77</v>
      </c>
      <c r="C1138" s="5" t="s">
        <v>209</v>
      </c>
      <c r="D1138" s="5" t="s">
        <v>211</v>
      </c>
      <c r="E1138" s="4" t="str" cm="1">
        <f t="array" ref="E1138">_xlfn.IFS(
F1138 = "A partir de Abril", "Aguardando Execução na Distribuidora",
A1138 = "CAPACITAÇÃO", "Em execução no Corporativo",
TRUE, "Em Execução na Distribuidora"
)</f>
        <v>Em Execução na Distribuidora</v>
      </c>
      <c r="F1138" s="4" t="str" cm="1">
        <f t="array" ref="F1138">_xlfn.IFS(
AG1138 &lt;&gt; "", "Jan-Dez/26",
AH1138 &lt;&gt; "", "Fev-Dez/26",
AI1138 &lt;&gt; "", "Mar-Dez/26", AJ1138 &lt;&gt; "", "Abr-Dez/26",
TRUE, "A partir de Junho"
)</f>
        <v>Jan-Dez/26</v>
      </c>
      <c r="G1138" s="4" t="s">
        <v>37</v>
      </c>
      <c r="H1138" s="7" t="s">
        <v>54</v>
      </c>
      <c r="I1138" s="9" t="s">
        <v>76</v>
      </c>
      <c r="J1138" s="8" t="str" cm="1">
        <f t="array" aca="1" ref="J1138" ca="1">_xlfn.LET(
  _xlpm.actual_value_month, INDEX(T1138:AE1138, MATCH(DATE(YEAR(TODAY()), MONTH(TODAY()), 1), $T$1:$AE$1, 0)),
  IF(_xlpm.actual_value_month &lt;&gt; "",_xlpm.actual_value_month &amp; " ações mensais", "")
)</f>
        <v/>
      </c>
      <c r="K1138" s="8" t="str" cm="1">
        <f t="array" ref="K1138">_xlfn.LET(
    _xlpm.sum_month, SUM(T1138:AE1138),
    IF(_xlpm.sum_month = 0, "", _xlpm.sum_month &amp; " pessoas impactadas no ano.")
)</f>
        <v/>
      </c>
      <c r="L1138" s="9" t="s">
        <v>76</v>
      </c>
      <c r="M1138" s="19">
        <v>1</v>
      </c>
      <c r="N1138" s="5" t="s">
        <v>51</v>
      </c>
      <c r="O1138" s="5" t="s">
        <v>52</v>
      </c>
      <c r="P1138" s="10" t="s">
        <v>44</v>
      </c>
      <c r="Q1138" s="10" t="s">
        <v>44</v>
      </c>
      <c r="R1138" s="11" t="s">
        <v>44</v>
      </c>
      <c r="S1138" s="11" t="s">
        <v>44</v>
      </c>
      <c r="T1138" s="22"/>
      <c r="U1138" s="22"/>
      <c r="V1138" s="22"/>
      <c r="W1138" s="22"/>
      <c r="X1138" s="22"/>
      <c r="Y1138" s="22"/>
      <c r="Z1138" s="22"/>
      <c r="AA1138" s="22"/>
      <c r="AB1138" s="22"/>
      <c r="AC1138" s="22"/>
      <c r="AD1138" s="22"/>
      <c r="AE1138" s="22"/>
      <c r="AG1138" s="148">
        <v>10500</v>
      </c>
      <c r="AH1138" s="155">
        <v>14250</v>
      </c>
      <c r="AI1138" s="155">
        <v>6250</v>
      </c>
      <c r="AJ1138" s="155">
        <v>10500</v>
      </c>
      <c r="AK1138" s="71"/>
      <c r="AL1138" s="71"/>
      <c r="AM1138" s="71"/>
      <c r="AN1138" s="71"/>
      <c r="AO1138" s="71"/>
      <c r="AP1138" s="71"/>
      <c r="AQ1138" s="71"/>
      <c r="AR1138" s="71"/>
      <c r="AS1138" s="94">
        <f t="shared" ca="1" si="1320"/>
        <v>0</v>
      </c>
      <c r="AT1138" s="95">
        <f t="shared" si="1321"/>
        <v>41500</v>
      </c>
      <c r="AU1138" s="97">
        <f t="shared" si="1322"/>
        <v>41500</v>
      </c>
      <c r="AW1138" s="83">
        <f t="shared" si="1323"/>
        <v>10500</v>
      </c>
      <c r="AX1138" s="83">
        <f t="shared" si="1324"/>
        <v>14250</v>
      </c>
      <c r="AY1138" s="83">
        <f t="shared" si="1325"/>
        <v>6250</v>
      </c>
      <c r="AZ1138" s="83">
        <f t="shared" si="1326"/>
        <v>10500</v>
      </c>
      <c r="BA1138" s="52"/>
      <c r="BB1138" s="52"/>
      <c r="BC1138" s="52"/>
      <c r="BD1138" s="52"/>
      <c r="BE1138" s="52"/>
      <c r="BF1138" s="52"/>
      <c r="BG1138" s="52"/>
      <c r="BH1138" s="52"/>
      <c r="BI1138" s="68" cm="1">
        <f t="array" ref="BI1138">IFERROR(INDEX(AW1138:BH1138,1,MATCH(2,1/(AW1138:BH1138&lt;&gt;""))),"")</f>
        <v>10500</v>
      </c>
      <c r="BJ1138" s="68" cm="1">
        <f t="array" ref="BJ1138">IF(BM1138 = "", "",IFERROR(INDEX(AW1138:BH1138,1,MATCH(2,1/(AW1138:BH1138&lt;&gt;""),1)-1),""))</f>
        <v>6250</v>
      </c>
      <c r="BK1138" s="59">
        <f t="shared" si="1327"/>
        <v>41500</v>
      </c>
      <c r="BL1138" s="59" cm="1">
        <f t="array" ref="BL1138">IFERROR(SUM(AW1138:INDEX(AW1138:BH1138, MATCH(2, 1/(AW1138:BH1138&lt;&gt;""), 1) - 1))/_xlfn.XLOOKUP(F1138,Apuração!A:A,Apuração!B:B),0)</f>
        <v>2583.3333333333335</v>
      </c>
      <c r="BM1138" s="55" cm="1">
        <f t="array" ref="BM1138">IFERROR(
   INDEX($AW$1:$BH$1,
      _xlfn.AGGREGATE(14, 6, COLUMN($AW$1:$BH$1)/(AW1138:BH1138&lt;&gt;""), 2) - COLUMN($AW$1) + 1
   ),
"")</f>
        <v>46082</v>
      </c>
      <c r="BN1138" s="55" cm="1">
        <f t="array" ref="BN1138">IFERROR(INDEX($AW$1:$BH$1,1,MATCH(2,1/(AW1138:BH1138&lt;&gt;""))),"")</f>
        <v>46113</v>
      </c>
      <c r="BO1138" s="53">
        <f ca="1">IFERROR(_xlfn.XLOOKUP(F1138,Apuração!A:A,Apuração!C:C)/_xlfn.XLOOKUP(F1138,Apuração!A:A,Apuração!B:B),0)</f>
        <v>0.41666666666666669</v>
      </c>
      <c r="BP1138" s="53">
        <f ca="1">IFERROR(_xlfn.XLOOKUP(F1138,Apuração!A:A,Apuração!D:D)/_xlfn.XLOOKUP(F1138,Apuração!A:A,Apuração!B:B),0)</f>
        <v>0.33333333333333331</v>
      </c>
      <c r="BQ1138" s="53">
        <f ca="1">IF(BK1138&gt;=BO1138,0,_xlfn.XLOOKUP(F1138,Apuração!A:A,Apuração!B:B)*(BO1138 + (1/_xlfn.XLOOKUP(F1138,Apuração!A:A,Apuração!B:B)) - BK1138))</f>
        <v>0</v>
      </c>
      <c r="BR1138" s="85">
        <f t="shared" ca="1" si="1328"/>
        <v>0</v>
      </c>
      <c r="BS1138" s="53">
        <f ca="1">IFERROR((_xlfn.XLOOKUP(F1138,Apuração!A:A,Apuração!C:C)+1)/_xlfn.XLOOKUP(F1138,Apuração!A:A,Apuração!B:B),0)</f>
        <v>0.5</v>
      </c>
    </row>
    <row r="1139" spans="1:71" ht="25.95" hidden="1" customHeight="1" x14ac:dyDescent="0.3">
      <c r="A1139" s="39" t="s">
        <v>33</v>
      </c>
      <c r="B1139" s="4" t="s">
        <v>77</v>
      </c>
      <c r="C1139" s="5" t="s">
        <v>209</v>
      </c>
      <c r="D1139" s="5" t="s">
        <v>212</v>
      </c>
      <c r="E1139" s="4" t="str" cm="1">
        <f t="array" ref="E1139">_xlfn.IFS(
F1139 = "A partir de Abril", "Aguardando Execução na Distribuidora",
A1139 = "CAPACITAÇÃO", "Em execução no Corporativo",
TRUE, "Em Execução na Distribuidora"
)</f>
        <v>Em Execução na Distribuidora</v>
      </c>
      <c r="F1139" s="4" t="str" cm="1">
        <f t="array" ref="F1139">_xlfn.IFS(
AG1139 &lt;&gt; "", "Jan-Dez/26",
AH1139 &lt;&gt; "", "Fev-Dez/26",
AI1139 &lt;&gt; "", "Mar-Dez/26", AJ1139 &lt;&gt; "", "Abr-Dez/26",
TRUE, "A partir de Junho"
)</f>
        <v>Jan-Dez/26</v>
      </c>
      <c r="G1139" s="4" t="s">
        <v>37</v>
      </c>
      <c r="H1139" s="7" t="s">
        <v>54</v>
      </c>
      <c r="I1139" s="9" t="s">
        <v>76</v>
      </c>
      <c r="J1139" s="8" t="str" cm="1">
        <f t="array" aca="1" ref="J1139" ca="1">_xlfn.LET(
  _xlpm.actual_value_month, INDEX(T1139:AE1139, MATCH(DATE(YEAR(TODAY()), MONTH(TODAY()), 1), $T$1:$AE$1, 0)),
  IF(_xlpm.actual_value_month &lt;&gt; "",_xlpm.actual_value_month &amp; " ações mensais", "")
)</f>
        <v/>
      </c>
      <c r="K1139" s="8" t="str" cm="1">
        <f t="array" ref="K1139">_xlfn.LET(
    _xlpm.sum_month, SUM(T1139:AE1139),
    IF(_xlpm.sum_month = 0, "", _xlpm.sum_month &amp; " pessoas impactadas no ano.")
)</f>
        <v/>
      </c>
      <c r="L1139" s="9" t="s">
        <v>76</v>
      </c>
      <c r="M1139" s="19">
        <v>1</v>
      </c>
      <c r="N1139" s="5" t="s">
        <v>51</v>
      </c>
      <c r="O1139" s="5" t="s">
        <v>52</v>
      </c>
      <c r="P1139" s="10" t="s">
        <v>44</v>
      </c>
      <c r="Q1139" s="10" t="s">
        <v>44</v>
      </c>
      <c r="R1139" s="11" t="s">
        <v>44</v>
      </c>
      <c r="S1139" s="11" t="s">
        <v>44</v>
      </c>
      <c r="T1139" s="22"/>
      <c r="U1139" s="22"/>
      <c r="V1139" s="22"/>
      <c r="W1139" s="22"/>
      <c r="X1139" s="22"/>
      <c r="Y1139" s="22"/>
      <c r="Z1139" s="22"/>
      <c r="AA1139" s="22"/>
      <c r="AB1139" s="22"/>
      <c r="AC1139" s="22"/>
      <c r="AD1139" s="22"/>
      <c r="AE1139" s="22"/>
      <c r="AG1139" s="148">
        <v>54500</v>
      </c>
      <c r="AH1139" s="155">
        <v>70700</v>
      </c>
      <c r="AI1139" s="155">
        <v>28850</v>
      </c>
      <c r="AJ1139" s="155">
        <v>31850</v>
      </c>
      <c r="AK1139" s="71"/>
      <c r="AL1139" s="71"/>
      <c r="AM1139" s="71"/>
      <c r="AN1139" s="71"/>
      <c r="AO1139" s="71"/>
      <c r="AP1139" s="71"/>
      <c r="AQ1139" s="71"/>
      <c r="AR1139" s="71"/>
      <c r="AS1139" s="94">
        <f t="shared" ca="1" si="1320"/>
        <v>0</v>
      </c>
      <c r="AT1139" s="95">
        <f t="shared" si="1321"/>
        <v>185900</v>
      </c>
      <c r="AU1139" s="97">
        <f t="shared" si="1322"/>
        <v>185900</v>
      </c>
      <c r="AW1139" s="83">
        <f t="shared" si="1323"/>
        <v>54500</v>
      </c>
      <c r="AX1139" s="83">
        <f t="shared" si="1324"/>
        <v>70700</v>
      </c>
      <c r="AY1139" s="83">
        <f t="shared" si="1325"/>
        <v>28850</v>
      </c>
      <c r="AZ1139" s="83">
        <f t="shared" si="1326"/>
        <v>31850</v>
      </c>
      <c r="BA1139" s="52"/>
      <c r="BB1139" s="52"/>
      <c r="BC1139" s="52"/>
      <c r="BD1139" s="52"/>
      <c r="BE1139" s="52"/>
      <c r="BF1139" s="52"/>
      <c r="BG1139" s="52"/>
      <c r="BH1139" s="52"/>
      <c r="BI1139" s="68" cm="1">
        <f t="array" ref="BI1139">IFERROR(INDEX(AW1139:BH1139,1,MATCH(2,1/(AW1139:BH1139&lt;&gt;""))),"")</f>
        <v>31850</v>
      </c>
      <c r="BJ1139" s="68" cm="1">
        <f t="array" ref="BJ1139">IF(BM1139 = "", "",IFERROR(INDEX(AW1139:BH1139,1,MATCH(2,1/(AW1139:BH1139&lt;&gt;""),1)-1),""))</f>
        <v>28850</v>
      </c>
      <c r="BK1139" s="59">
        <f t="shared" si="1327"/>
        <v>185900</v>
      </c>
      <c r="BL1139" s="59" cm="1">
        <f t="array" ref="BL1139">IFERROR(SUM(AW1139:INDEX(AW1139:BH1139, MATCH(2, 1/(AW1139:BH1139&lt;&gt;""), 1) - 1))/_xlfn.XLOOKUP(F1139,Apuração!A:A,Apuração!B:B),0)</f>
        <v>12837.5</v>
      </c>
      <c r="BM1139" s="55" cm="1">
        <f t="array" ref="BM1139">IFERROR(
   INDEX($AW$1:$BH$1,
      _xlfn.AGGREGATE(14, 6, COLUMN($AW$1:$BH$1)/(AW1139:BH1139&lt;&gt;""), 2) - COLUMN($AW$1) + 1
   ),
"")</f>
        <v>46082</v>
      </c>
      <c r="BN1139" s="55" cm="1">
        <f t="array" ref="BN1139">IFERROR(INDEX($AW$1:$BH$1,1,MATCH(2,1/(AW1139:BH1139&lt;&gt;""))),"")</f>
        <v>46113</v>
      </c>
      <c r="BO1139" s="53">
        <f ca="1">IFERROR(_xlfn.XLOOKUP(F1139,Apuração!A:A,Apuração!C:C)/_xlfn.XLOOKUP(F1139,Apuração!A:A,Apuração!B:B),0)</f>
        <v>0.41666666666666669</v>
      </c>
      <c r="BP1139" s="53">
        <f ca="1">IFERROR(_xlfn.XLOOKUP(F1139,Apuração!A:A,Apuração!D:D)/_xlfn.XLOOKUP(F1139,Apuração!A:A,Apuração!B:B),0)</f>
        <v>0.33333333333333331</v>
      </c>
      <c r="BQ1139" s="53">
        <f ca="1">IF(BK1139&gt;=BO1139,0,_xlfn.XLOOKUP(F1139,Apuração!A:A,Apuração!B:B)*(BO1139 + (1/_xlfn.XLOOKUP(F1139,Apuração!A:A,Apuração!B:B)) - BK1139))</f>
        <v>0</v>
      </c>
      <c r="BR1139" s="85">
        <f t="shared" ca="1" si="1328"/>
        <v>0</v>
      </c>
      <c r="BS1139" s="53">
        <f ca="1">IFERROR((_xlfn.XLOOKUP(F1139,Apuração!A:A,Apuração!C:C)+1)/_xlfn.XLOOKUP(F1139,Apuração!A:A,Apuração!B:B),0)</f>
        <v>0.5</v>
      </c>
    </row>
    <row r="1140" spans="1:71" ht="25.95" hidden="1" customHeight="1" x14ac:dyDescent="0.3">
      <c r="A1140" s="39" t="s">
        <v>33</v>
      </c>
      <c r="B1140" s="4" t="s">
        <v>77</v>
      </c>
      <c r="C1140" s="5" t="s">
        <v>209</v>
      </c>
      <c r="D1140" s="5" t="s">
        <v>213</v>
      </c>
      <c r="E1140" s="4" t="str" cm="1">
        <f t="array" ref="E1140">_xlfn.IFS(
F1140 = "A partir de Abril", "Aguardando Execução na Distribuidora",
A1140 = "CAPACITAÇÃO", "Em execução no Corporativo",
TRUE, "Em Execução na Distribuidora"
)</f>
        <v>Em Execução na Distribuidora</v>
      </c>
      <c r="F1140" s="4" t="str" cm="1">
        <f t="array" ref="F1140">_xlfn.IFS(
AG1140 &lt;&gt; "", "Jan-Dez/26",
AH1140 &lt;&gt; "", "Fev-Dez/26",
AI1140 &lt;&gt; "", "Mar-Dez/26", AJ1140 &lt;&gt; "", "Abr-Dez/26",
TRUE, "A partir de Junho"
)</f>
        <v>Jan-Dez/26</v>
      </c>
      <c r="G1140" s="4" t="s">
        <v>37</v>
      </c>
      <c r="H1140" s="7" t="s">
        <v>54</v>
      </c>
      <c r="I1140" s="9" t="s">
        <v>76</v>
      </c>
      <c r="J1140" s="8" t="str" cm="1">
        <f t="array" aca="1" ref="J1140" ca="1">_xlfn.LET(
  _xlpm.actual_value_month, INDEX(T1140:AE1140, MATCH(DATE(YEAR(TODAY()), MONTH(TODAY()), 1), $T$1:$AE$1, 0)),
  IF(_xlpm.actual_value_month &lt;&gt; "",_xlpm.actual_value_month &amp; " ações mensais", "")
)</f>
        <v/>
      </c>
      <c r="K1140" s="8" t="str" cm="1">
        <f t="array" ref="K1140">_xlfn.LET(
    _xlpm.sum_month, SUM(T1140:AE1140),
    IF(_xlpm.sum_month = 0, "", _xlpm.sum_month &amp; " pessoas impactadas no ano.")
)</f>
        <v/>
      </c>
      <c r="L1140" s="9" t="s">
        <v>76</v>
      </c>
      <c r="M1140" s="19">
        <v>1</v>
      </c>
      <c r="N1140" s="5" t="s">
        <v>51</v>
      </c>
      <c r="O1140" s="5" t="s">
        <v>52</v>
      </c>
      <c r="P1140" s="10" t="s">
        <v>44</v>
      </c>
      <c r="Q1140" s="10" t="s">
        <v>44</v>
      </c>
      <c r="R1140" s="11" t="s">
        <v>44</v>
      </c>
      <c r="S1140" s="11" t="s">
        <v>44</v>
      </c>
      <c r="T1140" s="22"/>
      <c r="U1140" s="22"/>
      <c r="V1140" s="22"/>
      <c r="W1140" s="22"/>
      <c r="X1140" s="22"/>
      <c r="Y1140" s="22"/>
      <c r="Z1140" s="22"/>
      <c r="AA1140" s="22"/>
      <c r="AB1140" s="22"/>
      <c r="AC1140" s="22"/>
      <c r="AD1140" s="22"/>
      <c r="AE1140" s="22"/>
      <c r="AG1140" s="148">
        <v>139200</v>
      </c>
      <c r="AH1140" s="155">
        <v>103750</v>
      </c>
      <c r="AI1140" s="155">
        <v>49250</v>
      </c>
      <c r="AJ1140" s="155">
        <v>55000</v>
      </c>
      <c r="AK1140" s="71"/>
      <c r="AL1140" s="71"/>
      <c r="AM1140" s="71"/>
      <c r="AN1140" s="71"/>
      <c r="AO1140" s="71"/>
      <c r="AP1140" s="71"/>
      <c r="AQ1140" s="71"/>
      <c r="AR1140" s="71"/>
      <c r="AS1140" s="94">
        <f t="shared" ca="1" si="1320"/>
        <v>0</v>
      </c>
      <c r="AT1140" s="95">
        <f t="shared" si="1321"/>
        <v>347200</v>
      </c>
      <c r="AU1140" s="97">
        <f t="shared" si="1322"/>
        <v>347200</v>
      </c>
      <c r="AW1140" s="83">
        <f t="shared" si="1323"/>
        <v>139200</v>
      </c>
      <c r="AX1140" s="83">
        <f t="shared" si="1324"/>
        <v>103750</v>
      </c>
      <c r="AY1140" s="83">
        <f t="shared" si="1325"/>
        <v>49250</v>
      </c>
      <c r="AZ1140" s="83">
        <f t="shared" si="1326"/>
        <v>55000</v>
      </c>
      <c r="BA1140" s="52"/>
      <c r="BB1140" s="52"/>
      <c r="BC1140" s="52"/>
      <c r="BD1140" s="52"/>
      <c r="BE1140" s="52"/>
      <c r="BF1140" s="52"/>
      <c r="BG1140" s="52"/>
      <c r="BH1140" s="52"/>
      <c r="BI1140" s="68" cm="1">
        <f t="array" ref="BI1140">IFERROR(INDEX(AW1140:BH1140,1,MATCH(2,1/(AW1140:BH1140&lt;&gt;""))),"")</f>
        <v>55000</v>
      </c>
      <c r="BJ1140" s="68" cm="1">
        <f t="array" ref="BJ1140">IF(BM1140 = "", "",IFERROR(INDEX(AW1140:BH1140,1,MATCH(2,1/(AW1140:BH1140&lt;&gt;""),1)-1),""))</f>
        <v>49250</v>
      </c>
      <c r="BK1140" s="59">
        <f t="shared" si="1327"/>
        <v>347200</v>
      </c>
      <c r="BL1140" s="59" cm="1">
        <f t="array" ref="BL1140">IFERROR(SUM(AW1140:INDEX(AW1140:BH1140, MATCH(2, 1/(AW1140:BH1140&lt;&gt;""), 1) - 1))/_xlfn.XLOOKUP(F1140,Apuração!A:A,Apuração!B:B),0)</f>
        <v>24350</v>
      </c>
      <c r="BM1140" s="55" cm="1">
        <f t="array" ref="BM1140">IFERROR(
   INDEX($AW$1:$BH$1,
      _xlfn.AGGREGATE(14, 6, COLUMN($AW$1:$BH$1)/(AW1140:BH1140&lt;&gt;""), 2) - COLUMN($AW$1) + 1
   ),
"")</f>
        <v>46082</v>
      </c>
      <c r="BN1140" s="55" cm="1">
        <f t="array" ref="BN1140">IFERROR(INDEX($AW$1:$BH$1,1,MATCH(2,1/(AW1140:BH1140&lt;&gt;""))),"")</f>
        <v>46113</v>
      </c>
      <c r="BO1140" s="53">
        <f ca="1">IFERROR(_xlfn.XLOOKUP(F1140,Apuração!A:A,Apuração!C:C)/_xlfn.XLOOKUP(F1140,Apuração!A:A,Apuração!B:B),0)</f>
        <v>0.41666666666666669</v>
      </c>
      <c r="BP1140" s="53">
        <f ca="1">IFERROR(_xlfn.XLOOKUP(F1140,Apuração!A:A,Apuração!D:D)/_xlfn.XLOOKUP(F1140,Apuração!A:A,Apuração!B:B),0)</f>
        <v>0.33333333333333331</v>
      </c>
      <c r="BQ1140" s="53">
        <f ca="1">IF(BK1140&gt;=BO1140,0,_xlfn.XLOOKUP(F1140,Apuração!A:A,Apuração!B:B)*(BO1140 + (1/_xlfn.XLOOKUP(F1140,Apuração!A:A,Apuração!B:B)) - BK1140))</f>
        <v>0</v>
      </c>
      <c r="BR1140" s="85">
        <f t="shared" ca="1" si="1328"/>
        <v>0</v>
      </c>
      <c r="BS1140" s="53">
        <f ca="1">IFERROR((_xlfn.XLOOKUP(F1140,Apuração!A:A,Apuração!C:C)+1)/_xlfn.XLOOKUP(F1140,Apuração!A:A,Apuração!B:B),0)</f>
        <v>0.5</v>
      </c>
    </row>
    <row r="1141" spans="1:71" ht="25.95" hidden="1" customHeight="1" x14ac:dyDescent="0.3">
      <c r="A1141" s="3" t="s">
        <v>33</v>
      </c>
      <c r="B1141" s="4" t="s">
        <v>81</v>
      </c>
      <c r="C1141" s="5" t="s">
        <v>209</v>
      </c>
      <c r="D1141" s="5" t="s">
        <v>36</v>
      </c>
      <c r="E1141" s="4" t="str" cm="1">
        <f t="array" ref="E1141">_xlfn.IFS(
F1141 = "A partir de Abril", "Aguardando Execução na Distribuidora",
A1141 = "CAPACITAÇÃO", "Em execução no Corporativo",
TRUE, "Em Execução na Distribuidora"
)</f>
        <v>Em Execução na Distribuidora</v>
      </c>
      <c r="F1141" s="4" t="str" cm="1">
        <f t="array" ref="F1141">_xlfn.IFS(
AG1141 &lt;&gt; "", "Jan-Dez/26",
AH1141 &lt;&gt; "", "Fev-Dez/26",
AI1141 &lt;&gt; "", "Mar-Dez/26", AJ1141 &lt;&gt; "", "Abr-Dez/26",
TRUE, "A partir de Junho"
)</f>
        <v>Jan-Dez/26</v>
      </c>
      <c r="G1141" s="4" t="s">
        <v>37</v>
      </c>
      <c r="H1141" s="7" t="s">
        <v>54</v>
      </c>
      <c r="I1141" s="8" t="s">
        <v>55</v>
      </c>
      <c r="J1141" s="8" t="str" cm="1">
        <f t="array" aca="1" ref="J1141" ca="1">_xlfn.LET(
  _xlpm.actual_value_month, INDEX(T1141:AE1141, MATCH(DATE(YEAR(TODAY()), MONTH(TODAY()), 1), $T$1:$AE$1, 0)),
  IF(_xlpm.actual_value_month &lt;&gt; "",_xlpm.actual_value_month &amp; " eventos mensais", "")
)</f>
        <v>10 eventos mensais</v>
      </c>
      <c r="K1141" s="8" t="str" cm="1">
        <f t="array" ref="K1141">_xlfn.LET(
    _xlpm.sum_month, SUM(T1141:AE1141),
    IF(_xlpm.sum_month = 0, "", _xlpm.sum_month &amp; "  eventos no ano")
)</f>
        <v>132  eventos no ano</v>
      </c>
      <c r="L1141" s="9" t="s">
        <v>82</v>
      </c>
      <c r="M1141" s="13" t="s">
        <v>83</v>
      </c>
      <c r="N1141" s="5" t="s">
        <v>42</v>
      </c>
      <c r="O1141" s="5" t="s">
        <v>43</v>
      </c>
      <c r="P1141" s="10" t="s">
        <v>44</v>
      </c>
      <c r="Q1141" s="10" t="s">
        <v>44</v>
      </c>
      <c r="R1141" s="11" t="s">
        <v>44</v>
      </c>
      <c r="S1141" s="11" t="s">
        <v>44</v>
      </c>
      <c r="T1141" s="22">
        <v>5</v>
      </c>
      <c r="U1141" s="22">
        <v>19</v>
      </c>
      <c r="V1141" s="22">
        <v>18</v>
      </c>
      <c r="W1141" s="22">
        <v>10</v>
      </c>
      <c r="X1141" s="22">
        <v>10</v>
      </c>
      <c r="Y1141" s="22">
        <v>10</v>
      </c>
      <c r="Z1141" s="22">
        <v>10</v>
      </c>
      <c r="AA1141" s="22">
        <v>10</v>
      </c>
      <c r="AB1141" s="22">
        <v>10</v>
      </c>
      <c r="AC1141" s="22">
        <v>10</v>
      </c>
      <c r="AD1141" s="22">
        <v>10</v>
      </c>
      <c r="AE1141" s="22">
        <v>10</v>
      </c>
      <c r="AG1141" s="71">
        <v>5</v>
      </c>
      <c r="AH1141" s="71">
        <v>19</v>
      </c>
      <c r="AI1141" s="71">
        <v>18</v>
      </c>
      <c r="AJ1141" s="71">
        <v>16</v>
      </c>
      <c r="AK1141" s="71"/>
      <c r="AL1141" s="71"/>
      <c r="AM1141" s="71"/>
      <c r="AN1141" s="71"/>
      <c r="AO1141" s="71"/>
      <c r="AP1141" s="71"/>
      <c r="AQ1141" s="71"/>
      <c r="AR1141" s="71"/>
      <c r="AS1141" s="94">
        <f ca="1">IF(MONTH(TODAY())=3,SUM(T1141:U1141),IF(MONTH(TODAY())=4,SUM(T1141:V1141),IF(MONTH(TODAY())=5,SUM(T1141:W1141),IF(MONTH(TODAY())=6,SUM(T1141:X1141),IF(MONTH(TODAY())=7,SUM(T1141:Y1141),IF(MONTH(TODAY())=8,SUM(T1141:Z1141),IF(MONTH(TODAY())=9,SUM(T1141:AA1141),IF(MONTH(TODAY())=10,SUM(T1141:AB1141),IF(MONTH(TODAY())=11,SUM(T1141:AC1141),IF(MONTH(TODAY())=12,SUM(T1141:AD1141),IF(MONTH(TODAY())=1,SUM(T1141:AE1141),T1141)))))))))))</f>
        <v>62</v>
      </c>
      <c r="AT1141" s="95">
        <f>SUM(IF(AW1141&lt;1.15,AG1141,1.15*T1141),IF(AX1141&lt;1.15,AH1141,1.15*U1141),IF(AY1141&lt;1.15,AI1141,1.15*V1141),IF(AZ1141&lt;1.15,AJ1141,1.15*W1141),IF(BA1141&lt;1.15,AK1141,1.15*X1141),IF(BB1141&lt;1.15,AL1141,1.15*Y1141),IF(BC1141&lt;1.15,AM1141,1.15*Z1141),IF(BD1141&lt;1.15,AN1141,1.15*AA1141),IF(BE1141&lt;1.15,AO1141,1.15*AB1141),IF(BF1141&lt;1.15,AP1141,1.15*AC1141),IF(BG1141&lt;1.15,AQ1141,1.15*AD1141),IF(BH1141&lt;1.15,AR1141,1.15*AE1141))</f>
        <v>53.5</v>
      </c>
      <c r="AU1141" s="97">
        <f>SUM(AG1141:AR1141)</f>
        <v>58</v>
      </c>
      <c r="AW1141" s="51">
        <f>IFERROR(IF(AG1141="",0,AG1141/T1141),0)</f>
        <v>1</v>
      </c>
      <c r="AX1141" s="51">
        <f>IFERROR(IF(AH1141="",0,AH1141/U1141),0)</f>
        <v>1</v>
      </c>
      <c r="AY1141" s="51">
        <f>IFERROR(IF(AI1141="",0,AI1141/V1141),0)</f>
        <v>1</v>
      </c>
      <c r="AZ1141" s="51">
        <f>IFERROR(IF(AJ1141="",0,AJ1141/W1141),0)</f>
        <v>1.6</v>
      </c>
      <c r="BA1141" s="51"/>
      <c r="BB1141" s="51"/>
      <c r="BC1141" s="51"/>
      <c r="BD1141" s="51"/>
      <c r="BE1141" s="51"/>
      <c r="BF1141" s="51"/>
      <c r="BG1141" s="51"/>
      <c r="BH1141" s="51"/>
      <c r="BI1141" s="65" cm="1">
        <f t="array" ref="BI1141">IFERROR(INDEX(AW1141:BH1141,1,MATCH(2,1/(AW1141:BH1141&lt;&gt;""))),"")</f>
        <v>1.6</v>
      </c>
      <c r="BJ1141" s="68" cm="1">
        <f t="array" ref="BJ1141">IF(BM1141 = "", "",IFERROR(INDEX(AW1141:BH1141,1,MATCH(2,1/(AW1141:BH1141&lt;&gt;""),1)-1),""))</f>
        <v>1</v>
      </c>
      <c r="BK1141" s="58">
        <f>IF((IF(AW1141&gt;=115%,115%,AW1141) + IF(AX1141&gt;=115%,115%,AX1141) + IF(AY1141&gt;=115%,115%,AY1141) + (IF(AZ1141&gt;=115%,115%,AZ1141) + IF(BA1141&gt;=200%,200%,BA1141) + IF(BB1141&gt;=200%,200%,BB1141) + IF(BC1141&gt;=141%,141%,BC1141) + IF(BD1141&gt;=115%,115%,BD1141) + IF(BE1141&gt;=115%,115%,BE1141) + IF(BF1141&gt;=115%,115%,BF1141) + IF(BG1141&gt;=115%,115%,BG1141) + IF(BH1141&gt;=115%,115%,BH1141)))/_xlfn.XLOOKUP(F1141,Apuração!A:A,Apuração!B:B)&gt;=1.15,1.15,((IF(AZ1141&gt;=115%,115%,AZ1141) + IF(AX1141&gt;=115%,115%,AX1141) + IF(AY1141&gt;=115%,115%,AY1141) + (IF(AW1141&gt;=115%,115%,AW1141) + IF(BA1141&gt;=200%,200%,BA1141) + IF(BB1141&gt;=200%,200%,BB1141) + IF(BC1141&gt;=141%,141%,BC1141) + IF(BD1141&gt;=115%,115%,BD1141) + IF(BE1141&gt;=115%,115%,BE1141) + IF(BF1141&gt;=115%,115%,BF1141) + IF(BG1141&gt;=115%,115%,BG1141) + IF(BH1141&gt;=115%,115%,BH1141)))/_xlfn.XLOOKUP(F1141,Apuração!A:A,Apuração!B:B)))</f>
        <v>0.34583333333333338</v>
      </c>
      <c r="BL1141" s="58" cm="1">
        <f t="array" aca="1" ref="BL1141" ca="1">IF(SUM(IFERROR(IF(INDEX(AW1141:INDEX(AW1141:BH1141, MATCH(2, 1/(AW1141:BH1141&lt;&gt;""), 1)-1), ROW(INDIRECT("1:" &amp; MATCH(2, 1/(AW1141:BH1141&lt;&gt;""), 1)-1))) &gt;= 115%, 115%, INDEX(AW1141:INDEX(AW1141:BH1141, MATCH(2, 1/(AW1141:BH1141&lt;&gt;""), 1)-1), ROW(INDIRECT("1:" &amp; MATCH(2, 1/(AW1141:BH1141&lt;&gt;""), 1)-1)))), 0))/_xlfn.XLOOKUP(F1141,Apuração!A:A,Apuração!B:B)&gt;=1.15,1.15,SUM(IFERROR(IF(INDEX(AW1141:INDEX(AW1141:BH1141, MATCH(2, 1/(AW1141:BH1141&lt;&gt;""), 1)-1), ROW(INDIRECT("1:" &amp; MATCH(2, 1/(AW1141:BH1141&lt;&gt;""), 1)-1))) &gt;= 115%, 115%, INDEX(AW1141:INDEX(AW1141:BH1141, MATCH(2, 1/(AW1141:BH1141&lt;&gt;""), 1)-1), ROW(INDIRECT("1:" &amp; MATCH(2, 1/(AW1141:BH1141&lt;&gt;""), 1)-1)))), 0))/_xlfn.XLOOKUP(F1141,Apuração!A:A,Apuração!B:B))</f>
        <v>0.25</v>
      </c>
      <c r="BM1141" s="55" cm="1">
        <f t="array" ref="BM1141">IFERROR(
   INDEX($AW$1:$BH$1,
      _xlfn.AGGREGATE(14, 6, COLUMN($AW$1:$BH$1)/(AW1141:BH1141&lt;&gt;""), 2) - COLUMN($AW$1) + 1
   ),
"")</f>
        <v>46082</v>
      </c>
      <c r="BN1141" s="55" cm="1">
        <f t="array" ref="BN1141">IFERROR(INDEX($AW$1:$BH$1,1,MATCH(2,1/(AW1141:BH1141&lt;&gt;""))),"")</f>
        <v>46113</v>
      </c>
      <c r="BO1141" s="53">
        <f ca="1">IFERROR(_xlfn.XLOOKUP(F1141,Apuração!A:A,Apuração!C:C)/_xlfn.XLOOKUP(F1141,Apuração!A:A,Apuração!B:B),0)</f>
        <v>0.41666666666666669</v>
      </c>
      <c r="BP1141" s="53">
        <f ca="1">IFERROR(_xlfn.XLOOKUP(F1141,Apuração!A:A,Apuração!D:D)/_xlfn.XLOOKUP(F1141,Apuração!A:A,Apuração!B:B),0)</f>
        <v>0.33333333333333331</v>
      </c>
      <c r="BQ1141" s="53">
        <f ca="1">IF(BK1141&gt;=BO1141,0,_xlfn.XLOOKUP(F1141,Apuração!A:A,Apuração!B:B)*(BO1141 + (1/_xlfn.XLOOKUP(F1141,Apuração!A:A,Apuração!B:B)) - BK1141))</f>
        <v>1.8499999999999994</v>
      </c>
      <c r="BR1141" s="85">
        <f ca="1">IF(BQ1141=0,0,BQ1141*Z1141)</f>
        <v>18.499999999999993</v>
      </c>
      <c r="BS1141" s="53">
        <f ca="1">IFERROR((_xlfn.XLOOKUP(F1141,Apuração!A:A,Apuração!C:C)+1)/_xlfn.XLOOKUP(F1141,Apuração!A:A,Apuração!B:B),0)</f>
        <v>0.5</v>
      </c>
    </row>
    <row r="1142" spans="1:71" ht="25.95" hidden="1" customHeight="1" x14ac:dyDescent="0.3">
      <c r="A1142" s="3" t="s">
        <v>33</v>
      </c>
      <c r="B1142" s="4" t="s">
        <v>81</v>
      </c>
      <c r="C1142" s="5" t="s">
        <v>209</v>
      </c>
      <c r="D1142" s="5" t="s">
        <v>210</v>
      </c>
      <c r="E1142" s="4" t="str" cm="1">
        <f t="array" ref="E1142">_xlfn.IFS(
F1142 = "A partir de Abril", "Aguardando Execução na Distribuidora",
A1142 = "CAPACITAÇÃO", "Em execução no Corporativo",
TRUE, "Em Execução na Distribuidora"
)</f>
        <v>Em Execução na Distribuidora</v>
      </c>
      <c r="F1142" s="4" t="str" cm="1">
        <f t="array" ref="F1142">_xlfn.IFS(
AG1142 &lt;&gt; "", "Jan-Dez/26",
AH1142 &lt;&gt; "", "Fev-Dez/26",
AI1142 &lt;&gt; "", "Mar-Dez/26", AJ1142 &lt;&gt; "", "Abr-Dez/26",
TRUE, "A partir de Junho"
)</f>
        <v>Jan-Dez/26</v>
      </c>
      <c r="G1142" s="4" t="s">
        <v>37</v>
      </c>
      <c r="H1142" s="7" t="s">
        <v>54</v>
      </c>
      <c r="I1142" s="8" t="s">
        <v>55</v>
      </c>
      <c r="J1142" s="8" t="str" cm="1">
        <f t="array" aca="1" ref="J1142" ca="1">_xlfn.LET(
  _xlpm.actual_value_month, INDEX(T1142:AE1142, MATCH(DATE(YEAR(TODAY()), MONTH(TODAY()), 1), $T$1:$AE$1, 0)),
  IF(_xlpm.actual_value_month &lt;&gt; "",_xlpm.actual_value_month &amp; " eventos mensais", "")
)</f>
        <v>2 eventos mensais</v>
      </c>
      <c r="K1142" s="8" t="str" cm="1">
        <f t="array" ref="K1142">_xlfn.LET(
    _xlpm.sum_month, SUM(T1142:AE1142),
    IF(_xlpm.sum_month = 0, "", _xlpm.sum_month &amp; "  eventos no ano")
)</f>
        <v>30  eventos no ano</v>
      </c>
      <c r="L1142" s="9" t="s">
        <v>82</v>
      </c>
      <c r="M1142" s="13" t="s">
        <v>83</v>
      </c>
      <c r="N1142" s="5" t="s">
        <v>42</v>
      </c>
      <c r="O1142" s="5" t="s">
        <v>43</v>
      </c>
      <c r="P1142" s="10" t="s">
        <v>44</v>
      </c>
      <c r="Q1142" s="10" t="s">
        <v>44</v>
      </c>
      <c r="R1142" s="11" t="s">
        <v>44</v>
      </c>
      <c r="S1142" s="11" t="s">
        <v>44</v>
      </c>
      <c r="T1142" s="143">
        <v>4</v>
      </c>
      <c r="U1142" s="143">
        <v>5</v>
      </c>
      <c r="V1142" s="143">
        <v>3</v>
      </c>
      <c r="W1142" s="143">
        <v>2</v>
      </c>
      <c r="X1142" s="143">
        <v>2</v>
      </c>
      <c r="Y1142" s="143">
        <v>2</v>
      </c>
      <c r="Z1142" s="143">
        <v>2</v>
      </c>
      <c r="AA1142" s="143">
        <v>2</v>
      </c>
      <c r="AB1142" s="143">
        <v>2</v>
      </c>
      <c r="AC1142" s="143">
        <v>2</v>
      </c>
      <c r="AD1142" s="143">
        <v>2</v>
      </c>
      <c r="AE1142" s="143">
        <v>2</v>
      </c>
      <c r="AG1142" s="145">
        <v>4</v>
      </c>
      <c r="AH1142" s="149">
        <v>5</v>
      </c>
      <c r="AI1142" s="149">
        <v>3</v>
      </c>
      <c r="AJ1142" s="145">
        <v>2</v>
      </c>
      <c r="AK1142" s="71"/>
      <c r="AL1142" s="71"/>
      <c r="AM1142" s="71"/>
      <c r="AN1142" s="71"/>
      <c r="AO1142" s="71"/>
      <c r="AP1142" s="71"/>
      <c r="AQ1142" s="71"/>
      <c r="AR1142" s="71"/>
      <c r="AS1142" s="94">
        <f t="shared" ref="AS1142:AS1146" ca="1" si="1329">IF(MONTH(TODAY())=3,SUM(T1142:U1142),IF(MONTH(TODAY())=4,SUM(T1142:V1142),IF(MONTH(TODAY())=5,SUM(T1142:W1142),IF(MONTH(TODAY())=6,SUM(T1142:X1142),IF(MONTH(TODAY())=7,SUM(T1142:Y1142),IF(MONTH(TODAY())=8,SUM(T1142:Z1142),IF(MONTH(TODAY())=9,SUM(T1142:AA1142),IF(MONTH(TODAY())=10,SUM(T1142:AB1142),IF(MONTH(TODAY())=11,SUM(T1142:AC1142),IF(MONTH(TODAY())=12,SUM(T1142:AD1142),IF(MONTH(TODAY())=1,SUM(T1142:AE1142),T1142)))))))))))</f>
        <v>16</v>
      </c>
      <c r="AT1142" s="95">
        <f t="shared" ref="AT1142:AT1146" si="1330">SUM(IF(AW1142&lt;1.15,AG1142,1.15*T1142),IF(AX1142&lt;1.15,AH1142,1.15*U1142),IF(AY1142&lt;1.15,AI1142,1.15*V1142),IF(AZ1142&lt;1.15,AJ1142,1.15*W1142),IF(BA1142&lt;1.15,AK1142,1.15*X1142),IF(BB1142&lt;1.15,AL1142,1.15*Y1142),IF(BC1142&lt;1.15,AM1142,1.15*Z1142),IF(BD1142&lt;1.15,AN1142,1.15*AA1142),IF(BE1142&lt;1.15,AO1142,1.15*AB1142),IF(BF1142&lt;1.15,AP1142,1.15*AC1142),IF(BG1142&lt;1.15,AQ1142,1.15*AD1142),IF(BH1142&lt;1.15,AR1142,1.15*AE1142))</f>
        <v>14</v>
      </c>
      <c r="AU1142" s="97">
        <f t="shared" ref="AU1142:AU1146" si="1331">SUM(AG1142:AR1142)</f>
        <v>14</v>
      </c>
      <c r="AW1142" s="51">
        <f t="shared" ref="AW1142:AW1146" si="1332">IFERROR(IF(AG1142="",0,AG1142/T1142),0)</f>
        <v>1</v>
      </c>
      <c r="AX1142" s="51">
        <f t="shared" ref="AX1142:AX1146" si="1333">IFERROR(IF(AH1142="",0,AH1142/U1142),0)</f>
        <v>1</v>
      </c>
      <c r="AY1142" s="51">
        <f t="shared" ref="AY1142:AY1146" si="1334">IFERROR(IF(AI1142="",0,AI1142/V1142),0)</f>
        <v>1</v>
      </c>
      <c r="AZ1142" s="51">
        <f t="shared" ref="AZ1142:AZ1146" si="1335">IFERROR(IF(AJ1142="",0,AJ1142/W1142),0)</f>
        <v>1</v>
      </c>
      <c r="BA1142" s="51"/>
      <c r="BB1142" s="51"/>
      <c r="BC1142" s="51"/>
      <c r="BD1142" s="51"/>
      <c r="BE1142" s="51"/>
      <c r="BF1142" s="51"/>
      <c r="BG1142" s="51"/>
      <c r="BH1142" s="51"/>
      <c r="BI1142" s="65" cm="1">
        <f t="array" ref="BI1142">IFERROR(INDEX(AW1142:BH1142,1,MATCH(2,1/(AW1142:BH1142&lt;&gt;""))),"")</f>
        <v>1</v>
      </c>
      <c r="BJ1142" s="68" cm="1">
        <f t="array" ref="BJ1142">IF(BM1142 = "", "",IFERROR(INDEX(AW1142:BH1142,1,MATCH(2,1/(AW1142:BH1142&lt;&gt;""),1)-1),""))</f>
        <v>1</v>
      </c>
      <c r="BK1142" s="58">
        <f>IF((IF(AW1142&gt;=115%,115%,AW1142) + IF(AX1142&gt;=115%,115%,AX1142) + IF(AY1142&gt;=115%,115%,AY1142) + (IF(AZ1142&gt;=115%,115%,AZ1142) + IF(BA1142&gt;=200%,200%,BA1142) + IF(BB1142&gt;=200%,200%,BB1142) + IF(BC1142&gt;=141%,141%,BC1142) + IF(BD1142&gt;=115%,115%,BD1142) + IF(BE1142&gt;=115%,115%,BE1142) + IF(BF1142&gt;=115%,115%,BF1142) + IF(BG1142&gt;=115%,115%,BG1142) + IF(BH1142&gt;=115%,115%,BH1142)))/_xlfn.XLOOKUP(F1142,Apuração!A:A,Apuração!B:B)&gt;=1.15,1.15,((IF(AZ1142&gt;=115%,115%,AZ1142) + IF(AX1142&gt;=115%,115%,AX1142) + IF(AY1142&gt;=115%,115%,AY1142) + (IF(AW1142&gt;=115%,115%,AW1142) + IF(BA1142&gt;=200%,200%,BA1142) + IF(BB1142&gt;=200%,200%,BB1142) + IF(BC1142&gt;=141%,141%,BC1142) + IF(BD1142&gt;=115%,115%,BD1142) + IF(BE1142&gt;=115%,115%,BE1142) + IF(BF1142&gt;=115%,115%,BF1142) + IF(BG1142&gt;=115%,115%,BG1142) + IF(BH1142&gt;=115%,115%,BH1142)))/_xlfn.XLOOKUP(F1142,Apuração!A:A,Apuração!B:B)))</f>
        <v>0.33333333333333331</v>
      </c>
      <c r="BL1142" s="58" cm="1">
        <f t="array" aca="1" ref="BL1142" ca="1">IF(SUM(IFERROR(IF(INDEX(AW1142:INDEX(AW1142:BH1142, MATCH(2, 1/(AW1142:BH1142&lt;&gt;""), 1)-1), ROW(INDIRECT("1:" &amp; MATCH(2, 1/(AW1142:BH1142&lt;&gt;""), 1)-1))) &gt;= 115%, 115%, INDEX(AW1142:INDEX(AW1142:BH1142, MATCH(2, 1/(AW1142:BH1142&lt;&gt;""), 1)-1), ROW(INDIRECT("1:" &amp; MATCH(2, 1/(AW1142:BH1142&lt;&gt;""), 1)-1)))), 0))/_xlfn.XLOOKUP(F1142,Apuração!A:A,Apuração!B:B)&gt;=1.15,1.15,SUM(IFERROR(IF(INDEX(AW1142:INDEX(AW1142:BH1142, MATCH(2, 1/(AW1142:BH1142&lt;&gt;""), 1)-1), ROW(INDIRECT("1:" &amp; MATCH(2, 1/(AW1142:BH1142&lt;&gt;""), 1)-1))) &gt;= 115%, 115%, INDEX(AW1142:INDEX(AW1142:BH1142, MATCH(2, 1/(AW1142:BH1142&lt;&gt;""), 1)-1), ROW(INDIRECT("1:" &amp; MATCH(2, 1/(AW1142:BH1142&lt;&gt;""), 1)-1)))), 0))/_xlfn.XLOOKUP(F1142,Apuração!A:A,Apuração!B:B))</f>
        <v>0.25</v>
      </c>
      <c r="BM1142" s="55" cm="1">
        <f t="array" ref="BM1142">IFERROR(
   INDEX($AW$1:$BH$1,
      _xlfn.AGGREGATE(14, 6, COLUMN($AW$1:$BH$1)/(AW1142:BH1142&lt;&gt;""), 2) - COLUMN($AW$1) + 1
   ),
"")</f>
        <v>46082</v>
      </c>
      <c r="BN1142" s="55" cm="1">
        <f t="array" ref="BN1142">IFERROR(INDEX($AW$1:$BH$1,1,MATCH(2,1/(AW1142:BH1142&lt;&gt;""))),"")</f>
        <v>46113</v>
      </c>
      <c r="BO1142" s="53">
        <f ca="1">IFERROR(_xlfn.XLOOKUP(F1142,Apuração!A:A,Apuração!C:C)/_xlfn.XLOOKUP(F1142,Apuração!A:A,Apuração!B:B),0)</f>
        <v>0.41666666666666669</v>
      </c>
      <c r="BP1142" s="53">
        <f ca="1">IFERROR(_xlfn.XLOOKUP(F1142,Apuração!A:A,Apuração!D:D)/_xlfn.XLOOKUP(F1142,Apuração!A:A,Apuração!B:B),0)</f>
        <v>0.33333333333333331</v>
      </c>
      <c r="BQ1142" s="53">
        <f ca="1">IF(BK1142&gt;=BO1142,0,_xlfn.XLOOKUP(F1142,Apuração!A:A,Apuração!B:B)*(BO1142 + (1/_xlfn.XLOOKUP(F1142,Apuração!A:A,Apuração!B:B)) - BK1142))</f>
        <v>2</v>
      </c>
      <c r="BR1142" s="85">
        <f t="shared" ref="BR1142:BR1146" ca="1" si="1336">IF(BQ1142=0,0,BQ1142*Z1142)</f>
        <v>4</v>
      </c>
      <c r="BS1142" s="53">
        <f ca="1">IFERROR((_xlfn.XLOOKUP(F1142,Apuração!A:A,Apuração!C:C)+1)/_xlfn.XLOOKUP(F1142,Apuração!A:A,Apuração!B:B),0)</f>
        <v>0.5</v>
      </c>
    </row>
    <row r="1143" spans="1:71" ht="25.95" hidden="1" customHeight="1" x14ac:dyDescent="0.3">
      <c r="A1143" s="3" t="s">
        <v>33</v>
      </c>
      <c r="B1143" s="4" t="s">
        <v>81</v>
      </c>
      <c r="C1143" s="5" t="s">
        <v>209</v>
      </c>
      <c r="D1143" s="5" t="s">
        <v>47</v>
      </c>
      <c r="E1143" s="4" t="str" cm="1">
        <f t="array" ref="E1143">_xlfn.IFS(
F1143 = "A partir de Abril", "Aguardando Execução na Distribuidora",
A1143 = "CAPACITAÇÃO", "Em execução no Corporativo",
TRUE, "Em Execução na Distribuidora"
)</f>
        <v>Em Execução na Distribuidora</v>
      </c>
      <c r="F1143" s="4" t="str" cm="1">
        <f t="array" ref="F1143">_xlfn.IFS(
AG1143 &lt;&gt; "", "Jan-Dez/26",
AH1143 &lt;&gt; "", "Fev-Dez/26",
AI1143 &lt;&gt; "", "Mar-Dez/26", AJ1143 &lt;&gt; "", "Abr-Dez/26",
TRUE, "A partir de Junho"
)</f>
        <v>Jan-Dez/26</v>
      </c>
      <c r="G1143" s="4" t="s">
        <v>37</v>
      </c>
      <c r="H1143" s="7" t="s">
        <v>54</v>
      </c>
      <c r="I1143" s="8" t="s">
        <v>55</v>
      </c>
      <c r="J1143" s="8" t="str" cm="1">
        <f t="array" aca="1" ref="J1143" ca="1">_xlfn.LET(
  _xlpm.actual_value_month, INDEX(T1143:AE1143, MATCH(DATE(YEAR(TODAY()), MONTH(TODAY()), 1), $T$1:$AE$1, 0)),
  IF(_xlpm.actual_value_month &lt;&gt; "",_xlpm.actual_value_month &amp; " eventos mensais", "")
)</f>
        <v>2 eventos mensais</v>
      </c>
      <c r="K1143" s="8" t="str" cm="1">
        <f t="array" ref="K1143">_xlfn.LET(
    _xlpm.sum_month, SUM(T1143:AE1143),
    IF(_xlpm.sum_month = 0, "", _xlpm.sum_month &amp; "  eventos no ano")
)</f>
        <v>22  eventos no ano</v>
      </c>
      <c r="L1143" s="9" t="s">
        <v>82</v>
      </c>
      <c r="M1143" s="13" t="s">
        <v>83</v>
      </c>
      <c r="N1143" s="5" t="s">
        <v>42</v>
      </c>
      <c r="O1143" s="5" t="s">
        <v>43</v>
      </c>
      <c r="P1143" s="10" t="s">
        <v>44</v>
      </c>
      <c r="Q1143" s="10" t="s">
        <v>44</v>
      </c>
      <c r="R1143" s="11" t="s">
        <v>44</v>
      </c>
      <c r="S1143" s="11" t="s">
        <v>44</v>
      </c>
      <c r="T1143" s="143">
        <v>0</v>
      </c>
      <c r="U1143" s="143">
        <v>1</v>
      </c>
      <c r="V1143" s="143">
        <v>3</v>
      </c>
      <c r="W1143" s="143">
        <v>2</v>
      </c>
      <c r="X1143" s="143">
        <v>2</v>
      </c>
      <c r="Y1143" s="143">
        <v>2</v>
      </c>
      <c r="Z1143" s="143">
        <v>2</v>
      </c>
      <c r="AA1143" s="143">
        <v>2</v>
      </c>
      <c r="AB1143" s="143">
        <v>2</v>
      </c>
      <c r="AC1143" s="143">
        <v>2</v>
      </c>
      <c r="AD1143" s="143">
        <v>2</v>
      </c>
      <c r="AE1143" s="143">
        <v>2</v>
      </c>
      <c r="AG1143" s="146">
        <v>0</v>
      </c>
      <c r="AH1143" s="150">
        <v>1</v>
      </c>
      <c r="AI1143" s="150">
        <v>3</v>
      </c>
      <c r="AJ1143" s="146">
        <v>2</v>
      </c>
      <c r="AK1143" s="71"/>
      <c r="AL1143" s="71"/>
      <c r="AM1143" s="71"/>
      <c r="AN1143" s="71"/>
      <c r="AO1143" s="71"/>
      <c r="AP1143" s="71"/>
      <c r="AQ1143" s="71"/>
      <c r="AR1143" s="71"/>
      <c r="AS1143" s="94">
        <f t="shared" ca="1" si="1329"/>
        <v>8</v>
      </c>
      <c r="AT1143" s="95">
        <f t="shared" si="1330"/>
        <v>6</v>
      </c>
      <c r="AU1143" s="97">
        <f t="shared" si="1331"/>
        <v>6</v>
      </c>
      <c r="AW1143" s="51">
        <f t="shared" si="1332"/>
        <v>0</v>
      </c>
      <c r="AX1143" s="51">
        <f t="shared" si="1333"/>
        <v>1</v>
      </c>
      <c r="AY1143" s="51">
        <f t="shared" si="1334"/>
        <v>1</v>
      </c>
      <c r="AZ1143" s="51">
        <f t="shared" si="1335"/>
        <v>1</v>
      </c>
      <c r="BA1143" s="51"/>
      <c r="BB1143" s="51"/>
      <c r="BC1143" s="51"/>
      <c r="BD1143" s="51"/>
      <c r="BE1143" s="51"/>
      <c r="BF1143" s="51"/>
      <c r="BG1143" s="51"/>
      <c r="BH1143" s="51"/>
      <c r="BI1143" s="65" cm="1">
        <f t="array" ref="BI1143">IFERROR(INDEX(AW1143:BH1143,1,MATCH(2,1/(AW1143:BH1143&lt;&gt;""))),"")</f>
        <v>1</v>
      </c>
      <c r="BJ1143" s="68" cm="1">
        <f t="array" ref="BJ1143">IF(BM1143 = "", "",IFERROR(INDEX(AW1143:BH1143,1,MATCH(2,1/(AW1143:BH1143&lt;&gt;""),1)-1),""))</f>
        <v>1</v>
      </c>
      <c r="BK1143" s="58">
        <f>IF((IF(AW1143&gt;=115%,115%,AW1143) + IF(AX1143&gt;=115%,115%,AX1143) + IF(AY1143&gt;=115%,115%,AY1143) + (IF(AZ1143&gt;=115%,115%,AZ1143) + IF(BA1143&gt;=200%,200%,BA1143) + IF(BB1143&gt;=200%,200%,BB1143) + IF(BC1143&gt;=141%,141%,BC1143) + IF(BD1143&gt;=115%,115%,BD1143) + IF(BE1143&gt;=115%,115%,BE1143) + IF(BF1143&gt;=115%,115%,BF1143) + IF(BG1143&gt;=115%,115%,BG1143) + IF(BH1143&gt;=115%,115%,BH1143)))/_xlfn.XLOOKUP(F1143,Apuração!A:A,Apuração!B:B)&gt;=1.15,1.15,((IF(AZ1143&gt;=115%,115%,AZ1143) + IF(AX1143&gt;=115%,115%,AX1143) + IF(AY1143&gt;=115%,115%,AY1143) + (IF(AW1143&gt;=115%,115%,AW1143) + IF(BA1143&gt;=200%,200%,BA1143) + IF(BB1143&gt;=200%,200%,BB1143) + IF(BC1143&gt;=141%,141%,BC1143) + IF(BD1143&gt;=115%,115%,BD1143) + IF(BE1143&gt;=115%,115%,BE1143) + IF(BF1143&gt;=115%,115%,BF1143) + IF(BG1143&gt;=115%,115%,BG1143) + IF(BH1143&gt;=115%,115%,BH1143)))/_xlfn.XLOOKUP(F1143,Apuração!A:A,Apuração!B:B)))</f>
        <v>0.25</v>
      </c>
      <c r="BL1143" s="58" cm="1">
        <f t="array" aca="1" ref="BL1143" ca="1">IF(SUM(IFERROR(IF(INDEX(AW1143:INDEX(AW1143:BH1143, MATCH(2, 1/(AW1143:BH1143&lt;&gt;""), 1)-1), ROW(INDIRECT("1:" &amp; MATCH(2, 1/(AW1143:BH1143&lt;&gt;""), 1)-1))) &gt;= 115%, 115%, INDEX(AW1143:INDEX(AW1143:BH1143, MATCH(2, 1/(AW1143:BH1143&lt;&gt;""), 1)-1), ROW(INDIRECT("1:" &amp; MATCH(2, 1/(AW1143:BH1143&lt;&gt;""), 1)-1)))), 0))/_xlfn.XLOOKUP(F1143,Apuração!A:A,Apuração!B:B)&gt;=1.15,1.15,SUM(IFERROR(IF(INDEX(AW1143:INDEX(AW1143:BH1143, MATCH(2, 1/(AW1143:BH1143&lt;&gt;""), 1)-1), ROW(INDIRECT("1:" &amp; MATCH(2, 1/(AW1143:BH1143&lt;&gt;""), 1)-1))) &gt;= 115%, 115%, INDEX(AW1143:INDEX(AW1143:BH1143, MATCH(2, 1/(AW1143:BH1143&lt;&gt;""), 1)-1), ROW(INDIRECT("1:" &amp; MATCH(2, 1/(AW1143:BH1143&lt;&gt;""), 1)-1)))), 0))/_xlfn.XLOOKUP(F1143,Apuração!A:A,Apuração!B:B))</f>
        <v>0.16666666666666666</v>
      </c>
      <c r="BM1143" s="55" cm="1">
        <f t="array" ref="BM1143">IFERROR(
   INDEX($AW$1:$BH$1,
      _xlfn.AGGREGATE(14, 6, COLUMN($AW$1:$BH$1)/(AW1143:BH1143&lt;&gt;""), 2) - COLUMN($AW$1) + 1
   ),
"")</f>
        <v>46082</v>
      </c>
      <c r="BN1143" s="55" cm="1">
        <f t="array" ref="BN1143">IFERROR(INDEX($AW$1:$BH$1,1,MATCH(2,1/(AW1143:BH1143&lt;&gt;""))),"")</f>
        <v>46113</v>
      </c>
      <c r="BO1143" s="53">
        <f ca="1">IFERROR(_xlfn.XLOOKUP(F1143,Apuração!A:A,Apuração!C:C)/_xlfn.XLOOKUP(F1143,Apuração!A:A,Apuração!B:B),0)</f>
        <v>0.41666666666666669</v>
      </c>
      <c r="BP1143" s="53">
        <f ca="1">IFERROR(_xlfn.XLOOKUP(F1143,Apuração!A:A,Apuração!D:D)/_xlfn.XLOOKUP(F1143,Apuração!A:A,Apuração!B:B),0)</f>
        <v>0.33333333333333331</v>
      </c>
      <c r="BQ1143" s="53">
        <f ca="1">IF(BK1143&gt;=BO1143,0,_xlfn.XLOOKUP(F1143,Apuração!A:A,Apuração!B:B)*(BO1143 + (1/_xlfn.XLOOKUP(F1143,Apuração!A:A,Apuração!B:B)) - BK1143))</f>
        <v>3</v>
      </c>
      <c r="BR1143" s="85">
        <f t="shared" ca="1" si="1336"/>
        <v>6</v>
      </c>
      <c r="BS1143" s="53">
        <f ca="1">IFERROR((_xlfn.XLOOKUP(F1143,Apuração!A:A,Apuração!C:C)+1)/_xlfn.XLOOKUP(F1143,Apuração!A:A,Apuração!B:B),0)</f>
        <v>0.5</v>
      </c>
    </row>
    <row r="1144" spans="1:71" ht="25.95" hidden="1" customHeight="1" x14ac:dyDescent="0.3">
      <c r="A1144" s="3" t="s">
        <v>33</v>
      </c>
      <c r="B1144" s="4" t="s">
        <v>81</v>
      </c>
      <c r="C1144" s="5" t="s">
        <v>209</v>
      </c>
      <c r="D1144" s="5" t="s">
        <v>211</v>
      </c>
      <c r="E1144" s="4" t="str" cm="1">
        <f t="array" ref="E1144">_xlfn.IFS(
F1144 = "A partir de Abril", "Aguardando Execução na Distribuidora",
A1144 = "CAPACITAÇÃO", "Em execução no Corporativo",
TRUE, "Em Execução na Distribuidora"
)</f>
        <v>Em Execução na Distribuidora</v>
      </c>
      <c r="F1144" s="4" t="str" cm="1">
        <f t="array" ref="F1144">_xlfn.IFS(
AG1144 &lt;&gt; "", "Jan-Dez/26",
AH1144 &lt;&gt; "", "Fev-Dez/26",
AI1144 &lt;&gt; "", "Mar-Dez/26", AJ1144 &lt;&gt; "", "Abr-Dez/26",
TRUE, "A partir de Junho"
)</f>
        <v>Jan-Dez/26</v>
      </c>
      <c r="G1144" s="4" t="s">
        <v>37</v>
      </c>
      <c r="H1144" s="7" t="s">
        <v>54</v>
      </c>
      <c r="I1144" s="8" t="s">
        <v>55</v>
      </c>
      <c r="J1144" s="8" t="str" cm="1">
        <f t="array" aca="1" ref="J1144" ca="1">_xlfn.LET(
  _xlpm.actual_value_month, INDEX(T1144:AE1144, MATCH(DATE(YEAR(TODAY()), MONTH(TODAY()), 1), $T$1:$AE$1, 0)),
  IF(_xlpm.actual_value_month &lt;&gt; "",_xlpm.actual_value_month &amp; " eventos mensais", "")
)</f>
        <v>2 eventos mensais</v>
      </c>
      <c r="K1144" s="8" t="str" cm="1">
        <f t="array" ref="K1144">_xlfn.LET(
    _xlpm.sum_month, SUM(T1144:AE1144),
    IF(_xlpm.sum_month = 0, "", _xlpm.sum_month &amp; "  eventos no ano")
)</f>
        <v>22  eventos no ano</v>
      </c>
      <c r="L1144" s="9" t="s">
        <v>82</v>
      </c>
      <c r="M1144" s="13" t="s">
        <v>83</v>
      </c>
      <c r="N1144" s="5" t="s">
        <v>42</v>
      </c>
      <c r="O1144" s="5" t="s">
        <v>43</v>
      </c>
      <c r="P1144" s="10" t="s">
        <v>44</v>
      </c>
      <c r="Q1144" s="10" t="s">
        <v>44</v>
      </c>
      <c r="R1144" s="11" t="s">
        <v>44</v>
      </c>
      <c r="S1144" s="11" t="s">
        <v>44</v>
      </c>
      <c r="T1144" s="143">
        <v>0</v>
      </c>
      <c r="U1144" s="143">
        <v>1</v>
      </c>
      <c r="V1144" s="143">
        <v>3</v>
      </c>
      <c r="W1144" s="143">
        <v>2</v>
      </c>
      <c r="X1144" s="143">
        <v>2</v>
      </c>
      <c r="Y1144" s="143">
        <v>2</v>
      </c>
      <c r="Z1144" s="143">
        <v>2</v>
      </c>
      <c r="AA1144" s="143">
        <v>2</v>
      </c>
      <c r="AB1144" s="143">
        <v>2</v>
      </c>
      <c r="AC1144" s="143">
        <v>2</v>
      </c>
      <c r="AD1144" s="143">
        <v>2</v>
      </c>
      <c r="AE1144" s="143">
        <v>2</v>
      </c>
      <c r="AG1144" s="146">
        <v>0</v>
      </c>
      <c r="AH1144" s="150">
        <v>1</v>
      </c>
      <c r="AI1144" s="150">
        <v>3</v>
      </c>
      <c r="AJ1144" s="146">
        <v>2</v>
      </c>
      <c r="AK1144" s="71"/>
      <c r="AL1144" s="71"/>
      <c r="AM1144" s="71"/>
      <c r="AN1144" s="71"/>
      <c r="AO1144" s="71"/>
      <c r="AP1144" s="71"/>
      <c r="AQ1144" s="71"/>
      <c r="AR1144" s="71"/>
      <c r="AS1144" s="94">
        <f t="shared" ca="1" si="1329"/>
        <v>8</v>
      </c>
      <c r="AT1144" s="95">
        <f t="shared" si="1330"/>
        <v>6</v>
      </c>
      <c r="AU1144" s="97">
        <f t="shared" si="1331"/>
        <v>6</v>
      </c>
      <c r="AW1144" s="51">
        <f t="shared" si="1332"/>
        <v>0</v>
      </c>
      <c r="AX1144" s="51">
        <f t="shared" si="1333"/>
        <v>1</v>
      </c>
      <c r="AY1144" s="51">
        <f t="shared" si="1334"/>
        <v>1</v>
      </c>
      <c r="AZ1144" s="51">
        <f t="shared" si="1335"/>
        <v>1</v>
      </c>
      <c r="BA1144" s="51"/>
      <c r="BB1144" s="51"/>
      <c r="BC1144" s="51"/>
      <c r="BD1144" s="51"/>
      <c r="BE1144" s="51"/>
      <c r="BF1144" s="51"/>
      <c r="BG1144" s="51"/>
      <c r="BH1144" s="51"/>
      <c r="BI1144" s="65" cm="1">
        <f t="array" ref="BI1144">IFERROR(INDEX(AW1144:BH1144,1,MATCH(2,1/(AW1144:BH1144&lt;&gt;""))),"")</f>
        <v>1</v>
      </c>
      <c r="BJ1144" s="68" cm="1">
        <f t="array" ref="BJ1144">IF(BM1144 = "", "",IFERROR(INDEX(AW1144:BH1144,1,MATCH(2,1/(AW1144:BH1144&lt;&gt;""),1)-1),""))</f>
        <v>1</v>
      </c>
      <c r="BK1144" s="58">
        <f>IF((IF(AW1144&gt;=115%,115%,AW1144) + IF(AX1144&gt;=115%,115%,AX1144) + IF(AY1144&gt;=115%,115%,AY1144) + (IF(AZ1144&gt;=115%,115%,AZ1144) + IF(BA1144&gt;=200%,200%,BA1144) + IF(BB1144&gt;=200%,200%,BB1144) + IF(BC1144&gt;=141%,141%,BC1144) + IF(BD1144&gt;=115%,115%,BD1144) + IF(BE1144&gt;=115%,115%,BE1144) + IF(BF1144&gt;=115%,115%,BF1144) + IF(BG1144&gt;=115%,115%,BG1144) + IF(BH1144&gt;=115%,115%,BH1144)))/_xlfn.XLOOKUP(F1144,Apuração!A:A,Apuração!B:B)&gt;=1.15,1.15,((IF(AZ1144&gt;=115%,115%,AZ1144) + IF(AX1144&gt;=115%,115%,AX1144) + IF(AY1144&gt;=115%,115%,AY1144) + (IF(AW1144&gt;=115%,115%,AW1144) + IF(BA1144&gt;=200%,200%,BA1144) + IF(BB1144&gt;=200%,200%,BB1144) + IF(BC1144&gt;=141%,141%,BC1144) + IF(BD1144&gt;=115%,115%,BD1144) + IF(BE1144&gt;=115%,115%,BE1144) + IF(BF1144&gt;=115%,115%,BF1144) + IF(BG1144&gt;=115%,115%,BG1144) + IF(BH1144&gt;=115%,115%,BH1144)))/_xlfn.XLOOKUP(F1144,Apuração!A:A,Apuração!B:B)))</f>
        <v>0.25</v>
      </c>
      <c r="BL1144" s="58" cm="1">
        <f t="array" aca="1" ref="BL1144" ca="1">IF(SUM(IFERROR(IF(INDEX(AW1144:INDEX(AW1144:BH1144, MATCH(2, 1/(AW1144:BH1144&lt;&gt;""), 1)-1), ROW(INDIRECT("1:" &amp; MATCH(2, 1/(AW1144:BH1144&lt;&gt;""), 1)-1))) &gt;= 115%, 115%, INDEX(AW1144:INDEX(AW1144:BH1144, MATCH(2, 1/(AW1144:BH1144&lt;&gt;""), 1)-1), ROW(INDIRECT("1:" &amp; MATCH(2, 1/(AW1144:BH1144&lt;&gt;""), 1)-1)))), 0))/_xlfn.XLOOKUP(F1144,Apuração!A:A,Apuração!B:B)&gt;=1.15,1.15,SUM(IFERROR(IF(INDEX(AW1144:INDEX(AW1144:BH1144, MATCH(2, 1/(AW1144:BH1144&lt;&gt;""), 1)-1), ROW(INDIRECT("1:" &amp; MATCH(2, 1/(AW1144:BH1144&lt;&gt;""), 1)-1))) &gt;= 115%, 115%, INDEX(AW1144:INDEX(AW1144:BH1144, MATCH(2, 1/(AW1144:BH1144&lt;&gt;""), 1)-1), ROW(INDIRECT("1:" &amp; MATCH(2, 1/(AW1144:BH1144&lt;&gt;""), 1)-1)))), 0))/_xlfn.XLOOKUP(F1144,Apuração!A:A,Apuração!B:B))</f>
        <v>0.16666666666666666</v>
      </c>
      <c r="BM1144" s="55" cm="1">
        <f t="array" ref="BM1144">IFERROR(
   INDEX($AW$1:$BH$1,
      _xlfn.AGGREGATE(14, 6, COLUMN($AW$1:$BH$1)/(AW1144:BH1144&lt;&gt;""), 2) - COLUMN($AW$1) + 1
   ),
"")</f>
        <v>46082</v>
      </c>
      <c r="BN1144" s="55" cm="1">
        <f t="array" ref="BN1144">IFERROR(INDEX($AW$1:$BH$1,1,MATCH(2,1/(AW1144:BH1144&lt;&gt;""))),"")</f>
        <v>46113</v>
      </c>
      <c r="BO1144" s="53">
        <f ca="1">IFERROR(_xlfn.XLOOKUP(F1144,Apuração!A:A,Apuração!C:C)/_xlfn.XLOOKUP(F1144,Apuração!A:A,Apuração!B:B),0)</f>
        <v>0.41666666666666669</v>
      </c>
      <c r="BP1144" s="53">
        <f ca="1">IFERROR(_xlfn.XLOOKUP(F1144,Apuração!A:A,Apuração!D:D)/_xlfn.XLOOKUP(F1144,Apuração!A:A,Apuração!B:B),0)</f>
        <v>0.33333333333333331</v>
      </c>
      <c r="BQ1144" s="53">
        <f ca="1">IF(BK1144&gt;=BO1144,0,_xlfn.XLOOKUP(F1144,Apuração!A:A,Apuração!B:B)*(BO1144 + (1/_xlfn.XLOOKUP(F1144,Apuração!A:A,Apuração!B:B)) - BK1144))</f>
        <v>3</v>
      </c>
      <c r="BR1144" s="85">
        <f t="shared" ca="1" si="1336"/>
        <v>6</v>
      </c>
      <c r="BS1144" s="53">
        <f ca="1">IFERROR((_xlfn.XLOOKUP(F1144,Apuração!A:A,Apuração!C:C)+1)/_xlfn.XLOOKUP(F1144,Apuração!A:A,Apuração!B:B),0)</f>
        <v>0.5</v>
      </c>
    </row>
    <row r="1145" spans="1:71" ht="25.95" hidden="1" customHeight="1" x14ac:dyDescent="0.3">
      <c r="A1145" s="3" t="s">
        <v>33</v>
      </c>
      <c r="B1145" s="4" t="s">
        <v>81</v>
      </c>
      <c r="C1145" s="5" t="s">
        <v>209</v>
      </c>
      <c r="D1145" s="5" t="s">
        <v>212</v>
      </c>
      <c r="E1145" s="4" t="str" cm="1">
        <f t="array" ref="E1145">_xlfn.IFS(
F1145 = "A partir de Abril", "Aguardando Execução na Distribuidora",
A1145 = "CAPACITAÇÃO", "Em execução no Corporativo",
TRUE, "Em Execução na Distribuidora"
)</f>
        <v>Em Execução na Distribuidora</v>
      </c>
      <c r="F1145" s="4" t="str" cm="1">
        <f t="array" ref="F1145">_xlfn.IFS(
AG1145 &lt;&gt; "", "Jan-Dez/26",
AH1145 &lt;&gt; "", "Fev-Dez/26",
AI1145 &lt;&gt; "", "Mar-Dez/26", AJ1145 &lt;&gt; "", "Abr-Dez/26",
TRUE, "A partir de Junho"
)</f>
        <v>Jan-Dez/26</v>
      </c>
      <c r="G1145" s="4" t="s">
        <v>37</v>
      </c>
      <c r="H1145" s="7" t="s">
        <v>54</v>
      </c>
      <c r="I1145" s="8" t="s">
        <v>55</v>
      </c>
      <c r="J1145" s="8" t="str" cm="1">
        <f t="array" aca="1" ref="J1145" ca="1">_xlfn.LET(
  _xlpm.actual_value_month, INDEX(T1145:AE1145, MATCH(DATE(YEAR(TODAY()), MONTH(TODAY()), 1), $T$1:$AE$1, 0)),
  IF(_xlpm.actual_value_month &lt;&gt; "",_xlpm.actual_value_month &amp; " eventos mensais", "")
)</f>
        <v>2 eventos mensais</v>
      </c>
      <c r="K1145" s="8" t="str" cm="1">
        <f t="array" ref="K1145">_xlfn.LET(
    _xlpm.sum_month, SUM(T1145:AE1145),
    IF(_xlpm.sum_month = 0, "", _xlpm.sum_month &amp; "  eventos no ano")
)</f>
        <v>33  eventos no ano</v>
      </c>
      <c r="L1145" s="9" t="s">
        <v>82</v>
      </c>
      <c r="M1145" s="13" t="s">
        <v>83</v>
      </c>
      <c r="N1145" s="5" t="s">
        <v>42</v>
      </c>
      <c r="O1145" s="5" t="s">
        <v>43</v>
      </c>
      <c r="P1145" s="10" t="s">
        <v>44</v>
      </c>
      <c r="Q1145" s="10" t="s">
        <v>44</v>
      </c>
      <c r="R1145" s="11" t="s">
        <v>44</v>
      </c>
      <c r="S1145" s="11" t="s">
        <v>44</v>
      </c>
      <c r="T1145" s="143">
        <v>0</v>
      </c>
      <c r="U1145" s="143">
        <v>8</v>
      </c>
      <c r="V1145" s="143">
        <v>7</v>
      </c>
      <c r="W1145" s="143">
        <v>2</v>
      </c>
      <c r="X1145" s="143">
        <v>2</v>
      </c>
      <c r="Y1145" s="143">
        <v>2</v>
      </c>
      <c r="Z1145" s="143">
        <v>2</v>
      </c>
      <c r="AA1145" s="143">
        <v>2</v>
      </c>
      <c r="AB1145" s="143">
        <v>2</v>
      </c>
      <c r="AC1145" s="143">
        <v>2</v>
      </c>
      <c r="AD1145" s="143">
        <v>2</v>
      </c>
      <c r="AE1145" s="143">
        <v>2</v>
      </c>
      <c r="AG1145" s="146">
        <v>0</v>
      </c>
      <c r="AH1145" s="150">
        <v>8</v>
      </c>
      <c r="AI1145" s="150">
        <v>7</v>
      </c>
      <c r="AJ1145" s="146">
        <v>7</v>
      </c>
      <c r="AK1145" s="71"/>
      <c r="AL1145" s="71"/>
      <c r="AM1145" s="71"/>
      <c r="AN1145" s="71"/>
      <c r="AO1145" s="71"/>
      <c r="AP1145" s="71"/>
      <c r="AQ1145" s="71"/>
      <c r="AR1145" s="71"/>
      <c r="AS1145" s="94">
        <f t="shared" ca="1" si="1329"/>
        <v>19</v>
      </c>
      <c r="AT1145" s="95">
        <f t="shared" si="1330"/>
        <v>17.3</v>
      </c>
      <c r="AU1145" s="97">
        <f t="shared" si="1331"/>
        <v>22</v>
      </c>
      <c r="AW1145" s="51">
        <f t="shared" si="1332"/>
        <v>0</v>
      </c>
      <c r="AX1145" s="51">
        <f t="shared" si="1333"/>
        <v>1</v>
      </c>
      <c r="AY1145" s="51">
        <f t="shared" si="1334"/>
        <v>1</v>
      </c>
      <c r="AZ1145" s="51">
        <f t="shared" si="1335"/>
        <v>3.5</v>
      </c>
      <c r="BA1145" s="51"/>
      <c r="BB1145" s="51"/>
      <c r="BC1145" s="51"/>
      <c r="BD1145" s="51"/>
      <c r="BE1145" s="51"/>
      <c r="BF1145" s="51"/>
      <c r="BG1145" s="51"/>
      <c r="BH1145" s="51"/>
      <c r="BI1145" s="65" cm="1">
        <f t="array" ref="BI1145">IFERROR(INDEX(AW1145:BH1145,1,MATCH(2,1/(AW1145:BH1145&lt;&gt;""))),"")</f>
        <v>3.5</v>
      </c>
      <c r="BJ1145" s="68" cm="1">
        <f t="array" ref="BJ1145">IF(BM1145 = "", "",IFERROR(INDEX(AW1145:BH1145,1,MATCH(2,1/(AW1145:BH1145&lt;&gt;""),1)-1),""))</f>
        <v>1</v>
      </c>
      <c r="BK1145" s="58">
        <f>IF((IF(AW1145&gt;=115%,115%,AW1145) + IF(AX1145&gt;=115%,115%,AX1145) + IF(AY1145&gt;=115%,115%,AY1145) + (IF(AZ1145&gt;=115%,115%,AZ1145) + IF(BA1145&gt;=200%,200%,BA1145) + IF(BB1145&gt;=200%,200%,BB1145) + IF(BC1145&gt;=141%,141%,BC1145) + IF(BD1145&gt;=115%,115%,BD1145) + IF(BE1145&gt;=115%,115%,BE1145) + IF(BF1145&gt;=115%,115%,BF1145) + IF(BG1145&gt;=115%,115%,BG1145) + IF(BH1145&gt;=115%,115%,BH1145)))/_xlfn.XLOOKUP(F1145,Apuração!A:A,Apuração!B:B)&gt;=1.15,1.15,((IF(AZ1145&gt;=115%,115%,AZ1145) + IF(AX1145&gt;=115%,115%,AX1145) + IF(AY1145&gt;=115%,115%,AY1145) + (IF(AW1145&gt;=115%,115%,AW1145) + IF(BA1145&gt;=200%,200%,BA1145) + IF(BB1145&gt;=200%,200%,BB1145) + IF(BC1145&gt;=141%,141%,BC1145) + IF(BD1145&gt;=115%,115%,BD1145) + IF(BE1145&gt;=115%,115%,BE1145) + IF(BF1145&gt;=115%,115%,BF1145) + IF(BG1145&gt;=115%,115%,BG1145) + IF(BH1145&gt;=115%,115%,BH1145)))/_xlfn.XLOOKUP(F1145,Apuração!A:A,Apuração!B:B)))</f>
        <v>0.26250000000000001</v>
      </c>
      <c r="BL1145" s="58" cm="1">
        <f t="array" aca="1" ref="BL1145" ca="1">IF(SUM(IFERROR(IF(INDEX(AW1145:INDEX(AW1145:BH1145, MATCH(2, 1/(AW1145:BH1145&lt;&gt;""), 1)-1), ROW(INDIRECT("1:" &amp; MATCH(2, 1/(AW1145:BH1145&lt;&gt;""), 1)-1))) &gt;= 115%, 115%, INDEX(AW1145:INDEX(AW1145:BH1145, MATCH(2, 1/(AW1145:BH1145&lt;&gt;""), 1)-1), ROW(INDIRECT("1:" &amp; MATCH(2, 1/(AW1145:BH1145&lt;&gt;""), 1)-1)))), 0))/_xlfn.XLOOKUP(F1145,Apuração!A:A,Apuração!B:B)&gt;=1.15,1.15,SUM(IFERROR(IF(INDEX(AW1145:INDEX(AW1145:BH1145, MATCH(2, 1/(AW1145:BH1145&lt;&gt;""), 1)-1), ROW(INDIRECT("1:" &amp; MATCH(2, 1/(AW1145:BH1145&lt;&gt;""), 1)-1))) &gt;= 115%, 115%, INDEX(AW1145:INDEX(AW1145:BH1145, MATCH(2, 1/(AW1145:BH1145&lt;&gt;""), 1)-1), ROW(INDIRECT("1:" &amp; MATCH(2, 1/(AW1145:BH1145&lt;&gt;""), 1)-1)))), 0))/_xlfn.XLOOKUP(F1145,Apuração!A:A,Apuração!B:B))</f>
        <v>0.16666666666666666</v>
      </c>
      <c r="BM1145" s="55" cm="1">
        <f t="array" ref="BM1145">IFERROR(
   INDEX($AW$1:$BH$1,
      _xlfn.AGGREGATE(14, 6, COLUMN($AW$1:$BH$1)/(AW1145:BH1145&lt;&gt;""), 2) - COLUMN($AW$1) + 1
   ),
"")</f>
        <v>46082</v>
      </c>
      <c r="BN1145" s="55" cm="1">
        <f t="array" ref="BN1145">IFERROR(INDEX($AW$1:$BH$1,1,MATCH(2,1/(AW1145:BH1145&lt;&gt;""))),"")</f>
        <v>46113</v>
      </c>
      <c r="BO1145" s="53">
        <f ca="1">IFERROR(_xlfn.XLOOKUP(F1145,Apuração!A:A,Apuração!C:C)/_xlfn.XLOOKUP(F1145,Apuração!A:A,Apuração!B:B),0)</f>
        <v>0.41666666666666669</v>
      </c>
      <c r="BP1145" s="53">
        <f ca="1">IFERROR(_xlfn.XLOOKUP(F1145,Apuração!A:A,Apuração!D:D)/_xlfn.XLOOKUP(F1145,Apuração!A:A,Apuração!B:B),0)</f>
        <v>0.33333333333333331</v>
      </c>
      <c r="BQ1145" s="53">
        <f ca="1">IF(BK1145&gt;=BO1145,0,_xlfn.XLOOKUP(F1145,Apuração!A:A,Apuração!B:B)*(BO1145 + (1/_xlfn.XLOOKUP(F1145,Apuração!A:A,Apuração!B:B)) - BK1145))</f>
        <v>2.8499999999999996</v>
      </c>
      <c r="BR1145" s="85">
        <f t="shared" ca="1" si="1336"/>
        <v>5.6999999999999993</v>
      </c>
      <c r="BS1145" s="53">
        <f ca="1">IFERROR((_xlfn.XLOOKUP(F1145,Apuração!A:A,Apuração!C:C)+1)/_xlfn.XLOOKUP(F1145,Apuração!A:A,Apuração!B:B),0)</f>
        <v>0.5</v>
      </c>
    </row>
    <row r="1146" spans="1:71" ht="25.95" hidden="1" customHeight="1" x14ac:dyDescent="0.3">
      <c r="A1146" s="3" t="s">
        <v>33</v>
      </c>
      <c r="B1146" s="4" t="s">
        <v>81</v>
      </c>
      <c r="C1146" s="5" t="s">
        <v>209</v>
      </c>
      <c r="D1146" s="5" t="s">
        <v>213</v>
      </c>
      <c r="E1146" s="4" t="str" cm="1">
        <f t="array" ref="E1146">_xlfn.IFS(
F1146 = "A partir de Abril", "Aguardando Execução na Distribuidora",
A1146 = "CAPACITAÇÃO", "Em execução no Corporativo",
TRUE, "Em Execução na Distribuidora"
)</f>
        <v>Em Execução na Distribuidora</v>
      </c>
      <c r="F1146" s="4" t="str" cm="1">
        <f t="array" ref="F1146">_xlfn.IFS(
AG1146 &lt;&gt; "", "Jan-Dez/26",
AH1146 &lt;&gt; "", "Fev-Dez/26",
AI1146 &lt;&gt; "", "Mar-Dez/26", AJ1146 &lt;&gt; "", "Abr-Dez/26",
TRUE, "A partir de Junho"
)</f>
        <v>Jan-Dez/26</v>
      </c>
      <c r="G1146" s="4" t="s">
        <v>37</v>
      </c>
      <c r="H1146" s="7" t="s">
        <v>54</v>
      </c>
      <c r="I1146" s="8" t="s">
        <v>55</v>
      </c>
      <c r="J1146" s="8" t="str" cm="1">
        <f t="array" aca="1" ref="J1146" ca="1">_xlfn.LET(
  _xlpm.actual_value_month, INDEX(T1146:AE1146, MATCH(DATE(YEAR(TODAY()), MONTH(TODAY()), 1), $T$1:$AE$1, 0)),
  IF(_xlpm.actual_value_month &lt;&gt; "",_xlpm.actual_value_month &amp; " eventos mensais", "")
)</f>
        <v>2 eventos mensais</v>
      </c>
      <c r="K1146" s="8" t="str" cm="1">
        <f t="array" ref="K1146">_xlfn.LET(
    _xlpm.sum_month, SUM(T1146:AE1146),
    IF(_xlpm.sum_month = 0, "", _xlpm.sum_month &amp; "  eventos no ano")
)</f>
        <v>25  eventos no ano</v>
      </c>
      <c r="L1146" s="9" t="s">
        <v>82</v>
      </c>
      <c r="M1146" s="13" t="s">
        <v>83</v>
      </c>
      <c r="N1146" s="5" t="s">
        <v>42</v>
      </c>
      <c r="O1146" s="5" t="s">
        <v>43</v>
      </c>
      <c r="P1146" s="10" t="s">
        <v>44</v>
      </c>
      <c r="Q1146" s="10" t="s">
        <v>44</v>
      </c>
      <c r="R1146" s="11" t="s">
        <v>44</v>
      </c>
      <c r="S1146" s="11" t="s">
        <v>44</v>
      </c>
      <c r="T1146" s="143">
        <v>1</v>
      </c>
      <c r="U1146" s="143">
        <v>4</v>
      </c>
      <c r="V1146" s="143">
        <v>2</v>
      </c>
      <c r="W1146" s="143">
        <v>2</v>
      </c>
      <c r="X1146" s="143">
        <v>2</v>
      </c>
      <c r="Y1146" s="143">
        <v>2</v>
      </c>
      <c r="Z1146" s="143">
        <v>2</v>
      </c>
      <c r="AA1146" s="143">
        <v>2</v>
      </c>
      <c r="AB1146" s="143">
        <v>2</v>
      </c>
      <c r="AC1146" s="143">
        <v>2</v>
      </c>
      <c r="AD1146" s="143">
        <v>2</v>
      </c>
      <c r="AE1146" s="143">
        <v>2</v>
      </c>
      <c r="AG1146" s="146">
        <v>1</v>
      </c>
      <c r="AH1146" s="150">
        <v>4</v>
      </c>
      <c r="AI1146" s="150">
        <v>2</v>
      </c>
      <c r="AJ1146" s="146">
        <v>3</v>
      </c>
      <c r="AK1146" s="71"/>
      <c r="AL1146" s="71"/>
      <c r="AM1146" s="71"/>
      <c r="AN1146" s="71"/>
      <c r="AO1146" s="71"/>
      <c r="AP1146" s="71"/>
      <c r="AQ1146" s="71"/>
      <c r="AR1146" s="71"/>
      <c r="AS1146" s="94">
        <f t="shared" ca="1" si="1329"/>
        <v>11</v>
      </c>
      <c r="AT1146" s="95">
        <f t="shared" si="1330"/>
        <v>9.3000000000000007</v>
      </c>
      <c r="AU1146" s="97">
        <f t="shared" si="1331"/>
        <v>10</v>
      </c>
      <c r="AW1146" s="51">
        <f t="shared" si="1332"/>
        <v>1</v>
      </c>
      <c r="AX1146" s="51">
        <f t="shared" si="1333"/>
        <v>1</v>
      </c>
      <c r="AY1146" s="51">
        <f t="shared" si="1334"/>
        <v>1</v>
      </c>
      <c r="AZ1146" s="51">
        <f t="shared" si="1335"/>
        <v>1.5</v>
      </c>
      <c r="BA1146" s="51"/>
      <c r="BB1146" s="51"/>
      <c r="BC1146" s="51"/>
      <c r="BD1146" s="51"/>
      <c r="BE1146" s="51"/>
      <c r="BF1146" s="51"/>
      <c r="BG1146" s="51"/>
      <c r="BH1146" s="51"/>
      <c r="BI1146" s="65" cm="1">
        <f t="array" ref="BI1146">IFERROR(INDEX(AW1146:BH1146,1,MATCH(2,1/(AW1146:BH1146&lt;&gt;""))),"")</f>
        <v>1.5</v>
      </c>
      <c r="BJ1146" s="68" cm="1">
        <f t="array" ref="BJ1146">IF(BM1146 = "", "",IFERROR(INDEX(AW1146:BH1146,1,MATCH(2,1/(AW1146:BH1146&lt;&gt;""),1)-1),""))</f>
        <v>1</v>
      </c>
      <c r="BK1146" s="58">
        <f>IF((IF(AW1146&gt;=115%,115%,AW1146) + IF(AX1146&gt;=115%,115%,AX1146) + IF(AY1146&gt;=115%,115%,AY1146) + (IF(AZ1146&gt;=115%,115%,AZ1146) + IF(BA1146&gt;=200%,200%,BA1146) + IF(BB1146&gt;=200%,200%,BB1146) + IF(BC1146&gt;=141%,141%,BC1146) + IF(BD1146&gt;=115%,115%,BD1146) + IF(BE1146&gt;=115%,115%,BE1146) + IF(BF1146&gt;=115%,115%,BF1146) + IF(BG1146&gt;=115%,115%,BG1146) + IF(BH1146&gt;=115%,115%,BH1146)))/_xlfn.XLOOKUP(F1146,Apuração!A:A,Apuração!B:B)&gt;=1.15,1.15,((IF(AZ1146&gt;=115%,115%,AZ1146) + IF(AX1146&gt;=115%,115%,AX1146) + IF(AY1146&gt;=115%,115%,AY1146) + (IF(AW1146&gt;=115%,115%,AW1146) + IF(BA1146&gt;=200%,200%,BA1146) + IF(BB1146&gt;=200%,200%,BB1146) + IF(BC1146&gt;=141%,141%,BC1146) + IF(BD1146&gt;=115%,115%,BD1146) + IF(BE1146&gt;=115%,115%,BE1146) + IF(BF1146&gt;=115%,115%,BF1146) + IF(BG1146&gt;=115%,115%,BG1146) + IF(BH1146&gt;=115%,115%,BH1146)))/_xlfn.XLOOKUP(F1146,Apuração!A:A,Apuração!B:B)))</f>
        <v>0.34583333333333338</v>
      </c>
      <c r="BL1146" s="58" cm="1">
        <f t="array" aca="1" ref="BL1146" ca="1">IF(SUM(IFERROR(IF(INDEX(AW1146:INDEX(AW1146:BH1146, MATCH(2, 1/(AW1146:BH1146&lt;&gt;""), 1)-1), ROW(INDIRECT("1:" &amp; MATCH(2, 1/(AW1146:BH1146&lt;&gt;""), 1)-1))) &gt;= 115%, 115%, INDEX(AW1146:INDEX(AW1146:BH1146, MATCH(2, 1/(AW1146:BH1146&lt;&gt;""), 1)-1), ROW(INDIRECT("1:" &amp; MATCH(2, 1/(AW1146:BH1146&lt;&gt;""), 1)-1)))), 0))/_xlfn.XLOOKUP(F1146,Apuração!A:A,Apuração!B:B)&gt;=1.15,1.15,SUM(IFERROR(IF(INDEX(AW1146:INDEX(AW1146:BH1146, MATCH(2, 1/(AW1146:BH1146&lt;&gt;""), 1)-1), ROW(INDIRECT("1:" &amp; MATCH(2, 1/(AW1146:BH1146&lt;&gt;""), 1)-1))) &gt;= 115%, 115%, INDEX(AW1146:INDEX(AW1146:BH1146, MATCH(2, 1/(AW1146:BH1146&lt;&gt;""), 1)-1), ROW(INDIRECT("1:" &amp; MATCH(2, 1/(AW1146:BH1146&lt;&gt;""), 1)-1)))), 0))/_xlfn.XLOOKUP(F1146,Apuração!A:A,Apuração!B:B))</f>
        <v>0.25</v>
      </c>
      <c r="BM1146" s="55" cm="1">
        <f t="array" ref="BM1146">IFERROR(
   INDEX($AW$1:$BH$1,
      _xlfn.AGGREGATE(14, 6, COLUMN($AW$1:$BH$1)/(AW1146:BH1146&lt;&gt;""), 2) - COLUMN($AW$1) + 1
   ),
"")</f>
        <v>46082</v>
      </c>
      <c r="BN1146" s="55" cm="1">
        <f t="array" ref="BN1146">IFERROR(INDEX($AW$1:$BH$1,1,MATCH(2,1/(AW1146:BH1146&lt;&gt;""))),"")</f>
        <v>46113</v>
      </c>
      <c r="BO1146" s="53">
        <f ca="1">IFERROR(_xlfn.XLOOKUP(F1146,Apuração!A:A,Apuração!C:C)/_xlfn.XLOOKUP(F1146,Apuração!A:A,Apuração!B:B),0)</f>
        <v>0.41666666666666669</v>
      </c>
      <c r="BP1146" s="53">
        <f ca="1">IFERROR(_xlfn.XLOOKUP(F1146,Apuração!A:A,Apuração!D:D)/_xlfn.XLOOKUP(F1146,Apuração!A:A,Apuração!B:B),0)</f>
        <v>0.33333333333333331</v>
      </c>
      <c r="BQ1146" s="53">
        <f ca="1">IF(BK1146&gt;=BO1146,0,_xlfn.XLOOKUP(F1146,Apuração!A:A,Apuração!B:B)*(BO1146 + (1/_xlfn.XLOOKUP(F1146,Apuração!A:A,Apuração!B:B)) - BK1146))</f>
        <v>1.8499999999999994</v>
      </c>
      <c r="BR1146" s="85">
        <f t="shared" ca="1" si="1336"/>
        <v>3.6999999999999988</v>
      </c>
      <c r="BS1146" s="53">
        <f ca="1">IFERROR((_xlfn.XLOOKUP(F1146,Apuração!A:A,Apuração!C:C)+1)/_xlfn.XLOOKUP(F1146,Apuração!A:A,Apuração!B:B),0)</f>
        <v>0.5</v>
      </c>
    </row>
    <row r="1147" spans="1:71" ht="25.95" hidden="1" customHeight="1" x14ac:dyDescent="0.3">
      <c r="A1147" s="39" t="s">
        <v>33</v>
      </c>
      <c r="B1147" s="4" t="s">
        <v>81</v>
      </c>
      <c r="C1147" s="5" t="s">
        <v>209</v>
      </c>
      <c r="D1147" s="5" t="s">
        <v>36</v>
      </c>
      <c r="E1147" s="4" t="str" cm="1">
        <f t="array" ref="E1147">_xlfn.IFS(
F1147 = "A partir de Abril", "Aguardando Execução na Distribuidora",
A1147 = "CAPACITAÇÃO", "Em execução no Corporativo",
TRUE, "Em Execução na Distribuidora"
)</f>
        <v>Em Execução na Distribuidora</v>
      </c>
      <c r="F1147" s="4" t="str" cm="1">
        <f t="array" ref="F1147">_xlfn.IFS(
AG1147 &lt;&gt; "", "Jan-Dez/26",
AH1147 &lt;&gt; "", "Fev-Dez/26",
AI1147 &lt;&gt; "", "Mar-Dez/26", AJ1147 &lt;&gt; "", "Abr-Dez/26",
TRUE, "A partir de Junho"
)</f>
        <v>Jan-Dez/26</v>
      </c>
      <c r="G1147" s="4" t="s">
        <v>37</v>
      </c>
      <c r="H1147" s="7" t="s">
        <v>54</v>
      </c>
      <c r="I1147" s="9" t="s">
        <v>76</v>
      </c>
      <c r="J1147" s="8" t="str" cm="1">
        <f t="array" aca="1" ref="J1147" ca="1">_xlfn.LET(
  _xlpm.actual_value_month, INDEX(T1147:AE1147, MATCH(DATE(YEAR(TODAY()), MONTH(TODAY()), 1), $T$1:$AE$1, 0)),
  IF(_xlpm.actual_value_month &lt;&gt; "",_xlpm.actual_value_month &amp; " ações mensais", "")
)</f>
        <v/>
      </c>
      <c r="K1147" s="8" t="str" cm="1">
        <f t="array" ref="K1147">_xlfn.LET(
    _xlpm.sum_month, SUM(T1147:AE1147),
    IF(_xlpm.sum_month = 0, "", _xlpm.sum_month &amp; " público impactado no ano.")
)</f>
        <v/>
      </c>
      <c r="L1147" s="9" t="s">
        <v>76</v>
      </c>
      <c r="M1147" s="13">
        <v>1</v>
      </c>
      <c r="N1147" s="5" t="s">
        <v>51</v>
      </c>
      <c r="O1147" s="5" t="s">
        <v>52</v>
      </c>
      <c r="P1147" s="10" t="s">
        <v>44</v>
      </c>
      <c r="Q1147" s="10" t="s">
        <v>44</v>
      </c>
      <c r="R1147" s="11" t="s">
        <v>44</v>
      </c>
      <c r="S1147" s="11" t="s">
        <v>44</v>
      </c>
      <c r="T1147" s="22"/>
      <c r="U1147" s="22"/>
      <c r="V1147" s="22"/>
      <c r="W1147" s="22"/>
      <c r="X1147" s="22"/>
      <c r="Y1147" s="22"/>
      <c r="Z1147" s="22"/>
      <c r="AA1147" s="22"/>
      <c r="AB1147" s="22"/>
      <c r="AC1147" s="22"/>
      <c r="AD1147" s="22"/>
      <c r="AE1147" s="22"/>
      <c r="AG1147" s="71">
        <v>36</v>
      </c>
      <c r="AH1147" s="71">
        <v>74</v>
      </c>
      <c r="AI1147" s="71">
        <v>68</v>
      </c>
      <c r="AJ1147" s="71">
        <v>53</v>
      </c>
      <c r="AK1147" s="71"/>
      <c r="AL1147" s="71"/>
      <c r="AM1147" s="71"/>
      <c r="AN1147" s="71"/>
      <c r="AO1147" s="71"/>
      <c r="AP1147" s="71"/>
      <c r="AQ1147" s="71"/>
      <c r="AR1147" s="71"/>
      <c r="AS1147" s="94">
        <f ca="1">IF(MONTH(TODAY())=3,SUM(T1147:U1147),IF(MONTH(TODAY())=4,SUM(T1147:V1147),IF(MONTH(TODAY())=5,SUM(T1147:W1147),IF(MONTH(TODAY())=6,SUM(T1147:X1147),IF(MONTH(TODAY())=7,SUM(T1147:Y1147),IF(MONTH(TODAY())=8,SUM(T1147:Z1147),IF(MONTH(TODAY())=9,SUM(T1147:AA1147),IF(MONTH(TODAY())=10,SUM(T1147:AB1147),IF(MONTH(TODAY())=11,SUM(T1147:AC1147),IF(MONTH(TODAY())=12,SUM(T1147:AD1147),IF(MONTH(TODAY())=1,SUM(T1147:AE1147),T1147)))))))))))</f>
        <v>0</v>
      </c>
      <c r="AT1147" s="95">
        <f>SUM(AG1147:AR1147)</f>
        <v>231</v>
      </c>
      <c r="AU1147" s="97">
        <f>SUM(AG1147:AR1147)</f>
        <v>231</v>
      </c>
      <c r="AW1147" s="83">
        <f>AG1147</f>
        <v>36</v>
      </c>
      <c r="AX1147" s="83">
        <f>AH1147</f>
        <v>74</v>
      </c>
      <c r="AY1147" s="83">
        <f>AI1147</f>
        <v>68</v>
      </c>
      <c r="AZ1147" s="83">
        <f>AJ1147</f>
        <v>53</v>
      </c>
      <c r="BA1147" s="52"/>
      <c r="BB1147" s="52"/>
      <c r="BC1147" s="52"/>
      <c r="BD1147" s="52"/>
      <c r="BE1147" s="52"/>
      <c r="BF1147" s="52"/>
      <c r="BG1147" s="52"/>
      <c r="BH1147" s="52"/>
      <c r="BI1147" s="68" cm="1">
        <f t="array" ref="BI1147">IFERROR(INDEX(AW1147:BH1147,1,MATCH(2,1/(AW1147:BH1147&lt;&gt;""))),"")</f>
        <v>53</v>
      </c>
      <c r="BJ1147" s="68" cm="1">
        <f t="array" ref="BJ1147">IF(BM1147 = "", "",IFERROR(INDEX(AW1147:BH1147,1,MATCH(2,1/(AW1147:BH1147&lt;&gt;""),1)-1),""))</f>
        <v>68</v>
      </c>
      <c r="BK1147" s="59">
        <f>SUM(AW1147:BH1147)</f>
        <v>231</v>
      </c>
      <c r="BL1147" s="59" cm="1">
        <f t="array" ref="BL1147">IFERROR(SUM(AW1147:INDEX(AW1147:BH1147, MATCH(2, 1/(AW1147:BH1147&lt;&gt;""), 1) - 1))/_xlfn.XLOOKUP(F1147,Apuração!A:A,Apuração!B:B),0)</f>
        <v>14.833333333333334</v>
      </c>
      <c r="BM1147" s="55" cm="1">
        <f t="array" ref="BM1147">IFERROR(
   INDEX($AW$1:$BH$1,
      _xlfn.AGGREGATE(14, 6, COLUMN($AW$1:$BH$1)/(AW1147:BH1147&lt;&gt;""), 2) - COLUMN($AW$1) + 1
   ),
"")</f>
        <v>46082</v>
      </c>
      <c r="BN1147" s="55" cm="1">
        <f t="array" ref="BN1147">IFERROR(INDEX($AW$1:$BH$1,1,MATCH(2,1/(AW1147:BH1147&lt;&gt;""))),"")</f>
        <v>46113</v>
      </c>
      <c r="BO1147" s="53">
        <f ca="1">IFERROR(_xlfn.XLOOKUP(F1147,Apuração!A:A,Apuração!C:C)/_xlfn.XLOOKUP(F1147,Apuração!A:A,Apuração!B:B),0)</f>
        <v>0.41666666666666669</v>
      </c>
      <c r="BP1147" s="53">
        <f ca="1">IFERROR(_xlfn.XLOOKUP(F1147,Apuração!A:A,Apuração!D:D)/_xlfn.XLOOKUP(F1147,Apuração!A:A,Apuração!B:B),0)</f>
        <v>0.33333333333333331</v>
      </c>
      <c r="BQ1147" s="53">
        <f ca="1">IF(BK1147&gt;=BO1147,0,_xlfn.XLOOKUP(F1147,Apuração!A:A,Apuração!B:B)*(BO1147 + (1/_xlfn.XLOOKUP(F1147,Apuração!A:A,Apuração!B:B)) - BK1147))</f>
        <v>0</v>
      </c>
      <c r="BR1147" s="85">
        <f ca="1">IF(BQ1147=0,0,BQ1147*Z1147)</f>
        <v>0</v>
      </c>
      <c r="BS1147" s="53">
        <f ca="1">IFERROR((_xlfn.XLOOKUP(F1147,Apuração!A:A,Apuração!C:C)+1)/_xlfn.XLOOKUP(F1147,Apuração!A:A,Apuração!B:B),0)</f>
        <v>0.5</v>
      </c>
    </row>
    <row r="1148" spans="1:71" ht="25.95" hidden="1" customHeight="1" x14ac:dyDescent="0.3">
      <c r="A1148" s="39" t="s">
        <v>33</v>
      </c>
      <c r="B1148" s="4" t="s">
        <v>81</v>
      </c>
      <c r="C1148" s="5" t="s">
        <v>209</v>
      </c>
      <c r="D1148" s="5" t="s">
        <v>210</v>
      </c>
      <c r="E1148" s="4" t="str" cm="1">
        <f t="array" ref="E1148">_xlfn.IFS(
F1148 = "A partir de Abril", "Aguardando Execução na Distribuidora",
A1148 = "CAPACITAÇÃO", "Em execução no Corporativo",
TRUE, "Em Execução na Distribuidora"
)</f>
        <v>Em Execução na Distribuidora</v>
      </c>
      <c r="F1148" s="4" t="str" cm="1">
        <f t="array" ref="F1148">_xlfn.IFS(
AG1148 &lt;&gt; "", "Jan-Dez/26",
AH1148 &lt;&gt; "", "Fev-Dez/26",
AI1148 &lt;&gt; "", "Mar-Dez/26", AJ1148 &lt;&gt; "", "Abr-Dez/26",
TRUE, "A partir de Junho"
)</f>
        <v>Jan-Dez/26</v>
      </c>
      <c r="G1148" s="4" t="s">
        <v>37</v>
      </c>
      <c r="H1148" s="7" t="s">
        <v>54</v>
      </c>
      <c r="I1148" s="9" t="s">
        <v>76</v>
      </c>
      <c r="J1148" s="8" t="str" cm="1">
        <f t="array" aca="1" ref="J1148" ca="1">_xlfn.LET(
  _xlpm.actual_value_month, INDEX(T1148:AE1148, MATCH(DATE(YEAR(TODAY()), MONTH(TODAY()), 1), $T$1:$AE$1, 0)),
  IF(_xlpm.actual_value_month &lt;&gt; "",_xlpm.actual_value_month &amp; " ações mensais", "")
)</f>
        <v/>
      </c>
      <c r="K1148" s="8" t="str" cm="1">
        <f t="array" ref="K1148">_xlfn.LET(
    _xlpm.sum_month, SUM(T1148:AE1148),
    IF(_xlpm.sum_month = 0, "", _xlpm.sum_month &amp; " público impactado no ano.")
)</f>
        <v/>
      </c>
      <c r="L1148" s="9" t="s">
        <v>76</v>
      </c>
      <c r="M1148" s="13">
        <v>1</v>
      </c>
      <c r="N1148" s="5" t="s">
        <v>51</v>
      </c>
      <c r="O1148" s="5" t="s">
        <v>52</v>
      </c>
      <c r="P1148" s="10" t="s">
        <v>44</v>
      </c>
      <c r="Q1148" s="10" t="s">
        <v>44</v>
      </c>
      <c r="R1148" s="11" t="s">
        <v>44</v>
      </c>
      <c r="S1148" s="11" t="s">
        <v>44</v>
      </c>
      <c r="T1148" s="22"/>
      <c r="U1148" s="22"/>
      <c r="V1148" s="22"/>
      <c r="W1148" s="22"/>
      <c r="X1148" s="22"/>
      <c r="Y1148" s="22"/>
      <c r="Z1148" s="22"/>
      <c r="AA1148" s="22"/>
      <c r="AB1148" s="22"/>
      <c r="AC1148" s="22"/>
      <c r="AD1148" s="22"/>
      <c r="AE1148" s="22"/>
      <c r="AG1148" s="145">
        <v>31</v>
      </c>
      <c r="AH1148" s="149">
        <v>9</v>
      </c>
      <c r="AI1148" s="149">
        <v>6</v>
      </c>
      <c r="AJ1148" s="145">
        <v>5</v>
      </c>
      <c r="AK1148" s="71"/>
      <c r="AL1148" s="71"/>
      <c r="AM1148" s="71"/>
      <c r="AN1148" s="71"/>
      <c r="AO1148" s="71"/>
      <c r="AP1148" s="71"/>
      <c r="AQ1148" s="71"/>
      <c r="AR1148" s="71"/>
      <c r="AS1148" s="94">
        <f t="shared" ref="AS1148:AS1152" ca="1" si="1337">IF(MONTH(TODAY())=3,SUM(T1148:U1148),IF(MONTH(TODAY())=4,SUM(T1148:V1148),IF(MONTH(TODAY())=5,SUM(T1148:W1148),IF(MONTH(TODAY())=6,SUM(T1148:X1148),IF(MONTH(TODAY())=7,SUM(T1148:Y1148),IF(MONTH(TODAY())=8,SUM(T1148:Z1148),IF(MONTH(TODAY())=9,SUM(T1148:AA1148),IF(MONTH(TODAY())=10,SUM(T1148:AB1148),IF(MONTH(TODAY())=11,SUM(T1148:AC1148),IF(MONTH(TODAY())=12,SUM(T1148:AD1148),IF(MONTH(TODAY())=1,SUM(T1148:AE1148),T1148)))))))))))</f>
        <v>0</v>
      </c>
      <c r="AT1148" s="95">
        <f t="shared" ref="AT1148:AT1152" si="1338">SUM(AG1148:AR1148)</f>
        <v>51</v>
      </c>
      <c r="AU1148" s="97">
        <f t="shared" ref="AU1148:AU1152" si="1339">SUM(AG1148:AR1148)</f>
        <v>51</v>
      </c>
      <c r="AW1148" s="83">
        <f t="shared" ref="AW1148:AW1152" si="1340">AG1148</f>
        <v>31</v>
      </c>
      <c r="AX1148" s="83">
        <f t="shared" ref="AX1148:AX1152" si="1341">AH1148</f>
        <v>9</v>
      </c>
      <c r="AY1148" s="83">
        <f t="shared" ref="AY1148:AY1152" si="1342">AI1148</f>
        <v>6</v>
      </c>
      <c r="AZ1148" s="83">
        <f t="shared" ref="AZ1148:AZ1152" si="1343">AJ1148</f>
        <v>5</v>
      </c>
      <c r="BA1148" s="52"/>
      <c r="BB1148" s="52"/>
      <c r="BC1148" s="52"/>
      <c r="BD1148" s="52"/>
      <c r="BE1148" s="52"/>
      <c r="BF1148" s="52"/>
      <c r="BG1148" s="52"/>
      <c r="BH1148" s="52"/>
      <c r="BI1148" s="68" cm="1">
        <f t="array" ref="BI1148">IFERROR(INDEX(AW1148:BH1148,1,MATCH(2,1/(AW1148:BH1148&lt;&gt;""))),"")</f>
        <v>5</v>
      </c>
      <c r="BJ1148" s="68" cm="1">
        <f t="array" ref="BJ1148">IF(BM1148 = "", "",IFERROR(INDEX(AW1148:BH1148,1,MATCH(2,1/(AW1148:BH1148&lt;&gt;""),1)-1),""))</f>
        <v>6</v>
      </c>
      <c r="BK1148" s="59">
        <f t="shared" ref="BK1148:BK1152" si="1344">SUM(AW1148:BH1148)</f>
        <v>51</v>
      </c>
      <c r="BL1148" s="59" cm="1">
        <f t="array" ref="BL1148">IFERROR(SUM(AW1148:INDEX(AW1148:BH1148, MATCH(2, 1/(AW1148:BH1148&lt;&gt;""), 1) - 1))/_xlfn.XLOOKUP(F1148,Apuração!A:A,Apuração!B:B),0)</f>
        <v>3.8333333333333335</v>
      </c>
      <c r="BM1148" s="55" cm="1">
        <f t="array" ref="BM1148">IFERROR(
   INDEX($AW$1:$BH$1,
      _xlfn.AGGREGATE(14, 6, COLUMN($AW$1:$BH$1)/(AW1148:BH1148&lt;&gt;""), 2) - COLUMN($AW$1) + 1
   ),
"")</f>
        <v>46082</v>
      </c>
      <c r="BN1148" s="55" cm="1">
        <f t="array" ref="BN1148">IFERROR(INDEX($AW$1:$BH$1,1,MATCH(2,1/(AW1148:BH1148&lt;&gt;""))),"")</f>
        <v>46113</v>
      </c>
      <c r="BO1148" s="53">
        <f ca="1">IFERROR(_xlfn.XLOOKUP(F1148,Apuração!A:A,Apuração!C:C)/_xlfn.XLOOKUP(F1148,Apuração!A:A,Apuração!B:B),0)</f>
        <v>0.41666666666666669</v>
      </c>
      <c r="BP1148" s="53">
        <f ca="1">IFERROR(_xlfn.XLOOKUP(F1148,Apuração!A:A,Apuração!D:D)/_xlfn.XLOOKUP(F1148,Apuração!A:A,Apuração!B:B),0)</f>
        <v>0.33333333333333331</v>
      </c>
      <c r="BQ1148" s="53">
        <f ca="1">IF(BK1148&gt;=BO1148,0,_xlfn.XLOOKUP(F1148,Apuração!A:A,Apuração!B:B)*(BO1148 + (1/_xlfn.XLOOKUP(F1148,Apuração!A:A,Apuração!B:B)) - BK1148))</f>
        <v>0</v>
      </c>
      <c r="BR1148" s="85">
        <f t="shared" ref="BR1148:BR1152" ca="1" si="1345">IF(BQ1148=0,0,BQ1148*Z1148)</f>
        <v>0</v>
      </c>
      <c r="BS1148" s="53">
        <f ca="1">IFERROR((_xlfn.XLOOKUP(F1148,Apuração!A:A,Apuração!C:C)+1)/_xlfn.XLOOKUP(F1148,Apuração!A:A,Apuração!B:B),0)</f>
        <v>0.5</v>
      </c>
    </row>
    <row r="1149" spans="1:71" ht="25.95" hidden="1" customHeight="1" x14ac:dyDescent="0.3">
      <c r="A1149" s="39" t="s">
        <v>33</v>
      </c>
      <c r="B1149" s="4" t="s">
        <v>81</v>
      </c>
      <c r="C1149" s="5" t="s">
        <v>209</v>
      </c>
      <c r="D1149" s="5" t="s">
        <v>47</v>
      </c>
      <c r="E1149" s="4" t="str" cm="1">
        <f t="array" ref="E1149">_xlfn.IFS(
F1149 = "A partir de Abril", "Aguardando Execução na Distribuidora",
A1149 = "CAPACITAÇÃO", "Em execução no Corporativo",
TRUE, "Em Execução na Distribuidora"
)</f>
        <v>Em Execução na Distribuidora</v>
      </c>
      <c r="F1149" s="4" t="str" cm="1">
        <f t="array" ref="F1149">_xlfn.IFS(
AG1149 &lt;&gt; "", "Jan-Dez/26",
AH1149 &lt;&gt; "", "Fev-Dez/26",
AI1149 &lt;&gt; "", "Mar-Dez/26", AJ1149 &lt;&gt; "", "Abr-Dez/26",
TRUE, "A partir de Junho"
)</f>
        <v>Jan-Dez/26</v>
      </c>
      <c r="G1149" s="4" t="s">
        <v>37</v>
      </c>
      <c r="H1149" s="7" t="s">
        <v>54</v>
      </c>
      <c r="I1149" s="9" t="s">
        <v>76</v>
      </c>
      <c r="J1149" s="8" t="str" cm="1">
        <f t="array" aca="1" ref="J1149" ca="1">_xlfn.LET(
  _xlpm.actual_value_month, INDEX(T1149:AE1149, MATCH(DATE(YEAR(TODAY()), MONTH(TODAY()), 1), $T$1:$AE$1, 0)),
  IF(_xlpm.actual_value_month &lt;&gt; "",_xlpm.actual_value_month &amp; " ações mensais", "")
)</f>
        <v/>
      </c>
      <c r="K1149" s="8" t="str" cm="1">
        <f t="array" ref="K1149">_xlfn.LET(
    _xlpm.sum_month, SUM(T1149:AE1149),
    IF(_xlpm.sum_month = 0, "", _xlpm.sum_month &amp; " público impactado no ano.")
)</f>
        <v/>
      </c>
      <c r="L1149" s="9" t="s">
        <v>76</v>
      </c>
      <c r="M1149" s="13">
        <v>1</v>
      </c>
      <c r="N1149" s="5" t="s">
        <v>51</v>
      </c>
      <c r="O1149" s="5" t="s">
        <v>52</v>
      </c>
      <c r="P1149" s="10" t="s">
        <v>44</v>
      </c>
      <c r="Q1149" s="10" t="s">
        <v>44</v>
      </c>
      <c r="R1149" s="11" t="s">
        <v>44</v>
      </c>
      <c r="S1149" s="11" t="s">
        <v>44</v>
      </c>
      <c r="T1149" s="22"/>
      <c r="U1149" s="22"/>
      <c r="V1149" s="22"/>
      <c r="W1149" s="22"/>
      <c r="X1149" s="22"/>
      <c r="Y1149" s="22"/>
      <c r="Z1149" s="22"/>
      <c r="AA1149" s="22"/>
      <c r="AB1149" s="22"/>
      <c r="AC1149" s="22"/>
      <c r="AD1149" s="22"/>
      <c r="AE1149" s="22"/>
      <c r="AG1149" s="146">
        <v>0</v>
      </c>
      <c r="AH1149" s="150">
        <v>3</v>
      </c>
      <c r="AI1149" s="150">
        <v>7</v>
      </c>
      <c r="AJ1149" s="146">
        <v>4</v>
      </c>
      <c r="AK1149" s="71"/>
      <c r="AL1149" s="71"/>
      <c r="AM1149" s="71"/>
      <c r="AN1149" s="71"/>
      <c r="AO1149" s="71"/>
      <c r="AP1149" s="71"/>
      <c r="AQ1149" s="71"/>
      <c r="AR1149" s="71"/>
      <c r="AS1149" s="94">
        <f t="shared" ca="1" si="1337"/>
        <v>0</v>
      </c>
      <c r="AT1149" s="95">
        <f t="shared" si="1338"/>
        <v>14</v>
      </c>
      <c r="AU1149" s="97">
        <f t="shared" si="1339"/>
        <v>14</v>
      </c>
      <c r="AW1149" s="83">
        <f t="shared" si="1340"/>
        <v>0</v>
      </c>
      <c r="AX1149" s="83">
        <f t="shared" si="1341"/>
        <v>3</v>
      </c>
      <c r="AY1149" s="83">
        <f t="shared" si="1342"/>
        <v>7</v>
      </c>
      <c r="AZ1149" s="83">
        <f t="shared" si="1343"/>
        <v>4</v>
      </c>
      <c r="BA1149" s="52"/>
      <c r="BB1149" s="52"/>
      <c r="BC1149" s="52"/>
      <c r="BD1149" s="52"/>
      <c r="BE1149" s="52"/>
      <c r="BF1149" s="52"/>
      <c r="BG1149" s="52"/>
      <c r="BH1149" s="52"/>
      <c r="BI1149" s="68" cm="1">
        <f t="array" ref="BI1149">IFERROR(INDEX(AW1149:BH1149,1,MATCH(2,1/(AW1149:BH1149&lt;&gt;""))),"")</f>
        <v>4</v>
      </c>
      <c r="BJ1149" s="68" cm="1">
        <f t="array" ref="BJ1149">IF(BM1149 = "", "",IFERROR(INDEX(AW1149:BH1149,1,MATCH(2,1/(AW1149:BH1149&lt;&gt;""),1)-1),""))</f>
        <v>7</v>
      </c>
      <c r="BK1149" s="59">
        <f t="shared" si="1344"/>
        <v>14</v>
      </c>
      <c r="BL1149" s="59" cm="1">
        <f t="array" ref="BL1149">IFERROR(SUM(AW1149:INDEX(AW1149:BH1149, MATCH(2, 1/(AW1149:BH1149&lt;&gt;""), 1) - 1))/_xlfn.XLOOKUP(F1149,Apuração!A:A,Apuração!B:B),0)</f>
        <v>0.83333333333333337</v>
      </c>
      <c r="BM1149" s="55" cm="1">
        <f t="array" ref="BM1149">IFERROR(
   INDEX($AW$1:$BH$1,
      _xlfn.AGGREGATE(14, 6, COLUMN($AW$1:$BH$1)/(AW1149:BH1149&lt;&gt;""), 2) - COLUMN($AW$1) + 1
   ),
"")</f>
        <v>46082</v>
      </c>
      <c r="BN1149" s="55" cm="1">
        <f t="array" ref="BN1149">IFERROR(INDEX($AW$1:$BH$1,1,MATCH(2,1/(AW1149:BH1149&lt;&gt;""))),"")</f>
        <v>46113</v>
      </c>
      <c r="BO1149" s="53">
        <f ca="1">IFERROR(_xlfn.XLOOKUP(F1149,Apuração!A:A,Apuração!C:C)/_xlfn.XLOOKUP(F1149,Apuração!A:A,Apuração!B:B),0)</f>
        <v>0.41666666666666669</v>
      </c>
      <c r="BP1149" s="53">
        <f ca="1">IFERROR(_xlfn.XLOOKUP(F1149,Apuração!A:A,Apuração!D:D)/_xlfn.XLOOKUP(F1149,Apuração!A:A,Apuração!B:B),0)</f>
        <v>0.33333333333333331</v>
      </c>
      <c r="BQ1149" s="53">
        <f ca="1">IF(BK1149&gt;=BO1149,0,_xlfn.XLOOKUP(F1149,Apuração!A:A,Apuração!B:B)*(BO1149 + (1/_xlfn.XLOOKUP(F1149,Apuração!A:A,Apuração!B:B)) - BK1149))</f>
        <v>0</v>
      </c>
      <c r="BR1149" s="85">
        <f t="shared" ca="1" si="1345"/>
        <v>0</v>
      </c>
      <c r="BS1149" s="53">
        <f ca="1">IFERROR((_xlfn.XLOOKUP(F1149,Apuração!A:A,Apuração!C:C)+1)/_xlfn.XLOOKUP(F1149,Apuração!A:A,Apuração!B:B),0)</f>
        <v>0.5</v>
      </c>
    </row>
    <row r="1150" spans="1:71" ht="25.95" hidden="1" customHeight="1" x14ac:dyDescent="0.3">
      <c r="A1150" s="39" t="s">
        <v>33</v>
      </c>
      <c r="B1150" s="4" t="s">
        <v>81</v>
      </c>
      <c r="C1150" s="5" t="s">
        <v>209</v>
      </c>
      <c r="D1150" s="5" t="s">
        <v>211</v>
      </c>
      <c r="E1150" s="4" t="str" cm="1">
        <f t="array" ref="E1150">_xlfn.IFS(
F1150 = "A partir de Abril", "Aguardando Execução na Distribuidora",
A1150 = "CAPACITAÇÃO", "Em execução no Corporativo",
TRUE, "Em Execução na Distribuidora"
)</f>
        <v>Em Execução na Distribuidora</v>
      </c>
      <c r="F1150" s="4" t="str" cm="1">
        <f t="array" ref="F1150">_xlfn.IFS(
AG1150 &lt;&gt; "", "Jan-Dez/26",
AH1150 &lt;&gt; "", "Fev-Dez/26",
AI1150 &lt;&gt; "", "Mar-Dez/26", AJ1150 &lt;&gt; "", "Abr-Dez/26",
TRUE, "A partir de Junho"
)</f>
        <v>Jan-Dez/26</v>
      </c>
      <c r="G1150" s="4" t="s">
        <v>37</v>
      </c>
      <c r="H1150" s="7" t="s">
        <v>54</v>
      </c>
      <c r="I1150" s="9" t="s">
        <v>76</v>
      </c>
      <c r="J1150" s="8" t="str" cm="1">
        <f t="array" aca="1" ref="J1150" ca="1">_xlfn.LET(
  _xlpm.actual_value_month, INDEX(T1150:AE1150, MATCH(DATE(YEAR(TODAY()), MONTH(TODAY()), 1), $T$1:$AE$1, 0)),
  IF(_xlpm.actual_value_month &lt;&gt; "",_xlpm.actual_value_month &amp; " ações mensais", "")
)</f>
        <v/>
      </c>
      <c r="K1150" s="8" t="str" cm="1">
        <f t="array" ref="K1150">_xlfn.LET(
    _xlpm.sum_month, SUM(T1150:AE1150),
    IF(_xlpm.sum_month = 0, "", _xlpm.sum_month &amp; " público impactado no ano.")
)</f>
        <v/>
      </c>
      <c r="L1150" s="9" t="s">
        <v>76</v>
      </c>
      <c r="M1150" s="13">
        <v>1</v>
      </c>
      <c r="N1150" s="5" t="s">
        <v>51</v>
      </c>
      <c r="O1150" s="5" t="s">
        <v>52</v>
      </c>
      <c r="P1150" s="10" t="s">
        <v>44</v>
      </c>
      <c r="Q1150" s="10" t="s">
        <v>44</v>
      </c>
      <c r="R1150" s="11" t="s">
        <v>44</v>
      </c>
      <c r="S1150" s="11" t="s">
        <v>44</v>
      </c>
      <c r="T1150" s="22"/>
      <c r="U1150" s="22"/>
      <c r="V1150" s="22"/>
      <c r="W1150" s="22"/>
      <c r="X1150" s="22"/>
      <c r="Y1150" s="22"/>
      <c r="Z1150" s="22"/>
      <c r="AA1150" s="22"/>
      <c r="AB1150" s="22"/>
      <c r="AC1150" s="22"/>
      <c r="AD1150" s="22"/>
      <c r="AE1150" s="22"/>
      <c r="AG1150" s="146">
        <v>0</v>
      </c>
      <c r="AH1150" s="150">
        <v>1</v>
      </c>
      <c r="AI1150" s="150">
        <v>5</v>
      </c>
      <c r="AJ1150" s="146">
        <v>2</v>
      </c>
      <c r="AK1150" s="71"/>
      <c r="AL1150" s="71"/>
      <c r="AM1150" s="71"/>
      <c r="AN1150" s="71"/>
      <c r="AO1150" s="71"/>
      <c r="AP1150" s="71"/>
      <c r="AQ1150" s="71"/>
      <c r="AR1150" s="71"/>
      <c r="AS1150" s="94">
        <f t="shared" ca="1" si="1337"/>
        <v>0</v>
      </c>
      <c r="AT1150" s="95">
        <f t="shared" si="1338"/>
        <v>8</v>
      </c>
      <c r="AU1150" s="97">
        <f t="shared" si="1339"/>
        <v>8</v>
      </c>
      <c r="AW1150" s="83">
        <f t="shared" si="1340"/>
        <v>0</v>
      </c>
      <c r="AX1150" s="83">
        <f t="shared" si="1341"/>
        <v>1</v>
      </c>
      <c r="AY1150" s="83">
        <f t="shared" si="1342"/>
        <v>5</v>
      </c>
      <c r="AZ1150" s="83">
        <f t="shared" si="1343"/>
        <v>2</v>
      </c>
      <c r="BA1150" s="52"/>
      <c r="BB1150" s="52"/>
      <c r="BC1150" s="52"/>
      <c r="BD1150" s="52"/>
      <c r="BE1150" s="52"/>
      <c r="BF1150" s="52"/>
      <c r="BG1150" s="52"/>
      <c r="BH1150" s="52"/>
      <c r="BI1150" s="68" cm="1">
        <f t="array" ref="BI1150">IFERROR(INDEX(AW1150:BH1150,1,MATCH(2,1/(AW1150:BH1150&lt;&gt;""))),"")</f>
        <v>2</v>
      </c>
      <c r="BJ1150" s="68" cm="1">
        <f t="array" ref="BJ1150">IF(BM1150 = "", "",IFERROR(INDEX(AW1150:BH1150,1,MATCH(2,1/(AW1150:BH1150&lt;&gt;""),1)-1),""))</f>
        <v>5</v>
      </c>
      <c r="BK1150" s="59">
        <f t="shared" si="1344"/>
        <v>8</v>
      </c>
      <c r="BL1150" s="59" cm="1">
        <f t="array" ref="BL1150">IFERROR(SUM(AW1150:INDEX(AW1150:BH1150, MATCH(2, 1/(AW1150:BH1150&lt;&gt;""), 1) - 1))/_xlfn.XLOOKUP(F1150,Apuração!A:A,Apuração!B:B),0)</f>
        <v>0.5</v>
      </c>
      <c r="BM1150" s="55" cm="1">
        <f t="array" ref="BM1150">IFERROR(
   INDEX($AW$1:$BH$1,
      _xlfn.AGGREGATE(14, 6, COLUMN($AW$1:$BH$1)/(AW1150:BH1150&lt;&gt;""), 2) - COLUMN($AW$1) + 1
   ),
"")</f>
        <v>46082</v>
      </c>
      <c r="BN1150" s="55" cm="1">
        <f t="array" ref="BN1150">IFERROR(INDEX($AW$1:$BH$1,1,MATCH(2,1/(AW1150:BH1150&lt;&gt;""))),"")</f>
        <v>46113</v>
      </c>
      <c r="BO1150" s="53">
        <f ca="1">IFERROR(_xlfn.XLOOKUP(F1150,Apuração!A:A,Apuração!C:C)/_xlfn.XLOOKUP(F1150,Apuração!A:A,Apuração!B:B),0)</f>
        <v>0.41666666666666669</v>
      </c>
      <c r="BP1150" s="53">
        <f ca="1">IFERROR(_xlfn.XLOOKUP(F1150,Apuração!A:A,Apuração!D:D)/_xlfn.XLOOKUP(F1150,Apuração!A:A,Apuração!B:B),0)</f>
        <v>0.33333333333333331</v>
      </c>
      <c r="BQ1150" s="53">
        <f ca="1">IF(BK1150&gt;=BO1150,0,_xlfn.XLOOKUP(F1150,Apuração!A:A,Apuração!B:B)*(BO1150 + (1/_xlfn.XLOOKUP(F1150,Apuração!A:A,Apuração!B:B)) - BK1150))</f>
        <v>0</v>
      </c>
      <c r="BR1150" s="85">
        <f t="shared" ca="1" si="1345"/>
        <v>0</v>
      </c>
      <c r="BS1150" s="53">
        <f ca="1">IFERROR((_xlfn.XLOOKUP(F1150,Apuração!A:A,Apuração!C:C)+1)/_xlfn.XLOOKUP(F1150,Apuração!A:A,Apuração!B:B),0)</f>
        <v>0.5</v>
      </c>
    </row>
    <row r="1151" spans="1:71" ht="25.95" hidden="1" customHeight="1" x14ac:dyDescent="0.3">
      <c r="A1151" s="39" t="s">
        <v>33</v>
      </c>
      <c r="B1151" s="4" t="s">
        <v>81</v>
      </c>
      <c r="C1151" s="5" t="s">
        <v>209</v>
      </c>
      <c r="D1151" s="5" t="s">
        <v>212</v>
      </c>
      <c r="E1151" s="4" t="str" cm="1">
        <f t="array" ref="E1151">_xlfn.IFS(
F1151 = "A partir de Abril", "Aguardando Execução na Distribuidora",
A1151 = "CAPACITAÇÃO", "Em execução no Corporativo",
TRUE, "Em Execução na Distribuidora"
)</f>
        <v>Em Execução na Distribuidora</v>
      </c>
      <c r="F1151" s="4" t="str" cm="1">
        <f t="array" ref="F1151">_xlfn.IFS(
AG1151 &lt;&gt; "", "Jan-Dez/26",
AH1151 &lt;&gt; "", "Fev-Dez/26",
AI1151 &lt;&gt; "", "Mar-Dez/26", AJ1151 &lt;&gt; "", "Abr-Dez/26",
TRUE, "A partir de Junho"
)</f>
        <v>Jan-Dez/26</v>
      </c>
      <c r="G1151" s="4" t="s">
        <v>37</v>
      </c>
      <c r="H1151" s="7" t="s">
        <v>54</v>
      </c>
      <c r="I1151" s="9" t="s">
        <v>76</v>
      </c>
      <c r="J1151" s="8" t="str" cm="1">
        <f t="array" aca="1" ref="J1151" ca="1">_xlfn.LET(
  _xlpm.actual_value_month, INDEX(T1151:AE1151, MATCH(DATE(YEAR(TODAY()), MONTH(TODAY()), 1), $T$1:$AE$1, 0)),
  IF(_xlpm.actual_value_month &lt;&gt; "",_xlpm.actual_value_month &amp; " ações mensais", "")
)</f>
        <v/>
      </c>
      <c r="K1151" s="8" t="str" cm="1">
        <f t="array" ref="K1151">_xlfn.LET(
    _xlpm.sum_month, SUM(T1151:AE1151),
    IF(_xlpm.sum_month = 0, "", _xlpm.sum_month &amp; " público impactado no ano.")
)</f>
        <v/>
      </c>
      <c r="L1151" s="9" t="s">
        <v>76</v>
      </c>
      <c r="M1151" s="13">
        <v>1</v>
      </c>
      <c r="N1151" s="5" t="s">
        <v>51</v>
      </c>
      <c r="O1151" s="5" t="s">
        <v>52</v>
      </c>
      <c r="P1151" s="10" t="s">
        <v>44</v>
      </c>
      <c r="Q1151" s="10" t="s">
        <v>44</v>
      </c>
      <c r="R1151" s="11" t="s">
        <v>44</v>
      </c>
      <c r="S1151" s="11" t="s">
        <v>44</v>
      </c>
      <c r="T1151" s="22"/>
      <c r="U1151" s="22"/>
      <c r="V1151" s="22"/>
      <c r="W1151" s="22"/>
      <c r="X1151" s="22"/>
      <c r="Y1151" s="22"/>
      <c r="Z1151" s="22"/>
      <c r="AA1151" s="22"/>
      <c r="AB1151" s="22"/>
      <c r="AC1151" s="22"/>
      <c r="AD1151" s="22"/>
      <c r="AE1151" s="22"/>
      <c r="AG1151" s="146">
        <v>0</v>
      </c>
      <c r="AH1151" s="150">
        <v>47</v>
      </c>
      <c r="AI1151" s="150">
        <v>41</v>
      </c>
      <c r="AJ1151" s="146">
        <v>35</v>
      </c>
      <c r="AK1151" s="71"/>
      <c r="AL1151" s="71"/>
      <c r="AM1151" s="71"/>
      <c r="AN1151" s="71"/>
      <c r="AO1151" s="71"/>
      <c r="AP1151" s="71"/>
      <c r="AQ1151" s="71"/>
      <c r="AR1151" s="71"/>
      <c r="AS1151" s="94">
        <f t="shared" ca="1" si="1337"/>
        <v>0</v>
      </c>
      <c r="AT1151" s="95">
        <f t="shared" si="1338"/>
        <v>123</v>
      </c>
      <c r="AU1151" s="97">
        <f t="shared" si="1339"/>
        <v>123</v>
      </c>
      <c r="AW1151" s="83">
        <f t="shared" si="1340"/>
        <v>0</v>
      </c>
      <c r="AX1151" s="83">
        <f t="shared" si="1341"/>
        <v>47</v>
      </c>
      <c r="AY1151" s="83">
        <f t="shared" si="1342"/>
        <v>41</v>
      </c>
      <c r="AZ1151" s="83">
        <f t="shared" si="1343"/>
        <v>35</v>
      </c>
      <c r="BA1151" s="52"/>
      <c r="BB1151" s="52"/>
      <c r="BC1151" s="52"/>
      <c r="BD1151" s="52"/>
      <c r="BE1151" s="52"/>
      <c r="BF1151" s="52"/>
      <c r="BG1151" s="52"/>
      <c r="BH1151" s="52"/>
      <c r="BI1151" s="68" cm="1">
        <f t="array" ref="BI1151">IFERROR(INDEX(AW1151:BH1151,1,MATCH(2,1/(AW1151:BH1151&lt;&gt;""))),"")</f>
        <v>35</v>
      </c>
      <c r="BJ1151" s="68" cm="1">
        <f t="array" ref="BJ1151">IF(BM1151 = "", "",IFERROR(INDEX(AW1151:BH1151,1,MATCH(2,1/(AW1151:BH1151&lt;&gt;""),1)-1),""))</f>
        <v>41</v>
      </c>
      <c r="BK1151" s="59">
        <f t="shared" si="1344"/>
        <v>123</v>
      </c>
      <c r="BL1151" s="59" cm="1">
        <f t="array" ref="BL1151">IFERROR(SUM(AW1151:INDEX(AW1151:BH1151, MATCH(2, 1/(AW1151:BH1151&lt;&gt;""), 1) - 1))/_xlfn.XLOOKUP(F1151,Apuração!A:A,Apuração!B:B),0)</f>
        <v>7.333333333333333</v>
      </c>
      <c r="BM1151" s="55" cm="1">
        <f t="array" ref="BM1151">IFERROR(
   INDEX($AW$1:$BH$1,
      _xlfn.AGGREGATE(14, 6, COLUMN($AW$1:$BH$1)/(AW1151:BH1151&lt;&gt;""), 2) - COLUMN($AW$1) + 1
   ),
"")</f>
        <v>46082</v>
      </c>
      <c r="BN1151" s="55" cm="1">
        <f t="array" ref="BN1151">IFERROR(INDEX($AW$1:$BH$1,1,MATCH(2,1/(AW1151:BH1151&lt;&gt;""))),"")</f>
        <v>46113</v>
      </c>
      <c r="BO1151" s="53">
        <f ca="1">IFERROR(_xlfn.XLOOKUP(F1151,Apuração!A:A,Apuração!C:C)/_xlfn.XLOOKUP(F1151,Apuração!A:A,Apuração!B:B),0)</f>
        <v>0.41666666666666669</v>
      </c>
      <c r="BP1151" s="53">
        <f ca="1">IFERROR(_xlfn.XLOOKUP(F1151,Apuração!A:A,Apuração!D:D)/_xlfn.XLOOKUP(F1151,Apuração!A:A,Apuração!B:B),0)</f>
        <v>0.33333333333333331</v>
      </c>
      <c r="BQ1151" s="53">
        <f ca="1">IF(BK1151&gt;=BO1151,0,_xlfn.XLOOKUP(F1151,Apuração!A:A,Apuração!B:B)*(BO1151 + (1/_xlfn.XLOOKUP(F1151,Apuração!A:A,Apuração!B:B)) - BK1151))</f>
        <v>0</v>
      </c>
      <c r="BR1151" s="85">
        <f t="shared" ca="1" si="1345"/>
        <v>0</v>
      </c>
      <c r="BS1151" s="53">
        <f ca="1">IFERROR((_xlfn.XLOOKUP(F1151,Apuração!A:A,Apuração!C:C)+1)/_xlfn.XLOOKUP(F1151,Apuração!A:A,Apuração!B:B),0)</f>
        <v>0.5</v>
      </c>
    </row>
    <row r="1152" spans="1:71" ht="25.95" hidden="1" customHeight="1" x14ac:dyDescent="0.3">
      <c r="A1152" s="39" t="s">
        <v>33</v>
      </c>
      <c r="B1152" s="4" t="s">
        <v>81</v>
      </c>
      <c r="C1152" s="5" t="s">
        <v>209</v>
      </c>
      <c r="D1152" s="5" t="s">
        <v>213</v>
      </c>
      <c r="E1152" s="4" t="str" cm="1">
        <f t="array" ref="E1152">_xlfn.IFS(
F1152 = "A partir de Abril", "Aguardando Execução na Distribuidora",
A1152 = "CAPACITAÇÃO", "Em execução no Corporativo",
TRUE, "Em Execução na Distribuidora"
)</f>
        <v>Em Execução na Distribuidora</v>
      </c>
      <c r="F1152" s="4" t="str" cm="1">
        <f t="array" ref="F1152">_xlfn.IFS(
AG1152 &lt;&gt; "", "Jan-Dez/26",
AH1152 &lt;&gt; "", "Fev-Dez/26",
AI1152 &lt;&gt; "", "Mar-Dez/26", AJ1152 &lt;&gt; "", "Abr-Dez/26",
TRUE, "A partir de Junho"
)</f>
        <v>Jan-Dez/26</v>
      </c>
      <c r="G1152" s="4" t="s">
        <v>37</v>
      </c>
      <c r="H1152" s="7" t="s">
        <v>54</v>
      </c>
      <c r="I1152" s="9" t="s">
        <v>76</v>
      </c>
      <c r="J1152" s="8" t="str" cm="1">
        <f t="array" aca="1" ref="J1152" ca="1">_xlfn.LET(
  _xlpm.actual_value_month, INDEX(T1152:AE1152, MATCH(DATE(YEAR(TODAY()), MONTH(TODAY()), 1), $T$1:$AE$1, 0)),
  IF(_xlpm.actual_value_month &lt;&gt; "",_xlpm.actual_value_month &amp; " ações mensais", "")
)</f>
        <v/>
      </c>
      <c r="K1152" s="8" t="str" cm="1">
        <f t="array" ref="K1152">_xlfn.LET(
    _xlpm.sum_month, SUM(T1152:AE1152),
    IF(_xlpm.sum_month = 0, "", _xlpm.sum_month &amp; " público impactado no ano.")
)</f>
        <v/>
      </c>
      <c r="L1152" s="9" t="s">
        <v>76</v>
      </c>
      <c r="M1152" s="13">
        <v>1</v>
      </c>
      <c r="N1152" s="5" t="s">
        <v>51</v>
      </c>
      <c r="O1152" s="5" t="s">
        <v>52</v>
      </c>
      <c r="P1152" s="10" t="s">
        <v>44</v>
      </c>
      <c r="Q1152" s="10" t="s">
        <v>44</v>
      </c>
      <c r="R1152" s="11" t="s">
        <v>44</v>
      </c>
      <c r="S1152" s="11" t="s">
        <v>44</v>
      </c>
      <c r="T1152" s="22"/>
      <c r="U1152" s="22"/>
      <c r="V1152" s="22"/>
      <c r="W1152" s="22"/>
      <c r="X1152" s="22"/>
      <c r="Y1152" s="22"/>
      <c r="Z1152" s="22"/>
      <c r="AA1152" s="22"/>
      <c r="AB1152" s="22"/>
      <c r="AC1152" s="22"/>
      <c r="AD1152" s="22"/>
      <c r="AE1152" s="22"/>
      <c r="AG1152" s="146">
        <v>5</v>
      </c>
      <c r="AH1152" s="150">
        <v>14</v>
      </c>
      <c r="AI1152" s="150">
        <v>9</v>
      </c>
      <c r="AJ1152" s="146">
        <v>7</v>
      </c>
      <c r="AK1152" s="71"/>
      <c r="AL1152" s="71"/>
      <c r="AM1152" s="71"/>
      <c r="AN1152" s="71"/>
      <c r="AO1152" s="71"/>
      <c r="AP1152" s="71"/>
      <c r="AQ1152" s="71"/>
      <c r="AR1152" s="71"/>
      <c r="AS1152" s="94">
        <f t="shared" ca="1" si="1337"/>
        <v>0</v>
      </c>
      <c r="AT1152" s="95">
        <f t="shared" si="1338"/>
        <v>35</v>
      </c>
      <c r="AU1152" s="97">
        <f t="shared" si="1339"/>
        <v>35</v>
      </c>
      <c r="AW1152" s="83">
        <f t="shared" si="1340"/>
        <v>5</v>
      </c>
      <c r="AX1152" s="83">
        <f t="shared" si="1341"/>
        <v>14</v>
      </c>
      <c r="AY1152" s="83">
        <f t="shared" si="1342"/>
        <v>9</v>
      </c>
      <c r="AZ1152" s="83">
        <f t="shared" si="1343"/>
        <v>7</v>
      </c>
      <c r="BA1152" s="52"/>
      <c r="BB1152" s="52"/>
      <c r="BC1152" s="52"/>
      <c r="BD1152" s="52"/>
      <c r="BE1152" s="52"/>
      <c r="BF1152" s="52"/>
      <c r="BG1152" s="52"/>
      <c r="BH1152" s="52"/>
      <c r="BI1152" s="68" cm="1">
        <f t="array" ref="BI1152">IFERROR(INDEX(AW1152:BH1152,1,MATCH(2,1/(AW1152:BH1152&lt;&gt;""))),"")</f>
        <v>7</v>
      </c>
      <c r="BJ1152" s="68" cm="1">
        <f t="array" ref="BJ1152">IF(BM1152 = "", "",IFERROR(INDEX(AW1152:BH1152,1,MATCH(2,1/(AW1152:BH1152&lt;&gt;""),1)-1),""))</f>
        <v>9</v>
      </c>
      <c r="BK1152" s="59">
        <f t="shared" si="1344"/>
        <v>35</v>
      </c>
      <c r="BL1152" s="59" cm="1">
        <f t="array" ref="BL1152">IFERROR(SUM(AW1152:INDEX(AW1152:BH1152, MATCH(2, 1/(AW1152:BH1152&lt;&gt;""), 1) - 1))/_xlfn.XLOOKUP(F1152,Apuração!A:A,Apuração!B:B),0)</f>
        <v>2.3333333333333335</v>
      </c>
      <c r="BM1152" s="55" cm="1">
        <f t="array" ref="BM1152">IFERROR(
   INDEX($AW$1:$BH$1,
      _xlfn.AGGREGATE(14, 6, COLUMN($AW$1:$BH$1)/(AW1152:BH1152&lt;&gt;""), 2) - COLUMN($AW$1) + 1
   ),
"")</f>
        <v>46082</v>
      </c>
      <c r="BN1152" s="55" cm="1">
        <f t="array" ref="BN1152">IFERROR(INDEX($AW$1:$BH$1,1,MATCH(2,1/(AW1152:BH1152&lt;&gt;""))),"")</f>
        <v>46113</v>
      </c>
      <c r="BO1152" s="53">
        <f ca="1">IFERROR(_xlfn.XLOOKUP(F1152,Apuração!A:A,Apuração!C:C)/_xlfn.XLOOKUP(F1152,Apuração!A:A,Apuração!B:B),0)</f>
        <v>0.41666666666666669</v>
      </c>
      <c r="BP1152" s="53">
        <f ca="1">IFERROR(_xlfn.XLOOKUP(F1152,Apuração!A:A,Apuração!D:D)/_xlfn.XLOOKUP(F1152,Apuração!A:A,Apuração!B:B),0)</f>
        <v>0.33333333333333331</v>
      </c>
      <c r="BQ1152" s="53">
        <f ca="1">IF(BK1152&gt;=BO1152,0,_xlfn.XLOOKUP(F1152,Apuração!A:A,Apuração!B:B)*(BO1152 + (1/_xlfn.XLOOKUP(F1152,Apuração!A:A,Apuração!B:B)) - BK1152))</f>
        <v>0</v>
      </c>
      <c r="BR1152" s="85">
        <f t="shared" ca="1" si="1345"/>
        <v>0</v>
      </c>
      <c r="BS1152" s="53">
        <f ca="1">IFERROR((_xlfn.XLOOKUP(F1152,Apuração!A:A,Apuração!C:C)+1)/_xlfn.XLOOKUP(F1152,Apuração!A:A,Apuração!B:B),0)</f>
        <v>0.5</v>
      </c>
    </row>
    <row r="1153" spans="1:71" ht="25.95" hidden="1" customHeight="1" x14ac:dyDescent="0.3">
      <c r="A1153" s="3" t="s">
        <v>33</v>
      </c>
      <c r="B1153" s="4" t="s">
        <v>84</v>
      </c>
      <c r="C1153" s="5" t="s">
        <v>209</v>
      </c>
      <c r="D1153" s="5" t="s">
        <v>36</v>
      </c>
      <c r="E1153" s="4" t="s">
        <v>96</v>
      </c>
      <c r="F1153" s="4" t="str" cm="1">
        <f t="array" ref="F1153">_xlfn.IFS(
AG1153 &lt;&gt; "", "Jan-Dez/26",
AH1153 &lt;&gt; "", "Fev-Dez/26",
AI1153 &lt;&gt; "", "Mar-Dez/26", AJ1153 &lt;&gt; "", "Abr-Dez/26",
TRUE, "A partir de Junho"
)</f>
        <v>A partir de Junho</v>
      </c>
      <c r="G1153" s="4" t="s">
        <v>62</v>
      </c>
      <c r="H1153" s="7" t="s">
        <v>38</v>
      </c>
      <c r="I1153" s="8" t="s">
        <v>55</v>
      </c>
      <c r="J1153" s="8" t="str" cm="1">
        <f t="array" aca="1" ref="J1153" ca="1">_xlfn.LET(
  _xlpm.actual_value_month, INDEX(T1153:AE1153, MATCH(DATE(YEAR(TODAY()), MONTH(TODAY()), 1), $T$1:$AE$1, 0)),
  IF(_xlpm.actual_value_month &lt;&gt; "",_xlpm.actual_value_month &amp; " ações mensais", "")
)</f>
        <v>5 ações mensais</v>
      </c>
      <c r="K1153" s="14" t="str" cm="1">
        <f t="array" ref="K1153">_xlfn.LET(
    _xlpm.sum_month, SUM(T1153:AE1153),
    IF(_xlpm.sum_month = 0, "", _xlpm.sum_month &amp; " eventos realizados")
)</f>
        <v>45 eventos realizados</v>
      </c>
      <c r="L1153" s="9" t="s">
        <v>56</v>
      </c>
      <c r="M1153" s="13" t="s">
        <v>86</v>
      </c>
      <c r="N1153" s="5" t="s">
        <v>42</v>
      </c>
      <c r="O1153" s="5" t="s">
        <v>43</v>
      </c>
      <c r="P1153" s="10" t="s">
        <v>44</v>
      </c>
      <c r="Q1153" s="10" t="s">
        <v>44</v>
      </c>
      <c r="R1153" s="11" t="s">
        <v>44</v>
      </c>
      <c r="S1153" s="11" t="s">
        <v>44</v>
      </c>
      <c r="T1153" s="22"/>
      <c r="U1153" s="22"/>
      <c r="V1153" s="22"/>
      <c r="W1153" s="22">
        <v>5</v>
      </c>
      <c r="X1153" s="22">
        <v>5</v>
      </c>
      <c r="Y1153" s="22">
        <v>5</v>
      </c>
      <c r="Z1153" s="22">
        <v>5</v>
      </c>
      <c r="AA1153" s="22">
        <v>5</v>
      </c>
      <c r="AB1153" s="22">
        <v>5</v>
      </c>
      <c r="AC1153" s="22">
        <v>5</v>
      </c>
      <c r="AD1153" s="22">
        <v>5</v>
      </c>
      <c r="AE1153" s="22">
        <v>5</v>
      </c>
      <c r="AG1153" s="71"/>
      <c r="AH1153" s="71"/>
      <c r="AI1153" s="71"/>
      <c r="AJ1153" s="71"/>
      <c r="AK1153" s="71"/>
      <c r="AL1153" s="71"/>
      <c r="AM1153" s="71"/>
      <c r="AN1153" s="71"/>
      <c r="AO1153" s="71"/>
      <c r="AP1153" s="71"/>
      <c r="AQ1153" s="71"/>
      <c r="AR1153" s="71"/>
      <c r="AS1153" s="94">
        <f ca="1">IF(MONTH(TODAY())=3,SUM(T1153:U1153),IF(MONTH(TODAY())=4,SUM(T1153:V1153),IF(MONTH(TODAY())=5,SUM(T1153:W1153),IF(MONTH(TODAY())=6,SUM(T1153:X1153),IF(MONTH(TODAY())=7,SUM(T1153:Y1153),IF(MONTH(TODAY())=8,SUM(T1153:Z1153),IF(MONTH(TODAY())=9,SUM(T1153:AA1153),IF(MONTH(TODAY())=10,SUM(T1153:AB1153),IF(MONTH(TODAY())=11,SUM(T1153:AC1153),IF(MONTH(TODAY())=12,SUM(T1153:AD1153),IF(MONTH(TODAY())=1,SUM(T1153:AE1153),T1153)))))))))))</f>
        <v>10</v>
      </c>
      <c r="AT1153" s="95">
        <f>SUM(IF(AW1153&lt;1.15,AG1153,1.15*T1153),IF(AX1153&lt;1.15,AH1153,1.15*U1153),IF(AY1153&lt;1.15,AI1153,1.15*V1153),IF(AZ1153&lt;1.15,AJ1153,1.15*W1153),IF(BA1153&lt;1.15,AK1153,1.15*X1153),IF(BB1153&lt;1.15,AL1153,1.15*Y1153),IF(BC1153&lt;1.15,AM1153,1.15*Z1153),IF(BD1153&lt;1.15,AN1153,1.15*AA1153),IF(BE1153&lt;1.15,AO1153,1.15*AB1153),IF(BF1153&lt;1.15,AP1153,1.15*AC1153),IF(BG1153&lt;1.15,AQ1153,1.15*AD1153),IF(BH1153&lt;1.15,AR1153,1.15*AE1153))</f>
        <v>0</v>
      </c>
      <c r="AU1153" s="97">
        <f>SUM(AG1153:AR1153)</f>
        <v>0</v>
      </c>
      <c r="AW1153" s="51">
        <f>IFERROR(IF(AG1153="",0,AG1153/T1153),0)</f>
        <v>0</v>
      </c>
      <c r="AX1153" s="51">
        <f>IFERROR(IF(AH1153="",0,AH1153/U1153),0)</f>
        <v>0</v>
      </c>
      <c r="AY1153" s="51">
        <f>IFERROR(IF(AI1153="",0,AI1153/V1153),0)</f>
        <v>0</v>
      </c>
      <c r="AZ1153" s="51">
        <f>IFERROR(IF(AJ1153="",0,AJ1153/W1153),0)</f>
        <v>0</v>
      </c>
      <c r="BA1153" s="51"/>
      <c r="BB1153" s="51"/>
      <c r="BC1153" s="51"/>
      <c r="BD1153" s="51"/>
      <c r="BE1153" s="51"/>
      <c r="BF1153" s="51"/>
      <c r="BG1153" s="51"/>
      <c r="BH1153" s="51"/>
      <c r="BI1153" s="65" cm="1">
        <f t="array" ref="BI1153">IFERROR(INDEX(AW1153:BH1153,1,MATCH(2,1/(AW1153:BH1153&lt;&gt;""))),"")</f>
        <v>0</v>
      </c>
      <c r="BJ1153" s="68" cm="1">
        <f t="array" ref="BJ1153">IF(BM1153 = "", "",IFERROR(INDEX(AW1153:BH1153,1,MATCH(2,1/(AW1153:BH1153&lt;&gt;""),1)-1),""))</f>
        <v>0</v>
      </c>
      <c r="BK1153" s="58">
        <f>IF((IF(AW1153&gt;=115%,115%,AW1153) + IF(AX1153&gt;=115%,115%,AX1153) + IF(AY1153&gt;=115%,115%,AY1153) + (IF(AZ1153&gt;=115%,115%,AZ1153) + IF(BA1153&gt;=115%,115%,BA1153) + IF(BB1153&gt;=115%,115%,BB1153) + IF(BC1153&gt;=115%,115%,BC1153) + IF(BD1153&gt;=115%,115%,BD1153) + IF(BE1153&gt;=115%,115%,BE1153) + IF(BF1153&gt;=115%,115%,BF1153) + IF(BG1153&gt;=115%,115%,BG1153) + IF(BH1153&gt;=115%,115%,BH1153)))/_xlfn.XLOOKUP(F1153,Apuração!A:A,Apuração!B:B)&gt;=1.15,1.15,((IF(AZ1153&gt;=115%,115%,AZ1153) + IF(AX1153&gt;=115%,115%,AX1153) + IF(AY1153&gt;=115%,115%,AY1153) + (IF(AW1153&gt;=115%,115%,AW1153) + IF(BA1153&gt;=115%,115%,BA1153) + IF(BB1153&gt;=115%,115%,BB1153) + IF(BC1153&gt;=115%,115%,BC1153) + IF(BD1153&gt;=115%,115%,BD1153) + IF(BE1153&gt;=115%,115%,BE1153) + IF(BF1153&gt;=115%,115%,BF1153) + IF(BG1153&gt;=115%,115%,BG1153) + IF(BH1153&gt;=115%,115%,BH1153)))/_xlfn.XLOOKUP(F1153,Apuração!A:A,Apuração!B:B)))</f>
        <v>0</v>
      </c>
      <c r="BL1153" s="58" cm="1">
        <f t="array" aca="1" ref="BL1153" ca="1">IF(SUM(IFERROR(IF(INDEX(AW1153:INDEX(AW1153:BH1153, MATCH(2, 1/(AW1153:BH1153&lt;&gt;""), 1)-1), ROW(INDIRECT("1:" &amp; MATCH(2, 1/(AW1153:BH1153&lt;&gt;""), 1)-1))) &gt;= 115%, 115%, INDEX(AW1153:INDEX(AW1153:BH1153, MATCH(2, 1/(AW1153:BH1153&lt;&gt;""), 1)-1), ROW(INDIRECT("1:" &amp; MATCH(2, 1/(AW1153:BH1153&lt;&gt;""), 1)-1)))), 0))/_xlfn.XLOOKUP(F1153,Apuração!A:A,Apuração!B:B)&gt;=1.15,1.15,SUM(IFERROR(IF(INDEX(AW1153:INDEX(AW1153:BH1153, MATCH(2, 1/(AW1153:BH1153&lt;&gt;""), 1)-1), ROW(INDIRECT("1:" &amp; MATCH(2, 1/(AW1153:BH1153&lt;&gt;""), 1)-1))) &gt;= 115%, 115%, INDEX(AW1153:INDEX(AW1153:BH1153, MATCH(2, 1/(AW1153:BH1153&lt;&gt;""), 1)-1), ROW(INDIRECT("1:" &amp; MATCH(2, 1/(AW1153:BH1153&lt;&gt;""), 1)-1)))), 0))/_xlfn.XLOOKUP(F1153,Apuração!A:A,Apuração!B:B))</f>
        <v>0</v>
      </c>
      <c r="BM1153" s="55" cm="1">
        <f t="array" ref="BM1153">IFERROR(
   INDEX($AW$1:$BH$1,
      _xlfn.AGGREGATE(14, 6, COLUMN($AW$1:$BH$1)/(AW1153:BH1153&lt;&gt;""), 2) - COLUMN($AW$1) + 1
   ),
"")</f>
        <v>46082</v>
      </c>
      <c r="BN1153" s="55" cm="1">
        <f t="array" ref="BN1153">IFERROR(INDEX($AW$1:$BH$1,1,MATCH(2,1/(AW1153:BH1153&lt;&gt;""))),"")</f>
        <v>46113</v>
      </c>
      <c r="BO1153" s="53">
        <f ca="1">IFERROR(_xlfn.XLOOKUP(F1153,Apuração!A:A,Apuração!C:C)/_xlfn.XLOOKUP(F1153,Apuração!A:A,Apuração!B:B),0)</f>
        <v>0</v>
      </c>
      <c r="BP1153" s="53">
        <f ca="1">IFERROR(_xlfn.XLOOKUP(F1153,Apuração!A:A,Apuração!D:D)/_xlfn.XLOOKUP(F1153,Apuração!A:A,Apuração!B:B),0)</f>
        <v>0</v>
      </c>
      <c r="BQ1153" s="53">
        <f ca="1">IF(BK1153&gt;=BO1153,0,_xlfn.XLOOKUP(F1153,Apuração!A:A,Apuração!B:B)*(BO1153 + (1/_xlfn.XLOOKUP(F1153,Apuração!A:A,Apuração!B:B)) - BK1153))</f>
        <v>0</v>
      </c>
      <c r="BR1153" s="85">
        <f ca="1">IF(BQ1153=0,0,BQ1153*Z1153)</f>
        <v>0</v>
      </c>
      <c r="BS1153" s="53">
        <f ca="1">IFERROR((_xlfn.XLOOKUP(F1153,Apuração!A:A,Apuração!C:C)+1)/_xlfn.XLOOKUP(F1153,Apuração!A:A,Apuração!B:B),0)</f>
        <v>0.14285714285714285</v>
      </c>
    </row>
    <row r="1154" spans="1:71" ht="25.95" hidden="1" customHeight="1" x14ac:dyDescent="0.3">
      <c r="A1154" s="3" t="s">
        <v>33</v>
      </c>
      <c r="B1154" s="4" t="s">
        <v>84</v>
      </c>
      <c r="C1154" s="5" t="s">
        <v>209</v>
      </c>
      <c r="D1154" s="5" t="s">
        <v>210</v>
      </c>
      <c r="E1154" s="4" t="s">
        <v>96</v>
      </c>
      <c r="F1154" s="4" t="str" cm="1">
        <f t="array" ref="F1154">_xlfn.IFS(
AG1154 &lt;&gt; "", "Jan-Dez/26",
AH1154 &lt;&gt; "", "Fev-Dez/26",
AI1154 &lt;&gt; "", "Mar-Dez/26", AJ1154 &lt;&gt; "", "Abr-Dez/26",
TRUE, "A partir de Junho"
)</f>
        <v>A partir de Junho</v>
      </c>
      <c r="G1154" s="4" t="s">
        <v>62</v>
      </c>
      <c r="H1154" s="7" t="s">
        <v>38</v>
      </c>
      <c r="I1154" s="8" t="s">
        <v>55</v>
      </c>
      <c r="J1154" s="8" t="str" cm="1">
        <f t="array" aca="1" ref="J1154" ca="1">_xlfn.LET(
  _xlpm.actual_value_month, INDEX(T1154:AE1154, MATCH(DATE(YEAR(TODAY()), MONTH(TODAY()), 1), $T$1:$AE$1, 0)),
  IF(_xlpm.actual_value_month &lt;&gt; "",_xlpm.actual_value_month &amp; " ações mensais", "")
)</f>
        <v>1 ações mensais</v>
      </c>
      <c r="K1154" s="14" t="str" cm="1">
        <f t="array" ref="K1154">_xlfn.LET(
    _xlpm.sum_month, SUM(T1154:AE1154),
    IF(_xlpm.sum_month = 0, "", _xlpm.sum_month &amp; " eventos realizados")
)</f>
        <v>9 eventos realizados</v>
      </c>
      <c r="L1154" s="9" t="s">
        <v>56</v>
      </c>
      <c r="M1154" s="13" t="s">
        <v>86</v>
      </c>
      <c r="N1154" s="5" t="s">
        <v>42</v>
      </c>
      <c r="O1154" s="5" t="s">
        <v>43</v>
      </c>
      <c r="P1154" s="10" t="s">
        <v>44</v>
      </c>
      <c r="Q1154" s="10" t="s">
        <v>44</v>
      </c>
      <c r="R1154" s="11" t="s">
        <v>44</v>
      </c>
      <c r="S1154" s="11" t="s">
        <v>44</v>
      </c>
      <c r="T1154" s="22"/>
      <c r="U1154" s="22"/>
      <c r="V1154" s="22"/>
      <c r="W1154" s="143">
        <v>1</v>
      </c>
      <c r="X1154" s="143">
        <v>1</v>
      </c>
      <c r="Y1154" s="143">
        <v>1</v>
      </c>
      <c r="Z1154" s="143">
        <v>1</v>
      </c>
      <c r="AA1154" s="143">
        <v>1</v>
      </c>
      <c r="AB1154" s="143">
        <v>1</v>
      </c>
      <c r="AC1154" s="143">
        <v>1</v>
      </c>
      <c r="AD1154" s="143">
        <v>1</v>
      </c>
      <c r="AE1154" s="143">
        <v>1</v>
      </c>
      <c r="AG1154" s="71"/>
      <c r="AH1154" s="71"/>
      <c r="AI1154" s="71"/>
      <c r="AJ1154" s="71"/>
      <c r="AK1154" s="71"/>
      <c r="AL1154" s="71"/>
      <c r="AM1154" s="71"/>
      <c r="AN1154" s="71"/>
      <c r="AO1154" s="71"/>
      <c r="AP1154" s="71"/>
      <c r="AQ1154" s="71"/>
      <c r="AR1154" s="71"/>
      <c r="AS1154" s="94">
        <f t="shared" ref="AS1154:AS1158" ca="1" si="1346">IF(MONTH(TODAY())=3,SUM(T1154:U1154),IF(MONTH(TODAY())=4,SUM(T1154:V1154),IF(MONTH(TODAY())=5,SUM(T1154:W1154),IF(MONTH(TODAY())=6,SUM(T1154:X1154),IF(MONTH(TODAY())=7,SUM(T1154:Y1154),IF(MONTH(TODAY())=8,SUM(T1154:Z1154),IF(MONTH(TODAY())=9,SUM(T1154:AA1154),IF(MONTH(TODAY())=10,SUM(T1154:AB1154),IF(MONTH(TODAY())=11,SUM(T1154:AC1154),IF(MONTH(TODAY())=12,SUM(T1154:AD1154),IF(MONTH(TODAY())=1,SUM(T1154:AE1154),T1154)))))))))))</f>
        <v>2</v>
      </c>
      <c r="AT1154" s="95">
        <f t="shared" ref="AT1154:AT1158" si="1347">SUM(IF(AW1154&lt;1.15,AG1154,1.15*T1154),IF(AX1154&lt;1.15,AH1154,1.15*U1154),IF(AY1154&lt;1.15,AI1154,1.15*V1154),IF(AZ1154&lt;1.15,AJ1154,1.15*W1154),IF(BA1154&lt;1.15,AK1154,1.15*X1154),IF(BB1154&lt;1.15,AL1154,1.15*Y1154),IF(BC1154&lt;1.15,AM1154,1.15*Z1154),IF(BD1154&lt;1.15,AN1154,1.15*AA1154),IF(BE1154&lt;1.15,AO1154,1.15*AB1154),IF(BF1154&lt;1.15,AP1154,1.15*AC1154),IF(BG1154&lt;1.15,AQ1154,1.15*AD1154),IF(BH1154&lt;1.15,AR1154,1.15*AE1154))</f>
        <v>0</v>
      </c>
      <c r="AU1154" s="97">
        <f t="shared" ref="AU1154:AU1158" si="1348">SUM(AG1154:AR1154)</f>
        <v>0</v>
      </c>
      <c r="AW1154" s="51">
        <f t="shared" ref="AW1154:AW1158" si="1349">IFERROR(IF(AG1154="",0,AG1154/T1154),0)</f>
        <v>0</v>
      </c>
      <c r="AX1154" s="51">
        <f t="shared" ref="AX1154:AX1158" si="1350">IFERROR(IF(AH1154="",0,AH1154/U1154),0)</f>
        <v>0</v>
      </c>
      <c r="AY1154" s="51">
        <f t="shared" ref="AY1154:AY1158" si="1351">IFERROR(IF(AI1154="",0,AI1154/V1154),0)</f>
        <v>0</v>
      </c>
      <c r="AZ1154" s="51">
        <f t="shared" ref="AZ1154:AZ1158" si="1352">IFERROR(IF(AJ1154="",0,AJ1154/W1154),0)</f>
        <v>0</v>
      </c>
      <c r="BA1154" s="51"/>
      <c r="BB1154" s="51"/>
      <c r="BC1154" s="51"/>
      <c r="BD1154" s="51"/>
      <c r="BE1154" s="51"/>
      <c r="BF1154" s="51"/>
      <c r="BG1154" s="51"/>
      <c r="BH1154" s="51"/>
      <c r="BI1154" s="65" cm="1">
        <f t="array" ref="BI1154">IFERROR(INDEX(AW1154:BH1154,1,MATCH(2,1/(AW1154:BH1154&lt;&gt;""))),"")</f>
        <v>0</v>
      </c>
      <c r="BJ1154" s="68" cm="1">
        <f t="array" ref="BJ1154">IF(BM1154 = "", "",IFERROR(INDEX(AW1154:BH1154,1,MATCH(2,1/(AW1154:BH1154&lt;&gt;""),1)-1),""))</f>
        <v>0</v>
      </c>
      <c r="BK1154" s="58">
        <f>IF((IF(AW1154&gt;=115%,115%,AW1154) + IF(AX1154&gt;=115%,115%,AX1154) + IF(AY1154&gt;=115%,115%,AY1154) + (IF(AZ1154&gt;=115%,115%,AZ1154) + IF(BA1154&gt;=115%,115%,BA1154) + IF(BB1154&gt;=115%,115%,BB1154) + IF(BC1154&gt;=115%,115%,BC1154) + IF(BD1154&gt;=115%,115%,BD1154) + IF(BE1154&gt;=115%,115%,BE1154) + IF(BF1154&gt;=115%,115%,BF1154) + IF(BG1154&gt;=115%,115%,BG1154) + IF(BH1154&gt;=115%,115%,BH1154)))/_xlfn.XLOOKUP(F1154,Apuração!A:A,Apuração!B:B)&gt;=1.15,1.15,((IF(AZ1154&gt;=115%,115%,AZ1154) + IF(AX1154&gt;=115%,115%,AX1154) + IF(AY1154&gt;=115%,115%,AY1154) + (IF(AW1154&gt;=115%,115%,AW1154) + IF(BA1154&gt;=115%,115%,BA1154) + IF(BB1154&gt;=115%,115%,BB1154) + IF(BC1154&gt;=115%,115%,BC1154) + IF(BD1154&gt;=115%,115%,BD1154) + IF(BE1154&gt;=115%,115%,BE1154) + IF(BF1154&gt;=115%,115%,BF1154) + IF(BG1154&gt;=115%,115%,BG1154) + IF(BH1154&gt;=115%,115%,BH1154)))/_xlfn.XLOOKUP(F1154,Apuração!A:A,Apuração!B:B)))</f>
        <v>0</v>
      </c>
      <c r="BL1154" s="58" cm="1">
        <f t="array" aca="1" ref="BL1154" ca="1">IF(SUM(IFERROR(IF(INDEX(AW1154:INDEX(AW1154:BH1154, MATCH(2, 1/(AW1154:BH1154&lt;&gt;""), 1)-1), ROW(INDIRECT("1:" &amp; MATCH(2, 1/(AW1154:BH1154&lt;&gt;""), 1)-1))) &gt;= 115%, 115%, INDEX(AW1154:INDEX(AW1154:BH1154, MATCH(2, 1/(AW1154:BH1154&lt;&gt;""), 1)-1), ROW(INDIRECT("1:" &amp; MATCH(2, 1/(AW1154:BH1154&lt;&gt;""), 1)-1)))), 0))/_xlfn.XLOOKUP(F1154,Apuração!A:A,Apuração!B:B)&gt;=1.15,1.15,SUM(IFERROR(IF(INDEX(AW1154:INDEX(AW1154:BH1154, MATCH(2, 1/(AW1154:BH1154&lt;&gt;""), 1)-1), ROW(INDIRECT("1:" &amp; MATCH(2, 1/(AW1154:BH1154&lt;&gt;""), 1)-1))) &gt;= 115%, 115%, INDEX(AW1154:INDEX(AW1154:BH1154, MATCH(2, 1/(AW1154:BH1154&lt;&gt;""), 1)-1), ROW(INDIRECT("1:" &amp; MATCH(2, 1/(AW1154:BH1154&lt;&gt;""), 1)-1)))), 0))/_xlfn.XLOOKUP(F1154,Apuração!A:A,Apuração!B:B))</f>
        <v>0</v>
      </c>
      <c r="BM1154" s="55" cm="1">
        <f t="array" ref="BM1154">IFERROR(
   INDEX($AW$1:$BH$1,
      _xlfn.AGGREGATE(14, 6, COLUMN($AW$1:$BH$1)/(AW1154:BH1154&lt;&gt;""), 2) - COLUMN($AW$1) + 1
   ),
"")</f>
        <v>46082</v>
      </c>
      <c r="BN1154" s="55" cm="1">
        <f t="array" ref="BN1154">IFERROR(INDEX($AW$1:$BH$1,1,MATCH(2,1/(AW1154:BH1154&lt;&gt;""))),"")</f>
        <v>46113</v>
      </c>
      <c r="BO1154" s="53">
        <f ca="1">IFERROR(_xlfn.XLOOKUP(F1154,Apuração!A:A,Apuração!C:C)/_xlfn.XLOOKUP(F1154,Apuração!A:A,Apuração!B:B),0)</f>
        <v>0</v>
      </c>
      <c r="BP1154" s="53">
        <f ca="1">IFERROR(_xlfn.XLOOKUP(F1154,Apuração!A:A,Apuração!D:D)/_xlfn.XLOOKUP(F1154,Apuração!A:A,Apuração!B:B),0)</f>
        <v>0</v>
      </c>
      <c r="BQ1154" s="53">
        <f ca="1">IF(BK1154&gt;=BO1154,0,_xlfn.XLOOKUP(F1154,Apuração!A:A,Apuração!B:B)*(BO1154 + (1/_xlfn.XLOOKUP(F1154,Apuração!A:A,Apuração!B:B)) - BK1154))</f>
        <v>0</v>
      </c>
      <c r="BR1154" s="85">
        <f t="shared" ref="BR1154:BR1158" ca="1" si="1353">IF(BQ1154=0,0,BQ1154*Z1154)</f>
        <v>0</v>
      </c>
      <c r="BS1154" s="53">
        <f ca="1">IFERROR((_xlfn.XLOOKUP(F1154,Apuração!A:A,Apuração!C:C)+1)/_xlfn.XLOOKUP(F1154,Apuração!A:A,Apuração!B:B),0)</f>
        <v>0.14285714285714285</v>
      </c>
    </row>
    <row r="1155" spans="1:71" ht="25.95" hidden="1" customHeight="1" x14ac:dyDescent="0.3">
      <c r="A1155" s="3" t="s">
        <v>33</v>
      </c>
      <c r="B1155" s="4" t="s">
        <v>84</v>
      </c>
      <c r="C1155" s="5" t="s">
        <v>209</v>
      </c>
      <c r="D1155" s="5" t="s">
        <v>47</v>
      </c>
      <c r="E1155" s="4" t="s">
        <v>96</v>
      </c>
      <c r="F1155" s="4" t="str" cm="1">
        <f t="array" ref="F1155">_xlfn.IFS(
AG1155 &lt;&gt; "", "Jan-Dez/26",
AH1155 &lt;&gt; "", "Fev-Dez/26",
AI1155 &lt;&gt; "", "Mar-Dez/26", AJ1155 &lt;&gt; "", "Abr-Dez/26",
TRUE, "A partir de Junho"
)</f>
        <v>A partir de Junho</v>
      </c>
      <c r="G1155" s="4" t="s">
        <v>62</v>
      </c>
      <c r="H1155" s="7" t="s">
        <v>38</v>
      </c>
      <c r="I1155" s="8" t="s">
        <v>55</v>
      </c>
      <c r="J1155" s="8" t="str" cm="1">
        <f t="array" aca="1" ref="J1155" ca="1">_xlfn.LET(
  _xlpm.actual_value_month, INDEX(T1155:AE1155, MATCH(DATE(YEAR(TODAY()), MONTH(TODAY()), 1), $T$1:$AE$1, 0)),
  IF(_xlpm.actual_value_month &lt;&gt; "",_xlpm.actual_value_month &amp; " ações mensais", "")
)</f>
        <v>1 ações mensais</v>
      </c>
      <c r="K1155" s="14" t="str" cm="1">
        <f t="array" ref="K1155">_xlfn.LET(
    _xlpm.sum_month, SUM(T1155:AE1155),
    IF(_xlpm.sum_month = 0, "", _xlpm.sum_month &amp; " eventos realizados")
)</f>
        <v>9 eventos realizados</v>
      </c>
      <c r="L1155" s="9" t="s">
        <v>56</v>
      </c>
      <c r="M1155" s="13" t="s">
        <v>86</v>
      </c>
      <c r="N1155" s="5" t="s">
        <v>42</v>
      </c>
      <c r="O1155" s="5" t="s">
        <v>43</v>
      </c>
      <c r="P1155" s="10" t="s">
        <v>44</v>
      </c>
      <c r="Q1155" s="10" t="s">
        <v>44</v>
      </c>
      <c r="R1155" s="11" t="s">
        <v>44</v>
      </c>
      <c r="S1155" s="11" t="s">
        <v>44</v>
      </c>
      <c r="T1155" s="22"/>
      <c r="U1155" s="22"/>
      <c r="V1155" s="22"/>
      <c r="W1155" s="143">
        <v>1</v>
      </c>
      <c r="X1155" s="143">
        <v>1</v>
      </c>
      <c r="Y1155" s="143">
        <v>1</v>
      </c>
      <c r="Z1155" s="143">
        <v>1</v>
      </c>
      <c r="AA1155" s="143">
        <v>1</v>
      </c>
      <c r="AB1155" s="143">
        <v>1</v>
      </c>
      <c r="AC1155" s="143">
        <v>1</v>
      </c>
      <c r="AD1155" s="143">
        <v>1</v>
      </c>
      <c r="AE1155" s="143">
        <v>1</v>
      </c>
      <c r="AG1155" s="71"/>
      <c r="AH1155" s="71"/>
      <c r="AI1155" s="71"/>
      <c r="AJ1155" s="71"/>
      <c r="AK1155" s="71"/>
      <c r="AL1155" s="71"/>
      <c r="AM1155" s="71"/>
      <c r="AN1155" s="71"/>
      <c r="AO1155" s="71"/>
      <c r="AP1155" s="71"/>
      <c r="AQ1155" s="71"/>
      <c r="AR1155" s="71"/>
      <c r="AS1155" s="94">
        <f t="shared" ca="1" si="1346"/>
        <v>2</v>
      </c>
      <c r="AT1155" s="95">
        <f t="shared" si="1347"/>
        <v>0</v>
      </c>
      <c r="AU1155" s="97">
        <f t="shared" si="1348"/>
        <v>0</v>
      </c>
      <c r="AW1155" s="51">
        <f t="shared" si="1349"/>
        <v>0</v>
      </c>
      <c r="AX1155" s="51">
        <f t="shared" si="1350"/>
        <v>0</v>
      </c>
      <c r="AY1155" s="51">
        <f t="shared" si="1351"/>
        <v>0</v>
      </c>
      <c r="AZ1155" s="51">
        <f t="shared" si="1352"/>
        <v>0</v>
      </c>
      <c r="BA1155" s="51"/>
      <c r="BB1155" s="51"/>
      <c r="BC1155" s="51"/>
      <c r="BD1155" s="51"/>
      <c r="BE1155" s="51"/>
      <c r="BF1155" s="51"/>
      <c r="BG1155" s="51"/>
      <c r="BH1155" s="51"/>
      <c r="BI1155" s="65" cm="1">
        <f t="array" ref="BI1155">IFERROR(INDEX(AW1155:BH1155,1,MATCH(2,1/(AW1155:BH1155&lt;&gt;""))),"")</f>
        <v>0</v>
      </c>
      <c r="BJ1155" s="68" cm="1">
        <f t="array" ref="BJ1155">IF(BM1155 = "", "",IFERROR(INDEX(AW1155:BH1155,1,MATCH(2,1/(AW1155:BH1155&lt;&gt;""),1)-1),""))</f>
        <v>0</v>
      </c>
      <c r="BK1155" s="58">
        <f>IF((IF(AW1155&gt;=115%,115%,AW1155) + IF(AX1155&gt;=115%,115%,AX1155) + IF(AY1155&gt;=115%,115%,AY1155) + (IF(AZ1155&gt;=115%,115%,AZ1155) + IF(BA1155&gt;=115%,115%,BA1155) + IF(BB1155&gt;=115%,115%,BB1155) + IF(BC1155&gt;=115%,115%,BC1155) + IF(BD1155&gt;=115%,115%,BD1155) + IF(BE1155&gt;=115%,115%,BE1155) + IF(BF1155&gt;=115%,115%,BF1155) + IF(BG1155&gt;=115%,115%,BG1155) + IF(BH1155&gt;=115%,115%,BH1155)))/_xlfn.XLOOKUP(F1155,Apuração!A:A,Apuração!B:B)&gt;=1.15,1.15,((IF(AZ1155&gt;=115%,115%,AZ1155) + IF(AX1155&gt;=115%,115%,AX1155) + IF(AY1155&gt;=115%,115%,AY1155) + (IF(AW1155&gt;=115%,115%,AW1155) + IF(BA1155&gt;=115%,115%,BA1155) + IF(BB1155&gt;=115%,115%,BB1155) + IF(BC1155&gt;=115%,115%,BC1155) + IF(BD1155&gt;=115%,115%,BD1155) + IF(BE1155&gt;=115%,115%,BE1155) + IF(BF1155&gt;=115%,115%,BF1155) + IF(BG1155&gt;=115%,115%,BG1155) + IF(BH1155&gt;=115%,115%,BH1155)))/_xlfn.XLOOKUP(F1155,Apuração!A:A,Apuração!B:B)))</f>
        <v>0</v>
      </c>
      <c r="BL1155" s="58" cm="1">
        <f t="array" aca="1" ref="BL1155" ca="1">IF(SUM(IFERROR(IF(INDEX(AW1155:INDEX(AW1155:BH1155, MATCH(2, 1/(AW1155:BH1155&lt;&gt;""), 1)-1), ROW(INDIRECT("1:" &amp; MATCH(2, 1/(AW1155:BH1155&lt;&gt;""), 1)-1))) &gt;= 115%, 115%, INDEX(AW1155:INDEX(AW1155:BH1155, MATCH(2, 1/(AW1155:BH1155&lt;&gt;""), 1)-1), ROW(INDIRECT("1:" &amp; MATCH(2, 1/(AW1155:BH1155&lt;&gt;""), 1)-1)))), 0))/_xlfn.XLOOKUP(F1155,Apuração!A:A,Apuração!B:B)&gt;=1.15,1.15,SUM(IFERROR(IF(INDEX(AW1155:INDEX(AW1155:BH1155, MATCH(2, 1/(AW1155:BH1155&lt;&gt;""), 1)-1), ROW(INDIRECT("1:" &amp; MATCH(2, 1/(AW1155:BH1155&lt;&gt;""), 1)-1))) &gt;= 115%, 115%, INDEX(AW1155:INDEX(AW1155:BH1155, MATCH(2, 1/(AW1155:BH1155&lt;&gt;""), 1)-1), ROW(INDIRECT("1:" &amp; MATCH(2, 1/(AW1155:BH1155&lt;&gt;""), 1)-1)))), 0))/_xlfn.XLOOKUP(F1155,Apuração!A:A,Apuração!B:B))</f>
        <v>0</v>
      </c>
      <c r="BM1155" s="55" cm="1">
        <f t="array" ref="BM1155">IFERROR(
   INDEX($AW$1:$BH$1,
      _xlfn.AGGREGATE(14, 6, COLUMN($AW$1:$BH$1)/(AW1155:BH1155&lt;&gt;""), 2) - COLUMN($AW$1) + 1
   ),
"")</f>
        <v>46082</v>
      </c>
      <c r="BN1155" s="55" cm="1">
        <f t="array" ref="BN1155">IFERROR(INDEX($AW$1:$BH$1,1,MATCH(2,1/(AW1155:BH1155&lt;&gt;""))),"")</f>
        <v>46113</v>
      </c>
      <c r="BO1155" s="53">
        <f ca="1">IFERROR(_xlfn.XLOOKUP(F1155,Apuração!A:A,Apuração!C:C)/_xlfn.XLOOKUP(F1155,Apuração!A:A,Apuração!B:B),0)</f>
        <v>0</v>
      </c>
      <c r="BP1155" s="53">
        <f ca="1">IFERROR(_xlfn.XLOOKUP(F1155,Apuração!A:A,Apuração!D:D)/_xlfn.XLOOKUP(F1155,Apuração!A:A,Apuração!B:B),0)</f>
        <v>0</v>
      </c>
      <c r="BQ1155" s="53">
        <f ca="1">IF(BK1155&gt;=BO1155,0,_xlfn.XLOOKUP(F1155,Apuração!A:A,Apuração!B:B)*(BO1155 + (1/_xlfn.XLOOKUP(F1155,Apuração!A:A,Apuração!B:B)) - BK1155))</f>
        <v>0</v>
      </c>
      <c r="BR1155" s="85">
        <f t="shared" ca="1" si="1353"/>
        <v>0</v>
      </c>
      <c r="BS1155" s="53">
        <f ca="1">IFERROR((_xlfn.XLOOKUP(F1155,Apuração!A:A,Apuração!C:C)+1)/_xlfn.XLOOKUP(F1155,Apuração!A:A,Apuração!B:B),0)</f>
        <v>0.14285714285714285</v>
      </c>
    </row>
    <row r="1156" spans="1:71" ht="25.95" hidden="1" customHeight="1" x14ac:dyDescent="0.3">
      <c r="A1156" s="3" t="s">
        <v>33</v>
      </c>
      <c r="B1156" s="4" t="s">
        <v>84</v>
      </c>
      <c r="C1156" s="5" t="s">
        <v>209</v>
      </c>
      <c r="D1156" s="5" t="s">
        <v>211</v>
      </c>
      <c r="E1156" s="4" t="s">
        <v>96</v>
      </c>
      <c r="F1156" s="4" t="str" cm="1">
        <f t="array" ref="F1156">_xlfn.IFS(
AG1156 &lt;&gt; "", "Jan-Dez/26",
AH1156 &lt;&gt; "", "Fev-Dez/26",
AI1156 &lt;&gt; "", "Mar-Dez/26", AJ1156 &lt;&gt; "", "Abr-Dez/26",
TRUE, "A partir de Junho"
)</f>
        <v>A partir de Junho</v>
      </c>
      <c r="G1156" s="4" t="s">
        <v>62</v>
      </c>
      <c r="H1156" s="7" t="s">
        <v>38</v>
      </c>
      <c r="I1156" s="8" t="s">
        <v>55</v>
      </c>
      <c r="J1156" s="8" t="str" cm="1">
        <f t="array" aca="1" ref="J1156" ca="1">_xlfn.LET(
  _xlpm.actual_value_month, INDEX(T1156:AE1156, MATCH(DATE(YEAR(TODAY()), MONTH(TODAY()), 1), $T$1:$AE$1, 0)),
  IF(_xlpm.actual_value_month &lt;&gt; "",_xlpm.actual_value_month &amp; " ações mensais", "")
)</f>
        <v>1 ações mensais</v>
      </c>
      <c r="K1156" s="14" t="str" cm="1">
        <f t="array" ref="K1156">_xlfn.LET(
    _xlpm.sum_month, SUM(T1156:AE1156),
    IF(_xlpm.sum_month = 0, "", _xlpm.sum_month &amp; " eventos realizados")
)</f>
        <v>9 eventos realizados</v>
      </c>
      <c r="L1156" s="9" t="s">
        <v>56</v>
      </c>
      <c r="M1156" s="13" t="s">
        <v>86</v>
      </c>
      <c r="N1156" s="5" t="s">
        <v>42</v>
      </c>
      <c r="O1156" s="5" t="s">
        <v>43</v>
      </c>
      <c r="P1156" s="10" t="s">
        <v>44</v>
      </c>
      <c r="Q1156" s="10" t="s">
        <v>44</v>
      </c>
      <c r="R1156" s="11" t="s">
        <v>44</v>
      </c>
      <c r="S1156" s="11" t="s">
        <v>44</v>
      </c>
      <c r="T1156" s="22"/>
      <c r="U1156" s="22"/>
      <c r="V1156" s="22"/>
      <c r="W1156" s="143">
        <v>1</v>
      </c>
      <c r="X1156" s="143">
        <v>1</v>
      </c>
      <c r="Y1156" s="143">
        <v>1</v>
      </c>
      <c r="Z1156" s="143">
        <v>1</v>
      </c>
      <c r="AA1156" s="143">
        <v>1</v>
      </c>
      <c r="AB1156" s="143">
        <v>1</v>
      </c>
      <c r="AC1156" s="143">
        <v>1</v>
      </c>
      <c r="AD1156" s="143">
        <v>1</v>
      </c>
      <c r="AE1156" s="143">
        <v>1</v>
      </c>
      <c r="AG1156" s="71"/>
      <c r="AH1156" s="71"/>
      <c r="AI1156" s="71"/>
      <c r="AJ1156" s="71"/>
      <c r="AK1156" s="71"/>
      <c r="AL1156" s="71"/>
      <c r="AM1156" s="71"/>
      <c r="AN1156" s="71"/>
      <c r="AO1156" s="71"/>
      <c r="AP1156" s="71"/>
      <c r="AQ1156" s="71"/>
      <c r="AR1156" s="71"/>
      <c r="AS1156" s="94">
        <f t="shared" ca="1" si="1346"/>
        <v>2</v>
      </c>
      <c r="AT1156" s="95">
        <f t="shared" si="1347"/>
        <v>0</v>
      </c>
      <c r="AU1156" s="97">
        <f t="shared" si="1348"/>
        <v>0</v>
      </c>
      <c r="AW1156" s="51">
        <f t="shared" si="1349"/>
        <v>0</v>
      </c>
      <c r="AX1156" s="51">
        <f t="shared" si="1350"/>
        <v>0</v>
      </c>
      <c r="AY1156" s="51">
        <f t="shared" si="1351"/>
        <v>0</v>
      </c>
      <c r="AZ1156" s="51">
        <f t="shared" si="1352"/>
        <v>0</v>
      </c>
      <c r="BA1156" s="51"/>
      <c r="BB1156" s="51"/>
      <c r="BC1156" s="51"/>
      <c r="BD1156" s="51"/>
      <c r="BE1156" s="51"/>
      <c r="BF1156" s="51"/>
      <c r="BG1156" s="51"/>
      <c r="BH1156" s="51"/>
      <c r="BI1156" s="65" cm="1">
        <f t="array" ref="BI1156">IFERROR(INDEX(AW1156:BH1156,1,MATCH(2,1/(AW1156:BH1156&lt;&gt;""))),"")</f>
        <v>0</v>
      </c>
      <c r="BJ1156" s="68" cm="1">
        <f t="array" ref="BJ1156">IF(BM1156 = "", "",IFERROR(INDEX(AW1156:BH1156,1,MATCH(2,1/(AW1156:BH1156&lt;&gt;""),1)-1),""))</f>
        <v>0</v>
      </c>
      <c r="BK1156" s="58">
        <f>IF((IF(AW1156&gt;=115%,115%,AW1156) + IF(AX1156&gt;=115%,115%,AX1156) + IF(AY1156&gt;=115%,115%,AY1156) + (IF(AZ1156&gt;=115%,115%,AZ1156) + IF(BA1156&gt;=115%,115%,BA1156) + IF(BB1156&gt;=115%,115%,BB1156) + IF(BC1156&gt;=115%,115%,BC1156) + IF(BD1156&gt;=115%,115%,BD1156) + IF(BE1156&gt;=115%,115%,BE1156) + IF(BF1156&gt;=115%,115%,BF1156) + IF(BG1156&gt;=115%,115%,BG1156) + IF(BH1156&gt;=115%,115%,BH1156)))/_xlfn.XLOOKUP(F1156,Apuração!A:A,Apuração!B:B)&gt;=1.15,1.15,((IF(AZ1156&gt;=115%,115%,AZ1156) + IF(AX1156&gt;=115%,115%,AX1156) + IF(AY1156&gt;=115%,115%,AY1156) + (IF(AW1156&gt;=115%,115%,AW1156) + IF(BA1156&gt;=115%,115%,BA1156) + IF(BB1156&gt;=115%,115%,BB1156) + IF(BC1156&gt;=115%,115%,BC1156) + IF(BD1156&gt;=115%,115%,BD1156) + IF(BE1156&gt;=115%,115%,BE1156) + IF(BF1156&gt;=115%,115%,BF1156) + IF(BG1156&gt;=115%,115%,BG1156) + IF(BH1156&gt;=115%,115%,BH1156)))/_xlfn.XLOOKUP(F1156,Apuração!A:A,Apuração!B:B)))</f>
        <v>0</v>
      </c>
      <c r="BL1156" s="58" cm="1">
        <f t="array" aca="1" ref="BL1156" ca="1">IF(SUM(IFERROR(IF(INDEX(AW1156:INDEX(AW1156:BH1156, MATCH(2, 1/(AW1156:BH1156&lt;&gt;""), 1)-1), ROW(INDIRECT("1:" &amp; MATCH(2, 1/(AW1156:BH1156&lt;&gt;""), 1)-1))) &gt;= 115%, 115%, INDEX(AW1156:INDEX(AW1156:BH1156, MATCH(2, 1/(AW1156:BH1156&lt;&gt;""), 1)-1), ROW(INDIRECT("1:" &amp; MATCH(2, 1/(AW1156:BH1156&lt;&gt;""), 1)-1)))), 0))/_xlfn.XLOOKUP(F1156,Apuração!A:A,Apuração!B:B)&gt;=1.15,1.15,SUM(IFERROR(IF(INDEX(AW1156:INDEX(AW1156:BH1156, MATCH(2, 1/(AW1156:BH1156&lt;&gt;""), 1)-1), ROW(INDIRECT("1:" &amp; MATCH(2, 1/(AW1156:BH1156&lt;&gt;""), 1)-1))) &gt;= 115%, 115%, INDEX(AW1156:INDEX(AW1156:BH1156, MATCH(2, 1/(AW1156:BH1156&lt;&gt;""), 1)-1), ROW(INDIRECT("1:" &amp; MATCH(2, 1/(AW1156:BH1156&lt;&gt;""), 1)-1)))), 0))/_xlfn.XLOOKUP(F1156,Apuração!A:A,Apuração!B:B))</f>
        <v>0</v>
      </c>
      <c r="BM1156" s="55" cm="1">
        <f t="array" ref="BM1156">IFERROR(
   INDEX($AW$1:$BH$1,
      _xlfn.AGGREGATE(14, 6, COLUMN($AW$1:$BH$1)/(AW1156:BH1156&lt;&gt;""), 2) - COLUMN($AW$1) + 1
   ),
"")</f>
        <v>46082</v>
      </c>
      <c r="BN1156" s="55" cm="1">
        <f t="array" ref="BN1156">IFERROR(INDEX($AW$1:$BH$1,1,MATCH(2,1/(AW1156:BH1156&lt;&gt;""))),"")</f>
        <v>46113</v>
      </c>
      <c r="BO1156" s="53">
        <f ca="1">IFERROR(_xlfn.XLOOKUP(F1156,Apuração!A:A,Apuração!C:C)/_xlfn.XLOOKUP(F1156,Apuração!A:A,Apuração!B:B),0)</f>
        <v>0</v>
      </c>
      <c r="BP1156" s="53">
        <f ca="1">IFERROR(_xlfn.XLOOKUP(F1156,Apuração!A:A,Apuração!D:D)/_xlfn.XLOOKUP(F1156,Apuração!A:A,Apuração!B:B),0)</f>
        <v>0</v>
      </c>
      <c r="BQ1156" s="53">
        <f ca="1">IF(BK1156&gt;=BO1156,0,_xlfn.XLOOKUP(F1156,Apuração!A:A,Apuração!B:B)*(BO1156 + (1/_xlfn.XLOOKUP(F1156,Apuração!A:A,Apuração!B:B)) - BK1156))</f>
        <v>0</v>
      </c>
      <c r="BR1156" s="85">
        <f t="shared" ca="1" si="1353"/>
        <v>0</v>
      </c>
      <c r="BS1156" s="53">
        <f ca="1">IFERROR((_xlfn.XLOOKUP(F1156,Apuração!A:A,Apuração!C:C)+1)/_xlfn.XLOOKUP(F1156,Apuração!A:A,Apuração!B:B),0)</f>
        <v>0.14285714285714285</v>
      </c>
    </row>
    <row r="1157" spans="1:71" ht="25.95" hidden="1" customHeight="1" x14ac:dyDescent="0.3">
      <c r="A1157" s="3" t="s">
        <v>33</v>
      </c>
      <c r="B1157" s="4" t="s">
        <v>84</v>
      </c>
      <c r="C1157" s="5" t="s">
        <v>209</v>
      </c>
      <c r="D1157" s="5" t="s">
        <v>212</v>
      </c>
      <c r="E1157" s="4" t="s">
        <v>96</v>
      </c>
      <c r="F1157" s="4" t="str" cm="1">
        <f t="array" ref="F1157">_xlfn.IFS(
AG1157 &lt;&gt; "", "Jan-Dez/26",
AH1157 &lt;&gt; "", "Fev-Dez/26",
AI1157 &lt;&gt; "", "Mar-Dez/26", AJ1157 &lt;&gt; "", "Abr-Dez/26",
TRUE, "A partir de Junho"
)</f>
        <v>A partir de Junho</v>
      </c>
      <c r="G1157" s="4" t="s">
        <v>62</v>
      </c>
      <c r="H1157" s="7" t="s">
        <v>38</v>
      </c>
      <c r="I1157" s="8" t="s">
        <v>55</v>
      </c>
      <c r="J1157" s="8" t="str" cm="1">
        <f t="array" aca="1" ref="J1157" ca="1">_xlfn.LET(
  _xlpm.actual_value_month, INDEX(T1157:AE1157, MATCH(DATE(YEAR(TODAY()), MONTH(TODAY()), 1), $T$1:$AE$1, 0)),
  IF(_xlpm.actual_value_month &lt;&gt; "",_xlpm.actual_value_month &amp; " ações mensais", "")
)</f>
        <v>1 ações mensais</v>
      </c>
      <c r="K1157" s="14" t="str" cm="1">
        <f t="array" ref="K1157">_xlfn.LET(
    _xlpm.sum_month, SUM(T1157:AE1157),
    IF(_xlpm.sum_month = 0, "", _xlpm.sum_month &amp; " eventos realizados")
)</f>
        <v>9 eventos realizados</v>
      </c>
      <c r="L1157" s="9" t="s">
        <v>56</v>
      </c>
      <c r="M1157" s="13" t="s">
        <v>86</v>
      </c>
      <c r="N1157" s="5" t="s">
        <v>42</v>
      </c>
      <c r="O1157" s="5" t="s">
        <v>43</v>
      </c>
      <c r="P1157" s="10" t="s">
        <v>44</v>
      </c>
      <c r="Q1157" s="10" t="s">
        <v>44</v>
      </c>
      <c r="R1157" s="11" t="s">
        <v>44</v>
      </c>
      <c r="S1157" s="11" t="s">
        <v>44</v>
      </c>
      <c r="T1157" s="22"/>
      <c r="U1157" s="22"/>
      <c r="V1157" s="22"/>
      <c r="W1157" s="143">
        <v>1</v>
      </c>
      <c r="X1157" s="143">
        <v>1</v>
      </c>
      <c r="Y1157" s="143">
        <v>1</v>
      </c>
      <c r="Z1157" s="143">
        <v>1</v>
      </c>
      <c r="AA1157" s="143">
        <v>1</v>
      </c>
      <c r="AB1157" s="143">
        <v>1</v>
      </c>
      <c r="AC1157" s="143">
        <v>1</v>
      </c>
      <c r="AD1157" s="143">
        <v>1</v>
      </c>
      <c r="AE1157" s="143">
        <v>1</v>
      </c>
      <c r="AG1157" s="71"/>
      <c r="AH1157" s="71"/>
      <c r="AI1157" s="71"/>
      <c r="AJ1157" s="71"/>
      <c r="AK1157" s="71"/>
      <c r="AL1157" s="71"/>
      <c r="AM1157" s="71"/>
      <c r="AN1157" s="71"/>
      <c r="AO1157" s="71"/>
      <c r="AP1157" s="71"/>
      <c r="AQ1157" s="71"/>
      <c r="AR1157" s="71"/>
      <c r="AS1157" s="94">
        <f t="shared" ca="1" si="1346"/>
        <v>2</v>
      </c>
      <c r="AT1157" s="95">
        <f t="shared" si="1347"/>
        <v>0</v>
      </c>
      <c r="AU1157" s="97">
        <f t="shared" si="1348"/>
        <v>0</v>
      </c>
      <c r="AW1157" s="51">
        <f t="shared" si="1349"/>
        <v>0</v>
      </c>
      <c r="AX1157" s="51">
        <f t="shared" si="1350"/>
        <v>0</v>
      </c>
      <c r="AY1157" s="51">
        <f t="shared" si="1351"/>
        <v>0</v>
      </c>
      <c r="AZ1157" s="51">
        <f t="shared" si="1352"/>
        <v>0</v>
      </c>
      <c r="BA1157" s="51"/>
      <c r="BB1157" s="51"/>
      <c r="BC1157" s="51"/>
      <c r="BD1157" s="51"/>
      <c r="BE1157" s="51"/>
      <c r="BF1157" s="51"/>
      <c r="BG1157" s="51"/>
      <c r="BH1157" s="51"/>
      <c r="BI1157" s="65" cm="1">
        <f t="array" ref="BI1157">IFERROR(INDEX(AW1157:BH1157,1,MATCH(2,1/(AW1157:BH1157&lt;&gt;""))),"")</f>
        <v>0</v>
      </c>
      <c r="BJ1157" s="68" cm="1">
        <f t="array" ref="BJ1157">IF(BM1157 = "", "",IFERROR(INDEX(AW1157:BH1157,1,MATCH(2,1/(AW1157:BH1157&lt;&gt;""),1)-1),""))</f>
        <v>0</v>
      </c>
      <c r="BK1157" s="58">
        <f>IF((IF(AW1157&gt;=115%,115%,AW1157) + IF(AX1157&gt;=115%,115%,AX1157) + IF(AY1157&gt;=115%,115%,AY1157) + (IF(AZ1157&gt;=115%,115%,AZ1157) + IF(BA1157&gt;=115%,115%,BA1157) + IF(BB1157&gt;=115%,115%,BB1157) + IF(BC1157&gt;=115%,115%,BC1157) + IF(BD1157&gt;=115%,115%,BD1157) + IF(BE1157&gt;=115%,115%,BE1157) + IF(BF1157&gt;=115%,115%,BF1157) + IF(BG1157&gt;=115%,115%,BG1157) + IF(BH1157&gt;=115%,115%,BH1157)))/_xlfn.XLOOKUP(F1157,Apuração!A:A,Apuração!B:B)&gt;=1.15,1.15,((IF(AZ1157&gt;=115%,115%,AZ1157) + IF(AX1157&gt;=115%,115%,AX1157) + IF(AY1157&gt;=115%,115%,AY1157) + (IF(AW1157&gt;=115%,115%,AW1157) + IF(BA1157&gt;=115%,115%,BA1157) + IF(BB1157&gt;=115%,115%,BB1157) + IF(BC1157&gt;=115%,115%,BC1157) + IF(BD1157&gt;=115%,115%,BD1157) + IF(BE1157&gt;=115%,115%,BE1157) + IF(BF1157&gt;=115%,115%,BF1157) + IF(BG1157&gt;=115%,115%,BG1157) + IF(BH1157&gt;=115%,115%,BH1157)))/_xlfn.XLOOKUP(F1157,Apuração!A:A,Apuração!B:B)))</f>
        <v>0</v>
      </c>
      <c r="BL1157" s="58" cm="1">
        <f t="array" aca="1" ref="BL1157" ca="1">IF(SUM(IFERROR(IF(INDEX(AW1157:INDEX(AW1157:BH1157, MATCH(2, 1/(AW1157:BH1157&lt;&gt;""), 1)-1), ROW(INDIRECT("1:" &amp; MATCH(2, 1/(AW1157:BH1157&lt;&gt;""), 1)-1))) &gt;= 115%, 115%, INDEX(AW1157:INDEX(AW1157:BH1157, MATCH(2, 1/(AW1157:BH1157&lt;&gt;""), 1)-1), ROW(INDIRECT("1:" &amp; MATCH(2, 1/(AW1157:BH1157&lt;&gt;""), 1)-1)))), 0))/_xlfn.XLOOKUP(F1157,Apuração!A:A,Apuração!B:B)&gt;=1.15,1.15,SUM(IFERROR(IF(INDEX(AW1157:INDEX(AW1157:BH1157, MATCH(2, 1/(AW1157:BH1157&lt;&gt;""), 1)-1), ROW(INDIRECT("1:" &amp; MATCH(2, 1/(AW1157:BH1157&lt;&gt;""), 1)-1))) &gt;= 115%, 115%, INDEX(AW1157:INDEX(AW1157:BH1157, MATCH(2, 1/(AW1157:BH1157&lt;&gt;""), 1)-1), ROW(INDIRECT("1:" &amp; MATCH(2, 1/(AW1157:BH1157&lt;&gt;""), 1)-1)))), 0))/_xlfn.XLOOKUP(F1157,Apuração!A:A,Apuração!B:B))</f>
        <v>0</v>
      </c>
      <c r="BM1157" s="55" cm="1">
        <f t="array" ref="BM1157">IFERROR(
   INDEX($AW$1:$BH$1,
      _xlfn.AGGREGATE(14, 6, COLUMN($AW$1:$BH$1)/(AW1157:BH1157&lt;&gt;""), 2) - COLUMN($AW$1) + 1
   ),
"")</f>
        <v>46082</v>
      </c>
      <c r="BN1157" s="55" cm="1">
        <f t="array" ref="BN1157">IFERROR(INDEX($AW$1:$BH$1,1,MATCH(2,1/(AW1157:BH1157&lt;&gt;""))),"")</f>
        <v>46113</v>
      </c>
      <c r="BO1157" s="53">
        <f ca="1">IFERROR(_xlfn.XLOOKUP(F1157,Apuração!A:A,Apuração!C:C)/_xlfn.XLOOKUP(F1157,Apuração!A:A,Apuração!B:B),0)</f>
        <v>0</v>
      </c>
      <c r="BP1157" s="53">
        <f ca="1">IFERROR(_xlfn.XLOOKUP(F1157,Apuração!A:A,Apuração!D:D)/_xlfn.XLOOKUP(F1157,Apuração!A:A,Apuração!B:B),0)</f>
        <v>0</v>
      </c>
      <c r="BQ1157" s="53">
        <f ca="1">IF(BK1157&gt;=BO1157,0,_xlfn.XLOOKUP(F1157,Apuração!A:A,Apuração!B:B)*(BO1157 + (1/_xlfn.XLOOKUP(F1157,Apuração!A:A,Apuração!B:B)) - BK1157))</f>
        <v>0</v>
      </c>
      <c r="BR1157" s="85">
        <f t="shared" ca="1" si="1353"/>
        <v>0</v>
      </c>
      <c r="BS1157" s="53">
        <f ca="1">IFERROR((_xlfn.XLOOKUP(F1157,Apuração!A:A,Apuração!C:C)+1)/_xlfn.XLOOKUP(F1157,Apuração!A:A,Apuração!B:B),0)</f>
        <v>0.14285714285714285</v>
      </c>
    </row>
    <row r="1158" spans="1:71" ht="25.95" hidden="1" customHeight="1" x14ac:dyDescent="0.3">
      <c r="A1158" s="3" t="s">
        <v>33</v>
      </c>
      <c r="B1158" s="4" t="s">
        <v>84</v>
      </c>
      <c r="C1158" s="5" t="s">
        <v>209</v>
      </c>
      <c r="D1158" s="5" t="s">
        <v>213</v>
      </c>
      <c r="E1158" s="4" t="s">
        <v>96</v>
      </c>
      <c r="F1158" s="4" t="str" cm="1">
        <f t="array" ref="F1158">_xlfn.IFS(
AG1158 &lt;&gt; "", "Jan-Dez/26",
AH1158 &lt;&gt; "", "Fev-Dez/26",
AI1158 &lt;&gt; "", "Mar-Dez/26", AJ1158 &lt;&gt; "", "Abr-Dez/26",
TRUE, "A partir de Junho"
)</f>
        <v>A partir de Junho</v>
      </c>
      <c r="G1158" s="4" t="s">
        <v>62</v>
      </c>
      <c r="H1158" s="7" t="s">
        <v>38</v>
      </c>
      <c r="I1158" s="8" t="s">
        <v>55</v>
      </c>
      <c r="J1158" s="8" t="str" cm="1">
        <f t="array" aca="1" ref="J1158" ca="1">_xlfn.LET(
  _xlpm.actual_value_month, INDEX(T1158:AE1158, MATCH(DATE(YEAR(TODAY()), MONTH(TODAY()), 1), $T$1:$AE$1, 0)),
  IF(_xlpm.actual_value_month &lt;&gt; "",_xlpm.actual_value_month &amp; " ações mensais", "")
)</f>
        <v>1 ações mensais</v>
      </c>
      <c r="K1158" s="14" t="str" cm="1">
        <f t="array" ref="K1158">_xlfn.LET(
    _xlpm.sum_month, SUM(T1158:AE1158),
    IF(_xlpm.sum_month = 0, "", _xlpm.sum_month &amp; " eventos realizados")
)</f>
        <v>9 eventos realizados</v>
      </c>
      <c r="L1158" s="9" t="s">
        <v>56</v>
      </c>
      <c r="M1158" s="13" t="s">
        <v>86</v>
      </c>
      <c r="N1158" s="5" t="s">
        <v>42</v>
      </c>
      <c r="O1158" s="5" t="s">
        <v>43</v>
      </c>
      <c r="P1158" s="10" t="s">
        <v>44</v>
      </c>
      <c r="Q1158" s="10" t="s">
        <v>44</v>
      </c>
      <c r="R1158" s="11" t="s">
        <v>44</v>
      </c>
      <c r="S1158" s="11" t="s">
        <v>44</v>
      </c>
      <c r="T1158" s="22"/>
      <c r="U1158" s="22"/>
      <c r="V1158" s="22"/>
      <c r="W1158" s="143">
        <v>1</v>
      </c>
      <c r="X1158" s="143">
        <v>1</v>
      </c>
      <c r="Y1158" s="143">
        <v>1</v>
      </c>
      <c r="Z1158" s="143">
        <v>1</v>
      </c>
      <c r="AA1158" s="143">
        <v>1</v>
      </c>
      <c r="AB1158" s="143">
        <v>1</v>
      </c>
      <c r="AC1158" s="143">
        <v>1</v>
      </c>
      <c r="AD1158" s="143">
        <v>1</v>
      </c>
      <c r="AE1158" s="143">
        <v>1</v>
      </c>
      <c r="AG1158" s="71"/>
      <c r="AH1158" s="71"/>
      <c r="AI1158" s="71"/>
      <c r="AJ1158" s="71"/>
      <c r="AK1158" s="71"/>
      <c r="AL1158" s="71"/>
      <c r="AM1158" s="71"/>
      <c r="AN1158" s="71"/>
      <c r="AO1158" s="71"/>
      <c r="AP1158" s="71"/>
      <c r="AQ1158" s="71"/>
      <c r="AR1158" s="71"/>
      <c r="AS1158" s="94">
        <f t="shared" ca="1" si="1346"/>
        <v>2</v>
      </c>
      <c r="AT1158" s="95">
        <f t="shared" si="1347"/>
        <v>0</v>
      </c>
      <c r="AU1158" s="97">
        <f t="shared" si="1348"/>
        <v>0</v>
      </c>
      <c r="AW1158" s="51">
        <f t="shared" si="1349"/>
        <v>0</v>
      </c>
      <c r="AX1158" s="51">
        <f t="shared" si="1350"/>
        <v>0</v>
      </c>
      <c r="AY1158" s="51">
        <f t="shared" si="1351"/>
        <v>0</v>
      </c>
      <c r="AZ1158" s="51">
        <f t="shared" si="1352"/>
        <v>0</v>
      </c>
      <c r="BA1158" s="51"/>
      <c r="BB1158" s="51"/>
      <c r="BC1158" s="51"/>
      <c r="BD1158" s="51"/>
      <c r="BE1158" s="51"/>
      <c r="BF1158" s="51"/>
      <c r="BG1158" s="51"/>
      <c r="BH1158" s="51"/>
      <c r="BI1158" s="65" cm="1">
        <f t="array" ref="BI1158">IFERROR(INDEX(AW1158:BH1158,1,MATCH(2,1/(AW1158:BH1158&lt;&gt;""))),"")</f>
        <v>0</v>
      </c>
      <c r="BJ1158" s="68" cm="1">
        <f t="array" ref="BJ1158">IF(BM1158 = "", "",IFERROR(INDEX(AW1158:BH1158,1,MATCH(2,1/(AW1158:BH1158&lt;&gt;""),1)-1),""))</f>
        <v>0</v>
      </c>
      <c r="BK1158" s="58">
        <f>IF((IF(AW1158&gt;=115%,115%,AW1158) + IF(AX1158&gt;=115%,115%,AX1158) + IF(AY1158&gt;=115%,115%,AY1158) + (IF(AZ1158&gt;=115%,115%,AZ1158) + IF(BA1158&gt;=115%,115%,BA1158) + IF(BB1158&gt;=115%,115%,BB1158) + IF(BC1158&gt;=115%,115%,BC1158) + IF(BD1158&gt;=115%,115%,BD1158) + IF(BE1158&gt;=115%,115%,BE1158) + IF(BF1158&gt;=115%,115%,BF1158) + IF(BG1158&gt;=115%,115%,BG1158) + IF(BH1158&gt;=115%,115%,BH1158)))/_xlfn.XLOOKUP(F1158,Apuração!A:A,Apuração!B:B)&gt;=1.15,1.15,((IF(AZ1158&gt;=115%,115%,AZ1158) + IF(AX1158&gt;=115%,115%,AX1158) + IF(AY1158&gt;=115%,115%,AY1158) + (IF(AW1158&gt;=115%,115%,AW1158) + IF(BA1158&gt;=115%,115%,BA1158) + IF(BB1158&gt;=115%,115%,BB1158) + IF(BC1158&gt;=115%,115%,BC1158) + IF(BD1158&gt;=115%,115%,BD1158) + IF(BE1158&gt;=115%,115%,BE1158) + IF(BF1158&gt;=115%,115%,BF1158) + IF(BG1158&gt;=115%,115%,BG1158) + IF(BH1158&gt;=115%,115%,BH1158)))/_xlfn.XLOOKUP(F1158,Apuração!A:A,Apuração!B:B)))</f>
        <v>0</v>
      </c>
      <c r="BL1158" s="58" cm="1">
        <f t="array" aca="1" ref="BL1158" ca="1">IF(SUM(IFERROR(IF(INDEX(AW1158:INDEX(AW1158:BH1158, MATCH(2, 1/(AW1158:BH1158&lt;&gt;""), 1)-1), ROW(INDIRECT("1:" &amp; MATCH(2, 1/(AW1158:BH1158&lt;&gt;""), 1)-1))) &gt;= 115%, 115%, INDEX(AW1158:INDEX(AW1158:BH1158, MATCH(2, 1/(AW1158:BH1158&lt;&gt;""), 1)-1), ROW(INDIRECT("1:" &amp; MATCH(2, 1/(AW1158:BH1158&lt;&gt;""), 1)-1)))), 0))/_xlfn.XLOOKUP(F1158,Apuração!A:A,Apuração!B:B)&gt;=1.15,1.15,SUM(IFERROR(IF(INDEX(AW1158:INDEX(AW1158:BH1158, MATCH(2, 1/(AW1158:BH1158&lt;&gt;""), 1)-1), ROW(INDIRECT("1:" &amp; MATCH(2, 1/(AW1158:BH1158&lt;&gt;""), 1)-1))) &gt;= 115%, 115%, INDEX(AW1158:INDEX(AW1158:BH1158, MATCH(2, 1/(AW1158:BH1158&lt;&gt;""), 1)-1), ROW(INDIRECT("1:" &amp; MATCH(2, 1/(AW1158:BH1158&lt;&gt;""), 1)-1)))), 0))/_xlfn.XLOOKUP(F1158,Apuração!A:A,Apuração!B:B))</f>
        <v>0</v>
      </c>
      <c r="BM1158" s="55" cm="1">
        <f t="array" ref="BM1158">IFERROR(
   INDEX($AW$1:$BH$1,
      _xlfn.AGGREGATE(14, 6, COLUMN($AW$1:$BH$1)/(AW1158:BH1158&lt;&gt;""), 2) - COLUMN($AW$1) + 1
   ),
"")</f>
        <v>46082</v>
      </c>
      <c r="BN1158" s="55" cm="1">
        <f t="array" ref="BN1158">IFERROR(INDEX($AW$1:$BH$1,1,MATCH(2,1/(AW1158:BH1158&lt;&gt;""))),"")</f>
        <v>46113</v>
      </c>
      <c r="BO1158" s="53">
        <f ca="1">IFERROR(_xlfn.XLOOKUP(F1158,Apuração!A:A,Apuração!C:C)/_xlfn.XLOOKUP(F1158,Apuração!A:A,Apuração!B:B),0)</f>
        <v>0</v>
      </c>
      <c r="BP1158" s="53">
        <f ca="1">IFERROR(_xlfn.XLOOKUP(F1158,Apuração!A:A,Apuração!D:D)/_xlfn.XLOOKUP(F1158,Apuração!A:A,Apuração!B:B),0)</f>
        <v>0</v>
      </c>
      <c r="BQ1158" s="53">
        <f ca="1">IF(BK1158&gt;=BO1158,0,_xlfn.XLOOKUP(F1158,Apuração!A:A,Apuração!B:B)*(BO1158 + (1/_xlfn.XLOOKUP(F1158,Apuração!A:A,Apuração!B:B)) - BK1158))</f>
        <v>0</v>
      </c>
      <c r="BR1158" s="85">
        <f t="shared" ca="1" si="1353"/>
        <v>0</v>
      </c>
      <c r="BS1158" s="53">
        <f ca="1">IFERROR((_xlfn.XLOOKUP(F1158,Apuração!A:A,Apuração!C:C)+1)/_xlfn.XLOOKUP(F1158,Apuração!A:A,Apuração!B:B),0)</f>
        <v>0.14285714285714285</v>
      </c>
    </row>
    <row r="1159" spans="1:71" ht="25.95" hidden="1" customHeight="1" x14ac:dyDescent="0.3">
      <c r="A1159" s="39" t="s">
        <v>33</v>
      </c>
      <c r="B1159" s="4" t="s">
        <v>84</v>
      </c>
      <c r="C1159" s="5" t="s">
        <v>209</v>
      </c>
      <c r="D1159" s="5" t="s">
        <v>36</v>
      </c>
      <c r="E1159" s="4" t="s">
        <v>96</v>
      </c>
      <c r="F1159" s="4" t="str" cm="1">
        <f t="array" ref="F1159">_xlfn.IFS(
AG1159 &lt;&gt; "", "Jan-Dez/26",
AH1159 &lt;&gt; "", "Fev-Dez/26",
AI1159 &lt;&gt; "", "Mar-Dez/26", AJ1159 &lt;&gt; "", "Abr-Dez/26",
TRUE, "A partir de Junho"
)</f>
        <v>A partir de Junho</v>
      </c>
      <c r="G1159" s="4" t="s">
        <v>62</v>
      </c>
      <c r="H1159" s="7" t="s">
        <v>38</v>
      </c>
      <c r="I1159" s="9" t="s">
        <v>76</v>
      </c>
      <c r="J1159" s="8" t="str" cm="1">
        <f t="array" aca="1" ref="J1159" ca="1">_xlfn.LET(
  _xlpm.actual_value_month, INDEX(T1159:AE1159, MATCH(DATE(YEAR(TODAY()), MONTH(TODAY()), 1), $T$1:$AE$1, 0)),
  IF(_xlpm.actual_value_month &lt;&gt; "",_xlpm.actual_value_month &amp; " ações mensais", "")
)</f>
        <v/>
      </c>
      <c r="K1159" s="14" t="str" cm="1">
        <f t="array" ref="K1159">_xlfn.LET(
    _xlpm.sum_month, SUM(T1159:AE1159),
    IF(_xlpm.sum_month = 0, "", _xlpm.sum_month &amp; " público impactado no ano.")
)</f>
        <v/>
      </c>
      <c r="L1159" s="9" t="s">
        <v>76</v>
      </c>
      <c r="M1159" s="13">
        <v>1</v>
      </c>
      <c r="N1159" s="5" t="s">
        <v>51</v>
      </c>
      <c r="O1159" s="5" t="s">
        <v>52</v>
      </c>
      <c r="P1159" s="10" t="s">
        <v>44</v>
      </c>
      <c r="Q1159" s="10" t="s">
        <v>44</v>
      </c>
      <c r="R1159" s="11" t="s">
        <v>44</v>
      </c>
      <c r="S1159" s="11" t="s">
        <v>44</v>
      </c>
      <c r="T1159" s="22"/>
      <c r="U1159" s="22"/>
      <c r="V1159" s="22"/>
      <c r="W1159" s="22"/>
      <c r="X1159" s="22"/>
      <c r="Y1159" s="22"/>
      <c r="Z1159" s="22"/>
      <c r="AA1159" s="22"/>
      <c r="AB1159" s="22"/>
      <c r="AC1159" s="22"/>
      <c r="AD1159" s="22"/>
      <c r="AE1159" s="22"/>
      <c r="AG1159" s="71"/>
      <c r="AH1159" s="71"/>
      <c r="AI1159" s="71"/>
      <c r="AJ1159" s="71"/>
      <c r="AK1159" s="71"/>
      <c r="AL1159" s="71"/>
      <c r="AM1159" s="71"/>
      <c r="AN1159" s="71"/>
      <c r="AO1159" s="71"/>
      <c r="AP1159" s="71"/>
      <c r="AQ1159" s="71"/>
      <c r="AR1159" s="71"/>
      <c r="AS1159" s="94">
        <f ca="1">IF(MONTH(TODAY())=3,SUM(T1159:U1159),IF(MONTH(TODAY())=4,SUM(T1159:V1159),IF(MONTH(TODAY())=5,SUM(T1159:W1159),IF(MONTH(TODAY())=6,SUM(T1159:X1159),IF(MONTH(TODAY())=7,SUM(T1159:Y1159),IF(MONTH(TODAY())=8,SUM(T1159:Z1159),IF(MONTH(TODAY())=9,SUM(T1159:AA1159),IF(MONTH(TODAY())=10,SUM(T1159:AB1159),IF(MONTH(TODAY())=11,SUM(T1159:AC1159),IF(MONTH(TODAY())=12,SUM(T1159:AD1159),IF(MONTH(TODAY())=1,SUM(T1159:AE1159),T1159)))))))))))</f>
        <v>0</v>
      </c>
      <c r="AT1159" s="95">
        <f>SUM(AG1159:AR1159)</f>
        <v>0</v>
      </c>
      <c r="AU1159" s="97">
        <f>SUM(AG1159:AR1159)</f>
        <v>0</v>
      </c>
      <c r="AW1159" s="83">
        <f>AG1159</f>
        <v>0</v>
      </c>
      <c r="AX1159" s="83">
        <f>AH1159</f>
        <v>0</v>
      </c>
      <c r="AY1159" s="83">
        <f>AI1159</f>
        <v>0</v>
      </c>
      <c r="AZ1159" s="83">
        <f>AJ1159</f>
        <v>0</v>
      </c>
      <c r="BA1159" s="52"/>
      <c r="BB1159" s="52"/>
      <c r="BC1159" s="52"/>
      <c r="BD1159" s="52"/>
      <c r="BE1159" s="52"/>
      <c r="BF1159" s="52"/>
      <c r="BG1159" s="52"/>
      <c r="BH1159" s="52"/>
      <c r="BI1159" s="68" cm="1">
        <f t="array" ref="BI1159">IFERROR(INDEX(AW1159:BH1159,1,MATCH(2,1/(AW1159:BH1159&lt;&gt;""))),"")</f>
        <v>0</v>
      </c>
      <c r="BJ1159" s="68" cm="1">
        <f t="array" ref="BJ1159">IF(BM1159 = "", "",IFERROR(INDEX(AW1159:BH1159,1,MATCH(2,1/(AW1159:BH1159&lt;&gt;""),1)-1),""))</f>
        <v>0</v>
      </c>
      <c r="BK1159" s="59">
        <f>SUM(AW1159:BH1159)</f>
        <v>0</v>
      </c>
      <c r="BL1159" s="59" cm="1">
        <f t="array" ref="BL1159">IFERROR(SUM(AW1159:INDEX(AW1159:BH1159, MATCH(2, 1/(AW1159:BH1159&lt;&gt;""), 1) - 1))/_xlfn.XLOOKUP(F1159,Apuração!A:A,Apuração!B:B),0)</f>
        <v>0</v>
      </c>
      <c r="BM1159" s="55" cm="1">
        <f t="array" ref="BM1159">IFERROR(
   INDEX($AW$1:$BH$1,
      _xlfn.AGGREGATE(14, 6, COLUMN($AW$1:$BH$1)/(AW1159:BH1159&lt;&gt;""), 2) - COLUMN($AW$1) + 1
   ),
"")</f>
        <v>46082</v>
      </c>
      <c r="BN1159" s="55" cm="1">
        <f t="array" ref="BN1159">IFERROR(INDEX($AW$1:$BH$1,1,MATCH(2,1/(AW1159:BH1159&lt;&gt;""))),"")</f>
        <v>46113</v>
      </c>
      <c r="BO1159" s="53">
        <f ca="1">IFERROR(_xlfn.XLOOKUP(F1159,Apuração!A:A,Apuração!C:C)/_xlfn.XLOOKUP(F1159,Apuração!A:A,Apuração!B:B),0)</f>
        <v>0</v>
      </c>
      <c r="BP1159" s="53">
        <f ca="1">IFERROR(_xlfn.XLOOKUP(F1159,Apuração!A:A,Apuração!D:D)/_xlfn.XLOOKUP(F1159,Apuração!A:A,Apuração!B:B),0)</f>
        <v>0</v>
      </c>
      <c r="BQ1159" s="53">
        <f ca="1">IF(BK1159&gt;=BO1159,0,_xlfn.XLOOKUP(F1159,Apuração!A:A,Apuração!B:B)*(BO1159 + (1/_xlfn.XLOOKUP(F1159,Apuração!A:A,Apuração!B:B)) - BK1159))</f>
        <v>0</v>
      </c>
      <c r="BR1159" s="85">
        <f ca="1">IF(BQ1159=0,0,BQ1159*Z1159)</f>
        <v>0</v>
      </c>
      <c r="BS1159" s="53">
        <f ca="1">IFERROR((_xlfn.XLOOKUP(F1159,Apuração!A:A,Apuração!C:C)+1)/_xlfn.XLOOKUP(F1159,Apuração!A:A,Apuração!B:B),0)</f>
        <v>0.14285714285714285</v>
      </c>
    </row>
    <row r="1160" spans="1:71" ht="25.95" hidden="1" customHeight="1" x14ac:dyDescent="0.3">
      <c r="A1160" s="39" t="s">
        <v>33</v>
      </c>
      <c r="B1160" s="4" t="s">
        <v>84</v>
      </c>
      <c r="C1160" s="5" t="s">
        <v>209</v>
      </c>
      <c r="D1160" s="5" t="s">
        <v>210</v>
      </c>
      <c r="E1160" s="4" t="s">
        <v>96</v>
      </c>
      <c r="F1160" s="4" t="str" cm="1">
        <f t="array" ref="F1160">_xlfn.IFS(
AG1160 &lt;&gt; "", "Jan-Dez/26",
AH1160 &lt;&gt; "", "Fev-Dez/26",
AI1160 &lt;&gt; "", "Mar-Dez/26", AJ1160 &lt;&gt; "", "Abr-Dez/26",
TRUE, "A partir de Junho"
)</f>
        <v>A partir de Junho</v>
      </c>
      <c r="G1160" s="4" t="s">
        <v>62</v>
      </c>
      <c r="H1160" s="7" t="s">
        <v>38</v>
      </c>
      <c r="I1160" s="9" t="s">
        <v>76</v>
      </c>
      <c r="J1160" s="8" t="str" cm="1">
        <f t="array" aca="1" ref="J1160" ca="1">_xlfn.LET(
  _xlpm.actual_value_month, INDEX(T1160:AE1160, MATCH(DATE(YEAR(TODAY()), MONTH(TODAY()), 1), $T$1:$AE$1, 0)),
  IF(_xlpm.actual_value_month &lt;&gt; "",_xlpm.actual_value_month &amp; " ações mensais", "")
)</f>
        <v/>
      </c>
      <c r="K1160" s="14" t="str" cm="1">
        <f t="array" ref="K1160">_xlfn.LET(
    _xlpm.sum_month, SUM(T1160:AE1160),
    IF(_xlpm.sum_month = 0, "", _xlpm.sum_month &amp; " público impactado no ano.")
)</f>
        <v/>
      </c>
      <c r="L1160" s="9" t="s">
        <v>76</v>
      </c>
      <c r="M1160" s="13">
        <v>1</v>
      </c>
      <c r="N1160" s="5" t="s">
        <v>51</v>
      </c>
      <c r="O1160" s="5" t="s">
        <v>52</v>
      </c>
      <c r="P1160" s="10" t="s">
        <v>44</v>
      </c>
      <c r="Q1160" s="10" t="s">
        <v>44</v>
      </c>
      <c r="R1160" s="11" t="s">
        <v>44</v>
      </c>
      <c r="S1160" s="11" t="s">
        <v>44</v>
      </c>
      <c r="T1160" s="22"/>
      <c r="U1160" s="22"/>
      <c r="V1160" s="22"/>
      <c r="W1160" s="22"/>
      <c r="X1160" s="22"/>
      <c r="Y1160" s="22"/>
      <c r="Z1160" s="22"/>
      <c r="AA1160" s="22"/>
      <c r="AB1160" s="22"/>
      <c r="AC1160" s="22"/>
      <c r="AD1160" s="22"/>
      <c r="AE1160" s="22"/>
      <c r="AG1160" s="71"/>
      <c r="AH1160" s="71"/>
      <c r="AI1160" s="71"/>
      <c r="AJ1160" s="71"/>
      <c r="AK1160" s="71"/>
      <c r="AL1160" s="71"/>
      <c r="AM1160" s="71"/>
      <c r="AN1160" s="71"/>
      <c r="AO1160" s="71"/>
      <c r="AP1160" s="71"/>
      <c r="AQ1160" s="71"/>
      <c r="AR1160" s="71"/>
      <c r="AS1160" s="94">
        <f t="shared" ref="AS1160:AS1164" ca="1" si="1354">IF(MONTH(TODAY())=3,SUM(T1160:U1160),IF(MONTH(TODAY())=4,SUM(T1160:V1160),IF(MONTH(TODAY())=5,SUM(T1160:W1160),IF(MONTH(TODAY())=6,SUM(T1160:X1160),IF(MONTH(TODAY())=7,SUM(T1160:Y1160),IF(MONTH(TODAY())=8,SUM(T1160:Z1160),IF(MONTH(TODAY())=9,SUM(T1160:AA1160),IF(MONTH(TODAY())=10,SUM(T1160:AB1160),IF(MONTH(TODAY())=11,SUM(T1160:AC1160),IF(MONTH(TODAY())=12,SUM(T1160:AD1160),IF(MONTH(TODAY())=1,SUM(T1160:AE1160),T1160)))))))))))</f>
        <v>0</v>
      </c>
      <c r="AT1160" s="95">
        <f t="shared" ref="AT1160:AT1164" si="1355">SUM(AG1160:AR1160)</f>
        <v>0</v>
      </c>
      <c r="AU1160" s="97">
        <f t="shared" ref="AU1160:AU1164" si="1356">SUM(AG1160:AR1160)</f>
        <v>0</v>
      </c>
      <c r="AW1160" s="83">
        <f t="shared" ref="AW1160:AW1164" si="1357">AG1160</f>
        <v>0</v>
      </c>
      <c r="AX1160" s="83">
        <f t="shared" ref="AX1160:AX1164" si="1358">AH1160</f>
        <v>0</v>
      </c>
      <c r="AY1160" s="83">
        <f t="shared" ref="AY1160:AY1164" si="1359">AI1160</f>
        <v>0</v>
      </c>
      <c r="AZ1160" s="83">
        <f t="shared" ref="AZ1160:AZ1164" si="1360">AJ1160</f>
        <v>0</v>
      </c>
      <c r="BA1160" s="52"/>
      <c r="BB1160" s="52"/>
      <c r="BC1160" s="52"/>
      <c r="BD1160" s="52"/>
      <c r="BE1160" s="52"/>
      <c r="BF1160" s="52"/>
      <c r="BG1160" s="52"/>
      <c r="BH1160" s="52"/>
      <c r="BI1160" s="68" cm="1">
        <f t="array" ref="BI1160">IFERROR(INDEX(AW1160:BH1160,1,MATCH(2,1/(AW1160:BH1160&lt;&gt;""))),"")</f>
        <v>0</v>
      </c>
      <c r="BJ1160" s="68" cm="1">
        <f t="array" ref="BJ1160">IF(BM1160 = "", "",IFERROR(INDEX(AW1160:BH1160,1,MATCH(2,1/(AW1160:BH1160&lt;&gt;""),1)-1),""))</f>
        <v>0</v>
      </c>
      <c r="BK1160" s="59">
        <f t="shared" ref="BK1160:BK1164" si="1361">SUM(AW1160:BH1160)</f>
        <v>0</v>
      </c>
      <c r="BL1160" s="59" cm="1">
        <f t="array" ref="BL1160">IFERROR(SUM(AW1160:INDEX(AW1160:BH1160, MATCH(2, 1/(AW1160:BH1160&lt;&gt;""), 1) - 1))/_xlfn.XLOOKUP(F1160,Apuração!A:A,Apuração!B:B),0)</f>
        <v>0</v>
      </c>
      <c r="BM1160" s="55" cm="1">
        <f t="array" ref="BM1160">IFERROR(
   INDEX($AW$1:$BH$1,
      _xlfn.AGGREGATE(14, 6, COLUMN($AW$1:$BH$1)/(AW1160:BH1160&lt;&gt;""), 2) - COLUMN($AW$1) + 1
   ),
"")</f>
        <v>46082</v>
      </c>
      <c r="BN1160" s="55" cm="1">
        <f t="array" ref="BN1160">IFERROR(INDEX($AW$1:$BH$1,1,MATCH(2,1/(AW1160:BH1160&lt;&gt;""))),"")</f>
        <v>46113</v>
      </c>
      <c r="BO1160" s="53">
        <f ca="1">IFERROR(_xlfn.XLOOKUP(F1160,Apuração!A:A,Apuração!C:C)/_xlfn.XLOOKUP(F1160,Apuração!A:A,Apuração!B:B),0)</f>
        <v>0</v>
      </c>
      <c r="BP1160" s="53">
        <f ca="1">IFERROR(_xlfn.XLOOKUP(F1160,Apuração!A:A,Apuração!D:D)/_xlfn.XLOOKUP(F1160,Apuração!A:A,Apuração!B:B),0)</f>
        <v>0</v>
      </c>
      <c r="BQ1160" s="53">
        <f ca="1">IF(BK1160&gt;=BO1160,0,_xlfn.XLOOKUP(F1160,Apuração!A:A,Apuração!B:B)*(BO1160 + (1/_xlfn.XLOOKUP(F1160,Apuração!A:A,Apuração!B:B)) - BK1160))</f>
        <v>0</v>
      </c>
      <c r="BR1160" s="85">
        <f t="shared" ref="BR1160:BR1164" ca="1" si="1362">IF(BQ1160=0,0,BQ1160*Z1160)</f>
        <v>0</v>
      </c>
      <c r="BS1160" s="53">
        <f ca="1">IFERROR((_xlfn.XLOOKUP(F1160,Apuração!A:A,Apuração!C:C)+1)/_xlfn.XLOOKUP(F1160,Apuração!A:A,Apuração!B:B),0)</f>
        <v>0.14285714285714285</v>
      </c>
    </row>
    <row r="1161" spans="1:71" ht="25.95" hidden="1" customHeight="1" x14ac:dyDescent="0.3">
      <c r="A1161" s="39" t="s">
        <v>33</v>
      </c>
      <c r="B1161" s="4" t="s">
        <v>84</v>
      </c>
      <c r="C1161" s="5" t="s">
        <v>209</v>
      </c>
      <c r="D1161" s="5" t="s">
        <v>47</v>
      </c>
      <c r="E1161" s="4" t="s">
        <v>96</v>
      </c>
      <c r="F1161" s="4" t="str" cm="1">
        <f t="array" ref="F1161">_xlfn.IFS(
AG1161 &lt;&gt; "", "Jan-Dez/26",
AH1161 &lt;&gt; "", "Fev-Dez/26",
AI1161 &lt;&gt; "", "Mar-Dez/26", AJ1161 &lt;&gt; "", "Abr-Dez/26",
TRUE, "A partir de Junho"
)</f>
        <v>A partir de Junho</v>
      </c>
      <c r="G1161" s="4" t="s">
        <v>62</v>
      </c>
      <c r="H1161" s="7" t="s">
        <v>38</v>
      </c>
      <c r="I1161" s="9" t="s">
        <v>76</v>
      </c>
      <c r="J1161" s="8" t="str" cm="1">
        <f t="array" aca="1" ref="J1161" ca="1">_xlfn.LET(
  _xlpm.actual_value_month, INDEX(T1161:AE1161, MATCH(DATE(YEAR(TODAY()), MONTH(TODAY()), 1), $T$1:$AE$1, 0)),
  IF(_xlpm.actual_value_month &lt;&gt; "",_xlpm.actual_value_month &amp; " ações mensais", "")
)</f>
        <v/>
      </c>
      <c r="K1161" s="14" t="str" cm="1">
        <f t="array" ref="K1161">_xlfn.LET(
    _xlpm.sum_month, SUM(T1161:AE1161),
    IF(_xlpm.sum_month = 0, "", _xlpm.sum_month &amp; " público impactado no ano.")
)</f>
        <v/>
      </c>
      <c r="L1161" s="9" t="s">
        <v>76</v>
      </c>
      <c r="M1161" s="13">
        <v>1</v>
      </c>
      <c r="N1161" s="5" t="s">
        <v>51</v>
      </c>
      <c r="O1161" s="5" t="s">
        <v>52</v>
      </c>
      <c r="P1161" s="10" t="s">
        <v>44</v>
      </c>
      <c r="Q1161" s="10" t="s">
        <v>44</v>
      </c>
      <c r="R1161" s="11" t="s">
        <v>44</v>
      </c>
      <c r="S1161" s="11" t="s">
        <v>44</v>
      </c>
      <c r="T1161" s="22"/>
      <c r="U1161" s="22"/>
      <c r="V1161" s="22"/>
      <c r="W1161" s="22"/>
      <c r="X1161" s="22"/>
      <c r="Y1161" s="22"/>
      <c r="Z1161" s="22"/>
      <c r="AA1161" s="22"/>
      <c r="AB1161" s="22"/>
      <c r="AC1161" s="22"/>
      <c r="AD1161" s="22"/>
      <c r="AE1161" s="22"/>
      <c r="AG1161" s="71"/>
      <c r="AH1161" s="71"/>
      <c r="AI1161" s="71"/>
      <c r="AJ1161" s="71"/>
      <c r="AK1161" s="71"/>
      <c r="AL1161" s="71"/>
      <c r="AM1161" s="71"/>
      <c r="AN1161" s="71"/>
      <c r="AO1161" s="71"/>
      <c r="AP1161" s="71"/>
      <c r="AQ1161" s="71"/>
      <c r="AR1161" s="71"/>
      <c r="AS1161" s="94">
        <f t="shared" ca="1" si="1354"/>
        <v>0</v>
      </c>
      <c r="AT1161" s="95">
        <f t="shared" si="1355"/>
        <v>0</v>
      </c>
      <c r="AU1161" s="97">
        <f t="shared" si="1356"/>
        <v>0</v>
      </c>
      <c r="AW1161" s="83">
        <f t="shared" si="1357"/>
        <v>0</v>
      </c>
      <c r="AX1161" s="83">
        <f t="shared" si="1358"/>
        <v>0</v>
      </c>
      <c r="AY1161" s="83">
        <f t="shared" si="1359"/>
        <v>0</v>
      </c>
      <c r="AZ1161" s="83">
        <f t="shared" si="1360"/>
        <v>0</v>
      </c>
      <c r="BA1161" s="52"/>
      <c r="BB1161" s="52"/>
      <c r="BC1161" s="52"/>
      <c r="BD1161" s="52"/>
      <c r="BE1161" s="52"/>
      <c r="BF1161" s="52"/>
      <c r="BG1161" s="52"/>
      <c r="BH1161" s="52"/>
      <c r="BI1161" s="68" cm="1">
        <f t="array" ref="BI1161">IFERROR(INDEX(AW1161:BH1161,1,MATCH(2,1/(AW1161:BH1161&lt;&gt;""))),"")</f>
        <v>0</v>
      </c>
      <c r="BJ1161" s="68" cm="1">
        <f t="array" ref="BJ1161">IF(BM1161 = "", "",IFERROR(INDEX(AW1161:BH1161,1,MATCH(2,1/(AW1161:BH1161&lt;&gt;""),1)-1),""))</f>
        <v>0</v>
      </c>
      <c r="BK1161" s="59">
        <f t="shared" si="1361"/>
        <v>0</v>
      </c>
      <c r="BL1161" s="59" cm="1">
        <f t="array" ref="BL1161">IFERROR(SUM(AW1161:INDEX(AW1161:BH1161, MATCH(2, 1/(AW1161:BH1161&lt;&gt;""), 1) - 1))/_xlfn.XLOOKUP(F1161,Apuração!A:A,Apuração!B:B),0)</f>
        <v>0</v>
      </c>
      <c r="BM1161" s="55" cm="1">
        <f t="array" ref="BM1161">IFERROR(
   INDEX($AW$1:$BH$1,
      _xlfn.AGGREGATE(14, 6, COLUMN($AW$1:$BH$1)/(AW1161:BH1161&lt;&gt;""), 2) - COLUMN($AW$1) + 1
   ),
"")</f>
        <v>46082</v>
      </c>
      <c r="BN1161" s="55" cm="1">
        <f t="array" ref="BN1161">IFERROR(INDEX($AW$1:$BH$1,1,MATCH(2,1/(AW1161:BH1161&lt;&gt;""))),"")</f>
        <v>46113</v>
      </c>
      <c r="BO1161" s="53">
        <f ca="1">IFERROR(_xlfn.XLOOKUP(F1161,Apuração!A:A,Apuração!C:C)/_xlfn.XLOOKUP(F1161,Apuração!A:A,Apuração!B:B),0)</f>
        <v>0</v>
      </c>
      <c r="BP1161" s="53">
        <f ca="1">IFERROR(_xlfn.XLOOKUP(F1161,Apuração!A:A,Apuração!D:D)/_xlfn.XLOOKUP(F1161,Apuração!A:A,Apuração!B:B),0)</f>
        <v>0</v>
      </c>
      <c r="BQ1161" s="53">
        <f ca="1">IF(BK1161&gt;=BO1161,0,_xlfn.XLOOKUP(F1161,Apuração!A:A,Apuração!B:B)*(BO1161 + (1/_xlfn.XLOOKUP(F1161,Apuração!A:A,Apuração!B:B)) - BK1161))</f>
        <v>0</v>
      </c>
      <c r="BR1161" s="85">
        <f t="shared" ca="1" si="1362"/>
        <v>0</v>
      </c>
      <c r="BS1161" s="53">
        <f ca="1">IFERROR((_xlfn.XLOOKUP(F1161,Apuração!A:A,Apuração!C:C)+1)/_xlfn.XLOOKUP(F1161,Apuração!A:A,Apuração!B:B),0)</f>
        <v>0.14285714285714285</v>
      </c>
    </row>
    <row r="1162" spans="1:71" ht="25.95" hidden="1" customHeight="1" x14ac:dyDescent="0.3">
      <c r="A1162" s="39" t="s">
        <v>33</v>
      </c>
      <c r="B1162" s="4" t="s">
        <v>84</v>
      </c>
      <c r="C1162" s="5" t="s">
        <v>209</v>
      </c>
      <c r="D1162" s="5" t="s">
        <v>211</v>
      </c>
      <c r="E1162" s="4" t="s">
        <v>96</v>
      </c>
      <c r="F1162" s="4" t="str" cm="1">
        <f t="array" ref="F1162">_xlfn.IFS(
AG1162 &lt;&gt; "", "Jan-Dez/26",
AH1162 &lt;&gt; "", "Fev-Dez/26",
AI1162 &lt;&gt; "", "Mar-Dez/26", AJ1162 &lt;&gt; "", "Abr-Dez/26",
TRUE, "A partir de Junho"
)</f>
        <v>A partir de Junho</v>
      </c>
      <c r="G1162" s="4" t="s">
        <v>62</v>
      </c>
      <c r="H1162" s="7" t="s">
        <v>38</v>
      </c>
      <c r="I1162" s="9" t="s">
        <v>76</v>
      </c>
      <c r="J1162" s="8" t="str" cm="1">
        <f t="array" aca="1" ref="J1162" ca="1">_xlfn.LET(
  _xlpm.actual_value_month, INDEX(T1162:AE1162, MATCH(DATE(YEAR(TODAY()), MONTH(TODAY()), 1), $T$1:$AE$1, 0)),
  IF(_xlpm.actual_value_month &lt;&gt; "",_xlpm.actual_value_month &amp; " ações mensais", "")
)</f>
        <v/>
      </c>
      <c r="K1162" s="14" t="str" cm="1">
        <f t="array" ref="K1162">_xlfn.LET(
    _xlpm.sum_month, SUM(T1162:AE1162),
    IF(_xlpm.sum_month = 0, "", _xlpm.sum_month &amp; " público impactado no ano.")
)</f>
        <v/>
      </c>
      <c r="L1162" s="9" t="s">
        <v>76</v>
      </c>
      <c r="M1162" s="13">
        <v>1</v>
      </c>
      <c r="N1162" s="5" t="s">
        <v>51</v>
      </c>
      <c r="O1162" s="5" t="s">
        <v>52</v>
      </c>
      <c r="P1162" s="10" t="s">
        <v>44</v>
      </c>
      <c r="Q1162" s="10" t="s">
        <v>44</v>
      </c>
      <c r="R1162" s="11" t="s">
        <v>44</v>
      </c>
      <c r="S1162" s="11" t="s">
        <v>44</v>
      </c>
      <c r="T1162" s="22"/>
      <c r="U1162" s="22"/>
      <c r="V1162" s="22"/>
      <c r="W1162" s="22"/>
      <c r="X1162" s="22"/>
      <c r="Y1162" s="22"/>
      <c r="Z1162" s="22"/>
      <c r="AA1162" s="22"/>
      <c r="AB1162" s="22"/>
      <c r="AC1162" s="22"/>
      <c r="AD1162" s="22"/>
      <c r="AE1162" s="22"/>
      <c r="AG1162" s="71"/>
      <c r="AH1162" s="71"/>
      <c r="AI1162" s="71"/>
      <c r="AJ1162" s="71"/>
      <c r="AK1162" s="71"/>
      <c r="AL1162" s="71"/>
      <c r="AM1162" s="71"/>
      <c r="AN1162" s="71"/>
      <c r="AO1162" s="71"/>
      <c r="AP1162" s="71"/>
      <c r="AQ1162" s="71"/>
      <c r="AR1162" s="71"/>
      <c r="AS1162" s="94">
        <f t="shared" ca="1" si="1354"/>
        <v>0</v>
      </c>
      <c r="AT1162" s="95">
        <f t="shared" si="1355"/>
        <v>0</v>
      </c>
      <c r="AU1162" s="97">
        <f t="shared" si="1356"/>
        <v>0</v>
      </c>
      <c r="AW1162" s="83">
        <f t="shared" si="1357"/>
        <v>0</v>
      </c>
      <c r="AX1162" s="83">
        <f t="shared" si="1358"/>
        <v>0</v>
      </c>
      <c r="AY1162" s="83">
        <f t="shared" si="1359"/>
        <v>0</v>
      </c>
      <c r="AZ1162" s="83">
        <f t="shared" si="1360"/>
        <v>0</v>
      </c>
      <c r="BA1162" s="52"/>
      <c r="BB1162" s="52"/>
      <c r="BC1162" s="52"/>
      <c r="BD1162" s="52"/>
      <c r="BE1162" s="52"/>
      <c r="BF1162" s="52"/>
      <c r="BG1162" s="52"/>
      <c r="BH1162" s="52"/>
      <c r="BI1162" s="68" cm="1">
        <f t="array" ref="BI1162">IFERROR(INDEX(AW1162:BH1162,1,MATCH(2,1/(AW1162:BH1162&lt;&gt;""))),"")</f>
        <v>0</v>
      </c>
      <c r="BJ1162" s="68" cm="1">
        <f t="array" ref="BJ1162">IF(BM1162 = "", "",IFERROR(INDEX(AW1162:BH1162,1,MATCH(2,1/(AW1162:BH1162&lt;&gt;""),1)-1),""))</f>
        <v>0</v>
      </c>
      <c r="BK1162" s="59">
        <f t="shared" si="1361"/>
        <v>0</v>
      </c>
      <c r="BL1162" s="59" cm="1">
        <f t="array" ref="BL1162">IFERROR(SUM(AW1162:INDEX(AW1162:BH1162, MATCH(2, 1/(AW1162:BH1162&lt;&gt;""), 1) - 1))/_xlfn.XLOOKUP(F1162,Apuração!A:A,Apuração!B:B),0)</f>
        <v>0</v>
      </c>
      <c r="BM1162" s="55" cm="1">
        <f t="array" ref="BM1162">IFERROR(
   INDEX($AW$1:$BH$1,
      _xlfn.AGGREGATE(14, 6, COLUMN($AW$1:$BH$1)/(AW1162:BH1162&lt;&gt;""), 2) - COLUMN($AW$1) + 1
   ),
"")</f>
        <v>46082</v>
      </c>
      <c r="BN1162" s="55" cm="1">
        <f t="array" ref="BN1162">IFERROR(INDEX($AW$1:$BH$1,1,MATCH(2,1/(AW1162:BH1162&lt;&gt;""))),"")</f>
        <v>46113</v>
      </c>
      <c r="BO1162" s="53">
        <f ca="1">IFERROR(_xlfn.XLOOKUP(F1162,Apuração!A:A,Apuração!C:C)/_xlfn.XLOOKUP(F1162,Apuração!A:A,Apuração!B:B),0)</f>
        <v>0</v>
      </c>
      <c r="BP1162" s="53">
        <f ca="1">IFERROR(_xlfn.XLOOKUP(F1162,Apuração!A:A,Apuração!D:D)/_xlfn.XLOOKUP(F1162,Apuração!A:A,Apuração!B:B),0)</f>
        <v>0</v>
      </c>
      <c r="BQ1162" s="53">
        <f ca="1">IF(BK1162&gt;=BO1162,0,_xlfn.XLOOKUP(F1162,Apuração!A:A,Apuração!B:B)*(BO1162 + (1/_xlfn.XLOOKUP(F1162,Apuração!A:A,Apuração!B:B)) - BK1162))</f>
        <v>0</v>
      </c>
      <c r="BR1162" s="85">
        <f t="shared" ca="1" si="1362"/>
        <v>0</v>
      </c>
      <c r="BS1162" s="53">
        <f ca="1">IFERROR((_xlfn.XLOOKUP(F1162,Apuração!A:A,Apuração!C:C)+1)/_xlfn.XLOOKUP(F1162,Apuração!A:A,Apuração!B:B),0)</f>
        <v>0.14285714285714285</v>
      </c>
    </row>
    <row r="1163" spans="1:71" ht="25.95" hidden="1" customHeight="1" x14ac:dyDescent="0.3">
      <c r="A1163" s="39" t="s">
        <v>33</v>
      </c>
      <c r="B1163" s="4" t="s">
        <v>84</v>
      </c>
      <c r="C1163" s="5" t="s">
        <v>209</v>
      </c>
      <c r="D1163" s="5" t="s">
        <v>212</v>
      </c>
      <c r="E1163" s="4" t="s">
        <v>96</v>
      </c>
      <c r="F1163" s="4" t="str" cm="1">
        <f t="array" ref="F1163">_xlfn.IFS(
AG1163 &lt;&gt; "", "Jan-Dez/26",
AH1163 &lt;&gt; "", "Fev-Dez/26",
AI1163 &lt;&gt; "", "Mar-Dez/26", AJ1163 &lt;&gt; "", "Abr-Dez/26",
TRUE, "A partir de Junho"
)</f>
        <v>A partir de Junho</v>
      </c>
      <c r="G1163" s="4" t="s">
        <v>62</v>
      </c>
      <c r="H1163" s="7" t="s">
        <v>38</v>
      </c>
      <c r="I1163" s="9" t="s">
        <v>76</v>
      </c>
      <c r="J1163" s="8" t="str" cm="1">
        <f t="array" aca="1" ref="J1163" ca="1">_xlfn.LET(
  _xlpm.actual_value_month, INDEX(T1163:AE1163, MATCH(DATE(YEAR(TODAY()), MONTH(TODAY()), 1), $T$1:$AE$1, 0)),
  IF(_xlpm.actual_value_month &lt;&gt; "",_xlpm.actual_value_month &amp; " ações mensais", "")
)</f>
        <v/>
      </c>
      <c r="K1163" s="14" t="str" cm="1">
        <f t="array" ref="K1163">_xlfn.LET(
    _xlpm.sum_month, SUM(T1163:AE1163),
    IF(_xlpm.sum_month = 0, "", _xlpm.sum_month &amp; " público impactado no ano.")
)</f>
        <v/>
      </c>
      <c r="L1163" s="9" t="s">
        <v>76</v>
      </c>
      <c r="M1163" s="13">
        <v>1</v>
      </c>
      <c r="N1163" s="5" t="s">
        <v>51</v>
      </c>
      <c r="O1163" s="5" t="s">
        <v>52</v>
      </c>
      <c r="P1163" s="10" t="s">
        <v>44</v>
      </c>
      <c r="Q1163" s="10" t="s">
        <v>44</v>
      </c>
      <c r="R1163" s="11" t="s">
        <v>44</v>
      </c>
      <c r="S1163" s="11" t="s">
        <v>44</v>
      </c>
      <c r="T1163" s="22"/>
      <c r="U1163" s="22"/>
      <c r="V1163" s="22"/>
      <c r="W1163" s="22"/>
      <c r="X1163" s="22"/>
      <c r="Y1163" s="22"/>
      <c r="Z1163" s="22"/>
      <c r="AA1163" s="22"/>
      <c r="AB1163" s="22"/>
      <c r="AC1163" s="22"/>
      <c r="AD1163" s="22"/>
      <c r="AE1163" s="22"/>
      <c r="AG1163" s="71"/>
      <c r="AH1163" s="71"/>
      <c r="AI1163" s="71"/>
      <c r="AJ1163" s="71"/>
      <c r="AK1163" s="71"/>
      <c r="AL1163" s="71"/>
      <c r="AM1163" s="71"/>
      <c r="AN1163" s="71"/>
      <c r="AO1163" s="71"/>
      <c r="AP1163" s="71"/>
      <c r="AQ1163" s="71"/>
      <c r="AR1163" s="71"/>
      <c r="AS1163" s="94">
        <f t="shared" ca="1" si="1354"/>
        <v>0</v>
      </c>
      <c r="AT1163" s="95">
        <f t="shared" si="1355"/>
        <v>0</v>
      </c>
      <c r="AU1163" s="97">
        <f t="shared" si="1356"/>
        <v>0</v>
      </c>
      <c r="AW1163" s="83">
        <f t="shared" si="1357"/>
        <v>0</v>
      </c>
      <c r="AX1163" s="83">
        <f t="shared" si="1358"/>
        <v>0</v>
      </c>
      <c r="AY1163" s="83">
        <f t="shared" si="1359"/>
        <v>0</v>
      </c>
      <c r="AZ1163" s="83">
        <f t="shared" si="1360"/>
        <v>0</v>
      </c>
      <c r="BA1163" s="52"/>
      <c r="BB1163" s="52"/>
      <c r="BC1163" s="52"/>
      <c r="BD1163" s="52"/>
      <c r="BE1163" s="52"/>
      <c r="BF1163" s="52"/>
      <c r="BG1163" s="52"/>
      <c r="BH1163" s="52"/>
      <c r="BI1163" s="68" cm="1">
        <f t="array" ref="BI1163">IFERROR(INDEX(AW1163:BH1163,1,MATCH(2,1/(AW1163:BH1163&lt;&gt;""))),"")</f>
        <v>0</v>
      </c>
      <c r="BJ1163" s="68" cm="1">
        <f t="array" ref="BJ1163">IF(BM1163 = "", "",IFERROR(INDEX(AW1163:BH1163,1,MATCH(2,1/(AW1163:BH1163&lt;&gt;""),1)-1),""))</f>
        <v>0</v>
      </c>
      <c r="BK1163" s="59">
        <f t="shared" si="1361"/>
        <v>0</v>
      </c>
      <c r="BL1163" s="59" cm="1">
        <f t="array" ref="BL1163">IFERROR(SUM(AW1163:INDEX(AW1163:BH1163, MATCH(2, 1/(AW1163:BH1163&lt;&gt;""), 1) - 1))/_xlfn.XLOOKUP(F1163,Apuração!A:A,Apuração!B:B),0)</f>
        <v>0</v>
      </c>
      <c r="BM1163" s="55" cm="1">
        <f t="array" ref="BM1163">IFERROR(
   INDEX($AW$1:$BH$1,
      _xlfn.AGGREGATE(14, 6, COLUMN($AW$1:$BH$1)/(AW1163:BH1163&lt;&gt;""), 2) - COLUMN($AW$1) + 1
   ),
"")</f>
        <v>46082</v>
      </c>
      <c r="BN1163" s="55" cm="1">
        <f t="array" ref="BN1163">IFERROR(INDEX($AW$1:$BH$1,1,MATCH(2,1/(AW1163:BH1163&lt;&gt;""))),"")</f>
        <v>46113</v>
      </c>
      <c r="BO1163" s="53">
        <f ca="1">IFERROR(_xlfn.XLOOKUP(F1163,Apuração!A:A,Apuração!C:C)/_xlfn.XLOOKUP(F1163,Apuração!A:A,Apuração!B:B),0)</f>
        <v>0</v>
      </c>
      <c r="BP1163" s="53">
        <f ca="1">IFERROR(_xlfn.XLOOKUP(F1163,Apuração!A:A,Apuração!D:D)/_xlfn.XLOOKUP(F1163,Apuração!A:A,Apuração!B:B),0)</f>
        <v>0</v>
      </c>
      <c r="BQ1163" s="53">
        <f ca="1">IF(BK1163&gt;=BO1163,0,_xlfn.XLOOKUP(F1163,Apuração!A:A,Apuração!B:B)*(BO1163 + (1/_xlfn.XLOOKUP(F1163,Apuração!A:A,Apuração!B:B)) - BK1163))</f>
        <v>0</v>
      </c>
      <c r="BR1163" s="85">
        <f t="shared" ca="1" si="1362"/>
        <v>0</v>
      </c>
      <c r="BS1163" s="53">
        <f ca="1">IFERROR((_xlfn.XLOOKUP(F1163,Apuração!A:A,Apuração!C:C)+1)/_xlfn.XLOOKUP(F1163,Apuração!A:A,Apuração!B:B),0)</f>
        <v>0.14285714285714285</v>
      </c>
    </row>
    <row r="1164" spans="1:71" ht="25.95" hidden="1" customHeight="1" x14ac:dyDescent="0.3">
      <c r="A1164" s="39" t="s">
        <v>33</v>
      </c>
      <c r="B1164" s="4" t="s">
        <v>84</v>
      </c>
      <c r="C1164" s="5" t="s">
        <v>209</v>
      </c>
      <c r="D1164" s="5" t="s">
        <v>213</v>
      </c>
      <c r="E1164" s="4" t="s">
        <v>96</v>
      </c>
      <c r="F1164" s="4" t="str" cm="1">
        <f t="array" ref="F1164">_xlfn.IFS(
AG1164 &lt;&gt; "", "Jan-Dez/26",
AH1164 &lt;&gt; "", "Fev-Dez/26",
AI1164 &lt;&gt; "", "Mar-Dez/26", AJ1164 &lt;&gt; "", "Abr-Dez/26",
TRUE, "A partir de Junho"
)</f>
        <v>A partir de Junho</v>
      </c>
      <c r="G1164" s="4" t="s">
        <v>62</v>
      </c>
      <c r="H1164" s="7" t="s">
        <v>38</v>
      </c>
      <c r="I1164" s="9" t="s">
        <v>76</v>
      </c>
      <c r="J1164" s="8" t="str" cm="1">
        <f t="array" aca="1" ref="J1164" ca="1">_xlfn.LET(
  _xlpm.actual_value_month, INDEX(T1164:AE1164, MATCH(DATE(YEAR(TODAY()), MONTH(TODAY()), 1), $T$1:$AE$1, 0)),
  IF(_xlpm.actual_value_month &lt;&gt; "",_xlpm.actual_value_month &amp; " ações mensais", "")
)</f>
        <v/>
      </c>
      <c r="K1164" s="14" t="str" cm="1">
        <f t="array" ref="K1164">_xlfn.LET(
    _xlpm.sum_month, SUM(T1164:AE1164),
    IF(_xlpm.sum_month = 0, "", _xlpm.sum_month &amp; " público impactado no ano.")
)</f>
        <v/>
      </c>
      <c r="L1164" s="9" t="s">
        <v>76</v>
      </c>
      <c r="M1164" s="13">
        <v>1</v>
      </c>
      <c r="N1164" s="5" t="s">
        <v>51</v>
      </c>
      <c r="O1164" s="5" t="s">
        <v>52</v>
      </c>
      <c r="P1164" s="10" t="s">
        <v>44</v>
      </c>
      <c r="Q1164" s="10" t="s">
        <v>44</v>
      </c>
      <c r="R1164" s="11" t="s">
        <v>44</v>
      </c>
      <c r="S1164" s="11" t="s">
        <v>44</v>
      </c>
      <c r="T1164" s="22"/>
      <c r="U1164" s="22"/>
      <c r="V1164" s="22"/>
      <c r="W1164" s="22"/>
      <c r="X1164" s="22"/>
      <c r="Y1164" s="22"/>
      <c r="Z1164" s="22"/>
      <c r="AA1164" s="22"/>
      <c r="AB1164" s="22"/>
      <c r="AC1164" s="22"/>
      <c r="AD1164" s="22"/>
      <c r="AE1164" s="22"/>
      <c r="AG1164" s="71"/>
      <c r="AH1164" s="71"/>
      <c r="AI1164" s="71"/>
      <c r="AJ1164" s="71"/>
      <c r="AK1164" s="71"/>
      <c r="AL1164" s="71"/>
      <c r="AM1164" s="71"/>
      <c r="AN1164" s="71"/>
      <c r="AO1164" s="71"/>
      <c r="AP1164" s="71"/>
      <c r="AQ1164" s="71"/>
      <c r="AR1164" s="71"/>
      <c r="AS1164" s="94">
        <f t="shared" ca="1" si="1354"/>
        <v>0</v>
      </c>
      <c r="AT1164" s="95">
        <f t="shared" si="1355"/>
        <v>0</v>
      </c>
      <c r="AU1164" s="97">
        <f t="shared" si="1356"/>
        <v>0</v>
      </c>
      <c r="AW1164" s="83">
        <f t="shared" si="1357"/>
        <v>0</v>
      </c>
      <c r="AX1164" s="83">
        <f t="shared" si="1358"/>
        <v>0</v>
      </c>
      <c r="AY1164" s="83">
        <f t="shared" si="1359"/>
        <v>0</v>
      </c>
      <c r="AZ1164" s="83">
        <f t="shared" si="1360"/>
        <v>0</v>
      </c>
      <c r="BA1164" s="52"/>
      <c r="BB1164" s="52"/>
      <c r="BC1164" s="52"/>
      <c r="BD1164" s="52"/>
      <c r="BE1164" s="52"/>
      <c r="BF1164" s="52"/>
      <c r="BG1164" s="52"/>
      <c r="BH1164" s="52"/>
      <c r="BI1164" s="68" cm="1">
        <f t="array" ref="BI1164">IFERROR(INDEX(AW1164:BH1164,1,MATCH(2,1/(AW1164:BH1164&lt;&gt;""))),"")</f>
        <v>0</v>
      </c>
      <c r="BJ1164" s="68" cm="1">
        <f t="array" ref="BJ1164">IF(BM1164 = "", "",IFERROR(INDEX(AW1164:BH1164,1,MATCH(2,1/(AW1164:BH1164&lt;&gt;""),1)-1),""))</f>
        <v>0</v>
      </c>
      <c r="BK1164" s="59">
        <f t="shared" si="1361"/>
        <v>0</v>
      </c>
      <c r="BL1164" s="59" cm="1">
        <f t="array" ref="BL1164">IFERROR(SUM(AW1164:INDEX(AW1164:BH1164, MATCH(2, 1/(AW1164:BH1164&lt;&gt;""), 1) - 1))/_xlfn.XLOOKUP(F1164,Apuração!A:A,Apuração!B:B),0)</f>
        <v>0</v>
      </c>
      <c r="BM1164" s="55" cm="1">
        <f t="array" ref="BM1164">IFERROR(
   INDEX($AW$1:$BH$1,
      _xlfn.AGGREGATE(14, 6, COLUMN($AW$1:$BH$1)/(AW1164:BH1164&lt;&gt;""), 2) - COLUMN($AW$1) + 1
   ),
"")</f>
        <v>46082</v>
      </c>
      <c r="BN1164" s="55" cm="1">
        <f t="array" ref="BN1164">IFERROR(INDEX($AW$1:$BH$1,1,MATCH(2,1/(AW1164:BH1164&lt;&gt;""))),"")</f>
        <v>46113</v>
      </c>
      <c r="BO1164" s="53">
        <f ca="1">IFERROR(_xlfn.XLOOKUP(F1164,Apuração!A:A,Apuração!C:C)/_xlfn.XLOOKUP(F1164,Apuração!A:A,Apuração!B:B),0)</f>
        <v>0</v>
      </c>
      <c r="BP1164" s="53">
        <f ca="1">IFERROR(_xlfn.XLOOKUP(F1164,Apuração!A:A,Apuração!D:D)/_xlfn.XLOOKUP(F1164,Apuração!A:A,Apuração!B:B),0)</f>
        <v>0</v>
      </c>
      <c r="BQ1164" s="53">
        <f ca="1">IF(BK1164&gt;=BO1164,0,_xlfn.XLOOKUP(F1164,Apuração!A:A,Apuração!B:B)*(BO1164 + (1/_xlfn.XLOOKUP(F1164,Apuração!A:A,Apuração!B:B)) - BK1164))</f>
        <v>0</v>
      </c>
      <c r="BR1164" s="85">
        <f t="shared" ca="1" si="1362"/>
        <v>0</v>
      </c>
      <c r="BS1164" s="53">
        <f ca="1">IFERROR((_xlfn.XLOOKUP(F1164,Apuração!A:A,Apuração!C:C)+1)/_xlfn.XLOOKUP(F1164,Apuração!A:A,Apuração!B:B),0)</f>
        <v>0.14285714285714285</v>
      </c>
    </row>
    <row r="1165" spans="1:71" ht="25.95" hidden="1" customHeight="1" x14ac:dyDescent="0.3">
      <c r="A1165" s="40" t="s">
        <v>87</v>
      </c>
      <c r="B1165" s="4" t="s">
        <v>88</v>
      </c>
      <c r="C1165" s="5" t="s">
        <v>209</v>
      </c>
      <c r="D1165" s="5" t="s">
        <v>210</v>
      </c>
      <c r="E1165" s="4" t="s">
        <v>96</v>
      </c>
      <c r="F1165" s="4" t="str" cm="1">
        <f t="array" ref="F1165">_xlfn.IFS(
AG1165 &lt;&gt; "", "Jan-Dez/26",
AH1165 &lt;&gt; "", "Fev-Dez/26",
AI1165 &lt;&gt; "", "Mar-Dez/26", AJ1165 &lt;&gt; "", "Abr-Dez/26",
TRUE, "A partir de Junho"
)</f>
        <v>A partir de Junho</v>
      </c>
      <c r="G1165" s="4" t="s">
        <v>62</v>
      </c>
      <c r="H1165" s="7" t="s">
        <v>38</v>
      </c>
      <c r="I1165" s="9" t="s">
        <v>93</v>
      </c>
      <c r="J1165" s="21" t="str" cm="1">
        <f t="array" aca="1" ref="J1165" ca="1">_xlfn.LET(
  _xlpm.actual_value_month, INDEX(T1165:AE1165, MATCH(DATE(YEAR(TODAY()), MONTH(TODAY()), 1), $T$1:$AE$1, 0)),
  IF(_xlpm.actual_value_month &lt;&gt; "",_xlpm.actual_value_month &amp; " ações mensais", "")
)</f>
        <v/>
      </c>
      <c r="K1165" s="8" t="str" cm="1">
        <f t="array" ref="K1165">_xlfn.LET(
    _xlpm.sum_month, SUM(T1165:AE1165),
    IF(_xlpm.sum_month = 0, "", _xlpm.sum_month &amp; " certificados gerados no ano")
)</f>
        <v/>
      </c>
      <c r="L1165" s="4" t="s">
        <v>94</v>
      </c>
      <c r="M1165" s="19"/>
      <c r="N1165" s="5" t="s">
        <v>51</v>
      </c>
      <c r="O1165" s="5"/>
      <c r="P1165" s="10"/>
      <c r="Q1165" s="10"/>
      <c r="R1165" s="10"/>
      <c r="S1165" s="10"/>
      <c r="T1165" s="22"/>
      <c r="U1165" s="22"/>
      <c r="V1165" s="22"/>
      <c r="W1165" s="22"/>
      <c r="X1165" s="22"/>
      <c r="Y1165" s="22"/>
      <c r="Z1165" s="22"/>
      <c r="AA1165" s="22"/>
      <c r="AB1165" s="22"/>
      <c r="AC1165" s="22"/>
      <c r="AD1165" s="22"/>
      <c r="AE1165" s="22"/>
      <c r="AG1165" s="71"/>
      <c r="AH1165" s="71"/>
      <c r="AI1165" s="71"/>
      <c r="AJ1165" s="71"/>
      <c r="AK1165" s="71"/>
      <c r="AL1165" s="71"/>
      <c r="AM1165" s="71"/>
      <c r="AN1165" s="71"/>
      <c r="AO1165" s="71"/>
      <c r="AP1165" s="71"/>
      <c r="AQ1165" s="71"/>
      <c r="AR1165" s="71"/>
      <c r="AS1165" s="94">
        <f t="shared" ref="AS1165:AS1169" ca="1" si="1363">AE1165*BO1165</f>
        <v>0</v>
      </c>
      <c r="AT1165" s="95" t="str" cm="1">
        <f t="array" ref="AT1165">IFERROR(INDEX(AJ1165:AR1165,1,MATCH(2,1/(AJ1165:AR1165&lt;&gt;""))),"")</f>
        <v/>
      </c>
      <c r="AU1165" s="97" t="str">
        <f t="shared" ref="AU1165:AU1169" si="1364">AT1165</f>
        <v/>
      </c>
      <c r="AW1165" s="83">
        <f t="shared" ref="AW1165:AW1169" si="1365">AG1165</f>
        <v>0</v>
      </c>
      <c r="AX1165" s="83">
        <f t="shared" ref="AX1165:AX1169" si="1366">AH1165</f>
        <v>0</v>
      </c>
      <c r="AY1165" s="83">
        <f t="shared" ref="AY1165:AY1169" si="1367">AI1165</f>
        <v>0</v>
      </c>
      <c r="AZ1165" s="83">
        <f t="shared" ref="AZ1165:AZ1169" si="1368">AJ1165</f>
        <v>0</v>
      </c>
      <c r="BA1165" s="51"/>
      <c r="BB1165" s="51"/>
      <c r="BC1165" s="51"/>
      <c r="BD1165" s="51"/>
      <c r="BE1165" s="51"/>
      <c r="BF1165" s="51"/>
      <c r="BG1165" s="51"/>
      <c r="BH1165" s="51"/>
      <c r="BI1165" s="65" cm="1">
        <f t="array" ref="BI1165">IFERROR(INDEX(AW1165:BH1165,1,MATCH(2,1/(AW1165:BH1165&lt;&gt;""))),"")</f>
        <v>0</v>
      </c>
      <c r="BJ1165" s="68" cm="1">
        <f t="array" ref="BJ1165">IF(BM1165 = "", "",IFERROR(INDEX(AW1165:BH1165,1,MATCH(2,1/(AW1165:BH1165&lt;&gt;""),1)-1),""))</f>
        <v>0</v>
      </c>
      <c r="BK1165" s="58">
        <f>IF((IF(AW1165&gt;=115%,115%,AW1165) + IF(AX1165&gt;=115%,115%,AX1165) + IF(AY1165&gt;=115%,115%,AY1165) + (IF(AZ1165&gt;=115%,115%,AZ1165) + IF(BA1165&gt;=115%,115%,BA1165) + IF(BB1165&gt;=115%,115%,BB1165) + IF(BC1165&gt;=115%,115%,BC1165) + IF(BD1165&gt;=115%,115%,BD1165) + IF(BE1165&gt;=115%,115%,BE1165) + IF(BF1165&gt;=115%,115%,BF1165) + IF(BG1165&gt;=115%,115%,BG1165) + IF(BH1165&gt;=115%,115%,BH1165)))/_xlfn.XLOOKUP(F1165,Apuração!A:A,Apuração!B:B)&gt;=1.15,1.15,((IF(AZ1165&gt;=115%,115%,AZ1165) + IF(AX1165&gt;=115%,115%,AX1165) + IF(AY1165&gt;=115%,115%,AY1165) + (IF(AW1165&gt;=115%,115%,AW1165) + IF(BA1165&gt;=115%,115%,BA1165) + IF(BB1165&gt;=115%,115%,BB1165) + IF(BC1165&gt;=115%,115%,BC1165) + IF(BD1165&gt;=115%,115%,BD1165) + IF(BE1165&gt;=115%,115%,BE1165) + IF(BF1165&gt;=115%,115%,BF1165) + IF(BG1165&gt;=115%,115%,BG1165) + IF(BH1165&gt;=115%,115%,BH1165)))/_xlfn.XLOOKUP(F1165,Apuração!A:A,Apuração!B:B)))</f>
        <v>0</v>
      </c>
      <c r="BL1165" s="58" cm="1">
        <f t="array" aca="1" ref="BL1165" ca="1">IF(SUM(IFERROR(IF(INDEX(AW1165:INDEX(AW1165:BH1165, MATCH(2, 1/(AW1165:BH1165&lt;&gt;""), 1)-1), ROW(INDIRECT("1:" &amp; MATCH(2, 1/(AW1165:BH1165&lt;&gt;""), 1)-1))) &gt;= 115%, 115%, INDEX(AW1165:INDEX(AW1165:BH1165, MATCH(2, 1/(AW1165:BH1165&lt;&gt;""), 1)-1), ROW(INDIRECT("1:" &amp; MATCH(2, 1/(AW1165:BH1165&lt;&gt;""), 1)-1)))), 0))/_xlfn.XLOOKUP(F1165,Apuração!A:A,Apuração!B:B)&gt;=1.15,1.15,SUM(IFERROR(IF(INDEX(AW1165:INDEX(AW1165:BH1165, MATCH(2, 1/(AW1165:BH1165&lt;&gt;""), 1)-1), ROW(INDIRECT("1:" &amp; MATCH(2, 1/(AW1165:BH1165&lt;&gt;""), 1)-1))) &gt;= 115%, 115%, INDEX(AW1165:INDEX(AW1165:BH1165, MATCH(2, 1/(AW1165:BH1165&lt;&gt;""), 1)-1), ROW(INDIRECT("1:" &amp; MATCH(2, 1/(AW1165:BH1165&lt;&gt;""), 1)-1)))), 0))/_xlfn.XLOOKUP(F1165,Apuração!A:A,Apuração!B:B))</f>
        <v>0</v>
      </c>
      <c r="BM1165" s="55" cm="1">
        <f t="array" ref="BM1165">IFERROR(
   INDEX($AW$1:$BH$1,
      _xlfn.AGGREGATE(14, 6, COLUMN($AW$1:$BH$1)/(AW1165:BH1165&lt;&gt;""), 2) - COLUMN($AW$1) + 1
   ),
"")</f>
        <v>46082</v>
      </c>
      <c r="BN1165" s="55" cm="1">
        <f t="array" ref="BN1165">IFERROR(INDEX($AW$1:$BH$1,1,MATCH(2,1/(AW1165:BH1165&lt;&gt;""))),"")</f>
        <v>46113</v>
      </c>
      <c r="BO1165" s="53">
        <f ca="1">IFERROR(_xlfn.XLOOKUP(F1165,Apuração!A:A,Apuração!C:C)/_xlfn.XLOOKUP(F1165,Apuração!A:A,Apuração!B:B),0)</f>
        <v>0</v>
      </c>
      <c r="BP1165" s="53">
        <f ca="1">IFERROR(_xlfn.XLOOKUP(F1165,Apuração!A:A,Apuração!D:D)/_xlfn.XLOOKUP(F1165,Apuração!A:A,Apuração!B:B),0)</f>
        <v>0</v>
      </c>
      <c r="BQ1165" s="53">
        <f ca="1">IF(BK1165&gt;=BO1165,0,_xlfn.XLOOKUP(F1165,Apuração!A:A,Apuração!B:B)*(BO1165 + (1/_xlfn.XLOOKUP(F1165,Apuração!A:A,Apuração!B:B)) - BK1165))</f>
        <v>0</v>
      </c>
      <c r="BR1165" s="85">
        <f t="shared" ref="BR1165:BR1169" ca="1" si="1369">IF(BQ1165=0,0,BQ1165*Z1165)</f>
        <v>0</v>
      </c>
      <c r="BS1165" s="53">
        <f ca="1">IFERROR((_xlfn.XLOOKUP(F1165,Apuração!A:A,Apuração!C:C)+1)/_xlfn.XLOOKUP(F1165,Apuração!A:A,Apuração!B:B),0)</f>
        <v>0.14285714285714285</v>
      </c>
    </row>
    <row r="1166" spans="1:71" ht="25.95" hidden="1" customHeight="1" x14ac:dyDescent="0.3">
      <c r="A1166" s="40" t="s">
        <v>87</v>
      </c>
      <c r="B1166" s="4" t="s">
        <v>88</v>
      </c>
      <c r="C1166" s="5" t="s">
        <v>209</v>
      </c>
      <c r="D1166" s="5" t="s">
        <v>47</v>
      </c>
      <c r="E1166" s="4" t="s">
        <v>96</v>
      </c>
      <c r="F1166" s="4" t="str" cm="1">
        <f t="array" ref="F1166">_xlfn.IFS(
AG1166 &lt;&gt; "", "Jan-Dez/26",
AH1166 &lt;&gt; "", "Fev-Dez/26",
AI1166 &lt;&gt; "", "Mar-Dez/26", AJ1166 &lt;&gt; "", "Abr-Dez/26",
TRUE, "A partir de Junho"
)</f>
        <v>A partir de Junho</v>
      </c>
      <c r="G1166" s="4" t="s">
        <v>62</v>
      </c>
      <c r="H1166" s="7" t="s">
        <v>38</v>
      </c>
      <c r="I1166" s="9" t="s">
        <v>93</v>
      </c>
      <c r="J1166" s="21" t="str" cm="1">
        <f t="array" aca="1" ref="J1166" ca="1">_xlfn.LET(
  _xlpm.actual_value_month, INDEX(T1166:AE1166, MATCH(DATE(YEAR(TODAY()), MONTH(TODAY()), 1), $T$1:$AE$1, 0)),
  IF(_xlpm.actual_value_month &lt;&gt; "",_xlpm.actual_value_month &amp; " ações mensais", "")
)</f>
        <v/>
      </c>
      <c r="K1166" s="8" t="str" cm="1">
        <f t="array" ref="K1166">_xlfn.LET(
    _xlpm.sum_month, SUM(T1166:AE1166),
    IF(_xlpm.sum_month = 0, "", _xlpm.sum_month &amp; " certificados gerados no ano")
)</f>
        <v/>
      </c>
      <c r="L1166" s="4" t="s">
        <v>94</v>
      </c>
      <c r="M1166" s="19"/>
      <c r="N1166" s="5" t="s">
        <v>51</v>
      </c>
      <c r="O1166" s="5"/>
      <c r="P1166" s="10"/>
      <c r="Q1166" s="10"/>
      <c r="R1166" s="10"/>
      <c r="S1166" s="10"/>
      <c r="T1166" s="22"/>
      <c r="U1166" s="22"/>
      <c r="V1166" s="22"/>
      <c r="W1166" s="22"/>
      <c r="X1166" s="22"/>
      <c r="Y1166" s="22"/>
      <c r="Z1166" s="22"/>
      <c r="AA1166" s="22"/>
      <c r="AB1166" s="22"/>
      <c r="AC1166" s="22"/>
      <c r="AD1166" s="22"/>
      <c r="AE1166" s="22"/>
      <c r="AG1166" s="71"/>
      <c r="AH1166" s="71"/>
      <c r="AI1166" s="71"/>
      <c r="AJ1166" s="71"/>
      <c r="AK1166" s="71"/>
      <c r="AL1166" s="71"/>
      <c r="AM1166" s="71"/>
      <c r="AN1166" s="71"/>
      <c r="AO1166" s="71"/>
      <c r="AP1166" s="71"/>
      <c r="AQ1166" s="71"/>
      <c r="AR1166" s="71"/>
      <c r="AS1166" s="94">
        <f t="shared" ca="1" si="1363"/>
        <v>0</v>
      </c>
      <c r="AT1166" s="95" t="str" cm="1">
        <f t="array" ref="AT1166">IFERROR(INDEX(AJ1166:AR1166,1,MATCH(2,1/(AJ1166:AR1166&lt;&gt;""))),"")</f>
        <v/>
      </c>
      <c r="AU1166" s="97" t="str">
        <f t="shared" si="1364"/>
        <v/>
      </c>
      <c r="AW1166" s="83">
        <f t="shared" si="1365"/>
        <v>0</v>
      </c>
      <c r="AX1166" s="83">
        <f t="shared" si="1366"/>
        <v>0</v>
      </c>
      <c r="AY1166" s="83">
        <f t="shared" si="1367"/>
        <v>0</v>
      </c>
      <c r="AZ1166" s="83">
        <f t="shared" si="1368"/>
        <v>0</v>
      </c>
      <c r="BA1166" s="51"/>
      <c r="BB1166" s="51"/>
      <c r="BC1166" s="51"/>
      <c r="BD1166" s="51"/>
      <c r="BE1166" s="51"/>
      <c r="BF1166" s="51"/>
      <c r="BG1166" s="51"/>
      <c r="BH1166" s="51"/>
      <c r="BI1166" s="65" cm="1">
        <f t="array" ref="BI1166">IFERROR(INDEX(AW1166:BH1166,1,MATCH(2,1/(AW1166:BH1166&lt;&gt;""))),"")</f>
        <v>0</v>
      </c>
      <c r="BJ1166" s="68" cm="1">
        <f t="array" ref="BJ1166">IF(BM1166 = "", "",IFERROR(INDEX(AW1166:BH1166,1,MATCH(2,1/(AW1166:BH1166&lt;&gt;""),1)-1),""))</f>
        <v>0</v>
      </c>
      <c r="BK1166" s="58">
        <f>IF((IF(AW1166&gt;=115%,115%,AW1166) + IF(AX1166&gt;=115%,115%,AX1166) + IF(AY1166&gt;=115%,115%,AY1166) + (IF(AZ1166&gt;=115%,115%,AZ1166) + IF(BA1166&gt;=115%,115%,BA1166) + IF(BB1166&gt;=115%,115%,BB1166) + IF(BC1166&gt;=115%,115%,BC1166) + IF(BD1166&gt;=115%,115%,BD1166) + IF(BE1166&gt;=115%,115%,BE1166) + IF(BF1166&gt;=115%,115%,BF1166) + IF(BG1166&gt;=115%,115%,BG1166) + IF(BH1166&gt;=115%,115%,BH1166)))/_xlfn.XLOOKUP(F1166,Apuração!A:A,Apuração!B:B)&gt;=1.15,1.15,((IF(AZ1166&gt;=115%,115%,AZ1166) + IF(AX1166&gt;=115%,115%,AX1166) + IF(AY1166&gt;=115%,115%,AY1166) + (IF(AW1166&gt;=115%,115%,AW1166) + IF(BA1166&gt;=115%,115%,BA1166) + IF(BB1166&gt;=115%,115%,BB1166) + IF(BC1166&gt;=115%,115%,BC1166) + IF(BD1166&gt;=115%,115%,BD1166) + IF(BE1166&gt;=115%,115%,BE1166) + IF(BF1166&gt;=115%,115%,BF1166) + IF(BG1166&gt;=115%,115%,BG1166) + IF(BH1166&gt;=115%,115%,BH1166)))/_xlfn.XLOOKUP(F1166,Apuração!A:A,Apuração!B:B)))</f>
        <v>0</v>
      </c>
      <c r="BL1166" s="58" cm="1">
        <f t="array" aca="1" ref="BL1166" ca="1">IF(SUM(IFERROR(IF(INDEX(AW1166:INDEX(AW1166:BH1166, MATCH(2, 1/(AW1166:BH1166&lt;&gt;""), 1)-1), ROW(INDIRECT("1:" &amp; MATCH(2, 1/(AW1166:BH1166&lt;&gt;""), 1)-1))) &gt;= 115%, 115%, INDEX(AW1166:INDEX(AW1166:BH1166, MATCH(2, 1/(AW1166:BH1166&lt;&gt;""), 1)-1), ROW(INDIRECT("1:" &amp; MATCH(2, 1/(AW1166:BH1166&lt;&gt;""), 1)-1)))), 0))/_xlfn.XLOOKUP(F1166,Apuração!A:A,Apuração!B:B)&gt;=1.15,1.15,SUM(IFERROR(IF(INDEX(AW1166:INDEX(AW1166:BH1166, MATCH(2, 1/(AW1166:BH1166&lt;&gt;""), 1)-1), ROW(INDIRECT("1:" &amp; MATCH(2, 1/(AW1166:BH1166&lt;&gt;""), 1)-1))) &gt;= 115%, 115%, INDEX(AW1166:INDEX(AW1166:BH1166, MATCH(2, 1/(AW1166:BH1166&lt;&gt;""), 1)-1), ROW(INDIRECT("1:" &amp; MATCH(2, 1/(AW1166:BH1166&lt;&gt;""), 1)-1)))), 0))/_xlfn.XLOOKUP(F1166,Apuração!A:A,Apuração!B:B))</f>
        <v>0</v>
      </c>
      <c r="BM1166" s="55" cm="1">
        <f t="array" ref="BM1166">IFERROR(
   INDEX($AW$1:$BH$1,
      _xlfn.AGGREGATE(14, 6, COLUMN($AW$1:$BH$1)/(AW1166:BH1166&lt;&gt;""), 2) - COLUMN($AW$1) + 1
   ),
"")</f>
        <v>46082</v>
      </c>
      <c r="BN1166" s="55" cm="1">
        <f t="array" ref="BN1166">IFERROR(INDEX($AW$1:$BH$1,1,MATCH(2,1/(AW1166:BH1166&lt;&gt;""))),"")</f>
        <v>46113</v>
      </c>
      <c r="BO1166" s="53">
        <f ca="1">IFERROR(_xlfn.XLOOKUP(F1166,Apuração!A:A,Apuração!C:C)/_xlfn.XLOOKUP(F1166,Apuração!A:A,Apuração!B:B),0)</f>
        <v>0</v>
      </c>
      <c r="BP1166" s="53">
        <f ca="1">IFERROR(_xlfn.XLOOKUP(F1166,Apuração!A:A,Apuração!D:D)/_xlfn.XLOOKUP(F1166,Apuração!A:A,Apuração!B:B),0)</f>
        <v>0</v>
      </c>
      <c r="BQ1166" s="53">
        <f ca="1">IF(BK1166&gt;=BO1166,0,_xlfn.XLOOKUP(F1166,Apuração!A:A,Apuração!B:B)*(BO1166 + (1/_xlfn.XLOOKUP(F1166,Apuração!A:A,Apuração!B:B)) - BK1166))</f>
        <v>0</v>
      </c>
      <c r="BR1166" s="85">
        <f t="shared" ca="1" si="1369"/>
        <v>0</v>
      </c>
      <c r="BS1166" s="53">
        <f ca="1">IFERROR((_xlfn.XLOOKUP(F1166,Apuração!A:A,Apuração!C:C)+1)/_xlfn.XLOOKUP(F1166,Apuração!A:A,Apuração!B:B),0)</f>
        <v>0.14285714285714285</v>
      </c>
    </row>
    <row r="1167" spans="1:71" ht="25.95" hidden="1" customHeight="1" x14ac:dyDescent="0.3">
      <c r="A1167" s="40" t="s">
        <v>87</v>
      </c>
      <c r="B1167" s="4" t="s">
        <v>88</v>
      </c>
      <c r="C1167" s="5" t="s">
        <v>209</v>
      </c>
      <c r="D1167" s="5" t="s">
        <v>211</v>
      </c>
      <c r="E1167" s="4" t="s">
        <v>96</v>
      </c>
      <c r="F1167" s="4" t="str" cm="1">
        <f t="array" ref="F1167">_xlfn.IFS(
AG1167 &lt;&gt; "", "Jan-Dez/26",
AH1167 &lt;&gt; "", "Fev-Dez/26",
AI1167 &lt;&gt; "", "Mar-Dez/26", AJ1167 &lt;&gt; "", "Abr-Dez/26",
TRUE, "A partir de Junho"
)</f>
        <v>A partir de Junho</v>
      </c>
      <c r="G1167" s="4" t="s">
        <v>62</v>
      </c>
      <c r="H1167" s="7" t="s">
        <v>38</v>
      </c>
      <c r="I1167" s="9" t="s">
        <v>93</v>
      </c>
      <c r="J1167" s="21" t="str" cm="1">
        <f t="array" aca="1" ref="J1167" ca="1">_xlfn.LET(
  _xlpm.actual_value_month, INDEX(T1167:AE1167, MATCH(DATE(YEAR(TODAY()), MONTH(TODAY()), 1), $T$1:$AE$1, 0)),
  IF(_xlpm.actual_value_month &lt;&gt; "",_xlpm.actual_value_month &amp; " ações mensais", "")
)</f>
        <v/>
      </c>
      <c r="K1167" s="8" t="str" cm="1">
        <f t="array" ref="K1167">_xlfn.LET(
    _xlpm.sum_month, SUM(T1167:AE1167),
    IF(_xlpm.sum_month = 0, "", _xlpm.sum_month &amp; " certificados gerados no ano")
)</f>
        <v/>
      </c>
      <c r="L1167" s="4" t="s">
        <v>94</v>
      </c>
      <c r="M1167" s="19"/>
      <c r="N1167" s="5" t="s">
        <v>51</v>
      </c>
      <c r="O1167" s="5"/>
      <c r="P1167" s="10"/>
      <c r="Q1167" s="10"/>
      <c r="R1167" s="10"/>
      <c r="S1167" s="10"/>
      <c r="T1167" s="22"/>
      <c r="U1167" s="22"/>
      <c r="V1167" s="22"/>
      <c r="W1167" s="22"/>
      <c r="X1167" s="22"/>
      <c r="Y1167" s="22"/>
      <c r="Z1167" s="22"/>
      <c r="AA1167" s="22"/>
      <c r="AB1167" s="22"/>
      <c r="AC1167" s="22"/>
      <c r="AD1167" s="22"/>
      <c r="AE1167" s="22"/>
      <c r="AG1167" s="71"/>
      <c r="AH1167" s="71"/>
      <c r="AI1167" s="71"/>
      <c r="AJ1167" s="71"/>
      <c r="AK1167" s="71"/>
      <c r="AL1167" s="71"/>
      <c r="AM1167" s="71"/>
      <c r="AN1167" s="71"/>
      <c r="AO1167" s="71"/>
      <c r="AP1167" s="71"/>
      <c r="AQ1167" s="71"/>
      <c r="AR1167" s="71"/>
      <c r="AS1167" s="94">
        <f t="shared" ca="1" si="1363"/>
        <v>0</v>
      </c>
      <c r="AT1167" s="95" t="str" cm="1">
        <f t="array" ref="AT1167">IFERROR(INDEX(AJ1167:AR1167,1,MATCH(2,1/(AJ1167:AR1167&lt;&gt;""))),"")</f>
        <v/>
      </c>
      <c r="AU1167" s="97" t="str">
        <f t="shared" si="1364"/>
        <v/>
      </c>
      <c r="AW1167" s="83">
        <f t="shared" si="1365"/>
        <v>0</v>
      </c>
      <c r="AX1167" s="83">
        <f t="shared" si="1366"/>
        <v>0</v>
      </c>
      <c r="AY1167" s="83">
        <f t="shared" si="1367"/>
        <v>0</v>
      </c>
      <c r="AZ1167" s="83">
        <f t="shared" si="1368"/>
        <v>0</v>
      </c>
      <c r="BA1167" s="51"/>
      <c r="BB1167" s="51"/>
      <c r="BC1167" s="51"/>
      <c r="BD1167" s="51"/>
      <c r="BE1167" s="51"/>
      <c r="BF1167" s="51"/>
      <c r="BG1167" s="51"/>
      <c r="BH1167" s="51"/>
      <c r="BI1167" s="65" cm="1">
        <f t="array" ref="BI1167">IFERROR(INDEX(AW1167:BH1167,1,MATCH(2,1/(AW1167:BH1167&lt;&gt;""))),"")</f>
        <v>0</v>
      </c>
      <c r="BJ1167" s="68" cm="1">
        <f t="array" ref="BJ1167">IF(BM1167 = "", "",IFERROR(INDEX(AW1167:BH1167,1,MATCH(2,1/(AW1167:BH1167&lt;&gt;""),1)-1),""))</f>
        <v>0</v>
      </c>
      <c r="BK1167" s="58">
        <f>IF((IF(AW1167&gt;=115%,115%,AW1167) + IF(AX1167&gt;=115%,115%,AX1167) + IF(AY1167&gt;=115%,115%,AY1167) + (IF(AZ1167&gt;=115%,115%,AZ1167) + IF(BA1167&gt;=115%,115%,BA1167) + IF(BB1167&gt;=115%,115%,BB1167) + IF(BC1167&gt;=115%,115%,BC1167) + IF(BD1167&gt;=115%,115%,BD1167) + IF(BE1167&gt;=115%,115%,BE1167) + IF(BF1167&gt;=115%,115%,BF1167) + IF(BG1167&gt;=115%,115%,BG1167) + IF(BH1167&gt;=115%,115%,BH1167)))/_xlfn.XLOOKUP(F1167,Apuração!A:A,Apuração!B:B)&gt;=1.15,1.15,((IF(AZ1167&gt;=115%,115%,AZ1167) + IF(AX1167&gt;=115%,115%,AX1167) + IF(AY1167&gt;=115%,115%,AY1167) + (IF(AW1167&gt;=115%,115%,AW1167) + IF(BA1167&gt;=115%,115%,BA1167) + IF(BB1167&gt;=115%,115%,BB1167) + IF(BC1167&gt;=115%,115%,BC1167) + IF(BD1167&gt;=115%,115%,BD1167) + IF(BE1167&gt;=115%,115%,BE1167) + IF(BF1167&gt;=115%,115%,BF1167) + IF(BG1167&gt;=115%,115%,BG1167) + IF(BH1167&gt;=115%,115%,BH1167)))/_xlfn.XLOOKUP(F1167,Apuração!A:A,Apuração!B:B)))</f>
        <v>0</v>
      </c>
      <c r="BL1167" s="58" cm="1">
        <f t="array" aca="1" ref="BL1167" ca="1">IF(SUM(IFERROR(IF(INDEX(AW1167:INDEX(AW1167:BH1167, MATCH(2, 1/(AW1167:BH1167&lt;&gt;""), 1)-1), ROW(INDIRECT("1:" &amp; MATCH(2, 1/(AW1167:BH1167&lt;&gt;""), 1)-1))) &gt;= 115%, 115%, INDEX(AW1167:INDEX(AW1167:BH1167, MATCH(2, 1/(AW1167:BH1167&lt;&gt;""), 1)-1), ROW(INDIRECT("1:" &amp; MATCH(2, 1/(AW1167:BH1167&lt;&gt;""), 1)-1)))), 0))/_xlfn.XLOOKUP(F1167,Apuração!A:A,Apuração!B:B)&gt;=1.15,1.15,SUM(IFERROR(IF(INDEX(AW1167:INDEX(AW1167:BH1167, MATCH(2, 1/(AW1167:BH1167&lt;&gt;""), 1)-1), ROW(INDIRECT("1:" &amp; MATCH(2, 1/(AW1167:BH1167&lt;&gt;""), 1)-1))) &gt;= 115%, 115%, INDEX(AW1167:INDEX(AW1167:BH1167, MATCH(2, 1/(AW1167:BH1167&lt;&gt;""), 1)-1), ROW(INDIRECT("1:" &amp; MATCH(2, 1/(AW1167:BH1167&lt;&gt;""), 1)-1)))), 0))/_xlfn.XLOOKUP(F1167,Apuração!A:A,Apuração!B:B))</f>
        <v>0</v>
      </c>
      <c r="BM1167" s="55" cm="1">
        <f t="array" ref="BM1167">IFERROR(
   INDEX($AW$1:$BH$1,
      _xlfn.AGGREGATE(14, 6, COLUMN($AW$1:$BH$1)/(AW1167:BH1167&lt;&gt;""), 2) - COLUMN($AW$1) + 1
   ),
"")</f>
        <v>46082</v>
      </c>
      <c r="BN1167" s="55" cm="1">
        <f t="array" ref="BN1167">IFERROR(INDEX($AW$1:$BH$1,1,MATCH(2,1/(AW1167:BH1167&lt;&gt;""))),"")</f>
        <v>46113</v>
      </c>
      <c r="BO1167" s="53">
        <f ca="1">IFERROR(_xlfn.XLOOKUP(F1167,Apuração!A:A,Apuração!C:C)/_xlfn.XLOOKUP(F1167,Apuração!A:A,Apuração!B:B),0)</f>
        <v>0</v>
      </c>
      <c r="BP1167" s="53">
        <f ca="1">IFERROR(_xlfn.XLOOKUP(F1167,Apuração!A:A,Apuração!D:D)/_xlfn.XLOOKUP(F1167,Apuração!A:A,Apuração!B:B),0)</f>
        <v>0</v>
      </c>
      <c r="BQ1167" s="53">
        <f ca="1">IF(BK1167&gt;=BO1167,0,_xlfn.XLOOKUP(F1167,Apuração!A:A,Apuração!B:B)*(BO1167 + (1/_xlfn.XLOOKUP(F1167,Apuração!A:A,Apuração!B:B)) - BK1167))</f>
        <v>0</v>
      </c>
      <c r="BR1167" s="85">
        <f t="shared" ca="1" si="1369"/>
        <v>0</v>
      </c>
      <c r="BS1167" s="53">
        <f ca="1">IFERROR((_xlfn.XLOOKUP(F1167,Apuração!A:A,Apuração!C:C)+1)/_xlfn.XLOOKUP(F1167,Apuração!A:A,Apuração!B:B),0)</f>
        <v>0.14285714285714285</v>
      </c>
    </row>
    <row r="1168" spans="1:71" ht="25.95" hidden="1" customHeight="1" x14ac:dyDescent="0.3">
      <c r="A1168" s="40" t="s">
        <v>87</v>
      </c>
      <c r="B1168" s="4" t="s">
        <v>88</v>
      </c>
      <c r="C1168" s="5" t="s">
        <v>209</v>
      </c>
      <c r="D1168" s="5" t="s">
        <v>212</v>
      </c>
      <c r="E1168" s="4" t="s">
        <v>96</v>
      </c>
      <c r="F1168" s="4" t="str" cm="1">
        <f t="array" ref="F1168">_xlfn.IFS(
AG1168 &lt;&gt; "", "Jan-Dez/26",
AH1168 &lt;&gt; "", "Fev-Dez/26",
AI1168 &lt;&gt; "", "Mar-Dez/26", AJ1168 &lt;&gt; "", "Abr-Dez/26",
TRUE, "A partir de Junho"
)</f>
        <v>A partir de Junho</v>
      </c>
      <c r="G1168" s="4" t="s">
        <v>62</v>
      </c>
      <c r="H1168" s="7" t="s">
        <v>38</v>
      </c>
      <c r="I1168" s="9" t="s">
        <v>93</v>
      </c>
      <c r="J1168" s="21" t="str" cm="1">
        <f t="array" aca="1" ref="J1168" ca="1">_xlfn.LET(
  _xlpm.actual_value_month, INDEX(T1168:AE1168, MATCH(DATE(YEAR(TODAY()), MONTH(TODAY()), 1), $T$1:$AE$1, 0)),
  IF(_xlpm.actual_value_month &lt;&gt; "",_xlpm.actual_value_month &amp; " ações mensais", "")
)</f>
        <v/>
      </c>
      <c r="K1168" s="8" t="str" cm="1">
        <f t="array" ref="K1168">_xlfn.LET(
    _xlpm.sum_month, SUM(T1168:AE1168),
    IF(_xlpm.sum_month = 0, "", _xlpm.sum_month &amp; " certificados gerados no ano")
)</f>
        <v/>
      </c>
      <c r="L1168" s="4" t="s">
        <v>94</v>
      </c>
      <c r="M1168" s="19"/>
      <c r="N1168" s="5" t="s">
        <v>51</v>
      </c>
      <c r="O1168" s="5"/>
      <c r="P1168" s="10"/>
      <c r="Q1168" s="10"/>
      <c r="R1168" s="10"/>
      <c r="S1168" s="10"/>
      <c r="T1168" s="22"/>
      <c r="U1168" s="22"/>
      <c r="V1168" s="22"/>
      <c r="W1168" s="22"/>
      <c r="X1168" s="22"/>
      <c r="Y1168" s="22"/>
      <c r="Z1168" s="22"/>
      <c r="AA1168" s="22"/>
      <c r="AB1168" s="22"/>
      <c r="AC1168" s="22"/>
      <c r="AD1168" s="22"/>
      <c r="AE1168" s="22"/>
      <c r="AG1168" s="71"/>
      <c r="AH1168" s="71"/>
      <c r="AI1168" s="71"/>
      <c r="AJ1168" s="71"/>
      <c r="AK1168" s="71"/>
      <c r="AL1168" s="71"/>
      <c r="AM1168" s="71"/>
      <c r="AN1168" s="71"/>
      <c r="AO1168" s="71"/>
      <c r="AP1168" s="71"/>
      <c r="AQ1168" s="71"/>
      <c r="AR1168" s="71"/>
      <c r="AS1168" s="94">
        <f t="shared" ca="1" si="1363"/>
        <v>0</v>
      </c>
      <c r="AT1168" s="95" t="str" cm="1">
        <f t="array" ref="AT1168">IFERROR(INDEX(AJ1168:AR1168,1,MATCH(2,1/(AJ1168:AR1168&lt;&gt;""))),"")</f>
        <v/>
      </c>
      <c r="AU1168" s="97" t="str">
        <f t="shared" si="1364"/>
        <v/>
      </c>
      <c r="AW1168" s="83">
        <f t="shared" si="1365"/>
        <v>0</v>
      </c>
      <c r="AX1168" s="83">
        <f t="shared" si="1366"/>
        <v>0</v>
      </c>
      <c r="AY1168" s="83">
        <f t="shared" si="1367"/>
        <v>0</v>
      </c>
      <c r="AZ1168" s="83">
        <f t="shared" si="1368"/>
        <v>0</v>
      </c>
      <c r="BA1168" s="51"/>
      <c r="BB1168" s="51"/>
      <c r="BC1168" s="51"/>
      <c r="BD1168" s="51"/>
      <c r="BE1168" s="51"/>
      <c r="BF1168" s="51"/>
      <c r="BG1168" s="51"/>
      <c r="BH1168" s="51"/>
      <c r="BI1168" s="65" cm="1">
        <f t="array" ref="BI1168">IFERROR(INDEX(AW1168:BH1168,1,MATCH(2,1/(AW1168:BH1168&lt;&gt;""))),"")</f>
        <v>0</v>
      </c>
      <c r="BJ1168" s="68" cm="1">
        <f t="array" ref="BJ1168">IF(BM1168 = "", "",IFERROR(INDEX(AW1168:BH1168,1,MATCH(2,1/(AW1168:BH1168&lt;&gt;""),1)-1),""))</f>
        <v>0</v>
      </c>
      <c r="BK1168" s="58">
        <f>IF((IF(AW1168&gt;=115%,115%,AW1168) + IF(AX1168&gt;=115%,115%,AX1168) + IF(AY1168&gt;=115%,115%,AY1168) + (IF(AZ1168&gt;=115%,115%,AZ1168) + IF(BA1168&gt;=115%,115%,BA1168) + IF(BB1168&gt;=115%,115%,BB1168) + IF(BC1168&gt;=115%,115%,BC1168) + IF(BD1168&gt;=115%,115%,BD1168) + IF(BE1168&gt;=115%,115%,BE1168) + IF(BF1168&gt;=115%,115%,BF1168) + IF(BG1168&gt;=115%,115%,BG1168) + IF(BH1168&gt;=115%,115%,BH1168)))/_xlfn.XLOOKUP(F1168,Apuração!A:A,Apuração!B:B)&gt;=1.15,1.15,((IF(AZ1168&gt;=115%,115%,AZ1168) + IF(AX1168&gt;=115%,115%,AX1168) + IF(AY1168&gt;=115%,115%,AY1168) + (IF(AW1168&gt;=115%,115%,AW1168) + IF(BA1168&gt;=115%,115%,BA1168) + IF(BB1168&gt;=115%,115%,BB1168) + IF(BC1168&gt;=115%,115%,BC1168) + IF(BD1168&gt;=115%,115%,BD1168) + IF(BE1168&gt;=115%,115%,BE1168) + IF(BF1168&gt;=115%,115%,BF1168) + IF(BG1168&gt;=115%,115%,BG1168) + IF(BH1168&gt;=115%,115%,BH1168)))/_xlfn.XLOOKUP(F1168,Apuração!A:A,Apuração!B:B)))</f>
        <v>0</v>
      </c>
      <c r="BL1168" s="58" cm="1">
        <f t="array" aca="1" ref="BL1168" ca="1">IF(SUM(IFERROR(IF(INDEX(AW1168:INDEX(AW1168:BH1168, MATCH(2, 1/(AW1168:BH1168&lt;&gt;""), 1)-1), ROW(INDIRECT("1:" &amp; MATCH(2, 1/(AW1168:BH1168&lt;&gt;""), 1)-1))) &gt;= 115%, 115%, INDEX(AW1168:INDEX(AW1168:BH1168, MATCH(2, 1/(AW1168:BH1168&lt;&gt;""), 1)-1), ROW(INDIRECT("1:" &amp; MATCH(2, 1/(AW1168:BH1168&lt;&gt;""), 1)-1)))), 0))/_xlfn.XLOOKUP(F1168,Apuração!A:A,Apuração!B:B)&gt;=1.15,1.15,SUM(IFERROR(IF(INDEX(AW1168:INDEX(AW1168:BH1168, MATCH(2, 1/(AW1168:BH1168&lt;&gt;""), 1)-1), ROW(INDIRECT("1:" &amp; MATCH(2, 1/(AW1168:BH1168&lt;&gt;""), 1)-1))) &gt;= 115%, 115%, INDEX(AW1168:INDEX(AW1168:BH1168, MATCH(2, 1/(AW1168:BH1168&lt;&gt;""), 1)-1), ROW(INDIRECT("1:" &amp; MATCH(2, 1/(AW1168:BH1168&lt;&gt;""), 1)-1)))), 0))/_xlfn.XLOOKUP(F1168,Apuração!A:A,Apuração!B:B))</f>
        <v>0</v>
      </c>
      <c r="BM1168" s="55" cm="1">
        <f t="array" ref="BM1168">IFERROR(
   INDEX($AW$1:$BH$1,
      _xlfn.AGGREGATE(14, 6, COLUMN($AW$1:$BH$1)/(AW1168:BH1168&lt;&gt;""), 2) - COLUMN($AW$1) + 1
   ),
"")</f>
        <v>46082</v>
      </c>
      <c r="BN1168" s="55" cm="1">
        <f t="array" ref="BN1168">IFERROR(INDEX($AW$1:$BH$1,1,MATCH(2,1/(AW1168:BH1168&lt;&gt;""))),"")</f>
        <v>46113</v>
      </c>
      <c r="BO1168" s="53">
        <f ca="1">IFERROR(_xlfn.XLOOKUP(F1168,Apuração!A:A,Apuração!C:C)/_xlfn.XLOOKUP(F1168,Apuração!A:A,Apuração!B:B),0)</f>
        <v>0</v>
      </c>
      <c r="BP1168" s="53">
        <f ca="1">IFERROR(_xlfn.XLOOKUP(F1168,Apuração!A:A,Apuração!D:D)/_xlfn.XLOOKUP(F1168,Apuração!A:A,Apuração!B:B),0)</f>
        <v>0</v>
      </c>
      <c r="BQ1168" s="53">
        <f ca="1">IF(BK1168&gt;=BO1168,0,_xlfn.XLOOKUP(F1168,Apuração!A:A,Apuração!B:B)*(BO1168 + (1/_xlfn.XLOOKUP(F1168,Apuração!A:A,Apuração!B:B)) - BK1168))</f>
        <v>0</v>
      </c>
      <c r="BR1168" s="85">
        <f t="shared" ca="1" si="1369"/>
        <v>0</v>
      </c>
      <c r="BS1168" s="53">
        <f ca="1">IFERROR((_xlfn.XLOOKUP(F1168,Apuração!A:A,Apuração!C:C)+1)/_xlfn.XLOOKUP(F1168,Apuração!A:A,Apuração!B:B),0)</f>
        <v>0.14285714285714285</v>
      </c>
    </row>
    <row r="1169" spans="1:71" ht="25.95" hidden="1" customHeight="1" x14ac:dyDescent="0.3">
      <c r="A1169" s="40" t="s">
        <v>87</v>
      </c>
      <c r="B1169" s="4" t="s">
        <v>88</v>
      </c>
      <c r="C1169" s="5" t="s">
        <v>209</v>
      </c>
      <c r="D1169" s="5" t="s">
        <v>213</v>
      </c>
      <c r="E1169" s="4" t="s">
        <v>96</v>
      </c>
      <c r="F1169" s="4" t="str" cm="1">
        <f t="array" ref="F1169">_xlfn.IFS(
AG1169 &lt;&gt; "", "Jan-Dez/26",
AH1169 &lt;&gt; "", "Fev-Dez/26",
AI1169 &lt;&gt; "", "Mar-Dez/26", AJ1169 &lt;&gt; "", "Abr-Dez/26",
TRUE, "A partir de Junho"
)</f>
        <v>A partir de Junho</v>
      </c>
      <c r="G1169" s="4" t="s">
        <v>62</v>
      </c>
      <c r="H1169" s="7" t="s">
        <v>38</v>
      </c>
      <c r="I1169" s="9" t="s">
        <v>93</v>
      </c>
      <c r="J1169" s="21" t="str" cm="1">
        <f t="array" aca="1" ref="J1169" ca="1">_xlfn.LET(
  _xlpm.actual_value_month, INDEX(T1169:AE1169, MATCH(DATE(YEAR(TODAY()), MONTH(TODAY()), 1), $T$1:$AE$1, 0)),
  IF(_xlpm.actual_value_month &lt;&gt; "",_xlpm.actual_value_month &amp; " ações mensais", "")
)</f>
        <v/>
      </c>
      <c r="K1169" s="8" t="str" cm="1">
        <f t="array" ref="K1169">_xlfn.LET(
    _xlpm.sum_month, SUM(T1169:AE1169),
    IF(_xlpm.sum_month = 0, "", _xlpm.sum_month &amp; " certificados gerados no ano")
)</f>
        <v/>
      </c>
      <c r="L1169" s="4" t="s">
        <v>94</v>
      </c>
      <c r="M1169" s="19"/>
      <c r="N1169" s="5" t="s">
        <v>51</v>
      </c>
      <c r="O1169" s="5"/>
      <c r="P1169" s="10"/>
      <c r="Q1169" s="10"/>
      <c r="R1169" s="10"/>
      <c r="S1169" s="10"/>
      <c r="T1169" s="22"/>
      <c r="U1169" s="22"/>
      <c r="V1169" s="22"/>
      <c r="W1169" s="22"/>
      <c r="X1169" s="22"/>
      <c r="Y1169" s="22"/>
      <c r="Z1169" s="22"/>
      <c r="AA1169" s="22"/>
      <c r="AB1169" s="22"/>
      <c r="AC1169" s="22"/>
      <c r="AD1169" s="22"/>
      <c r="AE1169" s="22"/>
      <c r="AG1169" s="71"/>
      <c r="AH1169" s="71"/>
      <c r="AI1169" s="71"/>
      <c r="AJ1169" s="71"/>
      <c r="AK1169" s="71"/>
      <c r="AL1169" s="71"/>
      <c r="AM1169" s="71"/>
      <c r="AN1169" s="71"/>
      <c r="AO1169" s="71"/>
      <c r="AP1169" s="71"/>
      <c r="AQ1169" s="71"/>
      <c r="AR1169" s="71"/>
      <c r="AS1169" s="94">
        <f t="shared" ca="1" si="1363"/>
        <v>0</v>
      </c>
      <c r="AT1169" s="95" t="str" cm="1">
        <f t="array" ref="AT1169">IFERROR(INDEX(AJ1169:AR1169,1,MATCH(2,1/(AJ1169:AR1169&lt;&gt;""))),"")</f>
        <v/>
      </c>
      <c r="AU1169" s="97" t="str">
        <f t="shared" si="1364"/>
        <v/>
      </c>
      <c r="AW1169" s="83">
        <f t="shared" si="1365"/>
        <v>0</v>
      </c>
      <c r="AX1169" s="83">
        <f t="shared" si="1366"/>
        <v>0</v>
      </c>
      <c r="AY1169" s="83">
        <f t="shared" si="1367"/>
        <v>0</v>
      </c>
      <c r="AZ1169" s="83">
        <f t="shared" si="1368"/>
        <v>0</v>
      </c>
      <c r="BA1169" s="51"/>
      <c r="BB1169" s="51"/>
      <c r="BC1169" s="51"/>
      <c r="BD1169" s="51"/>
      <c r="BE1169" s="51"/>
      <c r="BF1169" s="51"/>
      <c r="BG1169" s="51"/>
      <c r="BH1169" s="51"/>
      <c r="BI1169" s="65" cm="1">
        <f t="array" ref="BI1169">IFERROR(INDEX(AW1169:BH1169,1,MATCH(2,1/(AW1169:BH1169&lt;&gt;""))),"")</f>
        <v>0</v>
      </c>
      <c r="BJ1169" s="68" cm="1">
        <f t="array" ref="BJ1169">IF(BM1169 = "", "",IFERROR(INDEX(AW1169:BH1169,1,MATCH(2,1/(AW1169:BH1169&lt;&gt;""),1)-1),""))</f>
        <v>0</v>
      </c>
      <c r="BK1169" s="58">
        <f>IF((IF(AW1169&gt;=115%,115%,AW1169) + IF(AX1169&gt;=115%,115%,AX1169) + IF(AY1169&gt;=115%,115%,AY1169) + (IF(AZ1169&gt;=115%,115%,AZ1169) + IF(BA1169&gt;=115%,115%,BA1169) + IF(BB1169&gt;=115%,115%,BB1169) + IF(BC1169&gt;=115%,115%,BC1169) + IF(BD1169&gt;=115%,115%,BD1169) + IF(BE1169&gt;=115%,115%,BE1169) + IF(BF1169&gt;=115%,115%,BF1169) + IF(BG1169&gt;=115%,115%,BG1169) + IF(BH1169&gt;=115%,115%,BH1169)))/_xlfn.XLOOKUP(F1169,Apuração!A:A,Apuração!B:B)&gt;=1.15,1.15,((IF(AZ1169&gt;=115%,115%,AZ1169) + IF(AX1169&gt;=115%,115%,AX1169) + IF(AY1169&gt;=115%,115%,AY1169) + (IF(AW1169&gt;=115%,115%,AW1169) + IF(BA1169&gt;=115%,115%,BA1169) + IF(BB1169&gt;=115%,115%,BB1169) + IF(BC1169&gt;=115%,115%,BC1169) + IF(BD1169&gt;=115%,115%,BD1169) + IF(BE1169&gt;=115%,115%,BE1169) + IF(BF1169&gt;=115%,115%,BF1169) + IF(BG1169&gt;=115%,115%,BG1169) + IF(BH1169&gt;=115%,115%,BH1169)))/_xlfn.XLOOKUP(F1169,Apuração!A:A,Apuração!B:B)))</f>
        <v>0</v>
      </c>
      <c r="BL1169" s="58" cm="1">
        <f t="array" aca="1" ref="BL1169" ca="1">IF(SUM(IFERROR(IF(INDEX(AW1169:INDEX(AW1169:BH1169, MATCH(2, 1/(AW1169:BH1169&lt;&gt;""), 1)-1), ROW(INDIRECT("1:" &amp; MATCH(2, 1/(AW1169:BH1169&lt;&gt;""), 1)-1))) &gt;= 115%, 115%, INDEX(AW1169:INDEX(AW1169:BH1169, MATCH(2, 1/(AW1169:BH1169&lt;&gt;""), 1)-1), ROW(INDIRECT("1:" &amp; MATCH(2, 1/(AW1169:BH1169&lt;&gt;""), 1)-1)))), 0))/_xlfn.XLOOKUP(F1169,Apuração!A:A,Apuração!B:B)&gt;=1.15,1.15,SUM(IFERROR(IF(INDEX(AW1169:INDEX(AW1169:BH1169, MATCH(2, 1/(AW1169:BH1169&lt;&gt;""), 1)-1), ROW(INDIRECT("1:" &amp; MATCH(2, 1/(AW1169:BH1169&lt;&gt;""), 1)-1))) &gt;= 115%, 115%, INDEX(AW1169:INDEX(AW1169:BH1169, MATCH(2, 1/(AW1169:BH1169&lt;&gt;""), 1)-1), ROW(INDIRECT("1:" &amp; MATCH(2, 1/(AW1169:BH1169&lt;&gt;""), 1)-1)))), 0))/_xlfn.XLOOKUP(F1169,Apuração!A:A,Apuração!B:B))</f>
        <v>0</v>
      </c>
      <c r="BM1169" s="55" cm="1">
        <f t="array" ref="BM1169">IFERROR(
   INDEX($AW$1:$BH$1,
      _xlfn.AGGREGATE(14, 6, COLUMN($AW$1:$BH$1)/(AW1169:BH1169&lt;&gt;""), 2) - COLUMN($AW$1) + 1
   ),
"")</f>
        <v>46082</v>
      </c>
      <c r="BN1169" s="55" cm="1">
        <f t="array" ref="BN1169">IFERROR(INDEX($AW$1:$BH$1,1,MATCH(2,1/(AW1169:BH1169&lt;&gt;""))),"")</f>
        <v>46113</v>
      </c>
      <c r="BO1169" s="53">
        <f ca="1">IFERROR(_xlfn.XLOOKUP(F1169,Apuração!A:A,Apuração!C:C)/_xlfn.XLOOKUP(F1169,Apuração!A:A,Apuração!B:B),0)</f>
        <v>0</v>
      </c>
      <c r="BP1169" s="53">
        <f ca="1">IFERROR(_xlfn.XLOOKUP(F1169,Apuração!A:A,Apuração!D:D)/_xlfn.XLOOKUP(F1169,Apuração!A:A,Apuração!B:B),0)</f>
        <v>0</v>
      </c>
      <c r="BQ1169" s="53">
        <f ca="1">IF(BK1169&gt;=BO1169,0,_xlfn.XLOOKUP(F1169,Apuração!A:A,Apuração!B:B)*(BO1169 + (1/_xlfn.XLOOKUP(F1169,Apuração!A:A,Apuração!B:B)) - BK1169))</f>
        <v>0</v>
      </c>
      <c r="BR1169" s="85">
        <f t="shared" ca="1" si="1369"/>
        <v>0</v>
      </c>
      <c r="BS1169" s="53">
        <f ca="1">IFERROR((_xlfn.XLOOKUP(F1169,Apuração!A:A,Apuração!C:C)+1)/_xlfn.XLOOKUP(F1169,Apuração!A:A,Apuração!B:B),0)</f>
        <v>0.14285714285714285</v>
      </c>
    </row>
    <row r="1170" spans="1:71" ht="25.95" hidden="1" customHeight="1" x14ac:dyDescent="0.3">
      <c r="A1170" s="20" t="s">
        <v>87</v>
      </c>
      <c r="B1170" s="4" t="s">
        <v>222</v>
      </c>
      <c r="C1170" s="5" t="s">
        <v>209</v>
      </c>
      <c r="D1170" s="5" t="s">
        <v>36</v>
      </c>
      <c r="E1170" s="4" t="str" cm="1">
        <f t="array" ref="E1170">_xlfn.IFS(
F1170 = "A partir de Abril", "Aguardando Execução na Distribuidora",
A1170 = "CAPACITAÇÃO", "Em execução no Corporativo",
TRUE, "Em Execução na Distribuidora"
)</f>
        <v>Em Execução na Distribuidora</v>
      </c>
      <c r="F1170" s="4" t="str" cm="1">
        <f t="array" ref="F1170">_xlfn.IFS(
AG1170 &lt;&gt; "", "Jan-Dez/26",
AH1170 &lt;&gt; "", "Fev-Dez/26",
AI1170 &lt;&gt; "", "Mar-Dez/26", AJ1170 &lt;&gt; "", "Abr-Dez/26",
TRUE, "A partir de Junho"
)</f>
        <v>Jan-Dez/26</v>
      </c>
      <c r="G1170" s="7" t="s">
        <v>37</v>
      </c>
      <c r="H1170" s="7" t="s">
        <v>38</v>
      </c>
      <c r="I1170" s="8" t="s">
        <v>223</v>
      </c>
      <c r="J1170" s="21" t="str" cm="1">
        <f t="array" aca="1" ref="J1170" ca="1">_xlfn.LET(
  _xlpm.actual_value_month, INDEX(T1170:AE1170, MATCH(DATE(YEAR(TODAY()), MONTH(TODAY()), 1), $T$1:$AE$1, 0)),
  IF(_xlpm.actual_value_month &lt;&gt; "",_xlpm.actual_value_month &amp; " inspeções mensais", "")
)</f>
        <v>265 inspeções mensais</v>
      </c>
      <c r="K1170" s="8" t="str" cm="1">
        <f t="array" ref="K1170">_xlfn.LET(
    _xlpm.sum_month, SUM(T1170:AE1170),
    IF(_xlpm.sum_month = 0, "", _xlpm.sum_month &amp; " inspeções realizadas no ano")
)</f>
        <v>6010 inspeções realizadas no ano</v>
      </c>
      <c r="L1170" s="4" t="s">
        <v>144</v>
      </c>
      <c r="M1170" s="19" t="s">
        <v>224</v>
      </c>
      <c r="N1170" s="5" t="s">
        <v>42</v>
      </c>
      <c r="O1170" s="5" t="s">
        <v>43</v>
      </c>
      <c r="P1170" s="10" t="s">
        <v>44</v>
      </c>
      <c r="Q1170" s="10" t="s">
        <v>72</v>
      </c>
      <c r="R1170" s="11" t="s">
        <v>225</v>
      </c>
      <c r="S1170" s="11" t="s">
        <v>44</v>
      </c>
      <c r="T1170" s="22">
        <v>444</v>
      </c>
      <c r="U1170" s="22">
        <v>1428</v>
      </c>
      <c r="V1170" s="22">
        <v>1753</v>
      </c>
      <c r="W1170" s="123">
        <v>265</v>
      </c>
      <c r="X1170" s="22">
        <v>265</v>
      </c>
      <c r="Y1170" s="22">
        <v>265</v>
      </c>
      <c r="Z1170" s="22">
        <v>265</v>
      </c>
      <c r="AA1170" s="22">
        <v>265</v>
      </c>
      <c r="AB1170" s="22">
        <v>265</v>
      </c>
      <c r="AC1170" s="22">
        <v>265</v>
      </c>
      <c r="AD1170" s="22">
        <v>265</v>
      </c>
      <c r="AE1170" s="22">
        <v>265</v>
      </c>
      <c r="AG1170" s="71">
        <v>444</v>
      </c>
      <c r="AH1170" s="71">
        <v>1428</v>
      </c>
      <c r="AI1170" s="71">
        <v>1753</v>
      </c>
      <c r="AJ1170" s="71">
        <v>1901</v>
      </c>
      <c r="AK1170" s="71">
        <v>1825</v>
      </c>
      <c r="AL1170" s="71"/>
      <c r="AM1170" s="71"/>
      <c r="AN1170" s="71"/>
      <c r="AO1170" s="71"/>
      <c r="AP1170" s="71"/>
      <c r="AQ1170" s="71"/>
      <c r="AR1170" s="71"/>
      <c r="AS1170" s="94">
        <f ca="1">IF(MONTH(TODAY())=3,SUM(T1170:U1170),IF(MONTH(TODAY())=4,SUM(T1170:V1170),IF(MONTH(TODAY())=5,SUM(T1170:W1170),IF(MONTH(TODAY())=6,SUM(T1170:X1170),IF(MONTH(TODAY())=7,SUM(T1170:Y1170),IF(MONTH(TODAY())=8,SUM(T1170:Z1170),IF(MONTH(TODAY())=9,SUM(T1170:AA1170),IF(MONTH(TODAY())=10,SUM(T1170:AB1170),IF(MONTH(TODAY())=11,SUM(T1170:AC1170),IF(MONTH(TODAY())=12,SUM(T1170:AD1170),IF(MONTH(TODAY())=1,SUM(T1170:AE1170),T1170)))))))))))</f>
        <v>4155</v>
      </c>
      <c r="AT1170" s="95">
        <f>SUM(IF(AW1170&lt;1.15,AG1170,1.15*T1170),IF(AX1170&lt;1.15,AH1170,1.15*U1170),IF(AY1170&lt;1.15,AI1170,1.15*V1170),IF(AZ1170&lt;1.15,AJ1170,1.15*W1170),IF(BA1170&lt;1.15,AK1170,1.15*X1170),IF(BB1170&lt;1.15,AL1170,1.15*Y1170),IF(BC1170&lt;1.15,AM1170,1.15*Z1170),IF(BD1170&lt;1.15,AN1170,1.15*AA1170),IF(BE1170&lt;1.15,AO1170,1.15*AB1170),IF(BF1170&lt;1.15,AP1170,1.15*AC1170),IF(BG1170&lt;1.15,AQ1170,1.15*AD1170),IF(BH1170&lt;1.15,AR1170,1.15*AE1170))</f>
        <v>4234.5</v>
      </c>
      <c r="AU1170" s="97">
        <f>SUM(AG1170:AR1170)</f>
        <v>7351</v>
      </c>
      <c r="AW1170" s="51">
        <f>IFERROR(IF(AG1170="",0,AG1170/T1170),0)</f>
        <v>1</v>
      </c>
      <c r="AX1170" s="51">
        <f>IFERROR(IF(AH1170="",0,AH1170/U1170),0)</f>
        <v>1</v>
      </c>
      <c r="AY1170" s="51">
        <f>IFERROR(IF(AI1170="",0,AI1170/V1170),0)</f>
        <v>1</v>
      </c>
      <c r="AZ1170" s="51">
        <f>IFERROR(IF(AJ1170="",0,AJ1170/W1170),0)</f>
        <v>7.1735849056603778</v>
      </c>
      <c r="BA1170" s="51">
        <f t="shared" ref="BA1170:BA1175" si="1370">IFERROR(IF(AK1170="",0,AK1170/X1170),0)</f>
        <v>6.8867924528301883</v>
      </c>
      <c r="BB1170" s="51"/>
      <c r="BC1170" s="51"/>
      <c r="BD1170" s="51"/>
      <c r="BE1170" s="51"/>
      <c r="BF1170" s="51"/>
      <c r="BG1170" s="51"/>
      <c r="BH1170" s="51"/>
      <c r="BI1170" s="65" cm="1">
        <f t="array" ref="BI1170">IFERROR(INDEX(AW1170:BH1170,1,MATCH(2,1/(AW1170:BH1170&lt;&gt;""))),"")</f>
        <v>6.8867924528301883</v>
      </c>
      <c r="BJ1170" s="68" cm="1">
        <f t="array" ref="BJ1170">IF(BM1170 = "", "",IFERROR(INDEX(AW1170:BH1170,1,MATCH(2,1/(AW1170:BH1170&lt;&gt;""),1)-1),""))</f>
        <v>7.1735849056603778</v>
      </c>
      <c r="BK1170" s="58">
        <f>IF((IF(AW1170&gt;=115%,115%,AW1170) + IF(AX1170&gt;=115%,115%,AX1170) + IF(AY1170&gt;=115%,115%,AY1170) + (IF(AZ1170&gt;=115%,115%,AZ1170) + IF(BA1170&gt;=115%,115%,BA1170) + IF(BB1170&gt;=115%,115%,BB1170) + IF(BC1170&gt;=115%,115%,BC1170) + IF(BD1170&gt;=115%,115%,BD1170) + IF(BE1170&gt;=115%,115%,BE1170) + IF(BF1170&gt;=115%,115%,BF1170) + IF(BG1170&gt;=115%,115%,BG1170) + IF(BH1170&gt;=130%,130%,BH1170)))/_xlfn.XLOOKUP(F1170,Apuração!A:A,Apuração!B:B)&gt;=1.15,1.15,((IF(AZ1170&gt;=115%,115%,AZ1170) + IF(AX1170&gt;=115%,115%,AX1170) + IF(AY1170&gt;=115%,115%,AY1170) + (IF(AW1170&gt;=115%,115%,AW1170) + IF(BA1170&gt;=115%,115%,BA1170) + IF(BB1170&gt;=115%,115%,BB1170) + IF(BC1170&gt;=115%,115%,BC1170) + IF(BD1170&gt;=115%,115%,BD1170) + IF(BE1170&gt;=115%,115%,BE1170) + IF(BF1170&gt;=115%,115%,BF1170) + IF(BG1170&gt;=115%,115%,BG1170) + IF(BH1170&gt;=130%,130%,BH1170)))/_xlfn.XLOOKUP(F1170,Apuração!A:A,Apuração!B:B)))</f>
        <v>0.44166666666666665</v>
      </c>
      <c r="BL1170" s="58" cm="1">
        <f t="array" aca="1" ref="BL1170" ca="1">IF(SUM(IFERROR(IF(INDEX(AW1170:INDEX(AW1170:BH1170, MATCH(2, 1/(AW1170:BH1170&lt;&gt;""), 1)-1), ROW(INDIRECT("1:" &amp; MATCH(2, 1/(AW1170:BH1170&lt;&gt;""), 1)-1))) &gt;= 115%, 115%, INDEX(AW1170:INDEX(AW1170:BH1170, MATCH(2, 1/(AW1170:BH1170&lt;&gt;""), 1)-1), ROW(INDIRECT("1:" &amp; MATCH(2, 1/(AW1170:BH1170&lt;&gt;""), 1)-1)))), 0))/_xlfn.XLOOKUP(F1170,Apuração!A:A,Apuração!B:B)&gt;=1.15,1.15,SUM(IFERROR(IF(INDEX(AW1170:INDEX(AW1170:BH1170, MATCH(2, 1/(AW1170:BH1170&lt;&gt;""), 1)-1), ROW(INDIRECT("1:" &amp; MATCH(2, 1/(AW1170:BH1170&lt;&gt;""), 1)-1))) &gt;= 115%, 115%, INDEX(AW1170:INDEX(AW1170:BH1170, MATCH(2, 1/(AW1170:BH1170&lt;&gt;""), 1)-1), ROW(INDIRECT("1:" &amp; MATCH(2, 1/(AW1170:BH1170&lt;&gt;""), 1)-1)))), 0))/_xlfn.XLOOKUP(F1170,Apuração!A:A,Apuração!B:B))</f>
        <v>0.34583333333333338</v>
      </c>
      <c r="BM1170" s="55" cm="1">
        <f t="array" ref="BM1170">IFERROR(
   INDEX($AW$1:$BH$1,
      _xlfn.AGGREGATE(14, 6, COLUMN($AW$1:$BH$1)/(AW1170:BH1170&lt;&gt;""), 2) - COLUMN($AW$1) + 1
   ),
"")</f>
        <v>46113</v>
      </c>
      <c r="BN1170" s="55" cm="1">
        <f t="array" ref="BN1170">IFERROR(INDEX($AW$1:$BH$1,1,MATCH(2,1/(AW1170:BH1170&lt;&gt;""))),"")</f>
        <v>46143</v>
      </c>
      <c r="BO1170" s="53">
        <f ca="1">IFERROR(_xlfn.XLOOKUP(F1170,Apuração!A:A,Apuração!C:C)/_xlfn.XLOOKUP(F1170,Apuração!A:A,Apuração!B:B),0)</f>
        <v>0.41666666666666669</v>
      </c>
      <c r="BP1170" s="53">
        <f ca="1">IFERROR(_xlfn.XLOOKUP(F1170,Apuração!A:A,Apuração!D:D)/_xlfn.XLOOKUP(F1170,Apuração!A:A,Apuração!B:B),0)</f>
        <v>0.33333333333333331</v>
      </c>
      <c r="BQ1170" s="53">
        <f ca="1">IF(BK1170&gt;=BO1170,0,_xlfn.XLOOKUP(F1170,Apuração!A:A,Apuração!B:B)*(BO1170 + (1/_xlfn.XLOOKUP(F1170,Apuração!A:A,Apuração!B:B)) - BK1170))</f>
        <v>0</v>
      </c>
      <c r="BR1170" s="85">
        <f ca="1">IF(BQ1170=0,0,BQ1170*Z1170)</f>
        <v>0</v>
      </c>
      <c r="BS1170" s="53">
        <f ca="1">IFERROR((_xlfn.XLOOKUP(F1170,Apuração!A:A,Apuração!C:C)+1)/_xlfn.XLOOKUP(F1170,Apuração!A:A,Apuração!B:B),0)</f>
        <v>0.5</v>
      </c>
    </row>
    <row r="1171" spans="1:71" ht="25.95" hidden="1" customHeight="1" x14ac:dyDescent="0.3">
      <c r="A1171" s="20" t="s">
        <v>87</v>
      </c>
      <c r="B1171" s="4" t="s">
        <v>222</v>
      </c>
      <c r="C1171" s="5" t="s">
        <v>209</v>
      </c>
      <c r="D1171" s="5" t="s">
        <v>210</v>
      </c>
      <c r="E1171" s="4" t="str" cm="1">
        <f t="array" ref="E1171">_xlfn.IFS(
F1171 = "A partir de Abril", "Aguardando Execução na Distribuidora",
A1171 = "CAPACITAÇÃO", "Em execução no Corporativo",
TRUE, "Em Execução na Distribuidora"
)</f>
        <v>Em Execução na Distribuidora</v>
      </c>
      <c r="F1171" s="4" t="str" cm="1">
        <f t="array" ref="F1171">_xlfn.IFS(
AG1171 &lt;&gt; "", "Jan-Dez/26",
AH1171 &lt;&gt; "", "Fev-Dez/26",
AI1171 &lt;&gt; "", "Mar-Dez/26", AJ1171 &lt;&gt; "", "Abr-Dez/26",
TRUE, "A partir de Junho"
)</f>
        <v>Jan-Dez/26</v>
      </c>
      <c r="G1171" s="7" t="s">
        <v>37</v>
      </c>
      <c r="H1171" s="7" t="s">
        <v>38</v>
      </c>
      <c r="I1171" s="8" t="s">
        <v>223</v>
      </c>
      <c r="J1171" s="21" t="str" cm="1">
        <f t="array" aca="1" ref="J1171" ca="1">_xlfn.LET(
  _xlpm.actual_value_month, INDEX(T1171:AE1171, MATCH(DATE(YEAR(TODAY()), MONTH(TODAY()), 1), $T$1:$AE$1, 0)),
  IF(_xlpm.actual_value_month &lt;&gt; "",_xlpm.actual_value_month &amp; " inspeções mensais", "")
)</f>
        <v>51 inspeções mensais</v>
      </c>
      <c r="K1171" s="8" t="str" cm="1">
        <f t="array" ref="K1171">_xlfn.LET(
    _xlpm.sum_month, SUM(T1171:AE1171),
    IF(_xlpm.sum_month = 0, "", _xlpm.sum_month &amp; " inspeções realizadas no ano")
)</f>
        <v>1112 inspeções realizadas no ano</v>
      </c>
      <c r="L1171" s="4" t="s">
        <v>144</v>
      </c>
      <c r="M1171" s="19" t="s">
        <v>224</v>
      </c>
      <c r="N1171" s="5" t="s">
        <v>42</v>
      </c>
      <c r="O1171" s="5" t="s">
        <v>43</v>
      </c>
      <c r="P1171" s="10" t="s">
        <v>44</v>
      </c>
      <c r="Q1171" s="10" t="s">
        <v>72</v>
      </c>
      <c r="R1171" s="11" t="s">
        <v>225</v>
      </c>
      <c r="S1171" s="11" t="s">
        <v>44</v>
      </c>
      <c r="T1171" s="143">
        <v>58</v>
      </c>
      <c r="U1171" s="143">
        <v>265</v>
      </c>
      <c r="V1171" s="143">
        <v>330</v>
      </c>
      <c r="W1171" s="143">
        <v>51</v>
      </c>
      <c r="X1171" s="143">
        <v>51</v>
      </c>
      <c r="Y1171" s="143">
        <v>51</v>
      </c>
      <c r="Z1171" s="143">
        <v>51</v>
      </c>
      <c r="AA1171" s="143">
        <v>51</v>
      </c>
      <c r="AB1171" s="143">
        <v>51</v>
      </c>
      <c r="AC1171" s="143">
        <v>51</v>
      </c>
      <c r="AD1171" s="143">
        <v>51</v>
      </c>
      <c r="AE1171" s="143">
        <v>51</v>
      </c>
      <c r="AG1171" s="82">
        <v>58</v>
      </c>
      <c r="AH1171" s="82">
        <v>265</v>
      </c>
      <c r="AI1171" s="82">
        <v>330</v>
      </c>
      <c r="AJ1171" s="82">
        <v>289</v>
      </c>
      <c r="AK1171" s="71">
        <v>281</v>
      </c>
      <c r="AL1171" s="71"/>
      <c r="AM1171" s="71"/>
      <c r="AN1171" s="71"/>
      <c r="AO1171" s="71"/>
      <c r="AP1171" s="71"/>
      <c r="AQ1171" s="71"/>
      <c r="AR1171" s="71"/>
      <c r="AS1171" s="94">
        <f t="shared" ref="AS1171:AS1175" ca="1" si="1371">IF(MONTH(TODAY())=3,SUM(T1171:U1171),IF(MONTH(TODAY())=4,SUM(T1171:V1171),IF(MONTH(TODAY())=5,SUM(T1171:W1171),IF(MONTH(TODAY())=6,SUM(T1171:X1171),IF(MONTH(TODAY())=7,SUM(T1171:Y1171),IF(MONTH(TODAY())=8,SUM(T1171:Z1171),IF(MONTH(TODAY())=9,SUM(T1171:AA1171),IF(MONTH(TODAY())=10,SUM(T1171:AB1171),IF(MONTH(TODAY())=11,SUM(T1171:AC1171),IF(MONTH(TODAY())=12,SUM(T1171:AD1171),IF(MONTH(TODAY())=1,SUM(T1171:AE1171),T1171)))))))))))</f>
        <v>755</v>
      </c>
      <c r="AT1171" s="95">
        <f t="shared" ref="AT1171:AT1175" si="1372">SUM(IF(AW1171&lt;1.15,AG1171,1.15*T1171),IF(AX1171&lt;1.15,AH1171,1.15*U1171),IF(AY1171&lt;1.15,AI1171,1.15*V1171),IF(AZ1171&lt;1.15,AJ1171,1.15*W1171),IF(BA1171&lt;1.15,AK1171,1.15*X1171),IF(BB1171&lt;1.15,AL1171,1.15*Y1171),IF(BC1171&lt;1.15,AM1171,1.15*Z1171),IF(BD1171&lt;1.15,AN1171,1.15*AA1171),IF(BE1171&lt;1.15,AO1171,1.15*AB1171),IF(BF1171&lt;1.15,AP1171,1.15*AC1171),IF(BG1171&lt;1.15,AQ1171,1.15*AD1171),IF(BH1171&lt;1.15,AR1171,1.15*AE1171))</f>
        <v>770.3</v>
      </c>
      <c r="AU1171" s="97">
        <f t="shared" ref="AU1171:AU1175" si="1373">SUM(AG1171:AR1171)</f>
        <v>1223</v>
      </c>
      <c r="AW1171" s="51">
        <f t="shared" ref="AW1171:AW1175" si="1374">IFERROR(IF(AG1171="",0,AG1171/T1171),0)</f>
        <v>1</v>
      </c>
      <c r="AX1171" s="51">
        <f t="shared" ref="AX1171:AX1175" si="1375">IFERROR(IF(AH1171="",0,AH1171/U1171),0)</f>
        <v>1</v>
      </c>
      <c r="AY1171" s="51">
        <f t="shared" ref="AY1171:AY1175" si="1376">IFERROR(IF(AI1171="",0,AI1171/V1171),0)</f>
        <v>1</v>
      </c>
      <c r="AZ1171" s="51">
        <f t="shared" ref="AZ1171:AZ1175" si="1377">IFERROR(IF(AJ1171="",0,AJ1171/W1171),0)</f>
        <v>5.666666666666667</v>
      </c>
      <c r="BA1171" s="51">
        <f t="shared" si="1370"/>
        <v>5.5098039215686274</v>
      </c>
      <c r="BB1171" s="51"/>
      <c r="BC1171" s="51"/>
      <c r="BD1171" s="51"/>
      <c r="BE1171" s="51"/>
      <c r="BF1171" s="51"/>
      <c r="BG1171" s="51"/>
      <c r="BH1171" s="51"/>
      <c r="BI1171" s="65" cm="1">
        <f t="array" ref="BI1171">IFERROR(INDEX(AW1171:BH1171,1,MATCH(2,1/(AW1171:BH1171&lt;&gt;""))),"")</f>
        <v>5.5098039215686274</v>
      </c>
      <c r="BJ1171" s="68" cm="1">
        <f t="array" ref="BJ1171">IF(BM1171 = "", "",IFERROR(INDEX(AW1171:BH1171,1,MATCH(2,1/(AW1171:BH1171&lt;&gt;""),1)-1),""))</f>
        <v>5.666666666666667</v>
      </c>
      <c r="BK1171" s="58">
        <f>IF((IF(AW1171&gt;=115%,115%,AW1171) + IF(AX1171&gt;=115%,115%,AX1171) + IF(AY1171&gt;=115%,115%,AY1171) + (IF(AZ1171&gt;=115%,115%,AZ1171) + IF(BA1171&gt;=115%,115%,BA1171) + IF(BB1171&gt;=115%,115%,BB1171) + IF(BC1171&gt;=115%,115%,BC1171) + IF(BD1171&gt;=115%,115%,BD1171) + IF(BE1171&gt;=115%,115%,BE1171) + IF(BF1171&gt;=115%,115%,BF1171) + IF(BG1171&gt;=115%,115%,BG1171) + IF(BH1171&gt;=130%,130%,BH1171)))/_xlfn.XLOOKUP(F1171,Apuração!A:A,Apuração!B:B)&gt;=1.15,1.15,((IF(AZ1171&gt;=115%,115%,AZ1171) + IF(AX1171&gt;=115%,115%,AX1171) + IF(AY1171&gt;=115%,115%,AY1171) + (IF(AW1171&gt;=115%,115%,AW1171) + IF(BA1171&gt;=115%,115%,BA1171) + IF(BB1171&gt;=115%,115%,BB1171) + IF(BC1171&gt;=115%,115%,BC1171) + IF(BD1171&gt;=115%,115%,BD1171) + IF(BE1171&gt;=115%,115%,BE1171) + IF(BF1171&gt;=115%,115%,BF1171) + IF(BG1171&gt;=115%,115%,BG1171) + IF(BH1171&gt;=130%,130%,BH1171)))/_xlfn.XLOOKUP(F1171,Apuração!A:A,Apuração!B:B)))</f>
        <v>0.44166666666666665</v>
      </c>
      <c r="BL1171" s="58" cm="1">
        <f t="array" aca="1" ref="BL1171" ca="1">IF(SUM(IFERROR(IF(INDEX(AW1171:INDEX(AW1171:BH1171, MATCH(2, 1/(AW1171:BH1171&lt;&gt;""), 1)-1), ROW(INDIRECT("1:" &amp; MATCH(2, 1/(AW1171:BH1171&lt;&gt;""), 1)-1))) &gt;= 115%, 115%, INDEX(AW1171:INDEX(AW1171:BH1171, MATCH(2, 1/(AW1171:BH1171&lt;&gt;""), 1)-1), ROW(INDIRECT("1:" &amp; MATCH(2, 1/(AW1171:BH1171&lt;&gt;""), 1)-1)))), 0))/_xlfn.XLOOKUP(F1171,Apuração!A:A,Apuração!B:B)&gt;=1.15,1.15,SUM(IFERROR(IF(INDEX(AW1171:INDEX(AW1171:BH1171, MATCH(2, 1/(AW1171:BH1171&lt;&gt;""), 1)-1), ROW(INDIRECT("1:" &amp; MATCH(2, 1/(AW1171:BH1171&lt;&gt;""), 1)-1))) &gt;= 115%, 115%, INDEX(AW1171:INDEX(AW1171:BH1171, MATCH(2, 1/(AW1171:BH1171&lt;&gt;""), 1)-1), ROW(INDIRECT("1:" &amp; MATCH(2, 1/(AW1171:BH1171&lt;&gt;""), 1)-1)))), 0))/_xlfn.XLOOKUP(F1171,Apuração!A:A,Apuração!B:B))</f>
        <v>0.34583333333333338</v>
      </c>
      <c r="BM1171" s="55" cm="1">
        <f t="array" ref="BM1171">IFERROR(
   INDEX($AW$1:$BH$1,
      _xlfn.AGGREGATE(14, 6, COLUMN($AW$1:$BH$1)/(AW1171:BH1171&lt;&gt;""), 2) - COLUMN($AW$1) + 1
   ),
"")</f>
        <v>46113</v>
      </c>
      <c r="BN1171" s="55" cm="1">
        <f t="array" ref="BN1171">IFERROR(INDEX($AW$1:$BH$1,1,MATCH(2,1/(AW1171:BH1171&lt;&gt;""))),"")</f>
        <v>46143</v>
      </c>
      <c r="BO1171" s="53">
        <f ca="1">IFERROR(_xlfn.XLOOKUP(F1171,Apuração!A:A,Apuração!C:C)/_xlfn.XLOOKUP(F1171,Apuração!A:A,Apuração!B:B),0)</f>
        <v>0.41666666666666669</v>
      </c>
      <c r="BP1171" s="53">
        <f ca="1">IFERROR(_xlfn.XLOOKUP(F1171,Apuração!A:A,Apuração!D:D)/_xlfn.XLOOKUP(F1171,Apuração!A:A,Apuração!B:B),0)</f>
        <v>0.33333333333333331</v>
      </c>
      <c r="BQ1171" s="53">
        <f ca="1">IF(BK1171&gt;=BO1171,0,_xlfn.XLOOKUP(F1171,Apuração!A:A,Apuração!B:B)*(BO1171 + (1/_xlfn.XLOOKUP(F1171,Apuração!A:A,Apuração!B:B)) - BK1171))</f>
        <v>0</v>
      </c>
      <c r="BR1171" s="85">
        <f t="shared" ref="BR1171:BR1175" ca="1" si="1378">IF(BQ1171=0,0,BQ1171*Z1171)</f>
        <v>0</v>
      </c>
      <c r="BS1171" s="53">
        <f ca="1">IFERROR((_xlfn.XLOOKUP(F1171,Apuração!A:A,Apuração!C:C)+1)/_xlfn.XLOOKUP(F1171,Apuração!A:A,Apuração!B:B),0)</f>
        <v>0.5</v>
      </c>
    </row>
    <row r="1172" spans="1:71" ht="25.95" hidden="1" customHeight="1" x14ac:dyDescent="0.3">
      <c r="A1172" s="20" t="s">
        <v>87</v>
      </c>
      <c r="B1172" s="4" t="s">
        <v>222</v>
      </c>
      <c r="C1172" s="5" t="s">
        <v>209</v>
      </c>
      <c r="D1172" s="5" t="s">
        <v>47</v>
      </c>
      <c r="E1172" s="4" t="str" cm="1">
        <f t="array" ref="E1172">_xlfn.IFS(
F1172 = "A partir de Abril", "Aguardando Execução na Distribuidora",
A1172 = "CAPACITAÇÃO", "Em execução no Corporativo",
TRUE, "Em Execução na Distribuidora"
)</f>
        <v>Em Execução na Distribuidora</v>
      </c>
      <c r="F1172" s="4" t="str" cm="1">
        <f t="array" ref="F1172">_xlfn.IFS(
AG1172 &lt;&gt; "", "Jan-Dez/26",
AH1172 &lt;&gt; "", "Fev-Dez/26",
AI1172 &lt;&gt; "", "Mar-Dez/26", AJ1172 &lt;&gt; "", "Abr-Dez/26",
TRUE, "A partir de Junho"
)</f>
        <v>Jan-Dez/26</v>
      </c>
      <c r="G1172" s="7" t="s">
        <v>37</v>
      </c>
      <c r="H1172" s="7" t="s">
        <v>38</v>
      </c>
      <c r="I1172" s="8" t="s">
        <v>223</v>
      </c>
      <c r="J1172" s="21" t="str" cm="1">
        <f t="array" aca="1" ref="J1172" ca="1">_xlfn.LET(
  _xlpm.actual_value_month, INDEX(T1172:AE1172, MATCH(DATE(YEAR(TODAY()), MONTH(TODAY()), 1), $T$1:$AE$1, 0)),
  IF(_xlpm.actual_value_month &lt;&gt; "",_xlpm.actual_value_month &amp; " inspeções mensais", "")
)</f>
        <v>42 inspeções mensais</v>
      </c>
      <c r="K1172" s="8" t="str" cm="1">
        <f t="array" ref="K1172">_xlfn.LET(
    _xlpm.sum_month, SUM(T1172:AE1172),
    IF(_xlpm.sum_month = 0, "", _xlpm.sum_month &amp; " inspeções realizadas no ano")
)</f>
        <v>1297 inspeções realizadas no ano</v>
      </c>
      <c r="L1172" s="4" t="s">
        <v>144</v>
      </c>
      <c r="M1172" s="19" t="s">
        <v>224</v>
      </c>
      <c r="N1172" s="5" t="s">
        <v>42</v>
      </c>
      <c r="O1172" s="5" t="s">
        <v>43</v>
      </c>
      <c r="P1172" s="10" t="s">
        <v>44</v>
      </c>
      <c r="Q1172" s="10" t="s">
        <v>72</v>
      </c>
      <c r="R1172" s="11" t="s">
        <v>225</v>
      </c>
      <c r="S1172" s="11" t="s">
        <v>44</v>
      </c>
      <c r="T1172" s="143">
        <v>55</v>
      </c>
      <c r="U1172" s="143">
        <v>295</v>
      </c>
      <c r="V1172" s="143">
        <v>569</v>
      </c>
      <c r="W1172" s="143">
        <v>42</v>
      </c>
      <c r="X1172" s="143">
        <v>42</v>
      </c>
      <c r="Y1172" s="143">
        <v>42</v>
      </c>
      <c r="Z1172" s="143">
        <v>42</v>
      </c>
      <c r="AA1172" s="143">
        <v>42</v>
      </c>
      <c r="AB1172" s="143">
        <v>42</v>
      </c>
      <c r="AC1172" s="143">
        <v>42</v>
      </c>
      <c r="AD1172" s="143">
        <v>42</v>
      </c>
      <c r="AE1172" s="143">
        <v>42</v>
      </c>
      <c r="AG1172" s="82">
        <v>55</v>
      </c>
      <c r="AH1172" s="82">
        <v>295</v>
      </c>
      <c r="AI1172" s="82">
        <v>569</v>
      </c>
      <c r="AJ1172" s="82">
        <v>580</v>
      </c>
      <c r="AK1172" s="71">
        <v>483</v>
      </c>
      <c r="AL1172" s="71"/>
      <c r="AM1172" s="71"/>
      <c r="AN1172" s="71"/>
      <c r="AO1172" s="71"/>
      <c r="AP1172" s="71"/>
      <c r="AQ1172" s="71"/>
      <c r="AR1172" s="71"/>
      <c r="AS1172" s="94">
        <f t="shared" ca="1" si="1371"/>
        <v>1003</v>
      </c>
      <c r="AT1172" s="95">
        <f t="shared" si="1372"/>
        <v>1015.5999999999999</v>
      </c>
      <c r="AU1172" s="97">
        <f t="shared" si="1373"/>
        <v>1982</v>
      </c>
      <c r="AW1172" s="51">
        <f t="shared" si="1374"/>
        <v>1</v>
      </c>
      <c r="AX1172" s="51">
        <f t="shared" si="1375"/>
        <v>1</v>
      </c>
      <c r="AY1172" s="51">
        <f t="shared" si="1376"/>
        <v>1</v>
      </c>
      <c r="AZ1172" s="51">
        <f t="shared" si="1377"/>
        <v>13.80952380952381</v>
      </c>
      <c r="BA1172" s="51">
        <f t="shared" si="1370"/>
        <v>11.5</v>
      </c>
      <c r="BB1172" s="51"/>
      <c r="BC1172" s="51"/>
      <c r="BD1172" s="51"/>
      <c r="BE1172" s="51"/>
      <c r="BF1172" s="51"/>
      <c r="BG1172" s="51"/>
      <c r="BH1172" s="51"/>
      <c r="BI1172" s="65" cm="1">
        <f t="array" ref="BI1172">IFERROR(INDEX(AW1172:BH1172,1,MATCH(2,1/(AW1172:BH1172&lt;&gt;""))),"")</f>
        <v>11.5</v>
      </c>
      <c r="BJ1172" s="68" cm="1">
        <f t="array" ref="BJ1172">IF(BM1172 = "", "",IFERROR(INDEX(AW1172:BH1172,1,MATCH(2,1/(AW1172:BH1172&lt;&gt;""),1)-1),""))</f>
        <v>13.80952380952381</v>
      </c>
      <c r="BK1172" s="58">
        <f>IF((IF(AW1172&gt;=115%,115%,AW1172) + IF(AX1172&gt;=115%,115%,AX1172) + IF(AY1172&gt;=115%,115%,AY1172) + (IF(AZ1172&gt;=115%,115%,AZ1172) + IF(BA1172&gt;=115%,115%,BA1172) + IF(BB1172&gt;=115%,115%,BB1172) + IF(BC1172&gt;=115%,115%,BC1172) + IF(BD1172&gt;=115%,115%,BD1172) + IF(BE1172&gt;=115%,115%,BE1172) + IF(BF1172&gt;=115%,115%,BF1172) + IF(BG1172&gt;=115%,115%,BG1172) + IF(BH1172&gt;=130%,130%,BH1172)))/_xlfn.XLOOKUP(F1172,Apuração!A:A,Apuração!B:B)&gt;=1.15,1.15,((IF(AZ1172&gt;=115%,115%,AZ1172) + IF(AX1172&gt;=115%,115%,AX1172) + IF(AY1172&gt;=115%,115%,AY1172) + (IF(AW1172&gt;=115%,115%,AW1172) + IF(BA1172&gt;=115%,115%,BA1172) + IF(BB1172&gt;=115%,115%,BB1172) + IF(BC1172&gt;=115%,115%,BC1172) + IF(BD1172&gt;=115%,115%,BD1172) + IF(BE1172&gt;=115%,115%,BE1172) + IF(BF1172&gt;=115%,115%,BF1172) + IF(BG1172&gt;=115%,115%,BG1172) + IF(BH1172&gt;=130%,130%,BH1172)))/_xlfn.XLOOKUP(F1172,Apuração!A:A,Apuração!B:B)))</f>
        <v>0.44166666666666665</v>
      </c>
      <c r="BL1172" s="58" cm="1">
        <f t="array" aca="1" ref="BL1172" ca="1">IF(SUM(IFERROR(IF(INDEX(AW1172:INDEX(AW1172:BH1172, MATCH(2, 1/(AW1172:BH1172&lt;&gt;""), 1)-1), ROW(INDIRECT("1:" &amp; MATCH(2, 1/(AW1172:BH1172&lt;&gt;""), 1)-1))) &gt;= 115%, 115%, INDEX(AW1172:INDEX(AW1172:BH1172, MATCH(2, 1/(AW1172:BH1172&lt;&gt;""), 1)-1), ROW(INDIRECT("1:" &amp; MATCH(2, 1/(AW1172:BH1172&lt;&gt;""), 1)-1)))), 0))/_xlfn.XLOOKUP(F1172,Apuração!A:A,Apuração!B:B)&gt;=1.15,1.15,SUM(IFERROR(IF(INDEX(AW1172:INDEX(AW1172:BH1172, MATCH(2, 1/(AW1172:BH1172&lt;&gt;""), 1)-1), ROW(INDIRECT("1:" &amp; MATCH(2, 1/(AW1172:BH1172&lt;&gt;""), 1)-1))) &gt;= 115%, 115%, INDEX(AW1172:INDEX(AW1172:BH1172, MATCH(2, 1/(AW1172:BH1172&lt;&gt;""), 1)-1), ROW(INDIRECT("1:" &amp; MATCH(2, 1/(AW1172:BH1172&lt;&gt;""), 1)-1)))), 0))/_xlfn.XLOOKUP(F1172,Apuração!A:A,Apuração!B:B))</f>
        <v>0.34583333333333338</v>
      </c>
      <c r="BM1172" s="55" cm="1">
        <f t="array" ref="BM1172">IFERROR(
   INDEX($AW$1:$BH$1,
      _xlfn.AGGREGATE(14, 6, COLUMN($AW$1:$BH$1)/(AW1172:BH1172&lt;&gt;""), 2) - COLUMN($AW$1) + 1
   ),
"")</f>
        <v>46113</v>
      </c>
      <c r="BN1172" s="55" cm="1">
        <f t="array" ref="BN1172">IFERROR(INDEX($AW$1:$BH$1,1,MATCH(2,1/(AW1172:BH1172&lt;&gt;""))),"")</f>
        <v>46143</v>
      </c>
      <c r="BO1172" s="53">
        <f ca="1">IFERROR(_xlfn.XLOOKUP(F1172,Apuração!A:A,Apuração!C:C)/_xlfn.XLOOKUP(F1172,Apuração!A:A,Apuração!B:B),0)</f>
        <v>0.41666666666666669</v>
      </c>
      <c r="BP1172" s="53">
        <f ca="1">IFERROR(_xlfn.XLOOKUP(F1172,Apuração!A:A,Apuração!D:D)/_xlfn.XLOOKUP(F1172,Apuração!A:A,Apuração!B:B),0)</f>
        <v>0.33333333333333331</v>
      </c>
      <c r="BQ1172" s="53">
        <f ca="1">IF(BK1172&gt;=BO1172,0,_xlfn.XLOOKUP(F1172,Apuração!A:A,Apuração!B:B)*(BO1172 + (1/_xlfn.XLOOKUP(F1172,Apuração!A:A,Apuração!B:B)) - BK1172))</f>
        <v>0</v>
      </c>
      <c r="BR1172" s="85">
        <f t="shared" ca="1" si="1378"/>
        <v>0</v>
      </c>
      <c r="BS1172" s="53">
        <f ca="1">IFERROR((_xlfn.XLOOKUP(F1172,Apuração!A:A,Apuração!C:C)+1)/_xlfn.XLOOKUP(F1172,Apuração!A:A,Apuração!B:B),0)</f>
        <v>0.5</v>
      </c>
    </row>
    <row r="1173" spans="1:71" ht="25.95" hidden="1" customHeight="1" x14ac:dyDescent="0.3">
      <c r="A1173" s="20" t="s">
        <v>87</v>
      </c>
      <c r="B1173" s="4" t="s">
        <v>222</v>
      </c>
      <c r="C1173" s="5" t="s">
        <v>209</v>
      </c>
      <c r="D1173" s="5" t="s">
        <v>211</v>
      </c>
      <c r="E1173" s="4" t="str" cm="1">
        <f t="array" ref="E1173">_xlfn.IFS(
F1173 = "A partir de Abril", "Aguardando Execução na Distribuidora",
A1173 = "CAPACITAÇÃO", "Em execução no Corporativo",
TRUE, "Em Execução na Distribuidora"
)</f>
        <v>Em Execução na Distribuidora</v>
      </c>
      <c r="F1173" s="4" t="str" cm="1">
        <f t="array" ref="F1173">_xlfn.IFS(
AG1173 &lt;&gt; "", "Jan-Dez/26",
AH1173 &lt;&gt; "", "Fev-Dez/26",
AI1173 &lt;&gt; "", "Mar-Dez/26", AJ1173 &lt;&gt; "", "Abr-Dez/26",
TRUE, "A partir de Junho"
)</f>
        <v>Jan-Dez/26</v>
      </c>
      <c r="G1173" s="7" t="s">
        <v>37</v>
      </c>
      <c r="H1173" s="7" t="s">
        <v>38</v>
      </c>
      <c r="I1173" s="8" t="s">
        <v>223</v>
      </c>
      <c r="J1173" s="21" t="str" cm="1">
        <f t="array" aca="1" ref="J1173" ca="1">_xlfn.LET(
  _xlpm.actual_value_month, INDEX(T1173:AE1173, MATCH(DATE(YEAR(TODAY()), MONTH(TODAY()), 1), $T$1:$AE$1, 0)),
  IF(_xlpm.actual_value_month &lt;&gt; "",_xlpm.actual_value_month &amp; " inspeções mensais", "")
)</f>
        <v>18 inspeções mensais</v>
      </c>
      <c r="K1173" s="8" t="str" cm="1">
        <f t="array" ref="K1173">_xlfn.LET(
    _xlpm.sum_month, SUM(T1173:AE1173),
    IF(_xlpm.sum_month = 0, "", _xlpm.sum_month &amp; " inspeções realizadas no ano")
)</f>
        <v>561 inspeções realizadas no ano</v>
      </c>
      <c r="L1173" s="4" t="s">
        <v>144</v>
      </c>
      <c r="M1173" s="19" t="s">
        <v>224</v>
      </c>
      <c r="N1173" s="5" t="s">
        <v>42</v>
      </c>
      <c r="O1173" s="5" t="s">
        <v>43</v>
      </c>
      <c r="P1173" s="10" t="s">
        <v>44</v>
      </c>
      <c r="Q1173" s="10" t="s">
        <v>72</v>
      </c>
      <c r="R1173" s="11" t="s">
        <v>225</v>
      </c>
      <c r="S1173" s="11" t="s">
        <v>44</v>
      </c>
      <c r="T1173" s="143">
        <v>61</v>
      </c>
      <c r="U1173" s="143">
        <v>191</v>
      </c>
      <c r="V1173" s="143">
        <v>147</v>
      </c>
      <c r="W1173" s="143">
        <v>18</v>
      </c>
      <c r="X1173" s="143">
        <v>18</v>
      </c>
      <c r="Y1173" s="143">
        <v>18</v>
      </c>
      <c r="Z1173" s="143">
        <v>18</v>
      </c>
      <c r="AA1173" s="143">
        <v>18</v>
      </c>
      <c r="AB1173" s="143">
        <v>18</v>
      </c>
      <c r="AC1173" s="143">
        <v>18</v>
      </c>
      <c r="AD1173" s="143">
        <v>18</v>
      </c>
      <c r="AE1173" s="143">
        <v>18</v>
      </c>
      <c r="AG1173" s="82">
        <v>61</v>
      </c>
      <c r="AH1173" s="82">
        <v>191</v>
      </c>
      <c r="AI1173" s="82">
        <v>147</v>
      </c>
      <c r="AJ1173" s="82">
        <v>355</v>
      </c>
      <c r="AK1173" s="71">
        <v>349</v>
      </c>
      <c r="AL1173" s="71"/>
      <c r="AM1173" s="71"/>
      <c r="AN1173" s="71"/>
      <c r="AO1173" s="71"/>
      <c r="AP1173" s="71"/>
      <c r="AQ1173" s="71"/>
      <c r="AR1173" s="71"/>
      <c r="AS1173" s="94">
        <f t="shared" ca="1" si="1371"/>
        <v>435</v>
      </c>
      <c r="AT1173" s="95">
        <f t="shared" si="1372"/>
        <v>440.4</v>
      </c>
      <c r="AU1173" s="97">
        <f t="shared" si="1373"/>
        <v>1103</v>
      </c>
      <c r="AW1173" s="51">
        <f t="shared" si="1374"/>
        <v>1</v>
      </c>
      <c r="AX1173" s="51">
        <f t="shared" si="1375"/>
        <v>1</v>
      </c>
      <c r="AY1173" s="51">
        <f t="shared" si="1376"/>
        <v>1</v>
      </c>
      <c r="AZ1173" s="51">
        <f t="shared" si="1377"/>
        <v>19.722222222222221</v>
      </c>
      <c r="BA1173" s="51">
        <f t="shared" si="1370"/>
        <v>19.388888888888889</v>
      </c>
      <c r="BB1173" s="51"/>
      <c r="BC1173" s="51"/>
      <c r="BD1173" s="51"/>
      <c r="BE1173" s="51"/>
      <c r="BF1173" s="51"/>
      <c r="BG1173" s="51"/>
      <c r="BH1173" s="51"/>
      <c r="BI1173" s="65" cm="1">
        <f t="array" ref="BI1173">IFERROR(INDEX(AW1173:BH1173,1,MATCH(2,1/(AW1173:BH1173&lt;&gt;""))),"")</f>
        <v>19.388888888888889</v>
      </c>
      <c r="BJ1173" s="68" cm="1">
        <f t="array" ref="BJ1173">IF(BM1173 = "", "",IFERROR(INDEX(AW1173:BH1173,1,MATCH(2,1/(AW1173:BH1173&lt;&gt;""),1)-1),""))</f>
        <v>19.722222222222221</v>
      </c>
      <c r="BK1173" s="58">
        <f>IF((IF(AW1173&gt;=115%,115%,AW1173) + IF(AX1173&gt;=115%,115%,AX1173) + IF(AY1173&gt;=115%,115%,AY1173) + (IF(AZ1173&gt;=115%,115%,AZ1173) + IF(BA1173&gt;=115%,115%,BA1173) + IF(BB1173&gt;=115%,115%,BB1173) + IF(BC1173&gt;=115%,115%,BC1173) + IF(BD1173&gt;=115%,115%,BD1173) + IF(BE1173&gt;=115%,115%,BE1173) + IF(BF1173&gt;=115%,115%,BF1173) + IF(BG1173&gt;=115%,115%,BG1173) + IF(BH1173&gt;=130%,130%,BH1173)))/_xlfn.XLOOKUP(F1173,Apuração!A:A,Apuração!B:B)&gt;=1.15,1.15,((IF(AZ1173&gt;=115%,115%,AZ1173) + IF(AX1173&gt;=115%,115%,AX1173) + IF(AY1173&gt;=115%,115%,AY1173) + (IF(AW1173&gt;=115%,115%,AW1173) + IF(BA1173&gt;=115%,115%,BA1173) + IF(BB1173&gt;=115%,115%,BB1173) + IF(BC1173&gt;=115%,115%,BC1173) + IF(BD1173&gt;=115%,115%,BD1173) + IF(BE1173&gt;=115%,115%,BE1173) + IF(BF1173&gt;=115%,115%,BF1173) + IF(BG1173&gt;=115%,115%,BG1173) + IF(BH1173&gt;=130%,130%,BH1173)))/_xlfn.XLOOKUP(F1173,Apuração!A:A,Apuração!B:B)))</f>
        <v>0.44166666666666665</v>
      </c>
      <c r="BL1173" s="58" cm="1">
        <f t="array" aca="1" ref="BL1173" ca="1">IF(SUM(IFERROR(IF(INDEX(AW1173:INDEX(AW1173:BH1173, MATCH(2, 1/(AW1173:BH1173&lt;&gt;""), 1)-1), ROW(INDIRECT("1:" &amp; MATCH(2, 1/(AW1173:BH1173&lt;&gt;""), 1)-1))) &gt;= 115%, 115%, INDEX(AW1173:INDEX(AW1173:BH1173, MATCH(2, 1/(AW1173:BH1173&lt;&gt;""), 1)-1), ROW(INDIRECT("1:" &amp; MATCH(2, 1/(AW1173:BH1173&lt;&gt;""), 1)-1)))), 0))/_xlfn.XLOOKUP(F1173,Apuração!A:A,Apuração!B:B)&gt;=1.15,1.15,SUM(IFERROR(IF(INDEX(AW1173:INDEX(AW1173:BH1173, MATCH(2, 1/(AW1173:BH1173&lt;&gt;""), 1)-1), ROW(INDIRECT("1:" &amp; MATCH(2, 1/(AW1173:BH1173&lt;&gt;""), 1)-1))) &gt;= 115%, 115%, INDEX(AW1173:INDEX(AW1173:BH1173, MATCH(2, 1/(AW1173:BH1173&lt;&gt;""), 1)-1), ROW(INDIRECT("1:" &amp; MATCH(2, 1/(AW1173:BH1173&lt;&gt;""), 1)-1)))), 0))/_xlfn.XLOOKUP(F1173,Apuração!A:A,Apuração!B:B))</f>
        <v>0.34583333333333338</v>
      </c>
      <c r="BM1173" s="55" cm="1">
        <f t="array" ref="BM1173">IFERROR(
   INDEX($AW$1:$BH$1,
      _xlfn.AGGREGATE(14, 6, COLUMN($AW$1:$BH$1)/(AW1173:BH1173&lt;&gt;""), 2) - COLUMN($AW$1) + 1
   ),
"")</f>
        <v>46113</v>
      </c>
      <c r="BN1173" s="55" cm="1">
        <f t="array" ref="BN1173">IFERROR(INDEX($AW$1:$BH$1,1,MATCH(2,1/(AW1173:BH1173&lt;&gt;""))),"")</f>
        <v>46143</v>
      </c>
      <c r="BO1173" s="53">
        <f ca="1">IFERROR(_xlfn.XLOOKUP(F1173,Apuração!A:A,Apuração!C:C)/_xlfn.XLOOKUP(F1173,Apuração!A:A,Apuração!B:B),0)</f>
        <v>0.41666666666666669</v>
      </c>
      <c r="BP1173" s="53">
        <f ca="1">IFERROR(_xlfn.XLOOKUP(F1173,Apuração!A:A,Apuração!D:D)/_xlfn.XLOOKUP(F1173,Apuração!A:A,Apuração!B:B),0)</f>
        <v>0.33333333333333331</v>
      </c>
      <c r="BQ1173" s="53">
        <f ca="1">IF(BK1173&gt;=BO1173,0,_xlfn.XLOOKUP(F1173,Apuração!A:A,Apuração!B:B)*(BO1173 + (1/_xlfn.XLOOKUP(F1173,Apuração!A:A,Apuração!B:B)) - BK1173))</f>
        <v>0</v>
      </c>
      <c r="BR1173" s="85">
        <f t="shared" ca="1" si="1378"/>
        <v>0</v>
      </c>
      <c r="BS1173" s="53">
        <f ca="1">IFERROR((_xlfn.XLOOKUP(F1173,Apuração!A:A,Apuração!C:C)+1)/_xlfn.XLOOKUP(F1173,Apuração!A:A,Apuração!B:B),0)</f>
        <v>0.5</v>
      </c>
    </row>
    <row r="1174" spans="1:71" ht="25.95" hidden="1" customHeight="1" x14ac:dyDescent="0.3">
      <c r="A1174" s="20" t="s">
        <v>87</v>
      </c>
      <c r="B1174" s="4" t="s">
        <v>222</v>
      </c>
      <c r="C1174" s="5" t="s">
        <v>209</v>
      </c>
      <c r="D1174" s="5" t="s">
        <v>212</v>
      </c>
      <c r="E1174" s="4" t="str" cm="1">
        <f t="array" ref="E1174">_xlfn.IFS(
F1174 = "A partir de Abril", "Aguardando Execução na Distribuidora",
A1174 = "CAPACITAÇÃO", "Em execução no Corporativo",
TRUE, "Em Execução na Distribuidora"
)</f>
        <v>Em Execução na Distribuidora</v>
      </c>
      <c r="F1174" s="4" t="str" cm="1">
        <f t="array" ref="F1174">_xlfn.IFS(
AG1174 &lt;&gt; "", "Jan-Dez/26",
AH1174 &lt;&gt; "", "Fev-Dez/26",
AI1174 &lt;&gt; "", "Mar-Dez/26", AJ1174 &lt;&gt; "", "Abr-Dez/26",
TRUE, "A partir de Junho"
)</f>
        <v>Jan-Dez/26</v>
      </c>
      <c r="G1174" s="7" t="s">
        <v>37</v>
      </c>
      <c r="H1174" s="7" t="s">
        <v>38</v>
      </c>
      <c r="I1174" s="8" t="s">
        <v>223</v>
      </c>
      <c r="J1174" s="21" t="str" cm="1">
        <f t="array" aca="1" ref="J1174" ca="1">_xlfn.LET(
  _xlpm.actual_value_month, INDEX(T1174:AE1174, MATCH(DATE(YEAR(TODAY()), MONTH(TODAY()), 1), $T$1:$AE$1, 0)),
  IF(_xlpm.actual_value_month &lt;&gt; "",_xlpm.actual_value_month &amp; " inspeções mensais", "")
)</f>
        <v>36 inspeções mensais</v>
      </c>
      <c r="K1174" s="8" t="str" cm="1">
        <f t="array" ref="K1174">_xlfn.LET(
    _xlpm.sum_month, SUM(T1174:AE1174),
    IF(_xlpm.sum_month = 0, "", _xlpm.sum_month &amp; " inspeções realizadas no ano")
)</f>
        <v>1447 inspeções realizadas no ano</v>
      </c>
      <c r="L1174" s="4" t="s">
        <v>144</v>
      </c>
      <c r="M1174" s="19" t="s">
        <v>224</v>
      </c>
      <c r="N1174" s="5" t="s">
        <v>42</v>
      </c>
      <c r="O1174" s="5" t="s">
        <v>43</v>
      </c>
      <c r="P1174" s="10" t="s">
        <v>44</v>
      </c>
      <c r="Q1174" s="10" t="s">
        <v>72</v>
      </c>
      <c r="R1174" s="11" t="s">
        <v>225</v>
      </c>
      <c r="S1174" s="11" t="s">
        <v>44</v>
      </c>
      <c r="T1174" s="143">
        <v>160</v>
      </c>
      <c r="U1174" s="143">
        <v>430</v>
      </c>
      <c r="V1174" s="143">
        <v>533</v>
      </c>
      <c r="W1174" s="143">
        <v>36</v>
      </c>
      <c r="X1174" s="143">
        <v>36</v>
      </c>
      <c r="Y1174" s="143">
        <v>36</v>
      </c>
      <c r="Z1174" s="143">
        <v>36</v>
      </c>
      <c r="AA1174" s="143">
        <v>36</v>
      </c>
      <c r="AB1174" s="143">
        <v>36</v>
      </c>
      <c r="AC1174" s="143">
        <v>36</v>
      </c>
      <c r="AD1174" s="143">
        <v>36</v>
      </c>
      <c r="AE1174" s="143">
        <v>36</v>
      </c>
      <c r="AG1174" s="82">
        <v>160</v>
      </c>
      <c r="AH1174" s="82">
        <v>430</v>
      </c>
      <c r="AI1174" s="82">
        <v>533</v>
      </c>
      <c r="AJ1174" s="82">
        <v>490</v>
      </c>
      <c r="AK1174" s="71">
        <v>426</v>
      </c>
      <c r="AL1174" s="71"/>
      <c r="AM1174" s="71"/>
      <c r="AN1174" s="71"/>
      <c r="AO1174" s="71"/>
      <c r="AP1174" s="71"/>
      <c r="AQ1174" s="71"/>
      <c r="AR1174" s="71"/>
      <c r="AS1174" s="94">
        <f t="shared" ca="1" si="1371"/>
        <v>1195</v>
      </c>
      <c r="AT1174" s="95">
        <f t="shared" si="1372"/>
        <v>1205.8000000000002</v>
      </c>
      <c r="AU1174" s="97">
        <f t="shared" si="1373"/>
        <v>2039</v>
      </c>
      <c r="AW1174" s="51">
        <f t="shared" si="1374"/>
        <v>1</v>
      </c>
      <c r="AX1174" s="51">
        <f t="shared" si="1375"/>
        <v>1</v>
      </c>
      <c r="AY1174" s="51">
        <f t="shared" si="1376"/>
        <v>1</v>
      </c>
      <c r="AZ1174" s="51">
        <f t="shared" si="1377"/>
        <v>13.611111111111111</v>
      </c>
      <c r="BA1174" s="51">
        <f t="shared" si="1370"/>
        <v>11.833333333333334</v>
      </c>
      <c r="BB1174" s="51"/>
      <c r="BC1174" s="51"/>
      <c r="BD1174" s="51"/>
      <c r="BE1174" s="51"/>
      <c r="BF1174" s="51"/>
      <c r="BG1174" s="51"/>
      <c r="BH1174" s="51"/>
      <c r="BI1174" s="65" cm="1">
        <f t="array" ref="BI1174">IFERROR(INDEX(AW1174:BH1174,1,MATCH(2,1/(AW1174:BH1174&lt;&gt;""))),"")</f>
        <v>11.833333333333334</v>
      </c>
      <c r="BJ1174" s="68" cm="1">
        <f t="array" ref="BJ1174">IF(BM1174 = "", "",IFERROR(INDEX(AW1174:BH1174,1,MATCH(2,1/(AW1174:BH1174&lt;&gt;""),1)-1),""))</f>
        <v>13.611111111111111</v>
      </c>
      <c r="BK1174" s="58">
        <f>IF((IF(AW1174&gt;=115%,115%,AW1174) + IF(AX1174&gt;=115%,115%,AX1174) + IF(AY1174&gt;=115%,115%,AY1174) + (IF(AZ1174&gt;=115%,115%,AZ1174) + IF(BA1174&gt;=115%,115%,BA1174) + IF(BB1174&gt;=115%,115%,BB1174) + IF(BC1174&gt;=115%,115%,BC1174) + IF(BD1174&gt;=115%,115%,BD1174) + IF(BE1174&gt;=115%,115%,BE1174) + IF(BF1174&gt;=115%,115%,BF1174) + IF(BG1174&gt;=115%,115%,BG1174) + IF(BH1174&gt;=130%,130%,BH1174)))/_xlfn.XLOOKUP(F1174,Apuração!A:A,Apuração!B:B)&gt;=1.15,1.15,((IF(AZ1174&gt;=115%,115%,AZ1174) + IF(AX1174&gt;=115%,115%,AX1174) + IF(AY1174&gt;=115%,115%,AY1174) + (IF(AW1174&gt;=115%,115%,AW1174) + IF(BA1174&gt;=115%,115%,BA1174) + IF(BB1174&gt;=115%,115%,BB1174) + IF(BC1174&gt;=115%,115%,BC1174) + IF(BD1174&gt;=115%,115%,BD1174) + IF(BE1174&gt;=115%,115%,BE1174) + IF(BF1174&gt;=115%,115%,BF1174) + IF(BG1174&gt;=115%,115%,BG1174) + IF(BH1174&gt;=130%,130%,BH1174)))/_xlfn.XLOOKUP(F1174,Apuração!A:A,Apuração!B:B)))</f>
        <v>0.44166666666666665</v>
      </c>
      <c r="BL1174" s="58" cm="1">
        <f t="array" aca="1" ref="BL1174" ca="1">IF(SUM(IFERROR(IF(INDEX(AW1174:INDEX(AW1174:BH1174, MATCH(2, 1/(AW1174:BH1174&lt;&gt;""), 1)-1), ROW(INDIRECT("1:" &amp; MATCH(2, 1/(AW1174:BH1174&lt;&gt;""), 1)-1))) &gt;= 115%, 115%, INDEX(AW1174:INDEX(AW1174:BH1174, MATCH(2, 1/(AW1174:BH1174&lt;&gt;""), 1)-1), ROW(INDIRECT("1:" &amp; MATCH(2, 1/(AW1174:BH1174&lt;&gt;""), 1)-1)))), 0))/_xlfn.XLOOKUP(F1174,Apuração!A:A,Apuração!B:B)&gt;=1.15,1.15,SUM(IFERROR(IF(INDEX(AW1174:INDEX(AW1174:BH1174, MATCH(2, 1/(AW1174:BH1174&lt;&gt;""), 1)-1), ROW(INDIRECT("1:" &amp; MATCH(2, 1/(AW1174:BH1174&lt;&gt;""), 1)-1))) &gt;= 115%, 115%, INDEX(AW1174:INDEX(AW1174:BH1174, MATCH(2, 1/(AW1174:BH1174&lt;&gt;""), 1)-1), ROW(INDIRECT("1:" &amp; MATCH(2, 1/(AW1174:BH1174&lt;&gt;""), 1)-1)))), 0))/_xlfn.XLOOKUP(F1174,Apuração!A:A,Apuração!B:B))</f>
        <v>0.34583333333333338</v>
      </c>
      <c r="BM1174" s="55" cm="1">
        <f t="array" ref="BM1174">IFERROR(
   INDEX($AW$1:$BH$1,
      _xlfn.AGGREGATE(14, 6, COLUMN($AW$1:$BH$1)/(AW1174:BH1174&lt;&gt;""), 2) - COLUMN($AW$1) + 1
   ),
"")</f>
        <v>46113</v>
      </c>
      <c r="BN1174" s="55" cm="1">
        <f t="array" ref="BN1174">IFERROR(INDEX($AW$1:$BH$1,1,MATCH(2,1/(AW1174:BH1174&lt;&gt;""))),"")</f>
        <v>46143</v>
      </c>
      <c r="BO1174" s="53">
        <f ca="1">IFERROR(_xlfn.XLOOKUP(F1174,Apuração!A:A,Apuração!C:C)/_xlfn.XLOOKUP(F1174,Apuração!A:A,Apuração!B:B),0)</f>
        <v>0.41666666666666669</v>
      </c>
      <c r="BP1174" s="53">
        <f ca="1">IFERROR(_xlfn.XLOOKUP(F1174,Apuração!A:A,Apuração!D:D)/_xlfn.XLOOKUP(F1174,Apuração!A:A,Apuração!B:B),0)</f>
        <v>0.33333333333333331</v>
      </c>
      <c r="BQ1174" s="53">
        <f ca="1">IF(BK1174&gt;=BO1174,0,_xlfn.XLOOKUP(F1174,Apuração!A:A,Apuração!B:B)*(BO1174 + (1/_xlfn.XLOOKUP(F1174,Apuração!A:A,Apuração!B:B)) - BK1174))</f>
        <v>0</v>
      </c>
      <c r="BR1174" s="85">
        <f t="shared" ca="1" si="1378"/>
        <v>0</v>
      </c>
      <c r="BS1174" s="53">
        <f ca="1">IFERROR((_xlfn.XLOOKUP(F1174,Apuração!A:A,Apuração!C:C)+1)/_xlfn.XLOOKUP(F1174,Apuração!A:A,Apuração!B:B),0)</f>
        <v>0.5</v>
      </c>
    </row>
    <row r="1175" spans="1:71" ht="25.95" hidden="1" customHeight="1" x14ac:dyDescent="0.3">
      <c r="A1175" s="20" t="s">
        <v>87</v>
      </c>
      <c r="B1175" s="4" t="s">
        <v>222</v>
      </c>
      <c r="C1175" s="5" t="s">
        <v>209</v>
      </c>
      <c r="D1175" s="5" t="s">
        <v>213</v>
      </c>
      <c r="E1175" s="4" t="str" cm="1">
        <f t="array" ref="E1175">_xlfn.IFS(
F1175 = "A partir de Abril", "Aguardando Execução na Distribuidora",
A1175 = "CAPACITAÇÃO", "Em execução no Corporativo",
TRUE, "Em Execução na Distribuidora"
)</f>
        <v>Em Execução na Distribuidora</v>
      </c>
      <c r="F1175" s="4" t="str" cm="1">
        <f t="array" ref="F1175">_xlfn.IFS(
AG1175 &lt;&gt; "", "Jan-Dez/26",
AH1175 &lt;&gt; "", "Fev-Dez/26",
AI1175 &lt;&gt; "", "Mar-Dez/26", AJ1175 &lt;&gt; "", "Abr-Dez/26",
TRUE, "A partir de Junho"
)</f>
        <v>Jan-Dez/26</v>
      </c>
      <c r="G1175" s="7" t="s">
        <v>37</v>
      </c>
      <c r="H1175" s="7" t="s">
        <v>38</v>
      </c>
      <c r="I1175" s="8" t="s">
        <v>223</v>
      </c>
      <c r="J1175" s="21" t="str" cm="1">
        <f t="array" aca="1" ref="J1175" ca="1">_xlfn.LET(
  _xlpm.actual_value_month, INDEX(T1175:AE1175, MATCH(DATE(YEAR(TODAY()), MONTH(TODAY()), 1), $T$1:$AE$1, 0)),
  IF(_xlpm.actual_value_month &lt;&gt; "",_xlpm.actual_value_month &amp; " inspeções mensais", "")
)</f>
        <v>61 inspeções mensais</v>
      </c>
      <c r="K1175" s="8" t="str" cm="1">
        <f t="array" ref="K1175">_xlfn.LET(
    _xlpm.sum_month, SUM(T1175:AE1175),
    IF(_xlpm.sum_month = 0, "", _xlpm.sum_month &amp; " inspeções realizadas no ano")
)</f>
        <v>1080 inspeções realizadas no ano</v>
      </c>
      <c r="L1175" s="4" t="s">
        <v>144</v>
      </c>
      <c r="M1175" s="19" t="s">
        <v>224</v>
      </c>
      <c r="N1175" s="5" t="s">
        <v>42</v>
      </c>
      <c r="O1175" s="5" t="s">
        <v>43</v>
      </c>
      <c r="P1175" s="10" t="s">
        <v>44</v>
      </c>
      <c r="Q1175" s="10" t="s">
        <v>72</v>
      </c>
      <c r="R1175" s="11" t="s">
        <v>225</v>
      </c>
      <c r="S1175" s="11" t="s">
        <v>44</v>
      </c>
      <c r="T1175" s="143">
        <v>110</v>
      </c>
      <c r="U1175" s="143">
        <v>247</v>
      </c>
      <c r="V1175" s="143">
        <v>174</v>
      </c>
      <c r="W1175" s="143">
        <v>61</v>
      </c>
      <c r="X1175" s="143">
        <v>61</v>
      </c>
      <c r="Y1175" s="143">
        <v>61</v>
      </c>
      <c r="Z1175" s="143">
        <v>61</v>
      </c>
      <c r="AA1175" s="143">
        <v>61</v>
      </c>
      <c r="AB1175" s="143">
        <v>61</v>
      </c>
      <c r="AC1175" s="143">
        <v>61</v>
      </c>
      <c r="AD1175" s="143">
        <v>61</v>
      </c>
      <c r="AE1175" s="143">
        <v>61</v>
      </c>
      <c r="AG1175" s="82">
        <v>110</v>
      </c>
      <c r="AH1175" s="82">
        <v>247</v>
      </c>
      <c r="AI1175" s="82">
        <v>174</v>
      </c>
      <c r="AJ1175" s="82">
        <v>187</v>
      </c>
      <c r="AK1175" s="71">
        <v>286</v>
      </c>
      <c r="AL1175" s="71"/>
      <c r="AM1175" s="71"/>
      <c r="AN1175" s="71"/>
      <c r="AO1175" s="71"/>
      <c r="AP1175" s="71"/>
      <c r="AQ1175" s="71"/>
      <c r="AR1175" s="71"/>
      <c r="AS1175" s="94">
        <f t="shared" ca="1" si="1371"/>
        <v>653</v>
      </c>
      <c r="AT1175" s="95">
        <f t="shared" si="1372"/>
        <v>671.3</v>
      </c>
      <c r="AU1175" s="97">
        <f t="shared" si="1373"/>
        <v>1004</v>
      </c>
      <c r="AW1175" s="51">
        <f t="shared" si="1374"/>
        <v>1</v>
      </c>
      <c r="AX1175" s="51">
        <f t="shared" si="1375"/>
        <v>1</v>
      </c>
      <c r="AY1175" s="51">
        <f t="shared" si="1376"/>
        <v>1</v>
      </c>
      <c r="AZ1175" s="51">
        <f t="shared" si="1377"/>
        <v>3.0655737704918034</v>
      </c>
      <c r="BA1175" s="51">
        <f t="shared" si="1370"/>
        <v>4.6885245901639347</v>
      </c>
      <c r="BB1175" s="51"/>
      <c r="BC1175" s="51"/>
      <c r="BD1175" s="51"/>
      <c r="BE1175" s="51"/>
      <c r="BF1175" s="51"/>
      <c r="BG1175" s="51"/>
      <c r="BH1175" s="51"/>
      <c r="BI1175" s="65" cm="1">
        <f t="array" ref="BI1175">IFERROR(INDEX(AW1175:BH1175,1,MATCH(2,1/(AW1175:BH1175&lt;&gt;""))),"")</f>
        <v>4.6885245901639347</v>
      </c>
      <c r="BJ1175" s="68" cm="1">
        <f t="array" ref="BJ1175">IF(BM1175 = "", "",IFERROR(INDEX(AW1175:BH1175,1,MATCH(2,1/(AW1175:BH1175&lt;&gt;""),1)-1),""))</f>
        <v>3.0655737704918034</v>
      </c>
      <c r="BK1175" s="58">
        <f>IF((IF(AW1175&gt;=115%,115%,AW1175) + IF(AX1175&gt;=115%,115%,AX1175) + IF(AY1175&gt;=115%,115%,AY1175) + (IF(AZ1175&gt;=115%,115%,AZ1175) + IF(BA1175&gt;=115%,115%,BA1175) + IF(BB1175&gt;=115%,115%,BB1175) + IF(BC1175&gt;=115%,115%,BC1175) + IF(BD1175&gt;=115%,115%,BD1175) + IF(BE1175&gt;=115%,115%,BE1175) + IF(BF1175&gt;=115%,115%,BF1175) + IF(BG1175&gt;=115%,115%,BG1175) + IF(BH1175&gt;=130%,130%,BH1175)))/_xlfn.XLOOKUP(F1175,Apuração!A:A,Apuração!B:B)&gt;=1.15,1.15,((IF(AZ1175&gt;=115%,115%,AZ1175) + IF(AX1175&gt;=115%,115%,AX1175) + IF(AY1175&gt;=115%,115%,AY1175) + (IF(AW1175&gt;=115%,115%,AW1175) + IF(BA1175&gt;=115%,115%,BA1175) + IF(BB1175&gt;=115%,115%,BB1175) + IF(BC1175&gt;=115%,115%,BC1175) + IF(BD1175&gt;=115%,115%,BD1175) + IF(BE1175&gt;=115%,115%,BE1175) + IF(BF1175&gt;=115%,115%,BF1175) + IF(BG1175&gt;=115%,115%,BG1175) + IF(BH1175&gt;=130%,130%,BH1175)))/_xlfn.XLOOKUP(F1175,Apuração!A:A,Apuração!B:B)))</f>
        <v>0.44166666666666665</v>
      </c>
      <c r="BL1175" s="58" cm="1">
        <f t="array" aca="1" ref="BL1175" ca="1">IF(SUM(IFERROR(IF(INDEX(AW1175:INDEX(AW1175:BH1175, MATCH(2, 1/(AW1175:BH1175&lt;&gt;""), 1)-1), ROW(INDIRECT("1:" &amp; MATCH(2, 1/(AW1175:BH1175&lt;&gt;""), 1)-1))) &gt;= 115%, 115%, INDEX(AW1175:INDEX(AW1175:BH1175, MATCH(2, 1/(AW1175:BH1175&lt;&gt;""), 1)-1), ROW(INDIRECT("1:" &amp; MATCH(2, 1/(AW1175:BH1175&lt;&gt;""), 1)-1)))), 0))/_xlfn.XLOOKUP(F1175,Apuração!A:A,Apuração!B:B)&gt;=1.15,1.15,SUM(IFERROR(IF(INDEX(AW1175:INDEX(AW1175:BH1175, MATCH(2, 1/(AW1175:BH1175&lt;&gt;""), 1)-1), ROW(INDIRECT("1:" &amp; MATCH(2, 1/(AW1175:BH1175&lt;&gt;""), 1)-1))) &gt;= 115%, 115%, INDEX(AW1175:INDEX(AW1175:BH1175, MATCH(2, 1/(AW1175:BH1175&lt;&gt;""), 1)-1), ROW(INDIRECT("1:" &amp; MATCH(2, 1/(AW1175:BH1175&lt;&gt;""), 1)-1)))), 0))/_xlfn.XLOOKUP(F1175,Apuração!A:A,Apuração!B:B))</f>
        <v>0.34583333333333338</v>
      </c>
      <c r="BM1175" s="55" cm="1">
        <f t="array" ref="BM1175">IFERROR(
   INDEX($AW$1:$BH$1,
      _xlfn.AGGREGATE(14, 6, COLUMN($AW$1:$BH$1)/(AW1175:BH1175&lt;&gt;""), 2) - COLUMN($AW$1) + 1
   ),
"")</f>
        <v>46113</v>
      </c>
      <c r="BN1175" s="55" cm="1">
        <f t="array" ref="BN1175">IFERROR(INDEX($AW$1:$BH$1,1,MATCH(2,1/(AW1175:BH1175&lt;&gt;""))),"")</f>
        <v>46143</v>
      </c>
      <c r="BO1175" s="53">
        <f ca="1">IFERROR(_xlfn.XLOOKUP(F1175,Apuração!A:A,Apuração!C:C)/_xlfn.XLOOKUP(F1175,Apuração!A:A,Apuração!B:B),0)</f>
        <v>0.41666666666666669</v>
      </c>
      <c r="BP1175" s="53">
        <f ca="1">IFERROR(_xlfn.XLOOKUP(F1175,Apuração!A:A,Apuração!D:D)/_xlfn.XLOOKUP(F1175,Apuração!A:A,Apuração!B:B),0)</f>
        <v>0.33333333333333331</v>
      </c>
      <c r="BQ1175" s="53">
        <f ca="1">IF(BK1175&gt;=BO1175,0,_xlfn.XLOOKUP(F1175,Apuração!A:A,Apuração!B:B)*(BO1175 + (1/_xlfn.XLOOKUP(F1175,Apuração!A:A,Apuração!B:B)) - BK1175))</f>
        <v>0</v>
      </c>
      <c r="BR1175" s="85">
        <f t="shared" ca="1" si="1378"/>
        <v>0</v>
      </c>
      <c r="BS1175" s="53">
        <f ca="1">IFERROR((_xlfn.XLOOKUP(F1175,Apuração!A:A,Apuração!C:C)+1)/_xlfn.XLOOKUP(F1175,Apuração!A:A,Apuração!B:B),0)</f>
        <v>0.5</v>
      </c>
    </row>
    <row r="1176" spans="1:71" ht="25.95" hidden="1" customHeight="1" x14ac:dyDescent="0.3">
      <c r="A1176" s="40" t="s">
        <v>87</v>
      </c>
      <c r="B1176" s="4" t="s">
        <v>222</v>
      </c>
      <c r="C1176" s="5" t="s">
        <v>209</v>
      </c>
      <c r="D1176" s="5" t="s">
        <v>36</v>
      </c>
      <c r="E1176" s="4" t="str" cm="1">
        <f t="array" ref="E1176">_xlfn.IFS(
F1176 = "A partir de Abril", "Aguardando Execução na Distribuidora",
A1176 = "CAPACITAÇÃO", "Em execução no Corporativo",
TRUE, "Em Execução na Distribuidora"
)</f>
        <v>Em Execução na Distribuidora</v>
      </c>
      <c r="F1176" s="4" t="str" cm="1">
        <f t="array" ref="F1176">_xlfn.IFS(
AG1176 &lt;&gt; "", "Jan-Dez/26",
AH1176 &lt;&gt; "", "Fev-Dez/26",
AI1176 &lt;&gt; "", "Mar-Dez/26", AJ1176 &lt;&gt; "", "Abr-Dez/26",
TRUE, "A partir de Junho"
)</f>
        <v>Jan-Dez/26</v>
      </c>
      <c r="G1176" s="7" t="s">
        <v>37</v>
      </c>
      <c r="H1176" s="7" t="s">
        <v>38</v>
      </c>
      <c r="I1176" s="8" t="s">
        <v>148</v>
      </c>
      <c r="J1176" s="21" t="str" cm="1">
        <f t="array" aca="1" ref="J1176" ca="1">_xlfn.LET(
  _xlpm.actual_value_month, INDEX(T1176:AE1176, MATCH(DATE(YEAR(TODAY()), MONTH(TODAY()), 1), $T$1:$AE$1, 0)),
  IF(_xlpm.actual_value_month &lt;&gt; "",_xlpm.actual_value_month &amp; " ações mensais", "")
)</f>
        <v/>
      </c>
      <c r="K1176" s="8" t="str" cm="1">
        <f t="array" ref="K1176">_xlfn.LET(
    _xlpm.sum_month, SUM(T1176:AE1176),
    IF(_xlpm.sum_month = 0, "", _xlpm.sum_month &amp; " NC's no ano")
)</f>
        <v/>
      </c>
      <c r="L1176" s="9" t="s">
        <v>149</v>
      </c>
      <c r="M1176" s="4"/>
      <c r="N1176" s="5" t="s">
        <v>51</v>
      </c>
      <c r="O1176" s="5" t="s">
        <v>52</v>
      </c>
      <c r="P1176" s="10" t="s">
        <v>44</v>
      </c>
      <c r="Q1176" s="10" t="s">
        <v>44</v>
      </c>
      <c r="R1176" s="11" t="s">
        <v>44</v>
      </c>
      <c r="S1176" s="11" t="s">
        <v>44</v>
      </c>
      <c r="T1176" s="22"/>
      <c r="U1176" s="22"/>
      <c r="V1176" s="22"/>
      <c r="W1176" s="22"/>
      <c r="X1176" s="22"/>
      <c r="Y1176" s="22"/>
      <c r="Z1176" s="22"/>
      <c r="AA1176" s="22"/>
      <c r="AB1176" s="22"/>
      <c r="AC1176" s="22"/>
      <c r="AD1176" s="22"/>
      <c r="AE1176" s="22"/>
      <c r="AG1176" s="71">
        <v>52</v>
      </c>
      <c r="AH1176" s="71">
        <v>159</v>
      </c>
      <c r="AI1176" s="71">
        <v>138</v>
      </c>
      <c r="AJ1176" s="71">
        <v>160</v>
      </c>
      <c r="AK1176" s="71">
        <v>172</v>
      </c>
      <c r="AL1176" s="71"/>
      <c r="AM1176" s="71"/>
      <c r="AN1176" s="71"/>
      <c r="AO1176" s="71"/>
      <c r="AP1176" s="71"/>
      <c r="AQ1176" s="71"/>
      <c r="AR1176" s="71"/>
      <c r="AS1176" s="94">
        <f ca="1">IF(MONTH(TODAY())=3,SUM(T1176:U1176),IF(MONTH(TODAY())=4,SUM(T1176:V1176),IF(MONTH(TODAY())=5,SUM(T1176:W1176),IF(MONTH(TODAY())=6,SUM(T1176:X1176),IF(MONTH(TODAY())=7,SUM(T1176:Y1176),IF(MONTH(TODAY())=8,SUM(T1176:Z1176),IF(MONTH(TODAY())=9,SUM(T1176:AA1176),IF(MONTH(TODAY())=10,SUM(T1176:AB1176),IF(MONTH(TODAY())=11,SUM(T1176:AC1176),IF(MONTH(TODAY())=12,SUM(T1176:AD1176),IF(MONTH(TODAY())=1,SUM(T1176:AE1176),T1176)))))))))))</f>
        <v>0</v>
      </c>
      <c r="AT1176" s="95">
        <f>SUM(AG1176:AR1176)</f>
        <v>681</v>
      </c>
      <c r="AU1176" s="97">
        <f>SUM(AG1176:AR1176)</f>
        <v>681</v>
      </c>
      <c r="AW1176" s="83">
        <f>AG1176</f>
        <v>52</v>
      </c>
      <c r="AX1176" s="83">
        <f>AH1176</f>
        <v>159</v>
      </c>
      <c r="AY1176" s="83">
        <f>AI1176</f>
        <v>138</v>
      </c>
      <c r="AZ1176" s="83">
        <f>AJ1176</f>
        <v>160</v>
      </c>
      <c r="BA1176" s="83">
        <f>AK1176</f>
        <v>172</v>
      </c>
      <c r="BB1176" s="52"/>
      <c r="BC1176" s="52"/>
      <c r="BD1176" s="52"/>
      <c r="BE1176" s="52"/>
      <c r="BF1176" s="52"/>
      <c r="BG1176" s="52"/>
      <c r="BH1176" s="52"/>
      <c r="BI1176" s="68" cm="1">
        <f t="array" ref="BI1176">IFERROR(INDEX(AW1176:BH1176,1,MATCH(2,1/(AW1176:BH1176&lt;&gt;""))),"")</f>
        <v>172</v>
      </c>
      <c r="BJ1176" s="68" cm="1">
        <f t="array" ref="BJ1176">IF(BM1176 = "", "",IFERROR(INDEX(AW1176:BH1176,1,MATCH(2,1/(AW1176:BH1176&lt;&gt;""),1)-1),""))</f>
        <v>160</v>
      </c>
      <c r="BK1176" s="59">
        <f>SUM(AW1176:BH1176)</f>
        <v>681</v>
      </c>
      <c r="BL1176" s="59" cm="1">
        <f t="array" ref="BL1176">IFERROR(SUM(AW1176:INDEX(AW1176:BH1176, MATCH(2, 1/(AW1176:BH1176&lt;&gt;""), 1) - 1))/_xlfn.XLOOKUP(F1176,Apuração!A:A,Apuração!B:B),0)</f>
        <v>42.416666666666664</v>
      </c>
      <c r="BM1176" s="55" cm="1">
        <f t="array" ref="BM1176">IFERROR(
   INDEX($AW$1:$BH$1,
      _xlfn.AGGREGATE(14, 6, COLUMN($AW$1:$BH$1)/(AW1176:BH1176&lt;&gt;""), 2) - COLUMN($AW$1) + 1
   ),
"")</f>
        <v>46113</v>
      </c>
      <c r="BN1176" s="55" cm="1">
        <f t="array" ref="BN1176">IFERROR(INDEX($AW$1:$BH$1,1,MATCH(2,1/(AW1176:BH1176&lt;&gt;""))),"")</f>
        <v>46143</v>
      </c>
      <c r="BO1176" s="53">
        <f ca="1">IFERROR(_xlfn.XLOOKUP(F1176,Apuração!A:A,Apuração!C:C)/_xlfn.XLOOKUP(F1176,Apuração!A:A,Apuração!B:B),0)</f>
        <v>0.41666666666666669</v>
      </c>
      <c r="BP1176" s="53">
        <f ca="1">IFERROR(_xlfn.XLOOKUP(F1176,Apuração!A:A,Apuração!D:D)/_xlfn.XLOOKUP(F1176,Apuração!A:A,Apuração!B:B),0)</f>
        <v>0.33333333333333331</v>
      </c>
      <c r="BQ1176" s="53">
        <f ca="1">IF(BK1176&gt;=BO1176,0,_xlfn.XLOOKUP(F1176,Apuração!A:A,Apuração!B:B)*(BO1176 + (1/_xlfn.XLOOKUP(F1176,Apuração!A:A,Apuração!B:B)) - BK1176))</f>
        <v>0</v>
      </c>
      <c r="BR1176" s="85">
        <f ca="1">IF(BQ1176=0,0,BQ1176*Z1176)</f>
        <v>0</v>
      </c>
      <c r="BS1176" s="53">
        <f ca="1">IFERROR((_xlfn.XLOOKUP(F1176,Apuração!A:A,Apuração!C:C)+1)/_xlfn.XLOOKUP(F1176,Apuração!A:A,Apuração!B:B),0)</f>
        <v>0.5</v>
      </c>
    </row>
    <row r="1177" spans="1:71" ht="25.95" hidden="1" customHeight="1" x14ac:dyDescent="0.3">
      <c r="A1177" s="40" t="s">
        <v>87</v>
      </c>
      <c r="B1177" s="4" t="s">
        <v>88</v>
      </c>
      <c r="C1177" s="5" t="s">
        <v>214</v>
      </c>
      <c r="D1177" s="5" t="s">
        <v>210</v>
      </c>
      <c r="E1177" s="4" t="s">
        <v>96</v>
      </c>
      <c r="F1177" s="4" t="str" cm="1">
        <f t="array" ref="F1177">_xlfn.IFS(
AG1177 &lt;&gt; "", "Jan-Dez/26",
AH1177 &lt;&gt; "", "Fev-Dez/26",
AI1177 &lt;&gt; "", "Mar-Dez/26", AJ1177 &lt;&gt; "", "Abr-Dez/26",
TRUE, "A partir de Junho"
)</f>
        <v>A partir de Junho</v>
      </c>
      <c r="G1177" s="4" t="s">
        <v>62</v>
      </c>
      <c r="H1177" s="7" t="s">
        <v>38</v>
      </c>
      <c r="I1177" s="9" t="s">
        <v>93</v>
      </c>
      <c r="J1177" s="21" t="str" cm="1">
        <f t="array" aca="1" ref="J1177" ca="1">_xlfn.LET(
  _xlpm.actual_value_month, INDEX(T1177:AE1177, MATCH(DATE(YEAR(TODAY()), MONTH(TODAY()), 1), $T$1:$AE$1, 0)),
  IF(_xlpm.actual_value_month &lt;&gt; "",_xlpm.actual_value_month &amp; " ações mensais", "")
)</f>
        <v/>
      </c>
      <c r="K1177" s="8" t="str" cm="1">
        <f t="array" ref="K1177">_xlfn.LET(
    _xlpm.sum_month, SUM(T1177:AE1177),
    IF(_xlpm.sum_month = 0, "", _xlpm.sum_month &amp; " certificados gerados no ano")
)</f>
        <v/>
      </c>
      <c r="L1177" s="4" t="s">
        <v>94</v>
      </c>
      <c r="M1177" s="19"/>
      <c r="N1177" s="5" t="s">
        <v>51</v>
      </c>
      <c r="O1177" s="5"/>
      <c r="P1177" s="10"/>
      <c r="Q1177" s="10"/>
      <c r="R1177" s="10"/>
      <c r="S1177" s="10"/>
      <c r="T1177" s="22"/>
      <c r="U1177" s="22"/>
      <c r="V1177" s="22"/>
      <c r="W1177" s="22"/>
      <c r="X1177" s="22"/>
      <c r="Y1177" s="22"/>
      <c r="Z1177" s="22"/>
      <c r="AA1177" s="22"/>
      <c r="AB1177" s="22"/>
      <c r="AC1177" s="22"/>
      <c r="AD1177" s="22"/>
      <c r="AE1177" s="22"/>
      <c r="AG1177" s="71"/>
      <c r="AH1177" s="71"/>
      <c r="AI1177" s="71"/>
      <c r="AJ1177" s="71"/>
      <c r="AK1177" s="71"/>
      <c r="AL1177" s="71"/>
      <c r="AM1177" s="71"/>
      <c r="AN1177" s="71"/>
      <c r="AO1177" s="71"/>
      <c r="AP1177" s="71"/>
      <c r="AQ1177" s="71"/>
      <c r="AR1177" s="71"/>
      <c r="AS1177" s="94">
        <f t="shared" ref="AS1177:AS1181" ca="1" si="1379">AE1177*BO1177</f>
        <v>0</v>
      </c>
      <c r="AT1177" s="95" t="str" cm="1">
        <f t="array" ref="AT1177">IFERROR(INDEX(AJ1177:AR1177,1,MATCH(2,1/(AJ1177:AR1177&lt;&gt;""))),"")</f>
        <v/>
      </c>
      <c r="AU1177" s="97" t="str">
        <f t="shared" ref="AU1177:AU1181" si="1380">AT1177</f>
        <v/>
      </c>
      <c r="AW1177" s="83">
        <f t="shared" ref="AW1177:AW1181" si="1381">AG1177</f>
        <v>0</v>
      </c>
      <c r="AX1177" s="83">
        <f t="shared" ref="AX1177:AX1181" si="1382">AH1177</f>
        <v>0</v>
      </c>
      <c r="AY1177" s="83">
        <f t="shared" ref="AY1177:AY1181" si="1383">AI1177</f>
        <v>0</v>
      </c>
      <c r="AZ1177" s="83">
        <f t="shared" ref="AZ1177:AZ1181" si="1384">AJ1177</f>
        <v>0</v>
      </c>
      <c r="BA1177" s="51"/>
      <c r="BB1177" s="51"/>
      <c r="BC1177" s="51"/>
      <c r="BD1177" s="51"/>
      <c r="BE1177" s="51"/>
      <c r="BF1177" s="51"/>
      <c r="BG1177" s="51"/>
      <c r="BH1177" s="51"/>
      <c r="BI1177" s="65" cm="1">
        <f t="array" ref="BI1177">IFERROR(INDEX(AW1177:BH1177,1,MATCH(2,1/(AW1177:BH1177&lt;&gt;""))),"")</f>
        <v>0</v>
      </c>
      <c r="BJ1177" s="68" cm="1">
        <f t="array" ref="BJ1177">IF(BM1177 = "", "",IFERROR(INDEX(AW1177:BH1177,1,MATCH(2,1/(AW1177:BH1177&lt;&gt;""),1)-1),""))</f>
        <v>0</v>
      </c>
      <c r="BK1177" s="58">
        <f>IF((IF(AW1177&gt;=115%,115%,AW1177) + IF(AX1177&gt;=115%,115%,AX1177) + IF(AY1177&gt;=115%,115%,AY1177) + (IF(AZ1177&gt;=115%,115%,AZ1177) + IF(BA1177&gt;=115%,115%,BA1177) + IF(BB1177&gt;=115%,115%,BB1177) + IF(BC1177&gt;=115%,115%,BC1177) + IF(BD1177&gt;=115%,115%,BD1177) + IF(BE1177&gt;=115%,115%,BE1177) + IF(BF1177&gt;=115%,115%,BF1177) + IF(BG1177&gt;=115%,115%,BG1177) + IF(BH1177&gt;=115%,115%,BH1177)))/_xlfn.XLOOKUP(F1177,Apuração!A:A,Apuração!B:B)&gt;=1.15,1.15,((IF(AZ1177&gt;=115%,115%,AZ1177) + IF(AX1177&gt;=115%,115%,AX1177) + IF(AY1177&gt;=115%,115%,AY1177) + (IF(AW1177&gt;=115%,115%,AW1177) + IF(BA1177&gt;=115%,115%,BA1177) + IF(BB1177&gt;=115%,115%,BB1177) + IF(BC1177&gt;=115%,115%,BC1177) + IF(BD1177&gt;=115%,115%,BD1177) + IF(BE1177&gt;=115%,115%,BE1177) + IF(BF1177&gt;=115%,115%,BF1177) + IF(BG1177&gt;=115%,115%,BG1177) + IF(BH1177&gt;=115%,115%,BH1177)))/_xlfn.XLOOKUP(F1177,Apuração!A:A,Apuração!B:B)))</f>
        <v>0</v>
      </c>
      <c r="BL1177" s="58" cm="1">
        <f t="array" aca="1" ref="BL1177" ca="1">IF(SUM(IFERROR(IF(INDEX(AW1177:INDEX(AW1177:BH1177, MATCH(2, 1/(AW1177:BH1177&lt;&gt;""), 1)-1), ROW(INDIRECT("1:" &amp; MATCH(2, 1/(AW1177:BH1177&lt;&gt;""), 1)-1))) &gt;= 115%, 115%, INDEX(AW1177:INDEX(AW1177:BH1177, MATCH(2, 1/(AW1177:BH1177&lt;&gt;""), 1)-1), ROW(INDIRECT("1:" &amp; MATCH(2, 1/(AW1177:BH1177&lt;&gt;""), 1)-1)))), 0))/_xlfn.XLOOKUP(F1177,Apuração!A:A,Apuração!B:B)&gt;=1.15,1.15,SUM(IFERROR(IF(INDEX(AW1177:INDEX(AW1177:BH1177, MATCH(2, 1/(AW1177:BH1177&lt;&gt;""), 1)-1), ROW(INDIRECT("1:" &amp; MATCH(2, 1/(AW1177:BH1177&lt;&gt;""), 1)-1))) &gt;= 115%, 115%, INDEX(AW1177:INDEX(AW1177:BH1177, MATCH(2, 1/(AW1177:BH1177&lt;&gt;""), 1)-1), ROW(INDIRECT("1:" &amp; MATCH(2, 1/(AW1177:BH1177&lt;&gt;""), 1)-1)))), 0))/_xlfn.XLOOKUP(F1177,Apuração!A:A,Apuração!B:B))</f>
        <v>0</v>
      </c>
      <c r="BM1177" s="55" cm="1">
        <f t="array" ref="BM1177">IFERROR(
   INDEX($AW$1:$BH$1,
      _xlfn.AGGREGATE(14, 6, COLUMN($AW$1:$BH$1)/(AW1177:BH1177&lt;&gt;""), 2) - COLUMN($AW$1) + 1
   ),
"")</f>
        <v>46082</v>
      </c>
      <c r="BN1177" s="55" cm="1">
        <f t="array" ref="BN1177">IFERROR(INDEX($AW$1:$BH$1,1,MATCH(2,1/(AW1177:BH1177&lt;&gt;""))),"")</f>
        <v>46113</v>
      </c>
      <c r="BO1177" s="53">
        <f ca="1">IFERROR(_xlfn.XLOOKUP(F1177,Apuração!A:A,Apuração!C:C)/_xlfn.XLOOKUP(F1177,Apuração!A:A,Apuração!B:B),0)</f>
        <v>0</v>
      </c>
      <c r="BP1177" s="53">
        <f ca="1">IFERROR(_xlfn.XLOOKUP(F1177,Apuração!A:A,Apuração!D:D)/_xlfn.XLOOKUP(F1177,Apuração!A:A,Apuração!B:B),0)</f>
        <v>0</v>
      </c>
      <c r="BQ1177" s="53">
        <f ca="1">IF(BK1177&gt;=BO1177,0,_xlfn.XLOOKUP(F1177,Apuração!A:A,Apuração!B:B)*(BO1177 + (1/_xlfn.XLOOKUP(F1177,Apuração!A:A,Apuração!B:B)) - BK1177))</f>
        <v>0</v>
      </c>
      <c r="BR1177" s="85">
        <f t="shared" ref="BR1177:BR1181" ca="1" si="1385">IF(BQ1177=0,0,BQ1177*Z1177)</f>
        <v>0</v>
      </c>
      <c r="BS1177" s="53">
        <f ca="1">IFERROR((_xlfn.XLOOKUP(F1177,Apuração!A:A,Apuração!C:C)+1)/_xlfn.XLOOKUP(F1177,Apuração!A:A,Apuração!B:B),0)</f>
        <v>0.14285714285714285</v>
      </c>
    </row>
    <row r="1178" spans="1:71" ht="25.95" hidden="1" customHeight="1" x14ac:dyDescent="0.3">
      <c r="A1178" s="40" t="s">
        <v>87</v>
      </c>
      <c r="B1178" s="4" t="s">
        <v>88</v>
      </c>
      <c r="C1178" s="5" t="s">
        <v>214</v>
      </c>
      <c r="D1178" s="5" t="s">
        <v>215</v>
      </c>
      <c r="E1178" s="4" t="s">
        <v>96</v>
      </c>
      <c r="F1178" s="4" t="str" cm="1">
        <f t="array" ref="F1178">_xlfn.IFS(
AG1178 &lt;&gt; "", "Jan-Dez/26",
AH1178 &lt;&gt; "", "Fev-Dez/26",
AI1178 &lt;&gt; "", "Mar-Dez/26", AJ1178 &lt;&gt; "", "Abr-Dez/26",
TRUE, "A partir de Junho"
)</f>
        <v>A partir de Junho</v>
      </c>
      <c r="G1178" s="4" t="s">
        <v>62</v>
      </c>
      <c r="H1178" s="7" t="s">
        <v>38</v>
      </c>
      <c r="I1178" s="9" t="s">
        <v>93</v>
      </c>
      <c r="J1178" s="21" t="str" cm="1">
        <f t="array" aca="1" ref="J1178" ca="1">_xlfn.LET(
  _xlpm.actual_value_month, INDEX(T1178:AE1178, MATCH(DATE(YEAR(TODAY()), MONTH(TODAY()), 1), $T$1:$AE$1, 0)),
  IF(_xlpm.actual_value_month &lt;&gt; "",_xlpm.actual_value_month &amp; " ações mensais", "")
)</f>
        <v/>
      </c>
      <c r="K1178" s="8" t="str" cm="1">
        <f t="array" ref="K1178">_xlfn.LET(
    _xlpm.sum_month, SUM(T1178:AE1178),
    IF(_xlpm.sum_month = 0, "", _xlpm.sum_month &amp; " certificados gerados no ano")
)</f>
        <v/>
      </c>
      <c r="L1178" s="4" t="s">
        <v>94</v>
      </c>
      <c r="M1178" s="19"/>
      <c r="N1178" s="5" t="s">
        <v>51</v>
      </c>
      <c r="O1178" s="5"/>
      <c r="P1178" s="10"/>
      <c r="Q1178" s="10"/>
      <c r="R1178" s="10"/>
      <c r="S1178" s="10"/>
      <c r="T1178" s="22"/>
      <c r="U1178" s="22"/>
      <c r="V1178" s="22"/>
      <c r="W1178" s="22"/>
      <c r="X1178" s="22"/>
      <c r="Y1178" s="22"/>
      <c r="Z1178" s="22"/>
      <c r="AA1178" s="22"/>
      <c r="AB1178" s="22"/>
      <c r="AC1178" s="22"/>
      <c r="AD1178" s="22"/>
      <c r="AE1178" s="22"/>
      <c r="AG1178" s="71"/>
      <c r="AH1178" s="71"/>
      <c r="AI1178" s="71"/>
      <c r="AJ1178" s="71"/>
      <c r="AK1178" s="71"/>
      <c r="AL1178" s="71"/>
      <c r="AM1178" s="71"/>
      <c r="AN1178" s="71"/>
      <c r="AO1178" s="71"/>
      <c r="AP1178" s="71"/>
      <c r="AQ1178" s="71"/>
      <c r="AR1178" s="71"/>
      <c r="AS1178" s="94">
        <f t="shared" ca="1" si="1379"/>
        <v>0</v>
      </c>
      <c r="AT1178" s="95" t="str" cm="1">
        <f t="array" ref="AT1178">IFERROR(INDEX(AJ1178:AR1178,1,MATCH(2,1/(AJ1178:AR1178&lt;&gt;""))),"")</f>
        <v/>
      </c>
      <c r="AU1178" s="97" t="str">
        <f t="shared" si="1380"/>
        <v/>
      </c>
      <c r="AW1178" s="83">
        <f t="shared" si="1381"/>
        <v>0</v>
      </c>
      <c r="AX1178" s="83">
        <f t="shared" si="1382"/>
        <v>0</v>
      </c>
      <c r="AY1178" s="83">
        <f t="shared" si="1383"/>
        <v>0</v>
      </c>
      <c r="AZ1178" s="83">
        <f t="shared" si="1384"/>
        <v>0</v>
      </c>
      <c r="BA1178" s="51"/>
      <c r="BB1178" s="51"/>
      <c r="BC1178" s="51"/>
      <c r="BD1178" s="51"/>
      <c r="BE1178" s="51"/>
      <c r="BF1178" s="51"/>
      <c r="BG1178" s="51"/>
      <c r="BH1178" s="51"/>
      <c r="BI1178" s="65" cm="1">
        <f t="array" ref="BI1178">IFERROR(INDEX(AW1178:BH1178,1,MATCH(2,1/(AW1178:BH1178&lt;&gt;""))),"")</f>
        <v>0</v>
      </c>
      <c r="BJ1178" s="68" cm="1">
        <f t="array" ref="BJ1178">IF(BM1178 = "", "",IFERROR(INDEX(AW1178:BH1178,1,MATCH(2,1/(AW1178:BH1178&lt;&gt;""),1)-1),""))</f>
        <v>0</v>
      </c>
      <c r="BK1178" s="58">
        <f>IF((IF(AW1178&gt;=115%,115%,AW1178) + IF(AX1178&gt;=115%,115%,AX1178) + IF(AY1178&gt;=115%,115%,AY1178) + (IF(AZ1178&gt;=115%,115%,AZ1178) + IF(BA1178&gt;=115%,115%,BA1178) + IF(BB1178&gt;=115%,115%,BB1178) + IF(BC1178&gt;=115%,115%,BC1178) + IF(BD1178&gt;=115%,115%,BD1178) + IF(BE1178&gt;=115%,115%,BE1178) + IF(BF1178&gt;=115%,115%,BF1178) + IF(BG1178&gt;=115%,115%,BG1178) + IF(BH1178&gt;=115%,115%,BH1178)))/_xlfn.XLOOKUP(F1178,Apuração!A:A,Apuração!B:B)&gt;=1.15,1.15,((IF(AZ1178&gt;=115%,115%,AZ1178) + IF(AX1178&gt;=115%,115%,AX1178) + IF(AY1178&gt;=115%,115%,AY1178) + (IF(AW1178&gt;=115%,115%,AW1178) + IF(BA1178&gt;=115%,115%,BA1178) + IF(BB1178&gt;=115%,115%,BB1178) + IF(BC1178&gt;=115%,115%,BC1178) + IF(BD1178&gt;=115%,115%,BD1178) + IF(BE1178&gt;=115%,115%,BE1178) + IF(BF1178&gt;=115%,115%,BF1178) + IF(BG1178&gt;=115%,115%,BG1178) + IF(BH1178&gt;=115%,115%,BH1178)))/_xlfn.XLOOKUP(F1178,Apuração!A:A,Apuração!B:B)))</f>
        <v>0</v>
      </c>
      <c r="BL1178" s="58" cm="1">
        <f t="array" aca="1" ref="BL1178" ca="1">IF(SUM(IFERROR(IF(INDEX(AW1178:INDEX(AW1178:BH1178, MATCH(2, 1/(AW1178:BH1178&lt;&gt;""), 1)-1), ROW(INDIRECT("1:" &amp; MATCH(2, 1/(AW1178:BH1178&lt;&gt;""), 1)-1))) &gt;= 115%, 115%, INDEX(AW1178:INDEX(AW1178:BH1178, MATCH(2, 1/(AW1178:BH1178&lt;&gt;""), 1)-1), ROW(INDIRECT("1:" &amp; MATCH(2, 1/(AW1178:BH1178&lt;&gt;""), 1)-1)))), 0))/_xlfn.XLOOKUP(F1178,Apuração!A:A,Apuração!B:B)&gt;=1.15,1.15,SUM(IFERROR(IF(INDEX(AW1178:INDEX(AW1178:BH1178, MATCH(2, 1/(AW1178:BH1178&lt;&gt;""), 1)-1), ROW(INDIRECT("1:" &amp; MATCH(2, 1/(AW1178:BH1178&lt;&gt;""), 1)-1))) &gt;= 115%, 115%, INDEX(AW1178:INDEX(AW1178:BH1178, MATCH(2, 1/(AW1178:BH1178&lt;&gt;""), 1)-1), ROW(INDIRECT("1:" &amp; MATCH(2, 1/(AW1178:BH1178&lt;&gt;""), 1)-1)))), 0))/_xlfn.XLOOKUP(F1178,Apuração!A:A,Apuração!B:B))</f>
        <v>0</v>
      </c>
      <c r="BM1178" s="55" cm="1">
        <f t="array" ref="BM1178">IFERROR(
   INDEX($AW$1:$BH$1,
      _xlfn.AGGREGATE(14, 6, COLUMN($AW$1:$BH$1)/(AW1178:BH1178&lt;&gt;""), 2) - COLUMN($AW$1) + 1
   ),
"")</f>
        <v>46082</v>
      </c>
      <c r="BN1178" s="55" cm="1">
        <f t="array" ref="BN1178">IFERROR(INDEX($AW$1:$BH$1,1,MATCH(2,1/(AW1178:BH1178&lt;&gt;""))),"")</f>
        <v>46113</v>
      </c>
      <c r="BO1178" s="53">
        <f ca="1">IFERROR(_xlfn.XLOOKUP(F1178,Apuração!A:A,Apuração!C:C)/_xlfn.XLOOKUP(F1178,Apuração!A:A,Apuração!B:B),0)</f>
        <v>0</v>
      </c>
      <c r="BP1178" s="53">
        <f ca="1">IFERROR(_xlfn.XLOOKUP(F1178,Apuração!A:A,Apuração!D:D)/_xlfn.XLOOKUP(F1178,Apuração!A:A,Apuração!B:B),0)</f>
        <v>0</v>
      </c>
      <c r="BQ1178" s="53">
        <f ca="1">IF(BK1178&gt;=BO1178,0,_xlfn.XLOOKUP(F1178,Apuração!A:A,Apuração!B:B)*(BO1178 + (1/_xlfn.XLOOKUP(F1178,Apuração!A:A,Apuração!B:B)) - BK1178))</f>
        <v>0</v>
      </c>
      <c r="BR1178" s="85">
        <f t="shared" ca="1" si="1385"/>
        <v>0</v>
      </c>
      <c r="BS1178" s="53">
        <f ca="1">IFERROR((_xlfn.XLOOKUP(F1178,Apuração!A:A,Apuração!C:C)+1)/_xlfn.XLOOKUP(F1178,Apuração!A:A,Apuração!B:B),0)</f>
        <v>0.14285714285714285</v>
      </c>
    </row>
    <row r="1179" spans="1:71" ht="25.95" hidden="1" customHeight="1" x14ac:dyDescent="0.3">
      <c r="A1179" s="40" t="s">
        <v>87</v>
      </c>
      <c r="B1179" s="4" t="s">
        <v>88</v>
      </c>
      <c r="C1179" s="5" t="s">
        <v>214</v>
      </c>
      <c r="D1179" s="5" t="s">
        <v>212</v>
      </c>
      <c r="E1179" s="4" t="s">
        <v>96</v>
      </c>
      <c r="F1179" s="4" t="str" cm="1">
        <f t="array" ref="F1179">_xlfn.IFS(
AG1179 &lt;&gt; "", "Jan-Dez/26",
AH1179 &lt;&gt; "", "Fev-Dez/26",
AI1179 &lt;&gt; "", "Mar-Dez/26", AJ1179 &lt;&gt; "", "Abr-Dez/26",
TRUE, "A partir de Junho"
)</f>
        <v>A partir de Junho</v>
      </c>
      <c r="G1179" s="4" t="s">
        <v>62</v>
      </c>
      <c r="H1179" s="7" t="s">
        <v>38</v>
      </c>
      <c r="I1179" s="9" t="s">
        <v>93</v>
      </c>
      <c r="J1179" s="21" t="str" cm="1">
        <f t="array" aca="1" ref="J1179" ca="1">_xlfn.LET(
  _xlpm.actual_value_month, INDEX(T1179:AE1179, MATCH(DATE(YEAR(TODAY()), MONTH(TODAY()), 1), $T$1:$AE$1, 0)),
  IF(_xlpm.actual_value_month &lt;&gt; "",_xlpm.actual_value_month &amp; " ações mensais", "")
)</f>
        <v/>
      </c>
      <c r="K1179" s="8" t="str" cm="1">
        <f t="array" ref="K1179">_xlfn.LET(
    _xlpm.sum_month, SUM(T1179:AE1179),
    IF(_xlpm.sum_month = 0, "", _xlpm.sum_month &amp; " certificados gerados no ano")
)</f>
        <v/>
      </c>
      <c r="L1179" s="4" t="s">
        <v>94</v>
      </c>
      <c r="M1179" s="19"/>
      <c r="N1179" s="5" t="s">
        <v>51</v>
      </c>
      <c r="O1179" s="5"/>
      <c r="P1179" s="10"/>
      <c r="Q1179" s="10"/>
      <c r="R1179" s="10"/>
      <c r="S1179" s="10"/>
      <c r="T1179" s="22"/>
      <c r="U1179" s="22"/>
      <c r="V1179" s="22"/>
      <c r="W1179" s="22"/>
      <c r="X1179" s="22"/>
      <c r="Y1179" s="22"/>
      <c r="Z1179" s="22"/>
      <c r="AA1179" s="22"/>
      <c r="AB1179" s="22"/>
      <c r="AC1179" s="22"/>
      <c r="AD1179" s="22"/>
      <c r="AE1179" s="22"/>
      <c r="AG1179" s="71"/>
      <c r="AH1179" s="71"/>
      <c r="AI1179" s="71"/>
      <c r="AJ1179" s="71"/>
      <c r="AK1179" s="71"/>
      <c r="AL1179" s="71"/>
      <c r="AM1179" s="71"/>
      <c r="AN1179" s="71"/>
      <c r="AO1179" s="71"/>
      <c r="AP1179" s="71"/>
      <c r="AQ1179" s="71"/>
      <c r="AR1179" s="71"/>
      <c r="AS1179" s="94">
        <f t="shared" ca="1" si="1379"/>
        <v>0</v>
      </c>
      <c r="AT1179" s="95" t="str" cm="1">
        <f t="array" ref="AT1179">IFERROR(INDEX(AJ1179:AR1179,1,MATCH(2,1/(AJ1179:AR1179&lt;&gt;""))),"")</f>
        <v/>
      </c>
      <c r="AU1179" s="97" t="str">
        <f t="shared" si="1380"/>
        <v/>
      </c>
      <c r="AW1179" s="83">
        <f t="shared" si="1381"/>
        <v>0</v>
      </c>
      <c r="AX1179" s="83">
        <f t="shared" si="1382"/>
        <v>0</v>
      </c>
      <c r="AY1179" s="83">
        <f t="shared" si="1383"/>
        <v>0</v>
      </c>
      <c r="AZ1179" s="83">
        <f t="shared" si="1384"/>
        <v>0</v>
      </c>
      <c r="BA1179" s="51"/>
      <c r="BB1179" s="51"/>
      <c r="BC1179" s="51"/>
      <c r="BD1179" s="51"/>
      <c r="BE1179" s="51"/>
      <c r="BF1179" s="51"/>
      <c r="BG1179" s="51"/>
      <c r="BH1179" s="51"/>
      <c r="BI1179" s="65" cm="1">
        <f t="array" ref="BI1179">IFERROR(INDEX(AW1179:BH1179,1,MATCH(2,1/(AW1179:BH1179&lt;&gt;""))),"")</f>
        <v>0</v>
      </c>
      <c r="BJ1179" s="68" cm="1">
        <f t="array" ref="BJ1179">IF(BM1179 = "", "",IFERROR(INDEX(AW1179:BH1179,1,MATCH(2,1/(AW1179:BH1179&lt;&gt;""),1)-1),""))</f>
        <v>0</v>
      </c>
      <c r="BK1179" s="58">
        <f>IF((IF(AW1179&gt;=115%,115%,AW1179) + IF(AX1179&gt;=115%,115%,AX1179) + IF(AY1179&gt;=115%,115%,AY1179) + (IF(AZ1179&gt;=115%,115%,AZ1179) + IF(BA1179&gt;=115%,115%,BA1179) + IF(BB1179&gt;=115%,115%,BB1179) + IF(BC1179&gt;=115%,115%,BC1179) + IF(BD1179&gt;=115%,115%,BD1179) + IF(BE1179&gt;=115%,115%,BE1179) + IF(BF1179&gt;=115%,115%,BF1179) + IF(BG1179&gt;=115%,115%,BG1179) + IF(BH1179&gt;=115%,115%,BH1179)))/_xlfn.XLOOKUP(F1179,Apuração!A:A,Apuração!B:B)&gt;=1.15,1.15,((IF(AZ1179&gt;=115%,115%,AZ1179) + IF(AX1179&gt;=115%,115%,AX1179) + IF(AY1179&gt;=115%,115%,AY1179) + (IF(AW1179&gt;=115%,115%,AW1179) + IF(BA1179&gt;=115%,115%,BA1179) + IF(BB1179&gt;=115%,115%,BB1179) + IF(BC1179&gt;=115%,115%,BC1179) + IF(BD1179&gt;=115%,115%,BD1179) + IF(BE1179&gt;=115%,115%,BE1179) + IF(BF1179&gt;=115%,115%,BF1179) + IF(BG1179&gt;=115%,115%,BG1179) + IF(BH1179&gt;=115%,115%,BH1179)))/_xlfn.XLOOKUP(F1179,Apuração!A:A,Apuração!B:B)))</f>
        <v>0</v>
      </c>
      <c r="BL1179" s="58" cm="1">
        <f t="array" aca="1" ref="BL1179" ca="1">IF(SUM(IFERROR(IF(INDEX(AW1179:INDEX(AW1179:BH1179, MATCH(2, 1/(AW1179:BH1179&lt;&gt;""), 1)-1), ROW(INDIRECT("1:" &amp; MATCH(2, 1/(AW1179:BH1179&lt;&gt;""), 1)-1))) &gt;= 115%, 115%, INDEX(AW1179:INDEX(AW1179:BH1179, MATCH(2, 1/(AW1179:BH1179&lt;&gt;""), 1)-1), ROW(INDIRECT("1:" &amp; MATCH(2, 1/(AW1179:BH1179&lt;&gt;""), 1)-1)))), 0))/_xlfn.XLOOKUP(F1179,Apuração!A:A,Apuração!B:B)&gt;=1.15,1.15,SUM(IFERROR(IF(INDEX(AW1179:INDEX(AW1179:BH1179, MATCH(2, 1/(AW1179:BH1179&lt;&gt;""), 1)-1), ROW(INDIRECT("1:" &amp; MATCH(2, 1/(AW1179:BH1179&lt;&gt;""), 1)-1))) &gt;= 115%, 115%, INDEX(AW1179:INDEX(AW1179:BH1179, MATCH(2, 1/(AW1179:BH1179&lt;&gt;""), 1)-1), ROW(INDIRECT("1:" &amp; MATCH(2, 1/(AW1179:BH1179&lt;&gt;""), 1)-1)))), 0))/_xlfn.XLOOKUP(F1179,Apuração!A:A,Apuração!B:B))</f>
        <v>0</v>
      </c>
      <c r="BM1179" s="55" cm="1">
        <f t="array" ref="BM1179">IFERROR(
   INDEX($AW$1:$BH$1,
      _xlfn.AGGREGATE(14, 6, COLUMN($AW$1:$BH$1)/(AW1179:BH1179&lt;&gt;""), 2) - COLUMN($AW$1) + 1
   ),
"")</f>
        <v>46082</v>
      </c>
      <c r="BN1179" s="55" cm="1">
        <f t="array" ref="BN1179">IFERROR(INDEX($AW$1:$BH$1,1,MATCH(2,1/(AW1179:BH1179&lt;&gt;""))),"")</f>
        <v>46113</v>
      </c>
      <c r="BO1179" s="53">
        <f ca="1">IFERROR(_xlfn.XLOOKUP(F1179,Apuração!A:A,Apuração!C:C)/_xlfn.XLOOKUP(F1179,Apuração!A:A,Apuração!B:B),0)</f>
        <v>0</v>
      </c>
      <c r="BP1179" s="53">
        <f ca="1">IFERROR(_xlfn.XLOOKUP(F1179,Apuração!A:A,Apuração!D:D)/_xlfn.XLOOKUP(F1179,Apuração!A:A,Apuração!B:B),0)</f>
        <v>0</v>
      </c>
      <c r="BQ1179" s="53">
        <f ca="1">IF(BK1179&gt;=BO1179,0,_xlfn.XLOOKUP(F1179,Apuração!A:A,Apuração!B:B)*(BO1179 + (1/_xlfn.XLOOKUP(F1179,Apuração!A:A,Apuração!B:B)) - BK1179))</f>
        <v>0</v>
      </c>
      <c r="BR1179" s="85">
        <f t="shared" ca="1" si="1385"/>
        <v>0</v>
      </c>
      <c r="BS1179" s="53">
        <f ca="1">IFERROR((_xlfn.XLOOKUP(F1179,Apuração!A:A,Apuração!C:C)+1)/_xlfn.XLOOKUP(F1179,Apuração!A:A,Apuração!B:B),0)</f>
        <v>0.14285714285714285</v>
      </c>
    </row>
    <row r="1180" spans="1:71" ht="25.95" hidden="1" customHeight="1" x14ac:dyDescent="0.3">
      <c r="A1180" s="40" t="s">
        <v>87</v>
      </c>
      <c r="B1180" s="4" t="s">
        <v>88</v>
      </c>
      <c r="C1180" s="5" t="s">
        <v>214</v>
      </c>
      <c r="D1180" s="5" t="s">
        <v>48</v>
      </c>
      <c r="E1180" s="4" t="s">
        <v>96</v>
      </c>
      <c r="F1180" s="4" t="str" cm="1">
        <f t="array" ref="F1180">_xlfn.IFS(
AG1180 &lt;&gt; "", "Jan-Dez/26",
AH1180 &lt;&gt; "", "Fev-Dez/26",
AI1180 &lt;&gt; "", "Mar-Dez/26", AJ1180 &lt;&gt; "", "Abr-Dez/26",
TRUE, "A partir de Junho"
)</f>
        <v>A partir de Junho</v>
      </c>
      <c r="G1180" s="4" t="s">
        <v>62</v>
      </c>
      <c r="H1180" s="7" t="s">
        <v>38</v>
      </c>
      <c r="I1180" s="9" t="s">
        <v>93</v>
      </c>
      <c r="J1180" s="21" t="str" cm="1">
        <f t="array" aca="1" ref="J1180" ca="1">_xlfn.LET(
  _xlpm.actual_value_month, INDEX(T1180:AE1180, MATCH(DATE(YEAR(TODAY()), MONTH(TODAY()), 1), $T$1:$AE$1, 0)),
  IF(_xlpm.actual_value_month &lt;&gt; "",_xlpm.actual_value_month &amp; " ações mensais", "")
)</f>
        <v/>
      </c>
      <c r="K1180" s="8" t="str" cm="1">
        <f t="array" ref="K1180">_xlfn.LET(
    _xlpm.sum_month, SUM(T1180:AE1180),
    IF(_xlpm.sum_month = 0, "", _xlpm.sum_month &amp; " certificados gerados no ano")
)</f>
        <v/>
      </c>
      <c r="L1180" s="4" t="s">
        <v>94</v>
      </c>
      <c r="M1180" s="19"/>
      <c r="N1180" s="5" t="s">
        <v>51</v>
      </c>
      <c r="O1180" s="5"/>
      <c r="P1180" s="10"/>
      <c r="Q1180" s="10"/>
      <c r="R1180" s="10"/>
      <c r="S1180" s="10"/>
      <c r="T1180" s="22"/>
      <c r="U1180" s="22"/>
      <c r="V1180" s="22"/>
      <c r="W1180" s="22"/>
      <c r="X1180" s="22"/>
      <c r="Y1180" s="22"/>
      <c r="Z1180" s="22"/>
      <c r="AA1180" s="22"/>
      <c r="AB1180" s="22"/>
      <c r="AC1180" s="22"/>
      <c r="AD1180" s="22"/>
      <c r="AE1180" s="22"/>
      <c r="AG1180" s="71"/>
      <c r="AH1180" s="71"/>
      <c r="AI1180" s="71"/>
      <c r="AJ1180" s="71"/>
      <c r="AK1180" s="71"/>
      <c r="AL1180" s="71"/>
      <c r="AM1180" s="71"/>
      <c r="AN1180" s="71"/>
      <c r="AO1180" s="71"/>
      <c r="AP1180" s="71"/>
      <c r="AQ1180" s="71"/>
      <c r="AR1180" s="71"/>
      <c r="AS1180" s="94">
        <f t="shared" ca="1" si="1379"/>
        <v>0</v>
      </c>
      <c r="AT1180" s="95" t="str" cm="1">
        <f t="array" ref="AT1180">IFERROR(INDEX(AJ1180:AR1180,1,MATCH(2,1/(AJ1180:AR1180&lt;&gt;""))),"")</f>
        <v/>
      </c>
      <c r="AU1180" s="97" t="str">
        <f t="shared" si="1380"/>
        <v/>
      </c>
      <c r="AW1180" s="83">
        <f t="shared" si="1381"/>
        <v>0</v>
      </c>
      <c r="AX1180" s="83">
        <f t="shared" si="1382"/>
        <v>0</v>
      </c>
      <c r="AY1180" s="83">
        <f t="shared" si="1383"/>
        <v>0</v>
      </c>
      <c r="AZ1180" s="83">
        <f t="shared" si="1384"/>
        <v>0</v>
      </c>
      <c r="BA1180" s="51"/>
      <c r="BB1180" s="51"/>
      <c r="BC1180" s="51"/>
      <c r="BD1180" s="51"/>
      <c r="BE1180" s="51"/>
      <c r="BF1180" s="51"/>
      <c r="BG1180" s="51"/>
      <c r="BH1180" s="51"/>
      <c r="BI1180" s="65" cm="1">
        <f t="array" ref="BI1180">IFERROR(INDEX(AW1180:BH1180,1,MATCH(2,1/(AW1180:BH1180&lt;&gt;""))),"")</f>
        <v>0</v>
      </c>
      <c r="BJ1180" s="68" cm="1">
        <f t="array" ref="BJ1180">IF(BM1180 = "", "",IFERROR(INDEX(AW1180:BH1180,1,MATCH(2,1/(AW1180:BH1180&lt;&gt;""),1)-1),""))</f>
        <v>0</v>
      </c>
      <c r="BK1180" s="58">
        <f>IF((IF(AW1180&gt;=115%,115%,AW1180) + IF(AX1180&gt;=115%,115%,AX1180) + IF(AY1180&gt;=115%,115%,AY1180) + (IF(AZ1180&gt;=115%,115%,AZ1180) + IF(BA1180&gt;=115%,115%,BA1180) + IF(BB1180&gt;=115%,115%,BB1180) + IF(BC1180&gt;=115%,115%,BC1180) + IF(BD1180&gt;=115%,115%,BD1180) + IF(BE1180&gt;=115%,115%,BE1180) + IF(BF1180&gt;=115%,115%,BF1180) + IF(BG1180&gt;=115%,115%,BG1180) + IF(BH1180&gt;=115%,115%,BH1180)))/_xlfn.XLOOKUP(F1180,Apuração!A:A,Apuração!B:B)&gt;=1.15,1.15,((IF(AZ1180&gt;=115%,115%,AZ1180) + IF(AX1180&gt;=115%,115%,AX1180) + IF(AY1180&gt;=115%,115%,AY1180) + (IF(AW1180&gt;=115%,115%,AW1180) + IF(BA1180&gt;=115%,115%,BA1180) + IF(BB1180&gt;=115%,115%,BB1180) + IF(BC1180&gt;=115%,115%,BC1180) + IF(BD1180&gt;=115%,115%,BD1180) + IF(BE1180&gt;=115%,115%,BE1180) + IF(BF1180&gt;=115%,115%,BF1180) + IF(BG1180&gt;=115%,115%,BG1180) + IF(BH1180&gt;=115%,115%,BH1180)))/_xlfn.XLOOKUP(F1180,Apuração!A:A,Apuração!B:B)))</f>
        <v>0</v>
      </c>
      <c r="BL1180" s="58" cm="1">
        <f t="array" aca="1" ref="BL1180" ca="1">IF(SUM(IFERROR(IF(INDEX(AW1180:INDEX(AW1180:BH1180, MATCH(2, 1/(AW1180:BH1180&lt;&gt;""), 1)-1), ROW(INDIRECT("1:" &amp; MATCH(2, 1/(AW1180:BH1180&lt;&gt;""), 1)-1))) &gt;= 115%, 115%, INDEX(AW1180:INDEX(AW1180:BH1180, MATCH(2, 1/(AW1180:BH1180&lt;&gt;""), 1)-1), ROW(INDIRECT("1:" &amp; MATCH(2, 1/(AW1180:BH1180&lt;&gt;""), 1)-1)))), 0))/_xlfn.XLOOKUP(F1180,Apuração!A:A,Apuração!B:B)&gt;=1.15,1.15,SUM(IFERROR(IF(INDEX(AW1180:INDEX(AW1180:BH1180, MATCH(2, 1/(AW1180:BH1180&lt;&gt;""), 1)-1), ROW(INDIRECT("1:" &amp; MATCH(2, 1/(AW1180:BH1180&lt;&gt;""), 1)-1))) &gt;= 115%, 115%, INDEX(AW1180:INDEX(AW1180:BH1180, MATCH(2, 1/(AW1180:BH1180&lt;&gt;""), 1)-1), ROW(INDIRECT("1:" &amp; MATCH(2, 1/(AW1180:BH1180&lt;&gt;""), 1)-1)))), 0))/_xlfn.XLOOKUP(F1180,Apuração!A:A,Apuração!B:B))</f>
        <v>0</v>
      </c>
      <c r="BM1180" s="55" cm="1">
        <f t="array" ref="BM1180">IFERROR(
   INDEX($AW$1:$BH$1,
      _xlfn.AGGREGATE(14, 6, COLUMN($AW$1:$BH$1)/(AW1180:BH1180&lt;&gt;""), 2) - COLUMN($AW$1) + 1
   ),
"")</f>
        <v>46082</v>
      </c>
      <c r="BN1180" s="55" cm="1">
        <f t="array" ref="BN1180">IFERROR(INDEX($AW$1:$BH$1,1,MATCH(2,1/(AW1180:BH1180&lt;&gt;""))),"")</f>
        <v>46113</v>
      </c>
      <c r="BO1180" s="53">
        <f ca="1">IFERROR(_xlfn.XLOOKUP(F1180,Apuração!A:A,Apuração!C:C)/_xlfn.XLOOKUP(F1180,Apuração!A:A,Apuração!B:B),0)</f>
        <v>0</v>
      </c>
      <c r="BP1180" s="53">
        <f ca="1">IFERROR(_xlfn.XLOOKUP(F1180,Apuração!A:A,Apuração!D:D)/_xlfn.XLOOKUP(F1180,Apuração!A:A,Apuração!B:B),0)</f>
        <v>0</v>
      </c>
      <c r="BQ1180" s="53">
        <f ca="1">IF(BK1180&gt;=BO1180,0,_xlfn.XLOOKUP(F1180,Apuração!A:A,Apuração!B:B)*(BO1180 + (1/_xlfn.XLOOKUP(F1180,Apuração!A:A,Apuração!B:B)) - BK1180))</f>
        <v>0</v>
      </c>
      <c r="BR1180" s="85">
        <f t="shared" ca="1" si="1385"/>
        <v>0</v>
      </c>
      <c r="BS1180" s="53">
        <f ca="1">IFERROR((_xlfn.XLOOKUP(F1180,Apuração!A:A,Apuração!C:C)+1)/_xlfn.XLOOKUP(F1180,Apuração!A:A,Apuração!B:B),0)</f>
        <v>0.14285714285714285</v>
      </c>
    </row>
    <row r="1181" spans="1:71" ht="25.95" hidden="1" customHeight="1" x14ac:dyDescent="0.3">
      <c r="A1181" s="40" t="s">
        <v>87</v>
      </c>
      <c r="B1181" s="4" t="s">
        <v>88</v>
      </c>
      <c r="C1181" s="5" t="s">
        <v>214</v>
      </c>
      <c r="D1181" s="5" t="s">
        <v>213</v>
      </c>
      <c r="E1181" s="4" t="s">
        <v>96</v>
      </c>
      <c r="F1181" s="4" t="str" cm="1">
        <f t="array" ref="F1181">_xlfn.IFS(
AG1181 &lt;&gt; "", "Jan-Dez/26",
AH1181 &lt;&gt; "", "Fev-Dez/26",
AI1181 &lt;&gt; "", "Mar-Dez/26", AJ1181 &lt;&gt; "", "Abr-Dez/26",
TRUE, "A partir de Junho"
)</f>
        <v>A partir de Junho</v>
      </c>
      <c r="G1181" s="4" t="s">
        <v>62</v>
      </c>
      <c r="H1181" s="7" t="s">
        <v>38</v>
      </c>
      <c r="I1181" s="9" t="s">
        <v>93</v>
      </c>
      <c r="J1181" s="21" t="str" cm="1">
        <f t="array" aca="1" ref="J1181" ca="1">_xlfn.LET(
  _xlpm.actual_value_month, INDEX(T1181:AE1181, MATCH(DATE(YEAR(TODAY()), MONTH(TODAY()), 1), $T$1:$AE$1, 0)),
  IF(_xlpm.actual_value_month &lt;&gt; "",_xlpm.actual_value_month &amp; " ações mensais", "")
)</f>
        <v/>
      </c>
      <c r="K1181" s="8" t="str" cm="1">
        <f t="array" ref="K1181">_xlfn.LET(
    _xlpm.sum_month, SUM(T1181:AE1181),
    IF(_xlpm.sum_month = 0, "", _xlpm.sum_month &amp; " certificados gerados no ano")
)</f>
        <v/>
      </c>
      <c r="L1181" s="4" t="s">
        <v>94</v>
      </c>
      <c r="M1181" s="19"/>
      <c r="N1181" s="5" t="s">
        <v>51</v>
      </c>
      <c r="O1181" s="5"/>
      <c r="P1181" s="10"/>
      <c r="Q1181" s="10"/>
      <c r="R1181" s="10"/>
      <c r="S1181" s="10"/>
      <c r="T1181" s="22"/>
      <c r="U1181" s="22"/>
      <c r="V1181" s="22"/>
      <c r="W1181" s="22"/>
      <c r="X1181" s="22"/>
      <c r="Y1181" s="22"/>
      <c r="Z1181" s="22"/>
      <c r="AA1181" s="22"/>
      <c r="AB1181" s="22"/>
      <c r="AC1181" s="22"/>
      <c r="AD1181" s="22"/>
      <c r="AE1181" s="22"/>
      <c r="AG1181" s="71"/>
      <c r="AH1181" s="71"/>
      <c r="AI1181" s="71"/>
      <c r="AJ1181" s="71"/>
      <c r="AK1181" s="71"/>
      <c r="AL1181" s="71"/>
      <c r="AM1181" s="71"/>
      <c r="AN1181" s="71"/>
      <c r="AO1181" s="71"/>
      <c r="AP1181" s="71"/>
      <c r="AQ1181" s="71"/>
      <c r="AR1181" s="71"/>
      <c r="AS1181" s="94">
        <f t="shared" ca="1" si="1379"/>
        <v>0</v>
      </c>
      <c r="AT1181" s="95" t="str" cm="1">
        <f t="array" ref="AT1181">IFERROR(INDEX(AJ1181:AR1181,1,MATCH(2,1/(AJ1181:AR1181&lt;&gt;""))),"")</f>
        <v/>
      </c>
      <c r="AU1181" s="97" t="str">
        <f t="shared" si="1380"/>
        <v/>
      </c>
      <c r="AW1181" s="83">
        <f t="shared" si="1381"/>
        <v>0</v>
      </c>
      <c r="AX1181" s="83">
        <f t="shared" si="1382"/>
        <v>0</v>
      </c>
      <c r="AY1181" s="83">
        <f t="shared" si="1383"/>
        <v>0</v>
      </c>
      <c r="AZ1181" s="83">
        <f t="shared" si="1384"/>
        <v>0</v>
      </c>
      <c r="BA1181" s="51"/>
      <c r="BB1181" s="51"/>
      <c r="BC1181" s="51"/>
      <c r="BD1181" s="51"/>
      <c r="BE1181" s="51"/>
      <c r="BF1181" s="51"/>
      <c r="BG1181" s="51"/>
      <c r="BH1181" s="51"/>
      <c r="BI1181" s="65" cm="1">
        <f t="array" ref="BI1181">IFERROR(INDEX(AW1181:BH1181,1,MATCH(2,1/(AW1181:BH1181&lt;&gt;""))),"")</f>
        <v>0</v>
      </c>
      <c r="BJ1181" s="68" cm="1">
        <f t="array" ref="BJ1181">IF(BM1181 = "", "",IFERROR(INDEX(AW1181:BH1181,1,MATCH(2,1/(AW1181:BH1181&lt;&gt;""),1)-1),""))</f>
        <v>0</v>
      </c>
      <c r="BK1181" s="58">
        <f>IF((IF(AW1181&gt;=115%,115%,AW1181) + IF(AX1181&gt;=115%,115%,AX1181) + IF(AY1181&gt;=115%,115%,AY1181) + (IF(AZ1181&gt;=115%,115%,AZ1181) + IF(BA1181&gt;=115%,115%,BA1181) + IF(BB1181&gt;=115%,115%,BB1181) + IF(BC1181&gt;=115%,115%,BC1181) + IF(BD1181&gt;=115%,115%,BD1181) + IF(BE1181&gt;=115%,115%,BE1181) + IF(BF1181&gt;=115%,115%,BF1181) + IF(BG1181&gt;=115%,115%,BG1181) + IF(BH1181&gt;=115%,115%,BH1181)))/_xlfn.XLOOKUP(F1181,Apuração!A:A,Apuração!B:B)&gt;=1.15,1.15,((IF(AZ1181&gt;=115%,115%,AZ1181) + IF(AX1181&gt;=115%,115%,AX1181) + IF(AY1181&gt;=115%,115%,AY1181) + (IF(AW1181&gt;=115%,115%,AW1181) + IF(BA1181&gt;=115%,115%,BA1181) + IF(BB1181&gt;=115%,115%,BB1181) + IF(BC1181&gt;=115%,115%,BC1181) + IF(BD1181&gt;=115%,115%,BD1181) + IF(BE1181&gt;=115%,115%,BE1181) + IF(BF1181&gt;=115%,115%,BF1181) + IF(BG1181&gt;=115%,115%,BG1181) + IF(BH1181&gt;=115%,115%,BH1181)))/_xlfn.XLOOKUP(F1181,Apuração!A:A,Apuração!B:B)))</f>
        <v>0</v>
      </c>
      <c r="BL1181" s="58" cm="1">
        <f t="array" aca="1" ref="BL1181" ca="1">IF(SUM(IFERROR(IF(INDEX(AW1181:INDEX(AW1181:BH1181, MATCH(2, 1/(AW1181:BH1181&lt;&gt;""), 1)-1), ROW(INDIRECT("1:" &amp; MATCH(2, 1/(AW1181:BH1181&lt;&gt;""), 1)-1))) &gt;= 115%, 115%, INDEX(AW1181:INDEX(AW1181:BH1181, MATCH(2, 1/(AW1181:BH1181&lt;&gt;""), 1)-1), ROW(INDIRECT("1:" &amp; MATCH(2, 1/(AW1181:BH1181&lt;&gt;""), 1)-1)))), 0))/_xlfn.XLOOKUP(F1181,Apuração!A:A,Apuração!B:B)&gt;=1.15,1.15,SUM(IFERROR(IF(INDEX(AW1181:INDEX(AW1181:BH1181, MATCH(2, 1/(AW1181:BH1181&lt;&gt;""), 1)-1), ROW(INDIRECT("1:" &amp; MATCH(2, 1/(AW1181:BH1181&lt;&gt;""), 1)-1))) &gt;= 115%, 115%, INDEX(AW1181:INDEX(AW1181:BH1181, MATCH(2, 1/(AW1181:BH1181&lt;&gt;""), 1)-1), ROW(INDIRECT("1:" &amp; MATCH(2, 1/(AW1181:BH1181&lt;&gt;""), 1)-1)))), 0))/_xlfn.XLOOKUP(F1181,Apuração!A:A,Apuração!B:B))</f>
        <v>0</v>
      </c>
      <c r="BM1181" s="55" cm="1">
        <f t="array" ref="BM1181">IFERROR(
   INDEX($AW$1:$BH$1,
      _xlfn.AGGREGATE(14, 6, COLUMN($AW$1:$BH$1)/(AW1181:BH1181&lt;&gt;""), 2) - COLUMN($AW$1) + 1
   ),
"")</f>
        <v>46082</v>
      </c>
      <c r="BN1181" s="55" cm="1">
        <f t="array" ref="BN1181">IFERROR(INDEX($AW$1:$BH$1,1,MATCH(2,1/(AW1181:BH1181&lt;&gt;""))),"")</f>
        <v>46113</v>
      </c>
      <c r="BO1181" s="53">
        <f ca="1">IFERROR(_xlfn.XLOOKUP(F1181,Apuração!A:A,Apuração!C:C)/_xlfn.XLOOKUP(F1181,Apuração!A:A,Apuração!B:B),0)</f>
        <v>0</v>
      </c>
      <c r="BP1181" s="53">
        <f ca="1">IFERROR(_xlfn.XLOOKUP(F1181,Apuração!A:A,Apuração!D:D)/_xlfn.XLOOKUP(F1181,Apuração!A:A,Apuração!B:B),0)</f>
        <v>0</v>
      </c>
      <c r="BQ1181" s="53">
        <f ca="1">IF(BK1181&gt;=BO1181,0,_xlfn.XLOOKUP(F1181,Apuração!A:A,Apuração!B:B)*(BO1181 + (1/_xlfn.XLOOKUP(F1181,Apuração!A:A,Apuração!B:B)) - BK1181))</f>
        <v>0</v>
      </c>
      <c r="BR1181" s="85">
        <f t="shared" ca="1" si="1385"/>
        <v>0</v>
      </c>
      <c r="BS1181" s="53">
        <f ca="1">IFERROR((_xlfn.XLOOKUP(F1181,Apuração!A:A,Apuração!C:C)+1)/_xlfn.XLOOKUP(F1181,Apuração!A:A,Apuração!B:B),0)</f>
        <v>0.14285714285714285</v>
      </c>
    </row>
    <row r="1182" spans="1:71" ht="25.95" hidden="1" customHeight="1" x14ac:dyDescent="0.3">
      <c r="A1182" s="20" t="s">
        <v>87</v>
      </c>
      <c r="B1182" s="4" t="s">
        <v>222</v>
      </c>
      <c r="C1182" s="5" t="s">
        <v>214</v>
      </c>
      <c r="D1182" s="5" t="s">
        <v>36</v>
      </c>
      <c r="E1182" s="4" t="str" cm="1">
        <f t="array" ref="E1182">_xlfn.IFS(
F1182 = "A partir de Abril", "Aguardando Execução na Distribuidora",
A1182 = "CAPACITAÇÃO", "Em execução no Corporativo",
TRUE, "Em Execução na Distribuidora"
)</f>
        <v>Em Execução na Distribuidora</v>
      </c>
      <c r="F1182" s="4" t="str" cm="1">
        <f t="array" ref="F1182">_xlfn.IFS(
AG1182 &lt;&gt; "", "Jan-Dez/26",
AH1182 &lt;&gt; "", "Fev-Dez/26",
AI1182 &lt;&gt; "", "Mar-Dez/26", AJ1182 &lt;&gt; "", "Abr-Dez/26",
TRUE, "A partir de Junho"
)</f>
        <v>Jan-Dez/26</v>
      </c>
      <c r="G1182" s="6" t="s">
        <v>37</v>
      </c>
      <c r="H1182" s="7" t="s">
        <v>110</v>
      </c>
      <c r="I1182" s="8" t="s">
        <v>223</v>
      </c>
      <c r="J1182" s="21" t="str" cm="1">
        <f t="array" aca="1" ref="J1182" ca="1">_xlfn.LET(
  _xlpm.actual_value_month, INDEX(T1182:AE1182, MATCH(DATE(YEAR(TODAY()), MONTH(TODAY()), 1), $T$1:$AE$1, 0)),
  IF(_xlpm.actual_value_month &lt;&gt; "",_xlpm.actual_value_month &amp; " inspeções mensais", "")
)</f>
        <v>295 inspeções mensais</v>
      </c>
      <c r="K1182" s="8" t="str" cm="1">
        <f t="array" ref="K1182">_xlfn.LET(
    _xlpm.sum_month, SUM(T1182:AE1182),
    IF(_xlpm.sum_month = 0, "", _xlpm.sum_month &amp; " inspeções realizadas no ano")
)</f>
        <v>5506 inspeções realizadas no ano</v>
      </c>
      <c r="L1182" s="4" t="s">
        <v>144</v>
      </c>
      <c r="M1182" s="19" t="s">
        <v>224</v>
      </c>
      <c r="N1182" s="5" t="s">
        <v>42</v>
      </c>
      <c r="O1182" s="5" t="s">
        <v>43</v>
      </c>
      <c r="P1182" s="10" t="s">
        <v>44</v>
      </c>
      <c r="Q1182" s="10" t="s">
        <v>72</v>
      </c>
      <c r="R1182" s="11" t="s">
        <v>225</v>
      </c>
      <c r="S1182" s="11" t="s">
        <v>44</v>
      </c>
      <c r="T1182" s="22">
        <v>736</v>
      </c>
      <c r="U1182" s="22">
        <v>1003</v>
      </c>
      <c r="V1182" s="22">
        <v>1112</v>
      </c>
      <c r="W1182" s="22">
        <v>295</v>
      </c>
      <c r="X1182" s="22">
        <v>295</v>
      </c>
      <c r="Y1182" s="22">
        <v>295</v>
      </c>
      <c r="Z1182" s="22">
        <v>295</v>
      </c>
      <c r="AA1182" s="22">
        <v>295</v>
      </c>
      <c r="AB1182" s="22">
        <v>295</v>
      </c>
      <c r="AC1182" s="22">
        <v>295</v>
      </c>
      <c r="AD1182" s="22">
        <v>295</v>
      </c>
      <c r="AE1182" s="22">
        <v>295</v>
      </c>
      <c r="AG1182" s="71">
        <v>736</v>
      </c>
      <c r="AH1182" s="71">
        <v>1003</v>
      </c>
      <c r="AI1182" s="71">
        <v>1112</v>
      </c>
      <c r="AJ1182" s="71">
        <v>1176</v>
      </c>
      <c r="AK1182" s="71"/>
      <c r="AL1182" s="71"/>
      <c r="AM1182" s="71"/>
      <c r="AN1182" s="71"/>
      <c r="AO1182" s="71"/>
      <c r="AP1182" s="71"/>
      <c r="AQ1182" s="71"/>
      <c r="AR1182" s="71"/>
      <c r="AS1182" s="94">
        <f ca="1">IF(MONTH(TODAY())=3,SUM(T1182:U1182),IF(MONTH(TODAY())=4,SUM(T1182:V1182),IF(MONTH(TODAY())=5,SUM(T1182:W1182),IF(MONTH(TODAY())=6,SUM(T1182:X1182),IF(MONTH(TODAY())=7,SUM(T1182:Y1182),IF(MONTH(TODAY())=8,SUM(T1182:Z1182),IF(MONTH(TODAY())=9,SUM(T1182:AA1182),IF(MONTH(TODAY())=10,SUM(T1182:AB1182),IF(MONTH(TODAY())=11,SUM(T1182:AC1182),IF(MONTH(TODAY())=12,SUM(T1182:AD1182),IF(MONTH(TODAY())=1,SUM(T1182:AE1182),T1182)))))))))))</f>
        <v>3441</v>
      </c>
      <c r="AT1182" s="95">
        <f>SUM(IF(AW1182&lt;1.15,AG1182,1.15*T1182),IF(AX1182&lt;1.15,AH1182,1.15*U1182),IF(AY1182&lt;1.15,AI1182,1.15*V1182),IF(AZ1182&lt;1.15,AJ1182,1.15*W1182),IF(BA1182&lt;1.15,AK1182,1.15*X1182),IF(BB1182&lt;1.15,AL1182,1.15*Y1182),IF(BC1182&lt;1.15,AM1182,1.15*Z1182),IF(BD1182&lt;1.15,AN1182,1.15*AA1182),IF(BE1182&lt;1.15,AO1182,1.15*AB1182),IF(BF1182&lt;1.15,AP1182,1.15*AC1182),IF(BG1182&lt;1.15,AQ1182,1.15*AD1182),IF(BH1182&lt;1.15,AR1182,1.15*AE1182))</f>
        <v>3190.25</v>
      </c>
      <c r="AU1182" s="97">
        <f>SUM(AG1182:AR1182)</f>
        <v>4027</v>
      </c>
      <c r="AW1182" s="51">
        <f>IFERROR(IF(AG1182="",0,AG1182/T1182),0)</f>
        <v>1</v>
      </c>
      <c r="AX1182" s="51">
        <f>IFERROR(IF(AH1182="",0,AH1182/U1182),0)</f>
        <v>1</v>
      </c>
      <c r="AY1182" s="51">
        <f>IFERROR(IF(AI1182="",0,AI1182/V1182),0)</f>
        <v>1</v>
      </c>
      <c r="AZ1182" s="51">
        <f>IFERROR(IF(AJ1182="",0,AJ1182/W1182),0)</f>
        <v>3.9864406779661019</v>
      </c>
      <c r="BA1182" s="51"/>
      <c r="BB1182" s="51"/>
      <c r="BC1182" s="51"/>
      <c r="BD1182" s="51"/>
      <c r="BE1182" s="51"/>
      <c r="BF1182" s="51"/>
      <c r="BG1182" s="51"/>
      <c r="BH1182" s="51"/>
      <c r="BI1182" s="65" cm="1">
        <f t="array" ref="BI1182">IFERROR(INDEX(AW1182:BH1182,1,MATCH(2,1/(AW1182:BH1182&lt;&gt;""))),"")</f>
        <v>3.9864406779661019</v>
      </c>
      <c r="BJ1182" s="68" cm="1">
        <f t="array" ref="BJ1182">IF(BM1182 = "", "",IFERROR(INDEX(AW1182:BH1182,1,MATCH(2,1/(AW1182:BH1182&lt;&gt;""),1)-1),""))</f>
        <v>1</v>
      </c>
      <c r="BK1182" s="58">
        <f>IF((IF(AW1182&gt;=115%,115%,AW1182) + IF(AX1182&gt;=130%,130%,AX1182) + IF(AY1182&gt;=115%,115%,AY1182) + (IF(AZ1182&gt;=115%,115%,AZ1182) + IF(BA1182&gt;=115%,115%,BA1182) + IF(BB1182&gt;=115%,115%,BB1182) + IF(BC1182&gt;=115%,115%,BC1182) + IF(BD1182&gt;=115%,115%,BD1182) + IF(BE1182&gt;=115%,115%,BE1182) + IF(BF1182&gt;=115%,115%,BF1182) + IF(BG1182&gt;=115%,115%,BG1182) + IF(BH1182&gt;=115%,115%,BH1182)))/_xlfn.XLOOKUP(F1182,Apuração!A:A,Apuração!B:B)&gt;=1.15,1.15,((IF(AZ1182&gt;=115%,115%,AZ1182) + IF(AX1182&gt;=130%,130%,AX1182) + IF(AY1182&gt;=115%,115%,AY1182) + (IF(AW1182&gt;=115%,115%,AW1182) + IF(BA1182&gt;=115%,115%,BA1182) + IF(BB1182&gt;=115%,115%,BB1182) + IF(BC1182&gt;=115%,115%,BC1182) + IF(BD1182&gt;=115%,115%,BD1182) + IF(BE1182&gt;=115%,115%,BE1182) + IF(BF1182&gt;=115%,115%,BF1182) + IF(BG1182&gt;=115%,115%,BG1182) + IF(BH1182&gt;=115%,115%,BH1182)))/_xlfn.XLOOKUP(F1182,Apuração!A:A,Apuração!B:B)))</f>
        <v>0.34583333333333338</v>
      </c>
      <c r="BL1182" s="58" cm="1">
        <f t="array" aca="1" ref="BL1182" ca="1">IF(SUM(IFERROR(IF(INDEX(AW1182:INDEX(AW1182:BH1182, MATCH(2, 1/(AW1182:BH1182&lt;&gt;""), 1)-1), ROW(INDIRECT("1:" &amp; MATCH(2, 1/(AW1182:BH1182&lt;&gt;""), 1)-1))) &gt;= 115%, 115%, INDEX(AW1182:INDEX(AW1182:BH1182, MATCH(2, 1/(AW1182:BH1182&lt;&gt;""), 1)-1), ROW(INDIRECT("1:" &amp; MATCH(2, 1/(AW1182:BH1182&lt;&gt;""), 1)-1)))), 0))/_xlfn.XLOOKUP(F1182,Apuração!A:A,Apuração!B:B)&gt;=1.15,1.15,SUM(IFERROR(IF(INDEX(AW1182:INDEX(AW1182:BH1182, MATCH(2, 1/(AW1182:BH1182&lt;&gt;""), 1)-1), ROW(INDIRECT("1:" &amp; MATCH(2, 1/(AW1182:BH1182&lt;&gt;""), 1)-1))) &gt;= 115%, 115%, INDEX(AW1182:INDEX(AW1182:BH1182, MATCH(2, 1/(AW1182:BH1182&lt;&gt;""), 1)-1), ROW(INDIRECT("1:" &amp; MATCH(2, 1/(AW1182:BH1182&lt;&gt;""), 1)-1)))), 0))/_xlfn.XLOOKUP(F1182,Apuração!A:A,Apuração!B:B))</f>
        <v>0.25</v>
      </c>
      <c r="BM1182" s="55" cm="1">
        <f t="array" ref="BM1182">IFERROR(
   INDEX($AW$1:$BH$1,
      _xlfn.AGGREGATE(14, 6, COLUMN($AW$1:$BH$1)/(AW1182:BH1182&lt;&gt;""), 2) - COLUMN($AW$1) + 1
   ),
"")</f>
        <v>46082</v>
      </c>
      <c r="BN1182" s="55" cm="1">
        <f t="array" ref="BN1182">IFERROR(INDEX($AW$1:$BH$1,1,MATCH(2,1/(AW1182:BH1182&lt;&gt;""))),"")</f>
        <v>46113</v>
      </c>
      <c r="BO1182" s="53">
        <f ca="1">IFERROR(_xlfn.XLOOKUP(F1182,Apuração!A:A,Apuração!C:C)/_xlfn.XLOOKUP(F1182,Apuração!A:A,Apuração!B:B),0)</f>
        <v>0.41666666666666669</v>
      </c>
      <c r="BP1182" s="53">
        <f ca="1">IFERROR(_xlfn.XLOOKUP(F1182,Apuração!A:A,Apuração!D:D)/_xlfn.XLOOKUP(F1182,Apuração!A:A,Apuração!B:B),0)</f>
        <v>0.33333333333333331</v>
      </c>
      <c r="BQ1182" s="53">
        <f ca="1">IF(BK1182&gt;=BO1182,0,_xlfn.XLOOKUP(F1182,Apuração!A:A,Apuração!B:B)*(BO1182 + (1/_xlfn.XLOOKUP(F1182,Apuração!A:A,Apuração!B:B)) - BK1182))</f>
        <v>1.8499999999999994</v>
      </c>
      <c r="BR1182" s="85">
        <f ca="1">IF(BQ1182=0,0,BQ1182*Z1182)</f>
        <v>545.74999999999989</v>
      </c>
      <c r="BS1182" s="53">
        <f ca="1">IFERROR((_xlfn.XLOOKUP(F1182,Apuração!A:A,Apuração!C:C)+1)/_xlfn.XLOOKUP(F1182,Apuração!A:A,Apuração!B:B),0)</f>
        <v>0.5</v>
      </c>
    </row>
    <row r="1183" spans="1:71" ht="25.95" hidden="1" customHeight="1" x14ac:dyDescent="0.3">
      <c r="A1183" s="20" t="s">
        <v>87</v>
      </c>
      <c r="B1183" s="4" t="s">
        <v>222</v>
      </c>
      <c r="C1183" s="5" t="s">
        <v>214</v>
      </c>
      <c r="D1183" s="5" t="s">
        <v>210</v>
      </c>
      <c r="E1183" s="4" t="str" cm="1">
        <f t="array" ref="E1183">_xlfn.IFS(
F1183 = "A partir de Abril", "Aguardando Execução na Distribuidora",
A1183 = "CAPACITAÇÃO", "Em execução no Corporativo",
TRUE, "Em Execução na Distribuidora"
)</f>
        <v>Em Execução na Distribuidora</v>
      </c>
      <c r="F1183" s="4" t="str" cm="1">
        <f t="array" ref="F1183">_xlfn.IFS(
AG1183 &lt;&gt; "", "Jan-Dez/26",
AH1183 &lt;&gt; "", "Fev-Dez/26",
AI1183 &lt;&gt; "", "Mar-Dez/26", AJ1183 &lt;&gt; "", "Abr-Dez/26",
TRUE, "A partir de Junho"
)</f>
        <v>Jan-Dez/26</v>
      </c>
      <c r="G1183" s="6" t="s">
        <v>37</v>
      </c>
      <c r="H1183" s="7" t="s">
        <v>110</v>
      </c>
      <c r="I1183" s="8" t="s">
        <v>223</v>
      </c>
      <c r="J1183" s="21" t="str" cm="1">
        <f t="array" aca="1" ref="J1183" ca="1">_xlfn.LET(
  _xlpm.actual_value_month, INDEX(T1183:AE1183, MATCH(DATE(YEAR(TODAY()), MONTH(TODAY()), 1), $T$1:$AE$1, 0)),
  IF(_xlpm.actual_value_month &lt;&gt; "",_xlpm.actual_value_month &amp; " inspeções mensais", "")
)</f>
        <v>18 inspeções mensais</v>
      </c>
      <c r="K1183" s="8" t="str" cm="1">
        <f t="array" ref="K1183">_xlfn.LET(
    _xlpm.sum_month, SUM(T1183:AE1183),
    IF(_xlpm.sum_month = 0, "", _xlpm.sum_month &amp; " inspeções realizadas no ano")
)</f>
        <v>303 inspeções realizadas no ano</v>
      </c>
      <c r="L1183" s="4" t="s">
        <v>144</v>
      </c>
      <c r="M1183" s="19" t="s">
        <v>224</v>
      </c>
      <c r="N1183" s="5" t="s">
        <v>42</v>
      </c>
      <c r="O1183" s="5" t="s">
        <v>43</v>
      </c>
      <c r="P1183" s="10" t="s">
        <v>44</v>
      </c>
      <c r="Q1183" s="10" t="s">
        <v>72</v>
      </c>
      <c r="R1183" s="11" t="s">
        <v>225</v>
      </c>
      <c r="S1183" s="11" t="s">
        <v>44</v>
      </c>
      <c r="T1183" s="143">
        <v>36</v>
      </c>
      <c r="U1183" s="143">
        <v>55</v>
      </c>
      <c r="V1183" s="143">
        <v>50</v>
      </c>
      <c r="W1183" s="143">
        <v>18</v>
      </c>
      <c r="X1183" s="143">
        <v>18</v>
      </c>
      <c r="Y1183" s="143">
        <v>18</v>
      </c>
      <c r="Z1183" s="143">
        <v>18</v>
      </c>
      <c r="AA1183" s="143">
        <v>18</v>
      </c>
      <c r="AB1183" s="143">
        <v>18</v>
      </c>
      <c r="AC1183" s="143">
        <v>18</v>
      </c>
      <c r="AD1183" s="143">
        <v>18</v>
      </c>
      <c r="AE1183" s="143">
        <v>18</v>
      </c>
      <c r="AG1183" s="145">
        <v>36</v>
      </c>
      <c r="AH1183" s="149">
        <v>55</v>
      </c>
      <c r="AI1183" s="149">
        <v>50</v>
      </c>
      <c r="AJ1183" s="82">
        <v>77</v>
      </c>
      <c r="AK1183" s="71"/>
      <c r="AL1183" s="71"/>
      <c r="AM1183" s="71"/>
      <c r="AN1183" s="71"/>
      <c r="AO1183" s="71"/>
      <c r="AP1183" s="71"/>
      <c r="AQ1183" s="71"/>
      <c r="AR1183" s="71"/>
      <c r="AS1183" s="94">
        <f t="shared" ref="AS1183:AS1187" ca="1" si="1386">IF(MONTH(TODAY())=3,SUM(T1183:U1183),IF(MONTH(TODAY())=4,SUM(T1183:V1183),IF(MONTH(TODAY())=5,SUM(T1183:W1183),IF(MONTH(TODAY())=6,SUM(T1183:X1183),IF(MONTH(TODAY())=7,SUM(T1183:Y1183),IF(MONTH(TODAY())=8,SUM(T1183:Z1183),IF(MONTH(TODAY())=9,SUM(T1183:AA1183),IF(MONTH(TODAY())=10,SUM(T1183:AB1183),IF(MONTH(TODAY())=11,SUM(T1183:AC1183),IF(MONTH(TODAY())=12,SUM(T1183:AD1183),IF(MONTH(TODAY())=1,SUM(T1183:AE1183),T1183)))))))))))</f>
        <v>177</v>
      </c>
      <c r="AT1183" s="95">
        <f t="shared" ref="AT1183:AT1187" si="1387">SUM(IF(AW1183&lt;1.15,AG1183,1.15*T1183),IF(AX1183&lt;1.15,AH1183,1.15*U1183),IF(AY1183&lt;1.15,AI1183,1.15*V1183),IF(AZ1183&lt;1.15,AJ1183,1.15*W1183),IF(BA1183&lt;1.15,AK1183,1.15*X1183),IF(BB1183&lt;1.15,AL1183,1.15*Y1183),IF(BC1183&lt;1.15,AM1183,1.15*Z1183),IF(BD1183&lt;1.15,AN1183,1.15*AA1183),IF(BE1183&lt;1.15,AO1183,1.15*AB1183),IF(BF1183&lt;1.15,AP1183,1.15*AC1183),IF(BG1183&lt;1.15,AQ1183,1.15*AD1183),IF(BH1183&lt;1.15,AR1183,1.15*AE1183))</f>
        <v>161.69999999999999</v>
      </c>
      <c r="AU1183" s="97">
        <f t="shared" ref="AU1183:AU1187" si="1388">SUM(AG1183:AR1183)</f>
        <v>218</v>
      </c>
      <c r="AW1183" s="51">
        <f t="shared" ref="AW1183:AW1187" si="1389">IFERROR(IF(AG1183="",0,AG1183/T1183),0)</f>
        <v>1</v>
      </c>
      <c r="AX1183" s="51">
        <f t="shared" ref="AX1183:AX1187" si="1390">IFERROR(IF(AH1183="",0,AH1183/U1183),0)</f>
        <v>1</v>
      </c>
      <c r="AY1183" s="51">
        <f t="shared" ref="AY1183:AY1187" si="1391">IFERROR(IF(AI1183="",0,AI1183/V1183),0)</f>
        <v>1</v>
      </c>
      <c r="AZ1183" s="51">
        <f t="shared" ref="AZ1183:AZ1187" si="1392">IFERROR(IF(AJ1183="",0,AJ1183/W1183),0)</f>
        <v>4.2777777777777777</v>
      </c>
      <c r="BA1183" s="51"/>
      <c r="BB1183" s="51"/>
      <c r="BC1183" s="51"/>
      <c r="BD1183" s="51"/>
      <c r="BE1183" s="51"/>
      <c r="BF1183" s="51"/>
      <c r="BG1183" s="51"/>
      <c r="BH1183" s="51"/>
      <c r="BI1183" s="65" cm="1">
        <f t="array" ref="BI1183">IFERROR(INDEX(AW1183:BH1183,1,MATCH(2,1/(AW1183:BH1183&lt;&gt;""))),"")</f>
        <v>4.2777777777777777</v>
      </c>
      <c r="BJ1183" s="68" cm="1">
        <f t="array" ref="BJ1183">IF(BM1183 = "", "",IFERROR(INDEX(AW1183:BH1183,1,MATCH(2,1/(AW1183:BH1183&lt;&gt;""),1)-1),""))</f>
        <v>1</v>
      </c>
      <c r="BK1183" s="58">
        <f>IF((IF(AW1183&gt;=115%,115%,AW1183) + IF(AX1183&gt;=130%,130%,AX1183) + IF(AY1183&gt;=115%,115%,AY1183) + (IF(AZ1183&gt;=115%,115%,AZ1183) + IF(BA1183&gt;=115%,115%,BA1183) + IF(BB1183&gt;=115%,115%,BB1183) + IF(BC1183&gt;=115%,115%,BC1183) + IF(BD1183&gt;=115%,115%,BD1183) + IF(BE1183&gt;=115%,115%,BE1183) + IF(BF1183&gt;=115%,115%,BF1183) + IF(BG1183&gt;=115%,115%,BG1183) + IF(BH1183&gt;=115%,115%,BH1183)))/_xlfn.XLOOKUP(F1183,Apuração!A:A,Apuração!B:B)&gt;=1.15,1.15,((IF(AZ1183&gt;=115%,115%,AZ1183) + IF(AX1183&gt;=130%,130%,AX1183) + IF(AY1183&gt;=115%,115%,AY1183) + (IF(AW1183&gt;=115%,115%,AW1183) + IF(BA1183&gt;=115%,115%,BA1183) + IF(BB1183&gt;=115%,115%,BB1183) + IF(BC1183&gt;=115%,115%,BC1183) + IF(BD1183&gt;=115%,115%,BD1183) + IF(BE1183&gt;=115%,115%,BE1183) + IF(BF1183&gt;=115%,115%,BF1183) + IF(BG1183&gt;=115%,115%,BG1183) + IF(BH1183&gt;=115%,115%,BH1183)))/_xlfn.XLOOKUP(F1183,Apuração!A:A,Apuração!B:B)))</f>
        <v>0.34583333333333338</v>
      </c>
      <c r="BL1183" s="58" cm="1">
        <f t="array" aca="1" ref="BL1183" ca="1">IF(SUM(IFERROR(IF(INDEX(AW1183:INDEX(AW1183:BH1183, MATCH(2, 1/(AW1183:BH1183&lt;&gt;""), 1)-1), ROW(INDIRECT("1:" &amp; MATCH(2, 1/(AW1183:BH1183&lt;&gt;""), 1)-1))) &gt;= 115%, 115%, INDEX(AW1183:INDEX(AW1183:BH1183, MATCH(2, 1/(AW1183:BH1183&lt;&gt;""), 1)-1), ROW(INDIRECT("1:" &amp; MATCH(2, 1/(AW1183:BH1183&lt;&gt;""), 1)-1)))), 0))/_xlfn.XLOOKUP(F1183,Apuração!A:A,Apuração!B:B)&gt;=1.15,1.15,SUM(IFERROR(IF(INDEX(AW1183:INDEX(AW1183:BH1183, MATCH(2, 1/(AW1183:BH1183&lt;&gt;""), 1)-1), ROW(INDIRECT("1:" &amp; MATCH(2, 1/(AW1183:BH1183&lt;&gt;""), 1)-1))) &gt;= 115%, 115%, INDEX(AW1183:INDEX(AW1183:BH1183, MATCH(2, 1/(AW1183:BH1183&lt;&gt;""), 1)-1), ROW(INDIRECT("1:" &amp; MATCH(2, 1/(AW1183:BH1183&lt;&gt;""), 1)-1)))), 0))/_xlfn.XLOOKUP(F1183,Apuração!A:A,Apuração!B:B))</f>
        <v>0.25</v>
      </c>
      <c r="BM1183" s="55" cm="1">
        <f t="array" ref="BM1183">IFERROR(
   INDEX($AW$1:$BH$1,
      _xlfn.AGGREGATE(14, 6, COLUMN($AW$1:$BH$1)/(AW1183:BH1183&lt;&gt;""), 2) - COLUMN($AW$1) + 1
   ),
"")</f>
        <v>46082</v>
      </c>
      <c r="BN1183" s="55" cm="1">
        <f t="array" ref="BN1183">IFERROR(INDEX($AW$1:$BH$1,1,MATCH(2,1/(AW1183:BH1183&lt;&gt;""))),"")</f>
        <v>46113</v>
      </c>
      <c r="BO1183" s="53">
        <f ca="1">IFERROR(_xlfn.XLOOKUP(F1183,Apuração!A:A,Apuração!C:C)/_xlfn.XLOOKUP(F1183,Apuração!A:A,Apuração!B:B),0)</f>
        <v>0.41666666666666669</v>
      </c>
      <c r="BP1183" s="53">
        <f ca="1">IFERROR(_xlfn.XLOOKUP(F1183,Apuração!A:A,Apuração!D:D)/_xlfn.XLOOKUP(F1183,Apuração!A:A,Apuração!B:B),0)</f>
        <v>0.33333333333333331</v>
      </c>
      <c r="BQ1183" s="53">
        <f ca="1">IF(BK1183&gt;=BO1183,0,_xlfn.XLOOKUP(F1183,Apuração!A:A,Apuração!B:B)*(BO1183 + (1/_xlfn.XLOOKUP(F1183,Apuração!A:A,Apuração!B:B)) - BK1183))</f>
        <v>1.8499999999999994</v>
      </c>
      <c r="BR1183" s="85">
        <f t="shared" ref="BR1183:BR1187" ca="1" si="1393">IF(BQ1183=0,0,BQ1183*Z1183)</f>
        <v>33.29999999999999</v>
      </c>
      <c r="BS1183" s="53">
        <f ca="1">IFERROR((_xlfn.XLOOKUP(F1183,Apuração!A:A,Apuração!C:C)+1)/_xlfn.XLOOKUP(F1183,Apuração!A:A,Apuração!B:B),0)</f>
        <v>0.5</v>
      </c>
    </row>
    <row r="1184" spans="1:71" ht="25.95" hidden="1" customHeight="1" x14ac:dyDescent="0.3">
      <c r="A1184" s="20" t="s">
        <v>87</v>
      </c>
      <c r="B1184" s="4" t="s">
        <v>222</v>
      </c>
      <c r="C1184" s="5" t="s">
        <v>214</v>
      </c>
      <c r="D1184" s="5" t="s">
        <v>215</v>
      </c>
      <c r="E1184" s="4" t="str" cm="1">
        <f t="array" ref="E1184">_xlfn.IFS(
F1184 = "A partir de Abril", "Aguardando Execução na Distribuidora",
A1184 = "CAPACITAÇÃO", "Em execução no Corporativo",
TRUE, "Em Execução na Distribuidora"
)</f>
        <v>Em Execução na Distribuidora</v>
      </c>
      <c r="F1184" s="4" t="str" cm="1">
        <f t="array" ref="F1184">_xlfn.IFS(
AG1184 &lt;&gt; "", "Jan-Dez/26",
AH1184 &lt;&gt; "", "Fev-Dez/26",
AI1184 &lt;&gt; "", "Mar-Dez/26", AJ1184 &lt;&gt; "", "Abr-Dez/26",
TRUE, "A partir de Junho"
)</f>
        <v>Jan-Dez/26</v>
      </c>
      <c r="G1184" s="6" t="s">
        <v>37</v>
      </c>
      <c r="H1184" s="7" t="s">
        <v>110</v>
      </c>
      <c r="I1184" s="8" t="s">
        <v>223</v>
      </c>
      <c r="J1184" s="21" t="str" cm="1">
        <f t="array" aca="1" ref="J1184" ca="1">_xlfn.LET(
  _xlpm.actual_value_month, INDEX(T1184:AE1184, MATCH(DATE(YEAR(TODAY()), MONTH(TODAY()), 1), $T$1:$AE$1, 0)),
  IF(_xlpm.actual_value_month &lt;&gt; "",_xlpm.actual_value_month &amp; " inspeções mensais", "")
)</f>
        <v>62 inspeções mensais</v>
      </c>
      <c r="K1184" s="8" t="str" cm="1">
        <f t="array" ref="K1184">_xlfn.LET(
    _xlpm.sum_month, SUM(T1184:AE1184),
    IF(_xlpm.sum_month = 0, "", _xlpm.sum_month &amp; " inspeções realizadas no ano")
)</f>
        <v>1209 inspeções realizadas no ano</v>
      </c>
      <c r="L1184" s="4" t="s">
        <v>144</v>
      </c>
      <c r="M1184" s="19" t="s">
        <v>224</v>
      </c>
      <c r="N1184" s="5" t="s">
        <v>42</v>
      </c>
      <c r="O1184" s="5" t="s">
        <v>43</v>
      </c>
      <c r="P1184" s="10" t="s">
        <v>44</v>
      </c>
      <c r="Q1184" s="10" t="s">
        <v>72</v>
      </c>
      <c r="R1184" s="11" t="s">
        <v>225</v>
      </c>
      <c r="S1184" s="11" t="s">
        <v>44</v>
      </c>
      <c r="T1184" s="143">
        <v>184</v>
      </c>
      <c r="U1184" s="143">
        <v>246</v>
      </c>
      <c r="V1184" s="143">
        <v>221</v>
      </c>
      <c r="W1184" s="143">
        <v>62</v>
      </c>
      <c r="X1184" s="143">
        <v>62</v>
      </c>
      <c r="Y1184" s="143">
        <v>62</v>
      </c>
      <c r="Z1184" s="143">
        <v>62</v>
      </c>
      <c r="AA1184" s="143">
        <v>62</v>
      </c>
      <c r="AB1184" s="143">
        <v>62</v>
      </c>
      <c r="AC1184" s="143">
        <v>62</v>
      </c>
      <c r="AD1184" s="143">
        <v>62</v>
      </c>
      <c r="AE1184" s="143">
        <v>62</v>
      </c>
      <c r="AG1184" s="146">
        <v>184</v>
      </c>
      <c r="AH1184" s="150">
        <v>246</v>
      </c>
      <c r="AI1184" s="150">
        <v>221</v>
      </c>
      <c r="AJ1184" s="82">
        <v>301</v>
      </c>
      <c r="AK1184" s="71"/>
      <c r="AL1184" s="71"/>
      <c r="AM1184" s="71"/>
      <c r="AN1184" s="71"/>
      <c r="AO1184" s="71"/>
      <c r="AP1184" s="71"/>
      <c r="AQ1184" s="71"/>
      <c r="AR1184" s="71"/>
      <c r="AS1184" s="94">
        <f t="shared" ca="1" si="1386"/>
        <v>775</v>
      </c>
      <c r="AT1184" s="95">
        <f t="shared" si="1387"/>
        <v>722.3</v>
      </c>
      <c r="AU1184" s="97">
        <f t="shared" si="1388"/>
        <v>952</v>
      </c>
      <c r="AW1184" s="51">
        <f t="shared" si="1389"/>
        <v>1</v>
      </c>
      <c r="AX1184" s="51">
        <f t="shared" si="1390"/>
        <v>1</v>
      </c>
      <c r="AY1184" s="51">
        <f t="shared" si="1391"/>
        <v>1</v>
      </c>
      <c r="AZ1184" s="51">
        <f t="shared" si="1392"/>
        <v>4.854838709677419</v>
      </c>
      <c r="BA1184" s="51"/>
      <c r="BB1184" s="51"/>
      <c r="BC1184" s="51"/>
      <c r="BD1184" s="51"/>
      <c r="BE1184" s="51"/>
      <c r="BF1184" s="51"/>
      <c r="BG1184" s="51"/>
      <c r="BH1184" s="51"/>
      <c r="BI1184" s="65" cm="1">
        <f t="array" ref="BI1184">IFERROR(INDEX(AW1184:BH1184,1,MATCH(2,1/(AW1184:BH1184&lt;&gt;""))),"")</f>
        <v>4.854838709677419</v>
      </c>
      <c r="BJ1184" s="68" cm="1">
        <f t="array" ref="BJ1184">IF(BM1184 = "", "",IFERROR(INDEX(AW1184:BH1184,1,MATCH(2,1/(AW1184:BH1184&lt;&gt;""),1)-1),""))</f>
        <v>1</v>
      </c>
      <c r="BK1184" s="58">
        <f>IF((IF(AW1184&gt;=115%,115%,AW1184) + IF(AX1184&gt;=130%,130%,AX1184) + IF(AY1184&gt;=115%,115%,AY1184) + (IF(AZ1184&gt;=115%,115%,AZ1184) + IF(BA1184&gt;=115%,115%,BA1184) + IF(BB1184&gt;=115%,115%,BB1184) + IF(BC1184&gt;=115%,115%,BC1184) + IF(BD1184&gt;=115%,115%,BD1184) + IF(BE1184&gt;=115%,115%,BE1184) + IF(BF1184&gt;=115%,115%,BF1184) + IF(BG1184&gt;=115%,115%,BG1184) + IF(BH1184&gt;=115%,115%,BH1184)))/_xlfn.XLOOKUP(F1184,Apuração!A:A,Apuração!B:B)&gt;=1.15,1.15,((IF(AZ1184&gt;=115%,115%,AZ1184) + IF(AX1184&gt;=130%,130%,AX1184) + IF(AY1184&gt;=115%,115%,AY1184) + (IF(AW1184&gt;=115%,115%,AW1184) + IF(BA1184&gt;=115%,115%,BA1184) + IF(BB1184&gt;=115%,115%,BB1184) + IF(BC1184&gt;=115%,115%,BC1184) + IF(BD1184&gt;=115%,115%,BD1184) + IF(BE1184&gt;=115%,115%,BE1184) + IF(BF1184&gt;=115%,115%,BF1184) + IF(BG1184&gt;=115%,115%,BG1184) + IF(BH1184&gt;=115%,115%,BH1184)))/_xlfn.XLOOKUP(F1184,Apuração!A:A,Apuração!B:B)))</f>
        <v>0.34583333333333338</v>
      </c>
      <c r="BL1184" s="58" cm="1">
        <f t="array" aca="1" ref="BL1184" ca="1">IF(SUM(IFERROR(IF(INDEX(AW1184:INDEX(AW1184:BH1184, MATCH(2, 1/(AW1184:BH1184&lt;&gt;""), 1)-1), ROW(INDIRECT("1:" &amp; MATCH(2, 1/(AW1184:BH1184&lt;&gt;""), 1)-1))) &gt;= 115%, 115%, INDEX(AW1184:INDEX(AW1184:BH1184, MATCH(2, 1/(AW1184:BH1184&lt;&gt;""), 1)-1), ROW(INDIRECT("1:" &amp; MATCH(2, 1/(AW1184:BH1184&lt;&gt;""), 1)-1)))), 0))/_xlfn.XLOOKUP(F1184,Apuração!A:A,Apuração!B:B)&gt;=1.15,1.15,SUM(IFERROR(IF(INDEX(AW1184:INDEX(AW1184:BH1184, MATCH(2, 1/(AW1184:BH1184&lt;&gt;""), 1)-1), ROW(INDIRECT("1:" &amp; MATCH(2, 1/(AW1184:BH1184&lt;&gt;""), 1)-1))) &gt;= 115%, 115%, INDEX(AW1184:INDEX(AW1184:BH1184, MATCH(2, 1/(AW1184:BH1184&lt;&gt;""), 1)-1), ROW(INDIRECT("1:" &amp; MATCH(2, 1/(AW1184:BH1184&lt;&gt;""), 1)-1)))), 0))/_xlfn.XLOOKUP(F1184,Apuração!A:A,Apuração!B:B))</f>
        <v>0.25</v>
      </c>
      <c r="BM1184" s="55" cm="1">
        <f t="array" ref="BM1184">IFERROR(
   INDEX($AW$1:$BH$1,
      _xlfn.AGGREGATE(14, 6, COLUMN($AW$1:$BH$1)/(AW1184:BH1184&lt;&gt;""), 2) - COLUMN($AW$1) + 1
   ),
"")</f>
        <v>46082</v>
      </c>
      <c r="BN1184" s="55" cm="1">
        <f t="array" ref="BN1184">IFERROR(INDEX($AW$1:$BH$1,1,MATCH(2,1/(AW1184:BH1184&lt;&gt;""))),"")</f>
        <v>46113</v>
      </c>
      <c r="BO1184" s="53">
        <f ca="1">IFERROR(_xlfn.XLOOKUP(F1184,Apuração!A:A,Apuração!C:C)/_xlfn.XLOOKUP(F1184,Apuração!A:A,Apuração!B:B),0)</f>
        <v>0.41666666666666669</v>
      </c>
      <c r="BP1184" s="53">
        <f ca="1">IFERROR(_xlfn.XLOOKUP(F1184,Apuração!A:A,Apuração!D:D)/_xlfn.XLOOKUP(F1184,Apuração!A:A,Apuração!B:B),0)</f>
        <v>0.33333333333333331</v>
      </c>
      <c r="BQ1184" s="53">
        <f ca="1">IF(BK1184&gt;=BO1184,0,_xlfn.XLOOKUP(F1184,Apuração!A:A,Apuração!B:B)*(BO1184 + (1/_xlfn.XLOOKUP(F1184,Apuração!A:A,Apuração!B:B)) - BK1184))</f>
        <v>1.8499999999999994</v>
      </c>
      <c r="BR1184" s="85">
        <f t="shared" ca="1" si="1393"/>
        <v>114.69999999999996</v>
      </c>
      <c r="BS1184" s="53">
        <f ca="1">IFERROR((_xlfn.XLOOKUP(F1184,Apuração!A:A,Apuração!C:C)+1)/_xlfn.XLOOKUP(F1184,Apuração!A:A,Apuração!B:B),0)</f>
        <v>0.5</v>
      </c>
    </row>
    <row r="1185" spans="1:71" ht="25.95" hidden="1" customHeight="1" x14ac:dyDescent="0.3">
      <c r="A1185" s="20" t="s">
        <v>87</v>
      </c>
      <c r="B1185" s="4" t="s">
        <v>222</v>
      </c>
      <c r="C1185" s="5" t="s">
        <v>214</v>
      </c>
      <c r="D1185" s="5" t="s">
        <v>212</v>
      </c>
      <c r="E1185" s="4" t="str" cm="1">
        <f t="array" ref="E1185">_xlfn.IFS(
F1185 = "A partir de Abril", "Aguardando Execução na Distribuidora",
A1185 = "CAPACITAÇÃO", "Em execução no Corporativo",
TRUE, "Em Execução na Distribuidora"
)</f>
        <v>Em Execução na Distribuidora</v>
      </c>
      <c r="F1185" s="4" t="str" cm="1">
        <f t="array" ref="F1185">_xlfn.IFS(
AG1185 &lt;&gt; "", "Jan-Dez/26",
AH1185 &lt;&gt; "", "Fev-Dez/26",
AI1185 &lt;&gt; "", "Mar-Dez/26", AJ1185 &lt;&gt; "", "Abr-Dez/26",
TRUE, "A partir de Junho"
)</f>
        <v>Jan-Dez/26</v>
      </c>
      <c r="G1185" s="6" t="s">
        <v>37</v>
      </c>
      <c r="H1185" s="7" t="s">
        <v>110</v>
      </c>
      <c r="I1185" s="8" t="s">
        <v>223</v>
      </c>
      <c r="J1185" s="21" t="str" cm="1">
        <f t="array" aca="1" ref="J1185" ca="1">_xlfn.LET(
  _xlpm.actual_value_month, INDEX(T1185:AE1185, MATCH(DATE(YEAR(TODAY()), MONTH(TODAY()), 1), $T$1:$AE$1, 0)),
  IF(_xlpm.actual_value_month &lt;&gt; "",_xlpm.actual_value_month &amp; " inspeções mensais", "")
)</f>
        <v>90 inspeções mensais</v>
      </c>
      <c r="K1185" s="8" t="str" cm="1">
        <f t="array" ref="K1185">_xlfn.LET(
    _xlpm.sum_month, SUM(T1185:AE1185),
    IF(_xlpm.sum_month = 0, "", _xlpm.sum_month &amp; " inspeções realizadas no ano")
)</f>
        <v>1735 inspeções realizadas no ano</v>
      </c>
      <c r="L1185" s="4" t="s">
        <v>144</v>
      </c>
      <c r="M1185" s="19" t="s">
        <v>224</v>
      </c>
      <c r="N1185" s="5" t="s">
        <v>42</v>
      </c>
      <c r="O1185" s="5" t="s">
        <v>43</v>
      </c>
      <c r="P1185" s="10" t="s">
        <v>44</v>
      </c>
      <c r="Q1185" s="10" t="s">
        <v>72</v>
      </c>
      <c r="R1185" s="11" t="s">
        <v>225</v>
      </c>
      <c r="S1185" s="11" t="s">
        <v>44</v>
      </c>
      <c r="T1185" s="143">
        <v>196</v>
      </c>
      <c r="U1185" s="143">
        <v>334</v>
      </c>
      <c r="V1185" s="143">
        <v>395</v>
      </c>
      <c r="W1185" s="143">
        <v>90</v>
      </c>
      <c r="X1185" s="143">
        <v>90</v>
      </c>
      <c r="Y1185" s="143">
        <v>90</v>
      </c>
      <c r="Z1185" s="143">
        <v>90</v>
      </c>
      <c r="AA1185" s="143">
        <v>90</v>
      </c>
      <c r="AB1185" s="143">
        <v>90</v>
      </c>
      <c r="AC1185" s="143">
        <v>90</v>
      </c>
      <c r="AD1185" s="143">
        <v>90</v>
      </c>
      <c r="AE1185" s="143">
        <v>90</v>
      </c>
      <c r="AG1185" s="146">
        <v>196</v>
      </c>
      <c r="AH1185" s="150">
        <v>334</v>
      </c>
      <c r="AI1185" s="150">
        <v>395</v>
      </c>
      <c r="AJ1185" s="82">
        <v>320</v>
      </c>
      <c r="AK1185" s="71"/>
      <c r="AL1185" s="71"/>
      <c r="AM1185" s="71"/>
      <c r="AN1185" s="71"/>
      <c r="AO1185" s="71"/>
      <c r="AP1185" s="71"/>
      <c r="AQ1185" s="71"/>
      <c r="AR1185" s="71"/>
      <c r="AS1185" s="94">
        <f t="shared" ca="1" si="1386"/>
        <v>1105</v>
      </c>
      <c r="AT1185" s="95">
        <f t="shared" si="1387"/>
        <v>1028.5</v>
      </c>
      <c r="AU1185" s="97">
        <f t="shared" si="1388"/>
        <v>1245</v>
      </c>
      <c r="AW1185" s="51">
        <f t="shared" si="1389"/>
        <v>1</v>
      </c>
      <c r="AX1185" s="51">
        <f t="shared" si="1390"/>
        <v>1</v>
      </c>
      <c r="AY1185" s="51">
        <f t="shared" si="1391"/>
        <v>1</v>
      </c>
      <c r="AZ1185" s="51">
        <f t="shared" si="1392"/>
        <v>3.5555555555555554</v>
      </c>
      <c r="BA1185" s="51"/>
      <c r="BB1185" s="51"/>
      <c r="BC1185" s="51"/>
      <c r="BD1185" s="51"/>
      <c r="BE1185" s="51"/>
      <c r="BF1185" s="51"/>
      <c r="BG1185" s="51"/>
      <c r="BH1185" s="51"/>
      <c r="BI1185" s="65" cm="1">
        <f t="array" ref="BI1185">IFERROR(INDEX(AW1185:BH1185,1,MATCH(2,1/(AW1185:BH1185&lt;&gt;""))),"")</f>
        <v>3.5555555555555554</v>
      </c>
      <c r="BJ1185" s="68" cm="1">
        <f t="array" ref="BJ1185">IF(BM1185 = "", "",IFERROR(INDEX(AW1185:BH1185,1,MATCH(2,1/(AW1185:BH1185&lt;&gt;""),1)-1),""))</f>
        <v>1</v>
      </c>
      <c r="BK1185" s="58">
        <f>IF((IF(AW1185&gt;=115%,115%,AW1185) + IF(AX1185&gt;=130%,130%,AX1185) + IF(AY1185&gt;=115%,115%,AY1185) + (IF(AZ1185&gt;=115%,115%,AZ1185) + IF(BA1185&gt;=115%,115%,BA1185) + IF(BB1185&gt;=115%,115%,BB1185) + IF(BC1185&gt;=115%,115%,BC1185) + IF(BD1185&gt;=115%,115%,BD1185) + IF(BE1185&gt;=115%,115%,BE1185) + IF(BF1185&gt;=115%,115%,BF1185) + IF(BG1185&gt;=115%,115%,BG1185) + IF(BH1185&gt;=115%,115%,BH1185)))/_xlfn.XLOOKUP(F1185,Apuração!A:A,Apuração!B:B)&gt;=1.15,1.15,((IF(AZ1185&gt;=115%,115%,AZ1185) + IF(AX1185&gt;=130%,130%,AX1185) + IF(AY1185&gt;=115%,115%,AY1185) + (IF(AW1185&gt;=115%,115%,AW1185) + IF(BA1185&gt;=115%,115%,BA1185) + IF(BB1185&gt;=115%,115%,BB1185) + IF(BC1185&gt;=115%,115%,BC1185) + IF(BD1185&gt;=115%,115%,BD1185) + IF(BE1185&gt;=115%,115%,BE1185) + IF(BF1185&gt;=115%,115%,BF1185) + IF(BG1185&gt;=115%,115%,BG1185) + IF(BH1185&gt;=115%,115%,BH1185)))/_xlfn.XLOOKUP(F1185,Apuração!A:A,Apuração!B:B)))</f>
        <v>0.34583333333333338</v>
      </c>
      <c r="BL1185" s="58" cm="1">
        <f t="array" aca="1" ref="BL1185" ca="1">IF(SUM(IFERROR(IF(INDEX(AW1185:INDEX(AW1185:BH1185, MATCH(2, 1/(AW1185:BH1185&lt;&gt;""), 1)-1), ROW(INDIRECT("1:" &amp; MATCH(2, 1/(AW1185:BH1185&lt;&gt;""), 1)-1))) &gt;= 115%, 115%, INDEX(AW1185:INDEX(AW1185:BH1185, MATCH(2, 1/(AW1185:BH1185&lt;&gt;""), 1)-1), ROW(INDIRECT("1:" &amp; MATCH(2, 1/(AW1185:BH1185&lt;&gt;""), 1)-1)))), 0))/_xlfn.XLOOKUP(F1185,Apuração!A:A,Apuração!B:B)&gt;=1.15,1.15,SUM(IFERROR(IF(INDEX(AW1185:INDEX(AW1185:BH1185, MATCH(2, 1/(AW1185:BH1185&lt;&gt;""), 1)-1), ROW(INDIRECT("1:" &amp; MATCH(2, 1/(AW1185:BH1185&lt;&gt;""), 1)-1))) &gt;= 115%, 115%, INDEX(AW1185:INDEX(AW1185:BH1185, MATCH(2, 1/(AW1185:BH1185&lt;&gt;""), 1)-1), ROW(INDIRECT("1:" &amp; MATCH(2, 1/(AW1185:BH1185&lt;&gt;""), 1)-1)))), 0))/_xlfn.XLOOKUP(F1185,Apuração!A:A,Apuração!B:B))</f>
        <v>0.25</v>
      </c>
      <c r="BM1185" s="55" cm="1">
        <f t="array" ref="BM1185">IFERROR(
   INDEX($AW$1:$BH$1,
      _xlfn.AGGREGATE(14, 6, COLUMN($AW$1:$BH$1)/(AW1185:BH1185&lt;&gt;""), 2) - COLUMN($AW$1) + 1
   ),
"")</f>
        <v>46082</v>
      </c>
      <c r="BN1185" s="55" cm="1">
        <f t="array" ref="BN1185">IFERROR(INDEX($AW$1:$BH$1,1,MATCH(2,1/(AW1185:BH1185&lt;&gt;""))),"")</f>
        <v>46113</v>
      </c>
      <c r="BO1185" s="53">
        <f ca="1">IFERROR(_xlfn.XLOOKUP(F1185,Apuração!A:A,Apuração!C:C)/_xlfn.XLOOKUP(F1185,Apuração!A:A,Apuração!B:B),0)</f>
        <v>0.41666666666666669</v>
      </c>
      <c r="BP1185" s="53">
        <f ca="1">IFERROR(_xlfn.XLOOKUP(F1185,Apuração!A:A,Apuração!D:D)/_xlfn.XLOOKUP(F1185,Apuração!A:A,Apuração!B:B),0)</f>
        <v>0.33333333333333331</v>
      </c>
      <c r="BQ1185" s="53">
        <f ca="1">IF(BK1185&gt;=BO1185,0,_xlfn.XLOOKUP(F1185,Apuração!A:A,Apuração!B:B)*(BO1185 + (1/_xlfn.XLOOKUP(F1185,Apuração!A:A,Apuração!B:B)) - BK1185))</f>
        <v>1.8499999999999994</v>
      </c>
      <c r="BR1185" s="85">
        <f t="shared" ca="1" si="1393"/>
        <v>166.49999999999994</v>
      </c>
      <c r="BS1185" s="53">
        <f ca="1">IFERROR((_xlfn.XLOOKUP(F1185,Apuração!A:A,Apuração!C:C)+1)/_xlfn.XLOOKUP(F1185,Apuração!A:A,Apuração!B:B),0)</f>
        <v>0.5</v>
      </c>
    </row>
    <row r="1186" spans="1:71" ht="25.95" hidden="1" customHeight="1" x14ac:dyDescent="0.3">
      <c r="A1186" s="20" t="s">
        <v>87</v>
      </c>
      <c r="B1186" s="4" t="s">
        <v>222</v>
      </c>
      <c r="C1186" s="5" t="s">
        <v>214</v>
      </c>
      <c r="D1186" s="5" t="s">
        <v>48</v>
      </c>
      <c r="E1186" s="4" t="str" cm="1">
        <f t="array" ref="E1186">_xlfn.IFS(
F1186 = "A partir de Abril", "Aguardando Execução na Distribuidora",
A1186 = "CAPACITAÇÃO", "Em execução no Corporativo",
TRUE, "Em Execução na Distribuidora"
)</f>
        <v>Em Execução na Distribuidora</v>
      </c>
      <c r="F1186" s="4" t="str" cm="1">
        <f t="array" ref="F1186">_xlfn.IFS(
AG1186 &lt;&gt; "", "Jan-Dez/26",
AH1186 &lt;&gt; "", "Fev-Dez/26",
AI1186 &lt;&gt; "", "Mar-Dez/26", AJ1186 &lt;&gt; "", "Abr-Dez/26",
TRUE, "A partir de Junho"
)</f>
        <v>Jan-Dez/26</v>
      </c>
      <c r="G1186" s="6" t="s">
        <v>37</v>
      </c>
      <c r="H1186" s="7" t="s">
        <v>110</v>
      </c>
      <c r="I1186" s="8" t="s">
        <v>223</v>
      </c>
      <c r="J1186" s="21" t="str" cm="1">
        <f t="array" aca="1" ref="J1186" ca="1">_xlfn.LET(
  _xlpm.actual_value_month, INDEX(T1186:AE1186, MATCH(DATE(YEAR(TODAY()), MONTH(TODAY()), 1), $T$1:$AE$1, 0)),
  IF(_xlpm.actual_value_month &lt;&gt; "",_xlpm.actual_value_month &amp; " inspeções mensais", "")
)</f>
        <v>1330 inspeções mensais</v>
      </c>
      <c r="K1186" s="8" t="str" cm="1">
        <f t="array" ref="K1186">_xlfn.LET(
    _xlpm.sum_month, SUM(T1186:AE1186),
    IF(_xlpm.sum_month = 0, "", _xlpm.sum_month &amp; " inspeções realizadas no ano")
)</f>
        <v>12131 inspeções realizadas no ano</v>
      </c>
      <c r="L1186" s="4" t="s">
        <v>144</v>
      </c>
      <c r="M1186" s="19" t="s">
        <v>224</v>
      </c>
      <c r="N1186" s="5" t="s">
        <v>42</v>
      </c>
      <c r="O1186" s="5" t="s">
        <v>43</v>
      </c>
      <c r="P1186" s="10" t="s">
        <v>44</v>
      </c>
      <c r="Q1186" s="10" t="s">
        <v>72</v>
      </c>
      <c r="R1186" s="11" t="s">
        <v>225</v>
      </c>
      <c r="S1186" s="11" t="s">
        <v>44</v>
      </c>
      <c r="T1186" s="143">
        <v>61</v>
      </c>
      <c r="U1186" s="143">
        <v>60</v>
      </c>
      <c r="V1186" s="143">
        <v>40</v>
      </c>
      <c r="W1186" s="22">
        <v>1330</v>
      </c>
      <c r="X1186" s="22">
        <v>1330</v>
      </c>
      <c r="Y1186" s="22">
        <v>1330</v>
      </c>
      <c r="Z1186" s="22">
        <v>1330</v>
      </c>
      <c r="AA1186" s="22">
        <v>1330</v>
      </c>
      <c r="AB1186" s="22">
        <v>1330</v>
      </c>
      <c r="AC1186" s="22">
        <v>1330</v>
      </c>
      <c r="AD1186" s="22">
        <v>1330</v>
      </c>
      <c r="AE1186" s="22">
        <v>1330</v>
      </c>
      <c r="AG1186" s="146">
        <v>61</v>
      </c>
      <c r="AH1186" s="150">
        <v>60</v>
      </c>
      <c r="AI1186" s="150">
        <v>40</v>
      </c>
      <c r="AJ1186" s="82">
        <v>78</v>
      </c>
      <c r="AK1186" s="71"/>
      <c r="AL1186" s="71"/>
      <c r="AM1186" s="71"/>
      <c r="AN1186" s="71"/>
      <c r="AO1186" s="71"/>
      <c r="AP1186" s="71"/>
      <c r="AQ1186" s="71"/>
      <c r="AR1186" s="71"/>
      <c r="AS1186" s="94">
        <f t="shared" ca="1" si="1386"/>
        <v>2821</v>
      </c>
      <c r="AT1186" s="95">
        <f t="shared" si="1387"/>
        <v>239</v>
      </c>
      <c r="AU1186" s="97">
        <f t="shared" si="1388"/>
        <v>239</v>
      </c>
      <c r="AW1186" s="51">
        <f t="shared" si="1389"/>
        <v>1</v>
      </c>
      <c r="AX1186" s="51">
        <f t="shared" si="1390"/>
        <v>1</v>
      </c>
      <c r="AY1186" s="51">
        <f t="shared" si="1391"/>
        <v>1</v>
      </c>
      <c r="AZ1186" s="51">
        <f t="shared" si="1392"/>
        <v>5.8646616541353384E-2</v>
      </c>
      <c r="BA1186" s="51"/>
      <c r="BB1186" s="51"/>
      <c r="BC1186" s="51"/>
      <c r="BD1186" s="51"/>
      <c r="BE1186" s="51"/>
      <c r="BF1186" s="51"/>
      <c r="BG1186" s="51"/>
      <c r="BH1186" s="51"/>
      <c r="BI1186" s="65" cm="1">
        <f t="array" ref="BI1186">IFERROR(INDEX(AW1186:BH1186,1,MATCH(2,1/(AW1186:BH1186&lt;&gt;""))),"")</f>
        <v>5.8646616541353384E-2</v>
      </c>
      <c r="BJ1186" s="68" cm="1">
        <f t="array" ref="BJ1186">IF(BM1186 = "", "",IFERROR(INDEX(AW1186:BH1186,1,MATCH(2,1/(AW1186:BH1186&lt;&gt;""),1)-1),""))</f>
        <v>1</v>
      </c>
      <c r="BK1186" s="58">
        <f>IF((IF(AW1186&gt;=115%,115%,AW1186) + IF(AX1186&gt;=130%,130%,AX1186) + IF(AY1186&gt;=115%,115%,AY1186) + (IF(AZ1186&gt;=115%,115%,AZ1186) + IF(BA1186&gt;=115%,115%,BA1186) + IF(BB1186&gt;=115%,115%,BB1186) + IF(BC1186&gt;=115%,115%,BC1186) + IF(BD1186&gt;=115%,115%,BD1186) + IF(BE1186&gt;=115%,115%,BE1186) + IF(BF1186&gt;=115%,115%,BF1186) + IF(BG1186&gt;=115%,115%,BG1186) + IF(BH1186&gt;=115%,115%,BH1186)))/_xlfn.XLOOKUP(F1186,Apuração!A:A,Apuração!B:B)&gt;=1.15,1.15,((IF(AZ1186&gt;=115%,115%,AZ1186) + IF(AX1186&gt;=130%,130%,AX1186) + IF(AY1186&gt;=115%,115%,AY1186) + (IF(AW1186&gt;=115%,115%,AW1186) + IF(BA1186&gt;=115%,115%,BA1186) + IF(BB1186&gt;=115%,115%,BB1186) + IF(BC1186&gt;=115%,115%,BC1186) + IF(BD1186&gt;=115%,115%,BD1186) + IF(BE1186&gt;=115%,115%,BE1186) + IF(BF1186&gt;=115%,115%,BF1186) + IF(BG1186&gt;=115%,115%,BG1186) + IF(BH1186&gt;=115%,115%,BH1186)))/_xlfn.XLOOKUP(F1186,Apuração!A:A,Apuração!B:B)))</f>
        <v>0.25488721804511277</v>
      </c>
      <c r="BL1186" s="58" cm="1">
        <f t="array" aca="1" ref="BL1186" ca="1">IF(SUM(IFERROR(IF(INDEX(AW1186:INDEX(AW1186:BH1186, MATCH(2, 1/(AW1186:BH1186&lt;&gt;""), 1)-1), ROW(INDIRECT("1:" &amp; MATCH(2, 1/(AW1186:BH1186&lt;&gt;""), 1)-1))) &gt;= 115%, 115%, INDEX(AW1186:INDEX(AW1186:BH1186, MATCH(2, 1/(AW1186:BH1186&lt;&gt;""), 1)-1), ROW(INDIRECT("1:" &amp; MATCH(2, 1/(AW1186:BH1186&lt;&gt;""), 1)-1)))), 0))/_xlfn.XLOOKUP(F1186,Apuração!A:A,Apuração!B:B)&gt;=1.15,1.15,SUM(IFERROR(IF(INDEX(AW1186:INDEX(AW1186:BH1186, MATCH(2, 1/(AW1186:BH1186&lt;&gt;""), 1)-1), ROW(INDIRECT("1:" &amp; MATCH(2, 1/(AW1186:BH1186&lt;&gt;""), 1)-1))) &gt;= 115%, 115%, INDEX(AW1186:INDEX(AW1186:BH1186, MATCH(2, 1/(AW1186:BH1186&lt;&gt;""), 1)-1), ROW(INDIRECT("1:" &amp; MATCH(2, 1/(AW1186:BH1186&lt;&gt;""), 1)-1)))), 0))/_xlfn.XLOOKUP(F1186,Apuração!A:A,Apuração!B:B))</f>
        <v>0.25</v>
      </c>
      <c r="BM1186" s="55" cm="1">
        <f t="array" ref="BM1186">IFERROR(
   INDEX($AW$1:$BH$1,
      _xlfn.AGGREGATE(14, 6, COLUMN($AW$1:$BH$1)/(AW1186:BH1186&lt;&gt;""), 2) - COLUMN($AW$1) + 1
   ),
"")</f>
        <v>46082</v>
      </c>
      <c r="BN1186" s="55" cm="1">
        <f t="array" ref="BN1186">IFERROR(INDEX($AW$1:$BH$1,1,MATCH(2,1/(AW1186:BH1186&lt;&gt;""))),"")</f>
        <v>46113</v>
      </c>
      <c r="BO1186" s="53">
        <f ca="1">IFERROR(_xlfn.XLOOKUP(F1186,Apuração!A:A,Apuração!C:C)/_xlfn.XLOOKUP(F1186,Apuração!A:A,Apuração!B:B),0)</f>
        <v>0.41666666666666669</v>
      </c>
      <c r="BP1186" s="53">
        <f ca="1">IFERROR(_xlfn.XLOOKUP(F1186,Apuração!A:A,Apuração!D:D)/_xlfn.XLOOKUP(F1186,Apuração!A:A,Apuração!B:B),0)</f>
        <v>0.33333333333333331</v>
      </c>
      <c r="BQ1186" s="53">
        <f ca="1">IF(BK1186&gt;=BO1186,0,_xlfn.XLOOKUP(F1186,Apuração!A:A,Apuração!B:B)*(BO1186 + (1/_xlfn.XLOOKUP(F1186,Apuração!A:A,Apuração!B:B)) - BK1186))</f>
        <v>2.9413533834586465</v>
      </c>
      <c r="BR1186" s="85">
        <f t="shared" ca="1" si="1393"/>
        <v>3912</v>
      </c>
      <c r="BS1186" s="53">
        <f ca="1">IFERROR((_xlfn.XLOOKUP(F1186,Apuração!A:A,Apuração!C:C)+1)/_xlfn.XLOOKUP(F1186,Apuração!A:A,Apuração!B:B),0)</f>
        <v>0.5</v>
      </c>
    </row>
    <row r="1187" spans="1:71" ht="25.95" hidden="1" customHeight="1" x14ac:dyDescent="0.3">
      <c r="A1187" s="20" t="s">
        <v>87</v>
      </c>
      <c r="B1187" s="4" t="s">
        <v>222</v>
      </c>
      <c r="C1187" s="5" t="s">
        <v>214</v>
      </c>
      <c r="D1187" s="5" t="s">
        <v>213</v>
      </c>
      <c r="E1187" s="4" t="str" cm="1">
        <f t="array" ref="E1187">_xlfn.IFS(
F1187 = "A partir de Abril", "Aguardando Execução na Distribuidora",
A1187 = "CAPACITAÇÃO", "Em execução no Corporativo",
TRUE, "Em Execução na Distribuidora"
)</f>
        <v>Em Execução na Distribuidora</v>
      </c>
      <c r="F1187" s="4" t="str" cm="1">
        <f t="array" ref="F1187">_xlfn.IFS(
AG1187 &lt;&gt; "", "Jan-Dez/26",
AH1187 &lt;&gt; "", "Fev-Dez/26",
AI1187 &lt;&gt; "", "Mar-Dez/26", AJ1187 &lt;&gt; "", "Abr-Dez/26",
TRUE, "A partir de Junho"
)</f>
        <v>Jan-Dez/26</v>
      </c>
      <c r="G1187" s="6" t="s">
        <v>37</v>
      </c>
      <c r="H1187" s="7" t="s">
        <v>110</v>
      </c>
      <c r="I1187" s="8" t="s">
        <v>223</v>
      </c>
      <c r="J1187" s="21" t="str" cm="1">
        <f t="array" aca="1" ref="J1187" ca="1">_xlfn.LET(
  _xlpm.actual_value_month, INDEX(T1187:AE1187, MATCH(DATE(YEAR(TODAY()), MONTH(TODAY()), 1), $T$1:$AE$1, 0)),
  IF(_xlpm.actual_value_month &lt;&gt; "",_xlpm.actual_value_month &amp; " inspeções mensais", "")
)</f>
        <v>81 inspeções mensais</v>
      </c>
      <c r="K1187" s="8" t="str" cm="1">
        <f t="array" ref="K1187">_xlfn.LET(
    _xlpm.sum_month, SUM(T1187:AE1187),
    IF(_xlpm.sum_month = 0, "", _xlpm.sum_month &amp; " inspeções realizadas no ano")
)</f>
        <v>1702 inspeções realizadas no ano</v>
      </c>
      <c r="L1187" s="4" t="s">
        <v>144</v>
      </c>
      <c r="M1187" s="19" t="s">
        <v>224</v>
      </c>
      <c r="N1187" s="5" t="s">
        <v>42</v>
      </c>
      <c r="O1187" s="5" t="s">
        <v>43</v>
      </c>
      <c r="P1187" s="10" t="s">
        <v>44</v>
      </c>
      <c r="Q1187" s="10" t="s">
        <v>72</v>
      </c>
      <c r="R1187" s="11" t="s">
        <v>225</v>
      </c>
      <c r="S1187" s="11" t="s">
        <v>44</v>
      </c>
      <c r="T1187" s="143">
        <v>259</v>
      </c>
      <c r="U1187" s="143">
        <v>308</v>
      </c>
      <c r="V1187" s="143">
        <v>406</v>
      </c>
      <c r="W1187" s="143">
        <v>81</v>
      </c>
      <c r="X1187" s="143">
        <v>81</v>
      </c>
      <c r="Y1187" s="143">
        <v>81</v>
      </c>
      <c r="Z1187" s="143">
        <v>81</v>
      </c>
      <c r="AA1187" s="143">
        <v>81</v>
      </c>
      <c r="AB1187" s="143">
        <v>81</v>
      </c>
      <c r="AC1187" s="143">
        <v>81</v>
      </c>
      <c r="AD1187" s="143">
        <v>81</v>
      </c>
      <c r="AE1187" s="143">
        <v>81</v>
      </c>
      <c r="AG1187" s="146">
        <v>259</v>
      </c>
      <c r="AH1187" s="150">
        <v>308</v>
      </c>
      <c r="AI1187" s="150">
        <v>406</v>
      </c>
      <c r="AJ1187" s="82">
        <v>400</v>
      </c>
      <c r="AK1187" s="71"/>
      <c r="AL1187" s="71"/>
      <c r="AM1187" s="71"/>
      <c r="AN1187" s="71"/>
      <c r="AO1187" s="71"/>
      <c r="AP1187" s="71"/>
      <c r="AQ1187" s="71"/>
      <c r="AR1187" s="71"/>
      <c r="AS1187" s="94">
        <f t="shared" ca="1" si="1386"/>
        <v>1135</v>
      </c>
      <c r="AT1187" s="95">
        <f t="shared" si="1387"/>
        <v>1066.1500000000001</v>
      </c>
      <c r="AU1187" s="97">
        <f t="shared" si="1388"/>
        <v>1373</v>
      </c>
      <c r="AW1187" s="51">
        <f t="shared" si="1389"/>
        <v>1</v>
      </c>
      <c r="AX1187" s="51">
        <f t="shared" si="1390"/>
        <v>1</v>
      </c>
      <c r="AY1187" s="51">
        <f t="shared" si="1391"/>
        <v>1</v>
      </c>
      <c r="AZ1187" s="51">
        <f t="shared" si="1392"/>
        <v>4.9382716049382713</v>
      </c>
      <c r="BA1187" s="51"/>
      <c r="BB1187" s="51"/>
      <c r="BC1187" s="51"/>
      <c r="BD1187" s="51"/>
      <c r="BE1187" s="51"/>
      <c r="BF1187" s="51"/>
      <c r="BG1187" s="51"/>
      <c r="BH1187" s="51"/>
      <c r="BI1187" s="65" cm="1">
        <f t="array" ref="BI1187">IFERROR(INDEX(AW1187:BH1187,1,MATCH(2,1/(AW1187:BH1187&lt;&gt;""))),"")</f>
        <v>4.9382716049382713</v>
      </c>
      <c r="BJ1187" s="68" cm="1">
        <f t="array" ref="BJ1187">IF(BM1187 = "", "",IFERROR(INDEX(AW1187:BH1187,1,MATCH(2,1/(AW1187:BH1187&lt;&gt;""),1)-1),""))</f>
        <v>1</v>
      </c>
      <c r="BK1187" s="58">
        <f>IF((IF(AW1187&gt;=115%,115%,AW1187) + IF(AX1187&gt;=130%,130%,AX1187) + IF(AY1187&gt;=115%,115%,AY1187) + (IF(AZ1187&gt;=115%,115%,AZ1187) + IF(BA1187&gt;=115%,115%,BA1187) + IF(BB1187&gt;=115%,115%,BB1187) + IF(BC1187&gt;=115%,115%,BC1187) + IF(BD1187&gt;=115%,115%,BD1187) + IF(BE1187&gt;=115%,115%,BE1187) + IF(BF1187&gt;=115%,115%,BF1187) + IF(BG1187&gt;=115%,115%,BG1187) + IF(BH1187&gt;=115%,115%,BH1187)))/_xlfn.XLOOKUP(F1187,Apuração!A:A,Apuração!B:B)&gt;=1.15,1.15,((IF(AZ1187&gt;=115%,115%,AZ1187) + IF(AX1187&gt;=130%,130%,AX1187) + IF(AY1187&gt;=115%,115%,AY1187) + (IF(AW1187&gt;=115%,115%,AW1187) + IF(BA1187&gt;=115%,115%,BA1187) + IF(BB1187&gt;=115%,115%,BB1187) + IF(BC1187&gt;=115%,115%,BC1187) + IF(BD1187&gt;=115%,115%,BD1187) + IF(BE1187&gt;=115%,115%,BE1187) + IF(BF1187&gt;=115%,115%,BF1187) + IF(BG1187&gt;=115%,115%,BG1187) + IF(BH1187&gt;=115%,115%,BH1187)))/_xlfn.XLOOKUP(F1187,Apuração!A:A,Apuração!B:B)))</f>
        <v>0.34583333333333338</v>
      </c>
      <c r="BL1187" s="58" cm="1">
        <f t="array" aca="1" ref="BL1187" ca="1">IF(SUM(IFERROR(IF(INDEX(AW1187:INDEX(AW1187:BH1187, MATCH(2, 1/(AW1187:BH1187&lt;&gt;""), 1)-1), ROW(INDIRECT("1:" &amp; MATCH(2, 1/(AW1187:BH1187&lt;&gt;""), 1)-1))) &gt;= 115%, 115%, INDEX(AW1187:INDEX(AW1187:BH1187, MATCH(2, 1/(AW1187:BH1187&lt;&gt;""), 1)-1), ROW(INDIRECT("1:" &amp; MATCH(2, 1/(AW1187:BH1187&lt;&gt;""), 1)-1)))), 0))/_xlfn.XLOOKUP(F1187,Apuração!A:A,Apuração!B:B)&gt;=1.15,1.15,SUM(IFERROR(IF(INDEX(AW1187:INDEX(AW1187:BH1187, MATCH(2, 1/(AW1187:BH1187&lt;&gt;""), 1)-1), ROW(INDIRECT("1:" &amp; MATCH(2, 1/(AW1187:BH1187&lt;&gt;""), 1)-1))) &gt;= 115%, 115%, INDEX(AW1187:INDEX(AW1187:BH1187, MATCH(2, 1/(AW1187:BH1187&lt;&gt;""), 1)-1), ROW(INDIRECT("1:" &amp; MATCH(2, 1/(AW1187:BH1187&lt;&gt;""), 1)-1)))), 0))/_xlfn.XLOOKUP(F1187,Apuração!A:A,Apuração!B:B))</f>
        <v>0.25</v>
      </c>
      <c r="BM1187" s="55" cm="1">
        <f t="array" ref="BM1187">IFERROR(
   INDEX($AW$1:$BH$1,
      _xlfn.AGGREGATE(14, 6, COLUMN($AW$1:$BH$1)/(AW1187:BH1187&lt;&gt;""), 2) - COLUMN($AW$1) + 1
   ),
"")</f>
        <v>46082</v>
      </c>
      <c r="BN1187" s="55" cm="1">
        <f t="array" ref="BN1187">IFERROR(INDEX($AW$1:$BH$1,1,MATCH(2,1/(AW1187:BH1187&lt;&gt;""))),"")</f>
        <v>46113</v>
      </c>
      <c r="BO1187" s="53">
        <f ca="1">IFERROR(_xlfn.XLOOKUP(F1187,Apuração!A:A,Apuração!C:C)/_xlfn.XLOOKUP(F1187,Apuração!A:A,Apuração!B:B),0)</f>
        <v>0.41666666666666669</v>
      </c>
      <c r="BP1187" s="53">
        <f ca="1">IFERROR(_xlfn.XLOOKUP(F1187,Apuração!A:A,Apuração!D:D)/_xlfn.XLOOKUP(F1187,Apuração!A:A,Apuração!B:B),0)</f>
        <v>0.33333333333333331</v>
      </c>
      <c r="BQ1187" s="53">
        <f ca="1">IF(BK1187&gt;=BO1187,0,_xlfn.XLOOKUP(F1187,Apuração!A:A,Apuração!B:B)*(BO1187 + (1/_xlfn.XLOOKUP(F1187,Apuração!A:A,Apuração!B:B)) - BK1187))</f>
        <v>1.8499999999999994</v>
      </c>
      <c r="BR1187" s="85">
        <f t="shared" ca="1" si="1393"/>
        <v>149.84999999999997</v>
      </c>
      <c r="BS1187" s="53">
        <f ca="1">IFERROR((_xlfn.XLOOKUP(F1187,Apuração!A:A,Apuração!C:C)+1)/_xlfn.XLOOKUP(F1187,Apuração!A:A,Apuração!B:B),0)</f>
        <v>0.5</v>
      </c>
    </row>
    <row r="1188" spans="1:71" ht="25.95" hidden="1" customHeight="1" x14ac:dyDescent="0.3">
      <c r="A1188" s="40" t="s">
        <v>87</v>
      </c>
      <c r="B1188" s="4" t="s">
        <v>222</v>
      </c>
      <c r="C1188" s="5" t="s">
        <v>214</v>
      </c>
      <c r="D1188" s="5" t="s">
        <v>36</v>
      </c>
      <c r="E1188" s="4" t="str" cm="1">
        <f t="array" ref="E1188">_xlfn.IFS(
F1188 = "A partir de Abril", "Aguardando Execução na Distribuidora",
A1188 = "CAPACITAÇÃO", "Em execução no Corporativo",
TRUE, "Em Execução na Distribuidora"
)</f>
        <v>Em Execução na Distribuidora</v>
      </c>
      <c r="F1188" s="4" t="str" cm="1">
        <f t="array" ref="F1188">_xlfn.IFS(
AG1188 &lt;&gt; "", "Jan-Dez/26",
AH1188 &lt;&gt; "", "Fev-Dez/26",
AI1188 &lt;&gt; "", "Mar-Dez/26", AJ1188 &lt;&gt; "", "Abr-Dez/26",
TRUE, "A partir de Junho"
)</f>
        <v>Jan-Dez/26</v>
      </c>
      <c r="G1188" s="6" t="s">
        <v>37</v>
      </c>
      <c r="H1188" s="7" t="s">
        <v>110</v>
      </c>
      <c r="I1188" s="8" t="s">
        <v>148</v>
      </c>
      <c r="J1188" s="21" t="str" cm="1">
        <f t="array" aca="1" ref="J1188" ca="1">_xlfn.LET(
  _xlpm.actual_value_month, INDEX(T1188:AE1188, MATCH(DATE(YEAR(TODAY()), MONTH(TODAY()), 1), $T$1:$AE$1, 0)),
  IF(_xlpm.actual_value_month &lt;&gt; "",_xlpm.actual_value_month &amp; " ações mensais", "")
)</f>
        <v/>
      </c>
      <c r="K1188" s="8" t="str" cm="1">
        <f t="array" ref="K1188">_xlfn.LET(
    _xlpm.sum_month, SUM(T1188:AE1188),
    IF(_xlpm.sum_month = 0, "", _xlpm.sum_month &amp; " NC's no ano")
)</f>
        <v/>
      </c>
      <c r="L1188" s="9" t="s">
        <v>149</v>
      </c>
      <c r="M1188" s="4"/>
      <c r="N1188" s="5" t="s">
        <v>51</v>
      </c>
      <c r="O1188" s="5" t="s">
        <v>52</v>
      </c>
      <c r="P1188" s="10" t="s">
        <v>44</v>
      </c>
      <c r="Q1188" s="10" t="s">
        <v>44</v>
      </c>
      <c r="R1188" s="11" t="s">
        <v>44</v>
      </c>
      <c r="S1188" s="11" t="s">
        <v>44</v>
      </c>
      <c r="T1188" s="22"/>
      <c r="U1188" s="22"/>
      <c r="V1188" s="22"/>
      <c r="W1188" s="22"/>
      <c r="X1188" s="22"/>
      <c r="Y1188" s="22"/>
      <c r="Z1188" s="22"/>
      <c r="AA1188" s="22"/>
      <c r="AB1188" s="22"/>
      <c r="AC1188" s="22"/>
      <c r="AD1188" s="22"/>
      <c r="AE1188" s="22"/>
      <c r="AG1188" s="71">
        <v>145</v>
      </c>
      <c r="AH1188" s="71">
        <v>211</v>
      </c>
      <c r="AI1188" s="71">
        <v>247</v>
      </c>
      <c r="AJ1188" s="71">
        <v>1176</v>
      </c>
      <c r="AK1188" s="71"/>
      <c r="AL1188" s="71"/>
      <c r="AM1188" s="71"/>
      <c r="AN1188" s="71"/>
      <c r="AO1188" s="71"/>
      <c r="AP1188" s="71"/>
      <c r="AQ1188" s="71"/>
      <c r="AR1188" s="71"/>
      <c r="AS1188" s="94">
        <f ca="1">IF(MONTH(TODAY())=3,SUM(T1188:U1188),IF(MONTH(TODAY())=4,SUM(T1188:V1188),IF(MONTH(TODAY())=5,SUM(T1188:W1188),IF(MONTH(TODAY())=6,SUM(T1188:X1188),IF(MONTH(TODAY())=7,SUM(T1188:Y1188),IF(MONTH(TODAY())=8,SUM(T1188:Z1188),IF(MONTH(TODAY())=9,SUM(T1188:AA1188),IF(MONTH(TODAY())=10,SUM(T1188:AB1188),IF(MONTH(TODAY())=11,SUM(T1188:AC1188),IF(MONTH(TODAY())=12,SUM(T1188:AD1188),IF(MONTH(TODAY())=1,SUM(T1188:AE1188),T1188)))))))))))</f>
        <v>0</v>
      </c>
      <c r="AT1188" s="95">
        <f>SUM(AG1188:AR1188)</f>
        <v>1779</v>
      </c>
      <c r="AU1188" s="97">
        <f>SUM(AG1188:AR1188)</f>
        <v>1779</v>
      </c>
      <c r="AW1188" s="83">
        <f>AG1188</f>
        <v>145</v>
      </c>
      <c r="AX1188" s="83">
        <f>AH1188</f>
        <v>211</v>
      </c>
      <c r="AY1188" s="83">
        <f>AI1188</f>
        <v>247</v>
      </c>
      <c r="AZ1188" s="83">
        <f>AJ1188</f>
        <v>1176</v>
      </c>
      <c r="BA1188" s="52"/>
      <c r="BB1188" s="52"/>
      <c r="BC1188" s="52"/>
      <c r="BD1188" s="52"/>
      <c r="BE1188" s="52"/>
      <c r="BF1188" s="52"/>
      <c r="BG1188" s="52"/>
      <c r="BH1188" s="52"/>
      <c r="BI1188" s="68" cm="1">
        <f t="array" ref="BI1188">IFERROR(INDEX(AW1188:BH1188,1,MATCH(2,1/(AW1188:BH1188&lt;&gt;""))),"")</f>
        <v>1176</v>
      </c>
      <c r="BJ1188" s="68" cm="1">
        <f t="array" ref="BJ1188">IF(BM1188 = "", "",IFERROR(INDEX(AW1188:BH1188,1,MATCH(2,1/(AW1188:BH1188&lt;&gt;""),1)-1),""))</f>
        <v>247</v>
      </c>
      <c r="BK1188" s="59">
        <f>SUM(AW1188:BH1188)</f>
        <v>1779</v>
      </c>
      <c r="BL1188" s="59" cm="1">
        <f t="array" ref="BL1188">IFERROR(SUM(AW1188:INDEX(AW1188:BH1188, MATCH(2, 1/(AW1188:BH1188&lt;&gt;""), 1) - 1))/_xlfn.XLOOKUP(F1188,Apuração!A:A,Apuração!B:B),0)</f>
        <v>50.25</v>
      </c>
      <c r="BM1188" s="55" cm="1">
        <f t="array" ref="BM1188">IFERROR(
   INDEX($AW$1:$BH$1,
      _xlfn.AGGREGATE(14, 6, COLUMN($AW$1:$BH$1)/(AW1188:BH1188&lt;&gt;""), 2) - COLUMN($AW$1) + 1
   ),
"")</f>
        <v>46082</v>
      </c>
      <c r="BN1188" s="55" cm="1">
        <f t="array" ref="BN1188">IFERROR(INDEX($AW$1:$BH$1,1,MATCH(2,1/(AW1188:BH1188&lt;&gt;""))),"")</f>
        <v>46113</v>
      </c>
      <c r="BO1188" s="53">
        <f ca="1">IFERROR(_xlfn.XLOOKUP(F1188,Apuração!A:A,Apuração!C:C)/_xlfn.XLOOKUP(F1188,Apuração!A:A,Apuração!B:B),0)</f>
        <v>0.41666666666666669</v>
      </c>
      <c r="BP1188" s="53">
        <f ca="1">IFERROR(_xlfn.XLOOKUP(F1188,Apuração!A:A,Apuração!D:D)/_xlfn.XLOOKUP(F1188,Apuração!A:A,Apuração!B:B),0)</f>
        <v>0.33333333333333331</v>
      </c>
      <c r="BQ1188" s="53">
        <f ca="1">IF(BK1188&gt;=BO1188,0,_xlfn.XLOOKUP(F1188,Apuração!A:A,Apuração!B:B)*(BO1188 + (1/_xlfn.XLOOKUP(F1188,Apuração!A:A,Apuração!B:B)) - BK1188))</f>
        <v>0</v>
      </c>
      <c r="BR1188" s="85">
        <f ca="1">IF(BQ1188=0,0,BQ1188*Z1188)</f>
        <v>0</v>
      </c>
      <c r="BS1188" s="53">
        <f ca="1">IFERROR((_xlfn.XLOOKUP(F1188,Apuração!A:A,Apuração!C:C)+1)/_xlfn.XLOOKUP(F1188,Apuração!A:A,Apuração!B:B),0)</f>
        <v>0.5</v>
      </c>
    </row>
    <row r="1189" spans="1:71" ht="25.95" hidden="1" customHeight="1" x14ac:dyDescent="0.3">
      <c r="A1189" s="40" t="s">
        <v>87</v>
      </c>
      <c r="B1189" s="4" t="s">
        <v>88</v>
      </c>
      <c r="C1189" s="5" t="s">
        <v>216</v>
      </c>
      <c r="D1189" s="5" t="s">
        <v>217</v>
      </c>
      <c r="E1189" s="4" t="s">
        <v>96</v>
      </c>
      <c r="F1189" s="4" t="str" cm="1">
        <f t="array" ref="F1189">_xlfn.IFS(
AG1189 &lt;&gt; "", "Jan-Dez/26",
AH1189 &lt;&gt; "", "Fev-Dez/26",
AI1189 &lt;&gt; "", "Mar-Dez/26", AJ1189 &lt;&gt; "", "Abr-Dez/26",
TRUE, "A partir de Junho"
)</f>
        <v>A partir de Junho</v>
      </c>
      <c r="G1189" s="4" t="s">
        <v>62</v>
      </c>
      <c r="H1189" s="7" t="s">
        <v>38</v>
      </c>
      <c r="I1189" s="9" t="s">
        <v>91</v>
      </c>
      <c r="J1189" s="21" t="str" cm="1">
        <f t="array" aca="1" ref="J1189" ca="1">_xlfn.LET(
  _xlpm.actual_value_month, INDEX(T1189:AE1189, MATCH(DATE(YEAR(TODAY()), MONTH(TODAY()), 1), $T$1:$AE$1, 0)),
  IF(_xlpm.actual_value_month &lt;&gt; "",_xlpm.actual_value_month &amp; " ações mensais", "")
)</f>
        <v/>
      </c>
      <c r="K1189" s="8" t="str" cm="1">
        <f t="array" ref="K1189">_xlfn.LET(
    _xlpm.sum_month, SUM(T1189:AE1189),
    IF(_xlpm.sum_month = 0, "", _xlpm.sum_month &amp; " certificados gerados no ano")
)</f>
        <v/>
      </c>
      <c r="L1189" s="4" t="s">
        <v>92</v>
      </c>
      <c r="M1189" s="19"/>
      <c r="N1189" s="5" t="s">
        <v>51</v>
      </c>
      <c r="O1189" s="5"/>
      <c r="P1189" s="10"/>
      <c r="Q1189" s="10"/>
      <c r="R1189" s="10"/>
      <c r="S1189" s="10"/>
      <c r="T1189" s="22"/>
      <c r="U1189" s="22"/>
      <c r="V1189" s="22"/>
      <c r="W1189" s="22"/>
      <c r="X1189" s="22"/>
      <c r="Y1189" s="22"/>
      <c r="Z1189" s="22"/>
      <c r="AA1189" s="22"/>
      <c r="AB1189" s="22"/>
      <c r="AC1189" s="22"/>
      <c r="AD1189" s="22"/>
      <c r="AE1189" s="22"/>
      <c r="AG1189" s="71"/>
      <c r="AH1189" s="71"/>
      <c r="AI1189" s="71"/>
      <c r="AJ1189" s="71"/>
      <c r="AK1189" s="71"/>
      <c r="AL1189" s="71"/>
      <c r="AM1189" s="71"/>
      <c r="AN1189" s="71"/>
      <c r="AO1189" s="71"/>
      <c r="AP1189" s="71"/>
      <c r="AQ1189" s="71"/>
      <c r="AR1189" s="71"/>
      <c r="AS1189" s="94">
        <f t="shared" ref="AS1189:AS1192" ca="1" si="1394">AE1189*BO1189</f>
        <v>0</v>
      </c>
      <c r="AT1189" s="95" t="str" cm="1">
        <f t="array" ref="AT1189">IFERROR(INDEX(AJ1189:AR1189,1,MATCH(2,1/(AJ1189:AR1189&lt;&gt;""))),"")</f>
        <v/>
      </c>
      <c r="AU1189" s="97" t="str">
        <f t="shared" ref="AU1189:AU1192" si="1395">AT1189</f>
        <v/>
      </c>
      <c r="AW1189" s="83">
        <f t="shared" ref="AW1189:AW1192" si="1396">AG1189</f>
        <v>0</v>
      </c>
      <c r="AX1189" s="83">
        <f t="shared" ref="AX1189:AX1192" si="1397">AH1189</f>
        <v>0</v>
      </c>
      <c r="AY1189" s="83">
        <f t="shared" ref="AY1189:AY1192" si="1398">AI1189</f>
        <v>0</v>
      </c>
      <c r="AZ1189" s="83">
        <f t="shared" ref="AZ1189:AZ1192" si="1399">AJ1189</f>
        <v>0</v>
      </c>
      <c r="BA1189" s="52"/>
      <c r="BB1189" s="52"/>
      <c r="BC1189" s="52"/>
      <c r="BD1189" s="52"/>
      <c r="BE1189" s="52"/>
      <c r="BF1189" s="52"/>
      <c r="BG1189" s="52"/>
      <c r="BH1189" s="52"/>
      <c r="BI1189" s="68" cm="1">
        <f t="array" ref="BI1189">IFERROR(INDEX(AW1189:BH1189,1,MATCH(2,1/(AW1189:BH1189&lt;&gt;""))),"")</f>
        <v>0</v>
      </c>
      <c r="BJ1189" s="68" cm="1">
        <f t="array" ref="BJ1189">IF(BM1189 = "", "",IFERROR(INDEX(AW1189:BH1189,1,MATCH(2,1/(AW1189:BH1189&lt;&gt;""),1)-1),""))</f>
        <v>0</v>
      </c>
      <c r="BK1189" s="59">
        <f t="shared" ref="BK1189:BK1192" si="1400">SUM(AW1189:BH1189)</f>
        <v>0</v>
      </c>
      <c r="BL1189" s="59" cm="1">
        <f t="array" ref="BL1189">IFERROR(SUM(AW1189:INDEX(AW1189:BH1189, MATCH(2, 1/(AW1189:BH1189&lt;&gt;""), 1) - 1))/_xlfn.XLOOKUP(F1189,Apuração!A:A,Apuração!B:B),0)</f>
        <v>0</v>
      </c>
      <c r="BM1189" s="55" cm="1">
        <f t="array" ref="BM1189">IFERROR(
   INDEX($AW$1:$BH$1,
      _xlfn.AGGREGATE(14, 6, COLUMN($AW$1:$BH$1)/(AW1189:BH1189&lt;&gt;""), 2) - COLUMN($AW$1) + 1
   ),
"")</f>
        <v>46082</v>
      </c>
      <c r="BN1189" s="55" cm="1">
        <f t="array" ref="BN1189">IFERROR(INDEX($AW$1:$BH$1,1,MATCH(2,1/(AW1189:BH1189&lt;&gt;""))),"")</f>
        <v>46113</v>
      </c>
      <c r="BO1189" s="53">
        <f ca="1">IFERROR(_xlfn.XLOOKUP(F1189,Apuração!A:A,Apuração!C:C)/_xlfn.XLOOKUP(F1189,Apuração!A:A,Apuração!B:B),0)</f>
        <v>0</v>
      </c>
      <c r="BP1189" s="53">
        <f ca="1">IFERROR(_xlfn.XLOOKUP(F1189,Apuração!A:A,Apuração!D:D)/_xlfn.XLOOKUP(F1189,Apuração!A:A,Apuração!B:B),0)</f>
        <v>0</v>
      </c>
      <c r="BQ1189" s="53">
        <f ca="1">IF(BK1189&gt;=BO1189,0,_xlfn.XLOOKUP(F1189,Apuração!A:A,Apuração!B:B)*(BO1189 + (1/_xlfn.XLOOKUP(F1189,Apuração!A:A,Apuração!B:B)) - BK1189))</f>
        <v>0</v>
      </c>
      <c r="BR1189" s="85">
        <f t="shared" ref="BR1189:BR1192" ca="1" si="1401">IF(BQ1189=0,0,BQ1189*Z1189)</f>
        <v>0</v>
      </c>
      <c r="BS1189" s="53">
        <f ca="1">IFERROR((_xlfn.XLOOKUP(F1189,Apuração!A:A,Apuração!C:C)+1)/_xlfn.XLOOKUP(F1189,Apuração!A:A,Apuração!B:B),0)</f>
        <v>0.14285714285714285</v>
      </c>
    </row>
    <row r="1190" spans="1:71" ht="25.95" hidden="1" customHeight="1" x14ac:dyDescent="0.3">
      <c r="A1190" s="40" t="s">
        <v>87</v>
      </c>
      <c r="B1190" s="4" t="s">
        <v>88</v>
      </c>
      <c r="C1190" s="5" t="s">
        <v>216</v>
      </c>
      <c r="D1190" s="5" t="s">
        <v>103</v>
      </c>
      <c r="E1190" s="4" t="s">
        <v>96</v>
      </c>
      <c r="F1190" s="4" t="str" cm="1">
        <f t="array" ref="F1190">_xlfn.IFS(
AG1190 &lt;&gt; "", "Jan-Dez/26",
AH1190 &lt;&gt; "", "Fev-Dez/26",
AI1190 &lt;&gt; "", "Mar-Dez/26", AJ1190 &lt;&gt; "", "Abr-Dez/26",
TRUE, "A partir de Junho"
)</f>
        <v>A partir de Junho</v>
      </c>
      <c r="G1190" s="4" t="s">
        <v>62</v>
      </c>
      <c r="H1190" s="7" t="s">
        <v>38</v>
      </c>
      <c r="I1190" s="9" t="s">
        <v>91</v>
      </c>
      <c r="J1190" s="21" t="str" cm="1">
        <f t="array" aca="1" ref="J1190" ca="1">_xlfn.LET(
  _xlpm.actual_value_month, INDEX(T1190:AE1190, MATCH(DATE(YEAR(TODAY()), MONTH(TODAY()), 1), $T$1:$AE$1, 0)),
  IF(_xlpm.actual_value_month &lt;&gt; "",_xlpm.actual_value_month &amp; " ações mensais", "")
)</f>
        <v/>
      </c>
      <c r="K1190" s="8" t="str" cm="1">
        <f t="array" ref="K1190">_xlfn.LET(
    _xlpm.sum_month, SUM(T1190:AE1190),
    IF(_xlpm.sum_month = 0, "", _xlpm.sum_month &amp; " certificados gerados no ano")
)</f>
        <v/>
      </c>
      <c r="L1190" s="4" t="s">
        <v>92</v>
      </c>
      <c r="M1190" s="19"/>
      <c r="N1190" s="5" t="s">
        <v>51</v>
      </c>
      <c r="O1190" s="5"/>
      <c r="P1190" s="10"/>
      <c r="Q1190" s="10"/>
      <c r="R1190" s="10"/>
      <c r="S1190" s="10"/>
      <c r="T1190" s="22"/>
      <c r="U1190" s="22"/>
      <c r="V1190" s="22"/>
      <c r="W1190" s="22"/>
      <c r="X1190" s="22"/>
      <c r="Y1190" s="22"/>
      <c r="Z1190" s="22"/>
      <c r="AA1190" s="22"/>
      <c r="AB1190" s="22"/>
      <c r="AC1190" s="22"/>
      <c r="AD1190" s="22"/>
      <c r="AE1190" s="22"/>
      <c r="AG1190" s="71"/>
      <c r="AH1190" s="71"/>
      <c r="AI1190" s="71"/>
      <c r="AJ1190" s="71"/>
      <c r="AK1190" s="71"/>
      <c r="AL1190" s="71"/>
      <c r="AM1190" s="71"/>
      <c r="AN1190" s="71"/>
      <c r="AO1190" s="71"/>
      <c r="AP1190" s="71"/>
      <c r="AQ1190" s="71"/>
      <c r="AR1190" s="71"/>
      <c r="AS1190" s="94">
        <f t="shared" ca="1" si="1394"/>
        <v>0</v>
      </c>
      <c r="AT1190" s="95" t="str" cm="1">
        <f t="array" ref="AT1190">IFERROR(INDEX(AJ1190:AR1190,1,MATCH(2,1/(AJ1190:AR1190&lt;&gt;""))),"")</f>
        <v/>
      </c>
      <c r="AU1190" s="97" t="str">
        <f t="shared" si="1395"/>
        <v/>
      </c>
      <c r="AW1190" s="83">
        <f t="shared" si="1396"/>
        <v>0</v>
      </c>
      <c r="AX1190" s="83">
        <f t="shared" si="1397"/>
        <v>0</v>
      </c>
      <c r="AY1190" s="83">
        <f t="shared" si="1398"/>
        <v>0</v>
      </c>
      <c r="AZ1190" s="83">
        <f t="shared" si="1399"/>
        <v>0</v>
      </c>
      <c r="BA1190" s="52"/>
      <c r="BB1190" s="52"/>
      <c r="BC1190" s="52"/>
      <c r="BD1190" s="52"/>
      <c r="BE1190" s="52"/>
      <c r="BF1190" s="52"/>
      <c r="BG1190" s="52"/>
      <c r="BH1190" s="52"/>
      <c r="BI1190" s="68" cm="1">
        <f t="array" ref="BI1190">IFERROR(INDEX(AW1190:BH1190,1,MATCH(2,1/(AW1190:BH1190&lt;&gt;""))),"")</f>
        <v>0</v>
      </c>
      <c r="BJ1190" s="68" cm="1">
        <f t="array" ref="BJ1190">IF(BM1190 = "", "",IFERROR(INDEX(AW1190:BH1190,1,MATCH(2,1/(AW1190:BH1190&lt;&gt;""),1)-1),""))</f>
        <v>0</v>
      </c>
      <c r="BK1190" s="59">
        <f t="shared" si="1400"/>
        <v>0</v>
      </c>
      <c r="BL1190" s="59" cm="1">
        <f t="array" ref="BL1190">IFERROR(SUM(AW1190:INDEX(AW1190:BH1190, MATCH(2, 1/(AW1190:BH1190&lt;&gt;""), 1) - 1))/_xlfn.XLOOKUP(F1190,Apuração!A:A,Apuração!B:B),0)</f>
        <v>0</v>
      </c>
      <c r="BM1190" s="55" cm="1">
        <f t="array" ref="BM1190">IFERROR(
   INDEX($AW$1:$BH$1,
      _xlfn.AGGREGATE(14, 6, COLUMN($AW$1:$BH$1)/(AW1190:BH1190&lt;&gt;""), 2) - COLUMN($AW$1) + 1
   ),
"")</f>
        <v>46082</v>
      </c>
      <c r="BN1190" s="55" cm="1">
        <f t="array" ref="BN1190">IFERROR(INDEX($AW$1:$BH$1,1,MATCH(2,1/(AW1190:BH1190&lt;&gt;""))),"")</f>
        <v>46113</v>
      </c>
      <c r="BO1190" s="53">
        <f ca="1">IFERROR(_xlfn.XLOOKUP(F1190,Apuração!A:A,Apuração!C:C)/_xlfn.XLOOKUP(F1190,Apuração!A:A,Apuração!B:B),0)</f>
        <v>0</v>
      </c>
      <c r="BP1190" s="53">
        <f ca="1">IFERROR(_xlfn.XLOOKUP(F1190,Apuração!A:A,Apuração!D:D)/_xlfn.XLOOKUP(F1190,Apuração!A:A,Apuração!B:B),0)</f>
        <v>0</v>
      </c>
      <c r="BQ1190" s="53">
        <f ca="1">IF(BK1190&gt;=BO1190,0,_xlfn.XLOOKUP(F1190,Apuração!A:A,Apuração!B:B)*(BO1190 + (1/_xlfn.XLOOKUP(F1190,Apuração!A:A,Apuração!B:B)) - BK1190))</f>
        <v>0</v>
      </c>
      <c r="BR1190" s="85">
        <f t="shared" ca="1" si="1401"/>
        <v>0</v>
      </c>
      <c r="BS1190" s="53">
        <f ca="1">IFERROR((_xlfn.XLOOKUP(F1190,Apuração!A:A,Apuração!C:C)+1)/_xlfn.XLOOKUP(F1190,Apuração!A:A,Apuração!B:B),0)</f>
        <v>0.14285714285714285</v>
      </c>
    </row>
    <row r="1191" spans="1:71" ht="25.95" hidden="1" customHeight="1" x14ac:dyDescent="0.3">
      <c r="A1191" s="40" t="s">
        <v>87</v>
      </c>
      <c r="B1191" s="4" t="s">
        <v>88</v>
      </c>
      <c r="C1191" s="5" t="s">
        <v>216</v>
      </c>
      <c r="D1191" s="5" t="s">
        <v>218</v>
      </c>
      <c r="E1191" s="4" t="s">
        <v>96</v>
      </c>
      <c r="F1191" s="4" t="str" cm="1">
        <f t="array" ref="F1191">_xlfn.IFS(
AG1191 &lt;&gt; "", "Jan-Dez/26",
AH1191 &lt;&gt; "", "Fev-Dez/26",
AI1191 &lt;&gt; "", "Mar-Dez/26", AJ1191 &lt;&gt; "", "Abr-Dez/26",
TRUE, "A partir de Junho"
)</f>
        <v>A partir de Junho</v>
      </c>
      <c r="G1191" s="4" t="s">
        <v>62</v>
      </c>
      <c r="H1191" s="7" t="s">
        <v>38</v>
      </c>
      <c r="I1191" s="9" t="s">
        <v>91</v>
      </c>
      <c r="J1191" s="21" t="str" cm="1">
        <f t="array" aca="1" ref="J1191" ca="1">_xlfn.LET(
  _xlpm.actual_value_month, INDEX(T1191:AE1191, MATCH(DATE(YEAR(TODAY()), MONTH(TODAY()), 1), $T$1:$AE$1, 0)),
  IF(_xlpm.actual_value_month &lt;&gt; "",_xlpm.actual_value_month &amp; " ações mensais", "")
)</f>
        <v/>
      </c>
      <c r="K1191" s="8" t="str" cm="1">
        <f t="array" ref="K1191">_xlfn.LET(
    _xlpm.sum_month, SUM(T1191:AE1191),
    IF(_xlpm.sum_month = 0, "", _xlpm.sum_month &amp; " certificados gerados no ano")
)</f>
        <v/>
      </c>
      <c r="L1191" s="4" t="s">
        <v>92</v>
      </c>
      <c r="M1191" s="19"/>
      <c r="N1191" s="5" t="s">
        <v>51</v>
      </c>
      <c r="O1191" s="5"/>
      <c r="P1191" s="10"/>
      <c r="Q1191" s="10"/>
      <c r="R1191" s="10"/>
      <c r="S1191" s="10"/>
      <c r="T1191" s="22"/>
      <c r="U1191" s="22"/>
      <c r="V1191" s="22"/>
      <c r="W1191" s="22"/>
      <c r="X1191" s="22"/>
      <c r="Y1191" s="22"/>
      <c r="Z1191" s="22"/>
      <c r="AA1191" s="22"/>
      <c r="AB1191" s="22"/>
      <c r="AC1191" s="22"/>
      <c r="AD1191" s="22"/>
      <c r="AE1191" s="22"/>
      <c r="AG1191" s="71"/>
      <c r="AH1191" s="71"/>
      <c r="AI1191" s="71"/>
      <c r="AJ1191" s="71"/>
      <c r="AK1191" s="71"/>
      <c r="AL1191" s="71"/>
      <c r="AM1191" s="71"/>
      <c r="AN1191" s="71"/>
      <c r="AO1191" s="71"/>
      <c r="AP1191" s="71"/>
      <c r="AQ1191" s="71"/>
      <c r="AR1191" s="71"/>
      <c r="AS1191" s="94">
        <f t="shared" ca="1" si="1394"/>
        <v>0</v>
      </c>
      <c r="AT1191" s="95" t="str" cm="1">
        <f t="array" ref="AT1191">IFERROR(INDEX(AJ1191:AR1191,1,MATCH(2,1/(AJ1191:AR1191&lt;&gt;""))),"")</f>
        <v/>
      </c>
      <c r="AU1191" s="97" t="str">
        <f t="shared" si="1395"/>
        <v/>
      </c>
      <c r="AW1191" s="83">
        <f t="shared" si="1396"/>
        <v>0</v>
      </c>
      <c r="AX1191" s="83">
        <f t="shared" si="1397"/>
        <v>0</v>
      </c>
      <c r="AY1191" s="83">
        <f t="shared" si="1398"/>
        <v>0</v>
      </c>
      <c r="AZ1191" s="83">
        <f t="shared" si="1399"/>
        <v>0</v>
      </c>
      <c r="BA1191" s="52"/>
      <c r="BB1191" s="52"/>
      <c r="BC1191" s="52"/>
      <c r="BD1191" s="52"/>
      <c r="BE1191" s="52"/>
      <c r="BF1191" s="52"/>
      <c r="BG1191" s="52"/>
      <c r="BH1191" s="52"/>
      <c r="BI1191" s="68" cm="1">
        <f t="array" ref="BI1191">IFERROR(INDEX(AW1191:BH1191,1,MATCH(2,1/(AW1191:BH1191&lt;&gt;""))),"")</f>
        <v>0</v>
      </c>
      <c r="BJ1191" s="68" cm="1">
        <f t="array" ref="BJ1191">IF(BM1191 = "", "",IFERROR(INDEX(AW1191:BH1191,1,MATCH(2,1/(AW1191:BH1191&lt;&gt;""),1)-1),""))</f>
        <v>0</v>
      </c>
      <c r="BK1191" s="59">
        <f t="shared" si="1400"/>
        <v>0</v>
      </c>
      <c r="BL1191" s="59" cm="1">
        <f t="array" ref="BL1191">IFERROR(SUM(AW1191:INDEX(AW1191:BH1191, MATCH(2, 1/(AW1191:BH1191&lt;&gt;""), 1) - 1))/_xlfn.XLOOKUP(F1191,Apuração!A:A,Apuração!B:B),0)</f>
        <v>0</v>
      </c>
      <c r="BM1191" s="55" cm="1">
        <f t="array" ref="BM1191">IFERROR(
   INDEX($AW$1:$BH$1,
      _xlfn.AGGREGATE(14, 6, COLUMN($AW$1:$BH$1)/(AW1191:BH1191&lt;&gt;""), 2) - COLUMN($AW$1) + 1
   ),
"")</f>
        <v>46082</v>
      </c>
      <c r="BN1191" s="55" cm="1">
        <f t="array" ref="BN1191">IFERROR(INDEX($AW$1:$BH$1,1,MATCH(2,1/(AW1191:BH1191&lt;&gt;""))),"")</f>
        <v>46113</v>
      </c>
      <c r="BO1191" s="53">
        <f ca="1">IFERROR(_xlfn.XLOOKUP(F1191,Apuração!A:A,Apuração!C:C)/_xlfn.XLOOKUP(F1191,Apuração!A:A,Apuração!B:B),0)</f>
        <v>0</v>
      </c>
      <c r="BP1191" s="53">
        <f ca="1">IFERROR(_xlfn.XLOOKUP(F1191,Apuração!A:A,Apuração!D:D)/_xlfn.XLOOKUP(F1191,Apuração!A:A,Apuração!B:B),0)</f>
        <v>0</v>
      </c>
      <c r="BQ1191" s="53">
        <f ca="1">IF(BK1191&gt;=BO1191,0,_xlfn.XLOOKUP(F1191,Apuração!A:A,Apuração!B:B)*(BO1191 + (1/_xlfn.XLOOKUP(F1191,Apuração!A:A,Apuração!B:B)) - BK1191))</f>
        <v>0</v>
      </c>
      <c r="BR1191" s="85">
        <f t="shared" ca="1" si="1401"/>
        <v>0</v>
      </c>
      <c r="BS1191" s="53">
        <f ca="1">IFERROR((_xlfn.XLOOKUP(F1191,Apuração!A:A,Apuração!C:C)+1)/_xlfn.XLOOKUP(F1191,Apuração!A:A,Apuração!B:B),0)</f>
        <v>0.14285714285714285</v>
      </c>
    </row>
    <row r="1192" spans="1:71" ht="25.95" hidden="1" customHeight="1" x14ac:dyDescent="0.3">
      <c r="A1192" s="40" t="s">
        <v>87</v>
      </c>
      <c r="B1192" s="4" t="s">
        <v>88</v>
      </c>
      <c r="C1192" s="5" t="s">
        <v>216</v>
      </c>
      <c r="D1192" s="5" t="s">
        <v>219</v>
      </c>
      <c r="E1192" s="4" t="s">
        <v>96</v>
      </c>
      <c r="F1192" s="4" t="str" cm="1">
        <f t="array" ref="F1192">_xlfn.IFS(
AG1192 &lt;&gt; "", "Jan-Dez/26",
AH1192 &lt;&gt; "", "Fev-Dez/26",
AI1192 &lt;&gt; "", "Mar-Dez/26", AJ1192 &lt;&gt; "", "Abr-Dez/26",
TRUE, "A partir de Junho"
)</f>
        <v>A partir de Junho</v>
      </c>
      <c r="G1192" s="4" t="s">
        <v>62</v>
      </c>
      <c r="H1192" s="7" t="s">
        <v>38</v>
      </c>
      <c r="I1192" s="9" t="s">
        <v>91</v>
      </c>
      <c r="J1192" s="21" t="str" cm="1">
        <f t="array" aca="1" ref="J1192" ca="1">_xlfn.LET(
  _xlpm.actual_value_month, INDEX(T1192:AE1192, MATCH(DATE(YEAR(TODAY()), MONTH(TODAY()), 1), $T$1:$AE$1, 0)),
  IF(_xlpm.actual_value_month &lt;&gt; "",_xlpm.actual_value_month &amp; " ações mensais", "")
)</f>
        <v/>
      </c>
      <c r="K1192" s="8" t="str" cm="1">
        <f t="array" ref="K1192">_xlfn.LET(
    _xlpm.sum_month, SUM(T1192:AE1192),
    IF(_xlpm.sum_month = 0, "", _xlpm.sum_month &amp; " certificados gerados no ano")
)</f>
        <v/>
      </c>
      <c r="L1192" s="4" t="s">
        <v>92</v>
      </c>
      <c r="M1192" s="19"/>
      <c r="N1192" s="5" t="s">
        <v>51</v>
      </c>
      <c r="O1192" s="5"/>
      <c r="P1192" s="10"/>
      <c r="Q1192" s="10"/>
      <c r="R1192" s="10"/>
      <c r="S1192" s="10"/>
      <c r="T1192" s="22"/>
      <c r="U1192" s="22"/>
      <c r="V1192" s="22"/>
      <c r="W1192" s="22"/>
      <c r="X1192" s="22"/>
      <c r="Y1192" s="22"/>
      <c r="Z1192" s="22"/>
      <c r="AA1192" s="22"/>
      <c r="AB1192" s="22"/>
      <c r="AC1192" s="22"/>
      <c r="AD1192" s="22"/>
      <c r="AE1192" s="22"/>
      <c r="AG1192" s="71"/>
      <c r="AH1192" s="71"/>
      <c r="AI1192" s="71"/>
      <c r="AJ1192" s="71"/>
      <c r="AK1192" s="71"/>
      <c r="AL1192" s="71"/>
      <c r="AM1192" s="71"/>
      <c r="AN1192" s="71"/>
      <c r="AO1192" s="71"/>
      <c r="AP1192" s="71"/>
      <c r="AQ1192" s="71"/>
      <c r="AR1192" s="71"/>
      <c r="AS1192" s="94">
        <f t="shared" ca="1" si="1394"/>
        <v>0</v>
      </c>
      <c r="AT1192" s="95" t="str" cm="1">
        <f t="array" ref="AT1192">IFERROR(INDEX(AJ1192:AR1192,1,MATCH(2,1/(AJ1192:AR1192&lt;&gt;""))),"")</f>
        <v/>
      </c>
      <c r="AU1192" s="97" t="str">
        <f t="shared" si="1395"/>
        <v/>
      </c>
      <c r="AW1192" s="83">
        <f t="shared" si="1396"/>
        <v>0</v>
      </c>
      <c r="AX1192" s="83">
        <f t="shared" si="1397"/>
        <v>0</v>
      </c>
      <c r="AY1192" s="83">
        <f t="shared" si="1398"/>
        <v>0</v>
      </c>
      <c r="AZ1192" s="83">
        <f t="shared" si="1399"/>
        <v>0</v>
      </c>
      <c r="BA1192" s="52"/>
      <c r="BB1192" s="52"/>
      <c r="BC1192" s="52"/>
      <c r="BD1192" s="52"/>
      <c r="BE1192" s="52"/>
      <c r="BF1192" s="52"/>
      <c r="BG1192" s="52"/>
      <c r="BH1192" s="52"/>
      <c r="BI1192" s="68" cm="1">
        <f t="array" ref="BI1192">IFERROR(INDEX(AW1192:BH1192,1,MATCH(2,1/(AW1192:BH1192&lt;&gt;""))),"")</f>
        <v>0</v>
      </c>
      <c r="BJ1192" s="68" cm="1">
        <f t="array" ref="BJ1192">IF(BM1192 = "", "",IFERROR(INDEX(AW1192:BH1192,1,MATCH(2,1/(AW1192:BH1192&lt;&gt;""),1)-1),""))</f>
        <v>0</v>
      </c>
      <c r="BK1192" s="59">
        <f t="shared" si="1400"/>
        <v>0</v>
      </c>
      <c r="BL1192" s="59" cm="1">
        <f t="array" ref="BL1192">IFERROR(SUM(AW1192:INDEX(AW1192:BH1192, MATCH(2, 1/(AW1192:BH1192&lt;&gt;""), 1) - 1))/_xlfn.XLOOKUP(F1192,Apuração!A:A,Apuração!B:B),0)</f>
        <v>0</v>
      </c>
      <c r="BM1192" s="55" cm="1">
        <f t="array" ref="BM1192">IFERROR(
   INDEX($AW$1:$BH$1,
      _xlfn.AGGREGATE(14, 6, COLUMN($AW$1:$BH$1)/(AW1192:BH1192&lt;&gt;""), 2) - COLUMN($AW$1) + 1
   ),
"")</f>
        <v>46082</v>
      </c>
      <c r="BN1192" s="55" cm="1">
        <f t="array" ref="BN1192">IFERROR(INDEX($AW$1:$BH$1,1,MATCH(2,1/(AW1192:BH1192&lt;&gt;""))),"")</f>
        <v>46113</v>
      </c>
      <c r="BO1192" s="53">
        <f ca="1">IFERROR(_xlfn.XLOOKUP(F1192,Apuração!A:A,Apuração!C:C)/_xlfn.XLOOKUP(F1192,Apuração!A:A,Apuração!B:B),0)</f>
        <v>0</v>
      </c>
      <c r="BP1192" s="53">
        <f ca="1">IFERROR(_xlfn.XLOOKUP(F1192,Apuração!A:A,Apuração!D:D)/_xlfn.XLOOKUP(F1192,Apuração!A:A,Apuração!B:B),0)</f>
        <v>0</v>
      </c>
      <c r="BQ1192" s="53">
        <f ca="1">IF(BK1192&gt;=BO1192,0,_xlfn.XLOOKUP(F1192,Apuração!A:A,Apuração!B:B)*(BO1192 + (1/_xlfn.XLOOKUP(F1192,Apuração!A:A,Apuração!B:B)) - BK1192))</f>
        <v>0</v>
      </c>
      <c r="BR1192" s="85">
        <f t="shared" ca="1" si="1401"/>
        <v>0</v>
      </c>
      <c r="BS1192" s="53">
        <f ca="1">IFERROR((_xlfn.XLOOKUP(F1192,Apuração!A:A,Apuração!C:C)+1)/_xlfn.XLOOKUP(F1192,Apuração!A:A,Apuração!B:B),0)</f>
        <v>0.14285714285714285</v>
      </c>
    </row>
    <row r="1193" spans="1:71" ht="25.95" hidden="1" customHeight="1" x14ac:dyDescent="0.3">
      <c r="A1193" s="20" t="s">
        <v>87</v>
      </c>
      <c r="B1193" s="4" t="s">
        <v>222</v>
      </c>
      <c r="C1193" s="5" t="s">
        <v>216</v>
      </c>
      <c r="D1193" s="5" t="s">
        <v>36</v>
      </c>
      <c r="E1193" s="4" t="str" cm="1">
        <f t="array" ref="E1193">_xlfn.IFS(
F1193 = "A partir de Abril", "Aguardando Execução na Distribuidora",
A1193 = "CAPACITAÇÃO", "Em execução no Corporativo",
TRUE, "Em Execução na Distribuidora"
)</f>
        <v>Em Execução na Distribuidora</v>
      </c>
      <c r="F1193" s="4" t="str" cm="1">
        <f t="array" ref="F1193">_xlfn.IFS(
AG1193 &lt;&gt; "", "Jan-Dez/26",
AH1193 &lt;&gt; "", "Fev-Dez/26",
AI1193 &lt;&gt; "", "Mar-Dez/26", AJ1193 &lt;&gt; "", "Abr-Dez/26",
TRUE, "A partir de Junho"
)</f>
        <v>Jan-Dez/26</v>
      </c>
      <c r="G1193" s="7" t="s">
        <v>37</v>
      </c>
      <c r="H1193" s="7" t="s">
        <v>110</v>
      </c>
      <c r="I1193" s="8" t="s">
        <v>223</v>
      </c>
      <c r="J1193" s="21" t="str" cm="1">
        <f t="array" aca="1" ref="J1193" ca="1">_xlfn.LET(
  _xlpm.actual_value_month, INDEX(T1193:AE1193, MATCH(DATE(YEAR(TODAY()), MONTH(TODAY()), 1), $T$1:$AE$1, 0)),
  IF(_xlpm.actual_value_month &lt;&gt; "",_xlpm.actual_value_month &amp; " inspeções mensais", "")
)</f>
        <v>207 inspeções mensais</v>
      </c>
      <c r="K1193" s="8" t="str" cm="1">
        <f t="array" ref="K1193">_xlfn.LET(
    _xlpm.sum_month, SUM(T1193:AE1193),
    IF(_xlpm.sum_month = 0, "", _xlpm.sum_month &amp; " inspeções realizadas no ano")
)</f>
        <v>2150 inspeções realizadas no ano</v>
      </c>
      <c r="L1193" s="4" t="s">
        <v>144</v>
      </c>
      <c r="M1193" s="19" t="s">
        <v>224</v>
      </c>
      <c r="N1193" s="5" t="s">
        <v>42</v>
      </c>
      <c r="O1193" s="5" t="s">
        <v>43</v>
      </c>
      <c r="P1193" s="10" t="s">
        <v>44</v>
      </c>
      <c r="Q1193" s="10" t="s">
        <v>72</v>
      </c>
      <c r="R1193" s="11" t="s">
        <v>225</v>
      </c>
      <c r="S1193" s="11" t="s">
        <v>44</v>
      </c>
      <c r="T1193" s="22">
        <v>99</v>
      </c>
      <c r="U1193" s="22">
        <v>93</v>
      </c>
      <c r="V1193" s="22">
        <v>95</v>
      </c>
      <c r="W1193" s="22">
        <v>207</v>
      </c>
      <c r="X1193" s="22">
        <v>207</v>
      </c>
      <c r="Y1193" s="22">
        <v>207</v>
      </c>
      <c r="Z1193" s="22">
        <v>207</v>
      </c>
      <c r="AA1193" s="22">
        <v>207</v>
      </c>
      <c r="AB1193" s="22">
        <v>207</v>
      </c>
      <c r="AC1193" s="22">
        <v>207</v>
      </c>
      <c r="AD1193" s="22">
        <v>207</v>
      </c>
      <c r="AE1193" s="22">
        <v>207</v>
      </c>
      <c r="AG1193" s="71">
        <v>99</v>
      </c>
      <c r="AH1193" s="82">
        <v>93</v>
      </c>
      <c r="AI1193" s="71">
        <v>95</v>
      </c>
      <c r="AJ1193" s="71">
        <v>555</v>
      </c>
      <c r="AK1193" s="71"/>
      <c r="AL1193" s="71"/>
      <c r="AM1193" s="71"/>
      <c r="AN1193" s="71"/>
      <c r="AO1193" s="71"/>
      <c r="AP1193" s="71"/>
      <c r="AQ1193" s="71"/>
      <c r="AR1193" s="71"/>
      <c r="AS1193" s="94">
        <f ca="1">IF(MONTH(TODAY())=3,SUM(T1193:U1193),IF(MONTH(TODAY())=4,SUM(T1193:V1193),IF(MONTH(TODAY())=5,SUM(T1193:W1193),IF(MONTH(TODAY())=6,SUM(T1193:X1193),IF(MONTH(TODAY())=7,SUM(T1193:Y1193),IF(MONTH(TODAY())=8,SUM(T1193:Z1193),IF(MONTH(TODAY())=9,SUM(T1193:AA1193),IF(MONTH(TODAY())=10,SUM(T1193:AB1193),IF(MONTH(TODAY())=11,SUM(T1193:AC1193),IF(MONTH(TODAY())=12,SUM(T1193:AD1193),IF(MONTH(TODAY())=1,SUM(T1193:AE1193),T1193)))))))))))</f>
        <v>701</v>
      </c>
      <c r="AT1193" s="95">
        <f>SUM(IF(AW1193&lt;1.15,AG1193,1.15*T1193),IF(AX1193&lt;1.15,AH1193,1.15*U1193),IF(AY1193&lt;1.15,AI1193,1.15*V1193),IF(AZ1193&lt;1.15,AJ1193,1.15*W1193),IF(BA1193&lt;1.15,AK1193,1.15*X1193),IF(BB1193&lt;1.15,AL1193,1.15*Y1193),IF(BC1193&lt;1.15,AM1193,1.15*Z1193),IF(BD1193&lt;1.15,AN1193,1.15*AA1193),IF(BE1193&lt;1.15,AO1193,1.15*AB1193),IF(BF1193&lt;1.15,AP1193,1.15*AC1193),IF(BG1193&lt;1.15,AQ1193,1.15*AD1193),IF(BH1193&lt;1.15,AR1193,1.15*AE1193))</f>
        <v>525.04999999999995</v>
      </c>
      <c r="AU1193" s="97">
        <f>SUM(AG1193:AR1193)</f>
        <v>842</v>
      </c>
      <c r="AW1193" s="51">
        <f>IFERROR(IF(AG1193="",0,AG1193/T1193),0)</f>
        <v>1</v>
      </c>
      <c r="AX1193" s="51">
        <f>IFERROR(IF(AH1193="",0,AH1193/U1193),0)</f>
        <v>1</v>
      </c>
      <c r="AY1193" s="51">
        <f>IFERROR(IF(AI1193="",0,AI1193/V1193),0)</f>
        <v>1</v>
      </c>
      <c r="AZ1193" s="51">
        <f>IFERROR(IF(AJ1193="",0,AJ1193/W1193),0)</f>
        <v>2.681159420289855</v>
      </c>
      <c r="BA1193" s="51"/>
      <c r="BB1193" s="51"/>
      <c r="BC1193" s="51"/>
      <c r="BD1193" s="51"/>
      <c r="BE1193" s="51"/>
      <c r="BF1193" s="51"/>
      <c r="BG1193" s="51"/>
      <c r="BH1193" s="51"/>
      <c r="BI1193" s="65" cm="1">
        <f t="array" ref="BI1193">IFERROR(INDEX(AW1193:BH1193,1,MATCH(2,1/(AW1193:BH1193&lt;&gt;""))),"")</f>
        <v>2.681159420289855</v>
      </c>
      <c r="BJ1193" s="68" cm="1">
        <f t="array" ref="BJ1193">IF(BM1193 = "", "",IFERROR(INDEX(AW1193:BH1193,1,MATCH(2,1/(AW1193:BH1193&lt;&gt;""),1)-1),""))</f>
        <v>1</v>
      </c>
      <c r="BK1193" s="58">
        <f>IF((IF(AW1193&gt;=115%,115%,AW1193) + IF(AX1193&gt;=115%,115%,AX1193) + IF(AY1193&gt;=115%,115%,AY1193) + (IF(AZ1193&gt;=115%,115%,AZ1193) + IF(BA1193&gt;=160%,160%,BA1193) + IF(BB1193&gt;=115%,115%,BB1193) + IF(BC1193&gt;=115%,115%,BC1193) + IF(BD1193&gt;=115%,115%,BD1193) + IF(BE1193&gt;=115%,115%,BE1193) + IF(BF1193&gt;=115%,115%,BF1193) + IF(BG1193&gt;=115%,115%,BG1193) + IF(BH1193&gt;=115%,115%,BH1193)))/_xlfn.XLOOKUP(F1193,Apuração!A:A,Apuração!B:B)&gt;=1.15,1.15,((IF(AZ1193&gt;=115%,115%,AZ1193) + IF(AX1193&gt;=115%,115%,AX1193) + IF(AY1193&gt;=115%,115%,AY1193) + (IF(AW1193&gt;=115%,115%,AW1193) + IF(BA1193&gt;=160%,160%,BA1193) + IF(BB1193&gt;=115%,115%,BB1193) + IF(BC1193&gt;=115%,115%,BC1193) + IF(BD1193&gt;=115%,115%,BD1193) + IF(BE1193&gt;=115%,115%,BE1193) + IF(BF1193&gt;=115%,115%,BF1193) + IF(BG1193&gt;=115%,115%,BG1193) + IF(BH1193&gt;=115%,115%,BH1193)))/_xlfn.XLOOKUP(F1193,Apuração!A:A,Apuração!B:B)))</f>
        <v>0.34583333333333338</v>
      </c>
      <c r="BL1193" s="58" cm="1">
        <f t="array" aca="1" ref="BL1193" ca="1">IF(SUM(IFERROR(IF(INDEX(AW1193:INDEX(AW1193:BH1193, MATCH(2, 1/(AW1193:BH1193&lt;&gt;""), 1)-1), ROW(INDIRECT("1:" &amp; MATCH(2, 1/(AW1193:BH1193&lt;&gt;""), 1)-1))) &gt;= 115%, 115%, INDEX(AW1193:INDEX(AW1193:BH1193, MATCH(2, 1/(AW1193:BH1193&lt;&gt;""), 1)-1), ROW(INDIRECT("1:" &amp; MATCH(2, 1/(AW1193:BH1193&lt;&gt;""), 1)-1)))), 0))/_xlfn.XLOOKUP(F1193,Apuração!A:A,Apuração!B:B)&gt;=1.15,1.15,SUM(IFERROR(IF(INDEX(AW1193:INDEX(AW1193:BH1193, MATCH(2, 1/(AW1193:BH1193&lt;&gt;""), 1)-1), ROW(INDIRECT("1:" &amp; MATCH(2, 1/(AW1193:BH1193&lt;&gt;""), 1)-1))) &gt;= 115%, 115%, INDEX(AW1193:INDEX(AW1193:BH1193, MATCH(2, 1/(AW1193:BH1193&lt;&gt;""), 1)-1), ROW(INDIRECT("1:" &amp; MATCH(2, 1/(AW1193:BH1193&lt;&gt;""), 1)-1)))), 0))/_xlfn.XLOOKUP(F1193,Apuração!A:A,Apuração!B:B))</f>
        <v>0.25</v>
      </c>
      <c r="BM1193" s="55" cm="1">
        <f t="array" ref="BM1193">IFERROR(
   INDEX($AW$1:$BH$1,
      _xlfn.AGGREGATE(14, 6, COLUMN($AW$1:$BH$1)/(AW1193:BH1193&lt;&gt;""), 2) - COLUMN($AW$1) + 1
   ),
"")</f>
        <v>46082</v>
      </c>
      <c r="BN1193" s="55" cm="1">
        <f t="array" ref="BN1193">IFERROR(INDEX($AW$1:$BH$1,1,MATCH(2,1/(AW1193:BH1193&lt;&gt;""))),"")</f>
        <v>46113</v>
      </c>
      <c r="BO1193" s="53">
        <f ca="1">IFERROR(_xlfn.XLOOKUP(F1193,Apuração!A:A,Apuração!C:C)/_xlfn.XLOOKUP(F1193,Apuração!A:A,Apuração!B:B),0)</f>
        <v>0.41666666666666669</v>
      </c>
      <c r="BP1193" s="53">
        <f ca="1">IFERROR(_xlfn.XLOOKUP(F1193,Apuração!A:A,Apuração!D:D)/_xlfn.XLOOKUP(F1193,Apuração!A:A,Apuração!B:B),0)</f>
        <v>0.33333333333333331</v>
      </c>
      <c r="BQ1193" s="53">
        <f ca="1">IF(BK1193&gt;=BO1193,0,_xlfn.XLOOKUP(F1193,Apuração!A:A,Apuração!B:B)*(BO1193 + (1/_xlfn.XLOOKUP(F1193,Apuração!A:A,Apuração!B:B)) - BK1193))</f>
        <v>1.8499999999999994</v>
      </c>
      <c r="BR1193" s="85">
        <f ca="1">IF(BQ1193=0,0,BQ1193*Z1193)</f>
        <v>382.94999999999987</v>
      </c>
      <c r="BS1193" s="53">
        <f ca="1">IFERROR((_xlfn.XLOOKUP(F1193,Apuração!A:A,Apuração!C:C)+1)/_xlfn.XLOOKUP(F1193,Apuração!A:A,Apuração!B:B),0)</f>
        <v>0.5</v>
      </c>
    </row>
    <row r="1194" spans="1:71" ht="25.95" hidden="1" customHeight="1" x14ac:dyDescent="0.3">
      <c r="A1194" s="20" t="s">
        <v>87</v>
      </c>
      <c r="B1194" s="4" t="s">
        <v>222</v>
      </c>
      <c r="C1194" s="5" t="s">
        <v>216</v>
      </c>
      <c r="D1194" s="5" t="s">
        <v>217</v>
      </c>
      <c r="E1194" s="4" t="str" cm="1">
        <f t="array" ref="E1194">_xlfn.IFS(
F1194 = "A partir de Abril", "Aguardando Execução na Distribuidora",
A1194 = "CAPACITAÇÃO", "Em execução no Corporativo",
TRUE, "Em Execução na Distribuidora"
)</f>
        <v>Em Execução na Distribuidora</v>
      </c>
      <c r="F1194" s="4" t="str" cm="1">
        <f t="array" ref="F1194">_xlfn.IFS(
AG1194 &lt;&gt; "", "Jan-Dez/26",
AH1194 &lt;&gt; "", "Fev-Dez/26",
AI1194 &lt;&gt; "", "Mar-Dez/26", AJ1194 &lt;&gt; "", "Abr-Dez/26",
TRUE, "A partir de Junho"
)</f>
        <v>Jan-Dez/26</v>
      </c>
      <c r="G1194" s="7" t="s">
        <v>37</v>
      </c>
      <c r="H1194" s="7" t="s">
        <v>110</v>
      </c>
      <c r="I1194" s="8" t="s">
        <v>223</v>
      </c>
      <c r="J1194" s="21" t="str" cm="1">
        <f t="array" aca="1" ref="J1194" ca="1">_xlfn.LET(
  _xlpm.actual_value_month, INDEX(T1194:AE1194, MATCH(DATE(YEAR(TODAY()), MONTH(TODAY()), 1), $T$1:$AE$1, 0)),
  IF(_xlpm.actual_value_month &lt;&gt; "",_xlpm.actual_value_month &amp; " inspeções mensais", "")
)</f>
        <v>41 inspeções mensais</v>
      </c>
      <c r="K1194" s="8" t="str" cm="1">
        <f t="array" ref="K1194">_xlfn.LET(
    _xlpm.sum_month, SUM(T1194:AE1194),
    IF(_xlpm.sum_month = 0, "", _xlpm.sum_month &amp; " inspeções realizadas no ano")
)</f>
        <v>433 inspeções realizadas no ano</v>
      </c>
      <c r="L1194" s="4" t="s">
        <v>144</v>
      </c>
      <c r="M1194" s="19" t="s">
        <v>224</v>
      </c>
      <c r="N1194" s="5" t="s">
        <v>42</v>
      </c>
      <c r="O1194" s="5" t="s">
        <v>43</v>
      </c>
      <c r="P1194" s="10" t="s">
        <v>44</v>
      </c>
      <c r="Q1194" s="10" t="s">
        <v>72</v>
      </c>
      <c r="R1194" s="11" t="s">
        <v>225</v>
      </c>
      <c r="S1194" s="11" t="s">
        <v>44</v>
      </c>
      <c r="T1194" s="143">
        <v>23</v>
      </c>
      <c r="U1194" s="143">
        <v>18</v>
      </c>
      <c r="V1194" s="143">
        <v>23</v>
      </c>
      <c r="W1194" s="143">
        <v>41</v>
      </c>
      <c r="X1194" s="143">
        <v>41</v>
      </c>
      <c r="Y1194" s="143">
        <v>41</v>
      </c>
      <c r="Z1194" s="143">
        <v>41</v>
      </c>
      <c r="AA1194" s="143">
        <v>41</v>
      </c>
      <c r="AB1194" s="143">
        <v>41</v>
      </c>
      <c r="AC1194" s="143">
        <v>41</v>
      </c>
      <c r="AD1194" s="143">
        <v>41</v>
      </c>
      <c r="AE1194" s="143">
        <v>41</v>
      </c>
      <c r="AG1194" s="145">
        <v>23</v>
      </c>
      <c r="AH1194" s="149">
        <v>18</v>
      </c>
      <c r="AI1194" s="149">
        <v>23</v>
      </c>
      <c r="AJ1194" s="82">
        <v>137</v>
      </c>
      <c r="AK1194" s="71"/>
      <c r="AL1194" s="71"/>
      <c r="AM1194" s="71"/>
      <c r="AN1194" s="71"/>
      <c r="AO1194" s="71"/>
      <c r="AP1194" s="71"/>
      <c r="AQ1194" s="71"/>
      <c r="AR1194" s="71"/>
      <c r="AS1194" s="94">
        <f t="shared" ref="AS1194:AS1197" ca="1" si="1402">IF(MONTH(TODAY())=3,SUM(T1194:U1194),IF(MONTH(TODAY())=4,SUM(T1194:V1194),IF(MONTH(TODAY())=5,SUM(T1194:W1194),IF(MONTH(TODAY())=6,SUM(T1194:X1194),IF(MONTH(TODAY())=7,SUM(T1194:Y1194),IF(MONTH(TODAY())=8,SUM(T1194:Z1194),IF(MONTH(TODAY())=9,SUM(T1194:AA1194),IF(MONTH(TODAY())=10,SUM(T1194:AB1194),IF(MONTH(TODAY())=11,SUM(T1194:AC1194),IF(MONTH(TODAY())=12,SUM(T1194:AD1194),IF(MONTH(TODAY())=1,SUM(T1194:AE1194),T1194)))))))))))</f>
        <v>146</v>
      </c>
      <c r="AT1194" s="95">
        <f t="shared" ref="AT1194:AT1197" si="1403">SUM(IF(AW1194&lt;1.15,AG1194,1.15*T1194),IF(AX1194&lt;1.15,AH1194,1.15*U1194),IF(AY1194&lt;1.15,AI1194,1.15*V1194),IF(AZ1194&lt;1.15,AJ1194,1.15*W1194),IF(BA1194&lt;1.15,AK1194,1.15*X1194),IF(BB1194&lt;1.15,AL1194,1.15*Y1194),IF(BC1194&lt;1.15,AM1194,1.15*Z1194),IF(BD1194&lt;1.15,AN1194,1.15*AA1194),IF(BE1194&lt;1.15,AO1194,1.15*AB1194),IF(BF1194&lt;1.15,AP1194,1.15*AC1194),IF(BG1194&lt;1.15,AQ1194,1.15*AD1194),IF(BH1194&lt;1.15,AR1194,1.15*AE1194))</f>
        <v>111.15</v>
      </c>
      <c r="AU1194" s="97">
        <f t="shared" ref="AU1194:AU1197" si="1404">SUM(AG1194:AR1194)</f>
        <v>201</v>
      </c>
      <c r="AW1194" s="51">
        <f t="shared" ref="AW1194:AW1197" si="1405">IFERROR(IF(AG1194="",0,AG1194/T1194),0)</f>
        <v>1</v>
      </c>
      <c r="AX1194" s="51">
        <f t="shared" ref="AX1194:AX1197" si="1406">IFERROR(IF(AH1194="",0,AH1194/U1194),0)</f>
        <v>1</v>
      </c>
      <c r="AY1194" s="51">
        <f t="shared" ref="AY1194:AY1197" si="1407">IFERROR(IF(AI1194="",0,AI1194/V1194),0)</f>
        <v>1</v>
      </c>
      <c r="AZ1194" s="51">
        <f t="shared" ref="AZ1194:AZ1197" si="1408">IFERROR(IF(AJ1194="",0,AJ1194/W1194),0)</f>
        <v>3.3414634146341462</v>
      </c>
      <c r="BA1194" s="51"/>
      <c r="BB1194" s="51"/>
      <c r="BC1194" s="51"/>
      <c r="BD1194" s="51"/>
      <c r="BE1194" s="51"/>
      <c r="BF1194" s="51"/>
      <c r="BG1194" s="51"/>
      <c r="BH1194" s="51"/>
      <c r="BI1194" s="65" cm="1">
        <f t="array" ref="BI1194">IFERROR(INDEX(AW1194:BH1194,1,MATCH(2,1/(AW1194:BH1194&lt;&gt;""))),"")</f>
        <v>3.3414634146341462</v>
      </c>
      <c r="BJ1194" s="68" cm="1">
        <f t="array" ref="BJ1194">IF(BM1194 = "", "",IFERROR(INDEX(AW1194:BH1194,1,MATCH(2,1/(AW1194:BH1194&lt;&gt;""),1)-1),""))</f>
        <v>1</v>
      </c>
      <c r="BK1194" s="58">
        <f>IF((IF(AW1194&gt;=115%,115%,AW1194) + IF(AX1194&gt;=115%,115%,AX1194) + IF(AY1194&gt;=115%,115%,AY1194) + (IF(AZ1194&gt;=115%,115%,AZ1194) + IF(BA1194&gt;=160%,160%,BA1194) + IF(BB1194&gt;=115%,115%,BB1194) + IF(BC1194&gt;=115%,115%,BC1194) + IF(BD1194&gt;=115%,115%,BD1194) + IF(BE1194&gt;=115%,115%,BE1194) + IF(BF1194&gt;=115%,115%,BF1194) + IF(BG1194&gt;=115%,115%,BG1194) + IF(BH1194&gt;=115%,115%,BH1194)))/_xlfn.XLOOKUP(F1194,Apuração!A:A,Apuração!B:B)&gt;=1.15,1.15,((IF(AZ1194&gt;=115%,115%,AZ1194) + IF(AX1194&gt;=115%,115%,AX1194) + IF(AY1194&gt;=115%,115%,AY1194) + (IF(AW1194&gt;=115%,115%,AW1194) + IF(BA1194&gt;=160%,160%,BA1194) + IF(BB1194&gt;=115%,115%,BB1194) + IF(BC1194&gt;=115%,115%,BC1194) + IF(BD1194&gt;=115%,115%,BD1194) + IF(BE1194&gt;=115%,115%,BE1194) + IF(BF1194&gt;=115%,115%,BF1194) + IF(BG1194&gt;=115%,115%,BG1194) + IF(BH1194&gt;=115%,115%,BH1194)))/_xlfn.XLOOKUP(F1194,Apuração!A:A,Apuração!B:B)))</f>
        <v>0.34583333333333338</v>
      </c>
      <c r="BL1194" s="58" cm="1">
        <f t="array" aca="1" ref="BL1194" ca="1">IF(SUM(IFERROR(IF(INDEX(AW1194:INDEX(AW1194:BH1194, MATCH(2, 1/(AW1194:BH1194&lt;&gt;""), 1)-1), ROW(INDIRECT("1:" &amp; MATCH(2, 1/(AW1194:BH1194&lt;&gt;""), 1)-1))) &gt;= 115%, 115%, INDEX(AW1194:INDEX(AW1194:BH1194, MATCH(2, 1/(AW1194:BH1194&lt;&gt;""), 1)-1), ROW(INDIRECT("1:" &amp; MATCH(2, 1/(AW1194:BH1194&lt;&gt;""), 1)-1)))), 0))/_xlfn.XLOOKUP(F1194,Apuração!A:A,Apuração!B:B)&gt;=1.15,1.15,SUM(IFERROR(IF(INDEX(AW1194:INDEX(AW1194:BH1194, MATCH(2, 1/(AW1194:BH1194&lt;&gt;""), 1)-1), ROW(INDIRECT("1:" &amp; MATCH(2, 1/(AW1194:BH1194&lt;&gt;""), 1)-1))) &gt;= 115%, 115%, INDEX(AW1194:INDEX(AW1194:BH1194, MATCH(2, 1/(AW1194:BH1194&lt;&gt;""), 1)-1), ROW(INDIRECT("1:" &amp; MATCH(2, 1/(AW1194:BH1194&lt;&gt;""), 1)-1)))), 0))/_xlfn.XLOOKUP(F1194,Apuração!A:A,Apuração!B:B))</f>
        <v>0.25</v>
      </c>
      <c r="BM1194" s="55" cm="1">
        <f t="array" ref="BM1194">IFERROR(
   INDEX($AW$1:$BH$1,
      _xlfn.AGGREGATE(14, 6, COLUMN($AW$1:$BH$1)/(AW1194:BH1194&lt;&gt;""), 2) - COLUMN($AW$1) + 1
   ),
"")</f>
        <v>46082</v>
      </c>
      <c r="BN1194" s="55" cm="1">
        <f t="array" ref="BN1194">IFERROR(INDEX($AW$1:$BH$1,1,MATCH(2,1/(AW1194:BH1194&lt;&gt;""))),"")</f>
        <v>46113</v>
      </c>
      <c r="BO1194" s="53">
        <f ca="1">IFERROR(_xlfn.XLOOKUP(F1194,Apuração!A:A,Apuração!C:C)/_xlfn.XLOOKUP(F1194,Apuração!A:A,Apuração!B:B),0)</f>
        <v>0.41666666666666669</v>
      </c>
      <c r="BP1194" s="53">
        <f ca="1">IFERROR(_xlfn.XLOOKUP(F1194,Apuração!A:A,Apuração!D:D)/_xlfn.XLOOKUP(F1194,Apuração!A:A,Apuração!B:B),0)</f>
        <v>0.33333333333333331</v>
      </c>
      <c r="BQ1194" s="53">
        <f ca="1">IF(BK1194&gt;=BO1194,0,_xlfn.XLOOKUP(F1194,Apuração!A:A,Apuração!B:B)*(BO1194 + (1/_xlfn.XLOOKUP(F1194,Apuração!A:A,Apuração!B:B)) - BK1194))</f>
        <v>1.8499999999999994</v>
      </c>
      <c r="BR1194" s="85">
        <f t="shared" ref="BR1194:BR1197" ca="1" si="1409">IF(BQ1194=0,0,BQ1194*Z1194)</f>
        <v>75.84999999999998</v>
      </c>
      <c r="BS1194" s="53">
        <f ca="1">IFERROR((_xlfn.XLOOKUP(F1194,Apuração!A:A,Apuração!C:C)+1)/_xlfn.XLOOKUP(F1194,Apuração!A:A,Apuração!B:B),0)</f>
        <v>0.5</v>
      </c>
    </row>
    <row r="1195" spans="1:71" ht="25.95" hidden="1" customHeight="1" x14ac:dyDescent="0.3">
      <c r="A1195" s="20" t="s">
        <v>87</v>
      </c>
      <c r="B1195" s="4" t="s">
        <v>222</v>
      </c>
      <c r="C1195" s="5" t="s">
        <v>216</v>
      </c>
      <c r="D1195" s="5" t="s">
        <v>103</v>
      </c>
      <c r="E1195" s="4" t="str" cm="1">
        <f t="array" ref="E1195">_xlfn.IFS(
F1195 = "A partir de Abril", "Aguardando Execução na Distribuidora",
A1195 = "CAPACITAÇÃO", "Em execução no Corporativo",
TRUE, "Em Execução na Distribuidora"
)</f>
        <v>Em Execução na Distribuidora</v>
      </c>
      <c r="F1195" s="4" t="str" cm="1">
        <f t="array" ref="F1195">_xlfn.IFS(
AG1195 &lt;&gt; "", "Jan-Dez/26",
AH1195 &lt;&gt; "", "Fev-Dez/26",
AI1195 &lt;&gt; "", "Mar-Dez/26", AJ1195 &lt;&gt; "", "Abr-Dez/26",
TRUE, "A partir de Junho"
)</f>
        <v>Jan-Dez/26</v>
      </c>
      <c r="G1195" s="7" t="s">
        <v>37</v>
      </c>
      <c r="H1195" s="7" t="s">
        <v>110</v>
      </c>
      <c r="I1195" s="8" t="s">
        <v>223</v>
      </c>
      <c r="J1195" s="21" t="str" cm="1">
        <f t="array" aca="1" ref="J1195" ca="1">_xlfn.LET(
  _xlpm.actual_value_month, INDEX(T1195:AE1195, MATCH(DATE(YEAR(TODAY()), MONTH(TODAY()), 1), $T$1:$AE$1, 0)),
  IF(_xlpm.actual_value_month &lt;&gt; "",_xlpm.actual_value_month &amp; " inspeções mensais", "")
)</f>
        <v>43 inspeções mensais</v>
      </c>
      <c r="K1195" s="8" t="str" cm="1">
        <f t="array" ref="K1195">_xlfn.LET(
    _xlpm.sum_month, SUM(T1195:AE1195),
    IF(_xlpm.sum_month = 0, "", _xlpm.sum_month &amp; " inspeções realizadas no ano")
)</f>
        <v>507 inspeções realizadas no ano</v>
      </c>
      <c r="L1195" s="4" t="s">
        <v>144</v>
      </c>
      <c r="M1195" s="19" t="s">
        <v>224</v>
      </c>
      <c r="N1195" s="5" t="s">
        <v>42</v>
      </c>
      <c r="O1195" s="5" t="s">
        <v>43</v>
      </c>
      <c r="P1195" s="10" t="s">
        <v>44</v>
      </c>
      <c r="Q1195" s="10" t="s">
        <v>72</v>
      </c>
      <c r="R1195" s="11" t="s">
        <v>225</v>
      </c>
      <c r="S1195" s="11" t="s">
        <v>44</v>
      </c>
      <c r="T1195" s="143">
        <v>38</v>
      </c>
      <c r="U1195" s="143">
        <v>44</v>
      </c>
      <c r="V1195" s="143">
        <v>38</v>
      </c>
      <c r="W1195" s="143">
        <v>43</v>
      </c>
      <c r="X1195" s="143">
        <v>43</v>
      </c>
      <c r="Y1195" s="143">
        <v>43</v>
      </c>
      <c r="Z1195" s="143">
        <v>43</v>
      </c>
      <c r="AA1195" s="143">
        <v>43</v>
      </c>
      <c r="AB1195" s="143">
        <v>43</v>
      </c>
      <c r="AC1195" s="143">
        <v>43</v>
      </c>
      <c r="AD1195" s="143">
        <v>43</v>
      </c>
      <c r="AE1195" s="143">
        <v>43</v>
      </c>
      <c r="AG1195" s="146">
        <v>38</v>
      </c>
      <c r="AH1195" s="150">
        <v>44</v>
      </c>
      <c r="AI1195" s="150">
        <v>38</v>
      </c>
      <c r="AJ1195" s="82">
        <v>158</v>
      </c>
      <c r="AK1195" s="71"/>
      <c r="AL1195" s="71"/>
      <c r="AM1195" s="71"/>
      <c r="AN1195" s="71"/>
      <c r="AO1195" s="71"/>
      <c r="AP1195" s="71"/>
      <c r="AQ1195" s="71"/>
      <c r="AR1195" s="71"/>
      <c r="AS1195" s="94">
        <f t="shared" ca="1" si="1402"/>
        <v>206</v>
      </c>
      <c r="AT1195" s="95">
        <f t="shared" si="1403"/>
        <v>169.45</v>
      </c>
      <c r="AU1195" s="97">
        <f t="shared" si="1404"/>
        <v>278</v>
      </c>
      <c r="AW1195" s="51">
        <f t="shared" si="1405"/>
        <v>1</v>
      </c>
      <c r="AX1195" s="51">
        <f t="shared" si="1406"/>
        <v>1</v>
      </c>
      <c r="AY1195" s="51">
        <f t="shared" si="1407"/>
        <v>1</v>
      </c>
      <c r="AZ1195" s="51">
        <f t="shared" si="1408"/>
        <v>3.6744186046511627</v>
      </c>
      <c r="BA1195" s="51"/>
      <c r="BB1195" s="51"/>
      <c r="BC1195" s="51"/>
      <c r="BD1195" s="51"/>
      <c r="BE1195" s="51"/>
      <c r="BF1195" s="51"/>
      <c r="BG1195" s="51"/>
      <c r="BH1195" s="51"/>
      <c r="BI1195" s="65" cm="1">
        <f t="array" ref="BI1195">IFERROR(INDEX(AW1195:BH1195,1,MATCH(2,1/(AW1195:BH1195&lt;&gt;""))),"")</f>
        <v>3.6744186046511627</v>
      </c>
      <c r="BJ1195" s="68" cm="1">
        <f t="array" ref="BJ1195">IF(BM1195 = "", "",IFERROR(INDEX(AW1195:BH1195,1,MATCH(2,1/(AW1195:BH1195&lt;&gt;""),1)-1),""))</f>
        <v>1</v>
      </c>
      <c r="BK1195" s="58">
        <f>IF((IF(AW1195&gt;=115%,115%,AW1195) + IF(AX1195&gt;=115%,115%,AX1195) + IF(AY1195&gt;=115%,115%,AY1195) + (IF(AZ1195&gt;=115%,115%,AZ1195) + IF(BA1195&gt;=160%,160%,BA1195) + IF(BB1195&gt;=115%,115%,BB1195) + IF(BC1195&gt;=115%,115%,BC1195) + IF(BD1195&gt;=115%,115%,BD1195) + IF(BE1195&gt;=115%,115%,BE1195) + IF(BF1195&gt;=115%,115%,BF1195) + IF(BG1195&gt;=115%,115%,BG1195) + IF(BH1195&gt;=115%,115%,BH1195)))/_xlfn.XLOOKUP(F1195,Apuração!A:A,Apuração!B:B)&gt;=1.15,1.15,((IF(AZ1195&gt;=115%,115%,AZ1195) + IF(AX1195&gt;=115%,115%,AX1195) + IF(AY1195&gt;=115%,115%,AY1195) + (IF(AW1195&gt;=115%,115%,AW1195) + IF(BA1195&gt;=160%,160%,BA1195) + IF(BB1195&gt;=115%,115%,BB1195) + IF(BC1195&gt;=115%,115%,BC1195) + IF(BD1195&gt;=115%,115%,BD1195) + IF(BE1195&gt;=115%,115%,BE1195) + IF(BF1195&gt;=115%,115%,BF1195) + IF(BG1195&gt;=115%,115%,BG1195) + IF(BH1195&gt;=115%,115%,BH1195)))/_xlfn.XLOOKUP(F1195,Apuração!A:A,Apuração!B:B)))</f>
        <v>0.34583333333333338</v>
      </c>
      <c r="BL1195" s="58" cm="1">
        <f t="array" aca="1" ref="BL1195" ca="1">IF(SUM(IFERROR(IF(INDEX(AW1195:INDEX(AW1195:BH1195, MATCH(2, 1/(AW1195:BH1195&lt;&gt;""), 1)-1), ROW(INDIRECT("1:" &amp; MATCH(2, 1/(AW1195:BH1195&lt;&gt;""), 1)-1))) &gt;= 115%, 115%, INDEX(AW1195:INDEX(AW1195:BH1195, MATCH(2, 1/(AW1195:BH1195&lt;&gt;""), 1)-1), ROW(INDIRECT("1:" &amp; MATCH(2, 1/(AW1195:BH1195&lt;&gt;""), 1)-1)))), 0))/_xlfn.XLOOKUP(F1195,Apuração!A:A,Apuração!B:B)&gt;=1.15,1.15,SUM(IFERROR(IF(INDEX(AW1195:INDEX(AW1195:BH1195, MATCH(2, 1/(AW1195:BH1195&lt;&gt;""), 1)-1), ROW(INDIRECT("1:" &amp; MATCH(2, 1/(AW1195:BH1195&lt;&gt;""), 1)-1))) &gt;= 115%, 115%, INDEX(AW1195:INDEX(AW1195:BH1195, MATCH(2, 1/(AW1195:BH1195&lt;&gt;""), 1)-1), ROW(INDIRECT("1:" &amp; MATCH(2, 1/(AW1195:BH1195&lt;&gt;""), 1)-1)))), 0))/_xlfn.XLOOKUP(F1195,Apuração!A:A,Apuração!B:B))</f>
        <v>0.25</v>
      </c>
      <c r="BM1195" s="55" cm="1">
        <f t="array" ref="BM1195">IFERROR(
   INDEX($AW$1:$BH$1,
      _xlfn.AGGREGATE(14, 6, COLUMN($AW$1:$BH$1)/(AW1195:BH1195&lt;&gt;""), 2) - COLUMN($AW$1) + 1
   ),
"")</f>
        <v>46082</v>
      </c>
      <c r="BN1195" s="55" cm="1">
        <f t="array" ref="BN1195">IFERROR(INDEX($AW$1:$BH$1,1,MATCH(2,1/(AW1195:BH1195&lt;&gt;""))),"")</f>
        <v>46113</v>
      </c>
      <c r="BO1195" s="53">
        <f ca="1">IFERROR(_xlfn.XLOOKUP(F1195,Apuração!A:A,Apuração!C:C)/_xlfn.XLOOKUP(F1195,Apuração!A:A,Apuração!B:B),0)</f>
        <v>0.41666666666666669</v>
      </c>
      <c r="BP1195" s="53">
        <f ca="1">IFERROR(_xlfn.XLOOKUP(F1195,Apuração!A:A,Apuração!D:D)/_xlfn.XLOOKUP(F1195,Apuração!A:A,Apuração!B:B),0)</f>
        <v>0.33333333333333331</v>
      </c>
      <c r="BQ1195" s="53">
        <f ca="1">IF(BK1195&gt;=BO1195,0,_xlfn.XLOOKUP(F1195,Apuração!A:A,Apuração!B:B)*(BO1195 + (1/_xlfn.XLOOKUP(F1195,Apuração!A:A,Apuração!B:B)) - BK1195))</f>
        <v>1.8499999999999994</v>
      </c>
      <c r="BR1195" s="85">
        <f t="shared" ca="1" si="1409"/>
        <v>79.549999999999969</v>
      </c>
      <c r="BS1195" s="53">
        <f ca="1">IFERROR((_xlfn.XLOOKUP(F1195,Apuração!A:A,Apuração!C:C)+1)/_xlfn.XLOOKUP(F1195,Apuração!A:A,Apuração!B:B),0)</f>
        <v>0.5</v>
      </c>
    </row>
    <row r="1196" spans="1:71" ht="25.95" hidden="1" customHeight="1" x14ac:dyDescent="0.3">
      <c r="A1196" s="20" t="s">
        <v>87</v>
      </c>
      <c r="B1196" s="4" t="s">
        <v>222</v>
      </c>
      <c r="C1196" s="5" t="s">
        <v>216</v>
      </c>
      <c r="D1196" s="5" t="s">
        <v>218</v>
      </c>
      <c r="E1196" s="4" t="str" cm="1">
        <f t="array" ref="E1196">_xlfn.IFS(
F1196 = "A partir de Abril", "Aguardando Execução na Distribuidora",
A1196 = "CAPACITAÇÃO", "Em execução no Corporativo",
TRUE, "Em Execução na Distribuidora"
)</f>
        <v>Em Execução na Distribuidora</v>
      </c>
      <c r="F1196" s="4" t="str" cm="1">
        <f t="array" ref="F1196">_xlfn.IFS(
AG1196 &lt;&gt; "", "Jan-Dez/26",
AH1196 &lt;&gt; "", "Fev-Dez/26",
AI1196 &lt;&gt; "", "Mar-Dez/26", AJ1196 &lt;&gt; "", "Abr-Dez/26",
TRUE, "A partir de Junho"
)</f>
        <v>Jan-Dez/26</v>
      </c>
      <c r="G1196" s="7" t="s">
        <v>37</v>
      </c>
      <c r="H1196" s="7" t="s">
        <v>110</v>
      </c>
      <c r="I1196" s="8" t="s">
        <v>223</v>
      </c>
      <c r="J1196" s="21" t="str" cm="1">
        <f t="array" aca="1" ref="J1196" ca="1">_xlfn.LET(
  _xlpm.actual_value_month, INDEX(T1196:AE1196, MATCH(DATE(YEAR(TODAY()), MONTH(TODAY()), 1), $T$1:$AE$1, 0)),
  IF(_xlpm.actual_value_month &lt;&gt; "",_xlpm.actual_value_month &amp; " inspeções mensais", "")
)</f>
        <v>89 inspeções mensais</v>
      </c>
      <c r="K1196" s="8" t="str" cm="1">
        <f t="array" ref="K1196">_xlfn.LET(
    _xlpm.sum_month, SUM(T1196:AE1196),
    IF(_xlpm.sum_month = 0, "", _xlpm.sum_month &amp; " inspeções realizadas no ano")
)</f>
        <v>869 inspeções realizadas no ano</v>
      </c>
      <c r="L1196" s="4" t="s">
        <v>144</v>
      </c>
      <c r="M1196" s="19" t="s">
        <v>224</v>
      </c>
      <c r="N1196" s="5" t="s">
        <v>42</v>
      </c>
      <c r="O1196" s="5" t="s">
        <v>43</v>
      </c>
      <c r="P1196" s="10" t="s">
        <v>44</v>
      </c>
      <c r="Q1196" s="10" t="s">
        <v>72</v>
      </c>
      <c r="R1196" s="11" t="s">
        <v>225</v>
      </c>
      <c r="S1196" s="11" t="s">
        <v>44</v>
      </c>
      <c r="T1196" s="143">
        <v>19</v>
      </c>
      <c r="U1196" s="143">
        <v>23</v>
      </c>
      <c r="V1196" s="143">
        <v>26</v>
      </c>
      <c r="W1196" s="143">
        <v>89</v>
      </c>
      <c r="X1196" s="143">
        <v>89</v>
      </c>
      <c r="Y1196" s="143">
        <v>89</v>
      </c>
      <c r="Z1196" s="143">
        <v>89</v>
      </c>
      <c r="AA1196" s="143">
        <v>89</v>
      </c>
      <c r="AB1196" s="143">
        <v>89</v>
      </c>
      <c r="AC1196" s="143">
        <v>89</v>
      </c>
      <c r="AD1196" s="143">
        <v>89</v>
      </c>
      <c r="AE1196" s="143">
        <v>89</v>
      </c>
      <c r="AG1196" s="146">
        <v>19</v>
      </c>
      <c r="AH1196" s="150">
        <v>23</v>
      </c>
      <c r="AI1196" s="150">
        <v>26</v>
      </c>
      <c r="AJ1196" s="82">
        <v>150</v>
      </c>
      <c r="AK1196" s="71"/>
      <c r="AL1196" s="71"/>
      <c r="AM1196" s="71"/>
      <c r="AN1196" s="71"/>
      <c r="AO1196" s="71"/>
      <c r="AP1196" s="71"/>
      <c r="AQ1196" s="71"/>
      <c r="AR1196" s="71"/>
      <c r="AS1196" s="94">
        <f t="shared" ca="1" si="1402"/>
        <v>246</v>
      </c>
      <c r="AT1196" s="95">
        <f t="shared" si="1403"/>
        <v>170.35</v>
      </c>
      <c r="AU1196" s="97">
        <f t="shared" si="1404"/>
        <v>218</v>
      </c>
      <c r="AW1196" s="51">
        <f t="shared" si="1405"/>
        <v>1</v>
      </c>
      <c r="AX1196" s="51">
        <f t="shared" si="1406"/>
        <v>1</v>
      </c>
      <c r="AY1196" s="51">
        <f t="shared" si="1407"/>
        <v>1</v>
      </c>
      <c r="AZ1196" s="51">
        <f t="shared" si="1408"/>
        <v>1.6853932584269662</v>
      </c>
      <c r="BA1196" s="51"/>
      <c r="BB1196" s="51"/>
      <c r="BC1196" s="51"/>
      <c r="BD1196" s="51"/>
      <c r="BE1196" s="51"/>
      <c r="BF1196" s="51"/>
      <c r="BG1196" s="51"/>
      <c r="BH1196" s="51"/>
      <c r="BI1196" s="65" cm="1">
        <f t="array" ref="BI1196">IFERROR(INDEX(AW1196:BH1196,1,MATCH(2,1/(AW1196:BH1196&lt;&gt;""))),"")</f>
        <v>1.6853932584269662</v>
      </c>
      <c r="BJ1196" s="68" cm="1">
        <f t="array" ref="BJ1196">IF(BM1196 = "", "",IFERROR(INDEX(AW1196:BH1196,1,MATCH(2,1/(AW1196:BH1196&lt;&gt;""),1)-1),""))</f>
        <v>1</v>
      </c>
      <c r="BK1196" s="58">
        <f>IF((IF(AW1196&gt;=115%,115%,AW1196) + IF(AX1196&gt;=115%,115%,AX1196) + IF(AY1196&gt;=115%,115%,AY1196) + (IF(AZ1196&gt;=115%,115%,AZ1196) + IF(BA1196&gt;=160%,160%,BA1196) + IF(BB1196&gt;=115%,115%,BB1196) + IF(BC1196&gt;=115%,115%,BC1196) + IF(BD1196&gt;=115%,115%,BD1196) + IF(BE1196&gt;=115%,115%,BE1196) + IF(BF1196&gt;=115%,115%,BF1196) + IF(BG1196&gt;=115%,115%,BG1196) + IF(BH1196&gt;=115%,115%,BH1196)))/_xlfn.XLOOKUP(F1196,Apuração!A:A,Apuração!B:B)&gt;=1.15,1.15,((IF(AZ1196&gt;=115%,115%,AZ1196) + IF(AX1196&gt;=115%,115%,AX1196) + IF(AY1196&gt;=115%,115%,AY1196) + (IF(AW1196&gt;=115%,115%,AW1196) + IF(BA1196&gt;=160%,160%,BA1196) + IF(BB1196&gt;=115%,115%,BB1196) + IF(BC1196&gt;=115%,115%,BC1196) + IF(BD1196&gt;=115%,115%,BD1196) + IF(BE1196&gt;=115%,115%,BE1196) + IF(BF1196&gt;=115%,115%,BF1196) + IF(BG1196&gt;=115%,115%,BG1196) + IF(BH1196&gt;=115%,115%,BH1196)))/_xlfn.XLOOKUP(F1196,Apuração!A:A,Apuração!B:B)))</f>
        <v>0.34583333333333338</v>
      </c>
      <c r="BL1196" s="58" cm="1">
        <f t="array" aca="1" ref="BL1196" ca="1">IF(SUM(IFERROR(IF(INDEX(AW1196:INDEX(AW1196:BH1196, MATCH(2, 1/(AW1196:BH1196&lt;&gt;""), 1)-1), ROW(INDIRECT("1:" &amp; MATCH(2, 1/(AW1196:BH1196&lt;&gt;""), 1)-1))) &gt;= 115%, 115%, INDEX(AW1196:INDEX(AW1196:BH1196, MATCH(2, 1/(AW1196:BH1196&lt;&gt;""), 1)-1), ROW(INDIRECT("1:" &amp; MATCH(2, 1/(AW1196:BH1196&lt;&gt;""), 1)-1)))), 0))/_xlfn.XLOOKUP(F1196,Apuração!A:A,Apuração!B:B)&gt;=1.15,1.15,SUM(IFERROR(IF(INDEX(AW1196:INDEX(AW1196:BH1196, MATCH(2, 1/(AW1196:BH1196&lt;&gt;""), 1)-1), ROW(INDIRECT("1:" &amp; MATCH(2, 1/(AW1196:BH1196&lt;&gt;""), 1)-1))) &gt;= 115%, 115%, INDEX(AW1196:INDEX(AW1196:BH1196, MATCH(2, 1/(AW1196:BH1196&lt;&gt;""), 1)-1), ROW(INDIRECT("1:" &amp; MATCH(2, 1/(AW1196:BH1196&lt;&gt;""), 1)-1)))), 0))/_xlfn.XLOOKUP(F1196,Apuração!A:A,Apuração!B:B))</f>
        <v>0.25</v>
      </c>
      <c r="BM1196" s="55" cm="1">
        <f t="array" ref="BM1196">IFERROR(
   INDEX($AW$1:$BH$1,
      _xlfn.AGGREGATE(14, 6, COLUMN($AW$1:$BH$1)/(AW1196:BH1196&lt;&gt;""), 2) - COLUMN($AW$1) + 1
   ),
"")</f>
        <v>46082</v>
      </c>
      <c r="BN1196" s="55" cm="1">
        <f t="array" ref="BN1196">IFERROR(INDEX($AW$1:$BH$1,1,MATCH(2,1/(AW1196:BH1196&lt;&gt;""))),"")</f>
        <v>46113</v>
      </c>
      <c r="BO1196" s="53">
        <f ca="1">IFERROR(_xlfn.XLOOKUP(F1196,Apuração!A:A,Apuração!C:C)/_xlfn.XLOOKUP(F1196,Apuração!A:A,Apuração!B:B),0)</f>
        <v>0.41666666666666669</v>
      </c>
      <c r="BP1196" s="53">
        <f ca="1">IFERROR(_xlfn.XLOOKUP(F1196,Apuração!A:A,Apuração!D:D)/_xlfn.XLOOKUP(F1196,Apuração!A:A,Apuração!B:B),0)</f>
        <v>0.33333333333333331</v>
      </c>
      <c r="BQ1196" s="53">
        <f ca="1">IF(BK1196&gt;=BO1196,0,_xlfn.XLOOKUP(F1196,Apuração!A:A,Apuração!B:B)*(BO1196 + (1/_xlfn.XLOOKUP(F1196,Apuração!A:A,Apuração!B:B)) - BK1196))</f>
        <v>1.8499999999999994</v>
      </c>
      <c r="BR1196" s="85">
        <f t="shared" ca="1" si="1409"/>
        <v>164.64999999999995</v>
      </c>
      <c r="BS1196" s="53">
        <f ca="1">IFERROR((_xlfn.XLOOKUP(F1196,Apuração!A:A,Apuração!C:C)+1)/_xlfn.XLOOKUP(F1196,Apuração!A:A,Apuração!B:B),0)</f>
        <v>0.5</v>
      </c>
    </row>
    <row r="1197" spans="1:71" ht="25.95" hidden="1" customHeight="1" x14ac:dyDescent="0.3">
      <c r="A1197" s="20" t="s">
        <v>87</v>
      </c>
      <c r="B1197" s="4" t="s">
        <v>222</v>
      </c>
      <c r="C1197" s="5" t="s">
        <v>216</v>
      </c>
      <c r="D1197" s="5" t="s">
        <v>219</v>
      </c>
      <c r="E1197" s="4" t="str" cm="1">
        <f t="array" ref="E1197">_xlfn.IFS(
F1197 = "A partir de Abril", "Aguardando Execução na Distribuidora",
A1197 = "CAPACITAÇÃO", "Em execução no Corporativo",
TRUE, "Em Execução na Distribuidora"
)</f>
        <v>Em Execução na Distribuidora</v>
      </c>
      <c r="F1197" s="4" t="str" cm="1">
        <f t="array" ref="F1197">_xlfn.IFS(
AG1197 &lt;&gt; "", "Jan-Dez/26",
AH1197 &lt;&gt; "", "Fev-Dez/26",
AI1197 &lt;&gt; "", "Mar-Dez/26", AJ1197 &lt;&gt; "", "Abr-Dez/26",
TRUE, "A partir de Junho"
)</f>
        <v>Jan-Dez/26</v>
      </c>
      <c r="G1197" s="7" t="s">
        <v>37</v>
      </c>
      <c r="H1197" s="7" t="s">
        <v>110</v>
      </c>
      <c r="I1197" s="8" t="s">
        <v>223</v>
      </c>
      <c r="J1197" s="21" t="str" cm="1">
        <f t="array" aca="1" ref="J1197" ca="1">_xlfn.LET(
  _xlpm.actual_value_month, INDEX(T1197:AE1197, MATCH(DATE(YEAR(TODAY()), MONTH(TODAY()), 1), $T$1:$AE$1, 0)),
  IF(_xlpm.actual_value_month &lt;&gt; "",_xlpm.actual_value_month &amp; " inspeções mensais", "")
)</f>
        <v>35 inspeções mensais</v>
      </c>
      <c r="K1197" s="8" t="str" cm="1">
        <f t="array" ref="K1197">_xlfn.LET(
    _xlpm.sum_month, SUM(T1197:AE1197),
    IF(_xlpm.sum_month = 0, "", _xlpm.sum_month &amp; " inspeções realizadas no ano")
)</f>
        <v>350 inspeções realizadas no ano</v>
      </c>
      <c r="L1197" s="4" t="s">
        <v>144</v>
      </c>
      <c r="M1197" s="19" t="s">
        <v>224</v>
      </c>
      <c r="N1197" s="5" t="s">
        <v>42</v>
      </c>
      <c r="O1197" s="5" t="s">
        <v>43</v>
      </c>
      <c r="P1197" s="10" t="s">
        <v>44</v>
      </c>
      <c r="Q1197" s="10" t="s">
        <v>72</v>
      </c>
      <c r="R1197" s="11" t="s">
        <v>225</v>
      </c>
      <c r="S1197" s="11" t="s">
        <v>44</v>
      </c>
      <c r="T1197" s="143">
        <v>19</v>
      </c>
      <c r="U1197" s="143">
        <v>8</v>
      </c>
      <c r="V1197" s="143">
        <v>8</v>
      </c>
      <c r="W1197" s="143">
        <v>35</v>
      </c>
      <c r="X1197" s="143">
        <v>35</v>
      </c>
      <c r="Y1197" s="143">
        <v>35</v>
      </c>
      <c r="Z1197" s="143">
        <v>35</v>
      </c>
      <c r="AA1197" s="143">
        <v>35</v>
      </c>
      <c r="AB1197" s="143">
        <v>35</v>
      </c>
      <c r="AC1197" s="143">
        <v>35</v>
      </c>
      <c r="AD1197" s="143">
        <v>35</v>
      </c>
      <c r="AE1197" s="143">
        <v>35</v>
      </c>
      <c r="AG1197" s="146">
        <v>19</v>
      </c>
      <c r="AH1197" s="150">
        <v>8</v>
      </c>
      <c r="AI1197" s="150">
        <v>8</v>
      </c>
      <c r="AJ1197" s="82">
        <v>110</v>
      </c>
      <c r="AK1197" s="71"/>
      <c r="AL1197" s="71"/>
      <c r="AM1197" s="71"/>
      <c r="AN1197" s="71"/>
      <c r="AO1197" s="71"/>
      <c r="AP1197" s="71"/>
      <c r="AQ1197" s="71"/>
      <c r="AR1197" s="71"/>
      <c r="AS1197" s="94">
        <f t="shared" ca="1" si="1402"/>
        <v>105</v>
      </c>
      <c r="AT1197" s="95">
        <f t="shared" si="1403"/>
        <v>75.25</v>
      </c>
      <c r="AU1197" s="97">
        <f t="shared" si="1404"/>
        <v>145</v>
      </c>
      <c r="AW1197" s="51">
        <f t="shared" si="1405"/>
        <v>1</v>
      </c>
      <c r="AX1197" s="51">
        <f t="shared" si="1406"/>
        <v>1</v>
      </c>
      <c r="AY1197" s="51">
        <f t="shared" si="1407"/>
        <v>1</v>
      </c>
      <c r="AZ1197" s="51">
        <f t="shared" si="1408"/>
        <v>3.1428571428571428</v>
      </c>
      <c r="BA1197" s="51"/>
      <c r="BB1197" s="51"/>
      <c r="BC1197" s="51"/>
      <c r="BD1197" s="51"/>
      <c r="BE1197" s="51"/>
      <c r="BF1197" s="51"/>
      <c r="BG1197" s="51"/>
      <c r="BH1197" s="51"/>
      <c r="BI1197" s="65" cm="1">
        <f t="array" ref="BI1197">IFERROR(INDEX(AW1197:BH1197,1,MATCH(2,1/(AW1197:BH1197&lt;&gt;""))),"")</f>
        <v>3.1428571428571428</v>
      </c>
      <c r="BJ1197" s="68" cm="1">
        <f t="array" ref="BJ1197">IF(BM1197 = "", "",IFERROR(INDEX(AW1197:BH1197,1,MATCH(2,1/(AW1197:BH1197&lt;&gt;""),1)-1),""))</f>
        <v>1</v>
      </c>
      <c r="BK1197" s="58">
        <f>IF((IF(AW1197&gt;=115%,115%,AW1197) + IF(AX1197&gt;=115%,115%,AX1197) + IF(AY1197&gt;=115%,115%,AY1197) + (IF(AZ1197&gt;=115%,115%,AZ1197) + IF(BA1197&gt;=160%,160%,BA1197) + IF(BB1197&gt;=115%,115%,BB1197) + IF(BC1197&gt;=115%,115%,BC1197) + IF(BD1197&gt;=115%,115%,BD1197) + IF(BE1197&gt;=115%,115%,BE1197) + IF(BF1197&gt;=115%,115%,BF1197) + IF(BG1197&gt;=115%,115%,BG1197) + IF(BH1197&gt;=115%,115%,BH1197)))/_xlfn.XLOOKUP(F1197,Apuração!A:A,Apuração!B:B)&gt;=1.15,1.15,((IF(AZ1197&gt;=115%,115%,AZ1197) + IF(AX1197&gt;=115%,115%,AX1197) + IF(AY1197&gt;=115%,115%,AY1197) + (IF(AW1197&gt;=115%,115%,AW1197) + IF(BA1197&gt;=160%,160%,BA1197) + IF(BB1197&gt;=115%,115%,BB1197) + IF(BC1197&gt;=115%,115%,BC1197) + IF(BD1197&gt;=115%,115%,BD1197) + IF(BE1197&gt;=115%,115%,BE1197) + IF(BF1197&gt;=115%,115%,BF1197) + IF(BG1197&gt;=115%,115%,BG1197) + IF(BH1197&gt;=115%,115%,BH1197)))/_xlfn.XLOOKUP(F1197,Apuração!A:A,Apuração!B:B)))</f>
        <v>0.34583333333333338</v>
      </c>
      <c r="BL1197" s="58" cm="1">
        <f t="array" aca="1" ref="BL1197" ca="1">IF(SUM(IFERROR(IF(INDEX(AW1197:INDEX(AW1197:BH1197, MATCH(2, 1/(AW1197:BH1197&lt;&gt;""), 1)-1), ROW(INDIRECT("1:" &amp; MATCH(2, 1/(AW1197:BH1197&lt;&gt;""), 1)-1))) &gt;= 115%, 115%, INDEX(AW1197:INDEX(AW1197:BH1197, MATCH(2, 1/(AW1197:BH1197&lt;&gt;""), 1)-1), ROW(INDIRECT("1:" &amp; MATCH(2, 1/(AW1197:BH1197&lt;&gt;""), 1)-1)))), 0))/_xlfn.XLOOKUP(F1197,Apuração!A:A,Apuração!B:B)&gt;=1.15,1.15,SUM(IFERROR(IF(INDEX(AW1197:INDEX(AW1197:BH1197, MATCH(2, 1/(AW1197:BH1197&lt;&gt;""), 1)-1), ROW(INDIRECT("1:" &amp; MATCH(2, 1/(AW1197:BH1197&lt;&gt;""), 1)-1))) &gt;= 115%, 115%, INDEX(AW1197:INDEX(AW1197:BH1197, MATCH(2, 1/(AW1197:BH1197&lt;&gt;""), 1)-1), ROW(INDIRECT("1:" &amp; MATCH(2, 1/(AW1197:BH1197&lt;&gt;""), 1)-1)))), 0))/_xlfn.XLOOKUP(F1197,Apuração!A:A,Apuração!B:B))</f>
        <v>0.25</v>
      </c>
      <c r="BM1197" s="55" cm="1">
        <f t="array" ref="BM1197">IFERROR(
   INDEX($AW$1:$BH$1,
      _xlfn.AGGREGATE(14, 6, COLUMN($AW$1:$BH$1)/(AW1197:BH1197&lt;&gt;""), 2) - COLUMN($AW$1) + 1
   ),
"")</f>
        <v>46082</v>
      </c>
      <c r="BN1197" s="55" cm="1">
        <f t="array" ref="BN1197">IFERROR(INDEX($AW$1:$BH$1,1,MATCH(2,1/(AW1197:BH1197&lt;&gt;""))),"")</f>
        <v>46113</v>
      </c>
      <c r="BO1197" s="53">
        <f ca="1">IFERROR(_xlfn.XLOOKUP(F1197,Apuração!A:A,Apuração!C:C)/_xlfn.XLOOKUP(F1197,Apuração!A:A,Apuração!B:B),0)</f>
        <v>0.41666666666666669</v>
      </c>
      <c r="BP1197" s="53">
        <f ca="1">IFERROR(_xlfn.XLOOKUP(F1197,Apuração!A:A,Apuração!D:D)/_xlfn.XLOOKUP(F1197,Apuração!A:A,Apuração!B:B),0)</f>
        <v>0.33333333333333331</v>
      </c>
      <c r="BQ1197" s="53">
        <f ca="1">IF(BK1197&gt;=BO1197,0,_xlfn.XLOOKUP(F1197,Apuração!A:A,Apuração!B:B)*(BO1197 + (1/_xlfn.XLOOKUP(F1197,Apuração!A:A,Apuração!B:B)) - BK1197))</f>
        <v>1.8499999999999994</v>
      </c>
      <c r="BR1197" s="85">
        <f t="shared" ca="1" si="1409"/>
        <v>64.749999999999986</v>
      </c>
      <c r="BS1197" s="53">
        <f ca="1">IFERROR((_xlfn.XLOOKUP(F1197,Apuração!A:A,Apuração!C:C)+1)/_xlfn.XLOOKUP(F1197,Apuração!A:A,Apuração!B:B),0)</f>
        <v>0.5</v>
      </c>
    </row>
    <row r="1198" spans="1:71" ht="25.95" hidden="1" customHeight="1" x14ac:dyDescent="0.3">
      <c r="A1198" s="40" t="s">
        <v>87</v>
      </c>
      <c r="B1198" s="4" t="s">
        <v>222</v>
      </c>
      <c r="C1198" s="5" t="s">
        <v>216</v>
      </c>
      <c r="D1198" s="5" t="s">
        <v>36</v>
      </c>
      <c r="E1198" s="4" t="str" cm="1">
        <f t="array" ref="E1198">_xlfn.IFS(
F1198 = "A partir de Abril", "Aguardando Execução na Distribuidora",
A1198 = "CAPACITAÇÃO", "Em execução no Corporativo",
TRUE, "Em Execução na Distribuidora"
)</f>
        <v>Em Execução na Distribuidora</v>
      </c>
      <c r="F1198" s="4" t="str" cm="1">
        <f t="array" ref="F1198">_xlfn.IFS(
AG1198 &lt;&gt; "", "Jan-Dez/26",
AH1198 &lt;&gt; "", "Fev-Dez/26",
AI1198 &lt;&gt; "", "Mar-Dez/26", AJ1198 &lt;&gt; "", "Abr-Dez/26",
TRUE, "A partir de Junho"
)</f>
        <v>Jan-Dez/26</v>
      </c>
      <c r="G1198" s="7" t="s">
        <v>37</v>
      </c>
      <c r="H1198" s="7" t="s">
        <v>110</v>
      </c>
      <c r="I1198" s="8" t="s">
        <v>148</v>
      </c>
      <c r="J1198" s="21" t="str" cm="1">
        <f t="array" aca="1" ref="J1198" ca="1">_xlfn.LET(
  _xlpm.actual_value_month, INDEX(T1198:AE1198, MATCH(DATE(YEAR(TODAY()), MONTH(TODAY()), 1), $T$1:$AE$1, 0)),
  IF(_xlpm.actual_value_month &lt;&gt; "",_xlpm.actual_value_month &amp; " ações mensais", "")
)</f>
        <v/>
      </c>
      <c r="K1198" s="8" t="str" cm="1">
        <f t="array" ref="K1198">_xlfn.LET(
    _xlpm.sum_month, SUM(T1198:AE1198),
    IF(_xlpm.sum_month = 0, "", _xlpm.sum_month &amp; " NC's no ano")
)</f>
        <v/>
      </c>
      <c r="L1198" s="9" t="s">
        <v>149</v>
      </c>
      <c r="M1198" s="4"/>
      <c r="N1198" s="5" t="s">
        <v>51</v>
      </c>
      <c r="O1198" s="5" t="s">
        <v>52</v>
      </c>
      <c r="P1198" s="10" t="s">
        <v>44</v>
      </c>
      <c r="Q1198" s="10" t="s">
        <v>44</v>
      </c>
      <c r="R1198" s="11" t="s">
        <v>44</v>
      </c>
      <c r="S1198" s="11" t="s">
        <v>44</v>
      </c>
      <c r="T1198" s="22"/>
      <c r="U1198" s="22"/>
      <c r="V1198" s="22"/>
      <c r="W1198" s="22"/>
      <c r="X1198" s="22"/>
      <c r="Y1198" s="22"/>
      <c r="Z1198" s="22"/>
      <c r="AA1198" s="22"/>
      <c r="AB1198" s="22"/>
      <c r="AC1198" s="22"/>
      <c r="AD1198" s="22"/>
      <c r="AE1198" s="22"/>
      <c r="AG1198" s="71">
        <v>5</v>
      </c>
      <c r="AH1198" s="71">
        <v>5</v>
      </c>
      <c r="AI1198" s="71">
        <v>5</v>
      </c>
      <c r="AJ1198" s="71">
        <v>20</v>
      </c>
      <c r="AK1198" s="71"/>
      <c r="AL1198" s="71"/>
      <c r="AM1198" s="71"/>
      <c r="AN1198" s="71"/>
      <c r="AO1198" s="71"/>
      <c r="AP1198" s="71"/>
      <c r="AQ1198" s="71"/>
      <c r="AR1198" s="71"/>
      <c r="AS1198" s="94">
        <f t="shared" ref="AS1198:AS1207" ca="1" si="1410">IF(MONTH(TODAY())=3,SUM(T1198:U1198),IF(MONTH(TODAY())=4,SUM(T1198:V1198),IF(MONTH(TODAY())=5,SUM(T1198:W1198),IF(MONTH(TODAY())=6,SUM(T1198:X1198),IF(MONTH(TODAY())=7,SUM(T1198:Y1198),IF(MONTH(TODAY())=8,SUM(T1198:Z1198),IF(MONTH(TODAY())=9,SUM(T1198:AA1198),IF(MONTH(TODAY())=10,SUM(T1198:AB1198),IF(MONTH(TODAY())=11,SUM(T1198:AC1198),IF(MONTH(TODAY())=12,SUM(T1198:AD1198),IF(MONTH(TODAY())=1,SUM(T1198:AE1198),T1198)))))))))))</f>
        <v>0</v>
      </c>
      <c r="AT1198" s="95">
        <f>SUM(AG1198:AR1198)</f>
        <v>35</v>
      </c>
      <c r="AU1198" s="97">
        <f t="shared" ref="AU1198:AU1207" si="1411">SUM(AG1198:AR1198)</f>
        <v>35</v>
      </c>
      <c r="AW1198" s="83">
        <f>AG1198</f>
        <v>5</v>
      </c>
      <c r="AX1198" s="83">
        <f>AH1198</f>
        <v>5</v>
      </c>
      <c r="AY1198" s="83">
        <f>AI1198</f>
        <v>5</v>
      </c>
      <c r="AZ1198" s="83">
        <f>AJ1198</f>
        <v>20</v>
      </c>
      <c r="BA1198" s="52"/>
      <c r="BB1198" s="52"/>
      <c r="BC1198" s="52"/>
      <c r="BD1198" s="52"/>
      <c r="BE1198" s="52"/>
      <c r="BF1198" s="52"/>
      <c r="BG1198" s="52"/>
      <c r="BH1198" s="52"/>
      <c r="BI1198" s="68" cm="1">
        <f t="array" ref="BI1198">IFERROR(INDEX(AW1198:BH1198,1,MATCH(2,1/(AW1198:BH1198&lt;&gt;""))),"")</f>
        <v>20</v>
      </c>
      <c r="BJ1198" s="68" cm="1">
        <f t="array" ref="BJ1198">IF(BM1198 = "", "",IFERROR(INDEX(AW1198:BH1198,1,MATCH(2,1/(AW1198:BH1198&lt;&gt;""),1)-1),""))</f>
        <v>5</v>
      </c>
      <c r="BK1198" s="59">
        <f>SUM(AW1198:BH1198)</f>
        <v>35</v>
      </c>
      <c r="BL1198" s="59" cm="1">
        <f t="array" ref="BL1198">IFERROR(SUM(AW1198:INDEX(AW1198:BH1198, MATCH(2, 1/(AW1198:BH1198&lt;&gt;""), 1) - 1))/_xlfn.XLOOKUP(F1198,Apuração!A:A,Apuração!B:B),0)</f>
        <v>1.25</v>
      </c>
      <c r="BM1198" s="55" cm="1">
        <f t="array" ref="BM1198">IFERROR(
   INDEX($AW$1:$BH$1,
      _xlfn.AGGREGATE(14, 6, COLUMN($AW$1:$BH$1)/(AW1198:BH1198&lt;&gt;""), 2) - COLUMN($AW$1) + 1
   ),
"")</f>
        <v>46082</v>
      </c>
      <c r="BN1198" s="55" cm="1">
        <f t="array" ref="BN1198">IFERROR(INDEX($AW$1:$BH$1,1,MATCH(2,1/(AW1198:BH1198&lt;&gt;""))),"")</f>
        <v>46113</v>
      </c>
      <c r="BO1198" s="53">
        <f ca="1">IFERROR(_xlfn.XLOOKUP(F1198,Apuração!A:A,Apuração!C:C)/_xlfn.XLOOKUP(F1198,Apuração!A:A,Apuração!B:B),0)</f>
        <v>0.41666666666666669</v>
      </c>
      <c r="BP1198" s="53">
        <f ca="1">IFERROR(_xlfn.XLOOKUP(F1198,Apuração!A:A,Apuração!D:D)/_xlfn.XLOOKUP(F1198,Apuração!A:A,Apuração!B:B),0)</f>
        <v>0.33333333333333331</v>
      </c>
      <c r="BQ1198" s="53">
        <f ca="1">IF(BK1198&gt;=BO1198,0,_xlfn.XLOOKUP(F1198,Apuração!A:A,Apuração!B:B)*(BO1198 + (1/_xlfn.XLOOKUP(F1198,Apuração!A:A,Apuração!B:B)) - BK1198))</f>
        <v>0</v>
      </c>
      <c r="BR1198" s="85">
        <f t="shared" ref="BR1198:BR1207" ca="1" si="1412">IF(BQ1198=0,0,BQ1198*Z1198)</f>
        <v>0</v>
      </c>
      <c r="BS1198" s="53">
        <f ca="1">IFERROR((_xlfn.XLOOKUP(F1198,Apuração!A:A,Apuração!C:C)+1)/_xlfn.XLOOKUP(F1198,Apuração!A:A,Apuração!B:B),0)</f>
        <v>0.5</v>
      </c>
    </row>
    <row r="1199" spans="1:71" ht="25.95" hidden="1" customHeight="1" x14ac:dyDescent="0.3">
      <c r="A1199" s="40" t="s">
        <v>87</v>
      </c>
      <c r="B1199" s="4" t="s">
        <v>88</v>
      </c>
      <c r="C1199" s="5" t="s">
        <v>221</v>
      </c>
      <c r="D1199" s="5" t="s">
        <v>212</v>
      </c>
      <c r="E1199" s="4" t="s">
        <v>96</v>
      </c>
      <c r="F1199" s="4" t="str" cm="1">
        <f t="array" ref="F1199">_xlfn.IFS(
AG1199 &lt;&gt; "", "Jan-Dez/26",
AH1199 &lt;&gt; "", "Fev-Dez/26",
AI1199 &lt;&gt; "", "Mar-Dez/26", AJ1199 &lt;&gt; "", "Abr-Dez/26",
TRUE, "A partir de Junho"
)</f>
        <v>A partir de Junho</v>
      </c>
      <c r="G1199" s="4" t="s">
        <v>62</v>
      </c>
      <c r="H1199" s="7" t="s">
        <v>38</v>
      </c>
      <c r="I1199" s="9" t="s">
        <v>93</v>
      </c>
      <c r="J1199" s="21" t="str" cm="1">
        <f t="array" aca="1" ref="J1199" ca="1">_xlfn.LET(
  _xlpm.actual_value_month, INDEX(T1199:AE1199, MATCH(DATE(YEAR(TODAY()), MONTH(TODAY()), 1), $T$1:$AE$1, 0)),
  IF(_xlpm.actual_value_month &lt;&gt; "",_xlpm.actual_value_month &amp; " ações mensais", "")
)</f>
        <v/>
      </c>
      <c r="K1199" s="8" t="str" cm="1">
        <f t="array" ref="K1199">_xlfn.LET(
    _xlpm.sum_month, SUM(T1199:AE1199),
    IF(_xlpm.sum_month = 0, "", _xlpm.sum_month &amp; " certificados gerados no ano")
)</f>
        <v/>
      </c>
      <c r="L1199" s="4" t="s">
        <v>94</v>
      </c>
      <c r="M1199" s="19"/>
      <c r="N1199" s="5" t="s">
        <v>51</v>
      </c>
      <c r="O1199" s="5"/>
      <c r="P1199" s="10"/>
      <c r="Q1199" s="10"/>
      <c r="R1199" s="10"/>
      <c r="S1199" s="10"/>
      <c r="T1199" s="22"/>
      <c r="U1199" s="22"/>
      <c r="V1199" s="22"/>
      <c r="W1199" s="22"/>
      <c r="X1199" s="22"/>
      <c r="Y1199" s="22"/>
      <c r="Z1199" s="22"/>
      <c r="AA1199" s="22"/>
      <c r="AB1199" s="22"/>
      <c r="AC1199" s="22"/>
      <c r="AD1199" s="22"/>
      <c r="AE1199" s="22"/>
      <c r="AG1199" s="71"/>
      <c r="AH1199" s="71"/>
      <c r="AI1199" s="71"/>
      <c r="AJ1199" s="71"/>
      <c r="AK1199" s="71"/>
      <c r="AL1199" s="71"/>
      <c r="AM1199" s="71"/>
      <c r="AN1199" s="71"/>
      <c r="AO1199" s="71"/>
      <c r="AP1199" s="71"/>
      <c r="AQ1199" s="71"/>
      <c r="AR1199" s="71"/>
      <c r="AS1199" s="94">
        <f t="shared" ref="AS1199:AS1200" ca="1" si="1413">AE1199*BO1199</f>
        <v>0</v>
      </c>
      <c r="AT1199" s="95" t="str" cm="1">
        <f t="array" ref="AT1199">IFERROR(INDEX(AJ1199:AR1199,1,MATCH(2,1/(AJ1199:AR1199&lt;&gt;""))),"")</f>
        <v/>
      </c>
      <c r="AU1199" s="97" t="str">
        <f t="shared" ref="AU1199:AU1200" si="1414">AT1199</f>
        <v/>
      </c>
      <c r="AW1199" s="83">
        <f t="shared" ref="AW1199:AW1200" si="1415">AG1199</f>
        <v>0</v>
      </c>
      <c r="AX1199" s="83">
        <f t="shared" ref="AX1199:AX1200" si="1416">AH1199</f>
        <v>0</v>
      </c>
      <c r="AY1199" s="83">
        <f t="shared" ref="AY1199:AY1200" si="1417">AI1199</f>
        <v>0</v>
      </c>
      <c r="AZ1199" s="83">
        <f t="shared" ref="AZ1199:AZ1200" si="1418">AJ1199</f>
        <v>0</v>
      </c>
      <c r="BA1199" s="51"/>
      <c r="BB1199" s="51"/>
      <c r="BC1199" s="51"/>
      <c r="BD1199" s="51"/>
      <c r="BE1199" s="51"/>
      <c r="BF1199" s="51"/>
      <c r="BG1199" s="51"/>
      <c r="BH1199" s="51"/>
      <c r="BI1199" s="65" cm="1">
        <f t="array" ref="BI1199">IFERROR(INDEX(AW1199:BH1199,1,MATCH(2,1/(AW1199:BH1199&lt;&gt;""))),"")</f>
        <v>0</v>
      </c>
      <c r="BJ1199" s="68" cm="1">
        <f t="array" ref="BJ1199">IF(BM1199 = "", "",IFERROR(INDEX(AW1199:BH1199,1,MATCH(2,1/(AW1199:BH1199&lt;&gt;""),1)-1),""))</f>
        <v>0</v>
      </c>
      <c r="BK1199" s="58">
        <f>IF((IF(AW1199&gt;=115%,115%,AW1199) + IF(AX1199&gt;=115%,115%,AX1199) + IF(AY1199&gt;=115%,115%,AY1199) + (IF(AZ1199&gt;=115%,115%,AZ1199) + IF(BA1199&gt;=115%,115%,BA1199) + IF(BB1199&gt;=115%,115%,BB1199) + IF(BC1199&gt;=115%,115%,BC1199) + IF(BD1199&gt;=115%,115%,BD1199) + IF(BE1199&gt;=115%,115%,BE1199) + IF(BF1199&gt;=115%,115%,BF1199) + IF(BG1199&gt;=115%,115%,BG1199) + IF(BH1199&gt;=115%,115%,BH1199)))/_xlfn.XLOOKUP(F1199,Apuração!A:A,Apuração!B:B)&gt;=1.15,1.15,((IF(AZ1199&gt;=115%,115%,AZ1199) + IF(AX1199&gt;=115%,115%,AX1199) + IF(AY1199&gt;=115%,115%,AY1199) + (IF(AW1199&gt;=115%,115%,AW1199) + IF(BA1199&gt;=115%,115%,BA1199) + IF(BB1199&gt;=115%,115%,BB1199) + IF(BC1199&gt;=115%,115%,BC1199) + IF(BD1199&gt;=115%,115%,BD1199) + IF(BE1199&gt;=115%,115%,BE1199) + IF(BF1199&gt;=115%,115%,BF1199) + IF(BG1199&gt;=115%,115%,BG1199) + IF(BH1199&gt;=115%,115%,BH1199)))/_xlfn.XLOOKUP(F1199,Apuração!A:A,Apuração!B:B)))</f>
        <v>0</v>
      </c>
      <c r="BL1199" s="58" cm="1">
        <f t="array" aca="1" ref="BL1199" ca="1">IF(SUM(IFERROR(IF(INDEX(AW1199:INDEX(AW1199:BH1199, MATCH(2, 1/(AW1199:BH1199&lt;&gt;""), 1)-1), ROW(INDIRECT("1:" &amp; MATCH(2, 1/(AW1199:BH1199&lt;&gt;""), 1)-1))) &gt;= 115%, 115%, INDEX(AW1199:INDEX(AW1199:BH1199, MATCH(2, 1/(AW1199:BH1199&lt;&gt;""), 1)-1), ROW(INDIRECT("1:" &amp; MATCH(2, 1/(AW1199:BH1199&lt;&gt;""), 1)-1)))), 0))/_xlfn.XLOOKUP(F1199,Apuração!A:A,Apuração!B:B)&gt;=1.15,1.15,SUM(IFERROR(IF(INDEX(AW1199:INDEX(AW1199:BH1199, MATCH(2, 1/(AW1199:BH1199&lt;&gt;""), 1)-1), ROW(INDIRECT("1:" &amp; MATCH(2, 1/(AW1199:BH1199&lt;&gt;""), 1)-1))) &gt;= 115%, 115%, INDEX(AW1199:INDEX(AW1199:BH1199, MATCH(2, 1/(AW1199:BH1199&lt;&gt;""), 1)-1), ROW(INDIRECT("1:" &amp; MATCH(2, 1/(AW1199:BH1199&lt;&gt;""), 1)-1)))), 0))/_xlfn.XLOOKUP(F1199,Apuração!A:A,Apuração!B:B))</f>
        <v>0</v>
      </c>
      <c r="BM1199" s="55" cm="1">
        <f t="array" ref="BM1199">IFERROR(
   INDEX($AW$1:$BH$1,
      _xlfn.AGGREGATE(14, 6, COLUMN($AW$1:$BH$1)/(AW1199:BH1199&lt;&gt;""), 2) - COLUMN($AW$1) + 1
   ),
"")</f>
        <v>46082</v>
      </c>
      <c r="BN1199" s="55" cm="1">
        <f t="array" ref="BN1199">IFERROR(INDEX($AW$1:$BH$1,1,MATCH(2,1/(AW1199:BH1199&lt;&gt;""))),"")</f>
        <v>46113</v>
      </c>
      <c r="BO1199" s="53">
        <f ca="1">IFERROR(_xlfn.XLOOKUP(F1199,Apuração!A:A,Apuração!C:C)/_xlfn.XLOOKUP(F1199,Apuração!A:A,Apuração!B:B),0)</f>
        <v>0</v>
      </c>
      <c r="BP1199" s="53">
        <f ca="1">IFERROR(_xlfn.XLOOKUP(F1199,Apuração!A:A,Apuração!D:D)/_xlfn.XLOOKUP(F1199,Apuração!A:A,Apuração!B:B),0)</f>
        <v>0</v>
      </c>
      <c r="BQ1199" s="53">
        <f ca="1">IF(BK1199&gt;=BO1199,0,_xlfn.XLOOKUP(F1199,Apuração!A:A,Apuração!B:B)*(BO1199 + (1/_xlfn.XLOOKUP(F1199,Apuração!A:A,Apuração!B:B)) - BK1199))</f>
        <v>0</v>
      </c>
      <c r="BR1199" s="85">
        <f t="shared" ca="1" si="1412"/>
        <v>0</v>
      </c>
      <c r="BS1199" s="53">
        <f ca="1">IFERROR((_xlfn.XLOOKUP(F1199,Apuração!A:A,Apuração!C:C)+1)/_xlfn.XLOOKUP(F1199,Apuração!A:A,Apuração!B:B),0)</f>
        <v>0.14285714285714285</v>
      </c>
    </row>
    <row r="1200" spans="1:71" ht="25.95" hidden="1" customHeight="1" x14ac:dyDescent="0.3">
      <c r="A1200" s="40" t="s">
        <v>87</v>
      </c>
      <c r="B1200" s="4" t="s">
        <v>88</v>
      </c>
      <c r="C1200" s="5" t="s">
        <v>221</v>
      </c>
      <c r="D1200" s="5" t="s">
        <v>213</v>
      </c>
      <c r="E1200" s="4" t="s">
        <v>96</v>
      </c>
      <c r="F1200" s="4" t="str" cm="1">
        <f t="array" ref="F1200">_xlfn.IFS(
AG1200 &lt;&gt; "", "Jan-Dez/26",
AH1200 &lt;&gt; "", "Fev-Dez/26",
AI1200 &lt;&gt; "", "Mar-Dez/26", AJ1200 &lt;&gt; "", "Abr-Dez/26",
TRUE, "A partir de Junho"
)</f>
        <v>A partir de Junho</v>
      </c>
      <c r="G1200" s="4" t="s">
        <v>62</v>
      </c>
      <c r="H1200" s="7" t="s">
        <v>38</v>
      </c>
      <c r="I1200" s="9" t="s">
        <v>93</v>
      </c>
      <c r="J1200" s="21" t="str" cm="1">
        <f t="array" aca="1" ref="J1200" ca="1">_xlfn.LET(
  _xlpm.actual_value_month, INDEX(T1200:AE1200, MATCH(DATE(YEAR(TODAY()), MONTH(TODAY()), 1), $T$1:$AE$1, 0)),
  IF(_xlpm.actual_value_month &lt;&gt; "",_xlpm.actual_value_month &amp; " ações mensais", "")
)</f>
        <v/>
      </c>
      <c r="K1200" s="8" t="str" cm="1">
        <f t="array" ref="K1200">_xlfn.LET(
    _xlpm.sum_month, SUM(T1200:AE1200),
    IF(_xlpm.sum_month = 0, "", _xlpm.sum_month &amp; " certificados gerados no ano")
)</f>
        <v/>
      </c>
      <c r="L1200" s="4" t="s">
        <v>94</v>
      </c>
      <c r="M1200" s="19"/>
      <c r="N1200" s="5" t="s">
        <v>51</v>
      </c>
      <c r="O1200" s="5"/>
      <c r="P1200" s="10"/>
      <c r="Q1200" s="10"/>
      <c r="R1200" s="10"/>
      <c r="S1200" s="10"/>
      <c r="T1200" s="22"/>
      <c r="U1200" s="22"/>
      <c r="V1200" s="22"/>
      <c r="W1200" s="22"/>
      <c r="X1200" s="22"/>
      <c r="Y1200" s="22"/>
      <c r="Z1200" s="22"/>
      <c r="AA1200" s="22"/>
      <c r="AB1200" s="22"/>
      <c r="AC1200" s="22"/>
      <c r="AD1200" s="22"/>
      <c r="AE1200" s="22"/>
      <c r="AG1200" s="71"/>
      <c r="AH1200" s="71"/>
      <c r="AI1200" s="71"/>
      <c r="AJ1200" s="71"/>
      <c r="AK1200" s="71"/>
      <c r="AL1200" s="71"/>
      <c r="AM1200" s="71"/>
      <c r="AN1200" s="71"/>
      <c r="AO1200" s="71"/>
      <c r="AP1200" s="71"/>
      <c r="AQ1200" s="71"/>
      <c r="AR1200" s="71"/>
      <c r="AS1200" s="94">
        <f t="shared" ca="1" si="1413"/>
        <v>0</v>
      </c>
      <c r="AT1200" s="95" t="str" cm="1">
        <f t="array" ref="AT1200">IFERROR(INDEX(AJ1200:AR1200,1,MATCH(2,1/(AJ1200:AR1200&lt;&gt;""))),"")</f>
        <v/>
      </c>
      <c r="AU1200" s="97" t="str">
        <f t="shared" si="1414"/>
        <v/>
      </c>
      <c r="AW1200" s="83">
        <f t="shared" si="1415"/>
        <v>0</v>
      </c>
      <c r="AX1200" s="83">
        <f t="shared" si="1416"/>
        <v>0</v>
      </c>
      <c r="AY1200" s="83">
        <f t="shared" si="1417"/>
        <v>0</v>
      </c>
      <c r="AZ1200" s="83">
        <f t="shared" si="1418"/>
        <v>0</v>
      </c>
      <c r="BA1200" s="51"/>
      <c r="BB1200" s="51"/>
      <c r="BC1200" s="51"/>
      <c r="BD1200" s="51"/>
      <c r="BE1200" s="51"/>
      <c r="BF1200" s="51"/>
      <c r="BG1200" s="51"/>
      <c r="BH1200" s="51"/>
      <c r="BI1200" s="65" cm="1">
        <f t="array" ref="BI1200">IFERROR(INDEX(AW1200:BH1200,1,MATCH(2,1/(AW1200:BH1200&lt;&gt;""))),"")</f>
        <v>0</v>
      </c>
      <c r="BJ1200" s="68" cm="1">
        <f t="array" ref="BJ1200">IF(BM1200 = "", "",IFERROR(INDEX(AW1200:BH1200,1,MATCH(2,1/(AW1200:BH1200&lt;&gt;""),1)-1),""))</f>
        <v>0</v>
      </c>
      <c r="BK1200" s="58">
        <f>IF((IF(AW1200&gt;=115%,115%,AW1200) + IF(AX1200&gt;=115%,115%,AX1200) + IF(AY1200&gt;=115%,115%,AY1200) + (IF(AZ1200&gt;=115%,115%,AZ1200) + IF(BA1200&gt;=115%,115%,BA1200) + IF(BB1200&gt;=115%,115%,BB1200) + IF(BC1200&gt;=115%,115%,BC1200) + IF(BD1200&gt;=115%,115%,BD1200) + IF(BE1200&gt;=115%,115%,BE1200) + IF(BF1200&gt;=115%,115%,BF1200) + IF(BG1200&gt;=115%,115%,BG1200) + IF(BH1200&gt;=115%,115%,BH1200)))/_xlfn.XLOOKUP(F1200,Apuração!A:A,Apuração!B:B)&gt;=1.15,1.15,((IF(AZ1200&gt;=115%,115%,AZ1200) + IF(AX1200&gt;=115%,115%,AX1200) + IF(AY1200&gt;=115%,115%,AY1200) + (IF(AW1200&gt;=115%,115%,AW1200) + IF(BA1200&gt;=115%,115%,BA1200) + IF(BB1200&gt;=115%,115%,BB1200) + IF(BC1200&gt;=115%,115%,BC1200) + IF(BD1200&gt;=115%,115%,BD1200) + IF(BE1200&gt;=115%,115%,BE1200) + IF(BF1200&gt;=115%,115%,BF1200) + IF(BG1200&gt;=115%,115%,BG1200) + IF(BH1200&gt;=115%,115%,BH1200)))/_xlfn.XLOOKUP(F1200,Apuração!A:A,Apuração!B:B)))</f>
        <v>0</v>
      </c>
      <c r="BL1200" s="58" cm="1">
        <f t="array" aca="1" ref="BL1200" ca="1">IF(SUM(IFERROR(IF(INDEX(AW1200:INDEX(AW1200:BH1200, MATCH(2, 1/(AW1200:BH1200&lt;&gt;""), 1)-1), ROW(INDIRECT("1:" &amp; MATCH(2, 1/(AW1200:BH1200&lt;&gt;""), 1)-1))) &gt;= 115%, 115%, INDEX(AW1200:INDEX(AW1200:BH1200, MATCH(2, 1/(AW1200:BH1200&lt;&gt;""), 1)-1), ROW(INDIRECT("1:" &amp; MATCH(2, 1/(AW1200:BH1200&lt;&gt;""), 1)-1)))), 0))/_xlfn.XLOOKUP(F1200,Apuração!A:A,Apuração!B:B)&gt;=1.15,1.15,SUM(IFERROR(IF(INDEX(AW1200:INDEX(AW1200:BH1200, MATCH(2, 1/(AW1200:BH1200&lt;&gt;""), 1)-1), ROW(INDIRECT("1:" &amp; MATCH(2, 1/(AW1200:BH1200&lt;&gt;""), 1)-1))) &gt;= 115%, 115%, INDEX(AW1200:INDEX(AW1200:BH1200, MATCH(2, 1/(AW1200:BH1200&lt;&gt;""), 1)-1), ROW(INDIRECT("1:" &amp; MATCH(2, 1/(AW1200:BH1200&lt;&gt;""), 1)-1)))), 0))/_xlfn.XLOOKUP(F1200,Apuração!A:A,Apuração!B:B))</f>
        <v>0</v>
      </c>
      <c r="BM1200" s="55" cm="1">
        <f t="array" ref="BM1200">IFERROR(
   INDEX($AW$1:$BH$1,
      _xlfn.AGGREGATE(14, 6, COLUMN($AW$1:$BH$1)/(AW1200:BH1200&lt;&gt;""), 2) - COLUMN($AW$1) + 1
   ),
"")</f>
        <v>46082</v>
      </c>
      <c r="BN1200" s="55" cm="1">
        <f t="array" ref="BN1200">IFERROR(INDEX($AW$1:$BH$1,1,MATCH(2,1/(AW1200:BH1200&lt;&gt;""))),"")</f>
        <v>46113</v>
      </c>
      <c r="BO1200" s="53">
        <f ca="1">IFERROR(_xlfn.XLOOKUP(F1200,Apuração!A:A,Apuração!C:C)/_xlfn.XLOOKUP(F1200,Apuração!A:A,Apuração!B:B),0)</f>
        <v>0</v>
      </c>
      <c r="BP1200" s="53">
        <f ca="1">IFERROR(_xlfn.XLOOKUP(F1200,Apuração!A:A,Apuração!D:D)/_xlfn.XLOOKUP(F1200,Apuração!A:A,Apuração!B:B),0)</f>
        <v>0</v>
      </c>
      <c r="BQ1200" s="53">
        <f ca="1">IF(BK1200&gt;=BO1200,0,_xlfn.XLOOKUP(F1200,Apuração!A:A,Apuração!B:B)*(BO1200 + (1/_xlfn.XLOOKUP(F1200,Apuração!A:A,Apuração!B:B)) - BK1200))</f>
        <v>0</v>
      </c>
      <c r="BR1200" s="85">
        <f t="shared" ca="1" si="1412"/>
        <v>0</v>
      </c>
      <c r="BS1200" s="53">
        <f ca="1">IFERROR((_xlfn.XLOOKUP(F1200,Apuração!A:A,Apuração!C:C)+1)/_xlfn.XLOOKUP(F1200,Apuração!A:A,Apuração!B:B),0)</f>
        <v>0.14285714285714285</v>
      </c>
    </row>
    <row r="1201" spans="1:71" ht="25.95" hidden="1" customHeight="1" x14ac:dyDescent="0.3">
      <c r="A1201" s="20" t="s">
        <v>87</v>
      </c>
      <c r="B1201" s="4" t="s">
        <v>222</v>
      </c>
      <c r="C1201" s="5" t="s">
        <v>221</v>
      </c>
      <c r="D1201" s="5" t="s">
        <v>36</v>
      </c>
      <c r="E1201" s="4" t="str" cm="1">
        <f t="array" ref="E1201">_xlfn.IFS(
F1201 = "A partir de Abril", "Aguardando Execução na Distribuidora",
A1201 = "CAPACITAÇÃO", "Em execução no Corporativo",
TRUE, "Em Execução na Distribuidora"
)</f>
        <v>Em Execução na Distribuidora</v>
      </c>
      <c r="F1201" s="4" t="str" cm="1">
        <f t="array" ref="F1201">_xlfn.IFS(
AG1201 &lt;&gt; "", "Jan-Dez/26",
AH1201 &lt;&gt; "", "Fev-Dez/26",
AI1201 &lt;&gt; "", "Mar-Dez/26", AJ1201 &lt;&gt; "", "Abr-Dez/26",
TRUE, "A partir de Junho"
)</f>
        <v>Jan-Dez/26</v>
      </c>
      <c r="G1201" s="7" t="s">
        <v>37</v>
      </c>
      <c r="H1201" s="7" t="s">
        <v>38</v>
      </c>
      <c r="I1201" s="8" t="s">
        <v>223</v>
      </c>
      <c r="J1201" s="21" t="str" cm="1">
        <f t="array" aca="1" ref="J1201" ca="1">_xlfn.LET(
  _xlpm.actual_value_month, INDEX(T1201:AE1201, MATCH(DATE(YEAR(TODAY()), MONTH(TODAY()), 1), $T$1:$AE$1, 0)),
  IF(_xlpm.actual_value_month &lt;&gt; "",_xlpm.actual_value_month &amp; " inspeções mensais", "")
)</f>
        <v>239 inspeções mensais</v>
      </c>
      <c r="K1201" s="8" t="str" cm="1">
        <f t="array" ref="K1201">_xlfn.LET(
    _xlpm.sum_month, SUM(T1201:AE1201),
    IF(_xlpm.sum_month = 0, "", _xlpm.sum_month &amp; " inspeções realizadas no ano")
)</f>
        <v>2333 inspeções realizadas no ano</v>
      </c>
      <c r="L1201" s="4" t="s">
        <v>144</v>
      </c>
      <c r="M1201" s="19" t="s">
        <v>224</v>
      </c>
      <c r="N1201" s="5" t="s">
        <v>42</v>
      </c>
      <c r="O1201" s="5" t="s">
        <v>43</v>
      </c>
      <c r="P1201" s="10" t="s">
        <v>44</v>
      </c>
      <c r="Q1201" s="10" t="s">
        <v>72</v>
      </c>
      <c r="R1201" s="11" t="s">
        <v>225</v>
      </c>
      <c r="S1201" s="11" t="s">
        <v>44</v>
      </c>
      <c r="T1201" s="22">
        <v>63</v>
      </c>
      <c r="U1201" s="22">
        <v>78</v>
      </c>
      <c r="V1201" s="22">
        <v>41</v>
      </c>
      <c r="W1201" s="22">
        <v>239</v>
      </c>
      <c r="X1201" s="22">
        <v>239</v>
      </c>
      <c r="Y1201" s="22">
        <v>239</v>
      </c>
      <c r="Z1201" s="22">
        <v>239</v>
      </c>
      <c r="AA1201" s="22">
        <v>239</v>
      </c>
      <c r="AB1201" s="22">
        <v>239</v>
      </c>
      <c r="AC1201" s="22">
        <v>239</v>
      </c>
      <c r="AD1201" s="22">
        <v>239</v>
      </c>
      <c r="AE1201" s="22">
        <v>239</v>
      </c>
      <c r="AG1201" s="71">
        <v>63</v>
      </c>
      <c r="AH1201" s="71">
        <v>78</v>
      </c>
      <c r="AI1201" s="71">
        <v>41</v>
      </c>
      <c r="AJ1201" s="71">
        <v>238</v>
      </c>
      <c r="AK1201" s="71">
        <v>583</v>
      </c>
      <c r="AL1201" s="71"/>
      <c r="AM1201" s="71"/>
      <c r="AN1201" s="71"/>
      <c r="AO1201" s="71"/>
      <c r="AP1201" s="71"/>
      <c r="AQ1201" s="71"/>
      <c r="AR1201" s="71"/>
      <c r="AS1201" s="94">
        <f t="shared" ca="1" si="1410"/>
        <v>660</v>
      </c>
      <c r="AT1201" s="95">
        <f>SUM(IF(AW1201&lt;1.15,AG1201,1.15*T1201),IF(AX1201&lt;1.15,AH1201,1.15*U1201),IF(AY1201&lt;1.15,AI1201,1.15*V1201),IF(AZ1201&lt;1.15,AJ1201,1.15*W1201),IF(BA1201&lt;1.15,AK1201,1.15*X1201),IF(BB1201&lt;1.15,AL1201,1.15*Y1201),IF(BC1201&lt;1.15,AM1201,1.15*Z1201),IF(BD1201&lt;1.15,AN1201,1.15*AA1201),IF(BE1201&lt;1.15,AO1201,1.15*AB1201),IF(BF1201&lt;1.15,AP1201,1.15*AC1201),IF(BG1201&lt;1.15,AQ1201,1.15*AD1201),IF(BH1201&lt;1.15,AR1201,1.15*AE1201))</f>
        <v>694.84999999999991</v>
      </c>
      <c r="AU1201" s="97">
        <f t="shared" si="1411"/>
        <v>1003</v>
      </c>
      <c r="AW1201" s="51">
        <f>IFERROR(IF(AG1201="",0,AG1201/T1201),0)</f>
        <v>1</v>
      </c>
      <c r="AX1201" s="51">
        <f>IFERROR(IF(AH1201="",0,AH1201/U1201),0)</f>
        <v>1</v>
      </c>
      <c r="AY1201" s="51">
        <f>IFERROR(IF(AI1201="",0,AI1201/V1201),0)</f>
        <v>1</v>
      </c>
      <c r="AZ1201" s="51">
        <f>IFERROR(IF(AJ1201="",0,AJ1201/W1201),0)</f>
        <v>0.99581589958159</v>
      </c>
      <c r="BA1201" s="51">
        <f t="shared" ref="BA1201:BA1203" si="1419">IFERROR(IF(AK1201="",0,AK1201/X1201),0)</f>
        <v>2.4393305439330546</v>
      </c>
      <c r="BB1201" s="51"/>
      <c r="BC1201" s="51"/>
      <c r="BD1201" s="51"/>
      <c r="BE1201" s="51"/>
      <c r="BF1201" s="51"/>
      <c r="BG1201" s="51"/>
      <c r="BH1201" s="51"/>
      <c r="BI1201" s="65" cm="1">
        <f t="array" ref="BI1201">IFERROR(INDEX(AW1201:BH1201,1,MATCH(2,1/(AW1201:BH1201&lt;&gt;""))),"")</f>
        <v>2.4393305439330546</v>
      </c>
      <c r="BJ1201" s="68" cm="1">
        <f t="array" ref="BJ1201">IF(BM1201 = "", "",IFERROR(INDEX(AW1201:BH1201,1,MATCH(2,1/(AW1201:BH1201&lt;&gt;""),1)-1),""))</f>
        <v>0.99581589958159</v>
      </c>
      <c r="BK1201" s="58">
        <f>IF((IF(AW1201&gt;=115%,115%,AW1201) + IF(AX1201&gt;=115%,115%,AX1201) + IF(AY1201&gt;=115%,115%,AY1201) + (IF(AZ1201&gt;=115%,115%,AZ1201) + IF(BA1201&gt;=115%,115%,BA1201) + IF(BB1201&gt;=115%,115%,BB1201) + IF(BC1201&gt;=115%,115%,BC1201) + IF(BD1201&gt;=115%,115%,BD1201) + IF(BE1201&gt;=115%,115%,BE1201) + IF(BF1201&gt;=115%,115%,BF1201) + IF(BG1201&gt;=115%,115%,BG1201) + IF(BH1201&gt;=115%,115%,BH1201)))/_xlfn.XLOOKUP(F1201,Apuração!A:A,Apuração!B:B)&gt;=1.15,1.15,((IF(AZ1201&gt;=115%,115%,AZ1201) + IF(AX1201&gt;=115%,115%,AX1201) + IF(AY1201&gt;=115%,115%,AY1201) + (IF(AW1201&gt;=115%,115%,AW1201) + IF(BA1201&gt;=115%,115%,BA1201) + IF(BB1201&gt;=115%,115%,BB1201) + IF(BC1201&gt;=115%,115%,BC1201) + IF(BD1201&gt;=115%,115%,BD1201) + IF(BE1201&gt;=115%,115%,BE1201) + IF(BF1201&gt;=115%,115%,BF1201) + IF(BG1201&gt;=115%,115%,BG1201) + IF(BH1201&gt;=115%,115%,BH1201)))/_xlfn.XLOOKUP(F1201,Apuração!A:A,Apuração!B:B)))</f>
        <v>0.42881799163179918</v>
      </c>
      <c r="BL1201" s="58" cm="1">
        <f t="array" aca="1" ref="BL1201" ca="1">IF(SUM(IFERROR(IF(INDEX(AW1201:INDEX(AW1201:BH1201, MATCH(2, 1/(AW1201:BH1201&lt;&gt;""), 1)-1), ROW(INDIRECT("1:" &amp; MATCH(2, 1/(AW1201:BH1201&lt;&gt;""), 1)-1))) &gt;= 115%, 115%, INDEX(AW1201:INDEX(AW1201:BH1201, MATCH(2, 1/(AW1201:BH1201&lt;&gt;""), 1)-1), ROW(INDIRECT("1:" &amp; MATCH(2, 1/(AW1201:BH1201&lt;&gt;""), 1)-1)))), 0))/_xlfn.XLOOKUP(F1201,Apuração!A:A,Apuração!B:B)&gt;=1.15,1.15,SUM(IFERROR(IF(INDEX(AW1201:INDEX(AW1201:BH1201, MATCH(2, 1/(AW1201:BH1201&lt;&gt;""), 1)-1), ROW(INDIRECT("1:" &amp; MATCH(2, 1/(AW1201:BH1201&lt;&gt;""), 1)-1))) &gt;= 115%, 115%, INDEX(AW1201:INDEX(AW1201:BH1201, MATCH(2, 1/(AW1201:BH1201&lt;&gt;""), 1)-1), ROW(INDIRECT("1:" &amp; MATCH(2, 1/(AW1201:BH1201&lt;&gt;""), 1)-1)))), 0))/_xlfn.XLOOKUP(F1201,Apuração!A:A,Apuração!B:B))</f>
        <v>0.33298465829846585</v>
      </c>
      <c r="BM1201" s="55" cm="1">
        <f t="array" ref="BM1201">IFERROR(
   INDEX($AW$1:$BH$1,
      _xlfn.AGGREGATE(14, 6, COLUMN($AW$1:$BH$1)/(AW1201:BH1201&lt;&gt;""), 2) - COLUMN($AW$1) + 1
   ),
"")</f>
        <v>46113</v>
      </c>
      <c r="BN1201" s="55" cm="1">
        <f t="array" ref="BN1201">IFERROR(INDEX($AW$1:$BH$1,1,MATCH(2,1/(AW1201:BH1201&lt;&gt;""))),"")</f>
        <v>46143</v>
      </c>
      <c r="BO1201" s="53">
        <f ca="1">IFERROR(_xlfn.XLOOKUP(F1201,Apuração!A:A,Apuração!C:C)/_xlfn.XLOOKUP(F1201,Apuração!A:A,Apuração!B:B),0)</f>
        <v>0.41666666666666669</v>
      </c>
      <c r="BP1201" s="53">
        <f ca="1">IFERROR(_xlfn.XLOOKUP(F1201,Apuração!A:A,Apuração!D:D)/_xlfn.XLOOKUP(F1201,Apuração!A:A,Apuração!B:B),0)</f>
        <v>0.33333333333333331</v>
      </c>
      <c r="BQ1201" s="53">
        <f ca="1">IF(BK1201&gt;=BO1201,0,_xlfn.XLOOKUP(F1201,Apuração!A:A,Apuração!B:B)*(BO1201 + (1/_xlfn.XLOOKUP(F1201,Apuração!A:A,Apuração!B:B)) - BK1201))</f>
        <v>0</v>
      </c>
      <c r="BR1201" s="85">
        <f t="shared" ca="1" si="1412"/>
        <v>0</v>
      </c>
      <c r="BS1201" s="53">
        <f ca="1">IFERROR((_xlfn.XLOOKUP(F1201,Apuração!A:A,Apuração!C:C)+1)/_xlfn.XLOOKUP(F1201,Apuração!A:A,Apuração!B:B),0)</f>
        <v>0.5</v>
      </c>
    </row>
    <row r="1202" spans="1:71" ht="25.95" hidden="1" customHeight="1" x14ac:dyDescent="0.3">
      <c r="A1202" s="20" t="s">
        <v>87</v>
      </c>
      <c r="B1202" s="4" t="s">
        <v>222</v>
      </c>
      <c r="C1202" s="5" t="s">
        <v>221</v>
      </c>
      <c r="D1202" s="5" t="s">
        <v>212</v>
      </c>
      <c r="E1202" s="4" t="str" cm="1">
        <f t="array" ref="E1202">_xlfn.IFS(
F1202 = "A partir de Abril", "Aguardando Execução na Distribuidora",
A1202 = "CAPACITAÇÃO", "Em execução no Corporativo",
TRUE, "Em Execução na Distribuidora"
)</f>
        <v>Em Execução na Distribuidora</v>
      </c>
      <c r="F1202" s="4" t="str" cm="1">
        <f t="array" ref="F1202">_xlfn.IFS(
AG1202 &lt;&gt; "", "Jan-Dez/26",
AH1202 &lt;&gt; "", "Fev-Dez/26",
AI1202 &lt;&gt; "", "Mar-Dez/26", AJ1202 &lt;&gt; "", "Abr-Dez/26",
TRUE, "A partir de Junho"
)</f>
        <v>Jan-Dez/26</v>
      </c>
      <c r="G1202" s="7" t="s">
        <v>37</v>
      </c>
      <c r="H1202" s="7" t="s">
        <v>38</v>
      </c>
      <c r="I1202" s="8" t="s">
        <v>223</v>
      </c>
      <c r="J1202" s="21" t="str" cm="1">
        <f t="array" aca="1" ref="J1202" ca="1">_xlfn.LET(
  _xlpm.actual_value_month, INDEX(T1202:AE1202, MATCH(DATE(YEAR(TODAY()), MONTH(TODAY()), 1), $T$1:$AE$1, 0)),
  IF(_xlpm.actual_value_month &lt;&gt; "",_xlpm.actual_value_month &amp; " inspeções mensais", "")
)</f>
        <v>137 inspeções mensais</v>
      </c>
      <c r="K1202" s="8" t="str" cm="1">
        <f t="array" ref="K1202">_xlfn.LET(
    _xlpm.sum_month, SUM(T1202:AE1202),
    IF(_xlpm.sum_month = 0, "", _xlpm.sum_month &amp; " inspeções realizadas no ano")
)</f>
        <v>1354 inspeções realizadas no ano</v>
      </c>
      <c r="L1202" s="4" t="s">
        <v>144</v>
      </c>
      <c r="M1202" s="19" t="s">
        <v>224</v>
      </c>
      <c r="N1202" s="5" t="s">
        <v>42</v>
      </c>
      <c r="O1202" s="5" t="s">
        <v>43</v>
      </c>
      <c r="P1202" s="10" t="s">
        <v>44</v>
      </c>
      <c r="Q1202" s="10" t="s">
        <v>72</v>
      </c>
      <c r="R1202" s="11" t="s">
        <v>225</v>
      </c>
      <c r="S1202" s="11" t="s">
        <v>44</v>
      </c>
      <c r="T1202" s="156">
        <v>39</v>
      </c>
      <c r="U1202" s="157">
        <v>54</v>
      </c>
      <c r="V1202" s="157">
        <v>28</v>
      </c>
      <c r="W1202" s="143">
        <v>137</v>
      </c>
      <c r="X1202" s="143">
        <v>137</v>
      </c>
      <c r="Y1202" s="143">
        <v>137</v>
      </c>
      <c r="Z1202" s="143">
        <v>137</v>
      </c>
      <c r="AA1202" s="143">
        <v>137</v>
      </c>
      <c r="AB1202" s="143">
        <v>137</v>
      </c>
      <c r="AC1202" s="143">
        <v>137</v>
      </c>
      <c r="AD1202" s="143">
        <v>137</v>
      </c>
      <c r="AE1202" s="143">
        <v>137</v>
      </c>
      <c r="AG1202" s="82">
        <v>39</v>
      </c>
      <c r="AH1202" s="82">
        <v>54</v>
      </c>
      <c r="AI1202" s="82">
        <v>28</v>
      </c>
      <c r="AJ1202" s="82">
        <v>137</v>
      </c>
      <c r="AK1202" s="71">
        <v>255</v>
      </c>
      <c r="AL1202" s="71"/>
      <c r="AM1202" s="71"/>
      <c r="AN1202" s="71"/>
      <c r="AO1202" s="71"/>
      <c r="AP1202" s="71"/>
      <c r="AQ1202" s="71"/>
      <c r="AR1202" s="71"/>
      <c r="AS1202" s="94">
        <f t="shared" ref="AS1202:AS1203" ca="1" si="1420">IF(MONTH(TODAY())=3,SUM(T1202:U1202),IF(MONTH(TODAY())=4,SUM(T1202:V1202),IF(MONTH(TODAY())=5,SUM(T1202:W1202),IF(MONTH(TODAY())=6,SUM(T1202:X1202),IF(MONTH(TODAY())=7,SUM(T1202:Y1202),IF(MONTH(TODAY())=8,SUM(T1202:Z1202),IF(MONTH(TODAY())=9,SUM(T1202:AA1202),IF(MONTH(TODAY())=10,SUM(T1202:AB1202),IF(MONTH(TODAY())=11,SUM(T1202:AC1202),IF(MONTH(TODAY())=12,SUM(T1202:AD1202),IF(MONTH(TODAY())=1,SUM(T1202:AE1202),T1202)))))))))))</f>
        <v>395</v>
      </c>
      <c r="AT1202" s="95">
        <f t="shared" ref="AT1202:AT1203" si="1421">SUM(IF(AW1202&lt;1.15,AG1202,1.15*T1202),IF(AX1202&lt;1.15,AH1202,1.15*U1202),IF(AY1202&lt;1.15,AI1202,1.15*V1202),IF(AZ1202&lt;1.15,AJ1202,1.15*W1202),IF(BA1202&lt;1.15,AK1202,1.15*X1202),IF(BB1202&lt;1.15,AL1202,1.15*Y1202),IF(BC1202&lt;1.15,AM1202,1.15*Z1202),IF(BD1202&lt;1.15,AN1202,1.15*AA1202),IF(BE1202&lt;1.15,AO1202,1.15*AB1202),IF(BF1202&lt;1.15,AP1202,1.15*AC1202),IF(BG1202&lt;1.15,AQ1202,1.15*AD1202),IF(BH1202&lt;1.15,AR1202,1.15*AE1202))</f>
        <v>415.54999999999995</v>
      </c>
      <c r="AU1202" s="97">
        <f t="shared" ref="AU1202:AU1203" si="1422">SUM(AG1202:AR1202)</f>
        <v>513</v>
      </c>
      <c r="AW1202" s="51">
        <f t="shared" ref="AW1202:AW1203" si="1423">IFERROR(IF(AG1202="",0,AG1202/T1202),0)</f>
        <v>1</v>
      </c>
      <c r="AX1202" s="51">
        <f t="shared" ref="AX1202:AX1203" si="1424">IFERROR(IF(AH1202="",0,AH1202/U1202),0)</f>
        <v>1</v>
      </c>
      <c r="AY1202" s="51">
        <f t="shared" ref="AY1202:AY1203" si="1425">IFERROR(IF(AI1202="",0,AI1202/V1202),0)</f>
        <v>1</v>
      </c>
      <c r="AZ1202" s="51">
        <f t="shared" ref="AZ1202:AZ1203" si="1426">IFERROR(IF(AJ1202="",0,AJ1202/W1202),0)</f>
        <v>1</v>
      </c>
      <c r="BA1202" s="51">
        <f t="shared" si="1419"/>
        <v>1.8613138686131387</v>
      </c>
      <c r="BB1202" s="51"/>
      <c r="BC1202" s="51"/>
      <c r="BD1202" s="51"/>
      <c r="BE1202" s="51"/>
      <c r="BF1202" s="51"/>
      <c r="BG1202" s="51"/>
      <c r="BH1202" s="51"/>
      <c r="BI1202" s="65" cm="1">
        <f t="array" ref="BI1202">IFERROR(INDEX(AW1202:BH1202,1,MATCH(2,1/(AW1202:BH1202&lt;&gt;""))),"")</f>
        <v>1.8613138686131387</v>
      </c>
      <c r="BJ1202" s="68" cm="1">
        <f t="array" ref="BJ1202">IF(BM1202 = "", "",IFERROR(INDEX(AW1202:BH1202,1,MATCH(2,1/(AW1202:BH1202&lt;&gt;""),1)-1),""))</f>
        <v>1</v>
      </c>
      <c r="BK1202" s="58">
        <f>IF((IF(AW1202&gt;=115%,115%,AW1202) + IF(AX1202&gt;=115%,115%,AX1202) + IF(AY1202&gt;=115%,115%,AY1202) + (IF(AZ1202&gt;=115%,115%,AZ1202) + IF(BA1202&gt;=115%,115%,BA1202) + IF(BB1202&gt;=115%,115%,BB1202) + IF(BC1202&gt;=115%,115%,BC1202) + IF(BD1202&gt;=115%,115%,BD1202) + IF(BE1202&gt;=115%,115%,BE1202) + IF(BF1202&gt;=115%,115%,BF1202) + IF(BG1202&gt;=115%,115%,BG1202) + IF(BH1202&gt;=115%,115%,BH1202)))/_xlfn.XLOOKUP(F1202,Apuração!A:A,Apuração!B:B)&gt;=1.15,1.15,((IF(AZ1202&gt;=115%,115%,AZ1202) + IF(AX1202&gt;=115%,115%,AX1202) + IF(AY1202&gt;=115%,115%,AY1202) + (IF(AW1202&gt;=115%,115%,AW1202) + IF(BA1202&gt;=115%,115%,BA1202) + IF(BB1202&gt;=115%,115%,BB1202) + IF(BC1202&gt;=115%,115%,BC1202) + IF(BD1202&gt;=115%,115%,BD1202) + IF(BE1202&gt;=115%,115%,BE1202) + IF(BF1202&gt;=115%,115%,BF1202) + IF(BG1202&gt;=115%,115%,BG1202) + IF(BH1202&gt;=115%,115%,BH1202)))/_xlfn.XLOOKUP(F1202,Apuração!A:A,Apuração!B:B)))</f>
        <v>0.4291666666666667</v>
      </c>
      <c r="BL1202" s="58" cm="1">
        <f t="array" aca="1" ref="BL1202" ca="1">IF(SUM(IFERROR(IF(INDEX(AW1202:INDEX(AW1202:BH1202, MATCH(2, 1/(AW1202:BH1202&lt;&gt;""), 1)-1), ROW(INDIRECT("1:" &amp; MATCH(2, 1/(AW1202:BH1202&lt;&gt;""), 1)-1))) &gt;= 115%, 115%, INDEX(AW1202:INDEX(AW1202:BH1202, MATCH(2, 1/(AW1202:BH1202&lt;&gt;""), 1)-1), ROW(INDIRECT("1:" &amp; MATCH(2, 1/(AW1202:BH1202&lt;&gt;""), 1)-1)))), 0))/_xlfn.XLOOKUP(F1202,Apuração!A:A,Apuração!B:B)&gt;=1.15,1.15,SUM(IFERROR(IF(INDEX(AW1202:INDEX(AW1202:BH1202, MATCH(2, 1/(AW1202:BH1202&lt;&gt;""), 1)-1), ROW(INDIRECT("1:" &amp; MATCH(2, 1/(AW1202:BH1202&lt;&gt;""), 1)-1))) &gt;= 115%, 115%, INDEX(AW1202:INDEX(AW1202:BH1202, MATCH(2, 1/(AW1202:BH1202&lt;&gt;""), 1)-1), ROW(INDIRECT("1:" &amp; MATCH(2, 1/(AW1202:BH1202&lt;&gt;""), 1)-1)))), 0))/_xlfn.XLOOKUP(F1202,Apuração!A:A,Apuração!B:B))</f>
        <v>0.33333333333333331</v>
      </c>
      <c r="BM1202" s="55" cm="1">
        <f t="array" ref="BM1202">IFERROR(
   INDEX($AW$1:$BH$1,
      _xlfn.AGGREGATE(14, 6, COLUMN($AW$1:$BH$1)/(AW1202:BH1202&lt;&gt;""), 2) - COLUMN($AW$1) + 1
   ),
"")</f>
        <v>46113</v>
      </c>
      <c r="BN1202" s="55" cm="1">
        <f t="array" ref="BN1202">IFERROR(INDEX($AW$1:$BH$1,1,MATCH(2,1/(AW1202:BH1202&lt;&gt;""))),"")</f>
        <v>46143</v>
      </c>
      <c r="BO1202" s="53">
        <f ca="1">IFERROR(_xlfn.XLOOKUP(F1202,Apuração!A:A,Apuração!C:C)/_xlfn.XLOOKUP(F1202,Apuração!A:A,Apuração!B:B),0)</f>
        <v>0.41666666666666669</v>
      </c>
      <c r="BP1202" s="53">
        <f ca="1">IFERROR(_xlfn.XLOOKUP(F1202,Apuração!A:A,Apuração!D:D)/_xlfn.XLOOKUP(F1202,Apuração!A:A,Apuração!B:B),0)</f>
        <v>0.33333333333333331</v>
      </c>
      <c r="BQ1202" s="53">
        <f ca="1">IF(BK1202&gt;=BO1202,0,_xlfn.XLOOKUP(F1202,Apuração!A:A,Apuração!B:B)*(BO1202 + (1/_xlfn.XLOOKUP(F1202,Apuração!A:A,Apuração!B:B)) - BK1202))</f>
        <v>0</v>
      </c>
      <c r="BR1202" s="85">
        <f t="shared" ref="BR1202:BR1203" ca="1" si="1427">IF(BQ1202=0,0,BQ1202*Z1202)</f>
        <v>0</v>
      </c>
      <c r="BS1202" s="53">
        <f ca="1">IFERROR((_xlfn.XLOOKUP(F1202,Apuração!A:A,Apuração!C:C)+1)/_xlfn.XLOOKUP(F1202,Apuração!A:A,Apuração!B:B),0)</f>
        <v>0.5</v>
      </c>
    </row>
    <row r="1203" spans="1:71" ht="25.95" hidden="1" customHeight="1" x14ac:dyDescent="0.3">
      <c r="A1203" s="20" t="s">
        <v>87</v>
      </c>
      <c r="B1203" s="4" t="s">
        <v>222</v>
      </c>
      <c r="C1203" s="5" t="s">
        <v>221</v>
      </c>
      <c r="D1203" s="5" t="s">
        <v>213</v>
      </c>
      <c r="E1203" s="4" t="str" cm="1">
        <f t="array" ref="E1203">_xlfn.IFS(
F1203 = "A partir de Abril", "Aguardando Execução na Distribuidora",
A1203 = "CAPACITAÇÃO", "Em execução no Corporativo",
TRUE, "Em Execução na Distribuidora"
)</f>
        <v>Em Execução na Distribuidora</v>
      </c>
      <c r="F1203" s="4" t="str" cm="1">
        <f t="array" ref="F1203">_xlfn.IFS(
AG1203 &lt;&gt; "", "Jan-Dez/26",
AH1203 &lt;&gt; "", "Fev-Dez/26",
AI1203 &lt;&gt; "", "Mar-Dez/26", AJ1203 &lt;&gt; "", "Abr-Dez/26",
TRUE, "A partir de Junho"
)</f>
        <v>Jan-Dez/26</v>
      </c>
      <c r="G1203" s="7" t="s">
        <v>37</v>
      </c>
      <c r="H1203" s="7" t="s">
        <v>38</v>
      </c>
      <c r="I1203" s="8" t="s">
        <v>223</v>
      </c>
      <c r="J1203" s="21" t="str" cm="1">
        <f t="array" aca="1" ref="J1203" ca="1">_xlfn.LET(
  _xlpm.actual_value_month, INDEX(T1203:AE1203, MATCH(DATE(YEAR(TODAY()), MONTH(TODAY()), 1), $T$1:$AE$1, 0)),
  IF(_xlpm.actual_value_month &lt;&gt; "",_xlpm.actual_value_month &amp; " inspeções mensais", "")
)</f>
        <v>101 inspeções mensais</v>
      </c>
      <c r="K1203" s="8" t="str" cm="1">
        <f t="array" ref="K1203">_xlfn.LET(
    _xlpm.sum_month, SUM(T1203:AE1203),
    IF(_xlpm.sum_month = 0, "", _xlpm.sum_month &amp; " inspeções realizadas no ano")
)</f>
        <v>970 inspeções realizadas no ano</v>
      </c>
      <c r="L1203" s="4" t="s">
        <v>144</v>
      </c>
      <c r="M1203" s="19" t="s">
        <v>224</v>
      </c>
      <c r="N1203" s="5" t="s">
        <v>42</v>
      </c>
      <c r="O1203" s="5" t="s">
        <v>43</v>
      </c>
      <c r="P1203" s="10" t="s">
        <v>44</v>
      </c>
      <c r="Q1203" s="10" t="s">
        <v>72</v>
      </c>
      <c r="R1203" s="11" t="s">
        <v>225</v>
      </c>
      <c r="S1203" s="11" t="s">
        <v>44</v>
      </c>
      <c r="T1203" s="158">
        <v>24</v>
      </c>
      <c r="U1203" s="159">
        <v>24</v>
      </c>
      <c r="V1203" s="159">
        <v>13</v>
      </c>
      <c r="W1203" s="143">
        <v>101</v>
      </c>
      <c r="X1203" s="143">
        <v>101</v>
      </c>
      <c r="Y1203" s="143">
        <v>101</v>
      </c>
      <c r="Z1203" s="143">
        <v>101</v>
      </c>
      <c r="AA1203" s="143">
        <v>101</v>
      </c>
      <c r="AB1203" s="143">
        <v>101</v>
      </c>
      <c r="AC1203" s="143">
        <v>101</v>
      </c>
      <c r="AD1203" s="143">
        <v>101</v>
      </c>
      <c r="AE1203" s="143">
        <v>101</v>
      </c>
      <c r="AG1203" s="82">
        <v>24</v>
      </c>
      <c r="AH1203" s="82">
        <v>24</v>
      </c>
      <c r="AI1203" s="82">
        <v>13</v>
      </c>
      <c r="AJ1203" s="82">
        <v>101</v>
      </c>
      <c r="AK1203" s="71">
        <v>328</v>
      </c>
      <c r="AL1203" s="71"/>
      <c r="AM1203" s="71"/>
      <c r="AN1203" s="71"/>
      <c r="AO1203" s="71"/>
      <c r="AP1203" s="71"/>
      <c r="AQ1203" s="71"/>
      <c r="AR1203" s="71"/>
      <c r="AS1203" s="94">
        <f t="shared" ca="1" si="1420"/>
        <v>263</v>
      </c>
      <c r="AT1203" s="95">
        <f t="shared" si="1421"/>
        <v>278.14999999999998</v>
      </c>
      <c r="AU1203" s="97">
        <f t="shared" si="1422"/>
        <v>490</v>
      </c>
      <c r="AW1203" s="51">
        <f t="shared" si="1423"/>
        <v>1</v>
      </c>
      <c r="AX1203" s="51">
        <f t="shared" si="1424"/>
        <v>1</v>
      </c>
      <c r="AY1203" s="51">
        <f t="shared" si="1425"/>
        <v>1</v>
      </c>
      <c r="AZ1203" s="51">
        <f t="shared" si="1426"/>
        <v>1</v>
      </c>
      <c r="BA1203" s="51">
        <f t="shared" si="1419"/>
        <v>3.2475247524752477</v>
      </c>
      <c r="BB1203" s="51"/>
      <c r="BC1203" s="51"/>
      <c r="BD1203" s="51"/>
      <c r="BE1203" s="51"/>
      <c r="BF1203" s="51"/>
      <c r="BG1203" s="51"/>
      <c r="BH1203" s="51"/>
      <c r="BI1203" s="65" cm="1">
        <f t="array" ref="BI1203">IFERROR(INDEX(AW1203:BH1203,1,MATCH(2,1/(AW1203:BH1203&lt;&gt;""))),"")</f>
        <v>3.2475247524752477</v>
      </c>
      <c r="BJ1203" s="68" cm="1">
        <f t="array" ref="BJ1203">IF(BM1203 = "", "",IFERROR(INDEX(AW1203:BH1203,1,MATCH(2,1/(AW1203:BH1203&lt;&gt;""),1)-1),""))</f>
        <v>1</v>
      </c>
      <c r="BK1203" s="58">
        <f>IF((IF(AW1203&gt;=115%,115%,AW1203) + IF(AX1203&gt;=115%,115%,AX1203) + IF(AY1203&gt;=115%,115%,AY1203) + (IF(AZ1203&gt;=115%,115%,AZ1203) + IF(BA1203&gt;=115%,115%,BA1203) + IF(BB1203&gt;=115%,115%,BB1203) + IF(BC1203&gt;=115%,115%,BC1203) + IF(BD1203&gt;=115%,115%,BD1203) + IF(BE1203&gt;=115%,115%,BE1203) + IF(BF1203&gt;=115%,115%,BF1203) + IF(BG1203&gt;=115%,115%,BG1203) + IF(BH1203&gt;=115%,115%,BH1203)))/_xlfn.XLOOKUP(F1203,Apuração!A:A,Apuração!B:B)&gt;=1.15,1.15,((IF(AZ1203&gt;=115%,115%,AZ1203) + IF(AX1203&gt;=115%,115%,AX1203) + IF(AY1203&gt;=115%,115%,AY1203) + (IF(AW1203&gt;=115%,115%,AW1203) + IF(BA1203&gt;=115%,115%,BA1203) + IF(BB1203&gt;=115%,115%,BB1203) + IF(BC1203&gt;=115%,115%,BC1203) + IF(BD1203&gt;=115%,115%,BD1203) + IF(BE1203&gt;=115%,115%,BE1203) + IF(BF1203&gt;=115%,115%,BF1203) + IF(BG1203&gt;=115%,115%,BG1203) + IF(BH1203&gt;=115%,115%,BH1203)))/_xlfn.XLOOKUP(F1203,Apuração!A:A,Apuração!B:B)))</f>
        <v>0.4291666666666667</v>
      </c>
      <c r="BL1203" s="58" cm="1">
        <f t="array" aca="1" ref="BL1203" ca="1">IF(SUM(IFERROR(IF(INDEX(AW1203:INDEX(AW1203:BH1203, MATCH(2, 1/(AW1203:BH1203&lt;&gt;""), 1)-1), ROW(INDIRECT("1:" &amp; MATCH(2, 1/(AW1203:BH1203&lt;&gt;""), 1)-1))) &gt;= 115%, 115%, INDEX(AW1203:INDEX(AW1203:BH1203, MATCH(2, 1/(AW1203:BH1203&lt;&gt;""), 1)-1), ROW(INDIRECT("1:" &amp; MATCH(2, 1/(AW1203:BH1203&lt;&gt;""), 1)-1)))), 0))/_xlfn.XLOOKUP(F1203,Apuração!A:A,Apuração!B:B)&gt;=1.15,1.15,SUM(IFERROR(IF(INDEX(AW1203:INDEX(AW1203:BH1203, MATCH(2, 1/(AW1203:BH1203&lt;&gt;""), 1)-1), ROW(INDIRECT("1:" &amp; MATCH(2, 1/(AW1203:BH1203&lt;&gt;""), 1)-1))) &gt;= 115%, 115%, INDEX(AW1203:INDEX(AW1203:BH1203, MATCH(2, 1/(AW1203:BH1203&lt;&gt;""), 1)-1), ROW(INDIRECT("1:" &amp; MATCH(2, 1/(AW1203:BH1203&lt;&gt;""), 1)-1)))), 0))/_xlfn.XLOOKUP(F1203,Apuração!A:A,Apuração!B:B))</f>
        <v>0.33333333333333331</v>
      </c>
      <c r="BM1203" s="55" cm="1">
        <f t="array" ref="BM1203">IFERROR(
   INDEX($AW$1:$BH$1,
      _xlfn.AGGREGATE(14, 6, COLUMN($AW$1:$BH$1)/(AW1203:BH1203&lt;&gt;""), 2) - COLUMN($AW$1) + 1
   ),
"")</f>
        <v>46113</v>
      </c>
      <c r="BN1203" s="55" cm="1">
        <f t="array" ref="BN1203">IFERROR(INDEX($AW$1:$BH$1,1,MATCH(2,1/(AW1203:BH1203&lt;&gt;""))),"")</f>
        <v>46143</v>
      </c>
      <c r="BO1203" s="53">
        <f ca="1">IFERROR(_xlfn.XLOOKUP(F1203,Apuração!A:A,Apuração!C:C)/_xlfn.XLOOKUP(F1203,Apuração!A:A,Apuração!B:B),0)</f>
        <v>0.41666666666666669</v>
      </c>
      <c r="BP1203" s="53">
        <f ca="1">IFERROR(_xlfn.XLOOKUP(F1203,Apuração!A:A,Apuração!D:D)/_xlfn.XLOOKUP(F1203,Apuração!A:A,Apuração!B:B),0)</f>
        <v>0.33333333333333331</v>
      </c>
      <c r="BQ1203" s="53">
        <f ca="1">IF(BK1203&gt;=BO1203,0,_xlfn.XLOOKUP(F1203,Apuração!A:A,Apuração!B:B)*(BO1203 + (1/_xlfn.XLOOKUP(F1203,Apuração!A:A,Apuração!B:B)) - BK1203))</f>
        <v>0</v>
      </c>
      <c r="BR1203" s="85">
        <f t="shared" ca="1" si="1427"/>
        <v>0</v>
      </c>
      <c r="BS1203" s="53">
        <f ca="1">IFERROR((_xlfn.XLOOKUP(F1203,Apuração!A:A,Apuração!C:C)+1)/_xlfn.XLOOKUP(F1203,Apuração!A:A,Apuração!B:B),0)</f>
        <v>0.5</v>
      </c>
    </row>
    <row r="1204" spans="1:71" ht="27.6" hidden="1" customHeight="1" x14ac:dyDescent="0.3">
      <c r="A1204" s="40" t="s">
        <v>87</v>
      </c>
      <c r="B1204" s="4" t="s">
        <v>222</v>
      </c>
      <c r="C1204" s="5" t="s">
        <v>221</v>
      </c>
      <c r="D1204" s="5" t="s">
        <v>36</v>
      </c>
      <c r="E1204" s="4" t="str" cm="1">
        <f t="array" ref="E1204">_xlfn.IFS(
F1204 = "A partir de Abril", "Aguardando Execução na Distribuidora",
A1204 = "CAPACITAÇÃO", "Em execução no Corporativo",
TRUE, "Em Execução na Distribuidora"
)</f>
        <v>Em Execução na Distribuidora</v>
      </c>
      <c r="F1204" s="4" t="str" cm="1">
        <f t="array" ref="F1204">_xlfn.IFS(
AG1204 &lt;&gt; "", "Jan-Dez/26",
AH1204 &lt;&gt; "", "Fev-Dez/26",
AI1204 &lt;&gt; "", "Mar-Dez/26", AJ1204 &lt;&gt; "", "Abr-Dez/26",
TRUE, "A partir de Junho"
)</f>
        <v>Jan-Dez/26</v>
      </c>
      <c r="G1204" s="7" t="s">
        <v>37</v>
      </c>
      <c r="H1204" s="7" t="s">
        <v>38</v>
      </c>
      <c r="I1204" s="8" t="s">
        <v>148</v>
      </c>
      <c r="J1204" s="21" t="str" cm="1">
        <f t="array" aca="1" ref="J1204" ca="1">_xlfn.LET(
  _xlpm.actual_value_month, INDEX(T1204:AE1204, MATCH(DATE(YEAR(TODAY()), MONTH(TODAY()), 1), $T$1:$AE$1, 0)),
  IF(_xlpm.actual_value_month &lt;&gt; "",_xlpm.actual_value_month &amp; " ações mensais", "")
)</f>
        <v/>
      </c>
      <c r="K1204" s="8" t="str" cm="1">
        <f t="array" ref="K1204">_xlfn.LET(
    _xlpm.sum_month, SUM(T1204:AE1204),
    IF(_xlpm.sum_month = 0, "", _xlpm.sum_month &amp; " NC's no ano")
)</f>
        <v/>
      </c>
      <c r="L1204" s="9" t="s">
        <v>149</v>
      </c>
      <c r="M1204" s="4"/>
      <c r="N1204" s="5" t="s">
        <v>51</v>
      </c>
      <c r="O1204" s="5" t="s">
        <v>52</v>
      </c>
      <c r="P1204" s="10" t="s">
        <v>44</v>
      </c>
      <c r="Q1204" s="10" t="s">
        <v>44</v>
      </c>
      <c r="R1204" s="11" t="s">
        <v>44</v>
      </c>
      <c r="S1204" s="11" t="s">
        <v>44</v>
      </c>
      <c r="T1204" s="22"/>
      <c r="U1204" s="22"/>
      <c r="V1204" s="22"/>
      <c r="W1204" s="22"/>
      <c r="X1204" s="22"/>
      <c r="Y1204" s="22"/>
      <c r="Z1204" s="22"/>
      <c r="AA1204" s="22"/>
      <c r="AB1204" s="22"/>
      <c r="AC1204" s="22"/>
      <c r="AD1204" s="22"/>
      <c r="AE1204" s="22"/>
      <c r="AG1204" s="71">
        <v>0</v>
      </c>
      <c r="AH1204" s="71">
        <v>0</v>
      </c>
      <c r="AI1204" s="71">
        <v>0</v>
      </c>
      <c r="AJ1204" s="71">
        <v>747</v>
      </c>
      <c r="AK1204" s="71">
        <v>0</v>
      </c>
      <c r="AL1204" s="71"/>
      <c r="AM1204" s="71"/>
      <c r="AN1204" s="71"/>
      <c r="AO1204" s="71"/>
      <c r="AP1204" s="71"/>
      <c r="AQ1204" s="71"/>
      <c r="AR1204" s="71"/>
      <c r="AS1204" s="94">
        <f t="shared" ca="1" si="1410"/>
        <v>0</v>
      </c>
      <c r="AT1204" s="95">
        <f>SUM(AG1204:AR1204)</f>
        <v>747</v>
      </c>
      <c r="AU1204" s="97">
        <f t="shared" si="1411"/>
        <v>747</v>
      </c>
      <c r="AW1204" s="83">
        <f t="shared" ref="AW1204:BA1206" si="1428">AG1204</f>
        <v>0</v>
      </c>
      <c r="AX1204" s="83">
        <f t="shared" si="1428"/>
        <v>0</v>
      </c>
      <c r="AY1204" s="83">
        <f t="shared" si="1428"/>
        <v>0</v>
      </c>
      <c r="AZ1204" s="83">
        <f t="shared" si="1428"/>
        <v>747</v>
      </c>
      <c r="BA1204" s="83">
        <f t="shared" si="1428"/>
        <v>0</v>
      </c>
      <c r="BB1204" s="52"/>
      <c r="BC1204" s="52"/>
      <c r="BD1204" s="52"/>
      <c r="BE1204" s="52"/>
      <c r="BF1204" s="52"/>
      <c r="BG1204" s="52"/>
      <c r="BH1204" s="52"/>
      <c r="BI1204" s="68" cm="1">
        <f t="array" ref="BI1204">IFERROR(INDEX(AW1204:BH1204,1,MATCH(2,1/(AW1204:BH1204&lt;&gt;""))),"")</f>
        <v>0</v>
      </c>
      <c r="BJ1204" s="68" cm="1">
        <f t="array" ref="BJ1204">IF(BM1204 = "", "",IFERROR(INDEX(AW1204:BH1204,1,MATCH(2,1/(AW1204:BH1204&lt;&gt;""),1)-1),""))</f>
        <v>747</v>
      </c>
      <c r="BK1204" s="59">
        <f>SUM(AW1204:BH1204)</f>
        <v>747</v>
      </c>
      <c r="BL1204" s="59" cm="1">
        <f t="array" ref="BL1204">IFERROR(SUM(AW1204:INDEX(AW1204:BH1204, MATCH(2, 1/(AW1204:BH1204&lt;&gt;""), 1) - 1))/_xlfn.XLOOKUP(F1204,Apuração!A:A,Apuração!B:B),0)</f>
        <v>62.25</v>
      </c>
      <c r="BM1204" s="55" cm="1">
        <f t="array" ref="BM1204">IFERROR(
   INDEX($AW$1:$BH$1,
      _xlfn.AGGREGATE(14, 6, COLUMN($AW$1:$BH$1)/(AW1204:BH1204&lt;&gt;""), 2) - COLUMN($AW$1) + 1
   ),
"")</f>
        <v>46113</v>
      </c>
      <c r="BN1204" s="55" cm="1">
        <f t="array" ref="BN1204">IFERROR(INDEX($AW$1:$BH$1,1,MATCH(2,1/(AW1204:BH1204&lt;&gt;""))),"")</f>
        <v>46143</v>
      </c>
      <c r="BO1204" s="53">
        <f ca="1">IFERROR(_xlfn.XLOOKUP(F1204,Apuração!A:A,Apuração!C:C)/_xlfn.XLOOKUP(F1204,Apuração!A:A,Apuração!B:B),0)</f>
        <v>0.41666666666666669</v>
      </c>
      <c r="BP1204" s="53">
        <f ca="1">IFERROR(_xlfn.XLOOKUP(F1204,Apuração!A:A,Apuração!D:D)/_xlfn.XLOOKUP(F1204,Apuração!A:A,Apuração!B:B),0)</f>
        <v>0.33333333333333331</v>
      </c>
      <c r="BQ1204" s="53">
        <f ca="1">IF(BK1204&gt;=BO1204,0,_xlfn.XLOOKUP(F1204,Apuração!A:A,Apuração!B:B)*(BO1204 + (1/_xlfn.XLOOKUP(F1204,Apuração!A:A,Apuração!B:B)) - BK1204))</f>
        <v>0</v>
      </c>
      <c r="BR1204" s="85">
        <f t="shared" ca="1" si="1412"/>
        <v>0</v>
      </c>
      <c r="BS1204" s="53">
        <f ca="1">IFERROR((_xlfn.XLOOKUP(F1204,Apuração!A:A,Apuração!C:C)+1)/_xlfn.XLOOKUP(F1204,Apuração!A:A,Apuração!B:B),0)</f>
        <v>0.5</v>
      </c>
    </row>
    <row r="1205" spans="1:71" ht="25.95" hidden="1" customHeight="1" x14ac:dyDescent="0.3">
      <c r="A1205" s="40" t="s">
        <v>87</v>
      </c>
      <c r="B1205" s="4" t="s">
        <v>222</v>
      </c>
      <c r="C1205" s="5" t="s">
        <v>35</v>
      </c>
      <c r="D1205" s="5" t="s">
        <v>47</v>
      </c>
      <c r="E1205" s="4" t="str" cm="1">
        <f t="array" ref="E1205">_xlfn.IFS(
F1205 = "A partir de Abril", "Aguardando Execução na Distribuidora",
A1205 = "CAPACITAÇÃO", "Em execução no Corporativo",
TRUE, "Em Execução na Distribuidora"
)</f>
        <v>Em Execução na Distribuidora</v>
      </c>
      <c r="F1205" s="4" t="str" cm="1">
        <f t="array" ref="F1205">_xlfn.IFS(
AG1205 &lt;&gt; "", "Jan-Dez/26",
AH1205 &lt;&gt; "", "Fev-Dez/26",
AI1205 &lt;&gt; "", "Mar-Dez/26", AJ1205 &lt;&gt; "", "Abr-Dez/26",
TRUE, "A partir de Junho"
)</f>
        <v>Jan-Dez/26</v>
      </c>
      <c r="G1205" s="7" t="s">
        <v>37</v>
      </c>
      <c r="H1205" s="7" t="s">
        <v>38</v>
      </c>
      <c r="I1205" s="8" t="s">
        <v>148</v>
      </c>
      <c r="J1205" s="21" t="str" cm="1">
        <f t="array" aca="1" ref="J1205" ca="1">_xlfn.LET(
  _xlpm.actual_value_month, INDEX(T1205:AE1205, MATCH(DATE(YEAR(TODAY()), MONTH(TODAY()), 1), $T$1:$AE$1, 0)),
  IF(_xlpm.actual_value_month &lt;&gt; "",_xlpm.actual_value_month &amp; " ações mensais", "")
)</f>
        <v/>
      </c>
      <c r="K1205" s="8" t="str" cm="1">
        <f t="array" ref="K1205">_xlfn.LET(
    _xlpm.sum_month, SUM(T1205:AE1205),
    IF(_xlpm.sum_month = 0, "", _xlpm.sum_month &amp; " NC's no ano")
)</f>
        <v/>
      </c>
      <c r="L1205" s="9" t="s">
        <v>149</v>
      </c>
      <c r="M1205" s="4"/>
      <c r="N1205" s="5" t="s">
        <v>51</v>
      </c>
      <c r="O1205" s="5" t="s">
        <v>52</v>
      </c>
      <c r="P1205" s="10" t="s">
        <v>44</v>
      </c>
      <c r="Q1205" s="10" t="s">
        <v>44</v>
      </c>
      <c r="R1205" s="11" t="s">
        <v>44</v>
      </c>
      <c r="S1205" s="11" t="s">
        <v>44</v>
      </c>
      <c r="T1205" s="22"/>
      <c r="U1205" s="22"/>
      <c r="V1205" s="22"/>
      <c r="W1205" s="22"/>
      <c r="X1205" s="22"/>
      <c r="Y1205" s="22"/>
      <c r="Z1205" s="22"/>
      <c r="AA1205" s="22"/>
      <c r="AB1205" s="22"/>
      <c r="AC1205" s="22"/>
      <c r="AD1205" s="22"/>
      <c r="AE1205" s="22"/>
      <c r="AG1205" s="82">
        <v>17</v>
      </c>
      <c r="AH1205" s="82">
        <v>20</v>
      </c>
      <c r="AI1205" s="82">
        <v>13</v>
      </c>
      <c r="AJ1205" s="82">
        <v>17</v>
      </c>
      <c r="AK1205" s="71">
        <v>6</v>
      </c>
      <c r="AL1205" s="71"/>
      <c r="AM1205" s="71"/>
      <c r="AN1205" s="71"/>
      <c r="AO1205" s="71"/>
      <c r="AP1205" s="71"/>
      <c r="AQ1205" s="71"/>
      <c r="AR1205" s="71"/>
      <c r="AS1205" s="94">
        <f t="shared" ca="1" si="1410"/>
        <v>0</v>
      </c>
      <c r="AT1205" s="95">
        <f>SUM(AG1205:AR1205)</f>
        <v>73</v>
      </c>
      <c r="AU1205" s="97">
        <f t="shared" si="1411"/>
        <v>73</v>
      </c>
      <c r="AW1205" s="83">
        <f t="shared" si="1428"/>
        <v>17</v>
      </c>
      <c r="AX1205" s="83">
        <f t="shared" si="1428"/>
        <v>20</v>
      </c>
      <c r="AY1205" s="83">
        <f t="shared" si="1428"/>
        <v>13</v>
      </c>
      <c r="AZ1205" s="83">
        <f t="shared" si="1428"/>
        <v>17</v>
      </c>
      <c r="BA1205" s="83">
        <f t="shared" si="1428"/>
        <v>6</v>
      </c>
      <c r="BB1205" s="52"/>
      <c r="BC1205" s="52"/>
      <c r="BD1205" s="52"/>
      <c r="BE1205" s="52"/>
      <c r="BF1205" s="52"/>
      <c r="BG1205" s="52"/>
      <c r="BH1205" s="52"/>
      <c r="BI1205" s="68" cm="1">
        <f t="array" ref="BI1205">IFERROR(INDEX(AW1205:BH1205,1,MATCH(2,1/(AW1205:BH1205&lt;&gt;""))),"")</f>
        <v>6</v>
      </c>
      <c r="BJ1205" s="68" cm="1">
        <f t="array" ref="BJ1205">IF(BM1205 = "", "",IFERROR(INDEX(AW1205:BH1205,1,MATCH(2,1/(AW1205:BH1205&lt;&gt;""),1)-1),""))</f>
        <v>17</v>
      </c>
      <c r="BK1205" s="59">
        <f>SUM(AW1205:BH1205)</f>
        <v>73</v>
      </c>
      <c r="BL1205" s="59" cm="1">
        <f t="array" ref="BL1205">IFERROR(SUM(AW1205:INDEX(AW1205:BH1205, MATCH(2, 1/(AW1205:BH1205&lt;&gt;""), 1) - 1))/_xlfn.XLOOKUP(F1205,Apuração!A:A,Apuração!B:B),0)</f>
        <v>5.583333333333333</v>
      </c>
      <c r="BM1205" s="55" cm="1">
        <f t="array" ref="BM1205">IFERROR(
   INDEX($AW$1:$BH$1,
      _xlfn.AGGREGATE(14, 6, COLUMN($AW$1:$BH$1)/(AW1205:BH1205&lt;&gt;""), 2) - COLUMN($AW$1) + 1
   ),
"")</f>
        <v>46113</v>
      </c>
      <c r="BN1205" s="55" cm="1">
        <f t="array" ref="BN1205">IFERROR(INDEX($AW$1:$BH$1,1,MATCH(2,1/(AW1205:BH1205&lt;&gt;""))),"")</f>
        <v>46143</v>
      </c>
      <c r="BO1205" s="53">
        <f ca="1">IFERROR(_xlfn.XLOOKUP(F1205,Apuração!A:A,Apuração!C:C)/_xlfn.XLOOKUP(F1205,Apuração!A:A,Apuração!B:B),0)</f>
        <v>0.41666666666666669</v>
      </c>
      <c r="BP1205" s="53">
        <f ca="1">IFERROR(_xlfn.XLOOKUP(F1205,Apuração!A:A,Apuração!D:D)/_xlfn.XLOOKUP(F1205,Apuração!A:A,Apuração!B:B),0)</f>
        <v>0.33333333333333331</v>
      </c>
      <c r="BQ1205" s="53">
        <f ca="1">IF(BK1205&gt;=BO1205,0,_xlfn.XLOOKUP(F1205,Apuração!A:A,Apuração!B:B)*(BO1205 + (1/_xlfn.XLOOKUP(F1205,Apuração!A:A,Apuração!B:B)) - BK1205))</f>
        <v>0</v>
      </c>
      <c r="BR1205" s="85">
        <f t="shared" ca="1" si="1412"/>
        <v>0</v>
      </c>
      <c r="BS1205" s="53">
        <f ca="1">IFERROR((_xlfn.XLOOKUP(F1205,Apuração!A:A,Apuração!C:C)+1)/_xlfn.XLOOKUP(F1205,Apuração!A:A,Apuração!B:B),0)</f>
        <v>0.5</v>
      </c>
    </row>
    <row r="1206" spans="1:71" ht="25.95" hidden="1" customHeight="1" x14ac:dyDescent="0.3">
      <c r="A1206" s="40" t="s">
        <v>87</v>
      </c>
      <c r="B1206" s="4" t="s">
        <v>222</v>
      </c>
      <c r="C1206" s="5" t="s">
        <v>35</v>
      </c>
      <c r="D1206" s="5" t="s">
        <v>48</v>
      </c>
      <c r="E1206" s="4" t="str" cm="1">
        <f t="array" ref="E1206">_xlfn.IFS(
F1206 = "A partir de Abril", "Aguardando Execução na Distribuidora",
A1206 = "CAPACITAÇÃO", "Em execução no Corporativo",
TRUE, "Em Execução na Distribuidora"
)</f>
        <v>Em Execução na Distribuidora</v>
      </c>
      <c r="F1206" s="4" t="str" cm="1">
        <f t="array" ref="F1206">_xlfn.IFS(
AG1206 &lt;&gt; "", "Jan-Dez/26",
AH1206 &lt;&gt; "", "Fev-Dez/26",
AI1206 &lt;&gt; "", "Mar-Dez/26", AJ1206 &lt;&gt; "", "Abr-Dez/26",
TRUE, "A partir de Junho"
)</f>
        <v>Jan-Dez/26</v>
      </c>
      <c r="G1206" s="7" t="s">
        <v>37</v>
      </c>
      <c r="H1206" s="7" t="s">
        <v>38</v>
      </c>
      <c r="I1206" s="8" t="s">
        <v>148</v>
      </c>
      <c r="J1206" s="21" t="str" cm="1">
        <f t="array" aca="1" ref="J1206" ca="1">_xlfn.LET(
  _xlpm.actual_value_month, INDEX(T1206:AE1206, MATCH(DATE(YEAR(TODAY()), MONTH(TODAY()), 1), $T$1:$AE$1, 0)),
  IF(_xlpm.actual_value_month &lt;&gt; "",_xlpm.actual_value_month &amp; " ações mensais", "")
)</f>
        <v/>
      </c>
      <c r="K1206" s="8" t="str" cm="1">
        <f t="array" ref="K1206">_xlfn.LET(
    _xlpm.sum_month, SUM(T1206:AE1206),
    IF(_xlpm.sum_month = 0, "", _xlpm.sum_month &amp; " NC's no ano")
)</f>
        <v/>
      </c>
      <c r="L1206" s="9" t="s">
        <v>149</v>
      </c>
      <c r="M1206" s="4"/>
      <c r="N1206" s="5" t="s">
        <v>51</v>
      </c>
      <c r="O1206" s="5" t="s">
        <v>52</v>
      </c>
      <c r="P1206" s="10" t="s">
        <v>44</v>
      </c>
      <c r="Q1206" s="10" t="s">
        <v>44</v>
      </c>
      <c r="R1206" s="11" t="s">
        <v>44</v>
      </c>
      <c r="S1206" s="11" t="s">
        <v>44</v>
      </c>
      <c r="T1206" s="22"/>
      <c r="U1206" s="22"/>
      <c r="V1206" s="22"/>
      <c r="W1206" s="22"/>
      <c r="X1206" s="22"/>
      <c r="Y1206" s="22"/>
      <c r="Z1206" s="22"/>
      <c r="AA1206" s="22"/>
      <c r="AB1206" s="22"/>
      <c r="AC1206" s="22"/>
      <c r="AD1206" s="22"/>
      <c r="AE1206" s="22"/>
      <c r="AG1206" s="82">
        <v>17</v>
      </c>
      <c r="AH1206" s="82">
        <v>18</v>
      </c>
      <c r="AI1206" s="82">
        <v>13</v>
      </c>
      <c r="AJ1206" s="82">
        <v>5</v>
      </c>
      <c r="AK1206" s="71">
        <v>8</v>
      </c>
      <c r="AL1206" s="71"/>
      <c r="AM1206" s="71"/>
      <c r="AN1206" s="71"/>
      <c r="AO1206" s="71"/>
      <c r="AP1206" s="71"/>
      <c r="AQ1206" s="71"/>
      <c r="AR1206" s="71"/>
      <c r="AS1206" s="94">
        <f t="shared" ca="1" si="1410"/>
        <v>0</v>
      </c>
      <c r="AT1206" s="95">
        <f>SUM(AG1206:AR1206)</f>
        <v>61</v>
      </c>
      <c r="AU1206" s="97">
        <f t="shared" si="1411"/>
        <v>61</v>
      </c>
      <c r="AW1206" s="83">
        <f t="shared" si="1428"/>
        <v>17</v>
      </c>
      <c r="AX1206" s="83">
        <f t="shared" si="1428"/>
        <v>18</v>
      </c>
      <c r="AY1206" s="83">
        <f t="shared" si="1428"/>
        <v>13</v>
      </c>
      <c r="AZ1206" s="83">
        <f t="shared" si="1428"/>
        <v>5</v>
      </c>
      <c r="BA1206" s="83">
        <f t="shared" si="1428"/>
        <v>8</v>
      </c>
      <c r="BB1206" s="52"/>
      <c r="BC1206" s="52"/>
      <c r="BD1206" s="52"/>
      <c r="BE1206" s="52"/>
      <c r="BF1206" s="52"/>
      <c r="BG1206" s="52"/>
      <c r="BH1206" s="52"/>
      <c r="BI1206" s="68" cm="1">
        <f t="array" ref="BI1206">IFERROR(INDEX(AW1206:BH1206,1,MATCH(2,1/(AW1206:BH1206&lt;&gt;""))),"")</f>
        <v>8</v>
      </c>
      <c r="BJ1206" s="68" cm="1">
        <f t="array" ref="BJ1206">IF(BM1206 = "", "",IFERROR(INDEX(AW1206:BH1206,1,MATCH(2,1/(AW1206:BH1206&lt;&gt;""),1)-1),""))</f>
        <v>5</v>
      </c>
      <c r="BK1206" s="59">
        <f>SUM(AW1206:BH1206)</f>
        <v>61</v>
      </c>
      <c r="BL1206" s="59" cm="1">
        <f t="array" ref="BL1206">IFERROR(SUM(AW1206:INDEX(AW1206:BH1206, MATCH(2, 1/(AW1206:BH1206&lt;&gt;""), 1) - 1))/_xlfn.XLOOKUP(F1206,Apuração!A:A,Apuração!B:B),0)</f>
        <v>4.416666666666667</v>
      </c>
      <c r="BM1206" s="55" cm="1">
        <f t="array" ref="BM1206">IFERROR(
   INDEX($AW$1:$BH$1,
      _xlfn.AGGREGATE(14, 6, COLUMN($AW$1:$BH$1)/(AW1206:BH1206&lt;&gt;""), 2) - COLUMN($AW$1) + 1
   ),
"")</f>
        <v>46113</v>
      </c>
      <c r="BN1206" s="55" cm="1">
        <f t="array" ref="BN1206">IFERROR(INDEX($AW$1:$BH$1,1,MATCH(2,1/(AW1206:BH1206&lt;&gt;""))),"")</f>
        <v>46143</v>
      </c>
      <c r="BO1206" s="53">
        <f ca="1">IFERROR(_xlfn.XLOOKUP(F1206,Apuração!A:A,Apuração!C:C)/_xlfn.XLOOKUP(F1206,Apuração!A:A,Apuração!B:B),0)</f>
        <v>0.41666666666666669</v>
      </c>
      <c r="BP1206" s="53">
        <f ca="1">IFERROR(_xlfn.XLOOKUP(F1206,Apuração!A:A,Apuração!D:D)/_xlfn.XLOOKUP(F1206,Apuração!A:A,Apuração!B:B),0)</f>
        <v>0.33333333333333331</v>
      </c>
      <c r="BQ1206" s="53">
        <f ca="1">IF(BK1206&gt;=BO1206,0,_xlfn.XLOOKUP(F1206,Apuração!A:A,Apuração!B:B)*(BO1206 + (1/_xlfn.XLOOKUP(F1206,Apuração!A:A,Apuração!B:B)) - BK1206))</f>
        <v>0</v>
      </c>
      <c r="BR1206" s="85">
        <f t="shared" ca="1" si="1412"/>
        <v>0</v>
      </c>
      <c r="BS1206" s="53">
        <f ca="1">IFERROR((_xlfn.XLOOKUP(F1206,Apuração!A:A,Apuração!C:C)+1)/_xlfn.XLOOKUP(F1206,Apuração!A:A,Apuração!B:B),0)</f>
        <v>0.5</v>
      </c>
    </row>
    <row r="1207" spans="1:71" ht="25.95" hidden="1" customHeight="1" x14ac:dyDescent="0.3">
      <c r="A1207" s="20" t="s">
        <v>87</v>
      </c>
      <c r="B1207" s="4" t="s">
        <v>229</v>
      </c>
      <c r="C1207" s="5" t="s">
        <v>35</v>
      </c>
      <c r="D1207" s="5" t="s">
        <v>36</v>
      </c>
      <c r="E1207" s="4" t="str" cm="1">
        <f t="array" ref="E1207">_xlfn.IFS(
F1207 = "A partir de Abril", "Aguardando Execução na Distribuidora",
A1207 = "CAPACITAÇÃO", "Em execução no Corporativo",
TRUE, "Em Execução na Distribuidora"
)</f>
        <v>Em Execução na Distribuidora</v>
      </c>
      <c r="F1207" s="4" t="str" cm="1">
        <f t="array" ref="F1207">_xlfn.IFS(
AG1207 &lt;&gt; "", "Jan-Dez/26",
AH1207 &lt;&gt; "", "Fev-Dez/26",
AI1207 &lt;&gt; "", "Mar-Dez/26", AJ1207 &lt;&gt; "", "Abr-Dez/26",
TRUE, "A partir de Junho"
)</f>
        <v>Jan-Dez/26</v>
      </c>
      <c r="G1207" s="7" t="s">
        <v>37</v>
      </c>
      <c r="H1207" s="7" t="s">
        <v>110</v>
      </c>
      <c r="I1207" s="8" t="s">
        <v>223</v>
      </c>
      <c r="J1207" s="21" t="str" cm="1">
        <f t="array" aca="1" ref="J1207" ca="1">_xlfn.LET(
  _xlpm.actual_value_month, INDEX(T1207:AE1207, MATCH(DATE(YEAR(TODAY()), MONTH(TODAY()), 1), $T$1:$AE$1, 0)),
  IF(_xlpm.actual_value_month &lt;&gt; "",_xlpm.actual_value_month &amp; " inspeções mensais", "")
)</f>
        <v>44 inspeções mensais</v>
      </c>
      <c r="K1207" s="8" t="str" cm="1">
        <f t="array" ref="K1207">_xlfn.LET(
    _xlpm.sum_month, SUM(T1207:AE1207),
    IF(_xlpm.sum_month = 0, "", _xlpm.sum_month &amp; " inspeções realizadas no ano")
)</f>
        <v>649 inspeções realizadas no ano</v>
      </c>
      <c r="L1207" s="4" t="s">
        <v>230</v>
      </c>
      <c r="M1207" s="19" t="s">
        <v>231</v>
      </c>
      <c r="N1207" s="5" t="s">
        <v>42</v>
      </c>
      <c r="O1207" s="5" t="s">
        <v>43</v>
      </c>
      <c r="P1207" s="10" t="s">
        <v>44</v>
      </c>
      <c r="Q1207" s="10" t="s">
        <v>72</v>
      </c>
      <c r="R1207" s="11" t="s">
        <v>225</v>
      </c>
      <c r="S1207" s="11" t="s">
        <v>44</v>
      </c>
      <c r="T1207" s="22">
        <v>78</v>
      </c>
      <c r="U1207" s="22">
        <v>128</v>
      </c>
      <c r="V1207" s="22">
        <v>47</v>
      </c>
      <c r="W1207" s="22">
        <v>44</v>
      </c>
      <c r="X1207" s="22">
        <v>44</v>
      </c>
      <c r="Y1207" s="22">
        <v>44</v>
      </c>
      <c r="Z1207" s="22">
        <v>44</v>
      </c>
      <c r="AA1207" s="22">
        <v>44</v>
      </c>
      <c r="AB1207" s="22">
        <v>44</v>
      </c>
      <c r="AC1207" s="22">
        <v>44</v>
      </c>
      <c r="AD1207" s="22">
        <v>44</v>
      </c>
      <c r="AE1207" s="22">
        <v>44</v>
      </c>
      <c r="AG1207" s="71">
        <v>78</v>
      </c>
      <c r="AH1207" s="71">
        <v>128</v>
      </c>
      <c r="AI1207" s="71">
        <v>47</v>
      </c>
      <c r="AJ1207" s="71">
        <v>20</v>
      </c>
      <c r="AK1207" s="71">
        <v>40</v>
      </c>
      <c r="AL1207" s="71"/>
      <c r="AM1207" s="71"/>
      <c r="AN1207" s="71"/>
      <c r="AO1207" s="71"/>
      <c r="AP1207" s="71"/>
      <c r="AQ1207" s="71"/>
      <c r="AR1207" s="71"/>
      <c r="AS1207" s="94">
        <f t="shared" ca="1" si="1410"/>
        <v>341</v>
      </c>
      <c r="AT1207" s="95">
        <f>SUM(IF(AW1207&lt;1.15,AG1207,1.15*T1207),IF(AX1207&lt;1.15,AH1207,1.15*U1207),IF(AY1207&lt;1.15,AI1207,1.15*V1207),IF(AZ1207&lt;1.15,AJ1207,1.15*W1207),IF(BA1207&lt;1.15,AK1207,1.15*X1207),IF(BB1207&lt;1.15,AL1207,1.15*Y1207),IF(BC1207&lt;1.15,AM1207,1.15*Z1207),IF(BD1207&lt;1.15,AN1207,1.15*AA1207),IF(BE1207&lt;1.15,AO1207,1.15*AB1207),IF(BF1207&lt;1.15,AP1207,1.15*AC1207),IF(BG1207&lt;1.15,AQ1207,1.15*AD1207),IF(BH1207&lt;1.15,AR1207,1.15*AE1207))</f>
        <v>313</v>
      </c>
      <c r="AU1207" s="97">
        <f t="shared" si="1411"/>
        <v>313</v>
      </c>
      <c r="AW1207" s="51">
        <f>IFERROR(IF(AG1207="",0,AG1207/T1207),0)</f>
        <v>1</v>
      </c>
      <c r="AX1207" s="51">
        <f>IFERROR(IF(AH1207="",0,AH1207/U1207),0)</f>
        <v>1</v>
      </c>
      <c r="AY1207" s="51">
        <f>IFERROR(IF(AI1207="",0,AI1207/V1207),0)</f>
        <v>1</v>
      </c>
      <c r="AZ1207" s="51">
        <f>IFERROR(IF(AJ1207="",0,AJ1207/W1207),0)</f>
        <v>0.45454545454545453</v>
      </c>
      <c r="BA1207" s="51">
        <f>IFERROR(IF(AK1207="",0,AK1207/X1207),0)</f>
        <v>0.90909090909090906</v>
      </c>
      <c r="BB1207" s="51"/>
      <c r="BC1207" s="51"/>
      <c r="BD1207" s="51"/>
      <c r="BE1207" s="51"/>
      <c r="BF1207" s="51"/>
      <c r="BG1207" s="51"/>
      <c r="BH1207" s="51"/>
      <c r="BI1207" s="65" cm="1">
        <f t="array" ref="BI1207">IFERROR(INDEX(AW1207:BH1207,1,MATCH(2,1/(AW1207:BH1207&lt;&gt;""))),"")</f>
        <v>0.90909090909090906</v>
      </c>
      <c r="BJ1207" s="68" cm="1">
        <f t="array" ref="BJ1207">IF(BM1207 = "", "",IFERROR(INDEX(AW1207:BH1207,1,MATCH(2,1/(AW1207:BH1207&lt;&gt;""),1)-1),""))</f>
        <v>0.45454545454545453</v>
      </c>
      <c r="BK1207" s="58">
        <f>IF((IF(AW1207&gt;=115%,115%,AW1207) + IF(AX1207&gt;=115%,115%,AX1207) + IF(AY1207&gt;=115%,115%,AY1207) + (IF(AZ1207&gt;=115%,115%,AZ1207) + IF(BA1207&gt;=115%,115%,BA1207) + IF(BB1207&gt;=115%,115%,BB1207) + IF(BC1207&gt;=115%,115%,BC1207) + IF(BD1207&gt;=115%,115%,BD1207) + IF(BE1207&gt;=115%,115%,BE1207) + IF(BF1207&gt;=115%,115%,BF1207) + IF(BG1207&gt;=115%,115%,BG1207) + IF(BH1207&gt;=115%,115%,BH1207)))/_xlfn.XLOOKUP(F1207,Apuração!A:A,Apuração!B:B)&gt;=1.15,1.15,((IF(AZ1207&gt;=115%,115%,AZ1207) + IF(AX1207&gt;=115%,115%,AX1207) + IF(AY1207&gt;=115%,115%,AY1207) + (IF(AW1207&gt;=115%,115%,AW1207) + IF(BA1207&gt;=115%,115%,BA1207) + IF(BB1207&gt;=115%,115%,BB1207) + IF(BC1207&gt;=115%,115%,BC1207) + IF(BD1207&gt;=115%,115%,BD1207) + IF(BE1207&gt;=115%,115%,BE1207) + IF(BF1207&gt;=115%,115%,BF1207) + IF(BG1207&gt;=115%,115%,BG1207) + IF(BH1207&gt;=115%,115%,BH1207)))/_xlfn.XLOOKUP(F1207,Apuração!A:A,Apuração!B:B)))</f>
        <v>0.36363636363636359</v>
      </c>
      <c r="BL1207" s="58" cm="1">
        <f t="array" aca="1" ref="BL1207" ca="1">IF(SUM(IFERROR(IF(INDEX(AW1207:INDEX(AW1207:BH1207, MATCH(2, 1/(AW1207:BH1207&lt;&gt;""), 1)-1), ROW(INDIRECT("1:" &amp; MATCH(2, 1/(AW1207:BH1207&lt;&gt;""), 1)-1))) &gt;= 115%, 115%, INDEX(AW1207:INDEX(AW1207:BH1207, MATCH(2, 1/(AW1207:BH1207&lt;&gt;""), 1)-1), ROW(INDIRECT("1:" &amp; MATCH(2, 1/(AW1207:BH1207&lt;&gt;""), 1)-1)))), 0))/_xlfn.XLOOKUP(F1207,Apuração!A:A,Apuração!B:B)&gt;=1.15,1.15,SUM(IFERROR(IF(INDEX(AW1207:INDEX(AW1207:BH1207, MATCH(2, 1/(AW1207:BH1207&lt;&gt;""), 1)-1), ROW(INDIRECT("1:" &amp; MATCH(2, 1/(AW1207:BH1207&lt;&gt;""), 1)-1))) &gt;= 115%, 115%, INDEX(AW1207:INDEX(AW1207:BH1207, MATCH(2, 1/(AW1207:BH1207&lt;&gt;""), 1)-1), ROW(INDIRECT("1:" &amp; MATCH(2, 1/(AW1207:BH1207&lt;&gt;""), 1)-1)))), 0))/_xlfn.XLOOKUP(F1207,Apuração!A:A,Apuração!B:B))</f>
        <v>0.2878787878787879</v>
      </c>
      <c r="BM1207" s="55" cm="1">
        <f t="array" ref="BM1207">IFERROR(
   INDEX($AW$1:$BH$1,
      _xlfn.AGGREGATE(14, 6, COLUMN($AW$1:$BH$1)/(AW1207:BH1207&lt;&gt;""), 2) - COLUMN($AW$1) + 1
   ),
"")</f>
        <v>46113</v>
      </c>
      <c r="BN1207" s="55" cm="1">
        <f t="array" ref="BN1207">IFERROR(INDEX($AW$1:$BH$1,1,MATCH(2,1/(AW1207:BH1207&lt;&gt;""))),"")</f>
        <v>46143</v>
      </c>
      <c r="BO1207" s="53">
        <f ca="1">IFERROR(_xlfn.XLOOKUP(F1207,Apuração!A:A,Apuração!C:C)/_xlfn.XLOOKUP(F1207,Apuração!A:A,Apuração!B:B),0)</f>
        <v>0.41666666666666669</v>
      </c>
      <c r="BP1207" s="53">
        <f ca="1">IFERROR(_xlfn.XLOOKUP(F1207,Apuração!A:A,Apuração!D:D)/_xlfn.XLOOKUP(F1207,Apuração!A:A,Apuração!B:B),0)</f>
        <v>0.33333333333333331</v>
      </c>
      <c r="BQ1207" s="53">
        <f ca="1">IF(BK1207&gt;=BO1207,0,_xlfn.XLOOKUP(F1207,Apuração!A:A,Apuração!B:B)*(BO1207 + (1/_xlfn.XLOOKUP(F1207,Apuração!A:A,Apuração!B:B)) - BK1207))</f>
        <v>1.6363636363636369</v>
      </c>
      <c r="BR1207" s="85">
        <f t="shared" ca="1" si="1412"/>
        <v>72.000000000000028</v>
      </c>
      <c r="BS1207" s="53">
        <f ca="1">IFERROR((_xlfn.XLOOKUP(F1207,Apuração!A:A,Apuração!C:C)+1)/_xlfn.XLOOKUP(F1207,Apuração!A:A,Apuração!B:B),0)</f>
        <v>0.5</v>
      </c>
    </row>
    <row r="1208" spans="1:71" ht="25.95" hidden="1" customHeight="1" x14ac:dyDescent="0.3">
      <c r="A1208" s="70" t="s">
        <v>108</v>
      </c>
      <c r="B1208" s="4" t="s">
        <v>109</v>
      </c>
      <c r="C1208" s="5" t="s">
        <v>209</v>
      </c>
      <c r="D1208" s="5" t="s">
        <v>36</v>
      </c>
      <c r="E1208" s="4" t="s">
        <v>61</v>
      </c>
      <c r="F1208" s="4" t="str" cm="1">
        <f t="array" ref="F1208">_xlfn.IFS(
AG1208 &lt;&gt; "", "Jan-Dez/26",
AH1208 &lt;&gt; "", "Fev-Dez/26",
AI1208 &lt;&gt; "", "Mar-Dez/26", AJ1208 &lt;&gt; "", "Abr-Dez/26",
TRUE, "A partir de Junho"
)</f>
        <v>A partir de Junho</v>
      </c>
      <c r="G1208" s="4" t="s">
        <v>62</v>
      </c>
      <c r="H1208" s="7" t="s">
        <v>110</v>
      </c>
      <c r="I1208" s="8"/>
      <c r="J1208" s="8" t="str" cm="1">
        <f t="array" aca="1" ref="J1208" ca="1">_xlfn.LET(
  _xlpm.actual_value_month, INDEX(T1208:AE1208, MATCH(DATE(YEAR(TODAY()), MONTH(TODAY()), 1), $T$1:$AE$1, 0)),
  IF(_xlpm.actual_value_month &lt;&gt; "",_xlpm.actual_value_month &amp; " ações mensais", "")
)</f>
        <v/>
      </c>
      <c r="K1208" s="8" t="str" cm="1">
        <f t="array" ref="K1208">_xlfn.LET(
    _xlpm.sum_month, SUM(T1208:AE1208),
    IF(_xlpm.sum_month = 0, "", _xlpm.sum_month &amp; " veículos com telemetria no ano")
)</f>
        <v/>
      </c>
      <c r="L1208" s="9" t="s">
        <v>111</v>
      </c>
      <c r="M1208" s="13">
        <v>1</v>
      </c>
      <c r="N1208" s="5" t="s">
        <v>51</v>
      </c>
      <c r="O1208" s="5" t="s">
        <v>52</v>
      </c>
      <c r="P1208" s="10" t="s">
        <v>44</v>
      </c>
      <c r="Q1208" s="10" t="s">
        <v>44</v>
      </c>
      <c r="R1208" s="11" t="s">
        <v>44</v>
      </c>
      <c r="S1208" s="11" t="s">
        <v>44</v>
      </c>
      <c r="T1208" s="22"/>
      <c r="U1208" s="22"/>
      <c r="V1208" s="22"/>
      <c r="W1208" s="22"/>
      <c r="X1208" s="22"/>
      <c r="Y1208" s="22"/>
      <c r="Z1208" s="22"/>
      <c r="AA1208" s="22"/>
      <c r="AB1208" s="22"/>
      <c r="AC1208" s="22"/>
      <c r="AD1208" s="22"/>
      <c r="AE1208" s="22"/>
      <c r="AG1208" s="71"/>
      <c r="AH1208" s="71"/>
      <c r="AI1208" s="71"/>
      <c r="AJ1208" s="71"/>
      <c r="AK1208" s="71"/>
      <c r="AL1208" s="71"/>
      <c r="AM1208" s="71"/>
      <c r="AN1208" s="71"/>
      <c r="AO1208" s="71"/>
      <c r="AP1208" s="71"/>
      <c r="AQ1208" s="71"/>
      <c r="AR1208" s="71"/>
      <c r="AS1208" s="94">
        <v>0</v>
      </c>
      <c r="AT1208" s="95">
        <v>0</v>
      </c>
      <c r="AU1208" s="97">
        <v>0</v>
      </c>
      <c r="AW1208" s="83">
        <f>AG1208</f>
        <v>0</v>
      </c>
      <c r="AX1208" s="83">
        <f>AH1208</f>
        <v>0</v>
      </c>
      <c r="AY1208" s="83">
        <f>AI1208</f>
        <v>0</v>
      </c>
      <c r="AZ1208" s="83">
        <f>AJ1208</f>
        <v>0</v>
      </c>
      <c r="BA1208" s="52"/>
      <c r="BB1208" s="52"/>
      <c r="BC1208" s="52"/>
      <c r="BD1208" s="52"/>
      <c r="BE1208" s="52"/>
      <c r="BF1208" s="52"/>
      <c r="BG1208" s="52"/>
      <c r="BH1208" s="52"/>
      <c r="BI1208" s="68">
        <v>0</v>
      </c>
      <c r="BJ1208" s="68">
        <v>0</v>
      </c>
      <c r="BK1208" s="59">
        <v>0</v>
      </c>
      <c r="BL1208" s="59">
        <v>0</v>
      </c>
      <c r="BM1208" s="55">
        <v>46054</v>
      </c>
      <c r="BN1208" s="55">
        <v>46082</v>
      </c>
      <c r="BO1208" s="53">
        <v>0</v>
      </c>
      <c r="BP1208" s="53">
        <v>0</v>
      </c>
      <c r="BQ1208" s="53">
        <v>0</v>
      </c>
      <c r="BR1208" s="85">
        <v>0</v>
      </c>
      <c r="BS1208" s="53">
        <v>0.1111111111111111</v>
      </c>
    </row>
    <row r="1209" spans="1:71" ht="25.95" hidden="1" customHeight="1" x14ac:dyDescent="0.3">
      <c r="A1209" s="70" t="s">
        <v>108</v>
      </c>
      <c r="B1209" s="4" t="s">
        <v>109</v>
      </c>
      <c r="C1209" s="5" t="s">
        <v>209</v>
      </c>
      <c r="D1209" s="5" t="s">
        <v>210</v>
      </c>
      <c r="E1209" s="4" t="s">
        <v>61</v>
      </c>
      <c r="F1209" s="4" t="str" cm="1">
        <f t="array" ref="F1209">_xlfn.IFS(
AG1209 &lt;&gt; "", "Jan-Dez/26",
AH1209 &lt;&gt; "", "Fev-Dez/26",
AI1209 &lt;&gt; "", "Mar-Dez/26", AJ1209 &lt;&gt; "", "Abr-Dez/26",
TRUE, "A partir de Junho"
)</f>
        <v>A partir de Junho</v>
      </c>
      <c r="G1209" s="4" t="s">
        <v>62</v>
      </c>
      <c r="H1209" s="7" t="s">
        <v>110</v>
      </c>
      <c r="I1209" s="8"/>
      <c r="J1209" s="8" t="str" cm="1">
        <f t="array" aca="1" ref="J1209" ca="1">_xlfn.LET(
  _xlpm.actual_value_month, INDEX(T1209:AE1209, MATCH(DATE(YEAR(TODAY()), MONTH(TODAY()), 1), $T$1:$AE$1, 0)),
  IF(_xlpm.actual_value_month &lt;&gt; "",_xlpm.actual_value_month &amp; " ações mensais", "")
)</f>
        <v/>
      </c>
      <c r="K1209" s="8" t="str" cm="1">
        <f t="array" ref="K1209">_xlfn.LET(
    _xlpm.sum_month, SUM(T1209:AE1209),
    IF(_xlpm.sum_month = 0, "", _xlpm.sum_month &amp; " veículos com telemetria no ano")
)</f>
        <v/>
      </c>
      <c r="L1209" s="9" t="s">
        <v>111</v>
      </c>
      <c r="M1209" s="13">
        <v>1</v>
      </c>
      <c r="N1209" s="5" t="s">
        <v>51</v>
      </c>
      <c r="O1209" s="5" t="s">
        <v>52</v>
      </c>
      <c r="P1209" s="10" t="s">
        <v>44</v>
      </c>
      <c r="Q1209" s="10" t="s">
        <v>44</v>
      </c>
      <c r="R1209" s="11" t="s">
        <v>44</v>
      </c>
      <c r="S1209" s="11" t="s">
        <v>44</v>
      </c>
      <c r="T1209" s="22"/>
      <c r="U1209" s="22"/>
      <c r="V1209" s="22"/>
      <c r="W1209" s="22"/>
      <c r="X1209" s="22"/>
      <c r="Y1209" s="22"/>
      <c r="Z1209" s="22"/>
      <c r="AA1209" s="22"/>
      <c r="AB1209" s="22"/>
      <c r="AC1209" s="22"/>
      <c r="AD1209" s="22"/>
      <c r="AE1209" s="22"/>
      <c r="AG1209" s="71"/>
      <c r="AH1209" s="71"/>
      <c r="AI1209" s="71"/>
      <c r="AJ1209" s="71"/>
      <c r="AK1209" s="71"/>
      <c r="AL1209" s="71"/>
      <c r="AM1209" s="71"/>
      <c r="AN1209" s="71"/>
      <c r="AO1209" s="71"/>
      <c r="AP1209" s="71"/>
      <c r="AQ1209" s="71"/>
      <c r="AR1209" s="71"/>
      <c r="AS1209" s="94">
        <v>0</v>
      </c>
      <c r="AT1209" s="95">
        <v>0</v>
      </c>
      <c r="AU1209" s="97">
        <v>0</v>
      </c>
      <c r="AW1209" s="83">
        <f t="shared" ref="AW1209:AW1213" si="1429">AG1209</f>
        <v>0</v>
      </c>
      <c r="AX1209" s="83">
        <f t="shared" ref="AX1209:AX1213" si="1430">AH1209</f>
        <v>0</v>
      </c>
      <c r="AY1209" s="83">
        <f t="shared" ref="AY1209:AY1213" si="1431">AI1209</f>
        <v>0</v>
      </c>
      <c r="AZ1209" s="83">
        <f t="shared" ref="AZ1209:AZ1213" si="1432">AJ1209</f>
        <v>0</v>
      </c>
      <c r="BA1209" s="52"/>
      <c r="BB1209" s="52"/>
      <c r="BC1209" s="52"/>
      <c r="BD1209" s="52"/>
      <c r="BE1209" s="52"/>
      <c r="BF1209" s="52"/>
      <c r="BG1209" s="52"/>
      <c r="BH1209" s="52"/>
      <c r="BI1209" s="68">
        <v>0</v>
      </c>
      <c r="BJ1209" s="68">
        <v>0</v>
      </c>
      <c r="BK1209" s="59">
        <v>0</v>
      </c>
      <c r="BL1209" s="59">
        <v>0</v>
      </c>
      <c r="BM1209" s="55">
        <v>46054</v>
      </c>
      <c r="BN1209" s="55">
        <v>46082</v>
      </c>
      <c r="BO1209" s="53">
        <v>0</v>
      </c>
      <c r="BP1209" s="53">
        <v>0</v>
      </c>
      <c r="BQ1209" s="53">
        <v>0</v>
      </c>
      <c r="BR1209" s="85">
        <v>0</v>
      </c>
      <c r="BS1209" s="53">
        <v>0.1111111111111111</v>
      </c>
    </row>
    <row r="1210" spans="1:71" ht="25.95" hidden="1" customHeight="1" x14ac:dyDescent="0.3">
      <c r="A1210" s="70" t="s">
        <v>108</v>
      </c>
      <c r="B1210" s="4" t="s">
        <v>109</v>
      </c>
      <c r="C1210" s="5" t="s">
        <v>209</v>
      </c>
      <c r="D1210" s="5" t="s">
        <v>47</v>
      </c>
      <c r="E1210" s="4" t="s">
        <v>61</v>
      </c>
      <c r="F1210" s="4" t="str" cm="1">
        <f t="array" ref="F1210">_xlfn.IFS(
AG1210 &lt;&gt; "", "Jan-Dez/26",
AH1210 &lt;&gt; "", "Fev-Dez/26",
AI1210 &lt;&gt; "", "Mar-Dez/26", AJ1210 &lt;&gt; "", "Abr-Dez/26",
TRUE, "A partir de Junho"
)</f>
        <v>A partir de Junho</v>
      </c>
      <c r="G1210" s="4" t="s">
        <v>62</v>
      </c>
      <c r="H1210" s="7" t="s">
        <v>110</v>
      </c>
      <c r="I1210" s="8"/>
      <c r="J1210" s="8" t="str" cm="1">
        <f t="array" aca="1" ref="J1210" ca="1">_xlfn.LET(
  _xlpm.actual_value_month, INDEX(T1210:AE1210, MATCH(DATE(YEAR(TODAY()), MONTH(TODAY()), 1), $T$1:$AE$1, 0)),
  IF(_xlpm.actual_value_month &lt;&gt; "",_xlpm.actual_value_month &amp; " ações mensais", "")
)</f>
        <v/>
      </c>
      <c r="K1210" s="8" t="str" cm="1">
        <f t="array" ref="K1210">_xlfn.LET(
    _xlpm.sum_month, SUM(T1210:AE1210),
    IF(_xlpm.sum_month = 0, "", _xlpm.sum_month &amp; " veículos com telemetria no ano")
)</f>
        <v/>
      </c>
      <c r="L1210" s="9" t="s">
        <v>111</v>
      </c>
      <c r="M1210" s="13">
        <v>1</v>
      </c>
      <c r="N1210" s="5" t="s">
        <v>51</v>
      </c>
      <c r="O1210" s="5" t="s">
        <v>52</v>
      </c>
      <c r="P1210" s="10" t="s">
        <v>44</v>
      </c>
      <c r="Q1210" s="10" t="s">
        <v>44</v>
      </c>
      <c r="R1210" s="11" t="s">
        <v>44</v>
      </c>
      <c r="S1210" s="11" t="s">
        <v>44</v>
      </c>
      <c r="T1210" s="22"/>
      <c r="U1210" s="22"/>
      <c r="V1210" s="22"/>
      <c r="W1210" s="22"/>
      <c r="X1210" s="22"/>
      <c r="Y1210" s="22"/>
      <c r="Z1210" s="22"/>
      <c r="AA1210" s="22"/>
      <c r="AB1210" s="22"/>
      <c r="AC1210" s="22"/>
      <c r="AD1210" s="22"/>
      <c r="AE1210" s="22"/>
      <c r="AG1210" s="71"/>
      <c r="AH1210" s="71"/>
      <c r="AI1210" s="71"/>
      <c r="AJ1210" s="71"/>
      <c r="AK1210" s="71"/>
      <c r="AL1210" s="71"/>
      <c r="AM1210" s="71"/>
      <c r="AN1210" s="71"/>
      <c r="AO1210" s="71"/>
      <c r="AP1210" s="71"/>
      <c r="AQ1210" s="71"/>
      <c r="AR1210" s="71"/>
      <c r="AS1210" s="94">
        <v>0</v>
      </c>
      <c r="AT1210" s="95">
        <v>0</v>
      </c>
      <c r="AU1210" s="97">
        <v>0</v>
      </c>
      <c r="AW1210" s="83">
        <f t="shared" si="1429"/>
        <v>0</v>
      </c>
      <c r="AX1210" s="83">
        <f t="shared" si="1430"/>
        <v>0</v>
      </c>
      <c r="AY1210" s="83">
        <f t="shared" si="1431"/>
        <v>0</v>
      </c>
      <c r="AZ1210" s="83">
        <f t="shared" si="1432"/>
        <v>0</v>
      </c>
      <c r="BA1210" s="52"/>
      <c r="BB1210" s="52"/>
      <c r="BC1210" s="52"/>
      <c r="BD1210" s="52"/>
      <c r="BE1210" s="52"/>
      <c r="BF1210" s="52"/>
      <c r="BG1210" s="52"/>
      <c r="BH1210" s="52"/>
      <c r="BI1210" s="68">
        <v>0</v>
      </c>
      <c r="BJ1210" s="68">
        <v>0</v>
      </c>
      <c r="BK1210" s="59">
        <v>0</v>
      </c>
      <c r="BL1210" s="59">
        <v>0</v>
      </c>
      <c r="BM1210" s="55">
        <v>46054</v>
      </c>
      <c r="BN1210" s="55">
        <v>46082</v>
      </c>
      <c r="BO1210" s="53">
        <v>0</v>
      </c>
      <c r="BP1210" s="53">
        <v>0</v>
      </c>
      <c r="BQ1210" s="53">
        <v>0</v>
      </c>
      <c r="BR1210" s="85">
        <v>0</v>
      </c>
      <c r="BS1210" s="53">
        <v>0.1111111111111111</v>
      </c>
    </row>
    <row r="1211" spans="1:71" ht="25.95" hidden="1" customHeight="1" x14ac:dyDescent="0.3">
      <c r="A1211" s="70" t="s">
        <v>108</v>
      </c>
      <c r="B1211" s="4" t="s">
        <v>109</v>
      </c>
      <c r="C1211" s="5" t="s">
        <v>209</v>
      </c>
      <c r="D1211" s="5" t="s">
        <v>211</v>
      </c>
      <c r="E1211" s="4" t="s">
        <v>61</v>
      </c>
      <c r="F1211" s="4" t="str" cm="1">
        <f t="array" ref="F1211">_xlfn.IFS(
AG1211 &lt;&gt; "", "Jan-Dez/26",
AH1211 &lt;&gt; "", "Fev-Dez/26",
AI1211 &lt;&gt; "", "Mar-Dez/26", AJ1211 &lt;&gt; "", "Abr-Dez/26",
TRUE, "A partir de Junho"
)</f>
        <v>A partir de Junho</v>
      </c>
      <c r="G1211" s="4" t="s">
        <v>62</v>
      </c>
      <c r="H1211" s="7" t="s">
        <v>110</v>
      </c>
      <c r="I1211" s="8"/>
      <c r="J1211" s="8" t="str" cm="1">
        <f t="array" aca="1" ref="J1211" ca="1">_xlfn.LET(
  _xlpm.actual_value_month, INDEX(T1211:AE1211, MATCH(DATE(YEAR(TODAY()), MONTH(TODAY()), 1), $T$1:$AE$1, 0)),
  IF(_xlpm.actual_value_month &lt;&gt; "",_xlpm.actual_value_month &amp; " ações mensais", "")
)</f>
        <v/>
      </c>
      <c r="K1211" s="8" t="str" cm="1">
        <f t="array" ref="K1211">_xlfn.LET(
    _xlpm.sum_month, SUM(T1211:AE1211),
    IF(_xlpm.sum_month = 0, "", _xlpm.sum_month &amp; " veículos com telemetria no ano")
)</f>
        <v/>
      </c>
      <c r="L1211" s="9" t="s">
        <v>111</v>
      </c>
      <c r="M1211" s="13">
        <v>1</v>
      </c>
      <c r="N1211" s="5" t="s">
        <v>51</v>
      </c>
      <c r="O1211" s="5" t="s">
        <v>52</v>
      </c>
      <c r="P1211" s="10" t="s">
        <v>44</v>
      </c>
      <c r="Q1211" s="10" t="s">
        <v>44</v>
      </c>
      <c r="R1211" s="11" t="s">
        <v>44</v>
      </c>
      <c r="S1211" s="11" t="s">
        <v>44</v>
      </c>
      <c r="T1211" s="22"/>
      <c r="U1211" s="22"/>
      <c r="V1211" s="22"/>
      <c r="W1211" s="22"/>
      <c r="X1211" s="22"/>
      <c r="Y1211" s="22"/>
      <c r="Z1211" s="22"/>
      <c r="AA1211" s="22"/>
      <c r="AB1211" s="22"/>
      <c r="AC1211" s="22"/>
      <c r="AD1211" s="22"/>
      <c r="AE1211" s="22"/>
      <c r="AG1211" s="71"/>
      <c r="AH1211" s="71"/>
      <c r="AI1211" s="71"/>
      <c r="AJ1211" s="71"/>
      <c r="AK1211" s="71"/>
      <c r="AL1211" s="71"/>
      <c r="AM1211" s="71"/>
      <c r="AN1211" s="71"/>
      <c r="AO1211" s="71"/>
      <c r="AP1211" s="71"/>
      <c r="AQ1211" s="71"/>
      <c r="AR1211" s="71"/>
      <c r="AS1211" s="94">
        <v>0</v>
      </c>
      <c r="AT1211" s="95">
        <v>0</v>
      </c>
      <c r="AU1211" s="97">
        <v>0</v>
      </c>
      <c r="AW1211" s="83">
        <f t="shared" si="1429"/>
        <v>0</v>
      </c>
      <c r="AX1211" s="83">
        <f t="shared" si="1430"/>
        <v>0</v>
      </c>
      <c r="AY1211" s="83">
        <f t="shared" si="1431"/>
        <v>0</v>
      </c>
      <c r="AZ1211" s="83">
        <f t="shared" si="1432"/>
        <v>0</v>
      </c>
      <c r="BA1211" s="52"/>
      <c r="BB1211" s="52"/>
      <c r="BC1211" s="52"/>
      <c r="BD1211" s="52"/>
      <c r="BE1211" s="52"/>
      <c r="BF1211" s="52"/>
      <c r="BG1211" s="52"/>
      <c r="BH1211" s="52"/>
      <c r="BI1211" s="68">
        <v>0</v>
      </c>
      <c r="BJ1211" s="68">
        <v>0</v>
      </c>
      <c r="BK1211" s="59">
        <v>0</v>
      </c>
      <c r="BL1211" s="59">
        <v>0</v>
      </c>
      <c r="BM1211" s="55">
        <v>46054</v>
      </c>
      <c r="BN1211" s="55">
        <v>46082</v>
      </c>
      <c r="BO1211" s="53">
        <v>0</v>
      </c>
      <c r="BP1211" s="53">
        <v>0</v>
      </c>
      <c r="BQ1211" s="53">
        <v>0</v>
      </c>
      <c r="BR1211" s="85">
        <v>0</v>
      </c>
      <c r="BS1211" s="53">
        <v>0.1111111111111111</v>
      </c>
    </row>
    <row r="1212" spans="1:71" ht="25.95" hidden="1" customHeight="1" x14ac:dyDescent="0.3">
      <c r="A1212" s="70" t="s">
        <v>108</v>
      </c>
      <c r="B1212" s="4" t="s">
        <v>109</v>
      </c>
      <c r="C1212" s="5" t="s">
        <v>209</v>
      </c>
      <c r="D1212" s="5" t="s">
        <v>212</v>
      </c>
      <c r="E1212" s="4" t="s">
        <v>61</v>
      </c>
      <c r="F1212" s="4" t="str" cm="1">
        <f t="array" ref="F1212">_xlfn.IFS(
AG1212 &lt;&gt; "", "Jan-Dez/26",
AH1212 &lt;&gt; "", "Fev-Dez/26",
AI1212 &lt;&gt; "", "Mar-Dez/26", AJ1212 &lt;&gt; "", "Abr-Dez/26",
TRUE, "A partir de Junho"
)</f>
        <v>A partir de Junho</v>
      </c>
      <c r="G1212" s="4" t="s">
        <v>62</v>
      </c>
      <c r="H1212" s="7" t="s">
        <v>110</v>
      </c>
      <c r="I1212" s="8"/>
      <c r="J1212" s="8" t="str" cm="1">
        <f t="array" aca="1" ref="J1212" ca="1">_xlfn.LET(
  _xlpm.actual_value_month, INDEX(T1212:AE1212, MATCH(DATE(YEAR(TODAY()), MONTH(TODAY()), 1), $T$1:$AE$1, 0)),
  IF(_xlpm.actual_value_month &lt;&gt; "",_xlpm.actual_value_month &amp; " ações mensais", "")
)</f>
        <v/>
      </c>
      <c r="K1212" s="8" t="str" cm="1">
        <f t="array" ref="K1212">_xlfn.LET(
    _xlpm.sum_month, SUM(T1212:AE1212),
    IF(_xlpm.sum_month = 0, "", _xlpm.sum_month &amp; " veículos com telemetria no ano")
)</f>
        <v/>
      </c>
      <c r="L1212" s="9" t="s">
        <v>111</v>
      </c>
      <c r="M1212" s="13">
        <v>1</v>
      </c>
      <c r="N1212" s="5" t="s">
        <v>51</v>
      </c>
      <c r="O1212" s="5" t="s">
        <v>52</v>
      </c>
      <c r="P1212" s="10" t="s">
        <v>44</v>
      </c>
      <c r="Q1212" s="10" t="s">
        <v>44</v>
      </c>
      <c r="R1212" s="11" t="s">
        <v>44</v>
      </c>
      <c r="S1212" s="11" t="s">
        <v>44</v>
      </c>
      <c r="T1212" s="22"/>
      <c r="U1212" s="22"/>
      <c r="V1212" s="22"/>
      <c r="W1212" s="22"/>
      <c r="X1212" s="22"/>
      <c r="Y1212" s="22"/>
      <c r="Z1212" s="22"/>
      <c r="AA1212" s="22"/>
      <c r="AB1212" s="22"/>
      <c r="AC1212" s="22"/>
      <c r="AD1212" s="22"/>
      <c r="AE1212" s="22"/>
      <c r="AG1212" s="71"/>
      <c r="AH1212" s="71"/>
      <c r="AI1212" s="71"/>
      <c r="AJ1212" s="71"/>
      <c r="AK1212" s="71"/>
      <c r="AL1212" s="71"/>
      <c r="AM1212" s="71"/>
      <c r="AN1212" s="71"/>
      <c r="AO1212" s="71"/>
      <c r="AP1212" s="71"/>
      <c r="AQ1212" s="71"/>
      <c r="AR1212" s="71"/>
      <c r="AS1212" s="94">
        <v>0</v>
      </c>
      <c r="AT1212" s="95">
        <v>0</v>
      </c>
      <c r="AU1212" s="97">
        <v>0</v>
      </c>
      <c r="AW1212" s="83">
        <f t="shared" si="1429"/>
        <v>0</v>
      </c>
      <c r="AX1212" s="83">
        <f t="shared" si="1430"/>
        <v>0</v>
      </c>
      <c r="AY1212" s="83">
        <f t="shared" si="1431"/>
        <v>0</v>
      </c>
      <c r="AZ1212" s="83">
        <f t="shared" si="1432"/>
        <v>0</v>
      </c>
      <c r="BA1212" s="52"/>
      <c r="BB1212" s="52"/>
      <c r="BC1212" s="52"/>
      <c r="BD1212" s="52"/>
      <c r="BE1212" s="52"/>
      <c r="BF1212" s="52"/>
      <c r="BG1212" s="52"/>
      <c r="BH1212" s="52"/>
      <c r="BI1212" s="68">
        <v>0</v>
      </c>
      <c r="BJ1212" s="68">
        <v>0</v>
      </c>
      <c r="BK1212" s="59">
        <v>0</v>
      </c>
      <c r="BL1212" s="59">
        <v>0</v>
      </c>
      <c r="BM1212" s="55">
        <v>46054</v>
      </c>
      <c r="BN1212" s="55">
        <v>46082</v>
      </c>
      <c r="BO1212" s="53">
        <v>0</v>
      </c>
      <c r="BP1212" s="53">
        <v>0</v>
      </c>
      <c r="BQ1212" s="53">
        <v>0</v>
      </c>
      <c r="BR1212" s="85">
        <v>0</v>
      </c>
      <c r="BS1212" s="53">
        <v>0.1111111111111111</v>
      </c>
    </row>
    <row r="1213" spans="1:71" ht="25.95" hidden="1" customHeight="1" x14ac:dyDescent="0.3">
      <c r="A1213" s="70" t="s">
        <v>108</v>
      </c>
      <c r="B1213" s="4" t="s">
        <v>109</v>
      </c>
      <c r="C1213" s="5" t="s">
        <v>209</v>
      </c>
      <c r="D1213" s="5" t="s">
        <v>213</v>
      </c>
      <c r="E1213" s="4" t="s">
        <v>61</v>
      </c>
      <c r="F1213" s="4" t="str" cm="1">
        <f t="array" ref="F1213">_xlfn.IFS(
AG1213 &lt;&gt; "", "Jan-Dez/26",
AH1213 &lt;&gt; "", "Fev-Dez/26",
AI1213 &lt;&gt; "", "Mar-Dez/26", AJ1213 &lt;&gt; "", "Abr-Dez/26",
TRUE, "A partir de Junho"
)</f>
        <v>A partir de Junho</v>
      </c>
      <c r="G1213" s="4" t="s">
        <v>62</v>
      </c>
      <c r="H1213" s="7" t="s">
        <v>110</v>
      </c>
      <c r="I1213" s="8"/>
      <c r="J1213" s="8" t="str" cm="1">
        <f t="array" aca="1" ref="J1213" ca="1">_xlfn.LET(
  _xlpm.actual_value_month, INDEX(T1213:AE1213, MATCH(DATE(YEAR(TODAY()), MONTH(TODAY()), 1), $T$1:$AE$1, 0)),
  IF(_xlpm.actual_value_month &lt;&gt; "",_xlpm.actual_value_month &amp; " ações mensais", "")
)</f>
        <v/>
      </c>
      <c r="K1213" s="8" t="str" cm="1">
        <f t="array" ref="K1213">_xlfn.LET(
    _xlpm.sum_month, SUM(T1213:AE1213),
    IF(_xlpm.sum_month = 0, "", _xlpm.sum_month &amp; " veículos com telemetria no ano")
)</f>
        <v/>
      </c>
      <c r="L1213" s="9" t="s">
        <v>111</v>
      </c>
      <c r="M1213" s="13">
        <v>1</v>
      </c>
      <c r="N1213" s="5" t="s">
        <v>51</v>
      </c>
      <c r="O1213" s="5" t="s">
        <v>52</v>
      </c>
      <c r="P1213" s="10" t="s">
        <v>44</v>
      </c>
      <c r="Q1213" s="10" t="s">
        <v>44</v>
      </c>
      <c r="R1213" s="11" t="s">
        <v>44</v>
      </c>
      <c r="S1213" s="11" t="s">
        <v>44</v>
      </c>
      <c r="T1213" s="22"/>
      <c r="U1213" s="22"/>
      <c r="V1213" s="22"/>
      <c r="W1213" s="22"/>
      <c r="X1213" s="22"/>
      <c r="Y1213" s="22"/>
      <c r="Z1213" s="22"/>
      <c r="AA1213" s="22"/>
      <c r="AB1213" s="22"/>
      <c r="AC1213" s="22"/>
      <c r="AD1213" s="22"/>
      <c r="AE1213" s="22"/>
      <c r="AG1213" s="71"/>
      <c r="AH1213" s="71"/>
      <c r="AI1213" s="71"/>
      <c r="AJ1213" s="71"/>
      <c r="AK1213" s="71"/>
      <c r="AL1213" s="71"/>
      <c r="AM1213" s="71"/>
      <c r="AN1213" s="71"/>
      <c r="AO1213" s="71"/>
      <c r="AP1213" s="71"/>
      <c r="AQ1213" s="71"/>
      <c r="AR1213" s="71"/>
      <c r="AS1213" s="94">
        <v>0</v>
      </c>
      <c r="AT1213" s="95">
        <v>0</v>
      </c>
      <c r="AU1213" s="97">
        <v>0</v>
      </c>
      <c r="AW1213" s="83">
        <f t="shared" si="1429"/>
        <v>0</v>
      </c>
      <c r="AX1213" s="83">
        <f t="shared" si="1430"/>
        <v>0</v>
      </c>
      <c r="AY1213" s="83">
        <f t="shared" si="1431"/>
        <v>0</v>
      </c>
      <c r="AZ1213" s="83">
        <f t="shared" si="1432"/>
        <v>0</v>
      </c>
      <c r="BA1213" s="52"/>
      <c r="BB1213" s="52"/>
      <c r="BC1213" s="52"/>
      <c r="BD1213" s="52"/>
      <c r="BE1213" s="52"/>
      <c r="BF1213" s="52"/>
      <c r="BG1213" s="52"/>
      <c r="BH1213" s="52"/>
      <c r="BI1213" s="68">
        <v>0</v>
      </c>
      <c r="BJ1213" s="68">
        <v>0</v>
      </c>
      <c r="BK1213" s="59">
        <v>0</v>
      </c>
      <c r="BL1213" s="59">
        <v>0</v>
      </c>
      <c r="BM1213" s="55">
        <v>46054</v>
      </c>
      <c r="BN1213" s="55">
        <v>46082</v>
      </c>
      <c r="BO1213" s="53">
        <v>0</v>
      </c>
      <c r="BP1213" s="53">
        <v>0</v>
      </c>
      <c r="BQ1213" s="53">
        <v>0</v>
      </c>
      <c r="BR1213" s="85">
        <v>0</v>
      </c>
      <c r="BS1213" s="53">
        <v>0.1111111111111111</v>
      </c>
    </row>
    <row r="1214" spans="1:71" ht="25.95" hidden="1" customHeight="1" x14ac:dyDescent="0.3">
      <c r="A1214" s="70" t="s">
        <v>108</v>
      </c>
      <c r="B1214" s="4" t="s">
        <v>109</v>
      </c>
      <c r="C1214" s="5" t="s">
        <v>209</v>
      </c>
      <c r="D1214" s="5" t="s">
        <v>36</v>
      </c>
      <c r="E1214" s="4" t="s">
        <v>61</v>
      </c>
      <c r="F1214" s="4" t="str" cm="1">
        <f t="array" ref="F1214">_xlfn.IFS(
AG1214 &lt;&gt; "", "Jan-Dez/26",
AH1214 &lt;&gt; "", "Fev-Dez/26",
AI1214 &lt;&gt; "", "Mar-Dez/26", AJ1214 &lt;&gt; "", "Abr-Dez/26",
TRUE, "A partir de Junho"
)</f>
        <v>A partir de Junho</v>
      </c>
      <c r="G1214" s="4" t="s">
        <v>62</v>
      </c>
      <c r="H1214" s="7" t="s">
        <v>110</v>
      </c>
      <c r="I1214" s="8"/>
      <c r="J1214" s="8" t="str" cm="1">
        <f t="array" aca="1" ref="J1214" ca="1">_xlfn.LET(
  _xlpm.actual_value_month, INDEX(T1214:AE1214, MATCH(DATE(YEAR(TODAY()), MONTH(TODAY()), 1), $T$1:$AE$1, 0)),
  IF(_xlpm.actual_value_month &lt;&gt; "",_xlpm.actual_value_month &amp; " ações mensais", "")
)</f>
        <v/>
      </c>
      <c r="K1214" s="8" t="str" cm="1">
        <f t="array" ref="K1214">_xlfn.LET(
    _xlpm.sum_month, SUM(T1214:AE1214),
    IF(_xlpm.sum_month = 0, "", _xlpm.sum_month &amp; " telemetria implementada no ano")
)</f>
        <v/>
      </c>
      <c r="L1214" s="9" t="s">
        <v>112</v>
      </c>
      <c r="M1214" s="13">
        <v>1</v>
      </c>
      <c r="N1214" s="5" t="s">
        <v>51</v>
      </c>
      <c r="O1214" s="5" t="s">
        <v>43</v>
      </c>
      <c r="P1214" s="10" t="s">
        <v>44</v>
      </c>
      <c r="Q1214" s="10" t="s">
        <v>44</v>
      </c>
      <c r="R1214" s="11" t="s">
        <v>44</v>
      </c>
      <c r="S1214" s="11" t="s">
        <v>44</v>
      </c>
      <c r="T1214" s="22"/>
      <c r="U1214" s="22"/>
      <c r="V1214" s="22"/>
      <c r="W1214" s="22"/>
      <c r="X1214" s="22"/>
      <c r="Y1214" s="22"/>
      <c r="Z1214" s="22"/>
      <c r="AA1214" s="22"/>
      <c r="AB1214" s="22"/>
      <c r="AC1214" s="22"/>
      <c r="AD1214" s="22"/>
      <c r="AE1214" s="22"/>
      <c r="AG1214" s="71"/>
      <c r="AH1214" s="71"/>
      <c r="AI1214" s="71"/>
      <c r="AJ1214" s="71"/>
      <c r="AK1214" s="71"/>
      <c r="AL1214" s="71"/>
      <c r="AM1214" s="71"/>
      <c r="AN1214" s="71"/>
      <c r="AO1214" s="71"/>
      <c r="AP1214" s="71"/>
      <c r="AQ1214" s="71"/>
      <c r="AR1214" s="71"/>
      <c r="AS1214" s="94">
        <v>0</v>
      </c>
      <c r="AT1214" s="95">
        <v>0</v>
      </c>
      <c r="AU1214" s="97">
        <v>0</v>
      </c>
      <c r="AW1214" s="83">
        <f>AG1214</f>
        <v>0</v>
      </c>
      <c r="AX1214" s="83">
        <f>AH1214</f>
        <v>0</v>
      </c>
      <c r="AY1214" s="83">
        <f>AI1214</f>
        <v>0</v>
      </c>
      <c r="AZ1214" s="83">
        <f>AJ1214</f>
        <v>0</v>
      </c>
      <c r="BA1214" s="52"/>
      <c r="BB1214" s="52"/>
      <c r="BC1214" s="52"/>
      <c r="BD1214" s="52"/>
      <c r="BE1214" s="52"/>
      <c r="BF1214" s="52"/>
      <c r="BG1214" s="52"/>
      <c r="BH1214" s="52"/>
      <c r="BI1214" s="68">
        <v>0</v>
      </c>
      <c r="BJ1214" s="68">
        <v>0</v>
      </c>
      <c r="BK1214" s="59">
        <v>0</v>
      </c>
      <c r="BL1214" s="59">
        <v>0</v>
      </c>
      <c r="BM1214" s="55">
        <v>46054</v>
      </c>
      <c r="BN1214" s="55">
        <v>46082</v>
      </c>
      <c r="BO1214" s="53">
        <v>0</v>
      </c>
      <c r="BP1214" s="53">
        <v>0</v>
      </c>
      <c r="BQ1214" s="53">
        <v>0</v>
      </c>
      <c r="BR1214" s="85">
        <v>0</v>
      </c>
      <c r="BS1214" s="53">
        <v>0.1111111111111111</v>
      </c>
    </row>
    <row r="1215" spans="1:71" ht="25.95" hidden="1" customHeight="1" x14ac:dyDescent="0.3">
      <c r="A1215" s="70" t="s">
        <v>108</v>
      </c>
      <c r="B1215" s="4" t="s">
        <v>109</v>
      </c>
      <c r="C1215" s="5" t="s">
        <v>209</v>
      </c>
      <c r="D1215" s="5" t="s">
        <v>210</v>
      </c>
      <c r="E1215" s="4" t="s">
        <v>61</v>
      </c>
      <c r="F1215" s="4" t="str" cm="1">
        <f t="array" ref="F1215">_xlfn.IFS(
AG1215 &lt;&gt; "", "Jan-Dez/26",
AH1215 &lt;&gt; "", "Fev-Dez/26",
AI1215 &lt;&gt; "", "Mar-Dez/26", AJ1215 &lt;&gt; "", "Abr-Dez/26",
TRUE, "A partir de Junho"
)</f>
        <v>A partir de Junho</v>
      </c>
      <c r="G1215" s="4" t="s">
        <v>62</v>
      </c>
      <c r="H1215" s="7" t="s">
        <v>110</v>
      </c>
      <c r="I1215" s="8"/>
      <c r="J1215" s="8" t="str" cm="1">
        <f t="array" aca="1" ref="J1215" ca="1">_xlfn.LET(
  _xlpm.actual_value_month, INDEX(T1215:AE1215, MATCH(DATE(YEAR(TODAY()), MONTH(TODAY()), 1), $T$1:$AE$1, 0)),
  IF(_xlpm.actual_value_month &lt;&gt; "",_xlpm.actual_value_month &amp; " ações mensais", "")
)</f>
        <v/>
      </c>
      <c r="K1215" s="8" t="str" cm="1">
        <f t="array" ref="K1215">_xlfn.LET(
    _xlpm.sum_month, SUM(T1215:AE1215),
    IF(_xlpm.sum_month = 0, "", _xlpm.sum_month &amp; " telemetria implementada no ano")
)</f>
        <v/>
      </c>
      <c r="L1215" s="9" t="s">
        <v>112</v>
      </c>
      <c r="M1215" s="13">
        <v>1</v>
      </c>
      <c r="N1215" s="5" t="s">
        <v>51</v>
      </c>
      <c r="O1215" s="5" t="s">
        <v>43</v>
      </c>
      <c r="P1215" s="10" t="s">
        <v>44</v>
      </c>
      <c r="Q1215" s="10" t="s">
        <v>44</v>
      </c>
      <c r="R1215" s="11" t="s">
        <v>44</v>
      </c>
      <c r="S1215" s="11" t="s">
        <v>44</v>
      </c>
      <c r="T1215" s="22"/>
      <c r="U1215" s="22"/>
      <c r="V1215" s="22"/>
      <c r="W1215" s="22"/>
      <c r="X1215" s="22"/>
      <c r="Y1215" s="22"/>
      <c r="Z1215" s="22"/>
      <c r="AA1215" s="22"/>
      <c r="AB1215" s="22"/>
      <c r="AC1215" s="22"/>
      <c r="AD1215" s="22"/>
      <c r="AE1215" s="22"/>
      <c r="AG1215" s="71"/>
      <c r="AH1215" s="71"/>
      <c r="AI1215" s="71"/>
      <c r="AJ1215" s="71"/>
      <c r="AK1215" s="71"/>
      <c r="AL1215" s="71"/>
      <c r="AM1215" s="71"/>
      <c r="AN1215" s="71"/>
      <c r="AO1215" s="71"/>
      <c r="AP1215" s="71"/>
      <c r="AQ1215" s="71"/>
      <c r="AR1215" s="71"/>
      <c r="AS1215" s="94">
        <v>0</v>
      </c>
      <c r="AT1215" s="95">
        <v>0</v>
      </c>
      <c r="AU1215" s="97">
        <v>0</v>
      </c>
      <c r="AW1215" s="83">
        <f t="shared" ref="AW1215:AW1219" si="1433">AG1215</f>
        <v>0</v>
      </c>
      <c r="AX1215" s="83">
        <f t="shared" ref="AX1215:AX1219" si="1434">AH1215</f>
        <v>0</v>
      </c>
      <c r="AY1215" s="83">
        <f t="shared" ref="AY1215:AY1219" si="1435">AI1215</f>
        <v>0</v>
      </c>
      <c r="AZ1215" s="83">
        <f t="shared" ref="AZ1215:AZ1219" si="1436">AJ1215</f>
        <v>0</v>
      </c>
      <c r="BA1215" s="52"/>
      <c r="BB1215" s="52"/>
      <c r="BC1215" s="52"/>
      <c r="BD1215" s="52"/>
      <c r="BE1215" s="52"/>
      <c r="BF1215" s="52"/>
      <c r="BG1215" s="52"/>
      <c r="BH1215" s="52"/>
      <c r="BI1215" s="68">
        <v>0</v>
      </c>
      <c r="BJ1215" s="68">
        <v>0</v>
      </c>
      <c r="BK1215" s="59">
        <v>0</v>
      </c>
      <c r="BL1215" s="59">
        <v>0</v>
      </c>
      <c r="BM1215" s="55">
        <v>46054</v>
      </c>
      <c r="BN1215" s="55">
        <v>46082</v>
      </c>
      <c r="BO1215" s="53">
        <v>0</v>
      </c>
      <c r="BP1215" s="53">
        <v>0</v>
      </c>
      <c r="BQ1215" s="53">
        <v>0</v>
      </c>
      <c r="BR1215" s="85">
        <v>0</v>
      </c>
      <c r="BS1215" s="53">
        <v>0.1111111111111111</v>
      </c>
    </row>
    <row r="1216" spans="1:71" ht="25.95" hidden="1" customHeight="1" x14ac:dyDescent="0.3">
      <c r="A1216" s="70" t="s">
        <v>108</v>
      </c>
      <c r="B1216" s="4" t="s">
        <v>109</v>
      </c>
      <c r="C1216" s="5" t="s">
        <v>209</v>
      </c>
      <c r="D1216" s="5" t="s">
        <v>47</v>
      </c>
      <c r="E1216" s="4" t="s">
        <v>61</v>
      </c>
      <c r="F1216" s="4" t="str" cm="1">
        <f t="array" ref="F1216">_xlfn.IFS(
AG1216 &lt;&gt; "", "Jan-Dez/26",
AH1216 &lt;&gt; "", "Fev-Dez/26",
AI1216 &lt;&gt; "", "Mar-Dez/26", AJ1216 &lt;&gt; "", "Abr-Dez/26",
TRUE, "A partir de Junho"
)</f>
        <v>A partir de Junho</v>
      </c>
      <c r="G1216" s="4" t="s">
        <v>62</v>
      </c>
      <c r="H1216" s="7" t="s">
        <v>110</v>
      </c>
      <c r="I1216" s="8"/>
      <c r="J1216" s="8" t="str" cm="1">
        <f t="array" aca="1" ref="J1216" ca="1">_xlfn.LET(
  _xlpm.actual_value_month, INDEX(T1216:AE1216, MATCH(DATE(YEAR(TODAY()), MONTH(TODAY()), 1), $T$1:$AE$1, 0)),
  IF(_xlpm.actual_value_month &lt;&gt; "",_xlpm.actual_value_month &amp; " ações mensais", "")
)</f>
        <v/>
      </c>
      <c r="K1216" s="8" t="str" cm="1">
        <f t="array" ref="K1216">_xlfn.LET(
    _xlpm.sum_month, SUM(T1216:AE1216),
    IF(_xlpm.sum_month = 0, "", _xlpm.sum_month &amp; " telemetria implementada no ano")
)</f>
        <v/>
      </c>
      <c r="L1216" s="9" t="s">
        <v>112</v>
      </c>
      <c r="M1216" s="13">
        <v>1</v>
      </c>
      <c r="N1216" s="5" t="s">
        <v>51</v>
      </c>
      <c r="O1216" s="5" t="s">
        <v>43</v>
      </c>
      <c r="P1216" s="10" t="s">
        <v>44</v>
      </c>
      <c r="Q1216" s="10" t="s">
        <v>44</v>
      </c>
      <c r="R1216" s="11" t="s">
        <v>44</v>
      </c>
      <c r="S1216" s="11" t="s">
        <v>44</v>
      </c>
      <c r="T1216" s="22"/>
      <c r="U1216" s="22"/>
      <c r="V1216" s="22"/>
      <c r="W1216" s="22"/>
      <c r="X1216" s="22"/>
      <c r="Y1216" s="22"/>
      <c r="Z1216" s="22"/>
      <c r="AA1216" s="22"/>
      <c r="AB1216" s="22"/>
      <c r="AC1216" s="22"/>
      <c r="AD1216" s="22"/>
      <c r="AE1216" s="22"/>
      <c r="AG1216" s="71"/>
      <c r="AH1216" s="71"/>
      <c r="AI1216" s="71"/>
      <c r="AJ1216" s="71"/>
      <c r="AK1216" s="71"/>
      <c r="AL1216" s="71"/>
      <c r="AM1216" s="71"/>
      <c r="AN1216" s="71"/>
      <c r="AO1216" s="71"/>
      <c r="AP1216" s="71"/>
      <c r="AQ1216" s="71"/>
      <c r="AR1216" s="71"/>
      <c r="AS1216" s="94">
        <v>0</v>
      </c>
      <c r="AT1216" s="95">
        <v>0</v>
      </c>
      <c r="AU1216" s="97">
        <v>0</v>
      </c>
      <c r="AW1216" s="83">
        <f t="shared" si="1433"/>
        <v>0</v>
      </c>
      <c r="AX1216" s="83">
        <f t="shared" si="1434"/>
        <v>0</v>
      </c>
      <c r="AY1216" s="83">
        <f t="shared" si="1435"/>
        <v>0</v>
      </c>
      <c r="AZ1216" s="83">
        <f t="shared" si="1436"/>
        <v>0</v>
      </c>
      <c r="BA1216" s="52"/>
      <c r="BB1216" s="52"/>
      <c r="BC1216" s="52"/>
      <c r="BD1216" s="52"/>
      <c r="BE1216" s="52"/>
      <c r="BF1216" s="52"/>
      <c r="BG1216" s="52"/>
      <c r="BH1216" s="52"/>
      <c r="BI1216" s="68">
        <v>0</v>
      </c>
      <c r="BJ1216" s="68">
        <v>0</v>
      </c>
      <c r="BK1216" s="59">
        <v>0</v>
      </c>
      <c r="BL1216" s="59">
        <v>0</v>
      </c>
      <c r="BM1216" s="55">
        <v>46054</v>
      </c>
      <c r="BN1216" s="55">
        <v>46082</v>
      </c>
      <c r="BO1216" s="53">
        <v>0</v>
      </c>
      <c r="BP1216" s="53">
        <v>0</v>
      </c>
      <c r="BQ1216" s="53">
        <v>0</v>
      </c>
      <c r="BR1216" s="85">
        <v>0</v>
      </c>
      <c r="BS1216" s="53">
        <v>0.1111111111111111</v>
      </c>
    </row>
    <row r="1217" spans="1:71" ht="25.95" hidden="1" customHeight="1" x14ac:dyDescent="0.3">
      <c r="A1217" s="70" t="s">
        <v>108</v>
      </c>
      <c r="B1217" s="4" t="s">
        <v>109</v>
      </c>
      <c r="C1217" s="5" t="s">
        <v>209</v>
      </c>
      <c r="D1217" s="5" t="s">
        <v>211</v>
      </c>
      <c r="E1217" s="4" t="s">
        <v>61</v>
      </c>
      <c r="F1217" s="4" t="str" cm="1">
        <f t="array" ref="F1217">_xlfn.IFS(
AG1217 &lt;&gt; "", "Jan-Dez/26",
AH1217 &lt;&gt; "", "Fev-Dez/26",
AI1217 &lt;&gt; "", "Mar-Dez/26", AJ1217 &lt;&gt; "", "Abr-Dez/26",
TRUE, "A partir de Junho"
)</f>
        <v>A partir de Junho</v>
      </c>
      <c r="G1217" s="4" t="s">
        <v>62</v>
      </c>
      <c r="H1217" s="7" t="s">
        <v>110</v>
      </c>
      <c r="I1217" s="8"/>
      <c r="J1217" s="8" t="str" cm="1">
        <f t="array" aca="1" ref="J1217" ca="1">_xlfn.LET(
  _xlpm.actual_value_month, INDEX(T1217:AE1217, MATCH(DATE(YEAR(TODAY()), MONTH(TODAY()), 1), $T$1:$AE$1, 0)),
  IF(_xlpm.actual_value_month &lt;&gt; "",_xlpm.actual_value_month &amp; " ações mensais", "")
)</f>
        <v/>
      </c>
      <c r="K1217" s="8" t="str" cm="1">
        <f t="array" ref="K1217">_xlfn.LET(
    _xlpm.sum_month, SUM(T1217:AE1217),
    IF(_xlpm.sum_month = 0, "", _xlpm.sum_month &amp; " telemetria implementada no ano")
)</f>
        <v/>
      </c>
      <c r="L1217" s="9" t="s">
        <v>112</v>
      </c>
      <c r="M1217" s="13">
        <v>1</v>
      </c>
      <c r="N1217" s="5" t="s">
        <v>51</v>
      </c>
      <c r="O1217" s="5" t="s">
        <v>43</v>
      </c>
      <c r="P1217" s="10" t="s">
        <v>44</v>
      </c>
      <c r="Q1217" s="10" t="s">
        <v>44</v>
      </c>
      <c r="R1217" s="11" t="s">
        <v>44</v>
      </c>
      <c r="S1217" s="11" t="s">
        <v>44</v>
      </c>
      <c r="T1217" s="22"/>
      <c r="U1217" s="22"/>
      <c r="V1217" s="22"/>
      <c r="W1217" s="22"/>
      <c r="X1217" s="22"/>
      <c r="Y1217" s="22"/>
      <c r="Z1217" s="22"/>
      <c r="AA1217" s="22"/>
      <c r="AB1217" s="22"/>
      <c r="AC1217" s="22"/>
      <c r="AD1217" s="22"/>
      <c r="AE1217" s="22"/>
      <c r="AG1217" s="71"/>
      <c r="AH1217" s="71"/>
      <c r="AI1217" s="71"/>
      <c r="AJ1217" s="71"/>
      <c r="AK1217" s="71"/>
      <c r="AL1217" s="71"/>
      <c r="AM1217" s="71"/>
      <c r="AN1217" s="71"/>
      <c r="AO1217" s="71"/>
      <c r="AP1217" s="71"/>
      <c r="AQ1217" s="71"/>
      <c r="AR1217" s="71"/>
      <c r="AS1217" s="94">
        <v>0</v>
      </c>
      <c r="AT1217" s="95">
        <v>0</v>
      </c>
      <c r="AU1217" s="97">
        <v>0</v>
      </c>
      <c r="AW1217" s="83">
        <f t="shared" si="1433"/>
        <v>0</v>
      </c>
      <c r="AX1217" s="83">
        <f t="shared" si="1434"/>
        <v>0</v>
      </c>
      <c r="AY1217" s="83">
        <f t="shared" si="1435"/>
        <v>0</v>
      </c>
      <c r="AZ1217" s="83">
        <f t="shared" si="1436"/>
        <v>0</v>
      </c>
      <c r="BA1217" s="52"/>
      <c r="BB1217" s="52"/>
      <c r="BC1217" s="52"/>
      <c r="BD1217" s="52"/>
      <c r="BE1217" s="52"/>
      <c r="BF1217" s="52"/>
      <c r="BG1217" s="52"/>
      <c r="BH1217" s="52"/>
      <c r="BI1217" s="68">
        <v>0</v>
      </c>
      <c r="BJ1217" s="68">
        <v>0</v>
      </c>
      <c r="BK1217" s="59">
        <v>0</v>
      </c>
      <c r="BL1217" s="59">
        <v>0</v>
      </c>
      <c r="BM1217" s="55">
        <v>46054</v>
      </c>
      <c r="BN1217" s="55">
        <v>46082</v>
      </c>
      <c r="BO1217" s="53">
        <v>0</v>
      </c>
      <c r="BP1217" s="53">
        <v>0</v>
      </c>
      <c r="BQ1217" s="53">
        <v>0</v>
      </c>
      <c r="BR1217" s="85">
        <v>0</v>
      </c>
      <c r="BS1217" s="53">
        <v>0.1111111111111111</v>
      </c>
    </row>
    <row r="1218" spans="1:71" ht="25.95" hidden="1" customHeight="1" x14ac:dyDescent="0.3">
      <c r="A1218" s="70" t="s">
        <v>108</v>
      </c>
      <c r="B1218" s="4" t="s">
        <v>109</v>
      </c>
      <c r="C1218" s="5" t="s">
        <v>209</v>
      </c>
      <c r="D1218" s="5" t="s">
        <v>212</v>
      </c>
      <c r="E1218" s="4" t="s">
        <v>61</v>
      </c>
      <c r="F1218" s="4" t="str" cm="1">
        <f t="array" ref="F1218">_xlfn.IFS(
AG1218 &lt;&gt; "", "Jan-Dez/26",
AH1218 &lt;&gt; "", "Fev-Dez/26",
AI1218 &lt;&gt; "", "Mar-Dez/26", AJ1218 &lt;&gt; "", "Abr-Dez/26",
TRUE, "A partir de Junho"
)</f>
        <v>A partir de Junho</v>
      </c>
      <c r="G1218" s="4" t="s">
        <v>62</v>
      </c>
      <c r="H1218" s="7" t="s">
        <v>110</v>
      </c>
      <c r="I1218" s="8"/>
      <c r="J1218" s="8" t="str" cm="1">
        <f t="array" aca="1" ref="J1218" ca="1">_xlfn.LET(
  _xlpm.actual_value_month, INDEX(T1218:AE1218, MATCH(DATE(YEAR(TODAY()), MONTH(TODAY()), 1), $T$1:$AE$1, 0)),
  IF(_xlpm.actual_value_month &lt;&gt; "",_xlpm.actual_value_month &amp; " ações mensais", "")
)</f>
        <v/>
      </c>
      <c r="K1218" s="8" t="str" cm="1">
        <f t="array" ref="K1218">_xlfn.LET(
    _xlpm.sum_month, SUM(T1218:AE1218),
    IF(_xlpm.sum_month = 0, "", _xlpm.sum_month &amp; " telemetria implementada no ano")
)</f>
        <v/>
      </c>
      <c r="L1218" s="9" t="s">
        <v>112</v>
      </c>
      <c r="M1218" s="13">
        <v>1</v>
      </c>
      <c r="N1218" s="5" t="s">
        <v>51</v>
      </c>
      <c r="O1218" s="5" t="s">
        <v>43</v>
      </c>
      <c r="P1218" s="10" t="s">
        <v>44</v>
      </c>
      <c r="Q1218" s="10" t="s">
        <v>44</v>
      </c>
      <c r="R1218" s="11" t="s">
        <v>44</v>
      </c>
      <c r="S1218" s="11" t="s">
        <v>44</v>
      </c>
      <c r="T1218" s="22"/>
      <c r="U1218" s="22"/>
      <c r="V1218" s="22"/>
      <c r="W1218" s="22"/>
      <c r="X1218" s="22"/>
      <c r="Y1218" s="22"/>
      <c r="Z1218" s="22"/>
      <c r="AA1218" s="22"/>
      <c r="AB1218" s="22"/>
      <c r="AC1218" s="22"/>
      <c r="AD1218" s="22"/>
      <c r="AE1218" s="22"/>
      <c r="AG1218" s="71"/>
      <c r="AH1218" s="71"/>
      <c r="AI1218" s="71"/>
      <c r="AJ1218" s="71"/>
      <c r="AK1218" s="71"/>
      <c r="AL1218" s="71"/>
      <c r="AM1218" s="71"/>
      <c r="AN1218" s="71"/>
      <c r="AO1218" s="71"/>
      <c r="AP1218" s="71"/>
      <c r="AQ1218" s="71"/>
      <c r="AR1218" s="71"/>
      <c r="AS1218" s="94">
        <v>0</v>
      </c>
      <c r="AT1218" s="95">
        <v>0</v>
      </c>
      <c r="AU1218" s="97">
        <v>0</v>
      </c>
      <c r="AW1218" s="83">
        <f t="shared" si="1433"/>
        <v>0</v>
      </c>
      <c r="AX1218" s="83">
        <f t="shared" si="1434"/>
        <v>0</v>
      </c>
      <c r="AY1218" s="83">
        <f t="shared" si="1435"/>
        <v>0</v>
      </c>
      <c r="AZ1218" s="83">
        <f t="shared" si="1436"/>
        <v>0</v>
      </c>
      <c r="BA1218" s="52"/>
      <c r="BB1218" s="52"/>
      <c r="BC1218" s="52"/>
      <c r="BD1218" s="52"/>
      <c r="BE1218" s="52"/>
      <c r="BF1218" s="52"/>
      <c r="BG1218" s="52"/>
      <c r="BH1218" s="52"/>
      <c r="BI1218" s="68">
        <v>0</v>
      </c>
      <c r="BJ1218" s="68">
        <v>0</v>
      </c>
      <c r="BK1218" s="59">
        <v>0</v>
      </c>
      <c r="BL1218" s="59">
        <v>0</v>
      </c>
      <c r="BM1218" s="55">
        <v>46054</v>
      </c>
      <c r="BN1218" s="55">
        <v>46082</v>
      </c>
      <c r="BO1218" s="53">
        <v>0</v>
      </c>
      <c r="BP1218" s="53">
        <v>0</v>
      </c>
      <c r="BQ1218" s="53">
        <v>0</v>
      </c>
      <c r="BR1218" s="85">
        <v>0</v>
      </c>
      <c r="BS1218" s="53">
        <v>0.1111111111111111</v>
      </c>
    </row>
    <row r="1219" spans="1:71" ht="25.95" hidden="1" customHeight="1" x14ac:dyDescent="0.3">
      <c r="A1219" s="70" t="s">
        <v>108</v>
      </c>
      <c r="B1219" s="4" t="s">
        <v>109</v>
      </c>
      <c r="C1219" s="5" t="s">
        <v>209</v>
      </c>
      <c r="D1219" s="5" t="s">
        <v>213</v>
      </c>
      <c r="E1219" s="4" t="s">
        <v>61</v>
      </c>
      <c r="F1219" s="4" t="str" cm="1">
        <f t="array" ref="F1219">_xlfn.IFS(
AG1219 &lt;&gt; "", "Jan-Dez/26",
AH1219 &lt;&gt; "", "Fev-Dez/26",
AI1219 &lt;&gt; "", "Mar-Dez/26", AJ1219 &lt;&gt; "", "Abr-Dez/26",
TRUE, "A partir de Junho"
)</f>
        <v>A partir de Junho</v>
      </c>
      <c r="G1219" s="4" t="s">
        <v>62</v>
      </c>
      <c r="H1219" s="7" t="s">
        <v>110</v>
      </c>
      <c r="I1219" s="8"/>
      <c r="J1219" s="8" t="str" cm="1">
        <f t="array" aca="1" ref="J1219" ca="1">_xlfn.LET(
  _xlpm.actual_value_month, INDEX(T1219:AE1219, MATCH(DATE(YEAR(TODAY()), MONTH(TODAY()), 1), $T$1:$AE$1, 0)),
  IF(_xlpm.actual_value_month &lt;&gt; "",_xlpm.actual_value_month &amp; " ações mensais", "")
)</f>
        <v/>
      </c>
      <c r="K1219" s="8" t="str" cm="1">
        <f t="array" ref="K1219">_xlfn.LET(
    _xlpm.sum_month, SUM(T1219:AE1219),
    IF(_xlpm.sum_month = 0, "", _xlpm.sum_month &amp; " telemetria implementada no ano")
)</f>
        <v/>
      </c>
      <c r="L1219" s="9" t="s">
        <v>112</v>
      </c>
      <c r="M1219" s="13">
        <v>1</v>
      </c>
      <c r="N1219" s="5" t="s">
        <v>51</v>
      </c>
      <c r="O1219" s="5" t="s">
        <v>43</v>
      </c>
      <c r="P1219" s="10" t="s">
        <v>44</v>
      </c>
      <c r="Q1219" s="10" t="s">
        <v>44</v>
      </c>
      <c r="R1219" s="11" t="s">
        <v>44</v>
      </c>
      <c r="S1219" s="11" t="s">
        <v>44</v>
      </c>
      <c r="T1219" s="22"/>
      <c r="U1219" s="22"/>
      <c r="V1219" s="22"/>
      <c r="W1219" s="22"/>
      <c r="X1219" s="22"/>
      <c r="Y1219" s="22"/>
      <c r="Z1219" s="22"/>
      <c r="AA1219" s="22"/>
      <c r="AB1219" s="22"/>
      <c r="AC1219" s="22"/>
      <c r="AD1219" s="22"/>
      <c r="AE1219" s="22"/>
      <c r="AG1219" s="71"/>
      <c r="AH1219" s="71"/>
      <c r="AI1219" s="71"/>
      <c r="AJ1219" s="71"/>
      <c r="AK1219" s="71"/>
      <c r="AL1219" s="71"/>
      <c r="AM1219" s="71"/>
      <c r="AN1219" s="71"/>
      <c r="AO1219" s="71"/>
      <c r="AP1219" s="71"/>
      <c r="AQ1219" s="71"/>
      <c r="AR1219" s="71"/>
      <c r="AS1219" s="94">
        <v>0</v>
      </c>
      <c r="AT1219" s="95">
        <v>0</v>
      </c>
      <c r="AU1219" s="97">
        <v>0</v>
      </c>
      <c r="AW1219" s="83">
        <f t="shared" si="1433"/>
        <v>0</v>
      </c>
      <c r="AX1219" s="83">
        <f t="shared" si="1434"/>
        <v>0</v>
      </c>
      <c r="AY1219" s="83">
        <f t="shared" si="1435"/>
        <v>0</v>
      </c>
      <c r="AZ1219" s="83">
        <f t="shared" si="1436"/>
        <v>0</v>
      </c>
      <c r="BA1219" s="52"/>
      <c r="BB1219" s="52"/>
      <c r="BC1219" s="52"/>
      <c r="BD1219" s="52"/>
      <c r="BE1219" s="52"/>
      <c r="BF1219" s="52"/>
      <c r="BG1219" s="52"/>
      <c r="BH1219" s="52"/>
      <c r="BI1219" s="68">
        <v>0</v>
      </c>
      <c r="BJ1219" s="68">
        <v>0</v>
      </c>
      <c r="BK1219" s="59">
        <v>0</v>
      </c>
      <c r="BL1219" s="59">
        <v>0</v>
      </c>
      <c r="BM1219" s="55">
        <v>46054</v>
      </c>
      <c r="BN1219" s="55">
        <v>46082</v>
      </c>
      <c r="BO1219" s="53">
        <v>0</v>
      </c>
      <c r="BP1219" s="53">
        <v>0</v>
      </c>
      <c r="BQ1219" s="53">
        <v>0</v>
      </c>
      <c r="BR1219" s="85">
        <v>0</v>
      </c>
      <c r="BS1219" s="53">
        <v>0.1111111111111111</v>
      </c>
    </row>
    <row r="1220" spans="1:71" ht="25.95" hidden="1" customHeight="1" x14ac:dyDescent="0.3">
      <c r="A1220" s="70" t="s">
        <v>108</v>
      </c>
      <c r="B1220" s="4" t="s">
        <v>109</v>
      </c>
      <c r="C1220" s="5" t="s">
        <v>209</v>
      </c>
      <c r="D1220" s="5" t="s">
        <v>36</v>
      </c>
      <c r="E1220" s="4" t="str" cm="1">
        <f t="array" ref="E1220">_xlfn.IFS(
F1220 = "A partir de Abril", "Aguardando Execução na Distribuidora",
A1220 = "CAPACITAÇÃO", "Em execução no Corporativo",
TRUE, "Em Execução na Distribuidora"
)</f>
        <v>Em Execução na Distribuidora</v>
      </c>
      <c r="F1220" s="4" t="str" cm="1">
        <f t="array" ref="F1220">_xlfn.IFS(
AG1220 &lt;&gt; "", "Jan-Dez/26",
AH1220 &lt;&gt; "", "Fev-Dez/26",
AI1220 &lt;&gt; "", "Mar-Dez/26", AJ1220 &lt;&gt; "", "Abr-Dez/26",
TRUE, "A partir de Junho"
)</f>
        <v>Jan-Dez/26</v>
      </c>
      <c r="G1220" s="4" t="s">
        <v>37</v>
      </c>
      <c r="H1220" s="7" t="s">
        <v>38</v>
      </c>
      <c r="I1220" s="8" t="s">
        <v>113</v>
      </c>
      <c r="J1220" s="8" t="str" cm="1">
        <f t="array" aca="1" ref="J1220" ca="1">_xlfn.LET(
  _xlpm.actual_value_month, INDEX(T1220:AE1220, MATCH(DATE(YEAR(TODAY()), MONTH(TODAY()), 1), $T$1:$AE$1, 0)),
  IF(_xlpm.actual_value_month &lt;&gt; "",_xlpm.actual_value_month &amp; " ações mensais", "")
)</f>
        <v/>
      </c>
      <c r="K1220" s="8" t="str" cm="1">
        <f t="array" ref="K1220">_xlfn.LET(
    _xlpm.sum_month, SUM(T1220:AE1220),
    IF(_xlpm.sum_month = 0, "", _xlpm.sum_month &amp; " empresas com a prática de controle de telemetria no ano")
)</f>
        <v/>
      </c>
      <c r="L1220" s="9" t="s">
        <v>114</v>
      </c>
      <c r="M1220" s="13">
        <v>1</v>
      </c>
      <c r="N1220" s="5" t="s">
        <v>51</v>
      </c>
      <c r="O1220" s="5" t="s">
        <v>52</v>
      </c>
      <c r="P1220" s="10" t="s">
        <v>44</v>
      </c>
      <c r="Q1220" s="10" t="s">
        <v>44</v>
      </c>
      <c r="R1220" s="11" t="s">
        <v>44</v>
      </c>
      <c r="S1220" s="11" t="s">
        <v>44</v>
      </c>
      <c r="T1220" s="22"/>
      <c r="U1220" s="22"/>
      <c r="V1220" s="22"/>
      <c r="W1220" s="22"/>
      <c r="X1220" s="22"/>
      <c r="Y1220" s="22"/>
      <c r="Z1220" s="22"/>
      <c r="AA1220" s="22"/>
      <c r="AB1220" s="22"/>
      <c r="AC1220" s="22"/>
      <c r="AD1220" s="22"/>
      <c r="AE1220" s="22"/>
      <c r="AG1220" s="71">
        <v>4</v>
      </c>
      <c r="AH1220" s="71">
        <v>4</v>
      </c>
      <c r="AI1220" s="71">
        <v>3</v>
      </c>
      <c r="AJ1220" s="71">
        <v>3</v>
      </c>
      <c r="AK1220" s="71"/>
      <c r="AL1220" s="71"/>
      <c r="AM1220" s="71"/>
      <c r="AN1220" s="71"/>
      <c r="AO1220" s="71"/>
      <c r="AP1220" s="71"/>
      <c r="AQ1220" s="71"/>
      <c r="AR1220" s="71"/>
      <c r="AS1220" s="94">
        <f ca="1">IF(MONTH(TODAY())=3,SUM(T1220:U1220),IF(MONTH(TODAY())=4,SUM(T1220:V1220),IF(MONTH(TODAY())=5,SUM(T1220:W1220),IF(MONTH(TODAY())=6,SUM(T1220:X1220),IF(MONTH(TODAY())=7,SUM(T1220:Y1220),IF(MONTH(TODAY())=8,SUM(T1220:Z1220),IF(MONTH(TODAY())=9,SUM(T1220:AA1220),IF(MONTH(TODAY())=10,SUM(T1220:AB1220),IF(MONTH(TODAY())=11,SUM(T1220:AC1220),IF(MONTH(TODAY())=12,SUM(T1220:AD1220),IF(MONTH(TODAY())=1,SUM(T1220:AE1220),T1220)))))))))))</f>
        <v>0</v>
      </c>
      <c r="AT1220" s="95">
        <f>SUM(AG1220:AR1220)</f>
        <v>14</v>
      </c>
      <c r="AU1220" s="97">
        <f>SUM(AG1220:AR1220)</f>
        <v>14</v>
      </c>
      <c r="AW1220" s="83">
        <f>AG1220</f>
        <v>4</v>
      </c>
      <c r="AX1220" s="83">
        <f>AH1220</f>
        <v>4</v>
      </c>
      <c r="AY1220" s="83">
        <f>AI1220</f>
        <v>3</v>
      </c>
      <c r="AZ1220" s="83">
        <f>AJ1220</f>
        <v>3</v>
      </c>
      <c r="BA1220" s="52"/>
      <c r="BB1220" s="52"/>
      <c r="BC1220" s="52"/>
      <c r="BD1220" s="52"/>
      <c r="BE1220" s="52"/>
      <c r="BF1220" s="52"/>
      <c r="BG1220" s="52"/>
      <c r="BH1220" s="52"/>
      <c r="BI1220" s="68" cm="1">
        <f t="array" ref="BI1220">IFERROR(INDEX(AW1220:BH1220,1,MATCH(2,1/(AW1220:BH1220&lt;&gt;""))),"")</f>
        <v>3</v>
      </c>
      <c r="BJ1220" s="68" cm="1">
        <f t="array" ref="BJ1220">IF(BM1220 = "", "",IFERROR(INDEX(AW1220:BH1220,1,MATCH(2,1/(AW1220:BH1220&lt;&gt;""),1)-1),""))</f>
        <v>3</v>
      </c>
      <c r="BK1220" s="59">
        <f>SUM(AW1220:BH1220)</f>
        <v>14</v>
      </c>
      <c r="BL1220" s="59" cm="1">
        <f t="array" ref="BL1220">IFERROR(SUM(AW1220:INDEX(AW1220:BH1220, MATCH(2, 1/(AW1220:BH1220&lt;&gt;""), 1) - 1)),0)</f>
        <v>11</v>
      </c>
      <c r="BM1220" s="55" cm="1">
        <f t="array" ref="BM1220">IFERROR(
   INDEX($AW$1:$BH$1,
      _xlfn.AGGREGATE(14, 6, COLUMN($AW$1:$BH$1)/(AW1220:BH1220&lt;&gt;""), 2) - COLUMN($AW$1) + 1
   ),
"")</f>
        <v>46082</v>
      </c>
      <c r="BN1220" s="55" cm="1">
        <f t="array" ref="BN1220">IFERROR(INDEX($AW$1:$BH$1,1,MATCH(2,1/(AW1220:BH1220&lt;&gt;""))),"")</f>
        <v>46113</v>
      </c>
      <c r="BO1220" s="53">
        <f ca="1">IFERROR(_xlfn.XLOOKUP(F1220,Apuração!A:A,Apuração!C:C)/_xlfn.XLOOKUP(F1220,Apuração!A:A,Apuração!B:B),0)</f>
        <v>0.41666666666666669</v>
      </c>
      <c r="BP1220" s="53">
        <f ca="1">IFERROR(_xlfn.XLOOKUP(F1220,Apuração!A:A,Apuração!D:D)/_xlfn.XLOOKUP(F1220,Apuração!A:A,Apuração!B:B),0)</f>
        <v>0.33333333333333331</v>
      </c>
      <c r="BQ1220" s="53">
        <f ca="1">IF(BK1220&gt;=BO1220,0,_xlfn.XLOOKUP(F1220,Apuração!A:A,Apuração!B:B)*(BO1220 + (1/_xlfn.XLOOKUP(F1220,Apuração!A:A,Apuração!B:B)) - BK1220))</f>
        <v>0</v>
      </c>
      <c r="BR1220" s="85">
        <f ca="1">IF(BQ1220=0,0,BQ1220*Z1220)</f>
        <v>0</v>
      </c>
      <c r="BS1220" s="53">
        <f ca="1">IFERROR((_xlfn.XLOOKUP(F1220,Apuração!A:A,Apuração!C:C)+1)/_xlfn.XLOOKUP(F1220,Apuração!A:A,Apuração!B:B),0)</f>
        <v>0.5</v>
      </c>
    </row>
    <row r="1221" spans="1:71" ht="25.95" hidden="1" customHeight="1" x14ac:dyDescent="0.3">
      <c r="A1221" s="70" t="s">
        <v>108</v>
      </c>
      <c r="B1221" s="4" t="s">
        <v>109</v>
      </c>
      <c r="C1221" s="5" t="s">
        <v>209</v>
      </c>
      <c r="D1221" s="5" t="s">
        <v>210</v>
      </c>
      <c r="E1221" s="4" t="str" cm="1">
        <f t="array" ref="E1221">_xlfn.IFS(
F1221 = "A partir de Abril", "Aguardando Execução na Distribuidora",
A1221 = "CAPACITAÇÃO", "Em execução no Corporativo",
TRUE, "Em Execução na Distribuidora"
)</f>
        <v>Em Execução na Distribuidora</v>
      </c>
      <c r="F1221" s="4" t="str" cm="1">
        <f t="array" ref="F1221">_xlfn.IFS(
AG1221 &lt;&gt; "", "Jan-Dez/26",
AH1221 &lt;&gt; "", "Fev-Dez/26",
AI1221 &lt;&gt; "", "Mar-Dez/26", AJ1221 &lt;&gt; "", "Abr-Dez/26",
TRUE, "A partir de Junho"
)</f>
        <v>Fev-Dez/26</v>
      </c>
      <c r="G1221" s="4" t="s">
        <v>37</v>
      </c>
      <c r="H1221" s="7" t="s">
        <v>38</v>
      </c>
      <c r="I1221" s="8" t="s">
        <v>113</v>
      </c>
      <c r="J1221" s="8" t="str" cm="1">
        <f t="array" aca="1" ref="J1221" ca="1">_xlfn.LET(
  _xlpm.actual_value_month, INDEX(T1221:AE1221, MATCH(DATE(YEAR(TODAY()), MONTH(TODAY()), 1), $T$1:$AE$1, 0)),
  IF(_xlpm.actual_value_month &lt;&gt; "",_xlpm.actual_value_month &amp; " ações mensais", "")
)</f>
        <v/>
      </c>
      <c r="K1221" s="8" t="str" cm="1">
        <f t="array" ref="K1221">_xlfn.LET(
    _xlpm.sum_month, SUM(T1221:AE1221),
    IF(_xlpm.sum_month = 0, "", _xlpm.sum_month &amp; " empresas com a prática de controle de telemetria no ano")
)</f>
        <v/>
      </c>
      <c r="L1221" s="9" t="s">
        <v>114</v>
      </c>
      <c r="M1221" s="13">
        <v>1</v>
      </c>
      <c r="N1221" s="5" t="s">
        <v>51</v>
      </c>
      <c r="O1221" s="5" t="s">
        <v>52</v>
      </c>
      <c r="P1221" s="10" t="s">
        <v>44</v>
      </c>
      <c r="Q1221" s="10" t="s">
        <v>44</v>
      </c>
      <c r="R1221" s="11" t="s">
        <v>44</v>
      </c>
      <c r="S1221" s="11" t="s">
        <v>44</v>
      </c>
      <c r="T1221" s="22"/>
      <c r="U1221" s="22"/>
      <c r="V1221" s="22"/>
      <c r="W1221" s="22"/>
      <c r="X1221" s="22"/>
      <c r="Y1221" s="22"/>
      <c r="Z1221" s="22"/>
      <c r="AA1221" s="22"/>
      <c r="AB1221" s="22"/>
      <c r="AC1221" s="22"/>
      <c r="AD1221" s="22"/>
      <c r="AE1221" s="22"/>
      <c r="AG1221" s="71"/>
      <c r="AH1221" s="82">
        <v>0</v>
      </c>
      <c r="AI1221" s="82">
        <v>0</v>
      </c>
      <c r="AJ1221" s="71"/>
      <c r="AK1221" s="71"/>
      <c r="AL1221" s="71"/>
      <c r="AM1221" s="71"/>
      <c r="AN1221" s="71"/>
      <c r="AO1221" s="71"/>
      <c r="AP1221" s="71"/>
      <c r="AQ1221" s="71"/>
      <c r="AR1221" s="71"/>
      <c r="AS1221" s="94">
        <f t="shared" ref="AS1221:AS1225" ca="1" si="1437">IF(MONTH(TODAY())=3,SUM(T1221:U1221),IF(MONTH(TODAY())=4,SUM(T1221:V1221),IF(MONTH(TODAY())=5,SUM(T1221:W1221),IF(MONTH(TODAY())=6,SUM(T1221:X1221),IF(MONTH(TODAY())=7,SUM(T1221:Y1221),IF(MONTH(TODAY())=8,SUM(T1221:Z1221),IF(MONTH(TODAY())=9,SUM(T1221:AA1221),IF(MONTH(TODAY())=10,SUM(T1221:AB1221),IF(MONTH(TODAY())=11,SUM(T1221:AC1221),IF(MONTH(TODAY())=12,SUM(T1221:AD1221),IF(MONTH(TODAY())=1,SUM(T1221:AE1221),T1221)))))))))))</f>
        <v>0</v>
      </c>
      <c r="AT1221" s="95">
        <f t="shared" ref="AT1221:AT1225" si="1438">SUM(AG1221:AR1221)</f>
        <v>0</v>
      </c>
      <c r="AU1221" s="97">
        <f t="shared" ref="AU1221:AU1225" si="1439">SUM(AG1221:AR1221)</f>
        <v>0</v>
      </c>
      <c r="AW1221" s="83">
        <f t="shared" ref="AW1221:AW1225" si="1440">AG1221</f>
        <v>0</v>
      </c>
      <c r="AX1221" s="83">
        <f t="shared" ref="AX1221:AX1225" si="1441">AH1221</f>
        <v>0</v>
      </c>
      <c r="AY1221" s="83">
        <f t="shared" ref="AY1221:AY1225" si="1442">AI1221</f>
        <v>0</v>
      </c>
      <c r="AZ1221" s="83">
        <f t="shared" ref="AZ1221:AZ1225" si="1443">AJ1221</f>
        <v>0</v>
      </c>
      <c r="BA1221" s="52"/>
      <c r="BB1221" s="52"/>
      <c r="BC1221" s="52"/>
      <c r="BD1221" s="52"/>
      <c r="BE1221" s="52"/>
      <c r="BF1221" s="52"/>
      <c r="BG1221" s="52"/>
      <c r="BH1221" s="52"/>
      <c r="BI1221" s="68" cm="1">
        <f t="array" ref="BI1221">IFERROR(INDEX(AW1221:BH1221,1,MATCH(2,1/(AW1221:BH1221&lt;&gt;""))),"")</f>
        <v>0</v>
      </c>
      <c r="BJ1221" s="68" cm="1">
        <f t="array" ref="BJ1221">IF(BM1221 = "", "",IFERROR(INDEX(AW1221:BH1221,1,MATCH(2,1/(AW1221:BH1221&lt;&gt;""),1)-1),""))</f>
        <v>0</v>
      </c>
      <c r="BK1221" s="59">
        <f t="shared" ref="BK1221:BK1225" si="1444">SUM(AW1221:BH1221)</f>
        <v>0</v>
      </c>
      <c r="BL1221" s="59" cm="1">
        <f t="array" ref="BL1221">IFERROR(SUM(AW1221:INDEX(AW1221:BH1221, MATCH(2, 1/(AW1221:BH1221&lt;&gt;""), 1) - 1)),0)</f>
        <v>0</v>
      </c>
      <c r="BM1221" s="55" cm="1">
        <f t="array" ref="BM1221">IFERROR(
   INDEX($AW$1:$BH$1,
      _xlfn.AGGREGATE(14, 6, COLUMN($AW$1:$BH$1)/(AW1221:BH1221&lt;&gt;""), 2) - COLUMN($AW$1) + 1
   ),
"")</f>
        <v>46082</v>
      </c>
      <c r="BN1221" s="55" cm="1">
        <f t="array" ref="BN1221">IFERROR(INDEX($AW$1:$BH$1,1,MATCH(2,1/(AW1221:BH1221&lt;&gt;""))),"")</f>
        <v>46113</v>
      </c>
      <c r="BO1221" s="53">
        <f ca="1">IFERROR(_xlfn.XLOOKUP(F1221,Apuração!A:A,Apuração!C:C)/_xlfn.XLOOKUP(F1221,Apuração!A:A,Apuração!B:B),0)</f>
        <v>0.36363636363636365</v>
      </c>
      <c r="BP1221" s="53">
        <f ca="1">IFERROR(_xlfn.XLOOKUP(F1221,Apuração!A:A,Apuração!D:D)/_xlfn.XLOOKUP(F1221,Apuração!A:A,Apuração!B:B),0)</f>
        <v>0.27272727272727271</v>
      </c>
      <c r="BQ1221" s="53">
        <f ca="1">IF(BK1221&gt;=BO1221,0,_xlfn.XLOOKUP(F1221,Apuração!A:A,Apuração!B:B)*(BO1221 + (1/_xlfn.XLOOKUP(F1221,Apuração!A:A,Apuração!B:B)) - BK1221))</f>
        <v>5</v>
      </c>
      <c r="BR1221" s="85">
        <f t="shared" ref="BR1221:BR1225" ca="1" si="1445">IF(BQ1221=0,0,BQ1221*Z1221)</f>
        <v>0</v>
      </c>
      <c r="BS1221" s="53">
        <f ca="1">IFERROR((_xlfn.XLOOKUP(F1221,Apuração!A:A,Apuração!C:C)+1)/_xlfn.XLOOKUP(F1221,Apuração!A:A,Apuração!B:B),0)</f>
        <v>0.45454545454545453</v>
      </c>
    </row>
    <row r="1222" spans="1:71" ht="25.95" hidden="1" customHeight="1" x14ac:dyDescent="0.3">
      <c r="A1222" s="70" t="s">
        <v>108</v>
      </c>
      <c r="B1222" s="4" t="s">
        <v>109</v>
      </c>
      <c r="C1222" s="5" t="s">
        <v>209</v>
      </c>
      <c r="D1222" s="5" t="s">
        <v>47</v>
      </c>
      <c r="E1222" s="4" t="str" cm="1">
        <f t="array" ref="E1222">_xlfn.IFS(
F1222 = "A partir de Abril", "Aguardando Execução na Distribuidora",
A1222 = "CAPACITAÇÃO", "Em execução no Corporativo",
TRUE, "Em Execução na Distribuidora"
)</f>
        <v>Em Execução na Distribuidora</v>
      </c>
      <c r="F1222" s="4" t="str" cm="1">
        <f t="array" ref="F1222">_xlfn.IFS(
AG1222 &lt;&gt; "", "Jan-Dez/26",
AH1222 &lt;&gt; "", "Fev-Dez/26",
AI1222 &lt;&gt; "", "Mar-Dez/26", AJ1222 &lt;&gt; "", "Abr-Dez/26",
TRUE, "A partir de Junho"
)</f>
        <v>Fev-Dez/26</v>
      </c>
      <c r="G1222" s="4" t="s">
        <v>37</v>
      </c>
      <c r="H1222" s="7" t="s">
        <v>38</v>
      </c>
      <c r="I1222" s="8" t="s">
        <v>113</v>
      </c>
      <c r="J1222" s="8" t="str" cm="1">
        <f t="array" aca="1" ref="J1222" ca="1">_xlfn.LET(
  _xlpm.actual_value_month, INDEX(T1222:AE1222, MATCH(DATE(YEAR(TODAY()), MONTH(TODAY()), 1), $T$1:$AE$1, 0)),
  IF(_xlpm.actual_value_month &lt;&gt; "",_xlpm.actual_value_month &amp; " ações mensais", "")
)</f>
        <v/>
      </c>
      <c r="K1222" s="8" t="str" cm="1">
        <f t="array" ref="K1222">_xlfn.LET(
    _xlpm.sum_month, SUM(T1222:AE1222),
    IF(_xlpm.sum_month = 0, "", _xlpm.sum_month &amp; " empresas com a prática de controle de telemetria no ano")
)</f>
        <v/>
      </c>
      <c r="L1222" s="9" t="s">
        <v>114</v>
      </c>
      <c r="M1222" s="13">
        <v>1</v>
      </c>
      <c r="N1222" s="5" t="s">
        <v>51</v>
      </c>
      <c r="O1222" s="5" t="s">
        <v>52</v>
      </c>
      <c r="P1222" s="10" t="s">
        <v>44</v>
      </c>
      <c r="Q1222" s="10" t="s">
        <v>44</v>
      </c>
      <c r="R1222" s="11" t="s">
        <v>44</v>
      </c>
      <c r="S1222" s="11" t="s">
        <v>44</v>
      </c>
      <c r="T1222" s="22"/>
      <c r="U1222" s="22"/>
      <c r="V1222" s="22"/>
      <c r="W1222" s="22"/>
      <c r="X1222" s="22"/>
      <c r="Y1222" s="22"/>
      <c r="Z1222" s="22"/>
      <c r="AA1222" s="22"/>
      <c r="AB1222" s="22"/>
      <c r="AC1222" s="22"/>
      <c r="AD1222" s="22"/>
      <c r="AE1222" s="22"/>
      <c r="AG1222" s="71"/>
      <c r="AH1222" s="82">
        <v>1</v>
      </c>
      <c r="AI1222" s="82">
        <v>1</v>
      </c>
      <c r="AJ1222" s="71"/>
      <c r="AK1222" s="71"/>
      <c r="AL1222" s="71"/>
      <c r="AM1222" s="71"/>
      <c r="AN1222" s="71"/>
      <c r="AO1222" s="71"/>
      <c r="AP1222" s="71"/>
      <c r="AQ1222" s="71"/>
      <c r="AR1222" s="71"/>
      <c r="AS1222" s="94">
        <f t="shared" ca="1" si="1437"/>
        <v>0</v>
      </c>
      <c r="AT1222" s="95">
        <f t="shared" si="1438"/>
        <v>2</v>
      </c>
      <c r="AU1222" s="97">
        <f t="shared" si="1439"/>
        <v>2</v>
      </c>
      <c r="AW1222" s="83">
        <f t="shared" si="1440"/>
        <v>0</v>
      </c>
      <c r="AX1222" s="83">
        <f t="shared" si="1441"/>
        <v>1</v>
      </c>
      <c r="AY1222" s="83">
        <f t="shared" si="1442"/>
        <v>1</v>
      </c>
      <c r="AZ1222" s="83">
        <f t="shared" si="1443"/>
        <v>0</v>
      </c>
      <c r="BA1222" s="52"/>
      <c r="BB1222" s="52"/>
      <c r="BC1222" s="52"/>
      <c r="BD1222" s="52"/>
      <c r="BE1222" s="52"/>
      <c r="BF1222" s="52"/>
      <c r="BG1222" s="52"/>
      <c r="BH1222" s="52"/>
      <c r="BI1222" s="68" cm="1">
        <f t="array" ref="BI1222">IFERROR(INDEX(AW1222:BH1222,1,MATCH(2,1/(AW1222:BH1222&lt;&gt;""))),"")</f>
        <v>0</v>
      </c>
      <c r="BJ1222" s="68" cm="1">
        <f t="array" ref="BJ1222">IF(BM1222 = "", "",IFERROR(INDEX(AW1222:BH1222,1,MATCH(2,1/(AW1222:BH1222&lt;&gt;""),1)-1),""))</f>
        <v>1</v>
      </c>
      <c r="BK1222" s="59">
        <f t="shared" si="1444"/>
        <v>2</v>
      </c>
      <c r="BL1222" s="59" cm="1">
        <f t="array" ref="BL1222">IFERROR(SUM(AW1222:INDEX(AW1222:BH1222, MATCH(2, 1/(AW1222:BH1222&lt;&gt;""), 1) - 1)),0)</f>
        <v>2</v>
      </c>
      <c r="BM1222" s="55" cm="1">
        <f t="array" ref="BM1222">IFERROR(
   INDEX($AW$1:$BH$1,
      _xlfn.AGGREGATE(14, 6, COLUMN($AW$1:$BH$1)/(AW1222:BH1222&lt;&gt;""), 2) - COLUMN($AW$1) + 1
   ),
"")</f>
        <v>46082</v>
      </c>
      <c r="BN1222" s="55" cm="1">
        <f t="array" ref="BN1222">IFERROR(INDEX($AW$1:$BH$1,1,MATCH(2,1/(AW1222:BH1222&lt;&gt;""))),"")</f>
        <v>46113</v>
      </c>
      <c r="BO1222" s="53">
        <f ca="1">IFERROR(_xlfn.XLOOKUP(F1222,Apuração!A:A,Apuração!C:C)/_xlfn.XLOOKUP(F1222,Apuração!A:A,Apuração!B:B),0)</f>
        <v>0.36363636363636365</v>
      </c>
      <c r="BP1222" s="53">
        <f ca="1">IFERROR(_xlfn.XLOOKUP(F1222,Apuração!A:A,Apuração!D:D)/_xlfn.XLOOKUP(F1222,Apuração!A:A,Apuração!B:B),0)</f>
        <v>0.27272727272727271</v>
      </c>
      <c r="BQ1222" s="53">
        <f ca="1">IF(BK1222&gt;=BO1222,0,_xlfn.XLOOKUP(F1222,Apuração!A:A,Apuração!B:B)*(BO1222 + (1/_xlfn.XLOOKUP(F1222,Apuração!A:A,Apuração!B:B)) - BK1222))</f>
        <v>0</v>
      </c>
      <c r="BR1222" s="85">
        <f t="shared" ca="1" si="1445"/>
        <v>0</v>
      </c>
      <c r="BS1222" s="53">
        <f ca="1">IFERROR((_xlfn.XLOOKUP(F1222,Apuração!A:A,Apuração!C:C)+1)/_xlfn.XLOOKUP(F1222,Apuração!A:A,Apuração!B:B),0)</f>
        <v>0.45454545454545453</v>
      </c>
    </row>
    <row r="1223" spans="1:71" ht="25.95" hidden="1" customHeight="1" x14ac:dyDescent="0.3">
      <c r="A1223" s="70" t="s">
        <v>108</v>
      </c>
      <c r="B1223" s="4" t="s">
        <v>109</v>
      </c>
      <c r="C1223" s="5" t="s">
        <v>209</v>
      </c>
      <c r="D1223" s="5" t="s">
        <v>211</v>
      </c>
      <c r="E1223" s="4" t="str" cm="1">
        <f t="array" ref="E1223">_xlfn.IFS(
F1223 = "A partir de Abril", "Aguardando Execução na Distribuidora",
A1223 = "CAPACITAÇÃO", "Em execução no Corporativo",
TRUE, "Em Execução na Distribuidora"
)</f>
        <v>Em Execução na Distribuidora</v>
      </c>
      <c r="F1223" s="4" t="str" cm="1">
        <f t="array" ref="F1223">_xlfn.IFS(
AG1223 &lt;&gt; "", "Jan-Dez/26",
AH1223 &lt;&gt; "", "Fev-Dez/26",
AI1223 &lt;&gt; "", "Mar-Dez/26", AJ1223 &lt;&gt; "", "Abr-Dez/26",
TRUE, "A partir de Junho"
)</f>
        <v>Fev-Dez/26</v>
      </c>
      <c r="G1223" s="4" t="s">
        <v>37</v>
      </c>
      <c r="H1223" s="7" t="s">
        <v>38</v>
      </c>
      <c r="I1223" s="8" t="s">
        <v>113</v>
      </c>
      <c r="J1223" s="8" t="str" cm="1">
        <f t="array" aca="1" ref="J1223" ca="1">_xlfn.LET(
  _xlpm.actual_value_month, INDEX(T1223:AE1223, MATCH(DATE(YEAR(TODAY()), MONTH(TODAY()), 1), $T$1:$AE$1, 0)),
  IF(_xlpm.actual_value_month &lt;&gt; "",_xlpm.actual_value_month &amp; " ações mensais", "")
)</f>
        <v/>
      </c>
      <c r="K1223" s="8" t="str" cm="1">
        <f t="array" ref="K1223">_xlfn.LET(
    _xlpm.sum_month, SUM(T1223:AE1223),
    IF(_xlpm.sum_month = 0, "", _xlpm.sum_month &amp; " empresas com a prática de controle de telemetria no ano")
)</f>
        <v/>
      </c>
      <c r="L1223" s="9" t="s">
        <v>114</v>
      </c>
      <c r="M1223" s="13">
        <v>1</v>
      </c>
      <c r="N1223" s="5" t="s">
        <v>51</v>
      </c>
      <c r="O1223" s="5" t="s">
        <v>52</v>
      </c>
      <c r="P1223" s="10" t="s">
        <v>44</v>
      </c>
      <c r="Q1223" s="10" t="s">
        <v>44</v>
      </c>
      <c r="R1223" s="11" t="s">
        <v>44</v>
      </c>
      <c r="S1223" s="11" t="s">
        <v>44</v>
      </c>
      <c r="T1223" s="22"/>
      <c r="U1223" s="22"/>
      <c r="V1223" s="22"/>
      <c r="W1223" s="22"/>
      <c r="X1223" s="22"/>
      <c r="Y1223" s="22"/>
      <c r="Z1223" s="22"/>
      <c r="AA1223" s="22"/>
      <c r="AB1223" s="22"/>
      <c r="AC1223" s="22"/>
      <c r="AD1223" s="22"/>
      <c r="AE1223" s="22"/>
      <c r="AG1223" s="71"/>
      <c r="AH1223" s="82">
        <v>0</v>
      </c>
      <c r="AI1223" s="82">
        <v>0</v>
      </c>
      <c r="AJ1223" s="71"/>
      <c r="AK1223" s="71"/>
      <c r="AL1223" s="71"/>
      <c r="AM1223" s="71"/>
      <c r="AN1223" s="71"/>
      <c r="AO1223" s="71"/>
      <c r="AP1223" s="71"/>
      <c r="AQ1223" s="71"/>
      <c r="AR1223" s="71"/>
      <c r="AS1223" s="94">
        <f t="shared" ca="1" si="1437"/>
        <v>0</v>
      </c>
      <c r="AT1223" s="95">
        <f t="shared" si="1438"/>
        <v>0</v>
      </c>
      <c r="AU1223" s="97">
        <f t="shared" si="1439"/>
        <v>0</v>
      </c>
      <c r="AW1223" s="83">
        <f t="shared" si="1440"/>
        <v>0</v>
      </c>
      <c r="AX1223" s="83">
        <f t="shared" si="1441"/>
        <v>0</v>
      </c>
      <c r="AY1223" s="83">
        <f t="shared" si="1442"/>
        <v>0</v>
      </c>
      <c r="AZ1223" s="83">
        <f t="shared" si="1443"/>
        <v>0</v>
      </c>
      <c r="BA1223" s="52"/>
      <c r="BB1223" s="52"/>
      <c r="BC1223" s="52"/>
      <c r="BD1223" s="52"/>
      <c r="BE1223" s="52"/>
      <c r="BF1223" s="52"/>
      <c r="BG1223" s="52"/>
      <c r="BH1223" s="52"/>
      <c r="BI1223" s="68" cm="1">
        <f t="array" ref="BI1223">IFERROR(INDEX(AW1223:BH1223,1,MATCH(2,1/(AW1223:BH1223&lt;&gt;""))),"")</f>
        <v>0</v>
      </c>
      <c r="BJ1223" s="68" cm="1">
        <f t="array" ref="BJ1223">IF(BM1223 = "", "",IFERROR(INDEX(AW1223:BH1223,1,MATCH(2,1/(AW1223:BH1223&lt;&gt;""),1)-1),""))</f>
        <v>0</v>
      </c>
      <c r="BK1223" s="59">
        <f t="shared" si="1444"/>
        <v>0</v>
      </c>
      <c r="BL1223" s="59" cm="1">
        <f t="array" ref="BL1223">IFERROR(SUM(AW1223:INDEX(AW1223:BH1223, MATCH(2, 1/(AW1223:BH1223&lt;&gt;""), 1) - 1)),0)</f>
        <v>0</v>
      </c>
      <c r="BM1223" s="55" cm="1">
        <f t="array" ref="BM1223">IFERROR(
   INDEX($AW$1:$BH$1,
      _xlfn.AGGREGATE(14, 6, COLUMN($AW$1:$BH$1)/(AW1223:BH1223&lt;&gt;""), 2) - COLUMN($AW$1) + 1
   ),
"")</f>
        <v>46082</v>
      </c>
      <c r="BN1223" s="55" cm="1">
        <f t="array" ref="BN1223">IFERROR(INDEX($AW$1:$BH$1,1,MATCH(2,1/(AW1223:BH1223&lt;&gt;""))),"")</f>
        <v>46113</v>
      </c>
      <c r="BO1223" s="53">
        <f ca="1">IFERROR(_xlfn.XLOOKUP(F1223,Apuração!A:A,Apuração!C:C)/_xlfn.XLOOKUP(F1223,Apuração!A:A,Apuração!B:B),0)</f>
        <v>0.36363636363636365</v>
      </c>
      <c r="BP1223" s="53">
        <f ca="1">IFERROR(_xlfn.XLOOKUP(F1223,Apuração!A:A,Apuração!D:D)/_xlfn.XLOOKUP(F1223,Apuração!A:A,Apuração!B:B),0)</f>
        <v>0.27272727272727271</v>
      </c>
      <c r="BQ1223" s="53">
        <f ca="1">IF(BK1223&gt;=BO1223,0,_xlfn.XLOOKUP(F1223,Apuração!A:A,Apuração!B:B)*(BO1223 + (1/_xlfn.XLOOKUP(F1223,Apuração!A:A,Apuração!B:B)) - BK1223))</f>
        <v>5</v>
      </c>
      <c r="BR1223" s="85">
        <f t="shared" ca="1" si="1445"/>
        <v>0</v>
      </c>
      <c r="BS1223" s="53">
        <f ca="1">IFERROR((_xlfn.XLOOKUP(F1223,Apuração!A:A,Apuração!C:C)+1)/_xlfn.XLOOKUP(F1223,Apuração!A:A,Apuração!B:B),0)</f>
        <v>0.45454545454545453</v>
      </c>
    </row>
    <row r="1224" spans="1:71" ht="25.95" hidden="1" customHeight="1" x14ac:dyDescent="0.3">
      <c r="A1224" s="70" t="s">
        <v>108</v>
      </c>
      <c r="B1224" s="4" t="s">
        <v>109</v>
      </c>
      <c r="C1224" s="5" t="s">
        <v>209</v>
      </c>
      <c r="D1224" s="5" t="s">
        <v>212</v>
      </c>
      <c r="E1224" s="4" t="str" cm="1">
        <f t="array" ref="E1224">_xlfn.IFS(
F1224 = "A partir de Abril", "Aguardando Execução na Distribuidora",
A1224 = "CAPACITAÇÃO", "Em execução no Corporativo",
TRUE, "Em Execução na Distribuidora"
)</f>
        <v>Em Execução na Distribuidora</v>
      </c>
      <c r="F1224" s="4" t="str" cm="1">
        <f t="array" ref="F1224">_xlfn.IFS(
AG1224 &lt;&gt; "", "Jan-Dez/26",
AH1224 &lt;&gt; "", "Fev-Dez/26",
AI1224 &lt;&gt; "", "Mar-Dez/26", AJ1224 &lt;&gt; "", "Abr-Dez/26",
TRUE, "A partir de Junho"
)</f>
        <v>Fev-Dez/26</v>
      </c>
      <c r="G1224" s="4" t="s">
        <v>37</v>
      </c>
      <c r="H1224" s="7" t="s">
        <v>38</v>
      </c>
      <c r="I1224" s="8" t="s">
        <v>113</v>
      </c>
      <c r="J1224" s="8" t="str" cm="1">
        <f t="array" aca="1" ref="J1224" ca="1">_xlfn.LET(
  _xlpm.actual_value_month, INDEX(T1224:AE1224, MATCH(DATE(YEAR(TODAY()), MONTH(TODAY()), 1), $T$1:$AE$1, 0)),
  IF(_xlpm.actual_value_month &lt;&gt; "",_xlpm.actual_value_month &amp; " ações mensais", "")
)</f>
        <v/>
      </c>
      <c r="K1224" s="8" t="str" cm="1">
        <f t="array" ref="K1224">_xlfn.LET(
    _xlpm.sum_month, SUM(T1224:AE1224),
    IF(_xlpm.sum_month = 0, "", _xlpm.sum_month &amp; " empresas com a prática de controle de telemetria no ano")
)</f>
        <v/>
      </c>
      <c r="L1224" s="9" t="s">
        <v>114</v>
      </c>
      <c r="M1224" s="13">
        <v>1</v>
      </c>
      <c r="N1224" s="5" t="s">
        <v>51</v>
      </c>
      <c r="O1224" s="5" t="s">
        <v>52</v>
      </c>
      <c r="P1224" s="10" t="s">
        <v>44</v>
      </c>
      <c r="Q1224" s="10" t="s">
        <v>44</v>
      </c>
      <c r="R1224" s="11" t="s">
        <v>44</v>
      </c>
      <c r="S1224" s="11" t="s">
        <v>44</v>
      </c>
      <c r="T1224" s="22"/>
      <c r="U1224" s="22"/>
      <c r="V1224" s="22"/>
      <c r="W1224" s="22"/>
      <c r="X1224" s="22"/>
      <c r="Y1224" s="22"/>
      <c r="Z1224" s="22"/>
      <c r="AA1224" s="22"/>
      <c r="AB1224" s="22"/>
      <c r="AC1224" s="22"/>
      <c r="AD1224" s="22"/>
      <c r="AE1224" s="22"/>
      <c r="AG1224" s="71"/>
      <c r="AH1224" s="82">
        <v>1</v>
      </c>
      <c r="AI1224" s="82">
        <v>0</v>
      </c>
      <c r="AJ1224" s="71"/>
      <c r="AK1224" s="71"/>
      <c r="AL1224" s="71"/>
      <c r="AM1224" s="71"/>
      <c r="AN1224" s="71"/>
      <c r="AO1224" s="71"/>
      <c r="AP1224" s="71"/>
      <c r="AQ1224" s="71"/>
      <c r="AR1224" s="71"/>
      <c r="AS1224" s="94">
        <f t="shared" ca="1" si="1437"/>
        <v>0</v>
      </c>
      <c r="AT1224" s="95">
        <f t="shared" si="1438"/>
        <v>1</v>
      </c>
      <c r="AU1224" s="97">
        <f t="shared" si="1439"/>
        <v>1</v>
      </c>
      <c r="AW1224" s="83">
        <f t="shared" si="1440"/>
        <v>0</v>
      </c>
      <c r="AX1224" s="83">
        <f t="shared" si="1441"/>
        <v>1</v>
      </c>
      <c r="AY1224" s="83">
        <f t="shared" si="1442"/>
        <v>0</v>
      </c>
      <c r="AZ1224" s="83">
        <f t="shared" si="1443"/>
        <v>0</v>
      </c>
      <c r="BA1224" s="52"/>
      <c r="BB1224" s="52"/>
      <c r="BC1224" s="52"/>
      <c r="BD1224" s="52"/>
      <c r="BE1224" s="52"/>
      <c r="BF1224" s="52"/>
      <c r="BG1224" s="52"/>
      <c r="BH1224" s="52"/>
      <c r="BI1224" s="68" cm="1">
        <f t="array" ref="BI1224">IFERROR(INDEX(AW1224:BH1224,1,MATCH(2,1/(AW1224:BH1224&lt;&gt;""))),"")</f>
        <v>0</v>
      </c>
      <c r="BJ1224" s="68" cm="1">
        <f t="array" ref="BJ1224">IF(BM1224 = "", "",IFERROR(INDEX(AW1224:BH1224,1,MATCH(2,1/(AW1224:BH1224&lt;&gt;""),1)-1),""))</f>
        <v>0</v>
      </c>
      <c r="BK1224" s="59">
        <f t="shared" si="1444"/>
        <v>1</v>
      </c>
      <c r="BL1224" s="59" cm="1">
        <f t="array" ref="BL1224">IFERROR(SUM(AW1224:INDEX(AW1224:BH1224, MATCH(2, 1/(AW1224:BH1224&lt;&gt;""), 1) - 1)),0)</f>
        <v>1</v>
      </c>
      <c r="BM1224" s="55" cm="1">
        <f t="array" ref="BM1224">IFERROR(
   INDEX($AW$1:$BH$1,
      _xlfn.AGGREGATE(14, 6, COLUMN($AW$1:$BH$1)/(AW1224:BH1224&lt;&gt;""), 2) - COLUMN($AW$1) + 1
   ),
"")</f>
        <v>46082</v>
      </c>
      <c r="BN1224" s="55" cm="1">
        <f t="array" ref="BN1224">IFERROR(INDEX($AW$1:$BH$1,1,MATCH(2,1/(AW1224:BH1224&lt;&gt;""))),"")</f>
        <v>46113</v>
      </c>
      <c r="BO1224" s="53">
        <f ca="1">IFERROR(_xlfn.XLOOKUP(F1224,Apuração!A:A,Apuração!C:C)/_xlfn.XLOOKUP(F1224,Apuração!A:A,Apuração!B:B),0)</f>
        <v>0.36363636363636365</v>
      </c>
      <c r="BP1224" s="53">
        <f ca="1">IFERROR(_xlfn.XLOOKUP(F1224,Apuração!A:A,Apuração!D:D)/_xlfn.XLOOKUP(F1224,Apuração!A:A,Apuração!B:B),0)</f>
        <v>0.27272727272727271</v>
      </c>
      <c r="BQ1224" s="53">
        <f ca="1">IF(BK1224&gt;=BO1224,0,_xlfn.XLOOKUP(F1224,Apuração!A:A,Apuração!B:B)*(BO1224 + (1/_xlfn.XLOOKUP(F1224,Apuração!A:A,Apuração!B:B)) - BK1224))</f>
        <v>0</v>
      </c>
      <c r="BR1224" s="85">
        <f t="shared" ca="1" si="1445"/>
        <v>0</v>
      </c>
      <c r="BS1224" s="53">
        <f ca="1">IFERROR((_xlfn.XLOOKUP(F1224,Apuração!A:A,Apuração!C:C)+1)/_xlfn.XLOOKUP(F1224,Apuração!A:A,Apuração!B:B),0)</f>
        <v>0.45454545454545453</v>
      </c>
    </row>
    <row r="1225" spans="1:71" ht="25.95" hidden="1" customHeight="1" x14ac:dyDescent="0.3">
      <c r="A1225" s="70" t="s">
        <v>108</v>
      </c>
      <c r="B1225" s="4" t="s">
        <v>109</v>
      </c>
      <c r="C1225" s="5" t="s">
        <v>209</v>
      </c>
      <c r="D1225" s="5" t="s">
        <v>213</v>
      </c>
      <c r="E1225" s="4" t="str" cm="1">
        <f t="array" ref="E1225">_xlfn.IFS(
F1225 = "A partir de Abril", "Aguardando Execução na Distribuidora",
A1225 = "CAPACITAÇÃO", "Em execução no Corporativo",
TRUE, "Em Execução na Distribuidora"
)</f>
        <v>Em Execução na Distribuidora</v>
      </c>
      <c r="F1225" s="4" t="str" cm="1">
        <f t="array" ref="F1225">_xlfn.IFS(
AG1225 &lt;&gt; "", "Jan-Dez/26",
AH1225 &lt;&gt; "", "Fev-Dez/26",
AI1225 &lt;&gt; "", "Mar-Dez/26", AJ1225 &lt;&gt; "", "Abr-Dez/26",
TRUE, "A partir de Junho"
)</f>
        <v>Fev-Dez/26</v>
      </c>
      <c r="G1225" s="4" t="s">
        <v>37</v>
      </c>
      <c r="H1225" s="7" t="s">
        <v>38</v>
      </c>
      <c r="I1225" s="8" t="s">
        <v>113</v>
      </c>
      <c r="J1225" s="8" t="str" cm="1">
        <f t="array" aca="1" ref="J1225" ca="1">_xlfn.LET(
  _xlpm.actual_value_month, INDEX(T1225:AE1225, MATCH(DATE(YEAR(TODAY()), MONTH(TODAY()), 1), $T$1:$AE$1, 0)),
  IF(_xlpm.actual_value_month &lt;&gt; "",_xlpm.actual_value_month &amp; " ações mensais", "")
)</f>
        <v/>
      </c>
      <c r="K1225" s="8" t="str" cm="1">
        <f t="array" ref="K1225">_xlfn.LET(
    _xlpm.sum_month, SUM(T1225:AE1225),
    IF(_xlpm.sum_month = 0, "", _xlpm.sum_month &amp; " empresas com a prática de controle de telemetria no ano")
)</f>
        <v/>
      </c>
      <c r="L1225" s="9" t="s">
        <v>114</v>
      </c>
      <c r="M1225" s="13">
        <v>1</v>
      </c>
      <c r="N1225" s="5" t="s">
        <v>51</v>
      </c>
      <c r="O1225" s="5" t="s">
        <v>52</v>
      </c>
      <c r="P1225" s="10" t="s">
        <v>44</v>
      </c>
      <c r="Q1225" s="10" t="s">
        <v>44</v>
      </c>
      <c r="R1225" s="11" t="s">
        <v>44</v>
      </c>
      <c r="S1225" s="11" t="s">
        <v>44</v>
      </c>
      <c r="T1225" s="22"/>
      <c r="U1225" s="22"/>
      <c r="V1225" s="22"/>
      <c r="W1225" s="22"/>
      <c r="X1225" s="22"/>
      <c r="Y1225" s="22"/>
      <c r="Z1225" s="22"/>
      <c r="AA1225" s="22"/>
      <c r="AB1225" s="22"/>
      <c r="AC1225" s="22"/>
      <c r="AD1225" s="22"/>
      <c r="AE1225" s="22"/>
      <c r="AG1225" s="71"/>
      <c r="AH1225" s="82">
        <v>0</v>
      </c>
      <c r="AI1225" s="82">
        <v>1</v>
      </c>
      <c r="AJ1225" s="71"/>
      <c r="AK1225" s="71"/>
      <c r="AL1225" s="71"/>
      <c r="AM1225" s="71"/>
      <c r="AN1225" s="71"/>
      <c r="AO1225" s="71"/>
      <c r="AP1225" s="71"/>
      <c r="AQ1225" s="71"/>
      <c r="AR1225" s="71"/>
      <c r="AS1225" s="94">
        <f t="shared" ca="1" si="1437"/>
        <v>0</v>
      </c>
      <c r="AT1225" s="95">
        <f t="shared" si="1438"/>
        <v>1</v>
      </c>
      <c r="AU1225" s="97">
        <f t="shared" si="1439"/>
        <v>1</v>
      </c>
      <c r="AW1225" s="83">
        <f t="shared" si="1440"/>
        <v>0</v>
      </c>
      <c r="AX1225" s="83">
        <f t="shared" si="1441"/>
        <v>0</v>
      </c>
      <c r="AY1225" s="83">
        <f t="shared" si="1442"/>
        <v>1</v>
      </c>
      <c r="AZ1225" s="83">
        <f t="shared" si="1443"/>
        <v>0</v>
      </c>
      <c r="BA1225" s="52"/>
      <c r="BB1225" s="52"/>
      <c r="BC1225" s="52"/>
      <c r="BD1225" s="52"/>
      <c r="BE1225" s="52"/>
      <c r="BF1225" s="52"/>
      <c r="BG1225" s="52"/>
      <c r="BH1225" s="52"/>
      <c r="BI1225" s="68" cm="1">
        <f t="array" ref="BI1225">IFERROR(INDEX(AW1225:BH1225,1,MATCH(2,1/(AW1225:BH1225&lt;&gt;""))),"")</f>
        <v>0</v>
      </c>
      <c r="BJ1225" s="68" cm="1">
        <f t="array" ref="BJ1225">IF(BM1225 = "", "",IFERROR(INDEX(AW1225:BH1225,1,MATCH(2,1/(AW1225:BH1225&lt;&gt;""),1)-1),""))</f>
        <v>1</v>
      </c>
      <c r="BK1225" s="59">
        <f t="shared" si="1444"/>
        <v>1</v>
      </c>
      <c r="BL1225" s="59" cm="1">
        <f t="array" ref="BL1225">IFERROR(SUM(AW1225:INDEX(AW1225:BH1225, MATCH(2, 1/(AW1225:BH1225&lt;&gt;""), 1) - 1)),0)</f>
        <v>1</v>
      </c>
      <c r="BM1225" s="55" cm="1">
        <f t="array" ref="BM1225">IFERROR(
   INDEX($AW$1:$BH$1,
      _xlfn.AGGREGATE(14, 6, COLUMN($AW$1:$BH$1)/(AW1225:BH1225&lt;&gt;""), 2) - COLUMN($AW$1) + 1
   ),
"")</f>
        <v>46082</v>
      </c>
      <c r="BN1225" s="55" cm="1">
        <f t="array" ref="BN1225">IFERROR(INDEX($AW$1:$BH$1,1,MATCH(2,1/(AW1225:BH1225&lt;&gt;""))),"")</f>
        <v>46113</v>
      </c>
      <c r="BO1225" s="53">
        <f ca="1">IFERROR(_xlfn.XLOOKUP(F1225,Apuração!A:A,Apuração!C:C)/_xlfn.XLOOKUP(F1225,Apuração!A:A,Apuração!B:B),0)</f>
        <v>0.36363636363636365</v>
      </c>
      <c r="BP1225" s="53">
        <f ca="1">IFERROR(_xlfn.XLOOKUP(F1225,Apuração!A:A,Apuração!D:D)/_xlfn.XLOOKUP(F1225,Apuração!A:A,Apuração!B:B),0)</f>
        <v>0.27272727272727271</v>
      </c>
      <c r="BQ1225" s="53">
        <f ca="1">IF(BK1225&gt;=BO1225,0,_xlfn.XLOOKUP(F1225,Apuração!A:A,Apuração!B:B)*(BO1225 + (1/_xlfn.XLOOKUP(F1225,Apuração!A:A,Apuração!B:B)) - BK1225))</f>
        <v>0</v>
      </c>
      <c r="BR1225" s="85">
        <f t="shared" ca="1" si="1445"/>
        <v>0</v>
      </c>
      <c r="BS1225" s="53">
        <f ca="1">IFERROR((_xlfn.XLOOKUP(F1225,Apuração!A:A,Apuração!C:C)+1)/_xlfn.XLOOKUP(F1225,Apuração!A:A,Apuração!B:B),0)</f>
        <v>0.45454545454545453</v>
      </c>
    </row>
    <row r="1226" spans="1:71" ht="25.95" hidden="1" customHeight="1" x14ac:dyDescent="0.3">
      <c r="A1226" s="41" t="s">
        <v>108</v>
      </c>
      <c r="B1226" s="4" t="s">
        <v>109</v>
      </c>
      <c r="C1226" s="5" t="s">
        <v>209</v>
      </c>
      <c r="D1226" s="5" t="s">
        <v>36</v>
      </c>
      <c r="E1226" s="4" t="str" cm="1">
        <f t="array" ref="E1226">_xlfn.IFS(
F1226 = "A partir de Abril", "Aguardando Execução na Distribuidora",
A1226 = "CAPACITAÇÃO", "Em execução no Corporativo",
TRUE, "Em Execução na Distribuidora"
)</f>
        <v>Em Execução na Distribuidora</v>
      </c>
      <c r="F1226" s="4" t="str" cm="1">
        <f t="array" ref="F1226">_xlfn.IFS(
AG1226 &lt;&gt; "", "Jan-Dez/26",
AH1226 &lt;&gt; "", "Fev-Dez/26",
AI1226 &lt;&gt; "", "Mar-Dez/26", AJ1226 &lt;&gt; "", "Abr-Dez/26",
TRUE, "A partir de Junho"
)</f>
        <v>Jan-Dez/26</v>
      </c>
      <c r="G1226" s="4" t="s">
        <v>37</v>
      </c>
      <c r="H1226" s="7" t="s">
        <v>38</v>
      </c>
      <c r="I1226" s="4" t="s">
        <v>115</v>
      </c>
      <c r="J1226" s="8" t="str" cm="1">
        <f t="array" aca="1" ref="J1226" ca="1">_xlfn.LET(
  _xlpm.actual_value_month, INDEX(T1226:AE1226, MATCH(DATE(YEAR(TODAY()), MONTH(TODAY()), 1), $T$1:$AE$1, 0)),
  IF(_xlpm.actual_value_month &lt;&gt; "",_xlpm.actual_value_month &amp; " redução de notificações mensais", "")
)</f>
        <v>46 redução de notificações mensais</v>
      </c>
      <c r="K1226" s="8" t="str" cm="1">
        <f t="array" ref="K1226">_xlfn.LET(
    _xlpm.sum_month, SUM(T1226:AE1226),
    IF(_xlpm.sum_month = 0, "", _xlpm.sum_month &amp; " taxa de redução das notificações de excesso de velocidade no ano")
)</f>
        <v>1074 taxa de redução das notificações de excesso de velocidade no ano</v>
      </c>
      <c r="L1226" s="4" t="s">
        <v>116</v>
      </c>
      <c r="M1226" s="13">
        <v>1</v>
      </c>
      <c r="N1226" s="5" t="s">
        <v>42</v>
      </c>
      <c r="O1226" s="5" t="s">
        <v>43</v>
      </c>
      <c r="P1226" s="10" t="s">
        <v>44</v>
      </c>
      <c r="Q1226" s="10" t="s">
        <v>44</v>
      </c>
      <c r="R1226" s="11" t="s">
        <v>44</v>
      </c>
      <c r="S1226" s="11" t="s">
        <v>44</v>
      </c>
      <c r="T1226" s="22">
        <v>642</v>
      </c>
      <c r="U1226" s="22">
        <v>10</v>
      </c>
      <c r="V1226" s="22">
        <v>8</v>
      </c>
      <c r="W1226" s="22">
        <v>46</v>
      </c>
      <c r="X1226" s="22">
        <v>46</v>
      </c>
      <c r="Y1226" s="22">
        <v>46</v>
      </c>
      <c r="Z1226" s="22">
        <v>46</v>
      </c>
      <c r="AA1226" s="22">
        <v>46</v>
      </c>
      <c r="AB1226" s="22">
        <v>46</v>
      </c>
      <c r="AC1226" s="22">
        <v>46</v>
      </c>
      <c r="AD1226" s="22">
        <v>46</v>
      </c>
      <c r="AE1226" s="22">
        <v>46</v>
      </c>
      <c r="AG1226" s="71">
        <f>633+8+1</f>
        <v>642</v>
      </c>
      <c r="AH1226" s="71">
        <v>10</v>
      </c>
      <c r="AI1226" s="71">
        <v>8</v>
      </c>
      <c r="AJ1226" s="71">
        <f>4+2+2+8</f>
        <v>16</v>
      </c>
      <c r="AK1226" s="71"/>
      <c r="AL1226" s="71"/>
      <c r="AM1226" s="71"/>
      <c r="AN1226" s="71"/>
      <c r="AO1226" s="71"/>
      <c r="AP1226" s="71"/>
      <c r="AQ1226" s="71"/>
      <c r="AR1226" s="71"/>
      <c r="AS1226" s="94">
        <f ca="1">IF(MONTH(TODAY())=3,SUM(T1226:U1226),IF(MONTH(TODAY())=4,SUM(T1226:V1226),IF(MONTH(TODAY())=5,SUM(T1226:W1226),IF(MONTH(TODAY())=6,SUM(T1226:X1226),IF(MONTH(TODAY())=7,SUM(T1226:Y1226),IF(MONTH(TODAY())=8,SUM(T1226:Z1226),IF(MONTH(TODAY())=9,SUM(T1226:AA1226),IF(MONTH(TODAY())=10,SUM(T1226:AB1226),IF(MONTH(TODAY())=11,SUM(T1226:AC1226),IF(MONTH(TODAY())=12,SUM(T1226:AD1226),IF(MONTH(TODAY())=1,SUM(T1226:AE1226),T1226)))))))))))</f>
        <v>752</v>
      </c>
      <c r="AT1226" s="95">
        <f>SUM(IF(AW1226&lt;1.15,AG1226,1.15*T1226),IF(AX1226&lt;1.15,AH1226,1.15*U1226),IF(AY1226&lt;1.15,AI1226,1.15*V1226),IF(AZ1226&lt;1.15,AJ1226,1.15*W1226),IF(BA1226&lt;1.15,AK1226,1.15*X1226),IF(BB1226&lt;1.15,AL1226,1.15*Y1226),IF(BC1226&lt;1.15,AM1226,1.15*Z1226),IF(BD1226&lt;1.15,AN1226,1.15*AA1226),IF(BE1226&lt;1.15,AO1226,1.15*AB1226),IF(BF1226&lt;1.15,AP1226,1.15*AC1226),IF(BG1226&lt;1.15,AQ1226,1.15*AD1226),IF(BH1226&lt;1.15,AR1226,1.15*AE1226))</f>
        <v>676</v>
      </c>
      <c r="AU1226" s="97">
        <f>SUM(AG1226:AR1226)</f>
        <v>676</v>
      </c>
      <c r="AW1226" s="51">
        <f>IF(ISBLANK(AG1226),0,IF(1+((AG1226-T1226)/T1226)&gt;=1, 1-((AG1226-T1226)/AG1226),
IF(1+((AG1226-T1226)/T1226)&lt;=0,1.15,IF(1+((AG1226-T1226)/T1226)&lt;=0.33,1.1,
IF(1+((AG1226-T1226)/T1226)&lt;=0.66,1.05,
IF(AG1226&lt;=T1226,1))))))</f>
        <v>1</v>
      </c>
      <c r="AX1226" s="51">
        <f>IF(ISBLANK(AH1226),0,IF(1+((AH1226-U1226)/U1226)&gt;=1, 1-((AH1226-U1226)/AH1226),
IF(1+((AH1226-U1226)/U1226)&lt;=0,1.15,IF(1+((AH1226-U1226)/U1226)&lt;=0.33,1.1,
IF(1+((AH1226-U1226)/U1226)&lt;=0.66,1.05,
IF(AH1226&lt;=U1226,1))))))</f>
        <v>1</v>
      </c>
      <c r="AY1226" s="51">
        <f>IF(ISBLANK(AI1226),0,IF(1+((AI1226-V1226)/V1226)&gt;=1, 1-((AI1226-V1226)/AI1226),
IF(1+((AI1226-V1226)/V1226)&lt;=0,1.15,IF(1+((AI1226-V1226)/V1226)&lt;=0.33,1.1,
IF(1+((AI1226-V1226)/V1226)&lt;=0.66,1.05,
IF(AI1226&lt;=V1226,1))))))</f>
        <v>1</v>
      </c>
      <c r="AZ1226" s="51">
        <f>IF(ISBLANK(AJ1226),0,IF(1+((AJ1226-W1226)/W1226)&gt;=1, 1-((AJ1226-W1226)/AJ1226),
IF(1+((AJ1226-W1226)/W1226)&lt;=0,1.15,IF(1+((AJ1226-W1226)/W1226)&lt;=0.33,1.1,
IF(1+((AJ1226-W1226)/W1226)&lt;=0.66,1.05,
IF(AJ1226&lt;=W1226,1))))))</f>
        <v>1.05</v>
      </c>
      <c r="BA1226" s="51"/>
      <c r="BB1226" s="51"/>
      <c r="BC1226" s="51"/>
      <c r="BD1226" s="51"/>
      <c r="BE1226" s="51"/>
      <c r="BF1226" s="51"/>
      <c r="BG1226" s="51"/>
      <c r="BH1226" s="51"/>
      <c r="BI1226" s="80" cm="1">
        <f t="array" ref="BI1226">IFERROR(INDEX(AW1226:BH1226,1,MATCH(2,1/(AW1226:BH1226&lt;&gt;""))),"")</f>
        <v>1.05</v>
      </c>
      <c r="BJ1226" s="68" cm="1">
        <f t="array" ref="BJ1226">IF(BM1226 = "", "",IFERROR(INDEX(AW1226:BH1226,1,MATCH(2,1/(AW1226:BH1226&lt;&gt;""),1)-1),""))</f>
        <v>1</v>
      </c>
      <c r="BK1226" s="58">
        <f>IF((IF(AW1226&gt;=115%,115%,AW1226) + IF(AX1226&gt;=115%,115%,AX1226) + IF(AY1226&gt;=115%,115%,AY1226) + (IF(AZ1226&gt;=115%,115%,AZ1226) + IF(BA1226&gt;=115%,115%,BA1226) + IF(BB1226&gt;=115%,115%,BB1226) + IF(BC1226&gt;=115%,115%,BC1226) + IF(BD1226&gt;=115%,115%,BD1226) + IF(BE1226&gt;=115%,115%,BE1226) + IF(BF1226&gt;=115%,115%,BF1226) + IF(BG1226&gt;=115%,115%,BG1226) + IF(BH1226&gt;=115%,115%,BH1226)))/_xlfn.XLOOKUP(F1226,Apuração!A:A,Apuração!B:B)&gt;=1.15,1.15,((IF(AZ1226&gt;=115%,115%,AZ1226) + IF(AX1226&gt;=115%,115%,AX1226) + IF(AY1226&gt;=115%,115%,AY1226) + (IF(AW1226&gt;=115%,115%,AW1226) + IF(BA1226&gt;=115%,115%,BA1226) + IF(BB1226&gt;=115%,115%,BB1226) + IF(BC1226&gt;=115%,115%,BC1226) + IF(BD1226&gt;=115%,115%,BD1226) + IF(BE1226&gt;=115%,115%,BE1226) + IF(BF1226&gt;=115%,115%,BF1226) + IF(BG1226&gt;=115%,115%,BG1226) + IF(BH1226&gt;=115%,115%,BH1226)))/_xlfn.XLOOKUP(F1226,Apuração!A:A,Apuração!B:B)))</f>
        <v>0.33749999999999997</v>
      </c>
      <c r="BL1226" s="58" cm="1">
        <f t="array" aca="1" ref="BL1226" ca="1">IF(SUM(IFERROR(IF(INDEX(AW1226:INDEX(AW1226:BH1226, MATCH(2, 1/(AW1226:BH1226&lt;&gt;""), 1)-1), ROW(INDIRECT("1:" &amp; MATCH(2, 1/(AW1226:BH1226&lt;&gt;""), 1)-1))) &gt;= 115%, 115%, INDEX(AW1226:INDEX(AW1226:BH1226, MATCH(2, 1/(AW1226:BH1226&lt;&gt;""), 1)-1), ROW(INDIRECT("1:" &amp; MATCH(2, 1/(AW1226:BH1226&lt;&gt;""), 1)-1)))), 0))/_xlfn.XLOOKUP(F1226,Apuração!A:A,Apuração!B:B)&gt;=1.15,1.15,SUM(IFERROR(IF(INDEX(AW1226:INDEX(AW1226:BH1226, MATCH(2, 1/(AW1226:BH1226&lt;&gt;""), 1)-1), ROW(INDIRECT("1:" &amp; MATCH(2, 1/(AW1226:BH1226&lt;&gt;""), 1)-1))) &gt;= 115%, 115%, INDEX(AW1226:INDEX(AW1226:BH1226, MATCH(2, 1/(AW1226:BH1226&lt;&gt;""), 1)-1), ROW(INDIRECT("1:" &amp; MATCH(2, 1/(AW1226:BH1226&lt;&gt;""), 1)-1)))), 0))/_xlfn.XLOOKUP(F1226,Apuração!A:A,Apuração!B:B))</f>
        <v>0.25</v>
      </c>
      <c r="BM1226" s="55" cm="1">
        <f t="array" ref="BM1226">IFERROR(
   INDEX($AW$1:$BH$1,
      _xlfn.AGGREGATE(14, 6, COLUMN($AW$1:$BH$1)/(AW1226:BH1226&lt;&gt;""), 2) - COLUMN($AW$1) + 1
   ),
"")</f>
        <v>46082</v>
      </c>
      <c r="BN1226" s="55" cm="1">
        <f t="array" ref="BN1226">IFERROR(INDEX($AW$1:$BH$1,1,MATCH(2,1/(AW1226:BH1226&lt;&gt;""))),"")</f>
        <v>46113</v>
      </c>
      <c r="BO1226" s="53">
        <f ca="1">IFERROR(_xlfn.XLOOKUP(F1226,Apuração!A:A,Apuração!C:C)/_xlfn.XLOOKUP(F1226,Apuração!A:A,Apuração!B:B),0)</f>
        <v>0.41666666666666669</v>
      </c>
      <c r="BP1226" s="53">
        <f ca="1">IFERROR(_xlfn.XLOOKUP(F1226,Apuração!A:A,Apuração!D:D)/_xlfn.XLOOKUP(F1226,Apuração!A:A,Apuração!B:B),0)</f>
        <v>0.33333333333333331</v>
      </c>
      <c r="BQ1226" s="53">
        <f ca="1">IF(BK1226&gt;=BO1226,0,_xlfn.XLOOKUP(F1226,Apuração!A:A,Apuração!B:B)*(BO1226 + (1/_xlfn.XLOOKUP(F1226,Apuração!A:A,Apuração!B:B)) - BK1226))</f>
        <v>1.9500000000000004</v>
      </c>
      <c r="BR1226" s="85">
        <f ca="1">IF(BQ1226=0,0,BQ1226*Z1226)</f>
        <v>89.700000000000017</v>
      </c>
      <c r="BS1226" s="53">
        <f ca="1">IFERROR((_xlfn.XLOOKUP(F1226,Apuração!A:A,Apuração!C:C)+1)/_xlfn.XLOOKUP(F1226,Apuração!A:A,Apuração!B:B),0)</f>
        <v>0.5</v>
      </c>
    </row>
    <row r="1227" spans="1:71" ht="25.95" hidden="1" customHeight="1" x14ac:dyDescent="0.3">
      <c r="A1227" s="41" t="s">
        <v>108</v>
      </c>
      <c r="B1227" s="4" t="s">
        <v>109</v>
      </c>
      <c r="C1227" s="5" t="s">
        <v>209</v>
      </c>
      <c r="D1227" s="5" t="s">
        <v>210</v>
      </c>
      <c r="E1227" s="4" t="str" cm="1">
        <f t="array" ref="E1227">_xlfn.IFS(
F1227 = "A partir de Abril", "Aguardando Execução na Distribuidora",
A1227 = "CAPACITAÇÃO", "Em execução no Corporativo",
TRUE, "Em Execução na Distribuidora"
)</f>
        <v>Em Execução na Distribuidora</v>
      </c>
      <c r="F1227" s="4" t="str" cm="1">
        <f t="array" ref="F1227">_xlfn.IFS(
AG1227 &lt;&gt; "", "Jan-Dez/26",
AH1227 &lt;&gt; "", "Fev-Dez/26",
AI1227 &lt;&gt; "", "Mar-Dez/26", AJ1227 &lt;&gt; "", "Abr-Dez/26",
TRUE, "A partir de Junho"
)</f>
        <v>Fev-Dez/26</v>
      </c>
      <c r="G1227" s="4" t="s">
        <v>37</v>
      </c>
      <c r="H1227" s="7" t="s">
        <v>38</v>
      </c>
      <c r="I1227" s="4" t="s">
        <v>115</v>
      </c>
      <c r="J1227" s="8" t="str" cm="1">
        <f t="array" aca="1" ref="J1227" ca="1">_xlfn.LET(
  _xlpm.actual_value_month, INDEX(T1227:AE1227, MATCH(DATE(YEAR(TODAY()), MONTH(TODAY()), 1), $T$1:$AE$1, 0)),
  IF(_xlpm.actual_value_month &lt;&gt; "",_xlpm.actual_value_month &amp; " redução de notificações mensais", "")
)</f>
        <v>9 redução de notificações mensais</v>
      </c>
      <c r="K1227" s="8" t="str" cm="1">
        <f t="array" ref="K1227">_xlfn.LET(
    _xlpm.sum_month, SUM(T1227:AE1227),
    IF(_xlpm.sum_month = 0, "", _xlpm.sum_month &amp; " taxa de redução das notificações de excesso de velocidade no ano")
)</f>
        <v>108 taxa de redução das notificações de excesso de velocidade no ano</v>
      </c>
      <c r="L1227" s="4" t="s">
        <v>116</v>
      </c>
      <c r="M1227" s="13">
        <v>1</v>
      </c>
      <c r="N1227" s="5" t="s">
        <v>42</v>
      </c>
      <c r="O1227" s="5" t="s">
        <v>43</v>
      </c>
      <c r="P1227" s="10" t="s">
        <v>44</v>
      </c>
      <c r="Q1227" s="10" t="s">
        <v>44</v>
      </c>
      <c r="R1227" s="11" t="s">
        <v>44</v>
      </c>
      <c r="S1227" s="11" t="s">
        <v>44</v>
      </c>
      <c r="T1227" s="143">
        <v>9</v>
      </c>
      <c r="U1227" s="143">
        <v>9</v>
      </c>
      <c r="V1227" s="143">
        <v>9</v>
      </c>
      <c r="W1227" s="143">
        <v>9</v>
      </c>
      <c r="X1227" s="143">
        <v>9</v>
      </c>
      <c r="Y1227" s="143">
        <v>9</v>
      </c>
      <c r="Z1227" s="143">
        <v>9</v>
      </c>
      <c r="AA1227" s="143">
        <v>9</v>
      </c>
      <c r="AB1227" s="143">
        <v>9</v>
      </c>
      <c r="AC1227" s="143">
        <v>9</v>
      </c>
      <c r="AD1227" s="143">
        <v>9</v>
      </c>
      <c r="AE1227" s="143">
        <v>9</v>
      </c>
      <c r="AG1227" s="71"/>
      <c r="AH1227" s="82">
        <v>0</v>
      </c>
      <c r="AI1227" s="82">
        <v>0</v>
      </c>
      <c r="AJ1227" s="71"/>
      <c r="AK1227" s="71"/>
      <c r="AL1227" s="71"/>
      <c r="AM1227" s="71"/>
      <c r="AN1227" s="71"/>
      <c r="AO1227" s="71"/>
      <c r="AP1227" s="71"/>
      <c r="AQ1227" s="71"/>
      <c r="AR1227" s="71"/>
      <c r="AS1227" s="94">
        <f t="shared" ref="AS1227:AS1231" ca="1" si="1446">IF(MONTH(TODAY())=3,SUM(T1227:U1227),IF(MONTH(TODAY())=4,SUM(T1227:V1227),IF(MONTH(TODAY())=5,SUM(T1227:W1227),IF(MONTH(TODAY())=6,SUM(T1227:X1227),IF(MONTH(TODAY())=7,SUM(T1227:Y1227),IF(MONTH(TODAY())=8,SUM(T1227:Z1227),IF(MONTH(TODAY())=9,SUM(T1227:AA1227),IF(MONTH(TODAY())=10,SUM(T1227:AB1227),IF(MONTH(TODAY())=11,SUM(T1227:AC1227),IF(MONTH(TODAY())=12,SUM(T1227:AD1227),IF(MONTH(TODAY())=1,SUM(T1227:AE1227),T1227)))))))))))</f>
        <v>45</v>
      </c>
      <c r="AT1227" s="95">
        <f t="shared" ref="AT1227:AT1231" si="1447">SUM(IF(AW1227&lt;1.15,AG1227,1.15*T1227),IF(AX1227&lt;1.15,AH1227,1.15*U1227),IF(AY1227&lt;1.15,AI1227,1.15*V1227),IF(AZ1227&lt;1.15,AJ1227,1.15*W1227),IF(BA1227&lt;1.15,AK1227,1.15*X1227),IF(BB1227&lt;1.15,AL1227,1.15*Y1227),IF(BC1227&lt;1.15,AM1227,1.15*Z1227),IF(BD1227&lt;1.15,AN1227,1.15*AA1227),IF(BE1227&lt;1.15,AO1227,1.15*AB1227),IF(BF1227&lt;1.15,AP1227,1.15*AC1227),IF(BG1227&lt;1.15,AQ1227,1.15*AD1227),IF(BH1227&lt;1.15,AR1227,1.15*AE1227))</f>
        <v>20.7</v>
      </c>
      <c r="AU1227" s="97">
        <f t="shared" ref="AU1227:AU1231" si="1448">SUM(AG1227:AR1227)</f>
        <v>0</v>
      </c>
      <c r="AW1227" s="51">
        <f t="shared" ref="AW1227:AW1231" si="1449">IF(ISBLANK(AG1227),0,IF(1+((AG1227-T1227)/T1227)&gt;=1, 1-((AG1227-T1227)/AG1227),
IF(1+((AG1227-T1227)/T1227)&lt;=0,1.15,IF(1+((AG1227-T1227)/T1227)&lt;=0.33,1.1,
IF(1+((AG1227-T1227)/T1227)&lt;=0.66,1.05,
IF(AG1227&lt;=T1227,1))))))</f>
        <v>0</v>
      </c>
      <c r="AX1227" s="51">
        <f t="shared" ref="AX1227:AX1231" si="1450">IF(ISBLANK(AH1227),0,IF(1+((AH1227-U1227)/U1227)&gt;=1, 1-((AH1227-U1227)/AH1227),
IF(1+((AH1227-U1227)/U1227)&lt;=0,1.15,IF(1+((AH1227-U1227)/U1227)&lt;=0.33,1.1,
IF(1+((AH1227-U1227)/U1227)&lt;=0.66,1.05,
IF(AH1227&lt;=U1227,1))))))</f>
        <v>1.1499999999999999</v>
      </c>
      <c r="AY1227" s="51">
        <f t="shared" ref="AY1227:AY1231" si="1451">IF(ISBLANK(AI1227),0,IF(1+((AI1227-V1227)/V1227)&gt;=1, 1-((AI1227-V1227)/AI1227),
IF(1+((AI1227-V1227)/V1227)&lt;=0,1.15,IF(1+((AI1227-V1227)/V1227)&lt;=0.33,1.1,
IF(1+((AI1227-V1227)/V1227)&lt;=0.66,1.05,
IF(AI1227&lt;=V1227,1))))))</f>
        <v>1.1499999999999999</v>
      </c>
      <c r="AZ1227" s="51">
        <f t="shared" ref="AZ1227:AZ1231" si="1452">IF(ISBLANK(AJ1227),0,IF(1+((AJ1227-W1227)/W1227)&gt;=1, 1-((AJ1227-W1227)/AJ1227),
IF(1+((AJ1227-W1227)/W1227)&lt;=0,1.15,IF(1+((AJ1227-W1227)/W1227)&lt;=0.33,1.1,
IF(1+((AJ1227-W1227)/W1227)&lt;=0.66,1.05,
IF(AJ1227&lt;=W1227,1))))))</f>
        <v>0</v>
      </c>
      <c r="BA1227" s="51"/>
      <c r="BB1227" s="51"/>
      <c r="BC1227" s="51"/>
      <c r="BD1227" s="51"/>
      <c r="BE1227" s="51"/>
      <c r="BF1227" s="51"/>
      <c r="BG1227" s="51"/>
      <c r="BH1227" s="51"/>
      <c r="BI1227" s="80" cm="1">
        <f t="array" ref="BI1227">IFERROR(INDEX(AW1227:BH1227,1,MATCH(2,1/(AW1227:BH1227&lt;&gt;""))),"")</f>
        <v>0</v>
      </c>
      <c r="BJ1227" s="68" cm="1">
        <f t="array" ref="BJ1227">IF(BM1227 = "", "",IFERROR(INDEX(AW1227:BH1227,1,MATCH(2,1/(AW1227:BH1227&lt;&gt;""),1)-1),""))</f>
        <v>1.1499999999999999</v>
      </c>
      <c r="BK1227" s="58">
        <f>IF((IF(AW1227&gt;=115%,115%,AW1227) + IF(AX1227&gt;=115%,115%,AX1227) + IF(AY1227&gt;=115%,115%,AY1227) + (IF(AZ1227&gt;=115%,115%,AZ1227) + IF(BA1227&gt;=115%,115%,BA1227) + IF(BB1227&gt;=115%,115%,BB1227) + IF(BC1227&gt;=115%,115%,BC1227) + IF(BD1227&gt;=115%,115%,BD1227) + IF(BE1227&gt;=115%,115%,BE1227) + IF(BF1227&gt;=115%,115%,BF1227) + IF(BG1227&gt;=115%,115%,BG1227) + IF(BH1227&gt;=115%,115%,BH1227)))/_xlfn.XLOOKUP(F1227,Apuração!A:A,Apuração!B:B)&gt;=1.15,1.15,((IF(AZ1227&gt;=115%,115%,AZ1227) + IF(AX1227&gt;=115%,115%,AX1227) + IF(AY1227&gt;=115%,115%,AY1227) + (IF(AW1227&gt;=115%,115%,AW1227) + IF(BA1227&gt;=115%,115%,BA1227) + IF(BB1227&gt;=115%,115%,BB1227) + IF(BC1227&gt;=115%,115%,BC1227) + IF(BD1227&gt;=115%,115%,BD1227) + IF(BE1227&gt;=115%,115%,BE1227) + IF(BF1227&gt;=115%,115%,BF1227) + IF(BG1227&gt;=115%,115%,BG1227) + IF(BH1227&gt;=115%,115%,BH1227)))/_xlfn.XLOOKUP(F1227,Apuração!A:A,Apuração!B:B)))</f>
        <v>0.20909090909090908</v>
      </c>
      <c r="BL1227" s="58" cm="1">
        <f t="array" aca="1" ref="BL1227" ca="1">IF(SUM(IFERROR(IF(INDEX(AW1227:INDEX(AW1227:BH1227, MATCH(2, 1/(AW1227:BH1227&lt;&gt;""), 1)-1), ROW(INDIRECT("1:" &amp; MATCH(2, 1/(AW1227:BH1227&lt;&gt;""), 1)-1))) &gt;= 115%, 115%, INDEX(AW1227:INDEX(AW1227:BH1227, MATCH(2, 1/(AW1227:BH1227&lt;&gt;""), 1)-1), ROW(INDIRECT("1:" &amp; MATCH(2, 1/(AW1227:BH1227&lt;&gt;""), 1)-1)))), 0))/_xlfn.XLOOKUP(F1227,Apuração!A:A,Apuração!B:B)&gt;=1.15,1.15,SUM(IFERROR(IF(INDEX(AW1227:INDEX(AW1227:BH1227, MATCH(2, 1/(AW1227:BH1227&lt;&gt;""), 1)-1), ROW(INDIRECT("1:" &amp; MATCH(2, 1/(AW1227:BH1227&lt;&gt;""), 1)-1))) &gt;= 115%, 115%, INDEX(AW1227:INDEX(AW1227:BH1227, MATCH(2, 1/(AW1227:BH1227&lt;&gt;""), 1)-1), ROW(INDIRECT("1:" &amp; MATCH(2, 1/(AW1227:BH1227&lt;&gt;""), 1)-1)))), 0))/_xlfn.XLOOKUP(F1227,Apuração!A:A,Apuração!B:B))</f>
        <v>0.20909090909090908</v>
      </c>
      <c r="BM1227" s="55" cm="1">
        <f t="array" ref="BM1227">IFERROR(
   INDEX($AW$1:$BH$1,
      _xlfn.AGGREGATE(14, 6, COLUMN($AW$1:$BH$1)/(AW1227:BH1227&lt;&gt;""), 2) - COLUMN($AW$1) + 1
   ),
"")</f>
        <v>46082</v>
      </c>
      <c r="BN1227" s="55" cm="1">
        <f t="array" ref="BN1227">IFERROR(INDEX($AW$1:$BH$1,1,MATCH(2,1/(AW1227:BH1227&lt;&gt;""))),"")</f>
        <v>46113</v>
      </c>
      <c r="BO1227" s="53">
        <f ca="1">IFERROR(_xlfn.XLOOKUP(F1227,Apuração!A:A,Apuração!C:C)/_xlfn.XLOOKUP(F1227,Apuração!A:A,Apuração!B:B),0)</f>
        <v>0.36363636363636365</v>
      </c>
      <c r="BP1227" s="53">
        <f ca="1">IFERROR(_xlfn.XLOOKUP(F1227,Apuração!A:A,Apuração!D:D)/_xlfn.XLOOKUP(F1227,Apuração!A:A,Apuração!B:B),0)</f>
        <v>0.27272727272727271</v>
      </c>
      <c r="BQ1227" s="53">
        <f ca="1">IF(BK1227&gt;=BO1227,0,_xlfn.XLOOKUP(F1227,Apuração!A:A,Apuração!B:B)*(BO1227 + (1/_xlfn.XLOOKUP(F1227,Apuração!A:A,Apuração!B:B)) - BK1227))</f>
        <v>2.7000000000000006</v>
      </c>
      <c r="BR1227" s="85">
        <f t="shared" ref="BR1227:BR1231" ca="1" si="1453">IF(BQ1227=0,0,BQ1227*Z1227)</f>
        <v>24.300000000000004</v>
      </c>
      <c r="BS1227" s="53">
        <f ca="1">IFERROR((_xlfn.XLOOKUP(F1227,Apuração!A:A,Apuração!C:C)+1)/_xlfn.XLOOKUP(F1227,Apuração!A:A,Apuração!B:B),0)</f>
        <v>0.45454545454545453</v>
      </c>
    </row>
    <row r="1228" spans="1:71" ht="25.95" hidden="1" customHeight="1" x14ac:dyDescent="0.3">
      <c r="A1228" s="41" t="s">
        <v>108</v>
      </c>
      <c r="B1228" s="4" t="s">
        <v>109</v>
      </c>
      <c r="C1228" s="5" t="s">
        <v>209</v>
      </c>
      <c r="D1228" s="5" t="s">
        <v>47</v>
      </c>
      <c r="E1228" s="4" t="str" cm="1">
        <f t="array" ref="E1228">_xlfn.IFS(
F1228 = "A partir de Abril", "Aguardando Execução na Distribuidora",
A1228 = "CAPACITAÇÃO", "Em execução no Corporativo",
TRUE, "Em Execução na Distribuidora"
)</f>
        <v>Em Execução na Distribuidora</v>
      </c>
      <c r="F1228" s="4" t="str" cm="1">
        <f t="array" ref="F1228">_xlfn.IFS(
AG1228 &lt;&gt; "", "Jan-Dez/26",
AH1228 &lt;&gt; "", "Fev-Dez/26",
AI1228 &lt;&gt; "", "Mar-Dez/26", AJ1228 &lt;&gt; "", "Abr-Dez/26",
TRUE, "A partir de Junho"
)</f>
        <v>Fev-Dez/26</v>
      </c>
      <c r="G1228" s="4" t="s">
        <v>37</v>
      </c>
      <c r="H1228" s="7" t="s">
        <v>38</v>
      </c>
      <c r="I1228" s="4" t="s">
        <v>115</v>
      </c>
      <c r="J1228" s="8" t="str" cm="1">
        <f t="array" aca="1" ref="J1228" ca="1">_xlfn.LET(
  _xlpm.actual_value_month, INDEX(T1228:AE1228, MATCH(DATE(YEAR(TODAY()), MONTH(TODAY()), 1), $T$1:$AE$1, 0)),
  IF(_xlpm.actual_value_month &lt;&gt; "",_xlpm.actual_value_month &amp; " redução de notificações mensais", "")
)</f>
        <v>9 redução de notificações mensais</v>
      </c>
      <c r="K1228" s="8" t="str" cm="1">
        <f t="array" ref="K1228">_xlfn.LET(
    _xlpm.sum_month, SUM(T1228:AE1228),
    IF(_xlpm.sum_month = 0, "", _xlpm.sum_month &amp; " taxa de redução das notificações de excesso de velocidade no ano")
)</f>
        <v>108 taxa de redução das notificações de excesso de velocidade no ano</v>
      </c>
      <c r="L1228" s="4" t="s">
        <v>116</v>
      </c>
      <c r="M1228" s="13">
        <v>1</v>
      </c>
      <c r="N1228" s="5" t="s">
        <v>42</v>
      </c>
      <c r="O1228" s="5" t="s">
        <v>43</v>
      </c>
      <c r="P1228" s="10" t="s">
        <v>44</v>
      </c>
      <c r="Q1228" s="10" t="s">
        <v>44</v>
      </c>
      <c r="R1228" s="11" t="s">
        <v>44</v>
      </c>
      <c r="S1228" s="11" t="s">
        <v>44</v>
      </c>
      <c r="T1228" s="143">
        <v>9</v>
      </c>
      <c r="U1228" s="143">
        <v>9</v>
      </c>
      <c r="V1228" s="143">
        <v>9</v>
      </c>
      <c r="W1228" s="143">
        <v>9</v>
      </c>
      <c r="X1228" s="143">
        <v>9</v>
      </c>
      <c r="Y1228" s="143">
        <v>9</v>
      </c>
      <c r="Z1228" s="143">
        <v>9</v>
      </c>
      <c r="AA1228" s="143">
        <v>9</v>
      </c>
      <c r="AB1228" s="143">
        <v>9</v>
      </c>
      <c r="AC1228" s="143">
        <v>9</v>
      </c>
      <c r="AD1228" s="143">
        <v>9</v>
      </c>
      <c r="AE1228" s="143">
        <v>9</v>
      </c>
      <c r="AG1228" s="71"/>
      <c r="AH1228" s="82">
        <v>0</v>
      </c>
      <c r="AI1228" s="82">
        <v>2</v>
      </c>
      <c r="AJ1228" s="71"/>
      <c r="AK1228" s="71"/>
      <c r="AL1228" s="71"/>
      <c r="AM1228" s="71"/>
      <c r="AN1228" s="71"/>
      <c r="AO1228" s="71"/>
      <c r="AP1228" s="71"/>
      <c r="AQ1228" s="71"/>
      <c r="AR1228" s="71"/>
      <c r="AS1228" s="94">
        <f t="shared" ca="1" si="1446"/>
        <v>45</v>
      </c>
      <c r="AT1228" s="95">
        <f t="shared" si="1447"/>
        <v>12.35</v>
      </c>
      <c r="AU1228" s="97">
        <f t="shared" si="1448"/>
        <v>2</v>
      </c>
      <c r="AW1228" s="51">
        <f t="shared" si="1449"/>
        <v>0</v>
      </c>
      <c r="AX1228" s="51">
        <f t="shared" si="1450"/>
        <v>1.1499999999999999</v>
      </c>
      <c r="AY1228" s="51">
        <f t="shared" si="1451"/>
        <v>1.1000000000000001</v>
      </c>
      <c r="AZ1228" s="51">
        <f t="shared" si="1452"/>
        <v>0</v>
      </c>
      <c r="BA1228" s="51"/>
      <c r="BB1228" s="51"/>
      <c r="BC1228" s="51"/>
      <c r="BD1228" s="51"/>
      <c r="BE1228" s="51"/>
      <c r="BF1228" s="51"/>
      <c r="BG1228" s="51"/>
      <c r="BH1228" s="51"/>
      <c r="BI1228" s="80" cm="1">
        <f t="array" ref="BI1228">IFERROR(INDEX(AW1228:BH1228,1,MATCH(2,1/(AW1228:BH1228&lt;&gt;""))),"")</f>
        <v>0</v>
      </c>
      <c r="BJ1228" s="68" cm="1">
        <f t="array" ref="BJ1228">IF(BM1228 = "", "",IFERROR(INDEX(AW1228:BH1228,1,MATCH(2,1/(AW1228:BH1228&lt;&gt;""),1)-1),""))</f>
        <v>1.1000000000000001</v>
      </c>
      <c r="BK1228" s="58">
        <f>IF((IF(AW1228&gt;=115%,115%,AW1228) + IF(AX1228&gt;=115%,115%,AX1228) + IF(AY1228&gt;=115%,115%,AY1228) + (IF(AZ1228&gt;=115%,115%,AZ1228) + IF(BA1228&gt;=115%,115%,BA1228) + IF(BB1228&gt;=115%,115%,BB1228) + IF(BC1228&gt;=115%,115%,BC1228) + IF(BD1228&gt;=115%,115%,BD1228) + IF(BE1228&gt;=115%,115%,BE1228) + IF(BF1228&gt;=115%,115%,BF1228) + IF(BG1228&gt;=115%,115%,BG1228) + IF(BH1228&gt;=115%,115%,BH1228)))/_xlfn.XLOOKUP(F1228,Apuração!A:A,Apuração!B:B)&gt;=1.15,1.15,((IF(AZ1228&gt;=115%,115%,AZ1228) + IF(AX1228&gt;=115%,115%,AX1228) + IF(AY1228&gt;=115%,115%,AY1228) + (IF(AW1228&gt;=115%,115%,AW1228) + IF(BA1228&gt;=115%,115%,BA1228) + IF(BB1228&gt;=115%,115%,BB1228) + IF(BC1228&gt;=115%,115%,BC1228) + IF(BD1228&gt;=115%,115%,BD1228) + IF(BE1228&gt;=115%,115%,BE1228) + IF(BF1228&gt;=115%,115%,BF1228) + IF(BG1228&gt;=115%,115%,BG1228) + IF(BH1228&gt;=115%,115%,BH1228)))/_xlfn.XLOOKUP(F1228,Apuração!A:A,Apuração!B:B)))</f>
        <v>0.20454545454545456</v>
      </c>
      <c r="BL1228" s="58" cm="1">
        <f t="array" aca="1" ref="BL1228" ca="1">IF(SUM(IFERROR(IF(INDEX(AW1228:INDEX(AW1228:BH1228, MATCH(2, 1/(AW1228:BH1228&lt;&gt;""), 1)-1), ROW(INDIRECT("1:" &amp; MATCH(2, 1/(AW1228:BH1228&lt;&gt;""), 1)-1))) &gt;= 115%, 115%, INDEX(AW1228:INDEX(AW1228:BH1228, MATCH(2, 1/(AW1228:BH1228&lt;&gt;""), 1)-1), ROW(INDIRECT("1:" &amp; MATCH(2, 1/(AW1228:BH1228&lt;&gt;""), 1)-1)))), 0))/_xlfn.XLOOKUP(F1228,Apuração!A:A,Apuração!B:B)&gt;=1.15,1.15,SUM(IFERROR(IF(INDEX(AW1228:INDEX(AW1228:BH1228, MATCH(2, 1/(AW1228:BH1228&lt;&gt;""), 1)-1), ROW(INDIRECT("1:" &amp; MATCH(2, 1/(AW1228:BH1228&lt;&gt;""), 1)-1))) &gt;= 115%, 115%, INDEX(AW1228:INDEX(AW1228:BH1228, MATCH(2, 1/(AW1228:BH1228&lt;&gt;""), 1)-1), ROW(INDIRECT("1:" &amp; MATCH(2, 1/(AW1228:BH1228&lt;&gt;""), 1)-1)))), 0))/_xlfn.XLOOKUP(F1228,Apuração!A:A,Apuração!B:B))</f>
        <v>0.20454545454545456</v>
      </c>
      <c r="BM1228" s="55" cm="1">
        <f t="array" ref="BM1228">IFERROR(
   INDEX($AW$1:$BH$1,
      _xlfn.AGGREGATE(14, 6, COLUMN($AW$1:$BH$1)/(AW1228:BH1228&lt;&gt;""), 2) - COLUMN($AW$1) + 1
   ),
"")</f>
        <v>46082</v>
      </c>
      <c r="BN1228" s="55" cm="1">
        <f t="array" ref="BN1228">IFERROR(INDEX($AW$1:$BH$1,1,MATCH(2,1/(AW1228:BH1228&lt;&gt;""))),"")</f>
        <v>46113</v>
      </c>
      <c r="BO1228" s="53">
        <f ca="1">IFERROR(_xlfn.XLOOKUP(F1228,Apuração!A:A,Apuração!C:C)/_xlfn.XLOOKUP(F1228,Apuração!A:A,Apuração!B:B),0)</f>
        <v>0.36363636363636365</v>
      </c>
      <c r="BP1228" s="53">
        <f ca="1">IFERROR(_xlfn.XLOOKUP(F1228,Apuração!A:A,Apuração!D:D)/_xlfn.XLOOKUP(F1228,Apuração!A:A,Apuração!B:B),0)</f>
        <v>0.27272727272727271</v>
      </c>
      <c r="BQ1228" s="53">
        <f ca="1">IF(BK1228&gt;=BO1228,0,_xlfn.XLOOKUP(F1228,Apuração!A:A,Apuração!B:B)*(BO1228 + (1/_xlfn.XLOOKUP(F1228,Apuração!A:A,Apuração!B:B)) - BK1228))</f>
        <v>2.75</v>
      </c>
      <c r="BR1228" s="85">
        <f t="shared" ca="1" si="1453"/>
        <v>24.75</v>
      </c>
      <c r="BS1228" s="53">
        <f ca="1">IFERROR((_xlfn.XLOOKUP(F1228,Apuração!A:A,Apuração!C:C)+1)/_xlfn.XLOOKUP(F1228,Apuração!A:A,Apuração!B:B),0)</f>
        <v>0.45454545454545453</v>
      </c>
    </row>
    <row r="1229" spans="1:71" ht="25.95" hidden="1" customHeight="1" x14ac:dyDescent="0.3">
      <c r="A1229" s="41" t="s">
        <v>108</v>
      </c>
      <c r="B1229" s="4" t="s">
        <v>109</v>
      </c>
      <c r="C1229" s="5" t="s">
        <v>209</v>
      </c>
      <c r="D1229" s="5" t="s">
        <v>211</v>
      </c>
      <c r="E1229" s="4" t="str" cm="1">
        <f t="array" ref="E1229">_xlfn.IFS(
F1229 = "A partir de Abril", "Aguardando Execução na Distribuidora",
A1229 = "CAPACITAÇÃO", "Em execução no Corporativo",
TRUE, "Em Execução na Distribuidora"
)</f>
        <v>Em Execução na Distribuidora</v>
      </c>
      <c r="F1229" s="4" t="str" cm="1">
        <f t="array" ref="F1229">_xlfn.IFS(
AG1229 &lt;&gt; "", "Jan-Dez/26",
AH1229 &lt;&gt; "", "Fev-Dez/26",
AI1229 &lt;&gt; "", "Mar-Dez/26", AJ1229 &lt;&gt; "", "Abr-Dez/26",
TRUE, "A partir de Junho"
)</f>
        <v>Fev-Dez/26</v>
      </c>
      <c r="G1229" s="4" t="s">
        <v>37</v>
      </c>
      <c r="H1229" s="7" t="s">
        <v>38</v>
      </c>
      <c r="I1229" s="4" t="s">
        <v>115</v>
      </c>
      <c r="J1229" s="8" t="str" cm="1">
        <f t="array" aca="1" ref="J1229" ca="1">_xlfn.LET(
  _xlpm.actual_value_month, INDEX(T1229:AE1229, MATCH(DATE(YEAR(TODAY()), MONTH(TODAY()), 1), $T$1:$AE$1, 0)),
  IF(_xlpm.actual_value_month &lt;&gt; "",_xlpm.actual_value_month &amp; " redução de notificações mensais", "")
)</f>
        <v>9 redução de notificações mensais</v>
      </c>
      <c r="K1229" s="8" t="str" cm="1">
        <f t="array" ref="K1229">_xlfn.LET(
    _xlpm.sum_month, SUM(T1229:AE1229),
    IF(_xlpm.sum_month = 0, "", _xlpm.sum_month &amp; " taxa de redução das notificações de excesso de velocidade no ano")
)</f>
        <v>108 taxa de redução das notificações de excesso de velocidade no ano</v>
      </c>
      <c r="L1229" s="4" t="s">
        <v>116</v>
      </c>
      <c r="M1229" s="13">
        <v>1</v>
      </c>
      <c r="N1229" s="5" t="s">
        <v>42</v>
      </c>
      <c r="O1229" s="5" t="s">
        <v>43</v>
      </c>
      <c r="P1229" s="10" t="s">
        <v>44</v>
      </c>
      <c r="Q1229" s="10" t="s">
        <v>44</v>
      </c>
      <c r="R1229" s="11" t="s">
        <v>44</v>
      </c>
      <c r="S1229" s="11" t="s">
        <v>44</v>
      </c>
      <c r="T1229" s="143">
        <v>9</v>
      </c>
      <c r="U1229" s="143">
        <v>9</v>
      </c>
      <c r="V1229" s="143">
        <v>9</v>
      </c>
      <c r="W1229" s="143">
        <v>9</v>
      </c>
      <c r="X1229" s="143">
        <v>9</v>
      </c>
      <c r="Y1229" s="143">
        <v>9</v>
      </c>
      <c r="Z1229" s="143">
        <v>9</v>
      </c>
      <c r="AA1229" s="143">
        <v>9</v>
      </c>
      <c r="AB1229" s="143">
        <v>9</v>
      </c>
      <c r="AC1229" s="143">
        <v>9</v>
      </c>
      <c r="AD1229" s="143">
        <v>9</v>
      </c>
      <c r="AE1229" s="143">
        <v>9</v>
      </c>
      <c r="AG1229" s="71"/>
      <c r="AH1229" s="82">
        <v>0</v>
      </c>
      <c r="AI1229" s="82">
        <v>0</v>
      </c>
      <c r="AJ1229" s="71"/>
      <c r="AK1229" s="71"/>
      <c r="AL1229" s="71"/>
      <c r="AM1229" s="71"/>
      <c r="AN1229" s="71"/>
      <c r="AO1229" s="71"/>
      <c r="AP1229" s="71"/>
      <c r="AQ1229" s="71"/>
      <c r="AR1229" s="71"/>
      <c r="AS1229" s="94">
        <f t="shared" ca="1" si="1446"/>
        <v>45</v>
      </c>
      <c r="AT1229" s="95">
        <f t="shared" si="1447"/>
        <v>20.7</v>
      </c>
      <c r="AU1229" s="97">
        <f t="shared" si="1448"/>
        <v>0</v>
      </c>
      <c r="AW1229" s="51">
        <f t="shared" si="1449"/>
        <v>0</v>
      </c>
      <c r="AX1229" s="51">
        <f t="shared" si="1450"/>
        <v>1.1499999999999999</v>
      </c>
      <c r="AY1229" s="51">
        <f t="shared" si="1451"/>
        <v>1.1499999999999999</v>
      </c>
      <c r="AZ1229" s="51">
        <f t="shared" si="1452"/>
        <v>0</v>
      </c>
      <c r="BA1229" s="51"/>
      <c r="BB1229" s="51"/>
      <c r="BC1229" s="51"/>
      <c r="BD1229" s="51"/>
      <c r="BE1229" s="51"/>
      <c r="BF1229" s="51"/>
      <c r="BG1229" s="51"/>
      <c r="BH1229" s="51"/>
      <c r="BI1229" s="80" cm="1">
        <f t="array" ref="BI1229">IFERROR(INDEX(AW1229:BH1229,1,MATCH(2,1/(AW1229:BH1229&lt;&gt;""))),"")</f>
        <v>0</v>
      </c>
      <c r="BJ1229" s="68" cm="1">
        <f t="array" ref="BJ1229">IF(BM1229 = "", "",IFERROR(INDEX(AW1229:BH1229,1,MATCH(2,1/(AW1229:BH1229&lt;&gt;""),1)-1),""))</f>
        <v>1.1499999999999999</v>
      </c>
      <c r="BK1229" s="58">
        <f>IF((IF(AW1229&gt;=115%,115%,AW1229) + IF(AX1229&gt;=115%,115%,AX1229) + IF(AY1229&gt;=115%,115%,AY1229) + (IF(AZ1229&gt;=115%,115%,AZ1229) + IF(BA1229&gt;=115%,115%,BA1229) + IF(BB1229&gt;=115%,115%,BB1229) + IF(BC1229&gt;=115%,115%,BC1229) + IF(BD1229&gt;=115%,115%,BD1229) + IF(BE1229&gt;=115%,115%,BE1229) + IF(BF1229&gt;=115%,115%,BF1229) + IF(BG1229&gt;=115%,115%,BG1229) + IF(BH1229&gt;=115%,115%,BH1229)))/_xlfn.XLOOKUP(F1229,Apuração!A:A,Apuração!B:B)&gt;=1.15,1.15,((IF(AZ1229&gt;=115%,115%,AZ1229) + IF(AX1229&gt;=115%,115%,AX1229) + IF(AY1229&gt;=115%,115%,AY1229) + (IF(AW1229&gt;=115%,115%,AW1229) + IF(BA1229&gt;=115%,115%,BA1229) + IF(BB1229&gt;=115%,115%,BB1229) + IF(BC1229&gt;=115%,115%,BC1229) + IF(BD1229&gt;=115%,115%,BD1229) + IF(BE1229&gt;=115%,115%,BE1229) + IF(BF1229&gt;=115%,115%,BF1229) + IF(BG1229&gt;=115%,115%,BG1229) + IF(BH1229&gt;=115%,115%,BH1229)))/_xlfn.XLOOKUP(F1229,Apuração!A:A,Apuração!B:B)))</f>
        <v>0.20909090909090908</v>
      </c>
      <c r="BL1229" s="58" cm="1">
        <f t="array" aca="1" ref="BL1229" ca="1">IF(SUM(IFERROR(IF(INDEX(AW1229:INDEX(AW1229:BH1229, MATCH(2, 1/(AW1229:BH1229&lt;&gt;""), 1)-1), ROW(INDIRECT("1:" &amp; MATCH(2, 1/(AW1229:BH1229&lt;&gt;""), 1)-1))) &gt;= 115%, 115%, INDEX(AW1229:INDEX(AW1229:BH1229, MATCH(2, 1/(AW1229:BH1229&lt;&gt;""), 1)-1), ROW(INDIRECT("1:" &amp; MATCH(2, 1/(AW1229:BH1229&lt;&gt;""), 1)-1)))), 0))/_xlfn.XLOOKUP(F1229,Apuração!A:A,Apuração!B:B)&gt;=1.15,1.15,SUM(IFERROR(IF(INDEX(AW1229:INDEX(AW1229:BH1229, MATCH(2, 1/(AW1229:BH1229&lt;&gt;""), 1)-1), ROW(INDIRECT("1:" &amp; MATCH(2, 1/(AW1229:BH1229&lt;&gt;""), 1)-1))) &gt;= 115%, 115%, INDEX(AW1229:INDEX(AW1229:BH1229, MATCH(2, 1/(AW1229:BH1229&lt;&gt;""), 1)-1), ROW(INDIRECT("1:" &amp; MATCH(2, 1/(AW1229:BH1229&lt;&gt;""), 1)-1)))), 0))/_xlfn.XLOOKUP(F1229,Apuração!A:A,Apuração!B:B))</f>
        <v>0.20909090909090908</v>
      </c>
      <c r="BM1229" s="55" cm="1">
        <f t="array" ref="BM1229">IFERROR(
   INDEX($AW$1:$BH$1,
      _xlfn.AGGREGATE(14, 6, COLUMN($AW$1:$BH$1)/(AW1229:BH1229&lt;&gt;""), 2) - COLUMN($AW$1) + 1
   ),
"")</f>
        <v>46082</v>
      </c>
      <c r="BN1229" s="55" cm="1">
        <f t="array" ref="BN1229">IFERROR(INDEX($AW$1:$BH$1,1,MATCH(2,1/(AW1229:BH1229&lt;&gt;""))),"")</f>
        <v>46113</v>
      </c>
      <c r="BO1229" s="53">
        <f ca="1">IFERROR(_xlfn.XLOOKUP(F1229,Apuração!A:A,Apuração!C:C)/_xlfn.XLOOKUP(F1229,Apuração!A:A,Apuração!B:B),0)</f>
        <v>0.36363636363636365</v>
      </c>
      <c r="BP1229" s="53">
        <f ca="1">IFERROR(_xlfn.XLOOKUP(F1229,Apuração!A:A,Apuração!D:D)/_xlfn.XLOOKUP(F1229,Apuração!A:A,Apuração!B:B),0)</f>
        <v>0.27272727272727271</v>
      </c>
      <c r="BQ1229" s="53">
        <f ca="1">IF(BK1229&gt;=BO1229,0,_xlfn.XLOOKUP(F1229,Apuração!A:A,Apuração!B:B)*(BO1229 + (1/_xlfn.XLOOKUP(F1229,Apuração!A:A,Apuração!B:B)) - BK1229))</f>
        <v>2.7000000000000006</v>
      </c>
      <c r="BR1229" s="85">
        <f t="shared" ca="1" si="1453"/>
        <v>24.300000000000004</v>
      </c>
      <c r="BS1229" s="53">
        <f ca="1">IFERROR((_xlfn.XLOOKUP(F1229,Apuração!A:A,Apuração!C:C)+1)/_xlfn.XLOOKUP(F1229,Apuração!A:A,Apuração!B:B),0)</f>
        <v>0.45454545454545453</v>
      </c>
    </row>
    <row r="1230" spans="1:71" ht="25.95" hidden="1" customHeight="1" x14ac:dyDescent="0.3">
      <c r="A1230" s="41" t="s">
        <v>108</v>
      </c>
      <c r="B1230" s="4" t="s">
        <v>109</v>
      </c>
      <c r="C1230" s="5" t="s">
        <v>209</v>
      </c>
      <c r="D1230" s="5" t="s">
        <v>212</v>
      </c>
      <c r="E1230" s="4" t="str" cm="1">
        <f t="array" ref="E1230">_xlfn.IFS(
F1230 = "A partir de Abril", "Aguardando Execução na Distribuidora",
A1230 = "CAPACITAÇÃO", "Em execução no Corporativo",
TRUE, "Em Execução na Distribuidora"
)</f>
        <v>Em Execução na Distribuidora</v>
      </c>
      <c r="F1230" s="4" t="str" cm="1">
        <f t="array" ref="F1230">_xlfn.IFS(
AG1230 &lt;&gt; "", "Jan-Dez/26",
AH1230 &lt;&gt; "", "Fev-Dez/26",
AI1230 &lt;&gt; "", "Mar-Dez/26", AJ1230 &lt;&gt; "", "Abr-Dez/26",
TRUE, "A partir de Junho"
)</f>
        <v>Fev-Dez/26</v>
      </c>
      <c r="G1230" s="4" t="s">
        <v>37</v>
      </c>
      <c r="H1230" s="7" t="s">
        <v>38</v>
      </c>
      <c r="I1230" s="4" t="s">
        <v>115</v>
      </c>
      <c r="J1230" s="8" t="str" cm="1">
        <f t="array" aca="1" ref="J1230" ca="1">_xlfn.LET(
  _xlpm.actual_value_month, INDEX(T1230:AE1230, MATCH(DATE(YEAR(TODAY()), MONTH(TODAY()), 1), $T$1:$AE$1, 0)),
  IF(_xlpm.actual_value_month &lt;&gt; "",_xlpm.actual_value_month &amp; " redução de notificações mensais", "")
)</f>
        <v>9 redução de notificações mensais</v>
      </c>
      <c r="K1230" s="8" t="str" cm="1">
        <f t="array" ref="K1230">_xlfn.LET(
    _xlpm.sum_month, SUM(T1230:AE1230),
    IF(_xlpm.sum_month = 0, "", _xlpm.sum_month &amp; " taxa de redução das notificações de excesso de velocidade no ano")
)</f>
        <v>108 taxa de redução das notificações de excesso de velocidade no ano</v>
      </c>
      <c r="L1230" s="4" t="s">
        <v>116</v>
      </c>
      <c r="M1230" s="13">
        <v>1</v>
      </c>
      <c r="N1230" s="5" t="s">
        <v>42</v>
      </c>
      <c r="O1230" s="5" t="s">
        <v>43</v>
      </c>
      <c r="P1230" s="10" t="s">
        <v>44</v>
      </c>
      <c r="Q1230" s="10" t="s">
        <v>44</v>
      </c>
      <c r="R1230" s="11" t="s">
        <v>44</v>
      </c>
      <c r="S1230" s="11" t="s">
        <v>44</v>
      </c>
      <c r="T1230" s="143">
        <v>9</v>
      </c>
      <c r="U1230" s="143">
        <v>9</v>
      </c>
      <c r="V1230" s="143">
        <v>9</v>
      </c>
      <c r="W1230" s="143">
        <v>9</v>
      </c>
      <c r="X1230" s="143">
        <v>9</v>
      </c>
      <c r="Y1230" s="143">
        <v>9</v>
      </c>
      <c r="Z1230" s="143">
        <v>9</v>
      </c>
      <c r="AA1230" s="143">
        <v>9</v>
      </c>
      <c r="AB1230" s="143">
        <v>9</v>
      </c>
      <c r="AC1230" s="143">
        <v>9</v>
      </c>
      <c r="AD1230" s="143">
        <v>9</v>
      </c>
      <c r="AE1230" s="143">
        <v>9</v>
      </c>
      <c r="AG1230" s="71"/>
      <c r="AH1230" s="82">
        <v>2</v>
      </c>
      <c r="AI1230" s="82">
        <v>2</v>
      </c>
      <c r="AJ1230" s="71"/>
      <c r="AK1230" s="71"/>
      <c r="AL1230" s="71"/>
      <c r="AM1230" s="71"/>
      <c r="AN1230" s="71"/>
      <c r="AO1230" s="71"/>
      <c r="AP1230" s="71"/>
      <c r="AQ1230" s="71"/>
      <c r="AR1230" s="71"/>
      <c r="AS1230" s="94">
        <f t="shared" ca="1" si="1446"/>
        <v>45</v>
      </c>
      <c r="AT1230" s="95">
        <f t="shared" si="1447"/>
        <v>4</v>
      </c>
      <c r="AU1230" s="97">
        <f t="shared" si="1448"/>
        <v>4</v>
      </c>
      <c r="AW1230" s="51">
        <f t="shared" si="1449"/>
        <v>0</v>
      </c>
      <c r="AX1230" s="51">
        <f t="shared" si="1450"/>
        <v>1.1000000000000001</v>
      </c>
      <c r="AY1230" s="51">
        <f t="shared" si="1451"/>
        <v>1.1000000000000001</v>
      </c>
      <c r="AZ1230" s="51">
        <f t="shared" si="1452"/>
        <v>0</v>
      </c>
      <c r="BA1230" s="51"/>
      <c r="BB1230" s="51"/>
      <c r="BC1230" s="51"/>
      <c r="BD1230" s="51"/>
      <c r="BE1230" s="51"/>
      <c r="BF1230" s="51"/>
      <c r="BG1230" s="51"/>
      <c r="BH1230" s="51"/>
      <c r="BI1230" s="80" cm="1">
        <f t="array" ref="BI1230">IFERROR(INDEX(AW1230:BH1230,1,MATCH(2,1/(AW1230:BH1230&lt;&gt;""))),"")</f>
        <v>0</v>
      </c>
      <c r="BJ1230" s="68" cm="1">
        <f t="array" ref="BJ1230">IF(BM1230 = "", "",IFERROR(INDEX(AW1230:BH1230,1,MATCH(2,1/(AW1230:BH1230&lt;&gt;""),1)-1),""))</f>
        <v>1.1000000000000001</v>
      </c>
      <c r="BK1230" s="58">
        <f>IF((IF(AW1230&gt;=115%,115%,AW1230) + IF(AX1230&gt;=115%,115%,AX1230) + IF(AY1230&gt;=115%,115%,AY1230) + (IF(AZ1230&gt;=115%,115%,AZ1230) + IF(BA1230&gt;=115%,115%,BA1230) + IF(BB1230&gt;=115%,115%,BB1230) + IF(BC1230&gt;=115%,115%,BC1230) + IF(BD1230&gt;=115%,115%,BD1230) + IF(BE1230&gt;=115%,115%,BE1230) + IF(BF1230&gt;=115%,115%,BF1230) + IF(BG1230&gt;=115%,115%,BG1230) + IF(BH1230&gt;=115%,115%,BH1230)))/_xlfn.XLOOKUP(F1230,Apuração!A:A,Apuração!B:B)&gt;=1.15,1.15,((IF(AZ1230&gt;=115%,115%,AZ1230) + IF(AX1230&gt;=115%,115%,AX1230) + IF(AY1230&gt;=115%,115%,AY1230) + (IF(AW1230&gt;=115%,115%,AW1230) + IF(BA1230&gt;=115%,115%,BA1230) + IF(BB1230&gt;=115%,115%,BB1230) + IF(BC1230&gt;=115%,115%,BC1230) + IF(BD1230&gt;=115%,115%,BD1230) + IF(BE1230&gt;=115%,115%,BE1230) + IF(BF1230&gt;=115%,115%,BF1230) + IF(BG1230&gt;=115%,115%,BG1230) + IF(BH1230&gt;=115%,115%,BH1230)))/_xlfn.XLOOKUP(F1230,Apuração!A:A,Apuração!B:B)))</f>
        <v>0.2</v>
      </c>
      <c r="BL1230" s="58" cm="1">
        <f t="array" aca="1" ref="BL1230" ca="1">IF(SUM(IFERROR(IF(INDEX(AW1230:INDEX(AW1230:BH1230, MATCH(2, 1/(AW1230:BH1230&lt;&gt;""), 1)-1), ROW(INDIRECT("1:" &amp; MATCH(2, 1/(AW1230:BH1230&lt;&gt;""), 1)-1))) &gt;= 115%, 115%, INDEX(AW1230:INDEX(AW1230:BH1230, MATCH(2, 1/(AW1230:BH1230&lt;&gt;""), 1)-1), ROW(INDIRECT("1:" &amp; MATCH(2, 1/(AW1230:BH1230&lt;&gt;""), 1)-1)))), 0))/_xlfn.XLOOKUP(F1230,Apuração!A:A,Apuração!B:B)&gt;=1.15,1.15,SUM(IFERROR(IF(INDEX(AW1230:INDEX(AW1230:BH1230, MATCH(2, 1/(AW1230:BH1230&lt;&gt;""), 1)-1), ROW(INDIRECT("1:" &amp; MATCH(2, 1/(AW1230:BH1230&lt;&gt;""), 1)-1))) &gt;= 115%, 115%, INDEX(AW1230:INDEX(AW1230:BH1230, MATCH(2, 1/(AW1230:BH1230&lt;&gt;""), 1)-1), ROW(INDIRECT("1:" &amp; MATCH(2, 1/(AW1230:BH1230&lt;&gt;""), 1)-1)))), 0))/_xlfn.XLOOKUP(F1230,Apuração!A:A,Apuração!B:B))</f>
        <v>0.2</v>
      </c>
      <c r="BM1230" s="55" cm="1">
        <f t="array" ref="BM1230">IFERROR(
   INDEX($AW$1:$BH$1,
      _xlfn.AGGREGATE(14, 6, COLUMN($AW$1:$BH$1)/(AW1230:BH1230&lt;&gt;""), 2) - COLUMN($AW$1) + 1
   ),
"")</f>
        <v>46082</v>
      </c>
      <c r="BN1230" s="55" cm="1">
        <f t="array" ref="BN1230">IFERROR(INDEX($AW$1:$BH$1,1,MATCH(2,1/(AW1230:BH1230&lt;&gt;""))),"")</f>
        <v>46113</v>
      </c>
      <c r="BO1230" s="53">
        <f ca="1">IFERROR(_xlfn.XLOOKUP(F1230,Apuração!A:A,Apuração!C:C)/_xlfn.XLOOKUP(F1230,Apuração!A:A,Apuração!B:B),0)</f>
        <v>0.36363636363636365</v>
      </c>
      <c r="BP1230" s="53">
        <f ca="1">IFERROR(_xlfn.XLOOKUP(F1230,Apuração!A:A,Apuração!D:D)/_xlfn.XLOOKUP(F1230,Apuração!A:A,Apuração!B:B),0)</f>
        <v>0.27272727272727271</v>
      </c>
      <c r="BQ1230" s="53">
        <f ca="1">IF(BK1230&gt;=BO1230,0,_xlfn.XLOOKUP(F1230,Apuração!A:A,Apuração!B:B)*(BO1230 + (1/_xlfn.XLOOKUP(F1230,Apuração!A:A,Apuração!B:B)) - BK1230))</f>
        <v>2.8000000000000003</v>
      </c>
      <c r="BR1230" s="85">
        <f t="shared" ca="1" si="1453"/>
        <v>25.200000000000003</v>
      </c>
      <c r="BS1230" s="53">
        <f ca="1">IFERROR((_xlfn.XLOOKUP(F1230,Apuração!A:A,Apuração!C:C)+1)/_xlfn.XLOOKUP(F1230,Apuração!A:A,Apuração!B:B),0)</f>
        <v>0.45454545454545453</v>
      </c>
    </row>
    <row r="1231" spans="1:71" ht="25.95" hidden="1" customHeight="1" x14ac:dyDescent="0.3">
      <c r="A1231" s="41" t="s">
        <v>108</v>
      </c>
      <c r="B1231" s="4" t="s">
        <v>109</v>
      </c>
      <c r="C1231" s="5" t="s">
        <v>209</v>
      </c>
      <c r="D1231" s="5" t="s">
        <v>213</v>
      </c>
      <c r="E1231" s="4" t="str" cm="1">
        <f t="array" ref="E1231">_xlfn.IFS(
F1231 = "A partir de Abril", "Aguardando Execução na Distribuidora",
A1231 = "CAPACITAÇÃO", "Em execução no Corporativo",
TRUE, "Em Execução na Distribuidora"
)</f>
        <v>Em Execução na Distribuidora</v>
      </c>
      <c r="F1231" s="4" t="str" cm="1">
        <f t="array" ref="F1231">_xlfn.IFS(
AG1231 &lt;&gt; "", "Jan-Dez/26",
AH1231 &lt;&gt; "", "Fev-Dez/26",
AI1231 &lt;&gt; "", "Mar-Dez/26", AJ1231 &lt;&gt; "", "Abr-Dez/26",
TRUE, "A partir de Junho"
)</f>
        <v>Fev-Dez/26</v>
      </c>
      <c r="G1231" s="4" t="s">
        <v>37</v>
      </c>
      <c r="H1231" s="7" t="s">
        <v>38</v>
      </c>
      <c r="I1231" s="4" t="s">
        <v>115</v>
      </c>
      <c r="J1231" s="8" t="str" cm="1">
        <f t="array" aca="1" ref="J1231" ca="1">_xlfn.LET(
  _xlpm.actual_value_month, INDEX(T1231:AE1231, MATCH(DATE(YEAR(TODAY()), MONTH(TODAY()), 1), $T$1:$AE$1, 0)),
  IF(_xlpm.actual_value_month &lt;&gt; "",_xlpm.actual_value_month &amp; " redução de notificações mensais", "")
)</f>
        <v>9 redução de notificações mensais</v>
      </c>
      <c r="K1231" s="8" t="str" cm="1">
        <f t="array" ref="K1231">_xlfn.LET(
    _xlpm.sum_month, SUM(T1231:AE1231),
    IF(_xlpm.sum_month = 0, "", _xlpm.sum_month &amp; " taxa de redução das notificações de excesso de velocidade no ano")
)</f>
        <v>108 taxa de redução das notificações de excesso de velocidade no ano</v>
      </c>
      <c r="L1231" s="4" t="s">
        <v>116</v>
      </c>
      <c r="M1231" s="13">
        <v>1</v>
      </c>
      <c r="N1231" s="5" t="s">
        <v>42</v>
      </c>
      <c r="O1231" s="5" t="s">
        <v>43</v>
      </c>
      <c r="P1231" s="10" t="s">
        <v>44</v>
      </c>
      <c r="Q1231" s="10" t="s">
        <v>44</v>
      </c>
      <c r="R1231" s="11" t="s">
        <v>44</v>
      </c>
      <c r="S1231" s="11" t="s">
        <v>44</v>
      </c>
      <c r="T1231" s="143">
        <v>9</v>
      </c>
      <c r="U1231" s="143">
        <v>9</v>
      </c>
      <c r="V1231" s="143">
        <v>9</v>
      </c>
      <c r="W1231" s="143">
        <v>9</v>
      </c>
      <c r="X1231" s="143">
        <v>9</v>
      </c>
      <c r="Y1231" s="143">
        <v>9</v>
      </c>
      <c r="Z1231" s="143">
        <v>9</v>
      </c>
      <c r="AA1231" s="143">
        <v>9</v>
      </c>
      <c r="AB1231" s="143">
        <v>9</v>
      </c>
      <c r="AC1231" s="143">
        <v>9</v>
      </c>
      <c r="AD1231" s="143">
        <v>9</v>
      </c>
      <c r="AE1231" s="143">
        <v>9</v>
      </c>
      <c r="AG1231" s="71"/>
      <c r="AH1231" s="82">
        <v>8</v>
      </c>
      <c r="AI1231" s="82">
        <v>4</v>
      </c>
      <c r="AJ1231" s="71"/>
      <c r="AK1231" s="71"/>
      <c r="AL1231" s="71"/>
      <c r="AM1231" s="71"/>
      <c r="AN1231" s="71"/>
      <c r="AO1231" s="71"/>
      <c r="AP1231" s="71"/>
      <c r="AQ1231" s="71"/>
      <c r="AR1231" s="71"/>
      <c r="AS1231" s="94">
        <f t="shared" ca="1" si="1446"/>
        <v>45</v>
      </c>
      <c r="AT1231" s="95">
        <f t="shared" si="1447"/>
        <v>12</v>
      </c>
      <c r="AU1231" s="97">
        <f t="shared" si="1448"/>
        <v>12</v>
      </c>
      <c r="AW1231" s="51">
        <f t="shared" si="1449"/>
        <v>0</v>
      </c>
      <c r="AX1231" s="51">
        <f t="shared" si="1450"/>
        <v>1</v>
      </c>
      <c r="AY1231" s="51">
        <f t="shared" si="1451"/>
        <v>1.05</v>
      </c>
      <c r="AZ1231" s="51">
        <f t="shared" si="1452"/>
        <v>0</v>
      </c>
      <c r="BA1231" s="51"/>
      <c r="BB1231" s="51"/>
      <c r="BC1231" s="51"/>
      <c r="BD1231" s="51"/>
      <c r="BE1231" s="51"/>
      <c r="BF1231" s="51"/>
      <c r="BG1231" s="51"/>
      <c r="BH1231" s="51"/>
      <c r="BI1231" s="80" cm="1">
        <f t="array" ref="BI1231">IFERROR(INDEX(AW1231:BH1231,1,MATCH(2,1/(AW1231:BH1231&lt;&gt;""))),"")</f>
        <v>0</v>
      </c>
      <c r="BJ1231" s="68" cm="1">
        <f t="array" ref="BJ1231">IF(BM1231 = "", "",IFERROR(INDEX(AW1231:BH1231,1,MATCH(2,1/(AW1231:BH1231&lt;&gt;""),1)-1),""))</f>
        <v>1.05</v>
      </c>
      <c r="BK1231" s="58">
        <f>IF((IF(AW1231&gt;=115%,115%,AW1231) + IF(AX1231&gt;=115%,115%,AX1231) + IF(AY1231&gt;=115%,115%,AY1231) + (IF(AZ1231&gt;=115%,115%,AZ1231) + IF(BA1231&gt;=115%,115%,BA1231) + IF(BB1231&gt;=115%,115%,BB1231) + IF(BC1231&gt;=115%,115%,BC1231) + IF(BD1231&gt;=115%,115%,BD1231) + IF(BE1231&gt;=115%,115%,BE1231) + IF(BF1231&gt;=115%,115%,BF1231) + IF(BG1231&gt;=115%,115%,BG1231) + IF(BH1231&gt;=115%,115%,BH1231)))/_xlfn.XLOOKUP(F1231,Apuração!A:A,Apuração!B:B)&gt;=1.15,1.15,((IF(AZ1231&gt;=115%,115%,AZ1231) + IF(AX1231&gt;=115%,115%,AX1231) + IF(AY1231&gt;=115%,115%,AY1231) + (IF(AW1231&gt;=115%,115%,AW1231) + IF(BA1231&gt;=115%,115%,BA1231) + IF(BB1231&gt;=115%,115%,BB1231) + IF(BC1231&gt;=115%,115%,BC1231) + IF(BD1231&gt;=115%,115%,BD1231) + IF(BE1231&gt;=115%,115%,BE1231) + IF(BF1231&gt;=115%,115%,BF1231) + IF(BG1231&gt;=115%,115%,BG1231) + IF(BH1231&gt;=115%,115%,BH1231)))/_xlfn.XLOOKUP(F1231,Apuração!A:A,Apuração!B:B)))</f>
        <v>0.18636363636363634</v>
      </c>
      <c r="BL1231" s="58" cm="1">
        <f t="array" aca="1" ref="BL1231" ca="1">IF(SUM(IFERROR(IF(INDEX(AW1231:INDEX(AW1231:BH1231, MATCH(2, 1/(AW1231:BH1231&lt;&gt;""), 1)-1), ROW(INDIRECT("1:" &amp; MATCH(2, 1/(AW1231:BH1231&lt;&gt;""), 1)-1))) &gt;= 115%, 115%, INDEX(AW1231:INDEX(AW1231:BH1231, MATCH(2, 1/(AW1231:BH1231&lt;&gt;""), 1)-1), ROW(INDIRECT("1:" &amp; MATCH(2, 1/(AW1231:BH1231&lt;&gt;""), 1)-1)))), 0))/_xlfn.XLOOKUP(F1231,Apuração!A:A,Apuração!B:B)&gt;=1.15,1.15,SUM(IFERROR(IF(INDEX(AW1231:INDEX(AW1231:BH1231, MATCH(2, 1/(AW1231:BH1231&lt;&gt;""), 1)-1), ROW(INDIRECT("1:" &amp; MATCH(2, 1/(AW1231:BH1231&lt;&gt;""), 1)-1))) &gt;= 115%, 115%, INDEX(AW1231:INDEX(AW1231:BH1231, MATCH(2, 1/(AW1231:BH1231&lt;&gt;""), 1)-1), ROW(INDIRECT("1:" &amp; MATCH(2, 1/(AW1231:BH1231&lt;&gt;""), 1)-1)))), 0))/_xlfn.XLOOKUP(F1231,Apuração!A:A,Apuração!B:B))</f>
        <v>0.18636363636363634</v>
      </c>
      <c r="BM1231" s="55" cm="1">
        <f t="array" ref="BM1231">IFERROR(
   INDEX($AW$1:$BH$1,
      _xlfn.AGGREGATE(14, 6, COLUMN($AW$1:$BH$1)/(AW1231:BH1231&lt;&gt;""), 2) - COLUMN($AW$1) + 1
   ),
"")</f>
        <v>46082</v>
      </c>
      <c r="BN1231" s="55" cm="1">
        <f t="array" ref="BN1231">IFERROR(INDEX($AW$1:$BH$1,1,MATCH(2,1/(AW1231:BH1231&lt;&gt;""))),"")</f>
        <v>46113</v>
      </c>
      <c r="BO1231" s="53">
        <f ca="1">IFERROR(_xlfn.XLOOKUP(F1231,Apuração!A:A,Apuração!C:C)/_xlfn.XLOOKUP(F1231,Apuração!A:A,Apuração!B:B),0)</f>
        <v>0.36363636363636365</v>
      </c>
      <c r="BP1231" s="53">
        <f ca="1">IFERROR(_xlfn.XLOOKUP(F1231,Apuração!A:A,Apuração!D:D)/_xlfn.XLOOKUP(F1231,Apuração!A:A,Apuração!B:B),0)</f>
        <v>0.27272727272727271</v>
      </c>
      <c r="BQ1231" s="53">
        <f ca="1">IF(BK1231&gt;=BO1231,0,_xlfn.XLOOKUP(F1231,Apuração!A:A,Apuração!B:B)*(BO1231 + (1/_xlfn.XLOOKUP(F1231,Apuração!A:A,Apuração!B:B)) - BK1231))</f>
        <v>2.9500000000000006</v>
      </c>
      <c r="BR1231" s="85">
        <f t="shared" ca="1" si="1453"/>
        <v>26.550000000000004</v>
      </c>
      <c r="BS1231" s="53">
        <f ca="1">IFERROR((_xlfn.XLOOKUP(F1231,Apuração!A:A,Apuração!C:C)+1)/_xlfn.XLOOKUP(F1231,Apuração!A:A,Apuração!B:B),0)</f>
        <v>0.45454545454545453</v>
      </c>
    </row>
    <row r="1232" spans="1:71" ht="25.95" hidden="1" customHeight="1" x14ac:dyDescent="0.3">
      <c r="A1232" s="70" t="s">
        <v>108</v>
      </c>
      <c r="B1232" s="4" t="s">
        <v>117</v>
      </c>
      <c r="C1232" s="5" t="s">
        <v>209</v>
      </c>
      <c r="D1232" s="5" t="s">
        <v>36</v>
      </c>
      <c r="E1232" s="4" t="s">
        <v>118</v>
      </c>
      <c r="F1232" s="4" t="str" cm="1">
        <f t="array" ref="F1232">_xlfn.IFS(
AG1232 &lt;&gt; "", "Jan-Dez/26",
AH1232 &lt;&gt; "", "Fev-Dez/26",
AI1232 &lt;&gt; "", "Mar-Dez/26", AJ1232 &lt;&gt; "", "Abr-Dez/26",
TRUE, "A partir de Junho"
)</f>
        <v>Jan-Dez/26</v>
      </c>
      <c r="G1232" s="4" t="s">
        <v>37</v>
      </c>
      <c r="H1232" s="7" t="s">
        <v>38</v>
      </c>
      <c r="I1232" s="4" t="s">
        <v>119</v>
      </c>
      <c r="J1232" s="8" t="str" cm="1">
        <f t="array" aca="1" ref="J1232" ca="1">_xlfn.LET(
  _xlpm.actual_value_month, INDEX(T1232:AE1232, MATCH(DATE(YEAR(TODAY()), MONTH(TODAY()), 1), $T$1:$AE$1, 0)),
  IF(_xlpm.actual_value_month &lt;&gt; "",_xlpm.actual_value_month &amp; " ações mensais", "")
)</f>
        <v/>
      </c>
      <c r="K1232" s="8" t="str" cm="1">
        <f t="array" ref="K1232">_xlfn.LET(
    _xlpm.sum_month, SUM(T1232:AE1232),
    IF(_xlpm.sum_month = 0, "", _xlpm.sum_month &amp; " NC's no ano")
)</f>
        <v/>
      </c>
      <c r="L1232" s="4" t="s">
        <v>120</v>
      </c>
      <c r="M1232" s="19"/>
      <c r="N1232" s="5" t="s">
        <v>51</v>
      </c>
      <c r="O1232" s="5"/>
      <c r="P1232" s="10"/>
      <c r="Q1232" s="10"/>
      <c r="R1232" s="11"/>
      <c r="S1232" s="11"/>
      <c r="T1232" s="22"/>
      <c r="U1232" s="22"/>
      <c r="V1232" s="22"/>
      <c r="W1232" s="22"/>
      <c r="X1232" s="22"/>
      <c r="Y1232" s="22"/>
      <c r="Z1232" s="22"/>
      <c r="AA1232" s="22"/>
      <c r="AB1232" s="22"/>
      <c r="AC1232" s="22"/>
      <c r="AD1232" s="22"/>
      <c r="AE1232" s="22"/>
      <c r="AF1232" s="81"/>
      <c r="AG1232" s="71">
        <v>1025</v>
      </c>
      <c r="AH1232" s="71">
        <v>1772</v>
      </c>
      <c r="AI1232" s="71">
        <v>804</v>
      </c>
      <c r="AJ1232" s="71"/>
      <c r="AK1232" s="71"/>
      <c r="AL1232" s="71"/>
      <c r="AM1232" s="71"/>
      <c r="AN1232" s="71"/>
      <c r="AO1232" s="71"/>
      <c r="AP1232" s="71"/>
      <c r="AQ1232" s="71"/>
      <c r="AR1232" s="71"/>
      <c r="AS1232" s="94"/>
      <c r="AT1232" s="95"/>
      <c r="AU1232" s="97"/>
      <c r="AV1232" s="81"/>
      <c r="AW1232" s="83">
        <f>AG1232</f>
        <v>1025</v>
      </c>
      <c r="AX1232" s="83">
        <f>AH1232</f>
        <v>1772</v>
      </c>
      <c r="AY1232" s="83">
        <f>AI1232</f>
        <v>804</v>
      </c>
      <c r="AZ1232" s="83">
        <f>AJ1232</f>
        <v>0</v>
      </c>
      <c r="BA1232" s="83"/>
      <c r="BB1232" s="83"/>
      <c r="BC1232" s="83"/>
      <c r="BD1232" s="83"/>
      <c r="BE1232" s="83"/>
      <c r="BF1232" s="83"/>
      <c r="BG1232" s="83"/>
      <c r="BH1232" s="83"/>
      <c r="BI1232" s="65"/>
      <c r="BJ1232" s="68"/>
      <c r="BK1232" s="59">
        <f>SUM(AW1232:BH1232)</f>
        <v>3601</v>
      </c>
      <c r="BL1232" s="59" cm="1">
        <f t="array" ref="BL1232">IFERROR(SUM(AW1232:INDEX(AW1232:BH1232, MATCH(2, 1/(AW1232:BH1232&lt;&gt;""), 1) - 1))/_xlfn.XLOOKUP(F1232,Apuração!A:A,Apuração!B:B),0)</f>
        <v>300.08333333333331</v>
      </c>
      <c r="BM1232" s="55"/>
      <c r="BN1232" s="55"/>
      <c r="BO1232" s="53">
        <f ca="1">IFERROR(_xlfn.XLOOKUP(F1232,Apuração!A:A,Apuração!C:C)/_xlfn.XLOOKUP(F1232,Apuração!A:A,Apuração!B:B),0)</f>
        <v>0.41666666666666669</v>
      </c>
      <c r="BP1232" s="53">
        <f ca="1">IFERROR(_xlfn.XLOOKUP(F1232,Apuração!A:A,Apuração!D:D)/_xlfn.XLOOKUP(F1232,Apuração!A:A,Apuração!B:B),0)</f>
        <v>0.33333333333333331</v>
      </c>
      <c r="BQ1232" s="53">
        <f ca="1">IF(BK1232&gt;=BO1232,0,_xlfn.XLOOKUP(F1232,Apuração!A:A,Apuração!B:B)*(BO1232 + (1/_xlfn.XLOOKUP(F1232,Apuração!A:A,Apuração!B:B)) - BK1232))</f>
        <v>0</v>
      </c>
      <c r="BR1232" s="85">
        <f ca="1">IF(BQ1232=0,0,BQ1232*Z1232)</f>
        <v>0</v>
      </c>
      <c r="BS1232" s="53">
        <f ca="1">IFERROR((_xlfn.XLOOKUP(F1232,Apuração!A:A,Apuração!C:C)+1)/_xlfn.XLOOKUP(F1232,Apuração!A:A,Apuração!B:B),0)</f>
        <v>0.5</v>
      </c>
    </row>
    <row r="1233" spans="1:71" ht="25.95" hidden="1" customHeight="1" x14ac:dyDescent="0.3">
      <c r="A1233" s="70" t="s">
        <v>108</v>
      </c>
      <c r="B1233" s="4" t="s">
        <v>117</v>
      </c>
      <c r="C1233" s="5" t="s">
        <v>209</v>
      </c>
      <c r="D1233" s="5" t="s">
        <v>210</v>
      </c>
      <c r="E1233" s="4" t="s">
        <v>118</v>
      </c>
      <c r="F1233" s="4" t="str" cm="1">
        <f t="array" ref="F1233">_xlfn.IFS(
AG1233 &lt;&gt; "", "Jan-Dez/26",
AH1233 &lt;&gt; "", "Fev-Dez/26",
AI1233 &lt;&gt; "", "Mar-Dez/26", AJ1233 &lt;&gt; "", "Abr-Dez/26",
TRUE, "A partir de Junho"
)</f>
        <v>A partir de Junho</v>
      </c>
      <c r="G1233" s="4" t="s">
        <v>37</v>
      </c>
      <c r="H1233" s="7" t="s">
        <v>38</v>
      </c>
      <c r="I1233" s="4" t="s">
        <v>119</v>
      </c>
      <c r="J1233" s="8" t="str" cm="1">
        <f t="array" aca="1" ref="J1233" ca="1">_xlfn.LET(
  _xlpm.actual_value_month, INDEX(T1233:AE1233, MATCH(DATE(YEAR(TODAY()), MONTH(TODAY()), 1), $T$1:$AE$1, 0)),
  IF(_xlpm.actual_value_month &lt;&gt; "",_xlpm.actual_value_month &amp; " ações mensais", "")
)</f>
        <v/>
      </c>
      <c r="K1233" s="8" t="str" cm="1">
        <f t="array" ref="K1233">_xlfn.LET(
    _xlpm.sum_month, SUM(T1233:AE1233),
    IF(_xlpm.sum_month = 0, "", _xlpm.sum_month &amp; " NC's no ano")
)</f>
        <v/>
      </c>
      <c r="L1233" s="4" t="s">
        <v>120</v>
      </c>
      <c r="M1233" s="19"/>
      <c r="N1233" s="5" t="s">
        <v>51</v>
      </c>
      <c r="O1233" s="5"/>
      <c r="P1233" s="10"/>
      <c r="Q1233" s="10"/>
      <c r="R1233" s="11"/>
      <c r="S1233" s="11"/>
      <c r="T1233" s="22"/>
      <c r="U1233" s="22"/>
      <c r="V1233" s="22"/>
      <c r="W1233" s="22"/>
      <c r="X1233" s="22"/>
      <c r="Y1233" s="22"/>
      <c r="Z1233" s="22"/>
      <c r="AA1233" s="22"/>
      <c r="AB1233" s="22"/>
      <c r="AC1233" s="22"/>
      <c r="AD1233" s="22"/>
      <c r="AE1233" s="22"/>
      <c r="AF1233" s="81"/>
      <c r="AG1233" s="71"/>
      <c r="AH1233" s="71"/>
      <c r="AI1233" s="71"/>
      <c r="AJ1233" s="71"/>
      <c r="AK1233" s="71"/>
      <c r="AL1233" s="71"/>
      <c r="AM1233" s="71"/>
      <c r="AN1233" s="71"/>
      <c r="AO1233" s="71"/>
      <c r="AP1233" s="71"/>
      <c r="AQ1233" s="71"/>
      <c r="AR1233" s="71"/>
      <c r="AS1233" s="94"/>
      <c r="AT1233" s="95"/>
      <c r="AU1233" s="97"/>
      <c r="AV1233" s="81"/>
      <c r="AW1233" s="83">
        <f t="shared" ref="AW1233:AW1237" si="1454">AG1233</f>
        <v>0</v>
      </c>
      <c r="AX1233" s="83">
        <f t="shared" ref="AX1233:AX1237" si="1455">AH1233</f>
        <v>0</v>
      </c>
      <c r="AY1233" s="83">
        <f t="shared" ref="AY1233:AY1237" si="1456">AI1233</f>
        <v>0</v>
      </c>
      <c r="AZ1233" s="83">
        <f t="shared" ref="AZ1233:AZ1237" si="1457">AJ1233</f>
        <v>0</v>
      </c>
      <c r="BA1233" s="83"/>
      <c r="BB1233" s="83"/>
      <c r="BC1233" s="83"/>
      <c r="BD1233" s="83"/>
      <c r="BE1233" s="83"/>
      <c r="BF1233" s="83"/>
      <c r="BG1233" s="83"/>
      <c r="BH1233" s="83"/>
      <c r="BI1233" s="65"/>
      <c r="BJ1233" s="68"/>
      <c r="BK1233" s="59">
        <f t="shared" ref="BK1233:BK1237" si="1458">SUM(AW1233:BH1233)</f>
        <v>0</v>
      </c>
      <c r="BL1233" s="59" cm="1">
        <f t="array" ref="BL1233">IFERROR(SUM(AW1233:INDEX(AW1233:BH1233, MATCH(2, 1/(AW1233:BH1233&lt;&gt;""), 1) - 1))/_xlfn.XLOOKUP(F1233,Apuração!A:A,Apuração!B:B),0)</f>
        <v>0</v>
      </c>
      <c r="BM1233" s="55"/>
      <c r="BN1233" s="55"/>
      <c r="BO1233" s="53">
        <f ca="1">IFERROR(_xlfn.XLOOKUP(F1233,Apuração!A:A,Apuração!C:C)/_xlfn.XLOOKUP(F1233,Apuração!A:A,Apuração!B:B),0)</f>
        <v>0</v>
      </c>
      <c r="BP1233" s="53">
        <f ca="1">IFERROR(_xlfn.XLOOKUP(F1233,Apuração!A:A,Apuração!D:D)/_xlfn.XLOOKUP(F1233,Apuração!A:A,Apuração!B:B),0)</f>
        <v>0</v>
      </c>
      <c r="BQ1233" s="53">
        <f ca="1">IF(BK1233&gt;=BO1233,0,_xlfn.XLOOKUP(F1233,Apuração!A:A,Apuração!B:B)*(BO1233 + (1/_xlfn.XLOOKUP(F1233,Apuração!A:A,Apuração!B:B)) - BK1233))</f>
        <v>0</v>
      </c>
      <c r="BR1233" s="85">
        <f t="shared" ref="BR1233:BR1237" ca="1" si="1459">IF(BQ1233=0,0,BQ1233*Z1233)</f>
        <v>0</v>
      </c>
      <c r="BS1233" s="53">
        <f ca="1">IFERROR((_xlfn.XLOOKUP(F1233,Apuração!A:A,Apuração!C:C)+1)/_xlfn.XLOOKUP(F1233,Apuração!A:A,Apuração!B:B),0)</f>
        <v>0.14285714285714285</v>
      </c>
    </row>
    <row r="1234" spans="1:71" ht="25.95" hidden="1" customHeight="1" x14ac:dyDescent="0.3">
      <c r="A1234" s="70" t="s">
        <v>108</v>
      </c>
      <c r="B1234" s="4" t="s">
        <v>117</v>
      </c>
      <c r="C1234" s="5" t="s">
        <v>209</v>
      </c>
      <c r="D1234" s="5" t="s">
        <v>47</v>
      </c>
      <c r="E1234" s="4" t="s">
        <v>118</v>
      </c>
      <c r="F1234" s="4" t="str" cm="1">
        <f t="array" ref="F1234">_xlfn.IFS(
AG1234 &lt;&gt; "", "Jan-Dez/26",
AH1234 &lt;&gt; "", "Fev-Dez/26",
AI1234 &lt;&gt; "", "Mar-Dez/26", AJ1234 &lt;&gt; "", "Abr-Dez/26",
TRUE, "A partir de Junho"
)</f>
        <v>A partir de Junho</v>
      </c>
      <c r="G1234" s="4" t="s">
        <v>37</v>
      </c>
      <c r="H1234" s="7" t="s">
        <v>38</v>
      </c>
      <c r="I1234" s="4" t="s">
        <v>119</v>
      </c>
      <c r="J1234" s="8" t="str" cm="1">
        <f t="array" aca="1" ref="J1234" ca="1">_xlfn.LET(
  _xlpm.actual_value_month, INDEX(T1234:AE1234, MATCH(DATE(YEAR(TODAY()), MONTH(TODAY()), 1), $T$1:$AE$1, 0)),
  IF(_xlpm.actual_value_month &lt;&gt; "",_xlpm.actual_value_month &amp; " ações mensais", "")
)</f>
        <v/>
      </c>
      <c r="K1234" s="8" t="str" cm="1">
        <f t="array" ref="K1234">_xlfn.LET(
    _xlpm.sum_month, SUM(T1234:AE1234),
    IF(_xlpm.sum_month = 0, "", _xlpm.sum_month &amp; " NC's no ano")
)</f>
        <v/>
      </c>
      <c r="L1234" s="4" t="s">
        <v>120</v>
      </c>
      <c r="M1234" s="19"/>
      <c r="N1234" s="5" t="s">
        <v>51</v>
      </c>
      <c r="O1234" s="5"/>
      <c r="P1234" s="10"/>
      <c r="Q1234" s="10"/>
      <c r="R1234" s="11"/>
      <c r="S1234" s="11"/>
      <c r="T1234" s="22"/>
      <c r="U1234" s="22"/>
      <c r="V1234" s="22"/>
      <c r="W1234" s="22"/>
      <c r="X1234" s="22"/>
      <c r="Y1234" s="22"/>
      <c r="Z1234" s="22"/>
      <c r="AA1234" s="22"/>
      <c r="AB1234" s="22"/>
      <c r="AC1234" s="22"/>
      <c r="AD1234" s="22"/>
      <c r="AE1234" s="22"/>
      <c r="AF1234" s="81"/>
      <c r="AG1234" s="71"/>
      <c r="AH1234" s="71"/>
      <c r="AI1234" s="71"/>
      <c r="AJ1234" s="71"/>
      <c r="AK1234" s="71"/>
      <c r="AL1234" s="71"/>
      <c r="AM1234" s="71"/>
      <c r="AN1234" s="71"/>
      <c r="AO1234" s="71"/>
      <c r="AP1234" s="71"/>
      <c r="AQ1234" s="71"/>
      <c r="AR1234" s="71"/>
      <c r="AS1234" s="94"/>
      <c r="AT1234" s="95"/>
      <c r="AU1234" s="97"/>
      <c r="AV1234" s="81"/>
      <c r="AW1234" s="83">
        <f t="shared" si="1454"/>
        <v>0</v>
      </c>
      <c r="AX1234" s="83">
        <f t="shared" si="1455"/>
        <v>0</v>
      </c>
      <c r="AY1234" s="83">
        <f t="shared" si="1456"/>
        <v>0</v>
      </c>
      <c r="AZ1234" s="83">
        <f t="shared" si="1457"/>
        <v>0</v>
      </c>
      <c r="BA1234" s="83"/>
      <c r="BB1234" s="83"/>
      <c r="BC1234" s="83"/>
      <c r="BD1234" s="83"/>
      <c r="BE1234" s="83"/>
      <c r="BF1234" s="83"/>
      <c r="BG1234" s="83"/>
      <c r="BH1234" s="83"/>
      <c r="BI1234" s="65"/>
      <c r="BJ1234" s="68"/>
      <c r="BK1234" s="59">
        <f t="shared" si="1458"/>
        <v>0</v>
      </c>
      <c r="BL1234" s="59" cm="1">
        <f t="array" ref="BL1234">IFERROR(SUM(AW1234:INDEX(AW1234:BH1234, MATCH(2, 1/(AW1234:BH1234&lt;&gt;""), 1) - 1))/_xlfn.XLOOKUP(F1234,Apuração!A:A,Apuração!B:B),0)</f>
        <v>0</v>
      </c>
      <c r="BM1234" s="55"/>
      <c r="BN1234" s="55"/>
      <c r="BO1234" s="53">
        <f ca="1">IFERROR(_xlfn.XLOOKUP(F1234,Apuração!A:A,Apuração!C:C)/_xlfn.XLOOKUP(F1234,Apuração!A:A,Apuração!B:B),0)</f>
        <v>0</v>
      </c>
      <c r="BP1234" s="53">
        <f ca="1">IFERROR(_xlfn.XLOOKUP(F1234,Apuração!A:A,Apuração!D:D)/_xlfn.XLOOKUP(F1234,Apuração!A:A,Apuração!B:B),0)</f>
        <v>0</v>
      </c>
      <c r="BQ1234" s="53">
        <f ca="1">IF(BK1234&gt;=BO1234,0,_xlfn.XLOOKUP(F1234,Apuração!A:A,Apuração!B:B)*(BO1234 + (1/_xlfn.XLOOKUP(F1234,Apuração!A:A,Apuração!B:B)) - BK1234))</f>
        <v>0</v>
      </c>
      <c r="BR1234" s="85">
        <f t="shared" ca="1" si="1459"/>
        <v>0</v>
      </c>
      <c r="BS1234" s="53">
        <f ca="1">IFERROR((_xlfn.XLOOKUP(F1234,Apuração!A:A,Apuração!C:C)+1)/_xlfn.XLOOKUP(F1234,Apuração!A:A,Apuração!B:B),0)</f>
        <v>0.14285714285714285</v>
      </c>
    </row>
    <row r="1235" spans="1:71" ht="25.95" hidden="1" customHeight="1" x14ac:dyDescent="0.3">
      <c r="A1235" s="70" t="s">
        <v>108</v>
      </c>
      <c r="B1235" s="4" t="s">
        <v>117</v>
      </c>
      <c r="C1235" s="5" t="s">
        <v>209</v>
      </c>
      <c r="D1235" s="5" t="s">
        <v>211</v>
      </c>
      <c r="E1235" s="4" t="s">
        <v>118</v>
      </c>
      <c r="F1235" s="4" t="str" cm="1">
        <f t="array" ref="F1235">_xlfn.IFS(
AG1235 &lt;&gt; "", "Jan-Dez/26",
AH1235 &lt;&gt; "", "Fev-Dez/26",
AI1235 &lt;&gt; "", "Mar-Dez/26", AJ1235 &lt;&gt; "", "Abr-Dez/26",
TRUE, "A partir de Junho"
)</f>
        <v>A partir de Junho</v>
      </c>
      <c r="G1235" s="4" t="s">
        <v>37</v>
      </c>
      <c r="H1235" s="7" t="s">
        <v>38</v>
      </c>
      <c r="I1235" s="4" t="s">
        <v>119</v>
      </c>
      <c r="J1235" s="8" t="str" cm="1">
        <f t="array" aca="1" ref="J1235" ca="1">_xlfn.LET(
  _xlpm.actual_value_month, INDEX(T1235:AE1235, MATCH(DATE(YEAR(TODAY()), MONTH(TODAY()), 1), $T$1:$AE$1, 0)),
  IF(_xlpm.actual_value_month &lt;&gt; "",_xlpm.actual_value_month &amp; " ações mensais", "")
)</f>
        <v/>
      </c>
      <c r="K1235" s="8" t="str" cm="1">
        <f t="array" ref="K1235">_xlfn.LET(
    _xlpm.sum_month, SUM(T1235:AE1235),
    IF(_xlpm.sum_month = 0, "", _xlpm.sum_month &amp; " NC's no ano")
)</f>
        <v/>
      </c>
      <c r="L1235" s="4" t="s">
        <v>120</v>
      </c>
      <c r="M1235" s="19"/>
      <c r="N1235" s="5" t="s">
        <v>51</v>
      </c>
      <c r="O1235" s="5"/>
      <c r="P1235" s="10"/>
      <c r="Q1235" s="10"/>
      <c r="R1235" s="11"/>
      <c r="S1235" s="11"/>
      <c r="T1235" s="22"/>
      <c r="U1235" s="22"/>
      <c r="V1235" s="22"/>
      <c r="W1235" s="22"/>
      <c r="X1235" s="22"/>
      <c r="Y1235" s="22"/>
      <c r="Z1235" s="22"/>
      <c r="AA1235" s="22"/>
      <c r="AB1235" s="22"/>
      <c r="AC1235" s="22"/>
      <c r="AD1235" s="22"/>
      <c r="AE1235" s="22"/>
      <c r="AF1235" s="81"/>
      <c r="AG1235" s="71"/>
      <c r="AH1235" s="71"/>
      <c r="AI1235" s="71"/>
      <c r="AJ1235" s="71"/>
      <c r="AK1235" s="71"/>
      <c r="AL1235" s="71"/>
      <c r="AM1235" s="71"/>
      <c r="AN1235" s="71"/>
      <c r="AO1235" s="71"/>
      <c r="AP1235" s="71"/>
      <c r="AQ1235" s="71"/>
      <c r="AR1235" s="71"/>
      <c r="AS1235" s="94"/>
      <c r="AT1235" s="95"/>
      <c r="AU1235" s="97"/>
      <c r="AV1235" s="81"/>
      <c r="AW1235" s="83">
        <f t="shared" si="1454"/>
        <v>0</v>
      </c>
      <c r="AX1235" s="83">
        <f t="shared" si="1455"/>
        <v>0</v>
      </c>
      <c r="AY1235" s="83">
        <f t="shared" si="1456"/>
        <v>0</v>
      </c>
      <c r="AZ1235" s="83">
        <f t="shared" si="1457"/>
        <v>0</v>
      </c>
      <c r="BA1235" s="83"/>
      <c r="BB1235" s="83"/>
      <c r="BC1235" s="83"/>
      <c r="BD1235" s="83"/>
      <c r="BE1235" s="83"/>
      <c r="BF1235" s="83"/>
      <c r="BG1235" s="83"/>
      <c r="BH1235" s="83"/>
      <c r="BI1235" s="65"/>
      <c r="BJ1235" s="68"/>
      <c r="BK1235" s="59">
        <f t="shared" si="1458"/>
        <v>0</v>
      </c>
      <c r="BL1235" s="59" cm="1">
        <f t="array" ref="BL1235">IFERROR(SUM(AW1235:INDEX(AW1235:BH1235, MATCH(2, 1/(AW1235:BH1235&lt;&gt;""), 1) - 1))/_xlfn.XLOOKUP(F1235,Apuração!A:A,Apuração!B:B),0)</f>
        <v>0</v>
      </c>
      <c r="BM1235" s="55"/>
      <c r="BN1235" s="55"/>
      <c r="BO1235" s="53">
        <f ca="1">IFERROR(_xlfn.XLOOKUP(F1235,Apuração!A:A,Apuração!C:C)/_xlfn.XLOOKUP(F1235,Apuração!A:A,Apuração!B:B),0)</f>
        <v>0</v>
      </c>
      <c r="BP1235" s="53">
        <f ca="1">IFERROR(_xlfn.XLOOKUP(F1235,Apuração!A:A,Apuração!D:D)/_xlfn.XLOOKUP(F1235,Apuração!A:A,Apuração!B:B),0)</f>
        <v>0</v>
      </c>
      <c r="BQ1235" s="53">
        <f ca="1">IF(BK1235&gt;=BO1235,0,_xlfn.XLOOKUP(F1235,Apuração!A:A,Apuração!B:B)*(BO1235 + (1/_xlfn.XLOOKUP(F1235,Apuração!A:A,Apuração!B:B)) - BK1235))</f>
        <v>0</v>
      </c>
      <c r="BR1235" s="85">
        <f t="shared" ca="1" si="1459"/>
        <v>0</v>
      </c>
      <c r="BS1235" s="53">
        <f ca="1">IFERROR((_xlfn.XLOOKUP(F1235,Apuração!A:A,Apuração!C:C)+1)/_xlfn.XLOOKUP(F1235,Apuração!A:A,Apuração!B:B),0)</f>
        <v>0.14285714285714285</v>
      </c>
    </row>
    <row r="1236" spans="1:71" ht="25.95" hidden="1" customHeight="1" x14ac:dyDescent="0.3">
      <c r="A1236" s="70" t="s">
        <v>108</v>
      </c>
      <c r="B1236" s="4" t="s">
        <v>117</v>
      </c>
      <c r="C1236" s="5" t="s">
        <v>209</v>
      </c>
      <c r="D1236" s="5" t="s">
        <v>212</v>
      </c>
      <c r="E1236" s="4" t="s">
        <v>118</v>
      </c>
      <c r="F1236" s="4" t="str" cm="1">
        <f t="array" ref="F1236">_xlfn.IFS(
AG1236 &lt;&gt; "", "Jan-Dez/26",
AH1236 &lt;&gt; "", "Fev-Dez/26",
AI1236 &lt;&gt; "", "Mar-Dez/26", AJ1236 &lt;&gt; "", "Abr-Dez/26",
TRUE, "A partir de Junho"
)</f>
        <v>A partir de Junho</v>
      </c>
      <c r="G1236" s="4" t="s">
        <v>37</v>
      </c>
      <c r="H1236" s="7" t="s">
        <v>38</v>
      </c>
      <c r="I1236" s="4" t="s">
        <v>119</v>
      </c>
      <c r="J1236" s="8" t="str" cm="1">
        <f t="array" aca="1" ref="J1236" ca="1">_xlfn.LET(
  _xlpm.actual_value_month, INDEX(T1236:AE1236, MATCH(DATE(YEAR(TODAY()), MONTH(TODAY()), 1), $T$1:$AE$1, 0)),
  IF(_xlpm.actual_value_month &lt;&gt; "",_xlpm.actual_value_month &amp; " ações mensais", "")
)</f>
        <v/>
      </c>
      <c r="K1236" s="8" t="str" cm="1">
        <f t="array" ref="K1236">_xlfn.LET(
    _xlpm.sum_month, SUM(T1236:AE1236),
    IF(_xlpm.sum_month = 0, "", _xlpm.sum_month &amp; " NC's no ano")
)</f>
        <v/>
      </c>
      <c r="L1236" s="4" t="s">
        <v>120</v>
      </c>
      <c r="M1236" s="19"/>
      <c r="N1236" s="5" t="s">
        <v>51</v>
      </c>
      <c r="O1236" s="5"/>
      <c r="P1236" s="10"/>
      <c r="Q1236" s="10"/>
      <c r="R1236" s="11"/>
      <c r="S1236" s="11"/>
      <c r="T1236" s="22"/>
      <c r="U1236" s="22"/>
      <c r="V1236" s="22"/>
      <c r="W1236" s="22"/>
      <c r="X1236" s="22"/>
      <c r="Y1236" s="22"/>
      <c r="Z1236" s="22"/>
      <c r="AA1236" s="22"/>
      <c r="AB1236" s="22"/>
      <c r="AC1236" s="22"/>
      <c r="AD1236" s="22"/>
      <c r="AE1236" s="22"/>
      <c r="AF1236" s="81"/>
      <c r="AG1236" s="71"/>
      <c r="AH1236" s="71"/>
      <c r="AI1236" s="71"/>
      <c r="AJ1236" s="71"/>
      <c r="AK1236" s="71"/>
      <c r="AL1236" s="71"/>
      <c r="AM1236" s="71"/>
      <c r="AN1236" s="71"/>
      <c r="AO1236" s="71"/>
      <c r="AP1236" s="71"/>
      <c r="AQ1236" s="71"/>
      <c r="AR1236" s="71"/>
      <c r="AS1236" s="94"/>
      <c r="AT1236" s="95"/>
      <c r="AU1236" s="97"/>
      <c r="AV1236" s="81"/>
      <c r="AW1236" s="83">
        <f t="shared" si="1454"/>
        <v>0</v>
      </c>
      <c r="AX1236" s="83">
        <f t="shared" si="1455"/>
        <v>0</v>
      </c>
      <c r="AY1236" s="83">
        <f t="shared" si="1456"/>
        <v>0</v>
      </c>
      <c r="AZ1236" s="83">
        <f t="shared" si="1457"/>
        <v>0</v>
      </c>
      <c r="BA1236" s="83"/>
      <c r="BB1236" s="83"/>
      <c r="BC1236" s="83"/>
      <c r="BD1236" s="83"/>
      <c r="BE1236" s="83"/>
      <c r="BF1236" s="83"/>
      <c r="BG1236" s="83"/>
      <c r="BH1236" s="83"/>
      <c r="BI1236" s="65"/>
      <c r="BJ1236" s="68"/>
      <c r="BK1236" s="59">
        <f t="shared" si="1458"/>
        <v>0</v>
      </c>
      <c r="BL1236" s="59" cm="1">
        <f t="array" ref="BL1236">IFERROR(SUM(AW1236:INDEX(AW1236:BH1236, MATCH(2, 1/(AW1236:BH1236&lt;&gt;""), 1) - 1))/_xlfn.XLOOKUP(F1236,Apuração!A:A,Apuração!B:B),0)</f>
        <v>0</v>
      </c>
      <c r="BM1236" s="55"/>
      <c r="BN1236" s="55"/>
      <c r="BO1236" s="53">
        <f ca="1">IFERROR(_xlfn.XLOOKUP(F1236,Apuração!A:A,Apuração!C:C)/_xlfn.XLOOKUP(F1236,Apuração!A:A,Apuração!B:B),0)</f>
        <v>0</v>
      </c>
      <c r="BP1236" s="53">
        <f ca="1">IFERROR(_xlfn.XLOOKUP(F1236,Apuração!A:A,Apuração!D:D)/_xlfn.XLOOKUP(F1236,Apuração!A:A,Apuração!B:B),0)</f>
        <v>0</v>
      </c>
      <c r="BQ1236" s="53">
        <f ca="1">IF(BK1236&gt;=BO1236,0,_xlfn.XLOOKUP(F1236,Apuração!A:A,Apuração!B:B)*(BO1236 + (1/_xlfn.XLOOKUP(F1236,Apuração!A:A,Apuração!B:B)) - BK1236))</f>
        <v>0</v>
      </c>
      <c r="BR1236" s="85">
        <f t="shared" ca="1" si="1459"/>
        <v>0</v>
      </c>
      <c r="BS1236" s="53">
        <f ca="1">IFERROR((_xlfn.XLOOKUP(F1236,Apuração!A:A,Apuração!C:C)+1)/_xlfn.XLOOKUP(F1236,Apuração!A:A,Apuração!B:B),0)</f>
        <v>0.14285714285714285</v>
      </c>
    </row>
    <row r="1237" spans="1:71" ht="25.95" hidden="1" customHeight="1" x14ac:dyDescent="0.3">
      <c r="A1237" s="70" t="s">
        <v>108</v>
      </c>
      <c r="B1237" s="4" t="s">
        <v>117</v>
      </c>
      <c r="C1237" s="5" t="s">
        <v>209</v>
      </c>
      <c r="D1237" s="5" t="s">
        <v>213</v>
      </c>
      <c r="E1237" s="4" t="s">
        <v>118</v>
      </c>
      <c r="F1237" s="4" t="str" cm="1">
        <f t="array" ref="F1237">_xlfn.IFS(
AG1237 &lt;&gt; "", "Jan-Dez/26",
AH1237 &lt;&gt; "", "Fev-Dez/26",
AI1237 &lt;&gt; "", "Mar-Dez/26", AJ1237 &lt;&gt; "", "Abr-Dez/26",
TRUE, "A partir de Junho"
)</f>
        <v>A partir de Junho</v>
      </c>
      <c r="G1237" s="4" t="s">
        <v>37</v>
      </c>
      <c r="H1237" s="7" t="s">
        <v>38</v>
      </c>
      <c r="I1237" s="4" t="s">
        <v>119</v>
      </c>
      <c r="J1237" s="8" t="str" cm="1">
        <f t="array" aca="1" ref="J1237" ca="1">_xlfn.LET(
  _xlpm.actual_value_month, INDEX(T1237:AE1237, MATCH(DATE(YEAR(TODAY()), MONTH(TODAY()), 1), $T$1:$AE$1, 0)),
  IF(_xlpm.actual_value_month &lt;&gt; "",_xlpm.actual_value_month &amp; " ações mensais", "")
)</f>
        <v/>
      </c>
      <c r="K1237" s="8" t="str" cm="1">
        <f t="array" ref="K1237">_xlfn.LET(
    _xlpm.sum_month, SUM(T1237:AE1237),
    IF(_xlpm.sum_month = 0, "", _xlpm.sum_month &amp; " NC's no ano")
)</f>
        <v/>
      </c>
      <c r="L1237" s="4" t="s">
        <v>120</v>
      </c>
      <c r="M1237" s="19"/>
      <c r="N1237" s="5" t="s">
        <v>51</v>
      </c>
      <c r="O1237" s="5"/>
      <c r="P1237" s="10"/>
      <c r="Q1237" s="10"/>
      <c r="R1237" s="11"/>
      <c r="S1237" s="11"/>
      <c r="T1237" s="22"/>
      <c r="U1237" s="22"/>
      <c r="V1237" s="22"/>
      <c r="W1237" s="22"/>
      <c r="X1237" s="22"/>
      <c r="Y1237" s="22"/>
      <c r="Z1237" s="22"/>
      <c r="AA1237" s="22"/>
      <c r="AB1237" s="22"/>
      <c r="AC1237" s="22"/>
      <c r="AD1237" s="22"/>
      <c r="AE1237" s="22"/>
      <c r="AF1237" s="81"/>
      <c r="AG1237" s="71"/>
      <c r="AH1237" s="71"/>
      <c r="AI1237" s="71"/>
      <c r="AJ1237" s="71"/>
      <c r="AK1237" s="71"/>
      <c r="AL1237" s="71"/>
      <c r="AM1237" s="71"/>
      <c r="AN1237" s="71"/>
      <c r="AO1237" s="71"/>
      <c r="AP1237" s="71"/>
      <c r="AQ1237" s="71"/>
      <c r="AR1237" s="71"/>
      <c r="AS1237" s="94"/>
      <c r="AT1237" s="95"/>
      <c r="AU1237" s="97"/>
      <c r="AV1237" s="81"/>
      <c r="AW1237" s="83">
        <f t="shared" si="1454"/>
        <v>0</v>
      </c>
      <c r="AX1237" s="83">
        <f t="shared" si="1455"/>
        <v>0</v>
      </c>
      <c r="AY1237" s="83">
        <f t="shared" si="1456"/>
        <v>0</v>
      </c>
      <c r="AZ1237" s="83">
        <f t="shared" si="1457"/>
        <v>0</v>
      </c>
      <c r="BA1237" s="83"/>
      <c r="BB1237" s="83"/>
      <c r="BC1237" s="83"/>
      <c r="BD1237" s="83"/>
      <c r="BE1237" s="83"/>
      <c r="BF1237" s="83"/>
      <c r="BG1237" s="83"/>
      <c r="BH1237" s="83"/>
      <c r="BI1237" s="65"/>
      <c r="BJ1237" s="68"/>
      <c r="BK1237" s="59">
        <f t="shared" si="1458"/>
        <v>0</v>
      </c>
      <c r="BL1237" s="59" cm="1">
        <f t="array" ref="BL1237">IFERROR(SUM(AW1237:INDEX(AW1237:BH1237, MATCH(2, 1/(AW1237:BH1237&lt;&gt;""), 1) - 1))/_xlfn.XLOOKUP(F1237,Apuração!A:A,Apuração!B:B),0)</f>
        <v>0</v>
      </c>
      <c r="BM1237" s="55"/>
      <c r="BN1237" s="55"/>
      <c r="BO1237" s="53">
        <f ca="1">IFERROR(_xlfn.XLOOKUP(F1237,Apuração!A:A,Apuração!C:C)/_xlfn.XLOOKUP(F1237,Apuração!A:A,Apuração!B:B),0)</f>
        <v>0</v>
      </c>
      <c r="BP1237" s="53">
        <f ca="1">IFERROR(_xlfn.XLOOKUP(F1237,Apuração!A:A,Apuração!D:D)/_xlfn.XLOOKUP(F1237,Apuração!A:A,Apuração!B:B),0)</f>
        <v>0</v>
      </c>
      <c r="BQ1237" s="53">
        <f ca="1">IF(BK1237&gt;=BO1237,0,_xlfn.XLOOKUP(F1237,Apuração!A:A,Apuração!B:B)*(BO1237 + (1/_xlfn.XLOOKUP(F1237,Apuração!A:A,Apuração!B:B)) - BK1237))</f>
        <v>0</v>
      </c>
      <c r="BR1237" s="85">
        <f t="shared" ca="1" si="1459"/>
        <v>0</v>
      </c>
      <c r="BS1237" s="53">
        <f ca="1">IFERROR((_xlfn.XLOOKUP(F1237,Apuração!A:A,Apuração!C:C)+1)/_xlfn.XLOOKUP(F1237,Apuração!A:A,Apuração!B:B),0)</f>
        <v>0.14285714285714285</v>
      </c>
    </row>
    <row r="1238" spans="1:71" ht="25.95" hidden="1" customHeight="1" x14ac:dyDescent="0.3">
      <c r="A1238" s="70" t="s">
        <v>108</v>
      </c>
      <c r="B1238" s="4" t="s">
        <v>117</v>
      </c>
      <c r="C1238" s="5" t="s">
        <v>209</v>
      </c>
      <c r="D1238" s="5" t="s">
        <v>36</v>
      </c>
      <c r="E1238" s="4" t="s">
        <v>118</v>
      </c>
      <c r="F1238" s="4" t="str" cm="1">
        <f t="array" ref="F1238">_xlfn.IFS(
AG1238 &lt;&gt; "", "Jan-Dez/26",
AH1238 &lt;&gt; "", "Fev-Dez/26",
AI1238 &lt;&gt; "", "Mar-Dez/26", AJ1238 &lt;&gt; "", "Abr-Dez/26",
TRUE, "A partir de Junho"
)</f>
        <v>Jan-Dez/26</v>
      </c>
      <c r="G1238" s="4" t="s">
        <v>37</v>
      </c>
      <c r="H1238" s="7" t="s">
        <v>38</v>
      </c>
      <c r="I1238" s="4" t="s">
        <v>121</v>
      </c>
      <c r="J1238" s="8" t="str" cm="1">
        <f t="array" aca="1" ref="J1238" ca="1">_xlfn.LET(
  _xlpm.actual_value_month, INDEX(T1238:AE1238, MATCH(DATE(YEAR(TODAY()), MONTH(TODAY()), 1), $T$1:$AE$1, 0)),
  IF(_xlpm.actual_value_month &lt;&gt; "",_xlpm.actual_value_month &amp; " ações mensais", "")
)</f>
        <v/>
      </c>
      <c r="K1238" s="8" t="str" cm="1">
        <f t="array" ref="K1238">_xlfn.LET(
    _xlpm.sum_month, SUM(T1238:AE1238),
    IF(_xlpm.sum_month = 0, "", _xlpm.sum_month &amp; " empresas monitoradas no ano")
)</f>
        <v/>
      </c>
      <c r="L1238" s="4" t="s">
        <v>122</v>
      </c>
      <c r="M1238" s="19"/>
      <c r="N1238" s="5" t="s">
        <v>51</v>
      </c>
      <c r="O1238" s="5"/>
      <c r="P1238" s="10"/>
      <c r="Q1238" s="10"/>
      <c r="R1238" s="11"/>
      <c r="S1238" s="11"/>
      <c r="T1238" s="22"/>
      <c r="U1238" s="22"/>
      <c r="V1238" s="22"/>
      <c r="W1238" s="22"/>
      <c r="X1238" s="22"/>
      <c r="Y1238" s="22"/>
      <c r="Z1238" s="22"/>
      <c r="AA1238" s="22"/>
      <c r="AB1238" s="22"/>
      <c r="AC1238" s="22"/>
      <c r="AD1238" s="22"/>
      <c r="AE1238" s="22"/>
      <c r="AF1238" s="81"/>
      <c r="AG1238" s="71">
        <v>41</v>
      </c>
      <c r="AH1238" s="71">
        <v>38</v>
      </c>
      <c r="AI1238" s="71">
        <v>39</v>
      </c>
      <c r="AJ1238" s="71"/>
      <c r="AK1238" s="71"/>
      <c r="AL1238" s="71"/>
      <c r="AM1238" s="71"/>
      <c r="AN1238" s="71"/>
      <c r="AO1238" s="71"/>
      <c r="AP1238" s="71"/>
      <c r="AQ1238" s="71"/>
      <c r="AR1238" s="71"/>
      <c r="AS1238" s="94"/>
      <c r="AT1238" s="95"/>
      <c r="AU1238" s="97"/>
      <c r="AV1238" s="81"/>
      <c r="AW1238" s="83">
        <f>AG1238</f>
        <v>41</v>
      </c>
      <c r="AX1238" s="83">
        <f>AH1238</f>
        <v>38</v>
      </c>
      <c r="AY1238" s="83">
        <f>AI1238</f>
        <v>39</v>
      </c>
      <c r="AZ1238" s="83">
        <f>AJ1238</f>
        <v>0</v>
      </c>
      <c r="BA1238" s="83"/>
      <c r="BB1238" s="83"/>
      <c r="BC1238" s="83"/>
      <c r="BD1238" s="83"/>
      <c r="BE1238" s="83"/>
      <c r="BF1238" s="83"/>
      <c r="BG1238" s="83"/>
      <c r="BH1238" s="83"/>
      <c r="BI1238" s="65"/>
      <c r="BJ1238" s="68"/>
      <c r="BK1238" s="59">
        <f>SUM(AW1238:BH1238)</f>
        <v>118</v>
      </c>
      <c r="BL1238" s="59" cm="1">
        <f t="array" ref="BL1238">IFERROR(SUM(AW1238:INDEX(AW1238:BH1238, MATCH(2, 1/(AW1238:BH1238&lt;&gt;""), 1) - 1))/_xlfn.XLOOKUP(F1238,Apuração!A:A,Apuração!B:B),0)</f>
        <v>9.8333333333333339</v>
      </c>
      <c r="BM1238" s="55"/>
      <c r="BN1238" s="55"/>
      <c r="BO1238" s="53">
        <f ca="1">IFERROR(_xlfn.XLOOKUP(F1238,Apuração!A:A,Apuração!C:C)/_xlfn.XLOOKUP(F1238,Apuração!A:A,Apuração!B:B),0)</f>
        <v>0.41666666666666669</v>
      </c>
      <c r="BP1238" s="53">
        <f ca="1">IFERROR(_xlfn.XLOOKUP(F1238,Apuração!A:A,Apuração!D:D)/_xlfn.XLOOKUP(F1238,Apuração!A:A,Apuração!B:B),0)</f>
        <v>0.33333333333333331</v>
      </c>
      <c r="BQ1238" s="53">
        <f ca="1">IF(BK1238&gt;=BO1238,0,_xlfn.XLOOKUP(F1238,Apuração!A:A,Apuração!B:B)*(BO1238 + (1/_xlfn.XLOOKUP(F1238,Apuração!A:A,Apuração!B:B)) - BK1238))</f>
        <v>0</v>
      </c>
      <c r="BR1238" s="85">
        <f ca="1">IF(BQ1238=0,0,BQ1238*Z1238)</f>
        <v>0</v>
      </c>
      <c r="BS1238" s="53">
        <f ca="1">IFERROR((_xlfn.XLOOKUP(F1238,Apuração!A:A,Apuração!C:C)+1)/_xlfn.XLOOKUP(F1238,Apuração!A:A,Apuração!B:B),0)</f>
        <v>0.5</v>
      </c>
    </row>
    <row r="1239" spans="1:71" ht="25.95" hidden="1" customHeight="1" x14ac:dyDescent="0.3">
      <c r="A1239" s="70" t="s">
        <v>108</v>
      </c>
      <c r="B1239" s="4" t="s">
        <v>117</v>
      </c>
      <c r="C1239" s="5" t="s">
        <v>209</v>
      </c>
      <c r="D1239" s="5" t="s">
        <v>210</v>
      </c>
      <c r="E1239" s="4" t="s">
        <v>118</v>
      </c>
      <c r="F1239" s="4" t="str" cm="1">
        <f t="array" ref="F1239">_xlfn.IFS(
AG1239 &lt;&gt; "", "Jan-Dez/26",
AH1239 &lt;&gt; "", "Fev-Dez/26",
AI1239 &lt;&gt; "", "Mar-Dez/26", AJ1239 &lt;&gt; "", "Abr-Dez/26",
TRUE, "A partir de Junho"
)</f>
        <v>A partir de Junho</v>
      </c>
      <c r="G1239" s="4" t="s">
        <v>37</v>
      </c>
      <c r="H1239" s="7" t="s">
        <v>38</v>
      </c>
      <c r="I1239" s="4" t="s">
        <v>121</v>
      </c>
      <c r="J1239" s="8" t="str" cm="1">
        <f t="array" aca="1" ref="J1239" ca="1">_xlfn.LET(
  _xlpm.actual_value_month, INDEX(T1239:AE1239, MATCH(DATE(YEAR(TODAY()), MONTH(TODAY()), 1), $T$1:$AE$1, 0)),
  IF(_xlpm.actual_value_month &lt;&gt; "",_xlpm.actual_value_month &amp; " ações mensais", "")
)</f>
        <v/>
      </c>
      <c r="K1239" s="8" t="str" cm="1">
        <f t="array" ref="K1239">_xlfn.LET(
    _xlpm.sum_month, SUM(T1239:AE1239),
    IF(_xlpm.sum_month = 0, "", _xlpm.sum_month &amp; " empresas monitoradas no ano")
)</f>
        <v/>
      </c>
      <c r="L1239" s="4" t="s">
        <v>122</v>
      </c>
      <c r="M1239" s="19"/>
      <c r="N1239" s="5" t="s">
        <v>51</v>
      </c>
      <c r="O1239" s="5"/>
      <c r="P1239" s="10"/>
      <c r="Q1239" s="10"/>
      <c r="R1239" s="11"/>
      <c r="S1239" s="11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81"/>
      <c r="AG1239" s="71"/>
      <c r="AH1239" s="71"/>
      <c r="AI1239" s="71"/>
      <c r="AJ1239" s="71"/>
      <c r="AK1239" s="71"/>
      <c r="AL1239" s="71"/>
      <c r="AM1239" s="71"/>
      <c r="AN1239" s="71"/>
      <c r="AO1239" s="71"/>
      <c r="AP1239" s="71"/>
      <c r="AQ1239" s="71"/>
      <c r="AR1239" s="71"/>
      <c r="AS1239" s="94"/>
      <c r="AT1239" s="95"/>
      <c r="AU1239" s="97"/>
      <c r="AV1239" s="81"/>
      <c r="AW1239" s="83">
        <f t="shared" ref="AW1239:AW1243" si="1460">AG1239</f>
        <v>0</v>
      </c>
      <c r="AX1239" s="83">
        <f t="shared" ref="AX1239:AX1243" si="1461">AH1239</f>
        <v>0</v>
      </c>
      <c r="AY1239" s="83">
        <f t="shared" ref="AY1239:AY1243" si="1462">AI1239</f>
        <v>0</v>
      </c>
      <c r="AZ1239" s="83">
        <f t="shared" ref="AZ1239:AZ1243" si="1463">AJ1239</f>
        <v>0</v>
      </c>
      <c r="BA1239" s="83"/>
      <c r="BB1239" s="83"/>
      <c r="BC1239" s="83"/>
      <c r="BD1239" s="83"/>
      <c r="BE1239" s="83"/>
      <c r="BF1239" s="83"/>
      <c r="BG1239" s="83"/>
      <c r="BH1239" s="83"/>
      <c r="BI1239" s="65"/>
      <c r="BJ1239" s="68"/>
      <c r="BK1239" s="59">
        <f t="shared" ref="BK1239:BK1243" si="1464">SUM(AW1239:BH1239)</f>
        <v>0</v>
      </c>
      <c r="BL1239" s="59" cm="1">
        <f t="array" ref="BL1239">IFERROR(SUM(AW1239:INDEX(AW1239:BH1239, MATCH(2, 1/(AW1239:BH1239&lt;&gt;""), 1) - 1))/_xlfn.XLOOKUP(F1239,Apuração!A:A,Apuração!B:B),0)</f>
        <v>0</v>
      </c>
      <c r="BM1239" s="55"/>
      <c r="BN1239" s="55"/>
      <c r="BO1239" s="53">
        <f ca="1">IFERROR(_xlfn.XLOOKUP(F1239,Apuração!A:A,Apuração!C:C)/_xlfn.XLOOKUP(F1239,Apuração!A:A,Apuração!B:B),0)</f>
        <v>0</v>
      </c>
      <c r="BP1239" s="53">
        <f ca="1">IFERROR(_xlfn.XLOOKUP(F1239,Apuração!A:A,Apuração!D:D)/_xlfn.XLOOKUP(F1239,Apuração!A:A,Apuração!B:B),0)</f>
        <v>0</v>
      </c>
      <c r="BQ1239" s="53">
        <f ca="1">IF(BK1239&gt;=BO1239,0,_xlfn.XLOOKUP(F1239,Apuração!A:A,Apuração!B:B)*(BO1239 + (1/_xlfn.XLOOKUP(F1239,Apuração!A:A,Apuração!B:B)) - BK1239))</f>
        <v>0</v>
      </c>
      <c r="BR1239" s="85">
        <f t="shared" ref="BR1239:BR1243" ca="1" si="1465">IF(BQ1239=0,0,BQ1239*Z1239)</f>
        <v>0</v>
      </c>
      <c r="BS1239" s="53">
        <f ca="1">IFERROR((_xlfn.XLOOKUP(F1239,Apuração!A:A,Apuração!C:C)+1)/_xlfn.XLOOKUP(F1239,Apuração!A:A,Apuração!B:B),0)</f>
        <v>0.14285714285714285</v>
      </c>
    </row>
    <row r="1240" spans="1:71" ht="25.95" hidden="1" customHeight="1" x14ac:dyDescent="0.3">
      <c r="A1240" s="70" t="s">
        <v>108</v>
      </c>
      <c r="B1240" s="4" t="s">
        <v>117</v>
      </c>
      <c r="C1240" s="5" t="s">
        <v>209</v>
      </c>
      <c r="D1240" s="5" t="s">
        <v>47</v>
      </c>
      <c r="E1240" s="4" t="s">
        <v>118</v>
      </c>
      <c r="F1240" s="4" t="str" cm="1">
        <f t="array" ref="F1240">_xlfn.IFS(
AG1240 &lt;&gt; "", "Jan-Dez/26",
AH1240 &lt;&gt; "", "Fev-Dez/26",
AI1240 &lt;&gt; "", "Mar-Dez/26", AJ1240 &lt;&gt; "", "Abr-Dez/26",
TRUE, "A partir de Junho"
)</f>
        <v>A partir de Junho</v>
      </c>
      <c r="G1240" s="4" t="s">
        <v>37</v>
      </c>
      <c r="H1240" s="7" t="s">
        <v>38</v>
      </c>
      <c r="I1240" s="4" t="s">
        <v>121</v>
      </c>
      <c r="J1240" s="8" t="str" cm="1">
        <f t="array" aca="1" ref="J1240" ca="1">_xlfn.LET(
  _xlpm.actual_value_month, INDEX(T1240:AE1240, MATCH(DATE(YEAR(TODAY()), MONTH(TODAY()), 1), $T$1:$AE$1, 0)),
  IF(_xlpm.actual_value_month &lt;&gt; "",_xlpm.actual_value_month &amp; " ações mensais", "")
)</f>
        <v/>
      </c>
      <c r="K1240" s="8" t="str" cm="1">
        <f t="array" ref="K1240">_xlfn.LET(
    _xlpm.sum_month, SUM(T1240:AE1240),
    IF(_xlpm.sum_month = 0, "", _xlpm.sum_month &amp; " empresas monitoradas no ano")
)</f>
        <v/>
      </c>
      <c r="L1240" s="4" t="s">
        <v>122</v>
      </c>
      <c r="M1240" s="19"/>
      <c r="N1240" s="5" t="s">
        <v>51</v>
      </c>
      <c r="O1240" s="5"/>
      <c r="P1240" s="10"/>
      <c r="Q1240" s="10"/>
      <c r="R1240" s="11"/>
      <c r="S1240" s="11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81"/>
      <c r="AG1240" s="71"/>
      <c r="AH1240" s="71"/>
      <c r="AI1240" s="71"/>
      <c r="AJ1240" s="71"/>
      <c r="AK1240" s="71"/>
      <c r="AL1240" s="71"/>
      <c r="AM1240" s="71"/>
      <c r="AN1240" s="71"/>
      <c r="AO1240" s="71"/>
      <c r="AP1240" s="71"/>
      <c r="AQ1240" s="71"/>
      <c r="AR1240" s="71"/>
      <c r="AS1240" s="94"/>
      <c r="AT1240" s="95"/>
      <c r="AU1240" s="97"/>
      <c r="AV1240" s="81"/>
      <c r="AW1240" s="83">
        <f t="shared" si="1460"/>
        <v>0</v>
      </c>
      <c r="AX1240" s="83">
        <f t="shared" si="1461"/>
        <v>0</v>
      </c>
      <c r="AY1240" s="83">
        <f t="shared" si="1462"/>
        <v>0</v>
      </c>
      <c r="AZ1240" s="83">
        <f t="shared" si="1463"/>
        <v>0</v>
      </c>
      <c r="BA1240" s="83"/>
      <c r="BB1240" s="83"/>
      <c r="BC1240" s="83"/>
      <c r="BD1240" s="83"/>
      <c r="BE1240" s="83"/>
      <c r="BF1240" s="83"/>
      <c r="BG1240" s="83"/>
      <c r="BH1240" s="83"/>
      <c r="BI1240" s="65"/>
      <c r="BJ1240" s="68"/>
      <c r="BK1240" s="59">
        <f t="shared" si="1464"/>
        <v>0</v>
      </c>
      <c r="BL1240" s="59" cm="1">
        <f t="array" ref="BL1240">IFERROR(SUM(AW1240:INDEX(AW1240:BH1240, MATCH(2, 1/(AW1240:BH1240&lt;&gt;""), 1) - 1))/_xlfn.XLOOKUP(F1240,Apuração!A:A,Apuração!B:B),0)</f>
        <v>0</v>
      </c>
      <c r="BM1240" s="55"/>
      <c r="BN1240" s="55"/>
      <c r="BO1240" s="53">
        <f ca="1">IFERROR(_xlfn.XLOOKUP(F1240,Apuração!A:A,Apuração!C:C)/_xlfn.XLOOKUP(F1240,Apuração!A:A,Apuração!B:B),0)</f>
        <v>0</v>
      </c>
      <c r="BP1240" s="53">
        <f ca="1">IFERROR(_xlfn.XLOOKUP(F1240,Apuração!A:A,Apuração!D:D)/_xlfn.XLOOKUP(F1240,Apuração!A:A,Apuração!B:B),0)</f>
        <v>0</v>
      </c>
      <c r="BQ1240" s="53">
        <f ca="1">IF(BK1240&gt;=BO1240,0,_xlfn.XLOOKUP(F1240,Apuração!A:A,Apuração!B:B)*(BO1240 + (1/_xlfn.XLOOKUP(F1240,Apuração!A:A,Apuração!B:B)) - BK1240))</f>
        <v>0</v>
      </c>
      <c r="BR1240" s="85">
        <f t="shared" ca="1" si="1465"/>
        <v>0</v>
      </c>
      <c r="BS1240" s="53">
        <f ca="1">IFERROR((_xlfn.XLOOKUP(F1240,Apuração!A:A,Apuração!C:C)+1)/_xlfn.XLOOKUP(F1240,Apuração!A:A,Apuração!B:B),0)</f>
        <v>0.14285714285714285</v>
      </c>
    </row>
    <row r="1241" spans="1:71" ht="25.95" hidden="1" customHeight="1" x14ac:dyDescent="0.3">
      <c r="A1241" s="70" t="s">
        <v>108</v>
      </c>
      <c r="B1241" s="4" t="s">
        <v>117</v>
      </c>
      <c r="C1241" s="5" t="s">
        <v>209</v>
      </c>
      <c r="D1241" s="5" t="s">
        <v>211</v>
      </c>
      <c r="E1241" s="4" t="s">
        <v>118</v>
      </c>
      <c r="F1241" s="4" t="str" cm="1">
        <f t="array" ref="F1241">_xlfn.IFS(
AG1241 &lt;&gt; "", "Jan-Dez/26",
AH1241 &lt;&gt; "", "Fev-Dez/26",
AI1241 &lt;&gt; "", "Mar-Dez/26", AJ1241 &lt;&gt; "", "Abr-Dez/26",
TRUE, "A partir de Junho"
)</f>
        <v>A partir de Junho</v>
      </c>
      <c r="G1241" s="4" t="s">
        <v>37</v>
      </c>
      <c r="H1241" s="7" t="s">
        <v>38</v>
      </c>
      <c r="I1241" s="4" t="s">
        <v>121</v>
      </c>
      <c r="J1241" s="8" t="str" cm="1">
        <f t="array" aca="1" ref="J1241" ca="1">_xlfn.LET(
  _xlpm.actual_value_month, INDEX(T1241:AE1241, MATCH(DATE(YEAR(TODAY()), MONTH(TODAY()), 1), $T$1:$AE$1, 0)),
  IF(_xlpm.actual_value_month &lt;&gt; "",_xlpm.actual_value_month &amp; " ações mensais", "")
)</f>
        <v/>
      </c>
      <c r="K1241" s="8" t="str" cm="1">
        <f t="array" ref="K1241">_xlfn.LET(
    _xlpm.sum_month, SUM(T1241:AE1241),
    IF(_xlpm.sum_month = 0, "", _xlpm.sum_month &amp; " empresas monitoradas no ano")
)</f>
        <v/>
      </c>
      <c r="L1241" s="4" t="s">
        <v>122</v>
      </c>
      <c r="M1241" s="19"/>
      <c r="N1241" s="5" t="s">
        <v>51</v>
      </c>
      <c r="O1241" s="5"/>
      <c r="P1241" s="10"/>
      <c r="Q1241" s="10"/>
      <c r="R1241" s="11"/>
      <c r="S1241" s="11"/>
      <c r="T1241" s="22"/>
      <c r="U1241" s="22"/>
      <c r="V1241" s="22"/>
      <c r="W1241" s="22"/>
      <c r="X1241" s="22"/>
      <c r="Y1241" s="22"/>
      <c r="Z1241" s="22"/>
      <c r="AA1241" s="22"/>
      <c r="AB1241" s="22"/>
      <c r="AC1241" s="22"/>
      <c r="AD1241" s="22"/>
      <c r="AE1241" s="22"/>
      <c r="AF1241" s="81"/>
      <c r="AG1241" s="71"/>
      <c r="AH1241" s="71"/>
      <c r="AI1241" s="71"/>
      <c r="AJ1241" s="71"/>
      <c r="AK1241" s="71"/>
      <c r="AL1241" s="71"/>
      <c r="AM1241" s="71"/>
      <c r="AN1241" s="71"/>
      <c r="AO1241" s="71"/>
      <c r="AP1241" s="71"/>
      <c r="AQ1241" s="71"/>
      <c r="AR1241" s="71"/>
      <c r="AS1241" s="94"/>
      <c r="AT1241" s="95"/>
      <c r="AU1241" s="97"/>
      <c r="AV1241" s="81"/>
      <c r="AW1241" s="83">
        <f t="shared" si="1460"/>
        <v>0</v>
      </c>
      <c r="AX1241" s="83">
        <f t="shared" si="1461"/>
        <v>0</v>
      </c>
      <c r="AY1241" s="83">
        <f t="shared" si="1462"/>
        <v>0</v>
      </c>
      <c r="AZ1241" s="83">
        <f t="shared" si="1463"/>
        <v>0</v>
      </c>
      <c r="BA1241" s="83"/>
      <c r="BB1241" s="83"/>
      <c r="BC1241" s="83"/>
      <c r="BD1241" s="83"/>
      <c r="BE1241" s="83"/>
      <c r="BF1241" s="83"/>
      <c r="BG1241" s="83"/>
      <c r="BH1241" s="83"/>
      <c r="BI1241" s="65"/>
      <c r="BJ1241" s="68"/>
      <c r="BK1241" s="59">
        <f t="shared" si="1464"/>
        <v>0</v>
      </c>
      <c r="BL1241" s="59" cm="1">
        <f t="array" ref="BL1241">IFERROR(SUM(AW1241:INDEX(AW1241:BH1241, MATCH(2, 1/(AW1241:BH1241&lt;&gt;""), 1) - 1))/_xlfn.XLOOKUP(F1241,Apuração!A:A,Apuração!B:B),0)</f>
        <v>0</v>
      </c>
      <c r="BM1241" s="55"/>
      <c r="BN1241" s="55"/>
      <c r="BO1241" s="53">
        <f ca="1">IFERROR(_xlfn.XLOOKUP(F1241,Apuração!A:A,Apuração!C:C)/_xlfn.XLOOKUP(F1241,Apuração!A:A,Apuração!B:B),0)</f>
        <v>0</v>
      </c>
      <c r="BP1241" s="53">
        <f ca="1">IFERROR(_xlfn.XLOOKUP(F1241,Apuração!A:A,Apuração!D:D)/_xlfn.XLOOKUP(F1241,Apuração!A:A,Apuração!B:B),0)</f>
        <v>0</v>
      </c>
      <c r="BQ1241" s="53">
        <f ca="1">IF(BK1241&gt;=BO1241,0,_xlfn.XLOOKUP(F1241,Apuração!A:A,Apuração!B:B)*(BO1241 + (1/_xlfn.XLOOKUP(F1241,Apuração!A:A,Apuração!B:B)) - BK1241))</f>
        <v>0</v>
      </c>
      <c r="BR1241" s="85">
        <f t="shared" ca="1" si="1465"/>
        <v>0</v>
      </c>
      <c r="BS1241" s="53">
        <f ca="1">IFERROR((_xlfn.XLOOKUP(F1241,Apuração!A:A,Apuração!C:C)+1)/_xlfn.XLOOKUP(F1241,Apuração!A:A,Apuração!B:B),0)</f>
        <v>0.14285714285714285</v>
      </c>
    </row>
    <row r="1242" spans="1:71" ht="25.95" hidden="1" customHeight="1" x14ac:dyDescent="0.3">
      <c r="A1242" s="70" t="s">
        <v>108</v>
      </c>
      <c r="B1242" s="4" t="s">
        <v>117</v>
      </c>
      <c r="C1242" s="5" t="s">
        <v>209</v>
      </c>
      <c r="D1242" s="5" t="s">
        <v>212</v>
      </c>
      <c r="E1242" s="4" t="s">
        <v>118</v>
      </c>
      <c r="F1242" s="4" t="str" cm="1">
        <f t="array" ref="F1242">_xlfn.IFS(
AG1242 &lt;&gt; "", "Jan-Dez/26",
AH1242 &lt;&gt; "", "Fev-Dez/26",
AI1242 &lt;&gt; "", "Mar-Dez/26", AJ1242 &lt;&gt; "", "Abr-Dez/26",
TRUE, "A partir de Junho"
)</f>
        <v>A partir de Junho</v>
      </c>
      <c r="G1242" s="4" t="s">
        <v>37</v>
      </c>
      <c r="H1242" s="7" t="s">
        <v>38</v>
      </c>
      <c r="I1242" s="4" t="s">
        <v>121</v>
      </c>
      <c r="J1242" s="8" t="str" cm="1">
        <f t="array" aca="1" ref="J1242" ca="1">_xlfn.LET(
  _xlpm.actual_value_month, INDEX(T1242:AE1242, MATCH(DATE(YEAR(TODAY()), MONTH(TODAY()), 1), $T$1:$AE$1, 0)),
  IF(_xlpm.actual_value_month &lt;&gt; "",_xlpm.actual_value_month &amp; " ações mensais", "")
)</f>
        <v/>
      </c>
      <c r="K1242" s="8" t="str" cm="1">
        <f t="array" ref="K1242">_xlfn.LET(
    _xlpm.sum_month, SUM(T1242:AE1242),
    IF(_xlpm.sum_month = 0, "", _xlpm.sum_month &amp; " empresas monitoradas no ano")
)</f>
        <v/>
      </c>
      <c r="L1242" s="4" t="s">
        <v>122</v>
      </c>
      <c r="M1242" s="19"/>
      <c r="N1242" s="5" t="s">
        <v>51</v>
      </c>
      <c r="O1242" s="5"/>
      <c r="P1242" s="10"/>
      <c r="Q1242" s="10"/>
      <c r="R1242" s="11"/>
      <c r="S1242" s="11"/>
      <c r="T1242" s="22"/>
      <c r="U1242" s="22"/>
      <c r="V1242" s="22"/>
      <c r="W1242" s="22"/>
      <c r="X1242" s="22"/>
      <c r="Y1242" s="22"/>
      <c r="Z1242" s="22"/>
      <c r="AA1242" s="22"/>
      <c r="AB1242" s="22"/>
      <c r="AC1242" s="22"/>
      <c r="AD1242" s="22"/>
      <c r="AE1242" s="22"/>
      <c r="AF1242" s="81"/>
      <c r="AG1242" s="71"/>
      <c r="AH1242" s="71"/>
      <c r="AI1242" s="71"/>
      <c r="AJ1242" s="71"/>
      <c r="AK1242" s="71"/>
      <c r="AL1242" s="71"/>
      <c r="AM1242" s="71"/>
      <c r="AN1242" s="71"/>
      <c r="AO1242" s="71"/>
      <c r="AP1242" s="71"/>
      <c r="AQ1242" s="71"/>
      <c r="AR1242" s="71"/>
      <c r="AS1242" s="94"/>
      <c r="AT1242" s="95"/>
      <c r="AU1242" s="97"/>
      <c r="AV1242" s="81"/>
      <c r="AW1242" s="83">
        <f t="shared" si="1460"/>
        <v>0</v>
      </c>
      <c r="AX1242" s="83">
        <f t="shared" si="1461"/>
        <v>0</v>
      </c>
      <c r="AY1242" s="83">
        <f t="shared" si="1462"/>
        <v>0</v>
      </c>
      <c r="AZ1242" s="83">
        <f t="shared" si="1463"/>
        <v>0</v>
      </c>
      <c r="BA1242" s="83"/>
      <c r="BB1242" s="83"/>
      <c r="BC1242" s="83"/>
      <c r="BD1242" s="83"/>
      <c r="BE1242" s="83"/>
      <c r="BF1242" s="83"/>
      <c r="BG1242" s="83"/>
      <c r="BH1242" s="83"/>
      <c r="BI1242" s="65"/>
      <c r="BJ1242" s="68"/>
      <c r="BK1242" s="59">
        <f t="shared" si="1464"/>
        <v>0</v>
      </c>
      <c r="BL1242" s="59" cm="1">
        <f t="array" ref="BL1242">IFERROR(SUM(AW1242:INDEX(AW1242:BH1242, MATCH(2, 1/(AW1242:BH1242&lt;&gt;""), 1) - 1))/_xlfn.XLOOKUP(F1242,Apuração!A:A,Apuração!B:B),0)</f>
        <v>0</v>
      </c>
      <c r="BM1242" s="55"/>
      <c r="BN1242" s="55"/>
      <c r="BO1242" s="53">
        <f ca="1">IFERROR(_xlfn.XLOOKUP(F1242,Apuração!A:A,Apuração!C:C)/_xlfn.XLOOKUP(F1242,Apuração!A:A,Apuração!B:B),0)</f>
        <v>0</v>
      </c>
      <c r="BP1242" s="53">
        <f ca="1">IFERROR(_xlfn.XLOOKUP(F1242,Apuração!A:A,Apuração!D:D)/_xlfn.XLOOKUP(F1242,Apuração!A:A,Apuração!B:B),0)</f>
        <v>0</v>
      </c>
      <c r="BQ1242" s="53">
        <f ca="1">IF(BK1242&gt;=BO1242,0,_xlfn.XLOOKUP(F1242,Apuração!A:A,Apuração!B:B)*(BO1242 + (1/_xlfn.XLOOKUP(F1242,Apuração!A:A,Apuração!B:B)) - BK1242))</f>
        <v>0</v>
      </c>
      <c r="BR1242" s="85">
        <f t="shared" ca="1" si="1465"/>
        <v>0</v>
      </c>
      <c r="BS1242" s="53">
        <f ca="1">IFERROR((_xlfn.XLOOKUP(F1242,Apuração!A:A,Apuração!C:C)+1)/_xlfn.XLOOKUP(F1242,Apuração!A:A,Apuração!B:B),0)</f>
        <v>0.14285714285714285</v>
      </c>
    </row>
    <row r="1243" spans="1:71" ht="25.95" hidden="1" customHeight="1" x14ac:dyDescent="0.3">
      <c r="A1243" s="70" t="s">
        <v>108</v>
      </c>
      <c r="B1243" s="4" t="s">
        <v>117</v>
      </c>
      <c r="C1243" s="5" t="s">
        <v>209</v>
      </c>
      <c r="D1243" s="5" t="s">
        <v>213</v>
      </c>
      <c r="E1243" s="4" t="s">
        <v>118</v>
      </c>
      <c r="F1243" s="4" t="str" cm="1">
        <f t="array" ref="F1243">_xlfn.IFS(
AG1243 &lt;&gt; "", "Jan-Dez/26",
AH1243 &lt;&gt; "", "Fev-Dez/26",
AI1243 &lt;&gt; "", "Mar-Dez/26", AJ1243 &lt;&gt; "", "Abr-Dez/26",
TRUE, "A partir de Junho"
)</f>
        <v>A partir de Junho</v>
      </c>
      <c r="G1243" s="4" t="s">
        <v>37</v>
      </c>
      <c r="H1243" s="7" t="s">
        <v>38</v>
      </c>
      <c r="I1243" s="4" t="s">
        <v>121</v>
      </c>
      <c r="J1243" s="8" t="str" cm="1">
        <f t="array" aca="1" ref="J1243" ca="1">_xlfn.LET(
  _xlpm.actual_value_month, INDEX(T1243:AE1243, MATCH(DATE(YEAR(TODAY()), MONTH(TODAY()), 1), $T$1:$AE$1, 0)),
  IF(_xlpm.actual_value_month &lt;&gt; "",_xlpm.actual_value_month &amp; " ações mensais", "")
)</f>
        <v/>
      </c>
      <c r="K1243" s="8" t="str" cm="1">
        <f t="array" ref="K1243">_xlfn.LET(
    _xlpm.sum_month, SUM(T1243:AE1243),
    IF(_xlpm.sum_month = 0, "", _xlpm.sum_month &amp; " empresas monitoradas no ano")
)</f>
        <v/>
      </c>
      <c r="L1243" s="4" t="s">
        <v>122</v>
      </c>
      <c r="M1243" s="19"/>
      <c r="N1243" s="5" t="s">
        <v>51</v>
      </c>
      <c r="O1243" s="5"/>
      <c r="P1243" s="10"/>
      <c r="Q1243" s="10"/>
      <c r="R1243" s="11"/>
      <c r="S1243" s="11"/>
      <c r="T1243" s="22"/>
      <c r="U1243" s="22"/>
      <c r="V1243" s="22"/>
      <c r="W1243" s="22"/>
      <c r="X1243" s="22"/>
      <c r="Y1243" s="22"/>
      <c r="Z1243" s="22"/>
      <c r="AA1243" s="22"/>
      <c r="AB1243" s="22"/>
      <c r="AC1243" s="22"/>
      <c r="AD1243" s="22"/>
      <c r="AE1243" s="22"/>
      <c r="AF1243" s="81"/>
      <c r="AG1243" s="71"/>
      <c r="AH1243" s="71"/>
      <c r="AI1243" s="71"/>
      <c r="AJ1243" s="71"/>
      <c r="AK1243" s="71"/>
      <c r="AL1243" s="71"/>
      <c r="AM1243" s="71"/>
      <c r="AN1243" s="71"/>
      <c r="AO1243" s="71"/>
      <c r="AP1243" s="71"/>
      <c r="AQ1243" s="71"/>
      <c r="AR1243" s="71"/>
      <c r="AS1243" s="94"/>
      <c r="AT1243" s="95"/>
      <c r="AU1243" s="97"/>
      <c r="AV1243" s="81"/>
      <c r="AW1243" s="83">
        <f t="shared" si="1460"/>
        <v>0</v>
      </c>
      <c r="AX1243" s="83">
        <f t="shared" si="1461"/>
        <v>0</v>
      </c>
      <c r="AY1243" s="83">
        <f t="shared" si="1462"/>
        <v>0</v>
      </c>
      <c r="AZ1243" s="83">
        <f t="shared" si="1463"/>
        <v>0</v>
      </c>
      <c r="BA1243" s="83"/>
      <c r="BB1243" s="83"/>
      <c r="BC1243" s="83"/>
      <c r="BD1243" s="83"/>
      <c r="BE1243" s="83"/>
      <c r="BF1243" s="83"/>
      <c r="BG1243" s="83"/>
      <c r="BH1243" s="83"/>
      <c r="BI1243" s="65"/>
      <c r="BJ1243" s="68"/>
      <c r="BK1243" s="59">
        <f t="shared" si="1464"/>
        <v>0</v>
      </c>
      <c r="BL1243" s="59" cm="1">
        <f t="array" ref="BL1243">IFERROR(SUM(AW1243:INDEX(AW1243:BH1243, MATCH(2, 1/(AW1243:BH1243&lt;&gt;""), 1) - 1))/_xlfn.XLOOKUP(F1243,Apuração!A:A,Apuração!B:B),0)</f>
        <v>0</v>
      </c>
      <c r="BM1243" s="55"/>
      <c r="BN1243" s="55"/>
      <c r="BO1243" s="53">
        <f ca="1">IFERROR(_xlfn.XLOOKUP(F1243,Apuração!A:A,Apuração!C:C)/_xlfn.XLOOKUP(F1243,Apuração!A:A,Apuração!B:B),0)</f>
        <v>0</v>
      </c>
      <c r="BP1243" s="53">
        <f ca="1">IFERROR(_xlfn.XLOOKUP(F1243,Apuração!A:A,Apuração!D:D)/_xlfn.XLOOKUP(F1243,Apuração!A:A,Apuração!B:B),0)</f>
        <v>0</v>
      </c>
      <c r="BQ1243" s="53">
        <f ca="1">IF(BK1243&gt;=BO1243,0,_xlfn.XLOOKUP(F1243,Apuração!A:A,Apuração!B:B)*(BO1243 + (1/_xlfn.XLOOKUP(F1243,Apuração!A:A,Apuração!B:B)) - BK1243))</f>
        <v>0</v>
      </c>
      <c r="BR1243" s="85">
        <f t="shared" ca="1" si="1465"/>
        <v>0</v>
      </c>
      <c r="BS1243" s="53">
        <f ca="1">IFERROR((_xlfn.XLOOKUP(F1243,Apuração!A:A,Apuração!C:C)+1)/_xlfn.XLOOKUP(F1243,Apuração!A:A,Apuração!B:B),0)</f>
        <v>0.14285714285714285</v>
      </c>
    </row>
    <row r="1244" spans="1:71" ht="25.95" hidden="1" customHeight="1" x14ac:dyDescent="0.3">
      <c r="A1244" s="41" t="s">
        <v>108</v>
      </c>
      <c r="B1244" s="4" t="s">
        <v>123</v>
      </c>
      <c r="C1244" s="5" t="s">
        <v>209</v>
      </c>
      <c r="D1244" s="5" t="s">
        <v>36</v>
      </c>
      <c r="E1244" s="4" t="s">
        <v>61</v>
      </c>
      <c r="F1244" s="4" t="str" cm="1">
        <f t="array" ref="F1244">_xlfn.IFS(
AG1244 &lt;&gt; "", "Jan-Dez/26",
AH1244 &lt;&gt; "", "Fev-Dez/26",
AI1244 &lt;&gt; "", "Mar-Dez/26", AJ1244 &lt;&gt; "", "Abr-Dez/26",
TRUE, "A partir de Junho"
)</f>
        <v>A partir de Junho</v>
      </c>
      <c r="G1244" s="4" t="s">
        <v>62</v>
      </c>
      <c r="H1244" s="7" t="s">
        <v>38</v>
      </c>
      <c r="I1244" s="28" t="s">
        <v>124</v>
      </c>
      <c r="J1244" s="8" t="str" cm="1">
        <f t="array" aca="1" ref="J1244" ca="1">_xlfn.LET(
  _xlpm.actual_value_month, INDEX(T1244:AE1244, MATCH(DATE(YEAR(TODAY()), MONTH(TODAY()), 1), $T$1:$AE$1, 0)),
  IF(_xlpm.actual_value_month &lt;&gt; "",_xlpm.actual_value_month &amp; " ações mensais", "")
)</f>
        <v/>
      </c>
      <c r="K1244" s="8" t="str" cm="1">
        <f t="array" ref="K1244">_xlfn.LET(
    _xlpm.sum_month, SUM(T1244:AE1244),
    IF(_xlpm.sum_month = 0, "", _xlpm.sum_month &amp; " atividades no ano")
)</f>
        <v/>
      </c>
      <c r="L1244" s="4" t="s">
        <v>125</v>
      </c>
      <c r="M1244" s="19"/>
      <c r="N1244" s="5" t="s">
        <v>42</v>
      </c>
      <c r="O1244" s="5"/>
      <c r="P1244" s="10"/>
      <c r="Q1244" s="10"/>
      <c r="R1244" s="11"/>
      <c r="S1244" s="11"/>
      <c r="T1244" s="22"/>
      <c r="U1244" s="22"/>
      <c r="V1244" s="22"/>
      <c r="W1244" s="22"/>
      <c r="X1244" s="22"/>
      <c r="Y1244" s="22"/>
      <c r="Z1244" s="22"/>
      <c r="AA1244" s="22"/>
      <c r="AB1244" s="22"/>
      <c r="AC1244" s="22"/>
      <c r="AD1244" s="22"/>
      <c r="AE1244" s="22"/>
      <c r="AF1244" s="81"/>
      <c r="AG1244" s="71"/>
      <c r="AH1244" s="71"/>
      <c r="AI1244" s="71"/>
      <c r="AJ1244" s="71"/>
      <c r="AK1244" s="71"/>
      <c r="AL1244" s="71"/>
      <c r="AM1244" s="71"/>
      <c r="AN1244" s="71"/>
      <c r="AO1244" s="71"/>
      <c r="AP1244" s="71"/>
      <c r="AQ1244" s="71"/>
      <c r="AR1244" s="71"/>
      <c r="AS1244" s="94"/>
      <c r="AT1244" s="95"/>
      <c r="AU1244" s="97"/>
      <c r="AV1244" s="81"/>
      <c r="AW1244" s="51">
        <f>IFERROR(IF(AG1244="",0,AG1244/T1244),0)</f>
        <v>0</v>
      </c>
      <c r="AX1244" s="51">
        <f>IFERROR(IF(AH1244="",0,AH1244/U1244),0)</f>
        <v>0</v>
      </c>
      <c r="AY1244" s="51">
        <f>IFERROR(IF(AI1244="",0,AI1244/V1244),0)</f>
        <v>0</v>
      </c>
      <c r="AZ1244" s="51">
        <f>IFERROR(IF(AJ1244="",0,AJ1244/W1244),0)</f>
        <v>0</v>
      </c>
      <c r="BA1244" s="51"/>
      <c r="BB1244" s="51"/>
      <c r="BC1244" s="51"/>
      <c r="BD1244" s="51"/>
      <c r="BE1244" s="51"/>
      <c r="BF1244" s="51"/>
      <c r="BG1244" s="51"/>
      <c r="BH1244" s="51"/>
      <c r="BI1244" s="65"/>
      <c r="BJ1244" s="68"/>
      <c r="BK1244" s="58">
        <f>IF((IF(AW1244&gt;=115%,115%,AW1244) + IF(AX1244&gt;=115%,115%,AX1244) + IF(AY1244&gt;=115%,115%,AY1244) + (IF(AZ1244&gt;=115%,115%,AZ1244) + IF(BA1244&gt;=115%,115%,BA1244) + IF(BB1244&gt;=115%,115%,BB1244) + IF(BC1244&gt;=115%,115%,BC1244) + IF(BD1244&gt;=115%,115%,BD1244) + IF(BE1244&gt;=115%,115%,BE1244) + IF(BF1244&gt;=115%,115%,BF1244) + IF(BG1244&gt;=115%,115%,BG1244) + IF(BH1244&gt;=115%,115%,BH1244)))/_xlfn.XLOOKUP(F1244,Apuração!A:A,Apuração!B:B)&gt;=1.15,1.15,((IF(AZ1244&gt;=115%,115%,AZ1244) + IF(AX1244&gt;=115%,115%,AX1244) + IF(AY1244&gt;=115%,115%,AY1244) + (IF(AW1244&gt;=115%,115%,AW1244) + IF(BA1244&gt;=115%,115%,BA1244) + IF(BB1244&gt;=115%,115%,BB1244) + IF(BC1244&gt;=115%,115%,BC1244) + IF(BD1244&gt;=115%,115%,BD1244) + IF(BE1244&gt;=115%,115%,BE1244) + IF(BF1244&gt;=115%,115%,BF1244) + IF(BG1244&gt;=115%,115%,BG1244) + IF(BH1244&gt;=115%,115%,BH1244)))/_xlfn.XLOOKUP(F1244,Apuração!A:A,Apuração!B:B)))</f>
        <v>0</v>
      </c>
      <c r="BL1244" s="58" cm="1">
        <f t="array" aca="1" ref="BL1244" ca="1">IF(SUM(IFERROR(IF(INDEX(AW1244:INDEX(AW1244:BH1244, MATCH(2, 1/(AW1244:BH1244&lt;&gt;""), 1)-1), ROW(INDIRECT("1:" &amp; MATCH(2, 1/(AW1244:BH1244&lt;&gt;""), 1)-1))) &gt;= 115%, 115%, INDEX(AW1244:INDEX(AW1244:BH1244, MATCH(2, 1/(AW1244:BH1244&lt;&gt;""), 1)-1), ROW(INDIRECT("1:" &amp; MATCH(2, 1/(AW1244:BH1244&lt;&gt;""), 1)-1)))), 0))/_xlfn.XLOOKUP(F1244,Apuração!A:A,Apuração!B:B)&gt;=1.15,1.15,SUM(IFERROR(IF(INDEX(AW1244:INDEX(AW1244:BH1244, MATCH(2, 1/(AW1244:BH1244&lt;&gt;""), 1)-1), ROW(INDIRECT("1:" &amp; MATCH(2, 1/(AW1244:BH1244&lt;&gt;""), 1)-1))) &gt;= 115%, 115%, INDEX(AW1244:INDEX(AW1244:BH1244, MATCH(2, 1/(AW1244:BH1244&lt;&gt;""), 1)-1), ROW(INDIRECT("1:" &amp; MATCH(2, 1/(AW1244:BH1244&lt;&gt;""), 1)-1)))), 0))/_xlfn.XLOOKUP(F1244,Apuração!A:A,Apuração!B:B))</f>
        <v>0</v>
      </c>
      <c r="BM1244" s="55"/>
      <c r="BN1244" s="55"/>
      <c r="BO1244" s="53">
        <f ca="1">IFERROR(_xlfn.XLOOKUP(F1244,Apuração!A:A,Apuração!C:C)/_xlfn.XLOOKUP(F1244,Apuração!A:A,Apuração!B:B),0)</f>
        <v>0</v>
      </c>
      <c r="BP1244" s="53">
        <f ca="1">IFERROR(_xlfn.XLOOKUP(F1244,Apuração!A:A,Apuração!D:D)/_xlfn.XLOOKUP(F1244,Apuração!A:A,Apuração!B:B),0)</f>
        <v>0</v>
      </c>
      <c r="BQ1244" s="53">
        <f ca="1">IF(BK1244&gt;=BO1244,0,_xlfn.XLOOKUP(F1244,Apuração!A:A,Apuração!B:B)*(BO1244 + (1/_xlfn.XLOOKUP(F1244,Apuração!A:A,Apuração!B:B)) - BK1244))</f>
        <v>0</v>
      </c>
      <c r="BR1244" s="85">
        <f ca="1">IF(BQ1244=0,0,BQ1244*Z1244)</f>
        <v>0</v>
      </c>
      <c r="BS1244" s="53">
        <f ca="1">IFERROR((_xlfn.XLOOKUP(F1244,Apuração!A:A,Apuração!C:C)+1)/_xlfn.XLOOKUP(F1244,Apuração!A:A,Apuração!B:B),0)</f>
        <v>0.14285714285714285</v>
      </c>
    </row>
    <row r="1245" spans="1:71" ht="25.95" hidden="1" customHeight="1" x14ac:dyDescent="0.3">
      <c r="A1245" s="41" t="s">
        <v>108</v>
      </c>
      <c r="B1245" s="4" t="s">
        <v>123</v>
      </c>
      <c r="C1245" s="5" t="s">
        <v>209</v>
      </c>
      <c r="D1245" s="5" t="s">
        <v>210</v>
      </c>
      <c r="E1245" s="4" t="s">
        <v>61</v>
      </c>
      <c r="F1245" s="4" t="str" cm="1">
        <f t="array" ref="F1245">_xlfn.IFS(
AG1245 &lt;&gt; "", "Jan-Dez/26",
AH1245 &lt;&gt; "", "Fev-Dez/26",
AI1245 &lt;&gt; "", "Mar-Dez/26", AJ1245 &lt;&gt; "", "Abr-Dez/26",
TRUE, "A partir de Junho"
)</f>
        <v>A partir de Junho</v>
      </c>
      <c r="G1245" s="4" t="s">
        <v>62</v>
      </c>
      <c r="H1245" s="7" t="s">
        <v>38</v>
      </c>
      <c r="I1245" s="28" t="s">
        <v>124</v>
      </c>
      <c r="J1245" s="8" t="str" cm="1">
        <f t="array" aca="1" ref="J1245" ca="1">_xlfn.LET(
  _xlpm.actual_value_month, INDEX(T1245:AE1245, MATCH(DATE(YEAR(TODAY()), MONTH(TODAY()), 1), $T$1:$AE$1, 0)),
  IF(_xlpm.actual_value_month &lt;&gt; "",_xlpm.actual_value_month &amp; " ações mensais", "")
)</f>
        <v/>
      </c>
      <c r="K1245" s="8" t="str" cm="1">
        <f t="array" ref="K1245">_xlfn.LET(
    _xlpm.sum_month, SUM(T1245:AE1245),
    IF(_xlpm.sum_month = 0, "", _xlpm.sum_month &amp; " atividades no ano")
)</f>
        <v/>
      </c>
      <c r="L1245" s="4" t="s">
        <v>125</v>
      </c>
      <c r="M1245" s="19"/>
      <c r="N1245" s="5" t="s">
        <v>42</v>
      </c>
      <c r="O1245" s="5"/>
      <c r="P1245" s="10"/>
      <c r="Q1245" s="10"/>
      <c r="R1245" s="11"/>
      <c r="S1245" s="11"/>
      <c r="T1245" s="22"/>
      <c r="U1245" s="22"/>
      <c r="V1245" s="22"/>
      <c r="W1245" s="22"/>
      <c r="X1245" s="22"/>
      <c r="Y1245" s="22"/>
      <c r="Z1245" s="22"/>
      <c r="AA1245" s="22"/>
      <c r="AB1245" s="22"/>
      <c r="AC1245" s="22"/>
      <c r="AD1245" s="22"/>
      <c r="AE1245" s="22"/>
      <c r="AF1245" s="81"/>
      <c r="AG1245" s="71"/>
      <c r="AH1245" s="71"/>
      <c r="AI1245" s="71"/>
      <c r="AJ1245" s="71"/>
      <c r="AK1245" s="71"/>
      <c r="AL1245" s="71"/>
      <c r="AM1245" s="71"/>
      <c r="AN1245" s="71"/>
      <c r="AO1245" s="71"/>
      <c r="AP1245" s="71"/>
      <c r="AQ1245" s="71"/>
      <c r="AR1245" s="71"/>
      <c r="AS1245" s="94"/>
      <c r="AT1245" s="95"/>
      <c r="AU1245" s="97"/>
      <c r="AV1245" s="81"/>
      <c r="AW1245" s="51">
        <f t="shared" ref="AW1245:AW1249" si="1466">IFERROR(IF(AG1245="",0,AG1245/T1245),0)</f>
        <v>0</v>
      </c>
      <c r="AX1245" s="51">
        <f t="shared" ref="AX1245:AX1249" si="1467">IFERROR(IF(AH1245="",0,AH1245/U1245),0)</f>
        <v>0</v>
      </c>
      <c r="AY1245" s="51">
        <f t="shared" ref="AY1245:AY1249" si="1468">IFERROR(IF(AI1245="",0,AI1245/V1245),0)</f>
        <v>0</v>
      </c>
      <c r="AZ1245" s="51">
        <f t="shared" ref="AZ1245:AZ1249" si="1469">IFERROR(IF(AJ1245="",0,AJ1245/W1245),0)</f>
        <v>0</v>
      </c>
      <c r="BA1245" s="51"/>
      <c r="BB1245" s="51"/>
      <c r="BC1245" s="51"/>
      <c r="BD1245" s="51"/>
      <c r="BE1245" s="51"/>
      <c r="BF1245" s="51"/>
      <c r="BG1245" s="51"/>
      <c r="BH1245" s="51"/>
      <c r="BI1245" s="65"/>
      <c r="BJ1245" s="68"/>
      <c r="BK1245" s="58">
        <f>IF((IF(AW1245&gt;=115%,115%,AW1245) + IF(AX1245&gt;=115%,115%,AX1245) + IF(AY1245&gt;=115%,115%,AY1245) + (IF(AZ1245&gt;=115%,115%,AZ1245) + IF(BA1245&gt;=115%,115%,BA1245) + IF(BB1245&gt;=115%,115%,BB1245) + IF(BC1245&gt;=115%,115%,BC1245) + IF(BD1245&gt;=115%,115%,BD1245) + IF(BE1245&gt;=115%,115%,BE1245) + IF(BF1245&gt;=115%,115%,BF1245) + IF(BG1245&gt;=115%,115%,BG1245) + IF(BH1245&gt;=115%,115%,BH1245)))/_xlfn.XLOOKUP(F1245,Apuração!A:A,Apuração!B:B)&gt;=1.15,1.15,((IF(AZ1245&gt;=115%,115%,AZ1245) + IF(AX1245&gt;=115%,115%,AX1245) + IF(AY1245&gt;=115%,115%,AY1245) + (IF(AW1245&gt;=115%,115%,AW1245) + IF(BA1245&gt;=115%,115%,BA1245) + IF(BB1245&gt;=115%,115%,BB1245) + IF(BC1245&gt;=115%,115%,BC1245) + IF(BD1245&gt;=115%,115%,BD1245) + IF(BE1245&gt;=115%,115%,BE1245) + IF(BF1245&gt;=115%,115%,BF1245) + IF(BG1245&gt;=115%,115%,BG1245) + IF(BH1245&gt;=115%,115%,BH1245)))/_xlfn.XLOOKUP(F1245,Apuração!A:A,Apuração!B:B)))</f>
        <v>0</v>
      </c>
      <c r="BL1245" s="58" cm="1">
        <f t="array" aca="1" ref="BL1245" ca="1">IF(SUM(IFERROR(IF(INDEX(AW1245:INDEX(AW1245:BH1245, MATCH(2, 1/(AW1245:BH1245&lt;&gt;""), 1)-1), ROW(INDIRECT("1:" &amp; MATCH(2, 1/(AW1245:BH1245&lt;&gt;""), 1)-1))) &gt;= 115%, 115%, INDEX(AW1245:INDEX(AW1245:BH1245, MATCH(2, 1/(AW1245:BH1245&lt;&gt;""), 1)-1), ROW(INDIRECT("1:" &amp; MATCH(2, 1/(AW1245:BH1245&lt;&gt;""), 1)-1)))), 0))/_xlfn.XLOOKUP(F1245,Apuração!A:A,Apuração!B:B)&gt;=1.15,1.15,SUM(IFERROR(IF(INDEX(AW1245:INDEX(AW1245:BH1245, MATCH(2, 1/(AW1245:BH1245&lt;&gt;""), 1)-1), ROW(INDIRECT("1:" &amp; MATCH(2, 1/(AW1245:BH1245&lt;&gt;""), 1)-1))) &gt;= 115%, 115%, INDEX(AW1245:INDEX(AW1245:BH1245, MATCH(2, 1/(AW1245:BH1245&lt;&gt;""), 1)-1), ROW(INDIRECT("1:" &amp; MATCH(2, 1/(AW1245:BH1245&lt;&gt;""), 1)-1)))), 0))/_xlfn.XLOOKUP(F1245,Apuração!A:A,Apuração!B:B))</f>
        <v>0</v>
      </c>
      <c r="BM1245" s="55"/>
      <c r="BN1245" s="55"/>
      <c r="BO1245" s="53">
        <f ca="1">IFERROR(_xlfn.XLOOKUP(F1245,Apuração!A:A,Apuração!C:C)/_xlfn.XLOOKUP(F1245,Apuração!A:A,Apuração!B:B),0)</f>
        <v>0</v>
      </c>
      <c r="BP1245" s="53">
        <f ca="1">IFERROR(_xlfn.XLOOKUP(F1245,Apuração!A:A,Apuração!D:D)/_xlfn.XLOOKUP(F1245,Apuração!A:A,Apuração!B:B),0)</f>
        <v>0</v>
      </c>
      <c r="BQ1245" s="53">
        <f ca="1">IF(BK1245&gt;=BO1245,0,_xlfn.XLOOKUP(F1245,Apuração!A:A,Apuração!B:B)*(BO1245 + (1/_xlfn.XLOOKUP(F1245,Apuração!A:A,Apuração!B:B)) - BK1245))</f>
        <v>0</v>
      </c>
      <c r="BR1245" s="85">
        <f t="shared" ref="BR1245:BR1249" ca="1" si="1470">IF(BQ1245=0,0,BQ1245*Z1245)</f>
        <v>0</v>
      </c>
      <c r="BS1245" s="53">
        <f ca="1">IFERROR((_xlfn.XLOOKUP(F1245,Apuração!A:A,Apuração!C:C)+1)/_xlfn.XLOOKUP(F1245,Apuração!A:A,Apuração!B:B),0)</f>
        <v>0.14285714285714285</v>
      </c>
    </row>
    <row r="1246" spans="1:71" ht="25.95" hidden="1" customHeight="1" x14ac:dyDescent="0.3">
      <c r="A1246" s="41" t="s">
        <v>108</v>
      </c>
      <c r="B1246" s="4" t="s">
        <v>123</v>
      </c>
      <c r="C1246" s="5" t="s">
        <v>209</v>
      </c>
      <c r="D1246" s="5" t="s">
        <v>47</v>
      </c>
      <c r="E1246" s="4" t="s">
        <v>61</v>
      </c>
      <c r="F1246" s="4" t="str" cm="1">
        <f t="array" ref="F1246">_xlfn.IFS(
AG1246 &lt;&gt; "", "Jan-Dez/26",
AH1246 &lt;&gt; "", "Fev-Dez/26",
AI1246 &lt;&gt; "", "Mar-Dez/26", AJ1246 &lt;&gt; "", "Abr-Dez/26",
TRUE, "A partir de Junho"
)</f>
        <v>A partir de Junho</v>
      </c>
      <c r="G1246" s="4" t="s">
        <v>62</v>
      </c>
      <c r="H1246" s="7" t="s">
        <v>38</v>
      </c>
      <c r="I1246" s="28" t="s">
        <v>124</v>
      </c>
      <c r="J1246" s="8" t="str" cm="1">
        <f t="array" aca="1" ref="J1246" ca="1">_xlfn.LET(
  _xlpm.actual_value_month, INDEX(T1246:AE1246, MATCH(DATE(YEAR(TODAY()), MONTH(TODAY()), 1), $T$1:$AE$1, 0)),
  IF(_xlpm.actual_value_month &lt;&gt; "",_xlpm.actual_value_month &amp; " ações mensais", "")
)</f>
        <v/>
      </c>
      <c r="K1246" s="8" t="str" cm="1">
        <f t="array" ref="K1246">_xlfn.LET(
    _xlpm.sum_month, SUM(T1246:AE1246),
    IF(_xlpm.sum_month = 0, "", _xlpm.sum_month &amp; " atividades no ano")
)</f>
        <v/>
      </c>
      <c r="L1246" s="4" t="s">
        <v>125</v>
      </c>
      <c r="M1246" s="19"/>
      <c r="N1246" s="5" t="s">
        <v>42</v>
      </c>
      <c r="O1246" s="5"/>
      <c r="P1246" s="10"/>
      <c r="Q1246" s="10"/>
      <c r="R1246" s="11"/>
      <c r="S1246" s="11"/>
      <c r="T1246" s="22"/>
      <c r="U1246" s="22"/>
      <c r="V1246" s="22"/>
      <c r="W1246" s="22"/>
      <c r="X1246" s="22"/>
      <c r="Y1246" s="22"/>
      <c r="Z1246" s="22"/>
      <c r="AA1246" s="22"/>
      <c r="AB1246" s="22"/>
      <c r="AC1246" s="22"/>
      <c r="AD1246" s="22"/>
      <c r="AE1246" s="22"/>
      <c r="AF1246" s="81"/>
      <c r="AG1246" s="71"/>
      <c r="AH1246" s="71"/>
      <c r="AI1246" s="71"/>
      <c r="AJ1246" s="71"/>
      <c r="AK1246" s="71"/>
      <c r="AL1246" s="71"/>
      <c r="AM1246" s="71"/>
      <c r="AN1246" s="71"/>
      <c r="AO1246" s="71"/>
      <c r="AP1246" s="71"/>
      <c r="AQ1246" s="71"/>
      <c r="AR1246" s="71"/>
      <c r="AS1246" s="94"/>
      <c r="AT1246" s="95"/>
      <c r="AU1246" s="97"/>
      <c r="AV1246" s="81"/>
      <c r="AW1246" s="51">
        <f t="shared" si="1466"/>
        <v>0</v>
      </c>
      <c r="AX1246" s="51">
        <f t="shared" si="1467"/>
        <v>0</v>
      </c>
      <c r="AY1246" s="51">
        <f t="shared" si="1468"/>
        <v>0</v>
      </c>
      <c r="AZ1246" s="51">
        <f t="shared" si="1469"/>
        <v>0</v>
      </c>
      <c r="BA1246" s="51"/>
      <c r="BB1246" s="51"/>
      <c r="BC1246" s="51"/>
      <c r="BD1246" s="51"/>
      <c r="BE1246" s="51"/>
      <c r="BF1246" s="51"/>
      <c r="BG1246" s="51"/>
      <c r="BH1246" s="51"/>
      <c r="BI1246" s="65"/>
      <c r="BJ1246" s="68"/>
      <c r="BK1246" s="58">
        <f>IF((IF(AW1246&gt;=115%,115%,AW1246) + IF(AX1246&gt;=115%,115%,AX1246) + IF(AY1246&gt;=115%,115%,AY1246) + (IF(AZ1246&gt;=115%,115%,AZ1246) + IF(BA1246&gt;=115%,115%,BA1246) + IF(BB1246&gt;=115%,115%,BB1246) + IF(BC1246&gt;=115%,115%,BC1246) + IF(BD1246&gt;=115%,115%,BD1246) + IF(BE1246&gt;=115%,115%,BE1246) + IF(BF1246&gt;=115%,115%,BF1246) + IF(BG1246&gt;=115%,115%,BG1246) + IF(BH1246&gt;=115%,115%,BH1246)))/_xlfn.XLOOKUP(F1246,Apuração!A:A,Apuração!B:B)&gt;=1.15,1.15,((IF(AZ1246&gt;=115%,115%,AZ1246) + IF(AX1246&gt;=115%,115%,AX1246) + IF(AY1246&gt;=115%,115%,AY1246) + (IF(AW1246&gt;=115%,115%,AW1246) + IF(BA1246&gt;=115%,115%,BA1246) + IF(BB1246&gt;=115%,115%,BB1246) + IF(BC1246&gt;=115%,115%,BC1246) + IF(BD1246&gt;=115%,115%,BD1246) + IF(BE1246&gt;=115%,115%,BE1246) + IF(BF1246&gt;=115%,115%,BF1246) + IF(BG1246&gt;=115%,115%,BG1246) + IF(BH1246&gt;=115%,115%,BH1246)))/_xlfn.XLOOKUP(F1246,Apuração!A:A,Apuração!B:B)))</f>
        <v>0</v>
      </c>
      <c r="BL1246" s="58" cm="1">
        <f t="array" aca="1" ref="BL1246" ca="1">IF(SUM(IFERROR(IF(INDEX(AW1246:INDEX(AW1246:BH1246, MATCH(2, 1/(AW1246:BH1246&lt;&gt;""), 1)-1), ROW(INDIRECT("1:" &amp; MATCH(2, 1/(AW1246:BH1246&lt;&gt;""), 1)-1))) &gt;= 115%, 115%, INDEX(AW1246:INDEX(AW1246:BH1246, MATCH(2, 1/(AW1246:BH1246&lt;&gt;""), 1)-1), ROW(INDIRECT("1:" &amp; MATCH(2, 1/(AW1246:BH1246&lt;&gt;""), 1)-1)))), 0))/_xlfn.XLOOKUP(F1246,Apuração!A:A,Apuração!B:B)&gt;=1.15,1.15,SUM(IFERROR(IF(INDEX(AW1246:INDEX(AW1246:BH1246, MATCH(2, 1/(AW1246:BH1246&lt;&gt;""), 1)-1), ROW(INDIRECT("1:" &amp; MATCH(2, 1/(AW1246:BH1246&lt;&gt;""), 1)-1))) &gt;= 115%, 115%, INDEX(AW1246:INDEX(AW1246:BH1246, MATCH(2, 1/(AW1246:BH1246&lt;&gt;""), 1)-1), ROW(INDIRECT("1:" &amp; MATCH(2, 1/(AW1246:BH1246&lt;&gt;""), 1)-1)))), 0))/_xlfn.XLOOKUP(F1246,Apuração!A:A,Apuração!B:B))</f>
        <v>0</v>
      </c>
      <c r="BM1246" s="55"/>
      <c r="BN1246" s="55"/>
      <c r="BO1246" s="53">
        <f ca="1">IFERROR(_xlfn.XLOOKUP(F1246,Apuração!A:A,Apuração!C:C)/_xlfn.XLOOKUP(F1246,Apuração!A:A,Apuração!B:B),0)</f>
        <v>0</v>
      </c>
      <c r="BP1246" s="53">
        <f ca="1">IFERROR(_xlfn.XLOOKUP(F1246,Apuração!A:A,Apuração!D:D)/_xlfn.XLOOKUP(F1246,Apuração!A:A,Apuração!B:B),0)</f>
        <v>0</v>
      </c>
      <c r="BQ1246" s="53">
        <f ca="1">IF(BK1246&gt;=BO1246,0,_xlfn.XLOOKUP(F1246,Apuração!A:A,Apuração!B:B)*(BO1246 + (1/_xlfn.XLOOKUP(F1246,Apuração!A:A,Apuração!B:B)) - BK1246))</f>
        <v>0</v>
      </c>
      <c r="BR1246" s="85">
        <f t="shared" ca="1" si="1470"/>
        <v>0</v>
      </c>
      <c r="BS1246" s="53">
        <f ca="1">IFERROR((_xlfn.XLOOKUP(F1246,Apuração!A:A,Apuração!C:C)+1)/_xlfn.XLOOKUP(F1246,Apuração!A:A,Apuração!B:B),0)</f>
        <v>0.14285714285714285</v>
      </c>
    </row>
    <row r="1247" spans="1:71" ht="25.95" hidden="1" customHeight="1" x14ac:dyDescent="0.3">
      <c r="A1247" s="41" t="s">
        <v>108</v>
      </c>
      <c r="B1247" s="4" t="s">
        <v>123</v>
      </c>
      <c r="C1247" s="5" t="s">
        <v>209</v>
      </c>
      <c r="D1247" s="5" t="s">
        <v>211</v>
      </c>
      <c r="E1247" s="4" t="s">
        <v>61</v>
      </c>
      <c r="F1247" s="4" t="str" cm="1">
        <f t="array" ref="F1247">_xlfn.IFS(
AG1247 &lt;&gt; "", "Jan-Dez/26",
AH1247 &lt;&gt; "", "Fev-Dez/26",
AI1247 &lt;&gt; "", "Mar-Dez/26", AJ1247 &lt;&gt; "", "Abr-Dez/26",
TRUE, "A partir de Junho"
)</f>
        <v>A partir de Junho</v>
      </c>
      <c r="G1247" s="4" t="s">
        <v>62</v>
      </c>
      <c r="H1247" s="7" t="s">
        <v>38</v>
      </c>
      <c r="I1247" s="28" t="s">
        <v>124</v>
      </c>
      <c r="J1247" s="8" t="str" cm="1">
        <f t="array" aca="1" ref="J1247" ca="1">_xlfn.LET(
  _xlpm.actual_value_month, INDEX(T1247:AE1247, MATCH(DATE(YEAR(TODAY()), MONTH(TODAY()), 1), $T$1:$AE$1, 0)),
  IF(_xlpm.actual_value_month &lt;&gt; "",_xlpm.actual_value_month &amp; " ações mensais", "")
)</f>
        <v/>
      </c>
      <c r="K1247" s="8" t="str" cm="1">
        <f t="array" ref="K1247">_xlfn.LET(
    _xlpm.sum_month, SUM(T1247:AE1247),
    IF(_xlpm.sum_month = 0, "", _xlpm.sum_month &amp; " atividades no ano")
)</f>
        <v/>
      </c>
      <c r="L1247" s="4" t="s">
        <v>125</v>
      </c>
      <c r="M1247" s="19"/>
      <c r="N1247" s="5" t="s">
        <v>42</v>
      </c>
      <c r="O1247" s="5"/>
      <c r="P1247" s="10"/>
      <c r="Q1247" s="10"/>
      <c r="R1247" s="11"/>
      <c r="S1247" s="11"/>
      <c r="T1247" s="22"/>
      <c r="U1247" s="22"/>
      <c r="V1247" s="22"/>
      <c r="W1247" s="22"/>
      <c r="X1247" s="22"/>
      <c r="Y1247" s="22"/>
      <c r="Z1247" s="22"/>
      <c r="AA1247" s="22"/>
      <c r="AB1247" s="22"/>
      <c r="AC1247" s="22"/>
      <c r="AD1247" s="22"/>
      <c r="AE1247" s="22"/>
      <c r="AF1247" s="81"/>
      <c r="AG1247" s="71"/>
      <c r="AH1247" s="71"/>
      <c r="AI1247" s="71"/>
      <c r="AJ1247" s="71"/>
      <c r="AK1247" s="71"/>
      <c r="AL1247" s="71"/>
      <c r="AM1247" s="71"/>
      <c r="AN1247" s="71"/>
      <c r="AO1247" s="71"/>
      <c r="AP1247" s="71"/>
      <c r="AQ1247" s="71"/>
      <c r="AR1247" s="71"/>
      <c r="AS1247" s="94"/>
      <c r="AT1247" s="95"/>
      <c r="AU1247" s="97"/>
      <c r="AV1247" s="81"/>
      <c r="AW1247" s="51">
        <f t="shared" si="1466"/>
        <v>0</v>
      </c>
      <c r="AX1247" s="51">
        <f t="shared" si="1467"/>
        <v>0</v>
      </c>
      <c r="AY1247" s="51">
        <f t="shared" si="1468"/>
        <v>0</v>
      </c>
      <c r="AZ1247" s="51">
        <f t="shared" si="1469"/>
        <v>0</v>
      </c>
      <c r="BA1247" s="51"/>
      <c r="BB1247" s="51"/>
      <c r="BC1247" s="51"/>
      <c r="BD1247" s="51"/>
      <c r="BE1247" s="51"/>
      <c r="BF1247" s="51"/>
      <c r="BG1247" s="51"/>
      <c r="BH1247" s="51"/>
      <c r="BI1247" s="65"/>
      <c r="BJ1247" s="68"/>
      <c r="BK1247" s="58">
        <f>IF((IF(AW1247&gt;=115%,115%,AW1247) + IF(AX1247&gt;=115%,115%,AX1247) + IF(AY1247&gt;=115%,115%,AY1247) + (IF(AZ1247&gt;=115%,115%,AZ1247) + IF(BA1247&gt;=115%,115%,BA1247) + IF(BB1247&gt;=115%,115%,BB1247) + IF(BC1247&gt;=115%,115%,BC1247) + IF(BD1247&gt;=115%,115%,BD1247) + IF(BE1247&gt;=115%,115%,BE1247) + IF(BF1247&gt;=115%,115%,BF1247) + IF(BG1247&gt;=115%,115%,BG1247) + IF(BH1247&gt;=115%,115%,BH1247)))/_xlfn.XLOOKUP(F1247,Apuração!A:A,Apuração!B:B)&gt;=1.15,1.15,((IF(AZ1247&gt;=115%,115%,AZ1247) + IF(AX1247&gt;=115%,115%,AX1247) + IF(AY1247&gt;=115%,115%,AY1247) + (IF(AW1247&gt;=115%,115%,AW1247) + IF(BA1247&gt;=115%,115%,BA1247) + IF(BB1247&gt;=115%,115%,BB1247) + IF(BC1247&gt;=115%,115%,BC1247) + IF(BD1247&gt;=115%,115%,BD1247) + IF(BE1247&gt;=115%,115%,BE1247) + IF(BF1247&gt;=115%,115%,BF1247) + IF(BG1247&gt;=115%,115%,BG1247) + IF(BH1247&gt;=115%,115%,BH1247)))/_xlfn.XLOOKUP(F1247,Apuração!A:A,Apuração!B:B)))</f>
        <v>0</v>
      </c>
      <c r="BL1247" s="58" cm="1">
        <f t="array" aca="1" ref="BL1247" ca="1">IF(SUM(IFERROR(IF(INDEX(AW1247:INDEX(AW1247:BH1247, MATCH(2, 1/(AW1247:BH1247&lt;&gt;""), 1)-1), ROW(INDIRECT("1:" &amp; MATCH(2, 1/(AW1247:BH1247&lt;&gt;""), 1)-1))) &gt;= 115%, 115%, INDEX(AW1247:INDEX(AW1247:BH1247, MATCH(2, 1/(AW1247:BH1247&lt;&gt;""), 1)-1), ROW(INDIRECT("1:" &amp; MATCH(2, 1/(AW1247:BH1247&lt;&gt;""), 1)-1)))), 0))/_xlfn.XLOOKUP(F1247,Apuração!A:A,Apuração!B:B)&gt;=1.15,1.15,SUM(IFERROR(IF(INDEX(AW1247:INDEX(AW1247:BH1247, MATCH(2, 1/(AW1247:BH1247&lt;&gt;""), 1)-1), ROW(INDIRECT("1:" &amp; MATCH(2, 1/(AW1247:BH1247&lt;&gt;""), 1)-1))) &gt;= 115%, 115%, INDEX(AW1247:INDEX(AW1247:BH1247, MATCH(2, 1/(AW1247:BH1247&lt;&gt;""), 1)-1), ROW(INDIRECT("1:" &amp; MATCH(2, 1/(AW1247:BH1247&lt;&gt;""), 1)-1)))), 0))/_xlfn.XLOOKUP(F1247,Apuração!A:A,Apuração!B:B))</f>
        <v>0</v>
      </c>
      <c r="BM1247" s="55"/>
      <c r="BN1247" s="55"/>
      <c r="BO1247" s="53">
        <f ca="1">IFERROR(_xlfn.XLOOKUP(F1247,Apuração!A:A,Apuração!C:C)/_xlfn.XLOOKUP(F1247,Apuração!A:A,Apuração!B:B),0)</f>
        <v>0</v>
      </c>
      <c r="BP1247" s="53">
        <f ca="1">IFERROR(_xlfn.XLOOKUP(F1247,Apuração!A:A,Apuração!D:D)/_xlfn.XLOOKUP(F1247,Apuração!A:A,Apuração!B:B),0)</f>
        <v>0</v>
      </c>
      <c r="BQ1247" s="53">
        <f ca="1">IF(BK1247&gt;=BO1247,0,_xlfn.XLOOKUP(F1247,Apuração!A:A,Apuração!B:B)*(BO1247 + (1/_xlfn.XLOOKUP(F1247,Apuração!A:A,Apuração!B:B)) - BK1247))</f>
        <v>0</v>
      </c>
      <c r="BR1247" s="85">
        <f t="shared" ca="1" si="1470"/>
        <v>0</v>
      </c>
      <c r="BS1247" s="53">
        <f ca="1">IFERROR((_xlfn.XLOOKUP(F1247,Apuração!A:A,Apuração!C:C)+1)/_xlfn.XLOOKUP(F1247,Apuração!A:A,Apuração!B:B),0)</f>
        <v>0.14285714285714285</v>
      </c>
    </row>
    <row r="1248" spans="1:71" ht="25.95" hidden="1" customHeight="1" x14ac:dyDescent="0.3">
      <c r="A1248" s="41" t="s">
        <v>108</v>
      </c>
      <c r="B1248" s="4" t="s">
        <v>123</v>
      </c>
      <c r="C1248" s="5" t="s">
        <v>209</v>
      </c>
      <c r="D1248" s="5" t="s">
        <v>212</v>
      </c>
      <c r="E1248" s="4" t="s">
        <v>61</v>
      </c>
      <c r="F1248" s="4" t="str" cm="1">
        <f t="array" ref="F1248">_xlfn.IFS(
AG1248 &lt;&gt; "", "Jan-Dez/26",
AH1248 &lt;&gt; "", "Fev-Dez/26",
AI1248 &lt;&gt; "", "Mar-Dez/26", AJ1248 &lt;&gt; "", "Abr-Dez/26",
TRUE, "A partir de Junho"
)</f>
        <v>A partir de Junho</v>
      </c>
      <c r="G1248" s="4" t="s">
        <v>62</v>
      </c>
      <c r="H1248" s="7" t="s">
        <v>38</v>
      </c>
      <c r="I1248" s="28" t="s">
        <v>124</v>
      </c>
      <c r="J1248" s="8" t="str" cm="1">
        <f t="array" aca="1" ref="J1248" ca="1">_xlfn.LET(
  _xlpm.actual_value_month, INDEX(T1248:AE1248, MATCH(DATE(YEAR(TODAY()), MONTH(TODAY()), 1), $T$1:$AE$1, 0)),
  IF(_xlpm.actual_value_month &lt;&gt; "",_xlpm.actual_value_month &amp; " ações mensais", "")
)</f>
        <v/>
      </c>
      <c r="K1248" s="8" t="str" cm="1">
        <f t="array" ref="K1248">_xlfn.LET(
    _xlpm.sum_month, SUM(T1248:AE1248),
    IF(_xlpm.sum_month = 0, "", _xlpm.sum_month &amp; " atividades no ano")
)</f>
        <v/>
      </c>
      <c r="L1248" s="4" t="s">
        <v>125</v>
      </c>
      <c r="M1248" s="19"/>
      <c r="N1248" s="5" t="s">
        <v>42</v>
      </c>
      <c r="O1248" s="5"/>
      <c r="P1248" s="10"/>
      <c r="Q1248" s="10"/>
      <c r="R1248" s="11"/>
      <c r="S1248" s="11"/>
      <c r="T1248" s="22"/>
      <c r="U1248" s="22"/>
      <c r="V1248" s="22"/>
      <c r="W1248" s="22"/>
      <c r="X1248" s="22"/>
      <c r="Y1248" s="22"/>
      <c r="Z1248" s="22"/>
      <c r="AA1248" s="22"/>
      <c r="AB1248" s="22"/>
      <c r="AC1248" s="22"/>
      <c r="AD1248" s="22"/>
      <c r="AE1248" s="22"/>
      <c r="AF1248" s="81"/>
      <c r="AG1248" s="71"/>
      <c r="AH1248" s="71"/>
      <c r="AI1248" s="71"/>
      <c r="AJ1248" s="71"/>
      <c r="AK1248" s="71"/>
      <c r="AL1248" s="71"/>
      <c r="AM1248" s="71"/>
      <c r="AN1248" s="71"/>
      <c r="AO1248" s="71"/>
      <c r="AP1248" s="71"/>
      <c r="AQ1248" s="71"/>
      <c r="AR1248" s="71"/>
      <c r="AS1248" s="94"/>
      <c r="AT1248" s="95"/>
      <c r="AU1248" s="97"/>
      <c r="AV1248" s="81"/>
      <c r="AW1248" s="51">
        <f t="shared" si="1466"/>
        <v>0</v>
      </c>
      <c r="AX1248" s="51">
        <f t="shared" si="1467"/>
        <v>0</v>
      </c>
      <c r="AY1248" s="51">
        <f t="shared" si="1468"/>
        <v>0</v>
      </c>
      <c r="AZ1248" s="51">
        <f t="shared" si="1469"/>
        <v>0</v>
      </c>
      <c r="BA1248" s="51"/>
      <c r="BB1248" s="51"/>
      <c r="BC1248" s="51"/>
      <c r="BD1248" s="51"/>
      <c r="BE1248" s="51"/>
      <c r="BF1248" s="51"/>
      <c r="BG1248" s="51"/>
      <c r="BH1248" s="51"/>
      <c r="BI1248" s="65"/>
      <c r="BJ1248" s="68"/>
      <c r="BK1248" s="58">
        <f>IF((IF(AW1248&gt;=115%,115%,AW1248) + IF(AX1248&gt;=115%,115%,AX1248) + IF(AY1248&gt;=115%,115%,AY1248) + (IF(AZ1248&gt;=115%,115%,AZ1248) + IF(BA1248&gt;=115%,115%,BA1248) + IF(BB1248&gt;=115%,115%,BB1248) + IF(BC1248&gt;=115%,115%,BC1248) + IF(BD1248&gt;=115%,115%,BD1248) + IF(BE1248&gt;=115%,115%,BE1248) + IF(BF1248&gt;=115%,115%,BF1248) + IF(BG1248&gt;=115%,115%,BG1248) + IF(BH1248&gt;=115%,115%,BH1248)))/_xlfn.XLOOKUP(F1248,Apuração!A:A,Apuração!B:B)&gt;=1.15,1.15,((IF(AZ1248&gt;=115%,115%,AZ1248) + IF(AX1248&gt;=115%,115%,AX1248) + IF(AY1248&gt;=115%,115%,AY1248) + (IF(AW1248&gt;=115%,115%,AW1248) + IF(BA1248&gt;=115%,115%,BA1248) + IF(BB1248&gt;=115%,115%,BB1248) + IF(BC1248&gt;=115%,115%,BC1248) + IF(BD1248&gt;=115%,115%,BD1248) + IF(BE1248&gt;=115%,115%,BE1248) + IF(BF1248&gt;=115%,115%,BF1248) + IF(BG1248&gt;=115%,115%,BG1248) + IF(BH1248&gt;=115%,115%,BH1248)))/_xlfn.XLOOKUP(F1248,Apuração!A:A,Apuração!B:B)))</f>
        <v>0</v>
      </c>
      <c r="BL1248" s="58" cm="1">
        <f t="array" aca="1" ref="BL1248" ca="1">IF(SUM(IFERROR(IF(INDEX(AW1248:INDEX(AW1248:BH1248, MATCH(2, 1/(AW1248:BH1248&lt;&gt;""), 1)-1), ROW(INDIRECT("1:" &amp; MATCH(2, 1/(AW1248:BH1248&lt;&gt;""), 1)-1))) &gt;= 115%, 115%, INDEX(AW1248:INDEX(AW1248:BH1248, MATCH(2, 1/(AW1248:BH1248&lt;&gt;""), 1)-1), ROW(INDIRECT("1:" &amp; MATCH(2, 1/(AW1248:BH1248&lt;&gt;""), 1)-1)))), 0))/_xlfn.XLOOKUP(F1248,Apuração!A:A,Apuração!B:B)&gt;=1.15,1.15,SUM(IFERROR(IF(INDEX(AW1248:INDEX(AW1248:BH1248, MATCH(2, 1/(AW1248:BH1248&lt;&gt;""), 1)-1), ROW(INDIRECT("1:" &amp; MATCH(2, 1/(AW1248:BH1248&lt;&gt;""), 1)-1))) &gt;= 115%, 115%, INDEX(AW1248:INDEX(AW1248:BH1248, MATCH(2, 1/(AW1248:BH1248&lt;&gt;""), 1)-1), ROW(INDIRECT("1:" &amp; MATCH(2, 1/(AW1248:BH1248&lt;&gt;""), 1)-1)))), 0))/_xlfn.XLOOKUP(F1248,Apuração!A:A,Apuração!B:B))</f>
        <v>0</v>
      </c>
      <c r="BM1248" s="55"/>
      <c r="BN1248" s="55"/>
      <c r="BO1248" s="53">
        <f ca="1">IFERROR(_xlfn.XLOOKUP(F1248,Apuração!A:A,Apuração!C:C)/_xlfn.XLOOKUP(F1248,Apuração!A:A,Apuração!B:B),0)</f>
        <v>0</v>
      </c>
      <c r="BP1248" s="53">
        <f ca="1">IFERROR(_xlfn.XLOOKUP(F1248,Apuração!A:A,Apuração!D:D)/_xlfn.XLOOKUP(F1248,Apuração!A:A,Apuração!B:B),0)</f>
        <v>0</v>
      </c>
      <c r="BQ1248" s="53">
        <f ca="1">IF(BK1248&gt;=BO1248,0,_xlfn.XLOOKUP(F1248,Apuração!A:A,Apuração!B:B)*(BO1248 + (1/_xlfn.XLOOKUP(F1248,Apuração!A:A,Apuração!B:B)) - BK1248))</f>
        <v>0</v>
      </c>
      <c r="BR1248" s="85">
        <f t="shared" ca="1" si="1470"/>
        <v>0</v>
      </c>
      <c r="BS1248" s="53">
        <f ca="1">IFERROR((_xlfn.XLOOKUP(F1248,Apuração!A:A,Apuração!C:C)+1)/_xlfn.XLOOKUP(F1248,Apuração!A:A,Apuração!B:B),0)</f>
        <v>0.14285714285714285</v>
      </c>
    </row>
    <row r="1249" spans="1:71" ht="25.95" hidden="1" customHeight="1" x14ac:dyDescent="0.3">
      <c r="A1249" s="41" t="s">
        <v>108</v>
      </c>
      <c r="B1249" s="4" t="s">
        <v>123</v>
      </c>
      <c r="C1249" s="5" t="s">
        <v>209</v>
      </c>
      <c r="D1249" s="5" t="s">
        <v>213</v>
      </c>
      <c r="E1249" s="4" t="s">
        <v>61</v>
      </c>
      <c r="F1249" s="4" t="str" cm="1">
        <f t="array" ref="F1249">_xlfn.IFS(
AG1249 &lt;&gt; "", "Jan-Dez/26",
AH1249 &lt;&gt; "", "Fev-Dez/26",
AI1249 &lt;&gt; "", "Mar-Dez/26", AJ1249 &lt;&gt; "", "Abr-Dez/26",
TRUE, "A partir de Junho"
)</f>
        <v>A partir de Junho</v>
      </c>
      <c r="G1249" s="4" t="s">
        <v>62</v>
      </c>
      <c r="H1249" s="7" t="s">
        <v>38</v>
      </c>
      <c r="I1249" s="28" t="s">
        <v>124</v>
      </c>
      <c r="J1249" s="8" t="str" cm="1">
        <f t="array" aca="1" ref="J1249" ca="1">_xlfn.LET(
  _xlpm.actual_value_month, INDEX(T1249:AE1249, MATCH(DATE(YEAR(TODAY()), MONTH(TODAY()), 1), $T$1:$AE$1, 0)),
  IF(_xlpm.actual_value_month &lt;&gt; "",_xlpm.actual_value_month &amp; " ações mensais", "")
)</f>
        <v/>
      </c>
      <c r="K1249" s="8" t="str" cm="1">
        <f t="array" ref="K1249">_xlfn.LET(
    _xlpm.sum_month, SUM(T1249:AE1249),
    IF(_xlpm.sum_month = 0, "", _xlpm.sum_month &amp; " atividades no ano")
)</f>
        <v/>
      </c>
      <c r="L1249" s="4" t="s">
        <v>125</v>
      </c>
      <c r="M1249" s="19"/>
      <c r="N1249" s="5" t="s">
        <v>42</v>
      </c>
      <c r="O1249" s="5"/>
      <c r="P1249" s="10"/>
      <c r="Q1249" s="10"/>
      <c r="R1249" s="11"/>
      <c r="S1249" s="11"/>
      <c r="T1249" s="22"/>
      <c r="U1249" s="22"/>
      <c r="V1249" s="22"/>
      <c r="W1249" s="22"/>
      <c r="X1249" s="22"/>
      <c r="Y1249" s="22"/>
      <c r="Z1249" s="22"/>
      <c r="AA1249" s="22"/>
      <c r="AB1249" s="22"/>
      <c r="AC1249" s="22"/>
      <c r="AD1249" s="22"/>
      <c r="AE1249" s="22"/>
      <c r="AF1249" s="81"/>
      <c r="AG1249" s="71"/>
      <c r="AH1249" s="71"/>
      <c r="AI1249" s="71"/>
      <c r="AJ1249" s="71"/>
      <c r="AK1249" s="71"/>
      <c r="AL1249" s="71"/>
      <c r="AM1249" s="71"/>
      <c r="AN1249" s="71"/>
      <c r="AO1249" s="71"/>
      <c r="AP1249" s="71"/>
      <c r="AQ1249" s="71"/>
      <c r="AR1249" s="71"/>
      <c r="AS1249" s="94"/>
      <c r="AT1249" s="95"/>
      <c r="AU1249" s="97"/>
      <c r="AV1249" s="81"/>
      <c r="AW1249" s="51">
        <f t="shared" si="1466"/>
        <v>0</v>
      </c>
      <c r="AX1249" s="51">
        <f t="shared" si="1467"/>
        <v>0</v>
      </c>
      <c r="AY1249" s="51">
        <f t="shared" si="1468"/>
        <v>0</v>
      </c>
      <c r="AZ1249" s="51">
        <f t="shared" si="1469"/>
        <v>0</v>
      </c>
      <c r="BA1249" s="51"/>
      <c r="BB1249" s="51"/>
      <c r="BC1249" s="51"/>
      <c r="BD1249" s="51"/>
      <c r="BE1249" s="51"/>
      <c r="BF1249" s="51"/>
      <c r="BG1249" s="51"/>
      <c r="BH1249" s="51"/>
      <c r="BI1249" s="65"/>
      <c r="BJ1249" s="68"/>
      <c r="BK1249" s="58">
        <f>IF((IF(AW1249&gt;=115%,115%,AW1249) + IF(AX1249&gt;=115%,115%,AX1249) + IF(AY1249&gt;=115%,115%,AY1249) + (IF(AZ1249&gt;=115%,115%,AZ1249) + IF(BA1249&gt;=115%,115%,BA1249) + IF(BB1249&gt;=115%,115%,BB1249) + IF(BC1249&gt;=115%,115%,BC1249) + IF(BD1249&gt;=115%,115%,BD1249) + IF(BE1249&gt;=115%,115%,BE1249) + IF(BF1249&gt;=115%,115%,BF1249) + IF(BG1249&gt;=115%,115%,BG1249) + IF(BH1249&gt;=115%,115%,BH1249)))/_xlfn.XLOOKUP(F1249,Apuração!A:A,Apuração!B:B)&gt;=1.15,1.15,((IF(AZ1249&gt;=115%,115%,AZ1249) + IF(AX1249&gt;=115%,115%,AX1249) + IF(AY1249&gt;=115%,115%,AY1249) + (IF(AW1249&gt;=115%,115%,AW1249) + IF(BA1249&gt;=115%,115%,BA1249) + IF(BB1249&gt;=115%,115%,BB1249) + IF(BC1249&gt;=115%,115%,BC1249) + IF(BD1249&gt;=115%,115%,BD1249) + IF(BE1249&gt;=115%,115%,BE1249) + IF(BF1249&gt;=115%,115%,BF1249) + IF(BG1249&gt;=115%,115%,BG1249) + IF(BH1249&gt;=115%,115%,BH1249)))/_xlfn.XLOOKUP(F1249,Apuração!A:A,Apuração!B:B)))</f>
        <v>0</v>
      </c>
      <c r="BL1249" s="58" cm="1">
        <f t="array" aca="1" ref="BL1249" ca="1">IF(SUM(IFERROR(IF(INDEX(AW1249:INDEX(AW1249:BH1249, MATCH(2, 1/(AW1249:BH1249&lt;&gt;""), 1)-1), ROW(INDIRECT("1:" &amp; MATCH(2, 1/(AW1249:BH1249&lt;&gt;""), 1)-1))) &gt;= 115%, 115%, INDEX(AW1249:INDEX(AW1249:BH1249, MATCH(2, 1/(AW1249:BH1249&lt;&gt;""), 1)-1), ROW(INDIRECT("1:" &amp; MATCH(2, 1/(AW1249:BH1249&lt;&gt;""), 1)-1)))), 0))/_xlfn.XLOOKUP(F1249,Apuração!A:A,Apuração!B:B)&gt;=1.15,1.15,SUM(IFERROR(IF(INDEX(AW1249:INDEX(AW1249:BH1249, MATCH(2, 1/(AW1249:BH1249&lt;&gt;""), 1)-1), ROW(INDIRECT("1:" &amp; MATCH(2, 1/(AW1249:BH1249&lt;&gt;""), 1)-1))) &gt;= 115%, 115%, INDEX(AW1249:INDEX(AW1249:BH1249, MATCH(2, 1/(AW1249:BH1249&lt;&gt;""), 1)-1), ROW(INDIRECT("1:" &amp; MATCH(2, 1/(AW1249:BH1249&lt;&gt;""), 1)-1)))), 0))/_xlfn.XLOOKUP(F1249,Apuração!A:A,Apuração!B:B))</f>
        <v>0</v>
      </c>
      <c r="BM1249" s="55"/>
      <c r="BN1249" s="55"/>
      <c r="BO1249" s="53">
        <f ca="1">IFERROR(_xlfn.XLOOKUP(F1249,Apuração!A:A,Apuração!C:C)/_xlfn.XLOOKUP(F1249,Apuração!A:A,Apuração!B:B),0)</f>
        <v>0</v>
      </c>
      <c r="BP1249" s="53">
        <f ca="1">IFERROR(_xlfn.XLOOKUP(F1249,Apuração!A:A,Apuração!D:D)/_xlfn.XLOOKUP(F1249,Apuração!A:A,Apuração!B:B),0)</f>
        <v>0</v>
      </c>
      <c r="BQ1249" s="53">
        <f ca="1">IF(BK1249&gt;=BO1249,0,_xlfn.XLOOKUP(F1249,Apuração!A:A,Apuração!B:B)*(BO1249 + (1/_xlfn.XLOOKUP(F1249,Apuração!A:A,Apuração!B:B)) - BK1249))</f>
        <v>0</v>
      </c>
      <c r="BR1249" s="85">
        <f t="shared" ca="1" si="1470"/>
        <v>0</v>
      </c>
      <c r="BS1249" s="53">
        <f ca="1">IFERROR((_xlfn.XLOOKUP(F1249,Apuração!A:A,Apuração!C:C)+1)/_xlfn.XLOOKUP(F1249,Apuração!A:A,Apuração!B:B),0)</f>
        <v>0.14285714285714285</v>
      </c>
    </row>
    <row r="1250" spans="1:71" ht="25.95" hidden="1" customHeight="1" x14ac:dyDescent="0.3">
      <c r="A1250" s="70" t="s">
        <v>108</v>
      </c>
      <c r="B1250" s="4" t="s">
        <v>123</v>
      </c>
      <c r="C1250" s="5" t="s">
        <v>209</v>
      </c>
      <c r="D1250" s="5" t="s">
        <v>36</v>
      </c>
      <c r="E1250" s="4" t="s">
        <v>61</v>
      </c>
      <c r="F1250" s="4" t="str" cm="1">
        <f t="array" ref="F1250">_xlfn.IFS(
AG1250 &lt;&gt; "", "Jan-Dez/26",
AH1250 &lt;&gt; "", "Fev-Dez/26",
AI1250 &lt;&gt; "", "Mar-Dez/26", AJ1250 &lt;&gt; "", "Abr-Dez/26",
TRUE, "A partir de Junho"
)</f>
        <v>A partir de Junho</v>
      </c>
      <c r="G1250" s="4" t="s">
        <v>62</v>
      </c>
      <c r="H1250" s="7" t="s">
        <v>38</v>
      </c>
      <c r="I1250" s="4" t="s">
        <v>121</v>
      </c>
      <c r="J1250" s="8" t="str" cm="1">
        <f t="array" aca="1" ref="J1250" ca="1">_xlfn.LET(
  _xlpm.actual_value_month, INDEX(T1250:AE1250, MATCH(DATE(YEAR(TODAY()), MONTH(TODAY()), 1), $T$1:$AE$1, 0)),
  IF(_xlpm.actual_value_month &lt;&gt; "",_xlpm.actual_value_month &amp; " ações mensais", "")
)</f>
        <v/>
      </c>
      <c r="K1250" s="8" t="str" cm="1">
        <f t="array" ref="K1250">_xlfn.LET(
    _xlpm.sum_month, SUM(T1250:AE1250),
    IF(_xlpm.sum_month = 0, "", _xlpm.sum_month &amp; " empresas monitoradas no ano")
)</f>
        <v/>
      </c>
      <c r="L1250" s="4" t="s">
        <v>126</v>
      </c>
      <c r="M1250" s="19"/>
      <c r="N1250" s="5" t="s">
        <v>51</v>
      </c>
      <c r="O1250" s="5"/>
      <c r="P1250" s="10"/>
      <c r="Q1250" s="10"/>
      <c r="R1250" s="11"/>
      <c r="S1250" s="11"/>
      <c r="T1250" s="22"/>
      <c r="U1250" s="22"/>
      <c r="V1250" s="22"/>
      <c r="W1250" s="22"/>
      <c r="X1250" s="22"/>
      <c r="Y1250" s="22"/>
      <c r="Z1250" s="22"/>
      <c r="AA1250" s="22"/>
      <c r="AB1250" s="22"/>
      <c r="AC1250" s="22"/>
      <c r="AD1250" s="22"/>
      <c r="AE1250" s="22"/>
      <c r="AF1250" s="81"/>
      <c r="AG1250" s="71"/>
      <c r="AH1250" s="71"/>
      <c r="AI1250" s="71"/>
      <c r="AJ1250" s="71"/>
      <c r="AK1250" s="71"/>
      <c r="AL1250" s="71"/>
      <c r="AM1250" s="71"/>
      <c r="AN1250" s="71"/>
      <c r="AO1250" s="71"/>
      <c r="AP1250" s="71"/>
      <c r="AQ1250" s="71"/>
      <c r="AR1250" s="71"/>
      <c r="AS1250" s="94"/>
      <c r="AT1250" s="95"/>
      <c r="AU1250" s="97"/>
      <c r="AV1250" s="81"/>
      <c r="AW1250" s="83">
        <f>AG1250</f>
        <v>0</v>
      </c>
      <c r="AX1250" s="83">
        <f>AH1250</f>
        <v>0</v>
      </c>
      <c r="AY1250" s="83">
        <f>AI1250</f>
        <v>0</v>
      </c>
      <c r="AZ1250" s="83">
        <f>AJ1250</f>
        <v>0</v>
      </c>
      <c r="BA1250" s="52"/>
      <c r="BB1250" s="52"/>
      <c r="BC1250" s="52"/>
      <c r="BD1250" s="52"/>
      <c r="BE1250" s="52"/>
      <c r="BF1250" s="52"/>
      <c r="BG1250" s="52"/>
      <c r="BH1250" s="52"/>
      <c r="BI1250" s="65"/>
      <c r="BJ1250" s="68"/>
      <c r="BK1250" s="59">
        <f>SUM(AW1250:BH1250)</f>
        <v>0</v>
      </c>
      <c r="BL1250" s="59" cm="1">
        <f t="array" ref="BL1250">IFERROR(SUM(AW1250:INDEX(AW1250:BH1250, MATCH(2, 1/(AW1250:BH1250&lt;&gt;""), 1) - 1))/_xlfn.XLOOKUP(F1250,Apuração!A:A,Apuração!B:B),0)</f>
        <v>0</v>
      </c>
      <c r="BM1250" s="55"/>
      <c r="BN1250" s="55"/>
      <c r="BO1250" s="53">
        <f ca="1">IFERROR(_xlfn.XLOOKUP(F1250,Apuração!A:A,Apuração!C:C)/_xlfn.XLOOKUP(F1250,Apuração!A:A,Apuração!B:B),0)</f>
        <v>0</v>
      </c>
      <c r="BP1250" s="53">
        <f ca="1">IFERROR(_xlfn.XLOOKUP(F1250,Apuração!A:A,Apuração!D:D)/_xlfn.XLOOKUP(F1250,Apuração!A:A,Apuração!B:B),0)</f>
        <v>0</v>
      </c>
      <c r="BQ1250" s="53">
        <f ca="1">IF(BK1250&gt;=BO1250,0,_xlfn.XLOOKUP(F1250,Apuração!A:A,Apuração!B:B)*(BO1250 + (1/_xlfn.XLOOKUP(F1250,Apuração!A:A,Apuração!B:B)) - BK1250))</f>
        <v>0</v>
      </c>
      <c r="BR1250" s="85">
        <f ca="1">IF(BQ1250=0,0,BQ1250*Z1250)</f>
        <v>0</v>
      </c>
      <c r="BS1250" s="53">
        <f ca="1">IFERROR((_xlfn.XLOOKUP(F1250,Apuração!A:A,Apuração!C:C)+1)/_xlfn.XLOOKUP(F1250,Apuração!A:A,Apuração!B:B),0)</f>
        <v>0.14285714285714285</v>
      </c>
    </row>
    <row r="1251" spans="1:71" ht="25.95" hidden="1" customHeight="1" x14ac:dyDescent="0.3">
      <c r="A1251" s="70" t="s">
        <v>108</v>
      </c>
      <c r="B1251" s="4" t="s">
        <v>123</v>
      </c>
      <c r="C1251" s="5" t="s">
        <v>209</v>
      </c>
      <c r="D1251" s="5" t="s">
        <v>210</v>
      </c>
      <c r="E1251" s="4" t="s">
        <v>61</v>
      </c>
      <c r="F1251" s="4" t="str" cm="1">
        <f t="array" ref="F1251">_xlfn.IFS(
AG1251 &lt;&gt; "", "Jan-Dez/26",
AH1251 &lt;&gt; "", "Fev-Dez/26",
AI1251 &lt;&gt; "", "Mar-Dez/26", AJ1251 &lt;&gt; "", "Abr-Dez/26",
TRUE, "A partir de Junho"
)</f>
        <v>A partir de Junho</v>
      </c>
      <c r="G1251" s="4" t="s">
        <v>62</v>
      </c>
      <c r="H1251" s="7" t="s">
        <v>38</v>
      </c>
      <c r="I1251" s="4" t="s">
        <v>121</v>
      </c>
      <c r="J1251" s="8" t="str" cm="1">
        <f t="array" aca="1" ref="J1251" ca="1">_xlfn.LET(
  _xlpm.actual_value_month, INDEX(T1251:AE1251, MATCH(DATE(YEAR(TODAY()), MONTH(TODAY()), 1), $T$1:$AE$1, 0)),
  IF(_xlpm.actual_value_month &lt;&gt; "",_xlpm.actual_value_month &amp; " ações mensais", "")
)</f>
        <v/>
      </c>
      <c r="K1251" s="8" t="str" cm="1">
        <f t="array" ref="K1251">_xlfn.LET(
    _xlpm.sum_month, SUM(T1251:AE1251),
    IF(_xlpm.sum_month = 0, "", _xlpm.sum_month &amp; " empresas monitoradas no ano")
)</f>
        <v/>
      </c>
      <c r="L1251" s="4" t="s">
        <v>126</v>
      </c>
      <c r="M1251" s="19"/>
      <c r="N1251" s="5" t="s">
        <v>51</v>
      </c>
      <c r="O1251" s="5"/>
      <c r="P1251" s="10"/>
      <c r="Q1251" s="10"/>
      <c r="R1251" s="11"/>
      <c r="S1251" s="11"/>
      <c r="T1251" s="22"/>
      <c r="U1251" s="22"/>
      <c r="V1251" s="22"/>
      <c r="W1251" s="22"/>
      <c r="X1251" s="22"/>
      <c r="Y1251" s="22"/>
      <c r="Z1251" s="22"/>
      <c r="AA1251" s="22"/>
      <c r="AB1251" s="22"/>
      <c r="AC1251" s="22"/>
      <c r="AD1251" s="22"/>
      <c r="AE1251" s="22"/>
      <c r="AF1251" s="81"/>
      <c r="AG1251" s="71"/>
      <c r="AH1251" s="71"/>
      <c r="AI1251" s="71"/>
      <c r="AJ1251" s="71"/>
      <c r="AK1251" s="71"/>
      <c r="AL1251" s="71"/>
      <c r="AM1251" s="71"/>
      <c r="AN1251" s="71"/>
      <c r="AO1251" s="71"/>
      <c r="AP1251" s="71"/>
      <c r="AQ1251" s="71"/>
      <c r="AR1251" s="71"/>
      <c r="AS1251" s="94"/>
      <c r="AT1251" s="95"/>
      <c r="AU1251" s="97"/>
      <c r="AV1251" s="81"/>
      <c r="AW1251" s="83">
        <f t="shared" ref="AW1251:AW1255" si="1471">AG1251</f>
        <v>0</v>
      </c>
      <c r="AX1251" s="83">
        <f t="shared" ref="AX1251:AX1255" si="1472">AH1251</f>
        <v>0</v>
      </c>
      <c r="AY1251" s="83">
        <f t="shared" ref="AY1251:AY1255" si="1473">AI1251</f>
        <v>0</v>
      </c>
      <c r="AZ1251" s="83">
        <f t="shared" ref="AZ1251:AZ1255" si="1474">AJ1251</f>
        <v>0</v>
      </c>
      <c r="BA1251" s="52"/>
      <c r="BB1251" s="52"/>
      <c r="BC1251" s="52"/>
      <c r="BD1251" s="52"/>
      <c r="BE1251" s="52"/>
      <c r="BF1251" s="52"/>
      <c r="BG1251" s="52"/>
      <c r="BH1251" s="52"/>
      <c r="BI1251" s="65"/>
      <c r="BJ1251" s="68"/>
      <c r="BK1251" s="59">
        <f t="shared" ref="BK1251:BK1255" si="1475">SUM(AW1251:BH1251)</f>
        <v>0</v>
      </c>
      <c r="BL1251" s="59" cm="1">
        <f t="array" ref="BL1251">IFERROR(SUM(AW1251:INDEX(AW1251:BH1251, MATCH(2, 1/(AW1251:BH1251&lt;&gt;""), 1) - 1))/_xlfn.XLOOKUP(F1251,Apuração!A:A,Apuração!B:B),0)</f>
        <v>0</v>
      </c>
      <c r="BM1251" s="55"/>
      <c r="BN1251" s="55"/>
      <c r="BO1251" s="53">
        <f ca="1">IFERROR(_xlfn.XLOOKUP(F1251,Apuração!A:A,Apuração!C:C)/_xlfn.XLOOKUP(F1251,Apuração!A:A,Apuração!B:B),0)</f>
        <v>0</v>
      </c>
      <c r="BP1251" s="53">
        <f ca="1">IFERROR(_xlfn.XLOOKUP(F1251,Apuração!A:A,Apuração!D:D)/_xlfn.XLOOKUP(F1251,Apuração!A:A,Apuração!B:B),0)</f>
        <v>0</v>
      </c>
      <c r="BQ1251" s="53">
        <f ca="1">IF(BK1251&gt;=BO1251,0,_xlfn.XLOOKUP(F1251,Apuração!A:A,Apuração!B:B)*(BO1251 + (1/_xlfn.XLOOKUP(F1251,Apuração!A:A,Apuração!B:B)) - BK1251))</f>
        <v>0</v>
      </c>
      <c r="BR1251" s="85">
        <f t="shared" ref="BR1251:BR1255" ca="1" si="1476">IF(BQ1251=0,0,BQ1251*Z1251)</f>
        <v>0</v>
      </c>
      <c r="BS1251" s="53">
        <f ca="1">IFERROR((_xlfn.XLOOKUP(F1251,Apuração!A:A,Apuração!C:C)+1)/_xlfn.XLOOKUP(F1251,Apuração!A:A,Apuração!B:B),0)</f>
        <v>0.14285714285714285</v>
      </c>
    </row>
    <row r="1252" spans="1:71" ht="25.95" hidden="1" customHeight="1" x14ac:dyDescent="0.3">
      <c r="A1252" s="70" t="s">
        <v>108</v>
      </c>
      <c r="B1252" s="4" t="s">
        <v>123</v>
      </c>
      <c r="C1252" s="5" t="s">
        <v>209</v>
      </c>
      <c r="D1252" s="5" t="s">
        <v>47</v>
      </c>
      <c r="E1252" s="4" t="s">
        <v>61</v>
      </c>
      <c r="F1252" s="4" t="str" cm="1">
        <f t="array" ref="F1252">_xlfn.IFS(
AG1252 &lt;&gt; "", "Jan-Dez/26",
AH1252 &lt;&gt; "", "Fev-Dez/26",
AI1252 &lt;&gt; "", "Mar-Dez/26", AJ1252 &lt;&gt; "", "Abr-Dez/26",
TRUE, "A partir de Junho"
)</f>
        <v>A partir de Junho</v>
      </c>
      <c r="G1252" s="4" t="s">
        <v>62</v>
      </c>
      <c r="H1252" s="7" t="s">
        <v>38</v>
      </c>
      <c r="I1252" s="4" t="s">
        <v>121</v>
      </c>
      <c r="J1252" s="8" t="str" cm="1">
        <f t="array" aca="1" ref="J1252" ca="1">_xlfn.LET(
  _xlpm.actual_value_month, INDEX(T1252:AE1252, MATCH(DATE(YEAR(TODAY()), MONTH(TODAY()), 1), $T$1:$AE$1, 0)),
  IF(_xlpm.actual_value_month &lt;&gt; "",_xlpm.actual_value_month &amp; " ações mensais", "")
)</f>
        <v/>
      </c>
      <c r="K1252" s="8" t="str" cm="1">
        <f t="array" ref="K1252">_xlfn.LET(
    _xlpm.sum_month, SUM(T1252:AE1252),
    IF(_xlpm.sum_month = 0, "", _xlpm.sum_month &amp; " empresas monitoradas no ano")
)</f>
        <v/>
      </c>
      <c r="L1252" s="4" t="s">
        <v>126</v>
      </c>
      <c r="M1252" s="19"/>
      <c r="N1252" s="5" t="s">
        <v>51</v>
      </c>
      <c r="O1252" s="5"/>
      <c r="P1252" s="10"/>
      <c r="Q1252" s="10"/>
      <c r="R1252" s="11"/>
      <c r="S1252" s="11"/>
      <c r="T1252" s="22"/>
      <c r="U1252" s="22"/>
      <c r="V1252" s="22"/>
      <c r="W1252" s="22"/>
      <c r="X1252" s="22"/>
      <c r="Y1252" s="22"/>
      <c r="Z1252" s="22"/>
      <c r="AA1252" s="22"/>
      <c r="AB1252" s="22"/>
      <c r="AC1252" s="22"/>
      <c r="AD1252" s="22"/>
      <c r="AE1252" s="22"/>
      <c r="AF1252" s="81"/>
      <c r="AG1252" s="71"/>
      <c r="AH1252" s="71"/>
      <c r="AI1252" s="71"/>
      <c r="AJ1252" s="71"/>
      <c r="AK1252" s="71"/>
      <c r="AL1252" s="71"/>
      <c r="AM1252" s="71"/>
      <c r="AN1252" s="71"/>
      <c r="AO1252" s="71"/>
      <c r="AP1252" s="71"/>
      <c r="AQ1252" s="71"/>
      <c r="AR1252" s="71"/>
      <c r="AS1252" s="94"/>
      <c r="AT1252" s="95"/>
      <c r="AU1252" s="97"/>
      <c r="AV1252" s="81"/>
      <c r="AW1252" s="83">
        <f t="shared" si="1471"/>
        <v>0</v>
      </c>
      <c r="AX1252" s="83">
        <f t="shared" si="1472"/>
        <v>0</v>
      </c>
      <c r="AY1252" s="83">
        <f t="shared" si="1473"/>
        <v>0</v>
      </c>
      <c r="AZ1252" s="83">
        <f t="shared" si="1474"/>
        <v>0</v>
      </c>
      <c r="BA1252" s="52"/>
      <c r="BB1252" s="52"/>
      <c r="BC1252" s="52"/>
      <c r="BD1252" s="52"/>
      <c r="BE1252" s="52"/>
      <c r="BF1252" s="52"/>
      <c r="BG1252" s="52"/>
      <c r="BH1252" s="52"/>
      <c r="BI1252" s="65"/>
      <c r="BJ1252" s="68"/>
      <c r="BK1252" s="59">
        <f t="shared" si="1475"/>
        <v>0</v>
      </c>
      <c r="BL1252" s="59" cm="1">
        <f t="array" ref="BL1252">IFERROR(SUM(AW1252:INDEX(AW1252:BH1252, MATCH(2, 1/(AW1252:BH1252&lt;&gt;""), 1) - 1))/_xlfn.XLOOKUP(F1252,Apuração!A:A,Apuração!B:B),0)</f>
        <v>0</v>
      </c>
      <c r="BM1252" s="55"/>
      <c r="BN1252" s="55"/>
      <c r="BO1252" s="53">
        <f ca="1">IFERROR(_xlfn.XLOOKUP(F1252,Apuração!A:A,Apuração!C:C)/_xlfn.XLOOKUP(F1252,Apuração!A:A,Apuração!B:B),0)</f>
        <v>0</v>
      </c>
      <c r="BP1252" s="53">
        <f ca="1">IFERROR(_xlfn.XLOOKUP(F1252,Apuração!A:A,Apuração!D:D)/_xlfn.XLOOKUP(F1252,Apuração!A:A,Apuração!B:B),0)</f>
        <v>0</v>
      </c>
      <c r="BQ1252" s="53">
        <f ca="1">IF(BK1252&gt;=BO1252,0,_xlfn.XLOOKUP(F1252,Apuração!A:A,Apuração!B:B)*(BO1252 + (1/_xlfn.XLOOKUP(F1252,Apuração!A:A,Apuração!B:B)) - BK1252))</f>
        <v>0</v>
      </c>
      <c r="BR1252" s="85">
        <f t="shared" ca="1" si="1476"/>
        <v>0</v>
      </c>
      <c r="BS1252" s="53">
        <f ca="1">IFERROR((_xlfn.XLOOKUP(F1252,Apuração!A:A,Apuração!C:C)+1)/_xlfn.XLOOKUP(F1252,Apuração!A:A,Apuração!B:B),0)</f>
        <v>0.14285714285714285</v>
      </c>
    </row>
    <row r="1253" spans="1:71" ht="25.95" hidden="1" customHeight="1" x14ac:dyDescent="0.3">
      <c r="A1253" s="70" t="s">
        <v>108</v>
      </c>
      <c r="B1253" s="4" t="s">
        <v>123</v>
      </c>
      <c r="C1253" s="5" t="s">
        <v>209</v>
      </c>
      <c r="D1253" s="5" t="s">
        <v>211</v>
      </c>
      <c r="E1253" s="4" t="s">
        <v>61</v>
      </c>
      <c r="F1253" s="4" t="str" cm="1">
        <f t="array" ref="F1253">_xlfn.IFS(
AG1253 &lt;&gt; "", "Jan-Dez/26",
AH1253 &lt;&gt; "", "Fev-Dez/26",
AI1253 &lt;&gt; "", "Mar-Dez/26", AJ1253 &lt;&gt; "", "Abr-Dez/26",
TRUE, "A partir de Junho"
)</f>
        <v>A partir de Junho</v>
      </c>
      <c r="G1253" s="4" t="s">
        <v>62</v>
      </c>
      <c r="H1253" s="7" t="s">
        <v>38</v>
      </c>
      <c r="I1253" s="4" t="s">
        <v>121</v>
      </c>
      <c r="J1253" s="8" t="str" cm="1">
        <f t="array" aca="1" ref="J1253" ca="1">_xlfn.LET(
  _xlpm.actual_value_month, INDEX(T1253:AE1253, MATCH(DATE(YEAR(TODAY()), MONTH(TODAY()), 1), $T$1:$AE$1, 0)),
  IF(_xlpm.actual_value_month &lt;&gt; "",_xlpm.actual_value_month &amp; " ações mensais", "")
)</f>
        <v/>
      </c>
      <c r="K1253" s="8" t="str" cm="1">
        <f t="array" ref="K1253">_xlfn.LET(
    _xlpm.sum_month, SUM(T1253:AE1253),
    IF(_xlpm.sum_month = 0, "", _xlpm.sum_month &amp; " empresas monitoradas no ano")
)</f>
        <v/>
      </c>
      <c r="L1253" s="4" t="s">
        <v>126</v>
      </c>
      <c r="M1253" s="19"/>
      <c r="N1253" s="5" t="s">
        <v>51</v>
      </c>
      <c r="O1253" s="5"/>
      <c r="P1253" s="10"/>
      <c r="Q1253" s="10"/>
      <c r="R1253" s="11"/>
      <c r="S1253" s="11"/>
      <c r="T1253" s="22"/>
      <c r="U1253" s="22"/>
      <c r="V1253" s="22"/>
      <c r="W1253" s="22"/>
      <c r="X1253" s="22"/>
      <c r="Y1253" s="22"/>
      <c r="Z1253" s="22"/>
      <c r="AA1253" s="22"/>
      <c r="AB1253" s="22"/>
      <c r="AC1253" s="22"/>
      <c r="AD1253" s="22"/>
      <c r="AE1253" s="22"/>
      <c r="AF1253" s="81"/>
      <c r="AG1253" s="71"/>
      <c r="AH1253" s="71"/>
      <c r="AI1253" s="71"/>
      <c r="AJ1253" s="71"/>
      <c r="AK1253" s="71"/>
      <c r="AL1253" s="71"/>
      <c r="AM1253" s="71"/>
      <c r="AN1253" s="71"/>
      <c r="AO1253" s="71"/>
      <c r="AP1253" s="71"/>
      <c r="AQ1253" s="71"/>
      <c r="AR1253" s="71"/>
      <c r="AS1253" s="94"/>
      <c r="AT1253" s="95"/>
      <c r="AU1253" s="97"/>
      <c r="AV1253" s="81"/>
      <c r="AW1253" s="83">
        <f t="shared" si="1471"/>
        <v>0</v>
      </c>
      <c r="AX1253" s="83">
        <f t="shared" si="1472"/>
        <v>0</v>
      </c>
      <c r="AY1253" s="83">
        <f t="shared" si="1473"/>
        <v>0</v>
      </c>
      <c r="AZ1253" s="83">
        <f t="shared" si="1474"/>
        <v>0</v>
      </c>
      <c r="BA1253" s="52"/>
      <c r="BB1253" s="52"/>
      <c r="BC1253" s="52"/>
      <c r="BD1253" s="52"/>
      <c r="BE1253" s="52"/>
      <c r="BF1253" s="52"/>
      <c r="BG1253" s="52"/>
      <c r="BH1253" s="52"/>
      <c r="BI1253" s="65"/>
      <c r="BJ1253" s="68"/>
      <c r="BK1253" s="59">
        <f t="shared" si="1475"/>
        <v>0</v>
      </c>
      <c r="BL1253" s="59" cm="1">
        <f t="array" ref="BL1253">IFERROR(SUM(AW1253:INDEX(AW1253:BH1253, MATCH(2, 1/(AW1253:BH1253&lt;&gt;""), 1) - 1))/_xlfn.XLOOKUP(F1253,Apuração!A:A,Apuração!B:B),0)</f>
        <v>0</v>
      </c>
      <c r="BM1253" s="55"/>
      <c r="BN1253" s="55"/>
      <c r="BO1253" s="53">
        <f ca="1">IFERROR(_xlfn.XLOOKUP(F1253,Apuração!A:A,Apuração!C:C)/_xlfn.XLOOKUP(F1253,Apuração!A:A,Apuração!B:B),0)</f>
        <v>0</v>
      </c>
      <c r="BP1253" s="53">
        <f ca="1">IFERROR(_xlfn.XLOOKUP(F1253,Apuração!A:A,Apuração!D:D)/_xlfn.XLOOKUP(F1253,Apuração!A:A,Apuração!B:B),0)</f>
        <v>0</v>
      </c>
      <c r="BQ1253" s="53">
        <f ca="1">IF(BK1253&gt;=BO1253,0,_xlfn.XLOOKUP(F1253,Apuração!A:A,Apuração!B:B)*(BO1253 + (1/_xlfn.XLOOKUP(F1253,Apuração!A:A,Apuração!B:B)) - BK1253))</f>
        <v>0</v>
      </c>
      <c r="BR1253" s="85">
        <f t="shared" ca="1" si="1476"/>
        <v>0</v>
      </c>
      <c r="BS1253" s="53">
        <f ca="1">IFERROR((_xlfn.XLOOKUP(F1253,Apuração!A:A,Apuração!C:C)+1)/_xlfn.XLOOKUP(F1253,Apuração!A:A,Apuração!B:B),0)</f>
        <v>0.14285714285714285</v>
      </c>
    </row>
    <row r="1254" spans="1:71" ht="25.95" hidden="1" customHeight="1" x14ac:dyDescent="0.3">
      <c r="A1254" s="70" t="s">
        <v>108</v>
      </c>
      <c r="B1254" s="4" t="s">
        <v>123</v>
      </c>
      <c r="C1254" s="5" t="s">
        <v>209</v>
      </c>
      <c r="D1254" s="5" t="s">
        <v>212</v>
      </c>
      <c r="E1254" s="4" t="s">
        <v>61</v>
      </c>
      <c r="F1254" s="4" t="str" cm="1">
        <f t="array" ref="F1254">_xlfn.IFS(
AG1254 &lt;&gt; "", "Jan-Dez/26",
AH1254 &lt;&gt; "", "Fev-Dez/26",
AI1254 &lt;&gt; "", "Mar-Dez/26", AJ1254 &lt;&gt; "", "Abr-Dez/26",
TRUE, "A partir de Junho"
)</f>
        <v>A partir de Junho</v>
      </c>
      <c r="G1254" s="4" t="s">
        <v>62</v>
      </c>
      <c r="H1254" s="7" t="s">
        <v>38</v>
      </c>
      <c r="I1254" s="4" t="s">
        <v>121</v>
      </c>
      <c r="J1254" s="8" t="str" cm="1">
        <f t="array" aca="1" ref="J1254" ca="1">_xlfn.LET(
  _xlpm.actual_value_month, INDEX(T1254:AE1254, MATCH(DATE(YEAR(TODAY()), MONTH(TODAY()), 1), $T$1:$AE$1, 0)),
  IF(_xlpm.actual_value_month &lt;&gt; "",_xlpm.actual_value_month &amp; " ações mensais", "")
)</f>
        <v/>
      </c>
      <c r="K1254" s="8" t="str" cm="1">
        <f t="array" ref="K1254">_xlfn.LET(
    _xlpm.sum_month, SUM(T1254:AE1254),
    IF(_xlpm.sum_month = 0, "", _xlpm.sum_month &amp; " empresas monitoradas no ano")
)</f>
        <v/>
      </c>
      <c r="L1254" s="4" t="s">
        <v>126</v>
      </c>
      <c r="M1254" s="19"/>
      <c r="N1254" s="5" t="s">
        <v>51</v>
      </c>
      <c r="O1254" s="5"/>
      <c r="P1254" s="10"/>
      <c r="Q1254" s="10"/>
      <c r="R1254" s="11"/>
      <c r="S1254" s="11"/>
      <c r="T1254" s="22"/>
      <c r="U1254" s="22"/>
      <c r="V1254" s="22"/>
      <c r="W1254" s="22"/>
      <c r="X1254" s="22"/>
      <c r="Y1254" s="22"/>
      <c r="Z1254" s="22"/>
      <c r="AA1254" s="22"/>
      <c r="AB1254" s="22"/>
      <c r="AC1254" s="22"/>
      <c r="AD1254" s="22"/>
      <c r="AE1254" s="22"/>
      <c r="AF1254" s="81"/>
      <c r="AG1254" s="71"/>
      <c r="AH1254" s="71"/>
      <c r="AI1254" s="71"/>
      <c r="AJ1254" s="71"/>
      <c r="AK1254" s="71"/>
      <c r="AL1254" s="71"/>
      <c r="AM1254" s="71"/>
      <c r="AN1254" s="71"/>
      <c r="AO1254" s="71"/>
      <c r="AP1254" s="71"/>
      <c r="AQ1254" s="71"/>
      <c r="AR1254" s="71"/>
      <c r="AS1254" s="94"/>
      <c r="AT1254" s="95"/>
      <c r="AU1254" s="97"/>
      <c r="AV1254" s="81"/>
      <c r="AW1254" s="83">
        <f t="shared" si="1471"/>
        <v>0</v>
      </c>
      <c r="AX1254" s="83">
        <f t="shared" si="1472"/>
        <v>0</v>
      </c>
      <c r="AY1254" s="83">
        <f t="shared" si="1473"/>
        <v>0</v>
      </c>
      <c r="AZ1254" s="83">
        <f t="shared" si="1474"/>
        <v>0</v>
      </c>
      <c r="BA1254" s="52"/>
      <c r="BB1254" s="52"/>
      <c r="BC1254" s="52"/>
      <c r="BD1254" s="52"/>
      <c r="BE1254" s="52"/>
      <c r="BF1254" s="52"/>
      <c r="BG1254" s="52"/>
      <c r="BH1254" s="52"/>
      <c r="BI1254" s="65"/>
      <c r="BJ1254" s="68"/>
      <c r="BK1254" s="59">
        <f t="shared" si="1475"/>
        <v>0</v>
      </c>
      <c r="BL1254" s="59" cm="1">
        <f t="array" ref="BL1254">IFERROR(SUM(AW1254:INDEX(AW1254:BH1254, MATCH(2, 1/(AW1254:BH1254&lt;&gt;""), 1) - 1))/_xlfn.XLOOKUP(F1254,Apuração!A:A,Apuração!B:B),0)</f>
        <v>0</v>
      </c>
      <c r="BM1254" s="55"/>
      <c r="BN1254" s="55"/>
      <c r="BO1254" s="53">
        <f ca="1">IFERROR(_xlfn.XLOOKUP(F1254,Apuração!A:A,Apuração!C:C)/_xlfn.XLOOKUP(F1254,Apuração!A:A,Apuração!B:B),0)</f>
        <v>0</v>
      </c>
      <c r="BP1254" s="53">
        <f ca="1">IFERROR(_xlfn.XLOOKUP(F1254,Apuração!A:A,Apuração!D:D)/_xlfn.XLOOKUP(F1254,Apuração!A:A,Apuração!B:B),0)</f>
        <v>0</v>
      </c>
      <c r="BQ1254" s="53">
        <f ca="1">IF(BK1254&gt;=BO1254,0,_xlfn.XLOOKUP(F1254,Apuração!A:A,Apuração!B:B)*(BO1254 + (1/_xlfn.XLOOKUP(F1254,Apuração!A:A,Apuração!B:B)) - BK1254))</f>
        <v>0</v>
      </c>
      <c r="BR1254" s="85">
        <f t="shared" ca="1" si="1476"/>
        <v>0</v>
      </c>
      <c r="BS1254" s="53">
        <f ca="1">IFERROR((_xlfn.XLOOKUP(F1254,Apuração!A:A,Apuração!C:C)+1)/_xlfn.XLOOKUP(F1254,Apuração!A:A,Apuração!B:B),0)</f>
        <v>0.14285714285714285</v>
      </c>
    </row>
    <row r="1255" spans="1:71" ht="25.95" hidden="1" customHeight="1" x14ac:dyDescent="0.3">
      <c r="A1255" s="70" t="s">
        <v>108</v>
      </c>
      <c r="B1255" s="4" t="s">
        <v>123</v>
      </c>
      <c r="C1255" s="5" t="s">
        <v>209</v>
      </c>
      <c r="D1255" s="5" t="s">
        <v>213</v>
      </c>
      <c r="E1255" s="4" t="s">
        <v>61</v>
      </c>
      <c r="F1255" s="4" t="str" cm="1">
        <f t="array" ref="F1255">_xlfn.IFS(
AG1255 &lt;&gt; "", "Jan-Dez/26",
AH1255 &lt;&gt; "", "Fev-Dez/26",
AI1255 &lt;&gt; "", "Mar-Dez/26", AJ1255 &lt;&gt; "", "Abr-Dez/26",
TRUE, "A partir de Junho"
)</f>
        <v>A partir de Junho</v>
      </c>
      <c r="G1255" s="4" t="s">
        <v>62</v>
      </c>
      <c r="H1255" s="7" t="s">
        <v>38</v>
      </c>
      <c r="I1255" s="4" t="s">
        <v>121</v>
      </c>
      <c r="J1255" s="8" t="str" cm="1">
        <f t="array" aca="1" ref="J1255" ca="1">_xlfn.LET(
  _xlpm.actual_value_month, INDEX(T1255:AE1255, MATCH(DATE(YEAR(TODAY()), MONTH(TODAY()), 1), $T$1:$AE$1, 0)),
  IF(_xlpm.actual_value_month &lt;&gt; "",_xlpm.actual_value_month &amp; " ações mensais", "")
)</f>
        <v/>
      </c>
      <c r="K1255" s="8" t="str" cm="1">
        <f t="array" ref="K1255">_xlfn.LET(
    _xlpm.sum_month, SUM(T1255:AE1255),
    IF(_xlpm.sum_month = 0, "", _xlpm.sum_month &amp; " empresas monitoradas no ano")
)</f>
        <v/>
      </c>
      <c r="L1255" s="4" t="s">
        <v>126</v>
      </c>
      <c r="M1255" s="19"/>
      <c r="N1255" s="5" t="s">
        <v>51</v>
      </c>
      <c r="O1255" s="5"/>
      <c r="P1255" s="10"/>
      <c r="Q1255" s="10"/>
      <c r="R1255" s="11"/>
      <c r="S1255" s="11"/>
      <c r="T1255" s="22"/>
      <c r="U1255" s="22"/>
      <c r="V1255" s="22"/>
      <c r="W1255" s="22"/>
      <c r="X1255" s="22"/>
      <c r="Y1255" s="22"/>
      <c r="Z1255" s="22"/>
      <c r="AA1255" s="22"/>
      <c r="AB1255" s="22"/>
      <c r="AC1255" s="22"/>
      <c r="AD1255" s="22"/>
      <c r="AE1255" s="22"/>
      <c r="AF1255" s="81"/>
      <c r="AG1255" s="71"/>
      <c r="AH1255" s="71"/>
      <c r="AI1255" s="71"/>
      <c r="AJ1255" s="71"/>
      <c r="AK1255" s="71"/>
      <c r="AL1255" s="71"/>
      <c r="AM1255" s="71"/>
      <c r="AN1255" s="71"/>
      <c r="AO1255" s="71"/>
      <c r="AP1255" s="71"/>
      <c r="AQ1255" s="71"/>
      <c r="AR1255" s="71"/>
      <c r="AS1255" s="94"/>
      <c r="AT1255" s="95"/>
      <c r="AU1255" s="97"/>
      <c r="AV1255" s="81"/>
      <c r="AW1255" s="83">
        <f t="shared" si="1471"/>
        <v>0</v>
      </c>
      <c r="AX1255" s="83">
        <f t="shared" si="1472"/>
        <v>0</v>
      </c>
      <c r="AY1255" s="83">
        <f t="shared" si="1473"/>
        <v>0</v>
      </c>
      <c r="AZ1255" s="83">
        <f t="shared" si="1474"/>
        <v>0</v>
      </c>
      <c r="BA1255" s="52"/>
      <c r="BB1255" s="52"/>
      <c r="BC1255" s="52"/>
      <c r="BD1255" s="52"/>
      <c r="BE1255" s="52"/>
      <c r="BF1255" s="52"/>
      <c r="BG1255" s="52"/>
      <c r="BH1255" s="52"/>
      <c r="BI1255" s="65"/>
      <c r="BJ1255" s="68"/>
      <c r="BK1255" s="59">
        <f t="shared" si="1475"/>
        <v>0</v>
      </c>
      <c r="BL1255" s="59" cm="1">
        <f t="array" ref="BL1255">IFERROR(SUM(AW1255:INDEX(AW1255:BH1255, MATCH(2, 1/(AW1255:BH1255&lt;&gt;""), 1) - 1))/_xlfn.XLOOKUP(F1255,Apuração!A:A,Apuração!B:B),0)</f>
        <v>0</v>
      </c>
      <c r="BM1255" s="55"/>
      <c r="BN1255" s="55"/>
      <c r="BO1255" s="53">
        <f ca="1">IFERROR(_xlfn.XLOOKUP(F1255,Apuração!A:A,Apuração!C:C)/_xlfn.XLOOKUP(F1255,Apuração!A:A,Apuração!B:B),0)</f>
        <v>0</v>
      </c>
      <c r="BP1255" s="53">
        <f ca="1">IFERROR(_xlfn.XLOOKUP(F1255,Apuração!A:A,Apuração!D:D)/_xlfn.XLOOKUP(F1255,Apuração!A:A,Apuração!B:B),0)</f>
        <v>0</v>
      </c>
      <c r="BQ1255" s="53">
        <f ca="1">IF(BK1255&gt;=BO1255,0,_xlfn.XLOOKUP(F1255,Apuração!A:A,Apuração!B:B)*(BO1255 + (1/_xlfn.XLOOKUP(F1255,Apuração!A:A,Apuração!B:B)) - BK1255))</f>
        <v>0</v>
      </c>
      <c r="BR1255" s="85">
        <f t="shared" ca="1" si="1476"/>
        <v>0</v>
      </c>
      <c r="BS1255" s="53">
        <f ca="1">IFERROR((_xlfn.XLOOKUP(F1255,Apuração!A:A,Apuração!C:C)+1)/_xlfn.XLOOKUP(F1255,Apuração!A:A,Apuração!B:B),0)</f>
        <v>0.14285714285714285</v>
      </c>
    </row>
    <row r="1256" spans="1:71" ht="25.95" hidden="1" customHeight="1" x14ac:dyDescent="0.3">
      <c r="A1256" s="70" t="s">
        <v>108</v>
      </c>
      <c r="B1256" s="4" t="s">
        <v>123</v>
      </c>
      <c r="C1256" s="5" t="s">
        <v>209</v>
      </c>
      <c r="D1256" s="5" t="s">
        <v>36</v>
      </c>
      <c r="E1256" s="4" t="s">
        <v>61</v>
      </c>
      <c r="F1256" s="4" t="str" cm="1">
        <f t="array" ref="F1256">_xlfn.IFS(
AG1256 &lt;&gt; "", "Jan-Dez/26",
AH1256 &lt;&gt; "", "Fev-Dez/26",
AI1256 &lt;&gt; "", "Mar-Dez/26", AJ1256 &lt;&gt; "", "Abr-Dez/26",
TRUE, "A partir de Junho"
)</f>
        <v>A partir de Junho</v>
      </c>
      <c r="G1256" s="4" t="s">
        <v>62</v>
      </c>
      <c r="H1256" s="7" t="s">
        <v>38</v>
      </c>
      <c r="I1256" s="28" t="s">
        <v>127</v>
      </c>
      <c r="J1256" s="8" t="str" cm="1">
        <f t="array" aca="1" ref="J1256" ca="1">_xlfn.LET(
  _xlpm.actual_value_month, INDEX(T1256:AE1256, MATCH(DATE(YEAR(TODAY()), MONTH(TODAY()), 1), $T$1:$AE$1, 0)),
  IF(_xlpm.actual_value_month &lt;&gt; "",_xlpm.actual_value_month &amp; " ações mensais", "")
)</f>
        <v/>
      </c>
      <c r="K1256" s="8" t="str" cm="1">
        <f t="array" ref="K1256">_xlfn.LET(
    _xlpm.sum_month, SUM(T1256:AE1256),
    IF(_xlpm.sum_month = 0, "", _xlpm.sum_month &amp; " ações no ano")
)</f>
        <v/>
      </c>
      <c r="L1256" s="4" t="s">
        <v>128</v>
      </c>
      <c r="M1256" s="19"/>
      <c r="N1256" s="5" t="s">
        <v>51</v>
      </c>
      <c r="O1256" s="5"/>
      <c r="P1256" s="10"/>
      <c r="Q1256" s="10"/>
      <c r="R1256" s="11"/>
      <c r="S1256" s="11"/>
      <c r="T1256" s="22"/>
      <c r="U1256" s="22"/>
      <c r="V1256" s="22"/>
      <c r="W1256" s="22"/>
      <c r="X1256" s="22"/>
      <c r="Y1256" s="22"/>
      <c r="Z1256" s="22"/>
      <c r="AA1256" s="22"/>
      <c r="AB1256" s="22"/>
      <c r="AC1256" s="22"/>
      <c r="AD1256" s="22"/>
      <c r="AE1256" s="22"/>
      <c r="AF1256" s="81"/>
      <c r="AG1256" s="71"/>
      <c r="AH1256" s="71"/>
      <c r="AI1256" s="71"/>
      <c r="AJ1256" s="71"/>
      <c r="AK1256" s="71"/>
      <c r="AL1256" s="71"/>
      <c r="AM1256" s="71"/>
      <c r="AN1256" s="71"/>
      <c r="AO1256" s="71"/>
      <c r="AP1256" s="71"/>
      <c r="AQ1256" s="71"/>
      <c r="AR1256" s="71"/>
      <c r="AS1256" s="94"/>
      <c r="AT1256" s="95"/>
      <c r="AU1256" s="97"/>
      <c r="AV1256" s="81"/>
      <c r="AW1256" s="83">
        <f>AG1256</f>
        <v>0</v>
      </c>
      <c r="AX1256" s="83">
        <f>AH1256</f>
        <v>0</v>
      </c>
      <c r="AY1256" s="83">
        <f>AI1256</f>
        <v>0</v>
      </c>
      <c r="AZ1256" s="83">
        <f>AJ1256</f>
        <v>0</v>
      </c>
      <c r="BA1256" s="52"/>
      <c r="BB1256" s="52"/>
      <c r="BC1256" s="52"/>
      <c r="BD1256" s="52"/>
      <c r="BE1256" s="52"/>
      <c r="BF1256" s="52"/>
      <c r="BG1256" s="52"/>
      <c r="BH1256" s="52"/>
      <c r="BI1256" s="65"/>
      <c r="BJ1256" s="68"/>
      <c r="BK1256" s="59">
        <f>SUM(AW1256:BH1256)</f>
        <v>0</v>
      </c>
      <c r="BL1256" s="59" cm="1">
        <f t="array" ref="BL1256">IFERROR(SUM(AW1256:INDEX(AW1256:BH1256, MATCH(2, 1/(AW1256:BH1256&lt;&gt;""), 1) - 1))/_xlfn.XLOOKUP(F1256,Apuração!A:A,Apuração!B:B),0)</f>
        <v>0</v>
      </c>
      <c r="BM1256" s="55"/>
      <c r="BN1256" s="55"/>
      <c r="BO1256" s="53">
        <f ca="1">IFERROR(_xlfn.XLOOKUP(F1256,Apuração!A:A,Apuração!C:C)/_xlfn.XLOOKUP(F1256,Apuração!A:A,Apuração!B:B),0)</f>
        <v>0</v>
      </c>
      <c r="BP1256" s="53">
        <f ca="1">IFERROR(_xlfn.XLOOKUP(F1256,Apuração!A:A,Apuração!D:D)/_xlfn.XLOOKUP(F1256,Apuração!A:A,Apuração!B:B),0)</f>
        <v>0</v>
      </c>
      <c r="BQ1256" s="53">
        <f ca="1">IF(BK1256&gt;=BO1256,0,_xlfn.XLOOKUP(F1256,Apuração!A:A,Apuração!B:B)*(BO1256 + (1/_xlfn.XLOOKUP(F1256,Apuração!A:A,Apuração!B:B)) - BK1256))</f>
        <v>0</v>
      </c>
      <c r="BR1256" s="85">
        <f ca="1">IF(BQ1256=0,0,BQ1256*Z1256)</f>
        <v>0</v>
      </c>
      <c r="BS1256" s="53">
        <f ca="1">IFERROR((_xlfn.XLOOKUP(F1256,Apuração!A:A,Apuração!C:C)+1)/_xlfn.XLOOKUP(F1256,Apuração!A:A,Apuração!B:B),0)</f>
        <v>0.14285714285714285</v>
      </c>
    </row>
    <row r="1257" spans="1:71" ht="25.95" hidden="1" customHeight="1" x14ac:dyDescent="0.3">
      <c r="A1257" s="70" t="s">
        <v>108</v>
      </c>
      <c r="B1257" s="4" t="s">
        <v>123</v>
      </c>
      <c r="C1257" s="5" t="s">
        <v>209</v>
      </c>
      <c r="D1257" s="5" t="s">
        <v>210</v>
      </c>
      <c r="E1257" s="4" t="s">
        <v>61</v>
      </c>
      <c r="F1257" s="4" t="str" cm="1">
        <f t="array" ref="F1257">_xlfn.IFS(
AG1257 &lt;&gt; "", "Jan-Dez/26",
AH1257 &lt;&gt; "", "Fev-Dez/26",
AI1257 &lt;&gt; "", "Mar-Dez/26", AJ1257 &lt;&gt; "", "Abr-Dez/26",
TRUE, "A partir de Junho"
)</f>
        <v>A partir de Junho</v>
      </c>
      <c r="G1257" s="4" t="s">
        <v>62</v>
      </c>
      <c r="H1257" s="7" t="s">
        <v>38</v>
      </c>
      <c r="I1257" s="28" t="s">
        <v>127</v>
      </c>
      <c r="J1257" s="8" t="str" cm="1">
        <f t="array" aca="1" ref="J1257" ca="1">_xlfn.LET(
  _xlpm.actual_value_month, INDEX(T1257:AE1257, MATCH(DATE(YEAR(TODAY()), MONTH(TODAY()), 1), $T$1:$AE$1, 0)),
  IF(_xlpm.actual_value_month &lt;&gt; "",_xlpm.actual_value_month &amp; " ações mensais", "")
)</f>
        <v/>
      </c>
      <c r="K1257" s="8" t="str" cm="1">
        <f t="array" ref="K1257">_xlfn.LET(
    _xlpm.sum_month, SUM(T1257:AE1257),
    IF(_xlpm.sum_month = 0, "", _xlpm.sum_month &amp; " ações no ano")
)</f>
        <v/>
      </c>
      <c r="L1257" s="4" t="s">
        <v>128</v>
      </c>
      <c r="M1257" s="19"/>
      <c r="N1257" s="5" t="s">
        <v>51</v>
      </c>
      <c r="O1257" s="5"/>
      <c r="P1257" s="10"/>
      <c r="Q1257" s="10"/>
      <c r="R1257" s="11"/>
      <c r="S1257" s="11"/>
      <c r="T1257" s="22"/>
      <c r="U1257" s="22"/>
      <c r="V1257" s="22"/>
      <c r="W1257" s="22"/>
      <c r="X1257" s="22"/>
      <c r="Y1257" s="22"/>
      <c r="Z1257" s="22"/>
      <c r="AA1257" s="22"/>
      <c r="AB1257" s="22"/>
      <c r="AC1257" s="22"/>
      <c r="AD1257" s="22"/>
      <c r="AE1257" s="22"/>
      <c r="AF1257" s="81"/>
      <c r="AG1257" s="71"/>
      <c r="AH1257" s="71"/>
      <c r="AI1257" s="71"/>
      <c r="AJ1257" s="71"/>
      <c r="AK1257" s="71"/>
      <c r="AL1257" s="71"/>
      <c r="AM1257" s="71"/>
      <c r="AN1257" s="71"/>
      <c r="AO1257" s="71"/>
      <c r="AP1257" s="71"/>
      <c r="AQ1257" s="71"/>
      <c r="AR1257" s="71"/>
      <c r="AS1257" s="94"/>
      <c r="AT1257" s="95"/>
      <c r="AU1257" s="97"/>
      <c r="AV1257" s="81"/>
      <c r="AW1257" s="83">
        <f t="shared" ref="AW1257:AW1261" si="1477">AG1257</f>
        <v>0</v>
      </c>
      <c r="AX1257" s="83">
        <f t="shared" ref="AX1257:AX1261" si="1478">AH1257</f>
        <v>0</v>
      </c>
      <c r="AY1257" s="83">
        <f t="shared" ref="AY1257:AY1261" si="1479">AI1257</f>
        <v>0</v>
      </c>
      <c r="AZ1257" s="83">
        <f t="shared" ref="AZ1257:AZ1261" si="1480">AJ1257</f>
        <v>0</v>
      </c>
      <c r="BA1257" s="52"/>
      <c r="BB1257" s="52"/>
      <c r="BC1257" s="52"/>
      <c r="BD1257" s="52"/>
      <c r="BE1257" s="52"/>
      <c r="BF1257" s="52"/>
      <c r="BG1257" s="52"/>
      <c r="BH1257" s="52"/>
      <c r="BI1257" s="65"/>
      <c r="BJ1257" s="68"/>
      <c r="BK1257" s="59">
        <f t="shared" ref="BK1257:BK1261" si="1481">SUM(AW1257:BH1257)</f>
        <v>0</v>
      </c>
      <c r="BL1257" s="59" cm="1">
        <f t="array" ref="BL1257">IFERROR(SUM(AW1257:INDEX(AW1257:BH1257, MATCH(2, 1/(AW1257:BH1257&lt;&gt;""), 1) - 1))/_xlfn.XLOOKUP(F1257,Apuração!A:A,Apuração!B:B),0)</f>
        <v>0</v>
      </c>
      <c r="BM1257" s="55"/>
      <c r="BN1257" s="55"/>
      <c r="BO1257" s="53">
        <f ca="1">IFERROR(_xlfn.XLOOKUP(F1257,Apuração!A:A,Apuração!C:C)/_xlfn.XLOOKUP(F1257,Apuração!A:A,Apuração!B:B),0)</f>
        <v>0</v>
      </c>
      <c r="BP1257" s="53">
        <f ca="1">IFERROR(_xlfn.XLOOKUP(F1257,Apuração!A:A,Apuração!D:D)/_xlfn.XLOOKUP(F1257,Apuração!A:A,Apuração!B:B),0)</f>
        <v>0</v>
      </c>
      <c r="BQ1257" s="53">
        <f ca="1">IF(BK1257&gt;=BO1257,0,_xlfn.XLOOKUP(F1257,Apuração!A:A,Apuração!B:B)*(BO1257 + (1/_xlfn.XLOOKUP(F1257,Apuração!A:A,Apuração!B:B)) - BK1257))</f>
        <v>0</v>
      </c>
      <c r="BR1257" s="85">
        <f t="shared" ref="BR1257:BR1261" ca="1" si="1482">IF(BQ1257=0,0,BQ1257*Z1257)</f>
        <v>0</v>
      </c>
      <c r="BS1257" s="53">
        <f ca="1">IFERROR((_xlfn.XLOOKUP(F1257,Apuração!A:A,Apuração!C:C)+1)/_xlfn.XLOOKUP(F1257,Apuração!A:A,Apuração!B:B),0)</f>
        <v>0.14285714285714285</v>
      </c>
    </row>
    <row r="1258" spans="1:71" ht="25.95" hidden="1" customHeight="1" x14ac:dyDescent="0.3">
      <c r="A1258" s="70" t="s">
        <v>108</v>
      </c>
      <c r="B1258" s="4" t="s">
        <v>123</v>
      </c>
      <c r="C1258" s="5" t="s">
        <v>209</v>
      </c>
      <c r="D1258" s="5" t="s">
        <v>47</v>
      </c>
      <c r="E1258" s="4" t="s">
        <v>61</v>
      </c>
      <c r="F1258" s="4" t="str" cm="1">
        <f t="array" ref="F1258">_xlfn.IFS(
AG1258 &lt;&gt; "", "Jan-Dez/26",
AH1258 &lt;&gt; "", "Fev-Dez/26",
AI1258 &lt;&gt; "", "Mar-Dez/26", AJ1258 &lt;&gt; "", "Abr-Dez/26",
TRUE, "A partir de Junho"
)</f>
        <v>A partir de Junho</v>
      </c>
      <c r="G1258" s="4" t="s">
        <v>62</v>
      </c>
      <c r="H1258" s="7" t="s">
        <v>38</v>
      </c>
      <c r="I1258" s="28" t="s">
        <v>127</v>
      </c>
      <c r="J1258" s="8" t="str" cm="1">
        <f t="array" aca="1" ref="J1258" ca="1">_xlfn.LET(
  _xlpm.actual_value_month, INDEX(T1258:AE1258, MATCH(DATE(YEAR(TODAY()), MONTH(TODAY()), 1), $T$1:$AE$1, 0)),
  IF(_xlpm.actual_value_month &lt;&gt; "",_xlpm.actual_value_month &amp; " ações mensais", "")
)</f>
        <v/>
      </c>
      <c r="K1258" s="8" t="str" cm="1">
        <f t="array" ref="K1258">_xlfn.LET(
    _xlpm.sum_month, SUM(T1258:AE1258),
    IF(_xlpm.sum_month = 0, "", _xlpm.sum_month &amp; " ações no ano")
)</f>
        <v/>
      </c>
      <c r="L1258" s="4" t="s">
        <v>128</v>
      </c>
      <c r="M1258" s="19"/>
      <c r="N1258" s="5" t="s">
        <v>51</v>
      </c>
      <c r="O1258" s="5"/>
      <c r="P1258" s="10"/>
      <c r="Q1258" s="10"/>
      <c r="R1258" s="11"/>
      <c r="S1258" s="11"/>
      <c r="T1258" s="22"/>
      <c r="U1258" s="22"/>
      <c r="V1258" s="22"/>
      <c r="W1258" s="22"/>
      <c r="X1258" s="22"/>
      <c r="Y1258" s="22"/>
      <c r="Z1258" s="22"/>
      <c r="AA1258" s="22"/>
      <c r="AB1258" s="22"/>
      <c r="AC1258" s="22"/>
      <c r="AD1258" s="22"/>
      <c r="AE1258" s="22"/>
      <c r="AF1258" s="81"/>
      <c r="AG1258" s="71"/>
      <c r="AH1258" s="71"/>
      <c r="AI1258" s="71"/>
      <c r="AJ1258" s="71"/>
      <c r="AK1258" s="71"/>
      <c r="AL1258" s="71"/>
      <c r="AM1258" s="71"/>
      <c r="AN1258" s="71"/>
      <c r="AO1258" s="71"/>
      <c r="AP1258" s="71"/>
      <c r="AQ1258" s="71"/>
      <c r="AR1258" s="71"/>
      <c r="AS1258" s="94"/>
      <c r="AT1258" s="95"/>
      <c r="AU1258" s="97"/>
      <c r="AV1258" s="81"/>
      <c r="AW1258" s="83">
        <f t="shared" si="1477"/>
        <v>0</v>
      </c>
      <c r="AX1258" s="83">
        <f t="shared" si="1478"/>
        <v>0</v>
      </c>
      <c r="AY1258" s="83">
        <f t="shared" si="1479"/>
        <v>0</v>
      </c>
      <c r="AZ1258" s="83">
        <f t="shared" si="1480"/>
        <v>0</v>
      </c>
      <c r="BA1258" s="52"/>
      <c r="BB1258" s="52"/>
      <c r="BC1258" s="52"/>
      <c r="BD1258" s="52"/>
      <c r="BE1258" s="52"/>
      <c r="BF1258" s="52"/>
      <c r="BG1258" s="52"/>
      <c r="BH1258" s="52"/>
      <c r="BI1258" s="65"/>
      <c r="BJ1258" s="68"/>
      <c r="BK1258" s="59">
        <f t="shared" si="1481"/>
        <v>0</v>
      </c>
      <c r="BL1258" s="59" cm="1">
        <f t="array" ref="BL1258">IFERROR(SUM(AW1258:INDEX(AW1258:BH1258, MATCH(2, 1/(AW1258:BH1258&lt;&gt;""), 1) - 1))/_xlfn.XLOOKUP(F1258,Apuração!A:A,Apuração!B:B),0)</f>
        <v>0</v>
      </c>
      <c r="BM1258" s="55"/>
      <c r="BN1258" s="55"/>
      <c r="BO1258" s="53">
        <f ca="1">IFERROR(_xlfn.XLOOKUP(F1258,Apuração!A:A,Apuração!C:C)/_xlfn.XLOOKUP(F1258,Apuração!A:A,Apuração!B:B),0)</f>
        <v>0</v>
      </c>
      <c r="BP1258" s="53">
        <f ca="1">IFERROR(_xlfn.XLOOKUP(F1258,Apuração!A:A,Apuração!D:D)/_xlfn.XLOOKUP(F1258,Apuração!A:A,Apuração!B:B),0)</f>
        <v>0</v>
      </c>
      <c r="BQ1258" s="53">
        <f ca="1">IF(BK1258&gt;=BO1258,0,_xlfn.XLOOKUP(F1258,Apuração!A:A,Apuração!B:B)*(BO1258 + (1/_xlfn.XLOOKUP(F1258,Apuração!A:A,Apuração!B:B)) - BK1258))</f>
        <v>0</v>
      </c>
      <c r="BR1258" s="85">
        <f t="shared" ca="1" si="1482"/>
        <v>0</v>
      </c>
      <c r="BS1258" s="53">
        <f ca="1">IFERROR((_xlfn.XLOOKUP(F1258,Apuração!A:A,Apuração!C:C)+1)/_xlfn.XLOOKUP(F1258,Apuração!A:A,Apuração!B:B),0)</f>
        <v>0.14285714285714285</v>
      </c>
    </row>
    <row r="1259" spans="1:71" ht="25.95" hidden="1" customHeight="1" x14ac:dyDescent="0.3">
      <c r="A1259" s="70" t="s">
        <v>108</v>
      </c>
      <c r="B1259" s="4" t="s">
        <v>123</v>
      </c>
      <c r="C1259" s="5" t="s">
        <v>209</v>
      </c>
      <c r="D1259" s="5" t="s">
        <v>211</v>
      </c>
      <c r="E1259" s="4" t="s">
        <v>61</v>
      </c>
      <c r="F1259" s="4" t="str" cm="1">
        <f t="array" ref="F1259">_xlfn.IFS(
AG1259 &lt;&gt; "", "Jan-Dez/26",
AH1259 &lt;&gt; "", "Fev-Dez/26",
AI1259 &lt;&gt; "", "Mar-Dez/26", AJ1259 &lt;&gt; "", "Abr-Dez/26",
TRUE, "A partir de Junho"
)</f>
        <v>A partir de Junho</v>
      </c>
      <c r="G1259" s="4" t="s">
        <v>62</v>
      </c>
      <c r="H1259" s="7" t="s">
        <v>38</v>
      </c>
      <c r="I1259" s="28" t="s">
        <v>127</v>
      </c>
      <c r="J1259" s="8" t="str" cm="1">
        <f t="array" aca="1" ref="J1259" ca="1">_xlfn.LET(
  _xlpm.actual_value_month, INDEX(T1259:AE1259, MATCH(DATE(YEAR(TODAY()), MONTH(TODAY()), 1), $T$1:$AE$1, 0)),
  IF(_xlpm.actual_value_month &lt;&gt; "",_xlpm.actual_value_month &amp; " ações mensais", "")
)</f>
        <v/>
      </c>
      <c r="K1259" s="8" t="str" cm="1">
        <f t="array" ref="K1259">_xlfn.LET(
    _xlpm.sum_month, SUM(T1259:AE1259),
    IF(_xlpm.sum_month = 0, "", _xlpm.sum_month &amp; " ações no ano")
)</f>
        <v/>
      </c>
      <c r="L1259" s="4" t="s">
        <v>128</v>
      </c>
      <c r="M1259" s="19"/>
      <c r="N1259" s="5" t="s">
        <v>51</v>
      </c>
      <c r="O1259" s="5"/>
      <c r="P1259" s="10"/>
      <c r="Q1259" s="10"/>
      <c r="R1259" s="11"/>
      <c r="S1259" s="11"/>
      <c r="T1259" s="22"/>
      <c r="U1259" s="22"/>
      <c r="V1259" s="22"/>
      <c r="W1259" s="22"/>
      <c r="X1259" s="22"/>
      <c r="Y1259" s="22"/>
      <c r="Z1259" s="22"/>
      <c r="AA1259" s="22"/>
      <c r="AB1259" s="22"/>
      <c r="AC1259" s="22"/>
      <c r="AD1259" s="22"/>
      <c r="AE1259" s="22"/>
      <c r="AF1259" s="81"/>
      <c r="AG1259" s="71"/>
      <c r="AH1259" s="71"/>
      <c r="AI1259" s="71"/>
      <c r="AJ1259" s="71"/>
      <c r="AK1259" s="71"/>
      <c r="AL1259" s="71"/>
      <c r="AM1259" s="71"/>
      <c r="AN1259" s="71"/>
      <c r="AO1259" s="71"/>
      <c r="AP1259" s="71"/>
      <c r="AQ1259" s="71"/>
      <c r="AR1259" s="71"/>
      <c r="AS1259" s="94"/>
      <c r="AT1259" s="95"/>
      <c r="AU1259" s="97"/>
      <c r="AV1259" s="81"/>
      <c r="AW1259" s="83">
        <f t="shared" si="1477"/>
        <v>0</v>
      </c>
      <c r="AX1259" s="83">
        <f t="shared" si="1478"/>
        <v>0</v>
      </c>
      <c r="AY1259" s="83">
        <f t="shared" si="1479"/>
        <v>0</v>
      </c>
      <c r="AZ1259" s="83">
        <f t="shared" si="1480"/>
        <v>0</v>
      </c>
      <c r="BA1259" s="52"/>
      <c r="BB1259" s="52"/>
      <c r="BC1259" s="52"/>
      <c r="BD1259" s="52"/>
      <c r="BE1259" s="52"/>
      <c r="BF1259" s="52"/>
      <c r="BG1259" s="52"/>
      <c r="BH1259" s="52"/>
      <c r="BI1259" s="65"/>
      <c r="BJ1259" s="68"/>
      <c r="BK1259" s="59">
        <f t="shared" si="1481"/>
        <v>0</v>
      </c>
      <c r="BL1259" s="59" cm="1">
        <f t="array" ref="BL1259">IFERROR(SUM(AW1259:INDEX(AW1259:BH1259, MATCH(2, 1/(AW1259:BH1259&lt;&gt;""), 1) - 1))/_xlfn.XLOOKUP(F1259,Apuração!A:A,Apuração!B:B),0)</f>
        <v>0</v>
      </c>
      <c r="BM1259" s="55"/>
      <c r="BN1259" s="55"/>
      <c r="BO1259" s="53">
        <f ca="1">IFERROR(_xlfn.XLOOKUP(F1259,Apuração!A:A,Apuração!C:C)/_xlfn.XLOOKUP(F1259,Apuração!A:A,Apuração!B:B),0)</f>
        <v>0</v>
      </c>
      <c r="BP1259" s="53">
        <f ca="1">IFERROR(_xlfn.XLOOKUP(F1259,Apuração!A:A,Apuração!D:D)/_xlfn.XLOOKUP(F1259,Apuração!A:A,Apuração!B:B),0)</f>
        <v>0</v>
      </c>
      <c r="BQ1259" s="53">
        <f ca="1">IF(BK1259&gt;=BO1259,0,_xlfn.XLOOKUP(F1259,Apuração!A:A,Apuração!B:B)*(BO1259 + (1/_xlfn.XLOOKUP(F1259,Apuração!A:A,Apuração!B:B)) - BK1259))</f>
        <v>0</v>
      </c>
      <c r="BR1259" s="85">
        <f t="shared" ca="1" si="1482"/>
        <v>0</v>
      </c>
      <c r="BS1259" s="53">
        <f ca="1">IFERROR((_xlfn.XLOOKUP(F1259,Apuração!A:A,Apuração!C:C)+1)/_xlfn.XLOOKUP(F1259,Apuração!A:A,Apuração!B:B),0)</f>
        <v>0.14285714285714285</v>
      </c>
    </row>
    <row r="1260" spans="1:71" ht="25.95" hidden="1" customHeight="1" x14ac:dyDescent="0.3">
      <c r="A1260" s="70" t="s">
        <v>108</v>
      </c>
      <c r="B1260" s="4" t="s">
        <v>123</v>
      </c>
      <c r="C1260" s="5" t="s">
        <v>209</v>
      </c>
      <c r="D1260" s="5" t="s">
        <v>212</v>
      </c>
      <c r="E1260" s="4" t="s">
        <v>61</v>
      </c>
      <c r="F1260" s="4" t="str" cm="1">
        <f t="array" ref="F1260">_xlfn.IFS(
AG1260 &lt;&gt; "", "Jan-Dez/26",
AH1260 &lt;&gt; "", "Fev-Dez/26",
AI1260 &lt;&gt; "", "Mar-Dez/26", AJ1260 &lt;&gt; "", "Abr-Dez/26",
TRUE, "A partir de Junho"
)</f>
        <v>A partir de Junho</v>
      </c>
      <c r="G1260" s="4" t="s">
        <v>62</v>
      </c>
      <c r="H1260" s="7" t="s">
        <v>38</v>
      </c>
      <c r="I1260" s="28" t="s">
        <v>127</v>
      </c>
      <c r="J1260" s="8" t="str" cm="1">
        <f t="array" aca="1" ref="J1260" ca="1">_xlfn.LET(
  _xlpm.actual_value_month, INDEX(T1260:AE1260, MATCH(DATE(YEAR(TODAY()), MONTH(TODAY()), 1), $T$1:$AE$1, 0)),
  IF(_xlpm.actual_value_month &lt;&gt; "",_xlpm.actual_value_month &amp; " ações mensais", "")
)</f>
        <v/>
      </c>
      <c r="K1260" s="8" t="str" cm="1">
        <f t="array" ref="K1260">_xlfn.LET(
    _xlpm.sum_month, SUM(T1260:AE1260),
    IF(_xlpm.sum_month = 0, "", _xlpm.sum_month &amp; " ações no ano")
)</f>
        <v/>
      </c>
      <c r="L1260" s="4" t="s">
        <v>128</v>
      </c>
      <c r="M1260" s="19"/>
      <c r="N1260" s="5" t="s">
        <v>51</v>
      </c>
      <c r="O1260" s="5"/>
      <c r="P1260" s="10"/>
      <c r="Q1260" s="10"/>
      <c r="R1260" s="11"/>
      <c r="S1260" s="11"/>
      <c r="T1260" s="22"/>
      <c r="U1260" s="22"/>
      <c r="V1260" s="22"/>
      <c r="W1260" s="22"/>
      <c r="X1260" s="22"/>
      <c r="Y1260" s="22"/>
      <c r="Z1260" s="22"/>
      <c r="AA1260" s="22"/>
      <c r="AB1260" s="22"/>
      <c r="AC1260" s="22"/>
      <c r="AD1260" s="22"/>
      <c r="AE1260" s="22"/>
      <c r="AF1260" s="81"/>
      <c r="AG1260" s="71"/>
      <c r="AH1260" s="71"/>
      <c r="AI1260" s="71"/>
      <c r="AJ1260" s="71"/>
      <c r="AK1260" s="71"/>
      <c r="AL1260" s="71"/>
      <c r="AM1260" s="71"/>
      <c r="AN1260" s="71"/>
      <c r="AO1260" s="71"/>
      <c r="AP1260" s="71"/>
      <c r="AQ1260" s="71"/>
      <c r="AR1260" s="71"/>
      <c r="AS1260" s="94"/>
      <c r="AT1260" s="95"/>
      <c r="AU1260" s="97"/>
      <c r="AV1260" s="81"/>
      <c r="AW1260" s="83">
        <f t="shared" si="1477"/>
        <v>0</v>
      </c>
      <c r="AX1260" s="83">
        <f t="shared" si="1478"/>
        <v>0</v>
      </c>
      <c r="AY1260" s="83">
        <f t="shared" si="1479"/>
        <v>0</v>
      </c>
      <c r="AZ1260" s="83">
        <f t="shared" si="1480"/>
        <v>0</v>
      </c>
      <c r="BA1260" s="52"/>
      <c r="BB1260" s="52"/>
      <c r="BC1260" s="52"/>
      <c r="BD1260" s="52"/>
      <c r="BE1260" s="52"/>
      <c r="BF1260" s="52"/>
      <c r="BG1260" s="52"/>
      <c r="BH1260" s="52"/>
      <c r="BI1260" s="65"/>
      <c r="BJ1260" s="68"/>
      <c r="BK1260" s="59">
        <f t="shared" si="1481"/>
        <v>0</v>
      </c>
      <c r="BL1260" s="59" cm="1">
        <f t="array" ref="BL1260">IFERROR(SUM(AW1260:INDEX(AW1260:BH1260, MATCH(2, 1/(AW1260:BH1260&lt;&gt;""), 1) - 1))/_xlfn.XLOOKUP(F1260,Apuração!A:A,Apuração!B:B),0)</f>
        <v>0</v>
      </c>
      <c r="BM1260" s="55"/>
      <c r="BN1260" s="55"/>
      <c r="BO1260" s="53">
        <f ca="1">IFERROR(_xlfn.XLOOKUP(F1260,Apuração!A:A,Apuração!C:C)/_xlfn.XLOOKUP(F1260,Apuração!A:A,Apuração!B:B),0)</f>
        <v>0</v>
      </c>
      <c r="BP1260" s="53">
        <f ca="1">IFERROR(_xlfn.XLOOKUP(F1260,Apuração!A:A,Apuração!D:D)/_xlfn.XLOOKUP(F1260,Apuração!A:A,Apuração!B:B),0)</f>
        <v>0</v>
      </c>
      <c r="BQ1260" s="53">
        <f ca="1">IF(BK1260&gt;=BO1260,0,_xlfn.XLOOKUP(F1260,Apuração!A:A,Apuração!B:B)*(BO1260 + (1/_xlfn.XLOOKUP(F1260,Apuração!A:A,Apuração!B:B)) - BK1260))</f>
        <v>0</v>
      </c>
      <c r="BR1260" s="85">
        <f t="shared" ca="1" si="1482"/>
        <v>0</v>
      </c>
      <c r="BS1260" s="53">
        <f ca="1">IFERROR((_xlfn.XLOOKUP(F1260,Apuração!A:A,Apuração!C:C)+1)/_xlfn.XLOOKUP(F1260,Apuração!A:A,Apuração!B:B),0)</f>
        <v>0.14285714285714285</v>
      </c>
    </row>
    <row r="1261" spans="1:71" ht="25.95" hidden="1" customHeight="1" x14ac:dyDescent="0.3">
      <c r="A1261" s="70" t="s">
        <v>108</v>
      </c>
      <c r="B1261" s="4" t="s">
        <v>123</v>
      </c>
      <c r="C1261" s="5" t="s">
        <v>209</v>
      </c>
      <c r="D1261" s="5" t="s">
        <v>213</v>
      </c>
      <c r="E1261" s="4" t="s">
        <v>61</v>
      </c>
      <c r="F1261" s="4" t="str" cm="1">
        <f t="array" ref="F1261">_xlfn.IFS(
AG1261 &lt;&gt; "", "Jan-Dez/26",
AH1261 &lt;&gt; "", "Fev-Dez/26",
AI1261 &lt;&gt; "", "Mar-Dez/26", AJ1261 &lt;&gt; "", "Abr-Dez/26",
TRUE, "A partir de Junho"
)</f>
        <v>A partir de Junho</v>
      </c>
      <c r="G1261" s="4" t="s">
        <v>62</v>
      </c>
      <c r="H1261" s="7" t="s">
        <v>38</v>
      </c>
      <c r="I1261" s="28" t="s">
        <v>127</v>
      </c>
      <c r="J1261" s="8" t="str" cm="1">
        <f t="array" aca="1" ref="J1261" ca="1">_xlfn.LET(
  _xlpm.actual_value_month, INDEX(T1261:AE1261, MATCH(DATE(YEAR(TODAY()), MONTH(TODAY()), 1), $T$1:$AE$1, 0)),
  IF(_xlpm.actual_value_month &lt;&gt; "",_xlpm.actual_value_month &amp; " ações mensais", "")
)</f>
        <v/>
      </c>
      <c r="K1261" s="8" t="str" cm="1">
        <f t="array" ref="K1261">_xlfn.LET(
    _xlpm.sum_month, SUM(T1261:AE1261),
    IF(_xlpm.sum_month = 0, "", _xlpm.sum_month &amp; " ações no ano")
)</f>
        <v/>
      </c>
      <c r="L1261" s="4" t="s">
        <v>128</v>
      </c>
      <c r="M1261" s="19"/>
      <c r="N1261" s="5" t="s">
        <v>51</v>
      </c>
      <c r="O1261" s="5"/>
      <c r="P1261" s="10"/>
      <c r="Q1261" s="10"/>
      <c r="R1261" s="11"/>
      <c r="S1261" s="11"/>
      <c r="T1261" s="22"/>
      <c r="U1261" s="22"/>
      <c r="V1261" s="22"/>
      <c r="W1261" s="22"/>
      <c r="X1261" s="22"/>
      <c r="Y1261" s="22"/>
      <c r="Z1261" s="22"/>
      <c r="AA1261" s="22"/>
      <c r="AB1261" s="22"/>
      <c r="AC1261" s="22"/>
      <c r="AD1261" s="22"/>
      <c r="AE1261" s="22"/>
      <c r="AF1261" s="81"/>
      <c r="AG1261" s="71"/>
      <c r="AH1261" s="71"/>
      <c r="AI1261" s="71"/>
      <c r="AJ1261" s="71"/>
      <c r="AK1261" s="71"/>
      <c r="AL1261" s="71"/>
      <c r="AM1261" s="71"/>
      <c r="AN1261" s="71"/>
      <c r="AO1261" s="71"/>
      <c r="AP1261" s="71"/>
      <c r="AQ1261" s="71"/>
      <c r="AR1261" s="71"/>
      <c r="AS1261" s="94"/>
      <c r="AT1261" s="95"/>
      <c r="AU1261" s="97"/>
      <c r="AV1261" s="81"/>
      <c r="AW1261" s="83">
        <f t="shared" si="1477"/>
        <v>0</v>
      </c>
      <c r="AX1261" s="83">
        <f t="shared" si="1478"/>
        <v>0</v>
      </c>
      <c r="AY1261" s="83">
        <f t="shared" si="1479"/>
        <v>0</v>
      </c>
      <c r="AZ1261" s="83">
        <f t="shared" si="1480"/>
        <v>0</v>
      </c>
      <c r="BA1261" s="52"/>
      <c r="BB1261" s="52"/>
      <c r="BC1261" s="52"/>
      <c r="BD1261" s="52"/>
      <c r="BE1261" s="52"/>
      <c r="BF1261" s="52"/>
      <c r="BG1261" s="52"/>
      <c r="BH1261" s="52"/>
      <c r="BI1261" s="65"/>
      <c r="BJ1261" s="68"/>
      <c r="BK1261" s="59">
        <f t="shared" si="1481"/>
        <v>0</v>
      </c>
      <c r="BL1261" s="59" cm="1">
        <f t="array" ref="BL1261">IFERROR(SUM(AW1261:INDEX(AW1261:BH1261, MATCH(2, 1/(AW1261:BH1261&lt;&gt;""), 1) - 1))/_xlfn.XLOOKUP(F1261,Apuração!A:A,Apuração!B:B),0)</f>
        <v>0</v>
      </c>
      <c r="BM1261" s="55"/>
      <c r="BN1261" s="55"/>
      <c r="BO1261" s="53">
        <f ca="1">IFERROR(_xlfn.XLOOKUP(F1261,Apuração!A:A,Apuração!C:C)/_xlfn.XLOOKUP(F1261,Apuração!A:A,Apuração!B:B),0)</f>
        <v>0</v>
      </c>
      <c r="BP1261" s="53">
        <f ca="1">IFERROR(_xlfn.XLOOKUP(F1261,Apuração!A:A,Apuração!D:D)/_xlfn.XLOOKUP(F1261,Apuração!A:A,Apuração!B:B),0)</f>
        <v>0</v>
      </c>
      <c r="BQ1261" s="53">
        <f ca="1">IF(BK1261&gt;=BO1261,0,_xlfn.XLOOKUP(F1261,Apuração!A:A,Apuração!B:B)*(BO1261 + (1/_xlfn.XLOOKUP(F1261,Apuração!A:A,Apuração!B:B)) - BK1261))</f>
        <v>0</v>
      </c>
      <c r="BR1261" s="85">
        <f t="shared" ca="1" si="1482"/>
        <v>0</v>
      </c>
      <c r="BS1261" s="53">
        <f ca="1">IFERROR((_xlfn.XLOOKUP(F1261,Apuração!A:A,Apuração!C:C)+1)/_xlfn.XLOOKUP(F1261,Apuração!A:A,Apuração!B:B),0)</f>
        <v>0.14285714285714285</v>
      </c>
    </row>
    <row r="1262" spans="1:71" ht="25.95" hidden="1" customHeight="1" x14ac:dyDescent="0.3">
      <c r="A1262" s="41" t="s">
        <v>108</v>
      </c>
      <c r="B1262" s="4" t="s">
        <v>129</v>
      </c>
      <c r="C1262" s="5" t="s">
        <v>209</v>
      </c>
      <c r="D1262" s="5" t="s">
        <v>36</v>
      </c>
      <c r="E1262" s="4" t="s">
        <v>61</v>
      </c>
      <c r="F1262" s="4" t="str" cm="1">
        <f t="array" ref="F1262">_xlfn.IFS(
AG1262 &lt;&gt; "", "Jan-Dez/26",
AH1262 &lt;&gt; "", "Fev-Dez/26",
AI1262 &lt;&gt; "", "Mar-Dez/26", AJ1262 &lt;&gt; "", "Abr-Dez/26",
TRUE, "A partir de Junho"
)</f>
        <v>A partir de Junho</v>
      </c>
      <c r="G1262" s="4" t="s">
        <v>62</v>
      </c>
      <c r="H1262" s="7" t="s">
        <v>38</v>
      </c>
      <c r="I1262" s="4" t="s">
        <v>130</v>
      </c>
      <c r="J1262" s="8" t="str" cm="1">
        <f t="array" aca="1" ref="J1262" ca="1">_xlfn.LET(
  _xlpm.actual_value_month, INDEX(T1262:AE1262, MATCH(DATE(YEAR(TODAY()), MONTH(TODAY()), 1), $T$1:$AE$1, 0)),
  IF(_xlpm.actual_value_month &lt;&gt; "",_xlpm.actual_value_month &amp; " ações mensais", "")
)</f>
        <v/>
      </c>
      <c r="K1262" s="8" t="str" cm="1">
        <f t="array" ref="K1262">_xlfn.LET(
    _xlpm.sum_month, SUM(T1262:AE1262),
    IF(_xlpm.sum_month = 0, "", _xlpm.sum_month &amp; " treinamento de motociclistas no ano")
)</f>
        <v/>
      </c>
      <c r="L1262" s="4" t="s">
        <v>131</v>
      </c>
      <c r="M1262" s="19"/>
      <c r="N1262" s="5" t="s">
        <v>42</v>
      </c>
      <c r="O1262" s="5"/>
      <c r="P1262" s="10"/>
      <c r="Q1262" s="10"/>
      <c r="R1262" s="11"/>
      <c r="S1262" s="11"/>
      <c r="T1262" s="22"/>
      <c r="U1262" s="22"/>
      <c r="V1262" s="22"/>
      <c r="W1262" s="22"/>
      <c r="X1262" s="22"/>
      <c r="Y1262" s="22"/>
      <c r="Z1262" s="22"/>
      <c r="AA1262" s="22"/>
      <c r="AB1262" s="22"/>
      <c r="AC1262" s="22"/>
      <c r="AD1262" s="22"/>
      <c r="AE1262" s="22"/>
      <c r="AF1262" s="81"/>
      <c r="AG1262" s="71"/>
      <c r="AH1262" s="71"/>
      <c r="AI1262" s="71"/>
      <c r="AJ1262" s="71"/>
      <c r="AK1262" s="71"/>
      <c r="AL1262" s="71"/>
      <c r="AM1262" s="71"/>
      <c r="AN1262" s="71"/>
      <c r="AO1262" s="71"/>
      <c r="AP1262" s="71"/>
      <c r="AQ1262" s="71"/>
      <c r="AR1262" s="71"/>
      <c r="AS1262" s="94"/>
      <c r="AT1262" s="95"/>
      <c r="AU1262" s="97"/>
      <c r="AV1262" s="81"/>
      <c r="AW1262" s="51">
        <f>IFERROR(IF(AG1262="",0,AG1262/T1262),0)</f>
        <v>0</v>
      </c>
      <c r="AX1262" s="51">
        <f>IFERROR(IF(AH1262="",0,AH1262/U1262),0)</f>
        <v>0</v>
      </c>
      <c r="AY1262" s="51">
        <f>IFERROR(IF(AI1262="",0,AI1262/V1262),0)</f>
        <v>0</v>
      </c>
      <c r="AZ1262" s="51">
        <f>IFERROR(IF(AJ1262="",0,AJ1262/W1262),0)</f>
        <v>0</v>
      </c>
      <c r="BA1262" s="51"/>
      <c r="BB1262" s="51"/>
      <c r="BC1262" s="51"/>
      <c r="BD1262" s="51"/>
      <c r="BE1262" s="51"/>
      <c r="BF1262" s="51"/>
      <c r="BG1262" s="51"/>
      <c r="BH1262" s="51"/>
      <c r="BI1262" s="65"/>
      <c r="BJ1262" s="68"/>
      <c r="BK1262" s="58">
        <f>IF((IF(AW1262&gt;=115%,115%,AW1262) + IF(AX1262&gt;=115%,115%,AX1262) + IF(AY1262&gt;=115%,115%,AY1262) + (IF(AZ1262&gt;=115%,115%,AZ1262) + IF(BA1262&gt;=115%,115%,BA1262) + IF(BB1262&gt;=115%,115%,BB1262) + IF(BC1262&gt;=115%,115%,BC1262) + IF(BD1262&gt;=115%,115%,BD1262) + IF(BE1262&gt;=115%,115%,BE1262) + IF(BF1262&gt;=115%,115%,BF1262) + IF(BG1262&gt;=115%,115%,BG1262) + IF(BH1262&gt;=115%,115%,BH1262)))/_xlfn.XLOOKUP(F1262,Apuração!A:A,Apuração!B:B)&gt;=1.15,1.15,((IF(AZ1262&gt;=115%,115%,AZ1262) + IF(AX1262&gt;=115%,115%,AX1262) + IF(AY1262&gt;=115%,115%,AY1262) + (IF(AW1262&gt;=115%,115%,AW1262) + IF(BA1262&gt;=115%,115%,BA1262) + IF(BB1262&gt;=115%,115%,BB1262) + IF(BC1262&gt;=115%,115%,BC1262) + IF(BD1262&gt;=115%,115%,BD1262) + IF(BE1262&gt;=115%,115%,BE1262) + IF(BF1262&gt;=115%,115%,BF1262) + IF(BG1262&gt;=115%,115%,BG1262) + IF(BH1262&gt;=115%,115%,BH1262)))/_xlfn.XLOOKUP(F1262,Apuração!A:A,Apuração!B:B)))</f>
        <v>0</v>
      </c>
      <c r="BL1262" s="58" cm="1">
        <f t="array" aca="1" ref="BL1262" ca="1">IF(SUM(IFERROR(IF(INDEX(AW1262:INDEX(AW1262:BH1262, MATCH(2, 1/(AW1262:BH1262&lt;&gt;""), 1)-1), ROW(INDIRECT("1:" &amp; MATCH(2, 1/(AW1262:BH1262&lt;&gt;""), 1)-1))) &gt;= 115%, 115%, INDEX(AW1262:INDEX(AW1262:BH1262, MATCH(2, 1/(AW1262:BH1262&lt;&gt;""), 1)-1), ROW(INDIRECT("1:" &amp; MATCH(2, 1/(AW1262:BH1262&lt;&gt;""), 1)-1)))), 0))/_xlfn.XLOOKUP(F1262,Apuração!A:A,Apuração!B:B)&gt;=1.15,1.15,SUM(IFERROR(IF(INDEX(AW1262:INDEX(AW1262:BH1262, MATCH(2, 1/(AW1262:BH1262&lt;&gt;""), 1)-1), ROW(INDIRECT("1:" &amp; MATCH(2, 1/(AW1262:BH1262&lt;&gt;""), 1)-1))) &gt;= 115%, 115%, INDEX(AW1262:INDEX(AW1262:BH1262, MATCH(2, 1/(AW1262:BH1262&lt;&gt;""), 1)-1), ROW(INDIRECT("1:" &amp; MATCH(2, 1/(AW1262:BH1262&lt;&gt;""), 1)-1)))), 0))/_xlfn.XLOOKUP(F1262,Apuração!A:A,Apuração!B:B))</f>
        <v>0</v>
      </c>
      <c r="BM1262" s="55"/>
      <c r="BN1262" s="55"/>
      <c r="BO1262" s="53">
        <f ca="1">IFERROR(_xlfn.XLOOKUP(F1262,Apuração!A:A,Apuração!C:C)/_xlfn.XLOOKUP(F1262,Apuração!A:A,Apuração!B:B),0)</f>
        <v>0</v>
      </c>
      <c r="BP1262" s="53">
        <f ca="1">IFERROR(_xlfn.XLOOKUP(F1262,Apuração!A:A,Apuração!D:D)/_xlfn.XLOOKUP(F1262,Apuração!A:A,Apuração!B:B),0)</f>
        <v>0</v>
      </c>
      <c r="BQ1262" s="53">
        <f ca="1">IF(BK1262&gt;=BO1262,0,_xlfn.XLOOKUP(F1262,Apuração!A:A,Apuração!B:B)*(BO1262 + (1/_xlfn.XLOOKUP(F1262,Apuração!A:A,Apuração!B:B)) - BK1262))</f>
        <v>0</v>
      </c>
      <c r="BR1262" s="85">
        <f ca="1">IF(BQ1262=0,0,BQ1262*Z1262)</f>
        <v>0</v>
      </c>
      <c r="BS1262" s="53">
        <f ca="1">IFERROR((_xlfn.XLOOKUP(F1262,Apuração!A:A,Apuração!C:C)+1)/_xlfn.XLOOKUP(F1262,Apuração!A:A,Apuração!B:B),0)</f>
        <v>0.14285714285714285</v>
      </c>
    </row>
    <row r="1263" spans="1:71" ht="25.95" hidden="1" customHeight="1" x14ac:dyDescent="0.3">
      <c r="A1263" s="41" t="s">
        <v>108</v>
      </c>
      <c r="B1263" s="4" t="s">
        <v>129</v>
      </c>
      <c r="C1263" s="5" t="s">
        <v>209</v>
      </c>
      <c r="D1263" s="5" t="s">
        <v>210</v>
      </c>
      <c r="E1263" s="4" t="s">
        <v>61</v>
      </c>
      <c r="F1263" s="4" t="str" cm="1">
        <f t="array" ref="F1263">_xlfn.IFS(
AG1263 &lt;&gt; "", "Jan-Dez/26",
AH1263 &lt;&gt; "", "Fev-Dez/26",
AI1263 &lt;&gt; "", "Mar-Dez/26", AJ1263 &lt;&gt; "", "Abr-Dez/26",
TRUE, "A partir de Junho"
)</f>
        <v>A partir de Junho</v>
      </c>
      <c r="G1263" s="4" t="s">
        <v>62</v>
      </c>
      <c r="H1263" s="7" t="s">
        <v>38</v>
      </c>
      <c r="I1263" s="4" t="s">
        <v>130</v>
      </c>
      <c r="J1263" s="8" t="str" cm="1">
        <f t="array" aca="1" ref="J1263" ca="1">_xlfn.LET(
  _xlpm.actual_value_month, INDEX(T1263:AE1263, MATCH(DATE(YEAR(TODAY()), MONTH(TODAY()), 1), $T$1:$AE$1, 0)),
  IF(_xlpm.actual_value_month &lt;&gt; "",_xlpm.actual_value_month &amp; " ações mensais", "")
)</f>
        <v/>
      </c>
      <c r="K1263" s="8" t="str" cm="1">
        <f t="array" ref="K1263">_xlfn.LET(
    _xlpm.sum_month, SUM(T1263:AE1263),
    IF(_xlpm.sum_month = 0, "", _xlpm.sum_month &amp; " treinamento de motociclistas no ano")
)</f>
        <v/>
      </c>
      <c r="L1263" s="4" t="s">
        <v>131</v>
      </c>
      <c r="M1263" s="19"/>
      <c r="N1263" s="5" t="s">
        <v>42</v>
      </c>
      <c r="O1263" s="5"/>
      <c r="P1263" s="10"/>
      <c r="Q1263" s="10"/>
      <c r="R1263" s="11"/>
      <c r="S1263" s="11"/>
      <c r="T1263" s="22"/>
      <c r="U1263" s="22"/>
      <c r="V1263" s="22"/>
      <c r="W1263" s="22"/>
      <c r="X1263" s="22"/>
      <c r="Y1263" s="22"/>
      <c r="Z1263" s="22"/>
      <c r="AA1263" s="22"/>
      <c r="AB1263" s="22"/>
      <c r="AC1263" s="22"/>
      <c r="AD1263" s="22"/>
      <c r="AE1263" s="22"/>
      <c r="AF1263" s="81"/>
      <c r="AG1263" s="71"/>
      <c r="AH1263" s="71"/>
      <c r="AI1263" s="71"/>
      <c r="AJ1263" s="71"/>
      <c r="AK1263" s="71"/>
      <c r="AL1263" s="71"/>
      <c r="AM1263" s="71"/>
      <c r="AN1263" s="71"/>
      <c r="AO1263" s="71"/>
      <c r="AP1263" s="71"/>
      <c r="AQ1263" s="71"/>
      <c r="AR1263" s="71"/>
      <c r="AS1263" s="94"/>
      <c r="AT1263" s="95"/>
      <c r="AU1263" s="97"/>
      <c r="AV1263" s="81"/>
      <c r="AW1263" s="51">
        <f t="shared" ref="AW1263:AW1267" si="1483">IFERROR(IF(AG1263="",0,AG1263/T1263),0)</f>
        <v>0</v>
      </c>
      <c r="AX1263" s="51">
        <f t="shared" ref="AX1263:AX1267" si="1484">IFERROR(IF(AH1263="",0,AH1263/U1263),0)</f>
        <v>0</v>
      </c>
      <c r="AY1263" s="51">
        <f t="shared" ref="AY1263:AY1267" si="1485">IFERROR(IF(AI1263="",0,AI1263/V1263),0)</f>
        <v>0</v>
      </c>
      <c r="AZ1263" s="51">
        <f t="shared" ref="AZ1263:AZ1267" si="1486">IFERROR(IF(AJ1263="",0,AJ1263/W1263),0)</f>
        <v>0</v>
      </c>
      <c r="BA1263" s="51"/>
      <c r="BB1263" s="51"/>
      <c r="BC1263" s="51"/>
      <c r="BD1263" s="51"/>
      <c r="BE1263" s="51"/>
      <c r="BF1263" s="51"/>
      <c r="BG1263" s="51"/>
      <c r="BH1263" s="51"/>
      <c r="BI1263" s="65"/>
      <c r="BJ1263" s="68"/>
      <c r="BK1263" s="58">
        <f>IF((IF(AW1263&gt;=115%,115%,AW1263) + IF(AX1263&gt;=115%,115%,AX1263) + IF(AY1263&gt;=115%,115%,AY1263) + (IF(AZ1263&gt;=115%,115%,AZ1263) + IF(BA1263&gt;=115%,115%,BA1263) + IF(BB1263&gt;=115%,115%,BB1263) + IF(BC1263&gt;=115%,115%,BC1263) + IF(BD1263&gt;=115%,115%,BD1263) + IF(BE1263&gt;=115%,115%,BE1263) + IF(BF1263&gt;=115%,115%,BF1263) + IF(BG1263&gt;=115%,115%,BG1263) + IF(BH1263&gt;=115%,115%,BH1263)))/_xlfn.XLOOKUP(F1263,Apuração!A:A,Apuração!B:B)&gt;=1.15,1.15,((IF(AZ1263&gt;=115%,115%,AZ1263) + IF(AX1263&gt;=115%,115%,AX1263) + IF(AY1263&gt;=115%,115%,AY1263) + (IF(AW1263&gt;=115%,115%,AW1263) + IF(BA1263&gt;=115%,115%,BA1263) + IF(BB1263&gt;=115%,115%,BB1263) + IF(BC1263&gt;=115%,115%,BC1263) + IF(BD1263&gt;=115%,115%,BD1263) + IF(BE1263&gt;=115%,115%,BE1263) + IF(BF1263&gt;=115%,115%,BF1263) + IF(BG1263&gt;=115%,115%,BG1263) + IF(BH1263&gt;=115%,115%,BH1263)))/_xlfn.XLOOKUP(F1263,Apuração!A:A,Apuração!B:B)))</f>
        <v>0</v>
      </c>
      <c r="BL1263" s="58" cm="1">
        <f t="array" aca="1" ref="BL1263" ca="1">IF(SUM(IFERROR(IF(INDEX(AW1263:INDEX(AW1263:BH1263, MATCH(2, 1/(AW1263:BH1263&lt;&gt;""), 1)-1), ROW(INDIRECT("1:" &amp; MATCH(2, 1/(AW1263:BH1263&lt;&gt;""), 1)-1))) &gt;= 115%, 115%, INDEX(AW1263:INDEX(AW1263:BH1263, MATCH(2, 1/(AW1263:BH1263&lt;&gt;""), 1)-1), ROW(INDIRECT("1:" &amp; MATCH(2, 1/(AW1263:BH1263&lt;&gt;""), 1)-1)))), 0))/_xlfn.XLOOKUP(F1263,Apuração!A:A,Apuração!B:B)&gt;=1.15,1.15,SUM(IFERROR(IF(INDEX(AW1263:INDEX(AW1263:BH1263, MATCH(2, 1/(AW1263:BH1263&lt;&gt;""), 1)-1), ROW(INDIRECT("1:" &amp; MATCH(2, 1/(AW1263:BH1263&lt;&gt;""), 1)-1))) &gt;= 115%, 115%, INDEX(AW1263:INDEX(AW1263:BH1263, MATCH(2, 1/(AW1263:BH1263&lt;&gt;""), 1)-1), ROW(INDIRECT("1:" &amp; MATCH(2, 1/(AW1263:BH1263&lt;&gt;""), 1)-1)))), 0))/_xlfn.XLOOKUP(F1263,Apuração!A:A,Apuração!B:B))</f>
        <v>0</v>
      </c>
      <c r="BM1263" s="55"/>
      <c r="BN1263" s="55"/>
      <c r="BO1263" s="53">
        <f ca="1">IFERROR(_xlfn.XLOOKUP(F1263,Apuração!A:A,Apuração!C:C)/_xlfn.XLOOKUP(F1263,Apuração!A:A,Apuração!B:B),0)</f>
        <v>0</v>
      </c>
      <c r="BP1263" s="53">
        <f ca="1">IFERROR(_xlfn.XLOOKUP(F1263,Apuração!A:A,Apuração!D:D)/_xlfn.XLOOKUP(F1263,Apuração!A:A,Apuração!B:B),0)</f>
        <v>0</v>
      </c>
      <c r="BQ1263" s="53">
        <f ca="1">IF(BK1263&gt;=BO1263,0,_xlfn.XLOOKUP(F1263,Apuração!A:A,Apuração!B:B)*(BO1263 + (1/_xlfn.XLOOKUP(F1263,Apuração!A:A,Apuração!B:B)) - BK1263))</f>
        <v>0</v>
      </c>
      <c r="BR1263" s="85">
        <f t="shared" ref="BR1263:BR1267" ca="1" si="1487">IF(BQ1263=0,0,BQ1263*Z1263)</f>
        <v>0</v>
      </c>
      <c r="BS1263" s="53">
        <f ca="1">IFERROR((_xlfn.XLOOKUP(F1263,Apuração!A:A,Apuração!C:C)+1)/_xlfn.XLOOKUP(F1263,Apuração!A:A,Apuração!B:B),0)</f>
        <v>0.14285714285714285</v>
      </c>
    </row>
    <row r="1264" spans="1:71" ht="25.95" hidden="1" customHeight="1" x14ac:dyDescent="0.3">
      <c r="A1264" s="41" t="s">
        <v>108</v>
      </c>
      <c r="B1264" s="4" t="s">
        <v>129</v>
      </c>
      <c r="C1264" s="5" t="s">
        <v>209</v>
      </c>
      <c r="D1264" s="5" t="s">
        <v>47</v>
      </c>
      <c r="E1264" s="4" t="s">
        <v>61</v>
      </c>
      <c r="F1264" s="4" t="str" cm="1">
        <f t="array" ref="F1264">_xlfn.IFS(
AG1264 &lt;&gt; "", "Jan-Dez/26",
AH1264 &lt;&gt; "", "Fev-Dez/26",
AI1264 &lt;&gt; "", "Mar-Dez/26", AJ1264 &lt;&gt; "", "Abr-Dez/26",
TRUE, "A partir de Junho"
)</f>
        <v>A partir de Junho</v>
      </c>
      <c r="G1264" s="4" t="s">
        <v>62</v>
      </c>
      <c r="H1264" s="7" t="s">
        <v>38</v>
      </c>
      <c r="I1264" s="4" t="s">
        <v>130</v>
      </c>
      <c r="J1264" s="8" t="str" cm="1">
        <f t="array" aca="1" ref="J1264" ca="1">_xlfn.LET(
  _xlpm.actual_value_month, INDEX(T1264:AE1264, MATCH(DATE(YEAR(TODAY()), MONTH(TODAY()), 1), $T$1:$AE$1, 0)),
  IF(_xlpm.actual_value_month &lt;&gt; "",_xlpm.actual_value_month &amp; " ações mensais", "")
)</f>
        <v/>
      </c>
      <c r="K1264" s="8" t="str" cm="1">
        <f t="array" ref="K1264">_xlfn.LET(
    _xlpm.sum_month, SUM(T1264:AE1264),
    IF(_xlpm.sum_month = 0, "", _xlpm.sum_month &amp; " treinamento de motociclistas no ano")
)</f>
        <v/>
      </c>
      <c r="L1264" s="4" t="s">
        <v>131</v>
      </c>
      <c r="M1264" s="19"/>
      <c r="N1264" s="5" t="s">
        <v>42</v>
      </c>
      <c r="O1264" s="5"/>
      <c r="P1264" s="10"/>
      <c r="Q1264" s="10"/>
      <c r="R1264" s="11"/>
      <c r="S1264" s="11"/>
      <c r="T1264" s="22"/>
      <c r="U1264" s="22"/>
      <c r="V1264" s="22"/>
      <c r="W1264" s="22"/>
      <c r="X1264" s="22"/>
      <c r="Y1264" s="22"/>
      <c r="Z1264" s="22"/>
      <c r="AA1264" s="22"/>
      <c r="AB1264" s="22"/>
      <c r="AC1264" s="22"/>
      <c r="AD1264" s="22"/>
      <c r="AE1264" s="22"/>
      <c r="AF1264" s="81"/>
      <c r="AG1264" s="71"/>
      <c r="AH1264" s="71"/>
      <c r="AI1264" s="71"/>
      <c r="AJ1264" s="71"/>
      <c r="AK1264" s="71"/>
      <c r="AL1264" s="71"/>
      <c r="AM1264" s="71"/>
      <c r="AN1264" s="71"/>
      <c r="AO1264" s="71"/>
      <c r="AP1264" s="71"/>
      <c r="AQ1264" s="71"/>
      <c r="AR1264" s="71"/>
      <c r="AS1264" s="94"/>
      <c r="AT1264" s="95"/>
      <c r="AU1264" s="97"/>
      <c r="AV1264" s="81"/>
      <c r="AW1264" s="51">
        <f t="shared" si="1483"/>
        <v>0</v>
      </c>
      <c r="AX1264" s="51">
        <f t="shared" si="1484"/>
        <v>0</v>
      </c>
      <c r="AY1264" s="51">
        <f t="shared" si="1485"/>
        <v>0</v>
      </c>
      <c r="AZ1264" s="51">
        <f t="shared" si="1486"/>
        <v>0</v>
      </c>
      <c r="BA1264" s="51"/>
      <c r="BB1264" s="51"/>
      <c r="BC1264" s="51"/>
      <c r="BD1264" s="51"/>
      <c r="BE1264" s="51"/>
      <c r="BF1264" s="51"/>
      <c r="BG1264" s="51"/>
      <c r="BH1264" s="51"/>
      <c r="BI1264" s="65"/>
      <c r="BJ1264" s="68"/>
      <c r="BK1264" s="58">
        <f>IF((IF(AW1264&gt;=115%,115%,AW1264) + IF(AX1264&gt;=115%,115%,AX1264) + IF(AY1264&gt;=115%,115%,AY1264) + (IF(AZ1264&gt;=115%,115%,AZ1264) + IF(BA1264&gt;=115%,115%,BA1264) + IF(BB1264&gt;=115%,115%,BB1264) + IF(BC1264&gt;=115%,115%,BC1264) + IF(BD1264&gt;=115%,115%,BD1264) + IF(BE1264&gt;=115%,115%,BE1264) + IF(BF1264&gt;=115%,115%,BF1264) + IF(BG1264&gt;=115%,115%,BG1264) + IF(BH1264&gt;=115%,115%,BH1264)))/_xlfn.XLOOKUP(F1264,Apuração!A:A,Apuração!B:B)&gt;=1.15,1.15,((IF(AZ1264&gt;=115%,115%,AZ1264) + IF(AX1264&gt;=115%,115%,AX1264) + IF(AY1264&gt;=115%,115%,AY1264) + (IF(AW1264&gt;=115%,115%,AW1264) + IF(BA1264&gt;=115%,115%,BA1264) + IF(BB1264&gt;=115%,115%,BB1264) + IF(BC1264&gt;=115%,115%,BC1264) + IF(BD1264&gt;=115%,115%,BD1264) + IF(BE1264&gt;=115%,115%,BE1264) + IF(BF1264&gt;=115%,115%,BF1264) + IF(BG1264&gt;=115%,115%,BG1264) + IF(BH1264&gt;=115%,115%,BH1264)))/_xlfn.XLOOKUP(F1264,Apuração!A:A,Apuração!B:B)))</f>
        <v>0</v>
      </c>
      <c r="BL1264" s="58" cm="1">
        <f t="array" aca="1" ref="BL1264" ca="1">IF(SUM(IFERROR(IF(INDEX(AW1264:INDEX(AW1264:BH1264, MATCH(2, 1/(AW1264:BH1264&lt;&gt;""), 1)-1), ROW(INDIRECT("1:" &amp; MATCH(2, 1/(AW1264:BH1264&lt;&gt;""), 1)-1))) &gt;= 115%, 115%, INDEX(AW1264:INDEX(AW1264:BH1264, MATCH(2, 1/(AW1264:BH1264&lt;&gt;""), 1)-1), ROW(INDIRECT("1:" &amp; MATCH(2, 1/(AW1264:BH1264&lt;&gt;""), 1)-1)))), 0))/_xlfn.XLOOKUP(F1264,Apuração!A:A,Apuração!B:B)&gt;=1.15,1.15,SUM(IFERROR(IF(INDEX(AW1264:INDEX(AW1264:BH1264, MATCH(2, 1/(AW1264:BH1264&lt;&gt;""), 1)-1), ROW(INDIRECT("1:" &amp; MATCH(2, 1/(AW1264:BH1264&lt;&gt;""), 1)-1))) &gt;= 115%, 115%, INDEX(AW1264:INDEX(AW1264:BH1264, MATCH(2, 1/(AW1264:BH1264&lt;&gt;""), 1)-1), ROW(INDIRECT("1:" &amp; MATCH(2, 1/(AW1264:BH1264&lt;&gt;""), 1)-1)))), 0))/_xlfn.XLOOKUP(F1264,Apuração!A:A,Apuração!B:B))</f>
        <v>0</v>
      </c>
      <c r="BM1264" s="55"/>
      <c r="BN1264" s="55"/>
      <c r="BO1264" s="53">
        <f ca="1">IFERROR(_xlfn.XLOOKUP(F1264,Apuração!A:A,Apuração!C:C)/_xlfn.XLOOKUP(F1264,Apuração!A:A,Apuração!B:B),0)</f>
        <v>0</v>
      </c>
      <c r="BP1264" s="53">
        <f ca="1">IFERROR(_xlfn.XLOOKUP(F1264,Apuração!A:A,Apuração!D:D)/_xlfn.XLOOKUP(F1264,Apuração!A:A,Apuração!B:B),0)</f>
        <v>0</v>
      </c>
      <c r="BQ1264" s="53">
        <f ca="1">IF(BK1264&gt;=BO1264,0,_xlfn.XLOOKUP(F1264,Apuração!A:A,Apuração!B:B)*(BO1264 + (1/_xlfn.XLOOKUP(F1264,Apuração!A:A,Apuração!B:B)) - BK1264))</f>
        <v>0</v>
      </c>
      <c r="BR1264" s="85">
        <f t="shared" ca="1" si="1487"/>
        <v>0</v>
      </c>
      <c r="BS1264" s="53">
        <f ca="1">IFERROR((_xlfn.XLOOKUP(F1264,Apuração!A:A,Apuração!C:C)+1)/_xlfn.XLOOKUP(F1264,Apuração!A:A,Apuração!B:B),0)</f>
        <v>0.14285714285714285</v>
      </c>
    </row>
    <row r="1265" spans="1:71" ht="25.95" hidden="1" customHeight="1" x14ac:dyDescent="0.3">
      <c r="A1265" s="41" t="s">
        <v>108</v>
      </c>
      <c r="B1265" s="4" t="s">
        <v>129</v>
      </c>
      <c r="C1265" s="5" t="s">
        <v>209</v>
      </c>
      <c r="D1265" s="5" t="s">
        <v>211</v>
      </c>
      <c r="E1265" s="4" t="s">
        <v>61</v>
      </c>
      <c r="F1265" s="4" t="str" cm="1">
        <f t="array" ref="F1265">_xlfn.IFS(
AG1265 &lt;&gt; "", "Jan-Dez/26",
AH1265 &lt;&gt; "", "Fev-Dez/26",
AI1265 &lt;&gt; "", "Mar-Dez/26", AJ1265 &lt;&gt; "", "Abr-Dez/26",
TRUE, "A partir de Junho"
)</f>
        <v>A partir de Junho</v>
      </c>
      <c r="G1265" s="4" t="s">
        <v>62</v>
      </c>
      <c r="H1265" s="7" t="s">
        <v>38</v>
      </c>
      <c r="I1265" s="4" t="s">
        <v>130</v>
      </c>
      <c r="J1265" s="8" t="str" cm="1">
        <f t="array" aca="1" ref="J1265" ca="1">_xlfn.LET(
  _xlpm.actual_value_month, INDEX(T1265:AE1265, MATCH(DATE(YEAR(TODAY()), MONTH(TODAY()), 1), $T$1:$AE$1, 0)),
  IF(_xlpm.actual_value_month &lt;&gt; "",_xlpm.actual_value_month &amp; " ações mensais", "")
)</f>
        <v/>
      </c>
      <c r="K1265" s="8" t="str" cm="1">
        <f t="array" ref="K1265">_xlfn.LET(
    _xlpm.sum_month, SUM(T1265:AE1265),
    IF(_xlpm.sum_month = 0, "", _xlpm.sum_month &amp; " treinamento de motociclistas no ano")
)</f>
        <v/>
      </c>
      <c r="L1265" s="4" t="s">
        <v>131</v>
      </c>
      <c r="M1265" s="19"/>
      <c r="N1265" s="5" t="s">
        <v>42</v>
      </c>
      <c r="O1265" s="5"/>
      <c r="P1265" s="10"/>
      <c r="Q1265" s="10"/>
      <c r="R1265" s="11"/>
      <c r="S1265" s="11"/>
      <c r="T1265" s="22"/>
      <c r="U1265" s="22"/>
      <c r="V1265" s="22"/>
      <c r="W1265" s="22"/>
      <c r="X1265" s="22"/>
      <c r="Y1265" s="22"/>
      <c r="Z1265" s="22"/>
      <c r="AA1265" s="22"/>
      <c r="AB1265" s="22"/>
      <c r="AC1265" s="22"/>
      <c r="AD1265" s="22"/>
      <c r="AE1265" s="22"/>
      <c r="AF1265" s="81"/>
      <c r="AG1265" s="71"/>
      <c r="AH1265" s="71"/>
      <c r="AI1265" s="71"/>
      <c r="AJ1265" s="71"/>
      <c r="AK1265" s="71"/>
      <c r="AL1265" s="71"/>
      <c r="AM1265" s="71"/>
      <c r="AN1265" s="71"/>
      <c r="AO1265" s="71"/>
      <c r="AP1265" s="71"/>
      <c r="AQ1265" s="71"/>
      <c r="AR1265" s="71"/>
      <c r="AS1265" s="94"/>
      <c r="AT1265" s="95"/>
      <c r="AU1265" s="97"/>
      <c r="AV1265" s="81"/>
      <c r="AW1265" s="51">
        <f t="shared" si="1483"/>
        <v>0</v>
      </c>
      <c r="AX1265" s="51">
        <f t="shared" si="1484"/>
        <v>0</v>
      </c>
      <c r="AY1265" s="51">
        <f t="shared" si="1485"/>
        <v>0</v>
      </c>
      <c r="AZ1265" s="51">
        <f t="shared" si="1486"/>
        <v>0</v>
      </c>
      <c r="BA1265" s="51"/>
      <c r="BB1265" s="51"/>
      <c r="BC1265" s="51"/>
      <c r="BD1265" s="51"/>
      <c r="BE1265" s="51"/>
      <c r="BF1265" s="51"/>
      <c r="BG1265" s="51"/>
      <c r="BH1265" s="51"/>
      <c r="BI1265" s="65"/>
      <c r="BJ1265" s="68"/>
      <c r="BK1265" s="58">
        <f>IF((IF(AW1265&gt;=115%,115%,AW1265) + IF(AX1265&gt;=115%,115%,AX1265) + IF(AY1265&gt;=115%,115%,AY1265) + (IF(AZ1265&gt;=115%,115%,AZ1265) + IF(BA1265&gt;=115%,115%,BA1265) + IF(BB1265&gt;=115%,115%,BB1265) + IF(BC1265&gt;=115%,115%,BC1265) + IF(BD1265&gt;=115%,115%,BD1265) + IF(BE1265&gt;=115%,115%,BE1265) + IF(BF1265&gt;=115%,115%,BF1265) + IF(BG1265&gt;=115%,115%,BG1265) + IF(BH1265&gt;=115%,115%,BH1265)))/_xlfn.XLOOKUP(F1265,Apuração!A:A,Apuração!B:B)&gt;=1.15,1.15,((IF(AZ1265&gt;=115%,115%,AZ1265) + IF(AX1265&gt;=115%,115%,AX1265) + IF(AY1265&gt;=115%,115%,AY1265) + (IF(AW1265&gt;=115%,115%,AW1265) + IF(BA1265&gt;=115%,115%,BA1265) + IF(BB1265&gt;=115%,115%,BB1265) + IF(BC1265&gt;=115%,115%,BC1265) + IF(BD1265&gt;=115%,115%,BD1265) + IF(BE1265&gt;=115%,115%,BE1265) + IF(BF1265&gt;=115%,115%,BF1265) + IF(BG1265&gt;=115%,115%,BG1265) + IF(BH1265&gt;=115%,115%,BH1265)))/_xlfn.XLOOKUP(F1265,Apuração!A:A,Apuração!B:B)))</f>
        <v>0</v>
      </c>
      <c r="BL1265" s="58" cm="1">
        <f t="array" aca="1" ref="BL1265" ca="1">IF(SUM(IFERROR(IF(INDEX(AW1265:INDEX(AW1265:BH1265, MATCH(2, 1/(AW1265:BH1265&lt;&gt;""), 1)-1), ROW(INDIRECT("1:" &amp; MATCH(2, 1/(AW1265:BH1265&lt;&gt;""), 1)-1))) &gt;= 115%, 115%, INDEX(AW1265:INDEX(AW1265:BH1265, MATCH(2, 1/(AW1265:BH1265&lt;&gt;""), 1)-1), ROW(INDIRECT("1:" &amp; MATCH(2, 1/(AW1265:BH1265&lt;&gt;""), 1)-1)))), 0))/_xlfn.XLOOKUP(F1265,Apuração!A:A,Apuração!B:B)&gt;=1.15,1.15,SUM(IFERROR(IF(INDEX(AW1265:INDEX(AW1265:BH1265, MATCH(2, 1/(AW1265:BH1265&lt;&gt;""), 1)-1), ROW(INDIRECT("1:" &amp; MATCH(2, 1/(AW1265:BH1265&lt;&gt;""), 1)-1))) &gt;= 115%, 115%, INDEX(AW1265:INDEX(AW1265:BH1265, MATCH(2, 1/(AW1265:BH1265&lt;&gt;""), 1)-1), ROW(INDIRECT("1:" &amp; MATCH(2, 1/(AW1265:BH1265&lt;&gt;""), 1)-1)))), 0))/_xlfn.XLOOKUP(F1265,Apuração!A:A,Apuração!B:B))</f>
        <v>0</v>
      </c>
      <c r="BM1265" s="55"/>
      <c r="BN1265" s="55"/>
      <c r="BO1265" s="53">
        <f ca="1">IFERROR(_xlfn.XLOOKUP(F1265,Apuração!A:A,Apuração!C:C)/_xlfn.XLOOKUP(F1265,Apuração!A:A,Apuração!B:B),0)</f>
        <v>0</v>
      </c>
      <c r="BP1265" s="53">
        <f ca="1">IFERROR(_xlfn.XLOOKUP(F1265,Apuração!A:A,Apuração!D:D)/_xlfn.XLOOKUP(F1265,Apuração!A:A,Apuração!B:B),0)</f>
        <v>0</v>
      </c>
      <c r="BQ1265" s="53">
        <f ca="1">IF(BK1265&gt;=BO1265,0,_xlfn.XLOOKUP(F1265,Apuração!A:A,Apuração!B:B)*(BO1265 + (1/_xlfn.XLOOKUP(F1265,Apuração!A:A,Apuração!B:B)) - BK1265))</f>
        <v>0</v>
      </c>
      <c r="BR1265" s="85">
        <f t="shared" ca="1" si="1487"/>
        <v>0</v>
      </c>
      <c r="BS1265" s="53">
        <f ca="1">IFERROR((_xlfn.XLOOKUP(F1265,Apuração!A:A,Apuração!C:C)+1)/_xlfn.XLOOKUP(F1265,Apuração!A:A,Apuração!B:B),0)</f>
        <v>0.14285714285714285</v>
      </c>
    </row>
    <row r="1266" spans="1:71" ht="25.95" hidden="1" customHeight="1" x14ac:dyDescent="0.3">
      <c r="A1266" s="41" t="s">
        <v>108</v>
      </c>
      <c r="B1266" s="4" t="s">
        <v>129</v>
      </c>
      <c r="C1266" s="5" t="s">
        <v>209</v>
      </c>
      <c r="D1266" s="5" t="s">
        <v>212</v>
      </c>
      <c r="E1266" s="4" t="s">
        <v>61</v>
      </c>
      <c r="F1266" s="4" t="str" cm="1">
        <f t="array" ref="F1266">_xlfn.IFS(
AG1266 &lt;&gt; "", "Jan-Dez/26",
AH1266 &lt;&gt; "", "Fev-Dez/26",
AI1266 &lt;&gt; "", "Mar-Dez/26", AJ1266 &lt;&gt; "", "Abr-Dez/26",
TRUE, "A partir de Junho"
)</f>
        <v>A partir de Junho</v>
      </c>
      <c r="G1266" s="4" t="s">
        <v>62</v>
      </c>
      <c r="H1266" s="7" t="s">
        <v>38</v>
      </c>
      <c r="I1266" s="4" t="s">
        <v>130</v>
      </c>
      <c r="J1266" s="8" t="str" cm="1">
        <f t="array" aca="1" ref="J1266" ca="1">_xlfn.LET(
  _xlpm.actual_value_month, INDEX(T1266:AE1266, MATCH(DATE(YEAR(TODAY()), MONTH(TODAY()), 1), $T$1:$AE$1, 0)),
  IF(_xlpm.actual_value_month &lt;&gt; "",_xlpm.actual_value_month &amp; " ações mensais", "")
)</f>
        <v/>
      </c>
      <c r="K1266" s="8" t="str" cm="1">
        <f t="array" ref="K1266">_xlfn.LET(
    _xlpm.sum_month, SUM(T1266:AE1266),
    IF(_xlpm.sum_month = 0, "", _xlpm.sum_month &amp; " treinamento de motociclistas no ano")
)</f>
        <v/>
      </c>
      <c r="L1266" s="4" t="s">
        <v>131</v>
      </c>
      <c r="M1266" s="19"/>
      <c r="N1266" s="5" t="s">
        <v>42</v>
      </c>
      <c r="O1266" s="5"/>
      <c r="P1266" s="10"/>
      <c r="Q1266" s="10"/>
      <c r="R1266" s="11"/>
      <c r="S1266" s="11"/>
      <c r="T1266" s="22"/>
      <c r="U1266" s="22"/>
      <c r="V1266" s="22"/>
      <c r="W1266" s="22"/>
      <c r="X1266" s="22"/>
      <c r="Y1266" s="22"/>
      <c r="Z1266" s="22"/>
      <c r="AA1266" s="22"/>
      <c r="AB1266" s="22"/>
      <c r="AC1266" s="22"/>
      <c r="AD1266" s="22"/>
      <c r="AE1266" s="22"/>
      <c r="AF1266" s="81"/>
      <c r="AG1266" s="71"/>
      <c r="AH1266" s="71"/>
      <c r="AI1266" s="71"/>
      <c r="AJ1266" s="71"/>
      <c r="AK1266" s="71"/>
      <c r="AL1266" s="71"/>
      <c r="AM1266" s="71"/>
      <c r="AN1266" s="71"/>
      <c r="AO1266" s="71"/>
      <c r="AP1266" s="71"/>
      <c r="AQ1266" s="71"/>
      <c r="AR1266" s="71"/>
      <c r="AS1266" s="94"/>
      <c r="AT1266" s="95"/>
      <c r="AU1266" s="97"/>
      <c r="AV1266" s="81"/>
      <c r="AW1266" s="51">
        <f t="shared" si="1483"/>
        <v>0</v>
      </c>
      <c r="AX1266" s="51">
        <f t="shared" si="1484"/>
        <v>0</v>
      </c>
      <c r="AY1266" s="51">
        <f t="shared" si="1485"/>
        <v>0</v>
      </c>
      <c r="AZ1266" s="51">
        <f t="shared" si="1486"/>
        <v>0</v>
      </c>
      <c r="BA1266" s="51"/>
      <c r="BB1266" s="51"/>
      <c r="BC1266" s="51"/>
      <c r="BD1266" s="51"/>
      <c r="BE1266" s="51"/>
      <c r="BF1266" s="51"/>
      <c r="BG1266" s="51"/>
      <c r="BH1266" s="51"/>
      <c r="BI1266" s="65"/>
      <c r="BJ1266" s="68"/>
      <c r="BK1266" s="58">
        <f>IF((IF(AW1266&gt;=115%,115%,AW1266) + IF(AX1266&gt;=115%,115%,AX1266) + IF(AY1266&gt;=115%,115%,AY1266) + (IF(AZ1266&gt;=115%,115%,AZ1266) + IF(BA1266&gt;=115%,115%,BA1266) + IF(BB1266&gt;=115%,115%,BB1266) + IF(BC1266&gt;=115%,115%,BC1266) + IF(BD1266&gt;=115%,115%,BD1266) + IF(BE1266&gt;=115%,115%,BE1266) + IF(BF1266&gt;=115%,115%,BF1266) + IF(BG1266&gt;=115%,115%,BG1266) + IF(BH1266&gt;=115%,115%,BH1266)))/_xlfn.XLOOKUP(F1266,Apuração!A:A,Apuração!B:B)&gt;=1.15,1.15,((IF(AZ1266&gt;=115%,115%,AZ1266) + IF(AX1266&gt;=115%,115%,AX1266) + IF(AY1266&gt;=115%,115%,AY1266) + (IF(AW1266&gt;=115%,115%,AW1266) + IF(BA1266&gt;=115%,115%,BA1266) + IF(BB1266&gt;=115%,115%,BB1266) + IF(BC1266&gt;=115%,115%,BC1266) + IF(BD1266&gt;=115%,115%,BD1266) + IF(BE1266&gt;=115%,115%,BE1266) + IF(BF1266&gt;=115%,115%,BF1266) + IF(BG1266&gt;=115%,115%,BG1266) + IF(BH1266&gt;=115%,115%,BH1266)))/_xlfn.XLOOKUP(F1266,Apuração!A:A,Apuração!B:B)))</f>
        <v>0</v>
      </c>
      <c r="BL1266" s="58" cm="1">
        <f t="array" aca="1" ref="BL1266" ca="1">IF(SUM(IFERROR(IF(INDEX(AW1266:INDEX(AW1266:BH1266, MATCH(2, 1/(AW1266:BH1266&lt;&gt;""), 1)-1), ROW(INDIRECT("1:" &amp; MATCH(2, 1/(AW1266:BH1266&lt;&gt;""), 1)-1))) &gt;= 115%, 115%, INDEX(AW1266:INDEX(AW1266:BH1266, MATCH(2, 1/(AW1266:BH1266&lt;&gt;""), 1)-1), ROW(INDIRECT("1:" &amp; MATCH(2, 1/(AW1266:BH1266&lt;&gt;""), 1)-1)))), 0))/_xlfn.XLOOKUP(F1266,Apuração!A:A,Apuração!B:B)&gt;=1.15,1.15,SUM(IFERROR(IF(INDEX(AW1266:INDEX(AW1266:BH1266, MATCH(2, 1/(AW1266:BH1266&lt;&gt;""), 1)-1), ROW(INDIRECT("1:" &amp; MATCH(2, 1/(AW1266:BH1266&lt;&gt;""), 1)-1))) &gt;= 115%, 115%, INDEX(AW1266:INDEX(AW1266:BH1266, MATCH(2, 1/(AW1266:BH1266&lt;&gt;""), 1)-1), ROW(INDIRECT("1:" &amp; MATCH(2, 1/(AW1266:BH1266&lt;&gt;""), 1)-1)))), 0))/_xlfn.XLOOKUP(F1266,Apuração!A:A,Apuração!B:B))</f>
        <v>0</v>
      </c>
      <c r="BM1266" s="55"/>
      <c r="BN1266" s="55"/>
      <c r="BO1266" s="53">
        <f ca="1">IFERROR(_xlfn.XLOOKUP(F1266,Apuração!A:A,Apuração!C:C)/_xlfn.XLOOKUP(F1266,Apuração!A:A,Apuração!B:B),0)</f>
        <v>0</v>
      </c>
      <c r="BP1266" s="53">
        <f ca="1">IFERROR(_xlfn.XLOOKUP(F1266,Apuração!A:A,Apuração!D:D)/_xlfn.XLOOKUP(F1266,Apuração!A:A,Apuração!B:B),0)</f>
        <v>0</v>
      </c>
      <c r="BQ1266" s="53">
        <f ca="1">IF(BK1266&gt;=BO1266,0,_xlfn.XLOOKUP(F1266,Apuração!A:A,Apuração!B:B)*(BO1266 + (1/_xlfn.XLOOKUP(F1266,Apuração!A:A,Apuração!B:B)) - BK1266))</f>
        <v>0</v>
      </c>
      <c r="BR1266" s="85">
        <f t="shared" ca="1" si="1487"/>
        <v>0</v>
      </c>
      <c r="BS1266" s="53">
        <f ca="1">IFERROR((_xlfn.XLOOKUP(F1266,Apuração!A:A,Apuração!C:C)+1)/_xlfn.XLOOKUP(F1266,Apuração!A:A,Apuração!B:B),0)</f>
        <v>0.14285714285714285</v>
      </c>
    </row>
    <row r="1267" spans="1:71" ht="25.95" hidden="1" customHeight="1" x14ac:dyDescent="0.3">
      <c r="A1267" s="41" t="s">
        <v>108</v>
      </c>
      <c r="B1267" s="4" t="s">
        <v>129</v>
      </c>
      <c r="C1267" s="5" t="s">
        <v>209</v>
      </c>
      <c r="D1267" s="5" t="s">
        <v>213</v>
      </c>
      <c r="E1267" s="4" t="s">
        <v>61</v>
      </c>
      <c r="F1267" s="4" t="str" cm="1">
        <f t="array" ref="F1267">_xlfn.IFS(
AG1267 &lt;&gt; "", "Jan-Dez/26",
AH1267 &lt;&gt; "", "Fev-Dez/26",
AI1267 &lt;&gt; "", "Mar-Dez/26", AJ1267 &lt;&gt; "", "Abr-Dez/26",
TRUE, "A partir de Junho"
)</f>
        <v>A partir de Junho</v>
      </c>
      <c r="G1267" s="4" t="s">
        <v>62</v>
      </c>
      <c r="H1267" s="7" t="s">
        <v>38</v>
      </c>
      <c r="I1267" s="4" t="s">
        <v>130</v>
      </c>
      <c r="J1267" s="8" t="str" cm="1">
        <f t="array" aca="1" ref="J1267" ca="1">_xlfn.LET(
  _xlpm.actual_value_month, INDEX(T1267:AE1267, MATCH(DATE(YEAR(TODAY()), MONTH(TODAY()), 1), $T$1:$AE$1, 0)),
  IF(_xlpm.actual_value_month &lt;&gt; "",_xlpm.actual_value_month &amp; " ações mensais", "")
)</f>
        <v/>
      </c>
      <c r="K1267" s="8" t="str" cm="1">
        <f t="array" ref="K1267">_xlfn.LET(
    _xlpm.sum_month, SUM(T1267:AE1267),
    IF(_xlpm.sum_month = 0, "", _xlpm.sum_month &amp; " treinamento de motociclistas no ano")
)</f>
        <v/>
      </c>
      <c r="L1267" s="4" t="s">
        <v>131</v>
      </c>
      <c r="M1267" s="19"/>
      <c r="N1267" s="5" t="s">
        <v>42</v>
      </c>
      <c r="O1267" s="5"/>
      <c r="P1267" s="10"/>
      <c r="Q1267" s="10"/>
      <c r="R1267" s="11"/>
      <c r="S1267" s="11"/>
      <c r="T1267" s="22"/>
      <c r="U1267" s="22"/>
      <c r="V1267" s="22"/>
      <c r="W1267" s="22"/>
      <c r="X1267" s="22"/>
      <c r="Y1267" s="22"/>
      <c r="Z1267" s="22"/>
      <c r="AA1267" s="22"/>
      <c r="AB1267" s="22"/>
      <c r="AC1267" s="22"/>
      <c r="AD1267" s="22"/>
      <c r="AE1267" s="22"/>
      <c r="AF1267" s="81"/>
      <c r="AG1267" s="71"/>
      <c r="AH1267" s="71"/>
      <c r="AI1267" s="71"/>
      <c r="AJ1267" s="71"/>
      <c r="AK1267" s="71"/>
      <c r="AL1267" s="71"/>
      <c r="AM1267" s="71"/>
      <c r="AN1267" s="71"/>
      <c r="AO1267" s="71"/>
      <c r="AP1267" s="71"/>
      <c r="AQ1267" s="71"/>
      <c r="AR1267" s="71"/>
      <c r="AS1267" s="94"/>
      <c r="AT1267" s="95"/>
      <c r="AU1267" s="97"/>
      <c r="AV1267" s="81"/>
      <c r="AW1267" s="51">
        <f t="shared" si="1483"/>
        <v>0</v>
      </c>
      <c r="AX1267" s="51">
        <f t="shared" si="1484"/>
        <v>0</v>
      </c>
      <c r="AY1267" s="51">
        <f t="shared" si="1485"/>
        <v>0</v>
      </c>
      <c r="AZ1267" s="51">
        <f t="shared" si="1486"/>
        <v>0</v>
      </c>
      <c r="BA1267" s="51"/>
      <c r="BB1267" s="51"/>
      <c r="BC1267" s="51"/>
      <c r="BD1267" s="51"/>
      <c r="BE1267" s="51"/>
      <c r="BF1267" s="51"/>
      <c r="BG1267" s="51"/>
      <c r="BH1267" s="51"/>
      <c r="BI1267" s="65"/>
      <c r="BJ1267" s="68"/>
      <c r="BK1267" s="58">
        <f>IF((IF(AW1267&gt;=115%,115%,AW1267) + IF(AX1267&gt;=115%,115%,AX1267) + IF(AY1267&gt;=115%,115%,AY1267) + (IF(AZ1267&gt;=115%,115%,AZ1267) + IF(BA1267&gt;=115%,115%,BA1267) + IF(BB1267&gt;=115%,115%,BB1267) + IF(BC1267&gt;=115%,115%,BC1267) + IF(BD1267&gt;=115%,115%,BD1267) + IF(BE1267&gt;=115%,115%,BE1267) + IF(BF1267&gt;=115%,115%,BF1267) + IF(BG1267&gt;=115%,115%,BG1267) + IF(BH1267&gt;=115%,115%,BH1267)))/_xlfn.XLOOKUP(F1267,Apuração!A:A,Apuração!B:B)&gt;=1.15,1.15,((IF(AZ1267&gt;=115%,115%,AZ1267) + IF(AX1267&gt;=115%,115%,AX1267) + IF(AY1267&gt;=115%,115%,AY1267) + (IF(AW1267&gt;=115%,115%,AW1267) + IF(BA1267&gt;=115%,115%,BA1267) + IF(BB1267&gt;=115%,115%,BB1267) + IF(BC1267&gt;=115%,115%,BC1267) + IF(BD1267&gt;=115%,115%,BD1267) + IF(BE1267&gt;=115%,115%,BE1267) + IF(BF1267&gt;=115%,115%,BF1267) + IF(BG1267&gt;=115%,115%,BG1267) + IF(BH1267&gt;=115%,115%,BH1267)))/_xlfn.XLOOKUP(F1267,Apuração!A:A,Apuração!B:B)))</f>
        <v>0</v>
      </c>
      <c r="BL1267" s="58" cm="1">
        <f t="array" aca="1" ref="BL1267" ca="1">IF(SUM(IFERROR(IF(INDEX(AW1267:INDEX(AW1267:BH1267, MATCH(2, 1/(AW1267:BH1267&lt;&gt;""), 1)-1), ROW(INDIRECT("1:" &amp; MATCH(2, 1/(AW1267:BH1267&lt;&gt;""), 1)-1))) &gt;= 115%, 115%, INDEX(AW1267:INDEX(AW1267:BH1267, MATCH(2, 1/(AW1267:BH1267&lt;&gt;""), 1)-1), ROW(INDIRECT("1:" &amp; MATCH(2, 1/(AW1267:BH1267&lt;&gt;""), 1)-1)))), 0))/_xlfn.XLOOKUP(F1267,Apuração!A:A,Apuração!B:B)&gt;=1.15,1.15,SUM(IFERROR(IF(INDEX(AW1267:INDEX(AW1267:BH1267, MATCH(2, 1/(AW1267:BH1267&lt;&gt;""), 1)-1), ROW(INDIRECT("1:" &amp; MATCH(2, 1/(AW1267:BH1267&lt;&gt;""), 1)-1))) &gt;= 115%, 115%, INDEX(AW1267:INDEX(AW1267:BH1267, MATCH(2, 1/(AW1267:BH1267&lt;&gt;""), 1)-1), ROW(INDIRECT("1:" &amp; MATCH(2, 1/(AW1267:BH1267&lt;&gt;""), 1)-1)))), 0))/_xlfn.XLOOKUP(F1267,Apuração!A:A,Apuração!B:B))</f>
        <v>0</v>
      </c>
      <c r="BM1267" s="55"/>
      <c r="BN1267" s="55"/>
      <c r="BO1267" s="53">
        <f ca="1">IFERROR(_xlfn.XLOOKUP(F1267,Apuração!A:A,Apuração!C:C)/_xlfn.XLOOKUP(F1267,Apuração!A:A,Apuração!B:B),0)</f>
        <v>0</v>
      </c>
      <c r="BP1267" s="53">
        <f ca="1">IFERROR(_xlfn.XLOOKUP(F1267,Apuração!A:A,Apuração!D:D)/_xlfn.XLOOKUP(F1267,Apuração!A:A,Apuração!B:B),0)</f>
        <v>0</v>
      </c>
      <c r="BQ1267" s="53">
        <f ca="1">IF(BK1267&gt;=BO1267,0,_xlfn.XLOOKUP(F1267,Apuração!A:A,Apuração!B:B)*(BO1267 + (1/_xlfn.XLOOKUP(F1267,Apuração!A:A,Apuração!B:B)) - BK1267))</f>
        <v>0</v>
      </c>
      <c r="BR1267" s="85">
        <f t="shared" ca="1" si="1487"/>
        <v>0</v>
      </c>
      <c r="BS1267" s="53">
        <f ca="1">IFERROR((_xlfn.XLOOKUP(F1267,Apuração!A:A,Apuração!C:C)+1)/_xlfn.XLOOKUP(F1267,Apuração!A:A,Apuração!B:B),0)</f>
        <v>0.14285714285714285</v>
      </c>
    </row>
    <row r="1268" spans="1:71" ht="25.95" hidden="1" customHeight="1" x14ac:dyDescent="0.3">
      <c r="A1268" s="70" t="s">
        <v>108</v>
      </c>
      <c r="B1268" s="4" t="s">
        <v>129</v>
      </c>
      <c r="C1268" s="5" t="s">
        <v>209</v>
      </c>
      <c r="D1268" s="5" t="s">
        <v>36</v>
      </c>
      <c r="E1268" s="4" t="s">
        <v>61</v>
      </c>
      <c r="F1268" s="4" t="str" cm="1">
        <f t="array" ref="F1268">_xlfn.IFS(
AG1268 &lt;&gt; "", "Jan-Dez/26",
AH1268 &lt;&gt; "", "Fev-Dez/26",
AI1268 &lt;&gt; "", "Mar-Dez/26", AJ1268 &lt;&gt; "", "Abr-Dez/26",
TRUE, "A partir de Junho"
)</f>
        <v>A partir de Junho</v>
      </c>
      <c r="G1268" s="4" t="s">
        <v>62</v>
      </c>
      <c r="H1268" s="7" t="s">
        <v>38</v>
      </c>
      <c r="I1268" s="28" t="s">
        <v>132</v>
      </c>
      <c r="J1268" s="8" t="str" cm="1">
        <f t="array" aca="1" ref="J1268" ca="1">_xlfn.LET(
  _xlpm.actual_value_month, INDEX(T1268:AE1268, MATCH(DATE(YEAR(TODAY()), MONTH(TODAY()), 1), $T$1:$AE$1, 0)),
  IF(_xlpm.actual_value_month &lt;&gt; "",_xlpm.actual_value_month &amp; " ações mensais", "")
)</f>
        <v/>
      </c>
      <c r="K1268" s="8" t="str" cm="1">
        <f t="array" ref="K1268">_xlfn.LET(
    _xlpm.sum_month, SUM(T1268:AE1268),
    IF(_xlpm.sum_month = 0, "", _xlpm.sum_month &amp; "  notificações de excesso de velocidade no ano")
)</f>
        <v/>
      </c>
      <c r="L1268" s="4" t="s">
        <v>133</v>
      </c>
      <c r="M1268" s="19"/>
      <c r="N1268" s="5" t="s">
        <v>51</v>
      </c>
      <c r="O1268" s="5"/>
      <c r="P1268" s="10"/>
      <c r="Q1268" s="10"/>
      <c r="R1268" s="11"/>
      <c r="S1268" s="11"/>
      <c r="T1268" s="22"/>
      <c r="U1268" s="22"/>
      <c r="V1268" s="22"/>
      <c r="W1268" s="22"/>
      <c r="X1268" s="22"/>
      <c r="Y1268" s="22"/>
      <c r="Z1268" s="22"/>
      <c r="AA1268" s="22"/>
      <c r="AB1268" s="22"/>
      <c r="AC1268" s="22"/>
      <c r="AD1268" s="22"/>
      <c r="AE1268" s="22"/>
      <c r="AF1268" s="81"/>
      <c r="AG1268" s="71"/>
      <c r="AH1268" s="71"/>
      <c r="AI1268" s="71"/>
      <c r="AJ1268" s="71"/>
      <c r="AK1268" s="71"/>
      <c r="AL1268" s="71"/>
      <c r="AM1268" s="71"/>
      <c r="AN1268" s="71"/>
      <c r="AO1268" s="71"/>
      <c r="AP1268" s="71"/>
      <c r="AQ1268" s="71"/>
      <c r="AR1268" s="71"/>
      <c r="AS1268" s="94"/>
      <c r="AT1268" s="95"/>
      <c r="AU1268" s="97"/>
      <c r="AV1268" s="81"/>
      <c r="AW1268" s="83">
        <f>AG1268</f>
        <v>0</v>
      </c>
      <c r="AX1268" s="83">
        <f>AH1268</f>
        <v>0</v>
      </c>
      <c r="AY1268" s="83">
        <f>AI1268</f>
        <v>0</v>
      </c>
      <c r="AZ1268" s="83">
        <f>AJ1268</f>
        <v>0</v>
      </c>
      <c r="BA1268" s="52"/>
      <c r="BB1268" s="52"/>
      <c r="BC1268" s="52"/>
      <c r="BD1268" s="52"/>
      <c r="BE1268" s="52"/>
      <c r="BF1268" s="52"/>
      <c r="BG1268" s="52"/>
      <c r="BH1268" s="52"/>
      <c r="BI1268" s="65"/>
      <c r="BJ1268" s="68"/>
      <c r="BK1268" s="59">
        <f>SUM(AW1268:BH1268)</f>
        <v>0</v>
      </c>
      <c r="BL1268" s="59" cm="1">
        <f t="array" ref="BL1268">IFERROR(SUM(AW1268:INDEX(AW1268:BH1268, MATCH(2, 1/(AW1268:BH1268&lt;&gt;""), 1) - 1))/_xlfn.XLOOKUP(F1268,Apuração!A:A,Apuração!B:B),0)</f>
        <v>0</v>
      </c>
      <c r="BM1268" s="55"/>
      <c r="BN1268" s="55"/>
      <c r="BO1268" s="53">
        <f ca="1">IFERROR(_xlfn.XLOOKUP(F1268,Apuração!A:A,Apuração!C:C)/_xlfn.XLOOKUP(F1268,Apuração!A:A,Apuração!B:B),0)</f>
        <v>0</v>
      </c>
      <c r="BP1268" s="53">
        <f ca="1">IFERROR(_xlfn.XLOOKUP(F1268,Apuração!A:A,Apuração!D:D)/_xlfn.XLOOKUP(F1268,Apuração!A:A,Apuração!B:B),0)</f>
        <v>0</v>
      </c>
      <c r="BQ1268" s="53">
        <f ca="1">IF(BK1268&gt;=BO1268,0,_xlfn.XLOOKUP(F1268,Apuração!A:A,Apuração!B:B)*(BO1268 + (1/_xlfn.XLOOKUP(F1268,Apuração!A:A,Apuração!B:B)) - BK1268))</f>
        <v>0</v>
      </c>
      <c r="BR1268" s="85">
        <f ca="1">IF(BQ1268=0,0,BQ1268*Z1268)</f>
        <v>0</v>
      </c>
      <c r="BS1268" s="53">
        <f ca="1">IFERROR((_xlfn.XLOOKUP(F1268,Apuração!A:A,Apuração!C:C)+1)/_xlfn.XLOOKUP(F1268,Apuração!A:A,Apuração!B:B),0)</f>
        <v>0.14285714285714285</v>
      </c>
    </row>
    <row r="1269" spans="1:71" ht="25.95" hidden="1" customHeight="1" x14ac:dyDescent="0.3">
      <c r="A1269" s="70" t="s">
        <v>108</v>
      </c>
      <c r="B1269" s="4" t="s">
        <v>129</v>
      </c>
      <c r="C1269" s="5" t="s">
        <v>209</v>
      </c>
      <c r="D1269" s="5" t="s">
        <v>210</v>
      </c>
      <c r="E1269" s="4" t="s">
        <v>61</v>
      </c>
      <c r="F1269" s="4" t="str" cm="1">
        <f t="array" ref="F1269">_xlfn.IFS(
AG1269 &lt;&gt; "", "Jan-Dez/26",
AH1269 &lt;&gt; "", "Fev-Dez/26",
AI1269 &lt;&gt; "", "Mar-Dez/26", AJ1269 &lt;&gt; "", "Abr-Dez/26",
TRUE, "A partir de Junho"
)</f>
        <v>A partir de Junho</v>
      </c>
      <c r="G1269" s="4" t="s">
        <v>62</v>
      </c>
      <c r="H1269" s="7" t="s">
        <v>38</v>
      </c>
      <c r="I1269" s="28" t="s">
        <v>132</v>
      </c>
      <c r="J1269" s="8" t="str" cm="1">
        <f t="array" aca="1" ref="J1269" ca="1">_xlfn.LET(
  _xlpm.actual_value_month, INDEX(T1269:AE1269, MATCH(DATE(YEAR(TODAY()), MONTH(TODAY()), 1), $T$1:$AE$1, 0)),
  IF(_xlpm.actual_value_month &lt;&gt; "",_xlpm.actual_value_month &amp; " ações mensais", "")
)</f>
        <v/>
      </c>
      <c r="K1269" s="8" t="str" cm="1">
        <f t="array" ref="K1269">_xlfn.LET(
    _xlpm.sum_month, SUM(T1269:AE1269),
    IF(_xlpm.sum_month = 0, "", _xlpm.sum_month &amp; "  notificações de excesso de velocidade no ano")
)</f>
        <v/>
      </c>
      <c r="L1269" s="4" t="s">
        <v>133</v>
      </c>
      <c r="M1269" s="19"/>
      <c r="N1269" s="5" t="s">
        <v>51</v>
      </c>
      <c r="O1269" s="5"/>
      <c r="P1269" s="10"/>
      <c r="Q1269" s="10"/>
      <c r="R1269" s="11"/>
      <c r="S1269" s="11"/>
      <c r="T1269" s="22"/>
      <c r="U1269" s="22"/>
      <c r="V1269" s="22"/>
      <c r="W1269" s="22"/>
      <c r="X1269" s="22"/>
      <c r="Y1269" s="22"/>
      <c r="Z1269" s="22"/>
      <c r="AA1269" s="22"/>
      <c r="AB1269" s="22"/>
      <c r="AC1269" s="22"/>
      <c r="AD1269" s="22"/>
      <c r="AE1269" s="22"/>
      <c r="AF1269" s="81"/>
      <c r="AG1269" s="71"/>
      <c r="AH1269" s="71"/>
      <c r="AI1269" s="71"/>
      <c r="AJ1269" s="71"/>
      <c r="AK1269" s="71"/>
      <c r="AL1269" s="71"/>
      <c r="AM1269" s="71"/>
      <c r="AN1269" s="71"/>
      <c r="AO1269" s="71"/>
      <c r="AP1269" s="71"/>
      <c r="AQ1269" s="71"/>
      <c r="AR1269" s="71"/>
      <c r="AS1269" s="94"/>
      <c r="AT1269" s="95"/>
      <c r="AU1269" s="97"/>
      <c r="AV1269" s="81"/>
      <c r="AW1269" s="83">
        <f t="shared" ref="AW1269:AW1273" si="1488">AG1269</f>
        <v>0</v>
      </c>
      <c r="AX1269" s="83">
        <f t="shared" ref="AX1269:AX1273" si="1489">AH1269</f>
        <v>0</v>
      </c>
      <c r="AY1269" s="83">
        <f t="shared" ref="AY1269:AY1273" si="1490">AI1269</f>
        <v>0</v>
      </c>
      <c r="AZ1269" s="83">
        <f t="shared" ref="AZ1269:AZ1273" si="1491">AJ1269</f>
        <v>0</v>
      </c>
      <c r="BA1269" s="52"/>
      <c r="BB1269" s="52"/>
      <c r="BC1269" s="52"/>
      <c r="BD1269" s="52"/>
      <c r="BE1269" s="52"/>
      <c r="BF1269" s="52"/>
      <c r="BG1269" s="52"/>
      <c r="BH1269" s="52"/>
      <c r="BI1269" s="65"/>
      <c r="BJ1269" s="68"/>
      <c r="BK1269" s="59">
        <f t="shared" ref="BK1269:BK1273" si="1492">SUM(AW1269:BH1269)</f>
        <v>0</v>
      </c>
      <c r="BL1269" s="59" cm="1">
        <f t="array" ref="BL1269">IFERROR(SUM(AW1269:INDEX(AW1269:BH1269, MATCH(2, 1/(AW1269:BH1269&lt;&gt;""), 1) - 1))/_xlfn.XLOOKUP(F1269,Apuração!A:A,Apuração!B:B),0)</f>
        <v>0</v>
      </c>
      <c r="BM1269" s="55"/>
      <c r="BN1269" s="55"/>
      <c r="BO1269" s="53">
        <f ca="1">IFERROR(_xlfn.XLOOKUP(F1269,Apuração!A:A,Apuração!C:C)/_xlfn.XLOOKUP(F1269,Apuração!A:A,Apuração!B:B),0)</f>
        <v>0</v>
      </c>
      <c r="BP1269" s="53">
        <f ca="1">IFERROR(_xlfn.XLOOKUP(F1269,Apuração!A:A,Apuração!D:D)/_xlfn.XLOOKUP(F1269,Apuração!A:A,Apuração!B:B),0)</f>
        <v>0</v>
      </c>
      <c r="BQ1269" s="53">
        <f ca="1">IF(BK1269&gt;=BO1269,0,_xlfn.XLOOKUP(F1269,Apuração!A:A,Apuração!B:B)*(BO1269 + (1/_xlfn.XLOOKUP(F1269,Apuração!A:A,Apuração!B:B)) - BK1269))</f>
        <v>0</v>
      </c>
      <c r="BR1269" s="85">
        <f t="shared" ref="BR1269:BR1273" ca="1" si="1493">IF(BQ1269=0,0,BQ1269*Z1269)</f>
        <v>0</v>
      </c>
      <c r="BS1269" s="53">
        <f ca="1">IFERROR((_xlfn.XLOOKUP(F1269,Apuração!A:A,Apuração!C:C)+1)/_xlfn.XLOOKUP(F1269,Apuração!A:A,Apuração!B:B),0)</f>
        <v>0.14285714285714285</v>
      </c>
    </row>
    <row r="1270" spans="1:71" ht="25.95" hidden="1" customHeight="1" x14ac:dyDescent="0.3">
      <c r="A1270" s="70" t="s">
        <v>108</v>
      </c>
      <c r="B1270" s="4" t="s">
        <v>129</v>
      </c>
      <c r="C1270" s="5" t="s">
        <v>209</v>
      </c>
      <c r="D1270" s="5" t="s">
        <v>47</v>
      </c>
      <c r="E1270" s="4" t="s">
        <v>61</v>
      </c>
      <c r="F1270" s="4" t="str" cm="1">
        <f t="array" ref="F1270">_xlfn.IFS(
AG1270 &lt;&gt; "", "Jan-Dez/26",
AH1270 &lt;&gt; "", "Fev-Dez/26",
AI1270 &lt;&gt; "", "Mar-Dez/26", AJ1270 &lt;&gt; "", "Abr-Dez/26",
TRUE, "A partir de Junho"
)</f>
        <v>A partir de Junho</v>
      </c>
      <c r="G1270" s="4" t="s">
        <v>62</v>
      </c>
      <c r="H1270" s="7" t="s">
        <v>38</v>
      </c>
      <c r="I1270" s="28" t="s">
        <v>132</v>
      </c>
      <c r="J1270" s="8" t="str" cm="1">
        <f t="array" aca="1" ref="J1270" ca="1">_xlfn.LET(
  _xlpm.actual_value_month, INDEX(T1270:AE1270, MATCH(DATE(YEAR(TODAY()), MONTH(TODAY()), 1), $T$1:$AE$1, 0)),
  IF(_xlpm.actual_value_month &lt;&gt; "",_xlpm.actual_value_month &amp; " ações mensais", "")
)</f>
        <v/>
      </c>
      <c r="K1270" s="8" t="str" cm="1">
        <f t="array" ref="K1270">_xlfn.LET(
    _xlpm.sum_month, SUM(T1270:AE1270),
    IF(_xlpm.sum_month = 0, "", _xlpm.sum_month &amp; "  notificações de excesso de velocidade no ano")
)</f>
        <v/>
      </c>
      <c r="L1270" s="4" t="s">
        <v>133</v>
      </c>
      <c r="M1270" s="19"/>
      <c r="N1270" s="5" t="s">
        <v>51</v>
      </c>
      <c r="O1270" s="5"/>
      <c r="P1270" s="10"/>
      <c r="Q1270" s="10"/>
      <c r="R1270" s="11"/>
      <c r="S1270" s="11"/>
      <c r="T1270" s="22"/>
      <c r="U1270" s="22"/>
      <c r="V1270" s="22"/>
      <c r="W1270" s="22"/>
      <c r="X1270" s="22"/>
      <c r="Y1270" s="22"/>
      <c r="Z1270" s="22"/>
      <c r="AA1270" s="22"/>
      <c r="AB1270" s="22"/>
      <c r="AC1270" s="22"/>
      <c r="AD1270" s="22"/>
      <c r="AE1270" s="22"/>
      <c r="AF1270" s="81"/>
      <c r="AG1270" s="71"/>
      <c r="AH1270" s="71"/>
      <c r="AI1270" s="71"/>
      <c r="AJ1270" s="71"/>
      <c r="AK1270" s="71"/>
      <c r="AL1270" s="71"/>
      <c r="AM1270" s="71"/>
      <c r="AN1270" s="71"/>
      <c r="AO1270" s="71"/>
      <c r="AP1270" s="71"/>
      <c r="AQ1270" s="71"/>
      <c r="AR1270" s="71"/>
      <c r="AS1270" s="94"/>
      <c r="AT1270" s="95"/>
      <c r="AU1270" s="97"/>
      <c r="AV1270" s="81"/>
      <c r="AW1270" s="83">
        <f t="shared" si="1488"/>
        <v>0</v>
      </c>
      <c r="AX1270" s="83">
        <f t="shared" si="1489"/>
        <v>0</v>
      </c>
      <c r="AY1270" s="83">
        <f t="shared" si="1490"/>
        <v>0</v>
      </c>
      <c r="AZ1270" s="83">
        <f t="shared" si="1491"/>
        <v>0</v>
      </c>
      <c r="BA1270" s="52"/>
      <c r="BB1270" s="52"/>
      <c r="BC1270" s="52"/>
      <c r="BD1270" s="52"/>
      <c r="BE1270" s="52"/>
      <c r="BF1270" s="52"/>
      <c r="BG1270" s="52"/>
      <c r="BH1270" s="52"/>
      <c r="BI1270" s="65"/>
      <c r="BJ1270" s="68"/>
      <c r="BK1270" s="59">
        <f t="shared" si="1492"/>
        <v>0</v>
      </c>
      <c r="BL1270" s="59" cm="1">
        <f t="array" ref="BL1270">IFERROR(SUM(AW1270:INDEX(AW1270:BH1270, MATCH(2, 1/(AW1270:BH1270&lt;&gt;""), 1) - 1))/_xlfn.XLOOKUP(F1270,Apuração!A:A,Apuração!B:B),0)</f>
        <v>0</v>
      </c>
      <c r="BM1270" s="55"/>
      <c r="BN1270" s="55"/>
      <c r="BO1270" s="53">
        <f ca="1">IFERROR(_xlfn.XLOOKUP(F1270,Apuração!A:A,Apuração!C:C)/_xlfn.XLOOKUP(F1270,Apuração!A:A,Apuração!B:B),0)</f>
        <v>0</v>
      </c>
      <c r="BP1270" s="53">
        <f ca="1">IFERROR(_xlfn.XLOOKUP(F1270,Apuração!A:A,Apuração!D:D)/_xlfn.XLOOKUP(F1270,Apuração!A:A,Apuração!B:B),0)</f>
        <v>0</v>
      </c>
      <c r="BQ1270" s="53">
        <f ca="1">IF(BK1270&gt;=BO1270,0,_xlfn.XLOOKUP(F1270,Apuração!A:A,Apuração!B:B)*(BO1270 + (1/_xlfn.XLOOKUP(F1270,Apuração!A:A,Apuração!B:B)) - BK1270))</f>
        <v>0</v>
      </c>
      <c r="BR1270" s="85">
        <f t="shared" ca="1" si="1493"/>
        <v>0</v>
      </c>
      <c r="BS1270" s="53">
        <f ca="1">IFERROR((_xlfn.XLOOKUP(F1270,Apuração!A:A,Apuração!C:C)+1)/_xlfn.XLOOKUP(F1270,Apuração!A:A,Apuração!B:B),0)</f>
        <v>0.14285714285714285</v>
      </c>
    </row>
    <row r="1271" spans="1:71" ht="25.95" hidden="1" customHeight="1" x14ac:dyDescent="0.3">
      <c r="A1271" s="70" t="s">
        <v>108</v>
      </c>
      <c r="B1271" s="4" t="s">
        <v>129</v>
      </c>
      <c r="C1271" s="5" t="s">
        <v>209</v>
      </c>
      <c r="D1271" s="5" t="s">
        <v>211</v>
      </c>
      <c r="E1271" s="4" t="s">
        <v>61</v>
      </c>
      <c r="F1271" s="4" t="str" cm="1">
        <f t="array" ref="F1271">_xlfn.IFS(
AG1271 &lt;&gt; "", "Jan-Dez/26",
AH1271 &lt;&gt; "", "Fev-Dez/26",
AI1271 &lt;&gt; "", "Mar-Dez/26", AJ1271 &lt;&gt; "", "Abr-Dez/26",
TRUE, "A partir de Junho"
)</f>
        <v>A partir de Junho</v>
      </c>
      <c r="G1271" s="4" t="s">
        <v>62</v>
      </c>
      <c r="H1271" s="7" t="s">
        <v>38</v>
      </c>
      <c r="I1271" s="28" t="s">
        <v>132</v>
      </c>
      <c r="J1271" s="8" t="str" cm="1">
        <f t="array" aca="1" ref="J1271" ca="1">_xlfn.LET(
  _xlpm.actual_value_month, INDEX(T1271:AE1271, MATCH(DATE(YEAR(TODAY()), MONTH(TODAY()), 1), $T$1:$AE$1, 0)),
  IF(_xlpm.actual_value_month &lt;&gt; "",_xlpm.actual_value_month &amp; " ações mensais", "")
)</f>
        <v/>
      </c>
      <c r="K1271" s="8" t="str" cm="1">
        <f t="array" ref="K1271">_xlfn.LET(
    _xlpm.sum_month, SUM(T1271:AE1271),
    IF(_xlpm.sum_month = 0, "", _xlpm.sum_month &amp; "  notificações de excesso de velocidade no ano")
)</f>
        <v/>
      </c>
      <c r="L1271" s="4" t="s">
        <v>133</v>
      </c>
      <c r="M1271" s="19"/>
      <c r="N1271" s="5" t="s">
        <v>51</v>
      </c>
      <c r="O1271" s="5"/>
      <c r="P1271" s="10"/>
      <c r="Q1271" s="10"/>
      <c r="R1271" s="11"/>
      <c r="S1271" s="11"/>
      <c r="T1271" s="22"/>
      <c r="U1271" s="22"/>
      <c r="V1271" s="22"/>
      <c r="W1271" s="22"/>
      <c r="X1271" s="22"/>
      <c r="Y1271" s="22"/>
      <c r="Z1271" s="22"/>
      <c r="AA1271" s="22"/>
      <c r="AB1271" s="22"/>
      <c r="AC1271" s="22"/>
      <c r="AD1271" s="22"/>
      <c r="AE1271" s="22"/>
      <c r="AF1271" s="81"/>
      <c r="AG1271" s="71"/>
      <c r="AH1271" s="71"/>
      <c r="AI1271" s="71"/>
      <c r="AJ1271" s="71"/>
      <c r="AK1271" s="71"/>
      <c r="AL1271" s="71"/>
      <c r="AM1271" s="71"/>
      <c r="AN1271" s="71"/>
      <c r="AO1271" s="71"/>
      <c r="AP1271" s="71"/>
      <c r="AQ1271" s="71"/>
      <c r="AR1271" s="71"/>
      <c r="AS1271" s="94"/>
      <c r="AT1271" s="95"/>
      <c r="AU1271" s="97"/>
      <c r="AV1271" s="81"/>
      <c r="AW1271" s="83">
        <f t="shared" si="1488"/>
        <v>0</v>
      </c>
      <c r="AX1271" s="83">
        <f t="shared" si="1489"/>
        <v>0</v>
      </c>
      <c r="AY1271" s="83">
        <f t="shared" si="1490"/>
        <v>0</v>
      </c>
      <c r="AZ1271" s="83">
        <f t="shared" si="1491"/>
        <v>0</v>
      </c>
      <c r="BA1271" s="52"/>
      <c r="BB1271" s="52"/>
      <c r="BC1271" s="52"/>
      <c r="BD1271" s="52"/>
      <c r="BE1271" s="52"/>
      <c r="BF1271" s="52"/>
      <c r="BG1271" s="52"/>
      <c r="BH1271" s="52"/>
      <c r="BI1271" s="65"/>
      <c r="BJ1271" s="68"/>
      <c r="BK1271" s="59">
        <f t="shared" si="1492"/>
        <v>0</v>
      </c>
      <c r="BL1271" s="59" cm="1">
        <f t="array" ref="BL1271">IFERROR(SUM(AW1271:INDEX(AW1271:BH1271, MATCH(2, 1/(AW1271:BH1271&lt;&gt;""), 1) - 1))/_xlfn.XLOOKUP(F1271,Apuração!A:A,Apuração!B:B),0)</f>
        <v>0</v>
      </c>
      <c r="BM1271" s="55"/>
      <c r="BN1271" s="55"/>
      <c r="BO1271" s="53">
        <f ca="1">IFERROR(_xlfn.XLOOKUP(F1271,Apuração!A:A,Apuração!C:C)/_xlfn.XLOOKUP(F1271,Apuração!A:A,Apuração!B:B),0)</f>
        <v>0</v>
      </c>
      <c r="BP1271" s="53">
        <f ca="1">IFERROR(_xlfn.XLOOKUP(F1271,Apuração!A:A,Apuração!D:D)/_xlfn.XLOOKUP(F1271,Apuração!A:A,Apuração!B:B),0)</f>
        <v>0</v>
      </c>
      <c r="BQ1271" s="53">
        <f ca="1">IF(BK1271&gt;=BO1271,0,_xlfn.XLOOKUP(F1271,Apuração!A:A,Apuração!B:B)*(BO1271 + (1/_xlfn.XLOOKUP(F1271,Apuração!A:A,Apuração!B:B)) - BK1271))</f>
        <v>0</v>
      </c>
      <c r="BR1271" s="85">
        <f t="shared" ca="1" si="1493"/>
        <v>0</v>
      </c>
      <c r="BS1271" s="53">
        <f ca="1">IFERROR((_xlfn.XLOOKUP(F1271,Apuração!A:A,Apuração!C:C)+1)/_xlfn.XLOOKUP(F1271,Apuração!A:A,Apuração!B:B),0)</f>
        <v>0.14285714285714285</v>
      </c>
    </row>
    <row r="1272" spans="1:71" ht="25.95" hidden="1" customHeight="1" x14ac:dyDescent="0.3">
      <c r="A1272" s="70" t="s">
        <v>108</v>
      </c>
      <c r="B1272" s="4" t="s">
        <v>129</v>
      </c>
      <c r="C1272" s="5" t="s">
        <v>209</v>
      </c>
      <c r="D1272" s="5" t="s">
        <v>212</v>
      </c>
      <c r="E1272" s="4" t="s">
        <v>61</v>
      </c>
      <c r="F1272" s="4" t="str" cm="1">
        <f t="array" ref="F1272">_xlfn.IFS(
AG1272 &lt;&gt; "", "Jan-Dez/26",
AH1272 &lt;&gt; "", "Fev-Dez/26",
AI1272 &lt;&gt; "", "Mar-Dez/26", AJ1272 &lt;&gt; "", "Abr-Dez/26",
TRUE, "A partir de Junho"
)</f>
        <v>A partir de Junho</v>
      </c>
      <c r="G1272" s="4" t="s">
        <v>62</v>
      </c>
      <c r="H1272" s="7" t="s">
        <v>38</v>
      </c>
      <c r="I1272" s="28" t="s">
        <v>132</v>
      </c>
      <c r="J1272" s="8" t="str" cm="1">
        <f t="array" aca="1" ref="J1272" ca="1">_xlfn.LET(
  _xlpm.actual_value_month, INDEX(T1272:AE1272, MATCH(DATE(YEAR(TODAY()), MONTH(TODAY()), 1), $T$1:$AE$1, 0)),
  IF(_xlpm.actual_value_month &lt;&gt; "",_xlpm.actual_value_month &amp; " ações mensais", "")
)</f>
        <v/>
      </c>
      <c r="K1272" s="8" t="str" cm="1">
        <f t="array" ref="K1272">_xlfn.LET(
    _xlpm.sum_month, SUM(T1272:AE1272),
    IF(_xlpm.sum_month = 0, "", _xlpm.sum_month &amp; "  notificações de excesso de velocidade no ano")
)</f>
        <v/>
      </c>
      <c r="L1272" s="4" t="s">
        <v>133</v>
      </c>
      <c r="M1272" s="19"/>
      <c r="N1272" s="5" t="s">
        <v>51</v>
      </c>
      <c r="O1272" s="5"/>
      <c r="P1272" s="10"/>
      <c r="Q1272" s="10"/>
      <c r="R1272" s="11"/>
      <c r="S1272" s="11"/>
      <c r="T1272" s="22"/>
      <c r="U1272" s="22"/>
      <c r="V1272" s="22"/>
      <c r="W1272" s="22"/>
      <c r="X1272" s="22"/>
      <c r="Y1272" s="22"/>
      <c r="Z1272" s="22"/>
      <c r="AA1272" s="22"/>
      <c r="AB1272" s="22"/>
      <c r="AC1272" s="22"/>
      <c r="AD1272" s="22"/>
      <c r="AE1272" s="22"/>
      <c r="AF1272" s="81"/>
      <c r="AG1272" s="71"/>
      <c r="AH1272" s="71"/>
      <c r="AI1272" s="71"/>
      <c r="AJ1272" s="71"/>
      <c r="AK1272" s="71"/>
      <c r="AL1272" s="71"/>
      <c r="AM1272" s="71"/>
      <c r="AN1272" s="71"/>
      <c r="AO1272" s="71"/>
      <c r="AP1272" s="71"/>
      <c r="AQ1272" s="71"/>
      <c r="AR1272" s="71"/>
      <c r="AS1272" s="94"/>
      <c r="AT1272" s="95"/>
      <c r="AU1272" s="97"/>
      <c r="AV1272" s="81"/>
      <c r="AW1272" s="83">
        <f t="shared" si="1488"/>
        <v>0</v>
      </c>
      <c r="AX1272" s="83">
        <f t="shared" si="1489"/>
        <v>0</v>
      </c>
      <c r="AY1272" s="83">
        <f t="shared" si="1490"/>
        <v>0</v>
      </c>
      <c r="AZ1272" s="83">
        <f t="shared" si="1491"/>
        <v>0</v>
      </c>
      <c r="BA1272" s="52"/>
      <c r="BB1272" s="52"/>
      <c r="BC1272" s="52"/>
      <c r="BD1272" s="52"/>
      <c r="BE1272" s="52"/>
      <c r="BF1272" s="52"/>
      <c r="BG1272" s="52"/>
      <c r="BH1272" s="52"/>
      <c r="BI1272" s="65"/>
      <c r="BJ1272" s="68"/>
      <c r="BK1272" s="59">
        <f t="shared" si="1492"/>
        <v>0</v>
      </c>
      <c r="BL1272" s="59" cm="1">
        <f t="array" ref="BL1272">IFERROR(SUM(AW1272:INDEX(AW1272:BH1272, MATCH(2, 1/(AW1272:BH1272&lt;&gt;""), 1) - 1))/_xlfn.XLOOKUP(F1272,Apuração!A:A,Apuração!B:B),0)</f>
        <v>0</v>
      </c>
      <c r="BM1272" s="55"/>
      <c r="BN1272" s="55"/>
      <c r="BO1272" s="53">
        <f ca="1">IFERROR(_xlfn.XLOOKUP(F1272,Apuração!A:A,Apuração!C:C)/_xlfn.XLOOKUP(F1272,Apuração!A:A,Apuração!B:B),0)</f>
        <v>0</v>
      </c>
      <c r="BP1272" s="53">
        <f ca="1">IFERROR(_xlfn.XLOOKUP(F1272,Apuração!A:A,Apuração!D:D)/_xlfn.XLOOKUP(F1272,Apuração!A:A,Apuração!B:B),0)</f>
        <v>0</v>
      </c>
      <c r="BQ1272" s="53">
        <f ca="1">IF(BK1272&gt;=BO1272,0,_xlfn.XLOOKUP(F1272,Apuração!A:A,Apuração!B:B)*(BO1272 + (1/_xlfn.XLOOKUP(F1272,Apuração!A:A,Apuração!B:B)) - BK1272))</f>
        <v>0</v>
      </c>
      <c r="BR1272" s="85">
        <f t="shared" ca="1" si="1493"/>
        <v>0</v>
      </c>
      <c r="BS1272" s="53">
        <f ca="1">IFERROR((_xlfn.XLOOKUP(F1272,Apuração!A:A,Apuração!C:C)+1)/_xlfn.XLOOKUP(F1272,Apuração!A:A,Apuração!B:B),0)</f>
        <v>0.14285714285714285</v>
      </c>
    </row>
    <row r="1273" spans="1:71" ht="25.95" hidden="1" customHeight="1" x14ac:dyDescent="0.3">
      <c r="A1273" s="70" t="s">
        <v>108</v>
      </c>
      <c r="B1273" s="4" t="s">
        <v>129</v>
      </c>
      <c r="C1273" s="5" t="s">
        <v>209</v>
      </c>
      <c r="D1273" s="5" t="s">
        <v>213</v>
      </c>
      <c r="E1273" s="4" t="s">
        <v>61</v>
      </c>
      <c r="F1273" s="4" t="str" cm="1">
        <f t="array" ref="F1273">_xlfn.IFS(
AG1273 &lt;&gt; "", "Jan-Dez/26",
AH1273 &lt;&gt; "", "Fev-Dez/26",
AI1273 &lt;&gt; "", "Mar-Dez/26", AJ1273 &lt;&gt; "", "Abr-Dez/26",
TRUE, "A partir de Junho"
)</f>
        <v>A partir de Junho</v>
      </c>
      <c r="G1273" s="4" t="s">
        <v>62</v>
      </c>
      <c r="H1273" s="7" t="s">
        <v>38</v>
      </c>
      <c r="I1273" s="28" t="s">
        <v>132</v>
      </c>
      <c r="J1273" s="8" t="str" cm="1">
        <f t="array" aca="1" ref="J1273" ca="1">_xlfn.LET(
  _xlpm.actual_value_month, INDEX(T1273:AE1273, MATCH(DATE(YEAR(TODAY()), MONTH(TODAY()), 1), $T$1:$AE$1, 0)),
  IF(_xlpm.actual_value_month &lt;&gt; "",_xlpm.actual_value_month &amp; " ações mensais", "")
)</f>
        <v/>
      </c>
      <c r="K1273" s="8" t="str" cm="1">
        <f t="array" ref="K1273">_xlfn.LET(
    _xlpm.sum_month, SUM(T1273:AE1273),
    IF(_xlpm.sum_month = 0, "", _xlpm.sum_month &amp; "  notificações de excesso de velocidade no ano")
)</f>
        <v/>
      </c>
      <c r="L1273" s="4" t="s">
        <v>133</v>
      </c>
      <c r="M1273" s="19"/>
      <c r="N1273" s="5" t="s">
        <v>51</v>
      </c>
      <c r="O1273" s="5"/>
      <c r="P1273" s="10"/>
      <c r="Q1273" s="10"/>
      <c r="R1273" s="11"/>
      <c r="S1273" s="11"/>
      <c r="T1273" s="22"/>
      <c r="U1273" s="22"/>
      <c r="V1273" s="22"/>
      <c r="W1273" s="22"/>
      <c r="X1273" s="22"/>
      <c r="Y1273" s="22"/>
      <c r="Z1273" s="22"/>
      <c r="AA1273" s="22"/>
      <c r="AB1273" s="22"/>
      <c r="AC1273" s="22"/>
      <c r="AD1273" s="22"/>
      <c r="AE1273" s="22"/>
      <c r="AF1273" s="81"/>
      <c r="AG1273" s="71"/>
      <c r="AH1273" s="71"/>
      <c r="AI1273" s="71"/>
      <c r="AJ1273" s="71"/>
      <c r="AK1273" s="71"/>
      <c r="AL1273" s="71"/>
      <c r="AM1273" s="71"/>
      <c r="AN1273" s="71"/>
      <c r="AO1273" s="71"/>
      <c r="AP1273" s="71"/>
      <c r="AQ1273" s="71"/>
      <c r="AR1273" s="71"/>
      <c r="AS1273" s="94"/>
      <c r="AT1273" s="95"/>
      <c r="AU1273" s="97"/>
      <c r="AV1273" s="81"/>
      <c r="AW1273" s="83">
        <f t="shared" si="1488"/>
        <v>0</v>
      </c>
      <c r="AX1273" s="83">
        <f t="shared" si="1489"/>
        <v>0</v>
      </c>
      <c r="AY1273" s="83">
        <f t="shared" si="1490"/>
        <v>0</v>
      </c>
      <c r="AZ1273" s="83">
        <f t="shared" si="1491"/>
        <v>0</v>
      </c>
      <c r="BA1273" s="52"/>
      <c r="BB1273" s="52"/>
      <c r="BC1273" s="52"/>
      <c r="BD1273" s="52"/>
      <c r="BE1273" s="52"/>
      <c r="BF1273" s="52"/>
      <c r="BG1273" s="52"/>
      <c r="BH1273" s="52"/>
      <c r="BI1273" s="65"/>
      <c r="BJ1273" s="68"/>
      <c r="BK1273" s="59">
        <f t="shared" si="1492"/>
        <v>0</v>
      </c>
      <c r="BL1273" s="59" cm="1">
        <f t="array" ref="BL1273">IFERROR(SUM(AW1273:INDEX(AW1273:BH1273, MATCH(2, 1/(AW1273:BH1273&lt;&gt;""), 1) - 1))/_xlfn.XLOOKUP(F1273,Apuração!A:A,Apuração!B:B),0)</f>
        <v>0</v>
      </c>
      <c r="BM1273" s="55"/>
      <c r="BN1273" s="55"/>
      <c r="BO1273" s="53">
        <f ca="1">IFERROR(_xlfn.XLOOKUP(F1273,Apuração!A:A,Apuração!C:C)/_xlfn.XLOOKUP(F1273,Apuração!A:A,Apuração!B:B),0)</f>
        <v>0</v>
      </c>
      <c r="BP1273" s="53">
        <f ca="1">IFERROR(_xlfn.XLOOKUP(F1273,Apuração!A:A,Apuração!D:D)/_xlfn.XLOOKUP(F1273,Apuração!A:A,Apuração!B:B),0)</f>
        <v>0</v>
      </c>
      <c r="BQ1273" s="53">
        <f ca="1">IF(BK1273&gt;=BO1273,0,_xlfn.XLOOKUP(F1273,Apuração!A:A,Apuração!B:B)*(BO1273 + (1/_xlfn.XLOOKUP(F1273,Apuração!A:A,Apuração!B:B)) - BK1273))</f>
        <v>0</v>
      </c>
      <c r="BR1273" s="85">
        <f t="shared" ca="1" si="1493"/>
        <v>0</v>
      </c>
      <c r="BS1273" s="53">
        <f ca="1">IFERROR((_xlfn.XLOOKUP(F1273,Apuração!A:A,Apuração!C:C)+1)/_xlfn.XLOOKUP(F1273,Apuração!A:A,Apuração!B:B),0)</f>
        <v>0.14285714285714285</v>
      </c>
    </row>
    <row r="1274" spans="1:71" ht="25.95" hidden="1" customHeight="1" x14ac:dyDescent="0.3">
      <c r="A1274" s="23" t="s">
        <v>134</v>
      </c>
      <c r="B1274" s="4" t="s">
        <v>135</v>
      </c>
      <c r="C1274" s="5" t="s">
        <v>209</v>
      </c>
      <c r="D1274" s="5" t="s">
        <v>36</v>
      </c>
      <c r="E1274" s="4" t="str" cm="1">
        <f t="array" ref="E1274">_xlfn.IFS(
F1274 = "A partir de Abril", "Aguardando Execução na Distribuidora",
A1274 = "CAPACITAÇÃO", "Em execução no Corporativo",
TRUE, "Em Execução na Distribuidora"
)</f>
        <v>Em Execução na Distribuidora</v>
      </c>
      <c r="F1274" s="4" t="str" cm="1">
        <f t="array" ref="F1274">_xlfn.IFS(
AG1274 &lt;&gt; "", "Jan-Dez/26",
AH1274 &lt;&gt; "", "Fev-Dez/26",
AI1274 &lt;&gt; "", "Mar-Dez/26", AJ1274 &lt;&gt; "", "Abr-Dez/26",
TRUE, "A partir de Junho"
)</f>
        <v>Fev-Dez/26</v>
      </c>
      <c r="G1274" s="4" t="s">
        <v>37</v>
      </c>
      <c r="H1274" s="7" t="s">
        <v>38</v>
      </c>
      <c r="I1274" s="8" t="s">
        <v>136</v>
      </c>
      <c r="J1274" s="8" t="str" cm="1">
        <f t="array" aca="1" ref="J1274" ca="1">_xlfn.LET(
  _xlpm.actual_value_month, INDEX(T1274:AE1274, MATCH(DATE(YEAR(TODAY()), MONTH(TODAY()), 1), $T$1:$AE$1, 0)),
  IF(_xlpm.actual_value_month &lt;&gt; "",_xlpm.actual_value_month &amp; " equipes mensais", "")
)</f>
        <v>402 equipes mensais</v>
      </c>
      <c r="K1274" s="8" t="str" cm="1">
        <f t="array" ref="K1274">_xlfn.LET(
    _xlpm.sum_month, SUM(T1274:AE1274),
    IF(_xlpm.sum_month = 0, "", _xlpm.sum_month &amp; " alcançadas no ano")
)</f>
        <v>6708 alcançadas no ano</v>
      </c>
      <c r="L1274" s="9" t="s">
        <v>137</v>
      </c>
      <c r="M1274" s="24" t="s">
        <v>138</v>
      </c>
      <c r="N1274" s="5" t="s">
        <v>42</v>
      </c>
      <c r="O1274" s="5" t="s">
        <v>43</v>
      </c>
      <c r="P1274" s="10" t="s">
        <v>44</v>
      </c>
      <c r="Q1274" s="10" t="s">
        <v>44</v>
      </c>
      <c r="R1274" s="11" t="s">
        <v>66</v>
      </c>
      <c r="S1274" s="11" t="s">
        <v>67</v>
      </c>
      <c r="T1274" s="22"/>
      <c r="U1274" s="117">
        <v>2520</v>
      </c>
      <c r="V1274" s="22">
        <v>570</v>
      </c>
      <c r="W1274" s="22">
        <v>402</v>
      </c>
      <c r="X1274" s="22">
        <v>402</v>
      </c>
      <c r="Y1274" s="22">
        <v>402</v>
      </c>
      <c r="Z1274" s="22">
        <v>402</v>
      </c>
      <c r="AA1274" s="22">
        <v>402</v>
      </c>
      <c r="AB1274" s="22">
        <v>402</v>
      </c>
      <c r="AC1274" s="22">
        <v>402</v>
      </c>
      <c r="AD1274" s="22">
        <v>402</v>
      </c>
      <c r="AE1274" s="22">
        <v>402</v>
      </c>
      <c r="AG1274" s="71"/>
      <c r="AH1274" s="71">
        <f>60*42</f>
        <v>2520</v>
      </c>
      <c r="AI1274" s="71">
        <f>19*30</f>
        <v>570</v>
      </c>
      <c r="AJ1274" s="71">
        <f>22*29</f>
        <v>638</v>
      </c>
      <c r="AK1274" s="71">
        <f>24*30</f>
        <v>720</v>
      </c>
      <c r="AL1274" s="71"/>
      <c r="AM1274" s="71"/>
      <c r="AN1274" s="71"/>
      <c r="AO1274" s="71"/>
      <c r="AP1274" s="71"/>
      <c r="AQ1274" s="71"/>
      <c r="AR1274" s="71"/>
      <c r="AS1274" s="94">
        <f ca="1">IF(MONTH(TODAY())=3,SUM(T1274:U1274),IF(MONTH(TODAY())=4,SUM(T1274:V1274),IF(MONTH(TODAY())=5,SUM(T1274:W1274),IF(MONTH(TODAY())=6,SUM(T1274:X1274),IF(MONTH(TODAY())=7,SUM(T1274:Y1274),IF(MONTH(TODAY())=8,SUM(T1274:Z1274),IF(MONTH(TODAY())=9,SUM(T1274:AA1274),IF(MONTH(TODAY())=10,SUM(T1274:AB1274),IF(MONTH(TODAY())=11,SUM(T1274:AC1274),IF(MONTH(TODAY())=12,SUM(T1274:AD1274),IF(MONTH(TODAY())=1,SUM(T1274:AE1274),T1274)))))))))))</f>
        <v>3894</v>
      </c>
      <c r="AT1274" s="95">
        <f>SUM(IF(AW1274&lt;1.15,AG1274,1.15*T1274),IF(AX1274&lt;1.15,AH1274,1.15*U1274),IF(AY1274&lt;1.15,AI1274,1.15*V1274),IF(AZ1274&lt;1.15,AJ1274,1.15*W1274),IF(BA1274&lt;1.15,AK1274,1.15*X1274),IF(BB1274&lt;1.15,AL1274,1.15*Y1274),IF(BC1274&lt;1.15,AM1274,1.15*Z1274),IF(BD1274&lt;1.15,AN1274,1.15*AA1274),IF(BE1274&lt;1.15,AO1274,1.15*AB1274),IF(BF1274&lt;1.15,AP1274,1.15*AC1274),IF(BG1274&lt;1.15,AQ1274,1.15*AD1274),IF(BH1274&lt;1.15,AR1274,1.15*AE1274))</f>
        <v>4014.6000000000004</v>
      </c>
      <c r="AU1274" s="97">
        <f>SUM(AG1274:AR1274)</f>
        <v>4448</v>
      </c>
      <c r="AW1274" s="51">
        <f>IFERROR(IF(AG1274="",0,AG1274/T1274),0)</f>
        <v>0</v>
      </c>
      <c r="AX1274" s="51">
        <f>IFERROR(IF(AH1274="",0,AH1274/U1274),0)</f>
        <v>1</v>
      </c>
      <c r="AY1274" s="51">
        <f>IFERROR(IF(AI1274="",0,AI1274/V1274),0)</f>
        <v>1</v>
      </c>
      <c r="AZ1274" s="51">
        <f>IFERROR(IF(AJ1274="",0,AJ1274/W1274),0)</f>
        <v>1.5870646766169154</v>
      </c>
      <c r="BA1274" s="51">
        <f>IFERROR(IF(AK1274="",0,AK1274/X1274),0)</f>
        <v>1.791044776119403</v>
      </c>
      <c r="BB1274" s="51"/>
      <c r="BC1274" s="51"/>
      <c r="BD1274" s="51"/>
      <c r="BE1274" s="51"/>
      <c r="BF1274" s="51"/>
      <c r="BG1274" s="51"/>
      <c r="BH1274" s="51"/>
      <c r="BI1274" s="65" cm="1">
        <f t="array" ref="BI1274">IFERROR(INDEX(AW1274:BH1274,1,MATCH(2,1/(AW1274:BH1274&lt;&gt;""))),"")</f>
        <v>1.791044776119403</v>
      </c>
      <c r="BJ1274" s="68" cm="1">
        <f t="array" ref="BJ1274">IF(BM1274 = "", "",IFERROR(INDEX(AW1274:BH1274,1,MATCH(2,1/(AW1274:BH1274&lt;&gt;""),1)-1),""))</f>
        <v>1.5870646766169154</v>
      </c>
      <c r="BK1274" s="58">
        <f>IF((IF(AW1274&gt;=115%,115%,AW1274) + IF(AX1274&gt;=115%,115%,AX1274) + IF(AY1274&gt;=115%,115%,AY1274) + (IF(AZ1274&gt;=115%,115%,AZ1274) + IF(BA1274&gt;=115%,115%,BA1274) + IF(BB1274&gt;=115%,115%,BB1274) + IF(BC1274&gt;=115%,115%,BC1274) + IF(BD1274&gt;=115%,115%,BD1274) + IF(BE1274&gt;=115%,115%,BE1274) + IF(BF1274&gt;=115%,115%,BF1274) + IF(BG1274&gt;=115%,115%,BG1274) + IF(BH1274&gt;=115%,115%,BH1274)))/_xlfn.XLOOKUP(F1274,Apuração!A:A,Apuração!B:B)&gt;=1.15,1.15,((IF(AZ1274&gt;=115%,115%,AZ1274) + IF(AX1274&gt;=115%,115%,AX1274) + IF(AY1274&gt;=115%,115%,AY1274) + (IF(AW1274&gt;=115%,115%,AW1274) + IF(BA1274&gt;=115%,115%,BA1274) + IF(BB1274&gt;=115%,115%,BB1274) + IF(BC1274&gt;=115%,115%,BC1274) + IF(BD1274&gt;=115%,115%,BD1274) + IF(BE1274&gt;=115%,115%,BE1274) + IF(BF1274&gt;=115%,115%,BF1274) + IF(BG1274&gt;=115%,115%,BG1274) + IF(BH1274&gt;=115%,115%,BH1274)))/_xlfn.XLOOKUP(F1274,Apuração!A:A,Apuração!B:B)))</f>
        <v>0.39090909090909087</v>
      </c>
      <c r="BL1274" s="58" cm="1">
        <f t="array" aca="1" ref="BL1274" ca="1">IF(SUM(IFERROR(IF(INDEX(AW1274:INDEX(AW1274:BH1274, MATCH(2, 1/(AW1274:BH1274&lt;&gt;""), 1)-1), ROW(INDIRECT("1:" &amp; MATCH(2, 1/(AW1274:BH1274&lt;&gt;""), 1)-1))) &gt;= 115%, 115%, INDEX(AW1274:INDEX(AW1274:BH1274, MATCH(2, 1/(AW1274:BH1274&lt;&gt;""), 1)-1), ROW(INDIRECT("1:" &amp; MATCH(2, 1/(AW1274:BH1274&lt;&gt;""), 1)-1)))), 0))/_xlfn.XLOOKUP(F1274,Apuração!A:A,Apuração!B:B)&gt;=1.15,1.15,SUM(IFERROR(IF(INDEX(AW1274:INDEX(AW1274:BH1274, MATCH(2, 1/(AW1274:BH1274&lt;&gt;""), 1)-1), ROW(INDIRECT("1:" &amp; MATCH(2, 1/(AW1274:BH1274&lt;&gt;""), 1)-1))) &gt;= 115%, 115%, INDEX(AW1274:INDEX(AW1274:BH1274, MATCH(2, 1/(AW1274:BH1274&lt;&gt;""), 1)-1), ROW(INDIRECT("1:" &amp; MATCH(2, 1/(AW1274:BH1274&lt;&gt;""), 1)-1)))), 0))/_xlfn.XLOOKUP(F1274,Apuração!A:A,Apuração!B:B))</f>
        <v>0.28636363636363638</v>
      </c>
      <c r="BM1274" s="55" cm="1">
        <f t="array" ref="BM1274">IFERROR(
   INDEX($AW$1:$BH$1,
      _xlfn.AGGREGATE(14, 6, COLUMN($AW$1:$BH$1)/(AW1274:BH1274&lt;&gt;""), 2) - COLUMN($AW$1) + 1
   ),
"")</f>
        <v>46113</v>
      </c>
      <c r="BN1274" s="55" cm="1">
        <f t="array" ref="BN1274">IFERROR(INDEX($AW$1:$BH$1,1,MATCH(2,1/(AW1274:BH1274&lt;&gt;""))),"")</f>
        <v>46143</v>
      </c>
      <c r="BO1274" s="53">
        <f ca="1">IFERROR(_xlfn.XLOOKUP(F1274,Apuração!A:A,Apuração!C:C)/_xlfn.XLOOKUP(F1274,Apuração!A:A,Apuração!B:B),0)</f>
        <v>0.36363636363636365</v>
      </c>
      <c r="BP1274" s="53">
        <f ca="1">IFERROR(_xlfn.XLOOKUP(F1274,Apuração!A:A,Apuração!D:D)/_xlfn.XLOOKUP(F1274,Apuração!A:A,Apuração!B:B),0)</f>
        <v>0.27272727272727271</v>
      </c>
      <c r="BQ1274" s="53">
        <f ca="1">IF(BK1274&gt;=BO1274,0,_xlfn.XLOOKUP(F1274,Apuração!A:A,Apuração!B:B)*(BO1274 + (1/_xlfn.XLOOKUP(F1274,Apuração!A:A,Apuração!B:B)) - BK1274))</f>
        <v>0</v>
      </c>
      <c r="BR1274" s="85">
        <f ca="1">IF(BQ1274=0,0,BQ1274*Z1274)</f>
        <v>0</v>
      </c>
      <c r="BS1274" s="53">
        <f ca="1">IFERROR((_xlfn.XLOOKUP(F1274,Apuração!A:A,Apuração!C:C)+1)/_xlfn.XLOOKUP(F1274,Apuração!A:A,Apuração!B:B),0)</f>
        <v>0.45454545454545453</v>
      </c>
    </row>
    <row r="1275" spans="1:71" ht="25.95" hidden="1" customHeight="1" x14ac:dyDescent="0.3">
      <c r="A1275" s="23" t="s">
        <v>134</v>
      </c>
      <c r="B1275" s="4" t="s">
        <v>135</v>
      </c>
      <c r="C1275" s="5" t="s">
        <v>209</v>
      </c>
      <c r="D1275" s="5" t="s">
        <v>210</v>
      </c>
      <c r="E1275" s="4" t="str" cm="1">
        <f t="array" ref="E1275">_xlfn.IFS(
F1275 = "A partir de Abril", "Aguardando Execução na Distribuidora",
A1275 = "CAPACITAÇÃO", "Em execução no Corporativo",
TRUE, "Em Execução na Distribuidora"
)</f>
        <v>Em Execução na Distribuidora</v>
      </c>
      <c r="F1275" s="4" t="str" cm="1">
        <f t="array" ref="F1275">_xlfn.IFS(
AG1275 &lt;&gt; "", "Jan-Dez/26",
AH1275 &lt;&gt; "", "Fev-Dez/26",
AI1275 &lt;&gt; "", "Mar-Dez/26", AJ1275 &lt;&gt; "", "Abr-Dez/26",
TRUE, "A partir de Junho"
)</f>
        <v>A partir de Junho</v>
      </c>
      <c r="G1275" s="4" t="s">
        <v>37</v>
      </c>
      <c r="H1275" s="7" t="s">
        <v>38</v>
      </c>
      <c r="I1275" s="8" t="s">
        <v>136</v>
      </c>
      <c r="J1275" s="8" t="str" cm="1">
        <f t="array" aca="1" ref="J1275" ca="1">_xlfn.LET(
  _xlpm.actual_value_month, INDEX(T1275:AE1275, MATCH(DATE(YEAR(TODAY()), MONTH(TODAY()), 1), $T$1:$AE$1, 0)),
  IF(_xlpm.actual_value_month &lt;&gt; "",_xlpm.actual_value_month &amp; " equipes mensais", "")
)</f>
        <v>78 equipes mensais</v>
      </c>
      <c r="K1275" s="8" t="str" cm="1">
        <f t="array" ref="K1275">_xlfn.LET(
    _xlpm.sum_month, SUM(T1275:AE1275),
    IF(_xlpm.sum_month = 0, "", _xlpm.sum_month &amp; " alcançadas no ano")
)</f>
        <v>702 alcançadas no ano</v>
      </c>
      <c r="L1275" s="9" t="s">
        <v>137</v>
      </c>
      <c r="M1275" s="24" t="s">
        <v>138</v>
      </c>
      <c r="N1275" s="5" t="s">
        <v>42</v>
      </c>
      <c r="O1275" s="5" t="s">
        <v>43</v>
      </c>
      <c r="P1275" s="10" t="s">
        <v>44</v>
      </c>
      <c r="Q1275" s="10" t="s">
        <v>44</v>
      </c>
      <c r="R1275" s="11" t="s">
        <v>66</v>
      </c>
      <c r="S1275" s="11" t="s">
        <v>67</v>
      </c>
      <c r="T1275" s="22"/>
      <c r="U1275" s="117"/>
      <c r="V1275" s="22"/>
      <c r="W1275" s="143">
        <v>78</v>
      </c>
      <c r="X1275" s="143">
        <v>78</v>
      </c>
      <c r="Y1275" s="143">
        <v>78</v>
      </c>
      <c r="Z1275" s="143">
        <v>78</v>
      </c>
      <c r="AA1275" s="143">
        <v>78</v>
      </c>
      <c r="AB1275" s="143">
        <v>78</v>
      </c>
      <c r="AC1275" s="143">
        <v>78</v>
      </c>
      <c r="AD1275" s="143">
        <v>78</v>
      </c>
      <c r="AE1275" s="143">
        <v>78</v>
      </c>
      <c r="AG1275" s="71"/>
      <c r="AH1275" s="71"/>
      <c r="AI1275" s="71"/>
      <c r="AJ1275" s="71"/>
      <c r="AK1275" s="71"/>
      <c r="AL1275" s="71"/>
      <c r="AM1275" s="71"/>
      <c r="AN1275" s="71"/>
      <c r="AO1275" s="71"/>
      <c r="AP1275" s="71"/>
      <c r="AQ1275" s="71"/>
      <c r="AR1275" s="71"/>
      <c r="AS1275" s="94">
        <f t="shared" ref="AS1275:AS1279" ca="1" si="1494">IF(MONTH(TODAY())=3,SUM(T1275:U1275),IF(MONTH(TODAY())=4,SUM(T1275:V1275),IF(MONTH(TODAY())=5,SUM(T1275:W1275),IF(MONTH(TODAY())=6,SUM(T1275:X1275),IF(MONTH(TODAY())=7,SUM(T1275:Y1275),IF(MONTH(TODAY())=8,SUM(T1275:Z1275),IF(MONTH(TODAY())=9,SUM(T1275:AA1275),IF(MONTH(TODAY())=10,SUM(T1275:AB1275),IF(MONTH(TODAY())=11,SUM(T1275:AC1275),IF(MONTH(TODAY())=12,SUM(T1275:AD1275),IF(MONTH(TODAY())=1,SUM(T1275:AE1275),T1275)))))))))))</f>
        <v>156</v>
      </c>
      <c r="AT1275" s="95">
        <f t="shared" ref="AT1275:AT1279" si="1495">SUM(IF(AW1275&lt;1.15,AG1275,1.15*T1275),IF(AX1275&lt;1.15,AH1275,1.15*U1275),IF(AY1275&lt;1.15,AI1275,1.15*V1275),IF(AZ1275&lt;1.15,AJ1275,1.15*W1275),IF(BA1275&lt;1.15,AK1275,1.15*X1275),IF(BB1275&lt;1.15,AL1275,1.15*Y1275),IF(BC1275&lt;1.15,AM1275,1.15*Z1275),IF(BD1275&lt;1.15,AN1275,1.15*AA1275),IF(BE1275&lt;1.15,AO1275,1.15*AB1275),IF(BF1275&lt;1.15,AP1275,1.15*AC1275),IF(BG1275&lt;1.15,AQ1275,1.15*AD1275),IF(BH1275&lt;1.15,AR1275,1.15*AE1275))</f>
        <v>0</v>
      </c>
      <c r="AU1275" s="97">
        <f t="shared" ref="AU1275:AU1279" si="1496">SUM(AG1275:AR1275)</f>
        <v>0</v>
      </c>
      <c r="AW1275" s="51">
        <f t="shared" ref="AW1275:AW1279" si="1497">IFERROR(IF(AG1275="",0,AG1275/T1275),0)</f>
        <v>0</v>
      </c>
      <c r="AX1275" s="51">
        <f t="shared" ref="AX1275:AX1279" si="1498">IFERROR(IF(AH1275="",0,AH1275/U1275),0)</f>
        <v>0</v>
      </c>
      <c r="AY1275" s="51">
        <f t="shared" ref="AY1275:AY1279" si="1499">IFERROR(IF(AI1275="",0,AI1275/V1275),0)</f>
        <v>0</v>
      </c>
      <c r="AZ1275" s="51">
        <f t="shared" ref="AZ1275:AZ1279" si="1500">IFERROR(IF(AJ1275="",0,AJ1275/W1275),0)</f>
        <v>0</v>
      </c>
      <c r="BA1275" s="51"/>
      <c r="BB1275" s="51"/>
      <c r="BC1275" s="51"/>
      <c r="BD1275" s="51"/>
      <c r="BE1275" s="51"/>
      <c r="BF1275" s="51"/>
      <c r="BG1275" s="51"/>
      <c r="BH1275" s="51"/>
      <c r="BI1275" s="65" cm="1">
        <f t="array" ref="BI1275">IFERROR(INDEX(AW1275:BH1275,1,MATCH(2,1/(AW1275:BH1275&lt;&gt;""))),"")</f>
        <v>0</v>
      </c>
      <c r="BJ1275" s="68" cm="1">
        <f t="array" ref="BJ1275">IF(BM1275 = "", "",IFERROR(INDEX(AW1275:BH1275,1,MATCH(2,1/(AW1275:BH1275&lt;&gt;""),1)-1),""))</f>
        <v>0</v>
      </c>
      <c r="BK1275" s="58">
        <f>IF((IF(AW1275&gt;=115%,115%,AW1275) + IF(AX1275&gt;=115%,115%,AX1275) + IF(AY1275&gt;=115%,115%,AY1275) + (IF(AZ1275&gt;=115%,115%,AZ1275) + IF(BA1275&gt;=115%,115%,BA1275) + IF(BB1275&gt;=115%,115%,BB1275) + IF(BC1275&gt;=115%,115%,BC1275) + IF(BD1275&gt;=115%,115%,BD1275) + IF(BE1275&gt;=115%,115%,BE1275) + IF(BF1275&gt;=115%,115%,BF1275) + IF(BG1275&gt;=115%,115%,BG1275) + IF(BH1275&gt;=115%,115%,BH1275)))/_xlfn.XLOOKUP(F1275,Apuração!A:A,Apuração!B:B)&gt;=1.15,1.15,((IF(AZ1275&gt;=115%,115%,AZ1275) + IF(AX1275&gt;=115%,115%,AX1275) + IF(AY1275&gt;=115%,115%,AY1275) + (IF(AW1275&gt;=115%,115%,AW1275) + IF(BA1275&gt;=115%,115%,BA1275) + IF(BB1275&gt;=115%,115%,BB1275) + IF(BC1275&gt;=115%,115%,BC1275) + IF(BD1275&gt;=115%,115%,BD1275) + IF(BE1275&gt;=115%,115%,BE1275) + IF(BF1275&gt;=115%,115%,BF1275) + IF(BG1275&gt;=115%,115%,BG1275) + IF(BH1275&gt;=115%,115%,BH1275)))/_xlfn.XLOOKUP(F1275,Apuração!A:A,Apuração!B:B)))</f>
        <v>0</v>
      </c>
      <c r="BL1275" s="58" cm="1">
        <f t="array" aca="1" ref="BL1275" ca="1">IF(SUM(IFERROR(IF(INDEX(AW1275:INDEX(AW1275:BH1275, MATCH(2, 1/(AW1275:BH1275&lt;&gt;""), 1)-1), ROW(INDIRECT("1:" &amp; MATCH(2, 1/(AW1275:BH1275&lt;&gt;""), 1)-1))) &gt;= 115%, 115%, INDEX(AW1275:INDEX(AW1275:BH1275, MATCH(2, 1/(AW1275:BH1275&lt;&gt;""), 1)-1), ROW(INDIRECT("1:" &amp; MATCH(2, 1/(AW1275:BH1275&lt;&gt;""), 1)-1)))), 0))/_xlfn.XLOOKUP(F1275,Apuração!A:A,Apuração!B:B)&gt;=1.15,1.15,SUM(IFERROR(IF(INDEX(AW1275:INDEX(AW1275:BH1275, MATCH(2, 1/(AW1275:BH1275&lt;&gt;""), 1)-1), ROW(INDIRECT("1:" &amp; MATCH(2, 1/(AW1275:BH1275&lt;&gt;""), 1)-1))) &gt;= 115%, 115%, INDEX(AW1275:INDEX(AW1275:BH1275, MATCH(2, 1/(AW1275:BH1275&lt;&gt;""), 1)-1), ROW(INDIRECT("1:" &amp; MATCH(2, 1/(AW1275:BH1275&lt;&gt;""), 1)-1)))), 0))/_xlfn.XLOOKUP(F1275,Apuração!A:A,Apuração!B:B))</f>
        <v>0</v>
      </c>
      <c r="BM1275" s="55" cm="1">
        <f t="array" ref="BM1275">IFERROR(
   INDEX($AW$1:$BH$1,
      _xlfn.AGGREGATE(14, 6, COLUMN($AW$1:$BH$1)/(AW1275:BH1275&lt;&gt;""), 2) - COLUMN($AW$1) + 1
   ),
"")</f>
        <v>46082</v>
      </c>
      <c r="BN1275" s="55" cm="1">
        <f t="array" ref="BN1275">IFERROR(INDEX($AW$1:$BH$1,1,MATCH(2,1/(AW1275:BH1275&lt;&gt;""))),"")</f>
        <v>46113</v>
      </c>
      <c r="BO1275" s="53">
        <f ca="1">IFERROR(_xlfn.XLOOKUP(F1275,Apuração!A:A,Apuração!C:C)/_xlfn.XLOOKUP(F1275,Apuração!A:A,Apuração!B:B),0)</f>
        <v>0</v>
      </c>
      <c r="BP1275" s="53">
        <f ca="1">IFERROR(_xlfn.XLOOKUP(F1275,Apuração!A:A,Apuração!D:D)/_xlfn.XLOOKUP(F1275,Apuração!A:A,Apuração!B:B),0)</f>
        <v>0</v>
      </c>
      <c r="BQ1275" s="53">
        <f ca="1">IF(BK1275&gt;=BO1275,0,_xlfn.XLOOKUP(F1275,Apuração!A:A,Apuração!B:B)*(BO1275 + (1/_xlfn.XLOOKUP(F1275,Apuração!A:A,Apuração!B:B)) - BK1275))</f>
        <v>0</v>
      </c>
      <c r="BR1275" s="85">
        <f t="shared" ref="BR1275:BR1279" ca="1" si="1501">IF(BQ1275=0,0,BQ1275*Z1275)</f>
        <v>0</v>
      </c>
      <c r="BS1275" s="53">
        <f ca="1">IFERROR((_xlfn.XLOOKUP(F1275,Apuração!A:A,Apuração!C:C)+1)/_xlfn.XLOOKUP(F1275,Apuração!A:A,Apuração!B:B),0)</f>
        <v>0.14285714285714285</v>
      </c>
    </row>
    <row r="1276" spans="1:71" ht="25.95" hidden="1" customHeight="1" x14ac:dyDescent="0.3">
      <c r="A1276" s="23" t="s">
        <v>134</v>
      </c>
      <c r="B1276" s="4" t="s">
        <v>135</v>
      </c>
      <c r="C1276" s="5" t="s">
        <v>209</v>
      </c>
      <c r="D1276" s="5" t="s">
        <v>47</v>
      </c>
      <c r="E1276" s="4" t="str" cm="1">
        <f t="array" ref="E1276">_xlfn.IFS(
F1276 = "A partir de Abril", "Aguardando Execução na Distribuidora",
A1276 = "CAPACITAÇÃO", "Em execução no Corporativo",
TRUE, "Em Execução na Distribuidora"
)</f>
        <v>Em Execução na Distribuidora</v>
      </c>
      <c r="F1276" s="4" t="str" cm="1">
        <f t="array" ref="F1276">_xlfn.IFS(
AG1276 &lt;&gt; "", "Jan-Dez/26",
AH1276 &lt;&gt; "", "Fev-Dez/26",
AI1276 &lt;&gt; "", "Mar-Dez/26", AJ1276 &lt;&gt; "", "Abr-Dez/26",
TRUE, "A partir de Junho"
)</f>
        <v>A partir de Junho</v>
      </c>
      <c r="G1276" s="4" t="s">
        <v>37</v>
      </c>
      <c r="H1276" s="7" t="s">
        <v>38</v>
      </c>
      <c r="I1276" s="8" t="s">
        <v>136</v>
      </c>
      <c r="J1276" s="8" t="str" cm="1">
        <f t="array" aca="1" ref="J1276" ca="1">_xlfn.LET(
  _xlpm.actual_value_month, INDEX(T1276:AE1276, MATCH(DATE(YEAR(TODAY()), MONTH(TODAY()), 1), $T$1:$AE$1, 0)),
  IF(_xlpm.actual_value_month &lt;&gt; "",_xlpm.actual_value_month &amp; " equipes mensais", "")
)</f>
        <v>64 equipes mensais</v>
      </c>
      <c r="K1276" s="8" t="str" cm="1">
        <f t="array" ref="K1276">_xlfn.LET(
    _xlpm.sum_month, SUM(T1276:AE1276),
    IF(_xlpm.sum_month = 0, "", _xlpm.sum_month &amp; " alcançadas no ano")
)</f>
        <v>576 alcançadas no ano</v>
      </c>
      <c r="L1276" s="9" t="s">
        <v>137</v>
      </c>
      <c r="M1276" s="24" t="s">
        <v>138</v>
      </c>
      <c r="N1276" s="5" t="s">
        <v>42</v>
      </c>
      <c r="O1276" s="5" t="s">
        <v>43</v>
      </c>
      <c r="P1276" s="10" t="s">
        <v>44</v>
      </c>
      <c r="Q1276" s="10" t="s">
        <v>44</v>
      </c>
      <c r="R1276" s="11" t="s">
        <v>66</v>
      </c>
      <c r="S1276" s="11" t="s">
        <v>67</v>
      </c>
      <c r="T1276" s="22"/>
      <c r="U1276" s="117"/>
      <c r="V1276" s="22"/>
      <c r="W1276" s="143">
        <v>64</v>
      </c>
      <c r="X1276" s="143">
        <v>64</v>
      </c>
      <c r="Y1276" s="143">
        <v>64</v>
      </c>
      <c r="Z1276" s="143">
        <v>64</v>
      </c>
      <c r="AA1276" s="143">
        <v>64</v>
      </c>
      <c r="AB1276" s="143">
        <v>64</v>
      </c>
      <c r="AC1276" s="143">
        <v>64</v>
      </c>
      <c r="AD1276" s="143">
        <v>64</v>
      </c>
      <c r="AE1276" s="143">
        <v>64</v>
      </c>
      <c r="AG1276" s="71"/>
      <c r="AH1276" s="71"/>
      <c r="AI1276" s="71"/>
      <c r="AJ1276" s="71"/>
      <c r="AK1276" s="71"/>
      <c r="AL1276" s="71"/>
      <c r="AM1276" s="71"/>
      <c r="AN1276" s="71"/>
      <c r="AO1276" s="71"/>
      <c r="AP1276" s="71"/>
      <c r="AQ1276" s="71"/>
      <c r="AR1276" s="71"/>
      <c r="AS1276" s="94">
        <f t="shared" ca="1" si="1494"/>
        <v>128</v>
      </c>
      <c r="AT1276" s="95">
        <f t="shared" si="1495"/>
        <v>0</v>
      </c>
      <c r="AU1276" s="97">
        <f t="shared" si="1496"/>
        <v>0</v>
      </c>
      <c r="AW1276" s="51">
        <f t="shared" si="1497"/>
        <v>0</v>
      </c>
      <c r="AX1276" s="51">
        <f t="shared" si="1498"/>
        <v>0</v>
      </c>
      <c r="AY1276" s="51">
        <f t="shared" si="1499"/>
        <v>0</v>
      </c>
      <c r="AZ1276" s="51">
        <f t="shared" si="1500"/>
        <v>0</v>
      </c>
      <c r="BA1276" s="51"/>
      <c r="BB1276" s="51"/>
      <c r="BC1276" s="51"/>
      <c r="BD1276" s="51"/>
      <c r="BE1276" s="51"/>
      <c r="BF1276" s="51"/>
      <c r="BG1276" s="51"/>
      <c r="BH1276" s="51"/>
      <c r="BI1276" s="65" cm="1">
        <f t="array" ref="BI1276">IFERROR(INDEX(AW1276:BH1276,1,MATCH(2,1/(AW1276:BH1276&lt;&gt;""))),"")</f>
        <v>0</v>
      </c>
      <c r="BJ1276" s="68" cm="1">
        <f t="array" ref="BJ1276">IF(BM1276 = "", "",IFERROR(INDEX(AW1276:BH1276,1,MATCH(2,1/(AW1276:BH1276&lt;&gt;""),1)-1),""))</f>
        <v>0</v>
      </c>
      <c r="BK1276" s="58">
        <f>IF((IF(AW1276&gt;=115%,115%,AW1276) + IF(AX1276&gt;=115%,115%,AX1276) + IF(AY1276&gt;=115%,115%,AY1276) + (IF(AZ1276&gt;=115%,115%,AZ1276) + IF(BA1276&gt;=115%,115%,BA1276) + IF(BB1276&gt;=115%,115%,BB1276) + IF(BC1276&gt;=115%,115%,BC1276) + IF(BD1276&gt;=115%,115%,BD1276) + IF(BE1276&gt;=115%,115%,BE1276) + IF(BF1276&gt;=115%,115%,BF1276) + IF(BG1276&gt;=115%,115%,BG1276) + IF(BH1276&gt;=115%,115%,BH1276)))/_xlfn.XLOOKUP(F1276,Apuração!A:A,Apuração!B:B)&gt;=1.15,1.15,((IF(AZ1276&gt;=115%,115%,AZ1276) + IF(AX1276&gt;=115%,115%,AX1276) + IF(AY1276&gt;=115%,115%,AY1276) + (IF(AW1276&gt;=115%,115%,AW1276) + IF(BA1276&gt;=115%,115%,BA1276) + IF(BB1276&gt;=115%,115%,BB1276) + IF(BC1276&gt;=115%,115%,BC1276) + IF(BD1276&gt;=115%,115%,BD1276) + IF(BE1276&gt;=115%,115%,BE1276) + IF(BF1276&gt;=115%,115%,BF1276) + IF(BG1276&gt;=115%,115%,BG1276) + IF(BH1276&gt;=115%,115%,BH1276)))/_xlfn.XLOOKUP(F1276,Apuração!A:A,Apuração!B:B)))</f>
        <v>0</v>
      </c>
      <c r="BL1276" s="58" cm="1">
        <f t="array" aca="1" ref="BL1276" ca="1">IF(SUM(IFERROR(IF(INDEX(AW1276:INDEX(AW1276:BH1276, MATCH(2, 1/(AW1276:BH1276&lt;&gt;""), 1)-1), ROW(INDIRECT("1:" &amp; MATCH(2, 1/(AW1276:BH1276&lt;&gt;""), 1)-1))) &gt;= 115%, 115%, INDEX(AW1276:INDEX(AW1276:BH1276, MATCH(2, 1/(AW1276:BH1276&lt;&gt;""), 1)-1), ROW(INDIRECT("1:" &amp; MATCH(2, 1/(AW1276:BH1276&lt;&gt;""), 1)-1)))), 0))/_xlfn.XLOOKUP(F1276,Apuração!A:A,Apuração!B:B)&gt;=1.15,1.15,SUM(IFERROR(IF(INDEX(AW1276:INDEX(AW1276:BH1276, MATCH(2, 1/(AW1276:BH1276&lt;&gt;""), 1)-1), ROW(INDIRECT("1:" &amp; MATCH(2, 1/(AW1276:BH1276&lt;&gt;""), 1)-1))) &gt;= 115%, 115%, INDEX(AW1276:INDEX(AW1276:BH1276, MATCH(2, 1/(AW1276:BH1276&lt;&gt;""), 1)-1), ROW(INDIRECT("1:" &amp; MATCH(2, 1/(AW1276:BH1276&lt;&gt;""), 1)-1)))), 0))/_xlfn.XLOOKUP(F1276,Apuração!A:A,Apuração!B:B))</f>
        <v>0</v>
      </c>
      <c r="BM1276" s="55" cm="1">
        <f t="array" ref="BM1276">IFERROR(
   INDEX($AW$1:$BH$1,
      _xlfn.AGGREGATE(14, 6, COLUMN($AW$1:$BH$1)/(AW1276:BH1276&lt;&gt;""), 2) - COLUMN($AW$1) + 1
   ),
"")</f>
        <v>46082</v>
      </c>
      <c r="BN1276" s="55" cm="1">
        <f t="array" ref="BN1276">IFERROR(INDEX($AW$1:$BH$1,1,MATCH(2,1/(AW1276:BH1276&lt;&gt;""))),"")</f>
        <v>46113</v>
      </c>
      <c r="BO1276" s="53">
        <f ca="1">IFERROR(_xlfn.XLOOKUP(F1276,Apuração!A:A,Apuração!C:C)/_xlfn.XLOOKUP(F1276,Apuração!A:A,Apuração!B:B),0)</f>
        <v>0</v>
      </c>
      <c r="BP1276" s="53">
        <f ca="1">IFERROR(_xlfn.XLOOKUP(F1276,Apuração!A:A,Apuração!D:D)/_xlfn.XLOOKUP(F1276,Apuração!A:A,Apuração!B:B),0)</f>
        <v>0</v>
      </c>
      <c r="BQ1276" s="53">
        <f ca="1">IF(BK1276&gt;=BO1276,0,_xlfn.XLOOKUP(F1276,Apuração!A:A,Apuração!B:B)*(BO1276 + (1/_xlfn.XLOOKUP(F1276,Apuração!A:A,Apuração!B:B)) - BK1276))</f>
        <v>0</v>
      </c>
      <c r="BR1276" s="85">
        <f t="shared" ca="1" si="1501"/>
        <v>0</v>
      </c>
      <c r="BS1276" s="53">
        <f ca="1">IFERROR((_xlfn.XLOOKUP(F1276,Apuração!A:A,Apuração!C:C)+1)/_xlfn.XLOOKUP(F1276,Apuração!A:A,Apuração!B:B),0)</f>
        <v>0.14285714285714285</v>
      </c>
    </row>
    <row r="1277" spans="1:71" ht="25.95" hidden="1" customHeight="1" x14ac:dyDescent="0.3">
      <c r="A1277" s="23" t="s">
        <v>134</v>
      </c>
      <c r="B1277" s="4" t="s">
        <v>135</v>
      </c>
      <c r="C1277" s="5" t="s">
        <v>209</v>
      </c>
      <c r="D1277" s="5" t="s">
        <v>211</v>
      </c>
      <c r="E1277" s="4" t="str" cm="1">
        <f t="array" ref="E1277">_xlfn.IFS(
F1277 = "A partir de Abril", "Aguardando Execução na Distribuidora",
A1277 = "CAPACITAÇÃO", "Em execução no Corporativo",
TRUE, "Em Execução na Distribuidora"
)</f>
        <v>Em Execução na Distribuidora</v>
      </c>
      <c r="F1277" s="4" t="str" cm="1">
        <f t="array" ref="F1277">_xlfn.IFS(
AG1277 &lt;&gt; "", "Jan-Dez/26",
AH1277 &lt;&gt; "", "Fev-Dez/26",
AI1277 &lt;&gt; "", "Mar-Dez/26", AJ1277 &lt;&gt; "", "Abr-Dez/26",
TRUE, "A partir de Junho"
)</f>
        <v>A partir de Junho</v>
      </c>
      <c r="G1277" s="4" t="s">
        <v>37</v>
      </c>
      <c r="H1277" s="7" t="s">
        <v>38</v>
      </c>
      <c r="I1277" s="8" t="s">
        <v>136</v>
      </c>
      <c r="J1277" s="8" t="str" cm="1">
        <f t="array" aca="1" ref="J1277" ca="1">_xlfn.LET(
  _xlpm.actual_value_month, INDEX(T1277:AE1277, MATCH(DATE(YEAR(TODAY()), MONTH(TODAY()), 1), $T$1:$AE$1, 0)),
  IF(_xlpm.actual_value_month &lt;&gt; "",_xlpm.actual_value_month &amp; " equipes mensais", "")
)</f>
        <v>280 equipes mensais</v>
      </c>
      <c r="K1277" s="8" t="str" cm="1">
        <f t="array" ref="K1277">_xlfn.LET(
    _xlpm.sum_month, SUM(T1277:AE1277),
    IF(_xlpm.sum_month = 0, "", _xlpm.sum_month &amp; " alcançadas no ano")
)</f>
        <v>2520 alcançadas no ano</v>
      </c>
      <c r="L1277" s="9" t="s">
        <v>137</v>
      </c>
      <c r="M1277" s="24" t="s">
        <v>138</v>
      </c>
      <c r="N1277" s="5" t="s">
        <v>42</v>
      </c>
      <c r="O1277" s="5" t="s">
        <v>43</v>
      </c>
      <c r="P1277" s="10" t="s">
        <v>44</v>
      </c>
      <c r="Q1277" s="10" t="s">
        <v>44</v>
      </c>
      <c r="R1277" s="11" t="s">
        <v>66</v>
      </c>
      <c r="S1277" s="11" t="s">
        <v>67</v>
      </c>
      <c r="T1277" s="22"/>
      <c r="U1277" s="117"/>
      <c r="V1277" s="22"/>
      <c r="W1277" s="143">
        <v>280</v>
      </c>
      <c r="X1277" s="143">
        <v>280</v>
      </c>
      <c r="Y1277" s="143">
        <v>280</v>
      </c>
      <c r="Z1277" s="143">
        <v>280</v>
      </c>
      <c r="AA1277" s="143">
        <v>280</v>
      </c>
      <c r="AB1277" s="143">
        <v>280</v>
      </c>
      <c r="AC1277" s="143">
        <v>280</v>
      </c>
      <c r="AD1277" s="143">
        <v>280</v>
      </c>
      <c r="AE1277" s="143">
        <v>280</v>
      </c>
      <c r="AG1277" s="71"/>
      <c r="AH1277" s="71"/>
      <c r="AI1277" s="71"/>
      <c r="AJ1277" s="71"/>
      <c r="AK1277" s="71"/>
      <c r="AL1277" s="71"/>
      <c r="AM1277" s="71"/>
      <c r="AN1277" s="71"/>
      <c r="AO1277" s="71"/>
      <c r="AP1277" s="71"/>
      <c r="AQ1277" s="71"/>
      <c r="AR1277" s="71"/>
      <c r="AS1277" s="94">
        <f t="shared" ca="1" si="1494"/>
        <v>560</v>
      </c>
      <c r="AT1277" s="95">
        <f t="shared" si="1495"/>
        <v>0</v>
      </c>
      <c r="AU1277" s="97">
        <f t="shared" si="1496"/>
        <v>0</v>
      </c>
      <c r="AW1277" s="51">
        <f t="shared" si="1497"/>
        <v>0</v>
      </c>
      <c r="AX1277" s="51">
        <f t="shared" si="1498"/>
        <v>0</v>
      </c>
      <c r="AY1277" s="51">
        <f t="shared" si="1499"/>
        <v>0</v>
      </c>
      <c r="AZ1277" s="51">
        <f t="shared" si="1500"/>
        <v>0</v>
      </c>
      <c r="BA1277" s="51"/>
      <c r="BB1277" s="51"/>
      <c r="BC1277" s="51"/>
      <c r="BD1277" s="51"/>
      <c r="BE1277" s="51"/>
      <c r="BF1277" s="51"/>
      <c r="BG1277" s="51"/>
      <c r="BH1277" s="51"/>
      <c r="BI1277" s="65" cm="1">
        <f t="array" ref="BI1277">IFERROR(INDEX(AW1277:BH1277,1,MATCH(2,1/(AW1277:BH1277&lt;&gt;""))),"")</f>
        <v>0</v>
      </c>
      <c r="BJ1277" s="68" cm="1">
        <f t="array" ref="BJ1277">IF(BM1277 = "", "",IFERROR(INDEX(AW1277:BH1277,1,MATCH(2,1/(AW1277:BH1277&lt;&gt;""),1)-1),""))</f>
        <v>0</v>
      </c>
      <c r="BK1277" s="58">
        <f>IF((IF(AW1277&gt;=115%,115%,AW1277) + IF(AX1277&gt;=115%,115%,AX1277) + IF(AY1277&gt;=115%,115%,AY1277) + (IF(AZ1277&gt;=115%,115%,AZ1277) + IF(BA1277&gt;=115%,115%,BA1277) + IF(BB1277&gt;=115%,115%,BB1277) + IF(BC1277&gt;=115%,115%,BC1277) + IF(BD1277&gt;=115%,115%,BD1277) + IF(BE1277&gt;=115%,115%,BE1277) + IF(BF1277&gt;=115%,115%,BF1277) + IF(BG1277&gt;=115%,115%,BG1277) + IF(BH1277&gt;=115%,115%,BH1277)))/_xlfn.XLOOKUP(F1277,Apuração!A:A,Apuração!B:B)&gt;=1.15,1.15,((IF(AZ1277&gt;=115%,115%,AZ1277) + IF(AX1277&gt;=115%,115%,AX1277) + IF(AY1277&gt;=115%,115%,AY1277) + (IF(AW1277&gt;=115%,115%,AW1277) + IF(BA1277&gt;=115%,115%,BA1277) + IF(BB1277&gt;=115%,115%,BB1277) + IF(BC1277&gt;=115%,115%,BC1277) + IF(BD1277&gt;=115%,115%,BD1277) + IF(BE1277&gt;=115%,115%,BE1277) + IF(BF1277&gt;=115%,115%,BF1277) + IF(BG1277&gt;=115%,115%,BG1277) + IF(BH1277&gt;=115%,115%,BH1277)))/_xlfn.XLOOKUP(F1277,Apuração!A:A,Apuração!B:B)))</f>
        <v>0</v>
      </c>
      <c r="BL1277" s="58" cm="1">
        <f t="array" aca="1" ref="BL1277" ca="1">IF(SUM(IFERROR(IF(INDEX(AW1277:INDEX(AW1277:BH1277, MATCH(2, 1/(AW1277:BH1277&lt;&gt;""), 1)-1), ROW(INDIRECT("1:" &amp; MATCH(2, 1/(AW1277:BH1277&lt;&gt;""), 1)-1))) &gt;= 115%, 115%, INDEX(AW1277:INDEX(AW1277:BH1277, MATCH(2, 1/(AW1277:BH1277&lt;&gt;""), 1)-1), ROW(INDIRECT("1:" &amp; MATCH(2, 1/(AW1277:BH1277&lt;&gt;""), 1)-1)))), 0))/_xlfn.XLOOKUP(F1277,Apuração!A:A,Apuração!B:B)&gt;=1.15,1.15,SUM(IFERROR(IF(INDEX(AW1277:INDEX(AW1277:BH1277, MATCH(2, 1/(AW1277:BH1277&lt;&gt;""), 1)-1), ROW(INDIRECT("1:" &amp; MATCH(2, 1/(AW1277:BH1277&lt;&gt;""), 1)-1))) &gt;= 115%, 115%, INDEX(AW1277:INDEX(AW1277:BH1277, MATCH(2, 1/(AW1277:BH1277&lt;&gt;""), 1)-1), ROW(INDIRECT("1:" &amp; MATCH(2, 1/(AW1277:BH1277&lt;&gt;""), 1)-1)))), 0))/_xlfn.XLOOKUP(F1277,Apuração!A:A,Apuração!B:B))</f>
        <v>0</v>
      </c>
      <c r="BM1277" s="55" cm="1">
        <f t="array" ref="BM1277">IFERROR(
   INDEX($AW$1:$BH$1,
      _xlfn.AGGREGATE(14, 6, COLUMN($AW$1:$BH$1)/(AW1277:BH1277&lt;&gt;""), 2) - COLUMN($AW$1) + 1
   ),
"")</f>
        <v>46082</v>
      </c>
      <c r="BN1277" s="55" cm="1">
        <f t="array" ref="BN1277">IFERROR(INDEX($AW$1:$BH$1,1,MATCH(2,1/(AW1277:BH1277&lt;&gt;""))),"")</f>
        <v>46113</v>
      </c>
      <c r="BO1277" s="53">
        <f ca="1">IFERROR(_xlfn.XLOOKUP(F1277,Apuração!A:A,Apuração!C:C)/_xlfn.XLOOKUP(F1277,Apuração!A:A,Apuração!B:B),0)</f>
        <v>0</v>
      </c>
      <c r="BP1277" s="53">
        <f ca="1">IFERROR(_xlfn.XLOOKUP(F1277,Apuração!A:A,Apuração!D:D)/_xlfn.XLOOKUP(F1277,Apuração!A:A,Apuração!B:B),0)</f>
        <v>0</v>
      </c>
      <c r="BQ1277" s="53">
        <f ca="1">IF(BK1277&gt;=BO1277,0,_xlfn.XLOOKUP(F1277,Apuração!A:A,Apuração!B:B)*(BO1277 + (1/_xlfn.XLOOKUP(F1277,Apuração!A:A,Apuração!B:B)) - BK1277))</f>
        <v>0</v>
      </c>
      <c r="BR1277" s="85">
        <f t="shared" ca="1" si="1501"/>
        <v>0</v>
      </c>
      <c r="BS1277" s="53">
        <f ca="1">IFERROR((_xlfn.XLOOKUP(F1277,Apuração!A:A,Apuração!C:C)+1)/_xlfn.XLOOKUP(F1277,Apuração!A:A,Apuração!B:B),0)</f>
        <v>0.14285714285714285</v>
      </c>
    </row>
    <row r="1278" spans="1:71" ht="25.95" hidden="1" customHeight="1" x14ac:dyDescent="0.3">
      <c r="A1278" s="23" t="s">
        <v>134</v>
      </c>
      <c r="B1278" s="4" t="s">
        <v>135</v>
      </c>
      <c r="C1278" s="5" t="s">
        <v>209</v>
      </c>
      <c r="D1278" s="5" t="s">
        <v>212</v>
      </c>
      <c r="E1278" s="4" t="str" cm="1">
        <f t="array" ref="E1278">_xlfn.IFS(
F1278 = "A partir de Abril", "Aguardando Execução na Distribuidora",
A1278 = "CAPACITAÇÃO", "Em execução no Corporativo",
TRUE, "Em Execução na Distribuidora"
)</f>
        <v>Em Execução na Distribuidora</v>
      </c>
      <c r="F1278" s="4" t="str" cm="1">
        <f t="array" ref="F1278">_xlfn.IFS(
AG1278 &lt;&gt; "", "Jan-Dez/26",
AH1278 &lt;&gt; "", "Fev-Dez/26",
AI1278 &lt;&gt; "", "Mar-Dez/26", AJ1278 &lt;&gt; "", "Abr-Dez/26",
TRUE, "A partir de Junho"
)</f>
        <v>A partir de Junho</v>
      </c>
      <c r="G1278" s="4" t="s">
        <v>37</v>
      </c>
      <c r="H1278" s="7" t="s">
        <v>38</v>
      </c>
      <c r="I1278" s="8" t="s">
        <v>136</v>
      </c>
      <c r="J1278" s="8" t="str" cm="1">
        <f t="array" aca="1" ref="J1278" ca="1">_xlfn.LET(
  _xlpm.actual_value_month, INDEX(T1278:AE1278, MATCH(DATE(YEAR(TODAY()), MONTH(TODAY()), 1), $T$1:$AE$1, 0)),
  IF(_xlpm.actual_value_month &lt;&gt; "",_xlpm.actual_value_month &amp; " equipes mensais", "")
)</f>
        <v>18 equipes mensais</v>
      </c>
      <c r="K1278" s="8" t="str" cm="1">
        <f t="array" ref="K1278">_xlfn.LET(
    _xlpm.sum_month, SUM(T1278:AE1278),
    IF(_xlpm.sum_month = 0, "", _xlpm.sum_month &amp; " alcançadas no ano")
)</f>
        <v>162 alcançadas no ano</v>
      </c>
      <c r="L1278" s="9" t="s">
        <v>137</v>
      </c>
      <c r="M1278" s="24" t="s">
        <v>138</v>
      </c>
      <c r="N1278" s="5" t="s">
        <v>42</v>
      </c>
      <c r="O1278" s="5" t="s">
        <v>43</v>
      </c>
      <c r="P1278" s="10" t="s">
        <v>44</v>
      </c>
      <c r="Q1278" s="10" t="s">
        <v>44</v>
      </c>
      <c r="R1278" s="11" t="s">
        <v>66</v>
      </c>
      <c r="S1278" s="11" t="s">
        <v>67</v>
      </c>
      <c r="T1278" s="22"/>
      <c r="U1278" s="117"/>
      <c r="V1278" s="22"/>
      <c r="W1278" s="143">
        <v>18</v>
      </c>
      <c r="X1278" s="143">
        <v>18</v>
      </c>
      <c r="Y1278" s="143">
        <v>18</v>
      </c>
      <c r="Z1278" s="143">
        <v>18</v>
      </c>
      <c r="AA1278" s="143">
        <v>18</v>
      </c>
      <c r="AB1278" s="143">
        <v>18</v>
      </c>
      <c r="AC1278" s="143">
        <v>18</v>
      </c>
      <c r="AD1278" s="143">
        <v>18</v>
      </c>
      <c r="AE1278" s="143">
        <v>18</v>
      </c>
      <c r="AG1278" s="71"/>
      <c r="AH1278" s="71"/>
      <c r="AI1278" s="71"/>
      <c r="AJ1278" s="71"/>
      <c r="AK1278" s="71"/>
      <c r="AL1278" s="71"/>
      <c r="AM1278" s="71"/>
      <c r="AN1278" s="71"/>
      <c r="AO1278" s="71"/>
      <c r="AP1278" s="71"/>
      <c r="AQ1278" s="71"/>
      <c r="AR1278" s="71"/>
      <c r="AS1278" s="94">
        <f t="shared" ca="1" si="1494"/>
        <v>36</v>
      </c>
      <c r="AT1278" s="95">
        <f t="shared" si="1495"/>
        <v>0</v>
      </c>
      <c r="AU1278" s="97">
        <f t="shared" si="1496"/>
        <v>0</v>
      </c>
      <c r="AW1278" s="51">
        <f t="shared" si="1497"/>
        <v>0</v>
      </c>
      <c r="AX1278" s="51">
        <f t="shared" si="1498"/>
        <v>0</v>
      </c>
      <c r="AY1278" s="51">
        <f t="shared" si="1499"/>
        <v>0</v>
      </c>
      <c r="AZ1278" s="51">
        <f t="shared" si="1500"/>
        <v>0</v>
      </c>
      <c r="BA1278" s="51"/>
      <c r="BB1278" s="51"/>
      <c r="BC1278" s="51"/>
      <c r="BD1278" s="51"/>
      <c r="BE1278" s="51"/>
      <c r="BF1278" s="51"/>
      <c r="BG1278" s="51"/>
      <c r="BH1278" s="51"/>
      <c r="BI1278" s="65" cm="1">
        <f t="array" ref="BI1278">IFERROR(INDEX(AW1278:BH1278,1,MATCH(2,1/(AW1278:BH1278&lt;&gt;""))),"")</f>
        <v>0</v>
      </c>
      <c r="BJ1278" s="68" cm="1">
        <f t="array" ref="BJ1278">IF(BM1278 = "", "",IFERROR(INDEX(AW1278:BH1278,1,MATCH(2,1/(AW1278:BH1278&lt;&gt;""),1)-1),""))</f>
        <v>0</v>
      </c>
      <c r="BK1278" s="58">
        <f>IF((IF(AW1278&gt;=115%,115%,AW1278) + IF(AX1278&gt;=115%,115%,AX1278) + IF(AY1278&gt;=115%,115%,AY1278) + (IF(AZ1278&gt;=115%,115%,AZ1278) + IF(BA1278&gt;=115%,115%,BA1278) + IF(BB1278&gt;=115%,115%,BB1278) + IF(BC1278&gt;=115%,115%,BC1278) + IF(BD1278&gt;=115%,115%,BD1278) + IF(BE1278&gt;=115%,115%,BE1278) + IF(BF1278&gt;=115%,115%,BF1278) + IF(BG1278&gt;=115%,115%,BG1278) + IF(BH1278&gt;=115%,115%,BH1278)))/_xlfn.XLOOKUP(F1278,Apuração!A:A,Apuração!B:B)&gt;=1.15,1.15,((IF(AZ1278&gt;=115%,115%,AZ1278) + IF(AX1278&gt;=115%,115%,AX1278) + IF(AY1278&gt;=115%,115%,AY1278) + (IF(AW1278&gt;=115%,115%,AW1278) + IF(BA1278&gt;=115%,115%,BA1278) + IF(BB1278&gt;=115%,115%,BB1278) + IF(BC1278&gt;=115%,115%,BC1278) + IF(BD1278&gt;=115%,115%,BD1278) + IF(BE1278&gt;=115%,115%,BE1278) + IF(BF1278&gt;=115%,115%,BF1278) + IF(BG1278&gt;=115%,115%,BG1278) + IF(BH1278&gt;=115%,115%,BH1278)))/_xlfn.XLOOKUP(F1278,Apuração!A:A,Apuração!B:B)))</f>
        <v>0</v>
      </c>
      <c r="BL1278" s="58" cm="1">
        <f t="array" aca="1" ref="BL1278" ca="1">IF(SUM(IFERROR(IF(INDEX(AW1278:INDEX(AW1278:BH1278, MATCH(2, 1/(AW1278:BH1278&lt;&gt;""), 1)-1), ROW(INDIRECT("1:" &amp; MATCH(2, 1/(AW1278:BH1278&lt;&gt;""), 1)-1))) &gt;= 115%, 115%, INDEX(AW1278:INDEX(AW1278:BH1278, MATCH(2, 1/(AW1278:BH1278&lt;&gt;""), 1)-1), ROW(INDIRECT("1:" &amp; MATCH(2, 1/(AW1278:BH1278&lt;&gt;""), 1)-1)))), 0))/_xlfn.XLOOKUP(F1278,Apuração!A:A,Apuração!B:B)&gt;=1.15,1.15,SUM(IFERROR(IF(INDEX(AW1278:INDEX(AW1278:BH1278, MATCH(2, 1/(AW1278:BH1278&lt;&gt;""), 1)-1), ROW(INDIRECT("1:" &amp; MATCH(2, 1/(AW1278:BH1278&lt;&gt;""), 1)-1))) &gt;= 115%, 115%, INDEX(AW1278:INDEX(AW1278:BH1278, MATCH(2, 1/(AW1278:BH1278&lt;&gt;""), 1)-1), ROW(INDIRECT("1:" &amp; MATCH(2, 1/(AW1278:BH1278&lt;&gt;""), 1)-1)))), 0))/_xlfn.XLOOKUP(F1278,Apuração!A:A,Apuração!B:B))</f>
        <v>0</v>
      </c>
      <c r="BM1278" s="55" cm="1">
        <f t="array" ref="BM1278">IFERROR(
   INDEX($AW$1:$BH$1,
      _xlfn.AGGREGATE(14, 6, COLUMN($AW$1:$BH$1)/(AW1278:BH1278&lt;&gt;""), 2) - COLUMN($AW$1) + 1
   ),
"")</f>
        <v>46082</v>
      </c>
      <c r="BN1278" s="55" cm="1">
        <f t="array" ref="BN1278">IFERROR(INDEX($AW$1:$BH$1,1,MATCH(2,1/(AW1278:BH1278&lt;&gt;""))),"")</f>
        <v>46113</v>
      </c>
      <c r="BO1278" s="53">
        <f ca="1">IFERROR(_xlfn.XLOOKUP(F1278,Apuração!A:A,Apuração!C:C)/_xlfn.XLOOKUP(F1278,Apuração!A:A,Apuração!B:B),0)</f>
        <v>0</v>
      </c>
      <c r="BP1278" s="53">
        <f ca="1">IFERROR(_xlfn.XLOOKUP(F1278,Apuração!A:A,Apuração!D:D)/_xlfn.XLOOKUP(F1278,Apuração!A:A,Apuração!B:B),0)</f>
        <v>0</v>
      </c>
      <c r="BQ1278" s="53">
        <f ca="1">IF(BK1278&gt;=BO1278,0,_xlfn.XLOOKUP(F1278,Apuração!A:A,Apuração!B:B)*(BO1278 + (1/_xlfn.XLOOKUP(F1278,Apuração!A:A,Apuração!B:B)) - BK1278))</f>
        <v>0</v>
      </c>
      <c r="BR1278" s="85">
        <f t="shared" ca="1" si="1501"/>
        <v>0</v>
      </c>
      <c r="BS1278" s="53">
        <f ca="1">IFERROR((_xlfn.XLOOKUP(F1278,Apuração!A:A,Apuração!C:C)+1)/_xlfn.XLOOKUP(F1278,Apuração!A:A,Apuração!B:B),0)</f>
        <v>0.14285714285714285</v>
      </c>
    </row>
    <row r="1279" spans="1:71" ht="25.95" hidden="1" customHeight="1" x14ac:dyDescent="0.3">
      <c r="A1279" s="23" t="s">
        <v>134</v>
      </c>
      <c r="B1279" s="4" t="s">
        <v>135</v>
      </c>
      <c r="C1279" s="5" t="s">
        <v>209</v>
      </c>
      <c r="D1279" s="5" t="s">
        <v>213</v>
      </c>
      <c r="E1279" s="4" t="str" cm="1">
        <f t="array" ref="E1279">_xlfn.IFS(
F1279 = "A partir de Abril", "Aguardando Execução na Distribuidora",
A1279 = "CAPACITAÇÃO", "Em execução no Corporativo",
TRUE, "Em Execução na Distribuidora"
)</f>
        <v>Em Execução na Distribuidora</v>
      </c>
      <c r="F1279" s="4" t="str" cm="1">
        <f t="array" ref="F1279">_xlfn.IFS(
AG1279 &lt;&gt; "", "Jan-Dez/26",
AH1279 &lt;&gt; "", "Fev-Dez/26",
AI1279 &lt;&gt; "", "Mar-Dez/26", AJ1279 &lt;&gt; "", "Abr-Dez/26",
TRUE, "A partir de Junho"
)</f>
        <v>A partir de Junho</v>
      </c>
      <c r="G1279" s="4" t="s">
        <v>37</v>
      </c>
      <c r="H1279" s="7" t="s">
        <v>38</v>
      </c>
      <c r="I1279" s="8" t="s">
        <v>136</v>
      </c>
      <c r="J1279" s="8" t="str" cm="1">
        <f t="array" aca="1" ref="J1279" ca="1">_xlfn.LET(
  _xlpm.actual_value_month, INDEX(T1279:AE1279, MATCH(DATE(YEAR(TODAY()), MONTH(TODAY()), 1), $T$1:$AE$1, 0)),
  IF(_xlpm.actual_value_month &lt;&gt; "",_xlpm.actual_value_month &amp; " equipes mensais", "")
)</f>
        <v>93 equipes mensais</v>
      </c>
      <c r="K1279" s="8" t="str" cm="1">
        <f t="array" ref="K1279">_xlfn.LET(
    _xlpm.sum_month, SUM(T1279:AE1279),
    IF(_xlpm.sum_month = 0, "", _xlpm.sum_month &amp; " alcançadas no ano")
)</f>
        <v>837 alcançadas no ano</v>
      </c>
      <c r="L1279" s="9" t="s">
        <v>137</v>
      </c>
      <c r="M1279" s="24" t="s">
        <v>138</v>
      </c>
      <c r="N1279" s="5" t="s">
        <v>42</v>
      </c>
      <c r="O1279" s="5" t="s">
        <v>43</v>
      </c>
      <c r="P1279" s="10" t="s">
        <v>44</v>
      </c>
      <c r="Q1279" s="10" t="s">
        <v>44</v>
      </c>
      <c r="R1279" s="11" t="s">
        <v>66</v>
      </c>
      <c r="S1279" s="11" t="s">
        <v>67</v>
      </c>
      <c r="T1279" s="22"/>
      <c r="U1279" s="117"/>
      <c r="V1279" s="22"/>
      <c r="W1279" s="143">
        <v>93</v>
      </c>
      <c r="X1279" s="143">
        <v>93</v>
      </c>
      <c r="Y1279" s="143">
        <v>93</v>
      </c>
      <c r="Z1279" s="143">
        <v>93</v>
      </c>
      <c r="AA1279" s="143">
        <v>93</v>
      </c>
      <c r="AB1279" s="143">
        <v>93</v>
      </c>
      <c r="AC1279" s="143">
        <v>93</v>
      </c>
      <c r="AD1279" s="143">
        <v>93</v>
      </c>
      <c r="AE1279" s="143">
        <v>93</v>
      </c>
      <c r="AG1279" s="71"/>
      <c r="AH1279" s="71"/>
      <c r="AI1279" s="71"/>
      <c r="AJ1279" s="71"/>
      <c r="AK1279" s="71"/>
      <c r="AL1279" s="71"/>
      <c r="AM1279" s="71"/>
      <c r="AN1279" s="71"/>
      <c r="AO1279" s="71"/>
      <c r="AP1279" s="71"/>
      <c r="AQ1279" s="71"/>
      <c r="AR1279" s="71"/>
      <c r="AS1279" s="94">
        <f t="shared" ca="1" si="1494"/>
        <v>186</v>
      </c>
      <c r="AT1279" s="95">
        <f t="shared" si="1495"/>
        <v>0</v>
      </c>
      <c r="AU1279" s="97">
        <f t="shared" si="1496"/>
        <v>0</v>
      </c>
      <c r="AW1279" s="51">
        <f t="shared" si="1497"/>
        <v>0</v>
      </c>
      <c r="AX1279" s="51">
        <f t="shared" si="1498"/>
        <v>0</v>
      </c>
      <c r="AY1279" s="51">
        <f t="shared" si="1499"/>
        <v>0</v>
      </c>
      <c r="AZ1279" s="51">
        <f t="shared" si="1500"/>
        <v>0</v>
      </c>
      <c r="BA1279" s="51"/>
      <c r="BB1279" s="51"/>
      <c r="BC1279" s="51"/>
      <c r="BD1279" s="51"/>
      <c r="BE1279" s="51"/>
      <c r="BF1279" s="51"/>
      <c r="BG1279" s="51"/>
      <c r="BH1279" s="51"/>
      <c r="BI1279" s="65" cm="1">
        <f t="array" ref="BI1279">IFERROR(INDEX(AW1279:BH1279,1,MATCH(2,1/(AW1279:BH1279&lt;&gt;""))),"")</f>
        <v>0</v>
      </c>
      <c r="BJ1279" s="68" cm="1">
        <f t="array" ref="BJ1279">IF(BM1279 = "", "",IFERROR(INDEX(AW1279:BH1279,1,MATCH(2,1/(AW1279:BH1279&lt;&gt;""),1)-1),""))</f>
        <v>0</v>
      </c>
      <c r="BK1279" s="58">
        <f>IF((IF(AW1279&gt;=115%,115%,AW1279) + IF(AX1279&gt;=115%,115%,AX1279) + IF(AY1279&gt;=115%,115%,AY1279) + (IF(AZ1279&gt;=115%,115%,AZ1279) + IF(BA1279&gt;=115%,115%,BA1279) + IF(BB1279&gt;=115%,115%,BB1279) + IF(BC1279&gt;=115%,115%,BC1279) + IF(BD1279&gt;=115%,115%,BD1279) + IF(BE1279&gt;=115%,115%,BE1279) + IF(BF1279&gt;=115%,115%,BF1279) + IF(BG1279&gt;=115%,115%,BG1279) + IF(BH1279&gt;=115%,115%,BH1279)))/_xlfn.XLOOKUP(F1279,Apuração!A:A,Apuração!B:B)&gt;=1.15,1.15,((IF(AZ1279&gt;=115%,115%,AZ1279) + IF(AX1279&gt;=115%,115%,AX1279) + IF(AY1279&gt;=115%,115%,AY1279) + (IF(AW1279&gt;=115%,115%,AW1279) + IF(BA1279&gt;=115%,115%,BA1279) + IF(BB1279&gt;=115%,115%,BB1279) + IF(BC1279&gt;=115%,115%,BC1279) + IF(BD1279&gt;=115%,115%,BD1279) + IF(BE1279&gt;=115%,115%,BE1279) + IF(BF1279&gt;=115%,115%,BF1279) + IF(BG1279&gt;=115%,115%,BG1279) + IF(BH1279&gt;=115%,115%,BH1279)))/_xlfn.XLOOKUP(F1279,Apuração!A:A,Apuração!B:B)))</f>
        <v>0</v>
      </c>
      <c r="BL1279" s="58" cm="1">
        <f t="array" aca="1" ref="BL1279" ca="1">IF(SUM(IFERROR(IF(INDEX(AW1279:INDEX(AW1279:BH1279, MATCH(2, 1/(AW1279:BH1279&lt;&gt;""), 1)-1), ROW(INDIRECT("1:" &amp; MATCH(2, 1/(AW1279:BH1279&lt;&gt;""), 1)-1))) &gt;= 115%, 115%, INDEX(AW1279:INDEX(AW1279:BH1279, MATCH(2, 1/(AW1279:BH1279&lt;&gt;""), 1)-1), ROW(INDIRECT("1:" &amp; MATCH(2, 1/(AW1279:BH1279&lt;&gt;""), 1)-1)))), 0))/_xlfn.XLOOKUP(F1279,Apuração!A:A,Apuração!B:B)&gt;=1.15,1.15,SUM(IFERROR(IF(INDEX(AW1279:INDEX(AW1279:BH1279, MATCH(2, 1/(AW1279:BH1279&lt;&gt;""), 1)-1), ROW(INDIRECT("1:" &amp; MATCH(2, 1/(AW1279:BH1279&lt;&gt;""), 1)-1))) &gt;= 115%, 115%, INDEX(AW1279:INDEX(AW1279:BH1279, MATCH(2, 1/(AW1279:BH1279&lt;&gt;""), 1)-1), ROW(INDIRECT("1:" &amp; MATCH(2, 1/(AW1279:BH1279&lt;&gt;""), 1)-1)))), 0))/_xlfn.XLOOKUP(F1279,Apuração!A:A,Apuração!B:B))</f>
        <v>0</v>
      </c>
      <c r="BM1279" s="55" cm="1">
        <f t="array" ref="BM1279">IFERROR(
   INDEX($AW$1:$BH$1,
      _xlfn.AGGREGATE(14, 6, COLUMN($AW$1:$BH$1)/(AW1279:BH1279&lt;&gt;""), 2) - COLUMN($AW$1) + 1
   ),
"")</f>
        <v>46082</v>
      </c>
      <c r="BN1279" s="55" cm="1">
        <f t="array" ref="BN1279">IFERROR(INDEX($AW$1:$BH$1,1,MATCH(2,1/(AW1279:BH1279&lt;&gt;""))),"")</f>
        <v>46113</v>
      </c>
      <c r="BO1279" s="53">
        <f ca="1">IFERROR(_xlfn.XLOOKUP(F1279,Apuração!A:A,Apuração!C:C)/_xlfn.XLOOKUP(F1279,Apuração!A:A,Apuração!B:B),0)</f>
        <v>0</v>
      </c>
      <c r="BP1279" s="53">
        <f ca="1">IFERROR(_xlfn.XLOOKUP(F1279,Apuração!A:A,Apuração!D:D)/_xlfn.XLOOKUP(F1279,Apuração!A:A,Apuração!B:B),0)</f>
        <v>0</v>
      </c>
      <c r="BQ1279" s="53">
        <f ca="1">IF(BK1279&gt;=BO1279,0,_xlfn.XLOOKUP(F1279,Apuração!A:A,Apuração!B:B)*(BO1279 + (1/_xlfn.XLOOKUP(F1279,Apuração!A:A,Apuração!B:B)) - BK1279))</f>
        <v>0</v>
      </c>
      <c r="BR1279" s="85">
        <f t="shared" ca="1" si="1501"/>
        <v>0</v>
      </c>
      <c r="BS1279" s="53">
        <f ca="1">IFERROR((_xlfn.XLOOKUP(F1279,Apuração!A:A,Apuração!C:C)+1)/_xlfn.XLOOKUP(F1279,Apuração!A:A,Apuração!B:B),0)</f>
        <v>0.14285714285714285</v>
      </c>
    </row>
    <row r="1280" spans="1:71" ht="25.95" hidden="1" customHeight="1" x14ac:dyDescent="0.3">
      <c r="A1280" s="42" t="s">
        <v>134</v>
      </c>
      <c r="B1280" s="4" t="s">
        <v>135</v>
      </c>
      <c r="C1280" s="5" t="s">
        <v>209</v>
      </c>
      <c r="D1280" s="5" t="s">
        <v>36</v>
      </c>
      <c r="E1280" s="4" t="str" cm="1">
        <f t="array" ref="E1280">_xlfn.IFS(
F1280 = "A partir de Abril", "Aguardando Execução na Distribuidora",
A1280 = "CAPACITAÇÃO", "Em execução no Corporativo",
TRUE, "Em Execução na Distribuidora"
)</f>
        <v>Em Execução na Distribuidora</v>
      </c>
      <c r="F1280" s="4" t="str" cm="1">
        <f t="array" ref="F1280">_xlfn.IFS(
AG1280 &lt;&gt; "", "Jan-Dez/26",
AH1280 &lt;&gt; "", "Fev-Dez/26",
AI1280 &lt;&gt; "", "Mar-Dez/26", AJ1280 &lt;&gt; "", "Abr-Dez/26",
TRUE, "A partir de Junho"
)</f>
        <v>Fev-Dez/26</v>
      </c>
      <c r="G1280" s="4" t="s">
        <v>37</v>
      </c>
      <c r="H1280" s="7" t="s">
        <v>38</v>
      </c>
      <c r="I1280" s="8" t="s">
        <v>139</v>
      </c>
      <c r="J1280" s="8" t="str" cm="1">
        <f t="array" aca="1" ref="J1280" ca="1">_xlfn.LET(
  _xlpm.actual_value_month, INDEX(T1280:AE1280, MATCH(DATE(YEAR(TODAY()), MONTH(TODAY()), 1), $T$1:$AE$1, 0)),
  IF(_xlpm.actual_value_month &lt;&gt; "",_xlpm.actual_value_month &amp; " ações mensais", "")
)</f>
        <v/>
      </c>
      <c r="K1280" s="8" t="str" cm="1">
        <f t="array" ref="K1280">_xlfn.LET(
    _xlpm.sum_month, SUM(T1280:AE1280),
    IF(_xlpm.sum_month = 0, "", _xlpm.sum_month &amp; " mensagens a serem enviadas no ano")
)</f>
        <v/>
      </c>
      <c r="L1280" s="4" t="s">
        <v>140</v>
      </c>
      <c r="M1280" s="24">
        <v>1</v>
      </c>
      <c r="N1280" s="5" t="s">
        <v>51</v>
      </c>
      <c r="O1280" s="5" t="s">
        <v>52</v>
      </c>
      <c r="P1280" s="10" t="s">
        <v>44</v>
      </c>
      <c r="Q1280" s="10" t="s">
        <v>44</v>
      </c>
      <c r="R1280" s="11" t="s">
        <v>44</v>
      </c>
      <c r="S1280" s="11" t="s">
        <v>44</v>
      </c>
      <c r="T1280" s="22"/>
      <c r="U1280" s="22"/>
      <c r="V1280" s="22"/>
      <c r="W1280" s="22"/>
      <c r="X1280" s="22"/>
      <c r="Y1280" s="22"/>
      <c r="Z1280" s="22"/>
      <c r="AA1280" s="22"/>
      <c r="AB1280" s="22"/>
      <c r="AC1280" s="22"/>
      <c r="AD1280" s="22"/>
      <c r="AE1280" s="22"/>
      <c r="AG1280" s="71"/>
      <c r="AH1280" s="71">
        <v>60</v>
      </c>
      <c r="AI1280" s="71">
        <v>37</v>
      </c>
      <c r="AJ1280" s="71">
        <v>37</v>
      </c>
      <c r="AK1280" s="71">
        <v>37</v>
      </c>
      <c r="AL1280" s="71"/>
      <c r="AM1280" s="71"/>
      <c r="AN1280" s="71"/>
      <c r="AO1280" s="71"/>
      <c r="AP1280" s="71"/>
      <c r="AQ1280" s="71"/>
      <c r="AR1280" s="71"/>
      <c r="AS1280" s="94">
        <f ca="1">IF(MONTH(TODAY())=3,SUM(T1280:U1280),IF(MONTH(TODAY())=4,SUM(T1280:V1280),IF(MONTH(TODAY())=5,SUM(T1280:W1280),IF(MONTH(TODAY())=6,SUM(T1280:X1280),IF(MONTH(TODAY())=7,SUM(T1280:Y1280),IF(MONTH(TODAY())=8,SUM(T1280:Z1280),IF(MONTH(TODAY())=9,SUM(T1280:AA1280),IF(MONTH(TODAY())=10,SUM(T1280:AB1280),IF(MONTH(TODAY())=11,SUM(T1280:AC1280),IF(MONTH(TODAY())=12,SUM(T1280:AD1280),IF(MONTH(TODAY())=1,SUM(T1280:AE1280),T1280)))))))))))</f>
        <v>0</v>
      </c>
      <c r="AT1280" s="95">
        <f>SUM(AG1280:AR1280)</f>
        <v>171</v>
      </c>
      <c r="AU1280" s="97">
        <f>SUM(AG1280:AR1280)</f>
        <v>171</v>
      </c>
      <c r="AW1280" s="83">
        <f>AG1280</f>
        <v>0</v>
      </c>
      <c r="AX1280" s="83">
        <f>AH1280</f>
        <v>60</v>
      </c>
      <c r="AY1280" s="83">
        <f>AI1280</f>
        <v>37</v>
      </c>
      <c r="AZ1280" s="83">
        <f>AJ1280</f>
        <v>37</v>
      </c>
      <c r="BA1280" s="83">
        <f>AK1280</f>
        <v>37</v>
      </c>
      <c r="BB1280" s="52"/>
      <c r="BC1280" s="52"/>
      <c r="BD1280" s="52"/>
      <c r="BE1280" s="52"/>
      <c r="BF1280" s="52"/>
      <c r="BG1280" s="52"/>
      <c r="BH1280" s="52"/>
      <c r="BI1280" s="68" cm="1">
        <f t="array" ref="BI1280">IFERROR(INDEX(AW1280:BH1280,1,MATCH(2,1/(AW1280:BH1280&lt;&gt;""))),"")</f>
        <v>37</v>
      </c>
      <c r="BJ1280" s="68" cm="1">
        <f t="array" ref="BJ1280">IF(BM1280 = "", "",IFERROR(INDEX(AW1280:BH1280,1,MATCH(2,1/(AW1280:BH1280&lt;&gt;""),1)-1),""))</f>
        <v>37</v>
      </c>
      <c r="BK1280" s="59">
        <f>SUM(AW1280:BH1280)</f>
        <v>171</v>
      </c>
      <c r="BL1280" s="59" cm="1">
        <f t="array" ref="BL1280">IFERROR(SUM(AW1280:INDEX(AW1280:BH1280, MATCH(2, 1/(AW1280:BH1280&lt;&gt;""), 1) - 1))/_xlfn.XLOOKUP(F1280,Apuração!A:A,Apuração!B:B),0)</f>
        <v>12.181818181818182</v>
      </c>
      <c r="BM1280" s="55" cm="1">
        <f t="array" ref="BM1280">IFERROR(
   INDEX($AW$1:$BH$1,
      _xlfn.AGGREGATE(14, 6, COLUMN($AW$1:$BH$1)/(AW1280:BH1280&lt;&gt;""), 2) - COLUMN($AW$1) + 1
   ),
"")</f>
        <v>46113</v>
      </c>
      <c r="BN1280" s="55" cm="1">
        <f t="array" ref="BN1280">IFERROR(INDEX($AW$1:$BH$1,1,MATCH(2,1/(AW1280:BH1280&lt;&gt;""))),"")</f>
        <v>46143</v>
      </c>
      <c r="BO1280" s="53">
        <f ca="1">IFERROR(_xlfn.XLOOKUP(F1280,Apuração!A:A,Apuração!C:C)/_xlfn.XLOOKUP(F1280,Apuração!A:A,Apuração!B:B),0)</f>
        <v>0.36363636363636365</v>
      </c>
      <c r="BP1280" s="53">
        <f ca="1">IFERROR(_xlfn.XLOOKUP(F1280,Apuração!A:A,Apuração!D:D)/_xlfn.XLOOKUP(F1280,Apuração!A:A,Apuração!B:B),0)</f>
        <v>0.27272727272727271</v>
      </c>
      <c r="BQ1280" s="53">
        <f ca="1">IF(BK1280&gt;=BO1280,0,_xlfn.XLOOKUP(F1280,Apuração!A:A,Apuração!B:B)*(BO1280 + (1/_xlfn.XLOOKUP(F1280,Apuração!A:A,Apuração!B:B)) - BK1280))</f>
        <v>0</v>
      </c>
      <c r="BR1280" s="85">
        <f ca="1">IF(BQ1280=0,0,BQ1280*Z1280)</f>
        <v>0</v>
      </c>
      <c r="BS1280" s="53">
        <f ca="1">IFERROR((_xlfn.XLOOKUP(F1280,Apuração!A:A,Apuração!C:C)+1)/_xlfn.XLOOKUP(F1280,Apuração!A:A,Apuração!B:B),0)</f>
        <v>0.45454545454545453</v>
      </c>
    </row>
    <row r="1281" spans="1:71" ht="25.95" hidden="1" customHeight="1" x14ac:dyDescent="0.3">
      <c r="A1281" s="42" t="s">
        <v>134</v>
      </c>
      <c r="B1281" s="4" t="s">
        <v>135</v>
      </c>
      <c r="C1281" s="5" t="s">
        <v>209</v>
      </c>
      <c r="D1281" s="5" t="s">
        <v>210</v>
      </c>
      <c r="E1281" s="4" t="str" cm="1">
        <f t="array" ref="E1281">_xlfn.IFS(
F1281 = "A partir de Abril", "Aguardando Execução na Distribuidora",
A1281 = "CAPACITAÇÃO", "Em execução no Corporativo",
TRUE, "Em Execução na Distribuidora"
)</f>
        <v>Em Execução na Distribuidora</v>
      </c>
      <c r="F1281" s="4" t="str" cm="1">
        <f t="array" ref="F1281">_xlfn.IFS(
AG1281 &lt;&gt; "", "Jan-Dez/26",
AH1281 &lt;&gt; "", "Fev-Dez/26",
AI1281 &lt;&gt; "", "Mar-Dez/26", AJ1281 &lt;&gt; "", "Abr-Dez/26",
TRUE, "A partir de Junho"
)</f>
        <v>A partir de Junho</v>
      </c>
      <c r="G1281" s="4" t="s">
        <v>37</v>
      </c>
      <c r="H1281" s="7" t="s">
        <v>38</v>
      </c>
      <c r="I1281" s="8" t="s">
        <v>139</v>
      </c>
      <c r="J1281" s="8" t="str" cm="1">
        <f t="array" aca="1" ref="J1281" ca="1">_xlfn.LET(
  _xlpm.actual_value_month, INDEX(T1281:AE1281, MATCH(DATE(YEAR(TODAY()), MONTH(TODAY()), 1), $T$1:$AE$1, 0)),
  IF(_xlpm.actual_value_month &lt;&gt; "",_xlpm.actual_value_month &amp; " ações mensais", "")
)</f>
        <v/>
      </c>
      <c r="K1281" s="8" t="str" cm="1">
        <f t="array" ref="K1281">_xlfn.LET(
    _xlpm.sum_month, SUM(T1281:AE1281),
    IF(_xlpm.sum_month = 0, "", _xlpm.sum_month &amp; " mensagens a serem enviadas no ano")
)</f>
        <v/>
      </c>
      <c r="L1281" s="4" t="s">
        <v>140</v>
      </c>
      <c r="M1281" s="24">
        <v>1</v>
      </c>
      <c r="N1281" s="5" t="s">
        <v>51</v>
      </c>
      <c r="O1281" s="5" t="s">
        <v>52</v>
      </c>
      <c r="P1281" s="10" t="s">
        <v>44</v>
      </c>
      <c r="Q1281" s="10" t="s">
        <v>44</v>
      </c>
      <c r="R1281" s="11" t="s">
        <v>44</v>
      </c>
      <c r="S1281" s="11" t="s">
        <v>44</v>
      </c>
      <c r="T1281" s="22"/>
      <c r="U1281" s="22"/>
      <c r="V1281" s="22"/>
      <c r="W1281" s="22"/>
      <c r="X1281" s="22"/>
      <c r="Y1281" s="22"/>
      <c r="Z1281" s="22"/>
      <c r="AA1281" s="22"/>
      <c r="AB1281" s="22"/>
      <c r="AC1281" s="22"/>
      <c r="AD1281" s="22"/>
      <c r="AE1281" s="22"/>
      <c r="AG1281" s="71"/>
      <c r="AH1281" s="71"/>
      <c r="AI1281" s="71"/>
      <c r="AJ1281" s="71"/>
      <c r="AK1281" s="71"/>
      <c r="AL1281" s="71"/>
      <c r="AM1281" s="71"/>
      <c r="AN1281" s="71"/>
      <c r="AO1281" s="71"/>
      <c r="AP1281" s="71"/>
      <c r="AQ1281" s="71"/>
      <c r="AR1281" s="71"/>
      <c r="AS1281" s="94">
        <f t="shared" ref="AS1281:AS1285" ca="1" si="1502">IF(MONTH(TODAY())=3,SUM(T1281:U1281),IF(MONTH(TODAY())=4,SUM(T1281:V1281),IF(MONTH(TODAY())=5,SUM(T1281:W1281),IF(MONTH(TODAY())=6,SUM(T1281:X1281),IF(MONTH(TODAY())=7,SUM(T1281:Y1281),IF(MONTH(TODAY())=8,SUM(T1281:Z1281),IF(MONTH(TODAY())=9,SUM(T1281:AA1281),IF(MONTH(TODAY())=10,SUM(T1281:AB1281),IF(MONTH(TODAY())=11,SUM(T1281:AC1281),IF(MONTH(TODAY())=12,SUM(T1281:AD1281),IF(MONTH(TODAY())=1,SUM(T1281:AE1281),T1281)))))))))))</f>
        <v>0</v>
      </c>
      <c r="AT1281" s="95">
        <f t="shared" ref="AT1281:AT1285" si="1503">SUM(AG1281:AR1281)</f>
        <v>0</v>
      </c>
      <c r="AU1281" s="97">
        <f t="shared" ref="AU1281:AU1285" si="1504">SUM(AG1281:AR1281)</f>
        <v>0</v>
      </c>
      <c r="AW1281" s="83">
        <f t="shared" ref="AW1281:AW1285" si="1505">AG1281</f>
        <v>0</v>
      </c>
      <c r="AX1281" s="83">
        <f t="shared" ref="AX1281:AX1285" si="1506">AH1281</f>
        <v>0</v>
      </c>
      <c r="AY1281" s="83">
        <f t="shared" ref="AY1281:AY1285" si="1507">AI1281</f>
        <v>0</v>
      </c>
      <c r="AZ1281" s="83">
        <f t="shared" ref="AZ1281:AZ1285" si="1508">AJ1281</f>
        <v>0</v>
      </c>
      <c r="BA1281" s="52"/>
      <c r="BB1281" s="52"/>
      <c r="BC1281" s="52"/>
      <c r="BD1281" s="52"/>
      <c r="BE1281" s="52"/>
      <c r="BF1281" s="52"/>
      <c r="BG1281" s="52"/>
      <c r="BH1281" s="52"/>
      <c r="BI1281" s="68" cm="1">
        <f t="array" ref="BI1281">IFERROR(INDEX(AW1281:BH1281,1,MATCH(2,1/(AW1281:BH1281&lt;&gt;""))),"")</f>
        <v>0</v>
      </c>
      <c r="BJ1281" s="68" cm="1">
        <f t="array" ref="BJ1281">IF(BM1281 = "", "",IFERROR(INDEX(AW1281:BH1281,1,MATCH(2,1/(AW1281:BH1281&lt;&gt;""),1)-1),""))</f>
        <v>0</v>
      </c>
      <c r="BK1281" s="59">
        <f t="shared" ref="BK1281:BK1285" si="1509">SUM(AW1281:BH1281)</f>
        <v>0</v>
      </c>
      <c r="BL1281" s="59" cm="1">
        <f t="array" ref="BL1281">IFERROR(SUM(AW1281:INDEX(AW1281:BH1281, MATCH(2, 1/(AW1281:BH1281&lt;&gt;""), 1) - 1))/_xlfn.XLOOKUP(F1281,Apuração!A:A,Apuração!B:B),0)</f>
        <v>0</v>
      </c>
      <c r="BM1281" s="55" cm="1">
        <f t="array" ref="BM1281">IFERROR(
   INDEX($AW$1:$BH$1,
      _xlfn.AGGREGATE(14, 6, COLUMN($AW$1:$BH$1)/(AW1281:BH1281&lt;&gt;""), 2) - COLUMN($AW$1) + 1
   ),
"")</f>
        <v>46082</v>
      </c>
      <c r="BN1281" s="55" cm="1">
        <f t="array" ref="BN1281">IFERROR(INDEX($AW$1:$BH$1,1,MATCH(2,1/(AW1281:BH1281&lt;&gt;""))),"")</f>
        <v>46113</v>
      </c>
      <c r="BO1281" s="53">
        <f ca="1">IFERROR(_xlfn.XLOOKUP(F1281,Apuração!A:A,Apuração!C:C)/_xlfn.XLOOKUP(F1281,Apuração!A:A,Apuração!B:B),0)</f>
        <v>0</v>
      </c>
      <c r="BP1281" s="53">
        <f ca="1">IFERROR(_xlfn.XLOOKUP(F1281,Apuração!A:A,Apuração!D:D)/_xlfn.XLOOKUP(F1281,Apuração!A:A,Apuração!B:B),0)</f>
        <v>0</v>
      </c>
      <c r="BQ1281" s="53">
        <f ca="1">IF(BK1281&gt;=BO1281,0,_xlfn.XLOOKUP(F1281,Apuração!A:A,Apuração!B:B)*(BO1281 + (1/_xlfn.XLOOKUP(F1281,Apuração!A:A,Apuração!B:B)) - BK1281))</f>
        <v>0</v>
      </c>
      <c r="BR1281" s="85">
        <f t="shared" ref="BR1281:BR1285" ca="1" si="1510">IF(BQ1281=0,0,BQ1281*Z1281)</f>
        <v>0</v>
      </c>
      <c r="BS1281" s="53">
        <f ca="1">IFERROR((_xlfn.XLOOKUP(F1281,Apuração!A:A,Apuração!C:C)+1)/_xlfn.XLOOKUP(F1281,Apuração!A:A,Apuração!B:B),0)</f>
        <v>0.14285714285714285</v>
      </c>
    </row>
    <row r="1282" spans="1:71" ht="25.95" hidden="1" customHeight="1" x14ac:dyDescent="0.3">
      <c r="A1282" s="42" t="s">
        <v>134</v>
      </c>
      <c r="B1282" s="4" t="s">
        <v>135</v>
      </c>
      <c r="C1282" s="5" t="s">
        <v>209</v>
      </c>
      <c r="D1282" s="5" t="s">
        <v>47</v>
      </c>
      <c r="E1282" s="4" t="str" cm="1">
        <f t="array" ref="E1282">_xlfn.IFS(
F1282 = "A partir de Abril", "Aguardando Execução na Distribuidora",
A1282 = "CAPACITAÇÃO", "Em execução no Corporativo",
TRUE, "Em Execução na Distribuidora"
)</f>
        <v>Em Execução na Distribuidora</v>
      </c>
      <c r="F1282" s="4" t="str" cm="1">
        <f t="array" ref="F1282">_xlfn.IFS(
AG1282 &lt;&gt; "", "Jan-Dez/26",
AH1282 &lt;&gt; "", "Fev-Dez/26",
AI1282 &lt;&gt; "", "Mar-Dez/26", AJ1282 &lt;&gt; "", "Abr-Dez/26",
TRUE, "A partir de Junho"
)</f>
        <v>A partir de Junho</v>
      </c>
      <c r="G1282" s="4" t="s">
        <v>37</v>
      </c>
      <c r="H1282" s="7" t="s">
        <v>38</v>
      </c>
      <c r="I1282" s="8" t="s">
        <v>139</v>
      </c>
      <c r="J1282" s="8" t="str" cm="1">
        <f t="array" aca="1" ref="J1282" ca="1">_xlfn.LET(
  _xlpm.actual_value_month, INDEX(T1282:AE1282, MATCH(DATE(YEAR(TODAY()), MONTH(TODAY()), 1), $T$1:$AE$1, 0)),
  IF(_xlpm.actual_value_month &lt;&gt; "",_xlpm.actual_value_month &amp; " ações mensais", "")
)</f>
        <v/>
      </c>
      <c r="K1282" s="8" t="str" cm="1">
        <f t="array" ref="K1282">_xlfn.LET(
    _xlpm.sum_month, SUM(T1282:AE1282),
    IF(_xlpm.sum_month = 0, "", _xlpm.sum_month &amp; " mensagens a serem enviadas no ano")
)</f>
        <v/>
      </c>
      <c r="L1282" s="4" t="s">
        <v>140</v>
      </c>
      <c r="M1282" s="24">
        <v>1</v>
      </c>
      <c r="N1282" s="5" t="s">
        <v>51</v>
      </c>
      <c r="O1282" s="5" t="s">
        <v>52</v>
      </c>
      <c r="P1282" s="10" t="s">
        <v>44</v>
      </c>
      <c r="Q1282" s="10" t="s">
        <v>44</v>
      </c>
      <c r="R1282" s="11" t="s">
        <v>44</v>
      </c>
      <c r="S1282" s="11" t="s">
        <v>44</v>
      </c>
      <c r="T1282" s="22"/>
      <c r="U1282" s="22"/>
      <c r="V1282" s="22"/>
      <c r="W1282" s="22"/>
      <c r="X1282" s="22"/>
      <c r="Y1282" s="22"/>
      <c r="Z1282" s="22"/>
      <c r="AA1282" s="22"/>
      <c r="AB1282" s="22"/>
      <c r="AC1282" s="22"/>
      <c r="AD1282" s="22"/>
      <c r="AE1282" s="22"/>
      <c r="AG1282" s="71"/>
      <c r="AH1282" s="71"/>
      <c r="AI1282" s="71"/>
      <c r="AJ1282" s="71"/>
      <c r="AK1282" s="71"/>
      <c r="AL1282" s="71"/>
      <c r="AM1282" s="71"/>
      <c r="AN1282" s="71"/>
      <c r="AO1282" s="71"/>
      <c r="AP1282" s="71"/>
      <c r="AQ1282" s="71"/>
      <c r="AR1282" s="71"/>
      <c r="AS1282" s="94">
        <f t="shared" ca="1" si="1502"/>
        <v>0</v>
      </c>
      <c r="AT1282" s="95">
        <f t="shared" si="1503"/>
        <v>0</v>
      </c>
      <c r="AU1282" s="97">
        <f t="shared" si="1504"/>
        <v>0</v>
      </c>
      <c r="AW1282" s="83">
        <f t="shared" si="1505"/>
        <v>0</v>
      </c>
      <c r="AX1282" s="83">
        <f t="shared" si="1506"/>
        <v>0</v>
      </c>
      <c r="AY1282" s="83">
        <f t="shared" si="1507"/>
        <v>0</v>
      </c>
      <c r="AZ1282" s="83">
        <f t="shared" si="1508"/>
        <v>0</v>
      </c>
      <c r="BA1282" s="52"/>
      <c r="BB1282" s="52"/>
      <c r="BC1282" s="52"/>
      <c r="BD1282" s="52"/>
      <c r="BE1282" s="52"/>
      <c r="BF1282" s="52"/>
      <c r="BG1282" s="52"/>
      <c r="BH1282" s="52"/>
      <c r="BI1282" s="68" cm="1">
        <f t="array" ref="BI1282">IFERROR(INDEX(AW1282:BH1282,1,MATCH(2,1/(AW1282:BH1282&lt;&gt;""))),"")</f>
        <v>0</v>
      </c>
      <c r="BJ1282" s="68" cm="1">
        <f t="array" ref="BJ1282">IF(BM1282 = "", "",IFERROR(INDEX(AW1282:BH1282,1,MATCH(2,1/(AW1282:BH1282&lt;&gt;""),1)-1),""))</f>
        <v>0</v>
      </c>
      <c r="BK1282" s="59">
        <f t="shared" si="1509"/>
        <v>0</v>
      </c>
      <c r="BL1282" s="59" cm="1">
        <f t="array" ref="BL1282">IFERROR(SUM(AW1282:INDEX(AW1282:BH1282, MATCH(2, 1/(AW1282:BH1282&lt;&gt;""), 1) - 1))/_xlfn.XLOOKUP(F1282,Apuração!A:A,Apuração!B:B),0)</f>
        <v>0</v>
      </c>
      <c r="BM1282" s="55" cm="1">
        <f t="array" ref="BM1282">IFERROR(
   INDEX($AW$1:$BH$1,
      _xlfn.AGGREGATE(14, 6, COLUMN($AW$1:$BH$1)/(AW1282:BH1282&lt;&gt;""), 2) - COLUMN($AW$1) + 1
   ),
"")</f>
        <v>46082</v>
      </c>
      <c r="BN1282" s="55" cm="1">
        <f t="array" ref="BN1282">IFERROR(INDEX($AW$1:$BH$1,1,MATCH(2,1/(AW1282:BH1282&lt;&gt;""))),"")</f>
        <v>46113</v>
      </c>
      <c r="BO1282" s="53">
        <f ca="1">IFERROR(_xlfn.XLOOKUP(F1282,Apuração!A:A,Apuração!C:C)/_xlfn.XLOOKUP(F1282,Apuração!A:A,Apuração!B:B),0)</f>
        <v>0</v>
      </c>
      <c r="BP1282" s="53">
        <f ca="1">IFERROR(_xlfn.XLOOKUP(F1282,Apuração!A:A,Apuração!D:D)/_xlfn.XLOOKUP(F1282,Apuração!A:A,Apuração!B:B),0)</f>
        <v>0</v>
      </c>
      <c r="BQ1282" s="53">
        <f ca="1">IF(BK1282&gt;=BO1282,0,_xlfn.XLOOKUP(F1282,Apuração!A:A,Apuração!B:B)*(BO1282 + (1/_xlfn.XLOOKUP(F1282,Apuração!A:A,Apuração!B:B)) - BK1282))</f>
        <v>0</v>
      </c>
      <c r="BR1282" s="85">
        <f t="shared" ca="1" si="1510"/>
        <v>0</v>
      </c>
      <c r="BS1282" s="53">
        <f ca="1">IFERROR((_xlfn.XLOOKUP(F1282,Apuração!A:A,Apuração!C:C)+1)/_xlfn.XLOOKUP(F1282,Apuração!A:A,Apuração!B:B),0)</f>
        <v>0.14285714285714285</v>
      </c>
    </row>
    <row r="1283" spans="1:71" ht="25.95" hidden="1" customHeight="1" x14ac:dyDescent="0.3">
      <c r="A1283" s="42" t="s">
        <v>134</v>
      </c>
      <c r="B1283" s="4" t="s">
        <v>135</v>
      </c>
      <c r="C1283" s="5" t="s">
        <v>209</v>
      </c>
      <c r="D1283" s="5" t="s">
        <v>211</v>
      </c>
      <c r="E1283" s="4" t="str" cm="1">
        <f t="array" ref="E1283">_xlfn.IFS(
F1283 = "A partir de Abril", "Aguardando Execução na Distribuidora",
A1283 = "CAPACITAÇÃO", "Em execução no Corporativo",
TRUE, "Em Execução na Distribuidora"
)</f>
        <v>Em Execução na Distribuidora</v>
      </c>
      <c r="F1283" s="4" t="str" cm="1">
        <f t="array" ref="F1283">_xlfn.IFS(
AG1283 &lt;&gt; "", "Jan-Dez/26",
AH1283 &lt;&gt; "", "Fev-Dez/26",
AI1283 &lt;&gt; "", "Mar-Dez/26", AJ1283 &lt;&gt; "", "Abr-Dez/26",
TRUE, "A partir de Junho"
)</f>
        <v>A partir de Junho</v>
      </c>
      <c r="G1283" s="4" t="s">
        <v>37</v>
      </c>
      <c r="H1283" s="7" t="s">
        <v>38</v>
      </c>
      <c r="I1283" s="8" t="s">
        <v>139</v>
      </c>
      <c r="J1283" s="8" t="str" cm="1">
        <f t="array" aca="1" ref="J1283" ca="1">_xlfn.LET(
  _xlpm.actual_value_month, INDEX(T1283:AE1283, MATCH(DATE(YEAR(TODAY()), MONTH(TODAY()), 1), $T$1:$AE$1, 0)),
  IF(_xlpm.actual_value_month &lt;&gt; "",_xlpm.actual_value_month &amp; " ações mensais", "")
)</f>
        <v/>
      </c>
      <c r="K1283" s="8" t="str" cm="1">
        <f t="array" ref="K1283">_xlfn.LET(
    _xlpm.sum_month, SUM(T1283:AE1283),
    IF(_xlpm.sum_month = 0, "", _xlpm.sum_month &amp; " mensagens a serem enviadas no ano")
)</f>
        <v/>
      </c>
      <c r="L1283" s="4" t="s">
        <v>140</v>
      </c>
      <c r="M1283" s="24">
        <v>1</v>
      </c>
      <c r="N1283" s="5" t="s">
        <v>51</v>
      </c>
      <c r="O1283" s="5" t="s">
        <v>52</v>
      </c>
      <c r="P1283" s="10" t="s">
        <v>44</v>
      </c>
      <c r="Q1283" s="10" t="s">
        <v>44</v>
      </c>
      <c r="R1283" s="11" t="s">
        <v>44</v>
      </c>
      <c r="S1283" s="11" t="s">
        <v>44</v>
      </c>
      <c r="T1283" s="22"/>
      <c r="U1283" s="22"/>
      <c r="V1283" s="22"/>
      <c r="W1283" s="22"/>
      <c r="X1283" s="22"/>
      <c r="Y1283" s="22"/>
      <c r="Z1283" s="22"/>
      <c r="AA1283" s="22"/>
      <c r="AB1283" s="22"/>
      <c r="AC1283" s="22"/>
      <c r="AD1283" s="22"/>
      <c r="AE1283" s="22"/>
      <c r="AG1283" s="71"/>
      <c r="AH1283" s="71"/>
      <c r="AI1283" s="71"/>
      <c r="AJ1283" s="71"/>
      <c r="AK1283" s="71"/>
      <c r="AL1283" s="71"/>
      <c r="AM1283" s="71"/>
      <c r="AN1283" s="71"/>
      <c r="AO1283" s="71"/>
      <c r="AP1283" s="71"/>
      <c r="AQ1283" s="71"/>
      <c r="AR1283" s="71"/>
      <c r="AS1283" s="94">
        <f t="shared" ca="1" si="1502"/>
        <v>0</v>
      </c>
      <c r="AT1283" s="95">
        <f t="shared" si="1503"/>
        <v>0</v>
      </c>
      <c r="AU1283" s="97">
        <f t="shared" si="1504"/>
        <v>0</v>
      </c>
      <c r="AW1283" s="83">
        <f t="shared" si="1505"/>
        <v>0</v>
      </c>
      <c r="AX1283" s="83">
        <f t="shared" si="1506"/>
        <v>0</v>
      </c>
      <c r="AY1283" s="83">
        <f t="shared" si="1507"/>
        <v>0</v>
      </c>
      <c r="AZ1283" s="83">
        <f t="shared" si="1508"/>
        <v>0</v>
      </c>
      <c r="BA1283" s="52"/>
      <c r="BB1283" s="52"/>
      <c r="BC1283" s="52"/>
      <c r="BD1283" s="52"/>
      <c r="BE1283" s="52"/>
      <c r="BF1283" s="52"/>
      <c r="BG1283" s="52"/>
      <c r="BH1283" s="52"/>
      <c r="BI1283" s="68" cm="1">
        <f t="array" ref="BI1283">IFERROR(INDEX(AW1283:BH1283,1,MATCH(2,1/(AW1283:BH1283&lt;&gt;""))),"")</f>
        <v>0</v>
      </c>
      <c r="BJ1283" s="68" cm="1">
        <f t="array" ref="BJ1283">IF(BM1283 = "", "",IFERROR(INDEX(AW1283:BH1283,1,MATCH(2,1/(AW1283:BH1283&lt;&gt;""),1)-1),""))</f>
        <v>0</v>
      </c>
      <c r="BK1283" s="59">
        <f t="shared" si="1509"/>
        <v>0</v>
      </c>
      <c r="BL1283" s="59" cm="1">
        <f t="array" ref="BL1283">IFERROR(SUM(AW1283:INDEX(AW1283:BH1283, MATCH(2, 1/(AW1283:BH1283&lt;&gt;""), 1) - 1))/_xlfn.XLOOKUP(F1283,Apuração!A:A,Apuração!B:B),0)</f>
        <v>0</v>
      </c>
      <c r="BM1283" s="55" cm="1">
        <f t="array" ref="BM1283">IFERROR(
   INDEX($AW$1:$BH$1,
      _xlfn.AGGREGATE(14, 6, COLUMN($AW$1:$BH$1)/(AW1283:BH1283&lt;&gt;""), 2) - COLUMN($AW$1) + 1
   ),
"")</f>
        <v>46082</v>
      </c>
      <c r="BN1283" s="55" cm="1">
        <f t="array" ref="BN1283">IFERROR(INDEX($AW$1:$BH$1,1,MATCH(2,1/(AW1283:BH1283&lt;&gt;""))),"")</f>
        <v>46113</v>
      </c>
      <c r="BO1283" s="53">
        <f ca="1">IFERROR(_xlfn.XLOOKUP(F1283,Apuração!A:A,Apuração!C:C)/_xlfn.XLOOKUP(F1283,Apuração!A:A,Apuração!B:B),0)</f>
        <v>0</v>
      </c>
      <c r="BP1283" s="53">
        <f ca="1">IFERROR(_xlfn.XLOOKUP(F1283,Apuração!A:A,Apuração!D:D)/_xlfn.XLOOKUP(F1283,Apuração!A:A,Apuração!B:B),0)</f>
        <v>0</v>
      </c>
      <c r="BQ1283" s="53">
        <f ca="1">IF(BK1283&gt;=BO1283,0,_xlfn.XLOOKUP(F1283,Apuração!A:A,Apuração!B:B)*(BO1283 + (1/_xlfn.XLOOKUP(F1283,Apuração!A:A,Apuração!B:B)) - BK1283))</f>
        <v>0</v>
      </c>
      <c r="BR1283" s="85">
        <f t="shared" ca="1" si="1510"/>
        <v>0</v>
      </c>
      <c r="BS1283" s="53">
        <f ca="1">IFERROR((_xlfn.XLOOKUP(F1283,Apuração!A:A,Apuração!C:C)+1)/_xlfn.XLOOKUP(F1283,Apuração!A:A,Apuração!B:B),0)</f>
        <v>0.14285714285714285</v>
      </c>
    </row>
    <row r="1284" spans="1:71" ht="25.95" hidden="1" customHeight="1" x14ac:dyDescent="0.3">
      <c r="A1284" s="42" t="s">
        <v>134</v>
      </c>
      <c r="B1284" s="4" t="s">
        <v>135</v>
      </c>
      <c r="C1284" s="5" t="s">
        <v>209</v>
      </c>
      <c r="D1284" s="5" t="s">
        <v>212</v>
      </c>
      <c r="E1284" s="4" t="str" cm="1">
        <f t="array" ref="E1284">_xlfn.IFS(
F1284 = "A partir de Abril", "Aguardando Execução na Distribuidora",
A1284 = "CAPACITAÇÃO", "Em execução no Corporativo",
TRUE, "Em Execução na Distribuidora"
)</f>
        <v>Em Execução na Distribuidora</v>
      </c>
      <c r="F1284" s="4" t="str" cm="1">
        <f t="array" ref="F1284">_xlfn.IFS(
AG1284 &lt;&gt; "", "Jan-Dez/26",
AH1284 &lt;&gt; "", "Fev-Dez/26",
AI1284 &lt;&gt; "", "Mar-Dez/26", AJ1284 &lt;&gt; "", "Abr-Dez/26",
TRUE, "A partir de Junho"
)</f>
        <v>A partir de Junho</v>
      </c>
      <c r="G1284" s="4" t="s">
        <v>37</v>
      </c>
      <c r="H1284" s="7" t="s">
        <v>38</v>
      </c>
      <c r="I1284" s="8" t="s">
        <v>139</v>
      </c>
      <c r="J1284" s="8" t="str" cm="1">
        <f t="array" aca="1" ref="J1284" ca="1">_xlfn.LET(
  _xlpm.actual_value_month, INDEX(T1284:AE1284, MATCH(DATE(YEAR(TODAY()), MONTH(TODAY()), 1), $T$1:$AE$1, 0)),
  IF(_xlpm.actual_value_month &lt;&gt; "",_xlpm.actual_value_month &amp; " ações mensais", "")
)</f>
        <v/>
      </c>
      <c r="K1284" s="8" t="str" cm="1">
        <f t="array" ref="K1284">_xlfn.LET(
    _xlpm.sum_month, SUM(T1284:AE1284),
    IF(_xlpm.sum_month = 0, "", _xlpm.sum_month &amp; " mensagens a serem enviadas no ano")
)</f>
        <v/>
      </c>
      <c r="L1284" s="4" t="s">
        <v>140</v>
      </c>
      <c r="M1284" s="24">
        <v>1</v>
      </c>
      <c r="N1284" s="5" t="s">
        <v>51</v>
      </c>
      <c r="O1284" s="5" t="s">
        <v>52</v>
      </c>
      <c r="P1284" s="10" t="s">
        <v>44</v>
      </c>
      <c r="Q1284" s="10" t="s">
        <v>44</v>
      </c>
      <c r="R1284" s="11" t="s">
        <v>44</v>
      </c>
      <c r="S1284" s="11" t="s">
        <v>44</v>
      </c>
      <c r="T1284" s="22"/>
      <c r="U1284" s="22"/>
      <c r="V1284" s="22"/>
      <c r="W1284" s="22"/>
      <c r="X1284" s="22"/>
      <c r="Y1284" s="22"/>
      <c r="Z1284" s="22"/>
      <c r="AA1284" s="22"/>
      <c r="AB1284" s="22"/>
      <c r="AC1284" s="22"/>
      <c r="AD1284" s="22"/>
      <c r="AE1284" s="22"/>
      <c r="AG1284" s="71"/>
      <c r="AH1284" s="71"/>
      <c r="AI1284" s="71"/>
      <c r="AJ1284" s="71"/>
      <c r="AK1284" s="71"/>
      <c r="AL1284" s="71"/>
      <c r="AM1284" s="71"/>
      <c r="AN1284" s="71"/>
      <c r="AO1284" s="71"/>
      <c r="AP1284" s="71"/>
      <c r="AQ1284" s="71"/>
      <c r="AR1284" s="71"/>
      <c r="AS1284" s="94">
        <f t="shared" ca="1" si="1502"/>
        <v>0</v>
      </c>
      <c r="AT1284" s="95">
        <f t="shared" si="1503"/>
        <v>0</v>
      </c>
      <c r="AU1284" s="97">
        <f t="shared" si="1504"/>
        <v>0</v>
      </c>
      <c r="AW1284" s="83">
        <f t="shared" si="1505"/>
        <v>0</v>
      </c>
      <c r="AX1284" s="83">
        <f t="shared" si="1506"/>
        <v>0</v>
      </c>
      <c r="AY1284" s="83">
        <f t="shared" si="1507"/>
        <v>0</v>
      </c>
      <c r="AZ1284" s="83">
        <f t="shared" si="1508"/>
        <v>0</v>
      </c>
      <c r="BA1284" s="52"/>
      <c r="BB1284" s="52"/>
      <c r="BC1284" s="52"/>
      <c r="BD1284" s="52"/>
      <c r="BE1284" s="52"/>
      <c r="BF1284" s="52"/>
      <c r="BG1284" s="52"/>
      <c r="BH1284" s="52"/>
      <c r="BI1284" s="68" cm="1">
        <f t="array" ref="BI1284">IFERROR(INDEX(AW1284:BH1284,1,MATCH(2,1/(AW1284:BH1284&lt;&gt;""))),"")</f>
        <v>0</v>
      </c>
      <c r="BJ1284" s="68" cm="1">
        <f t="array" ref="BJ1284">IF(BM1284 = "", "",IFERROR(INDEX(AW1284:BH1284,1,MATCH(2,1/(AW1284:BH1284&lt;&gt;""),1)-1),""))</f>
        <v>0</v>
      </c>
      <c r="BK1284" s="59">
        <f t="shared" si="1509"/>
        <v>0</v>
      </c>
      <c r="BL1284" s="59" cm="1">
        <f t="array" ref="BL1284">IFERROR(SUM(AW1284:INDEX(AW1284:BH1284, MATCH(2, 1/(AW1284:BH1284&lt;&gt;""), 1) - 1))/_xlfn.XLOOKUP(F1284,Apuração!A:A,Apuração!B:B),0)</f>
        <v>0</v>
      </c>
      <c r="BM1284" s="55" cm="1">
        <f t="array" ref="BM1284">IFERROR(
   INDEX($AW$1:$BH$1,
      _xlfn.AGGREGATE(14, 6, COLUMN($AW$1:$BH$1)/(AW1284:BH1284&lt;&gt;""), 2) - COLUMN($AW$1) + 1
   ),
"")</f>
        <v>46082</v>
      </c>
      <c r="BN1284" s="55" cm="1">
        <f t="array" ref="BN1284">IFERROR(INDEX($AW$1:$BH$1,1,MATCH(2,1/(AW1284:BH1284&lt;&gt;""))),"")</f>
        <v>46113</v>
      </c>
      <c r="BO1284" s="53">
        <f ca="1">IFERROR(_xlfn.XLOOKUP(F1284,Apuração!A:A,Apuração!C:C)/_xlfn.XLOOKUP(F1284,Apuração!A:A,Apuração!B:B),0)</f>
        <v>0</v>
      </c>
      <c r="BP1284" s="53">
        <f ca="1">IFERROR(_xlfn.XLOOKUP(F1284,Apuração!A:A,Apuração!D:D)/_xlfn.XLOOKUP(F1284,Apuração!A:A,Apuração!B:B),0)</f>
        <v>0</v>
      </c>
      <c r="BQ1284" s="53">
        <f ca="1">IF(BK1284&gt;=BO1284,0,_xlfn.XLOOKUP(F1284,Apuração!A:A,Apuração!B:B)*(BO1284 + (1/_xlfn.XLOOKUP(F1284,Apuração!A:A,Apuração!B:B)) - BK1284))</f>
        <v>0</v>
      </c>
      <c r="BR1284" s="85">
        <f t="shared" ca="1" si="1510"/>
        <v>0</v>
      </c>
      <c r="BS1284" s="53">
        <f ca="1">IFERROR((_xlfn.XLOOKUP(F1284,Apuração!A:A,Apuração!C:C)+1)/_xlfn.XLOOKUP(F1284,Apuração!A:A,Apuração!B:B),0)</f>
        <v>0.14285714285714285</v>
      </c>
    </row>
    <row r="1285" spans="1:71" ht="25.95" hidden="1" customHeight="1" x14ac:dyDescent="0.3">
      <c r="A1285" s="42" t="s">
        <v>134</v>
      </c>
      <c r="B1285" s="4" t="s">
        <v>135</v>
      </c>
      <c r="C1285" s="5" t="s">
        <v>209</v>
      </c>
      <c r="D1285" s="5" t="s">
        <v>213</v>
      </c>
      <c r="E1285" s="4" t="str" cm="1">
        <f t="array" ref="E1285">_xlfn.IFS(
F1285 = "A partir de Abril", "Aguardando Execução na Distribuidora",
A1285 = "CAPACITAÇÃO", "Em execução no Corporativo",
TRUE, "Em Execução na Distribuidora"
)</f>
        <v>Em Execução na Distribuidora</v>
      </c>
      <c r="F1285" s="4" t="str" cm="1">
        <f t="array" ref="F1285">_xlfn.IFS(
AG1285 &lt;&gt; "", "Jan-Dez/26",
AH1285 &lt;&gt; "", "Fev-Dez/26",
AI1285 &lt;&gt; "", "Mar-Dez/26", AJ1285 &lt;&gt; "", "Abr-Dez/26",
TRUE, "A partir de Junho"
)</f>
        <v>A partir de Junho</v>
      </c>
      <c r="G1285" s="4" t="s">
        <v>37</v>
      </c>
      <c r="H1285" s="7" t="s">
        <v>38</v>
      </c>
      <c r="I1285" s="8" t="s">
        <v>139</v>
      </c>
      <c r="J1285" s="8" t="str" cm="1">
        <f t="array" aca="1" ref="J1285" ca="1">_xlfn.LET(
  _xlpm.actual_value_month, INDEX(T1285:AE1285, MATCH(DATE(YEAR(TODAY()), MONTH(TODAY()), 1), $T$1:$AE$1, 0)),
  IF(_xlpm.actual_value_month &lt;&gt; "",_xlpm.actual_value_month &amp; " ações mensais", "")
)</f>
        <v/>
      </c>
      <c r="K1285" s="8" t="str" cm="1">
        <f t="array" ref="K1285">_xlfn.LET(
    _xlpm.sum_month, SUM(T1285:AE1285),
    IF(_xlpm.sum_month = 0, "", _xlpm.sum_month &amp; " mensagens a serem enviadas no ano")
)</f>
        <v/>
      </c>
      <c r="L1285" s="4" t="s">
        <v>140</v>
      </c>
      <c r="M1285" s="24">
        <v>1</v>
      </c>
      <c r="N1285" s="5" t="s">
        <v>51</v>
      </c>
      <c r="O1285" s="5" t="s">
        <v>52</v>
      </c>
      <c r="P1285" s="10" t="s">
        <v>44</v>
      </c>
      <c r="Q1285" s="10" t="s">
        <v>44</v>
      </c>
      <c r="R1285" s="11" t="s">
        <v>44</v>
      </c>
      <c r="S1285" s="11" t="s">
        <v>44</v>
      </c>
      <c r="T1285" s="22"/>
      <c r="U1285" s="22"/>
      <c r="V1285" s="22"/>
      <c r="W1285" s="22"/>
      <c r="X1285" s="22"/>
      <c r="Y1285" s="22"/>
      <c r="Z1285" s="22"/>
      <c r="AA1285" s="22"/>
      <c r="AB1285" s="22"/>
      <c r="AC1285" s="22"/>
      <c r="AD1285" s="22"/>
      <c r="AE1285" s="22"/>
      <c r="AG1285" s="71"/>
      <c r="AH1285" s="71"/>
      <c r="AI1285" s="71"/>
      <c r="AJ1285" s="71"/>
      <c r="AK1285" s="71"/>
      <c r="AL1285" s="71"/>
      <c r="AM1285" s="71"/>
      <c r="AN1285" s="71"/>
      <c r="AO1285" s="71"/>
      <c r="AP1285" s="71"/>
      <c r="AQ1285" s="71"/>
      <c r="AR1285" s="71"/>
      <c r="AS1285" s="94">
        <f t="shared" ca="1" si="1502"/>
        <v>0</v>
      </c>
      <c r="AT1285" s="95">
        <f t="shared" si="1503"/>
        <v>0</v>
      </c>
      <c r="AU1285" s="97">
        <f t="shared" si="1504"/>
        <v>0</v>
      </c>
      <c r="AW1285" s="83">
        <f t="shared" si="1505"/>
        <v>0</v>
      </c>
      <c r="AX1285" s="83">
        <f t="shared" si="1506"/>
        <v>0</v>
      </c>
      <c r="AY1285" s="83">
        <f t="shared" si="1507"/>
        <v>0</v>
      </c>
      <c r="AZ1285" s="83">
        <f t="shared" si="1508"/>
        <v>0</v>
      </c>
      <c r="BA1285" s="52"/>
      <c r="BB1285" s="52"/>
      <c r="BC1285" s="52"/>
      <c r="BD1285" s="52"/>
      <c r="BE1285" s="52"/>
      <c r="BF1285" s="52"/>
      <c r="BG1285" s="52"/>
      <c r="BH1285" s="52"/>
      <c r="BI1285" s="68" cm="1">
        <f t="array" ref="BI1285">IFERROR(INDEX(AW1285:BH1285,1,MATCH(2,1/(AW1285:BH1285&lt;&gt;""))),"")</f>
        <v>0</v>
      </c>
      <c r="BJ1285" s="68" cm="1">
        <f t="array" ref="BJ1285">IF(BM1285 = "", "",IFERROR(INDEX(AW1285:BH1285,1,MATCH(2,1/(AW1285:BH1285&lt;&gt;""),1)-1),""))</f>
        <v>0</v>
      </c>
      <c r="BK1285" s="59">
        <f t="shared" si="1509"/>
        <v>0</v>
      </c>
      <c r="BL1285" s="59" cm="1">
        <f t="array" ref="BL1285">IFERROR(SUM(AW1285:INDEX(AW1285:BH1285, MATCH(2, 1/(AW1285:BH1285&lt;&gt;""), 1) - 1))/_xlfn.XLOOKUP(F1285,Apuração!A:A,Apuração!B:B),0)</f>
        <v>0</v>
      </c>
      <c r="BM1285" s="55" cm="1">
        <f t="array" ref="BM1285">IFERROR(
   INDEX($AW$1:$BH$1,
      _xlfn.AGGREGATE(14, 6, COLUMN($AW$1:$BH$1)/(AW1285:BH1285&lt;&gt;""), 2) - COLUMN($AW$1) + 1
   ),
"")</f>
        <v>46082</v>
      </c>
      <c r="BN1285" s="55" cm="1">
        <f t="array" ref="BN1285">IFERROR(INDEX($AW$1:$BH$1,1,MATCH(2,1/(AW1285:BH1285&lt;&gt;""))),"")</f>
        <v>46113</v>
      </c>
      <c r="BO1285" s="53">
        <f ca="1">IFERROR(_xlfn.XLOOKUP(F1285,Apuração!A:A,Apuração!C:C)/_xlfn.XLOOKUP(F1285,Apuração!A:A,Apuração!B:B),0)</f>
        <v>0</v>
      </c>
      <c r="BP1285" s="53">
        <f ca="1">IFERROR(_xlfn.XLOOKUP(F1285,Apuração!A:A,Apuração!D:D)/_xlfn.XLOOKUP(F1285,Apuração!A:A,Apuração!B:B),0)</f>
        <v>0</v>
      </c>
      <c r="BQ1285" s="53">
        <f ca="1">IF(BK1285&gt;=BO1285,0,_xlfn.XLOOKUP(F1285,Apuração!A:A,Apuração!B:B)*(BO1285 + (1/_xlfn.XLOOKUP(F1285,Apuração!A:A,Apuração!B:B)) - BK1285))</f>
        <v>0</v>
      </c>
      <c r="BR1285" s="85">
        <f t="shared" ca="1" si="1510"/>
        <v>0</v>
      </c>
      <c r="BS1285" s="53">
        <f ca="1">IFERROR((_xlfn.XLOOKUP(F1285,Apuração!A:A,Apuração!C:C)+1)/_xlfn.XLOOKUP(F1285,Apuração!A:A,Apuração!B:B),0)</f>
        <v>0.14285714285714285</v>
      </c>
    </row>
    <row r="1286" spans="1:71" ht="25.95" hidden="1" customHeight="1" x14ac:dyDescent="0.3">
      <c r="A1286" s="42" t="s">
        <v>134</v>
      </c>
      <c r="B1286" s="4" t="s">
        <v>135</v>
      </c>
      <c r="C1286" s="5" t="s">
        <v>209</v>
      </c>
      <c r="D1286" s="5" t="s">
        <v>36</v>
      </c>
      <c r="E1286" s="4" t="str" cm="1">
        <f t="array" ref="E1286">_xlfn.IFS(
F1286 = "A partir de Abril", "Aguardando Execução na Distribuidora",
A1286 = "CAPACITAÇÃO", "Em execução no Corporativo",
TRUE, "Em Execução na Distribuidora"
)</f>
        <v>Em Execução na Distribuidora</v>
      </c>
      <c r="F1286" s="4" t="str" cm="1">
        <f t="array" ref="F1286">_xlfn.IFS(
AG1286 &lt;&gt; "", "Jan-Dez/26",
AH1286 &lt;&gt; "", "Fev-Dez/26",
AI1286 &lt;&gt; "", "Mar-Dez/26", AJ1286 &lt;&gt; "", "Abr-Dez/26",
TRUE, "A partir de Junho"
)</f>
        <v>Fev-Dez/26</v>
      </c>
      <c r="G1286" s="4" t="s">
        <v>37</v>
      </c>
      <c r="H1286" s="7" t="s">
        <v>38</v>
      </c>
      <c r="I1286" s="9" t="s">
        <v>76</v>
      </c>
      <c r="J1286" s="8" t="str" cm="1">
        <f t="array" aca="1" ref="J1286" ca="1">_xlfn.LET(
  _xlpm.actual_value_month, INDEX(T1286:AE1286, MATCH(DATE(YEAR(TODAY()), MONTH(TODAY()), 1), $T$1:$AE$1, 0)),
  IF(_xlpm.actual_value_month &lt;&gt; "",_xlpm.actual_value_month &amp; " ações mensais", "")
)</f>
        <v/>
      </c>
      <c r="K1286" s="8" t="str" cm="1">
        <f t="array" ref="K1286">_xlfn.LET(
    _xlpm.sum_month, SUM(T1286:AE1286),
    IF(_xlpm.sum_month = 0, "", _xlpm.sum_month &amp; " alcançadas no ano")
)</f>
        <v/>
      </c>
      <c r="L1286" s="9" t="s">
        <v>141</v>
      </c>
      <c r="M1286" s="24">
        <v>1</v>
      </c>
      <c r="N1286" s="5" t="s">
        <v>51</v>
      </c>
      <c r="O1286" s="5" t="s">
        <v>52</v>
      </c>
      <c r="P1286" s="10" t="s">
        <v>44</v>
      </c>
      <c r="Q1286" s="10" t="s">
        <v>44</v>
      </c>
      <c r="R1286" s="10" t="s">
        <v>44</v>
      </c>
      <c r="S1286" s="10" t="s">
        <v>44</v>
      </c>
      <c r="T1286" s="22"/>
      <c r="U1286" s="22"/>
      <c r="V1286" s="22"/>
      <c r="W1286" s="22"/>
      <c r="X1286" s="22"/>
      <c r="Y1286" s="22"/>
      <c r="Z1286" s="22"/>
      <c r="AA1286" s="22"/>
      <c r="AB1286" s="22"/>
      <c r="AC1286" s="22"/>
      <c r="AD1286" s="22"/>
      <c r="AE1286" s="22"/>
      <c r="AG1286" s="71"/>
      <c r="AH1286" s="71">
        <f>AH1274</f>
        <v>2520</v>
      </c>
      <c r="AI1286" s="71">
        <f>19*30</f>
        <v>570</v>
      </c>
      <c r="AJ1286" s="71">
        <f>22*29</f>
        <v>638</v>
      </c>
      <c r="AK1286" s="71">
        <f>24*30</f>
        <v>720</v>
      </c>
      <c r="AL1286" s="71"/>
      <c r="AM1286" s="71"/>
      <c r="AN1286" s="71"/>
      <c r="AO1286" s="71"/>
      <c r="AP1286" s="71"/>
      <c r="AQ1286" s="71"/>
      <c r="AR1286" s="71"/>
      <c r="AS1286" s="94">
        <f ca="1">IF(MONTH(TODAY())=3,SUM(T1286:U1286),IF(MONTH(TODAY())=4,SUM(T1286:V1286),IF(MONTH(TODAY())=5,SUM(T1286:W1286),IF(MONTH(TODAY())=6,SUM(T1286:X1286),IF(MONTH(TODAY())=7,SUM(T1286:Y1286),IF(MONTH(TODAY())=8,SUM(T1286:Z1286),IF(MONTH(TODAY())=9,SUM(T1286:AA1286),IF(MONTH(TODAY())=10,SUM(T1286:AB1286),IF(MONTH(TODAY())=11,SUM(T1286:AC1286),IF(MONTH(TODAY())=12,SUM(T1286:AD1286),IF(MONTH(TODAY())=1,SUM(T1286:AE1286),T1286)))))))))))</f>
        <v>0</v>
      </c>
      <c r="AT1286" s="95">
        <f>SUM(AG1286:AR1286)</f>
        <v>4448</v>
      </c>
      <c r="AU1286" s="97">
        <f>SUM(AG1286:AR1286)</f>
        <v>4448</v>
      </c>
      <c r="AW1286" s="83">
        <f>AG1286</f>
        <v>0</v>
      </c>
      <c r="AX1286" s="83">
        <f>AH1286</f>
        <v>2520</v>
      </c>
      <c r="AY1286" s="83">
        <f>AI1286</f>
        <v>570</v>
      </c>
      <c r="AZ1286" s="83">
        <f>AJ1286</f>
        <v>638</v>
      </c>
      <c r="BA1286" s="83">
        <f>AK1286</f>
        <v>720</v>
      </c>
      <c r="BB1286" s="52"/>
      <c r="BC1286" s="52"/>
      <c r="BD1286" s="52"/>
      <c r="BE1286" s="52"/>
      <c r="BF1286" s="52"/>
      <c r="BG1286" s="52"/>
      <c r="BH1286" s="52"/>
      <c r="BI1286" s="68" cm="1">
        <f t="array" ref="BI1286">IFERROR(INDEX(AW1286:BH1286,1,MATCH(2,1/(AW1286:BH1286&lt;&gt;""))),"")</f>
        <v>720</v>
      </c>
      <c r="BJ1286" s="68" cm="1">
        <f t="array" ref="BJ1286">IF(BM1286 = "", "",IFERROR(INDEX(AW1286:BH1286,1,MATCH(2,1/(AW1286:BH1286&lt;&gt;""),1)-1),""))</f>
        <v>638</v>
      </c>
      <c r="BK1286" s="59">
        <f>SUM(AW1286:BH1286)</f>
        <v>4448</v>
      </c>
      <c r="BL1286" s="59" cm="1">
        <f t="array" ref="BL1286">IFERROR(SUM(AW1286:INDEX(AW1286:BH1286, MATCH(2, 1/(AW1286:BH1286&lt;&gt;""), 1) - 1))/_xlfn.XLOOKUP(F1286,Apuração!A:A,Apuração!B:B),0)</f>
        <v>338.90909090909093</v>
      </c>
      <c r="BM1286" s="55" cm="1">
        <f t="array" ref="BM1286">IFERROR(
   INDEX($AW$1:$BH$1,
      _xlfn.AGGREGATE(14, 6, COLUMN($AW$1:$BH$1)/(AW1286:BH1286&lt;&gt;""), 2) - COLUMN($AW$1) + 1
   ),
"")</f>
        <v>46113</v>
      </c>
      <c r="BN1286" s="55" cm="1">
        <f t="array" ref="BN1286">IFERROR(INDEX($AW$1:$BH$1,1,MATCH(2,1/(AW1286:BH1286&lt;&gt;""))),"")</f>
        <v>46143</v>
      </c>
      <c r="BO1286" s="53">
        <f ca="1">IFERROR(_xlfn.XLOOKUP(F1286,Apuração!A:A,Apuração!C:C)/_xlfn.XLOOKUP(F1286,Apuração!A:A,Apuração!B:B),0)</f>
        <v>0.36363636363636365</v>
      </c>
      <c r="BP1286" s="53">
        <f ca="1">IFERROR(_xlfn.XLOOKUP(F1286,Apuração!A:A,Apuração!D:D)/_xlfn.XLOOKUP(F1286,Apuração!A:A,Apuração!B:B),0)</f>
        <v>0.27272727272727271</v>
      </c>
      <c r="BQ1286" s="53">
        <f ca="1">IF(BK1286&gt;=BO1286,0,_xlfn.XLOOKUP(F1286,Apuração!A:A,Apuração!B:B)*(BO1286 + (1/_xlfn.XLOOKUP(F1286,Apuração!A:A,Apuração!B:B)) - BK1286))</f>
        <v>0</v>
      </c>
      <c r="BR1286" s="85">
        <f ca="1">IF(BQ1286=0,0,BQ1286*Z1286)</f>
        <v>0</v>
      </c>
      <c r="BS1286" s="53">
        <f ca="1">IFERROR((_xlfn.XLOOKUP(F1286,Apuração!A:A,Apuração!C:C)+1)/_xlfn.XLOOKUP(F1286,Apuração!A:A,Apuração!B:B),0)</f>
        <v>0.45454545454545453</v>
      </c>
    </row>
    <row r="1287" spans="1:71" ht="25.95" hidden="1" customHeight="1" x14ac:dyDescent="0.3">
      <c r="A1287" s="42" t="s">
        <v>134</v>
      </c>
      <c r="B1287" s="4" t="s">
        <v>135</v>
      </c>
      <c r="C1287" s="5" t="s">
        <v>209</v>
      </c>
      <c r="D1287" s="5" t="s">
        <v>210</v>
      </c>
      <c r="E1287" s="4" t="str" cm="1">
        <f t="array" ref="E1287">_xlfn.IFS(
F1287 = "A partir de Abril", "Aguardando Execução na Distribuidora",
A1287 = "CAPACITAÇÃO", "Em execução no Corporativo",
TRUE, "Em Execução na Distribuidora"
)</f>
        <v>Em Execução na Distribuidora</v>
      </c>
      <c r="F1287" s="4" t="str" cm="1">
        <f t="array" ref="F1287">_xlfn.IFS(
AG1287 &lt;&gt; "", "Jan-Dez/26",
AH1287 &lt;&gt; "", "Fev-Dez/26",
AI1287 &lt;&gt; "", "Mar-Dez/26", AJ1287 &lt;&gt; "", "Abr-Dez/26",
TRUE, "A partir de Junho"
)</f>
        <v>A partir de Junho</v>
      </c>
      <c r="G1287" s="4" t="s">
        <v>37</v>
      </c>
      <c r="H1287" s="7" t="s">
        <v>38</v>
      </c>
      <c r="I1287" s="9" t="s">
        <v>76</v>
      </c>
      <c r="J1287" s="8" t="str" cm="1">
        <f t="array" aca="1" ref="J1287" ca="1">_xlfn.LET(
  _xlpm.actual_value_month, INDEX(T1287:AE1287, MATCH(DATE(YEAR(TODAY()), MONTH(TODAY()), 1), $T$1:$AE$1, 0)),
  IF(_xlpm.actual_value_month &lt;&gt; "",_xlpm.actual_value_month &amp; " ações mensais", "")
)</f>
        <v/>
      </c>
      <c r="K1287" s="8" t="str" cm="1">
        <f t="array" ref="K1287">_xlfn.LET(
    _xlpm.sum_month, SUM(T1287:AE1287),
    IF(_xlpm.sum_month = 0, "", _xlpm.sum_month &amp; " alcançadas no ano")
)</f>
        <v/>
      </c>
      <c r="L1287" s="9" t="s">
        <v>141</v>
      </c>
      <c r="M1287" s="24">
        <v>1</v>
      </c>
      <c r="N1287" s="5" t="s">
        <v>51</v>
      </c>
      <c r="O1287" s="5" t="s">
        <v>52</v>
      </c>
      <c r="P1287" s="10" t="s">
        <v>44</v>
      </c>
      <c r="Q1287" s="10" t="s">
        <v>44</v>
      </c>
      <c r="R1287" s="10" t="s">
        <v>44</v>
      </c>
      <c r="S1287" s="10" t="s">
        <v>44</v>
      </c>
      <c r="T1287" s="22"/>
      <c r="U1287" s="22"/>
      <c r="V1287" s="22"/>
      <c r="W1287" s="22"/>
      <c r="X1287" s="22"/>
      <c r="Y1287" s="22"/>
      <c r="Z1287" s="22"/>
      <c r="AA1287" s="22"/>
      <c r="AB1287" s="22"/>
      <c r="AC1287" s="22"/>
      <c r="AD1287" s="22"/>
      <c r="AE1287" s="22"/>
      <c r="AG1287" s="71"/>
      <c r="AH1287" s="71"/>
      <c r="AI1287" s="71"/>
      <c r="AJ1287" s="71"/>
      <c r="AK1287" s="71"/>
      <c r="AL1287" s="71"/>
      <c r="AM1287" s="71"/>
      <c r="AN1287" s="71"/>
      <c r="AO1287" s="71"/>
      <c r="AP1287" s="71"/>
      <c r="AQ1287" s="71"/>
      <c r="AR1287" s="71"/>
      <c r="AS1287" s="94">
        <f t="shared" ref="AS1287:AS1291" ca="1" si="1511">IF(MONTH(TODAY())=3,SUM(T1287:U1287),IF(MONTH(TODAY())=4,SUM(T1287:V1287),IF(MONTH(TODAY())=5,SUM(T1287:W1287),IF(MONTH(TODAY())=6,SUM(T1287:X1287),IF(MONTH(TODAY())=7,SUM(T1287:Y1287),IF(MONTH(TODAY())=8,SUM(T1287:Z1287),IF(MONTH(TODAY())=9,SUM(T1287:AA1287),IF(MONTH(TODAY())=10,SUM(T1287:AB1287),IF(MONTH(TODAY())=11,SUM(T1287:AC1287),IF(MONTH(TODAY())=12,SUM(T1287:AD1287),IF(MONTH(TODAY())=1,SUM(T1287:AE1287),T1287)))))))))))</f>
        <v>0</v>
      </c>
      <c r="AT1287" s="95">
        <f t="shared" ref="AT1287:AT1291" si="1512">SUM(AG1287:AR1287)</f>
        <v>0</v>
      </c>
      <c r="AU1287" s="97">
        <f t="shared" ref="AU1287:AU1291" si="1513">SUM(AG1287:AR1287)</f>
        <v>0</v>
      </c>
      <c r="AW1287" s="83">
        <f t="shared" ref="AW1287:AW1291" si="1514">AG1287</f>
        <v>0</v>
      </c>
      <c r="AX1287" s="83">
        <f t="shared" ref="AX1287:AX1291" si="1515">AH1287</f>
        <v>0</v>
      </c>
      <c r="AY1287" s="83">
        <f t="shared" ref="AY1287:AY1291" si="1516">AI1287</f>
        <v>0</v>
      </c>
      <c r="AZ1287" s="83">
        <f t="shared" ref="AZ1287:AZ1291" si="1517">AJ1287</f>
        <v>0</v>
      </c>
      <c r="BA1287" s="52"/>
      <c r="BB1287" s="52"/>
      <c r="BC1287" s="52"/>
      <c r="BD1287" s="52"/>
      <c r="BE1287" s="52"/>
      <c r="BF1287" s="52"/>
      <c r="BG1287" s="52"/>
      <c r="BH1287" s="52"/>
      <c r="BI1287" s="68" cm="1">
        <f t="array" ref="BI1287">IFERROR(INDEX(AW1287:BH1287,1,MATCH(2,1/(AW1287:BH1287&lt;&gt;""))),"")</f>
        <v>0</v>
      </c>
      <c r="BJ1287" s="68" cm="1">
        <f t="array" ref="BJ1287">IF(BM1287 = "", "",IFERROR(INDEX(AW1287:BH1287,1,MATCH(2,1/(AW1287:BH1287&lt;&gt;""),1)-1),""))</f>
        <v>0</v>
      </c>
      <c r="BK1287" s="59">
        <f t="shared" ref="BK1287:BK1291" si="1518">SUM(AW1287:BH1287)</f>
        <v>0</v>
      </c>
      <c r="BL1287" s="59" cm="1">
        <f t="array" ref="BL1287">IFERROR(SUM(AW1287:INDEX(AW1287:BH1287, MATCH(2, 1/(AW1287:BH1287&lt;&gt;""), 1) - 1))/_xlfn.XLOOKUP(F1287,Apuração!A:A,Apuração!B:B),0)</f>
        <v>0</v>
      </c>
      <c r="BM1287" s="55" cm="1">
        <f t="array" ref="BM1287">IFERROR(
   INDEX($AW$1:$BH$1,
      _xlfn.AGGREGATE(14, 6, COLUMN($AW$1:$BH$1)/(AW1287:BH1287&lt;&gt;""), 2) - COLUMN($AW$1) + 1
   ),
"")</f>
        <v>46082</v>
      </c>
      <c r="BN1287" s="55" cm="1">
        <f t="array" ref="BN1287">IFERROR(INDEX($AW$1:$BH$1,1,MATCH(2,1/(AW1287:BH1287&lt;&gt;""))),"")</f>
        <v>46113</v>
      </c>
      <c r="BO1287" s="53">
        <f ca="1">IFERROR(_xlfn.XLOOKUP(F1287,Apuração!A:A,Apuração!C:C)/_xlfn.XLOOKUP(F1287,Apuração!A:A,Apuração!B:B),0)</f>
        <v>0</v>
      </c>
      <c r="BP1287" s="53">
        <f ca="1">IFERROR(_xlfn.XLOOKUP(F1287,Apuração!A:A,Apuração!D:D)/_xlfn.XLOOKUP(F1287,Apuração!A:A,Apuração!B:B),0)</f>
        <v>0</v>
      </c>
      <c r="BQ1287" s="53">
        <f ca="1">IF(BK1287&gt;=BO1287,0,_xlfn.XLOOKUP(F1287,Apuração!A:A,Apuração!B:B)*(BO1287 + (1/_xlfn.XLOOKUP(F1287,Apuração!A:A,Apuração!B:B)) - BK1287))</f>
        <v>0</v>
      </c>
      <c r="BR1287" s="85">
        <f t="shared" ref="BR1287:BR1291" ca="1" si="1519">IF(BQ1287=0,0,BQ1287*Z1287)</f>
        <v>0</v>
      </c>
      <c r="BS1287" s="53">
        <f ca="1">IFERROR((_xlfn.XLOOKUP(F1287,Apuração!A:A,Apuração!C:C)+1)/_xlfn.XLOOKUP(F1287,Apuração!A:A,Apuração!B:B),0)</f>
        <v>0.14285714285714285</v>
      </c>
    </row>
    <row r="1288" spans="1:71" ht="25.95" hidden="1" customHeight="1" x14ac:dyDescent="0.3">
      <c r="A1288" s="42" t="s">
        <v>134</v>
      </c>
      <c r="B1288" s="4" t="s">
        <v>135</v>
      </c>
      <c r="C1288" s="5" t="s">
        <v>209</v>
      </c>
      <c r="D1288" s="5" t="s">
        <v>47</v>
      </c>
      <c r="E1288" s="4" t="str" cm="1">
        <f t="array" ref="E1288">_xlfn.IFS(
F1288 = "A partir de Abril", "Aguardando Execução na Distribuidora",
A1288 = "CAPACITAÇÃO", "Em execução no Corporativo",
TRUE, "Em Execução na Distribuidora"
)</f>
        <v>Em Execução na Distribuidora</v>
      </c>
      <c r="F1288" s="4" t="str" cm="1">
        <f t="array" ref="F1288">_xlfn.IFS(
AG1288 &lt;&gt; "", "Jan-Dez/26",
AH1288 &lt;&gt; "", "Fev-Dez/26",
AI1288 &lt;&gt; "", "Mar-Dez/26", AJ1288 &lt;&gt; "", "Abr-Dez/26",
TRUE, "A partir de Junho"
)</f>
        <v>A partir de Junho</v>
      </c>
      <c r="G1288" s="4" t="s">
        <v>37</v>
      </c>
      <c r="H1288" s="7" t="s">
        <v>38</v>
      </c>
      <c r="I1288" s="9" t="s">
        <v>76</v>
      </c>
      <c r="J1288" s="8" t="str" cm="1">
        <f t="array" aca="1" ref="J1288" ca="1">_xlfn.LET(
  _xlpm.actual_value_month, INDEX(T1288:AE1288, MATCH(DATE(YEAR(TODAY()), MONTH(TODAY()), 1), $T$1:$AE$1, 0)),
  IF(_xlpm.actual_value_month &lt;&gt; "",_xlpm.actual_value_month &amp; " ações mensais", "")
)</f>
        <v/>
      </c>
      <c r="K1288" s="8" t="str" cm="1">
        <f t="array" ref="K1288">_xlfn.LET(
    _xlpm.sum_month, SUM(T1288:AE1288),
    IF(_xlpm.sum_month = 0, "", _xlpm.sum_month &amp; " alcançadas no ano")
)</f>
        <v/>
      </c>
      <c r="L1288" s="9" t="s">
        <v>141</v>
      </c>
      <c r="M1288" s="24">
        <v>1</v>
      </c>
      <c r="N1288" s="5" t="s">
        <v>51</v>
      </c>
      <c r="O1288" s="5" t="s">
        <v>52</v>
      </c>
      <c r="P1288" s="10" t="s">
        <v>44</v>
      </c>
      <c r="Q1288" s="10" t="s">
        <v>44</v>
      </c>
      <c r="R1288" s="10" t="s">
        <v>44</v>
      </c>
      <c r="S1288" s="10" t="s">
        <v>44</v>
      </c>
      <c r="T1288" s="22"/>
      <c r="U1288" s="22"/>
      <c r="V1288" s="22"/>
      <c r="W1288" s="22"/>
      <c r="X1288" s="22"/>
      <c r="Y1288" s="22"/>
      <c r="Z1288" s="22"/>
      <c r="AA1288" s="22"/>
      <c r="AB1288" s="22"/>
      <c r="AC1288" s="22"/>
      <c r="AD1288" s="22"/>
      <c r="AE1288" s="22"/>
      <c r="AG1288" s="71"/>
      <c r="AH1288" s="71"/>
      <c r="AI1288" s="71"/>
      <c r="AJ1288" s="71"/>
      <c r="AK1288" s="71"/>
      <c r="AL1288" s="71"/>
      <c r="AM1288" s="71"/>
      <c r="AN1288" s="71"/>
      <c r="AO1288" s="71"/>
      <c r="AP1288" s="71"/>
      <c r="AQ1288" s="71"/>
      <c r="AR1288" s="71"/>
      <c r="AS1288" s="94">
        <f t="shared" ca="1" si="1511"/>
        <v>0</v>
      </c>
      <c r="AT1288" s="95">
        <f t="shared" si="1512"/>
        <v>0</v>
      </c>
      <c r="AU1288" s="97">
        <f t="shared" si="1513"/>
        <v>0</v>
      </c>
      <c r="AW1288" s="83">
        <f t="shared" si="1514"/>
        <v>0</v>
      </c>
      <c r="AX1288" s="83">
        <f t="shared" si="1515"/>
        <v>0</v>
      </c>
      <c r="AY1288" s="83">
        <f t="shared" si="1516"/>
        <v>0</v>
      </c>
      <c r="AZ1288" s="83">
        <f t="shared" si="1517"/>
        <v>0</v>
      </c>
      <c r="BA1288" s="52"/>
      <c r="BB1288" s="52"/>
      <c r="BC1288" s="52"/>
      <c r="BD1288" s="52"/>
      <c r="BE1288" s="52"/>
      <c r="BF1288" s="52"/>
      <c r="BG1288" s="52"/>
      <c r="BH1288" s="52"/>
      <c r="BI1288" s="68" cm="1">
        <f t="array" ref="BI1288">IFERROR(INDEX(AW1288:BH1288,1,MATCH(2,1/(AW1288:BH1288&lt;&gt;""))),"")</f>
        <v>0</v>
      </c>
      <c r="BJ1288" s="68" cm="1">
        <f t="array" ref="BJ1288">IF(BM1288 = "", "",IFERROR(INDEX(AW1288:BH1288,1,MATCH(2,1/(AW1288:BH1288&lt;&gt;""),1)-1),""))</f>
        <v>0</v>
      </c>
      <c r="BK1288" s="59">
        <f t="shared" si="1518"/>
        <v>0</v>
      </c>
      <c r="BL1288" s="59" cm="1">
        <f t="array" ref="BL1288">IFERROR(SUM(AW1288:INDEX(AW1288:BH1288, MATCH(2, 1/(AW1288:BH1288&lt;&gt;""), 1) - 1))/_xlfn.XLOOKUP(F1288,Apuração!A:A,Apuração!B:B),0)</f>
        <v>0</v>
      </c>
      <c r="BM1288" s="55" cm="1">
        <f t="array" ref="BM1288">IFERROR(
   INDEX($AW$1:$BH$1,
      _xlfn.AGGREGATE(14, 6, COLUMN($AW$1:$BH$1)/(AW1288:BH1288&lt;&gt;""), 2) - COLUMN($AW$1) + 1
   ),
"")</f>
        <v>46082</v>
      </c>
      <c r="BN1288" s="55" cm="1">
        <f t="array" ref="BN1288">IFERROR(INDEX($AW$1:$BH$1,1,MATCH(2,1/(AW1288:BH1288&lt;&gt;""))),"")</f>
        <v>46113</v>
      </c>
      <c r="BO1288" s="53">
        <f ca="1">IFERROR(_xlfn.XLOOKUP(F1288,Apuração!A:A,Apuração!C:C)/_xlfn.XLOOKUP(F1288,Apuração!A:A,Apuração!B:B),0)</f>
        <v>0</v>
      </c>
      <c r="BP1288" s="53">
        <f ca="1">IFERROR(_xlfn.XLOOKUP(F1288,Apuração!A:A,Apuração!D:D)/_xlfn.XLOOKUP(F1288,Apuração!A:A,Apuração!B:B),0)</f>
        <v>0</v>
      </c>
      <c r="BQ1288" s="53">
        <f ca="1">IF(BK1288&gt;=BO1288,0,_xlfn.XLOOKUP(F1288,Apuração!A:A,Apuração!B:B)*(BO1288 + (1/_xlfn.XLOOKUP(F1288,Apuração!A:A,Apuração!B:B)) - BK1288))</f>
        <v>0</v>
      </c>
      <c r="BR1288" s="85">
        <f t="shared" ca="1" si="1519"/>
        <v>0</v>
      </c>
      <c r="BS1288" s="53">
        <f ca="1">IFERROR((_xlfn.XLOOKUP(F1288,Apuração!A:A,Apuração!C:C)+1)/_xlfn.XLOOKUP(F1288,Apuração!A:A,Apuração!B:B),0)</f>
        <v>0.14285714285714285</v>
      </c>
    </row>
    <row r="1289" spans="1:71" ht="25.95" hidden="1" customHeight="1" x14ac:dyDescent="0.3">
      <c r="A1289" s="42" t="s">
        <v>134</v>
      </c>
      <c r="B1289" s="4" t="s">
        <v>135</v>
      </c>
      <c r="C1289" s="5" t="s">
        <v>209</v>
      </c>
      <c r="D1289" s="5" t="s">
        <v>211</v>
      </c>
      <c r="E1289" s="4" t="str" cm="1">
        <f t="array" ref="E1289">_xlfn.IFS(
F1289 = "A partir de Abril", "Aguardando Execução na Distribuidora",
A1289 = "CAPACITAÇÃO", "Em execução no Corporativo",
TRUE, "Em Execução na Distribuidora"
)</f>
        <v>Em Execução na Distribuidora</v>
      </c>
      <c r="F1289" s="4" t="str" cm="1">
        <f t="array" ref="F1289">_xlfn.IFS(
AG1289 &lt;&gt; "", "Jan-Dez/26",
AH1289 &lt;&gt; "", "Fev-Dez/26",
AI1289 &lt;&gt; "", "Mar-Dez/26", AJ1289 &lt;&gt; "", "Abr-Dez/26",
TRUE, "A partir de Junho"
)</f>
        <v>A partir de Junho</v>
      </c>
      <c r="G1289" s="4" t="s">
        <v>37</v>
      </c>
      <c r="H1289" s="7" t="s">
        <v>38</v>
      </c>
      <c r="I1289" s="9" t="s">
        <v>76</v>
      </c>
      <c r="J1289" s="8" t="str" cm="1">
        <f t="array" aca="1" ref="J1289" ca="1">_xlfn.LET(
  _xlpm.actual_value_month, INDEX(T1289:AE1289, MATCH(DATE(YEAR(TODAY()), MONTH(TODAY()), 1), $T$1:$AE$1, 0)),
  IF(_xlpm.actual_value_month &lt;&gt; "",_xlpm.actual_value_month &amp; " ações mensais", "")
)</f>
        <v/>
      </c>
      <c r="K1289" s="8" t="str" cm="1">
        <f t="array" ref="K1289">_xlfn.LET(
    _xlpm.sum_month, SUM(T1289:AE1289),
    IF(_xlpm.sum_month = 0, "", _xlpm.sum_month &amp; " alcançadas no ano")
)</f>
        <v/>
      </c>
      <c r="L1289" s="9" t="s">
        <v>141</v>
      </c>
      <c r="M1289" s="24">
        <v>1</v>
      </c>
      <c r="N1289" s="5" t="s">
        <v>51</v>
      </c>
      <c r="O1289" s="5" t="s">
        <v>52</v>
      </c>
      <c r="P1289" s="10" t="s">
        <v>44</v>
      </c>
      <c r="Q1289" s="10" t="s">
        <v>44</v>
      </c>
      <c r="R1289" s="10" t="s">
        <v>44</v>
      </c>
      <c r="S1289" s="10" t="s">
        <v>44</v>
      </c>
      <c r="T1289" s="22"/>
      <c r="U1289" s="22"/>
      <c r="V1289" s="22"/>
      <c r="W1289" s="22"/>
      <c r="X1289" s="22"/>
      <c r="Y1289" s="22"/>
      <c r="Z1289" s="22"/>
      <c r="AA1289" s="22"/>
      <c r="AB1289" s="22"/>
      <c r="AC1289" s="22"/>
      <c r="AD1289" s="22"/>
      <c r="AE1289" s="22"/>
      <c r="AG1289" s="71"/>
      <c r="AH1289" s="71"/>
      <c r="AI1289" s="71"/>
      <c r="AJ1289" s="71"/>
      <c r="AK1289" s="71"/>
      <c r="AL1289" s="71"/>
      <c r="AM1289" s="71"/>
      <c r="AN1289" s="71"/>
      <c r="AO1289" s="71"/>
      <c r="AP1289" s="71"/>
      <c r="AQ1289" s="71"/>
      <c r="AR1289" s="71"/>
      <c r="AS1289" s="94">
        <f t="shared" ca="1" si="1511"/>
        <v>0</v>
      </c>
      <c r="AT1289" s="95">
        <f t="shared" si="1512"/>
        <v>0</v>
      </c>
      <c r="AU1289" s="97">
        <f t="shared" si="1513"/>
        <v>0</v>
      </c>
      <c r="AW1289" s="83">
        <f t="shared" si="1514"/>
        <v>0</v>
      </c>
      <c r="AX1289" s="83">
        <f t="shared" si="1515"/>
        <v>0</v>
      </c>
      <c r="AY1289" s="83">
        <f t="shared" si="1516"/>
        <v>0</v>
      </c>
      <c r="AZ1289" s="83">
        <f t="shared" si="1517"/>
        <v>0</v>
      </c>
      <c r="BA1289" s="52"/>
      <c r="BB1289" s="52"/>
      <c r="BC1289" s="52"/>
      <c r="BD1289" s="52"/>
      <c r="BE1289" s="52"/>
      <c r="BF1289" s="52"/>
      <c r="BG1289" s="52"/>
      <c r="BH1289" s="52"/>
      <c r="BI1289" s="68" cm="1">
        <f t="array" ref="BI1289">IFERROR(INDEX(AW1289:BH1289,1,MATCH(2,1/(AW1289:BH1289&lt;&gt;""))),"")</f>
        <v>0</v>
      </c>
      <c r="BJ1289" s="68" cm="1">
        <f t="array" ref="BJ1289">IF(BM1289 = "", "",IFERROR(INDEX(AW1289:BH1289,1,MATCH(2,1/(AW1289:BH1289&lt;&gt;""),1)-1),""))</f>
        <v>0</v>
      </c>
      <c r="BK1289" s="59">
        <f t="shared" si="1518"/>
        <v>0</v>
      </c>
      <c r="BL1289" s="59" cm="1">
        <f t="array" ref="BL1289">IFERROR(SUM(AW1289:INDEX(AW1289:BH1289, MATCH(2, 1/(AW1289:BH1289&lt;&gt;""), 1) - 1))/_xlfn.XLOOKUP(F1289,Apuração!A:A,Apuração!B:B),0)</f>
        <v>0</v>
      </c>
      <c r="BM1289" s="55" cm="1">
        <f t="array" ref="BM1289">IFERROR(
   INDEX($AW$1:$BH$1,
      _xlfn.AGGREGATE(14, 6, COLUMN($AW$1:$BH$1)/(AW1289:BH1289&lt;&gt;""), 2) - COLUMN($AW$1) + 1
   ),
"")</f>
        <v>46082</v>
      </c>
      <c r="BN1289" s="55" cm="1">
        <f t="array" ref="BN1289">IFERROR(INDEX($AW$1:$BH$1,1,MATCH(2,1/(AW1289:BH1289&lt;&gt;""))),"")</f>
        <v>46113</v>
      </c>
      <c r="BO1289" s="53">
        <f ca="1">IFERROR(_xlfn.XLOOKUP(F1289,Apuração!A:A,Apuração!C:C)/_xlfn.XLOOKUP(F1289,Apuração!A:A,Apuração!B:B),0)</f>
        <v>0</v>
      </c>
      <c r="BP1289" s="53">
        <f ca="1">IFERROR(_xlfn.XLOOKUP(F1289,Apuração!A:A,Apuração!D:D)/_xlfn.XLOOKUP(F1289,Apuração!A:A,Apuração!B:B),0)</f>
        <v>0</v>
      </c>
      <c r="BQ1289" s="53">
        <f ca="1">IF(BK1289&gt;=BO1289,0,_xlfn.XLOOKUP(F1289,Apuração!A:A,Apuração!B:B)*(BO1289 + (1/_xlfn.XLOOKUP(F1289,Apuração!A:A,Apuração!B:B)) - BK1289))</f>
        <v>0</v>
      </c>
      <c r="BR1289" s="85">
        <f t="shared" ca="1" si="1519"/>
        <v>0</v>
      </c>
      <c r="BS1289" s="53">
        <f ca="1">IFERROR((_xlfn.XLOOKUP(F1289,Apuração!A:A,Apuração!C:C)+1)/_xlfn.XLOOKUP(F1289,Apuração!A:A,Apuração!B:B),0)</f>
        <v>0.14285714285714285</v>
      </c>
    </row>
    <row r="1290" spans="1:71" ht="25.95" hidden="1" customHeight="1" x14ac:dyDescent="0.3">
      <c r="A1290" s="42" t="s">
        <v>134</v>
      </c>
      <c r="B1290" s="4" t="s">
        <v>135</v>
      </c>
      <c r="C1290" s="5" t="s">
        <v>209</v>
      </c>
      <c r="D1290" s="5" t="s">
        <v>212</v>
      </c>
      <c r="E1290" s="4" t="str" cm="1">
        <f t="array" ref="E1290">_xlfn.IFS(
F1290 = "A partir de Abril", "Aguardando Execução na Distribuidora",
A1290 = "CAPACITAÇÃO", "Em execução no Corporativo",
TRUE, "Em Execução na Distribuidora"
)</f>
        <v>Em Execução na Distribuidora</v>
      </c>
      <c r="F1290" s="4" t="str" cm="1">
        <f t="array" ref="F1290">_xlfn.IFS(
AG1290 &lt;&gt; "", "Jan-Dez/26",
AH1290 &lt;&gt; "", "Fev-Dez/26",
AI1290 &lt;&gt; "", "Mar-Dez/26", AJ1290 &lt;&gt; "", "Abr-Dez/26",
TRUE, "A partir de Junho"
)</f>
        <v>A partir de Junho</v>
      </c>
      <c r="G1290" s="4" t="s">
        <v>37</v>
      </c>
      <c r="H1290" s="7" t="s">
        <v>38</v>
      </c>
      <c r="I1290" s="9" t="s">
        <v>76</v>
      </c>
      <c r="J1290" s="8" t="str" cm="1">
        <f t="array" aca="1" ref="J1290" ca="1">_xlfn.LET(
  _xlpm.actual_value_month, INDEX(T1290:AE1290, MATCH(DATE(YEAR(TODAY()), MONTH(TODAY()), 1), $T$1:$AE$1, 0)),
  IF(_xlpm.actual_value_month &lt;&gt; "",_xlpm.actual_value_month &amp; " ações mensais", "")
)</f>
        <v/>
      </c>
      <c r="K1290" s="8" t="str" cm="1">
        <f t="array" ref="K1290">_xlfn.LET(
    _xlpm.sum_month, SUM(T1290:AE1290),
    IF(_xlpm.sum_month = 0, "", _xlpm.sum_month &amp; " alcançadas no ano")
)</f>
        <v/>
      </c>
      <c r="L1290" s="9" t="s">
        <v>141</v>
      </c>
      <c r="M1290" s="24">
        <v>1</v>
      </c>
      <c r="N1290" s="5" t="s">
        <v>51</v>
      </c>
      <c r="O1290" s="5" t="s">
        <v>52</v>
      </c>
      <c r="P1290" s="10" t="s">
        <v>44</v>
      </c>
      <c r="Q1290" s="10" t="s">
        <v>44</v>
      </c>
      <c r="R1290" s="10" t="s">
        <v>44</v>
      </c>
      <c r="S1290" s="10" t="s">
        <v>44</v>
      </c>
      <c r="T1290" s="22"/>
      <c r="U1290" s="22"/>
      <c r="V1290" s="22"/>
      <c r="W1290" s="22"/>
      <c r="X1290" s="22"/>
      <c r="Y1290" s="22"/>
      <c r="Z1290" s="22"/>
      <c r="AA1290" s="22"/>
      <c r="AB1290" s="22"/>
      <c r="AC1290" s="22"/>
      <c r="AD1290" s="22"/>
      <c r="AE1290" s="22"/>
      <c r="AG1290" s="71"/>
      <c r="AH1290" s="71"/>
      <c r="AI1290" s="71"/>
      <c r="AJ1290" s="71"/>
      <c r="AK1290" s="71"/>
      <c r="AL1290" s="71"/>
      <c r="AM1290" s="71"/>
      <c r="AN1290" s="71"/>
      <c r="AO1290" s="71"/>
      <c r="AP1290" s="71"/>
      <c r="AQ1290" s="71"/>
      <c r="AR1290" s="71"/>
      <c r="AS1290" s="94">
        <f t="shared" ca="1" si="1511"/>
        <v>0</v>
      </c>
      <c r="AT1290" s="95">
        <f t="shared" si="1512"/>
        <v>0</v>
      </c>
      <c r="AU1290" s="97">
        <f t="shared" si="1513"/>
        <v>0</v>
      </c>
      <c r="AW1290" s="83">
        <f t="shared" si="1514"/>
        <v>0</v>
      </c>
      <c r="AX1290" s="83">
        <f t="shared" si="1515"/>
        <v>0</v>
      </c>
      <c r="AY1290" s="83">
        <f t="shared" si="1516"/>
        <v>0</v>
      </c>
      <c r="AZ1290" s="83">
        <f t="shared" si="1517"/>
        <v>0</v>
      </c>
      <c r="BA1290" s="52"/>
      <c r="BB1290" s="52"/>
      <c r="BC1290" s="52"/>
      <c r="BD1290" s="52"/>
      <c r="BE1290" s="52"/>
      <c r="BF1290" s="52"/>
      <c r="BG1290" s="52"/>
      <c r="BH1290" s="52"/>
      <c r="BI1290" s="68" cm="1">
        <f t="array" ref="BI1290">IFERROR(INDEX(AW1290:BH1290,1,MATCH(2,1/(AW1290:BH1290&lt;&gt;""))),"")</f>
        <v>0</v>
      </c>
      <c r="BJ1290" s="68" cm="1">
        <f t="array" ref="BJ1290">IF(BM1290 = "", "",IFERROR(INDEX(AW1290:BH1290,1,MATCH(2,1/(AW1290:BH1290&lt;&gt;""),1)-1),""))</f>
        <v>0</v>
      </c>
      <c r="BK1290" s="59">
        <f t="shared" si="1518"/>
        <v>0</v>
      </c>
      <c r="BL1290" s="59" cm="1">
        <f t="array" ref="BL1290">IFERROR(SUM(AW1290:INDEX(AW1290:BH1290, MATCH(2, 1/(AW1290:BH1290&lt;&gt;""), 1) - 1))/_xlfn.XLOOKUP(F1290,Apuração!A:A,Apuração!B:B),0)</f>
        <v>0</v>
      </c>
      <c r="BM1290" s="55" cm="1">
        <f t="array" ref="BM1290">IFERROR(
   INDEX($AW$1:$BH$1,
      _xlfn.AGGREGATE(14, 6, COLUMN($AW$1:$BH$1)/(AW1290:BH1290&lt;&gt;""), 2) - COLUMN($AW$1) + 1
   ),
"")</f>
        <v>46082</v>
      </c>
      <c r="BN1290" s="55" cm="1">
        <f t="array" ref="BN1290">IFERROR(INDEX($AW$1:$BH$1,1,MATCH(2,1/(AW1290:BH1290&lt;&gt;""))),"")</f>
        <v>46113</v>
      </c>
      <c r="BO1290" s="53">
        <f ca="1">IFERROR(_xlfn.XLOOKUP(F1290,Apuração!A:A,Apuração!C:C)/_xlfn.XLOOKUP(F1290,Apuração!A:A,Apuração!B:B),0)</f>
        <v>0</v>
      </c>
      <c r="BP1290" s="53">
        <f ca="1">IFERROR(_xlfn.XLOOKUP(F1290,Apuração!A:A,Apuração!D:D)/_xlfn.XLOOKUP(F1290,Apuração!A:A,Apuração!B:B),0)</f>
        <v>0</v>
      </c>
      <c r="BQ1290" s="53">
        <f ca="1">IF(BK1290&gt;=BO1290,0,_xlfn.XLOOKUP(F1290,Apuração!A:A,Apuração!B:B)*(BO1290 + (1/_xlfn.XLOOKUP(F1290,Apuração!A:A,Apuração!B:B)) - BK1290))</f>
        <v>0</v>
      </c>
      <c r="BR1290" s="85">
        <f t="shared" ca="1" si="1519"/>
        <v>0</v>
      </c>
      <c r="BS1290" s="53">
        <f ca="1">IFERROR((_xlfn.XLOOKUP(F1290,Apuração!A:A,Apuração!C:C)+1)/_xlfn.XLOOKUP(F1290,Apuração!A:A,Apuração!B:B),0)</f>
        <v>0.14285714285714285</v>
      </c>
    </row>
    <row r="1291" spans="1:71" ht="25.95" hidden="1" customHeight="1" x14ac:dyDescent="0.3">
      <c r="A1291" s="42" t="s">
        <v>134</v>
      </c>
      <c r="B1291" s="4" t="s">
        <v>135</v>
      </c>
      <c r="C1291" s="5" t="s">
        <v>209</v>
      </c>
      <c r="D1291" s="5" t="s">
        <v>213</v>
      </c>
      <c r="E1291" s="4" t="str" cm="1">
        <f t="array" ref="E1291">_xlfn.IFS(
F1291 = "A partir de Abril", "Aguardando Execução na Distribuidora",
A1291 = "CAPACITAÇÃO", "Em execução no Corporativo",
TRUE, "Em Execução na Distribuidora"
)</f>
        <v>Em Execução na Distribuidora</v>
      </c>
      <c r="F1291" s="4" t="str" cm="1">
        <f t="array" ref="F1291">_xlfn.IFS(
AG1291 &lt;&gt; "", "Jan-Dez/26",
AH1291 &lt;&gt; "", "Fev-Dez/26",
AI1291 &lt;&gt; "", "Mar-Dez/26", AJ1291 &lt;&gt; "", "Abr-Dez/26",
TRUE, "A partir de Junho"
)</f>
        <v>A partir de Junho</v>
      </c>
      <c r="G1291" s="4" t="s">
        <v>37</v>
      </c>
      <c r="H1291" s="7" t="s">
        <v>38</v>
      </c>
      <c r="I1291" s="9" t="s">
        <v>76</v>
      </c>
      <c r="J1291" s="8" t="str" cm="1">
        <f t="array" aca="1" ref="J1291" ca="1">_xlfn.LET(
  _xlpm.actual_value_month, INDEX(T1291:AE1291, MATCH(DATE(YEAR(TODAY()), MONTH(TODAY()), 1), $T$1:$AE$1, 0)),
  IF(_xlpm.actual_value_month &lt;&gt; "",_xlpm.actual_value_month &amp; " ações mensais", "")
)</f>
        <v/>
      </c>
      <c r="K1291" s="8" t="str" cm="1">
        <f t="array" ref="K1291">_xlfn.LET(
    _xlpm.sum_month, SUM(T1291:AE1291),
    IF(_xlpm.sum_month = 0, "", _xlpm.sum_month &amp; " alcançadas no ano")
)</f>
        <v/>
      </c>
      <c r="L1291" s="9" t="s">
        <v>141</v>
      </c>
      <c r="M1291" s="24">
        <v>1</v>
      </c>
      <c r="N1291" s="5" t="s">
        <v>51</v>
      </c>
      <c r="O1291" s="5" t="s">
        <v>52</v>
      </c>
      <c r="P1291" s="10" t="s">
        <v>44</v>
      </c>
      <c r="Q1291" s="10" t="s">
        <v>44</v>
      </c>
      <c r="R1291" s="10" t="s">
        <v>44</v>
      </c>
      <c r="S1291" s="10" t="s">
        <v>44</v>
      </c>
      <c r="T1291" s="22"/>
      <c r="U1291" s="22"/>
      <c r="V1291" s="22"/>
      <c r="W1291" s="143"/>
      <c r="X1291" s="143"/>
      <c r="Y1291" s="143"/>
      <c r="Z1291" s="143"/>
      <c r="AA1291" s="143"/>
      <c r="AB1291" s="143"/>
      <c r="AC1291" s="143"/>
      <c r="AD1291" s="143"/>
      <c r="AE1291" s="143"/>
      <c r="AG1291" s="82"/>
      <c r="AH1291" s="82"/>
      <c r="AI1291" s="82"/>
      <c r="AJ1291" s="82"/>
      <c r="AK1291" s="71"/>
      <c r="AL1291" s="71"/>
      <c r="AM1291" s="71"/>
      <c r="AN1291" s="71"/>
      <c r="AO1291" s="71"/>
      <c r="AP1291" s="71"/>
      <c r="AQ1291" s="71"/>
      <c r="AR1291" s="71"/>
      <c r="AS1291" s="94">
        <f t="shared" ca="1" si="1511"/>
        <v>0</v>
      </c>
      <c r="AT1291" s="95">
        <f t="shared" si="1512"/>
        <v>0</v>
      </c>
      <c r="AU1291" s="97">
        <f t="shared" si="1513"/>
        <v>0</v>
      </c>
      <c r="AW1291" s="83">
        <f t="shared" si="1514"/>
        <v>0</v>
      </c>
      <c r="AX1291" s="83">
        <f t="shared" si="1515"/>
        <v>0</v>
      </c>
      <c r="AY1291" s="83">
        <f t="shared" si="1516"/>
        <v>0</v>
      </c>
      <c r="AZ1291" s="83">
        <f t="shared" si="1517"/>
        <v>0</v>
      </c>
      <c r="BA1291" s="52"/>
      <c r="BB1291" s="52"/>
      <c r="BC1291" s="52"/>
      <c r="BD1291" s="52"/>
      <c r="BE1291" s="52"/>
      <c r="BF1291" s="52"/>
      <c r="BG1291" s="52"/>
      <c r="BH1291" s="52"/>
      <c r="BI1291" s="68" cm="1">
        <f t="array" ref="BI1291">IFERROR(INDEX(AW1291:BH1291,1,MATCH(2,1/(AW1291:BH1291&lt;&gt;""))),"")</f>
        <v>0</v>
      </c>
      <c r="BJ1291" s="68" cm="1">
        <f t="array" ref="BJ1291">IF(BM1291 = "", "",IFERROR(INDEX(AW1291:BH1291,1,MATCH(2,1/(AW1291:BH1291&lt;&gt;""),1)-1),""))</f>
        <v>0</v>
      </c>
      <c r="BK1291" s="59">
        <f t="shared" si="1518"/>
        <v>0</v>
      </c>
      <c r="BL1291" s="59" cm="1">
        <f t="array" ref="BL1291">IFERROR(SUM(AW1291:INDEX(AW1291:BH1291, MATCH(2, 1/(AW1291:BH1291&lt;&gt;""), 1) - 1))/_xlfn.XLOOKUP(F1291,Apuração!A:A,Apuração!B:B),0)</f>
        <v>0</v>
      </c>
      <c r="BM1291" s="55" cm="1">
        <f t="array" ref="BM1291">IFERROR(
   INDEX($AW$1:$BH$1,
      _xlfn.AGGREGATE(14, 6, COLUMN($AW$1:$BH$1)/(AW1291:BH1291&lt;&gt;""), 2) - COLUMN($AW$1) + 1
   ),
"")</f>
        <v>46082</v>
      </c>
      <c r="BN1291" s="55" cm="1">
        <f t="array" ref="BN1291">IFERROR(INDEX($AW$1:$BH$1,1,MATCH(2,1/(AW1291:BH1291&lt;&gt;""))),"")</f>
        <v>46113</v>
      </c>
      <c r="BO1291" s="53">
        <f ca="1">IFERROR(_xlfn.XLOOKUP(F1291,Apuração!A:A,Apuração!C:C)/_xlfn.XLOOKUP(F1291,Apuração!A:A,Apuração!B:B),0)</f>
        <v>0</v>
      </c>
      <c r="BP1291" s="53">
        <f ca="1">IFERROR(_xlfn.XLOOKUP(F1291,Apuração!A:A,Apuração!D:D)/_xlfn.XLOOKUP(F1291,Apuração!A:A,Apuração!B:B),0)</f>
        <v>0</v>
      </c>
      <c r="BQ1291" s="53">
        <f ca="1">IF(BK1291&gt;=BO1291,0,_xlfn.XLOOKUP(F1291,Apuração!A:A,Apuração!B:B)*(BO1291 + (1/_xlfn.XLOOKUP(F1291,Apuração!A:A,Apuração!B:B)) - BK1291))</f>
        <v>0</v>
      </c>
      <c r="BR1291" s="85">
        <f t="shared" ca="1" si="1519"/>
        <v>0</v>
      </c>
      <c r="BS1291" s="53">
        <f ca="1">IFERROR((_xlfn.XLOOKUP(F1291,Apuração!A:A,Apuração!C:C)+1)/_xlfn.XLOOKUP(F1291,Apuração!A:A,Apuração!B:B),0)</f>
        <v>0.14285714285714285</v>
      </c>
    </row>
    <row r="1292" spans="1:71" ht="25.95" hidden="1" customHeight="1" x14ac:dyDescent="0.3">
      <c r="A1292" s="23" t="s">
        <v>134</v>
      </c>
      <c r="B1292" s="4" t="s">
        <v>142</v>
      </c>
      <c r="C1292" s="5" t="s">
        <v>209</v>
      </c>
      <c r="D1292" s="5" t="s">
        <v>36</v>
      </c>
      <c r="E1292" s="4" t="str" cm="1">
        <f t="array" ref="E1292">_xlfn.IFS(
F1292 = "A partir de Abril", "Aguardando Execução na Distribuidora",
A1292 = "CAPACITAÇÃO", "Em execução no Corporativo",
TRUE, "Em Execução na Distribuidora"
)</f>
        <v>Em Execução na Distribuidora</v>
      </c>
      <c r="F1292" s="4" t="str" cm="1">
        <f t="array" ref="F1292">_xlfn.IFS(
AG1292 &lt;&gt; "", "Jan-Dez/26",
AH1292 &lt;&gt; "", "Fev-Dez/26",
AI1292 &lt;&gt; "", "Mar-Dez/26", AJ1292 &lt;&gt; "", "Abr-Dez/26",
TRUE, "A partir de Junho"
)</f>
        <v>Jan-Dez/26</v>
      </c>
      <c r="G1292" s="4" t="s">
        <v>37</v>
      </c>
      <c r="H1292" s="7" t="s">
        <v>38</v>
      </c>
      <c r="I1292" s="8" t="s">
        <v>143</v>
      </c>
      <c r="J1292" s="8" t="str" cm="1">
        <f t="array" aca="1" ref="J1292" ca="1">_xlfn.LET(
  _xlpm.actual_value_month, INDEX(T1292:AE1292, MATCH(DATE(YEAR(TODAY()), MONTH(TODAY()), 1), $T$1:$AE$1, 0)),
  IF(_xlpm.actual_value_month &lt;&gt; "",_xlpm.actual_value_month &amp; " equipes mensais", "")
)</f>
        <v>20 equipes mensais</v>
      </c>
      <c r="K1292" s="8" t="str" cm="1">
        <f t="array" ref="K1292">_xlfn.LET(
    _xlpm.sum_month, SUM(T1292:AE1292),
    IF(_xlpm.sum_month = 0, "", _xlpm.sum_month &amp; " equipes inspencionadas no ano")
)</f>
        <v>1398 equipes inspencionadas no ano</v>
      </c>
      <c r="L1292" s="4" t="s">
        <v>144</v>
      </c>
      <c r="M1292" s="24" t="s">
        <v>145</v>
      </c>
      <c r="N1292" s="5" t="s">
        <v>42</v>
      </c>
      <c r="O1292" s="5" t="s">
        <v>43</v>
      </c>
      <c r="P1292" s="10" t="s">
        <v>146</v>
      </c>
      <c r="Q1292" s="10" t="s">
        <v>44</v>
      </c>
      <c r="R1292" s="11" t="s">
        <v>147</v>
      </c>
      <c r="S1292" s="11" t="s">
        <v>44</v>
      </c>
      <c r="T1292" s="22">
        <v>282</v>
      </c>
      <c r="U1292" s="22">
        <v>586</v>
      </c>
      <c r="V1292" s="22">
        <v>350</v>
      </c>
      <c r="W1292" s="143">
        <v>20</v>
      </c>
      <c r="X1292" s="143">
        <v>20</v>
      </c>
      <c r="Y1292" s="143">
        <v>20</v>
      </c>
      <c r="Z1292" s="143">
        <v>20</v>
      </c>
      <c r="AA1292" s="143">
        <v>20</v>
      </c>
      <c r="AB1292" s="143">
        <v>20</v>
      </c>
      <c r="AC1292" s="143">
        <v>20</v>
      </c>
      <c r="AD1292" s="143">
        <v>20</v>
      </c>
      <c r="AE1292" s="143">
        <v>20</v>
      </c>
      <c r="AG1292" s="82">
        <v>282</v>
      </c>
      <c r="AH1292" s="82">
        <v>586</v>
      </c>
      <c r="AI1292" s="82">
        <v>350</v>
      </c>
      <c r="AJ1292" s="82">
        <v>343</v>
      </c>
      <c r="AK1292" s="71">
        <v>142</v>
      </c>
      <c r="AL1292" s="71"/>
      <c r="AM1292" s="71"/>
      <c r="AN1292" s="71"/>
      <c r="AO1292" s="71"/>
      <c r="AP1292" s="71"/>
      <c r="AQ1292" s="71"/>
      <c r="AR1292" s="71"/>
      <c r="AS1292" s="94">
        <f ca="1">IF(MONTH(TODAY())=3,SUM(T1292:U1292),IF(MONTH(TODAY())=4,SUM(T1292:V1292),IF(MONTH(TODAY())=5,SUM(T1292:W1292),IF(MONTH(TODAY())=6,SUM(T1292:X1292),IF(MONTH(TODAY())=7,SUM(T1292:Y1292),IF(MONTH(TODAY())=8,SUM(T1292:Z1292),IF(MONTH(TODAY())=9,SUM(T1292:AA1292),IF(MONTH(TODAY())=10,SUM(T1292:AB1292),IF(MONTH(TODAY())=11,SUM(T1292:AC1292),IF(MONTH(TODAY())=12,SUM(T1292:AD1292),IF(MONTH(TODAY())=1,SUM(T1292:AE1292),T1292)))))))))))</f>
        <v>1258</v>
      </c>
      <c r="AT1292" s="95">
        <f>SUM(IF(AW1292&lt;1.15,AG1292,1.15*T1292),IF(AX1292&lt;1.15,AH1292,1.15*U1292),IF(AY1292&lt;1.15,AI1292,1.15*V1292),IF(AZ1292&lt;1.15,AJ1292,1.15*W1292),IF(BA1292&lt;1.15,AK1292,1.15*X1292),IF(BB1292&lt;1.15,AL1292,1.15*Y1292),IF(BC1292&lt;1.15,AM1292,1.15*Z1292),IF(BD1292&lt;1.15,AN1292,1.15*AA1292),IF(BE1292&lt;1.15,AO1292,1.15*AB1292),IF(BF1292&lt;1.15,AP1292,1.15*AC1292),IF(BG1292&lt;1.15,AQ1292,1.15*AD1292),IF(BH1292&lt;1.15,AR1292,1.15*AE1292))</f>
        <v>1264</v>
      </c>
      <c r="AU1292" s="97">
        <f>SUM(AG1292:AR1292)</f>
        <v>1703</v>
      </c>
      <c r="AW1292" s="51">
        <f>IFERROR(IF(AG1292="",0,AG1292/T1292),0)</f>
        <v>1</v>
      </c>
      <c r="AX1292" s="51">
        <f>IFERROR(IF(AH1292="",0,AH1292/U1292),0)</f>
        <v>1</v>
      </c>
      <c r="AY1292" s="51">
        <f>IFERROR(IF(AI1292="",0,AI1292/V1292),0)</f>
        <v>1</v>
      </c>
      <c r="AZ1292" s="51">
        <f>IFERROR(IF(AJ1292="",0,AJ1292/W1292),0)</f>
        <v>17.149999999999999</v>
      </c>
      <c r="BA1292" s="51">
        <f t="shared" ref="BA1292:BA1297" si="1520">IFERROR(IF(AK1292="",0,AK1292/X1292),0)</f>
        <v>7.1</v>
      </c>
      <c r="BB1292" s="51"/>
      <c r="BC1292" s="51"/>
      <c r="BD1292" s="51"/>
      <c r="BE1292" s="51"/>
      <c r="BF1292" s="51"/>
      <c r="BG1292" s="51"/>
      <c r="BH1292" s="51"/>
      <c r="BI1292" s="65" cm="1">
        <f t="array" ref="BI1292">IFERROR(INDEX(AW1292:BH1292,1,MATCH(2,1/(AW1292:BH1292&lt;&gt;""))),"")</f>
        <v>7.1</v>
      </c>
      <c r="BJ1292" s="68" cm="1">
        <f t="array" ref="BJ1292">IF(BM1292 = "", "",IFERROR(INDEX(AW1292:BH1292,1,MATCH(2,1/(AW1292:BH1292&lt;&gt;""),1)-1),""))</f>
        <v>17.149999999999999</v>
      </c>
      <c r="BK1292" s="58">
        <f>IF((IF(AW1292&gt;=150%,150%,AW1292) + IF(AX1292&gt;=115%,115%,AX1292) + IF(AY1292&gt;=115%,115%,AY1292) + (IF(AZ1292&gt;=115%,115%,AZ1292) + IF(BA1292&gt;=115%,115%,BA1292) + IF(BB1292&gt;=115%,115%,BB1292) + IF(BC1292&gt;=115%,115%,BC1292) + IF(BD1292&gt;=115%,115%,BD1292) + IF(BE1292&gt;=115%,115%,BE1292) + IF(BF1292&gt;=115%,115%,BF1292) + IF(BG1292&gt;=115%,115%,BG1292) + IF(BH1292&gt;=115%,115%,BH1292)))/_xlfn.XLOOKUP(F1292,Apuração!A:A,Apuração!B:B)&gt;=1.15,1.15,((IF(AZ1292&gt;=115%,115%,AZ1292) + IF(AX1292&gt;=115%,115%,AX1292) + IF(AY1292&gt;=115%,115%,AY1292) + (IF(AW1292&gt;=150%,150%,AW1292) + IF(BA1292&gt;=115%,115%,BA1292) + IF(BB1292&gt;=115%,115%,BB1292) + IF(BC1292&gt;=115%,115%,BC1292) + IF(BD1292&gt;=115%,115%,BD1292) + IF(BE1292&gt;=115%,115%,BE1292) + IF(BF1292&gt;=115%,115%,BF1292) + IF(BG1292&gt;=115%,115%,BG1292) + IF(BH1292&gt;=115%,115%,BH1292)))/_xlfn.XLOOKUP(F1292,Apuração!A:A,Apuração!B:B)))</f>
        <v>0.44166666666666665</v>
      </c>
      <c r="BL1292" s="58" cm="1">
        <f t="array" aca="1" ref="BL1292" ca="1">IF(SUM(IFERROR(IF(INDEX(AW1292:INDEX(AW1292:BH1292, MATCH(2, 1/(AW1292:BH1292&lt;&gt;""), 1)-1), ROW(INDIRECT("1:" &amp; MATCH(2, 1/(AW1292:BH1292&lt;&gt;""), 1)-1))) &gt;= 115%, 115%, INDEX(AW1292:INDEX(AW1292:BH1292, MATCH(2, 1/(AW1292:BH1292&lt;&gt;""), 1)-1), ROW(INDIRECT("1:" &amp; MATCH(2, 1/(AW1292:BH1292&lt;&gt;""), 1)-1)))), 0))/_xlfn.XLOOKUP(F1292,Apuração!A:A,Apuração!B:B)&gt;=1.15,1.15,SUM(IFERROR(IF(INDEX(AW1292:INDEX(AW1292:BH1292, MATCH(2, 1/(AW1292:BH1292&lt;&gt;""), 1)-1), ROW(INDIRECT("1:" &amp; MATCH(2, 1/(AW1292:BH1292&lt;&gt;""), 1)-1))) &gt;= 115%, 115%, INDEX(AW1292:INDEX(AW1292:BH1292, MATCH(2, 1/(AW1292:BH1292&lt;&gt;""), 1)-1), ROW(INDIRECT("1:" &amp; MATCH(2, 1/(AW1292:BH1292&lt;&gt;""), 1)-1)))), 0))/_xlfn.XLOOKUP(F1292,Apuração!A:A,Apuração!B:B))</f>
        <v>0.34583333333333338</v>
      </c>
      <c r="BM1292" s="55" cm="1">
        <f t="array" ref="BM1292">IFERROR(
   INDEX($AW$1:$BH$1,
      _xlfn.AGGREGATE(14, 6, COLUMN($AW$1:$BH$1)/(AW1292:BH1292&lt;&gt;""), 2) - COLUMN($AW$1) + 1
   ),
"")</f>
        <v>46113</v>
      </c>
      <c r="BN1292" s="55" cm="1">
        <f t="array" ref="BN1292">IFERROR(INDEX($AW$1:$BH$1,1,MATCH(2,1/(AW1292:BH1292&lt;&gt;""))),"")</f>
        <v>46143</v>
      </c>
      <c r="BO1292" s="53">
        <f ca="1">IFERROR(_xlfn.XLOOKUP(F1292,Apuração!A:A,Apuração!C:C)/_xlfn.XLOOKUP(F1292,Apuração!A:A,Apuração!B:B),0)</f>
        <v>0.41666666666666669</v>
      </c>
      <c r="BP1292" s="53">
        <f ca="1">IFERROR(_xlfn.XLOOKUP(F1292,Apuração!A:A,Apuração!D:D)/_xlfn.XLOOKUP(F1292,Apuração!A:A,Apuração!B:B),0)</f>
        <v>0.33333333333333331</v>
      </c>
      <c r="BQ1292" s="53">
        <f ca="1">IF(BK1292&gt;=BO1292,0,_xlfn.XLOOKUP(F1292,Apuração!A:A,Apuração!B:B)*(BO1292 + (1/_xlfn.XLOOKUP(F1292,Apuração!A:A,Apuração!B:B)) - BK1292))</f>
        <v>0</v>
      </c>
      <c r="BR1292" s="85">
        <f ca="1">IF(BQ1292=0,0,BQ1292*Z1292)</f>
        <v>0</v>
      </c>
      <c r="BS1292" s="53">
        <f ca="1">IFERROR((_xlfn.XLOOKUP(F1292,Apuração!A:A,Apuração!C:C)+1)/_xlfn.XLOOKUP(F1292,Apuração!A:A,Apuração!B:B),0)</f>
        <v>0.5</v>
      </c>
    </row>
    <row r="1293" spans="1:71" ht="25.95" hidden="1" customHeight="1" x14ac:dyDescent="0.3">
      <c r="A1293" s="23" t="s">
        <v>134</v>
      </c>
      <c r="B1293" s="4" t="s">
        <v>142</v>
      </c>
      <c r="C1293" s="5" t="s">
        <v>209</v>
      </c>
      <c r="D1293" s="5" t="s">
        <v>210</v>
      </c>
      <c r="E1293" s="4" t="str" cm="1">
        <f t="array" ref="E1293">_xlfn.IFS(
F1293 = "A partir de Abril", "Aguardando Execução na Distribuidora",
A1293 = "CAPACITAÇÃO", "Em execução no Corporativo",
TRUE, "Em Execução na Distribuidora"
)</f>
        <v>Em Execução na Distribuidora</v>
      </c>
      <c r="F1293" s="4" t="str" cm="1">
        <f t="array" ref="F1293">_xlfn.IFS(
AG1293 &lt;&gt; "", "Jan-Dez/26",
AH1293 &lt;&gt; "", "Fev-Dez/26",
AI1293 &lt;&gt; "", "Mar-Dez/26", AJ1293 &lt;&gt; "", "Abr-Dez/26",
TRUE, "A partir de Junho"
)</f>
        <v>Jan-Dez/26</v>
      </c>
      <c r="G1293" s="4" t="s">
        <v>37</v>
      </c>
      <c r="H1293" s="7" t="s">
        <v>38</v>
      </c>
      <c r="I1293" s="8" t="s">
        <v>143</v>
      </c>
      <c r="J1293" s="8" t="str" cm="1">
        <f t="array" aca="1" ref="J1293" ca="1">_xlfn.LET(
  _xlpm.actual_value_month, INDEX(T1293:AE1293, MATCH(DATE(YEAR(TODAY()), MONTH(TODAY()), 1), $T$1:$AE$1, 0)),
  IF(_xlpm.actual_value_month &lt;&gt; "",_xlpm.actual_value_month &amp; " equipes mensais", "")
)</f>
        <v>25 equipes mensais</v>
      </c>
      <c r="K1293" s="8" t="str" cm="1">
        <f t="array" ref="K1293">_xlfn.LET(
    _xlpm.sum_month, SUM(T1293:AE1293),
    IF(_xlpm.sum_month = 0, "", _xlpm.sum_month &amp; " equipes inspencionadas no ano")
)</f>
        <v>304 equipes inspencionadas no ano</v>
      </c>
      <c r="L1293" s="4" t="s">
        <v>144</v>
      </c>
      <c r="M1293" s="24" t="s">
        <v>145</v>
      </c>
      <c r="N1293" s="5" t="s">
        <v>42</v>
      </c>
      <c r="O1293" s="5" t="s">
        <v>43</v>
      </c>
      <c r="P1293" s="10" t="s">
        <v>146</v>
      </c>
      <c r="Q1293" s="10" t="s">
        <v>44</v>
      </c>
      <c r="R1293" s="11" t="s">
        <v>147</v>
      </c>
      <c r="S1293" s="11" t="s">
        <v>44</v>
      </c>
      <c r="T1293" s="22">
        <v>19</v>
      </c>
      <c r="U1293" s="22">
        <v>33</v>
      </c>
      <c r="V1293" s="22">
        <v>27</v>
      </c>
      <c r="W1293" s="143">
        <v>25</v>
      </c>
      <c r="X1293" s="143">
        <v>25</v>
      </c>
      <c r="Y1293" s="143">
        <v>25</v>
      </c>
      <c r="Z1293" s="143">
        <v>25</v>
      </c>
      <c r="AA1293" s="143">
        <v>25</v>
      </c>
      <c r="AB1293" s="143">
        <v>25</v>
      </c>
      <c r="AC1293" s="143">
        <v>25</v>
      </c>
      <c r="AD1293" s="143">
        <v>25</v>
      </c>
      <c r="AE1293" s="143">
        <v>25</v>
      </c>
      <c r="AG1293" s="82">
        <v>19</v>
      </c>
      <c r="AH1293" s="82">
        <v>33</v>
      </c>
      <c r="AI1293" s="82">
        <v>27</v>
      </c>
      <c r="AJ1293" s="82">
        <v>93</v>
      </c>
      <c r="AK1293" s="71">
        <v>28</v>
      </c>
      <c r="AL1293" s="71"/>
      <c r="AM1293" s="71"/>
      <c r="AN1293" s="71"/>
      <c r="AO1293" s="71"/>
      <c r="AP1293" s="71"/>
      <c r="AQ1293" s="71"/>
      <c r="AR1293" s="71"/>
      <c r="AS1293" s="94">
        <f t="shared" ref="AS1293:AS1297" ca="1" si="1521">IF(MONTH(TODAY())=3,SUM(T1293:U1293),IF(MONTH(TODAY())=4,SUM(T1293:V1293),IF(MONTH(TODAY())=5,SUM(T1293:W1293),IF(MONTH(TODAY())=6,SUM(T1293:X1293),IF(MONTH(TODAY())=7,SUM(T1293:Y1293),IF(MONTH(TODAY())=8,SUM(T1293:Z1293),IF(MONTH(TODAY())=9,SUM(T1293:AA1293),IF(MONTH(TODAY())=10,SUM(T1293:AB1293),IF(MONTH(TODAY())=11,SUM(T1293:AC1293),IF(MONTH(TODAY())=12,SUM(T1293:AD1293),IF(MONTH(TODAY())=1,SUM(T1293:AE1293),T1293)))))))))))</f>
        <v>129</v>
      </c>
      <c r="AT1293" s="95">
        <f t="shared" ref="AT1293:AT1297" si="1522">SUM(IF(AW1293&lt;1.15,AG1293,1.15*T1293),IF(AX1293&lt;1.15,AH1293,1.15*U1293),IF(AY1293&lt;1.15,AI1293,1.15*V1293),IF(AZ1293&lt;1.15,AJ1293,1.15*W1293),IF(BA1293&lt;1.15,AK1293,1.15*X1293),IF(BB1293&lt;1.15,AL1293,1.15*Y1293),IF(BC1293&lt;1.15,AM1293,1.15*Z1293),IF(BD1293&lt;1.15,AN1293,1.15*AA1293),IF(BE1293&lt;1.15,AO1293,1.15*AB1293),IF(BF1293&lt;1.15,AP1293,1.15*AC1293),IF(BG1293&lt;1.15,AQ1293,1.15*AD1293),IF(BH1293&lt;1.15,AR1293,1.15*AE1293))</f>
        <v>135.75</v>
      </c>
      <c r="AU1293" s="97">
        <f t="shared" ref="AU1293:AU1297" si="1523">SUM(AG1293:AR1293)</f>
        <v>200</v>
      </c>
      <c r="AW1293" s="51">
        <f t="shared" ref="AW1293:AW1297" si="1524">IFERROR(IF(AG1293="",0,AG1293/T1293),0)</f>
        <v>1</v>
      </c>
      <c r="AX1293" s="51">
        <f t="shared" ref="AX1293:AX1297" si="1525">IFERROR(IF(AH1293="",0,AH1293/U1293),0)</f>
        <v>1</v>
      </c>
      <c r="AY1293" s="51">
        <f t="shared" ref="AY1293:AY1297" si="1526">IFERROR(IF(AI1293="",0,AI1293/V1293),0)</f>
        <v>1</v>
      </c>
      <c r="AZ1293" s="51">
        <f t="shared" ref="AZ1293:AZ1297" si="1527">IFERROR(IF(AJ1293="",0,AJ1293/W1293),0)</f>
        <v>3.72</v>
      </c>
      <c r="BA1293" s="51">
        <f t="shared" si="1520"/>
        <v>1.1200000000000001</v>
      </c>
      <c r="BB1293" s="51"/>
      <c r="BC1293" s="51"/>
      <c r="BD1293" s="51"/>
      <c r="BE1293" s="51"/>
      <c r="BF1293" s="51"/>
      <c r="BG1293" s="51"/>
      <c r="BH1293" s="51"/>
      <c r="BI1293" s="65" cm="1">
        <f t="array" ref="BI1293">IFERROR(INDEX(AW1293:BH1293,1,MATCH(2,1/(AW1293:BH1293&lt;&gt;""))),"")</f>
        <v>1.1200000000000001</v>
      </c>
      <c r="BJ1293" s="68" cm="1">
        <f t="array" ref="BJ1293">IF(BM1293 = "", "",IFERROR(INDEX(AW1293:BH1293,1,MATCH(2,1/(AW1293:BH1293&lt;&gt;""),1)-1),""))</f>
        <v>3.72</v>
      </c>
      <c r="BK1293" s="58">
        <f>IF((IF(AW1293&gt;=150%,150%,AW1293) + IF(AX1293&gt;=115%,115%,AX1293) + IF(AY1293&gt;=115%,115%,AY1293) + (IF(AZ1293&gt;=115%,115%,AZ1293) + IF(BA1293&gt;=115%,115%,BA1293) + IF(BB1293&gt;=115%,115%,BB1293) + IF(BC1293&gt;=115%,115%,BC1293) + IF(BD1293&gt;=115%,115%,BD1293) + IF(BE1293&gt;=115%,115%,BE1293) + IF(BF1293&gt;=115%,115%,BF1293) + IF(BG1293&gt;=115%,115%,BG1293) + IF(BH1293&gt;=115%,115%,BH1293)))/_xlfn.XLOOKUP(F1293,Apuração!A:A,Apuração!B:B)&gt;=1.15,1.15,((IF(AZ1293&gt;=115%,115%,AZ1293) + IF(AX1293&gt;=115%,115%,AX1293) + IF(AY1293&gt;=115%,115%,AY1293) + (IF(AW1293&gt;=150%,150%,AW1293) + IF(BA1293&gt;=115%,115%,BA1293) + IF(BB1293&gt;=115%,115%,BB1293) + IF(BC1293&gt;=115%,115%,BC1293) + IF(BD1293&gt;=115%,115%,BD1293) + IF(BE1293&gt;=115%,115%,BE1293) + IF(BF1293&gt;=115%,115%,BF1293) + IF(BG1293&gt;=115%,115%,BG1293) + IF(BH1293&gt;=115%,115%,BH1293)))/_xlfn.XLOOKUP(F1293,Apuração!A:A,Apuração!B:B)))</f>
        <v>0.43916666666666665</v>
      </c>
      <c r="BL1293" s="58" cm="1">
        <f t="array" aca="1" ref="BL1293" ca="1">IF(SUM(IFERROR(IF(INDEX(AW1293:INDEX(AW1293:BH1293, MATCH(2, 1/(AW1293:BH1293&lt;&gt;""), 1)-1), ROW(INDIRECT("1:" &amp; MATCH(2, 1/(AW1293:BH1293&lt;&gt;""), 1)-1))) &gt;= 115%, 115%, INDEX(AW1293:INDEX(AW1293:BH1293, MATCH(2, 1/(AW1293:BH1293&lt;&gt;""), 1)-1), ROW(INDIRECT("1:" &amp; MATCH(2, 1/(AW1293:BH1293&lt;&gt;""), 1)-1)))), 0))/_xlfn.XLOOKUP(F1293,Apuração!A:A,Apuração!B:B)&gt;=1.15,1.15,SUM(IFERROR(IF(INDEX(AW1293:INDEX(AW1293:BH1293, MATCH(2, 1/(AW1293:BH1293&lt;&gt;""), 1)-1), ROW(INDIRECT("1:" &amp; MATCH(2, 1/(AW1293:BH1293&lt;&gt;""), 1)-1))) &gt;= 115%, 115%, INDEX(AW1293:INDEX(AW1293:BH1293, MATCH(2, 1/(AW1293:BH1293&lt;&gt;""), 1)-1), ROW(INDIRECT("1:" &amp; MATCH(2, 1/(AW1293:BH1293&lt;&gt;""), 1)-1)))), 0))/_xlfn.XLOOKUP(F1293,Apuração!A:A,Apuração!B:B))</f>
        <v>0.34583333333333338</v>
      </c>
      <c r="BM1293" s="55" cm="1">
        <f t="array" ref="BM1293">IFERROR(
   INDEX($AW$1:$BH$1,
      _xlfn.AGGREGATE(14, 6, COLUMN($AW$1:$BH$1)/(AW1293:BH1293&lt;&gt;""), 2) - COLUMN($AW$1) + 1
   ),
"")</f>
        <v>46113</v>
      </c>
      <c r="BN1293" s="55" cm="1">
        <f t="array" ref="BN1293">IFERROR(INDEX($AW$1:$BH$1,1,MATCH(2,1/(AW1293:BH1293&lt;&gt;""))),"")</f>
        <v>46143</v>
      </c>
      <c r="BO1293" s="53">
        <f ca="1">IFERROR(_xlfn.XLOOKUP(F1293,Apuração!A:A,Apuração!C:C)/_xlfn.XLOOKUP(F1293,Apuração!A:A,Apuração!B:B),0)</f>
        <v>0.41666666666666669</v>
      </c>
      <c r="BP1293" s="53">
        <f ca="1">IFERROR(_xlfn.XLOOKUP(F1293,Apuração!A:A,Apuração!D:D)/_xlfn.XLOOKUP(F1293,Apuração!A:A,Apuração!B:B),0)</f>
        <v>0.33333333333333331</v>
      </c>
      <c r="BQ1293" s="53">
        <f ca="1">IF(BK1293&gt;=BO1293,0,_xlfn.XLOOKUP(F1293,Apuração!A:A,Apuração!B:B)*(BO1293 + (1/_xlfn.XLOOKUP(F1293,Apuração!A:A,Apuração!B:B)) - BK1293))</f>
        <v>0</v>
      </c>
      <c r="BR1293" s="85">
        <f t="shared" ref="BR1293:BR1297" ca="1" si="1528">IF(BQ1293=0,0,BQ1293*Z1293)</f>
        <v>0</v>
      </c>
      <c r="BS1293" s="53">
        <f ca="1">IFERROR((_xlfn.XLOOKUP(F1293,Apuração!A:A,Apuração!C:C)+1)/_xlfn.XLOOKUP(F1293,Apuração!A:A,Apuração!B:B),0)</f>
        <v>0.5</v>
      </c>
    </row>
    <row r="1294" spans="1:71" ht="25.95" hidden="1" customHeight="1" x14ac:dyDescent="0.3">
      <c r="A1294" s="23" t="s">
        <v>134</v>
      </c>
      <c r="B1294" s="4" t="s">
        <v>142</v>
      </c>
      <c r="C1294" s="5" t="s">
        <v>209</v>
      </c>
      <c r="D1294" s="5" t="s">
        <v>47</v>
      </c>
      <c r="E1294" s="4" t="str" cm="1">
        <f t="array" ref="E1294">_xlfn.IFS(
F1294 = "A partir de Abril", "Aguardando Execução na Distribuidora",
A1294 = "CAPACITAÇÃO", "Em execução no Corporativo",
TRUE, "Em Execução na Distribuidora"
)</f>
        <v>Em Execução na Distribuidora</v>
      </c>
      <c r="F1294" s="4" t="str" cm="1">
        <f t="array" ref="F1294">_xlfn.IFS(
AG1294 &lt;&gt; "", "Jan-Dez/26",
AH1294 &lt;&gt; "", "Fev-Dez/26",
AI1294 &lt;&gt; "", "Mar-Dez/26", AJ1294 &lt;&gt; "", "Abr-Dez/26",
TRUE, "A partir de Junho"
)</f>
        <v>Jan-Dez/26</v>
      </c>
      <c r="G1294" s="4" t="s">
        <v>37</v>
      </c>
      <c r="H1294" s="7" t="s">
        <v>38</v>
      </c>
      <c r="I1294" s="8" t="s">
        <v>143</v>
      </c>
      <c r="J1294" s="8" t="str" cm="1">
        <f t="array" aca="1" ref="J1294" ca="1">_xlfn.LET(
  _xlpm.actual_value_month, INDEX(T1294:AE1294, MATCH(DATE(YEAR(TODAY()), MONTH(TODAY()), 1), $T$1:$AE$1, 0)),
  IF(_xlpm.actual_value_month &lt;&gt; "",_xlpm.actual_value_month &amp; " equipes mensais", "")
)</f>
        <v>20 equipes mensais</v>
      </c>
      <c r="K1294" s="8" t="str" cm="1">
        <f t="array" ref="K1294">_xlfn.LET(
    _xlpm.sum_month, SUM(T1294:AE1294),
    IF(_xlpm.sum_month = 0, "", _xlpm.sum_month &amp; " equipes inspencionadas no ano")
)</f>
        <v>644 equipes inspencionadas no ano</v>
      </c>
      <c r="L1294" s="4" t="s">
        <v>144</v>
      </c>
      <c r="M1294" s="24" t="s">
        <v>145</v>
      </c>
      <c r="N1294" s="5" t="s">
        <v>42</v>
      </c>
      <c r="O1294" s="5" t="s">
        <v>43</v>
      </c>
      <c r="P1294" s="10" t="s">
        <v>146</v>
      </c>
      <c r="Q1294" s="10" t="s">
        <v>44</v>
      </c>
      <c r="R1294" s="11" t="s">
        <v>147</v>
      </c>
      <c r="S1294" s="11" t="s">
        <v>44</v>
      </c>
      <c r="T1294" s="22">
        <v>88</v>
      </c>
      <c r="U1294" s="22">
        <v>286</v>
      </c>
      <c r="V1294" s="22">
        <v>90</v>
      </c>
      <c r="W1294" s="143">
        <v>20</v>
      </c>
      <c r="X1294" s="143">
        <v>20</v>
      </c>
      <c r="Y1294" s="143">
        <v>20</v>
      </c>
      <c r="Z1294" s="143">
        <v>20</v>
      </c>
      <c r="AA1294" s="143">
        <v>20</v>
      </c>
      <c r="AB1294" s="143">
        <v>20</v>
      </c>
      <c r="AC1294" s="143">
        <v>20</v>
      </c>
      <c r="AD1294" s="143">
        <v>20</v>
      </c>
      <c r="AE1294" s="143">
        <v>20</v>
      </c>
      <c r="AG1294" s="82">
        <v>88</v>
      </c>
      <c r="AH1294" s="82">
        <v>286</v>
      </c>
      <c r="AI1294" s="82">
        <v>90</v>
      </c>
      <c r="AJ1294" s="82">
        <v>69</v>
      </c>
      <c r="AK1294" s="71">
        <v>16</v>
      </c>
      <c r="AL1294" s="71"/>
      <c r="AM1294" s="71"/>
      <c r="AN1294" s="71"/>
      <c r="AO1294" s="71"/>
      <c r="AP1294" s="71"/>
      <c r="AQ1294" s="71"/>
      <c r="AR1294" s="71"/>
      <c r="AS1294" s="94">
        <f t="shared" ca="1" si="1521"/>
        <v>504</v>
      </c>
      <c r="AT1294" s="95">
        <f t="shared" si="1522"/>
        <v>503</v>
      </c>
      <c r="AU1294" s="97">
        <f t="shared" si="1523"/>
        <v>549</v>
      </c>
      <c r="AW1294" s="51">
        <f t="shared" si="1524"/>
        <v>1</v>
      </c>
      <c r="AX1294" s="51">
        <f t="shared" si="1525"/>
        <v>1</v>
      </c>
      <c r="AY1294" s="51">
        <f t="shared" si="1526"/>
        <v>1</v>
      </c>
      <c r="AZ1294" s="51">
        <f t="shared" si="1527"/>
        <v>3.45</v>
      </c>
      <c r="BA1294" s="51">
        <f t="shared" si="1520"/>
        <v>0.8</v>
      </c>
      <c r="BB1294" s="51"/>
      <c r="BC1294" s="51"/>
      <c r="BD1294" s="51"/>
      <c r="BE1294" s="51"/>
      <c r="BF1294" s="51"/>
      <c r="BG1294" s="51"/>
      <c r="BH1294" s="51"/>
      <c r="BI1294" s="65" cm="1">
        <f t="array" ref="BI1294">IFERROR(INDEX(AW1294:BH1294,1,MATCH(2,1/(AW1294:BH1294&lt;&gt;""))),"")</f>
        <v>0.8</v>
      </c>
      <c r="BJ1294" s="68" cm="1">
        <f t="array" ref="BJ1294">IF(BM1294 = "", "",IFERROR(INDEX(AW1294:BH1294,1,MATCH(2,1/(AW1294:BH1294&lt;&gt;""),1)-1),""))</f>
        <v>3.45</v>
      </c>
      <c r="BK1294" s="58">
        <f>IF((IF(AW1294&gt;=150%,150%,AW1294) + IF(AX1294&gt;=115%,115%,AX1294) + IF(AY1294&gt;=115%,115%,AY1294) + (IF(AZ1294&gt;=115%,115%,AZ1294) + IF(BA1294&gt;=115%,115%,BA1294) + IF(BB1294&gt;=115%,115%,BB1294) + IF(BC1294&gt;=115%,115%,BC1294) + IF(BD1294&gt;=115%,115%,BD1294) + IF(BE1294&gt;=115%,115%,BE1294) + IF(BF1294&gt;=115%,115%,BF1294) + IF(BG1294&gt;=115%,115%,BG1294) + IF(BH1294&gt;=115%,115%,BH1294)))/_xlfn.XLOOKUP(F1294,Apuração!A:A,Apuração!B:B)&gt;=1.15,1.15,((IF(AZ1294&gt;=115%,115%,AZ1294) + IF(AX1294&gt;=115%,115%,AX1294) + IF(AY1294&gt;=115%,115%,AY1294) + (IF(AW1294&gt;=150%,150%,AW1294) + IF(BA1294&gt;=115%,115%,BA1294) + IF(BB1294&gt;=115%,115%,BB1294) + IF(BC1294&gt;=115%,115%,BC1294) + IF(BD1294&gt;=115%,115%,BD1294) + IF(BE1294&gt;=115%,115%,BE1294) + IF(BF1294&gt;=115%,115%,BF1294) + IF(BG1294&gt;=115%,115%,BG1294) + IF(BH1294&gt;=115%,115%,BH1294)))/_xlfn.XLOOKUP(F1294,Apuração!A:A,Apuração!B:B)))</f>
        <v>0.41250000000000003</v>
      </c>
      <c r="BL1294" s="58" cm="1">
        <f t="array" aca="1" ref="BL1294" ca="1">IF(SUM(IFERROR(IF(INDEX(AW1294:INDEX(AW1294:BH1294, MATCH(2, 1/(AW1294:BH1294&lt;&gt;""), 1)-1), ROW(INDIRECT("1:" &amp; MATCH(2, 1/(AW1294:BH1294&lt;&gt;""), 1)-1))) &gt;= 115%, 115%, INDEX(AW1294:INDEX(AW1294:BH1294, MATCH(2, 1/(AW1294:BH1294&lt;&gt;""), 1)-1), ROW(INDIRECT("1:" &amp; MATCH(2, 1/(AW1294:BH1294&lt;&gt;""), 1)-1)))), 0))/_xlfn.XLOOKUP(F1294,Apuração!A:A,Apuração!B:B)&gt;=1.15,1.15,SUM(IFERROR(IF(INDEX(AW1294:INDEX(AW1294:BH1294, MATCH(2, 1/(AW1294:BH1294&lt;&gt;""), 1)-1), ROW(INDIRECT("1:" &amp; MATCH(2, 1/(AW1294:BH1294&lt;&gt;""), 1)-1))) &gt;= 115%, 115%, INDEX(AW1294:INDEX(AW1294:BH1294, MATCH(2, 1/(AW1294:BH1294&lt;&gt;""), 1)-1), ROW(INDIRECT("1:" &amp; MATCH(2, 1/(AW1294:BH1294&lt;&gt;""), 1)-1)))), 0))/_xlfn.XLOOKUP(F1294,Apuração!A:A,Apuração!B:B))</f>
        <v>0.34583333333333338</v>
      </c>
      <c r="BM1294" s="55" cm="1">
        <f t="array" ref="BM1294">IFERROR(
   INDEX($AW$1:$BH$1,
      _xlfn.AGGREGATE(14, 6, COLUMN($AW$1:$BH$1)/(AW1294:BH1294&lt;&gt;""), 2) - COLUMN($AW$1) + 1
   ),
"")</f>
        <v>46113</v>
      </c>
      <c r="BN1294" s="55" cm="1">
        <f t="array" ref="BN1294">IFERROR(INDEX($AW$1:$BH$1,1,MATCH(2,1/(AW1294:BH1294&lt;&gt;""))),"")</f>
        <v>46143</v>
      </c>
      <c r="BO1294" s="53">
        <f ca="1">IFERROR(_xlfn.XLOOKUP(F1294,Apuração!A:A,Apuração!C:C)/_xlfn.XLOOKUP(F1294,Apuração!A:A,Apuração!B:B),0)</f>
        <v>0.41666666666666669</v>
      </c>
      <c r="BP1294" s="53">
        <f ca="1">IFERROR(_xlfn.XLOOKUP(F1294,Apuração!A:A,Apuração!D:D)/_xlfn.XLOOKUP(F1294,Apuração!A:A,Apuração!B:B),0)</f>
        <v>0.33333333333333331</v>
      </c>
      <c r="BQ1294" s="53">
        <f ca="1">IF(BK1294&gt;=BO1294,0,_xlfn.XLOOKUP(F1294,Apuração!A:A,Apuração!B:B)*(BO1294 + (1/_xlfn.XLOOKUP(F1294,Apuração!A:A,Apuração!B:B)) - BK1294))</f>
        <v>1.0499999999999996</v>
      </c>
      <c r="BR1294" s="85">
        <f t="shared" ca="1" si="1528"/>
        <v>20.999999999999993</v>
      </c>
      <c r="BS1294" s="53">
        <f ca="1">IFERROR((_xlfn.XLOOKUP(F1294,Apuração!A:A,Apuração!C:C)+1)/_xlfn.XLOOKUP(F1294,Apuração!A:A,Apuração!B:B),0)</f>
        <v>0.5</v>
      </c>
    </row>
    <row r="1295" spans="1:71" ht="25.95" hidden="1" customHeight="1" x14ac:dyDescent="0.3">
      <c r="A1295" s="23" t="s">
        <v>134</v>
      </c>
      <c r="B1295" s="4" t="s">
        <v>142</v>
      </c>
      <c r="C1295" s="5" t="s">
        <v>209</v>
      </c>
      <c r="D1295" s="5" t="s">
        <v>211</v>
      </c>
      <c r="E1295" s="4" t="str" cm="1">
        <f t="array" ref="E1295">_xlfn.IFS(
F1295 = "A partir de Abril", "Aguardando Execução na Distribuidora",
A1295 = "CAPACITAÇÃO", "Em execução no Corporativo",
TRUE, "Em Execução na Distribuidora"
)</f>
        <v>Em Execução na Distribuidora</v>
      </c>
      <c r="F1295" s="4" t="str" cm="1">
        <f t="array" ref="F1295">_xlfn.IFS(
AG1295 &lt;&gt; "", "Jan-Dez/26",
AH1295 &lt;&gt; "", "Fev-Dez/26",
AI1295 &lt;&gt; "", "Mar-Dez/26", AJ1295 &lt;&gt; "", "Abr-Dez/26",
TRUE, "A partir de Junho"
)</f>
        <v>Jan-Dez/26</v>
      </c>
      <c r="G1295" s="4" t="s">
        <v>37</v>
      </c>
      <c r="H1295" s="7" t="s">
        <v>38</v>
      </c>
      <c r="I1295" s="8" t="s">
        <v>143</v>
      </c>
      <c r="J1295" s="8" t="str" cm="1">
        <f t="array" aca="1" ref="J1295" ca="1">_xlfn.LET(
  _xlpm.actual_value_month, INDEX(T1295:AE1295, MATCH(DATE(YEAR(TODAY()), MONTH(TODAY()), 1), $T$1:$AE$1, 0)),
  IF(_xlpm.actual_value_month &lt;&gt; "",_xlpm.actual_value_month &amp; " equipes mensais", "")
)</f>
        <v>9 equipes mensais</v>
      </c>
      <c r="K1295" s="8" t="str" cm="1">
        <f t="array" ref="K1295">_xlfn.LET(
    _xlpm.sum_month, SUM(T1295:AE1295),
    IF(_xlpm.sum_month = 0, "", _xlpm.sum_month &amp; " equipes inspencionadas no ano")
)</f>
        <v>328 equipes inspencionadas no ano</v>
      </c>
      <c r="L1295" s="4" t="s">
        <v>144</v>
      </c>
      <c r="M1295" s="24" t="s">
        <v>145</v>
      </c>
      <c r="N1295" s="5" t="s">
        <v>42</v>
      </c>
      <c r="O1295" s="5" t="s">
        <v>43</v>
      </c>
      <c r="P1295" s="10" t="s">
        <v>146</v>
      </c>
      <c r="Q1295" s="10" t="s">
        <v>44</v>
      </c>
      <c r="R1295" s="11" t="s">
        <v>147</v>
      </c>
      <c r="S1295" s="11" t="s">
        <v>44</v>
      </c>
      <c r="T1295" s="22">
        <v>60</v>
      </c>
      <c r="U1295" s="22">
        <v>91</v>
      </c>
      <c r="V1295" s="22">
        <v>96</v>
      </c>
      <c r="W1295" s="143">
        <v>9</v>
      </c>
      <c r="X1295" s="143">
        <v>9</v>
      </c>
      <c r="Y1295" s="143">
        <v>9</v>
      </c>
      <c r="Z1295" s="143">
        <v>9</v>
      </c>
      <c r="AA1295" s="143">
        <v>9</v>
      </c>
      <c r="AB1295" s="143">
        <v>9</v>
      </c>
      <c r="AC1295" s="143">
        <v>9</v>
      </c>
      <c r="AD1295" s="143">
        <v>9</v>
      </c>
      <c r="AE1295" s="143">
        <v>9</v>
      </c>
      <c r="AG1295" s="82">
        <v>60</v>
      </c>
      <c r="AH1295" s="82">
        <v>91</v>
      </c>
      <c r="AI1295" s="82">
        <v>96</v>
      </c>
      <c r="AJ1295" s="82">
        <v>75</v>
      </c>
      <c r="AK1295" s="71">
        <v>27</v>
      </c>
      <c r="AL1295" s="71"/>
      <c r="AM1295" s="71"/>
      <c r="AN1295" s="71"/>
      <c r="AO1295" s="71"/>
      <c r="AP1295" s="71"/>
      <c r="AQ1295" s="71"/>
      <c r="AR1295" s="71"/>
      <c r="AS1295" s="94">
        <f t="shared" ca="1" si="1521"/>
        <v>265</v>
      </c>
      <c r="AT1295" s="95">
        <f t="shared" si="1522"/>
        <v>267.70000000000005</v>
      </c>
      <c r="AU1295" s="97">
        <f t="shared" si="1523"/>
        <v>349</v>
      </c>
      <c r="AW1295" s="51">
        <f t="shared" si="1524"/>
        <v>1</v>
      </c>
      <c r="AX1295" s="51">
        <f t="shared" si="1525"/>
        <v>1</v>
      </c>
      <c r="AY1295" s="51">
        <f t="shared" si="1526"/>
        <v>1</v>
      </c>
      <c r="AZ1295" s="51">
        <f t="shared" si="1527"/>
        <v>8.3333333333333339</v>
      </c>
      <c r="BA1295" s="51">
        <f t="shared" si="1520"/>
        <v>3</v>
      </c>
      <c r="BB1295" s="51"/>
      <c r="BC1295" s="51"/>
      <c r="BD1295" s="51"/>
      <c r="BE1295" s="51"/>
      <c r="BF1295" s="51"/>
      <c r="BG1295" s="51"/>
      <c r="BH1295" s="51"/>
      <c r="BI1295" s="65" cm="1">
        <f t="array" ref="BI1295">IFERROR(INDEX(AW1295:BH1295,1,MATCH(2,1/(AW1295:BH1295&lt;&gt;""))),"")</f>
        <v>3</v>
      </c>
      <c r="BJ1295" s="68" cm="1">
        <f t="array" ref="BJ1295">IF(BM1295 = "", "",IFERROR(INDEX(AW1295:BH1295,1,MATCH(2,1/(AW1295:BH1295&lt;&gt;""),1)-1),""))</f>
        <v>8.3333333333333339</v>
      </c>
      <c r="BK1295" s="58">
        <f>IF((IF(AW1295&gt;=150%,150%,AW1295) + IF(AX1295&gt;=115%,115%,AX1295) + IF(AY1295&gt;=115%,115%,AY1295) + (IF(AZ1295&gt;=115%,115%,AZ1295) + IF(BA1295&gt;=115%,115%,BA1295) + IF(BB1295&gt;=115%,115%,BB1295) + IF(BC1295&gt;=115%,115%,BC1295) + IF(BD1295&gt;=115%,115%,BD1295) + IF(BE1295&gt;=115%,115%,BE1295) + IF(BF1295&gt;=115%,115%,BF1295) + IF(BG1295&gt;=115%,115%,BG1295) + IF(BH1295&gt;=115%,115%,BH1295)))/_xlfn.XLOOKUP(F1295,Apuração!A:A,Apuração!B:B)&gt;=1.15,1.15,((IF(AZ1295&gt;=115%,115%,AZ1295) + IF(AX1295&gt;=115%,115%,AX1295) + IF(AY1295&gt;=115%,115%,AY1295) + (IF(AW1295&gt;=150%,150%,AW1295) + IF(BA1295&gt;=115%,115%,BA1295) + IF(BB1295&gt;=115%,115%,BB1295) + IF(BC1295&gt;=115%,115%,BC1295) + IF(BD1295&gt;=115%,115%,BD1295) + IF(BE1295&gt;=115%,115%,BE1295) + IF(BF1295&gt;=115%,115%,BF1295) + IF(BG1295&gt;=115%,115%,BG1295) + IF(BH1295&gt;=115%,115%,BH1295)))/_xlfn.XLOOKUP(F1295,Apuração!A:A,Apuração!B:B)))</f>
        <v>0.44166666666666665</v>
      </c>
      <c r="BL1295" s="58" cm="1">
        <f t="array" aca="1" ref="BL1295" ca="1">IF(SUM(IFERROR(IF(INDEX(AW1295:INDEX(AW1295:BH1295, MATCH(2, 1/(AW1295:BH1295&lt;&gt;""), 1)-1), ROW(INDIRECT("1:" &amp; MATCH(2, 1/(AW1295:BH1295&lt;&gt;""), 1)-1))) &gt;= 115%, 115%, INDEX(AW1295:INDEX(AW1295:BH1295, MATCH(2, 1/(AW1295:BH1295&lt;&gt;""), 1)-1), ROW(INDIRECT("1:" &amp; MATCH(2, 1/(AW1295:BH1295&lt;&gt;""), 1)-1)))), 0))/_xlfn.XLOOKUP(F1295,Apuração!A:A,Apuração!B:B)&gt;=1.15,1.15,SUM(IFERROR(IF(INDEX(AW1295:INDEX(AW1295:BH1295, MATCH(2, 1/(AW1295:BH1295&lt;&gt;""), 1)-1), ROW(INDIRECT("1:" &amp; MATCH(2, 1/(AW1295:BH1295&lt;&gt;""), 1)-1))) &gt;= 115%, 115%, INDEX(AW1295:INDEX(AW1295:BH1295, MATCH(2, 1/(AW1295:BH1295&lt;&gt;""), 1)-1), ROW(INDIRECT("1:" &amp; MATCH(2, 1/(AW1295:BH1295&lt;&gt;""), 1)-1)))), 0))/_xlfn.XLOOKUP(F1295,Apuração!A:A,Apuração!B:B))</f>
        <v>0.34583333333333338</v>
      </c>
      <c r="BM1295" s="55" cm="1">
        <f t="array" ref="BM1295">IFERROR(
   INDEX($AW$1:$BH$1,
      _xlfn.AGGREGATE(14, 6, COLUMN($AW$1:$BH$1)/(AW1295:BH1295&lt;&gt;""), 2) - COLUMN($AW$1) + 1
   ),
"")</f>
        <v>46113</v>
      </c>
      <c r="BN1295" s="55" cm="1">
        <f t="array" ref="BN1295">IFERROR(INDEX($AW$1:$BH$1,1,MATCH(2,1/(AW1295:BH1295&lt;&gt;""))),"")</f>
        <v>46143</v>
      </c>
      <c r="BO1295" s="53">
        <f ca="1">IFERROR(_xlfn.XLOOKUP(F1295,Apuração!A:A,Apuração!C:C)/_xlfn.XLOOKUP(F1295,Apuração!A:A,Apuração!B:B),0)</f>
        <v>0.41666666666666669</v>
      </c>
      <c r="BP1295" s="53">
        <f ca="1">IFERROR(_xlfn.XLOOKUP(F1295,Apuração!A:A,Apuração!D:D)/_xlfn.XLOOKUP(F1295,Apuração!A:A,Apuração!B:B),0)</f>
        <v>0.33333333333333331</v>
      </c>
      <c r="BQ1295" s="53">
        <f ca="1">IF(BK1295&gt;=BO1295,0,_xlfn.XLOOKUP(F1295,Apuração!A:A,Apuração!B:B)*(BO1295 + (1/_xlfn.XLOOKUP(F1295,Apuração!A:A,Apuração!B:B)) - BK1295))</f>
        <v>0</v>
      </c>
      <c r="BR1295" s="85">
        <f t="shared" ca="1" si="1528"/>
        <v>0</v>
      </c>
      <c r="BS1295" s="53">
        <f ca="1">IFERROR((_xlfn.XLOOKUP(F1295,Apuração!A:A,Apuração!C:C)+1)/_xlfn.XLOOKUP(F1295,Apuração!A:A,Apuração!B:B),0)</f>
        <v>0.5</v>
      </c>
    </row>
    <row r="1296" spans="1:71" ht="25.95" hidden="1" customHeight="1" x14ac:dyDescent="0.3">
      <c r="A1296" s="23" t="s">
        <v>134</v>
      </c>
      <c r="B1296" s="4" t="s">
        <v>142</v>
      </c>
      <c r="C1296" s="5" t="s">
        <v>209</v>
      </c>
      <c r="D1296" s="5" t="s">
        <v>212</v>
      </c>
      <c r="E1296" s="4" t="str" cm="1">
        <f t="array" ref="E1296">_xlfn.IFS(
F1296 = "A partir de Abril", "Aguardando Execução na Distribuidora",
A1296 = "CAPACITAÇÃO", "Em execução no Corporativo",
TRUE, "Em Execução na Distribuidora"
)</f>
        <v>Em Execução na Distribuidora</v>
      </c>
      <c r="F1296" s="4" t="str" cm="1">
        <f t="array" ref="F1296">_xlfn.IFS(
AG1296 &lt;&gt; "", "Jan-Dez/26",
AH1296 &lt;&gt; "", "Fev-Dez/26",
AI1296 &lt;&gt; "", "Mar-Dez/26", AJ1296 &lt;&gt; "", "Abr-Dez/26",
TRUE, "A partir de Junho"
)</f>
        <v>Jan-Dez/26</v>
      </c>
      <c r="G1296" s="4" t="s">
        <v>37</v>
      </c>
      <c r="H1296" s="7" t="s">
        <v>38</v>
      </c>
      <c r="I1296" s="8" t="s">
        <v>143</v>
      </c>
      <c r="J1296" s="8" t="str" cm="1">
        <f t="array" aca="1" ref="J1296" ca="1">_xlfn.LET(
  _xlpm.actual_value_month, INDEX(T1296:AE1296, MATCH(DATE(YEAR(TODAY()), MONTH(TODAY()), 1), $T$1:$AE$1, 0)),
  IF(_xlpm.actual_value_month &lt;&gt; "",_xlpm.actual_value_month &amp; " equipes mensais", "")
)</f>
        <v>6 equipes mensais</v>
      </c>
      <c r="K1296" s="8" t="str" cm="1">
        <f t="array" ref="K1296">_xlfn.LET(
    _xlpm.sum_month, SUM(T1296:AE1296),
    IF(_xlpm.sum_month = 0, "", _xlpm.sum_month &amp; " equipes inspencionadas no ano")
)</f>
        <v>351 equipes inspencionadas no ano</v>
      </c>
      <c r="L1296" s="4" t="s">
        <v>144</v>
      </c>
      <c r="M1296" s="24" t="s">
        <v>145</v>
      </c>
      <c r="N1296" s="5" t="s">
        <v>42</v>
      </c>
      <c r="O1296" s="5" t="s">
        <v>43</v>
      </c>
      <c r="P1296" s="10" t="s">
        <v>146</v>
      </c>
      <c r="Q1296" s="10" t="s">
        <v>44</v>
      </c>
      <c r="R1296" s="11" t="s">
        <v>147</v>
      </c>
      <c r="S1296" s="11" t="s">
        <v>44</v>
      </c>
      <c r="T1296" s="22">
        <v>71</v>
      </c>
      <c r="U1296" s="22">
        <v>141</v>
      </c>
      <c r="V1296" s="22">
        <v>85</v>
      </c>
      <c r="W1296" s="22">
        <v>6</v>
      </c>
      <c r="X1296" s="22">
        <v>6</v>
      </c>
      <c r="Y1296" s="22">
        <v>6</v>
      </c>
      <c r="Z1296" s="22">
        <v>6</v>
      </c>
      <c r="AA1296" s="22">
        <v>6</v>
      </c>
      <c r="AB1296" s="22">
        <v>6</v>
      </c>
      <c r="AC1296" s="22">
        <v>6</v>
      </c>
      <c r="AD1296" s="22">
        <v>6</v>
      </c>
      <c r="AE1296" s="22">
        <v>6</v>
      </c>
      <c r="AG1296" s="71">
        <v>71</v>
      </c>
      <c r="AH1296" s="71">
        <v>141</v>
      </c>
      <c r="AI1296" s="71">
        <v>85</v>
      </c>
      <c r="AJ1296" s="71">
        <v>44</v>
      </c>
      <c r="AK1296" s="71">
        <v>31</v>
      </c>
      <c r="AL1296" s="71"/>
      <c r="AM1296" s="71"/>
      <c r="AN1296" s="71"/>
      <c r="AO1296" s="71"/>
      <c r="AP1296" s="71"/>
      <c r="AQ1296" s="71"/>
      <c r="AR1296" s="71"/>
      <c r="AS1296" s="94">
        <f t="shared" ca="1" si="1521"/>
        <v>309</v>
      </c>
      <c r="AT1296" s="95">
        <f t="shared" si="1522"/>
        <v>310.79999999999995</v>
      </c>
      <c r="AU1296" s="97">
        <f t="shared" si="1523"/>
        <v>372</v>
      </c>
      <c r="AW1296" s="51">
        <f t="shared" si="1524"/>
        <v>1</v>
      </c>
      <c r="AX1296" s="51">
        <f t="shared" si="1525"/>
        <v>1</v>
      </c>
      <c r="AY1296" s="51">
        <f t="shared" si="1526"/>
        <v>1</v>
      </c>
      <c r="AZ1296" s="51">
        <f t="shared" si="1527"/>
        <v>7.333333333333333</v>
      </c>
      <c r="BA1296" s="51">
        <f t="shared" si="1520"/>
        <v>5.166666666666667</v>
      </c>
      <c r="BB1296" s="51"/>
      <c r="BC1296" s="51"/>
      <c r="BD1296" s="51"/>
      <c r="BE1296" s="51"/>
      <c r="BF1296" s="51"/>
      <c r="BG1296" s="51"/>
      <c r="BH1296" s="51"/>
      <c r="BI1296" s="65" cm="1">
        <f t="array" ref="BI1296">IFERROR(INDEX(AW1296:BH1296,1,MATCH(2,1/(AW1296:BH1296&lt;&gt;""))),"")</f>
        <v>5.166666666666667</v>
      </c>
      <c r="BJ1296" s="68" cm="1">
        <f t="array" ref="BJ1296">IF(BM1296 = "", "",IFERROR(INDEX(AW1296:BH1296,1,MATCH(2,1/(AW1296:BH1296&lt;&gt;""),1)-1),""))</f>
        <v>7.333333333333333</v>
      </c>
      <c r="BK1296" s="58">
        <f>IF((IF(AW1296&gt;=150%,150%,AW1296) + IF(AX1296&gt;=115%,115%,AX1296) + IF(AY1296&gt;=115%,115%,AY1296) + (IF(AZ1296&gt;=115%,115%,AZ1296) + IF(BA1296&gt;=115%,115%,BA1296) + IF(BB1296&gt;=115%,115%,BB1296) + IF(BC1296&gt;=115%,115%,BC1296) + IF(BD1296&gt;=115%,115%,BD1296) + IF(BE1296&gt;=115%,115%,BE1296) + IF(BF1296&gt;=115%,115%,BF1296) + IF(BG1296&gt;=115%,115%,BG1296) + IF(BH1296&gt;=115%,115%,BH1296)))/_xlfn.XLOOKUP(F1296,Apuração!A:A,Apuração!B:B)&gt;=1.15,1.15,((IF(AZ1296&gt;=115%,115%,AZ1296) + IF(AX1296&gt;=115%,115%,AX1296) + IF(AY1296&gt;=115%,115%,AY1296) + (IF(AW1296&gt;=150%,150%,AW1296) + IF(BA1296&gt;=115%,115%,BA1296) + IF(BB1296&gt;=115%,115%,BB1296) + IF(BC1296&gt;=115%,115%,BC1296) + IF(BD1296&gt;=115%,115%,BD1296) + IF(BE1296&gt;=115%,115%,BE1296) + IF(BF1296&gt;=115%,115%,BF1296) + IF(BG1296&gt;=115%,115%,BG1296) + IF(BH1296&gt;=115%,115%,BH1296)))/_xlfn.XLOOKUP(F1296,Apuração!A:A,Apuração!B:B)))</f>
        <v>0.44166666666666665</v>
      </c>
      <c r="BL1296" s="58" cm="1">
        <f t="array" aca="1" ref="BL1296" ca="1">IF(SUM(IFERROR(IF(INDEX(AW1296:INDEX(AW1296:BH1296, MATCH(2, 1/(AW1296:BH1296&lt;&gt;""), 1)-1), ROW(INDIRECT("1:" &amp; MATCH(2, 1/(AW1296:BH1296&lt;&gt;""), 1)-1))) &gt;= 115%, 115%, INDEX(AW1296:INDEX(AW1296:BH1296, MATCH(2, 1/(AW1296:BH1296&lt;&gt;""), 1)-1), ROW(INDIRECT("1:" &amp; MATCH(2, 1/(AW1296:BH1296&lt;&gt;""), 1)-1)))), 0))/_xlfn.XLOOKUP(F1296,Apuração!A:A,Apuração!B:B)&gt;=1.15,1.15,SUM(IFERROR(IF(INDEX(AW1296:INDEX(AW1296:BH1296, MATCH(2, 1/(AW1296:BH1296&lt;&gt;""), 1)-1), ROW(INDIRECT("1:" &amp; MATCH(2, 1/(AW1296:BH1296&lt;&gt;""), 1)-1))) &gt;= 115%, 115%, INDEX(AW1296:INDEX(AW1296:BH1296, MATCH(2, 1/(AW1296:BH1296&lt;&gt;""), 1)-1), ROW(INDIRECT("1:" &amp; MATCH(2, 1/(AW1296:BH1296&lt;&gt;""), 1)-1)))), 0))/_xlfn.XLOOKUP(F1296,Apuração!A:A,Apuração!B:B))</f>
        <v>0.34583333333333338</v>
      </c>
      <c r="BM1296" s="55" cm="1">
        <f t="array" ref="BM1296">IFERROR(
   INDEX($AW$1:$BH$1,
      _xlfn.AGGREGATE(14, 6, COLUMN($AW$1:$BH$1)/(AW1296:BH1296&lt;&gt;""), 2) - COLUMN($AW$1) + 1
   ),
"")</f>
        <v>46113</v>
      </c>
      <c r="BN1296" s="55" cm="1">
        <f t="array" ref="BN1296">IFERROR(INDEX($AW$1:$BH$1,1,MATCH(2,1/(AW1296:BH1296&lt;&gt;""))),"")</f>
        <v>46143</v>
      </c>
      <c r="BO1296" s="53">
        <f ca="1">IFERROR(_xlfn.XLOOKUP(F1296,Apuração!A:A,Apuração!C:C)/_xlfn.XLOOKUP(F1296,Apuração!A:A,Apuração!B:B),0)</f>
        <v>0.41666666666666669</v>
      </c>
      <c r="BP1296" s="53">
        <f ca="1">IFERROR(_xlfn.XLOOKUP(F1296,Apuração!A:A,Apuração!D:D)/_xlfn.XLOOKUP(F1296,Apuração!A:A,Apuração!B:B),0)</f>
        <v>0.33333333333333331</v>
      </c>
      <c r="BQ1296" s="53">
        <f ca="1">IF(BK1296&gt;=BO1296,0,_xlfn.XLOOKUP(F1296,Apuração!A:A,Apuração!B:B)*(BO1296 + (1/_xlfn.XLOOKUP(F1296,Apuração!A:A,Apuração!B:B)) - BK1296))</f>
        <v>0</v>
      </c>
      <c r="BR1296" s="85">
        <f t="shared" ca="1" si="1528"/>
        <v>0</v>
      </c>
      <c r="BS1296" s="53">
        <f ca="1">IFERROR((_xlfn.XLOOKUP(F1296,Apuração!A:A,Apuração!C:C)+1)/_xlfn.XLOOKUP(F1296,Apuração!A:A,Apuração!B:B),0)</f>
        <v>0.5</v>
      </c>
    </row>
    <row r="1297" spans="1:71" ht="25.95" hidden="1" customHeight="1" x14ac:dyDescent="0.3">
      <c r="A1297" s="23" t="s">
        <v>134</v>
      </c>
      <c r="B1297" s="4" t="s">
        <v>142</v>
      </c>
      <c r="C1297" s="5" t="s">
        <v>209</v>
      </c>
      <c r="D1297" s="5" t="s">
        <v>213</v>
      </c>
      <c r="E1297" s="4" t="str" cm="1">
        <f t="array" ref="E1297">_xlfn.IFS(
F1297 = "A partir de Abril", "Aguardando Execução na Distribuidora",
A1297 = "CAPACITAÇÃO", "Em execução no Corporativo",
TRUE, "Em Execução na Distribuidora"
)</f>
        <v>Em Execução na Distribuidora</v>
      </c>
      <c r="F1297" s="4" t="str" cm="1">
        <f t="array" ref="F1297">_xlfn.IFS(
AG1297 &lt;&gt; "", "Jan-Dez/26",
AH1297 &lt;&gt; "", "Fev-Dez/26",
AI1297 &lt;&gt; "", "Mar-Dez/26", AJ1297 &lt;&gt; "", "Abr-Dez/26",
TRUE, "A partir de Junho"
)</f>
        <v>Jan-Dez/26</v>
      </c>
      <c r="G1297" s="4" t="s">
        <v>37</v>
      </c>
      <c r="H1297" s="7" t="s">
        <v>38</v>
      </c>
      <c r="I1297" s="8" t="s">
        <v>143</v>
      </c>
      <c r="J1297" s="8" t="str" cm="1">
        <f t="array" aca="1" ref="J1297" ca="1">_xlfn.LET(
  _xlpm.actual_value_month, INDEX(T1297:AE1297, MATCH(DATE(YEAR(TODAY()), MONTH(TODAY()), 1), $T$1:$AE$1, 0)),
  IF(_xlpm.actual_value_month &lt;&gt; "",_xlpm.actual_value_month &amp; " equipes mensais", "")
)</f>
        <v>30 equipes mensais</v>
      </c>
      <c r="K1297" s="8" t="str" cm="1">
        <f t="array" ref="K1297">_xlfn.LET(
    _xlpm.sum_month, SUM(T1297:AE1297),
    IF(_xlpm.sum_month = 0, "", _xlpm.sum_month &amp; " equipes inspencionadas no ano")
)</f>
        <v>401 equipes inspencionadas no ano</v>
      </c>
      <c r="L1297" s="4" t="s">
        <v>144</v>
      </c>
      <c r="M1297" s="24" t="s">
        <v>145</v>
      </c>
      <c r="N1297" s="5" t="s">
        <v>42</v>
      </c>
      <c r="O1297" s="5" t="s">
        <v>43</v>
      </c>
      <c r="P1297" s="10" t="s">
        <v>146</v>
      </c>
      <c r="Q1297" s="10" t="s">
        <v>44</v>
      </c>
      <c r="R1297" s="11" t="s">
        <v>147</v>
      </c>
      <c r="S1297" s="11" t="s">
        <v>44</v>
      </c>
      <c r="T1297" s="22">
        <v>44</v>
      </c>
      <c r="U1297" s="22">
        <v>35</v>
      </c>
      <c r="V1297" s="22">
        <v>52</v>
      </c>
      <c r="W1297" s="22">
        <v>30</v>
      </c>
      <c r="X1297" s="22">
        <v>30</v>
      </c>
      <c r="Y1297" s="22">
        <v>30</v>
      </c>
      <c r="Z1297" s="22">
        <v>30</v>
      </c>
      <c r="AA1297" s="22">
        <v>30</v>
      </c>
      <c r="AB1297" s="22">
        <v>30</v>
      </c>
      <c r="AC1297" s="22">
        <v>30</v>
      </c>
      <c r="AD1297" s="22">
        <v>30</v>
      </c>
      <c r="AE1297" s="22">
        <v>30</v>
      </c>
      <c r="AG1297" s="71">
        <v>44</v>
      </c>
      <c r="AH1297" s="71">
        <v>35</v>
      </c>
      <c r="AI1297" s="71">
        <v>52</v>
      </c>
      <c r="AJ1297" s="71">
        <v>62</v>
      </c>
      <c r="AK1297" s="71">
        <v>40</v>
      </c>
      <c r="AL1297" s="71"/>
      <c r="AM1297" s="71"/>
      <c r="AN1297" s="71"/>
      <c r="AO1297" s="71"/>
      <c r="AP1297" s="71"/>
      <c r="AQ1297" s="71"/>
      <c r="AR1297" s="71"/>
      <c r="AS1297" s="94">
        <f t="shared" ca="1" si="1521"/>
        <v>191</v>
      </c>
      <c r="AT1297" s="95">
        <f t="shared" si="1522"/>
        <v>200</v>
      </c>
      <c r="AU1297" s="97">
        <f t="shared" si="1523"/>
        <v>233</v>
      </c>
      <c r="AW1297" s="51">
        <f t="shared" si="1524"/>
        <v>1</v>
      </c>
      <c r="AX1297" s="51">
        <f t="shared" si="1525"/>
        <v>1</v>
      </c>
      <c r="AY1297" s="51">
        <f t="shared" si="1526"/>
        <v>1</v>
      </c>
      <c r="AZ1297" s="51">
        <f t="shared" si="1527"/>
        <v>2.0666666666666669</v>
      </c>
      <c r="BA1297" s="51">
        <f t="shared" si="1520"/>
        <v>1.3333333333333333</v>
      </c>
      <c r="BB1297" s="51"/>
      <c r="BC1297" s="51"/>
      <c r="BD1297" s="51"/>
      <c r="BE1297" s="51"/>
      <c r="BF1297" s="51"/>
      <c r="BG1297" s="51"/>
      <c r="BH1297" s="51"/>
      <c r="BI1297" s="65" cm="1">
        <f t="array" ref="BI1297">IFERROR(INDEX(AW1297:BH1297,1,MATCH(2,1/(AW1297:BH1297&lt;&gt;""))),"")</f>
        <v>1.3333333333333333</v>
      </c>
      <c r="BJ1297" s="68" cm="1">
        <f t="array" ref="BJ1297">IF(BM1297 = "", "",IFERROR(INDEX(AW1297:BH1297,1,MATCH(2,1/(AW1297:BH1297&lt;&gt;""),1)-1),""))</f>
        <v>2.0666666666666669</v>
      </c>
      <c r="BK1297" s="58">
        <f>IF((IF(AW1297&gt;=150%,150%,AW1297) + IF(AX1297&gt;=115%,115%,AX1297) + IF(AY1297&gt;=115%,115%,AY1297) + (IF(AZ1297&gt;=115%,115%,AZ1297) + IF(BA1297&gt;=115%,115%,BA1297) + IF(BB1297&gt;=115%,115%,BB1297) + IF(BC1297&gt;=115%,115%,BC1297) + IF(BD1297&gt;=115%,115%,BD1297) + IF(BE1297&gt;=115%,115%,BE1297) + IF(BF1297&gt;=115%,115%,BF1297) + IF(BG1297&gt;=115%,115%,BG1297) + IF(BH1297&gt;=115%,115%,BH1297)))/_xlfn.XLOOKUP(F1297,Apuração!A:A,Apuração!B:B)&gt;=1.15,1.15,((IF(AZ1297&gt;=115%,115%,AZ1297) + IF(AX1297&gt;=115%,115%,AX1297) + IF(AY1297&gt;=115%,115%,AY1297) + (IF(AW1297&gt;=150%,150%,AW1297) + IF(BA1297&gt;=115%,115%,BA1297) + IF(BB1297&gt;=115%,115%,BB1297) + IF(BC1297&gt;=115%,115%,BC1297) + IF(BD1297&gt;=115%,115%,BD1297) + IF(BE1297&gt;=115%,115%,BE1297) + IF(BF1297&gt;=115%,115%,BF1297) + IF(BG1297&gt;=115%,115%,BG1297) + IF(BH1297&gt;=115%,115%,BH1297)))/_xlfn.XLOOKUP(F1297,Apuração!A:A,Apuração!B:B)))</f>
        <v>0.44166666666666665</v>
      </c>
      <c r="BL1297" s="58" cm="1">
        <f t="array" aca="1" ref="BL1297" ca="1">IF(SUM(IFERROR(IF(INDEX(AW1297:INDEX(AW1297:BH1297, MATCH(2, 1/(AW1297:BH1297&lt;&gt;""), 1)-1), ROW(INDIRECT("1:" &amp; MATCH(2, 1/(AW1297:BH1297&lt;&gt;""), 1)-1))) &gt;= 115%, 115%, INDEX(AW1297:INDEX(AW1297:BH1297, MATCH(2, 1/(AW1297:BH1297&lt;&gt;""), 1)-1), ROW(INDIRECT("1:" &amp; MATCH(2, 1/(AW1297:BH1297&lt;&gt;""), 1)-1)))), 0))/_xlfn.XLOOKUP(F1297,Apuração!A:A,Apuração!B:B)&gt;=1.15,1.15,SUM(IFERROR(IF(INDEX(AW1297:INDEX(AW1297:BH1297, MATCH(2, 1/(AW1297:BH1297&lt;&gt;""), 1)-1), ROW(INDIRECT("1:" &amp; MATCH(2, 1/(AW1297:BH1297&lt;&gt;""), 1)-1))) &gt;= 115%, 115%, INDEX(AW1297:INDEX(AW1297:BH1297, MATCH(2, 1/(AW1297:BH1297&lt;&gt;""), 1)-1), ROW(INDIRECT("1:" &amp; MATCH(2, 1/(AW1297:BH1297&lt;&gt;""), 1)-1)))), 0))/_xlfn.XLOOKUP(F1297,Apuração!A:A,Apuração!B:B))</f>
        <v>0.34583333333333338</v>
      </c>
      <c r="BM1297" s="55" cm="1">
        <f t="array" ref="BM1297">IFERROR(
   INDEX($AW$1:$BH$1,
      _xlfn.AGGREGATE(14, 6, COLUMN($AW$1:$BH$1)/(AW1297:BH1297&lt;&gt;""), 2) - COLUMN($AW$1) + 1
   ),
"")</f>
        <v>46113</v>
      </c>
      <c r="BN1297" s="55" cm="1">
        <f t="array" ref="BN1297">IFERROR(INDEX($AW$1:$BH$1,1,MATCH(2,1/(AW1297:BH1297&lt;&gt;""))),"")</f>
        <v>46143</v>
      </c>
      <c r="BO1297" s="53">
        <f ca="1">IFERROR(_xlfn.XLOOKUP(F1297,Apuração!A:A,Apuração!C:C)/_xlfn.XLOOKUP(F1297,Apuração!A:A,Apuração!B:B),0)</f>
        <v>0.41666666666666669</v>
      </c>
      <c r="BP1297" s="53">
        <f ca="1">IFERROR(_xlfn.XLOOKUP(F1297,Apuração!A:A,Apuração!D:D)/_xlfn.XLOOKUP(F1297,Apuração!A:A,Apuração!B:B),0)</f>
        <v>0.33333333333333331</v>
      </c>
      <c r="BQ1297" s="53">
        <f ca="1">IF(BK1297&gt;=BO1297,0,_xlfn.XLOOKUP(F1297,Apuração!A:A,Apuração!B:B)*(BO1297 + (1/_xlfn.XLOOKUP(F1297,Apuração!A:A,Apuração!B:B)) - BK1297))</f>
        <v>0</v>
      </c>
      <c r="BR1297" s="85">
        <f t="shared" ca="1" si="1528"/>
        <v>0</v>
      </c>
      <c r="BS1297" s="53">
        <f ca="1">IFERROR((_xlfn.XLOOKUP(F1297,Apuração!A:A,Apuração!C:C)+1)/_xlfn.XLOOKUP(F1297,Apuração!A:A,Apuração!B:B),0)</f>
        <v>0.5</v>
      </c>
    </row>
    <row r="1298" spans="1:71" ht="25.95" hidden="1" customHeight="1" x14ac:dyDescent="0.3">
      <c r="A1298" s="42" t="s">
        <v>134</v>
      </c>
      <c r="B1298" s="4" t="s">
        <v>142</v>
      </c>
      <c r="C1298" s="5" t="s">
        <v>209</v>
      </c>
      <c r="D1298" s="5" t="s">
        <v>36</v>
      </c>
      <c r="E1298" s="4" t="str" cm="1">
        <f t="array" ref="E1298">_xlfn.IFS(
F1298 = "A partir de Abril", "Aguardando Execução na Distribuidora",
A1298 = "CAPACITAÇÃO", "Em execução no Corporativo",
TRUE, "Em Execução na Distribuidora"
)</f>
        <v>Em Execução na Distribuidora</v>
      </c>
      <c r="F1298" s="4" t="str" cm="1">
        <f t="array" ref="F1298">_xlfn.IFS(
AG1298 &lt;&gt; "", "Jan-Dez/26",
AH1298 &lt;&gt; "", "Fev-Dez/26",
AI1298 &lt;&gt; "", "Mar-Dez/26", AJ1298 &lt;&gt; "", "Abr-Dez/26",
TRUE, "A partir de Junho"
)</f>
        <v>Jan-Dez/26</v>
      </c>
      <c r="G1298" s="4" t="s">
        <v>37</v>
      </c>
      <c r="H1298" s="7" t="s">
        <v>38</v>
      </c>
      <c r="I1298" s="8" t="s">
        <v>148</v>
      </c>
      <c r="J1298" s="8" t="str" cm="1">
        <f t="array" aca="1" ref="J1298" ca="1">_xlfn.LET(
  _xlpm.actual_value_month, INDEX(T1298:AE1298, MATCH(DATE(YEAR(TODAY()), MONTH(TODAY()), 1), $T$1:$AE$1, 0)),
  IF(_xlpm.actual_value_month &lt;&gt; "",_xlpm.actual_value_month &amp; " ações mensais", "")
)</f>
        <v/>
      </c>
      <c r="K1298" s="8" t="str" cm="1">
        <f t="array" ref="K1298">_xlfn.LET(
    _xlpm.sum_month, SUM(T1298:AE1298),
    IF(_xlpm.sum_month = 0, "", _xlpm.sum_month &amp; " NC's no ano")
)</f>
        <v/>
      </c>
      <c r="L1298" s="9" t="s">
        <v>149</v>
      </c>
      <c r="M1298" s="24">
        <v>1</v>
      </c>
      <c r="N1298" s="5" t="s">
        <v>51</v>
      </c>
      <c r="O1298" s="5" t="s">
        <v>52</v>
      </c>
      <c r="P1298" s="10" t="s">
        <v>44</v>
      </c>
      <c r="Q1298" s="10" t="s">
        <v>44</v>
      </c>
      <c r="R1298" s="11" t="s">
        <v>44</v>
      </c>
      <c r="S1298" s="11" t="s">
        <v>44</v>
      </c>
      <c r="T1298" s="22"/>
      <c r="U1298" s="22"/>
      <c r="V1298" s="22"/>
      <c r="W1298" s="22"/>
      <c r="X1298" s="22"/>
      <c r="Y1298" s="22"/>
      <c r="Z1298" s="22"/>
      <c r="AA1298" s="22"/>
      <c r="AB1298" s="22"/>
      <c r="AC1298" s="22"/>
      <c r="AD1298" s="22"/>
      <c r="AE1298" s="22"/>
      <c r="AG1298" s="71">
        <v>51</v>
      </c>
      <c r="AH1298" s="71">
        <v>130</v>
      </c>
      <c r="AI1298" s="71">
        <v>94</v>
      </c>
      <c r="AJ1298" s="71">
        <v>88</v>
      </c>
      <c r="AK1298" s="71">
        <v>43</v>
      </c>
      <c r="AL1298" s="71"/>
      <c r="AM1298" s="71"/>
      <c r="AN1298" s="71"/>
      <c r="AO1298" s="71"/>
      <c r="AP1298" s="71"/>
      <c r="AQ1298" s="71"/>
      <c r="AR1298" s="71"/>
      <c r="AS1298" s="94">
        <f ca="1">IF(MONTH(TODAY())=3,SUM(T1298:U1298),IF(MONTH(TODAY())=4,SUM(T1298:V1298),IF(MONTH(TODAY())=5,SUM(T1298:W1298),IF(MONTH(TODAY())=6,SUM(T1298:X1298),IF(MONTH(TODAY())=7,SUM(T1298:Y1298),IF(MONTH(TODAY())=8,SUM(T1298:Z1298),IF(MONTH(TODAY())=9,SUM(T1298:AA1298),IF(MONTH(TODAY())=10,SUM(T1298:AB1298),IF(MONTH(TODAY())=11,SUM(T1298:AC1298),IF(MONTH(TODAY())=12,SUM(T1298:AD1298),IF(MONTH(TODAY())=1,SUM(T1298:AE1298),T1298)))))))))))</f>
        <v>0</v>
      </c>
      <c r="AT1298" s="95">
        <f>SUM(AG1298:AR1298)</f>
        <v>406</v>
      </c>
      <c r="AU1298" s="97">
        <f>SUM(AG1298:AR1298)</f>
        <v>406</v>
      </c>
      <c r="AW1298" s="83">
        <f>AG1298</f>
        <v>51</v>
      </c>
      <c r="AX1298" s="83">
        <f>AH1298</f>
        <v>130</v>
      </c>
      <c r="AY1298" s="83">
        <f>AI1298</f>
        <v>94</v>
      </c>
      <c r="AZ1298" s="83">
        <f>AJ1298</f>
        <v>88</v>
      </c>
      <c r="BA1298" s="83">
        <f t="shared" ref="BA1298:BA1303" si="1529">AK1298</f>
        <v>43</v>
      </c>
      <c r="BB1298" s="52"/>
      <c r="BC1298" s="52"/>
      <c r="BD1298" s="52"/>
      <c r="BE1298" s="52"/>
      <c r="BF1298" s="52"/>
      <c r="BG1298" s="52"/>
      <c r="BH1298" s="52"/>
      <c r="BI1298" s="68" cm="1">
        <f t="array" ref="BI1298">IFERROR(INDEX(AW1298:BH1298,1,MATCH(2,1/(AW1298:BH1298&lt;&gt;""))),"")</f>
        <v>43</v>
      </c>
      <c r="BJ1298" s="68" cm="1">
        <f t="array" ref="BJ1298">IF(BM1298 = "", "",IFERROR(INDEX(AW1298:BH1298,1,MATCH(2,1/(AW1298:BH1298&lt;&gt;""),1)-1),""))</f>
        <v>88</v>
      </c>
      <c r="BK1298" s="59">
        <f>SUM(AW1298:BH1298)</f>
        <v>406</v>
      </c>
      <c r="BL1298" s="59" cm="1">
        <f t="array" ref="BL1298">IFERROR(SUM(AW1298:INDEX(AW1298:BH1298, MATCH(2, 1/(AW1298:BH1298&lt;&gt;""), 1) - 1))/_xlfn.XLOOKUP(F1298,Apuração!A:A,Apuração!B:B),0)</f>
        <v>30.25</v>
      </c>
      <c r="BM1298" s="55" cm="1">
        <f t="array" ref="BM1298">IFERROR(
   INDEX($AW$1:$BH$1,
      _xlfn.AGGREGATE(14, 6, COLUMN($AW$1:$BH$1)/(AW1298:BH1298&lt;&gt;""), 2) - COLUMN($AW$1) + 1
   ),
"")</f>
        <v>46113</v>
      </c>
      <c r="BN1298" s="55" cm="1">
        <f t="array" ref="BN1298">IFERROR(INDEX($AW$1:$BH$1,1,MATCH(2,1/(AW1298:BH1298&lt;&gt;""))),"")</f>
        <v>46143</v>
      </c>
      <c r="BO1298" s="53">
        <f ca="1">IFERROR(_xlfn.XLOOKUP(F1298,Apuração!A:A,Apuração!C:C)/_xlfn.XLOOKUP(F1298,Apuração!A:A,Apuração!B:B),0)</f>
        <v>0.41666666666666669</v>
      </c>
      <c r="BP1298" s="53">
        <f ca="1">IFERROR(_xlfn.XLOOKUP(F1298,Apuração!A:A,Apuração!D:D)/_xlfn.XLOOKUP(F1298,Apuração!A:A,Apuração!B:B),0)</f>
        <v>0.33333333333333331</v>
      </c>
      <c r="BQ1298" s="53">
        <f ca="1">IF(BK1298&gt;=BO1298,0,_xlfn.XLOOKUP(F1298,Apuração!A:A,Apuração!B:B)*(BO1298 + (1/_xlfn.XLOOKUP(F1298,Apuração!A:A,Apuração!B:B)) - BK1298))</f>
        <v>0</v>
      </c>
      <c r="BR1298" s="85">
        <f ca="1">IF(BQ1298=0,0,BQ1298*Z1298)</f>
        <v>0</v>
      </c>
      <c r="BS1298" s="53">
        <f ca="1">IFERROR((_xlfn.XLOOKUP(F1298,Apuração!A:A,Apuração!C:C)+1)/_xlfn.XLOOKUP(F1298,Apuração!A:A,Apuração!B:B),0)</f>
        <v>0.5</v>
      </c>
    </row>
    <row r="1299" spans="1:71" ht="25.95" hidden="1" customHeight="1" x14ac:dyDescent="0.3">
      <c r="A1299" s="42" t="s">
        <v>134</v>
      </c>
      <c r="B1299" s="4" t="s">
        <v>142</v>
      </c>
      <c r="C1299" s="5" t="s">
        <v>209</v>
      </c>
      <c r="D1299" s="5" t="s">
        <v>210</v>
      </c>
      <c r="E1299" s="4" t="str" cm="1">
        <f t="array" ref="E1299">_xlfn.IFS(
F1299 = "A partir de Abril", "Aguardando Execução na Distribuidora",
A1299 = "CAPACITAÇÃO", "Em execução no Corporativo",
TRUE, "Em Execução na Distribuidora"
)</f>
        <v>Em Execução na Distribuidora</v>
      </c>
      <c r="F1299" s="4" t="str" cm="1">
        <f t="array" ref="F1299">_xlfn.IFS(
AG1299 &lt;&gt; "", "Jan-Dez/26",
AH1299 &lt;&gt; "", "Fev-Dez/26",
AI1299 &lt;&gt; "", "Mar-Dez/26", AJ1299 &lt;&gt; "", "Abr-Dez/26",
TRUE, "A partir de Junho"
)</f>
        <v>Jan-Dez/26</v>
      </c>
      <c r="G1299" s="4" t="s">
        <v>37</v>
      </c>
      <c r="H1299" s="7" t="s">
        <v>38</v>
      </c>
      <c r="I1299" s="8" t="s">
        <v>148</v>
      </c>
      <c r="J1299" s="8" t="str" cm="1">
        <f t="array" aca="1" ref="J1299" ca="1">_xlfn.LET(
  _xlpm.actual_value_month, INDEX(T1299:AE1299, MATCH(DATE(YEAR(TODAY()), MONTH(TODAY()), 1), $T$1:$AE$1, 0)),
  IF(_xlpm.actual_value_month &lt;&gt; "",_xlpm.actual_value_month &amp; " ações mensais", "")
)</f>
        <v/>
      </c>
      <c r="K1299" s="8" t="str" cm="1">
        <f t="array" ref="K1299">_xlfn.LET(
    _xlpm.sum_month, SUM(T1299:AE1299),
    IF(_xlpm.sum_month = 0, "", _xlpm.sum_month &amp; " NC's no ano")
)</f>
        <v/>
      </c>
      <c r="L1299" s="9" t="s">
        <v>149</v>
      </c>
      <c r="M1299" s="24">
        <v>1</v>
      </c>
      <c r="N1299" s="5" t="s">
        <v>51</v>
      </c>
      <c r="O1299" s="5" t="s">
        <v>52</v>
      </c>
      <c r="P1299" s="10" t="s">
        <v>44</v>
      </c>
      <c r="Q1299" s="10" t="s">
        <v>44</v>
      </c>
      <c r="R1299" s="11" t="s">
        <v>44</v>
      </c>
      <c r="S1299" s="11" t="s">
        <v>44</v>
      </c>
      <c r="T1299" s="22"/>
      <c r="U1299" s="22"/>
      <c r="V1299" s="22"/>
      <c r="W1299" s="22"/>
      <c r="X1299" s="22"/>
      <c r="Y1299" s="22"/>
      <c r="Z1299" s="22"/>
      <c r="AA1299" s="22"/>
      <c r="AB1299" s="22"/>
      <c r="AC1299" s="22"/>
      <c r="AD1299" s="22"/>
      <c r="AE1299" s="22"/>
      <c r="AG1299" s="71">
        <v>1</v>
      </c>
      <c r="AH1299" s="71">
        <v>11</v>
      </c>
      <c r="AI1299" s="71">
        <v>16</v>
      </c>
      <c r="AJ1299" s="71">
        <v>25</v>
      </c>
      <c r="AK1299" s="71">
        <v>11</v>
      </c>
      <c r="AL1299" s="71"/>
      <c r="AM1299" s="71"/>
      <c r="AN1299" s="71"/>
      <c r="AO1299" s="71"/>
      <c r="AP1299" s="71"/>
      <c r="AQ1299" s="71"/>
      <c r="AR1299" s="71"/>
      <c r="AS1299" s="94">
        <f t="shared" ref="AS1299:AS1303" ca="1" si="1530">IF(MONTH(TODAY())=3,SUM(T1299:U1299),IF(MONTH(TODAY())=4,SUM(T1299:V1299),IF(MONTH(TODAY())=5,SUM(T1299:W1299),IF(MONTH(TODAY())=6,SUM(T1299:X1299),IF(MONTH(TODAY())=7,SUM(T1299:Y1299),IF(MONTH(TODAY())=8,SUM(T1299:Z1299),IF(MONTH(TODAY())=9,SUM(T1299:AA1299),IF(MONTH(TODAY())=10,SUM(T1299:AB1299),IF(MONTH(TODAY())=11,SUM(T1299:AC1299),IF(MONTH(TODAY())=12,SUM(T1299:AD1299),IF(MONTH(TODAY())=1,SUM(T1299:AE1299),T1299)))))))))))</f>
        <v>0</v>
      </c>
      <c r="AT1299" s="95">
        <f t="shared" ref="AT1299:AT1303" si="1531">SUM(AG1299:AR1299)</f>
        <v>64</v>
      </c>
      <c r="AU1299" s="97">
        <f t="shared" ref="AU1299:AU1303" si="1532">SUM(AG1299:AR1299)</f>
        <v>64</v>
      </c>
      <c r="AW1299" s="83">
        <f t="shared" ref="AW1299:AW1303" si="1533">AG1299</f>
        <v>1</v>
      </c>
      <c r="AX1299" s="83">
        <f t="shared" ref="AX1299:AX1303" si="1534">AH1299</f>
        <v>11</v>
      </c>
      <c r="AY1299" s="83">
        <f t="shared" ref="AY1299:AY1303" si="1535">AI1299</f>
        <v>16</v>
      </c>
      <c r="AZ1299" s="83">
        <f t="shared" ref="AZ1299:AZ1303" si="1536">AJ1299</f>
        <v>25</v>
      </c>
      <c r="BA1299" s="83">
        <f t="shared" si="1529"/>
        <v>11</v>
      </c>
      <c r="BB1299" s="52"/>
      <c r="BC1299" s="52"/>
      <c r="BD1299" s="52"/>
      <c r="BE1299" s="52"/>
      <c r="BF1299" s="52"/>
      <c r="BG1299" s="52"/>
      <c r="BH1299" s="52"/>
      <c r="BI1299" s="68" cm="1">
        <f t="array" ref="BI1299">IFERROR(INDEX(AW1299:BH1299,1,MATCH(2,1/(AW1299:BH1299&lt;&gt;""))),"")</f>
        <v>11</v>
      </c>
      <c r="BJ1299" s="68" cm="1">
        <f t="array" ref="BJ1299">IF(BM1299 = "", "",IFERROR(INDEX(AW1299:BH1299,1,MATCH(2,1/(AW1299:BH1299&lt;&gt;""),1)-1),""))</f>
        <v>25</v>
      </c>
      <c r="BK1299" s="59">
        <f t="shared" ref="BK1299:BK1303" si="1537">SUM(AW1299:BH1299)</f>
        <v>64</v>
      </c>
      <c r="BL1299" s="59" cm="1">
        <f t="array" ref="BL1299">IFERROR(SUM(AW1299:INDEX(AW1299:BH1299, MATCH(2, 1/(AW1299:BH1299&lt;&gt;""), 1) - 1))/_xlfn.XLOOKUP(F1299,Apuração!A:A,Apuração!B:B),0)</f>
        <v>4.416666666666667</v>
      </c>
      <c r="BM1299" s="55" cm="1">
        <f t="array" ref="BM1299">IFERROR(
   INDEX($AW$1:$BH$1,
      _xlfn.AGGREGATE(14, 6, COLUMN($AW$1:$BH$1)/(AW1299:BH1299&lt;&gt;""), 2) - COLUMN($AW$1) + 1
   ),
"")</f>
        <v>46113</v>
      </c>
      <c r="BN1299" s="55" cm="1">
        <f t="array" ref="BN1299">IFERROR(INDEX($AW$1:$BH$1,1,MATCH(2,1/(AW1299:BH1299&lt;&gt;""))),"")</f>
        <v>46143</v>
      </c>
      <c r="BO1299" s="53">
        <f ca="1">IFERROR(_xlfn.XLOOKUP(F1299,Apuração!A:A,Apuração!C:C)/_xlfn.XLOOKUP(F1299,Apuração!A:A,Apuração!B:B),0)</f>
        <v>0.41666666666666669</v>
      </c>
      <c r="BP1299" s="53">
        <f ca="1">IFERROR(_xlfn.XLOOKUP(F1299,Apuração!A:A,Apuração!D:D)/_xlfn.XLOOKUP(F1299,Apuração!A:A,Apuração!B:B),0)</f>
        <v>0.33333333333333331</v>
      </c>
      <c r="BQ1299" s="53">
        <f ca="1">IF(BK1299&gt;=BO1299,0,_xlfn.XLOOKUP(F1299,Apuração!A:A,Apuração!B:B)*(BO1299 + (1/_xlfn.XLOOKUP(F1299,Apuração!A:A,Apuração!B:B)) - BK1299))</f>
        <v>0</v>
      </c>
      <c r="BR1299" s="85">
        <f t="shared" ref="BR1299:BR1303" ca="1" si="1538">IF(BQ1299=0,0,BQ1299*Z1299)</f>
        <v>0</v>
      </c>
      <c r="BS1299" s="53">
        <f ca="1">IFERROR((_xlfn.XLOOKUP(F1299,Apuração!A:A,Apuração!C:C)+1)/_xlfn.XLOOKUP(F1299,Apuração!A:A,Apuração!B:B),0)</f>
        <v>0.5</v>
      </c>
    </row>
    <row r="1300" spans="1:71" ht="25.95" hidden="1" customHeight="1" x14ac:dyDescent="0.3">
      <c r="A1300" s="42" t="s">
        <v>134</v>
      </c>
      <c r="B1300" s="4" t="s">
        <v>142</v>
      </c>
      <c r="C1300" s="5" t="s">
        <v>209</v>
      </c>
      <c r="D1300" s="5" t="s">
        <v>47</v>
      </c>
      <c r="E1300" s="4" t="str" cm="1">
        <f t="array" ref="E1300">_xlfn.IFS(
F1300 = "A partir de Abril", "Aguardando Execução na Distribuidora",
A1300 = "CAPACITAÇÃO", "Em execução no Corporativo",
TRUE, "Em Execução na Distribuidora"
)</f>
        <v>Em Execução na Distribuidora</v>
      </c>
      <c r="F1300" s="4" t="str" cm="1">
        <f t="array" ref="F1300">_xlfn.IFS(
AG1300 &lt;&gt; "", "Jan-Dez/26",
AH1300 &lt;&gt; "", "Fev-Dez/26",
AI1300 &lt;&gt; "", "Mar-Dez/26", AJ1300 &lt;&gt; "", "Abr-Dez/26",
TRUE, "A partir de Junho"
)</f>
        <v>Jan-Dez/26</v>
      </c>
      <c r="G1300" s="4" t="s">
        <v>37</v>
      </c>
      <c r="H1300" s="7" t="s">
        <v>38</v>
      </c>
      <c r="I1300" s="8" t="s">
        <v>148</v>
      </c>
      <c r="J1300" s="8" t="str" cm="1">
        <f t="array" aca="1" ref="J1300" ca="1">_xlfn.LET(
  _xlpm.actual_value_month, INDEX(T1300:AE1300, MATCH(DATE(YEAR(TODAY()), MONTH(TODAY()), 1), $T$1:$AE$1, 0)),
  IF(_xlpm.actual_value_month &lt;&gt; "",_xlpm.actual_value_month &amp; " ações mensais", "")
)</f>
        <v/>
      </c>
      <c r="K1300" s="8" t="str" cm="1">
        <f t="array" ref="K1300">_xlfn.LET(
    _xlpm.sum_month, SUM(T1300:AE1300),
    IF(_xlpm.sum_month = 0, "", _xlpm.sum_month &amp; " NC's no ano")
)</f>
        <v/>
      </c>
      <c r="L1300" s="9" t="s">
        <v>149</v>
      </c>
      <c r="M1300" s="24">
        <v>1</v>
      </c>
      <c r="N1300" s="5" t="s">
        <v>51</v>
      </c>
      <c r="O1300" s="5" t="s">
        <v>52</v>
      </c>
      <c r="P1300" s="10" t="s">
        <v>44</v>
      </c>
      <c r="Q1300" s="10" t="s">
        <v>44</v>
      </c>
      <c r="R1300" s="11" t="s">
        <v>44</v>
      </c>
      <c r="S1300" s="11" t="s">
        <v>44</v>
      </c>
      <c r="T1300" s="22"/>
      <c r="U1300" s="22"/>
      <c r="V1300" s="22"/>
      <c r="W1300" s="22"/>
      <c r="X1300" s="22"/>
      <c r="Y1300" s="22"/>
      <c r="Z1300" s="22"/>
      <c r="AA1300" s="22"/>
      <c r="AB1300" s="22"/>
      <c r="AC1300" s="22"/>
      <c r="AD1300" s="22"/>
      <c r="AE1300" s="22"/>
      <c r="AG1300" s="71">
        <v>17</v>
      </c>
      <c r="AH1300" s="71">
        <v>49</v>
      </c>
      <c r="AI1300" s="71">
        <v>25</v>
      </c>
      <c r="AJ1300" s="71">
        <v>13</v>
      </c>
      <c r="AK1300" s="71">
        <v>10</v>
      </c>
      <c r="AL1300" s="71"/>
      <c r="AM1300" s="71"/>
      <c r="AN1300" s="71"/>
      <c r="AO1300" s="71"/>
      <c r="AP1300" s="71"/>
      <c r="AQ1300" s="71"/>
      <c r="AR1300" s="71"/>
      <c r="AS1300" s="94">
        <f t="shared" ca="1" si="1530"/>
        <v>0</v>
      </c>
      <c r="AT1300" s="95">
        <f t="shared" si="1531"/>
        <v>114</v>
      </c>
      <c r="AU1300" s="97">
        <f t="shared" si="1532"/>
        <v>114</v>
      </c>
      <c r="AW1300" s="83">
        <f t="shared" si="1533"/>
        <v>17</v>
      </c>
      <c r="AX1300" s="83">
        <f t="shared" si="1534"/>
        <v>49</v>
      </c>
      <c r="AY1300" s="83">
        <f t="shared" si="1535"/>
        <v>25</v>
      </c>
      <c r="AZ1300" s="83">
        <f t="shared" si="1536"/>
        <v>13</v>
      </c>
      <c r="BA1300" s="83">
        <f t="shared" si="1529"/>
        <v>10</v>
      </c>
      <c r="BB1300" s="52"/>
      <c r="BC1300" s="52"/>
      <c r="BD1300" s="52"/>
      <c r="BE1300" s="52"/>
      <c r="BF1300" s="52"/>
      <c r="BG1300" s="52"/>
      <c r="BH1300" s="52"/>
      <c r="BI1300" s="68" cm="1">
        <f t="array" ref="BI1300">IFERROR(INDEX(AW1300:BH1300,1,MATCH(2,1/(AW1300:BH1300&lt;&gt;""))),"")</f>
        <v>10</v>
      </c>
      <c r="BJ1300" s="68" cm="1">
        <f t="array" ref="BJ1300">IF(BM1300 = "", "",IFERROR(INDEX(AW1300:BH1300,1,MATCH(2,1/(AW1300:BH1300&lt;&gt;""),1)-1),""))</f>
        <v>13</v>
      </c>
      <c r="BK1300" s="59">
        <f t="shared" si="1537"/>
        <v>114</v>
      </c>
      <c r="BL1300" s="59" cm="1">
        <f t="array" ref="BL1300">IFERROR(SUM(AW1300:INDEX(AW1300:BH1300, MATCH(2, 1/(AW1300:BH1300&lt;&gt;""), 1) - 1))/_xlfn.XLOOKUP(F1300,Apuração!A:A,Apuração!B:B),0)</f>
        <v>8.6666666666666661</v>
      </c>
      <c r="BM1300" s="55" cm="1">
        <f t="array" ref="BM1300">IFERROR(
   INDEX($AW$1:$BH$1,
      _xlfn.AGGREGATE(14, 6, COLUMN($AW$1:$BH$1)/(AW1300:BH1300&lt;&gt;""), 2) - COLUMN($AW$1) + 1
   ),
"")</f>
        <v>46113</v>
      </c>
      <c r="BN1300" s="55" cm="1">
        <f t="array" ref="BN1300">IFERROR(INDEX($AW$1:$BH$1,1,MATCH(2,1/(AW1300:BH1300&lt;&gt;""))),"")</f>
        <v>46143</v>
      </c>
      <c r="BO1300" s="53">
        <f ca="1">IFERROR(_xlfn.XLOOKUP(F1300,Apuração!A:A,Apuração!C:C)/_xlfn.XLOOKUP(F1300,Apuração!A:A,Apuração!B:B),0)</f>
        <v>0.41666666666666669</v>
      </c>
      <c r="BP1300" s="53">
        <f ca="1">IFERROR(_xlfn.XLOOKUP(F1300,Apuração!A:A,Apuração!D:D)/_xlfn.XLOOKUP(F1300,Apuração!A:A,Apuração!B:B),0)</f>
        <v>0.33333333333333331</v>
      </c>
      <c r="BQ1300" s="53">
        <f ca="1">IF(BK1300&gt;=BO1300,0,_xlfn.XLOOKUP(F1300,Apuração!A:A,Apuração!B:B)*(BO1300 + (1/_xlfn.XLOOKUP(F1300,Apuração!A:A,Apuração!B:B)) - BK1300))</f>
        <v>0</v>
      </c>
      <c r="BR1300" s="85">
        <f t="shared" ca="1" si="1538"/>
        <v>0</v>
      </c>
      <c r="BS1300" s="53">
        <f ca="1">IFERROR((_xlfn.XLOOKUP(F1300,Apuração!A:A,Apuração!C:C)+1)/_xlfn.XLOOKUP(F1300,Apuração!A:A,Apuração!B:B),0)</f>
        <v>0.5</v>
      </c>
    </row>
    <row r="1301" spans="1:71" ht="25.95" hidden="1" customHeight="1" x14ac:dyDescent="0.3">
      <c r="A1301" s="42" t="s">
        <v>134</v>
      </c>
      <c r="B1301" s="4" t="s">
        <v>142</v>
      </c>
      <c r="C1301" s="5" t="s">
        <v>209</v>
      </c>
      <c r="D1301" s="5" t="s">
        <v>211</v>
      </c>
      <c r="E1301" s="4" t="str" cm="1">
        <f t="array" ref="E1301">_xlfn.IFS(
F1301 = "A partir de Abril", "Aguardando Execução na Distribuidora",
A1301 = "CAPACITAÇÃO", "Em execução no Corporativo",
TRUE, "Em Execução na Distribuidora"
)</f>
        <v>Em Execução na Distribuidora</v>
      </c>
      <c r="F1301" s="4" t="str" cm="1">
        <f t="array" ref="F1301">_xlfn.IFS(
AG1301 &lt;&gt; "", "Jan-Dez/26",
AH1301 &lt;&gt; "", "Fev-Dez/26",
AI1301 &lt;&gt; "", "Mar-Dez/26", AJ1301 &lt;&gt; "", "Abr-Dez/26",
TRUE, "A partir de Junho"
)</f>
        <v>Jan-Dez/26</v>
      </c>
      <c r="G1301" s="4" t="s">
        <v>37</v>
      </c>
      <c r="H1301" s="7" t="s">
        <v>38</v>
      </c>
      <c r="I1301" s="8" t="s">
        <v>148</v>
      </c>
      <c r="J1301" s="8" t="str" cm="1">
        <f t="array" aca="1" ref="J1301" ca="1">_xlfn.LET(
  _xlpm.actual_value_month, INDEX(T1301:AE1301, MATCH(DATE(YEAR(TODAY()), MONTH(TODAY()), 1), $T$1:$AE$1, 0)),
  IF(_xlpm.actual_value_month &lt;&gt; "",_xlpm.actual_value_month &amp; " ações mensais", "")
)</f>
        <v/>
      </c>
      <c r="K1301" s="8" t="str" cm="1">
        <f t="array" ref="K1301">_xlfn.LET(
    _xlpm.sum_month, SUM(T1301:AE1301),
    IF(_xlpm.sum_month = 0, "", _xlpm.sum_month &amp; " NC's no ano")
)</f>
        <v/>
      </c>
      <c r="L1301" s="9" t="s">
        <v>149</v>
      </c>
      <c r="M1301" s="24">
        <v>1</v>
      </c>
      <c r="N1301" s="5" t="s">
        <v>51</v>
      </c>
      <c r="O1301" s="5" t="s">
        <v>52</v>
      </c>
      <c r="P1301" s="10" t="s">
        <v>44</v>
      </c>
      <c r="Q1301" s="10" t="s">
        <v>44</v>
      </c>
      <c r="R1301" s="11" t="s">
        <v>44</v>
      </c>
      <c r="S1301" s="11" t="s">
        <v>44</v>
      </c>
      <c r="T1301" s="22"/>
      <c r="U1301" s="22"/>
      <c r="V1301" s="22"/>
      <c r="W1301" s="22"/>
      <c r="X1301" s="22"/>
      <c r="Y1301" s="22"/>
      <c r="Z1301" s="22"/>
      <c r="AA1301" s="22"/>
      <c r="AB1301" s="22"/>
      <c r="AC1301" s="22"/>
      <c r="AD1301" s="22"/>
      <c r="AE1301" s="22"/>
      <c r="AG1301" s="71">
        <v>15</v>
      </c>
      <c r="AH1301" s="71">
        <v>30</v>
      </c>
      <c r="AI1301" s="71">
        <v>17</v>
      </c>
      <c r="AJ1301" s="71">
        <v>27</v>
      </c>
      <c r="AK1301" s="71">
        <v>8</v>
      </c>
      <c r="AL1301" s="71"/>
      <c r="AM1301" s="71"/>
      <c r="AN1301" s="71"/>
      <c r="AO1301" s="71"/>
      <c r="AP1301" s="71"/>
      <c r="AQ1301" s="71"/>
      <c r="AR1301" s="71"/>
      <c r="AS1301" s="94">
        <f t="shared" ca="1" si="1530"/>
        <v>0</v>
      </c>
      <c r="AT1301" s="95">
        <f t="shared" si="1531"/>
        <v>97</v>
      </c>
      <c r="AU1301" s="97">
        <f t="shared" si="1532"/>
        <v>97</v>
      </c>
      <c r="AW1301" s="83">
        <f t="shared" si="1533"/>
        <v>15</v>
      </c>
      <c r="AX1301" s="83">
        <f t="shared" si="1534"/>
        <v>30</v>
      </c>
      <c r="AY1301" s="83">
        <f t="shared" si="1535"/>
        <v>17</v>
      </c>
      <c r="AZ1301" s="83">
        <f t="shared" si="1536"/>
        <v>27</v>
      </c>
      <c r="BA1301" s="83">
        <f t="shared" si="1529"/>
        <v>8</v>
      </c>
      <c r="BB1301" s="52"/>
      <c r="BC1301" s="52"/>
      <c r="BD1301" s="52"/>
      <c r="BE1301" s="52"/>
      <c r="BF1301" s="52"/>
      <c r="BG1301" s="52"/>
      <c r="BH1301" s="52"/>
      <c r="BI1301" s="68" cm="1">
        <f t="array" ref="BI1301">IFERROR(INDEX(AW1301:BH1301,1,MATCH(2,1/(AW1301:BH1301&lt;&gt;""))),"")</f>
        <v>8</v>
      </c>
      <c r="BJ1301" s="68" cm="1">
        <f t="array" ref="BJ1301">IF(BM1301 = "", "",IFERROR(INDEX(AW1301:BH1301,1,MATCH(2,1/(AW1301:BH1301&lt;&gt;""),1)-1),""))</f>
        <v>27</v>
      </c>
      <c r="BK1301" s="59">
        <f t="shared" si="1537"/>
        <v>97</v>
      </c>
      <c r="BL1301" s="59" cm="1">
        <f t="array" ref="BL1301">IFERROR(SUM(AW1301:INDEX(AW1301:BH1301, MATCH(2, 1/(AW1301:BH1301&lt;&gt;""), 1) - 1))/_xlfn.XLOOKUP(F1301,Apuração!A:A,Apuração!B:B),0)</f>
        <v>7.416666666666667</v>
      </c>
      <c r="BM1301" s="55" cm="1">
        <f t="array" ref="BM1301">IFERROR(
   INDEX($AW$1:$BH$1,
      _xlfn.AGGREGATE(14, 6, COLUMN($AW$1:$BH$1)/(AW1301:BH1301&lt;&gt;""), 2) - COLUMN($AW$1) + 1
   ),
"")</f>
        <v>46113</v>
      </c>
      <c r="BN1301" s="55" cm="1">
        <f t="array" ref="BN1301">IFERROR(INDEX($AW$1:$BH$1,1,MATCH(2,1/(AW1301:BH1301&lt;&gt;""))),"")</f>
        <v>46143</v>
      </c>
      <c r="BO1301" s="53">
        <f ca="1">IFERROR(_xlfn.XLOOKUP(F1301,Apuração!A:A,Apuração!C:C)/_xlfn.XLOOKUP(F1301,Apuração!A:A,Apuração!B:B),0)</f>
        <v>0.41666666666666669</v>
      </c>
      <c r="BP1301" s="53">
        <f ca="1">IFERROR(_xlfn.XLOOKUP(F1301,Apuração!A:A,Apuração!D:D)/_xlfn.XLOOKUP(F1301,Apuração!A:A,Apuração!B:B),0)</f>
        <v>0.33333333333333331</v>
      </c>
      <c r="BQ1301" s="53">
        <f ca="1">IF(BK1301&gt;=BO1301,0,_xlfn.XLOOKUP(F1301,Apuração!A:A,Apuração!B:B)*(BO1301 + (1/_xlfn.XLOOKUP(F1301,Apuração!A:A,Apuração!B:B)) - BK1301))</f>
        <v>0</v>
      </c>
      <c r="BR1301" s="85">
        <f t="shared" ca="1" si="1538"/>
        <v>0</v>
      </c>
      <c r="BS1301" s="53">
        <f ca="1">IFERROR((_xlfn.XLOOKUP(F1301,Apuração!A:A,Apuração!C:C)+1)/_xlfn.XLOOKUP(F1301,Apuração!A:A,Apuração!B:B),0)</f>
        <v>0.5</v>
      </c>
    </row>
    <row r="1302" spans="1:71" ht="25.95" hidden="1" customHeight="1" x14ac:dyDescent="0.3">
      <c r="A1302" s="42" t="s">
        <v>134</v>
      </c>
      <c r="B1302" s="4" t="s">
        <v>142</v>
      </c>
      <c r="C1302" s="5" t="s">
        <v>209</v>
      </c>
      <c r="D1302" s="5" t="s">
        <v>212</v>
      </c>
      <c r="E1302" s="4" t="str" cm="1">
        <f t="array" ref="E1302">_xlfn.IFS(
F1302 = "A partir de Abril", "Aguardando Execução na Distribuidora",
A1302 = "CAPACITAÇÃO", "Em execução no Corporativo",
TRUE, "Em Execução na Distribuidora"
)</f>
        <v>Em Execução na Distribuidora</v>
      </c>
      <c r="F1302" s="4" t="str" cm="1">
        <f t="array" ref="F1302">_xlfn.IFS(
AG1302 &lt;&gt; "", "Jan-Dez/26",
AH1302 &lt;&gt; "", "Fev-Dez/26",
AI1302 &lt;&gt; "", "Mar-Dez/26", AJ1302 &lt;&gt; "", "Abr-Dez/26",
TRUE, "A partir de Junho"
)</f>
        <v>Jan-Dez/26</v>
      </c>
      <c r="G1302" s="4" t="s">
        <v>37</v>
      </c>
      <c r="H1302" s="7" t="s">
        <v>38</v>
      </c>
      <c r="I1302" s="8" t="s">
        <v>148</v>
      </c>
      <c r="J1302" s="8" t="str" cm="1">
        <f t="array" aca="1" ref="J1302" ca="1">_xlfn.LET(
  _xlpm.actual_value_month, INDEX(T1302:AE1302, MATCH(DATE(YEAR(TODAY()), MONTH(TODAY()), 1), $T$1:$AE$1, 0)),
  IF(_xlpm.actual_value_month &lt;&gt; "",_xlpm.actual_value_month &amp; " ações mensais", "")
)</f>
        <v/>
      </c>
      <c r="K1302" s="8" t="str" cm="1">
        <f t="array" ref="K1302">_xlfn.LET(
    _xlpm.sum_month, SUM(T1302:AE1302),
    IF(_xlpm.sum_month = 0, "", _xlpm.sum_month &amp; " NC's no ano")
)</f>
        <v/>
      </c>
      <c r="L1302" s="9" t="s">
        <v>149</v>
      </c>
      <c r="M1302" s="24">
        <v>1</v>
      </c>
      <c r="N1302" s="5" t="s">
        <v>51</v>
      </c>
      <c r="O1302" s="5" t="s">
        <v>52</v>
      </c>
      <c r="P1302" s="10" t="s">
        <v>44</v>
      </c>
      <c r="Q1302" s="10" t="s">
        <v>44</v>
      </c>
      <c r="R1302" s="11" t="s">
        <v>44</v>
      </c>
      <c r="S1302" s="11" t="s">
        <v>44</v>
      </c>
      <c r="T1302" s="22"/>
      <c r="U1302" s="22"/>
      <c r="V1302" s="22"/>
      <c r="W1302" s="22"/>
      <c r="X1302" s="22"/>
      <c r="Y1302" s="22"/>
      <c r="Z1302" s="22"/>
      <c r="AA1302" s="22"/>
      <c r="AB1302" s="22"/>
      <c r="AC1302" s="22"/>
      <c r="AD1302" s="22"/>
      <c r="AE1302" s="22"/>
      <c r="AG1302" s="71">
        <v>11</v>
      </c>
      <c r="AH1302" s="71">
        <v>31</v>
      </c>
      <c r="AI1302" s="71">
        <v>22</v>
      </c>
      <c r="AJ1302" s="71">
        <v>8</v>
      </c>
      <c r="AK1302" s="71">
        <v>4</v>
      </c>
      <c r="AL1302" s="71"/>
      <c r="AM1302" s="71"/>
      <c r="AN1302" s="71"/>
      <c r="AO1302" s="71"/>
      <c r="AP1302" s="71"/>
      <c r="AQ1302" s="71"/>
      <c r="AR1302" s="71"/>
      <c r="AS1302" s="94">
        <f t="shared" ca="1" si="1530"/>
        <v>0</v>
      </c>
      <c r="AT1302" s="95">
        <f t="shared" si="1531"/>
        <v>76</v>
      </c>
      <c r="AU1302" s="97">
        <f t="shared" si="1532"/>
        <v>76</v>
      </c>
      <c r="AW1302" s="83">
        <f t="shared" si="1533"/>
        <v>11</v>
      </c>
      <c r="AX1302" s="83">
        <f t="shared" si="1534"/>
        <v>31</v>
      </c>
      <c r="AY1302" s="83">
        <f t="shared" si="1535"/>
        <v>22</v>
      </c>
      <c r="AZ1302" s="83">
        <f t="shared" si="1536"/>
        <v>8</v>
      </c>
      <c r="BA1302" s="83">
        <f t="shared" si="1529"/>
        <v>4</v>
      </c>
      <c r="BB1302" s="52"/>
      <c r="BC1302" s="52"/>
      <c r="BD1302" s="52"/>
      <c r="BE1302" s="52"/>
      <c r="BF1302" s="52"/>
      <c r="BG1302" s="52"/>
      <c r="BH1302" s="52"/>
      <c r="BI1302" s="68" cm="1">
        <f t="array" ref="BI1302">IFERROR(INDEX(AW1302:BH1302,1,MATCH(2,1/(AW1302:BH1302&lt;&gt;""))),"")</f>
        <v>4</v>
      </c>
      <c r="BJ1302" s="68" cm="1">
        <f t="array" ref="BJ1302">IF(BM1302 = "", "",IFERROR(INDEX(AW1302:BH1302,1,MATCH(2,1/(AW1302:BH1302&lt;&gt;""),1)-1),""))</f>
        <v>8</v>
      </c>
      <c r="BK1302" s="59">
        <f t="shared" si="1537"/>
        <v>76</v>
      </c>
      <c r="BL1302" s="59" cm="1">
        <f t="array" ref="BL1302">IFERROR(SUM(AW1302:INDEX(AW1302:BH1302, MATCH(2, 1/(AW1302:BH1302&lt;&gt;""), 1) - 1))/_xlfn.XLOOKUP(F1302,Apuração!A:A,Apuração!B:B),0)</f>
        <v>6</v>
      </c>
      <c r="BM1302" s="55" cm="1">
        <f t="array" ref="BM1302">IFERROR(
   INDEX($AW$1:$BH$1,
      _xlfn.AGGREGATE(14, 6, COLUMN($AW$1:$BH$1)/(AW1302:BH1302&lt;&gt;""), 2) - COLUMN($AW$1) + 1
   ),
"")</f>
        <v>46113</v>
      </c>
      <c r="BN1302" s="55" cm="1">
        <f t="array" ref="BN1302">IFERROR(INDEX($AW$1:$BH$1,1,MATCH(2,1/(AW1302:BH1302&lt;&gt;""))),"")</f>
        <v>46143</v>
      </c>
      <c r="BO1302" s="53">
        <f ca="1">IFERROR(_xlfn.XLOOKUP(F1302,Apuração!A:A,Apuração!C:C)/_xlfn.XLOOKUP(F1302,Apuração!A:A,Apuração!B:B),0)</f>
        <v>0.41666666666666669</v>
      </c>
      <c r="BP1302" s="53">
        <f ca="1">IFERROR(_xlfn.XLOOKUP(F1302,Apuração!A:A,Apuração!D:D)/_xlfn.XLOOKUP(F1302,Apuração!A:A,Apuração!B:B),0)</f>
        <v>0.33333333333333331</v>
      </c>
      <c r="BQ1302" s="53">
        <f ca="1">IF(BK1302&gt;=BO1302,0,_xlfn.XLOOKUP(F1302,Apuração!A:A,Apuração!B:B)*(BO1302 + (1/_xlfn.XLOOKUP(F1302,Apuração!A:A,Apuração!B:B)) - BK1302))</f>
        <v>0</v>
      </c>
      <c r="BR1302" s="85">
        <f t="shared" ca="1" si="1538"/>
        <v>0</v>
      </c>
      <c r="BS1302" s="53">
        <f ca="1">IFERROR((_xlfn.XLOOKUP(F1302,Apuração!A:A,Apuração!C:C)+1)/_xlfn.XLOOKUP(F1302,Apuração!A:A,Apuração!B:B),0)</f>
        <v>0.5</v>
      </c>
    </row>
    <row r="1303" spans="1:71" ht="25.95" hidden="1" customHeight="1" x14ac:dyDescent="0.3">
      <c r="A1303" s="42" t="s">
        <v>134</v>
      </c>
      <c r="B1303" s="4" t="s">
        <v>142</v>
      </c>
      <c r="C1303" s="5" t="s">
        <v>209</v>
      </c>
      <c r="D1303" s="5" t="s">
        <v>213</v>
      </c>
      <c r="E1303" s="4" t="str" cm="1">
        <f t="array" ref="E1303">_xlfn.IFS(
F1303 = "A partir de Abril", "Aguardando Execução na Distribuidora",
A1303 = "CAPACITAÇÃO", "Em execução no Corporativo",
TRUE, "Em Execução na Distribuidora"
)</f>
        <v>Em Execução na Distribuidora</v>
      </c>
      <c r="F1303" s="4" t="str" cm="1">
        <f t="array" ref="F1303">_xlfn.IFS(
AG1303 &lt;&gt; "", "Jan-Dez/26",
AH1303 &lt;&gt; "", "Fev-Dez/26",
AI1303 &lt;&gt; "", "Mar-Dez/26", AJ1303 &lt;&gt; "", "Abr-Dez/26",
TRUE, "A partir de Junho"
)</f>
        <v>Jan-Dez/26</v>
      </c>
      <c r="G1303" s="4" t="s">
        <v>37</v>
      </c>
      <c r="H1303" s="7" t="s">
        <v>38</v>
      </c>
      <c r="I1303" s="8" t="s">
        <v>148</v>
      </c>
      <c r="J1303" s="8" t="str" cm="1">
        <f t="array" aca="1" ref="J1303" ca="1">_xlfn.LET(
  _xlpm.actual_value_month, INDEX(T1303:AE1303, MATCH(DATE(YEAR(TODAY()), MONTH(TODAY()), 1), $T$1:$AE$1, 0)),
  IF(_xlpm.actual_value_month &lt;&gt; "",_xlpm.actual_value_month &amp; " ações mensais", "")
)</f>
        <v/>
      </c>
      <c r="K1303" s="8" t="str" cm="1">
        <f t="array" ref="K1303">_xlfn.LET(
    _xlpm.sum_month, SUM(T1303:AE1303),
    IF(_xlpm.sum_month = 0, "", _xlpm.sum_month &amp; " NC's no ano")
)</f>
        <v/>
      </c>
      <c r="L1303" s="9" t="s">
        <v>149</v>
      </c>
      <c r="M1303" s="24">
        <v>1</v>
      </c>
      <c r="N1303" s="5" t="s">
        <v>51</v>
      </c>
      <c r="O1303" s="5" t="s">
        <v>52</v>
      </c>
      <c r="P1303" s="10" t="s">
        <v>44</v>
      </c>
      <c r="Q1303" s="10" t="s">
        <v>44</v>
      </c>
      <c r="R1303" s="11" t="s">
        <v>44</v>
      </c>
      <c r="S1303" s="11" t="s">
        <v>44</v>
      </c>
      <c r="T1303" s="22"/>
      <c r="U1303" s="22"/>
      <c r="V1303" s="22"/>
      <c r="W1303" s="22"/>
      <c r="X1303" s="22"/>
      <c r="Y1303" s="22"/>
      <c r="Z1303" s="22"/>
      <c r="AA1303" s="22"/>
      <c r="AB1303" s="22"/>
      <c r="AC1303" s="22"/>
      <c r="AD1303" s="22"/>
      <c r="AE1303" s="22"/>
      <c r="AG1303" s="71">
        <v>7</v>
      </c>
      <c r="AH1303" s="71">
        <v>9</v>
      </c>
      <c r="AI1303" s="71">
        <v>14</v>
      </c>
      <c r="AJ1303" s="71">
        <v>15</v>
      </c>
      <c r="AK1303" s="71">
        <v>10</v>
      </c>
      <c r="AL1303" s="71"/>
      <c r="AM1303" s="71"/>
      <c r="AN1303" s="71"/>
      <c r="AO1303" s="71"/>
      <c r="AP1303" s="71"/>
      <c r="AQ1303" s="71"/>
      <c r="AR1303" s="71"/>
      <c r="AS1303" s="94">
        <f t="shared" ca="1" si="1530"/>
        <v>0</v>
      </c>
      <c r="AT1303" s="95">
        <f t="shared" si="1531"/>
        <v>55</v>
      </c>
      <c r="AU1303" s="97">
        <f t="shared" si="1532"/>
        <v>55</v>
      </c>
      <c r="AW1303" s="83">
        <f t="shared" si="1533"/>
        <v>7</v>
      </c>
      <c r="AX1303" s="83">
        <f t="shared" si="1534"/>
        <v>9</v>
      </c>
      <c r="AY1303" s="83">
        <f t="shared" si="1535"/>
        <v>14</v>
      </c>
      <c r="AZ1303" s="83">
        <f t="shared" si="1536"/>
        <v>15</v>
      </c>
      <c r="BA1303" s="83">
        <f t="shared" si="1529"/>
        <v>10</v>
      </c>
      <c r="BB1303" s="52"/>
      <c r="BC1303" s="52"/>
      <c r="BD1303" s="52"/>
      <c r="BE1303" s="52"/>
      <c r="BF1303" s="52"/>
      <c r="BG1303" s="52"/>
      <c r="BH1303" s="52"/>
      <c r="BI1303" s="68" cm="1">
        <f t="array" ref="BI1303">IFERROR(INDEX(AW1303:BH1303,1,MATCH(2,1/(AW1303:BH1303&lt;&gt;""))),"")</f>
        <v>10</v>
      </c>
      <c r="BJ1303" s="68" cm="1">
        <f t="array" ref="BJ1303">IF(BM1303 = "", "",IFERROR(INDEX(AW1303:BH1303,1,MATCH(2,1/(AW1303:BH1303&lt;&gt;""),1)-1),""))</f>
        <v>15</v>
      </c>
      <c r="BK1303" s="59">
        <f t="shared" si="1537"/>
        <v>55</v>
      </c>
      <c r="BL1303" s="59" cm="1">
        <f t="array" ref="BL1303">IFERROR(SUM(AW1303:INDEX(AW1303:BH1303, MATCH(2, 1/(AW1303:BH1303&lt;&gt;""), 1) - 1))/_xlfn.XLOOKUP(F1303,Apuração!A:A,Apuração!B:B),0)</f>
        <v>3.75</v>
      </c>
      <c r="BM1303" s="55" cm="1">
        <f t="array" ref="BM1303">IFERROR(
   INDEX($AW$1:$BH$1,
      _xlfn.AGGREGATE(14, 6, COLUMN($AW$1:$BH$1)/(AW1303:BH1303&lt;&gt;""), 2) - COLUMN($AW$1) + 1
   ),
"")</f>
        <v>46113</v>
      </c>
      <c r="BN1303" s="55" cm="1">
        <f t="array" ref="BN1303">IFERROR(INDEX($AW$1:$BH$1,1,MATCH(2,1/(AW1303:BH1303&lt;&gt;""))),"")</f>
        <v>46143</v>
      </c>
      <c r="BO1303" s="53">
        <f ca="1">IFERROR(_xlfn.XLOOKUP(F1303,Apuração!A:A,Apuração!C:C)/_xlfn.XLOOKUP(F1303,Apuração!A:A,Apuração!B:B),0)</f>
        <v>0.41666666666666669</v>
      </c>
      <c r="BP1303" s="53">
        <f ca="1">IFERROR(_xlfn.XLOOKUP(F1303,Apuração!A:A,Apuração!D:D)/_xlfn.XLOOKUP(F1303,Apuração!A:A,Apuração!B:B),0)</f>
        <v>0.33333333333333331</v>
      </c>
      <c r="BQ1303" s="53">
        <f ca="1">IF(BK1303&gt;=BO1303,0,_xlfn.XLOOKUP(F1303,Apuração!A:A,Apuração!B:B)*(BO1303 + (1/_xlfn.XLOOKUP(F1303,Apuração!A:A,Apuração!B:B)) - BK1303))</f>
        <v>0</v>
      </c>
      <c r="BR1303" s="85">
        <f t="shared" ca="1" si="1538"/>
        <v>0</v>
      </c>
      <c r="BS1303" s="53">
        <f ca="1">IFERROR((_xlfn.XLOOKUP(F1303,Apuração!A:A,Apuração!C:C)+1)/_xlfn.XLOOKUP(F1303,Apuração!A:A,Apuração!B:B),0)</f>
        <v>0.5</v>
      </c>
    </row>
    <row r="1304" spans="1:71" ht="25.95" hidden="1" customHeight="1" x14ac:dyDescent="0.3">
      <c r="A1304" s="25" t="s">
        <v>134</v>
      </c>
      <c r="B1304" s="15" t="s">
        <v>150</v>
      </c>
      <c r="C1304" s="5" t="s">
        <v>209</v>
      </c>
      <c r="D1304" s="5" t="s">
        <v>36</v>
      </c>
      <c r="E1304" s="4" t="str" cm="1">
        <f t="array" ref="E1304">_xlfn.IFS(
F1304 = "A partir de Abril", "Aguardando Execução na Distribuidora",
A1304 = "CAPACITAÇÃO", "Em execução no Corporativo",
TRUE, "Em Execução na Distribuidora"
)</f>
        <v>Em Execução na Distribuidora</v>
      </c>
      <c r="F1304" s="4" t="str" cm="1">
        <f t="array" ref="F1304">_xlfn.IFS(
AG1304 &lt;&gt; "", "Jan-Dez/26",
AH1304 &lt;&gt; "", "Fev-Dez/26",
AI1304 &lt;&gt; "", "Mar-Dez/26", AJ1304 &lt;&gt; "", "Abr-Dez/26",
TRUE, "A partir de Junho"
)</f>
        <v>Jan-Dez/26</v>
      </c>
      <c r="G1304" s="15" t="s">
        <v>37</v>
      </c>
      <c r="H1304" s="27" t="s">
        <v>54</v>
      </c>
      <c r="I1304" s="28" t="s">
        <v>124</v>
      </c>
      <c r="J1304" s="8" t="str" cm="1">
        <f t="array" aca="1" ref="J1304" ca="1">_xlfn.LET(
  _xlpm.actual_value_month, INDEX(T1304:AE1304, MATCH(DATE(YEAR(TODAY()), MONTH(TODAY()), 1), $T$1:$AE$1, 0)),
  IF(_xlpm.actual_value_month &lt;&gt; "",_xlpm.actual_value_month &amp; " reuniões mensais", "")
)</f>
        <v/>
      </c>
      <c r="K1304" s="8" t="str" cm="1">
        <f t="array" ref="K1304">_xlfn.LET(
    _xlpm.sum_month, SUM(T1304:AE1304),
    IF(_xlpm.sum_month = 0, "", _xlpm.sum_month &amp; " atividades no ano")
)</f>
        <v>995 atividades no ano</v>
      </c>
      <c r="L1304" s="29" t="s">
        <v>125</v>
      </c>
      <c r="M1304" s="30" t="s">
        <v>151</v>
      </c>
      <c r="N1304" s="66" t="s">
        <v>42</v>
      </c>
      <c r="O1304" s="111" t="s">
        <v>52</v>
      </c>
      <c r="P1304" s="31" t="s">
        <v>44</v>
      </c>
      <c r="Q1304" s="31" t="s">
        <v>72</v>
      </c>
      <c r="R1304" s="32" t="s">
        <v>44</v>
      </c>
      <c r="S1304" s="32" t="s">
        <v>44</v>
      </c>
      <c r="T1304" s="22">
        <v>237</v>
      </c>
      <c r="U1304" s="22">
        <v>408</v>
      </c>
      <c r="V1304" s="22">
        <v>175</v>
      </c>
      <c r="W1304" s="22">
        <v>175</v>
      </c>
      <c r="X1304" s="22"/>
      <c r="Y1304" s="22"/>
      <c r="Z1304" s="22"/>
      <c r="AA1304" s="22"/>
      <c r="AB1304" s="22"/>
      <c r="AC1304" s="22"/>
      <c r="AD1304" s="22"/>
      <c r="AE1304" s="22"/>
      <c r="AG1304" s="71">
        <v>237</v>
      </c>
      <c r="AH1304" s="71">
        <v>408</v>
      </c>
      <c r="AI1304" s="71">
        <v>549</v>
      </c>
      <c r="AJ1304" s="71">
        <v>558</v>
      </c>
      <c r="AK1304" s="71"/>
      <c r="AL1304" s="71"/>
      <c r="AM1304" s="71"/>
      <c r="AN1304" s="71"/>
      <c r="AO1304" s="71"/>
      <c r="AP1304" s="71"/>
      <c r="AQ1304" s="71"/>
      <c r="AR1304" s="71"/>
      <c r="AS1304" s="94">
        <f ca="1">IF(MONTH(TODAY())=3,SUM(T1304:U1304),IF(MONTH(TODAY())=4,SUM(T1304:V1304),IF(MONTH(TODAY())=5,SUM(T1304:W1304),IF(MONTH(TODAY())=6,SUM(T1304:X1304),IF(MONTH(TODAY())=7,SUM(T1304:Y1304),IF(MONTH(TODAY())=8,SUM(T1304:Z1304),IF(MONTH(TODAY())=9,SUM(T1304:AA1304),IF(MONTH(TODAY())=10,SUM(T1304:AB1304),IF(MONTH(TODAY())=11,SUM(T1304:AC1304),IF(MONTH(TODAY())=12,SUM(T1304:AD1304),IF(MONTH(TODAY())=1,SUM(T1304:AE1304),T1304)))))))))))</f>
        <v>995</v>
      </c>
      <c r="AT1304" s="95">
        <f>SUM(IF(AW1304&lt;1.15,AG1304,1.15*T1304),IF(AX1304&lt;1.15,AH1304,1.15*U1304),IF(AY1304&lt;1.15,AI1304,1.15*V1304),IF(AZ1304&lt;1.15,AJ1304,1.15*W1304),IF(BA1304&lt;1.15,AK1304,1.15*X1304),IF(BB1304&lt;1.15,AL1304,1.15*Y1304),IF(BC1304&lt;1.15,AM1304,1.15*Z1304),IF(BD1304&lt;1.15,AN1304,1.15*AA1304),IF(BE1304&lt;1.15,AO1304,1.15*AB1304),IF(BF1304&lt;1.15,AP1304,1.15*AC1304),IF(BG1304&lt;1.15,AQ1304,1.15*AD1304),IF(BH1304&lt;1.15,AR1304,1.15*AE1304))</f>
        <v>1047.5</v>
      </c>
      <c r="AU1304" s="97">
        <f>SUM(AG1304:AR1304)</f>
        <v>1752</v>
      </c>
      <c r="AW1304" s="51">
        <f>IFERROR(IF(AG1304="",0,AG1304/T1304),0)</f>
        <v>1</v>
      </c>
      <c r="AX1304" s="51">
        <f>IFERROR(IF(AH1304="",0,AH1304/U1304),0)</f>
        <v>1</v>
      </c>
      <c r="AY1304" s="51">
        <f>IFERROR(IF(AI1304="",0,AI1304/V1304),0)</f>
        <v>3.137142857142857</v>
      </c>
      <c r="AZ1304" s="51">
        <f>IFERROR(IF(AJ1304="",0,AJ1304/W1304),0)</f>
        <v>3.1885714285714286</v>
      </c>
      <c r="BA1304" s="51"/>
      <c r="BB1304" s="51"/>
      <c r="BC1304" s="51"/>
      <c r="BD1304" s="51"/>
      <c r="BE1304" s="51"/>
      <c r="BF1304" s="51"/>
      <c r="BG1304" s="51"/>
      <c r="BH1304" s="51"/>
      <c r="BI1304" s="65" cm="1">
        <f t="array" ref="BI1304">IFERROR(INDEX(AW1304:BH1304,1,MATCH(2,1/(AW1304:BH1304&lt;&gt;""))),"")</f>
        <v>3.1885714285714286</v>
      </c>
      <c r="BJ1304" s="68" cm="1">
        <f t="array" ref="BJ1304">IF(BM1304 = "", "",IFERROR(INDEX(AW1304:BH1304,1,MATCH(2,1/(AW1304:BH1304&lt;&gt;""),1)-1),""))</f>
        <v>3.137142857142857</v>
      </c>
      <c r="BK1304" s="58">
        <f>IF((IF(AW1304&gt;=115%,115%,AW1304) + IF(AX1304&gt;=115%,115%,AX1304) + IF(AY1304&gt;=115%,115%,AY1304) + (IF(AZ1304&gt;=115%,115%,AZ1304) + IF(BA1304&gt;=115%,115%,BA1304) + IF(BB1304&gt;=115%,115%,BB1304) + IF(BC1304&gt;=115%,115%,BC1304) + IF(BD1304&gt;=115%,115%,BD1304) + IF(BE1304&gt;=115%,115%,BE1304) + IF(BF1304&gt;=115%,115%,BF1304) + IF(BG1304&gt;=115%,115%,BG1304) + IF(BH1304&gt;=115%,115%,BH1304)))/_xlfn.XLOOKUP(F1304,Apuração!A:A,Apuração!B:B)&gt;=1.15,1.15,((IF(AZ1304&gt;=115%,115%,AZ1304) + IF(AX1304&gt;=115%,115%,AX1304) + IF(AY1304&gt;=115%,115%,AY1304) + (IF(AW1304&gt;=115%,115%,AW1304) + IF(BA1304&gt;=115%,115%,BA1304) + IF(BB1304&gt;=115%,115%,BB1304) + IF(BC1304&gt;=115%,115%,BC1304) + IF(BD1304&gt;=115%,115%,BD1304) + IF(BE1304&gt;=115%,115%,BE1304) + IF(BF1304&gt;=115%,115%,BF1304) + IF(BG1304&gt;=115%,115%,BG1304) + IF(BH1304&gt;=115%,115%,BH1304)))/_xlfn.XLOOKUP(F1304,Apuração!A:A,Apuração!B:B)))</f>
        <v>0.35833333333333334</v>
      </c>
      <c r="BL1304" s="58" cm="1">
        <f t="array" aca="1" ref="BL1304" ca="1">IF(SUM(IFERROR(IF(INDEX(AW1304:INDEX(AW1304:BH1304, MATCH(2, 1/(AW1304:BH1304&lt;&gt;""), 1)-1), ROW(INDIRECT("1:" &amp; MATCH(2, 1/(AW1304:BH1304&lt;&gt;""), 1)-1))) &gt;= 115%, 115%, INDEX(AW1304:INDEX(AW1304:BH1304, MATCH(2, 1/(AW1304:BH1304&lt;&gt;""), 1)-1), ROW(INDIRECT("1:" &amp; MATCH(2, 1/(AW1304:BH1304&lt;&gt;""), 1)-1)))), 0))/_xlfn.XLOOKUP(F1304,Apuração!A:A,Apuração!B:B)&gt;=1.15,1.15,SUM(IFERROR(IF(INDEX(AW1304:INDEX(AW1304:BH1304, MATCH(2, 1/(AW1304:BH1304&lt;&gt;""), 1)-1), ROW(INDIRECT("1:" &amp; MATCH(2, 1/(AW1304:BH1304&lt;&gt;""), 1)-1))) &gt;= 115%, 115%, INDEX(AW1304:INDEX(AW1304:BH1304, MATCH(2, 1/(AW1304:BH1304&lt;&gt;""), 1)-1), ROW(INDIRECT("1:" &amp; MATCH(2, 1/(AW1304:BH1304&lt;&gt;""), 1)-1)))), 0))/_xlfn.XLOOKUP(F1304,Apuração!A:A,Apuração!B:B))</f>
        <v>0.26250000000000001</v>
      </c>
      <c r="BM1304" s="55" cm="1">
        <f t="array" ref="BM1304">IFERROR(
   INDEX($AW$1:$BH$1,
      _xlfn.AGGREGATE(14, 6, COLUMN($AW$1:$BH$1)/(AW1304:BH1304&lt;&gt;""), 2) - COLUMN($AW$1) + 1
   ),
"")</f>
        <v>46082</v>
      </c>
      <c r="BN1304" s="55" cm="1">
        <f t="array" ref="BN1304">IFERROR(INDEX($AW$1:$BH$1,1,MATCH(2,1/(AW1304:BH1304&lt;&gt;""))),"")</f>
        <v>46113</v>
      </c>
      <c r="BO1304" s="53">
        <f ca="1">IFERROR(_xlfn.XLOOKUP(F1304,Apuração!A:A,Apuração!C:C)/_xlfn.XLOOKUP(F1304,Apuração!A:A,Apuração!B:B),0)</f>
        <v>0.41666666666666669</v>
      </c>
      <c r="BP1304" s="53">
        <f ca="1">IFERROR(_xlfn.XLOOKUP(F1304,Apuração!A:A,Apuração!D:D)/_xlfn.XLOOKUP(F1304,Apuração!A:A,Apuração!B:B),0)</f>
        <v>0.33333333333333331</v>
      </c>
      <c r="BQ1304" s="53">
        <f ca="1">IF(BK1304&gt;=BO1304,0,_xlfn.XLOOKUP(F1304,Apuração!A:A,Apuração!B:B)*(BO1304 + (1/_xlfn.XLOOKUP(F1304,Apuração!A:A,Apuração!B:B)) - BK1304))</f>
        <v>1.7</v>
      </c>
      <c r="BR1304" s="85">
        <f ca="1">IF(BQ1304=0,0,BQ1304*Z1304)</f>
        <v>0</v>
      </c>
      <c r="BS1304" s="53">
        <f ca="1">IFERROR((_xlfn.XLOOKUP(F1304,Apuração!A:A,Apuração!C:C)+1)/_xlfn.XLOOKUP(F1304,Apuração!A:A,Apuração!B:B),0)</f>
        <v>0.5</v>
      </c>
    </row>
    <row r="1305" spans="1:71" ht="25.95" hidden="1" customHeight="1" x14ac:dyDescent="0.3">
      <c r="A1305" s="25" t="s">
        <v>134</v>
      </c>
      <c r="B1305" s="15" t="s">
        <v>150</v>
      </c>
      <c r="C1305" s="5" t="s">
        <v>209</v>
      </c>
      <c r="D1305" s="5" t="s">
        <v>210</v>
      </c>
      <c r="E1305" s="4" t="str" cm="1">
        <f t="array" ref="E1305">_xlfn.IFS(
F1305 = "A partir de Abril", "Aguardando Execução na Distribuidora",
A1305 = "CAPACITAÇÃO", "Em execução no Corporativo",
TRUE, "Em Execução na Distribuidora"
)</f>
        <v>Em Execução na Distribuidora</v>
      </c>
      <c r="F1305" s="4" t="str" cm="1">
        <f t="array" ref="F1305">_xlfn.IFS(
AG1305 &lt;&gt; "", "Jan-Dez/26",
AH1305 &lt;&gt; "", "Fev-Dez/26",
AI1305 &lt;&gt; "", "Mar-Dez/26", AJ1305 &lt;&gt; "", "Abr-Dez/26",
TRUE, "A partir de Junho"
)</f>
        <v>A partir de Junho</v>
      </c>
      <c r="G1305" s="15" t="s">
        <v>37</v>
      </c>
      <c r="H1305" s="27" t="s">
        <v>54</v>
      </c>
      <c r="I1305" s="28" t="s">
        <v>124</v>
      </c>
      <c r="J1305" s="8" t="str" cm="1">
        <f t="array" aca="1" ref="J1305" ca="1">_xlfn.LET(
  _xlpm.actual_value_month, INDEX(T1305:AE1305, MATCH(DATE(YEAR(TODAY()), MONTH(TODAY()), 1), $T$1:$AE$1, 0)),
  IF(_xlpm.actual_value_month &lt;&gt; "",_xlpm.actual_value_month &amp; " reuniões mensais", "")
)</f>
        <v/>
      </c>
      <c r="K1305" s="8" t="str" cm="1">
        <f t="array" ref="K1305">_xlfn.LET(
    _xlpm.sum_month, SUM(T1305:AE1305),
    IF(_xlpm.sum_month = 0, "", _xlpm.sum_month &amp; " atividades no ano")
)</f>
        <v/>
      </c>
      <c r="L1305" s="29" t="s">
        <v>125</v>
      </c>
      <c r="M1305" s="30" t="s">
        <v>151</v>
      </c>
      <c r="N1305" s="66" t="s">
        <v>42</v>
      </c>
      <c r="O1305" s="111" t="s">
        <v>52</v>
      </c>
      <c r="P1305" s="31" t="s">
        <v>44</v>
      </c>
      <c r="Q1305" s="31" t="s">
        <v>72</v>
      </c>
      <c r="R1305" s="32" t="s">
        <v>44</v>
      </c>
      <c r="S1305" s="32" t="s">
        <v>44</v>
      </c>
      <c r="T1305" s="22"/>
      <c r="U1305" s="22"/>
      <c r="V1305" s="22"/>
      <c r="W1305" s="22"/>
      <c r="X1305" s="22"/>
      <c r="Y1305" s="22"/>
      <c r="Z1305" s="22"/>
      <c r="AA1305" s="22"/>
      <c r="AB1305" s="22"/>
      <c r="AC1305" s="22"/>
      <c r="AD1305" s="22"/>
      <c r="AE1305" s="22"/>
      <c r="AG1305" s="71"/>
      <c r="AH1305" s="71"/>
      <c r="AI1305" s="71"/>
      <c r="AJ1305" s="71"/>
      <c r="AK1305" s="71"/>
      <c r="AL1305" s="71"/>
      <c r="AM1305" s="71"/>
      <c r="AN1305" s="71"/>
      <c r="AO1305" s="71"/>
      <c r="AP1305" s="71"/>
      <c r="AQ1305" s="71"/>
      <c r="AR1305" s="71"/>
      <c r="AS1305" s="94">
        <f t="shared" ref="AS1305:AS1309" ca="1" si="1539">IF(MONTH(TODAY())=3,SUM(T1305:U1305),IF(MONTH(TODAY())=4,SUM(T1305:V1305),IF(MONTH(TODAY())=5,SUM(T1305:W1305),IF(MONTH(TODAY())=6,SUM(T1305:X1305),IF(MONTH(TODAY())=7,SUM(T1305:Y1305),IF(MONTH(TODAY())=8,SUM(T1305:Z1305),IF(MONTH(TODAY())=9,SUM(T1305:AA1305),IF(MONTH(TODAY())=10,SUM(T1305:AB1305),IF(MONTH(TODAY())=11,SUM(T1305:AC1305),IF(MONTH(TODAY())=12,SUM(T1305:AD1305),IF(MONTH(TODAY())=1,SUM(T1305:AE1305),T1305)))))))))))</f>
        <v>0</v>
      </c>
      <c r="AT1305" s="95">
        <f t="shared" ref="AT1305:AT1309" si="1540">SUM(IF(AW1305&lt;1.15,AG1305,1.15*T1305),IF(AX1305&lt;1.15,AH1305,1.15*U1305),IF(AY1305&lt;1.15,AI1305,1.15*V1305),IF(AZ1305&lt;1.15,AJ1305,1.15*W1305),IF(BA1305&lt;1.15,AK1305,1.15*X1305),IF(BB1305&lt;1.15,AL1305,1.15*Y1305),IF(BC1305&lt;1.15,AM1305,1.15*Z1305),IF(BD1305&lt;1.15,AN1305,1.15*AA1305),IF(BE1305&lt;1.15,AO1305,1.15*AB1305),IF(BF1305&lt;1.15,AP1305,1.15*AC1305),IF(BG1305&lt;1.15,AQ1305,1.15*AD1305),IF(BH1305&lt;1.15,AR1305,1.15*AE1305))</f>
        <v>0</v>
      </c>
      <c r="AU1305" s="97">
        <f t="shared" ref="AU1305:AU1309" si="1541">SUM(AG1305:AR1305)</f>
        <v>0</v>
      </c>
      <c r="AW1305" s="51">
        <f t="shared" ref="AW1305:AW1309" si="1542">IFERROR(IF(AG1305="",0,AG1305/T1305),0)</f>
        <v>0</v>
      </c>
      <c r="AX1305" s="51">
        <f t="shared" ref="AX1305:AX1309" si="1543">IFERROR(IF(AH1305="",0,AH1305/U1305),0)</f>
        <v>0</v>
      </c>
      <c r="AY1305" s="51">
        <f t="shared" ref="AY1305:AY1309" si="1544">IFERROR(IF(AI1305="",0,AI1305/V1305),0)</f>
        <v>0</v>
      </c>
      <c r="AZ1305" s="51">
        <f t="shared" ref="AZ1305:AZ1309" si="1545">IFERROR(IF(AJ1305="",0,AJ1305/W1305),0)</f>
        <v>0</v>
      </c>
      <c r="BA1305" s="51"/>
      <c r="BB1305" s="51"/>
      <c r="BC1305" s="51"/>
      <c r="BD1305" s="51"/>
      <c r="BE1305" s="51"/>
      <c r="BF1305" s="51"/>
      <c r="BG1305" s="51"/>
      <c r="BH1305" s="51"/>
      <c r="BI1305" s="65" cm="1">
        <f t="array" ref="BI1305">IFERROR(INDEX(AW1305:BH1305,1,MATCH(2,1/(AW1305:BH1305&lt;&gt;""))),"")</f>
        <v>0</v>
      </c>
      <c r="BJ1305" s="68" cm="1">
        <f t="array" ref="BJ1305">IF(BM1305 = "", "",IFERROR(INDEX(AW1305:BH1305,1,MATCH(2,1/(AW1305:BH1305&lt;&gt;""),1)-1),""))</f>
        <v>0</v>
      </c>
      <c r="BK1305" s="58">
        <f>IF((IF(AW1305&gt;=115%,115%,AW1305) + IF(AX1305&gt;=115%,115%,AX1305) + IF(AY1305&gt;=115%,115%,AY1305) + (IF(AZ1305&gt;=115%,115%,AZ1305) + IF(BA1305&gt;=115%,115%,BA1305) + IF(BB1305&gt;=115%,115%,BB1305) + IF(BC1305&gt;=115%,115%,BC1305) + IF(BD1305&gt;=115%,115%,BD1305) + IF(BE1305&gt;=115%,115%,BE1305) + IF(BF1305&gt;=115%,115%,BF1305) + IF(BG1305&gt;=115%,115%,BG1305) + IF(BH1305&gt;=115%,115%,BH1305)))/_xlfn.XLOOKUP(F1305,Apuração!A:A,Apuração!B:B)&gt;=1.15,1.15,((IF(AZ1305&gt;=115%,115%,AZ1305) + IF(AX1305&gt;=115%,115%,AX1305) + IF(AY1305&gt;=115%,115%,AY1305) + (IF(AW1305&gt;=115%,115%,AW1305) + IF(BA1305&gt;=115%,115%,BA1305) + IF(BB1305&gt;=115%,115%,BB1305) + IF(BC1305&gt;=115%,115%,BC1305) + IF(BD1305&gt;=115%,115%,BD1305) + IF(BE1305&gt;=115%,115%,BE1305) + IF(BF1305&gt;=115%,115%,BF1305) + IF(BG1305&gt;=115%,115%,BG1305) + IF(BH1305&gt;=115%,115%,BH1305)))/_xlfn.XLOOKUP(F1305,Apuração!A:A,Apuração!B:B)))</f>
        <v>0</v>
      </c>
      <c r="BL1305" s="58" cm="1">
        <f t="array" aca="1" ref="BL1305" ca="1">IF(SUM(IFERROR(IF(INDEX(AW1305:INDEX(AW1305:BH1305, MATCH(2, 1/(AW1305:BH1305&lt;&gt;""), 1)-1), ROW(INDIRECT("1:" &amp; MATCH(2, 1/(AW1305:BH1305&lt;&gt;""), 1)-1))) &gt;= 115%, 115%, INDEX(AW1305:INDEX(AW1305:BH1305, MATCH(2, 1/(AW1305:BH1305&lt;&gt;""), 1)-1), ROW(INDIRECT("1:" &amp; MATCH(2, 1/(AW1305:BH1305&lt;&gt;""), 1)-1)))), 0))/_xlfn.XLOOKUP(F1305,Apuração!A:A,Apuração!B:B)&gt;=1.15,1.15,SUM(IFERROR(IF(INDEX(AW1305:INDEX(AW1305:BH1305, MATCH(2, 1/(AW1305:BH1305&lt;&gt;""), 1)-1), ROW(INDIRECT("1:" &amp; MATCH(2, 1/(AW1305:BH1305&lt;&gt;""), 1)-1))) &gt;= 115%, 115%, INDEX(AW1305:INDEX(AW1305:BH1305, MATCH(2, 1/(AW1305:BH1305&lt;&gt;""), 1)-1), ROW(INDIRECT("1:" &amp; MATCH(2, 1/(AW1305:BH1305&lt;&gt;""), 1)-1)))), 0))/_xlfn.XLOOKUP(F1305,Apuração!A:A,Apuração!B:B))</f>
        <v>0</v>
      </c>
      <c r="BM1305" s="55" cm="1">
        <f t="array" ref="BM1305">IFERROR(
   INDEX($AW$1:$BH$1,
      _xlfn.AGGREGATE(14, 6, COLUMN($AW$1:$BH$1)/(AW1305:BH1305&lt;&gt;""), 2) - COLUMN($AW$1) + 1
   ),
"")</f>
        <v>46082</v>
      </c>
      <c r="BN1305" s="55" cm="1">
        <f t="array" ref="BN1305">IFERROR(INDEX($AW$1:$BH$1,1,MATCH(2,1/(AW1305:BH1305&lt;&gt;""))),"")</f>
        <v>46113</v>
      </c>
      <c r="BO1305" s="53">
        <f ca="1">IFERROR(_xlfn.XLOOKUP(F1305,Apuração!A:A,Apuração!C:C)/_xlfn.XLOOKUP(F1305,Apuração!A:A,Apuração!B:B),0)</f>
        <v>0</v>
      </c>
      <c r="BP1305" s="53">
        <f ca="1">IFERROR(_xlfn.XLOOKUP(F1305,Apuração!A:A,Apuração!D:D)/_xlfn.XLOOKUP(F1305,Apuração!A:A,Apuração!B:B),0)</f>
        <v>0</v>
      </c>
      <c r="BQ1305" s="53">
        <f ca="1">IF(BK1305&gt;=BO1305,0,_xlfn.XLOOKUP(F1305,Apuração!A:A,Apuração!B:B)*(BO1305 + (1/_xlfn.XLOOKUP(F1305,Apuração!A:A,Apuração!B:B)) - BK1305))</f>
        <v>0</v>
      </c>
      <c r="BR1305" s="85">
        <f t="shared" ref="BR1305:BR1309" ca="1" si="1546">IF(BQ1305=0,0,BQ1305*Z1305)</f>
        <v>0</v>
      </c>
      <c r="BS1305" s="53">
        <f ca="1">IFERROR((_xlfn.XLOOKUP(F1305,Apuração!A:A,Apuração!C:C)+1)/_xlfn.XLOOKUP(F1305,Apuração!A:A,Apuração!B:B),0)</f>
        <v>0.14285714285714285</v>
      </c>
    </row>
    <row r="1306" spans="1:71" ht="25.95" hidden="1" customHeight="1" x14ac:dyDescent="0.3">
      <c r="A1306" s="25" t="s">
        <v>134</v>
      </c>
      <c r="B1306" s="15" t="s">
        <v>150</v>
      </c>
      <c r="C1306" s="5" t="s">
        <v>209</v>
      </c>
      <c r="D1306" s="5" t="s">
        <v>47</v>
      </c>
      <c r="E1306" s="4" t="str" cm="1">
        <f t="array" ref="E1306">_xlfn.IFS(
F1306 = "A partir de Abril", "Aguardando Execução na Distribuidora",
A1306 = "CAPACITAÇÃO", "Em execução no Corporativo",
TRUE, "Em Execução na Distribuidora"
)</f>
        <v>Em Execução na Distribuidora</v>
      </c>
      <c r="F1306" s="4" t="str" cm="1">
        <f t="array" ref="F1306">_xlfn.IFS(
AG1306 &lt;&gt; "", "Jan-Dez/26",
AH1306 &lt;&gt; "", "Fev-Dez/26",
AI1306 &lt;&gt; "", "Mar-Dez/26", AJ1306 &lt;&gt; "", "Abr-Dez/26",
TRUE, "A partir de Junho"
)</f>
        <v>A partir de Junho</v>
      </c>
      <c r="G1306" s="15" t="s">
        <v>37</v>
      </c>
      <c r="H1306" s="27" t="s">
        <v>54</v>
      </c>
      <c r="I1306" s="28" t="s">
        <v>124</v>
      </c>
      <c r="J1306" s="8" t="str" cm="1">
        <f t="array" aca="1" ref="J1306" ca="1">_xlfn.LET(
  _xlpm.actual_value_month, INDEX(T1306:AE1306, MATCH(DATE(YEAR(TODAY()), MONTH(TODAY()), 1), $T$1:$AE$1, 0)),
  IF(_xlpm.actual_value_month &lt;&gt; "",_xlpm.actual_value_month &amp; " reuniões mensais", "")
)</f>
        <v/>
      </c>
      <c r="K1306" s="8" t="str" cm="1">
        <f t="array" ref="K1306">_xlfn.LET(
    _xlpm.sum_month, SUM(T1306:AE1306),
    IF(_xlpm.sum_month = 0, "", _xlpm.sum_month &amp; " atividades no ano")
)</f>
        <v/>
      </c>
      <c r="L1306" s="29" t="s">
        <v>125</v>
      </c>
      <c r="M1306" s="30" t="s">
        <v>151</v>
      </c>
      <c r="N1306" s="66" t="s">
        <v>42</v>
      </c>
      <c r="O1306" s="111" t="s">
        <v>52</v>
      </c>
      <c r="P1306" s="31" t="s">
        <v>44</v>
      </c>
      <c r="Q1306" s="31" t="s">
        <v>72</v>
      </c>
      <c r="R1306" s="32" t="s">
        <v>44</v>
      </c>
      <c r="S1306" s="32" t="s">
        <v>44</v>
      </c>
      <c r="T1306" s="22"/>
      <c r="U1306" s="22"/>
      <c r="V1306" s="22"/>
      <c r="W1306" s="22"/>
      <c r="X1306" s="22"/>
      <c r="Y1306" s="22"/>
      <c r="Z1306" s="22"/>
      <c r="AA1306" s="22"/>
      <c r="AB1306" s="22"/>
      <c r="AC1306" s="22"/>
      <c r="AD1306" s="22"/>
      <c r="AE1306" s="22"/>
      <c r="AG1306" s="71"/>
      <c r="AH1306" s="71"/>
      <c r="AI1306" s="71"/>
      <c r="AJ1306" s="71"/>
      <c r="AK1306" s="71"/>
      <c r="AL1306" s="71"/>
      <c r="AM1306" s="71"/>
      <c r="AN1306" s="71"/>
      <c r="AO1306" s="71"/>
      <c r="AP1306" s="71"/>
      <c r="AQ1306" s="71"/>
      <c r="AR1306" s="71"/>
      <c r="AS1306" s="94">
        <f t="shared" ca="1" si="1539"/>
        <v>0</v>
      </c>
      <c r="AT1306" s="95">
        <f t="shared" si="1540"/>
        <v>0</v>
      </c>
      <c r="AU1306" s="97">
        <f t="shared" si="1541"/>
        <v>0</v>
      </c>
      <c r="AW1306" s="51">
        <f t="shared" si="1542"/>
        <v>0</v>
      </c>
      <c r="AX1306" s="51">
        <f t="shared" si="1543"/>
        <v>0</v>
      </c>
      <c r="AY1306" s="51">
        <f t="shared" si="1544"/>
        <v>0</v>
      </c>
      <c r="AZ1306" s="51">
        <f t="shared" si="1545"/>
        <v>0</v>
      </c>
      <c r="BA1306" s="51"/>
      <c r="BB1306" s="51"/>
      <c r="BC1306" s="51"/>
      <c r="BD1306" s="51"/>
      <c r="BE1306" s="51"/>
      <c r="BF1306" s="51"/>
      <c r="BG1306" s="51"/>
      <c r="BH1306" s="51"/>
      <c r="BI1306" s="65" cm="1">
        <f t="array" ref="BI1306">IFERROR(INDEX(AW1306:BH1306,1,MATCH(2,1/(AW1306:BH1306&lt;&gt;""))),"")</f>
        <v>0</v>
      </c>
      <c r="BJ1306" s="68" cm="1">
        <f t="array" ref="BJ1306">IF(BM1306 = "", "",IFERROR(INDEX(AW1306:BH1306,1,MATCH(2,1/(AW1306:BH1306&lt;&gt;""),1)-1),""))</f>
        <v>0</v>
      </c>
      <c r="BK1306" s="58">
        <f>IF((IF(AW1306&gt;=115%,115%,AW1306) + IF(AX1306&gt;=115%,115%,AX1306) + IF(AY1306&gt;=115%,115%,AY1306) + (IF(AZ1306&gt;=115%,115%,AZ1306) + IF(BA1306&gt;=115%,115%,BA1306) + IF(BB1306&gt;=115%,115%,BB1306) + IF(BC1306&gt;=115%,115%,BC1306) + IF(BD1306&gt;=115%,115%,BD1306) + IF(BE1306&gt;=115%,115%,BE1306) + IF(BF1306&gt;=115%,115%,BF1306) + IF(BG1306&gt;=115%,115%,BG1306) + IF(BH1306&gt;=115%,115%,BH1306)))/_xlfn.XLOOKUP(F1306,Apuração!A:A,Apuração!B:B)&gt;=1.15,1.15,((IF(AZ1306&gt;=115%,115%,AZ1306) + IF(AX1306&gt;=115%,115%,AX1306) + IF(AY1306&gt;=115%,115%,AY1306) + (IF(AW1306&gt;=115%,115%,AW1306) + IF(BA1306&gt;=115%,115%,BA1306) + IF(BB1306&gt;=115%,115%,BB1306) + IF(BC1306&gt;=115%,115%,BC1306) + IF(BD1306&gt;=115%,115%,BD1306) + IF(BE1306&gt;=115%,115%,BE1306) + IF(BF1306&gt;=115%,115%,BF1306) + IF(BG1306&gt;=115%,115%,BG1306) + IF(BH1306&gt;=115%,115%,BH1306)))/_xlfn.XLOOKUP(F1306,Apuração!A:A,Apuração!B:B)))</f>
        <v>0</v>
      </c>
      <c r="BL1306" s="58" cm="1">
        <f t="array" aca="1" ref="BL1306" ca="1">IF(SUM(IFERROR(IF(INDEX(AW1306:INDEX(AW1306:BH1306, MATCH(2, 1/(AW1306:BH1306&lt;&gt;""), 1)-1), ROW(INDIRECT("1:" &amp; MATCH(2, 1/(AW1306:BH1306&lt;&gt;""), 1)-1))) &gt;= 115%, 115%, INDEX(AW1306:INDEX(AW1306:BH1306, MATCH(2, 1/(AW1306:BH1306&lt;&gt;""), 1)-1), ROW(INDIRECT("1:" &amp; MATCH(2, 1/(AW1306:BH1306&lt;&gt;""), 1)-1)))), 0))/_xlfn.XLOOKUP(F1306,Apuração!A:A,Apuração!B:B)&gt;=1.15,1.15,SUM(IFERROR(IF(INDEX(AW1306:INDEX(AW1306:BH1306, MATCH(2, 1/(AW1306:BH1306&lt;&gt;""), 1)-1), ROW(INDIRECT("1:" &amp; MATCH(2, 1/(AW1306:BH1306&lt;&gt;""), 1)-1))) &gt;= 115%, 115%, INDEX(AW1306:INDEX(AW1306:BH1306, MATCH(2, 1/(AW1306:BH1306&lt;&gt;""), 1)-1), ROW(INDIRECT("1:" &amp; MATCH(2, 1/(AW1306:BH1306&lt;&gt;""), 1)-1)))), 0))/_xlfn.XLOOKUP(F1306,Apuração!A:A,Apuração!B:B))</f>
        <v>0</v>
      </c>
      <c r="BM1306" s="55" cm="1">
        <f t="array" ref="BM1306">IFERROR(
   INDEX($AW$1:$BH$1,
      _xlfn.AGGREGATE(14, 6, COLUMN($AW$1:$BH$1)/(AW1306:BH1306&lt;&gt;""), 2) - COLUMN($AW$1) + 1
   ),
"")</f>
        <v>46082</v>
      </c>
      <c r="BN1306" s="55" cm="1">
        <f t="array" ref="BN1306">IFERROR(INDEX($AW$1:$BH$1,1,MATCH(2,1/(AW1306:BH1306&lt;&gt;""))),"")</f>
        <v>46113</v>
      </c>
      <c r="BO1306" s="53">
        <f ca="1">IFERROR(_xlfn.XLOOKUP(F1306,Apuração!A:A,Apuração!C:C)/_xlfn.XLOOKUP(F1306,Apuração!A:A,Apuração!B:B),0)</f>
        <v>0</v>
      </c>
      <c r="BP1306" s="53">
        <f ca="1">IFERROR(_xlfn.XLOOKUP(F1306,Apuração!A:A,Apuração!D:D)/_xlfn.XLOOKUP(F1306,Apuração!A:A,Apuração!B:B),0)</f>
        <v>0</v>
      </c>
      <c r="BQ1306" s="53">
        <f ca="1">IF(BK1306&gt;=BO1306,0,_xlfn.XLOOKUP(F1306,Apuração!A:A,Apuração!B:B)*(BO1306 + (1/_xlfn.XLOOKUP(F1306,Apuração!A:A,Apuração!B:B)) - BK1306))</f>
        <v>0</v>
      </c>
      <c r="BR1306" s="85">
        <f t="shared" ca="1" si="1546"/>
        <v>0</v>
      </c>
      <c r="BS1306" s="53">
        <f ca="1">IFERROR((_xlfn.XLOOKUP(F1306,Apuração!A:A,Apuração!C:C)+1)/_xlfn.XLOOKUP(F1306,Apuração!A:A,Apuração!B:B),0)</f>
        <v>0.14285714285714285</v>
      </c>
    </row>
    <row r="1307" spans="1:71" ht="25.95" hidden="1" customHeight="1" x14ac:dyDescent="0.3">
      <c r="A1307" s="25" t="s">
        <v>134</v>
      </c>
      <c r="B1307" s="15" t="s">
        <v>150</v>
      </c>
      <c r="C1307" s="5" t="s">
        <v>209</v>
      </c>
      <c r="D1307" s="5" t="s">
        <v>211</v>
      </c>
      <c r="E1307" s="4" t="str" cm="1">
        <f t="array" ref="E1307">_xlfn.IFS(
F1307 = "A partir de Abril", "Aguardando Execução na Distribuidora",
A1307 = "CAPACITAÇÃO", "Em execução no Corporativo",
TRUE, "Em Execução na Distribuidora"
)</f>
        <v>Em Execução na Distribuidora</v>
      </c>
      <c r="F1307" s="4" t="str" cm="1">
        <f t="array" ref="F1307">_xlfn.IFS(
AG1307 &lt;&gt; "", "Jan-Dez/26",
AH1307 &lt;&gt; "", "Fev-Dez/26",
AI1307 &lt;&gt; "", "Mar-Dez/26", AJ1307 &lt;&gt; "", "Abr-Dez/26",
TRUE, "A partir de Junho"
)</f>
        <v>A partir de Junho</v>
      </c>
      <c r="G1307" s="15" t="s">
        <v>37</v>
      </c>
      <c r="H1307" s="27" t="s">
        <v>54</v>
      </c>
      <c r="I1307" s="28" t="s">
        <v>124</v>
      </c>
      <c r="J1307" s="8" t="str" cm="1">
        <f t="array" aca="1" ref="J1307" ca="1">_xlfn.LET(
  _xlpm.actual_value_month, INDEX(T1307:AE1307, MATCH(DATE(YEAR(TODAY()), MONTH(TODAY()), 1), $T$1:$AE$1, 0)),
  IF(_xlpm.actual_value_month &lt;&gt; "",_xlpm.actual_value_month &amp; " reuniões mensais", "")
)</f>
        <v/>
      </c>
      <c r="K1307" s="8" t="str" cm="1">
        <f t="array" ref="K1307">_xlfn.LET(
    _xlpm.sum_month, SUM(T1307:AE1307),
    IF(_xlpm.sum_month = 0, "", _xlpm.sum_month &amp; " atividades no ano")
)</f>
        <v/>
      </c>
      <c r="L1307" s="29" t="s">
        <v>125</v>
      </c>
      <c r="M1307" s="30" t="s">
        <v>151</v>
      </c>
      <c r="N1307" s="66" t="s">
        <v>42</v>
      </c>
      <c r="O1307" s="111" t="s">
        <v>52</v>
      </c>
      <c r="P1307" s="31" t="s">
        <v>44</v>
      </c>
      <c r="Q1307" s="31" t="s">
        <v>72</v>
      </c>
      <c r="R1307" s="32" t="s">
        <v>44</v>
      </c>
      <c r="S1307" s="32" t="s">
        <v>44</v>
      </c>
      <c r="T1307" s="22"/>
      <c r="U1307" s="22"/>
      <c r="V1307" s="22"/>
      <c r="W1307" s="22"/>
      <c r="X1307" s="22"/>
      <c r="Y1307" s="22"/>
      <c r="Z1307" s="22"/>
      <c r="AA1307" s="22"/>
      <c r="AB1307" s="22"/>
      <c r="AC1307" s="22"/>
      <c r="AD1307" s="22"/>
      <c r="AE1307" s="22"/>
      <c r="AG1307" s="71"/>
      <c r="AH1307" s="71"/>
      <c r="AI1307" s="71"/>
      <c r="AJ1307" s="71"/>
      <c r="AK1307" s="71"/>
      <c r="AL1307" s="71"/>
      <c r="AM1307" s="71"/>
      <c r="AN1307" s="71"/>
      <c r="AO1307" s="71"/>
      <c r="AP1307" s="71"/>
      <c r="AQ1307" s="71"/>
      <c r="AR1307" s="71"/>
      <c r="AS1307" s="94">
        <f t="shared" ca="1" si="1539"/>
        <v>0</v>
      </c>
      <c r="AT1307" s="95">
        <f t="shared" si="1540"/>
        <v>0</v>
      </c>
      <c r="AU1307" s="97">
        <f t="shared" si="1541"/>
        <v>0</v>
      </c>
      <c r="AW1307" s="51">
        <f t="shared" si="1542"/>
        <v>0</v>
      </c>
      <c r="AX1307" s="51">
        <f t="shared" si="1543"/>
        <v>0</v>
      </c>
      <c r="AY1307" s="51">
        <f t="shared" si="1544"/>
        <v>0</v>
      </c>
      <c r="AZ1307" s="51">
        <f t="shared" si="1545"/>
        <v>0</v>
      </c>
      <c r="BA1307" s="51"/>
      <c r="BB1307" s="51"/>
      <c r="BC1307" s="51"/>
      <c r="BD1307" s="51"/>
      <c r="BE1307" s="51"/>
      <c r="BF1307" s="51"/>
      <c r="BG1307" s="51"/>
      <c r="BH1307" s="51"/>
      <c r="BI1307" s="65" cm="1">
        <f t="array" ref="BI1307">IFERROR(INDEX(AW1307:BH1307,1,MATCH(2,1/(AW1307:BH1307&lt;&gt;""))),"")</f>
        <v>0</v>
      </c>
      <c r="BJ1307" s="68" cm="1">
        <f t="array" ref="BJ1307">IF(BM1307 = "", "",IFERROR(INDEX(AW1307:BH1307,1,MATCH(2,1/(AW1307:BH1307&lt;&gt;""),1)-1),""))</f>
        <v>0</v>
      </c>
      <c r="BK1307" s="58">
        <f>IF((IF(AW1307&gt;=115%,115%,AW1307) + IF(AX1307&gt;=115%,115%,AX1307) + IF(AY1307&gt;=115%,115%,AY1307) + (IF(AZ1307&gt;=115%,115%,AZ1307) + IF(BA1307&gt;=115%,115%,BA1307) + IF(BB1307&gt;=115%,115%,BB1307) + IF(BC1307&gt;=115%,115%,BC1307) + IF(BD1307&gt;=115%,115%,BD1307) + IF(BE1307&gt;=115%,115%,BE1307) + IF(BF1307&gt;=115%,115%,BF1307) + IF(BG1307&gt;=115%,115%,BG1307) + IF(BH1307&gt;=115%,115%,BH1307)))/_xlfn.XLOOKUP(F1307,Apuração!A:A,Apuração!B:B)&gt;=1.15,1.15,((IF(AZ1307&gt;=115%,115%,AZ1307) + IF(AX1307&gt;=115%,115%,AX1307) + IF(AY1307&gt;=115%,115%,AY1307) + (IF(AW1307&gt;=115%,115%,AW1307) + IF(BA1307&gt;=115%,115%,BA1307) + IF(BB1307&gt;=115%,115%,BB1307) + IF(BC1307&gt;=115%,115%,BC1307) + IF(BD1307&gt;=115%,115%,BD1307) + IF(BE1307&gt;=115%,115%,BE1307) + IF(BF1307&gt;=115%,115%,BF1307) + IF(BG1307&gt;=115%,115%,BG1307) + IF(BH1307&gt;=115%,115%,BH1307)))/_xlfn.XLOOKUP(F1307,Apuração!A:A,Apuração!B:B)))</f>
        <v>0</v>
      </c>
      <c r="BL1307" s="58" cm="1">
        <f t="array" aca="1" ref="BL1307" ca="1">IF(SUM(IFERROR(IF(INDEX(AW1307:INDEX(AW1307:BH1307, MATCH(2, 1/(AW1307:BH1307&lt;&gt;""), 1)-1), ROW(INDIRECT("1:" &amp; MATCH(2, 1/(AW1307:BH1307&lt;&gt;""), 1)-1))) &gt;= 115%, 115%, INDEX(AW1307:INDEX(AW1307:BH1307, MATCH(2, 1/(AW1307:BH1307&lt;&gt;""), 1)-1), ROW(INDIRECT("1:" &amp; MATCH(2, 1/(AW1307:BH1307&lt;&gt;""), 1)-1)))), 0))/_xlfn.XLOOKUP(F1307,Apuração!A:A,Apuração!B:B)&gt;=1.15,1.15,SUM(IFERROR(IF(INDEX(AW1307:INDEX(AW1307:BH1307, MATCH(2, 1/(AW1307:BH1307&lt;&gt;""), 1)-1), ROW(INDIRECT("1:" &amp; MATCH(2, 1/(AW1307:BH1307&lt;&gt;""), 1)-1))) &gt;= 115%, 115%, INDEX(AW1307:INDEX(AW1307:BH1307, MATCH(2, 1/(AW1307:BH1307&lt;&gt;""), 1)-1), ROW(INDIRECT("1:" &amp; MATCH(2, 1/(AW1307:BH1307&lt;&gt;""), 1)-1)))), 0))/_xlfn.XLOOKUP(F1307,Apuração!A:A,Apuração!B:B))</f>
        <v>0</v>
      </c>
      <c r="BM1307" s="55" cm="1">
        <f t="array" ref="BM1307">IFERROR(
   INDEX($AW$1:$BH$1,
      _xlfn.AGGREGATE(14, 6, COLUMN($AW$1:$BH$1)/(AW1307:BH1307&lt;&gt;""), 2) - COLUMN($AW$1) + 1
   ),
"")</f>
        <v>46082</v>
      </c>
      <c r="BN1307" s="55" cm="1">
        <f t="array" ref="BN1307">IFERROR(INDEX($AW$1:$BH$1,1,MATCH(2,1/(AW1307:BH1307&lt;&gt;""))),"")</f>
        <v>46113</v>
      </c>
      <c r="BO1307" s="53">
        <f ca="1">IFERROR(_xlfn.XLOOKUP(F1307,Apuração!A:A,Apuração!C:C)/_xlfn.XLOOKUP(F1307,Apuração!A:A,Apuração!B:B),0)</f>
        <v>0</v>
      </c>
      <c r="BP1307" s="53">
        <f ca="1">IFERROR(_xlfn.XLOOKUP(F1307,Apuração!A:A,Apuração!D:D)/_xlfn.XLOOKUP(F1307,Apuração!A:A,Apuração!B:B),0)</f>
        <v>0</v>
      </c>
      <c r="BQ1307" s="53">
        <f ca="1">IF(BK1307&gt;=BO1307,0,_xlfn.XLOOKUP(F1307,Apuração!A:A,Apuração!B:B)*(BO1307 + (1/_xlfn.XLOOKUP(F1307,Apuração!A:A,Apuração!B:B)) - BK1307))</f>
        <v>0</v>
      </c>
      <c r="BR1307" s="85">
        <f t="shared" ca="1" si="1546"/>
        <v>0</v>
      </c>
      <c r="BS1307" s="53">
        <f ca="1">IFERROR((_xlfn.XLOOKUP(F1307,Apuração!A:A,Apuração!C:C)+1)/_xlfn.XLOOKUP(F1307,Apuração!A:A,Apuração!B:B),0)</f>
        <v>0.14285714285714285</v>
      </c>
    </row>
    <row r="1308" spans="1:71" ht="25.95" hidden="1" customHeight="1" x14ac:dyDescent="0.3">
      <c r="A1308" s="25" t="s">
        <v>134</v>
      </c>
      <c r="B1308" s="15" t="s">
        <v>150</v>
      </c>
      <c r="C1308" s="5" t="s">
        <v>209</v>
      </c>
      <c r="D1308" s="5" t="s">
        <v>212</v>
      </c>
      <c r="E1308" s="4" t="str" cm="1">
        <f t="array" ref="E1308">_xlfn.IFS(
F1308 = "A partir de Abril", "Aguardando Execução na Distribuidora",
A1308 = "CAPACITAÇÃO", "Em execução no Corporativo",
TRUE, "Em Execução na Distribuidora"
)</f>
        <v>Em Execução na Distribuidora</v>
      </c>
      <c r="F1308" s="4" t="str" cm="1">
        <f t="array" ref="F1308">_xlfn.IFS(
AG1308 &lt;&gt; "", "Jan-Dez/26",
AH1308 &lt;&gt; "", "Fev-Dez/26",
AI1308 &lt;&gt; "", "Mar-Dez/26", AJ1308 &lt;&gt; "", "Abr-Dez/26",
TRUE, "A partir de Junho"
)</f>
        <v>A partir de Junho</v>
      </c>
      <c r="G1308" s="15" t="s">
        <v>37</v>
      </c>
      <c r="H1308" s="27" t="s">
        <v>54</v>
      </c>
      <c r="I1308" s="28" t="s">
        <v>124</v>
      </c>
      <c r="J1308" s="8" t="str" cm="1">
        <f t="array" aca="1" ref="J1308" ca="1">_xlfn.LET(
  _xlpm.actual_value_month, INDEX(T1308:AE1308, MATCH(DATE(YEAR(TODAY()), MONTH(TODAY()), 1), $T$1:$AE$1, 0)),
  IF(_xlpm.actual_value_month &lt;&gt; "",_xlpm.actual_value_month &amp; " reuniões mensais", "")
)</f>
        <v/>
      </c>
      <c r="K1308" s="8" t="str" cm="1">
        <f t="array" ref="K1308">_xlfn.LET(
    _xlpm.sum_month, SUM(T1308:AE1308),
    IF(_xlpm.sum_month = 0, "", _xlpm.sum_month &amp; " atividades no ano")
)</f>
        <v/>
      </c>
      <c r="L1308" s="29" t="s">
        <v>125</v>
      </c>
      <c r="M1308" s="30" t="s">
        <v>151</v>
      </c>
      <c r="N1308" s="66" t="s">
        <v>42</v>
      </c>
      <c r="O1308" s="111" t="s">
        <v>52</v>
      </c>
      <c r="P1308" s="31" t="s">
        <v>44</v>
      </c>
      <c r="Q1308" s="31" t="s">
        <v>72</v>
      </c>
      <c r="R1308" s="32" t="s">
        <v>44</v>
      </c>
      <c r="S1308" s="32" t="s">
        <v>44</v>
      </c>
      <c r="T1308" s="22"/>
      <c r="U1308" s="22"/>
      <c r="V1308" s="22"/>
      <c r="W1308" s="22"/>
      <c r="X1308" s="22"/>
      <c r="Y1308" s="22"/>
      <c r="Z1308" s="22"/>
      <c r="AA1308" s="22"/>
      <c r="AB1308" s="22"/>
      <c r="AC1308" s="22"/>
      <c r="AD1308" s="22"/>
      <c r="AE1308" s="22"/>
      <c r="AG1308" s="71"/>
      <c r="AH1308" s="71"/>
      <c r="AI1308" s="71"/>
      <c r="AJ1308" s="71"/>
      <c r="AK1308" s="71"/>
      <c r="AL1308" s="71"/>
      <c r="AM1308" s="71"/>
      <c r="AN1308" s="71"/>
      <c r="AO1308" s="71"/>
      <c r="AP1308" s="71"/>
      <c r="AQ1308" s="71"/>
      <c r="AR1308" s="71"/>
      <c r="AS1308" s="94">
        <f t="shared" ca="1" si="1539"/>
        <v>0</v>
      </c>
      <c r="AT1308" s="95">
        <f t="shared" si="1540"/>
        <v>0</v>
      </c>
      <c r="AU1308" s="97">
        <f t="shared" si="1541"/>
        <v>0</v>
      </c>
      <c r="AW1308" s="51">
        <f t="shared" si="1542"/>
        <v>0</v>
      </c>
      <c r="AX1308" s="51">
        <f t="shared" si="1543"/>
        <v>0</v>
      </c>
      <c r="AY1308" s="51">
        <f t="shared" si="1544"/>
        <v>0</v>
      </c>
      <c r="AZ1308" s="51">
        <f t="shared" si="1545"/>
        <v>0</v>
      </c>
      <c r="BA1308" s="51"/>
      <c r="BB1308" s="51"/>
      <c r="BC1308" s="51"/>
      <c r="BD1308" s="51"/>
      <c r="BE1308" s="51"/>
      <c r="BF1308" s="51"/>
      <c r="BG1308" s="51"/>
      <c r="BH1308" s="51"/>
      <c r="BI1308" s="65" cm="1">
        <f t="array" ref="BI1308">IFERROR(INDEX(AW1308:BH1308,1,MATCH(2,1/(AW1308:BH1308&lt;&gt;""))),"")</f>
        <v>0</v>
      </c>
      <c r="BJ1308" s="68" cm="1">
        <f t="array" ref="BJ1308">IF(BM1308 = "", "",IFERROR(INDEX(AW1308:BH1308,1,MATCH(2,1/(AW1308:BH1308&lt;&gt;""),1)-1),""))</f>
        <v>0</v>
      </c>
      <c r="BK1308" s="58">
        <f>IF((IF(AW1308&gt;=115%,115%,AW1308) + IF(AX1308&gt;=115%,115%,AX1308) + IF(AY1308&gt;=115%,115%,AY1308) + (IF(AZ1308&gt;=115%,115%,AZ1308) + IF(BA1308&gt;=115%,115%,BA1308) + IF(BB1308&gt;=115%,115%,BB1308) + IF(BC1308&gt;=115%,115%,BC1308) + IF(BD1308&gt;=115%,115%,BD1308) + IF(BE1308&gt;=115%,115%,BE1308) + IF(BF1308&gt;=115%,115%,BF1308) + IF(BG1308&gt;=115%,115%,BG1308) + IF(BH1308&gt;=115%,115%,BH1308)))/_xlfn.XLOOKUP(F1308,Apuração!A:A,Apuração!B:B)&gt;=1.15,1.15,((IF(AZ1308&gt;=115%,115%,AZ1308) + IF(AX1308&gt;=115%,115%,AX1308) + IF(AY1308&gt;=115%,115%,AY1308) + (IF(AW1308&gt;=115%,115%,AW1308) + IF(BA1308&gt;=115%,115%,BA1308) + IF(BB1308&gt;=115%,115%,BB1308) + IF(BC1308&gt;=115%,115%,BC1308) + IF(BD1308&gt;=115%,115%,BD1308) + IF(BE1308&gt;=115%,115%,BE1308) + IF(BF1308&gt;=115%,115%,BF1308) + IF(BG1308&gt;=115%,115%,BG1308) + IF(BH1308&gt;=115%,115%,BH1308)))/_xlfn.XLOOKUP(F1308,Apuração!A:A,Apuração!B:B)))</f>
        <v>0</v>
      </c>
      <c r="BL1308" s="58" cm="1">
        <f t="array" aca="1" ref="BL1308" ca="1">IF(SUM(IFERROR(IF(INDEX(AW1308:INDEX(AW1308:BH1308, MATCH(2, 1/(AW1308:BH1308&lt;&gt;""), 1)-1), ROW(INDIRECT("1:" &amp; MATCH(2, 1/(AW1308:BH1308&lt;&gt;""), 1)-1))) &gt;= 115%, 115%, INDEX(AW1308:INDEX(AW1308:BH1308, MATCH(2, 1/(AW1308:BH1308&lt;&gt;""), 1)-1), ROW(INDIRECT("1:" &amp; MATCH(2, 1/(AW1308:BH1308&lt;&gt;""), 1)-1)))), 0))/_xlfn.XLOOKUP(F1308,Apuração!A:A,Apuração!B:B)&gt;=1.15,1.15,SUM(IFERROR(IF(INDEX(AW1308:INDEX(AW1308:BH1308, MATCH(2, 1/(AW1308:BH1308&lt;&gt;""), 1)-1), ROW(INDIRECT("1:" &amp; MATCH(2, 1/(AW1308:BH1308&lt;&gt;""), 1)-1))) &gt;= 115%, 115%, INDEX(AW1308:INDEX(AW1308:BH1308, MATCH(2, 1/(AW1308:BH1308&lt;&gt;""), 1)-1), ROW(INDIRECT("1:" &amp; MATCH(2, 1/(AW1308:BH1308&lt;&gt;""), 1)-1)))), 0))/_xlfn.XLOOKUP(F1308,Apuração!A:A,Apuração!B:B))</f>
        <v>0</v>
      </c>
      <c r="BM1308" s="55" cm="1">
        <f t="array" ref="BM1308">IFERROR(
   INDEX($AW$1:$BH$1,
      _xlfn.AGGREGATE(14, 6, COLUMN($AW$1:$BH$1)/(AW1308:BH1308&lt;&gt;""), 2) - COLUMN($AW$1) + 1
   ),
"")</f>
        <v>46082</v>
      </c>
      <c r="BN1308" s="55" cm="1">
        <f t="array" ref="BN1308">IFERROR(INDEX($AW$1:$BH$1,1,MATCH(2,1/(AW1308:BH1308&lt;&gt;""))),"")</f>
        <v>46113</v>
      </c>
      <c r="BO1308" s="53">
        <f ca="1">IFERROR(_xlfn.XLOOKUP(F1308,Apuração!A:A,Apuração!C:C)/_xlfn.XLOOKUP(F1308,Apuração!A:A,Apuração!B:B),0)</f>
        <v>0</v>
      </c>
      <c r="BP1308" s="53">
        <f ca="1">IFERROR(_xlfn.XLOOKUP(F1308,Apuração!A:A,Apuração!D:D)/_xlfn.XLOOKUP(F1308,Apuração!A:A,Apuração!B:B),0)</f>
        <v>0</v>
      </c>
      <c r="BQ1308" s="53">
        <f ca="1">IF(BK1308&gt;=BO1308,0,_xlfn.XLOOKUP(F1308,Apuração!A:A,Apuração!B:B)*(BO1308 + (1/_xlfn.XLOOKUP(F1308,Apuração!A:A,Apuração!B:B)) - BK1308))</f>
        <v>0</v>
      </c>
      <c r="BR1308" s="85">
        <f t="shared" ca="1" si="1546"/>
        <v>0</v>
      </c>
      <c r="BS1308" s="53">
        <f ca="1">IFERROR((_xlfn.XLOOKUP(F1308,Apuração!A:A,Apuração!C:C)+1)/_xlfn.XLOOKUP(F1308,Apuração!A:A,Apuração!B:B),0)</f>
        <v>0.14285714285714285</v>
      </c>
    </row>
    <row r="1309" spans="1:71" ht="25.95" hidden="1" customHeight="1" x14ac:dyDescent="0.3">
      <c r="A1309" s="25" t="s">
        <v>134</v>
      </c>
      <c r="B1309" s="15" t="s">
        <v>150</v>
      </c>
      <c r="C1309" s="5" t="s">
        <v>209</v>
      </c>
      <c r="D1309" s="5" t="s">
        <v>213</v>
      </c>
      <c r="E1309" s="4" t="str" cm="1">
        <f t="array" ref="E1309">_xlfn.IFS(
F1309 = "A partir de Abril", "Aguardando Execução na Distribuidora",
A1309 = "CAPACITAÇÃO", "Em execução no Corporativo",
TRUE, "Em Execução na Distribuidora"
)</f>
        <v>Em Execução na Distribuidora</v>
      </c>
      <c r="F1309" s="4" t="str" cm="1">
        <f t="array" ref="F1309">_xlfn.IFS(
AG1309 &lt;&gt; "", "Jan-Dez/26",
AH1309 &lt;&gt; "", "Fev-Dez/26",
AI1309 &lt;&gt; "", "Mar-Dez/26", AJ1309 &lt;&gt; "", "Abr-Dez/26",
TRUE, "A partir de Junho"
)</f>
        <v>A partir de Junho</v>
      </c>
      <c r="G1309" s="15" t="s">
        <v>37</v>
      </c>
      <c r="H1309" s="27" t="s">
        <v>54</v>
      </c>
      <c r="I1309" s="28" t="s">
        <v>124</v>
      </c>
      <c r="J1309" s="8" t="str" cm="1">
        <f t="array" aca="1" ref="J1309" ca="1">_xlfn.LET(
  _xlpm.actual_value_month, INDEX(T1309:AE1309, MATCH(DATE(YEAR(TODAY()), MONTH(TODAY()), 1), $T$1:$AE$1, 0)),
  IF(_xlpm.actual_value_month &lt;&gt; "",_xlpm.actual_value_month &amp; " reuniões mensais", "")
)</f>
        <v/>
      </c>
      <c r="K1309" s="8" t="str" cm="1">
        <f t="array" ref="K1309">_xlfn.LET(
    _xlpm.sum_month, SUM(T1309:AE1309),
    IF(_xlpm.sum_month = 0, "", _xlpm.sum_month &amp; " atividades no ano")
)</f>
        <v/>
      </c>
      <c r="L1309" s="29" t="s">
        <v>125</v>
      </c>
      <c r="M1309" s="30" t="s">
        <v>151</v>
      </c>
      <c r="N1309" s="66" t="s">
        <v>42</v>
      </c>
      <c r="O1309" s="111" t="s">
        <v>52</v>
      </c>
      <c r="P1309" s="31" t="s">
        <v>44</v>
      </c>
      <c r="Q1309" s="31" t="s">
        <v>72</v>
      </c>
      <c r="R1309" s="32" t="s">
        <v>44</v>
      </c>
      <c r="S1309" s="32" t="s">
        <v>44</v>
      </c>
      <c r="T1309" s="22"/>
      <c r="U1309" s="22"/>
      <c r="V1309" s="22"/>
      <c r="W1309" s="22"/>
      <c r="X1309" s="22"/>
      <c r="Y1309" s="22"/>
      <c r="Z1309" s="22"/>
      <c r="AA1309" s="22"/>
      <c r="AB1309" s="22"/>
      <c r="AC1309" s="22"/>
      <c r="AD1309" s="22"/>
      <c r="AE1309" s="22"/>
      <c r="AG1309" s="71"/>
      <c r="AH1309" s="71"/>
      <c r="AI1309" s="71"/>
      <c r="AJ1309" s="71"/>
      <c r="AK1309" s="71"/>
      <c r="AL1309" s="71"/>
      <c r="AM1309" s="71"/>
      <c r="AN1309" s="71"/>
      <c r="AO1309" s="71"/>
      <c r="AP1309" s="71"/>
      <c r="AQ1309" s="71"/>
      <c r="AR1309" s="71"/>
      <c r="AS1309" s="94">
        <f t="shared" ca="1" si="1539"/>
        <v>0</v>
      </c>
      <c r="AT1309" s="95">
        <f t="shared" si="1540"/>
        <v>0</v>
      </c>
      <c r="AU1309" s="97">
        <f t="shared" si="1541"/>
        <v>0</v>
      </c>
      <c r="AW1309" s="51">
        <f t="shared" si="1542"/>
        <v>0</v>
      </c>
      <c r="AX1309" s="51">
        <f t="shared" si="1543"/>
        <v>0</v>
      </c>
      <c r="AY1309" s="51">
        <f t="shared" si="1544"/>
        <v>0</v>
      </c>
      <c r="AZ1309" s="51">
        <f t="shared" si="1545"/>
        <v>0</v>
      </c>
      <c r="BA1309" s="51"/>
      <c r="BB1309" s="51"/>
      <c r="BC1309" s="51"/>
      <c r="BD1309" s="51"/>
      <c r="BE1309" s="51"/>
      <c r="BF1309" s="51"/>
      <c r="BG1309" s="51"/>
      <c r="BH1309" s="51"/>
      <c r="BI1309" s="65" cm="1">
        <f t="array" ref="BI1309">IFERROR(INDEX(AW1309:BH1309,1,MATCH(2,1/(AW1309:BH1309&lt;&gt;""))),"")</f>
        <v>0</v>
      </c>
      <c r="BJ1309" s="68" cm="1">
        <f t="array" ref="BJ1309">IF(BM1309 = "", "",IFERROR(INDEX(AW1309:BH1309,1,MATCH(2,1/(AW1309:BH1309&lt;&gt;""),1)-1),""))</f>
        <v>0</v>
      </c>
      <c r="BK1309" s="58">
        <f>IF((IF(AW1309&gt;=115%,115%,AW1309) + IF(AX1309&gt;=115%,115%,AX1309) + IF(AY1309&gt;=115%,115%,AY1309) + (IF(AZ1309&gt;=115%,115%,AZ1309) + IF(BA1309&gt;=115%,115%,BA1309) + IF(BB1309&gt;=115%,115%,BB1309) + IF(BC1309&gt;=115%,115%,BC1309) + IF(BD1309&gt;=115%,115%,BD1309) + IF(BE1309&gt;=115%,115%,BE1309) + IF(BF1309&gt;=115%,115%,BF1309) + IF(BG1309&gt;=115%,115%,BG1309) + IF(BH1309&gt;=115%,115%,BH1309)))/_xlfn.XLOOKUP(F1309,Apuração!A:A,Apuração!B:B)&gt;=1.15,1.15,((IF(AZ1309&gt;=115%,115%,AZ1309) + IF(AX1309&gt;=115%,115%,AX1309) + IF(AY1309&gt;=115%,115%,AY1309) + (IF(AW1309&gt;=115%,115%,AW1309) + IF(BA1309&gt;=115%,115%,BA1309) + IF(BB1309&gt;=115%,115%,BB1309) + IF(BC1309&gt;=115%,115%,BC1309) + IF(BD1309&gt;=115%,115%,BD1309) + IF(BE1309&gt;=115%,115%,BE1309) + IF(BF1309&gt;=115%,115%,BF1309) + IF(BG1309&gt;=115%,115%,BG1309) + IF(BH1309&gt;=115%,115%,BH1309)))/_xlfn.XLOOKUP(F1309,Apuração!A:A,Apuração!B:B)))</f>
        <v>0</v>
      </c>
      <c r="BL1309" s="58" cm="1">
        <f t="array" aca="1" ref="BL1309" ca="1">IF(SUM(IFERROR(IF(INDEX(AW1309:INDEX(AW1309:BH1309, MATCH(2, 1/(AW1309:BH1309&lt;&gt;""), 1)-1), ROW(INDIRECT("1:" &amp; MATCH(2, 1/(AW1309:BH1309&lt;&gt;""), 1)-1))) &gt;= 115%, 115%, INDEX(AW1309:INDEX(AW1309:BH1309, MATCH(2, 1/(AW1309:BH1309&lt;&gt;""), 1)-1), ROW(INDIRECT("1:" &amp; MATCH(2, 1/(AW1309:BH1309&lt;&gt;""), 1)-1)))), 0))/_xlfn.XLOOKUP(F1309,Apuração!A:A,Apuração!B:B)&gt;=1.15,1.15,SUM(IFERROR(IF(INDEX(AW1309:INDEX(AW1309:BH1309, MATCH(2, 1/(AW1309:BH1309&lt;&gt;""), 1)-1), ROW(INDIRECT("1:" &amp; MATCH(2, 1/(AW1309:BH1309&lt;&gt;""), 1)-1))) &gt;= 115%, 115%, INDEX(AW1309:INDEX(AW1309:BH1309, MATCH(2, 1/(AW1309:BH1309&lt;&gt;""), 1)-1), ROW(INDIRECT("1:" &amp; MATCH(2, 1/(AW1309:BH1309&lt;&gt;""), 1)-1)))), 0))/_xlfn.XLOOKUP(F1309,Apuração!A:A,Apuração!B:B))</f>
        <v>0</v>
      </c>
      <c r="BM1309" s="55" cm="1">
        <f t="array" ref="BM1309">IFERROR(
   INDEX($AW$1:$BH$1,
      _xlfn.AGGREGATE(14, 6, COLUMN($AW$1:$BH$1)/(AW1309:BH1309&lt;&gt;""), 2) - COLUMN($AW$1) + 1
   ),
"")</f>
        <v>46082</v>
      </c>
      <c r="BN1309" s="55" cm="1">
        <f t="array" ref="BN1309">IFERROR(INDEX($AW$1:$BH$1,1,MATCH(2,1/(AW1309:BH1309&lt;&gt;""))),"")</f>
        <v>46113</v>
      </c>
      <c r="BO1309" s="53">
        <f ca="1">IFERROR(_xlfn.XLOOKUP(F1309,Apuração!A:A,Apuração!C:C)/_xlfn.XLOOKUP(F1309,Apuração!A:A,Apuração!B:B),0)</f>
        <v>0</v>
      </c>
      <c r="BP1309" s="53">
        <f ca="1">IFERROR(_xlfn.XLOOKUP(F1309,Apuração!A:A,Apuração!D:D)/_xlfn.XLOOKUP(F1309,Apuração!A:A,Apuração!B:B),0)</f>
        <v>0</v>
      </c>
      <c r="BQ1309" s="53">
        <f ca="1">IF(BK1309&gt;=BO1309,0,_xlfn.XLOOKUP(F1309,Apuração!A:A,Apuração!B:B)*(BO1309 + (1/_xlfn.XLOOKUP(F1309,Apuração!A:A,Apuração!B:B)) - BK1309))</f>
        <v>0</v>
      </c>
      <c r="BR1309" s="85">
        <f t="shared" ca="1" si="1546"/>
        <v>0</v>
      </c>
      <c r="BS1309" s="53">
        <f ca="1">IFERROR((_xlfn.XLOOKUP(F1309,Apuração!A:A,Apuração!C:C)+1)/_xlfn.XLOOKUP(F1309,Apuração!A:A,Apuração!B:B),0)</f>
        <v>0.14285714285714285</v>
      </c>
    </row>
    <row r="1310" spans="1:71" ht="25.95" hidden="1" customHeight="1" x14ac:dyDescent="0.3">
      <c r="A1310" s="23" t="s">
        <v>134</v>
      </c>
      <c r="B1310" s="4" t="s">
        <v>150</v>
      </c>
      <c r="C1310" s="5" t="s">
        <v>209</v>
      </c>
      <c r="D1310" s="5" t="s">
        <v>36</v>
      </c>
      <c r="E1310" s="4" t="str" cm="1">
        <f t="array" ref="E1310">_xlfn.IFS(
F1310 = "A partir de Abril", "Aguardando Execução na Distribuidora",
A1310 = "CAPACITAÇÃO", "Em execução no Corporativo",
TRUE, "Em Execução na Distribuidora"
)</f>
        <v>Em Execução na Distribuidora</v>
      </c>
      <c r="F1310" s="4" t="str" cm="1">
        <f t="array" ref="F1310">_xlfn.IFS(
AG1310 &lt;&gt; "", "Jan-Dez/26",
AH1310 &lt;&gt; "", "Fev-Dez/26",
AI1310 &lt;&gt; "", "Mar-Dez/26", AJ1310 &lt;&gt; "", "Abr-Dez/26",
TRUE, "A partir de Junho"
)</f>
        <v>Jan-Dez/26</v>
      </c>
      <c r="G1310" s="4" t="s">
        <v>37</v>
      </c>
      <c r="H1310" s="7" t="s">
        <v>54</v>
      </c>
      <c r="I1310" s="8" t="s">
        <v>152</v>
      </c>
      <c r="J1310" s="8" t="str" cm="1">
        <f t="array" aca="1" ref="J1310" ca="1">_xlfn.LET(
  _xlpm.actual_value_month, INDEX(T1310:AE1310, MATCH(DATE(YEAR(TODAY()), MONTH(TODAY()), 1), $T$1:$AE$1, 0)),
  IF(_xlpm.actual_value_month &lt;&gt; "",_xlpm.actual_value_month &amp; " ações mensais", "")
)</f>
        <v/>
      </c>
      <c r="K1310" s="8" t="str" cm="1">
        <f t="array" ref="K1310">_xlfn.LET(
    _xlpm.sum_month, SUM(T1310:AE1310),
    IF(_xlpm.sum_month = 0, "", _xlpm.sum_month &amp; " reuniões ordinárias no ano")
)</f>
        <v/>
      </c>
      <c r="L1310" s="9" t="s">
        <v>153</v>
      </c>
      <c r="M1310" s="24">
        <v>1</v>
      </c>
      <c r="N1310" s="67" t="s">
        <v>51</v>
      </c>
      <c r="O1310" s="5" t="s">
        <v>52</v>
      </c>
      <c r="P1310" s="10" t="s">
        <v>44</v>
      </c>
      <c r="Q1310" s="10" t="s">
        <v>72</v>
      </c>
      <c r="R1310" s="11" t="s">
        <v>44</v>
      </c>
      <c r="S1310" s="11" t="s">
        <v>44</v>
      </c>
      <c r="T1310" s="22"/>
      <c r="U1310" s="22"/>
      <c r="V1310" s="22"/>
      <c r="W1310" s="22"/>
      <c r="X1310" s="22"/>
      <c r="Y1310" s="22"/>
      <c r="Z1310" s="22"/>
      <c r="AA1310" s="22"/>
      <c r="AB1310" s="22"/>
      <c r="AC1310" s="22"/>
      <c r="AD1310" s="22"/>
      <c r="AE1310" s="22"/>
      <c r="AG1310" s="71">
        <v>5</v>
      </c>
      <c r="AH1310" s="71">
        <v>5</v>
      </c>
      <c r="AI1310" s="71">
        <v>5</v>
      </c>
      <c r="AJ1310" s="71">
        <v>5</v>
      </c>
      <c r="AK1310" s="71"/>
      <c r="AL1310" s="71"/>
      <c r="AM1310" s="71"/>
      <c r="AN1310" s="71"/>
      <c r="AO1310" s="71"/>
      <c r="AP1310" s="71"/>
      <c r="AQ1310" s="71"/>
      <c r="AR1310" s="71"/>
      <c r="AS1310" s="94">
        <f ca="1">IF(MONTH(TODAY())=3,SUM(T1310:U1310),IF(MONTH(TODAY())=4,SUM(T1310:V1310),IF(MONTH(TODAY())=5,SUM(T1310:W1310),IF(MONTH(TODAY())=6,SUM(T1310:X1310),IF(MONTH(TODAY())=7,SUM(T1310:Y1310),IF(MONTH(TODAY())=8,SUM(T1310:Z1310),IF(MONTH(TODAY())=9,SUM(T1310:AA1310),IF(MONTH(TODAY())=10,SUM(T1310:AB1310),IF(MONTH(TODAY())=11,SUM(T1310:AC1310),IF(MONTH(TODAY())=12,SUM(T1310:AD1310),IF(MONTH(TODAY())=1,SUM(T1310:AE1310),T1310)))))))))))</f>
        <v>0</v>
      </c>
      <c r="AT1310" s="95">
        <f>SUM(AG1310:AR1310)</f>
        <v>20</v>
      </c>
      <c r="AU1310" s="97">
        <f>SUM(AG1310:AR1310)</f>
        <v>20</v>
      </c>
      <c r="AW1310" s="83">
        <f>AG1310</f>
        <v>5</v>
      </c>
      <c r="AX1310" s="83">
        <f>AH1310</f>
        <v>5</v>
      </c>
      <c r="AY1310" s="83">
        <f>AI1310</f>
        <v>5</v>
      </c>
      <c r="AZ1310" s="83">
        <f>AJ1310</f>
        <v>5</v>
      </c>
      <c r="BA1310" s="52"/>
      <c r="BB1310" s="52"/>
      <c r="BC1310" s="52"/>
      <c r="BD1310" s="52"/>
      <c r="BE1310" s="52"/>
      <c r="BF1310" s="52"/>
      <c r="BG1310" s="52"/>
      <c r="BH1310" s="52"/>
      <c r="BI1310" s="68" cm="1">
        <f t="array" ref="BI1310">IFERROR(INDEX(AW1310:BH1310,1,MATCH(2,1/(AW1310:BH1310&lt;&gt;""))),"")</f>
        <v>5</v>
      </c>
      <c r="BJ1310" s="68" cm="1">
        <f t="array" ref="BJ1310">IF(BM1310 = "", "",IFERROR(INDEX(AW1310:BH1310,1,MATCH(2,1/(AW1310:BH1310&lt;&gt;""),1)-1),""))</f>
        <v>5</v>
      </c>
      <c r="BK1310" s="59">
        <f>IF((IF(AW1310&gt;=150%,150%,AW1310) + IF(AX1310&gt;=150%,150%,AX1310) + IF(AY1310&gt;=150%,150%,AY1310) + (IF(AW1310&gt;=150%,150%,AW1310) + IF(BA1310&gt;=150%,150%,BA1310) + IF(BB1310&gt;=150%,150%,BB1310) + IF(BC1310&gt;=150%,150%,BC1310) + IF(BD1310&gt;=150%,150%,BD1310) + IF(BE1310&gt;=150%,150%,BE1310) + IF(BF1310&gt;=150%,150%,BF1310) + IF(BG1310&gt;=150%,150%,BG1310) + IF(BH1310&gt;=150%,150%,BH1310)))/_xlfn.XLOOKUP(F1310,Apuração!A:A,Apuração!B:B)&gt;=1.15,1.15,((IF(AW1310&gt;=150%,150%,AW1310) + IF(AX1310&gt;=150%,150%,AX1310) + IF(AY1310&gt;=150%,150%,AY1310) + (IF(AW1310&gt;=150%,150%,AW1310) + IF(BA1310&gt;=150%,150%,BA1310) + IF(BB1310&gt;=150%,150%,BB1310) + IF(BC1310&gt;=150%,150%,BC1310) + IF(BD1310&gt;=150%,150%,BD1310) + IF(BE1310&gt;=150%,150%,BE1310) + IF(BF1310&gt;=150%,150%,BF1310) + IF(BG1310&gt;=150%,150%,BG1310) + IF(BH1310&gt;=150%,150%,BH1310)))/_xlfn.XLOOKUP(F1310,Apuração!A:A,Apuração!B:B)))</f>
        <v>0.5</v>
      </c>
      <c r="BL1310" s="59" cm="1">
        <f t="array" aca="1" ref="BL1310" ca="1">IF(SUM(IFERROR(IF(INDEX(AW1310:INDEX(AW1310:BH1310, MATCH(2, 1/(AW1310:BH1310&lt;&gt;""), 1)-1), ROW(INDIRECT("1:" &amp; MATCH(2, 1/(AW1310:BH1310&lt;&gt;""), 1)-1))) &gt;= 150%, 150%, INDEX(AW1310:INDEX(AW1310:BH1310, MATCH(2, 1/(AW1310:BH1310&lt;&gt;""), 1)-1), ROW(INDIRECT("1:" &amp; MATCH(2, 1/(AW1310:BH1310&lt;&gt;""), 1)-1)))), 0))/_xlfn.XLOOKUP(F1310,Apuração!A:A,Apuração!B:B)&gt;=1.15,1.15,SUM(IFERROR(IF(INDEX(AW1310:INDEX(AW1310:BH1310, MATCH(2, 1/(AW1310:BH1310&lt;&gt;""), 1)-1), ROW(INDIRECT("1:" &amp; MATCH(2, 1/(AW1310:BH1310&lt;&gt;""), 1)-1))) &gt;= 150%, 150%, INDEX(AW1310:INDEX(AW1310:BH1310, MATCH(2, 1/(AW1310:BH1310&lt;&gt;""), 1)-1), ROW(INDIRECT("1:" &amp; MATCH(2, 1/(AW1310:BH1310&lt;&gt;""), 1)-1)))), 0))/_xlfn.XLOOKUP(F1310,Apuração!A:A,Apuração!B:B))</f>
        <v>0.375</v>
      </c>
      <c r="BM1310" s="55" cm="1">
        <f t="array" ref="BM1310">IFERROR(
   INDEX($AW$1:$BH$1,
      _xlfn.AGGREGATE(14, 6, COLUMN($AW$1:$BH$1)/(AW1310:BH1310&lt;&gt;""), 2) - COLUMN($AW$1) + 1
   ),
"")</f>
        <v>46082</v>
      </c>
      <c r="BN1310" s="55" cm="1">
        <f t="array" ref="BN1310">IFERROR(INDEX($AW$1:$BH$1,1,MATCH(2,1/(AW1310:BH1310&lt;&gt;""))),"")</f>
        <v>46113</v>
      </c>
      <c r="BO1310" s="53">
        <f ca="1">IFERROR(_xlfn.XLOOKUP(F1310,Apuração!A:A,Apuração!C:C)/_xlfn.XLOOKUP(F1310,Apuração!A:A,Apuração!B:B),0)</f>
        <v>0.41666666666666669</v>
      </c>
      <c r="BP1310" s="53">
        <f ca="1">IFERROR(_xlfn.XLOOKUP(F1310,Apuração!A:A,Apuração!D:D)/_xlfn.XLOOKUP(F1310,Apuração!A:A,Apuração!B:B),0)</f>
        <v>0.33333333333333331</v>
      </c>
      <c r="BQ1310" s="53">
        <f ca="1">IF(BK1310&gt;=BO1310,0,_xlfn.XLOOKUP(F1310,Apuração!A:A,Apuração!B:B)*(BO1310 + (1/_xlfn.XLOOKUP(F1310,Apuração!A:A,Apuração!B:B)) - BK1310))</f>
        <v>0</v>
      </c>
      <c r="BR1310" s="85">
        <f ca="1">IF(BQ1310=0,0,BQ1310*Z1310)</f>
        <v>0</v>
      </c>
      <c r="BS1310" s="53">
        <f ca="1">IFERROR((_xlfn.XLOOKUP(F1310,Apuração!A:A,Apuração!C:C)+1)/_xlfn.XLOOKUP(F1310,Apuração!A:A,Apuração!B:B),0)</f>
        <v>0.5</v>
      </c>
    </row>
    <row r="1311" spans="1:71" ht="25.95" hidden="1" customHeight="1" x14ac:dyDescent="0.3">
      <c r="A1311" s="23" t="s">
        <v>134</v>
      </c>
      <c r="B1311" s="4" t="s">
        <v>150</v>
      </c>
      <c r="C1311" s="5" t="s">
        <v>209</v>
      </c>
      <c r="D1311" s="5" t="s">
        <v>210</v>
      </c>
      <c r="E1311" s="4" t="str" cm="1">
        <f t="array" ref="E1311">_xlfn.IFS(
F1311 = "A partir de Abril", "Aguardando Execução na Distribuidora",
A1311 = "CAPACITAÇÃO", "Em execução no Corporativo",
TRUE, "Em Execução na Distribuidora"
)</f>
        <v>Em Execução na Distribuidora</v>
      </c>
      <c r="F1311" s="4" t="str" cm="1">
        <f t="array" ref="F1311">_xlfn.IFS(
AG1311 &lt;&gt; "", "Jan-Dez/26",
AH1311 &lt;&gt; "", "Fev-Dez/26",
AI1311 &lt;&gt; "", "Mar-Dez/26", AJ1311 &lt;&gt; "", "Abr-Dez/26",
TRUE, "A partir de Junho"
)</f>
        <v>A partir de Junho</v>
      </c>
      <c r="G1311" s="4" t="s">
        <v>37</v>
      </c>
      <c r="H1311" s="7" t="s">
        <v>54</v>
      </c>
      <c r="I1311" s="8" t="s">
        <v>152</v>
      </c>
      <c r="J1311" s="8" t="str" cm="1">
        <f t="array" aca="1" ref="J1311" ca="1">_xlfn.LET(
  _xlpm.actual_value_month, INDEX(T1311:AE1311, MATCH(DATE(YEAR(TODAY()), MONTH(TODAY()), 1), $T$1:$AE$1, 0)),
  IF(_xlpm.actual_value_month &lt;&gt; "",_xlpm.actual_value_month &amp; " ações mensais", "")
)</f>
        <v/>
      </c>
      <c r="K1311" s="8" t="str" cm="1">
        <f t="array" ref="K1311">_xlfn.LET(
    _xlpm.sum_month, SUM(T1311:AE1311),
    IF(_xlpm.sum_month = 0, "", _xlpm.sum_month &amp; " reuniões ordinárias no ano")
)</f>
        <v/>
      </c>
      <c r="L1311" s="9" t="s">
        <v>153</v>
      </c>
      <c r="M1311" s="24">
        <v>1</v>
      </c>
      <c r="N1311" s="67" t="s">
        <v>51</v>
      </c>
      <c r="O1311" s="5" t="s">
        <v>52</v>
      </c>
      <c r="P1311" s="10" t="s">
        <v>44</v>
      </c>
      <c r="Q1311" s="10" t="s">
        <v>72</v>
      </c>
      <c r="R1311" s="11" t="s">
        <v>44</v>
      </c>
      <c r="S1311" s="11" t="s">
        <v>44</v>
      </c>
      <c r="T1311" s="22"/>
      <c r="U1311" s="22"/>
      <c r="V1311" s="22"/>
      <c r="W1311" s="22"/>
      <c r="X1311" s="22"/>
      <c r="Y1311" s="22"/>
      <c r="Z1311" s="22"/>
      <c r="AA1311" s="22"/>
      <c r="AB1311" s="22"/>
      <c r="AC1311" s="22"/>
      <c r="AD1311" s="22"/>
      <c r="AE1311" s="22"/>
      <c r="AG1311" s="71"/>
      <c r="AH1311" s="71"/>
      <c r="AI1311" s="71"/>
      <c r="AJ1311" s="71"/>
      <c r="AK1311" s="71"/>
      <c r="AL1311" s="71"/>
      <c r="AM1311" s="71"/>
      <c r="AN1311" s="71"/>
      <c r="AO1311" s="71"/>
      <c r="AP1311" s="71"/>
      <c r="AQ1311" s="71"/>
      <c r="AR1311" s="71"/>
      <c r="AS1311" s="94">
        <f t="shared" ref="AS1311:AS1315" ca="1" si="1547">IF(MONTH(TODAY())=3,SUM(T1311:U1311),IF(MONTH(TODAY())=4,SUM(T1311:V1311),IF(MONTH(TODAY())=5,SUM(T1311:W1311),IF(MONTH(TODAY())=6,SUM(T1311:X1311),IF(MONTH(TODAY())=7,SUM(T1311:Y1311),IF(MONTH(TODAY())=8,SUM(T1311:Z1311),IF(MONTH(TODAY())=9,SUM(T1311:AA1311),IF(MONTH(TODAY())=10,SUM(T1311:AB1311),IF(MONTH(TODAY())=11,SUM(T1311:AC1311),IF(MONTH(TODAY())=12,SUM(T1311:AD1311),IF(MONTH(TODAY())=1,SUM(T1311:AE1311),T1311)))))))))))</f>
        <v>0</v>
      </c>
      <c r="AT1311" s="95">
        <f t="shared" ref="AT1311:AT1315" si="1548">SUM(AG1311:AR1311)</f>
        <v>0</v>
      </c>
      <c r="AU1311" s="97">
        <f t="shared" ref="AU1311:AU1315" si="1549">SUM(AG1311:AR1311)</f>
        <v>0</v>
      </c>
      <c r="AW1311" s="83">
        <f t="shared" ref="AW1311:AW1315" si="1550">AG1311</f>
        <v>0</v>
      </c>
      <c r="AX1311" s="83">
        <f t="shared" ref="AX1311:AX1315" si="1551">AH1311</f>
        <v>0</v>
      </c>
      <c r="AY1311" s="83">
        <f t="shared" ref="AY1311:AY1315" si="1552">AI1311</f>
        <v>0</v>
      </c>
      <c r="AZ1311" s="83">
        <f t="shared" ref="AZ1311:AZ1315" si="1553">AJ1311</f>
        <v>0</v>
      </c>
      <c r="BA1311" s="52"/>
      <c r="BB1311" s="52"/>
      <c r="BC1311" s="52"/>
      <c r="BD1311" s="52"/>
      <c r="BE1311" s="52"/>
      <c r="BF1311" s="52"/>
      <c r="BG1311" s="52"/>
      <c r="BH1311" s="52"/>
      <c r="BI1311" s="68" cm="1">
        <f t="array" ref="BI1311">IFERROR(INDEX(AW1311:BH1311,1,MATCH(2,1/(AW1311:BH1311&lt;&gt;""))),"")</f>
        <v>0</v>
      </c>
      <c r="BJ1311" s="68" cm="1">
        <f t="array" ref="BJ1311">IF(BM1311 = "", "",IFERROR(INDEX(AW1311:BH1311,1,MATCH(2,1/(AW1311:BH1311&lt;&gt;""),1)-1),""))</f>
        <v>0</v>
      </c>
      <c r="BK1311" s="59">
        <f>IF((IF(AW1311&gt;=150%,150%,AW1311) + IF(AX1311&gt;=150%,150%,AX1311) + IF(AY1311&gt;=150%,150%,AY1311) + (IF(AW1311&gt;=150%,150%,AW1311) + IF(BA1311&gt;=150%,150%,BA1311) + IF(BB1311&gt;=150%,150%,BB1311) + IF(BC1311&gt;=150%,150%,BC1311) + IF(BD1311&gt;=150%,150%,BD1311) + IF(BE1311&gt;=150%,150%,BE1311) + IF(BF1311&gt;=150%,150%,BF1311) + IF(BG1311&gt;=150%,150%,BG1311) + IF(BH1311&gt;=150%,150%,BH1311)))/_xlfn.XLOOKUP(F1311,Apuração!A:A,Apuração!B:B)&gt;=1.15,1.15,((IF(AW1311&gt;=150%,150%,AW1311) + IF(AX1311&gt;=150%,150%,AX1311) + IF(AY1311&gt;=150%,150%,AY1311) + (IF(AW1311&gt;=150%,150%,AW1311) + IF(BA1311&gt;=150%,150%,BA1311) + IF(BB1311&gt;=150%,150%,BB1311) + IF(BC1311&gt;=150%,150%,BC1311) + IF(BD1311&gt;=150%,150%,BD1311) + IF(BE1311&gt;=150%,150%,BE1311) + IF(BF1311&gt;=150%,150%,BF1311) + IF(BG1311&gt;=150%,150%,BG1311) + IF(BH1311&gt;=150%,150%,BH1311)))/_xlfn.XLOOKUP(F1311,Apuração!A:A,Apuração!B:B)))</f>
        <v>0</v>
      </c>
      <c r="BL1311" s="59" cm="1">
        <f t="array" aca="1" ref="BL1311" ca="1">IF(SUM(IFERROR(IF(INDEX(AW1311:INDEX(AW1311:BH1311, MATCH(2, 1/(AW1311:BH1311&lt;&gt;""), 1)-1), ROW(INDIRECT("1:" &amp; MATCH(2, 1/(AW1311:BH1311&lt;&gt;""), 1)-1))) &gt;= 150%, 150%, INDEX(AW1311:INDEX(AW1311:BH1311, MATCH(2, 1/(AW1311:BH1311&lt;&gt;""), 1)-1), ROW(INDIRECT("1:" &amp; MATCH(2, 1/(AW1311:BH1311&lt;&gt;""), 1)-1)))), 0))/_xlfn.XLOOKUP(F1311,Apuração!A:A,Apuração!B:B)&gt;=1.15,1.15,SUM(IFERROR(IF(INDEX(AW1311:INDEX(AW1311:BH1311, MATCH(2, 1/(AW1311:BH1311&lt;&gt;""), 1)-1), ROW(INDIRECT("1:" &amp; MATCH(2, 1/(AW1311:BH1311&lt;&gt;""), 1)-1))) &gt;= 150%, 150%, INDEX(AW1311:INDEX(AW1311:BH1311, MATCH(2, 1/(AW1311:BH1311&lt;&gt;""), 1)-1), ROW(INDIRECT("1:" &amp; MATCH(2, 1/(AW1311:BH1311&lt;&gt;""), 1)-1)))), 0))/_xlfn.XLOOKUP(F1311,Apuração!A:A,Apuração!B:B))</f>
        <v>0</v>
      </c>
      <c r="BM1311" s="55" cm="1">
        <f t="array" ref="BM1311">IFERROR(
   INDEX($AW$1:$BH$1,
      _xlfn.AGGREGATE(14, 6, COLUMN($AW$1:$BH$1)/(AW1311:BH1311&lt;&gt;""), 2) - COLUMN($AW$1) + 1
   ),
"")</f>
        <v>46082</v>
      </c>
      <c r="BN1311" s="55" cm="1">
        <f t="array" ref="BN1311">IFERROR(INDEX($AW$1:$BH$1,1,MATCH(2,1/(AW1311:BH1311&lt;&gt;""))),"")</f>
        <v>46113</v>
      </c>
      <c r="BO1311" s="53">
        <f ca="1">IFERROR(_xlfn.XLOOKUP(F1311,Apuração!A:A,Apuração!C:C)/_xlfn.XLOOKUP(F1311,Apuração!A:A,Apuração!B:B),0)</f>
        <v>0</v>
      </c>
      <c r="BP1311" s="53">
        <f ca="1">IFERROR(_xlfn.XLOOKUP(F1311,Apuração!A:A,Apuração!D:D)/_xlfn.XLOOKUP(F1311,Apuração!A:A,Apuração!B:B),0)</f>
        <v>0</v>
      </c>
      <c r="BQ1311" s="53">
        <f ca="1">IF(BK1311&gt;=BO1311,0,_xlfn.XLOOKUP(F1311,Apuração!A:A,Apuração!B:B)*(BO1311 + (1/_xlfn.XLOOKUP(F1311,Apuração!A:A,Apuração!B:B)) - BK1311))</f>
        <v>0</v>
      </c>
      <c r="BR1311" s="85">
        <f t="shared" ref="BR1311:BR1315" ca="1" si="1554">IF(BQ1311=0,0,BQ1311*Z1311)</f>
        <v>0</v>
      </c>
      <c r="BS1311" s="53">
        <f ca="1">IFERROR((_xlfn.XLOOKUP(F1311,Apuração!A:A,Apuração!C:C)+1)/_xlfn.XLOOKUP(F1311,Apuração!A:A,Apuração!B:B),0)</f>
        <v>0.14285714285714285</v>
      </c>
    </row>
    <row r="1312" spans="1:71" ht="25.95" hidden="1" customHeight="1" x14ac:dyDescent="0.3">
      <c r="A1312" s="23" t="s">
        <v>134</v>
      </c>
      <c r="B1312" s="4" t="s">
        <v>150</v>
      </c>
      <c r="C1312" s="5" t="s">
        <v>209</v>
      </c>
      <c r="D1312" s="5" t="s">
        <v>47</v>
      </c>
      <c r="E1312" s="4" t="str" cm="1">
        <f t="array" ref="E1312">_xlfn.IFS(
F1312 = "A partir de Abril", "Aguardando Execução na Distribuidora",
A1312 = "CAPACITAÇÃO", "Em execução no Corporativo",
TRUE, "Em Execução na Distribuidora"
)</f>
        <v>Em Execução na Distribuidora</v>
      </c>
      <c r="F1312" s="4" t="str" cm="1">
        <f t="array" ref="F1312">_xlfn.IFS(
AG1312 &lt;&gt; "", "Jan-Dez/26",
AH1312 &lt;&gt; "", "Fev-Dez/26",
AI1312 &lt;&gt; "", "Mar-Dez/26", AJ1312 &lt;&gt; "", "Abr-Dez/26",
TRUE, "A partir de Junho"
)</f>
        <v>A partir de Junho</v>
      </c>
      <c r="G1312" s="4" t="s">
        <v>37</v>
      </c>
      <c r="H1312" s="7" t="s">
        <v>54</v>
      </c>
      <c r="I1312" s="8" t="s">
        <v>152</v>
      </c>
      <c r="J1312" s="8" t="str" cm="1">
        <f t="array" aca="1" ref="J1312" ca="1">_xlfn.LET(
  _xlpm.actual_value_month, INDEX(T1312:AE1312, MATCH(DATE(YEAR(TODAY()), MONTH(TODAY()), 1), $T$1:$AE$1, 0)),
  IF(_xlpm.actual_value_month &lt;&gt; "",_xlpm.actual_value_month &amp; " ações mensais", "")
)</f>
        <v/>
      </c>
      <c r="K1312" s="8" t="str" cm="1">
        <f t="array" ref="K1312">_xlfn.LET(
    _xlpm.sum_month, SUM(T1312:AE1312),
    IF(_xlpm.sum_month = 0, "", _xlpm.sum_month &amp; " reuniões ordinárias no ano")
)</f>
        <v/>
      </c>
      <c r="L1312" s="9" t="s">
        <v>153</v>
      </c>
      <c r="M1312" s="24">
        <v>1</v>
      </c>
      <c r="N1312" s="67" t="s">
        <v>51</v>
      </c>
      <c r="O1312" s="5" t="s">
        <v>52</v>
      </c>
      <c r="P1312" s="10" t="s">
        <v>44</v>
      </c>
      <c r="Q1312" s="10" t="s">
        <v>72</v>
      </c>
      <c r="R1312" s="11" t="s">
        <v>44</v>
      </c>
      <c r="S1312" s="11" t="s">
        <v>44</v>
      </c>
      <c r="T1312" s="22"/>
      <c r="U1312" s="22"/>
      <c r="V1312" s="22"/>
      <c r="W1312" s="22"/>
      <c r="X1312" s="22"/>
      <c r="Y1312" s="22"/>
      <c r="Z1312" s="22"/>
      <c r="AA1312" s="22"/>
      <c r="AB1312" s="22"/>
      <c r="AC1312" s="22"/>
      <c r="AD1312" s="22"/>
      <c r="AE1312" s="22"/>
      <c r="AG1312" s="71"/>
      <c r="AH1312" s="71"/>
      <c r="AI1312" s="71"/>
      <c r="AJ1312" s="71"/>
      <c r="AK1312" s="71"/>
      <c r="AL1312" s="71"/>
      <c r="AM1312" s="71"/>
      <c r="AN1312" s="71"/>
      <c r="AO1312" s="71"/>
      <c r="AP1312" s="71"/>
      <c r="AQ1312" s="71"/>
      <c r="AR1312" s="71"/>
      <c r="AS1312" s="94">
        <f t="shared" ca="1" si="1547"/>
        <v>0</v>
      </c>
      <c r="AT1312" s="95">
        <f t="shared" si="1548"/>
        <v>0</v>
      </c>
      <c r="AU1312" s="97">
        <f t="shared" si="1549"/>
        <v>0</v>
      </c>
      <c r="AW1312" s="83">
        <f t="shared" si="1550"/>
        <v>0</v>
      </c>
      <c r="AX1312" s="83">
        <f t="shared" si="1551"/>
        <v>0</v>
      </c>
      <c r="AY1312" s="83">
        <f t="shared" si="1552"/>
        <v>0</v>
      </c>
      <c r="AZ1312" s="83">
        <f t="shared" si="1553"/>
        <v>0</v>
      </c>
      <c r="BA1312" s="52"/>
      <c r="BB1312" s="52"/>
      <c r="BC1312" s="52"/>
      <c r="BD1312" s="52"/>
      <c r="BE1312" s="52"/>
      <c r="BF1312" s="52"/>
      <c r="BG1312" s="52"/>
      <c r="BH1312" s="52"/>
      <c r="BI1312" s="68" cm="1">
        <f t="array" ref="BI1312">IFERROR(INDEX(AW1312:BH1312,1,MATCH(2,1/(AW1312:BH1312&lt;&gt;""))),"")</f>
        <v>0</v>
      </c>
      <c r="BJ1312" s="68" cm="1">
        <f t="array" ref="BJ1312">IF(BM1312 = "", "",IFERROR(INDEX(AW1312:BH1312,1,MATCH(2,1/(AW1312:BH1312&lt;&gt;""),1)-1),""))</f>
        <v>0</v>
      </c>
      <c r="BK1312" s="59">
        <f>IF((IF(AW1312&gt;=150%,150%,AW1312) + IF(AX1312&gt;=150%,150%,AX1312) + IF(AY1312&gt;=150%,150%,AY1312) + (IF(AW1312&gt;=150%,150%,AW1312) + IF(BA1312&gt;=150%,150%,BA1312) + IF(BB1312&gt;=150%,150%,BB1312) + IF(BC1312&gt;=150%,150%,BC1312) + IF(BD1312&gt;=150%,150%,BD1312) + IF(BE1312&gt;=150%,150%,BE1312) + IF(BF1312&gt;=150%,150%,BF1312) + IF(BG1312&gt;=150%,150%,BG1312) + IF(BH1312&gt;=150%,150%,BH1312)))/_xlfn.XLOOKUP(F1312,Apuração!A:A,Apuração!B:B)&gt;=1.15,1.15,((IF(AW1312&gt;=150%,150%,AW1312) + IF(AX1312&gt;=150%,150%,AX1312) + IF(AY1312&gt;=150%,150%,AY1312) + (IF(AW1312&gt;=150%,150%,AW1312) + IF(BA1312&gt;=150%,150%,BA1312) + IF(BB1312&gt;=150%,150%,BB1312) + IF(BC1312&gt;=150%,150%,BC1312) + IF(BD1312&gt;=150%,150%,BD1312) + IF(BE1312&gt;=150%,150%,BE1312) + IF(BF1312&gt;=150%,150%,BF1312) + IF(BG1312&gt;=150%,150%,BG1312) + IF(BH1312&gt;=150%,150%,BH1312)))/_xlfn.XLOOKUP(F1312,Apuração!A:A,Apuração!B:B)))</f>
        <v>0</v>
      </c>
      <c r="BL1312" s="59" cm="1">
        <f t="array" aca="1" ref="BL1312" ca="1">IF(SUM(IFERROR(IF(INDEX(AW1312:INDEX(AW1312:BH1312, MATCH(2, 1/(AW1312:BH1312&lt;&gt;""), 1)-1), ROW(INDIRECT("1:" &amp; MATCH(2, 1/(AW1312:BH1312&lt;&gt;""), 1)-1))) &gt;= 150%, 150%, INDEX(AW1312:INDEX(AW1312:BH1312, MATCH(2, 1/(AW1312:BH1312&lt;&gt;""), 1)-1), ROW(INDIRECT("1:" &amp; MATCH(2, 1/(AW1312:BH1312&lt;&gt;""), 1)-1)))), 0))/_xlfn.XLOOKUP(F1312,Apuração!A:A,Apuração!B:B)&gt;=1.15,1.15,SUM(IFERROR(IF(INDEX(AW1312:INDEX(AW1312:BH1312, MATCH(2, 1/(AW1312:BH1312&lt;&gt;""), 1)-1), ROW(INDIRECT("1:" &amp; MATCH(2, 1/(AW1312:BH1312&lt;&gt;""), 1)-1))) &gt;= 150%, 150%, INDEX(AW1312:INDEX(AW1312:BH1312, MATCH(2, 1/(AW1312:BH1312&lt;&gt;""), 1)-1), ROW(INDIRECT("1:" &amp; MATCH(2, 1/(AW1312:BH1312&lt;&gt;""), 1)-1)))), 0))/_xlfn.XLOOKUP(F1312,Apuração!A:A,Apuração!B:B))</f>
        <v>0</v>
      </c>
      <c r="BM1312" s="55" cm="1">
        <f t="array" ref="BM1312">IFERROR(
   INDEX($AW$1:$BH$1,
      _xlfn.AGGREGATE(14, 6, COLUMN($AW$1:$BH$1)/(AW1312:BH1312&lt;&gt;""), 2) - COLUMN($AW$1) + 1
   ),
"")</f>
        <v>46082</v>
      </c>
      <c r="BN1312" s="55" cm="1">
        <f t="array" ref="BN1312">IFERROR(INDEX($AW$1:$BH$1,1,MATCH(2,1/(AW1312:BH1312&lt;&gt;""))),"")</f>
        <v>46113</v>
      </c>
      <c r="BO1312" s="53">
        <f ca="1">IFERROR(_xlfn.XLOOKUP(F1312,Apuração!A:A,Apuração!C:C)/_xlfn.XLOOKUP(F1312,Apuração!A:A,Apuração!B:B),0)</f>
        <v>0</v>
      </c>
      <c r="BP1312" s="53">
        <f ca="1">IFERROR(_xlfn.XLOOKUP(F1312,Apuração!A:A,Apuração!D:D)/_xlfn.XLOOKUP(F1312,Apuração!A:A,Apuração!B:B),0)</f>
        <v>0</v>
      </c>
      <c r="BQ1312" s="53">
        <f ca="1">IF(BK1312&gt;=BO1312,0,_xlfn.XLOOKUP(F1312,Apuração!A:A,Apuração!B:B)*(BO1312 + (1/_xlfn.XLOOKUP(F1312,Apuração!A:A,Apuração!B:B)) - BK1312))</f>
        <v>0</v>
      </c>
      <c r="BR1312" s="85">
        <f t="shared" ca="1" si="1554"/>
        <v>0</v>
      </c>
      <c r="BS1312" s="53">
        <f ca="1">IFERROR((_xlfn.XLOOKUP(F1312,Apuração!A:A,Apuração!C:C)+1)/_xlfn.XLOOKUP(F1312,Apuração!A:A,Apuração!B:B),0)</f>
        <v>0.14285714285714285</v>
      </c>
    </row>
    <row r="1313" spans="1:71" ht="25.95" hidden="1" customHeight="1" x14ac:dyDescent="0.3">
      <c r="A1313" s="23" t="s">
        <v>134</v>
      </c>
      <c r="B1313" s="4" t="s">
        <v>150</v>
      </c>
      <c r="C1313" s="5" t="s">
        <v>209</v>
      </c>
      <c r="D1313" s="5" t="s">
        <v>211</v>
      </c>
      <c r="E1313" s="4" t="str" cm="1">
        <f t="array" ref="E1313">_xlfn.IFS(
F1313 = "A partir de Abril", "Aguardando Execução na Distribuidora",
A1313 = "CAPACITAÇÃO", "Em execução no Corporativo",
TRUE, "Em Execução na Distribuidora"
)</f>
        <v>Em Execução na Distribuidora</v>
      </c>
      <c r="F1313" s="4" t="str" cm="1">
        <f t="array" ref="F1313">_xlfn.IFS(
AG1313 &lt;&gt; "", "Jan-Dez/26",
AH1313 &lt;&gt; "", "Fev-Dez/26",
AI1313 &lt;&gt; "", "Mar-Dez/26", AJ1313 &lt;&gt; "", "Abr-Dez/26",
TRUE, "A partir de Junho"
)</f>
        <v>A partir de Junho</v>
      </c>
      <c r="G1313" s="4" t="s">
        <v>37</v>
      </c>
      <c r="H1313" s="7" t="s">
        <v>54</v>
      </c>
      <c r="I1313" s="8" t="s">
        <v>152</v>
      </c>
      <c r="J1313" s="8" t="str" cm="1">
        <f t="array" aca="1" ref="J1313" ca="1">_xlfn.LET(
  _xlpm.actual_value_month, INDEX(T1313:AE1313, MATCH(DATE(YEAR(TODAY()), MONTH(TODAY()), 1), $T$1:$AE$1, 0)),
  IF(_xlpm.actual_value_month &lt;&gt; "",_xlpm.actual_value_month &amp; " ações mensais", "")
)</f>
        <v/>
      </c>
      <c r="K1313" s="8" t="str" cm="1">
        <f t="array" ref="K1313">_xlfn.LET(
    _xlpm.sum_month, SUM(T1313:AE1313),
    IF(_xlpm.sum_month = 0, "", _xlpm.sum_month &amp; " reuniões ordinárias no ano")
)</f>
        <v/>
      </c>
      <c r="L1313" s="9" t="s">
        <v>153</v>
      </c>
      <c r="M1313" s="24">
        <v>1</v>
      </c>
      <c r="N1313" s="67" t="s">
        <v>51</v>
      </c>
      <c r="O1313" s="5" t="s">
        <v>52</v>
      </c>
      <c r="P1313" s="10" t="s">
        <v>44</v>
      </c>
      <c r="Q1313" s="10" t="s">
        <v>72</v>
      </c>
      <c r="R1313" s="11" t="s">
        <v>44</v>
      </c>
      <c r="S1313" s="11" t="s">
        <v>44</v>
      </c>
      <c r="T1313" s="22"/>
      <c r="U1313" s="22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  <c r="AG1313" s="71"/>
      <c r="AH1313" s="71"/>
      <c r="AI1313" s="71"/>
      <c r="AJ1313" s="71"/>
      <c r="AK1313" s="71"/>
      <c r="AL1313" s="71"/>
      <c r="AM1313" s="71"/>
      <c r="AN1313" s="71"/>
      <c r="AO1313" s="71"/>
      <c r="AP1313" s="71"/>
      <c r="AQ1313" s="71"/>
      <c r="AR1313" s="71"/>
      <c r="AS1313" s="94">
        <f t="shared" ca="1" si="1547"/>
        <v>0</v>
      </c>
      <c r="AT1313" s="95">
        <f t="shared" si="1548"/>
        <v>0</v>
      </c>
      <c r="AU1313" s="97">
        <f t="shared" si="1549"/>
        <v>0</v>
      </c>
      <c r="AW1313" s="83">
        <f t="shared" si="1550"/>
        <v>0</v>
      </c>
      <c r="AX1313" s="83">
        <f t="shared" si="1551"/>
        <v>0</v>
      </c>
      <c r="AY1313" s="83">
        <f t="shared" si="1552"/>
        <v>0</v>
      </c>
      <c r="AZ1313" s="83">
        <f t="shared" si="1553"/>
        <v>0</v>
      </c>
      <c r="BA1313" s="52"/>
      <c r="BB1313" s="52"/>
      <c r="BC1313" s="52"/>
      <c r="BD1313" s="52"/>
      <c r="BE1313" s="52"/>
      <c r="BF1313" s="52"/>
      <c r="BG1313" s="52"/>
      <c r="BH1313" s="52"/>
      <c r="BI1313" s="68" cm="1">
        <f t="array" ref="BI1313">IFERROR(INDEX(AW1313:BH1313,1,MATCH(2,1/(AW1313:BH1313&lt;&gt;""))),"")</f>
        <v>0</v>
      </c>
      <c r="BJ1313" s="68" cm="1">
        <f t="array" ref="BJ1313">IF(BM1313 = "", "",IFERROR(INDEX(AW1313:BH1313,1,MATCH(2,1/(AW1313:BH1313&lt;&gt;""),1)-1),""))</f>
        <v>0</v>
      </c>
      <c r="BK1313" s="59">
        <f>IF((IF(AW1313&gt;=150%,150%,AW1313) + IF(AX1313&gt;=150%,150%,AX1313) + IF(AY1313&gt;=150%,150%,AY1313) + (IF(AW1313&gt;=150%,150%,AW1313) + IF(BA1313&gt;=150%,150%,BA1313) + IF(BB1313&gt;=150%,150%,BB1313) + IF(BC1313&gt;=150%,150%,BC1313) + IF(BD1313&gt;=150%,150%,BD1313) + IF(BE1313&gt;=150%,150%,BE1313) + IF(BF1313&gt;=150%,150%,BF1313) + IF(BG1313&gt;=150%,150%,BG1313) + IF(BH1313&gt;=150%,150%,BH1313)))/_xlfn.XLOOKUP(F1313,Apuração!A:A,Apuração!B:B)&gt;=1.15,1.15,((IF(AW1313&gt;=150%,150%,AW1313) + IF(AX1313&gt;=150%,150%,AX1313) + IF(AY1313&gt;=150%,150%,AY1313) + (IF(AW1313&gt;=150%,150%,AW1313) + IF(BA1313&gt;=150%,150%,BA1313) + IF(BB1313&gt;=150%,150%,BB1313) + IF(BC1313&gt;=150%,150%,BC1313) + IF(BD1313&gt;=150%,150%,BD1313) + IF(BE1313&gt;=150%,150%,BE1313) + IF(BF1313&gt;=150%,150%,BF1313) + IF(BG1313&gt;=150%,150%,BG1313) + IF(BH1313&gt;=150%,150%,BH1313)))/_xlfn.XLOOKUP(F1313,Apuração!A:A,Apuração!B:B)))</f>
        <v>0</v>
      </c>
      <c r="BL1313" s="59" cm="1">
        <f t="array" aca="1" ref="BL1313" ca="1">IF(SUM(IFERROR(IF(INDEX(AW1313:INDEX(AW1313:BH1313, MATCH(2, 1/(AW1313:BH1313&lt;&gt;""), 1)-1), ROW(INDIRECT("1:" &amp; MATCH(2, 1/(AW1313:BH1313&lt;&gt;""), 1)-1))) &gt;= 150%, 150%, INDEX(AW1313:INDEX(AW1313:BH1313, MATCH(2, 1/(AW1313:BH1313&lt;&gt;""), 1)-1), ROW(INDIRECT("1:" &amp; MATCH(2, 1/(AW1313:BH1313&lt;&gt;""), 1)-1)))), 0))/_xlfn.XLOOKUP(F1313,Apuração!A:A,Apuração!B:B)&gt;=1.15,1.15,SUM(IFERROR(IF(INDEX(AW1313:INDEX(AW1313:BH1313, MATCH(2, 1/(AW1313:BH1313&lt;&gt;""), 1)-1), ROW(INDIRECT("1:" &amp; MATCH(2, 1/(AW1313:BH1313&lt;&gt;""), 1)-1))) &gt;= 150%, 150%, INDEX(AW1313:INDEX(AW1313:BH1313, MATCH(2, 1/(AW1313:BH1313&lt;&gt;""), 1)-1), ROW(INDIRECT("1:" &amp; MATCH(2, 1/(AW1313:BH1313&lt;&gt;""), 1)-1)))), 0))/_xlfn.XLOOKUP(F1313,Apuração!A:A,Apuração!B:B))</f>
        <v>0</v>
      </c>
      <c r="BM1313" s="55" cm="1">
        <f t="array" ref="BM1313">IFERROR(
   INDEX($AW$1:$BH$1,
      _xlfn.AGGREGATE(14, 6, COLUMN($AW$1:$BH$1)/(AW1313:BH1313&lt;&gt;""), 2) - COLUMN($AW$1) + 1
   ),
"")</f>
        <v>46082</v>
      </c>
      <c r="BN1313" s="55" cm="1">
        <f t="array" ref="BN1313">IFERROR(INDEX($AW$1:$BH$1,1,MATCH(2,1/(AW1313:BH1313&lt;&gt;""))),"")</f>
        <v>46113</v>
      </c>
      <c r="BO1313" s="53">
        <f ca="1">IFERROR(_xlfn.XLOOKUP(F1313,Apuração!A:A,Apuração!C:C)/_xlfn.XLOOKUP(F1313,Apuração!A:A,Apuração!B:B),0)</f>
        <v>0</v>
      </c>
      <c r="BP1313" s="53">
        <f ca="1">IFERROR(_xlfn.XLOOKUP(F1313,Apuração!A:A,Apuração!D:D)/_xlfn.XLOOKUP(F1313,Apuração!A:A,Apuração!B:B),0)</f>
        <v>0</v>
      </c>
      <c r="BQ1313" s="53">
        <f ca="1">IF(BK1313&gt;=BO1313,0,_xlfn.XLOOKUP(F1313,Apuração!A:A,Apuração!B:B)*(BO1313 + (1/_xlfn.XLOOKUP(F1313,Apuração!A:A,Apuração!B:B)) - BK1313))</f>
        <v>0</v>
      </c>
      <c r="BR1313" s="85">
        <f t="shared" ca="1" si="1554"/>
        <v>0</v>
      </c>
      <c r="BS1313" s="53">
        <f ca="1">IFERROR((_xlfn.XLOOKUP(F1313,Apuração!A:A,Apuração!C:C)+1)/_xlfn.XLOOKUP(F1313,Apuração!A:A,Apuração!B:B),0)</f>
        <v>0.14285714285714285</v>
      </c>
    </row>
    <row r="1314" spans="1:71" ht="25.95" hidden="1" customHeight="1" x14ac:dyDescent="0.3">
      <c r="A1314" s="23" t="s">
        <v>134</v>
      </c>
      <c r="B1314" s="4" t="s">
        <v>150</v>
      </c>
      <c r="C1314" s="5" t="s">
        <v>209</v>
      </c>
      <c r="D1314" s="5" t="s">
        <v>212</v>
      </c>
      <c r="E1314" s="4" t="str" cm="1">
        <f t="array" ref="E1314">_xlfn.IFS(
F1314 = "A partir de Abril", "Aguardando Execução na Distribuidora",
A1314 = "CAPACITAÇÃO", "Em execução no Corporativo",
TRUE, "Em Execução na Distribuidora"
)</f>
        <v>Em Execução na Distribuidora</v>
      </c>
      <c r="F1314" s="4" t="str" cm="1">
        <f t="array" ref="F1314">_xlfn.IFS(
AG1314 &lt;&gt; "", "Jan-Dez/26",
AH1314 &lt;&gt; "", "Fev-Dez/26",
AI1314 &lt;&gt; "", "Mar-Dez/26", AJ1314 &lt;&gt; "", "Abr-Dez/26",
TRUE, "A partir de Junho"
)</f>
        <v>A partir de Junho</v>
      </c>
      <c r="G1314" s="4" t="s">
        <v>37</v>
      </c>
      <c r="H1314" s="7" t="s">
        <v>54</v>
      </c>
      <c r="I1314" s="8" t="s">
        <v>152</v>
      </c>
      <c r="J1314" s="8" t="str" cm="1">
        <f t="array" aca="1" ref="J1314" ca="1">_xlfn.LET(
  _xlpm.actual_value_month, INDEX(T1314:AE1314, MATCH(DATE(YEAR(TODAY()), MONTH(TODAY()), 1), $T$1:$AE$1, 0)),
  IF(_xlpm.actual_value_month &lt;&gt; "",_xlpm.actual_value_month &amp; " ações mensais", "")
)</f>
        <v/>
      </c>
      <c r="K1314" s="8" t="str" cm="1">
        <f t="array" ref="K1314">_xlfn.LET(
    _xlpm.sum_month, SUM(T1314:AE1314),
    IF(_xlpm.sum_month = 0, "", _xlpm.sum_month &amp; " reuniões ordinárias no ano")
)</f>
        <v/>
      </c>
      <c r="L1314" s="9" t="s">
        <v>153</v>
      </c>
      <c r="M1314" s="24">
        <v>1</v>
      </c>
      <c r="N1314" s="67" t="s">
        <v>51</v>
      </c>
      <c r="O1314" s="5" t="s">
        <v>52</v>
      </c>
      <c r="P1314" s="10" t="s">
        <v>44</v>
      </c>
      <c r="Q1314" s="10" t="s">
        <v>72</v>
      </c>
      <c r="R1314" s="11" t="s">
        <v>44</v>
      </c>
      <c r="S1314" s="11" t="s">
        <v>44</v>
      </c>
      <c r="T1314" s="22"/>
      <c r="U1314" s="22"/>
      <c r="V1314" s="22"/>
      <c r="W1314" s="22"/>
      <c r="X1314" s="22"/>
      <c r="Y1314" s="22"/>
      <c r="Z1314" s="22"/>
      <c r="AA1314" s="22"/>
      <c r="AB1314" s="22"/>
      <c r="AC1314" s="22"/>
      <c r="AD1314" s="22"/>
      <c r="AE1314" s="22"/>
      <c r="AG1314" s="71"/>
      <c r="AH1314" s="71"/>
      <c r="AI1314" s="71"/>
      <c r="AJ1314" s="71"/>
      <c r="AK1314" s="71"/>
      <c r="AL1314" s="71"/>
      <c r="AM1314" s="71"/>
      <c r="AN1314" s="71"/>
      <c r="AO1314" s="71"/>
      <c r="AP1314" s="71"/>
      <c r="AQ1314" s="71"/>
      <c r="AR1314" s="71"/>
      <c r="AS1314" s="94">
        <f t="shared" ca="1" si="1547"/>
        <v>0</v>
      </c>
      <c r="AT1314" s="95">
        <f t="shared" si="1548"/>
        <v>0</v>
      </c>
      <c r="AU1314" s="97">
        <f t="shared" si="1549"/>
        <v>0</v>
      </c>
      <c r="AW1314" s="83">
        <f t="shared" si="1550"/>
        <v>0</v>
      </c>
      <c r="AX1314" s="83">
        <f t="shared" si="1551"/>
        <v>0</v>
      </c>
      <c r="AY1314" s="83">
        <f t="shared" si="1552"/>
        <v>0</v>
      </c>
      <c r="AZ1314" s="83">
        <f t="shared" si="1553"/>
        <v>0</v>
      </c>
      <c r="BA1314" s="52"/>
      <c r="BB1314" s="52"/>
      <c r="BC1314" s="52"/>
      <c r="BD1314" s="52"/>
      <c r="BE1314" s="52"/>
      <c r="BF1314" s="52"/>
      <c r="BG1314" s="52"/>
      <c r="BH1314" s="52"/>
      <c r="BI1314" s="68" cm="1">
        <f t="array" ref="BI1314">IFERROR(INDEX(AW1314:BH1314,1,MATCH(2,1/(AW1314:BH1314&lt;&gt;""))),"")</f>
        <v>0</v>
      </c>
      <c r="BJ1314" s="68" cm="1">
        <f t="array" ref="BJ1314">IF(BM1314 = "", "",IFERROR(INDEX(AW1314:BH1314,1,MATCH(2,1/(AW1314:BH1314&lt;&gt;""),1)-1),""))</f>
        <v>0</v>
      </c>
      <c r="BK1314" s="59">
        <f>IF((IF(AW1314&gt;=150%,150%,AW1314) + IF(AX1314&gt;=150%,150%,AX1314) + IF(AY1314&gt;=150%,150%,AY1314) + (IF(AW1314&gt;=150%,150%,AW1314) + IF(BA1314&gt;=150%,150%,BA1314) + IF(BB1314&gt;=150%,150%,BB1314) + IF(BC1314&gt;=150%,150%,BC1314) + IF(BD1314&gt;=150%,150%,BD1314) + IF(BE1314&gt;=150%,150%,BE1314) + IF(BF1314&gt;=150%,150%,BF1314) + IF(BG1314&gt;=150%,150%,BG1314) + IF(BH1314&gt;=150%,150%,BH1314)))/_xlfn.XLOOKUP(F1314,Apuração!A:A,Apuração!B:B)&gt;=1.15,1.15,((IF(AW1314&gt;=150%,150%,AW1314) + IF(AX1314&gt;=150%,150%,AX1314) + IF(AY1314&gt;=150%,150%,AY1314) + (IF(AW1314&gt;=150%,150%,AW1314) + IF(BA1314&gt;=150%,150%,BA1314) + IF(BB1314&gt;=150%,150%,BB1314) + IF(BC1314&gt;=150%,150%,BC1314) + IF(BD1314&gt;=150%,150%,BD1314) + IF(BE1314&gt;=150%,150%,BE1314) + IF(BF1314&gt;=150%,150%,BF1314) + IF(BG1314&gt;=150%,150%,BG1314) + IF(BH1314&gt;=150%,150%,BH1314)))/_xlfn.XLOOKUP(F1314,Apuração!A:A,Apuração!B:B)))</f>
        <v>0</v>
      </c>
      <c r="BL1314" s="59" cm="1">
        <f t="array" aca="1" ref="BL1314" ca="1">IF(SUM(IFERROR(IF(INDEX(AW1314:INDEX(AW1314:BH1314, MATCH(2, 1/(AW1314:BH1314&lt;&gt;""), 1)-1), ROW(INDIRECT("1:" &amp; MATCH(2, 1/(AW1314:BH1314&lt;&gt;""), 1)-1))) &gt;= 150%, 150%, INDEX(AW1314:INDEX(AW1314:BH1314, MATCH(2, 1/(AW1314:BH1314&lt;&gt;""), 1)-1), ROW(INDIRECT("1:" &amp; MATCH(2, 1/(AW1314:BH1314&lt;&gt;""), 1)-1)))), 0))/_xlfn.XLOOKUP(F1314,Apuração!A:A,Apuração!B:B)&gt;=1.15,1.15,SUM(IFERROR(IF(INDEX(AW1314:INDEX(AW1314:BH1314, MATCH(2, 1/(AW1314:BH1314&lt;&gt;""), 1)-1), ROW(INDIRECT("1:" &amp; MATCH(2, 1/(AW1314:BH1314&lt;&gt;""), 1)-1))) &gt;= 150%, 150%, INDEX(AW1314:INDEX(AW1314:BH1314, MATCH(2, 1/(AW1314:BH1314&lt;&gt;""), 1)-1), ROW(INDIRECT("1:" &amp; MATCH(2, 1/(AW1314:BH1314&lt;&gt;""), 1)-1)))), 0))/_xlfn.XLOOKUP(F1314,Apuração!A:A,Apuração!B:B))</f>
        <v>0</v>
      </c>
      <c r="BM1314" s="55" cm="1">
        <f t="array" ref="BM1314">IFERROR(
   INDEX($AW$1:$BH$1,
      _xlfn.AGGREGATE(14, 6, COLUMN($AW$1:$BH$1)/(AW1314:BH1314&lt;&gt;""), 2) - COLUMN($AW$1) + 1
   ),
"")</f>
        <v>46082</v>
      </c>
      <c r="BN1314" s="55" cm="1">
        <f t="array" ref="BN1314">IFERROR(INDEX($AW$1:$BH$1,1,MATCH(2,1/(AW1314:BH1314&lt;&gt;""))),"")</f>
        <v>46113</v>
      </c>
      <c r="BO1314" s="53">
        <f ca="1">IFERROR(_xlfn.XLOOKUP(F1314,Apuração!A:A,Apuração!C:C)/_xlfn.XLOOKUP(F1314,Apuração!A:A,Apuração!B:B),0)</f>
        <v>0</v>
      </c>
      <c r="BP1314" s="53">
        <f ca="1">IFERROR(_xlfn.XLOOKUP(F1314,Apuração!A:A,Apuração!D:D)/_xlfn.XLOOKUP(F1314,Apuração!A:A,Apuração!B:B),0)</f>
        <v>0</v>
      </c>
      <c r="BQ1314" s="53">
        <f ca="1">IF(BK1314&gt;=BO1314,0,_xlfn.XLOOKUP(F1314,Apuração!A:A,Apuração!B:B)*(BO1314 + (1/_xlfn.XLOOKUP(F1314,Apuração!A:A,Apuração!B:B)) - BK1314))</f>
        <v>0</v>
      </c>
      <c r="BR1314" s="85">
        <f t="shared" ca="1" si="1554"/>
        <v>0</v>
      </c>
      <c r="BS1314" s="53">
        <f ca="1">IFERROR((_xlfn.XLOOKUP(F1314,Apuração!A:A,Apuração!C:C)+1)/_xlfn.XLOOKUP(F1314,Apuração!A:A,Apuração!B:B),0)</f>
        <v>0.14285714285714285</v>
      </c>
    </row>
    <row r="1315" spans="1:71" ht="25.95" hidden="1" customHeight="1" x14ac:dyDescent="0.3">
      <c r="A1315" s="23" t="s">
        <v>134</v>
      </c>
      <c r="B1315" s="4" t="s">
        <v>150</v>
      </c>
      <c r="C1315" s="5" t="s">
        <v>209</v>
      </c>
      <c r="D1315" s="5" t="s">
        <v>213</v>
      </c>
      <c r="E1315" s="4" t="str" cm="1">
        <f t="array" ref="E1315">_xlfn.IFS(
F1315 = "A partir de Abril", "Aguardando Execução na Distribuidora",
A1315 = "CAPACITAÇÃO", "Em execução no Corporativo",
TRUE, "Em Execução na Distribuidora"
)</f>
        <v>Em Execução na Distribuidora</v>
      </c>
      <c r="F1315" s="4" t="str" cm="1">
        <f t="array" ref="F1315">_xlfn.IFS(
AG1315 &lt;&gt; "", "Jan-Dez/26",
AH1315 &lt;&gt; "", "Fev-Dez/26",
AI1315 &lt;&gt; "", "Mar-Dez/26", AJ1315 &lt;&gt; "", "Abr-Dez/26",
TRUE, "A partir de Junho"
)</f>
        <v>A partir de Junho</v>
      </c>
      <c r="G1315" s="4" t="s">
        <v>37</v>
      </c>
      <c r="H1315" s="7" t="s">
        <v>54</v>
      </c>
      <c r="I1315" s="8" t="s">
        <v>152</v>
      </c>
      <c r="J1315" s="8" t="str" cm="1">
        <f t="array" aca="1" ref="J1315" ca="1">_xlfn.LET(
  _xlpm.actual_value_month, INDEX(T1315:AE1315, MATCH(DATE(YEAR(TODAY()), MONTH(TODAY()), 1), $T$1:$AE$1, 0)),
  IF(_xlpm.actual_value_month &lt;&gt; "",_xlpm.actual_value_month &amp; " ações mensais", "")
)</f>
        <v/>
      </c>
      <c r="K1315" s="8" t="str" cm="1">
        <f t="array" ref="K1315">_xlfn.LET(
    _xlpm.sum_month, SUM(T1315:AE1315),
    IF(_xlpm.sum_month = 0, "", _xlpm.sum_month &amp; " reuniões ordinárias no ano")
)</f>
        <v/>
      </c>
      <c r="L1315" s="9" t="s">
        <v>153</v>
      </c>
      <c r="M1315" s="24">
        <v>1</v>
      </c>
      <c r="N1315" s="67" t="s">
        <v>51</v>
      </c>
      <c r="O1315" s="5" t="s">
        <v>52</v>
      </c>
      <c r="P1315" s="10" t="s">
        <v>44</v>
      </c>
      <c r="Q1315" s="10" t="s">
        <v>72</v>
      </c>
      <c r="R1315" s="11" t="s">
        <v>44</v>
      </c>
      <c r="S1315" s="11" t="s">
        <v>44</v>
      </c>
      <c r="T1315" s="22"/>
      <c r="U1315" s="22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  <c r="AG1315" s="71"/>
      <c r="AH1315" s="71"/>
      <c r="AI1315" s="71"/>
      <c r="AJ1315" s="71"/>
      <c r="AK1315" s="71"/>
      <c r="AL1315" s="71"/>
      <c r="AM1315" s="71"/>
      <c r="AN1315" s="71"/>
      <c r="AO1315" s="71"/>
      <c r="AP1315" s="71"/>
      <c r="AQ1315" s="71"/>
      <c r="AR1315" s="71"/>
      <c r="AS1315" s="94">
        <f t="shared" ca="1" si="1547"/>
        <v>0</v>
      </c>
      <c r="AT1315" s="95">
        <f t="shared" si="1548"/>
        <v>0</v>
      </c>
      <c r="AU1315" s="97">
        <f t="shared" si="1549"/>
        <v>0</v>
      </c>
      <c r="AW1315" s="83">
        <f t="shared" si="1550"/>
        <v>0</v>
      </c>
      <c r="AX1315" s="83">
        <f t="shared" si="1551"/>
        <v>0</v>
      </c>
      <c r="AY1315" s="83">
        <f t="shared" si="1552"/>
        <v>0</v>
      </c>
      <c r="AZ1315" s="83">
        <f t="shared" si="1553"/>
        <v>0</v>
      </c>
      <c r="BA1315" s="52"/>
      <c r="BB1315" s="52"/>
      <c r="BC1315" s="52"/>
      <c r="BD1315" s="52"/>
      <c r="BE1315" s="52"/>
      <c r="BF1315" s="52"/>
      <c r="BG1315" s="52"/>
      <c r="BH1315" s="52"/>
      <c r="BI1315" s="68" cm="1">
        <f t="array" ref="BI1315">IFERROR(INDEX(AW1315:BH1315,1,MATCH(2,1/(AW1315:BH1315&lt;&gt;""))),"")</f>
        <v>0</v>
      </c>
      <c r="BJ1315" s="68" cm="1">
        <f t="array" ref="BJ1315">IF(BM1315 = "", "",IFERROR(INDEX(AW1315:BH1315,1,MATCH(2,1/(AW1315:BH1315&lt;&gt;""),1)-1),""))</f>
        <v>0</v>
      </c>
      <c r="BK1315" s="59">
        <f>IF((IF(AW1315&gt;=150%,150%,AW1315) + IF(AX1315&gt;=150%,150%,AX1315) + IF(AY1315&gt;=150%,150%,AY1315) + (IF(AW1315&gt;=150%,150%,AW1315) + IF(BA1315&gt;=150%,150%,BA1315) + IF(BB1315&gt;=150%,150%,BB1315) + IF(BC1315&gt;=150%,150%,BC1315) + IF(BD1315&gt;=150%,150%,BD1315) + IF(BE1315&gt;=150%,150%,BE1315) + IF(BF1315&gt;=150%,150%,BF1315) + IF(BG1315&gt;=150%,150%,BG1315) + IF(BH1315&gt;=150%,150%,BH1315)))/_xlfn.XLOOKUP(F1315,Apuração!A:A,Apuração!B:B)&gt;=1.15,1.15,((IF(AW1315&gt;=150%,150%,AW1315) + IF(AX1315&gt;=150%,150%,AX1315) + IF(AY1315&gt;=150%,150%,AY1315) + (IF(AW1315&gt;=150%,150%,AW1315) + IF(BA1315&gt;=150%,150%,BA1315) + IF(BB1315&gt;=150%,150%,BB1315) + IF(BC1315&gt;=150%,150%,BC1315) + IF(BD1315&gt;=150%,150%,BD1315) + IF(BE1315&gt;=150%,150%,BE1315) + IF(BF1315&gt;=150%,150%,BF1315) + IF(BG1315&gt;=150%,150%,BG1315) + IF(BH1315&gt;=150%,150%,BH1315)))/_xlfn.XLOOKUP(F1315,Apuração!A:A,Apuração!B:B)))</f>
        <v>0</v>
      </c>
      <c r="BL1315" s="59" cm="1">
        <f t="array" aca="1" ref="BL1315" ca="1">IF(SUM(IFERROR(IF(INDEX(AW1315:INDEX(AW1315:BH1315, MATCH(2, 1/(AW1315:BH1315&lt;&gt;""), 1)-1), ROW(INDIRECT("1:" &amp; MATCH(2, 1/(AW1315:BH1315&lt;&gt;""), 1)-1))) &gt;= 150%, 150%, INDEX(AW1315:INDEX(AW1315:BH1315, MATCH(2, 1/(AW1315:BH1315&lt;&gt;""), 1)-1), ROW(INDIRECT("1:" &amp; MATCH(2, 1/(AW1315:BH1315&lt;&gt;""), 1)-1)))), 0))/_xlfn.XLOOKUP(F1315,Apuração!A:A,Apuração!B:B)&gt;=1.15,1.15,SUM(IFERROR(IF(INDEX(AW1315:INDEX(AW1315:BH1315, MATCH(2, 1/(AW1315:BH1315&lt;&gt;""), 1)-1), ROW(INDIRECT("1:" &amp; MATCH(2, 1/(AW1315:BH1315&lt;&gt;""), 1)-1))) &gt;= 150%, 150%, INDEX(AW1315:INDEX(AW1315:BH1315, MATCH(2, 1/(AW1315:BH1315&lt;&gt;""), 1)-1), ROW(INDIRECT("1:" &amp; MATCH(2, 1/(AW1315:BH1315&lt;&gt;""), 1)-1)))), 0))/_xlfn.XLOOKUP(F1315,Apuração!A:A,Apuração!B:B))</f>
        <v>0</v>
      </c>
      <c r="BM1315" s="55" cm="1">
        <f t="array" ref="BM1315">IFERROR(
   INDEX($AW$1:$BH$1,
      _xlfn.AGGREGATE(14, 6, COLUMN($AW$1:$BH$1)/(AW1315:BH1315&lt;&gt;""), 2) - COLUMN($AW$1) + 1
   ),
"")</f>
        <v>46082</v>
      </c>
      <c r="BN1315" s="55" cm="1">
        <f t="array" ref="BN1315">IFERROR(INDEX($AW$1:$BH$1,1,MATCH(2,1/(AW1315:BH1315&lt;&gt;""))),"")</f>
        <v>46113</v>
      </c>
      <c r="BO1315" s="53">
        <f ca="1">IFERROR(_xlfn.XLOOKUP(F1315,Apuração!A:A,Apuração!C:C)/_xlfn.XLOOKUP(F1315,Apuração!A:A,Apuração!B:B),0)</f>
        <v>0</v>
      </c>
      <c r="BP1315" s="53">
        <f ca="1">IFERROR(_xlfn.XLOOKUP(F1315,Apuração!A:A,Apuração!D:D)/_xlfn.XLOOKUP(F1315,Apuração!A:A,Apuração!B:B),0)</f>
        <v>0</v>
      </c>
      <c r="BQ1315" s="53">
        <f ca="1">IF(BK1315&gt;=BO1315,0,_xlfn.XLOOKUP(F1315,Apuração!A:A,Apuração!B:B)*(BO1315 + (1/_xlfn.XLOOKUP(F1315,Apuração!A:A,Apuração!B:B)) - BK1315))</f>
        <v>0</v>
      </c>
      <c r="BR1315" s="85">
        <f t="shared" ca="1" si="1554"/>
        <v>0</v>
      </c>
      <c r="BS1315" s="53">
        <f ca="1">IFERROR((_xlfn.XLOOKUP(F1315,Apuração!A:A,Apuração!C:C)+1)/_xlfn.XLOOKUP(F1315,Apuração!A:A,Apuração!B:B),0)</f>
        <v>0.14285714285714285</v>
      </c>
    </row>
    <row r="1316" spans="1:71" ht="25.95" hidden="1" customHeight="1" x14ac:dyDescent="0.3">
      <c r="A1316" s="23" t="s">
        <v>134</v>
      </c>
      <c r="B1316" s="4" t="s">
        <v>150</v>
      </c>
      <c r="C1316" s="5" t="s">
        <v>209</v>
      </c>
      <c r="D1316" s="5" t="s">
        <v>36</v>
      </c>
      <c r="E1316" s="4" t="str" cm="1">
        <f t="array" ref="E1316">_xlfn.IFS(
F1316 = "A partir de Abril", "Aguardando Execução na Distribuidora",
A1316 = "CAPACITAÇÃO", "Em execução no Corporativo",
TRUE, "Em Execução na Distribuidora"
)</f>
        <v>Em Execução na Distribuidora</v>
      </c>
      <c r="F1316" s="4" t="str" cm="1">
        <f t="array" ref="F1316">_xlfn.IFS(
AG1316 &lt;&gt; "", "Jan-Dez/26",
AH1316 &lt;&gt; "", "Fev-Dez/26",
AI1316 &lt;&gt; "", "Mar-Dez/26", AJ1316 &lt;&gt; "", "Abr-Dez/26",
TRUE, "A partir de Junho"
)</f>
        <v>Jan-Dez/26</v>
      </c>
      <c r="G1316" s="4" t="s">
        <v>37</v>
      </c>
      <c r="H1316" s="7" t="s">
        <v>54</v>
      </c>
      <c r="I1316" s="8" t="s">
        <v>154</v>
      </c>
      <c r="J1316" s="8" t="str" cm="1">
        <f t="array" aca="1" ref="J1316" ca="1">_xlfn.LET(
  _xlpm.actual_value_month, INDEX(T1316:AE1316, MATCH(DATE(YEAR(TODAY()), MONTH(TODAY()), 1), $T$1:$AE$1, 0)),
  IF(_xlpm.actual_value_month &lt;&gt; "",_xlpm.actual_value_month &amp; " ações mensais", "")
)</f>
        <v/>
      </c>
      <c r="K1316" s="8" t="str" cm="1">
        <f t="array" ref="K1316">_xlfn.LET(
    _xlpm.sum_month, SUM(T1316:AE1316),
    IF(_xlpm.sum_month = 0, "", _xlpm.sum_month &amp; " presença de representantes no ano")
)</f>
        <v/>
      </c>
      <c r="L1316" s="9" t="s">
        <v>155</v>
      </c>
      <c r="M1316" s="24">
        <v>1</v>
      </c>
      <c r="N1316" s="67" t="s">
        <v>51</v>
      </c>
      <c r="O1316" s="111" t="s">
        <v>43</v>
      </c>
      <c r="P1316" s="10" t="s">
        <v>44</v>
      </c>
      <c r="Q1316" s="10" t="s">
        <v>72</v>
      </c>
      <c r="R1316" s="11" t="s">
        <v>44</v>
      </c>
      <c r="S1316" s="11" t="s">
        <v>44</v>
      </c>
      <c r="T1316" s="22"/>
      <c r="U1316" s="22"/>
      <c r="V1316" s="22"/>
      <c r="W1316" s="22"/>
      <c r="X1316" s="22"/>
      <c r="Y1316" s="22"/>
      <c r="Z1316" s="22"/>
      <c r="AA1316" s="22"/>
      <c r="AB1316" s="22"/>
      <c r="AC1316" s="22"/>
      <c r="AD1316" s="22"/>
      <c r="AE1316" s="22"/>
      <c r="AG1316" s="71">
        <v>61</v>
      </c>
      <c r="AH1316" s="71">
        <v>61</v>
      </c>
      <c r="AI1316" s="71">
        <v>60</v>
      </c>
      <c r="AJ1316" s="71">
        <v>58</v>
      </c>
      <c r="AK1316" s="71"/>
      <c r="AL1316" s="71"/>
      <c r="AM1316" s="71"/>
      <c r="AN1316" s="71"/>
      <c r="AO1316" s="71"/>
      <c r="AP1316" s="71"/>
      <c r="AQ1316" s="71"/>
      <c r="AR1316" s="71"/>
      <c r="AS1316" s="94">
        <f ca="1">IF(MONTH(TODAY())=3,SUM(T1316:U1316),IF(MONTH(TODAY())=4,SUM(T1316:V1316),IF(MONTH(TODAY())=5,SUM(T1316:W1316),IF(MONTH(TODAY())=6,SUM(T1316:X1316),IF(MONTH(TODAY())=7,SUM(T1316:Y1316),IF(MONTH(TODAY())=8,SUM(T1316:Z1316),IF(MONTH(TODAY())=9,SUM(T1316:AA1316),IF(MONTH(TODAY())=10,SUM(T1316:AB1316),IF(MONTH(TODAY())=11,SUM(T1316:AC1316),IF(MONTH(TODAY())=12,SUM(T1316:AD1316),IF(MONTH(TODAY())=1,SUM(T1316:AE1316),T1316)))))))))))</f>
        <v>0</v>
      </c>
      <c r="AT1316" s="95">
        <f>SUM(AG1316:AR1316)</f>
        <v>240</v>
      </c>
      <c r="AU1316" s="97">
        <f>SUM(AG1316:AR1316)</f>
        <v>240</v>
      </c>
      <c r="AW1316" s="83">
        <f>AG1316</f>
        <v>61</v>
      </c>
      <c r="AX1316" s="83">
        <f>AH1316</f>
        <v>61</v>
      </c>
      <c r="AY1316" s="83">
        <f>AI1316</f>
        <v>60</v>
      </c>
      <c r="AZ1316" s="83">
        <f>AJ1316</f>
        <v>58</v>
      </c>
      <c r="BA1316" s="52"/>
      <c r="BB1316" s="52"/>
      <c r="BC1316" s="52"/>
      <c r="BD1316" s="52"/>
      <c r="BE1316" s="52"/>
      <c r="BF1316" s="52"/>
      <c r="BG1316" s="52"/>
      <c r="BH1316" s="52"/>
      <c r="BI1316" s="68" cm="1">
        <f t="array" ref="BI1316">IFERROR(INDEX(AW1316:BH1316,1,MATCH(2,1/(AW1316:BH1316&lt;&gt;""))),"")</f>
        <v>58</v>
      </c>
      <c r="BJ1316" s="68" cm="1">
        <f t="array" ref="BJ1316">IF(BM1316 = "", "",IFERROR(INDEX(AW1316:BH1316,1,MATCH(2,1/(AW1316:BH1316&lt;&gt;""),1)-1),""))</f>
        <v>60</v>
      </c>
      <c r="BK1316" s="59">
        <f>IF((IF(AW1316&gt;=150%,150%,AW1316) + IF(AX1316&gt;=150%,150%,AX1316) + IF(AY1316&gt;=150%,150%,AY1316) + (IF(AW1316&gt;=150%,150%,AW1316) + IF(BA1316&gt;=150%,150%,BA1316) + IF(BB1316&gt;=150%,150%,BB1316) + IF(BC1316&gt;=150%,150%,BC1316) + IF(BD1316&gt;=150%,150%,BD1316) + IF(BE1316&gt;=150%,150%,BE1316) + IF(BF1316&gt;=150%,150%,BF1316) + IF(BG1316&gt;=150%,150%,BG1316) + IF(BH1316&gt;=150%,150%,BH1316)))/_xlfn.XLOOKUP(F1316,Apuração!A:A,Apuração!B:B)&gt;=1.15,1.15,((IF(AW1316&gt;=150%,150%,AW1316) + IF(AX1316&gt;=150%,150%,AX1316) + IF(AY1316&gt;=150%,150%,AY1316) + (IF(AW1316&gt;=150%,150%,AW1316) + IF(BA1316&gt;=150%,150%,BA1316) + IF(BB1316&gt;=150%,150%,BB1316) + IF(BC1316&gt;=150%,150%,BC1316) + IF(BD1316&gt;=150%,150%,BD1316) + IF(BE1316&gt;=150%,150%,BE1316) + IF(BF1316&gt;=150%,150%,BF1316) + IF(BG1316&gt;=150%,150%,BG1316) + IF(BH1316&gt;=150%,150%,BH1316)))/_xlfn.XLOOKUP(F1316,Apuração!A:A,Apuração!B:B)))</f>
        <v>0.5</v>
      </c>
      <c r="BL1316" s="59" cm="1">
        <f t="array" aca="1" ref="BL1316" ca="1">IF(SUM(IFERROR(IF(INDEX(AW1316:INDEX(AW1316:BH1316, MATCH(2, 1/(AW1316:BH1316&lt;&gt;""), 1)-1), ROW(INDIRECT("1:" &amp; MATCH(2, 1/(AW1316:BH1316&lt;&gt;""), 1)-1))) &gt;= 150%, 150%, INDEX(AW1316:INDEX(AW1316:BH1316, MATCH(2, 1/(AW1316:BH1316&lt;&gt;""), 1)-1), ROW(INDIRECT("1:" &amp; MATCH(2, 1/(AW1316:BH1316&lt;&gt;""), 1)-1)))), 0))/_xlfn.XLOOKUP(F1316,Apuração!A:A,Apuração!B:B)&gt;=1.15,1.15,SUM(IFERROR(IF(INDEX(AW1316:INDEX(AW1316:BH1316, MATCH(2, 1/(AW1316:BH1316&lt;&gt;""), 1)-1), ROW(INDIRECT("1:" &amp; MATCH(2, 1/(AW1316:BH1316&lt;&gt;""), 1)-1))) &gt;= 150%, 150%, INDEX(AW1316:INDEX(AW1316:BH1316, MATCH(2, 1/(AW1316:BH1316&lt;&gt;""), 1)-1), ROW(INDIRECT("1:" &amp; MATCH(2, 1/(AW1316:BH1316&lt;&gt;""), 1)-1)))), 0))/_xlfn.XLOOKUP(F1316,Apuração!A:A,Apuração!B:B))</f>
        <v>0.375</v>
      </c>
      <c r="BM1316" s="55" cm="1">
        <f t="array" ref="BM1316">IFERROR(
   INDEX($AW$1:$BH$1,
      _xlfn.AGGREGATE(14, 6, COLUMN($AW$1:$BH$1)/(AW1316:BH1316&lt;&gt;""), 2) - COLUMN($AW$1) + 1
   ),
"")</f>
        <v>46082</v>
      </c>
      <c r="BN1316" s="55" cm="1">
        <f t="array" ref="BN1316">IFERROR(INDEX($AW$1:$BH$1,1,MATCH(2,1/(AW1316:BH1316&lt;&gt;""))),"")</f>
        <v>46113</v>
      </c>
      <c r="BO1316" s="53">
        <f ca="1">IFERROR(_xlfn.XLOOKUP(F1316,Apuração!A:A,Apuração!C:C)/_xlfn.XLOOKUP(F1316,Apuração!A:A,Apuração!B:B),0)</f>
        <v>0.41666666666666669</v>
      </c>
      <c r="BP1316" s="53">
        <f ca="1">IFERROR(_xlfn.XLOOKUP(F1316,Apuração!A:A,Apuração!D:D)/_xlfn.XLOOKUP(F1316,Apuração!A:A,Apuração!B:B),0)</f>
        <v>0.33333333333333331</v>
      </c>
      <c r="BQ1316" s="53">
        <f ca="1">IF(BK1316&gt;=BO1316,0,_xlfn.XLOOKUP(F1316,Apuração!A:A,Apuração!B:B)*(BO1316 + (1/_xlfn.XLOOKUP(F1316,Apuração!A:A,Apuração!B:B)) - BK1316))</f>
        <v>0</v>
      </c>
      <c r="BR1316" s="85">
        <f ca="1">IF(BQ1316=0,0,BQ1316*Z1316)</f>
        <v>0</v>
      </c>
      <c r="BS1316" s="53">
        <f ca="1">IFERROR((_xlfn.XLOOKUP(F1316,Apuração!A:A,Apuração!C:C)+1)/_xlfn.XLOOKUP(F1316,Apuração!A:A,Apuração!B:B),0)</f>
        <v>0.5</v>
      </c>
    </row>
    <row r="1317" spans="1:71" ht="25.95" hidden="1" customHeight="1" x14ac:dyDescent="0.3">
      <c r="A1317" s="23" t="s">
        <v>134</v>
      </c>
      <c r="B1317" s="4" t="s">
        <v>150</v>
      </c>
      <c r="C1317" s="5" t="s">
        <v>209</v>
      </c>
      <c r="D1317" s="5" t="s">
        <v>210</v>
      </c>
      <c r="E1317" s="4" t="str" cm="1">
        <f t="array" ref="E1317">_xlfn.IFS(
F1317 = "A partir de Abril", "Aguardando Execução na Distribuidora",
A1317 = "CAPACITAÇÃO", "Em execução no Corporativo",
TRUE, "Em Execução na Distribuidora"
)</f>
        <v>Em Execução na Distribuidora</v>
      </c>
      <c r="F1317" s="4" t="str" cm="1">
        <f t="array" ref="F1317">_xlfn.IFS(
AG1317 &lt;&gt; "", "Jan-Dez/26",
AH1317 &lt;&gt; "", "Fev-Dez/26",
AI1317 &lt;&gt; "", "Mar-Dez/26", AJ1317 &lt;&gt; "", "Abr-Dez/26",
TRUE, "A partir de Junho"
)</f>
        <v>A partir de Junho</v>
      </c>
      <c r="G1317" s="4" t="s">
        <v>37</v>
      </c>
      <c r="H1317" s="7" t="s">
        <v>54</v>
      </c>
      <c r="I1317" s="8" t="s">
        <v>154</v>
      </c>
      <c r="J1317" s="8" t="str" cm="1">
        <f t="array" aca="1" ref="J1317" ca="1">_xlfn.LET(
  _xlpm.actual_value_month, INDEX(T1317:AE1317, MATCH(DATE(YEAR(TODAY()), MONTH(TODAY()), 1), $T$1:$AE$1, 0)),
  IF(_xlpm.actual_value_month &lt;&gt; "",_xlpm.actual_value_month &amp; " ações mensais", "")
)</f>
        <v/>
      </c>
      <c r="K1317" s="8" t="str" cm="1">
        <f t="array" ref="K1317">_xlfn.LET(
    _xlpm.sum_month, SUM(T1317:AE1317),
    IF(_xlpm.sum_month = 0, "", _xlpm.sum_month &amp; " presença de representantes no ano")
)</f>
        <v/>
      </c>
      <c r="L1317" s="9" t="s">
        <v>155</v>
      </c>
      <c r="M1317" s="24">
        <v>1</v>
      </c>
      <c r="N1317" s="67" t="s">
        <v>51</v>
      </c>
      <c r="O1317" s="111" t="s">
        <v>43</v>
      </c>
      <c r="P1317" s="10" t="s">
        <v>44</v>
      </c>
      <c r="Q1317" s="10" t="s">
        <v>72</v>
      </c>
      <c r="R1317" s="11" t="s">
        <v>44</v>
      </c>
      <c r="S1317" s="11" t="s">
        <v>44</v>
      </c>
      <c r="T1317" s="22"/>
      <c r="U1317" s="22"/>
      <c r="V1317" s="22"/>
      <c r="W1317" s="22"/>
      <c r="X1317" s="22"/>
      <c r="Y1317" s="22"/>
      <c r="Z1317" s="22"/>
      <c r="AA1317" s="22"/>
      <c r="AB1317" s="22"/>
      <c r="AC1317" s="22"/>
      <c r="AD1317" s="22"/>
      <c r="AE1317" s="22"/>
      <c r="AG1317" s="71"/>
      <c r="AH1317" s="71"/>
      <c r="AI1317" s="71"/>
      <c r="AJ1317" s="71"/>
      <c r="AK1317" s="71"/>
      <c r="AL1317" s="71"/>
      <c r="AM1317" s="71"/>
      <c r="AN1317" s="71"/>
      <c r="AO1317" s="71"/>
      <c r="AP1317" s="71"/>
      <c r="AQ1317" s="71"/>
      <c r="AR1317" s="71"/>
      <c r="AS1317" s="94">
        <f t="shared" ref="AS1317:AS1321" ca="1" si="1555">IF(MONTH(TODAY())=3,SUM(T1317:U1317),IF(MONTH(TODAY())=4,SUM(T1317:V1317),IF(MONTH(TODAY())=5,SUM(T1317:W1317),IF(MONTH(TODAY())=6,SUM(T1317:X1317),IF(MONTH(TODAY())=7,SUM(T1317:Y1317),IF(MONTH(TODAY())=8,SUM(T1317:Z1317),IF(MONTH(TODAY())=9,SUM(T1317:AA1317),IF(MONTH(TODAY())=10,SUM(T1317:AB1317),IF(MONTH(TODAY())=11,SUM(T1317:AC1317),IF(MONTH(TODAY())=12,SUM(T1317:AD1317),IF(MONTH(TODAY())=1,SUM(T1317:AE1317),T1317)))))))))))</f>
        <v>0</v>
      </c>
      <c r="AT1317" s="95">
        <f t="shared" ref="AT1317:AT1321" si="1556">SUM(AG1317:AR1317)</f>
        <v>0</v>
      </c>
      <c r="AU1317" s="97">
        <f t="shared" ref="AU1317:AU1321" si="1557">SUM(AG1317:AR1317)</f>
        <v>0</v>
      </c>
      <c r="AW1317" s="83">
        <f t="shared" ref="AW1317:AW1321" si="1558">AG1317</f>
        <v>0</v>
      </c>
      <c r="AX1317" s="83">
        <f t="shared" ref="AX1317:AX1321" si="1559">AH1317</f>
        <v>0</v>
      </c>
      <c r="AY1317" s="83">
        <f t="shared" ref="AY1317:AY1321" si="1560">AI1317</f>
        <v>0</v>
      </c>
      <c r="AZ1317" s="83">
        <f t="shared" ref="AZ1317:AZ1321" si="1561">AJ1317</f>
        <v>0</v>
      </c>
      <c r="BA1317" s="52"/>
      <c r="BB1317" s="52"/>
      <c r="BC1317" s="52"/>
      <c r="BD1317" s="52"/>
      <c r="BE1317" s="52"/>
      <c r="BF1317" s="52"/>
      <c r="BG1317" s="52"/>
      <c r="BH1317" s="52"/>
      <c r="BI1317" s="68" cm="1">
        <f t="array" ref="BI1317">IFERROR(INDEX(AW1317:BH1317,1,MATCH(2,1/(AW1317:BH1317&lt;&gt;""))),"")</f>
        <v>0</v>
      </c>
      <c r="BJ1317" s="68" cm="1">
        <f t="array" ref="BJ1317">IF(BM1317 = "", "",IFERROR(INDEX(AW1317:BH1317,1,MATCH(2,1/(AW1317:BH1317&lt;&gt;""),1)-1),""))</f>
        <v>0</v>
      </c>
      <c r="BK1317" s="59">
        <f>IF((IF(AW1317&gt;=150%,150%,AW1317) + IF(AX1317&gt;=150%,150%,AX1317) + IF(AY1317&gt;=150%,150%,AY1317) + (IF(AW1317&gt;=150%,150%,AW1317) + IF(BA1317&gt;=150%,150%,BA1317) + IF(BB1317&gt;=150%,150%,BB1317) + IF(BC1317&gt;=150%,150%,BC1317) + IF(BD1317&gt;=150%,150%,BD1317) + IF(BE1317&gt;=150%,150%,BE1317) + IF(BF1317&gt;=150%,150%,BF1317) + IF(BG1317&gt;=150%,150%,BG1317) + IF(BH1317&gt;=150%,150%,BH1317)))/_xlfn.XLOOKUP(F1317,Apuração!A:A,Apuração!B:B)&gt;=1.15,1.15,((IF(AW1317&gt;=150%,150%,AW1317) + IF(AX1317&gt;=150%,150%,AX1317) + IF(AY1317&gt;=150%,150%,AY1317) + (IF(AW1317&gt;=150%,150%,AW1317) + IF(BA1317&gt;=150%,150%,BA1317) + IF(BB1317&gt;=150%,150%,BB1317) + IF(BC1317&gt;=150%,150%,BC1317) + IF(BD1317&gt;=150%,150%,BD1317) + IF(BE1317&gt;=150%,150%,BE1317) + IF(BF1317&gt;=150%,150%,BF1317) + IF(BG1317&gt;=150%,150%,BG1317) + IF(BH1317&gt;=150%,150%,BH1317)))/_xlfn.XLOOKUP(F1317,Apuração!A:A,Apuração!B:B)))</f>
        <v>0</v>
      </c>
      <c r="BL1317" s="59" cm="1">
        <f t="array" aca="1" ref="BL1317" ca="1">IF(SUM(IFERROR(IF(INDEX(AW1317:INDEX(AW1317:BH1317, MATCH(2, 1/(AW1317:BH1317&lt;&gt;""), 1)-1), ROW(INDIRECT("1:" &amp; MATCH(2, 1/(AW1317:BH1317&lt;&gt;""), 1)-1))) &gt;= 150%, 150%, INDEX(AW1317:INDEX(AW1317:BH1317, MATCH(2, 1/(AW1317:BH1317&lt;&gt;""), 1)-1), ROW(INDIRECT("1:" &amp; MATCH(2, 1/(AW1317:BH1317&lt;&gt;""), 1)-1)))), 0))/_xlfn.XLOOKUP(F1317,Apuração!A:A,Apuração!B:B)&gt;=1.15,1.15,SUM(IFERROR(IF(INDEX(AW1317:INDEX(AW1317:BH1317, MATCH(2, 1/(AW1317:BH1317&lt;&gt;""), 1)-1), ROW(INDIRECT("1:" &amp; MATCH(2, 1/(AW1317:BH1317&lt;&gt;""), 1)-1))) &gt;= 150%, 150%, INDEX(AW1317:INDEX(AW1317:BH1317, MATCH(2, 1/(AW1317:BH1317&lt;&gt;""), 1)-1), ROW(INDIRECT("1:" &amp; MATCH(2, 1/(AW1317:BH1317&lt;&gt;""), 1)-1)))), 0))/_xlfn.XLOOKUP(F1317,Apuração!A:A,Apuração!B:B))</f>
        <v>0</v>
      </c>
      <c r="BM1317" s="55" cm="1">
        <f t="array" ref="BM1317">IFERROR(
   INDEX($AW$1:$BH$1,
      _xlfn.AGGREGATE(14, 6, COLUMN($AW$1:$BH$1)/(AW1317:BH1317&lt;&gt;""), 2) - COLUMN($AW$1) + 1
   ),
"")</f>
        <v>46082</v>
      </c>
      <c r="BN1317" s="55" cm="1">
        <f t="array" ref="BN1317">IFERROR(INDEX($AW$1:$BH$1,1,MATCH(2,1/(AW1317:BH1317&lt;&gt;""))),"")</f>
        <v>46113</v>
      </c>
      <c r="BO1317" s="53">
        <f ca="1">IFERROR(_xlfn.XLOOKUP(F1317,Apuração!A:A,Apuração!C:C)/_xlfn.XLOOKUP(F1317,Apuração!A:A,Apuração!B:B),0)</f>
        <v>0</v>
      </c>
      <c r="BP1317" s="53">
        <f ca="1">IFERROR(_xlfn.XLOOKUP(F1317,Apuração!A:A,Apuração!D:D)/_xlfn.XLOOKUP(F1317,Apuração!A:A,Apuração!B:B),0)</f>
        <v>0</v>
      </c>
      <c r="BQ1317" s="53">
        <f ca="1">IF(BK1317&gt;=BO1317,0,_xlfn.XLOOKUP(F1317,Apuração!A:A,Apuração!B:B)*(BO1317 + (1/_xlfn.XLOOKUP(F1317,Apuração!A:A,Apuração!B:B)) - BK1317))</f>
        <v>0</v>
      </c>
      <c r="BR1317" s="85">
        <f t="shared" ref="BR1317:BR1321" ca="1" si="1562">IF(BQ1317=0,0,BQ1317*Z1317)</f>
        <v>0</v>
      </c>
      <c r="BS1317" s="53">
        <f ca="1">IFERROR((_xlfn.XLOOKUP(F1317,Apuração!A:A,Apuração!C:C)+1)/_xlfn.XLOOKUP(F1317,Apuração!A:A,Apuração!B:B),0)</f>
        <v>0.14285714285714285</v>
      </c>
    </row>
    <row r="1318" spans="1:71" ht="25.95" hidden="1" customHeight="1" x14ac:dyDescent="0.3">
      <c r="A1318" s="23" t="s">
        <v>134</v>
      </c>
      <c r="B1318" s="4" t="s">
        <v>150</v>
      </c>
      <c r="C1318" s="5" t="s">
        <v>209</v>
      </c>
      <c r="D1318" s="5" t="s">
        <v>47</v>
      </c>
      <c r="E1318" s="4" t="str" cm="1">
        <f t="array" ref="E1318">_xlfn.IFS(
F1318 = "A partir de Abril", "Aguardando Execução na Distribuidora",
A1318 = "CAPACITAÇÃO", "Em execução no Corporativo",
TRUE, "Em Execução na Distribuidora"
)</f>
        <v>Em Execução na Distribuidora</v>
      </c>
      <c r="F1318" s="4" t="str" cm="1">
        <f t="array" ref="F1318">_xlfn.IFS(
AG1318 &lt;&gt; "", "Jan-Dez/26",
AH1318 &lt;&gt; "", "Fev-Dez/26",
AI1318 &lt;&gt; "", "Mar-Dez/26", AJ1318 &lt;&gt; "", "Abr-Dez/26",
TRUE, "A partir de Junho"
)</f>
        <v>A partir de Junho</v>
      </c>
      <c r="G1318" s="4" t="s">
        <v>37</v>
      </c>
      <c r="H1318" s="7" t="s">
        <v>54</v>
      </c>
      <c r="I1318" s="8" t="s">
        <v>154</v>
      </c>
      <c r="J1318" s="8" t="str" cm="1">
        <f t="array" aca="1" ref="J1318" ca="1">_xlfn.LET(
  _xlpm.actual_value_month, INDEX(T1318:AE1318, MATCH(DATE(YEAR(TODAY()), MONTH(TODAY()), 1), $T$1:$AE$1, 0)),
  IF(_xlpm.actual_value_month &lt;&gt; "",_xlpm.actual_value_month &amp; " ações mensais", "")
)</f>
        <v/>
      </c>
      <c r="K1318" s="8" t="str" cm="1">
        <f t="array" ref="K1318">_xlfn.LET(
    _xlpm.sum_month, SUM(T1318:AE1318),
    IF(_xlpm.sum_month = 0, "", _xlpm.sum_month &amp; " presença de representantes no ano")
)</f>
        <v/>
      </c>
      <c r="L1318" s="9" t="s">
        <v>155</v>
      </c>
      <c r="M1318" s="24">
        <v>1</v>
      </c>
      <c r="N1318" s="67" t="s">
        <v>51</v>
      </c>
      <c r="O1318" s="111" t="s">
        <v>43</v>
      </c>
      <c r="P1318" s="10" t="s">
        <v>44</v>
      </c>
      <c r="Q1318" s="10" t="s">
        <v>72</v>
      </c>
      <c r="R1318" s="11" t="s">
        <v>44</v>
      </c>
      <c r="S1318" s="11" t="s">
        <v>44</v>
      </c>
      <c r="T1318" s="22"/>
      <c r="U1318" s="22"/>
      <c r="V1318" s="22"/>
      <c r="W1318" s="22"/>
      <c r="X1318" s="22"/>
      <c r="Y1318" s="22"/>
      <c r="Z1318" s="22"/>
      <c r="AA1318" s="22"/>
      <c r="AB1318" s="22"/>
      <c r="AC1318" s="22"/>
      <c r="AD1318" s="22"/>
      <c r="AE1318" s="22"/>
      <c r="AG1318" s="71"/>
      <c r="AH1318" s="71"/>
      <c r="AI1318" s="71"/>
      <c r="AJ1318" s="71"/>
      <c r="AK1318" s="71"/>
      <c r="AL1318" s="71"/>
      <c r="AM1318" s="71"/>
      <c r="AN1318" s="71"/>
      <c r="AO1318" s="71"/>
      <c r="AP1318" s="71"/>
      <c r="AQ1318" s="71"/>
      <c r="AR1318" s="71"/>
      <c r="AS1318" s="94">
        <f t="shared" ca="1" si="1555"/>
        <v>0</v>
      </c>
      <c r="AT1318" s="95">
        <f t="shared" si="1556"/>
        <v>0</v>
      </c>
      <c r="AU1318" s="97">
        <f t="shared" si="1557"/>
        <v>0</v>
      </c>
      <c r="AW1318" s="83">
        <f t="shared" si="1558"/>
        <v>0</v>
      </c>
      <c r="AX1318" s="83">
        <f t="shared" si="1559"/>
        <v>0</v>
      </c>
      <c r="AY1318" s="83">
        <f t="shared" si="1560"/>
        <v>0</v>
      </c>
      <c r="AZ1318" s="83">
        <f t="shared" si="1561"/>
        <v>0</v>
      </c>
      <c r="BA1318" s="52"/>
      <c r="BB1318" s="52"/>
      <c r="BC1318" s="52"/>
      <c r="BD1318" s="52"/>
      <c r="BE1318" s="52"/>
      <c r="BF1318" s="52"/>
      <c r="BG1318" s="52"/>
      <c r="BH1318" s="52"/>
      <c r="BI1318" s="68" cm="1">
        <f t="array" ref="BI1318">IFERROR(INDEX(AW1318:BH1318,1,MATCH(2,1/(AW1318:BH1318&lt;&gt;""))),"")</f>
        <v>0</v>
      </c>
      <c r="BJ1318" s="68" cm="1">
        <f t="array" ref="BJ1318">IF(BM1318 = "", "",IFERROR(INDEX(AW1318:BH1318,1,MATCH(2,1/(AW1318:BH1318&lt;&gt;""),1)-1),""))</f>
        <v>0</v>
      </c>
      <c r="BK1318" s="59">
        <f>IF((IF(AW1318&gt;=150%,150%,AW1318) + IF(AX1318&gt;=150%,150%,AX1318) + IF(AY1318&gt;=150%,150%,AY1318) + (IF(AW1318&gt;=150%,150%,AW1318) + IF(BA1318&gt;=150%,150%,BA1318) + IF(BB1318&gt;=150%,150%,BB1318) + IF(BC1318&gt;=150%,150%,BC1318) + IF(BD1318&gt;=150%,150%,BD1318) + IF(BE1318&gt;=150%,150%,BE1318) + IF(BF1318&gt;=150%,150%,BF1318) + IF(BG1318&gt;=150%,150%,BG1318) + IF(BH1318&gt;=150%,150%,BH1318)))/_xlfn.XLOOKUP(F1318,Apuração!A:A,Apuração!B:B)&gt;=1.15,1.15,((IF(AW1318&gt;=150%,150%,AW1318) + IF(AX1318&gt;=150%,150%,AX1318) + IF(AY1318&gt;=150%,150%,AY1318) + (IF(AW1318&gt;=150%,150%,AW1318) + IF(BA1318&gt;=150%,150%,BA1318) + IF(BB1318&gt;=150%,150%,BB1318) + IF(BC1318&gt;=150%,150%,BC1318) + IF(BD1318&gt;=150%,150%,BD1318) + IF(BE1318&gt;=150%,150%,BE1318) + IF(BF1318&gt;=150%,150%,BF1318) + IF(BG1318&gt;=150%,150%,BG1318) + IF(BH1318&gt;=150%,150%,BH1318)))/_xlfn.XLOOKUP(F1318,Apuração!A:A,Apuração!B:B)))</f>
        <v>0</v>
      </c>
      <c r="BL1318" s="59" cm="1">
        <f t="array" aca="1" ref="BL1318" ca="1">IF(SUM(IFERROR(IF(INDEX(AW1318:INDEX(AW1318:BH1318, MATCH(2, 1/(AW1318:BH1318&lt;&gt;""), 1)-1), ROW(INDIRECT("1:" &amp; MATCH(2, 1/(AW1318:BH1318&lt;&gt;""), 1)-1))) &gt;= 150%, 150%, INDEX(AW1318:INDEX(AW1318:BH1318, MATCH(2, 1/(AW1318:BH1318&lt;&gt;""), 1)-1), ROW(INDIRECT("1:" &amp; MATCH(2, 1/(AW1318:BH1318&lt;&gt;""), 1)-1)))), 0))/_xlfn.XLOOKUP(F1318,Apuração!A:A,Apuração!B:B)&gt;=1.15,1.15,SUM(IFERROR(IF(INDEX(AW1318:INDEX(AW1318:BH1318, MATCH(2, 1/(AW1318:BH1318&lt;&gt;""), 1)-1), ROW(INDIRECT("1:" &amp; MATCH(2, 1/(AW1318:BH1318&lt;&gt;""), 1)-1))) &gt;= 150%, 150%, INDEX(AW1318:INDEX(AW1318:BH1318, MATCH(2, 1/(AW1318:BH1318&lt;&gt;""), 1)-1), ROW(INDIRECT("1:" &amp; MATCH(2, 1/(AW1318:BH1318&lt;&gt;""), 1)-1)))), 0))/_xlfn.XLOOKUP(F1318,Apuração!A:A,Apuração!B:B))</f>
        <v>0</v>
      </c>
      <c r="BM1318" s="55" cm="1">
        <f t="array" ref="BM1318">IFERROR(
   INDEX($AW$1:$BH$1,
      _xlfn.AGGREGATE(14, 6, COLUMN($AW$1:$BH$1)/(AW1318:BH1318&lt;&gt;""), 2) - COLUMN($AW$1) + 1
   ),
"")</f>
        <v>46082</v>
      </c>
      <c r="BN1318" s="55" cm="1">
        <f t="array" ref="BN1318">IFERROR(INDEX($AW$1:$BH$1,1,MATCH(2,1/(AW1318:BH1318&lt;&gt;""))),"")</f>
        <v>46113</v>
      </c>
      <c r="BO1318" s="53">
        <f ca="1">IFERROR(_xlfn.XLOOKUP(F1318,Apuração!A:A,Apuração!C:C)/_xlfn.XLOOKUP(F1318,Apuração!A:A,Apuração!B:B),0)</f>
        <v>0</v>
      </c>
      <c r="BP1318" s="53">
        <f ca="1">IFERROR(_xlfn.XLOOKUP(F1318,Apuração!A:A,Apuração!D:D)/_xlfn.XLOOKUP(F1318,Apuração!A:A,Apuração!B:B),0)</f>
        <v>0</v>
      </c>
      <c r="BQ1318" s="53">
        <f ca="1">IF(BK1318&gt;=BO1318,0,_xlfn.XLOOKUP(F1318,Apuração!A:A,Apuração!B:B)*(BO1318 + (1/_xlfn.XLOOKUP(F1318,Apuração!A:A,Apuração!B:B)) - BK1318))</f>
        <v>0</v>
      </c>
      <c r="BR1318" s="85">
        <f t="shared" ca="1" si="1562"/>
        <v>0</v>
      </c>
      <c r="BS1318" s="53">
        <f ca="1">IFERROR((_xlfn.XLOOKUP(F1318,Apuração!A:A,Apuração!C:C)+1)/_xlfn.XLOOKUP(F1318,Apuração!A:A,Apuração!B:B),0)</f>
        <v>0.14285714285714285</v>
      </c>
    </row>
    <row r="1319" spans="1:71" ht="25.95" hidden="1" customHeight="1" x14ac:dyDescent="0.3">
      <c r="A1319" s="23" t="s">
        <v>134</v>
      </c>
      <c r="B1319" s="4" t="s">
        <v>150</v>
      </c>
      <c r="C1319" s="5" t="s">
        <v>209</v>
      </c>
      <c r="D1319" s="5" t="s">
        <v>211</v>
      </c>
      <c r="E1319" s="4" t="str" cm="1">
        <f t="array" ref="E1319">_xlfn.IFS(
F1319 = "A partir de Abril", "Aguardando Execução na Distribuidora",
A1319 = "CAPACITAÇÃO", "Em execução no Corporativo",
TRUE, "Em Execução na Distribuidora"
)</f>
        <v>Em Execução na Distribuidora</v>
      </c>
      <c r="F1319" s="4" t="str" cm="1">
        <f t="array" ref="F1319">_xlfn.IFS(
AG1319 &lt;&gt; "", "Jan-Dez/26",
AH1319 &lt;&gt; "", "Fev-Dez/26",
AI1319 &lt;&gt; "", "Mar-Dez/26", AJ1319 &lt;&gt; "", "Abr-Dez/26",
TRUE, "A partir de Junho"
)</f>
        <v>A partir de Junho</v>
      </c>
      <c r="G1319" s="4" t="s">
        <v>37</v>
      </c>
      <c r="H1319" s="7" t="s">
        <v>54</v>
      </c>
      <c r="I1319" s="8" t="s">
        <v>154</v>
      </c>
      <c r="J1319" s="8" t="str" cm="1">
        <f t="array" aca="1" ref="J1319" ca="1">_xlfn.LET(
  _xlpm.actual_value_month, INDEX(T1319:AE1319, MATCH(DATE(YEAR(TODAY()), MONTH(TODAY()), 1), $T$1:$AE$1, 0)),
  IF(_xlpm.actual_value_month &lt;&gt; "",_xlpm.actual_value_month &amp; " ações mensais", "")
)</f>
        <v/>
      </c>
      <c r="K1319" s="8" t="str" cm="1">
        <f t="array" ref="K1319">_xlfn.LET(
    _xlpm.sum_month, SUM(T1319:AE1319),
    IF(_xlpm.sum_month = 0, "", _xlpm.sum_month &amp; " presença de representantes no ano")
)</f>
        <v/>
      </c>
      <c r="L1319" s="9" t="s">
        <v>155</v>
      </c>
      <c r="M1319" s="24">
        <v>1</v>
      </c>
      <c r="N1319" s="67" t="s">
        <v>51</v>
      </c>
      <c r="O1319" s="111" t="s">
        <v>43</v>
      </c>
      <c r="P1319" s="10" t="s">
        <v>44</v>
      </c>
      <c r="Q1319" s="10" t="s">
        <v>72</v>
      </c>
      <c r="R1319" s="11" t="s">
        <v>44</v>
      </c>
      <c r="S1319" s="11" t="s">
        <v>44</v>
      </c>
      <c r="T1319" s="22"/>
      <c r="U1319" s="22"/>
      <c r="V1319" s="22"/>
      <c r="W1319" s="22"/>
      <c r="X1319" s="22"/>
      <c r="Y1319" s="22"/>
      <c r="Z1319" s="22"/>
      <c r="AA1319" s="22"/>
      <c r="AB1319" s="22"/>
      <c r="AC1319" s="22"/>
      <c r="AD1319" s="22"/>
      <c r="AE1319" s="22"/>
      <c r="AG1319" s="71"/>
      <c r="AH1319" s="71"/>
      <c r="AI1319" s="71"/>
      <c r="AJ1319" s="71"/>
      <c r="AK1319" s="71"/>
      <c r="AL1319" s="71"/>
      <c r="AM1319" s="71"/>
      <c r="AN1319" s="71"/>
      <c r="AO1319" s="71"/>
      <c r="AP1319" s="71"/>
      <c r="AQ1319" s="71"/>
      <c r="AR1319" s="71"/>
      <c r="AS1319" s="94">
        <f t="shared" ca="1" si="1555"/>
        <v>0</v>
      </c>
      <c r="AT1319" s="95">
        <f t="shared" si="1556"/>
        <v>0</v>
      </c>
      <c r="AU1319" s="97">
        <f t="shared" si="1557"/>
        <v>0</v>
      </c>
      <c r="AW1319" s="83">
        <f t="shared" si="1558"/>
        <v>0</v>
      </c>
      <c r="AX1319" s="83">
        <f t="shared" si="1559"/>
        <v>0</v>
      </c>
      <c r="AY1319" s="83">
        <f t="shared" si="1560"/>
        <v>0</v>
      </c>
      <c r="AZ1319" s="83">
        <f t="shared" si="1561"/>
        <v>0</v>
      </c>
      <c r="BA1319" s="52"/>
      <c r="BB1319" s="52"/>
      <c r="BC1319" s="52"/>
      <c r="BD1319" s="52"/>
      <c r="BE1319" s="52"/>
      <c r="BF1319" s="52"/>
      <c r="BG1319" s="52"/>
      <c r="BH1319" s="52"/>
      <c r="BI1319" s="68" cm="1">
        <f t="array" ref="BI1319">IFERROR(INDEX(AW1319:BH1319,1,MATCH(2,1/(AW1319:BH1319&lt;&gt;""))),"")</f>
        <v>0</v>
      </c>
      <c r="BJ1319" s="68" cm="1">
        <f t="array" ref="BJ1319">IF(BM1319 = "", "",IFERROR(INDEX(AW1319:BH1319,1,MATCH(2,1/(AW1319:BH1319&lt;&gt;""),1)-1),""))</f>
        <v>0</v>
      </c>
      <c r="BK1319" s="59">
        <f>IF((IF(AW1319&gt;=150%,150%,AW1319) + IF(AX1319&gt;=150%,150%,AX1319) + IF(AY1319&gt;=150%,150%,AY1319) + (IF(AW1319&gt;=150%,150%,AW1319) + IF(BA1319&gt;=150%,150%,BA1319) + IF(BB1319&gt;=150%,150%,BB1319) + IF(BC1319&gt;=150%,150%,BC1319) + IF(BD1319&gt;=150%,150%,BD1319) + IF(BE1319&gt;=150%,150%,BE1319) + IF(BF1319&gt;=150%,150%,BF1319) + IF(BG1319&gt;=150%,150%,BG1319) + IF(BH1319&gt;=150%,150%,BH1319)))/_xlfn.XLOOKUP(F1319,Apuração!A:A,Apuração!B:B)&gt;=1.15,1.15,((IF(AW1319&gt;=150%,150%,AW1319) + IF(AX1319&gt;=150%,150%,AX1319) + IF(AY1319&gt;=150%,150%,AY1319) + (IF(AW1319&gt;=150%,150%,AW1319) + IF(BA1319&gt;=150%,150%,BA1319) + IF(BB1319&gt;=150%,150%,BB1319) + IF(BC1319&gt;=150%,150%,BC1319) + IF(BD1319&gt;=150%,150%,BD1319) + IF(BE1319&gt;=150%,150%,BE1319) + IF(BF1319&gt;=150%,150%,BF1319) + IF(BG1319&gt;=150%,150%,BG1319) + IF(BH1319&gt;=150%,150%,BH1319)))/_xlfn.XLOOKUP(F1319,Apuração!A:A,Apuração!B:B)))</f>
        <v>0</v>
      </c>
      <c r="BL1319" s="59" cm="1">
        <f t="array" aca="1" ref="BL1319" ca="1">IF(SUM(IFERROR(IF(INDEX(AW1319:INDEX(AW1319:BH1319, MATCH(2, 1/(AW1319:BH1319&lt;&gt;""), 1)-1), ROW(INDIRECT("1:" &amp; MATCH(2, 1/(AW1319:BH1319&lt;&gt;""), 1)-1))) &gt;= 150%, 150%, INDEX(AW1319:INDEX(AW1319:BH1319, MATCH(2, 1/(AW1319:BH1319&lt;&gt;""), 1)-1), ROW(INDIRECT("1:" &amp; MATCH(2, 1/(AW1319:BH1319&lt;&gt;""), 1)-1)))), 0))/_xlfn.XLOOKUP(F1319,Apuração!A:A,Apuração!B:B)&gt;=1.15,1.15,SUM(IFERROR(IF(INDEX(AW1319:INDEX(AW1319:BH1319, MATCH(2, 1/(AW1319:BH1319&lt;&gt;""), 1)-1), ROW(INDIRECT("1:" &amp; MATCH(2, 1/(AW1319:BH1319&lt;&gt;""), 1)-1))) &gt;= 150%, 150%, INDEX(AW1319:INDEX(AW1319:BH1319, MATCH(2, 1/(AW1319:BH1319&lt;&gt;""), 1)-1), ROW(INDIRECT("1:" &amp; MATCH(2, 1/(AW1319:BH1319&lt;&gt;""), 1)-1)))), 0))/_xlfn.XLOOKUP(F1319,Apuração!A:A,Apuração!B:B))</f>
        <v>0</v>
      </c>
      <c r="BM1319" s="55" cm="1">
        <f t="array" ref="BM1319">IFERROR(
   INDEX($AW$1:$BH$1,
      _xlfn.AGGREGATE(14, 6, COLUMN($AW$1:$BH$1)/(AW1319:BH1319&lt;&gt;""), 2) - COLUMN($AW$1) + 1
   ),
"")</f>
        <v>46082</v>
      </c>
      <c r="BN1319" s="55" cm="1">
        <f t="array" ref="BN1319">IFERROR(INDEX($AW$1:$BH$1,1,MATCH(2,1/(AW1319:BH1319&lt;&gt;""))),"")</f>
        <v>46113</v>
      </c>
      <c r="BO1319" s="53">
        <f ca="1">IFERROR(_xlfn.XLOOKUP(F1319,Apuração!A:A,Apuração!C:C)/_xlfn.XLOOKUP(F1319,Apuração!A:A,Apuração!B:B),0)</f>
        <v>0</v>
      </c>
      <c r="BP1319" s="53">
        <f ca="1">IFERROR(_xlfn.XLOOKUP(F1319,Apuração!A:A,Apuração!D:D)/_xlfn.XLOOKUP(F1319,Apuração!A:A,Apuração!B:B),0)</f>
        <v>0</v>
      </c>
      <c r="BQ1319" s="53">
        <f ca="1">IF(BK1319&gt;=BO1319,0,_xlfn.XLOOKUP(F1319,Apuração!A:A,Apuração!B:B)*(BO1319 + (1/_xlfn.XLOOKUP(F1319,Apuração!A:A,Apuração!B:B)) - BK1319))</f>
        <v>0</v>
      </c>
      <c r="BR1319" s="85">
        <f t="shared" ca="1" si="1562"/>
        <v>0</v>
      </c>
      <c r="BS1319" s="53">
        <f ca="1">IFERROR((_xlfn.XLOOKUP(F1319,Apuração!A:A,Apuração!C:C)+1)/_xlfn.XLOOKUP(F1319,Apuração!A:A,Apuração!B:B),0)</f>
        <v>0.14285714285714285</v>
      </c>
    </row>
    <row r="1320" spans="1:71" ht="25.95" hidden="1" customHeight="1" x14ac:dyDescent="0.3">
      <c r="A1320" s="23" t="s">
        <v>134</v>
      </c>
      <c r="B1320" s="4" t="s">
        <v>150</v>
      </c>
      <c r="C1320" s="5" t="s">
        <v>209</v>
      </c>
      <c r="D1320" s="5" t="s">
        <v>212</v>
      </c>
      <c r="E1320" s="4" t="str" cm="1">
        <f t="array" ref="E1320">_xlfn.IFS(
F1320 = "A partir de Abril", "Aguardando Execução na Distribuidora",
A1320 = "CAPACITAÇÃO", "Em execução no Corporativo",
TRUE, "Em Execução na Distribuidora"
)</f>
        <v>Em Execução na Distribuidora</v>
      </c>
      <c r="F1320" s="4" t="str" cm="1">
        <f t="array" ref="F1320">_xlfn.IFS(
AG1320 &lt;&gt; "", "Jan-Dez/26",
AH1320 &lt;&gt; "", "Fev-Dez/26",
AI1320 &lt;&gt; "", "Mar-Dez/26", AJ1320 &lt;&gt; "", "Abr-Dez/26",
TRUE, "A partir de Junho"
)</f>
        <v>A partir de Junho</v>
      </c>
      <c r="G1320" s="4" t="s">
        <v>37</v>
      </c>
      <c r="H1320" s="7" t="s">
        <v>54</v>
      </c>
      <c r="I1320" s="8" t="s">
        <v>154</v>
      </c>
      <c r="J1320" s="8" t="str" cm="1">
        <f t="array" aca="1" ref="J1320" ca="1">_xlfn.LET(
  _xlpm.actual_value_month, INDEX(T1320:AE1320, MATCH(DATE(YEAR(TODAY()), MONTH(TODAY()), 1), $T$1:$AE$1, 0)),
  IF(_xlpm.actual_value_month &lt;&gt; "",_xlpm.actual_value_month &amp; " ações mensais", "")
)</f>
        <v/>
      </c>
      <c r="K1320" s="8" t="str" cm="1">
        <f t="array" ref="K1320">_xlfn.LET(
    _xlpm.sum_month, SUM(T1320:AE1320),
    IF(_xlpm.sum_month = 0, "", _xlpm.sum_month &amp; " presença de representantes no ano")
)</f>
        <v/>
      </c>
      <c r="L1320" s="9" t="s">
        <v>155</v>
      </c>
      <c r="M1320" s="24">
        <v>1</v>
      </c>
      <c r="N1320" s="67" t="s">
        <v>51</v>
      </c>
      <c r="O1320" s="111" t="s">
        <v>43</v>
      </c>
      <c r="P1320" s="10" t="s">
        <v>44</v>
      </c>
      <c r="Q1320" s="10" t="s">
        <v>72</v>
      </c>
      <c r="R1320" s="11" t="s">
        <v>44</v>
      </c>
      <c r="S1320" s="11" t="s">
        <v>44</v>
      </c>
      <c r="T1320" s="22"/>
      <c r="U1320" s="22"/>
      <c r="V1320" s="22"/>
      <c r="W1320" s="22"/>
      <c r="X1320" s="22"/>
      <c r="Y1320" s="22"/>
      <c r="Z1320" s="22"/>
      <c r="AA1320" s="22"/>
      <c r="AB1320" s="22"/>
      <c r="AC1320" s="22"/>
      <c r="AD1320" s="22"/>
      <c r="AE1320" s="22"/>
      <c r="AG1320" s="71"/>
      <c r="AH1320" s="71"/>
      <c r="AI1320" s="71"/>
      <c r="AJ1320" s="71"/>
      <c r="AK1320" s="71"/>
      <c r="AL1320" s="71"/>
      <c r="AM1320" s="71"/>
      <c r="AN1320" s="71"/>
      <c r="AO1320" s="71"/>
      <c r="AP1320" s="71"/>
      <c r="AQ1320" s="71"/>
      <c r="AR1320" s="71"/>
      <c r="AS1320" s="94">
        <f t="shared" ca="1" si="1555"/>
        <v>0</v>
      </c>
      <c r="AT1320" s="95">
        <f t="shared" si="1556"/>
        <v>0</v>
      </c>
      <c r="AU1320" s="97">
        <f t="shared" si="1557"/>
        <v>0</v>
      </c>
      <c r="AW1320" s="83">
        <f t="shared" si="1558"/>
        <v>0</v>
      </c>
      <c r="AX1320" s="83">
        <f t="shared" si="1559"/>
        <v>0</v>
      </c>
      <c r="AY1320" s="83">
        <f t="shared" si="1560"/>
        <v>0</v>
      </c>
      <c r="AZ1320" s="83">
        <f t="shared" si="1561"/>
        <v>0</v>
      </c>
      <c r="BA1320" s="52"/>
      <c r="BB1320" s="52"/>
      <c r="BC1320" s="52"/>
      <c r="BD1320" s="52"/>
      <c r="BE1320" s="52"/>
      <c r="BF1320" s="52"/>
      <c r="BG1320" s="52"/>
      <c r="BH1320" s="52"/>
      <c r="BI1320" s="68" cm="1">
        <f t="array" ref="BI1320">IFERROR(INDEX(AW1320:BH1320,1,MATCH(2,1/(AW1320:BH1320&lt;&gt;""))),"")</f>
        <v>0</v>
      </c>
      <c r="BJ1320" s="68" cm="1">
        <f t="array" ref="BJ1320">IF(BM1320 = "", "",IFERROR(INDEX(AW1320:BH1320,1,MATCH(2,1/(AW1320:BH1320&lt;&gt;""),1)-1),""))</f>
        <v>0</v>
      </c>
      <c r="BK1320" s="59">
        <f>IF((IF(AW1320&gt;=150%,150%,AW1320) + IF(AX1320&gt;=150%,150%,AX1320) + IF(AY1320&gt;=150%,150%,AY1320) + (IF(AW1320&gt;=150%,150%,AW1320) + IF(BA1320&gt;=150%,150%,BA1320) + IF(BB1320&gt;=150%,150%,BB1320) + IF(BC1320&gt;=150%,150%,BC1320) + IF(BD1320&gt;=150%,150%,BD1320) + IF(BE1320&gt;=150%,150%,BE1320) + IF(BF1320&gt;=150%,150%,BF1320) + IF(BG1320&gt;=150%,150%,BG1320) + IF(BH1320&gt;=150%,150%,BH1320)))/_xlfn.XLOOKUP(F1320,Apuração!A:A,Apuração!B:B)&gt;=1.15,1.15,((IF(AW1320&gt;=150%,150%,AW1320) + IF(AX1320&gt;=150%,150%,AX1320) + IF(AY1320&gt;=150%,150%,AY1320) + (IF(AW1320&gt;=150%,150%,AW1320) + IF(BA1320&gt;=150%,150%,BA1320) + IF(BB1320&gt;=150%,150%,BB1320) + IF(BC1320&gt;=150%,150%,BC1320) + IF(BD1320&gt;=150%,150%,BD1320) + IF(BE1320&gt;=150%,150%,BE1320) + IF(BF1320&gt;=150%,150%,BF1320) + IF(BG1320&gt;=150%,150%,BG1320) + IF(BH1320&gt;=150%,150%,BH1320)))/_xlfn.XLOOKUP(F1320,Apuração!A:A,Apuração!B:B)))</f>
        <v>0</v>
      </c>
      <c r="BL1320" s="59" cm="1">
        <f t="array" aca="1" ref="BL1320" ca="1">IF(SUM(IFERROR(IF(INDEX(AW1320:INDEX(AW1320:BH1320, MATCH(2, 1/(AW1320:BH1320&lt;&gt;""), 1)-1), ROW(INDIRECT("1:" &amp; MATCH(2, 1/(AW1320:BH1320&lt;&gt;""), 1)-1))) &gt;= 150%, 150%, INDEX(AW1320:INDEX(AW1320:BH1320, MATCH(2, 1/(AW1320:BH1320&lt;&gt;""), 1)-1), ROW(INDIRECT("1:" &amp; MATCH(2, 1/(AW1320:BH1320&lt;&gt;""), 1)-1)))), 0))/_xlfn.XLOOKUP(F1320,Apuração!A:A,Apuração!B:B)&gt;=1.15,1.15,SUM(IFERROR(IF(INDEX(AW1320:INDEX(AW1320:BH1320, MATCH(2, 1/(AW1320:BH1320&lt;&gt;""), 1)-1), ROW(INDIRECT("1:" &amp; MATCH(2, 1/(AW1320:BH1320&lt;&gt;""), 1)-1))) &gt;= 150%, 150%, INDEX(AW1320:INDEX(AW1320:BH1320, MATCH(2, 1/(AW1320:BH1320&lt;&gt;""), 1)-1), ROW(INDIRECT("1:" &amp; MATCH(2, 1/(AW1320:BH1320&lt;&gt;""), 1)-1)))), 0))/_xlfn.XLOOKUP(F1320,Apuração!A:A,Apuração!B:B))</f>
        <v>0</v>
      </c>
      <c r="BM1320" s="55" cm="1">
        <f t="array" ref="BM1320">IFERROR(
   INDEX($AW$1:$BH$1,
      _xlfn.AGGREGATE(14, 6, COLUMN($AW$1:$BH$1)/(AW1320:BH1320&lt;&gt;""), 2) - COLUMN($AW$1) + 1
   ),
"")</f>
        <v>46082</v>
      </c>
      <c r="BN1320" s="55" cm="1">
        <f t="array" ref="BN1320">IFERROR(INDEX($AW$1:$BH$1,1,MATCH(2,1/(AW1320:BH1320&lt;&gt;""))),"")</f>
        <v>46113</v>
      </c>
      <c r="BO1320" s="53">
        <f ca="1">IFERROR(_xlfn.XLOOKUP(F1320,Apuração!A:A,Apuração!C:C)/_xlfn.XLOOKUP(F1320,Apuração!A:A,Apuração!B:B),0)</f>
        <v>0</v>
      </c>
      <c r="BP1320" s="53">
        <f ca="1">IFERROR(_xlfn.XLOOKUP(F1320,Apuração!A:A,Apuração!D:D)/_xlfn.XLOOKUP(F1320,Apuração!A:A,Apuração!B:B),0)</f>
        <v>0</v>
      </c>
      <c r="BQ1320" s="53">
        <f ca="1">IF(BK1320&gt;=BO1320,0,_xlfn.XLOOKUP(F1320,Apuração!A:A,Apuração!B:B)*(BO1320 + (1/_xlfn.XLOOKUP(F1320,Apuração!A:A,Apuração!B:B)) - BK1320))</f>
        <v>0</v>
      </c>
      <c r="BR1320" s="85">
        <f t="shared" ca="1" si="1562"/>
        <v>0</v>
      </c>
      <c r="BS1320" s="53">
        <f ca="1">IFERROR((_xlfn.XLOOKUP(F1320,Apuração!A:A,Apuração!C:C)+1)/_xlfn.XLOOKUP(F1320,Apuração!A:A,Apuração!B:B),0)</f>
        <v>0.14285714285714285</v>
      </c>
    </row>
    <row r="1321" spans="1:71" ht="25.95" hidden="1" customHeight="1" x14ac:dyDescent="0.3">
      <c r="A1321" s="23" t="s">
        <v>134</v>
      </c>
      <c r="B1321" s="4" t="s">
        <v>150</v>
      </c>
      <c r="C1321" s="5" t="s">
        <v>209</v>
      </c>
      <c r="D1321" s="5" t="s">
        <v>213</v>
      </c>
      <c r="E1321" s="4" t="str" cm="1">
        <f t="array" ref="E1321">_xlfn.IFS(
F1321 = "A partir de Abril", "Aguardando Execução na Distribuidora",
A1321 = "CAPACITAÇÃO", "Em execução no Corporativo",
TRUE, "Em Execução na Distribuidora"
)</f>
        <v>Em Execução na Distribuidora</v>
      </c>
      <c r="F1321" s="4" t="str" cm="1">
        <f t="array" ref="F1321">_xlfn.IFS(
AG1321 &lt;&gt; "", "Jan-Dez/26",
AH1321 &lt;&gt; "", "Fev-Dez/26",
AI1321 &lt;&gt; "", "Mar-Dez/26", AJ1321 &lt;&gt; "", "Abr-Dez/26",
TRUE, "A partir de Junho"
)</f>
        <v>A partir de Junho</v>
      </c>
      <c r="G1321" s="4" t="s">
        <v>37</v>
      </c>
      <c r="H1321" s="7" t="s">
        <v>54</v>
      </c>
      <c r="I1321" s="8" t="s">
        <v>154</v>
      </c>
      <c r="J1321" s="8" t="str" cm="1">
        <f t="array" aca="1" ref="J1321" ca="1">_xlfn.LET(
  _xlpm.actual_value_month, INDEX(T1321:AE1321, MATCH(DATE(YEAR(TODAY()), MONTH(TODAY()), 1), $T$1:$AE$1, 0)),
  IF(_xlpm.actual_value_month &lt;&gt; "",_xlpm.actual_value_month &amp; " ações mensais", "")
)</f>
        <v/>
      </c>
      <c r="K1321" s="8" t="str" cm="1">
        <f t="array" ref="K1321">_xlfn.LET(
    _xlpm.sum_month, SUM(T1321:AE1321),
    IF(_xlpm.sum_month = 0, "", _xlpm.sum_month &amp; " presença de representantes no ano")
)</f>
        <v/>
      </c>
      <c r="L1321" s="9" t="s">
        <v>155</v>
      </c>
      <c r="M1321" s="24">
        <v>1</v>
      </c>
      <c r="N1321" s="67" t="s">
        <v>51</v>
      </c>
      <c r="O1321" s="111" t="s">
        <v>43</v>
      </c>
      <c r="P1321" s="10" t="s">
        <v>44</v>
      </c>
      <c r="Q1321" s="10" t="s">
        <v>72</v>
      </c>
      <c r="R1321" s="11" t="s">
        <v>44</v>
      </c>
      <c r="S1321" s="11" t="s">
        <v>44</v>
      </c>
      <c r="T1321" s="22"/>
      <c r="U1321" s="22"/>
      <c r="V1321" s="22"/>
      <c r="W1321" s="22"/>
      <c r="X1321" s="22"/>
      <c r="Y1321" s="22"/>
      <c r="Z1321" s="22"/>
      <c r="AA1321" s="22"/>
      <c r="AB1321" s="22"/>
      <c r="AC1321" s="22"/>
      <c r="AD1321" s="22"/>
      <c r="AE1321" s="22"/>
      <c r="AG1321" s="71"/>
      <c r="AH1321" s="71"/>
      <c r="AI1321" s="71"/>
      <c r="AJ1321" s="71"/>
      <c r="AK1321" s="71"/>
      <c r="AL1321" s="71"/>
      <c r="AM1321" s="71"/>
      <c r="AN1321" s="71"/>
      <c r="AO1321" s="71"/>
      <c r="AP1321" s="71"/>
      <c r="AQ1321" s="71"/>
      <c r="AR1321" s="71"/>
      <c r="AS1321" s="94">
        <f t="shared" ca="1" si="1555"/>
        <v>0</v>
      </c>
      <c r="AT1321" s="95">
        <f t="shared" si="1556"/>
        <v>0</v>
      </c>
      <c r="AU1321" s="97">
        <f t="shared" si="1557"/>
        <v>0</v>
      </c>
      <c r="AW1321" s="83">
        <f t="shared" si="1558"/>
        <v>0</v>
      </c>
      <c r="AX1321" s="83">
        <f t="shared" si="1559"/>
        <v>0</v>
      </c>
      <c r="AY1321" s="83">
        <f t="shared" si="1560"/>
        <v>0</v>
      </c>
      <c r="AZ1321" s="83">
        <f t="shared" si="1561"/>
        <v>0</v>
      </c>
      <c r="BA1321" s="52"/>
      <c r="BB1321" s="52"/>
      <c r="BC1321" s="52"/>
      <c r="BD1321" s="52"/>
      <c r="BE1321" s="52"/>
      <c r="BF1321" s="52"/>
      <c r="BG1321" s="52"/>
      <c r="BH1321" s="52"/>
      <c r="BI1321" s="68" cm="1">
        <f t="array" ref="BI1321">IFERROR(INDEX(AW1321:BH1321,1,MATCH(2,1/(AW1321:BH1321&lt;&gt;""))),"")</f>
        <v>0</v>
      </c>
      <c r="BJ1321" s="68" cm="1">
        <f t="array" ref="BJ1321">IF(BM1321 = "", "",IFERROR(INDEX(AW1321:BH1321,1,MATCH(2,1/(AW1321:BH1321&lt;&gt;""),1)-1),""))</f>
        <v>0</v>
      </c>
      <c r="BK1321" s="59">
        <f>IF((IF(AW1321&gt;=150%,150%,AW1321) + IF(AX1321&gt;=150%,150%,AX1321) + IF(AY1321&gt;=150%,150%,AY1321) + (IF(AW1321&gt;=150%,150%,AW1321) + IF(BA1321&gt;=150%,150%,BA1321) + IF(BB1321&gt;=150%,150%,BB1321) + IF(BC1321&gt;=150%,150%,BC1321) + IF(BD1321&gt;=150%,150%,BD1321) + IF(BE1321&gt;=150%,150%,BE1321) + IF(BF1321&gt;=150%,150%,BF1321) + IF(BG1321&gt;=150%,150%,BG1321) + IF(BH1321&gt;=150%,150%,BH1321)))/_xlfn.XLOOKUP(F1321,Apuração!A:A,Apuração!B:B)&gt;=1.15,1.15,((IF(AW1321&gt;=150%,150%,AW1321) + IF(AX1321&gt;=150%,150%,AX1321) + IF(AY1321&gt;=150%,150%,AY1321) + (IF(AW1321&gt;=150%,150%,AW1321) + IF(BA1321&gt;=150%,150%,BA1321) + IF(BB1321&gt;=150%,150%,BB1321) + IF(BC1321&gt;=150%,150%,BC1321) + IF(BD1321&gt;=150%,150%,BD1321) + IF(BE1321&gt;=150%,150%,BE1321) + IF(BF1321&gt;=150%,150%,BF1321) + IF(BG1321&gt;=150%,150%,BG1321) + IF(BH1321&gt;=150%,150%,BH1321)))/_xlfn.XLOOKUP(F1321,Apuração!A:A,Apuração!B:B)))</f>
        <v>0</v>
      </c>
      <c r="BL1321" s="59" cm="1">
        <f t="array" aca="1" ref="BL1321" ca="1">IF(SUM(IFERROR(IF(INDEX(AW1321:INDEX(AW1321:BH1321, MATCH(2, 1/(AW1321:BH1321&lt;&gt;""), 1)-1), ROW(INDIRECT("1:" &amp; MATCH(2, 1/(AW1321:BH1321&lt;&gt;""), 1)-1))) &gt;= 150%, 150%, INDEX(AW1321:INDEX(AW1321:BH1321, MATCH(2, 1/(AW1321:BH1321&lt;&gt;""), 1)-1), ROW(INDIRECT("1:" &amp; MATCH(2, 1/(AW1321:BH1321&lt;&gt;""), 1)-1)))), 0))/_xlfn.XLOOKUP(F1321,Apuração!A:A,Apuração!B:B)&gt;=1.15,1.15,SUM(IFERROR(IF(INDEX(AW1321:INDEX(AW1321:BH1321, MATCH(2, 1/(AW1321:BH1321&lt;&gt;""), 1)-1), ROW(INDIRECT("1:" &amp; MATCH(2, 1/(AW1321:BH1321&lt;&gt;""), 1)-1))) &gt;= 150%, 150%, INDEX(AW1321:INDEX(AW1321:BH1321, MATCH(2, 1/(AW1321:BH1321&lt;&gt;""), 1)-1), ROW(INDIRECT("1:" &amp; MATCH(2, 1/(AW1321:BH1321&lt;&gt;""), 1)-1)))), 0))/_xlfn.XLOOKUP(F1321,Apuração!A:A,Apuração!B:B))</f>
        <v>0</v>
      </c>
      <c r="BM1321" s="55" cm="1">
        <f t="array" ref="BM1321">IFERROR(
   INDEX($AW$1:$BH$1,
      _xlfn.AGGREGATE(14, 6, COLUMN($AW$1:$BH$1)/(AW1321:BH1321&lt;&gt;""), 2) - COLUMN($AW$1) + 1
   ),
"")</f>
        <v>46082</v>
      </c>
      <c r="BN1321" s="55" cm="1">
        <f t="array" ref="BN1321">IFERROR(INDEX($AW$1:$BH$1,1,MATCH(2,1/(AW1321:BH1321&lt;&gt;""))),"")</f>
        <v>46113</v>
      </c>
      <c r="BO1321" s="53">
        <f ca="1">IFERROR(_xlfn.XLOOKUP(F1321,Apuração!A:A,Apuração!C:C)/_xlfn.XLOOKUP(F1321,Apuração!A:A,Apuração!B:B),0)</f>
        <v>0</v>
      </c>
      <c r="BP1321" s="53">
        <f ca="1">IFERROR(_xlfn.XLOOKUP(F1321,Apuração!A:A,Apuração!D:D)/_xlfn.XLOOKUP(F1321,Apuração!A:A,Apuração!B:B),0)</f>
        <v>0</v>
      </c>
      <c r="BQ1321" s="53">
        <f ca="1">IF(BK1321&gt;=BO1321,0,_xlfn.XLOOKUP(F1321,Apuração!A:A,Apuração!B:B)*(BO1321 + (1/_xlfn.XLOOKUP(F1321,Apuração!A:A,Apuração!B:B)) - BK1321))</f>
        <v>0</v>
      </c>
      <c r="BR1321" s="85">
        <f t="shared" ca="1" si="1562"/>
        <v>0</v>
      </c>
      <c r="BS1321" s="53">
        <f ca="1">IFERROR((_xlfn.XLOOKUP(F1321,Apuração!A:A,Apuração!C:C)+1)/_xlfn.XLOOKUP(F1321,Apuração!A:A,Apuração!B:B),0)</f>
        <v>0.14285714285714285</v>
      </c>
    </row>
    <row r="1322" spans="1:71" ht="25.95" hidden="1" customHeight="1" x14ac:dyDescent="0.3">
      <c r="A1322" s="43" t="s">
        <v>134</v>
      </c>
      <c r="B1322" s="15" t="s">
        <v>150</v>
      </c>
      <c r="C1322" s="5" t="s">
        <v>209</v>
      </c>
      <c r="D1322" s="5" t="s">
        <v>36</v>
      </c>
      <c r="E1322" s="4" t="str" cm="1">
        <f t="array" ref="E1322">_xlfn.IFS(
F1322 = "A partir de Abril", "Aguardando Execução na Distribuidora",
A1322 = "CAPACITAÇÃO", "Em execução no Corporativo",
TRUE, "Em Execução na Distribuidora"
)</f>
        <v>Em Execução na Distribuidora</v>
      </c>
      <c r="F1322" s="4" t="str" cm="1">
        <f t="array" ref="F1322">_xlfn.IFS(
AG1322 &lt;&gt; "", "Jan-Dez/26",
AH1322 &lt;&gt; "", "Fev-Dez/26",
AI1322 &lt;&gt; "", "Mar-Dez/26", AJ1322 &lt;&gt; "", "Abr-Dez/26",
TRUE, "A partir de Junho"
)</f>
        <v>Jan-Dez/26</v>
      </c>
      <c r="G1322" s="15" t="s">
        <v>37</v>
      </c>
      <c r="H1322" s="27" t="s">
        <v>54</v>
      </c>
      <c r="I1322" s="28" t="s">
        <v>156</v>
      </c>
      <c r="J1322" s="8" t="str" cm="1">
        <f t="array" aca="1" ref="J1322" ca="1">_xlfn.LET(
  _xlpm.actual_value_month, INDEX(T1322:AE1322, MATCH(DATE(YEAR(TODAY()), MONTH(TODAY()), 1), $T$1:$AE$1, 0)),
  IF(_xlpm.actual_value_month &lt;&gt; "",_xlpm.actual_value_month &amp; " ações mensais", "")
)</f>
        <v/>
      </c>
      <c r="K1322" s="8" t="str" cm="1">
        <f t="array" ref="K1322">_xlfn.LET(
    _xlpm.sum_month, SUM(T1322:AE1322),
    IF(_xlpm.sum_month = 0, "", _xlpm.sum_month &amp; " atividades no ano")
)</f>
        <v>820 atividades no ano</v>
      </c>
      <c r="L1322" s="15" t="s">
        <v>157</v>
      </c>
      <c r="M1322" s="30">
        <v>1</v>
      </c>
      <c r="N1322" s="67" t="s">
        <v>51</v>
      </c>
      <c r="O1322" s="26" t="s">
        <v>52</v>
      </c>
      <c r="P1322" s="31" t="s">
        <v>44</v>
      </c>
      <c r="Q1322" s="31" t="s">
        <v>44</v>
      </c>
      <c r="R1322" s="32" t="s">
        <v>44</v>
      </c>
      <c r="S1322" s="32" t="s">
        <v>44</v>
      </c>
      <c r="T1322" s="22">
        <v>237</v>
      </c>
      <c r="U1322" s="22">
        <v>408</v>
      </c>
      <c r="V1322" s="22">
        <v>175</v>
      </c>
      <c r="W1322" s="22"/>
      <c r="X1322" s="22"/>
      <c r="Y1322" s="22"/>
      <c r="Z1322" s="22"/>
      <c r="AA1322" s="22"/>
      <c r="AB1322" s="22"/>
      <c r="AC1322" s="22"/>
      <c r="AD1322" s="22"/>
      <c r="AE1322" s="22"/>
      <c r="AG1322" s="71">
        <v>237</v>
      </c>
      <c r="AH1322" s="71">
        <v>408</v>
      </c>
      <c r="AI1322" s="71">
        <v>549</v>
      </c>
      <c r="AJ1322" s="71">
        <v>558</v>
      </c>
      <c r="AK1322" s="71"/>
      <c r="AL1322" s="71"/>
      <c r="AM1322" s="71"/>
      <c r="AN1322" s="71"/>
      <c r="AO1322" s="71"/>
      <c r="AP1322" s="71"/>
      <c r="AQ1322" s="71"/>
      <c r="AR1322" s="71"/>
      <c r="AS1322" s="94">
        <f ca="1">IF(MONTH(TODAY())=3,SUM(T1322:U1322),IF(MONTH(TODAY())=4,SUM(T1322:V1322),IF(MONTH(TODAY())=5,SUM(T1322:W1322),IF(MONTH(TODAY())=6,SUM(T1322:X1322),IF(MONTH(TODAY())=7,SUM(T1322:Y1322),IF(MONTH(TODAY())=8,SUM(T1322:Z1322),IF(MONTH(TODAY())=9,SUM(T1322:AA1322),IF(MONTH(TODAY())=10,SUM(T1322:AB1322),IF(MONTH(TODAY())=11,SUM(T1322:AC1322),IF(MONTH(TODAY())=12,SUM(T1322:AD1322),IF(MONTH(TODAY())=1,SUM(T1322:AE1322),T1322)))))))))))</f>
        <v>820</v>
      </c>
      <c r="AT1322" s="95">
        <f>AT1304</f>
        <v>1047.5</v>
      </c>
      <c r="AU1322" s="97">
        <f>SUM(AG1322:AR1322)</f>
        <v>1752</v>
      </c>
      <c r="AW1322" s="83">
        <f>AG1322</f>
        <v>237</v>
      </c>
      <c r="AX1322" s="83">
        <f>AH1322</f>
        <v>408</v>
      </c>
      <c r="AY1322" s="83">
        <f>AI1322</f>
        <v>549</v>
      </c>
      <c r="AZ1322" s="83">
        <f>AJ1322</f>
        <v>558</v>
      </c>
      <c r="BA1322" s="52"/>
      <c r="BB1322" s="52"/>
      <c r="BC1322" s="52"/>
      <c r="BD1322" s="52"/>
      <c r="BE1322" s="52"/>
      <c r="BF1322" s="52"/>
      <c r="BG1322" s="52"/>
      <c r="BH1322" s="52"/>
      <c r="BI1322" s="68" cm="1">
        <f t="array" ref="BI1322">IFERROR(INDEX(AW1322:BH1322,1,MATCH(2,1/(AW1322:BH1322&lt;&gt;""))),"")</f>
        <v>558</v>
      </c>
      <c r="BJ1322" s="68" cm="1">
        <f t="array" ref="BJ1322">IF(BM1322 = "", "",IFERROR(INDEX(AW1322:BH1322,1,MATCH(2,1/(AW1322:BH1322&lt;&gt;""),1)-1),""))</f>
        <v>549</v>
      </c>
      <c r="BK1322" s="59">
        <f>SUM(AW1322:BH1322)</f>
        <v>1752</v>
      </c>
      <c r="BL1322" s="59" cm="1">
        <f t="array" ref="BL1322">IFERROR(SUM(AW1322:INDEX(AW1322:BH1322, MATCH(2, 1/(AW1322:BH1322&lt;&gt;""), 1) - 1))/_xlfn.XLOOKUP(F1322,Apuração!A:A,Apuração!B:B),0)</f>
        <v>99.5</v>
      </c>
      <c r="BM1322" s="55" cm="1">
        <f t="array" ref="BM1322">IFERROR(
   INDEX($AW$1:$BH$1,
      _xlfn.AGGREGATE(14, 6, COLUMN($AW$1:$BH$1)/(AW1322:BH1322&lt;&gt;""), 2) - COLUMN($AW$1) + 1
   ),
"")</f>
        <v>46082</v>
      </c>
      <c r="BN1322" s="55" cm="1">
        <f t="array" ref="BN1322">IFERROR(INDEX($AW$1:$BH$1,1,MATCH(2,1/(AW1322:BH1322&lt;&gt;""))),"")</f>
        <v>46113</v>
      </c>
      <c r="BO1322" s="53">
        <f ca="1">IFERROR(_xlfn.XLOOKUP(F1322,Apuração!A:A,Apuração!C:C)/_xlfn.XLOOKUP(F1322,Apuração!A:A,Apuração!B:B),0)</f>
        <v>0.41666666666666669</v>
      </c>
      <c r="BP1322" s="53">
        <f ca="1">IFERROR(_xlfn.XLOOKUP(F1322,Apuração!A:A,Apuração!D:D)/_xlfn.XLOOKUP(F1322,Apuração!A:A,Apuração!B:B),0)</f>
        <v>0.33333333333333331</v>
      </c>
      <c r="BQ1322" s="53">
        <f ca="1">IF(BK1322&gt;=BO1322,0,_xlfn.XLOOKUP(F1322,Apuração!A:A,Apuração!B:B)*(BO1322 + (1/_xlfn.XLOOKUP(F1322,Apuração!A:A,Apuração!B:B)) - BK1322))</f>
        <v>0</v>
      </c>
      <c r="BR1322" s="85">
        <f ca="1">IF(BQ1322=0,0,BQ1322*Z1322)</f>
        <v>0</v>
      </c>
      <c r="BS1322" s="53">
        <f ca="1">IFERROR((_xlfn.XLOOKUP(F1322,Apuração!A:A,Apuração!C:C)+1)/_xlfn.XLOOKUP(F1322,Apuração!A:A,Apuração!B:B),0)</f>
        <v>0.5</v>
      </c>
    </row>
    <row r="1323" spans="1:71" ht="25.95" hidden="1" customHeight="1" x14ac:dyDescent="0.3">
      <c r="A1323" s="43" t="s">
        <v>134</v>
      </c>
      <c r="B1323" s="15" t="s">
        <v>150</v>
      </c>
      <c r="C1323" s="5" t="s">
        <v>209</v>
      </c>
      <c r="D1323" s="5" t="s">
        <v>210</v>
      </c>
      <c r="E1323" s="4" t="str" cm="1">
        <f t="array" ref="E1323">_xlfn.IFS(
F1323 = "A partir de Abril", "Aguardando Execução na Distribuidora",
A1323 = "CAPACITAÇÃO", "Em execução no Corporativo",
TRUE, "Em Execução na Distribuidora"
)</f>
        <v>Em Execução na Distribuidora</v>
      </c>
      <c r="F1323" s="4" t="str" cm="1">
        <f t="array" ref="F1323">_xlfn.IFS(
AG1323 &lt;&gt; "", "Jan-Dez/26",
AH1323 &lt;&gt; "", "Fev-Dez/26",
AI1323 &lt;&gt; "", "Mar-Dez/26", AJ1323 &lt;&gt; "", "Abr-Dez/26",
TRUE, "A partir de Junho"
)</f>
        <v>A partir de Junho</v>
      </c>
      <c r="G1323" s="15" t="s">
        <v>37</v>
      </c>
      <c r="H1323" s="27" t="s">
        <v>54</v>
      </c>
      <c r="I1323" s="28" t="s">
        <v>156</v>
      </c>
      <c r="J1323" s="8" t="str" cm="1">
        <f t="array" aca="1" ref="J1323" ca="1">_xlfn.LET(
  _xlpm.actual_value_month, INDEX(T1323:AE1323, MATCH(DATE(YEAR(TODAY()), MONTH(TODAY()), 1), $T$1:$AE$1, 0)),
  IF(_xlpm.actual_value_month &lt;&gt; "",_xlpm.actual_value_month &amp; " ações mensais", "")
)</f>
        <v/>
      </c>
      <c r="K1323" s="8" t="str" cm="1">
        <f t="array" ref="K1323">_xlfn.LET(
    _xlpm.sum_month, SUM(T1323:AE1323),
    IF(_xlpm.sum_month = 0, "", _xlpm.sum_month &amp; " atividades no ano")
)</f>
        <v/>
      </c>
      <c r="L1323" s="15" t="s">
        <v>157</v>
      </c>
      <c r="M1323" s="30">
        <v>1</v>
      </c>
      <c r="N1323" s="67" t="s">
        <v>51</v>
      </c>
      <c r="O1323" s="26" t="s">
        <v>52</v>
      </c>
      <c r="P1323" s="31" t="s">
        <v>44</v>
      </c>
      <c r="Q1323" s="31" t="s">
        <v>44</v>
      </c>
      <c r="R1323" s="32" t="s">
        <v>44</v>
      </c>
      <c r="S1323" s="32" t="s">
        <v>44</v>
      </c>
      <c r="T1323" s="22"/>
      <c r="U1323" s="22"/>
      <c r="V1323" s="22"/>
      <c r="W1323" s="22"/>
      <c r="X1323" s="22"/>
      <c r="Y1323" s="22"/>
      <c r="Z1323" s="22"/>
      <c r="AA1323" s="22"/>
      <c r="AB1323" s="22"/>
      <c r="AC1323" s="22"/>
      <c r="AD1323" s="22"/>
      <c r="AE1323" s="22"/>
      <c r="AG1323" s="71"/>
      <c r="AH1323" s="71"/>
      <c r="AI1323" s="71"/>
      <c r="AJ1323" s="71"/>
      <c r="AK1323" s="71"/>
      <c r="AL1323" s="71"/>
      <c r="AM1323" s="71"/>
      <c r="AN1323" s="71"/>
      <c r="AO1323" s="71"/>
      <c r="AP1323" s="71"/>
      <c r="AQ1323" s="71"/>
      <c r="AR1323" s="71"/>
      <c r="AS1323" s="94">
        <f t="shared" ref="AS1323:AS1327" ca="1" si="1563">IF(MONTH(TODAY())=3,SUM(T1323:U1323),IF(MONTH(TODAY())=4,SUM(T1323:V1323),IF(MONTH(TODAY())=5,SUM(T1323:W1323),IF(MONTH(TODAY())=6,SUM(T1323:X1323),IF(MONTH(TODAY())=7,SUM(T1323:Y1323),IF(MONTH(TODAY())=8,SUM(T1323:Z1323),IF(MONTH(TODAY())=9,SUM(T1323:AA1323),IF(MONTH(TODAY())=10,SUM(T1323:AB1323),IF(MONTH(TODAY())=11,SUM(T1323:AC1323),IF(MONTH(TODAY())=12,SUM(T1323:AD1323),IF(MONTH(TODAY())=1,SUM(T1323:AE1323),T1323)))))))))))</f>
        <v>0</v>
      </c>
      <c r="AT1323" s="95">
        <f t="shared" ref="AT1323:AT1327" si="1564">AT1305</f>
        <v>0</v>
      </c>
      <c r="AU1323" s="97">
        <f t="shared" ref="AU1323:AU1327" si="1565">SUM(AG1323:AR1323)</f>
        <v>0</v>
      </c>
      <c r="AW1323" s="83">
        <f t="shared" ref="AW1323:AW1327" si="1566">AG1323</f>
        <v>0</v>
      </c>
      <c r="AX1323" s="83">
        <f t="shared" ref="AX1323:AX1327" si="1567">AH1323</f>
        <v>0</v>
      </c>
      <c r="AY1323" s="83">
        <f t="shared" ref="AY1323:AY1327" si="1568">AI1323</f>
        <v>0</v>
      </c>
      <c r="AZ1323" s="83">
        <f t="shared" ref="AZ1323:AZ1327" si="1569">AJ1323</f>
        <v>0</v>
      </c>
      <c r="BA1323" s="52"/>
      <c r="BB1323" s="52"/>
      <c r="BC1323" s="52"/>
      <c r="BD1323" s="52"/>
      <c r="BE1323" s="52"/>
      <c r="BF1323" s="52"/>
      <c r="BG1323" s="52"/>
      <c r="BH1323" s="52"/>
      <c r="BI1323" s="68" cm="1">
        <f t="array" ref="BI1323">IFERROR(INDEX(AW1323:BH1323,1,MATCH(2,1/(AW1323:BH1323&lt;&gt;""))),"")</f>
        <v>0</v>
      </c>
      <c r="BJ1323" s="68" cm="1">
        <f t="array" ref="BJ1323">IF(BM1323 = "", "",IFERROR(INDEX(AW1323:BH1323,1,MATCH(2,1/(AW1323:BH1323&lt;&gt;""),1)-1),""))</f>
        <v>0</v>
      </c>
      <c r="BK1323" s="59">
        <f t="shared" ref="BK1323:BK1327" si="1570">SUM(AW1323:BH1323)</f>
        <v>0</v>
      </c>
      <c r="BL1323" s="59" cm="1">
        <f t="array" ref="BL1323">IFERROR(SUM(AW1323:INDEX(AW1323:BH1323, MATCH(2, 1/(AW1323:BH1323&lt;&gt;""), 1) - 1))/_xlfn.XLOOKUP(F1323,Apuração!A:A,Apuração!B:B),0)</f>
        <v>0</v>
      </c>
      <c r="BM1323" s="55" cm="1">
        <f t="array" ref="BM1323">IFERROR(
   INDEX($AW$1:$BH$1,
      _xlfn.AGGREGATE(14, 6, COLUMN($AW$1:$BH$1)/(AW1323:BH1323&lt;&gt;""), 2) - COLUMN($AW$1) + 1
   ),
"")</f>
        <v>46082</v>
      </c>
      <c r="BN1323" s="55" cm="1">
        <f t="array" ref="BN1323">IFERROR(INDEX($AW$1:$BH$1,1,MATCH(2,1/(AW1323:BH1323&lt;&gt;""))),"")</f>
        <v>46113</v>
      </c>
      <c r="BO1323" s="53">
        <f ca="1">IFERROR(_xlfn.XLOOKUP(F1323,Apuração!A:A,Apuração!C:C)/_xlfn.XLOOKUP(F1323,Apuração!A:A,Apuração!B:B),0)</f>
        <v>0</v>
      </c>
      <c r="BP1323" s="53">
        <f ca="1">IFERROR(_xlfn.XLOOKUP(F1323,Apuração!A:A,Apuração!D:D)/_xlfn.XLOOKUP(F1323,Apuração!A:A,Apuração!B:B),0)</f>
        <v>0</v>
      </c>
      <c r="BQ1323" s="53">
        <f ca="1">IF(BK1323&gt;=BO1323,0,_xlfn.XLOOKUP(F1323,Apuração!A:A,Apuração!B:B)*(BO1323 + (1/_xlfn.XLOOKUP(F1323,Apuração!A:A,Apuração!B:B)) - BK1323))</f>
        <v>0</v>
      </c>
      <c r="BR1323" s="85">
        <f t="shared" ref="BR1323:BR1327" ca="1" si="1571">IF(BQ1323=0,0,BQ1323*Z1323)</f>
        <v>0</v>
      </c>
      <c r="BS1323" s="53">
        <f ca="1">IFERROR((_xlfn.XLOOKUP(F1323,Apuração!A:A,Apuração!C:C)+1)/_xlfn.XLOOKUP(F1323,Apuração!A:A,Apuração!B:B),0)</f>
        <v>0.14285714285714285</v>
      </c>
    </row>
    <row r="1324" spans="1:71" ht="25.95" hidden="1" customHeight="1" x14ac:dyDescent="0.3">
      <c r="A1324" s="43" t="s">
        <v>134</v>
      </c>
      <c r="B1324" s="15" t="s">
        <v>150</v>
      </c>
      <c r="C1324" s="5" t="s">
        <v>209</v>
      </c>
      <c r="D1324" s="5" t="s">
        <v>47</v>
      </c>
      <c r="E1324" s="4" t="str" cm="1">
        <f t="array" ref="E1324">_xlfn.IFS(
F1324 = "A partir de Abril", "Aguardando Execução na Distribuidora",
A1324 = "CAPACITAÇÃO", "Em execução no Corporativo",
TRUE, "Em Execução na Distribuidora"
)</f>
        <v>Em Execução na Distribuidora</v>
      </c>
      <c r="F1324" s="4" t="str" cm="1">
        <f t="array" ref="F1324">_xlfn.IFS(
AG1324 &lt;&gt; "", "Jan-Dez/26",
AH1324 &lt;&gt; "", "Fev-Dez/26",
AI1324 &lt;&gt; "", "Mar-Dez/26", AJ1324 &lt;&gt; "", "Abr-Dez/26",
TRUE, "A partir de Junho"
)</f>
        <v>A partir de Junho</v>
      </c>
      <c r="G1324" s="15" t="s">
        <v>37</v>
      </c>
      <c r="H1324" s="27" t="s">
        <v>54</v>
      </c>
      <c r="I1324" s="28" t="s">
        <v>156</v>
      </c>
      <c r="J1324" s="8" t="str" cm="1">
        <f t="array" aca="1" ref="J1324" ca="1">_xlfn.LET(
  _xlpm.actual_value_month, INDEX(T1324:AE1324, MATCH(DATE(YEAR(TODAY()), MONTH(TODAY()), 1), $T$1:$AE$1, 0)),
  IF(_xlpm.actual_value_month &lt;&gt; "",_xlpm.actual_value_month &amp; " ações mensais", "")
)</f>
        <v/>
      </c>
      <c r="K1324" s="8" t="str" cm="1">
        <f t="array" ref="K1324">_xlfn.LET(
    _xlpm.sum_month, SUM(T1324:AE1324),
    IF(_xlpm.sum_month = 0, "", _xlpm.sum_month &amp; " atividades no ano")
)</f>
        <v/>
      </c>
      <c r="L1324" s="15" t="s">
        <v>157</v>
      </c>
      <c r="M1324" s="30">
        <v>1</v>
      </c>
      <c r="N1324" s="67" t="s">
        <v>51</v>
      </c>
      <c r="O1324" s="26" t="s">
        <v>52</v>
      </c>
      <c r="P1324" s="31" t="s">
        <v>44</v>
      </c>
      <c r="Q1324" s="31" t="s">
        <v>44</v>
      </c>
      <c r="R1324" s="32" t="s">
        <v>44</v>
      </c>
      <c r="S1324" s="32" t="s">
        <v>44</v>
      </c>
      <c r="T1324" s="22"/>
      <c r="U1324" s="22"/>
      <c r="V1324" s="22"/>
      <c r="W1324" s="22"/>
      <c r="X1324" s="22"/>
      <c r="Y1324" s="22"/>
      <c r="Z1324" s="22"/>
      <c r="AA1324" s="22"/>
      <c r="AB1324" s="22"/>
      <c r="AC1324" s="22"/>
      <c r="AD1324" s="22"/>
      <c r="AE1324" s="22"/>
      <c r="AG1324" s="71"/>
      <c r="AH1324" s="71"/>
      <c r="AI1324" s="71"/>
      <c r="AJ1324" s="71"/>
      <c r="AK1324" s="71"/>
      <c r="AL1324" s="71"/>
      <c r="AM1324" s="71"/>
      <c r="AN1324" s="71"/>
      <c r="AO1324" s="71"/>
      <c r="AP1324" s="71"/>
      <c r="AQ1324" s="71"/>
      <c r="AR1324" s="71"/>
      <c r="AS1324" s="94">
        <f t="shared" ca="1" si="1563"/>
        <v>0</v>
      </c>
      <c r="AT1324" s="95">
        <f t="shared" si="1564"/>
        <v>0</v>
      </c>
      <c r="AU1324" s="97">
        <f t="shared" si="1565"/>
        <v>0</v>
      </c>
      <c r="AW1324" s="83">
        <f t="shared" si="1566"/>
        <v>0</v>
      </c>
      <c r="AX1324" s="83">
        <f t="shared" si="1567"/>
        <v>0</v>
      </c>
      <c r="AY1324" s="83">
        <f t="shared" si="1568"/>
        <v>0</v>
      </c>
      <c r="AZ1324" s="83">
        <f t="shared" si="1569"/>
        <v>0</v>
      </c>
      <c r="BA1324" s="52"/>
      <c r="BB1324" s="52"/>
      <c r="BC1324" s="52"/>
      <c r="BD1324" s="52"/>
      <c r="BE1324" s="52"/>
      <c r="BF1324" s="52"/>
      <c r="BG1324" s="52"/>
      <c r="BH1324" s="52"/>
      <c r="BI1324" s="68" cm="1">
        <f t="array" ref="BI1324">IFERROR(INDEX(AW1324:BH1324,1,MATCH(2,1/(AW1324:BH1324&lt;&gt;""))),"")</f>
        <v>0</v>
      </c>
      <c r="BJ1324" s="68" cm="1">
        <f t="array" ref="BJ1324">IF(BM1324 = "", "",IFERROR(INDEX(AW1324:BH1324,1,MATCH(2,1/(AW1324:BH1324&lt;&gt;""),1)-1),""))</f>
        <v>0</v>
      </c>
      <c r="BK1324" s="59">
        <f t="shared" si="1570"/>
        <v>0</v>
      </c>
      <c r="BL1324" s="59" cm="1">
        <f t="array" ref="BL1324">IFERROR(SUM(AW1324:INDEX(AW1324:BH1324, MATCH(2, 1/(AW1324:BH1324&lt;&gt;""), 1) - 1))/_xlfn.XLOOKUP(F1324,Apuração!A:A,Apuração!B:B),0)</f>
        <v>0</v>
      </c>
      <c r="BM1324" s="55" cm="1">
        <f t="array" ref="BM1324">IFERROR(
   INDEX($AW$1:$BH$1,
      _xlfn.AGGREGATE(14, 6, COLUMN($AW$1:$BH$1)/(AW1324:BH1324&lt;&gt;""), 2) - COLUMN($AW$1) + 1
   ),
"")</f>
        <v>46082</v>
      </c>
      <c r="BN1324" s="55" cm="1">
        <f t="array" ref="BN1324">IFERROR(INDEX($AW$1:$BH$1,1,MATCH(2,1/(AW1324:BH1324&lt;&gt;""))),"")</f>
        <v>46113</v>
      </c>
      <c r="BO1324" s="53">
        <f ca="1">IFERROR(_xlfn.XLOOKUP(F1324,Apuração!A:A,Apuração!C:C)/_xlfn.XLOOKUP(F1324,Apuração!A:A,Apuração!B:B),0)</f>
        <v>0</v>
      </c>
      <c r="BP1324" s="53">
        <f ca="1">IFERROR(_xlfn.XLOOKUP(F1324,Apuração!A:A,Apuração!D:D)/_xlfn.XLOOKUP(F1324,Apuração!A:A,Apuração!B:B),0)</f>
        <v>0</v>
      </c>
      <c r="BQ1324" s="53">
        <f ca="1">IF(BK1324&gt;=BO1324,0,_xlfn.XLOOKUP(F1324,Apuração!A:A,Apuração!B:B)*(BO1324 + (1/_xlfn.XLOOKUP(F1324,Apuração!A:A,Apuração!B:B)) - BK1324))</f>
        <v>0</v>
      </c>
      <c r="BR1324" s="85">
        <f t="shared" ca="1" si="1571"/>
        <v>0</v>
      </c>
      <c r="BS1324" s="53">
        <f ca="1">IFERROR((_xlfn.XLOOKUP(F1324,Apuração!A:A,Apuração!C:C)+1)/_xlfn.XLOOKUP(F1324,Apuração!A:A,Apuração!B:B),0)</f>
        <v>0.14285714285714285</v>
      </c>
    </row>
    <row r="1325" spans="1:71" ht="25.95" hidden="1" customHeight="1" x14ac:dyDescent="0.3">
      <c r="A1325" s="43" t="s">
        <v>134</v>
      </c>
      <c r="B1325" s="15" t="s">
        <v>150</v>
      </c>
      <c r="C1325" s="5" t="s">
        <v>209</v>
      </c>
      <c r="D1325" s="5" t="s">
        <v>211</v>
      </c>
      <c r="E1325" s="4" t="str" cm="1">
        <f t="array" ref="E1325">_xlfn.IFS(
F1325 = "A partir de Abril", "Aguardando Execução na Distribuidora",
A1325 = "CAPACITAÇÃO", "Em execução no Corporativo",
TRUE, "Em Execução na Distribuidora"
)</f>
        <v>Em Execução na Distribuidora</v>
      </c>
      <c r="F1325" s="4" t="str" cm="1">
        <f t="array" ref="F1325">_xlfn.IFS(
AG1325 &lt;&gt; "", "Jan-Dez/26",
AH1325 &lt;&gt; "", "Fev-Dez/26",
AI1325 &lt;&gt; "", "Mar-Dez/26", AJ1325 &lt;&gt; "", "Abr-Dez/26",
TRUE, "A partir de Junho"
)</f>
        <v>A partir de Junho</v>
      </c>
      <c r="G1325" s="15" t="s">
        <v>37</v>
      </c>
      <c r="H1325" s="27" t="s">
        <v>54</v>
      </c>
      <c r="I1325" s="28" t="s">
        <v>156</v>
      </c>
      <c r="J1325" s="8" t="str" cm="1">
        <f t="array" aca="1" ref="J1325" ca="1">_xlfn.LET(
  _xlpm.actual_value_month, INDEX(T1325:AE1325, MATCH(DATE(YEAR(TODAY()), MONTH(TODAY()), 1), $T$1:$AE$1, 0)),
  IF(_xlpm.actual_value_month &lt;&gt; "",_xlpm.actual_value_month &amp; " ações mensais", "")
)</f>
        <v/>
      </c>
      <c r="K1325" s="8" t="str" cm="1">
        <f t="array" ref="K1325">_xlfn.LET(
    _xlpm.sum_month, SUM(T1325:AE1325),
    IF(_xlpm.sum_month = 0, "", _xlpm.sum_month &amp; " atividades no ano")
)</f>
        <v/>
      </c>
      <c r="L1325" s="15" t="s">
        <v>157</v>
      </c>
      <c r="M1325" s="30">
        <v>1</v>
      </c>
      <c r="N1325" s="67" t="s">
        <v>51</v>
      </c>
      <c r="O1325" s="26" t="s">
        <v>52</v>
      </c>
      <c r="P1325" s="31" t="s">
        <v>44</v>
      </c>
      <c r="Q1325" s="31" t="s">
        <v>44</v>
      </c>
      <c r="R1325" s="32" t="s">
        <v>44</v>
      </c>
      <c r="S1325" s="32" t="s">
        <v>44</v>
      </c>
      <c r="T1325" s="22"/>
      <c r="U1325" s="22"/>
      <c r="V1325" s="22"/>
      <c r="W1325" s="22"/>
      <c r="X1325" s="22"/>
      <c r="Y1325" s="22"/>
      <c r="Z1325" s="22"/>
      <c r="AA1325" s="22"/>
      <c r="AB1325" s="22"/>
      <c r="AC1325" s="22"/>
      <c r="AD1325" s="22"/>
      <c r="AE1325" s="22"/>
      <c r="AG1325" s="71"/>
      <c r="AH1325" s="71"/>
      <c r="AI1325" s="71"/>
      <c r="AJ1325" s="71"/>
      <c r="AK1325" s="71"/>
      <c r="AL1325" s="71"/>
      <c r="AM1325" s="71"/>
      <c r="AN1325" s="71"/>
      <c r="AO1325" s="71"/>
      <c r="AP1325" s="71"/>
      <c r="AQ1325" s="71"/>
      <c r="AR1325" s="71"/>
      <c r="AS1325" s="94">
        <f t="shared" ca="1" si="1563"/>
        <v>0</v>
      </c>
      <c r="AT1325" s="95">
        <f t="shared" si="1564"/>
        <v>0</v>
      </c>
      <c r="AU1325" s="97">
        <f t="shared" si="1565"/>
        <v>0</v>
      </c>
      <c r="AW1325" s="83">
        <f t="shared" si="1566"/>
        <v>0</v>
      </c>
      <c r="AX1325" s="83">
        <f t="shared" si="1567"/>
        <v>0</v>
      </c>
      <c r="AY1325" s="83">
        <f t="shared" si="1568"/>
        <v>0</v>
      </c>
      <c r="AZ1325" s="83">
        <f t="shared" si="1569"/>
        <v>0</v>
      </c>
      <c r="BA1325" s="52"/>
      <c r="BB1325" s="52"/>
      <c r="BC1325" s="52"/>
      <c r="BD1325" s="52"/>
      <c r="BE1325" s="52"/>
      <c r="BF1325" s="52"/>
      <c r="BG1325" s="52"/>
      <c r="BH1325" s="52"/>
      <c r="BI1325" s="68" cm="1">
        <f t="array" ref="BI1325">IFERROR(INDEX(AW1325:BH1325,1,MATCH(2,1/(AW1325:BH1325&lt;&gt;""))),"")</f>
        <v>0</v>
      </c>
      <c r="BJ1325" s="68" cm="1">
        <f t="array" ref="BJ1325">IF(BM1325 = "", "",IFERROR(INDEX(AW1325:BH1325,1,MATCH(2,1/(AW1325:BH1325&lt;&gt;""),1)-1),""))</f>
        <v>0</v>
      </c>
      <c r="BK1325" s="59">
        <f t="shared" si="1570"/>
        <v>0</v>
      </c>
      <c r="BL1325" s="59" cm="1">
        <f t="array" ref="BL1325">IFERROR(SUM(AW1325:INDEX(AW1325:BH1325, MATCH(2, 1/(AW1325:BH1325&lt;&gt;""), 1) - 1))/_xlfn.XLOOKUP(F1325,Apuração!A:A,Apuração!B:B),0)</f>
        <v>0</v>
      </c>
      <c r="BM1325" s="55" cm="1">
        <f t="array" ref="BM1325">IFERROR(
   INDEX($AW$1:$BH$1,
      _xlfn.AGGREGATE(14, 6, COLUMN($AW$1:$BH$1)/(AW1325:BH1325&lt;&gt;""), 2) - COLUMN($AW$1) + 1
   ),
"")</f>
        <v>46082</v>
      </c>
      <c r="BN1325" s="55" cm="1">
        <f t="array" ref="BN1325">IFERROR(INDEX($AW$1:$BH$1,1,MATCH(2,1/(AW1325:BH1325&lt;&gt;""))),"")</f>
        <v>46113</v>
      </c>
      <c r="BO1325" s="53">
        <f ca="1">IFERROR(_xlfn.XLOOKUP(F1325,Apuração!A:A,Apuração!C:C)/_xlfn.XLOOKUP(F1325,Apuração!A:A,Apuração!B:B),0)</f>
        <v>0</v>
      </c>
      <c r="BP1325" s="53">
        <f ca="1">IFERROR(_xlfn.XLOOKUP(F1325,Apuração!A:A,Apuração!D:D)/_xlfn.XLOOKUP(F1325,Apuração!A:A,Apuração!B:B),0)</f>
        <v>0</v>
      </c>
      <c r="BQ1325" s="53">
        <f ca="1">IF(BK1325&gt;=BO1325,0,_xlfn.XLOOKUP(F1325,Apuração!A:A,Apuração!B:B)*(BO1325 + (1/_xlfn.XLOOKUP(F1325,Apuração!A:A,Apuração!B:B)) - BK1325))</f>
        <v>0</v>
      </c>
      <c r="BR1325" s="85">
        <f t="shared" ca="1" si="1571"/>
        <v>0</v>
      </c>
      <c r="BS1325" s="53">
        <f ca="1">IFERROR((_xlfn.XLOOKUP(F1325,Apuração!A:A,Apuração!C:C)+1)/_xlfn.XLOOKUP(F1325,Apuração!A:A,Apuração!B:B),0)</f>
        <v>0.14285714285714285</v>
      </c>
    </row>
    <row r="1326" spans="1:71" ht="25.95" hidden="1" customHeight="1" x14ac:dyDescent="0.3">
      <c r="A1326" s="43" t="s">
        <v>134</v>
      </c>
      <c r="B1326" s="15" t="s">
        <v>150</v>
      </c>
      <c r="C1326" s="5" t="s">
        <v>209</v>
      </c>
      <c r="D1326" s="5" t="s">
        <v>212</v>
      </c>
      <c r="E1326" s="4" t="str" cm="1">
        <f t="array" ref="E1326">_xlfn.IFS(
F1326 = "A partir de Abril", "Aguardando Execução na Distribuidora",
A1326 = "CAPACITAÇÃO", "Em execução no Corporativo",
TRUE, "Em Execução na Distribuidora"
)</f>
        <v>Em Execução na Distribuidora</v>
      </c>
      <c r="F1326" s="4" t="str" cm="1">
        <f t="array" ref="F1326">_xlfn.IFS(
AG1326 &lt;&gt; "", "Jan-Dez/26",
AH1326 &lt;&gt; "", "Fev-Dez/26",
AI1326 &lt;&gt; "", "Mar-Dez/26", AJ1326 &lt;&gt; "", "Abr-Dez/26",
TRUE, "A partir de Junho"
)</f>
        <v>A partir de Junho</v>
      </c>
      <c r="G1326" s="15" t="s">
        <v>37</v>
      </c>
      <c r="H1326" s="27" t="s">
        <v>54</v>
      </c>
      <c r="I1326" s="28" t="s">
        <v>156</v>
      </c>
      <c r="J1326" s="8" t="str" cm="1">
        <f t="array" aca="1" ref="J1326" ca="1">_xlfn.LET(
  _xlpm.actual_value_month, INDEX(T1326:AE1326, MATCH(DATE(YEAR(TODAY()), MONTH(TODAY()), 1), $T$1:$AE$1, 0)),
  IF(_xlpm.actual_value_month &lt;&gt; "",_xlpm.actual_value_month &amp; " ações mensais", "")
)</f>
        <v/>
      </c>
      <c r="K1326" s="8" t="str" cm="1">
        <f t="array" ref="K1326">_xlfn.LET(
    _xlpm.sum_month, SUM(T1326:AE1326),
    IF(_xlpm.sum_month = 0, "", _xlpm.sum_month &amp; " atividades no ano")
)</f>
        <v/>
      </c>
      <c r="L1326" s="15" t="s">
        <v>157</v>
      </c>
      <c r="M1326" s="30">
        <v>1</v>
      </c>
      <c r="N1326" s="67" t="s">
        <v>51</v>
      </c>
      <c r="O1326" s="26" t="s">
        <v>52</v>
      </c>
      <c r="P1326" s="31" t="s">
        <v>44</v>
      </c>
      <c r="Q1326" s="31" t="s">
        <v>44</v>
      </c>
      <c r="R1326" s="32" t="s">
        <v>44</v>
      </c>
      <c r="S1326" s="32" t="s">
        <v>44</v>
      </c>
      <c r="T1326" s="22"/>
      <c r="U1326" s="22"/>
      <c r="V1326" s="22"/>
      <c r="W1326" s="22"/>
      <c r="X1326" s="22"/>
      <c r="Y1326" s="22"/>
      <c r="Z1326" s="22"/>
      <c r="AA1326" s="22"/>
      <c r="AB1326" s="22"/>
      <c r="AC1326" s="22"/>
      <c r="AD1326" s="22"/>
      <c r="AE1326" s="22"/>
      <c r="AG1326" s="71"/>
      <c r="AH1326" s="71"/>
      <c r="AI1326" s="71"/>
      <c r="AJ1326" s="71"/>
      <c r="AK1326" s="71"/>
      <c r="AL1326" s="71"/>
      <c r="AM1326" s="71"/>
      <c r="AN1326" s="71"/>
      <c r="AO1326" s="71"/>
      <c r="AP1326" s="71"/>
      <c r="AQ1326" s="71"/>
      <c r="AR1326" s="71"/>
      <c r="AS1326" s="94">
        <f t="shared" ca="1" si="1563"/>
        <v>0</v>
      </c>
      <c r="AT1326" s="95">
        <f t="shared" si="1564"/>
        <v>0</v>
      </c>
      <c r="AU1326" s="97">
        <f t="shared" si="1565"/>
        <v>0</v>
      </c>
      <c r="AW1326" s="83">
        <f t="shared" si="1566"/>
        <v>0</v>
      </c>
      <c r="AX1326" s="83">
        <f t="shared" si="1567"/>
        <v>0</v>
      </c>
      <c r="AY1326" s="83">
        <f t="shared" si="1568"/>
        <v>0</v>
      </c>
      <c r="AZ1326" s="83">
        <f t="shared" si="1569"/>
        <v>0</v>
      </c>
      <c r="BA1326" s="52"/>
      <c r="BB1326" s="52"/>
      <c r="BC1326" s="52"/>
      <c r="BD1326" s="52"/>
      <c r="BE1326" s="52"/>
      <c r="BF1326" s="52"/>
      <c r="BG1326" s="52"/>
      <c r="BH1326" s="52"/>
      <c r="BI1326" s="68" cm="1">
        <f t="array" ref="BI1326">IFERROR(INDEX(AW1326:BH1326,1,MATCH(2,1/(AW1326:BH1326&lt;&gt;""))),"")</f>
        <v>0</v>
      </c>
      <c r="BJ1326" s="68" cm="1">
        <f t="array" ref="BJ1326">IF(BM1326 = "", "",IFERROR(INDEX(AW1326:BH1326,1,MATCH(2,1/(AW1326:BH1326&lt;&gt;""),1)-1),""))</f>
        <v>0</v>
      </c>
      <c r="BK1326" s="59">
        <f t="shared" si="1570"/>
        <v>0</v>
      </c>
      <c r="BL1326" s="59" cm="1">
        <f t="array" ref="BL1326">IFERROR(SUM(AW1326:INDEX(AW1326:BH1326, MATCH(2, 1/(AW1326:BH1326&lt;&gt;""), 1) - 1))/_xlfn.XLOOKUP(F1326,Apuração!A:A,Apuração!B:B),0)</f>
        <v>0</v>
      </c>
      <c r="BM1326" s="55" cm="1">
        <f t="array" ref="BM1326">IFERROR(
   INDEX($AW$1:$BH$1,
      _xlfn.AGGREGATE(14, 6, COLUMN($AW$1:$BH$1)/(AW1326:BH1326&lt;&gt;""), 2) - COLUMN($AW$1) + 1
   ),
"")</f>
        <v>46082</v>
      </c>
      <c r="BN1326" s="55" cm="1">
        <f t="array" ref="BN1326">IFERROR(INDEX($AW$1:$BH$1,1,MATCH(2,1/(AW1326:BH1326&lt;&gt;""))),"")</f>
        <v>46113</v>
      </c>
      <c r="BO1326" s="53">
        <f ca="1">IFERROR(_xlfn.XLOOKUP(F1326,Apuração!A:A,Apuração!C:C)/_xlfn.XLOOKUP(F1326,Apuração!A:A,Apuração!B:B),0)</f>
        <v>0</v>
      </c>
      <c r="BP1326" s="53">
        <f ca="1">IFERROR(_xlfn.XLOOKUP(F1326,Apuração!A:A,Apuração!D:D)/_xlfn.XLOOKUP(F1326,Apuração!A:A,Apuração!B:B),0)</f>
        <v>0</v>
      </c>
      <c r="BQ1326" s="53">
        <f ca="1">IF(BK1326&gt;=BO1326,0,_xlfn.XLOOKUP(F1326,Apuração!A:A,Apuração!B:B)*(BO1326 + (1/_xlfn.XLOOKUP(F1326,Apuração!A:A,Apuração!B:B)) - BK1326))</f>
        <v>0</v>
      </c>
      <c r="BR1326" s="85">
        <f t="shared" ca="1" si="1571"/>
        <v>0</v>
      </c>
      <c r="BS1326" s="53">
        <f ca="1">IFERROR((_xlfn.XLOOKUP(F1326,Apuração!A:A,Apuração!C:C)+1)/_xlfn.XLOOKUP(F1326,Apuração!A:A,Apuração!B:B),0)</f>
        <v>0.14285714285714285</v>
      </c>
    </row>
    <row r="1327" spans="1:71" ht="25.95" hidden="1" customHeight="1" x14ac:dyDescent="0.3">
      <c r="A1327" s="43" t="s">
        <v>134</v>
      </c>
      <c r="B1327" s="15" t="s">
        <v>150</v>
      </c>
      <c r="C1327" s="5" t="s">
        <v>209</v>
      </c>
      <c r="D1327" s="5" t="s">
        <v>213</v>
      </c>
      <c r="E1327" s="4" t="str" cm="1">
        <f t="array" ref="E1327">_xlfn.IFS(
F1327 = "A partir de Abril", "Aguardando Execução na Distribuidora",
A1327 = "CAPACITAÇÃO", "Em execução no Corporativo",
TRUE, "Em Execução na Distribuidora"
)</f>
        <v>Em Execução na Distribuidora</v>
      </c>
      <c r="F1327" s="4" t="str" cm="1">
        <f t="array" ref="F1327">_xlfn.IFS(
AG1327 &lt;&gt; "", "Jan-Dez/26",
AH1327 &lt;&gt; "", "Fev-Dez/26",
AI1327 &lt;&gt; "", "Mar-Dez/26", AJ1327 &lt;&gt; "", "Abr-Dez/26",
TRUE, "A partir de Junho"
)</f>
        <v>A partir de Junho</v>
      </c>
      <c r="G1327" s="15" t="s">
        <v>37</v>
      </c>
      <c r="H1327" s="27" t="s">
        <v>54</v>
      </c>
      <c r="I1327" s="28" t="s">
        <v>156</v>
      </c>
      <c r="J1327" s="8" t="str" cm="1">
        <f t="array" aca="1" ref="J1327" ca="1">_xlfn.LET(
  _xlpm.actual_value_month, INDEX(T1327:AE1327, MATCH(DATE(YEAR(TODAY()), MONTH(TODAY()), 1), $T$1:$AE$1, 0)),
  IF(_xlpm.actual_value_month &lt;&gt; "",_xlpm.actual_value_month &amp; " ações mensais", "")
)</f>
        <v/>
      </c>
      <c r="K1327" s="8" t="str" cm="1">
        <f t="array" ref="K1327">_xlfn.LET(
    _xlpm.sum_month, SUM(T1327:AE1327),
    IF(_xlpm.sum_month = 0, "", _xlpm.sum_month &amp; " atividades no ano")
)</f>
        <v/>
      </c>
      <c r="L1327" s="15" t="s">
        <v>157</v>
      </c>
      <c r="M1327" s="30">
        <v>1</v>
      </c>
      <c r="N1327" s="67" t="s">
        <v>51</v>
      </c>
      <c r="O1327" s="26" t="s">
        <v>52</v>
      </c>
      <c r="P1327" s="31" t="s">
        <v>44</v>
      </c>
      <c r="Q1327" s="31" t="s">
        <v>44</v>
      </c>
      <c r="R1327" s="32" t="s">
        <v>44</v>
      </c>
      <c r="S1327" s="32" t="s">
        <v>44</v>
      </c>
      <c r="T1327" s="22"/>
      <c r="U1327" s="22"/>
      <c r="V1327" s="22"/>
      <c r="W1327" s="22"/>
      <c r="X1327" s="22"/>
      <c r="Y1327" s="22"/>
      <c r="Z1327" s="22"/>
      <c r="AA1327" s="22"/>
      <c r="AB1327" s="22"/>
      <c r="AC1327" s="22"/>
      <c r="AD1327" s="22"/>
      <c r="AE1327" s="22"/>
      <c r="AG1327" s="71"/>
      <c r="AH1327" s="71"/>
      <c r="AI1327" s="71"/>
      <c r="AJ1327" s="71"/>
      <c r="AK1327" s="71"/>
      <c r="AL1327" s="71"/>
      <c r="AM1327" s="71"/>
      <c r="AN1327" s="71"/>
      <c r="AO1327" s="71"/>
      <c r="AP1327" s="71"/>
      <c r="AQ1327" s="71"/>
      <c r="AR1327" s="71"/>
      <c r="AS1327" s="94">
        <f t="shared" ca="1" si="1563"/>
        <v>0</v>
      </c>
      <c r="AT1327" s="95">
        <f t="shared" si="1564"/>
        <v>0</v>
      </c>
      <c r="AU1327" s="97">
        <f t="shared" si="1565"/>
        <v>0</v>
      </c>
      <c r="AW1327" s="83">
        <f t="shared" si="1566"/>
        <v>0</v>
      </c>
      <c r="AX1327" s="83">
        <f t="shared" si="1567"/>
        <v>0</v>
      </c>
      <c r="AY1327" s="83">
        <f t="shared" si="1568"/>
        <v>0</v>
      </c>
      <c r="AZ1327" s="83">
        <f t="shared" si="1569"/>
        <v>0</v>
      </c>
      <c r="BA1327" s="52"/>
      <c r="BB1327" s="52"/>
      <c r="BC1327" s="52"/>
      <c r="BD1327" s="52"/>
      <c r="BE1327" s="52"/>
      <c r="BF1327" s="52"/>
      <c r="BG1327" s="52"/>
      <c r="BH1327" s="52"/>
      <c r="BI1327" s="68" cm="1">
        <f t="array" ref="BI1327">IFERROR(INDEX(AW1327:BH1327,1,MATCH(2,1/(AW1327:BH1327&lt;&gt;""))),"")</f>
        <v>0</v>
      </c>
      <c r="BJ1327" s="68" cm="1">
        <f t="array" ref="BJ1327">IF(BM1327 = "", "",IFERROR(INDEX(AW1327:BH1327,1,MATCH(2,1/(AW1327:BH1327&lt;&gt;""),1)-1),""))</f>
        <v>0</v>
      </c>
      <c r="BK1327" s="59">
        <f t="shared" si="1570"/>
        <v>0</v>
      </c>
      <c r="BL1327" s="59" cm="1">
        <f t="array" ref="BL1327">IFERROR(SUM(AW1327:INDEX(AW1327:BH1327, MATCH(2, 1/(AW1327:BH1327&lt;&gt;""), 1) - 1))/_xlfn.XLOOKUP(F1327,Apuração!A:A,Apuração!B:B),0)</f>
        <v>0</v>
      </c>
      <c r="BM1327" s="55" cm="1">
        <f t="array" ref="BM1327">IFERROR(
   INDEX($AW$1:$BH$1,
      _xlfn.AGGREGATE(14, 6, COLUMN($AW$1:$BH$1)/(AW1327:BH1327&lt;&gt;""), 2) - COLUMN($AW$1) + 1
   ),
"")</f>
        <v>46082</v>
      </c>
      <c r="BN1327" s="55" cm="1">
        <f t="array" ref="BN1327">IFERROR(INDEX($AW$1:$BH$1,1,MATCH(2,1/(AW1327:BH1327&lt;&gt;""))),"")</f>
        <v>46113</v>
      </c>
      <c r="BO1327" s="53">
        <f ca="1">IFERROR(_xlfn.XLOOKUP(F1327,Apuração!A:A,Apuração!C:C)/_xlfn.XLOOKUP(F1327,Apuração!A:A,Apuração!B:B),0)</f>
        <v>0</v>
      </c>
      <c r="BP1327" s="53">
        <f ca="1">IFERROR(_xlfn.XLOOKUP(F1327,Apuração!A:A,Apuração!D:D)/_xlfn.XLOOKUP(F1327,Apuração!A:A,Apuração!B:B),0)</f>
        <v>0</v>
      </c>
      <c r="BQ1327" s="53">
        <f ca="1">IF(BK1327&gt;=BO1327,0,_xlfn.XLOOKUP(F1327,Apuração!A:A,Apuração!B:B)*(BO1327 + (1/_xlfn.XLOOKUP(F1327,Apuração!A:A,Apuração!B:B)) - BK1327))</f>
        <v>0</v>
      </c>
      <c r="BR1327" s="85">
        <f t="shared" ca="1" si="1571"/>
        <v>0</v>
      </c>
      <c r="BS1327" s="53">
        <f ca="1">IFERROR((_xlfn.XLOOKUP(F1327,Apuração!A:A,Apuração!C:C)+1)/_xlfn.XLOOKUP(F1327,Apuração!A:A,Apuração!B:B),0)</f>
        <v>0.14285714285714285</v>
      </c>
    </row>
    <row r="1328" spans="1:71" ht="25.95" hidden="1" customHeight="1" x14ac:dyDescent="0.3">
      <c r="A1328" s="38" t="s">
        <v>134</v>
      </c>
      <c r="B1328" s="4" t="s">
        <v>158</v>
      </c>
      <c r="C1328" s="5" t="s">
        <v>209</v>
      </c>
      <c r="D1328" s="5" t="s">
        <v>36</v>
      </c>
      <c r="E1328" s="4" t="str" cm="1">
        <f t="array" ref="E1328">_xlfn.IFS(
F1328 = "A partir de Abril", "Aguardando Execução na Distribuidora",
A1328 = "CAPACITAÇÃO", "Em execução no Corporativo",
TRUE, "Em Execução na Distribuidora"
)</f>
        <v>Em Execução na Distribuidora</v>
      </c>
      <c r="F1328" s="4" t="str" cm="1">
        <f t="array" ref="F1328">_xlfn.IFS(
AG1328 &lt;&gt; "", "Jan-Dez/26",
AH1328 &lt;&gt; "", "Fev-Dez/26",
AI1328 &lt;&gt; "", "Mar-Dez/26", AJ1328 &lt;&gt; "", "Abr-Dez/26",
TRUE, "A partir de Junho"
)</f>
        <v>Jan-Dez/26</v>
      </c>
      <c r="G1328" s="4" t="s">
        <v>37</v>
      </c>
      <c r="H1328" s="7" t="s">
        <v>54</v>
      </c>
      <c r="I1328" s="8" t="s">
        <v>159</v>
      </c>
      <c r="J1328" s="8" t="str" cm="1">
        <f t="array" aca="1" ref="J1328" ca="1">_xlfn.LET(
  _xlpm.actual_value_month, INDEX(T1328:AE1328, MATCH(DATE(YEAR(TODAY()), MONTH(TODAY()), 1), $T$1:$AE$1, 0)),
  IF(_xlpm.actual_value_month &lt;&gt; "",_xlpm.actual_value_month &amp; " colaboradores participantes mensais", "")
)</f>
        <v>4558 colaboradores participantes mensais</v>
      </c>
      <c r="K1328" s="8" t="str" cm="1">
        <f t="array" ref="K1328">_xlfn.LET(
    _xlpm.sum_month, SUM(T1328:AE1328),
    IF(_xlpm.sum_month = 0, "", _xlpm.sum_month &amp; " participações de colaboradores no ano")
)</f>
        <v>49519 participações de colaboradores no ano</v>
      </c>
      <c r="L1328" s="9" t="s">
        <v>160</v>
      </c>
      <c r="M1328" s="24" t="s">
        <v>161</v>
      </c>
      <c r="N1328" s="5" t="s">
        <v>42</v>
      </c>
      <c r="O1328" s="5" t="s">
        <v>43</v>
      </c>
      <c r="P1328" s="10" t="s">
        <v>44</v>
      </c>
      <c r="Q1328" s="10" t="s">
        <v>44</v>
      </c>
      <c r="R1328" s="11" t="s">
        <v>147</v>
      </c>
      <c r="S1328" s="11" t="s">
        <v>162</v>
      </c>
      <c r="T1328" s="22">
        <v>1775</v>
      </c>
      <c r="U1328" s="22">
        <v>2425</v>
      </c>
      <c r="V1328" s="22">
        <v>4297</v>
      </c>
      <c r="W1328" s="22">
        <v>4558</v>
      </c>
      <c r="X1328" s="22">
        <v>4558</v>
      </c>
      <c r="Y1328" s="22">
        <v>4558</v>
      </c>
      <c r="Z1328" s="22">
        <v>4558</v>
      </c>
      <c r="AA1328" s="22">
        <v>4558</v>
      </c>
      <c r="AB1328" s="22">
        <v>4558</v>
      </c>
      <c r="AC1328" s="22">
        <v>4558</v>
      </c>
      <c r="AD1328" s="22">
        <v>4558</v>
      </c>
      <c r="AE1328" s="22">
        <v>4558</v>
      </c>
      <c r="AG1328" s="71">
        <v>1775</v>
      </c>
      <c r="AH1328" s="71">
        <v>2425</v>
      </c>
      <c r="AI1328" s="71">
        <v>4297</v>
      </c>
      <c r="AJ1328" s="71">
        <v>4977</v>
      </c>
      <c r="AK1328" s="71"/>
      <c r="AL1328" s="71"/>
      <c r="AM1328" s="71"/>
      <c r="AN1328" s="71"/>
      <c r="AO1328" s="71"/>
      <c r="AP1328" s="71"/>
      <c r="AQ1328" s="71"/>
      <c r="AR1328" s="71"/>
      <c r="AS1328" s="94">
        <f ca="1">IF(MONTH(TODAY())=3,SUM(T1328:U1328),IF(MONTH(TODAY())=4,SUM(T1328:V1328),IF(MONTH(TODAY())=5,SUM(T1328:W1328),IF(MONTH(TODAY())=6,SUM(T1328:X1328),IF(MONTH(TODAY())=7,SUM(T1328:Y1328),IF(MONTH(TODAY())=8,SUM(T1328:Z1328),IF(MONTH(TODAY())=9,SUM(T1328:AA1328),IF(MONTH(TODAY())=10,SUM(T1328:AB1328),IF(MONTH(TODAY())=11,SUM(T1328:AC1328),IF(MONTH(TODAY())=12,SUM(T1328:AD1328),IF(MONTH(TODAY())=1,SUM(T1328:AE1328),T1328)))))))))))</f>
        <v>17613</v>
      </c>
      <c r="AT1328" s="95">
        <f>SUM(IF(AW1328&lt;1.15,AG1328,1.15*T1328),IF(AX1328&lt;1.15,AH1328,1.15*U1328),IF(AY1328&lt;1.15,AI1328,1.15*V1328),IF(AZ1328&lt;1.15,AJ1328,1.15*W1328),IF(BA1328&lt;1.15,AK1328,1.15*X1328),IF(BB1328&lt;1.15,AL1328,1.15*Y1328),IF(BC1328&lt;1.15,AM1328,1.15*Z1328),IF(BD1328&lt;1.15,AN1328,1.15*AA1328),IF(BE1328&lt;1.15,AO1328,1.15*AB1328),IF(BF1328&lt;1.15,AP1328,1.15*AC1328),IF(BG1328&lt;1.15,AQ1328,1.15*AD1328),IF(BH1328&lt;1.15,AR1328,1.15*AE1328))</f>
        <v>13474</v>
      </c>
      <c r="AU1328" s="97">
        <f>SUM(AG1328:AR1328)</f>
        <v>13474</v>
      </c>
      <c r="AW1328" s="51">
        <f>IFERROR(IF(AG1328="",0,AG1328/T1328),0)</f>
        <v>1</v>
      </c>
      <c r="AX1328" s="51">
        <f>IFERROR(IF(AH1328="",0,AH1328/U1328),0)</f>
        <v>1</v>
      </c>
      <c r="AY1328" s="51">
        <f>IFERROR(IF(AI1328="",0,AI1328/V1328),0)</f>
        <v>1</v>
      </c>
      <c r="AZ1328" s="51">
        <f>IFERROR(IF(AJ1328="",0,AJ1328/W1328),0)</f>
        <v>1.0919262834576569</v>
      </c>
      <c r="BA1328" s="51"/>
      <c r="BB1328" s="51"/>
      <c r="BC1328" s="51"/>
      <c r="BD1328" s="51"/>
      <c r="BE1328" s="51"/>
      <c r="BF1328" s="51"/>
      <c r="BG1328" s="51"/>
      <c r="BH1328" s="51"/>
      <c r="BI1328" s="65" cm="1">
        <f t="array" ref="BI1328">IFERROR(INDEX(AW1328:BH1328,1,MATCH(2,1/(AW1328:BH1328&lt;&gt;""))),"")</f>
        <v>1.0919262834576569</v>
      </c>
      <c r="BJ1328" s="68" cm="1">
        <f t="array" ref="BJ1328">IF(BM1328 = "", "",IFERROR(INDEX(AW1328:BH1328,1,MATCH(2,1/(AW1328:BH1328&lt;&gt;""),1)-1),""))</f>
        <v>1</v>
      </c>
      <c r="BK1328" s="58">
        <f>IF((IF(AW1328&gt;=115%,115%,AW1328) + IF(AX1328&gt;=115%,115%,AX1328) + IF(AY1328&gt;=115%,115%,AY1328) + (IF(AZ1328&gt;=115%,115%,AZ1328) + IF(BA1328&gt;=115%,115%,BA1328) + IF(BB1328&gt;=115%,115%,BB1328) + IF(BC1328&gt;=115%,115%,BC1328) + IF(BD1328&gt;=115%,115%,BD1328) + IF(BE1328&gt;=115%,115%,BE1328) + IF(BF1328&gt;=115%,115%,BF1328) + IF(BG1328&gt;=115%,115%,BG1328) + IF(BH1328&gt;=115%,115%,BH1328)))/_xlfn.XLOOKUP(F1328,Apuração!A:A,Apuração!B:B)&gt;=1.15,1.15,((IF(AZ1328&gt;=115%,115%,AZ1328) + IF(AX1328&gt;=115%,115%,AX1328) + IF(AY1328&gt;=115%,115%,AY1328) + (IF(AW1328&gt;=115%,115%,AW1328) + IF(BA1328&gt;=115%,115%,BA1328) + IF(BB1328&gt;=115%,115%,BB1328) + IF(BC1328&gt;=115%,115%,BC1328) + IF(BD1328&gt;=115%,115%,BD1328) + IF(BE1328&gt;=115%,115%,BE1328) + IF(BF1328&gt;=115%,115%,BF1328) + IF(BG1328&gt;=115%,115%,BG1328) + IF(BH1328&gt;=115%,115%,BH1328)))/_xlfn.XLOOKUP(F1328,Apuração!A:A,Apuração!B:B)))</f>
        <v>0.34099385695480472</v>
      </c>
      <c r="BL1328" s="58" cm="1">
        <f t="array" aca="1" ref="BL1328" ca="1">IF(SUM(IFERROR(IF(INDEX(AW1328:INDEX(AW1328:BH1328, MATCH(2, 1/(AW1328:BH1328&lt;&gt;""), 1)-1), ROW(INDIRECT("1:" &amp; MATCH(2, 1/(AW1328:BH1328&lt;&gt;""), 1)-1))) &gt;= 115%, 115%, INDEX(AW1328:INDEX(AW1328:BH1328, MATCH(2, 1/(AW1328:BH1328&lt;&gt;""), 1)-1), ROW(INDIRECT("1:" &amp; MATCH(2, 1/(AW1328:BH1328&lt;&gt;""), 1)-1)))), 0))/_xlfn.XLOOKUP(F1328,Apuração!A:A,Apuração!B:B)&gt;=1.15,1.15,SUM(IFERROR(IF(INDEX(AW1328:INDEX(AW1328:BH1328, MATCH(2, 1/(AW1328:BH1328&lt;&gt;""), 1)-1), ROW(INDIRECT("1:" &amp; MATCH(2, 1/(AW1328:BH1328&lt;&gt;""), 1)-1))) &gt;= 115%, 115%, INDEX(AW1328:INDEX(AW1328:BH1328, MATCH(2, 1/(AW1328:BH1328&lt;&gt;""), 1)-1), ROW(INDIRECT("1:" &amp; MATCH(2, 1/(AW1328:BH1328&lt;&gt;""), 1)-1)))), 0))/_xlfn.XLOOKUP(F1328,Apuração!A:A,Apuração!B:B))</f>
        <v>0.25</v>
      </c>
      <c r="BM1328" s="55" cm="1">
        <f t="array" ref="BM1328">IFERROR(
   INDEX($AW$1:$BH$1,
      _xlfn.AGGREGATE(14, 6, COLUMN($AW$1:$BH$1)/(AW1328:BH1328&lt;&gt;""), 2) - COLUMN($AW$1) + 1
   ),
"")</f>
        <v>46082</v>
      </c>
      <c r="BN1328" s="55" cm="1">
        <f t="array" ref="BN1328">IFERROR(INDEX($AW$1:$BH$1,1,MATCH(2,1/(AW1328:BH1328&lt;&gt;""))),"")</f>
        <v>46113</v>
      </c>
      <c r="BO1328" s="53">
        <f ca="1">IFERROR(_xlfn.XLOOKUP(F1328,Apuração!A:A,Apuração!C:C)/_xlfn.XLOOKUP(F1328,Apuração!A:A,Apuração!B:B),0)</f>
        <v>0.41666666666666669</v>
      </c>
      <c r="BP1328" s="53">
        <f ca="1">IFERROR(_xlfn.XLOOKUP(F1328,Apuração!A:A,Apuração!D:D)/_xlfn.XLOOKUP(F1328,Apuração!A:A,Apuração!B:B),0)</f>
        <v>0.33333333333333331</v>
      </c>
      <c r="BQ1328" s="53">
        <f ca="1">IF(BK1328&gt;=BO1328,0,_xlfn.XLOOKUP(F1328,Apuração!A:A,Apuração!B:B)*(BO1328 + (1/_xlfn.XLOOKUP(F1328,Apuração!A:A,Apuração!B:B)) - BK1328))</f>
        <v>1.9080737165423434</v>
      </c>
      <c r="BR1328" s="85">
        <f ca="1">IF(BQ1328=0,0,BQ1328*Z1328)</f>
        <v>8697.0000000000018</v>
      </c>
      <c r="BS1328" s="53">
        <f ca="1">IFERROR((_xlfn.XLOOKUP(F1328,Apuração!A:A,Apuração!C:C)+1)/_xlfn.XLOOKUP(F1328,Apuração!A:A,Apuração!B:B),0)</f>
        <v>0.5</v>
      </c>
    </row>
    <row r="1329" spans="1:71" ht="25.95" hidden="1" customHeight="1" x14ac:dyDescent="0.3">
      <c r="A1329" s="38" t="s">
        <v>134</v>
      </c>
      <c r="B1329" s="4" t="s">
        <v>158</v>
      </c>
      <c r="C1329" s="5" t="s">
        <v>209</v>
      </c>
      <c r="D1329" s="5" t="s">
        <v>210</v>
      </c>
      <c r="E1329" s="4" t="str" cm="1">
        <f t="array" ref="E1329">_xlfn.IFS(
F1329 = "A partir de Abril", "Aguardando Execução na Distribuidora",
A1329 = "CAPACITAÇÃO", "Em execução no Corporativo",
TRUE, "Em Execução na Distribuidora"
)</f>
        <v>Em Execução na Distribuidora</v>
      </c>
      <c r="F1329" s="4" t="str" cm="1">
        <f t="array" ref="F1329">_xlfn.IFS(
AG1329 &lt;&gt; "", "Jan-Dez/26",
AH1329 &lt;&gt; "", "Fev-Dez/26",
AI1329 &lt;&gt; "", "Mar-Dez/26", AJ1329 &lt;&gt; "", "Abr-Dez/26",
TRUE, "A partir de Junho"
)</f>
        <v>A partir de Junho</v>
      </c>
      <c r="G1329" s="4" t="s">
        <v>37</v>
      </c>
      <c r="H1329" s="7" t="s">
        <v>54</v>
      </c>
      <c r="I1329" s="8" t="s">
        <v>159</v>
      </c>
      <c r="J1329" s="8" t="str" cm="1">
        <f t="array" aca="1" ref="J1329" ca="1">_xlfn.LET(
  _xlpm.actual_value_month, INDEX(T1329:AE1329, MATCH(DATE(YEAR(TODAY()), MONTH(TODAY()), 1), $T$1:$AE$1, 0)),
  IF(_xlpm.actual_value_month &lt;&gt; "",_xlpm.actual_value_month &amp; " colaboradores participantes mensais", "")
)</f>
        <v>1235 colaboradores participantes mensais</v>
      </c>
      <c r="K1329" s="8" t="str" cm="1">
        <f t="array" ref="K1329">_xlfn.LET(
    _xlpm.sum_month, SUM(T1329:AE1329),
    IF(_xlpm.sum_month = 0, "", _xlpm.sum_month &amp; " participações de colaboradores no ano")
)</f>
        <v>11115 participações de colaboradores no ano</v>
      </c>
      <c r="L1329" s="9" t="s">
        <v>160</v>
      </c>
      <c r="M1329" s="24" t="s">
        <v>161</v>
      </c>
      <c r="N1329" s="5" t="s">
        <v>42</v>
      </c>
      <c r="O1329" s="5" t="s">
        <v>43</v>
      </c>
      <c r="P1329" s="10" t="s">
        <v>44</v>
      </c>
      <c r="Q1329" s="10" t="s">
        <v>44</v>
      </c>
      <c r="R1329" s="11" t="s">
        <v>147</v>
      </c>
      <c r="S1329" s="11" t="s">
        <v>162</v>
      </c>
      <c r="T1329" s="22"/>
      <c r="U1329" s="22"/>
      <c r="V1329" s="22"/>
      <c r="W1329" s="22">
        <v>1235</v>
      </c>
      <c r="X1329" s="22">
        <v>1235</v>
      </c>
      <c r="Y1329" s="22">
        <v>1235</v>
      </c>
      <c r="Z1329" s="22">
        <v>1235</v>
      </c>
      <c r="AA1329" s="22">
        <v>1235</v>
      </c>
      <c r="AB1329" s="22">
        <v>1235</v>
      </c>
      <c r="AC1329" s="22">
        <v>1235</v>
      </c>
      <c r="AD1329" s="22">
        <v>1235</v>
      </c>
      <c r="AE1329" s="22">
        <v>1235</v>
      </c>
      <c r="AG1329" s="71"/>
      <c r="AH1329" s="71"/>
      <c r="AI1329" s="71"/>
      <c r="AJ1329" s="71"/>
      <c r="AK1329" s="71"/>
      <c r="AL1329" s="71"/>
      <c r="AM1329" s="71"/>
      <c r="AN1329" s="71"/>
      <c r="AO1329" s="71"/>
      <c r="AP1329" s="71"/>
      <c r="AQ1329" s="71"/>
      <c r="AR1329" s="71"/>
      <c r="AS1329" s="94">
        <f t="shared" ref="AS1329:AS1333" ca="1" si="1572">IF(MONTH(TODAY())=3,SUM(T1329:U1329),IF(MONTH(TODAY())=4,SUM(T1329:V1329),IF(MONTH(TODAY())=5,SUM(T1329:W1329),IF(MONTH(TODAY())=6,SUM(T1329:X1329),IF(MONTH(TODAY())=7,SUM(T1329:Y1329),IF(MONTH(TODAY())=8,SUM(T1329:Z1329),IF(MONTH(TODAY())=9,SUM(T1329:AA1329),IF(MONTH(TODAY())=10,SUM(T1329:AB1329),IF(MONTH(TODAY())=11,SUM(T1329:AC1329),IF(MONTH(TODAY())=12,SUM(T1329:AD1329),IF(MONTH(TODAY())=1,SUM(T1329:AE1329),T1329)))))))))))</f>
        <v>2470</v>
      </c>
      <c r="AT1329" s="95">
        <f t="shared" ref="AT1329:AT1333" si="1573">SUM(IF(AW1329&lt;1.15,AG1329,1.15*T1329),IF(AX1329&lt;1.15,AH1329,1.15*U1329),IF(AY1329&lt;1.15,AI1329,1.15*V1329),IF(AZ1329&lt;1.15,AJ1329,1.15*W1329),IF(BA1329&lt;1.15,AK1329,1.15*X1329),IF(BB1329&lt;1.15,AL1329,1.15*Y1329),IF(BC1329&lt;1.15,AM1329,1.15*Z1329),IF(BD1329&lt;1.15,AN1329,1.15*AA1329),IF(BE1329&lt;1.15,AO1329,1.15*AB1329),IF(BF1329&lt;1.15,AP1329,1.15*AC1329),IF(BG1329&lt;1.15,AQ1329,1.15*AD1329),IF(BH1329&lt;1.15,AR1329,1.15*AE1329))</f>
        <v>0</v>
      </c>
      <c r="AU1329" s="97">
        <f t="shared" ref="AU1329:AU1333" si="1574">SUM(AG1329:AR1329)</f>
        <v>0</v>
      </c>
      <c r="AW1329" s="51">
        <f t="shared" ref="AW1329:AW1333" si="1575">IFERROR(IF(AG1329="",0,AG1329/T1329),0)</f>
        <v>0</v>
      </c>
      <c r="AX1329" s="51">
        <f t="shared" ref="AX1329:AX1333" si="1576">IFERROR(IF(AH1329="",0,AH1329/U1329),0)</f>
        <v>0</v>
      </c>
      <c r="AY1329" s="51">
        <f t="shared" ref="AY1329:AY1333" si="1577">IFERROR(IF(AI1329="",0,AI1329/V1329),0)</f>
        <v>0</v>
      </c>
      <c r="AZ1329" s="51">
        <f t="shared" ref="AZ1329:AZ1333" si="1578">IFERROR(IF(AJ1329="",0,AJ1329/W1329),0)</f>
        <v>0</v>
      </c>
      <c r="BA1329" s="51"/>
      <c r="BB1329" s="51"/>
      <c r="BC1329" s="51"/>
      <c r="BD1329" s="51"/>
      <c r="BE1329" s="51"/>
      <c r="BF1329" s="51"/>
      <c r="BG1329" s="51"/>
      <c r="BH1329" s="51"/>
      <c r="BI1329" s="65" cm="1">
        <f t="array" ref="BI1329">IFERROR(INDEX(AW1329:BH1329,1,MATCH(2,1/(AW1329:BH1329&lt;&gt;""))),"")</f>
        <v>0</v>
      </c>
      <c r="BJ1329" s="68" cm="1">
        <f t="array" ref="BJ1329">IF(BM1329 = "", "",IFERROR(INDEX(AW1329:BH1329,1,MATCH(2,1/(AW1329:BH1329&lt;&gt;""),1)-1),""))</f>
        <v>0</v>
      </c>
      <c r="BK1329" s="58">
        <f>IF((IF(AW1329&gt;=115%,115%,AW1329) + IF(AX1329&gt;=115%,115%,AX1329) + IF(AY1329&gt;=115%,115%,AY1329) + (IF(AZ1329&gt;=115%,115%,AZ1329) + IF(BA1329&gt;=115%,115%,BA1329) + IF(BB1329&gt;=115%,115%,BB1329) + IF(BC1329&gt;=115%,115%,BC1329) + IF(BD1329&gt;=115%,115%,BD1329) + IF(BE1329&gt;=115%,115%,BE1329) + IF(BF1329&gt;=115%,115%,BF1329) + IF(BG1329&gt;=115%,115%,BG1329) + IF(BH1329&gt;=115%,115%,BH1329)))/_xlfn.XLOOKUP(F1329,Apuração!A:A,Apuração!B:B)&gt;=1.15,1.15,((IF(AZ1329&gt;=115%,115%,AZ1329) + IF(AX1329&gt;=115%,115%,AX1329) + IF(AY1329&gt;=115%,115%,AY1329) + (IF(AW1329&gt;=115%,115%,AW1329) + IF(BA1329&gt;=115%,115%,BA1329) + IF(BB1329&gt;=115%,115%,BB1329) + IF(BC1329&gt;=115%,115%,BC1329) + IF(BD1329&gt;=115%,115%,BD1329) + IF(BE1329&gt;=115%,115%,BE1329) + IF(BF1329&gt;=115%,115%,BF1329) + IF(BG1329&gt;=115%,115%,BG1329) + IF(BH1329&gt;=115%,115%,BH1329)))/_xlfn.XLOOKUP(F1329,Apuração!A:A,Apuração!B:B)))</f>
        <v>0</v>
      </c>
      <c r="BL1329" s="58" cm="1">
        <f t="array" aca="1" ref="BL1329" ca="1">IF(SUM(IFERROR(IF(INDEX(AW1329:INDEX(AW1329:BH1329, MATCH(2, 1/(AW1329:BH1329&lt;&gt;""), 1)-1), ROW(INDIRECT("1:" &amp; MATCH(2, 1/(AW1329:BH1329&lt;&gt;""), 1)-1))) &gt;= 115%, 115%, INDEX(AW1329:INDEX(AW1329:BH1329, MATCH(2, 1/(AW1329:BH1329&lt;&gt;""), 1)-1), ROW(INDIRECT("1:" &amp; MATCH(2, 1/(AW1329:BH1329&lt;&gt;""), 1)-1)))), 0))/_xlfn.XLOOKUP(F1329,Apuração!A:A,Apuração!B:B)&gt;=1.15,1.15,SUM(IFERROR(IF(INDEX(AW1329:INDEX(AW1329:BH1329, MATCH(2, 1/(AW1329:BH1329&lt;&gt;""), 1)-1), ROW(INDIRECT("1:" &amp; MATCH(2, 1/(AW1329:BH1329&lt;&gt;""), 1)-1))) &gt;= 115%, 115%, INDEX(AW1329:INDEX(AW1329:BH1329, MATCH(2, 1/(AW1329:BH1329&lt;&gt;""), 1)-1), ROW(INDIRECT("1:" &amp; MATCH(2, 1/(AW1329:BH1329&lt;&gt;""), 1)-1)))), 0))/_xlfn.XLOOKUP(F1329,Apuração!A:A,Apuração!B:B))</f>
        <v>0</v>
      </c>
      <c r="BM1329" s="55" cm="1">
        <f t="array" ref="BM1329">IFERROR(
   INDEX($AW$1:$BH$1,
      _xlfn.AGGREGATE(14, 6, COLUMN($AW$1:$BH$1)/(AW1329:BH1329&lt;&gt;""), 2) - COLUMN($AW$1) + 1
   ),
"")</f>
        <v>46082</v>
      </c>
      <c r="BN1329" s="55" cm="1">
        <f t="array" ref="BN1329">IFERROR(INDEX($AW$1:$BH$1,1,MATCH(2,1/(AW1329:BH1329&lt;&gt;""))),"")</f>
        <v>46113</v>
      </c>
      <c r="BO1329" s="53">
        <f ca="1">IFERROR(_xlfn.XLOOKUP(F1329,Apuração!A:A,Apuração!C:C)/_xlfn.XLOOKUP(F1329,Apuração!A:A,Apuração!B:B),0)</f>
        <v>0</v>
      </c>
      <c r="BP1329" s="53">
        <f ca="1">IFERROR(_xlfn.XLOOKUP(F1329,Apuração!A:A,Apuração!D:D)/_xlfn.XLOOKUP(F1329,Apuração!A:A,Apuração!B:B),0)</f>
        <v>0</v>
      </c>
      <c r="BQ1329" s="53">
        <f ca="1">IF(BK1329&gt;=BO1329,0,_xlfn.XLOOKUP(F1329,Apuração!A:A,Apuração!B:B)*(BO1329 + (1/_xlfn.XLOOKUP(F1329,Apuração!A:A,Apuração!B:B)) - BK1329))</f>
        <v>0</v>
      </c>
      <c r="BR1329" s="85">
        <f t="shared" ref="BR1329:BR1333" ca="1" si="1579">IF(BQ1329=0,0,BQ1329*Z1329)</f>
        <v>0</v>
      </c>
      <c r="BS1329" s="53">
        <f ca="1">IFERROR((_xlfn.XLOOKUP(F1329,Apuração!A:A,Apuração!C:C)+1)/_xlfn.XLOOKUP(F1329,Apuração!A:A,Apuração!B:B),0)</f>
        <v>0.14285714285714285</v>
      </c>
    </row>
    <row r="1330" spans="1:71" ht="25.95" hidden="1" customHeight="1" x14ac:dyDescent="0.3">
      <c r="A1330" s="38" t="s">
        <v>134</v>
      </c>
      <c r="B1330" s="4" t="s">
        <v>158</v>
      </c>
      <c r="C1330" s="5" t="s">
        <v>209</v>
      </c>
      <c r="D1330" s="5" t="s">
        <v>47</v>
      </c>
      <c r="E1330" s="4" t="str" cm="1">
        <f t="array" ref="E1330">_xlfn.IFS(
F1330 = "A partir de Abril", "Aguardando Execução na Distribuidora",
A1330 = "CAPACITAÇÃO", "Em execução no Corporativo",
TRUE, "Em Execução na Distribuidora"
)</f>
        <v>Em Execução na Distribuidora</v>
      </c>
      <c r="F1330" s="4" t="str" cm="1">
        <f t="array" ref="F1330">_xlfn.IFS(
AG1330 &lt;&gt; "", "Jan-Dez/26",
AH1330 &lt;&gt; "", "Fev-Dez/26",
AI1330 &lt;&gt; "", "Mar-Dez/26", AJ1330 &lt;&gt; "", "Abr-Dez/26",
TRUE, "A partir de Junho"
)</f>
        <v>A partir de Junho</v>
      </c>
      <c r="G1330" s="4" t="s">
        <v>37</v>
      </c>
      <c r="H1330" s="7" t="s">
        <v>54</v>
      </c>
      <c r="I1330" s="8" t="s">
        <v>159</v>
      </c>
      <c r="J1330" s="8" t="str" cm="1">
        <f t="array" aca="1" ref="J1330" ca="1">_xlfn.LET(
  _xlpm.actual_value_month, INDEX(T1330:AE1330, MATCH(DATE(YEAR(TODAY()), MONTH(TODAY()), 1), $T$1:$AE$1, 0)),
  IF(_xlpm.actual_value_month &lt;&gt; "",_xlpm.actual_value_month &amp; " colaboradores participantes mensais", "")
)</f>
        <v>940 colaboradores participantes mensais</v>
      </c>
      <c r="K1330" s="8" t="str" cm="1">
        <f t="array" ref="K1330">_xlfn.LET(
    _xlpm.sum_month, SUM(T1330:AE1330),
    IF(_xlpm.sum_month = 0, "", _xlpm.sum_month &amp; " participações de colaboradores no ano")
)</f>
        <v>8460 participações de colaboradores no ano</v>
      </c>
      <c r="L1330" s="9" t="s">
        <v>160</v>
      </c>
      <c r="M1330" s="24" t="s">
        <v>161</v>
      </c>
      <c r="N1330" s="5" t="s">
        <v>42</v>
      </c>
      <c r="O1330" s="5" t="s">
        <v>43</v>
      </c>
      <c r="P1330" s="10" t="s">
        <v>44</v>
      </c>
      <c r="Q1330" s="10" t="s">
        <v>44</v>
      </c>
      <c r="R1330" s="11" t="s">
        <v>147</v>
      </c>
      <c r="S1330" s="11" t="s">
        <v>162</v>
      </c>
      <c r="T1330" s="22"/>
      <c r="U1330" s="22"/>
      <c r="V1330" s="22"/>
      <c r="W1330" s="22">
        <v>940</v>
      </c>
      <c r="X1330" s="22">
        <v>940</v>
      </c>
      <c r="Y1330" s="22">
        <v>940</v>
      </c>
      <c r="Z1330" s="22">
        <v>940</v>
      </c>
      <c r="AA1330" s="22">
        <v>940</v>
      </c>
      <c r="AB1330" s="22">
        <v>940</v>
      </c>
      <c r="AC1330" s="22">
        <v>940</v>
      </c>
      <c r="AD1330" s="22">
        <v>940</v>
      </c>
      <c r="AE1330" s="22">
        <v>940</v>
      </c>
      <c r="AG1330" s="71"/>
      <c r="AH1330" s="71"/>
      <c r="AI1330" s="71"/>
      <c r="AJ1330" s="71"/>
      <c r="AK1330" s="71"/>
      <c r="AL1330" s="71"/>
      <c r="AM1330" s="71"/>
      <c r="AN1330" s="71"/>
      <c r="AO1330" s="71"/>
      <c r="AP1330" s="71"/>
      <c r="AQ1330" s="71"/>
      <c r="AR1330" s="71"/>
      <c r="AS1330" s="94">
        <f t="shared" ca="1" si="1572"/>
        <v>1880</v>
      </c>
      <c r="AT1330" s="95">
        <f t="shared" si="1573"/>
        <v>0</v>
      </c>
      <c r="AU1330" s="97">
        <f t="shared" si="1574"/>
        <v>0</v>
      </c>
      <c r="AW1330" s="51">
        <f t="shared" si="1575"/>
        <v>0</v>
      </c>
      <c r="AX1330" s="51">
        <f t="shared" si="1576"/>
        <v>0</v>
      </c>
      <c r="AY1330" s="51">
        <f t="shared" si="1577"/>
        <v>0</v>
      </c>
      <c r="AZ1330" s="51">
        <f t="shared" si="1578"/>
        <v>0</v>
      </c>
      <c r="BA1330" s="51"/>
      <c r="BB1330" s="51"/>
      <c r="BC1330" s="51"/>
      <c r="BD1330" s="51"/>
      <c r="BE1330" s="51"/>
      <c r="BF1330" s="51"/>
      <c r="BG1330" s="51"/>
      <c r="BH1330" s="51"/>
      <c r="BI1330" s="65" cm="1">
        <f t="array" ref="BI1330">IFERROR(INDEX(AW1330:BH1330,1,MATCH(2,1/(AW1330:BH1330&lt;&gt;""))),"")</f>
        <v>0</v>
      </c>
      <c r="BJ1330" s="68" cm="1">
        <f t="array" ref="BJ1330">IF(BM1330 = "", "",IFERROR(INDEX(AW1330:BH1330,1,MATCH(2,1/(AW1330:BH1330&lt;&gt;""),1)-1),""))</f>
        <v>0</v>
      </c>
      <c r="BK1330" s="58">
        <f>IF((IF(AW1330&gt;=115%,115%,AW1330) + IF(AX1330&gt;=115%,115%,AX1330) + IF(AY1330&gt;=115%,115%,AY1330) + (IF(AZ1330&gt;=115%,115%,AZ1330) + IF(BA1330&gt;=115%,115%,BA1330) + IF(BB1330&gt;=115%,115%,BB1330) + IF(BC1330&gt;=115%,115%,BC1330) + IF(BD1330&gt;=115%,115%,BD1330) + IF(BE1330&gt;=115%,115%,BE1330) + IF(BF1330&gt;=115%,115%,BF1330) + IF(BG1330&gt;=115%,115%,BG1330) + IF(BH1330&gt;=115%,115%,BH1330)))/_xlfn.XLOOKUP(F1330,Apuração!A:A,Apuração!B:B)&gt;=1.15,1.15,((IF(AZ1330&gt;=115%,115%,AZ1330) + IF(AX1330&gt;=115%,115%,AX1330) + IF(AY1330&gt;=115%,115%,AY1330) + (IF(AW1330&gt;=115%,115%,AW1330) + IF(BA1330&gt;=115%,115%,BA1330) + IF(BB1330&gt;=115%,115%,BB1330) + IF(BC1330&gt;=115%,115%,BC1330) + IF(BD1330&gt;=115%,115%,BD1330) + IF(BE1330&gt;=115%,115%,BE1330) + IF(BF1330&gt;=115%,115%,BF1330) + IF(BG1330&gt;=115%,115%,BG1330) + IF(BH1330&gt;=115%,115%,BH1330)))/_xlfn.XLOOKUP(F1330,Apuração!A:A,Apuração!B:B)))</f>
        <v>0</v>
      </c>
      <c r="BL1330" s="58" cm="1">
        <f t="array" aca="1" ref="BL1330" ca="1">IF(SUM(IFERROR(IF(INDEX(AW1330:INDEX(AW1330:BH1330, MATCH(2, 1/(AW1330:BH1330&lt;&gt;""), 1)-1), ROW(INDIRECT("1:" &amp; MATCH(2, 1/(AW1330:BH1330&lt;&gt;""), 1)-1))) &gt;= 115%, 115%, INDEX(AW1330:INDEX(AW1330:BH1330, MATCH(2, 1/(AW1330:BH1330&lt;&gt;""), 1)-1), ROW(INDIRECT("1:" &amp; MATCH(2, 1/(AW1330:BH1330&lt;&gt;""), 1)-1)))), 0))/_xlfn.XLOOKUP(F1330,Apuração!A:A,Apuração!B:B)&gt;=1.15,1.15,SUM(IFERROR(IF(INDEX(AW1330:INDEX(AW1330:BH1330, MATCH(2, 1/(AW1330:BH1330&lt;&gt;""), 1)-1), ROW(INDIRECT("1:" &amp; MATCH(2, 1/(AW1330:BH1330&lt;&gt;""), 1)-1))) &gt;= 115%, 115%, INDEX(AW1330:INDEX(AW1330:BH1330, MATCH(2, 1/(AW1330:BH1330&lt;&gt;""), 1)-1), ROW(INDIRECT("1:" &amp; MATCH(2, 1/(AW1330:BH1330&lt;&gt;""), 1)-1)))), 0))/_xlfn.XLOOKUP(F1330,Apuração!A:A,Apuração!B:B))</f>
        <v>0</v>
      </c>
      <c r="BM1330" s="55" cm="1">
        <f t="array" ref="BM1330">IFERROR(
   INDEX($AW$1:$BH$1,
      _xlfn.AGGREGATE(14, 6, COLUMN($AW$1:$BH$1)/(AW1330:BH1330&lt;&gt;""), 2) - COLUMN($AW$1) + 1
   ),
"")</f>
        <v>46082</v>
      </c>
      <c r="BN1330" s="55" cm="1">
        <f t="array" ref="BN1330">IFERROR(INDEX($AW$1:$BH$1,1,MATCH(2,1/(AW1330:BH1330&lt;&gt;""))),"")</f>
        <v>46113</v>
      </c>
      <c r="BO1330" s="53">
        <f ca="1">IFERROR(_xlfn.XLOOKUP(F1330,Apuração!A:A,Apuração!C:C)/_xlfn.XLOOKUP(F1330,Apuração!A:A,Apuração!B:B),0)</f>
        <v>0</v>
      </c>
      <c r="BP1330" s="53">
        <f ca="1">IFERROR(_xlfn.XLOOKUP(F1330,Apuração!A:A,Apuração!D:D)/_xlfn.XLOOKUP(F1330,Apuração!A:A,Apuração!B:B),0)</f>
        <v>0</v>
      </c>
      <c r="BQ1330" s="53">
        <f ca="1">IF(BK1330&gt;=BO1330,0,_xlfn.XLOOKUP(F1330,Apuração!A:A,Apuração!B:B)*(BO1330 + (1/_xlfn.XLOOKUP(F1330,Apuração!A:A,Apuração!B:B)) - BK1330))</f>
        <v>0</v>
      </c>
      <c r="BR1330" s="85">
        <f t="shared" ca="1" si="1579"/>
        <v>0</v>
      </c>
      <c r="BS1330" s="53">
        <f ca="1">IFERROR((_xlfn.XLOOKUP(F1330,Apuração!A:A,Apuração!C:C)+1)/_xlfn.XLOOKUP(F1330,Apuração!A:A,Apuração!B:B),0)</f>
        <v>0.14285714285714285</v>
      </c>
    </row>
    <row r="1331" spans="1:71" ht="25.95" hidden="1" customHeight="1" x14ac:dyDescent="0.3">
      <c r="A1331" s="38" t="s">
        <v>134</v>
      </c>
      <c r="B1331" s="4" t="s">
        <v>158</v>
      </c>
      <c r="C1331" s="5" t="s">
        <v>209</v>
      </c>
      <c r="D1331" s="5" t="s">
        <v>211</v>
      </c>
      <c r="E1331" s="4" t="str" cm="1">
        <f t="array" ref="E1331">_xlfn.IFS(
F1331 = "A partir de Abril", "Aguardando Execução na Distribuidora",
A1331 = "CAPACITAÇÃO", "Em execução no Corporativo",
TRUE, "Em Execução na Distribuidora"
)</f>
        <v>Em Execução na Distribuidora</v>
      </c>
      <c r="F1331" s="4" t="str" cm="1">
        <f t="array" ref="F1331">_xlfn.IFS(
AG1331 &lt;&gt; "", "Jan-Dez/26",
AH1331 &lt;&gt; "", "Fev-Dez/26",
AI1331 &lt;&gt; "", "Mar-Dez/26", AJ1331 &lt;&gt; "", "Abr-Dez/26",
TRUE, "A partir de Junho"
)</f>
        <v>A partir de Junho</v>
      </c>
      <c r="G1331" s="4" t="s">
        <v>37</v>
      </c>
      <c r="H1331" s="7" t="s">
        <v>54</v>
      </c>
      <c r="I1331" s="8" t="s">
        <v>159</v>
      </c>
      <c r="J1331" s="8" t="str" cm="1">
        <f t="array" aca="1" ref="J1331" ca="1">_xlfn.LET(
  _xlpm.actual_value_month, INDEX(T1331:AE1331, MATCH(DATE(YEAR(TODAY()), MONTH(TODAY()), 1), $T$1:$AE$1, 0)),
  IF(_xlpm.actual_value_month &lt;&gt; "",_xlpm.actual_value_month &amp; " colaboradores participantes mensais", "")
)</f>
        <v>285 colaboradores participantes mensais</v>
      </c>
      <c r="K1331" s="8" t="str" cm="1">
        <f t="array" ref="K1331">_xlfn.LET(
    _xlpm.sum_month, SUM(T1331:AE1331),
    IF(_xlpm.sum_month = 0, "", _xlpm.sum_month &amp; " participações de colaboradores no ano")
)</f>
        <v>2565 participações de colaboradores no ano</v>
      </c>
      <c r="L1331" s="9" t="s">
        <v>160</v>
      </c>
      <c r="M1331" s="24" t="s">
        <v>161</v>
      </c>
      <c r="N1331" s="5" t="s">
        <v>42</v>
      </c>
      <c r="O1331" s="5" t="s">
        <v>43</v>
      </c>
      <c r="P1331" s="10" t="s">
        <v>44</v>
      </c>
      <c r="Q1331" s="10" t="s">
        <v>44</v>
      </c>
      <c r="R1331" s="11" t="s">
        <v>147</v>
      </c>
      <c r="S1331" s="11" t="s">
        <v>162</v>
      </c>
      <c r="T1331" s="22"/>
      <c r="U1331" s="22"/>
      <c r="V1331" s="22"/>
      <c r="W1331" s="22">
        <v>285</v>
      </c>
      <c r="X1331" s="22">
        <v>285</v>
      </c>
      <c r="Y1331" s="22">
        <v>285</v>
      </c>
      <c r="Z1331" s="22">
        <v>285</v>
      </c>
      <c r="AA1331" s="22">
        <v>285</v>
      </c>
      <c r="AB1331" s="22">
        <v>285</v>
      </c>
      <c r="AC1331" s="22">
        <v>285</v>
      </c>
      <c r="AD1331" s="22">
        <v>285</v>
      </c>
      <c r="AE1331" s="22">
        <v>285</v>
      </c>
      <c r="AG1331" s="71"/>
      <c r="AH1331" s="71"/>
      <c r="AI1331" s="71"/>
      <c r="AJ1331" s="71"/>
      <c r="AK1331" s="71"/>
      <c r="AL1331" s="71"/>
      <c r="AM1331" s="71"/>
      <c r="AN1331" s="71"/>
      <c r="AO1331" s="71"/>
      <c r="AP1331" s="71"/>
      <c r="AQ1331" s="71"/>
      <c r="AR1331" s="71"/>
      <c r="AS1331" s="94">
        <f t="shared" ca="1" si="1572"/>
        <v>570</v>
      </c>
      <c r="AT1331" s="95">
        <f t="shared" si="1573"/>
        <v>0</v>
      </c>
      <c r="AU1331" s="97">
        <f t="shared" si="1574"/>
        <v>0</v>
      </c>
      <c r="AW1331" s="51">
        <f t="shared" si="1575"/>
        <v>0</v>
      </c>
      <c r="AX1331" s="51">
        <f t="shared" si="1576"/>
        <v>0</v>
      </c>
      <c r="AY1331" s="51">
        <f t="shared" si="1577"/>
        <v>0</v>
      </c>
      <c r="AZ1331" s="51">
        <f t="shared" si="1578"/>
        <v>0</v>
      </c>
      <c r="BA1331" s="51"/>
      <c r="BB1331" s="51"/>
      <c r="BC1331" s="51"/>
      <c r="BD1331" s="51"/>
      <c r="BE1331" s="51"/>
      <c r="BF1331" s="51"/>
      <c r="BG1331" s="51"/>
      <c r="BH1331" s="51"/>
      <c r="BI1331" s="65" cm="1">
        <f t="array" ref="BI1331">IFERROR(INDEX(AW1331:BH1331,1,MATCH(2,1/(AW1331:BH1331&lt;&gt;""))),"")</f>
        <v>0</v>
      </c>
      <c r="BJ1331" s="68" cm="1">
        <f t="array" ref="BJ1331">IF(BM1331 = "", "",IFERROR(INDEX(AW1331:BH1331,1,MATCH(2,1/(AW1331:BH1331&lt;&gt;""),1)-1),""))</f>
        <v>0</v>
      </c>
      <c r="BK1331" s="58">
        <f>IF((IF(AW1331&gt;=115%,115%,AW1331) + IF(AX1331&gt;=115%,115%,AX1331) + IF(AY1331&gt;=115%,115%,AY1331) + (IF(AZ1331&gt;=115%,115%,AZ1331) + IF(BA1331&gt;=115%,115%,BA1331) + IF(BB1331&gt;=115%,115%,BB1331) + IF(BC1331&gt;=115%,115%,BC1331) + IF(BD1331&gt;=115%,115%,BD1331) + IF(BE1331&gt;=115%,115%,BE1331) + IF(BF1331&gt;=115%,115%,BF1331) + IF(BG1331&gt;=115%,115%,BG1331) + IF(BH1331&gt;=115%,115%,BH1331)))/_xlfn.XLOOKUP(F1331,Apuração!A:A,Apuração!B:B)&gt;=1.15,1.15,((IF(AZ1331&gt;=115%,115%,AZ1331) + IF(AX1331&gt;=115%,115%,AX1331) + IF(AY1331&gt;=115%,115%,AY1331) + (IF(AW1331&gt;=115%,115%,AW1331) + IF(BA1331&gt;=115%,115%,BA1331) + IF(BB1331&gt;=115%,115%,BB1331) + IF(BC1331&gt;=115%,115%,BC1331) + IF(BD1331&gt;=115%,115%,BD1331) + IF(BE1331&gt;=115%,115%,BE1331) + IF(BF1331&gt;=115%,115%,BF1331) + IF(BG1331&gt;=115%,115%,BG1331) + IF(BH1331&gt;=115%,115%,BH1331)))/_xlfn.XLOOKUP(F1331,Apuração!A:A,Apuração!B:B)))</f>
        <v>0</v>
      </c>
      <c r="BL1331" s="58" cm="1">
        <f t="array" aca="1" ref="BL1331" ca="1">IF(SUM(IFERROR(IF(INDEX(AW1331:INDEX(AW1331:BH1331, MATCH(2, 1/(AW1331:BH1331&lt;&gt;""), 1)-1), ROW(INDIRECT("1:" &amp; MATCH(2, 1/(AW1331:BH1331&lt;&gt;""), 1)-1))) &gt;= 115%, 115%, INDEX(AW1331:INDEX(AW1331:BH1331, MATCH(2, 1/(AW1331:BH1331&lt;&gt;""), 1)-1), ROW(INDIRECT("1:" &amp; MATCH(2, 1/(AW1331:BH1331&lt;&gt;""), 1)-1)))), 0))/_xlfn.XLOOKUP(F1331,Apuração!A:A,Apuração!B:B)&gt;=1.15,1.15,SUM(IFERROR(IF(INDEX(AW1331:INDEX(AW1331:BH1331, MATCH(2, 1/(AW1331:BH1331&lt;&gt;""), 1)-1), ROW(INDIRECT("1:" &amp; MATCH(2, 1/(AW1331:BH1331&lt;&gt;""), 1)-1))) &gt;= 115%, 115%, INDEX(AW1331:INDEX(AW1331:BH1331, MATCH(2, 1/(AW1331:BH1331&lt;&gt;""), 1)-1), ROW(INDIRECT("1:" &amp; MATCH(2, 1/(AW1331:BH1331&lt;&gt;""), 1)-1)))), 0))/_xlfn.XLOOKUP(F1331,Apuração!A:A,Apuração!B:B))</f>
        <v>0</v>
      </c>
      <c r="BM1331" s="55" cm="1">
        <f t="array" ref="BM1331">IFERROR(
   INDEX($AW$1:$BH$1,
      _xlfn.AGGREGATE(14, 6, COLUMN($AW$1:$BH$1)/(AW1331:BH1331&lt;&gt;""), 2) - COLUMN($AW$1) + 1
   ),
"")</f>
        <v>46082</v>
      </c>
      <c r="BN1331" s="55" cm="1">
        <f t="array" ref="BN1331">IFERROR(INDEX($AW$1:$BH$1,1,MATCH(2,1/(AW1331:BH1331&lt;&gt;""))),"")</f>
        <v>46113</v>
      </c>
      <c r="BO1331" s="53">
        <f ca="1">IFERROR(_xlfn.XLOOKUP(F1331,Apuração!A:A,Apuração!C:C)/_xlfn.XLOOKUP(F1331,Apuração!A:A,Apuração!B:B),0)</f>
        <v>0</v>
      </c>
      <c r="BP1331" s="53">
        <f ca="1">IFERROR(_xlfn.XLOOKUP(F1331,Apuração!A:A,Apuração!D:D)/_xlfn.XLOOKUP(F1331,Apuração!A:A,Apuração!B:B),0)</f>
        <v>0</v>
      </c>
      <c r="BQ1331" s="53">
        <f ca="1">IF(BK1331&gt;=BO1331,0,_xlfn.XLOOKUP(F1331,Apuração!A:A,Apuração!B:B)*(BO1331 + (1/_xlfn.XLOOKUP(F1331,Apuração!A:A,Apuração!B:B)) - BK1331))</f>
        <v>0</v>
      </c>
      <c r="BR1331" s="85">
        <f t="shared" ca="1" si="1579"/>
        <v>0</v>
      </c>
      <c r="BS1331" s="53">
        <f ca="1">IFERROR((_xlfn.XLOOKUP(F1331,Apuração!A:A,Apuração!C:C)+1)/_xlfn.XLOOKUP(F1331,Apuração!A:A,Apuração!B:B),0)</f>
        <v>0.14285714285714285</v>
      </c>
    </row>
    <row r="1332" spans="1:71" ht="25.95" hidden="1" customHeight="1" x14ac:dyDescent="0.3">
      <c r="A1332" s="38" t="s">
        <v>134</v>
      </c>
      <c r="B1332" s="4" t="s">
        <v>158</v>
      </c>
      <c r="C1332" s="5" t="s">
        <v>209</v>
      </c>
      <c r="D1332" s="5" t="s">
        <v>212</v>
      </c>
      <c r="E1332" s="4" t="str" cm="1">
        <f t="array" ref="E1332">_xlfn.IFS(
F1332 = "A partir de Abril", "Aguardando Execução na Distribuidora",
A1332 = "CAPACITAÇÃO", "Em execução no Corporativo",
TRUE, "Em Execução na Distribuidora"
)</f>
        <v>Em Execução na Distribuidora</v>
      </c>
      <c r="F1332" s="4" t="str" cm="1">
        <f t="array" ref="F1332">_xlfn.IFS(
AG1332 &lt;&gt; "", "Jan-Dez/26",
AH1332 &lt;&gt; "", "Fev-Dez/26",
AI1332 &lt;&gt; "", "Mar-Dez/26", AJ1332 &lt;&gt; "", "Abr-Dez/26",
TRUE, "A partir de Junho"
)</f>
        <v>A partir de Junho</v>
      </c>
      <c r="G1332" s="4" t="s">
        <v>37</v>
      </c>
      <c r="H1332" s="7" t="s">
        <v>54</v>
      </c>
      <c r="I1332" s="8" t="s">
        <v>159</v>
      </c>
      <c r="J1332" s="8" t="str" cm="1">
        <f t="array" aca="1" ref="J1332" ca="1">_xlfn.LET(
  _xlpm.actual_value_month, INDEX(T1332:AE1332, MATCH(DATE(YEAR(TODAY()), MONTH(TODAY()), 1), $T$1:$AE$1, 0)),
  IF(_xlpm.actual_value_month &lt;&gt; "",_xlpm.actual_value_month &amp; " colaboradores participantes mensais", "")
)</f>
        <v>1276 colaboradores participantes mensais</v>
      </c>
      <c r="K1332" s="8" t="str" cm="1">
        <f t="array" ref="K1332">_xlfn.LET(
    _xlpm.sum_month, SUM(T1332:AE1332),
    IF(_xlpm.sum_month = 0, "", _xlpm.sum_month &amp; " participações de colaboradores no ano")
)</f>
        <v>11484 participações de colaboradores no ano</v>
      </c>
      <c r="L1332" s="9" t="s">
        <v>160</v>
      </c>
      <c r="M1332" s="24" t="s">
        <v>161</v>
      </c>
      <c r="N1332" s="5" t="s">
        <v>42</v>
      </c>
      <c r="O1332" s="5" t="s">
        <v>43</v>
      </c>
      <c r="P1332" s="10" t="s">
        <v>44</v>
      </c>
      <c r="Q1332" s="10" t="s">
        <v>44</v>
      </c>
      <c r="R1332" s="11" t="s">
        <v>147</v>
      </c>
      <c r="S1332" s="11" t="s">
        <v>162</v>
      </c>
      <c r="T1332" s="22"/>
      <c r="U1332" s="22"/>
      <c r="V1332" s="22"/>
      <c r="W1332" s="22">
        <v>1276</v>
      </c>
      <c r="X1332" s="22">
        <v>1276</v>
      </c>
      <c r="Y1332" s="22">
        <v>1276</v>
      </c>
      <c r="Z1332" s="22">
        <v>1276</v>
      </c>
      <c r="AA1332" s="22">
        <v>1276</v>
      </c>
      <c r="AB1332" s="22">
        <v>1276</v>
      </c>
      <c r="AC1332" s="22">
        <v>1276</v>
      </c>
      <c r="AD1332" s="22">
        <v>1276</v>
      </c>
      <c r="AE1332" s="22">
        <v>1276</v>
      </c>
      <c r="AG1332" s="71"/>
      <c r="AH1332" s="71"/>
      <c r="AI1332" s="71"/>
      <c r="AJ1332" s="71"/>
      <c r="AK1332" s="71"/>
      <c r="AL1332" s="71"/>
      <c r="AM1332" s="71"/>
      <c r="AN1332" s="71"/>
      <c r="AO1332" s="71"/>
      <c r="AP1332" s="71"/>
      <c r="AQ1332" s="71"/>
      <c r="AR1332" s="71"/>
      <c r="AS1332" s="94">
        <f t="shared" ca="1" si="1572"/>
        <v>2552</v>
      </c>
      <c r="AT1332" s="95">
        <f t="shared" si="1573"/>
        <v>0</v>
      </c>
      <c r="AU1332" s="97">
        <f t="shared" si="1574"/>
        <v>0</v>
      </c>
      <c r="AW1332" s="51">
        <f t="shared" si="1575"/>
        <v>0</v>
      </c>
      <c r="AX1332" s="51">
        <f t="shared" si="1576"/>
        <v>0</v>
      </c>
      <c r="AY1332" s="51">
        <f t="shared" si="1577"/>
        <v>0</v>
      </c>
      <c r="AZ1332" s="51">
        <f t="shared" si="1578"/>
        <v>0</v>
      </c>
      <c r="BA1332" s="51"/>
      <c r="BB1332" s="51"/>
      <c r="BC1332" s="51"/>
      <c r="BD1332" s="51"/>
      <c r="BE1332" s="51"/>
      <c r="BF1332" s="51"/>
      <c r="BG1332" s="51"/>
      <c r="BH1332" s="51"/>
      <c r="BI1332" s="65" cm="1">
        <f t="array" ref="BI1332">IFERROR(INDEX(AW1332:BH1332,1,MATCH(2,1/(AW1332:BH1332&lt;&gt;""))),"")</f>
        <v>0</v>
      </c>
      <c r="BJ1332" s="68" cm="1">
        <f t="array" ref="BJ1332">IF(BM1332 = "", "",IFERROR(INDEX(AW1332:BH1332,1,MATCH(2,1/(AW1332:BH1332&lt;&gt;""),1)-1),""))</f>
        <v>0</v>
      </c>
      <c r="BK1332" s="58">
        <f>IF((IF(AW1332&gt;=115%,115%,AW1332) + IF(AX1332&gt;=115%,115%,AX1332) + IF(AY1332&gt;=115%,115%,AY1332) + (IF(AZ1332&gt;=115%,115%,AZ1332) + IF(BA1332&gt;=115%,115%,BA1332) + IF(BB1332&gt;=115%,115%,BB1332) + IF(BC1332&gt;=115%,115%,BC1332) + IF(BD1332&gt;=115%,115%,BD1332) + IF(BE1332&gt;=115%,115%,BE1332) + IF(BF1332&gt;=115%,115%,BF1332) + IF(BG1332&gt;=115%,115%,BG1332) + IF(BH1332&gt;=115%,115%,BH1332)))/_xlfn.XLOOKUP(F1332,Apuração!A:A,Apuração!B:B)&gt;=1.15,1.15,((IF(AZ1332&gt;=115%,115%,AZ1332) + IF(AX1332&gt;=115%,115%,AX1332) + IF(AY1332&gt;=115%,115%,AY1332) + (IF(AW1332&gt;=115%,115%,AW1332) + IF(BA1332&gt;=115%,115%,BA1332) + IF(BB1332&gt;=115%,115%,BB1332) + IF(BC1332&gt;=115%,115%,BC1332) + IF(BD1332&gt;=115%,115%,BD1332) + IF(BE1332&gt;=115%,115%,BE1332) + IF(BF1332&gt;=115%,115%,BF1332) + IF(BG1332&gt;=115%,115%,BG1332) + IF(BH1332&gt;=115%,115%,BH1332)))/_xlfn.XLOOKUP(F1332,Apuração!A:A,Apuração!B:B)))</f>
        <v>0</v>
      </c>
      <c r="BL1332" s="58" cm="1">
        <f t="array" aca="1" ref="BL1332" ca="1">IF(SUM(IFERROR(IF(INDEX(AW1332:INDEX(AW1332:BH1332, MATCH(2, 1/(AW1332:BH1332&lt;&gt;""), 1)-1), ROW(INDIRECT("1:" &amp; MATCH(2, 1/(AW1332:BH1332&lt;&gt;""), 1)-1))) &gt;= 115%, 115%, INDEX(AW1332:INDEX(AW1332:BH1332, MATCH(2, 1/(AW1332:BH1332&lt;&gt;""), 1)-1), ROW(INDIRECT("1:" &amp; MATCH(2, 1/(AW1332:BH1332&lt;&gt;""), 1)-1)))), 0))/_xlfn.XLOOKUP(F1332,Apuração!A:A,Apuração!B:B)&gt;=1.15,1.15,SUM(IFERROR(IF(INDEX(AW1332:INDEX(AW1332:BH1332, MATCH(2, 1/(AW1332:BH1332&lt;&gt;""), 1)-1), ROW(INDIRECT("1:" &amp; MATCH(2, 1/(AW1332:BH1332&lt;&gt;""), 1)-1))) &gt;= 115%, 115%, INDEX(AW1332:INDEX(AW1332:BH1332, MATCH(2, 1/(AW1332:BH1332&lt;&gt;""), 1)-1), ROW(INDIRECT("1:" &amp; MATCH(2, 1/(AW1332:BH1332&lt;&gt;""), 1)-1)))), 0))/_xlfn.XLOOKUP(F1332,Apuração!A:A,Apuração!B:B))</f>
        <v>0</v>
      </c>
      <c r="BM1332" s="55" cm="1">
        <f t="array" ref="BM1332">IFERROR(
   INDEX($AW$1:$BH$1,
      _xlfn.AGGREGATE(14, 6, COLUMN($AW$1:$BH$1)/(AW1332:BH1332&lt;&gt;""), 2) - COLUMN($AW$1) + 1
   ),
"")</f>
        <v>46082</v>
      </c>
      <c r="BN1332" s="55" cm="1">
        <f t="array" ref="BN1332">IFERROR(INDEX($AW$1:$BH$1,1,MATCH(2,1/(AW1332:BH1332&lt;&gt;""))),"")</f>
        <v>46113</v>
      </c>
      <c r="BO1332" s="53">
        <f ca="1">IFERROR(_xlfn.XLOOKUP(F1332,Apuração!A:A,Apuração!C:C)/_xlfn.XLOOKUP(F1332,Apuração!A:A,Apuração!B:B),0)</f>
        <v>0</v>
      </c>
      <c r="BP1332" s="53">
        <f ca="1">IFERROR(_xlfn.XLOOKUP(F1332,Apuração!A:A,Apuração!D:D)/_xlfn.XLOOKUP(F1332,Apuração!A:A,Apuração!B:B),0)</f>
        <v>0</v>
      </c>
      <c r="BQ1332" s="53">
        <f ca="1">IF(BK1332&gt;=BO1332,0,_xlfn.XLOOKUP(F1332,Apuração!A:A,Apuração!B:B)*(BO1332 + (1/_xlfn.XLOOKUP(F1332,Apuração!A:A,Apuração!B:B)) - BK1332))</f>
        <v>0</v>
      </c>
      <c r="BR1332" s="85">
        <f t="shared" ca="1" si="1579"/>
        <v>0</v>
      </c>
      <c r="BS1332" s="53">
        <f ca="1">IFERROR((_xlfn.XLOOKUP(F1332,Apuração!A:A,Apuração!C:C)+1)/_xlfn.XLOOKUP(F1332,Apuração!A:A,Apuração!B:B),0)</f>
        <v>0.14285714285714285</v>
      </c>
    </row>
    <row r="1333" spans="1:71" ht="25.95" hidden="1" customHeight="1" x14ac:dyDescent="0.3">
      <c r="A1333" s="38" t="s">
        <v>134</v>
      </c>
      <c r="B1333" s="4" t="s">
        <v>158</v>
      </c>
      <c r="C1333" s="5" t="s">
        <v>209</v>
      </c>
      <c r="D1333" s="5" t="s">
        <v>213</v>
      </c>
      <c r="E1333" s="4" t="str" cm="1">
        <f t="array" ref="E1333">_xlfn.IFS(
F1333 = "A partir de Abril", "Aguardando Execução na Distribuidora",
A1333 = "CAPACITAÇÃO", "Em execução no Corporativo",
TRUE, "Em Execução na Distribuidora"
)</f>
        <v>Em Execução na Distribuidora</v>
      </c>
      <c r="F1333" s="4" t="str" cm="1">
        <f t="array" ref="F1333">_xlfn.IFS(
AG1333 &lt;&gt; "", "Jan-Dez/26",
AH1333 &lt;&gt; "", "Fev-Dez/26",
AI1333 &lt;&gt; "", "Mar-Dez/26", AJ1333 &lt;&gt; "", "Abr-Dez/26",
TRUE, "A partir de Junho"
)</f>
        <v>A partir de Junho</v>
      </c>
      <c r="G1333" s="4" t="s">
        <v>37</v>
      </c>
      <c r="H1333" s="7" t="s">
        <v>54</v>
      </c>
      <c r="I1333" s="8" t="s">
        <v>159</v>
      </c>
      <c r="J1333" s="8" t="str" cm="1">
        <f t="array" aca="1" ref="J1333" ca="1">_xlfn.LET(
  _xlpm.actual_value_month, INDEX(T1333:AE1333, MATCH(DATE(YEAR(TODAY()), MONTH(TODAY()), 1), $T$1:$AE$1, 0)),
  IF(_xlpm.actual_value_month &lt;&gt; "",_xlpm.actual_value_month &amp; " colaboradores participantes mensais", "")
)</f>
        <v>822 colaboradores participantes mensais</v>
      </c>
      <c r="K1333" s="8" t="str" cm="1">
        <f t="array" ref="K1333">_xlfn.LET(
    _xlpm.sum_month, SUM(T1333:AE1333),
    IF(_xlpm.sum_month = 0, "", _xlpm.sum_month &amp; " participações de colaboradores no ano")
)</f>
        <v>7398 participações de colaboradores no ano</v>
      </c>
      <c r="L1333" s="9" t="s">
        <v>160</v>
      </c>
      <c r="M1333" s="24" t="s">
        <v>161</v>
      </c>
      <c r="N1333" s="5" t="s">
        <v>42</v>
      </c>
      <c r="O1333" s="5" t="s">
        <v>43</v>
      </c>
      <c r="P1333" s="10" t="s">
        <v>44</v>
      </c>
      <c r="Q1333" s="10" t="s">
        <v>44</v>
      </c>
      <c r="R1333" s="11" t="s">
        <v>147</v>
      </c>
      <c r="S1333" s="11" t="s">
        <v>162</v>
      </c>
      <c r="T1333" s="22"/>
      <c r="U1333" s="22"/>
      <c r="V1333" s="22"/>
      <c r="W1333" s="22">
        <v>822</v>
      </c>
      <c r="X1333" s="22">
        <v>822</v>
      </c>
      <c r="Y1333" s="22">
        <v>822</v>
      </c>
      <c r="Z1333" s="22">
        <v>822</v>
      </c>
      <c r="AA1333" s="22">
        <v>822</v>
      </c>
      <c r="AB1333" s="22">
        <v>822</v>
      </c>
      <c r="AC1333" s="22">
        <v>822</v>
      </c>
      <c r="AD1333" s="22">
        <v>822</v>
      </c>
      <c r="AE1333" s="22">
        <v>822</v>
      </c>
      <c r="AG1333" s="71"/>
      <c r="AH1333" s="71"/>
      <c r="AI1333" s="71"/>
      <c r="AJ1333" s="71"/>
      <c r="AK1333" s="71"/>
      <c r="AL1333" s="71"/>
      <c r="AM1333" s="71"/>
      <c r="AN1333" s="71"/>
      <c r="AO1333" s="71"/>
      <c r="AP1333" s="71"/>
      <c r="AQ1333" s="71"/>
      <c r="AR1333" s="71"/>
      <c r="AS1333" s="94">
        <f t="shared" ca="1" si="1572"/>
        <v>1644</v>
      </c>
      <c r="AT1333" s="95">
        <f t="shared" si="1573"/>
        <v>0</v>
      </c>
      <c r="AU1333" s="97">
        <f t="shared" si="1574"/>
        <v>0</v>
      </c>
      <c r="AW1333" s="51">
        <f t="shared" si="1575"/>
        <v>0</v>
      </c>
      <c r="AX1333" s="51">
        <f t="shared" si="1576"/>
        <v>0</v>
      </c>
      <c r="AY1333" s="51">
        <f t="shared" si="1577"/>
        <v>0</v>
      </c>
      <c r="AZ1333" s="51">
        <f t="shared" si="1578"/>
        <v>0</v>
      </c>
      <c r="BA1333" s="51"/>
      <c r="BB1333" s="51"/>
      <c r="BC1333" s="51"/>
      <c r="BD1333" s="51"/>
      <c r="BE1333" s="51"/>
      <c r="BF1333" s="51"/>
      <c r="BG1333" s="51"/>
      <c r="BH1333" s="51"/>
      <c r="BI1333" s="65" cm="1">
        <f t="array" ref="BI1333">IFERROR(INDEX(AW1333:BH1333,1,MATCH(2,1/(AW1333:BH1333&lt;&gt;""))),"")</f>
        <v>0</v>
      </c>
      <c r="BJ1333" s="68" cm="1">
        <f t="array" ref="BJ1333">IF(BM1333 = "", "",IFERROR(INDEX(AW1333:BH1333,1,MATCH(2,1/(AW1333:BH1333&lt;&gt;""),1)-1),""))</f>
        <v>0</v>
      </c>
      <c r="BK1333" s="58">
        <f>IF((IF(AW1333&gt;=115%,115%,AW1333) + IF(AX1333&gt;=115%,115%,AX1333) + IF(AY1333&gt;=115%,115%,AY1333) + (IF(AZ1333&gt;=115%,115%,AZ1333) + IF(BA1333&gt;=115%,115%,BA1333) + IF(BB1333&gt;=115%,115%,BB1333) + IF(BC1333&gt;=115%,115%,BC1333) + IF(BD1333&gt;=115%,115%,BD1333) + IF(BE1333&gt;=115%,115%,BE1333) + IF(BF1333&gt;=115%,115%,BF1333) + IF(BG1333&gt;=115%,115%,BG1333) + IF(BH1333&gt;=115%,115%,BH1333)))/_xlfn.XLOOKUP(F1333,Apuração!A:A,Apuração!B:B)&gt;=1.15,1.15,((IF(AZ1333&gt;=115%,115%,AZ1333) + IF(AX1333&gt;=115%,115%,AX1333) + IF(AY1333&gt;=115%,115%,AY1333) + (IF(AW1333&gt;=115%,115%,AW1333) + IF(BA1333&gt;=115%,115%,BA1333) + IF(BB1333&gt;=115%,115%,BB1333) + IF(BC1333&gt;=115%,115%,BC1333) + IF(BD1333&gt;=115%,115%,BD1333) + IF(BE1333&gt;=115%,115%,BE1333) + IF(BF1333&gt;=115%,115%,BF1333) + IF(BG1333&gt;=115%,115%,BG1333) + IF(BH1333&gt;=115%,115%,BH1333)))/_xlfn.XLOOKUP(F1333,Apuração!A:A,Apuração!B:B)))</f>
        <v>0</v>
      </c>
      <c r="BL1333" s="58" cm="1">
        <f t="array" aca="1" ref="BL1333" ca="1">IF(SUM(IFERROR(IF(INDEX(AW1333:INDEX(AW1333:BH1333, MATCH(2, 1/(AW1333:BH1333&lt;&gt;""), 1)-1), ROW(INDIRECT("1:" &amp; MATCH(2, 1/(AW1333:BH1333&lt;&gt;""), 1)-1))) &gt;= 115%, 115%, INDEX(AW1333:INDEX(AW1333:BH1333, MATCH(2, 1/(AW1333:BH1333&lt;&gt;""), 1)-1), ROW(INDIRECT("1:" &amp; MATCH(2, 1/(AW1333:BH1333&lt;&gt;""), 1)-1)))), 0))/_xlfn.XLOOKUP(F1333,Apuração!A:A,Apuração!B:B)&gt;=1.15,1.15,SUM(IFERROR(IF(INDEX(AW1333:INDEX(AW1333:BH1333, MATCH(2, 1/(AW1333:BH1333&lt;&gt;""), 1)-1), ROW(INDIRECT("1:" &amp; MATCH(2, 1/(AW1333:BH1333&lt;&gt;""), 1)-1))) &gt;= 115%, 115%, INDEX(AW1333:INDEX(AW1333:BH1333, MATCH(2, 1/(AW1333:BH1333&lt;&gt;""), 1)-1), ROW(INDIRECT("1:" &amp; MATCH(2, 1/(AW1333:BH1333&lt;&gt;""), 1)-1)))), 0))/_xlfn.XLOOKUP(F1333,Apuração!A:A,Apuração!B:B))</f>
        <v>0</v>
      </c>
      <c r="BM1333" s="55" cm="1">
        <f t="array" ref="BM1333">IFERROR(
   INDEX($AW$1:$BH$1,
      _xlfn.AGGREGATE(14, 6, COLUMN($AW$1:$BH$1)/(AW1333:BH1333&lt;&gt;""), 2) - COLUMN($AW$1) + 1
   ),
"")</f>
        <v>46082</v>
      </c>
      <c r="BN1333" s="55" cm="1">
        <f t="array" ref="BN1333">IFERROR(INDEX($AW$1:$BH$1,1,MATCH(2,1/(AW1333:BH1333&lt;&gt;""))),"")</f>
        <v>46113</v>
      </c>
      <c r="BO1333" s="53">
        <f ca="1">IFERROR(_xlfn.XLOOKUP(F1333,Apuração!A:A,Apuração!C:C)/_xlfn.XLOOKUP(F1333,Apuração!A:A,Apuração!B:B),0)</f>
        <v>0</v>
      </c>
      <c r="BP1333" s="53">
        <f ca="1">IFERROR(_xlfn.XLOOKUP(F1333,Apuração!A:A,Apuração!D:D)/_xlfn.XLOOKUP(F1333,Apuração!A:A,Apuração!B:B),0)</f>
        <v>0</v>
      </c>
      <c r="BQ1333" s="53">
        <f ca="1">IF(BK1333&gt;=BO1333,0,_xlfn.XLOOKUP(F1333,Apuração!A:A,Apuração!B:B)*(BO1333 + (1/_xlfn.XLOOKUP(F1333,Apuração!A:A,Apuração!B:B)) - BK1333))</f>
        <v>0</v>
      </c>
      <c r="BR1333" s="85">
        <f t="shared" ca="1" si="1579"/>
        <v>0</v>
      </c>
      <c r="BS1333" s="53">
        <f ca="1">IFERROR((_xlfn.XLOOKUP(F1333,Apuração!A:A,Apuração!C:C)+1)/_xlfn.XLOOKUP(F1333,Apuração!A:A,Apuração!B:B),0)</f>
        <v>0.14285714285714285</v>
      </c>
    </row>
    <row r="1334" spans="1:71" ht="25.95" hidden="1" customHeight="1" x14ac:dyDescent="0.3">
      <c r="A1334" s="42" t="s">
        <v>134</v>
      </c>
      <c r="B1334" s="4" t="s">
        <v>158</v>
      </c>
      <c r="C1334" s="5" t="s">
        <v>209</v>
      </c>
      <c r="D1334" s="5" t="s">
        <v>36</v>
      </c>
      <c r="E1334" s="4" t="str" cm="1">
        <f t="array" ref="E1334">_xlfn.IFS(
F1334 = "A partir de Abril", "Aguardando Execução na Distribuidora",
A1334 = "CAPACITAÇÃO", "Em execução no Corporativo",
TRUE, "Em Execução na Distribuidora"
)</f>
        <v>Em Execução na Distribuidora</v>
      </c>
      <c r="F1334" s="4" t="str" cm="1">
        <f t="array" ref="F1334">_xlfn.IFS(
AG1334 &lt;&gt; "", "Jan-Dez/26",
AH1334 &lt;&gt; "", "Fev-Dez/26",
AI1334 &lt;&gt; "", "Mar-Dez/26", AJ1334 &lt;&gt; "", "Abr-Dez/26",
TRUE, "A partir de Junho"
)</f>
        <v>Jan-Dez/26</v>
      </c>
      <c r="G1334" s="4" t="s">
        <v>37</v>
      </c>
      <c r="H1334" s="7" t="s">
        <v>54</v>
      </c>
      <c r="I1334" s="8" t="s">
        <v>163</v>
      </c>
      <c r="J1334" s="8" t="str" cm="1">
        <f t="array" aca="1" ref="J1334" ca="1">_xlfn.LET(
  _xlpm.actual_value_month, INDEX(T1334:AE1334, MATCH(DATE(YEAR(TODAY()), MONTH(TODAY()), 1), $T$1:$AE$1, 0)),
  IF(_xlpm.actual_value_month &lt;&gt; "",_xlpm.actual_value_month &amp; " ações mensais", "")
)</f>
        <v/>
      </c>
      <c r="K1334" s="8" t="str" cm="1">
        <f t="array" ref="K1334">_xlfn.LET(
    _xlpm.sum_month, SUM(T1334:AE1334),
    IF(_xlpm.sum_month = 0, "", _xlpm.sum_month &amp; " DSS no ano")
)</f>
        <v>1928 DSS no ano</v>
      </c>
      <c r="L1334" s="9" t="s">
        <v>164</v>
      </c>
      <c r="M1334" s="24">
        <v>1</v>
      </c>
      <c r="N1334" s="5" t="s">
        <v>51</v>
      </c>
      <c r="O1334" s="111" t="s">
        <v>52</v>
      </c>
      <c r="P1334" s="10" t="s">
        <v>146</v>
      </c>
      <c r="Q1334" s="10" t="s">
        <v>72</v>
      </c>
      <c r="R1334" s="11" t="s">
        <v>147</v>
      </c>
      <c r="S1334" s="11" t="s">
        <v>162</v>
      </c>
      <c r="T1334" s="22">
        <v>468</v>
      </c>
      <c r="U1334" s="22">
        <v>557</v>
      </c>
      <c r="V1334" s="22">
        <v>903</v>
      </c>
      <c r="W1334" s="22"/>
      <c r="X1334" s="22"/>
      <c r="Y1334" s="22"/>
      <c r="Z1334" s="22"/>
      <c r="AA1334" s="22"/>
      <c r="AB1334" s="22"/>
      <c r="AC1334" s="22"/>
      <c r="AD1334" s="22"/>
      <c r="AE1334" s="22"/>
      <c r="AG1334" s="71">
        <v>468</v>
      </c>
      <c r="AH1334" s="71">
        <v>557</v>
      </c>
      <c r="AI1334" s="71">
        <v>903</v>
      </c>
      <c r="AJ1334" s="71">
        <v>847</v>
      </c>
      <c r="AK1334" s="71"/>
      <c r="AL1334" s="71"/>
      <c r="AM1334" s="71"/>
      <c r="AN1334" s="71"/>
      <c r="AO1334" s="71"/>
      <c r="AP1334" s="71"/>
      <c r="AQ1334" s="71"/>
      <c r="AR1334" s="71"/>
      <c r="AS1334" s="94">
        <f ca="1">IF(MONTH(TODAY())=3,SUM(T1334:U1334),IF(MONTH(TODAY())=4,SUM(T1334:V1334),IF(MONTH(TODAY())=5,SUM(T1334:W1334),IF(MONTH(TODAY())=6,SUM(T1334:X1334),IF(MONTH(TODAY())=7,SUM(T1334:Y1334),IF(MONTH(TODAY())=8,SUM(T1334:Z1334),IF(MONTH(TODAY())=9,SUM(T1334:AA1334),IF(MONTH(TODAY())=10,SUM(T1334:AB1334),IF(MONTH(TODAY())=11,SUM(T1334:AC1334),IF(MONTH(TODAY())=12,SUM(T1334:AD1334),IF(MONTH(TODAY())=1,SUM(T1334:AE1334),T1334)))))))))))</f>
        <v>1928</v>
      </c>
      <c r="AT1334" s="95">
        <f>SUM(IF(AW1334&lt;1.15,AG1334,1.15*T1334),IF(AX1334&lt;1.15,AH1334,1.15*U1334),IF(AY1334&lt;1.15,AI1334,1.15*V1334),IF(AZ1334&lt;1.15,AJ1334,1.15*W1334),IF(BA1334&lt;1.15,AK1334,1.15*X1334),IF(BB1334&lt;1.15,AL1334,1.15*Y1334),IF(BC1334&lt;1.15,AM1334,1.15*Z1334),IF(BD1334&lt;1.15,AN1334,1.15*AA1334),IF(BE1334&lt;1.15,AO1334,1.15*AB1334),IF(BF1334&lt;1.15,AP1334,1.15*AC1334),IF(BG1334&lt;1.15,AQ1334,1.15*AD1334),IF(BH1334&lt;1.15,AR1334,1.15*AE1334))</f>
        <v>2217.1999999999998</v>
      </c>
      <c r="AU1334" s="97">
        <f>SUM(AG1334:AR1334)</f>
        <v>2775</v>
      </c>
      <c r="AW1334" s="83">
        <f>AG1334</f>
        <v>468</v>
      </c>
      <c r="AX1334" s="83">
        <f>AH1334</f>
        <v>557</v>
      </c>
      <c r="AY1334" s="83">
        <f>AI1334</f>
        <v>903</v>
      </c>
      <c r="AZ1334" s="83">
        <f>AJ1334</f>
        <v>847</v>
      </c>
      <c r="BA1334" s="52"/>
      <c r="BB1334" s="52"/>
      <c r="BC1334" s="52"/>
      <c r="BD1334" s="52"/>
      <c r="BE1334" s="52"/>
      <c r="BF1334" s="52"/>
      <c r="BG1334" s="52"/>
      <c r="BH1334" s="52"/>
      <c r="BI1334" s="65" cm="1">
        <f t="array" ref="BI1334">IFERROR(INDEX(AW1334:BH1334,1,MATCH(2,1/(AW1334:BH1334&lt;&gt;""))),"")</f>
        <v>847</v>
      </c>
      <c r="BJ1334" s="68" cm="1">
        <f t="array" ref="BJ1334">IF(BM1334 = "", "",IFERROR(INDEX(AW1334:BH1334,1,MATCH(2,1/(AW1334:BH1334&lt;&gt;""),1)-1),""))</f>
        <v>903</v>
      </c>
      <c r="BK1334" s="58">
        <f>IF((IF(AW1334&gt;=115%,115%,AW1334) + IF(AX1334&gt;=115%,115%,AX1334) + IF(AY1334&gt;=115%,115%,AY1334) + (IF(AZ1334&gt;=115%,115%,AZ1334) + IF(BA1334&gt;=115%,115%,BA1334) + IF(BB1334&gt;=115%,115%,BB1334) + IF(BC1334&gt;=115%,115%,BC1334) + IF(BD1334&gt;=115%,115%,BD1334) + IF(BE1334&gt;=115%,115%,BE1334) + IF(BF1334&gt;=115%,115%,BF1334) + IF(BG1334&gt;=115%,115%,BG1334) + IF(BH1334&gt;=115%,115%,BH1334)))/_xlfn.XLOOKUP(F1334,Apuração!A:A,Apuração!B:B)&gt;=1.15,1.15,((IF(AZ1334&gt;=115%,115%,AZ1334) + IF(AX1334&gt;=115%,115%,AX1334) + IF(AY1334&gt;=115%,115%,AY1334) + (IF(AW1334&gt;=115%,115%,AW1334) + IF(BA1334&gt;=115%,115%,BA1334) + IF(BB1334&gt;=115%,115%,BB1334) + IF(BC1334&gt;=115%,115%,BC1334) + IF(BD1334&gt;=115%,115%,BD1334) + IF(BE1334&gt;=115%,115%,BE1334) + IF(BF1334&gt;=115%,115%,BF1334) + IF(BG1334&gt;=115%,115%,BG1334) + IF(BH1334&gt;=115%,115%,BH1334)))/_xlfn.XLOOKUP(F1334,Apuração!A:A,Apuração!B:B)))</f>
        <v>0.3833333333333333</v>
      </c>
      <c r="BL1334" s="58" cm="1">
        <f t="array" aca="1" ref="BL1334" ca="1">IF(SUM(IFERROR(IF(INDEX(AW1334:INDEX(AW1334:BH1334, MATCH(2, 1/(AW1334:BH1334&lt;&gt;""), 1)-1), ROW(INDIRECT("1:" &amp; MATCH(2, 1/(AW1334:BH1334&lt;&gt;""), 1)-1))) &gt;= 115%, 115%, INDEX(AW1334:INDEX(AW1334:BH1334, MATCH(2, 1/(AW1334:BH1334&lt;&gt;""), 1)-1), ROW(INDIRECT("1:" &amp; MATCH(2, 1/(AW1334:BH1334&lt;&gt;""), 1)-1)))), 0))/_xlfn.XLOOKUP(F1334,Apuração!A:A,Apuração!B:B)&gt;=1.15,1.15,SUM(IFERROR(IF(INDEX(AW1334:INDEX(AW1334:BH1334, MATCH(2, 1/(AW1334:BH1334&lt;&gt;""), 1)-1), ROW(INDIRECT("1:" &amp; MATCH(2, 1/(AW1334:BH1334&lt;&gt;""), 1)-1))) &gt;= 115%, 115%, INDEX(AW1334:INDEX(AW1334:BH1334, MATCH(2, 1/(AW1334:BH1334&lt;&gt;""), 1)-1), ROW(INDIRECT("1:" &amp; MATCH(2, 1/(AW1334:BH1334&lt;&gt;""), 1)-1)))), 0))/_xlfn.XLOOKUP(F1334,Apuração!A:A,Apuração!B:B))</f>
        <v>0.28749999999999998</v>
      </c>
      <c r="BM1334" s="55" cm="1">
        <f t="array" ref="BM1334">IFERROR(
   INDEX($AW$1:$BH$1,
      _xlfn.AGGREGATE(14, 6, COLUMN($AW$1:$BH$1)/(AW1334:BH1334&lt;&gt;""), 2) - COLUMN($AW$1) + 1
   ),
"")</f>
        <v>46082</v>
      </c>
      <c r="BN1334" s="55" cm="1">
        <f t="array" ref="BN1334">IFERROR(INDEX($AW$1:$BH$1,1,MATCH(2,1/(AW1334:BH1334&lt;&gt;""))),"")</f>
        <v>46113</v>
      </c>
      <c r="BO1334" s="53">
        <f ca="1">IFERROR(_xlfn.XLOOKUP(F1334,Apuração!A:A,Apuração!C:C)/_xlfn.XLOOKUP(F1334,Apuração!A:A,Apuração!B:B),0)</f>
        <v>0.41666666666666669</v>
      </c>
      <c r="BP1334" s="53">
        <f ca="1">IFERROR(_xlfn.XLOOKUP(F1334,Apuração!A:A,Apuração!D:D)/_xlfn.XLOOKUP(F1334,Apuração!A:A,Apuração!B:B),0)</f>
        <v>0.33333333333333331</v>
      </c>
      <c r="BQ1334" s="53">
        <f ca="1">IF(BK1334&gt;=BO1334,0,_xlfn.XLOOKUP(F1334,Apuração!A:A,Apuração!B:B)*(BO1334 + (1/_xlfn.XLOOKUP(F1334,Apuração!A:A,Apuração!B:B)) - BK1334))</f>
        <v>1.4000000000000004</v>
      </c>
      <c r="BR1334" s="85">
        <f ca="1">IF(BQ1334=0,0,BQ1334*Z1334)</f>
        <v>0</v>
      </c>
      <c r="BS1334" s="53">
        <f ca="1">IFERROR((_xlfn.XLOOKUP(F1334,Apuração!A:A,Apuração!C:C)+1)/_xlfn.XLOOKUP(F1334,Apuração!A:A,Apuração!B:B),0)</f>
        <v>0.5</v>
      </c>
    </row>
    <row r="1335" spans="1:71" ht="25.95" hidden="1" customHeight="1" x14ac:dyDescent="0.3">
      <c r="A1335" s="42" t="s">
        <v>134</v>
      </c>
      <c r="B1335" s="4" t="s">
        <v>158</v>
      </c>
      <c r="C1335" s="5" t="s">
        <v>209</v>
      </c>
      <c r="D1335" s="5" t="s">
        <v>210</v>
      </c>
      <c r="E1335" s="4" t="str" cm="1">
        <f t="array" ref="E1335">_xlfn.IFS(
F1335 = "A partir de Abril", "Aguardando Execução na Distribuidora",
A1335 = "CAPACITAÇÃO", "Em execução no Corporativo",
TRUE, "Em Execução na Distribuidora"
)</f>
        <v>Em Execução na Distribuidora</v>
      </c>
      <c r="F1335" s="4" t="str" cm="1">
        <f t="array" ref="F1335">_xlfn.IFS(
AG1335 &lt;&gt; "", "Jan-Dez/26",
AH1335 &lt;&gt; "", "Fev-Dez/26",
AI1335 &lt;&gt; "", "Mar-Dez/26", AJ1335 &lt;&gt; "", "Abr-Dez/26",
TRUE, "A partir de Junho"
)</f>
        <v>A partir de Junho</v>
      </c>
      <c r="G1335" s="4" t="s">
        <v>37</v>
      </c>
      <c r="H1335" s="7" t="s">
        <v>54</v>
      </c>
      <c r="I1335" s="8" t="s">
        <v>163</v>
      </c>
      <c r="J1335" s="8" t="str" cm="1">
        <f t="array" aca="1" ref="J1335" ca="1">_xlfn.LET(
  _xlpm.actual_value_month, INDEX(T1335:AE1335, MATCH(DATE(YEAR(TODAY()), MONTH(TODAY()), 1), $T$1:$AE$1, 0)),
  IF(_xlpm.actual_value_month &lt;&gt; "",_xlpm.actual_value_month &amp; " ações mensais", "")
)</f>
        <v/>
      </c>
      <c r="K1335" s="8" t="str" cm="1">
        <f t="array" ref="K1335">_xlfn.LET(
    _xlpm.sum_month, SUM(T1335:AE1335),
    IF(_xlpm.sum_month = 0, "", _xlpm.sum_month &amp; " DSS no ano")
)</f>
        <v/>
      </c>
      <c r="L1335" s="9" t="s">
        <v>164</v>
      </c>
      <c r="M1335" s="24">
        <v>1</v>
      </c>
      <c r="N1335" s="5" t="s">
        <v>51</v>
      </c>
      <c r="O1335" s="111" t="s">
        <v>52</v>
      </c>
      <c r="P1335" s="10" t="s">
        <v>146</v>
      </c>
      <c r="Q1335" s="10" t="s">
        <v>72</v>
      </c>
      <c r="R1335" s="11" t="s">
        <v>147</v>
      </c>
      <c r="S1335" s="11" t="s">
        <v>162</v>
      </c>
      <c r="T1335" s="22"/>
      <c r="U1335" s="22"/>
      <c r="V1335" s="22"/>
      <c r="W1335" s="22"/>
      <c r="X1335" s="22"/>
      <c r="Y1335" s="22"/>
      <c r="Z1335" s="22"/>
      <c r="AA1335" s="22"/>
      <c r="AB1335" s="22"/>
      <c r="AC1335" s="22"/>
      <c r="AD1335" s="22"/>
      <c r="AE1335" s="22"/>
      <c r="AG1335" s="71"/>
      <c r="AH1335" s="71"/>
      <c r="AI1335" s="71"/>
      <c r="AJ1335" s="71"/>
      <c r="AK1335" s="71"/>
      <c r="AL1335" s="71"/>
      <c r="AM1335" s="71"/>
      <c r="AN1335" s="71"/>
      <c r="AO1335" s="71"/>
      <c r="AP1335" s="71"/>
      <c r="AQ1335" s="71"/>
      <c r="AR1335" s="71"/>
      <c r="AS1335" s="94">
        <f t="shared" ref="AS1335:AS1339" ca="1" si="1580">IF(MONTH(TODAY())=3,SUM(T1335:U1335),IF(MONTH(TODAY())=4,SUM(T1335:V1335),IF(MONTH(TODAY())=5,SUM(T1335:W1335),IF(MONTH(TODAY())=6,SUM(T1335:X1335),IF(MONTH(TODAY())=7,SUM(T1335:Y1335),IF(MONTH(TODAY())=8,SUM(T1335:Z1335),IF(MONTH(TODAY())=9,SUM(T1335:AA1335),IF(MONTH(TODAY())=10,SUM(T1335:AB1335),IF(MONTH(TODAY())=11,SUM(T1335:AC1335),IF(MONTH(TODAY())=12,SUM(T1335:AD1335),IF(MONTH(TODAY())=1,SUM(T1335:AE1335),T1335)))))))))))</f>
        <v>0</v>
      </c>
      <c r="AT1335" s="95">
        <f t="shared" ref="AT1335:AT1339" si="1581">SUM(IF(AW1335&lt;1.15,AG1335,1.15*T1335),IF(AX1335&lt;1.15,AH1335,1.15*U1335),IF(AY1335&lt;1.15,AI1335,1.15*V1335),IF(AZ1335&lt;1.15,AJ1335,1.15*W1335),IF(BA1335&lt;1.15,AK1335,1.15*X1335),IF(BB1335&lt;1.15,AL1335,1.15*Y1335),IF(BC1335&lt;1.15,AM1335,1.15*Z1335),IF(BD1335&lt;1.15,AN1335,1.15*AA1335),IF(BE1335&lt;1.15,AO1335,1.15*AB1335),IF(BF1335&lt;1.15,AP1335,1.15*AC1335),IF(BG1335&lt;1.15,AQ1335,1.15*AD1335),IF(BH1335&lt;1.15,AR1335,1.15*AE1335))</f>
        <v>0</v>
      </c>
      <c r="AU1335" s="97">
        <f t="shared" ref="AU1335:AU1339" si="1582">SUM(AG1335:AR1335)</f>
        <v>0</v>
      </c>
      <c r="AW1335" s="83">
        <f t="shared" ref="AW1335:AW1339" si="1583">AG1335</f>
        <v>0</v>
      </c>
      <c r="AX1335" s="83">
        <f t="shared" ref="AX1335:AX1339" si="1584">AH1335</f>
        <v>0</v>
      </c>
      <c r="AY1335" s="83">
        <f t="shared" ref="AY1335:AY1339" si="1585">AI1335</f>
        <v>0</v>
      </c>
      <c r="AZ1335" s="83">
        <f t="shared" ref="AZ1335:AZ1339" si="1586">AJ1335</f>
        <v>0</v>
      </c>
      <c r="BA1335" s="52"/>
      <c r="BB1335" s="52"/>
      <c r="BC1335" s="52"/>
      <c r="BD1335" s="52"/>
      <c r="BE1335" s="52"/>
      <c r="BF1335" s="52"/>
      <c r="BG1335" s="52"/>
      <c r="BH1335" s="52"/>
      <c r="BI1335" s="65" cm="1">
        <f t="array" ref="BI1335">IFERROR(INDEX(AW1335:BH1335,1,MATCH(2,1/(AW1335:BH1335&lt;&gt;""))),"")</f>
        <v>0</v>
      </c>
      <c r="BJ1335" s="68" cm="1">
        <f t="array" ref="BJ1335">IF(BM1335 = "", "",IFERROR(INDEX(AW1335:BH1335,1,MATCH(2,1/(AW1335:BH1335&lt;&gt;""),1)-1),""))</f>
        <v>0</v>
      </c>
      <c r="BK1335" s="58">
        <f>IF((IF(AW1335&gt;=115%,115%,AW1335) + IF(AX1335&gt;=115%,115%,AX1335) + IF(AY1335&gt;=115%,115%,AY1335) + (IF(AZ1335&gt;=115%,115%,AZ1335) + IF(BA1335&gt;=115%,115%,BA1335) + IF(BB1335&gt;=115%,115%,BB1335) + IF(BC1335&gt;=115%,115%,BC1335) + IF(BD1335&gt;=115%,115%,BD1335) + IF(BE1335&gt;=115%,115%,BE1335) + IF(BF1335&gt;=115%,115%,BF1335) + IF(BG1335&gt;=115%,115%,BG1335) + IF(BH1335&gt;=115%,115%,BH1335)))/_xlfn.XLOOKUP(F1335,Apuração!A:A,Apuração!B:B)&gt;=1.15,1.15,((IF(AZ1335&gt;=115%,115%,AZ1335) + IF(AX1335&gt;=115%,115%,AX1335) + IF(AY1335&gt;=115%,115%,AY1335) + (IF(AW1335&gt;=115%,115%,AW1335) + IF(BA1335&gt;=115%,115%,BA1335) + IF(BB1335&gt;=115%,115%,BB1335) + IF(BC1335&gt;=115%,115%,BC1335) + IF(BD1335&gt;=115%,115%,BD1335) + IF(BE1335&gt;=115%,115%,BE1335) + IF(BF1335&gt;=115%,115%,BF1335) + IF(BG1335&gt;=115%,115%,BG1335) + IF(BH1335&gt;=115%,115%,BH1335)))/_xlfn.XLOOKUP(F1335,Apuração!A:A,Apuração!B:B)))</f>
        <v>0</v>
      </c>
      <c r="BL1335" s="58" cm="1">
        <f t="array" aca="1" ref="BL1335" ca="1">IF(SUM(IFERROR(IF(INDEX(AW1335:INDEX(AW1335:BH1335, MATCH(2, 1/(AW1335:BH1335&lt;&gt;""), 1)-1), ROW(INDIRECT("1:" &amp; MATCH(2, 1/(AW1335:BH1335&lt;&gt;""), 1)-1))) &gt;= 115%, 115%, INDEX(AW1335:INDEX(AW1335:BH1335, MATCH(2, 1/(AW1335:BH1335&lt;&gt;""), 1)-1), ROW(INDIRECT("1:" &amp; MATCH(2, 1/(AW1335:BH1335&lt;&gt;""), 1)-1)))), 0))/_xlfn.XLOOKUP(F1335,Apuração!A:A,Apuração!B:B)&gt;=1.15,1.15,SUM(IFERROR(IF(INDEX(AW1335:INDEX(AW1335:BH1335, MATCH(2, 1/(AW1335:BH1335&lt;&gt;""), 1)-1), ROW(INDIRECT("1:" &amp; MATCH(2, 1/(AW1335:BH1335&lt;&gt;""), 1)-1))) &gt;= 115%, 115%, INDEX(AW1335:INDEX(AW1335:BH1335, MATCH(2, 1/(AW1335:BH1335&lt;&gt;""), 1)-1), ROW(INDIRECT("1:" &amp; MATCH(2, 1/(AW1335:BH1335&lt;&gt;""), 1)-1)))), 0))/_xlfn.XLOOKUP(F1335,Apuração!A:A,Apuração!B:B))</f>
        <v>0</v>
      </c>
      <c r="BM1335" s="55" cm="1">
        <f t="array" ref="BM1335">IFERROR(
   INDEX($AW$1:$BH$1,
      _xlfn.AGGREGATE(14, 6, COLUMN($AW$1:$BH$1)/(AW1335:BH1335&lt;&gt;""), 2) - COLUMN($AW$1) + 1
   ),
"")</f>
        <v>46082</v>
      </c>
      <c r="BN1335" s="55" cm="1">
        <f t="array" ref="BN1335">IFERROR(INDEX($AW$1:$BH$1,1,MATCH(2,1/(AW1335:BH1335&lt;&gt;""))),"")</f>
        <v>46113</v>
      </c>
      <c r="BO1335" s="53">
        <f ca="1">IFERROR(_xlfn.XLOOKUP(F1335,Apuração!A:A,Apuração!C:C)/_xlfn.XLOOKUP(F1335,Apuração!A:A,Apuração!B:B),0)</f>
        <v>0</v>
      </c>
      <c r="BP1335" s="53">
        <f ca="1">IFERROR(_xlfn.XLOOKUP(F1335,Apuração!A:A,Apuração!D:D)/_xlfn.XLOOKUP(F1335,Apuração!A:A,Apuração!B:B),0)</f>
        <v>0</v>
      </c>
      <c r="BQ1335" s="53">
        <f ca="1">IF(BK1335&gt;=BO1335,0,_xlfn.XLOOKUP(F1335,Apuração!A:A,Apuração!B:B)*(BO1335 + (1/_xlfn.XLOOKUP(F1335,Apuração!A:A,Apuração!B:B)) - BK1335))</f>
        <v>0</v>
      </c>
      <c r="BR1335" s="85">
        <f t="shared" ref="BR1335:BR1339" ca="1" si="1587">IF(BQ1335=0,0,BQ1335*Z1335)</f>
        <v>0</v>
      </c>
      <c r="BS1335" s="53">
        <f ca="1">IFERROR((_xlfn.XLOOKUP(F1335,Apuração!A:A,Apuração!C:C)+1)/_xlfn.XLOOKUP(F1335,Apuração!A:A,Apuração!B:B),0)</f>
        <v>0.14285714285714285</v>
      </c>
    </row>
    <row r="1336" spans="1:71" ht="25.95" hidden="1" customHeight="1" x14ac:dyDescent="0.3">
      <c r="A1336" s="42" t="s">
        <v>134</v>
      </c>
      <c r="B1336" s="4" t="s">
        <v>158</v>
      </c>
      <c r="C1336" s="5" t="s">
        <v>209</v>
      </c>
      <c r="D1336" s="5" t="s">
        <v>47</v>
      </c>
      <c r="E1336" s="4" t="str" cm="1">
        <f t="array" ref="E1336">_xlfn.IFS(
F1336 = "A partir de Abril", "Aguardando Execução na Distribuidora",
A1336 = "CAPACITAÇÃO", "Em execução no Corporativo",
TRUE, "Em Execução na Distribuidora"
)</f>
        <v>Em Execução na Distribuidora</v>
      </c>
      <c r="F1336" s="4" t="str" cm="1">
        <f t="array" ref="F1336">_xlfn.IFS(
AG1336 &lt;&gt; "", "Jan-Dez/26",
AH1336 &lt;&gt; "", "Fev-Dez/26",
AI1336 &lt;&gt; "", "Mar-Dez/26", AJ1336 &lt;&gt; "", "Abr-Dez/26",
TRUE, "A partir de Junho"
)</f>
        <v>A partir de Junho</v>
      </c>
      <c r="G1336" s="4" t="s">
        <v>37</v>
      </c>
      <c r="H1336" s="7" t="s">
        <v>54</v>
      </c>
      <c r="I1336" s="8" t="s">
        <v>163</v>
      </c>
      <c r="J1336" s="8" t="str" cm="1">
        <f t="array" aca="1" ref="J1336" ca="1">_xlfn.LET(
  _xlpm.actual_value_month, INDEX(T1336:AE1336, MATCH(DATE(YEAR(TODAY()), MONTH(TODAY()), 1), $T$1:$AE$1, 0)),
  IF(_xlpm.actual_value_month &lt;&gt; "",_xlpm.actual_value_month &amp; " ações mensais", "")
)</f>
        <v/>
      </c>
      <c r="K1336" s="8" t="str" cm="1">
        <f t="array" ref="K1336">_xlfn.LET(
    _xlpm.sum_month, SUM(T1336:AE1336),
    IF(_xlpm.sum_month = 0, "", _xlpm.sum_month &amp; " DSS no ano")
)</f>
        <v/>
      </c>
      <c r="L1336" s="9" t="s">
        <v>164</v>
      </c>
      <c r="M1336" s="24">
        <v>1</v>
      </c>
      <c r="N1336" s="5" t="s">
        <v>51</v>
      </c>
      <c r="O1336" s="111" t="s">
        <v>52</v>
      </c>
      <c r="P1336" s="10" t="s">
        <v>146</v>
      </c>
      <c r="Q1336" s="10" t="s">
        <v>72</v>
      </c>
      <c r="R1336" s="11" t="s">
        <v>147</v>
      </c>
      <c r="S1336" s="11" t="s">
        <v>162</v>
      </c>
      <c r="T1336" s="22"/>
      <c r="U1336" s="22"/>
      <c r="V1336" s="22"/>
      <c r="W1336" s="22"/>
      <c r="X1336" s="22"/>
      <c r="Y1336" s="22"/>
      <c r="Z1336" s="22"/>
      <c r="AA1336" s="22"/>
      <c r="AB1336" s="22"/>
      <c r="AC1336" s="22"/>
      <c r="AD1336" s="22"/>
      <c r="AE1336" s="22"/>
      <c r="AG1336" s="71"/>
      <c r="AH1336" s="71"/>
      <c r="AI1336" s="71"/>
      <c r="AJ1336" s="71"/>
      <c r="AK1336" s="71"/>
      <c r="AL1336" s="71"/>
      <c r="AM1336" s="71"/>
      <c r="AN1336" s="71"/>
      <c r="AO1336" s="71"/>
      <c r="AP1336" s="71"/>
      <c r="AQ1336" s="71"/>
      <c r="AR1336" s="71"/>
      <c r="AS1336" s="94">
        <f t="shared" ca="1" si="1580"/>
        <v>0</v>
      </c>
      <c r="AT1336" s="95">
        <f t="shared" si="1581"/>
        <v>0</v>
      </c>
      <c r="AU1336" s="97">
        <f t="shared" si="1582"/>
        <v>0</v>
      </c>
      <c r="AW1336" s="83">
        <f t="shared" si="1583"/>
        <v>0</v>
      </c>
      <c r="AX1336" s="83">
        <f t="shared" si="1584"/>
        <v>0</v>
      </c>
      <c r="AY1336" s="83">
        <f t="shared" si="1585"/>
        <v>0</v>
      </c>
      <c r="AZ1336" s="83">
        <f t="shared" si="1586"/>
        <v>0</v>
      </c>
      <c r="BA1336" s="52"/>
      <c r="BB1336" s="52"/>
      <c r="BC1336" s="52"/>
      <c r="BD1336" s="52"/>
      <c r="BE1336" s="52"/>
      <c r="BF1336" s="52"/>
      <c r="BG1336" s="52"/>
      <c r="BH1336" s="52"/>
      <c r="BI1336" s="65" cm="1">
        <f t="array" ref="BI1336">IFERROR(INDEX(AW1336:BH1336,1,MATCH(2,1/(AW1336:BH1336&lt;&gt;""))),"")</f>
        <v>0</v>
      </c>
      <c r="BJ1336" s="68" cm="1">
        <f t="array" ref="BJ1336">IF(BM1336 = "", "",IFERROR(INDEX(AW1336:BH1336,1,MATCH(2,1/(AW1336:BH1336&lt;&gt;""),1)-1),""))</f>
        <v>0</v>
      </c>
      <c r="BK1336" s="58">
        <f>IF((IF(AW1336&gt;=115%,115%,AW1336) + IF(AX1336&gt;=115%,115%,AX1336) + IF(AY1336&gt;=115%,115%,AY1336) + (IF(AZ1336&gt;=115%,115%,AZ1336) + IF(BA1336&gt;=115%,115%,BA1336) + IF(BB1336&gt;=115%,115%,BB1336) + IF(BC1336&gt;=115%,115%,BC1336) + IF(BD1336&gt;=115%,115%,BD1336) + IF(BE1336&gt;=115%,115%,BE1336) + IF(BF1336&gt;=115%,115%,BF1336) + IF(BG1336&gt;=115%,115%,BG1336) + IF(BH1336&gt;=115%,115%,BH1336)))/_xlfn.XLOOKUP(F1336,Apuração!A:A,Apuração!B:B)&gt;=1.15,1.15,((IF(AZ1336&gt;=115%,115%,AZ1336) + IF(AX1336&gt;=115%,115%,AX1336) + IF(AY1336&gt;=115%,115%,AY1336) + (IF(AW1336&gt;=115%,115%,AW1336) + IF(BA1336&gt;=115%,115%,BA1336) + IF(BB1336&gt;=115%,115%,BB1336) + IF(BC1336&gt;=115%,115%,BC1336) + IF(BD1336&gt;=115%,115%,BD1336) + IF(BE1336&gt;=115%,115%,BE1336) + IF(BF1336&gt;=115%,115%,BF1336) + IF(BG1336&gt;=115%,115%,BG1336) + IF(BH1336&gt;=115%,115%,BH1336)))/_xlfn.XLOOKUP(F1336,Apuração!A:A,Apuração!B:B)))</f>
        <v>0</v>
      </c>
      <c r="BL1336" s="58" cm="1">
        <f t="array" aca="1" ref="BL1336" ca="1">IF(SUM(IFERROR(IF(INDEX(AW1336:INDEX(AW1336:BH1336, MATCH(2, 1/(AW1336:BH1336&lt;&gt;""), 1)-1), ROW(INDIRECT("1:" &amp; MATCH(2, 1/(AW1336:BH1336&lt;&gt;""), 1)-1))) &gt;= 115%, 115%, INDEX(AW1336:INDEX(AW1336:BH1336, MATCH(2, 1/(AW1336:BH1336&lt;&gt;""), 1)-1), ROW(INDIRECT("1:" &amp; MATCH(2, 1/(AW1336:BH1336&lt;&gt;""), 1)-1)))), 0))/_xlfn.XLOOKUP(F1336,Apuração!A:A,Apuração!B:B)&gt;=1.15,1.15,SUM(IFERROR(IF(INDEX(AW1336:INDEX(AW1336:BH1336, MATCH(2, 1/(AW1336:BH1336&lt;&gt;""), 1)-1), ROW(INDIRECT("1:" &amp; MATCH(2, 1/(AW1336:BH1336&lt;&gt;""), 1)-1))) &gt;= 115%, 115%, INDEX(AW1336:INDEX(AW1336:BH1336, MATCH(2, 1/(AW1336:BH1336&lt;&gt;""), 1)-1), ROW(INDIRECT("1:" &amp; MATCH(2, 1/(AW1336:BH1336&lt;&gt;""), 1)-1)))), 0))/_xlfn.XLOOKUP(F1336,Apuração!A:A,Apuração!B:B))</f>
        <v>0</v>
      </c>
      <c r="BM1336" s="55" cm="1">
        <f t="array" ref="BM1336">IFERROR(
   INDEX($AW$1:$BH$1,
      _xlfn.AGGREGATE(14, 6, COLUMN($AW$1:$BH$1)/(AW1336:BH1336&lt;&gt;""), 2) - COLUMN($AW$1) + 1
   ),
"")</f>
        <v>46082</v>
      </c>
      <c r="BN1336" s="55" cm="1">
        <f t="array" ref="BN1336">IFERROR(INDEX($AW$1:$BH$1,1,MATCH(2,1/(AW1336:BH1336&lt;&gt;""))),"")</f>
        <v>46113</v>
      </c>
      <c r="BO1336" s="53">
        <f ca="1">IFERROR(_xlfn.XLOOKUP(F1336,Apuração!A:A,Apuração!C:C)/_xlfn.XLOOKUP(F1336,Apuração!A:A,Apuração!B:B),0)</f>
        <v>0</v>
      </c>
      <c r="BP1336" s="53">
        <f ca="1">IFERROR(_xlfn.XLOOKUP(F1336,Apuração!A:A,Apuração!D:D)/_xlfn.XLOOKUP(F1336,Apuração!A:A,Apuração!B:B),0)</f>
        <v>0</v>
      </c>
      <c r="BQ1336" s="53">
        <f ca="1">IF(BK1336&gt;=BO1336,0,_xlfn.XLOOKUP(F1336,Apuração!A:A,Apuração!B:B)*(BO1336 + (1/_xlfn.XLOOKUP(F1336,Apuração!A:A,Apuração!B:B)) - BK1336))</f>
        <v>0</v>
      </c>
      <c r="BR1336" s="85">
        <f t="shared" ca="1" si="1587"/>
        <v>0</v>
      </c>
      <c r="BS1336" s="53">
        <f ca="1">IFERROR((_xlfn.XLOOKUP(F1336,Apuração!A:A,Apuração!C:C)+1)/_xlfn.XLOOKUP(F1336,Apuração!A:A,Apuração!B:B),0)</f>
        <v>0.14285714285714285</v>
      </c>
    </row>
    <row r="1337" spans="1:71" ht="25.95" hidden="1" customHeight="1" x14ac:dyDescent="0.3">
      <c r="A1337" s="42" t="s">
        <v>134</v>
      </c>
      <c r="B1337" s="4" t="s">
        <v>158</v>
      </c>
      <c r="C1337" s="5" t="s">
        <v>209</v>
      </c>
      <c r="D1337" s="5" t="s">
        <v>211</v>
      </c>
      <c r="E1337" s="4" t="str" cm="1">
        <f t="array" ref="E1337">_xlfn.IFS(
F1337 = "A partir de Abril", "Aguardando Execução na Distribuidora",
A1337 = "CAPACITAÇÃO", "Em execução no Corporativo",
TRUE, "Em Execução na Distribuidora"
)</f>
        <v>Em Execução na Distribuidora</v>
      </c>
      <c r="F1337" s="4" t="str" cm="1">
        <f t="array" ref="F1337">_xlfn.IFS(
AG1337 &lt;&gt; "", "Jan-Dez/26",
AH1337 &lt;&gt; "", "Fev-Dez/26",
AI1337 &lt;&gt; "", "Mar-Dez/26", AJ1337 &lt;&gt; "", "Abr-Dez/26",
TRUE, "A partir de Junho"
)</f>
        <v>A partir de Junho</v>
      </c>
      <c r="G1337" s="4" t="s">
        <v>37</v>
      </c>
      <c r="H1337" s="7" t="s">
        <v>54</v>
      </c>
      <c r="I1337" s="8" t="s">
        <v>163</v>
      </c>
      <c r="J1337" s="8" t="str" cm="1">
        <f t="array" aca="1" ref="J1337" ca="1">_xlfn.LET(
  _xlpm.actual_value_month, INDEX(T1337:AE1337, MATCH(DATE(YEAR(TODAY()), MONTH(TODAY()), 1), $T$1:$AE$1, 0)),
  IF(_xlpm.actual_value_month &lt;&gt; "",_xlpm.actual_value_month &amp; " ações mensais", "")
)</f>
        <v/>
      </c>
      <c r="K1337" s="8" t="str" cm="1">
        <f t="array" ref="K1337">_xlfn.LET(
    _xlpm.sum_month, SUM(T1337:AE1337),
    IF(_xlpm.sum_month = 0, "", _xlpm.sum_month &amp; " DSS no ano")
)</f>
        <v/>
      </c>
      <c r="L1337" s="9" t="s">
        <v>164</v>
      </c>
      <c r="M1337" s="24">
        <v>1</v>
      </c>
      <c r="N1337" s="5" t="s">
        <v>51</v>
      </c>
      <c r="O1337" s="111" t="s">
        <v>52</v>
      </c>
      <c r="P1337" s="10" t="s">
        <v>146</v>
      </c>
      <c r="Q1337" s="10" t="s">
        <v>72</v>
      </c>
      <c r="R1337" s="11" t="s">
        <v>147</v>
      </c>
      <c r="S1337" s="11" t="s">
        <v>162</v>
      </c>
      <c r="T1337" s="22"/>
      <c r="U1337" s="22"/>
      <c r="V1337" s="22"/>
      <c r="W1337" s="22"/>
      <c r="X1337" s="22"/>
      <c r="Y1337" s="22"/>
      <c r="Z1337" s="22"/>
      <c r="AA1337" s="22"/>
      <c r="AB1337" s="22"/>
      <c r="AC1337" s="22"/>
      <c r="AD1337" s="22"/>
      <c r="AE1337" s="22"/>
      <c r="AG1337" s="71"/>
      <c r="AH1337" s="71"/>
      <c r="AI1337" s="71"/>
      <c r="AJ1337" s="71"/>
      <c r="AK1337" s="71"/>
      <c r="AL1337" s="71"/>
      <c r="AM1337" s="71"/>
      <c r="AN1337" s="71"/>
      <c r="AO1337" s="71"/>
      <c r="AP1337" s="71"/>
      <c r="AQ1337" s="71"/>
      <c r="AR1337" s="71"/>
      <c r="AS1337" s="94">
        <f t="shared" ca="1" si="1580"/>
        <v>0</v>
      </c>
      <c r="AT1337" s="95">
        <f t="shared" si="1581"/>
        <v>0</v>
      </c>
      <c r="AU1337" s="97">
        <f t="shared" si="1582"/>
        <v>0</v>
      </c>
      <c r="AW1337" s="83">
        <f t="shared" si="1583"/>
        <v>0</v>
      </c>
      <c r="AX1337" s="83">
        <f t="shared" si="1584"/>
        <v>0</v>
      </c>
      <c r="AY1337" s="83">
        <f t="shared" si="1585"/>
        <v>0</v>
      </c>
      <c r="AZ1337" s="83">
        <f t="shared" si="1586"/>
        <v>0</v>
      </c>
      <c r="BA1337" s="52"/>
      <c r="BB1337" s="52"/>
      <c r="BC1337" s="52"/>
      <c r="BD1337" s="52"/>
      <c r="BE1337" s="52"/>
      <c r="BF1337" s="52"/>
      <c r="BG1337" s="52"/>
      <c r="BH1337" s="52"/>
      <c r="BI1337" s="65" cm="1">
        <f t="array" ref="BI1337">IFERROR(INDEX(AW1337:BH1337,1,MATCH(2,1/(AW1337:BH1337&lt;&gt;""))),"")</f>
        <v>0</v>
      </c>
      <c r="BJ1337" s="68" cm="1">
        <f t="array" ref="BJ1337">IF(BM1337 = "", "",IFERROR(INDEX(AW1337:BH1337,1,MATCH(2,1/(AW1337:BH1337&lt;&gt;""),1)-1),""))</f>
        <v>0</v>
      </c>
      <c r="BK1337" s="58">
        <f>IF((IF(AW1337&gt;=115%,115%,AW1337) + IF(AX1337&gt;=115%,115%,AX1337) + IF(AY1337&gt;=115%,115%,AY1337) + (IF(AZ1337&gt;=115%,115%,AZ1337) + IF(BA1337&gt;=115%,115%,BA1337) + IF(BB1337&gt;=115%,115%,BB1337) + IF(BC1337&gt;=115%,115%,BC1337) + IF(BD1337&gt;=115%,115%,BD1337) + IF(BE1337&gt;=115%,115%,BE1337) + IF(BF1337&gt;=115%,115%,BF1337) + IF(BG1337&gt;=115%,115%,BG1337) + IF(BH1337&gt;=115%,115%,BH1337)))/_xlfn.XLOOKUP(F1337,Apuração!A:A,Apuração!B:B)&gt;=1.15,1.15,((IF(AZ1337&gt;=115%,115%,AZ1337) + IF(AX1337&gt;=115%,115%,AX1337) + IF(AY1337&gt;=115%,115%,AY1337) + (IF(AW1337&gt;=115%,115%,AW1337) + IF(BA1337&gt;=115%,115%,BA1337) + IF(BB1337&gt;=115%,115%,BB1337) + IF(BC1337&gt;=115%,115%,BC1337) + IF(BD1337&gt;=115%,115%,BD1337) + IF(BE1337&gt;=115%,115%,BE1337) + IF(BF1337&gt;=115%,115%,BF1337) + IF(BG1337&gt;=115%,115%,BG1337) + IF(BH1337&gt;=115%,115%,BH1337)))/_xlfn.XLOOKUP(F1337,Apuração!A:A,Apuração!B:B)))</f>
        <v>0</v>
      </c>
      <c r="BL1337" s="58" cm="1">
        <f t="array" aca="1" ref="BL1337" ca="1">IF(SUM(IFERROR(IF(INDEX(AW1337:INDEX(AW1337:BH1337, MATCH(2, 1/(AW1337:BH1337&lt;&gt;""), 1)-1), ROW(INDIRECT("1:" &amp; MATCH(2, 1/(AW1337:BH1337&lt;&gt;""), 1)-1))) &gt;= 115%, 115%, INDEX(AW1337:INDEX(AW1337:BH1337, MATCH(2, 1/(AW1337:BH1337&lt;&gt;""), 1)-1), ROW(INDIRECT("1:" &amp; MATCH(2, 1/(AW1337:BH1337&lt;&gt;""), 1)-1)))), 0))/_xlfn.XLOOKUP(F1337,Apuração!A:A,Apuração!B:B)&gt;=1.15,1.15,SUM(IFERROR(IF(INDEX(AW1337:INDEX(AW1337:BH1337, MATCH(2, 1/(AW1337:BH1337&lt;&gt;""), 1)-1), ROW(INDIRECT("1:" &amp; MATCH(2, 1/(AW1337:BH1337&lt;&gt;""), 1)-1))) &gt;= 115%, 115%, INDEX(AW1337:INDEX(AW1337:BH1337, MATCH(2, 1/(AW1337:BH1337&lt;&gt;""), 1)-1), ROW(INDIRECT("1:" &amp; MATCH(2, 1/(AW1337:BH1337&lt;&gt;""), 1)-1)))), 0))/_xlfn.XLOOKUP(F1337,Apuração!A:A,Apuração!B:B))</f>
        <v>0</v>
      </c>
      <c r="BM1337" s="55" cm="1">
        <f t="array" ref="BM1337">IFERROR(
   INDEX($AW$1:$BH$1,
      _xlfn.AGGREGATE(14, 6, COLUMN($AW$1:$BH$1)/(AW1337:BH1337&lt;&gt;""), 2) - COLUMN($AW$1) + 1
   ),
"")</f>
        <v>46082</v>
      </c>
      <c r="BN1337" s="55" cm="1">
        <f t="array" ref="BN1337">IFERROR(INDEX($AW$1:$BH$1,1,MATCH(2,1/(AW1337:BH1337&lt;&gt;""))),"")</f>
        <v>46113</v>
      </c>
      <c r="BO1337" s="53">
        <f ca="1">IFERROR(_xlfn.XLOOKUP(F1337,Apuração!A:A,Apuração!C:C)/_xlfn.XLOOKUP(F1337,Apuração!A:A,Apuração!B:B),0)</f>
        <v>0</v>
      </c>
      <c r="BP1337" s="53">
        <f ca="1">IFERROR(_xlfn.XLOOKUP(F1337,Apuração!A:A,Apuração!D:D)/_xlfn.XLOOKUP(F1337,Apuração!A:A,Apuração!B:B),0)</f>
        <v>0</v>
      </c>
      <c r="BQ1337" s="53">
        <f ca="1">IF(BK1337&gt;=BO1337,0,_xlfn.XLOOKUP(F1337,Apuração!A:A,Apuração!B:B)*(BO1337 + (1/_xlfn.XLOOKUP(F1337,Apuração!A:A,Apuração!B:B)) - BK1337))</f>
        <v>0</v>
      </c>
      <c r="BR1337" s="85">
        <f t="shared" ca="1" si="1587"/>
        <v>0</v>
      </c>
      <c r="BS1337" s="53">
        <f ca="1">IFERROR((_xlfn.XLOOKUP(F1337,Apuração!A:A,Apuração!C:C)+1)/_xlfn.XLOOKUP(F1337,Apuração!A:A,Apuração!B:B),0)</f>
        <v>0.14285714285714285</v>
      </c>
    </row>
    <row r="1338" spans="1:71" ht="25.95" hidden="1" customHeight="1" x14ac:dyDescent="0.3">
      <c r="A1338" s="42" t="s">
        <v>134</v>
      </c>
      <c r="B1338" s="4" t="s">
        <v>158</v>
      </c>
      <c r="C1338" s="5" t="s">
        <v>209</v>
      </c>
      <c r="D1338" s="5" t="s">
        <v>212</v>
      </c>
      <c r="E1338" s="4" t="str" cm="1">
        <f t="array" ref="E1338">_xlfn.IFS(
F1338 = "A partir de Abril", "Aguardando Execução na Distribuidora",
A1338 = "CAPACITAÇÃO", "Em execução no Corporativo",
TRUE, "Em Execução na Distribuidora"
)</f>
        <v>Em Execução na Distribuidora</v>
      </c>
      <c r="F1338" s="4" t="str" cm="1">
        <f t="array" ref="F1338">_xlfn.IFS(
AG1338 &lt;&gt; "", "Jan-Dez/26",
AH1338 &lt;&gt; "", "Fev-Dez/26",
AI1338 &lt;&gt; "", "Mar-Dez/26", AJ1338 &lt;&gt; "", "Abr-Dez/26",
TRUE, "A partir de Junho"
)</f>
        <v>A partir de Junho</v>
      </c>
      <c r="G1338" s="4" t="s">
        <v>37</v>
      </c>
      <c r="H1338" s="7" t="s">
        <v>54</v>
      </c>
      <c r="I1338" s="8" t="s">
        <v>163</v>
      </c>
      <c r="J1338" s="8" t="str" cm="1">
        <f t="array" aca="1" ref="J1338" ca="1">_xlfn.LET(
  _xlpm.actual_value_month, INDEX(T1338:AE1338, MATCH(DATE(YEAR(TODAY()), MONTH(TODAY()), 1), $T$1:$AE$1, 0)),
  IF(_xlpm.actual_value_month &lt;&gt; "",_xlpm.actual_value_month &amp; " ações mensais", "")
)</f>
        <v/>
      </c>
      <c r="K1338" s="8" t="str" cm="1">
        <f t="array" ref="K1338">_xlfn.LET(
    _xlpm.sum_month, SUM(T1338:AE1338),
    IF(_xlpm.sum_month = 0, "", _xlpm.sum_month &amp; " DSS no ano")
)</f>
        <v/>
      </c>
      <c r="L1338" s="9" t="s">
        <v>164</v>
      </c>
      <c r="M1338" s="24">
        <v>1</v>
      </c>
      <c r="N1338" s="5" t="s">
        <v>51</v>
      </c>
      <c r="O1338" s="111" t="s">
        <v>52</v>
      </c>
      <c r="P1338" s="10" t="s">
        <v>146</v>
      </c>
      <c r="Q1338" s="10" t="s">
        <v>72</v>
      </c>
      <c r="R1338" s="11" t="s">
        <v>147</v>
      </c>
      <c r="S1338" s="11" t="s">
        <v>162</v>
      </c>
      <c r="T1338" s="22"/>
      <c r="U1338" s="22"/>
      <c r="V1338" s="22"/>
      <c r="W1338" s="22"/>
      <c r="X1338" s="22"/>
      <c r="Y1338" s="22"/>
      <c r="Z1338" s="22"/>
      <c r="AA1338" s="22"/>
      <c r="AB1338" s="22"/>
      <c r="AC1338" s="22"/>
      <c r="AD1338" s="22"/>
      <c r="AE1338" s="22"/>
      <c r="AG1338" s="71"/>
      <c r="AH1338" s="71"/>
      <c r="AI1338" s="71"/>
      <c r="AJ1338" s="71"/>
      <c r="AK1338" s="71"/>
      <c r="AL1338" s="71"/>
      <c r="AM1338" s="71"/>
      <c r="AN1338" s="71"/>
      <c r="AO1338" s="71"/>
      <c r="AP1338" s="71"/>
      <c r="AQ1338" s="71"/>
      <c r="AR1338" s="71"/>
      <c r="AS1338" s="94">
        <f t="shared" ca="1" si="1580"/>
        <v>0</v>
      </c>
      <c r="AT1338" s="95">
        <f t="shared" si="1581"/>
        <v>0</v>
      </c>
      <c r="AU1338" s="97">
        <f t="shared" si="1582"/>
        <v>0</v>
      </c>
      <c r="AW1338" s="83">
        <f t="shared" si="1583"/>
        <v>0</v>
      </c>
      <c r="AX1338" s="83">
        <f t="shared" si="1584"/>
        <v>0</v>
      </c>
      <c r="AY1338" s="83">
        <f t="shared" si="1585"/>
        <v>0</v>
      </c>
      <c r="AZ1338" s="83">
        <f t="shared" si="1586"/>
        <v>0</v>
      </c>
      <c r="BA1338" s="52"/>
      <c r="BB1338" s="52"/>
      <c r="BC1338" s="52"/>
      <c r="BD1338" s="52"/>
      <c r="BE1338" s="52"/>
      <c r="BF1338" s="52"/>
      <c r="BG1338" s="52"/>
      <c r="BH1338" s="52"/>
      <c r="BI1338" s="65" cm="1">
        <f t="array" ref="BI1338">IFERROR(INDEX(AW1338:BH1338,1,MATCH(2,1/(AW1338:BH1338&lt;&gt;""))),"")</f>
        <v>0</v>
      </c>
      <c r="BJ1338" s="68" cm="1">
        <f t="array" ref="BJ1338">IF(BM1338 = "", "",IFERROR(INDEX(AW1338:BH1338,1,MATCH(2,1/(AW1338:BH1338&lt;&gt;""),1)-1),""))</f>
        <v>0</v>
      </c>
      <c r="BK1338" s="58">
        <f>IF((IF(AW1338&gt;=115%,115%,AW1338) + IF(AX1338&gt;=115%,115%,AX1338) + IF(AY1338&gt;=115%,115%,AY1338) + (IF(AZ1338&gt;=115%,115%,AZ1338) + IF(BA1338&gt;=115%,115%,BA1338) + IF(BB1338&gt;=115%,115%,BB1338) + IF(BC1338&gt;=115%,115%,BC1338) + IF(BD1338&gt;=115%,115%,BD1338) + IF(BE1338&gt;=115%,115%,BE1338) + IF(BF1338&gt;=115%,115%,BF1338) + IF(BG1338&gt;=115%,115%,BG1338) + IF(BH1338&gt;=115%,115%,BH1338)))/_xlfn.XLOOKUP(F1338,Apuração!A:A,Apuração!B:B)&gt;=1.15,1.15,((IF(AZ1338&gt;=115%,115%,AZ1338) + IF(AX1338&gt;=115%,115%,AX1338) + IF(AY1338&gt;=115%,115%,AY1338) + (IF(AW1338&gt;=115%,115%,AW1338) + IF(BA1338&gt;=115%,115%,BA1338) + IF(BB1338&gt;=115%,115%,BB1338) + IF(BC1338&gt;=115%,115%,BC1338) + IF(BD1338&gt;=115%,115%,BD1338) + IF(BE1338&gt;=115%,115%,BE1338) + IF(BF1338&gt;=115%,115%,BF1338) + IF(BG1338&gt;=115%,115%,BG1338) + IF(BH1338&gt;=115%,115%,BH1338)))/_xlfn.XLOOKUP(F1338,Apuração!A:A,Apuração!B:B)))</f>
        <v>0</v>
      </c>
      <c r="BL1338" s="58" cm="1">
        <f t="array" aca="1" ref="BL1338" ca="1">IF(SUM(IFERROR(IF(INDEX(AW1338:INDEX(AW1338:BH1338, MATCH(2, 1/(AW1338:BH1338&lt;&gt;""), 1)-1), ROW(INDIRECT("1:" &amp; MATCH(2, 1/(AW1338:BH1338&lt;&gt;""), 1)-1))) &gt;= 115%, 115%, INDEX(AW1338:INDEX(AW1338:BH1338, MATCH(2, 1/(AW1338:BH1338&lt;&gt;""), 1)-1), ROW(INDIRECT("1:" &amp; MATCH(2, 1/(AW1338:BH1338&lt;&gt;""), 1)-1)))), 0))/_xlfn.XLOOKUP(F1338,Apuração!A:A,Apuração!B:B)&gt;=1.15,1.15,SUM(IFERROR(IF(INDEX(AW1338:INDEX(AW1338:BH1338, MATCH(2, 1/(AW1338:BH1338&lt;&gt;""), 1)-1), ROW(INDIRECT("1:" &amp; MATCH(2, 1/(AW1338:BH1338&lt;&gt;""), 1)-1))) &gt;= 115%, 115%, INDEX(AW1338:INDEX(AW1338:BH1338, MATCH(2, 1/(AW1338:BH1338&lt;&gt;""), 1)-1), ROW(INDIRECT("1:" &amp; MATCH(2, 1/(AW1338:BH1338&lt;&gt;""), 1)-1)))), 0))/_xlfn.XLOOKUP(F1338,Apuração!A:A,Apuração!B:B))</f>
        <v>0</v>
      </c>
      <c r="BM1338" s="55" cm="1">
        <f t="array" ref="BM1338">IFERROR(
   INDEX($AW$1:$BH$1,
      _xlfn.AGGREGATE(14, 6, COLUMN($AW$1:$BH$1)/(AW1338:BH1338&lt;&gt;""), 2) - COLUMN($AW$1) + 1
   ),
"")</f>
        <v>46082</v>
      </c>
      <c r="BN1338" s="55" cm="1">
        <f t="array" ref="BN1338">IFERROR(INDEX($AW$1:$BH$1,1,MATCH(2,1/(AW1338:BH1338&lt;&gt;""))),"")</f>
        <v>46113</v>
      </c>
      <c r="BO1338" s="53">
        <f ca="1">IFERROR(_xlfn.XLOOKUP(F1338,Apuração!A:A,Apuração!C:C)/_xlfn.XLOOKUP(F1338,Apuração!A:A,Apuração!B:B),0)</f>
        <v>0</v>
      </c>
      <c r="BP1338" s="53">
        <f ca="1">IFERROR(_xlfn.XLOOKUP(F1338,Apuração!A:A,Apuração!D:D)/_xlfn.XLOOKUP(F1338,Apuração!A:A,Apuração!B:B),0)</f>
        <v>0</v>
      </c>
      <c r="BQ1338" s="53">
        <f ca="1">IF(BK1338&gt;=BO1338,0,_xlfn.XLOOKUP(F1338,Apuração!A:A,Apuração!B:B)*(BO1338 + (1/_xlfn.XLOOKUP(F1338,Apuração!A:A,Apuração!B:B)) - BK1338))</f>
        <v>0</v>
      </c>
      <c r="BR1338" s="85">
        <f t="shared" ca="1" si="1587"/>
        <v>0</v>
      </c>
      <c r="BS1338" s="53">
        <f ca="1">IFERROR((_xlfn.XLOOKUP(F1338,Apuração!A:A,Apuração!C:C)+1)/_xlfn.XLOOKUP(F1338,Apuração!A:A,Apuração!B:B),0)</f>
        <v>0.14285714285714285</v>
      </c>
    </row>
    <row r="1339" spans="1:71" ht="25.95" hidden="1" customHeight="1" x14ac:dyDescent="0.3">
      <c r="A1339" s="42" t="s">
        <v>134</v>
      </c>
      <c r="B1339" s="4" t="s">
        <v>158</v>
      </c>
      <c r="C1339" s="5" t="s">
        <v>209</v>
      </c>
      <c r="D1339" s="5" t="s">
        <v>213</v>
      </c>
      <c r="E1339" s="4" t="str" cm="1">
        <f t="array" ref="E1339">_xlfn.IFS(
F1339 = "A partir de Abril", "Aguardando Execução na Distribuidora",
A1339 = "CAPACITAÇÃO", "Em execução no Corporativo",
TRUE, "Em Execução na Distribuidora"
)</f>
        <v>Em Execução na Distribuidora</v>
      </c>
      <c r="F1339" s="4" t="str" cm="1">
        <f t="array" ref="F1339">_xlfn.IFS(
AG1339 &lt;&gt; "", "Jan-Dez/26",
AH1339 &lt;&gt; "", "Fev-Dez/26",
AI1339 &lt;&gt; "", "Mar-Dez/26", AJ1339 &lt;&gt; "", "Abr-Dez/26",
TRUE, "A partir de Junho"
)</f>
        <v>A partir de Junho</v>
      </c>
      <c r="G1339" s="4" t="s">
        <v>37</v>
      </c>
      <c r="H1339" s="7" t="s">
        <v>54</v>
      </c>
      <c r="I1339" s="8" t="s">
        <v>163</v>
      </c>
      <c r="J1339" s="8" t="str" cm="1">
        <f t="array" aca="1" ref="J1339" ca="1">_xlfn.LET(
  _xlpm.actual_value_month, INDEX(T1339:AE1339, MATCH(DATE(YEAR(TODAY()), MONTH(TODAY()), 1), $T$1:$AE$1, 0)),
  IF(_xlpm.actual_value_month &lt;&gt; "",_xlpm.actual_value_month &amp; " ações mensais", "")
)</f>
        <v/>
      </c>
      <c r="K1339" s="8" t="str" cm="1">
        <f t="array" ref="K1339">_xlfn.LET(
    _xlpm.sum_month, SUM(T1339:AE1339),
    IF(_xlpm.sum_month = 0, "", _xlpm.sum_month &amp; " DSS no ano")
)</f>
        <v/>
      </c>
      <c r="L1339" s="9" t="s">
        <v>164</v>
      </c>
      <c r="M1339" s="24">
        <v>1</v>
      </c>
      <c r="N1339" s="5" t="s">
        <v>51</v>
      </c>
      <c r="O1339" s="111" t="s">
        <v>52</v>
      </c>
      <c r="P1339" s="10" t="s">
        <v>146</v>
      </c>
      <c r="Q1339" s="10" t="s">
        <v>72</v>
      </c>
      <c r="R1339" s="11" t="s">
        <v>147</v>
      </c>
      <c r="S1339" s="11" t="s">
        <v>162</v>
      </c>
      <c r="T1339" s="22"/>
      <c r="U1339" s="22"/>
      <c r="V1339" s="22"/>
      <c r="W1339" s="22"/>
      <c r="X1339" s="22"/>
      <c r="Y1339" s="22"/>
      <c r="Z1339" s="22"/>
      <c r="AA1339" s="22"/>
      <c r="AB1339" s="22"/>
      <c r="AC1339" s="22"/>
      <c r="AD1339" s="22"/>
      <c r="AE1339" s="22"/>
      <c r="AG1339" s="71"/>
      <c r="AH1339" s="71"/>
      <c r="AI1339" s="71"/>
      <c r="AJ1339" s="71"/>
      <c r="AK1339" s="71"/>
      <c r="AL1339" s="71"/>
      <c r="AM1339" s="71"/>
      <c r="AN1339" s="71"/>
      <c r="AO1339" s="71"/>
      <c r="AP1339" s="71"/>
      <c r="AQ1339" s="71"/>
      <c r="AR1339" s="71"/>
      <c r="AS1339" s="94">
        <f t="shared" ca="1" si="1580"/>
        <v>0</v>
      </c>
      <c r="AT1339" s="95">
        <f t="shared" si="1581"/>
        <v>0</v>
      </c>
      <c r="AU1339" s="97">
        <f t="shared" si="1582"/>
        <v>0</v>
      </c>
      <c r="AW1339" s="83">
        <f t="shared" si="1583"/>
        <v>0</v>
      </c>
      <c r="AX1339" s="83">
        <f t="shared" si="1584"/>
        <v>0</v>
      </c>
      <c r="AY1339" s="83">
        <f t="shared" si="1585"/>
        <v>0</v>
      </c>
      <c r="AZ1339" s="83">
        <f t="shared" si="1586"/>
        <v>0</v>
      </c>
      <c r="BA1339" s="52"/>
      <c r="BB1339" s="52"/>
      <c r="BC1339" s="52"/>
      <c r="BD1339" s="52"/>
      <c r="BE1339" s="52"/>
      <c r="BF1339" s="52"/>
      <c r="BG1339" s="52"/>
      <c r="BH1339" s="52"/>
      <c r="BI1339" s="65" cm="1">
        <f t="array" ref="BI1339">IFERROR(INDEX(AW1339:BH1339,1,MATCH(2,1/(AW1339:BH1339&lt;&gt;""))),"")</f>
        <v>0</v>
      </c>
      <c r="BJ1339" s="68" cm="1">
        <f t="array" ref="BJ1339">IF(BM1339 = "", "",IFERROR(INDEX(AW1339:BH1339,1,MATCH(2,1/(AW1339:BH1339&lt;&gt;""),1)-1),""))</f>
        <v>0</v>
      </c>
      <c r="BK1339" s="58">
        <f>IF((IF(AW1339&gt;=115%,115%,AW1339) + IF(AX1339&gt;=115%,115%,AX1339) + IF(AY1339&gt;=115%,115%,AY1339) + (IF(AZ1339&gt;=115%,115%,AZ1339) + IF(BA1339&gt;=115%,115%,BA1339) + IF(BB1339&gt;=115%,115%,BB1339) + IF(BC1339&gt;=115%,115%,BC1339) + IF(BD1339&gt;=115%,115%,BD1339) + IF(BE1339&gt;=115%,115%,BE1339) + IF(BF1339&gt;=115%,115%,BF1339) + IF(BG1339&gt;=115%,115%,BG1339) + IF(BH1339&gt;=115%,115%,BH1339)))/_xlfn.XLOOKUP(F1339,Apuração!A:A,Apuração!B:B)&gt;=1.15,1.15,((IF(AZ1339&gt;=115%,115%,AZ1339) + IF(AX1339&gt;=115%,115%,AX1339) + IF(AY1339&gt;=115%,115%,AY1339) + (IF(AW1339&gt;=115%,115%,AW1339) + IF(BA1339&gt;=115%,115%,BA1339) + IF(BB1339&gt;=115%,115%,BB1339) + IF(BC1339&gt;=115%,115%,BC1339) + IF(BD1339&gt;=115%,115%,BD1339) + IF(BE1339&gt;=115%,115%,BE1339) + IF(BF1339&gt;=115%,115%,BF1339) + IF(BG1339&gt;=115%,115%,BG1339) + IF(BH1339&gt;=115%,115%,BH1339)))/_xlfn.XLOOKUP(F1339,Apuração!A:A,Apuração!B:B)))</f>
        <v>0</v>
      </c>
      <c r="BL1339" s="58" cm="1">
        <f t="array" aca="1" ref="BL1339" ca="1">IF(SUM(IFERROR(IF(INDEX(AW1339:INDEX(AW1339:BH1339, MATCH(2, 1/(AW1339:BH1339&lt;&gt;""), 1)-1), ROW(INDIRECT("1:" &amp; MATCH(2, 1/(AW1339:BH1339&lt;&gt;""), 1)-1))) &gt;= 115%, 115%, INDEX(AW1339:INDEX(AW1339:BH1339, MATCH(2, 1/(AW1339:BH1339&lt;&gt;""), 1)-1), ROW(INDIRECT("1:" &amp; MATCH(2, 1/(AW1339:BH1339&lt;&gt;""), 1)-1)))), 0))/_xlfn.XLOOKUP(F1339,Apuração!A:A,Apuração!B:B)&gt;=1.15,1.15,SUM(IFERROR(IF(INDEX(AW1339:INDEX(AW1339:BH1339, MATCH(2, 1/(AW1339:BH1339&lt;&gt;""), 1)-1), ROW(INDIRECT("1:" &amp; MATCH(2, 1/(AW1339:BH1339&lt;&gt;""), 1)-1))) &gt;= 115%, 115%, INDEX(AW1339:INDEX(AW1339:BH1339, MATCH(2, 1/(AW1339:BH1339&lt;&gt;""), 1)-1), ROW(INDIRECT("1:" &amp; MATCH(2, 1/(AW1339:BH1339&lt;&gt;""), 1)-1)))), 0))/_xlfn.XLOOKUP(F1339,Apuração!A:A,Apuração!B:B))</f>
        <v>0</v>
      </c>
      <c r="BM1339" s="55" cm="1">
        <f t="array" ref="BM1339">IFERROR(
   INDEX($AW$1:$BH$1,
      _xlfn.AGGREGATE(14, 6, COLUMN($AW$1:$BH$1)/(AW1339:BH1339&lt;&gt;""), 2) - COLUMN($AW$1) + 1
   ),
"")</f>
        <v>46082</v>
      </c>
      <c r="BN1339" s="55" cm="1">
        <f t="array" ref="BN1339">IFERROR(INDEX($AW$1:$BH$1,1,MATCH(2,1/(AW1339:BH1339&lt;&gt;""))),"")</f>
        <v>46113</v>
      </c>
      <c r="BO1339" s="53">
        <f ca="1">IFERROR(_xlfn.XLOOKUP(F1339,Apuração!A:A,Apuração!C:C)/_xlfn.XLOOKUP(F1339,Apuração!A:A,Apuração!B:B),0)</f>
        <v>0</v>
      </c>
      <c r="BP1339" s="53">
        <f ca="1">IFERROR(_xlfn.XLOOKUP(F1339,Apuração!A:A,Apuração!D:D)/_xlfn.XLOOKUP(F1339,Apuração!A:A,Apuração!B:B),0)</f>
        <v>0</v>
      </c>
      <c r="BQ1339" s="53">
        <f ca="1">IF(BK1339&gt;=BO1339,0,_xlfn.XLOOKUP(F1339,Apuração!A:A,Apuração!B:B)*(BO1339 + (1/_xlfn.XLOOKUP(F1339,Apuração!A:A,Apuração!B:B)) - BK1339))</f>
        <v>0</v>
      </c>
      <c r="BR1339" s="85">
        <f t="shared" ca="1" si="1587"/>
        <v>0</v>
      </c>
      <c r="BS1339" s="53">
        <f ca="1">IFERROR((_xlfn.XLOOKUP(F1339,Apuração!A:A,Apuração!C:C)+1)/_xlfn.XLOOKUP(F1339,Apuração!A:A,Apuração!B:B),0)</f>
        <v>0.14285714285714285</v>
      </c>
    </row>
    <row r="1340" spans="1:71" ht="25.95" hidden="1" customHeight="1" x14ac:dyDescent="0.3">
      <c r="A1340" s="42" t="s">
        <v>134</v>
      </c>
      <c r="B1340" s="4" t="s">
        <v>158</v>
      </c>
      <c r="C1340" s="5" t="s">
        <v>209</v>
      </c>
      <c r="D1340" s="5" t="s">
        <v>36</v>
      </c>
      <c r="E1340" s="4" t="str" cm="1">
        <f t="array" ref="E1340">_xlfn.IFS(
F1340 = "A partir de Abril", "Aguardando Execução na Distribuidora",
A1340 = "CAPACITAÇÃO", "Em execução no Corporativo",
TRUE, "Em Execução na Distribuidora"
)</f>
        <v>Em Execução na Distribuidora</v>
      </c>
      <c r="F1340" s="4" t="str" cm="1">
        <f t="array" ref="F1340">_xlfn.IFS(
AG1340 &lt;&gt; "", "Jan-Dez/26",
AH1340 &lt;&gt; "", "Fev-Dez/26",
AI1340 &lt;&gt; "", "Mar-Dez/26", AJ1340 &lt;&gt; "", "Abr-Dez/26",
TRUE, "A partir de Junho"
)</f>
        <v>A partir de Junho</v>
      </c>
      <c r="G1340" s="4" t="s">
        <v>62</v>
      </c>
      <c r="H1340" s="7" t="s">
        <v>54</v>
      </c>
      <c r="I1340" s="8" t="s">
        <v>165</v>
      </c>
      <c r="J1340" s="8" t="str" cm="1">
        <f t="array" aca="1" ref="J1340" ca="1">_xlfn.LET(
  _xlpm.actual_value_month, INDEX(T1340:AE1340, MATCH(DATE(YEAR(TODAY()), MONTH(TODAY()), 1), $T$1:$AE$1, 0)),
  IF(_xlpm.actual_value_month &lt;&gt; "",_xlpm.actual_value_month &amp; " ações mensais", "")
)</f>
        <v/>
      </c>
      <c r="K1340" s="8" t="str" cm="1">
        <f t="array" ref="K1340">_xlfn.LET(
    _xlpm.sum_month, SUM(T1340:AE1340),
    IF(_xlpm.sum_month = 0, "", _xlpm.sum_month &amp; " participações de líderes nas agendas semanais")
)</f>
        <v/>
      </c>
      <c r="L1340" s="4" t="s">
        <v>166</v>
      </c>
      <c r="M1340" s="24">
        <v>1</v>
      </c>
      <c r="N1340" s="5" t="s">
        <v>51</v>
      </c>
      <c r="O1340" s="111" t="s">
        <v>43</v>
      </c>
      <c r="P1340" s="10" t="s">
        <v>44</v>
      </c>
      <c r="Q1340" s="10" t="s">
        <v>44</v>
      </c>
      <c r="R1340" s="11" t="s">
        <v>44</v>
      </c>
      <c r="S1340" s="11" t="s">
        <v>44</v>
      </c>
      <c r="T1340" s="22"/>
      <c r="U1340" s="22"/>
      <c r="V1340" s="22"/>
      <c r="W1340" s="22"/>
      <c r="X1340" s="22"/>
      <c r="Y1340" s="22"/>
      <c r="Z1340" s="22"/>
      <c r="AA1340" s="22"/>
      <c r="AB1340" s="22"/>
      <c r="AC1340" s="22"/>
      <c r="AD1340" s="22"/>
      <c r="AE1340" s="22"/>
      <c r="AG1340" s="71"/>
      <c r="AH1340" s="71"/>
      <c r="AI1340" s="71"/>
      <c r="AJ1340" s="71"/>
      <c r="AK1340" s="71"/>
      <c r="AL1340" s="71"/>
      <c r="AM1340" s="71"/>
      <c r="AN1340" s="71"/>
      <c r="AO1340" s="71"/>
      <c r="AP1340" s="71"/>
      <c r="AQ1340" s="71"/>
      <c r="AR1340" s="71"/>
      <c r="AS1340" s="94">
        <f ca="1">IF(MONTH(TODAY())=3,SUM(T1340:U1340),IF(MONTH(TODAY())=4,SUM(T1340:V1340),IF(MONTH(TODAY())=5,SUM(T1340:W1340),IF(MONTH(TODAY())=6,SUM(T1340:X1340),IF(MONTH(TODAY())=7,SUM(T1340:Y1340),IF(MONTH(TODAY())=8,SUM(T1340:Z1340),IF(MONTH(TODAY())=9,SUM(T1340:AA1340),IF(MONTH(TODAY())=10,SUM(T1340:AB1340),IF(MONTH(TODAY())=11,SUM(T1340:AC1340),IF(MONTH(TODAY())=12,SUM(T1340:AD1340),IF(MONTH(TODAY())=1,SUM(T1340:AE1340),T1340)))))))))))</f>
        <v>0</v>
      </c>
      <c r="AT1340" s="95">
        <f>SUM(AG1340:AR1340)</f>
        <v>0</v>
      </c>
      <c r="AU1340" s="97">
        <f>SUM(AG1340:AR1340)</f>
        <v>0</v>
      </c>
      <c r="AW1340" s="83">
        <f>AG1340</f>
        <v>0</v>
      </c>
      <c r="AX1340" s="83">
        <f>AH1340</f>
        <v>0</v>
      </c>
      <c r="AY1340" s="83">
        <f>AI1340</f>
        <v>0</v>
      </c>
      <c r="AZ1340" s="83">
        <f>AJ1340</f>
        <v>0</v>
      </c>
      <c r="BA1340" s="52"/>
      <c r="BB1340" s="52"/>
      <c r="BC1340" s="52"/>
      <c r="BD1340" s="52"/>
      <c r="BE1340" s="52"/>
      <c r="BF1340" s="52"/>
      <c r="BG1340" s="52"/>
      <c r="BH1340" s="52"/>
      <c r="BI1340" s="68" cm="1">
        <f t="array" ref="BI1340">IFERROR(INDEX(AW1340:BH1340,1,MATCH(2,1/(AW1340:BH1340&lt;&gt;""))),"")</f>
        <v>0</v>
      </c>
      <c r="BJ1340" s="68" cm="1">
        <f t="array" ref="BJ1340">IF(BM1340 = "", "",IFERROR(INDEX(AW1340:BH1340,1,MATCH(2,1/(AW1340:BH1340&lt;&gt;""),1)-1),""))</f>
        <v>0</v>
      </c>
      <c r="BK1340" s="59">
        <f>IF((IF(AW1340&gt;=150%,150%,AW1340) + IF(AX1340&gt;=150%,150%,AX1340) + IF(AY1340&gt;=150%,150%,AY1340) + (IF(AW1340&gt;=150%,150%,AW1340) + IF(BA1340&gt;=150%,150%,BA1340) + IF(BB1340&gt;=150%,150%,BB1340) + IF(BC1340&gt;=150%,150%,BC1340) + IF(BD1340&gt;=150%,150%,BD1340) + IF(BE1340&gt;=150%,150%,BE1340) + IF(BF1340&gt;=150%,150%,BF1340) + IF(BG1340&gt;=150%,150%,BG1340) + IF(BH1340&gt;=150%,150%,BH1340)))/_xlfn.XLOOKUP(F1340,Apuração!A:A,Apuração!B:B)&gt;=1.15,1.15,((IF(AW1340&gt;=150%,150%,AW1340) + IF(AX1340&gt;=150%,150%,AX1340) + IF(AY1340&gt;=150%,150%,AY1340) + (IF(AW1340&gt;=150%,150%,AW1340) + IF(BA1340&gt;=150%,150%,BA1340) + IF(BB1340&gt;=150%,150%,BB1340) + IF(BC1340&gt;=150%,150%,BC1340) + IF(BD1340&gt;=150%,150%,BD1340) + IF(BE1340&gt;=150%,150%,BE1340) + IF(BF1340&gt;=150%,150%,BF1340) + IF(BG1340&gt;=150%,150%,BG1340) + IF(BH1340&gt;=150%,150%,BH1340)))/_xlfn.XLOOKUP(F1340,Apuração!A:A,Apuração!B:B)))</f>
        <v>0</v>
      </c>
      <c r="BL1340" s="59" cm="1">
        <f t="array" aca="1" ref="BL1340" ca="1">IF(SUM(IFERROR(IF(INDEX(AW1340:INDEX(AW1340:BH1340, MATCH(2, 1/(AW1340:BH1340&lt;&gt;""), 1)-1), ROW(INDIRECT("1:" &amp; MATCH(2, 1/(AW1340:BH1340&lt;&gt;""), 1)-1))) &gt;= 150%, 150%, INDEX(AW1340:INDEX(AW1340:BH1340, MATCH(2, 1/(AW1340:BH1340&lt;&gt;""), 1)-1), ROW(INDIRECT("1:" &amp; MATCH(2, 1/(AW1340:BH1340&lt;&gt;""), 1)-1)))), 0))/_xlfn.XLOOKUP(F1340,Apuração!A:A,Apuração!B:B)&gt;=1.15,1.15,SUM(IFERROR(IF(INDEX(AW1340:INDEX(AW1340:BH1340, MATCH(2, 1/(AW1340:BH1340&lt;&gt;""), 1)-1), ROW(INDIRECT("1:" &amp; MATCH(2, 1/(AW1340:BH1340&lt;&gt;""), 1)-1))) &gt;= 150%, 150%, INDEX(AW1340:INDEX(AW1340:BH1340, MATCH(2, 1/(AW1340:BH1340&lt;&gt;""), 1)-1), ROW(INDIRECT("1:" &amp; MATCH(2, 1/(AW1340:BH1340&lt;&gt;""), 1)-1)))), 0))/_xlfn.XLOOKUP(F1340,Apuração!A:A,Apuração!B:B))</f>
        <v>0</v>
      </c>
      <c r="BM1340" s="55" cm="1">
        <f t="array" ref="BM1340">IFERROR(
   INDEX($AW$1:$BH$1,
      _xlfn.AGGREGATE(14, 6, COLUMN($AW$1:$BH$1)/(AW1340:BH1340&lt;&gt;""), 2) - COLUMN($AW$1) + 1
   ),
"")</f>
        <v>46082</v>
      </c>
      <c r="BN1340" s="55" cm="1">
        <f t="array" ref="BN1340">IFERROR(INDEX($AW$1:$BH$1,1,MATCH(2,1/(AW1340:BH1340&lt;&gt;""))),"")</f>
        <v>46113</v>
      </c>
      <c r="BO1340" s="53">
        <f ca="1">IFERROR(_xlfn.XLOOKUP(F1340,Apuração!A:A,Apuração!C:C)/_xlfn.XLOOKUP(F1340,Apuração!A:A,Apuração!B:B),0)</f>
        <v>0</v>
      </c>
      <c r="BP1340" s="53">
        <f ca="1">IFERROR(_xlfn.XLOOKUP(F1340,Apuração!A:A,Apuração!D:D)/_xlfn.XLOOKUP(F1340,Apuração!A:A,Apuração!B:B),0)</f>
        <v>0</v>
      </c>
      <c r="BQ1340" s="53">
        <f ca="1">IF(BK1340&gt;=BO1340,0,_xlfn.XLOOKUP(F1340,Apuração!A:A,Apuração!B:B)*(BO1340 + (1/_xlfn.XLOOKUP(F1340,Apuração!A:A,Apuração!B:B)) - BK1340))</f>
        <v>0</v>
      </c>
      <c r="BR1340" s="85">
        <f ca="1">IF(BQ1340=0,0,BQ1340*Z1340)</f>
        <v>0</v>
      </c>
      <c r="BS1340" s="53">
        <f ca="1">IFERROR((_xlfn.XLOOKUP(F1340,Apuração!A:A,Apuração!C:C)+1)/_xlfn.XLOOKUP(F1340,Apuração!A:A,Apuração!B:B),0)</f>
        <v>0.14285714285714285</v>
      </c>
    </row>
    <row r="1341" spans="1:71" ht="25.95" hidden="1" customHeight="1" x14ac:dyDescent="0.3">
      <c r="A1341" s="42" t="s">
        <v>134</v>
      </c>
      <c r="B1341" s="4" t="s">
        <v>158</v>
      </c>
      <c r="C1341" s="5" t="s">
        <v>209</v>
      </c>
      <c r="D1341" s="5" t="s">
        <v>210</v>
      </c>
      <c r="E1341" s="4" t="str" cm="1">
        <f t="array" ref="E1341">_xlfn.IFS(
F1341 = "A partir de Abril", "Aguardando Execução na Distribuidora",
A1341 = "CAPACITAÇÃO", "Em execução no Corporativo",
TRUE, "Em Execução na Distribuidora"
)</f>
        <v>Em Execução na Distribuidora</v>
      </c>
      <c r="F1341" s="4" t="str" cm="1">
        <f t="array" ref="F1341">_xlfn.IFS(
AG1341 &lt;&gt; "", "Jan-Dez/26",
AH1341 &lt;&gt; "", "Fev-Dez/26",
AI1341 &lt;&gt; "", "Mar-Dez/26", AJ1341 &lt;&gt; "", "Abr-Dez/26",
TRUE, "A partir de Junho"
)</f>
        <v>A partir de Junho</v>
      </c>
      <c r="G1341" s="4" t="s">
        <v>62</v>
      </c>
      <c r="H1341" s="7" t="s">
        <v>54</v>
      </c>
      <c r="I1341" s="8" t="s">
        <v>165</v>
      </c>
      <c r="J1341" s="8" t="str" cm="1">
        <f t="array" aca="1" ref="J1341" ca="1">_xlfn.LET(
  _xlpm.actual_value_month, INDEX(T1341:AE1341, MATCH(DATE(YEAR(TODAY()), MONTH(TODAY()), 1), $T$1:$AE$1, 0)),
  IF(_xlpm.actual_value_month &lt;&gt; "",_xlpm.actual_value_month &amp; " ações mensais", "")
)</f>
        <v/>
      </c>
      <c r="K1341" s="8" t="str" cm="1">
        <f t="array" ref="K1341">_xlfn.LET(
    _xlpm.sum_month, SUM(T1341:AE1341),
    IF(_xlpm.sum_month = 0, "", _xlpm.sum_month &amp; " participações de líderes nas agendas semanais")
)</f>
        <v/>
      </c>
      <c r="L1341" s="4" t="s">
        <v>166</v>
      </c>
      <c r="M1341" s="24">
        <v>1</v>
      </c>
      <c r="N1341" s="5" t="s">
        <v>51</v>
      </c>
      <c r="O1341" s="111" t="s">
        <v>43</v>
      </c>
      <c r="P1341" s="10" t="s">
        <v>44</v>
      </c>
      <c r="Q1341" s="10" t="s">
        <v>44</v>
      </c>
      <c r="R1341" s="11" t="s">
        <v>44</v>
      </c>
      <c r="S1341" s="11" t="s">
        <v>44</v>
      </c>
      <c r="T1341" s="22"/>
      <c r="U1341" s="22"/>
      <c r="V1341" s="22"/>
      <c r="W1341" s="22"/>
      <c r="X1341" s="22"/>
      <c r="Y1341" s="22"/>
      <c r="Z1341" s="22"/>
      <c r="AA1341" s="22"/>
      <c r="AB1341" s="22"/>
      <c r="AC1341" s="22"/>
      <c r="AD1341" s="22"/>
      <c r="AE1341" s="22"/>
      <c r="AG1341" s="71"/>
      <c r="AH1341" s="71"/>
      <c r="AI1341" s="71"/>
      <c r="AJ1341" s="71"/>
      <c r="AK1341" s="71"/>
      <c r="AL1341" s="71"/>
      <c r="AM1341" s="71"/>
      <c r="AN1341" s="71"/>
      <c r="AO1341" s="71"/>
      <c r="AP1341" s="71"/>
      <c r="AQ1341" s="71"/>
      <c r="AR1341" s="71"/>
      <c r="AS1341" s="94">
        <f t="shared" ref="AS1341:AS1345" ca="1" si="1588">IF(MONTH(TODAY())=3,SUM(T1341:U1341),IF(MONTH(TODAY())=4,SUM(T1341:V1341),IF(MONTH(TODAY())=5,SUM(T1341:W1341),IF(MONTH(TODAY())=6,SUM(T1341:X1341),IF(MONTH(TODAY())=7,SUM(T1341:Y1341),IF(MONTH(TODAY())=8,SUM(T1341:Z1341),IF(MONTH(TODAY())=9,SUM(T1341:AA1341),IF(MONTH(TODAY())=10,SUM(T1341:AB1341),IF(MONTH(TODAY())=11,SUM(T1341:AC1341),IF(MONTH(TODAY())=12,SUM(T1341:AD1341),IF(MONTH(TODAY())=1,SUM(T1341:AE1341),T1341)))))))))))</f>
        <v>0</v>
      </c>
      <c r="AT1341" s="95">
        <f t="shared" ref="AT1341:AT1345" si="1589">SUM(AG1341:AR1341)</f>
        <v>0</v>
      </c>
      <c r="AU1341" s="97">
        <f t="shared" ref="AU1341:AU1345" si="1590">SUM(AG1341:AR1341)</f>
        <v>0</v>
      </c>
      <c r="AW1341" s="83">
        <f t="shared" ref="AW1341:AW1345" si="1591">AG1341</f>
        <v>0</v>
      </c>
      <c r="AX1341" s="83">
        <f t="shared" ref="AX1341:AX1345" si="1592">AH1341</f>
        <v>0</v>
      </c>
      <c r="AY1341" s="83">
        <f t="shared" ref="AY1341:AY1345" si="1593">AI1341</f>
        <v>0</v>
      </c>
      <c r="AZ1341" s="83">
        <f t="shared" ref="AZ1341:AZ1345" si="1594">AJ1341</f>
        <v>0</v>
      </c>
      <c r="BA1341" s="52"/>
      <c r="BB1341" s="52"/>
      <c r="BC1341" s="52"/>
      <c r="BD1341" s="52"/>
      <c r="BE1341" s="52"/>
      <c r="BF1341" s="52"/>
      <c r="BG1341" s="52"/>
      <c r="BH1341" s="52"/>
      <c r="BI1341" s="68" cm="1">
        <f t="array" ref="BI1341">IFERROR(INDEX(AW1341:BH1341,1,MATCH(2,1/(AW1341:BH1341&lt;&gt;""))),"")</f>
        <v>0</v>
      </c>
      <c r="BJ1341" s="68" cm="1">
        <f t="array" ref="BJ1341">IF(BM1341 = "", "",IFERROR(INDEX(AW1341:BH1341,1,MATCH(2,1/(AW1341:BH1341&lt;&gt;""),1)-1),""))</f>
        <v>0</v>
      </c>
      <c r="BK1341" s="59">
        <f>IF((IF(AW1341&gt;=150%,150%,AW1341) + IF(AX1341&gt;=150%,150%,AX1341) + IF(AY1341&gt;=150%,150%,AY1341) + (IF(AW1341&gt;=150%,150%,AW1341) + IF(BA1341&gt;=150%,150%,BA1341) + IF(BB1341&gt;=150%,150%,BB1341) + IF(BC1341&gt;=150%,150%,BC1341) + IF(BD1341&gt;=150%,150%,BD1341) + IF(BE1341&gt;=150%,150%,BE1341) + IF(BF1341&gt;=150%,150%,BF1341) + IF(BG1341&gt;=150%,150%,BG1341) + IF(BH1341&gt;=150%,150%,BH1341)))/_xlfn.XLOOKUP(F1341,Apuração!A:A,Apuração!B:B)&gt;=1.15,1.15,((IF(AW1341&gt;=150%,150%,AW1341) + IF(AX1341&gt;=150%,150%,AX1341) + IF(AY1341&gt;=150%,150%,AY1341) + (IF(AW1341&gt;=150%,150%,AW1341) + IF(BA1341&gt;=150%,150%,BA1341) + IF(BB1341&gt;=150%,150%,BB1341) + IF(BC1341&gt;=150%,150%,BC1341) + IF(BD1341&gt;=150%,150%,BD1341) + IF(BE1341&gt;=150%,150%,BE1341) + IF(BF1341&gt;=150%,150%,BF1341) + IF(BG1341&gt;=150%,150%,BG1341) + IF(BH1341&gt;=150%,150%,BH1341)))/_xlfn.XLOOKUP(F1341,Apuração!A:A,Apuração!B:B)))</f>
        <v>0</v>
      </c>
      <c r="BL1341" s="59" cm="1">
        <f t="array" aca="1" ref="BL1341" ca="1">IF(SUM(IFERROR(IF(INDEX(AW1341:INDEX(AW1341:BH1341, MATCH(2, 1/(AW1341:BH1341&lt;&gt;""), 1)-1), ROW(INDIRECT("1:" &amp; MATCH(2, 1/(AW1341:BH1341&lt;&gt;""), 1)-1))) &gt;= 150%, 150%, INDEX(AW1341:INDEX(AW1341:BH1341, MATCH(2, 1/(AW1341:BH1341&lt;&gt;""), 1)-1), ROW(INDIRECT("1:" &amp; MATCH(2, 1/(AW1341:BH1341&lt;&gt;""), 1)-1)))), 0))/_xlfn.XLOOKUP(F1341,Apuração!A:A,Apuração!B:B)&gt;=1.15,1.15,SUM(IFERROR(IF(INDEX(AW1341:INDEX(AW1341:BH1341, MATCH(2, 1/(AW1341:BH1341&lt;&gt;""), 1)-1), ROW(INDIRECT("1:" &amp; MATCH(2, 1/(AW1341:BH1341&lt;&gt;""), 1)-1))) &gt;= 150%, 150%, INDEX(AW1341:INDEX(AW1341:BH1341, MATCH(2, 1/(AW1341:BH1341&lt;&gt;""), 1)-1), ROW(INDIRECT("1:" &amp; MATCH(2, 1/(AW1341:BH1341&lt;&gt;""), 1)-1)))), 0))/_xlfn.XLOOKUP(F1341,Apuração!A:A,Apuração!B:B))</f>
        <v>0</v>
      </c>
      <c r="BM1341" s="55" cm="1">
        <f t="array" ref="BM1341">IFERROR(
   INDEX($AW$1:$BH$1,
      _xlfn.AGGREGATE(14, 6, COLUMN($AW$1:$BH$1)/(AW1341:BH1341&lt;&gt;""), 2) - COLUMN($AW$1) + 1
   ),
"")</f>
        <v>46082</v>
      </c>
      <c r="BN1341" s="55" cm="1">
        <f t="array" ref="BN1341">IFERROR(INDEX($AW$1:$BH$1,1,MATCH(2,1/(AW1341:BH1341&lt;&gt;""))),"")</f>
        <v>46113</v>
      </c>
      <c r="BO1341" s="53">
        <f ca="1">IFERROR(_xlfn.XLOOKUP(F1341,Apuração!A:A,Apuração!C:C)/_xlfn.XLOOKUP(F1341,Apuração!A:A,Apuração!B:B),0)</f>
        <v>0</v>
      </c>
      <c r="BP1341" s="53">
        <f ca="1">IFERROR(_xlfn.XLOOKUP(F1341,Apuração!A:A,Apuração!D:D)/_xlfn.XLOOKUP(F1341,Apuração!A:A,Apuração!B:B),0)</f>
        <v>0</v>
      </c>
      <c r="BQ1341" s="53">
        <f ca="1">IF(BK1341&gt;=BO1341,0,_xlfn.XLOOKUP(F1341,Apuração!A:A,Apuração!B:B)*(BO1341 + (1/_xlfn.XLOOKUP(F1341,Apuração!A:A,Apuração!B:B)) - BK1341))</f>
        <v>0</v>
      </c>
      <c r="BR1341" s="85">
        <f t="shared" ref="BR1341:BR1345" ca="1" si="1595">IF(BQ1341=0,0,BQ1341*Z1341)</f>
        <v>0</v>
      </c>
      <c r="BS1341" s="53">
        <f ca="1">IFERROR((_xlfn.XLOOKUP(F1341,Apuração!A:A,Apuração!C:C)+1)/_xlfn.XLOOKUP(F1341,Apuração!A:A,Apuração!B:B),0)</f>
        <v>0.14285714285714285</v>
      </c>
    </row>
    <row r="1342" spans="1:71" ht="25.95" hidden="1" customHeight="1" x14ac:dyDescent="0.3">
      <c r="A1342" s="42" t="s">
        <v>134</v>
      </c>
      <c r="B1342" s="4" t="s">
        <v>158</v>
      </c>
      <c r="C1342" s="5" t="s">
        <v>209</v>
      </c>
      <c r="D1342" s="5" t="s">
        <v>47</v>
      </c>
      <c r="E1342" s="4" t="str" cm="1">
        <f t="array" ref="E1342">_xlfn.IFS(
F1342 = "A partir de Abril", "Aguardando Execução na Distribuidora",
A1342 = "CAPACITAÇÃO", "Em execução no Corporativo",
TRUE, "Em Execução na Distribuidora"
)</f>
        <v>Em Execução na Distribuidora</v>
      </c>
      <c r="F1342" s="4" t="str" cm="1">
        <f t="array" ref="F1342">_xlfn.IFS(
AG1342 &lt;&gt; "", "Jan-Dez/26",
AH1342 &lt;&gt; "", "Fev-Dez/26",
AI1342 &lt;&gt; "", "Mar-Dez/26", AJ1342 &lt;&gt; "", "Abr-Dez/26",
TRUE, "A partir de Junho"
)</f>
        <v>A partir de Junho</v>
      </c>
      <c r="G1342" s="4" t="s">
        <v>62</v>
      </c>
      <c r="H1342" s="7" t="s">
        <v>54</v>
      </c>
      <c r="I1342" s="8" t="s">
        <v>165</v>
      </c>
      <c r="J1342" s="8" t="str" cm="1">
        <f t="array" aca="1" ref="J1342" ca="1">_xlfn.LET(
  _xlpm.actual_value_month, INDEX(T1342:AE1342, MATCH(DATE(YEAR(TODAY()), MONTH(TODAY()), 1), $T$1:$AE$1, 0)),
  IF(_xlpm.actual_value_month &lt;&gt; "",_xlpm.actual_value_month &amp; " ações mensais", "")
)</f>
        <v/>
      </c>
      <c r="K1342" s="8" t="str" cm="1">
        <f t="array" ref="K1342">_xlfn.LET(
    _xlpm.sum_month, SUM(T1342:AE1342),
    IF(_xlpm.sum_month = 0, "", _xlpm.sum_month &amp; " participações de líderes nas agendas semanais")
)</f>
        <v/>
      </c>
      <c r="L1342" s="4" t="s">
        <v>166</v>
      </c>
      <c r="M1342" s="24">
        <v>1</v>
      </c>
      <c r="N1342" s="5" t="s">
        <v>51</v>
      </c>
      <c r="O1342" s="111" t="s">
        <v>43</v>
      </c>
      <c r="P1342" s="10" t="s">
        <v>44</v>
      </c>
      <c r="Q1342" s="10" t="s">
        <v>44</v>
      </c>
      <c r="R1342" s="11" t="s">
        <v>44</v>
      </c>
      <c r="S1342" s="11" t="s">
        <v>44</v>
      </c>
      <c r="T1342" s="22"/>
      <c r="U1342" s="22"/>
      <c r="V1342" s="22"/>
      <c r="W1342" s="22"/>
      <c r="X1342" s="22"/>
      <c r="Y1342" s="22"/>
      <c r="Z1342" s="22"/>
      <c r="AA1342" s="22"/>
      <c r="AB1342" s="22"/>
      <c r="AC1342" s="22"/>
      <c r="AD1342" s="22"/>
      <c r="AE1342" s="22"/>
      <c r="AG1342" s="71"/>
      <c r="AH1342" s="71"/>
      <c r="AI1342" s="71"/>
      <c r="AJ1342" s="71"/>
      <c r="AK1342" s="71"/>
      <c r="AL1342" s="71"/>
      <c r="AM1342" s="71"/>
      <c r="AN1342" s="71"/>
      <c r="AO1342" s="71"/>
      <c r="AP1342" s="71"/>
      <c r="AQ1342" s="71"/>
      <c r="AR1342" s="71"/>
      <c r="AS1342" s="94">
        <f t="shared" ca="1" si="1588"/>
        <v>0</v>
      </c>
      <c r="AT1342" s="95">
        <f t="shared" si="1589"/>
        <v>0</v>
      </c>
      <c r="AU1342" s="97">
        <f t="shared" si="1590"/>
        <v>0</v>
      </c>
      <c r="AW1342" s="83">
        <f t="shared" si="1591"/>
        <v>0</v>
      </c>
      <c r="AX1342" s="83">
        <f t="shared" si="1592"/>
        <v>0</v>
      </c>
      <c r="AY1342" s="83">
        <f t="shared" si="1593"/>
        <v>0</v>
      </c>
      <c r="AZ1342" s="83">
        <f t="shared" si="1594"/>
        <v>0</v>
      </c>
      <c r="BA1342" s="52"/>
      <c r="BB1342" s="52"/>
      <c r="BC1342" s="52"/>
      <c r="BD1342" s="52"/>
      <c r="BE1342" s="52"/>
      <c r="BF1342" s="52"/>
      <c r="BG1342" s="52"/>
      <c r="BH1342" s="52"/>
      <c r="BI1342" s="68" cm="1">
        <f t="array" ref="BI1342">IFERROR(INDEX(AW1342:BH1342,1,MATCH(2,1/(AW1342:BH1342&lt;&gt;""))),"")</f>
        <v>0</v>
      </c>
      <c r="BJ1342" s="68" cm="1">
        <f t="array" ref="BJ1342">IF(BM1342 = "", "",IFERROR(INDEX(AW1342:BH1342,1,MATCH(2,1/(AW1342:BH1342&lt;&gt;""),1)-1),""))</f>
        <v>0</v>
      </c>
      <c r="BK1342" s="59">
        <f>IF((IF(AW1342&gt;=150%,150%,AW1342) + IF(AX1342&gt;=150%,150%,AX1342) + IF(AY1342&gt;=150%,150%,AY1342) + (IF(AW1342&gt;=150%,150%,AW1342) + IF(BA1342&gt;=150%,150%,BA1342) + IF(BB1342&gt;=150%,150%,BB1342) + IF(BC1342&gt;=150%,150%,BC1342) + IF(BD1342&gt;=150%,150%,BD1342) + IF(BE1342&gt;=150%,150%,BE1342) + IF(BF1342&gt;=150%,150%,BF1342) + IF(BG1342&gt;=150%,150%,BG1342) + IF(BH1342&gt;=150%,150%,BH1342)))/_xlfn.XLOOKUP(F1342,Apuração!A:A,Apuração!B:B)&gt;=1.15,1.15,((IF(AW1342&gt;=150%,150%,AW1342) + IF(AX1342&gt;=150%,150%,AX1342) + IF(AY1342&gt;=150%,150%,AY1342) + (IF(AW1342&gt;=150%,150%,AW1342) + IF(BA1342&gt;=150%,150%,BA1342) + IF(BB1342&gt;=150%,150%,BB1342) + IF(BC1342&gt;=150%,150%,BC1342) + IF(BD1342&gt;=150%,150%,BD1342) + IF(BE1342&gt;=150%,150%,BE1342) + IF(BF1342&gt;=150%,150%,BF1342) + IF(BG1342&gt;=150%,150%,BG1342) + IF(BH1342&gt;=150%,150%,BH1342)))/_xlfn.XLOOKUP(F1342,Apuração!A:A,Apuração!B:B)))</f>
        <v>0</v>
      </c>
      <c r="BL1342" s="59" cm="1">
        <f t="array" aca="1" ref="BL1342" ca="1">IF(SUM(IFERROR(IF(INDEX(AW1342:INDEX(AW1342:BH1342, MATCH(2, 1/(AW1342:BH1342&lt;&gt;""), 1)-1), ROW(INDIRECT("1:" &amp; MATCH(2, 1/(AW1342:BH1342&lt;&gt;""), 1)-1))) &gt;= 150%, 150%, INDEX(AW1342:INDEX(AW1342:BH1342, MATCH(2, 1/(AW1342:BH1342&lt;&gt;""), 1)-1), ROW(INDIRECT("1:" &amp; MATCH(2, 1/(AW1342:BH1342&lt;&gt;""), 1)-1)))), 0))/_xlfn.XLOOKUP(F1342,Apuração!A:A,Apuração!B:B)&gt;=1.15,1.15,SUM(IFERROR(IF(INDEX(AW1342:INDEX(AW1342:BH1342, MATCH(2, 1/(AW1342:BH1342&lt;&gt;""), 1)-1), ROW(INDIRECT("1:" &amp; MATCH(2, 1/(AW1342:BH1342&lt;&gt;""), 1)-1))) &gt;= 150%, 150%, INDEX(AW1342:INDEX(AW1342:BH1342, MATCH(2, 1/(AW1342:BH1342&lt;&gt;""), 1)-1), ROW(INDIRECT("1:" &amp; MATCH(2, 1/(AW1342:BH1342&lt;&gt;""), 1)-1)))), 0))/_xlfn.XLOOKUP(F1342,Apuração!A:A,Apuração!B:B))</f>
        <v>0</v>
      </c>
      <c r="BM1342" s="55" cm="1">
        <f t="array" ref="BM1342">IFERROR(
   INDEX($AW$1:$BH$1,
      _xlfn.AGGREGATE(14, 6, COLUMN($AW$1:$BH$1)/(AW1342:BH1342&lt;&gt;""), 2) - COLUMN($AW$1) + 1
   ),
"")</f>
        <v>46082</v>
      </c>
      <c r="BN1342" s="55" cm="1">
        <f t="array" ref="BN1342">IFERROR(INDEX($AW$1:$BH$1,1,MATCH(2,1/(AW1342:BH1342&lt;&gt;""))),"")</f>
        <v>46113</v>
      </c>
      <c r="BO1342" s="53">
        <f ca="1">IFERROR(_xlfn.XLOOKUP(F1342,Apuração!A:A,Apuração!C:C)/_xlfn.XLOOKUP(F1342,Apuração!A:A,Apuração!B:B),0)</f>
        <v>0</v>
      </c>
      <c r="BP1342" s="53">
        <f ca="1">IFERROR(_xlfn.XLOOKUP(F1342,Apuração!A:A,Apuração!D:D)/_xlfn.XLOOKUP(F1342,Apuração!A:A,Apuração!B:B),0)</f>
        <v>0</v>
      </c>
      <c r="BQ1342" s="53">
        <f ca="1">IF(BK1342&gt;=BO1342,0,_xlfn.XLOOKUP(F1342,Apuração!A:A,Apuração!B:B)*(BO1342 + (1/_xlfn.XLOOKUP(F1342,Apuração!A:A,Apuração!B:B)) - BK1342))</f>
        <v>0</v>
      </c>
      <c r="BR1342" s="85">
        <f t="shared" ca="1" si="1595"/>
        <v>0</v>
      </c>
      <c r="BS1342" s="53">
        <f ca="1">IFERROR((_xlfn.XLOOKUP(F1342,Apuração!A:A,Apuração!C:C)+1)/_xlfn.XLOOKUP(F1342,Apuração!A:A,Apuração!B:B),0)</f>
        <v>0.14285714285714285</v>
      </c>
    </row>
    <row r="1343" spans="1:71" ht="25.95" hidden="1" customHeight="1" x14ac:dyDescent="0.3">
      <c r="A1343" s="42" t="s">
        <v>134</v>
      </c>
      <c r="B1343" s="4" t="s">
        <v>158</v>
      </c>
      <c r="C1343" s="5" t="s">
        <v>209</v>
      </c>
      <c r="D1343" s="5" t="s">
        <v>211</v>
      </c>
      <c r="E1343" s="4" t="str" cm="1">
        <f t="array" ref="E1343">_xlfn.IFS(
F1343 = "A partir de Abril", "Aguardando Execução na Distribuidora",
A1343 = "CAPACITAÇÃO", "Em execução no Corporativo",
TRUE, "Em Execução na Distribuidora"
)</f>
        <v>Em Execução na Distribuidora</v>
      </c>
      <c r="F1343" s="4" t="str" cm="1">
        <f t="array" ref="F1343">_xlfn.IFS(
AG1343 &lt;&gt; "", "Jan-Dez/26",
AH1343 &lt;&gt; "", "Fev-Dez/26",
AI1343 &lt;&gt; "", "Mar-Dez/26", AJ1343 &lt;&gt; "", "Abr-Dez/26",
TRUE, "A partir de Junho"
)</f>
        <v>A partir de Junho</v>
      </c>
      <c r="G1343" s="4" t="s">
        <v>62</v>
      </c>
      <c r="H1343" s="7" t="s">
        <v>54</v>
      </c>
      <c r="I1343" s="8" t="s">
        <v>165</v>
      </c>
      <c r="J1343" s="8" t="str" cm="1">
        <f t="array" aca="1" ref="J1343" ca="1">_xlfn.LET(
  _xlpm.actual_value_month, INDEX(T1343:AE1343, MATCH(DATE(YEAR(TODAY()), MONTH(TODAY()), 1), $T$1:$AE$1, 0)),
  IF(_xlpm.actual_value_month &lt;&gt; "",_xlpm.actual_value_month &amp; " ações mensais", "")
)</f>
        <v/>
      </c>
      <c r="K1343" s="8" t="str" cm="1">
        <f t="array" ref="K1343">_xlfn.LET(
    _xlpm.sum_month, SUM(T1343:AE1343),
    IF(_xlpm.sum_month = 0, "", _xlpm.sum_month &amp; " participações de líderes nas agendas semanais")
)</f>
        <v/>
      </c>
      <c r="L1343" s="4" t="s">
        <v>166</v>
      </c>
      <c r="M1343" s="24">
        <v>1</v>
      </c>
      <c r="N1343" s="5" t="s">
        <v>51</v>
      </c>
      <c r="O1343" s="111" t="s">
        <v>43</v>
      </c>
      <c r="P1343" s="10" t="s">
        <v>44</v>
      </c>
      <c r="Q1343" s="10" t="s">
        <v>44</v>
      </c>
      <c r="R1343" s="11" t="s">
        <v>44</v>
      </c>
      <c r="S1343" s="11" t="s">
        <v>44</v>
      </c>
      <c r="T1343" s="22"/>
      <c r="U1343" s="22"/>
      <c r="V1343" s="22"/>
      <c r="W1343" s="22"/>
      <c r="X1343" s="22"/>
      <c r="Y1343" s="22"/>
      <c r="Z1343" s="22"/>
      <c r="AA1343" s="22"/>
      <c r="AB1343" s="22"/>
      <c r="AC1343" s="22"/>
      <c r="AD1343" s="22"/>
      <c r="AE1343" s="22"/>
      <c r="AG1343" s="71"/>
      <c r="AH1343" s="71"/>
      <c r="AI1343" s="71"/>
      <c r="AJ1343" s="71"/>
      <c r="AK1343" s="71"/>
      <c r="AL1343" s="71"/>
      <c r="AM1343" s="71"/>
      <c r="AN1343" s="71"/>
      <c r="AO1343" s="71"/>
      <c r="AP1343" s="71"/>
      <c r="AQ1343" s="71"/>
      <c r="AR1343" s="71"/>
      <c r="AS1343" s="94">
        <f t="shared" ca="1" si="1588"/>
        <v>0</v>
      </c>
      <c r="AT1343" s="95">
        <f t="shared" si="1589"/>
        <v>0</v>
      </c>
      <c r="AU1343" s="97">
        <f t="shared" si="1590"/>
        <v>0</v>
      </c>
      <c r="AW1343" s="83">
        <f t="shared" si="1591"/>
        <v>0</v>
      </c>
      <c r="AX1343" s="83">
        <f t="shared" si="1592"/>
        <v>0</v>
      </c>
      <c r="AY1343" s="83">
        <f t="shared" si="1593"/>
        <v>0</v>
      </c>
      <c r="AZ1343" s="83">
        <f t="shared" si="1594"/>
        <v>0</v>
      </c>
      <c r="BA1343" s="52"/>
      <c r="BB1343" s="52"/>
      <c r="BC1343" s="52"/>
      <c r="BD1343" s="52"/>
      <c r="BE1343" s="52"/>
      <c r="BF1343" s="52"/>
      <c r="BG1343" s="52"/>
      <c r="BH1343" s="52"/>
      <c r="BI1343" s="68" cm="1">
        <f t="array" ref="BI1343">IFERROR(INDEX(AW1343:BH1343,1,MATCH(2,1/(AW1343:BH1343&lt;&gt;""))),"")</f>
        <v>0</v>
      </c>
      <c r="BJ1343" s="68" cm="1">
        <f t="array" ref="BJ1343">IF(BM1343 = "", "",IFERROR(INDEX(AW1343:BH1343,1,MATCH(2,1/(AW1343:BH1343&lt;&gt;""),1)-1),""))</f>
        <v>0</v>
      </c>
      <c r="BK1343" s="59">
        <f>IF((IF(AW1343&gt;=150%,150%,AW1343) + IF(AX1343&gt;=150%,150%,AX1343) + IF(AY1343&gt;=150%,150%,AY1343) + (IF(AW1343&gt;=150%,150%,AW1343) + IF(BA1343&gt;=150%,150%,BA1343) + IF(BB1343&gt;=150%,150%,BB1343) + IF(BC1343&gt;=150%,150%,BC1343) + IF(BD1343&gt;=150%,150%,BD1343) + IF(BE1343&gt;=150%,150%,BE1343) + IF(BF1343&gt;=150%,150%,BF1343) + IF(BG1343&gt;=150%,150%,BG1343) + IF(BH1343&gt;=150%,150%,BH1343)))/_xlfn.XLOOKUP(F1343,Apuração!A:A,Apuração!B:B)&gt;=1.15,1.15,((IF(AW1343&gt;=150%,150%,AW1343) + IF(AX1343&gt;=150%,150%,AX1343) + IF(AY1343&gt;=150%,150%,AY1343) + (IF(AW1343&gt;=150%,150%,AW1343) + IF(BA1343&gt;=150%,150%,BA1343) + IF(BB1343&gt;=150%,150%,BB1343) + IF(BC1343&gt;=150%,150%,BC1343) + IF(BD1343&gt;=150%,150%,BD1343) + IF(BE1343&gt;=150%,150%,BE1343) + IF(BF1343&gt;=150%,150%,BF1343) + IF(BG1343&gt;=150%,150%,BG1343) + IF(BH1343&gt;=150%,150%,BH1343)))/_xlfn.XLOOKUP(F1343,Apuração!A:A,Apuração!B:B)))</f>
        <v>0</v>
      </c>
      <c r="BL1343" s="59" cm="1">
        <f t="array" aca="1" ref="BL1343" ca="1">IF(SUM(IFERROR(IF(INDEX(AW1343:INDEX(AW1343:BH1343, MATCH(2, 1/(AW1343:BH1343&lt;&gt;""), 1)-1), ROW(INDIRECT("1:" &amp; MATCH(2, 1/(AW1343:BH1343&lt;&gt;""), 1)-1))) &gt;= 150%, 150%, INDEX(AW1343:INDEX(AW1343:BH1343, MATCH(2, 1/(AW1343:BH1343&lt;&gt;""), 1)-1), ROW(INDIRECT("1:" &amp; MATCH(2, 1/(AW1343:BH1343&lt;&gt;""), 1)-1)))), 0))/_xlfn.XLOOKUP(F1343,Apuração!A:A,Apuração!B:B)&gt;=1.15,1.15,SUM(IFERROR(IF(INDEX(AW1343:INDEX(AW1343:BH1343, MATCH(2, 1/(AW1343:BH1343&lt;&gt;""), 1)-1), ROW(INDIRECT("1:" &amp; MATCH(2, 1/(AW1343:BH1343&lt;&gt;""), 1)-1))) &gt;= 150%, 150%, INDEX(AW1343:INDEX(AW1343:BH1343, MATCH(2, 1/(AW1343:BH1343&lt;&gt;""), 1)-1), ROW(INDIRECT("1:" &amp; MATCH(2, 1/(AW1343:BH1343&lt;&gt;""), 1)-1)))), 0))/_xlfn.XLOOKUP(F1343,Apuração!A:A,Apuração!B:B))</f>
        <v>0</v>
      </c>
      <c r="BM1343" s="55" cm="1">
        <f t="array" ref="BM1343">IFERROR(
   INDEX($AW$1:$BH$1,
      _xlfn.AGGREGATE(14, 6, COLUMN($AW$1:$BH$1)/(AW1343:BH1343&lt;&gt;""), 2) - COLUMN($AW$1) + 1
   ),
"")</f>
        <v>46082</v>
      </c>
      <c r="BN1343" s="55" cm="1">
        <f t="array" ref="BN1343">IFERROR(INDEX($AW$1:$BH$1,1,MATCH(2,1/(AW1343:BH1343&lt;&gt;""))),"")</f>
        <v>46113</v>
      </c>
      <c r="BO1343" s="53">
        <f ca="1">IFERROR(_xlfn.XLOOKUP(F1343,Apuração!A:A,Apuração!C:C)/_xlfn.XLOOKUP(F1343,Apuração!A:A,Apuração!B:B),0)</f>
        <v>0</v>
      </c>
      <c r="BP1343" s="53">
        <f ca="1">IFERROR(_xlfn.XLOOKUP(F1343,Apuração!A:A,Apuração!D:D)/_xlfn.XLOOKUP(F1343,Apuração!A:A,Apuração!B:B),0)</f>
        <v>0</v>
      </c>
      <c r="BQ1343" s="53">
        <f ca="1">IF(BK1343&gt;=BO1343,0,_xlfn.XLOOKUP(F1343,Apuração!A:A,Apuração!B:B)*(BO1343 + (1/_xlfn.XLOOKUP(F1343,Apuração!A:A,Apuração!B:B)) - BK1343))</f>
        <v>0</v>
      </c>
      <c r="BR1343" s="85">
        <f t="shared" ca="1" si="1595"/>
        <v>0</v>
      </c>
      <c r="BS1343" s="53">
        <f ca="1">IFERROR((_xlfn.XLOOKUP(F1343,Apuração!A:A,Apuração!C:C)+1)/_xlfn.XLOOKUP(F1343,Apuração!A:A,Apuração!B:B),0)</f>
        <v>0.14285714285714285</v>
      </c>
    </row>
    <row r="1344" spans="1:71" ht="25.95" hidden="1" customHeight="1" x14ac:dyDescent="0.3">
      <c r="A1344" s="42" t="s">
        <v>134</v>
      </c>
      <c r="B1344" s="4" t="s">
        <v>158</v>
      </c>
      <c r="C1344" s="5" t="s">
        <v>209</v>
      </c>
      <c r="D1344" s="5" t="s">
        <v>212</v>
      </c>
      <c r="E1344" s="4" t="str" cm="1">
        <f t="array" ref="E1344">_xlfn.IFS(
F1344 = "A partir de Abril", "Aguardando Execução na Distribuidora",
A1344 = "CAPACITAÇÃO", "Em execução no Corporativo",
TRUE, "Em Execução na Distribuidora"
)</f>
        <v>Em Execução na Distribuidora</v>
      </c>
      <c r="F1344" s="4" t="str" cm="1">
        <f t="array" ref="F1344">_xlfn.IFS(
AG1344 &lt;&gt; "", "Jan-Dez/26",
AH1344 &lt;&gt; "", "Fev-Dez/26",
AI1344 &lt;&gt; "", "Mar-Dez/26", AJ1344 &lt;&gt; "", "Abr-Dez/26",
TRUE, "A partir de Junho"
)</f>
        <v>A partir de Junho</v>
      </c>
      <c r="G1344" s="4" t="s">
        <v>62</v>
      </c>
      <c r="H1344" s="7" t="s">
        <v>54</v>
      </c>
      <c r="I1344" s="8" t="s">
        <v>165</v>
      </c>
      <c r="J1344" s="8" t="str" cm="1">
        <f t="array" aca="1" ref="J1344" ca="1">_xlfn.LET(
  _xlpm.actual_value_month, INDEX(T1344:AE1344, MATCH(DATE(YEAR(TODAY()), MONTH(TODAY()), 1), $T$1:$AE$1, 0)),
  IF(_xlpm.actual_value_month &lt;&gt; "",_xlpm.actual_value_month &amp; " ações mensais", "")
)</f>
        <v/>
      </c>
      <c r="K1344" s="8" t="str" cm="1">
        <f t="array" ref="K1344">_xlfn.LET(
    _xlpm.sum_month, SUM(T1344:AE1344),
    IF(_xlpm.sum_month = 0, "", _xlpm.sum_month &amp; " participações de líderes nas agendas semanais")
)</f>
        <v/>
      </c>
      <c r="L1344" s="4" t="s">
        <v>166</v>
      </c>
      <c r="M1344" s="24">
        <v>1</v>
      </c>
      <c r="N1344" s="5" t="s">
        <v>51</v>
      </c>
      <c r="O1344" s="111" t="s">
        <v>43</v>
      </c>
      <c r="P1344" s="10" t="s">
        <v>44</v>
      </c>
      <c r="Q1344" s="10" t="s">
        <v>44</v>
      </c>
      <c r="R1344" s="11" t="s">
        <v>44</v>
      </c>
      <c r="S1344" s="11" t="s">
        <v>44</v>
      </c>
      <c r="T1344" s="22"/>
      <c r="U1344" s="22"/>
      <c r="V1344" s="22"/>
      <c r="W1344" s="22"/>
      <c r="X1344" s="22"/>
      <c r="Y1344" s="22"/>
      <c r="Z1344" s="22"/>
      <c r="AA1344" s="22"/>
      <c r="AB1344" s="22"/>
      <c r="AC1344" s="22"/>
      <c r="AD1344" s="22"/>
      <c r="AE1344" s="22"/>
      <c r="AG1344" s="71"/>
      <c r="AH1344" s="71"/>
      <c r="AI1344" s="71"/>
      <c r="AJ1344" s="71"/>
      <c r="AK1344" s="71"/>
      <c r="AL1344" s="71"/>
      <c r="AM1344" s="71"/>
      <c r="AN1344" s="71"/>
      <c r="AO1344" s="71"/>
      <c r="AP1344" s="71"/>
      <c r="AQ1344" s="71"/>
      <c r="AR1344" s="71"/>
      <c r="AS1344" s="94">
        <f t="shared" ca="1" si="1588"/>
        <v>0</v>
      </c>
      <c r="AT1344" s="95">
        <f t="shared" si="1589"/>
        <v>0</v>
      </c>
      <c r="AU1344" s="97">
        <f t="shared" si="1590"/>
        <v>0</v>
      </c>
      <c r="AW1344" s="83">
        <f t="shared" si="1591"/>
        <v>0</v>
      </c>
      <c r="AX1344" s="83">
        <f t="shared" si="1592"/>
        <v>0</v>
      </c>
      <c r="AY1344" s="83">
        <f t="shared" si="1593"/>
        <v>0</v>
      </c>
      <c r="AZ1344" s="83">
        <f t="shared" si="1594"/>
        <v>0</v>
      </c>
      <c r="BA1344" s="52"/>
      <c r="BB1344" s="52"/>
      <c r="BC1344" s="52"/>
      <c r="BD1344" s="52"/>
      <c r="BE1344" s="52"/>
      <c r="BF1344" s="52"/>
      <c r="BG1344" s="52"/>
      <c r="BH1344" s="52"/>
      <c r="BI1344" s="68" cm="1">
        <f t="array" ref="BI1344">IFERROR(INDEX(AW1344:BH1344,1,MATCH(2,1/(AW1344:BH1344&lt;&gt;""))),"")</f>
        <v>0</v>
      </c>
      <c r="BJ1344" s="68" cm="1">
        <f t="array" ref="BJ1344">IF(BM1344 = "", "",IFERROR(INDEX(AW1344:BH1344,1,MATCH(2,1/(AW1344:BH1344&lt;&gt;""),1)-1),""))</f>
        <v>0</v>
      </c>
      <c r="BK1344" s="59">
        <f>IF((IF(AW1344&gt;=150%,150%,AW1344) + IF(AX1344&gt;=150%,150%,AX1344) + IF(AY1344&gt;=150%,150%,AY1344) + (IF(AW1344&gt;=150%,150%,AW1344) + IF(BA1344&gt;=150%,150%,BA1344) + IF(BB1344&gt;=150%,150%,BB1344) + IF(BC1344&gt;=150%,150%,BC1344) + IF(BD1344&gt;=150%,150%,BD1344) + IF(BE1344&gt;=150%,150%,BE1344) + IF(BF1344&gt;=150%,150%,BF1344) + IF(BG1344&gt;=150%,150%,BG1344) + IF(BH1344&gt;=150%,150%,BH1344)))/_xlfn.XLOOKUP(F1344,Apuração!A:A,Apuração!B:B)&gt;=1.15,1.15,((IF(AW1344&gt;=150%,150%,AW1344) + IF(AX1344&gt;=150%,150%,AX1344) + IF(AY1344&gt;=150%,150%,AY1344) + (IF(AW1344&gt;=150%,150%,AW1344) + IF(BA1344&gt;=150%,150%,BA1344) + IF(BB1344&gt;=150%,150%,BB1344) + IF(BC1344&gt;=150%,150%,BC1344) + IF(BD1344&gt;=150%,150%,BD1344) + IF(BE1344&gt;=150%,150%,BE1344) + IF(BF1344&gt;=150%,150%,BF1344) + IF(BG1344&gt;=150%,150%,BG1344) + IF(BH1344&gt;=150%,150%,BH1344)))/_xlfn.XLOOKUP(F1344,Apuração!A:A,Apuração!B:B)))</f>
        <v>0</v>
      </c>
      <c r="BL1344" s="59" cm="1">
        <f t="array" aca="1" ref="BL1344" ca="1">IF(SUM(IFERROR(IF(INDEX(AW1344:INDEX(AW1344:BH1344, MATCH(2, 1/(AW1344:BH1344&lt;&gt;""), 1)-1), ROW(INDIRECT("1:" &amp; MATCH(2, 1/(AW1344:BH1344&lt;&gt;""), 1)-1))) &gt;= 150%, 150%, INDEX(AW1344:INDEX(AW1344:BH1344, MATCH(2, 1/(AW1344:BH1344&lt;&gt;""), 1)-1), ROW(INDIRECT("1:" &amp; MATCH(2, 1/(AW1344:BH1344&lt;&gt;""), 1)-1)))), 0))/_xlfn.XLOOKUP(F1344,Apuração!A:A,Apuração!B:B)&gt;=1.15,1.15,SUM(IFERROR(IF(INDEX(AW1344:INDEX(AW1344:BH1344, MATCH(2, 1/(AW1344:BH1344&lt;&gt;""), 1)-1), ROW(INDIRECT("1:" &amp; MATCH(2, 1/(AW1344:BH1344&lt;&gt;""), 1)-1))) &gt;= 150%, 150%, INDEX(AW1344:INDEX(AW1344:BH1344, MATCH(2, 1/(AW1344:BH1344&lt;&gt;""), 1)-1), ROW(INDIRECT("1:" &amp; MATCH(2, 1/(AW1344:BH1344&lt;&gt;""), 1)-1)))), 0))/_xlfn.XLOOKUP(F1344,Apuração!A:A,Apuração!B:B))</f>
        <v>0</v>
      </c>
      <c r="BM1344" s="55" cm="1">
        <f t="array" ref="BM1344">IFERROR(
   INDEX($AW$1:$BH$1,
      _xlfn.AGGREGATE(14, 6, COLUMN($AW$1:$BH$1)/(AW1344:BH1344&lt;&gt;""), 2) - COLUMN($AW$1) + 1
   ),
"")</f>
        <v>46082</v>
      </c>
      <c r="BN1344" s="55" cm="1">
        <f t="array" ref="BN1344">IFERROR(INDEX($AW$1:$BH$1,1,MATCH(2,1/(AW1344:BH1344&lt;&gt;""))),"")</f>
        <v>46113</v>
      </c>
      <c r="BO1344" s="53">
        <f ca="1">IFERROR(_xlfn.XLOOKUP(F1344,Apuração!A:A,Apuração!C:C)/_xlfn.XLOOKUP(F1344,Apuração!A:A,Apuração!B:B),0)</f>
        <v>0</v>
      </c>
      <c r="BP1344" s="53">
        <f ca="1">IFERROR(_xlfn.XLOOKUP(F1344,Apuração!A:A,Apuração!D:D)/_xlfn.XLOOKUP(F1344,Apuração!A:A,Apuração!B:B),0)</f>
        <v>0</v>
      </c>
      <c r="BQ1344" s="53">
        <f ca="1">IF(BK1344&gt;=BO1344,0,_xlfn.XLOOKUP(F1344,Apuração!A:A,Apuração!B:B)*(BO1344 + (1/_xlfn.XLOOKUP(F1344,Apuração!A:A,Apuração!B:B)) - BK1344))</f>
        <v>0</v>
      </c>
      <c r="BR1344" s="85">
        <f t="shared" ca="1" si="1595"/>
        <v>0</v>
      </c>
      <c r="BS1344" s="53">
        <f ca="1">IFERROR((_xlfn.XLOOKUP(F1344,Apuração!A:A,Apuração!C:C)+1)/_xlfn.XLOOKUP(F1344,Apuração!A:A,Apuração!B:B),0)</f>
        <v>0.14285714285714285</v>
      </c>
    </row>
    <row r="1345" spans="1:71" ht="25.95" hidden="1" customHeight="1" x14ac:dyDescent="0.3">
      <c r="A1345" s="42" t="s">
        <v>134</v>
      </c>
      <c r="B1345" s="4" t="s">
        <v>158</v>
      </c>
      <c r="C1345" s="5" t="s">
        <v>209</v>
      </c>
      <c r="D1345" s="5" t="s">
        <v>213</v>
      </c>
      <c r="E1345" s="4" t="str" cm="1">
        <f t="array" ref="E1345">_xlfn.IFS(
F1345 = "A partir de Abril", "Aguardando Execução na Distribuidora",
A1345 = "CAPACITAÇÃO", "Em execução no Corporativo",
TRUE, "Em Execução na Distribuidora"
)</f>
        <v>Em Execução na Distribuidora</v>
      </c>
      <c r="F1345" s="4" t="str" cm="1">
        <f t="array" ref="F1345">_xlfn.IFS(
AG1345 &lt;&gt; "", "Jan-Dez/26",
AH1345 &lt;&gt; "", "Fev-Dez/26",
AI1345 &lt;&gt; "", "Mar-Dez/26", AJ1345 &lt;&gt; "", "Abr-Dez/26",
TRUE, "A partir de Junho"
)</f>
        <v>A partir de Junho</v>
      </c>
      <c r="G1345" s="4" t="s">
        <v>62</v>
      </c>
      <c r="H1345" s="7" t="s">
        <v>54</v>
      </c>
      <c r="I1345" s="8" t="s">
        <v>165</v>
      </c>
      <c r="J1345" s="8" t="str" cm="1">
        <f t="array" aca="1" ref="J1345" ca="1">_xlfn.LET(
  _xlpm.actual_value_month, INDEX(T1345:AE1345, MATCH(DATE(YEAR(TODAY()), MONTH(TODAY()), 1), $T$1:$AE$1, 0)),
  IF(_xlpm.actual_value_month &lt;&gt; "",_xlpm.actual_value_month &amp; " ações mensais", "")
)</f>
        <v/>
      </c>
      <c r="K1345" s="8" t="str" cm="1">
        <f t="array" ref="K1345">_xlfn.LET(
    _xlpm.sum_month, SUM(T1345:AE1345),
    IF(_xlpm.sum_month = 0, "", _xlpm.sum_month &amp; " participações de líderes nas agendas semanais")
)</f>
        <v/>
      </c>
      <c r="L1345" s="4" t="s">
        <v>166</v>
      </c>
      <c r="M1345" s="24">
        <v>1</v>
      </c>
      <c r="N1345" s="5" t="s">
        <v>51</v>
      </c>
      <c r="O1345" s="111" t="s">
        <v>43</v>
      </c>
      <c r="P1345" s="10" t="s">
        <v>44</v>
      </c>
      <c r="Q1345" s="10" t="s">
        <v>44</v>
      </c>
      <c r="R1345" s="11" t="s">
        <v>44</v>
      </c>
      <c r="S1345" s="11" t="s">
        <v>44</v>
      </c>
      <c r="T1345" s="22"/>
      <c r="U1345" s="22"/>
      <c r="V1345" s="22"/>
      <c r="W1345" s="22"/>
      <c r="X1345" s="22"/>
      <c r="Y1345" s="22"/>
      <c r="Z1345" s="22"/>
      <c r="AA1345" s="22"/>
      <c r="AB1345" s="22"/>
      <c r="AC1345" s="22"/>
      <c r="AD1345" s="22"/>
      <c r="AE1345" s="22"/>
      <c r="AG1345" s="71"/>
      <c r="AH1345" s="71"/>
      <c r="AI1345" s="71"/>
      <c r="AJ1345" s="71"/>
      <c r="AK1345" s="71"/>
      <c r="AL1345" s="71"/>
      <c r="AM1345" s="71"/>
      <c r="AN1345" s="71"/>
      <c r="AO1345" s="71"/>
      <c r="AP1345" s="71"/>
      <c r="AQ1345" s="71"/>
      <c r="AR1345" s="71"/>
      <c r="AS1345" s="94">
        <f t="shared" ca="1" si="1588"/>
        <v>0</v>
      </c>
      <c r="AT1345" s="95">
        <f t="shared" si="1589"/>
        <v>0</v>
      </c>
      <c r="AU1345" s="97">
        <f t="shared" si="1590"/>
        <v>0</v>
      </c>
      <c r="AW1345" s="83">
        <f t="shared" si="1591"/>
        <v>0</v>
      </c>
      <c r="AX1345" s="83">
        <f t="shared" si="1592"/>
        <v>0</v>
      </c>
      <c r="AY1345" s="83">
        <f t="shared" si="1593"/>
        <v>0</v>
      </c>
      <c r="AZ1345" s="83">
        <f t="shared" si="1594"/>
        <v>0</v>
      </c>
      <c r="BA1345" s="52"/>
      <c r="BB1345" s="52"/>
      <c r="BC1345" s="52"/>
      <c r="BD1345" s="52"/>
      <c r="BE1345" s="52"/>
      <c r="BF1345" s="52"/>
      <c r="BG1345" s="52"/>
      <c r="BH1345" s="52"/>
      <c r="BI1345" s="68" cm="1">
        <f t="array" ref="BI1345">IFERROR(INDEX(AW1345:BH1345,1,MATCH(2,1/(AW1345:BH1345&lt;&gt;""))),"")</f>
        <v>0</v>
      </c>
      <c r="BJ1345" s="68" cm="1">
        <f t="array" ref="BJ1345">IF(BM1345 = "", "",IFERROR(INDEX(AW1345:BH1345,1,MATCH(2,1/(AW1345:BH1345&lt;&gt;""),1)-1),""))</f>
        <v>0</v>
      </c>
      <c r="BK1345" s="59">
        <f>IF((IF(AW1345&gt;=150%,150%,AW1345) + IF(AX1345&gt;=150%,150%,AX1345) + IF(AY1345&gt;=150%,150%,AY1345) + (IF(AW1345&gt;=150%,150%,AW1345) + IF(BA1345&gt;=150%,150%,BA1345) + IF(BB1345&gt;=150%,150%,BB1345) + IF(BC1345&gt;=150%,150%,BC1345) + IF(BD1345&gt;=150%,150%,BD1345) + IF(BE1345&gt;=150%,150%,BE1345) + IF(BF1345&gt;=150%,150%,BF1345) + IF(BG1345&gt;=150%,150%,BG1345) + IF(BH1345&gt;=150%,150%,BH1345)))/_xlfn.XLOOKUP(F1345,Apuração!A:A,Apuração!B:B)&gt;=1.15,1.15,((IF(AW1345&gt;=150%,150%,AW1345) + IF(AX1345&gt;=150%,150%,AX1345) + IF(AY1345&gt;=150%,150%,AY1345) + (IF(AW1345&gt;=150%,150%,AW1345) + IF(BA1345&gt;=150%,150%,BA1345) + IF(BB1345&gt;=150%,150%,BB1345) + IF(BC1345&gt;=150%,150%,BC1345) + IF(BD1345&gt;=150%,150%,BD1345) + IF(BE1345&gt;=150%,150%,BE1345) + IF(BF1345&gt;=150%,150%,BF1345) + IF(BG1345&gt;=150%,150%,BG1345) + IF(BH1345&gt;=150%,150%,BH1345)))/_xlfn.XLOOKUP(F1345,Apuração!A:A,Apuração!B:B)))</f>
        <v>0</v>
      </c>
      <c r="BL1345" s="59" cm="1">
        <f t="array" aca="1" ref="BL1345" ca="1">IF(SUM(IFERROR(IF(INDEX(AW1345:INDEX(AW1345:BH1345, MATCH(2, 1/(AW1345:BH1345&lt;&gt;""), 1)-1), ROW(INDIRECT("1:" &amp; MATCH(2, 1/(AW1345:BH1345&lt;&gt;""), 1)-1))) &gt;= 150%, 150%, INDEX(AW1345:INDEX(AW1345:BH1345, MATCH(2, 1/(AW1345:BH1345&lt;&gt;""), 1)-1), ROW(INDIRECT("1:" &amp; MATCH(2, 1/(AW1345:BH1345&lt;&gt;""), 1)-1)))), 0))/_xlfn.XLOOKUP(F1345,Apuração!A:A,Apuração!B:B)&gt;=1.15,1.15,SUM(IFERROR(IF(INDEX(AW1345:INDEX(AW1345:BH1345, MATCH(2, 1/(AW1345:BH1345&lt;&gt;""), 1)-1), ROW(INDIRECT("1:" &amp; MATCH(2, 1/(AW1345:BH1345&lt;&gt;""), 1)-1))) &gt;= 150%, 150%, INDEX(AW1345:INDEX(AW1345:BH1345, MATCH(2, 1/(AW1345:BH1345&lt;&gt;""), 1)-1), ROW(INDIRECT("1:" &amp; MATCH(2, 1/(AW1345:BH1345&lt;&gt;""), 1)-1)))), 0))/_xlfn.XLOOKUP(F1345,Apuração!A:A,Apuração!B:B))</f>
        <v>0</v>
      </c>
      <c r="BM1345" s="55" cm="1">
        <f t="array" ref="BM1345">IFERROR(
   INDEX($AW$1:$BH$1,
      _xlfn.AGGREGATE(14, 6, COLUMN($AW$1:$BH$1)/(AW1345:BH1345&lt;&gt;""), 2) - COLUMN($AW$1) + 1
   ),
"")</f>
        <v>46082</v>
      </c>
      <c r="BN1345" s="55" cm="1">
        <f t="array" ref="BN1345">IFERROR(INDEX($AW$1:$BH$1,1,MATCH(2,1/(AW1345:BH1345&lt;&gt;""))),"")</f>
        <v>46113</v>
      </c>
      <c r="BO1345" s="53">
        <f ca="1">IFERROR(_xlfn.XLOOKUP(F1345,Apuração!A:A,Apuração!C:C)/_xlfn.XLOOKUP(F1345,Apuração!A:A,Apuração!B:B),0)</f>
        <v>0</v>
      </c>
      <c r="BP1345" s="53">
        <f ca="1">IFERROR(_xlfn.XLOOKUP(F1345,Apuração!A:A,Apuração!D:D)/_xlfn.XLOOKUP(F1345,Apuração!A:A,Apuração!B:B),0)</f>
        <v>0</v>
      </c>
      <c r="BQ1345" s="53">
        <f ca="1">IF(BK1345&gt;=BO1345,0,_xlfn.XLOOKUP(F1345,Apuração!A:A,Apuração!B:B)*(BO1345 + (1/_xlfn.XLOOKUP(F1345,Apuração!A:A,Apuração!B:B)) - BK1345))</f>
        <v>0</v>
      </c>
      <c r="BR1345" s="85">
        <f t="shared" ca="1" si="1595"/>
        <v>0</v>
      </c>
      <c r="BS1345" s="53">
        <f ca="1">IFERROR((_xlfn.XLOOKUP(F1345,Apuração!A:A,Apuração!C:C)+1)/_xlfn.XLOOKUP(F1345,Apuração!A:A,Apuração!B:B),0)</f>
        <v>0.14285714285714285</v>
      </c>
    </row>
    <row r="1346" spans="1:71" ht="25.95" hidden="1" customHeight="1" x14ac:dyDescent="0.3">
      <c r="A1346" s="23" t="s">
        <v>134</v>
      </c>
      <c r="B1346" s="4" t="s">
        <v>167</v>
      </c>
      <c r="C1346" s="5" t="s">
        <v>209</v>
      </c>
      <c r="D1346" s="5" t="s">
        <v>36</v>
      </c>
      <c r="E1346" s="4" t="s">
        <v>61</v>
      </c>
      <c r="F1346" s="4" t="str" cm="1">
        <f t="array" ref="F1346">_xlfn.IFS(
AG1346 &lt;&gt; "", "Jan-Dez/26",
AH1346 &lt;&gt; "", "Fev-Dez/26",
AI1346 &lt;&gt; "", "Mar-Dez/26", AJ1346 &lt;&gt; "", "Abr-Dez/26",
TRUE, "A partir de Junho"
)</f>
        <v>A partir de Junho</v>
      </c>
      <c r="G1346" s="4" t="s">
        <v>62</v>
      </c>
      <c r="H1346" s="7" t="s">
        <v>38</v>
      </c>
      <c r="I1346" s="8" t="s">
        <v>168</v>
      </c>
      <c r="J1346" s="8" t="str" cm="1">
        <f t="array" aca="1" ref="J1346" ca="1">_xlfn.LET(
  _xlpm.actual_value_month, INDEX(T1346:AE1346, MATCH(DATE(YEAR(TODAY()), MONTH(TODAY()), 1), $T$1:$AE$1, 0)),
  IF(_xlpm.actual_value_month &lt;&gt; "",_xlpm.actual_value_month &amp; " ações mensais", "")
)</f>
        <v/>
      </c>
      <c r="K1346" s="8" t="str" cm="1">
        <f t="array" ref="K1346">_xlfn.LET(
    _xlpm.sum_month, SUM(T1346:AE1346),
    IF(_xlpm.sum_month = 0, "", _xlpm.sum_month &amp; " atividades no ano")
)</f>
        <v/>
      </c>
      <c r="L1346" s="9" t="s">
        <v>169</v>
      </c>
      <c r="M1346" s="24" t="s">
        <v>170</v>
      </c>
      <c r="N1346" s="5" t="s">
        <v>42</v>
      </c>
      <c r="O1346" s="5" t="s">
        <v>43</v>
      </c>
      <c r="P1346" s="10" t="s">
        <v>44</v>
      </c>
      <c r="Q1346" s="10" t="s">
        <v>44</v>
      </c>
      <c r="R1346" s="11" t="s">
        <v>66</v>
      </c>
      <c r="S1346" s="11" t="s">
        <v>67</v>
      </c>
      <c r="T1346" s="22"/>
      <c r="U1346" s="22"/>
      <c r="V1346" s="22"/>
      <c r="W1346" s="22"/>
      <c r="X1346" s="22"/>
      <c r="Y1346" s="22"/>
      <c r="Z1346" s="22"/>
      <c r="AA1346" s="22"/>
      <c r="AB1346" s="22"/>
      <c r="AC1346" s="22"/>
      <c r="AD1346" s="22"/>
      <c r="AE1346" s="22"/>
      <c r="AG1346" s="71"/>
      <c r="AH1346" s="71"/>
      <c r="AI1346" s="71"/>
      <c r="AJ1346" s="71"/>
      <c r="AK1346" s="71"/>
      <c r="AL1346" s="71"/>
      <c r="AM1346" s="71"/>
      <c r="AN1346" s="71"/>
      <c r="AO1346" s="71"/>
      <c r="AP1346" s="71"/>
      <c r="AQ1346" s="71"/>
      <c r="AR1346" s="71"/>
      <c r="AS1346" s="94">
        <f ca="1">IF(MONTH(TODAY())=3,SUM(T1346:U1346),IF(MONTH(TODAY())=4,SUM(T1346:V1346),IF(MONTH(TODAY())=5,SUM(T1346:W1346),IF(MONTH(TODAY())=6,SUM(T1346:X1346),IF(MONTH(TODAY())=7,SUM(T1346:Y1346),IF(MONTH(TODAY())=8,SUM(T1346:Z1346),IF(MONTH(TODAY())=9,SUM(T1346:AA1346),IF(MONTH(TODAY())=10,SUM(T1346:AB1346),IF(MONTH(TODAY())=11,SUM(T1346:AC1346),IF(MONTH(TODAY())=12,SUM(T1346:AD1346),IF(MONTH(TODAY())=1,SUM(T1346:AE1346),T1346)))))))))))</f>
        <v>0</v>
      </c>
      <c r="AT1346" s="95">
        <f>SUM(IF(AW1346&lt;1.15,AG1346,1.15*T1346),IF(AX1346&lt;1.15,AH1346,1.15*U1346),IF(AY1346&lt;1.15,AI1346,1.15*V1346),IF(AZ1346&lt;1.15,AJ1346,1.15*W1346),IF(BA1346&lt;1.15,AK1346,1.15*X1346),IF(BB1346&lt;1.15,AL1346,1.15*Y1346),IF(BC1346&lt;1.15,AM1346,1.15*Z1346),IF(BD1346&lt;1.15,AN1346,1.15*AA1346),IF(BE1346&lt;1.15,AO1346,1.15*AB1346),IF(BF1346&lt;1.15,AP1346,1.15*AC1346),IF(BG1346&lt;1.15,AQ1346,1.15*AD1346),IF(BH1346&lt;1.15,AR1346,1.15*AE1346))</f>
        <v>0</v>
      </c>
      <c r="AU1346" s="97">
        <f>SUM(AG1346:AR1346)</f>
        <v>0</v>
      </c>
      <c r="AW1346" s="51">
        <f>IFERROR(IF(AG1346="",0,AG1346/T1346),0)</f>
        <v>0</v>
      </c>
      <c r="AX1346" s="51">
        <f>IFERROR(IF(AH1346="",0,AH1346/U1346),0)</f>
        <v>0</v>
      </c>
      <c r="AY1346" s="51">
        <f>IFERROR(IF(AI1346="",0,AI1346/V1346),0)</f>
        <v>0</v>
      </c>
      <c r="AZ1346" s="51">
        <f>IFERROR(IF(AJ1346="",0,AJ1346/W1346),0)</f>
        <v>0</v>
      </c>
      <c r="BA1346" s="51"/>
      <c r="BB1346" s="51"/>
      <c r="BC1346" s="51"/>
      <c r="BD1346" s="51"/>
      <c r="BE1346" s="51"/>
      <c r="BF1346" s="51"/>
      <c r="BG1346" s="51"/>
      <c r="BH1346" s="51"/>
      <c r="BI1346" s="65" cm="1">
        <f t="array" ref="BI1346">IFERROR(INDEX(AW1346:BH1346,1,MATCH(2,1/(AW1346:BH1346&lt;&gt;""))),"")</f>
        <v>0</v>
      </c>
      <c r="BJ1346" s="68" cm="1">
        <f t="array" ref="BJ1346">IF(BM1346 = "", "",IFERROR(INDEX(AW1346:BH1346,1,MATCH(2,1/(AW1346:BH1346&lt;&gt;""),1)-1),""))</f>
        <v>0</v>
      </c>
      <c r="BK1346" s="58">
        <f>IF((IF(AW1346&gt;=115%,115%,AW1346) + IF(AX1346&gt;=115%,115%,AX1346) + IF(AY1346&gt;=115%,115%,AY1346) + (IF(AZ1346&gt;=115%,115%,AZ1346) + IF(BA1346&gt;=115%,115%,BA1346) + IF(BB1346&gt;=115%,115%,BB1346) + IF(BC1346&gt;=115%,115%,BC1346) + IF(BD1346&gt;=115%,115%,BD1346) + IF(BE1346&gt;=115%,115%,BE1346) + IF(BF1346&gt;=115%,115%,BF1346) + IF(BG1346&gt;=115%,115%,BG1346) + IF(BH1346&gt;=115%,115%,BH1346)))/_xlfn.XLOOKUP(F1346,Apuração!A:A,Apuração!B:B)&gt;=1.15,1.15,((IF(AZ1346&gt;=115%,115%,AZ1346) + IF(AX1346&gt;=115%,115%,AX1346) + IF(AY1346&gt;=115%,115%,AY1346) + (IF(AW1346&gt;=115%,115%,AW1346) + IF(BA1346&gt;=115%,115%,BA1346) + IF(BB1346&gt;=115%,115%,BB1346) + IF(BC1346&gt;=115%,115%,BC1346) + IF(BD1346&gt;=115%,115%,BD1346) + IF(BE1346&gt;=115%,115%,BE1346) + IF(BF1346&gt;=115%,115%,BF1346) + IF(BG1346&gt;=115%,115%,BG1346) + IF(BH1346&gt;=115%,115%,BH1346)))/_xlfn.XLOOKUP(F1346,Apuração!A:A,Apuração!B:B)))</f>
        <v>0</v>
      </c>
      <c r="BL1346" s="58" cm="1">
        <f t="array" aca="1" ref="BL1346" ca="1">IF(SUM(IFERROR(IF(INDEX(AW1346:INDEX(AW1346:BH1346, MATCH(2, 1/(AW1346:BH1346&lt;&gt;""), 1)-1), ROW(INDIRECT("1:" &amp; MATCH(2, 1/(AW1346:BH1346&lt;&gt;""), 1)-1))) &gt;= 115%, 115%, INDEX(AW1346:INDEX(AW1346:BH1346, MATCH(2, 1/(AW1346:BH1346&lt;&gt;""), 1)-1), ROW(INDIRECT("1:" &amp; MATCH(2, 1/(AW1346:BH1346&lt;&gt;""), 1)-1)))), 0))/_xlfn.XLOOKUP(F1346,Apuração!A:A,Apuração!B:B)&gt;=1.15,1.15,SUM(IFERROR(IF(INDEX(AW1346:INDEX(AW1346:BH1346, MATCH(2, 1/(AW1346:BH1346&lt;&gt;""), 1)-1), ROW(INDIRECT("1:" &amp; MATCH(2, 1/(AW1346:BH1346&lt;&gt;""), 1)-1))) &gt;= 115%, 115%, INDEX(AW1346:INDEX(AW1346:BH1346, MATCH(2, 1/(AW1346:BH1346&lt;&gt;""), 1)-1), ROW(INDIRECT("1:" &amp; MATCH(2, 1/(AW1346:BH1346&lt;&gt;""), 1)-1)))), 0))/_xlfn.XLOOKUP(F1346,Apuração!A:A,Apuração!B:B))</f>
        <v>0</v>
      </c>
      <c r="BM1346" s="55" cm="1">
        <f t="array" ref="BM1346">IFERROR(
   INDEX($AW$1:$BH$1,
      _xlfn.AGGREGATE(14, 6, COLUMN($AW$1:$BH$1)/(AW1346:BH1346&lt;&gt;""), 2) - COLUMN($AW$1) + 1
   ),
"")</f>
        <v>46082</v>
      </c>
      <c r="BN1346" s="55" cm="1">
        <f t="array" ref="BN1346">IFERROR(INDEX($AW$1:$BH$1,1,MATCH(2,1/(AW1346:BH1346&lt;&gt;""))),"")</f>
        <v>46113</v>
      </c>
      <c r="BO1346" s="53">
        <f ca="1">IFERROR(_xlfn.XLOOKUP(F1346,Apuração!A:A,Apuração!C:C)/_xlfn.XLOOKUP(F1346,Apuração!A:A,Apuração!B:B),0)</f>
        <v>0</v>
      </c>
      <c r="BP1346" s="53">
        <f ca="1">IFERROR(_xlfn.XLOOKUP(F1346,Apuração!A:A,Apuração!D:D)/_xlfn.XLOOKUP(F1346,Apuração!A:A,Apuração!B:B),0)</f>
        <v>0</v>
      </c>
      <c r="BQ1346" s="53">
        <f ca="1">IF(BK1346&gt;=BO1346,0,_xlfn.XLOOKUP(F1346,Apuração!A:A,Apuração!B:B)*(BO1346 + (1/_xlfn.XLOOKUP(F1346,Apuração!A:A,Apuração!B:B)) - BK1346))</f>
        <v>0</v>
      </c>
      <c r="BR1346" s="85">
        <f ca="1">IF(BQ1346=0,0,BQ1346*Z1346)</f>
        <v>0</v>
      </c>
      <c r="BS1346" s="53">
        <f ca="1">IFERROR((_xlfn.XLOOKUP(F1346,Apuração!A:A,Apuração!C:C)+1)/_xlfn.XLOOKUP(F1346,Apuração!A:A,Apuração!B:B),0)</f>
        <v>0.14285714285714285</v>
      </c>
    </row>
    <row r="1347" spans="1:71" ht="25.95" hidden="1" customHeight="1" x14ac:dyDescent="0.3">
      <c r="A1347" s="23" t="s">
        <v>134</v>
      </c>
      <c r="B1347" s="4" t="s">
        <v>167</v>
      </c>
      <c r="C1347" s="5" t="s">
        <v>209</v>
      </c>
      <c r="D1347" s="5" t="s">
        <v>210</v>
      </c>
      <c r="E1347" s="4" t="s">
        <v>61</v>
      </c>
      <c r="F1347" s="4" t="str" cm="1">
        <f t="array" ref="F1347">_xlfn.IFS(
AG1347 &lt;&gt; "", "Jan-Dez/26",
AH1347 &lt;&gt; "", "Fev-Dez/26",
AI1347 &lt;&gt; "", "Mar-Dez/26", AJ1347 &lt;&gt; "", "Abr-Dez/26",
TRUE, "A partir de Junho"
)</f>
        <v>A partir de Junho</v>
      </c>
      <c r="G1347" s="4" t="s">
        <v>62</v>
      </c>
      <c r="H1347" s="7" t="s">
        <v>38</v>
      </c>
      <c r="I1347" s="8" t="s">
        <v>168</v>
      </c>
      <c r="J1347" s="8" t="str" cm="1">
        <f t="array" aca="1" ref="J1347" ca="1">_xlfn.LET(
  _xlpm.actual_value_month, INDEX(T1347:AE1347, MATCH(DATE(YEAR(TODAY()), MONTH(TODAY()), 1), $T$1:$AE$1, 0)),
  IF(_xlpm.actual_value_month &lt;&gt; "",_xlpm.actual_value_month &amp; " ações mensais", "")
)</f>
        <v>1 ações mensais</v>
      </c>
      <c r="K1347" s="8" t="str" cm="1">
        <f t="array" ref="K1347">_xlfn.LET(
    _xlpm.sum_month, SUM(T1347:AE1347),
    IF(_xlpm.sum_month = 0, "", _xlpm.sum_month &amp; " atividades no ano")
)</f>
        <v>9 atividades no ano</v>
      </c>
      <c r="L1347" s="9" t="s">
        <v>169</v>
      </c>
      <c r="M1347" s="24" t="s">
        <v>170</v>
      </c>
      <c r="N1347" s="5" t="s">
        <v>42</v>
      </c>
      <c r="O1347" s="5" t="s">
        <v>43</v>
      </c>
      <c r="P1347" s="10" t="s">
        <v>44</v>
      </c>
      <c r="Q1347" s="10" t="s">
        <v>44</v>
      </c>
      <c r="R1347" s="11" t="s">
        <v>66</v>
      </c>
      <c r="S1347" s="11" t="s">
        <v>67</v>
      </c>
      <c r="T1347" s="22"/>
      <c r="U1347" s="22"/>
      <c r="V1347" s="22"/>
      <c r="W1347" s="22">
        <v>1</v>
      </c>
      <c r="X1347" s="22">
        <v>1</v>
      </c>
      <c r="Y1347" s="22">
        <v>1</v>
      </c>
      <c r="Z1347" s="22">
        <v>1</v>
      </c>
      <c r="AA1347" s="22">
        <v>1</v>
      </c>
      <c r="AB1347" s="22">
        <v>1</v>
      </c>
      <c r="AC1347" s="22">
        <v>1</v>
      </c>
      <c r="AD1347" s="22">
        <v>1</v>
      </c>
      <c r="AE1347" s="22">
        <v>1</v>
      </c>
      <c r="AG1347" s="71"/>
      <c r="AH1347" s="71"/>
      <c r="AI1347" s="71"/>
      <c r="AJ1347" s="71"/>
      <c r="AK1347" s="71"/>
      <c r="AL1347" s="71"/>
      <c r="AM1347" s="71"/>
      <c r="AN1347" s="71"/>
      <c r="AO1347" s="71"/>
      <c r="AP1347" s="71"/>
      <c r="AQ1347" s="71"/>
      <c r="AR1347" s="71"/>
      <c r="AS1347" s="94">
        <f t="shared" ref="AS1347:AS1351" ca="1" si="1596">IF(MONTH(TODAY())=3,SUM(T1347:U1347),IF(MONTH(TODAY())=4,SUM(T1347:V1347),IF(MONTH(TODAY())=5,SUM(T1347:W1347),IF(MONTH(TODAY())=6,SUM(T1347:X1347),IF(MONTH(TODAY())=7,SUM(T1347:Y1347),IF(MONTH(TODAY())=8,SUM(T1347:Z1347),IF(MONTH(TODAY())=9,SUM(T1347:AA1347),IF(MONTH(TODAY())=10,SUM(T1347:AB1347),IF(MONTH(TODAY())=11,SUM(T1347:AC1347),IF(MONTH(TODAY())=12,SUM(T1347:AD1347),IF(MONTH(TODAY())=1,SUM(T1347:AE1347),T1347)))))))))))</f>
        <v>2</v>
      </c>
      <c r="AT1347" s="95">
        <f t="shared" ref="AT1347:AT1351" si="1597">SUM(IF(AW1347&lt;1.15,AG1347,1.15*T1347),IF(AX1347&lt;1.15,AH1347,1.15*U1347),IF(AY1347&lt;1.15,AI1347,1.15*V1347),IF(AZ1347&lt;1.15,AJ1347,1.15*W1347),IF(BA1347&lt;1.15,AK1347,1.15*X1347),IF(BB1347&lt;1.15,AL1347,1.15*Y1347),IF(BC1347&lt;1.15,AM1347,1.15*Z1347),IF(BD1347&lt;1.15,AN1347,1.15*AA1347),IF(BE1347&lt;1.15,AO1347,1.15*AB1347),IF(BF1347&lt;1.15,AP1347,1.15*AC1347),IF(BG1347&lt;1.15,AQ1347,1.15*AD1347),IF(BH1347&lt;1.15,AR1347,1.15*AE1347))</f>
        <v>0</v>
      </c>
      <c r="AU1347" s="97">
        <f t="shared" ref="AU1347:AU1351" si="1598">SUM(AG1347:AR1347)</f>
        <v>0</v>
      </c>
      <c r="AW1347" s="51">
        <f t="shared" ref="AW1347:AW1351" si="1599">IFERROR(IF(AG1347="",0,AG1347/T1347),0)</f>
        <v>0</v>
      </c>
      <c r="AX1347" s="51">
        <f t="shared" ref="AX1347:AX1351" si="1600">IFERROR(IF(AH1347="",0,AH1347/U1347),0)</f>
        <v>0</v>
      </c>
      <c r="AY1347" s="51">
        <f t="shared" ref="AY1347:AY1351" si="1601">IFERROR(IF(AI1347="",0,AI1347/V1347),0)</f>
        <v>0</v>
      </c>
      <c r="AZ1347" s="51">
        <f t="shared" ref="AZ1347:AZ1351" si="1602">IFERROR(IF(AJ1347="",0,AJ1347/W1347),0)</f>
        <v>0</v>
      </c>
      <c r="BA1347" s="51"/>
      <c r="BB1347" s="51"/>
      <c r="BC1347" s="51"/>
      <c r="BD1347" s="51"/>
      <c r="BE1347" s="51"/>
      <c r="BF1347" s="51"/>
      <c r="BG1347" s="51"/>
      <c r="BH1347" s="51"/>
      <c r="BI1347" s="65" cm="1">
        <f t="array" ref="BI1347">IFERROR(INDEX(AW1347:BH1347,1,MATCH(2,1/(AW1347:BH1347&lt;&gt;""))),"")</f>
        <v>0</v>
      </c>
      <c r="BJ1347" s="68" cm="1">
        <f t="array" ref="BJ1347">IF(BM1347 = "", "",IFERROR(INDEX(AW1347:BH1347,1,MATCH(2,1/(AW1347:BH1347&lt;&gt;""),1)-1),""))</f>
        <v>0</v>
      </c>
      <c r="BK1347" s="58">
        <f>IF((IF(AW1347&gt;=115%,115%,AW1347) + IF(AX1347&gt;=115%,115%,AX1347) + IF(AY1347&gt;=115%,115%,AY1347) + (IF(AZ1347&gt;=115%,115%,AZ1347) + IF(BA1347&gt;=115%,115%,BA1347) + IF(BB1347&gt;=115%,115%,BB1347) + IF(BC1347&gt;=115%,115%,BC1347) + IF(BD1347&gt;=115%,115%,BD1347) + IF(BE1347&gt;=115%,115%,BE1347) + IF(BF1347&gt;=115%,115%,BF1347) + IF(BG1347&gt;=115%,115%,BG1347) + IF(BH1347&gt;=115%,115%,BH1347)))/_xlfn.XLOOKUP(F1347,Apuração!A:A,Apuração!B:B)&gt;=1.15,1.15,((IF(AZ1347&gt;=115%,115%,AZ1347) + IF(AX1347&gt;=115%,115%,AX1347) + IF(AY1347&gt;=115%,115%,AY1347) + (IF(AW1347&gt;=115%,115%,AW1347) + IF(BA1347&gt;=115%,115%,BA1347) + IF(BB1347&gt;=115%,115%,BB1347) + IF(BC1347&gt;=115%,115%,BC1347) + IF(BD1347&gt;=115%,115%,BD1347) + IF(BE1347&gt;=115%,115%,BE1347) + IF(BF1347&gt;=115%,115%,BF1347) + IF(BG1347&gt;=115%,115%,BG1347) + IF(BH1347&gt;=115%,115%,BH1347)))/_xlfn.XLOOKUP(F1347,Apuração!A:A,Apuração!B:B)))</f>
        <v>0</v>
      </c>
      <c r="BL1347" s="58" cm="1">
        <f t="array" aca="1" ref="BL1347" ca="1">IF(SUM(IFERROR(IF(INDEX(AW1347:INDEX(AW1347:BH1347, MATCH(2, 1/(AW1347:BH1347&lt;&gt;""), 1)-1), ROW(INDIRECT("1:" &amp; MATCH(2, 1/(AW1347:BH1347&lt;&gt;""), 1)-1))) &gt;= 115%, 115%, INDEX(AW1347:INDEX(AW1347:BH1347, MATCH(2, 1/(AW1347:BH1347&lt;&gt;""), 1)-1), ROW(INDIRECT("1:" &amp; MATCH(2, 1/(AW1347:BH1347&lt;&gt;""), 1)-1)))), 0))/_xlfn.XLOOKUP(F1347,Apuração!A:A,Apuração!B:B)&gt;=1.15,1.15,SUM(IFERROR(IF(INDEX(AW1347:INDEX(AW1347:BH1347, MATCH(2, 1/(AW1347:BH1347&lt;&gt;""), 1)-1), ROW(INDIRECT("1:" &amp; MATCH(2, 1/(AW1347:BH1347&lt;&gt;""), 1)-1))) &gt;= 115%, 115%, INDEX(AW1347:INDEX(AW1347:BH1347, MATCH(2, 1/(AW1347:BH1347&lt;&gt;""), 1)-1), ROW(INDIRECT("1:" &amp; MATCH(2, 1/(AW1347:BH1347&lt;&gt;""), 1)-1)))), 0))/_xlfn.XLOOKUP(F1347,Apuração!A:A,Apuração!B:B))</f>
        <v>0</v>
      </c>
      <c r="BM1347" s="55" cm="1">
        <f t="array" ref="BM1347">IFERROR(
   INDEX($AW$1:$BH$1,
      _xlfn.AGGREGATE(14, 6, COLUMN($AW$1:$BH$1)/(AW1347:BH1347&lt;&gt;""), 2) - COLUMN($AW$1) + 1
   ),
"")</f>
        <v>46082</v>
      </c>
      <c r="BN1347" s="55" cm="1">
        <f t="array" ref="BN1347">IFERROR(INDEX($AW$1:$BH$1,1,MATCH(2,1/(AW1347:BH1347&lt;&gt;""))),"")</f>
        <v>46113</v>
      </c>
      <c r="BO1347" s="53">
        <f ca="1">IFERROR(_xlfn.XLOOKUP(F1347,Apuração!A:A,Apuração!C:C)/_xlfn.XLOOKUP(F1347,Apuração!A:A,Apuração!B:B),0)</f>
        <v>0</v>
      </c>
      <c r="BP1347" s="53">
        <f ca="1">IFERROR(_xlfn.XLOOKUP(F1347,Apuração!A:A,Apuração!D:D)/_xlfn.XLOOKUP(F1347,Apuração!A:A,Apuração!B:B),0)</f>
        <v>0</v>
      </c>
      <c r="BQ1347" s="53">
        <f ca="1">IF(BK1347&gt;=BO1347,0,_xlfn.XLOOKUP(F1347,Apuração!A:A,Apuração!B:B)*(BO1347 + (1/_xlfn.XLOOKUP(F1347,Apuração!A:A,Apuração!B:B)) - BK1347))</f>
        <v>0</v>
      </c>
      <c r="BR1347" s="85">
        <f t="shared" ref="BR1347:BR1351" ca="1" si="1603">IF(BQ1347=0,0,BQ1347*Z1347)</f>
        <v>0</v>
      </c>
      <c r="BS1347" s="53">
        <f ca="1">IFERROR((_xlfn.XLOOKUP(F1347,Apuração!A:A,Apuração!C:C)+1)/_xlfn.XLOOKUP(F1347,Apuração!A:A,Apuração!B:B),0)</f>
        <v>0.14285714285714285</v>
      </c>
    </row>
    <row r="1348" spans="1:71" ht="25.95" hidden="1" customHeight="1" x14ac:dyDescent="0.3">
      <c r="A1348" s="23" t="s">
        <v>134</v>
      </c>
      <c r="B1348" s="4" t="s">
        <v>167</v>
      </c>
      <c r="C1348" s="5" t="s">
        <v>209</v>
      </c>
      <c r="D1348" s="5" t="s">
        <v>47</v>
      </c>
      <c r="E1348" s="4" t="s">
        <v>61</v>
      </c>
      <c r="F1348" s="4" t="str" cm="1">
        <f t="array" ref="F1348">_xlfn.IFS(
AG1348 &lt;&gt; "", "Jan-Dez/26",
AH1348 &lt;&gt; "", "Fev-Dez/26",
AI1348 &lt;&gt; "", "Mar-Dez/26", AJ1348 &lt;&gt; "", "Abr-Dez/26",
TRUE, "A partir de Junho"
)</f>
        <v>A partir de Junho</v>
      </c>
      <c r="G1348" s="4" t="s">
        <v>62</v>
      </c>
      <c r="H1348" s="7" t="s">
        <v>38</v>
      </c>
      <c r="I1348" s="8" t="s">
        <v>168</v>
      </c>
      <c r="J1348" s="8" t="str" cm="1">
        <f t="array" aca="1" ref="J1348" ca="1">_xlfn.LET(
  _xlpm.actual_value_month, INDEX(T1348:AE1348, MATCH(DATE(YEAR(TODAY()), MONTH(TODAY()), 1), $T$1:$AE$1, 0)),
  IF(_xlpm.actual_value_month &lt;&gt; "",_xlpm.actual_value_month &amp; " ações mensais", "")
)</f>
        <v>1 ações mensais</v>
      </c>
      <c r="K1348" s="8" t="str" cm="1">
        <f t="array" ref="K1348">_xlfn.LET(
    _xlpm.sum_month, SUM(T1348:AE1348),
    IF(_xlpm.sum_month = 0, "", _xlpm.sum_month &amp; " atividades no ano")
)</f>
        <v>9 atividades no ano</v>
      </c>
      <c r="L1348" s="9" t="s">
        <v>169</v>
      </c>
      <c r="M1348" s="24" t="s">
        <v>170</v>
      </c>
      <c r="N1348" s="5" t="s">
        <v>42</v>
      </c>
      <c r="O1348" s="5" t="s">
        <v>43</v>
      </c>
      <c r="P1348" s="10" t="s">
        <v>44</v>
      </c>
      <c r="Q1348" s="10" t="s">
        <v>44</v>
      </c>
      <c r="R1348" s="11" t="s">
        <v>66</v>
      </c>
      <c r="S1348" s="11" t="s">
        <v>67</v>
      </c>
      <c r="T1348" s="22"/>
      <c r="U1348" s="22"/>
      <c r="V1348" s="22"/>
      <c r="W1348" s="22">
        <v>1</v>
      </c>
      <c r="X1348" s="22">
        <v>1</v>
      </c>
      <c r="Y1348" s="22">
        <v>1</v>
      </c>
      <c r="Z1348" s="22">
        <v>1</v>
      </c>
      <c r="AA1348" s="22">
        <v>1</v>
      </c>
      <c r="AB1348" s="22">
        <v>1</v>
      </c>
      <c r="AC1348" s="22">
        <v>1</v>
      </c>
      <c r="AD1348" s="22">
        <v>1</v>
      </c>
      <c r="AE1348" s="22">
        <v>1</v>
      </c>
      <c r="AG1348" s="71"/>
      <c r="AH1348" s="71"/>
      <c r="AI1348" s="71"/>
      <c r="AJ1348" s="71"/>
      <c r="AK1348" s="71"/>
      <c r="AL1348" s="71"/>
      <c r="AM1348" s="71"/>
      <c r="AN1348" s="71"/>
      <c r="AO1348" s="71"/>
      <c r="AP1348" s="71"/>
      <c r="AQ1348" s="71"/>
      <c r="AR1348" s="71"/>
      <c r="AS1348" s="94">
        <f t="shared" ca="1" si="1596"/>
        <v>2</v>
      </c>
      <c r="AT1348" s="95">
        <f t="shared" si="1597"/>
        <v>0</v>
      </c>
      <c r="AU1348" s="97">
        <f t="shared" si="1598"/>
        <v>0</v>
      </c>
      <c r="AW1348" s="51">
        <f t="shared" si="1599"/>
        <v>0</v>
      </c>
      <c r="AX1348" s="51">
        <f t="shared" si="1600"/>
        <v>0</v>
      </c>
      <c r="AY1348" s="51">
        <f t="shared" si="1601"/>
        <v>0</v>
      </c>
      <c r="AZ1348" s="51">
        <f t="shared" si="1602"/>
        <v>0</v>
      </c>
      <c r="BA1348" s="51"/>
      <c r="BB1348" s="51"/>
      <c r="BC1348" s="51"/>
      <c r="BD1348" s="51"/>
      <c r="BE1348" s="51"/>
      <c r="BF1348" s="51"/>
      <c r="BG1348" s="51"/>
      <c r="BH1348" s="51"/>
      <c r="BI1348" s="65" cm="1">
        <f t="array" ref="BI1348">IFERROR(INDEX(AW1348:BH1348,1,MATCH(2,1/(AW1348:BH1348&lt;&gt;""))),"")</f>
        <v>0</v>
      </c>
      <c r="BJ1348" s="68" cm="1">
        <f t="array" ref="BJ1348">IF(BM1348 = "", "",IFERROR(INDEX(AW1348:BH1348,1,MATCH(2,1/(AW1348:BH1348&lt;&gt;""),1)-1),""))</f>
        <v>0</v>
      </c>
      <c r="BK1348" s="58">
        <f>IF((IF(AW1348&gt;=115%,115%,AW1348) + IF(AX1348&gt;=115%,115%,AX1348) + IF(AY1348&gt;=115%,115%,AY1348) + (IF(AZ1348&gt;=115%,115%,AZ1348) + IF(BA1348&gt;=115%,115%,BA1348) + IF(BB1348&gt;=115%,115%,BB1348) + IF(BC1348&gt;=115%,115%,BC1348) + IF(BD1348&gt;=115%,115%,BD1348) + IF(BE1348&gt;=115%,115%,BE1348) + IF(BF1348&gt;=115%,115%,BF1348) + IF(BG1348&gt;=115%,115%,BG1348) + IF(BH1348&gt;=115%,115%,BH1348)))/_xlfn.XLOOKUP(F1348,Apuração!A:A,Apuração!B:B)&gt;=1.15,1.15,((IF(AZ1348&gt;=115%,115%,AZ1348) + IF(AX1348&gt;=115%,115%,AX1348) + IF(AY1348&gt;=115%,115%,AY1348) + (IF(AW1348&gt;=115%,115%,AW1348) + IF(BA1348&gt;=115%,115%,BA1348) + IF(BB1348&gt;=115%,115%,BB1348) + IF(BC1348&gt;=115%,115%,BC1348) + IF(BD1348&gt;=115%,115%,BD1348) + IF(BE1348&gt;=115%,115%,BE1348) + IF(BF1348&gt;=115%,115%,BF1348) + IF(BG1348&gt;=115%,115%,BG1348) + IF(BH1348&gt;=115%,115%,BH1348)))/_xlfn.XLOOKUP(F1348,Apuração!A:A,Apuração!B:B)))</f>
        <v>0</v>
      </c>
      <c r="BL1348" s="58" cm="1">
        <f t="array" aca="1" ref="BL1348" ca="1">IF(SUM(IFERROR(IF(INDEX(AW1348:INDEX(AW1348:BH1348, MATCH(2, 1/(AW1348:BH1348&lt;&gt;""), 1)-1), ROW(INDIRECT("1:" &amp; MATCH(2, 1/(AW1348:BH1348&lt;&gt;""), 1)-1))) &gt;= 115%, 115%, INDEX(AW1348:INDEX(AW1348:BH1348, MATCH(2, 1/(AW1348:BH1348&lt;&gt;""), 1)-1), ROW(INDIRECT("1:" &amp; MATCH(2, 1/(AW1348:BH1348&lt;&gt;""), 1)-1)))), 0))/_xlfn.XLOOKUP(F1348,Apuração!A:A,Apuração!B:B)&gt;=1.15,1.15,SUM(IFERROR(IF(INDEX(AW1348:INDEX(AW1348:BH1348, MATCH(2, 1/(AW1348:BH1348&lt;&gt;""), 1)-1), ROW(INDIRECT("1:" &amp; MATCH(2, 1/(AW1348:BH1348&lt;&gt;""), 1)-1))) &gt;= 115%, 115%, INDEX(AW1348:INDEX(AW1348:BH1348, MATCH(2, 1/(AW1348:BH1348&lt;&gt;""), 1)-1), ROW(INDIRECT("1:" &amp; MATCH(2, 1/(AW1348:BH1348&lt;&gt;""), 1)-1)))), 0))/_xlfn.XLOOKUP(F1348,Apuração!A:A,Apuração!B:B))</f>
        <v>0</v>
      </c>
      <c r="BM1348" s="55" cm="1">
        <f t="array" ref="BM1348">IFERROR(
   INDEX($AW$1:$BH$1,
      _xlfn.AGGREGATE(14, 6, COLUMN($AW$1:$BH$1)/(AW1348:BH1348&lt;&gt;""), 2) - COLUMN($AW$1) + 1
   ),
"")</f>
        <v>46082</v>
      </c>
      <c r="BN1348" s="55" cm="1">
        <f t="array" ref="BN1348">IFERROR(INDEX($AW$1:$BH$1,1,MATCH(2,1/(AW1348:BH1348&lt;&gt;""))),"")</f>
        <v>46113</v>
      </c>
      <c r="BO1348" s="53">
        <f ca="1">IFERROR(_xlfn.XLOOKUP(F1348,Apuração!A:A,Apuração!C:C)/_xlfn.XLOOKUP(F1348,Apuração!A:A,Apuração!B:B),0)</f>
        <v>0</v>
      </c>
      <c r="BP1348" s="53">
        <f ca="1">IFERROR(_xlfn.XLOOKUP(F1348,Apuração!A:A,Apuração!D:D)/_xlfn.XLOOKUP(F1348,Apuração!A:A,Apuração!B:B),0)</f>
        <v>0</v>
      </c>
      <c r="BQ1348" s="53">
        <f ca="1">IF(BK1348&gt;=BO1348,0,_xlfn.XLOOKUP(F1348,Apuração!A:A,Apuração!B:B)*(BO1348 + (1/_xlfn.XLOOKUP(F1348,Apuração!A:A,Apuração!B:B)) - BK1348))</f>
        <v>0</v>
      </c>
      <c r="BR1348" s="85">
        <f t="shared" ca="1" si="1603"/>
        <v>0</v>
      </c>
      <c r="BS1348" s="53">
        <f ca="1">IFERROR((_xlfn.XLOOKUP(F1348,Apuração!A:A,Apuração!C:C)+1)/_xlfn.XLOOKUP(F1348,Apuração!A:A,Apuração!B:B),0)</f>
        <v>0.14285714285714285</v>
      </c>
    </row>
    <row r="1349" spans="1:71" ht="25.95" hidden="1" customHeight="1" x14ac:dyDescent="0.3">
      <c r="A1349" s="23" t="s">
        <v>134</v>
      </c>
      <c r="B1349" s="4" t="s">
        <v>167</v>
      </c>
      <c r="C1349" s="5" t="s">
        <v>209</v>
      </c>
      <c r="D1349" s="5" t="s">
        <v>211</v>
      </c>
      <c r="E1349" s="4" t="s">
        <v>61</v>
      </c>
      <c r="F1349" s="4" t="str" cm="1">
        <f t="array" ref="F1349">_xlfn.IFS(
AG1349 &lt;&gt; "", "Jan-Dez/26",
AH1349 &lt;&gt; "", "Fev-Dez/26",
AI1349 &lt;&gt; "", "Mar-Dez/26", AJ1349 &lt;&gt; "", "Abr-Dez/26",
TRUE, "A partir de Junho"
)</f>
        <v>A partir de Junho</v>
      </c>
      <c r="G1349" s="4" t="s">
        <v>62</v>
      </c>
      <c r="H1349" s="7" t="s">
        <v>38</v>
      </c>
      <c r="I1349" s="8" t="s">
        <v>168</v>
      </c>
      <c r="J1349" s="8" t="str" cm="1">
        <f t="array" aca="1" ref="J1349" ca="1">_xlfn.LET(
  _xlpm.actual_value_month, INDEX(T1349:AE1349, MATCH(DATE(YEAR(TODAY()), MONTH(TODAY()), 1), $T$1:$AE$1, 0)),
  IF(_xlpm.actual_value_month &lt;&gt; "",_xlpm.actual_value_month &amp; " ações mensais", "")
)</f>
        <v>1 ações mensais</v>
      </c>
      <c r="K1349" s="8" t="str" cm="1">
        <f t="array" ref="K1349">_xlfn.LET(
    _xlpm.sum_month, SUM(T1349:AE1349),
    IF(_xlpm.sum_month = 0, "", _xlpm.sum_month &amp; " atividades no ano")
)</f>
        <v>9 atividades no ano</v>
      </c>
      <c r="L1349" s="9" t="s">
        <v>169</v>
      </c>
      <c r="M1349" s="24" t="s">
        <v>170</v>
      </c>
      <c r="N1349" s="5" t="s">
        <v>42</v>
      </c>
      <c r="O1349" s="5" t="s">
        <v>43</v>
      </c>
      <c r="P1349" s="10" t="s">
        <v>44</v>
      </c>
      <c r="Q1349" s="10" t="s">
        <v>44</v>
      </c>
      <c r="R1349" s="11" t="s">
        <v>66</v>
      </c>
      <c r="S1349" s="11" t="s">
        <v>67</v>
      </c>
      <c r="T1349" s="22"/>
      <c r="U1349" s="22"/>
      <c r="V1349" s="22"/>
      <c r="W1349" s="22">
        <v>1</v>
      </c>
      <c r="X1349" s="22">
        <v>1</v>
      </c>
      <c r="Y1349" s="22">
        <v>1</v>
      </c>
      <c r="Z1349" s="22">
        <v>1</v>
      </c>
      <c r="AA1349" s="22">
        <v>1</v>
      </c>
      <c r="AB1349" s="22">
        <v>1</v>
      </c>
      <c r="AC1349" s="22">
        <v>1</v>
      </c>
      <c r="AD1349" s="22">
        <v>1</v>
      </c>
      <c r="AE1349" s="22">
        <v>1</v>
      </c>
      <c r="AG1349" s="71"/>
      <c r="AH1349" s="71"/>
      <c r="AI1349" s="71"/>
      <c r="AJ1349" s="71"/>
      <c r="AK1349" s="71"/>
      <c r="AL1349" s="71"/>
      <c r="AM1349" s="71"/>
      <c r="AN1349" s="71"/>
      <c r="AO1349" s="71"/>
      <c r="AP1349" s="71"/>
      <c r="AQ1349" s="71"/>
      <c r="AR1349" s="71"/>
      <c r="AS1349" s="94">
        <f t="shared" ca="1" si="1596"/>
        <v>2</v>
      </c>
      <c r="AT1349" s="95">
        <f t="shared" si="1597"/>
        <v>0</v>
      </c>
      <c r="AU1349" s="97">
        <f t="shared" si="1598"/>
        <v>0</v>
      </c>
      <c r="AW1349" s="51">
        <f t="shared" si="1599"/>
        <v>0</v>
      </c>
      <c r="AX1349" s="51">
        <f t="shared" si="1600"/>
        <v>0</v>
      </c>
      <c r="AY1349" s="51">
        <f t="shared" si="1601"/>
        <v>0</v>
      </c>
      <c r="AZ1349" s="51">
        <f t="shared" si="1602"/>
        <v>0</v>
      </c>
      <c r="BA1349" s="51"/>
      <c r="BB1349" s="51"/>
      <c r="BC1349" s="51"/>
      <c r="BD1349" s="51"/>
      <c r="BE1349" s="51"/>
      <c r="BF1349" s="51"/>
      <c r="BG1349" s="51"/>
      <c r="BH1349" s="51"/>
      <c r="BI1349" s="65" cm="1">
        <f t="array" ref="BI1349">IFERROR(INDEX(AW1349:BH1349,1,MATCH(2,1/(AW1349:BH1349&lt;&gt;""))),"")</f>
        <v>0</v>
      </c>
      <c r="BJ1349" s="68" cm="1">
        <f t="array" ref="BJ1349">IF(BM1349 = "", "",IFERROR(INDEX(AW1349:BH1349,1,MATCH(2,1/(AW1349:BH1349&lt;&gt;""),1)-1),""))</f>
        <v>0</v>
      </c>
      <c r="BK1349" s="58">
        <f>IF((IF(AW1349&gt;=115%,115%,AW1349) + IF(AX1349&gt;=115%,115%,AX1349) + IF(AY1349&gt;=115%,115%,AY1349) + (IF(AZ1349&gt;=115%,115%,AZ1349) + IF(BA1349&gt;=115%,115%,BA1349) + IF(BB1349&gt;=115%,115%,BB1349) + IF(BC1349&gt;=115%,115%,BC1349) + IF(BD1349&gt;=115%,115%,BD1349) + IF(BE1349&gt;=115%,115%,BE1349) + IF(BF1349&gt;=115%,115%,BF1349) + IF(BG1349&gt;=115%,115%,BG1349) + IF(BH1349&gt;=115%,115%,BH1349)))/_xlfn.XLOOKUP(F1349,Apuração!A:A,Apuração!B:B)&gt;=1.15,1.15,((IF(AZ1349&gt;=115%,115%,AZ1349) + IF(AX1349&gt;=115%,115%,AX1349) + IF(AY1349&gt;=115%,115%,AY1349) + (IF(AW1349&gt;=115%,115%,AW1349) + IF(BA1349&gt;=115%,115%,BA1349) + IF(BB1349&gt;=115%,115%,BB1349) + IF(BC1349&gt;=115%,115%,BC1349) + IF(BD1349&gt;=115%,115%,BD1349) + IF(BE1349&gt;=115%,115%,BE1349) + IF(BF1349&gt;=115%,115%,BF1349) + IF(BG1349&gt;=115%,115%,BG1349) + IF(BH1349&gt;=115%,115%,BH1349)))/_xlfn.XLOOKUP(F1349,Apuração!A:A,Apuração!B:B)))</f>
        <v>0</v>
      </c>
      <c r="BL1349" s="58" cm="1">
        <f t="array" aca="1" ref="BL1349" ca="1">IF(SUM(IFERROR(IF(INDEX(AW1349:INDEX(AW1349:BH1349, MATCH(2, 1/(AW1349:BH1349&lt;&gt;""), 1)-1), ROW(INDIRECT("1:" &amp; MATCH(2, 1/(AW1349:BH1349&lt;&gt;""), 1)-1))) &gt;= 115%, 115%, INDEX(AW1349:INDEX(AW1349:BH1349, MATCH(2, 1/(AW1349:BH1349&lt;&gt;""), 1)-1), ROW(INDIRECT("1:" &amp; MATCH(2, 1/(AW1349:BH1349&lt;&gt;""), 1)-1)))), 0))/_xlfn.XLOOKUP(F1349,Apuração!A:A,Apuração!B:B)&gt;=1.15,1.15,SUM(IFERROR(IF(INDEX(AW1349:INDEX(AW1349:BH1349, MATCH(2, 1/(AW1349:BH1349&lt;&gt;""), 1)-1), ROW(INDIRECT("1:" &amp; MATCH(2, 1/(AW1349:BH1349&lt;&gt;""), 1)-1))) &gt;= 115%, 115%, INDEX(AW1349:INDEX(AW1349:BH1349, MATCH(2, 1/(AW1349:BH1349&lt;&gt;""), 1)-1), ROW(INDIRECT("1:" &amp; MATCH(2, 1/(AW1349:BH1349&lt;&gt;""), 1)-1)))), 0))/_xlfn.XLOOKUP(F1349,Apuração!A:A,Apuração!B:B))</f>
        <v>0</v>
      </c>
      <c r="BM1349" s="55" cm="1">
        <f t="array" ref="BM1349">IFERROR(
   INDEX($AW$1:$BH$1,
      _xlfn.AGGREGATE(14, 6, COLUMN($AW$1:$BH$1)/(AW1349:BH1349&lt;&gt;""), 2) - COLUMN($AW$1) + 1
   ),
"")</f>
        <v>46082</v>
      </c>
      <c r="BN1349" s="55" cm="1">
        <f t="array" ref="BN1349">IFERROR(INDEX($AW$1:$BH$1,1,MATCH(2,1/(AW1349:BH1349&lt;&gt;""))),"")</f>
        <v>46113</v>
      </c>
      <c r="BO1349" s="53">
        <f ca="1">IFERROR(_xlfn.XLOOKUP(F1349,Apuração!A:A,Apuração!C:C)/_xlfn.XLOOKUP(F1349,Apuração!A:A,Apuração!B:B),0)</f>
        <v>0</v>
      </c>
      <c r="BP1349" s="53">
        <f ca="1">IFERROR(_xlfn.XLOOKUP(F1349,Apuração!A:A,Apuração!D:D)/_xlfn.XLOOKUP(F1349,Apuração!A:A,Apuração!B:B),0)</f>
        <v>0</v>
      </c>
      <c r="BQ1349" s="53">
        <f ca="1">IF(BK1349&gt;=BO1349,0,_xlfn.XLOOKUP(F1349,Apuração!A:A,Apuração!B:B)*(BO1349 + (1/_xlfn.XLOOKUP(F1349,Apuração!A:A,Apuração!B:B)) - BK1349))</f>
        <v>0</v>
      </c>
      <c r="BR1349" s="85">
        <f t="shared" ca="1" si="1603"/>
        <v>0</v>
      </c>
      <c r="BS1349" s="53">
        <f ca="1">IFERROR((_xlfn.XLOOKUP(F1349,Apuração!A:A,Apuração!C:C)+1)/_xlfn.XLOOKUP(F1349,Apuração!A:A,Apuração!B:B),0)</f>
        <v>0.14285714285714285</v>
      </c>
    </row>
    <row r="1350" spans="1:71" ht="25.95" hidden="1" customHeight="1" x14ac:dyDescent="0.3">
      <c r="A1350" s="23" t="s">
        <v>134</v>
      </c>
      <c r="B1350" s="4" t="s">
        <v>167</v>
      </c>
      <c r="C1350" s="5" t="s">
        <v>209</v>
      </c>
      <c r="D1350" s="5" t="s">
        <v>212</v>
      </c>
      <c r="E1350" s="4" t="s">
        <v>61</v>
      </c>
      <c r="F1350" s="4" t="str" cm="1">
        <f t="array" ref="F1350">_xlfn.IFS(
AG1350 &lt;&gt; "", "Jan-Dez/26",
AH1350 &lt;&gt; "", "Fev-Dez/26",
AI1350 &lt;&gt; "", "Mar-Dez/26", AJ1350 &lt;&gt; "", "Abr-Dez/26",
TRUE, "A partir de Junho"
)</f>
        <v>A partir de Junho</v>
      </c>
      <c r="G1350" s="4" t="s">
        <v>62</v>
      </c>
      <c r="H1350" s="7" t="s">
        <v>38</v>
      </c>
      <c r="I1350" s="8" t="s">
        <v>168</v>
      </c>
      <c r="J1350" s="8" t="str" cm="1">
        <f t="array" aca="1" ref="J1350" ca="1">_xlfn.LET(
  _xlpm.actual_value_month, INDEX(T1350:AE1350, MATCH(DATE(YEAR(TODAY()), MONTH(TODAY()), 1), $T$1:$AE$1, 0)),
  IF(_xlpm.actual_value_month &lt;&gt; "",_xlpm.actual_value_month &amp; " ações mensais", "")
)</f>
        <v>1 ações mensais</v>
      </c>
      <c r="K1350" s="8" t="str" cm="1">
        <f t="array" ref="K1350">_xlfn.LET(
    _xlpm.sum_month, SUM(T1350:AE1350),
    IF(_xlpm.sum_month = 0, "", _xlpm.sum_month &amp; " atividades no ano")
)</f>
        <v>9 atividades no ano</v>
      </c>
      <c r="L1350" s="9" t="s">
        <v>169</v>
      </c>
      <c r="M1350" s="24" t="s">
        <v>170</v>
      </c>
      <c r="N1350" s="5" t="s">
        <v>42</v>
      </c>
      <c r="O1350" s="5" t="s">
        <v>43</v>
      </c>
      <c r="P1350" s="10" t="s">
        <v>44</v>
      </c>
      <c r="Q1350" s="10" t="s">
        <v>44</v>
      </c>
      <c r="R1350" s="11" t="s">
        <v>66</v>
      </c>
      <c r="S1350" s="11" t="s">
        <v>67</v>
      </c>
      <c r="T1350" s="22"/>
      <c r="U1350" s="22"/>
      <c r="V1350" s="22"/>
      <c r="W1350" s="22">
        <v>1</v>
      </c>
      <c r="X1350" s="22">
        <v>1</v>
      </c>
      <c r="Y1350" s="22">
        <v>1</v>
      </c>
      <c r="Z1350" s="22">
        <v>1</v>
      </c>
      <c r="AA1350" s="22">
        <v>1</v>
      </c>
      <c r="AB1350" s="22">
        <v>1</v>
      </c>
      <c r="AC1350" s="22">
        <v>1</v>
      </c>
      <c r="AD1350" s="22">
        <v>1</v>
      </c>
      <c r="AE1350" s="22">
        <v>1</v>
      </c>
      <c r="AG1350" s="71"/>
      <c r="AH1350" s="71"/>
      <c r="AI1350" s="71"/>
      <c r="AJ1350" s="71"/>
      <c r="AK1350" s="71"/>
      <c r="AL1350" s="71"/>
      <c r="AM1350" s="71"/>
      <c r="AN1350" s="71"/>
      <c r="AO1350" s="71"/>
      <c r="AP1350" s="71"/>
      <c r="AQ1350" s="71"/>
      <c r="AR1350" s="71"/>
      <c r="AS1350" s="94">
        <f t="shared" ca="1" si="1596"/>
        <v>2</v>
      </c>
      <c r="AT1350" s="95">
        <f t="shared" si="1597"/>
        <v>0</v>
      </c>
      <c r="AU1350" s="97">
        <f t="shared" si="1598"/>
        <v>0</v>
      </c>
      <c r="AW1350" s="51">
        <f t="shared" si="1599"/>
        <v>0</v>
      </c>
      <c r="AX1350" s="51">
        <f t="shared" si="1600"/>
        <v>0</v>
      </c>
      <c r="AY1350" s="51">
        <f t="shared" si="1601"/>
        <v>0</v>
      </c>
      <c r="AZ1350" s="51">
        <f t="shared" si="1602"/>
        <v>0</v>
      </c>
      <c r="BA1350" s="51"/>
      <c r="BB1350" s="51"/>
      <c r="BC1350" s="51"/>
      <c r="BD1350" s="51"/>
      <c r="BE1350" s="51"/>
      <c r="BF1350" s="51"/>
      <c r="BG1350" s="51"/>
      <c r="BH1350" s="51"/>
      <c r="BI1350" s="65" cm="1">
        <f t="array" ref="BI1350">IFERROR(INDEX(AW1350:BH1350,1,MATCH(2,1/(AW1350:BH1350&lt;&gt;""))),"")</f>
        <v>0</v>
      </c>
      <c r="BJ1350" s="68" cm="1">
        <f t="array" ref="BJ1350">IF(BM1350 = "", "",IFERROR(INDEX(AW1350:BH1350,1,MATCH(2,1/(AW1350:BH1350&lt;&gt;""),1)-1),""))</f>
        <v>0</v>
      </c>
      <c r="BK1350" s="58">
        <f>IF((IF(AW1350&gt;=115%,115%,AW1350) + IF(AX1350&gt;=115%,115%,AX1350) + IF(AY1350&gt;=115%,115%,AY1350) + (IF(AZ1350&gt;=115%,115%,AZ1350) + IF(BA1350&gt;=115%,115%,BA1350) + IF(BB1350&gt;=115%,115%,BB1350) + IF(BC1350&gt;=115%,115%,BC1350) + IF(BD1350&gt;=115%,115%,BD1350) + IF(BE1350&gt;=115%,115%,BE1350) + IF(BF1350&gt;=115%,115%,BF1350) + IF(BG1350&gt;=115%,115%,BG1350) + IF(BH1350&gt;=115%,115%,BH1350)))/_xlfn.XLOOKUP(F1350,Apuração!A:A,Apuração!B:B)&gt;=1.15,1.15,((IF(AZ1350&gt;=115%,115%,AZ1350) + IF(AX1350&gt;=115%,115%,AX1350) + IF(AY1350&gt;=115%,115%,AY1350) + (IF(AW1350&gt;=115%,115%,AW1350) + IF(BA1350&gt;=115%,115%,BA1350) + IF(BB1350&gt;=115%,115%,BB1350) + IF(BC1350&gt;=115%,115%,BC1350) + IF(BD1350&gt;=115%,115%,BD1350) + IF(BE1350&gt;=115%,115%,BE1350) + IF(BF1350&gt;=115%,115%,BF1350) + IF(BG1350&gt;=115%,115%,BG1350) + IF(BH1350&gt;=115%,115%,BH1350)))/_xlfn.XLOOKUP(F1350,Apuração!A:A,Apuração!B:B)))</f>
        <v>0</v>
      </c>
      <c r="BL1350" s="58" cm="1">
        <f t="array" aca="1" ref="BL1350" ca="1">IF(SUM(IFERROR(IF(INDEX(AW1350:INDEX(AW1350:BH1350, MATCH(2, 1/(AW1350:BH1350&lt;&gt;""), 1)-1), ROW(INDIRECT("1:" &amp; MATCH(2, 1/(AW1350:BH1350&lt;&gt;""), 1)-1))) &gt;= 115%, 115%, INDEX(AW1350:INDEX(AW1350:BH1350, MATCH(2, 1/(AW1350:BH1350&lt;&gt;""), 1)-1), ROW(INDIRECT("1:" &amp; MATCH(2, 1/(AW1350:BH1350&lt;&gt;""), 1)-1)))), 0))/_xlfn.XLOOKUP(F1350,Apuração!A:A,Apuração!B:B)&gt;=1.15,1.15,SUM(IFERROR(IF(INDEX(AW1350:INDEX(AW1350:BH1350, MATCH(2, 1/(AW1350:BH1350&lt;&gt;""), 1)-1), ROW(INDIRECT("1:" &amp; MATCH(2, 1/(AW1350:BH1350&lt;&gt;""), 1)-1))) &gt;= 115%, 115%, INDEX(AW1350:INDEX(AW1350:BH1350, MATCH(2, 1/(AW1350:BH1350&lt;&gt;""), 1)-1), ROW(INDIRECT("1:" &amp; MATCH(2, 1/(AW1350:BH1350&lt;&gt;""), 1)-1)))), 0))/_xlfn.XLOOKUP(F1350,Apuração!A:A,Apuração!B:B))</f>
        <v>0</v>
      </c>
      <c r="BM1350" s="55" cm="1">
        <f t="array" ref="BM1350">IFERROR(
   INDEX($AW$1:$BH$1,
      _xlfn.AGGREGATE(14, 6, COLUMN($AW$1:$BH$1)/(AW1350:BH1350&lt;&gt;""), 2) - COLUMN($AW$1) + 1
   ),
"")</f>
        <v>46082</v>
      </c>
      <c r="BN1350" s="55" cm="1">
        <f t="array" ref="BN1350">IFERROR(INDEX($AW$1:$BH$1,1,MATCH(2,1/(AW1350:BH1350&lt;&gt;""))),"")</f>
        <v>46113</v>
      </c>
      <c r="BO1350" s="53">
        <f ca="1">IFERROR(_xlfn.XLOOKUP(F1350,Apuração!A:A,Apuração!C:C)/_xlfn.XLOOKUP(F1350,Apuração!A:A,Apuração!B:B),0)</f>
        <v>0</v>
      </c>
      <c r="BP1350" s="53">
        <f ca="1">IFERROR(_xlfn.XLOOKUP(F1350,Apuração!A:A,Apuração!D:D)/_xlfn.XLOOKUP(F1350,Apuração!A:A,Apuração!B:B),0)</f>
        <v>0</v>
      </c>
      <c r="BQ1350" s="53">
        <f ca="1">IF(BK1350&gt;=BO1350,0,_xlfn.XLOOKUP(F1350,Apuração!A:A,Apuração!B:B)*(BO1350 + (1/_xlfn.XLOOKUP(F1350,Apuração!A:A,Apuração!B:B)) - BK1350))</f>
        <v>0</v>
      </c>
      <c r="BR1350" s="85">
        <f t="shared" ca="1" si="1603"/>
        <v>0</v>
      </c>
      <c r="BS1350" s="53">
        <f ca="1">IFERROR((_xlfn.XLOOKUP(F1350,Apuração!A:A,Apuração!C:C)+1)/_xlfn.XLOOKUP(F1350,Apuração!A:A,Apuração!B:B),0)</f>
        <v>0.14285714285714285</v>
      </c>
    </row>
    <row r="1351" spans="1:71" ht="25.95" hidden="1" customHeight="1" x14ac:dyDescent="0.3">
      <c r="A1351" s="23" t="s">
        <v>134</v>
      </c>
      <c r="B1351" s="4" t="s">
        <v>167</v>
      </c>
      <c r="C1351" s="5" t="s">
        <v>209</v>
      </c>
      <c r="D1351" s="5" t="s">
        <v>213</v>
      </c>
      <c r="E1351" s="4" t="s">
        <v>61</v>
      </c>
      <c r="F1351" s="4" t="str" cm="1">
        <f t="array" ref="F1351">_xlfn.IFS(
AG1351 &lt;&gt; "", "Jan-Dez/26",
AH1351 &lt;&gt; "", "Fev-Dez/26",
AI1351 &lt;&gt; "", "Mar-Dez/26", AJ1351 &lt;&gt; "", "Abr-Dez/26",
TRUE, "A partir de Junho"
)</f>
        <v>A partir de Junho</v>
      </c>
      <c r="G1351" s="4" t="s">
        <v>62</v>
      </c>
      <c r="H1351" s="7" t="s">
        <v>38</v>
      </c>
      <c r="I1351" s="8" t="s">
        <v>168</v>
      </c>
      <c r="J1351" s="8" t="str" cm="1">
        <f t="array" aca="1" ref="J1351" ca="1">_xlfn.LET(
  _xlpm.actual_value_month, INDEX(T1351:AE1351, MATCH(DATE(YEAR(TODAY()), MONTH(TODAY()), 1), $T$1:$AE$1, 0)),
  IF(_xlpm.actual_value_month &lt;&gt; "",_xlpm.actual_value_month &amp; " ações mensais", "")
)</f>
        <v>1 ações mensais</v>
      </c>
      <c r="K1351" s="8" t="str" cm="1">
        <f t="array" ref="K1351">_xlfn.LET(
    _xlpm.sum_month, SUM(T1351:AE1351),
    IF(_xlpm.sum_month = 0, "", _xlpm.sum_month &amp; " atividades no ano")
)</f>
        <v>9 atividades no ano</v>
      </c>
      <c r="L1351" s="9" t="s">
        <v>169</v>
      </c>
      <c r="M1351" s="24" t="s">
        <v>170</v>
      </c>
      <c r="N1351" s="5" t="s">
        <v>42</v>
      </c>
      <c r="O1351" s="5" t="s">
        <v>43</v>
      </c>
      <c r="P1351" s="10" t="s">
        <v>44</v>
      </c>
      <c r="Q1351" s="10" t="s">
        <v>44</v>
      </c>
      <c r="R1351" s="11" t="s">
        <v>66</v>
      </c>
      <c r="S1351" s="11" t="s">
        <v>67</v>
      </c>
      <c r="T1351" s="22"/>
      <c r="U1351" s="22"/>
      <c r="V1351" s="22"/>
      <c r="W1351" s="22">
        <v>1</v>
      </c>
      <c r="X1351" s="22">
        <v>1</v>
      </c>
      <c r="Y1351" s="22">
        <v>1</v>
      </c>
      <c r="Z1351" s="22">
        <v>1</v>
      </c>
      <c r="AA1351" s="22">
        <v>1</v>
      </c>
      <c r="AB1351" s="22">
        <v>1</v>
      </c>
      <c r="AC1351" s="22">
        <v>1</v>
      </c>
      <c r="AD1351" s="22">
        <v>1</v>
      </c>
      <c r="AE1351" s="22">
        <v>1</v>
      </c>
      <c r="AG1351" s="71"/>
      <c r="AH1351" s="71"/>
      <c r="AI1351" s="71"/>
      <c r="AJ1351" s="71"/>
      <c r="AK1351" s="71"/>
      <c r="AL1351" s="71"/>
      <c r="AM1351" s="71"/>
      <c r="AN1351" s="71"/>
      <c r="AO1351" s="71"/>
      <c r="AP1351" s="71"/>
      <c r="AQ1351" s="71"/>
      <c r="AR1351" s="71"/>
      <c r="AS1351" s="94">
        <f t="shared" ca="1" si="1596"/>
        <v>2</v>
      </c>
      <c r="AT1351" s="95">
        <f t="shared" si="1597"/>
        <v>0</v>
      </c>
      <c r="AU1351" s="97">
        <f t="shared" si="1598"/>
        <v>0</v>
      </c>
      <c r="AW1351" s="51">
        <f t="shared" si="1599"/>
        <v>0</v>
      </c>
      <c r="AX1351" s="51">
        <f t="shared" si="1600"/>
        <v>0</v>
      </c>
      <c r="AY1351" s="51">
        <f t="shared" si="1601"/>
        <v>0</v>
      </c>
      <c r="AZ1351" s="51">
        <f t="shared" si="1602"/>
        <v>0</v>
      </c>
      <c r="BA1351" s="51"/>
      <c r="BB1351" s="51"/>
      <c r="BC1351" s="51"/>
      <c r="BD1351" s="51"/>
      <c r="BE1351" s="51"/>
      <c r="BF1351" s="51"/>
      <c r="BG1351" s="51"/>
      <c r="BH1351" s="51"/>
      <c r="BI1351" s="65" cm="1">
        <f t="array" ref="BI1351">IFERROR(INDEX(AW1351:BH1351,1,MATCH(2,1/(AW1351:BH1351&lt;&gt;""))),"")</f>
        <v>0</v>
      </c>
      <c r="BJ1351" s="68" cm="1">
        <f t="array" ref="BJ1351">IF(BM1351 = "", "",IFERROR(INDEX(AW1351:BH1351,1,MATCH(2,1/(AW1351:BH1351&lt;&gt;""),1)-1),""))</f>
        <v>0</v>
      </c>
      <c r="BK1351" s="58">
        <f>IF((IF(AW1351&gt;=115%,115%,AW1351) + IF(AX1351&gt;=115%,115%,AX1351) + IF(AY1351&gt;=115%,115%,AY1351) + (IF(AZ1351&gt;=115%,115%,AZ1351) + IF(BA1351&gt;=115%,115%,BA1351) + IF(BB1351&gt;=115%,115%,BB1351) + IF(BC1351&gt;=115%,115%,BC1351) + IF(BD1351&gt;=115%,115%,BD1351) + IF(BE1351&gt;=115%,115%,BE1351) + IF(BF1351&gt;=115%,115%,BF1351) + IF(BG1351&gt;=115%,115%,BG1351) + IF(BH1351&gt;=115%,115%,BH1351)))/_xlfn.XLOOKUP(F1351,Apuração!A:A,Apuração!B:B)&gt;=1.15,1.15,((IF(AZ1351&gt;=115%,115%,AZ1351) + IF(AX1351&gt;=115%,115%,AX1351) + IF(AY1351&gt;=115%,115%,AY1351) + (IF(AW1351&gt;=115%,115%,AW1351) + IF(BA1351&gt;=115%,115%,BA1351) + IF(BB1351&gt;=115%,115%,BB1351) + IF(BC1351&gt;=115%,115%,BC1351) + IF(BD1351&gt;=115%,115%,BD1351) + IF(BE1351&gt;=115%,115%,BE1351) + IF(BF1351&gt;=115%,115%,BF1351) + IF(BG1351&gt;=115%,115%,BG1351) + IF(BH1351&gt;=115%,115%,BH1351)))/_xlfn.XLOOKUP(F1351,Apuração!A:A,Apuração!B:B)))</f>
        <v>0</v>
      </c>
      <c r="BL1351" s="58" cm="1">
        <f t="array" aca="1" ref="BL1351" ca="1">IF(SUM(IFERROR(IF(INDEX(AW1351:INDEX(AW1351:BH1351, MATCH(2, 1/(AW1351:BH1351&lt;&gt;""), 1)-1), ROW(INDIRECT("1:" &amp; MATCH(2, 1/(AW1351:BH1351&lt;&gt;""), 1)-1))) &gt;= 115%, 115%, INDEX(AW1351:INDEX(AW1351:BH1351, MATCH(2, 1/(AW1351:BH1351&lt;&gt;""), 1)-1), ROW(INDIRECT("1:" &amp; MATCH(2, 1/(AW1351:BH1351&lt;&gt;""), 1)-1)))), 0))/_xlfn.XLOOKUP(F1351,Apuração!A:A,Apuração!B:B)&gt;=1.15,1.15,SUM(IFERROR(IF(INDEX(AW1351:INDEX(AW1351:BH1351, MATCH(2, 1/(AW1351:BH1351&lt;&gt;""), 1)-1), ROW(INDIRECT("1:" &amp; MATCH(2, 1/(AW1351:BH1351&lt;&gt;""), 1)-1))) &gt;= 115%, 115%, INDEX(AW1351:INDEX(AW1351:BH1351, MATCH(2, 1/(AW1351:BH1351&lt;&gt;""), 1)-1), ROW(INDIRECT("1:" &amp; MATCH(2, 1/(AW1351:BH1351&lt;&gt;""), 1)-1)))), 0))/_xlfn.XLOOKUP(F1351,Apuração!A:A,Apuração!B:B))</f>
        <v>0</v>
      </c>
      <c r="BM1351" s="55" cm="1">
        <f t="array" ref="BM1351">IFERROR(
   INDEX($AW$1:$BH$1,
      _xlfn.AGGREGATE(14, 6, COLUMN($AW$1:$BH$1)/(AW1351:BH1351&lt;&gt;""), 2) - COLUMN($AW$1) + 1
   ),
"")</f>
        <v>46082</v>
      </c>
      <c r="BN1351" s="55" cm="1">
        <f t="array" ref="BN1351">IFERROR(INDEX($AW$1:$BH$1,1,MATCH(2,1/(AW1351:BH1351&lt;&gt;""))),"")</f>
        <v>46113</v>
      </c>
      <c r="BO1351" s="53">
        <f ca="1">IFERROR(_xlfn.XLOOKUP(F1351,Apuração!A:A,Apuração!C:C)/_xlfn.XLOOKUP(F1351,Apuração!A:A,Apuração!B:B),0)</f>
        <v>0</v>
      </c>
      <c r="BP1351" s="53">
        <f ca="1">IFERROR(_xlfn.XLOOKUP(F1351,Apuração!A:A,Apuração!D:D)/_xlfn.XLOOKUP(F1351,Apuração!A:A,Apuração!B:B),0)</f>
        <v>0</v>
      </c>
      <c r="BQ1351" s="53">
        <f ca="1">IF(BK1351&gt;=BO1351,0,_xlfn.XLOOKUP(F1351,Apuração!A:A,Apuração!B:B)*(BO1351 + (1/_xlfn.XLOOKUP(F1351,Apuração!A:A,Apuração!B:B)) - BK1351))</f>
        <v>0</v>
      </c>
      <c r="BR1351" s="85">
        <f t="shared" ca="1" si="1603"/>
        <v>0</v>
      </c>
      <c r="BS1351" s="53">
        <f ca="1">IFERROR((_xlfn.XLOOKUP(F1351,Apuração!A:A,Apuração!C:C)+1)/_xlfn.XLOOKUP(F1351,Apuração!A:A,Apuração!B:B),0)</f>
        <v>0.14285714285714285</v>
      </c>
    </row>
    <row r="1352" spans="1:71" ht="25.95" hidden="1" customHeight="1" x14ac:dyDescent="0.3">
      <c r="A1352" s="23" t="s">
        <v>134</v>
      </c>
      <c r="B1352" s="4" t="s">
        <v>167</v>
      </c>
      <c r="C1352" s="5" t="s">
        <v>209</v>
      </c>
      <c r="D1352" s="5" t="s">
        <v>36</v>
      </c>
      <c r="E1352" s="4" t="s">
        <v>61</v>
      </c>
      <c r="F1352" s="4" t="str" cm="1">
        <f t="array" ref="F1352">_xlfn.IFS(
AG1352 &lt;&gt; "", "Jan-Dez/26",
AH1352 &lt;&gt; "", "Fev-Dez/26",
AI1352 &lt;&gt; "", "Mar-Dez/26", AJ1352 &lt;&gt; "", "Abr-Dez/26",
TRUE, "A partir de Junho"
)</f>
        <v>A partir de Junho</v>
      </c>
      <c r="G1352" s="4" t="s">
        <v>62</v>
      </c>
      <c r="H1352" s="7" t="s">
        <v>38</v>
      </c>
      <c r="I1352" s="8" t="s">
        <v>171</v>
      </c>
      <c r="J1352" s="8" t="str" cm="1">
        <f t="array" aca="1" ref="J1352" ca="1">_xlfn.LET(
  _xlpm.actual_value_month, INDEX(T1352:AE1352, MATCH(DATE(YEAR(TODAY()), MONTH(TODAY()), 1), $T$1:$AE$1, 0)),
  IF(_xlpm.actual_value_month &lt;&gt; "",_xlpm.actual_value_month &amp; " colaboradores alcançados mensalmentes", "")
)</f>
        <v/>
      </c>
      <c r="K1352" s="8" t="str" cm="1">
        <f t="array" ref="K1352">_xlfn.LET(
    _xlpm.sum_month, SUM(T1352:AE1352),
    IF(_xlpm.sum_month = 0, "", _xlpm.sum_month &amp; " colaboradores alcançados durante no ano")
)</f>
        <v/>
      </c>
      <c r="L1352" s="9" t="s">
        <v>172</v>
      </c>
      <c r="M1352" s="24" t="s">
        <v>173</v>
      </c>
      <c r="N1352" s="5" t="s">
        <v>42</v>
      </c>
      <c r="O1352" s="5" t="s">
        <v>43</v>
      </c>
      <c r="P1352" s="10" t="s">
        <v>44</v>
      </c>
      <c r="Q1352" s="10" t="s">
        <v>72</v>
      </c>
      <c r="R1352" s="11" t="s">
        <v>66</v>
      </c>
      <c r="S1352" s="11" t="s">
        <v>67</v>
      </c>
      <c r="T1352" s="22"/>
      <c r="U1352" s="22"/>
      <c r="V1352" s="22"/>
      <c r="W1352" s="22"/>
      <c r="X1352" s="22"/>
      <c r="Y1352" s="22"/>
      <c r="Z1352" s="22"/>
      <c r="AA1352" s="22"/>
      <c r="AB1352" s="22"/>
      <c r="AC1352" s="22"/>
      <c r="AD1352" s="22"/>
      <c r="AE1352" s="22"/>
      <c r="AG1352" s="71"/>
      <c r="AH1352" s="71"/>
      <c r="AI1352" s="71"/>
      <c r="AJ1352" s="71"/>
      <c r="AK1352" s="71"/>
      <c r="AL1352" s="71"/>
      <c r="AM1352" s="71"/>
      <c r="AN1352" s="71"/>
      <c r="AO1352" s="71"/>
      <c r="AP1352" s="71"/>
      <c r="AQ1352" s="71"/>
      <c r="AR1352" s="71"/>
      <c r="AS1352" s="94">
        <f ca="1">IF(MONTH(TODAY())=3,SUM(T1352:U1352),IF(MONTH(TODAY())=4,SUM(T1352:V1352),IF(MONTH(TODAY())=5,SUM(T1352:W1352),IF(MONTH(TODAY())=6,SUM(T1352:X1352),IF(MONTH(TODAY())=7,SUM(T1352:Y1352),IF(MONTH(TODAY())=8,SUM(T1352:Z1352),IF(MONTH(TODAY())=9,SUM(T1352:AA1352),IF(MONTH(TODAY())=10,SUM(T1352:AB1352),IF(MONTH(TODAY())=11,SUM(T1352:AC1352),IF(MONTH(TODAY())=12,SUM(T1352:AD1352),IF(MONTH(TODAY())=1,SUM(T1352:AE1352),T1352)))))))))))</f>
        <v>0</v>
      </c>
      <c r="AT1352" s="95">
        <f>SUM(IF(AW1352&lt;1.15,AG1352,1.15*T1352),IF(AX1352&lt;1.15,AH1352,1.15*U1352),IF(AY1352&lt;1.15,AI1352,1.15*V1352),IF(AZ1352&lt;1.15,AJ1352,1.15*W1352),IF(BA1352&lt;1.15,AK1352,1.15*X1352),IF(BB1352&lt;1.15,AL1352,1.15*Y1352),IF(BC1352&lt;1.15,AM1352,1.15*Z1352),IF(BD1352&lt;1.15,AN1352,1.15*AA1352),IF(BE1352&lt;1.15,AO1352,1.15*AB1352),IF(BF1352&lt;1.15,AP1352,1.15*AC1352),IF(BG1352&lt;1.15,AQ1352,1.15*AD1352),IF(BH1352&lt;1.15,AR1352,1.15*AE1352))</f>
        <v>0</v>
      </c>
      <c r="AU1352" s="97">
        <f>SUM(AG1352:AR1352)</f>
        <v>0</v>
      </c>
      <c r="AW1352" s="51">
        <f>IFERROR(IF(AG1352="",0,AG1352/T1352),0)</f>
        <v>0</v>
      </c>
      <c r="AX1352" s="51">
        <f>IFERROR(IF(AH1352="",0,AH1352/U1352),0)</f>
        <v>0</v>
      </c>
      <c r="AY1352" s="51">
        <f>IFERROR(IF(AI1352="",0,AI1352/V1352),0)</f>
        <v>0</v>
      </c>
      <c r="AZ1352" s="51">
        <f>IFERROR(IF(AJ1352="",0,AJ1352/W1352),0)</f>
        <v>0</v>
      </c>
      <c r="BA1352" s="51"/>
      <c r="BB1352" s="51"/>
      <c r="BC1352" s="51"/>
      <c r="BD1352" s="51"/>
      <c r="BE1352" s="51"/>
      <c r="BF1352" s="51"/>
      <c r="BG1352" s="51"/>
      <c r="BH1352" s="51"/>
      <c r="BI1352" s="65" cm="1">
        <f t="array" ref="BI1352">IFERROR(INDEX(AW1352:BH1352,1,MATCH(2,1/(AW1352:BH1352&lt;&gt;""))),"")</f>
        <v>0</v>
      </c>
      <c r="BJ1352" s="68" cm="1">
        <f t="array" ref="BJ1352">IF(BM1352 = "", "",IFERROR(INDEX(AW1352:BH1352,1,MATCH(2,1/(AW1352:BH1352&lt;&gt;""),1)-1),""))</f>
        <v>0</v>
      </c>
      <c r="BK1352" s="58">
        <f>IF((IF(AW1352&gt;=115%,115%,AW1352) + IF(AX1352&gt;=115%,115%,AX1352) + IF(AY1352&gt;=115%,115%,AY1352) + (IF(AZ1352&gt;=115%,115%,AZ1352) + IF(BA1352&gt;=115%,115%,BA1352) + IF(BB1352&gt;=115%,115%,BB1352) + IF(BC1352&gt;=115%,115%,BC1352) + IF(BD1352&gt;=115%,115%,BD1352) + IF(BE1352&gt;=115%,115%,BE1352) + IF(BF1352&gt;=115%,115%,BF1352) + IF(BG1352&gt;=115%,115%,BG1352) + IF(BH1352&gt;=115%,115%,BH1352)))/_xlfn.XLOOKUP(F1352,Apuração!A:A,Apuração!B:B)&gt;=1.15,1.15,((IF(AZ1352&gt;=115%,115%,AZ1352) + IF(AX1352&gt;=115%,115%,AX1352) + IF(AY1352&gt;=115%,115%,AY1352) + (IF(AW1352&gt;=115%,115%,AW1352) + IF(BA1352&gt;=115%,115%,BA1352) + IF(BB1352&gt;=115%,115%,BB1352) + IF(BC1352&gt;=115%,115%,BC1352) + IF(BD1352&gt;=115%,115%,BD1352) + IF(BE1352&gt;=115%,115%,BE1352) + IF(BF1352&gt;=115%,115%,BF1352) + IF(BG1352&gt;=115%,115%,BG1352) + IF(BH1352&gt;=115%,115%,BH1352)))/_xlfn.XLOOKUP(F1352,Apuração!A:A,Apuração!B:B)))</f>
        <v>0</v>
      </c>
      <c r="BL1352" s="58" cm="1">
        <f t="array" aca="1" ref="BL1352" ca="1">IF(SUM(IFERROR(IF(INDEX(AW1352:INDEX(AW1352:BH1352, MATCH(2, 1/(AW1352:BH1352&lt;&gt;""), 1)-1), ROW(INDIRECT("1:" &amp; MATCH(2, 1/(AW1352:BH1352&lt;&gt;""), 1)-1))) &gt;= 115%, 115%, INDEX(AW1352:INDEX(AW1352:BH1352, MATCH(2, 1/(AW1352:BH1352&lt;&gt;""), 1)-1), ROW(INDIRECT("1:" &amp; MATCH(2, 1/(AW1352:BH1352&lt;&gt;""), 1)-1)))), 0))/_xlfn.XLOOKUP(F1352,Apuração!A:A,Apuração!B:B)&gt;=1.15,1.15,SUM(IFERROR(IF(INDEX(AW1352:INDEX(AW1352:BH1352, MATCH(2, 1/(AW1352:BH1352&lt;&gt;""), 1)-1), ROW(INDIRECT("1:" &amp; MATCH(2, 1/(AW1352:BH1352&lt;&gt;""), 1)-1))) &gt;= 115%, 115%, INDEX(AW1352:INDEX(AW1352:BH1352, MATCH(2, 1/(AW1352:BH1352&lt;&gt;""), 1)-1), ROW(INDIRECT("1:" &amp; MATCH(2, 1/(AW1352:BH1352&lt;&gt;""), 1)-1)))), 0))/_xlfn.XLOOKUP(F1352,Apuração!A:A,Apuração!B:B))</f>
        <v>0</v>
      </c>
      <c r="BM1352" s="55" cm="1">
        <f t="array" ref="BM1352">IFERROR(
   INDEX($AW$1:$BH$1,
      _xlfn.AGGREGATE(14, 6, COLUMN($AW$1:$BH$1)/(AW1352:BH1352&lt;&gt;""), 2) - COLUMN($AW$1) + 1
   ),
"")</f>
        <v>46082</v>
      </c>
      <c r="BN1352" s="55" cm="1">
        <f t="array" ref="BN1352">IFERROR(INDEX($AW$1:$BH$1,1,MATCH(2,1/(AW1352:BH1352&lt;&gt;""))),"")</f>
        <v>46113</v>
      </c>
      <c r="BO1352" s="53">
        <f ca="1">IFERROR(_xlfn.XLOOKUP(F1352,Apuração!A:A,Apuração!C:C)/_xlfn.XLOOKUP(F1352,Apuração!A:A,Apuração!B:B),0)</f>
        <v>0</v>
      </c>
      <c r="BP1352" s="53">
        <f ca="1">IFERROR(_xlfn.XLOOKUP(F1352,Apuração!A:A,Apuração!D:D)/_xlfn.XLOOKUP(F1352,Apuração!A:A,Apuração!B:B),0)</f>
        <v>0</v>
      </c>
      <c r="BQ1352" s="53">
        <f ca="1">IF(BK1352&gt;=BO1352,0,_xlfn.XLOOKUP(F1352,Apuração!A:A,Apuração!B:B)*(BO1352 + (1/_xlfn.XLOOKUP(F1352,Apuração!A:A,Apuração!B:B)) - BK1352))</f>
        <v>0</v>
      </c>
      <c r="BR1352" s="85">
        <f ca="1">IF(BQ1352=0,0,BQ1352*Z1352)</f>
        <v>0</v>
      </c>
      <c r="BS1352" s="53">
        <f ca="1">IFERROR((_xlfn.XLOOKUP(F1352,Apuração!A:A,Apuração!C:C)+1)/_xlfn.XLOOKUP(F1352,Apuração!A:A,Apuração!B:B),0)</f>
        <v>0.14285714285714285</v>
      </c>
    </row>
    <row r="1353" spans="1:71" ht="25.95" hidden="1" customHeight="1" x14ac:dyDescent="0.3">
      <c r="A1353" s="23" t="s">
        <v>134</v>
      </c>
      <c r="B1353" s="4" t="s">
        <v>167</v>
      </c>
      <c r="C1353" s="5" t="s">
        <v>209</v>
      </c>
      <c r="D1353" s="5" t="s">
        <v>210</v>
      </c>
      <c r="E1353" s="4" t="s">
        <v>61</v>
      </c>
      <c r="F1353" s="4" t="str" cm="1">
        <f t="array" ref="F1353">_xlfn.IFS(
AG1353 &lt;&gt; "", "Jan-Dez/26",
AH1353 &lt;&gt; "", "Fev-Dez/26",
AI1353 &lt;&gt; "", "Mar-Dez/26", AJ1353 &lt;&gt; "", "Abr-Dez/26",
TRUE, "A partir de Junho"
)</f>
        <v>A partir de Junho</v>
      </c>
      <c r="G1353" s="4" t="s">
        <v>62</v>
      </c>
      <c r="H1353" s="7" t="s">
        <v>38</v>
      </c>
      <c r="I1353" s="8" t="s">
        <v>171</v>
      </c>
      <c r="J1353" s="8" t="str" cm="1">
        <f t="array" aca="1" ref="J1353" ca="1">_xlfn.LET(
  _xlpm.actual_value_month, INDEX(T1353:AE1353, MATCH(DATE(YEAR(TODAY()), MONTH(TODAY()), 1), $T$1:$AE$1, 0)),
  IF(_xlpm.actual_value_month &lt;&gt; "",_xlpm.actual_value_month &amp; " colaboradores alcançados mensalmentes", "")
)</f>
        <v>865 colaboradores alcançados mensalmentes</v>
      </c>
      <c r="K1353" s="8" t="str" cm="1">
        <f t="array" ref="K1353">_xlfn.LET(
    _xlpm.sum_month, SUM(T1353:AE1353),
    IF(_xlpm.sum_month = 0, "", _xlpm.sum_month &amp; " colaboradores alcançados durante no ano")
)</f>
        <v>7785 colaboradores alcançados durante no ano</v>
      </c>
      <c r="L1353" s="9" t="s">
        <v>172</v>
      </c>
      <c r="M1353" s="24" t="s">
        <v>173</v>
      </c>
      <c r="N1353" s="5" t="s">
        <v>42</v>
      </c>
      <c r="O1353" s="5" t="s">
        <v>43</v>
      </c>
      <c r="P1353" s="10" t="s">
        <v>44</v>
      </c>
      <c r="Q1353" s="10" t="s">
        <v>72</v>
      </c>
      <c r="R1353" s="11" t="s">
        <v>66</v>
      </c>
      <c r="S1353" s="11" t="s">
        <v>67</v>
      </c>
      <c r="T1353" s="22"/>
      <c r="U1353" s="22"/>
      <c r="V1353" s="22"/>
      <c r="W1353" s="143">
        <v>865</v>
      </c>
      <c r="X1353" s="143">
        <v>865</v>
      </c>
      <c r="Y1353" s="143">
        <v>865</v>
      </c>
      <c r="Z1353" s="143">
        <v>865</v>
      </c>
      <c r="AA1353" s="143">
        <v>865</v>
      </c>
      <c r="AB1353" s="143">
        <v>865</v>
      </c>
      <c r="AC1353" s="143">
        <v>865</v>
      </c>
      <c r="AD1353" s="143">
        <v>865</v>
      </c>
      <c r="AE1353" s="143">
        <v>865</v>
      </c>
      <c r="AG1353" s="71"/>
      <c r="AH1353" s="71"/>
      <c r="AI1353" s="71"/>
      <c r="AJ1353" s="71"/>
      <c r="AK1353" s="71"/>
      <c r="AL1353" s="71"/>
      <c r="AM1353" s="71"/>
      <c r="AN1353" s="71"/>
      <c r="AO1353" s="71"/>
      <c r="AP1353" s="71"/>
      <c r="AQ1353" s="71"/>
      <c r="AR1353" s="71"/>
      <c r="AS1353" s="94">
        <f t="shared" ref="AS1353:AS1357" ca="1" si="1604">IF(MONTH(TODAY())=3,SUM(T1353:U1353),IF(MONTH(TODAY())=4,SUM(T1353:V1353),IF(MONTH(TODAY())=5,SUM(T1353:W1353),IF(MONTH(TODAY())=6,SUM(T1353:X1353),IF(MONTH(TODAY())=7,SUM(T1353:Y1353),IF(MONTH(TODAY())=8,SUM(T1353:Z1353),IF(MONTH(TODAY())=9,SUM(T1353:AA1353),IF(MONTH(TODAY())=10,SUM(T1353:AB1353),IF(MONTH(TODAY())=11,SUM(T1353:AC1353),IF(MONTH(TODAY())=12,SUM(T1353:AD1353),IF(MONTH(TODAY())=1,SUM(T1353:AE1353),T1353)))))))))))</f>
        <v>1730</v>
      </c>
      <c r="AT1353" s="95">
        <f t="shared" ref="AT1353:AT1357" si="1605">SUM(IF(AW1353&lt;1.15,AG1353,1.15*T1353),IF(AX1353&lt;1.15,AH1353,1.15*U1353),IF(AY1353&lt;1.15,AI1353,1.15*V1353),IF(AZ1353&lt;1.15,AJ1353,1.15*W1353),IF(BA1353&lt;1.15,AK1353,1.15*X1353),IF(BB1353&lt;1.15,AL1353,1.15*Y1353),IF(BC1353&lt;1.15,AM1353,1.15*Z1353),IF(BD1353&lt;1.15,AN1353,1.15*AA1353),IF(BE1353&lt;1.15,AO1353,1.15*AB1353),IF(BF1353&lt;1.15,AP1353,1.15*AC1353),IF(BG1353&lt;1.15,AQ1353,1.15*AD1353),IF(BH1353&lt;1.15,AR1353,1.15*AE1353))</f>
        <v>0</v>
      </c>
      <c r="AU1353" s="97">
        <f t="shared" ref="AU1353:AU1357" si="1606">SUM(AG1353:AR1353)</f>
        <v>0</v>
      </c>
      <c r="AW1353" s="51">
        <f t="shared" ref="AW1353:AW1357" si="1607">IFERROR(IF(AG1353="",0,AG1353/T1353),0)</f>
        <v>0</v>
      </c>
      <c r="AX1353" s="51">
        <f t="shared" ref="AX1353:AX1357" si="1608">IFERROR(IF(AH1353="",0,AH1353/U1353),0)</f>
        <v>0</v>
      </c>
      <c r="AY1353" s="51">
        <f t="shared" ref="AY1353:AY1357" si="1609">IFERROR(IF(AI1353="",0,AI1353/V1353),0)</f>
        <v>0</v>
      </c>
      <c r="AZ1353" s="51">
        <f t="shared" ref="AZ1353:AZ1357" si="1610">IFERROR(IF(AJ1353="",0,AJ1353/W1353),0)</f>
        <v>0</v>
      </c>
      <c r="BA1353" s="51"/>
      <c r="BB1353" s="51"/>
      <c r="BC1353" s="51"/>
      <c r="BD1353" s="51"/>
      <c r="BE1353" s="51"/>
      <c r="BF1353" s="51"/>
      <c r="BG1353" s="51"/>
      <c r="BH1353" s="51"/>
      <c r="BI1353" s="65" cm="1">
        <f t="array" ref="BI1353">IFERROR(INDEX(AW1353:BH1353,1,MATCH(2,1/(AW1353:BH1353&lt;&gt;""))),"")</f>
        <v>0</v>
      </c>
      <c r="BJ1353" s="68" cm="1">
        <f t="array" ref="BJ1353">IF(BM1353 = "", "",IFERROR(INDEX(AW1353:BH1353,1,MATCH(2,1/(AW1353:BH1353&lt;&gt;""),1)-1),""))</f>
        <v>0</v>
      </c>
      <c r="BK1353" s="58">
        <f>IF((IF(AW1353&gt;=115%,115%,AW1353) + IF(AX1353&gt;=115%,115%,AX1353) + IF(AY1353&gt;=115%,115%,AY1353) + (IF(AZ1353&gt;=115%,115%,AZ1353) + IF(BA1353&gt;=115%,115%,BA1353) + IF(BB1353&gt;=115%,115%,BB1353) + IF(BC1353&gt;=115%,115%,BC1353) + IF(BD1353&gt;=115%,115%,BD1353) + IF(BE1353&gt;=115%,115%,BE1353) + IF(BF1353&gt;=115%,115%,BF1353) + IF(BG1353&gt;=115%,115%,BG1353) + IF(BH1353&gt;=115%,115%,BH1353)))/_xlfn.XLOOKUP(F1353,Apuração!A:A,Apuração!B:B)&gt;=1.15,1.15,((IF(AZ1353&gt;=115%,115%,AZ1353) + IF(AX1353&gt;=115%,115%,AX1353) + IF(AY1353&gt;=115%,115%,AY1353) + (IF(AW1353&gt;=115%,115%,AW1353) + IF(BA1353&gt;=115%,115%,BA1353) + IF(BB1353&gt;=115%,115%,BB1353) + IF(BC1353&gt;=115%,115%,BC1353) + IF(BD1353&gt;=115%,115%,BD1353) + IF(BE1353&gt;=115%,115%,BE1353) + IF(BF1353&gt;=115%,115%,BF1353) + IF(BG1353&gt;=115%,115%,BG1353) + IF(BH1353&gt;=115%,115%,BH1353)))/_xlfn.XLOOKUP(F1353,Apuração!A:A,Apuração!B:B)))</f>
        <v>0</v>
      </c>
      <c r="BL1353" s="58" cm="1">
        <f t="array" aca="1" ref="BL1353" ca="1">IF(SUM(IFERROR(IF(INDEX(AW1353:INDEX(AW1353:BH1353, MATCH(2, 1/(AW1353:BH1353&lt;&gt;""), 1)-1), ROW(INDIRECT("1:" &amp; MATCH(2, 1/(AW1353:BH1353&lt;&gt;""), 1)-1))) &gt;= 115%, 115%, INDEX(AW1353:INDEX(AW1353:BH1353, MATCH(2, 1/(AW1353:BH1353&lt;&gt;""), 1)-1), ROW(INDIRECT("1:" &amp; MATCH(2, 1/(AW1353:BH1353&lt;&gt;""), 1)-1)))), 0))/_xlfn.XLOOKUP(F1353,Apuração!A:A,Apuração!B:B)&gt;=1.15,1.15,SUM(IFERROR(IF(INDEX(AW1353:INDEX(AW1353:BH1353, MATCH(2, 1/(AW1353:BH1353&lt;&gt;""), 1)-1), ROW(INDIRECT("1:" &amp; MATCH(2, 1/(AW1353:BH1353&lt;&gt;""), 1)-1))) &gt;= 115%, 115%, INDEX(AW1353:INDEX(AW1353:BH1353, MATCH(2, 1/(AW1353:BH1353&lt;&gt;""), 1)-1), ROW(INDIRECT("1:" &amp; MATCH(2, 1/(AW1353:BH1353&lt;&gt;""), 1)-1)))), 0))/_xlfn.XLOOKUP(F1353,Apuração!A:A,Apuração!B:B))</f>
        <v>0</v>
      </c>
      <c r="BM1353" s="55" cm="1">
        <f t="array" ref="BM1353">IFERROR(
   INDEX($AW$1:$BH$1,
      _xlfn.AGGREGATE(14, 6, COLUMN($AW$1:$BH$1)/(AW1353:BH1353&lt;&gt;""), 2) - COLUMN($AW$1) + 1
   ),
"")</f>
        <v>46082</v>
      </c>
      <c r="BN1353" s="55" cm="1">
        <f t="array" ref="BN1353">IFERROR(INDEX($AW$1:$BH$1,1,MATCH(2,1/(AW1353:BH1353&lt;&gt;""))),"")</f>
        <v>46113</v>
      </c>
      <c r="BO1353" s="53">
        <f ca="1">IFERROR(_xlfn.XLOOKUP(F1353,Apuração!A:A,Apuração!C:C)/_xlfn.XLOOKUP(F1353,Apuração!A:A,Apuração!B:B),0)</f>
        <v>0</v>
      </c>
      <c r="BP1353" s="53">
        <f ca="1">IFERROR(_xlfn.XLOOKUP(F1353,Apuração!A:A,Apuração!D:D)/_xlfn.XLOOKUP(F1353,Apuração!A:A,Apuração!B:B),0)</f>
        <v>0</v>
      </c>
      <c r="BQ1353" s="53">
        <f ca="1">IF(BK1353&gt;=BO1353,0,_xlfn.XLOOKUP(F1353,Apuração!A:A,Apuração!B:B)*(BO1353 + (1/_xlfn.XLOOKUP(F1353,Apuração!A:A,Apuração!B:B)) - BK1353))</f>
        <v>0</v>
      </c>
      <c r="BR1353" s="85">
        <f t="shared" ref="BR1353:BR1357" ca="1" si="1611">IF(BQ1353=0,0,BQ1353*Z1353)</f>
        <v>0</v>
      </c>
      <c r="BS1353" s="53">
        <f ca="1">IFERROR((_xlfn.XLOOKUP(F1353,Apuração!A:A,Apuração!C:C)+1)/_xlfn.XLOOKUP(F1353,Apuração!A:A,Apuração!B:B),0)</f>
        <v>0.14285714285714285</v>
      </c>
    </row>
    <row r="1354" spans="1:71" ht="25.95" hidden="1" customHeight="1" x14ac:dyDescent="0.3">
      <c r="A1354" s="23" t="s">
        <v>134</v>
      </c>
      <c r="B1354" s="4" t="s">
        <v>167</v>
      </c>
      <c r="C1354" s="5" t="s">
        <v>209</v>
      </c>
      <c r="D1354" s="5" t="s">
        <v>47</v>
      </c>
      <c r="E1354" s="4" t="s">
        <v>61</v>
      </c>
      <c r="F1354" s="4" t="str" cm="1">
        <f t="array" ref="F1354">_xlfn.IFS(
AG1354 &lt;&gt; "", "Jan-Dez/26",
AH1354 &lt;&gt; "", "Fev-Dez/26",
AI1354 &lt;&gt; "", "Mar-Dez/26", AJ1354 &lt;&gt; "", "Abr-Dez/26",
TRUE, "A partir de Junho"
)</f>
        <v>A partir de Junho</v>
      </c>
      <c r="G1354" s="4" t="s">
        <v>62</v>
      </c>
      <c r="H1354" s="7" t="s">
        <v>38</v>
      </c>
      <c r="I1354" s="8" t="s">
        <v>171</v>
      </c>
      <c r="J1354" s="8" t="str" cm="1">
        <f t="array" aca="1" ref="J1354" ca="1">_xlfn.LET(
  _xlpm.actual_value_month, INDEX(T1354:AE1354, MATCH(DATE(YEAR(TODAY()), MONTH(TODAY()), 1), $T$1:$AE$1, 0)),
  IF(_xlpm.actual_value_month &lt;&gt; "",_xlpm.actual_value_month &amp; " colaboradores alcançados mensalmentes", "")
)</f>
        <v>658 colaboradores alcançados mensalmentes</v>
      </c>
      <c r="K1354" s="8" t="str" cm="1">
        <f t="array" ref="K1354">_xlfn.LET(
    _xlpm.sum_month, SUM(T1354:AE1354),
    IF(_xlpm.sum_month = 0, "", _xlpm.sum_month &amp; " colaboradores alcançados durante no ano")
)</f>
        <v>5922 colaboradores alcançados durante no ano</v>
      </c>
      <c r="L1354" s="9" t="s">
        <v>172</v>
      </c>
      <c r="M1354" s="24" t="s">
        <v>173</v>
      </c>
      <c r="N1354" s="5" t="s">
        <v>42</v>
      </c>
      <c r="O1354" s="5" t="s">
        <v>43</v>
      </c>
      <c r="P1354" s="10" t="s">
        <v>44</v>
      </c>
      <c r="Q1354" s="10" t="s">
        <v>72</v>
      </c>
      <c r="R1354" s="11" t="s">
        <v>66</v>
      </c>
      <c r="S1354" s="11" t="s">
        <v>67</v>
      </c>
      <c r="T1354" s="22"/>
      <c r="U1354" s="22"/>
      <c r="V1354" s="22"/>
      <c r="W1354" s="143">
        <v>658</v>
      </c>
      <c r="X1354" s="143">
        <v>658</v>
      </c>
      <c r="Y1354" s="143">
        <v>658</v>
      </c>
      <c r="Z1354" s="143">
        <v>658</v>
      </c>
      <c r="AA1354" s="143">
        <v>658</v>
      </c>
      <c r="AB1354" s="143">
        <v>658</v>
      </c>
      <c r="AC1354" s="143">
        <v>658</v>
      </c>
      <c r="AD1354" s="143">
        <v>658</v>
      </c>
      <c r="AE1354" s="143">
        <v>658</v>
      </c>
      <c r="AG1354" s="71"/>
      <c r="AH1354" s="71"/>
      <c r="AI1354" s="71"/>
      <c r="AJ1354" s="71"/>
      <c r="AK1354" s="71"/>
      <c r="AL1354" s="71"/>
      <c r="AM1354" s="71"/>
      <c r="AN1354" s="71"/>
      <c r="AO1354" s="71"/>
      <c r="AP1354" s="71"/>
      <c r="AQ1354" s="71"/>
      <c r="AR1354" s="71"/>
      <c r="AS1354" s="94">
        <f t="shared" ca="1" si="1604"/>
        <v>1316</v>
      </c>
      <c r="AT1354" s="95">
        <f t="shared" si="1605"/>
        <v>0</v>
      </c>
      <c r="AU1354" s="97">
        <f t="shared" si="1606"/>
        <v>0</v>
      </c>
      <c r="AW1354" s="51">
        <f t="shared" si="1607"/>
        <v>0</v>
      </c>
      <c r="AX1354" s="51">
        <f t="shared" si="1608"/>
        <v>0</v>
      </c>
      <c r="AY1354" s="51">
        <f t="shared" si="1609"/>
        <v>0</v>
      </c>
      <c r="AZ1354" s="51">
        <f t="shared" si="1610"/>
        <v>0</v>
      </c>
      <c r="BA1354" s="51"/>
      <c r="BB1354" s="51"/>
      <c r="BC1354" s="51"/>
      <c r="BD1354" s="51"/>
      <c r="BE1354" s="51"/>
      <c r="BF1354" s="51"/>
      <c r="BG1354" s="51"/>
      <c r="BH1354" s="51"/>
      <c r="BI1354" s="65" cm="1">
        <f t="array" ref="BI1354">IFERROR(INDEX(AW1354:BH1354,1,MATCH(2,1/(AW1354:BH1354&lt;&gt;""))),"")</f>
        <v>0</v>
      </c>
      <c r="BJ1354" s="68" cm="1">
        <f t="array" ref="BJ1354">IF(BM1354 = "", "",IFERROR(INDEX(AW1354:BH1354,1,MATCH(2,1/(AW1354:BH1354&lt;&gt;""),1)-1),""))</f>
        <v>0</v>
      </c>
      <c r="BK1354" s="58">
        <f>IF((IF(AW1354&gt;=115%,115%,AW1354) + IF(AX1354&gt;=115%,115%,AX1354) + IF(AY1354&gt;=115%,115%,AY1354) + (IF(AZ1354&gt;=115%,115%,AZ1354) + IF(BA1354&gt;=115%,115%,BA1354) + IF(BB1354&gt;=115%,115%,BB1354) + IF(BC1354&gt;=115%,115%,BC1354) + IF(BD1354&gt;=115%,115%,BD1354) + IF(BE1354&gt;=115%,115%,BE1354) + IF(BF1354&gt;=115%,115%,BF1354) + IF(BG1354&gt;=115%,115%,BG1354) + IF(BH1354&gt;=115%,115%,BH1354)))/_xlfn.XLOOKUP(F1354,Apuração!A:A,Apuração!B:B)&gt;=1.15,1.15,((IF(AZ1354&gt;=115%,115%,AZ1354) + IF(AX1354&gt;=115%,115%,AX1354) + IF(AY1354&gt;=115%,115%,AY1354) + (IF(AW1354&gt;=115%,115%,AW1354) + IF(BA1354&gt;=115%,115%,BA1354) + IF(BB1354&gt;=115%,115%,BB1354) + IF(BC1354&gt;=115%,115%,BC1354) + IF(BD1354&gt;=115%,115%,BD1354) + IF(BE1354&gt;=115%,115%,BE1354) + IF(BF1354&gt;=115%,115%,BF1354) + IF(BG1354&gt;=115%,115%,BG1354) + IF(BH1354&gt;=115%,115%,BH1354)))/_xlfn.XLOOKUP(F1354,Apuração!A:A,Apuração!B:B)))</f>
        <v>0</v>
      </c>
      <c r="BL1354" s="58" cm="1">
        <f t="array" aca="1" ref="BL1354" ca="1">IF(SUM(IFERROR(IF(INDEX(AW1354:INDEX(AW1354:BH1354, MATCH(2, 1/(AW1354:BH1354&lt;&gt;""), 1)-1), ROW(INDIRECT("1:" &amp; MATCH(2, 1/(AW1354:BH1354&lt;&gt;""), 1)-1))) &gt;= 115%, 115%, INDEX(AW1354:INDEX(AW1354:BH1354, MATCH(2, 1/(AW1354:BH1354&lt;&gt;""), 1)-1), ROW(INDIRECT("1:" &amp; MATCH(2, 1/(AW1354:BH1354&lt;&gt;""), 1)-1)))), 0))/_xlfn.XLOOKUP(F1354,Apuração!A:A,Apuração!B:B)&gt;=1.15,1.15,SUM(IFERROR(IF(INDEX(AW1354:INDEX(AW1354:BH1354, MATCH(2, 1/(AW1354:BH1354&lt;&gt;""), 1)-1), ROW(INDIRECT("1:" &amp; MATCH(2, 1/(AW1354:BH1354&lt;&gt;""), 1)-1))) &gt;= 115%, 115%, INDEX(AW1354:INDEX(AW1354:BH1354, MATCH(2, 1/(AW1354:BH1354&lt;&gt;""), 1)-1), ROW(INDIRECT("1:" &amp; MATCH(2, 1/(AW1354:BH1354&lt;&gt;""), 1)-1)))), 0))/_xlfn.XLOOKUP(F1354,Apuração!A:A,Apuração!B:B))</f>
        <v>0</v>
      </c>
      <c r="BM1354" s="55" cm="1">
        <f t="array" ref="BM1354">IFERROR(
   INDEX($AW$1:$BH$1,
      _xlfn.AGGREGATE(14, 6, COLUMN($AW$1:$BH$1)/(AW1354:BH1354&lt;&gt;""), 2) - COLUMN($AW$1) + 1
   ),
"")</f>
        <v>46082</v>
      </c>
      <c r="BN1354" s="55" cm="1">
        <f t="array" ref="BN1354">IFERROR(INDEX($AW$1:$BH$1,1,MATCH(2,1/(AW1354:BH1354&lt;&gt;""))),"")</f>
        <v>46113</v>
      </c>
      <c r="BO1354" s="53">
        <f ca="1">IFERROR(_xlfn.XLOOKUP(F1354,Apuração!A:A,Apuração!C:C)/_xlfn.XLOOKUP(F1354,Apuração!A:A,Apuração!B:B),0)</f>
        <v>0</v>
      </c>
      <c r="BP1354" s="53">
        <f ca="1">IFERROR(_xlfn.XLOOKUP(F1354,Apuração!A:A,Apuração!D:D)/_xlfn.XLOOKUP(F1354,Apuração!A:A,Apuração!B:B),0)</f>
        <v>0</v>
      </c>
      <c r="BQ1354" s="53">
        <f ca="1">IF(BK1354&gt;=BO1354,0,_xlfn.XLOOKUP(F1354,Apuração!A:A,Apuração!B:B)*(BO1354 + (1/_xlfn.XLOOKUP(F1354,Apuração!A:A,Apuração!B:B)) - BK1354))</f>
        <v>0</v>
      </c>
      <c r="BR1354" s="85">
        <f t="shared" ca="1" si="1611"/>
        <v>0</v>
      </c>
      <c r="BS1354" s="53">
        <f ca="1">IFERROR((_xlfn.XLOOKUP(F1354,Apuração!A:A,Apuração!C:C)+1)/_xlfn.XLOOKUP(F1354,Apuração!A:A,Apuração!B:B),0)</f>
        <v>0.14285714285714285</v>
      </c>
    </row>
    <row r="1355" spans="1:71" ht="25.95" hidden="1" customHeight="1" x14ac:dyDescent="0.3">
      <c r="A1355" s="23" t="s">
        <v>134</v>
      </c>
      <c r="B1355" s="4" t="s">
        <v>167</v>
      </c>
      <c r="C1355" s="5" t="s">
        <v>209</v>
      </c>
      <c r="D1355" s="5" t="s">
        <v>211</v>
      </c>
      <c r="E1355" s="4" t="s">
        <v>61</v>
      </c>
      <c r="F1355" s="4" t="str" cm="1">
        <f t="array" ref="F1355">_xlfn.IFS(
AG1355 &lt;&gt; "", "Jan-Dez/26",
AH1355 &lt;&gt; "", "Fev-Dez/26",
AI1355 &lt;&gt; "", "Mar-Dez/26", AJ1355 &lt;&gt; "", "Abr-Dez/26",
TRUE, "A partir de Junho"
)</f>
        <v>A partir de Junho</v>
      </c>
      <c r="G1355" s="4" t="s">
        <v>62</v>
      </c>
      <c r="H1355" s="7" t="s">
        <v>38</v>
      </c>
      <c r="I1355" s="8" t="s">
        <v>171</v>
      </c>
      <c r="J1355" s="8" t="str" cm="1">
        <f t="array" aca="1" ref="J1355" ca="1">_xlfn.LET(
  _xlpm.actual_value_month, INDEX(T1355:AE1355, MATCH(DATE(YEAR(TODAY()), MONTH(TODAY()), 1), $T$1:$AE$1, 0)),
  IF(_xlpm.actual_value_month &lt;&gt; "",_xlpm.actual_value_month &amp; " colaboradores alcançados mensalmentes", "")
)</f>
        <v>200 colaboradores alcançados mensalmentes</v>
      </c>
      <c r="K1355" s="8" t="str" cm="1">
        <f t="array" ref="K1355">_xlfn.LET(
    _xlpm.sum_month, SUM(T1355:AE1355),
    IF(_xlpm.sum_month = 0, "", _xlpm.sum_month &amp; " colaboradores alcançados durante no ano")
)</f>
        <v>1800 colaboradores alcançados durante no ano</v>
      </c>
      <c r="L1355" s="9" t="s">
        <v>172</v>
      </c>
      <c r="M1355" s="24" t="s">
        <v>173</v>
      </c>
      <c r="N1355" s="5" t="s">
        <v>42</v>
      </c>
      <c r="O1355" s="5" t="s">
        <v>43</v>
      </c>
      <c r="P1355" s="10" t="s">
        <v>44</v>
      </c>
      <c r="Q1355" s="10" t="s">
        <v>72</v>
      </c>
      <c r="R1355" s="11" t="s">
        <v>66</v>
      </c>
      <c r="S1355" s="11" t="s">
        <v>67</v>
      </c>
      <c r="T1355" s="22"/>
      <c r="U1355" s="22"/>
      <c r="V1355" s="22"/>
      <c r="W1355" s="143">
        <v>200</v>
      </c>
      <c r="X1355" s="143">
        <v>200</v>
      </c>
      <c r="Y1355" s="143">
        <v>200</v>
      </c>
      <c r="Z1355" s="143">
        <v>200</v>
      </c>
      <c r="AA1355" s="143">
        <v>200</v>
      </c>
      <c r="AB1355" s="143">
        <v>200</v>
      </c>
      <c r="AC1355" s="143">
        <v>200</v>
      </c>
      <c r="AD1355" s="143">
        <v>200</v>
      </c>
      <c r="AE1355" s="143">
        <v>200</v>
      </c>
      <c r="AG1355" s="71"/>
      <c r="AH1355" s="71"/>
      <c r="AI1355" s="71"/>
      <c r="AJ1355" s="71"/>
      <c r="AK1355" s="71"/>
      <c r="AL1355" s="71"/>
      <c r="AM1355" s="71"/>
      <c r="AN1355" s="71"/>
      <c r="AO1355" s="71"/>
      <c r="AP1355" s="71"/>
      <c r="AQ1355" s="71"/>
      <c r="AR1355" s="71"/>
      <c r="AS1355" s="94">
        <f t="shared" ca="1" si="1604"/>
        <v>400</v>
      </c>
      <c r="AT1355" s="95">
        <f t="shared" si="1605"/>
        <v>0</v>
      </c>
      <c r="AU1355" s="97">
        <f t="shared" si="1606"/>
        <v>0</v>
      </c>
      <c r="AW1355" s="51">
        <f t="shared" si="1607"/>
        <v>0</v>
      </c>
      <c r="AX1355" s="51">
        <f t="shared" si="1608"/>
        <v>0</v>
      </c>
      <c r="AY1355" s="51">
        <f t="shared" si="1609"/>
        <v>0</v>
      </c>
      <c r="AZ1355" s="51">
        <f t="shared" si="1610"/>
        <v>0</v>
      </c>
      <c r="BA1355" s="51"/>
      <c r="BB1355" s="51"/>
      <c r="BC1355" s="51"/>
      <c r="BD1355" s="51"/>
      <c r="BE1355" s="51"/>
      <c r="BF1355" s="51"/>
      <c r="BG1355" s="51"/>
      <c r="BH1355" s="51"/>
      <c r="BI1355" s="65" cm="1">
        <f t="array" ref="BI1355">IFERROR(INDEX(AW1355:BH1355,1,MATCH(2,1/(AW1355:BH1355&lt;&gt;""))),"")</f>
        <v>0</v>
      </c>
      <c r="BJ1355" s="68" cm="1">
        <f t="array" ref="BJ1355">IF(BM1355 = "", "",IFERROR(INDEX(AW1355:BH1355,1,MATCH(2,1/(AW1355:BH1355&lt;&gt;""),1)-1),""))</f>
        <v>0</v>
      </c>
      <c r="BK1355" s="58">
        <f>IF((IF(AW1355&gt;=115%,115%,AW1355) + IF(AX1355&gt;=115%,115%,AX1355) + IF(AY1355&gt;=115%,115%,AY1355) + (IF(AZ1355&gt;=115%,115%,AZ1355) + IF(BA1355&gt;=115%,115%,BA1355) + IF(BB1355&gt;=115%,115%,BB1355) + IF(BC1355&gt;=115%,115%,BC1355) + IF(BD1355&gt;=115%,115%,BD1355) + IF(BE1355&gt;=115%,115%,BE1355) + IF(BF1355&gt;=115%,115%,BF1355) + IF(BG1355&gt;=115%,115%,BG1355) + IF(BH1355&gt;=115%,115%,BH1355)))/_xlfn.XLOOKUP(F1355,Apuração!A:A,Apuração!B:B)&gt;=1.15,1.15,((IF(AZ1355&gt;=115%,115%,AZ1355) + IF(AX1355&gt;=115%,115%,AX1355) + IF(AY1355&gt;=115%,115%,AY1355) + (IF(AW1355&gt;=115%,115%,AW1355) + IF(BA1355&gt;=115%,115%,BA1355) + IF(BB1355&gt;=115%,115%,BB1355) + IF(BC1355&gt;=115%,115%,BC1355) + IF(BD1355&gt;=115%,115%,BD1355) + IF(BE1355&gt;=115%,115%,BE1355) + IF(BF1355&gt;=115%,115%,BF1355) + IF(BG1355&gt;=115%,115%,BG1355) + IF(BH1355&gt;=115%,115%,BH1355)))/_xlfn.XLOOKUP(F1355,Apuração!A:A,Apuração!B:B)))</f>
        <v>0</v>
      </c>
      <c r="BL1355" s="58" cm="1">
        <f t="array" aca="1" ref="BL1355" ca="1">IF(SUM(IFERROR(IF(INDEX(AW1355:INDEX(AW1355:BH1355, MATCH(2, 1/(AW1355:BH1355&lt;&gt;""), 1)-1), ROW(INDIRECT("1:" &amp; MATCH(2, 1/(AW1355:BH1355&lt;&gt;""), 1)-1))) &gt;= 115%, 115%, INDEX(AW1355:INDEX(AW1355:BH1355, MATCH(2, 1/(AW1355:BH1355&lt;&gt;""), 1)-1), ROW(INDIRECT("1:" &amp; MATCH(2, 1/(AW1355:BH1355&lt;&gt;""), 1)-1)))), 0))/_xlfn.XLOOKUP(F1355,Apuração!A:A,Apuração!B:B)&gt;=1.15,1.15,SUM(IFERROR(IF(INDEX(AW1355:INDEX(AW1355:BH1355, MATCH(2, 1/(AW1355:BH1355&lt;&gt;""), 1)-1), ROW(INDIRECT("1:" &amp; MATCH(2, 1/(AW1355:BH1355&lt;&gt;""), 1)-1))) &gt;= 115%, 115%, INDEX(AW1355:INDEX(AW1355:BH1355, MATCH(2, 1/(AW1355:BH1355&lt;&gt;""), 1)-1), ROW(INDIRECT("1:" &amp; MATCH(2, 1/(AW1355:BH1355&lt;&gt;""), 1)-1)))), 0))/_xlfn.XLOOKUP(F1355,Apuração!A:A,Apuração!B:B))</f>
        <v>0</v>
      </c>
      <c r="BM1355" s="55" cm="1">
        <f t="array" ref="BM1355">IFERROR(
   INDEX($AW$1:$BH$1,
      _xlfn.AGGREGATE(14, 6, COLUMN($AW$1:$BH$1)/(AW1355:BH1355&lt;&gt;""), 2) - COLUMN($AW$1) + 1
   ),
"")</f>
        <v>46082</v>
      </c>
      <c r="BN1355" s="55" cm="1">
        <f t="array" ref="BN1355">IFERROR(INDEX($AW$1:$BH$1,1,MATCH(2,1/(AW1355:BH1355&lt;&gt;""))),"")</f>
        <v>46113</v>
      </c>
      <c r="BO1355" s="53">
        <f ca="1">IFERROR(_xlfn.XLOOKUP(F1355,Apuração!A:A,Apuração!C:C)/_xlfn.XLOOKUP(F1355,Apuração!A:A,Apuração!B:B),0)</f>
        <v>0</v>
      </c>
      <c r="BP1355" s="53">
        <f ca="1">IFERROR(_xlfn.XLOOKUP(F1355,Apuração!A:A,Apuração!D:D)/_xlfn.XLOOKUP(F1355,Apuração!A:A,Apuração!B:B),0)</f>
        <v>0</v>
      </c>
      <c r="BQ1355" s="53">
        <f ca="1">IF(BK1355&gt;=BO1355,0,_xlfn.XLOOKUP(F1355,Apuração!A:A,Apuração!B:B)*(BO1355 + (1/_xlfn.XLOOKUP(F1355,Apuração!A:A,Apuração!B:B)) - BK1355))</f>
        <v>0</v>
      </c>
      <c r="BR1355" s="85">
        <f t="shared" ca="1" si="1611"/>
        <v>0</v>
      </c>
      <c r="BS1355" s="53">
        <f ca="1">IFERROR((_xlfn.XLOOKUP(F1355,Apuração!A:A,Apuração!C:C)+1)/_xlfn.XLOOKUP(F1355,Apuração!A:A,Apuração!B:B),0)</f>
        <v>0.14285714285714285</v>
      </c>
    </row>
    <row r="1356" spans="1:71" ht="25.95" hidden="1" customHeight="1" x14ac:dyDescent="0.3">
      <c r="A1356" s="23" t="s">
        <v>134</v>
      </c>
      <c r="B1356" s="4" t="s">
        <v>167</v>
      </c>
      <c r="C1356" s="5" t="s">
        <v>209</v>
      </c>
      <c r="D1356" s="5" t="s">
        <v>212</v>
      </c>
      <c r="E1356" s="4" t="s">
        <v>61</v>
      </c>
      <c r="F1356" s="4" t="str" cm="1">
        <f t="array" ref="F1356">_xlfn.IFS(
AG1356 &lt;&gt; "", "Jan-Dez/26",
AH1356 &lt;&gt; "", "Fev-Dez/26",
AI1356 &lt;&gt; "", "Mar-Dez/26", AJ1356 &lt;&gt; "", "Abr-Dez/26",
TRUE, "A partir de Junho"
)</f>
        <v>A partir de Junho</v>
      </c>
      <c r="G1356" s="4" t="s">
        <v>62</v>
      </c>
      <c r="H1356" s="7" t="s">
        <v>38</v>
      </c>
      <c r="I1356" s="8" t="s">
        <v>171</v>
      </c>
      <c r="J1356" s="8" t="str" cm="1">
        <f t="array" aca="1" ref="J1356" ca="1">_xlfn.LET(
  _xlpm.actual_value_month, INDEX(T1356:AE1356, MATCH(DATE(YEAR(TODAY()), MONTH(TODAY()), 1), $T$1:$AE$1, 0)),
  IF(_xlpm.actual_value_month &lt;&gt; "",_xlpm.actual_value_month &amp; " colaboradores alcançados mensalmentes", "")
)</f>
        <v>893 colaboradores alcançados mensalmentes</v>
      </c>
      <c r="K1356" s="8" t="str" cm="1">
        <f t="array" ref="K1356">_xlfn.LET(
    _xlpm.sum_month, SUM(T1356:AE1356),
    IF(_xlpm.sum_month = 0, "", _xlpm.sum_month &amp; " colaboradores alcançados durante no ano")
)</f>
        <v>8037 colaboradores alcançados durante no ano</v>
      </c>
      <c r="L1356" s="9" t="s">
        <v>172</v>
      </c>
      <c r="M1356" s="24" t="s">
        <v>173</v>
      </c>
      <c r="N1356" s="5" t="s">
        <v>42</v>
      </c>
      <c r="O1356" s="5" t="s">
        <v>43</v>
      </c>
      <c r="P1356" s="10" t="s">
        <v>44</v>
      </c>
      <c r="Q1356" s="10" t="s">
        <v>72</v>
      </c>
      <c r="R1356" s="11" t="s">
        <v>66</v>
      </c>
      <c r="S1356" s="11" t="s">
        <v>67</v>
      </c>
      <c r="T1356" s="22"/>
      <c r="U1356" s="22"/>
      <c r="V1356" s="22"/>
      <c r="W1356" s="143">
        <v>893</v>
      </c>
      <c r="X1356" s="143">
        <v>893</v>
      </c>
      <c r="Y1356" s="143">
        <v>893</v>
      </c>
      <c r="Z1356" s="143">
        <v>893</v>
      </c>
      <c r="AA1356" s="143">
        <v>893</v>
      </c>
      <c r="AB1356" s="143">
        <v>893</v>
      </c>
      <c r="AC1356" s="143">
        <v>893</v>
      </c>
      <c r="AD1356" s="143">
        <v>893</v>
      </c>
      <c r="AE1356" s="143">
        <v>893</v>
      </c>
      <c r="AG1356" s="71"/>
      <c r="AH1356" s="71"/>
      <c r="AI1356" s="71"/>
      <c r="AJ1356" s="71"/>
      <c r="AK1356" s="71"/>
      <c r="AL1356" s="71"/>
      <c r="AM1356" s="71"/>
      <c r="AN1356" s="71"/>
      <c r="AO1356" s="71"/>
      <c r="AP1356" s="71"/>
      <c r="AQ1356" s="71"/>
      <c r="AR1356" s="71"/>
      <c r="AS1356" s="94">
        <f t="shared" ca="1" si="1604"/>
        <v>1786</v>
      </c>
      <c r="AT1356" s="95">
        <f t="shared" si="1605"/>
        <v>0</v>
      </c>
      <c r="AU1356" s="97">
        <f t="shared" si="1606"/>
        <v>0</v>
      </c>
      <c r="AW1356" s="51">
        <f t="shared" si="1607"/>
        <v>0</v>
      </c>
      <c r="AX1356" s="51">
        <f t="shared" si="1608"/>
        <v>0</v>
      </c>
      <c r="AY1356" s="51">
        <f t="shared" si="1609"/>
        <v>0</v>
      </c>
      <c r="AZ1356" s="51">
        <f t="shared" si="1610"/>
        <v>0</v>
      </c>
      <c r="BA1356" s="51"/>
      <c r="BB1356" s="51"/>
      <c r="BC1356" s="51"/>
      <c r="BD1356" s="51"/>
      <c r="BE1356" s="51"/>
      <c r="BF1356" s="51"/>
      <c r="BG1356" s="51"/>
      <c r="BH1356" s="51"/>
      <c r="BI1356" s="65" cm="1">
        <f t="array" ref="BI1356">IFERROR(INDEX(AW1356:BH1356,1,MATCH(2,1/(AW1356:BH1356&lt;&gt;""))),"")</f>
        <v>0</v>
      </c>
      <c r="BJ1356" s="68" cm="1">
        <f t="array" ref="BJ1356">IF(BM1356 = "", "",IFERROR(INDEX(AW1356:BH1356,1,MATCH(2,1/(AW1356:BH1356&lt;&gt;""),1)-1),""))</f>
        <v>0</v>
      </c>
      <c r="BK1356" s="58">
        <f>IF((IF(AW1356&gt;=115%,115%,AW1356) + IF(AX1356&gt;=115%,115%,AX1356) + IF(AY1356&gt;=115%,115%,AY1356) + (IF(AZ1356&gt;=115%,115%,AZ1356) + IF(BA1356&gt;=115%,115%,BA1356) + IF(BB1356&gt;=115%,115%,BB1356) + IF(BC1356&gt;=115%,115%,BC1356) + IF(BD1356&gt;=115%,115%,BD1356) + IF(BE1356&gt;=115%,115%,BE1356) + IF(BF1356&gt;=115%,115%,BF1356) + IF(BG1356&gt;=115%,115%,BG1356) + IF(BH1356&gt;=115%,115%,BH1356)))/_xlfn.XLOOKUP(F1356,Apuração!A:A,Apuração!B:B)&gt;=1.15,1.15,((IF(AZ1356&gt;=115%,115%,AZ1356) + IF(AX1356&gt;=115%,115%,AX1356) + IF(AY1356&gt;=115%,115%,AY1356) + (IF(AW1356&gt;=115%,115%,AW1356) + IF(BA1356&gt;=115%,115%,BA1356) + IF(BB1356&gt;=115%,115%,BB1356) + IF(BC1356&gt;=115%,115%,BC1356) + IF(BD1356&gt;=115%,115%,BD1356) + IF(BE1356&gt;=115%,115%,BE1356) + IF(BF1356&gt;=115%,115%,BF1356) + IF(BG1356&gt;=115%,115%,BG1356) + IF(BH1356&gt;=115%,115%,BH1356)))/_xlfn.XLOOKUP(F1356,Apuração!A:A,Apuração!B:B)))</f>
        <v>0</v>
      </c>
      <c r="BL1356" s="58" cm="1">
        <f t="array" aca="1" ref="BL1356" ca="1">IF(SUM(IFERROR(IF(INDEX(AW1356:INDEX(AW1356:BH1356, MATCH(2, 1/(AW1356:BH1356&lt;&gt;""), 1)-1), ROW(INDIRECT("1:" &amp; MATCH(2, 1/(AW1356:BH1356&lt;&gt;""), 1)-1))) &gt;= 115%, 115%, INDEX(AW1356:INDEX(AW1356:BH1356, MATCH(2, 1/(AW1356:BH1356&lt;&gt;""), 1)-1), ROW(INDIRECT("1:" &amp; MATCH(2, 1/(AW1356:BH1356&lt;&gt;""), 1)-1)))), 0))/_xlfn.XLOOKUP(F1356,Apuração!A:A,Apuração!B:B)&gt;=1.15,1.15,SUM(IFERROR(IF(INDEX(AW1356:INDEX(AW1356:BH1356, MATCH(2, 1/(AW1356:BH1356&lt;&gt;""), 1)-1), ROW(INDIRECT("1:" &amp; MATCH(2, 1/(AW1356:BH1356&lt;&gt;""), 1)-1))) &gt;= 115%, 115%, INDEX(AW1356:INDEX(AW1356:BH1356, MATCH(2, 1/(AW1356:BH1356&lt;&gt;""), 1)-1), ROW(INDIRECT("1:" &amp; MATCH(2, 1/(AW1356:BH1356&lt;&gt;""), 1)-1)))), 0))/_xlfn.XLOOKUP(F1356,Apuração!A:A,Apuração!B:B))</f>
        <v>0</v>
      </c>
      <c r="BM1356" s="55" cm="1">
        <f t="array" ref="BM1356">IFERROR(
   INDEX($AW$1:$BH$1,
      _xlfn.AGGREGATE(14, 6, COLUMN($AW$1:$BH$1)/(AW1356:BH1356&lt;&gt;""), 2) - COLUMN($AW$1) + 1
   ),
"")</f>
        <v>46082</v>
      </c>
      <c r="BN1356" s="55" cm="1">
        <f t="array" ref="BN1356">IFERROR(INDEX($AW$1:$BH$1,1,MATCH(2,1/(AW1356:BH1356&lt;&gt;""))),"")</f>
        <v>46113</v>
      </c>
      <c r="BO1356" s="53">
        <f ca="1">IFERROR(_xlfn.XLOOKUP(F1356,Apuração!A:A,Apuração!C:C)/_xlfn.XLOOKUP(F1356,Apuração!A:A,Apuração!B:B),0)</f>
        <v>0</v>
      </c>
      <c r="BP1356" s="53">
        <f ca="1">IFERROR(_xlfn.XLOOKUP(F1356,Apuração!A:A,Apuração!D:D)/_xlfn.XLOOKUP(F1356,Apuração!A:A,Apuração!B:B),0)</f>
        <v>0</v>
      </c>
      <c r="BQ1356" s="53">
        <f ca="1">IF(BK1356&gt;=BO1356,0,_xlfn.XLOOKUP(F1356,Apuração!A:A,Apuração!B:B)*(BO1356 + (1/_xlfn.XLOOKUP(F1356,Apuração!A:A,Apuração!B:B)) - BK1356))</f>
        <v>0</v>
      </c>
      <c r="BR1356" s="85">
        <f t="shared" ca="1" si="1611"/>
        <v>0</v>
      </c>
      <c r="BS1356" s="53">
        <f ca="1">IFERROR((_xlfn.XLOOKUP(F1356,Apuração!A:A,Apuração!C:C)+1)/_xlfn.XLOOKUP(F1356,Apuração!A:A,Apuração!B:B),0)</f>
        <v>0.14285714285714285</v>
      </c>
    </row>
    <row r="1357" spans="1:71" ht="25.95" hidden="1" customHeight="1" x14ac:dyDescent="0.3">
      <c r="A1357" s="23" t="s">
        <v>134</v>
      </c>
      <c r="B1357" s="4" t="s">
        <v>167</v>
      </c>
      <c r="C1357" s="5" t="s">
        <v>209</v>
      </c>
      <c r="D1357" s="5" t="s">
        <v>213</v>
      </c>
      <c r="E1357" s="4" t="s">
        <v>61</v>
      </c>
      <c r="F1357" s="4" t="str" cm="1">
        <f t="array" ref="F1357">_xlfn.IFS(
AG1357 &lt;&gt; "", "Jan-Dez/26",
AH1357 &lt;&gt; "", "Fev-Dez/26",
AI1357 &lt;&gt; "", "Mar-Dez/26", AJ1357 &lt;&gt; "", "Abr-Dez/26",
TRUE, "A partir de Junho"
)</f>
        <v>A partir de Junho</v>
      </c>
      <c r="G1357" s="4" t="s">
        <v>62</v>
      </c>
      <c r="H1357" s="7" t="s">
        <v>38</v>
      </c>
      <c r="I1357" s="8" t="s">
        <v>171</v>
      </c>
      <c r="J1357" s="8" t="str" cm="1">
        <f t="array" aca="1" ref="J1357" ca="1">_xlfn.LET(
  _xlpm.actual_value_month, INDEX(T1357:AE1357, MATCH(DATE(YEAR(TODAY()), MONTH(TODAY()), 1), $T$1:$AE$1, 0)),
  IF(_xlpm.actual_value_month &lt;&gt; "",_xlpm.actual_value_month &amp; " colaboradores alcançados mensalmentes", "")
)</f>
        <v>575 colaboradores alcançados mensalmentes</v>
      </c>
      <c r="K1357" s="8" t="str" cm="1">
        <f t="array" ref="K1357">_xlfn.LET(
    _xlpm.sum_month, SUM(T1357:AE1357),
    IF(_xlpm.sum_month = 0, "", _xlpm.sum_month &amp; " colaboradores alcançados durante no ano")
)</f>
        <v>5175 colaboradores alcançados durante no ano</v>
      </c>
      <c r="L1357" s="9" t="s">
        <v>172</v>
      </c>
      <c r="M1357" s="24" t="s">
        <v>173</v>
      </c>
      <c r="N1357" s="5" t="s">
        <v>42</v>
      </c>
      <c r="O1357" s="5" t="s">
        <v>43</v>
      </c>
      <c r="P1357" s="10" t="s">
        <v>44</v>
      </c>
      <c r="Q1357" s="10" t="s">
        <v>72</v>
      </c>
      <c r="R1357" s="11" t="s">
        <v>66</v>
      </c>
      <c r="S1357" s="11" t="s">
        <v>67</v>
      </c>
      <c r="T1357" s="22"/>
      <c r="U1357" s="22"/>
      <c r="V1357" s="22"/>
      <c r="W1357" s="143">
        <v>575</v>
      </c>
      <c r="X1357" s="143">
        <v>575</v>
      </c>
      <c r="Y1357" s="143">
        <v>575</v>
      </c>
      <c r="Z1357" s="143">
        <v>575</v>
      </c>
      <c r="AA1357" s="143">
        <v>575</v>
      </c>
      <c r="AB1357" s="143">
        <v>575</v>
      </c>
      <c r="AC1357" s="143">
        <v>575</v>
      </c>
      <c r="AD1357" s="143">
        <v>575</v>
      </c>
      <c r="AE1357" s="143">
        <v>575</v>
      </c>
      <c r="AG1357" s="71"/>
      <c r="AH1357" s="71"/>
      <c r="AI1357" s="71"/>
      <c r="AJ1357" s="71"/>
      <c r="AK1357" s="71"/>
      <c r="AL1357" s="71"/>
      <c r="AM1357" s="71"/>
      <c r="AN1357" s="71"/>
      <c r="AO1357" s="71"/>
      <c r="AP1357" s="71"/>
      <c r="AQ1357" s="71"/>
      <c r="AR1357" s="71"/>
      <c r="AS1357" s="94">
        <f t="shared" ca="1" si="1604"/>
        <v>1150</v>
      </c>
      <c r="AT1357" s="95">
        <f t="shared" si="1605"/>
        <v>0</v>
      </c>
      <c r="AU1357" s="97">
        <f t="shared" si="1606"/>
        <v>0</v>
      </c>
      <c r="AW1357" s="51">
        <f t="shared" si="1607"/>
        <v>0</v>
      </c>
      <c r="AX1357" s="51">
        <f t="shared" si="1608"/>
        <v>0</v>
      </c>
      <c r="AY1357" s="51">
        <f t="shared" si="1609"/>
        <v>0</v>
      </c>
      <c r="AZ1357" s="51">
        <f t="shared" si="1610"/>
        <v>0</v>
      </c>
      <c r="BA1357" s="51"/>
      <c r="BB1357" s="51"/>
      <c r="BC1357" s="51"/>
      <c r="BD1357" s="51"/>
      <c r="BE1357" s="51"/>
      <c r="BF1357" s="51"/>
      <c r="BG1357" s="51"/>
      <c r="BH1357" s="51"/>
      <c r="BI1357" s="65" cm="1">
        <f t="array" ref="BI1357">IFERROR(INDEX(AW1357:BH1357,1,MATCH(2,1/(AW1357:BH1357&lt;&gt;""))),"")</f>
        <v>0</v>
      </c>
      <c r="BJ1357" s="68" cm="1">
        <f t="array" ref="BJ1357">IF(BM1357 = "", "",IFERROR(INDEX(AW1357:BH1357,1,MATCH(2,1/(AW1357:BH1357&lt;&gt;""),1)-1),""))</f>
        <v>0</v>
      </c>
      <c r="BK1357" s="58">
        <f>IF((IF(AW1357&gt;=115%,115%,AW1357) + IF(AX1357&gt;=115%,115%,AX1357) + IF(AY1357&gt;=115%,115%,AY1357) + (IF(AZ1357&gt;=115%,115%,AZ1357) + IF(BA1357&gt;=115%,115%,BA1357) + IF(BB1357&gt;=115%,115%,BB1357) + IF(BC1357&gt;=115%,115%,BC1357) + IF(BD1357&gt;=115%,115%,BD1357) + IF(BE1357&gt;=115%,115%,BE1357) + IF(BF1357&gt;=115%,115%,BF1357) + IF(BG1357&gt;=115%,115%,BG1357) + IF(BH1357&gt;=115%,115%,BH1357)))/_xlfn.XLOOKUP(F1357,Apuração!A:A,Apuração!B:B)&gt;=1.15,1.15,((IF(AZ1357&gt;=115%,115%,AZ1357) + IF(AX1357&gt;=115%,115%,AX1357) + IF(AY1357&gt;=115%,115%,AY1357) + (IF(AW1357&gt;=115%,115%,AW1357) + IF(BA1357&gt;=115%,115%,BA1357) + IF(BB1357&gt;=115%,115%,BB1357) + IF(BC1357&gt;=115%,115%,BC1357) + IF(BD1357&gt;=115%,115%,BD1357) + IF(BE1357&gt;=115%,115%,BE1357) + IF(BF1357&gt;=115%,115%,BF1357) + IF(BG1357&gt;=115%,115%,BG1357) + IF(BH1357&gt;=115%,115%,BH1357)))/_xlfn.XLOOKUP(F1357,Apuração!A:A,Apuração!B:B)))</f>
        <v>0</v>
      </c>
      <c r="BL1357" s="58" cm="1">
        <f t="array" aca="1" ref="BL1357" ca="1">IF(SUM(IFERROR(IF(INDEX(AW1357:INDEX(AW1357:BH1357, MATCH(2, 1/(AW1357:BH1357&lt;&gt;""), 1)-1), ROW(INDIRECT("1:" &amp; MATCH(2, 1/(AW1357:BH1357&lt;&gt;""), 1)-1))) &gt;= 115%, 115%, INDEX(AW1357:INDEX(AW1357:BH1357, MATCH(2, 1/(AW1357:BH1357&lt;&gt;""), 1)-1), ROW(INDIRECT("1:" &amp; MATCH(2, 1/(AW1357:BH1357&lt;&gt;""), 1)-1)))), 0))/_xlfn.XLOOKUP(F1357,Apuração!A:A,Apuração!B:B)&gt;=1.15,1.15,SUM(IFERROR(IF(INDEX(AW1357:INDEX(AW1357:BH1357, MATCH(2, 1/(AW1357:BH1357&lt;&gt;""), 1)-1), ROW(INDIRECT("1:" &amp; MATCH(2, 1/(AW1357:BH1357&lt;&gt;""), 1)-1))) &gt;= 115%, 115%, INDEX(AW1357:INDEX(AW1357:BH1357, MATCH(2, 1/(AW1357:BH1357&lt;&gt;""), 1)-1), ROW(INDIRECT("1:" &amp; MATCH(2, 1/(AW1357:BH1357&lt;&gt;""), 1)-1)))), 0))/_xlfn.XLOOKUP(F1357,Apuração!A:A,Apuração!B:B))</f>
        <v>0</v>
      </c>
      <c r="BM1357" s="55" cm="1">
        <f t="array" ref="BM1357">IFERROR(
   INDEX($AW$1:$BH$1,
      _xlfn.AGGREGATE(14, 6, COLUMN($AW$1:$BH$1)/(AW1357:BH1357&lt;&gt;""), 2) - COLUMN($AW$1) + 1
   ),
"")</f>
        <v>46082</v>
      </c>
      <c r="BN1357" s="55" cm="1">
        <f t="array" ref="BN1357">IFERROR(INDEX($AW$1:$BH$1,1,MATCH(2,1/(AW1357:BH1357&lt;&gt;""))),"")</f>
        <v>46113</v>
      </c>
      <c r="BO1357" s="53">
        <f ca="1">IFERROR(_xlfn.XLOOKUP(F1357,Apuração!A:A,Apuração!C:C)/_xlfn.XLOOKUP(F1357,Apuração!A:A,Apuração!B:B),0)</f>
        <v>0</v>
      </c>
      <c r="BP1357" s="53">
        <f ca="1">IFERROR(_xlfn.XLOOKUP(F1357,Apuração!A:A,Apuração!D:D)/_xlfn.XLOOKUP(F1357,Apuração!A:A,Apuração!B:B),0)</f>
        <v>0</v>
      </c>
      <c r="BQ1357" s="53">
        <f ca="1">IF(BK1357&gt;=BO1357,0,_xlfn.XLOOKUP(F1357,Apuração!A:A,Apuração!B:B)*(BO1357 + (1/_xlfn.XLOOKUP(F1357,Apuração!A:A,Apuração!B:B)) - BK1357))</f>
        <v>0</v>
      </c>
      <c r="BR1357" s="85">
        <f t="shared" ca="1" si="1611"/>
        <v>0</v>
      </c>
      <c r="BS1357" s="53">
        <f ca="1">IFERROR((_xlfn.XLOOKUP(F1357,Apuração!A:A,Apuração!C:C)+1)/_xlfn.XLOOKUP(F1357,Apuração!A:A,Apuração!B:B),0)</f>
        <v>0.14285714285714285</v>
      </c>
    </row>
    <row r="1358" spans="1:71" ht="25.95" hidden="1" customHeight="1" x14ac:dyDescent="0.3">
      <c r="A1358" s="23" t="s">
        <v>134</v>
      </c>
      <c r="B1358" s="4" t="s">
        <v>174</v>
      </c>
      <c r="C1358" s="5" t="s">
        <v>209</v>
      </c>
      <c r="D1358" s="5" t="s">
        <v>36</v>
      </c>
      <c r="E1358" s="4" t="s">
        <v>96</v>
      </c>
      <c r="F1358" s="4" t="str" cm="1">
        <f t="array" ref="F1358">_xlfn.IFS(
AG1358 &lt;&gt; "", "Jan-Dez/26",
AH1358 &lt;&gt; "", "Fev-Dez/26",
AI1358 &lt;&gt; "", "Mar-Dez/26", AJ1358 &lt;&gt; "", "Abr-Dez/26",
TRUE, "A partir de Junho"
)</f>
        <v>A partir de Junho</v>
      </c>
      <c r="G1358" s="4" t="s">
        <v>62</v>
      </c>
      <c r="H1358" s="7" t="s">
        <v>38</v>
      </c>
      <c r="I1358" s="8" t="s">
        <v>168</v>
      </c>
      <c r="J1358" s="8" t="str" cm="1">
        <f t="array" aca="1" ref="J1358" ca="1">_xlfn.LET(
  _xlpm.actual_value_month, INDEX(T1358:AE1358, MATCH(DATE(YEAR(TODAY()), MONTH(TODAY()), 1), $T$1:$AE$1, 0)),
  IF(_xlpm.actual_value_month &lt;&gt; "",_xlpm.actual_value_month &amp; " ações mensais", "")
)</f>
        <v/>
      </c>
      <c r="K1358" s="8" t="str" cm="1">
        <f t="array" ref="K1358">_xlfn.LET(
    _xlpm.sum_month, SUM(T1358:AE1358),
    IF(_xlpm.sum_month = 0, "", _xlpm.sum_month &amp; " ações no ano")
)</f>
        <v/>
      </c>
      <c r="L1358" s="9" t="s">
        <v>169</v>
      </c>
      <c r="M1358" s="24">
        <v>1</v>
      </c>
      <c r="N1358" s="5" t="s">
        <v>42</v>
      </c>
      <c r="O1358" s="5" t="s">
        <v>43</v>
      </c>
      <c r="P1358" s="10" t="s">
        <v>44</v>
      </c>
      <c r="Q1358" s="10" t="s">
        <v>44</v>
      </c>
      <c r="R1358" s="11" t="s">
        <v>66</v>
      </c>
      <c r="S1358" s="11" t="s">
        <v>67</v>
      </c>
      <c r="T1358" s="22"/>
      <c r="U1358" s="22"/>
      <c r="V1358" s="22"/>
      <c r="W1358" s="22"/>
      <c r="X1358" s="22"/>
      <c r="Y1358" s="22"/>
      <c r="Z1358" s="22"/>
      <c r="AA1358" s="22"/>
      <c r="AB1358" s="22"/>
      <c r="AC1358" s="22"/>
      <c r="AD1358" s="22"/>
      <c r="AE1358" s="22"/>
      <c r="AG1358" s="71"/>
      <c r="AH1358" s="71"/>
      <c r="AI1358" s="71"/>
      <c r="AJ1358" s="71"/>
      <c r="AK1358" s="71"/>
      <c r="AL1358" s="71"/>
      <c r="AM1358" s="71"/>
      <c r="AN1358" s="71"/>
      <c r="AO1358" s="71"/>
      <c r="AP1358" s="71"/>
      <c r="AQ1358" s="71"/>
      <c r="AR1358" s="71"/>
      <c r="AS1358" s="94">
        <f ca="1">IF(MONTH(TODAY())=3,SUM(T1358:U1358),IF(MONTH(TODAY())=4,SUM(T1358:V1358),IF(MONTH(TODAY())=5,SUM(T1358:W1358),IF(MONTH(TODAY())=6,SUM(T1358:X1358),IF(MONTH(TODAY())=7,SUM(T1358:Y1358),IF(MONTH(TODAY())=8,SUM(T1358:Z1358),IF(MONTH(TODAY())=9,SUM(T1358:AA1358),IF(MONTH(TODAY())=10,SUM(T1358:AB1358),IF(MONTH(TODAY())=11,SUM(T1358:AC1358),IF(MONTH(TODAY())=12,SUM(T1358:AD1358),IF(MONTH(TODAY())=1,SUM(T1358:AE1358),T1358)))))))))))</f>
        <v>0</v>
      </c>
      <c r="AT1358" s="95">
        <f>SUM(IF(AW1358&lt;1.15,AG1358,1.15*T1358),IF(AX1358&lt;1.15,AH1358,1.15*U1358),IF(AY1358&lt;1.15,AI1358,1.15*V1358),IF(AZ1358&lt;1.15,AJ1358,1.15*W1358),IF(BA1358&lt;1.15,AK1358,1.15*X1358),IF(BB1358&lt;1.15,AL1358,1.15*Y1358),IF(BC1358&lt;1.15,AM1358,1.15*Z1358),IF(BD1358&lt;1.15,AN1358,1.15*AA1358),IF(BE1358&lt;1.15,AO1358,1.15*AB1358),IF(BF1358&lt;1.15,AP1358,1.15*AC1358),IF(BG1358&lt;1.15,AQ1358,1.15*AD1358),IF(BH1358&lt;1.15,AR1358,1.15*AE1358))</f>
        <v>0</v>
      </c>
      <c r="AU1358" s="97">
        <f>SUM(AG1358:AR1358)</f>
        <v>0</v>
      </c>
      <c r="AW1358" s="51">
        <f>IFERROR(IF(AG1358="",0,AG1358/T1358),0)</f>
        <v>0</v>
      </c>
      <c r="AX1358" s="51">
        <f>IFERROR(IF(AH1358="",0,AH1358/U1358),0)</f>
        <v>0</v>
      </c>
      <c r="AY1358" s="51">
        <f>IFERROR(IF(AI1358="",0,AI1358/V1358),0)</f>
        <v>0</v>
      </c>
      <c r="AZ1358" s="51">
        <f>IFERROR(IF(AJ1358="",0,AJ1358/W1358),0)</f>
        <v>0</v>
      </c>
      <c r="BA1358" s="51"/>
      <c r="BB1358" s="51"/>
      <c r="BC1358" s="51"/>
      <c r="BD1358" s="51"/>
      <c r="BE1358" s="51"/>
      <c r="BF1358" s="51"/>
      <c r="BG1358" s="51"/>
      <c r="BH1358" s="51"/>
      <c r="BI1358" s="65" cm="1">
        <f t="array" ref="BI1358">IFERROR(INDEX(AW1358:BH1358,1,MATCH(2,1/(AW1358:BH1358&lt;&gt;""))),"")</f>
        <v>0</v>
      </c>
      <c r="BJ1358" s="68" cm="1">
        <f t="array" ref="BJ1358">IF(BM1358 = "", "",IFERROR(INDEX(AW1358:BH1358,1,MATCH(2,1/(AW1358:BH1358&lt;&gt;""),1)-1),""))</f>
        <v>0</v>
      </c>
      <c r="BK1358" s="58">
        <f>IF((IF(AW1358&gt;=115%,115%,AW1358) + IF(AX1358&gt;=115%,115%,AX1358) + IF(AY1358&gt;=115%,115%,AY1358) + (IF(AZ1358&gt;=115%,115%,AZ1358) + IF(BA1358&gt;=115%,115%,BA1358) + IF(BB1358&gt;=115%,115%,BB1358) + IF(BC1358&gt;=115%,115%,BC1358) + IF(BD1358&gt;=115%,115%,BD1358) + IF(BE1358&gt;=115%,115%,BE1358) + IF(BF1358&gt;=115%,115%,BF1358) + IF(BG1358&gt;=115%,115%,BG1358) + IF(BH1358&gt;=115%,115%,BH1358)))/_xlfn.XLOOKUP(F1358,Apuração!A:A,Apuração!B:B)&gt;=1.15,1.15,((IF(AZ1358&gt;=115%,115%,AZ1358) + IF(AX1358&gt;=115%,115%,AX1358) + IF(AY1358&gt;=115%,115%,AY1358) + (IF(AW1358&gt;=115%,115%,AW1358) + IF(BA1358&gt;=115%,115%,BA1358) + IF(BB1358&gt;=115%,115%,BB1358) + IF(BC1358&gt;=115%,115%,BC1358) + IF(BD1358&gt;=115%,115%,BD1358) + IF(BE1358&gt;=115%,115%,BE1358) + IF(BF1358&gt;=115%,115%,BF1358) + IF(BG1358&gt;=115%,115%,BG1358) + IF(BH1358&gt;=115%,115%,BH1358)))/_xlfn.XLOOKUP(F1358,Apuração!A:A,Apuração!B:B)))</f>
        <v>0</v>
      </c>
      <c r="BL1358" s="58" cm="1">
        <f t="array" aca="1" ref="BL1358" ca="1">IF(SUM(IFERROR(IF(INDEX(AW1358:INDEX(AW1358:BH1358, MATCH(2, 1/(AW1358:BH1358&lt;&gt;""), 1)-1), ROW(INDIRECT("1:" &amp; MATCH(2, 1/(AW1358:BH1358&lt;&gt;""), 1)-1))) &gt;= 115%, 115%, INDEX(AW1358:INDEX(AW1358:BH1358, MATCH(2, 1/(AW1358:BH1358&lt;&gt;""), 1)-1), ROW(INDIRECT("1:" &amp; MATCH(2, 1/(AW1358:BH1358&lt;&gt;""), 1)-1)))), 0))/_xlfn.XLOOKUP(F1358,Apuração!A:A,Apuração!B:B)&gt;=1.15,1.15,SUM(IFERROR(IF(INDEX(AW1358:INDEX(AW1358:BH1358, MATCH(2, 1/(AW1358:BH1358&lt;&gt;""), 1)-1), ROW(INDIRECT("1:" &amp; MATCH(2, 1/(AW1358:BH1358&lt;&gt;""), 1)-1))) &gt;= 115%, 115%, INDEX(AW1358:INDEX(AW1358:BH1358, MATCH(2, 1/(AW1358:BH1358&lt;&gt;""), 1)-1), ROW(INDIRECT("1:" &amp; MATCH(2, 1/(AW1358:BH1358&lt;&gt;""), 1)-1)))), 0))/_xlfn.XLOOKUP(F1358,Apuração!A:A,Apuração!B:B))</f>
        <v>0</v>
      </c>
      <c r="BM1358" s="55" cm="1">
        <f t="array" ref="BM1358">IFERROR(
   INDEX($AW$1:$BH$1,
      _xlfn.AGGREGATE(14, 6, COLUMN($AW$1:$BH$1)/(AW1358:BH1358&lt;&gt;""), 2) - COLUMN($AW$1) + 1
   ),
"")</f>
        <v>46082</v>
      </c>
      <c r="BN1358" s="55" cm="1">
        <f t="array" ref="BN1358">IFERROR(INDEX($AW$1:$BH$1,1,MATCH(2,1/(AW1358:BH1358&lt;&gt;""))),"")</f>
        <v>46113</v>
      </c>
      <c r="BO1358" s="53">
        <f ca="1">IFERROR(_xlfn.XLOOKUP(F1358,Apuração!A:A,Apuração!C:C)/_xlfn.XLOOKUP(F1358,Apuração!A:A,Apuração!B:B),0)</f>
        <v>0</v>
      </c>
      <c r="BP1358" s="53">
        <f ca="1">IFERROR(_xlfn.XLOOKUP(F1358,Apuração!A:A,Apuração!D:D)/_xlfn.XLOOKUP(F1358,Apuração!A:A,Apuração!B:B),0)</f>
        <v>0</v>
      </c>
      <c r="BQ1358" s="53">
        <f ca="1">IF(BK1358&gt;=BO1358,0,_xlfn.XLOOKUP(F1358,Apuração!A:A,Apuração!B:B)*(BO1358 + (1/_xlfn.XLOOKUP(F1358,Apuração!A:A,Apuração!B:B)) - BK1358))</f>
        <v>0</v>
      </c>
      <c r="BR1358" s="85">
        <f ca="1">IF(BQ1358=0,0,BQ1358*Z1358)</f>
        <v>0</v>
      </c>
      <c r="BS1358" s="53">
        <f ca="1">IFERROR((_xlfn.XLOOKUP(F1358,Apuração!A:A,Apuração!C:C)+1)/_xlfn.XLOOKUP(F1358,Apuração!A:A,Apuração!B:B),0)</f>
        <v>0.14285714285714285</v>
      </c>
    </row>
    <row r="1359" spans="1:71" ht="25.95" hidden="1" customHeight="1" x14ac:dyDescent="0.3">
      <c r="A1359" s="23" t="s">
        <v>134</v>
      </c>
      <c r="B1359" s="4" t="s">
        <v>174</v>
      </c>
      <c r="C1359" s="5" t="s">
        <v>209</v>
      </c>
      <c r="D1359" s="5" t="s">
        <v>210</v>
      </c>
      <c r="E1359" s="4" t="s">
        <v>96</v>
      </c>
      <c r="F1359" s="4" t="str" cm="1">
        <f t="array" ref="F1359">_xlfn.IFS(
AG1359 &lt;&gt; "", "Jan-Dez/26",
AH1359 &lt;&gt; "", "Fev-Dez/26",
AI1359 &lt;&gt; "", "Mar-Dez/26", AJ1359 &lt;&gt; "", "Abr-Dez/26",
TRUE, "A partir de Junho"
)</f>
        <v>A partir de Junho</v>
      </c>
      <c r="G1359" s="4" t="s">
        <v>62</v>
      </c>
      <c r="H1359" s="7" t="s">
        <v>38</v>
      </c>
      <c r="I1359" s="8" t="s">
        <v>168</v>
      </c>
      <c r="J1359" s="8" t="str" cm="1">
        <f t="array" aca="1" ref="J1359" ca="1">_xlfn.LET(
  _xlpm.actual_value_month, INDEX(T1359:AE1359, MATCH(DATE(YEAR(TODAY()), MONTH(TODAY()), 1), $T$1:$AE$1, 0)),
  IF(_xlpm.actual_value_month &lt;&gt; "",_xlpm.actual_value_month &amp; " ações mensais", "")
)</f>
        <v/>
      </c>
      <c r="K1359" s="8" t="str" cm="1">
        <f t="array" ref="K1359">_xlfn.LET(
    _xlpm.sum_month, SUM(T1359:AE1359),
    IF(_xlpm.sum_month = 0, "", _xlpm.sum_month &amp; " ações no ano")
)</f>
        <v/>
      </c>
      <c r="L1359" s="9" t="s">
        <v>169</v>
      </c>
      <c r="M1359" s="24">
        <v>1</v>
      </c>
      <c r="N1359" s="5" t="s">
        <v>42</v>
      </c>
      <c r="O1359" s="5" t="s">
        <v>43</v>
      </c>
      <c r="P1359" s="10" t="s">
        <v>44</v>
      </c>
      <c r="Q1359" s="10" t="s">
        <v>44</v>
      </c>
      <c r="R1359" s="11" t="s">
        <v>66</v>
      </c>
      <c r="S1359" s="11" t="s">
        <v>67</v>
      </c>
      <c r="T1359" s="22"/>
      <c r="U1359" s="22"/>
      <c r="V1359" s="22"/>
      <c r="W1359" s="22"/>
      <c r="X1359" s="22"/>
      <c r="Y1359" s="22"/>
      <c r="Z1359" s="22"/>
      <c r="AA1359" s="22"/>
      <c r="AB1359" s="22"/>
      <c r="AC1359" s="22"/>
      <c r="AD1359" s="22"/>
      <c r="AE1359" s="22"/>
      <c r="AG1359" s="71"/>
      <c r="AH1359" s="71"/>
      <c r="AI1359" s="71"/>
      <c r="AJ1359" s="71"/>
      <c r="AK1359" s="71"/>
      <c r="AL1359" s="71"/>
      <c r="AM1359" s="71"/>
      <c r="AN1359" s="71"/>
      <c r="AO1359" s="71"/>
      <c r="AP1359" s="71"/>
      <c r="AQ1359" s="71"/>
      <c r="AR1359" s="71"/>
      <c r="AS1359" s="94">
        <f t="shared" ref="AS1359:AS1363" ca="1" si="1612">IF(MONTH(TODAY())=3,SUM(T1359:U1359),IF(MONTH(TODAY())=4,SUM(T1359:V1359),IF(MONTH(TODAY())=5,SUM(T1359:W1359),IF(MONTH(TODAY())=6,SUM(T1359:X1359),IF(MONTH(TODAY())=7,SUM(T1359:Y1359),IF(MONTH(TODAY())=8,SUM(T1359:Z1359),IF(MONTH(TODAY())=9,SUM(T1359:AA1359),IF(MONTH(TODAY())=10,SUM(T1359:AB1359),IF(MONTH(TODAY())=11,SUM(T1359:AC1359),IF(MONTH(TODAY())=12,SUM(T1359:AD1359),IF(MONTH(TODAY())=1,SUM(T1359:AE1359),T1359)))))))))))</f>
        <v>0</v>
      </c>
      <c r="AT1359" s="95">
        <f t="shared" ref="AT1359:AT1363" si="1613">SUM(IF(AW1359&lt;1.15,AG1359,1.15*T1359),IF(AX1359&lt;1.15,AH1359,1.15*U1359),IF(AY1359&lt;1.15,AI1359,1.15*V1359),IF(AZ1359&lt;1.15,AJ1359,1.15*W1359),IF(BA1359&lt;1.15,AK1359,1.15*X1359),IF(BB1359&lt;1.15,AL1359,1.15*Y1359),IF(BC1359&lt;1.15,AM1359,1.15*Z1359),IF(BD1359&lt;1.15,AN1359,1.15*AA1359),IF(BE1359&lt;1.15,AO1359,1.15*AB1359),IF(BF1359&lt;1.15,AP1359,1.15*AC1359),IF(BG1359&lt;1.15,AQ1359,1.15*AD1359),IF(BH1359&lt;1.15,AR1359,1.15*AE1359))</f>
        <v>0</v>
      </c>
      <c r="AU1359" s="97">
        <f t="shared" ref="AU1359:AU1363" si="1614">SUM(AG1359:AR1359)</f>
        <v>0</v>
      </c>
      <c r="AW1359" s="51">
        <f t="shared" ref="AW1359:AW1363" si="1615">IFERROR(IF(AG1359="",0,AG1359/T1359),0)</f>
        <v>0</v>
      </c>
      <c r="AX1359" s="51">
        <f t="shared" ref="AX1359:AX1363" si="1616">IFERROR(IF(AH1359="",0,AH1359/U1359),0)</f>
        <v>0</v>
      </c>
      <c r="AY1359" s="51">
        <f t="shared" ref="AY1359:AY1363" si="1617">IFERROR(IF(AI1359="",0,AI1359/V1359),0)</f>
        <v>0</v>
      </c>
      <c r="AZ1359" s="51">
        <f t="shared" ref="AZ1359:AZ1363" si="1618">IFERROR(IF(AJ1359="",0,AJ1359/W1359),0)</f>
        <v>0</v>
      </c>
      <c r="BA1359" s="51"/>
      <c r="BB1359" s="51"/>
      <c r="BC1359" s="51"/>
      <c r="BD1359" s="51"/>
      <c r="BE1359" s="51"/>
      <c r="BF1359" s="51"/>
      <c r="BG1359" s="51"/>
      <c r="BH1359" s="51"/>
      <c r="BI1359" s="65" cm="1">
        <f t="array" ref="BI1359">IFERROR(INDEX(AW1359:BH1359,1,MATCH(2,1/(AW1359:BH1359&lt;&gt;""))),"")</f>
        <v>0</v>
      </c>
      <c r="BJ1359" s="68" cm="1">
        <f t="array" ref="BJ1359">IF(BM1359 = "", "",IFERROR(INDEX(AW1359:BH1359,1,MATCH(2,1/(AW1359:BH1359&lt;&gt;""),1)-1),""))</f>
        <v>0</v>
      </c>
      <c r="BK1359" s="58">
        <f>IF((IF(AW1359&gt;=115%,115%,AW1359) + IF(AX1359&gt;=115%,115%,AX1359) + IF(AY1359&gt;=115%,115%,AY1359) + (IF(AZ1359&gt;=115%,115%,AZ1359) + IF(BA1359&gt;=115%,115%,BA1359) + IF(BB1359&gt;=115%,115%,BB1359) + IF(BC1359&gt;=115%,115%,BC1359) + IF(BD1359&gt;=115%,115%,BD1359) + IF(BE1359&gt;=115%,115%,BE1359) + IF(BF1359&gt;=115%,115%,BF1359) + IF(BG1359&gt;=115%,115%,BG1359) + IF(BH1359&gt;=115%,115%,BH1359)))/_xlfn.XLOOKUP(F1359,Apuração!A:A,Apuração!B:B)&gt;=1.15,1.15,((IF(AZ1359&gt;=115%,115%,AZ1359) + IF(AX1359&gt;=115%,115%,AX1359) + IF(AY1359&gt;=115%,115%,AY1359) + (IF(AW1359&gt;=115%,115%,AW1359) + IF(BA1359&gt;=115%,115%,BA1359) + IF(BB1359&gt;=115%,115%,BB1359) + IF(BC1359&gt;=115%,115%,BC1359) + IF(BD1359&gt;=115%,115%,BD1359) + IF(BE1359&gt;=115%,115%,BE1359) + IF(BF1359&gt;=115%,115%,BF1359) + IF(BG1359&gt;=115%,115%,BG1359) + IF(BH1359&gt;=115%,115%,BH1359)))/_xlfn.XLOOKUP(F1359,Apuração!A:A,Apuração!B:B)))</f>
        <v>0</v>
      </c>
      <c r="BL1359" s="58" cm="1">
        <f t="array" aca="1" ref="BL1359" ca="1">IF(SUM(IFERROR(IF(INDEX(AW1359:INDEX(AW1359:BH1359, MATCH(2, 1/(AW1359:BH1359&lt;&gt;""), 1)-1), ROW(INDIRECT("1:" &amp; MATCH(2, 1/(AW1359:BH1359&lt;&gt;""), 1)-1))) &gt;= 115%, 115%, INDEX(AW1359:INDEX(AW1359:BH1359, MATCH(2, 1/(AW1359:BH1359&lt;&gt;""), 1)-1), ROW(INDIRECT("1:" &amp; MATCH(2, 1/(AW1359:BH1359&lt;&gt;""), 1)-1)))), 0))/_xlfn.XLOOKUP(F1359,Apuração!A:A,Apuração!B:B)&gt;=1.15,1.15,SUM(IFERROR(IF(INDEX(AW1359:INDEX(AW1359:BH1359, MATCH(2, 1/(AW1359:BH1359&lt;&gt;""), 1)-1), ROW(INDIRECT("1:" &amp; MATCH(2, 1/(AW1359:BH1359&lt;&gt;""), 1)-1))) &gt;= 115%, 115%, INDEX(AW1359:INDEX(AW1359:BH1359, MATCH(2, 1/(AW1359:BH1359&lt;&gt;""), 1)-1), ROW(INDIRECT("1:" &amp; MATCH(2, 1/(AW1359:BH1359&lt;&gt;""), 1)-1)))), 0))/_xlfn.XLOOKUP(F1359,Apuração!A:A,Apuração!B:B))</f>
        <v>0</v>
      </c>
      <c r="BM1359" s="55" cm="1">
        <f t="array" ref="BM1359">IFERROR(
   INDEX($AW$1:$BH$1,
      _xlfn.AGGREGATE(14, 6, COLUMN($AW$1:$BH$1)/(AW1359:BH1359&lt;&gt;""), 2) - COLUMN($AW$1) + 1
   ),
"")</f>
        <v>46082</v>
      </c>
      <c r="BN1359" s="55" cm="1">
        <f t="array" ref="BN1359">IFERROR(INDEX($AW$1:$BH$1,1,MATCH(2,1/(AW1359:BH1359&lt;&gt;""))),"")</f>
        <v>46113</v>
      </c>
      <c r="BO1359" s="53">
        <f ca="1">IFERROR(_xlfn.XLOOKUP(F1359,Apuração!A:A,Apuração!C:C)/_xlfn.XLOOKUP(F1359,Apuração!A:A,Apuração!B:B),0)</f>
        <v>0</v>
      </c>
      <c r="BP1359" s="53">
        <f ca="1">IFERROR(_xlfn.XLOOKUP(F1359,Apuração!A:A,Apuração!D:D)/_xlfn.XLOOKUP(F1359,Apuração!A:A,Apuração!B:B),0)</f>
        <v>0</v>
      </c>
      <c r="BQ1359" s="53">
        <f ca="1">IF(BK1359&gt;=BO1359,0,_xlfn.XLOOKUP(F1359,Apuração!A:A,Apuração!B:B)*(BO1359 + (1/_xlfn.XLOOKUP(F1359,Apuração!A:A,Apuração!B:B)) - BK1359))</f>
        <v>0</v>
      </c>
      <c r="BR1359" s="85">
        <f t="shared" ref="BR1359:BR1363" ca="1" si="1619">IF(BQ1359=0,0,BQ1359*Z1359)</f>
        <v>0</v>
      </c>
      <c r="BS1359" s="53">
        <f ca="1">IFERROR((_xlfn.XLOOKUP(F1359,Apuração!A:A,Apuração!C:C)+1)/_xlfn.XLOOKUP(F1359,Apuração!A:A,Apuração!B:B),0)</f>
        <v>0.14285714285714285</v>
      </c>
    </row>
    <row r="1360" spans="1:71" ht="25.95" hidden="1" customHeight="1" x14ac:dyDescent="0.3">
      <c r="A1360" s="23" t="s">
        <v>134</v>
      </c>
      <c r="B1360" s="4" t="s">
        <v>174</v>
      </c>
      <c r="C1360" s="5" t="s">
        <v>209</v>
      </c>
      <c r="D1360" s="5" t="s">
        <v>47</v>
      </c>
      <c r="E1360" s="4" t="s">
        <v>96</v>
      </c>
      <c r="F1360" s="4" t="str" cm="1">
        <f t="array" ref="F1360">_xlfn.IFS(
AG1360 &lt;&gt; "", "Jan-Dez/26",
AH1360 &lt;&gt; "", "Fev-Dez/26",
AI1360 &lt;&gt; "", "Mar-Dez/26", AJ1360 &lt;&gt; "", "Abr-Dez/26",
TRUE, "A partir de Junho"
)</f>
        <v>A partir de Junho</v>
      </c>
      <c r="G1360" s="4" t="s">
        <v>62</v>
      </c>
      <c r="H1360" s="7" t="s">
        <v>38</v>
      </c>
      <c r="I1360" s="8" t="s">
        <v>168</v>
      </c>
      <c r="J1360" s="8" t="str" cm="1">
        <f t="array" aca="1" ref="J1360" ca="1">_xlfn.LET(
  _xlpm.actual_value_month, INDEX(T1360:AE1360, MATCH(DATE(YEAR(TODAY()), MONTH(TODAY()), 1), $T$1:$AE$1, 0)),
  IF(_xlpm.actual_value_month &lt;&gt; "",_xlpm.actual_value_month &amp; " ações mensais", "")
)</f>
        <v/>
      </c>
      <c r="K1360" s="8" t="str" cm="1">
        <f t="array" ref="K1360">_xlfn.LET(
    _xlpm.sum_month, SUM(T1360:AE1360),
    IF(_xlpm.sum_month = 0, "", _xlpm.sum_month &amp; " ações no ano")
)</f>
        <v/>
      </c>
      <c r="L1360" s="9" t="s">
        <v>169</v>
      </c>
      <c r="M1360" s="24">
        <v>1</v>
      </c>
      <c r="N1360" s="5" t="s">
        <v>42</v>
      </c>
      <c r="O1360" s="5" t="s">
        <v>43</v>
      </c>
      <c r="P1360" s="10" t="s">
        <v>44</v>
      </c>
      <c r="Q1360" s="10" t="s">
        <v>44</v>
      </c>
      <c r="R1360" s="11" t="s">
        <v>66</v>
      </c>
      <c r="S1360" s="11" t="s">
        <v>67</v>
      </c>
      <c r="T1360" s="22"/>
      <c r="U1360" s="22"/>
      <c r="V1360" s="22"/>
      <c r="W1360" s="22"/>
      <c r="X1360" s="22"/>
      <c r="Y1360" s="22"/>
      <c r="Z1360" s="22"/>
      <c r="AA1360" s="22"/>
      <c r="AB1360" s="22"/>
      <c r="AC1360" s="22"/>
      <c r="AD1360" s="22"/>
      <c r="AE1360" s="22"/>
      <c r="AG1360" s="71"/>
      <c r="AH1360" s="71"/>
      <c r="AI1360" s="71"/>
      <c r="AJ1360" s="71"/>
      <c r="AK1360" s="71"/>
      <c r="AL1360" s="71"/>
      <c r="AM1360" s="71"/>
      <c r="AN1360" s="71"/>
      <c r="AO1360" s="71"/>
      <c r="AP1360" s="71"/>
      <c r="AQ1360" s="71"/>
      <c r="AR1360" s="71"/>
      <c r="AS1360" s="94">
        <f t="shared" ca="1" si="1612"/>
        <v>0</v>
      </c>
      <c r="AT1360" s="95">
        <f t="shared" si="1613"/>
        <v>0</v>
      </c>
      <c r="AU1360" s="97">
        <f t="shared" si="1614"/>
        <v>0</v>
      </c>
      <c r="AW1360" s="51">
        <f t="shared" si="1615"/>
        <v>0</v>
      </c>
      <c r="AX1360" s="51">
        <f t="shared" si="1616"/>
        <v>0</v>
      </c>
      <c r="AY1360" s="51">
        <f t="shared" si="1617"/>
        <v>0</v>
      </c>
      <c r="AZ1360" s="51">
        <f t="shared" si="1618"/>
        <v>0</v>
      </c>
      <c r="BA1360" s="51"/>
      <c r="BB1360" s="51"/>
      <c r="BC1360" s="51"/>
      <c r="BD1360" s="51"/>
      <c r="BE1360" s="51"/>
      <c r="BF1360" s="51"/>
      <c r="BG1360" s="51"/>
      <c r="BH1360" s="51"/>
      <c r="BI1360" s="65" cm="1">
        <f t="array" ref="BI1360">IFERROR(INDEX(AW1360:BH1360,1,MATCH(2,1/(AW1360:BH1360&lt;&gt;""))),"")</f>
        <v>0</v>
      </c>
      <c r="BJ1360" s="68" cm="1">
        <f t="array" ref="BJ1360">IF(BM1360 = "", "",IFERROR(INDEX(AW1360:BH1360,1,MATCH(2,1/(AW1360:BH1360&lt;&gt;""),1)-1),""))</f>
        <v>0</v>
      </c>
      <c r="BK1360" s="58">
        <f>IF((IF(AW1360&gt;=115%,115%,AW1360) + IF(AX1360&gt;=115%,115%,AX1360) + IF(AY1360&gt;=115%,115%,AY1360) + (IF(AZ1360&gt;=115%,115%,AZ1360) + IF(BA1360&gt;=115%,115%,BA1360) + IF(BB1360&gt;=115%,115%,BB1360) + IF(BC1360&gt;=115%,115%,BC1360) + IF(BD1360&gt;=115%,115%,BD1360) + IF(BE1360&gt;=115%,115%,BE1360) + IF(BF1360&gt;=115%,115%,BF1360) + IF(BG1360&gt;=115%,115%,BG1360) + IF(BH1360&gt;=115%,115%,BH1360)))/_xlfn.XLOOKUP(F1360,Apuração!A:A,Apuração!B:B)&gt;=1.15,1.15,((IF(AZ1360&gt;=115%,115%,AZ1360) + IF(AX1360&gt;=115%,115%,AX1360) + IF(AY1360&gt;=115%,115%,AY1360) + (IF(AW1360&gt;=115%,115%,AW1360) + IF(BA1360&gt;=115%,115%,BA1360) + IF(BB1360&gt;=115%,115%,BB1360) + IF(BC1360&gt;=115%,115%,BC1360) + IF(BD1360&gt;=115%,115%,BD1360) + IF(BE1360&gt;=115%,115%,BE1360) + IF(BF1360&gt;=115%,115%,BF1360) + IF(BG1360&gt;=115%,115%,BG1360) + IF(BH1360&gt;=115%,115%,BH1360)))/_xlfn.XLOOKUP(F1360,Apuração!A:A,Apuração!B:B)))</f>
        <v>0</v>
      </c>
      <c r="BL1360" s="58" cm="1">
        <f t="array" aca="1" ref="BL1360" ca="1">IF(SUM(IFERROR(IF(INDEX(AW1360:INDEX(AW1360:BH1360, MATCH(2, 1/(AW1360:BH1360&lt;&gt;""), 1)-1), ROW(INDIRECT("1:" &amp; MATCH(2, 1/(AW1360:BH1360&lt;&gt;""), 1)-1))) &gt;= 115%, 115%, INDEX(AW1360:INDEX(AW1360:BH1360, MATCH(2, 1/(AW1360:BH1360&lt;&gt;""), 1)-1), ROW(INDIRECT("1:" &amp; MATCH(2, 1/(AW1360:BH1360&lt;&gt;""), 1)-1)))), 0))/_xlfn.XLOOKUP(F1360,Apuração!A:A,Apuração!B:B)&gt;=1.15,1.15,SUM(IFERROR(IF(INDEX(AW1360:INDEX(AW1360:BH1360, MATCH(2, 1/(AW1360:BH1360&lt;&gt;""), 1)-1), ROW(INDIRECT("1:" &amp; MATCH(2, 1/(AW1360:BH1360&lt;&gt;""), 1)-1))) &gt;= 115%, 115%, INDEX(AW1360:INDEX(AW1360:BH1360, MATCH(2, 1/(AW1360:BH1360&lt;&gt;""), 1)-1), ROW(INDIRECT("1:" &amp; MATCH(2, 1/(AW1360:BH1360&lt;&gt;""), 1)-1)))), 0))/_xlfn.XLOOKUP(F1360,Apuração!A:A,Apuração!B:B))</f>
        <v>0</v>
      </c>
      <c r="BM1360" s="55" cm="1">
        <f t="array" ref="BM1360">IFERROR(
   INDEX($AW$1:$BH$1,
      _xlfn.AGGREGATE(14, 6, COLUMN($AW$1:$BH$1)/(AW1360:BH1360&lt;&gt;""), 2) - COLUMN($AW$1) + 1
   ),
"")</f>
        <v>46082</v>
      </c>
      <c r="BN1360" s="55" cm="1">
        <f t="array" ref="BN1360">IFERROR(INDEX($AW$1:$BH$1,1,MATCH(2,1/(AW1360:BH1360&lt;&gt;""))),"")</f>
        <v>46113</v>
      </c>
      <c r="BO1360" s="53">
        <f ca="1">IFERROR(_xlfn.XLOOKUP(F1360,Apuração!A:A,Apuração!C:C)/_xlfn.XLOOKUP(F1360,Apuração!A:A,Apuração!B:B),0)</f>
        <v>0</v>
      </c>
      <c r="BP1360" s="53">
        <f ca="1">IFERROR(_xlfn.XLOOKUP(F1360,Apuração!A:A,Apuração!D:D)/_xlfn.XLOOKUP(F1360,Apuração!A:A,Apuração!B:B),0)</f>
        <v>0</v>
      </c>
      <c r="BQ1360" s="53">
        <f ca="1">IF(BK1360&gt;=BO1360,0,_xlfn.XLOOKUP(F1360,Apuração!A:A,Apuração!B:B)*(BO1360 + (1/_xlfn.XLOOKUP(F1360,Apuração!A:A,Apuração!B:B)) - BK1360))</f>
        <v>0</v>
      </c>
      <c r="BR1360" s="85">
        <f t="shared" ca="1" si="1619"/>
        <v>0</v>
      </c>
      <c r="BS1360" s="53">
        <f ca="1">IFERROR((_xlfn.XLOOKUP(F1360,Apuração!A:A,Apuração!C:C)+1)/_xlfn.XLOOKUP(F1360,Apuração!A:A,Apuração!B:B),0)</f>
        <v>0.14285714285714285</v>
      </c>
    </row>
    <row r="1361" spans="1:71" ht="25.95" hidden="1" customHeight="1" x14ac:dyDescent="0.3">
      <c r="A1361" s="23" t="s">
        <v>134</v>
      </c>
      <c r="B1361" s="4" t="s">
        <v>174</v>
      </c>
      <c r="C1361" s="5" t="s">
        <v>209</v>
      </c>
      <c r="D1361" s="5" t="s">
        <v>211</v>
      </c>
      <c r="E1361" s="4" t="s">
        <v>96</v>
      </c>
      <c r="F1361" s="4" t="str" cm="1">
        <f t="array" ref="F1361">_xlfn.IFS(
AG1361 &lt;&gt; "", "Jan-Dez/26",
AH1361 &lt;&gt; "", "Fev-Dez/26",
AI1361 &lt;&gt; "", "Mar-Dez/26", AJ1361 &lt;&gt; "", "Abr-Dez/26",
TRUE, "A partir de Junho"
)</f>
        <v>A partir de Junho</v>
      </c>
      <c r="G1361" s="4" t="s">
        <v>62</v>
      </c>
      <c r="H1361" s="7" t="s">
        <v>38</v>
      </c>
      <c r="I1361" s="8" t="s">
        <v>168</v>
      </c>
      <c r="J1361" s="8" t="str" cm="1">
        <f t="array" aca="1" ref="J1361" ca="1">_xlfn.LET(
  _xlpm.actual_value_month, INDEX(T1361:AE1361, MATCH(DATE(YEAR(TODAY()), MONTH(TODAY()), 1), $T$1:$AE$1, 0)),
  IF(_xlpm.actual_value_month &lt;&gt; "",_xlpm.actual_value_month &amp; " ações mensais", "")
)</f>
        <v/>
      </c>
      <c r="K1361" s="8" t="str" cm="1">
        <f t="array" ref="K1361">_xlfn.LET(
    _xlpm.sum_month, SUM(T1361:AE1361),
    IF(_xlpm.sum_month = 0, "", _xlpm.sum_month &amp; " ações no ano")
)</f>
        <v/>
      </c>
      <c r="L1361" s="9" t="s">
        <v>169</v>
      </c>
      <c r="M1361" s="24">
        <v>1</v>
      </c>
      <c r="N1361" s="5" t="s">
        <v>42</v>
      </c>
      <c r="O1361" s="5" t="s">
        <v>43</v>
      </c>
      <c r="P1361" s="10" t="s">
        <v>44</v>
      </c>
      <c r="Q1361" s="10" t="s">
        <v>44</v>
      </c>
      <c r="R1361" s="11" t="s">
        <v>66</v>
      </c>
      <c r="S1361" s="11" t="s">
        <v>67</v>
      </c>
      <c r="T1361" s="22"/>
      <c r="U1361" s="22"/>
      <c r="V1361" s="22"/>
      <c r="W1361" s="22"/>
      <c r="X1361" s="22"/>
      <c r="Y1361" s="22"/>
      <c r="Z1361" s="22"/>
      <c r="AA1361" s="22"/>
      <c r="AB1361" s="22"/>
      <c r="AC1361" s="22"/>
      <c r="AD1361" s="22"/>
      <c r="AE1361" s="22"/>
      <c r="AG1361" s="71"/>
      <c r="AH1361" s="71"/>
      <c r="AI1361" s="71"/>
      <c r="AJ1361" s="71"/>
      <c r="AK1361" s="71"/>
      <c r="AL1361" s="71"/>
      <c r="AM1361" s="71"/>
      <c r="AN1361" s="71"/>
      <c r="AO1361" s="71"/>
      <c r="AP1361" s="71"/>
      <c r="AQ1361" s="71"/>
      <c r="AR1361" s="71"/>
      <c r="AS1361" s="94">
        <f t="shared" ca="1" si="1612"/>
        <v>0</v>
      </c>
      <c r="AT1361" s="95">
        <f t="shared" si="1613"/>
        <v>0</v>
      </c>
      <c r="AU1361" s="97">
        <f t="shared" si="1614"/>
        <v>0</v>
      </c>
      <c r="AW1361" s="51">
        <f t="shared" si="1615"/>
        <v>0</v>
      </c>
      <c r="AX1361" s="51">
        <f t="shared" si="1616"/>
        <v>0</v>
      </c>
      <c r="AY1361" s="51">
        <f t="shared" si="1617"/>
        <v>0</v>
      </c>
      <c r="AZ1361" s="51">
        <f t="shared" si="1618"/>
        <v>0</v>
      </c>
      <c r="BA1361" s="51"/>
      <c r="BB1361" s="51"/>
      <c r="BC1361" s="51"/>
      <c r="BD1361" s="51"/>
      <c r="BE1361" s="51"/>
      <c r="BF1361" s="51"/>
      <c r="BG1361" s="51"/>
      <c r="BH1361" s="51"/>
      <c r="BI1361" s="65" cm="1">
        <f t="array" ref="BI1361">IFERROR(INDEX(AW1361:BH1361,1,MATCH(2,1/(AW1361:BH1361&lt;&gt;""))),"")</f>
        <v>0</v>
      </c>
      <c r="BJ1361" s="68" cm="1">
        <f t="array" ref="BJ1361">IF(BM1361 = "", "",IFERROR(INDEX(AW1361:BH1361,1,MATCH(2,1/(AW1361:BH1361&lt;&gt;""),1)-1),""))</f>
        <v>0</v>
      </c>
      <c r="BK1361" s="58">
        <f>IF((IF(AW1361&gt;=115%,115%,AW1361) + IF(AX1361&gt;=115%,115%,AX1361) + IF(AY1361&gt;=115%,115%,AY1361) + (IF(AZ1361&gt;=115%,115%,AZ1361) + IF(BA1361&gt;=115%,115%,BA1361) + IF(BB1361&gt;=115%,115%,BB1361) + IF(BC1361&gt;=115%,115%,BC1361) + IF(BD1361&gt;=115%,115%,BD1361) + IF(BE1361&gt;=115%,115%,BE1361) + IF(BF1361&gt;=115%,115%,BF1361) + IF(BG1361&gt;=115%,115%,BG1361) + IF(BH1361&gt;=115%,115%,BH1361)))/_xlfn.XLOOKUP(F1361,Apuração!A:A,Apuração!B:B)&gt;=1.15,1.15,((IF(AZ1361&gt;=115%,115%,AZ1361) + IF(AX1361&gt;=115%,115%,AX1361) + IF(AY1361&gt;=115%,115%,AY1361) + (IF(AW1361&gt;=115%,115%,AW1361) + IF(BA1361&gt;=115%,115%,BA1361) + IF(BB1361&gt;=115%,115%,BB1361) + IF(BC1361&gt;=115%,115%,BC1361) + IF(BD1361&gt;=115%,115%,BD1361) + IF(BE1361&gt;=115%,115%,BE1361) + IF(BF1361&gt;=115%,115%,BF1361) + IF(BG1361&gt;=115%,115%,BG1361) + IF(BH1361&gt;=115%,115%,BH1361)))/_xlfn.XLOOKUP(F1361,Apuração!A:A,Apuração!B:B)))</f>
        <v>0</v>
      </c>
      <c r="BL1361" s="58" cm="1">
        <f t="array" aca="1" ref="BL1361" ca="1">IF(SUM(IFERROR(IF(INDEX(AW1361:INDEX(AW1361:BH1361, MATCH(2, 1/(AW1361:BH1361&lt;&gt;""), 1)-1), ROW(INDIRECT("1:" &amp; MATCH(2, 1/(AW1361:BH1361&lt;&gt;""), 1)-1))) &gt;= 115%, 115%, INDEX(AW1361:INDEX(AW1361:BH1361, MATCH(2, 1/(AW1361:BH1361&lt;&gt;""), 1)-1), ROW(INDIRECT("1:" &amp; MATCH(2, 1/(AW1361:BH1361&lt;&gt;""), 1)-1)))), 0))/_xlfn.XLOOKUP(F1361,Apuração!A:A,Apuração!B:B)&gt;=1.15,1.15,SUM(IFERROR(IF(INDEX(AW1361:INDEX(AW1361:BH1361, MATCH(2, 1/(AW1361:BH1361&lt;&gt;""), 1)-1), ROW(INDIRECT("1:" &amp; MATCH(2, 1/(AW1361:BH1361&lt;&gt;""), 1)-1))) &gt;= 115%, 115%, INDEX(AW1361:INDEX(AW1361:BH1361, MATCH(2, 1/(AW1361:BH1361&lt;&gt;""), 1)-1), ROW(INDIRECT("1:" &amp; MATCH(2, 1/(AW1361:BH1361&lt;&gt;""), 1)-1)))), 0))/_xlfn.XLOOKUP(F1361,Apuração!A:A,Apuração!B:B))</f>
        <v>0</v>
      </c>
      <c r="BM1361" s="55" cm="1">
        <f t="array" ref="BM1361">IFERROR(
   INDEX($AW$1:$BH$1,
      _xlfn.AGGREGATE(14, 6, COLUMN($AW$1:$BH$1)/(AW1361:BH1361&lt;&gt;""), 2) - COLUMN($AW$1) + 1
   ),
"")</f>
        <v>46082</v>
      </c>
      <c r="BN1361" s="55" cm="1">
        <f t="array" ref="BN1361">IFERROR(INDEX($AW$1:$BH$1,1,MATCH(2,1/(AW1361:BH1361&lt;&gt;""))),"")</f>
        <v>46113</v>
      </c>
      <c r="BO1361" s="53">
        <f ca="1">IFERROR(_xlfn.XLOOKUP(F1361,Apuração!A:A,Apuração!C:C)/_xlfn.XLOOKUP(F1361,Apuração!A:A,Apuração!B:B),0)</f>
        <v>0</v>
      </c>
      <c r="BP1361" s="53">
        <f ca="1">IFERROR(_xlfn.XLOOKUP(F1361,Apuração!A:A,Apuração!D:D)/_xlfn.XLOOKUP(F1361,Apuração!A:A,Apuração!B:B),0)</f>
        <v>0</v>
      </c>
      <c r="BQ1361" s="53">
        <f ca="1">IF(BK1361&gt;=BO1361,0,_xlfn.XLOOKUP(F1361,Apuração!A:A,Apuração!B:B)*(BO1361 + (1/_xlfn.XLOOKUP(F1361,Apuração!A:A,Apuração!B:B)) - BK1361))</f>
        <v>0</v>
      </c>
      <c r="BR1361" s="85">
        <f t="shared" ca="1" si="1619"/>
        <v>0</v>
      </c>
      <c r="BS1361" s="53">
        <f ca="1">IFERROR((_xlfn.XLOOKUP(F1361,Apuração!A:A,Apuração!C:C)+1)/_xlfn.XLOOKUP(F1361,Apuração!A:A,Apuração!B:B),0)</f>
        <v>0.14285714285714285</v>
      </c>
    </row>
    <row r="1362" spans="1:71" ht="25.95" hidden="1" customHeight="1" x14ac:dyDescent="0.3">
      <c r="A1362" s="23" t="s">
        <v>134</v>
      </c>
      <c r="B1362" s="4" t="s">
        <v>174</v>
      </c>
      <c r="C1362" s="5" t="s">
        <v>209</v>
      </c>
      <c r="D1362" s="5" t="s">
        <v>212</v>
      </c>
      <c r="E1362" s="4" t="s">
        <v>96</v>
      </c>
      <c r="F1362" s="4" t="str" cm="1">
        <f t="array" ref="F1362">_xlfn.IFS(
AG1362 &lt;&gt; "", "Jan-Dez/26",
AH1362 &lt;&gt; "", "Fev-Dez/26",
AI1362 &lt;&gt; "", "Mar-Dez/26", AJ1362 &lt;&gt; "", "Abr-Dez/26",
TRUE, "A partir de Junho"
)</f>
        <v>A partir de Junho</v>
      </c>
      <c r="G1362" s="4" t="s">
        <v>62</v>
      </c>
      <c r="H1362" s="7" t="s">
        <v>38</v>
      </c>
      <c r="I1362" s="8" t="s">
        <v>168</v>
      </c>
      <c r="J1362" s="8" t="str" cm="1">
        <f t="array" aca="1" ref="J1362" ca="1">_xlfn.LET(
  _xlpm.actual_value_month, INDEX(T1362:AE1362, MATCH(DATE(YEAR(TODAY()), MONTH(TODAY()), 1), $T$1:$AE$1, 0)),
  IF(_xlpm.actual_value_month &lt;&gt; "",_xlpm.actual_value_month &amp; " ações mensais", "")
)</f>
        <v/>
      </c>
      <c r="K1362" s="8" t="str" cm="1">
        <f t="array" ref="K1362">_xlfn.LET(
    _xlpm.sum_month, SUM(T1362:AE1362),
    IF(_xlpm.sum_month = 0, "", _xlpm.sum_month &amp; " ações no ano")
)</f>
        <v/>
      </c>
      <c r="L1362" s="9" t="s">
        <v>169</v>
      </c>
      <c r="M1362" s="24">
        <v>1</v>
      </c>
      <c r="N1362" s="5" t="s">
        <v>42</v>
      </c>
      <c r="O1362" s="5" t="s">
        <v>43</v>
      </c>
      <c r="P1362" s="10" t="s">
        <v>44</v>
      </c>
      <c r="Q1362" s="10" t="s">
        <v>44</v>
      </c>
      <c r="R1362" s="11" t="s">
        <v>66</v>
      </c>
      <c r="S1362" s="11" t="s">
        <v>67</v>
      </c>
      <c r="T1362" s="22"/>
      <c r="U1362" s="22"/>
      <c r="V1362" s="22"/>
      <c r="W1362" s="22"/>
      <c r="X1362" s="22"/>
      <c r="Y1362" s="22"/>
      <c r="Z1362" s="22"/>
      <c r="AA1362" s="22"/>
      <c r="AB1362" s="22"/>
      <c r="AC1362" s="22"/>
      <c r="AD1362" s="22"/>
      <c r="AE1362" s="22"/>
      <c r="AG1362" s="71"/>
      <c r="AH1362" s="71"/>
      <c r="AI1362" s="71"/>
      <c r="AJ1362" s="71"/>
      <c r="AK1362" s="71"/>
      <c r="AL1362" s="71"/>
      <c r="AM1362" s="71"/>
      <c r="AN1362" s="71"/>
      <c r="AO1362" s="71"/>
      <c r="AP1362" s="71"/>
      <c r="AQ1362" s="71"/>
      <c r="AR1362" s="71"/>
      <c r="AS1362" s="94">
        <f t="shared" ca="1" si="1612"/>
        <v>0</v>
      </c>
      <c r="AT1362" s="95">
        <f t="shared" si="1613"/>
        <v>0</v>
      </c>
      <c r="AU1362" s="97">
        <f t="shared" si="1614"/>
        <v>0</v>
      </c>
      <c r="AW1362" s="51">
        <f t="shared" si="1615"/>
        <v>0</v>
      </c>
      <c r="AX1362" s="51">
        <f t="shared" si="1616"/>
        <v>0</v>
      </c>
      <c r="AY1362" s="51">
        <f t="shared" si="1617"/>
        <v>0</v>
      </c>
      <c r="AZ1362" s="51">
        <f t="shared" si="1618"/>
        <v>0</v>
      </c>
      <c r="BA1362" s="51"/>
      <c r="BB1362" s="51"/>
      <c r="BC1362" s="51"/>
      <c r="BD1362" s="51"/>
      <c r="BE1362" s="51"/>
      <c r="BF1362" s="51"/>
      <c r="BG1362" s="51"/>
      <c r="BH1362" s="51"/>
      <c r="BI1362" s="65" cm="1">
        <f t="array" ref="BI1362">IFERROR(INDEX(AW1362:BH1362,1,MATCH(2,1/(AW1362:BH1362&lt;&gt;""))),"")</f>
        <v>0</v>
      </c>
      <c r="BJ1362" s="68" cm="1">
        <f t="array" ref="BJ1362">IF(BM1362 = "", "",IFERROR(INDEX(AW1362:BH1362,1,MATCH(2,1/(AW1362:BH1362&lt;&gt;""),1)-1),""))</f>
        <v>0</v>
      </c>
      <c r="BK1362" s="58">
        <f>IF((IF(AW1362&gt;=115%,115%,AW1362) + IF(AX1362&gt;=115%,115%,AX1362) + IF(AY1362&gt;=115%,115%,AY1362) + (IF(AZ1362&gt;=115%,115%,AZ1362) + IF(BA1362&gt;=115%,115%,BA1362) + IF(BB1362&gt;=115%,115%,BB1362) + IF(BC1362&gt;=115%,115%,BC1362) + IF(BD1362&gt;=115%,115%,BD1362) + IF(BE1362&gt;=115%,115%,BE1362) + IF(BF1362&gt;=115%,115%,BF1362) + IF(BG1362&gt;=115%,115%,BG1362) + IF(BH1362&gt;=115%,115%,BH1362)))/_xlfn.XLOOKUP(F1362,Apuração!A:A,Apuração!B:B)&gt;=1.15,1.15,((IF(AZ1362&gt;=115%,115%,AZ1362) + IF(AX1362&gt;=115%,115%,AX1362) + IF(AY1362&gt;=115%,115%,AY1362) + (IF(AW1362&gt;=115%,115%,AW1362) + IF(BA1362&gt;=115%,115%,BA1362) + IF(BB1362&gt;=115%,115%,BB1362) + IF(BC1362&gt;=115%,115%,BC1362) + IF(BD1362&gt;=115%,115%,BD1362) + IF(BE1362&gt;=115%,115%,BE1362) + IF(BF1362&gt;=115%,115%,BF1362) + IF(BG1362&gt;=115%,115%,BG1362) + IF(BH1362&gt;=115%,115%,BH1362)))/_xlfn.XLOOKUP(F1362,Apuração!A:A,Apuração!B:B)))</f>
        <v>0</v>
      </c>
      <c r="BL1362" s="58" cm="1">
        <f t="array" aca="1" ref="BL1362" ca="1">IF(SUM(IFERROR(IF(INDEX(AW1362:INDEX(AW1362:BH1362, MATCH(2, 1/(AW1362:BH1362&lt;&gt;""), 1)-1), ROW(INDIRECT("1:" &amp; MATCH(2, 1/(AW1362:BH1362&lt;&gt;""), 1)-1))) &gt;= 115%, 115%, INDEX(AW1362:INDEX(AW1362:BH1362, MATCH(2, 1/(AW1362:BH1362&lt;&gt;""), 1)-1), ROW(INDIRECT("1:" &amp; MATCH(2, 1/(AW1362:BH1362&lt;&gt;""), 1)-1)))), 0))/_xlfn.XLOOKUP(F1362,Apuração!A:A,Apuração!B:B)&gt;=1.15,1.15,SUM(IFERROR(IF(INDEX(AW1362:INDEX(AW1362:BH1362, MATCH(2, 1/(AW1362:BH1362&lt;&gt;""), 1)-1), ROW(INDIRECT("1:" &amp; MATCH(2, 1/(AW1362:BH1362&lt;&gt;""), 1)-1))) &gt;= 115%, 115%, INDEX(AW1362:INDEX(AW1362:BH1362, MATCH(2, 1/(AW1362:BH1362&lt;&gt;""), 1)-1), ROW(INDIRECT("1:" &amp; MATCH(2, 1/(AW1362:BH1362&lt;&gt;""), 1)-1)))), 0))/_xlfn.XLOOKUP(F1362,Apuração!A:A,Apuração!B:B))</f>
        <v>0</v>
      </c>
      <c r="BM1362" s="55" cm="1">
        <f t="array" ref="BM1362">IFERROR(
   INDEX($AW$1:$BH$1,
      _xlfn.AGGREGATE(14, 6, COLUMN($AW$1:$BH$1)/(AW1362:BH1362&lt;&gt;""), 2) - COLUMN($AW$1) + 1
   ),
"")</f>
        <v>46082</v>
      </c>
      <c r="BN1362" s="55" cm="1">
        <f t="array" ref="BN1362">IFERROR(INDEX($AW$1:$BH$1,1,MATCH(2,1/(AW1362:BH1362&lt;&gt;""))),"")</f>
        <v>46113</v>
      </c>
      <c r="BO1362" s="53">
        <f ca="1">IFERROR(_xlfn.XLOOKUP(F1362,Apuração!A:A,Apuração!C:C)/_xlfn.XLOOKUP(F1362,Apuração!A:A,Apuração!B:B),0)</f>
        <v>0</v>
      </c>
      <c r="BP1362" s="53">
        <f ca="1">IFERROR(_xlfn.XLOOKUP(F1362,Apuração!A:A,Apuração!D:D)/_xlfn.XLOOKUP(F1362,Apuração!A:A,Apuração!B:B),0)</f>
        <v>0</v>
      </c>
      <c r="BQ1362" s="53">
        <f ca="1">IF(BK1362&gt;=BO1362,0,_xlfn.XLOOKUP(F1362,Apuração!A:A,Apuração!B:B)*(BO1362 + (1/_xlfn.XLOOKUP(F1362,Apuração!A:A,Apuração!B:B)) - BK1362))</f>
        <v>0</v>
      </c>
      <c r="BR1362" s="85">
        <f t="shared" ca="1" si="1619"/>
        <v>0</v>
      </c>
      <c r="BS1362" s="53">
        <f ca="1">IFERROR((_xlfn.XLOOKUP(F1362,Apuração!A:A,Apuração!C:C)+1)/_xlfn.XLOOKUP(F1362,Apuração!A:A,Apuração!B:B),0)</f>
        <v>0.14285714285714285</v>
      </c>
    </row>
    <row r="1363" spans="1:71" ht="25.95" hidden="1" customHeight="1" x14ac:dyDescent="0.3">
      <c r="A1363" s="23" t="s">
        <v>134</v>
      </c>
      <c r="B1363" s="4" t="s">
        <v>174</v>
      </c>
      <c r="C1363" s="5" t="s">
        <v>209</v>
      </c>
      <c r="D1363" s="5" t="s">
        <v>213</v>
      </c>
      <c r="E1363" s="4" t="s">
        <v>96</v>
      </c>
      <c r="F1363" s="4" t="str" cm="1">
        <f t="array" ref="F1363">_xlfn.IFS(
AG1363 &lt;&gt; "", "Jan-Dez/26",
AH1363 &lt;&gt; "", "Fev-Dez/26",
AI1363 &lt;&gt; "", "Mar-Dez/26", AJ1363 &lt;&gt; "", "Abr-Dez/26",
TRUE, "A partir de Junho"
)</f>
        <v>A partir de Junho</v>
      </c>
      <c r="G1363" s="4" t="s">
        <v>62</v>
      </c>
      <c r="H1363" s="7" t="s">
        <v>38</v>
      </c>
      <c r="I1363" s="8" t="s">
        <v>168</v>
      </c>
      <c r="J1363" s="8" t="str" cm="1">
        <f t="array" aca="1" ref="J1363" ca="1">_xlfn.LET(
  _xlpm.actual_value_month, INDEX(T1363:AE1363, MATCH(DATE(YEAR(TODAY()), MONTH(TODAY()), 1), $T$1:$AE$1, 0)),
  IF(_xlpm.actual_value_month &lt;&gt; "",_xlpm.actual_value_month &amp; " ações mensais", "")
)</f>
        <v/>
      </c>
      <c r="K1363" s="8" t="str" cm="1">
        <f t="array" ref="K1363">_xlfn.LET(
    _xlpm.sum_month, SUM(T1363:AE1363),
    IF(_xlpm.sum_month = 0, "", _xlpm.sum_month &amp; " ações no ano")
)</f>
        <v/>
      </c>
      <c r="L1363" s="9" t="s">
        <v>169</v>
      </c>
      <c r="M1363" s="24">
        <v>1</v>
      </c>
      <c r="N1363" s="5" t="s">
        <v>42</v>
      </c>
      <c r="O1363" s="5" t="s">
        <v>43</v>
      </c>
      <c r="P1363" s="10" t="s">
        <v>44</v>
      </c>
      <c r="Q1363" s="10" t="s">
        <v>44</v>
      </c>
      <c r="R1363" s="11" t="s">
        <v>66</v>
      </c>
      <c r="S1363" s="11" t="s">
        <v>67</v>
      </c>
      <c r="T1363" s="22"/>
      <c r="U1363" s="22"/>
      <c r="V1363" s="22"/>
      <c r="W1363" s="22"/>
      <c r="X1363" s="22"/>
      <c r="Y1363" s="22"/>
      <c r="Z1363" s="22"/>
      <c r="AA1363" s="22"/>
      <c r="AB1363" s="22"/>
      <c r="AC1363" s="22"/>
      <c r="AD1363" s="22"/>
      <c r="AE1363" s="22"/>
      <c r="AG1363" s="71"/>
      <c r="AH1363" s="71"/>
      <c r="AI1363" s="71"/>
      <c r="AJ1363" s="71"/>
      <c r="AK1363" s="71"/>
      <c r="AL1363" s="71"/>
      <c r="AM1363" s="71"/>
      <c r="AN1363" s="71"/>
      <c r="AO1363" s="71"/>
      <c r="AP1363" s="71"/>
      <c r="AQ1363" s="71"/>
      <c r="AR1363" s="71"/>
      <c r="AS1363" s="94">
        <f t="shared" ca="1" si="1612"/>
        <v>0</v>
      </c>
      <c r="AT1363" s="95">
        <f t="shared" si="1613"/>
        <v>0</v>
      </c>
      <c r="AU1363" s="97">
        <f t="shared" si="1614"/>
        <v>0</v>
      </c>
      <c r="AW1363" s="51">
        <f t="shared" si="1615"/>
        <v>0</v>
      </c>
      <c r="AX1363" s="51">
        <f t="shared" si="1616"/>
        <v>0</v>
      </c>
      <c r="AY1363" s="51">
        <f t="shared" si="1617"/>
        <v>0</v>
      </c>
      <c r="AZ1363" s="51">
        <f t="shared" si="1618"/>
        <v>0</v>
      </c>
      <c r="BA1363" s="51"/>
      <c r="BB1363" s="51"/>
      <c r="BC1363" s="51"/>
      <c r="BD1363" s="51"/>
      <c r="BE1363" s="51"/>
      <c r="BF1363" s="51"/>
      <c r="BG1363" s="51"/>
      <c r="BH1363" s="51"/>
      <c r="BI1363" s="65" cm="1">
        <f t="array" ref="BI1363">IFERROR(INDEX(AW1363:BH1363,1,MATCH(2,1/(AW1363:BH1363&lt;&gt;""))),"")</f>
        <v>0</v>
      </c>
      <c r="BJ1363" s="68" cm="1">
        <f t="array" ref="BJ1363">IF(BM1363 = "", "",IFERROR(INDEX(AW1363:BH1363,1,MATCH(2,1/(AW1363:BH1363&lt;&gt;""),1)-1),""))</f>
        <v>0</v>
      </c>
      <c r="BK1363" s="58">
        <f>IF((IF(AW1363&gt;=115%,115%,AW1363) + IF(AX1363&gt;=115%,115%,AX1363) + IF(AY1363&gt;=115%,115%,AY1363) + (IF(AZ1363&gt;=115%,115%,AZ1363) + IF(BA1363&gt;=115%,115%,BA1363) + IF(BB1363&gt;=115%,115%,BB1363) + IF(BC1363&gt;=115%,115%,BC1363) + IF(BD1363&gt;=115%,115%,BD1363) + IF(BE1363&gt;=115%,115%,BE1363) + IF(BF1363&gt;=115%,115%,BF1363) + IF(BG1363&gt;=115%,115%,BG1363) + IF(BH1363&gt;=115%,115%,BH1363)))/_xlfn.XLOOKUP(F1363,Apuração!A:A,Apuração!B:B)&gt;=1.15,1.15,((IF(AZ1363&gt;=115%,115%,AZ1363) + IF(AX1363&gt;=115%,115%,AX1363) + IF(AY1363&gt;=115%,115%,AY1363) + (IF(AW1363&gt;=115%,115%,AW1363) + IF(BA1363&gt;=115%,115%,BA1363) + IF(BB1363&gt;=115%,115%,BB1363) + IF(BC1363&gt;=115%,115%,BC1363) + IF(BD1363&gt;=115%,115%,BD1363) + IF(BE1363&gt;=115%,115%,BE1363) + IF(BF1363&gt;=115%,115%,BF1363) + IF(BG1363&gt;=115%,115%,BG1363) + IF(BH1363&gt;=115%,115%,BH1363)))/_xlfn.XLOOKUP(F1363,Apuração!A:A,Apuração!B:B)))</f>
        <v>0</v>
      </c>
      <c r="BL1363" s="58" cm="1">
        <f t="array" aca="1" ref="BL1363" ca="1">IF(SUM(IFERROR(IF(INDEX(AW1363:INDEX(AW1363:BH1363, MATCH(2, 1/(AW1363:BH1363&lt;&gt;""), 1)-1), ROW(INDIRECT("1:" &amp; MATCH(2, 1/(AW1363:BH1363&lt;&gt;""), 1)-1))) &gt;= 115%, 115%, INDEX(AW1363:INDEX(AW1363:BH1363, MATCH(2, 1/(AW1363:BH1363&lt;&gt;""), 1)-1), ROW(INDIRECT("1:" &amp; MATCH(2, 1/(AW1363:BH1363&lt;&gt;""), 1)-1)))), 0))/_xlfn.XLOOKUP(F1363,Apuração!A:A,Apuração!B:B)&gt;=1.15,1.15,SUM(IFERROR(IF(INDEX(AW1363:INDEX(AW1363:BH1363, MATCH(2, 1/(AW1363:BH1363&lt;&gt;""), 1)-1), ROW(INDIRECT("1:" &amp; MATCH(2, 1/(AW1363:BH1363&lt;&gt;""), 1)-1))) &gt;= 115%, 115%, INDEX(AW1363:INDEX(AW1363:BH1363, MATCH(2, 1/(AW1363:BH1363&lt;&gt;""), 1)-1), ROW(INDIRECT("1:" &amp; MATCH(2, 1/(AW1363:BH1363&lt;&gt;""), 1)-1)))), 0))/_xlfn.XLOOKUP(F1363,Apuração!A:A,Apuração!B:B))</f>
        <v>0</v>
      </c>
      <c r="BM1363" s="55" cm="1">
        <f t="array" ref="BM1363">IFERROR(
   INDEX($AW$1:$BH$1,
      _xlfn.AGGREGATE(14, 6, COLUMN($AW$1:$BH$1)/(AW1363:BH1363&lt;&gt;""), 2) - COLUMN($AW$1) + 1
   ),
"")</f>
        <v>46082</v>
      </c>
      <c r="BN1363" s="55" cm="1">
        <f t="array" ref="BN1363">IFERROR(INDEX($AW$1:$BH$1,1,MATCH(2,1/(AW1363:BH1363&lt;&gt;""))),"")</f>
        <v>46113</v>
      </c>
      <c r="BO1363" s="53">
        <f ca="1">IFERROR(_xlfn.XLOOKUP(F1363,Apuração!A:A,Apuração!C:C)/_xlfn.XLOOKUP(F1363,Apuração!A:A,Apuração!B:B),0)</f>
        <v>0</v>
      </c>
      <c r="BP1363" s="53">
        <f ca="1">IFERROR(_xlfn.XLOOKUP(F1363,Apuração!A:A,Apuração!D:D)/_xlfn.XLOOKUP(F1363,Apuração!A:A,Apuração!B:B),0)</f>
        <v>0</v>
      </c>
      <c r="BQ1363" s="53">
        <f ca="1">IF(BK1363&gt;=BO1363,0,_xlfn.XLOOKUP(F1363,Apuração!A:A,Apuração!B:B)*(BO1363 + (1/_xlfn.XLOOKUP(F1363,Apuração!A:A,Apuração!B:B)) - BK1363))</f>
        <v>0</v>
      </c>
      <c r="BR1363" s="85">
        <f t="shared" ca="1" si="1619"/>
        <v>0</v>
      </c>
      <c r="BS1363" s="53">
        <f ca="1">IFERROR((_xlfn.XLOOKUP(F1363,Apuração!A:A,Apuração!C:C)+1)/_xlfn.XLOOKUP(F1363,Apuração!A:A,Apuração!B:B),0)</f>
        <v>0.14285714285714285</v>
      </c>
    </row>
    <row r="1364" spans="1:71" ht="25.95" hidden="1" customHeight="1" x14ac:dyDescent="0.3">
      <c r="A1364" s="23" t="s">
        <v>134</v>
      </c>
      <c r="B1364" s="4" t="s">
        <v>174</v>
      </c>
      <c r="C1364" s="5" t="s">
        <v>209</v>
      </c>
      <c r="D1364" s="5" t="s">
        <v>36</v>
      </c>
      <c r="E1364" s="4" t="s">
        <v>96</v>
      </c>
      <c r="F1364" s="4" t="str" cm="1">
        <f t="array" ref="F1364">_xlfn.IFS(
AG1364 &lt;&gt; "", "Jan-Dez/26",
AH1364 &lt;&gt; "", "Fev-Dez/26",
AI1364 &lt;&gt; "", "Mar-Dez/26", AJ1364 &lt;&gt; "", "Abr-Dez/26",
TRUE, "A partir de Junho"
)</f>
        <v>A partir de Junho</v>
      </c>
      <c r="G1364" s="4" t="s">
        <v>62</v>
      </c>
      <c r="H1364" s="7" t="s">
        <v>38</v>
      </c>
      <c r="I1364" s="8" t="s">
        <v>171</v>
      </c>
      <c r="J1364" s="8" t="str" cm="1">
        <f t="array" aca="1" ref="J1364" ca="1">_xlfn.LET(
  _xlpm.actual_value_month, INDEX(T1364:AE1364, MATCH(DATE(YEAR(TODAY()), MONTH(TODAY()), 1), $T$1:$AE$1, 0)),
  IF(_xlpm.actual_value_month &lt;&gt; "",_xlpm.actual_value_month &amp; " ações mensais", "")
)</f>
        <v/>
      </c>
      <c r="K1364" s="8" t="str" cm="1">
        <f t="array" ref="K1364">_xlfn.LET(
    _xlpm.sum_month, SUM(T1364:AE1364),
    IF(_xlpm.sum_month = 0, "", _xlpm.sum_month &amp; " colaboradores impactados no ano")
)</f>
        <v/>
      </c>
      <c r="L1364" s="9" t="s">
        <v>172</v>
      </c>
      <c r="M1364" s="24">
        <v>1</v>
      </c>
      <c r="N1364" s="5" t="s">
        <v>42</v>
      </c>
      <c r="O1364" s="5" t="s">
        <v>43</v>
      </c>
      <c r="P1364" s="10" t="s">
        <v>44</v>
      </c>
      <c r="Q1364" s="10" t="s">
        <v>72</v>
      </c>
      <c r="R1364" s="11" t="s">
        <v>66</v>
      </c>
      <c r="S1364" s="11" t="s">
        <v>67</v>
      </c>
      <c r="T1364" s="22"/>
      <c r="U1364" s="22"/>
      <c r="V1364" s="22"/>
      <c r="W1364" s="22"/>
      <c r="X1364" s="22"/>
      <c r="Y1364" s="22"/>
      <c r="Z1364" s="22"/>
      <c r="AA1364" s="22"/>
      <c r="AB1364" s="22"/>
      <c r="AC1364" s="22"/>
      <c r="AD1364" s="22"/>
      <c r="AE1364" s="22"/>
      <c r="AG1364" s="71"/>
      <c r="AH1364" s="71"/>
      <c r="AI1364" s="71"/>
      <c r="AJ1364" s="71"/>
      <c r="AK1364" s="71"/>
      <c r="AL1364" s="71"/>
      <c r="AM1364" s="71"/>
      <c r="AN1364" s="71"/>
      <c r="AO1364" s="71"/>
      <c r="AP1364" s="71"/>
      <c r="AQ1364" s="71"/>
      <c r="AR1364" s="71"/>
      <c r="AS1364" s="94">
        <f ca="1">IF(MONTH(TODAY())=3,SUM(T1364:U1364),IF(MONTH(TODAY())=4,SUM(T1364:V1364),IF(MONTH(TODAY())=5,SUM(T1364:W1364),IF(MONTH(TODAY())=6,SUM(T1364:X1364),IF(MONTH(TODAY())=7,SUM(T1364:Y1364),IF(MONTH(TODAY())=8,SUM(T1364:Z1364),IF(MONTH(TODAY())=9,SUM(T1364:AA1364),IF(MONTH(TODAY())=10,SUM(T1364:AB1364),IF(MONTH(TODAY())=11,SUM(T1364:AC1364),IF(MONTH(TODAY())=12,SUM(T1364:AD1364),IF(MONTH(TODAY())=1,SUM(T1364:AE1364),T1364)))))))))))</f>
        <v>0</v>
      </c>
      <c r="AT1364" s="95">
        <f>SUM(IF(AW1364&lt;1.15,AG1364,1.15*T1364),IF(AX1364&lt;1.15,AH1364,1.15*U1364),IF(AY1364&lt;1.15,AI1364,1.15*V1364),IF(AZ1364&lt;1.15,AJ1364,1.15*W1364),IF(BA1364&lt;1.15,AK1364,1.15*X1364),IF(BB1364&lt;1.15,AL1364,1.15*Y1364),IF(BC1364&lt;1.15,AM1364,1.15*Z1364),IF(BD1364&lt;1.15,AN1364,1.15*AA1364),IF(BE1364&lt;1.15,AO1364,1.15*AB1364),IF(BF1364&lt;1.15,AP1364,1.15*AC1364),IF(BG1364&lt;1.15,AQ1364,1.15*AD1364),IF(BH1364&lt;1.15,AR1364,1.15*AE1364))</f>
        <v>0</v>
      </c>
      <c r="AU1364" s="97">
        <f>SUM(AG1364:AR1364)</f>
        <v>0</v>
      </c>
      <c r="AW1364" s="51">
        <f>IFERROR(IF(AG1364="",0,AG1364/T1364),0)</f>
        <v>0</v>
      </c>
      <c r="AX1364" s="51">
        <f>IFERROR(IF(AH1364="",0,AH1364/U1364),0)</f>
        <v>0</v>
      </c>
      <c r="AY1364" s="51">
        <f>IFERROR(IF(AI1364="",0,AI1364/V1364),0)</f>
        <v>0</v>
      </c>
      <c r="AZ1364" s="51">
        <f>IFERROR(IF(AJ1364="",0,AJ1364/W1364),0)</f>
        <v>0</v>
      </c>
      <c r="BA1364" s="51"/>
      <c r="BB1364" s="51"/>
      <c r="BC1364" s="51"/>
      <c r="BD1364" s="51"/>
      <c r="BE1364" s="51"/>
      <c r="BF1364" s="51"/>
      <c r="BG1364" s="51"/>
      <c r="BH1364" s="51"/>
      <c r="BI1364" s="65" cm="1">
        <f t="array" ref="BI1364">IFERROR(INDEX(AW1364:BH1364,1,MATCH(2,1/(AW1364:BH1364&lt;&gt;""))),"")</f>
        <v>0</v>
      </c>
      <c r="BJ1364" s="68" cm="1">
        <f t="array" ref="BJ1364">IF(BM1364 = "", "",IFERROR(INDEX(AW1364:BH1364,1,MATCH(2,1/(AW1364:BH1364&lt;&gt;""),1)-1),""))</f>
        <v>0</v>
      </c>
      <c r="BK1364" s="58">
        <f>IF((IF(AW1364&gt;=115%,115%,AW1364) + IF(AX1364&gt;=115%,115%,AX1364) + IF(AY1364&gt;=115%,115%,AY1364) + (IF(AZ1364&gt;=115%,115%,AZ1364) + IF(BA1364&gt;=133%,133%,BA1364) + IF(BB1364&gt;=115%,115%,BB1364) + IF(BC1364&gt;=115%,115%,BC1364) + IF(BD1364&gt;=115%,115%,BD1364) + IF(BE1364&gt;=115%,115%,BE1364) + IF(BF1364&gt;=115%,115%,BF1364) + IF(BG1364&gt;=115%,115%,BG1364) + IF(BH1364&gt;=115%,115%,BH1364)))/_xlfn.XLOOKUP(F1364,Apuração!A:A,Apuração!B:B)&gt;=1.15,1.15,((IF(AZ1364&gt;=115%,115%,AZ1364) + IF(AX1364&gt;=115%,115%,AX1364) + IF(AY1364&gt;=115%,115%,AY1364) + (IF(AW1364&gt;=115%,115%,AW1364) + IF(BA1364&gt;=133%,133%,BA1364) + IF(BB1364&gt;=115%,115%,BB1364) + IF(BC1364&gt;=115%,115%,BC1364) + IF(BD1364&gt;=115%,115%,BD1364) + IF(BE1364&gt;=115%,115%,BE1364) + IF(BF1364&gt;=115%,115%,BF1364) + IF(BG1364&gt;=115%,115%,BG1364) + IF(BH1364&gt;=115%,115%,BH1364)))/_xlfn.XLOOKUP(F1364,Apuração!A:A,Apuração!B:B)))</f>
        <v>0</v>
      </c>
      <c r="BL1364" s="58" cm="1">
        <f t="array" aca="1" ref="BL1364" ca="1">IF(SUM(IFERROR(IF(INDEX(AW1364:INDEX(AW1364:BH1364, MATCH(2, 1/(AW1364:BH1364&lt;&gt;""), 1)-1), ROW(INDIRECT("1:" &amp; MATCH(2, 1/(AW1364:BH1364&lt;&gt;""), 1)-1))) &gt;= 115%, 115%, INDEX(AW1364:INDEX(AW1364:BH1364, MATCH(2, 1/(AW1364:BH1364&lt;&gt;""), 1)-1), ROW(INDIRECT("1:" &amp; MATCH(2, 1/(AW1364:BH1364&lt;&gt;""), 1)-1)))), 0))/_xlfn.XLOOKUP(F1364,Apuração!A:A,Apuração!B:B)&gt;=1.15,1.15,SUM(IFERROR(IF(INDEX(AW1364:INDEX(AW1364:BH1364, MATCH(2, 1/(AW1364:BH1364&lt;&gt;""), 1)-1), ROW(INDIRECT("1:" &amp; MATCH(2, 1/(AW1364:BH1364&lt;&gt;""), 1)-1))) &gt;= 115%, 115%, INDEX(AW1364:INDEX(AW1364:BH1364, MATCH(2, 1/(AW1364:BH1364&lt;&gt;""), 1)-1), ROW(INDIRECT("1:" &amp; MATCH(2, 1/(AW1364:BH1364&lt;&gt;""), 1)-1)))), 0))/_xlfn.XLOOKUP(F1364,Apuração!A:A,Apuração!B:B))</f>
        <v>0</v>
      </c>
      <c r="BM1364" s="55" cm="1">
        <f t="array" ref="BM1364">IFERROR(
   INDEX($AW$1:$BH$1,
      _xlfn.AGGREGATE(14, 6, COLUMN($AW$1:$BH$1)/(AW1364:BH1364&lt;&gt;""), 2) - COLUMN($AW$1) + 1
   ),
"")</f>
        <v>46082</v>
      </c>
      <c r="BN1364" s="55" cm="1">
        <f t="array" ref="BN1364">IFERROR(INDEX($AW$1:$BH$1,1,MATCH(2,1/(AW1364:BH1364&lt;&gt;""))),"")</f>
        <v>46113</v>
      </c>
      <c r="BO1364" s="53">
        <f ca="1">IFERROR(_xlfn.XLOOKUP(F1364,Apuração!A:A,Apuração!C:C)/_xlfn.XLOOKUP(F1364,Apuração!A:A,Apuração!B:B),0)</f>
        <v>0</v>
      </c>
      <c r="BP1364" s="53">
        <f ca="1">IFERROR(_xlfn.XLOOKUP(F1364,Apuração!A:A,Apuração!D:D)/_xlfn.XLOOKUP(F1364,Apuração!A:A,Apuração!B:B),0)</f>
        <v>0</v>
      </c>
      <c r="BQ1364" s="53">
        <f ca="1">IF(BK1364&gt;=BO1364,0,_xlfn.XLOOKUP(F1364,Apuração!A:A,Apuração!B:B)*(BO1364 + (1/_xlfn.XLOOKUP(F1364,Apuração!A:A,Apuração!B:B)) - BK1364))</f>
        <v>0</v>
      </c>
      <c r="BR1364" s="85">
        <f ca="1">IF(BQ1364=0,0,BQ1364*Z1364)</f>
        <v>0</v>
      </c>
      <c r="BS1364" s="53">
        <f ca="1">IFERROR((_xlfn.XLOOKUP(F1364,Apuração!A:A,Apuração!C:C)+1)/_xlfn.XLOOKUP(F1364,Apuração!A:A,Apuração!B:B),0)</f>
        <v>0.14285714285714285</v>
      </c>
    </row>
    <row r="1365" spans="1:71" ht="25.95" hidden="1" customHeight="1" x14ac:dyDescent="0.3">
      <c r="A1365" s="23" t="s">
        <v>134</v>
      </c>
      <c r="B1365" s="4" t="s">
        <v>174</v>
      </c>
      <c r="C1365" s="5" t="s">
        <v>209</v>
      </c>
      <c r="D1365" s="5" t="s">
        <v>210</v>
      </c>
      <c r="E1365" s="4" t="s">
        <v>96</v>
      </c>
      <c r="F1365" s="4" t="str" cm="1">
        <f t="array" ref="F1365">_xlfn.IFS(
AG1365 &lt;&gt; "", "Jan-Dez/26",
AH1365 &lt;&gt; "", "Fev-Dez/26",
AI1365 &lt;&gt; "", "Mar-Dez/26", AJ1365 &lt;&gt; "", "Abr-Dez/26",
TRUE, "A partir de Junho"
)</f>
        <v>A partir de Junho</v>
      </c>
      <c r="G1365" s="4" t="s">
        <v>62</v>
      </c>
      <c r="H1365" s="7" t="s">
        <v>38</v>
      </c>
      <c r="I1365" s="8" t="s">
        <v>171</v>
      </c>
      <c r="J1365" s="8" t="str" cm="1">
        <f t="array" aca="1" ref="J1365" ca="1">_xlfn.LET(
  _xlpm.actual_value_month, INDEX(T1365:AE1365, MATCH(DATE(YEAR(TODAY()), MONTH(TODAY()), 1), $T$1:$AE$1, 0)),
  IF(_xlpm.actual_value_month &lt;&gt; "",_xlpm.actual_value_month &amp; " ações mensais", "")
)</f>
        <v/>
      </c>
      <c r="K1365" s="8" t="str" cm="1">
        <f t="array" ref="K1365">_xlfn.LET(
    _xlpm.sum_month, SUM(T1365:AE1365),
    IF(_xlpm.sum_month = 0, "", _xlpm.sum_month &amp; " colaboradores impactados no ano")
)</f>
        <v/>
      </c>
      <c r="L1365" s="9" t="s">
        <v>172</v>
      </c>
      <c r="M1365" s="24">
        <v>1</v>
      </c>
      <c r="N1365" s="5" t="s">
        <v>42</v>
      </c>
      <c r="O1365" s="5" t="s">
        <v>43</v>
      </c>
      <c r="P1365" s="10" t="s">
        <v>44</v>
      </c>
      <c r="Q1365" s="10" t="s">
        <v>72</v>
      </c>
      <c r="R1365" s="11" t="s">
        <v>66</v>
      </c>
      <c r="S1365" s="11" t="s">
        <v>67</v>
      </c>
      <c r="T1365" s="22"/>
      <c r="U1365" s="22"/>
      <c r="V1365" s="22"/>
      <c r="W1365" s="22"/>
      <c r="X1365" s="22"/>
      <c r="Y1365" s="22"/>
      <c r="Z1365" s="22"/>
      <c r="AA1365" s="22"/>
      <c r="AB1365" s="22"/>
      <c r="AC1365" s="22"/>
      <c r="AD1365" s="22"/>
      <c r="AE1365" s="22"/>
      <c r="AG1365" s="71"/>
      <c r="AH1365" s="71"/>
      <c r="AI1365" s="71"/>
      <c r="AJ1365" s="71"/>
      <c r="AK1365" s="71"/>
      <c r="AL1365" s="71"/>
      <c r="AM1365" s="71"/>
      <c r="AN1365" s="71"/>
      <c r="AO1365" s="71"/>
      <c r="AP1365" s="71"/>
      <c r="AQ1365" s="71"/>
      <c r="AR1365" s="71"/>
      <c r="AS1365" s="94">
        <f t="shared" ref="AS1365:AS1369" ca="1" si="1620">IF(MONTH(TODAY())=3,SUM(T1365:U1365),IF(MONTH(TODAY())=4,SUM(T1365:V1365),IF(MONTH(TODAY())=5,SUM(T1365:W1365),IF(MONTH(TODAY())=6,SUM(T1365:X1365),IF(MONTH(TODAY())=7,SUM(T1365:Y1365),IF(MONTH(TODAY())=8,SUM(T1365:Z1365),IF(MONTH(TODAY())=9,SUM(T1365:AA1365),IF(MONTH(TODAY())=10,SUM(T1365:AB1365),IF(MONTH(TODAY())=11,SUM(T1365:AC1365),IF(MONTH(TODAY())=12,SUM(T1365:AD1365),IF(MONTH(TODAY())=1,SUM(T1365:AE1365),T1365)))))))))))</f>
        <v>0</v>
      </c>
      <c r="AT1365" s="95">
        <f t="shared" ref="AT1365:AT1369" si="1621">SUM(IF(AW1365&lt;1.15,AG1365,1.15*T1365),IF(AX1365&lt;1.15,AH1365,1.15*U1365),IF(AY1365&lt;1.15,AI1365,1.15*V1365),IF(AZ1365&lt;1.15,AJ1365,1.15*W1365),IF(BA1365&lt;1.15,AK1365,1.15*X1365),IF(BB1365&lt;1.15,AL1365,1.15*Y1365),IF(BC1365&lt;1.15,AM1365,1.15*Z1365),IF(BD1365&lt;1.15,AN1365,1.15*AA1365),IF(BE1365&lt;1.15,AO1365,1.15*AB1365),IF(BF1365&lt;1.15,AP1365,1.15*AC1365),IF(BG1365&lt;1.15,AQ1365,1.15*AD1365),IF(BH1365&lt;1.15,AR1365,1.15*AE1365))</f>
        <v>0</v>
      </c>
      <c r="AU1365" s="97">
        <f t="shared" ref="AU1365:AU1369" si="1622">SUM(AG1365:AR1365)</f>
        <v>0</v>
      </c>
      <c r="AW1365" s="51">
        <f t="shared" ref="AW1365:AW1369" si="1623">IFERROR(IF(AG1365="",0,AG1365/T1365),0)</f>
        <v>0</v>
      </c>
      <c r="AX1365" s="51">
        <f t="shared" ref="AX1365:AX1369" si="1624">IFERROR(IF(AH1365="",0,AH1365/U1365),0)</f>
        <v>0</v>
      </c>
      <c r="AY1365" s="51">
        <f t="shared" ref="AY1365:AY1369" si="1625">IFERROR(IF(AI1365="",0,AI1365/V1365),0)</f>
        <v>0</v>
      </c>
      <c r="AZ1365" s="51">
        <f t="shared" ref="AZ1365:AZ1369" si="1626">IFERROR(IF(AJ1365="",0,AJ1365/W1365),0)</f>
        <v>0</v>
      </c>
      <c r="BA1365" s="51"/>
      <c r="BB1365" s="51"/>
      <c r="BC1365" s="51"/>
      <c r="BD1365" s="51"/>
      <c r="BE1365" s="51"/>
      <c r="BF1365" s="51"/>
      <c r="BG1365" s="51"/>
      <c r="BH1365" s="51"/>
      <c r="BI1365" s="65" cm="1">
        <f t="array" ref="BI1365">IFERROR(INDEX(AW1365:BH1365,1,MATCH(2,1/(AW1365:BH1365&lt;&gt;""))),"")</f>
        <v>0</v>
      </c>
      <c r="BJ1365" s="68" cm="1">
        <f t="array" ref="BJ1365">IF(BM1365 = "", "",IFERROR(INDEX(AW1365:BH1365,1,MATCH(2,1/(AW1365:BH1365&lt;&gt;""),1)-1),""))</f>
        <v>0</v>
      </c>
      <c r="BK1365" s="58">
        <f>IF((IF(AW1365&gt;=115%,115%,AW1365) + IF(AX1365&gt;=115%,115%,AX1365) + IF(AY1365&gt;=115%,115%,AY1365) + (IF(AZ1365&gt;=115%,115%,AZ1365) + IF(BA1365&gt;=133%,133%,BA1365) + IF(BB1365&gt;=115%,115%,BB1365) + IF(BC1365&gt;=115%,115%,BC1365) + IF(BD1365&gt;=115%,115%,BD1365) + IF(BE1365&gt;=115%,115%,BE1365) + IF(BF1365&gt;=115%,115%,BF1365) + IF(BG1365&gt;=115%,115%,BG1365) + IF(BH1365&gt;=115%,115%,BH1365)))/_xlfn.XLOOKUP(F1365,Apuração!A:A,Apuração!B:B)&gt;=1.15,1.15,((IF(AZ1365&gt;=115%,115%,AZ1365) + IF(AX1365&gt;=115%,115%,AX1365) + IF(AY1365&gt;=115%,115%,AY1365) + (IF(AW1365&gt;=115%,115%,AW1365) + IF(BA1365&gt;=133%,133%,BA1365) + IF(BB1365&gt;=115%,115%,BB1365) + IF(BC1365&gt;=115%,115%,BC1365) + IF(BD1365&gt;=115%,115%,BD1365) + IF(BE1365&gt;=115%,115%,BE1365) + IF(BF1365&gt;=115%,115%,BF1365) + IF(BG1365&gt;=115%,115%,BG1365) + IF(BH1365&gt;=115%,115%,BH1365)))/_xlfn.XLOOKUP(F1365,Apuração!A:A,Apuração!B:B)))</f>
        <v>0</v>
      </c>
      <c r="BL1365" s="58" cm="1">
        <f t="array" aca="1" ref="BL1365" ca="1">IF(SUM(IFERROR(IF(INDEX(AW1365:INDEX(AW1365:BH1365, MATCH(2, 1/(AW1365:BH1365&lt;&gt;""), 1)-1), ROW(INDIRECT("1:" &amp; MATCH(2, 1/(AW1365:BH1365&lt;&gt;""), 1)-1))) &gt;= 115%, 115%, INDEX(AW1365:INDEX(AW1365:BH1365, MATCH(2, 1/(AW1365:BH1365&lt;&gt;""), 1)-1), ROW(INDIRECT("1:" &amp; MATCH(2, 1/(AW1365:BH1365&lt;&gt;""), 1)-1)))), 0))/_xlfn.XLOOKUP(F1365,Apuração!A:A,Apuração!B:B)&gt;=1.15,1.15,SUM(IFERROR(IF(INDEX(AW1365:INDEX(AW1365:BH1365, MATCH(2, 1/(AW1365:BH1365&lt;&gt;""), 1)-1), ROW(INDIRECT("1:" &amp; MATCH(2, 1/(AW1365:BH1365&lt;&gt;""), 1)-1))) &gt;= 115%, 115%, INDEX(AW1365:INDEX(AW1365:BH1365, MATCH(2, 1/(AW1365:BH1365&lt;&gt;""), 1)-1), ROW(INDIRECT("1:" &amp; MATCH(2, 1/(AW1365:BH1365&lt;&gt;""), 1)-1)))), 0))/_xlfn.XLOOKUP(F1365,Apuração!A:A,Apuração!B:B))</f>
        <v>0</v>
      </c>
      <c r="BM1365" s="55" cm="1">
        <f t="array" ref="BM1365">IFERROR(
   INDEX($AW$1:$BH$1,
      _xlfn.AGGREGATE(14, 6, COLUMN($AW$1:$BH$1)/(AW1365:BH1365&lt;&gt;""), 2) - COLUMN($AW$1) + 1
   ),
"")</f>
        <v>46082</v>
      </c>
      <c r="BN1365" s="55" cm="1">
        <f t="array" ref="BN1365">IFERROR(INDEX($AW$1:$BH$1,1,MATCH(2,1/(AW1365:BH1365&lt;&gt;""))),"")</f>
        <v>46113</v>
      </c>
      <c r="BO1365" s="53">
        <f ca="1">IFERROR(_xlfn.XLOOKUP(F1365,Apuração!A:A,Apuração!C:C)/_xlfn.XLOOKUP(F1365,Apuração!A:A,Apuração!B:B),0)</f>
        <v>0</v>
      </c>
      <c r="BP1365" s="53">
        <f ca="1">IFERROR(_xlfn.XLOOKUP(F1365,Apuração!A:A,Apuração!D:D)/_xlfn.XLOOKUP(F1365,Apuração!A:A,Apuração!B:B),0)</f>
        <v>0</v>
      </c>
      <c r="BQ1365" s="53">
        <f ca="1">IF(BK1365&gt;=BO1365,0,_xlfn.XLOOKUP(F1365,Apuração!A:A,Apuração!B:B)*(BO1365 + (1/_xlfn.XLOOKUP(F1365,Apuração!A:A,Apuração!B:B)) - BK1365))</f>
        <v>0</v>
      </c>
      <c r="BR1365" s="85">
        <f t="shared" ref="BR1365:BR1369" ca="1" si="1627">IF(BQ1365=0,0,BQ1365*Z1365)</f>
        <v>0</v>
      </c>
      <c r="BS1365" s="53">
        <f ca="1">IFERROR((_xlfn.XLOOKUP(F1365,Apuração!A:A,Apuração!C:C)+1)/_xlfn.XLOOKUP(F1365,Apuração!A:A,Apuração!B:B),0)</f>
        <v>0.14285714285714285</v>
      </c>
    </row>
    <row r="1366" spans="1:71" ht="25.95" hidden="1" customHeight="1" x14ac:dyDescent="0.3">
      <c r="A1366" s="23" t="s">
        <v>134</v>
      </c>
      <c r="B1366" s="4" t="s">
        <v>174</v>
      </c>
      <c r="C1366" s="5" t="s">
        <v>209</v>
      </c>
      <c r="D1366" s="5" t="s">
        <v>47</v>
      </c>
      <c r="E1366" s="4" t="s">
        <v>96</v>
      </c>
      <c r="F1366" s="4" t="str" cm="1">
        <f t="array" ref="F1366">_xlfn.IFS(
AG1366 &lt;&gt; "", "Jan-Dez/26",
AH1366 &lt;&gt; "", "Fev-Dez/26",
AI1366 &lt;&gt; "", "Mar-Dez/26", AJ1366 &lt;&gt; "", "Abr-Dez/26",
TRUE, "A partir de Junho"
)</f>
        <v>A partir de Junho</v>
      </c>
      <c r="G1366" s="4" t="s">
        <v>62</v>
      </c>
      <c r="H1366" s="7" t="s">
        <v>38</v>
      </c>
      <c r="I1366" s="8" t="s">
        <v>171</v>
      </c>
      <c r="J1366" s="8" t="str" cm="1">
        <f t="array" aca="1" ref="J1366" ca="1">_xlfn.LET(
  _xlpm.actual_value_month, INDEX(T1366:AE1366, MATCH(DATE(YEAR(TODAY()), MONTH(TODAY()), 1), $T$1:$AE$1, 0)),
  IF(_xlpm.actual_value_month &lt;&gt; "",_xlpm.actual_value_month &amp; " ações mensais", "")
)</f>
        <v/>
      </c>
      <c r="K1366" s="8" t="str" cm="1">
        <f t="array" ref="K1366">_xlfn.LET(
    _xlpm.sum_month, SUM(T1366:AE1366),
    IF(_xlpm.sum_month = 0, "", _xlpm.sum_month &amp; " colaboradores impactados no ano")
)</f>
        <v/>
      </c>
      <c r="L1366" s="9" t="s">
        <v>172</v>
      </c>
      <c r="M1366" s="24">
        <v>1</v>
      </c>
      <c r="N1366" s="5" t="s">
        <v>42</v>
      </c>
      <c r="O1366" s="5" t="s">
        <v>43</v>
      </c>
      <c r="P1366" s="10" t="s">
        <v>44</v>
      </c>
      <c r="Q1366" s="10" t="s">
        <v>72</v>
      </c>
      <c r="R1366" s="11" t="s">
        <v>66</v>
      </c>
      <c r="S1366" s="11" t="s">
        <v>67</v>
      </c>
      <c r="T1366" s="22"/>
      <c r="U1366" s="22"/>
      <c r="V1366" s="22"/>
      <c r="W1366" s="22"/>
      <c r="X1366" s="22"/>
      <c r="Y1366" s="22"/>
      <c r="Z1366" s="22"/>
      <c r="AA1366" s="22"/>
      <c r="AB1366" s="22"/>
      <c r="AC1366" s="22"/>
      <c r="AD1366" s="22"/>
      <c r="AE1366" s="22"/>
      <c r="AG1366" s="71"/>
      <c r="AH1366" s="71"/>
      <c r="AI1366" s="71"/>
      <c r="AJ1366" s="71"/>
      <c r="AK1366" s="71"/>
      <c r="AL1366" s="71"/>
      <c r="AM1366" s="71"/>
      <c r="AN1366" s="71"/>
      <c r="AO1366" s="71"/>
      <c r="AP1366" s="71"/>
      <c r="AQ1366" s="71"/>
      <c r="AR1366" s="71"/>
      <c r="AS1366" s="94">
        <f t="shared" ca="1" si="1620"/>
        <v>0</v>
      </c>
      <c r="AT1366" s="95">
        <f t="shared" si="1621"/>
        <v>0</v>
      </c>
      <c r="AU1366" s="97">
        <f t="shared" si="1622"/>
        <v>0</v>
      </c>
      <c r="AW1366" s="51">
        <f t="shared" si="1623"/>
        <v>0</v>
      </c>
      <c r="AX1366" s="51">
        <f t="shared" si="1624"/>
        <v>0</v>
      </c>
      <c r="AY1366" s="51">
        <f t="shared" si="1625"/>
        <v>0</v>
      </c>
      <c r="AZ1366" s="51">
        <f t="shared" si="1626"/>
        <v>0</v>
      </c>
      <c r="BA1366" s="51"/>
      <c r="BB1366" s="51"/>
      <c r="BC1366" s="51"/>
      <c r="BD1366" s="51"/>
      <c r="BE1366" s="51"/>
      <c r="BF1366" s="51"/>
      <c r="BG1366" s="51"/>
      <c r="BH1366" s="51"/>
      <c r="BI1366" s="65" cm="1">
        <f t="array" ref="BI1366">IFERROR(INDEX(AW1366:BH1366,1,MATCH(2,1/(AW1366:BH1366&lt;&gt;""))),"")</f>
        <v>0</v>
      </c>
      <c r="BJ1366" s="68" cm="1">
        <f t="array" ref="BJ1366">IF(BM1366 = "", "",IFERROR(INDEX(AW1366:BH1366,1,MATCH(2,1/(AW1366:BH1366&lt;&gt;""),1)-1),""))</f>
        <v>0</v>
      </c>
      <c r="BK1366" s="58">
        <f>IF((IF(AW1366&gt;=115%,115%,AW1366) + IF(AX1366&gt;=115%,115%,AX1366) + IF(AY1366&gt;=115%,115%,AY1366) + (IF(AZ1366&gt;=115%,115%,AZ1366) + IF(BA1366&gt;=133%,133%,BA1366) + IF(BB1366&gt;=115%,115%,BB1366) + IF(BC1366&gt;=115%,115%,BC1366) + IF(BD1366&gt;=115%,115%,BD1366) + IF(BE1366&gt;=115%,115%,BE1366) + IF(BF1366&gt;=115%,115%,BF1366) + IF(BG1366&gt;=115%,115%,BG1366) + IF(BH1366&gt;=115%,115%,BH1366)))/_xlfn.XLOOKUP(F1366,Apuração!A:A,Apuração!B:B)&gt;=1.15,1.15,((IF(AZ1366&gt;=115%,115%,AZ1366) + IF(AX1366&gt;=115%,115%,AX1366) + IF(AY1366&gt;=115%,115%,AY1366) + (IF(AW1366&gt;=115%,115%,AW1366) + IF(BA1366&gt;=133%,133%,BA1366) + IF(BB1366&gt;=115%,115%,BB1366) + IF(BC1366&gt;=115%,115%,BC1366) + IF(BD1366&gt;=115%,115%,BD1366) + IF(BE1366&gt;=115%,115%,BE1366) + IF(BF1366&gt;=115%,115%,BF1366) + IF(BG1366&gt;=115%,115%,BG1366) + IF(BH1366&gt;=115%,115%,BH1366)))/_xlfn.XLOOKUP(F1366,Apuração!A:A,Apuração!B:B)))</f>
        <v>0</v>
      </c>
      <c r="BL1366" s="58" cm="1">
        <f t="array" aca="1" ref="BL1366" ca="1">IF(SUM(IFERROR(IF(INDEX(AW1366:INDEX(AW1366:BH1366, MATCH(2, 1/(AW1366:BH1366&lt;&gt;""), 1)-1), ROW(INDIRECT("1:" &amp; MATCH(2, 1/(AW1366:BH1366&lt;&gt;""), 1)-1))) &gt;= 115%, 115%, INDEX(AW1366:INDEX(AW1366:BH1366, MATCH(2, 1/(AW1366:BH1366&lt;&gt;""), 1)-1), ROW(INDIRECT("1:" &amp; MATCH(2, 1/(AW1366:BH1366&lt;&gt;""), 1)-1)))), 0))/_xlfn.XLOOKUP(F1366,Apuração!A:A,Apuração!B:B)&gt;=1.15,1.15,SUM(IFERROR(IF(INDEX(AW1366:INDEX(AW1366:BH1366, MATCH(2, 1/(AW1366:BH1366&lt;&gt;""), 1)-1), ROW(INDIRECT("1:" &amp; MATCH(2, 1/(AW1366:BH1366&lt;&gt;""), 1)-1))) &gt;= 115%, 115%, INDEX(AW1366:INDEX(AW1366:BH1366, MATCH(2, 1/(AW1366:BH1366&lt;&gt;""), 1)-1), ROW(INDIRECT("1:" &amp; MATCH(2, 1/(AW1366:BH1366&lt;&gt;""), 1)-1)))), 0))/_xlfn.XLOOKUP(F1366,Apuração!A:A,Apuração!B:B))</f>
        <v>0</v>
      </c>
      <c r="BM1366" s="55" cm="1">
        <f t="array" ref="BM1366">IFERROR(
   INDEX($AW$1:$BH$1,
      _xlfn.AGGREGATE(14, 6, COLUMN($AW$1:$BH$1)/(AW1366:BH1366&lt;&gt;""), 2) - COLUMN($AW$1) + 1
   ),
"")</f>
        <v>46082</v>
      </c>
      <c r="BN1366" s="55" cm="1">
        <f t="array" ref="BN1366">IFERROR(INDEX($AW$1:$BH$1,1,MATCH(2,1/(AW1366:BH1366&lt;&gt;""))),"")</f>
        <v>46113</v>
      </c>
      <c r="BO1366" s="53">
        <f ca="1">IFERROR(_xlfn.XLOOKUP(F1366,Apuração!A:A,Apuração!C:C)/_xlfn.XLOOKUP(F1366,Apuração!A:A,Apuração!B:B),0)</f>
        <v>0</v>
      </c>
      <c r="BP1366" s="53">
        <f ca="1">IFERROR(_xlfn.XLOOKUP(F1366,Apuração!A:A,Apuração!D:D)/_xlfn.XLOOKUP(F1366,Apuração!A:A,Apuração!B:B),0)</f>
        <v>0</v>
      </c>
      <c r="BQ1366" s="53">
        <f ca="1">IF(BK1366&gt;=BO1366,0,_xlfn.XLOOKUP(F1366,Apuração!A:A,Apuração!B:B)*(BO1366 + (1/_xlfn.XLOOKUP(F1366,Apuração!A:A,Apuração!B:B)) - BK1366))</f>
        <v>0</v>
      </c>
      <c r="BR1366" s="85">
        <f t="shared" ca="1" si="1627"/>
        <v>0</v>
      </c>
      <c r="BS1366" s="53">
        <f ca="1">IFERROR((_xlfn.XLOOKUP(F1366,Apuração!A:A,Apuração!C:C)+1)/_xlfn.XLOOKUP(F1366,Apuração!A:A,Apuração!B:B),0)</f>
        <v>0.14285714285714285</v>
      </c>
    </row>
    <row r="1367" spans="1:71" ht="25.95" hidden="1" customHeight="1" x14ac:dyDescent="0.3">
      <c r="A1367" s="23" t="s">
        <v>134</v>
      </c>
      <c r="B1367" s="4" t="s">
        <v>174</v>
      </c>
      <c r="C1367" s="5" t="s">
        <v>209</v>
      </c>
      <c r="D1367" s="5" t="s">
        <v>211</v>
      </c>
      <c r="E1367" s="4" t="s">
        <v>96</v>
      </c>
      <c r="F1367" s="4" t="str" cm="1">
        <f t="array" ref="F1367">_xlfn.IFS(
AG1367 &lt;&gt; "", "Jan-Dez/26",
AH1367 &lt;&gt; "", "Fev-Dez/26",
AI1367 &lt;&gt; "", "Mar-Dez/26", AJ1367 &lt;&gt; "", "Abr-Dez/26",
TRUE, "A partir de Junho"
)</f>
        <v>A partir de Junho</v>
      </c>
      <c r="G1367" s="4" t="s">
        <v>62</v>
      </c>
      <c r="H1367" s="7" t="s">
        <v>38</v>
      </c>
      <c r="I1367" s="8" t="s">
        <v>171</v>
      </c>
      <c r="J1367" s="8" t="str" cm="1">
        <f t="array" aca="1" ref="J1367" ca="1">_xlfn.LET(
  _xlpm.actual_value_month, INDEX(T1367:AE1367, MATCH(DATE(YEAR(TODAY()), MONTH(TODAY()), 1), $T$1:$AE$1, 0)),
  IF(_xlpm.actual_value_month &lt;&gt; "",_xlpm.actual_value_month &amp; " ações mensais", "")
)</f>
        <v/>
      </c>
      <c r="K1367" s="8" t="str" cm="1">
        <f t="array" ref="K1367">_xlfn.LET(
    _xlpm.sum_month, SUM(T1367:AE1367),
    IF(_xlpm.sum_month = 0, "", _xlpm.sum_month &amp; " colaboradores impactados no ano")
)</f>
        <v/>
      </c>
      <c r="L1367" s="9" t="s">
        <v>172</v>
      </c>
      <c r="M1367" s="24">
        <v>1</v>
      </c>
      <c r="N1367" s="5" t="s">
        <v>42</v>
      </c>
      <c r="O1367" s="5" t="s">
        <v>43</v>
      </c>
      <c r="P1367" s="10" t="s">
        <v>44</v>
      </c>
      <c r="Q1367" s="10" t="s">
        <v>72</v>
      </c>
      <c r="R1367" s="11" t="s">
        <v>66</v>
      </c>
      <c r="S1367" s="11" t="s">
        <v>67</v>
      </c>
      <c r="T1367" s="22"/>
      <c r="U1367" s="22"/>
      <c r="V1367" s="22"/>
      <c r="W1367" s="22"/>
      <c r="X1367" s="22"/>
      <c r="Y1367" s="22"/>
      <c r="Z1367" s="22"/>
      <c r="AA1367" s="22"/>
      <c r="AB1367" s="22"/>
      <c r="AC1367" s="22"/>
      <c r="AD1367" s="22"/>
      <c r="AE1367" s="22"/>
      <c r="AG1367" s="71"/>
      <c r="AH1367" s="71"/>
      <c r="AI1367" s="71"/>
      <c r="AJ1367" s="71"/>
      <c r="AK1367" s="71"/>
      <c r="AL1367" s="71"/>
      <c r="AM1367" s="71"/>
      <c r="AN1367" s="71"/>
      <c r="AO1367" s="71"/>
      <c r="AP1367" s="71"/>
      <c r="AQ1367" s="71"/>
      <c r="AR1367" s="71"/>
      <c r="AS1367" s="94">
        <f t="shared" ca="1" si="1620"/>
        <v>0</v>
      </c>
      <c r="AT1367" s="95">
        <f t="shared" si="1621"/>
        <v>0</v>
      </c>
      <c r="AU1367" s="97">
        <f t="shared" si="1622"/>
        <v>0</v>
      </c>
      <c r="AW1367" s="51">
        <f t="shared" si="1623"/>
        <v>0</v>
      </c>
      <c r="AX1367" s="51">
        <f t="shared" si="1624"/>
        <v>0</v>
      </c>
      <c r="AY1367" s="51">
        <f t="shared" si="1625"/>
        <v>0</v>
      </c>
      <c r="AZ1367" s="51">
        <f t="shared" si="1626"/>
        <v>0</v>
      </c>
      <c r="BA1367" s="51"/>
      <c r="BB1367" s="51"/>
      <c r="BC1367" s="51"/>
      <c r="BD1367" s="51"/>
      <c r="BE1367" s="51"/>
      <c r="BF1367" s="51"/>
      <c r="BG1367" s="51"/>
      <c r="BH1367" s="51"/>
      <c r="BI1367" s="65" cm="1">
        <f t="array" ref="BI1367">IFERROR(INDEX(AW1367:BH1367,1,MATCH(2,1/(AW1367:BH1367&lt;&gt;""))),"")</f>
        <v>0</v>
      </c>
      <c r="BJ1367" s="68" cm="1">
        <f t="array" ref="BJ1367">IF(BM1367 = "", "",IFERROR(INDEX(AW1367:BH1367,1,MATCH(2,1/(AW1367:BH1367&lt;&gt;""),1)-1),""))</f>
        <v>0</v>
      </c>
      <c r="BK1367" s="58">
        <f>IF((IF(AW1367&gt;=115%,115%,AW1367) + IF(AX1367&gt;=115%,115%,AX1367) + IF(AY1367&gt;=115%,115%,AY1367) + (IF(AZ1367&gt;=115%,115%,AZ1367) + IF(BA1367&gt;=133%,133%,BA1367) + IF(BB1367&gt;=115%,115%,BB1367) + IF(BC1367&gt;=115%,115%,BC1367) + IF(BD1367&gt;=115%,115%,BD1367) + IF(BE1367&gt;=115%,115%,BE1367) + IF(BF1367&gt;=115%,115%,BF1367) + IF(BG1367&gt;=115%,115%,BG1367) + IF(BH1367&gt;=115%,115%,BH1367)))/_xlfn.XLOOKUP(F1367,Apuração!A:A,Apuração!B:B)&gt;=1.15,1.15,((IF(AZ1367&gt;=115%,115%,AZ1367) + IF(AX1367&gt;=115%,115%,AX1367) + IF(AY1367&gt;=115%,115%,AY1367) + (IF(AW1367&gt;=115%,115%,AW1367) + IF(BA1367&gt;=133%,133%,BA1367) + IF(BB1367&gt;=115%,115%,BB1367) + IF(BC1367&gt;=115%,115%,BC1367) + IF(BD1367&gt;=115%,115%,BD1367) + IF(BE1367&gt;=115%,115%,BE1367) + IF(BF1367&gt;=115%,115%,BF1367) + IF(BG1367&gt;=115%,115%,BG1367) + IF(BH1367&gt;=115%,115%,BH1367)))/_xlfn.XLOOKUP(F1367,Apuração!A:A,Apuração!B:B)))</f>
        <v>0</v>
      </c>
      <c r="BL1367" s="58" cm="1">
        <f t="array" aca="1" ref="BL1367" ca="1">IF(SUM(IFERROR(IF(INDEX(AW1367:INDEX(AW1367:BH1367, MATCH(2, 1/(AW1367:BH1367&lt;&gt;""), 1)-1), ROW(INDIRECT("1:" &amp; MATCH(2, 1/(AW1367:BH1367&lt;&gt;""), 1)-1))) &gt;= 115%, 115%, INDEX(AW1367:INDEX(AW1367:BH1367, MATCH(2, 1/(AW1367:BH1367&lt;&gt;""), 1)-1), ROW(INDIRECT("1:" &amp; MATCH(2, 1/(AW1367:BH1367&lt;&gt;""), 1)-1)))), 0))/_xlfn.XLOOKUP(F1367,Apuração!A:A,Apuração!B:B)&gt;=1.15,1.15,SUM(IFERROR(IF(INDEX(AW1367:INDEX(AW1367:BH1367, MATCH(2, 1/(AW1367:BH1367&lt;&gt;""), 1)-1), ROW(INDIRECT("1:" &amp; MATCH(2, 1/(AW1367:BH1367&lt;&gt;""), 1)-1))) &gt;= 115%, 115%, INDEX(AW1367:INDEX(AW1367:BH1367, MATCH(2, 1/(AW1367:BH1367&lt;&gt;""), 1)-1), ROW(INDIRECT("1:" &amp; MATCH(2, 1/(AW1367:BH1367&lt;&gt;""), 1)-1)))), 0))/_xlfn.XLOOKUP(F1367,Apuração!A:A,Apuração!B:B))</f>
        <v>0</v>
      </c>
      <c r="BM1367" s="55" cm="1">
        <f t="array" ref="BM1367">IFERROR(
   INDEX($AW$1:$BH$1,
      _xlfn.AGGREGATE(14, 6, COLUMN($AW$1:$BH$1)/(AW1367:BH1367&lt;&gt;""), 2) - COLUMN($AW$1) + 1
   ),
"")</f>
        <v>46082</v>
      </c>
      <c r="BN1367" s="55" cm="1">
        <f t="array" ref="BN1367">IFERROR(INDEX($AW$1:$BH$1,1,MATCH(2,1/(AW1367:BH1367&lt;&gt;""))),"")</f>
        <v>46113</v>
      </c>
      <c r="BO1367" s="53">
        <f ca="1">IFERROR(_xlfn.XLOOKUP(F1367,Apuração!A:A,Apuração!C:C)/_xlfn.XLOOKUP(F1367,Apuração!A:A,Apuração!B:B),0)</f>
        <v>0</v>
      </c>
      <c r="BP1367" s="53">
        <f ca="1">IFERROR(_xlfn.XLOOKUP(F1367,Apuração!A:A,Apuração!D:D)/_xlfn.XLOOKUP(F1367,Apuração!A:A,Apuração!B:B),0)</f>
        <v>0</v>
      </c>
      <c r="BQ1367" s="53">
        <f ca="1">IF(BK1367&gt;=BO1367,0,_xlfn.XLOOKUP(F1367,Apuração!A:A,Apuração!B:B)*(BO1367 + (1/_xlfn.XLOOKUP(F1367,Apuração!A:A,Apuração!B:B)) - BK1367))</f>
        <v>0</v>
      </c>
      <c r="BR1367" s="85">
        <f t="shared" ca="1" si="1627"/>
        <v>0</v>
      </c>
      <c r="BS1367" s="53">
        <f ca="1">IFERROR((_xlfn.XLOOKUP(F1367,Apuração!A:A,Apuração!C:C)+1)/_xlfn.XLOOKUP(F1367,Apuração!A:A,Apuração!B:B),0)</f>
        <v>0.14285714285714285</v>
      </c>
    </row>
    <row r="1368" spans="1:71" ht="25.95" hidden="1" customHeight="1" x14ac:dyDescent="0.3">
      <c r="A1368" s="23" t="s">
        <v>134</v>
      </c>
      <c r="B1368" s="4" t="s">
        <v>174</v>
      </c>
      <c r="C1368" s="5" t="s">
        <v>209</v>
      </c>
      <c r="D1368" s="5" t="s">
        <v>212</v>
      </c>
      <c r="E1368" s="4" t="s">
        <v>96</v>
      </c>
      <c r="F1368" s="4" t="str" cm="1">
        <f t="array" ref="F1368">_xlfn.IFS(
AG1368 &lt;&gt; "", "Jan-Dez/26",
AH1368 &lt;&gt; "", "Fev-Dez/26",
AI1368 &lt;&gt; "", "Mar-Dez/26", AJ1368 &lt;&gt; "", "Abr-Dez/26",
TRUE, "A partir de Junho"
)</f>
        <v>A partir de Junho</v>
      </c>
      <c r="G1368" s="4" t="s">
        <v>62</v>
      </c>
      <c r="H1368" s="7" t="s">
        <v>38</v>
      </c>
      <c r="I1368" s="8" t="s">
        <v>171</v>
      </c>
      <c r="J1368" s="8" t="str" cm="1">
        <f t="array" aca="1" ref="J1368" ca="1">_xlfn.LET(
  _xlpm.actual_value_month, INDEX(T1368:AE1368, MATCH(DATE(YEAR(TODAY()), MONTH(TODAY()), 1), $T$1:$AE$1, 0)),
  IF(_xlpm.actual_value_month &lt;&gt; "",_xlpm.actual_value_month &amp; " ações mensais", "")
)</f>
        <v/>
      </c>
      <c r="K1368" s="8" t="str" cm="1">
        <f t="array" ref="K1368">_xlfn.LET(
    _xlpm.sum_month, SUM(T1368:AE1368),
    IF(_xlpm.sum_month = 0, "", _xlpm.sum_month &amp; " colaboradores impactados no ano")
)</f>
        <v/>
      </c>
      <c r="L1368" s="9" t="s">
        <v>172</v>
      </c>
      <c r="M1368" s="24">
        <v>1</v>
      </c>
      <c r="N1368" s="5" t="s">
        <v>42</v>
      </c>
      <c r="O1368" s="5" t="s">
        <v>43</v>
      </c>
      <c r="P1368" s="10" t="s">
        <v>44</v>
      </c>
      <c r="Q1368" s="10" t="s">
        <v>72</v>
      </c>
      <c r="R1368" s="11" t="s">
        <v>66</v>
      </c>
      <c r="S1368" s="11" t="s">
        <v>67</v>
      </c>
      <c r="T1368" s="22"/>
      <c r="U1368" s="22"/>
      <c r="V1368" s="22"/>
      <c r="W1368" s="22"/>
      <c r="X1368" s="22"/>
      <c r="Y1368" s="22"/>
      <c r="Z1368" s="22"/>
      <c r="AA1368" s="22"/>
      <c r="AB1368" s="22"/>
      <c r="AC1368" s="22"/>
      <c r="AD1368" s="22"/>
      <c r="AE1368" s="22"/>
      <c r="AG1368" s="71"/>
      <c r="AH1368" s="71"/>
      <c r="AI1368" s="71"/>
      <c r="AJ1368" s="71"/>
      <c r="AK1368" s="71"/>
      <c r="AL1368" s="71"/>
      <c r="AM1368" s="71"/>
      <c r="AN1368" s="71"/>
      <c r="AO1368" s="71"/>
      <c r="AP1368" s="71"/>
      <c r="AQ1368" s="71"/>
      <c r="AR1368" s="71"/>
      <c r="AS1368" s="94">
        <f t="shared" ca="1" si="1620"/>
        <v>0</v>
      </c>
      <c r="AT1368" s="95">
        <f t="shared" si="1621"/>
        <v>0</v>
      </c>
      <c r="AU1368" s="97">
        <f t="shared" si="1622"/>
        <v>0</v>
      </c>
      <c r="AW1368" s="51">
        <f t="shared" si="1623"/>
        <v>0</v>
      </c>
      <c r="AX1368" s="51">
        <f t="shared" si="1624"/>
        <v>0</v>
      </c>
      <c r="AY1368" s="51">
        <f t="shared" si="1625"/>
        <v>0</v>
      </c>
      <c r="AZ1368" s="51">
        <f t="shared" si="1626"/>
        <v>0</v>
      </c>
      <c r="BA1368" s="51"/>
      <c r="BB1368" s="51"/>
      <c r="BC1368" s="51"/>
      <c r="BD1368" s="51"/>
      <c r="BE1368" s="51"/>
      <c r="BF1368" s="51"/>
      <c r="BG1368" s="51"/>
      <c r="BH1368" s="51"/>
      <c r="BI1368" s="65" cm="1">
        <f t="array" ref="BI1368">IFERROR(INDEX(AW1368:BH1368,1,MATCH(2,1/(AW1368:BH1368&lt;&gt;""))),"")</f>
        <v>0</v>
      </c>
      <c r="BJ1368" s="68" cm="1">
        <f t="array" ref="BJ1368">IF(BM1368 = "", "",IFERROR(INDEX(AW1368:BH1368,1,MATCH(2,1/(AW1368:BH1368&lt;&gt;""),1)-1),""))</f>
        <v>0</v>
      </c>
      <c r="BK1368" s="58">
        <f>IF((IF(AW1368&gt;=115%,115%,AW1368) + IF(AX1368&gt;=115%,115%,AX1368) + IF(AY1368&gt;=115%,115%,AY1368) + (IF(AZ1368&gt;=115%,115%,AZ1368) + IF(BA1368&gt;=133%,133%,BA1368) + IF(BB1368&gt;=115%,115%,BB1368) + IF(BC1368&gt;=115%,115%,BC1368) + IF(BD1368&gt;=115%,115%,BD1368) + IF(BE1368&gt;=115%,115%,BE1368) + IF(BF1368&gt;=115%,115%,BF1368) + IF(BG1368&gt;=115%,115%,BG1368) + IF(BH1368&gt;=115%,115%,BH1368)))/_xlfn.XLOOKUP(F1368,Apuração!A:A,Apuração!B:B)&gt;=1.15,1.15,((IF(AZ1368&gt;=115%,115%,AZ1368) + IF(AX1368&gt;=115%,115%,AX1368) + IF(AY1368&gt;=115%,115%,AY1368) + (IF(AW1368&gt;=115%,115%,AW1368) + IF(BA1368&gt;=133%,133%,BA1368) + IF(BB1368&gt;=115%,115%,BB1368) + IF(BC1368&gt;=115%,115%,BC1368) + IF(BD1368&gt;=115%,115%,BD1368) + IF(BE1368&gt;=115%,115%,BE1368) + IF(BF1368&gt;=115%,115%,BF1368) + IF(BG1368&gt;=115%,115%,BG1368) + IF(BH1368&gt;=115%,115%,BH1368)))/_xlfn.XLOOKUP(F1368,Apuração!A:A,Apuração!B:B)))</f>
        <v>0</v>
      </c>
      <c r="BL1368" s="58" cm="1">
        <f t="array" aca="1" ref="BL1368" ca="1">IF(SUM(IFERROR(IF(INDEX(AW1368:INDEX(AW1368:BH1368, MATCH(2, 1/(AW1368:BH1368&lt;&gt;""), 1)-1), ROW(INDIRECT("1:" &amp; MATCH(2, 1/(AW1368:BH1368&lt;&gt;""), 1)-1))) &gt;= 115%, 115%, INDEX(AW1368:INDEX(AW1368:BH1368, MATCH(2, 1/(AW1368:BH1368&lt;&gt;""), 1)-1), ROW(INDIRECT("1:" &amp; MATCH(2, 1/(AW1368:BH1368&lt;&gt;""), 1)-1)))), 0))/_xlfn.XLOOKUP(F1368,Apuração!A:A,Apuração!B:B)&gt;=1.15,1.15,SUM(IFERROR(IF(INDEX(AW1368:INDEX(AW1368:BH1368, MATCH(2, 1/(AW1368:BH1368&lt;&gt;""), 1)-1), ROW(INDIRECT("1:" &amp; MATCH(2, 1/(AW1368:BH1368&lt;&gt;""), 1)-1))) &gt;= 115%, 115%, INDEX(AW1368:INDEX(AW1368:BH1368, MATCH(2, 1/(AW1368:BH1368&lt;&gt;""), 1)-1), ROW(INDIRECT("1:" &amp; MATCH(2, 1/(AW1368:BH1368&lt;&gt;""), 1)-1)))), 0))/_xlfn.XLOOKUP(F1368,Apuração!A:A,Apuração!B:B))</f>
        <v>0</v>
      </c>
      <c r="BM1368" s="55" cm="1">
        <f t="array" ref="BM1368">IFERROR(
   INDEX($AW$1:$BH$1,
      _xlfn.AGGREGATE(14, 6, COLUMN($AW$1:$BH$1)/(AW1368:BH1368&lt;&gt;""), 2) - COLUMN($AW$1) + 1
   ),
"")</f>
        <v>46082</v>
      </c>
      <c r="BN1368" s="55" cm="1">
        <f t="array" ref="BN1368">IFERROR(INDEX($AW$1:$BH$1,1,MATCH(2,1/(AW1368:BH1368&lt;&gt;""))),"")</f>
        <v>46113</v>
      </c>
      <c r="BO1368" s="53">
        <f ca="1">IFERROR(_xlfn.XLOOKUP(F1368,Apuração!A:A,Apuração!C:C)/_xlfn.XLOOKUP(F1368,Apuração!A:A,Apuração!B:B),0)</f>
        <v>0</v>
      </c>
      <c r="BP1368" s="53">
        <f ca="1">IFERROR(_xlfn.XLOOKUP(F1368,Apuração!A:A,Apuração!D:D)/_xlfn.XLOOKUP(F1368,Apuração!A:A,Apuração!B:B),0)</f>
        <v>0</v>
      </c>
      <c r="BQ1368" s="53">
        <f ca="1">IF(BK1368&gt;=BO1368,0,_xlfn.XLOOKUP(F1368,Apuração!A:A,Apuração!B:B)*(BO1368 + (1/_xlfn.XLOOKUP(F1368,Apuração!A:A,Apuração!B:B)) - BK1368))</f>
        <v>0</v>
      </c>
      <c r="BR1368" s="85">
        <f t="shared" ca="1" si="1627"/>
        <v>0</v>
      </c>
      <c r="BS1368" s="53">
        <f ca="1">IFERROR((_xlfn.XLOOKUP(F1368,Apuração!A:A,Apuração!C:C)+1)/_xlfn.XLOOKUP(F1368,Apuração!A:A,Apuração!B:B),0)</f>
        <v>0.14285714285714285</v>
      </c>
    </row>
    <row r="1369" spans="1:71" ht="25.95" hidden="1" customHeight="1" x14ac:dyDescent="0.3">
      <c r="A1369" s="23" t="s">
        <v>134</v>
      </c>
      <c r="B1369" s="4" t="s">
        <v>174</v>
      </c>
      <c r="C1369" s="5" t="s">
        <v>209</v>
      </c>
      <c r="D1369" s="5" t="s">
        <v>213</v>
      </c>
      <c r="E1369" s="4" t="s">
        <v>96</v>
      </c>
      <c r="F1369" s="4" t="str" cm="1">
        <f t="array" ref="F1369">_xlfn.IFS(
AG1369 &lt;&gt; "", "Jan-Dez/26",
AH1369 &lt;&gt; "", "Fev-Dez/26",
AI1369 &lt;&gt; "", "Mar-Dez/26", AJ1369 &lt;&gt; "", "Abr-Dez/26",
TRUE, "A partir de Junho"
)</f>
        <v>A partir de Junho</v>
      </c>
      <c r="G1369" s="4" t="s">
        <v>62</v>
      </c>
      <c r="H1369" s="7" t="s">
        <v>38</v>
      </c>
      <c r="I1369" s="8" t="s">
        <v>171</v>
      </c>
      <c r="J1369" s="8" t="str" cm="1">
        <f t="array" aca="1" ref="J1369" ca="1">_xlfn.LET(
  _xlpm.actual_value_month, INDEX(T1369:AE1369, MATCH(DATE(YEAR(TODAY()), MONTH(TODAY()), 1), $T$1:$AE$1, 0)),
  IF(_xlpm.actual_value_month &lt;&gt; "",_xlpm.actual_value_month &amp; " ações mensais", "")
)</f>
        <v/>
      </c>
      <c r="K1369" s="8" t="str" cm="1">
        <f t="array" ref="K1369">_xlfn.LET(
    _xlpm.sum_month, SUM(T1369:AE1369),
    IF(_xlpm.sum_month = 0, "", _xlpm.sum_month &amp; " colaboradores impactados no ano")
)</f>
        <v/>
      </c>
      <c r="L1369" s="9" t="s">
        <v>172</v>
      </c>
      <c r="M1369" s="24">
        <v>1</v>
      </c>
      <c r="N1369" s="5" t="s">
        <v>42</v>
      </c>
      <c r="O1369" s="5" t="s">
        <v>43</v>
      </c>
      <c r="P1369" s="10" t="s">
        <v>44</v>
      </c>
      <c r="Q1369" s="10" t="s">
        <v>72</v>
      </c>
      <c r="R1369" s="11" t="s">
        <v>66</v>
      </c>
      <c r="S1369" s="11" t="s">
        <v>67</v>
      </c>
      <c r="T1369" s="22"/>
      <c r="U1369" s="22"/>
      <c r="V1369" s="22"/>
      <c r="W1369" s="22"/>
      <c r="X1369" s="22"/>
      <c r="Y1369" s="22"/>
      <c r="Z1369" s="22"/>
      <c r="AA1369" s="22"/>
      <c r="AB1369" s="22"/>
      <c r="AC1369" s="22"/>
      <c r="AD1369" s="22"/>
      <c r="AE1369" s="22"/>
      <c r="AG1369" s="71"/>
      <c r="AH1369" s="71"/>
      <c r="AI1369" s="71"/>
      <c r="AJ1369" s="71"/>
      <c r="AK1369" s="71"/>
      <c r="AL1369" s="71"/>
      <c r="AM1369" s="71"/>
      <c r="AN1369" s="71"/>
      <c r="AO1369" s="71"/>
      <c r="AP1369" s="71"/>
      <c r="AQ1369" s="71"/>
      <c r="AR1369" s="71"/>
      <c r="AS1369" s="94">
        <f t="shared" ca="1" si="1620"/>
        <v>0</v>
      </c>
      <c r="AT1369" s="95">
        <f t="shared" si="1621"/>
        <v>0</v>
      </c>
      <c r="AU1369" s="97">
        <f t="shared" si="1622"/>
        <v>0</v>
      </c>
      <c r="AW1369" s="51">
        <f t="shared" si="1623"/>
        <v>0</v>
      </c>
      <c r="AX1369" s="51">
        <f t="shared" si="1624"/>
        <v>0</v>
      </c>
      <c r="AY1369" s="51">
        <f t="shared" si="1625"/>
        <v>0</v>
      </c>
      <c r="AZ1369" s="51">
        <f t="shared" si="1626"/>
        <v>0</v>
      </c>
      <c r="BA1369" s="51"/>
      <c r="BB1369" s="51"/>
      <c r="BC1369" s="51"/>
      <c r="BD1369" s="51"/>
      <c r="BE1369" s="51"/>
      <c r="BF1369" s="51"/>
      <c r="BG1369" s="51"/>
      <c r="BH1369" s="51"/>
      <c r="BI1369" s="65" cm="1">
        <f t="array" ref="BI1369">IFERROR(INDEX(AW1369:BH1369,1,MATCH(2,1/(AW1369:BH1369&lt;&gt;""))),"")</f>
        <v>0</v>
      </c>
      <c r="BJ1369" s="68" cm="1">
        <f t="array" ref="BJ1369">IF(BM1369 = "", "",IFERROR(INDEX(AW1369:BH1369,1,MATCH(2,1/(AW1369:BH1369&lt;&gt;""),1)-1),""))</f>
        <v>0</v>
      </c>
      <c r="BK1369" s="58">
        <f>IF((IF(AW1369&gt;=115%,115%,AW1369) + IF(AX1369&gt;=115%,115%,AX1369) + IF(AY1369&gt;=115%,115%,AY1369) + (IF(AZ1369&gt;=115%,115%,AZ1369) + IF(BA1369&gt;=133%,133%,BA1369) + IF(BB1369&gt;=115%,115%,BB1369) + IF(BC1369&gt;=115%,115%,BC1369) + IF(BD1369&gt;=115%,115%,BD1369) + IF(BE1369&gt;=115%,115%,BE1369) + IF(BF1369&gt;=115%,115%,BF1369) + IF(BG1369&gt;=115%,115%,BG1369) + IF(BH1369&gt;=115%,115%,BH1369)))/_xlfn.XLOOKUP(F1369,Apuração!A:A,Apuração!B:B)&gt;=1.15,1.15,((IF(AZ1369&gt;=115%,115%,AZ1369) + IF(AX1369&gt;=115%,115%,AX1369) + IF(AY1369&gt;=115%,115%,AY1369) + (IF(AW1369&gt;=115%,115%,AW1369) + IF(BA1369&gt;=133%,133%,BA1369) + IF(BB1369&gt;=115%,115%,BB1369) + IF(BC1369&gt;=115%,115%,BC1369) + IF(BD1369&gt;=115%,115%,BD1369) + IF(BE1369&gt;=115%,115%,BE1369) + IF(BF1369&gt;=115%,115%,BF1369) + IF(BG1369&gt;=115%,115%,BG1369) + IF(BH1369&gt;=115%,115%,BH1369)))/_xlfn.XLOOKUP(F1369,Apuração!A:A,Apuração!B:B)))</f>
        <v>0</v>
      </c>
      <c r="BL1369" s="58" cm="1">
        <f t="array" aca="1" ref="BL1369" ca="1">IF(SUM(IFERROR(IF(INDEX(AW1369:INDEX(AW1369:BH1369, MATCH(2, 1/(AW1369:BH1369&lt;&gt;""), 1)-1), ROW(INDIRECT("1:" &amp; MATCH(2, 1/(AW1369:BH1369&lt;&gt;""), 1)-1))) &gt;= 115%, 115%, INDEX(AW1369:INDEX(AW1369:BH1369, MATCH(2, 1/(AW1369:BH1369&lt;&gt;""), 1)-1), ROW(INDIRECT("1:" &amp; MATCH(2, 1/(AW1369:BH1369&lt;&gt;""), 1)-1)))), 0))/_xlfn.XLOOKUP(F1369,Apuração!A:A,Apuração!B:B)&gt;=1.15,1.15,SUM(IFERROR(IF(INDEX(AW1369:INDEX(AW1369:BH1369, MATCH(2, 1/(AW1369:BH1369&lt;&gt;""), 1)-1), ROW(INDIRECT("1:" &amp; MATCH(2, 1/(AW1369:BH1369&lt;&gt;""), 1)-1))) &gt;= 115%, 115%, INDEX(AW1369:INDEX(AW1369:BH1369, MATCH(2, 1/(AW1369:BH1369&lt;&gt;""), 1)-1), ROW(INDIRECT("1:" &amp; MATCH(2, 1/(AW1369:BH1369&lt;&gt;""), 1)-1)))), 0))/_xlfn.XLOOKUP(F1369,Apuração!A:A,Apuração!B:B))</f>
        <v>0</v>
      </c>
      <c r="BM1369" s="55" cm="1">
        <f t="array" ref="BM1369">IFERROR(
   INDEX($AW$1:$BH$1,
      _xlfn.AGGREGATE(14, 6, COLUMN($AW$1:$BH$1)/(AW1369:BH1369&lt;&gt;""), 2) - COLUMN($AW$1) + 1
   ),
"")</f>
        <v>46082</v>
      </c>
      <c r="BN1369" s="55" cm="1">
        <f t="array" ref="BN1369">IFERROR(INDEX($AW$1:$BH$1,1,MATCH(2,1/(AW1369:BH1369&lt;&gt;""))),"")</f>
        <v>46113</v>
      </c>
      <c r="BO1369" s="53">
        <f ca="1">IFERROR(_xlfn.XLOOKUP(F1369,Apuração!A:A,Apuração!C:C)/_xlfn.XLOOKUP(F1369,Apuração!A:A,Apuração!B:B),0)</f>
        <v>0</v>
      </c>
      <c r="BP1369" s="53">
        <f ca="1">IFERROR(_xlfn.XLOOKUP(F1369,Apuração!A:A,Apuração!D:D)/_xlfn.XLOOKUP(F1369,Apuração!A:A,Apuração!B:B),0)</f>
        <v>0</v>
      </c>
      <c r="BQ1369" s="53">
        <f ca="1">IF(BK1369&gt;=BO1369,0,_xlfn.XLOOKUP(F1369,Apuração!A:A,Apuração!B:B)*(BO1369 + (1/_xlfn.XLOOKUP(F1369,Apuração!A:A,Apuração!B:B)) - BK1369))</f>
        <v>0</v>
      </c>
      <c r="BR1369" s="85">
        <f t="shared" ca="1" si="1627"/>
        <v>0</v>
      </c>
      <c r="BS1369" s="53">
        <f ca="1">IFERROR((_xlfn.XLOOKUP(F1369,Apuração!A:A,Apuração!C:C)+1)/_xlfn.XLOOKUP(F1369,Apuração!A:A,Apuração!B:B),0)</f>
        <v>0.14285714285714285</v>
      </c>
    </row>
    <row r="1370" spans="1:71" ht="25.95" hidden="1" customHeight="1" x14ac:dyDescent="0.3">
      <c r="A1370" s="33" t="s">
        <v>175</v>
      </c>
      <c r="B1370" s="4" t="s">
        <v>176</v>
      </c>
      <c r="C1370" s="5" t="s">
        <v>209</v>
      </c>
      <c r="D1370" s="5" t="s">
        <v>36</v>
      </c>
      <c r="E1370" s="4" t="str" cm="1">
        <f t="array" ref="E1370">_xlfn.IFS(
F1370 = "A partir de Abril", "Aguardando Execução na Distribuidora",
A1370 = "CAPACITAÇÃO", "Em execução no Corporativo",
TRUE, "Em Execução na Distribuidora"
)</f>
        <v>Em execução no Corporativo</v>
      </c>
      <c r="F1370" s="4" t="str" cm="1">
        <f t="array" ref="F1370">_xlfn.IFS(
AG1370 &lt;&gt; "", "Jan-Dez/26",
AH1370 &lt;&gt; "", "Fev-Dez/26",
AI1370 &lt;&gt; "", "Mar-Dez/26", AJ1370 &lt;&gt; "", "Abr-Dez/26",
TRUE, "A partir de Junho"
)</f>
        <v>Mar-Dez/26</v>
      </c>
      <c r="G1370" s="4" t="s">
        <v>37</v>
      </c>
      <c r="H1370" s="7" t="s">
        <v>38</v>
      </c>
      <c r="I1370" s="8" t="s">
        <v>177</v>
      </c>
      <c r="J1370" s="8" t="str" cm="1">
        <f t="array" aca="1" ref="J1370" ca="1">_xlfn.LET(
  _xlpm.actual_value_month, INDEX(T1370:AE1370, MATCH(DATE(YEAR(TODAY()), MONTH(TODAY()), 1), $T$1:$AE$1, 0)),
  IF(_xlpm.actual_value_month &lt;&gt; "", _xlpm.actual_value_month &amp; " certificados mensais", "")
)</f>
        <v>2569 certificados mensais</v>
      </c>
      <c r="K1370" s="8" t="str">
        <f t="shared" ref="K1370:K1375" si="1628">_xlfn.LET(
    _xlpm.month, AD1370,
    IF(_xlpm.month = 0, "", _xlpm.month &amp; " certificado anuais.")
)</f>
        <v>4015 certificado anuais.</v>
      </c>
      <c r="L1370" s="9" t="s">
        <v>178</v>
      </c>
      <c r="M1370" s="13">
        <v>1</v>
      </c>
      <c r="N1370" s="5" t="s">
        <v>42</v>
      </c>
      <c r="O1370" s="5" t="s">
        <v>43</v>
      </c>
      <c r="P1370" s="10" t="s">
        <v>44</v>
      </c>
      <c r="Q1370" s="10" t="s">
        <v>44</v>
      </c>
      <c r="R1370" s="11" t="s">
        <v>179</v>
      </c>
      <c r="S1370" s="11" t="s">
        <v>67</v>
      </c>
      <c r="T1370" s="22"/>
      <c r="U1370" s="22"/>
      <c r="V1370" s="22">
        <v>1571</v>
      </c>
      <c r="W1370" s="22">
        <v>1731</v>
      </c>
      <c r="X1370" s="22">
        <v>2159</v>
      </c>
      <c r="Y1370" s="22">
        <v>2569</v>
      </c>
      <c r="Z1370" s="22">
        <v>2962</v>
      </c>
      <c r="AA1370" s="22">
        <v>3324</v>
      </c>
      <c r="AB1370" s="22">
        <v>3652</v>
      </c>
      <c r="AC1370" s="22">
        <v>3901</v>
      </c>
      <c r="AD1370" s="22">
        <v>4015</v>
      </c>
      <c r="AE1370" s="22"/>
      <c r="AG1370" s="71"/>
      <c r="AH1370" s="71"/>
      <c r="AI1370" s="71">
        <v>1569</v>
      </c>
      <c r="AJ1370" s="71">
        <v>1568</v>
      </c>
      <c r="AK1370" s="71"/>
      <c r="AL1370" s="71"/>
      <c r="AM1370" s="71"/>
      <c r="AN1370" s="71"/>
      <c r="AO1370" s="71"/>
      <c r="AP1370" s="71"/>
      <c r="AQ1370" s="71"/>
      <c r="AR1370" s="71"/>
      <c r="AS1370" s="94" cm="1">
        <f t="array" ref="AS1370">IFERROR(INDEX(T1370:AE1370,1,MATCH(2,1/(T1370:AE1370&lt;&gt;""))),"")</f>
        <v>4015</v>
      </c>
      <c r="AT1370" s="95" cm="1">
        <f t="array" ref="AT1370">IFERROR(INDEX(AJ1370:AR1370,1,MATCH(2,1/(AJ1370:AR1370&lt;&gt;""))),"")</f>
        <v>1568</v>
      </c>
      <c r="AU1370" s="97">
        <f>AT1370</f>
        <v>1568</v>
      </c>
      <c r="AW1370" s="51">
        <f>IFERROR(IF(AG1370="",0,AG1370/$AD1370),0)</f>
        <v>0</v>
      </c>
      <c r="AX1370" s="51">
        <f>IFERROR(IF(AH1370="",0,AH1370/$AD1370),0)</f>
        <v>0</v>
      </c>
      <c r="AY1370" s="51">
        <f>IFERROR(IF(AI1370="",0,AI1370/$AD1370),0)</f>
        <v>0.39078455790784555</v>
      </c>
      <c r="AZ1370" s="51">
        <f>IFERROR(IF(AJ1370="",0,AJ1370/$AD1370),0)</f>
        <v>0.39053549190535491</v>
      </c>
      <c r="BA1370" s="51"/>
      <c r="BB1370" s="51"/>
      <c r="BC1370" s="51"/>
      <c r="BD1370" s="51"/>
      <c r="BE1370" s="51"/>
      <c r="BF1370" s="51"/>
      <c r="BG1370" s="51"/>
      <c r="BH1370" s="51"/>
      <c r="BI1370" s="65" cm="1">
        <f t="array" ref="BI1370">IFERROR(INDEX(AW1370:BH1370,1,MATCH(2,1/(AW1370:BH1370&lt;&gt;""))),"")</f>
        <v>0.39053549190535491</v>
      </c>
      <c r="BJ1370" s="68" cm="1">
        <f t="array" ref="BJ1370">IF(BM1370 = "", "",IFERROR(INDEX(AW1370:BH1370,1,MATCH(2,1/(AW1370:BH1370&lt;&gt;""),1)-1),""))</f>
        <v>0.39078455790784555</v>
      </c>
      <c r="BK1370" s="58" cm="1">
        <f t="array" ref="BK1370">IFERROR(INDEX(AW1370:BH1370,1,MATCH(2,1/(AW1370:BH1370&lt;&gt;""))),"")</f>
        <v>0.39053549190535491</v>
      </c>
      <c r="BL1370" s="58" cm="1">
        <f t="array" ref="BL1370">IFERROR(INDEX(AW1370:BH1370,1,MATCH(2,1/(AW1370:BH1370&lt;&gt;""),1)-1),"")</f>
        <v>0.39078455790784555</v>
      </c>
      <c r="BM1370" s="55" cm="1">
        <f t="array" ref="BM1370">IFERROR(
   INDEX($AW$1:$BH$1,
      _xlfn.AGGREGATE(14, 6, COLUMN($AW$1:$BH$1)/(AW1370:BH1370&lt;&gt;""), 2) - COLUMN($AW$1) + 1
   ),
"")</f>
        <v>46082</v>
      </c>
      <c r="BN1370" s="55" cm="1">
        <f t="array" ref="BN1370">IFERROR(INDEX($AW$1:$BH$1,1,MATCH(2,1/(AW1370:BH1370&lt;&gt;""))),"")</f>
        <v>46113</v>
      </c>
      <c r="BO1370" s="119" cm="1">
        <f t="array" aca="1" ref="BO1370" ca="1">_xlfn.LET(
    _xlpm.mes_num, MONTH(TODAY())-1,
    _xlpm.coluna_ajustada, IF(_xlpm.mes_num=0, 12, _xlpm.mes_num),
    _xlpm.realizado_mes_anterior, INDEX(T1370:AE1370, 1, _xlpm.coluna_ajustada),
    _xlpm.previsto_total, AD1370,
    _xlpm.realizado_mes_anterior / _xlpm.previsto_total
)</f>
        <v>0.53773349937733494</v>
      </c>
      <c r="BP1370" s="53">
        <f ca="1">IFERROR(_xlfn.XLOOKUP(F1370,Apuração!A:A,Apuração!D:D)/_xlfn.XLOOKUP(F1370,Apuração!A:A,Apuração!B:B),0)</f>
        <v>0.2</v>
      </c>
      <c r="BQ1370" s="53">
        <f ca="1">IF(BK1370&gt;=BO1370,0,_xlfn.XLOOKUP(F1370,Apuração!A:A,Apuração!B:B)*(BO1370 + (1/_xlfn.XLOOKUP(F1370,Apuração!A:A,Apuração!B:B)) - BK1370))</f>
        <v>2.4719800747198</v>
      </c>
      <c r="BR1370" s="85">
        <f ca="1">IF(BQ1370=0,0,BQ1370*Z1370)</f>
        <v>7322.0049813200476</v>
      </c>
      <c r="BS1370" s="53">
        <f ca="1">IFERROR((_xlfn.XLOOKUP(F1370,Apuração!A:A,Apuração!C:C)+1)/_xlfn.XLOOKUP(F1370,Apuração!A:A,Apuração!B:B),0)</f>
        <v>0.4</v>
      </c>
    </row>
    <row r="1371" spans="1:71" ht="25.95" hidden="1" customHeight="1" x14ac:dyDescent="0.3">
      <c r="A1371" s="33" t="s">
        <v>175</v>
      </c>
      <c r="B1371" s="4" t="s">
        <v>176</v>
      </c>
      <c r="C1371" s="5" t="s">
        <v>209</v>
      </c>
      <c r="D1371" s="5" t="s">
        <v>210</v>
      </c>
      <c r="E1371" s="4" t="str" cm="1">
        <f t="array" ref="E1371">_xlfn.IFS(
F1371 = "A partir de Abril", "Aguardando Execução na Distribuidora",
A1371 = "CAPACITAÇÃO", "Em execução no Corporativo",
TRUE, "Em Execução na Distribuidora"
)</f>
        <v>Em execução no Corporativo</v>
      </c>
      <c r="F1371" s="4" t="str" cm="1">
        <f t="array" ref="F1371">_xlfn.IFS(
AG1371 &lt;&gt; "", "Jan-Dez/26",
AH1371 &lt;&gt; "", "Fev-Dez/26",
AI1371 &lt;&gt; "", "Mar-Dez/26", AJ1371 &lt;&gt; "", "Abr-Dez/26",
TRUE, "A partir de Junho"
)</f>
        <v>Mar-Dez/26</v>
      </c>
      <c r="G1371" s="4" t="s">
        <v>37</v>
      </c>
      <c r="H1371" s="7" t="s">
        <v>38</v>
      </c>
      <c r="I1371" s="8" t="s">
        <v>177</v>
      </c>
      <c r="J1371" s="8" t="str" cm="1">
        <f t="array" aca="1" ref="J1371" ca="1">_xlfn.LET(
  _xlpm.actual_value_month, INDEX(T1371:AE1371, MATCH(DATE(YEAR(TODAY()), MONTH(TODAY()), 1), $T$1:$AE$1, 0)),
  IF(_xlpm.actual_value_month &lt;&gt; "", _xlpm.actual_value_month &amp; " certificados mensais", "")
)</f>
        <v>474 certificados mensais</v>
      </c>
      <c r="K1371" s="8" t="str">
        <f t="shared" si="1628"/>
        <v>795 certificado anuais.</v>
      </c>
      <c r="L1371" s="9" t="s">
        <v>178</v>
      </c>
      <c r="M1371" s="13">
        <v>1</v>
      </c>
      <c r="N1371" s="5" t="s">
        <v>42</v>
      </c>
      <c r="O1371" s="5" t="s">
        <v>43</v>
      </c>
      <c r="P1371" s="10" t="s">
        <v>44</v>
      </c>
      <c r="Q1371" s="10" t="s">
        <v>44</v>
      </c>
      <c r="R1371" s="11" t="s">
        <v>179</v>
      </c>
      <c r="S1371" s="11" t="s">
        <v>67</v>
      </c>
      <c r="T1371" s="22"/>
      <c r="U1371" s="22"/>
      <c r="V1371" s="22">
        <v>414</v>
      </c>
      <c r="W1371" s="22">
        <v>414</v>
      </c>
      <c r="X1371" s="22">
        <v>414</v>
      </c>
      <c r="Y1371" s="22">
        <v>474</v>
      </c>
      <c r="Z1371" s="22">
        <v>544</v>
      </c>
      <c r="AA1371" s="22">
        <v>611</v>
      </c>
      <c r="AB1371" s="22">
        <v>678</v>
      </c>
      <c r="AC1371" s="22">
        <v>736</v>
      </c>
      <c r="AD1371" s="22">
        <v>795</v>
      </c>
      <c r="AE1371" s="22"/>
      <c r="AG1371" s="71"/>
      <c r="AH1371" s="71"/>
      <c r="AI1371" s="82">
        <v>414</v>
      </c>
      <c r="AJ1371" s="82">
        <v>414</v>
      </c>
      <c r="AK1371" s="71"/>
      <c r="AL1371" s="71"/>
      <c r="AM1371" s="71"/>
      <c r="AN1371" s="71"/>
      <c r="AO1371" s="71"/>
      <c r="AP1371" s="71"/>
      <c r="AQ1371" s="71"/>
      <c r="AR1371" s="71"/>
      <c r="AS1371" s="94" cm="1">
        <f t="array" ref="AS1371">IFERROR(INDEX(T1371:AE1371,1,MATCH(2,1/(T1371:AE1371&lt;&gt;""))),"")</f>
        <v>795</v>
      </c>
      <c r="AT1371" s="95" cm="1">
        <f t="array" ref="AT1371">IFERROR(INDEX(AJ1371:AR1371,1,MATCH(2,1/(AJ1371:AR1371&lt;&gt;""))),"")</f>
        <v>414</v>
      </c>
      <c r="AU1371" s="97">
        <f t="shared" ref="AU1371:AU1375" si="1629">AT1371</f>
        <v>414</v>
      </c>
      <c r="AW1371" s="51">
        <f t="shared" ref="AW1371:AW1375" si="1630">IFERROR(IF(AG1371="",0,AG1371/$AD1371),0)</f>
        <v>0</v>
      </c>
      <c r="AX1371" s="51">
        <f t="shared" ref="AX1371:AX1375" si="1631">IFERROR(IF(AH1371="",0,AH1371/$AD1371),0)</f>
        <v>0</v>
      </c>
      <c r="AY1371" s="51">
        <f t="shared" ref="AY1371:AY1375" si="1632">IFERROR(IF(AI1371="",0,AI1371/$AD1371),0)</f>
        <v>0.52075471698113207</v>
      </c>
      <c r="AZ1371" s="51">
        <f t="shared" ref="AZ1371:AZ1375" si="1633">IFERROR(IF(AJ1371="",0,AJ1371/$AD1371),0)</f>
        <v>0.52075471698113207</v>
      </c>
      <c r="BA1371" s="51"/>
      <c r="BB1371" s="51"/>
      <c r="BC1371" s="51"/>
      <c r="BD1371" s="51"/>
      <c r="BE1371" s="51"/>
      <c r="BF1371" s="51"/>
      <c r="BG1371" s="51"/>
      <c r="BH1371" s="51"/>
      <c r="BI1371" s="65" cm="1">
        <f t="array" ref="BI1371">IFERROR(INDEX(AW1371:BH1371,1,MATCH(2,1/(AW1371:BH1371&lt;&gt;""))),"")</f>
        <v>0.52075471698113207</v>
      </c>
      <c r="BJ1371" s="68" cm="1">
        <f t="array" ref="BJ1371">IF(BM1371 = "", "",IFERROR(INDEX(AW1371:BH1371,1,MATCH(2,1/(AW1371:BH1371&lt;&gt;""),1)-1),""))</f>
        <v>0.52075471698113207</v>
      </c>
      <c r="BK1371" s="58" cm="1">
        <f t="array" ref="BK1371">IFERROR(INDEX(AW1371:BH1371,1,MATCH(2,1/(AW1371:BH1371&lt;&gt;""))),"")</f>
        <v>0.52075471698113207</v>
      </c>
      <c r="BL1371" s="58" cm="1">
        <f t="array" ref="BL1371">IFERROR(INDEX(AW1371:BH1371,1,MATCH(2,1/(AW1371:BH1371&lt;&gt;""),1)-1),"")</f>
        <v>0.52075471698113207</v>
      </c>
      <c r="BM1371" s="55" cm="1">
        <f t="array" ref="BM1371">IFERROR(
   INDEX($AW$1:$BH$1,
      _xlfn.AGGREGATE(14, 6, COLUMN($AW$1:$BH$1)/(AW1371:BH1371&lt;&gt;""), 2) - COLUMN($AW$1) + 1
   ),
"")</f>
        <v>46082</v>
      </c>
      <c r="BN1371" s="55" cm="1">
        <f t="array" ref="BN1371">IFERROR(INDEX($AW$1:$BH$1,1,MATCH(2,1/(AW1371:BH1371&lt;&gt;""))),"")</f>
        <v>46113</v>
      </c>
      <c r="BO1371" s="119" cm="1">
        <f t="array" aca="1" ref="BO1371" ca="1">_xlfn.LET(
    _xlpm.mes_num, MONTH(TODAY())-1,
    _xlpm.coluna_ajustada, IF(_xlpm.mes_num=0, 12, _xlpm.mes_num),
    _xlpm.realizado_mes_anterior, INDEX(T1371:AE1371, 1, _xlpm.coluna_ajustada),
    _xlpm.previsto_total, AD1371,
    _xlpm.realizado_mes_anterior / _xlpm.previsto_total
)</f>
        <v>0.52075471698113207</v>
      </c>
      <c r="BP1371" s="53">
        <f ca="1">IFERROR(_xlfn.XLOOKUP(F1371,Apuração!A:A,Apuração!D:D)/_xlfn.XLOOKUP(F1371,Apuração!A:A,Apuração!B:B),0)</f>
        <v>0.2</v>
      </c>
      <c r="BQ1371" s="53">
        <f ca="1">IF(BK1371&gt;=BO1371,0,_xlfn.XLOOKUP(F1371,Apuração!A:A,Apuração!B:B)*(BO1371 + (1/_xlfn.XLOOKUP(F1371,Apuração!A:A,Apuração!B:B)) - BK1371))</f>
        <v>0</v>
      </c>
      <c r="BR1371" s="85">
        <f t="shared" ref="BR1371:BR1375" ca="1" si="1634">IF(BQ1371=0,0,BQ1371*Z1371)</f>
        <v>0</v>
      </c>
      <c r="BS1371" s="53">
        <f ca="1">IFERROR((_xlfn.XLOOKUP(F1371,Apuração!A:A,Apuração!C:C)+1)/_xlfn.XLOOKUP(F1371,Apuração!A:A,Apuração!B:B),0)</f>
        <v>0.4</v>
      </c>
    </row>
    <row r="1372" spans="1:71" ht="25.95" hidden="1" customHeight="1" x14ac:dyDescent="0.3">
      <c r="A1372" s="33" t="s">
        <v>175</v>
      </c>
      <c r="B1372" s="4" t="s">
        <v>176</v>
      </c>
      <c r="C1372" s="5" t="s">
        <v>209</v>
      </c>
      <c r="D1372" s="5" t="s">
        <v>47</v>
      </c>
      <c r="E1372" s="4" t="str" cm="1">
        <f t="array" ref="E1372">_xlfn.IFS(
F1372 = "A partir de Abril", "Aguardando Execução na Distribuidora",
A1372 = "CAPACITAÇÃO", "Em execução no Corporativo",
TRUE, "Em Execução na Distribuidora"
)</f>
        <v>Em execução no Corporativo</v>
      </c>
      <c r="F1372" s="4" t="str" cm="1">
        <f t="array" ref="F1372">_xlfn.IFS(
AG1372 &lt;&gt; "", "Jan-Dez/26",
AH1372 &lt;&gt; "", "Fev-Dez/26",
AI1372 &lt;&gt; "", "Mar-Dez/26", AJ1372 &lt;&gt; "", "Abr-Dez/26",
TRUE, "A partir de Junho"
)</f>
        <v>Mar-Dez/26</v>
      </c>
      <c r="G1372" s="4" t="s">
        <v>37</v>
      </c>
      <c r="H1372" s="7" t="s">
        <v>38</v>
      </c>
      <c r="I1372" s="8" t="s">
        <v>177</v>
      </c>
      <c r="J1372" s="8" t="str" cm="1">
        <f t="array" aca="1" ref="J1372" ca="1">_xlfn.LET(
  _xlpm.actual_value_month, INDEX(T1372:AE1372, MATCH(DATE(YEAR(TODAY()), MONTH(TODAY()), 1), $T$1:$AE$1, 0)),
  IF(_xlpm.actual_value_month &lt;&gt; "", _xlpm.actual_value_month &amp; " certificados mensais", "")
)</f>
        <v>412 certificados mensais</v>
      </c>
      <c r="K1372" s="8" t="str">
        <f t="shared" si="1628"/>
        <v>622 certificado anuais.</v>
      </c>
      <c r="L1372" s="9" t="s">
        <v>178</v>
      </c>
      <c r="M1372" s="13">
        <v>1</v>
      </c>
      <c r="N1372" s="5" t="s">
        <v>42</v>
      </c>
      <c r="O1372" s="5" t="s">
        <v>43</v>
      </c>
      <c r="P1372" s="10" t="s">
        <v>44</v>
      </c>
      <c r="Q1372" s="10" t="s">
        <v>44</v>
      </c>
      <c r="R1372" s="11" t="s">
        <v>179</v>
      </c>
      <c r="S1372" s="11" t="s">
        <v>67</v>
      </c>
      <c r="T1372" s="22"/>
      <c r="U1372" s="22"/>
      <c r="V1372" s="22">
        <v>331</v>
      </c>
      <c r="W1372" s="22">
        <v>331</v>
      </c>
      <c r="X1372" s="22">
        <v>373</v>
      </c>
      <c r="Y1372" s="22">
        <v>412</v>
      </c>
      <c r="Z1372" s="22">
        <v>458</v>
      </c>
      <c r="AA1372" s="22">
        <v>515</v>
      </c>
      <c r="AB1372" s="22">
        <v>564</v>
      </c>
      <c r="AC1372" s="22">
        <v>622</v>
      </c>
      <c r="AD1372" s="22">
        <v>622</v>
      </c>
      <c r="AE1372" s="22"/>
      <c r="AG1372" s="71"/>
      <c r="AH1372" s="71"/>
      <c r="AI1372" s="82">
        <v>331</v>
      </c>
      <c r="AJ1372" s="82">
        <v>331</v>
      </c>
      <c r="AK1372" s="71"/>
      <c r="AL1372" s="71"/>
      <c r="AM1372" s="71"/>
      <c r="AN1372" s="71"/>
      <c r="AO1372" s="71"/>
      <c r="AP1372" s="71"/>
      <c r="AQ1372" s="71"/>
      <c r="AR1372" s="71"/>
      <c r="AS1372" s="94" cm="1">
        <f t="array" ref="AS1372">IFERROR(INDEX(T1372:AE1372,1,MATCH(2,1/(T1372:AE1372&lt;&gt;""))),"")</f>
        <v>622</v>
      </c>
      <c r="AT1372" s="95" cm="1">
        <f t="array" ref="AT1372">IFERROR(INDEX(AJ1372:AR1372,1,MATCH(2,1/(AJ1372:AR1372&lt;&gt;""))),"")</f>
        <v>331</v>
      </c>
      <c r="AU1372" s="97">
        <f t="shared" si="1629"/>
        <v>331</v>
      </c>
      <c r="AW1372" s="51">
        <f t="shared" si="1630"/>
        <v>0</v>
      </c>
      <c r="AX1372" s="51">
        <f t="shared" si="1631"/>
        <v>0</v>
      </c>
      <c r="AY1372" s="51">
        <f t="shared" si="1632"/>
        <v>0.53215434083601287</v>
      </c>
      <c r="AZ1372" s="51">
        <f t="shared" si="1633"/>
        <v>0.53215434083601287</v>
      </c>
      <c r="BA1372" s="51"/>
      <c r="BB1372" s="51"/>
      <c r="BC1372" s="51"/>
      <c r="BD1372" s="51"/>
      <c r="BE1372" s="51"/>
      <c r="BF1372" s="51"/>
      <c r="BG1372" s="51"/>
      <c r="BH1372" s="51"/>
      <c r="BI1372" s="65" cm="1">
        <f t="array" ref="BI1372">IFERROR(INDEX(AW1372:BH1372,1,MATCH(2,1/(AW1372:BH1372&lt;&gt;""))),"")</f>
        <v>0.53215434083601287</v>
      </c>
      <c r="BJ1372" s="68" cm="1">
        <f t="array" ref="BJ1372">IF(BM1372 = "", "",IFERROR(INDEX(AW1372:BH1372,1,MATCH(2,1/(AW1372:BH1372&lt;&gt;""),1)-1),""))</f>
        <v>0.53215434083601287</v>
      </c>
      <c r="BK1372" s="58" cm="1">
        <f t="array" ref="BK1372">IFERROR(INDEX(AW1372:BH1372,1,MATCH(2,1/(AW1372:BH1372&lt;&gt;""))),"")</f>
        <v>0.53215434083601287</v>
      </c>
      <c r="BL1372" s="58" cm="1">
        <f t="array" ref="BL1372">IFERROR(INDEX(AW1372:BH1372,1,MATCH(2,1/(AW1372:BH1372&lt;&gt;""),1)-1),"")</f>
        <v>0.53215434083601287</v>
      </c>
      <c r="BM1372" s="55" cm="1">
        <f t="array" ref="BM1372">IFERROR(
   INDEX($AW$1:$BH$1,
      _xlfn.AGGREGATE(14, 6, COLUMN($AW$1:$BH$1)/(AW1372:BH1372&lt;&gt;""), 2) - COLUMN($AW$1) + 1
   ),
"")</f>
        <v>46082</v>
      </c>
      <c r="BN1372" s="55" cm="1">
        <f t="array" ref="BN1372">IFERROR(INDEX($AW$1:$BH$1,1,MATCH(2,1/(AW1372:BH1372&lt;&gt;""))),"")</f>
        <v>46113</v>
      </c>
      <c r="BO1372" s="119" cm="1">
        <f t="array" aca="1" ref="BO1372" ca="1">_xlfn.LET(
    _xlpm.mes_num, MONTH(TODAY())-1,
    _xlpm.coluna_ajustada, IF(_xlpm.mes_num=0, 12, _xlpm.mes_num),
    _xlpm.realizado_mes_anterior, INDEX(T1372:AE1372, 1, _xlpm.coluna_ajustada),
    _xlpm.previsto_total, AD1372,
    _xlpm.realizado_mes_anterior / _xlpm.previsto_total
)</f>
        <v>0.59967845659163987</v>
      </c>
      <c r="BP1372" s="53">
        <f ca="1">IFERROR(_xlfn.XLOOKUP(F1372,Apuração!A:A,Apuração!D:D)/_xlfn.XLOOKUP(F1372,Apuração!A:A,Apuração!B:B),0)</f>
        <v>0.2</v>
      </c>
      <c r="BQ1372" s="53">
        <f ca="1">IF(BK1372&gt;=BO1372,0,_xlfn.XLOOKUP(F1372,Apuração!A:A,Apuração!B:B)*(BO1372 + (1/_xlfn.XLOOKUP(F1372,Apuração!A:A,Apuração!B:B)) - BK1372))</f>
        <v>1.6752411575562698</v>
      </c>
      <c r="BR1372" s="85">
        <f t="shared" ca="1" si="1634"/>
        <v>767.2604501607716</v>
      </c>
      <c r="BS1372" s="53">
        <f ca="1">IFERROR((_xlfn.XLOOKUP(F1372,Apuração!A:A,Apuração!C:C)+1)/_xlfn.XLOOKUP(F1372,Apuração!A:A,Apuração!B:B),0)</f>
        <v>0.4</v>
      </c>
    </row>
    <row r="1373" spans="1:71" ht="25.95" hidden="1" customHeight="1" x14ac:dyDescent="0.3">
      <c r="A1373" s="33" t="s">
        <v>175</v>
      </c>
      <c r="B1373" s="4" t="s">
        <v>176</v>
      </c>
      <c r="C1373" s="5" t="s">
        <v>209</v>
      </c>
      <c r="D1373" s="5" t="s">
        <v>211</v>
      </c>
      <c r="E1373" s="4" t="str" cm="1">
        <f t="array" ref="E1373">_xlfn.IFS(
F1373 = "A partir de Abril", "Aguardando Execução na Distribuidora",
A1373 = "CAPACITAÇÃO", "Em execução no Corporativo",
TRUE, "Em Execução na Distribuidora"
)</f>
        <v>Em execução no Corporativo</v>
      </c>
      <c r="F1373" s="4" t="str" cm="1">
        <f t="array" ref="F1373">_xlfn.IFS(
AG1373 &lt;&gt; "", "Jan-Dez/26",
AH1373 &lt;&gt; "", "Fev-Dez/26",
AI1373 &lt;&gt; "", "Mar-Dez/26", AJ1373 &lt;&gt; "", "Abr-Dez/26",
TRUE, "A partir de Junho"
)</f>
        <v>Mar-Dez/26</v>
      </c>
      <c r="G1373" s="4" t="s">
        <v>37</v>
      </c>
      <c r="H1373" s="7" t="s">
        <v>38</v>
      </c>
      <c r="I1373" s="8" t="s">
        <v>177</v>
      </c>
      <c r="J1373" s="8" t="str" cm="1">
        <f t="array" aca="1" ref="J1373" ca="1">_xlfn.LET(
  _xlpm.actual_value_month, INDEX(T1373:AE1373, MATCH(DATE(YEAR(TODAY()), MONTH(TODAY()), 1), $T$1:$AE$1, 0)),
  IF(_xlpm.actual_value_month &lt;&gt; "", _xlpm.actual_value_month &amp; " certificados mensais", "")
)</f>
        <v>213 certificados mensais</v>
      </c>
      <c r="K1373" s="8" t="str">
        <f t="shared" si="1628"/>
        <v>242 certificado anuais.</v>
      </c>
      <c r="L1373" s="9" t="s">
        <v>178</v>
      </c>
      <c r="M1373" s="13">
        <v>1</v>
      </c>
      <c r="N1373" s="5" t="s">
        <v>42</v>
      </c>
      <c r="O1373" s="5" t="s">
        <v>43</v>
      </c>
      <c r="P1373" s="10" t="s">
        <v>44</v>
      </c>
      <c r="Q1373" s="10" t="s">
        <v>44</v>
      </c>
      <c r="R1373" s="11" t="s">
        <v>179</v>
      </c>
      <c r="S1373" s="11" t="s">
        <v>67</v>
      </c>
      <c r="T1373" s="22"/>
      <c r="U1373" s="22"/>
      <c r="V1373" s="22">
        <v>170</v>
      </c>
      <c r="W1373" s="22">
        <v>198</v>
      </c>
      <c r="X1373" s="22">
        <v>206</v>
      </c>
      <c r="Y1373" s="22">
        <v>213</v>
      </c>
      <c r="Z1373" s="22">
        <v>222</v>
      </c>
      <c r="AA1373" s="22">
        <v>228</v>
      </c>
      <c r="AB1373" s="22">
        <v>234</v>
      </c>
      <c r="AC1373" s="22">
        <v>242</v>
      </c>
      <c r="AD1373" s="22">
        <v>242</v>
      </c>
      <c r="AE1373" s="22"/>
      <c r="AG1373" s="71"/>
      <c r="AH1373" s="71"/>
      <c r="AI1373" s="82">
        <v>170</v>
      </c>
      <c r="AJ1373" s="82">
        <v>170</v>
      </c>
      <c r="AK1373" s="71"/>
      <c r="AL1373" s="71"/>
      <c r="AM1373" s="71"/>
      <c r="AN1373" s="71"/>
      <c r="AO1373" s="71"/>
      <c r="AP1373" s="71"/>
      <c r="AQ1373" s="71"/>
      <c r="AR1373" s="71"/>
      <c r="AS1373" s="94" cm="1">
        <f t="array" ref="AS1373">IFERROR(INDEX(T1373:AE1373,1,MATCH(2,1/(T1373:AE1373&lt;&gt;""))),"")</f>
        <v>242</v>
      </c>
      <c r="AT1373" s="95" cm="1">
        <f t="array" ref="AT1373">IFERROR(INDEX(AJ1373:AR1373,1,MATCH(2,1/(AJ1373:AR1373&lt;&gt;""))),"")</f>
        <v>170</v>
      </c>
      <c r="AU1373" s="97">
        <f t="shared" si="1629"/>
        <v>170</v>
      </c>
      <c r="AW1373" s="51">
        <f t="shared" si="1630"/>
        <v>0</v>
      </c>
      <c r="AX1373" s="51">
        <f t="shared" si="1631"/>
        <v>0</v>
      </c>
      <c r="AY1373" s="51">
        <f t="shared" si="1632"/>
        <v>0.7024793388429752</v>
      </c>
      <c r="AZ1373" s="51">
        <f t="shared" si="1633"/>
        <v>0.7024793388429752</v>
      </c>
      <c r="BA1373" s="51"/>
      <c r="BB1373" s="51"/>
      <c r="BC1373" s="51"/>
      <c r="BD1373" s="51"/>
      <c r="BE1373" s="51"/>
      <c r="BF1373" s="51"/>
      <c r="BG1373" s="51"/>
      <c r="BH1373" s="51"/>
      <c r="BI1373" s="65" cm="1">
        <f t="array" ref="BI1373">IFERROR(INDEX(AW1373:BH1373,1,MATCH(2,1/(AW1373:BH1373&lt;&gt;""))),"")</f>
        <v>0.7024793388429752</v>
      </c>
      <c r="BJ1373" s="68" cm="1">
        <f t="array" ref="BJ1373">IF(BM1373 = "", "",IFERROR(INDEX(AW1373:BH1373,1,MATCH(2,1/(AW1373:BH1373&lt;&gt;""),1)-1),""))</f>
        <v>0.7024793388429752</v>
      </c>
      <c r="BK1373" s="58" cm="1">
        <f t="array" ref="BK1373">IFERROR(INDEX(AW1373:BH1373,1,MATCH(2,1/(AW1373:BH1373&lt;&gt;""))),"")</f>
        <v>0.7024793388429752</v>
      </c>
      <c r="BL1373" s="58" cm="1">
        <f t="array" ref="BL1373">IFERROR(INDEX(AW1373:BH1373,1,MATCH(2,1/(AW1373:BH1373&lt;&gt;""),1)-1),"")</f>
        <v>0.7024793388429752</v>
      </c>
      <c r="BM1373" s="55" cm="1">
        <f t="array" ref="BM1373">IFERROR(
   INDEX($AW$1:$BH$1,
      _xlfn.AGGREGATE(14, 6, COLUMN($AW$1:$BH$1)/(AW1373:BH1373&lt;&gt;""), 2) - COLUMN($AW$1) + 1
   ),
"")</f>
        <v>46082</v>
      </c>
      <c r="BN1373" s="55" cm="1">
        <f t="array" ref="BN1373">IFERROR(INDEX($AW$1:$BH$1,1,MATCH(2,1/(AW1373:BH1373&lt;&gt;""))),"")</f>
        <v>46113</v>
      </c>
      <c r="BO1373" s="119" cm="1">
        <f t="array" aca="1" ref="BO1373" ca="1">_xlfn.LET(
    _xlpm.mes_num, MONTH(TODAY())-1,
    _xlpm.coluna_ajustada, IF(_xlpm.mes_num=0, 12, _xlpm.mes_num),
    _xlpm.realizado_mes_anterior, INDEX(T1373:AE1373, 1, _xlpm.coluna_ajustada),
    _xlpm.previsto_total, AD1373,
    _xlpm.realizado_mes_anterior / _xlpm.previsto_total
)</f>
        <v>0.85123966942148765</v>
      </c>
      <c r="BP1373" s="53">
        <f ca="1">IFERROR(_xlfn.XLOOKUP(F1373,Apuração!A:A,Apuração!D:D)/_xlfn.XLOOKUP(F1373,Apuração!A:A,Apuração!B:B),0)</f>
        <v>0.2</v>
      </c>
      <c r="BQ1373" s="53">
        <f ca="1">IF(BK1373&gt;=BO1373,0,_xlfn.XLOOKUP(F1373,Apuração!A:A,Apuração!B:B)*(BO1373 + (1/_xlfn.XLOOKUP(F1373,Apuração!A:A,Apuração!B:B)) - BK1373))</f>
        <v>2.4876033057851243</v>
      </c>
      <c r="BR1373" s="85">
        <f t="shared" ca="1" si="1634"/>
        <v>552.24793388429759</v>
      </c>
      <c r="BS1373" s="53">
        <f ca="1">IFERROR((_xlfn.XLOOKUP(F1373,Apuração!A:A,Apuração!C:C)+1)/_xlfn.XLOOKUP(F1373,Apuração!A:A,Apuração!B:B),0)</f>
        <v>0.4</v>
      </c>
    </row>
    <row r="1374" spans="1:71" ht="25.95" hidden="1" customHeight="1" x14ac:dyDescent="0.3">
      <c r="A1374" s="33" t="s">
        <v>175</v>
      </c>
      <c r="B1374" s="4" t="s">
        <v>176</v>
      </c>
      <c r="C1374" s="5" t="s">
        <v>209</v>
      </c>
      <c r="D1374" s="5" t="s">
        <v>212</v>
      </c>
      <c r="E1374" s="4" t="str" cm="1">
        <f t="array" ref="E1374">_xlfn.IFS(
F1374 = "A partir de Abril", "Aguardando Execução na Distribuidora",
A1374 = "CAPACITAÇÃO", "Em execução no Corporativo",
TRUE, "Em Execução na Distribuidora"
)</f>
        <v>Em execução no Corporativo</v>
      </c>
      <c r="F1374" s="4" t="str" cm="1">
        <f t="array" ref="F1374">_xlfn.IFS(
AG1374 &lt;&gt; "", "Jan-Dez/26",
AH1374 &lt;&gt; "", "Fev-Dez/26",
AI1374 &lt;&gt; "", "Mar-Dez/26", AJ1374 &lt;&gt; "", "Abr-Dez/26",
TRUE, "A partir de Junho"
)</f>
        <v>Mar-Dez/26</v>
      </c>
      <c r="G1374" s="4" t="s">
        <v>37</v>
      </c>
      <c r="H1374" s="7" t="s">
        <v>38</v>
      </c>
      <c r="I1374" s="8" t="s">
        <v>177</v>
      </c>
      <c r="J1374" s="8" t="str" cm="1">
        <f t="array" aca="1" ref="J1374" ca="1">_xlfn.LET(
  _xlpm.actual_value_month, INDEX(T1374:AE1374, MATCH(DATE(YEAR(TODAY()), MONTH(TODAY()), 1), $T$1:$AE$1, 0)),
  IF(_xlpm.actual_value_month &lt;&gt; "", _xlpm.actual_value_month &amp; " certificados mensais", "")
)</f>
        <v>576 certificados mensais</v>
      </c>
      <c r="K1374" s="8" t="str">
        <f t="shared" si="1628"/>
        <v>710 certificado anuais.</v>
      </c>
      <c r="L1374" s="9" t="s">
        <v>178</v>
      </c>
      <c r="M1374" s="13">
        <v>1</v>
      </c>
      <c r="N1374" s="5" t="s">
        <v>42</v>
      </c>
      <c r="O1374" s="5" t="s">
        <v>43</v>
      </c>
      <c r="P1374" s="10" t="s">
        <v>44</v>
      </c>
      <c r="Q1374" s="10" t="s">
        <v>44</v>
      </c>
      <c r="R1374" s="11" t="s">
        <v>179</v>
      </c>
      <c r="S1374" s="11" t="s">
        <v>67</v>
      </c>
      <c r="T1374" s="22"/>
      <c r="U1374" s="22"/>
      <c r="V1374" s="22">
        <v>453</v>
      </c>
      <c r="W1374" s="22">
        <v>463</v>
      </c>
      <c r="X1374" s="22">
        <v>520</v>
      </c>
      <c r="Y1374" s="22">
        <v>576</v>
      </c>
      <c r="Z1374" s="22">
        <v>623</v>
      </c>
      <c r="AA1374" s="22">
        <v>664</v>
      </c>
      <c r="AB1374" s="22">
        <v>695</v>
      </c>
      <c r="AC1374" s="22">
        <v>710</v>
      </c>
      <c r="AD1374" s="22">
        <v>710</v>
      </c>
      <c r="AE1374" s="22"/>
      <c r="AG1374" s="71"/>
      <c r="AH1374" s="71"/>
      <c r="AI1374" s="82">
        <v>453</v>
      </c>
      <c r="AJ1374" s="82">
        <v>453</v>
      </c>
      <c r="AK1374" s="71"/>
      <c r="AL1374" s="71"/>
      <c r="AM1374" s="71"/>
      <c r="AN1374" s="71"/>
      <c r="AO1374" s="71"/>
      <c r="AP1374" s="71"/>
      <c r="AQ1374" s="71"/>
      <c r="AR1374" s="71"/>
      <c r="AS1374" s="94" cm="1">
        <f t="array" ref="AS1374">IFERROR(INDEX(T1374:AE1374,1,MATCH(2,1/(T1374:AE1374&lt;&gt;""))),"")</f>
        <v>710</v>
      </c>
      <c r="AT1374" s="95" cm="1">
        <f t="array" ref="AT1374">IFERROR(INDEX(AJ1374:AR1374,1,MATCH(2,1/(AJ1374:AR1374&lt;&gt;""))),"")</f>
        <v>453</v>
      </c>
      <c r="AU1374" s="97">
        <f t="shared" si="1629"/>
        <v>453</v>
      </c>
      <c r="AW1374" s="51">
        <f t="shared" si="1630"/>
        <v>0</v>
      </c>
      <c r="AX1374" s="51">
        <f t="shared" si="1631"/>
        <v>0</v>
      </c>
      <c r="AY1374" s="51">
        <f t="shared" si="1632"/>
        <v>0.63802816901408455</v>
      </c>
      <c r="AZ1374" s="51">
        <f t="shared" si="1633"/>
        <v>0.63802816901408455</v>
      </c>
      <c r="BA1374" s="51"/>
      <c r="BB1374" s="51"/>
      <c r="BC1374" s="51"/>
      <c r="BD1374" s="51"/>
      <c r="BE1374" s="51"/>
      <c r="BF1374" s="51"/>
      <c r="BG1374" s="51"/>
      <c r="BH1374" s="51"/>
      <c r="BI1374" s="65" cm="1">
        <f t="array" ref="BI1374">IFERROR(INDEX(AW1374:BH1374,1,MATCH(2,1/(AW1374:BH1374&lt;&gt;""))),"")</f>
        <v>0.63802816901408455</v>
      </c>
      <c r="BJ1374" s="68" cm="1">
        <f t="array" ref="BJ1374">IF(BM1374 = "", "",IFERROR(INDEX(AW1374:BH1374,1,MATCH(2,1/(AW1374:BH1374&lt;&gt;""),1)-1),""))</f>
        <v>0.63802816901408455</v>
      </c>
      <c r="BK1374" s="58" cm="1">
        <f t="array" ref="BK1374">IFERROR(INDEX(AW1374:BH1374,1,MATCH(2,1/(AW1374:BH1374&lt;&gt;""))),"")</f>
        <v>0.63802816901408455</v>
      </c>
      <c r="BL1374" s="58" cm="1">
        <f t="array" ref="BL1374">IFERROR(INDEX(AW1374:BH1374,1,MATCH(2,1/(AW1374:BH1374&lt;&gt;""),1)-1),"")</f>
        <v>0.63802816901408455</v>
      </c>
      <c r="BM1374" s="55" cm="1">
        <f t="array" ref="BM1374">IFERROR(
   INDEX($AW$1:$BH$1,
      _xlfn.AGGREGATE(14, 6, COLUMN($AW$1:$BH$1)/(AW1374:BH1374&lt;&gt;""), 2) - COLUMN($AW$1) + 1
   ),
"")</f>
        <v>46082</v>
      </c>
      <c r="BN1374" s="55" cm="1">
        <f t="array" ref="BN1374">IFERROR(INDEX($AW$1:$BH$1,1,MATCH(2,1/(AW1374:BH1374&lt;&gt;""))),"")</f>
        <v>46113</v>
      </c>
      <c r="BO1374" s="119" cm="1">
        <f t="array" aca="1" ref="BO1374" ca="1">_xlfn.LET(
    _xlpm.mes_num, MONTH(TODAY())-1,
    _xlpm.coluna_ajustada, IF(_xlpm.mes_num=0, 12, _xlpm.mes_num),
    _xlpm.realizado_mes_anterior, INDEX(T1374:AE1374, 1, _xlpm.coluna_ajustada),
    _xlpm.previsto_total, AD1374,
    _xlpm.realizado_mes_anterior / _xlpm.previsto_total
)</f>
        <v>0.73239436619718312</v>
      </c>
      <c r="BP1374" s="53">
        <f ca="1">IFERROR(_xlfn.XLOOKUP(F1374,Apuração!A:A,Apuração!D:D)/_xlfn.XLOOKUP(F1374,Apuração!A:A,Apuração!B:B),0)</f>
        <v>0.2</v>
      </c>
      <c r="BQ1374" s="53">
        <f ca="1">IF(BK1374&gt;=BO1374,0,_xlfn.XLOOKUP(F1374,Apuração!A:A,Apuração!B:B)*(BO1374 + (1/_xlfn.XLOOKUP(F1374,Apuração!A:A,Apuração!B:B)) - BK1374))</f>
        <v>1.9436619718309855</v>
      </c>
      <c r="BR1374" s="85">
        <f t="shared" ca="1" si="1634"/>
        <v>1210.9014084507039</v>
      </c>
      <c r="BS1374" s="53">
        <f ca="1">IFERROR((_xlfn.XLOOKUP(F1374,Apuração!A:A,Apuração!C:C)+1)/_xlfn.XLOOKUP(F1374,Apuração!A:A,Apuração!B:B),0)</f>
        <v>0.4</v>
      </c>
    </row>
    <row r="1375" spans="1:71" ht="25.95" hidden="1" customHeight="1" x14ac:dyDescent="0.3">
      <c r="A1375" s="33" t="s">
        <v>175</v>
      </c>
      <c r="B1375" s="4" t="s">
        <v>176</v>
      </c>
      <c r="C1375" s="5" t="s">
        <v>209</v>
      </c>
      <c r="D1375" s="5" t="s">
        <v>213</v>
      </c>
      <c r="E1375" s="4" t="str" cm="1">
        <f t="array" ref="E1375">_xlfn.IFS(
F1375 = "A partir de Abril", "Aguardando Execução na Distribuidora",
A1375 = "CAPACITAÇÃO", "Em execução no Corporativo",
TRUE, "Em Execução na Distribuidora"
)</f>
        <v>Em execução no Corporativo</v>
      </c>
      <c r="F1375" s="4" t="str" cm="1">
        <f t="array" ref="F1375">_xlfn.IFS(
AG1375 &lt;&gt; "", "Jan-Dez/26",
AH1375 &lt;&gt; "", "Fev-Dez/26",
AI1375 &lt;&gt; "", "Mar-Dez/26", AJ1375 &lt;&gt; "", "Abr-Dez/26",
TRUE, "A partir de Junho"
)</f>
        <v>Mar-Dez/26</v>
      </c>
      <c r="G1375" s="4" t="s">
        <v>37</v>
      </c>
      <c r="H1375" s="7" t="s">
        <v>38</v>
      </c>
      <c r="I1375" s="8" t="s">
        <v>177</v>
      </c>
      <c r="J1375" s="8" t="str" cm="1">
        <f t="array" aca="1" ref="J1375" ca="1">_xlfn.LET(
  _xlpm.actual_value_month, INDEX(T1375:AE1375, MATCH(DATE(YEAR(TODAY()), MONTH(TODAY()), 1), $T$1:$AE$1, 0)),
  IF(_xlpm.actual_value_month &lt;&gt; "", _xlpm.actual_value_month &amp; " certificados mensais", "")
)</f>
        <v>253 certificados mensais</v>
      </c>
      <c r="K1375" s="8" t="str">
        <f t="shared" si="1628"/>
        <v>426 certificado anuais.</v>
      </c>
      <c r="L1375" s="9" t="s">
        <v>178</v>
      </c>
      <c r="M1375" s="13">
        <v>1</v>
      </c>
      <c r="N1375" s="5" t="s">
        <v>42</v>
      </c>
      <c r="O1375" s="5" t="s">
        <v>43</v>
      </c>
      <c r="P1375" s="10" t="s">
        <v>44</v>
      </c>
      <c r="Q1375" s="10" t="s">
        <v>44</v>
      </c>
      <c r="R1375" s="11" t="s">
        <v>179</v>
      </c>
      <c r="S1375" s="11" t="s">
        <v>67</v>
      </c>
      <c r="T1375" s="22"/>
      <c r="U1375" s="22"/>
      <c r="V1375" s="22">
        <v>201</v>
      </c>
      <c r="W1375" s="22">
        <v>206</v>
      </c>
      <c r="X1375" s="22">
        <v>206</v>
      </c>
      <c r="Y1375" s="22">
        <v>253</v>
      </c>
      <c r="Z1375" s="22">
        <v>307</v>
      </c>
      <c r="AA1375" s="22">
        <v>355</v>
      </c>
      <c r="AB1375" s="22">
        <v>396</v>
      </c>
      <c r="AC1375" s="22">
        <v>426</v>
      </c>
      <c r="AD1375" s="22">
        <v>426</v>
      </c>
      <c r="AE1375" s="22"/>
      <c r="AG1375" s="71"/>
      <c r="AH1375" s="71"/>
      <c r="AI1375" s="82">
        <v>200</v>
      </c>
      <c r="AJ1375" s="82">
        <v>200</v>
      </c>
      <c r="AK1375" s="71"/>
      <c r="AL1375" s="71"/>
      <c r="AM1375" s="71"/>
      <c r="AN1375" s="71"/>
      <c r="AO1375" s="71"/>
      <c r="AP1375" s="71"/>
      <c r="AQ1375" s="71"/>
      <c r="AR1375" s="71"/>
      <c r="AS1375" s="94" cm="1">
        <f t="array" ref="AS1375">IFERROR(INDEX(T1375:AE1375,1,MATCH(2,1/(T1375:AE1375&lt;&gt;""))),"")</f>
        <v>426</v>
      </c>
      <c r="AT1375" s="95" cm="1">
        <f t="array" ref="AT1375">IFERROR(INDEX(AJ1375:AR1375,1,MATCH(2,1/(AJ1375:AR1375&lt;&gt;""))),"")</f>
        <v>200</v>
      </c>
      <c r="AU1375" s="97">
        <f t="shared" si="1629"/>
        <v>200</v>
      </c>
      <c r="AW1375" s="51">
        <f t="shared" si="1630"/>
        <v>0</v>
      </c>
      <c r="AX1375" s="51">
        <f t="shared" si="1631"/>
        <v>0</v>
      </c>
      <c r="AY1375" s="51">
        <f t="shared" si="1632"/>
        <v>0.46948356807511737</v>
      </c>
      <c r="AZ1375" s="51">
        <f t="shared" si="1633"/>
        <v>0.46948356807511737</v>
      </c>
      <c r="BA1375" s="51"/>
      <c r="BB1375" s="51"/>
      <c r="BC1375" s="51"/>
      <c r="BD1375" s="51"/>
      <c r="BE1375" s="51"/>
      <c r="BF1375" s="51"/>
      <c r="BG1375" s="51"/>
      <c r="BH1375" s="51"/>
      <c r="BI1375" s="65" cm="1">
        <f t="array" ref="BI1375">IFERROR(INDEX(AW1375:BH1375,1,MATCH(2,1/(AW1375:BH1375&lt;&gt;""))),"")</f>
        <v>0.46948356807511737</v>
      </c>
      <c r="BJ1375" s="68" cm="1">
        <f t="array" ref="BJ1375">IF(BM1375 = "", "",IFERROR(INDEX(AW1375:BH1375,1,MATCH(2,1/(AW1375:BH1375&lt;&gt;""),1)-1),""))</f>
        <v>0.46948356807511737</v>
      </c>
      <c r="BK1375" s="58" cm="1">
        <f t="array" ref="BK1375">IFERROR(INDEX(AW1375:BH1375,1,MATCH(2,1/(AW1375:BH1375&lt;&gt;""))),"")</f>
        <v>0.46948356807511737</v>
      </c>
      <c r="BL1375" s="58" cm="1">
        <f t="array" ref="BL1375">IFERROR(INDEX(AW1375:BH1375,1,MATCH(2,1/(AW1375:BH1375&lt;&gt;""),1)-1),"")</f>
        <v>0.46948356807511737</v>
      </c>
      <c r="BM1375" s="55" cm="1">
        <f t="array" ref="BM1375">IFERROR(
   INDEX($AW$1:$BH$1,
      _xlfn.AGGREGATE(14, 6, COLUMN($AW$1:$BH$1)/(AW1375:BH1375&lt;&gt;""), 2) - COLUMN($AW$1) + 1
   ),
"")</f>
        <v>46082</v>
      </c>
      <c r="BN1375" s="55" cm="1">
        <f t="array" ref="BN1375">IFERROR(INDEX($AW$1:$BH$1,1,MATCH(2,1/(AW1375:BH1375&lt;&gt;""))),"")</f>
        <v>46113</v>
      </c>
      <c r="BO1375" s="119" cm="1">
        <f t="array" aca="1" ref="BO1375" ca="1">_xlfn.LET(
    _xlpm.mes_num, MONTH(TODAY())-1,
    _xlpm.coluna_ajustada, IF(_xlpm.mes_num=0, 12, _xlpm.mes_num),
    _xlpm.realizado_mes_anterior, INDEX(T1375:AE1375, 1, _xlpm.coluna_ajustada),
    _xlpm.previsto_total, AD1375,
    _xlpm.realizado_mes_anterior / _xlpm.previsto_total
)</f>
        <v>0.48356807511737088</v>
      </c>
      <c r="BP1375" s="53">
        <f ca="1">IFERROR(_xlfn.XLOOKUP(F1375,Apuração!A:A,Apuração!D:D)/_xlfn.XLOOKUP(F1375,Apuração!A:A,Apuração!B:B),0)</f>
        <v>0.2</v>
      </c>
      <c r="BQ1375" s="53">
        <f ca="1">IF(BK1375&gt;=BO1375,0,_xlfn.XLOOKUP(F1375,Apuração!A:A,Apuração!B:B)*(BO1375 + (1/_xlfn.XLOOKUP(F1375,Apuração!A:A,Apuração!B:B)) - BK1375))</f>
        <v>1.1408450704225348</v>
      </c>
      <c r="BR1375" s="85">
        <f t="shared" ca="1" si="1634"/>
        <v>350.23943661971816</v>
      </c>
      <c r="BS1375" s="53">
        <f ca="1">IFERROR((_xlfn.XLOOKUP(F1375,Apuração!A:A,Apuração!C:C)+1)/_xlfn.XLOOKUP(F1375,Apuração!A:A,Apuração!B:B),0)</f>
        <v>0.4</v>
      </c>
    </row>
    <row r="1376" spans="1:71" ht="25.95" hidden="1" customHeight="1" x14ac:dyDescent="0.3">
      <c r="A1376" s="44" t="s">
        <v>175</v>
      </c>
      <c r="B1376" s="4" t="s">
        <v>176</v>
      </c>
      <c r="C1376" s="5" t="s">
        <v>209</v>
      </c>
      <c r="D1376" s="5" t="s">
        <v>36</v>
      </c>
      <c r="E1376" s="4" t="str" cm="1">
        <f t="array" ref="E1376">_xlfn.IFS(
F1376 = "A partir de Abril", "Aguardando Execução na Distribuidora",
A1376 = "CAPACITAÇÃO", "Em execução no Corporativo",
TRUE, "Em Execução na Distribuidora"
)</f>
        <v>Em execução no Corporativo</v>
      </c>
      <c r="F1376" s="4" t="str" cm="1">
        <f t="array" ref="F1376">_xlfn.IFS(
AG1376 &lt;&gt; "", "Jan-Dez/26",
AH1376 &lt;&gt; "", "Fev-Dez/26",
AI1376 &lt;&gt; "", "Mar-Dez/26", AJ1376 &lt;&gt; "", "Abr-Dez/26",
TRUE, "A partir de Junho"
)</f>
        <v>Mar-Dez/26</v>
      </c>
      <c r="G1376" s="4" t="s">
        <v>37</v>
      </c>
      <c r="H1376" s="7" t="s">
        <v>38</v>
      </c>
      <c r="I1376" s="21" t="s">
        <v>180</v>
      </c>
      <c r="J1376" s="8" t="str" cm="1">
        <f t="array" aca="1" ref="J1376" ca="1">_xlfn.LET(
  _xlpm.actual_value_month, INDEX(T1376:AE1376, MATCH(DATE(YEAR(TODAY()), MONTH(TODAY()), 1), $T$1:$AE$1, 0)),
  IF(_xlpm.actual_value_month &lt;&gt; "", _xlpm.actual_value_month &amp; " ações mensais", "")
)</f>
        <v/>
      </c>
      <c r="K1376" s="8" t="str" cm="1">
        <f t="array" ref="K1376">_xlfn.LET(
    _xlpm.sum_month, SUM(T1376:AE1376),
    IF(_xlpm.sum_month = 0, "", _xlpm.sum_month &amp; " colaboradores treinados.")
)</f>
        <v/>
      </c>
      <c r="L1376" s="9" t="s">
        <v>220</v>
      </c>
      <c r="M1376" s="13">
        <v>1</v>
      </c>
      <c r="N1376" s="5" t="s">
        <v>51</v>
      </c>
      <c r="O1376" s="5" t="s">
        <v>52</v>
      </c>
      <c r="P1376" s="10" t="s">
        <v>44</v>
      </c>
      <c r="Q1376" s="10"/>
      <c r="R1376" s="11" t="s">
        <v>44</v>
      </c>
      <c r="S1376" s="11" t="s">
        <v>44</v>
      </c>
      <c r="T1376" s="22"/>
      <c r="U1376" s="22"/>
      <c r="V1376" s="22"/>
      <c r="W1376" s="22"/>
      <c r="X1376" s="22"/>
      <c r="Y1376" s="22"/>
      <c r="Z1376" s="22"/>
      <c r="AA1376" s="22"/>
      <c r="AB1376" s="22"/>
      <c r="AC1376" s="22"/>
      <c r="AD1376" s="22"/>
      <c r="AE1376" s="22"/>
      <c r="AG1376" s="71"/>
      <c r="AH1376" s="71"/>
      <c r="AI1376" s="71">
        <v>1569</v>
      </c>
      <c r="AJ1376" s="71">
        <v>1568</v>
      </c>
      <c r="AK1376" s="71"/>
      <c r="AL1376" s="71"/>
      <c r="AM1376" s="71"/>
      <c r="AN1376" s="71"/>
      <c r="AO1376" s="71"/>
      <c r="AP1376" s="71"/>
      <c r="AQ1376" s="71"/>
      <c r="AR1376" s="71"/>
      <c r="AS1376" s="94" t="str" cm="1">
        <f t="array" ref="AS1376">IFERROR(INDEX(T1376:AE1376,1,MATCH(2,1/(T1376:AE1376&lt;&gt;""))),"")</f>
        <v/>
      </c>
      <c r="AT1376" s="95" cm="1">
        <f t="array" ref="AT1376">IFERROR(INDEX(AJ1376:AR1376,1,MATCH(2,1/(AJ1376:AR1376&lt;&gt;""))),"")</f>
        <v>1568</v>
      </c>
      <c r="AU1376" s="97">
        <f>AT1376</f>
        <v>1568</v>
      </c>
      <c r="AW1376" s="83">
        <f>AG1376</f>
        <v>0</v>
      </c>
      <c r="AX1376" s="52">
        <f>AH1376</f>
        <v>0</v>
      </c>
      <c r="AY1376" s="52">
        <f>AI1376</f>
        <v>1569</v>
      </c>
      <c r="AZ1376" s="52">
        <f>AJ1376</f>
        <v>1568</v>
      </c>
      <c r="BA1376" s="52"/>
      <c r="BB1376" s="52"/>
      <c r="BC1376" s="52"/>
      <c r="BD1376" s="52"/>
      <c r="BE1376" s="52"/>
      <c r="BF1376" s="52"/>
      <c r="BG1376" s="52"/>
      <c r="BH1376" s="52"/>
      <c r="BI1376" s="68" cm="1">
        <f t="array" ref="BI1376">IFERROR(INDEX(AW1376:BH1376,1,MATCH(2,1/(AW1376:BH1376&lt;&gt;""))),"")</f>
        <v>1568</v>
      </c>
      <c r="BJ1376" s="68" cm="1">
        <f t="array" ref="BJ1376">IF(BM1376 = "", "",IFERROR(INDEX(AW1376:BH1376,1,MATCH(2,1/(AW1376:BH1376&lt;&gt;""),1)-1),""))</f>
        <v>1569</v>
      </c>
      <c r="BK1376" s="59">
        <f>SUM(AW1376:BH1376)</f>
        <v>3137</v>
      </c>
      <c r="BL1376" s="59" cm="1">
        <f t="array" ref="BL1376">IFERROR(SUM(AW1376:INDEX(AW1376:BH1376, MATCH(2, 1/(AW1376:BH1376&lt;&gt;""), 1) - 1))/_xlfn.XLOOKUP(F1376,Apuração!A:A,Apuração!B:B),0)</f>
        <v>156.9</v>
      </c>
      <c r="BM1376" s="55" cm="1">
        <f t="array" ref="BM1376">IFERROR(
   INDEX($AW$1:$BH$1,
      _xlfn.AGGREGATE(14, 6, COLUMN($AW$1:$BH$1)/(AW1376:BH1376&lt;&gt;""), 2) - COLUMN($AW$1) + 1
   ),
"")</f>
        <v>46082</v>
      </c>
      <c r="BN1376" s="55" cm="1">
        <f t="array" ref="BN1376">IFERROR(INDEX($AW$1:$BH$1,1,MATCH(2,1/(AW1376:BH1376&lt;&gt;""))),"")</f>
        <v>46113</v>
      </c>
      <c r="BO1376" s="53">
        <f ca="1">IFERROR(_xlfn.XLOOKUP(F1376,Apuração!A:A,Apuração!C:C)/_xlfn.XLOOKUP(F1376,Apuração!A:A,Apuração!B:B),0)</f>
        <v>0.3</v>
      </c>
      <c r="BP1376" s="53">
        <f ca="1">IFERROR(_xlfn.XLOOKUP(F1376,Apuração!A:A,Apuração!D:D)/_xlfn.XLOOKUP(F1376,Apuração!A:A,Apuração!B:B),0)</f>
        <v>0.2</v>
      </c>
      <c r="BQ1376" s="53">
        <f ca="1">IF(BK1376&gt;=BO1376,0,_xlfn.XLOOKUP(F1376,Apuração!A:A,Apuração!B:B)*(BO1376 + (1/_xlfn.XLOOKUP(F1376,Apuração!A:A,Apuração!B:B)) - BK1376))</f>
        <v>0</v>
      </c>
      <c r="BR1376" s="85">
        <f ca="1">IF(BQ1376=0,0,BQ1376*Z1376)</f>
        <v>0</v>
      </c>
      <c r="BS1376" s="53">
        <f ca="1">IFERROR((_xlfn.XLOOKUP(F1376,Apuração!A:A,Apuração!C:C)+1)/_xlfn.XLOOKUP(F1376,Apuração!A:A,Apuração!B:B),0)</f>
        <v>0.4</v>
      </c>
    </row>
    <row r="1377" spans="1:71" ht="25.95" hidden="1" customHeight="1" x14ac:dyDescent="0.3">
      <c r="A1377" s="44" t="s">
        <v>175</v>
      </c>
      <c r="B1377" s="4" t="s">
        <v>176</v>
      </c>
      <c r="C1377" s="5" t="s">
        <v>209</v>
      </c>
      <c r="D1377" s="5" t="s">
        <v>210</v>
      </c>
      <c r="E1377" s="4" t="str" cm="1">
        <f t="array" ref="E1377">_xlfn.IFS(
F1377 = "A partir de Abril", "Aguardando Execução na Distribuidora",
A1377 = "CAPACITAÇÃO", "Em execução no Corporativo",
TRUE, "Em Execução na Distribuidora"
)</f>
        <v>Em execução no Corporativo</v>
      </c>
      <c r="F1377" s="4" t="str" cm="1">
        <f t="array" ref="F1377">_xlfn.IFS(
AG1377 &lt;&gt; "", "Jan-Dez/26",
AH1377 &lt;&gt; "", "Fev-Dez/26",
AI1377 &lt;&gt; "", "Mar-Dez/26", AJ1377 &lt;&gt; "", "Abr-Dez/26",
TRUE, "A partir de Junho"
)</f>
        <v>Mar-Dez/26</v>
      </c>
      <c r="G1377" s="4" t="s">
        <v>37</v>
      </c>
      <c r="H1377" s="7" t="s">
        <v>38</v>
      </c>
      <c r="I1377" s="21" t="s">
        <v>180</v>
      </c>
      <c r="J1377" s="8" t="str" cm="1">
        <f t="array" aca="1" ref="J1377" ca="1">_xlfn.LET(
  _xlpm.actual_value_month, INDEX(T1377:AE1377, MATCH(DATE(YEAR(TODAY()), MONTH(TODAY()), 1), $T$1:$AE$1, 0)),
  IF(_xlpm.actual_value_month &lt;&gt; "", _xlpm.actual_value_month &amp; " ações mensais", "")
)</f>
        <v/>
      </c>
      <c r="K1377" s="8" t="str" cm="1">
        <f t="array" ref="K1377">_xlfn.LET(
    _xlpm.sum_month, SUM(T1377:AE1377),
    IF(_xlpm.sum_month = 0, "", _xlpm.sum_month &amp; " colaboradores treinados.")
)</f>
        <v/>
      </c>
      <c r="L1377" s="9" t="s">
        <v>220</v>
      </c>
      <c r="M1377" s="13">
        <v>1</v>
      </c>
      <c r="N1377" s="5" t="s">
        <v>51</v>
      </c>
      <c r="O1377" s="5" t="s">
        <v>52</v>
      </c>
      <c r="P1377" s="10" t="s">
        <v>44</v>
      </c>
      <c r="Q1377" s="10"/>
      <c r="R1377" s="11" t="s">
        <v>44</v>
      </c>
      <c r="S1377" s="11" t="s">
        <v>44</v>
      </c>
      <c r="T1377" s="22"/>
      <c r="U1377" s="22"/>
      <c r="V1377" s="22"/>
      <c r="W1377" s="22"/>
      <c r="X1377" s="22"/>
      <c r="Y1377" s="22"/>
      <c r="Z1377" s="22"/>
      <c r="AA1377" s="22"/>
      <c r="AB1377" s="22"/>
      <c r="AC1377" s="22"/>
      <c r="AD1377" s="22"/>
      <c r="AE1377" s="22"/>
      <c r="AG1377" s="71"/>
      <c r="AH1377" s="71"/>
      <c r="AI1377" s="71">
        <v>414</v>
      </c>
      <c r="AJ1377" s="71">
        <v>414</v>
      </c>
      <c r="AK1377" s="71"/>
      <c r="AL1377" s="71"/>
      <c r="AM1377" s="71"/>
      <c r="AN1377" s="71"/>
      <c r="AO1377" s="71"/>
      <c r="AP1377" s="71"/>
      <c r="AQ1377" s="71"/>
      <c r="AR1377" s="71"/>
      <c r="AS1377" s="94" t="str" cm="1">
        <f t="array" ref="AS1377">IFERROR(INDEX(T1377:AE1377,1,MATCH(2,1/(T1377:AE1377&lt;&gt;""))),"")</f>
        <v/>
      </c>
      <c r="AT1377" s="95" cm="1">
        <f t="array" ref="AT1377">IFERROR(INDEX(AJ1377:AR1377,1,MATCH(2,1/(AJ1377:AR1377&lt;&gt;""))),"")</f>
        <v>414</v>
      </c>
      <c r="AU1377" s="97">
        <f t="shared" ref="AU1377:AU1381" si="1635">AT1377</f>
        <v>414</v>
      </c>
      <c r="AW1377" s="83">
        <f t="shared" ref="AW1377:AW1381" si="1636">AG1377</f>
        <v>0</v>
      </c>
      <c r="AX1377" s="52">
        <f t="shared" ref="AX1377:AX1381" si="1637">AH1377</f>
        <v>0</v>
      </c>
      <c r="AY1377" s="52">
        <f t="shared" ref="AY1377:AY1381" si="1638">AI1377</f>
        <v>414</v>
      </c>
      <c r="AZ1377" s="52">
        <f t="shared" ref="AZ1377:AZ1381" si="1639">AJ1377</f>
        <v>414</v>
      </c>
      <c r="BA1377" s="52"/>
      <c r="BB1377" s="52"/>
      <c r="BC1377" s="52"/>
      <c r="BD1377" s="52"/>
      <c r="BE1377" s="52"/>
      <c r="BF1377" s="52"/>
      <c r="BG1377" s="52"/>
      <c r="BH1377" s="52"/>
      <c r="BI1377" s="68" cm="1">
        <f t="array" ref="BI1377">IFERROR(INDEX(AW1377:BH1377,1,MATCH(2,1/(AW1377:BH1377&lt;&gt;""))),"")</f>
        <v>414</v>
      </c>
      <c r="BJ1377" s="68" cm="1">
        <f t="array" ref="BJ1377">IF(BM1377 = "", "",IFERROR(INDEX(AW1377:BH1377,1,MATCH(2,1/(AW1377:BH1377&lt;&gt;""),1)-1),""))</f>
        <v>414</v>
      </c>
      <c r="BK1377" s="59">
        <f t="shared" ref="BK1377:BK1381" si="1640">SUM(AW1377:BH1377)</f>
        <v>828</v>
      </c>
      <c r="BL1377" s="59" cm="1">
        <f t="array" ref="BL1377">IFERROR(SUM(AW1377:INDEX(AW1377:BH1377, MATCH(2, 1/(AW1377:BH1377&lt;&gt;""), 1) - 1))/_xlfn.XLOOKUP(F1377,Apuração!A:A,Apuração!B:B),0)</f>
        <v>41.4</v>
      </c>
      <c r="BM1377" s="55" cm="1">
        <f t="array" ref="BM1377">IFERROR(
   INDEX($AW$1:$BH$1,
      _xlfn.AGGREGATE(14, 6, COLUMN($AW$1:$BH$1)/(AW1377:BH1377&lt;&gt;""), 2) - COLUMN($AW$1) + 1
   ),
"")</f>
        <v>46082</v>
      </c>
      <c r="BN1377" s="55" cm="1">
        <f t="array" ref="BN1377">IFERROR(INDEX($AW$1:$BH$1,1,MATCH(2,1/(AW1377:BH1377&lt;&gt;""))),"")</f>
        <v>46113</v>
      </c>
      <c r="BO1377" s="53">
        <f ca="1">IFERROR(_xlfn.XLOOKUP(F1377,Apuração!A:A,Apuração!C:C)/_xlfn.XLOOKUP(F1377,Apuração!A:A,Apuração!B:B),0)</f>
        <v>0.3</v>
      </c>
      <c r="BP1377" s="53">
        <f ca="1">IFERROR(_xlfn.XLOOKUP(F1377,Apuração!A:A,Apuração!D:D)/_xlfn.XLOOKUP(F1377,Apuração!A:A,Apuração!B:B),0)</f>
        <v>0.2</v>
      </c>
      <c r="BQ1377" s="53">
        <f ca="1">IF(BK1377&gt;=BO1377,0,_xlfn.XLOOKUP(F1377,Apuração!A:A,Apuração!B:B)*(BO1377 + (1/_xlfn.XLOOKUP(F1377,Apuração!A:A,Apuração!B:B)) - BK1377))</f>
        <v>0</v>
      </c>
      <c r="BR1377" s="85">
        <f t="shared" ref="BR1377:BR1381" ca="1" si="1641">IF(BQ1377=0,0,BQ1377*Z1377)</f>
        <v>0</v>
      </c>
      <c r="BS1377" s="53">
        <f ca="1">IFERROR((_xlfn.XLOOKUP(F1377,Apuração!A:A,Apuração!C:C)+1)/_xlfn.XLOOKUP(F1377,Apuração!A:A,Apuração!B:B),0)</f>
        <v>0.4</v>
      </c>
    </row>
    <row r="1378" spans="1:71" ht="25.95" hidden="1" customHeight="1" x14ac:dyDescent="0.3">
      <c r="A1378" s="44" t="s">
        <v>175</v>
      </c>
      <c r="B1378" s="4" t="s">
        <v>176</v>
      </c>
      <c r="C1378" s="5" t="s">
        <v>209</v>
      </c>
      <c r="D1378" s="5" t="s">
        <v>47</v>
      </c>
      <c r="E1378" s="4" t="str" cm="1">
        <f t="array" ref="E1378">_xlfn.IFS(
F1378 = "A partir de Abril", "Aguardando Execução na Distribuidora",
A1378 = "CAPACITAÇÃO", "Em execução no Corporativo",
TRUE, "Em Execução na Distribuidora"
)</f>
        <v>Em execução no Corporativo</v>
      </c>
      <c r="F1378" s="4" t="str" cm="1">
        <f t="array" ref="F1378">_xlfn.IFS(
AG1378 &lt;&gt; "", "Jan-Dez/26",
AH1378 &lt;&gt; "", "Fev-Dez/26",
AI1378 &lt;&gt; "", "Mar-Dez/26", AJ1378 &lt;&gt; "", "Abr-Dez/26",
TRUE, "A partir de Junho"
)</f>
        <v>Mar-Dez/26</v>
      </c>
      <c r="G1378" s="4" t="s">
        <v>37</v>
      </c>
      <c r="H1378" s="7" t="s">
        <v>38</v>
      </c>
      <c r="I1378" s="21" t="s">
        <v>180</v>
      </c>
      <c r="J1378" s="8" t="str" cm="1">
        <f t="array" aca="1" ref="J1378" ca="1">_xlfn.LET(
  _xlpm.actual_value_month, INDEX(T1378:AE1378, MATCH(DATE(YEAR(TODAY()), MONTH(TODAY()), 1), $T$1:$AE$1, 0)),
  IF(_xlpm.actual_value_month &lt;&gt; "", _xlpm.actual_value_month &amp; " ações mensais", "")
)</f>
        <v/>
      </c>
      <c r="K1378" s="8" t="str" cm="1">
        <f t="array" ref="K1378">_xlfn.LET(
    _xlpm.sum_month, SUM(T1378:AE1378),
    IF(_xlpm.sum_month = 0, "", _xlpm.sum_month &amp; " colaboradores treinados.")
)</f>
        <v/>
      </c>
      <c r="L1378" s="9" t="s">
        <v>220</v>
      </c>
      <c r="M1378" s="13">
        <v>1</v>
      </c>
      <c r="N1378" s="5" t="s">
        <v>51</v>
      </c>
      <c r="O1378" s="5" t="s">
        <v>52</v>
      </c>
      <c r="P1378" s="10" t="s">
        <v>44</v>
      </c>
      <c r="Q1378" s="10"/>
      <c r="R1378" s="11" t="s">
        <v>44</v>
      </c>
      <c r="S1378" s="11" t="s">
        <v>44</v>
      </c>
      <c r="T1378" s="22"/>
      <c r="U1378" s="22"/>
      <c r="V1378" s="22"/>
      <c r="W1378" s="22"/>
      <c r="X1378" s="22"/>
      <c r="Y1378" s="22"/>
      <c r="Z1378" s="22"/>
      <c r="AA1378" s="22"/>
      <c r="AB1378" s="22"/>
      <c r="AC1378" s="22"/>
      <c r="AD1378" s="22"/>
      <c r="AE1378" s="22"/>
      <c r="AG1378" s="71"/>
      <c r="AH1378" s="71"/>
      <c r="AI1378" s="71">
        <v>331</v>
      </c>
      <c r="AJ1378" s="71">
        <v>331</v>
      </c>
      <c r="AK1378" s="71"/>
      <c r="AL1378" s="71"/>
      <c r="AM1378" s="71"/>
      <c r="AN1378" s="71"/>
      <c r="AO1378" s="71"/>
      <c r="AP1378" s="71"/>
      <c r="AQ1378" s="71"/>
      <c r="AR1378" s="71"/>
      <c r="AS1378" s="94" t="str" cm="1">
        <f t="array" ref="AS1378">IFERROR(INDEX(T1378:AE1378,1,MATCH(2,1/(T1378:AE1378&lt;&gt;""))),"")</f>
        <v/>
      </c>
      <c r="AT1378" s="95" cm="1">
        <f t="array" ref="AT1378">IFERROR(INDEX(AJ1378:AR1378,1,MATCH(2,1/(AJ1378:AR1378&lt;&gt;""))),"")</f>
        <v>331</v>
      </c>
      <c r="AU1378" s="97">
        <f t="shared" si="1635"/>
        <v>331</v>
      </c>
      <c r="AW1378" s="83">
        <f t="shared" si="1636"/>
        <v>0</v>
      </c>
      <c r="AX1378" s="52">
        <f t="shared" si="1637"/>
        <v>0</v>
      </c>
      <c r="AY1378" s="52">
        <f t="shared" si="1638"/>
        <v>331</v>
      </c>
      <c r="AZ1378" s="52">
        <f t="shared" si="1639"/>
        <v>331</v>
      </c>
      <c r="BA1378" s="52"/>
      <c r="BB1378" s="52"/>
      <c r="BC1378" s="52"/>
      <c r="BD1378" s="52"/>
      <c r="BE1378" s="52"/>
      <c r="BF1378" s="52"/>
      <c r="BG1378" s="52"/>
      <c r="BH1378" s="52"/>
      <c r="BI1378" s="68" cm="1">
        <f t="array" ref="BI1378">IFERROR(INDEX(AW1378:BH1378,1,MATCH(2,1/(AW1378:BH1378&lt;&gt;""))),"")</f>
        <v>331</v>
      </c>
      <c r="BJ1378" s="68" cm="1">
        <f t="array" ref="BJ1378">IF(BM1378 = "", "",IFERROR(INDEX(AW1378:BH1378,1,MATCH(2,1/(AW1378:BH1378&lt;&gt;""),1)-1),""))</f>
        <v>331</v>
      </c>
      <c r="BK1378" s="59">
        <f t="shared" si="1640"/>
        <v>662</v>
      </c>
      <c r="BL1378" s="59" cm="1">
        <f t="array" ref="BL1378">IFERROR(SUM(AW1378:INDEX(AW1378:BH1378, MATCH(2, 1/(AW1378:BH1378&lt;&gt;""), 1) - 1))/_xlfn.XLOOKUP(F1378,Apuração!A:A,Apuração!B:B),0)</f>
        <v>33.1</v>
      </c>
      <c r="BM1378" s="55" cm="1">
        <f t="array" ref="BM1378">IFERROR(
   INDEX($AW$1:$BH$1,
      _xlfn.AGGREGATE(14, 6, COLUMN($AW$1:$BH$1)/(AW1378:BH1378&lt;&gt;""), 2) - COLUMN($AW$1) + 1
   ),
"")</f>
        <v>46082</v>
      </c>
      <c r="BN1378" s="55" cm="1">
        <f t="array" ref="BN1378">IFERROR(INDEX($AW$1:$BH$1,1,MATCH(2,1/(AW1378:BH1378&lt;&gt;""))),"")</f>
        <v>46113</v>
      </c>
      <c r="BO1378" s="53">
        <f ca="1">IFERROR(_xlfn.XLOOKUP(F1378,Apuração!A:A,Apuração!C:C)/_xlfn.XLOOKUP(F1378,Apuração!A:A,Apuração!B:B),0)</f>
        <v>0.3</v>
      </c>
      <c r="BP1378" s="53">
        <f ca="1">IFERROR(_xlfn.XLOOKUP(F1378,Apuração!A:A,Apuração!D:D)/_xlfn.XLOOKUP(F1378,Apuração!A:A,Apuração!B:B),0)</f>
        <v>0.2</v>
      </c>
      <c r="BQ1378" s="53">
        <f ca="1">IF(BK1378&gt;=BO1378,0,_xlfn.XLOOKUP(F1378,Apuração!A:A,Apuração!B:B)*(BO1378 + (1/_xlfn.XLOOKUP(F1378,Apuração!A:A,Apuração!B:B)) - BK1378))</f>
        <v>0</v>
      </c>
      <c r="BR1378" s="85">
        <f t="shared" ca="1" si="1641"/>
        <v>0</v>
      </c>
      <c r="BS1378" s="53">
        <f ca="1">IFERROR((_xlfn.XLOOKUP(F1378,Apuração!A:A,Apuração!C:C)+1)/_xlfn.XLOOKUP(F1378,Apuração!A:A,Apuração!B:B),0)</f>
        <v>0.4</v>
      </c>
    </row>
    <row r="1379" spans="1:71" ht="25.95" hidden="1" customHeight="1" x14ac:dyDescent="0.3">
      <c r="A1379" s="44" t="s">
        <v>175</v>
      </c>
      <c r="B1379" s="4" t="s">
        <v>176</v>
      </c>
      <c r="C1379" s="5" t="s">
        <v>209</v>
      </c>
      <c r="D1379" s="5" t="s">
        <v>211</v>
      </c>
      <c r="E1379" s="4" t="str" cm="1">
        <f t="array" ref="E1379">_xlfn.IFS(
F1379 = "A partir de Abril", "Aguardando Execução na Distribuidora",
A1379 = "CAPACITAÇÃO", "Em execução no Corporativo",
TRUE, "Em Execução na Distribuidora"
)</f>
        <v>Em execução no Corporativo</v>
      </c>
      <c r="F1379" s="4" t="str" cm="1">
        <f t="array" ref="F1379">_xlfn.IFS(
AG1379 &lt;&gt; "", "Jan-Dez/26",
AH1379 &lt;&gt; "", "Fev-Dez/26",
AI1379 &lt;&gt; "", "Mar-Dez/26", AJ1379 &lt;&gt; "", "Abr-Dez/26",
TRUE, "A partir de Junho"
)</f>
        <v>Mar-Dez/26</v>
      </c>
      <c r="G1379" s="4" t="s">
        <v>37</v>
      </c>
      <c r="H1379" s="7" t="s">
        <v>38</v>
      </c>
      <c r="I1379" s="21" t="s">
        <v>180</v>
      </c>
      <c r="J1379" s="8" t="str" cm="1">
        <f t="array" aca="1" ref="J1379" ca="1">_xlfn.LET(
  _xlpm.actual_value_month, INDEX(T1379:AE1379, MATCH(DATE(YEAR(TODAY()), MONTH(TODAY()), 1), $T$1:$AE$1, 0)),
  IF(_xlpm.actual_value_month &lt;&gt; "", _xlpm.actual_value_month &amp; " ações mensais", "")
)</f>
        <v/>
      </c>
      <c r="K1379" s="8" t="str" cm="1">
        <f t="array" ref="K1379">_xlfn.LET(
    _xlpm.sum_month, SUM(T1379:AE1379),
    IF(_xlpm.sum_month = 0, "", _xlpm.sum_month &amp; " colaboradores treinados.")
)</f>
        <v/>
      </c>
      <c r="L1379" s="9" t="s">
        <v>220</v>
      </c>
      <c r="M1379" s="13">
        <v>1</v>
      </c>
      <c r="N1379" s="5" t="s">
        <v>51</v>
      </c>
      <c r="O1379" s="5" t="s">
        <v>52</v>
      </c>
      <c r="P1379" s="10" t="s">
        <v>44</v>
      </c>
      <c r="Q1379" s="10"/>
      <c r="R1379" s="11" t="s">
        <v>44</v>
      </c>
      <c r="S1379" s="11" t="s">
        <v>44</v>
      </c>
      <c r="T1379" s="22"/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  <c r="AG1379" s="71"/>
      <c r="AH1379" s="71"/>
      <c r="AI1379" s="71">
        <v>170</v>
      </c>
      <c r="AJ1379" s="71">
        <v>170</v>
      </c>
      <c r="AK1379" s="71"/>
      <c r="AL1379" s="71"/>
      <c r="AM1379" s="71"/>
      <c r="AN1379" s="71"/>
      <c r="AO1379" s="71"/>
      <c r="AP1379" s="71"/>
      <c r="AQ1379" s="71"/>
      <c r="AR1379" s="71"/>
      <c r="AS1379" s="94" t="str" cm="1">
        <f t="array" ref="AS1379">IFERROR(INDEX(T1379:AE1379,1,MATCH(2,1/(T1379:AE1379&lt;&gt;""))),"")</f>
        <v/>
      </c>
      <c r="AT1379" s="95" cm="1">
        <f t="array" ref="AT1379">IFERROR(INDEX(AJ1379:AR1379,1,MATCH(2,1/(AJ1379:AR1379&lt;&gt;""))),"")</f>
        <v>170</v>
      </c>
      <c r="AU1379" s="97">
        <f t="shared" si="1635"/>
        <v>170</v>
      </c>
      <c r="AW1379" s="83">
        <f t="shared" si="1636"/>
        <v>0</v>
      </c>
      <c r="AX1379" s="52">
        <f t="shared" si="1637"/>
        <v>0</v>
      </c>
      <c r="AY1379" s="52">
        <f t="shared" si="1638"/>
        <v>170</v>
      </c>
      <c r="AZ1379" s="52">
        <f t="shared" si="1639"/>
        <v>170</v>
      </c>
      <c r="BA1379" s="52"/>
      <c r="BB1379" s="52"/>
      <c r="BC1379" s="52"/>
      <c r="BD1379" s="52"/>
      <c r="BE1379" s="52"/>
      <c r="BF1379" s="52"/>
      <c r="BG1379" s="52"/>
      <c r="BH1379" s="52"/>
      <c r="BI1379" s="68" cm="1">
        <f t="array" ref="BI1379">IFERROR(INDEX(AW1379:BH1379,1,MATCH(2,1/(AW1379:BH1379&lt;&gt;""))),"")</f>
        <v>170</v>
      </c>
      <c r="BJ1379" s="68" cm="1">
        <f t="array" ref="BJ1379">IF(BM1379 = "", "",IFERROR(INDEX(AW1379:BH1379,1,MATCH(2,1/(AW1379:BH1379&lt;&gt;""),1)-1),""))</f>
        <v>170</v>
      </c>
      <c r="BK1379" s="59">
        <f t="shared" si="1640"/>
        <v>340</v>
      </c>
      <c r="BL1379" s="59" cm="1">
        <f t="array" ref="BL1379">IFERROR(SUM(AW1379:INDEX(AW1379:BH1379, MATCH(2, 1/(AW1379:BH1379&lt;&gt;""), 1) - 1))/_xlfn.XLOOKUP(F1379,Apuração!A:A,Apuração!B:B),0)</f>
        <v>17</v>
      </c>
      <c r="BM1379" s="55" cm="1">
        <f t="array" ref="BM1379">IFERROR(
   INDEX($AW$1:$BH$1,
      _xlfn.AGGREGATE(14, 6, COLUMN($AW$1:$BH$1)/(AW1379:BH1379&lt;&gt;""), 2) - COLUMN($AW$1) + 1
   ),
"")</f>
        <v>46082</v>
      </c>
      <c r="BN1379" s="55" cm="1">
        <f t="array" ref="BN1379">IFERROR(INDEX($AW$1:$BH$1,1,MATCH(2,1/(AW1379:BH1379&lt;&gt;""))),"")</f>
        <v>46113</v>
      </c>
      <c r="BO1379" s="53">
        <f ca="1">IFERROR(_xlfn.XLOOKUP(F1379,Apuração!A:A,Apuração!C:C)/_xlfn.XLOOKUP(F1379,Apuração!A:A,Apuração!B:B),0)</f>
        <v>0.3</v>
      </c>
      <c r="BP1379" s="53">
        <f ca="1">IFERROR(_xlfn.XLOOKUP(F1379,Apuração!A:A,Apuração!D:D)/_xlfn.XLOOKUP(F1379,Apuração!A:A,Apuração!B:B),0)</f>
        <v>0.2</v>
      </c>
      <c r="BQ1379" s="53">
        <f ca="1">IF(BK1379&gt;=BO1379,0,_xlfn.XLOOKUP(F1379,Apuração!A:A,Apuração!B:B)*(BO1379 + (1/_xlfn.XLOOKUP(F1379,Apuração!A:A,Apuração!B:B)) - BK1379))</f>
        <v>0</v>
      </c>
      <c r="BR1379" s="85">
        <f t="shared" ca="1" si="1641"/>
        <v>0</v>
      </c>
      <c r="BS1379" s="53">
        <f ca="1">IFERROR((_xlfn.XLOOKUP(F1379,Apuração!A:A,Apuração!C:C)+1)/_xlfn.XLOOKUP(F1379,Apuração!A:A,Apuração!B:B),0)</f>
        <v>0.4</v>
      </c>
    </row>
    <row r="1380" spans="1:71" ht="25.95" hidden="1" customHeight="1" x14ac:dyDescent="0.3">
      <c r="A1380" s="44" t="s">
        <v>175</v>
      </c>
      <c r="B1380" s="4" t="s">
        <v>176</v>
      </c>
      <c r="C1380" s="5" t="s">
        <v>209</v>
      </c>
      <c r="D1380" s="5" t="s">
        <v>212</v>
      </c>
      <c r="E1380" s="4" t="str" cm="1">
        <f t="array" ref="E1380">_xlfn.IFS(
F1380 = "A partir de Abril", "Aguardando Execução na Distribuidora",
A1380 = "CAPACITAÇÃO", "Em execução no Corporativo",
TRUE, "Em Execução na Distribuidora"
)</f>
        <v>Em execução no Corporativo</v>
      </c>
      <c r="F1380" s="4" t="str" cm="1">
        <f t="array" ref="F1380">_xlfn.IFS(
AG1380 &lt;&gt; "", "Jan-Dez/26",
AH1380 &lt;&gt; "", "Fev-Dez/26",
AI1380 &lt;&gt; "", "Mar-Dez/26", AJ1380 &lt;&gt; "", "Abr-Dez/26",
TRUE, "A partir de Junho"
)</f>
        <v>Mar-Dez/26</v>
      </c>
      <c r="G1380" s="4" t="s">
        <v>37</v>
      </c>
      <c r="H1380" s="7" t="s">
        <v>38</v>
      </c>
      <c r="I1380" s="21" t="s">
        <v>180</v>
      </c>
      <c r="J1380" s="8" t="str" cm="1">
        <f t="array" aca="1" ref="J1380" ca="1">_xlfn.LET(
  _xlpm.actual_value_month, INDEX(T1380:AE1380, MATCH(DATE(YEAR(TODAY()), MONTH(TODAY()), 1), $T$1:$AE$1, 0)),
  IF(_xlpm.actual_value_month &lt;&gt; "", _xlpm.actual_value_month &amp; " ações mensais", "")
)</f>
        <v/>
      </c>
      <c r="K1380" s="8" t="str" cm="1">
        <f t="array" ref="K1380">_xlfn.LET(
    _xlpm.sum_month, SUM(T1380:AE1380),
    IF(_xlpm.sum_month = 0, "", _xlpm.sum_month &amp; " colaboradores treinados.")
)</f>
        <v/>
      </c>
      <c r="L1380" s="9" t="s">
        <v>220</v>
      </c>
      <c r="M1380" s="13">
        <v>1</v>
      </c>
      <c r="N1380" s="5" t="s">
        <v>51</v>
      </c>
      <c r="O1380" s="5" t="s">
        <v>52</v>
      </c>
      <c r="P1380" s="10" t="s">
        <v>44</v>
      </c>
      <c r="Q1380" s="10"/>
      <c r="R1380" s="11" t="s">
        <v>44</v>
      </c>
      <c r="S1380" s="11" t="s">
        <v>44</v>
      </c>
      <c r="T1380" s="22"/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  <c r="AG1380" s="71"/>
      <c r="AH1380" s="71"/>
      <c r="AI1380" s="71">
        <v>453</v>
      </c>
      <c r="AJ1380" s="71">
        <v>453</v>
      </c>
      <c r="AK1380" s="71"/>
      <c r="AL1380" s="71"/>
      <c r="AM1380" s="71"/>
      <c r="AN1380" s="71"/>
      <c r="AO1380" s="71"/>
      <c r="AP1380" s="71"/>
      <c r="AQ1380" s="71"/>
      <c r="AR1380" s="71"/>
      <c r="AS1380" s="94" t="str" cm="1">
        <f t="array" ref="AS1380">IFERROR(INDEX(T1380:AE1380,1,MATCH(2,1/(T1380:AE1380&lt;&gt;""))),"")</f>
        <v/>
      </c>
      <c r="AT1380" s="95" cm="1">
        <f t="array" ref="AT1380">IFERROR(INDEX(AJ1380:AR1380,1,MATCH(2,1/(AJ1380:AR1380&lt;&gt;""))),"")</f>
        <v>453</v>
      </c>
      <c r="AU1380" s="97">
        <f t="shared" si="1635"/>
        <v>453</v>
      </c>
      <c r="AW1380" s="83">
        <f t="shared" si="1636"/>
        <v>0</v>
      </c>
      <c r="AX1380" s="52">
        <f t="shared" si="1637"/>
        <v>0</v>
      </c>
      <c r="AY1380" s="52">
        <f t="shared" si="1638"/>
        <v>453</v>
      </c>
      <c r="AZ1380" s="52">
        <f t="shared" si="1639"/>
        <v>453</v>
      </c>
      <c r="BA1380" s="52"/>
      <c r="BB1380" s="52"/>
      <c r="BC1380" s="52"/>
      <c r="BD1380" s="52"/>
      <c r="BE1380" s="52"/>
      <c r="BF1380" s="52"/>
      <c r="BG1380" s="52"/>
      <c r="BH1380" s="52"/>
      <c r="BI1380" s="68" cm="1">
        <f t="array" ref="BI1380">IFERROR(INDEX(AW1380:BH1380,1,MATCH(2,1/(AW1380:BH1380&lt;&gt;""))),"")</f>
        <v>453</v>
      </c>
      <c r="BJ1380" s="68" cm="1">
        <f t="array" ref="BJ1380">IF(BM1380 = "", "",IFERROR(INDEX(AW1380:BH1380,1,MATCH(2,1/(AW1380:BH1380&lt;&gt;""),1)-1),""))</f>
        <v>453</v>
      </c>
      <c r="BK1380" s="59">
        <f t="shared" si="1640"/>
        <v>906</v>
      </c>
      <c r="BL1380" s="59" cm="1">
        <f t="array" ref="BL1380">IFERROR(SUM(AW1380:INDEX(AW1380:BH1380, MATCH(2, 1/(AW1380:BH1380&lt;&gt;""), 1) - 1))/_xlfn.XLOOKUP(F1380,Apuração!A:A,Apuração!B:B),0)</f>
        <v>45.3</v>
      </c>
      <c r="BM1380" s="55" cm="1">
        <f t="array" ref="BM1380">IFERROR(
   INDEX($AW$1:$BH$1,
      _xlfn.AGGREGATE(14, 6, COLUMN($AW$1:$BH$1)/(AW1380:BH1380&lt;&gt;""), 2) - COLUMN($AW$1) + 1
   ),
"")</f>
        <v>46082</v>
      </c>
      <c r="BN1380" s="55" cm="1">
        <f t="array" ref="BN1380">IFERROR(INDEX($AW$1:$BH$1,1,MATCH(2,1/(AW1380:BH1380&lt;&gt;""))),"")</f>
        <v>46113</v>
      </c>
      <c r="BO1380" s="53">
        <f ca="1">IFERROR(_xlfn.XLOOKUP(F1380,Apuração!A:A,Apuração!C:C)/_xlfn.XLOOKUP(F1380,Apuração!A:A,Apuração!B:B),0)</f>
        <v>0.3</v>
      </c>
      <c r="BP1380" s="53">
        <f ca="1">IFERROR(_xlfn.XLOOKUP(F1380,Apuração!A:A,Apuração!D:D)/_xlfn.XLOOKUP(F1380,Apuração!A:A,Apuração!B:B),0)</f>
        <v>0.2</v>
      </c>
      <c r="BQ1380" s="53">
        <f ca="1">IF(BK1380&gt;=BO1380,0,_xlfn.XLOOKUP(F1380,Apuração!A:A,Apuração!B:B)*(BO1380 + (1/_xlfn.XLOOKUP(F1380,Apuração!A:A,Apuração!B:B)) - BK1380))</f>
        <v>0</v>
      </c>
      <c r="BR1380" s="85">
        <f t="shared" ca="1" si="1641"/>
        <v>0</v>
      </c>
      <c r="BS1380" s="53">
        <f ca="1">IFERROR((_xlfn.XLOOKUP(F1380,Apuração!A:A,Apuração!C:C)+1)/_xlfn.XLOOKUP(F1380,Apuração!A:A,Apuração!B:B),0)</f>
        <v>0.4</v>
      </c>
    </row>
    <row r="1381" spans="1:71" ht="25.95" hidden="1" customHeight="1" x14ac:dyDescent="0.3">
      <c r="A1381" s="44" t="s">
        <v>175</v>
      </c>
      <c r="B1381" s="4" t="s">
        <v>176</v>
      </c>
      <c r="C1381" s="5" t="s">
        <v>209</v>
      </c>
      <c r="D1381" s="5" t="s">
        <v>213</v>
      </c>
      <c r="E1381" s="4" t="str" cm="1">
        <f t="array" ref="E1381">_xlfn.IFS(
F1381 = "A partir de Abril", "Aguardando Execução na Distribuidora",
A1381 = "CAPACITAÇÃO", "Em execução no Corporativo",
TRUE, "Em Execução na Distribuidora"
)</f>
        <v>Em execução no Corporativo</v>
      </c>
      <c r="F1381" s="4" t="str" cm="1">
        <f t="array" ref="F1381">_xlfn.IFS(
AG1381 &lt;&gt; "", "Jan-Dez/26",
AH1381 &lt;&gt; "", "Fev-Dez/26",
AI1381 &lt;&gt; "", "Mar-Dez/26", AJ1381 &lt;&gt; "", "Abr-Dez/26",
TRUE, "A partir de Junho"
)</f>
        <v>Mar-Dez/26</v>
      </c>
      <c r="G1381" s="4" t="s">
        <v>37</v>
      </c>
      <c r="H1381" s="7" t="s">
        <v>38</v>
      </c>
      <c r="I1381" s="21" t="s">
        <v>180</v>
      </c>
      <c r="J1381" s="8" t="str" cm="1">
        <f t="array" aca="1" ref="J1381" ca="1">_xlfn.LET(
  _xlpm.actual_value_month, INDEX(T1381:AE1381, MATCH(DATE(YEAR(TODAY()), MONTH(TODAY()), 1), $T$1:$AE$1, 0)),
  IF(_xlpm.actual_value_month &lt;&gt; "", _xlpm.actual_value_month &amp; " ações mensais", "")
)</f>
        <v/>
      </c>
      <c r="K1381" s="8" t="str" cm="1">
        <f t="array" ref="K1381">_xlfn.LET(
    _xlpm.sum_month, SUM(T1381:AE1381),
    IF(_xlpm.sum_month = 0, "", _xlpm.sum_month &amp; " colaboradores treinados.")
)</f>
        <v/>
      </c>
      <c r="L1381" s="9" t="s">
        <v>220</v>
      </c>
      <c r="M1381" s="13">
        <v>1</v>
      </c>
      <c r="N1381" s="5" t="s">
        <v>51</v>
      </c>
      <c r="O1381" s="5" t="s">
        <v>52</v>
      </c>
      <c r="P1381" s="10" t="s">
        <v>44</v>
      </c>
      <c r="Q1381" s="10"/>
      <c r="R1381" s="11" t="s">
        <v>44</v>
      </c>
      <c r="S1381" s="11" t="s">
        <v>44</v>
      </c>
      <c r="T1381" s="22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  <c r="AG1381" s="71"/>
      <c r="AH1381" s="71"/>
      <c r="AI1381" s="71">
        <v>200</v>
      </c>
      <c r="AJ1381" s="71">
        <v>200</v>
      </c>
      <c r="AK1381" s="71"/>
      <c r="AL1381" s="71"/>
      <c r="AM1381" s="71"/>
      <c r="AN1381" s="71"/>
      <c r="AO1381" s="71"/>
      <c r="AP1381" s="71"/>
      <c r="AQ1381" s="71"/>
      <c r="AR1381" s="71"/>
      <c r="AS1381" s="94" t="str" cm="1">
        <f t="array" ref="AS1381">IFERROR(INDEX(T1381:AE1381,1,MATCH(2,1/(T1381:AE1381&lt;&gt;""))),"")</f>
        <v/>
      </c>
      <c r="AT1381" s="95" cm="1">
        <f t="array" ref="AT1381">IFERROR(INDEX(AJ1381:AR1381,1,MATCH(2,1/(AJ1381:AR1381&lt;&gt;""))),"")</f>
        <v>200</v>
      </c>
      <c r="AU1381" s="97">
        <f t="shared" si="1635"/>
        <v>200</v>
      </c>
      <c r="AW1381" s="83">
        <f t="shared" si="1636"/>
        <v>0</v>
      </c>
      <c r="AX1381" s="52">
        <f t="shared" si="1637"/>
        <v>0</v>
      </c>
      <c r="AY1381" s="52">
        <f t="shared" si="1638"/>
        <v>200</v>
      </c>
      <c r="AZ1381" s="52">
        <f t="shared" si="1639"/>
        <v>200</v>
      </c>
      <c r="BA1381" s="52"/>
      <c r="BB1381" s="52"/>
      <c r="BC1381" s="52"/>
      <c r="BD1381" s="52"/>
      <c r="BE1381" s="52"/>
      <c r="BF1381" s="52"/>
      <c r="BG1381" s="52"/>
      <c r="BH1381" s="52"/>
      <c r="BI1381" s="68" cm="1">
        <f t="array" ref="BI1381">IFERROR(INDEX(AW1381:BH1381,1,MATCH(2,1/(AW1381:BH1381&lt;&gt;""))),"")</f>
        <v>200</v>
      </c>
      <c r="BJ1381" s="68" cm="1">
        <f t="array" ref="BJ1381">IF(BM1381 = "", "",IFERROR(INDEX(AW1381:BH1381,1,MATCH(2,1/(AW1381:BH1381&lt;&gt;""),1)-1),""))</f>
        <v>200</v>
      </c>
      <c r="BK1381" s="59">
        <f t="shared" si="1640"/>
        <v>400</v>
      </c>
      <c r="BL1381" s="59" cm="1">
        <f t="array" ref="BL1381">IFERROR(SUM(AW1381:INDEX(AW1381:BH1381, MATCH(2, 1/(AW1381:BH1381&lt;&gt;""), 1) - 1))/_xlfn.XLOOKUP(F1381,Apuração!A:A,Apuração!B:B),0)</f>
        <v>20</v>
      </c>
      <c r="BM1381" s="55" cm="1">
        <f t="array" ref="BM1381">IFERROR(
   INDEX($AW$1:$BH$1,
      _xlfn.AGGREGATE(14, 6, COLUMN($AW$1:$BH$1)/(AW1381:BH1381&lt;&gt;""), 2) - COLUMN($AW$1) + 1
   ),
"")</f>
        <v>46082</v>
      </c>
      <c r="BN1381" s="55" cm="1">
        <f t="array" ref="BN1381">IFERROR(INDEX($AW$1:$BH$1,1,MATCH(2,1/(AW1381:BH1381&lt;&gt;""))),"")</f>
        <v>46113</v>
      </c>
      <c r="BO1381" s="53">
        <f ca="1">IFERROR(_xlfn.XLOOKUP(F1381,Apuração!A:A,Apuração!C:C)/_xlfn.XLOOKUP(F1381,Apuração!A:A,Apuração!B:B),0)</f>
        <v>0.3</v>
      </c>
      <c r="BP1381" s="53">
        <f ca="1">IFERROR(_xlfn.XLOOKUP(F1381,Apuração!A:A,Apuração!D:D)/_xlfn.XLOOKUP(F1381,Apuração!A:A,Apuração!B:B),0)</f>
        <v>0.2</v>
      </c>
      <c r="BQ1381" s="53">
        <f ca="1">IF(BK1381&gt;=BO1381,0,_xlfn.XLOOKUP(F1381,Apuração!A:A,Apuração!B:B)*(BO1381 + (1/_xlfn.XLOOKUP(F1381,Apuração!A:A,Apuração!B:B)) - BK1381))</f>
        <v>0</v>
      </c>
      <c r="BR1381" s="85">
        <f t="shared" ca="1" si="1641"/>
        <v>0</v>
      </c>
      <c r="BS1381" s="53">
        <f ca="1">IFERROR((_xlfn.XLOOKUP(F1381,Apuração!A:A,Apuração!C:C)+1)/_xlfn.XLOOKUP(F1381,Apuração!A:A,Apuração!B:B),0)</f>
        <v>0.4</v>
      </c>
    </row>
    <row r="1382" spans="1:71" ht="25.95" hidden="1" customHeight="1" x14ac:dyDescent="0.3">
      <c r="A1382" s="44" t="s">
        <v>175</v>
      </c>
      <c r="B1382" s="4" t="s">
        <v>176</v>
      </c>
      <c r="C1382" s="5" t="s">
        <v>209</v>
      </c>
      <c r="D1382" s="5" t="s">
        <v>36</v>
      </c>
      <c r="E1382" s="4" t="str" cm="1">
        <f t="array" ref="E1382">_xlfn.IFS(
F1382 = "A partir de Abril", "Aguardando Execução na Distribuidora",
A1382 = "CAPACITAÇÃO", "Em execução no Corporativo",
TRUE, "Em Execução na Distribuidora"
)</f>
        <v>Em execução no Corporativo</v>
      </c>
      <c r="F1382" s="4" t="str" cm="1">
        <f t="array" ref="F1382">_xlfn.IFS(
AG1382 &lt;&gt; "", "Jan-Dez/26",
AH1382 &lt;&gt; "", "Fev-Dez/26",
AI1382 &lt;&gt; "", "Mar-Dez/26", AJ1382 &lt;&gt; "", "Abr-Dez/26",
TRUE, "A partir de Junho"
)</f>
        <v>Mar-Dez/26</v>
      </c>
      <c r="G1382" s="4" t="s">
        <v>37</v>
      </c>
      <c r="H1382" s="7" t="s">
        <v>38</v>
      </c>
      <c r="I1382" s="21" t="s">
        <v>182</v>
      </c>
      <c r="J1382" s="8" t="str" cm="1">
        <f t="array" aca="1" ref="J1382" ca="1">_xlfn.LET(
  _xlpm.actual_value_month, INDEX(T1382:AE1382, MATCH(DATE(YEAR(TODAY()), MONTH(TODAY()), 1), $T$1:$AE$1, 0)),
  IF(_xlpm.actual_value_month &lt;&gt; "", _xlpm.actual_value_month &amp; " ações mensais", "")
)</f>
        <v/>
      </c>
      <c r="K1382" s="8" t="str" cm="1">
        <f t="array" ref="K1382">_xlfn.LET(
    _xlpm.sum_month, SUM(T1382:AE1382),
    IF(_xlpm.sum_month = 0, "", _xlpm.sum_month &amp; " taxa de aprovados")
)</f>
        <v>3137 taxa de aprovados</v>
      </c>
      <c r="L1382" s="4" t="s">
        <v>183</v>
      </c>
      <c r="M1382" s="13">
        <v>1</v>
      </c>
      <c r="N1382" s="5" t="s">
        <v>51</v>
      </c>
      <c r="O1382" s="5" t="s">
        <v>43</v>
      </c>
      <c r="P1382" s="10" t="s">
        <v>44</v>
      </c>
      <c r="Q1382" s="10" t="s">
        <v>44</v>
      </c>
      <c r="R1382" s="11" t="s">
        <v>44</v>
      </c>
      <c r="S1382" s="11" t="s">
        <v>44</v>
      </c>
      <c r="T1382" s="22"/>
      <c r="U1382" s="22"/>
      <c r="V1382" s="22">
        <v>1569</v>
      </c>
      <c r="W1382" s="22">
        <v>1568</v>
      </c>
      <c r="X1382" s="22"/>
      <c r="Y1382" s="22"/>
      <c r="Z1382" s="22"/>
      <c r="AA1382" s="22"/>
      <c r="AB1382" s="22"/>
      <c r="AC1382" s="22"/>
      <c r="AD1382" s="22"/>
      <c r="AE1382" s="22"/>
      <c r="AG1382" s="71"/>
      <c r="AH1382" s="71"/>
      <c r="AI1382" s="71">
        <v>1569</v>
      </c>
      <c r="AJ1382" s="71">
        <v>1568</v>
      </c>
      <c r="AK1382" s="71"/>
      <c r="AL1382" s="71"/>
      <c r="AM1382" s="71"/>
      <c r="AN1382" s="71"/>
      <c r="AO1382" s="71"/>
      <c r="AP1382" s="71"/>
      <c r="AQ1382" s="71"/>
      <c r="AR1382" s="71"/>
      <c r="AS1382" s="94" cm="1">
        <f t="array" ref="AS1382">IFERROR(INDEX(T1382:AE1382,1,MATCH(2,1/(T1382:AE1382&lt;&gt;""))),"")</f>
        <v>1568</v>
      </c>
      <c r="AT1382" s="95" cm="1">
        <f t="array" ref="AT1382">IFERROR(INDEX(AJ1382:AR1382,1,MATCH(2,1/(AJ1382:AR1382&lt;&gt;""))),"")</f>
        <v>1568</v>
      </c>
      <c r="AU1382" s="97">
        <f>AT1382</f>
        <v>1568</v>
      </c>
      <c r="AW1382" s="52">
        <f>IFERROR(IF(T1382="",0,T1382/AG1382),0)</f>
        <v>0</v>
      </c>
      <c r="AX1382" s="52">
        <f>IFERROR(IF(U1382="",0,U1382/AH1382),0)</f>
        <v>0</v>
      </c>
      <c r="AY1382" s="118">
        <f>IFERROR(IF(V1382="",0,V1382/AI1382),0)</f>
        <v>1</v>
      </c>
      <c r="AZ1382" s="118">
        <f>IFERROR(IF(W1382="",0,W1382/AJ1382),0)</f>
        <v>1</v>
      </c>
      <c r="BA1382" s="52"/>
      <c r="BB1382" s="52"/>
      <c r="BC1382" s="52"/>
      <c r="BD1382" s="52"/>
      <c r="BE1382" s="52"/>
      <c r="BF1382" s="52"/>
      <c r="BG1382" s="52"/>
      <c r="BH1382" s="52"/>
      <c r="BI1382" s="65" cm="1">
        <f t="array" ref="BI1382">IFERROR(INDEX(AW1382:BH1382,1,MATCH(2,1/(AW1382:BH1382&lt;&gt;""))),"")</f>
        <v>1</v>
      </c>
      <c r="BJ1382" s="68" cm="1">
        <f t="array" ref="BJ1382">IF(BM1382 = "", "",IFERROR(INDEX(AW1382:BH1382,1,MATCH(2,1/(AW1382:BH1382&lt;&gt;""),1)-1),""))</f>
        <v>1</v>
      </c>
      <c r="BK1382" s="58" cm="1">
        <f t="array" ref="BK1382">IFERROR(INDEX(AW1382:BH1382,1,MATCH(2,1/(AW1382:BH1382&lt;&gt;""))),"")</f>
        <v>1</v>
      </c>
      <c r="BL1382" s="58" cm="1">
        <f t="array" ref="BL1382">IFERROR(INDEX(AW1382:BH1382,1,MATCH(2,1/(AW1382:BH1382&lt;&gt;""),1)-1),"")</f>
        <v>1</v>
      </c>
      <c r="BM1382" s="55" cm="1">
        <f t="array" ref="BM1382">IFERROR(
   INDEX($AW$1:$BH$1,
      _xlfn.AGGREGATE(14, 6, COLUMN($AW$1:$BH$1)/(AW1382:BH1382&lt;&gt;""), 2) - COLUMN($AW$1) + 1
   ),
"")</f>
        <v>46082</v>
      </c>
      <c r="BN1382" s="55" cm="1">
        <f t="array" ref="BN1382">IFERROR(INDEX($AW$1:$BH$1,1,MATCH(2,1/(AW1382:BH1382&lt;&gt;""))),"")</f>
        <v>46113</v>
      </c>
      <c r="BO1382" s="53">
        <f ca="1">IFERROR(_xlfn.XLOOKUP(F1382,Apuração!A:A,Apuração!C:C)/_xlfn.XLOOKUP(F1382,Apuração!A:A,Apuração!B:B),0)</f>
        <v>0.3</v>
      </c>
      <c r="BP1382" s="53">
        <f ca="1">IFERROR(_xlfn.XLOOKUP(F1382,Apuração!A:A,Apuração!D:D)/_xlfn.XLOOKUP(F1382,Apuração!A:A,Apuração!B:B),0)</f>
        <v>0.2</v>
      </c>
      <c r="BQ1382" s="53">
        <f ca="1">IF(BK1382&gt;=BO1382,0,_xlfn.XLOOKUP(F1382,Apuração!A:A,Apuração!B:B)*(BO1382 + (1/_xlfn.XLOOKUP(F1382,Apuração!A:A,Apuração!B:B)) - BK1382))</f>
        <v>0</v>
      </c>
      <c r="BR1382" s="85">
        <f ca="1">IF(BQ1382=0,0,BQ1382*Z1382)</f>
        <v>0</v>
      </c>
      <c r="BS1382" s="53">
        <f ca="1">IFERROR((_xlfn.XLOOKUP(F1382,Apuração!A:A,Apuração!C:C)+1)/_xlfn.XLOOKUP(F1382,Apuração!A:A,Apuração!B:B),0)</f>
        <v>0.4</v>
      </c>
    </row>
    <row r="1383" spans="1:71" ht="25.95" hidden="1" customHeight="1" x14ac:dyDescent="0.3">
      <c r="A1383" s="44" t="s">
        <v>175</v>
      </c>
      <c r="B1383" s="4" t="s">
        <v>176</v>
      </c>
      <c r="C1383" s="5" t="s">
        <v>209</v>
      </c>
      <c r="D1383" s="5" t="s">
        <v>210</v>
      </c>
      <c r="E1383" s="4" t="str" cm="1">
        <f t="array" ref="E1383">_xlfn.IFS(
F1383 = "A partir de Abril", "Aguardando Execução na Distribuidora",
A1383 = "CAPACITAÇÃO", "Em execução no Corporativo",
TRUE, "Em Execução na Distribuidora"
)</f>
        <v>Em execução no Corporativo</v>
      </c>
      <c r="F1383" s="4" t="str" cm="1">
        <f t="array" ref="F1383">_xlfn.IFS(
AG1383 &lt;&gt; "", "Jan-Dez/26",
AH1383 &lt;&gt; "", "Fev-Dez/26",
AI1383 &lt;&gt; "", "Mar-Dez/26", AJ1383 &lt;&gt; "", "Abr-Dez/26",
TRUE, "A partir de Junho"
)</f>
        <v>Mar-Dez/26</v>
      </c>
      <c r="G1383" s="4" t="s">
        <v>37</v>
      </c>
      <c r="H1383" s="7" t="s">
        <v>38</v>
      </c>
      <c r="I1383" s="21" t="s">
        <v>182</v>
      </c>
      <c r="J1383" s="8" t="str" cm="1">
        <f t="array" aca="1" ref="J1383" ca="1">_xlfn.LET(
  _xlpm.actual_value_month, INDEX(T1383:AE1383, MATCH(DATE(YEAR(TODAY()), MONTH(TODAY()), 1), $T$1:$AE$1, 0)),
  IF(_xlpm.actual_value_month &lt;&gt; "", _xlpm.actual_value_month &amp; " ações mensais", "")
)</f>
        <v/>
      </c>
      <c r="K1383" s="8" t="str" cm="1">
        <f t="array" ref="K1383">_xlfn.LET(
    _xlpm.sum_month, SUM(T1383:AE1383),
    IF(_xlpm.sum_month = 0, "", _xlpm.sum_month &amp; " taxa de aprovados")
)</f>
        <v>828 taxa de aprovados</v>
      </c>
      <c r="L1383" s="4" t="s">
        <v>183</v>
      </c>
      <c r="M1383" s="13">
        <v>1</v>
      </c>
      <c r="N1383" s="5" t="s">
        <v>51</v>
      </c>
      <c r="O1383" s="5" t="s">
        <v>43</v>
      </c>
      <c r="P1383" s="10" t="s">
        <v>44</v>
      </c>
      <c r="Q1383" s="10" t="s">
        <v>44</v>
      </c>
      <c r="R1383" s="11" t="s">
        <v>44</v>
      </c>
      <c r="S1383" s="11" t="s">
        <v>44</v>
      </c>
      <c r="T1383" s="22"/>
      <c r="U1383" s="22"/>
      <c r="V1383" s="22">
        <v>414</v>
      </c>
      <c r="W1383" s="22">
        <v>414</v>
      </c>
      <c r="X1383" s="22"/>
      <c r="Y1383" s="22"/>
      <c r="Z1383" s="22"/>
      <c r="AA1383" s="22"/>
      <c r="AB1383" s="22"/>
      <c r="AC1383" s="22"/>
      <c r="AD1383" s="22"/>
      <c r="AE1383" s="22"/>
      <c r="AG1383" s="71"/>
      <c r="AH1383" s="71"/>
      <c r="AI1383" s="71">
        <v>414</v>
      </c>
      <c r="AJ1383" s="71">
        <v>414</v>
      </c>
      <c r="AK1383" s="71"/>
      <c r="AL1383" s="71"/>
      <c r="AM1383" s="71"/>
      <c r="AN1383" s="71"/>
      <c r="AO1383" s="71"/>
      <c r="AP1383" s="71"/>
      <c r="AQ1383" s="71"/>
      <c r="AR1383" s="71"/>
      <c r="AS1383" s="94" cm="1">
        <f t="array" ref="AS1383">IFERROR(INDEX(T1383:AE1383,1,MATCH(2,1/(T1383:AE1383&lt;&gt;""))),"")</f>
        <v>414</v>
      </c>
      <c r="AT1383" s="95" cm="1">
        <f t="array" ref="AT1383">IFERROR(INDEX(AJ1383:AR1383,1,MATCH(2,1/(AJ1383:AR1383&lt;&gt;""))),"")</f>
        <v>414</v>
      </c>
      <c r="AU1383" s="97">
        <f t="shared" ref="AU1383:AU1387" si="1642">AT1383</f>
        <v>414</v>
      </c>
      <c r="AW1383" s="52">
        <f t="shared" ref="AW1383:AW1387" si="1643">IFERROR(IF(T1383="",0,T1383/AG1383),0)</f>
        <v>0</v>
      </c>
      <c r="AX1383" s="52">
        <f t="shared" ref="AX1383:AX1387" si="1644">IFERROR(IF(U1383="",0,U1383/AH1383),0)</f>
        <v>0</v>
      </c>
      <c r="AY1383" s="118">
        <f t="shared" ref="AY1383:AY1387" si="1645">IFERROR(IF(V1383="",0,V1383/AI1383),0)</f>
        <v>1</v>
      </c>
      <c r="AZ1383" s="118">
        <f t="shared" ref="AZ1383:AZ1387" si="1646">IFERROR(IF(W1383="",0,W1383/AJ1383),0)</f>
        <v>1</v>
      </c>
      <c r="BA1383" s="52"/>
      <c r="BB1383" s="52"/>
      <c r="BC1383" s="52"/>
      <c r="BD1383" s="52"/>
      <c r="BE1383" s="52"/>
      <c r="BF1383" s="52"/>
      <c r="BG1383" s="52"/>
      <c r="BH1383" s="52"/>
      <c r="BI1383" s="65" cm="1">
        <f t="array" ref="BI1383">IFERROR(INDEX(AW1383:BH1383,1,MATCH(2,1/(AW1383:BH1383&lt;&gt;""))),"")</f>
        <v>1</v>
      </c>
      <c r="BJ1383" s="68" cm="1">
        <f t="array" ref="BJ1383">IF(BM1383 = "", "",IFERROR(INDEX(AW1383:BH1383,1,MATCH(2,1/(AW1383:BH1383&lt;&gt;""),1)-1),""))</f>
        <v>1</v>
      </c>
      <c r="BK1383" s="58" cm="1">
        <f t="array" ref="BK1383">IFERROR(INDEX(AW1383:BH1383,1,MATCH(2,1/(AW1383:BH1383&lt;&gt;""))),"")</f>
        <v>1</v>
      </c>
      <c r="BL1383" s="58" cm="1">
        <f t="array" ref="BL1383">IFERROR(INDEX(AW1383:BH1383,1,MATCH(2,1/(AW1383:BH1383&lt;&gt;""),1)-1),"")</f>
        <v>1</v>
      </c>
      <c r="BM1383" s="55" cm="1">
        <f t="array" ref="BM1383">IFERROR(
   INDEX($AW$1:$BH$1,
      _xlfn.AGGREGATE(14, 6, COLUMN($AW$1:$BH$1)/(AW1383:BH1383&lt;&gt;""), 2) - COLUMN($AW$1) + 1
   ),
"")</f>
        <v>46082</v>
      </c>
      <c r="BN1383" s="55" cm="1">
        <f t="array" ref="BN1383">IFERROR(INDEX($AW$1:$BH$1,1,MATCH(2,1/(AW1383:BH1383&lt;&gt;""))),"")</f>
        <v>46113</v>
      </c>
      <c r="BO1383" s="53">
        <f ca="1">IFERROR(_xlfn.XLOOKUP(F1383,Apuração!A:A,Apuração!C:C)/_xlfn.XLOOKUP(F1383,Apuração!A:A,Apuração!B:B),0)</f>
        <v>0.3</v>
      </c>
      <c r="BP1383" s="53">
        <f ca="1">IFERROR(_xlfn.XLOOKUP(F1383,Apuração!A:A,Apuração!D:D)/_xlfn.XLOOKUP(F1383,Apuração!A:A,Apuração!B:B),0)</f>
        <v>0.2</v>
      </c>
      <c r="BQ1383" s="53">
        <f ca="1">IF(BK1383&gt;=BO1383,0,_xlfn.XLOOKUP(F1383,Apuração!A:A,Apuração!B:B)*(BO1383 + (1/_xlfn.XLOOKUP(F1383,Apuração!A:A,Apuração!B:B)) - BK1383))</f>
        <v>0</v>
      </c>
      <c r="BR1383" s="85">
        <f t="shared" ref="BR1383:BR1387" ca="1" si="1647">IF(BQ1383=0,0,BQ1383*Z1383)</f>
        <v>0</v>
      </c>
      <c r="BS1383" s="53">
        <f ca="1">IFERROR((_xlfn.XLOOKUP(F1383,Apuração!A:A,Apuração!C:C)+1)/_xlfn.XLOOKUP(F1383,Apuração!A:A,Apuração!B:B),0)</f>
        <v>0.4</v>
      </c>
    </row>
    <row r="1384" spans="1:71" ht="25.95" hidden="1" customHeight="1" x14ac:dyDescent="0.3">
      <c r="A1384" s="44" t="s">
        <v>175</v>
      </c>
      <c r="B1384" s="4" t="s">
        <v>176</v>
      </c>
      <c r="C1384" s="5" t="s">
        <v>209</v>
      </c>
      <c r="D1384" s="5" t="s">
        <v>47</v>
      </c>
      <c r="E1384" s="4" t="str" cm="1">
        <f t="array" ref="E1384">_xlfn.IFS(
F1384 = "A partir de Abril", "Aguardando Execução na Distribuidora",
A1384 = "CAPACITAÇÃO", "Em execução no Corporativo",
TRUE, "Em Execução na Distribuidora"
)</f>
        <v>Em execução no Corporativo</v>
      </c>
      <c r="F1384" s="4" t="str" cm="1">
        <f t="array" ref="F1384">_xlfn.IFS(
AG1384 &lt;&gt; "", "Jan-Dez/26",
AH1384 &lt;&gt; "", "Fev-Dez/26",
AI1384 &lt;&gt; "", "Mar-Dez/26", AJ1384 &lt;&gt; "", "Abr-Dez/26",
TRUE, "A partir de Junho"
)</f>
        <v>Mar-Dez/26</v>
      </c>
      <c r="G1384" s="4" t="s">
        <v>37</v>
      </c>
      <c r="H1384" s="7" t="s">
        <v>38</v>
      </c>
      <c r="I1384" s="21" t="s">
        <v>182</v>
      </c>
      <c r="J1384" s="8" t="str" cm="1">
        <f t="array" aca="1" ref="J1384" ca="1">_xlfn.LET(
  _xlpm.actual_value_month, INDEX(T1384:AE1384, MATCH(DATE(YEAR(TODAY()), MONTH(TODAY()), 1), $T$1:$AE$1, 0)),
  IF(_xlpm.actual_value_month &lt;&gt; "", _xlpm.actual_value_month &amp; " ações mensais", "")
)</f>
        <v/>
      </c>
      <c r="K1384" s="8" t="str" cm="1">
        <f t="array" ref="K1384">_xlfn.LET(
    _xlpm.sum_month, SUM(T1384:AE1384),
    IF(_xlpm.sum_month = 0, "", _xlpm.sum_month &amp; " taxa de aprovados")
)</f>
        <v>662 taxa de aprovados</v>
      </c>
      <c r="L1384" s="4" t="s">
        <v>183</v>
      </c>
      <c r="M1384" s="13">
        <v>1</v>
      </c>
      <c r="N1384" s="5" t="s">
        <v>51</v>
      </c>
      <c r="O1384" s="5" t="s">
        <v>43</v>
      </c>
      <c r="P1384" s="10" t="s">
        <v>44</v>
      </c>
      <c r="Q1384" s="10" t="s">
        <v>44</v>
      </c>
      <c r="R1384" s="11" t="s">
        <v>44</v>
      </c>
      <c r="S1384" s="11" t="s">
        <v>44</v>
      </c>
      <c r="T1384" s="22"/>
      <c r="U1384" s="22"/>
      <c r="V1384" s="22">
        <v>331</v>
      </c>
      <c r="W1384" s="22">
        <v>331</v>
      </c>
      <c r="X1384" s="22"/>
      <c r="Y1384" s="22"/>
      <c r="Z1384" s="22"/>
      <c r="AA1384" s="22"/>
      <c r="AB1384" s="22"/>
      <c r="AC1384" s="22"/>
      <c r="AD1384" s="22"/>
      <c r="AE1384" s="22"/>
      <c r="AG1384" s="71"/>
      <c r="AH1384" s="71"/>
      <c r="AI1384" s="71">
        <v>331</v>
      </c>
      <c r="AJ1384" s="71">
        <v>331</v>
      </c>
      <c r="AK1384" s="71"/>
      <c r="AL1384" s="71"/>
      <c r="AM1384" s="71"/>
      <c r="AN1384" s="71"/>
      <c r="AO1384" s="71"/>
      <c r="AP1384" s="71"/>
      <c r="AQ1384" s="71"/>
      <c r="AR1384" s="71"/>
      <c r="AS1384" s="94" cm="1">
        <f t="array" ref="AS1384">IFERROR(INDEX(T1384:AE1384,1,MATCH(2,1/(T1384:AE1384&lt;&gt;""))),"")</f>
        <v>331</v>
      </c>
      <c r="AT1384" s="95" cm="1">
        <f t="array" ref="AT1384">IFERROR(INDEX(AJ1384:AR1384,1,MATCH(2,1/(AJ1384:AR1384&lt;&gt;""))),"")</f>
        <v>331</v>
      </c>
      <c r="AU1384" s="97">
        <f t="shared" si="1642"/>
        <v>331</v>
      </c>
      <c r="AW1384" s="52">
        <f t="shared" si="1643"/>
        <v>0</v>
      </c>
      <c r="AX1384" s="52">
        <f t="shared" si="1644"/>
        <v>0</v>
      </c>
      <c r="AY1384" s="118">
        <f t="shared" si="1645"/>
        <v>1</v>
      </c>
      <c r="AZ1384" s="118">
        <f t="shared" si="1646"/>
        <v>1</v>
      </c>
      <c r="BA1384" s="52"/>
      <c r="BB1384" s="52"/>
      <c r="BC1384" s="52"/>
      <c r="BD1384" s="52"/>
      <c r="BE1384" s="52"/>
      <c r="BF1384" s="52"/>
      <c r="BG1384" s="52"/>
      <c r="BH1384" s="52"/>
      <c r="BI1384" s="65" cm="1">
        <f t="array" ref="BI1384">IFERROR(INDEX(AW1384:BH1384,1,MATCH(2,1/(AW1384:BH1384&lt;&gt;""))),"")</f>
        <v>1</v>
      </c>
      <c r="BJ1384" s="68" cm="1">
        <f t="array" ref="BJ1384">IF(BM1384 = "", "",IFERROR(INDEX(AW1384:BH1384,1,MATCH(2,1/(AW1384:BH1384&lt;&gt;""),1)-1),""))</f>
        <v>1</v>
      </c>
      <c r="BK1384" s="58" cm="1">
        <f t="array" ref="BK1384">IFERROR(INDEX(AW1384:BH1384,1,MATCH(2,1/(AW1384:BH1384&lt;&gt;""))),"")</f>
        <v>1</v>
      </c>
      <c r="BL1384" s="58" cm="1">
        <f t="array" ref="BL1384">IFERROR(INDEX(AW1384:BH1384,1,MATCH(2,1/(AW1384:BH1384&lt;&gt;""),1)-1),"")</f>
        <v>1</v>
      </c>
      <c r="BM1384" s="55" cm="1">
        <f t="array" ref="BM1384">IFERROR(
   INDEX($AW$1:$BH$1,
      _xlfn.AGGREGATE(14, 6, COLUMN($AW$1:$BH$1)/(AW1384:BH1384&lt;&gt;""), 2) - COLUMN($AW$1) + 1
   ),
"")</f>
        <v>46082</v>
      </c>
      <c r="BN1384" s="55" cm="1">
        <f t="array" ref="BN1384">IFERROR(INDEX($AW$1:$BH$1,1,MATCH(2,1/(AW1384:BH1384&lt;&gt;""))),"")</f>
        <v>46113</v>
      </c>
      <c r="BO1384" s="53">
        <f ca="1">IFERROR(_xlfn.XLOOKUP(F1384,Apuração!A:A,Apuração!C:C)/_xlfn.XLOOKUP(F1384,Apuração!A:A,Apuração!B:B),0)</f>
        <v>0.3</v>
      </c>
      <c r="BP1384" s="53">
        <f ca="1">IFERROR(_xlfn.XLOOKUP(F1384,Apuração!A:A,Apuração!D:D)/_xlfn.XLOOKUP(F1384,Apuração!A:A,Apuração!B:B),0)</f>
        <v>0.2</v>
      </c>
      <c r="BQ1384" s="53">
        <f ca="1">IF(BK1384&gt;=BO1384,0,_xlfn.XLOOKUP(F1384,Apuração!A:A,Apuração!B:B)*(BO1384 + (1/_xlfn.XLOOKUP(F1384,Apuração!A:A,Apuração!B:B)) - BK1384))</f>
        <v>0</v>
      </c>
      <c r="BR1384" s="85">
        <f t="shared" ca="1" si="1647"/>
        <v>0</v>
      </c>
      <c r="BS1384" s="53">
        <f ca="1">IFERROR((_xlfn.XLOOKUP(F1384,Apuração!A:A,Apuração!C:C)+1)/_xlfn.XLOOKUP(F1384,Apuração!A:A,Apuração!B:B),0)</f>
        <v>0.4</v>
      </c>
    </row>
    <row r="1385" spans="1:71" ht="25.95" hidden="1" customHeight="1" x14ac:dyDescent="0.3">
      <c r="A1385" s="44" t="s">
        <v>175</v>
      </c>
      <c r="B1385" s="4" t="s">
        <v>176</v>
      </c>
      <c r="C1385" s="5" t="s">
        <v>209</v>
      </c>
      <c r="D1385" s="5" t="s">
        <v>211</v>
      </c>
      <c r="E1385" s="4" t="str" cm="1">
        <f t="array" ref="E1385">_xlfn.IFS(
F1385 = "A partir de Abril", "Aguardando Execução na Distribuidora",
A1385 = "CAPACITAÇÃO", "Em execução no Corporativo",
TRUE, "Em Execução na Distribuidora"
)</f>
        <v>Em execução no Corporativo</v>
      </c>
      <c r="F1385" s="4" t="str" cm="1">
        <f t="array" ref="F1385">_xlfn.IFS(
AG1385 &lt;&gt; "", "Jan-Dez/26",
AH1385 &lt;&gt; "", "Fev-Dez/26",
AI1385 &lt;&gt; "", "Mar-Dez/26", AJ1385 &lt;&gt; "", "Abr-Dez/26",
TRUE, "A partir de Junho"
)</f>
        <v>Mar-Dez/26</v>
      </c>
      <c r="G1385" s="4" t="s">
        <v>37</v>
      </c>
      <c r="H1385" s="7" t="s">
        <v>38</v>
      </c>
      <c r="I1385" s="21" t="s">
        <v>182</v>
      </c>
      <c r="J1385" s="8" t="str" cm="1">
        <f t="array" aca="1" ref="J1385" ca="1">_xlfn.LET(
  _xlpm.actual_value_month, INDEX(T1385:AE1385, MATCH(DATE(YEAR(TODAY()), MONTH(TODAY()), 1), $T$1:$AE$1, 0)),
  IF(_xlpm.actual_value_month &lt;&gt; "", _xlpm.actual_value_month &amp; " ações mensais", "")
)</f>
        <v/>
      </c>
      <c r="K1385" s="8" t="str" cm="1">
        <f t="array" ref="K1385">_xlfn.LET(
    _xlpm.sum_month, SUM(T1385:AE1385),
    IF(_xlpm.sum_month = 0, "", _xlpm.sum_month &amp; " taxa de aprovados")
)</f>
        <v>340 taxa de aprovados</v>
      </c>
      <c r="L1385" s="4" t="s">
        <v>183</v>
      </c>
      <c r="M1385" s="13">
        <v>1</v>
      </c>
      <c r="N1385" s="5" t="s">
        <v>51</v>
      </c>
      <c r="O1385" s="5" t="s">
        <v>43</v>
      </c>
      <c r="P1385" s="10" t="s">
        <v>44</v>
      </c>
      <c r="Q1385" s="10" t="s">
        <v>44</v>
      </c>
      <c r="R1385" s="11" t="s">
        <v>44</v>
      </c>
      <c r="S1385" s="11" t="s">
        <v>44</v>
      </c>
      <c r="T1385" s="22"/>
      <c r="U1385" s="22"/>
      <c r="V1385" s="22">
        <v>170</v>
      </c>
      <c r="W1385" s="22">
        <v>170</v>
      </c>
      <c r="X1385" s="22"/>
      <c r="Y1385" s="22"/>
      <c r="Z1385" s="22"/>
      <c r="AA1385" s="22"/>
      <c r="AB1385" s="22"/>
      <c r="AC1385" s="22"/>
      <c r="AD1385" s="22"/>
      <c r="AE1385" s="22"/>
      <c r="AG1385" s="71"/>
      <c r="AH1385" s="71"/>
      <c r="AI1385" s="71">
        <v>170</v>
      </c>
      <c r="AJ1385" s="71">
        <v>170</v>
      </c>
      <c r="AK1385" s="71"/>
      <c r="AL1385" s="71"/>
      <c r="AM1385" s="71"/>
      <c r="AN1385" s="71"/>
      <c r="AO1385" s="71"/>
      <c r="AP1385" s="71"/>
      <c r="AQ1385" s="71"/>
      <c r="AR1385" s="71"/>
      <c r="AS1385" s="94" cm="1">
        <f t="array" ref="AS1385">IFERROR(INDEX(T1385:AE1385,1,MATCH(2,1/(T1385:AE1385&lt;&gt;""))),"")</f>
        <v>170</v>
      </c>
      <c r="AT1385" s="95" cm="1">
        <f t="array" ref="AT1385">IFERROR(INDEX(AJ1385:AR1385,1,MATCH(2,1/(AJ1385:AR1385&lt;&gt;""))),"")</f>
        <v>170</v>
      </c>
      <c r="AU1385" s="97">
        <f t="shared" si="1642"/>
        <v>170</v>
      </c>
      <c r="AW1385" s="52">
        <f t="shared" si="1643"/>
        <v>0</v>
      </c>
      <c r="AX1385" s="52">
        <f t="shared" si="1644"/>
        <v>0</v>
      </c>
      <c r="AY1385" s="118">
        <f t="shared" si="1645"/>
        <v>1</v>
      </c>
      <c r="AZ1385" s="118">
        <f t="shared" si="1646"/>
        <v>1</v>
      </c>
      <c r="BA1385" s="52"/>
      <c r="BB1385" s="52"/>
      <c r="BC1385" s="52"/>
      <c r="BD1385" s="52"/>
      <c r="BE1385" s="52"/>
      <c r="BF1385" s="52"/>
      <c r="BG1385" s="52"/>
      <c r="BH1385" s="52"/>
      <c r="BI1385" s="65" cm="1">
        <f t="array" ref="BI1385">IFERROR(INDEX(AW1385:BH1385,1,MATCH(2,1/(AW1385:BH1385&lt;&gt;""))),"")</f>
        <v>1</v>
      </c>
      <c r="BJ1385" s="68" cm="1">
        <f t="array" ref="BJ1385">IF(BM1385 = "", "",IFERROR(INDEX(AW1385:BH1385,1,MATCH(2,1/(AW1385:BH1385&lt;&gt;""),1)-1),""))</f>
        <v>1</v>
      </c>
      <c r="BK1385" s="58" cm="1">
        <f t="array" ref="BK1385">IFERROR(INDEX(AW1385:BH1385,1,MATCH(2,1/(AW1385:BH1385&lt;&gt;""))),"")</f>
        <v>1</v>
      </c>
      <c r="BL1385" s="58" cm="1">
        <f t="array" ref="BL1385">IFERROR(INDEX(AW1385:BH1385,1,MATCH(2,1/(AW1385:BH1385&lt;&gt;""),1)-1),"")</f>
        <v>1</v>
      </c>
      <c r="BM1385" s="55" cm="1">
        <f t="array" ref="BM1385">IFERROR(
   INDEX($AW$1:$BH$1,
      _xlfn.AGGREGATE(14, 6, COLUMN($AW$1:$BH$1)/(AW1385:BH1385&lt;&gt;""), 2) - COLUMN($AW$1) + 1
   ),
"")</f>
        <v>46082</v>
      </c>
      <c r="BN1385" s="55" cm="1">
        <f t="array" ref="BN1385">IFERROR(INDEX($AW$1:$BH$1,1,MATCH(2,1/(AW1385:BH1385&lt;&gt;""))),"")</f>
        <v>46113</v>
      </c>
      <c r="BO1385" s="53">
        <f ca="1">IFERROR(_xlfn.XLOOKUP(F1385,Apuração!A:A,Apuração!C:C)/_xlfn.XLOOKUP(F1385,Apuração!A:A,Apuração!B:B),0)</f>
        <v>0.3</v>
      </c>
      <c r="BP1385" s="53">
        <f ca="1">IFERROR(_xlfn.XLOOKUP(F1385,Apuração!A:A,Apuração!D:D)/_xlfn.XLOOKUP(F1385,Apuração!A:A,Apuração!B:B),0)</f>
        <v>0.2</v>
      </c>
      <c r="BQ1385" s="53">
        <f ca="1">IF(BK1385&gt;=BO1385,0,_xlfn.XLOOKUP(F1385,Apuração!A:A,Apuração!B:B)*(BO1385 + (1/_xlfn.XLOOKUP(F1385,Apuração!A:A,Apuração!B:B)) - BK1385))</f>
        <v>0</v>
      </c>
      <c r="BR1385" s="85">
        <f t="shared" ca="1" si="1647"/>
        <v>0</v>
      </c>
      <c r="BS1385" s="53">
        <f ca="1">IFERROR((_xlfn.XLOOKUP(F1385,Apuração!A:A,Apuração!C:C)+1)/_xlfn.XLOOKUP(F1385,Apuração!A:A,Apuração!B:B),0)</f>
        <v>0.4</v>
      </c>
    </row>
    <row r="1386" spans="1:71" ht="25.95" hidden="1" customHeight="1" x14ac:dyDescent="0.3">
      <c r="A1386" s="44" t="s">
        <v>175</v>
      </c>
      <c r="B1386" s="4" t="s">
        <v>176</v>
      </c>
      <c r="C1386" s="5" t="s">
        <v>209</v>
      </c>
      <c r="D1386" s="5" t="s">
        <v>212</v>
      </c>
      <c r="E1386" s="4" t="str" cm="1">
        <f t="array" ref="E1386">_xlfn.IFS(
F1386 = "A partir de Abril", "Aguardando Execução na Distribuidora",
A1386 = "CAPACITAÇÃO", "Em execução no Corporativo",
TRUE, "Em Execução na Distribuidora"
)</f>
        <v>Em execução no Corporativo</v>
      </c>
      <c r="F1386" s="4" t="str" cm="1">
        <f t="array" ref="F1386">_xlfn.IFS(
AG1386 &lt;&gt; "", "Jan-Dez/26",
AH1386 &lt;&gt; "", "Fev-Dez/26",
AI1386 &lt;&gt; "", "Mar-Dez/26", AJ1386 &lt;&gt; "", "Abr-Dez/26",
TRUE, "A partir de Junho"
)</f>
        <v>Mar-Dez/26</v>
      </c>
      <c r="G1386" s="4" t="s">
        <v>37</v>
      </c>
      <c r="H1386" s="7" t="s">
        <v>38</v>
      </c>
      <c r="I1386" s="21" t="s">
        <v>182</v>
      </c>
      <c r="J1386" s="8" t="str" cm="1">
        <f t="array" aca="1" ref="J1386" ca="1">_xlfn.LET(
  _xlpm.actual_value_month, INDEX(T1386:AE1386, MATCH(DATE(YEAR(TODAY()), MONTH(TODAY()), 1), $T$1:$AE$1, 0)),
  IF(_xlpm.actual_value_month &lt;&gt; "", _xlpm.actual_value_month &amp; " ações mensais", "")
)</f>
        <v/>
      </c>
      <c r="K1386" s="8" t="str" cm="1">
        <f t="array" ref="K1386">_xlfn.LET(
    _xlpm.sum_month, SUM(T1386:AE1386),
    IF(_xlpm.sum_month = 0, "", _xlpm.sum_month &amp; " taxa de aprovados")
)</f>
        <v>906 taxa de aprovados</v>
      </c>
      <c r="L1386" s="4" t="s">
        <v>183</v>
      </c>
      <c r="M1386" s="13">
        <v>1</v>
      </c>
      <c r="N1386" s="5" t="s">
        <v>51</v>
      </c>
      <c r="O1386" s="5" t="s">
        <v>43</v>
      </c>
      <c r="P1386" s="10" t="s">
        <v>44</v>
      </c>
      <c r="Q1386" s="10" t="s">
        <v>44</v>
      </c>
      <c r="R1386" s="11" t="s">
        <v>44</v>
      </c>
      <c r="S1386" s="11" t="s">
        <v>44</v>
      </c>
      <c r="T1386" s="22"/>
      <c r="U1386" s="22"/>
      <c r="V1386" s="22">
        <v>453</v>
      </c>
      <c r="W1386" s="22">
        <v>453</v>
      </c>
      <c r="X1386" s="22"/>
      <c r="Y1386" s="22"/>
      <c r="Z1386" s="22"/>
      <c r="AA1386" s="22"/>
      <c r="AB1386" s="22"/>
      <c r="AC1386" s="22"/>
      <c r="AD1386" s="22"/>
      <c r="AE1386" s="22"/>
      <c r="AG1386" s="71"/>
      <c r="AH1386" s="71"/>
      <c r="AI1386" s="71">
        <v>453</v>
      </c>
      <c r="AJ1386" s="71">
        <v>453</v>
      </c>
      <c r="AK1386" s="71"/>
      <c r="AL1386" s="71"/>
      <c r="AM1386" s="71"/>
      <c r="AN1386" s="71"/>
      <c r="AO1386" s="71"/>
      <c r="AP1386" s="71"/>
      <c r="AQ1386" s="71"/>
      <c r="AR1386" s="71"/>
      <c r="AS1386" s="94" cm="1">
        <f t="array" ref="AS1386">IFERROR(INDEX(T1386:AE1386,1,MATCH(2,1/(T1386:AE1386&lt;&gt;""))),"")</f>
        <v>453</v>
      </c>
      <c r="AT1386" s="95" cm="1">
        <f t="array" ref="AT1386">IFERROR(INDEX(AJ1386:AR1386,1,MATCH(2,1/(AJ1386:AR1386&lt;&gt;""))),"")</f>
        <v>453</v>
      </c>
      <c r="AU1386" s="97">
        <f t="shared" si="1642"/>
        <v>453</v>
      </c>
      <c r="AW1386" s="52">
        <f t="shared" si="1643"/>
        <v>0</v>
      </c>
      <c r="AX1386" s="52">
        <f t="shared" si="1644"/>
        <v>0</v>
      </c>
      <c r="AY1386" s="118">
        <f t="shared" si="1645"/>
        <v>1</v>
      </c>
      <c r="AZ1386" s="118">
        <f t="shared" si="1646"/>
        <v>1</v>
      </c>
      <c r="BA1386" s="52"/>
      <c r="BB1386" s="52"/>
      <c r="BC1386" s="52"/>
      <c r="BD1386" s="52"/>
      <c r="BE1386" s="52"/>
      <c r="BF1386" s="52"/>
      <c r="BG1386" s="52"/>
      <c r="BH1386" s="52"/>
      <c r="BI1386" s="65" cm="1">
        <f t="array" ref="BI1386">IFERROR(INDEX(AW1386:BH1386,1,MATCH(2,1/(AW1386:BH1386&lt;&gt;""))),"")</f>
        <v>1</v>
      </c>
      <c r="BJ1386" s="68" cm="1">
        <f t="array" ref="BJ1386">IF(BM1386 = "", "",IFERROR(INDEX(AW1386:BH1386,1,MATCH(2,1/(AW1386:BH1386&lt;&gt;""),1)-1),""))</f>
        <v>1</v>
      </c>
      <c r="BK1386" s="58" cm="1">
        <f t="array" ref="BK1386">IFERROR(INDEX(AW1386:BH1386,1,MATCH(2,1/(AW1386:BH1386&lt;&gt;""))),"")</f>
        <v>1</v>
      </c>
      <c r="BL1386" s="58" cm="1">
        <f t="array" ref="BL1386">IFERROR(INDEX(AW1386:BH1386,1,MATCH(2,1/(AW1386:BH1386&lt;&gt;""),1)-1),"")</f>
        <v>1</v>
      </c>
      <c r="BM1386" s="55" cm="1">
        <f t="array" ref="BM1386">IFERROR(
   INDEX($AW$1:$BH$1,
      _xlfn.AGGREGATE(14, 6, COLUMN($AW$1:$BH$1)/(AW1386:BH1386&lt;&gt;""), 2) - COLUMN($AW$1) + 1
   ),
"")</f>
        <v>46082</v>
      </c>
      <c r="BN1386" s="55" cm="1">
        <f t="array" ref="BN1386">IFERROR(INDEX($AW$1:$BH$1,1,MATCH(2,1/(AW1386:BH1386&lt;&gt;""))),"")</f>
        <v>46113</v>
      </c>
      <c r="BO1386" s="53">
        <f ca="1">IFERROR(_xlfn.XLOOKUP(F1386,Apuração!A:A,Apuração!C:C)/_xlfn.XLOOKUP(F1386,Apuração!A:A,Apuração!B:B),0)</f>
        <v>0.3</v>
      </c>
      <c r="BP1386" s="53">
        <f ca="1">IFERROR(_xlfn.XLOOKUP(F1386,Apuração!A:A,Apuração!D:D)/_xlfn.XLOOKUP(F1386,Apuração!A:A,Apuração!B:B),0)</f>
        <v>0.2</v>
      </c>
      <c r="BQ1386" s="53">
        <f ca="1">IF(BK1386&gt;=BO1386,0,_xlfn.XLOOKUP(F1386,Apuração!A:A,Apuração!B:B)*(BO1386 + (1/_xlfn.XLOOKUP(F1386,Apuração!A:A,Apuração!B:B)) - BK1386))</f>
        <v>0</v>
      </c>
      <c r="BR1386" s="85">
        <f t="shared" ca="1" si="1647"/>
        <v>0</v>
      </c>
      <c r="BS1386" s="53">
        <f ca="1">IFERROR((_xlfn.XLOOKUP(F1386,Apuração!A:A,Apuração!C:C)+1)/_xlfn.XLOOKUP(F1386,Apuração!A:A,Apuração!B:B),0)</f>
        <v>0.4</v>
      </c>
    </row>
    <row r="1387" spans="1:71" ht="25.95" hidden="1" customHeight="1" x14ac:dyDescent="0.3">
      <c r="A1387" s="44" t="s">
        <v>175</v>
      </c>
      <c r="B1387" s="4" t="s">
        <v>176</v>
      </c>
      <c r="C1387" s="5" t="s">
        <v>209</v>
      </c>
      <c r="D1387" s="5" t="s">
        <v>213</v>
      </c>
      <c r="E1387" s="4" t="str" cm="1">
        <f t="array" ref="E1387">_xlfn.IFS(
F1387 = "A partir de Abril", "Aguardando Execução na Distribuidora",
A1387 = "CAPACITAÇÃO", "Em execução no Corporativo",
TRUE, "Em Execução na Distribuidora"
)</f>
        <v>Em execução no Corporativo</v>
      </c>
      <c r="F1387" s="4" t="str" cm="1">
        <f t="array" ref="F1387">_xlfn.IFS(
AG1387 &lt;&gt; "", "Jan-Dez/26",
AH1387 &lt;&gt; "", "Fev-Dez/26",
AI1387 &lt;&gt; "", "Mar-Dez/26", AJ1387 &lt;&gt; "", "Abr-Dez/26",
TRUE, "A partir de Junho"
)</f>
        <v>Mar-Dez/26</v>
      </c>
      <c r="G1387" s="4" t="s">
        <v>37</v>
      </c>
      <c r="H1387" s="7" t="s">
        <v>38</v>
      </c>
      <c r="I1387" s="21" t="s">
        <v>182</v>
      </c>
      <c r="J1387" s="8" t="str" cm="1">
        <f t="array" aca="1" ref="J1387" ca="1">_xlfn.LET(
  _xlpm.actual_value_month, INDEX(T1387:AE1387, MATCH(DATE(YEAR(TODAY()), MONTH(TODAY()), 1), $T$1:$AE$1, 0)),
  IF(_xlpm.actual_value_month &lt;&gt; "", _xlpm.actual_value_month &amp; " ações mensais", "")
)</f>
        <v/>
      </c>
      <c r="K1387" s="8" t="str" cm="1">
        <f t="array" ref="K1387">_xlfn.LET(
    _xlpm.sum_month, SUM(T1387:AE1387),
    IF(_xlpm.sum_month = 0, "", _xlpm.sum_month &amp; " taxa de aprovados")
)</f>
        <v>400 taxa de aprovados</v>
      </c>
      <c r="L1387" s="4" t="s">
        <v>183</v>
      </c>
      <c r="M1387" s="13">
        <v>1</v>
      </c>
      <c r="N1387" s="5" t="s">
        <v>51</v>
      </c>
      <c r="O1387" s="5" t="s">
        <v>43</v>
      </c>
      <c r="P1387" s="10" t="s">
        <v>44</v>
      </c>
      <c r="Q1387" s="10" t="s">
        <v>44</v>
      </c>
      <c r="R1387" s="11" t="s">
        <v>44</v>
      </c>
      <c r="S1387" s="11" t="s">
        <v>44</v>
      </c>
      <c r="T1387" s="22"/>
      <c r="U1387" s="22"/>
      <c r="V1387" s="22">
        <v>200</v>
      </c>
      <c r="W1387" s="22">
        <v>200</v>
      </c>
      <c r="X1387" s="22"/>
      <c r="Y1387" s="22"/>
      <c r="Z1387" s="22"/>
      <c r="AA1387" s="22"/>
      <c r="AB1387" s="22"/>
      <c r="AC1387" s="22"/>
      <c r="AD1387" s="22"/>
      <c r="AE1387" s="22"/>
      <c r="AG1387" s="71"/>
      <c r="AH1387" s="71"/>
      <c r="AI1387" s="71">
        <v>200</v>
      </c>
      <c r="AJ1387" s="71">
        <v>200</v>
      </c>
      <c r="AK1387" s="71"/>
      <c r="AL1387" s="71"/>
      <c r="AM1387" s="71"/>
      <c r="AN1387" s="71"/>
      <c r="AO1387" s="71"/>
      <c r="AP1387" s="71"/>
      <c r="AQ1387" s="71"/>
      <c r="AR1387" s="71"/>
      <c r="AS1387" s="94" cm="1">
        <f t="array" ref="AS1387">IFERROR(INDEX(T1387:AE1387,1,MATCH(2,1/(T1387:AE1387&lt;&gt;""))),"")</f>
        <v>200</v>
      </c>
      <c r="AT1387" s="95" cm="1">
        <f t="array" ref="AT1387">IFERROR(INDEX(AJ1387:AR1387,1,MATCH(2,1/(AJ1387:AR1387&lt;&gt;""))),"")</f>
        <v>200</v>
      </c>
      <c r="AU1387" s="97">
        <f t="shared" si="1642"/>
        <v>200</v>
      </c>
      <c r="AW1387" s="52">
        <f t="shared" si="1643"/>
        <v>0</v>
      </c>
      <c r="AX1387" s="52">
        <f t="shared" si="1644"/>
        <v>0</v>
      </c>
      <c r="AY1387" s="118">
        <f t="shared" si="1645"/>
        <v>1</v>
      </c>
      <c r="AZ1387" s="118">
        <f t="shared" si="1646"/>
        <v>1</v>
      </c>
      <c r="BA1387" s="52"/>
      <c r="BB1387" s="52"/>
      <c r="BC1387" s="52"/>
      <c r="BD1387" s="52"/>
      <c r="BE1387" s="52"/>
      <c r="BF1387" s="52"/>
      <c r="BG1387" s="52"/>
      <c r="BH1387" s="52"/>
      <c r="BI1387" s="65" cm="1">
        <f t="array" ref="BI1387">IFERROR(INDEX(AW1387:BH1387,1,MATCH(2,1/(AW1387:BH1387&lt;&gt;""))),"")</f>
        <v>1</v>
      </c>
      <c r="BJ1387" s="68" cm="1">
        <f t="array" ref="BJ1387">IF(BM1387 = "", "",IFERROR(INDEX(AW1387:BH1387,1,MATCH(2,1/(AW1387:BH1387&lt;&gt;""),1)-1),""))</f>
        <v>1</v>
      </c>
      <c r="BK1387" s="58" cm="1">
        <f t="array" ref="BK1387">IFERROR(INDEX(AW1387:BH1387,1,MATCH(2,1/(AW1387:BH1387&lt;&gt;""))),"")</f>
        <v>1</v>
      </c>
      <c r="BL1387" s="58" cm="1">
        <f t="array" ref="BL1387">IFERROR(INDEX(AW1387:BH1387,1,MATCH(2,1/(AW1387:BH1387&lt;&gt;""),1)-1),"")</f>
        <v>1</v>
      </c>
      <c r="BM1387" s="55" cm="1">
        <f t="array" ref="BM1387">IFERROR(
   INDEX($AW$1:$BH$1,
      _xlfn.AGGREGATE(14, 6, COLUMN($AW$1:$BH$1)/(AW1387:BH1387&lt;&gt;""), 2) - COLUMN($AW$1) + 1
   ),
"")</f>
        <v>46082</v>
      </c>
      <c r="BN1387" s="55" cm="1">
        <f t="array" ref="BN1387">IFERROR(INDEX($AW$1:$BH$1,1,MATCH(2,1/(AW1387:BH1387&lt;&gt;""))),"")</f>
        <v>46113</v>
      </c>
      <c r="BO1387" s="53">
        <f ca="1">IFERROR(_xlfn.XLOOKUP(F1387,Apuração!A:A,Apuração!C:C)/_xlfn.XLOOKUP(F1387,Apuração!A:A,Apuração!B:B),0)</f>
        <v>0.3</v>
      </c>
      <c r="BP1387" s="53">
        <f ca="1">IFERROR(_xlfn.XLOOKUP(F1387,Apuração!A:A,Apuração!D:D)/_xlfn.XLOOKUP(F1387,Apuração!A:A,Apuração!B:B),0)</f>
        <v>0.2</v>
      </c>
      <c r="BQ1387" s="53">
        <f ca="1">IF(BK1387&gt;=BO1387,0,_xlfn.XLOOKUP(F1387,Apuração!A:A,Apuração!B:B)*(BO1387 + (1/_xlfn.XLOOKUP(F1387,Apuração!A:A,Apuração!B:B)) - BK1387))</f>
        <v>0</v>
      </c>
      <c r="BR1387" s="85">
        <f t="shared" ca="1" si="1647"/>
        <v>0</v>
      </c>
      <c r="BS1387" s="53">
        <f ca="1">IFERROR((_xlfn.XLOOKUP(F1387,Apuração!A:A,Apuração!C:C)+1)/_xlfn.XLOOKUP(F1387,Apuração!A:A,Apuração!B:B),0)</f>
        <v>0.4</v>
      </c>
    </row>
    <row r="1388" spans="1:71" ht="25.95" hidden="1" customHeight="1" x14ac:dyDescent="0.3">
      <c r="A1388" s="33" t="s">
        <v>175</v>
      </c>
      <c r="B1388" s="4" t="s">
        <v>184</v>
      </c>
      <c r="C1388" s="5" t="s">
        <v>209</v>
      </c>
      <c r="D1388" s="5" t="s">
        <v>36</v>
      </c>
      <c r="E1388" s="4" t="str" cm="1">
        <f t="array" ref="E1388">_xlfn.IFS(
F1388 = "A partir de Abril", "Aguardando Execução na Distribuidora",
A1388 = "CAPACITAÇÃO", "Em execução no Corporativo",
TRUE, "Em Execução na Distribuidora"
)</f>
        <v>Em execução no Corporativo</v>
      </c>
      <c r="F1388" s="4" t="str" cm="1">
        <f t="array" ref="F1388">_xlfn.IFS(
AG1388 &lt;&gt; "", "Jan-Dez/26",
AH1388 &lt;&gt; "", "Fev-Dez/26",
AI1388 &lt;&gt; "", "Mar-Dez/26", AJ1388 &lt;&gt; "", "Abr-Dez/26",
TRUE, "A partir de Junho"
)</f>
        <v>Mar-Dez/26</v>
      </c>
      <c r="G1388" s="4" t="s">
        <v>37</v>
      </c>
      <c r="H1388" s="7" t="s">
        <v>38</v>
      </c>
      <c r="I1388" s="8" t="s">
        <v>177</v>
      </c>
      <c r="J1388" s="8" t="str" cm="1">
        <f t="array" aca="1" ref="J1388" ca="1">_xlfn.LET(
  _xlpm.actual_value_month, INDEX(T1388:AE1388, MATCH(DATE(YEAR(TODAY()), MONTH(TODAY()), 1), $T$1:$AE$1, 0)),
  IF(_xlpm.actual_value_month &lt;&gt; "", _xlpm.actual_value_month &amp; " certificados mensais", "")
)</f>
        <v>2554 certificados mensais</v>
      </c>
      <c r="K1388" s="8" t="str">
        <f t="shared" ref="K1388:K1393" si="1648">_xlfn.LET(
    _xlpm.month, AD1388,
    IF(_xlpm.month = 0, "", _xlpm.month &amp; " meta de certificados anuais")
)</f>
        <v>3182 meta de certificados anuais</v>
      </c>
      <c r="L1388" s="9" t="s">
        <v>185</v>
      </c>
      <c r="M1388" s="13">
        <v>1</v>
      </c>
      <c r="N1388" s="5" t="s">
        <v>42</v>
      </c>
      <c r="O1388" s="5" t="s">
        <v>43</v>
      </c>
      <c r="P1388" s="10" t="s">
        <v>146</v>
      </c>
      <c r="Q1388" s="10" t="s">
        <v>44</v>
      </c>
      <c r="R1388" s="11" t="s">
        <v>179</v>
      </c>
      <c r="S1388" s="11" t="s">
        <v>67</v>
      </c>
      <c r="T1388" s="22"/>
      <c r="U1388" s="22"/>
      <c r="V1388" s="22">
        <v>2241</v>
      </c>
      <c r="W1388" s="22">
        <f>3182*0.76</f>
        <v>2418.3200000000002</v>
      </c>
      <c r="X1388" s="22">
        <v>2411</v>
      </c>
      <c r="Y1388" s="22">
        <v>2554</v>
      </c>
      <c r="Z1388" s="22">
        <v>2695</v>
      </c>
      <c r="AA1388" s="22">
        <v>2836</v>
      </c>
      <c r="AB1388" s="22">
        <v>2976</v>
      </c>
      <c r="AC1388" s="22">
        <v>3114</v>
      </c>
      <c r="AD1388" s="22">
        <v>3182</v>
      </c>
      <c r="AE1388" s="22"/>
      <c r="AG1388" s="71"/>
      <c r="AH1388" s="71"/>
      <c r="AI1388" s="71">
        <v>2243</v>
      </c>
      <c r="AJ1388" s="71">
        <v>2258</v>
      </c>
      <c r="AK1388" s="71"/>
      <c r="AL1388" s="71"/>
      <c r="AM1388" s="71"/>
      <c r="AN1388" s="71"/>
      <c r="AO1388" s="71"/>
      <c r="AP1388" s="71"/>
      <c r="AQ1388" s="71"/>
      <c r="AR1388" s="71"/>
      <c r="AS1388" s="94" cm="1">
        <f t="array" ref="AS1388">IFERROR(INDEX(T1388:AE1388,1,MATCH(2,1/(T1388:AE1388&lt;&gt;""))),"")</f>
        <v>3182</v>
      </c>
      <c r="AT1388" s="95" cm="1">
        <f t="array" ref="AT1388">IFERROR(INDEX(AJ1388:AR1388,1,MATCH(2,1/(AJ1388:AR1388&lt;&gt;""))),"")</f>
        <v>2258</v>
      </c>
      <c r="AU1388" s="97">
        <f>AT1388</f>
        <v>2258</v>
      </c>
      <c r="AW1388" s="51">
        <f>IFERROR(IF(AG1388="",0,AG1388/$AD1388),0)</f>
        <v>0</v>
      </c>
      <c r="AX1388" s="51">
        <f>IFERROR(IF(AH1388="",0,AH1388/$AD1388),0)</f>
        <v>0</v>
      </c>
      <c r="AY1388" s="51">
        <f>IFERROR(IF(AI1388="",0,AI1388/$AD1388),0)</f>
        <v>0.70490257699560022</v>
      </c>
      <c r="AZ1388" s="51">
        <f>IFERROR(IF(AJ1388="",0,AJ1388/$AD1388),0)</f>
        <v>0.70961659333752358</v>
      </c>
      <c r="BA1388" s="51"/>
      <c r="BB1388" s="51"/>
      <c r="BC1388" s="51"/>
      <c r="BD1388" s="51"/>
      <c r="BE1388" s="51"/>
      <c r="BF1388" s="51"/>
      <c r="BG1388" s="51"/>
      <c r="BH1388" s="51"/>
      <c r="BI1388" s="65" cm="1">
        <f t="array" ref="BI1388">IFERROR(INDEX(AW1388:BH1388,1,MATCH(2,1/(AW1388:BH1388&lt;&gt;""))),"")</f>
        <v>0.70961659333752358</v>
      </c>
      <c r="BJ1388" s="68" cm="1">
        <f t="array" ref="BJ1388">IF(BM1388 = "", "",IFERROR(INDEX(AW1388:BH1388,1,MATCH(2,1/(AW1388:BH1388&lt;&gt;""),1)-1),""))</f>
        <v>0.70490257699560022</v>
      </c>
      <c r="BK1388" s="58" cm="1">
        <f t="array" ref="BK1388">IFERROR(INDEX(AW1388:BH1388,1,MATCH(2,1/(AW1388:BH1388&lt;&gt;""))),"")</f>
        <v>0.70961659333752358</v>
      </c>
      <c r="BL1388" s="58" cm="1">
        <f t="array" ref="BL1388">IFERROR(INDEX(AW1388:BH1388,1,MATCH(2,1/(AW1388:BH1388&lt;&gt;""),1)-1),"")</f>
        <v>0.70490257699560022</v>
      </c>
      <c r="BM1388" s="55" cm="1">
        <f t="array" ref="BM1388">IFERROR(
   INDEX($AW$1:$BH$1,
      _xlfn.AGGREGATE(14, 6, COLUMN($AW$1:$BH$1)/(AW1388:BH1388&lt;&gt;""), 2) - COLUMN($AW$1) + 1
   ),
"")</f>
        <v>46082</v>
      </c>
      <c r="BN1388" s="55" cm="1">
        <f t="array" ref="BN1388">IFERROR(INDEX($AW$1:$BH$1,1,MATCH(2,1/(AW1388:BH1388&lt;&gt;""))),"")</f>
        <v>46113</v>
      </c>
      <c r="BO1388" s="119" cm="1">
        <f t="array" aca="1" ref="BO1388" ca="1">_xlfn.LET(
    _xlpm.mes_num, MONTH(TODAY())-1,
    _xlpm.coluna_ajustada, IF(_xlpm.mes_num=0, 12, _xlpm.mes_num),
    _xlpm.realizado_mes_anterior, INDEX(T1388:AE1388, 1, _xlpm.coluna_ajustada),
    _xlpm.previsto_total, AD1388,
    _xlpm.realizado_mes_anterior / _xlpm.previsto_total
)</f>
        <v>0.75769956002514138</v>
      </c>
      <c r="BP1388" s="53">
        <f ca="1">IFERROR(_xlfn.XLOOKUP(F1388,Apuração!A:A,Apuração!D:D)/_xlfn.XLOOKUP(F1388,Apuração!A:A,Apuração!B:B),0)</f>
        <v>0.2</v>
      </c>
      <c r="BQ1388" s="53">
        <f ca="1">IF(BK1388&gt;=BO1388,0,_xlfn.XLOOKUP(F1388,Apuração!A:A,Apuração!B:B)*(BO1388 + (1/_xlfn.XLOOKUP(F1388,Apuração!A:A,Apuração!B:B)) - BK1388))</f>
        <v>1.4808296668761778</v>
      </c>
      <c r="BR1388" s="85">
        <f ca="1">IF(BQ1388=0,0,BQ1388*Z1388)</f>
        <v>3990.835952231299</v>
      </c>
      <c r="BS1388" s="53">
        <f ca="1">IFERROR((_xlfn.XLOOKUP(F1388,Apuração!A:A,Apuração!C:C)+1)/_xlfn.XLOOKUP(F1388,Apuração!A:A,Apuração!B:B),0)</f>
        <v>0.4</v>
      </c>
    </row>
    <row r="1389" spans="1:71" ht="25.95" hidden="1" customHeight="1" x14ac:dyDescent="0.3">
      <c r="A1389" s="33" t="s">
        <v>175</v>
      </c>
      <c r="B1389" s="4" t="s">
        <v>184</v>
      </c>
      <c r="C1389" s="5" t="s">
        <v>209</v>
      </c>
      <c r="D1389" s="5" t="s">
        <v>210</v>
      </c>
      <c r="E1389" s="4" t="str" cm="1">
        <f t="array" ref="E1389">_xlfn.IFS(
F1389 = "A partir de Abril", "Aguardando Execução na Distribuidora",
A1389 = "CAPACITAÇÃO", "Em execução no Corporativo",
TRUE, "Em Execução na Distribuidora"
)</f>
        <v>Em execução no Corporativo</v>
      </c>
      <c r="F1389" s="4" t="str" cm="1">
        <f t="array" ref="F1389">_xlfn.IFS(
AG1389 &lt;&gt; "", "Jan-Dez/26",
AH1389 &lt;&gt; "", "Fev-Dez/26",
AI1389 &lt;&gt; "", "Mar-Dez/26", AJ1389 &lt;&gt; "", "Abr-Dez/26",
TRUE, "A partir de Junho"
)</f>
        <v>Mar-Dez/26</v>
      </c>
      <c r="G1389" s="4" t="s">
        <v>37</v>
      </c>
      <c r="H1389" s="7" t="s">
        <v>38</v>
      </c>
      <c r="I1389" s="8" t="s">
        <v>177</v>
      </c>
      <c r="J1389" s="8" t="str" cm="1">
        <f t="array" aca="1" ref="J1389" ca="1">_xlfn.LET(
  _xlpm.actual_value_month, INDEX(T1389:AE1389, MATCH(DATE(YEAR(TODAY()), MONTH(TODAY()), 1), $T$1:$AE$1, 0)),
  IF(_xlpm.actual_value_month &lt;&gt; "", _xlpm.actual_value_month &amp; " certificados mensais", "")
)</f>
        <v>570 certificados mensais</v>
      </c>
      <c r="K1389" s="8" t="str">
        <f t="shared" si="1648"/>
        <v>760 meta de certificados anuais</v>
      </c>
      <c r="L1389" s="9" t="s">
        <v>185</v>
      </c>
      <c r="M1389" s="13">
        <v>1</v>
      </c>
      <c r="N1389" s="5" t="s">
        <v>42</v>
      </c>
      <c r="O1389" s="5" t="s">
        <v>43</v>
      </c>
      <c r="P1389" s="10" t="s">
        <v>146</v>
      </c>
      <c r="Q1389" s="10" t="s">
        <v>44</v>
      </c>
      <c r="R1389" s="11" t="s">
        <v>179</v>
      </c>
      <c r="S1389" s="11" t="s">
        <v>67</v>
      </c>
      <c r="T1389" s="22"/>
      <c r="U1389" s="22"/>
      <c r="V1389" s="22">
        <v>531</v>
      </c>
      <c r="W1389" s="22">
        <v>531</v>
      </c>
      <c r="X1389" s="22">
        <v>531</v>
      </c>
      <c r="Y1389" s="22">
        <v>570</v>
      </c>
      <c r="Z1389" s="22">
        <v>609</v>
      </c>
      <c r="AA1389" s="22">
        <v>648</v>
      </c>
      <c r="AB1389" s="22">
        <v>687</v>
      </c>
      <c r="AC1389" s="22">
        <v>726</v>
      </c>
      <c r="AD1389" s="22">
        <v>760</v>
      </c>
      <c r="AE1389" s="22"/>
      <c r="AG1389" s="71"/>
      <c r="AH1389" s="71"/>
      <c r="AI1389" s="71">
        <v>546</v>
      </c>
      <c r="AJ1389" s="71">
        <v>546</v>
      </c>
      <c r="AK1389" s="71"/>
      <c r="AL1389" s="71"/>
      <c r="AM1389" s="71"/>
      <c r="AN1389" s="71"/>
      <c r="AO1389" s="71"/>
      <c r="AP1389" s="71"/>
      <c r="AQ1389" s="71"/>
      <c r="AR1389" s="71"/>
      <c r="AS1389" s="94" cm="1">
        <f t="array" ref="AS1389">IFERROR(INDEX(T1389:AE1389,1,MATCH(2,1/(T1389:AE1389&lt;&gt;""))),"")</f>
        <v>760</v>
      </c>
      <c r="AT1389" s="95" cm="1">
        <f t="array" ref="AT1389">IFERROR(INDEX(AJ1389:AR1389,1,MATCH(2,1/(AJ1389:AR1389&lt;&gt;""))),"")</f>
        <v>546</v>
      </c>
      <c r="AU1389" s="97">
        <f t="shared" ref="AU1389:AU1393" si="1649">AT1389</f>
        <v>546</v>
      </c>
      <c r="AW1389" s="51">
        <f t="shared" ref="AW1389:AW1393" si="1650">IFERROR(IF(AG1389="",0,AG1389/$AD1389),0)</f>
        <v>0</v>
      </c>
      <c r="AX1389" s="51">
        <f t="shared" ref="AX1389:AX1393" si="1651">IFERROR(IF(AH1389="",0,AH1389/$AD1389),0)</f>
        <v>0</v>
      </c>
      <c r="AY1389" s="51">
        <f t="shared" ref="AY1389:AY1393" si="1652">IFERROR(IF(AI1389="",0,AI1389/$AD1389),0)</f>
        <v>0.71842105263157896</v>
      </c>
      <c r="AZ1389" s="51">
        <f t="shared" ref="AZ1389:AZ1393" si="1653">IFERROR(IF(AJ1389="",0,AJ1389/$AD1389),0)</f>
        <v>0.71842105263157896</v>
      </c>
      <c r="BA1389" s="51"/>
      <c r="BB1389" s="51"/>
      <c r="BC1389" s="51"/>
      <c r="BD1389" s="51"/>
      <c r="BE1389" s="51"/>
      <c r="BF1389" s="51"/>
      <c r="BG1389" s="51"/>
      <c r="BH1389" s="51"/>
      <c r="BI1389" s="65" cm="1">
        <f t="array" ref="BI1389">IFERROR(INDEX(AW1389:BH1389,1,MATCH(2,1/(AW1389:BH1389&lt;&gt;""))),"")</f>
        <v>0.71842105263157896</v>
      </c>
      <c r="BJ1389" s="68" cm="1">
        <f t="array" ref="BJ1389">IF(BM1389 = "", "",IFERROR(INDEX(AW1389:BH1389,1,MATCH(2,1/(AW1389:BH1389&lt;&gt;""),1)-1),""))</f>
        <v>0.71842105263157896</v>
      </c>
      <c r="BK1389" s="58" cm="1">
        <f t="array" ref="BK1389">IFERROR(INDEX(AW1389:BH1389,1,MATCH(2,1/(AW1389:BH1389&lt;&gt;""))),"")</f>
        <v>0.71842105263157896</v>
      </c>
      <c r="BL1389" s="58" cm="1">
        <f t="array" ref="BL1389">IFERROR(INDEX(AW1389:BH1389,1,MATCH(2,1/(AW1389:BH1389&lt;&gt;""),1)-1),"")</f>
        <v>0.71842105263157896</v>
      </c>
      <c r="BM1389" s="55" cm="1">
        <f t="array" ref="BM1389">IFERROR(
   INDEX($AW$1:$BH$1,
      _xlfn.AGGREGATE(14, 6, COLUMN($AW$1:$BH$1)/(AW1389:BH1389&lt;&gt;""), 2) - COLUMN($AW$1) + 1
   ),
"")</f>
        <v>46082</v>
      </c>
      <c r="BN1389" s="55" cm="1">
        <f t="array" ref="BN1389">IFERROR(INDEX($AW$1:$BH$1,1,MATCH(2,1/(AW1389:BH1389&lt;&gt;""))),"")</f>
        <v>46113</v>
      </c>
      <c r="BO1389" s="119" cm="1">
        <f t="array" aca="1" ref="BO1389" ca="1">_xlfn.LET(
    _xlpm.mes_num, MONTH(TODAY())-1,
    _xlpm.coluna_ajustada, IF(_xlpm.mes_num=0, 12, _xlpm.mes_num),
    _xlpm.realizado_mes_anterior, INDEX(T1389:AE1389, 1, _xlpm.coluna_ajustada),
    _xlpm.previsto_total, AD1389,
    _xlpm.realizado_mes_anterior / _xlpm.previsto_total
)</f>
        <v>0.6986842105263158</v>
      </c>
      <c r="BP1389" s="53">
        <f ca="1">IFERROR(_xlfn.XLOOKUP(F1389,Apuração!A:A,Apuração!D:D)/_xlfn.XLOOKUP(F1389,Apuração!A:A,Apuração!B:B),0)</f>
        <v>0.2</v>
      </c>
      <c r="BQ1389" s="53">
        <f ca="1">IF(BK1389&gt;=BO1389,0,_xlfn.XLOOKUP(F1389,Apuração!A:A,Apuração!B:B)*(BO1389 + (1/_xlfn.XLOOKUP(F1389,Apuração!A:A,Apuração!B:B)) - BK1389))</f>
        <v>0</v>
      </c>
      <c r="BR1389" s="85">
        <f t="shared" ref="BR1389:BR1393" ca="1" si="1654">IF(BQ1389=0,0,BQ1389*Z1389)</f>
        <v>0</v>
      </c>
      <c r="BS1389" s="53">
        <f ca="1">IFERROR((_xlfn.XLOOKUP(F1389,Apuração!A:A,Apuração!C:C)+1)/_xlfn.XLOOKUP(F1389,Apuração!A:A,Apuração!B:B),0)</f>
        <v>0.4</v>
      </c>
    </row>
    <row r="1390" spans="1:71" ht="25.95" hidden="1" customHeight="1" x14ac:dyDescent="0.3">
      <c r="A1390" s="33" t="s">
        <v>175</v>
      </c>
      <c r="B1390" s="4" t="s">
        <v>184</v>
      </c>
      <c r="C1390" s="5" t="s">
        <v>209</v>
      </c>
      <c r="D1390" s="5" t="s">
        <v>47</v>
      </c>
      <c r="E1390" s="4" t="str" cm="1">
        <f t="array" ref="E1390">_xlfn.IFS(
F1390 = "A partir de Abril", "Aguardando Execução na Distribuidora",
A1390 = "CAPACITAÇÃO", "Em execução no Corporativo",
TRUE, "Em Execução na Distribuidora"
)</f>
        <v>Em execução no Corporativo</v>
      </c>
      <c r="F1390" s="4" t="str" cm="1">
        <f t="array" ref="F1390">_xlfn.IFS(
AG1390 &lt;&gt; "", "Jan-Dez/26",
AH1390 &lt;&gt; "", "Fev-Dez/26",
AI1390 &lt;&gt; "", "Mar-Dez/26", AJ1390 &lt;&gt; "", "Abr-Dez/26",
TRUE, "A partir de Junho"
)</f>
        <v>Mar-Dez/26</v>
      </c>
      <c r="G1390" s="4" t="s">
        <v>37</v>
      </c>
      <c r="H1390" s="7" t="s">
        <v>38</v>
      </c>
      <c r="I1390" s="8" t="s">
        <v>177</v>
      </c>
      <c r="J1390" s="8" t="str" cm="1">
        <f t="array" aca="1" ref="J1390" ca="1">_xlfn.LET(
  _xlpm.actual_value_month, INDEX(T1390:AE1390, MATCH(DATE(YEAR(TODAY()), MONTH(TODAY()), 1), $T$1:$AE$1, 0)),
  IF(_xlpm.actual_value_month &lt;&gt; "", _xlpm.actual_value_month &amp; " certificados mensais", "")
)</f>
        <v>527 certificados mensais</v>
      </c>
      <c r="K1390" s="8" t="str">
        <f t="shared" si="1648"/>
        <v>745 meta de certificados anuais</v>
      </c>
      <c r="L1390" s="9" t="s">
        <v>185</v>
      </c>
      <c r="M1390" s="13">
        <v>1</v>
      </c>
      <c r="N1390" s="5" t="s">
        <v>42</v>
      </c>
      <c r="O1390" s="5" t="s">
        <v>43</v>
      </c>
      <c r="P1390" s="10" t="s">
        <v>146</v>
      </c>
      <c r="Q1390" s="10" t="s">
        <v>44</v>
      </c>
      <c r="R1390" s="11" t="s">
        <v>179</v>
      </c>
      <c r="S1390" s="11" t="s">
        <v>67</v>
      </c>
      <c r="T1390" s="22"/>
      <c r="U1390" s="22"/>
      <c r="V1390" s="22">
        <v>358</v>
      </c>
      <c r="W1390" s="22">
        <v>417</v>
      </c>
      <c r="X1390" s="22">
        <v>472</v>
      </c>
      <c r="Y1390" s="22">
        <v>527</v>
      </c>
      <c r="Z1390" s="22">
        <v>582</v>
      </c>
      <c r="AA1390" s="22">
        <v>637</v>
      </c>
      <c r="AB1390" s="22">
        <v>691</v>
      </c>
      <c r="AC1390" s="22">
        <v>745</v>
      </c>
      <c r="AD1390" s="22">
        <v>745</v>
      </c>
      <c r="AE1390" s="22"/>
      <c r="AG1390" s="71"/>
      <c r="AH1390" s="71"/>
      <c r="AI1390" s="71">
        <v>358</v>
      </c>
      <c r="AJ1390" s="71">
        <v>358</v>
      </c>
      <c r="AK1390" s="71"/>
      <c r="AL1390" s="71"/>
      <c r="AM1390" s="71"/>
      <c r="AN1390" s="71"/>
      <c r="AO1390" s="71"/>
      <c r="AP1390" s="71"/>
      <c r="AQ1390" s="71"/>
      <c r="AR1390" s="71"/>
      <c r="AS1390" s="94" cm="1">
        <f t="array" ref="AS1390">IFERROR(INDEX(T1390:AE1390,1,MATCH(2,1/(T1390:AE1390&lt;&gt;""))),"")</f>
        <v>745</v>
      </c>
      <c r="AT1390" s="95" cm="1">
        <f t="array" ref="AT1390">IFERROR(INDEX(AJ1390:AR1390,1,MATCH(2,1/(AJ1390:AR1390&lt;&gt;""))),"")</f>
        <v>358</v>
      </c>
      <c r="AU1390" s="97">
        <f t="shared" si="1649"/>
        <v>358</v>
      </c>
      <c r="AW1390" s="51">
        <f t="shared" si="1650"/>
        <v>0</v>
      </c>
      <c r="AX1390" s="51">
        <f t="shared" si="1651"/>
        <v>0</v>
      </c>
      <c r="AY1390" s="51">
        <f t="shared" si="1652"/>
        <v>0.48053691275167787</v>
      </c>
      <c r="AZ1390" s="51">
        <f t="shared" si="1653"/>
        <v>0.48053691275167787</v>
      </c>
      <c r="BA1390" s="51"/>
      <c r="BB1390" s="51"/>
      <c r="BC1390" s="51"/>
      <c r="BD1390" s="51"/>
      <c r="BE1390" s="51"/>
      <c r="BF1390" s="51"/>
      <c r="BG1390" s="51"/>
      <c r="BH1390" s="51"/>
      <c r="BI1390" s="65" cm="1">
        <f t="array" ref="BI1390">IFERROR(INDEX(AW1390:BH1390,1,MATCH(2,1/(AW1390:BH1390&lt;&gt;""))),"")</f>
        <v>0.48053691275167787</v>
      </c>
      <c r="BJ1390" s="68" cm="1">
        <f t="array" ref="BJ1390">IF(BM1390 = "", "",IFERROR(INDEX(AW1390:BH1390,1,MATCH(2,1/(AW1390:BH1390&lt;&gt;""),1)-1),""))</f>
        <v>0.48053691275167787</v>
      </c>
      <c r="BK1390" s="58" cm="1">
        <f t="array" ref="BK1390">IFERROR(INDEX(AW1390:BH1390,1,MATCH(2,1/(AW1390:BH1390&lt;&gt;""))),"")</f>
        <v>0.48053691275167787</v>
      </c>
      <c r="BL1390" s="58" cm="1">
        <f t="array" ref="BL1390">IFERROR(INDEX(AW1390:BH1390,1,MATCH(2,1/(AW1390:BH1390&lt;&gt;""),1)-1),"")</f>
        <v>0.48053691275167787</v>
      </c>
      <c r="BM1390" s="55" cm="1">
        <f t="array" ref="BM1390">IFERROR(
   INDEX($AW$1:$BH$1,
      _xlfn.AGGREGATE(14, 6, COLUMN($AW$1:$BH$1)/(AW1390:BH1390&lt;&gt;""), 2) - COLUMN($AW$1) + 1
   ),
"")</f>
        <v>46082</v>
      </c>
      <c r="BN1390" s="55" cm="1">
        <f t="array" ref="BN1390">IFERROR(INDEX($AW$1:$BH$1,1,MATCH(2,1/(AW1390:BH1390&lt;&gt;""))),"")</f>
        <v>46113</v>
      </c>
      <c r="BO1390" s="119" cm="1">
        <f t="array" aca="1" ref="BO1390" ca="1">_xlfn.LET(
    _xlpm.mes_num, MONTH(TODAY())-1,
    _xlpm.coluna_ajustada, IF(_xlpm.mes_num=0, 12, _xlpm.mes_num),
    _xlpm.realizado_mes_anterior, INDEX(T1390:AE1390, 1, _xlpm.coluna_ajustada),
    _xlpm.previsto_total, AD1390,
    _xlpm.realizado_mes_anterior / _xlpm.previsto_total
)</f>
        <v>0.63355704697986581</v>
      </c>
      <c r="BP1390" s="53">
        <f ca="1">IFERROR(_xlfn.XLOOKUP(F1390,Apuração!A:A,Apuração!D:D)/_xlfn.XLOOKUP(F1390,Apuração!A:A,Apuração!B:B),0)</f>
        <v>0.2</v>
      </c>
      <c r="BQ1390" s="53">
        <f ca="1">IF(BK1390&gt;=BO1390,0,_xlfn.XLOOKUP(F1390,Apuração!A:A,Apuração!B:B)*(BO1390 + (1/_xlfn.XLOOKUP(F1390,Apuração!A:A,Apuração!B:B)) - BK1390))</f>
        <v>2.5302013422818792</v>
      </c>
      <c r="BR1390" s="85">
        <f t="shared" ca="1" si="1654"/>
        <v>1472.5771812080536</v>
      </c>
      <c r="BS1390" s="53">
        <f ca="1">IFERROR((_xlfn.XLOOKUP(F1390,Apuração!A:A,Apuração!C:C)+1)/_xlfn.XLOOKUP(F1390,Apuração!A:A,Apuração!B:B),0)</f>
        <v>0.4</v>
      </c>
    </row>
    <row r="1391" spans="1:71" ht="25.95" hidden="1" customHeight="1" x14ac:dyDescent="0.3">
      <c r="A1391" s="33" t="s">
        <v>175</v>
      </c>
      <c r="B1391" s="4" t="s">
        <v>184</v>
      </c>
      <c r="C1391" s="5" t="s">
        <v>209</v>
      </c>
      <c r="D1391" s="5" t="s">
        <v>211</v>
      </c>
      <c r="E1391" s="4" t="str" cm="1">
        <f t="array" ref="E1391">_xlfn.IFS(
F1391 = "A partir de Abril", "Aguardando Execução na Distribuidora",
A1391 = "CAPACITAÇÃO", "Em execução no Corporativo",
TRUE, "Em Execução na Distribuidora"
)</f>
        <v>Em execução no Corporativo</v>
      </c>
      <c r="F1391" s="4" t="str" cm="1">
        <f t="array" ref="F1391">_xlfn.IFS(
AG1391 &lt;&gt; "", "Jan-Dez/26",
AH1391 &lt;&gt; "", "Fev-Dez/26",
AI1391 &lt;&gt; "", "Mar-Dez/26", AJ1391 &lt;&gt; "", "Abr-Dez/26",
TRUE, "A partir de Junho"
)</f>
        <v>Mar-Dez/26</v>
      </c>
      <c r="G1391" s="4" t="s">
        <v>37</v>
      </c>
      <c r="H1391" s="7" t="s">
        <v>38</v>
      </c>
      <c r="I1391" s="8" t="s">
        <v>177</v>
      </c>
      <c r="J1391" s="8" t="str" cm="1">
        <f t="array" aca="1" ref="J1391" ca="1">_xlfn.LET(
  _xlpm.actual_value_month, INDEX(T1391:AE1391, MATCH(DATE(YEAR(TODAY()), MONTH(TODAY()), 1), $T$1:$AE$1, 0)),
  IF(_xlpm.actual_value_month &lt;&gt; "", _xlpm.actual_value_month &amp; " certificados mensais", "")
)</f>
        <v>235 certificados mensais</v>
      </c>
      <c r="K1391" s="8" t="str">
        <f t="shared" si="1648"/>
        <v>255 meta de certificados anuais</v>
      </c>
      <c r="L1391" s="9" t="s">
        <v>185</v>
      </c>
      <c r="M1391" s="13">
        <v>1</v>
      </c>
      <c r="N1391" s="5" t="s">
        <v>42</v>
      </c>
      <c r="O1391" s="5" t="s">
        <v>43</v>
      </c>
      <c r="P1391" s="10" t="s">
        <v>146</v>
      </c>
      <c r="Q1391" s="10" t="s">
        <v>44</v>
      </c>
      <c r="R1391" s="11" t="s">
        <v>179</v>
      </c>
      <c r="S1391" s="11" t="s">
        <v>67</v>
      </c>
      <c r="T1391" s="22"/>
      <c r="U1391" s="22"/>
      <c r="V1391" s="22">
        <v>217</v>
      </c>
      <c r="W1391" s="22">
        <v>223</v>
      </c>
      <c r="X1391" s="22">
        <v>229</v>
      </c>
      <c r="Y1391" s="22">
        <v>235</v>
      </c>
      <c r="Z1391" s="22">
        <v>240</v>
      </c>
      <c r="AA1391" s="22">
        <v>245</v>
      </c>
      <c r="AB1391" s="22">
        <v>250</v>
      </c>
      <c r="AC1391" s="22">
        <v>255</v>
      </c>
      <c r="AD1391" s="22">
        <v>255</v>
      </c>
      <c r="AE1391" s="22"/>
      <c r="AG1391" s="71"/>
      <c r="AH1391" s="71"/>
      <c r="AI1391" s="71">
        <v>217</v>
      </c>
      <c r="AJ1391" s="71">
        <v>217</v>
      </c>
      <c r="AK1391" s="71"/>
      <c r="AL1391" s="71"/>
      <c r="AM1391" s="71"/>
      <c r="AN1391" s="71"/>
      <c r="AO1391" s="71"/>
      <c r="AP1391" s="71"/>
      <c r="AQ1391" s="71"/>
      <c r="AR1391" s="71"/>
      <c r="AS1391" s="94" cm="1">
        <f t="array" ref="AS1391">IFERROR(INDEX(T1391:AE1391,1,MATCH(2,1/(T1391:AE1391&lt;&gt;""))),"")</f>
        <v>255</v>
      </c>
      <c r="AT1391" s="95" cm="1">
        <f t="array" ref="AT1391">IFERROR(INDEX(AJ1391:AR1391,1,MATCH(2,1/(AJ1391:AR1391&lt;&gt;""))),"")</f>
        <v>217</v>
      </c>
      <c r="AU1391" s="97">
        <f t="shared" si="1649"/>
        <v>217</v>
      </c>
      <c r="AW1391" s="51">
        <f t="shared" si="1650"/>
        <v>0</v>
      </c>
      <c r="AX1391" s="51">
        <f t="shared" si="1651"/>
        <v>0</v>
      </c>
      <c r="AY1391" s="51">
        <f t="shared" si="1652"/>
        <v>0.85098039215686272</v>
      </c>
      <c r="AZ1391" s="51">
        <f t="shared" si="1653"/>
        <v>0.85098039215686272</v>
      </c>
      <c r="BA1391" s="51"/>
      <c r="BB1391" s="51"/>
      <c r="BC1391" s="51"/>
      <c r="BD1391" s="51"/>
      <c r="BE1391" s="51"/>
      <c r="BF1391" s="51"/>
      <c r="BG1391" s="51"/>
      <c r="BH1391" s="51"/>
      <c r="BI1391" s="65" cm="1">
        <f t="array" ref="BI1391">IFERROR(INDEX(AW1391:BH1391,1,MATCH(2,1/(AW1391:BH1391&lt;&gt;""))),"")</f>
        <v>0.85098039215686272</v>
      </c>
      <c r="BJ1391" s="68" cm="1">
        <f t="array" ref="BJ1391">IF(BM1391 = "", "",IFERROR(INDEX(AW1391:BH1391,1,MATCH(2,1/(AW1391:BH1391&lt;&gt;""),1)-1),""))</f>
        <v>0.85098039215686272</v>
      </c>
      <c r="BK1391" s="58" cm="1">
        <f t="array" ref="BK1391">IFERROR(INDEX(AW1391:BH1391,1,MATCH(2,1/(AW1391:BH1391&lt;&gt;""))),"")</f>
        <v>0.85098039215686272</v>
      </c>
      <c r="BL1391" s="58" cm="1">
        <f t="array" ref="BL1391">IFERROR(INDEX(AW1391:BH1391,1,MATCH(2,1/(AW1391:BH1391&lt;&gt;""),1)-1),"")</f>
        <v>0.85098039215686272</v>
      </c>
      <c r="BM1391" s="55" cm="1">
        <f t="array" ref="BM1391">IFERROR(
   INDEX($AW$1:$BH$1,
      _xlfn.AGGREGATE(14, 6, COLUMN($AW$1:$BH$1)/(AW1391:BH1391&lt;&gt;""), 2) - COLUMN($AW$1) + 1
   ),
"")</f>
        <v>46082</v>
      </c>
      <c r="BN1391" s="55" cm="1">
        <f t="array" ref="BN1391">IFERROR(INDEX($AW$1:$BH$1,1,MATCH(2,1/(AW1391:BH1391&lt;&gt;""))),"")</f>
        <v>46113</v>
      </c>
      <c r="BO1391" s="119" cm="1">
        <f t="array" aca="1" ref="BO1391" ca="1">_xlfn.LET(
    _xlpm.mes_num, MONTH(TODAY())-1,
    _xlpm.coluna_ajustada, IF(_xlpm.mes_num=0, 12, _xlpm.mes_num),
    _xlpm.realizado_mes_anterior, INDEX(T1391:AE1391, 1, _xlpm.coluna_ajustada),
    _xlpm.previsto_total, AD1391,
    _xlpm.realizado_mes_anterior / _xlpm.previsto_total
)</f>
        <v>0.89803921568627454</v>
      </c>
      <c r="BP1391" s="53">
        <f ca="1">IFERROR(_xlfn.XLOOKUP(F1391,Apuração!A:A,Apuração!D:D)/_xlfn.XLOOKUP(F1391,Apuração!A:A,Apuração!B:B),0)</f>
        <v>0.2</v>
      </c>
      <c r="BQ1391" s="53">
        <f ca="1">IF(BK1391&gt;=BO1391,0,_xlfn.XLOOKUP(F1391,Apuração!A:A,Apuração!B:B)*(BO1391 + (1/_xlfn.XLOOKUP(F1391,Apuração!A:A,Apuração!B:B)) - BK1391))</f>
        <v>1.470588235294118</v>
      </c>
      <c r="BR1391" s="85">
        <f t="shared" ca="1" si="1654"/>
        <v>352.94117647058829</v>
      </c>
      <c r="BS1391" s="53">
        <f ca="1">IFERROR((_xlfn.XLOOKUP(F1391,Apuração!A:A,Apuração!C:C)+1)/_xlfn.XLOOKUP(F1391,Apuração!A:A,Apuração!B:B),0)</f>
        <v>0.4</v>
      </c>
    </row>
    <row r="1392" spans="1:71" ht="25.95" hidden="1" customHeight="1" x14ac:dyDescent="0.3">
      <c r="A1392" s="33" t="s">
        <v>175</v>
      </c>
      <c r="B1392" s="4" t="s">
        <v>184</v>
      </c>
      <c r="C1392" s="5" t="s">
        <v>209</v>
      </c>
      <c r="D1392" s="5" t="s">
        <v>212</v>
      </c>
      <c r="E1392" s="4" t="str" cm="1">
        <f t="array" ref="E1392">_xlfn.IFS(
F1392 = "A partir de Abril", "Aguardando Execução na Distribuidora",
A1392 = "CAPACITAÇÃO", "Em execução no Corporativo",
TRUE, "Em Execução na Distribuidora"
)</f>
        <v>Em execução no Corporativo</v>
      </c>
      <c r="F1392" s="4" t="str" cm="1">
        <f t="array" ref="F1392">_xlfn.IFS(
AG1392 &lt;&gt; "", "Jan-Dez/26",
AH1392 &lt;&gt; "", "Fev-Dez/26",
AI1392 &lt;&gt; "", "Mar-Dez/26", AJ1392 &lt;&gt; "", "Abr-Dez/26",
TRUE, "A partir de Junho"
)</f>
        <v>Mar-Dez/26</v>
      </c>
      <c r="G1392" s="4" t="s">
        <v>37</v>
      </c>
      <c r="H1392" s="7" t="s">
        <v>38</v>
      </c>
      <c r="I1392" s="8" t="s">
        <v>177</v>
      </c>
      <c r="J1392" s="8" t="str" cm="1">
        <f t="array" aca="1" ref="J1392" ca="1">_xlfn.LET(
  _xlpm.actual_value_month, INDEX(T1392:AE1392, MATCH(DATE(YEAR(TODAY()), MONTH(TODAY()), 1), $T$1:$AE$1, 0)),
  IF(_xlpm.actual_value_month &lt;&gt; "", _xlpm.actual_value_month &amp; " certificados mensais", "")
)</f>
        <v>773 certificados mensais</v>
      </c>
      <c r="K1392" s="8" t="str">
        <f t="shared" si="1648"/>
        <v>903 meta de certificados anuais</v>
      </c>
      <c r="L1392" s="9" t="s">
        <v>185</v>
      </c>
      <c r="M1392" s="13">
        <v>1</v>
      </c>
      <c r="N1392" s="5" t="s">
        <v>42</v>
      </c>
      <c r="O1392" s="5" t="s">
        <v>43</v>
      </c>
      <c r="P1392" s="10" t="s">
        <v>146</v>
      </c>
      <c r="Q1392" s="10" t="s">
        <v>44</v>
      </c>
      <c r="R1392" s="11" t="s">
        <v>179</v>
      </c>
      <c r="S1392" s="11" t="s">
        <v>67</v>
      </c>
      <c r="T1392" s="22"/>
      <c r="U1392" s="22"/>
      <c r="V1392" s="22">
        <v>702</v>
      </c>
      <c r="W1392" s="22">
        <v>717</v>
      </c>
      <c r="X1392" s="22">
        <v>745</v>
      </c>
      <c r="Y1392" s="22">
        <v>773</v>
      </c>
      <c r="Z1392" s="22">
        <v>800</v>
      </c>
      <c r="AA1392" s="22">
        <v>827</v>
      </c>
      <c r="AB1392" s="22">
        <v>853</v>
      </c>
      <c r="AC1392" s="22">
        <v>879</v>
      </c>
      <c r="AD1392" s="22">
        <v>903</v>
      </c>
      <c r="AE1392" s="22"/>
      <c r="AG1392" s="71"/>
      <c r="AH1392" s="71"/>
      <c r="AI1392" s="71">
        <v>702</v>
      </c>
      <c r="AJ1392" s="71">
        <v>702</v>
      </c>
      <c r="AK1392" s="71"/>
      <c r="AL1392" s="71"/>
      <c r="AM1392" s="71"/>
      <c r="AN1392" s="71"/>
      <c r="AO1392" s="71"/>
      <c r="AP1392" s="71"/>
      <c r="AQ1392" s="71"/>
      <c r="AR1392" s="71"/>
      <c r="AS1392" s="94" cm="1">
        <f t="array" ref="AS1392">IFERROR(INDEX(T1392:AE1392,1,MATCH(2,1/(T1392:AE1392&lt;&gt;""))),"")</f>
        <v>903</v>
      </c>
      <c r="AT1392" s="95" cm="1">
        <f t="array" ref="AT1392">IFERROR(INDEX(AJ1392:AR1392,1,MATCH(2,1/(AJ1392:AR1392&lt;&gt;""))),"")</f>
        <v>702</v>
      </c>
      <c r="AU1392" s="97">
        <f t="shared" si="1649"/>
        <v>702</v>
      </c>
      <c r="AW1392" s="51">
        <f t="shared" si="1650"/>
        <v>0</v>
      </c>
      <c r="AX1392" s="51">
        <f t="shared" si="1651"/>
        <v>0</v>
      </c>
      <c r="AY1392" s="51">
        <f t="shared" si="1652"/>
        <v>0.77740863787375414</v>
      </c>
      <c r="AZ1392" s="51">
        <f t="shared" si="1653"/>
        <v>0.77740863787375414</v>
      </c>
      <c r="BA1392" s="51"/>
      <c r="BB1392" s="51"/>
      <c r="BC1392" s="51"/>
      <c r="BD1392" s="51"/>
      <c r="BE1392" s="51"/>
      <c r="BF1392" s="51"/>
      <c r="BG1392" s="51"/>
      <c r="BH1392" s="51"/>
      <c r="BI1392" s="65" cm="1">
        <f t="array" ref="BI1392">IFERROR(INDEX(AW1392:BH1392,1,MATCH(2,1/(AW1392:BH1392&lt;&gt;""))),"")</f>
        <v>0.77740863787375414</v>
      </c>
      <c r="BJ1392" s="68" cm="1">
        <f t="array" ref="BJ1392">IF(BM1392 = "", "",IFERROR(INDEX(AW1392:BH1392,1,MATCH(2,1/(AW1392:BH1392&lt;&gt;""),1)-1),""))</f>
        <v>0.77740863787375414</v>
      </c>
      <c r="BK1392" s="58" cm="1">
        <f t="array" ref="BK1392">IFERROR(INDEX(AW1392:BH1392,1,MATCH(2,1/(AW1392:BH1392&lt;&gt;""))),"")</f>
        <v>0.77740863787375414</v>
      </c>
      <c r="BL1392" s="58" cm="1">
        <f t="array" ref="BL1392">IFERROR(INDEX(AW1392:BH1392,1,MATCH(2,1/(AW1392:BH1392&lt;&gt;""),1)-1),"")</f>
        <v>0.77740863787375414</v>
      </c>
      <c r="BM1392" s="55" cm="1">
        <f t="array" ref="BM1392">IFERROR(
   INDEX($AW$1:$BH$1,
      _xlfn.AGGREGATE(14, 6, COLUMN($AW$1:$BH$1)/(AW1392:BH1392&lt;&gt;""), 2) - COLUMN($AW$1) + 1
   ),
"")</f>
        <v>46082</v>
      </c>
      <c r="BN1392" s="55" cm="1">
        <f t="array" ref="BN1392">IFERROR(INDEX($AW$1:$BH$1,1,MATCH(2,1/(AW1392:BH1392&lt;&gt;""))),"")</f>
        <v>46113</v>
      </c>
      <c r="BO1392" s="119" cm="1">
        <f t="array" aca="1" ref="BO1392" ca="1">_xlfn.LET(
    _xlpm.mes_num, MONTH(TODAY())-1,
    _xlpm.coluna_ajustada, IF(_xlpm.mes_num=0, 12, _xlpm.mes_num),
    _xlpm.realizado_mes_anterior, INDEX(T1392:AE1392, 1, _xlpm.coluna_ajustada),
    _xlpm.previsto_total, AD1392,
    _xlpm.realizado_mes_anterior / _xlpm.previsto_total
)</f>
        <v>0.82502768549280181</v>
      </c>
      <c r="BP1392" s="53">
        <f ca="1">IFERROR(_xlfn.XLOOKUP(F1392,Apuração!A:A,Apuração!D:D)/_xlfn.XLOOKUP(F1392,Apuração!A:A,Apuração!B:B),0)</f>
        <v>0.2</v>
      </c>
      <c r="BQ1392" s="53">
        <f ca="1">IF(BK1392&gt;=BO1392,0,_xlfn.XLOOKUP(F1392,Apuração!A:A,Apuração!B:B)*(BO1392 + (1/_xlfn.XLOOKUP(F1392,Apuração!A:A,Apuração!B:B)) - BK1392))</f>
        <v>1.4761904761904765</v>
      </c>
      <c r="BR1392" s="85">
        <f t="shared" ca="1" si="1654"/>
        <v>1180.9523809523812</v>
      </c>
      <c r="BS1392" s="53">
        <f ca="1">IFERROR((_xlfn.XLOOKUP(F1392,Apuração!A:A,Apuração!C:C)+1)/_xlfn.XLOOKUP(F1392,Apuração!A:A,Apuração!B:B),0)</f>
        <v>0.4</v>
      </c>
    </row>
    <row r="1393" spans="1:71" ht="25.95" hidden="1" customHeight="1" x14ac:dyDescent="0.3">
      <c r="A1393" s="33" t="s">
        <v>175</v>
      </c>
      <c r="B1393" s="4" t="s">
        <v>184</v>
      </c>
      <c r="C1393" s="5" t="s">
        <v>209</v>
      </c>
      <c r="D1393" s="5" t="s">
        <v>213</v>
      </c>
      <c r="E1393" s="4" t="str" cm="1">
        <f t="array" ref="E1393">_xlfn.IFS(
F1393 = "A partir de Abril", "Aguardando Execução na Distribuidora",
A1393 = "CAPACITAÇÃO", "Em execução no Corporativo",
TRUE, "Em Execução na Distribuidora"
)</f>
        <v>Em execução no Corporativo</v>
      </c>
      <c r="F1393" s="4" t="str" cm="1">
        <f t="array" ref="F1393">_xlfn.IFS(
AG1393 &lt;&gt; "", "Jan-Dez/26",
AH1393 &lt;&gt; "", "Fev-Dez/26",
AI1393 &lt;&gt; "", "Mar-Dez/26", AJ1393 &lt;&gt; "", "Abr-Dez/26",
TRUE, "A partir de Junho"
)</f>
        <v>Mar-Dez/26</v>
      </c>
      <c r="G1393" s="4" t="s">
        <v>37</v>
      </c>
      <c r="H1393" s="7" t="s">
        <v>38</v>
      </c>
      <c r="I1393" s="8" t="s">
        <v>177</v>
      </c>
      <c r="J1393" s="8" t="str" cm="1">
        <f t="array" aca="1" ref="J1393" ca="1">_xlfn.LET(
  _xlpm.actual_value_month, INDEX(T1393:AE1393, MATCH(DATE(YEAR(TODAY()), MONTH(TODAY()), 1), $T$1:$AE$1, 0)),
  IF(_xlpm.actual_value_month &lt;&gt; "", _xlpm.actual_value_month &amp; " certificados mensais", "")
)</f>
        <v>451 certificados mensais</v>
      </c>
      <c r="K1393" s="8" t="str">
        <f t="shared" si="1648"/>
        <v>519 meta de certificados anuais</v>
      </c>
      <c r="L1393" s="9" t="s">
        <v>185</v>
      </c>
      <c r="M1393" s="13">
        <v>1</v>
      </c>
      <c r="N1393" s="5" t="s">
        <v>42</v>
      </c>
      <c r="O1393" s="5" t="s">
        <v>43</v>
      </c>
      <c r="P1393" s="10" t="s">
        <v>146</v>
      </c>
      <c r="Q1393" s="10" t="s">
        <v>44</v>
      </c>
      <c r="R1393" s="11" t="s">
        <v>179</v>
      </c>
      <c r="S1393" s="11" t="s">
        <v>67</v>
      </c>
      <c r="T1393" s="22"/>
      <c r="U1393" s="22"/>
      <c r="V1393" s="22">
        <v>435</v>
      </c>
      <c r="W1393" s="22">
        <v>436</v>
      </c>
      <c r="X1393" s="22">
        <v>436</v>
      </c>
      <c r="Y1393" s="22">
        <v>451</v>
      </c>
      <c r="Z1393" s="22">
        <v>466</v>
      </c>
      <c r="AA1393" s="22">
        <v>481</v>
      </c>
      <c r="AB1393" s="22">
        <v>496</v>
      </c>
      <c r="AC1393" s="22">
        <v>509</v>
      </c>
      <c r="AD1393" s="22">
        <v>519</v>
      </c>
      <c r="AE1393" s="22"/>
      <c r="AG1393" s="71"/>
      <c r="AH1393" s="71"/>
      <c r="AI1393" s="71">
        <v>435</v>
      </c>
      <c r="AJ1393" s="71">
        <v>435</v>
      </c>
      <c r="AK1393" s="71"/>
      <c r="AL1393" s="71"/>
      <c r="AM1393" s="71"/>
      <c r="AN1393" s="71"/>
      <c r="AO1393" s="71"/>
      <c r="AP1393" s="71"/>
      <c r="AQ1393" s="71"/>
      <c r="AR1393" s="71"/>
      <c r="AS1393" s="94" cm="1">
        <f t="array" ref="AS1393">IFERROR(INDEX(T1393:AE1393,1,MATCH(2,1/(T1393:AE1393&lt;&gt;""))),"")</f>
        <v>519</v>
      </c>
      <c r="AT1393" s="95" cm="1">
        <f t="array" ref="AT1393">IFERROR(INDEX(AJ1393:AR1393,1,MATCH(2,1/(AJ1393:AR1393&lt;&gt;""))),"")</f>
        <v>435</v>
      </c>
      <c r="AU1393" s="97">
        <f t="shared" si="1649"/>
        <v>435</v>
      </c>
      <c r="AW1393" s="51">
        <f t="shared" si="1650"/>
        <v>0</v>
      </c>
      <c r="AX1393" s="51">
        <f t="shared" si="1651"/>
        <v>0</v>
      </c>
      <c r="AY1393" s="51">
        <f t="shared" si="1652"/>
        <v>0.83815028901734101</v>
      </c>
      <c r="AZ1393" s="51">
        <f t="shared" si="1653"/>
        <v>0.83815028901734101</v>
      </c>
      <c r="BA1393" s="51"/>
      <c r="BB1393" s="51"/>
      <c r="BC1393" s="51"/>
      <c r="BD1393" s="51"/>
      <c r="BE1393" s="51"/>
      <c r="BF1393" s="51"/>
      <c r="BG1393" s="51"/>
      <c r="BH1393" s="51"/>
      <c r="BI1393" s="65" cm="1">
        <f t="array" ref="BI1393">IFERROR(INDEX(AW1393:BH1393,1,MATCH(2,1/(AW1393:BH1393&lt;&gt;""))),"")</f>
        <v>0.83815028901734101</v>
      </c>
      <c r="BJ1393" s="68" cm="1">
        <f t="array" ref="BJ1393">IF(BM1393 = "", "",IFERROR(INDEX(AW1393:BH1393,1,MATCH(2,1/(AW1393:BH1393&lt;&gt;""),1)-1),""))</f>
        <v>0.83815028901734101</v>
      </c>
      <c r="BK1393" s="58" cm="1">
        <f t="array" ref="BK1393">IFERROR(INDEX(AW1393:BH1393,1,MATCH(2,1/(AW1393:BH1393&lt;&gt;""))),"")</f>
        <v>0.83815028901734101</v>
      </c>
      <c r="BL1393" s="58" cm="1">
        <f t="array" ref="BL1393">IFERROR(INDEX(AW1393:BH1393,1,MATCH(2,1/(AW1393:BH1393&lt;&gt;""),1)-1),"")</f>
        <v>0.83815028901734101</v>
      </c>
      <c r="BM1393" s="55" cm="1">
        <f t="array" ref="BM1393">IFERROR(
   INDEX($AW$1:$BH$1,
      _xlfn.AGGREGATE(14, 6, COLUMN($AW$1:$BH$1)/(AW1393:BH1393&lt;&gt;""), 2) - COLUMN($AW$1) + 1
   ),
"")</f>
        <v>46082</v>
      </c>
      <c r="BN1393" s="55" cm="1">
        <f t="array" ref="BN1393">IFERROR(INDEX($AW$1:$BH$1,1,MATCH(2,1/(AW1393:BH1393&lt;&gt;""))),"")</f>
        <v>46113</v>
      </c>
      <c r="BO1393" s="119" cm="1">
        <f t="array" aca="1" ref="BO1393" ca="1">_xlfn.LET(
    _xlpm.mes_num, MONTH(TODAY())-1,
    _xlpm.coluna_ajustada, IF(_xlpm.mes_num=0, 12, _xlpm.mes_num),
    _xlpm.realizado_mes_anterior, INDEX(T1393:AE1393, 1, _xlpm.coluna_ajustada),
    _xlpm.previsto_total, AD1393,
    _xlpm.realizado_mes_anterior / _xlpm.previsto_total
)</f>
        <v>0.84007707129094411</v>
      </c>
      <c r="BP1393" s="53">
        <f ca="1">IFERROR(_xlfn.XLOOKUP(F1393,Apuração!A:A,Apuração!D:D)/_xlfn.XLOOKUP(F1393,Apuração!A:A,Apuração!B:B),0)</f>
        <v>0.2</v>
      </c>
      <c r="BQ1393" s="53">
        <f ca="1">IF(BK1393&gt;=BO1393,0,_xlfn.XLOOKUP(F1393,Apuração!A:A,Apuração!B:B)*(BO1393 + (1/_xlfn.XLOOKUP(F1393,Apuração!A:A,Apuração!B:B)) - BK1393))</f>
        <v>1.0192678227360308</v>
      </c>
      <c r="BR1393" s="85">
        <f t="shared" ca="1" si="1654"/>
        <v>474.97880539499033</v>
      </c>
      <c r="BS1393" s="53">
        <f ca="1">IFERROR((_xlfn.XLOOKUP(F1393,Apuração!A:A,Apuração!C:C)+1)/_xlfn.XLOOKUP(F1393,Apuração!A:A,Apuração!B:B),0)</f>
        <v>0.4</v>
      </c>
    </row>
    <row r="1394" spans="1:71" ht="25.95" hidden="1" customHeight="1" x14ac:dyDescent="0.3">
      <c r="A1394" s="44" t="s">
        <v>175</v>
      </c>
      <c r="B1394" s="4" t="s">
        <v>184</v>
      </c>
      <c r="C1394" s="5" t="s">
        <v>209</v>
      </c>
      <c r="D1394" s="5" t="s">
        <v>36</v>
      </c>
      <c r="E1394" s="4" t="str" cm="1">
        <f t="array" ref="E1394">_xlfn.IFS(
F1394 = "A partir de Abril", "Aguardando Execução na Distribuidora",
A1394 = "CAPACITAÇÃO", "Em execução no Corporativo",
TRUE, "Em Execução na Distribuidora"
)</f>
        <v>Em execução no Corporativo</v>
      </c>
      <c r="F1394" s="4" t="str" cm="1">
        <f t="array" ref="F1394">_xlfn.IFS(
AG1394 &lt;&gt; "", "Jan-Dez/26",
AH1394 &lt;&gt; "", "Fev-Dez/26",
AI1394 &lt;&gt; "", "Mar-Dez/26", AJ1394 &lt;&gt; "", "Abr-Dez/26",
TRUE, "A partir de Junho"
)</f>
        <v>Mar-Dez/26</v>
      </c>
      <c r="G1394" s="4" t="s">
        <v>37</v>
      </c>
      <c r="H1394" s="7" t="s">
        <v>38</v>
      </c>
      <c r="I1394" s="21" t="s">
        <v>180</v>
      </c>
      <c r="J1394" s="8" t="str" cm="1">
        <f t="array" aca="1" ref="J1394" ca="1">_xlfn.LET(
  _xlpm.actual_value_month, INDEX(T1394:AE1394, MATCH(DATE(YEAR(TODAY()), MONTH(TODAY()), 1), $T$1:$AE$1, 0)),
  IF(_xlpm.actual_value_month &lt;&gt; "", _xlpm.actual_value_month &amp; " ações mensais", "")
)</f>
        <v/>
      </c>
      <c r="K1394" s="8" t="str" cm="1">
        <f t="array" ref="K1394">_xlfn.LET(
    _xlpm.sum_month, SUM(T1394:AE1394),
    IF(_xlpm.sum_month = 0, "", _xlpm.sum_month &amp; " colaboradores treinados.")
)</f>
        <v/>
      </c>
      <c r="L1394" s="9" t="s">
        <v>220</v>
      </c>
      <c r="M1394" s="13">
        <v>1</v>
      </c>
      <c r="N1394" s="5" t="s">
        <v>51</v>
      </c>
      <c r="O1394" s="5" t="s">
        <v>52</v>
      </c>
      <c r="P1394" s="10" t="s">
        <v>146</v>
      </c>
      <c r="Q1394" s="10" t="s">
        <v>44</v>
      </c>
      <c r="R1394" s="11" t="s">
        <v>44</v>
      </c>
      <c r="S1394" s="11" t="s">
        <v>44</v>
      </c>
      <c r="T1394" s="22"/>
      <c r="U1394" s="22"/>
      <c r="V1394" s="22"/>
      <c r="W1394" s="22"/>
      <c r="X1394" s="22"/>
      <c r="Y1394" s="22"/>
      <c r="Z1394" s="22"/>
      <c r="AA1394" s="22"/>
      <c r="AB1394" s="22"/>
      <c r="AC1394" s="22"/>
      <c r="AD1394" s="22"/>
      <c r="AE1394" s="22"/>
      <c r="AG1394" s="71"/>
      <c r="AH1394" s="71"/>
      <c r="AI1394" s="71">
        <v>2243</v>
      </c>
      <c r="AJ1394" s="71">
        <v>2258</v>
      </c>
      <c r="AK1394" s="71"/>
      <c r="AL1394" s="71"/>
      <c r="AM1394" s="71"/>
      <c r="AN1394" s="71"/>
      <c r="AO1394" s="71"/>
      <c r="AP1394" s="71"/>
      <c r="AQ1394" s="71"/>
      <c r="AR1394" s="71"/>
      <c r="AS1394" s="94" t="str" cm="1">
        <f t="array" ref="AS1394">IFERROR(INDEX(T1394:AE1394,1,MATCH(2,1/(T1394:AE1394&lt;&gt;""))),"")</f>
        <v/>
      </c>
      <c r="AT1394" s="95" cm="1">
        <f t="array" ref="AT1394">IFERROR(INDEX(AJ1394:AR1394,1,MATCH(2,1/(AJ1394:AR1394&lt;&gt;""))),"")</f>
        <v>2258</v>
      </c>
      <c r="AU1394" s="97">
        <f>AT1394</f>
        <v>2258</v>
      </c>
      <c r="AW1394" s="83">
        <f>AG1394</f>
        <v>0</v>
      </c>
      <c r="AX1394" s="52">
        <f>AH1394</f>
        <v>0</v>
      </c>
      <c r="AY1394" s="52">
        <f>AI1394</f>
        <v>2243</v>
      </c>
      <c r="AZ1394" s="52">
        <f>AJ1394</f>
        <v>2258</v>
      </c>
      <c r="BA1394" s="52"/>
      <c r="BB1394" s="52"/>
      <c r="BC1394" s="52"/>
      <c r="BD1394" s="52"/>
      <c r="BE1394" s="52"/>
      <c r="BF1394" s="52"/>
      <c r="BG1394" s="52"/>
      <c r="BH1394" s="52"/>
      <c r="BI1394" s="68" cm="1">
        <f t="array" ref="BI1394">IFERROR(INDEX(AW1394:BH1394,1,MATCH(2,1/(AW1394:BH1394&lt;&gt;""))),"")</f>
        <v>2258</v>
      </c>
      <c r="BJ1394" s="68" cm="1">
        <f t="array" ref="BJ1394">IF(BM1394 = "", "",IFERROR(INDEX(AW1394:BH1394,1,MATCH(2,1/(AW1394:BH1394&lt;&gt;""),1)-1),""))</f>
        <v>2243</v>
      </c>
      <c r="BK1394" s="59">
        <f>SUM(AW1394:BH1394)</f>
        <v>4501</v>
      </c>
      <c r="BL1394" s="59" cm="1">
        <f t="array" ref="BL1394">IFERROR(SUM(AW1394:INDEX(AW1394:BH1394, MATCH(2, 1/(AW1394:BH1394&lt;&gt;""), 1) - 1))/_xlfn.XLOOKUP(F1394,Apuração!A:A,Apuração!B:B),0)</f>
        <v>224.3</v>
      </c>
      <c r="BM1394" s="55" cm="1">
        <f t="array" ref="BM1394">IFERROR(
   INDEX($AW$1:$BH$1,
      _xlfn.AGGREGATE(14, 6, COLUMN($AW$1:$BH$1)/(AW1394:BH1394&lt;&gt;""), 2) - COLUMN($AW$1) + 1
   ),
"")</f>
        <v>46082</v>
      </c>
      <c r="BN1394" s="55" cm="1">
        <f t="array" ref="BN1394">IFERROR(INDEX($AW$1:$BH$1,1,MATCH(2,1/(AW1394:BH1394&lt;&gt;""))),"")</f>
        <v>46113</v>
      </c>
      <c r="BO1394" s="53">
        <f ca="1">IFERROR(_xlfn.XLOOKUP(F1394,Apuração!A:A,Apuração!C:C)/_xlfn.XLOOKUP(F1394,Apuração!A:A,Apuração!B:B),0)</f>
        <v>0.3</v>
      </c>
      <c r="BP1394" s="53">
        <f ca="1">IFERROR(_xlfn.XLOOKUP(F1394,Apuração!A:A,Apuração!D:D)/_xlfn.XLOOKUP(F1394,Apuração!A:A,Apuração!B:B),0)</f>
        <v>0.2</v>
      </c>
      <c r="BQ1394" s="53">
        <f ca="1">IF(BK1394&gt;=BO1394,0,_xlfn.XLOOKUP(F1394,Apuração!A:A,Apuração!B:B)*(BO1394 + (1/_xlfn.XLOOKUP(F1394,Apuração!A:A,Apuração!B:B)) - BK1394))</f>
        <v>0</v>
      </c>
      <c r="BR1394" s="85">
        <f ca="1">IF(BQ1394=0,0,BQ1394*Z1394)</f>
        <v>0</v>
      </c>
      <c r="BS1394" s="53">
        <f ca="1">IFERROR((_xlfn.XLOOKUP(F1394,Apuração!A:A,Apuração!C:C)+1)/_xlfn.XLOOKUP(F1394,Apuração!A:A,Apuração!B:B),0)</f>
        <v>0.4</v>
      </c>
    </row>
    <row r="1395" spans="1:71" ht="25.95" hidden="1" customHeight="1" x14ac:dyDescent="0.3">
      <c r="A1395" s="44" t="s">
        <v>175</v>
      </c>
      <c r="B1395" s="4" t="s">
        <v>184</v>
      </c>
      <c r="C1395" s="5" t="s">
        <v>209</v>
      </c>
      <c r="D1395" s="5" t="s">
        <v>210</v>
      </c>
      <c r="E1395" s="4" t="str" cm="1">
        <f t="array" ref="E1395">_xlfn.IFS(
F1395 = "A partir de Abril", "Aguardando Execução na Distribuidora",
A1395 = "CAPACITAÇÃO", "Em execução no Corporativo",
TRUE, "Em Execução na Distribuidora"
)</f>
        <v>Em execução no Corporativo</v>
      </c>
      <c r="F1395" s="4" t="str" cm="1">
        <f t="array" ref="F1395">_xlfn.IFS(
AG1395 &lt;&gt; "", "Jan-Dez/26",
AH1395 &lt;&gt; "", "Fev-Dez/26",
AI1395 &lt;&gt; "", "Mar-Dez/26", AJ1395 &lt;&gt; "", "Abr-Dez/26",
TRUE, "A partir de Junho"
)</f>
        <v>Mar-Dez/26</v>
      </c>
      <c r="G1395" s="4" t="s">
        <v>37</v>
      </c>
      <c r="H1395" s="7" t="s">
        <v>38</v>
      </c>
      <c r="I1395" s="21" t="s">
        <v>180</v>
      </c>
      <c r="J1395" s="8" t="str" cm="1">
        <f t="array" aca="1" ref="J1395" ca="1">_xlfn.LET(
  _xlpm.actual_value_month, INDEX(T1395:AE1395, MATCH(DATE(YEAR(TODAY()), MONTH(TODAY()), 1), $T$1:$AE$1, 0)),
  IF(_xlpm.actual_value_month &lt;&gt; "", _xlpm.actual_value_month &amp; " ações mensais", "")
)</f>
        <v/>
      </c>
      <c r="K1395" s="8" t="str" cm="1">
        <f t="array" ref="K1395">_xlfn.LET(
    _xlpm.sum_month, SUM(T1395:AE1395),
    IF(_xlpm.sum_month = 0, "", _xlpm.sum_month &amp; " colaboradores treinados.")
)</f>
        <v/>
      </c>
      <c r="L1395" s="9" t="s">
        <v>220</v>
      </c>
      <c r="M1395" s="13">
        <v>1</v>
      </c>
      <c r="N1395" s="5" t="s">
        <v>51</v>
      </c>
      <c r="O1395" s="5" t="s">
        <v>52</v>
      </c>
      <c r="P1395" s="10" t="s">
        <v>146</v>
      </c>
      <c r="Q1395" s="10" t="s">
        <v>44</v>
      </c>
      <c r="R1395" s="11" t="s">
        <v>44</v>
      </c>
      <c r="S1395" s="11" t="s">
        <v>44</v>
      </c>
      <c r="T1395" s="22"/>
      <c r="U1395" s="22"/>
      <c r="V1395" s="22"/>
      <c r="W1395" s="22"/>
      <c r="X1395" s="22"/>
      <c r="Y1395" s="22"/>
      <c r="Z1395" s="22"/>
      <c r="AA1395" s="22"/>
      <c r="AB1395" s="22"/>
      <c r="AC1395" s="22"/>
      <c r="AD1395" s="22"/>
      <c r="AE1395" s="22"/>
      <c r="AG1395" s="71"/>
      <c r="AH1395" s="71"/>
      <c r="AI1395" s="71">
        <v>546</v>
      </c>
      <c r="AJ1395" s="71">
        <v>546</v>
      </c>
      <c r="AK1395" s="71"/>
      <c r="AL1395" s="71"/>
      <c r="AM1395" s="71"/>
      <c r="AN1395" s="71"/>
      <c r="AO1395" s="71"/>
      <c r="AP1395" s="71"/>
      <c r="AQ1395" s="71"/>
      <c r="AR1395" s="71"/>
      <c r="AS1395" s="94" t="str" cm="1">
        <f t="array" ref="AS1395">IFERROR(INDEX(T1395:AE1395,1,MATCH(2,1/(T1395:AE1395&lt;&gt;""))),"")</f>
        <v/>
      </c>
      <c r="AT1395" s="95" cm="1">
        <f t="array" ref="AT1395">IFERROR(INDEX(AJ1395:AR1395,1,MATCH(2,1/(AJ1395:AR1395&lt;&gt;""))),"")</f>
        <v>546</v>
      </c>
      <c r="AU1395" s="97">
        <f t="shared" ref="AU1395:AU1399" si="1655">AT1395</f>
        <v>546</v>
      </c>
      <c r="AW1395" s="83">
        <f t="shared" ref="AW1395:AW1399" si="1656">AG1395</f>
        <v>0</v>
      </c>
      <c r="AX1395" s="52">
        <f t="shared" ref="AX1395:AX1399" si="1657">AH1395</f>
        <v>0</v>
      </c>
      <c r="AY1395" s="52">
        <f t="shared" ref="AY1395:AY1399" si="1658">AI1395</f>
        <v>546</v>
      </c>
      <c r="AZ1395" s="52">
        <f t="shared" ref="AZ1395:AZ1399" si="1659">AJ1395</f>
        <v>546</v>
      </c>
      <c r="BA1395" s="52"/>
      <c r="BB1395" s="52"/>
      <c r="BC1395" s="52"/>
      <c r="BD1395" s="52"/>
      <c r="BE1395" s="52"/>
      <c r="BF1395" s="52"/>
      <c r="BG1395" s="52"/>
      <c r="BH1395" s="52"/>
      <c r="BI1395" s="68" cm="1">
        <f t="array" ref="BI1395">IFERROR(INDEX(AW1395:BH1395,1,MATCH(2,1/(AW1395:BH1395&lt;&gt;""))),"")</f>
        <v>546</v>
      </c>
      <c r="BJ1395" s="68" cm="1">
        <f t="array" ref="BJ1395">IF(BM1395 = "", "",IFERROR(INDEX(AW1395:BH1395,1,MATCH(2,1/(AW1395:BH1395&lt;&gt;""),1)-1),""))</f>
        <v>546</v>
      </c>
      <c r="BK1395" s="59">
        <f t="shared" ref="BK1395:BK1399" si="1660">SUM(AW1395:BH1395)</f>
        <v>1092</v>
      </c>
      <c r="BL1395" s="59" cm="1">
        <f t="array" ref="BL1395">IFERROR(SUM(AW1395:INDEX(AW1395:BH1395, MATCH(2, 1/(AW1395:BH1395&lt;&gt;""), 1) - 1))/_xlfn.XLOOKUP(F1395,Apuração!A:A,Apuração!B:B),0)</f>
        <v>54.6</v>
      </c>
      <c r="BM1395" s="55" cm="1">
        <f t="array" ref="BM1395">IFERROR(
   INDEX($AW$1:$BH$1,
      _xlfn.AGGREGATE(14, 6, COLUMN($AW$1:$BH$1)/(AW1395:BH1395&lt;&gt;""), 2) - COLUMN($AW$1) + 1
   ),
"")</f>
        <v>46082</v>
      </c>
      <c r="BN1395" s="55" cm="1">
        <f t="array" ref="BN1395">IFERROR(INDEX($AW$1:$BH$1,1,MATCH(2,1/(AW1395:BH1395&lt;&gt;""))),"")</f>
        <v>46113</v>
      </c>
      <c r="BO1395" s="53">
        <f ca="1">IFERROR(_xlfn.XLOOKUP(F1395,Apuração!A:A,Apuração!C:C)/_xlfn.XLOOKUP(F1395,Apuração!A:A,Apuração!B:B),0)</f>
        <v>0.3</v>
      </c>
      <c r="BP1395" s="53">
        <f ca="1">IFERROR(_xlfn.XLOOKUP(F1395,Apuração!A:A,Apuração!D:D)/_xlfn.XLOOKUP(F1395,Apuração!A:A,Apuração!B:B),0)</f>
        <v>0.2</v>
      </c>
      <c r="BQ1395" s="53">
        <f ca="1">IF(BK1395&gt;=BO1395,0,_xlfn.XLOOKUP(F1395,Apuração!A:A,Apuração!B:B)*(BO1395 + (1/_xlfn.XLOOKUP(F1395,Apuração!A:A,Apuração!B:B)) - BK1395))</f>
        <v>0</v>
      </c>
      <c r="BR1395" s="85">
        <f t="shared" ref="BR1395:BR1399" ca="1" si="1661">IF(BQ1395=0,0,BQ1395*Z1395)</f>
        <v>0</v>
      </c>
      <c r="BS1395" s="53">
        <f ca="1">IFERROR((_xlfn.XLOOKUP(F1395,Apuração!A:A,Apuração!C:C)+1)/_xlfn.XLOOKUP(F1395,Apuração!A:A,Apuração!B:B),0)</f>
        <v>0.4</v>
      </c>
    </row>
    <row r="1396" spans="1:71" ht="25.95" hidden="1" customHeight="1" x14ac:dyDescent="0.3">
      <c r="A1396" s="44" t="s">
        <v>175</v>
      </c>
      <c r="B1396" s="4" t="s">
        <v>184</v>
      </c>
      <c r="C1396" s="5" t="s">
        <v>209</v>
      </c>
      <c r="D1396" s="5" t="s">
        <v>47</v>
      </c>
      <c r="E1396" s="4" t="str" cm="1">
        <f t="array" ref="E1396">_xlfn.IFS(
F1396 = "A partir de Abril", "Aguardando Execução na Distribuidora",
A1396 = "CAPACITAÇÃO", "Em execução no Corporativo",
TRUE, "Em Execução na Distribuidora"
)</f>
        <v>Em execução no Corporativo</v>
      </c>
      <c r="F1396" s="4" t="str" cm="1">
        <f t="array" ref="F1396">_xlfn.IFS(
AG1396 &lt;&gt; "", "Jan-Dez/26",
AH1396 &lt;&gt; "", "Fev-Dez/26",
AI1396 &lt;&gt; "", "Mar-Dez/26", AJ1396 &lt;&gt; "", "Abr-Dez/26",
TRUE, "A partir de Junho"
)</f>
        <v>Mar-Dez/26</v>
      </c>
      <c r="G1396" s="4" t="s">
        <v>37</v>
      </c>
      <c r="H1396" s="7" t="s">
        <v>38</v>
      </c>
      <c r="I1396" s="21" t="s">
        <v>180</v>
      </c>
      <c r="J1396" s="8" t="str" cm="1">
        <f t="array" aca="1" ref="J1396" ca="1">_xlfn.LET(
  _xlpm.actual_value_month, INDEX(T1396:AE1396, MATCH(DATE(YEAR(TODAY()), MONTH(TODAY()), 1), $T$1:$AE$1, 0)),
  IF(_xlpm.actual_value_month &lt;&gt; "", _xlpm.actual_value_month &amp; " ações mensais", "")
)</f>
        <v/>
      </c>
      <c r="K1396" s="8" t="str" cm="1">
        <f t="array" ref="K1396">_xlfn.LET(
    _xlpm.sum_month, SUM(T1396:AE1396),
    IF(_xlpm.sum_month = 0, "", _xlpm.sum_month &amp; " colaboradores treinados.")
)</f>
        <v/>
      </c>
      <c r="L1396" s="9" t="s">
        <v>220</v>
      </c>
      <c r="M1396" s="13">
        <v>1</v>
      </c>
      <c r="N1396" s="5" t="s">
        <v>51</v>
      </c>
      <c r="O1396" s="5" t="s">
        <v>52</v>
      </c>
      <c r="P1396" s="10" t="s">
        <v>146</v>
      </c>
      <c r="Q1396" s="10" t="s">
        <v>44</v>
      </c>
      <c r="R1396" s="11" t="s">
        <v>44</v>
      </c>
      <c r="S1396" s="11" t="s">
        <v>44</v>
      </c>
      <c r="T1396" s="22"/>
      <c r="U1396" s="22"/>
      <c r="V1396" s="22"/>
      <c r="W1396" s="22"/>
      <c r="X1396" s="22"/>
      <c r="Y1396" s="22"/>
      <c r="Z1396" s="22"/>
      <c r="AA1396" s="22"/>
      <c r="AB1396" s="22"/>
      <c r="AC1396" s="22"/>
      <c r="AD1396" s="22"/>
      <c r="AE1396" s="22"/>
      <c r="AG1396" s="71"/>
      <c r="AH1396" s="71"/>
      <c r="AI1396" s="71">
        <v>358</v>
      </c>
      <c r="AJ1396" s="71">
        <v>358</v>
      </c>
      <c r="AK1396" s="71"/>
      <c r="AL1396" s="71"/>
      <c r="AM1396" s="71"/>
      <c r="AN1396" s="71"/>
      <c r="AO1396" s="71"/>
      <c r="AP1396" s="71"/>
      <c r="AQ1396" s="71"/>
      <c r="AR1396" s="71"/>
      <c r="AS1396" s="94" t="str" cm="1">
        <f t="array" ref="AS1396">IFERROR(INDEX(T1396:AE1396,1,MATCH(2,1/(T1396:AE1396&lt;&gt;""))),"")</f>
        <v/>
      </c>
      <c r="AT1396" s="95" cm="1">
        <f t="array" ref="AT1396">IFERROR(INDEX(AJ1396:AR1396,1,MATCH(2,1/(AJ1396:AR1396&lt;&gt;""))),"")</f>
        <v>358</v>
      </c>
      <c r="AU1396" s="97">
        <f t="shared" si="1655"/>
        <v>358</v>
      </c>
      <c r="AW1396" s="83">
        <f t="shared" si="1656"/>
        <v>0</v>
      </c>
      <c r="AX1396" s="52">
        <f t="shared" si="1657"/>
        <v>0</v>
      </c>
      <c r="AY1396" s="52">
        <f t="shared" si="1658"/>
        <v>358</v>
      </c>
      <c r="AZ1396" s="52">
        <f t="shared" si="1659"/>
        <v>358</v>
      </c>
      <c r="BA1396" s="52"/>
      <c r="BB1396" s="52"/>
      <c r="BC1396" s="52"/>
      <c r="BD1396" s="52"/>
      <c r="BE1396" s="52"/>
      <c r="BF1396" s="52"/>
      <c r="BG1396" s="52"/>
      <c r="BH1396" s="52"/>
      <c r="BI1396" s="68" cm="1">
        <f t="array" ref="BI1396">IFERROR(INDEX(AW1396:BH1396,1,MATCH(2,1/(AW1396:BH1396&lt;&gt;""))),"")</f>
        <v>358</v>
      </c>
      <c r="BJ1396" s="68" cm="1">
        <f t="array" ref="BJ1396">IF(BM1396 = "", "",IFERROR(INDEX(AW1396:BH1396,1,MATCH(2,1/(AW1396:BH1396&lt;&gt;""),1)-1),""))</f>
        <v>358</v>
      </c>
      <c r="BK1396" s="59">
        <f t="shared" si="1660"/>
        <v>716</v>
      </c>
      <c r="BL1396" s="59" cm="1">
        <f t="array" ref="BL1396">IFERROR(SUM(AW1396:INDEX(AW1396:BH1396, MATCH(2, 1/(AW1396:BH1396&lt;&gt;""), 1) - 1))/_xlfn.XLOOKUP(F1396,Apuração!A:A,Apuração!B:B),0)</f>
        <v>35.799999999999997</v>
      </c>
      <c r="BM1396" s="55" cm="1">
        <f t="array" ref="BM1396">IFERROR(
   INDEX($AW$1:$BH$1,
      _xlfn.AGGREGATE(14, 6, COLUMN($AW$1:$BH$1)/(AW1396:BH1396&lt;&gt;""), 2) - COLUMN($AW$1) + 1
   ),
"")</f>
        <v>46082</v>
      </c>
      <c r="BN1396" s="55" cm="1">
        <f t="array" ref="BN1396">IFERROR(INDEX($AW$1:$BH$1,1,MATCH(2,1/(AW1396:BH1396&lt;&gt;""))),"")</f>
        <v>46113</v>
      </c>
      <c r="BO1396" s="53">
        <f ca="1">IFERROR(_xlfn.XLOOKUP(F1396,Apuração!A:A,Apuração!C:C)/_xlfn.XLOOKUP(F1396,Apuração!A:A,Apuração!B:B),0)</f>
        <v>0.3</v>
      </c>
      <c r="BP1396" s="53">
        <f ca="1">IFERROR(_xlfn.XLOOKUP(F1396,Apuração!A:A,Apuração!D:D)/_xlfn.XLOOKUP(F1396,Apuração!A:A,Apuração!B:B),0)</f>
        <v>0.2</v>
      </c>
      <c r="BQ1396" s="53">
        <f ca="1">IF(BK1396&gt;=BO1396,0,_xlfn.XLOOKUP(F1396,Apuração!A:A,Apuração!B:B)*(BO1396 + (1/_xlfn.XLOOKUP(F1396,Apuração!A:A,Apuração!B:B)) - BK1396))</f>
        <v>0</v>
      </c>
      <c r="BR1396" s="85">
        <f t="shared" ca="1" si="1661"/>
        <v>0</v>
      </c>
      <c r="BS1396" s="53">
        <f ca="1">IFERROR((_xlfn.XLOOKUP(F1396,Apuração!A:A,Apuração!C:C)+1)/_xlfn.XLOOKUP(F1396,Apuração!A:A,Apuração!B:B),0)</f>
        <v>0.4</v>
      </c>
    </row>
    <row r="1397" spans="1:71" ht="25.95" hidden="1" customHeight="1" x14ac:dyDescent="0.3">
      <c r="A1397" s="44" t="s">
        <v>175</v>
      </c>
      <c r="B1397" s="4" t="s">
        <v>184</v>
      </c>
      <c r="C1397" s="5" t="s">
        <v>209</v>
      </c>
      <c r="D1397" s="5" t="s">
        <v>211</v>
      </c>
      <c r="E1397" s="4" t="str" cm="1">
        <f t="array" ref="E1397">_xlfn.IFS(
F1397 = "A partir de Abril", "Aguardando Execução na Distribuidora",
A1397 = "CAPACITAÇÃO", "Em execução no Corporativo",
TRUE, "Em Execução na Distribuidora"
)</f>
        <v>Em execução no Corporativo</v>
      </c>
      <c r="F1397" s="4" t="str" cm="1">
        <f t="array" ref="F1397">_xlfn.IFS(
AG1397 &lt;&gt; "", "Jan-Dez/26",
AH1397 &lt;&gt; "", "Fev-Dez/26",
AI1397 &lt;&gt; "", "Mar-Dez/26", AJ1397 &lt;&gt; "", "Abr-Dez/26",
TRUE, "A partir de Junho"
)</f>
        <v>Mar-Dez/26</v>
      </c>
      <c r="G1397" s="4" t="s">
        <v>37</v>
      </c>
      <c r="H1397" s="7" t="s">
        <v>38</v>
      </c>
      <c r="I1397" s="21" t="s">
        <v>180</v>
      </c>
      <c r="J1397" s="8" t="str" cm="1">
        <f t="array" aca="1" ref="J1397" ca="1">_xlfn.LET(
  _xlpm.actual_value_month, INDEX(T1397:AE1397, MATCH(DATE(YEAR(TODAY()), MONTH(TODAY()), 1), $T$1:$AE$1, 0)),
  IF(_xlpm.actual_value_month &lt;&gt; "", _xlpm.actual_value_month &amp; " ações mensais", "")
)</f>
        <v/>
      </c>
      <c r="K1397" s="8" t="str" cm="1">
        <f t="array" ref="K1397">_xlfn.LET(
    _xlpm.sum_month, SUM(T1397:AE1397),
    IF(_xlpm.sum_month = 0, "", _xlpm.sum_month &amp; " colaboradores treinados.")
)</f>
        <v/>
      </c>
      <c r="L1397" s="9" t="s">
        <v>220</v>
      </c>
      <c r="M1397" s="13">
        <v>1</v>
      </c>
      <c r="N1397" s="5" t="s">
        <v>51</v>
      </c>
      <c r="O1397" s="5" t="s">
        <v>52</v>
      </c>
      <c r="P1397" s="10" t="s">
        <v>146</v>
      </c>
      <c r="Q1397" s="10" t="s">
        <v>44</v>
      </c>
      <c r="R1397" s="11" t="s">
        <v>44</v>
      </c>
      <c r="S1397" s="11" t="s">
        <v>44</v>
      </c>
      <c r="T1397" s="22"/>
      <c r="U1397" s="22"/>
      <c r="V1397" s="22"/>
      <c r="W1397" s="22"/>
      <c r="X1397" s="22"/>
      <c r="Y1397" s="22"/>
      <c r="Z1397" s="22"/>
      <c r="AA1397" s="22"/>
      <c r="AB1397" s="22"/>
      <c r="AC1397" s="22"/>
      <c r="AD1397" s="22"/>
      <c r="AE1397" s="22"/>
      <c r="AG1397" s="71"/>
      <c r="AH1397" s="71"/>
      <c r="AI1397" s="71">
        <v>217</v>
      </c>
      <c r="AJ1397" s="71">
        <v>217</v>
      </c>
      <c r="AK1397" s="71"/>
      <c r="AL1397" s="71"/>
      <c r="AM1397" s="71"/>
      <c r="AN1397" s="71"/>
      <c r="AO1397" s="71"/>
      <c r="AP1397" s="71"/>
      <c r="AQ1397" s="71"/>
      <c r="AR1397" s="71"/>
      <c r="AS1397" s="94" t="str" cm="1">
        <f t="array" ref="AS1397">IFERROR(INDEX(T1397:AE1397,1,MATCH(2,1/(T1397:AE1397&lt;&gt;""))),"")</f>
        <v/>
      </c>
      <c r="AT1397" s="95" cm="1">
        <f t="array" ref="AT1397">IFERROR(INDEX(AJ1397:AR1397,1,MATCH(2,1/(AJ1397:AR1397&lt;&gt;""))),"")</f>
        <v>217</v>
      </c>
      <c r="AU1397" s="97">
        <f t="shared" si="1655"/>
        <v>217</v>
      </c>
      <c r="AW1397" s="83">
        <f t="shared" si="1656"/>
        <v>0</v>
      </c>
      <c r="AX1397" s="52">
        <f t="shared" si="1657"/>
        <v>0</v>
      </c>
      <c r="AY1397" s="52">
        <f t="shared" si="1658"/>
        <v>217</v>
      </c>
      <c r="AZ1397" s="52">
        <f t="shared" si="1659"/>
        <v>217</v>
      </c>
      <c r="BA1397" s="52"/>
      <c r="BB1397" s="52"/>
      <c r="BC1397" s="52"/>
      <c r="BD1397" s="52"/>
      <c r="BE1397" s="52"/>
      <c r="BF1397" s="52"/>
      <c r="BG1397" s="52"/>
      <c r="BH1397" s="52"/>
      <c r="BI1397" s="68" cm="1">
        <f t="array" ref="BI1397">IFERROR(INDEX(AW1397:BH1397,1,MATCH(2,1/(AW1397:BH1397&lt;&gt;""))),"")</f>
        <v>217</v>
      </c>
      <c r="BJ1397" s="68" cm="1">
        <f t="array" ref="BJ1397">IF(BM1397 = "", "",IFERROR(INDEX(AW1397:BH1397,1,MATCH(2,1/(AW1397:BH1397&lt;&gt;""),1)-1),""))</f>
        <v>217</v>
      </c>
      <c r="BK1397" s="59">
        <f t="shared" si="1660"/>
        <v>434</v>
      </c>
      <c r="BL1397" s="59" cm="1">
        <f t="array" ref="BL1397">IFERROR(SUM(AW1397:INDEX(AW1397:BH1397, MATCH(2, 1/(AW1397:BH1397&lt;&gt;""), 1) - 1))/_xlfn.XLOOKUP(F1397,Apuração!A:A,Apuração!B:B),0)</f>
        <v>21.7</v>
      </c>
      <c r="BM1397" s="55" cm="1">
        <f t="array" ref="BM1397">IFERROR(
   INDEX($AW$1:$BH$1,
      _xlfn.AGGREGATE(14, 6, COLUMN($AW$1:$BH$1)/(AW1397:BH1397&lt;&gt;""), 2) - COLUMN($AW$1) + 1
   ),
"")</f>
        <v>46082</v>
      </c>
      <c r="BN1397" s="55" cm="1">
        <f t="array" ref="BN1397">IFERROR(INDEX($AW$1:$BH$1,1,MATCH(2,1/(AW1397:BH1397&lt;&gt;""))),"")</f>
        <v>46113</v>
      </c>
      <c r="BO1397" s="53">
        <f ca="1">IFERROR(_xlfn.XLOOKUP(F1397,Apuração!A:A,Apuração!C:C)/_xlfn.XLOOKUP(F1397,Apuração!A:A,Apuração!B:B),0)</f>
        <v>0.3</v>
      </c>
      <c r="BP1397" s="53">
        <f ca="1">IFERROR(_xlfn.XLOOKUP(F1397,Apuração!A:A,Apuração!D:D)/_xlfn.XLOOKUP(F1397,Apuração!A:A,Apuração!B:B),0)</f>
        <v>0.2</v>
      </c>
      <c r="BQ1397" s="53">
        <f ca="1">IF(BK1397&gt;=BO1397,0,_xlfn.XLOOKUP(F1397,Apuração!A:A,Apuração!B:B)*(BO1397 + (1/_xlfn.XLOOKUP(F1397,Apuração!A:A,Apuração!B:B)) - BK1397))</f>
        <v>0</v>
      </c>
      <c r="BR1397" s="85">
        <f t="shared" ca="1" si="1661"/>
        <v>0</v>
      </c>
      <c r="BS1397" s="53">
        <f ca="1">IFERROR((_xlfn.XLOOKUP(F1397,Apuração!A:A,Apuração!C:C)+1)/_xlfn.XLOOKUP(F1397,Apuração!A:A,Apuração!B:B),0)</f>
        <v>0.4</v>
      </c>
    </row>
    <row r="1398" spans="1:71" ht="25.95" hidden="1" customHeight="1" x14ac:dyDescent="0.3">
      <c r="A1398" s="44" t="s">
        <v>175</v>
      </c>
      <c r="B1398" s="4" t="s">
        <v>184</v>
      </c>
      <c r="C1398" s="5" t="s">
        <v>209</v>
      </c>
      <c r="D1398" s="5" t="s">
        <v>212</v>
      </c>
      <c r="E1398" s="4" t="str" cm="1">
        <f t="array" ref="E1398">_xlfn.IFS(
F1398 = "A partir de Abril", "Aguardando Execução na Distribuidora",
A1398 = "CAPACITAÇÃO", "Em execução no Corporativo",
TRUE, "Em Execução na Distribuidora"
)</f>
        <v>Em execução no Corporativo</v>
      </c>
      <c r="F1398" s="4" t="str" cm="1">
        <f t="array" ref="F1398">_xlfn.IFS(
AG1398 &lt;&gt; "", "Jan-Dez/26",
AH1398 &lt;&gt; "", "Fev-Dez/26",
AI1398 &lt;&gt; "", "Mar-Dez/26", AJ1398 &lt;&gt; "", "Abr-Dez/26",
TRUE, "A partir de Junho"
)</f>
        <v>Mar-Dez/26</v>
      </c>
      <c r="G1398" s="4" t="s">
        <v>37</v>
      </c>
      <c r="H1398" s="7" t="s">
        <v>38</v>
      </c>
      <c r="I1398" s="21" t="s">
        <v>180</v>
      </c>
      <c r="J1398" s="8" t="str" cm="1">
        <f t="array" aca="1" ref="J1398" ca="1">_xlfn.LET(
  _xlpm.actual_value_month, INDEX(T1398:AE1398, MATCH(DATE(YEAR(TODAY()), MONTH(TODAY()), 1), $T$1:$AE$1, 0)),
  IF(_xlpm.actual_value_month &lt;&gt; "", _xlpm.actual_value_month &amp; " ações mensais", "")
)</f>
        <v/>
      </c>
      <c r="K1398" s="8" t="str" cm="1">
        <f t="array" ref="K1398">_xlfn.LET(
    _xlpm.sum_month, SUM(T1398:AE1398),
    IF(_xlpm.sum_month = 0, "", _xlpm.sum_month &amp; " colaboradores treinados.")
)</f>
        <v/>
      </c>
      <c r="L1398" s="9" t="s">
        <v>220</v>
      </c>
      <c r="M1398" s="13">
        <v>1</v>
      </c>
      <c r="N1398" s="5" t="s">
        <v>51</v>
      </c>
      <c r="O1398" s="5" t="s">
        <v>52</v>
      </c>
      <c r="P1398" s="10" t="s">
        <v>146</v>
      </c>
      <c r="Q1398" s="10" t="s">
        <v>44</v>
      </c>
      <c r="R1398" s="11" t="s">
        <v>44</v>
      </c>
      <c r="S1398" s="11" t="s">
        <v>44</v>
      </c>
      <c r="T1398" s="22"/>
      <c r="U1398" s="22"/>
      <c r="V1398" s="22"/>
      <c r="W1398" s="22"/>
      <c r="X1398" s="22"/>
      <c r="Y1398" s="22"/>
      <c r="Z1398" s="22"/>
      <c r="AA1398" s="22"/>
      <c r="AB1398" s="22"/>
      <c r="AC1398" s="22"/>
      <c r="AD1398" s="22"/>
      <c r="AE1398" s="22"/>
      <c r="AG1398" s="71"/>
      <c r="AH1398" s="71"/>
      <c r="AI1398" s="71">
        <v>702</v>
      </c>
      <c r="AJ1398" s="71">
        <v>702</v>
      </c>
      <c r="AK1398" s="71"/>
      <c r="AL1398" s="71"/>
      <c r="AM1398" s="71"/>
      <c r="AN1398" s="71"/>
      <c r="AO1398" s="71"/>
      <c r="AP1398" s="71"/>
      <c r="AQ1398" s="71"/>
      <c r="AR1398" s="71"/>
      <c r="AS1398" s="94" t="str" cm="1">
        <f t="array" ref="AS1398">IFERROR(INDEX(T1398:AE1398,1,MATCH(2,1/(T1398:AE1398&lt;&gt;""))),"")</f>
        <v/>
      </c>
      <c r="AT1398" s="95" cm="1">
        <f t="array" ref="AT1398">IFERROR(INDEX(AJ1398:AR1398,1,MATCH(2,1/(AJ1398:AR1398&lt;&gt;""))),"")</f>
        <v>702</v>
      </c>
      <c r="AU1398" s="97">
        <f t="shared" si="1655"/>
        <v>702</v>
      </c>
      <c r="AW1398" s="83">
        <f t="shared" si="1656"/>
        <v>0</v>
      </c>
      <c r="AX1398" s="52">
        <f t="shared" si="1657"/>
        <v>0</v>
      </c>
      <c r="AY1398" s="52">
        <f t="shared" si="1658"/>
        <v>702</v>
      </c>
      <c r="AZ1398" s="52">
        <f t="shared" si="1659"/>
        <v>702</v>
      </c>
      <c r="BA1398" s="52"/>
      <c r="BB1398" s="52"/>
      <c r="BC1398" s="52"/>
      <c r="BD1398" s="52"/>
      <c r="BE1398" s="52"/>
      <c r="BF1398" s="52"/>
      <c r="BG1398" s="52"/>
      <c r="BH1398" s="52"/>
      <c r="BI1398" s="68" cm="1">
        <f t="array" ref="BI1398">IFERROR(INDEX(AW1398:BH1398,1,MATCH(2,1/(AW1398:BH1398&lt;&gt;""))),"")</f>
        <v>702</v>
      </c>
      <c r="BJ1398" s="68" cm="1">
        <f t="array" ref="BJ1398">IF(BM1398 = "", "",IFERROR(INDEX(AW1398:BH1398,1,MATCH(2,1/(AW1398:BH1398&lt;&gt;""),1)-1),""))</f>
        <v>702</v>
      </c>
      <c r="BK1398" s="59">
        <f t="shared" si="1660"/>
        <v>1404</v>
      </c>
      <c r="BL1398" s="59" cm="1">
        <f t="array" ref="BL1398">IFERROR(SUM(AW1398:INDEX(AW1398:BH1398, MATCH(2, 1/(AW1398:BH1398&lt;&gt;""), 1) - 1))/_xlfn.XLOOKUP(F1398,Apuração!A:A,Apuração!B:B),0)</f>
        <v>70.2</v>
      </c>
      <c r="BM1398" s="55" cm="1">
        <f t="array" ref="BM1398">IFERROR(
   INDEX($AW$1:$BH$1,
      _xlfn.AGGREGATE(14, 6, COLUMN($AW$1:$BH$1)/(AW1398:BH1398&lt;&gt;""), 2) - COLUMN($AW$1) + 1
   ),
"")</f>
        <v>46082</v>
      </c>
      <c r="BN1398" s="55" cm="1">
        <f t="array" ref="BN1398">IFERROR(INDEX($AW$1:$BH$1,1,MATCH(2,1/(AW1398:BH1398&lt;&gt;""))),"")</f>
        <v>46113</v>
      </c>
      <c r="BO1398" s="53">
        <f ca="1">IFERROR(_xlfn.XLOOKUP(F1398,Apuração!A:A,Apuração!C:C)/_xlfn.XLOOKUP(F1398,Apuração!A:A,Apuração!B:B),0)</f>
        <v>0.3</v>
      </c>
      <c r="BP1398" s="53">
        <f ca="1">IFERROR(_xlfn.XLOOKUP(F1398,Apuração!A:A,Apuração!D:D)/_xlfn.XLOOKUP(F1398,Apuração!A:A,Apuração!B:B),0)</f>
        <v>0.2</v>
      </c>
      <c r="BQ1398" s="53">
        <f ca="1">IF(BK1398&gt;=BO1398,0,_xlfn.XLOOKUP(F1398,Apuração!A:A,Apuração!B:B)*(BO1398 + (1/_xlfn.XLOOKUP(F1398,Apuração!A:A,Apuração!B:B)) - BK1398))</f>
        <v>0</v>
      </c>
      <c r="BR1398" s="85">
        <f t="shared" ca="1" si="1661"/>
        <v>0</v>
      </c>
      <c r="BS1398" s="53">
        <f ca="1">IFERROR((_xlfn.XLOOKUP(F1398,Apuração!A:A,Apuração!C:C)+1)/_xlfn.XLOOKUP(F1398,Apuração!A:A,Apuração!B:B),0)</f>
        <v>0.4</v>
      </c>
    </row>
    <row r="1399" spans="1:71" ht="25.95" hidden="1" customHeight="1" x14ac:dyDescent="0.3">
      <c r="A1399" s="44" t="s">
        <v>175</v>
      </c>
      <c r="B1399" s="4" t="s">
        <v>184</v>
      </c>
      <c r="C1399" s="5" t="s">
        <v>209</v>
      </c>
      <c r="D1399" s="5" t="s">
        <v>213</v>
      </c>
      <c r="E1399" s="4" t="str" cm="1">
        <f t="array" ref="E1399">_xlfn.IFS(
F1399 = "A partir de Abril", "Aguardando Execução na Distribuidora",
A1399 = "CAPACITAÇÃO", "Em execução no Corporativo",
TRUE, "Em Execução na Distribuidora"
)</f>
        <v>Em execução no Corporativo</v>
      </c>
      <c r="F1399" s="4" t="str" cm="1">
        <f t="array" ref="F1399">_xlfn.IFS(
AG1399 &lt;&gt; "", "Jan-Dez/26",
AH1399 &lt;&gt; "", "Fev-Dez/26",
AI1399 &lt;&gt; "", "Mar-Dez/26", AJ1399 &lt;&gt; "", "Abr-Dez/26",
TRUE, "A partir de Junho"
)</f>
        <v>Mar-Dez/26</v>
      </c>
      <c r="G1399" s="4" t="s">
        <v>37</v>
      </c>
      <c r="H1399" s="7" t="s">
        <v>38</v>
      </c>
      <c r="I1399" s="21" t="s">
        <v>180</v>
      </c>
      <c r="J1399" s="8" t="str" cm="1">
        <f t="array" aca="1" ref="J1399" ca="1">_xlfn.LET(
  _xlpm.actual_value_month, INDEX(T1399:AE1399, MATCH(DATE(YEAR(TODAY()), MONTH(TODAY()), 1), $T$1:$AE$1, 0)),
  IF(_xlpm.actual_value_month &lt;&gt; "", _xlpm.actual_value_month &amp; " ações mensais", "")
)</f>
        <v/>
      </c>
      <c r="K1399" s="8" t="str" cm="1">
        <f t="array" ref="K1399">_xlfn.LET(
    _xlpm.sum_month, SUM(T1399:AE1399),
    IF(_xlpm.sum_month = 0, "", _xlpm.sum_month &amp; " colaboradores treinados.")
)</f>
        <v/>
      </c>
      <c r="L1399" s="9" t="s">
        <v>220</v>
      </c>
      <c r="M1399" s="13">
        <v>1</v>
      </c>
      <c r="N1399" s="5" t="s">
        <v>51</v>
      </c>
      <c r="O1399" s="5" t="s">
        <v>52</v>
      </c>
      <c r="P1399" s="10" t="s">
        <v>146</v>
      </c>
      <c r="Q1399" s="10" t="s">
        <v>44</v>
      </c>
      <c r="R1399" s="11" t="s">
        <v>44</v>
      </c>
      <c r="S1399" s="11" t="s">
        <v>44</v>
      </c>
      <c r="T1399" s="22"/>
      <c r="U1399" s="22"/>
      <c r="V1399" s="22"/>
      <c r="W1399" s="22"/>
      <c r="X1399" s="22"/>
      <c r="Y1399" s="22"/>
      <c r="Z1399" s="22"/>
      <c r="AA1399" s="22"/>
      <c r="AB1399" s="22"/>
      <c r="AC1399" s="22"/>
      <c r="AD1399" s="22"/>
      <c r="AE1399" s="22"/>
      <c r="AG1399" s="71"/>
      <c r="AH1399" s="71"/>
      <c r="AI1399" s="71">
        <v>435</v>
      </c>
      <c r="AJ1399" s="71">
        <v>435</v>
      </c>
      <c r="AK1399" s="71"/>
      <c r="AL1399" s="71"/>
      <c r="AM1399" s="71"/>
      <c r="AN1399" s="71"/>
      <c r="AO1399" s="71"/>
      <c r="AP1399" s="71"/>
      <c r="AQ1399" s="71"/>
      <c r="AR1399" s="71"/>
      <c r="AS1399" s="94" t="str" cm="1">
        <f t="array" ref="AS1399">IFERROR(INDEX(T1399:AE1399,1,MATCH(2,1/(T1399:AE1399&lt;&gt;""))),"")</f>
        <v/>
      </c>
      <c r="AT1399" s="95" cm="1">
        <f t="array" ref="AT1399">IFERROR(INDEX(AJ1399:AR1399,1,MATCH(2,1/(AJ1399:AR1399&lt;&gt;""))),"")</f>
        <v>435</v>
      </c>
      <c r="AU1399" s="97">
        <f t="shared" si="1655"/>
        <v>435</v>
      </c>
      <c r="AW1399" s="83">
        <f t="shared" si="1656"/>
        <v>0</v>
      </c>
      <c r="AX1399" s="52">
        <f t="shared" si="1657"/>
        <v>0</v>
      </c>
      <c r="AY1399" s="52">
        <f t="shared" si="1658"/>
        <v>435</v>
      </c>
      <c r="AZ1399" s="52">
        <f t="shared" si="1659"/>
        <v>435</v>
      </c>
      <c r="BA1399" s="52"/>
      <c r="BB1399" s="52"/>
      <c r="BC1399" s="52"/>
      <c r="BD1399" s="52"/>
      <c r="BE1399" s="52"/>
      <c r="BF1399" s="52"/>
      <c r="BG1399" s="52"/>
      <c r="BH1399" s="52"/>
      <c r="BI1399" s="68" cm="1">
        <f t="array" ref="BI1399">IFERROR(INDEX(AW1399:BH1399,1,MATCH(2,1/(AW1399:BH1399&lt;&gt;""))),"")</f>
        <v>435</v>
      </c>
      <c r="BJ1399" s="68" cm="1">
        <f t="array" ref="BJ1399">IF(BM1399 = "", "",IFERROR(INDEX(AW1399:BH1399,1,MATCH(2,1/(AW1399:BH1399&lt;&gt;""),1)-1),""))</f>
        <v>435</v>
      </c>
      <c r="BK1399" s="59">
        <f t="shared" si="1660"/>
        <v>870</v>
      </c>
      <c r="BL1399" s="59" cm="1">
        <f t="array" ref="BL1399">IFERROR(SUM(AW1399:INDEX(AW1399:BH1399, MATCH(2, 1/(AW1399:BH1399&lt;&gt;""), 1) - 1))/_xlfn.XLOOKUP(F1399,Apuração!A:A,Apuração!B:B),0)</f>
        <v>43.5</v>
      </c>
      <c r="BM1399" s="55" cm="1">
        <f t="array" ref="BM1399">IFERROR(
   INDEX($AW$1:$BH$1,
      _xlfn.AGGREGATE(14, 6, COLUMN($AW$1:$BH$1)/(AW1399:BH1399&lt;&gt;""), 2) - COLUMN($AW$1) + 1
   ),
"")</f>
        <v>46082</v>
      </c>
      <c r="BN1399" s="55" cm="1">
        <f t="array" ref="BN1399">IFERROR(INDEX($AW$1:$BH$1,1,MATCH(2,1/(AW1399:BH1399&lt;&gt;""))),"")</f>
        <v>46113</v>
      </c>
      <c r="BO1399" s="53">
        <f ca="1">IFERROR(_xlfn.XLOOKUP(F1399,Apuração!A:A,Apuração!C:C)/_xlfn.XLOOKUP(F1399,Apuração!A:A,Apuração!B:B),0)</f>
        <v>0.3</v>
      </c>
      <c r="BP1399" s="53">
        <f ca="1">IFERROR(_xlfn.XLOOKUP(F1399,Apuração!A:A,Apuração!D:D)/_xlfn.XLOOKUP(F1399,Apuração!A:A,Apuração!B:B),0)</f>
        <v>0.2</v>
      </c>
      <c r="BQ1399" s="53">
        <f ca="1">IF(BK1399&gt;=BO1399,0,_xlfn.XLOOKUP(F1399,Apuração!A:A,Apuração!B:B)*(BO1399 + (1/_xlfn.XLOOKUP(F1399,Apuração!A:A,Apuração!B:B)) - BK1399))</f>
        <v>0</v>
      </c>
      <c r="BR1399" s="85">
        <f t="shared" ca="1" si="1661"/>
        <v>0</v>
      </c>
      <c r="BS1399" s="53">
        <f ca="1">IFERROR((_xlfn.XLOOKUP(F1399,Apuração!A:A,Apuração!C:C)+1)/_xlfn.XLOOKUP(F1399,Apuração!A:A,Apuração!B:B),0)</f>
        <v>0.4</v>
      </c>
    </row>
    <row r="1400" spans="1:71" ht="25.95" hidden="1" customHeight="1" x14ac:dyDescent="0.3">
      <c r="A1400" s="44" t="s">
        <v>175</v>
      </c>
      <c r="B1400" s="4" t="s">
        <v>184</v>
      </c>
      <c r="C1400" s="5" t="s">
        <v>209</v>
      </c>
      <c r="D1400" s="5" t="s">
        <v>36</v>
      </c>
      <c r="E1400" s="4" t="str" cm="1">
        <f t="array" ref="E1400">_xlfn.IFS(
F1400 = "A partir de Abril", "Aguardando Execução na Distribuidora",
A1400 = "CAPACITAÇÃO", "Em execução no Corporativo",
TRUE, "Em Execução na Distribuidora"
)</f>
        <v>Em execução no Corporativo</v>
      </c>
      <c r="F1400" s="4" t="str" cm="1">
        <f t="array" ref="F1400">_xlfn.IFS(
AG1400 &lt;&gt; "", "Jan-Dez/26",
AH1400 &lt;&gt; "", "Fev-Dez/26",
AI1400 &lt;&gt; "", "Mar-Dez/26", AJ1400 &lt;&gt; "", "Abr-Dez/26",
TRUE, "A partir de Junho"
)</f>
        <v>Mar-Dez/26</v>
      </c>
      <c r="G1400" s="4" t="s">
        <v>37</v>
      </c>
      <c r="H1400" s="7" t="s">
        <v>38</v>
      </c>
      <c r="I1400" s="21" t="s">
        <v>182</v>
      </c>
      <c r="J1400" s="8" t="str" cm="1">
        <f t="array" aca="1" ref="J1400" ca="1">_xlfn.LET(
  _xlpm.actual_value_month, INDEX(T1400:AE1400, MATCH(DATE(YEAR(TODAY()), MONTH(TODAY()), 1), $T$1:$AE$1, 0)),
  IF(_xlpm.actual_value_month &lt;&gt; "", _xlpm.actual_value_month &amp; " ações mensais", "")
)</f>
        <v/>
      </c>
      <c r="K1400" s="8" t="str" cm="1">
        <f t="array" ref="K1400">_xlfn.LET(
    _xlpm.sum_month, SUM(T1400:AE1400),
    IF(_xlpm.sum_month = 0, "", _xlpm.sum_month &amp; " taxa de aprovados")
)</f>
        <v>4501 taxa de aprovados</v>
      </c>
      <c r="L1400" s="4" t="s">
        <v>186</v>
      </c>
      <c r="M1400" s="13">
        <v>1</v>
      </c>
      <c r="N1400" s="5" t="s">
        <v>51</v>
      </c>
      <c r="O1400" s="5" t="s">
        <v>43</v>
      </c>
      <c r="P1400" s="10" t="s">
        <v>44</v>
      </c>
      <c r="Q1400" s="10" t="s">
        <v>44</v>
      </c>
      <c r="R1400" s="11" t="s">
        <v>44</v>
      </c>
      <c r="S1400" s="11" t="s">
        <v>44</v>
      </c>
      <c r="T1400" s="22"/>
      <c r="U1400" s="22"/>
      <c r="V1400" s="22">
        <v>2243</v>
      </c>
      <c r="W1400" s="22">
        <v>2258</v>
      </c>
      <c r="X1400" s="22"/>
      <c r="Y1400" s="22"/>
      <c r="Z1400" s="22"/>
      <c r="AA1400" s="22"/>
      <c r="AB1400" s="22"/>
      <c r="AC1400" s="22"/>
      <c r="AD1400" s="22"/>
      <c r="AE1400" s="22"/>
      <c r="AG1400" s="71"/>
      <c r="AH1400" s="71"/>
      <c r="AI1400" s="71">
        <v>2243</v>
      </c>
      <c r="AJ1400" s="71">
        <v>2258</v>
      </c>
      <c r="AK1400" s="71"/>
      <c r="AL1400" s="71"/>
      <c r="AM1400" s="71"/>
      <c r="AN1400" s="71"/>
      <c r="AO1400" s="71"/>
      <c r="AP1400" s="71"/>
      <c r="AQ1400" s="71"/>
      <c r="AR1400" s="71"/>
      <c r="AS1400" s="94" cm="1">
        <f t="array" ref="AS1400">IFERROR(INDEX(T1400:AE1400,1,MATCH(2,1/(T1400:AE1400&lt;&gt;""))),"")</f>
        <v>2258</v>
      </c>
      <c r="AT1400" s="95" cm="1">
        <f t="array" ref="AT1400">IFERROR(INDEX(AJ1400:AR1400,1,MATCH(2,1/(AJ1400:AR1400&lt;&gt;""))),"")</f>
        <v>2258</v>
      </c>
      <c r="AU1400" s="97">
        <f>AT1400</f>
        <v>2258</v>
      </c>
      <c r="AW1400" s="52">
        <f>IFERROR(IF(T1400="",0,T1400/AG1400),0)</f>
        <v>0</v>
      </c>
      <c r="AX1400" s="52">
        <f>IFERROR(IF(U1400="",0,U1400/AH1400),0)</f>
        <v>0</v>
      </c>
      <c r="AY1400" s="118">
        <f>IFERROR(IF(V1400="",0,V1400/AI1400),0)</f>
        <v>1</v>
      </c>
      <c r="AZ1400" s="118">
        <f>IFERROR(IF(W1400="",0,W1400/AJ1400),0)</f>
        <v>1</v>
      </c>
      <c r="BA1400" s="52"/>
      <c r="BB1400" s="52"/>
      <c r="BC1400" s="52"/>
      <c r="BD1400" s="52"/>
      <c r="BE1400" s="52"/>
      <c r="BF1400" s="52"/>
      <c r="BG1400" s="52"/>
      <c r="BH1400" s="52"/>
      <c r="BI1400" s="65" cm="1">
        <f t="array" ref="BI1400">IFERROR(INDEX(AW1400:BH1400,1,MATCH(2,1/(AW1400:BH1400&lt;&gt;""))),"")</f>
        <v>1</v>
      </c>
      <c r="BJ1400" s="68" cm="1">
        <f t="array" ref="BJ1400">IF(BM1400 = "", "",IFERROR(INDEX(AW1400:BH1400,1,MATCH(2,1/(AW1400:BH1400&lt;&gt;""),1)-1),""))</f>
        <v>1</v>
      </c>
      <c r="BK1400" s="58" cm="1">
        <f t="array" ref="BK1400">IFERROR(INDEX(AW1400:BH1400,1,MATCH(2,1/(AW1400:BH1400&lt;&gt;""))),"")</f>
        <v>1</v>
      </c>
      <c r="BL1400" s="58" cm="1">
        <f t="array" ref="BL1400">IFERROR(INDEX(AW1400:BH1400,1,MATCH(2,1/(AW1400:BH1400&lt;&gt;""),1)-1),"")</f>
        <v>1</v>
      </c>
      <c r="BM1400" s="55" cm="1">
        <f t="array" ref="BM1400">IFERROR(
   INDEX($AW$1:$BH$1,
      _xlfn.AGGREGATE(14, 6, COLUMN($AW$1:$BH$1)/(AW1400:BH1400&lt;&gt;""), 2) - COLUMN($AW$1) + 1
   ),
"")</f>
        <v>46082</v>
      </c>
      <c r="BN1400" s="55" cm="1">
        <f t="array" ref="BN1400">IFERROR(INDEX($AW$1:$BH$1,1,MATCH(2,1/(AW1400:BH1400&lt;&gt;""))),"")</f>
        <v>46113</v>
      </c>
      <c r="BO1400" s="53">
        <f ca="1">IFERROR(_xlfn.XLOOKUP(F1400,Apuração!A:A,Apuração!C:C)/_xlfn.XLOOKUP(F1400,Apuração!A:A,Apuração!B:B),0)</f>
        <v>0.3</v>
      </c>
      <c r="BP1400" s="53">
        <f ca="1">IFERROR(_xlfn.XLOOKUP(F1400,Apuração!A:A,Apuração!D:D)/_xlfn.XLOOKUP(F1400,Apuração!A:A,Apuração!B:B),0)</f>
        <v>0.2</v>
      </c>
      <c r="BQ1400" s="53">
        <f ca="1">IF(BK1400&gt;=BO1400,0,_xlfn.XLOOKUP(F1400,Apuração!A:A,Apuração!B:B)*(BO1400 + (1/_xlfn.XLOOKUP(F1400,Apuração!A:A,Apuração!B:B)) - BK1400))</f>
        <v>0</v>
      </c>
      <c r="BR1400" s="85">
        <f ca="1">IF(BQ1400=0,0,BQ1400*Z1400)</f>
        <v>0</v>
      </c>
      <c r="BS1400" s="53">
        <f ca="1">IFERROR((_xlfn.XLOOKUP(F1400,Apuração!A:A,Apuração!C:C)+1)/_xlfn.XLOOKUP(F1400,Apuração!A:A,Apuração!B:B),0)</f>
        <v>0.4</v>
      </c>
    </row>
    <row r="1401" spans="1:71" ht="25.95" hidden="1" customHeight="1" x14ac:dyDescent="0.3">
      <c r="A1401" s="44" t="s">
        <v>175</v>
      </c>
      <c r="B1401" s="4" t="s">
        <v>184</v>
      </c>
      <c r="C1401" s="5" t="s">
        <v>209</v>
      </c>
      <c r="D1401" s="5" t="s">
        <v>210</v>
      </c>
      <c r="E1401" s="4" t="str" cm="1">
        <f t="array" ref="E1401">_xlfn.IFS(
F1401 = "A partir de Abril", "Aguardando Execução na Distribuidora",
A1401 = "CAPACITAÇÃO", "Em execução no Corporativo",
TRUE, "Em Execução na Distribuidora"
)</f>
        <v>Em execução no Corporativo</v>
      </c>
      <c r="F1401" s="4" t="str" cm="1">
        <f t="array" ref="F1401">_xlfn.IFS(
AG1401 &lt;&gt; "", "Jan-Dez/26",
AH1401 &lt;&gt; "", "Fev-Dez/26",
AI1401 &lt;&gt; "", "Mar-Dez/26", AJ1401 &lt;&gt; "", "Abr-Dez/26",
TRUE, "A partir de Junho"
)</f>
        <v>Mar-Dez/26</v>
      </c>
      <c r="G1401" s="4" t="s">
        <v>37</v>
      </c>
      <c r="H1401" s="7" t="s">
        <v>38</v>
      </c>
      <c r="I1401" s="21" t="s">
        <v>182</v>
      </c>
      <c r="J1401" s="8" t="str" cm="1">
        <f t="array" aca="1" ref="J1401" ca="1">_xlfn.LET(
  _xlpm.actual_value_month, INDEX(T1401:AE1401, MATCH(DATE(YEAR(TODAY()), MONTH(TODAY()), 1), $T$1:$AE$1, 0)),
  IF(_xlpm.actual_value_month &lt;&gt; "", _xlpm.actual_value_month &amp; " ações mensais", "")
)</f>
        <v/>
      </c>
      <c r="K1401" s="8" t="str" cm="1">
        <f t="array" ref="K1401">_xlfn.LET(
    _xlpm.sum_month, SUM(T1401:AE1401),
    IF(_xlpm.sum_month = 0, "", _xlpm.sum_month &amp; " taxa de aprovados")
)</f>
        <v>1092 taxa de aprovados</v>
      </c>
      <c r="L1401" s="4" t="s">
        <v>186</v>
      </c>
      <c r="M1401" s="13">
        <v>1</v>
      </c>
      <c r="N1401" s="5" t="s">
        <v>51</v>
      </c>
      <c r="O1401" s="5" t="s">
        <v>43</v>
      </c>
      <c r="P1401" s="10" t="s">
        <v>44</v>
      </c>
      <c r="Q1401" s="10" t="s">
        <v>44</v>
      </c>
      <c r="R1401" s="11" t="s">
        <v>44</v>
      </c>
      <c r="S1401" s="11" t="s">
        <v>44</v>
      </c>
      <c r="T1401" s="22"/>
      <c r="U1401" s="22"/>
      <c r="V1401" s="22">
        <v>546</v>
      </c>
      <c r="W1401" s="22">
        <v>546</v>
      </c>
      <c r="X1401" s="22"/>
      <c r="Y1401" s="22"/>
      <c r="Z1401" s="22"/>
      <c r="AA1401" s="22"/>
      <c r="AB1401" s="22"/>
      <c r="AC1401" s="22"/>
      <c r="AD1401" s="22"/>
      <c r="AE1401" s="22"/>
      <c r="AG1401" s="71"/>
      <c r="AH1401" s="71"/>
      <c r="AI1401" s="71">
        <v>546</v>
      </c>
      <c r="AJ1401" s="71">
        <v>546</v>
      </c>
      <c r="AK1401" s="71"/>
      <c r="AL1401" s="71"/>
      <c r="AM1401" s="71"/>
      <c r="AN1401" s="71"/>
      <c r="AO1401" s="71"/>
      <c r="AP1401" s="71"/>
      <c r="AQ1401" s="71"/>
      <c r="AR1401" s="71"/>
      <c r="AS1401" s="94" cm="1">
        <f t="array" ref="AS1401">IFERROR(INDEX(T1401:AE1401,1,MATCH(2,1/(T1401:AE1401&lt;&gt;""))),"")</f>
        <v>546</v>
      </c>
      <c r="AT1401" s="95" cm="1">
        <f t="array" ref="AT1401">IFERROR(INDEX(AJ1401:AR1401,1,MATCH(2,1/(AJ1401:AR1401&lt;&gt;""))),"")</f>
        <v>546</v>
      </c>
      <c r="AU1401" s="97">
        <f t="shared" ref="AU1401:AU1405" si="1662">AT1401</f>
        <v>546</v>
      </c>
      <c r="AW1401" s="52">
        <f t="shared" ref="AW1401:AW1405" si="1663">IFERROR(IF(T1401="",0,T1401/AG1401),0)</f>
        <v>0</v>
      </c>
      <c r="AX1401" s="52">
        <f t="shared" ref="AX1401:AX1405" si="1664">IFERROR(IF(U1401="",0,U1401/AH1401),0)</f>
        <v>0</v>
      </c>
      <c r="AY1401" s="118">
        <f t="shared" ref="AY1401:AY1405" si="1665">IFERROR(IF(V1401="",0,V1401/AI1401),0)</f>
        <v>1</v>
      </c>
      <c r="AZ1401" s="118">
        <f t="shared" ref="AZ1401:AZ1405" si="1666">IFERROR(IF(W1401="",0,W1401/AJ1401),0)</f>
        <v>1</v>
      </c>
      <c r="BA1401" s="52"/>
      <c r="BB1401" s="52"/>
      <c r="BC1401" s="52"/>
      <c r="BD1401" s="52"/>
      <c r="BE1401" s="52"/>
      <c r="BF1401" s="52"/>
      <c r="BG1401" s="52"/>
      <c r="BH1401" s="52"/>
      <c r="BI1401" s="65" cm="1">
        <f t="array" ref="BI1401">IFERROR(INDEX(AW1401:BH1401,1,MATCH(2,1/(AW1401:BH1401&lt;&gt;""))),"")</f>
        <v>1</v>
      </c>
      <c r="BJ1401" s="68" cm="1">
        <f t="array" ref="BJ1401">IF(BM1401 = "", "",IFERROR(INDEX(AW1401:BH1401,1,MATCH(2,1/(AW1401:BH1401&lt;&gt;""),1)-1),""))</f>
        <v>1</v>
      </c>
      <c r="BK1401" s="58" cm="1">
        <f t="array" ref="BK1401">IFERROR(INDEX(AW1401:BH1401,1,MATCH(2,1/(AW1401:BH1401&lt;&gt;""))),"")</f>
        <v>1</v>
      </c>
      <c r="BL1401" s="58" cm="1">
        <f t="array" ref="BL1401">IFERROR(INDEX(AW1401:BH1401,1,MATCH(2,1/(AW1401:BH1401&lt;&gt;""),1)-1),"")</f>
        <v>1</v>
      </c>
      <c r="BM1401" s="55" cm="1">
        <f t="array" ref="BM1401">IFERROR(
   INDEX($AW$1:$BH$1,
      _xlfn.AGGREGATE(14, 6, COLUMN($AW$1:$BH$1)/(AW1401:BH1401&lt;&gt;""), 2) - COLUMN($AW$1) + 1
   ),
"")</f>
        <v>46082</v>
      </c>
      <c r="BN1401" s="55" cm="1">
        <f t="array" ref="BN1401">IFERROR(INDEX($AW$1:$BH$1,1,MATCH(2,1/(AW1401:BH1401&lt;&gt;""))),"")</f>
        <v>46113</v>
      </c>
      <c r="BO1401" s="53">
        <f ca="1">IFERROR(_xlfn.XLOOKUP(F1401,Apuração!A:A,Apuração!C:C)/_xlfn.XLOOKUP(F1401,Apuração!A:A,Apuração!B:B),0)</f>
        <v>0.3</v>
      </c>
      <c r="BP1401" s="53">
        <f ca="1">IFERROR(_xlfn.XLOOKUP(F1401,Apuração!A:A,Apuração!D:D)/_xlfn.XLOOKUP(F1401,Apuração!A:A,Apuração!B:B),0)</f>
        <v>0.2</v>
      </c>
      <c r="BQ1401" s="53">
        <f ca="1">IF(BK1401&gt;=BO1401,0,_xlfn.XLOOKUP(F1401,Apuração!A:A,Apuração!B:B)*(BO1401 + (1/_xlfn.XLOOKUP(F1401,Apuração!A:A,Apuração!B:B)) - BK1401))</f>
        <v>0</v>
      </c>
      <c r="BR1401" s="85">
        <f t="shared" ref="BR1401:BR1405" ca="1" si="1667">IF(BQ1401=0,0,BQ1401*Z1401)</f>
        <v>0</v>
      </c>
      <c r="BS1401" s="53">
        <f ca="1">IFERROR((_xlfn.XLOOKUP(F1401,Apuração!A:A,Apuração!C:C)+1)/_xlfn.XLOOKUP(F1401,Apuração!A:A,Apuração!B:B),0)</f>
        <v>0.4</v>
      </c>
    </row>
    <row r="1402" spans="1:71" ht="25.95" hidden="1" customHeight="1" x14ac:dyDescent="0.3">
      <c r="A1402" s="44" t="s">
        <v>175</v>
      </c>
      <c r="B1402" s="4" t="s">
        <v>184</v>
      </c>
      <c r="C1402" s="5" t="s">
        <v>209</v>
      </c>
      <c r="D1402" s="5" t="s">
        <v>47</v>
      </c>
      <c r="E1402" s="4" t="str" cm="1">
        <f t="array" ref="E1402">_xlfn.IFS(
F1402 = "A partir de Abril", "Aguardando Execução na Distribuidora",
A1402 = "CAPACITAÇÃO", "Em execução no Corporativo",
TRUE, "Em Execução na Distribuidora"
)</f>
        <v>Em execução no Corporativo</v>
      </c>
      <c r="F1402" s="4" t="str" cm="1">
        <f t="array" ref="F1402">_xlfn.IFS(
AG1402 &lt;&gt; "", "Jan-Dez/26",
AH1402 &lt;&gt; "", "Fev-Dez/26",
AI1402 &lt;&gt; "", "Mar-Dez/26", AJ1402 &lt;&gt; "", "Abr-Dez/26",
TRUE, "A partir de Junho"
)</f>
        <v>Mar-Dez/26</v>
      </c>
      <c r="G1402" s="4" t="s">
        <v>37</v>
      </c>
      <c r="H1402" s="7" t="s">
        <v>38</v>
      </c>
      <c r="I1402" s="21" t="s">
        <v>182</v>
      </c>
      <c r="J1402" s="8" t="str" cm="1">
        <f t="array" aca="1" ref="J1402" ca="1">_xlfn.LET(
  _xlpm.actual_value_month, INDEX(T1402:AE1402, MATCH(DATE(YEAR(TODAY()), MONTH(TODAY()), 1), $T$1:$AE$1, 0)),
  IF(_xlpm.actual_value_month &lt;&gt; "", _xlpm.actual_value_month &amp; " ações mensais", "")
)</f>
        <v/>
      </c>
      <c r="K1402" s="8" t="str" cm="1">
        <f t="array" ref="K1402">_xlfn.LET(
    _xlpm.sum_month, SUM(T1402:AE1402),
    IF(_xlpm.sum_month = 0, "", _xlpm.sum_month &amp; " taxa de aprovados")
)</f>
        <v>716 taxa de aprovados</v>
      </c>
      <c r="L1402" s="4" t="s">
        <v>186</v>
      </c>
      <c r="M1402" s="13">
        <v>1</v>
      </c>
      <c r="N1402" s="5" t="s">
        <v>51</v>
      </c>
      <c r="O1402" s="5" t="s">
        <v>43</v>
      </c>
      <c r="P1402" s="10" t="s">
        <v>44</v>
      </c>
      <c r="Q1402" s="10" t="s">
        <v>44</v>
      </c>
      <c r="R1402" s="11" t="s">
        <v>44</v>
      </c>
      <c r="S1402" s="11" t="s">
        <v>44</v>
      </c>
      <c r="T1402" s="22"/>
      <c r="U1402" s="22"/>
      <c r="V1402" s="22">
        <v>358</v>
      </c>
      <c r="W1402" s="22">
        <v>358</v>
      </c>
      <c r="X1402" s="22"/>
      <c r="Y1402" s="22"/>
      <c r="Z1402" s="22"/>
      <c r="AA1402" s="22"/>
      <c r="AB1402" s="22"/>
      <c r="AC1402" s="22"/>
      <c r="AD1402" s="22"/>
      <c r="AE1402" s="22"/>
      <c r="AG1402" s="71"/>
      <c r="AH1402" s="71"/>
      <c r="AI1402" s="71">
        <v>358</v>
      </c>
      <c r="AJ1402" s="71">
        <v>358</v>
      </c>
      <c r="AK1402" s="71"/>
      <c r="AL1402" s="71"/>
      <c r="AM1402" s="71"/>
      <c r="AN1402" s="71"/>
      <c r="AO1402" s="71"/>
      <c r="AP1402" s="71"/>
      <c r="AQ1402" s="71"/>
      <c r="AR1402" s="71"/>
      <c r="AS1402" s="94" cm="1">
        <f t="array" ref="AS1402">IFERROR(INDEX(T1402:AE1402,1,MATCH(2,1/(T1402:AE1402&lt;&gt;""))),"")</f>
        <v>358</v>
      </c>
      <c r="AT1402" s="95" cm="1">
        <f t="array" ref="AT1402">IFERROR(INDEX(AJ1402:AR1402,1,MATCH(2,1/(AJ1402:AR1402&lt;&gt;""))),"")</f>
        <v>358</v>
      </c>
      <c r="AU1402" s="97">
        <f t="shared" si="1662"/>
        <v>358</v>
      </c>
      <c r="AW1402" s="52">
        <f t="shared" si="1663"/>
        <v>0</v>
      </c>
      <c r="AX1402" s="52">
        <f t="shared" si="1664"/>
        <v>0</v>
      </c>
      <c r="AY1402" s="118">
        <f t="shared" si="1665"/>
        <v>1</v>
      </c>
      <c r="AZ1402" s="118">
        <f t="shared" si="1666"/>
        <v>1</v>
      </c>
      <c r="BA1402" s="52"/>
      <c r="BB1402" s="52"/>
      <c r="BC1402" s="52"/>
      <c r="BD1402" s="52"/>
      <c r="BE1402" s="52"/>
      <c r="BF1402" s="52"/>
      <c r="BG1402" s="52"/>
      <c r="BH1402" s="52"/>
      <c r="BI1402" s="65" cm="1">
        <f t="array" ref="BI1402">IFERROR(INDEX(AW1402:BH1402,1,MATCH(2,1/(AW1402:BH1402&lt;&gt;""))),"")</f>
        <v>1</v>
      </c>
      <c r="BJ1402" s="68" cm="1">
        <f t="array" ref="BJ1402">IF(BM1402 = "", "",IFERROR(INDEX(AW1402:BH1402,1,MATCH(2,1/(AW1402:BH1402&lt;&gt;""),1)-1),""))</f>
        <v>1</v>
      </c>
      <c r="BK1402" s="58" cm="1">
        <f t="array" ref="BK1402">IFERROR(INDEX(AW1402:BH1402,1,MATCH(2,1/(AW1402:BH1402&lt;&gt;""))),"")</f>
        <v>1</v>
      </c>
      <c r="BL1402" s="58" cm="1">
        <f t="array" ref="BL1402">IFERROR(INDEX(AW1402:BH1402,1,MATCH(2,1/(AW1402:BH1402&lt;&gt;""),1)-1),"")</f>
        <v>1</v>
      </c>
      <c r="BM1402" s="55" cm="1">
        <f t="array" ref="BM1402">IFERROR(
   INDEX($AW$1:$BH$1,
      _xlfn.AGGREGATE(14, 6, COLUMN($AW$1:$BH$1)/(AW1402:BH1402&lt;&gt;""), 2) - COLUMN($AW$1) + 1
   ),
"")</f>
        <v>46082</v>
      </c>
      <c r="BN1402" s="55" cm="1">
        <f t="array" ref="BN1402">IFERROR(INDEX($AW$1:$BH$1,1,MATCH(2,1/(AW1402:BH1402&lt;&gt;""))),"")</f>
        <v>46113</v>
      </c>
      <c r="BO1402" s="53">
        <f ca="1">IFERROR(_xlfn.XLOOKUP(F1402,Apuração!A:A,Apuração!C:C)/_xlfn.XLOOKUP(F1402,Apuração!A:A,Apuração!B:B),0)</f>
        <v>0.3</v>
      </c>
      <c r="BP1402" s="53">
        <f ca="1">IFERROR(_xlfn.XLOOKUP(F1402,Apuração!A:A,Apuração!D:D)/_xlfn.XLOOKUP(F1402,Apuração!A:A,Apuração!B:B),0)</f>
        <v>0.2</v>
      </c>
      <c r="BQ1402" s="53">
        <f ca="1">IF(BK1402&gt;=BO1402,0,_xlfn.XLOOKUP(F1402,Apuração!A:A,Apuração!B:B)*(BO1402 + (1/_xlfn.XLOOKUP(F1402,Apuração!A:A,Apuração!B:B)) - BK1402))</f>
        <v>0</v>
      </c>
      <c r="BR1402" s="85">
        <f t="shared" ca="1" si="1667"/>
        <v>0</v>
      </c>
      <c r="BS1402" s="53">
        <f ca="1">IFERROR((_xlfn.XLOOKUP(F1402,Apuração!A:A,Apuração!C:C)+1)/_xlfn.XLOOKUP(F1402,Apuração!A:A,Apuração!B:B),0)</f>
        <v>0.4</v>
      </c>
    </row>
    <row r="1403" spans="1:71" ht="25.95" hidden="1" customHeight="1" x14ac:dyDescent="0.3">
      <c r="A1403" s="44" t="s">
        <v>175</v>
      </c>
      <c r="B1403" s="4" t="s">
        <v>184</v>
      </c>
      <c r="C1403" s="5" t="s">
        <v>209</v>
      </c>
      <c r="D1403" s="5" t="s">
        <v>211</v>
      </c>
      <c r="E1403" s="4" t="str" cm="1">
        <f t="array" ref="E1403">_xlfn.IFS(
F1403 = "A partir de Abril", "Aguardando Execução na Distribuidora",
A1403 = "CAPACITAÇÃO", "Em execução no Corporativo",
TRUE, "Em Execução na Distribuidora"
)</f>
        <v>Em execução no Corporativo</v>
      </c>
      <c r="F1403" s="4" t="str" cm="1">
        <f t="array" ref="F1403">_xlfn.IFS(
AG1403 &lt;&gt; "", "Jan-Dez/26",
AH1403 &lt;&gt; "", "Fev-Dez/26",
AI1403 &lt;&gt; "", "Mar-Dez/26", AJ1403 &lt;&gt; "", "Abr-Dez/26",
TRUE, "A partir de Junho"
)</f>
        <v>Mar-Dez/26</v>
      </c>
      <c r="G1403" s="4" t="s">
        <v>37</v>
      </c>
      <c r="H1403" s="7" t="s">
        <v>38</v>
      </c>
      <c r="I1403" s="21" t="s">
        <v>182</v>
      </c>
      <c r="J1403" s="8" t="str" cm="1">
        <f t="array" aca="1" ref="J1403" ca="1">_xlfn.LET(
  _xlpm.actual_value_month, INDEX(T1403:AE1403, MATCH(DATE(YEAR(TODAY()), MONTH(TODAY()), 1), $T$1:$AE$1, 0)),
  IF(_xlpm.actual_value_month &lt;&gt; "", _xlpm.actual_value_month &amp; " ações mensais", "")
)</f>
        <v/>
      </c>
      <c r="K1403" s="8" t="str" cm="1">
        <f t="array" ref="K1403">_xlfn.LET(
    _xlpm.sum_month, SUM(T1403:AE1403),
    IF(_xlpm.sum_month = 0, "", _xlpm.sum_month &amp; " taxa de aprovados")
)</f>
        <v>434 taxa de aprovados</v>
      </c>
      <c r="L1403" s="4" t="s">
        <v>186</v>
      </c>
      <c r="M1403" s="13">
        <v>1</v>
      </c>
      <c r="N1403" s="5" t="s">
        <v>51</v>
      </c>
      <c r="O1403" s="5" t="s">
        <v>43</v>
      </c>
      <c r="P1403" s="10" t="s">
        <v>44</v>
      </c>
      <c r="Q1403" s="10" t="s">
        <v>44</v>
      </c>
      <c r="R1403" s="11" t="s">
        <v>44</v>
      </c>
      <c r="S1403" s="11" t="s">
        <v>44</v>
      </c>
      <c r="T1403" s="22"/>
      <c r="U1403" s="22"/>
      <c r="V1403" s="22">
        <v>217</v>
      </c>
      <c r="W1403" s="22">
        <v>217</v>
      </c>
      <c r="X1403" s="22"/>
      <c r="Y1403" s="22"/>
      <c r="Z1403" s="22"/>
      <c r="AA1403" s="22"/>
      <c r="AB1403" s="22"/>
      <c r="AC1403" s="22"/>
      <c r="AD1403" s="22"/>
      <c r="AE1403" s="22"/>
      <c r="AG1403" s="71"/>
      <c r="AH1403" s="71"/>
      <c r="AI1403" s="71">
        <v>217</v>
      </c>
      <c r="AJ1403" s="71">
        <v>217</v>
      </c>
      <c r="AK1403" s="71"/>
      <c r="AL1403" s="71"/>
      <c r="AM1403" s="71"/>
      <c r="AN1403" s="71"/>
      <c r="AO1403" s="71"/>
      <c r="AP1403" s="71"/>
      <c r="AQ1403" s="71"/>
      <c r="AR1403" s="71"/>
      <c r="AS1403" s="94" cm="1">
        <f t="array" ref="AS1403">IFERROR(INDEX(T1403:AE1403,1,MATCH(2,1/(T1403:AE1403&lt;&gt;""))),"")</f>
        <v>217</v>
      </c>
      <c r="AT1403" s="95" cm="1">
        <f t="array" ref="AT1403">IFERROR(INDEX(AJ1403:AR1403,1,MATCH(2,1/(AJ1403:AR1403&lt;&gt;""))),"")</f>
        <v>217</v>
      </c>
      <c r="AU1403" s="97">
        <f t="shared" si="1662"/>
        <v>217</v>
      </c>
      <c r="AW1403" s="52">
        <f t="shared" si="1663"/>
        <v>0</v>
      </c>
      <c r="AX1403" s="52">
        <f t="shared" si="1664"/>
        <v>0</v>
      </c>
      <c r="AY1403" s="118">
        <f t="shared" si="1665"/>
        <v>1</v>
      </c>
      <c r="AZ1403" s="118">
        <f t="shared" si="1666"/>
        <v>1</v>
      </c>
      <c r="BA1403" s="52"/>
      <c r="BB1403" s="52"/>
      <c r="BC1403" s="52"/>
      <c r="BD1403" s="52"/>
      <c r="BE1403" s="52"/>
      <c r="BF1403" s="52"/>
      <c r="BG1403" s="52"/>
      <c r="BH1403" s="52"/>
      <c r="BI1403" s="65" cm="1">
        <f t="array" ref="BI1403">IFERROR(INDEX(AW1403:BH1403,1,MATCH(2,1/(AW1403:BH1403&lt;&gt;""))),"")</f>
        <v>1</v>
      </c>
      <c r="BJ1403" s="68" cm="1">
        <f t="array" ref="BJ1403">IF(BM1403 = "", "",IFERROR(INDEX(AW1403:BH1403,1,MATCH(2,1/(AW1403:BH1403&lt;&gt;""),1)-1),""))</f>
        <v>1</v>
      </c>
      <c r="BK1403" s="58" cm="1">
        <f t="array" ref="BK1403">IFERROR(INDEX(AW1403:BH1403,1,MATCH(2,1/(AW1403:BH1403&lt;&gt;""))),"")</f>
        <v>1</v>
      </c>
      <c r="BL1403" s="58" cm="1">
        <f t="array" ref="BL1403">IFERROR(INDEX(AW1403:BH1403,1,MATCH(2,1/(AW1403:BH1403&lt;&gt;""),1)-1),"")</f>
        <v>1</v>
      </c>
      <c r="BM1403" s="55" cm="1">
        <f t="array" ref="BM1403">IFERROR(
   INDEX($AW$1:$BH$1,
      _xlfn.AGGREGATE(14, 6, COLUMN($AW$1:$BH$1)/(AW1403:BH1403&lt;&gt;""), 2) - COLUMN($AW$1) + 1
   ),
"")</f>
        <v>46082</v>
      </c>
      <c r="BN1403" s="55" cm="1">
        <f t="array" ref="BN1403">IFERROR(INDEX($AW$1:$BH$1,1,MATCH(2,1/(AW1403:BH1403&lt;&gt;""))),"")</f>
        <v>46113</v>
      </c>
      <c r="BO1403" s="53">
        <f ca="1">IFERROR(_xlfn.XLOOKUP(F1403,Apuração!A:A,Apuração!C:C)/_xlfn.XLOOKUP(F1403,Apuração!A:A,Apuração!B:B),0)</f>
        <v>0.3</v>
      </c>
      <c r="BP1403" s="53">
        <f ca="1">IFERROR(_xlfn.XLOOKUP(F1403,Apuração!A:A,Apuração!D:D)/_xlfn.XLOOKUP(F1403,Apuração!A:A,Apuração!B:B),0)</f>
        <v>0.2</v>
      </c>
      <c r="BQ1403" s="53">
        <f ca="1">IF(BK1403&gt;=BO1403,0,_xlfn.XLOOKUP(F1403,Apuração!A:A,Apuração!B:B)*(BO1403 + (1/_xlfn.XLOOKUP(F1403,Apuração!A:A,Apuração!B:B)) - BK1403))</f>
        <v>0</v>
      </c>
      <c r="BR1403" s="85">
        <f t="shared" ca="1" si="1667"/>
        <v>0</v>
      </c>
      <c r="BS1403" s="53">
        <f ca="1">IFERROR((_xlfn.XLOOKUP(F1403,Apuração!A:A,Apuração!C:C)+1)/_xlfn.XLOOKUP(F1403,Apuração!A:A,Apuração!B:B),0)</f>
        <v>0.4</v>
      </c>
    </row>
    <row r="1404" spans="1:71" ht="25.95" hidden="1" customHeight="1" x14ac:dyDescent="0.3">
      <c r="A1404" s="44" t="s">
        <v>175</v>
      </c>
      <c r="B1404" s="4" t="s">
        <v>184</v>
      </c>
      <c r="C1404" s="5" t="s">
        <v>209</v>
      </c>
      <c r="D1404" s="5" t="s">
        <v>212</v>
      </c>
      <c r="E1404" s="4" t="str" cm="1">
        <f t="array" ref="E1404">_xlfn.IFS(
F1404 = "A partir de Abril", "Aguardando Execução na Distribuidora",
A1404 = "CAPACITAÇÃO", "Em execução no Corporativo",
TRUE, "Em Execução na Distribuidora"
)</f>
        <v>Em execução no Corporativo</v>
      </c>
      <c r="F1404" s="4" t="str" cm="1">
        <f t="array" ref="F1404">_xlfn.IFS(
AG1404 &lt;&gt; "", "Jan-Dez/26",
AH1404 &lt;&gt; "", "Fev-Dez/26",
AI1404 &lt;&gt; "", "Mar-Dez/26", AJ1404 &lt;&gt; "", "Abr-Dez/26",
TRUE, "A partir de Junho"
)</f>
        <v>Mar-Dez/26</v>
      </c>
      <c r="G1404" s="4" t="s">
        <v>37</v>
      </c>
      <c r="H1404" s="7" t="s">
        <v>38</v>
      </c>
      <c r="I1404" s="21" t="s">
        <v>182</v>
      </c>
      <c r="J1404" s="8" t="str" cm="1">
        <f t="array" aca="1" ref="J1404" ca="1">_xlfn.LET(
  _xlpm.actual_value_month, INDEX(T1404:AE1404, MATCH(DATE(YEAR(TODAY()), MONTH(TODAY()), 1), $T$1:$AE$1, 0)),
  IF(_xlpm.actual_value_month &lt;&gt; "", _xlpm.actual_value_month &amp; " ações mensais", "")
)</f>
        <v/>
      </c>
      <c r="K1404" s="8" t="str" cm="1">
        <f t="array" ref="K1404">_xlfn.LET(
    _xlpm.sum_month, SUM(T1404:AE1404),
    IF(_xlpm.sum_month = 0, "", _xlpm.sum_month &amp; " taxa de aprovados")
)</f>
        <v>1404 taxa de aprovados</v>
      </c>
      <c r="L1404" s="4" t="s">
        <v>186</v>
      </c>
      <c r="M1404" s="13">
        <v>1</v>
      </c>
      <c r="N1404" s="5" t="s">
        <v>51</v>
      </c>
      <c r="O1404" s="5" t="s">
        <v>43</v>
      </c>
      <c r="P1404" s="10" t="s">
        <v>44</v>
      </c>
      <c r="Q1404" s="10" t="s">
        <v>44</v>
      </c>
      <c r="R1404" s="11" t="s">
        <v>44</v>
      </c>
      <c r="S1404" s="11" t="s">
        <v>44</v>
      </c>
      <c r="T1404" s="22"/>
      <c r="U1404" s="22"/>
      <c r="V1404" s="22">
        <v>702</v>
      </c>
      <c r="W1404" s="22">
        <v>702</v>
      </c>
      <c r="X1404" s="22"/>
      <c r="Y1404" s="22"/>
      <c r="Z1404" s="22"/>
      <c r="AA1404" s="22"/>
      <c r="AB1404" s="22"/>
      <c r="AC1404" s="22"/>
      <c r="AD1404" s="22"/>
      <c r="AE1404" s="22"/>
      <c r="AG1404" s="71"/>
      <c r="AH1404" s="71"/>
      <c r="AI1404" s="71">
        <v>702</v>
      </c>
      <c r="AJ1404" s="71">
        <v>702</v>
      </c>
      <c r="AK1404" s="71"/>
      <c r="AL1404" s="71"/>
      <c r="AM1404" s="71"/>
      <c r="AN1404" s="71"/>
      <c r="AO1404" s="71"/>
      <c r="AP1404" s="71"/>
      <c r="AQ1404" s="71"/>
      <c r="AR1404" s="71"/>
      <c r="AS1404" s="94" cm="1">
        <f t="array" ref="AS1404">IFERROR(INDEX(T1404:AE1404,1,MATCH(2,1/(T1404:AE1404&lt;&gt;""))),"")</f>
        <v>702</v>
      </c>
      <c r="AT1404" s="95" cm="1">
        <f t="array" ref="AT1404">IFERROR(INDEX(AJ1404:AR1404,1,MATCH(2,1/(AJ1404:AR1404&lt;&gt;""))),"")</f>
        <v>702</v>
      </c>
      <c r="AU1404" s="97">
        <f t="shared" si="1662"/>
        <v>702</v>
      </c>
      <c r="AW1404" s="52">
        <f t="shared" si="1663"/>
        <v>0</v>
      </c>
      <c r="AX1404" s="52">
        <f t="shared" si="1664"/>
        <v>0</v>
      </c>
      <c r="AY1404" s="118">
        <f t="shared" si="1665"/>
        <v>1</v>
      </c>
      <c r="AZ1404" s="118">
        <f t="shared" si="1666"/>
        <v>1</v>
      </c>
      <c r="BA1404" s="52"/>
      <c r="BB1404" s="52"/>
      <c r="BC1404" s="52"/>
      <c r="BD1404" s="52"/>
      <c r="BE1404" s="52"/>
      <c r="BF1404" s="52"/>
      <c r="BG1404" s="52"/>
      <c r="BH1404" s="52"/>
      <c r="BI1404" s="65" cm="1">
        <f t="array" ref="BI1404">IFERROR(INDEX(AW1404:BH1404,1,MATCH(2,1/(AW1404:BH1404&lt;&gt;""))),"")</f>
        <v>1</v>
      </c>
      <c r="BJ1404" s="68" cm="1">
        <f t="array" ref="BJ1404">IF(BM1404 = "", "",IFERROR(INDEX(AW1404:BH1404,1,MATCH(2,1/(AW1404:BH1404&lt;&gt;""),1)-1),""))</f>
        <v>1</v>
      </c>
      <c r="BK1404" s="58" cm="1">
        <f t="array" ref="BK1404">IFERROR(INDEX(AW1404:BH1404,1,MATCH(2,1/(AW1404:BH1404&lt;&gt;""))),"")</f>
        <v>1</v>
      </c>
      <c r="BL1404" s="58" cm="1">
        <f t="array" ref="BL1404">IFERROR(INDEX(AW1404:BH1404,1,MATCH(2,1/(AW1404:BH1404&lt;&gt;""),1)-1),"")</f>
        <v>1</v>
      </c>
      <c r="BM1404" s="55" cm="1">
        <f t="array" ref="BM1404">IFERROR(
   INDEX($AW$1:$BH$1,
      _xlfn.AGGREGATE(14, 6, COLUMN($AW$1:$BH$1)/(AW1404:BH1404&lt;&gt;""), 2) - COLUMN($AW$1) + 1
   ),
"")</f>
        <v>46082</v>
      </c>
      <c r="BN1404" s="55" cm="1">
        <f t="array" ref="BN1404">IFERROR(INDEX($AW$1:$BH$1,1,MATCH(2,1/(AW1404:BH1404&lt;&gt;""))),"")</f>
        <v>46113</v>
      </c>
      <c r="BO1404" s="53">
        <f ca="1">IFERROR(_xlfn.XLOOKUP(F1404,Apuração!A:A,Apuração!C:C)/_xlfn.XLOOKUP(F1404,Apuração!A:A,Apuração!B:B),0)</f>
        <v>0.3</v>
      </c>
      <c r="BP1404" s="53">
        <f ca="1">IFERROR(_xlfn.XLOOKUP(F1404,Apuração!A:A,Apuração!D:D)/_xlfn.XLOOKUP(F1404,Apuração!A:A,Apuração!B:B),0)</f>
        <v>0.2</v>
      </c>
      <c r="BQ1404" s="53">
        <f ca="1">IF(BK1404&gt;=BO1404,0,_xlfn.XLOOKUP(F1404,Apuração!A:A,Apuração!B:B)*(BO1404 + (1/_xlfn.XLOOKUP(F1404,Apuração!A:A,Apuração!B:B)) - BK1404))</f>
        <v>0</v>
      </c>
      <c r="BR1404" s="85">
        <f t="shared" ca="1" si="1667"/>
        <v>0</v>
      </c>
      <c r="BS1404" s="53">
        <f ca="1">IFERROR((_xlfn.XLOOKUP(F1404,Apuração!A:A,Apuração!C:C)+1)/_xlfn.XLOOKUP(F1404,Apuração!A:A,Apuração!B:B),0)</f>
        <v>0.4</v>
      </c>
    </row>
    <row r="1405" spans="1:71" ht="25.95" hidden="1" customHeight="1" x14ac:dyDescent="0.3">
      <c r="A1405" s="44" t="s">
        <v>175</v>
      </c>
      <c r="B1405" s="4" t="s">
        <v>184</v>
      </c>
      <c r="C1405" s="5" t="s">
        <v>209</v>
      </c>
      <c r="D1405" s="5" t="s">
        <v>213</v>
      </c>
      <c r="E1405" s="4" t="str" cm="1">
        <f t="array" ref="E1405">_xlfn.IFS(
F1405 = "A partir de Abril", "Aguardando Execução na Distribuidora",
A1405 = "CAPACITAÇÃO", "Em execução no Corporativo",
TRUE, "Em Execução na Distribuidora"
)</f>
        <v>Em execução no Corporativo</v>
      </c>
      <c r="F1405" s="4" t="str" cm="1">
        <f t="array" ref="F1405">_xlfn.IFS(
AG1405 &lt;&gt; "", "Jan-Dez/26",
AH1405 &lt;&gt; "", "Fev-Dez/26",
AI1405 &lt;&gt; "", "Mar-Dez/26", AJ1405 &lt;&gt; "", "Abr-Dez/26",
TRUE, "A partir de Junho"
)</f>
        <v>Mar-Dez/26</v>
      </c>
      <c r="G1405" s="4" t="s">
        <v>37</v>
      </c>
      <c r="H1405" s="7" t="s">
        <v>38</v>
      </c>
      <c r="I1405" s="21" t="s">
        <v>182</v>
      </c>
      <c r="J1405" s="8" t="str" cm="1">
        <f t="array" aca="1" ref="J1405" ca="1">_xlfn.LET(
  _xlpm.actual_value_month, INDEX(T1405:AE1405, MATCH(DATE(YEAR(TODAY()), MONTH(TODAY()), 1), $T$1:$AE$1, 0)),
  IF(_xlpm.actual_value_month &lt;&gt; "", _xlpm.actual_value_month &amp; " ações mensais", "")
)</f>
        <v/>
      </c>
      <c r="K1405" s="8" t="str" cm="1">
        <f t="array" ref="K1405">_xlfn.LET(
    _xlpm.sum_month, SUM(T1405:AE1405),
    IF(_xlpm.sum_month = 0, "", _xlpm.sum_month &amp; " taxa de aprovados")
)</f>
        <v>870 taxa de aprovados</v>
      </c>
      <c r="L1405" s="4" t="s">
        <v>186</v>
      </c>
      <c r="M1405" s="13">
        <v>1</v>
      </c>
      <c r="N1405" s="5" t="s">
        <v>51</v>
      </c>
      <c r="O1405" s="5" t="s">
        <v>43</v>
      </c>
      <c r="P1405" s="10" t="s">
        <v>44</v>
      </c>
      <c r="Q1405" s="10" t="s">
        <v>44</v>
      </c>
      <c r="R1405" s="11" t="s">
        <v>44</v>
      </c>
      <c r="S1405" s="11" t="s">
        <v>44</v>
      </c>
      <c r="T1405" s="22"/>
      <c r="U1405" s="22"/>
      <c r="V1405" s="22">
        <v>435</v>
      </c>
      <c r="W1405" s="22">
        <v>435</v>
      </c>
      <c r="X1405" s="22"/>
      <c r="Y1405" s="22"/>
      <c r="Z1405" s="22"/>
      <c r="AA1405" s="22"/>
      <c r="AB1405" s="22"/>
      <c r="AC1405" s="22"/>
      <c r="AD1405" s="22"/>
      <c r="AE1405" s="22"/>
      <c r="AG1405" s="71"/>
      <c r="AH1405" s="71"/>
      <c r="AI1405" s="71">
        <v>435</v>
      </c>
      <c r="AJ1405" s="71">
        <v>435</v>
      </c>
      <c r="AK1405" s="71"/>
      <c r="AL1405" s="71"/>
      <c r="AM1405" s="71"/>
      <c r="AN1405" s="71"/>
      <c r="AO1405" s="71"/>
      <c r="AP1405" s="71"/>
      <c r="AQ1405" s="71"/>
      <c r="AR1405" s="71"/>
      <c r="AS1405" s="94" cm="1">
        <f t="array" ref="AS1405">IFERROR(INDEX(T1405:AE1405,1,MATCH(2,1/(T1405:AE1405&lt;&gt;""))),"")</f>
        <v>435</v>
      </c>
      <c r="AT1405" s="95" cm="1">
        <f t="array" ref="AT1405">IFERROR(INDEX(AJ1405:AR1405,1,MATCH(2,1/(AJ1405:AR1405&lt;&gt;""))),"")</f>
        <v>435</v>
      </c>
      <c r="AU1405" s="97">
        <f t="shared" si="1662"/>
        <v>435</v>
      </c>
      <c r="AW1405" s="52">
        <f t="shared" si="1663"/>
        <v>0</v>
      </c>
      <c r="AX1405" s="52">
        <f t="shared" si="1664"/>
        <v>0</v>
      </c>
      <c r="AY1405" s="118">
        <f t="shared" si="1665"/>
        <v>1</v>
      </c>
      <c r="AZ1405" s="118">
        <f t="shared" si="1666"/>
        <v>1</v>
      </c>
      <c r="BA1405" s="52"/>
      <c r="BB1405" s="52"/>
      <c r="BC1405" s="52"/>
      <c r="BD1405" s="52"/>
      <c r="BE1405" s="52"/>
      <c r="BF1405" s="52"/>
      <c r="BG1405" s="52"/>
      <c r="BH1405" s="52"/>
      <c r="BI1405" s="65" cm="1">
        <f t="array" ref="BI1405">IFERROR(INDEX(AW1405:BH1405,1,MATCH(2,1/(AW1405:BH1405&lt;&gt;""))),"")</f>
        <v>1</v>
      </c>
      <c r="BJ1405" s="68" cm="1">
        <f t="array" ref="BJ1405">IF(BM1405 = "", "",IFERROR(INDEX(AW1405:BH1405,1,MATCH(2,1/(AW1405:BH1405&lt;&gt;""),1)-1),""))</f>
        <v>1</v>
      </c>
      <c r="BK1405" s="58" cm="1">
        <f t="array" ref="BK1405">IFERROR(INDEX(AW1405:BH1405,1,MATCH(2,1/(AW1405:BH1405&lt;&gt;""))),"")</f>
        <v>1</v>
      </c>
      <c r="BL1405" s="58" cm="1">
        <f t="array" ref="BL1405">IFERROR(INDEX(AW1405:BH1405,1,MATCH(2,1/(AW1405:BH1405&lt;&gt;""),1)-1),"")</f>
        <v>1</v>
      </c>
      <c r="BM1405" s="55" cm="1">
        <f t="array" ref="BM1405">IFERROR(
   INDEX($AW$1:$BH$1,
      _xlfn.AGGREGATE(14, 6, COLUMN($AW$1:$BH$1)/(AW1405:BH1405&lt;&gt;""), 2) - COLUMN($AW$1) + 1
   ),
"")</f>
        <v>46082</v>
      </c>
      <c r="BN1405" s="55" cm="1">
        <f t="array" ref="BN1405">IFERROR(INDEX($AW$1:$BH$1,1,MATCH(2,1/(AW1405:BH1405&lt;&gt;""))),"")</f>
        <v>46113</v>
      </c>
      <c r="BO1405" s="53">
        <f ca="1">IFERROR(_xlfn.XLOOKUP(F1405,Apuração!A:A,Apuração!C:C)/_xlfn.XLOOKUP(F1405,Apuração!A:A,Apuração!B:B),0)</f>
        <v>0.3</v>
      </c>
      <c r="BP1405" s="53">
        <f ca="1">IFERROR(_xlfn.XLOOKUP(F1405,Apuração!A:A,Apuração!D:D)/_xlfn.XLOOKUP(F1405,Apuração!A:A,Apuração!B:B),0)</f>
        <v>0.2</v>
      </c>
      <c r="BQ1405" s="53">
        <f ca="1">IF(BK1405&gt;=BO1405,0,_xlfn.XLOOKUP(F1405,Apuração!A:A,Apuração!B:B)*(BO1405 + (1/_xlfn.XLOOKUP(F1405,Apuração!A:A,Apuração!B:B)) - BK1405))</f>
        <v>0</v>
      </c>
      <c r="BR1405" s="85">
        <f t="shared" ca="1" si="1667"/>
        <v>0</v>
      </c>
      <c r="BS1405" s="53">
        <f ca="1">IFERROR((_xlfn.XLOOKUP(F1405,Apuração!A:A,Apuração!C:C)+1)/_xlfn.XLOOKUP(F1405,Apuração!A:A,Apuração!B:B),0)</f>
        <v>0.4</v>
      </c>
    </row>
    <row r="1406" spans="1:71" ht="25.95" hidden="1" customHeight="1" x14ac:dyDescent="0.3">
      <c r="A1406" s="33" t="s">
        <v>175</v>
      </c>
      <c r="B1406" s="4" t="s">
        <v>187</v>
      </c>
      <c r="C1406" s="5" t="s">
        <v>209</v>
      </c>
      <c r="D1406" s="5" t="s">
        <v>36</v>
      </c>
      <c r="E1406" s="4" t="s">
        <v>96</v>
      </c>
      <c r="F1406" s="4" t="str" cm="1">
        <f t="array" ref="F1406">_xlfn.IFS(
AG1406 &lt;&gt; "", "Jan-Dez/26",
AH1406 &lt;&gt; "", "Fev-Dez/26",
AI1406 &lt;&gt; "", "Mar-Dez/26", AJ1406 &lt;&gt; "", "Abr-Dez/26",
TRUE, "A partir de Junho"
)</f>
        <v>A partir de Junho</v>
      </c>
      <c r="G1406" s="4" t="s">
        <v>62</v>
      </c>
      <c r="H1406" s="7" t="s">
        <v>54</v>
      </c>
      <c r="I1406" s="8" t="s">
        <v>188</v>
      </c>
      <c r="J1406" s="8" t="str" cm="1">
        <f t="array" aca="1" ref="J1406" ca="1">_xlfn.LET(
  _xlpm.actual_value_month, INDEX(T1406:AE1406, MATCH(DATE(YEAR(TODAY()), MONTH(TODAY()), 1), $T$1:$AE$1, 0)),
  IF(_xlpm.actual_value_month &lt;&gt; "", _xlpm.actual_value_month &amp; " ações mensais", "")
)</f>
        <v/>
      </c>
      <c r="K1406" s="8" t="str" cm="1">
        <f t="array" ref="K1406">_xlfn.LET(
    _xlpm.sum_month, SUM(T1406:AE1406),
    IF(_xlpm.sum_month = 0, "", _xlpm.sum_month &amp; " taxa de aderência de treinados.")
)</f>
        <v/>
      </c>
      <c r="L1406" s="9" t="s">
        <v>189</v>
      </c>
      <c r="M1406" s="13">
        <v>1</v>
      </c>
      <c r="N1406" s="5" t="s">
        <v>42</v>
      </c>
      <c r="O1406" s="5" t="s">
        <v>43</v>
      </c>
      <c r="P1406" s="10" t="s">
        <v>146</v>
      </c>
      <c r="Q1406" s="10" t="s">
        <v>44</v>
      </c>
      <c r="R1406" s="11" t="s">
        <v>44</v>
      </c>
      <c r="S1406" s="11" t="s">
        <v>44</v>
      </c>
      <c r="T1406" s="22"/>
      <c r="U1406" s="22"/>
      <c r="V1406" s="22"/>
      <c r="W1406" s="22"/>
      <c r="X1406" s="22"/>
      <c r="Y1406" s="22"/>
      <c r="Z1406" s="22"/>
      <c r="AA1406" s="22"/>
      <c r="AB1406" s="22"/>
      <c r="AC1406" s="22"/>
      <c r="AD1406" s="22"/>
      <c r="AE1406" s="22"/>
      <c r="AG1406" s="71"/>
      <c r="AH1406" s="71"/>
      <c r="AI1406" s="71"/>
      <c r="AJ1406" s="71"/>
      <c r="AK1406" s="71"/>
      <c r="AL1406" s="71"/>
      <c r="AM1406" s="71"/>
      <c r="AN1406" s="71"/>
      <c r="AO1406" s="71"/>
      <c r="AP1406" s="71"/>
      <c r="AQ1406" s="71"/>
      <c r="AR1406" s="71"/>
      <c r="AS1406" s="94" t="str" cm="1">
        <f t="array" ref="AS1406">IFERROR(INDEX(T1406:AE1406,1,MATCH(2,1/(T1406:AE1406&lt;&gt;""))),"")</f>
        <v/>
      </c>
      <c r="AT1406" s="95">
        <f>AN1406</f>
        <v>0</v>
      </c>
      <c r="AU1406" s="97">
        <f>AT1406</f>
        <v>0</v>
      </c>
      <c r="AW1406" s="51"/>
      <c r="AX1406" s="51"/>
      <c r="AY1406" s="51"/>
      <c r="AZ1406" s="51"/>
      <c r="BA1406" s="51"/>
      <c r="BB1406" s="51"/>
      <c r="BC1406" s="51"/>
      <c r="BD1406" s="51"/>
      <c r="BE1406" s="51"/>
      <c r="BF1406" s="51"/>
      <c r="BG1406" s="51"/>
      <c r="BH1406" s="51"/>
      <c r="BI1406" s="65" t="str" cm="1">
        <f t="array" ref="BI1406">IFERROR(INDEX(AW1406:BH1406,1,MATCH(2,1/(AW1406:BH1406&lt;&gt;""))),"")</f>
        <v/>
      </c>
      <c r="BJ1406" s="68" t="str" cm="1">
        <f t="array" ref="BJ1406">IF(BM1406 = "", "",IFERROR(INDEX(AW1406:BH1406,1,MATCH(2,1/(AW1406:BH1406&lt;&gt;""),1)-1),""))</f>
        <v/>
      </c>
      <c r="BK1406" s="58" t="str" cm="1">
        <f t="array" ref="BK1406">IFERROR(INDEX(AW1406:BH1406,1,MATCH(2,1/(AW1406:BH1406&lt;&gt;""))),"")</f>
        <v/>
      </c>
      <c r="BL1406" s="58" cm="1">
        <f t="array" aca="1" ref="BL1406" ca="1">IF(SUM(IFERROR(IF(INDEX(AW1406:INDEX(AW1406:BH1406, MATCH(2, 1/(AW1406:BH1406&lt;&gt;""), 1)-1), ROW(INDIRECT("1:" &amp; MATCH(2, 1/(AW1406:BH1406&lt;&gt;""), 1)-1))) &gt;= 115%, 115%, INDEX(AW1406:INDEX(AW1406:BH1406, MATCH(2, 1/(AW1406:BH1406&lt;&gt;""), 1)-1), ROW(INDIRECT("1:" &amp; MATCH(2, 1/(AW1406:BH1406&lt;&gt;""), 1)-1)))), 0))/_xlfn.XLOOKUP(F1406,Apuração!A:A,Apuração!B:B)&gt;=1.15,1.15,SUM(IFERROR(IF(INDEX(AW1406:INDEX(AW1406:BH1406, MATCH(2, 1/(AW1406:BH1406&lt;&gt;""), 1)-1), ROW(INDIRECT("1:" &amp; MATCH(2, 1/(AW1406:BH1406&lt;&gt;""), 1)-1))) &gt;= 115%, 115%, INDEX(AW1406:INDEX(AW1406:BH1406, MATCH(2, 1/(AW1406:BH1406&lt;&gt;""), 1)-1), ROW(INDIRECT("1:" &amp; MATCH(2, 1/(AW1406:BH1406&lt;&gt;""), 1)-1)))), 0))/_xlfn.XLOOKUP(F1406,Apuração!A:A,Apuração!B:B))</f>
        <v>0</v>
      </c>
      <c r="BM1406" s="55" t="str" cm="1">
        <f t="array" ref="BM1406">IFERROR(
   INDEX($AW$1:$BH$1,
      _xlfn.AGGREGATE(14, 6, COLUMN($AW$1:$BH$1)/(AW1406:BH1406&lt;&gt;""), 2) - COLUMN($AW$1) + 1
   ),
"")</f>
        <v/>
      </c>
      <c r="BN1406" s="55" t="str" cm="1">
        <f t="array" ref="BN1406">IFERROR(INDEX($AW$1:$BH$1,1,MATCH(2,1/(AW1406:BH1406&lt;&gt;""))),"")</f>
        <v/>
      </c>
      <c r="BO1406" s="53">
        <f ca="1">IFERROR(_xlfn.XLOOKUP(F1406,Apuração!A:A,Apuração!C:C)/_xlfn.XLOOKUP(F1406,Apuração!A:A,Apuração!B:B),0)</f>
        <v>0</v>
      </c>
      <c r="BP1406" s="53">
        <f ca="1">IFERROR(_xlfn.XLOOKUP(F1406,Apuração!A:A,Apuração!D:D)/_xlfn.XLOOKUP(F1406,Apuração!A:A,Apuração!B:B),0)</f>
        <v>0</v>
      </c>
      <c r="BQ1406" s="53">
        <f ca="1">IF(BK1406&gt;=BO1406,0,_xlfn.XLOOKUP(F1406,Apuração!A:A,Apuração!B:B)*(BO1406 + (1/_xlfn.XLOOKUP(F1406,Apuração!A:A,Apuração!B:B)) - BK1406))</f>
        <v>0</v>
      </c>
      <c r="BR1406" s="85">
        <f ca="1">IF(BQ1406=0,0,BQ1406*Z1406)</f>
        <v>0</v>
      </c>
      <c r="BS1406" s="53">
        <f ca="1">IFERROR((_xlfn.XLOOKUP(F1406,Apuração!A:A,Apuração!C:C)+1)/_xlfn.XLOOKUP(F1406,Apuração!A:A,Apuração!B:B),0)</f>
        <v>0.14285714285714285</v>
      </c>
    </row>
    <row r="1407" spans="1:71" ht="25.95" hidden="1" customHeight="1" x14ac:dyDescent="0.3">
      <c r="A1407" s="33" t="s">
        <v>175</v>
      </c>
      <c r="B1407" s="4" t="s">
        <v>187</v>
      </c>
      <c r="C1407" s="5" t="s">
        <v>209</v>
      </c>
      <c r="D1407" s="5" t="s">
        <v>210</v>
      </c>
      <c r="E1407" s="4" t="s">
        <v>96</v>
      </c>
      <c r="F1407" s="4" t="str" cm="1">
        <f t="array" ref="F1407">_xlfn.IFS(
AG1407 &lt;&gt; "", "Jan-Dez/26",
AH1407 &lt;&gt; "", "Fev-Dez/26",
AI1407 &lt;&gt; "", "Mar-Dez/26", AJ1407 &lt;&gt; "", "Abr-Dez/26",
TRUE, "A partir de Junho"
)</f>
        <v>A partir de Junho</v>
      </c>
      <c r="G1407" s="4" t="s">
        <v>62</v>
      </c>
      <c r="H1407" s="7" t="s">
        <v>54</v>
      </c>
      <c r="I1407" s="8" t="s">
        <v>188</v>
      </c>
      <c r="J1407" s="8" t="str" cm="1">
        <f t="array" aca="1" ref="J1407" ca="1">_xlfn.LET(
  _xlpm.actual_value_month, INDEX(T1407:AE1407, MATCH(DATE(YEAR(TODAY()), MONTH(TODAY()), 1), $T$1:$AE$1, 0)),
  IF(_xlpm.actual_value_month &lt;&gt; "", _xlpm.actual_value_month &amp; " ações mensais", "")
)</f>
        <v/>
      </c>
      <c r="K1407" s="8" t="str" cm="1">
        <f t="array" ref="K1407">_xlfn.LET(
    _xlpm.sum_month, SUM(T1407:AE1407),
    IF(_xlpm.sum_month = 0, "", _xlpm.sum_month &amp; " taxa de aderência de treinados.")
)</f>
        <v/>
      </c>
      <c r="L1407" s="9" t="s">
        <v>189</v>
      </c>
      <c r="M1407" s="13">
        <v>1</v>
      </c>
      <c r="N1407" s="5" t="s">
        <v>42</v>
      </c>
      <c r="O1407" s="5" t="s">
        <v>43</v>
      </c>
      <c r="P1407" s="10" t="s">
        <v>146</v>
      </c>
      <c r="Q1407" s="10" t="s">
        <v>44</v>
      </c>
      <c r="R1407" s="11" t="s">
        <v>44</v>
      </c>
      <c r="S1407" s="11" t="s">
        <v>44</v>
      </c>
      <c r="T1407" s="22"/>
      <c r="U1407" s="22"/>
      <c r="V1407" s="22"/>
      <c r="W1407" s="22"/>
      <c r="X1407" s="22"/>
      <c r="Y1407" s="22"/>
      <c r="Z1407" s="22"/>
      <c r="AA1407" s="22"/>
      <c r="AB1407" s="22"/>
      <c r="AC1407" s="22"/>
      <c r="AD1407" s="22"/>
      <c r="AE1407" s="22"/>
      <c r="AG1407" s="71"/>
      <c r="AH1407" s="71"/>
      <c r="AI1407" s="71"/>
      <c r="AJ1407" s="71"/>
      <c r="AK1407" s="71"/>
      <c r="AL1407" s="71"/>
      <c r="AM1407" s="71"/>
      <c r="AN1407" s="71"/>
      <c r="AO1407" s="71"/>
      <c r="AP1407" s="71"/>
      <c r="AQ1407" s="71"/>
      <c r="AR1407" s="71"/>
      <c r="AS1407" s="94" t="str" cm="1">
        <f t="array" ref="AS1407">IFERROR(INDEX(T1407:AE1407,1,MATCH(2,1/(T1407:AE1407&lt;&gt;""))),"")</f>
        <v/>
      </c>
      <c r="AT1407" s="95">
        <f t="shared" ref="AT1407:AT1411" si="1668">AN1407</f>
        <v>0</v>
      </c>
      <c r="AU1407" s="97">
        <f t="shared" ref="AU1407:AU1411" si="1669">AT1407</f>
        <v>0</v>
      </c>
      <c r="AW1407" s="51"/>
      <c r="AX1407" s="51"/>
      <c r="AY1407" s="51"/>
      <c r="AZ1407" s="51"/>
      <c r="BA1407" s="51"/>
      <c r="BB1407" s="51"/>
      <c r="BC1407" s="51"/>
      <c r="BD1407" s="51"/>
      <c r="BE1407" s="51"/>
      <c r="BF1407" s="51"/>
      <c r="BG1407" s="51"/>
      <c r="BH1407" s="51"/>
      <c r="BI1407" s="65" t="str" cm="1">
        <f t="array" ref="BI1407">IFERROR(INDEX(AW1407:BH1407,1,MATCH(2,1/(AW1407:BH1407&lt;&gt;""))),"")</f>
        <v/>
      </c>
      <c r="BJ1407" s="68" t="str" cm="1">
        <f t="array" ref="BJ1407">IF(BM1407 = "", "",IFERROR(INDEX(AW1407:BH1407,1,MATCH(2,1/(AW1407:BH1407&lt;&gt;""),1)-1),""))</f>
        <v/>
      </c>
      <c r="BK1407" s="58" t="str" cm="1">
        <f t="array" ref="BK1407">IFERROR(INDEX(AW1407:BH1407,1,MATCH(2,1/(AW1407:BH1407&lt;&gt;""))),"")</f>
        <v/>
      </c>
      <c r="BL1407" s="58" cm="1">
        <f t="array" aca="1" ref="BL1407" ca="1">IF(SUM(IFERROR(IF(INDEX(AW1407:INDEX(AW1407:BH1407, MATCH(2, 1/(AW1407:BH1407&lt;&gt;""), 1)-1), ROW(INDIRECT("1:" &amp; MATCH(2, 1/(AW1407:BH1407&lt;&gt;""), 1)-1))) &gt;= 115%, 115%, INDEX(AW1407:INDEX(AW1407:BH1407, MATCH(2, 1/(AW1407:BH1407&lt;&gt;""), 1)-1), ROW(INDIRECT("1:" &amp; MATCH(2, 1/(AW1407:BH1407&lt;&gt;""), 1)-1)))), 0))/_xlfn.XLOOKUP(F1407,Apuração!A:A,Apuração!B:B)&gt;=1.15,1.15,SUM(IFERROR(IF(INDEX(AW1407:INDEX(AW1407:BH1407, MATCH(2, 1/(AW1407:BH1407&lt;&gt;""), 1)-1), ROW(INDIRECT("1:" &amp; MATCH(2, 1/(AW1407:BH1407&lt;&gt;""), 1)-1))) &gt;= 115%, 115%, INDEX(AW1407:INDEX(AW1407:BH1407, MATCH(2, 1/(AW1407:BH1407&lt;&gt;""), 1)-1), ROW(INDIRECT("1:" &amp; MATCH(2, 1/(AW1407:BH1407&lt;&gt;""), 1)-1)))), 0))/_xlfn.XLOOKUP(F1407,Apuração!A:A,Apuração!B:B))</f>
        <v>0</v>
      </c>
      <c r="BM1407" s="55" t="str" cm="1">
        <f t="array" ref="BM1407">IFERROR(
   INDEX($AW$1:$BH$1,
      _xlfn.AGGREGATE(14, 6, COLUMN($AW$1:$BH$1)/(AW1407:BH1407&lt;&gt;""), 2) - COLUMN($AW$1) + 1
   ),
"")</f>
        <v/>
      </c>
      <c r="BN1407" s="55" t="str" cm="1">
        <f t="array" ref="BN1407">IFERROR(INDEX($AW$1:$BH$1,1,MATCH(2,1/(AW1407:BH1407&lt;&gt;""))),"")</f>
        <v/>
      </c>
      <c r="BO1407" s="53">
        <f ca="1">IFERROR(_xlfn.XLOOKUP(F1407,Apuração!A:A,Apuração!C:C)/_xlfn.XLOOKUP(F1407,Apuração!A:A,Apuração!B:B),0)</f>
        <v>0</v>
      </c>
      <c r="BP1407" s="53">
        <f ca="1">IFERROR(_xlfn.XLOOKUP(F1407,Apuração!A:A,Apuração!D:D)/_xlfn.XLOOKUP(F1407,Apuração!A:A,Apuração!B:B),0)</f>
        <v>0</v>
      </c>
      <c r="BQ1407" s="53">
        <f ca="1">IF(BK1407&gt;=BO1407,0,_xlfn.XLOOKUP(F1407,Apuração!A:A,Apuração!B:B)*(BO1407 + (1/_xlfn.XLOOKUP(F1407,Apuração!A:A,Apuração!B:B)) - BK1407))</f>
        <v>0</v>
      </c>
      <c r="BR1407" s="85">
        <f t="shared" ref="BR1407:BR1411" ca="1" si="1670">IF(BQ1407=0,0,BQ1407*Z1407)</f>
        <v>0</v>
      </c>
      <c r="BS1407" s="53">
        <f ca="1">IFERROR((_xlfn.XLOOKUP(F1407,Apuração!A:A,Apuração!C:C)+1)/_xlfn.XLOOKUP(F1407,Apuração!A:A,Apuração!B:B),0)</f>
        <v>0.14285714285714285</v>
      </c>
    </row>
    <row r="1408" spans="1:71" ht="25.95" hidden="1" customHeight="1" x14ac:dyDescent="0.3">
      <c r="A1408" s="33" t="s">
        <v>175</v>
      </c>
      <c r="B1408" s="4" t="s">
        <v>187</v>
      </c>
      <c r="C1408" s="5" t="s">
        <v>209</v>
      </c>
      <c r="D1408" s="5" t="s">
        <v>47</v>
      </c>
      <c r="E1408" s="4" t="s">
        <v>96</v>
      </c>
      <c r="F1408" s="4" t="str" cm="1">
        <f t="array" ref="F1408">_xlfn.IFS(
AG1408 &lt;&gt; "", "Jan-Dez/26",
AH1408 &lt;&gt; "", "Fev-Dez/26",
AI1408 &lt;&gt; "", "Mar-Dez/26", AJ1408 &lt;&gt; "", "Abr-Dez/26",
TRUE, "A partir de Junho"
)</f>
        <v>A partir de Junho</v>
      </c>
      <c r="G1408" s="4" t="s">
        <v>62</v>
      </c>
      <c r="H1408" s="7" t="s">
        <v>54</v>
      </c>
      <c r="I1408" s="8" t="s">
        <v>188</v>
      </c>
      <c r="J1408" s="8" t="str" cm="1">
        <f t="array" aca="1" ref="J1408" ca="1">_xlfn.LET(
  _xlpm.actual_value_month, INDEX(T1408:AE1408, MATCH(DATE(YEAR(TODAY()), MONTH(TODAY()), 1), $T$1:$AE$1, 0)),
  IF(_xlpm.actual_value_month &lt;&gt; "", _xlpm.actual_value_month &amp; " ações mensais", "")
)</f>
        <v/>
      </c>
      <c r="K1408" s="8" t="str" cm="1">
        <f t="array" ref="K1408">_xlfn.LET(
    _xlpm.sum_month, SUM(T1408:AE1408),
    IF(_xlpm.sum_month = 0, "", _xlpm.sum_month &amp; " taxa de aderência de treinados.")
)</f>
        <v/>
      </c>
      <c r="L1408" s="9" t="s">
        <v>189</v>
      </c>
      <c r="M1408" s="13">
        <v>1</v>
      </c>
      <c r="N1408" s="5" t="s">
        <v>42</v>
      </c>
      <c r="O1408" s="5" t="s">
        <v>43</v>
      </c>
      <c r="P1408" s="10" t="s">
        <v>146</v>
      </c>
      <c r="Q1408" s="10" t="s">
        <v>44</v>
      </c>
      <c r="R1408" s="11" t="s">
        <v>44</v>
      </c>
      <c r="S1408" s="11" t="s">
        <v>44</v>
      </c>
      <c r="T1408" s="22"/>
      <c r="U1408" s="22"/>
      <c r="V1408" s="22"/>
      <c r="W1408" s="22"/>
      <c r="X1408" s="22"/>
      <c r="Y1408" s="22"/>
      <c r="Z1408" s="22"/>
      <c r="AA1408" s="22"/>
      <c r="AB1408" s="22"/>
      <c r="AC1408" s="22"/>
      <c r="AD1408" s="22"/>
      <c r="AE1408" s="22"/>
      <c r="AG1408" s="71"/>
      <c r="AH1408" s="71"/>
      <c r="AI1408" s="71"/>
      <c r="AJ1408" s="71"/>
      <c r="AK1408" s="71"/>
      <c r="AL1408" s="71"/>
      <c r="AM1408" s="71"/>
      <c r="AN1408" s="71"/>
      <c r="AO1408" s="71"/>
      <c r="AP1408" s="71"/>
      <c r="AQ1408" s="71"/>
      <c r="AR1408" s="71"/>
      <c r="AS1408" s="94" t="str" cm="1">
        <f t="array" ref="AS1408">IFERROR(INDEX(T1408:AE1408,1,MATCH(2,1/(T1408:AE1408&lt;&gt;""))),"")</f>
        <v/>
      </c>
      <c r="AT1408" s="95">
        <f t="shared" si="1668"/>
        <v>0</v>
      </c>
      <c r="AU1408" s="97">
        <f t="shared" si="1669"/>
        <v>0</v>
      </c>
      <c r="AW1408" s="51"/>
      <c r="AX1408" s="51"/>
      <c r="AY1408" s="51"/>
      <c r="AZ1408" s="51"/>
      <c r="BA1408" s="51"/>
      <c r="BB1408" s="51"/>
      <c r="BC1408" s="51"/>
      <c r="BD1408" s="51"/>
      <c r="BE1408" s="51"/>
      <c r="BF1408" s="51"/>
      <c r="BG1408" s="51"/>
      <c r="BH1408" s="51"/>
      <c r="BI1408" s="65" t="str" cm="1">
        <f t="array" ref="BI1408">IFERROR(INDEX(AW1408:BH1408,1,MATCH(2,1/(AW1408:BH1408&lt;&gt;""))),"")</f>
        <v/>
      </c>
      <c r="BJ1408" s="68" t="str" cm="1">
        <f t="array" ref="BJ1408">IF(BM1408 = "", "",IFERROR(INDEX(AW1408:BH1408,1,MATCH(2,1/(AW1408:BH1408&lt;&gt;""),1)-1),""))</f>
        <v/>
      </c>
      <c r="BK1408" s="58" t="str" cm="1">
        <f t="array" ref="BK1408">IFERROR(INDEX(AW1408:BH1408,1,MATCH(2,1/(AW1408:BH1408&lt;&gt;""))),"")</f>
        <v/>
      </c>
      <c r="BL1408" s="58" cm="1">
        <f t="array" aca="1" ref="BL1408" ca="1">IF(SUM(IFERROR(IF(INDEX(AW1408:INDEX(AW1408:BH1408, MATCH(2, 1/(AW1408:BH1408&lt;&gt;""), 1)-1), ROW(INDIRECT("1:" &amp; MATCH(2, 1/(AW1408:BH1408&lt;&gt;""), 1)-1))) &gt;= 115%, 115%, INDEX(AW1408:INDEX(AW1408:BH1408, MATCH(2, 1/(AW1408:BH1408&lt;&gt;""), 1)-1), ROW(INDIRECT("1:" &amp; MATCH(2, 1/(AW1408:BH1408&lt;&gt;""), 1)-1)))), 0))/_xlfn.XLOOKUP(F1408,Apuração!A:A,Apuração!B:B)&gt;=1.15,1.15,SUM(IFERROR(IF(INDEX(AW1408:INDEX(AW1408:BH1408, MATCH(2, 1/(AW1408:BH1408&lt;&gt;""), 1)-1), ROW(INDIRECT("1:" &amp; MATCH(2, 1/(AW1408:BH1408&lt;&gt;""), 1)-1))) &gt;= 115%, 115%, INDEX(AW1408:INDEX(AW1408:BH1408, MATCH(2, 1/(AW1408:BH1408&lt;&gt;""), 1)-1), ROW(INDIRECT("1:" &amp; MATCH(2, 1/(AW1408:BH1408&lt;&gt;""), 1)-1)))), 0))/_xlfn.XLOOKUP(F1408,Apuração!A:A,Apuração!B:B))</f>
        <v>0</v>
      </c>
      <c r="BM1408" s="55" t="str" cm="1">
        <f t="array" ref="BM1408">IFERROR(
   INDEX($AW$1:$BH$1,
      _xlfn.AGGREGATE(14, 6, COLUMN($AW$1:$BH$1)/(AW1408:BH1408&lt;&gt;""), 2) - COLUMN($AW$1) + 1
   ),
"")</f>
        <v/>
      </c>
      <c r="BN1408" s="55" t="str" cm="1">
        <f t="array" ref="BN1408">IFERROR(INDEX($AW$1:$BH$1,1,MATCH(2,1/(AW1408:BH1408&lt;&gt;""))),"")</f>
        <v/>
      </c>
      <c r="BO1408" s="53">
        <f ca="1">IFERROR(_xlfn.XLOOKUP(F1408,Apuração!A:A,Apuração!C:C)/_xlfn.XLOOKUP(F1408,Apuração!A:A,Apuração!B:B),0)</f>
        <v>0</v>
      </c>
      <c r="BP1408" s="53">
        <f ca="1">IFERROR(_xlfn.XLOOKUP(F1408,Apuração!A:A,Apuração!D:D)/_xlfn.XLOOKUP(F1408,Apuração!A:A,Apuração!B:B),0)</f>
        <v>0</v>
      </c>
      <c r="BQ1408" s="53">
        <f ca="1">IF(BK1408&gt;=BO1408,0,_xlfn.XLOOKUP(F1408,Apuração!A:A,Apuração!B:B)*(BO1408 + (1/_xlfn.XLOOKUP(F1408,Apuração!A:A,Apuração!B:B)) - BK1408))</f>
        <v>0</v>
      </c>
      <c r="BR1408" s="85">
        <f t="shared" ca="1" si="1670"/>
        <v>0</v>
      </c>
      <c r="BS1408" s="53">
        <f ca="1">IFERROR((_xlfn.XLOOKUP(F1408,Apuração!A:A,Apuração!C:C)+1)/_xlfn.XLOOKUP(F1408,Apuração!A:A,Apuração!B:B),0)</f>
        <v>0.14285714285714285</v>
      </c>
    </row>
    <row r="1409" spans="1:71" ht="25.95" hidden="1" customHeight="1" x14ac:dyDescent="0.3">
      <c r="A1409" s="33" t="s">
        <v>175</v>
      </c>
      <c r="B1409" s="4" t="s">
        <v>187</v>
      </c>
      <c r="C1409" s="5" t="s">
        <v>209</v>
      </c>
      <c r="D1409" s="5" t="s">
        <v>211</v>
      </c>
      <c r="E1409" s="4" t="s">
        <v>96</v>
      </c>
      <c r="F1409" s="4" t="str" cm="1">
        <f t="array" ref="F1409">_xlfn.IFS(
AG1409 &lt;&gt; "", "Jan-Dez/26",
AH1409 &lt;&gt; "", "Fev-Dez/26",
AI1409 &lt;&gt; "", "Mar-Dez/26", AJ1409 &lt;&gt; "", "Abr-Dez/26",
TRUE, "A partir de Junho"
)</f>
        <v>A partir de Junho</v>
      </c>
      <c r="G1409" s="4" t="s">
        <v>62</v>
      </c>
      <c r="H1409" s="7" t="s">
        <v>54</v>
      </c>
      <c r="I1409" s="8" t="s">
        <v>188</v>
      </c>
      <c r="J1409" s="8" t="str" cm="1">
        <f t="array" aca="1" ref="J1409" ca="1">_xlfn.LET(
  _xlpm.actual_value_month, INDEX(T1409:AE1409, MATCH(DATE(YEAR(TODAY()), MONTH(TODAY()), 1), $T$1:$AE$1, 0)),
  IF(_xlpm.actual_value_month &lt;&gt; "", _xlpm.actual_value_month &amp; " ações mensais", "")
)</f>
        <v/>
      </c>
      <c r="K1409" s="8" t="str" cm="1">
        <f t="array" ref="K1409">_xlfn.LET(
    _xlpm.sum_month, SUM(T1409:AE1409),
    IF(_xlpm.sum_month = 0, "", _xlpm.sum_month &amp; " taxa de aderência de treinados.")
)</f>
        <v/>
      </c>
      <c r="L1409" s="9" t="s">
        <v>189</v>
      </c>
      <c r="M1409" s="13">
        <v>1</v>
      </c>
      <c r="N1409" s="5" t="s">
        <v>42</v>
      </c>
      <c r="O1409" s="5" t="s">
        <v>43</v>
      </c>
      <c r="P1409" s="10" t="s">
        <v>146</v>
      </c>
      <c r="Q1409" s="10" t="s">
        <v>44</v>
      </c>
      <c r="R1409" s="11" t="s">
        <v>44</v>
      </c>
      <c r="S1409" s="11" t="s">
        <v>44</v>
      </c>
      <c r="T1409" s="22"/>
      <c r="U1409" s="22"/>
      <c r="V1409" s="22"/>
      <c r="W1409" s="22"/>
      <c r="X1409" s="22"/>
      <c r="Y1409" s="22"/>
      <c r="Z1409" s="22"/>
      <c r="AA1409" s="22"/>
      <c r="AB1409" s="22"/>
      <c r="AC1409" s="22"/>
      <c r="AD1409" s="22"/>
      <c r="AE1409" s="22"/>
      <c r="AG1409" s="71"/>
      <c r="AH1409" s="71"/>
      <c r="AI1409" s="71"/>
      <c r="AJ1409" s="71"/>
      <c r="AK1409" s="71"/>
      <c r="AL1409" s="71"/>
      <c r="AM1409" s="71"/>
      <c r="AN1409" s="71"/>
      <c r="AO1409" s="71"/>
      <c r="AP1409" s="71"/>
      <c r="AQ1409" s="71"/>
      <c r="AR1409" s="71"/>
      <c r="AS1409" s="94" t="str" cm="1">
        <f t="array" ref="AS1409">IFERROR(INDEX(T1409:AE1409,1,MATCH(2,1/(T1409:AE1409&lt;&gt;""))),"")</f>
        <v/>
      </c>
      <c r="AT1409" s="95">
        <f t="shared" si="1668"/>
        <v>0</v>
      </c>
      <c r="AU1409" s="97">
        <f t="shared" si="1669"/>
        <v>0</v>
      </c>
      <c r="AW1409" s="51"/>
      <c r="AX1409" s="51"/>
      <c r="AY1409" s="51"/>
      <c r="AZ1409" s="51"/>
      <c r="BA1409" s="51"/>
      <c r="BB1409" s="51"/>
      <c r="BC1409" s="51"/>
      <c r="BD1409" s="51"/>
      <c r="BE1409" s="51"/>
      <c r="BF1409" s="51"/>
      <c r="BG1409" s="51"/>
      <c r="BH1409" s="51"/>
      <c r="BI1409" s="65" t="str" cm="1">
        <f t="array" ref="BI1409">IFERROR(INDEX(AW1409:BH1409,1,MATCH(2,1/(AW1409:BH1409&lt;&gt;""))),"")</f>
        <v/>
      </c>
      <c r="BJ1409" s="68" t="str" cm="1">
        <f t="array" ref="BJ1409">IF(BM1409 = "", "",IFERROR(INDEX(AW1409:BH1409,1,MATCH(2,1/(AW1409:BH1409&lt;&gt;""),1)-1),""))</f>
        <v/>
      </c>
      <c r="BK1409" s="58" t="str" cm="1">
        <f t="array" ref="BK1409">IFERROR(INDEX(AW1409:BH1409,1,MATCH(2,1/(AW1409:BH1409&lt;&gt;""))),"")</f>
        <v/>
      </c>
      <c r="BL1409" s="58" cm="1">
        <f t="array" aca="1" ref="BL1409" ca="1">IF(SUM(IFERROR(IF(INDEX(AW1409:INDEX(AW1409:BH1409, MATCH(2, 1/(AW1409:BH1409&lt;&gt;""), 1)-1), ROW(INDIRECT("1:" &amp; MATCH(2, 1/(AW1409:BH1409&lt;&gt;""), 1)-1))) &gt;= 115%, 115%, INDEX(AW1409:INDEX(AW1409:BH1409, MATCH(2, 1/(AW1409:BH1409&lt;&gt;""), 1)-1), ROW(INDIRECT("1:" &amp; MATCH(2, 1/(AW1409:BH1409&lt;&gt;""), 1)-1)))), 0))/_xlfn.XLOOKUP(F1409,Apuração!A:A,Apuração!B:B)&gt;=1.15,1.15,SUM(IFERROR(IF(INDEX(AW1409:INDEX(AW1409:BH1409, MATCH(2, 1/(AW1409:BH1409&lt;&gt;""), 1)-1), ROW(INDIRECT("1:" &amp; MATCH(2, 1/(AW1409:BH1409&lt;&gt;""), 1)-1))) &gt;= 115%, 115%, INDEX(AW1409:INDEX(AW1409:BH1409, MATCH(2, 1/(AW1409:BH1409&lt;&gt;""), 1)-1), ROW(INDIRECT("1:" &amp; MATCH(2, 1/(AW1409:BH1409&lt;&gt;""), 1)-1)))), 0))/_xlfn.XLOOKUP(F1409,Apuração!A:A,Apuração!B:B))</f>
        <v>0</v>
      </c>
      <c r="BM1409" s="55" t="str" cm="1">
        <f t="array" ref="BM1409">IFERROR(
   INDEX($AW$1:$BH$1,
      _xlfn.AGGREGATE(14, 6, COLUMN($AW$1:$BH$1)/(AW1409:BH1409&lt;&gt;""), 2) - COLUMN($AW$1) + 1
   ),
"")</f>
        <v/>
      </c>
      <c r="BN1409" s="55" t="str" cm="1">
        <f t="array" ref="BN1409">IFERROR(INDEX($AW$1:$BH$1,1,MATCH(2,1/(AW1409:BH1409&lt;&gt;""))),"")</f>
        <v/>
      </c>
      <c r="BO1409" s="53">
        <f ca="1">IFERROR(_xlfn.XLOOKUP(F1409,Apuração!A:A,Apuração!C:C)/_xlfn.XLOOKUP(F1409,Apuração!A:A,Apuração!B:B),0)</f>
        <v>0</v>
      </c>
      <c r="BP1409" s="53">
        <f ca="1">IFERROR(_xlfn.XLOOKUP(F1409,Apuração!A:A,Apuração!D:D)/_xlfn.XLOOKUP(F1409,Apuração!A:A,Apuração!B:B),0)</f>
        <v>0</v>
      </c>
      <c r="BQ1409" s="53">
        <f ca="1">IF(BK1409&gt;=BO1409,0,_xlfn.XLOOKUP(F1409,Apuração!A:A,Apuração!B:B)*(BO1409 + (1/_xlfn.XLOOKUP(F1409,Apuração!A:A,Apuração!B:B)) - BK1409))</f>
        <v>0</v>
      </c>
      <c r="BR1409" s="85">
        <f t="shared" ca="1" si="1670"/>
        <v>0</v>
      </c>
      <c r="BS1409" s="53">
        <f ca="1">IFERROR((_xlfn.XLOOKUP(F1409,Apuração!A:A,Apuração!C:C)+1)/_xlfn.XLOOKUP(F1409,Apuração!A:A,Apuração!B:B),0)</f>
        <v>0.14285714285714285</v>
      </c>
    </row>
    <row r="1410" spans="1:71" ht="25.95" hidden="1" customHeight="1" x14ac:dyDescent="0.3">
      <c r="A1410" s="33" t="s">
        <v>175</v>
      </c>
      <c r="B1410" s="4" t="s">
        <v>187</v>
      </c>
      <c r="C1410" s="5" t="s">
        <v>209</v>
      </c>
      <c r="D1410" s="5" t="s">
        <v>212</v>
      </c>
      <c r="E1410" s="4" t="s">
        <v>96</v>
      </c>
      <c r="F1410" s="4" t="str" cm="1">
        <f t="array" ref="F1410">_xlfn.IFS(
AG1410 &lt;&gt; "", "Jan-Dez/26",
AH1410 &lt;&gt; "", "Fev-Dez/26",
AI1410 &lt;&gt; "", "Mar-Dez/26", AJ1410 &lt;&gt; "", "Abr-Dez/26",
TRUE, "A partir de Junho"
)</f>
        <v>A partir de Junho</v>
      </c>
      <c r="G1410" s="4" t="s">
        <v>62</v>
      </c>
      <c r="H1410" s="7" t="s">
        <v>54</v>
      </c>
      <c r="I1410" s="8" t="s">
        <v>188</v>
      </c>
      <c r="J1410" s="8" t="str" cm="1">
        <f t="array" aca="1" ref="J1410" ca="1">_xlfn.LET(
  _xlpm.actual_value_month, INDEX(T1410:AE1410, MATCH(DATE(YEAR(TODAY()), MONTH(TODAY()), 1), $T$1:$AE$1, 0)),
  IF(_xlpm.actual_value_month &lt;&gt; "", _xlpm.actual_value_month &amp; " ações mensais", "")
)</f>
        <v/>
      </c>
      <c r="K1410" s="8" t="str" cm="1">
        <f t="array" ref="K1410">_xlfn.LET(
    _xlpm.sum_month, SUM(T1410:AE1410),
    IF(_xlpm.sum_month = 0, "", _xlpm.sum_month &amp; " taxa de aderência de treinados.")
)</f>
        <v/>
      </c>
      <c r="L1410" s="9" t="s">
        <v>189</v>
      </c>
      <c r="M1410" s="13">
        <v>1</v>
      </c>
      <c r="N1410" s="5" t="s">
        <v>42</v>
      </c>
      <c r="O1410" s="5" t="s">
        <v>43</v>
      </c>
      <c r="P1410" s="10" t="s">
        <v>146</v>
      </c>
      <c r="Q1410" s="10" t="s">
        <v>44</v>
      </c>
      <c r="R1410" s="11" t="s">
        <v>44</v>
      </c>
      <c r="S1410" s="11" t="s">
        <v>44</v>
      </c>
      <c r="T1410" s="22"/>
      <c r="U1410" s="22"/>
      <c r="V1410" s="22"/>
      <c r="W1410" s="22"/>
      <c r="X1410" s="22"/>
      <c r="Y1410" s="22"/>
      <c r="Z1410" s="22"/>
      <c r="AA1410" s="22"/>
      <c r="AB1410" s="22"/>
      <c r="AC1410" s="22"/>
      <c r="AD1410" s="22"/>
      <c r="AE1410" s="22"/>
      <c r="AG1410" s="71"/>
      <c r="AH1410" s="71"/>
      <c r="AI1410" s="71"/>
      <c r="AJ1410" s="71"/>
      <c r="AK1410" s="71"/>
      <c r="AL1410" s="71"/>
      <c r="AM1410" s="71"/>
      <c r="AN1410" s="71"/>
      <c r="AO1410" s="71"/>
      <c r="AP1410" s="71"/>
      <c r="AQ1410" s="71"/>
      <c r="AR1410" s="71"/>
      <c r="AS1410" s="94" t="str" cm="1">
        <f t="array" ref="AS1410">IFERROR(INDEX(T1410:AE1410,1,MATCH(2,1/(T1410:AE1410&lt;&gt;""))),"")</f>
        <v/>
      </c>
      <c r="AT1410" s="95">
        <f t="shared" si="1668"/>
        <v>0</v>
      </c>
      <c r="AU1410" s="97">
        <f t="shared" si="1669"/>
        <v>0</v>
      </c>
      <c r="AW1410" s="51"/>
      <c r="AX1410" s="51"/>
      <c r="AY1410" s="51"/>
      <c r="AZ1410" s="51"/>
      <c r="BA1410" s="51"/>
      <c r="BB1410" s="51"/>
      <c r="BC1410" s="51"/>
      <c r="BD1410" s="51"/>
      <c r="BE1410" s="51"/>
      <c r="BF1410" s="51"/>
      <c r="BG1410" s="51"/>
      <c r="BH1410" s="51"/>
      <c r="BI1410" s="65" t="str" cm="1">
        <f t="array" ref="BI1410">IFERROR(INDEX(AW1410:BH1410,1,MATCH(2,1/(AW1410:BH1410&lt;&gt;""))),"")</f>
        <v/>
      </c>
      <c r="BJ1410" s="68" t="str" cm="1">
        <f t="array" ref="BJ1410">IF(BM1410 = "", "",IFERROR(INDEX(AW1410:BH1410,1,MATCH(2,1/(AW1410:BH1410&lt;&gt;""),1)-1),""))</f>
        <v/>
      </c>
      <c r="BK1410" s="58" t="str" cm="1">
        <f t="array" ref="BK1410">IFERROR(INDEX(AW1410:BH1410,1,MATCH(2,1/(AW1410:BH1410&lt;&gt;""))),"")</f>
        <v/>
      </c>
      <c r="BL1410" s="58" cm="1">
        <f t="array" aca="1" ref="BL1410" ca="1">IF(SUM(IFERROR(IF(INDEX(AW1410:INDEX(AW1410:BH1410, MATCH(2, 1/(AW1410:BH1410&lt;&gt;""), 1)-1), ROW(INDIRECT("1:" &amp; MATCH(2, 1/(AW1410:BH1410&lt;&gt;""), 1)-1))) &gt;= 115%, 115%, INDEX(AW1410:INDEX(AW1410:BH1410, MATCH(2, 1/(AW1410:BH1410&lt;&gt;""), 1)-1), ROW(INDIRECT("1:" &amp; MATCH(2, 1/(AW1410:BH1410&lt;&gt;""), 1)-1)))), 0))/_xlfn.XLOOKUP(F1410,Apuração!A:A,Apuração!B:B)&gt;=1.15,1.15,SUM(IFERROR(IF(INDEX(AW1410:INDEX(AW1410:BH1410, MATCH(2, 1/(AW1410:BH1410&lt;&gt;""), 1)-1), ROW(INDIRECT("1:" &amp; MATCH(2, 1/(AW1410:BH1410&lt;&gt;""), 1)-1))) &gt;= 115%, 115%, INDEX(AW1410:INDEX(AW1410:BH1410, MATCH(2, 1/(AW1410:BH1410&lt;&gt;""), 1)-1), ROW(INDIRECT("1:" &amp; MATCH(2, 1/(AW1410:BH1410&lt;&gt;""), 1)-1)))), 0))/_xlfn.XLOOKUP(F1410,Apuração!A:A,Apuração!B:B))</f>
        <v>0</v>
      </c>
      <c r="BM1410" s="55" t="str" cm="1">
        <f t="array" ref="BM1410">IFERROR(
   INDEX($AW$1:$BH$1,
      _xlfn.AGGREGATE(14, 6, COLUMN($AW$1:$BH$1)/(AW1410:BH1410&lt;&gt;""), 2) - COLUMN($AW$1) + 1
   ),
"")</f>
        <v/>
      </c>
      <c r="BN1410" s="55" t="str" cm="1">
        <f t="array" ref="BN1410">IFERROR(INDEX($AW$1:$BH$1,1,MATCH(2,1/(AW1410:BH1410&lt;&gt;""))),"")</f>
        <v/>
      </c>
      <c r="BO1410" s="53">
        <f ca="1">IFERROR(_xlfn.XLOOKUP(F1410,Apuração!A:A,Apuração!C:C)/_xlfn.XLOOKUP(F1410,Apuração!A:A,Apuração!B:B),0)</f>
        <v>0</v>
      </c>
      <c r="BP1410" s="53">
        <f ca="1">IFERROR(_xlfn.XLOOKUP(F1410,Apuração!A:A,Apuração!D:D)/_xlfn.XLOOKUP(F1410,Apuração!A:A,Apuração!B:B),0)</f>
        <v>0</v>
      </c>
      <c r="BQ1410" s="53">
        <f ca="1">IF(BK1410&gt;=BO1410,0,_xlfn.XLOOKUP(F1410,Apuração!A:A,Apuração!B:B)*(BO1410 + (1/_xlfn.XLOOKUP(F1410,Apuração!A:A,Apuração!B:B)) - BK1410))</f>
        <v>0</v>
      </c>
      <c r="BR1410" s="85">
        <f t="shared" ca="1" si="1670"/>
        <v>0</v>
      </c>
      <c r="BS1410" s="53">
        <f ca="1">IFERROR((_xlfn.XLOOKUP(F1410,Apuração!A:A,Apuração!C:C)+1)/_xlfn.XLOOKUP(F1410,Apuração!A:A,Apuração!B:B),0)</f>
        <v>0.14285714285714285</v>
      </c>
    </row>
    <row r="1411" spans="1:71" ht="25.95" hidden="1" customHeight="1" x14ac:dyDescent="0.3">
      <c r="A1411" s="33" t="s">
        <v>175</v>
      </c>
      <c r="B1411" s="4" t="s">
        <v>187</v>
      </c>
      <c r="C1411" s="5" t="s">
        <v>209</v>
      </c>
      <c r="D1411" s="5" t="s">
        <v>213</v>
      </c>
      <c r="E1411" s="4" t="s">
        <v>96</v>
      </c>
      <c r="F1411" s="4" t="str" cm="1">
        <f t="array" ref="F1411">_xlfn.IFS(
AG1411 &lt;&gt; "", "Jan-Dez/26",
AH1411 &lt;&gt; "", "Fev-Dez/26",
AI1411 &lt;&gt; "", "Mar-Dez/26", AJ1411 &lt;&gt; "", "Abr-Dez/26",
TRUE, "A partir de Junho"
)</f>
        <v>A partir de Junho</v>
      </c>
      <c r="G1411" s="4" t="s">
        <v>62</v>
      </c>
      <c r="H1411" s="7" t="s">
        <v>54</v>
      </c>
      <c r="I1411" s="8" t="s">
        <v>188</v>
      </c>
      <c r="J1411" s="8" t="str" cm="1">
        <f t="array" aca="1" ref="J1411" ca="1">_xlfn.LET(
  _xlpm.actual_value_month, INDEX(T1411:AE1411, MATCH(DATE(YEAR(TODAY()), MONTH(TODAY()), 1), $T$1:$AE$1, 0)),
  IF(_xlpm.actual_value_month &lt;&gt; "", _xlpm.actual_value_month &amp; " ações mensais", "")
)</f>
        <v/>
      </c>
      <c r="K1411" s="8" t="str" cm="1">
        <f t="array" ref="K1411">_xlfn.LET(
    _xlpm.sum_month, SUM(T1411:AE1411),
    IF(_xlpm.sum_month = 0, "", _xlpm.sum_month &amp; " taxa de aderência de treinados.")
)</f>
        <v/>
      </c>
      <c r="L1411" s="9" t="s">
        <v>189</v>
      </c>
      <c r="M1411" s="13">
        <v>1</v>
      </c>
      <c r="N1411" s="5" t="s">
        <v>42</v>
      </c>
      <c r="O1411" s="5" t="s">
        <v>43</v>
      </c>
      <c r="P1411" s="10" t="s">
        <v>146</v>
      </c>
      <c r="Q1411" s="10" t="s">
        <v>44</v>
      </c>
      <c r="R1411" s="11" t="s">
        <v>44</v>
      </c>
      <c r="S1411" s="11" t="s">
        <v>44</v>
      </c>
      <c r="T1411" s="22"/>
      <c r="U1411" s="22"/>
      <c r="V1411" s="22"/>
      <c r="W1411" s="22"/>
      <c r="X1411" s="22"/>
      <c r="Y1411" s="22"/>
      <c r="Z1411" s="22"/>
      <c r="AA1411" s="22"/>
      <c r="AB1411" s="22"/>
      <c r="AC1411" s="22"/>
      <c r="AD1411" s="22"/>
      <c r="AE1411" s="22"/>
      <c r="AG1411" s="71"/>
      <c r="AH1411" s="71"/>
      <c r="AI1411" s="71"/>
      <c r="AJ1411" s="71"/>
      <c r="AK1411" s="71"/>
      <c r="AL1411" s="71"/>
      <c r="AM1411" s="71"/>
      <c r="AN1411" s="71"/>
      <c r="AO1411" s="71"/>
      <c r="AP1411" s="71"/>
      <c r="AQ1411" s="71"/>
      <c r="AR1411" s="71"/>
      <c r="AS1411" s="94" t="str" cm="1">
        <f t="array" ref="AS1411">IFERROR(INDEX(T1411:AE1411,1,MATCH(2,1/(T1411:AE1411&lt;&gt;""))),"")</f>
        <v/>
      </c>
      <c r="AT1411" s="95">
        <f t="shared" si="1668"/>
        <v>0</v>
      </c>
      <c r="AU1411" s="97">
        <f t="shared" si="1669"/>
        <v>0</v>
      </c>
      <c r="AW1411" s="51"/>
      <c r="AX1411" s="51"/>
      <c r="AY1411" s="51"/>
      <c r="AZ1411" s="51"/>
      <c r="BA1411" s="51"/>
      <c r="BB1411" s="51"/>
      <c r="BC1411" s="51"/>
      <c r="BD1411" s="51"/>
      <c r="BE1411" s="51"/>
      <c r="BF1411" s="51"/>
      <c r="BG1411" s="51"/>
      <c r="BH1411" s="51"/>
      <c r="BI1411" s="65" t="str" cm="1">
        <f t="array" ref="BI1411">IFERROR(INDEX(AW1411:BH1411,1,MATCH(2,1/(AW1411:BH1411&lt;&gt;""))),"")</f>
        <v/>
      </c>
      <c r="BJ1411" s="68" t="str" cm="1">
        <f t="array" ref="BJ1411">IF(BM1411 = "", "",IFERROR(INDEX(AW1411:BH1411,1,MATCH(2,1/(AW1411:BH1411&lt;&gt;""),1)-1),""))</f>
        <v/>
      </c>
      <c r="BK1411" s="58" t="str" cm="1">
        <f t="array" ref="BK1411">IFERROR(INDEX(AW1411:BH1411,1,MATCH(2,1/(AW1411:BH1411&lt;&gt;""))),"")</f>
        <v/>
      </c>
      <c r="BL1411" s="58" cm="1">
        <f t="array" aca="1" ref="BL1411" ca="1">IF(SUM(IFERROR(IF(INDEX(AW1411:INDEX(AW1411:BH1411, MATCH(2, 1/(AW1411:BH1411&lt;&gt;""), 1)-1), ROW(INDIRECT("1:" &amp; MATCH(2, 1/(AW1411:BH1411&lt;&gt;""), 1)-1))) &gt;= 115%, 115%, INDEX(AW1411:INDEX(AW1411:BH1411, MATCH(2, 1/(AW1411:BH1411&lt;&gt;""), 1)-1), ROW(INDIRECT("1:" &amp; MATCH(2, 1/(AW1411:BH1411&lt;&gt;""), 1)-1)))), 0))/_xlfn.XLOOKUP(F1411,Apuração!A:A,Apuração!B:B)&gt;=1.15,1.15,SUM(IFERROR(IF(INDEX(AW1411:INDEX(AW1411:BH1411, MATCH(2, 1/(AW1411:BH1411&lt;&gt;""), 1)-1), ROW(INDIRECT("1:" &amp; MATCH(2, 1/(AW1411:BH1411&lt;&gt;""), 1)-1))) &gt;= 115%, 115%, INDEX(AW1411:INDEX(AW1411:BH1411, MATCH(2, 1/(AW1411:BH1411&lt;&gt;""), 1)-1), ROW(INDIRECT("1:" &amp; MATCH(2, 1/(AW1411:BH1411&lt;&gt;""), 1)-1)))), 0))/_xlfn.XLOOKUP(F1411,Apuração!A:A,Apuração!B:B))</f>
        <v>0</v>
      </c>
      <c r="BM1411" s="55" t="str" cm="1">
        <f t="array" ref="BM1411">IFERROR(
   INDEX($AW$1:$BH$1,
      _xlfn.AGGREGATE(14, 6, COLUMN($AW$1:$BH$1)/(AW1411:BH1411&lt;&gt;""), 2) - COLUMN($AW$1) + 1
   ),
"")</f>
        <v/>
      </c>
      <c r="BN1411" s="55" t="str" cm="1">
        <f t="array" ref="BN1411">IFERROR(INDEX($AW$1:$BH$1,1,MATCH(2,1/(AW1411:BH1411&lt;&gt;""))),"")</f>
        <v/>
      </c>
      <c r="BO1411" s="53">
        <f ca="1">IFERROR(_xlfn.XLOOKUP(F1411,Apuração!A:A,Apuração!C:C)/_xlfn.XLOOKUP(F1411,Apuração!A:A,Apuração!B:B),0)</f>
        <v>0</v>
      </c>
      <c r="BP1411" s="53">
        <f ca="1">IFERROR(_xlfn.XLOOKUP(F1411,Apuração!A:A,Apuração!D:D)/_xlfn.XLOOKUP(F1411,Apuração!A:A,Apuração!B:B),0)</f>
        <v>0</v>
      </c>
      <c r="BQ1411" s="53">
        <f ca="1">IF(BK1411&gt;=BO1411,0,_xlfn.XLOOKUP(F1411,Apuração!A:A,Apuração!B:B)*(BO1411 + (1/_xlfn.XLOOKUP(F1411,Apuração!A:A,Apuração!B:B)) - BK1411))</f>
        <v>0</v>
      </c>
      <c r="BR1411" s="85">
        <f t="shared" ca="1" si="1670"/>
        <v>0</v>
      </c>
      <c r="BS1411" s="53">
        <f ca="1">IFERROR((_xlfn.XLOOKUP(F1411,Apuração!A:A,Apuração!C:C)+1)/_xlfn.XLOOKUP(F1411,Apuração!A:A,Apuração!B:B),0)</f>
        <v>0.14285714285714285</v>
      </c>
    </row>
    <row r="1412" spans="1:71" ht="25.95" hidden="1" customHeight="1" x14ac:dyDescent="0.3">
      <c r="A1412" s="44" t="s">
        <v>175</v>
      </c>
      <c r="B1412" s="4" t="s">
        <v>187</v>
      </c>
      <c r="C1412" s="5" t="s">
        <v>209</v>
      </c>
      <c r="D1412" s="5" t="s">
        <v>36</v>
      </c>
      <c r="E1412" s="4" t="s">
        <v>96</v>
      </c>
      <c r="F1412" s="4" t="str" cm="1">
        <f t="array" ref="F1412">_xlfn.IFS(
AG1412 &lt;&gt; "", "Jan-Dez/26",
AH1412 &lt;&gt; "", "Fev-Dez/26",
AI1412 &lt;&gt; "", "Mar-Dez/26", AJ1412 &lt;&gt; "", "Abr-Dez/26",
TRUE, "A partir de Junho"
)</f>
        <v>A partir de Junho</v>
      </c>
      <c r="G1412" s="4" t="s">
        <v>62</v>
      </c>
      <c r="H1412" s="7" t="s">
        <v>54</v>
      </c>
      <c r="I1412" s="21" t="s">
        <v>190</v>
      </c>
      <c r="J1412" s="8" t="str" cm="1">
        <f t="array" aca="1" ref="J1412" ca="1">_xlfn.LET(
  _xlpm.actual_value_month, INDEX(T1412:AE1412, MATCH(DATE(YEAR(TODAY()), MONTH(TODAY()), 1), $T$1:$AE$1, 0)),
  IF(_xlpm.actual_value_month &lt;&gt; "", _xlpm.actual_value_month &amp; " ações mensais", "")
)</f>
        <v/>
      </c>
      <c r="K1412" s="8" t="str" cm="1">
        <f t="array" ref="K1412">_xlfn.LET(
    _xlpm.sum_month, SUM(T1412:AE1412),
    IF(_xlpm.sum_month = 0, "", _xlpm.sum_month &amp; " treinados não mapeados.")
)</f>
        <v/>
      </c>
      <c r="L1412" s="9" t="s">
        <v>191</v>
      </c>
      <c r="M1412" s="13">
        <v>1</v>
      </c>
      <c r="N1412" s="5" t="s">
        <v>51</v>
      </c>
      <c r="O1412" s="5" t="s">
        <v>52</v>
      </c>
      <c r="P1412" s="10" t="s">
        <v>146</v>
      </c>
      <c r="Q1412" s="10" t="s">
        <v>44</v>
      </c>
      <c r="R1412" s="11" t="s">
        <v>44</v>
      </c>
      <c r="S1412" s="11" t="s">
        <v>44</v>
      </c>
      <c r="T1412" s="22"/>
      <c r="U1412" s="22"/>
      <c r="V1412" s="22"/>
      <c r="W1412" s="22"/>
      <c r="X1412" s="22"/>
      <c r="Y1412" s="22"/>
      <c r="Z1412" s="22"/>
      <c r="AA1412" s="22"/>
      <c r="AB1412" s="22"/>
      <c r="AC1412" s="22"/>
      <c r="AD1412" s="22"/>
      <c r="AE1412" s="22"/>
      <c r="AG1412" s="71"/>
      <c r="AH1412" s="71"/>
      <c r="AI1412" s="71"/>
      <c r="AJ1412" s="71"/>
      <c r="AK1412" s="71"/>
      <c r="AL1412" s="71"/>
      <c r="AM1412" s="71"/>
      <c r="AN1412" s="71"/>
      <c r="AO1412" s="71"/>
      <c r="AP1412" s="71"/>
      <c r="AQ1412" s="71"/>
      <c r="AR1412" s="71"/>
      <c r="AS1412" s="94" t="str" cm="1">
        <f t="array" ref="AS1412">IFERROR(INDEX(T1412:AE1412,1,MATCH(2,1/(T1412:AE1412&lt;&gt;""))),"")</f>
        <v/>
      </c>
      <c r="AT1412" s="95">
        <f>AN1412</f>
        <v>0</v>
      </c>
      <c r="AU1412" s="97">
        <f>AT1412</f>
        <v>0</v>
      </c>
      <c r="AW1412" s="52">
        <f>AG1412</f>
        <v>0</v>
      </c>
      <c r="AX1412" s="52"/>
      <c r="AY1412" s="52"/>
      <c r="AZ1412" s="52"/>
      <c r="BA1412" s="52"/>
      <c r="BB1412" s="52"/>
      <c r="BC1412" s="52"/>
      <c r="BD1412" s="52"/>
      <c r="BE1412" s="52"/>
      <c r="BF1412" s="52"/>
      <c r="BG1412" s="52"/>
      <c r="BH1412" s="52"/>
      <c r="BI1412" s="68" cm="1">
        <f t="array" ref="BI1412">IFERROR(INDEX(AW1412:BH1412,1,MATCH(2,1/(AW1412:BH1412&lt;&gt;""))),"")</f>
        <v>0</v>
      </c>
      <c r="BJ1412" s="68" t="str" cm="1">
        <f t="array" ref="BJ1412">IF(BM1412 = "", "",IFERROR(INDEX(AW1412:BH1412,1,MATCH(2,1/(AW1412:BH1412&lt;&gt;""),1)-1),""))</f>
        <v/>
      </c>
      <c r="BK1412" s="59">
        <f>SUM(AW1412:BH1412)</f>
        <v>0</v>
      </c>
      <c r="BL1412" s="59">
        <f>SUM(AW1412:BE1412)</f>
        <v>0</v>
      </c>
      <c r="BM1412" s="55" t="str" cm="1">
        <f t="array" ref="BM1412">IFERROR(
   INDEX($AW$1:$BH$1,
      _xlfn.AGGREGATE(14, 6, COLUMN($AW$1:$BH$1)/(AW1412:BH1412&lt;&gt;""), 2) - COLUMN($AW$1) + 1
   ),
"")</f>
        <v/>
      </c>
      <c r="BN1412" s="55" cm="1">
        <f t="array" ref="BN1412">IFERROR(INDEX($AW$1:$BH$1,1,MATCH(2,1/(AW1412:BH1412&lt;&gt;""))),"")</f>
        <v>46023</v>
      </c>
      <c r="BO1412" s="53">
        <f ca="1">IFERROR(_xlfn.XLOOKUP(F1412,Apuração!A:A,Apuração!C:C)/_xlfn.XLOOKUP(F1412,Apuração!A:A,Apuração!B:B),0)</f>
        <v>0</v>
      </c>
      <c r="BP1412" s="53">
        <f ca="1">IFERROR(_xlfn.XLOOKUP(F1412,Apuração!A:A,Apuração!D:D)/_xlfn.XLOOKUP(F1412,Apuração!A:A,Apuração!B:B),0)</f>
        <v>0</v>
      </c>
      <c r="BQ1412" s="53">
        <f ca="1">IF(BK1412&gt;=BO1412,0,_xlfn.XLOOKUP(F1412,Apuração!A:A,Apuração!B:B)*(BO1412 + (1/_xlfn.XLOOKUP(F1412,Apuração!A:A,Apuração!B:B)) - BK1412))</f>
        <v>0</v>
      </c>
      <c r="BR1412" s="85">
        <f ca="1">IF(BQ1412=0,0,BQ1412*Z1412)</f>
        <v>0</v>
      </c>
      <c r="BS1412" s="53">
        <f ca="1">IFERROR((_xlfn.XLOOKUP(F1412,Apuração!A:A,Apuração!C:C)+1)/_xlfn.XLOOKUP(F1412,Apuração!A:A,Apuração!B:B),0)</f>
        <v>0.14285714285714285</v>
      </c>
    </row>
    <row r="1413" spans="1:71" ht="25.95" hidden="1" customHeight="1" x14ac:dyDescent="0.3">
      <c r="A1413" s="44" t="s">
        <v>175</v>
      </c>
      <c r="B1413" s="4" t="s">
        <v>187</v>
      </c>
      <c r="C1413" s="5" t="s">
        <v>209</v>
      </c>
      <c r="D1413" s="5" t="s">
        <v>210</v>
      </c>
      <c r="E1413" s="4" t="s">
        <v>96</v>
      </c>
      <c r="F1413" s="4" t="str" cm="1">
        <f t="array" ref="F1413">_xlfn.IFS(
AG1413 &lt;&gt; "", "Jan-Dez/26",
AH1413 &lt;&gt; "", "Fev-Dez/26",
AI1413 &lt;&gt; "", "Mar-Dez/26", AJ1413 &lt;&gt; "", "Abr-Dez/26",
TRUE, "A partir de Junho"
)</f>
        <v>A partir de Junho</v>
      </c>
      <c r="G1413" s="4" t="s">
        <v>62</v>
      </c>
      <c r="H1413" s="7" t="s">
        <v>54</v>
      </c>
      <c r="I1413" s="21" t="s">
        <v>190</v>
      </c>
      <c r="J1413" s="8" t="str" cm="1">
        <f t="array" aca="1" ref="J1413" ca="1">_xlfn.LET(
  _xlpm.actual_value_month, INDEX(T1413:AE1413, MATCH(DATE(YEAR(TODAY()), MONTH(TODAY()), 1), $T$1:$AE$1, 0)),
  IF(_xlpm.actual_value_month &lt;&gt; "", _xlpm.actual_value_month &amp; " ações mensais", "")
)</f>
        <v/>
      </c>
      <c r="K1413" s="8" t="str" cm="1">
        <f t="array" ref="K1413">_xlfn.LET(
    _xlpm.sum_month, SUM(T1413:AE1413),
    IF(_xlpm.sum_month = 0, "", _xlpm.sum_month &amp; " treinados não mapeados.")
)</f>
        <v/>
      </c>
      <c r="L1413" s="9" t="s">
        <v>191</v>
      </c>
      <c r="M1413" s="13">
        <v>1</v>
      </c>
      <c r="N1413" s="5" t="s">
        <v>51</v>
      </c>
      <c r="O1413" s="5" t="s">
        <v>52</v>
      </c>
      <c r="P1413" s="10" t="s">
        <v>146</v>
      </c>
      <c r="Q1413" s="10" t="s">
        <v>44</v>
      </c>
      <c r="R1413" s="11" t="s">
        <v>44</v>
      </c>
      <c r="S1413" s="11" t="s">
        <v>44</v>
      </c>
      <c r="T1413" s="22"/>
      <c r="U1413" s="22"/>
      <c r="V1413" s="22"/>
      <c r="W1413" s="22"/>
      <c r="X1413" s="22"/>
      <c r="Y1413" s="22"/>
      <c r="Z1413" s="22"/>
      <c r="AA1413" s="22"/>
      <c r="AB1413" s="22"/>
      <c r="AC1413" s="22"/>
      <c r="AD1413" s="22"/>
      <c r="AE1413" s="22"/>
      <c r="AG1413" s="71"/>
      <c r="AH1413" s="71"/>
      <c r="AI1413" s="71"/>
      <c r="AJ1413" s="71"/>
      <c r="AK1413" s="71"/>
      <c r="AL1413" s="71"/>
      <c r="AM1413" s="71"/>
      <c r="AN1413" s="71"/>
      <c r="AO1413" s="71"/>
      <c r="AP1413" s="71"/>
      <c r="AQ1413" s="71"/>
      <c r="AR1413" s="71"/>
      <c r="AS1413" s="94" t="str" cm="1">
        <f t="array" ref="AS1413">IFERROR(INDEX(T1413:AE1413,1,MATCH(2,1/(T1413:AE1413&lt;&gt;""))),"")</f>
        <v/>
      </c>
      <c r="AT1413" s="95">
        <f t="shared" ref="AT1413:AT1417" si="1671">AN1413</f>
        <v>0</v>
      </c>
      <c r="AU1413" s="97">
        <f t="shared" ref="AU1413:AU1417" si="1672">AT1413</f>
        <v>0</v>
      </c>
      <c r="AW1413" s="52">
        <f t="shared" ref="AW1413:AW1417" si="1673">AG1413</f>
        <v>0</v>
      </c>
      <c r="AX1413" s="52"/>
      <c r="AY1413" s="52"/>
      <c r="AZ1413" s="52"/>
      <c r="BA1413" s="52"/>
      <c r="BB1413" s="52"/>
      <c r="BC1413" s="52"/>
      <c r="BD1413" s="52"/>
      <c r="BE1413" s="52"/>
      <c r="BF1413" s="52"/>
      <c r="BG1413" s="52"/>
      <c r="BH1413" s="52"/>
      <c r="BI1413" s="68" cm="1">
        <f t="array" ref="BI1413">IFERROR(INDEX(AW1413:BH1413,1,MATCH(2,1/(AW1413:BH1413&lt;&gt;""))),"")</f>
        <v>0</v>
      </c>
      <c r="BJ1413" s="68" t="str" cm="1">
        <f t="array" ref="BJ1413">IF(BM1413 = "", "",IFERROR(INDEX(AW1413:BH1413,1,MATCH(2,1/(AW1413:BH1413&lt;&gt;""),1)-1),""))</f>
        <v/>
      </c>
      <c r="BK1413" s="59">
        <f t="shared" ref="BK1413:BK1417" si="1674">SUM(AW1413:BH1413)</f>
        <v>0</v>
      </c>
      <c r="BL1413" s="59">
        <f t="shared" ref="BL1413:BL1417" si="1675">SUM(AW1413:BE1413)</f>
        <v>0</v>
      </c>
      <c r="BM1413" s="55" t="str" cm="1">
        <f t="array" ref="BM1413">IFERROR(
   INDEX($AW$1:$BH$1,
      _xlfn.AGGREGATE(14, 6, COLUMN($AW$1:$BH$1)/(AW1413:BH1413&lt;&gt;""), 2) - COLUMN($AW$1) + 1
   ),
"")</f>
        <v/>
      </c>
      <c r="BN1413" s="55" cm="1">
        <f t="array" ref="BN1413">IFERROR(INDEX($AW$1:$BH$1,1,MATCH(2,1/(AW1413:BH1413&lt;&gt;""))),"")</f>
        <v>46023</v>
      </c>
      <c r="BO1413" s="53">
        <f ca="1">IFERROR(_xlfn.XLOOKUP(F1413,Apuração!A:A,Apuração!C:C)/_xlfn.XLOOKUP(F1413,Apuração!A:A,Apuração!B:B),0)</f>
        <v>0</v>
      </c>
      <c r="BP1413" s="53">
        <f ca="1">IFERROR(_xlfn.XLOOKUP(F1413,Apuração!A:A,Apuração!D:D)/_xlfn.XLOOKUP(F1413,Apuração!A:A,Apuração!B:B),0)</f>
        <v>0</v>
      </c>
      <c r="BQ1413" s="53">
        <f ca="1">IF(BK1413&gt;=BO1413,0,_xlfn.XLOOKUP(F1413,Apuração!A:A,Apuração!B:B)*(BO1413 + (1/_xlfn.XLOOKUP(F1413,Apuração!A:A,Apuração!B:B)) - BK1413))</f>
        <v>0</v>
      </c>
      <c r="BR1413" s="85">
        <f t="shared" ref="BR1413:BR1417" ca="1" si="1676">IF(BQ1413=0,0,BQ1413*Z1413)</f>
        <v>0</v>
      </c>
      <c r="BS1413" s="53">
        <f ca="1">IFERROR((_xlfn.XLOOKUP(F1413,Apuração!A:A,Apuração!C:C)+1)/_xlfn.XLOOKUP(F1413,Apuração!A:A,Apuração!B:B),0)</f>
        <v>0.14285714285714285</v>
      </c>
    </row>
    <row r="1414" spans="1:71" ht="25.95" hidden="1" customHeight="1" x14ac:dyDescent="0.3">
      <c r="A1414" s="44" t="s">
        <v>175</v>
      </c>
      <c r="B1414" s="4" t="s">
        <v>187</v>
      </c>
      <c r="C1414" s="5" t="s">
        <v>209</v>
      </c>
      <c r="D1414" s="5" t="s">
        <v>47</v>
      </c>
      <c r="E1414" s="4" t="s">
        <v>96</v>
      </c>
      <c r="F1414" s="4" t="str" cm="1">
        <f t="array" ref="F1414">_xlfn.IFS(
AG1414 &lt;&gt; "", "Jan-Dez/26",
AH1414 &lt;&gt; "", "Fev-Dez/26",
AI1414 &lt;&gt; "", "Mar-Dez/26", AJ1414 &lt;&gt; "", "Abr-Dez/26",
TRUE, "A partir de Junho"
)</f>
        <v>A partir de Junho</v>
      </c>
      <c r="G1414" s="4" t="s">
        <v>62</v>
      </c>
      <c r="H1414" s="7" t="s">
        <v>54</v>
      </c>
      <c r="I1414" s="21" t="s">
        <v>190</v>
      </c>
      <c r="J1414" s="8" t="str" cm="1">
        <f t="array" aca="1" ref="J1414" ca="1">_xlfn.LET(
  _xlpm.actual_value_month, INDEX(T1414:AE1414, MATCH(DATE(YEAR(TODAY()), MONTH(TODAY()), 1), $T$1:$AE$1, 0)),
  IF(_xlpm.actual_value_month &lt;&gt; "", _xlpm.actual_value_month &amp; " ações mensais", "")
)</f>
        <v/>
      </c>
      <c r="K1414" s="8" t="str" cm="1">
        <f t="array" ref="K1414">_xlfn.LET(
    _xlpm.sum_month, SUM(T1414:AE1414),
    IF(_xlpm.sum_month = 0, "", _xlpm.sum_month &amp; " treinados não mapeados.")
)</f>
        <v/>
      </c>
      <c r="L1414" s="9" t="s">
        <v>191</v>
      </c>
      <c r="M1414" s="13">
        <v>1</v>
      </c>
      <c r="N1414" s="5" t="s">
        <v>51</v>
      </c>
      <c r="O1414" s="5" t="s">
        <v>52</v>
      </c>
      <c r="P1414" s="10" t="s">
        <v>146</v>
      </c>
      <c r="Q1414" s="10" t="s">
        <v>44</v>
      </c>
      <c r="R1414" s="11" t="s">
        <v>44</v>
      </c>
      <c r="S1414" s="11" t="s">
        <v>44</v>
      </c>
      <c r="T1414" s="22"/>
      <c r="U1414" s="22"/>
      <c r="V1414" s="22"/>
      <c r="W1414" s="22"/>
      <c r="X1414" s="22"/>
      <c r="Y1414" s="22"/>
      <c r="Z1414" s="22"/>
      <c r="AA1414" s="22"/>
      <c r="AB1414" s="22"/>
      <c r="AC1414" s="22"/>
      <c r="AD1414" s="22"/>
      <c r="AE1414" s="22"/>
      <c r="AG1414" s="71"/>
      <c r="AH1414" s="71"/>
      <c r="AI1414" s="71"/>
      <c r="AJ1414" s="71"/>
      <c r="AK1414" s="71"/>
      <c r="AL1414" s="71"/>
      <c r="AM1414" s="71"/>
      <c r="AN1414" s="71"/>
      <c r="AO1414" s="71"/>
      <c r="AP1414" s="71"/>
      <c r="AQ1414" s="71"/>
      <c r="AR1414" s="71"/>
      <c r="AS1414" s="94" t="str" cm="1">
        <f t="array" ref="AS1414">IFERROR(INDEX(T1414:AE1414,1,MATCH(2,1/(T1414:AE1414&lt;&gt;""))),"")</f>
        <v/>
      </c>
      <c r="AT1414" s="95">
        <f t="shared" si="1671"/>
        <v>0</v>
      </c>
      <c r="AU1414" s="97">
        <f t="shared" si="1672"/>
        <v>0</v>
      </c>
      <c r="AW1414" s="52">
        <f t="shared" si="1673"/>
        <v>0</v>
      </c>
      <c r="AX1414" s="52"/>
      <c r="AY1414" s="52"/>
      <c r="AZ1414" s="52"/>
      <c r="BA1414" s="52"/>
      <c r="BB1414" s="52"/>
      <c r="BC1414" s="52"/>
      <c r="BD1414" s="52"/>
      <c r="BE1414" s="52"/>
      <c r="BF1414" s="52"/>
      <c r="BG1414" s="52"/>
      <c r="BH1414" s="52"/>
      <c r="BI1414" s="68" cm="1">
        <f t="array" ref="BI1414">IFERROR(INDEX(AW1414:BH1414,1,MATCH(2,1/(AW1414:BH1414&lt;&gt;""))),"")</f>
        <v>0</v>
      </c>
      <c r="BJ1414" s="68" t="str" cm="1">
        <f t="array" ref="BJ1414">IF(BM1414 = "", "",IFERROR(INDEX(AW1414:BH1414,1,MATCH(2,1/(AW1414:BH1414&lt;&gt;""),1)-1),""))</f>
        <v/>
      </c>
      <c r="BK1414" s="59">
        <f t="shared" si="1674"/>
        <v>0</v>
      </c>
      <c r="BL1414" s="59">
        <f t="shared" si="1675"/>
        <v>0</v>
      </c>
      <c r="BM1414" s="55" t="str" cm="1">
        <f t="array" ref="BM1414">IFERROR(
   INDEX($AW$1:$BH$1,
      _xlfn.AGGREGATE(14, 6, COLUMN($AW$1:$BH$1)/(AW1414:BH1414&lt;&gt;""), 2) - COLUMN($AW$1) + 1
   ),
"")</f>
        <v/>
      </c>
      <c r="BN1414" s="55" cm="1">
        <f t="array" ref="BN1414">IFERROR(INDEX($AW$1:$BH$1,1,MATCH(2,1/(AW1414:BH1414&lt;&gt;""))),"")</f>
        <v>46023</v>
      </c>
      <c r="BO1414" s="53">
        <f ca="1">IFERROR(_xlfn.XLOOKUP(F1414,Apuração!A:A,Apuração!C:C)/_xlfn.XLOOKUP(F1414,Apuração!A:A,Apuração!B:B),0)</f>
        <v>0</v>
      </c>
      <c r="BP1414" s="53">
        <f ca="1">IFERROR(_xlfn.XLOOKUP(F1414,Apuração!A:A,Apuração!D:D)/_xlfn.XLOOKUP(F1414,Apuração!A:A,Apuração!B:B),0)</f>
        <v>0</v>
      </c>
      <c r="BQ1414" s="53">
        <f ca="1">IF(BK1414&gt;=BO1414,0,_xlfn.XLOOKUP(F1414,Apuração!A:A,Apuração!B:B)*(BO1414 + (1/_xlfn.XLOOKUP(F1414,Apuração!A:A,Apuração!B:B)) - BK1414))</f>
        <v>0</v>
      </c>
      <c r="BR1414" s="85">
        <f t="shared" ca="1" si="1676"/>
        <v>0</v>
      </c>
      <c r="BS1414" s="53">
        <f ca="1">IFERROR((_xlfn.XLOOKUP(F1414,Apuração!A:A,Apuração!C:C)+1)/_xlfn.XLOOKUP(F1414,Apuração!A:A,Apuração!B:B),0)</f>
        <v>0.14285714285714285</v>
      </c>
    </row>
    <row r="1415" spans="1:71" ht="25.95" hidden="1" customHeight="1" x14ac:dyDescent="0.3">
      <c r="A1415" s="44" t="s">
        <v>175</v>
      </c>
      <c r="B1415" s="4" t="s">
        <v>187</v>
      </c>
      <c r="C1415" s="5" t="s">
        <v>209</v>
      </c>
      <c r="D1415" s="5" t="s">
        <v>211</v>
      </c>
      <c r="E1415" s="4" t="s">
        <v>96</v>
      </c>
      <c r="F1415" s="4" t="str" cm="1">
        <f t="array" ref="F1415">_xlfn.IFS(
AG1415 &lt;&gt; "", "Jan-Dez/26",
AH1415 &lt;&gt; "", "Fev-Dez/26",
AI1415 &lt;&gt; "", "Mar-Dez/26", AJ1415 &lt;&gt; "", "Abr-Dez/26",
TRUE, "A partir de Junho"
)</f>
        <v>A partir de Junho</v>
      </c>
      <c r="G1415" s="4" t="s">
        <v>62</v>
      </c>
      <c r="H1415" s="7" t="s">
        <v>54</v>
      </c>
      <c r="I1415" s="21" t="s">
        <v>190</v>
      </c>
      <c r="J1415" s="8" t="str" cm="1">
        <f t="array" aca="1" ref="J1415" ca="1">_xlfn.LET(
  _xlpm.actual_value_month, INDEX(T1415:AE1415, MATCH(DATE(YEAR(TODAY()), MONTH(TODAY()), 1), $T$1:$AE$1, 0)),
  IF(_xlpm.actual_value_month &lt;&gt; "", _xlpm.actual_value_month &amp; " ações mensais", "")
)</f>
        <v/>
      </c>
      <c r="K1415" s="8" t="str" cm="1">
        <f t="array" ref="K1415">_xlfn.LET(
    _xlpm.sum_month, SUM(T1415:AE1415),
    IF(_xlpm.sum_month = 0, "", _xlpm.sum_month &amp; " treinados não mapeados.")
)</f>
        <v/>
      </c>
      <c r="L1415" s="9" t="s">
        <v>191</v>
      </c>
      <c r="M1415" s="13">
        <v>1</v>
      </c>
      <c r="N1415" s="5" t="s">
        <v>51</v>
      </c>
      <c r="O1415" s="5" t="s">
        <v>52</v>
      </c>
      <c r="P1415" s="10" t="s">
        <v>146</v>
      </c>
      <c r="Q1415" s="10" t="s">
        <v>44</v>
      </c>
      <c r="R1415" s="11" t="s">
        <v>44</v>
      </c>
      <c r="S1415" s="11" t="s">
        <v>44</v>
      </c>
      <c r="T1415" s="22"/>
      <c r="U1415" s="22"/>
      <c r="V1415" s="22"/>
      <c r="W1415" s="22"/>
      <c r="X1415" s="22"/>
      <c r="Y1415" s="22"/>
      <c r="Z1415" s="22"/>
      <c r="AA1415" s="22"/>
      <c r="AB1415" s="22"/>
      <c r="AC1415" s="22"/>
      <c r="AD1415" s="22"/>
      <c r="AE1415" s="22"/>
      <c r="AG1415" s="71"/>
      <c r="AH1415" s="71"/>
      <c r="AI1415" s="71"/>
      <c r="AJ1415" s="71"/>
      <c r="AK1415" s="71"/>
      <c r="AL1415" s="71"/>
      <c r="AM1415" s="71"/>
      <c r="AN1415" s="71"/>
      <c r="AO1415" s="71"/>
      <c r="AP1415" s="71"/>
      <c r="AQ1415" s="71"/>
      <c r="AR1415" s="71"/>
      <c r="AS1415" s="94" t="str" cm="1">
        <f t="array" ref="AS1415">IFERROR(INDEX(T1415:AE1415,1,MATCH(2,1/(T1415:AE1415&lt;&gt;""))),"")</f>
        <v/>
      </c>
      <c r="AT1415" s="95">
        <f t="shared" si="1671"/>
        <v>0</v>
      </c>
      <c r="AU1415" s="97">
        <f t="shared" si="1672"/>
        <v>0</v>
      </c>
      <c r="AW1415" s="52">
        <f t="shared" si="1673"/>
        <v>0</v>
      </c>
      <c r="AX1415" s="52"/>
      <c r="AY1415" s="52"/>
      <c r="AZ1415" s="52"/>
      <c r="BA1415" s="52"/>
      <c r="BB1415" s="52"/>
      <c r="BC1415" s="52"/>
      <c r="BD1415" s="52"/>
      <c r="BE1415" s="52"/>
      <c r="BF1415" s="52"/>
      <c r="BG1415" s="52"/>
      <c r="BH1415" s="52"/>
      <c r="BI1415" s="68" cm="1">
        <f t="array" ref="BI1415">IFERROR(INDEX(AW1415:BH1415,1,MATCH(2,1/(AW1415:BH1415&lt;&gt;""))),"")</f>
        <v>0</v>
      </c>
      <c r="BJ1415" s="68" t="str" cm="1">
        <f t="array" ref="BJ1415">IF(BM1415 = "", "",IFERROR(INDEX(AW1415:BH1415,1,MATCH(2,1/(AW1415:BH1415&lt;&gt;""),1)-1),""))</f>
        <v/>
      </c>
      <c r="BK1415" s="59">
        <f t="shared" si="1674"/>
        <v>0</v>
      </c>
      <c r="BL1415" s="59">
        <f t="shared" si="1675"/>
        <v>0</v>
      </c>
      <c r="BM1415" s="55" t="str" cm="1">
        <f t="array" ref="BM1415">IFERROR(
   INDEX($AW$1:$BH$1,
      _xlfn.AGGREGATE(14, 6, COLUMN($AW$1:$BH$1)/(AW1415:BH1415&lt;&gt;""), 2) - COLUMN($AW$1) + 1
   ),
"")</f>
        <v/>
      </c>
      <c r="BN1415" s="55" cm="1">
        <f t="array" ref="BN1415">IFERROR(INDEX($AW$1:$BH$1,1,MATCH(2,1/(AW1415:BH1415&lt;&gt;""))),"")</f>
        <v>46023</v>
      </c>
      <c r="BO1415" s="53">
        <f ca="1">IFERROR(_xlfn.XLOOKUP(F1415,Apuração!A:A,Apuração!C:C)/_xlfn.XLOOKUP(F1415,Apuração!A:A,Apuração!B:B),0)</f>
        <v>0</v>
      </c>
      <c r="BP1415" s="53">
        <f ca="1">IFERROR(_xlfn.XLOOKUP(F1415,Apuração!A:A,Apuração!D:D)/_xlfn.XLOOKUP(F1415,Apuração!A:A,Apuração!B:B),0)</f>
        <v>0</v>
      </c>
      <c r="BQ1415" s="53">
        <f ca="1">IF(BK1415&gt;=BO1415,0,_xlfn.XLOOKUP(F1415,Apuração!A:A,Apuração!B:B)*(BO1415 + (1/_xlfn.XLOOKUP(F1415,Apuração!A:A,Apuração!B:B)) - BK1415))</f>
        <v>0</v>
      </c>
      <c r="BR1415" s="85">
        <f t="shared" ca="1" si="1676"/>
        <v>0</v>
      </c>
      <c r="BS1415" s="53">
        <f ca="1">IFERROR((_xlfn.XLOOKUP(F1415,Apuração!A:A,Apuração!C:C)+1)/_xlfn.XLOOKUP(F1415,Apuração!A:A,Apuração!B:B),0)</f>
        <v>0.14285714285714285</v>
      </c>
    </row>
    <row r="1416" spans="1:71" ht="25.95" hidden="1" customHeight="1" x14ac:dyDescent="0.3">
      <c r="A1416" s="44" t="s">
        <v>175</v>
      </c>
      <c r="B1416" s="4" t="s">
        <v>187</v>
      </c>
      <c r="C1416" s="5" t="s">
        <v>209</v>
      </c>
      <c r="D1416" s="5" t="s">
        <v>212</v>
      </c>
      <c r="E1416" s="4" t="s">
        <v>96</v>
      </c>
      <c r="F1416" s="4" t="str" cm="1">
        <f t="array" ref="F1416">_xlfn.IFS(
AG1416 &lt;&gt; "", "Jan-Dez/26",
AH1416 &lt;&gt; "", "Fev-Dez/26",
AI1416 &lt;&gt; "", "Mar-Dez/26", AJ1416 &lt;&gt; "", "Abr-Dez/26",
TRUE, "A partir de Junho"
)</f>
        <v>A partir de Junho</v>
      </c>
      <c r="G1416" s="4" t="s">
        <v>62</v>
      </c>
      <c r="H1416" s="7" t="s">
        <v>54</v>
      </c>
      <c r="I1416" s="21" t="s">
        <v>190</v>
      </c>
      <c r="J1416" s="8" t="str" cm="1">
        <f t="array" aca="1" ref="J1416" ca="1">_xlfn.LET(
  _xlpm.actual_value_month, INDEX(T1416:AE1416, MATCH(DATE(YEAR(TODAY()), MONTH(TODAY()), 1), $T$1:$AE$1, 0)),
  IF(_xlpm.actual_value_month &lt;&gt; "", _xlpm.actual_value_month &amp; " ações mensais", "")
)</f>
        <v/>
      </c>
      <c r="K1416" s="8" t="str" cm="1">
        <f t="array" ref="K1416">_xlfn.LET(
    _xlpm.sum_month, SUM(T1416:AE1416),
    IF(_xlpm.sum_month = 0, "", _xlpm.sum_month &amp; " treinados não mapeados.")
)</f>
        <v/>
      </c>
      <c r="L1416" s="9" t="s">
        <v>191</v>
      </c>
      <c r="M1416" s="13">
        <v>1</v>
      </c>
      <c r="N1416" s="5" t="s">
        <v>51</v>
      </c>
      <c r="O1416" s="5" t="s">
        <v>52</v>
      </c>
      <c r="P1416" s="10" t="s">
        <v>146</v>
      </c>
      <c r="Q1416" s="10" t="s">
        <v>44</v>
      </c>
      <c r="R1416" s="11" t="s">
        <v>44</v>
      </c>
      <c r="S1416" s="11" t="s">
        <v>44</v>
      </c>
      <c r="T1416" s="22"/>
      <c r="U1416" s="22"/>
      <c r="V1416" s="22"/>
      <c r="W1416" s="22"/>
      <c r="X1416" s="22"/>
      <c r="Y1416" s="22"/>
      <c r="Z1416" s="22"/>
      <c r="AA1416" s="22"/>
      <c r="AB1416" s="22"/>
      <c r="AC1416" s="22"/>
      <c r="AD1416" s="22"/>
      <c r="AE1416" s="22"/>
      <c r="AG1416" s="71"/>
      <c r="AH1416" s="71"/>
      <c r="AI1416" s="71"/>
      <c r="AJ1416" s="71"/>
      <c r="AK1416" s="71"/>
      <c r="AL1416" s="71"/>
      <c r="AM1416" s="71"/>
      <c r="AN1416" s="71"/>
      <c r="AO1416" s="71"/>
      <c r="AP1416" s="71"/>
      <c r="AQ1416" s="71"/>
      <c r="AR1416" s="71"/>
      <c r="AS1416" s="94" t="str" cm="1">
        <f t="array" ref="AS1416">IFERROR(INDEX(T1416:AE1416,1,MATCH(2,1/(T1416:AE1416&lt;&gt;""))),"")</f>
        <v/>
      </c>
      <c r="AT1416" s="95">
        <f t="shared" si="1671"/>
        <v>0</v>
      </c>
      <c r="AU1416" s="97">
        <f t="shared" si="1672"/>
        <v>0</v>
      </c>
      <c r="AW1416" s="52">
        <f t="shared" si="1673"/>
        <v>0</v>
      </c>
      <c r="AX1416" s="52"/>
      <c r="AY1416" s="52"/>
      <c r="AZ1416" s="52"/>
      <c r="BA1416" s="52"/>
      <c r="BB1416" s="52"/>
      <c r="BC1416" s="52"/>
      <c r="BD1416" s="52"/>
      <c r="BE1416" s="52"/>
      <c r="BF1416" s="52"/>
      <c r="BG1416" s="52"/>
      <c r="BH1416" s="52"/>
      <c r="BI1416" s="68" cm="1">
        <f t="array" ref="BI1416">IFERROR(INDEX(AW1416:BH1416,1,MATCH(2,1/(AW1416:BH1416&lt;&gt;""))),"")</f>
        <v>0</v>
      </c>
      <c r="BJ1416" s="68" t="str" cm="1">
        <f t="array" ref="BJ1416">IF(BM1416 = "", "",IFERROR(INDEX(AW1416:BH1416,1,MATCH(2,1/(AW1416:BH1416&lt;&gt;""),1)-1),""))</f>
        <v/>
      </c>
      <c r="BK1416" s="59">
        <f t="shared" si="1674"/>
        <v>0</v>
      </c>
      <c r="BL1416" s="59">
        <f t="shared" si="1675"/>
        <v>0</v>
      </c>
      <c r="BM1416" s="55" t="str" cm="1">
        <f t="array" ref="BM1416">IFERROR(
   INDEX($AW$1:$BH$1,
      _xlfn.AGGREGATE(14, 6, COLUMN($AW$1:$BH$1)/(AW1416:BH1416&lt;&gt;""), 2) - COLUMN($AW$1) + 1
   ),
"")</f>
        <v/>
      </c>
      <c r="BN1416" s="55" cm="1">
        <f t="array" ref="BN1416">IFERROR(INDEX($AW$1:$BH$1,1,MATCH(2,1/(AW1416:BH1416&lt;&gt;""))),"")</f>
        <v>46023</v>
      </c>
      <c r="BO1416" s="53">
        <f ca="1">IFERROR(_xlfn.XLOOKUP(F1416,Apuração!A:A,Apuração!C:C)/_xlfn.XLOOKUP(F1416,Apuração!A:A,Apuração!B:B),0)</f>
        <v>0</v>
      </c>
      <c r="BP1416" s="53">
        <f ca="1">IFERROR(_xlfn.XLOOKUP(F1416,Apuração!A:A,Apuração!D:D)/_xlfn.XLOOKUP(F1416,Apuração!A:A,Apuração!B:B),0)</f>
        <v>0</v>
      </c>
      <c r="BQ1416" s="53">
        <f ca="1">IF(BK1416&gt;=BO1416,0,_xlfn.XLOOKUP(F1416,Apuração!A:A,Apuração!B:B)*(BO1416 + (1/_xlfn.XLOOKUP(F1416,Apuração!A:A,Apuração!B:B)) - BK1416))</f>
        <v>0</v>
      </c>
      <c r="BR1416" s="85">
        <f t="shared" ca="1" si="1676"/>
        <v>0</v>
      </c>
      <c r="BS1416" s="53">
        <f ca="1">IFERROR((_xlfn.XLOOKUP(F1416,Apuração!A:A,Apuração!C:C)+1)/_xlfn.XLOOKUP(F1416,Apuração!A:A,Apuração!B:B),0)</f>
        <v>0.14285714285714285</v>
      </c>
    </row>
    <row r="1417" spans="1:71" ht="25.95" hidden="1" customHeight="1" x14ac:dyDescent="0.3">
      <c r="A1417" s="44" t="s">
        <v>175</v>
      </c>
      <c r="B1417" s="4" t="s">
        <v>187</v>
      </c>
      <c r="C1417" s="5" t="s">
        <v>209</v>
      </c>
      <c r="D1417" s="5" t="s">
        <v>213</v>
      </c>
      <c r="E1417" s="4" t="s">
        <v>96</v>
      </c>
      <c r="F1417" s="4" t="str" cm="1">
        <f t="array" ref="F1417">_xlfn.IFS(
AG1417 &lt;&gt; "", "Jan-Dez/26",
AH1417 &lt;&gt; "", "Fev-Dez/26",
AI1417 &lt;&gt; "", "Mar-Dez/26", AJ1417 &lt;&gt; "", "Abr-Dez/26",
TRUE, "A partir de Junho"
)</f>
        <v>A partir de Junho</v>
      </c>
      <c r="G1417" s="4" t="s">
        <v>62</v>
      </c>
      <c r="H1417" s="7" t="s">
        <v>54</v>
      </c>
      <c r="I1417" s="21" t="s">
        <v>190</v>
      </c>
      <c r="J1417" s="8" t="str" cm="1">
        <f t="array" aca="1" ref="J1417" ca="1">_xlfn.LET(
  _xlpm.actual_value_month, INDEX(T1417:AE1417, MATCH(DATE(YEAR(TODAY()), MONTH(TODAY()), 1), $T$1:$AE$1, 0)),
  IF(_xlpm.actual_value_month &lt;&gt; "", _xlpm.actual_value_month &amp; " ações mensais", "")
)</f>
        <v/>
      </c>
      <c r="K1417" s="8" t="str" cm="1">
        <f t="array" ref="K1417">_xlfn.LET(
    _xlpm.sum_month, SUM(T1417:AE1417),
    IF(_xlpm.sum_month = 0, "", _xlpm.sum_month &amp; " treinados não mapeados.")
)</f>
        <v/>
      </c>
      <c r="L1417" s="9" t="s">
        <v>191</v>
      </c>
      <c r="M1417" s="13">
        <v>1</v>
      </c>
      <c r="N1417" s="5" t="s">
        <v>51</v>
      </c>
      <c r="O1417" s="5" t="s">
        <v>52</v>
      </c>
      <c r="P1417" s="10" t="s">
        <v>146</v>
      </c>
      <c r="Q1417" s="10" t="s">
        <v>44</v>
      </c>
      <c r="R1417" s="11" t="s">
        <v>44</v>
      </c>
      <c r="S1417" s="11" t="s">
        <v>44</v>
      </c>
      <c r="T1417" s="22"/>
      <c r="U1417" s="22"/>
      <c r="V1417" s="22"/>
      <c r="W1417" s="22"/>
      <c r="X1417" s="22"/>
      <c r="Y1417" s="22"/>
      <c r="Z1417" s="22"/>
      <c r="AA1417" s="22"/>
      <c r="AB1417" s="22"/>
      <c r="AC1417" s="22"/>
      <c r="AD1417" s="22"/>
      <c r="AE1417" s="22"/>
      <c r="AG1417" s="71"/>
      <c r="AH1417" s="71"/>
      <c r="AI1417" s="71"/>
      <c r="AJ1417" s="71"/>
      <c r="AK1417" s="71"/>
      <c r="AL1417" s="71"/>
      <c r="AM1417" s="71"/>
      <c r="AN1417" s="71"/>
      <c r="AO1417" s="71"/>
      <c r="AP1417" s="71"/>
      <c r="AQ1417" s="71"/>
      <c r="AR1417" s="71"/>
      <c r="AS1417" s="94" t="str" cm="1">
        <f t="array" ref="AS1417">IFERROR(INDEX(T1417:AE1417,1,MATCH(2,1/(T1417:AE1417&lt;&gt;""))),"")</f>
        <v/>
      </c>
      <c r="AT1417" s="95">
        <f t="shared" si="1671"/>
        <v>0</v>
      </c>
      <c r="AU1417" s="97">
        <f t="shared" si="1672"/>
        <v>0</v>
      </c>
      <c r="AW1417" s="52">
        <f t="shared" si="1673"/>
        <v>0</v>
      </c>
      <c r="AX1417" s="52"/>
      <c r="AY1417" s="52"/>
      <c r="AZ1417" s="52"/>
      <c r="BA1417" s="52"/>
      <c r="BB1417" s="52"/>
      <c r="BC1417" s="52"/>
      <c r="BD1417" s="52"/>
      <c r="BE1417" s="52"/>
      <c r="BF1417" s="52"/>
      <c r="BG1417" s="52"/>
      <c r="BH1417" s="52"/>
      <c r="BI1417" s="68" cm="1">
        <f t="array" ref="BI1417">IFERROR(INDEX(AW1417:BH1417,1,MATCH(2,1/(AW1417:BH1417&lt;&gt;""))),"")</f>
        <v>0</v>
      </c>
      <c r="BJ1417" s="68" t="str" cm="1">
        <f t="array" ref="BJ1417">IF(BM1417 = "", "",IFERROR(INDEX(AW1417:BH1417,1,MATCH(2,1/(AW1417:BH1417&lt;&gt;""),1)-1),""))</f>
        <v/>
      </c>
      <c r="BK1417" s="59">
        <f t="shared" si="1674"/>
        <v>0</v>
      </c>
      <c r="BL1417" s="59">
        <f t="shared" si="1675"/>
        <v>0</v>
      </c>
      <c r="BM1417" s="55" t="str" cm="1">
        <f t="array" ref="BM1417">IFERROR(
   INDEX($AW$1:$BH$1,
      _xlfn.AGGREGATE(14, 6, COLUMN($AW$1:$BH$1)/(AW1417:BH1417&lt;&gt;""), 2) - COLUMN($AW$1) + 1
   ),
"")</f>
        <v/>
      </c>
      <c r="BN1417" s="55" cm="1">
        <f t="array" ref="BN1417">IFERROR(INDEX($AW$1:$BH$1,1,MATCH(2,1/(AW1417:BH1417&lt;&gt;""))),"")</f>
        <v>46023</v>
      </c>
      <c r="BO1417" s="53">
        <f ca="1">IFERROR(_xlfn.XLOOKUP(F1417,Apuração!A:A,Apuração!C:C)/_xlfn.XLOOKUP(F1417,Apuração!A:A,Apuração!B:B),0)</f>
        <v>0</v>
      </c>
      <c r="BP1417" s="53">
        <f ca="1">IFERROR(_xlfn.XLOOKUP(F1417,Apuração!A:A,Apuração!D:D)/_xlfn.XLOOKUP(F1417,Apuração!A:A,Apuração!B:B),0)</f>
        <v>0</v>
      </c>
      <c r="BQ1417" s="53">
        <f ca="1">IF(BK1417&gt;=BO1417,0,_xlfn.XLOOKUP(F1417,Apuração!A:A,Apuração!B:B)*(BO1417 + (1/_xlfn.XLOOKUP(F1417,Apuração!A:A,Apuração!B:B)) - BK1417))</f>
        <v>0</v>
      </c>
      <c r="BR1417" s="85">
        <f t="shared" ca="1" si="1676"/>
        <v>0</v>
      </c>
      <c r="BS1417" s="53">
        <f ca="1">IFERROR((_xlfn.XLOOKUP(F1417,Apuração!A:A,Apuração!C:C)+1)/_xlfn.XLOOKUP(F1417,Apuração!A:A,Apuração!B:B),0)</f>
        <v>0.14285714285714285</v>
      </c>
    </row>
    <row r="1418" spans="1:71" ht="25.95" hidden="1" customHeight="1" x14ac:dyDescent="0.3">
      <c r="A1418" s="44" t="s">
        <v>175</v>
      </c>
      <c r="B1418" s="4" t="s">
        <v>187</v>
      </c>
      <c r="C1418" s="5" t="s">
        <v>209</v>
      </c>
      <c r="D1418" s="5" t="s">
        <v>36</v>
      </c>
      <c r="E1418" s="4" t="s">
        <v>96</v>
      </c>
      <c r="F1418" s="4" t="str" cm="1">
        <f t="array" ref="F1418">_xlfn.IFS(
AG1418 &lt;&gt; "", "Jan-Dez/26",
AH1418 &lt;&gt; "", "Fev-Dez/26",
AI1418 &lt;&gt; "", "Mar-Dez/26", AJ1418 &lt;&gt; "", "Abr-Dez/26",
TRUE, "A partir de Junho"
)</f>
        <v>A partir de Junho</v>
      </c>
      <c r="G1418" s="4" t="s">
        <v>62</v>
      </c>
      <c r="H1418" s="7" t="s">
        <v>54</v>
      </c>
      <c r="I1418" s="34" t="s">
        <v>192</v>
      </c>
      <c r="J1418" s="8" t="str" cm="1">
        <f t="array" aca="1" ref="J1418" ca="1">_xlfn.LET(
  _xlpm.actual_value_month, INDEX(T1418:AE1418, MATCH(DATE(YEAR(TODAY()), MONTH(TODAY()), 1), $T$1:$AE$1, 0)),
  IF(_xlpm.actual_value_month &lt;&gt; "", _xlpm.actual_value_month &amp; " ações mensais", "")
)</f>
        <v/>
      </c>
      <c r="K1418" s="34" t="str" cm="1">
        <f t="array" ref="K1418">_xlfn.LET(
    _xlpm.sum_month, SUM(T1418:AE1418),
    IF(_xlpm.sum_month = 0, "", _xlpm.sum_month &amp; " colaboradores treinados.")
)</f>
        <v/>
      </c>
      <c r="L1418" s="4" t="s">
        <v>193</v>
      </c>
      <c r="M1418" s="9"/>
      <c r="N1418" s="5" t="s">
        <v>51</v>
      </c>
      <c r="O1418" s="5" t="s">
        <v>52</v>
      </c>
      <c r="P1418" s="10" t="s">
        <v>44</v>
      </c>
      <c r="Q1418" s="10" t="s">
        <v>44</v>
      </c>
      <c r="R1418" s="11" t="s">
        <v>44</v>
      </c>
      <c r="S1418" s="11" t="s">
        <v>44</v>
      </c>
      <c r="T1418" s="22"/>
      <c r="U1418" s="22"/>
      <c r="V1418" s="22"/>
      <c r="W1418" s="22"/>
      <c r="X1418" s="22"/>
      <c r="Y1418" s="22"/>
      <c r="Z1418" s="22"/>
      <c r="AA1418" s="22"/>
      <c r="AB1418" s="22"/>
      <c r="AC1418" s="22"/>
      <c r="AD1418" s="22"/>
      <c r="AE1418" s="22"/>
      <c r="AG1418" s="71"/>
      <c r="AH1418" s="71"/>
      <c r="AI1418" s="71"/>
      <c r="AJ1418" s="71"/>
      <c r="AK1418" s="71"/>
      <c r="AL1418" s="71"/>
      <c r="AM1418" s="71"/>
      <c r="AN1418" s="71"/>
      <c r="AO1418" s="71"/>
      <c r="AP1418" s="71"/>
      <c r="AQ1418" s="71"/>
      <c r="AR1418" s="71"/>
      <c r="AS1418" s="94" t="str" cm="1">
        <f t="array" ref="AS1418">IFERROR(INDEX(T1418:AE1418,1,MATCH(2,1/(T1418:AE1418&lt;&gt;""))),"")</f>
        <v/>
      </c>
      <c r="AT1418" s="95">
        <f>AN1418</f>
        <v>0</v>
      </c>
      <c r="AU1418" s="97">
        <f>AT1418</f>
        <v>0</v>
      </c>
      <c r="AW1418" s="52">
        <f>AG1418</f>
        <v>0</v>
      </c>
      <c r="AX1418" s="52"/>
      <c r="AY1418" s="52"/>
      <c r="AZ1418" s="52"/>
      <c r="BA1418" s="52"/>
      <c r="BB1418" s="52"/>
      <c r="BC1418" s="52"/>
      <c r="BD1418" s="52"/>
      <c r="BE1418" s="52"/>
      <c r="BF1418" s="52"/>
      <c r="BG1418" s="52"/>
      <c r="BH1418" s="52"/>
      <c r="BI1418" s="68" cm="1">
        <f t="array" ref="BI1418">IFERROR(INDEX(AW1418:BH1418,1,MATCH(2,1/(AW1418:BH1418&lt;&gt;""))),"")</f>
        <v>0</v>
      </c>
      <c r="BJ1418" s="68" t="str" cm="1">
        <f t="array" ref="BJ1418">IF(BM1418 = "", "",IFERROR(INDEX(AW1418:BH1418,1,MATCH(2,1/(AW1418:BH1418&lt;&gt;""),1)-1),""))</f>
        <v/>
      </c>
      <c r="BK1418" s="59">
        <f>SUM(AW1418:BH1418)</f>
        <v>0</v>
      </c>
      <c r="BL1418" s="59">
        <f>SUM(AW1418:BE1418)</f>
        <v>0</v>
      </c>
      <c r="BM1418" s="55" t="str" cm="1">
        <f t="array" ref="BM1418">IFERROR(
   INDEX($AW$1:$BH$1,
      _xlfn.AGGREGATE(14, 6, COLUMN($AW$1:$BH$1)/(AW1418:BH1418&lt;&gt;""), 2) - COLUMN($AW$1) + 1
   ),
"")</f>
        <v/>
      </c>
      <c r="BN1418" s="55" cm="1">
        <f t="array" ref="BN1418">IFERROR(INDEX($AW$1:$BH$1,1,MATCH(2,1/(AW1418:BH1418&lt;&gt;""))),"")</f>
        <v>46023</v>
      </c>
      <c r="BO1418" s="53">
        <f ca="1">IFERROR(_xlfn.XLOOKUP(F1418,Apuração!A:A,Apuração!C:C)/_xlfn.XLOOKUP(F1418,Apuração!A:A,Apuração!B:B),0)</f>
        <v>0</v>
      </c>
      <c r="BP1418" s="53">
        <f ca="1">IFERROR(_xlfn.XLOOKUP(F1418,Apuração!A:A,Apuração!D:D)/_xlfn.XLOOKUP(F1418,Apuração!A:A,Apuração!B:B),0)</f>
        <v>0</v>
      </c>
      <c r="BQ1418" s="53">
        <f ca="1">IF(BK1418&gt;=BO1418,0,_xlfn.XLOOKUP(F1418,Apuração!A:A,Apuração!B:B)*(BO1418 + (1/_xlfn.XLOOKUP(F1418,Apuração!A:A,Apuração!B:B)) - BK1418))</f>
        <v>0</v>
      </c>
      <c r="BR1418" s="85">
        <f ca="1">IF(BQ1418=0,0,BQ1418*Z1418)</f>
        <v>0</v>
      </c>
      <c r="BS1418" s="53">
        <f ca="1">IFERROR((_xlfn.XLOOKUP(F1418,Apuração!A:A,Apuração!C:C)+1)/_xlfn.XLOOKUP(F1418,Apuração!A:A,Apuração!B:B),0)</f>
        <v>0.14285714285714285</v>
      </c>
    </row>
    <row r="1419" spans="1:71" ht="25.95" hidden="1" customHeight="1" x14ac:dyDescent="0.3">
      <c r="A1419" s="44" t="s">
        <v>175</v>
      </c>
      <c r="B1419" s="4" t="s">
        <v>187</v>
      </c>
      <c r="C1419" s="5" t="s">
        <v>209</v>
      </c>
      <c r="D1419" s="5" t="s">
        <v>210</v>
      </c>
      <c r="E1419" s="4" t="s">
        <v>96</v>
      </c>
      <c r="F1419" s="4" t="str" cm="1">
        <f t="array" ref="F1419">_xlfn.IFS(
AG1419 &lt;&gt; "", "Jan-Dez/26",
AH1419 &lt;&gt; "", "Fev-Dez/26",
AI1419 &lt;&gt; "", "Mar-Dez/26", AJ1419 &lt;&gt; "", "Abr-Dez/26",
TRUE, "A partir de Junho"
)</f>
        <v>A partir de Junho</v>
      </c>
      <c r="G1419" s="4" t="s">
        <v>62</v>
      </c>
      <c r="H1419" s="7" t="s">
        <v>54</v>
      </c>
      <c r="I1419" s="34" t="s">
        <v>192</v>
      </c>
      <c r="J1419" s="8" t="str" cm="1">
        <f t="array" aca="1" ref="J1419" ca="1">_xlfn.LET(
  _xlpm.actual_value_month, INDEX(T1419:AE1419, MATCH(DATE(YEAR(TODAY()), MONTH(TODAY()), 1), $T$1:$AE$1, 0)),
  IF(_xlpm.actual_value_month &lt;&gt; "", _xlpm.actual_value_month &amp; " ações mensais", "")
)</f>
        <v/>
      </c>
      <c r="K1419" s="34" t="str" cm="1">
        <f t="array" ref="K1419">_xlfn.LET(
    _xlpm.sum_month, SUM(T1419:AE1419),
    IF(_xlpm.sum_month = 0, "", _xlpm.sum_month &amp; " colaboradores treinados.")
)</f>
        <v/>
      </c>
      <c r="L1419" s="4" t="s">
        <v>193</v>
      </c>
      <c r="M1419" s="9"/>
      <c r="N1419" s="5" t="s">
        <v>51</v>
      </c>
      <c r="O1419" s="5" t="s">
        <v>52</v>
      </c>
      <c r="P1419" s="10" t="s">
        <v>44</v>
      </c>
      <c r="Q1419" s="10" t="s">
        <v>44</v>
      </c>
      <c r="R1419" s="11" t="s">
        <v>44</v>
      </c>
      <c r="S1419" s="11" t="s">
        <v>44</v>
      </c>
      <c r="T1419" s="22"/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  <c r="AG1419" s="71"/>
      <c r="AH1419" s="71"/>
      <c r="AI1419" s="71"/>
      <c r="AJ1419" s="71"/>
      <c r="AK1419" s="71"/>
      <c r="AL1419" s="71"/>
      <c r="AM1419" s="71"/>
      <c r="AN1419" s="71"/>
      <c r="AO1419" s="71"/>
      <c r="AP1419" s="71"/>
      <c r="AQ1419" s="71"/>
      <c r="AR1419" s="71"/>
      <c r="AS1419" s="94" t="str" cm="1">
        <f t="array" ref="AS1419">IFERROR(INDEX(T1419:AE1419,1,MATCH(2,1/(T1419:AE1419&lt;&gt;""))),"")</f>
        <v/>
      </c>
      <c r="AT1419" s="95">
        <f t="shared" ref="AT1419:AT1423" si="1677">AN1419</f>
        <v>0</v>
      </c>
      <c r="AU1419" s="97">
        <f t="shared" ref="AU1419:AU1423" si="1678">AT1419</f>
        <v>0</v>
      </c>
      <c r="AW1419" s="52">
        <f t="shared" ref="AW1419:AW1423" si="1679">AG1419</f>
        <v>0</v>
      </c>
      <c r="AX1419" s="52"/>
      <c r="AY1419" s="52"/>
      <c r="AZ1419" s="52"/>
      <c r="BA1419" s="52"/>
      <c r="BB1419" s="52"/>
      <c r="BC1419" s="52"/>
      <c r="BD1419" s="52"/>
      <c r="BE1419" s="52"/>
      <c r="BF1419" s="52"/>
      <c r="BG1419" s="52"/>
      <c r="BH1419" s="52"/>
      <c r="BI1419" s="68" cm="1">
        <f t="array" ref="BI1419">IFERROR(INDEX(AW1419:BH1419,1,MATCH(2,1/(AW1419:BH1419&lt;&gt;""))),"")</f>
        <v>0</v>
      </c>
      <c r="BJ1419" s="68" t="str" cm="1">
        <f t="array" ref="BJ1419">IF(BM1419 = "", "",IFERROR(INDEX(AW1419:BH1419,1,MATCH(2,1/(AW1419:BH1419&lt;&gt;""),1)-1),""))</f>
        <v/>
      </c>
      <c r="BK1419" s="59">
        <f t="shared" ref="BK1419:BK1423" si="1680">SUM(AW1419:BH1419)</f>
        <v>0</v>
      </c>
      <c r="BL1419" s="59">
        <f t="shared" ref="BL1419:BL1423" si="1681">SUM(AW1419:BE1419)</f>
        <v>0</v>
      </c>
      <c r="BM1419" s="55" t="str" cm="1">
        <f t="array" ref="BM1419">IFERROR(
   INDEX($AW$1:$BH$1,
      _xlfn.AGGREGATE(14, 6, COLUMN($AW$1:$BH$1)/(AW1419:BH1419&lt;&gt;""), 2) - COLUMN($AW$1) + 1
   ),
"")</f>
        <v/>
      </c>
      <c r="BN1419" s="55" cm="1">
        <f t="array" ref="BN1419">IFERROR(INDEX($AW$1:$BH$1,1,MATCH(2,1/(AW1419:BH1419&lt;&gt;""))),"")</f>
        <v>46023</v>
      </c>
      <c r="BO1419" s="53">
        <f ca="1">IFERROR(_xlfn.XLOOKUP(F1419,Apuração!A:A,Apuração!C:C)/_xlfn.XLOOKUP(F1419,Apuração!A:A,Apuração!B:B),0)</f>
        <v>0</v>
      </c>
      <c r="BP1419" s="53">
        <f ca="1">IFERROR(_xlfn.XLOOKUP(F1419,Apuração!A:A,Apuração!D:D)/_xlfn.XLOOKUP(F1419,Apuração!A:A,Apuração!B:B),0)</f>
        <v>0</v>
      </c>
      <c r="BQ1419" s="53">
        <f ca="1">IF(BK1419&gt;=BO1419,0,_xlfn.XLOOKUP(F1419,Apuração!A:A,Apuração!B:B)*(BO1419 + (1/_xlfn.XLOOKUP(F1419,Apuração!A:A,Apuração!B:B)) - BK1419))</f>
        <v>0</v>
      </c>
      <c r="BR1419" s="85">
        <f t="shared" ref="BR1419:BR1423" ca="1" si="1682">IF(BQ1419=0,0,BQ1419*Z1419)</f>
        <v>0</v>
      </c>
      <c r="BS1419" s="53">
        <f ca="1">IFERROR((_xlfn.XLOOKUP(F1419,Apuração!A:A,Apuração!C:C)+1)/_xlfn.XLOOKUP(F1419,Apuração!A:A,Apuração!B:B),0)</f>
        <v>0.14285714285714285</v>
      </c>
    </row>
    <row r="1420" spans="1:71" ht="25.95" hidden="1" customHeight="1" x14ac:dyDescent="0.3">
      <c r="A1420" s="44" t="s">
        <v>175</v>
      </c>
      <c r="B1420" s="4" t="s">
        <v>187</v>
      </c>
      <c r="C1420" s="5" t="s">
        <v>209</v>
      </c>
      <c r="D1420" s="5" t="s">
        <v>47</v>
      </c>
      <c r="E1420" s="4" t="s">
        <v>96</v>
      </c>
      <c r="F1420" s="4" t="str" cm="1">
        <f t="array" ref="F1420">_xlfn.IFS(
AG1420 &lt;&gt; "", "Jan-Dez/26",
AH1420 &lt;&gt; "", "Fev-Dez/26",
AI1420 &lt;&gt; "", "Mar-Dez/26", AJ1420 &lt;&gt; "", "Abr-Dez/26",
TRUE, "A partir de Junho"
)</f>
        <v>A partir de Junho</v>
      </c>
      <c r="G1420" s="4" t="s">
        <v>62</v>
      </c>
      <c r="H1420" s="7" t="s">
        <v>54</v>
      </c>
      <c r="I1420" s="34" t="s">
        <v>192</v>
      </c>
      <c r="J1420" s="8" t="str" cm="1">
        <f t="array" aca="1" ref="J1420" ca="1">_xlfn.LET(
  _xlpm.actual_value_month, INDEX(T1420:AE1420, MATCH(DATE(YEAR(TODAY()), MONTH(TODAY()), 1), $T$1:$AE$1, 0)),
  IF(_xlpm.actual_value_month &lt;&gt; "", _xlpm.actual_value_month &amp; " ações mensais", "")
)</f>
        <v/>
      </c>
      <c r="K1420" s="34" t="str" cm="1">
        <f t="array" ref="K1420">_xlfn.LET(
    _xlpm.sum_month, SUM(T1420:AE1420),
    IF(_xlpm.sum_month = 0, "", _xlpm.sum_month &amp; " colaboradores treinados.")
)</f>
        <v/>
      </c>
      <c r="L1420" s="4" t="s">
        <v>193</v>
      </c>
      <c r="M1420" s="9"/>
      <c r="N1420" s="5" t="s">
        <v>51</v>
      </c>
      <c r="O1420" s="5" t="s">
        <v>52</v>
      </c>
      <c r="P1420" s="10" t="s">
        <v>44</v>
      </c>
      <c r="Q1420" s="10" t="s">
        <v>44</v>
      </c>
      <c r="R1420" s="11" t="s">
        <v>44</v>
      </c>
      <c r="S1420" s="11" t="s">
        <v>44</v>
      </c>
      <c r="T1420" s="22"/>
      <c r="U1420" s="22"/>
      <c r="V1420" s="22"/>
      <c r="W1420" s="22"/>
      <c r="X1420" s="22"/>
      <c r="Y1420" s="22"/>
      <c r="Z1420" s="22"/>
      <c r="AA1420" s="22"/>
      <c r="AB1420" s="22"/>
      <c r="AC1420" s="22"/>
      <c r="AD1420" s="22"/>
      <c r="AE1420" s="22"/>
      <c r="AG1420" s="71"/>
      <c r="AH1420" s="71"/>
      <c r="AI1420" s="71"/>
      <c r="AJ1420" s="71"/>
      <c r="AK1420" s="71"/>
      <c r="AL1420" s="71"/>
      <c r="AM1420" s="71"/>
      <c r="AN1420" s="71"/>
      <c r="AO1420" s="71"/>
      <c r="AP1420" s="71"/>
      <c r="AQ1420" s="71"/>
      <c r="AR1420" s="71"/>
      <c r="AS1420" s="94" t="str" cm="1">
        <f t="array" ref="AS1420">IFERROR(INDEX(T1420:AE1420,1,MATCH(2,1/(T1420:AE1420&lt;&gt;""))),"")</f>
        <v/>
      </c>
      <c r="AT1420" s="95">
        <f t="shared" si="1677"/>
        <v>0</v>
      </c>
      <c r="AU1420" s="97">
        <f t="shared" si="1678"/>
        <v>0</v>
      </c>
      <c r="AW1420" s="52">
        <f t="shared" si="1679"/>
        <v>0</v>
      </c>
      <c r="AX1420" s="52"/>
      <c r="AY1420" s="52"/>
      <c r="AZ1420" s="52"/>
      <c r="BA1420" s="52"/>
      <c r="BB1420" s="52"/>
      <c r="BC1420" s="52"/>
      <c r="BD1420" s="52"/>
      <c r="BE1420" s="52"/>
      <c r="BF1420" s="52"/>
      <c r="BG1420" s="52"/>
      <c r="BH1420" s="52"/>
      <c r="BI1420" s="68" cm="1">
        <f t="array" ref="BI1420">IFERROR(INDEX(AW1420:BH1420,1,MATCH(2,1/(AW1420:BH1420&lt;&gt;""))),"")</f>
        <v>0</v>
      </c>
      <c r="BJ1420" s="68" t="str" cm="1">
        <f t="array" ref="BJ1420">IF(BM1420 = "", "",IFERROR(INDEX(AW1420:BH1420,1,MATCH(2,1/(AW1420:BH1420&lt;&gt;""),1)-1),""))</f>
        <v/>
      </c>
      <c r="BK1420" s="59">
        <f t="shared" si="1680"/>
        <v>0</v>
      </c>
      <c r="BL1420" s="59">
        <f t="shared" si="1681"/>
        <v>0</v>
      </c>
      <c r="BM1420" s="55" t="str" cm="1">
        <f t="array" ref="BM1420">IFERROR(
   INDEX($AW$1:$BH$1,
      _xlfn.AGGREGATE(14, 6, COLUMN($AW$1:$BH$1)/(AW1420:BH1420&lt;&gt;""), 2) - COLUMN($AW$1) + 1
   ),
"")</f>
        <v/>
      </c>
      <c r="BN1420" s="55" cm="1">
        <f t="array" ref="BN1420">IFERROR(INDEX($AW$1:$BH$1,1,MATCH(2,1/(AW1420:BH1420&lt;&gt;""))),"")</f>
        <v>46023</v>
      </c>
      <c r="BO1420" s="53">
        <f ca="1">IFERROR(_xlfn.XLOOKUP(F1420,Apuração!A:A,Apuração!C:C)/_xlfn.XLOOKUP(F1420,Apuração!A:A,Apuração!B:B),0)</f>
        <v>0</v>
      </c>
      <c r="BP1420" s="53">
        <f ca="1">IFERROR(_xlfn.XLOOKUP(F1420,Apuração!A:A,Apuração!D:D)/_xlfn.XLOOKUP(F1420,Apuração!A:A,Apuração!B:B),0)</f>
        <v>0</v>
      </c>
      <c r="BQ1420" s="53">
        <f ca="1">IF(BK1420&gt;=BO1420,0,_xlfn.XLOOKUP(F1420,Apuração!A:A,Apuração!B:B)*(BO1420 + (1/_xlfn.XLOOKUP(F1420,Apuração!A:A,Apuração!B:B)) - BK1420))</f>
        <v>0</v>
      </c>
      <c r="BR1420" s="85">
        <f t="shared" ca="1" si="1682"/>
        <v>0</v>
      </c>
      <c r="BS1420" s="53">
        <f ca="1">IFERROR((_xlfn.XLOOKUP(F1420,Apuração!A:A,Apuração!C:C)+1)/_xlfn.XLOOKUP(F1420,Apuração!A:A,Apuração!B:B),0)</f>
        <v>0.14285714285714285</v>
      </c>
    </row>
    <row r="1421" spans="1:71" ht="25.95" hidden="1" customHeight="1" x14ac:dyDescent="0.3">
      <c r="A1421" s="44" t="s">
        <v>175</v>
      </c>
      <c r="B1421" s="4" t="s">
        <v>187</v>
      </c>
      <c r="C1421" s="5" t="s">
        <v>209</v>
      </c>
      <c r="D1421" s="5" t="s">
        <v>211</v>
      </c>
      <c r="E1421" s="4" t="s">
        <v>96</v>
      </c>
      <c r="F1421" s="4" t="str" cm="1">
        <f t="array" ref="F1421">_xlfn.IFS(
AG1421 &lt;&gt; "", "Jan-Dez/26",
AH1421 &lt;&gt; "", "Fev-Dez/26",
AI1421 &lt;&gt; "", "Mar-Dez/26", AJ1421 &lt;&gt; "", "Abr-Dez/26",
TRUE, "A partir de Junho"
)</f>
        <v>A partir de Junho</v>
      </c>
      <c r="G1421" s="4" t="s">
        <v>62</v>
      </c>
      <c r="H1421" s="7" t="s">
        <v>54</v>
      </c>
      <c r="I1421" s="34" t="s">
        <v>192</v>
      </c>
      <c r="J1421" s="8" t="str" cm="1">
        <f t="array" aca="1" ref="J1421" ca="1">_xlfn.LET(
  _xlpm.actual_value_month, INDEX(T1421:AE1421, MATCH(DATE(YEAR(TODAY()), MONTH(TODAY()), 1), $T$1:$AE$1, 0)),
  IF(_xlpm.actual_value_month &lt;&gt; "", _xlpm.actual_value_month &amp; " ações mensais", "")
)</f>
        <v/>
      </c>
      <c r="K1421" s="34" t="str" cm="1">
        <f t="array" ref="K1421">_xlfn.LET(
    _xlpm.sum_month, SUM(T1421:AE1421),
    IF(_xlpm.sum_month = 0, "", _xlpm.sum_month &amp; " colaboradores treinados.")
)</f>
        <v/>
      </c>
      <c r="L1421" s="4" t="s">
        <v>193</v>
      </c>
      <c r="M1421" s="9"/>
      <c r="N1421" s="5" t="s">
        <v>51</v>
      </c>
      <c r="O1421" s="5" t="s">
        <v>52</v>
      </c>
      <c r="P1421" s="10" t="s">
        <v>44</v>
      </c>
      <c r="Q1421" s="10" t="s">
        <v>44</v>
      </c>
      <c r="R1421" s="11" t="s">
        <v>44</v>
      </c>
      <c r="S1421" s="11" t="s">
        <v>44</v>
      </c>
      <c r="T1421" s="22"/>
      <c r="U1421" s="22"/>
      <c r="V1421" s="22"/>
      <c r="W1421" s="22"/>
      <c r="X1421" s="22"/>
      <c r="Y1421" s="22"/>
      <c r="Z1421" s="22"/>
      <c r="AA1421" s="22"/>
      <c r="AB1421" s="22"/>
      <c r="AC1421" s="22"/>
      <c r="AD1421" s="22"/>
      <c r="AE1421" s="22"/>
      <c r="AG1421" s="71"/>
      <c r="AH1421" s="71"/>
      <c r="AI1421" s="71"/>
      <c r="AJ1421" s="71"/>
      <c r="AK1421" s="71"/>
      <c r="AL1421" s="71"/>
      <c r="AM1421" s="71"/>
      <c r="AN1421" s="71"/>
      <c r="AO1421" s="71"/>
      <c r="AP1421" s="71"/>
      <c r="AQ1421" s="71"/>
      <c r="AR1421" s="71"/>
      <c r="AS1421" s="94" t="str" cm="1">
        <f t="array" ref="AS1421">IFERROR(INDEX(T1421:AE1421,1,MATCH(2,1/(T1421:AE1421&lt;&gt;""))),"")</f>
        <v/>
      </c>
      <c r="AT1421" s="95">
        <f t="shared" si="1677"/>
        <v>0</v>
      </c>
      <c r="AU1421" s="97">
        <f t="shared" si="1678"/>
        <v>0</v>
      </c>
      <c r="AW1421" s="52">
        <f t="shared" si="1679"/>
        <v>0</v>
      </c>
      <c r="AX1421" s="52"/>
      <c r="AY1421" s="52"/>
      <c r="AZ1421" s="52"/>
      <c r="BA1421" s="52"/>
      <c r="BB1421" s="52"/>
      <c r="BC1421" s="52"/>
      <c r="BD1421" s="52"/>
      <c r="BE1421" s="52"/>
      <c r="BF1421" s="52"/>
      <c r="BG1421" s="52"/>
      <c r="BH1421" s="52"/>
      <c r="BI1421" s="68" cm="1">
        <f t="array" ref="BI1421">IFERROR(INDEX(AW1421:BH1421,1,MATCH(2,1/(AW1421:BH1421&lt;&gt;""))),"")</f>
        <v>0</v>
      </c>
      <c r="BJ1421" s="68" t="str" cm="1">
        <f t="array" ref="BJ1421">IF(BM1421 = "", "",IFERROR(INDEX(AW1421:BH1421,1,MATCH(2,1/(AW1421:BH1421&lt;&gt;""),1)-1),""))</f>
        <v/>
      </c>
      <c r="BK1421" s="59">
        <f t="shared" si="1680"/>
        <v>0</v>
      </c>
      <c r="BL1421" s="59">
        <f t="shared" si="1681"/>
        <v>0</v>
      </c>
      <c r="BM1421" s="55" t="str" cm="1">
        <f t="array" ref="BM1421">IFERROR(
   INDEX($AW$1:$BH$1,
      _xlfn.AGGREGATE(14, 6, COLUMN($AW$1:$BH$1)/(AW1421:BH1421&lt;&gt;""), 2) - COLUMN($AW$1) + 1
   ),
"")</f>
        <v/>
      </c>
      <c r="BN1421" s="55" cm="1">
        <f t="array" ref="BN1421">IFERROR(INDEX($AW$1:$BH$1,1,MATCH(2,1/(AW1421:BH1421&lt;&gt;""))),"")</f>
        <v>46023</v>
      </c>
      <c r="BO1421" s="53">
        <f ca="1">IFERROR(_xlfn.XLOOKUP(F1421,Apuração!A:A,Apuração!C:C)/_xlfn.XLOOKUP(F1421,Apuração!A:A,Apuração!B:B),0)</f>
        <v>0</v>
      </c>
      <c r="BP1421" s="53">
        <f ca="1">IFERROR(_xlfn.XLOOKUP(F1421,Apuração!A:A,Apuração!D:D)/_xlfn.XLOOKUP(F1421,Apuração!A:A,Apuração!B:B),0)</f>
        <v>0</v>
      </c>
      <c r="BQ1421" s="53">
        <f ca="1">IF(BK1421&gt;=BO1421,0,_xlfn.XLOOKUP(F1421,Apuração!A:A,Apuração!B:B)*(BO1421 + (1/_xlfn.XLOOKUP(F1421,Apuração!A:A,Apuração!B:B)) - BK1421))</f>
        <v>0</v>
      </c>
      <c r="BR1421" s="85">
        <f t="shared" ca="1" si="1682"/>
        <v>0</v>
      </c>
      <c r="BS1421" s="53">
        <f ca="1">IFERROR((_xlfn.XLOOKUP(F1421,Apuração!A:A,Apuração!C:C)+1)/_xlfn.XLOOKUP(F1421,Apuração!A:A,Apuração!B:B),0)</f>
        <v>0.14285714285714285</v>
      </c>
    </row>
    <row r="1422" spans="1:71" ht="25.95" hidden="1" customHeight="1" x14ac:dyDescent="0.3">
      <c r="A1422" s="44" t="s">
        <v>175</v>
      </c>
      <c r="B1422" s="4" t="s">
        <v>187</v>
      </c>
      <c r="C1422" s="5" t="s">
        <v>209</v>
      </c>
      <c r="D1422" s="5" t="s">
        <v>212</v>
      </c>
      <c r="E1422" s="4" t="s">
        <v>96</v>
      </c>
      <c r="F1422" s="4" t="str" cm="1">
        <f t="array" ref="F1422">_xlfn.IFS(
AG1422 &lt;&gt; "", "Jan-Dez/26",
AH1422 &lt;&gt; "", "Fev-Dez/26",
AI1422 &lt;&gt; "", "Mar-Dez/26", AJ1422 &lt;&gt; "", "Abr-Dez/26",
TRUE, "A partir de Junho"
)</f>
        <v>A partir de Junho</v>
      </c>
      <c r="G1422" s="4" t="s">
        <v>62</v>
      </c>
      <c r="H1422" s="7" t="s">
        <v>54</v>
      </c>
      <c r="I1422" s="34" t="s">
        <v>192</v>
      </c>
      <c r="J1422" s="8" t="str" cm="1">
        <f t="array" aca="1" ref="J1422" ca="1">_xlfn.LET(
  _xlpm.actual_value_month, INDEX(T1422:AE1422, MATCH(DATE(YEAR(TODAY()), MONTH(TODAY()), 1), $T$1:$AE$1, 0)),
  IF(_xlpm.actual_value_month &lt;&gt; "", _xlpm.actual_value_month &amp; " ações mensais", "")
)</f>
        <v/>
      </c>
      <c r="K1422" s="34" t="str" cm="1">
        <f t="array" ref="K1422">_xlfn.LET(
    _xlpm.sum_month, SUM(T1422:AE1422),
    IF(_xlpm.sum_month = 0, "", _xlpm.sum_month &amp; " colaboradores treinados.")
)</f>
        <v/>
      </c>
      <c r="L1422" s="4" t="s">
        <v>193</v>
      </c>
      <c r="M1422" s="9"/>
      <c r="N1422" s="5" t="s">
        <v>51</v>
      </c>
      <c r="O1422" s="5" t="s">
        <v>52</v>
      </c>
      <c r="P1422" s="10" t="s">
        <v>44</v>
      </c>
      <c r="Q1422" s="10" t="s">
        <v>44</v>
      </c>
      <c r="R1422" s="11" t="s">
        <v>44</v>
      </c>
      <c r="S1422" s="11" t="s">
        <v>44</v>
      </c>
      <c r="T1422" s="22"/>
      <c r="U1422" s="22"/>
      <c r="V1422" s="22"/>
      <c r="W1422" s="22"/>
      <c r="X1422" s="22"/>
      <c r="Y1422" s="22"/>
      <c r="Z1422" s="22"/>
      <c r="AA1422" s="22"/>
      <c r="AB1422" s="22"/>
      <c r="AC1422" s="22"/>
      <c r="AD1422" s="22"/>
      <c r="AE1422" s="22"/>
      <c r="AG1422" s="71"/>
      <c r="AH1422" s="71"/>
      <c r="AI1422" s="71"/>
      <c r="AJ1422" s="71"/>
      <c r="AK1422" s="71"/>
      <c r="AL1422" s="71"/>
      <c r="AM1422" s="71"/>
      <c r="AN1422" s="71"/>
      <c r="AO1422" s="71"/>
      <c r="AP1422" s="71"/>
      <c r="AQ1422" s="71"/>
      <c r="AR1422" s="71"/>
      <c r="AS1422" s="94" t="str" cm="1">
        <f t="array" ref="AS1422">IFERROR(INDEX(T1422:AE1422,1,MATCH(2,1/(T1422:AE1422&lt;&gt;""))),"")</f>
        <v/>
      </c>
      <c r="AT1422" s="95">
        <f t="shared" si="1677"/>
        <v>0</v>
      </c>
      <c r="AU1422" s="97">
        <f t="shared" si="1678"/>
        <v>0</v>
      </c>
      <c r="AW1422" s="52">
        <f t="shared" si="1679"/>
        <v>0</v>
      </c>
      <c r="AX1422" s="52"/>
      <c r="AY1422" s="52"/>
      <c r="AZ1422" s="52"/>
      <c r="BA1422" s="52"/>
      <c r="BB1422" s="52"/>
      <c r="BC1422" s="52"/>
      <c r="BD1422" s="52"/>
      <c r="BE1422" s="52"/>
      <c r="BF1422" s="52"/>
      <c r="BG1422" s="52"/>
      <c r="BH1422" s="52"/>
      <c r="BI1422" s="68" cm="1">
        <f t="array" ref="BI1422">IFERROR(INDEX(AW1422:BH1422,1,MATCH(2,1/(AW1422:BH1422&lt;&gt;""))),"")</f>
        <v>0</v>
      </c>
      <c r="BJ1422" s="68" t="str" cm="1">
        <f t="array" ref="BJ1422">IF(BM1422 = "", "",IFERROR(INDEX(AW1422:BH1422,1,MATCH(2,1/(AW1422:BH1422&lt;&gt;""),1)-1),""))</f>
        <v/>
      </c>
      <c r="BK1422" s="59">
        <f t="shared" si="1680"/>
        <v>0</v>
      </c>
      <c r="BL1422" s="59">
        <f t="shared" si="1681"/>
        <v>0</v>
      </c>
      <c r="BM1422" s="55" t="str" cm="1">
        <f t="array" ref="BM1422">IFERROR(
   INDEX($AW$1:$BH$1,
      _xlfn.AGGREGATE(14, 6, COLUMN($AW$1:$BH$1)/(AW1422:BH1422&lt;&gt;""), 2) - COLUMN($AW$1) + 1
   ),
"")</f>
        <v/>
      </c>
      <c r="BN1422" s="55" cm="1">
        <f t="array" ref="BN1422">IFERROR(INDEX($AW$1:$BH$1,1,MATCH(2,1/(AW1422:BH1422&lt;&gt;""))),"")</f>
        <v>46023</v>
      </c>
      <c r="BO1422" s="53">
        <f ca="1">IFERROR(_xlfn.XLOOKUP(F1422,Apuração!A:A,Apuração!C:C)/_xlfn.XLOOKUP(F1422,Apuração!A:A,Apuração!B:B),0)</f>
        <v>0</v>
      </c>
      <c r="BP1422" s="53">
        <f ca="1">IFERROR(_xlfn.XLOOKUP(F1422,Apuração!A:A,Apuração!D:D)/_xlfn.XLOOKUP(F1422,Apuração!A:A,Apuração!B:B),0)</f>
        <v>0</v>
      </c>
      <c r="BQ1422" s="53">
        <f ca="1">IF(BK1422&gt;=BO1422,0,_xlfn.XLOOKUP(F1422,Apuração!A:A,Apuração!B:B)*(BO1422 + (1/_xlfn.XLOOKUP(F1422,Apuração!A:A,Apuração!B:B)) - BK1422))</f>
        <v>0</v>
      </c>
      <c r="BR1422" s="85">
        <f t="shared" ca="1" si="1682"/>
        <v>0</v>
      </c>
      <c r="BS1422" s="53">
        <f ca="1">IFERROR((_xlfn.XLOOKUP(F1422,Apuração!A:A,Apuração!C:C)+1)/_xlfn.XLOOKUP(F1422,Apuração!A:A,Apuração!B:B),0)</f>
        <v>0.14285714285714285</v>
      </c>
    </row>
    <row r="1423" spans="1:71" ht="25.95" hidden="1" customHeight="1" x14ac:dyDescent="0.3">
      <c r="A1423" s="44" t="s">
        <v>175</v>
      </c>
      <c r="B1423" s="4" t="s">
        <v>187</v>
      </c>
      <c r="C1423" s="5" t="s">
        <v>209</v>
      </c>
      <c r="D1423" s="5" t="s">
        <v>213</v>
      </c>
      <c r="E1423" s="4" t="s">
        <v>96</v>
      </c>
      <c r="F1423" s="4" t="str" cm="1">
        <f t="array" ref="F1423">_xlfn.IFS(
AG1423 &lt;&gt; "", "Jan-Dez/26",
AH1423 &lt;&gt; "", "Fev-Dez/26",
AI1423 &lt;&gt; "", "Mar-Dez/26", AJ1423 &lt;&gt; "", "Abr-Dez/26",
TRUE, "A partir de Junho"
)</f>
        <v>A partir de Junho</v>
      </c>
      <c r="G1423" s="4" t="s">
        <v>62</v>
      </c>
      <c r="H1423" s="7" t="s">
        <v>54</v>
      </c>
      <c r="I1423" s="34" t="s">
        <v>192</v>
      </c>
      <c r="J1423" s="8" t="str" cm="1">
        <f t="array" aca="1" ref="J1423" ca="1">_xlfn.LET(
  _xlpm.actual_value_month, INDEX(T1423:AE1423, MATCH(DATE(YEAR(TODAY()), MONTH(TODAY()), 1), $T$1:$AE$1, 0)),
  IF(_xlpm.actual_value_month &lt;&gt; "", _xlpm.actual_value_month &amp; " ações mensais", "")
)</f>
        <v/>
      </c>
      <c r="K1423" s="34" t="str" cm="1">
        <f t="array" ref="K1423">_xlfn.LET(
    _xlpm.sum_month, SUM(T1423:AE1423),
    IF(_xlpm.sum_month = 0, "", _xlpm.sum_month &amp; " colaboradores treinados.")
)</f>
        <v/>
      </c>
      <c r="L1423" s="4" t="s">
        <v>193</v>
      </c>
      <c r="M1423" s="9"/>
      <c r="N1423" s="5" t="s">
        <v>51</v>
      </c>
      <c r="O1423" s="5" t="s">
        <v>52</v>
      </c>
      <c r="P1423" s="10" t="s">
        <v>44</v>
      </c>
      <c r="Q1423" s="10" t="s">
        <v>44</v>
      </c>
      <c r="R1423" s="11" t="s">
        <v>44</v>
      </c>
      <c r="S1423" s="11" t="s">
        <v>44</v>
      </c>
      <c r="T1423" s="22"/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/>
      <c r="AG1423" s="71"/>
      <c r="AH1423" s="71"/>
      <c r="AI1423" s="71"/>
      <c r="AJ1423" s="71"/>
      <c r="AK1423" s="71"/>
      <c r="AL1423" s="71"/>
      <c r="AM1423" s="71"/>
      <c r="AN1423" s="71"/>
      <c r="AO1423" s="71"/>
      <c r="AP1423" s="71"/>
      <c r="AQ1423" s="71"/>
      <c r="AR1423" s="71"/>
      <c r="AS1423" s="94" t="str" cm="1">
        <f t="array" ref="AS1423">IFERROR(INDEX(T1423:AE1423,1,MATCH(2,1/(T1423:AE1423&lt;&gt;""))),"")</f>
        <v/>
      </c>
      <c r="AT1423" s="95">
        <f t="shared" si="1677"/>
        <v>0</v>
      </c>
      <c r="AU1423" s="97">
        <f t="shared" si="1678"/>
        <v>0</v>
      </c>
      <c r="AW1423" s="52">
        <f t="shared" si="1679"/>
        <v>0</v>
      </c>
      <c r="AX1423" s="52"/>
      <c r="AY1423" s="52"/>
      <c r="AZ1423" s="52"/>
      <c r="BA1423" s="52"/>
      <c r="BB1423" s="52"/>
      <c r="BC1423" s="52"/>
      <c r="BD1423" s="52"/>
      <c r="BE1423" s="52"/>
      <c r="BF1423" s="52"/>
      <c r="BG1423" s="52"/>
      <c r="BH1423" s="52"/>
      <c r="BI1423" s="68" cm="1">
        <f t="array" ref="BI1423">IFERROR(INDEX(AW1423:BH1423,1,MATCH(2,1/(AW1423:BH1423&lt;&gt;""))),"")</f>
        <v>0</v>
      </c>
      <c r="BJ1423" s="68" t="str" cm="1">
        <f t="array" ref="BJ1423">IF(BM1423 = "", "",IFERROR(INDEX(AW1423:BH1423,1,MATCH(2,1/(AW1423:BH1423&lt;&gt;""),1)-1),""))</f>
        <v/>
      </c>
      <c r="BK1423" s="59">
        <f t="shared" si="1680"/>
        <v>0</v>
      </c>
      <c r="BL1423" s="59">
        <f t="shared" si="1681"/>
        <v>0</v>
      </c>
      <c r="BM1423" s="55" t="str" cm="1">
        <f t="array" ref="BM1423">IFERROR(
   INDEX($AW$1:$BH$1,
      _xlfn.AGGREGATE(14, 6, COLUMN($AW$1:$BH$1)/(AW1423:BH1423&lt;&gt;""), 2) - COLUMN($AW$1) + 1
   ),
"")</f>
        <v/>
      </c>
      <c r="BN1423" s="55" cm="1">
        <f t="array" ref="BN1423">IFERROR(INDEX($AW$1:$BH$1,1,MATCH(2,1/(AW1423:BH1423&lt;&gt;""))),"")</f>
        <v>46023</v>
      </c>
      <c r="BO1423" s="53">
        <f ca="1">IFERROR(_xlfn.XLOOKUP(F1423,Apuração!A:A,Apuração!C:C)/_xlfn.XLOOKUP(F1423,Apuração!A:A,Apuração!B:B),0)</f>
        <v>0</v>
      </c>
      <c r="BP1423" s="53">
        <f ca="1">IFERROR(_xlfn.XLOOKUP(F1423,Apuração!A:A,Apuração!D:D)/_xlfn.XLOOKUP(F1423,Apuração!A:A,Apuração!B:B),0)</f>
        <v>0</v>
      </c>
      <c r="BQ1423" s="53">
        <f ca="1">IF(BK1423&gt;=BO1423,0,_xlfn.XLOOKUP(F1423,Apuração!A:A,Apuração!B:B)*(BO1423 + (1/_xlfn.XLOOKUP(F1423,Apuração!A:A,Apuração!B:B)) - BK1423))</f>
        <v>0</v>
      </c>
      <c r="BR1423" s="85">
        <f t="shared" ca="1" si="1682"/>
        <v>0</v>
      </c>
      <c r="BS1423" s="53">
        <f ca="1">IFERROR((_xlfn.XLOOKUP(F1423,Apuração!A:A,Apuração!C:C)+1)/_xlfn.XLOOKUP(F1423,Apuração!A:A,Apuração!B:B),0)</f>
        <v>0.14285714285714285</v>
      </c>
    </row>
    <row r="1424" spans="1:71" ht="25.95" hidden="1" customHeight="1" x14ac:dyDescent="0.3">
      <c r="A1424" s="33" t="s">
        <v>175</v>
      </c>
      <c r="B1424" s="4" t="s">
        <v>194</v>
      </c>
      <c r="C1424" s="5" t="s">
        <v>209</v>
      </c>
      <c r="D1424" s="5" t="s">
        <v>36</v>
      </c>
      <c r="E1424" s="4" t="s">
        <v>96</v>
      </c>
      <c r="F1424" s="4" t="str" cm="1">
        <f t="array" ref="F1424">_xlfn.IFS(
AG1424 &lt;&gt; "", "Jan-Dez/26",
AH1424 &lt;&gt; "", "Fev-Dez/26",
AI1424 &lt;&gt; "", "Mar-Dez/26", AJ1424 &lt;&gt; "", "Abr-Dez/26",
TRUE, "A partir de Junho"
)</f>
        <v>A partir de Junho</v>
      </c>
      <c r="G1424" s="4" t="s">
        <v>62</v>
      </c>
      <c r="H1424" s="7" t="s">
        <v>38</v>
      </c>
      <c r="I1424" s="8" t="s">
        <v>177</v>
      </c>
      <c r="J1424" s="8" t="str" cm="1">
        <f t="array" aca="1" ref="J1424" ca="1">_xlfn.LET(
  _xlpm.actual_value_month, INDEX(T1424:AE1424, MATCH(DATE(YEAR(TODAY()), MONTH(TODAY()), 1), $T$1:$AE$1, 0)),
  IF(_xlpm.actual_value_month &lt;&gt; "", _xlpm.actual_value_month &amp; " ações mensais", "")
)</f>
        <v/>
      </c>
      <c r="K1424" s="8" t="str" cm="1">
        <f t="array" ref="K1424">_xlfn.LET(
    _xlpm.sum_month, SUM(T1424:AE1424),
    IF(_xlpm.sum_month = 0, "", _xlpm.sum_month &amp; " certificados gerados.")
)</f>
        <v/>
      </c>
      <c r="L1424" s="9" t="s">
        <v>195</v>
      </c>
      <c r="M1424" s="13">
        <v>1</v>
      </c>
      <c r="N1424" s="5" t="s">
        <v>42</v>
      </c>
      <c r="O1424" s="5" t="s">
        <v>43</v>
      </c>
      <c r="P1424" s="10" t="s">
        <v>146</v>
      </c>
      <c r="Q1424" s="10" t="s">
        <v>44</v>
      </c>
      <c r="R1424" s="11" t="s">
        <v>179</v>
      </c>
      <c r="S1424" s="11" t="s">
        <v>67</v>
      </c>
      <c r="T1424" s="22"/>
      <c r="U1424" s="22"/>
      <c r="V1424" s="22"/>
      <c r="W1424" s="22"/>
      <c r="X1424" s="22"/>
      <c r="Y1424" s="22"/>
      <c r="Z1424" s="22"/>
      <c r="AA1424" s="22"/>
      <c r="AB1424" s="22"/>
      <c r="AC1424" s="22"/>
      <c r="AD1424" s="22"/>
      <c r="AE1424" s="22"/>
      <c r="AG1424" s="71"/>
      <c r="AH1424" s="71"/>
      <c r="AI1424" s="71"/>
      <c r="AJ1424" s="71"/>
      <c r="AK1424" s="71"/>
      <c r="AL1424" s="71"/>
      <c r="AM1424" s="71"/>
      <c r="AN1424" s="71"/>
      <c r="AO1424" s="71"/>
      <c r="AP1424" s="71"/>
      <c r="AQ1424" s="71"/>
      <c r="AR1424" s="71"/>
      <c r="AS1424" s="94" t="str" cm="1">
        <f t="array" ref="AS1424">IFERROR(INDEX(T1424:AE1424,1,MATCH(2,1/(T1424:AE1424&lt;&gt;""))),"")</f>
        <v/>
      </c>
      <c r="AT1424" s="95" t="str" cm="1">
        <f t="array" ref="AT1424">IFERROR(INDEX(AJ1424:AR1424,1,MATCH(2,1/(AJ1424:AR1424&lt;&gt;""))),"")</f>
        <v/>
      </c>
      <c r="AU1424" s="97" t="str">
        <f>AT1424</f>
        <v/>
      </c>
      <c r="AW1424" s="51"/>
      <c r="AX1424" s="51"/>
      <c r="AY1424" s="51"/>
      <c r="AZ1424" s="51"/>
      <c r="BA1424" s="51"/>
      <c r="BB1424" s="51"/>
      <c r="BC1424" s="51"/>
      <c r="BD1424" s="51"/>
      <c r="BE1424" s="51"/>
      <c r="BF1424" s="51"/>
      <c r="BG1424" s="51"/>
      <c r="BH1424" s="51"/>
      <c r="BI1424" s="65" t="str" cm="1">
        <f t="array" ref="BI1424">IFERROR(INDEX(AW1424:BH1424,1,MATCH(2,1/(AW1424:BH1424&lt;&gt;""))),"")</f>
        <v/>
      </c>
      <c r="BJ1424" s="68" t="str" cm="1">
        <f t="array" ref="BJ1424">IF(BM1424 = "", "",IFERROR(INDEX(AW1424:BH1424,1,MATCH(2,1/(AW1424:BH1424&lt;&gt;""),1)-1),""))</f>
        <v/>
      </c>
      <c r="BK1424" s="58" t="str" cm="1">
        <f t="array" ref="BK1424">IFERROR(INDEX(AW1424:BH1424,1,MATCH(2,1/(AW1424:BH1424&lt;&gt;""))),"")</f>
        <v/>
      </c>
      <c r="BL1424" s="58" t="str" cm="1">
        <f t="array" ref="BL1424">IFERROR(INDEX(AW1424:BH1424,1,MATCH(2,1/(AW1424:BH1424&lt;&gt;""),1)-1),"")</f>
        <v/>
      </c>
      <c r="BM1424" s="55" t="str" cm="1">
        <f t="array" ref="BM1424">IFERROR(
   INDEX($AW$1:$BH$1,
      _xlfn.AGGREGATE(14, 6, COLUMN($AW$1:$BH$1)/(AW1424:BH1424&lt;&gt;""), 2) - COLUMN($AW$1) + 1
   ),
"")</f>
        <v/>
      </c>
      <c r="BN1424" s="55" t="str" cm="1">
        <f t="array" ref="BN1424">IFERROR(INDEX($AW$1:$BH$1,1,MATCH(2,1/(AW1424:BH1424&lt;&gt;""))),"")</f>
        <v/>
      </c>
      <c r="BO1424" s="53">
        <f ca="1">IFERROR(_xlfn.XLOOKUP(F1424,Apuração!A:A,Apuração!C:C)/_xlfn.XLOOKUP(F1424,Apuração!A:A,Apuração!B:B),0)</f>
        <v>0</v>
      </c>
      <c r="BP1424" s="53">
        <f ca="1">IFERROR(_xlfn.XLOOKUP(F1424,Apuração!A:A,Apuração!D:D)/_xlfn.XLOOKUP(F1424,Apuração!A:A,Apuração!B:B),0)</f>
        <v>0</v>
      </c>
      <c r="BQ1424" s="53">
        <f ca="1">IF(BK1424&gt;=BO1424,0,_xlfn.XLOOKUP(F1424,Apuração!A:A,Apuração!B:B)*(BO1424 + (1/_xlfn.XLOOKUP(F1424,Apuração!A:A,Apuração!B:B)) - BK1424))</f>
        <v>0</v>
      </c>
      <c r="BR1424" s="85">
        <f ca="1">IF(BQ1424=0,0,BQ1424*Z1424)</f>
        <v>0</v>
      </c>
      <c r="BS1424" s="53">
        <f ca="1">IFERROR((_xlfn.XLOOKUP(F1424,Apuração!A:A,Apuração!C:C)+1)/_xlfn.XLOOKUP(F1424,Apuração!A:A,Apuração!B:B),0)</f>
        <v>0.14285714285714285</v>
      </c>
    </row>
    <row r="1425" spans="1:71" ht="25.95" hidden="1" customHeight="1" x14ac:dyDescent="0.3">
      <c r="A1425" s="33" t="s">
        <v>175</v>
      </c>
      <c r="B1425" s="4" t="s">
        <v>194</v>
      </c>
      <c r="C1425" s="5" t="s">
        <v>209</v>
      </c>
      <c r="D1425" s="5" t="s">
        <v>210</v>
      </c>
      <c r="E1425" s="4" t="s">
        <v>96</v>
      </c>
      <c r="F1425" s="4" t="str" cm="1">
        <f t="array" ref="F1425">_xlfn.IFS(
AG1425 &lt;&gt; "", "Jan-Dez/26",
AH1425 &lt;&gt; "", "Fev-Dez/26",
AI1425 &lt;&gt; "", "Mar-Dez/26", AJ1425 &lt;&gt; "", "Abr-Dez/26",
TRUE, "A partir de Junho"
)</f>
        <v>A partir de Junho</v>
      </c>
      <c r="G1425" s="4" t="s">
        <v>62</v>
      </c>
      <c r="H1425" s="7" t="s">
        <v>38</v>
      </c>
      <c r="I1425" s="8" t="s">
        <v>177</v>
      </c>
      <c r="J1425" s="8" t="str" cm="1">
        <f t="array" aca="1" ref="J1425" ca="1">_xlfn.LET(
  _xlpm.actual_value_month, INDEX(T1425:AE1425, MATCH(DATE(YEAR(TODAY()), MONTH(TODAY()), 1), $T$1:$AE$1, 0)),
  IF(_xlpm.actual_value_month &lt;&gt; "", _xlpm.actual_value_month &amp; " ações mensais", "")
)</f>
        <v/>
      </c>
      <c r="K1425" s="8" t="str" cm="1">
        <f t="array" ref="K1425">_xlfn.LET(
    _xlpm.sum_month, SUM(T1425:AE1425),
    IF(_xlpm.sum_month = 0, "", _xlpm.sum_month &amp; " certificados gerados.")
)</f>
        <v/>
      </c>
      <c r="L1425" s="9" t="s">
        <v>195</v>
      </c>
      <c r="M1425" s="13">
        <v>1</v>
      </c>
      <c r="N1425" s="5" t="s">
        <v>42</v>
      </c>
      <c r="O1425" s="5" t="s">
        <v>43</v>
      </c>
      <c r="P1425" s="10" t="s">
        <v>146</v>
      </c>
      <c r="Q1425" s="10" t="s">
        <v>44</v>
      </c>
      <c r="R1425" s="11" t="s">
        <v>179</v>
      </c>
      <c r="S1425" s="11" t="s">
        <v>67</v>
      </c>
      <c r="T1425" s="22"/>
      <c r="U1425" s="22"/>
      <c r="V1425" s="22"/>
      <c r="W1425" s="22"/>
      <c r="X1425" s="22"/>
      <c r="Y1425" s="22"/>
      <c r="Z1425" s="22"/>
      <c r="AA1425" s="22"/>
      <c r="AB1425" s="22"/>
      <c r="AC1425" s="22"/>
      <c r="AD1425" s="22"/>
      <c r="AE1425" s="22"/>
      <c r="AG1425" s="71"/>
      <c r="AH1425" s="71"/>
      <c r="AI1425" s="71"/>
      <c r="AJ1425" s="71"/>
      <c r="AK1425" s="71"/>
      <c r="AL1425" s="71"/>
      <c r="AM1425" s="71"/>
      <c r="AN1425" s="71"/>
      <c r="AO1425" s="71"/>
      <c r="AP1425" s="71"/>
      <c r="AQ1425" s="71"/>
      <c r="AR1425" s="71"/>
      <c r="AS1425" s="94" t="str" cm="1">
        <f t="array" ref="AS1425">IFERROR(INDEX(T1425:AE1425,1,MATCH(2,1/(T1425:AE1425&lt;&gt;""))),"")</f>
        <v/>
      </c>
      <c r="AT1425" s="95" t="str" cm="1">
        <f t="array" ref="AT1425">IFERROR(INDEX(AJ1425:AR1425,1,MATCH(2,1/(AJ1425:AR1425&lt;&gt;""))),"")</f>
        <v/>
      </c>
      <c r="AU1425" s="97" t="str">
        <f t="shared" ref="AU1425:AU1429" si="1683">AT1425</f>
        <v/>
      </c>
      <c r="AW1425" s="51"/>
      <c r="AX1425" s="51"/>
      <c r="AY1425" s="51"/>
      <c r="AZ1425" s="51"/>
      <c r="BA1425" s="51"/>
      <c r="BB1425" s="51"/>
      <c r="BC1425" s="51"/>
      <c r="BD1425" s="51"/>
      <c r="BE1425" s="51"/>
      <c r="BF1425" s="51"/>
      <c r="BG1425" s="51"/>
      <c r="BH1425" s="51"/>
      <c r="BI1425" s="65" t="str" cm="1">
        <f t="array" ref="BI1425">IFERROR(INDEX(AW1425:BH1425,1,MATCH(2,1/(AW1425:BH1425&lt;&gt;""))),"")</f>
        <v/>
      </c>
      <c r="BJ1425" s="68" t="str" cm="1">
        <f t="array" ref="BJ1425">IF(BM1425 = "", "",IFERROR(INDEX(AW1425:BH1425,1,MATCH(2,1/(AW1425:BH1425&lt;&gt;""),1)-1),""))</f>
        <v/>
      </c>
      <c r="BK1425" s="58" t="str" cm="1">
        <f t="array" ref="BK1425">IFERROR(INDEX(AW1425:BH1425,1,MATCH(2,1/(AW1425:BH1425&lt;&gt;""))),"")</f>
        <v/>
      </c>
      <c r="BL1425" s="58" t="str" cm="1">
        <f t="array" ref="BL1425">IFERROR(INDEX(AW1425:BH1425,1,MATCH(2,1/(AW1425:BH1425&lt;&gt;""),1)-1),"")</f>
        <v/>
      </c>
      <c r="BM1425" s="55" t="str" cm="1">
        <f t="array" ref="BM1425">IFERROR(
   INDEX($AW$1:$BH$1,
      _xlfn.AGGREGATE(14, 6, COLUMN($AW$1:$BH$1)/(AW1425:BH1425&lt;&gt;""), 2) - COLUMN($AW$1) + 1
   ),
"")</f>
        <v/>
      </c>
      <c r="BN1425" s="55" t="str" cm="1">
        <f t="array" ref="BN1425">IFERROR(INDEX($AW$1:$BH$1,1,MATCH(2,1/(AW1425:BH1425&lt;&gt;""))),"")</f>
        <v/>
      </c>
      <c r="BO1425" s="53">
        <f ca="1">IFERROR(_xlfn.XLOOKUP(F1425,Apuração!A:A,Apuração!C:C)/_xlfn.XLOOKUP(F1425,Apuração!A:A,Apuração!B:B),0)</f>
        <v>0</v>
      </c>
      <c r="BP1425" s="53">
        <f ca="1">IFERROR(_xlfn.XLOOKUP(F1425,Apuração!A:A,Apuração!D:D)/_xlfn.XLOOKUP(F1425,Apuração!A:A,Apuração!B:B),0)</f>
        <v>0</v>
      </c>
      <c r="BQ1425" s="53">
        <f ca="1">IF(BK1425&gt;=BO1425,0,_xlfn.XLOOKUP(F1425,Apuração!A:A,Apuração!B:B)*(BO1425 + (1/_xlfn.XLOOKUP(F1425,Apuração!A:A,Apuração!B:B)) - BK1425))</f>
        <v>0</v>
      </c>
      <c r="BR1425" s="85">
        <f t="shared" ref="BR1425:BR1429" ca="1" si="1684">IF(BQ1425=0,0,BQ1425*Z1425)</f>
        <v>0</v>
      </c>
      <c r="BS1425" s="53">
        <f ca="1">IFERROR((_xlfn.XLOOKUP(F1425,Apuração!A:A,Apuração!C:C)+1)/_xlfn.XLOOKUP(F1425,Apuração!A:A,Apuração!B:B),0)</f>
        <v>0.14285714285714285</v>
      </c>
    </row>
    <row r="1426" spans="1:71" ht="25.95" hidden="1" customHeight="1" x14ac:dyDescent="0.3">
      <c r="A1426" s="33" t="s">
        <v>175</v>
      </c>
      <c r="B1426" s="4" t="s">
        <v>194</v>
      </c>
      <c r="C1426" s="5" t="s">
        <v>209</v>
      </c>
      <c r="D1426" s="5" t="s">
        <v>47</v>
      </c>
      <c r="E1426" s="4" t="s">
        <v>96</v>
      </c>
      <c r="F1426" s="4" t="str" cm="1">
        <f t="array" ref="F1426">_xlfn.IFS(
AG1426 &lt;&gt; "", "Jan-Dez/26",
AH1426 &lt;&gt; "", "Fev-Dez/26",
AI1426 &lt;&gt; "", "Mar-Dez/26", AJ1426 &lt;&gt; "", "Abr-Dez/26",
TRUE, "A partir de Junho"
)</f>
        <v>A partir de Junho</v>
      </c>
      <c r="G1426" s="4" t="s">
        <v>62</v>
      </c>
      <c r="H1426" s="7" t="s">
        <v>38</v>
      </c>
      <c r="I1426" s="8" t="s">
        <v>177</v>
      </c>
      <c r="J1426" s="8" t="str" cm="1">
        <f t="array" aca="1" ref="J1426" ca="1">_xlfn.LET(
  _xlpm.actual_value_month, INDEX(T1426:AE1426, MATCH(DATE(YEAR(TODAY()), MONTH(TODAY()), 1), $T$1:$AE$1, 0)),
  IF(_xlpm.actual_value_month &lt;&gt; "", _xlpm.actual_value_month &amp; " ações mensais", "")
)</f>
        <v/>
      </c>
      <c r="K1426" s="8" t="str" cm="1">
        <f t="array" ref="K1426">_xlfn.LET(
    _xlpm.sum_month, SUM(T1426:AE1426),
    IF(_xlpm.sum_month = 0, "", _xlpm.sum_month &amp; " certificados gerados.")
)</f>
        <v/>
      </c>
      <c r="L1426" s="9" t="s">
        <v>195</v>
      </c>
      <c r="M1426" s="13">
        <v>1</v>
      </c>
      <c r="N1426" s="5" t="s">
        <v>42</v>
      </c>
      <c r="O1426" s="5" t="s">
        <v>43</v>
      </c>
      <c r="P1426" s="10" t="s">
        <v>146</v>
      </c>
      <c r="Q1426" s="10" t="s">
        <v>44</v>
      </c>
      <c r="R1426" s="11" t="s">
        <v>179</v>
      </c>
      <c r="S1426" s="11" t="s">
        <v>67</v>
      </c>
      <c r="T1426" s="22"/>
      <c r="U1426" s="22"/>
      <c r="V1426" s="22"/>
      <c r="W1426" s="22"/>
      <c r="X1426" s="22"/>
      <c r="Y1426" s="22"/>
      <c r="Z1426" s="22"/>
      <c r="AA1426" s="22"/>
      <c r="AB1426" s="22"/>
      <c r="AC1426" s="22"/>
      <c r="AD1426" s="22"/>
      <c r="AE1426" s="22"/>
      <c r="AG1426" s="71"/>
      <c r="AH1426" s="71"/>
      <c r="AI1426" s="71"/>
      <c r="AJ1426" s="71"/>
      <c r="AK1426" s="71"/>
      <c r="AL1426" s="71"/>
      <c r="AM1426" s="71"/>
      <c r="AN1426" s="71"/>
      <c r="AO1426" s="71"/>
      <c r="AP1426" s="71"/>
      <c r="AQ1426" s="71"/>
      <c r="AR1426" s="71"/>
      <c r="AS1426" s="94" t="str" cm="1">
        <f t="array" ref="AS1426">IFERROR(INDEX(T1426:AE1426,1,MATCH(2,1/(T1426:AE1426&lt;&gt;""))),"")</f>
        <v/>
      </c>
      <c r="AT1426" s="95" t="str" cm="1">
        <f t="array" ref="AT1426">IFERROR(INDEX(AJ1426:AR1426,1,MATCH(2,1/(AJ1426:AR1426&lt;&gt;""))),"")</f>
        <v/>
      </c>
      <c r="AU1426" s="97" t="str">
        <f t="shared" si="1683"/>
        <v/>
      </c>
      <c r="AW1426" s="51"/>
      <c r="AX1426" s="51"/>
      <c r="AY1426" s="51"/>
      <c r="AZ1426" s="51"/>
      <c r="BA1426" s="51"/>
      <c r="BB1426" s="51"/>
      <c r="BC1426" s="51"/>
      <c r="BD1426" s="51"/>
      <c r="BE1426" s="51"/>
      <c r="BF1426" s="51"/>
      <c r="BG1426" s="51"/>
      <c r="BH1426" s="51"/>
      <c r="BI1426" s="65" t="str" cm="1">
        <f t="array" ref="BI1426">IFERROR(INDEX(AW1426:BH1426,1,MATCH(2,1/(AW1426:BH1426&lt;&gt;""))),"")</f>
        <v/>
      </c>
      <c r="BJ1426" s="68" t="str" cm="1">
        <f t="array" ref="BJ1426">IF(BM1426 = "", "",IFERROR(INDEX(AW1426:BH1426,1,MATCH(2,1/(AW1426:BH1426&lt;&gt;""),1)-1),""))</f>
        <v/>
      </c>
      <c r="BK1426" s="58" t="str" cm="1">
        <f t="array" ref="BK1426">IFERROR(INDEX(AW1426:BH1426,1,MATCH(2,1/(AW1426:BH1426&lt;&gt;""))),"")</f>
        <v/>
      </c>
      <c r="BL1426" s="58" t="str" cm="1">
        <f t="array" ref="BL1426">IFERROR(INDEX(AW1426:BH1426,1,MATCH(2,1/(AW1426:BH1426&lt;&gt;""),1)-1),"")</f>
        <v/>
      </c>
      <c r="BM1426" s="55" t="str" cm="1">
        <f t="array" ref="BM1426">IFERROR(
   INDEX($AW$1:$BH$1,
      _xlfn.AGGREGATE(14, 6, COLUMN($AW$1:$BH$1)/(AW1426:BH1426&lt;&gt;""), 2) - COLUMN($AW$1) + 1
   ),
"")</f>
        <v/>
      </c>
      <c r="BN1426" s="55" t="str" cm="1">
        <f t="array" ref="BN1426">IFERROR(INDEX($AW$1:$BH$1,1,MATCH(2,1/(AW1426:BH1426&lt;&gt;""))),"")</f>
        <v/>
      </c>
      <c r="BO1426" s="53">
        <f ca="1">IFERROR(_xlfn.XLOOKUP(F1426,Apuração!A:A,Apuração!C:C)/_xlfn.XLOOKUP(F1426,Apuração!A:A,Apuração!B:B),0)</f>
        <v>0</v>
      </c>
      <c r="BP1426" s="53">
        <f ca="1">IFERROR(_xlfn.XLOOKUP(F1426,Apuração!A:A,Apuração!D:D)/_xlfn.XLOOKUP(F1426,Apuração!A:A,Apuração!B:B),0)</f>
        <v>0</v>
      </c>
      <c r="BQ1426" s="53">
        <f ca="1">IF(BK1426&gt;=BO1426,0,_xlfn.XLOOKUP(F1426,Apuração!A:A,Apuração!B:B)*(BO1426 + (1/_xlfn.XLOOKUP(F1426,Apuração!A:A,Apuração!B:B)) - BK1426))</f>
        <v>0</v>
      </c>
      <c r="BR1426" s="85">
        <f t="shared" ca="1" si="1684"/>
        <v>0</v>
      </c>
      <c r="BS1426" s="53">
        <f ca="1">IFERROR((_xlfn.XLOOKUP(F1426,Apuração!A:A,Apuração!C:C)+1)/_xlfn.XLOOKUP(F1426,Apuração!A:A,Apuração!B:B),0)</f>
        <v>0.14285714285714285</v>
      </c>
    </row>
    <row r="1427" spans="1:71" ht="25.95" hidden="1" customHeight="1" x14ac:dyDescent="0.3">
      <c r="A1427" s="33" t="s">
        <v>175</v>
      </c>
      <c r="B1427" s="4" t="s">
        <v>194</v>
      </c>
      <c r="C1427" s="5" t="s">
        <v>209</v>
      </c>
      <c r="D1427" s="5" t="s">
        <v>211</v>
      </c>
      <c r="E1427" s="4" t="s">
        <v>96</v>
      </c>
      <c r="F1427" s="4" t="str" cm="1">
        <f t="array" ref="F1427">_xlfn.IFS(
AG1427 &lt;&gt; "", "Jan-Dez/26",
AH1427 &lt;&gt; "", "Fev-Dez/26",
AI1427 &lt;&gt; "", "Mar-Dez/26", AJ1427 &lt;&gt; "", "Abr-Dez/26",
TRUE, "A partir de Junho"
)</f>
        <v>A partir de Junho</v>
      </c>
      <c r="G1427" s="4" t="s">
        <v>62</v>
      </c>
      <c r="H1427" s="7" t="s">
        <v>38</v>
      </c>
      <c r="I1427" s="8" t="s">
        <v>177</v>
      </c>
      <c r="J1427" s="8" t="str" cm="1">
        <f t="array" aca="1" ref="J1427" ca="1">_xlfn.LET(
  _xlpm.actual_value_month, INDEX(T1427:AE1427, MATCH(DATE(YEAR(TODAY()), MONTH(TODAY()), 1), $T$1:$AE$1, 0)),
  IF(_xlpm.actual_value_month &lt;&gt; "", _xlpm.actual_value_month &amp; " ações mensais", "")
)</f>
        <v/>
      </c>
      <c r="K1427" s="8" t="str" cm="1">
        <f t="array" ref="K1427">_xlfn.LET(
    _xlpm.sum_month, SUM(T1427:AE1427),
    IF(_xlpm.sum_month = 0, "", _xlpm.sum_month &amp; " certificados gerados.")
)</f>
        <v/>
      </c>
      <c r="L1427" s="9" t="s">
        <v>195</v>
      </c>
      <c r="M1427" s="13">
        <v>1</v>
      </c>
      <c r="N1427" s="5" t="s">
        <v>42</v>
      </c>
      <c r="O1427" s="5" t="s">
        <v>43</v>
      </c>
      <c r="P1427" s="10" t="s">
        <v>146</v>
      </c>
      <c r="Q1427" s="10" t="s">
        <v>44</v>
      </c>
      <c r="R1427" s="11" t="s">
        <v>179</v>
      </c>
      <c r="S1427" s="11" t="s">
        <v>67</v>
      </c>
      <c r="T1427" s="22"/>
      <c r="U1427" s="22"/>
      <c r="V1427" s="22"/>
      <c r="W1427" s="22"/>
      <c r="X1427" s="22"/>
      <c r="Y1427" s="22"/>
      <c r="Z1427" s="22"/>
      <c r="AA1427" s="22"/>
      <c r="AB1427" s="22"/>
      <c r="AC1427" s="22"/>
      <c r="AD1427" s="22"/>
      <c r="AE1427" s="22"/>
      <c r="AG1427" s="71"/>
      <c r="AH1427" s="71"/>
      <c r="AI1427" s="71"/>
      <c r="AJ1427" s="71"/>
      <c r="AK1427" s="71"/>
      <c r="AL1427" s="71"/>
      <c r="AM1427" s="71"/>
      <c r="AN1427" s="71"/>
      <c r="AO1427" s="71"/>
      <c r="AP1427" s="71"/>
      <c r="AQ1427" s="71"/>
      <c r="AR1427" s="71"/>
      <c r="AS1427" s="94" t="str" cm="1">
        <f t="array" ref="AS1427">IFERROR(INDEX(T1427:AE1427,1,MATCH(2,1/(T1427:AE1427&lt;&gt;""))),"")</f>
        <v/>
      </c>
      <c r="AT1427" s="95" t="str" cm="1">
        <f t="array" ref="AT1427">IFERROR(INDEX(AJ1427:AR1427,1,MATCH(2,1/(AJ1427:AR1427&lt;&gt;""))),"")</f>
        <v/>
      </c>
      <c r="AU1427" s="97" t="str">
        <f t="shared" si="1683"/>
        <v/>
      </c>
      <c r="AW1427" s="51"/>
      <c r="AX1427" s="51"/>
      <c r="AY1427" s="51"/>
      <c r="AZ1427" s="51"/>
      <c r="BA1427" s="51"/>
      <c r="BB1427" s="51"/>
      <c r="BC1427" s="51"/>
      <c r="BD1427" s="51"/>
      <c r="BE1427" s="51"/>
      <c r="BF1427" s="51"/>
      <c r="BG1427" s="51"/>
      <c r="BH1427" s="51"/>
      <c r="BI1427" s="65" t="str" cm="1">
        <f t="array" ref="BI1427">IFERROR(INDEX(AW1427:BH1427,1,MATCH(2,1/(AW1427:BH1427&lt;&gt;""))),"")</f>
        <v/>
      </c>
      <c r="BJ1427" s="68" t="str" cm="1">
        <f t="array" ref="BJ1427">IF(BM1427 = "", "",IFERROR(INDEX(AW1427:BH1427,1,MATCH(2,1/(AW1427:BH1427&lt;&gt;""),1)-1),""))</f>
        <v/>
      </c>
      <c r="BK1427" s="58" t="str" cm="1">
        <f t="array" ref="BK1427">IFERROR(INDEX(AW1427:BH1427,1,MATCH(2,1/(AW1427:BH1427&lt;&gt;""))),"")</f>
        <v/>
      </c>
      <c r="BL1427" s="58" t="str" cm="1">
        <f t="array" ref="BL1427">IFERROR(INDEX(AW1427:BH1427,1,MATCH(2,1/(AW1427:BH1427&lt;&gt;""),1)-1),"")</f>
        <v/>
      </c>
      <c r="BM1427" s="55" t="str" cm="1">
        <f t="array" ref="BM1427">IFERROR(
   INDEX($AW$1:$BH$1,
      _xlfn.AGGREGATE(14, 6, COLUMN($AW$1:$BH$1)/(AW1427:BH1427&lt;&gt;""), 2) - COLUMN($AW$1) + 1
   ),
"")</f>
        <v/>
      </c>
      <c r="BN1427" s="55" t="str" cm="1">
        <f t="array" ref="BN1427">IFERROR(INDEX($AW$1:$BH$1,1,MATCH(2,1/(AW1427:BH1427&lt;&gt;""))),"")</f>
        <v/>
      </c>
      <c r="BO1427" s="53">
        <f ca="1">IFERROR(_xlfn.XLOOKUP(F1427,Apuração!A:A,Apuração!C:C)/_xlfn.XLOOKUP(F1427,Apuração!A:A,Apuração!B:B),0)</f>
        <v>0</v>
      </c>
      <c r="BP1427" s="53">
        <f ca="1">IFERROR(_xlfn.XLOOKUP(F1427,Apuração!A:A,Apuração!D:D)/_xlfn.XLOOKUP(F1427,Apuração!A:A,Apuração!B:B),0)</f>
        <v>0</v>
      </c>
      <c r="BQ1427" s="53">
        <f ca="1">IF(BK1427&gt;=BO1427,0,_xlfn.XLOOKUP(F1427,Apuração!A:A,Apuração!B:B)*(BO1427 + (1/_xlfn.XLOOKUP(F1427,Apuração!A:A,Apuração!B:B)) - BK1427))</f>
        <v>0</v>
      </c>
      <c r="BR1427" s="85">
        <f t="shared" ca="1" si="1684"/>
        <v>0</v>
      </c>
      <c r="BS1427" s="53">
        <f ca="1">IFERROR((_xlfn.XLOOKUP(F1427,Apuração!A:A,Apuração!C:C)+1)/_xlfn.XLOOKUP(F1427,Apuração!A:A,Apuração!B:B),0)</f>
        <v>0.14285714285714285</v>
      </c>
    </row>
    <row r="1428" spans="1:71" ht="25.95" hidden="1" customHeight="1" x14ac:dyDescent="0.3">
      <c r="A1428" s="33" t="s">
        <v>175</v>
      </c>
      <c r="B1428" s="4" t="s">
        <v>194</v>
      </c>
      <c r="C1428" s="5" t="s">
        <v>209</v>
      </c>
      <c r="D1428" s="5" t="s">
        <v>212</v>
      </c>
      <c r="E1428" s="4" t="s">
        <v>96</v>
      </c>
      <c r="F1428" s="4" t="str" cm="1">
        <f t="array" ref="F1428">_xlfn.IFS(
AG1428 &lt;&gt; "", "Jan-Dez/26",
AH1428 &lt;&gt; "", "Fev-Dez/26",
AI1428 &lt;&gt; "", "Mar-Dez/26", AJ1428 &lt;&gt; "", "Abr-Dez/26",
TRUE, "A partir de Junho"
)</f>
        <v>A partir de Junho</v>
      </c>
      <c r="G1428" s="4" t="s">
        <v>62</v>
      </c>
      <c r="H1428" s="7" t="s">
        <v>38</v>
      </c>
      <c r="I1428" s="8" t="s">
        <v>177</v>
      </c>
      <c r="J1428" s="8" t="str" cm="1">
        <f t="array" aca="1" ref="J1428" ca="1">_xlfn.LET(
  _xlpm.actual_value_month, INDEX(T1428:AE1428, MATCH(DATE(YEAR(TODAY()), MONTH(TODAY()), 1), $T$1:$AE$1, 0)),
  IF(_xlpm.actual_value_month &lt;&gt; "", _xlpm.actual_value_month &amp; " ações mensais", "")
)</f>
        <v/>
      </c>
      <c r="K1428" s="8" t="str" cm="1">
        <f t="array" ref="K1428">_xlfn.LET(
    _xlpm.sum_month, SUM(T1428:AE1428),
    IF(_xlpm.sum_month = 0, "", _xlpm.sum_month &amp; " certificados gerados.")
)</f>
        <v/>
      </c>
      <c r="L1428" s="9" t="s">
        <v>195</v>
      </c>
      <c r="M1428" s="13">
        <v>1</v>
      </c>
      <c r="N1428" s="5" t="s">
        <v>42</v>
      </c>
      <c r="O1428" s="5" t="s">
        <v>43</v>
      </c>
      <c r="P1428" s="10" t="s">
        <v>146</v>
      </c>
      <c r="Q1428" s="10" t="s">
        <v>44</v>
      </c>
      <c r="R1428" s="11" t="s">
        <v>179</v>
      </c>
      <c r="S1428" s="11" t="s">
        <v>67</v>
      </c>
      <c r="T1428" s="22"/>
      <c r="U1428" s="22"/>
      <c r="V1428" s="22"/>
      <c r="W1428" s="22"/>
      <c r="X1428" s="22"/>
      <c r="Y1428" s="22"/>
      <c r="Z1428" s="22"/>
      <c r="AA1428" s="22"/>
      <c r="AB1428" s="22"/>
      <c r="AC1428" s="22"/>
      <c r="AD1428" s="22"/>
      <c r="AE1428" s="22"/>
      <c r="AG1428" s="71"/>
      <c r="AH1428" s="71"/>
      <c r="AI1428" s="71"/>
      <c r="AJ1428" s="71"/>
      <c r="AK1428" s="71"/>
      <c r="AL1428" s="71"/>
      <c r="AM1428" s="71"/>
      <c r="AN1428" s="71"/>
      <c r="AO1428" s="71"/>
      <c r="AP1428" s="71"/>
      <c r="AQ1428" s="71"/>
      <c r="AR1428" s="71"/>
      <c r="AS1428" s="94" t="str" cm="1">
        <f t="array" ref="AS1428">IFERROR(INDEX(T1428:AE1428,1,MATCH(2,1/(T1428:AE1428&lt;&gt;""))),"")</f>
        <v/>
      </c>
      <c r="AT1428" s="95" t="str" cm="1">
        <f t="array" ref="AT1428">IFERROR(INDEX(AJ1428:AR1428,1,MATCH(2,1/(AJ1428:AR1428&lt;&gt;""))),"")</f>
        <v/>
      </c>
      <c r="AU1428" s="97" t="str">
        <f t="shared" si="1683"/>
        <v/>
      </c>
      <c r="AW1428" s="51"/>
      <c r="AX1428" s="51"/>
      <c r="AY1428" s="51"/>
      <c r="AZ1428" s="51"/>
      <c r="BA1428" s="51"/>
      <c r="BB1428" s="51"/>
      <c r="BC1428" s="51"/>
      <c r="BD1428" s="51"/>
      <c r="BE1428" s="51"/>
      <c r="BF1428" s="51"/>
      <c r="BG1428" s="51"/>
      <c r="BH1428" s="51"/>
      <c r="BI1428" s="65" t="str" cm="1">
        <f t="array" ref="BI1428">IFERROR(INDEX(AW1428:BH1428,1,MATCH(2,1/(AW1428:BH1428&lt;&gt;""))),"")</f>
        <v/>
      </c>
      <c r="BJ1428" s="68" t="str" cm="1">
        <f t="array" ref="BJ1428">IF(BM1428 = "", "",IFERROR(INDEX(AW1428:BH1428,1,MATCH(2,1/(AW1428:BH1428&lt;&gt;""),1)-1),""))</f>
        <v/>
      </c>
      <c r="BK1428" s="58" t="str" cm="1">
        <f t="array" ref="BK1428">IFERROR(INDEX(AW1428:BH1428,1,MATCH(2,1/(AW1428:BH1428&lt;&gt;""))),"")</f>
        <v/>
      </c>
      <c r="BL1428" s="58" t="str" cm="1">
        <f t="array" ref="BL1428">IFERROR(INDEX(AW1428:BH1428,1,MATCH(2,1/(AW1428:BH1428&lt;&gt;""),1)-1),"")</f>
        <v/>
      </c>
      <c r="BM1428" s="55" t="str" cm="1">
        <f t="array" ref="BM1428">IFERROR(
   INDEX($AW$1:$BH$1,
      _xlfn.AGGREGATE(14, 6, COLUMN($AW$1:$BH$1)/(AW1428:BH1428&lt;&gt;""), 2) - COLUMN($AW$1) + 1
   ),
"")</f>
        <v/>
      </c>
      <c r="BN1428" s="55" t="str" cm="1">
        <f t="array" ref="BN1428">IFERROR(INDEX($AW$1:$BH$1,1,MATCH(2,1/(AW1428:BH1428&lt;&gt;""))),"")</f>
        <v/>
      </c>
      <c r="BO1428" s="53">
        <f ca="1">IFERROR(_xlfn.XLOOKUP(F1428,Apuração!A:A,Apuração!C:C)/_xlfn.XLOOKUP(F1428,Apuração!A:A,Apuração!B:B),0)</f>
        <v>0</v>
      </c>
      <c r="BP1428" s="53">
        <f ca="1">IFERROR(_xlfn.XLOOKUP(F1428,Apuração!A:A,Apuração!D:D)/_xlfn.XLOOKUP(F1428,Apuração!A:A,Apuração!B:B),0)</f>
        <v>0</v>
      </c>
      <c r="BQ1428" s="53">
        <f ca="1">IF(BK1428&gt;=BO1428,0,_xlfn.XLOOKUP(F1428,Apuração!A:A,Apuração!B:B)*(BO1428 + (1/_xlfn.XLOOKUP(F1428,Apuração!A:A,Apuração!B:B)) - BK1428))</f>
        <v>0</v>
      </c>
      <c r="BR1428" s="85">
        <f t="shared" ca="1" si="1684"/>
        <v>0</v>
      </c>
      <c r="BS1428" s="53">
        <f ca="1">IFERROR((_xlfn.XLOOKUP(F1428,Apuração!A:A,Apuração!C:C)+1)/_xlfn.XLOOKUP(F1428,Apuração!A:A,Apuração!B:B),0)</f>
        <v>0.14285714285714285</v>
      </c>
    </row>
    <row r="1429" spans="1:71" ht="25.95" hidden="1" customHeight="1" x14ac:dyDescent="0.3">
      <c r="A1429" s="33" t="s">
        <v>175</v>
      </c>
      <c r="B1429" s="4" t="s">
        <v>194</v>
      </c>
      <c r="C1429" s="5" t="s">
        <v>209</v>
      </c>
      <c r="D1429" s="5" t="s">
        <v>213</v>
      </c>
      <c r="E1429" s="4" t="s">
        <v>96</v>
      </c>
      <c r="F1429" s="4" t="str" cm="1">
        <f t="array" ref="F1429">_xlfn.IFS(
AG1429 &lt;&gt; "", "Jan-Dez/26",
AH1429 &lt;&gt; "", "Fev-Dez/26",
AI1429 &lt;&gt; "", "Mar-Dez/26", AJ1429 &lt;&gt; "", "Abr-Dez/26",
TRUE, "A partir de Junho"
)</f>
        <v>A partir de Junho</v>
      </c>
      <c r="G1429" s="4" t="s">
        <v>62</v>
      </c>
      <c r="H1429" s="7" t="s">
        <v>38</v>
      </c>
      <c r="I1429" s="8" t="s">
        <v>177</v>
      </c>
      <c r="J1429" s="8" t="str" cm="1">
        <f t="array" aca="1" ref="J1429" ca="1">_xlfn.LET(
  _xlpm.actual_value_month, INDEX(T1429:AE1429, MATCH(DATE(YEAR(TODAY()), MONTH(TODAY()), 1), $T$1:$AE$1, 0)),
  IF(_xlpm.actual_value_month &lt;&gt; "", _xlpm.actual_value_month &amp; " ações mensais", "")
)</f>
        <v/>
      </c>
      <c r="K1429" s="8" t="str" cm="1">
        <f t="array" ref="K1429">_xlfn.LET(
    _xlpm.sum_month, SUM(T1429:AE1429),
    IF(_xlpm.sum_month = 0, "", _xlpm.sum_month &amp; " certificados gerados.")
)</f>
        <v/>
      </c>
      <c r="L1429" s="9" t="s">
        <v>195</v>
      </c>
      <c r="M1429" s="13">
        <v>1</v>
      </c>
      <c r="N1429" s="5" t="s">
        <v>42</v>
      </c>
      <c r="O1429" s="5" t="s">
        <v>43</v>
      </c>
      <c r="P1429" s="10" t="s">
        <v>146</v>
      </c>
      <c r="Q1429" s="10" t="s">
        <v>44</v>
      </c>
      <c r="R1429" s="11" t="s">
        <v>179</v>
      </c>
      <c r="S1429" s="11" t="s">
        <v>67</v>
      </c>
      <c r="T1429" s="22"/>
      <c r="U1429" s="22"/>
      <c r="V1429" s="22"/>
      <c r="W1429" s="22"/>
      <c r="X1429" s="22"/>
      <c r="Y1429" s="22"/>
      <c r="Z1429" s="22"/>
      <c r="AA1429" s="22"/>
      <c r="AB1429" s="22"/>
      <c r="AC1429" s="22"/>
      <c r="AD1429" s="22"/>
      <c r="AE1429" s="22"/>
      <c r="AG1429" s="71"/>
      <c r="AH1429" s="71"/>
      <c r="AI1429" s="71"/>
      <c r="AJ1429" s="71"/>
      <c r="AK1429" s="71"/>
      <c r="AL1429" s="71"/>
      <c r="AM1429" s="71"/>
      <c r="AN1429" s="71"/>
      <c r="AO1429" s="71"/>
      <c r="AP1429" s="71"/>
      <c r="AQ1429" s="71"/>
      <c r="AR1429" s="71"/>
      <c r="AS1429" s="94" t="str" cm="1">
        <f t="array" ref="AS1429">IFERROR(INDEX(T1429:AE1429,1,MATCH(2,1/(T1429:AE1429&lt;&gt;""))),"")</f>
        <v/>
      </c>
      <c r="AT1429" s="95" t="str" cm="1">
        <f t="array" ref="AT1429">IFERROR(INDEX(AJ1429:AR1429,1,MATCH(2,1/(AJ1429:AR1429&lt;&gt;""))),"")</f>
        <v/>
      </c>
      <c r="AU1429" s="97" t="str">
        <f t="shared" si="1683"/>
        <v/>
      </c>
      <c r="AW1429" s="51"/>
      <c r="AX1429" s="51"/>
      <c r="AY1429" s="51"/>
      <c r="AZ1429" s="51"/>
      <c r="BA1429" s="51"/>
      <c r="BB1429" s="51"/>
      <c r="BC1429" s="51"/>
      <c r="BD1429" s="51"/>
      <c r="BE1429" s="51"/>
      <c r="BF1429" s="51"/>
      <c r="BG1429" s="51"/>
      <c r="BH1429" s="51"/>
      <c r="BI1429" s="65" t="str" cm="1">
        <f t="array" ref="BI1429">IFERROR(INDEX(AW1429:BH1429,1,MATCH(2,1/(AW1429:BH1429&lt;&gt;""))),"")</f>
        <v/>
      </c>
      <c r="BJ1429" s="68" t="str" cm="1">
        <f t="array" ref="BJ1429">IF(BM1429 = "", "",IFERROR(INDEX(AW1429:BH1429,1,MATCH(2,1/(AW1429:BH1429&lt;&gt;""),1)-1),""))</f>
        <v/>
      </c>
      <c r="BK1429" s="58" t="str" cm="1">
        <f t="array" ref="BK1429">IFERROR(INDEX(AW1429:BH1429,1,MATCH(2,1/(AW1429:BH1429&lt;&gt;""))),"")</f>
        <v/>
      </c>
      <c r="BL1429" s="58" t="str" cm="1">
        <f t="array" ref="BL1429">IFERROR(INDEX(AW1429:BH1429,1,MATCH(2,1/(AW1429:BH1429&lt;&gt;""),1)-1),"")</f>
        <v/>
      </c>
      <c r="BM1429" s="55" t="str" cm="1">
        <f t="array" ref="BM1429">IFERROR(
   INDEX($AW$1:$BH$1,
      _xlfn.AGGREGATE(14, 6, COLUMN($AW$1:$BH$1)/(AW1429:BH1429&lt;&gt;""), 2) - COLUMN($AW$1) + 1
   ),
"")</f>
        <v/>
      </c>
      <c r="BN1429" s="55" t="str" cm="1">
        <f t="array" ref="BN1429">IFERROR(INDEX($AW$1:$BH$1,1,MATCH(2,1/(AW1429:BH1429&lt;&gt;""))),"")</f>
        <v/>
      </c>
      <c r="BO1429" s="53">
        <f ca="1">IFERROR(_xlfn.XLOOKUP(F1429,Apuração!A:A,Apuração!C:C)/_xlfn.XLOOKUP(F1429,Apuração!A:A,Apuração!B:B),0)</f>
        <v>0</v>
      </c>
      <c r="BP1429" s="53">
        <f ca="1">IFERROR(_xlfn.XLOOKUP(F1429,Apuração!A:A,Apuração!D:D)/_xlfn.XLOOKUP(F1429,Apuração!A:A,Apuração!B:B),0)</f>
        <v>0</v>
      </c>
      <c r="BQ1429" s="53">
        <f ca="1">IF(BK1429&gt;=BO1429,0,_xlfn.XLOOKUP(F1429,Apuração!A:A,Apuração!B:B)*(BO1429 + (1/_xlfn.XLOOKUP(F1429,Apuração!A:A,Apuração!B:B)) - BK1429))</f>
        <v>0</v>
      </c>
      <c r="BR1429" s="85">
        <f t="shared" ca="1" si="1684"/>
        <v>0</v>
      </c>
      <c r="BS1429" s="53">
        <f ca="1">IFERROR((_xlfn.XLOOKUP(F1429,Apuração!A:A,Apuração!C:C)+1)/_xlfn.XLOOKUP(F1429,Apuração!A:A,Apuração!B:B),0)</f>
        <v>0.14285714285714285</v>
      </c>
    </row>
    <row r="1430" spans="1:71" ht="25.95" hidden="1" customHeight="1" x14ac:dyDescent="0.3">
      <c r="A1430" s="44" t="s">
        <v>175</v>
      </c>
      <c r="B1430" s="4" t="s">
        <v>194</v>
      </c>
      <c r="C1430" s="5" t="s">
        <v>209</v>
      </c>
      <c r="D1430" s="5" t="s">
        <v>36</v>
      </c>
      <c r="E1430" s="4" t="s">
        <v>96</v>
      </c>
      <c r="F1430" s="4" t="str" cm="1">
        <f t="array" ref="F1430">_xlfn.IFS(
AG1430 &lt;&gt; "", "Jan-Dez/26",
AH1430 &lt;&gt; "", "Fev-Dez/26",
AI1430 &lt;&gt; "", "Mar-Dez/26", AJ1430 &lt;&gt; "", "Abr-Dez/26",
TRUE, "A partir de Junho"
)</f>
        <v>A partir de Junho</v>
      </c>
      <c r="G1430" s="4" t="s">
        <v>62</v>
      </c>
      <c r="H1430" s="7" t="s">
        <v>38</v>
      </c>
      <c r="I1430" s="21" t="s">
        <v>180</v>
      </c>
      <c r="J1430" s="8" t="str" cm="1">
        <f t="array" aca="1" ref="J1430" ca="1">_xlfn.LET(
  _xlpm.actual_value_month, INDEX(T1430:AE1430, MATCH(DATE(YEAR(TODAY()), MONTH(TODAY()), 1), $T$1:$AE$1, 0)),
  IF(_xlpm.actual_value_month &lt;&gt; "", _xlpm.actual_value_month &amp; " ações mensais", "")
)</f>
        <v/>
      </c>
      <c r="K1430" s="34" t="str" cm="1">
        <f t="array" ref="K1430">_xlfn.LET(
    _xlpm.sum_month, SUM(T1430:AE1430),
    IF(_xlpm.sum_month = 0, "", _xlpm.sum_month &amp; " colaboradores treinados.")
)</f>
        <v/>
      </c>
      <c r="L1430" s="9" t="s">
        <v>196</v>
      </c>
      <c r="M1430" s="13">
        <v>1</v>
      </c>
      <c r="N1430" s="5" t="s">
        <v>51</v>
      </c>
      <c r="O1430" s="5" t="s">
        <v>52</v>
      </c>
      <c r="P1430" s="10" t="s">
        <v>146</v>
      </c>
      <c r="Q1430" s="10" t="s">
        <v>44</v>
      </c>
      <c r="R1430" s="11" t="s">
        <v>44</v>
      </c>
      <c r="S1430" s="11" t="s">
        <v>44</v>
      </c>
      <c r="T1430" s="22"/>
      <c r="U1430" s="22"/>
      <c r="V1430" s="22"/>
      <c r="W1430" s="22"/>
      <c r="X1430" s="22"/>
      <c r="Y1430" s="22"/>
      <c r="Z1430" s="22"/>
      <c r="AA1430" s="22"/>
      <c r="AB1430" s="22"/>
      <c r="AC1430" s="22"/>
      <c r="AD1430" s="22"/>
      <c r="AE1430" s="22"/>
      <c r="AG1430" s="71"/>
      <c r="AH1430" s="71"/>
      <c r="AI1430" s="71"/>
      <c r="AJ1430" s="71"/>
      <c r="AK1430" s="71"/>
      <c r="AL1430" s="71"/>
      <c r="AM1430" s="71"/>
      <c r="AN1430" s="71"/>
      <c r="AO1430" s="71"/>
      <c r="AP1430" s="71"/>
      <c r="AQ1430" s="71"/>
      <c r="AR1430" s="71"/>
      <c r="AS1430" s="94" t="str" cm="1">
        <f t="array" ref="AS1430">IFERROR(INDEX(T1430:AE1430,1,MATCH(2,1/(T1430:AE1430&lt;&gt;""))),"")</f>
        <v/>
      </c>
      <c r="AT1430" s="95" t="str" cm="1">
        <f t="array" ref="AT1430">IFERROR(INDEX(AJ1430:AR1430,1,MATCH(2,1/(AJ1430:AR1430&lt;&gt;""))),"")</f>
        <v/>
      </c>
      <c r="AU1430" s="97" t="str">
        <f>AT1430</f>
        <v/>
      </c>
      <c r="AW1430" s="52">
        <f>AG1430</f>
        <v>0</v>
      </c>
      <c r="AX1430" s="52"/>
      <c r="AY1430" s="52"/>
      <c r="AZ1430" s="52"/>
      <c r="BA1430" s="52"/>
      <c r="BB1430" s="52"/>
      <c r="BC1430" s="52"/>
      <c r="BD1430" s="52"/>
      <c r="BE1430" s="52"/>
      <c r="BF1430" s="52"/>
      <c r="BG1430" s="52"/>
      <c r="BH1430" s="52"/>
      <c r="BI1430" s="68" cm="1">
        <f t="array" ref="BI1430">IFERROR(INDEX(AW1430:BH1430,1,MATCH(2,1/(AW1430:BH1430&lt;&gt;""))),"")</f>
        <v>0</v>
      </c>
      <c r="BJ1430" s="68" t="str" cm="1">
        <f t="array" ref="BJ1430">IF(BM1430 = "", "",IFERROR(INDEX(AW1430:BH1430,1,MATCH(2,1/(AW1430:BH1430&lt;&gt;""),1)-1),""))</f>
        <v/>
      </c>
      <c r="BK1430" s="59">
        <f>SUM(AW1430:BH1430)</f>
        <v>0</v>
      </c>
      <c r="BL1430" s="59" cm="1">
        <f t="array" ref="BL1430">IFERROR(SUM(AW1430:INDEX(AW1430:BH1430, MATCH(2, 1/(AW1430:BH1430&lt;&gt;""), 1) - 1))/_xlfn.XLOOKUP(F1430,Apuração!A:A,Apuração!B:B),0)</f>
        <v>0</v>
      </c>
      <c r="BM1430" s="55" t="str" cm="1">
        <f t="array" ref="BM1430">IFERROR(
   INDEX($AW$1:$BH$1,
      _xlfn.AGGREGATE(14, 6, COLUMN($AW$1:$BH$1)/(AW1430:BH1430&lt;&gt;""), 2) - COLUMN($AW$1) + 1
   ),
"")</f>
        <v/>
      </c>
      <c r="BN1430" s="55" cm="1">
        <f t="array" ref="BN1430">IFERROR(INDEX($AW$1:$BH$1,1,MATCH(2,1/(AW1430:BH1430&lt;&gt;""))),"")</f>
        <v>46023</v>
      </c>
      <c r="BO1430" s="53">
        <f ca="1">IFERROR(_xlfn.XLOOKUP(F1430,Apuração!A:A,Apuração!C:C)/_xlfn.XLOOKUP(F1430,Apuração!A:A,Apuração!B:B),0)</f>
        <v>0</v>
      </c>
      <c r="BP1430" s="53">
        <f ca="1">IFERROR(_xlfn.XLOOKUP(F1430,Apuração!A:A,Apuração!D:D)/_xlfn.XLOOKUP(F1430,Apuração!A:A,Apuração!B:B),0)</f>
        <v>0</v>
      </c>
      <c r="BQ1430" s="53">
        <f ca="1">IF(BK1430&gt;=BO1430,0,_xlfn.XLOOKUP(F1430,Apuração!A:A,Apuração!B:B)*(BO1430 + (1/_xlfn.XLOOKUP(F1430,Apuração!A:A,Apuração!B:B)) - BK1430))</f>
        <v>0</v>
      </c>
      <c r="BR1430" s="85">
        <f ca="1">IF(BQ1430=0,0,BQ1430*Z1430)</f>
        <v>0</v>
      </c>
      <c r="BS1430" s="53">
        <f ca="1">IFERROR((_xlfn.XLOOKUP(F1430,Apuração!A:A,Apuração!C:C)+1)/_xlfn.XLOOKUP(F1430,Apuração!A:A,Apuração!B:B),0)</f>
        <v>0.14285714285714285</v>
      </c>
    </row>
    <row r="1431" spans="1:71" ht="25.95" hidden="1" customHeight="1" x14ac:dyDescent="0.3">
      <c r="A1431" s="44" t="s">
        <v>175</v>
      </c>
      <c r="B1431" s="4" t="s">
        <v>194</v>
      </c>
      <c r="C1431" s="5" t="s">
        <v>209</v>
      </c>
      <c r="D1431" s="5" t="s">
        <v>210</v>
      </c>
      <c r="E1431" s="4" t="s">
        <v>96</v>
      </c>
      <c r="F1431" s="4" t="str" cm="1">
        <f t="array" ref="F1431">_xlfn.IFS(
AG1431 &lt;&gt; "", "Jan-Dez/26",
AH1431 &lt;&gt; "", "Fev-Dez/26",
AI1431 &lt;&gt; "", "Mar-Dez/26", AJ1431 &lt;&gt; "", "Abr-Dez/26",
TRUE, "A partir de Junho"
)</f>
        <v>A partir de Junho</v>
      </c>
      <c r="G1431" s="4" t="s">
        <v>62</v>
      </c>
      <c r="H1431" s="7" t="s">
        <v>38</v>
      </c>
      <c r="I1431" s="21" t="s">
        <v>180</v>
      </c>
      <c r="J1431" s="8" t="str" cm="1">
        <f t="array" aca="1" ref="J1431" ca="1">_xlfn.LET(
  _xlpm.actual_value_month, INDEX(T1431:AE1431, MATCH(DATE(YEAR(TODAY()), MONTH(TODAY()), 1), $T$1:$AE$1, 0)),
  IF(_xlpm.actual_value_month &lt;&gt; "", _xlpm.actual_value_month &amp; " ações mensais", "")
)</f>
        <v/>
      </c>
      <c r="K1431" s="34" t="str" cm="1">
        <f t="array" ref="K1431">_xlfn.LET(
    _xlpm.sum_month, SUM(T1431:AE1431),
    IF(_xlpm.sum_month = 0, "", _xlpm.sum_month &amp; " colaboradores treinados.")
)</f>
        <v/>
      </c>
      <c r="L1431" s="9" t="s">
        <v>196</v>
      </c>
      <c r="M1431" s="13">
        <v>1</v>
      </c>
      <c r="N1431" s="5" t="s">
        <v>51</v>
      </c>
      <c r="O1431" s="5" t="s">
        <v>52</v>
      </c>
      <c r="P1431" s="10" t="s">
        <v>146</v>
      </c>
      <c r="Q1431" s="10" t="s">
        <v>44</v>
      </c>
      <c r="R1431" s="11" t="s">
        <v>44</v>
      </c>
      <c r="S1431" s="11" t="s">
        <v>44</v>
      </c>
      <c r="T1431" s="22"/>
      <c r="U1431" s="22"/>
      <c r="V1431" s="22"/>
      <c r="W1431" s="22"/>
      <c r="X1431" s="22"/>
      <c r="Y1431" s="22"/>
      <c r="Z1431" s="22"/>
      <c r="AA1431" s="22"/>
      <c r="AB1431" s="22"/>
      <c r="AC1431" s="22"/>
      <c r="AD1431" s="22"/>
      <c r="AE1431" s="22"/>
      <c r="AG1431" s="71"/>
      <c r="AH1431" s="71"/>
      <c r="AI1431" s="71"/>
      <c r="AJ1431" s="71"/>
      <c r="AK1431" s="71"/>
      <c r="AL1431" s="71"/>
      <c r="AM1431" s="71"/>
      <c r="AN1431" s="71"/>
      <c r="AO1431" s="71"/>
      <c r="AP1431" s="71"/>
      <c r="AQ1431" s="71"/>
      <c r="AR1431" s="71"/>
      <c r="AS1431" s="94" t="str" cm="1">
        <f t="array" ref="AS1431">IFERROR(INDEX(T1431:AE1431,1,MATCH(2,1/(T1431:AE1431&lt;&gt;""))),"")</f>
        <v/>
      </c>
      <c r="AT1431" s="95" t="str" cm="1">
        <f t="array" ref="AT1431">IFERROR(INDEX(AJ1431:AR1431,1,MATCH(2,1/(AJ1431:AR1431&lt;&gt;""))),"")</f>
        <v/>
      </c>
      <c r="AU1431" s="97" t="str">
        <f t="shared" ref="AU1431:AU1435" si="1685">AT1431</f>
        <v/>
      </c>
      <c r="AW1431" s="52">
        <f t="shared" ref="AW1431:AW1435" si="1686">AG1431</f>
        <v>0</v>
      </c>
      <c r="AX1431" s="52"/>
      <c r="AY1431" s="52"/>
      <c r="AZ1431" s="52"/>
      <c r="BA1431" s="52"/>
      <c r="BB1431" s="52"/>
      <c r="BC1431" s="52"/>
      <c r="BD1431" s="52"/>
      <c r="BE1431" s="52"/>
      <c r="BF1431" s="52"/>
      <c r="BG1431" s="52"/>
      <c r="BH1431" s="52"/>
      <c r="BI1431" s="68" cm="1">
        <f t="array" ref="BI1431">IFERROR(INDEX(AW1431:BH1431,1,MATCH(2,1/(AW1431:BH1431&lt;&gt;""))),"")</f>
        <v>0</v>
      </c>
      <c r="BJ1431" s="68" t="str" cm="1">
        <f t="array" ref="BJ1431">IF(BM1431 = "", "",IFERROR(INDEX(AW1431:BH1431,1,MATCH(2,1/(AW1431:BH1431&lt;&gt;""),1)-1),""))</f>
        <v/>
      </c>
      <c r="BK1431" s="59">
        <f t="shared" ref="BK1431:BK1435" si="1687">SUM(AW1431:BH1431)</f>
        <v>0</v>
      </c>
      <c r="BL1431" s="59" cm="1">
        <f t="array" ref="BL1431">IFERROR(SUM(AW1431:INDEX(AW1431:BH1431, MATCH(2, 1/(AW1431:BH1431&lt;&gt;""), 1) - 1))/_xlfn.XLOOKUP(F1431,Apuração!A:A,Apuração!B:B),0)</f>
        <v>0</v>
      </c>
      <c r="BM1431" s="55" t="str" cm="1">
        <f t="array" ref="BM1431">IFERROR(
   INDEX($AW$1:$BH$1,
      _xlfn.AGGREGATE(14, 6, COLUMN($AW$1:$BH$1)/(AW1431:BH1431&lt;&gt;""), 2) - COLUMN($AW$1) + 1
   ),
"")</f>
        <v/>
      </c>
      <c r="BN1431" s="55" cm="1">
        <f t="array" ref="BN1431">IFERROR(INDEX($AW$1:$BH$1,1,MATCH(2,1/(AW1431:BH1431&lt;&gt;""))),"")</f>
        <v>46023</v>
      </c>
      <c r="BO1431" s="53">
        <f ca="1">IFERROR(_xlfn.XLOOKUP(F1431,Apuração!A:A,Apuração!C:C)/_xlfn.XLOOKUP(F1431,Apuração!A:A,Apuração!B:B),0)</f>
        <v>0</v>
      </c>
      <c r="BP1431" s="53">
        <f ca="1">IFERROR(_xlfn.XLOOKUP(F1431,Apuração!A:A,Apuração!D:D)/_xlfn.XLOOKUP(F1431,Apuração!A:A,Apuração!B:B),0)</f>
        <v>0</v>
      </c>
      <c r="BQ1431" s="53">
        <f ca="1">IF(BK1431&gt;=BO1431,0,_xlfn.XLOOKUP(F1431,Apuração!A:A,Apuração!B:B)*(BO1431 + (1/_xlfn.XLOOKUP(F1431,Apuração!A:A,Apuração!B:B)) - BK1431))</f>
        <v>0</v>
      </c>
      <c r="BR1431" s="85">
        <f t="shared" ref="BR1431:BR1435" ca="1" si="1688">IF(BQ1431=0,0,BQ1431*Z1431)</f>
        <v>0</v>
      </c>
      <c r="BS1431" s="53">
        <f ca="1">IFERROR((_xlfn.XLOOKUP(F1431,Apuração!A:A,Apuração!C:C)+1)/_xlfn.XLOOKUP(F1431,Apuração!A:A,Apuração!B:B),0)</f>
        <v>0.14285714285714285</v>
      </c>
    </row>
    <row r="1432" spans="1:71" ht="25.95" hidden="1" customHeight="1" x14ac:dyDescent="0.3">
      <c r="A1432" s="44" t="s">
        <v>175</v>
      </c>
      <c r="B1432" s="4" t="s">
        <v>194</v>
      </c>
      <c r="C1432" s="5" t="s">
        <v>209</v>
      </c>
      <c r="D1432" s="5" t="s">
        <v>47</v>
      </c>
      <c r="E1432" s="4" t="s">
        <v>96</v>
      </c>
      <c r="F1432" s="4" t="str" cm="1">
        <f t="array" ref="F1432">_xlfn.IFS(
AG1432 &lt;&gt; "", "Jan-Dez/26",
AH1432 &lt;&gt; "", "Fev-Dez/26",
AI1432 &lt;&gt; "", "Mar-Dez/26", AJ1432 &lt;&gt; "", "Abr-Dez/26",
TRUE, "A partir de Junho"
)</f>
        <v>A partir de Junho</v>
      </c>
      <c r="G1432" s="4" t="s">
        <v>62</v>
      </c>
      <c r="H1432" s="7" t="s">
        <v>38</v>
      </c>
      <c r="I1432" s="21" t="s">
        <v>180</v>
      </c>
      <c r="J1432" s="8" t="str" cm="1">
        <f t="array" aca="1" ref="J1432" ca="1">_xlfn.LET(
  _xlpm.actual_value_month, INDEX(T1432:AE1432, MATCH(DATE(YEAR(TODAY()), MONTH(TODAY()), 1), $T$1:$AE$1, 0)),
  IF(_xlpm.actual_value_month &lt;&gt; "", _xlpm.actual_value_month &amp; " ações mensais", "")
)</f>
        <v/>
      </c>
      <c r="K1432" s="34" t="str" cm="1">
        <f t="array" ref="K1432">_xlfn.LET(
    _xlpm.sum_month, SUM(T1432:AE1432),
    IF(_xlpm.sum_month = 0, "", _xlpm.sum_month &amp; " colaboradores treinados.")
)</f>
        <v/>
      </c>
      <c r="L1432" s="9" t="s">
        <v>196</v>
      </c>
      <c r="M1432" s="13">
        <v>1</v>
      </c>
      <c r="N1432" s="5" t="s">
        <v>51</v>
      </c>
      <c r="O1432" s="5" t="s">
        <v>52</v>
      </c>
      <c r="P1432" s="10" t="s">
        <v>146</v>
      </c>
      <c r="Q1432" s="10" t="s">
        <v>44</v>
      </c>
      <c r="R1432" s="11" t="s">
        <v>44</v>
      </c>
      <c r="S1432" s="11" t="s">
        <v>44</v>
      </c>
      <c r="T1432" s="22"/>
      <c r="U1432" s="22"/>
      <c r="V1432" s="22"/>
      <c r="W1432" s="22"/>
      <c r="X1432" s="22"/>
      <c r="Y1432" s="22"/>
      <c r="Z1432" s="22"/>
      <c r="AA1432" s="22"/>
      <c r="AB1432" s="22"/>
      <c r="AC1432" s="22"/>
      <c r="AD1432" s="22"/>
      <c r="AE1432" s="22"/>
      <c r="AG1432" s="71"/>
      <c r="AH1432" s="71"/>
      <c r="AI1432" s="71"/>
      <c r="AJ1432" s="71"/>
      <c r="AK1432" s="71"/>
      <c r="AL1432" s="71"/>
      <c r="AM1432" s="71"/>
      <c r="AN1432" s="71"/>
      <c r="AO1432" s="71"/>
      <c r="AP1432" s="71"/>
      <c r="AQ1432" s="71"/>
      <c r="AR1432" s="71"/>
      <c r="AS1432" s="94" t="str" cm="1">
        <f t="array" ref="AS1432">IFERROR(INDEX(T1432:AE1432,1,MATCH(2,1/(T1432:AE1432&lt;&gt;""))),"")</f>
        <v/>
      </c>
      <c r="AT1432" s="95" t="str" cm="1">
        <f t="array" ref="AT1432">IFERROR(INDEX(AJ1432:AR1432,1,MATCH(2,1/(AJ1432:AR1432&lt;&gt;""))),"")</f>
        <v/>
      </c>
      <c r="AU1432" s="97" t="str">
        <f t="shared" si="1685"/>
        <v/>
      </c>
      <c r="AW1432" s="52">
        <f t="shared" si="1686"/>
        <v>0</v>
      </c>
      <c r="AX1432" s="52"/>
      <c r="AY1432" s="52"/>
      <c r="AZ1432" s="52"/>
      <c r="BA1432" s="52"/>
      <c r="BB1432" s="52"/>
      <c r="BC1432" s="52"/>
      <c r="BD1432" s="52"/>
      <c r="BE1432" s="52"/>
      <c r="BF1432" s="52"/>
      <c r="BG1432" s="52"/>
      <c r="BH1432" s="52"/>
      <c r="BI1432" s="68" cm="1">
        <f t="array" ref="BI1432">IFERROR(INDEX(AW1432:BH1432,1,MATCH(2,1/(AW1432:BH1432&lt;&gt;""))),"")</f>
        <v>0</v>
      </c>
      <c r="BJ1432" s="68" t="str" cm="1">
        <f t="array" ref="BJ1432">IF(BM1432 = "", "",IFERROR(INDEX(AW1432:BH1432,1,MATCH(2,1/(AW1432:BH1432&lt;&gt;""),1)-1),""))</f>
        <v/>
      </c>
      <c r="BK1432" s="59">
        <f t="shared" si="1687"/>
        <v>0</v>
      </c>
      <c r="BL1432" s="59" cm="1">
        <f t="array" ref="BL1432">IFERROR(SUM(AW1432:INDEX(AW1432:BH1432, MATCH(2, 1/(AW1432:BH1432&lt;&gt;""), 1) - 1))/_xlfn.XLOOKUP(F1432,Apuração!A:A,Apuração!B:B),0)</f>
        <v>0</v>
      </c>
      <c r="BM1432" s="55" t="str" cm="1">
        <f t="array" ref="BM1432">IFERROR(
   INDEX($AW$1:$BH$1,
      _xlfn.AGGREGATE(14, 6, COLUMN($AW$1:$BH$1)/(AW1432:BH1432&lt;&gt;""), 2) - COLUMN($AW$1) + 1
   ),
"")</f>
        <v/>
      </c>
      <c r="BN1432" s="55" cm="1">
        <f t="array" ref="BN1432">IFERROR(INDEX($AW$1:$BH$1,1,MATCH(2,1/(AW1432:BH1432&lt;&gt;""))),"")</f>
        <v>46023</v>
      </c>
      <c r="BO1432" s="53">
        <f ca="1">IFERROR(_xlfn.XLOOKUP(F1432,Apuração!A:A,Apuração!C:C)/_xlfn.XLOOKUP(F1432,Apuração!A:A,Apuração!B:B),0)</f>
        <v>0</v>
      </c>
      <c r="BP1432" s="53">
        <f ca="1">IFERROR(_xlfn.XLOOKUP(F1432,Apuração!A:A,Apuração!D:D)/_xlfn.XLOOKUP(F1432,Apuração!A:A,Apuração!B:B),0)</f>
        <v>0</v>
      </c>
      <c r="BQ1432" s="53">
        <f ca="1">IF(BK1432&gt;=BO1432,0,_xlfn.XLOOKUP(F1432,Apuração!A:A,Apuração!B:B)*(BO1432 + (1/_xlfn.XLOOKUP(F1432,Apuração!A:A,Apuração!B:B)) - BK1432))</f>
        <v>0</v>
      </c>
      <c r="BR1432" s="85">
        <f t="shared" ca="1" si="1688"/>
        <v>0</v>
      </c>
      <c r="BS1432" s="53">
        <f ca="1">IFERROR((_xlfn.XLOOKUP(F1432,Apuração!A:A,Apuração!C:C)+1)/_xlfn.XLOOKUP(F1432,Apuração!A:A,Apuração!B:B),0)</f>
        <v>0.14285714285714285</v>
      </c>
    </row>
    <row r="1433" spans="1:71" ht="25.95" hidden="1" customHeight="1" x14ac:dyDescent="0.3">
      <c r="A1433" s="44" t="s">
        <v>175</v>
      </c>
      <c r="B1433" s="4" t="s">
        <v>194</v>
      </c>
      <c r="C1433" s="5" t="s">
        <v>209</v>
      </c>
      <c r="D1433" s="5" t="s">
        <v>211</v>
      </c>
      <c r="E1433" s="4" t="s">
        <v>96</v>
      </c>
      <c r="F1433" s="4" t="str" cm="1">
        <f t="array" ref="F1433">_xlfn.IFS(
AG1433 &lt;&gt; "", "Jan-Dez/26",
AH1433 &lt;&gt; "", "Fev-Dez/26",
AI1433 &lt;&gt; "", "Mar-Dez/26", AJ1433 &lt;&gt; "", "Abr-Dez/26",
TRUE, "A partir de Junho"
)</f>
        <v>A partir de Junho</v>
      </c>
      <c r="G1433" s="4" t="s">
        <v>62</v>
      </c>
      <c r="H1433" s="7" t="s">
        <v>38</v>
      </c>
      <c r="I1433" s="21" t="s">
        <v>180</v>
      </c>
      <c r="J1433" s="8" t="str" cm="1">
        <f t="array" aca="1" ref="J1433" ca="1">_xlfn.LET(
  _xlpm.actual_value_month, INDEX(T1433:AE1433, MATCH(DATE(YEAR(TODAY()), MONTH(TODAY()), 1), $T$1:$AE$1, 0)),
  IF(_xlpm.actual_value_month &lt;&gt; "", _xlpm.actual_value_month &amp; " ações mensais", "")
)</f>
        <v/>
      </c>
      <c r="K1433" s="34" t="str" cm="1">
        <f t="array" ref="K1433">_xlfn.LET(
    _xlpm.sum_month, SUM(T1433:AE1433),
    IF(_xlpm.sum_month = 0, "", _xlpm.sum_month &amp; " colaboradores treinados.")
)</f>
        <v/>
      </c>
      <c r="L1433" s="9" t="s">
        <v>196</v>
      </c>
      <c r="M1433" s="13">
        <v>1</v>
      </c>
      <c r="N1433" s="5" t="s">
        <v>51</v>
      </c>
      <c r="O1433" s="5" t="s">
        <v>52</v>
      </c>
      <c r="P1433" s="10" t="s">
        <v>146</v>
      </c>
      <c r="Q1433" s="10" t="s">
        <v>44</v>
      </c>
      <c r="R1433" s="11" t="s">
        <v>44</v>
      </c>
      <c r="S1433" s="11" t="s">
        <v>44</v>
      </c>
      <c r="T1433" s="22"/>
      <c r="U1433" s="22"/>
      <c r="V1433" s="22"/>
      <c r="W1433" s="22"/>
      <c r="X1433" s="22"/>
      <c r="Y1433" s="22"/>
      <c r="Z1433" s="22"/>
      <c r="AA1433" s="22"/>
      <c r="AB1433" s="22"/>
      <c r="AC1433" s="22"/>
      <c r="AD1433" s="22"/>
      <c r="AE1433" s="22"/>
      <c r="AG1433" s="71"/>
      <c r="AH1433" s="71"/>
      <c r="AI1433" s="71"/>
      <c r="AJ1433" s="71"/>
      <c r="AK1433" s="71"/>
      <c r="AL1433" s="71"/>
      <c r="AM1433" s="71"/>
      <c r="AN1433" s="71"/>
      <c r="AO1433" s="71"/>
      <c r="AP1433" s="71"/>
      <c r="AQ1433" s="71"/>
      <c r="AR1433" s="71"/>
      <c r="AS1433" s="94" t="str" cm="1">
        <f t="array" ref="AS1433">IFERROR(INDEX(T1433:AE1433,1,MATCH(2,1/(T1433:AE1433&lt;&gt;""))),"")</f>
        <v/>
      </c>
      <c r="AT1433" s="95" t="str" cm="1">
        <f t="array" ref="AT1433">IFERROR(INDEX(AJ1433:AR1433,1,MATCH(2,1/(AJ1433:AR1433&lt;&gt;""))),"")</f>
        <v/>
      </c>
      <c r="AU1433" s="97" t="str">
        <f t="shared" si="1685"/>
        <v/>
      </c>
      <c r="AW1433" s="52">
        <f t="shared" si="1686"/>
        <v>0</v>
      </c>
      <c r="AX1433" s="52"/>
      <c r="AY1433" s="52"/>
      <c r="AZ1433" s="52"/>
      <c r="BA1433" s="52"/>
      <c r="BB1433" s="52"/>
      <c r="BC1433" s="52"/>
      <c r="BD1433" s="52"/>
      <c r="BE1433" s="52"/>
      <c r="BF1433" s="52"/>
      <c r="BG1433" s="52"/>
      <c r="BH1433" s="52"/>
      <c r="BI1433" s="68" cm="1">
        <f t="array" ref="BI1433">IFERROR(INDEX(AW1433:BH1433,1,MATCH(2,1/(AW1433:BH1433&lt;&gt;""))),"")</f>
        <v>0</v>
      </c>
      <c r="BJ1433" s="68" t="str" cm="1">
        <f t="array" ref="BJ1433">IF(BM1433 = "", "",IFERROR(INDEX(AW1433:BH1433,1,MATCH(2,1/(AW1433:BH1433&lt;&gt;""),1)-1),""))</f>
        <v/>
      </c>
      <c r="BK1433" s="59">
        <f t="shared" si="1687"/>
        <v>0</v>
      </c>
      <c r="BL1433" s="59" cm="1">
        <f t="array" ref="BL1433">IFERROR(SUM(AW1433:INDEX(AW1433:BH1433, MATCH(2, 1/(AW1433:BH1433&lt;&gt;""), 1) - 1))/_xlfn.XLOOKUP(F1433,Apuração!A:A,Apuração!B:B),0)</f>
        <v>0</v>
      </c>
      <c r="BM1433" s="55" t="str" cm="1">
        <f t="array" ref="BM1433">IFERROR(
   INDEX($AW$1:$BH$1,
      _xlfn.AGGREGATE(14, 6, COLUMN($AW$1:$BH$1)/(AW1433:BH1433&lt;&gt;""), 2) - COLUMN($AW$1) + 1
   ),
"")</f>
        <v/>
      </c>
      <c r="BN1433" s="55" cm="1">
        <f t="array" ref="BN1433">IFERROR(INDEX($AW$1:$BH$1,1,MATCH(2,1/(AW1433:BH1433&lt;&gt;""))),"")</f>
        <v>46023</v>
      </c>
      <c r="BO1433" s="53">
        <f ca="1">IFERROR(_xlfn.XLOOKUP(F1433,Apuração!A:A,Apuração!C:C)/_xlfn.XLOOKUP(F1433,Apuração!A:A,Apuração!B:B),0)</f>
        <v>0</v>
      </c>
      <c r="BP1433" s="53">
        <f ca="1">IFERROR(_xlfn.XLOOKUP(F1433,Apuração!A:A,Apuração!D:D)/_xlfn.XLOOKUP(F1433,Apuração!A:A,Apuração!B:B),0)</f>
        <v>0</v>
      </c>
      <c r="BQ1433" s="53">
        <f ca="1">IF(BK1433&gt;=BO1433,0,_xlfn.XLOOKUP(F1433,Apuração!A:A,Apuração!B:B)*(BO1433 + (1/_xlfn.XLOOKUP(F1433,Apuração!A:A,Apuração!B:B)) - BK1433))</f>
        <v>0</v>
      </c>
      <c r="BR1433" s="85">
        <f t="shared" ca="1" si="1688"/>
        <v>0</v>
      </c>
      <c r="BS1433" s="53">
        <f ca="1">IFERROR((_xlfn.XLOOKUP(F1433,Apuração!A:A,Apuração!C:C)+1)/_xlfn.XLOOKUP(F1433,Apuração!A:A,Apuração!B:B),0)</f>
        <v>0.14285714285714285</v>
      </c>
    </row>
    <row r="1434" spans="1:71" ht="25.95" hidden="1" customHeight="1" x14ac:dyDescent="0.3">
      <c r="A1434" s="44" t="s">
        <v>175</v>
      </c>
      <c r="B1434" s="4" t="s">
        <v>194</v>
      </c>
      <c r="C1434" s="5" t="s">
        <v>209</v>
      </c>
      <c r="D1434" s="5" t="s">
        <v>212</v>
      </c>
      <c r="E1434" s="4" t="s">
        <v>96</v>
      </c>
      <c r="F1434" s="4" t="str" cm="1">
        <f t="array" ref="F1434">_xlfn.IFS(
AG1434 &lt;&gt; "", "Jan-Dez/26",
AH1434 &lt;&gt; "", "Fev-Dez/26",
AI1434 &lt;&gt; "", "Mar-Dez/26", AJ1434 &lt;&gt; "", "Abr-Dez/26",
TRUE, "A partir de Junho"
)</f>
        <v>A partir de Junho</v>
      </c>
      <c r="G1434" s="4" t="s">
        <v>62</v>
      </c>
      <c r="H1434" s="7" t="s">
        <v>38</v>
      </c>
      <c r="I1434" s="21" t="s">
        <v>180</v>
      </c>
      <c r="J1434" s="8" t="str" cm="1">
        <f t="array" aca="1" ref="J1434" ca="1">_xlfn.LET(
  _xlpm.actual_value_month, INDEX(T1434:AE1434, MATCH(DATE(YEAR(TODAY()), MONTH(TODAY()), 1), $T$1:$AE$1, 0)),
  IF(_xlpm.actual_value_month &lt;&gt; "", _xlpm.actual_value_month &amp; " ações mensais", "")
)</f>
        <v/>
      </c>
      <c r="K1434" s="34" t="str" cm="1">
        <f t="array" ref="K1434">_xlfn.LET(
    _xlpm.sum_month, SUM(T1434:AE1434),
    IF(_xlpm.sum_month = 0, "", _xlpm.sum_month &amp; " colaboradores treinados.")
)</f>
        <v/>
      </c>
      <c r="L1434" s="9" t="s">
        <v>196</v>
      </c>
      <c r="M1434" s="13">
        <v>1</v>
      </c>
      <c r="N1434" s="5" t="s">
        <v>51</v>
      </c>
      <c r="O1434" s="5" t="s">
        <v>52</v>
      </c>
      <c r="P1434" s="10" t="s">
        <v>146</v>
      </c>
      <c r="Q1434" s="10" t="s">
        <v>44</v>
      </c>
      <c r="R1434" s="11" t="s">
        <v>44</v>
      </c>
      <c r="S1434" s="11" t="s">
        <v>44</v>
      </c>
      <c r="T1434" s="22"/>
      <c r="U1434" s="22"/>
      <c r="V1434" s="22"/>
      <c r="W1434" s="22"/>
      <c r="X1434" s="22"/>
      <c r="Y1434" s="22"/>
      <c r="Z1434" s="22"/>
      <c r="AA1434" s="22"/>
      <c r="AB1434" s="22"/>
      <c r="AC1434" s="22"/>
      <c r="AD1434" s="22"/>
      <c r="AE1434" s="22"/>
      <c r="AG1434" s="71"/>
      <c r="AH1434" s="71"/>
      <c r="AI1434" s="71"/>
      <c r="AJ1434" s="71"/>
      <c r="AK1434" s="71"/>
      <c r="AL1434" s="71"/>
      <c r="AM1434" s="71"/>
      <c r="AN1434" s="71"/>
      <c r="AO1434" s="71"/>
      <c r="AP1434" s="71"/>
      <c r="AQ1434" s="71"/>
      <c r="AR1434" s="71"/>
      <c r="AS1434" s="94" t="str" cm="1">
        <f t="array" ref="AS1434">IFERROR(INDEX(T1434:AE1434,1,MATCH(2,1/(T1434:AE1434&lt;&gt;""))),"")</f>
        <v/>
      </c>
      <c r="AT1434" s="95" t="str" cm="1">
        <f t="array" ref="AT1434">IFERROR(INDEX(AJ1434:AR1434,1,MATCH(2,1/(AJ1434:AR1434&lt;&gt;""))),"")</f>
        <v/>
      </c>
      <c r="AU1434" s="97" t="str">
        <f t="shared" si="1685"/>
        <v/>
      </c>
      <c r="AW1434" s="52">
        <f t="shared" si="1686"/>
        <v>0</v>
      </c>
      <c r="AX1434" s="52"/>
      <c r="AY1434" s="52"/>
      <c r="AZ1434" s="52"/>
      <c r="BA1434" s="52"/>
      <c r="BB1434" s="52"/>
      <c r="BC1434" s="52"/>
      <c r="BD1434" s="52"/>
      <c r="BE1434" s="52"/>
      <c r="BF1434" s="52"/>
      <c r="BG1434" s="52"/>
      <c r="BH1434" s="52"/>
      <c r="BI1434" s="68" cm="1">
        <f t="array" ref="BI1434">IFERROR(INDEX(AW1434:BH1434,1,MATCH(2,1/(AW1434:BH1434&lt;&gt;""))),"")</f>
        <v>0</v>
      </c>
      <c r="BJ1434" s="68" t="str" cm="1">
        <f t="array" ref="BJ1434">IF(BM1434 = "", "",IFERROR(INDEX(AW1434:BH1434,1,MATCH(2,1/(AW1434:BH1434&lt;&gt;""),1)-1),""))</f>
        <v/>
      </c>
      <c r="BK1434" s="59">
        <f t="shared" si="1687"/>
        <v>0</v>
      </c>
      <c r="BL1434" s="59" cm="1">
        <f t="array" ref="BL1434">IFERROR(SUM(AW1434:INDEX(AW1434:BH1434, MATCH(2, 1/(AW1434:BH1434&lt;&gt;""), 1) - 1))/_xlfn.XLOOKUP(F1434,Apuração!A:A,Apuração!B:B),0)</f>
        <v>0</v>
      </c>
      <c r="BM1434" s="55" t="str" cm="1">
        <f t="array" ref="BM1434">IFERROR(
   INDEX($AW$1:$BH$1,
      _xlfn.AGGREGATE(14, 6, COLUMN($AW$1:$BH$1)/(AW1434:BH1434&lt;&gt;""), 2) - COLUMN($AW$1) + 1
   ),
"")</f>
        <v/>
      </c>
      <c r="BN1434" s="55" cm="1">
        <f t="array" ref="BN1434">IFERROR(INDEX($AW$1:$BH$1,1,MATCH(2,1/(AW1434:BH1434&lt;&gt;""))),"")</f>
        <v>46023</v>
      </c>
      <c r="BO1434" s="53">
        <f ca="1">IFERROR(_xlfn.XLOOKUP(F1434,Apuração!A:A,Apuração!C:C)/_xlfn.XLOOKUP(F1434,Apuração!A:A,Apuração!B:B),0)</f>
        <v>0</v>
      </c>
      <c r="BP1434" s="53">
        <f ca="1">IFERROR(_xlfn.XLOOKUP(F1434,Apuração!A:A,Apuração!D:D)/_xlfn.XLOOKUP(F1434,Apuração!A:A,Apuração!B:B),0)</f>
        <v>0</v>
      </c>
      <c r="BQ1434" s="53">
        <f ca="1">IF(BK1434&gt;=BO1434,0,_xlfn.XLOOKUP(F1434,Apuração!A:A,Apuração!B:B)*(BO1434 + (1/_xlfn.XLOOKUP(F1434,Apuração!A:A,Apuração!B:B)) - BK1434))</f>
        <v>0</v>
      </c>
      <c r="BR1434" s="85">
        <f t="shared" ca="1" si="1688"/>
        <v>0</v>
      </c>
      <c r="BS1434" s="53">
        <f ca="1">IFERROR((_xlfn.XLOOKUP(F1434,Apuração!A:A,Apuração!C:C)+1)/_xlfn.XLOOKUP(F1434,Apuração!A:A,Apuração!B:B),0)</f>
        <v>0.14285714285714285</v>
      </c>
    </row>
    <row r="1435" spans="1:71" ht="25.95" hidden="1" customHeight="1" x14ac:dyDescent="0.3">
      <c r="A1435" s="44" t="s">
        <v>175</v>
      </c>
      <c r="B1435" s="4" t="s">
        <v>194</v>
      </c>
      <c r="C1435" s="5" t="s">
        <v>209</v>
      </c>
      <c r="D1435" s="5" t="s">
        <v>213</v>
      </c>
      <c r="E1435" s="4" t="s">
        <v>96</v>
      </c>
      <c r="F1435" s="4" t="str" cm="1">
        <f t="array" ref="F1435">_xlfn.IFS(
AG1435 &lt;&gt; "", "Jan-Dez/26",
AH1435 &lt;&gt; "", "Fev-Dez/26",
AI1435 &lt;&gt; "", "Mar-Dez/26", AJ1435 &lt;&gt; "", "Abr-Dez/26",
TRUE, "A partir de Junho"
)</f>
        <v>A partir de Junho</v>
      </c>
      <c r="G1435" s="4" t="s">
        <v>62</v>
      </c>
      <c r="H1435" s="7" t="s">
        <v>38</v>
      </c>
      <c r="I1435" s="21" t="s">
        <v>180</v>
      </c>
      <c r="J1435" s="8" t="str" cm="1">
        <f t="array" aca="1" ref="J1435" ca="1">_xlfn.LET(
  _xlpm.actual_value_month, INDEX(T1435:AE1435, MATCH(DATE(YEAR(TODAY()), MONTH(TODAY()), 1), $T$1:$AE$1, 0)),
  IF(_xlpm.actual_value_month &lt;&gt; "", _xlpm.actual_value_month &amp; " ações mensais", "")
)</f>
        <v/>
      </c>
      <c r="K1435" s="34" t="str" cm="1">
        <f t="array" ref="K1435">_xlfn.LET(
    _xlpm.sum_month, SUM(T1435:AE1435),
    IF(_xlpm.sum_month = 0, "", _xlpm.sum_month &amp; " colaboradores treinados.")
)</f>
        <v/>
      </c>
      <c r="L1435" s="9" t="s">
        <v>196</v>
      </c>
      <c r="M1435" s="13">
        <v>1</v>
      </c>
      <c r="N1435" s="5" t="s">
        <v>51</v>
      </c>
      <c r="O1435" s="5" t="s">
        <v>52</v>
      </c>
      <c r="P1435" s="10" t="s">
        <v>146</v>
      </c>
      <c r="Q1435" s="10" t="s">
        <v>44</v>
      </c>
      <c r="R1435" s="11" t="s">
        <v>44</v>
      </c>
      <c r="S1435" s="11" t="s">
        <v>44</v>
      </c>
      <c r="T1435" s="22"/>
      <c r="U1435" s="22"/>
      <c r="V1435" s="22"/>
      <c r="W1435" s="22"/>
      <c r="X1435" s="22"/>
      <c r="Y1435" s="22"/>
      <c r="Z1435" s="22"/>
      <c r="AA1435" s="22"/>
      <c r="AB1435" s="22"/>
      <c r="AC1435" s="22"/>
      <c r="AD1435" s="22"/>
      <c r="AE1435" s="22"/>
      <c r="AG1435" s="71"/>
      <c r="AH1435" s="71"/>
      <c r="AI1435" s="71"/>
      <c r="AJ1435" s="71"/>
      <c r="AK1435" s="71"/>
      <c r="AL1435" s="71"/>
      <c r="AM1435" s="71"/>
      <c r="AN1435" s="71"/>
      <c r="AO1435" s="71"/>
      <c r="AP1435" s="71"/>
      <c r="AQ1435" s="71"/>
      <c r="AR1435" s="71"/>
      <c r="AS1435" s="94" t="str" cm="1">
        <f t="array" ref="AS1435">IFERROR(INDEX(T1435:AE1435,1,MATCH(2,1/(T1435:AE1435&lt;&gt;""))),"")</f>
        <v/>
      </c>
      <c r="AT1435" s="95" t="str" cm="1">
        <f t="array" ref="AT1435">IFERROR(INDEX(AJ1435:AR1435,1,MATCH(2,1/(AJ1435:AR1435&lt;&gt;""))),"")</f>
        <v/>
      </c>
      <c r="AU1435" s="97" t="str">
        <f t="shared" si="1685"/>
        <v/>
      </c>
      <c r="AW1435" s="52">
        <f t="shared" si="1686"/>
        <v>0</v>
      </c>
      <c r="AX1435" s="52"/>
      <c r="AY1435" s="52"/>
      <c r="AZ1435" s="52"/>
      <c r="BA1435" s="52"/>
      <c r="BB1435" s="52"/>
      <c r="BC1435" s="52"/>
      <c r="BD1435" s="52"/>
      <c r="BE1435" s="52"/>
      <c r="BF1435" s="52"/>
      <c r="BG1435" s="52"/>
      <c r="BH1435" s="52"/>
      <c r="BI1435" s="68" cm="1">
        <f t="array" ref="BI1435">IFERROR(INDEX(AW1435:BH1435,1,MATCH(2,1/(AW1435:BH1435&lt;&gt;""))),"")</f>
        <v>0</v>
      </c>
      <c r="BJ1435" s="68" t="str" cm="1">
        <f t="array" ref="BJ1435">IF(BM1435 = "", "",IFERROR(INDEX(AW1435:BH1435,1,MATCH(2,1/(AW1435:BH1435&lt;&gt;""),1)-1),""))</f>
        <v/>
      </c>
      <c r="BK1435" s="59">
        <f t="shared" si="1687"/>
        <v>0</v>
      </c>
      <c r="BL1435" s="59" cm="1">
        <f t="array" ref="BL1435">IFERROR(SUM(AW1435:INDEX(AW1435:BH1435, MATCH(2, 1/(AW1435:BH1435&lt;&gt;""), 1) - 1))/_xlfn.XLOOKUP(F1435,Apuração!A:A,Apuração!B:B),0)</f>
        <v>0</v>
      </c>
      <c r="BM1435" s="55" t="str" cm="1">
        <f t="array" ref="BM1435">IFERROR(
   INDEX($AW$1:$BH$1,
      _xlfn.AGGREGATE(14, 6, COLUMN($AW$1:$BH$1)/(AW1435:BH1435&lt;&gt;""), 2) - COLUMN($AW$1) + 1
   ),
"")</f>
        <v/>
      </c>
      <c r="BN1435" s="55" cm="1">
        <f t="array" ref="BN1435">IFERROR(INDEX($AW$1:$BH$1,1,MATCH(2,1/(AW1435:BH1435&lt;&gt;""))),"")</f>
        <v>46023</v>
      </c>
      <c r="BO1435" s="53">
        <f ca="1">IFERROR(_xlfn.XLOOKUP(F1435,Apuração!A:A,Apuração!C:C)/_xlfn.XLOOKUP(F1435,Apuração!A:A,Apuração!B:B),0)</f>
        <v>0</v>
      </c>
      <c r="BP1435" s="53">
        <f ca="1">IFERROR(_xlfn.XLOOKUP(F1435,Apuração!A:A,Apuração!D:D)/_xlfn.XLOOKUP(F1435,Apuração!A:A,Apuração!B:B),0)</f>
        <v>0</v>
      </c>
      <c r="BQ1435" s="53">
        <f ca="1">IF(BK1435&gt;=BO1435,0,_xlfn.XLOOKUP(F1435,Apuração!A:A,Apuração!B:B)*(BO1435 + (1/_xlfn.XLOOKUP(F1435,Apuração!A:A,Apuração!B:B)) - BK1435))</f>
        <v>0</v>
      </c>
      <c r="BR1435" s="85">
        <f t="shared" ca="1" si="1688"/>
        <v>0</v>
      </c>
      <c r="BS1435" s="53">
        <f ca="1">IFERROR((_xlfn.XLOOKUP(F1435,Apuração!A:A,Apuração!C:C)+1)/_xlfn.XLOOKUP(F1435,Apuração!A:A,Apuração!B:B),0)</f>
        <v>0.14285714285714285</v>
      </c>
    </row>
    <row r="1436" spans="1:71" ht="25.95" hidden="1" customHeight="1" x14ac:dyDescent="0.3">
      <c r="A1436" s="44" t="s">
        <v>175</v>
      </c>
      <c r="B1436" s="4" t="s">
        <v>194</v>
      </c>
      <c r="C1436" s="5" t="s">
        <v>209</v>
      </c>
      <c r="D1436" s="5" t="s">
        <v>36</v>
      </c>
      <c r="E1436" s="4" t="s">
        <v>96</v>
      </c>
      <c r="F1436" s="4" t="str" cm="1">
        <f t="array" ref="F1436">_xlfn.IFS(
AG1436 &lt;&gt; "", "Jan-Dez/26",
AH1436 &lt;&gt; "", "Fev-Dez/26",
AI1436 &lt;&gt; "", "Mar-Dez/26", AJ1436 &lt;&gt; "", "Abr-Dez/26",
TRUE, "A partir de Junho"
)</f>
        <v>A partir de Junho</v>
      </c>
      <c r="G1436" s="4" t="s">
        <v>62</v>
      </c>
      <c r="H1436" s="7" t="s">
        <v>38</v>
      </c>
      <c r="I1436" s="21" t="s">
        <v>182</v>
      </c>
      <c r="J1436" s="8" t="str" cm="1">
        <f t="array" aca="1" ref="J1436" ca="1">_xlfn.LET(
  _xlpm.actual_value_month, INDEX(T1436:AE1436, MATCH(DATE(YEAR(TODAY()), MONTH(TODAY()), 1), $T$1:$AE$1, 0)),
  IF(_xlpm.actual_value_month &lt;&gt; "", _xlpm.actual_value_month &amp; " ações mensais", "")
)</f>
        <v/>
      </c>
      <c r="K1436" s="8" t="str" cm="1">
        <f t="array" ref="K1436">_xlfn.LET(
    _xlpm.sum_month, SUM(T1436:AE1436),
    IF(_xlpm.sum_month = 0, "", _xlpm.sum_month &amp; " taxa de aprovados")
)</f>
        <v/>
      </c>
      <c r="L1436" s="4" t="s">
        <v>183</v>
      </c>
      <c r="M1436" s="13">
        <v>1</v>
      </c>
      <c r="N1436" s="5" t="s">
        <v>51</v>
      </c>
      <c r="O1436" s="5" t="s">
        <v>43</v>
      </c>
      <c r="P1436" s="10" t="s">
        <v>44</v>
      </c>
      <c r="Q1436" s="10" t="s">
        <v>44</v>
      </c>
      <c r="R1436" s="11" t="s">
        <v>44</v>
      </c>
      <c r="S1436" s="11" t="s">
        <v>44</v>
      </c>
      <c r="T1436" s="22"/>
      <c r="U1436" s="22"/>
      <c r="V1436" s="22"/>
      <c r="W1436" s="22"/>
      <c r="X1436" s="22"/>
      <c r="Y1436" s="22"/>
      <c r="Z1436" s="22"/>
      <c r="AA1436" s="22"/>
      <c r="AB1436" s="22"/>
      <c r="AC1436" s="22"/>
      <c r="AD1436" s="22"/>
      <c r="AE1436" s="22"/>
      <c r="AG1436" s="71"/>
      <c r="AH1436" s="71"/>
      <c r="AI1436" s="71"/>
      <c r="AJ1436" s="71"/>
      <c r="AK1436" s="71"/>
      <c r="AL1436" s="71"/>
      <c r="AM1436" s="71"/>
      <c r="AN1436" s="71"/>
      <c r="AO1436" s="71"/>
      <c r="AP1436" s="71"/>
      <c r="AQ1436" s="71"/>
      <c r="AR1436" s="71"/>
      <c r="AS1436" s="94" t="str" cm="1">
        <f t="array" ref="AS1436">IFERROR(INDEX(T1436:AE1436,1,MATCH(2,1/(T1436:AE1436&lt;&gt;""))),"")</f>
        <v/>
      </c>
      <c r="AT1436" s="95" t="str" cm="1">
        <f t="array" ref="AT1436">IFERROR(INDEX(AJ1436:AR1436,1,MATCH(2,1/(AJ1436:AR1436&lt;&gt;""))),"")</f>
        <v/>
      </c>
      <c r="AU1436" s="97" t="str">
        <f>AT1436</f>
        <v/>
      </c>
      <c r="AW1436" s="51" t="str">
        <f>IFERROR(IF(AG1436="","",AG1436/T1436),0)</f>
        <v/>
      </c>
      <c r="AX1436" s="51"/>
      <c r="AY1436" s="51"/>
      <c r="AZ1436" s="51"/>
      <c r="BA1436" s="51"/>
      <c r="BB1436" s="51"/>
      <c r="BC1436" s="51"/>
      <c r="BD1436" s="51"/>
      <c r="BE1436" s="51"/>
      <c r="BF1436" s="51"/>
      <c r="BG1436" s="51"/>
      <c r="BH1436" s="51"/>
      <c r="BI1436" s="65" t="str" cm="1">
        <f t="array" ref="BI1436">IFERROR(INDEX(AW1436:BH1436,1,MATCH(2,1/(AW1436:BH1436&lt;&gt;""))),"")</f>
        <v/>
      </c>
      <c r="BJ1436" s="68" t="str" cm="1">
        <f t="array" ref="BJ1436">IF(BM1436 = "", "",IFERROR(INDEX(AW1436:BH1436,1,MATCH(2,1/(AW1436:BH1436&lt;&gt;""),1)-1),""))</f>
        <v/>
      </c>
      <c r="BK1436" s="58" t="str" cm="1">
        <f t="array" ref="BK1436">IFERROR(INDEX(AW1436:BH1436,1,MATCH(2,1/(AW1436:BH1436&lt;&gt;""))),"")</f>
        <v/>
      </c>
      <c r="BL1436" s="58" t="str" cm="1">
        <f t="array" ref="BL1436">IFERROR(INDEX(AW1436:BH1436,1,MATCH(2,1/(AW1436:BH1436&lt;&gt;""),1)-1),"")</f>
        <v/>
      </c>
      <c r="BM1436" s="55" t="str" cm="1">
        <f t="array" ref="BM1436">IFERROR(
   INDEX($AW$1:$BH$1,
      _xlfn.AGGREGATE(14, 6, COLUMN($AW$1:$BH$1)/(AW1436:BH1436&lt;&gt;""), 2) - COLUMN($AW$1) + 1
   ),
"")</f>
        <v/>
      </c>
      <c r="BN1436" s="55" t="str" cm="1">
        <f t="array" ref="BN1436">IFERROR(INDEX($AW$1:$BH$1,1,MATCH(2,1/(AW1436:BH1436&lt;&gt;""))),"")</f>
        <v/>
      </c>
      <c r="BO1436" s="53">
        <f ca="1">IFERROR(_xlfn.XLOOKUP(F1436,Apuração!A:A,Apuração!C:C)/_xlfn.XLOOKUP(F1436,Apuração!A:A,Apuração!B:B),0)</f>
        <v>0</v>
      </c>
      <c r="BP1436" s="53">
        <f ca="1">IFERROR(_xlfn.XLOOKUP(F1436,Apuração!A:A,Apuração!D:D)/_xlfn.XLOOKUP(F1436,Apuração!A:A,Apuração!B:B),0)</f>
        <v>0</v>
      </c>
      <c r="BQ1436" s="53">
        <f ca="1">IF(BK1436&gt;=BO1436,0,_xlfn.XLOOKUP(F1436,Apuração!A:A,Apuração!B:B)*(BO1436 + (1/_xlfn.XLOOKUP(F1436,Apuração!A:A,Apuração!B:B)) - BK1436))</f>
        <v>0</v>
      </c>
      <c r="BR1436" s="85">
        <f ca="1">IF(BQ1436=0,0,BQ1436*Z1436)</f>
        <v>0</v>
      </c>
      <c r="BS1436" s="53">
        <f ca="1">IFERROR((_xlfn.XLOOKUP(F1436,Apuração!A:A,Apuração!C:C)+1)/_xlfn.XLOOKUP(F1436,Apuração!A:A,Apuração!B:B),0)</f>
        <v>0.14285714285714285</v>
      </c>
    </row>
    <row r="1437" spans="1:71" ht="25.95" hidden="1" customHeight="1" x14ac:dyDescent="0.3">
      <c r="A1437" s="44" t="s">
        <v>175</v>
      </c>
      <c r="B1437" s="4" t="s">
        <v>194</v>
      </c>
      <c r="C1437" s="5" t="s">
        <v>209</v>
      </c>
      <c r="D1437" s="5" t="s">
        <v>210</v>
      </c>
      <c r="E1437" s="4" t="s">
        <v>96</v>
      </c>
      <c r="F1437" s="4" t="str" cm="1">
        <f t="array" ref="F1437">_xlfn.IFS(
AG1437 &lt;&gt; "", "Jan-Dez/26",
AH1437 &lt;&gt; "", "Fev-Dez/26",
AI1437 &lt;&gt; "", "Mar-Dez/26", AJ1437 &lt;&gt; "", "Abr-Dez/26",
TRUE, "A partir de Junho"
)</f>
        <v>A partir de Junho</v>
      </c>
      <c r="G1437" s="4" t="s">
        <v>62</v>
      </c>
      <c r="H1437" s="7" t="s">
        <v>38</v>
      </c>
      <c r="I1437" s="21" t="s">
        <v>182</v>
      </c>
      <c r="J1437" s="8" t="str" cm="1">
        <f t="array" aca="1" ref="J1437" ca="1">_xlfn.LET(
  _xlpm.actual_value_month, INDEX(T1437:AE1437, MATCH(DATE(YEAR(TODAY()), MONTH(TODAY()), 1), $T$1:$AE$1, 0)),
  IF(_xlpm.actual_value_month &lt;&gt; "", _xlpm.actual_value_month &amp; " ações mensais", "")
)</f>
        <v/>
      </c>
      <c r="K1437" s="8" t="str" cm="1">
        <f t="array" ref="K1437">_xlfn.LET(
    _xlpm.sum_month, SUM(T1437:AE1437),
    IF(_xlpm.sum_month = 0, "", _xlpm.sum_month &amp; " taxa de aprovados")
)</f>
        <v/>
      </c>
      <c r="L1437" s="4" t="s">
        <v>183</v>
      </c>
      <c r="M1437" s="13">
        <v>1</v>
      </c>
      <c r="N1437" s="5" t="s">
        <v>51</v>
      </c>
      <c r="O1437" s="5" t="s">
        <v>43</v>
      </c>
      <c r="P1437" s="10" t="s">
        <v>44</v>
      </c>
      <c r="Q1437" s="10" t="s">
        <v>44</v>
      </c>
      <c r="R1437" s="11" t="s">
        <v>44</v>
      </c>
      <c r="S1437" s="11" t="s">
        <v>44</v>
      </c>
      <c r="T1437" s="22"/>
      <c r="U1437" s="22"/>
      <c r="V1437" s="22"/>
      <c r="W1437" s="22"/>
      <c r="X1437" s="22"/>
      <c r="Y1437" s="22"/>
      <c r="Z1437" s="22"/>
      <c r="AA1437" s="22"/>
      <c r="AB1437" s="22"/>
      <c r="AC1437" s="22"/>
      <c r="AD1437" s="22"/>
      <c r="AE1437" s="22"/>
      <c r="AG1437" s="71"/>
      <c r="AH1437" s="71"/>
      <c r="AI1437" s="71"/>
      <c r="AJ1437" s="71"/>
      <c r="AK1437" s="71"/>
      <c r="AL1437" s="71"/>
      <c r="AM1437" s="71"/>
      <c r="AN1437" s="71"/>
      <c r="AO1437" s="71"/>
      <c r="AP1437" s="71"/>
      <c r="AQ1437" s="71"/>
      <c r="AR1437" s="71"/>
      <c r="AS1437" s="94" t="str" cm="1">
        <f t="array" ref="AS1437">IFERROR(INDEX(T1437:AE1437,1,MATCH(2,1/(T1437:AE1437&lt;&gt;""))),"")</f>
        <v/>
      </c>
      <c r="AT1437" s="95" t="str" cm="1">
        <f t="array" ref="AT1437">IFERROR(INDEX(AJ1437:AR1437,1,MATCH(2,1/(AJ1437:AR1437&lt;&gt;""))),"")</f>
        <v/>
      </c>
      <c r="AU1437" s="97" t="str">
        <f t="shared" ref="AU1437:AU1441" si="1689">AT1437</f>
        <v/>
      </c>
      <c r="AW1437" s="51" t="str">
        <f t="shared" ref="AW1437:AW1441" si="1690">IFERROR(IF(AG1437="","",AG1437/T1437),0)</f>
        <v/>
      </c>
      <c r="AX1437" s="51"/>
      <c r="AY1437" s="51"/>
      <c r="AZ1437" s="51"/>
      <c r="BA1437" s="51"/>
      <c r="BB1437" s="51"/>
      <c r="BC1437" s="51"/>
      <c r="BD1437" s="51"/>
      <c r="BE1437" s="51"/>
      <c r="BF1437" s="51"/>
      <c r="BG1437" s="51"/>
      <c r="BH1437" s="51"/>
      <c r="BI1437" s="65" t="str" cm="1">
        <f t="array" ref="BI1437">IFERROR(INDEX(AW1437:BH1437,1,MATCH(2,1/(AW1437:BH1437&lt;&gt;""))),"")</f>
        <v/>
      </c>
      <c r="BJ1437" s="68" t="str" cm="1">
        <f t="array" ref="BJ1437">IF(BM1437 = "", "",IFERROR(INDEX(AW1437:BH1437,1,MATCH(2,1/(AW1437:BH1437&lt;&gt;""),1)-1),""))</f>
        <v/>
      </c>
      <c r="BK1437" s="58" t="str" cm="1">
        <f t="array" ref="BK1437">IFERROR(INDEX(AW1437:BH1437,1,MATCH(2,1/(AW1437:BH1437&lt;&gt;""))),"")</f>
        <v/>
      </c>
      <c r="BL1437" s="58" t="str" cm="1">
        <f t="array" ref="BL1437">IFERROR(INDEX(AW1437:BH1437,1,MATCH(2,1/(AW1437:BH1437&lt;&gt;""),1)-1),"")</f>
        <v/>
      </c>
      <c r="BM1437" s="55" t="str" cm="1">
        <f t="array" ref="BM1437">IFERROR(
   INDEX($AW$1:$BH$1,
      _xlfn.AGGREGATE(14, 6, COLUMN($AW$1:$BH$1)/(AW1437:BH1437&lt;&gt;""), 2) - COLUMN($AW$1) + 1
   ),
"")</f>
        <v/>
      </c>
      <c r="BN1437" s="55" t="str" cm="1">
        <f t="array" ref="BN1437">IFERROR(INDEX($AW$1:$BH$1,1,MATCH(2,1/(AW1437:BH1437&lt;&gt;""))),"")</f>
        <v/>
      </c>
      <c r="BO1437" s="53">
        <f ca="1">IFERROR(_xlfn.XLOOKUP(F1437,Apuração!A:A,Apuração!C:C)/_xlfn.XLOOKUP(F1437,Apuração!A:A,Apuração!B:B),0)</f>
        <v>0</v>
      </c>
      <c r="BP1437" s="53">
        <f ca="1">IFERROR(_xlfn.XLOOKUP(F1437,Apuração!A:A,Apuração!D:D)/_xlfn.XLOOKUP(F1437,Apuração!A:A,Apuração!B:B),0)</f>
        <v>0</v>
      </c>
      <c r="BQ1437" s="53">
        <f ca="1">IF(BK1437&gt;=BO1437,0,_xlfn.XLOOKUP(F1437,Apuração!A:A,Apuração!B:B)*(BO1437 + (1/_xlfn.XLOOKUP(F1437,Apuração!A:A,Apuração!B:B)) - BK1437))</f>
        <v>0</v>
      </c>
      <c r="BR1437" s="85">
        <f t="shared" ref="BR1437:BR1441" ca="1" si="1691">IF(BQ1437=0,0,BQ1437*Z1437)</f>
        <v>0</v>
      </c>
      <c r="BS1437" s="53">
        <f ca="1">IFERROR((_xlfn.XLOOKUP(F1437,Apuração!A:A,Apuração!C:C)+1)/_xlfn.XLOOKUP(F1437,Apuração!A:A,Apuração!B:B),0)</f>
        <v>0.14285714285714285</v>
      </c>
    </row>
    <row r="1438" spans="1:71" ht="25.95" hidden="1" customHeight="1" x14ac:dyDescent="0.3">
      <c r="A1438" s="44" t="s">
        <v>175</v>
      </c>
      <c r="B1438" s="4" t="s">
        <v>194</v>
      </c>
      <c r="C1438" s="5" t="s">
        <v>209</v>
      </c>
      <c r="D1438" s="5" t="s">
        <v>47</v>
      </c>
      <c r="E1438" s="4" t="s">
        <v>96</v>
      </c>
      <c r="F1438" s="4" t="str" cm="1">
        <f t="array" ref="F1438">_xlfn.IFS(
AG1438 &lt;&gt; "", "Jan-Dez/26",
AH1438 &lt;&gt; "", "Fev-Dez/26",
AI1438 &lt;&gt; "", "Mar-Dez/26", AJ1438 &lt;&gt; "", "Abr-Dez/26",
TRUE, "A partir de Junho"
)</f>
        <v>A partir de Junho</v>
      </c>
      <c r="G1438" s="4" t="s">
        <v>62</v>
      </c>
      <c r="H1438" s="7" t="s">
        <v>38</v>
      </c>
      <c r="I1438" s="21" t="s">
        <v>182</v>
      </c>
      <c r="J1438" s="8" t="str" cm="1">
        <f t="array" aca="1" ref="J1438" ca="1">_xlfn.LET(
  _xlpm.actual_value_month, INDEX(T1438:AE1438, MATCH(DATE(YEAR(TODAY()), MONTH(TODAY()), 1), $T$1:$AE$1, 0)),
  IF(_xlpm.actual_value_month &lt;&gt; "", _xlpm.actual_value_month &amp; " ações mensais", "")
)</f>
        <v/>
      </c>
      <c r="K1438" s="8" t="str" cm="1">
        <f t="array" ref="K1438">_xlfn.LET(
    _xlpm.sum_month, SUM(T1438:AE1438),
    IF(_xlpm.sum_month = 0, "", _xlpm.sum_month &amp; " taxa de aprovados")
)</f>
        <v/>
      </c>
      <c r="L1438" s="4" t="s">
        <v>183</v>
      </c>
      <c r="M1438" s="13">
        <v>1</v>
      </c>
      <c r="N1438" s="5" t="s">
        <v>51</v>
      </c>
      <c r="O1438" s="5" t="s">
        <v>43</v>
      </c>
      <c r="P1438" s="10" t="s">
        <v>44</v>
      </c>
      <c r="Q1438" s="10" t="s">
        <v>44</v>
      </c>
      <c r="R1438" s="11" t="s">
        <v>44</v>
      </c>
      <c r="S1438" s="11" t="s">
        <v>44</v>
      </c>
      <c r="T1438" s="22"/>
      <c r="U1438" s="22"/>
      <c r="V1438" s="22"/>
      <c r="W1438" s="22"/>
      <c r="X1438" s="22"/>
      <c r="Y1438" s="22"/>
      <c r="Z1438" s="22"/>
      <c r="AA1438" s="22"/>
      <c r="AB1438" s="22"/>
      <c r="AC1438" s="22"/>
      <c r="AD1438" s="22"/>
      <c r="AE1438" s="22"/>
      <c r="AG1438" s="71"/>
      <c r="AH1438" s="71"/>
      <c r="AI1438" s="71"/>
      <c r="AJ1438" s="71"/>
      <c r="AK1438" s="71"/>
      <c r="AL1438" s="71"/>
      <c r="AM1438" s="71"/>
      <c r="AN1438" s="71"/>
      <c r="AO1438" s="71"/>
      <c r="AP1438" s="71"/>
      <c r="AQ1438" s="71"/>
      <c r="AR1438" s="71"/>
      <c r="AS1438" s="94" t="str" cm="1">
        <f t="array" ref="AS1438">IFERROR(INDEX(T1438:AE1438,1,MATCH(2,1/(T1438:AE1438&lt;&gt;""))),"")</f>
        <v/>
      </c>
      <c r="AT1438" s="95" t="str" cm="1">
        <f t="array" ref="AT1438">IFERROR(INDEX(AJ1438:AR1438,1,MATCH(2,1/(AJ1438:AR1438&lt;&gt;""))),"")</f>
        <v/>
      </c>
      <c r="AU1438" s="97" t="str">
        <f t="shared" si="1689"/>
        <v/>
      </c>
      <c r="AW1438" s="51" t="str">
        <f t="shared" si="1690"/>
        <v/>
      </c>
      <c r="AX1438" s="51"/>
      <c r="AY1438" s="51"/>
      <c r="AZ1438" s="51"/>
      <c r="BA1438" s="51"/>
      <c r="BB1438" s="51"/>
      <c r="BC1438" s="51"/>
      <c r="BD1438" s="51"/>
      <c r="BE1438" s="51"/>
      <c r="BF1438" s="51"/>
      <c r="BG1438" s="51"/>
      <c r="BH1438" s="51"/>
      <c r="BI1438" s="65" t="str" cm="1">
        <f t="array" ref="BI1438">IFERROR(INDEX(AW1438:BH1438,1,MATCH(2,1/(AW1438:BH1438&lt;&gt;""))),"")</f>
        <v/>
      </c>
      <c r="BJ1438" s="68" t="str" cm="1">
        <f t="array" ref="BJ1438">IF(BM1438 = "", "",IFERROR(INDEX(AW1438:BH1438,1,MATCH(2,1/(AW1438:BH1438&lt;&gt;""),1)-1),""))</f>
        <v/>
      </c>
      <c r="BK1438" s="58" t="str" cm="1">
        <f t="array" ref="BK1438">IFERROR(INDEX(AW1438:BH1438,1,MATCH(2,1/(AW1438:BH1438&lt;&gt;""))),"")</f>
        <v/>
      </c>
      <c r="BL1438" s="58" t="str" cm="1">
        <f t="array" ref="BL1438">IFERROR(INDEX(AW1438:BH1438,1,MATCH(2,1/(AW1438:BH1438&lt;&gt;""),1)-1),"")</f>
        <v/>
      </c>
      <c r="BM1438" s="55" t="str" cm="1">
        <f t="array" ref="BM1438">IFERROR(
   INDEX($AW$1:$BH$1,
      _xlfn.AGGREGATE(14, 6, COLUMN($AW$1:$BH$1)/(AW1438:BH1438&lt;&gt;""), 2) - COLUMN($AW$1) + 1
   ),
"")</f>
        <v/>
      </c>
      <c r="BN1438" s="55" t="str" cm="1">
        <f t="array" ref="BN1438">IFERROR(INDEX($AW$1:$BH$1,1,MATCH(2,1/(AW1438:BH1438&lt;&gt;""))),"")</f>
        <v/>
      </c>
      <c r="BO1438" s="53">
        <f ca="1">IFERROR(_xlfn.XLOOKUP(F1438,Apuração!A:A,Apuração!C:C)/_xlfn.XLOOKUP(F1438,Apuração!A:A,Apuração!B:B),0)</f>
        <v>0</v>
      </c>
      <c r="BP1438" s="53">
        <f ca="1">IFERROR(_xlfn.XLOOKUP(F1438,Apuração!A:A,Apuração!D:D)/_xlfn.XLOOKUP(F1438,Apuração!A:A,Apuração!B:B),0)</f>
        <v>0</v>
      </c>
      <c r="BQ1438" s="53">
        <f ca="1">IF(BK1438&gt;=BO1438,0,_xlfn.XLOOKUP(F1438,Apuração!A:A,Apuração!B:B)*(BO1438 + (1/_xlfn.XLOOKUP(F1438,Apuração!A:A,Apuração!B:B)) - BK1438))</f>
        <v>0</v>
      </c>
      <c r="BR1438" s="85">
        <f t="shared" ca="1" si="1691"/>
        <v>0</v>
      </c>
      <c r="BS1438" s="53">
        <f ca="1">IFERROR((_xlfn.XLOOKUP(F1438,Apuração!A:A,Apuração!C:C)+1)/_xlfn.XLOOKUP(F1438,Apuração!A:A,Apuração!B:B),0)</f>
        <v>0.14285714285714285</v>
      </c>
    </row>
    <row r="1439" spans="1:71" ht="25.95" hidden="1" customHeight="1" x14ac:dyDescent="0.3">
      <c r="A1439" s="44" t="s">
        <v>175</v>
      </c>
      <c r="B1439" s="4" t="s">
        <v>194</v>
      </c>
      <c r="C1439" s="5" t="s">
        <v>209</v>
      </c>
      <c r="D1439" s="5" t="s">
        <v>211</v>
      </c>
      <c r="E1439" s="4" t="s">
        <v>96</v>
      </c>
      <c r="F1439" s="4" t="str" cm="1">
        <f t="array" ref="F1439">_xlfn.IFS(
AG1439 &lt;&gt; "", "Jan-Dez/26",
AH1439 &lt;&gt; "", "Fev-Dez/26",
AI1439 &lt;&gt; "", "Mar-Dez/26", AJ1439 &lt;&gt; "", "Abr-Dez/26",
TRUE, "A partir de Junho"
)</f>
        <v>A partir de Junho</v>
      </c>
      <c r="G1439" s="4" t="s">
        <v>62</v>
      </c>
      <c r="H1439" s="7" t="s">
        <v>38</v>
      </c>
      <c r="I1439" s="21" t="s">
        <v>182</v>
      </c>
      <c r="J1439" s="8" t="str" cm="1">
        <f t="array" aca="1" ref="J1439" ca="1">_xlfn.LET(
  _xlpm.actual_value_month, INDEX(T1439:AE1439, MATCH(DATE(YEAR(TODAY()), MONTH(TODAY()), 1), $T$1:$AE$1, 0)),
  IF(_xlpm.actual_value_month &lt;&gt; "", _xlpm.actual_value_month &amp; " ações mensais", "")
)</f>
        <v/>
      </c>
      <c r="K1439" s="8" t="str" cm="1">
        <f t="array" ref="K1439">_xlfn.LET(
    _xlpm.sum_month, SUM(T1439:AE1439),
    IF(_xlpm.sum_month = 0, "", _xlpm.sum_month &amp; " taxa de aprovados")
)</f>
        <v/>
      </c>
      <c r="L1439" s="4" t="s">
        <v>183</v>
      </c>
      <c r="M1439" s="13">
        <v>1</v>
      </c>
      <c r="N1439" s="5" t="s">
        <v>51</v>
      </c>
      <c r="O1439" s="5" t="s">
        <v>43</v>
      </c>
      <c r="P1439" s="10" t="s">
        <v>44</v>
      </c>
      <c r="Q1439" s="10" t="s">
        <v>44</v>
      </c>
      <c r="R1439" s="11" t="s">
        <v>44</v>
      </c>
      <c r="S1439" s="11" t="s">
        <v>44</v>
      </c>
      <c r="T1439" s="22"/>
      <c r="U1439" s="22"/>
      <c r="V1439" s="22"/>
      <c r="W1439" s="22"/>
      <c r="X1439" s="22"/>
      <c r="Y1439" s="22"/>
      <c r="Z1439" s="22"/>
      <c r="AA1439" s="22"/>
      <c r="AB1439" s="22"/>
      <c r="AC1439" s="22"/>
      <c r="AD1439" s="22"/>
      <c r="AE1439" s="22"/>
      <c r="AG1439" s="71"/>
      <c r="AH1439" s="71"/>
      <c r="AI1439" s="71"/>
      <c r="AJ1439" s="71"/>
      <c r="AK1439" s="71"/>
      <c r="AL1439" s="71"/>
      <c r="AM1439" s="71"/>
      <c r="AN1439" s="71"/>
      <c r="AO1439" s="71"/>
      <c r="AP1439" s="71"/>
      <c r="AQ1439" s="71"/>
      <c r="AR1439" s="71"/>
      <c r="AS1439" s="94" t="str" cm="1">
        <f t="array" ref="AS1439">IFERROR(INDEX(T1439:AE1439,1,MATCH(2,1/(T1439:AE1439&lt;&gt;""))),"")</f>
        <v/>
      </c>
      <c r="AT1439" s="95" t="str" cm="1">
        <f t="array" ref="AT1439">IFERROR(INDEX(AJ1439:AR1439,1,MATCH(2,1/(AJ1439:AR1439&lt;&gt;""))),"")</f>
        <v/>
      </c>
      <c r="AU1439" s="97" t="str">
        <f t="shared" si="1689"/>
        <v/>
      </c>
      <c r="AW1439" s="51" t="str">
        <f t="shared" si="1690"/>
        <v/>
      </c>
      <c r="AX1439" s="51"/>
      <c r="AY1439" s="51"/>
      <c r="AZ1439" s="51"/>
      <c r="BA1439" s="51"/>
      <c r="BB1439" s="51"/>
      <c r="BC1439" s="51"/>
      <c r="BD1439" s="51"/>
      <c r="BE1439" s="51"/>
      <c r="BF1439" s="51"/>
      <c r="BG1439" s="51"/>
      <c r="BH1439" s="51"/>
      <c r="BI1439" s="65" t="str" cm="1">
        <f t="array" ref="BI1439">IFERROR(INDEX(AW1439:BH1439,1,MATCH(2,1/(AW1439:BH1439&lt;&gt;""))),"")</f>
        <v/>
      </c>
      <c r="BJ1439" s="68" t="str" cm="1">
        <f t="array" ref="BJ1439">IF(BM1439 = "", "",IFERROR(INDEX(AW1439:BH1439,1,MATCH(2,1/(AW1439:BH1439&lt;&gt;""),1)-1),""))</f>
        <v/>
      </c>
      <c r="BK1439" s="58" t="str" cm="1">
        <f t="array" ref="BK1439">IFERROR(INDEX(AW1439:BH1439,1,MATCH(2,1/(AW1439:BH1439&lt;&gt;""))),"")</f>
        <v/>
      </c>
      <c r="BL1439" s="58" t="str" cm="1">
        <f t="array" ref="BL1439">IFERROR(INDEX(AW1439:BH1439,1,MATCH(2,1/(AW1439:BH1439&lt;&gt;""),1)-1),"")</f>
        <v/>
      </c>
      <c r="BM1439" s="55" t="str" cm="1">
        <f t="array" ref="BM1439">IFERROR(
   INDEX($AW$1:$BH$1,
      _xlfn.AGGREGATE(14, 6, COLUMN($AW$1:$BH$1)/(AW1439:BH1439&lt;&gt;""), 2) - COLUMN($AW$1) + 1
   ),
"")</f>
        <v/>
      </c>
      <c r="BN1439" s="55" t="str" cm="1">
        <f t="array" ref="BN1439">IFERROR(INDEX($AW$1:$BH$1,1,MATCH(2,1/(AW1439:BH1439&lt;&gt;""))),"")</f>
        <v/>
      </c>
      <c r="BO1439" s="53">
        <f ca="1">IFERROR(_xlfn.XLOOKUP(F1439,Apuração!A:A,Apuração!C:C)/_xlfn.XLOOKUP(F1439,Apuração!A:A,Apuração!B:B),0)</f>
        <v>0</v>
      </c>
      <c r="BP1439" s="53">
        <f ca="1">IFERROR(_xlfn.XLOOKUP(F1439,Apuração!A:A,Apuração!D:D)/_xlfn.XLOOKUP(F1439,Apuração!A:A,Apuração!B:B),0)</f>
        <v>0</v>
      </c>
      <c r="BQ1439" s="53">
        <f ca="1">IF(BK1439&gt;=BO1439,0,_xlfn.XLOOKUP(F1439,Apuração!A:A,Apuração!B:B)*(BO1439 + (1/_xlfn.XLOOKUP(F1439,Apuração!A:A,Apuração!B:B)) - BK1439))</f>
        <v>0</v>
      </c>
      <c r="BR1439" s="85">
        <f t="shared" ca="1" si="1691"/>
        <v>0</v>
      </c>
      <c r="BS1439" s="53">
        <f ca="1">IFERROR((_xlfn.XLOOKUP(F1439,Apuração!A:A,Apuração!C:C)+1)/_xlfn.XLOOKUP(F1439,Apuração!A:A,Apuração!B:B),0)</f>
        <v>0.14285714285714285</v>
      </c>
    </row>
    <row r="1440" spans="1:71" ht="25.95" hidden="1" customHeight="1" x14ac:dyDescent="0.3">
      <c r="A1440" s="44" t="s">
        <v>175</v>
      </c>
      <c r="B1440" s="4" t="s">
        <v>194</v>
      </c>
      <c r="C1440" s="5" t="s">
        <v>209</v>
      </c>
      <c r="D1440" s="5" t="s">
        <v>212</v>
      </c>
      <c r="E1440" s="4" t="s">
        <v>96</v>
      </c>
      <c r="F1440" s="4" t="str" cm="1">
        <f t="array" ref="F1440">_xlfn.IFS(
AG1440 &lt;&gt; "", "Jan-Dez/26",
AH1440 &lt;&gt; "", "Fev-Dez/26",
AI1440 &lt;&gt; "", "Mar-Dez/26", AJ1440 &lt;&gt; "", "Abr-Dez/26",
TRUE, "A partir de Junho"
)</f>
        <v>A partir de Junho</v>
      </c>
      <c r="G1440" s="4" t="s">
        <v>62</v>
      </c>
      <c r="H1440" s="7" t="s">
        <v>38</v>
      </c>
      <c r="I1440" s="21" t="s">
        <v>182</v>
      </c>
      <c r="J1440" s="8" t="str" cm="1">
        <f t="array" aca="1" ref="J1440" ca="1">_xlfn.LET(
  _xlpm.actual_value_month, INDEX(T1440:AE1440, MATCH(DATE(YEAR(TODAY()), MONTH(TODAY()), 1), $T$1:$AE$1, 0)),
  IF(_xlpm.actual_value_month &lt;&gt; "", _xlpm.actual_value_month &amp; " ações mensais", "")
)</f>
        <v/>
      </c>
      <c r="K1440" s="8" t="str" cm="1">
        <f t="array" ref="K1440">_xlfn.LET(
    _xlpm.sum_month, SUM(T1440:AE1440),
    IF(_xlpm.sum_month = 0, "", _xlpm.sum_month &amp; " taxa de aprovados")
)</f>
        <v/>
      </c>
      <c r="L1440" s="4" t="s">
        <v>183</v>
      </c>
      <c r="M1440" s="13">
        <v>1</v>
      </c>
      <c r="N1440" s="5" t="s">
        <v>51</v>
      </c>
      <c r="O1440" s="5" t="s">
        <v>43</v>
      </c>
      <c r="P1440" s="10" t="s">
        <v>44</v>
      </c>
      <c r="Q1440" s="10" t="s">
        <v>44</v>
      </c>
      <c r="R1440" s="11" t="s">
        <v>44</v>
      </c>
      <c r="S1440" s="11" t="s">
        <v>44</v>
      </c>
      <c r="T1440" s="22"/>
      <c r="U1440" s="22"/>
      <c r="V1440" s="22"/>
      <c r="W1440" s="22"/>
      <c r="X1440" s="22"/>
      <c r="Y1440" s="22"/>
      <c r="Z1440" s="22"/>
      <c r="AA1440" s="22"/>
      <c r="AB1440" s="22"/>
      <c r="AC1440" s="22"/>
      <c r="AD1440" s="22"/>
      <c r="AE1440" s="22"/>
      <c r="AG1440" s="71"/>
      <c r="AH1440" s="71"/>
      <c r="AI1440" s="71"/>
      <c r="AJ1440" s="71"/>
      <c r="AK1440" s="71"/>
      <c r="AL1440" s="71"/>
      <c r="AM1440" s="71"/>
      <c r="AN1440" s="71"/>
      <c r="AO1440" s="71"/>
      <c r="AP1440" s="71"/>
      <c r="AQ1440" s="71"/>
      <c r="AR1440" s="71"/>
      <c r="AS1440" s="94" t="str" cm="1">
        <f t="array" ref="AS1440">IFERROR(INDEX(T1440:AE1440,1,MATCH(2,1/(T1440:AE1440&lt;&gt;""))),"")</f>
        <v/>
      </c>
      <c r="AT1440" s="95" t="str" cm="1">
        <f t="array" ref="AT1440">IFERROR(INDEX(AJ1440:AR1440,1,MATCH(2,1/(AJ1440:AR1440&lt;&gt;""))),"")</f>
        <v/>
      </c>
      <c r="AU1440" s="97" t="str">
        <f t="shared" si="1689"/>
        <v/>
      </c>
      <c r="AW1440" s="51" t="str">
        <f t="shared" si="1690"/>
        <v/>
      </c>
      <c r="AX1440" s="51"/>
      <c r="AY1440" s="51"/>
      <c r="AZ1440" s="51"/>
      <c r="BA1440" s="51"/>
      <c r="BB1440" s="51"/>
      <c r="BC1440" s="51"/>
      <c r="BD1440" s="51"/>
      <c r="BE1440" s="51"/>
      <c r="BF1440" s="51"/>
      <c r="BG1440" s="51"/>
      <c r="BH1440" s="51"/>
      <c r="BI1440" s="65" t="str" cm="1">
        <f t="array" ref="BI1440">IFERROR(INDEX(AW1440:BH1440,1,MATCH(2,1/(AW1440:BH1440&lt;&gt;""))),"")</f>
        <v/>
      </c>
      <c r="BJ1440" s="68" t="str" cm="1">
        <f t="array" ref="BJ1440">IF(BM1440 = "", "",IFERROR(INDEX(AW1440:BH1440,1,MATCH(2,1/(AW1440:BH1440&lt;&gt;""),1)-1),""))</f>
        <v/>
      </c>
      <c r="BK1440" s="58" t="str" cm="1">
        <f t="array" ref="BK1440">IFERROR(INDEX(AW1440:BH1440,1,MATCH(2,1/(AW1440:BH1440&lt;&gt;""))),"")</f>
        <v/>
      </c>
      <c r="BL1440" s="58" t="str" cm="1">
        <f t="array" ref="BL1440">IFERROR(INDEX(AW1440:BH1440,1,MATCH(2,1/(AW1440:BH1440&lt;&gt;""),1)-1),"")</f>
        <v/>
      </c>
      <c r="BM1440" s="55" t="str" cm="1">
        <f t="array" ref="BM1440">IFERROR(
   INDEX($AW$1:$BH$1,
      _xlfn.AGGREGATE(14, 6, COLUMN($AW$1:$BH$1)/(AW1440:BH1440&lt;&gt;""), 2) - COLUMN($AW$1) + 1
   ),
"")</f>
        <v/>
      </c>
      <c r="BN1440" s="55" t="str" cm="1">
        <f t="array" ref="BN1440">IFERROR(INDEX($AW$1:$BH$1,1,MATCH(2,1/(AW1440:BH1440&lt;&gt;""))),"")</f>
        <v/>
      </c>
      <c r="BO1440" s="53">
        <f ca="1">IFERROR(_xlfn.XLOOKUP(F1440,Apuração!A:A,Apuração!C:C)/_xlfn.XLOOKUP(F1440,Apuração!A:A,Apuração!B:B),0)</f>
        <v>0</v>
      </c>
      <c r="BP1440" s="53">
        <f ca="1">IFERROR(_xlfn.XLOOKUP(F1440,Apuração!A:A,Apuração!D:D)/_xlfn.XLOOKUP(F1440,Apuração!A:A,Apuração!B:B),0)</f>
        <v>0</v>
      </c>
      <c r="BQ1440" s="53">
        <f ca="1">IF(BK1440&gt;=BO1440,0,_xlfn.XLOOKUP(F1440,Apuração!A:A,Apuração!B:B)*(BO1440 + (1/_xlfn.XLOOKUP(F1440,Apuração!A:A,Apuração!B:B)) - BK1440))</f>
        <v>0</v>
      </c>
      <c r="BR1440" s="85">
        <f t="shared" ca="1" si="1691"/>
        <v>0</v>
      </c>
      <c r="BS1440" s="53">
        <f ca="1">IFERROR((_xlfn.XLOOKUP(F1440,Apuração!A:A,Apuração!C:C)+1)/_xlfn.XLOOKUP(F1440,Apuração!A:A,Apuração!B:B),0)</f>
        <v>0.14285714285714285</v>
      </c>
    </row>
    <row r="1441" spans="1:71" ht="25.95" hidden="1" customHeight="1" x14ac:dyDescent="0.3">
      <c r="A1441" s="44" t="s">
        <v>175</v>
      </c>
      <c r="B1441" s="4" t="s">
        <v>194</v>
      </c>
      <c r="C1441" s="5" t="s">
        <v>209</v>
      </c>
      <c r="D1441" s="5" t="s">
        <v>213</v>
      </c>
      <c r="E1441" s="4" t="s">
        <v>96</v>
      </c>
      <c r="F1441" s="4" t="str" cm="1">
        <f t="array" ref="F1441">_xlfn.IFS(
AG1441 &lt;&gt; "", "Jan-Dez/26",
AH1441 &lt;&gt; "", "Fev-Dez/26",
AI1441 &lt;&gt; "", "Mar-Dez/26", AJ1441 &lt;&gt; "", "Abr-Dez/26",
TRUE, "A partir de Junho"
)</f>
        <v>A partir de Junho</v>
      </c>
      <c r="G1441" s="4" t="s">
        <v>62</v>
      </c>
      <c r="H1441" s="7" t="s">
        <v>38</v>
      </c>
      <c r="I1441" s="21" t="s">
        <v>182</v>
      </c>
      <c r="J1441" s="8" t="str" cm="1">
        <f t="array" aca="1" ref="J1441" ca="1">_xlfn.LET(
  _xlpm.actual_value_month, INDEX(T1441:AE1441, MATCH(DATE(YEAR(TODAY()), MONTH(TODAY()), 1), $T$1:$AE$1, 0)),
  IF(_xlpm.actual_value_month &lt;&gt; "", _xlpm.actual_value_month &amp; " ações mensais", "")
)</f>
        <v/>
      </c>
      <c r="K1441" s="8" t="str" cm="1">
        <f t="array" ref="K1441">_xlfn.LET(
    _xlpm.sum_month, SUM(T1441:AE1441),
    IF(_xlpm.sum_month = 0, "", _xlpm.sum_month &amp; " taxa de aprovados")
)</f>
        <v/>
      </c>
      <c r="L1441" s="4" t="s">
        <v>183</v>
      </c>
      <c r="M1441" s="13">
        <v>1</v>
      </c>
      <c r="N1441" s="5" t="s">
        <v>51</v>
      </c>
      <c r="O1441" s="5" t="s">
        <v>43</v>
      </c>
      <c r="P1441" s="10" t="s">
        <v>44</v>
      </c>
      <c r="Q1441" s="10" t="s">
        <v>44</v>
      </c>
      <c r="R1441" s="11" t="s">
        <v>44</v>
      </c>
      <c r="S1441" s="11" t="s">
        <v>44</v>
      </c>
      <c r="T1441" s="22"/>
      <c r="U1441" s="22"/>
      <c r="V1441" s="22"/>
      <c r="W1441" s="22"/>
      <c r="X1441" s="22"/>
      <c r="Y1441" s="22"/>
      <c r="Z1441" s="22"/>
      <c r="AA1441" s="22"/>
      <c r="AB1441" s="22"/>
      <c r="AC1441" s="22"/>
      <c r="AD1441" s="22"/>
      <c r="AE1441" s="22"/>
      <c r="AG1441" s="71"/>
      <c r="AH1441" s="71"/>
      <c r="AI1441" s="71"/>
      <c r="AJ1441" s="71"/>
      <c r="AK1441" s="71"/>
      <c r="AL1441" s="71"/>
      <c r="AM1441" s="71"/>
      <c r="AN1441" s="71"/>
      <c r="AO1441" s="71"/>
      <c r="AP1441" s="71"/>
      <c r="AQ1441" s="71"/>
      <c r="AR1441" s="71"/>
      <c r="AS1441" s="94" t="str" cm="1">
        <f t="array" ref="AS1441">IFERROR(INDEX(T1441:AE1441,1,MATCH(2,1/(T1441:AE1441&lt;&gt;""))),"")</f>
        <v/>
      </c>
      <c r="AT1441" s="95" t="str" cm="1">
        <f t="array" ref="AT1441">IFERROR(INDEX(AJ1441:AR1441,1,MATCH(2,1/(AJ1441:AR1441&lt;&gt;""))),"")</f>
        <v/>
      </c>
      <c r="AU1441" s="97" t="str">
        <f t="shared" si="1689"/>
        <v/>
      </c>
      <c r="AW1441" s="51" t="str">
        <f t="shared" si="1690"/>
        <v/>
      </c>
      <c r="AX1441" s="51"/>
      <c r="AY1441" s="51"/>
      <c r="AZ1441" s="51"/>
      <c r="BA1441" s="51"/>
      <c r="BB1441" s="51"/>
      <c r="BC1441" s="51"/>
      <c r="BD1441" s="51"/>
      <c r="BE1441" s="51"/>
      <c r="BF1441" s="51"/>
      <c r="BG1441" s="51"/>
      <c r="BH1441" s="51"/>
      <c r="BI1441" s="65" t="str" cm="1">
        <f t="array" ref="BI1441">IFERROR(INDEX(AW1441:BH1441,1,MATCH(2,1/(AW1441:BH1441&lt;&gt;""))),"")</f>
        <v/>
      </c>
      <c r="BJ1441" s="68" t="str" cm="1">
        <f t="array" ref="BJ1441">IF(BM1441 = "", "",IFERROR(INDEX(AW1441:BH1441,1,MATCH(2,1/(AW1441:BH1441&lt;&gt;""),1)-1),""))</f>
        <v/>
      </c>
      <c r="BK1441" s="58" t="str" cm="1">
        <f t="array" ref="BK1441">IFERROR(INDEX(AW1441:BH1441,1,MATCH(2,1/(AW1441:BH1441&lt;&gt;""))),"")</f>
        <v/>
      </c>
      <c r="BL1441" s="58" t="str" cm="1">
        <f t="array" ref="BL1441">IFERROR(INDEX(AW1441:BH1441,1,MATCH(2,1/(AW1441:BH1441&lt;&gt;""),1)-1),"")</f>
        <v/>
      </c>
      <c r="BM1441" s="55" t="str" cm="1">
        <f t="array" ref="BM1441">IFERROR(
   INDEX($AW$1:$BH$1,
      _xlfn.AGGREGATE(14, 6, COLUMN($AW$1:$BH$1)/(AW1441:BH1441&lt;&gt;""), 2) - COLUMN($AW$1) + 1
   ),
"")</f>
        <v/>
      </c>
      <c r="BN1441" s="55" t="str" cm="1">
        <f t="array" ref="BN1441">IFERROR(INDEX($AW$1:$BH$1,1,MATCH(2,1/(AW1441:BH1441&lt;&gt;""))),"")</f>
        <v/>
      </c>
      <c r="BO1441" s="53">
        <f ca="1">IFERROR(_xlfn.XLOOKUP(F1441,Apuração!A:A,Apuração!C:C)/_xlfn.XLOOKUP(F1441,Apuração!A:A,Apuração!B:B),0)</f>
        <v>0</v>
      </c>
      <c r="BP1441" s="53">
        <f ca="1">IFERROR(_xlfn.XLOOKUP(F1441,Apuração!A:A,Apuração!D:D)/_xlfn.XLOOKUP(F1441,Apuração!A:A,Apuração!B:B),0)</f>
        <v>0</v>
      </c>
      <c r="BQ1441" s="53">
        <f ca="1">IF(BK1441&gt;=BO1441,0,_xlfn.XLOOKUP(F1441,Apuração!A:A,Apuração!B:B)*(BO1441 + (1/_xlfn.XLOOKUP(F1441,Apuração!A:A,Apuração!B:B)) - BK1441))</f>
        <v>0</v>
      </c>
      <c r="BR1441" s="85">
        <f t="shared" ca="1" si="1691"/>
        <v>0</v>
      </c>
      <c r="BS1441" s="53">
        <f ca="1">IFERROR((_xlfn.XLOOKUP(F1441,Apuração!A:A,Apuração!C:C)+1)/_xlfn.XLOOKUP(F1441,Apuração!A:A,Apuração!B:B),0)</f>
        <v>0.14285714285714285</v>
      </c>
    </row>
    <row r="1442" spans="1:71" ht="25.95" hidden="1" customHeight="1" x14ac:dyDescent="0.3">
      <c r="A1442" s="33" t="s">
        <v>175</v>
      </c>
      <c r="B1442" s="4" t="s">
        <v>197</v>
      </c>
      <c r="C1442" s="5" t="s">
        <v>209</v>
      </c>
      <c r="D1442" s="5" t="s">
        <v>36</v>
      </c>
      <c r="E1442" s="4" t="s">
        <v>96</v>
      </c>
      <c r="F1442" s="4" t="str" cm="1">
        <f t="array" ref="F1442">_xlfn.IFS(
AG1442 &lt;&gt; "", "Jan-Dez/26",
AH1442 &lt;&gt; "", "Fev-Dez/26",
AI1442 &lt;&gt; "", "Mar-Dez/26", AJ1442 &lt;&gt; "", "Abr-Dez/26",
TRUE, "A partir de Junho"
)</f>
        <v>A partir de Junho</v>
      </c>
      <c r="G1442" s="4" t="s">
        <v>62</v>
      </c>
      <c r="H1442" s="7" t="s">
        <v>38</v>
      </c>
      <c r="I1442" s="8" t="s">
        <v>177</v>
      </c>
      <c r="J1442" s="8" t="str" cm="1">
        <f t="array" aca="1" ref="J1442" ca="1">_xlfn.LET(
  _xlpm.actual_value_month, INDEX(T1442:AE1442, MATCH(DATE(YEAR(TODAY()), MONTH(TODAY()), 1), $T$1:$AE$1, 0)),
  IF(_xlpm.actual_value_month &lt;&gt; "", _xlpm.actual_value_month &amp; " ações mensais", "")
)</f>
        <v/>
      </c>
      <c r="K1442" s="8" t="str" cm="1">
        <f t="array" ref="K1442">_xlfn.LET(
    _xlpm.sum_month, SUM(T1442:AE1442),
    IF(_xlpm.sum_month = 0, "", _xlpm.sum_month &amp; " certificados gerados.")
)</f>
        <v/>
      </c>
      <c r="L1442" s="9" t="s">
        <v>198</v>
      </c>
      <c r="M1442" s="13">
        <v>1</v>
      </c>
      <c r="N1442" s="5" t="s">
        <v>42</v>
      </c>
      <c r="O1442" s="5" t="s">
        <v>43</v>
      </c>
      <c r="P1442" s="10" t="s">
        <v>146</v>
      </c>
      <c r="Q1442" s="10" t="s">
        <v>44</v>
      </c>
      <c r="R1442" s="11" t="s">
        <v>179</v>
      </c>
      <c r="S1442" s="11" t="s">
        <v>67</v>
      </c>
      <c r="T1442" s="22"/>
      <c r="U1442" s="22"/>
      <c r="V1442" s="22"/>
      <c r="W1442" s="22"/>
      <c r="X1442" s="22"/>
      <c r="Y1442" s="22"/>
      <c r="Z1442" s="22"/>
      <c r="AA1442" s="22"/>
      <c r="AB1442" s="22"/>
      <c r="AC1442" s="22"/>
      <c r="AD1442" s="22"/>
      <c r="AE1442" s="22"/>
      <c r="AG1442" s="71"/>
      <c r="AH1442" s="71"/>
      <c r="AI1442" s="71"/>
      <c r="AJ1442" s="71"/>
      <c r="AK1442" s="71"/>
      <c r="AL1442" s="71"/>
      <c r="AM1442" s="71"/>
      <c r="AN1442" s="71"/>
      <c r="AO1442" s="71"/>
      <c r="AP1442" s="71"/>
      <c r="AQ1442" s="71"/>
      <c r="AR1442" s="71"/>
      <c r="AS1442" s="94" t="str" cm="1">
        <f t="array" ref="AS1442">IFERROR(INDEX(T1442:AE1442,1,MATCH(2,1/(T1442:AE1442&lt;&gt;""))),"")</f>
        <v/>
      </c>
      <c r="AT1442" s="95" t="str" cm="1">
        <f t="array" ref="AT1442">IFERROR(INDEX(AJ1442:AR1442,1,MATCH(2,1/(AJ1442:AR1442&lt;&gt;""))),"")</f>
        <v/>
      </c>
      <c r="AU1442" s="97" t="str">
        <f>AT1442</f>
        <v/>
      </c>
      <c r="AW1442" s="51"/>
      <c r="AX1442" s="51"/>
      <c r="AY1442" s="51"/>
      <c r="AZ1442" s="51"/>
      <c r="BA1442" s="51"/>
      <c r="BB1442" s="51"/>
      <c r="BC1442" s="51"/>
      <c r="BD1442" s="51"/>
      <c r="BE1442" s="51"/>
      <c r="BF1442" s="51"/>
      <c r="BG1442" s="51"/>
      <c r="BH1442" s="51"/>
      <c r="BI1442" s="65" t="str" cm="1">
        <f t="array" ref="BI1442">IFERROR(INDEX(AW1442:BH1442,1,MATCH(2,1/(AW1442:BH1442&lt;&gt;""))),"")</f>
        <v/>
      </c>
      <c r="BJ1442" s="68" t="str" cm="1">
        <f t="array" ref="BJ1442">IF(BM1442 = "", "",IFERROR(INDEX(AW1442:BH1442,1,MATCH(2,1/(AW1442:BH1442&lt;&gt;""),1)-1),""))</f>
        <v/>
      </c>
      <c r="BK1442" s="58" t="str" cm="1">
        <f t="array" ref="BK1442">IFERROR(INDEX(AW1442:BH1442,1,MATCH(2,1/(AW1442:BH1442&lt;&gt;""))),"")</f>
        <v/>
      </c>
      <c r="BL1442" s="58" t="str" cm="1">
        <f t="array" ref="BL1442">IFERROR(INDEX(AW1442:BH1442,1,MATCH(2,1/(AW1442:BH1442&lt;&gt;""),1)-1),"")</f>
        <v/>
      </c>
      <c r="BM1442" s="55" t="str" cm="1">
        <f t="array" ref="BM1442">IFERROR(
   INDEX($AW$1:$BH$1,
      _xlfn.AGGREGATE(14, 6, COLUMN($AW$1:$BH$1)/(AW1442:BH1442&lt;&gt;""), 2) - COLUMN($AW$1) + 1
   ),
"")</f>
        <v/>
      </c>
      <c r="BN1442" s="55" t="str" cm="1">
        <f t="array" ref="BN1442">IFERROR(INDEX($AW$1:$BH$1,1,MATCH(2,1/(AW1442:BH1442&lt;&gt;""))),"")</f>
        <v/>
      </c>
      <c r="BO1442" s="53">
        <f ca="1">IFERROR(_xlfn.XLOOKUP(F1442,Apuração!A:A,Apuração!C:C)/_xlfn.XLOOKUP(F1442,Apuração!A:A,Apuração!B:B),0)</f>
        <v>0</v>
      </c>
      <c r="BP1442" s="53">
        <f ca="1">IFERROR(_xlfn.XLOOKUP(F1442,Apuração!A:A,Apuração!D:D)/_xlfn.XLOOKUP(F1442,Apuração!A:A,Apuração!B:B),0)</f>
        <v>0</v>
      </c>
      <c r="BQ1442" s="53">
        <f ca="1">IF(BK1442&gt;=BO1442,0,_xlfn.XLOOKUP(F1442,Apuração!A:A,Apuração!B:B)*(BO1442 + (1/_xlfn.XLOOKUP(F1442,Apuração!A:A,Apuração!B:B)) - BK1442))</f>
        <v>0</v>
      </c>
      <c r="BR1442" s="85">
        <f ca="1">IF(BQ1442=0,0,BQ1442*Z1442)</f>
        <v>0</v>
      </c>
      <c r="BS1442" s="53">
        <f ca="1">IFERROR((_xlfn.XLOOKUP(F1442,Apuração!A:A,Apuração!C:C)+1)/_xlfn.XLOOKUP(F1442,Apuração!A:A,Apuração!B:B),0)</f>
        <v>0.14285714285714285</v>
      </c>
    </row>
    <row r="1443" spans="1:71" ht="25.95" hidden="1" customHeight="1" x14ac:dyDescent="0.3">
      <c r="A1443" s="33" t="s">
        <v>175</v>
      </c>
      <c r="B1443" s="4" t="s">
        <v>197</v>
      </c>
      <c r="C1443" s="5" t="s">
        <v>209</v>
      </c>
      <c r="D1443" s="5" t="s">
        <v>210</v>
      </c>
      <c r="E1443" s="4" t="s">
        <v>96</v>
      </c>
      <c r="F1443" s="4" t="str" cm="1">
        <f t="array" ref="F1443">_xlfn.IFS(
AG1443 &lt;&gt; "", "Jan-Dez/26",
AH1443 &lt;&gt; "", "Fev-Dez/26",
AI1443 &lt;&gt; "", "Mar-Dez/26", AJ1443 &lt;&gt; "", "Abr-Dez/26",
TRUE, "A partir de Junho"
)</f>
        <v>A partir de Junho</v>
      </c>
      <c r="G1443" s="4" t="s">
        <v>62</v>
      </c>
      <c r="H1443" s="7" t="s">
        <v>38</v>
      </c>
      <c r="I1443" s="8" t="s">
        <v>177</v>
      </c>
      <c r="J1443" s="8" t="str" cm="1">
        <f t="array" aca="1" ref="J1443" ca="1">_xlfn.LET(
  _xlpm.actual_value_month, INDEX(T1443:AE1443, MATCH(DATE(YEAR(TODAY()), MONTH(TODAY()), 1), $T$1:$AE$1, 0)),
  IF(_xlpm.actual_value_month &lt;&gt; "", _xlpm.actual_value_month &amp; " ações mensais", "")
)</f>
        <v/>
      </c>
      <c r="K1443" s="8" t="str" cm="1">
        <f t="array" ref="K1443">_xlfn.LET(
    _xlpm.sum_month, SUM(T1443:AE1443),
    IF(_xlpm.sum_month = 0, "", _xlpm.sum_month &amp; " certificados gerados.")
)</f>
        <v/>
      </c>
      <c r="L1443" s="9" t="s">
        <v>198</v>
      </c>
      <c r="M1443" s="13">
        <v>1</v>
      </c>
      <c r="N1443" s="5" t="s">
        <v>42</v>
      </c>
      <c r="O1443" s="5" t="s">
        <v>43</v>
      </c>
      <c r="P1443" s="10" t="s">
        <v>146</v>
      </c>
      <c r="Q1443" s="10" t="s">
        <v>44</v>
      </c>
      <c r="R1443" s="11" t="s">
        <v>179</v>
      </c>
      <c r="S1443" s="11" t="s">
        <v>67</v>
      </c>
      <c r="T1443" s="22"/>
      <c r="U1443" s="22"/>
      <c r="V1443" s="22"/>
      <c r="W1443" s="22"/>
      <c r="X1443" s="22"/>
      <c r="Y1443" s="22"/>
      <c r="Z1443" s="22"/>
      <c r="AA1443" s="22"/>
      <c r="AB1443" s="22"/>
      <c r="AC1443" s="22"/>
      <c r="AD1443" s="22"/>
      <c r="AE1443" s="22"/>
      <c r="AG1443" s="71"/>
      <c r="AH1443" s="71"/>
      <c r="AI1443" s="71"/>
      <c r="AJ1443" s="71"/>
      <c r="AK1443" s="71"/>
      <c r="AL1443" s="71"/>
      <c r="AM1443" s="71"/>
      <c r="AN1443" s="71"/>
      <c r="AO1443" s="71"/>
      <c r="AP1443" s="71"/>
      <c r="AQ1443" s="71"/>
      <c r="AR1443" s="71"/>
      <c r="AS1443" s="94" t="str" cm="1">
        <f t="array" ref="AS1443">IFERROR(INDEX(T1443:AE1443,1,MATCH(2,1/(T1443:AE1443&lt;&gt;""))),"")</f>
        <v/>
      </c>
      <c r="AT1443" s="95" t="str" cm="1">
        <f t="array" ref="AT1443">IFERROR(INDEX(AJ1443:AR1443,1,MATCH(2,1/(AJ1443:AR1443&lt;&gt;""))),"")</f>
        <v/>
      </c>
      <c r="AU1443" s="97" t="str">
        <f t="shared" ref="AU1443:AU1447" si="1692">AT1443</f>
        <v/>
      </c>
      <c r="AW1443" s="51"/>
      <c r="AX1443" s="51"/>
      <c r="AY1443" s="51"/>
      <c r="AZ1443" s="51"/>
      <c r="BA1443" s="51"/>
      <c r="BB1443" s="51"/>
      <c r="BC1443" s="51"/>
      <c r="BD1443" s="51"/>
      <c r="BE1443" s="51"/>
      <c r="BF1443" s="51"/>
      <c r="BG1443" s="51"/>
      <c r="BH1443" s="51"/>
      <c r="BI1443" s="65" t="str" cm="1">
        <f t="array" ref="BI1443">IFERROR(INDEX(AW1443:BH1443,1,MATCH(2,1/(AW1443:BH1443&lt;&gt;""))),"")</f>
        <v/>
      </c>
      <c r="BJ1443" s="68" t="str" cm="1">
        <f t="array" ref="BJ1443">IF(BM1443 = "", "",IFERROR(INDEX(AW1443:BH1443,1,MATCH(2,1/(AW1443:BH1443&lt;&gt;""),1)-1),""))</f>
        <v/>
      </c>
      <c r="BK1443" s="58" t="str" cm="1">
        <f t="array" ref="BK1443">IFERROR(INDEX(AW1443:BH1443,1,MATCH(2,1/(AW1443:BH1443&lt;&gt;""))),"")</f>
        <v/>
      </c>
      <c r="BL1443" s="58" t="str" cm="1">
        <f t="array" ref="BL1443">IFERROR(INDEX(AW1443:BH1443,1,MATCH(2,1/(AW1443:BH1443&lt;&gt;""),1)-1),"")</f>
        <v/>
      </c>
      <c r="BM1443" s="55" t="str" cm="1">
        <f t="array" ref="BM1443">IFERROR(
   INDEX($AW$1:$BH$1,
      _xlfn.AGGREGATE(14, 6, COLUMN($AW$1:$BH$1)/(AW1443:BH1443&lt;&gt;""), 2) - COLUMN($AW$1) + 1
   ),
"")</f>
        <v/>
      </c>
      <c r="BN1443" s="55" t="str" cm="1">
        <f t="array" ref="BN1443">IFERROR(INDEX($AW$1:$BH$1,1,MATCH(2,1/(AW1443:BH1443&lt;&gt;""))),"")</f>
        <v/>
      </c>
      <c r="BO1443" s="53">
        <f ca="1">IFERROR(_xlfn.XLOOKUP(F1443,Apuração!A:A,Apuração!C:C)/_xlfn.XLOOKUP(F1443,Apuração!A:A,Apuração!B:B),0)</f>
        <v>0</v>
      </c>
      <c r="BP1443" s="53">
        <f ca="1">IFERROR(_xlfn.XLOOKUP(F1443,Apuração!A:A,Apuração!D:D)/_xlfn.XLOOKUP(F1443,Apuração!A:A,Apuração!B:B),0)</f>
        <v>0</v>
      </c>
      <c r="BQ1443" s="53">
        <f ca="1">IF(BK1443&gt;=BO1443,0,_xlfn.XLOOKUP(F1443,Apuração!A:A,Apuração!B:B)*(BO1443 + (1/_xlfn.XLOOKUP(F1443,Apuração!A:A,Apuração!B:B)) - BK1443))</f>
        <v>0</v>
      </c>
      <c r="BR1443" s="85">
        <f t="shared" ref="BR1443:BR1447" ca="1" si="1693">IF(BQ1443=0,0,BQ1443*Z1443)</f>
        <v>0</v>
      </c>
      <c r="BS1443" s="53">
        <f ca="1">IFERROR((_xlfn.XLOOKUP(F1443,Apuração!A:A,Apuração!C:C)+1)/_xlfn.XLOOKUP(F1443,Apuração!A:A,Apuração!B:B),0)</f>
        <v>0.14285714285714285</v>
      </c>
    </row>
    <row r="1444" spans="1:71" ht="25.95" hidden="1" customHeight="1" x14ac:dyDescent="0.3">
      <c r="A1444" s="33" t="s">
        <v>175</v>
      </c>
      <c r="B1444" s="4" t="s">
        <v>197</v>
      </c>
      <c r="C1444" s="5" t="s">
        <v>209</v>
      </c>
      <c r="D1444" s="5" t="s">
        <v>47</v>
      </c>
      <c r="E1444" s="4" t="s">
        <v>96</v>
      </c>
      <c r="F1444" s="4" t="str" cm="1">
        <f t="array" ref="F1444">_xlfn.IFS(
AG1444 &lt;&gt; "", "Jan-Dez/26",
AH1444 &lt;&gt; "", "Fev-Dez/26",
AI1444 &lt;&gt; "", "Mar-Dez/26", AJ1444 &lt;&gt; "", "Abr-Dez/26",
TRUE, "A partir de Junho"
)</f>
        <v>A partir de Junho</v>
      </c>
      <c r="G1444" s="4" t="s">
        <v>62</v>
      </c>
      <c r="H1444" s="7" t="s">
        <v>38</v>
      </c>
      <c r="I1444" s="8" t="s">
        <v>177</v>
      </c>
      <c r="J1444" s="8" t="str" cm="1">
        <f t="array" aca="1" ref="J1444" ca="1">_xlfn.LET(
  _xlpm.actual_value_month, INDEX(T1444:AE1444, MATCH(DATE(YEAR(TODAY()), MONTH(TODAY()), 1), $T$1:$AE$1, 0)),
  IF(_xlpm.actual_value_month &lt;&gt; "", _xlpm.actual_value_month &amp; " ações mensais", "")
)</f>
        <v/>
      </c>
      <c r="K1444" s="8" t="str" cm="1">
        <f t="array" ref="K1444">_xlfn.LET(
    _xlpm.sum_month, SUM(T1444:AE1444),
    IF(_xlpm.sum_month = 0, "", _xlpm.sum_month &amp; " certificados gerados.")
)</f>
        <v/>
      </c>
      <c r="L1444" s="9" t="s">
        <v>198</v>
      </c>
      <c r="M1444" s="13">
        <v>1</v>
      </c>
      <c r="N1444" s="5" t="s">
        <v>42</v>
      </c>
      <c r="O1444" s="5" t="s">
        <v>43</v>
      </c>
      <c r="P1444" s="10" t="s">
        <v>146</v>
      </c>
      <c r="Q1444" s="10" t="s">
        <v>44</v>
      </c>
      <c r="R1444" s="11" t="s">
        <v>179</v>
      </c>
      <c r="S1444" s="11" t="s">
        <v>67</v>
      </c>
      <c r="T1444" s="22"/>
      <c r="U1444" s="22"/>
      <c r="V1444" s="22"/>
      <c r="W1444" s="22"/>
      <c r="X1444" s="22"/>
      <c r="Y1444" s="22"/>
      <c r="Z1444" s="22"/>
      <c r="AA1444" s="22"/>
      <c r="AB1444" s="22"/>
      <c r="AC1444" s="22"/>
      <c r="AD1444" s="22"/>
      <c r="AE1444" s="22"/>
      <c r="AG1444" s="71"/>
      <c r="AH1444" s="71"/>
      <c r="AI1444" s="71"/>
      <c r="AJ1444" s="71"/>
      <c r="AK1444" s="71"/>
      <c r="AL1444" s="71"/>
      <c r="AM1444" s="71"/>
      <c r="AN1444" s="71"/>
      <c r="AO1444" s="71"/>
      <c r="AP1444" s="71"/>
      <c r="AQ1444" s="71"/>
      <c r="AR1444" s="71"/>
      <c r="AS1444" s="94" t="str" cm="1">
        <f t="array" ref="AS1444">IFERROR(INDEX(T1444:AE1444,1,MATCH(2,1/(T1444:AE1444&lt;&gt;""))),"")</f>
        <v/>
      </c>
      <c r="AT1444" s="95" t="str" cm="1">
        <f t="array" ref="AT1444">IFERROR(INDEX(AJ1444:AR1444,1,MATCH(2,1/(AJ1444:AR1444&lt;&gt;""))),"")</f>
        <v/>
      </c>
      <c r="AU1444" s="97" t="str">
        <f t="shared" si="1692"/>
        <v/>
      </c>
      <c r="AW1444" s="51"/>
      <c r="AX1444" s="51"/>
      <c r="AY1444" s="51"/>
      <c r="AZ1444" s="51"/>
      <c r="BA1444" s="51"/>
      <c r="BB1444" s="51"/>
      <c r="BC1444" s="51"/>
      <c r="BD1444" s="51"/>
      <c r="BE1444" s="51"/>
      <c r="BF1444" s="51"/>
      <c r="BG1444" s="51"/>
      <c r="BH1444" s="51"/>
      <c r="BI1444" s="65" t="str" cm="1">
        <f t="array" ref="BI1444">IFERROR(INDEX(AW1444:BH1444,1,MATCH(2,1/(AW1444:BH1444&lt;&gt;""))),"")</f>
        <v/>
      </c>
      <c r="BJ1444" s="68" t="str" cm="1">
        <f t="array" ref="BJ1444">IF(BM1444 = "", "",IFERROR(INDEX(AW1444:BH1444,1,MATCH(2,1/(AW1444:BH1444&lt;&gt;""),1)-1),""))</f>
        <v/>
      </c>
      <c r="BK1444" s="58" t="str" cm="1">
        <f t="array" ref="BK1444">IFERROR(INDEX(AW1444:BH1444,1,MATCH(2,1/(AW1444:BH1444&lt;&gt;""))),"")</f>
        <v/>
      </c>
      <c r="BL1444" s="58" t="str" cm="1">
        <f t="array" ref="BL1444">IFERROR(INDEX(AW1444:BH1444,1,MATCH(2,1/(AW1444:BH1444&lt;&gt;""),1)-1),"")</f>
        <v/>
      </c>
      <c r="BM1444" s="55" t="str" cm="1">
        <f t="array" ref="BM1444">IFERROR(
   INDEX($AW$1:$BH$1,
      _xlfn.AGGREGATE(14, 6, COLUMN($AW$1:$BH$1)/(AW1444:BH1444&lt;&gt;""), 2) - COLUMN($AW$1) + 1
   ),
"")</f>
        <v/>
      </c>
      <c r="BN1444" s="55" t="str" cm="1">
        <f t="array" ref="BN1444">IFERROR(INDEX($AW$1:$BH$1,1,MATCH(2,1/(AW1444:BH1444&lt;&gt;""))),"")</f>
        <v/>
      </c>
      <c r="BO1444" s="53">
        <f ca="1">IFERROR(_xlfn.XLOOKUP(F1444,Apuração!A:A,Apuração!C:C)/_xlfn.XLOOKUP(F1444,Apuração!A:A,Apuração!B:B),0)</f>
        <v>0</v>
      </c>
      <c r="BP1444" s="53">
        <f ca="1">IFERROR(_xlfn.XLOOKUP(F1444,Apuração!A:A,Apuração!D:D)/_xlfn.XLOOKUP(F1444,Apuração!A:A,Apuração!B:B),0)</f>
        <v>0</v>
      </c>
      <c r="BQ1444" s="53">
        <f ca="1">IF(BK1444&gt;=BO1444,0,_xlfn.XLOOKUP(F1444,Apuração!A:A,Apuração!B:B)*(BO1444 + (1/_xlfn.XLOOKUP(F1444,Apuração!A:A,Apuração!B:B)) - BK1444))</f>
        <v>0</v>
      </c>
      <c r="BR1444" s="85">
        <f t="shared" ca="1" si="1693"/>
        <v>0</v>
      </c>
      <c r="BS1444" s="53">
        <f ca="1">IFERROR((_xlfn.XLOOKUP(F1444,Apuração!A:A,Apuração!C:C)+1)/_xlfn.XLOOKUP(F1444,Apuração!A:A,Apuração!B:B),0)</f>
        <v>0.14285714285714285</v>
      </c>
    </row>
    <row r="1445" spans="1:71" ht="25.95" hidden="1" customHeight="1" x14ac:dyDescent="0.3">
      <c r="A1445" s="33" t="s">
        <v>175</v>
      </c>
      <c r="B1445" s="4" t="s">
        <v>197</v>
      </c>
      <c r="C1445" s="5" t="s">
        <v>209</v>
      </c>
      <c r="D1445" s="5" t="s">
        <v>211</v>
      </c>
      <c r="E1445" s="4" t="s">
        <v>96</v>
      </c>
      <c r="F1445" s="4" t="str" cm="1">
        <f t="array" ref="F1445">_xlfn.IFS(
AG1445 &lt;&gt; "", "Jan-Dez/26",
AH1445 &lt;&gt; "", "Fev-Dez/26",
AI1445 &lt;&gt; "", "Mar-Dez/26", AJ1445 &lt;&gt; "", "Abr-Dez/26",
TRUE, "A partir de Junho"
)</f>
        <v>A partir de Junho</v>
      </c>
      <c r="G1445" s="4" t="s">
        <v>62</v>
      </c>
      <c r="H1445" s="7" t="s">
        <v>38</v>
      </c>
      <c r="I1445" s="8" t="s">
        <v>177</v>
      </c>
      <c r="J1445" s="8" t="str" cm="1">
        <f t="array" aca="1" ref="J1445" ca="1">_xlfn.LET(
  _xlpm.actual_value_month, INDEX(T1445:AE1445, MATCH(DATE(YEAR(TODAY()), MONTH(TODAY()), 1), $T$1:$AE$1, 0)),
  IF(_xlpm.actual_value_month &lt;&gt; "", _xlpm.actual_value_month &amp; " ações mensais", "")
)</f>
        <v/>
      </c>
      <c r="K1445" s="8" t="str" cm="1">
        <f t="array" ref="K1445">_xlfn.LET(
    _xlpm.sum_month, SUM(T1445:AE1445),
    IF(_xlpm.sum_month = 0, "", _xlpm.sum_month &amp; " certificados gerados.")
)</f>
        <v/>
      </c>
      <c r="L1445" s="9" t="s">
        <v>198</v>
      </c>
      <c r="M1445" s="13">
        <v>1</v>
      </c>
      <c r="N1445" s="5" t="s">
        <v>42</v>
      </c>
      <c r="O1445" s="5" t="s">
        <v>43</v>
      </c>
      <c r="P1445" s="10" t="s">
        <v>146</v>
      </c>
      <c r="Q1445" s="10" t="s">
        <v>44</v>
      </c>
      <c r="R1445" s="11" t="s">
        <v>179</v>
      </c>
      <c r="S1445" s="11" t="s">
        <v>67</v>
      </c>
      <c r="T1445" s="22"/>
      <c r="U1445" s="22"/>
      <c r="V1445" s="22"/>
      <c r="W1445" s="22"/>
      <c r="X1445" s="22"/>
      <c r="Y1445" s="22"/>
      <c r="Z1445" s="22"/>
      <c r="AA1445" s="22"/>
      <c r="AB1445" s="22"/>
      <c r="AC1445" s="22"/>
      <c r="AD1445" s="22"/>
      <c r="AE1445" s="22"/>
      <c r="AG1445" s="71"/>
      <c r="AH1445" s="71"/>
      <c r="AI1445" s="71"/>
      <c r="AJ1445" s="71"/>
      <c r="AK1445" s="71"/>
      <c r="AL1445" s="71"/>
      <c r="AM1445" s="71"/>
      <c r="AN1445" s="71"/>
      <c r="AO1445" s="71"/>
      <c r="AP1445" s="71"/>
      <c r="AQ1445" s="71"/>
      <c r="AR1445" s="71"/>
      <c r="AS1445" s="94" t="str" cm="1">
        <f t="array" ref="AS1445">IFERROR(INDEX(T1445:AE1445,1,MATCH(2,1/(T1445:AE1445&lt;&gt;""))),"")</f>
        <v/>
      </c>
      <c r="AT1445" s="95" t="str" cm="1">
        <f t="array" ref="AT1445">IFERROR(INDEX(AJ1445:AR1445,1,MATCH(2,1/(AJ1445:AR1445&lt;&gt;""))),"")</f>
        <v/>
      </c>
      <c r="AU1445" s="97" t="str">
        <f t="shared" si="1692"/>
        <v/>
      </c>
      <c r="AW1445" s="51"/>
      <c r="AX1445" s="51"/>
      <c r="AY1445" s="51"/>
      <c r="AZ1445" s="51"/>
      <c r="BA1445" s="51"/>
      <c r="BB1445" s="51"/>
      <c r="BC1445" s="51"/>
      <c r="BD1445" s="51"/>
      <c r="BE1445" s="51"/>
      <c r="BF1445" s="51"/>
      <c r="BG1445" s="51"/>
      <c r="BH1445" s="51"/>
      <c r="BI1445" s="65" t="str" cm="1">
        <f t="array" ref="BI1445">IFERROR(INDEX(AW1445:BH1445,1,MATCH(2,1/(AW1445:BH1445&lt;&gt;""))),"")</f>
        <v/>
      </c>
      <c r="BJ1445" s="68" t="str" cm="1">
        <f t="array" ref="BJ1445">IF(BM1445 = "", "",IFERROR(INDEX(AW1445:BH1445,1,MATCH(2,1/(AW1445:BH1445&lt;&gt;""),1)-1),""))</f>
        <v/>
      </c>
      <c r="BK1445" s="58" t="str" cm="1">
        <f t="array" ref="BK1445">IFERROR(INDEX(AW1445:BH1445,1,MATCH(2,1/(AW1445:BH1445&lt;&gt;""))),"")</f>
        <v/>
      </c>
      <c r="BL1445" s="58" t="str" cm="1">
        <f t="array" ref="BL1445">IFERROR(INDEX(AW1445:BH1445,1,MATCH(2,1/(AW1445:BH1445&lt;&gt;""),1)-1),"")</f>
        <v/>
      </c>
      <c r="BM1445" s="55" t="str" cm="1">
        <f t="array" ref="BM1445">IFERROR(
   INDEX($AW$1:$BH$1,
      _xlfn.AGGREGATE(14, 6, COLUMN($AW$1:$BH$1)/(AW1445:BH1445&lt;&gt;""), 2) - COLUMN($AW$1) + 1
   ),
"")</f>
        <v/>
      </c>
      <c r="BN1445" s="55" t="str" cm="1">
        <f t="array" ref="BN1445">IFERROR(INDEX($AW$1:$BH$1,1,MATCH(2,1/(AW1445:BH1445&lt;&gt;""))),"")</f>
        <v/>
      </c>
      <c r="BO1445" s="53">
        <f ca="1">IFERROR(_xlfn.XLOOKUP(F1445,Apuração!A:A,Apuração!C:C)/_xlfn.XLOOKUP(F1445,Apuração!A:A,Apuração!B:B),0)</f>
        <v>0</v>
      </c>
      <c r="BP1445" s="53">
        <f ca="1">IFERROR(_xlfn.XLOOKUP(F1445,Apuração!A:A,Apuração!D:D)/_xlfn.XLOOKUP(F1445,Apuração!A:A,Apuração!B:B),0)</f>
        <v>0</v>
      </c>
      <c r="BQ1445" s="53">
        <f ca="1">IF(BK1445&gt;=BO1445,0,_xlfn.XLOOKUP(F1445,Apuração!A:A,Apuração!B:B)*(BO1445 + (1/_xlfn.XLOOKUP(F1445,Apuração!A:A,Apuração!B:B)) - BK1445))</f>
        <v>0</v>
      </c>
      <c r="BR1445" s="85">
        <f t="shared" ca="1" si="1693"/>
        <v>0</v>
      </c>
      <c r="BS1445" s="53">
        <f ca="1">IFERROR((_xlfn.XLOOKUP(F1445,Apuração!A:A,Apuração!C:C)+1)/_xlfn.XLOOKUP(F1445,Apuração!A:A,Apuração!B:B),0)</f>
        <v>0.14285714285714285</v>
      </c>
    </row>
    <row r="1446" spans="1:71" ht="25.95" hidden="1" customHeight="1" x14ac:dyDescent="0.3">
      <c r="A1446" s="33" t="s">
        <v>175</v>
      </c>
      <c r="B1446" s="4" t="s">
        <v>197</v>
      </c>
      <c r="C1446" s="5" t="s">
        <v>209</v>
      </c>
      <c r="D1446" s="5" t="s">
        <v>212</v>
      </c>
      <c r="E1446" s="4" t="s">
        <v>96</v>
      </c>
      <c r="F1446" s="4" t="str" cm="1">
        <f t="array" ref="F1446">_xlfn.IFS(
AG1446 &lt;&gt; "", "Jan-Dez/26",
AH1446 &lt;&gt; "", "Fev-Dez/26",
AI1446 &lt;&gt; "", "Mar-Dez/26", AJ1446 &lt;&gt; "", "Abr-Dez/26",
TRUE, "A partir de Junho"
)</f>
        <v>A partir de Junho</v>
      </c>
      <c r="G1446" s="4" t="s">
        <v>62</v>
      </c>
      <c r="H1446" s="7" t="s">
        <v>38</v>
      </c>
      <c r="I1446" s="8" t="s">
        <v>177</v>
      </c>
      <c r="J1446" s="8" t="str" cm="1">
        <f t="array" aca="1" ref="J1446" ca="1">_xlfn.LET(
  _xlpm.actual_value_month, INDEX(T1446:AE1446, MATCH(DATE(YEAR(TODAY()), MONTH(TODAY()), 1), $T$1:$AE$1, 0)),
  IF(_xlpm.actual_value_month &lt;&gt; "", _xlpm.actual_value_month &amp; " ações mensais", "")
)</f>
        <v/>
      </c>
      <c r="K1446" s="8" t="str" cm="1">
        <f t="array" ref="K1446">_xlfn.LET(
    _xlpm.sum_month, SUM(T1446:AE1446),
    IF(_xlpm.sum_month = 0, "", _xlpm.sum_month &amp; " certificados gerados.")
)</f>
        <v/>
      </c>
      <c r="L1446" s="9" t="s">
        <v>198</v>
      </c>
      <c r="M1446" s="13">
        <v>1</v>
      </c>
      <c r="N1446" s="5" t="s">
        <v>42</v>
      </c>
      <c r="O1446" s="5" t="s">
        <v>43</v>
      </c>
      <c r="P1446" s="10" t="s">
        <v>146</v>
      </c>
      <c r="Q1446" s="10" t="s">
        <v>44</v>
      </c>
      <c r="R1446" s="11" t="s">
        <v>179</v>
      </c>
      <c r="S1446" s="11" t="s">
        <v>67</v>
      </c>
      <c r="T1446" s="22"/>
      <c r="U1446" s="22"/>
      <c r="V1446" s="22"/>
      <c r="W1446" s="22"/>
      <c r="X1446" s="22"/>
      <c r="Y1446" s="22"/>
      <c r="Z1446" s="22"/>
      <c r="AA1446" s="22"/>
      <c r="AB1446" s="22"/>
      <c r="AC1446" s="22"/>
      <c r="AD1446" s="22"/>
      <c r="AE1446" s="22"/>
      <c r="AG1446" s="71"/>
      <c r="AH1446" s="71"/>
      <c r="AI1446" s="71"/>
      <c r="AJ1446" s="71"/>
      <c r="AK1446" s="71"/>
      <c r="AL1446" s="71"/>
      <c r="AM1446" s="71"/>
      <c r="AN1446" s="71"/>
      <c r="AO1446" s="71"/>
      <c r="AP1446" s="71"/>
      <c r="AQ1446" s="71"/>
      <c r="AR1446" s="71"/>
      <c r="AS1446" s="94" t="str" cm="1">
        <f t="array" ref="AS1446">IFERROR(INDEX(T1446:AE1446,1,MATCH(2,1/(T1446:AE1446&lt;&gt;""))),"")</f>
        <v/>
      </c>
      <c r="AT1446" s="95" t="str" cm="1">
        <f t="array" ref="AT1446">IFERROR(INDEX(AJ1446:AR1446,1,MATCH(2,1/(AJ1446:AR1446&lt;&gt;""))),"")</f>
        <v/>
      </c>
      <c r="AU1446" s="97" t="str">
        <f t="shared" si="1692"/>
        <v/>
      </c>
      <c r="AW1446" s="51"/>
      <c r="AX1446" s="51"/>
      <c r="AY1446" s="51"/>
      <c r="AZ1446" s="51"/>
      <c r="BA1446" s="51"/>
      <c r="BB1446" s="51"/>
      <c r="BC1446" s="51"/>
      <c r="BD1446" s="51"/>
      <c r="BE1446" s="51"/>
      <c r="BF1446" s="51"/>
      <c r="BG1446" s="51"/>
      <c r="BH1446" s="51"/>
      <c r="BI1446" s="65" t="str" cm="1">
        <f t="array" ref="BI1446">IFERROR(INDEX(AW1446:BH1446,1,MATCH(2,1/(AW1446:BH1446&lt;&gt;""))),"")</f>
        <v/>
      </c>
      <c r="BJ1446" s="68" t="str" cm="1">
        <f t="array" ref="BJ1446">IF(BM1446 = "", "",IFERROR(INDEX(AW1446:BH1446,1,MATCH(2,1/(AW1446:BH1446&lt;&gt;""),1)-1),""))</f>
        <v/>
      </c>
      <c r="BK1446" s="58" t="str" cm="1">
        <f t="array" ref="BK1446">IFERROR(INDEX(AW1446:BH1446,1,MATCH(2,1/(AW1446:BH1446&lt;&gt;""))),"")</f>
        <v/>
      </c>
      <c r="BL1446" s="58" t="str" cm="1">
        <f t="array" ref="BL1446">IFERROR(INDEX(AW1446:BH1446,1,MATCH(2,1/(AW1446:BH1446&lt;&gt;""),1)-1),"")</f>
        <v/>
      </c>
      <c r="BM1446" s="55" t="str" cm="1">
        <f t="array" ref="BM1446">IFERROR(
   INDEX($AW$1:$BH$1,
      _xlfn.AGGREGATE(14, 6, COLUMN($AW$1:$BH$1)/(AW1446:BH1446&lt;&gt;""), 2) - COLUMN($AW$1) + 1
   ),
"")</f>
        <v/>
      </c>
      <c r="BN1446" s="55" t="str" cm="1">
        <f t="array" ref="BN1446">IFERROR(INDEX($AW$1:$BH$1,1,MATCH(2,1/(AW1446:BH1446&lt;&gt;""))),"")</f>
        <v/>
      </c>
      <c r="BO1446" s="53">
        <f ca="1">IFERROR(_xlfn.XLOOKUP(F1446,Apuração!A:A,Apuração!C:C)/_xlfn.XLOOKUP(F1446,Apuração!A:A,Apuração!B:B),0)</f>
        <v>0</v>
      </c>
      <c r="BP1446" s="53">
        <f ca="1">IFERROR(_xlfn.XLOOKUP(F1446,Apuração!A:A,Apuração!D:D)/_xlfn.XLOOKUP(F1446,Apuração!A:A,Apuração!B:B),0)</f>
        <v>0</v>
      </c>
      <c r="BQ1446" s="53">
        <f ca="1">IF(BK1446&gt;=BO1446,0,_xlfn.XLOOKUP(F1446,Apuração!A:A,Apuração!B:B)*(BO1446 + (1/_xlfn.XLOOKUP(F1446,Apuração!A:A,Apuração!B:B)) - BK1446))</f>
        <v>0</v>
      </c>
      <c r="BR1446" s="85">
        <f t="shared" ca="1" si="1693"/>
        <v>0</v>
      </c>
      <c r="BS1446" s="53">
        <f ca="1">IFERROR((_xlfn.XLOOKUP(F1446,Apuração!A:A,Apuração!C:C)+1)/_xlfn.XLOOKUP(F1446,Apuração!A:A,Apuração!B:B),0)</f>
        <v>0.14285714285714285</v>
      </c>
    </row>
    <row r="1447" spans="1:71" ht="25.95" hidden="1" customHeight="1" x14ac:dyDescent="0.3">
      <c r="A1447" s="33" t="s">
        <v>175</v>
      </c>
      <c r="B1447" s="4" t="s">
        <v>197</v>
      </c>
      <c r="C1447" s="5" t="s">
        <v>209</v>
      </c>
      <c r="D1447" s="5" t="s">
        <v>213</v>
      </c>
      <c r="E1447" s="4" t="s">
        <v>96</v>
      </c>
      <c r="F1447" s="4" t="str" cm="1">
        <f t="array" ref="F1447">_xlfn.IFS(
AG1447 &lt;&gt; "", "Jan-Dez/26",
AH1447 &lt;&gt; "", "Fev-Dez/26",
AI1447 &lt;&gt; "", "Mar-Dez/26", AJ1447 &lt;&gt; "", "Abr-Dez/26",
TRUE, "A partir de Junho"
)</f>
        <v>A partir de Junho</v>
      </c>
      <c r="G1447" s="4" t="s">
        <v>62</v>
      </c>
      <c r="H1447" s="7" t="s">
        <v>38</v>
      </c>
      <c r="I1447" s="8" t="s">
        <v>177</v>
      </c>
      <c r="J1447" s="8" t="str" cm="1">
        <f t="array" aca="1" ref="J1447" ca="1">_xlfn.LET(
  _xlpm.actual_value_month, INDEX(T1447:AE1447, MATCH(DATE(YEAR(TODAY()), MONTH(TODAY()), 1), $T$1:$AE$1, 0)),
  IF(_xlpm.actual_value_month &lt;&gt; "", _xlpm.actual_value_month &amp; " ações mensais", "")
)</f>
        <v/>
      </c>
      <c r="K1447" s="8" t="str" cm="1">
        <f t="array" ref="K1447">_xlfn.LET(
    _xlpm.sum_month, SUM(T1447:AE1447),
    IF(_xlpm.sum_month = 0, "", _xlpm.sum_month &amp; " certificados gerados.")
)</f>
        <v/>
      </c>
      <c r="L1447" s="9" t="s">
        <v>198</v>
      </c>
      <c r="M1447" s="13">
        <v>1</v>
      </c>
      <c r="N1447" s="5" t="s">
        <v>42</v>
      </c>
      <c r="O1447" s="5" t="s">
        <v>43</v>
      </c>
      <c r="P1447" s="10" t="s">
        <v>146</v>
      </c>
      <c r="Q1447" s="10" t="s">
        <v>44</v>
      </c>
      <c r="R1447" s="11" t="s">
        <v>179</v>
      </c>
      <c r="S1447" s="11" t="s">
        <v>67</v>
      </c>
      <c r="T1447" s="22"/>
      <c r="U1447" s="22"/>
      <c r="V1447" s="22"/>
      <c r="W1447" s="22"/>
      <c r="X1447" s="22"/>
      <c r="Y1447" s="22"/>
      <c r="Z1447" s="22"/>
      <c r="AA1447" s="22"/>
      <c r="AB1447" s="22"/>
      <c r="AC1447" s="22"/>
      <c r="AD1447" s="22"/>
      <c r="AE1447" s="22"/>
      <c r="AG1447" s="71"/>
      <c r="AH1447" s="71"/>
      <c r="AI1447" s="71"/>
      <c r="AJ1447" s="71"/>
      <c r="AK1447" s="71"/>
      <c r="AL1447" s="71"/>
      <c r="AM1447" s="71"/>
      <c r="AN1447" s="71"/>
      <c r="AO1447" s="71"/>
      <c r="AP1447" s="71"/>
      <c r="AQ1447" s="71"/>
      <c r="AR1447" s="71"/>
      <c r="AS1447" s="94" t="str" cm="1">
        <f t="array" ref="AS1447">IFERROR(INDEX(T1447:AE1447,1,MATCH(2,1/(T1447:AE1447&lt;&gt;""))),"")</f>
        <v/>
      </c>
      <c r="AT1447" s="95" t="str" cm="1">
        <f t="array" ref="AT1447">IFERROR(INDEX(AJ1447:AR1447,1,MATCH(2,1/(AJ1447:AR1447&lt;&gt;""))),"")</f>
        <v/>
      </c>
      <c r="AU1447" s="97" t="str">
        <f t="shared" si="1692"/>
        <v/>
      </c>
      <c r="AW1447" s="51"/>
      <c r="AX1447" s="51"/>
      <c r="AY1447" s="51"/>
      <c r="AZ1447" s="51"/>
      <c r="BA1447" s="51"/>
      <c r="BB1447" s="51"/>
      <c r="BC1447" s="51"/>
      <c r="BD1447" s="51"/>
      <c r="BE1447" s="51"/>
      <c r="BF1447" s="51"/>
      <c r="BG1447" s="51"/>
      <c r="BH1447" s="51"/>
      <c r="BI1447" s="65" t="str" cm="1">
        <f t="array" ref="BI1447">IFERROR(INDEX(AW1447:BH1447,1,MATCH(2,1/(AW1447:BH1447&lt;&gt;""))),"")</f>
        <v/>
      </c>
      <c r="BJ1447" s="68" t="str" cm="1">
        <f t="array" ref="BJ1447">IF(BM1447 = "", "",IFERROR(INDEX(AW1447:BH1447,1,MATCH(2,1/(AW1447:BH1447&lt;&gt;""),1)-1),""))</f>
        <v/>
      </c>
      <c r="BK1447" s="58" t="str" cm="1">
        <f t="array" ref="BK1447">IFERROR(INDEX(AW1447:BH1447,1,MATCH(2,1/(AW1447:BH1447&lt;&gt;""))),"")</f>
        <v/>
      </c>
      <c r="BL1447" s="58" t="str" cm="1">
        <f t="array" ref="BL1447">IFERROR(INDEX(AW1447:BH1447,1,MATCH(2,1/(AW1447:BH1447&lt;&gt;""),1)-1),"")</f>
        <v/>
      </c>
      <c r="BM1447" s="55" t="str" cm="1">
        <f t="array" ref="BM1447">IFERROR(
   INDEX($AW$1:$BH$1,
      _xlfn.AGGREGATE(14, 6, COLUMN($AW$1:$BH$1)/(AW1447:BH1447&lt;&gt;""), 2) - COLUMN($AW$1) + 1
   ),
"")</f>
        <v/>
      </c>
      <c r="BN1447" s="55" t="str" cm="1">
        <f t="array" ref="BN1447">IFERROR(INDEX($AW$1:$BH$1,1,MATCH(2,1/(AW1447:BH1447&lt;&gt;""))),"")</f>
        <v/>
      </c>
      <c r="BO1447" s="53">
        <f ca="1">IFERROR(_xlfn.XLOOKUP(F1447,Apuração!A:A,Apuração!C:C)/_xlfn.XLOOKUP(F1447,Apuração!A:A,Apuração!B:B),0)</f>
        <v>0</v>
      </c>
      <c r="BP1447" s="53">
        <f ca="1">IFERROR(_xlfn.XLOOKUP(F1447,Apuração!A:A,Apuração!D:D)/_xlfn.XLOOKUP(F1447,Apuração!A:A,Apuração!B:B),0)</f>
        <v>0</v>
      </c>
      <c r="BQ1447" s="53">
        <f ca="1">IF(BK1447&gt;=BO1447,0,_xlfn.XLOOKUP(F1447,Apuração!A:A,Apuração!B:B)*(BO1447 + (1/_xlfn.XLOOKUP(F1447,Apuração!A:A,Apuração!B:B)) - BK1447))</f>
        <v>0</v>
      </c>
      <c r="BR1447" s="85">
        <f t="shared" ca="1" si="1693"/>
        <v>0</v>
      </c>
      <c r="BS1447" s="53">
        <f ca="1">IFERROR((_xlfn.XLOOKUP(F1447,Apuração!A:A,Apuração!C:C)+1)/_xlfn.XLOOKUP(F1447,Apuração!A:A,Apuração!B:B),0)</f>
        <v>0.14285714285714285</v>
      </c>
    </row>
    <row r="1448" spans="1:71" ht="25.95" hidden="1" customHeight="1" x14ac:dyDescent="0.3">
      <c r="A1448" s="44" t="s">
        <v>175</v>
      </c>
      <c r="B1448" s="4" t="s">
        <v>197</v>
      </c>
      <c r="C1448" s="5" t="s">
        <v>209</v>
      </c>
      <c r="D1448" s="5" t="s">
        <v>36</v>
      </c>
      <c r="E1448" s="4" t="s">
        <v>96</v>
      </c>
      <c r="F1448" s="4" t="str" cm="1">
        <f t="array" ref="F1448">_xlfn.IFS(
AG1448 &lt;&gt; "", "Jan-Dez/26",
AH1448 &lt;&gt; "", "Fev-Dez/26",
AI1448 &lt;&gt; "", "Mar-Dez/26", AJ1448 &lt;&gt; "", "Abr-Dez/26",
TRUE, "A partir de Junho"
)</f>
        <v>A partir de Junho</v>
      </c>
      <c r="G1448" s="4" t="s">
        <v>62</v>
      </c>
      <c r="H1448" s="7" t="s">
        <v>38</v>
      </c>
      <c r="I1448" s="21" t="s">
        <v>180</v>
      </c>
      <c r="J1448" s="8" t="str" cm="1">
        <f t="array" aca="1" ref="J1448" ca="1">_xlfn.LET(
  _xlpm.actual_value_month, INDEX(T1448:AE1448, MATCH(DATE(YEAR(TODAY()), MONTH(TODAY()), 1), $T$1:$AE$1, 0)),
  IF(_xlpm.actual_value_month &lt;&gt; "", _xlpm.actual_value_month &amp; " ações mensais", "")
)</f>
        <v/>
      </c>
      <c r="K1448" s="34" t="str" cm="1">
        <f t="array" ref="K1448">_xlfn.LET(
    _xlpm.sum_month, SUM(T1448:AE1448),
    IF(_xlpm.sum_month = 0, "", _xlpm.sum_month &amp; " colaboradores treinados.")
)</f>
        <v/>
      </c>
      <c r="L1448" s="9" t="s">
        <v>199</v>
      </c>
      <c r="M1448" s="13">
        <v>1</v>
      </c>
      <c r="N1448" s="5" t="s">
        <v>51</v>
      </c>
      <c r="O1448" s="5" t="s">
        <v>52</v>
      </c>
      <c r="P1448" s="10" t="s">
        <v>146</v>
      </c>
      <c r="Q1448" s="10" t="s">
        <v>44</v>
      </c>
      <c r="R1448" s="11" t="s">
        <v>44</v>
      </c>
      <c r="S1448" s="11" t="s">
        <v>44</v>
      </c>
      <c r="T1448" s="22"/>
      <c r="U1448" s="22"/>
      <c r="V1448" s="22"/>
      <c r="W1448" s="22"/>
      <c r="X1448" s="22"/>
      <c r="Y1448" s="22"/>
      <c r="Z1448" s="22"/>
      <c r="AA1448" s="22"/>
      <c r="AB1448" s="22"/>
      <c r="AC1448" s="22"/>
      <c r="AD1448" s="22"/>
      <c r="AE1448" s="22"/>
      <c r="AG1448" s="71"/>
      <c r="AH1448" s="71"/>
      <c r="AI1448" s="71"/>
      <c r="AJ1448" s="71"/>
      <c r="AK1448" s="71"/>
      <c r="AL1448" s="71"/>
      <c r="AM1448" s="71"/>
      <c r="AN1448" s="71"/>
      <c r="AO1448" s="71"/>
      <c r="AP1448" s="71"/>
      <c r="AQ1448" s="71"/>
      <c r="AR1448" s="71"/>
      <c r="AS1448" s="94" t="str" cm="1">
        <f t="array" ref="AS1448">IFERROR(INDEX(T1448:AE1448,1,MATCH(2,1/(T1448:AE1448&lt;&gt;""))),"")</f>
        <v/>
      </c>
      <c r="AT1448" s="95" t="str" cm="1">
        <f t="array" ref="AT1448">IFERROR(INDEX(AJ1448:AR1448,1,MATCH(2,1/(AJ1448:AR1448&lt;&gt;""))),"")</f>
        <v/>
      </c>
      <c r="AU1448" s="97" t="str">
        <f>AT1448</f>
        <v/>
      </c>
      <c r="AW1448" s="52">
        <f>AG1448</f>
        <v>0</v>
      </c>
      <c r="AX1448" s="52"/>
      <c r="AY1448" s="52"/>
      <c r="AZ1448" s="52"/>
      <c r="BA1448" s="52"/>
      <c r="BB1448" s="52"/>
      <c r="BC1448" s="52"/>
      <c r="BD1448" s="52"/>
      <c r="BE1448" s="52"/>
      <c r="BF1448" s="52"/>
      <c r="BG1448" s="52"/>
      <c r="BH1448" s="52"/>
      <c r="BI1448" s="68" cm="1">
        <f t="array" ref="BI1448">IFERROR(INDEX(AW1448:BH1448,1,MATCH(2,1/(AW1448:BH1448&lt;&gt;""))),"")</f>
        <v>0</v>
      </c>
      <c r="BJ1448" s="68" t="str" cm="1">
        <f t="array" ref="BJ1448">IF(BM1448 = "", "",IFERROR(INDEX(AW1448:BH1448,1,MATCH(2,1/(AW1448:BH1448&lt;&gt;""),1)-1),""))</f>
        <v/>
      </c>
      <c r="BK1448" s="59">
        <f>SUM(AW1448:BH1448)</f>
        <v>0</v>
      </c>
      <c r="BL1448" s="59" cm="1">
        <f t="array" ref="BL1448">IFERROR(SUM(AW1448:INDEX(AW1448:BH1448, MATCH(2, 1/(AW1448:BH1448&lt;&gt;""), 1) - 1))/_xlfn.XLOOKUP(F1448,Apuração!A:A,Apuração!B:B),0)</f>
        <v>0</v>
      </c>
      <c r="BM1448" s="55" t="str" cm="1">
        <f t="array" ref="BM1448">IFERROR(
   INDEX($AW$1:$BH$1,
      _xlfn.AGGREGATE(14, 6, COLUMN($AW$1:$BH$1)/(AW1448:BH1448&lt;&gt;""), 2) - COLUMN($AW$1) + 1
   ),
"")</f>
        <v/>
      </c>
      <c r="BN1448" s="55" cm="1">
        <f t="array" ref="BN1448">IFERROR(INDEX($AW$1:$BH$1,1,MATCH(2,1/(AW1448:BH1448&lt;&gt;""))),"")</f>
        <v>46023</v>
      </c>
      <c r="BO1448" s="53">
        <f ca="1">IFERROR(_xlfn.XLOOKUP(F1448,Apuração!A:A,Apuração!C:C)/_xlfn.XLOOKUP(F1448,Apuração!A:A,Apuração!B:B),0)</f>
        <v>0</v>
      </c>
      <c r="BP1448" s="53">
        <f ca="1">IFERROR(_xlfn.XLOOKUP(F1448,Apuração!A:A,Apuração!D:D)/_xlfn.XLOOKUP(F1448,Apuração!A:A,Apuração!B:B),0)</f>
        <v>0</v>
      </c>
      <c r="BQ1448" s="53">
        <f ca="1">IF(BK1448&gt;=BO1448,0,_xlfn.XLOOKUP(F1448,Apuração!A:A,Apuração!B:B)*(BO1448 + (1/_xlfn.XLOOKUP(F1448,Apuração!A:A,Apuração!B:B)) - BK1448))</f>
        <v>0</v>
      </c>
      <c r="BR1448" s="85">
        <f ca="1">IF(BQ1448=0,0,BQ1448*Z1448)</f>
        <v>0</v>
      </c>
      <c r="BS1448" s="53">
        <f ca="1">IFERROR((_xlfn.XLOOKUP(F1448,Apuração!A:A,Apuração!C:C)+1)/_xlfn.XLOOKUP(F1448,Apuração!A:A,Apuração!B:B),0)</f>
        <v>0.14285714285714285</v>
      </c>
    </row>
    <row r="1449" spans="1:71" ht="25.95" hidden="1" customHeight="1" x14ac:dyDescent="0.3">
      <c r="A1449" s="44" t="s">
        <v>175</v>
      </c>
      <c r="B1449" s="4" t="s">
        <v>197</v>
      </c>
      <c r="C1449" s="5" t="s">
        <v>209</v>
      </c>
      <c r="D1449" s="5" t="s">
        <v>210</v>
      </c>
      <c r="E1449" s="4" t="s">
        <v>96</v>
      </c>
      <c r="F1449" s="4" t="str" cm="1">
        <f t="array" ref="F1449">_xlfn.IFS(
AG1449 &lt;&gt; "", "Jan-Dez/26",
AH1449 &lt;&gt; "", "Fev-Dez/26",
AI1449 &lt;&gt; "", "Mar-Dez/26", AJ1449 &lt;&gt; "", "Abr-Dez/26",
TRUE, "A partir de Junho"
)</f>
        <v>A partir de Junho</v>
      </c>
      <c r="G1449" s="4" t="s">
        <v>62</v>
      </c>
      <c r="H1449" s="7" t="s">
        <v>38</v>
      </c>
      <c r="I1449" s="21" t="s">
        <v>180</v>
      </c>
      <c r="J1449" s="8" t="str" cm="1">
        <f t="array" aca="1" ref="J1449" ca="1">_xlfn.LET(
  _xlpm.actual_value_month, INDEX(T1449:AE1449, MATCH(DATE(YEAR(TODAY()), MONTH(TODAY()), 1), $T$1:$AE$1, 0)),
  IF(_xlpm.actual_value_month &lt;&gt; "", _xlpm.actual_value_month &amp; " ações mensais", "")
)</f>
        <v/>
      </c>
      <c r="K1449" s="34" t="str" cm="1">
        <f t="array" ref="K1449">_xlfn.LET(
    _xlpm.sum_month, SUM(T1449:AE1449),
    IF(_xlpm.sum_month = 0, "", _xlpm.sum_month &amp; " colaboradores treinados.")
)</f>
        <v/>
      </c>
      <c r="L1449" s="9" t="s">
        <v>199</v>
      </c>
      <c r="M1449" s="13">
        <v>1</v>
      </c>
      <c r="N1449" s="5" t="s">
        <v>51</v>
      </c>
      <c r="O1449" s="5" t="s">
        <v>52</v>
      </c>
      <c r="P1449" s="10" t="s">
        <v>146</v>
      </c>
      <c r="Q1449" s="10" t="s">
        <v>44</v>
      </c>
      <c r="R1449" s="11" t="s">
        <v>44</v>
      </c>
      <c r="S1449" s="11" t="s">
        <v>44</v>
      </c>
      <c r="T1449" s="22"/>
      <c r="U1449" s="22"/>
      <c r="V1449" s="22"/>
      <c r="W1449" s="22"/>
      <c r="X1449" s="22"/>
      <c r="Y1449" s="22"/>
      <c r="Z1449" s="22"/>
      <c r="AA1449" s="22"/>
      <c r="AB1449" s="22"/>
      <c r="AC1449" s="22"/>
      <c r="AD1449" s="22"/>
      <c r="AE1449" s="22"/>
      <c r="AG1449" s="71"/>
      <c r="AH1449" s="71"/>
      <c r="AI1449" s="71"/>
      <c r="AJ1449" s="71"/>
      <c r="AK1449" s="71"/>
      <c r="AL1449" s="71"/>
      <c r="AM1449" s="71"/>
      <c r="AN1449" s="71"/>
      <c r="AO1449" s="71"/>
      <c r="AP1449" s="71"/>
      <c r="AQ1449" s="71"/>
      <c r="AR1449" s="71"/>
      <c r="AS1449" s="94" t="str" cm="1">
        <f t="array" ref="AS1449">IFERROR(INDEX(T1449:AE1449,1,MATCH(2,1/(T1449:AE1449&lt;&gt;""))),"")</f>
        <v/>
      </c>
      <c r="AT1449" s="95" t="str" cm="1">
        <f t="array" ref="AT1449">IFERROR(INDEX(AJ1449:AR1449,1,MATCH(2,1/(AJ1449:AR1449&lt;&gt;""))),"")</f>
        <v/>
      </c>
      <c r="AU1449" s="97" t="str">
        <f t="shared" ref="AU1449:AU1453" si="1694">AT1449</f>
        <v/>
      </c>
      <c r="AW1449" s="52">
        <f t="shared" ref="AW1449:AW1453" si="1695">AG1449</f>
        <v>0</v>
      </c>
      <c r="AX1449" s="52"/>
      <c r="AY1449" s="52"/>
      <c r="AZ1449" s="52"/>
      <c r="BA1449" s="52"/>
      <c r="BB1449" s="52"/>
      <c r="BC1449" s="52"/>
      <c r="BD1449" s="52"/>
      <c r="BE1449" s="52"/>
      <c r="BF1449" s="52"/>
      <c r="BG1449" s="52"/>
      <c r="BH1449" s="52"/>
      <c r="BI1449" s="68" cm="1">
        <f t="array" ref="BI1449">IFERROR(INDEX(AW1449:BH1449,1,MATCH(2,1/(AW1449:BH1449&lt;&gt;""))),"")</f>
        <v>0</v>
      </c>
      <c r="BJ1449" s="68" t="str" cm="1">
        <f t="array" ref="BJ1449">IF(BM1449 = "", "",IFERROR(INDEX(AW1449:BH1449,1,MATCH(2,1/(AW1449:BH1449&lt;&gt;""),1)-1),""))</f>
        <v/>
      </c>
      <c r="BK1449" s="59">
        <f t="shared" ref="BK1449:BK1453" si="1696">SUM(AW1449:BH1449)</f>
        <v>0</v>
      </c>
      <c r="BL1449" s="59" cm="1">
        <f t="array" ref="BL1449">IFERROR(SUM(AW1449:INDEX(AW1449:BH1449, MATCH(2, 1/(AW1449:BH1449&lt;&gt;""), 1) - 1))/_xlfn.XLOOKUP(F1449,Apuração!A:A,Apuração!B:B),0)</f>
        <v>0</v>
      </c>
      <c r="BM1449" s="55" t="str" cm="1">
        <f t="array" ref="BM1449">IFERROR(
   INDEX($AW$1:$BH$1,
      _xlfn.AGGREGATE(14, 6, COLUMN($AW$1:$BH$1)/(AW1449:BH1449&lt;&gt;""), 2) - COLUMN($AW$1) + 1
   ),
"")</f>
        <v/>
      </c>
      <c r="BN1449" s="55" cm="1">
        <f t="array" ref="BN1449">IFERROR(INDEX($AW$1:$BH$1,1,MATCH(2,1/(AW1449:BH1449&lt;&gt;""))),"")</f>
        <v>46023</v>
      </c>
      <c r="BO1449" s="53">
        <f ca="1">IFERROR(_xlfn.XLOOKUP(F1449,Apuração!A:A,Apuração!C:C)/_xlfn.XLOOKUP(F1449,Apuração!A:A,Apuração!B:B),0)</f>
        <v>0</v>
      </c>
      <c r="BP1449" s="53">
        <f ca="1">IFERROR(_xlfn.XLOOKUP(F1449,Apuração!A:A,Apuração!D:D)/_xlfn.XLOOKUP(F1449,Apuração!A:A,Apuração!B:B),0)</f>
        <v>0</v>
      </c>
      <c r="BQ1449" s="53">
        <f ca="1">IF(BK1449&gt;=BO1449,0,_xlfn.XLOOKUP(F1449,Apuração!A:A,Apuração!B:B)*(BO1449 + (1/_xlfn.XLOOKUP(F1449,Apuração!A:A,Apuração!B:B)) - BK1449))</f>
        <v>0</v>
      </c>
      <c r="BR1449" s="85">
        <f t="shared" ref="BR1449:BR1453" ca="1" si="1697">IF(BQ1449=0,0,BQ1449*Z1449)</f>
        <v>0</v>
      </c>
      <c r="BS1449" s="53">
        <f ca="1">IFERROR((_xlfn.XLOOKUP(F1449,Apuração!A:A,Apuração!C:C)+1)/_xlfn.XLOOKUP(F1449,Apuração!A:A,Apuração!B:B),0)</f>
        <v>0.14285714285714285</v>
      </c>
    </row>
    <row r="1450" spans="1:71" ht="25.95" hidden="1" customHeight="1" x14ac:dyDescent="0.3">
      <c r="A1450" s="44" t="s">
        <v>175</v>
      </c>
      <c r="B1450" s="4" t="s">
        <v>197</v>
      </c>
      <c r="C1450" s="5" t="s">
        <v>209</v>
      </c>
      <c r="D1450" s="5" t="s">
        <v>47</v>
      </c>
      <c r="E1450" s="4" t="s">
        <v>96</v>
      </c>
      <c r="F1450" s="4" t="str" cm="1">
        <f t="array" ref="F1450">_xlfn.IFS(
AG1450 &lt;&gt; "", "Jan-Dez/26",
AH1450 &lt;&gt; "", "Fev-Dez/26",
AI1450 &lt;&gt; "", "Mar-Dez/26", AJ1450 &lt;&gt; "", "Abr-Dez/26",
TRUE, "A partir de Junho"
)</f>
        <v>A partir de Junho</v>
      </c>
      <c r="G1450" s="4" t="s">
        <v>62</v>
      </c>
      <c r="H1450" s="7" t="s">
        <v>38</v>
      </c>
      <c r="I1450" s="21" t="s">
        <v>180</v>
      </c>
      <c r="J1450" s="8" t="str" cm="1">
        <f t="array" aca="1" ref="J1450" ca="1">_xlfn.LET(
  _xlpm.actual_value_month, INDEX(T1450:AE1450, MATCH(DATE(YEAR(TODAY()), MONTH(TODAY()), 1), $T$1:$AE$1, 0)),
  IF(_xlpm.actual_value_month &lt;&gt; "", _xlpm.actual_value_month &amp; " ações mensais", "")
)</f>
        <v/>
      </c>
      <c r="K1450" s="34" t="str" cm="1">
        <f t="array" ref="K1450">_xlfn.LET(
    _xlpm.sum_month, SUM(T1450:AE1450),
    IF(_xlpm.sum_month = 0, "", _xlpm.sum_month &amp; " colaboradores treinados.")
)</f>
        <v/>
      </c>
      <c r="L1450" s="9" t="s">
        <v>199</v>
      </c>
      <c r="M1450" s="13">
        <v>1</v>
      </c>
      <c r="N1450" s="5" t="s">
        <v>51</v>
      </c>
      <c r="O1450" s="5" t="s">
        <v>52</v>
      </c>
      <c r="P1450" s="10" t="s">
        <v>146</v>
      </c>
      <c r="Q1450" s="10" t="s">
        <v>44</v>
      </c>
      <c r="R1450" s="11" t="s">
        <v>44</v>
      </c>
      <c r="S1450" s="11" t="s">
        <v>44</v>
      </c>
      <c r="T1450" s="22"/>
      <c r="U1450" s="22"/>
      <c r="V1450" s="22"/>
      <c r="W1450" s="22"/>
      <c r="X1450" s="22"/>
      <c r="Y1450" s="22"/>
      <c r="Z1450" s="22"/>
      <c r="AA1450" s="22"/>
      <c r="AB1450" s="22"/>
      <c r="AC1450" s="22"/>
      <c r="AD1450" s="22"/>
      <c r="AE1450" s="22"/>
      <c r="AG1450" s="71"/>
      <c r="AH1450" s="71"/>
      <c r="AI1450" s="71"/>
      <c r="AJ1450" s="71"/>
      <c r="AK1450" s="71"/>
      <c r="AL1450" s="71"/>
      <c r="AM1450" s="71"/>
      <c r="AN1450" s="71"/>
      <c r="AO1450" s="71"/>
      <c r="AP1450" s="71"/>
      <c r="AQ1450" s="71"/>
      <c r="AR1450" s="71"/>
      <c r="AS1450" s="94" t="str" cm="1">
        <f t="array" ref="AS1450">IFERROR(INDEX(T1450:AE1450,1,MATCH(2,1/(T1450:AE1450&lt;&gt;""))),"")</f>
        <v/>
      </c>
      <c r="AT1450" s="95" t="str" cm="1">
        <f t="array" ref="AT1450">IFERROR(INDEX(AJ1450:AR1450,1,MATCH(2,1/(AJ1450:AR1450&lt;&gt;""))),"")</f>
        <v/>
      </c>
      <c r="AU1450" s="97" t="str">
        <f t="shared" si="1694"/>
        <v/>
      </c>
      <c r="AW1450" s="52">
        <f t="shared" si="1695"/>
        <v>0</v>
      </c>
      <c r="AX1450" s="52"/>
      <c r="AY1450" s="52"/>
      <c r="AZ1450" s="52"/>
      <c r="BA1450" s="52"/>
      <c r="BB1450" s="52"/>
      <c r="BC1450" s="52"/>
      <c r="BD1450" s="52"/>
      <c r="BE1450" s="52"/>
      <c r="BF1450" s="52"/>
      <c r="BG1450" s="52"/>
      <c r="BH1450" s="52"/>
      <c r="BI1450" s="68" cm="1">
        <f t="array" ref="BI1450">IFERROR(INDEX(AW1450:BH1450,1,MATCH(2,1/(AW1450:BH1450&lt;&gt;""))),"")</f>
        <v>0</v>
      </c>
      <c r="BJ1450" s="68" t="str" cm="1">
        <f t="array" ref="BJ1450">IF(BM1450 = "", "",IFERROR(INDEX(AW1450:BH1450,1,MATCH(2,1/(AW1450:BH1450&lt;&gt;""),1)-1),""))</f>
        <v/>
      </c>
      <c r="BK1450" s="59">
        <f t="shared" si="1696"/>
        <v>0</v>
      </c>
      <c r="BL1450" s="59" cm="1">
        <f t="array" ref="BL1450">IFERROR(SUM(AW1450:INDEX(AW1450:BH1450, MATCH(2, 1/(AW1450:BH1450&lt;&gt;""), 1) - 1))/_xlfn.XLOOKUP(F1450,Apuração!A:A,Apuração!B:B),0)</f>
        <v>0</v>
      </c>
      <c r="BM1450" s="55" t="str" cm="1">
        <f t="array" ref="BM1450">IFERROR(
   INDEX($AW$1:$BH$1,
      _xlfn.AGGREGATE(14, 6, COLUMN($AW$1:$BH$1)/(AW1450:BH1450&lt;&gt;""), 2) - COLUMN($AW$1) + 1
   ),
"")</f>
        <v/>
      </c>
      <c r="BN1450" s="55" cm="1">
        <f t="array" ref="BN1450">IFERROR(INDEX($AW$1:$BH$1,1,MATCH(2,1/(AW1450:BH1450&lt;&gt;""))),"")</f>
        <v>46023</v>
      </c>
      <c r="BO1450" s="53">
        <f ca="1">IFERROR(_xlfn.XLOOKUP(F1450,Apuração!A:A,Apuração!C:C)/_xlfn.XLOOKUP(F1450,Apuração!A:A,Apuração!B:B),0)</f>
        <v>0</v>
      </c>
      <c r="BP1450" s="53">
        <f ca="1">IFERROR(_xlfn.XLOOKUP(F1450,Apuração!A:A,Apuração!D:D)/_xlfn.XLOOKUP(F1450,Apuração!A:A,Apuração!B:B),0)</f>
        <v>0</v>
      </c>
      <c r="BQ1450" s="53">
        <f ca="1">IF(BK1450&gt;=BO1450,0,_xlfn.XLOOKUP(F1450,Apuração!A:A,Apuração!B:B)*(BO1450 + (1/_xlfn.XLOOKUP(F1450,Apuração!A:A,Apuração!B:B)) - BK1450))</f>
        <v>0</v>
      </c>
      <c r="BR1450" s="85">
        <f t="shared" ca="1" si="1697"/>
        <v>0</v>
      </c>
      <c r="BS1450" s="53">
        <f ca="1">IFERROR((_xlfn.XLOOKUP(F1450,Apuração!A:A,Apuração!C:C)+1)/_xlfn.XLOOKUP(F1450,Apuração!A:A,Apuração!B:B),0)</f>
        <v>0.14285714285714285</v>
      </c>
    </row>
    <row r="1451" spans="1:71" ht="25.95" hidden="1" customHeight="1" x14ac:dyDescent="0.3">
      <c r="A1451" s="44" t="s">
        <v>175</v>
      </c>
      <c r="B1451" s="4" t="s">
        <v>197</v>
      </c>
      <c r="C1451" s="5" t="s">
        <v>209</v>
      </c>
      <c r="D1451" s="5" t="s">
        <v>211</v>
      </c>
      <c r="E1451" s="4" t="s">
        <v>96</v>
      </c>
      <c r="F1451" s="4" t="str" cm="1">
        <f t="array" ref="F1451">_xlfn.IFS(
AG1451 &lt;&gt; "", "Jan-Dez/26",
AH1451 &lt;&gt; "", "Fev-Dez/26",
AI1451 &lt;&gt; "", "Mar-Dez/26", AJ1451 &lt;&gt; "", "Abr-Dez/26",
TRUE, "A partir de Junho"
)</f>
        <v>A partir de Junho</v>
      </c>
      <c r="G1451" s="4" t="s">
        <v>62</v>
      </c>
      <c r="H1451" s="7" t="s">
        <v>38</v>
      </c>
      <c r="I1451" s="21" t="s">
        <v>180</v>
      </c>
      <c r="J1451" s="8" t="str" cm="1">
        <f t="array" aca="1" ref="J1451" ca="1">_xlfn.LET(
  _xlpm.actual_value_month, INDEX(T1451:AE1451, MATCH(DATE(YEAR(TODAY()), MONTH(TODAY()), 1), $T$1:$AE$1, 0)),
  IF(_xlpm.actual_value_month &lt;&gt; "", _xlpm.actual_value_month &amp; " ações mensais", "")
)</f>
        <v/>
      </c>
      <c r="K1451" s="34" t="str" cm="1">
        <f t="array" ref="K1451">_xlfn.LET(
    _xlpm.sum_month, SUM(T1451:AE1451),
    IF(_xlpm.sum_month = 0, "", _xlpm.sum_month &amp; " colaboradores treinados.")
)</f>
        <v/>
      </c>
      <c r="L1451" s="9" t="s">
        <v>199</v>
      </c>
      <c r="M1451" s="13">
        <v>1</v>
      </c>
      <c r="N1451" s="5" t="s">
        <v>51</v>
      </c>
      <c r="O1451" s="5" t="s">
        <v>52</v>
      </c>
      <c r="P1451" s="10" t="s">
        <v>146</v>
      </c>
      <c r="Q1451" s="10" t="s">
        <v>44</v>
      </c>
      <c r="R1451" s="11" t="s">
        <v>44</v>
      </c>
      <c r="S1451" s="11" t="s">
        <v>44</v>
      </c>
      <c r="T1451" s="22"/>
      <c r="U1451" s="22"/>
      <c r="V1451" s="22"/>
      <c r="W1451" s="22"/>
      <c r="X1451" s="22"/>
      <c r="Y1451" s="22"/>
      <c r="Z1451" s="22"/>
      <c r="AA1451" s="22"/>
      <c r="AB1451" s="22"/>
      <c r="AC1451" s="22"/>
      <c r="AD1451" s="22"/>
      <c r="AE1451" s="22"/>
      <c r="AG1451" s="71"/>
      <c r="AH1451" s="71"/>
      <c r="AI1451" s="71"/>
      <c r="AJ1451" s="71"/>
      <c r="AK1451" s="71"/>
      <c r="AL1451" s="71"/>
      <c r="AM1451" s="71"/>
      <c r="AN1451" s="71"/>
      <c r="AO1451" s="71"/>
      <c r="AP1451" s="71"/>
      <c r="AQ1451" s="71"/>
      <c r="AR1451" s="71"/>
      <c r="AS1451" s="94" t="str" cm="1">
        <f t="array" ref="AS1451">IFERROR(INDEX(T1451:AE1451,1,MATCH(2,1/(T1451:AE1451&lt;&gt;""))),"")</f>
        <v/>
      </c>
      <c r="AT1451" s="95" t="str" cm="1">
        <f t="array" ref="AT1451">IFERROR(INDEX(AJ1451:AR1451,1,MATCH(2,1/(AJ1451:AR1451&lt;&gt;""))),"")</f>
        <v/>
      </c>
      <c r="AU1451" s="97" t="str">
        <f t="shared" si="1694"/>
        <v/>
      </c>
      <c r="AW1451" s="52">
        <f t="shared" si="1695"/>
        <v>0</v>
      </c>
      <c r="AX1451" s="52"/>
      <c r="AY1451" s="52"/>
      <c r="AZ1451" s="52"/>
      <c r="BA1451" s="52"/>
      <c r="BB1451" s="52"/>
      <c r="BC1451" s="52"/>
      <c r="BD1451" s="52"/>
      <c r="BE1451" s="52"/>
      <c r="BF1451" s="52"/>
      <c r="BG1451" s="52"/>
      <c r="BH1451" s="52"/>
      <c r="BI1451" s="68" cm="1">
        <f t="array" ref="BI1451">IFERROR(INDEX(AW1451:BH1451,1,MATCH(2,1/(AW1451:BH1451&lt;&gt;""))),"")</f>
        <v>0</v>
      </c>
      <c r="BJ1451" s="68" t="str" cm="1">
        <f t="array" ref="BJ1451">IF(BM1451 = "", "",IFERROR(INDEX(AW1451:BH1451,1,MATCH(2,1/(AW1451:BH1451&lt;&gt;""),1)-1),""))</f>
        <v/>
      </c>
      <c r="BK1451" s="59">
        <f t="shared" si="1696"/>
        <v>0</v>
      </c>
      <c r="BL1451" s="59" cm="1">
        <f t="array" ref="BL1451">IFERROR(SUM(AW1451:INDEX(AW1451:BH1451, MATCH(2, 1/(AW1451:BH1451&lt;&gt;""), 1) - 1))/_xlfn.XLOOKUP(F1451,Apuração!A:A,Apuração!B:B),0)</f>
        <v>0</v>
      </c>
      <c r="BM1451" s="55" t="str" cm="1">
        <f t="array" ref="BM1451">IFERROR(
   INDEX($AW$1:$BH$1,
      _xlfn.AGGREGATE(14, 6, COLUMN($AW$1:$BH$1)/(AW1451:BH1451&lt;&gt;""), 2) - COLUMN($AW$1) + 1
   ),
"")</f>
        <v/>
      </c>
      <c r="BN1451" s="55" cm="1">
        <f t="array" ref="BN1451">IFERROR(INDEX($AW$1:$BH$1,1,MATCH(2,1/(AW1451:BH1451&lt;&gt;""))),"")</f>
        <v>46023</v>
      </c>
      <c r="BO1451" s="53">
        <f ca="1">IFERROR(_xlfn.XLOOKUP(F1451,Apuração!A:A,Apuração!C:C)/_xlfn.XLOOKUP(F1451,Apuração!A:A,Apuração!B:B),0)</f>
        <v>0</v>
      </c>
      <c r="BP1451" s="53">
        <f ca="1">IFERROR(_xlfn.XLOOKUP(F1451,Apuração!A:A,Apuração!D:D)/_xlfn.XLOOKUP(F1451,Apuração!A:A,Apuração!B:B),0)</f>
        <v>0</v>
      </c>
      <c r="BQ1451" s="53">
        <f ca="1">IF(BK1451&gt;=BO1451,0,_xlfn.XLOOKUP(F1451,Apuração!A:A,Apuração!B:B)*(BO1451 + (1/_xlfn.XLOOKUP(F1451,Apuração!A:A,Apuração!B:B)) - BK1451))</f>
        <v>0</v>
      </c>
      <c r="BR1451" s="85">
        <f t="shared" ca="1" si="1697"/>
        <v>0</v>
      </c>
      <c r="BS1451" s="53">
        <f ca="1">IFERROR((_xlfn.XLOOKUP(F1451,Apuração!A:A,Apuração!C:C)+1)/_xlfn.XLOOKUP(F1451,Apuração!A:A,Apuração!B:B),0)</f>
        <v>0.14285714285714285</v>
      </c>
    </row>
    <row r="1452" spans="1:71" ht="25.95" hidden="1" customHeight="1" x14ac:dyDescent="0.3">
      <c r="A1452" s="44" t="s">
        <v>175</v>
      </c>
      <c r="B1452" s="4" t="s">
        <v>197</v>
      </c>
      <c r="C1452" s="5" t="s">
        <v>209</v>
      </c>
      <c r="D1452" s="5" t="s">
        <v>212</v>
      </c>
      <c r="E1452" s="4" t="s">
        <v>96</v>
      </c>
      <c r="F1452" s="4" t="str" cm="1">
        <f t="array" ref="F1452">_xlfn.IFS(
AG1452 &lt;&gt; "", "Jan-Dez/26",
AH1452 &lt;&gt; "", "Fev-Dez/26",
AI1452 &lt;&gt; "", "Mar-Dez/26", AJ1452 &lt;&gt; "", "Abr-Dez/26",
TRUE, "A partir de Junho"
)</f>
        <v>A partir de Junho</v>
      </c>
      <c r="G1452" s="4" t="s">
        <v>62</v>
      </c>
      <c r="H1452" s="7" t="s">
        <v>38</v>
      </c>
      <c r="I1452" s="21" t="s">
        <v>180</v>
      </c>
      <c r="J1452" s="8" t="str" cm="1">
        <f t="array" aca="1" ref="J1452" ca="1">_xlfn.LET(
  _xlpm.actual_value_month, INDEX(T1452:AE1452, MATCH(DATE(YEAR(TODAY()), MONTH(TODAY()), 1), $T$1:$AE$1, 0)),
  IF(_xlpm.actual_value_month &lt;&gt; "", _xlpm.actual_value_month &amp; " ações mensais", "")
)</f>
        <v/>
      </c>
      <c r="K1452" s="34" t="str" cm="1">
        <f t="array" ref="K1452">_xlfn.LET(
    _xlpm.sum_month, SUM(T1452:AE1452),
    IF(_xlpm.sum_month = 0, "", _xlpm.sum_month &amp; " colaboradores treinados.")
)</f>
        <v/>
      </c>
      <c r="L1452" s="9" t="s">
        <v>199</v>
      </c>
      <c r="M1452" s="13">
        <v>1</v>
      </c>
      <c r="N1452" s="5" t="s">
        <v>51</v>
      </c>
      <c r="O1452" s="5" t="s">
        <v>52</v>
      </c>
      <c r="P1452" s="10" t="s">
        <v>146</v>
      </c>
      <c r="Q1452" s="10" t="s">
        <v>44</v>
      </c>
      <c r="R1452" s="11" t="s">
        <v>44</v>
      </c>
      <c r="S1452" s="11" t="s">
        <v>44</v>
      </c>
      <c r="T1452" s="22"/>
      <c r="U1452" s="22"/>
      <c r="V1452" s="22"/>
      <c r="W1452" s="22"/>
      <c r="X1452" s="22"/>
      <c r="Y1452" s="22"/>
      <c r="Z1452" s="22"/>
      <c r="AA1452" s="22"/>
      <c r="AB1452" s="22"/>
      <c r="AC1452" s="22"/>
      <c r="AD1452" s="22"/>
      <c r="AE1452" s="22"/>
      <c r="AG1452" s="71"/>
      <c r="AH1452" s="71"/>
      <c r="AI1452" s="71"/>
      <c r="AJ1452" s="71"/>
      <c r="AK1452" s="71"/>
      <c r="AL1452" s="71"/>
      <c r="AM1452" s="71"/>
      <c r="AN1452" s="71"/>
      <c r="AO1452" s="71"/>
      <c r="AP1452" s="71"/>
      <c r="AQ1452" s="71"/>
      <c r="AR1452" s="71"/>
      <c r="AS1452" s="94" t="str" cm="1">
        <f t="array" ref="AS1452">IFERROR(INDEX(T1452:AE1452,1,MATCH(2,1/(T1452:AE1452&lt;&gt;""))),"")</f>
        <v/>
      </c>
      <c r="AT1452" s="95" t="str" cm="1">
        <f t="array" ref="AT1452">IFERROR(INDEX(AJ1452:AR1452,1,MATCH(2,1/(AJ1452:AR1452&lt;&gt;""))),"")</f>
        <v/>
      </c>
      <c r="AU1452" s="97" t="str">
        <f t="shared" si="1694"/>
        <v/>
      </c>
      <c r="AW1452" s="52">
        <f t="shared" si="1695"/>
        <v>0</v>
      </c>
      <c r="AX1452" s="52"/>
      <c r="AY1452" s="52"/>
      <c r="AZ1452" s="52"/>
      <c r="BA1452" s="52"/>
      <c r="BB1452" s="52"/>
      <c r="BC1452" s="52"/>
      <c r="BD1452" s="52"/>
      <c r="BE1452" s="52"/>
      <c r="BF1452" s="52"/>
      <c r="BG1452" s="52"/>
      <c r="BH1452" s="52"/>
      <c r="BI1452" s="68" cm="1">
        <f t="array" ref="BI1452">IFERROR(INDEX(AW1452:BH1452,1,MATCH(2,1/(AW1452:BH1452&lt;&gt;""))),"")</f>
        <v>0</v>
      </c>
      <c r="BJ1452" s="68" t="str" cm="1">
        <f t="array" ref="BJ1452">IF(BM1452 = "", "",IFERROR(INDEX(AW1452:BH1452,1,MATCH(2,1/(AW1452:BH1452&lt;&gt;""),1)-1),""))</f>
        <v/>
      </c>
      <c r="BK1452" s="59">
        <f t="shared" si="1696"/>
        <v>0</v>
      </c>
      <c r="BL1452" s="59" cm="1">
        <f t="array" ref="BL1452">IFERROR(SUM(AW1452:INDEX(AW1452:BH1452, MATCH(2, 1/(AW1452:BH1452&lt;&gt;""), 1) - 1))/_xlfn.XLOOKUP(F1452,Apuração!A:A,Apuração!B:B),0)</f>
        <v>0</v>
      </c>
      <c r="BM1452" s="55" t="str" cm="1">
        <f t="array" ref="BM1452">IFERROR(
   INDEX($AW$1:$BH$1,
      _xlfn.AGGREGATE(14, 6, COLUMN($AW$1:$BH$1)/(AW1452:BH1452&lt;&gt;""), 2) - COLUMN($AW$1) + 1
   ),
"")</f>
        <v/>
      </c>
      <c r="BN1452" s="55" cm="1">
        <f t="array" ref="BN1452">IFERROR(INDEX($AW$1:$BH$1,1,MATCH(2,1/(AW1452:BH1452&lt;&gt;""))),"")</f>
        <v>46023</v>
      </c>
      <c r="BO1452" s="53">
        <f ca="1">IFERROR(_xlfn.XLOOKUP(F1452,Apuração!A:A,Apuração!C:C)/_xlfn.XLOOKUP(F1452,Apuração!A:A,Apuração!B:B),0)</f>
        <v>0</v>
      </c>
      <c r="BP1452" s="53">
        <f ca="1">IFERROR(_xlfn.XLOOKUP(F1452,Apuração!A:A,Apuração!D:D)/_xlfn.XLOOKUP(F1452,Apuração!A:A,Apuração!B:B),0)</f>
        <v>0</v>
      </c>
      <c r="BQ1452" s="53">
        <f ca="1">IF(BK1452&gt;=BO1452,0,_xlfn.XLOOKUP(F1452,Apuração!A:A,Apuração!B:B)*(BO1452 + (1/_xlfn.XLOOKUP(F1452,Apuração!A:A,Apuração!B:B)) - BK1452))</f>
        <v>0</v>
      </c>
      <c r="BR1452" s="85">
        <f t="shared" ca="1" si="1697"/>
        <v>0</v>
      </c>
      <c r="BS1452" s="53">
        <f ca="1">IFERROR((_xlfn.XLOOKUP(F1452,Apuração!A:A,Apuração!C:C)+1)/_xlfn.XLOOKUP(F1452,Apuração!A:A,Apuração!B:B),0)</f>
        <v>0.14285714285714285</v>
      </c>
    </row>
    <row r="1453" spans="1:71" ht="25.95" hidden="1" customHeight="1" x14ac:dyDescent="0.3">
      <c r="A1453" s="44" t="s">
        <v>175</v>
      </c>
      <c r="B1453" s="4" t="s">
        <v>197</v>
      </c>
      <c r="C1453" s="5" t="s">
        <v>209</v>
      </c>
      <c r="D1453" s="5" t="s">
        <v>213</v>
      </c>
      <c r="E1453" s="4" t="s">
        <v>96</v>
      </c>
      <c r="F1453" s="4" t="str" cm="1">
        <f t="array" ref="F1453">_xlfn.IFS(
AG1453 &lt;&gt; "", "Jan-Dez/26",
AH1453 &lt;&gt; "", "Fev-Dez/26",
AI1453 &lt;&gt; "", "Mar-Dez/26", AJ1453 &lt;&gt; "", "Abr-Dez/26",
TRUE, "A partir de Junho"
)</f>
        <v>A partir de Junho</v>
      </c>
      <c r="G1453" s="4" t="s">
        <v>62</v>
      </c>
      <c r="H1453" s="7" t="s">
        <v>38</v>
      </c>
      <c r="I1453" s="21" t="s">
        <v>180</v>
      </c>
      <c r="J1453" s="8" t="str" cm="1">
        <f t="array" aca="1" ref="J1453" ca="1">_xlfn.LET(
  _xlpm.actual_value_month, INDEX(T1453:AE1453, MATCH(DATE(YEAR(TODAY()), MONTH(TODAY()), 1), $T$1:$AE$1, 0)),
  IF(_xlpm.actual_value_month &lt;&gt; "", _xlpm.actual_value_month &amp; " ações mensais", "")
)</f>
        <v/>
      </c>
      <c r="K1453" s="34" t="str" cm="1">
        <f t="array" ref="K1453">_xlfn.LET(
    _xlpm.sum_month, SUM(T1453:AE1453),
    IF(_xlpm.sum_month = 0, "", _xlpm.sum_month &amp; " colaboradores treinados.")
)</f>
        <v/>
      </c>
      <c r="L1453" s="9" t="s">
        <v>199</v>
      </c>
      <c r="M1453" s="13">
        <v>1</v>
      </c>
      <c r="N1453" s="5" t="s">
        <v>51</v>
      </c>
      <c r="O1453" s="5" t="s">
        <v>52</v>
      </c>
      <c r="P1453" s="10" t="s">
        <v>146</v>
      </c>
      <c r="Q1453" s="10" t="s">
        <v>44</v>
      </c>
      <c r="R1453" s="11" t="s">
        <v>44</v>
      </c>
      <c r="S1453" s="11" t="s">
        <v>44</v>
      </c>
      <c r="T1453" s="22"/>
      <c r="U1453" s="22"/>
      <c r="V1453" s="22"/>
      <c r="W1453" s="22"/>
      <c r="X1453" s="22"/>
      <c r="Y1453" s="22"/>
      <c r="Z1453" s="22"/>
      <c r="AA1453" s="22"/>
      <c r="AB1453" s="22"/>
      <c r="AC1453" s="22"/>
      <c r="AD1453" s="22"/>
      <c r="AE1453" s="22"/>
      <c r="AG1453" s="71"/>
      <c r="AH1453" s="71"/>
      <c r="AI1453" s="71"/>
      <c r="AJ1453" s="71"/>
      <c r="AK1453" s="71"/>
      <c r="AL1453" s="71"/>
      <c r="AM1453" s="71"/>
      <c r="AN1453" s="71"/>
      <c r="AO1453" s="71"/>
      <c r="AP1453" s="71"/>
      <c r="AQ1453" s="71"/>
      <c r="AR1453" s="71"/>
      <c r="AS1453" s="94" t="str" cm="1">
        <f t="array" ref="AS1453">IFERROR(INDEX(T1453:AE1453,1,MATCH(2,1/(T1453:AE1453&lt;&gt;""))),"")</f>
        <v/>
      </c>
      <c r="AT1453" s="95" t="str" cm="1">
        <f t="array" ref="AT1453">IFERROR(INDEX(AJ1453:AR1453,1,MATCH(2,1/(AJ1453:AR1453&lt;&gt;""))),"")</f>
        <v/>
      </c>
      <c r="AU1453" s="97" t="str">
        <f t="shared" si="1694"/>
        <v/>
      </c>
      <c r="AW1453" s="52">
        <f t="shared" si="1695"/>
        <v>0</v>
      </c>
      <c r="AX1453" s="52"/>
      <c r="AY1453" s="52"/>
      <c r="AZ1453" s="52"/>
      <c r="BA1453" s="52"/>
      <c r="BB1453" s="52"/>
      <c r="BC1453" s="52"/>
      <c r="BD1453" s="52"/>
      <c r="BE1453" s="52"/>
      <c r="BF1453" s="52"/>
      <c r="BG1453" s="52"/>
      <c r="BH1453" s="52"/>
      <c r="BI1453" s="68" cm="1">
        <f t="array" ref="BI1453">IFERROR(INDEX(AW1453:BH1453,1,MATCH(2,1/(AW1453:BH1453&lt;&gt;""))),"")</f>
        <v>0</v>
      </c>
      <c r="BJ1453" s="68" t="str" cm="1">
        <f t="array" ref="BJ1453">IF(BM1453 = "", "",IFERROR(INDEX(AW1453:BH1453,1,MATCH(2,1/(AW1453:BH1453&lt;&gt;""),1)-1),""))</f>
        <v/>
      </c>
      <c r="BK1453" s="59">
        <f t="shared" si="1696"/>
        <v>0</v>
      </c>
      <c r="BL1453" s="59" cm="1">
        <f t="array" ref="BL1453">IFERROR(SUM(AW1453:INDEX(AW1453:BH1453, MATCH(2, 1/(AW1453:BH1453&lt;&gt;""), 1) - 1))/_xlfn.XLOOKUP(F1453,Apuração!A:A,Apuração!B:B),0)</f>
        <v>0</v>
      </c>
      <c r="BM1453" s="55" t="str" cm="1">
        <f t="array" ref="BM1453">IFERROR(
   INDEX($AW$1:$BH$1,
      _xlfn.AGGREGATE(14, 6, COLUMN($AW$1:$BH$1)/(AW1453:BH1453&lt;&gt;""), 2) - COLUMN($AW$1) + 1
   ),
"")</f>
        <v/>
      </c>
      <c r="BN1453" s="55" cm="1">
        <f t="array" ref="BN1453">IFERROR(INDEX($AW$1:$BH$1,1,MATCH(2,1/(AW1453:BH1453&lt;&gt;""))),"")</f>
        <v>46023</v>
      </c>
      <c r="BO1453" s="53">
        <f ca="1">IFERROR(_xlfn.XLOOKUP(F1453,Apuração!A:A,Apuração!C:C)/_xlfn.XLOOKUP(F1453,Apuração!A:A,Apuração!B:B),0)</f>
        <v>0</v>
      </c>
      <c r="BP1453" s="53">
        <f ca="1">IFERROR(_xlfn.XLOOKUP(F1453,Apuração!A:A,Apuração!D:D)/_xlfn.XLOOKUP(F1453,Apuração!A:A,Apuração!B:B),0)</f>
        <v>0</v>
      </c>
      <c r="BQ1453" s="53">
        <f ca="1">IF(BK1453&gt;=BO1453,0,_xlfn.XLOOKUP(F1453,Apuração!A:A,Apuração!B:B)*(BO1453 + (1/_xlfn.XLOOKUP(F1453,Apuração!A:A,Apuração!B:B)) - BK1453))</f>
        <v>0</v>
      </c>
      <c r="BR1453" s="85">
        <f t="shared" ca="1" si="1697"/>
        <v>0</v>
      </c>
      <c r="BS1453" s="53">
        <f ca="1">IFERROR((_xlfn.XLOOKUP(F1453,Apuração!A:A,Apuração!C:C)+1)/_xlfn.XLOOKUP(F1453,Apuração!A:A,Apuração!B:B),0)</f>
        <v>0.14285714285714285</v>
      </c>
    </row>
    <row r="1454" spans="1:71" ht="25.95" hidden="1" customHeight="1" x14ac:dyDescent="0.3">
      <c r="A1454" s="44" t="s">
        <v>175</v>
      </c>
      <c r="B1454" s="4" t="s">
        <v>197</v>
      </c>
      <c r="C1454" s="5" t="s">
        <v>209</v>
      </c>
      <c r="D1454" s="5" t="s">
        <v>36</v>
      </c>
      <c r="E1454" s="4" t="s">
        <v>96</v>
      </c>
      <c r="F1454" s="4" t="str" cm="1">
        <f t="array" ref="F1454">_xlfn.IFS(
AG1454 &lt;&gt; "", "Jan-Dez/26",
AH1454 &lt;&gt; "", "Fev-Dez/26",
AI1454 &lt;&gt; "", "Mar-Dez/26", AJ1454 &lt;&gt; "", "Abr-Dez/26",
TRUE, "A partir de Junho"
)</f>
        <v>A partir de Junho</v>
      </c>
      <c r="G1454" s="4" t="s">
        <v>62</v>
      </c>
      <c r="H1454" s="7" t="s">
        <v>38</v>
      </c>
      <c r="I1454" s="21" t="s">
        <v>182</v>
      </c>
      <c r="J1454" s="8" t="str" cm="1">
        <f t="array" aca="1" ref="J1454" ca="1">_xlfn.LET(
  _xlpm.actual_value_month, INDEX(T1454:AE1454, MATCH(DATE(YEAR(TODAY()), MONTH(TODAY()), 1), $T$1:$AE$1, 0)),
  IF(_xlpm.actual_value_month &lt;&gt; "", _xlpm.actual_value_month &amp; " ações mensais", "")
)</f>
        <v/>
      </c>
      <c r="K1454" s="8" t="str" cm="1">
        <f t="array" ref="K1454">_xlfn.LET(
    _xlpm.sum_month, SUM(T1454:AE1454),
    IF(_xlpm.sum_month = 0, "", _xlpm.sum_month &amp; " taxa de aprovados")
)</f>
        <v/>
      </c>
      <c r="L1454" s="4" t="s">
        <v>183</v>
      </c>
      <c r="M1454" s="13">
        <v>1</v>
      </c>
      <c r="N1454" s="5" t="s">
        <v>51</v>
      </c>
      <c r="O1454" s="5" t="s">
        <v>43</v>
      </c>
      <c r="P1454" s="10" t="s">
        <v>44</v>
      </c>
      <c r="Q1454" s="10" t="s">
        <v>44</v>
      </c>
      <c r="R1454" s="11" t="s">
        <v>44</v>
      </c>
      <c r="S1454" s="11" t="s">
        <v>44</v>
      </c>
      <c r="T1454" s="22"/>
      <c r="U1454" s="22"/>
      <c r="V1454" s="22"/>
      <c r="W1454" s="22"/>
      <c r="X1454" s="22"/>
      <c r="Y1454" s="22"/>
      <c r="Z1454" s="22"/>
      <c r="AA1454" s="22"/>
      <c r="AB1454" s="22"/>
      <c r="AC1454" s="22"/>
      <c r="AD1454" s="22"/>
      <c r="AE1454" s="22"/>
      <c r="AG1454" s="71"/>
      <c r="AH1454" s="71"/>
      <c r="AI1454" s="71"/>
      <c r="AJ1454" s="71"/>
      <c r="AK1454" s="71"/>
      <c r="AL1454" s="71"/>
      <c r="AM1454" s="71"/>
      <c r="AN1454" s="71"/>
      <c r="AO1454" s="71"/>
      <c r="AP1454" s="71"/>
      <c r="AQ1454" s="71"/>
      <c r="AR1454" s="71"/>
      <c r="AS1454" s="94" t="str" cm="1">
        <f t="array" ref="AS1454">IFERROR(INDEX(T1454:AE1454,1,MATCH(2,1/(T1454:AE1454&lt;&gt;""))),"")</f>
        <v/>
      </c>
      <c r="AT1454" s="95" t="str" cm="1">
        <f t="array" ref="AT1454">IFERROR(INDEX(AJ1454:AR1454,1,MATCH(2,1/(AJ1454:AR1454&lt;&gt;""))),"")</f>
        <v/>
      </c>
      <c r="AU1454" s="97" t="str">
        <f>AT1454</f>
        <v/>
      </c>
      <c r="AW1454" s="51" t="str">
        <f>IFERROR(IF(AG1454="","",AG1454/T1454),0)</f>
        <v/>
      </c>
      <c r="AX1454" s="51"/>
      <c r="AY1454" s="51"/>
      <c r="AZ1454" s="51"/>
      <c r="BA1454" s="51"/>
      <c r="BB1454" s="51"/>
      <c r="BC1454" s="51"/>
      <c r="BD1454" s="51"/>
      <c r="BE1454" s="51"/>
      <c r="BF1454" s="51"/>
      <c r="BG1454" s="51"/>
      <c r="BH1454" s="51"/>
      <c r="BI1454" s="65" t="str" cm="1">
        <f t="array" ref="BI1454">IFERROR(INDEX(AW1454:BH1454,1,MATCH(2,1/(AW1454:BH1454&lt;&gt;""))),"")</f>
        <v/>
      </c>
      <c r="BJ1454" s="68" t="str" cm="1">
        <f t="array" ref="BJ1454">IF(BM1454 = "", "",IFERROR(INDEX(AW1454:BH1454,1,MATCH(2,1/(AW1454:BH1454&lt;&gt;""),1)-1),""))</f>
        <v/>
      </c>
      <c r="BK1454" s="58" t="str" cm="1">
        <f t="array" ref="BK1454">IFERROR(INDEX(AW1454:BH1454,1,MATCH(2,1/(AW1454:BH1454&lt;&gt;""))),"")</f>
        <v/>
      </c>
      <c r="BL1454" s="58" t="str" cm="1">
        <f t="array" ref="BL1454">IFERROR(INDEX(AW1454:BH1454,1,MATCH(2,1/(AW1454:BH1454&lt;&gt;""),1)-1),"")</f>
        <v/>
      </c>
      <c r="BM1454" s="55" t="str" cm="1">
        <f t="array" ref="BM1454">IFERROR(
   INDEX($AW$1:$BH$1,
      _xlfn.AGGREGATE(14, 6, COLUMN($AW$1:$BH$1)/(AW1454:BH1454&lt;&gt;""), 2) - COLUMN($AW$1) + 1
   ),
"")</f>
        <v/>
      </c>
      <c r="BN1454" s="55" t="str" cm="1">
        <f t="array" ref="BN1454">IFERROR(INDEX($AW$1:$BH$1,1,MATCH(2,1/(AW1454:BH1454&lt;&gt;""))),"")</f>
        <v/>
      </c>
      <c r="BO1454" s="53">
        <f ca="1">IFERROR(_xlfn.XLOOKUP(F1454,Apuração!A:A,Apuração!C:C)/_xlfn.XLOOKUP(F1454,Apuração!A:A,Apuração!B:B),0)</f>
        <v>0</v>
      </c>
      <c r="BP1454" s="53">
        <f ca="1">IFERROR(_xlfn.XLOOKUP(F1454,Apuração!A:A,Apuração!D:D)/_xlfn.XLOOKUP(F1454,Apuração!A:A,Apuração!B:B),0)</f>
        <v>0</v>
      </c>
      <c r="BQ1454" s="53">
        <f ca="1">IF(BK1454&gt;=BO1454,0,_xlfn.XLOOKUP(F1454,Apuração!A:A,Apuração!B:B)*(BO1454 + (1/_xlfn.XLOOKUP(F1454,Apuração!A:A,Apuração!B:B)) - BK1454))</f>
        <v>0</v>
      </c>
      <c r="BR1454" s="85">
        <f ca="1">IF(BQ1454=0,0,BQ1454*Z1454)</f>
        <v>0</v>
      </c>
      <c r="BS1454" s="53">
        <f ca="1">IFERROR((_xlfn.XLOOKUP(F1454,Apuração!A:A,Apuração!C:C)+1)/_xlfn.XLOOKUP(F1454,Apuração!A:A,Apuração!B:B),0)</f>
        <v>0.14285714285714285</v>
      </c>
    </row>
    <row r="1455" spans="1:71" ht="25.95" hidden="1" customHeight="1" x14ac:dyDescent="0.3">
      <c r="A1455" s="44" t="s">
        <v>175</v>
      </c>
      <c r="B1455" s="4" t="s">
        <v>197</v>
      </c>
      <c r="C1455" s="5" t="s">
        <v>209</v>
      </c>
      <c r="D1455" s="5" t="s">
        <v>210</v>
      </c>
      <c r="E1455" s="4" t="s">
        <v>96</v>
      </c>
      <c r="F1455" s="4" t="str" cm="1">
        <f t="array" ref="F1455">_xlfn.IFS(
AG1455 &lt;&gt; "", "Jan-Dez/26",
AH1455 &lt;&gt; "", "Fev-Dez/26",
AI1455 &lt;&gt; "", "Mar-Dez/26", AJ1455 &lt;&gt; "", "Abr-Dez/26",
TRUE, "A partir de Junho"
)</f>
        <v>A partir de Junho</v>
      </c>
      <c r="G1455" s="4" t="s">
        <v>62</v>
      </c>
      <c r="H1455" s="7" t="s">
        <v>38</v>
      </c>
      <c r="I1455" s="21" t="s">
        <v>182</v>
      </c>
      <c r="J1455" s="8" t="str" cm="1">
        <f t="array" aca="1" ref="J1455" ca="1">_xlfn.LET(
  _xlpm.actual_value_month, INDEX(T1455:AE1455, MATCH(DATE(YEAR(TODAY()), MONTH(TODAY()), 1), $T$1:$AE$1, 0)),
  IF(_xlpm.actual_value_month &lt;&gt; "", _xlpm.actual_value_month &amp; " ações mensais", "")
)</f>
        <v/>
      </c>
      <c r="K1455" s="8" t="str" cm="1">
        <f t="array" ref="K1455">_xlfn.LET(
    _xlpm.sum_month, SUM(T1455:AE1455),
    IF(_xlpm.sum_month = 0, "", _xlpm.sum_month &amp; " taxa de aprovados")
)</f>
        <v/>
      </c>
      <c r="L1455" s="4" t="s">
        <v>183</v>
      </c>
      <c r="M1455" s="13">
        <v>1</v>
      </c>
      <c r="N1455" s="5" t="s">
        <v>51</v>
      </c>
      <c r="O1455" s="5" t="s">
        <v>43</v>
      </c>
      <c r="P1455" s="10" t="s">
        <v>44</v>
      </c>
      <c r="Q1455" s="10" t="s">
        <v>44</v>
      </c>
      <c r="R1455" s="11" t="s">
        <v>44</v>
      </c>
      <c r="S1455" s="11" t="s">
        <v>44</v>
      </c>
      <c r="T1455" s="22"/>
      <c r="U1455" s="22"/>
      <c r="V1455" s="22"/>
      <c r="W1455" s="22"/>
      <c r="X1455" s="22"/>
      <c r="Y1455" s="22"/>
      <c r="Z1455" s="22"/>
      <c r="AA1455" s="22"/>
      <c r="AB1455" s="22"/>
      <c r="AC1455" s="22"/>
      <c r="AD1455" s="22"/>
      <c r="AE1455" s="22"/>
      <c r="AG1455" s="71"/>
      <c r="AH1455" s="71"/>
      <c r="AI1455" s="71"/>
      <c r="AJ1455" s="71"/>
      <c r="AK1455" s="71"/>
      <c r="AL1455" s="71"/>
      <c r="AM1455" s="71"/>
      <c r="AN1455" s="71"/>
      <c r="AO1455" s="71"/>
      <c r="AP1455" s="71"/>
      <c r="AQ1455" s="71"/>
      <c r="AR1455" s="71"/>
      <c r="AS1455" s="94" t="str" cm="1">
        <f t="array" ref="AS1455">IFERROR(INDEX(T1455:AE1455,1,MATCH(2,1/(T1455:AE1455&lt;&gt;""))),"")</f>
        <v/>
      </c>
      <c r="AT1455" s="95" t="str" cm="1">
        <f t="array" ref="AT1455">IFERROR(INDEX(AJ1455:AR1455,1,MATCH(2,1/(AJ1455:AR1455&lt;&gt;""))),"")</f>
        <v/>
      </c>
      <c r="AU1455" s="97" t="str">
        <f t="shared" ref="AU1455:AU1459" si="1698">AT1455</f>
        <v/>
      </c>
      <c r="AW1455" s="51" t="str">
        <f t="shared" ref="AW1455:AW1459" si="1699">IFERROR(IF(AG1455="","",AG1455/T1455),0)</f>
        <v/>
      </c>
      <c r="AX1455" s="51"/>
      <c r="AY1455" s="51"/>
      <c r="AZ1455" s="51"/>
      <c r="BA1455" s="51"/>
      <c r="BB1455" s="51"/>
      <c r="BC1455" s="51"/>
      <c r="BD1455" s="51"/>
      <c r="BE1455" s="51"/>
      <c r="BF1455" s="51"/>
      <c r="BG1455" s="51"/>
      <c r="BH1455" s="51"/>
      <c r="BI1455" s="65" t="str" cm="1">
        <f t="array" ref="BI1455">IFERROR(INDEX(AW1455:BH1455,1,MATCH(2,1/(AW1455:BH1455&lt;&gt;""))),"")</f>
        <v/>
      </c>
      <c r="BJ1455" s="68" t="str" cm="1">
        <f t="array" ref="BJ1455">IF(BM1455 = "", "",IFERROR(INDEX(AW1455:BH1455,1,MATCH(2,1/(AW1455:BH1455&lt;&gt;""),1)-1),""))</f>
        <v/>
      </c>
      <c r="BK1455" s="58" t="str" cm="1">
        <f t="array" ref="BK1455">IFERROR(INDEX(AW1455:BH1455,1,MATCH(2,1/(AW1455:BH1455&lt;&gt;""))),"")</f>
        <v/>
      </c>
      <c r="BL1455" s="58" t="str" cm="1">
        <f t="array" ref="BL1455">IFERROR(INDEX(AW1455:BH1455,1,MATCH(2,1/(AW1455:BH1455&lt;&gt;""),1)-1),"")</f>
        <v/>
      </c>
      <c r="BM1455" s="55" t="str" cm="1">
        <f t="array" ref="BM1455">IFERROR(
   INDEX($AW$1:$BH$1,
      _xlfn.AGGREGATE(14, 6, COLUMN($AW$1:$BH$1)/(AW1455:BH1455&lt;&gt;""), 2) - COLUMN($AW$1) + 1
   ),
"")</f>
        <v/>
      </c>
      <c r="BN1455" s="55" t="str" cm="1">
        <f t="array" ref="BN1455">IFERROR(INDEX($AW$1:$BH$1,1,MATCH(2,1/(AW1455:BH1455&lt;&gt;""))),"")</f>
        <v/>
      </c>
      <c r="BO1455" s="53">
        <f ca="1">IFERROR(_xlfn.XLOOKUP(F1455,Apuração!A:A,Apuração!C:C)/_xlfn.XLOOKUP(F1455,Apuração!A:A,Apuração!B:B),0)</f>
        <v>0</v>
      </c>
      <c r="BP1455" s="53">
        <f ca="1">IFERROR(_xlfn.XLOOKUP(F1455,Apuração!A:A,Apuração!D:D)/_xlfn.XLOOKUP(F1455,Apuração!A:A,Apuração!B:B),0)</f>
        <v>0</v>
      </c>
      <c r="BQ1455" s="53">
        <f ca="1">IF(BK1455&gt;=BO1455,0,_xlfn.XLOOKUP(F1455,Apuração!A:A,Apuração!B:B)*(BO1455 + (1/_xlfn.XLOOKUP(F1455,Apuração!A:A,Apuração!B:B)) - BK1455))</f>
        <v>0</v>
      </c>
      <c r="BR1455" s="85">
        <f t="shared" ref="BR1455:BR1459" ca="1" si="1700">IF(BQ1455=0,0,BQ1455*Z1455)</f>
        <v>0</v>
      </c>
      <c r="BS1455" s="53">
        <f ca="1">IFERROR((_xlfn.XLOOKUP(F1455,Apuração!A:A,Apuração!C:C)+1)/_xlfn.XLOOKUP(F1455,Apuração!A:A,Apuração!B:B),0)</f>
        <v>0.14285714285714285</v>
      </c>
    </row>
    <row r="1456" spans="1:71" ht="25.95" hidden="1" customHeight="1" x14ac:dyDescent="0.3">
      <c r="A1456" s="44" t="s">
        <v>175</v>
      </c>
      <c r="B1456" s="4" t="s">
        <v>197</v>
      </c>
      <c r="C1456" s="5" t="s">
        <v>209</v>
      </c>
      <c r="D1456" s="5" t="s">
        <v>47</v>
      </c>
      <c r="E1456" s="4" t="s">
        <v>96</v>
      </c>
      <c r="F1456" s="4" t="str" cm="1">
        <f t="array" ref="F1456">_xlfn.IFS(
AG1456 &lt;&gt; "", "Jan-Dez/26",
AH1456 &lt;&gt; "", "Fev-Dez/26",
AI1456 &lt;&gt; "", "Mar-Dez/26", AJ1456 &lt;&gt; "", "Abr-Dez/26",
TRUE, "A partir de Junho"
)</f>
        <v>A partir de Junho</v>
      </c>
      <c r="G1456" s="4" t="s">
        <v>62</v>
      </c>
      <c r="H1456" s="7" t="s">
        <v>38</v>
      </c>
      <c r="I1456" s="21" t="s">
        <v>182</v>
      </c>
      <c r="J1456" s="8" t="str" cm="1">
        <f t="array" aca="1" ref="J1456" ca="1">_xlfn.LET(
  _xlpm.actual_value_month, INDEX(T1456:AE1456, MATCH(DATE(YEAR(TODAY()), MONTH(TODAY()), 1), $T$1:$AE$1, 0)),
  IF(_xlpm.actual_value_month &lt;&gt; "", _xlpm.actual_value_month &amp; " ações mensais", "")
)</f>
        <v/>
      </c>
      <c r="K1456" s="8" t="str" cm="1">
        <f t="array" ref="K1456">_xlfn.LET(
    _xlpm.sum_month, SUM(T1456:AE1456),
    IF(_xlpm.sum_month = 0, "", _xlpm.sum_month &amp; " taxa de aprovados")
)</f>
        <v/>
      </c>
      <c r="L1456" s="4" t="s">
        <v>183</v>
      </c>
      <c r="M1456" s="13">
        <v>1</v>
      </c>
      <c r="N1456" s="5" t="s">
        <v>51</v>
      </c>
      <c r="O1456" s="5" t="s">
        <v>43</v>
      </c>
      <c r="P1456" s="10" t="s">
        <v>44</v>
      </c>
      <c r="Q1456" s="10" t="s">
        <v>44</v>
      </c>
      <c r="R1456" s="11" t="s">
        <v>44</v>
      </c>
      <c r="S1456" s="11" t="s">
        <v>44</v>
      </c>
      <c r="T1456" s="22"/>
      <c r="U1456" s="22"/>
      <c r="V1456" s="22"/>
      <c r="W1456" s="22"/>
      <c r="X1456" s="22"/>
      <c r="Y1456" s="22"/>
      <c r="Z1456" s="22"/>
      <c r="AA1456" s="22"/>
      <c r="AB1456" s="22"/>
      <c r="AC1456" s="22"/>
      <c r="AD1456" s="22"/>
      <c r="AE1456" s="22"/>
      <c r="AG1456" s="71"/>
      <c r="AH1456" s="71"/>
      <c r="AI1456" s="71"/>
      <c r="AJ1456" s="71"/>
      <c r="AK1456" s="71"/>
      <c r="AL1456" s="71"/>
      <c r="AM1456" s="71"/>
      <c r="AN1456" s="71"/>
      <c r="AO1456" s="71"/>
      <c r="AP1456" s="71"/>
      <c r="AQ1456" s="71"/>
      <c r="AR1456" s="71"/>
      <c r="AS1456" s="94" t="str" cm="1">
        <f t="array" ref="AS1456">IFERROR(INDEX(T1456:AE1456,1,MATCH(2,1/(T1456:AE1456&lt;&gt;""))),"")</f>
        <v/>
      </c>
      <c r="AT1456" s="95" t="str" cm="1">
        <f t="array" ref="AT1456">IFERROR(INDEX(AJ1456:AR1456,1,MATCH(2,1/(AJ1456:AR1456&lt;&gt;""))),"")</f>
        <v/>
      </c>
      <c r="AU1456" s="97" t="str">
        <f t="shared" si="1698"/>
        <v/>
      </c>
      <c r="AW1456" s="51" t="str">
        <f t="shared" si="1699"/>
        <v/>
      </c>
      <c r="AX1456" s="51"/>
      <c r="AY1456" s="51"/>
      <c r="AZ1456" s="51"/>
      <c r="BA1456" s="51"/>
      <c r="BB1456" s="51"/>
      <c r="BC1456" s="51"/>
      <c r="BD1456" s="51"/>
      <c r="BE1456" s="51"/>
      <c r="BF1456" s="51"/>
      <c r="BG1456" s="51"/>
      <c r="BH1456" s="51"/>
      <c r="BI1456" s="65" t="str" cm="1">
        <f t="array" ref="BI1456">IFERROR(INDEX(AW1456:BH1456,1,MATCH(2,1/(AW1456:BH1456&lt;&gt;""))),"")</f>
        <v/>
      </c>
      <c r="BJ1456" s="68" t="str" cm="1">
        <f t="array" ref="BJ1456">IF(BM1456 = "", "",IFERROR(INDEX(AW1456:BH1456,1,MATCH(2,1/(AW1456:BH1456&lt;&gt;""),1)-1),""))</f>
        <v/>
      </c>
      <c r="BK1456" s="58" t="str" cm="1">
        <f t="array" ref="BK1456">IFERROR(INDEX(AW1456:BH1456,1,MATCH(2,1/(AW1456:BH1456&lt;&gt;""))),"")</f>
        <v/>
      </c>
      <c r="BL1456" s="58" t="str" cm="1">
        <f t="array" ref="BL1456">IFERROR(INDEX(AW1456:BH1456,1,MATCH(2,1/(AW1456:BH1456&lt;&gt;""),1)-1),"")</f>
        <v/>
      </c>
      <c r="BM1456" s="55" t="str" cm="1">
        <f t="array" ref="BM1456">IFERROR(
   INDEX($AW$1:$BH$1,
      _xlfn.AGGREGATE(14, 6, COLUMN($AW$1:$BH$1)/(AW1456:BH1456&lt;&gt;""), 2) - COLUMN($AW$1) + 1
   ),
"")</f>
        <v/>
      </c>
      <c r="BN1456" s="55" t="str" cm="1">
        <f t="array" ref="BN1456">IFERROR(INDEX($AW$1:$BH$1,1,MATCH(2,1/(AW1456:BH1456&lt;&gt;""))),"")</f>
        <v/>
      </c>
      <c r="BO1456" s="53">
        <f ca="1">IFERROR(_xlfn.XLOOKUP(F1456,Apuração!A:A,Apuração!C:C)/_xlfn.XLOOKUP(F1456,Apuração!A:A,Apuração!B:B),0)</f>
        <v>0</v>
      </c>
      <c r="BP1456" s="53">
        <f ca="1">IFERROR(_xlfn.XLOOKUP(F1456,Apuração!A:A,Apuração!D:D)/_xlfn.XLOOKUP(F1456,Apuração!A:A,Apuração!B:B),0)</f>
        <v>0</v>
      </c>
      <c r="BQ1456" s="53">
        <f ca="1">IF(BK1456&gt;=BO1456,0,_xlfn.XLOOKUP(F1456,Apuração!A:A,Apuração!B:B)*(BO1456 + (1/_xlfn.XLOOKUP(F1456,Apuração!A:A,Apuração!B:B)) - BK1456))</f>
        <v>0</v>
      </c>
      <c r="BR1456" s="85">
        <f t="shared" ca="1" si="1700"/>
        <v>0</v>
      </c>
      <c r="BS1456" s="53">
        <f ca="1">IFERROR((_xlfn.XLOOKUP(F1456,Apuração!A:A,Apuração!C:C)+1)/_xlfn.XLOOKUP(F1456,Apuração!A:A,Apuração!B:B),0)</f>
        <v>0.14285714285714285</v>
      </c>
    </row>
    <row r="1457" spans="1:71" ht="25.95" hidden="1" customHeight="1" x14ac:dyDescent="0.3">
      <c r="A1457" s="44" t="s">
        <v>175</v>
      </c>
      <c r="B1457" s="4" t="s">
        <v>197</v>
      </c>
      <c r="C1457" s="5" t="s">
        <v>209</v>
      </c>
      <c r="D1457" s="5" t="s">
        <v>211</v>
      </c>
      <c r="E1457" s="4" t="s">
        <v>96</v>
      </c>
      <c r="F1457" s="4" t="str" cm="1">
        <f t="array" ref="F1457">_xlfn.IFS(
AG1457 &lt;&gt; "", "Jan-Dez/26",
AH1457 &lt;&gt; "", "Fev-Dez/26",
AI1457 &lt;&gt; "", "Mar-Dez/26", AJ1457 &lt;&gt; "", "Abr-Dez/26",
TRUE, "A partir de Junho"
)</f>
        <v>A partir de Junho</v>
      </c>
      <c r="G1457" s="4" t="s">
        <v>62</v>
      </c>
      <c r="H1457" s="7" t="s">
        <v>38</v>
      </c>
      <c r="I1457" s="21" t="s">
        <v>182</v>
      </c>
      <c r="J1457" s="8" t="str" cm="1">
        <f t="array" aca="1" ref="J1457" ca="1">_xlfn.LET(
  _xlpm.actual_value_month, INDEX(T1457:AE1457, MATCH(DATE(YEAR(TODAY()), MONTH(TODAY()), 1), $T$1:$AE$1, 0)),
  IF(_xlpm.actual_value_month &lt;&gt; "", _xlpm.actual_value_month &amp; " ações mensais", "")
)</f>
        <v/>
      </c>
      <c r="K1457" s="8" t="str" cm="1">
        <f t="array" ref="K1457">_xlfn.LET(
    _xlpm.sum_month, SUM(T1457:AE1457),
    IF(_xlpm.sum_month = 0, "", _xlpm.sum_month &amp; " taxa de aprovados")
)</f>
        <v/>
      </c>
      <c r="L1457" s="4" t="s">
        <v>183</v>
      </c>
      <c r="M1457" s="13">
        <v>1</v>
      </c>
      <c r="N1457" s="5" t="s">
        <v>51</v>
      </c>
      <c r="O1457" s="5" t="s">
        <v>43</v>
      </c>
      <c r="P1457" s="10" t="s">
        <v>44</v>
      </c>
      <c r="Q1457" s="10" t="s">
        <v>44</v>
      </c>
      <c r="R1457" s="11" t="s">
        <v>44</v>
      </c>
      <c r="S1457" s="11" t="s">
        <v>44</v>
      </c>
      <c r="T1457" s="22"/>
      <c r="U1457" s="22"/>
      <c r="V1457" s="22"/>
      <c r="W1457" s="22"/>
      <c r="X1457" s="22"/>
      <c r="Y1457" s="22"/>
      <c r="Z1457" s="22"/>
      <c r="AA1457" s="22"/>
      <c r="AB1457" s="22"/>
      <c r="AC1457" s="22"/>
      <c r="AD1457" s="22"/>
      <c r="AE1457" s="22"/>
      <c r="AG1457" s="71"/>
      <c r="AH1457" s="71"/>
      <c r="AI1457" s="71"/>
      <c r="AJ1457" s="71"/>
      <c r="AK1457" s="71"/>
      <c r="AL1457" s="71"/>
      <c r="AM1457" s="71"/>
      <c r="AN1457" s="71"/>
      <c r="AO1457" s="71"/>
      <c r="AP1457" s="71"/>
      <c r="AQ1457" s="71"/>
      <c r="AR1457" s="71"/>
      <c r="AS1457" s="94" t="str" cm="1">
        <f t="array" ref="AS1457">IFERROR(INDEX(T1457:AE1457,1,MATCH(2,1/(T1457:AE1457&lt;&gt;""))),"")</f>
        <v/>
      </c>
      <c r="AT1457" s="95" t="str" cm="1">
        <f t="array" ref="AT1457">IFERROR(INDEX(AJ1457:AR1457,1,MATCH(2,1/(AJ1457:AR1457&lt;&gt;""))),"")</f>
        <v/>
      </c>
      <c r="AU1457" s="97" t="str">
        <f t="shared" si="1698"/>
        <v/>
      </c>
      <c r="AW1457" s="51" t="str">
        <f t="shared" si="1699"/>
        <v/>
      </c>
      <c r="AX1457" s="51"/>
      <c r="AY1457" s="51"/>
      <c r="AZ1457" s="51"/>
      <c r="BA1457" s="51"/>
      <c r="BB1457" s="51"/>
      <c r="BC1457" s="51"/>
      <c r="BD1457" s="51"/>
      <c r="BE1457" s="51"/>
      <c r="BF1457" s="51"/>
      <c r="BG1457" s="51"/>
      <c r="BH1457" s="51"/>
      <c r="BI1457" s="65" t="str" cm="1">
        <f t="array" ref="BI1457">IFERROR(INDEX(AW1457:BH1457,1,MATCH(2,1/(AW1457:BH1457&lt;&gt;""))),"")</f>
        <v/>
      </c>
      <c r="BJ1457" s="68" t="str" cm="1">
        <f t="array" ref="BJ1457">IF(BM1457 = "", "",IFERROR(INDEX(AW1457:BH1457,1,MATCH(2,1/(AW1457:BH1457&lt;&gt;""),1)-1),""))</f>
        <v/>
      </c>
      <c r="BK1457" s="58" t="str" cm="1">
        <f t="array" ref="BK1457">IFERROR(INDEX(AW1457:BH1457,1,MATCH(2,1/(AW1457:BH1457&lt;&gt;""))),"")</f>
        <v/>
      </c>
      <c r="BL1457" s="58" t="str" cm="1">
        <f t="array" ref="BL1457">IFERROR(INDEX(AW1457:BH1457,1,MATCH(2,1/(AW1457:BH1457&lt;&gt;""),1)-1),"")</f>
        <v/>
      </c>
      <c r="BM1457" s="55" t="str" cm="1">
        <f t="array" ref="BM1457">IFERROR(
   INDEX($AW$1:$BH$1,
      _xlfn.AGGREGATE(14, 6, COLUMN($AW$1:$BH$1)/(AW1457:BH1457&lt;&gt;""), 2) - COLUMN($AW$1) + 1
   ),
"")</f>
        <v/>
      </c>
      <c r="BN1457" s="55" t="str" cm="1">
        <f t="array" ref="BN1457">IFERROR(INDEX($AW$1:$BH$1,1,MATCH(2,1/(AW1457:BH1457&lt;&gt;""))),"")</f>
        <v/>
      </c>
      <c r="BO1457" s="53">
        <f ca="1">IFERROR(_xlfn.XLOOKUP(F1457,Apuração!A:A,Apuração!C:C)/_xlfn.XLOOKUP(F1457,Apuração!A:A,Apuração!B:B),0)</f>
        <v>0</v>
      </c>
      <c r="BP1457" s="53">
        <f ca="1">IFERROR(_xlfn.XLOOKUP(F1457,Apuração!A:A,Apuração!D:D)/_xlfn.XLOOKUP(F1457,Apuração!A:A,Apuração!B:B),0)</f>
        <v>0</v>
      </c>
      <c r="BQ1457" s="53">
        <f ca="1">IF(BK1457&gt;=BO1457,0,_xlfn.XLOOKUP(F1457,Apuração!A:A,Apuração!B:B)*(BO1457 + (1/_xlfn.XLOOKUP(F1457,Apuração!A:A,Apuração!B:B)) - BK1457))</f>
        <v>0</v>
      </c>
      <c r="BR1457" s="85">
        <f t="shared" ca="1" si="1700"/>
        <v>0</v>
      </c>
      <c r="BS1457" s="53">
        <f ca="1">IFERROR((_xlfn.XLOOKUP(F1457,Apuração!A:A,Apuração!C:C)+1)/_xlfn.XLOOKUP(F1457,Apuração!A:A,Apuração!B:B),0)</f>
        <v>0.14285714285714285</v>
      </c>
    </row>
    <row r="1458" spans="1:71" ht="25.95" hidden="1" customHeight="1" x14ac:dyDescent="0.3">
      <c r="A1458" s="44" t="s">
        <v>175</v>
      </c>
      <c r="B1458" s="4" t="s">
        <v>197</v>
      </c>
      <c r="C1458" s="5" t="s">
        <v>209</v>
      </c>
      <c r="D1458" s="5" t="s">
        <v>212</v>
      </c>
      <c r="E1458" s="4" t="s">
        <v>96</v>
      </c>
      <c r="F1458" s="4" t="str" cm="1">
        <f t="array" ref="F1458">_xlfn.IFS(
AG1458 &lt;&gt; "", "Jan-Dez/26",
AH1458 &lt;&gt; "", "Fev-Dez/26",
AI1458 &lt;&gt; "", "Mar-Dez/26", AJ1458 &lt;&gt; "", "Abr-Dez/26",
TRUE, "A partir de Junho"
)</f>
        <v>A partir de Junho</v>
      </c>
      <c r="G1458" s="4" t="s">
        <v>62</v>
      </c>
      <c r="H1458" s="7" t="s">
        <v>38</v>
      </c>
      <c r="I1458" s="21" t="s">
        <v>182</v>
      </c>
      <c r="J1458" s="8" t="str" cm="1">
        <f t="array" aca="1" ref="J1458" ca="1">_xlfn.LET(
  _xlpm.actual_value_month, INDEX(T1458:AE1458, MATCH(DATE(YEAR(TODAY()), MONTH(TODAY()), 1), $T$1:$AE$1, 0)),
  IF(_xlpm.actual_value_month &lt;&gt; "", _xlpm.actual_value_month &amp; " ações mensais", "")
)</f>
        <v/>
      </c>
      <c r="K1458" s="8" t="str" cm="1">
        <f t="array" ref="K1458">_xlfn.LET(
    _xlpm.sum_month, SUM(T1458:AE1458),
    IF(_xlpm.sum_month = 0, "", _xlpm.sum_month &amp; " taxa de aprovados")
)</f>
        <v/>
      </c>
      <c r="L1458" s="4" t="s">
        <v>183</v>
      </c>
      <c r="M1458" s="13">
        <v>1</v>
      </c>
      <c r="N1458" s="5" t="s">
        <v>51</v>
      </c>
      <c r="O1458" s="5" t="s">
        <v>43</v>
      </c>
      <c r="P1458" s="10" t="s">
        <v>44</v>
      </c>
      <c r="Q1458" s="10" t="s">
        <v>44</v>
      </c>
      <c r="R1458" s="11" t="s">
        <v>44</v>
      </c>
      <c r="S1458" s="11" t="s">
        <v>44</v>
      </c>
      <c r="T1458" s="22"/>
      <c r="U1458" s="22"/>
      <c r="V1458" s="22"/>
      <c r="W1458" s="22"/>
      <c r="X1458" s="22"/>
      <c r="Y1458" s="22"/>
      <c r="Z1458" s="22"/>
      <c r="AA1458" s="22"/>
      <c r="AB1458" s="22"/>
      <c r="AC1458" s="22"/>
      <c r="AD1458" s="22"/>
      <c r="AE1458" s="22"/>
      <c r="AG1458" s="71"/>
      <c r="AH1458" s="71"/>
      <c r="AI1458" s="71"/>
      <c r="AJ1458" s="71"/>
      <c r="AK1458" s="71"/>
      <c r="AL1458" s="71"/>
      <c r="AM1458" s="71"/>
      <c r="AN1458" s="71"/>
      <c r="AO1458" s="71"/>
      <c r="AP1458" s="71"/>
      <c r="AQ1458" s="71"/>
      <c r="AR1458" s="71"/>
      <c r="AS1458" s="94" t="str" cm="1">
        <f t="array" ref="AS1458">IFERROR(INDEX(T1458:AE1458,1,MATCH(2,1/(T1458:AE1458&lt;&gt;""))),"")</f>
        <v/>
      </c>
      <c r="AT1458" s="95" t="str" cm="1">
        <f t="array" ref="AT1458">IFERROR(INDEX(AJ1458:AR1458,1,MATCH(2,1/(AJ1458:AR1458&lt;&gt;""))),"")</f>
        <v/>
      </c>
      <c r="AU1458" s="97" t="str">
        <f t="shared" si="1698"/>
        <v/>
      </c>
      <c r="AW1458" s="51" t="str">
        <f t="shared" si="1699"/>
        <v/>
      </c>
      <c r="AX1458" s="51"/>
      <c r="AY1458" s="51"/>
      <c r="AZ1458" s="51"/>
      <c r="BA1458" s="51"/>
      <c r="BB1458" s="51"/>
      <c r="BC1458" s="51"/>
      <c r="BD1458" s="51"/>
      <c r="BE1458" s="51"/>
      <c r="BF1458" s="51"/>
      <c r="BG1458" s="51"/>
      <c r="BH1458" s="51"/>
      <c r="BI1458" s="65" t="str" cm="1">
        <f t="array" ref="BI1458">IFERROR(INDEX(AW1458:BH1458,1,MATCH(2,1/(AW1458:BH1458&lt;&gt;""))),"")</f>
        <v/>
      </c>
      <c r="BJ1458" s="68" t="str" cm="1">
        <f t="array" ref="BJ1458">IF(BM1458 = "", "",IFERROR(INDEX(AW1458:BH1458,1,MATCH(2,1/(AW1458:BH1458&lt;&gt;""),1)-1),""))</f>
        <v/>
      </c>
      <c r="BK1458" s="58" t="str" cm="1">
        <f t="array" ref="BK1458">IFERROR(INDEX(AW1458:BH1458,1,MATCH(2,1/(AW1458:BH1458&lt;&gt;""))),"")</f>
        <v/>
      </c>
      <c r="BL1458" s="58" t="str" cm="1">
        <f t="array" ref="BL1458">IFERROR(INDEX(AW1458:BH1458,1,MATCH(2,1/(AW1458:BH1458&lt;&gt;""),1)-1),"")</f>
        <v/>
      </c>
      <c r="BM1458" s="55" t="str" cm="1">
        <f t="array" ref="BM1458">IFERROR(
   INDEX($AW$1:$BH$1,
      _xlfn.AGGREGATE(14, 6, COLUMN($AW$1:$BH$1)/(AW1458:BH1458&lt;&gt;""), 2) - COLUMN($AW$1) + 1
   ),
"")</f>
        <v/>
      </c>
      <c r="BN1458" s="55" t="str" cm="1">
        <f t="array" ref="BN1458">IFERROR(INDEX($AW$1:$BH$1,1,MATCH(2,1/(AW1458:BH1458&lt;&gt;""))),"")</f>
        <v/>
      </c>
      <c r="BO1458" s="53">
        <f ca="1">IFERROR(_xlfn.XLOOKUP(F1458,Apuração!A:A,Apuração!C:C)/_xlfn.XLOOKUP(F1458,Apuração!A:A,Apuração!B:B),0)</f>
        <v>0</v>
      </c>
      <c r="BP1458" s="53">
        <f ca="1">IFERROR(_xlfn.XLOOKUP(F1458,Apuração!A:A,Apuração!D:D)/_xlfn.XLOOKUP(F1458,Apuração!A:A,Apuração!B:B),0)</f>
        <v>0</v>
      </c>
      <c r="BQ1458" s="53">
        <f ca="1">IF(BK1458&gt;=BO1458,0,_xlfn.XLOOKUP(F1458,Apuração!A:A,Apuração!B:B)*(BO1458 + (1/_xlfn.XLOOKUP(F1458,Apuração!A:A,Apuração!B:B)) - BK1458))</f>
        <v>0</v>
      </c>
      <c r="BR1458" s="85">
        <f t="shared" ca="1" si="1700"/>
        <v>0</v>
      </c>
      <c r="BS1458" s="53">
        <f ca="1">IFERROR((_xlfn.XLOOKUP(F1458,Apuração!A:A,Apuração!C:C)+1)/_xlfn.XLOOKUP(F1458,Apuração!A:A,Apuração!B:B),0)</f>
        <v>0.14285714285714285</v>
      </c>
    </row>
    <row r="1459" spans="1:71" ht="25.95" hidden="1" customHeight="1" x14ac:dyDescent="0.3">
      <c r="A1459" s="44" t="s">
        <v>175</v>
      </c>
      <c r="B1459" s="4" t="s">
        <v>197</v>
      </c>
      <c r="C1459" s="5" t="s">
        <v>209</v>
      </c>
      <c r="D1459" s="5" t="s">
        <v>213</v>
      </c>
      <c r="E1459" s="4" t="s">
        <v>96</v>
      </c>
      <c r="F1459" s="4" t="str" cm="1">
        <f t="array" ref="F1459">_xlfn.IFS(
AG1459 &lt;&gt; "", "Jan-Dez/26",
AH1459 &lt;&gt; "", "Fev-Dez/26",
AI1459 &lt;&gt; "", "Mar-Dez/26", AJ1459 &lt;&gt; "", "Abr-Dez/26",
TRUE, "A partir de Junho"
)</f>
        <v>A partir de Junho</v>
      </c>
      <c r="G1459" s="4" t="s">
        <v>62</v>
      </c>
      <c r="H1459" s="7" t="s">
        <v>38</v>
      </c>
      <c r="I1459" s="21" t="s">
        <v>182</v>
      </c>
      <c r="J1459" s="8" t="str" cm="1">
        <f t="array" aca="1" ref="J1459" ca="1">_xlfn.LET(
  _xlpm.actual_value_month, INDEX(T1459:AE1459, MATCH(DATE(YEAR(TODAY()), MONTH(TODAY()), 1), $T$1:$AE$1, 0)),
  IF(_xlpm.actual_value_month &lt;&gt; "", _xlpm.actual_value_month &amp; " ações mensais", "")
)</f>
        <v/>
      </c>
      <c r="K1459" s="8" t="str" cm="1">
        <f t="array" ref="K1459">_xlfn.LET(
    _xlpm.sum_month, SUM(T1459:AE1459),
    IF(_xlpm.sum_month = 0, "", _xlpm.sum_month &amp; " taxa de aprovados")
)</f>
        <v/>
      </c>
      <c r="L1459" s="4" t="s">
        <v>183</v>
      </c>
      <c r="M1459" s="13">
        <v>1</v>
      </c>
      <c r="N1459" s="5" t="s">
        <v>51</v>
      </c>
      <c r="O1459" s="5" t="s">
        <v>43</v>
      </c>
      <c r="P1459" s="10" t="s">
        <v>44</v>
      </c>
      <c r="Q1459" s="10" t="s">
        <v>44</v>
      </c>
      <c r="R1459" s="11" t="s">
        <v>44</v>
      </c>
      <c r="S1459" s="11" t="s">
        <v>44</v>
      </c>
      <c r="T1459" s="22"/>
      <c r="U1459" s="22"/>
      <c r="V1459" s="22"/>
      <c r="W1459" s="22"/>
      <c r="X1459" s="22"/>
      <c r="Y1459" s="22"/>
      <c r="Z1459" s="22"/>
      <c r="AA1459" s="22"/>
      <c r="AB1459" s="22"/>
      <c r="AC1459" s="22"/>
      <c r="AD1459" s="22"/>
      <c r="AE1459" s="22"/>
      <c r="AG1459" s="71"/>
      <c r="AH1459" s="71"/>
      <c r="AI1459" s="71"/>
      <c r="AJ1459" s="71"/>
      <c r="AK1459" s="71"/>
      <c r="AL1459" s="71"/>
      <c r="AM1459" s="71"/>
      <c r="AN1459" s="71"/>
      <c r="AO1459" s="71"/>
      <c r="AP1459" s="71"/>
      <c r="AQ1459" s="71"/>
      <c r="AR1459" s="71"/>
      <c r="AS1459" s="94" t="str" cm="1">
        <f t="array" ref="AS1459">IFERROR(INDEX(T1459:AE1459,1,MATCH(2,1/(T1459:AE1459&lt;&gt;""))),"")</f>
        <v/>
      </c>
      <c r="AT1459" s="95" t="str" cm="1">
        <f t="array" ref="AT1459">IFERROR(INDEX(AJ1459:AR1459,1,MATCH(2,1/(AJ1459:AR1459&lt;&gt;""))),"")</f>
        <v/>
      </c>
      <c r="AU1459" s="97" t="str">
        <f t="shared" si="1698"/>
        <v/>
      </c>
      <c r="AW1459" s="51" t="str">
        <f t="shared" si="1699"/>
        <v/>
      </c>
      <c r="AX1459" s="51"/>
      <c r="AY1459" s="51"/>
      <c r="AZ1459" s="51"/>
      <c r="BA1459" s="51"/>
      <c r="BB1459" s="51"/>
      <c r="BC1459" s="51"/>
      <c r="BD1459" s="51"/>
      <c r="BE1459" s="51"/>
      <c r="BF1459" s="51"/>
      <c r="BG1459" s="51"/>
      <c r="BH1459" s="51"/>
      <c r="BI1459" s="65" t="str" cm="1">
        <f t="array" ref="BI1459">IFERROR(INDEX(AW1459:BH1459,1,MATCH(2,1/(AW1459:BH1459&lt;&gt;""))),"")</f>
        <v/>
      </c>
      <c r="BJ1459" s="68" t="str" cm="1">
        <f t="array" ref="BJ1459">IF(BM1459 = "", "",IFERROR(INDEX(AW1459:BH1459,1,MATCH(2,1/(AW1459:BH1459&lt;&gt;""),1)-1),""))</f>
        <v/>
      </c>
      <c r="BK1459" s="58" t="str" cm="1">
        <f t="array" ref="BK1459">IFERROR(INDEX(AW1459:BH1459,1,MATCH(2,1/(AW1459:BH1459&lt;&gt;""))),"")</f>
        <v/>
      </c>
      <c r="BL1459" s="58" t="str" cm="1">
        <f t="array" ref="BL1459">IFERROR(INDEX(AW1459:BH1459,1,MATCH(2,1/(AW1459:BH1459&lt;&gt;""),1)-1),"")</f>
        <v/>
      </c>
      <c r="BM1459" s="55" t="str" cm="1">
        <f t="array" ref="BM1459">IFERROR(
   INDEX($AW$1:$BH$1,
      _xlfn.AGGREGATE(14, 6, COLUMN($AW$1:$BH$1)/(AW1459:BH1459&lt;&gt;""), 2) - COLUMN($AW$1) + 1
   ),
"")</f>
        <v/>
      </c>
      <c r="BN1459" s="55" t="str" cm="1">
        <f t="array" ref="BN1459">IFERROR(INDEX($AW$1:$BH$1,1,MATCH(2,1/(AW1459:BH1459&lt;&gt;""))),"")</f>
        <v/>
      </c>
      <c r="BO1459" s="53">
        <f ca="1">IFERROR(_xlfn.XLOOKUP(F1459,Apuração!A:A,Apuração!C:C)/_xlfn.XLOOKUP(F1459,Apuração!A:A,Apuração!B:B),0)</f>
        <v>0</v>
      </c>
      <c r="BP1459" s="53">
        <f ca="1">IFERROR(_xlfn.XLOOKUP(F1459,Apuração!A:A,Apuração!D:D)/_xlfn.XLOOKUP(F1459,Apuração!A:A,Apuração!B:B),0)</f>
        <v>0</v>
      </c>
      <c r="BQ1459" s="53">
        <f ca="1">IF(BK1459&gt;=BO1459,0,_xlfn.XLOOKUP(F1459,Apuração!A:A,Apuração!B:B)*(BO1459 + (1/_xlfn.XLOOKUP(F1459,Apuração!A:A,Apuração!B:B)) - BK1459))</f>
        <v>0</v>
      </c>
      <c r="BR1459" s="85">
        <f t="shared" ca="1" si="1700"/>
        <v>0</v>
      </c>
      <c r="BS1459" s="53">
        <f ca="1">IFERROR((_xlfn.XLOOKUP(F1459,Apuração!A:A,Apuração!C:C)+1)/_xlfn.XLOOKUP(F1459,Apuração!A:A,Apuração!B:B),0)</f>
        <v>0.14285714285714285</v>
      </c>
    </row>
    <row r="1460" spans="1:71" ht="25.95" hidden="1" customHeight="1" x14ac:dyDescent="0.3">
      <c r="A1460" s="35" t="s">
        <v>44</v>
      </c>
      <c r="B1460" s="10" t="s">
        <v>44</v>
      </c>
      <c r="C1460" s="5" t="s">
        <v>209</v>
      </c>
      <c r="D1460" s="5" t="s">
        <v>36</v>
      </c>
      <c r="E1460" s="4" t="str" cm="1">
        <f t="array" ref="E1460">_xlfn.IFS(
F1460 = "A partir de Abril", "Aguardando Execução na Distribuidora",
A1460 = "CAPACITAÇÃO", "Em execução no Corporativo",
TRUE, "Em Execução na Distribuidora"
)</f>
        <v>Em Execução na Distribuidora</v>
      </c>
      <c r="F1460" s="4" t="str" cm="1">
        <f t="array" ref="F1460">_xlfn.IFS(
AG1460 &lt;&gt; "", "Jan-Dez/26",
AH1460 &lt;&gt; "", "Fev-Dez/26",
AI1460 &lt;&gt; "", "Mar-Dez/26", AJ1460 &lt;&gt; "", "Abr-Dez/26",
TRUE, "A partir de Junho"
)</f>
        <v>Jan-Dez/26</v>
      </c>
      <c r="G1460" s="10" t="s">
        <v>44</v>
      </c>
      <c r="H1460" s="36" t="s">
        <v>44</v>
      </c>
      <c r="I1460" s="37"/>
      <c r="J1460" s="37"/>
      <c r="K1460" s="37"/>
      <c r="L1460" s="37" t="s">
        <v>200</v>
      </c>
      <c r="M1460" s="37"/>
      <c r="N1460" s="5" t="s">
        <v>42</v>
      </c>
      <c r="O1460" s="5" t="s">
        <v>52</v>
      </c>
      <c r="P1460" s="10" t="s">
        <v>44</v>
      </c>
      <c r="Q1460" s="10" t="s">
        <v>44</v>
      </c>
      <c r="R1460" s="11" t="s">
        <v>44</v>
      </c>
      <c r="S1460" s="11" t="s">
        <v>44</v>
      </c>
      <c r="T1460" s="22"/>
      <c r="U1460" s="22"/>
      <c r="V1460" s="22"/>
      <c r="W1460" s="22"/>
      <c r="X1460" s="22"/>
      <c r="Y1460" s="22"/>
      <c r="Z1460" s="22"/>
      <c r="AA1460" s="22"/>
      <c r="AB1460" s="22"/>
      <c r="AC1460" s="22"/>
      <c r="AD1460" s="22"/>
      <c r="AE1460" s="22"/>
      <c r="AG1460" s="112">
        <v>0</v>
      </c>
      <c r="AH1460" s="112">
        <v>0</v>
      </c>
      <c r="AI1460" s="112">
        <v>0</v>
      </c>
      <c r="AJ1460" s="112">
        <v>0</v>
      </c>
      <c r="AK1460" s="112"/>
      <c r="AL1460" s="112"/>
      <c r="AM1460" s="112"/>
      <c r="AN1460" s="112"/>
      <c r="AO1460" s="112"/>
      <c r="AP1460" s="112"/>
      <c r="AQ1460" s="112"/>
      <c r="AR1460" s="112"/>
      <c r="AS1460" s="94"/>
      <c r="AT1460" s="95"/>
      <c r="AU1460" s="97"/>
      <c r="AW1460" s="84">
        <f>AG1460</f>
        <v>0</v>
      </c>
      <c r="AX1460" s="84">
        <f>AH1460</f>
        <v>0</v>
      </c>
      <c r="AY1460" s="84">
        <f>AI1460</f>
        <v>0</v>
      </c>
      <c r="AZ1460" s="84">
        <f>AJ1460</f>
        <v>0</v>
      </c>
      <c r="BA1460" s="84"/>
      <c r="BB1460" s="84"/>
      <c r="BC1460" s="84"/>
      <c r="BD1460" s="84"/>
      <c r="BE1460" s="84"/>
      <c r="BF1460" s="84"/>
      <c r="BG1460" s="84"/>
      <c r="BH1460" s="84"/>
      <c r="BI1460" s="68" cm="1">
        <f t="array" ref="BI1460">IFERROR(INDEX(AW1460:BH1460,1,MATCH(2,1/(AW1460:BH1460&lt;&gt;""))),"")</f>
        <v>0</v>
      </c>
      <c r="BJ1460" s="68" cm="1">
        <f t="array" ref="BJ1460">IF(BM1460 = "", "",IFERROR(INDEX(AW1460:BH1460,1,MATCH(2,1/(AW1460:BH1460&lt;&gt;""),1)-1),""))</f>
        <v>0</v>
      </c>
      <c r="BK1460" s="57" cm="1">
        <f t="array" ref="BK1460">IFERROR(INDEX(AW1460:BH1460,1,MATCH(2,1/(AW1460:BH1460&lt;&gt;""),1)),"")</f>
        <v>0</v>
      </c>
      <c r="BL1460" s="57" cm="1">
        <f t="array" ref="BL1460">IF(BM1460 = "", "",IFERROR(INDEX(AW1460:BH1460,1,MATCH(2,1/(AW1460:BH1460&lt;&gt;""),1)-1),""))</f>
        <v>0</v>
      </c>
      <c r="BM1460" s="55" cm="1">
        <f t="array" ref="BM1460">IFERROR(
   INDEX($AW$1:$BH$1,
      _xlfn.AGGREGATE(14, 6, COLUMN($AW$1:$BH$1)/(AW1460:BH1460&lt;&gt;""), 2) - COLUMN($AW$1) + 1
   ),
"")</f>
        <v>46082</v>
      </c>
      <c r="BN1460" s="55" cm="1">
        <f t="array" ref="BN1460">IFERROR(INDEX($AW$1:$BH$1,1,MATCH(2,1/(AW1460:BH1460&lt;&gt;""))),"")</f>
        <v>46113</v>
      </c>
      <c r="BO1460" s="53">
        <f ca="1">IFERROR(_xlfn.XLOOKUP(F1460,Apuração!A:A,Apuração!C:C)/_xlfn.XLOOKUP(F1460,Apuração!A:A,Apuração!B:B),0)</f>
        <v>0.41666666666666669</v>
      </c>
      <c r="BP1460" s="53">
        <f ca="1">IFERROR(_xlfn.XLOOKUP(F1460,Apuração!A:A,Apuração!D:D)/_xlfn.XLOOKUP(F1460,Apuração!A:A,Apuração!B:B),0)</f>
        <v>0.33333333333333331</v>
      </c>
      <c r="BQ1460" s="53">
        <f ca="1">IF(BK1460&gt;=BO1460,0,_xlfn.XLOOKUP(F1460,Apuração!A:A,Apuração!B:B)*(BO1460 + (1/_xlfn.XLOOKUP(F1460,Apuração!A:A,Apuração!B:B)) - BK1460))</f>
        <v>6</v>
      </c>
      <c r="BR1460" s="85">
        <f ca="1">IF(BQ1460=0,0,BQ1460*Z1460)</f>
        <v>0</v>
      </c>
      <c r="BS1460" s="53">
        <f ca="1">IFERROR((_xlfn.XLOOKUP(F1460,Apuração!A:A,Apuração!C:C)+1)/_xlfn.XLOOKUP(F1460,Apuração!A:A,Apuração!B:B),0)</f>
        <v>0.5</v>
      </c>
    </row>
    <row r="1461" spans="1:71" ht="25.95" hidden="1" customHeight="1" x14ac:dyDescent="0.3">
      <c r="A1461" s="35" t="s">
        <v>44</v>
      </c>
      <c r="B1461" s="10" t="s">
        <v>44</v>
      </c>
      <c r="C1461" s="5" t="s">
        <v>209</v>
      </c>
      <c r="D1461" s="5" t="s">
        <v>210</v>
      </c>
      <c r="E1461" s="4" t="str" cm="1">
        <f t="array" ref="E1461">_xlfn.IFS(
F1461 = "A partir de Abril", "Aguardando Execução na Distribuidora",
A1461 = "CAPACITAÇÃO", "Em execução no Corporativo",
TRUE, "Em Execução na Distribuidora"
)</f>
        <v>Em Execução na Distribuidora</v>
      </c>
      <c r="F1461" s="4" t="str" cm="1">
        <f t="array" ref="F1461">_xlfn.IFS(
AG1461 &lt;&gt; "", "Jan-Dez/26",
AH1461 &lt;&gt; "", "Fev-Dez/26",
AI1461 &lt;&gt; "", "Mar-Dez/26", AJ1461 &lt;&gt; "", "Abr-Dez/26",
TRUE, "A partir de Junho"
)</f>
        <v>A partir de Junho</v>
      </c>
      <c r="G1461" s="10" t="s">
        <v>44</v>
      </c>
      <c r="H1461" s="36" t="s">
        <v>44</v>
      </c>
      <c r="I1461" s="37"/>
      <c r="J1461" s="37"/>
      <c r="K1461" s="37"/>
      <c r="L1461" s="37" t="s">
        <v>200</v>
      </c>
      <c r="M1461" s="37"/>
      <c r="N1461" s="5" t="s">
        <v>42</v>
      </c>
      <c r="O1461" s="5" t="s">
        <v>52</v>
      </c>
      <c r="P1461" s="10" t="s">
        <v>44</v>
      </c>
      <c r="Q1461" s="10" t="s">
        <v>44</v>
      </c>
      <c r="R1461" s="11" t="s">
        <v>44</v>
      </c>
      <c r="S1461" s="11" t="s">
        <v>44</v>
      </c>
      <c r="T1461" s="22"/>
      <c r="U1461" s="22"/>
      <c r="V1461" s="22"/>
      <c r="W1461" s="22"/>
      <c r="X1461" s="22"/>
      <c r="Y1461" s="22"/>
      <c r="Z1461" s="22"/>
      <c r="AA1461" s="22"/>
      <c r="AB1461" s="22"/>
      <c r="AC1461" s="22"/>
      <c r="AD1461" s="22"/>
      <c r="AE1461" s="22"/>
      <c r="AG1461" s="112"/>
      <c r="AH1461" s="112"/>
      <c r="AI1461" s="112"/>
      <c r="AJ1461" s="71"/>
      <c r="AK1461" s="71"/>
      <c r="AL1461" s="71"/>
      <c r="AM1461" s="71"/>
      <c r="AN1461" s="71"/>
      <c r="AO1461" s="71"/>
      <c r="AP1461" s="71"/>
      <c r="AQ1461" s="71"/>
      <c r="AR1461" s="71"/>
      <c r="AS1461" s="94"/>
      <c r="AT1461" s="95"/>
      <c r="AU1461" s="97"/>
      <c r="AW1461" s="84">
        <f t="shared" ref="AW1461:AW1465" si="1701">AG1461</f>
        <v>0</v>
      </c>
      <c r="AX1461" s="84">
        <f t="shared" ref="AX1461:AX1465" si="1702">AH1461</f>
        <v>0</v>
      </c>
      <c r="AY1461" s="84">
        <f t="shared" ref="AY1461:AY1465" si="1703">AI1461</f>
        <v>0</v>
      </c>
      <c r="AZ1461" s="84"/>
      <c r="BA1461" s="84"/>
      <c r="BB1461" s="84"/>
      <c r="BC1461" s="84"/>
      <c r="BD1461" s="84"/>
      <c r="BE1461" s="84"/>
      <c r="BF1461" s="84"/>
      <c r="BG1461" s="84"/>
      <c r="BH1461" s="84"/>
      <c r="BI1461" s="68" cm="1">
        <f t="array" ref="BI1461">IFERROR(INDEX(AW1461:BH1461,1,MATCH(2,1/(AW1461:BH1461&lt;&gt;""))),"")</f>
        <v>0</v>
      </c>
      <c r="BJ1461" s="68" cm="1">
        <f t="array" ref="BJ1461">IF(BM1461 = "", "",IFERROR(INDEX(AW1461:BH1461,1,MATCH(2,1/(AW1461:BH1461&lt;&gt;""),1)-1),""))</f>
        <v>0</v>
      </c>
      <c r="BK1461" s="57" cm="1">
        <f t="array" ref="BK1461">IFERROR(INDEX(AW1461:BH1461,1,MATCH(2,1/(AW1461:BH1461&lt;&gt;""),1)),"")</f>
        <v>0</v>
      </c>
      <c r="BL1461" s="57" cm="1">
        <f t="array" ref="BL1461">IF(BM1461 = "", "",IFERROR(INDEX(AW1461:BH1461,1,MATCH(2,1/(AW1461:BH1461&lt;&gt;""),1)-1),""))</f>
        <v>0</v>
      </c>
      <c r="BM1461" s="55" cm="1">
        <f t="array" ref="BM1461">IFERROR(
   INDEX($AW$1:$BH$1,
      _xlfn.AGGREGATE(14, 6, COLUMN($AW$1:$BH$1)/(AW1461:BH1461&lt;&gt;""), 2) - COLUMN($AW$1) + 1
   ),
"")</f>
        <v>46054</v>
      </c>
      <c r="BN1461" s="55" cm="1">
        <f t="array" ref="BN1461">IFERROR(INDEX($AW$1:$BH$1,1,MATCH(2,1/(AW1461:BH1461&lt;&gt;""))),"")</f>
        <v>46082</v>
      </c>
      <c r="BO1461" s="53">
        <f ca="1">IFERROR(_xlfn.XLOOKUP(F1461,Apuração!A:A,Apuração!C:C)/_xlfn.XLOOKUP(F1461,Apuração!A:A,Apuração!B:B),0)</f>
        <v>0</v>
      </c>
      <c r="BP1461" s="53">
        <f ca="1">IFERROR(_xlfn.XLOOKUP(F1461,Apuração!A:A,Apuração!D:D)/_xlfn.XLOOKUP(F1461,Apuração!A:A,Apuração!B:B),0)</f>
        <v>0</v>
      </c>
      <c r="BQ1461" s="53">
        <f ca="1">IF(BK1461&gt;=BO1461,0,_xlfn.XLOOKUP(F1461,Apuração!A:A,Apuração!B:B)*(BO1461 + (1/_xlfn.XLOOKUP(F1461,Apuração!A:A,Apuração!B:B)) - BK1461))</f>
        <v>0</v>
      </c>
      <c r="BR1461" s="85">
        <f t="shared" ref="BR1461:BR1465" ca="1" si="1704">IF(BQ1461=0,0,BQ1461*Z1461)</f>
        <v>0</v>
      </c>
      <c r="BS1461" s="53">
        <f ca="1">IFERROR((_xlfn.XLOOKUP(F1461,Apuração!A:A,Apuração!C:C)+1)/_xlfn.XLOOKUP(F1461,Apuração!A:A,Apuração!B:B),0)</f>
        <v>0.14285714285714285</v>
      </c>
    </row>
    <row r="1462" spans="1:71" ht="25.95" hidden="1" customHeight="1" x14ac:dyDescent="0.3">
      <c r="A1462" s="35" t="s">
        <v>44</v>
      </c>
      <c r="B1462" s="10" t="s">
        <v>44</v>
      </c>
      <c r="C1462" s="5" t="s">
        <v>209</v>
      </c>
      <c r="D1462" s="5" t="s">
        <v>47</v>
      </c>
      <c r="E1462" s="4" t="str" cm="1">
        <f t="array" ref="E1462">_xlfn.IFS(
F1462 = "A partir de Abril", "Aguardando Execução na Distribuidora",
A1462 = "CAPACITAÇÃO", "Em execução no Corporativo",
TRUE, "Em Execução na Distribuidora"
)</f>
        <v>Em Execução na Distribuidora</v>
      </c>
      <c r="F1462" s="4" t="str" cm="1">
        <f t="array" ref="F1462">_xlfn.IFS(
AG1462 &lt;&gt; "", "Jan-Dez/26",
AH1462 &lt;&gt; "", "Fev-Dez/26",
AI1462 &lt;&gt; "", "Mar-Dez/26", AJ1462 &lt;&gt; "", "Abr-Dez/26",
TRUE, "A partir de Junho"
)</f>
        <v>A partir de Junho</v>
      </c>
      <c r="G1462" s="10" t="s">
        <v>44</v>
      </c>
      <c r="H1462" s="36" t="s">
        <v>44</v>
      </c>
      <c r="I1462" s="37"/>
      <c r="J1462" s="37"/>
      <c r="K1462" s="37"/>
      <c r="L1462" s="37" t="s">
        <v>200</v>
      </c>
      <c r="M1462" s="37"/>
      <c r="N1462" s="5" t="s">
        <v>42</v>
      </c>
      <c r="O1462" s="5" t="s">
        <v>52</v>
      </c>
      <c r="P1462" s="10" t="s">
        <v>44</v>
      </c>
      <c r="Q1462" s="10" t="s">
        <v>44</v>
      </c>
      <c r="R1462" s="11" t="s">
        <v>44</v>
      </c>
      <c r="S1462" s="11" t="s">
        <v>44</v>
      </c>
      <c r="T1462" s="22"/>
      <c r="U1462" s="22"/>
      <c r="V1462" s="22"/>
      <c r="W1462" s="22"/>
      <c r="X1462" s="22"/>
      <c r="Y1462" s="22"/>
      <c r="Z1462" s="22"/>
      <c r="AA1462" s="22"/>
      <c r="AB1462" s="22"/>
      <c r="AC1462" s="22"/>
      <c r="AD1462" s="22"/>
      <c r="AE1462" s="22"/>
      <c r="AG1462" s="112"/>
      <c r="AH1462" s="112"/>
      <c r="AI1462" s="112"/>
      <c r="AJ1462" s="71"/>
      <c r="AK1462" s="71"/>
      <c r="AL1462" s="71"/>
      <c r="AM1462" s="71"/>
      <c r="AN1462" s="71"/>
      <c r="AO1462" s="71"/>
      <c r="AP1462" s="71"/>
      <c r="AQ1462" s="71"/>
      <c r="AR1462" s="71"/>
      <c r="AS1462" s="94"/>
      <c r="AT1462" s="95"/>
      <c r="AU1462" s="97"/>
      <c r="AW1462" s="84">
        <f t="shared" si="1701"/>
        <v>0</v>
      </c>
      <c r="AX1462" s="84">
        <f t="shared" si="1702"/>
        <v>0</v>
      </c>
      <c r="AY1462" s="84">
        <f t="shared" si="1703"/>
        <v>0</v>
      </c>
      <c r="AZ1462" s="84"/>
      <c r="BA1462" s="84"/>
      <c r="BB1462" s="84"/>
      <c r="BC1462" s="84"/>
      <c r="BD1462" s="84"/>
      <c r="BE1462" s="84"/>
      <c r="BF1462" s="84"/>
      <c r="BG1462" s="84"/>
      <c r="BH1462" s="84"/>
      <c r="BI1462" s="68" cm="1">
        <f t="array" ref="BI1462">IFERROR(INDEX(AW1462:BH1462,1,MATCH(2,1/(AW1462:BH1462&lt;&gt;""))),"")</f>
        <v>0</v>
      </c>
      <c r="BJ1462" s="68" cm="1">
        <f t="array" ref="BJ1462">IF(BM1462 = "", "",IFERROR(INDEX(AW1462:BH1462,1,MATCH(2,1/(AW1462:BH1462&lt;&gt;""),1)-1),""))</f>
        <v>0</v>
      </c>
      <c r="BK1462" s="57" cm="1">
        <f t="array" ref="BK1462">IFERROR(INDEX(AW1462:BH1462,1,MATCH(2,1/(AW1462:BH1462&lt;&gt;""),1)),"")</f>
        <v>0</v>
      </c>
      <c r="BL1462" s="57" cm="1">
        <f t="array" ref="BL1462">IF(BM1462 = "", "",IFERROR(INDEX(AW1462:BH1462,1,MATCH(2,1/(AW1462:BH1462&lt;&gt;""),1)-1),""))</f>
        <v>0</v>
      </c>
      <c r="BM1462" s="55" cm="1">
        <f t="array" ref="BM1462">IFERROR(
   INDEX($AW$1:$BH$1,
      _xlfn.AGGREGATE(14, 6, COLUMN($AW$1:$BH$1)/(AW1462:BH1462&lt;&gt;""), 2) - COLUMN($AW$1) + 1
   ),
"")</f>
        <v>46054</v>
      </c>
      <c r="BN1462" s="55" cm="1">
        <f t="array" ref="BN1462">IFERROR(INDEX($AW$1:$BH$1,1,MATCH(2,1/(AW1462:BH1462&lt;&gt;""))),"")</f>
        <v>46082</v>
      </c>
      <c r="BO1462" s="53">
        <f ca="1">IFERROR(_xlfn.XLOOKUP(F1462,Apuração!A:A,Apuração!C:C)/_xlfn.XLOOKUP(F1462,Apuração!A:A,Apuração!B:B),0)</f>
        <v>0</v>
      </c>
      <c r="BP1462" s="53">
        <f ca="1">IFERROR(_xlfn.XLOOKUP(F1462,Apuração!A:A,Apuração!D:D)/_xlfn.XLOOKUP(F1462,Apuração!A:A,Apuração!B:B),0)</f>
        <v>0</v>
      </c>
      <c r="BQ1462" s="53">
        <f ca="1">IF(BK1462&gt;=BO1462,0,_xlfn.XLOOKUP(F1462,Apuração!A:A,Apuração!B:B)*(BO1462 + (1/_xlfn.XLOOKUP(F1462,Apuração!A:A,Apuração!B:B)) - BK1462))</f>
        <v>0</v>
      </c>
      <c r="BR1462" s="85">
        <f t="shared" ca="1" si="1704"/>
        <v>0</v>
      </c>
      <c r="BS1462" s="53">
        <f ca="1">IFERROR((_xlfn.XLOOKUP(F1462,Apuração!A:A,Apuração!C:C)+1)/_xlfn.XLOOKUP(F1462,Apuração!A:A,Apuração!B:B),0)</f>
        <v>0.14285714285714285</v>
      </c>
    </row>
    <row r="1463" spans="1:71" ht="25.95" hidden="1" customHeight="1" x14ac:dyDescent="0.3">
      <c r="A1463" s="35" t="s">
        <v>44</v>
      </c>
      <c r="B1463" s="10" t="s">
        <v>44</v>
      </c>
      <c r="C1463" s="5" t="s">
        <v>209</v>
      </c>
      <c r="D1463" s="5" t="s">
        <v>211</v>
      </c>
      <c r="E1463" s="4" t="str" cm="1">
        <f t="array" ref="E1463">_xlfn.IFS(
F1463 = "A partir de Abril", "Aguardando Execução na Distribuidora",
A1463 = "CAPACITAÇÃO", "Em execução no Corporativo",
TRUE, "Em Execução na Distribuidora"
)</f>
        <v>Em Execução na Distribuidora</v>
      </c>
      <c r="F1463" s="4" t="str" cm="1">
        <f t="array" ref="F1463">_xlfn.IFS(
AG1463 &lt;&gt; "", "Jan-Dez/26",
AH1463 &lt;&gt; "", "Fev-Dez/26",
AI1463 &lt;&gt; "", "Mar-Dez/26", AJ1463 &lt;&gt; "", "Abr-Dez/26",
TRUE, "A partir de Junho"
)</f>
        <v>A partir de Junho</v>
      </c>
      <c r="G1463" s="10" t="s">
        <v>44</v>
      </c>
      <c r="H1463" s="36" t="s">
        <v>44</v>
      </c>
      <c r="I1463" s="37"/>
      <c r="J1463" s="37"/>
      <c r="K1463" s="37"/>
      <c r="L1463" s="37" t="s">
        <v>200</v>
      </c>
      <c r="M1463" s="37"/>
      <c r="N1463" s="5" t="s">
        <v>42</v>
      </c>
      <c r="O1463" s="5" t="s">
        <v>52</v>
      </c>
      <c r="P1463" s="10" t="s">
        <v>44</v>
      </c>
      <c r="Q1463" s="10" t="s">
        <v>44</v>
      </c>
      <c r="R1463" s="11" t="s">
        <v>44</v>
      </c>
      <c r="S1463" s="11" t="s">
        <v>44</v>
      </c>
      <c r="T1463" s="22"/>
      <c r="U1463" s="22"/>
      <c r="V1463" s="22"/>
      <c r="W1463" s="22"/>
      <c r="X1463" s="22"/>
      <c r="Y1463" s="22"/>
      <c r="Z1463" s="22"/>
      <c r="AA1463" s="22"/>
      <c r="AB1463" s="22"/>
      <c r="AC1463" s="22"/>
      <c r="AD1463" s="22"/>
      <c r="AE1463" s="22"/>
      <c r="AG1463" s="112"/>
      <c r="AH1463" s="112"/>
      <c r="AI1463" s="112"/>
      <c r="AJ1463" s="71"/>
      <c r="AK1463" s="71"/>
      <c r="AL1463" s="71"/>
      <c r="AM1463" s="71"/>
      <c r="AN1463" s="71"/>
      <c r="AO1463" s="71"/>
      <c r="AP1463" s="71"/>
      <c r="AQ1463" s="71"/>
      <c r="AR1463" s="71"/>
      <c r="AS1463" s="94"/>
      <c r="AT1463" s="95"/>
      <c r="AU1463" s="97"/>
      <c r="AW1463" s="84">
        <f t="shared" si="1701"/>
        <v>0</v>
      </c>
      <c r="AX1463" s="84">
        <f t="shared" si="1702"/>
        <v>0</v>
      </c>
      <c r="AY1463" s="84">
        <f t="shared" si="1703"/>
        <v>0</v>
      </c>
      <c r="AZ1463" s="84"/>
      <c r="BA1463" s="84"/>
      <c r="BB1463" s="84"/>
      <c r="BC1463" s="84"/>
      <c r="BD1463" s="84"/>
      <c r="BE1463" s="84"/>
      <c r="BF1463" s="84"/>
      <c r="BG1463" s="84"/>
      <c r="BH1463" s="84"/>
      <c r="BI1463" s="68" cm="1">
        <f t="array" ref="BI1463">IFERROR(INDEX(AW1463:BH1463,1,MATCH(2,1/(AW1463:BH1463&lt;&gt;""))),"")</f>
        <v>0</v>
      </c>
      <c r="BJ1463" s="68" cm="1">
        <f t="array" ref="BJ1463">IF(BM1463 = "", "",IFERROR(INDEX(AW1463:BH1463,1,MATCH(2,1/(AW1463:BH1463&lt;&gt;""),1)-1),""))</f>
        <v>0</v>
      </c>
      <c r="BK1463" s="57" cm="1">
        <f t="array" ref="BK1463">IFERROR(INDEX(AW1463:BH1463,1,MATCH(2,1/(AW1463:BH1463&lt;&gt;""),1)),"")</f>
        <v>0</v>
      </c>
      <c r="BL1463" s="57" cm="1">
        <f t="array" ref="BL1463">IF(BM1463 = "", "",IFERROR(INDEX(AW1463:BH1463,1,MATCH(2,1/(AW1463:BH1463&lt;&gt;""),1)-1),""))</f>
        <v>0</v>
      </c>
      <c r="BM1463" s="55" cm="1">
        <f t="array" ref="BM1463">IFERROR(
   INDEX($AW$1:$BH$1,
      _xlfn.AGGREGATE(14, 6, COLUMN($AW$1:$BH$1)/(AW1463:BH1463&lt;&gt;""), 2) - COLUMN($AW$1) + 1
   ),
"")</f>
        <v>46054</v>
      </c>
      <c r="BN1463" s="55" cm="1">
        <f t="array" ref="BN1463">IFERROR(INDEX($AW$1:$BH$1,1,MATCH(2,1/(AW1463:BH1463&lt;&gt;""))),"")</f>
        <v>46082</v>
      </c>
      <c r="BO1463" s="53">
        <f ca="1">IFERROR(_xlfn.XLOOKUP(F1463,Apuração!A:A,Apuração!C:C)/_xlfn.XLOOKUP(F1463,Apuração!A:A,Apuração!B:B),0)</f>
        <v>0</v>
      </c>
      <c r="BP1463" s="53">
        <f ca="1">IFERROR(_xlfn.XLOOKUP(F1463,Apuração!A:A,Apuração!D:D)/_xlfn.XLOOKUP(F1463,Apuração!A:A,Apuração!B:B),0)</f>
        <v>0</v>
      </c>
      <c r="BQ1463" s="53">
        <f ca="1">IF(BK1463&gt;=BO1463,0,_xlfn.XLOOKUP(F1463,Apuração!A:A,Apuração!B:B)*(BO1463 + (1/_xlfn.XLOOKUP(F1463,Apuração!A:A,Apuração!B:B)) - BK1463))</f>
        <v>0</v>
      </c>
      <c r="BR1463" s="85">
        <f t="shared" ca="1" si="1704"/>
        <v>0</v>
      </c>
      <c r="BS1463" s="53">
        <f ca="1">IFERROR((_xlfn.XLOOKUP(F1463,Apuração!A:A,Apuração!C:C)+1)/_xlfn.XLOOKUP(F1463,Apuração!A:A,Apuração!B:B),0)</f>
        <v>0.14285714285714285</v>
      </c>
    </row>
    <row r="1464" spans="1:71" ht="25.95" hidden="1" customHeight="1" x14ac:dyDescent="0.3">
      <c r="A1464" s="35" t="s">
        <v>44</v>
      </c>
      <c r="B1464" s="10" t="s">
        <v>44</v>
      </c>
      <c r="C1464" s="5" t="s">
        <v>209</v>
      </c>
      <c r="D1464" s="5" t="s">
        <v>212</v>
      </c>
      <c r="E1464" s="4" t="str" cm="1">
        <f t="array" ref="E1464">_xlfn.IFS(
F1464 = "A partir de Abril", "Aguardando Execução na Distribuidora",
A1464 = "CAPACITAÇÃO", "Em execução no Corporativo",
TRUE, "Em Execução na Distribuidora"
)</f>
        <v>Em Execução na Distribuidora</v>
      </c>
      <c r="F1464" s="4" t="str" cm="1">
        <f t="array" ref="F1464">_xlfn.IFS(
AG1464 &lt;&gt; "", "Jan-Dez/26",
AH1464 &lt;&gt; "", "Fev-Dez/26",
AI1464 &lt;&gt; "", "Mar-Dez/26", AJ1464 &lt;&gt; "", "Abr-Dez/26",
TRUE, "A partir de Junho"
)</f>
        <v>A partir de Junho</v>
      </c>
      <c r="G1464" s="10" t="s">
        <v>44</v>
      </c>
      <c r="H1464" s="36" t="s">
        <v>44</v>
      </c>
      <c r="I1464" s="37"/>
      <c r="J1464" s="37"/>
      <c r="K1464" s="37"/>
      <c r="L1464" s="37" t="s">
        <v>200</v>
      </c>
      <c r="M1464" s="37"/>
      <c r="N1464" s="5" t="s">
        <v>42</v>
      </c>
      <c r="O1464" s="5" t="s">
        <v>52</v>
      </c>
      <c r="P1464" s="10" t="s">
        <v>44</v>
      </c>
      <c r="Q1464" s="10" t="s">
        <v>44</v>
      </c>
      <c r="R1464" s="11" t="s">
        <v>44</v>
      </c>
      <c r="S1464" s="11" t="s">
        <v>44</v>
      </c>
      <c r="T1464" s="22"/>
      <c r="U1464" s="22"/>
      <c r="V1464" s="22"/>
      <c r="W1464" s="22"/>
      <c r="X1464" s="22"/>
      <c r="Y1464" s="22"/>
      <c r="Z1464" s="22"/>
      <c r="AA1464" s="22"/>
      <c r="AB1464" s="22"/>
      <c r="AC1464" s="22"/>
      <c r="AD1464" s="22"/>
      <c r="AE1464" s="22"/>
      <c r="AG1464" s="112"/>
      <c r="AH1464" s="112"/>
      <c r="AI1464" s="112"/>
      <c r="AJ1464" s="71"/>
      <c r="AK1464" s="71"/>
      <c r="AL1464" s="71"/>
      <c r="AM1464" s="71"/>
      <c r="AN1464" s="71"/>
      <c r="AO1464" s="71"/>
      <c r="AP1464" s="71"/>
      <c r="AQ1464" s="71"/>
      <c r="AR1464" s="71"/>
      <c r="AS1464" s="94"/>
      <c r="AT1464" s="95"/>
      <c r="AU1464" s="97"/>
      <c r="AW1464" s="84">
        <f t="shared" si="1701"/>
        <v>0</v>
      </c>
      <c r="AX1464" s="84">
        <f t="shared" si="1702"/>
        <v>0</v>
      </c>
      <c r="AY1464" s="84">
        <f t="shared" si="1703"/>
        <v>0</v>
      </c>
      <c r="AZ1464" s="84"/>
      <c r="BA1464" s="84"/>
      <c r="BB1464" s="84"/>
      <c r="BC1464" s="84"/>
      <c r="BD1464" s="84"/>
      <c r="BE1464" s="84"/>
      <c r="BF1464" s="84"/>
      <c r="BG1464" s="84"/>
      <c r="BH1464" s="84"/>
      <c r="BI1464" s="68" cm="1">
        <f t="array" ref="BI1464">IFERROR(INDEX(AW1464:BH1464,1,MATCH(2,1/(AW1464:BH1464&lt;&gt;""))),"")</f>
        <v>0</v>
      </c>
      <c r="BJ1464" s="68" cm="1">
        <f t="array" ref="BJ1464">IF(BM1464 = "", "",IFERROR(INDEX(AW1464:BH1464,1,MATCH(2,1/(AW1464:BH1464&lt;&gt;""),1)-1),""))</f>
        <v>0</v>
      </c>
      <c r="BK1464" s="57" cm="1">
        <f t="array" ref="BK1464">IFERROR(INDEX(AW1464:BH1464,1,MATCH(2,1/(AW1464:BH1464&lt;&gt;""),1)),"")</f>
        <v>0</v>
      </c>
      <c r="BL1464" s="57" cm="1">
        <f t="array" ref="BL1464">IF(BM1464 = "", "",IFERROR(INDEX(AW1464:BH1464,1,MATCH(2,1/(AW1464:BH1464&lt;&gt;""),1)-1),""))</f>
        <v>0</v>
      </c>
      <c r="BM1464" s="55" cm="1">
        <f t="array" ref="BM1464">IFERROR(
   INDEX($AW$1:$BH$1,
      _xlfn.AGGREGATE(14, 6, COLUMN($AW$1:$BH$1)/(AW1464:BH1464&lt;&gt;""), 2) - COLUMN($AW$1) + 1
   ),
"")</f>
        <v>46054</v>
      </c>
      <c r="BN1464" s="55" cm="1">
        <f t="array" ref="BN1464">IFERROR(INDEX($AW$1:$BH$1,1,MATCH(2,1/(AW1464:BH1464&lt;&gt;""))),"")</f>
        <v>46082</v>
      </c>
      <c r="BO1464" s="53">
        <f ca="1">IFERROR(_xlfn.XLOOKUP(F1464,Apuração!A:A,Apuração!C:C)/_xlfn.XLOOKUP(F1464,Apuração!A:A,Apuração!B:B),0)</f>
        <v>0</v>
      </c>
      <c r="BP1464" s="53">
        <f ca="1">IFERROR(_xlfn.XLOOKUP(F1464,Apuração!A:A,Apuração!D:D)/_xlfn.XLOOKUP(F1464,Apuração!A:A,Apuração!B:B),0)</f>
        <v>0</v>
      </c>
      <c r="BQ1464" s="53">
        <f ca="1">IF(BK1464&gt;=BO1464,0,_xlfn.XLOOKUP(F1464,Apuração!A:A,Apuração!B:B)*(BO1464 + (1/_xlfn.XLOOKUP(F1464,Apuração!A:A,Apuração!B:B)) - BK1464))</f>
        <v>0</v>
      </c>
      <c r="BR1464" s="85">
        <f t="shared" ca="1" si="1704"/>
        <v>0</v>
      </c>
      <c r="BS1464" s="53">
        <f ca="1">IFERROR((_xlfn.XLOOKUP(F1464,Apuração!A:A,Apuração!C:C)+1)/_xlfn.XLOOKUP(F1464,Apuração!A:A,Apuração!B:B),0)</f>
        <v>0.14285714285714285</v>
      </c>
    </row>
    <row r="1465" spans="1:71" ht="25.95" hidden="1" customHeight="1" x14ac:dyDescent="0.3">
      <c r="A1465" s="35" t="s">
        <v>44</v>
      </c>
      <c r="B1465" s="10" t="s">
        <v>44</v>
      </c>
      <c r="C1465" s="5" t="s">
        <v>209</v>
      </c>
      <c r="D1465" s="5" t="s">
        <v>213</v>
      </c>
      <c r="E1465" s="4" t="str" cm="1">
        <f t="array" ref="E1465">_xlfn.IFS(
F1465 = "A partir de Abril", "Aguardando Execução na Distribuidora",
A1465 = "CAPACITAÇÃO", "Em execução no Corporativo",
TRUE, "Em Execução na Distribuidora"
)</f>
        <v>Em Execução na Distribuidora</v>
      </c>
      <c r="F1465" s="4" t="str" cm="1">
        <f t="array" ref="F1465">_xlfn.IFS(
AG1465 &lt;&gt; "", "Jan-Dez/26",
AH1465 &lt;&gt; "", "Fev-Dez/26",
AI1465 &lt;&gt; "", "Mar-Dez/26", AJ1465 &lt;&gt; "", "Abr-Dez/26",
TRUE, "A partir de Junho"
)</f>
        <v>A partir de Junho</v>
      </c>
      <c r="G1465" s="10" t="s">
        <v>44</v>
      </c>
      <c r="H1465" s="36" t="s">
        <v>44</v>
      </c>
      <c r="I1465" s="37"/>
      <c r="J1465" s="37"/>
      <c r="K1465" s="37"/>
      <c r="L1465" s="37" t="s">
        <v>200</v>
      </c>
      <c r="M1465" s="37"/>
      <c r="N1465" s="5" t="s">
        <v>42</v>
      </c>
      <c r="O1465" s="5" t="s">
        <v>52</v>
      </c>
      <c r="P1465" s="10" t="s">
        <v>44</v>
      </c>
      <c r="Q1465" s="10" t="s">
        <v>44</v>
      </c>
      <c r="R1465" s="11" t="s">
        <v>44</v>
      </c>
      <c r="S1465" s="11" t="s">
        <v>44</v>
      </c>
      <c r="T1465" s="22"/>
      <c r="U1465" s="22"/>
      <c r="V1465" s="22"/>
      <c r="W1465" s="22"/>
      <c r="X1465" s="22"/>
      <c r="Y1465" s="22"/>
      <c r="Z1465" s="22"/>
      <c r="AA1465" s="22"/>
      <c r="AB1465" s="22"/>
      <c r="AC1465" s="22"/>
      <c r="AD1465" s="22"/>
      <c r="AE1465" s="22"/>
      <c r="AG1465" s="112"/>
      <c r="AH1465" s="112"/>
      <c r="AI1465" s="112"/>
      <c r="AJ1465" s="71"/>
      <c r="AK1465" s="71"/>
      <c r="AL1465" s="71"/>
      <c r="AM1465" s="71"/>
      <c r="AN1465" s="71"/>
      <c r="AO1465" s="71"/>
      <c r="AP1465" s="71"/>
      <c r="AQ1465" s="71"/>
      <c r="AR1465" s="71"/>
      <c r="AS1465" s="94"/>
      <c r="AT1465" s="95"/>
      <c r="AU1465" s="97"/>
      <c r="AW1465" s="84">
        <f t="shared" si="1701"/>
        <v>0</v>
      </c>
      <c r="AX1465" s="84">
        <f t="shared" si="1702"/>
        <v>0</v>
      </c>
      <c r="AY1465" s="84">
        <f t="shared" si="1703"/>
        <v>0</v>
      </c>
      <c r="AZ1465" s="84"/>
      <c r="BA1465" s="84"/>
      <c r="BB1465" s="84"/>
      <c r="BC1465" s="84"/>
      <c r="BD1465" s="84"/>
      <c r="BE1465" s="84"/>
      <c r="BF1465" s="84"/>
      <c r="BG1465" s="84"/>
      <c r="BH1465" s="84"/>
      <c r="BI1465" s="68" cm="1">
        <f t="array" ref="BI1465">IFERROR(INDEX(AW1465:BH1465,1,MATCH(2,1/(AW1465:BH1465&lt;&gt;""))),"")</f>
        <v>0</v>
      </c>
      <c r="BJ1465" s="68" cm="1">
        <f t="array" ref="BJ1465">IF(BM1465 = "", "",IFERROR(INDEX(AW1465:BH1465,1,MATCH(2,1/(AW1465:BH1465&lt;&gt;""),1)-1),""))</f>
        <v>0</v>
      </c>
      <c r="BK1465" s="57" cm="1">
        <f t="array" ref="BK1465">IFERROR(INDEX(AW1465:BH1465,1,MATCH(2,1/(AW1465:BH1465&lt;&gt;""),1)),"")</f>
        <v>0</v>
      </c>
      <c r="BL1465" s="57" cm="1">
        <f t="array" ref="BL1465">IF(BM1465 = "", "",IFERROR(INDEX(AW1465:BH1465,1,MATCH(2,1/(AW1465:BH1465&lt;&gt;""),1)-1),""))</f>
        <v>0</v>
      </c>
      <c r="BM1465" s="55" cm="1">
        <f t="array" ref="BM1465">IFERROR(
   INDEX($AW$1:$BH$1,
      _xlfn.AGGREGATE(14, 6, COLUMN($AW$1:$BH$1)/(AW1465:BH1465&lt;&gt;""), 2) - COLUMN($AW$1) + 1
   ),
"")</f>
        <v>46054</v>
      </c>
      <c r="BN1465" s="55" cm="1">
        <f t="array" ref="BN1465">IFERROR(INDEX($AW$1:$BH$1,1,MATCH(2,1/(AW1465:BH1465&lt;&gt;""))),"")</f>
        <v>46082</v>
      </c>
      <c r="BO1465" s="53">
        <f ca="1">IFERROR(_xlfn.XLOOKUP(F1465,Apuração!A:A,Apuração!C:C)/_xlfn.XLOOKUP(F1465,Apuração!A:A,Apuração!B:B),0)</f>
        <v>0</v>
      </c>
      <c r="BP1465" s="53">
        <f ca="1">IFERROR(_xlfn.XLOOKUP(F1465,Apuração!A:A,Apuração!D:D)/_xlfn.XLOOKUP(F1465,Apuração!A:A,Apuração!B:B),0)</f>
        <v>0</v>
      </c>
      <c r="BQ1465" s="53">
        <f ca="1">IF(BK1465&gt;=BO1465,0,_xlfn.XLOOKUP(F1465,Apuração!A:A,Apuração!B:B)*(BO1465 + (1/_xlfn.XLOOKUP(F1465,Apuração!A:A,Apuração!B:B)) - BK1465))</f>
        <v>0</v>
      </c>
      <c r="BR1465" s="85">
        <f t="shared" ca="1" si="1704"/>
        <v>0</v>
      </c>
      <c r="BS1465" s="53">
        <f ca="1">IFERROR((_xlfn.XLOOKUP(F1465,Apuração!A:A,Apuração!C:C)+1)/_xlfn.XLOOKUP(F1465,Apuração!A:A,Apuração!B:B),0)</f>
        <v>0.14285714285714285</v>
      </c>
    </row>
    <row r="1466" spans="1:71" ht="25.95" hidden="1" customHeight="1" x14ac:dyDescent="0.3">
      <c r="A1466" s="35" t="s">
        <v>44</v>
      </c>
      <c r="B1466" s="10" t="s">
        <v>44</v>
      </c>
      <c r="C1466" s="5" t="s">
        <v>209</v>
      </c>
      <c r="D1466" s="5" t="s">
        <v>36</v>
      </c>
      <c r="E1466" s="4" t="str" cm="1">
        <f t="array" ref="E1466">_xlfn.IFS(
F1466 = "A partir de Abril", "Aguardando Execução na Distribuidora",
A1466 = "CAPACITAÇÃO", "Em execução no Corporativo",
TRUE, "Em Execução na Distribuidora"
)</f>
        <v>Em Execução na Distribuidora</v>
      </c>
      <c r="F1466" s="4" t="str" cm="1">
        <f t="array" ref="F1466">_xlfn.IFS(
AG1466 &lt;&gt; "", "Jan-Dez/26",
AH1466 &lt;&gt; "", "Fev-Dez/26",
AI1466 &lt;&gt; "", "Mar-Dez/26", AJ1466 &lt;&gt; "", "Abr-Dez/26",
TRUE, "A partir de Junho"
)</f>
        <v>Jan-Dez/26</v>
      </c>
      <c r="G1466" s="10" t="s">
        <v>44</v>
      </c>
      <c r="H1466" s="36" t="s">
        <v>44</v>
      </c>
      <c r="I1466" s="37"/>
      <c r="J1466" s="37"/>
      <c r="K1466" s="37"/>
      <c r="L1466" s="37" t="s">
        <v>201</v>
      </c>
      <c r="M1466" s="37"/>
      <c r="N1466" s="5" t="s">
        <v>42</v>
      </c>
      <c r="O1466" s="5" t="s">
        <v>52</v>
      </c>
      <c r="P1466" s="10" t="s">
        <v>44</v>
      </c>
      <c r="Q1466" s="10" t="s">
        <v>44</v>
      </c>
      <c r="R1466" s="11" t="s">
        <v>44</v>
      </c>
      <c r="S1466" s="11" t="s">
        <v>44</v>
      </c>
      <c r="T1466" s="22"/>
      <c r="U1466" s="22"/>
      <c r="V1466" s="22"/>
      <c r="W1466" s="22"/>
      <c r="X1466" s="22"/>
      <c r="Y1466" s="22"/>
      <c r="Z1466" s="22"/>
      <c r="AA1466" s="22"/>
      <c r="AB1466" s="22"/>
      <c r="AC1466" s="22"/>
      <c r="AD1466" s="22"/>
      <c r="AE1466" s="22"/>
      <c r="AG1466" s="112">
        <v>0</v>
      </c>
      <c r="AH1466" s="112">
        <v>0</v>
      </c>
      <c r="AI1466" s="112">
        <v>0</v>
      </c>
      <c r="AJ1466" s="112">
        <v>0</v>
      </c>
      <c r="AK1466" s="112"/>
      <c r="AL1466" s="112"/>
      <c r="AM1466" s="112"/>
      <c r="AN1466" s="112"/>
      <c r="AO1466" s="112"/>
      <c r="AP1466" s="112"/>
      <c r="AQ1466" s="112"/>
      <c r="AR1466" s="112"/>
      <c r="AS1466" s="94"/>
      <c r="AT1466" s="95"/>
      <c r="AU1466" s="97"/>
      <c r="AW1466" s="84">
        <f>AG1466</f>
        <v>0</v>
      </c>
      <c r="AX1466" s="84">
        <f>AH1466</f>
        <v>0</v>
      </c>
      <c r="AY1466" s="84">
        <f>AI1466</f>
        <v>0</v>
      </c>
      <c r="AZ1466" s="84">
        <f>AJ1466</f>
        <v>0</v>
      </c>
      <c r="BA1466" s="84"/>
      <c r="BB1466" s="84"/>
      <c r="BC1466" s="84"/>
      <c r="BD1466" s="84"/>
      <c r="BE1466" s="84"/>
      <c r="BF1466" s="84"/>
      <c r="BG1466" s="84"/>
      <c r="BH1466" s="84"/>
      <c r="BI1466" s="68" cm="1">
        <f t="array" ref="BI1466">IFERROR(INDEX(AW1466:BH1466,1,MATCH(2,1/(AW1466:BH1466&lt;&gt;""))),"")</f>
        <v>0</v>
      </c>
      <c r="BJ1466" s="68" cm="1">
        <f t="array" ref="BJ1466">IF(BM1466 = "", "",IFERROR(INDEX(AW1466:BH1466,1,MATCH(2,1/(AW1466:BH1466&lt;&gt;""),1)-1),""))</f>
        <v>0</v>
      </c>
      <c r="BK1466" s="57" cm="1">
        <f t="array" ref="BK1466">IFERROR(INDEX(AW1466:BH1466,1,MATCH(2,1/(AW1466:BH1466&lt;&gt;""),1)),"")</f>
        <v>0</v>
      </c>
      <c r="BL1466" s="57" cm="1">
        <f t="array" ref="BL1466">IF(BM1466 = "", "",IFERROR(INDEX(AW1466:BH1466,1,MATCH(2,1/(AW1466:BH1466&lt;&gt;""),1)-1),""))</f>
        <v>0</v>
      </c>
      <c r="BM1466" s="55" cm="1">
        <f t="array" ref="BM1466">IFERROR(
   INDEX($AW$1:$BH$1,
      _xlfn.AGGREGATE(14, 6, COLUMN($AW$1:$BH$1)/(AW1466:BH1466&lt;&gt;""), 2) - COLUMN($AW$1) + 1
   ),
"")</f>
        <v>46082</v>
      </c>
      <c r="BN1466" s="55" cm="1">
        <f t="array" ref="BN1466">IFERROR(INDEX($AW$1:$BH$1,1,MATCH(2,1/(AW1466:BH1466&lt;&gt;""))),"")</f>
        <v>46113</v>
      </c>
      <c r="BO1466" s="53">
        <f ca="1">IFERROR(_xlfn.XLOOKUP(F1466,Apuração!A:A,Apuração!C:C)/_xlfn.XLOOKUP(F1466,Apuração!A:A,Apuração!B:B),0)</f>
        <v>0.41666666666666669</v>
      </c>
      <c r="BP1466" s="53">
        <f ca="1">IFERROR(_xlfn.XLOOKUP(F1466,Apuração!A:A,Apuração!D:D)/_xlfn.XLOOKUP(F1466,Apuração!A:A,Apuração!B:B),0)</f>
        <v>0.33333333333333331</v>
      </c>
      <c r="BQ1466" s="53">
        <f ca="1">IF(BK1466&gt;=BO1466,0,_xlfn.XLOOKUP(F1466,Apuração!A:A,Apuração!B:B)*(BO1466 + (1/_xlfn.XLOOKUP(F1466,Apuração!A:A,Apuração!B:B)) - BK1466))</f>
        <v>6</v>
      </c>
      <c r="BR1466" s="85">
        <f ca="1">IF(BQ1466=0,0,BQ1466*Z1466)</f>
        <v>0</v>
      </c>
      <c r="BS1466" s="53">
        <f ca="1">IFERROR((_xlfn.XLOOKUP(F1466,Apuração!A:A,Apuração!C:C)+1)/_xlfn.XLOOKUP(F1466,Apuração!A:A,Apuração!B:B),0)</f>
        <v>0.5</v>
      </c>
    </row>
    <row r="1467" spans="1:71" ht="25.95" hidden="1" customHeight="1" x14ac:dyDescent="0.3">
      <c r="A1467" s="35" t="s">
        <v>44</v>
      </c>
      <c r="B1467" s="10" t="s">
        <v>44</v>
      </c>
      <c r="C1467" s="5" t="s">
        <v>209</v>
      </c>
      <c r="D1467" s="5" t="s">
        <v>210</v>
      </c>
      <c r="E1467" s="4" t="str" cm="1">
        <f t="array" ref="E1467">_xlfn.IFS(
F1467 = "A partir de Abril", "Aguardando Execução na Distribuidora",
A1467 = "CAPACITAÇÃO", "Em execução no Corporativo",
TRUE, "Em Execução na Distribuidora"
)</f>
        <v>Em Execução na Distribuidora</v>
      </c>
      <c r="F1467" s="4" t="str" cm="1">
        <f t="array" ref="F1467">_xlfn.IFS(
AG1467 &lt;&gt; "", "Jan-Dez/26",
AH1467 &lt;&gt; "", "Fev-Dez/26",
AI1467 &lt;&gt; "", "Mar-Dez/26", AJ1467 &lt;&gt; "", "Abr-Dez/26",
TRUE, "A partir de Junho"
)</f>
        <v>A partir de Junho</v>
      </c>
      <c r="G1467" s="10" t="s">
        <v>44</v>
      </c>
      <c r="H1467" s="36" t="s">
        <v>44</v>
      </c>
      <c r="I1467" s="37"/>
      <c r="J1467" s="37"/>
      <c r="K1467" s="37"/>
      <c r="L1467" s="37" t="s">
        <v>201</v>
      </c>
      <c r="M1467" s="37"/>
      <c r="N1467" s="5" t="s">
        <v>42</v>
      </c>
      <c r="O1467" s="5" t="s">
        <v>52</v>
      </c>
      <c r="P1467" s="10" t="s">
        <v>44</v>
      </c>
      <c r="Q1467" s="10" t="s">
        <v>44</v>
      </c>
      <c r="R1467" s="11" t="s">
        <v>44</v>
      </c>
      <c r="S1467" s="11" t="s">
        <v>44</v>
      </c>
      <c r="T1467" s="22"/>
      <c r="U1467" s="22"/>
      <c r="V1467" s="22"/>
      <c r="W1467" s="22"/>
      <c r="X1467" s="22"/>
      <c r="Y1467" s="22"/>
      <c r="Z1467" s="22"/>
      <c r="AA1467" s="22"/>
      <c r="AB1467" s="22"/>
      <c r="AC1467" s="22"/>
      <c r="AD1467" s="22"/>
      <c r="AE1467" s="22"/>
      <c r="AG1467" s="112"/>
      <c r="AH1467" s="112"/>
      <c r="AI1467" s="112"/>
      <c r="AJ1467" s="71"/>
      <c r="AK1467" s="71"/>
      <c r="AL1467" s="71"/>
      <c r="AM1467" s="71"/>
      <c r="AN1467" s="71"/>
      <c r="AO1467" s="71"/>
      <c r="AP1467" s="71"/>
      <c r="AQ1467" s="71"/>
      <c r="AR1467" s="71"/>
      <c r="AS1467" s="94"/>
      <c r="AT1467" s="95"/>
      <c r="AU1467" s="97"/>
      <c r="AW1467" s="84">
        <f t="shared" ref="AW1467:AW1471" si="1705">AG1467</f>
        <v>0</v>
      </c>
      <c r="AX1467" s="84">
        <f t="shared" ref="AX1467:AX1471" si="1706">AH1467</f>
        <v>0</v>
      </c>
      <c r="AY1467" s="84">
        <f t="shared" ref="AY1467:AY1471" si="1707">AI1467</f>
        <v>0</v>
      </c>
      <c r="AZ1467" s="84"/>
      <c r="BA1467" s="84"/>
      <c r="BB1467" s="84"/>
      <c r="BC1467" s="84"/>
      <c r="BD1467" s="84"/>
      <c r="BE1467" s="84"/>
      <c r="BF1467" s="84"/>
      <c r="BG1467" s="84"/>
      <c r="BH1467" s="84"/>
      <c r="BI1467" s="68" cm="1">
        <f t="array" ref="BI1467">IFERROR(INDEX(AW1467:BH1467,1,MATCH(2,1/(AW1467:BH1467&lt;&gt;""))),"")</f>
        <v>0</v>
      </c>
      <c r="BJ1467" s="68" cm="1">
        <f t="array" ref="BJ1467">IF(BM1467 = "", "",IFERROR(INDEX(AW1467:BH1467,1,MATCH(2,1/(AW1467:BH1467&lt;&gt;""),1)-1),""))</f>
        <v>0</v>
      </c>
      <c r="BK1467" s="57" cm="1">
        <f t="array" ref="BK1467">IFERROR(INDEX(AW1467:BH1467,1,MATCH(2,1/(AW1467:BH1467&lt;&gt;""),1)),"")</f>
        <v>0</v>
      </c>
      <c r="BL1467" s="57" cm="1">
        <f t="array" ref="BL1467">IF(BM1467 = "", "",IFERROR(INDEX(AW1467:BH1467,1,MATCH(2,1/(AW1467:BH1467&lt;&gt;""),1)-1),""))</f>
        <v>0</v>
      </c>
      <c r="BM1467" s="55" cm="1">
        <f t="array" ref="BM1467">IFERROR(
   INDEX($AW$1:$BH$1,
      _xlfn.AGGREGATE(14, 6, COLUMN($AW$1:$BH$1)/(AW1467:BH1467&lt;&gt;""), 2) - COLUMN($AW$1) + 1
   ),
"")</f>
        <v>46054</v>
      </c>
      <c r="BN1467" s="55" cm="1">
        <f t="array" ref="BN1467">IFERROR(INDEX($AW$1:$BH$1,1,MATCH(2,1/(AW1467:BH1467&lt;&gt;""))),"")</f>
        <v>46082</v>
      </c>
      <c r="BO1467" s="53">
        <f ca="1">IFERROR(_xlfn.XLOOKUP(F1467,Apuração!A:A,Apuração!C:C)/_xlfn.XLOOKUP(F1467,Apuração!A:A,Apuração!B:B),0)</f>
        <v>0</v>
      </c>
      <c r="BP1467" s="53">
        <f ca="1">IFERROR(_xlfn.XLOOKUP(F1467,Apuração!A:A,Apuração!D:D)/_xlfn.XLOOKUP(F1467,Apuração!A:A,Apuração!B:B),0)</f>
        <v>0</v>
      </c>
      <c r="BQ1467" s="53">
        <f ca="1">IF(BK1467&gt;=BO1467,0,_xlfn.XLOOKUP(F1467,Apuração!A:A,Apuração!B:B)*(BO1467 + (1/_xlfn.XLOOKUP(F1467,Apuração!A:A,Apuração!B:B)) - BK1467))</f>
        <v>0</v>
      </c>
      <c r="BR1467" s="85">
        <f t="shared" ref="BR1467:BR1471" ca="1" si="1708">IF(BQ1467=0,0,BQ1467*Z1467)</f>
        <v>0</v>
      </c>
      <c r="BS1467" s="53">
        <f ca="1">IFERROR((_xlfn.XLOOKUP(F1467,Apuração!A:A,Apuração!C:C)+1)/_xlfn.XLOOKUP(F1467,Apuração!A:A,Apuração!B:B),0)</f>
        <v>0.14285714285714285</v>
      </c>
    </row>
    <row r="1468" spans="1:71" ht="25.95" hidden="1" customHeight="1" x14ac:dyDescent="0.3">
      <c r="A1468" s="35" t="s">
        <v>44</v>
      </c>
      <c r="B1468" s="10" t="s">
        <v>44</v>
      </c>
      <c r="C1468" s="5" t="s">
        <v>209</v>
      </c>
      <c r="D1468" s="5" t="s">
        <v>47</v>
      </c>
      <c r="E1468" s="4" t="str" cm="1">
        <f t="array" ref="E1468">_xlfn.IFS(
F1468 = "A partir de Abril", "Aguardando Execução na Distribuidora",
A1468 = "CAPACITAÇÃO", "Em execução no Corporativo",
TRUE, "Em Execução na Distribuidora"
)</f>
        <v>Em Execução na Distribuidora</v>
      </c>
      <c r="F1468" s="4" t="str" cm="1">
        <f t="array" ref="F1468">_xlfn.IFS(
AG1468 &lt;&gt; "", "Jan-Dez/26",
AH1468 &lt;&gt; "", "Fev-Dez/26",
AI1468 &lt;&gt; "", "Mar-Dez/26", AJ1468 &lt;&gt; "", "Abr-Dez/26",
TRUE, "A partir de Junho"
)</f>
        <v>A partir de Junho</v>
      </c>
      <c r="G1468" s="10" t="s">
        <v>44</v>
      </c>
      <c r="H1468" s="36" t="s">
        <v>44</v>
      </c>
      <c r="I1468" s="37"/>
      <c r="J1468" s="37"/>
      <c r="K1468" s="37"/>
      <c r="L1468" s="37" t="s">
        <v>201</v>
      </c>
      <c r="M1468" s="37"/>
      <c r="N1468" s="5" t="s">
        <v>42</v>
      </c>
      <c r="O1468" s="5" t="s">
        <v>52</v>
      </c>
      <c r="P1468" s="10" t="s">
        <v>44</v>
      </c>
      <c r="Q1468" s="10" t="s">
        <v>44</v>
      </c>
      <c r="R1468" s="11" t="s">
        <v>44</v>
      </c>
      <c r="S1468" s="11" t="s">
        <v>44</v>
      </c>
      <c r="T1468" s="22"/>
      <c r="U1468" s="22"/>
      <c r="V1468" s="22"/>
      <c r="W1468" s="22"/>
      <c r="X1468" s="22"/>
      <c r="Y1468" s="22"/>
      <c r="Z1468" s="22"/>
      <c r="AA1468" s="22"/>
      <c r="AB1468" s="22"/>
      <c r="AC1468" s="22"/>
      <c r="AD1468" s="22"/>
      <c r="AE1468" s="22"/>
      <c r="AG1468" s="112"/>
      <c r="AH1468" s="112"/>
      <c r="AI1468" s="112"/>
      <c r="AJ1468" s="71"/>
      <c r="AK1468" s="71"/>
      <c r="AL1468" s="71"/>
      <c r="AM1468" s="71"/>
      <c r="AN1468" s="71"/>
      <c r="AO1468" s="71"/>
      <c r="AP1468" s="71"/>
      <c r="AQ1468" s="71"/>
      <c r="AR1468" s="71"/>
      <c r="AS1468" s="94"/>
      <c r="AT1468" s="95"/>
      <c r="AU1468" s="97"/>
      <c r="AW1468" s="84">
        <f t="shared" si="1705"/>
        <v>0</v>
      </c>
      <c r="AX1468" s="84">
        <f t="shared" si="1706"/>
        <v>0</v>
      </c>
      <c r="AY1468" s="84">
        <f t="shared" si="1707"/>
        <v>0</v>
      </c>
      <c r="AZ1468" s="84"/>
      <c r="BA1468" s="84"/>
      <c r="BB1468" s="84"/>
      <c r="BC1468" s="84"/>
      <c r="BD1468" s="84"/>
      <c r="BE1468" s="84"/>
      <c r="BF1468" s="84"/>
      <c r="BG1468" s="84"/>
      <c r="BH1468" s="84"/>
      <c r="BI1468" s="68" cm="1">
        <f t="array" ref="BI1468">IFERROR(INDEX(AW1468:BH1468,1,MATCH(2,1/(AW1468:BH1468&lt;&gt;""))),"")</f>
        <v>0</v>
      </c>
      <c r="BJ1468" s="68" cm="1">
        <f t="array" ref="BJ1468">IF(BM1468 = "", "",IFERROR(INDEX(AW1468:BH1468,1,MATCH(2,1/(AW1468:BH1468&lt;&gt;""),1)-1),""))</f>
        <v>0</v>
      </c>
      <c r="BK1468" s="57" cm="1">
        <f t="array" ref="BK1468">IFERROR(INDEX(AW1468:BH1468,1,MATCH(2,1/(AW1468:BH1468&lt;&gt;""),1)),"")</f>
        <v>0</v>
      </c>
      <c r="BL1468" s="57" cm="1">
        <f t="array" ref="BL1468">IF(BM1468 = "", "",IFERROR(INDEX(AW1468:BH1468,1,MATCH(2,1/(AW1468:BH1468&lt;&gt;""),1)-1),""))</f>
        <v>0</v>
      </c>
      <c r="BM1468" s="55" cm="1">
        <f t="array" ref="BM1468">IFERROR(
   INDEX($AW$1:$BH$1,
      _xlfn.AGGREGATE(14, 6, COLUMN($AW$1:$BH$1)/(AW1468:BH1468&lt;&gt;""), 2) - COLUMN($AW$1) + 1
   ),
"")</f>
        <v>46054</v>
      </c>
      <c r="BN1468" s="55" cm="1">
        <f t="array" ref="BN1468">IFERROR(INDEX($AW$1:$BH$1,1,MATCH(2,1/(AW1468:BH1468&lt;&gt;""))),"")</f>
        <v>46082</v>
      </c>
      <c r="BO1468" s="53">
        <f ca="1">IFERROR(_xlfn.XLOOKUP(F1468,Apuração!A:A,Apuração!C:C)/_xlfn.XLOOKUP(F1468,Apuração!A:A,Apuração!B:B),0)</f>
        <v>0</v>
      </c>
      <c r="BP1468" s="53">
        <f ca="1">IFERROR(_xlfn.XLOOKUP(F1468,Apuração!A:A,Apuração!D:D)/_xlfn.XLOOKUP(F1468,Apuração!A:A,Apuração!B:B),0)</f>
        <v>0</v>
      </c>
      <c r="BQ1468" s="53">
        <f ca="1">IF(BK1468&gt;=BO1468,0,_xlfn.XLOOKUP(F1468,Apuração!A:A,Apuração!B:B)*(BO1468 + (1/_xlfn.XLOOKUP(F1468,Apuração!A:A,Apuração!B:B)) - BK1468))</f>
        <v>0</v>
      </c>
      <c r="BR1468" s="85">
        <f t="shared" ca="1" si="1708"/>
        <v>0</v>
      </c>
      <c r="BS1468" s="53">
        <f ca="1">IFERROR((_xlfn.XLOOKUP(F1468,Apuração!A:A,Apuração!C:C)+1)/_xlfn.XLOOKUP(F1468,Apuração!A:A,Apuração!B:B),0)</f>
        <v>0.14285714285714285</v>
      </c>
    </row>
    <row r="1469" spans="1:71" ht="25.95" hidden="1" customHeight="1" x14ac:dyDescent="0.3">
      <c r="A1469" s="35" t="s">
        <v>44</v>
      </c>
      <c r="B1469" s="10" t="s">
        <v>44</v>
      </c>
      <c r="C1469" s="5" t="s">
        <v>209</v>
      </c>
      <c r="D1469" s="5" t="s">
        <v>211</v>
      </c>
      <c r="E1469" s="4" t="str" cm="1">
        <f t="array" ref="E1469">_xlfn.IFS(
F1469 = "A partir de Abril", "Aguardando Execução na Distribuidora",
A1469 = "CAPACITAÇÃO", "Em execução no Corporativo",
TRUE, "Em Execução na Distribuidora"
)</f>
        <v>Em Execução na Distribuidora</v>
      </c>
      <c r="F1469" s="4" t="str" cm="1">
        <f t="array" ref="F1469">_xlfn.IFS(
AG1469 &lt;&gt; "", "Jan-Dez/26",
AH1469 &lt;&gt; "", "Fev-Dez/26",
AI1469 &lt;&gt; "", "Mar-Dez/26", AJ1469 &lt;&gt; "", "Abr-Dez/26",
TRUE, "A partir de Junho"
)</f>
        <v>A partir de Junho</v>
      </c>
      <c r="G1469" s="10" t="s">
        <v>44</v>
      </c>
      <c r="H1469" s="36" t="s">
        <v>44</v>
      </c>
      <c r="I1469" s="37"/>
      <c r="J1469" s="37"/>
      <c r="K1469" s="37"/>
      <c r="L1469" s="37" t="s">
        <v>201</v>
      </c>
      <c r="M1469" s="37"/>
      <c r="N1469" s="5" t="s">
        <v>42</v>
      </c>
      <c r="O1469" s="5" t="s">
        <v>52</v>
      </c>
      <c r="P1469" s="10" t="s">
        <v>44</v>
      </c>
      <c r="Q1469" s="10" t="s">
        <v>44</v>
      </c>
      <c r="R1469" s="11" t="s">
        <v>44</v>
      </c>
      <c r="S1469" s="11" t="s">
        <v>44</v>
      </c>
      <c r="T1469" s="22"/>
      <c r="U1469" s="22"/>
      <c r="V1469" s="22"/>
      <c r="W1469" s="22"/>
      <c r="X1469" s="22"/>
      <c r="Y1469" s="22"/>
      <c r="Z1469" s="22"/>
      <c r="AA1469" s="22"/>
      <c r="AB1469" s="22"/>
      <c r="AC1469" s="22"/>
      <c r="AD1469" s="22"/>
      <c r="AE1469" s="22"/>
      <c r="AG1469" s="112"/>
      <c r="AH1469" s="112"/>
      <c r="AI1469" s="112"/>
      <c r="AJ1469" s="71"/>
      <c r="AK1469" s="71"/>
      <c r="AL1469" s="71"/>
      <c r="AM1469" s="71"/>
      <c r="AN1469" s="71"/>
      <c r="AO1469" s="71"/>
      <c r="AP1469" s="71"/>
      <c r="AQ1469" s="71"/>
      <c r="AR1469" s="71"/>
      <c r="AS1469" s="94"/>
      <c r="AT1469" s="95"/>
      <c r="AU1469" s="97"/>
      <c r="AW1469" s="84">
        <f t="shared" si="1705"/>
        <v>0</v>
      </c>
      <c r="AX1469" s="84">
        <f t="shared" si="1706"/>
        <v>0</v>
      </c>
      <c r="AY1469" s="84">
        <f t="shared" si="1707"/>
        <v>0</v>
      </c>
      <c r="AZ1469" s="84"/>
      <c r="BA1469" s="84"/>
      <c r="BB1469" s="84"/>
      <c r="BC1469" s="84"/>
      <c r="BD1469" s="84"/>
      <c r="BE1469" s="84"/>
      <c r="BF1469" s="84"/>
      <c r="BG1469" s="84"/>
      <c r="BH1469" s="84"/>
      <c r="BI1469" s="68" cm="1">
        <f t="array" ref="BI1469">IFERROR(INDEX(AW1469:BH1469,1,MATCH(2,1/(AW1469:BH1469&lt;&gt;""))),"")</f>
        <v>0</v>
      </c>
      <c r="BJ1469" s="68" cm="1">
        <f t="array" ref="BJ1469">IF(BM1469 = "", "",IFERROR(INDEX(AW1469:BH1469,1,MATCH(2,1/(AW1469:BH1469&lt;&gt;""),1)-1),""))</f>
        <v>0</v>
      </c>
      <c r="BK1469" s="57" cm="1">
        <f t="array" ref="BK1469">IFERROR(INDEX(AW1469:BH1469,1,MATCH(2,1/(AW1469:BH1469&lt;&gt;""),1)),"")</f>
        <v>0</v>
      </c>
      <c r="BL1469" s="57" cm="1">
        <f t="array" ref="BL1469">IF(BM1469 = "", "",IFERROR(INDEX(AW1469:BH1469,1,MATCH(2,1/(AW1469:BH1469&lt;&gt;""),1)-1),""))</f>
        <v>0</v>
      </c>
      <c r="BM1469" s="55" cm="1">
        <f t="array" ref="BM1469">IFERROR(
   INDEX($AW$1:$BH$1,
      _xlfn.AGGREGATE(14, 6, COLUMN($AW$1:$BH$1)/(AW1469:BH1469&lt;&gt;""), 2) - COLUMN($AW$1) + 1
   ),
"")</f>
        <v>46054</v>
      </c>
      <c r="BN1469" s="55" cm="1">
        <f t="array" ref="BN1469">IFERROR(INDEX($AW$1:$BH$1,1,MATCH(2,1/(AW1469:BH1469&lt;&gt;""))),"")</f>
        <v>46082</v>
      </c>
      <c r="BO1469" s="53">
        <f ca="1">IFERROR(_xlfn.XLOOKUP(F1469,Apuração!A:A,Apuração!C:C)/_xlfn.XLOOKUP(F1469,Apuração!A:A,Apuração!B:B),0)</f>
        <v>0</v>
      </c>
      <c r="BP1469" s="53">
        <f ca="1">IFERROR(_xlfn.XLOOKUP(F1469,Apuração!A:A,Apuração!D:D)/_xlfn.XLOOKUP(F1469,Apuração!A:A,Apuração!B:B),0)</f>
        <v>0</v>
      </c>
      <c r="BQ1469" s="53">
        <f ca="1">IF(BK1469&gt;=BO1469,0,_xlfn.XLOOKUP(F1469,Apuração!A:A,Apuração!B:B)*(BO1469 + (1/_xlfn.XLOOKUP(F1469,Apuração!A:A,Apuração!B:B)) - BK1469))</f>
        <v>0</v>
      </c>
      <c r="BR1469" s="85">
        <f t="shared" ca="1" si="1708"/>
        <v>0</v>
      </c>
      <c r="BS1469" s="53">
        <f ca="1">IFERROR((_xlfn.XLOOKUP(F1469,Apuração!A:A,Apuração!C:C)+1)/_xlfn.XLOOKUP(F1469,Apuração!A:A,Apuração!B:B),0)</f>
        <v>0.14285714285714285</v>
      </c>
    </row>
    <row r="1470" spans="1:71" ht="25.95" hidden="1" customHeight="1" x14ac:dyDescent="0.3">
      <c r="A1470" s="35" t="s">
        <v>44</v>
      </c>
      <c r="B1470" s="10" t="s">
        <v>44</v>
      </c>
      <c r="C1470" s="5" t="s">
        <v>209</v>
      </c>
      <c r="D1470" s="5" t="s">
        <v>212</v>
      </c>
      <c r="E1470" s="4" t="str" cm="1">
        <f t="array" ref="E1470">_xlfn.IFS(
F1470 = "A partir de Abril", "Aguardando Execução na Distribuidora",
A1470 = "CAPACITAÇÃO", "Em execução no Corporativo",
TRUE, "Em Execução na Distribuidora"
)</f>
        <v>Em Execução na Distribuidora</v>
      </c>
      <c r="F1470" s="4" t="str" cm="1">
        <f t="array" ref="F1470">_xlfn.IFS(
AG1470 &lt;&gt; "", "Jan-Dez/26",
AH1470 &lt;&gt; "", "Fev-Dez/26",
AI1470 &lt;&gt; "", "Mar-Dez/26", AJ1470 &lt;&gt; "", "Abr-Dez/26",
TRUE, "A partir de Junho"
)</f>
        <v>A partir de Junho</v>
      </c>
      <c r="G1470" s="10" t="s">
        <v>44</v>
      </c>
      <c r="H1470" s="36" t="s">
        <v>44</v>
      </c>
      <c r="I1470" s="37"/>
      <c r="J1470" s="37"/>
      <c r="K1470" s="37"/>
      <c r="L1470" s="37" t="s">
        <v>201</v>
      </c>
      <c r="M1470" s="37"/>
      <c r="N1470" s="5" t="s">
        <v>42</v>
      </c>
      <c r="O1470" s="5" t="s">
        <v>52</v>
      </c>
      <c r="P1470" s="10" t="s">
        <v>44</v>
      </c>
      <c r="Q1470" s="10" t="s">
        <v>44</v>
      </c>
      <c r="R1470" s="11" t="s">
        <v>44</v>
      </c>
      <c r="S1470" s="11" t="s">
        <v>44</v>
      </c>
      <c r="T1470" s="22"/>
      <c r="U1470" s="22"/>
      <c r="V1470" s="22"/>
      <c r="W1470" s="22"/>
      <c r="X1470" s="22"/>
      <c r="Y1470" s="22"/>
      <c r="Z1470" s="22"/>
      <c r="AA1470" s="22"/>
      <c r="AB1470" s="22"/>
      <c r="AC1470" s="22"/>
      <c r="AD1470" s="22"/>
      <c r="AE1470" s="22"/>
      <c r="AG1470" s="112"/>
      <c r="AH1470" s="112"/>
      <c r="AI1470" s="112"/>
      <c r="AJ1470" s="71"/>
      <c r="AK1470" s="71"/>
      <c r="AL1470" s="71"/>
      <c r="AM1470" s="71"/>
      <c r="AN1470" s="71"/>
      <c r="AO1470" s="71"/>
      <c r="AP1470" s="71"/>
      <c r="AQ1470" s="71"/>
      <c r="AR1470" s="71"/>
      <c r="AS1470" s="94"/>
      <c r="AT1470" s="95"/>
      <c r="AU1470" s="97"/>
      <c r="AW1470" s="84">
        <f t="shared" si="1705"/>
        <v>0</v>
      </c>
      <c r="AX1470" s="84">
        <f t="shared" si="1706"/>
        <v>0</v>
      </c>
      <c r="AY1470" s="84">
        <f t="shared" si="1707"/>
        <v>0</v>
      </c>
      <c r="AZ1470" s="84"/>
      <c r="BA1470" s="84"/>
      <c r="BB1470" s="84"/>
      <c r="BC1470" s="84"/>
      <c r="BD1470" s="84"/>
      <c r="BE1470" s="84"/>
      <c r="BF1470" s="84"/>
      <c r="BG1470" s="84"/>
      <c r="BH1470" s="84"/>
      <c r="BI1470" s="68" cm="1">
        <f t="array" ref="BI1470">IFERROR(INDEX(AW1470:BH1470,1,MATCH(2,1/(AW1470:BH1470&lt;&gt;""))),"")</f>
        <v>0</v>
      </c>
      <c r="BJ1470" s="68" cm="1">
        <f t="array" ref="BJ1470">IF(BM1470 = "", "",IFERROR(INDEX(AW1470:BH1470,1,MATCH(2,1/(AW1470:BH1470&lt;&gt;""),1)-1),""))</f>
        <v>0</v>
      </c>
      <c r="BK1470" s="57" cm="1">
        <f t="array" ref="BK1470">IFERROR(INDEX(AW1470:BH1470,1,MATCH(2,1/(AW1470:BH1470&lt;&gt;""),1)),"")</f>
        <v>0</v>
      </c>
      <c r="BL1470" s="57" cm="1">
        <f t="array" ref="BL1470">IF(BM1470 = "", "",IFERROR(INDEX(AW1470:BH1470,1,MATCH(2,1/(AW1470:BH1470&lt;&gt;""),1)-1),""))</f>
        <v>0</v>
      </c>
      <c r="BM1470" s="55" cm="1">
        <f t="array" ref="BM1470">IFERROR(
   INDEX($AW$1:$BH$1,
      _xlfn.AGGREGATE(14, 6, COLUMN($AW$1:$BH$1)/(AW1470:BH1470&lt;&gt;""), 2) - COLUMN($AW$1) + 1
   ),
"")</f>
        <v>46054</v>
      </c>
      <c r="BN1470" s="55" cm="1">
        <f t="array" ref="BN1470">IFERROR(INDEX($AW$1:$BH$1,1,MATCH(2,1/(AW1470:BH1470&lt;&gt;""))),"")</f>
        <v>46082</v>
      </c>
      <c r="BO1470" s="53">
        <f ca="1">IFERROR(_xlfn.XLOOKUP(F1470,Apuração!A:A,Apuração!C:C)/_xlfn.XLOOKUP(F1470,Apuração!A:A,Apuração!B:B),0)</f>
        <v>0</v>
      </c>
      <c r="BP1470" s="53">
        <f ca="1">IFERROR(_xlfn.XLOOKUP(F1470,Apuração!A:A,Apuração!D:D)/_xlfn.XLOOKUP(F1470,Apuração!A:A,Apuração!B:B),0)</f>
        <v>0</v>
      </c>
      <c r="BQ1470" s="53">
        <f ca="1">IF(BK1470&gt;=BO1470,0,_xlfn.XLOOKUP(F1470,Apuração!A:A,Apuração!B:B)*(BO1470 + (1/_xlfn.XLOOKUP(F1470,Apuração!A:A,Apuração!B:B)) - BK1470))</f>
        <v>0</v>
      </c>
      <c r="BR1470" s="85">
        <f t="shared" ca="1" si="1708"/>
        <v>0</v>
      </c>
      <c r="BS1470" s="53">
        <f ca="1">IFERROR((_xlfn.XLOOKUP(F1470,Apuração!A:A,Apuração!C:C)+1)/_xlfn.XLOOKUP(F1470,Apuração!A:A,Apuração!B:B),0)</f>
        <v>0.14285714285714285</v>
      </c>
    </row>
    <row r="1471" spans="1:71" ht="25.95" hidden="1" customHeight="1" x14ac:dyDescent="0.3">
      <c r="A1471" s="35" t="s">
        <v>44</v>
      </c>
      <c r="B1471" s="10" t="s">
        <v>44</v>
      </c>
      <c r="C1471" s="5" t="s">
        <v>209</v>
      </c>
      <c r="D1471" s="5" t="s">
        <v>213</v>
      </c>
      <c r="E1471" s="4" t="str" cm="1">
        <f t="array" ref="E1471">_xlfn.IFS(
F1471 = "A partir de Abril", "Aguardando Execução na Distribuidora",
A1471 = "CAPACITAÇÃO", "Em execução no Corporativo",
TRUE, "Em Execução na Distribuidora"
)</f>
        <v>Em Execução na Distribuidora</v>
      </c>
      <c r="F1471" s="4" t="str" cm="1">
        <f t="array" ref="F1471">_xlfn.IFS(
AG1471 &lt;&gt; "", "Jan-Dez/26",
AH1471 &lt;&gt; "", "Fev-Dez/26",
AI1471 &lt;&gt; "", "Mar-Dez/26", AJ1471 &lt;&gt; "", "Abr-Dez/26",
TRUE, "A partir de Junho"
)</f>
        <v>A partir de Junho</v>
      </c>
      <c r="G1471" s="10" t="s">
        <v>44</v>
      </c>
      <c r="H1471" s="36" t="s">
        <v>44</v>
      </c>
      <c r="I1471" s="37"/>
      <c r="J1471" s="37"/>
      <c r="K1471" s="37"/>
      <c r="L1471" s="37" t="s">
        <v>201</v>
      </c>
      <c r="M1471" s="37"/>
      <c r="N1471" s="5" t="s">
        <v>42</v>
      </c>
      <c r="O1471" s="5" t="s">
        <v>52</v>
      </c>
      <c r="P1471" s="10" t="s">
        <v>44</v>
      </c>
      <c r="Q1471" s="10" t="s">
        <v>44</v>
      </c>
      <c r="R1471" s="11" t="s">
        <v>44</v>
      </c>
      <c r="S1471" s="11" t="s">
        <v>44</v>
      </c>
      <c r="T1471" s="22"/>
      <c r="U1471" s="22"/>
      <c r="V1471" s="22"/>
      <c r="W1471" s="22"/>
      <c r="X1471" s="22"/>
      <c r="Y1471" s="22"/>
      <c r="Z1471" s="22"/>
      <c r="AA1471" s="22"/>
      <c r="AB1471" s="22"/>
      <c r="AC1471" s="22"/>
      <c r="AD1471" s="22"/>
      <c r="AE1471" s="22"/>
      <c r="AG1471" s="112"/>
      <c r="AH1471" s="112"/>
      <c r="AI1471" s="112"/>
      <c r="AJ1471" s="71"/>
      <c r="AK1471" s="71"/>
      <c r="AL1471" s="71"/>
      <c r="AM1471" s="71"/>
      <c r="AN1471" s="71"/>
      <c r="AO1471" s="71"/>
      <c r="AP1471" s="71"/>
      <c r="AQ1471" s="71"/>
      <c r="AR1471" s="71"/>
      <c r="AS1471" s="94"/>
      <c r="AT1471" s="95"/>
      <c r="AU1471" s="97"/>
      <c r="AW1471" s="84">
        <f t="shared" si="1705"/>
        <v>0</v>
      </c>
      <c r="AX1471" s="84">
        <f t="shared" si="1706"/>
        <v>0</v>
      </c>
      <c r="AY1471" s="84">
        <f t="shared" si="1707"/>
        <v>0</v>
      </c>
      <c r="AZ1471" s="84"/>
      <c r="BA1471" s="84"/>
      <c r="BB1471" s="84"/>
      <c r="BC1471" s="84"/>
      <c r="BD1471" s="84"/>
      <c r="BE1471" s="84"/>
      <c r="BF1471" s="84"/>
      <c r="BG1471" s="84"/>
      <c r="BH1471" s="84"/>
      <c r="BI1471" s="68" cm="1">
        <f t="array" ref="BI1471">IFERROR(INDEX(AW1471:BH1471,1,MATCH(2,1/(AW1471:BH1471&lt;&gt;""))),"")</f>
        <v>0</v>
      </c>
      <c r="BJ1471" s="68" cm="1">
        <f t="array" ref="BJ1471">IF(BM1471 = "", "",IFERROR(INDEX(AW1471:BH1471,1,MATCH(2,1/(AW1471:BH1471&lt;&gt;""),1)-1),""))</f>
        <v>0</v>
      </c>
      <c r="BK1471" s="57" cm="1">
        <f t="array" ref="BK1471">IFERROR(INDEX(AW1471:BH1471,1,MATCH(2,1/(AW1471:BH1471&lt;&gt;""),1)),"")</f>
        <v>0</v>
      </c>
      <c r="BL1471" s="57" cm="1">
        <f t="array" ref="BL1471">IF(BM1471 = "", "",IFERROR(INDEX(AW1471:BH1471,1,MATCH(2,1/(AW1471:BH1471&lt;&gt;""),1)-1),""))</f>
        <v>0</v>
      </c>
      <c r="BM1471" s="55" cm="1">
        <f t="array" ref="BM1471">IFERROR(
   INDEX($AW$1:$BH$1,
      _xlfn.AGGREGATE(14, 6, COLUMN($AW$1:$BH$1)/(AW1471:BH1471&lt;&gt;""), 2) - COLUMN($AW$1) + 1
   ),
"")</f>
        <v>46054</v>
      </c>
      <c r="BN1471" s="55" cm="1">
        <f t="array" ref="BN1471">IFERROR(INDEX($AW$1:$BH$1,1,MATCH(2,1/(AW1471:BH1471&lt;&gt;""))),"")</f>
        <v>46082</v>
      </c>
      <c r="BO1471" s="53">
        <f ca="1">IFERROR(_xlfn.XLOOKUP(F1471,Apuração!A:A,Apuração!C:C)/_xlfn.XLOOKUP(F1471,Apuração!A:A,Apuração!B:B),0)</f>
        <v>0</v>
      </c>
      <c r="BP1471" s="53">
        <f ca="1">IFERROR(_xlfn.XLOOKUP(F1471,Apuração!A:A,Apuração!D:D)/_xlfn.XLOOKUP(F1471,Apuração!A:A,Apuração!B:B),0)</f>
        <v>0</v>
      </c>
      <c r="BQ1471" s="53">
        <f ca="1">IF(BK1471&gt;=BO1471,0,_xlfn.XLOOKUP(F1471,Apuração!A:A,Apuração!B:B)*(BO1471 + (1/_xlfn.XLOOKUP(F1471,Apuração!A:A,Apuração!B:B)) - BK1471))</f>
        <v>0</v>
      </c>
      <c r="BR1471" s="85">
        <f t="shared" ca="1" si="1708"/>
        <v>0</v>
      </c>
      <c r="BS1471" s="53">
        <f ca="1">IFERROR((_xlfn.XLOOKUP(F1471,Apuração!A:A,Apuração!C:C)+1)/_xlfn.XLOOKUP(F1471,Apuração!A:A,Apuração!B:B),0)</f>
        <v>0.14285714285714285</v>
      </c>
    </row>
    <row r="1472" spans="1:71" ht="25.95" hidden="1" customHeight="1" x14ac:dyDescent="0.3">
      <c r="A1472" s="35" t="s">
        <v>44</v>
      </c>
      <c r="B1472" s="10" t="s">
        <v>44</v>
      </c>
      <c r="C1472" s="5" t="s">
        <v>209</v>
      </c>
      <c r="D1472" s="5" t="s">
        <v>36</v>
      </c>
      <c r="E1472" s="4" t="str" cm="1">
        <f t="array" ref="E1472">_xlfn.IFS(
F1472 = "A partir de Abril", "Aguardando Execução na Distribuidora",
A1472 = "CAPACITAÇÃO", "Em execução no Corporativo",
TRUE, "Em Execução na Distribuidora"
)</f>
        <v>Em Execução na Distribuidora</v>
      </c>
      <c r="F1472" s="4" t="str" cm="1">
        <f t="array" ref="F1472">_xlfn.IFS(
AG1472 &lt;&gt; "", "Jan-Dez/26",
AH1472 &lt;&gt; "", "Fev-Dez/26",
AI1472 &lt;&gt; "", "Mar-Dez/26", AJ1472 &lt;&gt; "", "Abr-Dez/26",
TRUE, "A partir de Junho"
)</f>
        <v>Jan-Dez/26</v>
      </c>
      <c r="G1472" s="10" t="s">
        <v>44</v>
      </c>
      <c r="H1472" s="36" t="s">
        <v>44</v>
      </c>
      <c r="I1472" s="37"/>
      <c r="J1472" s="37"/>
      <c r="K1472" s="37"/>
      <c r="L1472" s="37" t="s">
        <v>203</v>
      </c>
      <c r="M1472" s="37"/>
      <c r="N1472" s="5" t="s">
        <v>42</v>
      </c>
      <c r="O1472" s="5" t="s">
        <v>52</v>
      </c>
      <c r="P1472" s="10" t="s">
        <v>44</v>
      </c>
      <c r="Q1472" s="10" t="s">
        <v>44</v>
      </c>
      <c r="R1472" s="11" t="s">
        <v>44</v>
      </c>
      <c r="S1472" s="11" t="s">
        <v>44</v>
      </c>
      <c r="T1472" s="22"/>
      <c r="U1472" s="22"/>
      <c r="V1472" s="22"/>
      <c r="W1472" s="22"/>
      <c r="X1472" s="22"/>
      <c r="Y1472" s="22"/>
      <c r="Z1472" s="22"/>
      <c r="AA1472" s="22"/>
      <c r="AB1472" s="22"/>
      <c r="AC1472" s="22"/>
      <c r="AD1472" s="22"/>
      <c r="AE1472" s="22"/>
      <c r="AG1472" s="112">
        <v>0.67349020904853218</v>
      </c>
      <c r="AH1472" s="112">
        <v>1.4075013148525406</v>
      </c>
      <c r="AI1472" s="112">
        <v>0.67986620251264307</v>
      </c>
      <c r="AJ1472" s="112">
        <v>1.74</v>
      </c>
      <c r="AK1472" s="112"/>
      <c r="AL1472" s="112"/>
      <c r="AM1472" s="112"/>
      <c r="AN1472" s="112"/>
      <c r="AO1472" s="112"/>
      <c r="AP1472" s="112"/>
      <c r="AQ1472" s="112"/>
      <c r="AR1472" s="112"/>
      <c r="AS1472" s="94"/>
      <c r="AT1472" s="95"/>
      <c r="AU1472" s="97"/>
      <c r="AW1472" s="84">
        <f>AG1472</f>
        <v>0.67349020904853218</v>
      </c>
      <c r="AX1472" s="84">
        <f>AH1472</f>
        <v>1.4075013148525406</v>
      </c>
      <c r="AY1472" s="84">
        <f>AI1472</f>
        <v>0.67986620251264307</v>
      </c>
      <c r="AZ1472" s="84">
        <f>AJ1472</f>
        <v>1.74</v>
      </c>
      <c r="BA1472" s="84"/>
      <c r="BB1472" s="84"/>
      <c r="BC1472" s="84"/>
      <c r="BD1472" s="84"/>
      <c r="BE1472" s="84"/>
      <c r="BF1472" s="84"/>
      <c r="BG1472" s="84"/>
      <c r="BH1472" s="84"/>
      <c r="BI1472" s="68" cm="1">
        <f t="array" ref="BI1472">IFERROR(INDEX(AW1472:BH1472,1,MATCH(2,1/(AW1472:BH1472&lt;&gt;""))),"")</f>
        <v>1.74</v>
      </c>
      <c r="BJ1472" s="68" cm="1">
        <f t="array" ref="BJ1472">IF(BM1472 = "", "",IFERROR(INDEX(AW1472:BH1472,1,MATCH(2,1/(AW1472:BH1472&lt;&gt;""),1)-1),""))</f>
        <v>0.67986620251264307</v>
      </c>
      <c r="BK1472" s="57" cm="1">
        <f t="array" ref="BK1472">IFERROR(INDEX(AW1472:BH1472,1,MATCH(2,1/(AW1472:BH1472&lt;&gt;""),1)),"")</f>
        <v>1.74</v>
      </c>
      <c r="BL1472" s="57" cm="1">
        <f t="array" ref="BL1472">IF(BM1472 = "", "",IFERROR(INDEX(AW1472:BH1472,1,MATCH(2,1/(AW1472:BH1472&lt;&gt;""),1)-1),""))</f>
        <v>0.67986620251264307</v>
      </c>
      <c r="BM1472" s="55" cm="1">
        <f t="array" ref="BM1472">IFERROR(
   INDEX($AW$1:$BH$1,
      _xlfn.AGGREGATE(14, 6, COLUMN($AW$1:$BH$1)/(AW1472:BH1472&lt;&gt;""), 2) - COLUMN($AW$1) + 1
   ),
"")</f>
        <v>46082</v>
      </c>
      <c r="BN1472" s="55" cm="1">
        <f t="array" ref="BN1472">IFERROR(INDEX($AW$1:$BH$1,1,MATCH(2,1/(AW1472:BH1472&lt;&gt;""))),"")</f>
        <v>46113</v>
      </c>
      <c r="BO1472" s="53">
        <f ca="1">IFERROR(_xlfn.XLOOKUP(F1472,Apuração!A:A,Apuração!C:C)/_xlfn.XLOOKUP(F1472,Apuração!A:A,Apuração!B:B),0)</f>
        <v>0.41666666666666669</v>
      </c>
      <c r="BP1472" s="53">
        <f ca="1">IFERROR(_xlfn.XLOOKUP(F1472,Apuração!A:A,Apuração!D:D)/_xlfn.XLOOKUP(F1472,Apuração!A:A,Apuração!B:B),0)</f>
        <v>0.33333333333333331</v>
      </c>
      <c r="BQ1472" s="53">
        <f ca="1">IF(BK1472&gt;=BO1472,0,_xlfn.XLOOKUP(F1472,Apuração!A:A,Apuração!B:B)*(BO1472 + (1/_xlfn.XLOOKUP(F1472,Apuração!A:A,Apuração!B:B)) - BK1472))</f>
        <v>0</v>
      </c>
      <c r="BR1472" s="85">
        <f ca="1">IF(BQ1472=0,0,BQ1472*Z1472)</f>
        <v>0</v>
      </c>
      <c r="BS1472" s="53">
        <f ca="1">IFERROR((_xlfn.XLOOKUP(F1472,Apuração!A:A,Apuração!C:C)+1)/_xlfn.XLOOKUP(F1472,Apuração!A:A,Apuração!B:B),0)</f>
        <v>0.5</v>
      </c>
    </row>
    <row r="1473" spans="1:71" ht="25.95" hidden="1" customHeight="1" x14ac:dyDescent="0.3">
      <c r="A1473" s="35" t="s">
        <v>44</v>
      </c>
      <c r="B1473" s="10" t="s">
        <v>44</v>
      </c>
      <c r="C1473" s="5" t="s">
        <v>209</v>
      </c>
      <c r="D1473" s="5" t="s">
        <v>210</v>
      </c>
      <c r="E1473" s="4" t="str" cm="1">
        <f t="array" ref="E1473">_xlfn.IFS(
F1473 = "A partir de Abril", "Aguardando Execução na Distribuidora",
A1473 = "CAPACITAÇÃO", "Em execução no Corporativo",
TRUE, "Em Execução na Distribuidora"
)</f>
        <v>Em Execução na Distribuidora</v>
      </c>
      <c r="F1473" s="4" t="str" cm="1">
        <f t="array" ref="F1473">_xlfn.IFS(
AG1473 &lt;&gt; "", "Jan-Dez/26",
AH1473 &lt;&gt; "", "Fev-Dez/26",
AI1473 &lt;&gt; "", "Mar-Dez/26", AJ1473 &lt;&gt; "", "Abr-Dez/26",
TRUE, "A partir de Junho"
)</f>
        <v>A partir de Junho</v>
      </c>
      <c r="G1473" s="10" t="s">
        <v>44</v>
      </c>
      <c r="H1473" s="36" t="s">
        <v>44</v>
      </c>
      <c r="I1473" s="37"/>
      <c r="J1473" s="37"/>
      <c r="K1473" s="37"/>
      <c r="L1473" s="37" t="s">
        <v>203</v>
      </c>
      <c r="M1473" s="37"/>
      <c r="N1473" s="5" t="s">
        <v>42</v>
      </c>
      <c r="O1473" s="5" t="s">
        <v>52</v>
      </c>
      <c r="P1473" s="10" t="s">
        <v>44</v>
      </c>
      <c r="Q1473" s="10" t="s">
        <v>44</v>
      </c>
      <c r="R1473" s="11" t="s">
        <v>44</v>
      </c>
      <c r="S1473" s="11" t="s">
        <v>44</v>
      </c>
      <c r="T1473" s="22"/>
      <c r="U1473" s="22"/>
      <c r="V1473" s="22"/>
      <c r="W1473" s="22"/>
      <c r="X1473" s="22"/>
      <c r="Y1473" s="22"/>
      <c r="Z1473" s="22"/>
      <c r="AA1473" s="22"/>
      <c r="AB1473" s="22"/>
      <c r="AC1473" s="22"/>
      <c r="AD1473" s="22"/>
      <c r="AE1473" s="22"/>
      <c r="AG1473" s="112"/>
      <c r="AH1473" s="112"/>
      <c r="AI1473" s="112"/>
      <c r="AJ1473" s="71"/>
      <c r="AK1473" s="71"/>
      <c r="AL1473" s="71"/>
      <c r="AM1473" s="71"/>
      <c r="AN1473" s="71"/>
      <c r="AO1473" s="71"/>
      <c r="AP1473" s="71"/>
      <c r="AQ1473" s="71"/>
      <c r="AR1473" s="71"/>
      <c r="AS1473" s="94"/>
      <c r="AT1473" s="95"/>
      <c r="AU1473" s="97"/>
      <c r="AW1473" s="84">
        <f t="shared" ref="AW1473:AW1477" si="1709">AG1473</f>
        <v>0</v>
      </c>
      <c r="AX1473" s="84">
        <f t="shared" ref="AX1473:AX1477" si="1710">AH1473</f>
        <v>0</v>
      </c>
      <c r="AY1473" s="84">
        <f t="shared" ref="AY1473:AY1477" si="1711">AI1473</f>
        <v>0</v>
      </c>
      <c r="AZ1473" s="84"/>
      <c r="BA1473" s="84"/>
      <c r="BB1473" s="84"/>
      <c r="BC1473" s="84"/>
      <c r="BD1473" s="84"/>
      <c r="BE1473" s="84"/>
      <c r="BF1473" s="84"/>
      <c r="BG1473" s="84"/>
      <c r="BH1473" s="84"/>
      <c r="BI1473" s="68" cm="1">
        <f t="array" ref="BI1473">IFERROR(INDEX(AW1473:BH1473,1,MATCH(2,1/(AW1473:BH1473&lt;&gt;""))),"")</f>
        <v>0</v>
      </c>
      <c r="BJ1473" s="68" cm="1">
        <f t="array" ref="BJ1473">IF(BM1473 = "", "",IFERROR(INDEX(AW1473:BH1473,1,MATCH(2,1/(AW1473:BH1473&lt;&gt;""),1)-1),""))</f>
        <v>0</v>
      </c>
      <c r="BK1473" s="57" cm="1">
        <f t="array" ref="BK1473">IFERROR(INDEX(AW1473:BH1473,1,MATCH(2,1/(AW1473:BH1473&lt;&gt;""),1)),"")</f>
        <v>0</v>
      </c>
      <c r="BL1473" s="57" cm="1">
        <f t="array" ref="BL1473">IF(BM1473 = "", "",IFERROR(INDEX(AW1473:BH1473,1,MATCH(2,1/(AW1473:BH1473&lt;&gt;""),1)-1),""))</f>
        <v>0</v>
      </c>
      <c r="BM1473" s="55" cm="1">
        <f t="array" ref="BM1473">IFERROR(
   INDEX($AW$1:$BH$1,
      _xlfn.AGGREGATE(14, 6, COLUMN($AW$1:$BH$1)/(AW1473:BH1473&lt;&gt;""), 2) - COLUMN($AW$1) + 1
   ),
"")</f>
        <v>46054</v>
      </c>
      <c r="BN1473" s="55" cm="1">
        <f t="array" ref="BN1473">IFERROR(INDEX($AW$1:$BH$1,1,MATCH(2,1/(AW1473:BH1473&lt;&gt;""))),"")</f>
        <v>46082</v>
      </c>
      <c r="BO1473" s="53">
        <f ca="1">IFERROR(_xlfn.XLOOKUP(F1473,Apuração!A:A,Apuração!C:C)/_xlfn.XLOOKUP(F1473,Apuração!A:A,Apuração!B:B),0)</f>
        <v>0</v>
      </c>
      <c r="BP1473" s="53">
        <f ca="1">IFERROR(_xlfn.XLOOKUP(F1473,Apuração!A:A,Apuração!D:D)/_xlfn.XLOOKUP(F1473,Apuração!A:A,Apuração!B:B),0)</f>
        <v>0</v>
      </c>
      <c r="BQ1473" s="53">
        <f ca="1">IF(BK1473&gt;=BO1473,0,_xlfn.XLOOKUP(F1473,Apuração!A:A,Apuração!B:B)*(BO1473 + (1/_xlfn.XLOOKUP(F1473,Apuração!A:A,Apuração!B:B)) - BK1473))</f>
        <v>0</v>
      </c>
      <c r="BR1473" s="85">
        <f t="shared" ref="BR1473:BR1477" ca="1" si="1712">IF(BQ1473=0,0,BQ1473*Z1473)</f>
        <v>0</v>
      </c>
      <c r="BS1473" s="53">
        <f ca="1">IFERROR((_xlfn.XLOOKUP(F1473,Apuração!A:A,Apuração!C:C)+1)/_xlfn.XLOOKUP(F1473,Apuração!A:A,Apuração!B:B),0)</f>
        <v>0.14285714285714285</v>
      </c>
    </row>
    <row r="1474" spans="1:71" ht="25.95" hidden="1" customHeight="1" x14ac:dyDescent="0.3">
      <c r="A1474" s="35" t="s">
        <v>44</v>
      </c>
      <c r="B1474" s="10" t="s">
        <v>44</v>
      </c>
      <c r="C1474" s="5" t="s">
        <v>209</v>
      </c>
      <c r="D1474" s="5" t="s">
        <v>47</v>
      </c>
      <c r="E1474" s="4" t="str" cm="1">
        <f t="array" ref="E1474">_xlfn.IFS(
F1474 = "A partir de Abril", "Aguardando Execução na Distribuidora",
A1474 = "CAPACITAÇÃO", "Em execução no Corporativo",
TRUE, "Em Execução na Distribuidora"
)</f>
        <v>Em Execução na Distribuidora</v>
      </c>
      <c r="F1474" s="4" t="str" cm="1">
        <f t="array" ref="F1474">_xlfn.IFS(
AG1474 &lt;&gt; "", "Jan-Dez/26",
AH1474 &lt;&gt; "", "Fev-Dez/26",
AI1474 &lt;&gt; "", "Mar-Dez/26", AJ1474 &lt;&gt; "", "Abr-Dez/26",
TRUE, "A partir de Junho"
)</f>
        <v>A partir de Junho</v>
      </c>
      <c r="G1474" s="10" t="s">
        <v>44</v>
      </c>
      <c r="H1474" s="36" t="s">
        <v>44</v>
      </c>
      <c r="I1474" s="37"/>
      <c r="J1474" s="37"/>
      <c r="K1474" s="37"/>
      <c r="L1474" s="37" t="s">
        <v>203</v>
      </c>
      <c r="M1474" s="37"/>
      <c r="N1474" s="5" t="s">
        <v>42</v>
      </c>
      <c r="O1474" s="5" t="s">
        <v>52</v>
      </c>
      <c r="P1474" s="10" t="s">
        <v>44</v>
      </c>
      <c r="Q1474" s="10" t="s">
        <v>44</v>
      </c>
      <c r="R1474" s="11" t="s">
        <v>44</v>
      </c>
      <c r="S1474" s="11" t="s">
        <v>44</v>
      </c>
      <c r="T1474" s="22"/>
      <c r="U1474" s="22"/>
      <c r="V1474" s="22"/>
      <c r="W1474" s="22"/>
      <c r="X1474" s="22"/>
      <c r="Y1474" s="22"/>
      <c r="Z1474" s="22"/>
      <c r="AA1474" s="22"/>
      <c r="AB1474" s="22"/>
      <c r="AC1474" s="22"/>
      <c r="AD1474" s="22"/>
      <c r="AE1474" s="22"/>
      <c r="AG1474" s="112"/>
      <c r="AH1474" s="112"/>
      <c r="AI1474" s="112"/>
      <c r="AJ1474" s="71"/>
      <c r="AK1474" s="71"/>
      <c r="AL1474" s="71"/>
      <c r="AM1474" s="71"/>
      <c r="AN1474" s="71"/>
      <c r="AO1474" s="71"/>
      <c r="AP1474" s="71"/>
      <c r="AQ1474" s="71"/>
      <c r="AR1474" s="71"/>
      <c r="AS1474" s="94"/>
      <c r="AT1474" s="95"/>
      <c r="AU1474" s="97"/>
      <c r="AW1474" s="84">
        <f t="shared" si="1709"/>
        <v>0</v>
      </c>
      <c r="AX1474" s="84">
        <f t="shared" si="1710"/>
        <v>0</v>
      </c>
      <c r="AY1474" s="84">
        <f t="shared" si="1711"/>
        <v>0</v>
      </c>
      <c r="AZ1474" s="84"/>
      <c r="BA1474" s="84"/>
      <c r="BB1474" s="84"/>
      <c r="BC1474" s="84"/>
      <c r="BD1474" s="84"/>
      <c r="BE1474" s="84"/>
      <c r="BF1474" s="84"/>
      <c r="BG1474" s="84"/>
      <c r="BH1474" s="84"/>
      <c r="BI1474" s="68" cm="1">
        <f t="array" ref="BI1474">IFERROR(INDEX(AW1474:BH1474,1,MATCH(2,1/(AW1474:BH1474&lt;&gt;""))),"")</f>
        <v>0</v>
      </c>
      <c r="BJ1474" s="68" cm="1">
        <f t="array" ref="BJ1474">IF(BM1474 = "", "",IFERROR(INDEX(AW1474:BH1474,1,MATCH(2,1/(AW1474:BH1474&lt;&gt;""),1)-1),""))</f>
        <v>0</v>
      </c>
      <c r="BK1474" s="57" cm="1">
        <f t="array" ref="BK1474">IFERROR(INDEX(AW1474:BH1474,1,MATCH(2,1/(AW1474:BH1474&lt;&gt;""),1)),"")</f>
        <v>0</v>
      </c>
      <c r="BL1474" s="57" cm="1">
        <f t="array" ref="BL1474">IF(BM1474 = "", "",IFERROR(INDEX(AW1474:BH1474,1,MATCH(2,1/(AW1474:BH1474&lt;&gt;""),1)-1),""))</f>
        <v>0</v>
      </c>
      <c r="BM1474" s="55" cm="1">
        <f t="array" ref="BM1474">IFERROR(
   INDEX($AW$1:$BH$1,
      _xlfn.AGGREGATE(14, 6, COLUMN($AW$1:$BH$1)/(AW1474:BH1474&lt;&gt;""), 2) - COLUMN($AW$1) + 1
   ),
"")</f>
        <v>46054</v>
      </c>
      <c r="BN1474" s="55" cm="1">
        <f t="array" ref="BN1474">IFERROR(INDEX($AW$1:$BH$1,1,MATCH(2,1/(AW1474:BH1474&lt;&gt;""))),"")</f>
        <v>46082</v>
      </c>
      <c r="BO1474" s="53">
        <f ca="1">IFERROR(_xlfn.XLOOKUP(F1474,Apuração!A:A,Apuração!C:C)/_xlfn.XLOOKUP(F1474,Apuração!A:A,Apuração!B:B),0)</f>
        <v>0</v>
      </c>
      <c r="BP1474" s="53">
        <f ca="1">IFERROR(_xlfn.XLOOKUP(F1474,Apuração!A:A,Apuração!D:D)/_xlfn.XLOOKUP(F1474,Apuração!A:A,Apuração!B:B),0)</f>
        <v>0</v>
      </c>
      <c r="BQ1474" s="53">
        <f ca="1">IF(BK1474&gt;=BO1474,0,_xlfn.XLOOKUP(F1474,Apuração!A:A,Apuração!B:B)*(BO1474 + (1/_xlfn.XLOOKUP(F1474,Apuração!A:A,Apuração!B:B)) - BK1474))</f>
        <v>0</v>
      </c>
      <c r="BR1474" s="85">
        <f t="shared" ca="1" si="1712"/>
        <v>0</v>
      </c>
      <c r="BS1474" s="53">
        <f ca="1">IFERROR((_xlfn.XLOOKUP(F1474,Apuração!A:A,Apuração!C:C)+1)/_xlfn.XLOOKUP(F1474,Apuração!A:A,Apuração!B:B),0)</f>
        <v>0.14285714285714285</v>
      </c>
    </row>
    <row r="1475" spans="1:71" ht="25.95" hidden="1" customHeight="1" x14ac:dyDescent="0.3">
      <c r="A1475" s="35" t="s">
        <v>44</v>
      </c>
      <c r="B1475" s="10" t="s">
        <v>44</v>
      </c>
      <c r="C1475" s="5" t="s">
        <v>209</v>
      </c>
      <c r="D1475" s="5" t="s">
        <v>211</v>
      </c>
      <c r="E1475" s="4" t="str" cm="1">
        <f t="array" ref="E1475">_xlfn.IFS(
F1475 = "A partir de Abril", "Aguardando Execução na Distribuidora",
A1475 = "CAPACITAÇÃO", "Em execução no Corporativo",
TRUE, "Em Execução na Distribuidora"
)</f>
        <v>Em Execução na Distribuidora</v>
      </c>
      <c r="F1475" s="4" t="str" cm="1">
        <f t="array" ref="F1475">_xlfn.IFS(
AG1475 &lt;&gt; "", "Jan-Dez/26",
AH1475 &lt;&gt; "", "Fev-Dez/26",
AI1475 &lt;&gt; "", "Mar-Dez/26", AJ1475 &lt;&gt; "", "Abr-Dez/26",
TRUE, "A partir de Junho"
)</f>
        <v>A partir de Junho</v>
      </c>
      <c r="G1475" s="10" t="s">
        <v>44</v>
      </c>
      <c r="H1475" s="36" t="s">
        <v>44</v>
      </c>
      <c r="I1475" s="37"/>
      <c r="J1475" s="37"/>
      <c r="K1475" s="37"/>
      <c r="L1475" s="37" t="s">
        <v>203</v>
      </c>
      <c r="M1475" s="37"/>
      <c r="N1475" s="5" t="s">
        <v>42</v>
      </c>
      <c r="O1475" s="5" t="s">
        <v>52</v>
      </c>
      <c r="P1475" s="10" t="s">
        <v>44</v>
      </c>
      <c r="Q1475" s="10" t="s">
        <v>44</v>
      </c>
      <c r="R1475" s="11" t="s">
        <v>44</v>
      </c>
      <c r="S1475" s="11" t="s">
        <v>44</v>
      </c>
      <c r="T1475" s="22"/>
      <c r="U1475" s="22"/>
      <c r="V1475" s="22"/>
      <c r="W1475" s="22"/>
      <c r="X1475" s="22"/>
      <c r="Y1475" s="22"/>
      <c r="Z1475" s="22"/>
      <c r="AA1475" s="22"/>
      <c r="AB1475" s="22"/>
      <c r="AC1475" s="22"/>
      <c r="AD1475" s="22"/>
      <c r="AE1475" s="22"/>
      <c r="AG1475" s="112"/>
      <c r="AH1475" s="112"/>
      <c r="AI1475" s="112"/>
      <c r="AJ1475" s="71"/>
      <c r="AK1475" s="71"/>
      <c r="AL1475" s="71"/>
      <c r="AM1475" s="71"/>
      <c r="AN1475" s="71"/>
      <c r="AO1475" s="71"/>
      <c r="AP1475" s="71"/>
      <c r="AQ1475" s="71"/>
      <c r="AR1475" s="71"/>
      <c r="AS1475" s="94"/>
      <c r="AT1475" s="95"/>
      <c r="AU1475" s="97"/>
      <c r="AW1475" s="84">
        <f t="shared" si="1709"/>
        <v>0</v>
      </c>
      <c r="AX1475" s="84">
        <f t="shared" si="1710"/>
        <v>0</v>
      </c>
      <c r="AY1475" s="84">
        <f t="shared" si="1711"/>
        <v>0</v>
      </c>
      <c r="AZ1475" s="84"/>
      <c r="BA1475" s="84"/>
      <c r="BB1475" s="84"/>
      <c r="BC1475" s="84"/>
      <c r="BD1475" s="84"/>
      <c r="BE1475" s="84"/>
      <c r="BF1475" s="84"/>
      <c r="BG1475" s="84"/>
      <c r="BH1475" s="84"/>
      <c r="BI1475" s="68" cm="1">
        <f t="array" ref="BI1475">IFERROR(INDEX(AW1475:BH1475,1,MATCH(2,1/(AW1475:BH1475&lt;&gt;""))),"")</f>
        <v>0</v>
      </c>
      <c r="BJ1475" s="68" cm="1">
        <f t="array" ref="BJ1475">IF(BM1475 = "", "",IFERROR(INDEX(AW1475:BH1475,1,MATCH(2,1/(AW1475:BH1475&lt;&gt;""),1)-1),""))</f>
        <v>0</v>
      </c>
      <c r="BK1475" s="57" cm="1">
        <f t="array" ref="BK1475">IFERROR(INDEX(AW1475:BH1475,1,MATCH(2,1/(AW1475:BH1475&lt;&gt;""),1)),"")</f>
        <v>0</v>
      </c>
      <c r="BL1475" s="57" cm="1">
        <f t="array" ref="BL1475">IF(BM1475 = "", "",IFERROR(INDEX(AW1475:BH1475,1,MATCH(2,1/(AW1475:BH1475&lt;&gt;""),1)-1),""))</f>
        <v>0</v>
      </c>
      <c r="BM1475" s="55" cm="1">
        <f t="array" ref="BM1475">IFERROR(
   INDEX($AW$1:$BH$1,
      _xlfn.AGGREGATE(14, 6, COLUMN($AW$1:$BH$1)/(AW1475:BH1475&lt;&gt;""), 2) - COLUMN($AW$1) + 1
   ),
"")</f>
        <v>46054</v>
      </c>
      <c r="BN1475" s="55" cm="1">
        <f t="array" ref="BN1475">IFERROR(INDEX($AW$1:$BH$1,1,MATCH(2,1/(AW1475:BH1475&lt;&gt;""))),"")</f>
        <v>46082</v>
      </c>
      <c r="BO1475" s="53">
        <f ca="1">IFERROR(_xlfn.XLOOKUP(F1475,Apuração!A:A,Apuração!C:C)/_xlfn.XLOOKUP(F1475,Apuração!A:A,Apuração!B:B),0)</f>
        <v>0</v>
      </c>
      <c r="BP1475" s="53">
        <f ca="1">IFERROR(_xlfn.XLOOKUP(F1475,Apuração!A:A,Apuração!D:D)/_xlfn.XLOOKUP(F1475,Apuração!A:A,Apuração!B:B),0)</f>
        <v>0</v>
      </c>
      <c r="BQ1475" s="53">
        <f ca="1">IF(BK1475&gt;=BO1475,0,_xlfn.XLOOKUP(F1475,Apuração!A:A,Apuração!B:B)*(BO1475 + (1/_xlfn.XLOOKUP(F1475,Apuração!A:A,Apuração!B:B)) - BK1475))</f>
        <v>0</v>
      </c>
      <c r="BR1475" s="85">
        <f t="shared" ca="1" si="1712"/>
        <v>0</v>
      </c>
      <c r="BS1475" s="53">
        <f ca="1">IFERROR((_xlfn.XLOOKUP(F1475,Apuração!A:A,Apuração!C:C)+1)/_xlfn.XLOOKUP(F1475,Apuração!A:A,Apuração!B:B),0)</f>
        <v>0.14285714285714285</v>
      </c>
    </row>
    <row r="1476" spans="1:71" ht="25.95" hidden="1" customHeight="1" x14ac:dyDescent="0.3">
      <c r="A1476" s="35" t="s">
        <v>44</v>
      </c>
      <c r="B1476" s="10" t="s">
        <v>44</v>
      </c>
      <c r="C1476" s="5" t="s">
        <v>209</v>
      </c>
      <c r="D1476" s="5" t="s">
        <v>212</v>
      </c>
      <c r="E1476" s="4" t="str" cm="1">
        <f t="array" ref="E1476">_xlfn.IFS(
F1476 = "A partir de Abril", "Aguardando Execução na Distribuidora",
A1476 = "CAPACITAÇÃO", "Em execução no Corporativo",
TRUE, "Em Execução na Distribuidora"
)</f>
        <v>Em Execução na Distribuidora</v>
      </c>
      <c r="F1476" s="4" t="str" cm="1">
        <f t="array" ref="F1476">_xlfn.IFS(
AG1476 &lt;&gt; "", "Jan-Dez/26",
AH1476 &lt;&gt; "", "Fev-Dez/26",
AI1476 &lt;&gt; "", "Mar-Dez/26", AJ1476 &lt;&gt; "", "Abr-Dez/26",
TRUE, "A partir de Junho"
)</f>
        <v>A partir de Junho</v>
      </c>
      <c r="G1476" s="10" t="s">
        <v>44</v>
      </c>
      <c r="H1476" s="36" t="s">
        <v>44</v>
      </c>
      <c r="I1476" s="37"/>
      <c r="J1476" s="37"/>
      <c r="K1476" s="37"/>
      <c r="L1476" s="37" t="s">
        <v>203</v>
      </c>
      <c r="M1476" s="37"/>
      <c r="N1476" s="5" t="s">
        <v>42</v>
      </c>
      <c r="O1476" s="5" t="s">
        <v>52</v>
      </c>
      <c r="P1476" s="10" t="s">
        <v>44</v>
      </c>
      <c r="Q1476" s="10" t="s">
        <v>44</v>
      </c>
      <c r="R1476" s="11" t="s">
        <v>44</v>
      </c>
      <c r="S1476" s="11" t="s">
        <v>44</v>
      </c>
      <c r="T1476" s="22"/>
      <c r="U1476" s="22"/>
      <c r="V1476" s="22"/>
      <c r="W1476" s="22"/>
      <c r="X1476" s="22"/>
      <c r="Y1476" s="22"/>
      <c r="Z1476" s="22"/>
      <c r="AA1476" s="22"/>
      <c r="AB1476" s="22"/>
      <c r="AC1476" s="22"/>
      <c r="AD1476" s="22"/>
      <c r="AE1476" s="22"/>
      <c r="AG1476" s="112"/>
      <c r="AH1476" s="112"/>
      <c r="AI1476" s="112"/>
      <c r="AJ1476" s="71"/>
      <c r="AK1476" s="71"/>
      <c r="AL1476" s="71"/>
      <c r="AM1476" s="71"/>
      <c r="AN1476" s="71"/>
      <c r="AO1476" s="71"/>
      <c r="AP1476" s="71"/>
      <c r="AQ1476" s="71"/>
      <c r="AR1476" s="71"/>
      <c r="AS1476" s="94"/>
      <c r="AT1476" s="95"/>
      <c r="AU1476" s="97"/>
      <c r="AW1476" s="84">
        <f t="shared" si="1709"/>
        <v>0</v>
      </c>
      <c r="AX1476" s="84">
        <f t="shared" si="1710"/>
        <v>0</v>
      </c>
      <c r="AY1476" s="84">
        <f t="shared" si="1711"/>
        <v>0</v>
      </c>
      <c r="AZ1476" s="84"/>
      <c r="BA1476" s="84"/>
      <c r="BB1476" s="84"/>
      <c r="BC1476" s="84"/>
      <c r="BD1476" s="84"/>
      <c r="BE1476" s="84"/>
      <c r="BF1476" s="84"/>
      <c r="BG1476" s="84"/>
      <c r="BH1476" s="84"/>
      <c r="BI1476" s="68" cm="1">
        <f t="array" ref="BI1476">IFERROR(INDEX(AW1476:BH1476,1,MATCH(2,1/(AW1476:BH1476&lt;&gt;""))),"")</f>
        <v>0</v>
      </c>
      <c r="BJ1476" s="68" cm="1">
        <f t="array" ref="BJ1476">IF(BM1476 = "", "",IFERROR(INDEX(AW1476:BH1476,1,MATCH(2,1/(AW1476:BH1476&lt;&gt;""),1)-1),""))</f>
        <v>0</v>
      </c>
      <c r="BK1476" s="57" cm="1">
        <f t="array" ref="BK1476">IFERROR(INDEX(AW1476:BH1476,1,MATCH(2,1/(AW1476:BH1476&lt;&gt;""),1)),"")</f>
        <v>0</v>
      </c>
      <c r="BL1476" s="57" cm="1">
        <f t="array" ref="BL1476">IF(BM1476 = "", "",IFERROR(INDEX(AW1476:BH1476,1,MATCH(2,1/(AW1476:BH1476&lt;&gt;""),1)-1),""))</f>
        <v>0</v>
      </c>
      <c r="BM1476" s="55" cm="1">
        <f t="array" ref="BM1476">IFERROR(
   INDEX($AW$1:$BH$1,
      _xlfn.AGGREGATE(14, 6, COLUMN($AW$1:$BH$1)/(AW1476:BH1476&lt;&gt;""), 2) - COLUMN($AW$1) + 1
   ),
"")</f>
        <v>46054</v>
      </c>
      <c r="BN1476" s="55" cm="1">
        <f t="array" ref="BN1476">IFERROR(INDEX($AW$1:$BH$1,1,MATCH(2,1/(AW1476:BH1476&lt;&gt;""))),"")</f>
        <v>46082</v>
      </c>
      <c r="BO1476" s="53">
        <f ca="1">IFERROR(_xlfn.XLOOKUP(F1476,Apuração!A:A,Apuração!C:C)/_xlfn.XLOOKUP(F1476,Apuração!A:A,Apuração!B:B),0)</f>
        <v>0</v>
      </c>
      <c r="BP1476" s="53">
        <f ca="1">IFERROR(_xlfn.XLOOKUP(F1476,Apuração!A:A,Apuração!D:D)/_xlfn.XLOOKUP(F1476,Apuração!A:A,Apuração!B:B),0)</f>
        <v>0</v>
      </c>
      <c r="BQ1476" s="53">
        <f ca="1">IF(BK1476&gt;=BO1476,0,_xlfn.XLOOKUP(F1476,Apuração!A:A,Apuração!B:B)*(BO1476 + (1/_xlfn.XLOOKUP(F1476,Apuração!A:A,Apuração!B:B)) - BK1476))</f>
        <v>0</v>
      </c>
      <c r="BR1476" s="85">
        <f t="shared" ca="1" si="1712"/>
        <v>0</v>
      </c>
      <c r="BS1476" s="53">
        <f ca="1">IFERROR((_xlfn.XLOOKUP(F1476,Apuração!A:A,Apuração!C:C)+1)/_xlfn.XLOOKUP(F1476,Apuração!A:A,Apuração!B:B),0)</f>
        <v>0.14285714285714285</v>
      </c>
    </row>
    <row r="1477" spans="1:71" ht="25.95" hidden="1" customHeight="1" x14ac:dyDescent="0.3">
      <c r="A1477" s="35" t="s">
        <v>44</v>
      </c>
      <c r="B1477" s="10" t="s">
        <v>44</v>
      </c>
      <c r="C1477" s="5" t="s">
        <v>209</v>
      </c>
      <c r="D1477" s="5" t="s">
        <v>213</v>
      </c>
      <c r="E1477" s="4" t="str" cm="1">
        <f t="array" ref="E1477">_xlfn.IFS(
F1477 = "A partir de Abril", "Aguardando Execução na Distribuidora",
A1477 = "CAPACITAÇÃO", "Em execução no Corporativo",
TRUE, "Em Execução na Distribuidora"
)</f>
        <v>Em Execução na Distribuidora</v>
      </c>
      <c r="F1477" s="4" t="str" cm="1">
        <f t="array" ref="F1477">_xlfn.IFS(
AG1477 &lt;&gt; "", "Jan-Dez/26",
AH1477 &lt;&gt; "", "Fev-Dez/26",
AI1477 &lt;&gt; "", "Mar-Dez/26", AJ1477 &lt;&gt; "", "Abr-Dez/26",
TRUE, "A partir de Junho"
)</f>
        <v>A partir de Junho</v>
      </c>
      <c r="G1477" s="10" t="s">
        <v>44</v>
      </c>
      <c r="H1477" s="36" t="s">
        <v>44</v>
      </c>
      <c r="I1477" s="37"/>
      <c r="J1477" s="37"/>
      <c r="K1477" s="37"/>
      <c r="L1477" s="37" t="s">
        <v>203</v>
      </c>
      <c r="M1477" s="37"/>
      <c r="N1477" s="5" t="s">
        <v>42</v>
      </c>
      <c r="O1477" s="5" t="s">
        <v>52</v>
      </c>
      <c r="P1477" s="10" t="s">
        <v>44</v>
      </c>
      <c r="Q1477" s="10" t="s">
        <v>44</v>
      </c>
      <c r="R1477" s="11" t="s">
        <v>44</v>
      </c>
      <c r="S1477" s="11" t="s">
        <v>44</v>
      </c>
      <c r="T1477" s="22"/>
      <c r="U1477" s="22"/>
      <c r="V1477" s="22"/>
      <c r="W1477" s="22"/>
      <c r="X1477" s="22"/>
      <c r="Y1477" s="22"/>
      <c r="Z1477" s="22"/>
      <c r="AA1477" s="22"/>
      <c r="AB1477" s="22"/>
      <c r="AC1477" s="22"/>
      <c r="AD1477" s="22"/>
      <c r="AE1477" s="22"/>
      <c r="AG1477" s="112"/>
      <c r="AH1477" s="112"/>
      <c r="AI1477" s="112"/>
      <c r="AJ1477" s="71"/>
      <c r="AK1477" s="71"/>
      <c r="AL1477" s="71"/>
      <c r="AM1477" s="71"/>
      <c r="AN1477" s="71"/>
      <c r="AO1477" s="71"/>
      <c r="AP1477" s="71"/>
      <c r="AQ1477" s="71"/>
      <c r="AR1477" s="71"/>
      <c r="AS1477" s="94"/>
      <c r="AT1477" s="95"/>
      <c r="AU1477" s="97"/>
      <c r="AW1477" s="84">
        <f t="shared" si="1709"/>
        <v>0</v>
      </c>
      <c r="AX1477" s="84">
        <f t="shared" si="1710"/>
        <v>0</v>
      </c>
      <c r="AY1477" s="84">
        <f t="shared" si="1711"/>
        <v>0</v>
      </c>
      <c r="AZ1477" s="84"/>
      <c r="BA1477" s="84"/>
      <c r="BB1477" s="84"/>
      <c r="BC1477" s="84"/>
      <c r="BD1477" s="84"/>
      <c r="BE1477" s="84"/>
      <c r="BF1477" s="84"/>
      <c r="BG1477" s="84"/>
      <c r="BH1477" s="84"/>
      <c r="BI1477" s="68" cm="1">
        <f t="array" ref="BI1477">IFERROR(INDEX(AW1477:BH1477,1,MATCH(2,1/(AW1477:BH1477&lt;&gt;""))),"")</f>
        <v>0</v>
      </c>
      <c r="BJ1477" s="68" cm="1">
        <f t="array" ref="BJ1477">IF(BM1477 = "", "",IFERROR(INDEX(AW1477:BH1477,1,MATCH(2,1/(AW1477:BH1477&lt;&gt;""),1)-1),""))</f>
        <v>0</v>
      </c>
      <c r="BK1477" s="57" cm="1">
        <f t="array" ref="BK1477">IFERROR(INDEX(AW1477:BH1477,1,MATCH(2,1/(AW1477:BH1477&lt;&gt;""),1)),"")</f>
        <v>0</v>
      </c>
      <c r="BL1477" s="57" cm="1">
        <f t="array" ref="BL1477">IF(BM1477 = "", "",IFERROR(INDEX(AW1477:BH1477,1,MATCH(2,1/(AW1477:BH1477&lt;&gt;""),1)-1),""))</f>
        <v>0</v>
      </c>
      <c r="BM1477" s="55" cm="1">
        <f t="array" ref="BM1477">IFERROR(
   INDEX($AW$1:$BH$1,
      _xlfn.AGGREGATE(14, 6, COLUMN($AW$1:$BH$1)/(AW1477:BH1477&lt;&gt;""), 2) - COLUMN($AW$1) + 1
   ),
"")</f>
        <v>46054</v>
      </c>
      <c r="BN1477" s="55" cm="1">
        <f t="array" ref="BN1477">IFERROR(INDEX($AW$1:$BH$1,1,MATCH(2,1/(AW1477:BH1477&lt;&gt;""))),"")</f>
        <v>46082</v>
      </c>
      <c r="BO1477" s="53">
        <f ca="1">IFERROR(_xlfn.XLOOKUP(F1477,Apuração!A:A,Apuração!C:C)/_xlfn.XLOOKUP(F1477,Apuração!A:A,Apuração!B:B),0)</f>
        <v>0</v>
      </c>
      <c r="BP1477" s="53">
        <f ca="1">IFERROR(_xlfn.XLOOKUP(F1477,Apuração!A:A,Apuração!D:D)/_xlfn.XLOOKUP(F1477,Apuração!A:A,Apuração!B:B),0)</f>
        <v>0</v>
      </c>
      <c r="BQ1477" s="53">
        <f ca="1">IF(BK1477&gt;=BO1477,0,_xlfn.XLOOKUP(F1477,Apuração!A:A,Apuração!B:B)*(BO1477 + (1/_xlfn.XLOOKUP(F1477,Apuração!A:A,Apuração!B:B)) - BK1477))</f>
        <v>0</v>
      </c>
      <c r="BR1477" s="85">
        <f t="shared" ca="1" si="1712"/>
        <v>0</v>
      </c>
      <c r="BS1477" s="53">
        <f ca="1">IFERROR((_xlfn.XLOOKUP(F1477,Apuração!A:A,Apuração!C:C)+1)/_xlfn.XLOOKUP(F1477,Apuração!A:A,Apuração!B:B),0)</f>
        <v>0.14285714285714285</v>
      </c>
    </row>
    <row r="1478" spans="1:71" ht="25.95" hidden="1" customHeight="1" x14ac:dyDescent="0.3">
      <c r="A1478" s="35" t="s">
        <v>44</v>
      </c>
      <c r="B1478" s="10" t="s">
        <v>44</v>
      </c>
      <c r="C1478" s="5" t="s">
        <v>209</v>
      </c>
      <c r="D1478" s="5" t="s">
        <v>36</v>
      </c>
      <c r="E1478" s="4" t="str" cm="1">
        <f t="array" ref="E1478">_xlfn.IFS(
F1478 = "A partir de Abril", "Aguardando Execução na Distribuidora",
A1478 = "CAPACITAÇÃO", "Em execução no Corporativo",
TRUE, "Em Execução na Distribuidora"
)</f>
        <v>Em Execução na Distribuidora</v>
      </c>
      <c r="F1478" s="4" t="str" cm="1">
        <f t="array" ref="F1478">_xlfn.IFS(
AG1478 &lt;&gt; "", "Jan-Dez/26",
AH1478 &lt;&gt; "", "Fev-Dez/26",
AI1478 &lt;&gt; "", "Mar-Dez/26", AJ1478 &lt;&gt; "", "Abr-Dez/26",
TRUE, "A partir de Junho"
)</f>
        <v>Jan-Dez/26</v>
      </c>
      <c r="G1478" s="10" t="s">
        <v>44</v>
      </c>
      <c r="H1478" s="36" t="s">
        <v>44</v>
      </c>
      <c r="I1478" s="37"/>
      <c r="J1478" s="37"/>
      <c r="K1478" s="37"/>
      <c r="L1478" s="37" t="s">
        <v>204</v>
      </c>
      <c r="M1478" s="37"/>
      <c r="N1478" s="5" t="s">
        <v>42</v>
      </c>
      <c r="O1478" s="5" t="s">
        <v>52</v>
      </c>
      <c r="P1478" s="10" t="s">
        <v>44</v>
      </c>
      <c r="Q1478" s="10" t="s">
        <v>44</v>
      </c>
      <c r="R1478" s="11" t="s">
        <v>44</v>
      </c>
      <c r="S1478" s="11" t="s">
        <v>44</v>
      </c>
      <c r="T1478" s="22"/>
      <c r="U1478" s="22"/>
      <c r="V1478" s="22"/>
      <c r="W1478" s="22"/>
      <c r="X1478" s="22"/>
      <c r="Y1478" s="22"/>
      <c r="Z1478" s="22"/>
      <c r="AA1478" s="22"/>
      <c r="AB1478" s="22"/>
      <c r="AC1478" s="22"/>
      <c r="AD1478" s="22"/>
      <c r="AE1478" s="22"/>
      <c r="AG1478" s="112">
        <v>0</v>
      </c>
      <c r="AH1478" s="112">
        <v>0</v>
      </c>
      <c r="AI1478" s="112">
        <v>0</v>
      </c>
      <c r="AJ1478" s="112">
        <v>0</v>
      </c>
      <c r="AK1478" s="112"/>
      <c r="AL1478" s="112"/>
      <c r="AM1478" s="112"/>
      <c r="AN1478" s="112"/>
      <c r="AO1478" s="112"/>
      <c r="AP1478" s="112"/>
      <c r="AQ1478" s="112"/>
      <c r="AR1478" s="112"/>
      <c r="AS1478" s="94"/>
      <c r="AT1478" s="95"/>
      <c r="AU1478" s="97"/>
      <c r="AW1478" s="84">
        <f>AG1478</f>
        <v>0</v>
      </c>
      <c r="AX1478" s="84">
        <f>AH1478</f>
        <v>0</v>
      </c>
      <c r="AY1478" s="84">
        <f>AI1478</f>
        <v>0</v>
      </c>
      <c r="AZ1478" s="84">
        <f>AJ1478</f>
        <v>0</v>
      </c>
      <c r="BA1478" s="84"/>
      <c r="BB1478" s="84"/>
      <c r="BC1478" s="84"/>
      <c r="BD1478" s="84"/>
      <c r="BE1478" s="84"/>
      <c r="BF1478" s="84"/>
      <c r="BG1478" s="84"/>
      <c r="BH1478" s="84"/>
      <c r="BI1478" s="68" cm="1">
        <f t="array" ref="BI1478">IFERROR(INDEX(AW1478:BH1478,1,MATCH(2,1/(AW1478:BH1478&lt;&gt;""))),"")</f>
        <v>0</v>
      </c>
      <c r="BJ1478" s="68" cm="1">
        <f t="array" ref="BJ1478">IF(BM1478 = "", "",IFERROR(INDEX(AW1478:BH1478,1,MATCH(2,1/(AW1478:BH1478&lt;&gt;""),1)-1),""))</f>
        <v>0</v>
      </c>
      <c r="BK1478" s="57" cm="1">
        <f t="array" ref="BK1478">IFERROR(INDEX(AW1478:BH1478,1,MATCH(2,1/(AW1478:BH1478&lt;&gt;""),1)),"")</f>
        <v>0</v>
      </c>
      <c r="BL1478" s="57" cm="1">
        <f t="array" ref="BL1478">IF(BM1478 = "", "",IFERROR(INDEX(AW1478:BH1478,1,MATCH(2,1/(AW1478:BH1478&lt;&gt;""),1)-1),""))</f>
        <v>0</v>
      </c>
      <c r="BM1478" s="55" cm="1">
        <f t="array" ref="BM1478">IFERROR(
   INDEX($AW$1:$BH$1,
      _xlfn.AGGREGATE(14, 6, COLUMN($AW$1:$BH$1)/(AW1478:BH1478&lt;&gt;""), 2) - COLUMN($AW$1) + 1
   ),
"")</f>
        <v>46082</v>
      </c>
      <c r="BN1478" s="55" cm="1">
        <f t="array" ref="BN1478">IFERROR(INDEX($AW$1:$BH$1,1,MATCH(2,1/(AW1478:BH1478&lt;&gt;""))),"")</f>
        <v>46113</v>
      </c>
      <c r="BO1478" s="53">
        <f ca="1">IFERROR(_xlfn.XLOOKUP(F1478,Apuração!A:A,Apuração!C:C)/_xlfn.XLOOKUP(F1478,Apuração!A:A,Apuração!B:B),0)</f>
        <v>0.41666666666666669</v>
      </c>
      <c r="BP1478" s="53">
        <f ca="1">IFERROR(_xlfn.XLOOKUP(F1478,Apuração!A:A,Apuração!D:D)/_xlfn.XLOOKUP(F1478,Apuração!A:A,Apuração!B:B),0)</f>
        <v>0.33333333333333331</v>
      </c>
      <c r="BQ1478" s="53">
        <f ca="1">IF(BK1478&gt;=BO1478,0,_xlfn.XLOOKUP(F1478,Apuração!A:A,Apuração!B:B)*(BO1478 + (1/_xlfn.XLOOKUP(F1478,Apuração!A:A,Apuração!B:B)) - BK1478))</f>
        <v>6</v>
      </c>
      <c r="BR1478" s="85">
        <f ca="1">IF(BQ1478=0,0,BQ1478*Z1478)</f>
        <v>0</v>
      </c>
      <c r="BS1478" s="53">
        <f ca="1">IFERROR((_xlfn.XLOOKUP(F1478,Apuração!A:A,Apuração!C:C)+1)/_xlfn.XLOOKUP(F1478,Apuração!A:A,Apuração!B:B),0)</f>
        <v>0.5</v>
      </c>
    </row>
    <row r="1479" spans="1:71" ht="25.95" hidden="1" customHeight="1" x14ac:dyDescent="0.3">
      <c r="A1479" s="35" t="s">
        <v>44</v>
      </c>
      <c r="B1479" s="10" t="s">
        <v>44</v>
      </c>
      <c r="C1479" s="5" t="s">
        <v>209</v>
      </c>
      <c r="D1479" s="5" t="s">
        <v>210</v>
      </c>
      <c r="E1479" s="4" t="str" cm="1">
        <f t="array" ref="E1479">_xlfn.IFS(
F1479 = "A partir de Abril", "Aguardando Execução na Distribuidora",
A1479 = "CAPACITAÇÃO", "Em execução no Corporativo",
TRUE, "Em Execução na Distribuidora"
)</f>
        <v>Em Execução na Distribuidora</v>
      </c>
      <c r="F1479" s="4" t="str" cm="1">
        <f t="array" ref="F1479">_xlfn.IFS(
AG1479 &lt;&gt; "", "Jan-Dez/26",
AH1479 &lt;&gt; "", "Fev-Dez/26",
AI1479 &lt;&gt; "", "Mar-Dez/26", AJ1479 &lt;&gt; "", "Abr-Dez/26",
TRUE, "A partir de Junho"
)</f>
        <v>A partir de Junho</v>
      </c>
      <c r="G1479" s="10" t="s">
        <v>44</v>
      </c>
      <c r="H1479" s="36" t="s">
        <v>44</v>
      </c>
      <c r="I1479" s="37"/>
      <c r="J1479" s="37"/>
      <c r="K1479" s="37"/>
      <c r="L1479" s="37" t="s">
        <v>204</v>
      </c>
      <c r="M1479" s="37"/>
      <c r="N1479" s="5" t="s">
        <v>42</v>
      </c>
      <c r="O1479" s="5" t="s">
        <v>52</v>
      </c>
      <c r="P1479" s="10" t="s">
        <v>44</v>
      </c>
      <c r="Q1479" s="10" t="s">
        <v>44</v>
      </c>
      <c r="R1479" s="11" t="s">
        <v>44</v>
      </c>
      <c r="S1479" s="11" t="s">
        <v>44</v>
      </c>
      <c r="T1479" s="22"/>
      <c r="U1479" s="22"/>
      <c r="V1479" s="22"/>
      <c r="W1479" s="22"/>
      <c r="X1479" s="22"/>
      <c r="Y1479" s="22"/>
      <c r="Z1479" s="22"/>
      <c r="AA1479" s="22"/>
      <c r="AB1479" s="22"/>
      <c r="AC1479" s="22"/>
      <c r="AD1479" s="22"/>
      <c r="AE1479" s="22"/>
      <c r="AG1479" s="112"/>
      <c r="AH1479" s="112"/>
      <c r="AI1479" s="112"/>
      <c r="AJ1479" s="71"/>
      <c r="AK1479" s="71"/>
      <c r="AL1479" s="71"/>
      <c r="AM1479" s="71"/>
      <c r="AN1479" s="71"/>
      <c r="AO1479" s="71"/>
      <c r="AP1479" s="71"/>
      <c r="AQ1479" s="71"/>
      <c r="AR1479" s="71"/>
      <c r="AS1479" s="94"/>
      <c r="AT1479" s="95"/>
      <c r="AU1479" s="97"/>
      <c r="AW1479" s="84">
        <f t="shared" ref="AW1479:AW1483" si="1713">AG1479</f>
        <v>0</v>
      </c>
      <c r="AX1479" s="84">
        <f t="shared" ref="AX1479:AX1483" si="1714">AH1479</f>
        <v>0</v>
      </c>
      <c r="AY1479" s="84">
        <f t="shared" ref="AY1479:AY1483" si="1715">AI1479</f>
        <v>0</v>
      </c>
      <c r="AZ1479" s="84"/>
      <c r="BA1479" s="84"/>
      <c r="BB1479" s="84"/>
      <c r="BC1479" s="84"/>
      <c r="BD1479" s="84"/>
      <c r="BE1479" s="84"/>
      <c r="BF1479" s="84"/>
      <c r="BG1479" s="84"/>
      <c r="BH1479" s="84"/>
      <c r="BI1479" s="68" cm="1">
        <f t="array" ref="BI1479">IFERROR(INDEX(AW1479:BH1479,1,MATCH(2,1/(AW1479:BH1479&lt;&gt;""))),"")</f>
        <v>0</v>
      </c>
      <c r="BJ1479" s="68" cm="1">
        <f t="array" ref="BJ1479">IF(BM1479 = "", "",IFERROR(INDEX(AW1479:BH1479,1,MATCH(2,1/(AW1479:BH1479&lt;&gt;""),1)-1),""))</f>
        <v>0</v>
      </c>
      <c r="BK1479" s="57" cm="1">
        <f t="array" ref="BK1479">IFERROR(INDEX(AW1479:BH1479,1,MATCH(2,1/(AW1479:BH1479&lt;&gt;""),1)),"")</f>
        <v>0</v>
      </c>
      <c r="BL1479" s="57" cm="1">
        <f t="array" ref="BL1479">IF(BM1479 = "", "",IFERROR(INDEX(AW1479:BH1479,1,MATCH(2,1/(AW1479:BH1479&lt;&gt;""),1)-1),""))</f>
        <v>0</v>
      </c>
      <c r="BM1479" s="55" cm="1">
        <f t="array" ref="BM1479">IFERROR(
   INDEX($AW$1:$BH$1,
      _xlfn.AGGREGATE(14, 6, COLUMN($AW$1:$BH$1)/(AW1479:BH1479&lt;&gt;""), 2) - COLUMN($AW$1) + 1
   ),
"")</f>
        <v>46054</v>
      </c>
      <c r="BN1479" s="55" cm="1">
        <f t="array" ref="BN1479">IFERROR(INDEX($AW$1:$BH$1,1,MATCH(2,1/(AW1479:BH1479&lt;&gt;""))),"")</f>
        <v>46082</v>
      </c>
      <c r="BO1479" s="53">
        <f ca="1">IFERROR(_xlfn.XLOOKUP(F1479,Apuração!A:A,Apuração!C:C)/_xlfn.XLOOKUP(F1479,Apuração!A:A,Apuração!B:B),0)</f>
        <v>0</v>
      </c>
      <c r="BP1479" s="53">
        <f ca="1">IFERROR(_xlfn.XLOOKUP(F1479,Apuração!A:A,Apuração!D:D)/_xlfn.XLOOKUP(F1479,Apuração!A:A,Apuração!B:B),0)</f>
        <v>0</v>
      </c>
      <c r="BQ1479" s="53">
        <f ca="1">IF(BK1479&gt;=BO1479,0,_xlfn.XLOOKUP(F1479,Apuração!A:A,Apuração!B:B)*(BO1479 + (1/_xlfn.XLOOKUP(F1479,Apuração!A:A,Apuração!B:B)) - BK1479))</f>
        <v>0</v>
      </c>
      <c r="BR1479" s="85">
        <f t="shared" ref="BR1479:BR1483" ca="1" si="1716">IF(BQ1479=0,0,BQ1479*Z1479)</f>
        <v>0</v>
      </c>
      <c r="BS1479" s="53">
        <f ca="1">IFERROR((_xlfn.XLOOKUP(F1479,Apuração!A:A,Apuração!C:C)+1)/_xlfn.XLOOKUP(F1479,Apuração!A:A,Apuração!B:B),0)</f>
        <v>0.14285714285714285</v>
      </c>
    </row>
    <row r="1480" spans="1:71" ht="25.95" hidden="1" customHeight="1" x14ac:dyDescent="0.3">
      <c r="A1480" s="35" t="s">
        <v>44</v>
      </c>
      <c r="B1480" s="10" t="s">
        <v>44</v>
      </c>
      <c r="C1480" s="5" t="s">
        <v>209</v>
      </c>
      <c r="D1480" s="5" t="s">
        <v>47</v>
      </c>
      <c r="E1480" s="4" t="str" cm="1">
        <f t="array" ref="E1480">_xlfn.IFS(
F1480 = "A partir de Abril", "Aguardando Execução na Distribuidora",
A1480 = "CAPACITAÇÃO", "Em execução no Corporativo",
TRUE, "Em Execução na Distribuidora"
)</f>
        <v>Em Execução na Distribuidora</v>
      </c>
      <c r="F1480" s="4" t="str" cm="1">
        <f t="array" ref="F1480">_xlfn.IFS(
AG1480 &lt;&gt; "", "Jan-Dez/26",
AH1480 &lt;&gt; "", "Fev-Dez/26",
AI1480 &lt;&gt; "", "Mar-Dez/26", AJ1480 &lt;&gt; "", "Abr-Dez/26",
TRUE, "A partir de Junho"
)</f>
        <v>A partir de Junho</v>
      </c>
      <c r="G1480" s="10" t="s">
        <v>44</v>
      </c>
      <c r="H1480" s="36" t="s">
        <v>44</v>
      </c>
      <c r="I1480" s="37"/>
      <c r="J1480" s="37"/>
      <c r="K1480" s="37"/>
      <c r="L1480" s="37" t="s">
        <v>204</v>
      </c>
      <c r="M1480" s="37"/>
      <c r="N1480" s="5" t="s">
        <v>42</v>
      </c>
      <c r="O1480" s="5" t="s">
        <v>52</v>
      </c>
      <c r="P1480" s="10" t="s">
        <v>44</v>
      </c>
      <c r="Q1480" s="10" t="s">
        <v>44</v>
      </c>
      <c r="R1480" s="11" t="s">
        <v>44</v>
      </c>
      <c r="S1480" s="11" t="s">
        <v>44</v>
      </c>
      <c r="T1480" s="22"/>
      <c r="U1480" s="22"/>
      <c r="V1480" s="22"/>
      <c r="W1480" s="22"/>
      <c r="X1480" s="22"/>
      <c r="Y1480" s="22"/>
      <c r="Z1480" s="22"/>
      <c r="AA1480" s="22"/>
      <c r="AB1480" s="22"/>
      <c r="AC1480" s="22"/>
      <c r="AD1480" s="22"/>
      <c r="AE1480" s="22"/>
      <c r="AG1480" s="112"/>
      <c r="AH1480" s="112"/>
      <c r="AI1480" s="112"/>
      <c r="AJ1480" s="71"/>
      <c r="AK1480" s="71"/>
      <c r="AL1480" s="71"/>
      <c r="AM1480" s="71"/>
      <c r="AN1480" s="71"/>
      <c r="AO1480" s="71"/>
      <c r="AP1480" s="71"/>
      <c r="AQ1480" s="71"/>
      <c r="AR1480" s="71"/>
      <c r="AS1480" s="94"/>
      <c r="AT1480" s="95"/>
      <c r="AU1480" s="97"/>
      <c r="AW1480" s="84">
        <f t="shared" si="1713"/>
        <v>0</v>
      </c>
      <c r="AX1480" s="84">
        <f t="shared" si="1714"/>
        <v>0</v>
      </c>
      <c r="AY1480" s="84">
        <f t="shared" si="1715"/>
        <v>0</v>
      </c>
      <c r="AZ1480" s="84"/>
      <c r="BA1480" s="84"/>
      <c r="BB1480" s="84"/>
      <c r="BC1480" s="84"/>
      <c r="BD1480" s="84"/>
      <c r="BE1480" s="84"/>
      <c r="BF1480" s="84"/>
      <c r="BG1480" s="84"/>
      <c r="BH1480" s="84"/>
      <c r="BI1480" s="68" cm="1">
        <f t="array" ref="BI1480">IFERROR(INDEX(AW1480:BH1480,1,MATCH(2,1/(AW1480:BH1480&lt;&gt;""))),"")</f>
        <v>0</v>
      </c>
      <c r="BJ1480" s="68" cm="1">
        <f t="array" ref="BJ1480">IF(BM1480 = "", "",IFERROR(INDEX(AW1480:BH1480,1,MATCH(2,1/(AW1480:BH1480&lt;&gt;""),1)-1),""))</f>
        <v>0</v>
      </c>
      <c r="BK1480" s="57" cm="1">
        <f t="array" ref="BK1480">IFERROR(INDEX(AW1480:BH1480,1,MATCH(2,1/(AW1480:BH1480&lt;&gt;""),1)),"")</f>
        <v>0</v>
      </c>
      <c r="BL1480" s="57" cm="1">
        <f t="array" ref="BL1480">IF(BM1480 = "", "",IFERROR(INDEX(AW1480:BH1480,1,MATCH(2,1/(AW1480:BH1480&lt;&gt;""),1)-1),""))</f>
        <v>0</v>
      </c>
      <c r="BM1480" s="55" cm="1">
        <f t="array" ref="BM1480">IFERROR(
   INDEX($AW$1:$BH$1,
      _xlfn.AGGREGATE(14, 6, COLUMN($AW$1:$BH$1)/(AW1480:BH1480&lt;&gt;""), 2) - COLUMN($AW$1) + 1
   ),
"")</f>
        <v>46054</v>
      </c>
      <c r="BN1480" s="55" cm="1">
        <f t="array" ref="BN1480">IFERROR(INDEX($AW$1:$BH$1,1,MATCH(2,1/(AW1480:BH1480&lt;&gt;""))),"")</f>
        <v>46082</v>
      </c>
      <c r="BO1480" s="53">
        <f ca="1">IFERROR(_xlfn.XLOOKUP(F1480,Apuração!A:A,Apuração!C:C)/_xlfn.XLOOKUP(F1480,Apuração!A:A,Apuração!B:B),0)</f>
        <v>0</v>
      </c>
      <c r="BP1480" s="53">
        <f ca="1">IFERROR(_xlfn.XLOOKUP(F1480,Apuração!A:A,Apuração!D:D)/_xlfn.XLOOKUP(F1480,Apuração!A:A,Apuração!B:B),0)</f>
        <v>0</v>
      </c>
      <c r="BQ1480" s="53">
        <f ca="1">IF(BK1480&gt;=BO1480,0,_xlfn.XLOOKUP(F1480,Apuração!A:A,Apuração!B:B)*(BO1480 + (1/_xlfn.XLOOKUP(F1480,Apuração!A:A,Apuração!B:B)) - BK1480))</f>
        <v>0</v>
      </c>
      <c r="BR1480" s="85">
        <f t="shared" ca="1" si="1716"/>
        <v>0</v>
      </c>
      <c r="BS1480" s="53">
        <f ca="1">IFERROR((_xlfn.XLOOKUP(F1480,Apuração!A:A,Apuração!C:C)+1)/_xlfn.XLOOKUP(F1480,Apuração!A:A,Apuração!B:B),0)</f>
        <v>0.14285714285714285</v>
      </c>
    </row>
    <row r="1481" spans="1:71" ht="25.95" hidden="1" customHeight="1" x14ac:dyDescent="0.3">
      <c r="A1481" s="35" t="s">
        <v>44</v>
      </c>
      <c r="B1481" s="10" t="s">
        <v>44</v>
      </c>
      <c r="C1481" s="5" t="s">
        <v>209</v>
      </c>
      <c r="D1481" s="5" t="s">
        <v>211</v>
      </c>
      <c r="E1481" s="4" t="str" cm="1">
        <f t="array" ref="E1481">_xlfn.IFS(
F1481 = "A partir de Abril", "Aguardando Execução na Distribuidora",
A1481 = "CAPACITAÇÃO", "Em execução no Corporativo",
TRUE, "Em Execução na Distribuidora"
)</f>
        <v>Em Execução na Distribuidora</v>
      </c>
      <c r="F1481" s="4" t="str" cm="1">
        <f t="array" ref="F1481">_xlfn.IFS(
AG1481 &lt;&gt; "", "Jan-Dez/26",
AH1481 &lt;&gt; "", "Fev-Dez/26",
AI1481 &lt;&gt; "", "Mar-Dez/26", AJ1481 &lt;&gt; "", "Abr-Dez/26",
TRUE, "A partir de Junho"
)</f>
        <v>A partir de Junho</v>
      </c>
      <c r="G1481" s="10" t="s">
        <v>44</v>
      </c>
      <c r="H1481" s="36" t="s">
        <v>44</v>
      </c>
      <c r="I1481" s="37"/>
      <c r="J1481" s="37"/>
      <c r="K1481" s="37"/>
      <c r="L1481" s="37" t="s">
        <v>204</v>
      </c>
      <c r="M1481" s="37"/>
      <c r="N1481" s="5" t="s">
        <v>42</v>
      </c>
      <c r="O1481" s="5" t="s">
        <v>52</v>
      </c>
      <c r="P1481" s="10" t="s">
        <v>44</v>
      </c>
      <c r="Q1481" s="10" t="s">
        <v>44</v>
      </c>
      <c r="R1481" s="11" t="s">
        <v>44</v>
      </c>
      <c r="S1481" s="11" t="s">
        <v>44</v>
      </c>
      <c r="T1481" s="22"/>
      <c r="U1481" s="22"/>
      <c r="V1481" s="22"/>
      <c r="W1481" s="22"/>
      <c r="X1481" s="22"/>
      <c r="Y1481" s="22"/>
      <c r="Z1481" s="22"/>
      <c r="AA1481" s="22"/>
      <c r="AB1481" s="22"/>
      <c r="AC1481" s="22"/>
      <c r="AD1481" s="22"/>
      <c r="AE1481" s="22"/>
      <c r="AG1481" s="112"/>
      <c r="AH1481" s="112"/>
      <c r="AI1481" s="112"/>
      <c r="AJ1481" s="71"/>
      <c r="AK1481" s="71"/>
      <c r="AL1481" s="71"/>
      <c r="AM1481" s="71"/>
      <c r="AN1481" s="71"/>
      <c r="AO1481" s="71"/>
      <c r="AP1481" s="71"/>
      <c r="AQ1481" s="71"/>
      <c r="AR1481" s="71"/>
      <c r="AS1481" s="94"/>
      <c r="AT1481" s="95"/>
      <c r="AU1481" s="97"/>
      <c r="AW1481" s="84">
        <f t="shared" si="1713"/>
        <v>0</v>
      </c>
      <c r="AX1481" s="84">
        <f t="shared" si="1714"/>
        <v>0</v>
      </c>
      <c r="AY1481" s="84">
        <f t="shared" si="1715"/>
        <v>0</v>
      </c>
      <c r="AZ1481" s="84"/>
      <c r="BA1481" s="84"/>
      <c r="BB1481" s="84"/>
      <c r="BC1481" s="84"/>
      <c r="BD1481" s="84"/>
      <c r="BE1481" s="84"/>
      <c r="BF1481" s="84"/>
      <c r="BG1481" s="84"/>
      <c r="BH1481" s="84"/>
      <c r="BI1481" s="68" cm="1">
        <f t="array" ref="BI1481">IFERROR(INDEX(AW1481:BH1481,1,MATCH(2,1/(AW1481:BH1481&lt;&gt;""))),"")</f>
        <v>0</v>
      </c>
      <c r="BJ1481" s="68" cm="1">
        <f t="array" ref="BJ1481">IF(BM1481 = "", "",IFERROR(INDEX(AW1481:BH1481,1,MATCH(2,1/(AW1481:BH1481&lt;&gt;""),1)-1),""))</f>
        <v>0</v>
      </c>
      <c r="BK1481" s="57" cm="1">
        <f t="array" ref="BK1481">IFERROR(INDEX(AW1481:BH1481,1,MATCH(2,1/(AW1481:BH1481&lt;&gt;""),1)),"")</f>
        <v>0</v>
      </c>
      <c r="BL1481" s="57" cm="1">
        <f t="array" ref="BL1481">IF(BM1481 = "", "",IFERROR(INDEX(AW1481:BH1481,1,MATCH(2,1/(AW1481:BH1481&lt;&gt;""),1)-1),""))</f>
        <v>0</v>
      </c>
      <c r="BM1481" s="55" cm="1">
        <f t="array" ref="BM1481">IFERROR(
   INDEX($AW$1:$BH$1,
      _xlfn.AGGREGATE(14, 6, COLUMN($AW$1:$BH$1)/(AW1481:BH1481&lt;&gt;""), 2) - COLUMN($AW$1) + 1
   ),
"")</f>
        <v>46054</v>
      </c>
      <c r="BN1481" s="55" cm="1">
        <f t="array" ref="BN1481">IFERROR(INDEX($AW$1:$BH$1,1,MATCH(2,1/(AW1481:BH1481&lt;&gt;""))),"")</f>
        <v>46082</v>
      </c>
      <c r="BO1481" s="53">
        <f ca="1">IFERROR(_xlfn.XLOOKUP(F1481,Apuração!A:A,Apuração!C:C)/_xlfn.XLOOKUP(F1481,Apuração!A:A,Apuração!B:B),0)</f>
        <v>0</v>
      </c>
      <c r="BP1481" s="53">
        <f ca="1">IFERROR(_xlfn.XLOOKUP(F1481,Apuração!A:A,Apuração!D:D)/_xlfn.XLOOKUP(F1481,Apuração!A:A,Apuração!B:B),0)</f>
        <v>0</v>
      </c>
      <c r="BQ1481" s="53">
        <f ca="1">IF(BK1481&gt;=BO1481,0,_xlfn.XLOOKUP(F1481,Apuração!A:A,Apuração!B:B)*(BO1481 + (1/_xlfn.XLOOKUP(F1481,Apuração!A:A,Apuração!B:B)) - BK1481))</f>
        <v>0</v>
      </c>
      <c r="BR1481" s="85">
        <f t="shared" ca="1" si="1716"/>
        <v>0</v>
      </c>
      <c r="BS1481" s="53">
        <f ca="1">IFERROR((_xlfn.XLOOKUP(F1481,Apuração!A:A,Apuração!C:C)+1)/_xlfn.XLOOKUP(F1481,Apuração!A:A,Apuração!B:B),0)</f>
        <v>0.14285714285714285</v>
      </c>
    </row>
    <row r="1482" spans="1:71" ht="25.95" hidden="1" customHeight="1" x14ac:dyDescent="0.3">
      <c r="A1482" s="35" t="s">
        <v>44</v>
      </c>
      <c r="B1482" s="10" t="s">
        <v>44</v>
      </c>
      <c r="C1482" s="5" t="s">
        <v>209</v>
      </c>
      <c r="D1482" s="5" t="s">
        <v>212</v>
      </c>
      <c r="E1482" s="4" t="str" cm="1">
        <f t="array" ref="E1482">_xlfn.IFS(
F1482 = "A partir de Abril", "Aguardando Execução na Distribuidora",
A1482 = "CAPACITAÇÃO", "Em execução no Corporativo",
TRUE, "Em Execução na Distribuidora"
)</f>
        <v>Em Execução na Distribuidora</v>
      </c>
      <c r="F1482" s="4" t="str" cm="1">
        <f t="array" ref="F1482">_xlfn.IFS(
AG1482 &lt;&gt; "", "Jan-Dez/26",
AH1482 &lt;&gt; "", "Fev-Dez/26",
AI1482 &lt;&gt; "", "Mar-Dez/26", AJ1482 &lt;&gt; "", "Abr-Dez/26",
TRUE, "A partir de Junho"
)</f>
        <v>A partir de Junho</v>
      </c>
      <c r="G1482" s="10" t="s">
        <v>44</v>
      </c>
      <c r="H1482" s="36" t="s">
        <v>44</v>
      </c>
      <c r="I1482" s="37"/>
      <c r="J1482" s="37"/>
      <c r="K1482" s="37"/>
      <c r="L1482" s="37" t="s">
        <v>204</v>
      </c>
      <c r="M1482" s="37"/>
      <c r="N1482" s="5" t="s">
        <v>42</v>
      </c>
      <c r="O1482" s="5" t="s">
        <v>52</v>
      </c>
      <c r="P1482" s="10" t="s">
        <v>44</v>
      </c>
      <c r="Q1482" s="10" t="s">
        <v>44</v>
      </c>
      <c r="R1482" s="11" t="s">
        <v>44</v>
      </c>
      <c r="S1482" s="11" t="s">
        <v>44</v>
      </c>
      <c r="T1482" s="22"/>
      <c r="U1482" s="22"/>
      <c r="V1482" s="22"/>
      <c r="W1482" s="22"/>
      <c r="X1482" s="22"/>
      <c r="Y1482" s="22"/>
      <c r="Z1482" s="22"/>
      <c r="AA1482" s="22"/>
      <c r="AB1482" s="22"/>
      <c r="AC1482" s="22"/>
      <c r="AD1482" s="22"/>
      <c r="AE1482" s="22"/>
      <c r="AG1482" s="112"/>
      <c r="AH1482" s="112"/>
      <c r="AI1482" s="112"/>
      <c r="AJ1482" s="71"/>
      <c r="AK1482" s="71"/>
      <c r="AL1482" s="71"/>
      <c r="AM1482" s="71"/>
      <c r="AN1482" s="71"/>
      <c r="AO1482" s="71"/>
      <c r="AP1482" s="71"/>
      <c r="AQ1482" s="71"/>
      <c r="AR1482" s="71"/>
      <c r="AS1482" s="94"/>
      <c r="AT1482" s="95"/>
      <c r="AU1482" s="97"/>
      <c r="AW1482" s="84">
        <f t="shared" si="1713"/>
        <v>0</v>
      </c>
      <c r="AX1482" s="84">
        <f t="shared" si="1714"/>
        <v>0</v>
      </c>
      <c r="AY1482" s="84">
        <f t="shared" si="1715"/>
        <v>0</v>
      </c>
      <c r="AZ1482" s="84"/>
      <c r="BA1482" s="84"/>
      <c r="BB1482" s="84"/>
      <c r="BC1482" s="84"/>
      <c r="BD1482" s="84"/>
      <c r="BE1482" s="84"/>
      <c r="BF1482" s="84"/>
      <c r="BG1482" s="84"/>
      <c r="BH1482" s="84"/>
      <c r="BI1482" s="68" cm="1">
        <f t="array" ref="BI1482">IFERROR(INDEX(AW1482:BH1482,1,MATCH(2,1/(AW1482:BH1482&lt;&gt;""))),"")</f>
        <v>0</v>
      </c>
      <c r="BJ1482" s="68" cm="1">
        <f t="array" ref="BJ1482">IF(BM1482 = "", "",IFERROR(INDEX(AW1482:BH1482,1,MATCH(2,1/(AW1482:BH1482&lt;&gt;""),1)-1),""))</f>
        <v>0</v>
      </c>
      <c r="BK1482" s="57" cm="1">
        <f t="array" ref="BK1482">IFERROR(INDEX(AW1482:BH1482,1,MATCH(2,1/(AW1482:BH1482&lt;&gt;""),1)),"")</f>
        <v>0</v>
      </c>
      <c r="BL1482" s="57" cm="1">
        <f t="array" ref="BL1482">IF(BM1482 = "", "",IFERROR(INDEX(AW1482:BH1482,1,MATCH(2,1/(AW1482:BH1482&lt;&gt;""),1)-1),""))</f>
        <v>0</v>
      </c>
      <c r="BM1482" s="55" cm="1">
        <f t="array" ref="BM1482">IFERROR(
   INDEX($AW$1:$BH$1,
      _xlfn.AGGREGATE(14, 6, COLUMN($AW$1:$BH$1)/(AW1482:BH1482&lt;&gt;""), 2) - COLUMN($AW$1) + 1
   ),
"")</f>
        <v>46054</v>
      </c>
      <c r="BN1482" s="55" cm="1">
        <f t="array" ref="BN1482">IFERROR(INDEX($AW$1:$BH$1,1,MATCH(2,1/(AW1482:BH1482&lt;&gt;""))),"")</f>
        <v>46082</v>
      </c>
      <c r="BO1482" s="53">
        <f ca="1">IFERROR(_xlfn.XLOOKUP(F1482,Apuração!A:A,Apuração!C:C)/_xlfn.XLOOKUP(F1482,Apuração!A:A,Apuração!B:B),0)</f>
        <v>0</v>
      </c>
      <c r="BP1482" s="53">
        <f ca="1">IFERROR(_xlfn.XLOOKUP(F1482,Apuração!A:A,Apuração!D:D)/_xlfn.XLOOKUP(F1482,Apuração!A:A,Apuração!B:B),0)</f>
        <v>0</v>
      </c>
      <c r="BQ1482" s="53">
        <f ca="1">IF(BK1482&gt;=BO1482,0,_xlfn.XLOOKUP(F1482,Apuração!A:A,Apuração!B:B)*(BO1482 + (1/_xlfn.XLOOKUP(F1482,Apuração!A:A,Apuração!B:B)) - BK1482))</f>
        <v>0</v>
      </c>
      <c r="BR1482" s="85">
        <f t="shared" ca="1" si="1716"/>
        <v>0</v>
      </c>
      <c r="BS1482" s="53">
        <f ca="1">IFERROR((_xlfn.XLOOKUP(F1482,Apuração!A:A,Apuração!C:C)+1)/_xlfn.XLOOKUP(F1482,Apuração!A:A,Apuração!B:B),0)</f>
        <v>0.14285714285714285</v>
      </c>
    </row>
    <row r="1483" spans="1:71" ht="25.95" hidden="1" customHeight="1" x14ac:dyDescent="0.3">
      <c r="A1483" s="35" t="s">
        <v>44</v>
      </c>
      <c r="B1483" s="10" t="s">
        <v>44</v>
      </c>
      <c r="C1483" s="5" t="s">
        <v>209</v>
      </c>
      <c r="D1483" s="5" t="s">
        <v>213</v>
      </c>
      <c r="E1483" s="4" t="str" cm="1">
        <f t="array" ref="E1483">_xlfn.IFS(
F1483 = "A partir de Abril", "Aguardando Execução na Distribuidora",
A1483 = "CAPACITAÇÃO", "Em execução no Corporativo",
TRUE, "Em Execução na Distribuidora"
)</f>
        <v>Em Execução na Distribuidora</v>
      </c>
      <c r="F1483" s="4" t="str" cm="1">
        <f t="array" ref="F1483">_xlfn.IFS(
AG1483 &lt;&gt; "", "Jan-Dez/26",
AH1483 &lt;&gt; "", "Fev-Dez/26",
AI1483 &lt;&gt; "", "Mar-Dez/26", AJ1483 &lt;&gt; "", "Abr-Dez/26",
TRUE, "A partir de Junho"
)</f>
        <v>A partir de Junho</v>
      </c>
      <c r="G1483" s="10" t="s">
        <v>44</v>
      </c>
      <c r="H1483" s="36" t="s">
        <v>44</v>
      </c>
      <c r="I1483" s="37"/>
      <c r="J1483" s="37"/>
      <c r="K1483" s="37"/>
      <c r="L1483" s="37" t="s">
        <v>204</v>
      </c>
      <c r="M1483" s="37"/>
      <c r="N1483" s="5" t="s">
        <v>42</v>
      </c>
      <c r="O1483" s="5" t="s">
        <v>52</v>
      </c>
      <c r="P1483" s="10" t="s">
        <v>44</v>
      </c>
      <c r="Q1483" s="10" t="s">
        <v>44</v>
      </c>
      <c r="R1483" s="11" t="s">
        <v>44</v>
      </c>
      <c r="S1483" s="11" t="s">
        <v>44</v>
      </c>
      <c r="T1483" s="22"/>
      <c r="U1483" s="22"/>
      <c r="V1483" s="22"/>
      <c r="W1483" s="22"/>
      <c r="X1483" s="22"/>
      <c r="Y1483" s="22"/>
      <c r="Z1483" s="22"/>
      <c r="AA1483" s="22"/>
      <c r="AB1483" s="22"/>
      <c r="AC1483" s="22"/>
      <c r="AD1483" s="22"/>
      <c r="AE1483" s="22"/>
      <c r="AG1483" s="112"/>
      <c r="AH1483" s="112"/>
      <c r="AI1483" s="112"/>
      <c r="AJ1483" s="71"/>
      <c r="AK1483" s="71"/>
      <c r="AL1483" s="71"/>
      <c r="AM1483" s="71"/>
      <c r="AN1483" s="71"/>
      <c r="AO1483" s="71"/>
      <c r="AP1483" s="71"/>
      <c r="AQ1483" s="71"/>
      <c r="AR1483" s="71"/>
      <c r="AS1483" s="94"/>
      <c r="AT1483" s="95"/>
      <c r="AU1483" s="97"/>
      <c r="AW1483" s="84">
        <f t="shared" si="1713"/>
        <v>0</v>
      </c>
      <c r="AX1483" s="84">
        <f t="shared" si="1714"/>
        <v>0</v>
      </c>
      <c r="AY1483" s="84">
        <f t="shared" si="1715"/>
        <v>0</v>
      </c>
      <c r="AZ1483" s="84"/>
      <c r="BA1483" s="84"/>
      <c r="BB1483" s="84"/>
      <c r="BC1483" s="84"/>
      <c r="BD1483" s="84"/>
      <c r="BE1483" s="84"/>
      <c r="BF1483" s="84"/>
      <c r="BG1483" s="84"/>
      <c r="BH1483" s="84"/>
      <c r="BI1483" s="68" cm="1">
        <f t="array" ref="BI1483">IFERROR(INDEX(AW1483:BH1483,1,MATCH(2,1/(AW1483:BH1483&lt;&gt;""))),"")</f>
        <v>0</v>
      </c>
      <c r="BJ1483" s="68" cm="1">
        <f t="array" ref="BJ1483">IF(BM1483 = "", "",IFERROR(INDEX(AW1483:BH1483,1,MATCH(2,1/(AW1483:BH1483&lt;&gt;""),1)-1),""))</f>
        <v>0</v>
      </c>
      <c r="BK1483" s="57" cm="1">
        <f t="array" ref="BK1483">IFERROR(INDEX(AW1483:BH1483,1,MATCH(2,1/(AW1483:BH1483&lt;&gt;""),1)),"")</f>
        <v>0</v>
      </c>
      <c r="BL1483" s="57" cm="1">
        <f t="array" ref="BL1483">IF(BM1483 = "", "",IFERROR(INDEX(AW1483:BH1483,1,MATCH(2,1/(AW1483:BH1483&lt;&gt;""),1)-1),""))</f>
        <v>0</v>
      </c>
      <c r="BM1483" s="55" cm="1">
        <f t="array" ref="BM1483">IFERROR(
   INDEX($AW$1:$BH$1,
      _xlfn.AGGREGATE(14, 6, COLUMN($AW$1:$BH$1)/(AW1483:BH1483&lt;&gt;""), 2) - COLUMN($AW$1) + 1
   ),
"")</f>
        <v>46054</v>
      </c>
      <c r="BN1483" s="55" cm="1">
        <f t="array" ref="BN1483">IFERROR(INDEX($AW$1:$BH$1,1,MATCH(2,1/(AW1483:BH1483&lt;&gt;""))),"")</f>
        <v>46082</v>
      </c>
      <c r="BO1483" s="53">
        <f ca="1">IFERROR(_xlfn.XLOOKUP(F1483,Apuração!A:A,Apuração!C:C)/_xlfn.XLOOKUP(F1483,Apuração!A:A,Apuração!B:B),0)</f>
        <v>0</v>
      </c>
      <c r="BP1483" s="53">
        <f ca="1">IFERROR(_xlfn.XLOOKUP(F1483,Apuração!A:A,Apuração!D:D)/_xlfn.XLOOKUP(F1483,Apuração!A:A,Apuração!B:B),0)</f>
        <v>0</v>
      </c>
      <c r="BQ1483" s="53">
        <f ca="1">IF(BK1483&gt;=BO1483,0,_xlfn.XLOOKUP(F1483,Apuração!A:A,Apuração!B:B)*(BO1483 + (1/_xlfn.XLOOKUP(F1483,Apuração!A:A,Apuração!B:B)) - BK1483))</f>
        <v>0</v>
      </c>
      <c r="BR1483" s="85">
        <f t="shared" ca="1" si="1716"/>
        <v>0</v>
      </c>
      <c r="BS1483" s="53">
        <f ca="1">IFERROR((_xlfn.XLOOKUP(F1483,Apuração!A:A,Apuração!C:C)+1)/_xlfn.XLOOKUP(F1483,Apuração!A:A,Apuração!B:B),0)</f>
        <v>0.14285714285714285</v>
      </c>
    </row>
    <row r="1484" spans="1:71" ht="25.95" hidden="1" customHeight="1" x14ac:dyDescent="0.3">
      <c r="A1484" s="35" t="s">
        <v>44</v>
      </c>
      <c r="B1484" s="10" t="s">
        <v>44</v>
      </c>
      <c r="C1484" s="5" t="s">
        <v>209</v>
      </c>
      <c r="D1484" s="5" t="s">
        <v>36</v>
      </c>
      <c r="E1484" s="4" t="str" cm="1">
        <f t="array" ref="E1484">_xlfn.IFS(
F1484 = "A partir de Abril", "Aguardando Execução na Distribuidora",
A1484 = "CAPACITAÇÃO", "Em execução no Corporativo",
TRUE, "Em Execução na Distribuidora"
)</f>
        <v>Em Execução na Distribuidora</v>
      </c>
      <c r="F1484" s="4" t="str" cm="1">
        <f t="array" ref="F1484">_xlfn.IFS(
AG1484 &lt;&gt; "", "Jan-Dez/26",
AH1484 &lt;&gt; "", "Fev-Dez/26",
AI1484 &lt;&gt; "", "Mar-Dez/26", AJ1484 &lt;&gt; "", "Abr-Dez/26",
TRUE, "A partir de Junho"
)</f>
        <v>Jan-Dez/26</v>
      </c>
      <c r="G1484" s="10" t="s">
        <v>44</v>
      </c>
      <c r="H1484" s="36" t="s">
        <v>44</v>
      </c>
      <c r="I1484" s="37"/>
      <c r="J1484" s="37"/>
      <c r="K1484" s="37"/>
      <c r="L1484" s="37" t="s">
        <v>206</v>
      </c>
      <c r="M1484" s="37"/>
      <c r="N1484" s="5" t="s">
        <v>42</v>
      </c>
      <c r="O1484" s="5" t="s">
        <v>52</v>
      </c>
      <c r="P1484" s="10" t="s">
        <v>44</v>
      </c>
      <c r="Q1484" s="10" t="s">
        <v>44</v>
      </c>
      <c r="R1484" s="11" t="s">
        <v>44</v>
      </c>
      <c r="S1484" s="11" t="s">
        <v>44</v>
      </c>
      <c r="T1484" s="22"/>
      <c r="U1484" s="22"/>
      <c r="V1484" s="22"/>
      <c r="W1484" s="22"/>
      <c r="X1484" s="22"/>
      <c r="Y1484" s="22"/>
      <c r="Z1484" s="22"/>
      <c r="AA1484" s="22"/>
      <c r="AB1484" s="22"/>
      <c r="AC1484" s="22"/>
      <c r="AD1484" s="22"/>
      <c r="AE1484" s="22"/>
      <c r="AG1484" s="112">
        <v>0.67349020904853218</v>
      </c>
      <c r="AH1484" s="112">
        <v>1.4075013148525406</v>
      </c>
      <c r="AI1484" s="112">
        <v>0.9064882700168575</v>
      </c>
      <c r="AJ1484" s="112">
        <v>1.1000000000000001</v>
      </c>
      <c r="AK1484" s="112"/>
      <c r="AL1484" s="112"/>
      <c r="AM1484" s="112"/>
      <c r="AN1484" s="112"/>
      <c r="AO1484" s="112"/>
      <c r="AP1484" s="112"/>
      <c r="AQ1484" s="112"/>
      <c r="AR1484" s="112"/>
      <c r="AS1484" s="94"/>
      <c r="AT1484" s="95"/>
      <c r="AU1484" s="97"/>
      <c r="AW1484" s="84">
        <f>AG1484</f>
        <v>0.67349020904853218</v>
      </c>
      <c r="AX1484" s="84">
        <f>AH1484</f>
        <v>1.4075013148525406</v>
      </c>
      <c r="AY1484" s="84">
        <f>AI1484</f>
        <v>0.9064882700168575</v>
      </c>
      <c r="AZ1484" s="84">
        <f>AJ1484</f>
        <v>1.1000000000000001</v>
      </c>
      <c r="BA1484" s="84"/>
      <c r="BB1484" s="84"/>
      <c r="BC1484" s="84"/>
      <c r="BD1484" s="84"/>
      <c r="BE1484" s="84"/>
      <c r="BF1484" s="84"/>
      <c r="BG1484" s="84"/>
      <c r="BH1484" s="84"/>
      <c r="BI1484" s="68" cm="1">
        <f t="array" ref="BI1484">IFERROR(INDEX(AW1484:BH1484,1,MATCH(2,1/(AW1484:BH1484&lt;&gt;""))),"")</f>
        <v>1.1000000000000001</v>
      </c>
      <c r="BJ1484" s="68" cm="1">
        <f t="array" ref="BJ1484">IF(BM1484 = "", "",IFERROR(INDEX(AW1484:BH1484,1,MATCH(2,1/(AW1484:BH1484&lt;&gt;""),1)-1),""))</f>
        <v>0.9064882700168575</v>
      </c>
      <c r="BK1484" s="57" cm="1">
        <f t="array" ref="BK1484">IFERROR(INDEX(AW1484:BH1484,1,MATCH(2,1/(AW1484:BH1484&lt;&gt;""),1)),"")</f>
        <v>1.1000000000000001</v>
      </c>
      <c r="BL1484" s="57" cm="1">
        <f t="array" ref="BL1484">IF(BM1484 = "", "",IFERROR(INDEX(AW1484:BH1484,1,MATCH(2,1/(AW1484:BH1484&lt;&gt;""),1)-1),""))</f>
        <v>0.9064882700168575</v>
      </c>
      <c r="BM1484" s="55" cm="1">
        <f t="array" ref="BM1484">IFERROR(
   INDEX($AW$1:$BH$1,
      _xlfn.AGGREGATE(14, 6, COLUMN($AW$1:$BH$1)/(AW1484:BH1484&lt;&gt;""), 2) - COLUMN($AW$1) + 1
   ),
"")</f>
        <v>46082</v>
      </c>
      <c r="BN1484" s="55" cm="1">
        <f t="array" ref="BN1484">IFERROR(INDEX($AW$1:$BH$1,1,MATCH(2,1/(AW1484:BH1484&lt;&gt;""))),"")</f>
        <v>46113</v>
      </c>
      <c r="BO1484" s="53">
        <f ca="1">IFERROR(_xlfn.XLOOKUP(F1484,Apuração!A:A,Apuração!C:C)/_xlfn.XLOOKUP(F1484,Apuração!A:A,Apuração!B:B),0)</f>
        <v>0.41666666666666669</v>
      </c>
      <c r="BP1484" s="53">
        <f ca="1">IFERROR(_xlfn.XLOOKUP(F1484,Apuração!A:A,Apuração!D:D)/_xlfn.XLOOKUP(F1484,Apuração!A:A,Apuração!B:B),0)</f>
        <v>0.33333333333333331</v>
      </c>
      <c r="BQ1484" s="53">
        <f ca="1">IF(BK1484&gt;=BO1484,0,_xlfn.XLOOKUP(F1484,Apuração!A:A,Apuração!B:B)*(BO1484 + (1/_xlfn.XLOOKUP(F1484,Apuração!A:A,Apuração!B:B)) - BK1484))</f>
        <v>0</v>
      </c>
      <c r="BR1484" s="85">
        <f ca="1">IF(BQ1484=0,0,BQ1484*Z1484)</f>
        <v>0</v>
      </c>
      <c r="BS1484" s="53">
        <f ca="1">IFERROR((_xlfn.XLOOKUP(F1484,Apuração!A:A,Apuração!C:C)+1)/_xlfn.XLOOKUP(F1484,Apuração!A:A,Apuração!B:B),0)</f>
        <v>0.5</v>
      </c>
    </row>
    <row r="1485" spans="1:71" ht="25.95" hidden="1" customHeight="1" x14ac:dyDescent="0.3">
      <c r="A1485" s="35" t="s">
        <v>44</v>
      </c>
      <c r="B1485" s="10" t="s">
        <v>44</v>
      </c>
      <c r="C1485" s="5" t="s">
        <v>209</v>
      </c>
      <c r="D1485" s="5" t="s">
        <v>210</v>
      </c>
      <c r="E1485" s="4" t="str" cm="1">
        <f t="array" ref="E1485">_xlfn.IFS(
F1485 = "A partir de Abril", "Aguardando Execução na Distribuidora",
A1485 = "CAPACITAÇÃO", "Em execução no Corporativo",
TRUE, "Em Execução na Distribuidora"
)</f>
        <v>Em Execução na Distribuidora</v>
      </c>
      <c r="F1485" s="4" t="str" cm="1">
        <f t="array" ref="F1485">_xlfn.IFS(
AG1485 &lt;&gt; "", "Jan-Dez/26",
AH1485 &lt;&gt; "", "Fev-Dez/26",
AI1485 &lt;&gt; "", "Mar-Dez/26", AJ1485 &lt;&gt; "", "Abr-Dez/26",
TRUE, "A partir de Junho"
)</f>
        <v>A partir de Junho</v>
      </c>
      <c r="G1485" s="10" t="s">
        <v>44</v>
      </c>
      <c r="H1485" s="36" t="s">
        <v>44</v>
      </c>
      <c r="I1485" s="37"/>
      <c r="J1485" s="37"/>
      <c r="K1485" s="37"/>
      <c r="L1485" s="37" t="s">
        <v>206</v>
      </c>
      <c r="M1485" s="37"/>
      <c r="N1485" s="5" t="s">
        <v>42</v>
      </c>
      <c r="O1485" s="5" t="s">
        <v>52</v>
      </c>
      <c r="P1485" s="10" t="s">
        <v>44</v>
      </c>
      <c r="Q1485" s="10" t="s">
        <v>44</v>
      </c>
      <c r="R1485" s="11" t="s">
        <v>44</v>
      </c>
      <c r="S1485" s="11" t="s">
        <v>44</v>
      </c>
      <c r="T1485" s="22"/>
      <c r="U1485" s="22"/>
      <c r="V1485" s="22"/>
      <c r="W1485" s="22"/>
      <c r="X1485" s="22"/>
      <c r="Y1485" s="22"/>
      <c r="Z1485" s="22"/>
      <c r="AA1485" s="22"/>
      <c r="AB1485" s="22"/>
      <c r="AC1485" s="22"/>
      <c r="AD1485" s="22"/>
      <c r="AE1485" s="22"/>
      <c r="AG1485" s="112"/>
      <c r="AH1485" s="112"/>
      <c r="AI1485" s="112"/>
      <c r="AJ1485" s="71"/>
      <c r="AK1485" s="71"/>
      <c r="AL1485" s="71"/>
      <c r="AM1485" s="71"/>
      <c r="AN1485" s="71"/>
      <c r="AO1485" s="71"/>
      <c r="AP1485" s="71"/>
      <c r="AQ1485" s="71"/>
      <c r="AR1485" s="71"/>
      <c r="AS1485" s="94"/>
      <c r="AT1485" s="95"/>
      <c r="AU1485" s="97"/>
      <c r="AW1485" s="84">
        <f t="shared" ref="AW1485:AW1489" si="1717">AG1485</f>
        <v>0</v>
      </c>
      <c r="AX1485" s="84">
        <f t="shared" ref="AX1485:AX1490" si="1718">AH1485</f>
        <v>0</v>
      </c>
      <c r="AY1485" s="84">
        <f t="shared" ref="AY1485:AY1490" si="1719">AI1485</f>
        <v>0</v>
      </c>
      <c r="AZ1485" s="84"/>
      <c r="BA1485" s="84"/>
      <c r="BB1485" s="84"/>
      <c r="BC1485" s="84"/>
      <c r="BD1485" s="84"/>
      <c r="BE1485" s="84"/>
      <c r="BF1485" s="84"/>
      <c r="BG1485" s="84"/>
      <c r="BH1485" s="84"/>
      <c r="BI1485" s="68" cm="1">
        <f t="array" ref="BI1485">IFERROR(INDEX(AW1485:BH1485,1,MATCH(2,1/(AW1485:BH1485&lt;&gt;""))),"")</f>
        <v>0</v>
      </c>
      <c r="BJ1485" s="68" cm="1">
        <f t="array" ref="BJ1485">IF(BM1485 = "", "",IFERROR(INDEX(AW1485:BH1485,1,MATCH(2,1/(AW1485:BH1485&lt;&gt;""),1)-1),""))</f>
        <v>0</v>
      </c>
      <c r="BK1485" s="57" cm="1">
        <f t="array" ref="BK1485">IFERROR(INDEX(AW1485:BH1485,1,MATCH(2,1/(AW1485:BH1485&lt;&gt;""),1)),"")</f>
        <v>0</v>
      </c>
      <c r="BL1485" s="57" cm="1">
        <f t="array" ref="BL1485">IF(BM1485 = "", "",IFERROR(INDEX(AW1485:BH1485,1,MATCH(2,1/(AW1485:BH1485&lt;&gt;""),1)-1),""))</f>
        <v>0</v>
      </c>
      <c r="BM1485" s="55" cm="1">
        <f t="array" ref="BM1485">IFERROR(
   INDEX($AW$1:$BH$1,
      _xlfn.AGGREGATE(14, 6, COLUMN($AW$1:$BH$1)/(AW1485:BH1485&lt;&gt;""), 2) - COLUMN($AW$1) + 1
   ),
"")</f>
        <v>46054</v>
      </c>
      <c r="BN1485" s="55" cm="1">
        <f t="array" ref="BN1485">IFERROR(INDEX($AW$1:$BH$1,1,MATCH(2,1/(AW1485:BH1485&lt;&gt;""))),"")</f>
        <v>46082</v>
      </c>
      <c r="BO1485" s="53">
        <f ca="1">IFERROR(_xlfn.XLOOKUP(F1485,Apuração!A:A,Apuração!C:C)/_xlfn.XLOOKUP(F1485,Apuração!A:A,Apuração!B:B),0)</f>
        <v>0</v>
      </c>
      <c r="BP1485" s="53">
        <f ca="1">IFERROR(_xlfn.XLOOKUP(F1485,Apuração!A:A,Apuração!D:D)/_xlfn.XLOOKUP(F1485,Apuração!A:A,Apuração!B:B),0)</f>
        <v>0</v>
      </c>
      <c r="BQ1485" s="53">
        <f ca="1">IF(BK1485&gt;=BO1485,0,_xlfn.XLOOKUP(F1485,Apuração!A:A,Apuração!B:B)*(BO1485 + (1/_xlfn.XLOOKUP(F1485,Apuração!A:A,Apuração!B:B)) - BK1485))</f>
        <v>0</v>
      </c>
      <c r="BR1485" s="85">
        <f t="shared" ref="BR1485:BR1489" ca="1" si="1720">IF(BQ1485=0,0,BQ1485*Z1485)</f>
        <v>0</v>
      </c>
      <c r="BS1485" s="53">
        <f ca="1">IFERROR((_xlfn.XLOOKUP(F1485,Apuração!A:A,Apuração!C:C)+1)/_xlfn.XLOOKUP(F1485,Apuração!A:A,Apuração!B:B),0)</f>
        <v>0.14285714285714285</v>
      </c>
    </row>
    <row r="1486" spans="1:71" ht="25.95" hidden="1" customHeight="1" x14ac:dyDescent="0.3">
      <c r="A1486" s="35" t="s">
        <v>44</v>
      </c>
      <c r="B1486" s="10" t="s">
        <v>44</v>
      </c>
      <c r="C1486" s="5" t="s">
        <v>209</v>
      </c>
      <c r="D1486" s="5" t="s">
        <v>47</v>
      </c>
      <c r="E1486" s="4" t="str" cm="1">
        <f t="array" ref="E1486">_xlfn.IFS(
F1486 = "A partir de Abril", "Aguardando Execução na Distribuidora",
A1486 = "CAPACITAÇÃO", "Em execução no Corporativo",
TRUE, "Em Execução na Distribuidora"
)</f>
        <v>Em Execução na Distribuidora</v>
      </c>
      <c r="F1486" s="4" t="str" cm="1">
        <f t="array" ref="F1486">_xlfn.IFS(
AG1486 &lt;&gt; "", "Jan-Dez/26",
AH1486 &lt;&gt; "", "Fev-Dez/26",
AI1486 &lt;&gt; "", "Mar-Dez/26", AJ1486 &lt;&gt; "", "Abr-Dez/26",
TRUE, "A partir de Junho"
)</f>
        <v>A partir de Junho</v>
      </c>
      <c r="G1486" s="10" t="s">
        <v>44</v>
      </c>
      <c r="H1486" s="36" t="s">
        <v>44</v>
      </c>
      <c r="I1486" s="37"/>
      <c r="J1486" s="37"/>
      <c r="K1486" s="37"/>
      <c r="L1486" s="37" t="s">
        <v>206</v>
      </c>
      <c r="M1486" s="37"/>
      <c r="N1486" s="5" t="s">
        <v>42</v>
      </c>
      <c r="O1486" s="5" t="s">
        <v>52</v>
      </c>
      <c r="P1486" s="10" t="s">
        <v>44</v>
      </c>
      <c r="Q1486" s="10" t="s">
        <v>44</v>
      </c>
      <c r="R1486" s="11" t="s">
        <v>44</v>
      </c>
      <c r="S1486" s="11" t="s">
        <v>44</v>
      </c>
      <c r="T1486" s="22"/>
      <c r="U1486" s="22"/>
      <c r="V1486" s="22"/>
      <c r="W1486" s="22"/>
      <c r="X1486" s="22"/>
      <c r="Y1486" s="22"/>
      <c r="Z1486" s="22"/>
      <c r="AA1486" s="22"/>
      <c r="AB1486" s="22"/>
      <c r="AC1486" s="22"/>
      <c r="AD1486" s="22"/>
      <c r="AE1486" s="22"/>
      <c r="AG1486" s="112"/>
      <c r="AH1486" s="112"/>
      <c r="AI1486" s="112"/>
      <c r="AJ1486" s="71"/>
      <c r="AK1486" s="71"/>
      <c r="AL1486" s="71"/>
      <c r="AM1486" s="71"/>
      <c r="AN1486" s="71"/>
      <c r="AO1486" s="71"/>
      <c r="AP1486" s="71"/>
      <c r="AQ1486" s="71"/>
      <c r="AR1486" s="71"/>
      <c r="AS1486" s="94"/>
      <c r="AT1486" s="95"/>
      <c r="AU1486" s="97"/>
      <c r="AW1486" s="84">
        <f t="shared" si="1717"/>
        <v>0</v>
      </c>
      <c r="AX1486" s="84">
        <f t="shared" si="1718"/>
        <v>0</v>
      </c>
      <c r="AY1486" s="84">
        <f t="shared" si="1719"/>
        <v>0</v>
      </c>
      <c r="AZ1486" s="84"/>
      <c r="BA1486" s="84"/>
      <c r="BB1486" s="84"/>
      <c r="BC1486" s="84"/>
      <c r="BD1486" s="84"/>
      <c r="BE1486" s="84"/>
      <c r="BF1486" s="84"/>
      <c r="BG1486" s="84"/>
      <c r="BH1486" s="84"/>
      <c r="BI1486" s="68" cm="1">
        <f t="array" ref="BI1486">IFERROR(INDEX(AW1486:BH1486,1,MATCH(2,1/(AW1486:BH1486&lt;&gt;""))),"")</f>
        <v>0</v>
      </c>
      <c r="BJ1486" s="68" cm="1">
        <f t="array" ref="BJ1486">IF(BM1486 = "", "",IFERROR(INDEX(AW1486:BH1486,1,MATCH(2,1/(AW1486:BH1486&lt;&gt;""),1)-1),""))</f>
        <v>0</v>
      </c>
      <c r="BK1486" s="57" cm="1">
        <f t="array" ref="BK1486">IFERROR(INDEX(AW1486:BH1486,1,MATCH(2,1/(AW1486:BH1486&lt;&gt;""),1)),"")</f>
        <v>0</v>
      </c>
      <c r="BL1486" s="57" cm="1">
        <f t="array" ref="BL1486">IF(BM1486 = "", "",IFERROR(INDEX(AW1486:BH1486,1,MATCH(2,1/(AW1486:BH1486&lt;&gt;""),1)-1),""))</f>
        <v>0</v>
      </c>
      <c r="BM1486" s="55" cm="1">
        <f t="array" ref="BM1486">IFERROR(
   INDEX($AW$1:$BH$1,
      _xlfn.AGGREGATE(14, 6, COLUMN($AW$1:$BH$1)/(AW1486:BH1486&lt;&gt;""), 2) - COLUMN($AW$1) + 1
   ),
"")</f>
        <v>46054</v>
      </c>
      <c r="BN1486" s="55" cm="1">
        <f t="array" ref="BN1486">IFERROR(INDEX($AW$1:$BH$1,1,MATCH(2,1/(AW1486:BH1486&lt;&gt;""))),"")</f>
        <v>46082</v>
      </c>
      <c r="BO1486" s="53">
        <f ca="1">IFERROR(_xlfn.XLOOKUP(F1486,Apuração!A:A,Apuração!C:C)/_xlfn.XLOOKUP(F1486,Apuração!A:A,Apuração!B:B),0)</f>
        <v>0</v>
      </c>
      <c r="BP1486" s="53">
        <f ca="1">IFERROR(_xlfn.XLOOKUP(F1486,Apuração!A:A,Apuração!D:D)/_xlfn.XLOOKUP(F1486,Apuração!A:A,Apuração!B:B),0)</f>
        <v>0</v>
      </c>
      <c r="BQ1486" s="53">
        <f ca="1">IF(BK1486&gt;=BO1486,0,_xlfn.XLOOKUP(F1486,Apuração!A:A,Apuração!B:B)*(BO1486 + (1/_xlfn.XLOOKUP(F1486,Apuração!A:A,Apuração!B:B)) - BK1486))</f>
        <v>0</v>
      </c>
      <c r="BR1486" s="85">
        <f t="shared" ca="1" si="1720"/>
        <v>0</v>
      </c>
      <c r="BS1486" s="53">
        <f ca="1">IFERROR((_xlfn.XLOOKUP(F1486,Apuração!A:A,Apuração!C:C)+1)/_xlfn.XLOOKUP(F1486,Apuração!A:A,Apuração!B:B),0)</f>
        <v>0.14285714285714285</v>
      </c>
    </row>
    <row r="1487" spans="1:71" ht="25.95" hidden="1" customHeight="1" x14ac:dyDescent="0.3">
      <c r="A1487" s="35" t="s">
        <v>44</v>
      </c>
      <c r="B1487" s="10" t="s">
        <v>44</v>
      </c>
      <c r="C1487" s="5" t="s">
        <v>209</v>
      </c>
      <c r="D1487" s="5" t="s">
        <v>211</v>
      </c>
      <c r="E1487" s="4" t="str" cm="1">
        <f t="array" ref="E1487">_xlfn.IFS(
F1487 = "A partir de Abril", "Aguardando Execução na Distribuidora",
A1487 = "CAPACITAÇÃO", "Em execução no Corporativo",
TRUE, "Em Execução na Distribuidora"
)</f>
        <v>Em Execução na Distribuidora</v>
      </c>
      <c r="F1487" s="4" t="str" cm="1">
        <f t="array" ref="F1487">_xlfn.IFS(
AG1487 &lt;&gt; "", "Jan-Dez/26",
AH1487 &lt;&gt; "", "Fev-Dez/26",
AI1487 &lt;&gt; "", "Mar-Dez/26", AJ1487 &lt;&gt; "", "Abr-Dez/26",
TRUE, "A partir de Junho"
)</f>
        <v>A partir de Junho</v>
      </c>
      <c r="G1487" s="10" t="s">
        <v>44</v>
      </c>
      <c r="H1487" s="36" t="s">
        <v>44</v>
      </c>
      <c r="I1487" s="37"/>
      <c r="J1487" s="37"/>
      <c r="K1487" s="37"/>
      <c r="L1487" s="37" t="s">
        <v>206</v>
      </c>
      <c r="M1487" s="37"/>
      <c r="N1487" s="5" t="s">
        <v>42</v>
      </c>
      <c r="O1487" s="5" t="s">
        <v>52</v>
      </c>
      <c r="P1487" s="10" t="s">
        <v>44</v>
      </c>
      <c r="Q1487" s="10" t="s">
        <v>44</v>
      </c>
      <c r="R1487" s="11" t="s">
        <v>44</v>
      </c>
      <c r="S1487" s="11" t="s">
        <v>44</v>
      </c>
      <c r="T1487" s="22"/>
      <c r="U1487" s="22"/>
      <c r="V1487" s="22"/>
      <c r="W1487" s="22"/>
      <c r="X1487" s="22"/>
      <c r="Y1487" s="22"/>
      <c r="Z1487" s="22"/>
      <c r="AA1487" s="22"/>
      <c r="AB1487" s="22"/>
      <c r="AC1487" s="22"/>
      <c r="AD1487" s="22"/>
      <c r="AE1487" s="22"/>
      <c r="AG1487" s="112"/>
      <c r="AH1487" s="112"/>
      <c r="AI1487" s="112"/>
      <c r="AJ1487" s="71"/>
      <c r="AK1487" s="71"/>
      <c r="AL1487" s="71"/>
      <c r="AM1487" s="71"/>
      <c r="AN1487" s="71"/>
      <c r="AO1487" s="71"/>
      <c r="AP1487" s="71"/>
      <c r="AQ1487" s="71"/>
      <c r="AR1487" s="71"/>
      <c r="AS1487" s="94"/>
      <c r="AT1487" s="95"/>
      <c r="AU1487" s="97"/>
      <c r="AW1487" s="84">
        <f t="shared" si="1717"/>
        <v>0</v>
      </c>
      <c r="AX1487" s="84">
        <f t="shared" si="1718"/>
        <v>0</v>
      </c>
      <c r="AY1487" s="84">
        <f t="shared" si="1719"/>
        <v>0</v>
      </c>
      <c r="AZ1487" s="84"/>
      <c r="BA1487" s="84"/>
      <c r="BB1487" s="84"/>
      <c r="BC1487" s="84"/>
      <c r="BD1487" s="84"/>
      <c r="BE1487" s="84"/>
      <c r="BF1487" s="84"/>
      <c r="BG1487" s="84"/>
      <c r="BH1487" s="84"/>
      <c r="BI1487" s="68" cm="1">
        <f t="array" ref="BI1487">IFERROR(INDEX(AW1487:BH1487,1,MATCH(2,1/(AW1487:BH1487&lt;&gt;""))),"")</f>
        <v>0</v>
      </c>
      <c r="BJ1487" s="68" cm="1">
        <f t="array" ref="BJ1487">IF(BM1487 = "", "",IFERROR(INDEX(AW1487:BH1487,1,MATCH(2,1/(AW1487:BH1487&lt;&gt;""),1)-1),""))</f>
        <v>0</v>
      </c>
      <c r="BK1487" s="57" cm="1">
        <f t="array" ref="BK1487">IFERROR(INDEX(AW1487:BH1487,1,MATCH(2,1/(AW1487:BH1487&lt;&gt;""),1)),"")</f>
        <v>0</v>
      </c>
      <c r="BL1487" s="57" cm="1">
        <f t="array" ref="BL1487">IF(BM1487 = "", "",IFERROR(INDEX(AW1487:BH1487,1,MATCH(2,1/(AW1487:BH1487&lt;&gt;""),1)-1),""))</f>
        <v>0</v>
      </c>
      <c r="BM1487" s="55" cm="1">
        <f t="array" ref="BM1487">IFERROR(
   INDEX($AW$1:$BH$1,
      _xlfn.AGGREGATE(14, 6, COLUMN($AW$1:$BH$1)/(AW1487:BH1487&lt;&gt;""), 2) - COLUMN($AW$1) + 1
   ),
"")</f>
        <v>46054</v>
      </c>
      <c r="BN1487" s="55" cm="1">
        <f t="array" ref="BN1487">IFERROR(INDEX($AW$1:$BH$1,1,MATCH(2,1/(AW1487:BH1487&lt;&gt;""))),"")</f>
        <v>46082</v>
      </c>
      <c r="BO1487" s="53">
        <f ca="1">IFERROR(_xlfn.XLOOKUP(F1487,Apuração!A:A,Apuração!C:C)/_xlfn.XLOOKUP(F1487,Apuração!A:A,Apuração!B:B),0)</f>
        <v>0</v>
      </c>
      <c r="BP1487" s="53">
        <f ca="1">IFERROR(_xlfn.XLOOKUP(F1487,Apuração!A:A,Apuração!D:D)/_xlfn.XLOOKUP(F1487,Apuração!A:A,Apuração!B:B),0)</f>
        <v>0</v>
      </c>
      <c r="BQ1487" s="53">
        <f ca="1">IF(BK1487&gt;=BO1487,0,_xlfn.XLOOKUP(F1487,Apuração!A:A,Apuração!B:B)*(BO1487 + (1/_xlfn.XLOOKUP(F1487,Apuração!A:A,Apuração!B:B)) - BK1487))</f>
        <v>0</v>
      </c>
      <c r="BR1487" s="85">
        <f t="shared" ca="1" si="1720"/>
        <v>0</v>
      </c>
      <c r="BS1487" s="53">
        <f ca="1">IFERROR((_xlfn.XLOOKUP(F1487,Apuração!A:A,Apuração!C:C)+1)/_xlfn.XLOOKUP(F1487,Apuração!A:A,Apuração!B:B),0)</f>
        <v>0.14285714285714285</v>
      </c>
    </row>
    <row r="1488" spans="1:71" ht="25.95" hidden="1" customHeight="1" x14ac:dyDescent="0.3">
      <c r="A1488" s="35" t="s">
        <v>44</v>
      </c>
      <c r="B1488" s="10" t="s">
        <v>44</v>
      </c>
      <c r="C1488" s="5" t="s">
        <v>209</v>
      </c>
      <c r="D1488" s="5" t="s">
        <v>212</v>
      </c>
      <c r="E1488" s="4" t="str" cm="1">
        <f t="array" ref="E1488">_xlfn.IFS(
F1488 = "A partir de Abril", "Aguardando Execução na Distribuidora",
A1488 = "CAPACITAÇÃO", "Em execução no Corporativo",
TRUE, "Em Execução na Distribuidora"
)</f>
        <v>Em Execução na Distribuidora</v>
      </c>
      <c r="F1488" s="4" t="str" cm="1">
        <f t="array" ref="F1488">_xlfn.IFS(
AG1488 &lt;&gt; "", "Jan-Dez/26",
AH1488 &lt;&gt; "", "Fev-Dez/26",
AI1488 &lt;&gt; "", "Mar-Dez/26", AJ1488 &lt;&gt; "", "Abr-Dez/26",
TRUE, "A partir de Junho"
)</f>
        <v>A partir de Junho</v>
      </c>
      <c r="G1488" s="10" t="s">
        <v>44</v>
      </c>
      <c r="H1488" s="36" t="s">
        <v>44</v>
      </c>
      <c r="I1488" s="37"/>
      <c r="J1488" s="37"/>
      <c r="K1488" s="37"/>
      <c r="L1488" s="37" t="s">
        <v>206</v>
      </c>
      <c r="M1488" s="37"/>
      <c r="N1488" s="5" t="s">
        <v>42</v>
      </c>
      <c r="O1488" s="5" t="s">
        <v>52</v>
      </c>
      <c r="P1488" s="10" t="s">
        <v>44</v>
      </c>
      <c r="Q1488" s="10" t="s">
        <v>44</v>
      </c>
      <c r="R1488" s="11" t="s">
        <v>44</v>
      </c>
      <c r="S1488" s="11" t="s">
        <v>44</v>
      </c>
      <c r="T1488" s="22"/>
      <c r="U1488" s="22"/>
      <c r="V1488" s="22"/>
      <c r="W1488" s="22"/>
      <c r="X1488" s="22"/>
      <c r="Y1488" s="22"/>
      <c r="Z1488" s="22"/>
      <c r="AA1488" s="22"/>
      <c r="AB1488" s="22"/>
      <c r="AC1488" s="22"/>
      <c r="AD1488" s="22"/>
      <c r="AE1488" s="22"/>
      <c r="AG1488" s="112"/>
      <c r="AH1488" s="112"/>
      <c r="AI1488" s="112"/>
      <c r="AJ1488" s="71"/>
      <c r="AK1488" s="71"/>
      <c r="AL1488" s="71"/>
      <c r="AM1488" s="71"/>
      <c r="AN1488" s="71"/>
      <c r="AO1488" s="71"/>
      <c r="AP1488" s="71"/>
      <c r="AQ1488" s="71"/>
      <c r="AR1488" s="71"/>
      <c r="AS1488" s="94"/>
      <c r="AT1488" s="95"/>
      <c r="AU1488" s="97"/>
      <c r="AW1488" s="84">
        <f t="shared" si="1717"/>
        <v>0</v>
      </c>
      <c r="AX1488" s="84">
        <f t="shared" si="1718"/>
        <v>0</v>
      </c>
      <c r="AY1488" s="84">
        <f t="shared" si="1719"/>
        <v>0</v>
      </c>
      <c r="AZ1488" s="84"/>
      <c r="BA1488" s="84"/>
      <c r="BB1488" s="84"/>
      <c r="BC1488" s="84"/>
      <c r="BD1488" s="84"/>
      <c r="BE1488" s="84"/>
      <c r="BF1488" s="84"/>
      <c r="BG1488" s="84"/>
      <c r="BH1488" s="84"/>
      <c r="BI1488" s="68" cm="1">
        <f t="array" ref="BI1488">IFERROR(INDEX(AW1488:BH1488,1,MATCH(2,1/(AW1488:BH1488&lt;&gt;""))),"")</f>
        <v>0</v>
      </c>
      <c r="BJ1488" s="68" cm="1">
        <f t="array" ref="BJ1488">IF(BM1488 = "", "",IFERROR(INDEX(AW1488:BH1488,1,MATCH(2,1/(AW1488:BH1488&lt;&gt;""),1)-1),""))</f>
        <v>0</v>
      </c>
      <c r="BK1488" s="57" cm="1">
        <f t="array" ref="BK1488">IFERROR(INDEX(AW1488:BH1488,1,MATCH(2,1/(AW1488:BH1488&lt;&gt;""),1)),"")</f>
        <v>0</v>
      </c>
      <c r="BL1488" s="57" cm="1">
        <f t="array" ref="BL1488">IF(BM1488 = "", "",IFERROR(INDEX(AW1488:BH1488,1,MATCH(2,1/(AW1488:BH1488&lt;&gt;""),1)-1),""))</f>
        <v>0</v>
      </c>
      <c r="BM1488" s="55" cm="1">
        <f t="array" ref="BM1488">IFERROR(
   INDEX($AW$1:$BH$1,
      _xlfn.AGGREGATE(14, 6, COLUMN($AW$1:$BH$1)/(AW1488:BH1488&lt;&gt;""), 2) - COLUMN($AW$1) + 1
   ),
"")</f>
        <v>46054</v>
      </c>
      <c r="BN1488" s="55" cm="1">
        <f t="array" ref="BN1488">IFERROR(INDEX($AW$1:$BH$1,1,MATCH(2,1/(AW1488:BH1488&lt;&gt;""))),"")</f>
        <v>46082</v>
      </c>
      <c r="BO1488" s="53">
        <f ca="1">IFERROR(_xlfn.XLOOKUP(F1488,Apuração!A:A,Apuração!C:C)/_xlfn.XLOOKUP(F1488,Apuração!A:A,Apuração!B:B),0)</f>
        <v>0</v>
      </c>
      <c r="BP1488" s="53">
        <f ca="1">IFERROR(_xlfn.XLOOKUP(F1488,Apuração!A:A,Apuração!D:D)/_xlfn.XLOOKUP(F1488,Apuração!A:A,Apuração!B:B),0)</f>
        <v>0</v>
      </c>
      <c r="BQ1488" s="53">
        <f ca="1">IF(BK1488&gt;=BO1488,0,_xlfn.XLOOKUP(F1488,Apuração!A:A,Apuração!B:B)*(BO1488 + (1/_xlfn.XLOOKUP(F1488,Apuração!A:A,Apuração!B:B)) - BK1488))</f>
        <v>0</v>
      </c>
      <c r="BR1488" s="85">
        <f t="shared" ca="1" si="1720"/>
        <v>0</v>
      </c>
      <c r="BS1488" s="53">
        <f ca="1">IFERROR((_xlfn.XLOOKUP(F1488,Apuração!A:A,Apuração!C:C)+1)/_xlfn.XLOOKUP(F1488,Apuração!A:A,Apuração!B:B),0)</f>
        <v>0.14285714285714285</v>
      </c>
    </row>
    <row r="1489" spans="1:71" ht="25.95" hidden="1" customHeight="1" x14ac:dyDescent="0.3">
      <c r="A1489" s="35" t="s">
        <v>44</v>
      </c>
      <c r="B1489" s="10" t="s">
        <v>44</v>
      </c>
      <c r="C1489" s="5" t="s">
        <v>209</v>
      </c>
      <c r="D1489" s="5" t="s">
        <v>213</v>
      </c>
      <c r="E1489" s="4" t="str" cm="1">
        <f t="array" ref="E1489">_xlfn.IFS(
F1489 = "A partir de Abril", "Aguardando Execução na Distribuidora",
A1489 = "CAPACITAÇÃO", "Em execução no Corporativo",
TRUE, "Em Execução na Distribuidora"
)</f>
        <v>Em Execução na Distribuidora</v>
      </c>
      <c r="F1489" s="4" t="str" cm="1">
        <f t="array" ref="F1489">_xlfn.IFS(
AG1489 &lt;&gt; "", "Jan-Dez/26",
AH1489 &lt;&gt; "", "Fev-Dez/26",
AI1489 &lt;&gt; "", "Mar-Dez/26", AJ1489 &lt;&gt; "", "Abr-Dez/26",
TRUE, "A partir de Junho"
)</f>
        <v>A partir de Junho</v>
      </c>
      <c r="G1489" s="10" t="s">
        <v>44</v>
      </c>
      <c r="H1489" s="36" t="s">
        <v>44</v>
      </c>
      <c r="I1489" s="37"/>
      <c r="J1489" s="37"/>
      <c r="K1489" s="37"/>
      <c r="L1489" s="37" t="s">
        <v>206</v>
      </c>
      <c r="M1489" s="37"/>
      <c r="N1489" s="5" t="s">
        <v>42</v>
      </c>
      <c r="O1489" s="5" t="s">
        <v>52</v>
      </c>
      <c r="P1489" s="10" t="s">
        <v>44</v>
      </c>
      <c r="Q1489" s="10" t="s">
        <v>44</v>
      </c>
      <c r="R1489" s="11" t="s">
        <v>44</v>
      </c>
      <c r="S1489" s="11" t="s">
        <v>44</v>
      </c>
      <c r="T1489" s="22"/>
      <c r="U1489" s="22"/>
      <c r="V1489" s="22"/>
      <c r="W1489" s="22"/>
      <c r="X1489" s="22"/>
      <c r="Y1489" s="22"/>
      <c r="Z1489" s="22"/>
      <c r="AA1489" s="22"/>
      <c r="AB1489" s="22"/>
      <c r="AC1489" s="22"/>
      <c r="AD1489" s="22"/>
      <c r="AE1489" s="22"/>
      <c r="AG1489" s="112"/>
      <c r="AH1489" s="112"/>
      <c r="AI1489" s="112"/>
      <c r="AJ1489" s="71"/>
      <c r="AK1489" s="71"/>
      <c r="AL1489" s="71"/>
      <c r="AM1489" s="71"/>
      <c r="AN1489" s="71"/>
      <c r="AO1489" s="71"/>
      <c r="AP1489" s="71"/>
      <c r="AQ1489" s="71"/>
      <c r="AR1489" s="71"/>
      <c r="AS1489" s="94"/>
      <c r="AT1489" s="95"/>
      <c r="AU1489" s="97"/>
      <c r="AW1489" s="84">
        <f t="shared" si="1717"/>
        <v>0</v>
      </c>
      <c r="AX1489" s="84">
        <f t="shared" si="1718"/>
        <v>0</v>
      </c>
      <c r="AY1489" s="84">
        <f t="shared" si="1719"/>
        <v>0</v>
      </c>
      <c r="AZ1489" s="84"/>
      <c r="BA1489" s="84"/>
      <c r="BB1489" s="84"/>
      <c r="BC1489" s="84"/>
      <c r="BD1489" s="84"/>
      <c r="BE1489" s="84"/>
      <c r="BF1489" s="84"/>
      <c r="BG1489" s="84"/>
      <c r="BH1489" s="84"/>
      <c r="BI1489" s="68" cm="1">
        <f t="array" ref="BI1489">IFERROR(INDEX(AW1489:BH1489,1,MATCH(2,1/(AW1489:BH1489&lt;&gt;""))),"")</f>
        <v>0</v>
      </c>
      <c r="BJ1489" s="68" cm="1">
        <f t="array" ref="BJ1489">IF(BM1489 = "", "",IFERROR(INDEX(AW1489:BH1489,1,MATCH(2,1/(AW1489:BH1489&lt;&gt;""),1)-1),""))</f>
        <v>0</v>
      </c>
      <c r="BK1489" s="57" cm="1">
        <f t="array" ref="BK1489">IFERROR(INDEX(AW1489:BH1489,1,MATCH(2,1/(AW1489:BH1489&lt;&gt;""),1)),"")</f>
        <v>0</v>
      </c>
      <c r="BL1489" s="57" cm="1">
        <f t="array" ref="BL1489">IF(BM1489 = "", "",IFERROR(INDEX(AW1489:BH1489,1,MATCH(2,1/(AW1489:BH1489&lt;&gt;""),1)-1),""))</f>
        <v>0</v>
      </c>
      <c r="BM1489" s="55" cm="1">
        <f t="array" ref="BM1489">IFERROR(
   INDEX($AW$1:$BH$1,
      _xlfn.AGGREGATE(14, 6, COLUMN($AW$1:$BH$1)/(AW1489:BH1489&lt;&gt;""), 2) - COLUMN($AW$1) + 1
   ),
"")</f>
        <v>46054</v>
      </c>
      <c r="BN1489" s="55" cm="1">
        <f t="array" ref="BN1489">IFERROR(INDEX($AW$1:$BH$1,1,MATCH(2,1/(AW1489:BH1489&lt;&gt;""))),"")</f>
        <v>46082</v>
      </c>
      <c r="BO1489" s="53">
        <f ca="1">IFERROR(_xlfn.XLOOKUP(F1489,Apuração!A:A,Apuração!C:C)/_xlfn.XLOOKUP(F1489,Apuração!A:A,Apuração!B:B),0)</f>
        <v>0</v>
      </c>
      <c r="BP1489" s="53">
        <f ca="1">IFERROR(_xlfn.XLOOKUP(F1489,Apuração!A:A,Apuração!D:D)/_xlfn.XLOOKUP(F1489,Apuração!A:A,Apuração!B:B),0)</f>
        <v>0</v>
      </c>
      <c r="BQ1489" s="53">
        <f ca="1">IF(BK1489&gt;=BO1489,0,_xlfn.XLOOKUP(F1489,Apuração!A:A,Apuração!B:B)*(BO1489 + (1/_xlfn.XLOOKUP(F1489,Apuração!A:A,Apuração!B:B)) - BK1489))</f>
        <v>0</v>
      </c>
      <c r="BR1489" s="85">
        <f t="shared" ca="1" si="1720"/>
        <v>0</v>
      </c>
      <c r="BS1489" s="53">
        <f ca="1">IFERROR((_xlfn.XLOOKUP(F1489,Apuração!A:A,Apuração!C:C)+1)/_xlfn.XLOOKUP(F1489,Apuração!A:A,Apuração!B:B),0)</f>
        <v>0.14285714285714285</v>
      </c>
    </row>
    <row r="1490" spans="1:71" ht="25.95" hidden="1" customHeight="1" x14ac:dyDescent="0.3">
      <c r="A1490" s="35" t="s">
        <v>44</v>
      </c>
      <c r="B1490" s="10" t="s">
        <v>44</v>
      </c>
      <c r="C1490" s="5" t="s">
        <v>209</v>
      </c>
      <c r="D1490" s="5" t="s">
        <v>36</v>
      </c>
      <c r="E1490" s="4" t="str" cm="1">
        <f t="array" ref="E1490">_xlfn.IFS(
F1490 = "A partir de Abril", "Aguardando Execução na Distribuidora",
A1490 = "CAPACITAÇÃO", "Em execução no Corporativo",
TRUE, "Em Execução na Distribuidora"
)</f>
        <v>Em Execução na Distribuidora</v>
      </c>
      <c r="F1490" s="4" t="str" cm="1">
        <f t="array" ref="F1490">_xlfn.IFS(
AG1490 &lt;&gt; "", "Jan-Dez/26",
AH1490 &lt;&gt; "", "Fev-Dez/26",
AI1490 &lt;&gt; "", "Mar-Dez/26", AJ1490 &lt;&gt; "", "Abr-Dez/26",
TRUE, "A partir de Junho"
)</f>
        <v>A partir de Junho</v>
      </c>
      <c r="G1490" s="10" t="s">
        <v>44</v>
      </c>
      <c r="H1490" s="36" t="s">
        <v>44</v>
      </c>
      <c r="I1490" s="37"/>
      <c r="J1490" s="37"/>
      <c r="K1490" s="37"/>
      <c r="L1490" s="37" t="s">
        <v>207</v>
      </c>
      <c r="M1490" s="37"/>
      <c r="N1490" s="5" t="s">
        <v>42</v>
      </c>
      <c r="O1490" s="5" t="s">
        <v>52</v>
      </c>
      <c r="P1490" s="10" t="s">
        <v>44</v>
      </c>
      <c r="Q1490" s="10" t="s">
        <v>44</v>
      </c>
      <c r="R1490" s="11" t="s">
        <v>44</v>
      </c>
      <c r="S1490" s="11" t="s">
        <v>44</v>
      </c>
      <c r="T1490" s="22"/>
      <c r="U1490" s="22"/>
      <c r="V1490" s="22"/>
      <c r="W1490" s="22"/>
      <c r="X1490" s="22"/>
      <c r="Y1490" s="22"/>
      <c r="Z1490" s="22"/>
      <c r="AA1490" s="22"/>
      <c r="AB1490" s="22"/>
      <c r="AC1490" s="22"/>
      <c r="AD1490" s="22"/>
      <c r="AE1490" s="22"/>
      <c r="AG1490" s="112"/>
      <c r="AH1490" s="112"/>
      <c r="AI1490" s="112"/>
      <c r="AJ1490" s="112"/>
      <c r="AK1490" s="112"/>
      <c r="AL1490" s="112"/>
      <c r="AM1490" s="112"/>
      <c r="AN1490" s="112"/>
      <c r="AO1490" s="112"/>
      <c r="AP1490" s="112"/>
      <c r="AQ1490" s="112"/>
      <c r="AR1490" s="112"/>
      <c r="AS1490" s="94"/>
      <c r="AT1490" s="95"/>
      <c r="AU1490" s="97"/>
      <c r="AW1490" s="84">
        <f>AG1490</f>
        <v>0</v>
      </c>
      <c r="AX1490" s="84">
        <f t="shared" si="1718"/>
        <v>0</v>
      </c>
      <c r="AY1490" s="84">
        <f t="shared" si="1719"/>
        <v>0</v>
      </c>
      <c r="AZ1490" s="84">
        <f t="shared" ref="AZ1490" si="1721">AJ1490</f>
        <v>0</v>
      </c>
      <c r="BA1490" s="84"/>
      <c r="BB1490" s="84"/>
      <c r="BC1490" s="84"/>
      <c r="BD1490" s="84"/>
      <c r="BE1490" s="84"/>
      <c r="BF1490" s="84"/>
      <c r="BG1490" s="84"/>
      <c r="BH1490" s="84"/>
      <c r="BI1490" s="68" cm="1">
        <f t="array" ref="BI1490">IFERROR(INDEX(AW1490:BH1490,1,MATCH(2,1/(AW1490:BH1490&lt;&gt;""))),"")</f>
        <v>0</v>
      </c>
      <c r="BJ1490" s="68" cm="1">
        <f t="array" ref="BJ1490">IF(BM1490 = "", "",IFERROR(INDEX(AW1490:BH1490,1,MATCH(2,1/(AW1490:BH1490&lt;&gt;""),1)-1),""))</f>
        <v>0</v>
      </c>
      <c r="BK1490" s="57" cm="1">
        <f t="array" ref="BK1490">IFERROR(INDEX(AW1490:BH1490,1,MATCH(2,1/(AW1490:BH1490&lt;&gt;""),1)),"")</f>
        <v>0</v>
      </c>
      <c r="BL1490" s="57" cm="1">
        <f t="array" ref="BL1490">IF(BM1490 = "", "",IFERROR(INDEX(AW1490:BH1490,1,MATCH(2,1/(AW1490:BH1490&lt;&gt;""),1)-1),""))</f>
        <v>0</v>
      </c>
      <c r="BM1490" s="55" cm="1">
        <f t="array" ref="BM1490">IFERROR(
   INDEX($AW$1:$BH$1,
      _xlfn.AGGREGATE(14, 6, COLUMN($AW$1:$BH$1)/(AW1490:BH1490&lt;&gt;""), 2) - COLUMN($AW$1) + 1
   ),
"")</f>
        <v>46082</v>
      </c>
      <c r="BN1490" s="55" cm="1">
        <f t="array" ref="BN1490">IFERROR(INDEX($AW$1:$BH$1,1,MATCH(2,1/(AW1490:BH1490&lt;&gt;""))),"")</f>
        <v>46113</v>
      </c>
      <c r="BO1490" s="53">
        <f ca="1">IFERROR(_xlfn.XLOOKUP(F1490,Apuração!A:A,Apuração!C:C)/_xlfn.XLOOKUP(F1490,Apuração!A:A,Apuração!B:B),0)</f>
        <v>0</v>
      </c>
      <c r="BP1490" s="53">
        <f ca="1">IFERROR(_xlfn.XLOOKUP(F1490,Apuração!A:A,Apuração!D:D)/_xlfn.XLOOKUP(F1490,Apuração!A:A,Apuração!B:B),0)</f>
        <v>0</v>
      </c>
      <c r="BQ1490" s="53">
        <f ca="1">IF(BK1490&gt;=BO1490,0,_xlfn.XLOOKUP(F1490,Apuração!A:A,Apuração!B:B)*(BO1490 + (1/_xlfn.XLOOKUP(F1490,Apuração!A:A,Apuração!B:B)) - BK1490))</f>
        <v>0</v>
      </c>
      <c r="BR1490" s="85">
        <f ca="1">IF(BQ1490=0,0,BQ1490*Z1490)</f>
        <v>0</v>
      </c>
      <c r="BS1490" s="53">
        <f ca="1">IFERROR((_xlfn.XLOOKUP(F1490,Apuração!A:A,Apuração!C:C)+1)/_xlfn.XLOOKUP(F1490,Apuração!A:A,Apuração!B:B),0)</f>
        <v>0.14285714285714285</v>
      </c>
    </row>
    <row r="1491" spans="1:71" ht="25.95" hidden="1" customHeight="1" x14ac:dyDescent="0.3">
      <c r="A1491" s="35" t="s">
        <v>44</v>
      </c>
      <c r="B1491" s="10" t="s">
        <v>44</v>
      </c>
      <c r="C1491" s="5" t="s">
        <v>209</v>
      </c>
      <c r="D1491" s="5" t="s">
        <v>210</v>
      </c>
      <c r="E1491" s="4" t="str" cm="1">
        <f t="array" ref="E1491">_xlfn.IFS(
F1491 = "A partir de Abril", "Aguardando Execução na Distribuidora",
A1491 = "CAPACITAÇÃO", "Em execução no Corporativo",
TRUE, "Em Execução na Distribuidora"
)</f>
        <v>Em Execução na Distribuidora</v>
      </c>
      <c r="F1491" s="4" t="str" cm="1">
        <f t="array" ref="F1491">_xlfn.IFS(
AG1491 &lt;&gt; "", "Jan-Dez/26",
AH1491 &lt;&gt; "", "Fev-Dez/26",
AI1491 &lt;&gt; "", "Mar-Dez/26", AJ1491 &lt;&gt; "", "Abr-Dez/26",
TRUE, "A partir de Junho"
)</f>
        <v>A partir de Junho</v>
      </c>
      <c r="G1491" s="10" t="s">
        <v>44</v>
      </c>
      <c r="H1491" s="36" t="s">
        <v>44</v>
      </c>
      <c r="I1491" s="37"/>
      <c r="J1491" s="37"/>
      <c r="K1491" s="37"/>
      <c r="L1491" s="37" t="s">
        <v>207</v>
      </c>
      <c r="M1491" s="37"/>
      <c r="N1491" s="5" t="s">
        <v>42</v>
      </c>
      <c r="O1491" s="5" t="s">
        <v>52</v>
      </c>
      <c r="P1491" s="10" t="s">
        <v>44</v>
      </c>
      <c r="Q1491" s="10" t="s">
        <v>44</v>
      </c>
      <c r="R1491" s="11" t="s">
        <v>44</v>
      </c>
      <c r="S1491" s="11" t="s">
        <v>44</v>
      </c>
      <c r="T1491" s="22"/>
      <c r="U1491" s="22"/>
      <c r="V1491" s="22"/>
      <c r="W1491" s="22"/>
      <c r="X1491" s="22"/>
      <c r="Y1491" s="22"/>
      <c r="Z1491" s="22"/>
      <c r="AA1491" s="22"/>
      <c r="AB1491" s="22"/>
      <c r="AC1491" s="22"/>
      <c r="AD1491" s="22"/>
      <c r="AE1491" s="22"/>
      <c r="AG1491" s="71"/>
      <c r="AH1491" s="71"/>
      <c r="AI1491" s="71"/>
      <c r="AJ1491" s="71"/>
      <c r="AK1491" s="71"/>
      <c r="AL1491" s="71"/>
      <c r="AM1491" s="71"/>
      <c r="AN1491" s="71"/>
      <c r="AO1491" s="71"/>
      <c r="AP1491" s="71"/>
      <c r="AQ1491" s="71"/>
      <c r="AR1491" s="71"/>
      <c r="AS1491" s="94"/>
      <c r="AT1491" s="95"/>
      <c r="AU1491" s="97"/>
      <c r="AW1491" s="84">
        <f t="shared" ref="AW1491:AW1495" si="1722">AG1491</f>
        <v>0</v>
      </c>
      <c r="AX1491" s="84"/>
      <c r="AY1491" s="84"/>
      <c r="AZ1491" s="84"/>
      <c r="BA1491" s="84"/>
      <c r="BB1491" s="84"/>
      <c r="BC1491" s="84"/>
      <c r="BD1491" s="84"/>
      <c r="BE1491" s="84"/>
      <c r="BF1491" s="84"/>
      <c r="BG1491" s="84"/>
      <c r="BH1491" s="84"/>
      <c r="BI1491" s="68" cm="1">
        <f t="array" ref="BI1491">IFERROR(INDEX(AW1491:BH1491,1,MATCH(2,1/(AW1491:BH1491&lt;&gt;""))),"")</f>
        <v>0</v>
      </c>
      <c r="BJ1491" s="68" t="str" cm="1">
        <f t="array" ref="BJ1491">IF(BM1491 = "", "",IFERROR(INDEX(AW1491:BH1491,1,MATCH(2,1/(AW1491:BH1491&lt;&gt;""),1)-1),""))</f>
        <v/>
      </c>
      <c r="BK1491" s="57" cm="1">
        <f t="array" ref="BK1491">IFERROR(INDEX(AW1491:BH1491,1,MATCH(2,1/(AW1491:BH1491&lt;&gt;""),1)),"")</f>
        <v>0</v>
      </c>
      <c r="BL1491" s="57" t="str" cm="1">
        <f t="array" ref="BL1491">IF(BM1491 = "", "",IFERROR(INDEX(AW1491:BH1491,1,MATCH(2,1/(AW1491:BH1491&lt;&gt;""),1)-1),""))</f>
        <v/>
      </c>
      <c r="BM1491" s="55" t="str" cm="1">
        <f t="array" ref="BM1491">IFERROR(
   INDEX($AW$1:$BH$1,
      _xlfn.AGGREGATE(14, 6, COLUMN($AW$1:$BH$1)/(AW1491:BH1491&lt;&gt;""), 2) - COLUMN($AW$1) + 1
   ),
"")</f>
        <v/>
      </c>
      <c r="BN1491" s="55" cm="1">
        <f t="array" ref="BN1491">IFERROR(INDEX($AW$1:$BH$1,1,MATCH(2,1/(AW1491:BH1491&lt;&gt;""))),"")</f>
        <v>46023</v>
      </c>
      <c r="BO1491" s="53">
        <f ca="1">IFERROR(_xlfn.XLOOKUP(F1491,Apuração!A:A,Apuração!C:C)/_xlfn.XLOOKUP(F1491,Apuração!A:A,Apuração!B:B),0)</f>
        <v>0</v>
      </c>
      <c r="BP1491" s="53">
        <f ca="1">IFERROR(_xlfn.XLOOKUP(F1491,Apuração!A:A,Apuração!D:D)/_xlfn.XLOOKUP(F1491,Apuração!A:A,Apuração!B:B),0)</f>
        <v>0</v>
      </c>
      <c r="BQ1491" s="53">
        <f ca="1">IF(BK1491&gt;=BO1491,0,_xlfn.XLOOKUP(F1491,Apuração!A:A,Apuração!B:B)*(BO1491 + (1/_xlfn.XLOOKUP(F1491,Apuração!A:A,Apuração!B:B)) - BK1491))</f>
        <v>0</v>
      </c>
      <c r="BR1491" s="85">
        <f t="shared" ref="BR1491:BR1495" ca="1" si="1723">IF(BQ1491=0,0,BQ1491*Z1491)</f>
        <v>0</v>
      </c>
      <c r="BS1491" s="53">
        <f ca="1">IFERROR((_xlfn.XLOOKUP(F1491,Apuração!A:A,Apuração!C:C)+1)/_xlfn.XLOOKUP(F1491,Apuração!A:A,Apuração!B:B),0)</f>
        <v>0.14285714285714285</v>
      </c>
    </row>
    <row r="1492" spans="1:71" ht="25.95" hidden="1" customHeight="1" x14ac:dyDescent="0.3">
      <c r="A1492" s="35" t="s">
        <v>44</v>
      </c>
      <c r="B1492" s="10" t="s">
        <v>44</v>
      </c>
      <c r="C1492" s="5" t="s">
        <v>209</v>
      </c>
      <c r="D1492" s="5" t="s">
        <v>47</v>
      </c>
      <c r="E1492" s="4" t="str" cm="1">
        <f t="array" ref="E1492">_xlfn.IFS(
F1492 = "A partir de Abril", "Aguardando Execução na Distribuidora",
A1492 = "CAPACITAÇÃO", "Em execução no Corporativo",
TRUE, "Em Execução na Distribuidora"
)</f>
        <v>Em Execução na Distribuidora</v>
      </c>
      <c r="F1492" s="4" t="str" cm="1">
        <f t="array" ref="F1492">_xlfn.IFS(
AG1492 &lt;&gt; "", "Jan-Dez/26",
AH1492 &lt;&gt; "", "Fev-Dez/26",
AI1492 &lt;&gt; "", "Mar-Dez/26", AJ1492 &lt;&gt; "", "Abr-Dez/26",
TRUE, "A partir de Junho"
)</f>
        <v>A partir de Junho</v>
      </c>
      <c r="G1492" s="10" t="s">
        <v>44</v>
      </c>
      <c r="H1492" s="36" t="s">
        <v>44</v>
      </c>
      <c r="I1492" s="37"/>
      <c r="J1492" s="37"/>
      <c r="K1492" s="37"/>
      <c r="L1492" s="37" t="s">
        <v>207</v>
      </c>
      <c r="M1492" s="37"/>
      <c r="N1492" s="5" t="s">
        <v>42</v>
      </c>
      <c r="O1492" s="5" t="s">
        <v>52</v>
      </c>
      <c r="P1492" s="10" t="s">
        <v>44</v>
      </c>
      <c r="Q1492" s="10" t="s">
        <v>44</v>
      </c>
      <c r="R1492" s="11" t="s">
        <v>44</v>
      </c>
      <c r="S1492" s="11" t="s">
        <v>44</v>
      </c>
      <c r="T1492" s="22"/>
      <c r="U1492" s="22"/>
      <c r="V1492" s="22"/>
      <c r="W1492" s="22"/>
      <c r="X1492" s="22"/>
      <c r="Y1492" s="22"/>
      <c r="Z1492" s="22"/>
      <c r="AA1492" s="22"/>
      <c r="AB1492" s="22"/>
      <c r="AC1492" s="22"/>
      <c r="AD1492" s="22"/>
      <c r="AE1492" s="22"/>
      <c r="AG1492" s="71"/>
      <c r="AH1492" s="71"/>
      <c r="AI1492" s="71"/>
      <c r="AJ1492" s="71"/>
      <c r="AK1492" s="71"/>
      <c r="AL1492" s="71"/>
      <c r="AM1492" s="71"/>
      <c r="AN1492" s="71"/>
      <c r="AO1492" s="71"/>
      <c r="AP1492" s="71"/>
      <c r="AQ1492" s="71"/>
      <c r="AR1492" s="71"/>
      <c r="AS1492" s="94"/>
      <c r="AT1492" s="95"/>
      <c r="AU1492" s="97"/>
      <c r="AW1492" s="84">
        <f t="shared" si="1722"/>
        <v>0</v>
      </c>
      <c r="AX1492" s="84"/>
      <c r="AY1492" s="84"/>
      <c r="AZ1492" s="84"/>
      <c r="BA1492" s="84"/>
      <c r="BB1492" s="84"/>
      <c r="BC1492" s="84"/>
      <c r="BD1492" s="84"/>
      <c r="BE1492" s="84"/>
      <c r="BF1492" s="84"/>
      <c r="BG1492" s="84"/>
      <c r="BH1492" s="84"/>
      <c r="BI1492" s="68" cm="1">
        <f t="array" ref="BI1492">IFERROR(INDEX(AW1492:BH1492,1,MATCH(2,1/(AW1492:BH1492&lt;&gt;""))),"")</f>
        <v>0</v>
      </c>
      <c r="BJ1492" s="68" t="str" cm="1">
        <f t="array" ref="BJ1492">IF(BM1492 = "", "",IFERROR(INDEX(AW1492:BH1492,1,MATCH(2,1/(AW1492:BH1492&lt;&gt;""),1)-1),""))</f>
        <v/>
      </c>
      <c r="BK1492" s="57" cm="1">
        <f t="array" ref="BK1492">IFERROR(INDEX(AW1492:BH1492,1,MATCH(2,1/(AW1492:BH1492&lt;&gt;""),1)),"")</f>
        <v>0</v>
      </c>
      <c r="BL1492" s="57" t="str" cm="1">
        <f t="array" ref="BL1492">IF(BM1492 = "", "",IFERROR(INDEX(AW1492:BH1492,1,MATCH(2,1/(AW1492:BH1492&lt;&gt;""),1)-1),""))</f>
        <v/>
      </c>
      <c r="BM1492" s="55" t="str" cm="1">
        <f t="array" ref="BM1492">IFERROR(
   INDEX($AW$1:$BH$1,
      _xlfn.AGGREGATE(14, 6, COLUMN($AW$1:$BH$1)/(AW1492:BH1492&lt;&gt;""), 2) - COLUMN($AW$1) + 1
   ),
"")</f>
        <v/>
      </c>
      <c r="BN1492" s="55" cm="1">
        <f t="array" ref="BN1492">IFERROR(INDEX($AW$1:$BH$1,1,MATCH(2,1/(AW1492:BH1492&lt;&gt;""))),"")</f>
        <v>46023</v>
      </c>
      <c r="BO1492" s="53">
        <f ca="1">IFERROR(_xlfn.XLOOKUP(F1492,Apuração!A:A,Apuração!C:C)/_xlfn.XLOOKUP(F1492,Apuração!A:A,Apuração!B:B),0)</f>
        <v>0</v>
      </c>
      <c r="BP1492" s="53">
        <f ca="1">IFERROR(_xlfn.XLOOKUP(F1492,Apuração!A:A,Apuração!D:D)/_xlfn.XLOOKUP(F1492,Apuração!A:A,Apuração!B:B),0)</f>
        <v>0</v>
      </c>
      <c r="BQ1492" s="53">
        <f ca="1">IF(BK1492&gt;=BO1492,0,_xlfn.XLOOKUP(F1492,Apuração!A:A,Apuração!B:B)*(BO1492 + (1/_xlfn.XLOOKUP(F1492,Apuração!A:A,Apuração!B:B)) - BK1492))</f>
        <v>0</v>
      </c>
      <c r="BR1492" s="85">
        <f t="shared" ca="1" si="1723"/>
        <v>0</v>
      </c>
      <c r="BS1492" s="53">
        <f ca="1">IFERROR((_xlfn.XLOOKUP(F1492,Apuração!A:A,Apuração!C:C)+1)/_xlfn.XLOOKUP(F1492,Apuração!A:A,Apuração!B:B),0)</f>
        <v>0.14285714285714285</v>
      </c>
    </row>
    <row r="1493" spans="1:71" ht="25.95" hidden="1" customHeight="1" x14ac:dyDescent="0.3">
      <c r="A1493" s="35" t="s">
        <v>44</v>
      </c>
      <c r="B1493" s="10" t="s">
        <v>44</v>
      </c>
      <c r="C1493" s="5" t="s">
        <v>209</v>
      </c>
      <c r="D1493" s="5" t="s">
        <v>211</v>
      </c>
      <c r="E1493" s="4" t="str" cm="1">
        <f t="array" ref="E1493">_xlfn.IFS(
F1493 = "A partir de Abril", "Aguardando Execução na Distribuidora",
A1493 = "CAPACITAÇÃO", "Em execução no Corporativo",
TRUE, "Em Execução na Distribuidora"
)</f>
        <v>Em Execução na Distribuidora</v>
      </c>
      <c r="F1493" s="4" t="str" cm="1">
        <f t="array" ref="F1493">_xlfn.IFS(
AG1493 &lt;&gt; "", "Jan-Dez/26",
AH1493 &lt;&gt; "", "Fev-Dez/26",
AI1493 &lt;&gt; "", "Mar-Dez/26", AJ1493 &lt;&gt; "", "Abr-Dez/26",
TRUE, "A partir de Junho"
)</f>
        <v>A partir de Junho</v>
      </c>
      <c r="G1493" s="10" t="s">
        <v>44</v>
      </c>
      <c r="H1493" s="36" t="s">
        <v>44</v>
      </c>
      <c r="I1493" s="37"/>
      <c r="J1493" s="37"/>
      <c r="K1493" s="37"/>
      <c r="L1493" s="37" t="s">
        <v>207</v>
      </c>
      <c r="M1493" s="37"/>
      <c r="N1493" s="5" t="s">
        <v>42</v>
      </c>
      <c r="O1493" s="5" t="s">
        <v>52</v>
      </c>
      <c r="P1493" s="10" t="s">
        <v>44</v>
      </c>
      <c r="Q1493" s="10" t="s">
        <v>44</v>
      </c>
      <c r="R1493" s="11" t="s">
        <v>44</v>
      </c>
      <c r="S1493" s="11" t="s">
        <v>44</v>
      </c>
      <c r="T1493" s="22"/>
      <c r="U1493" s="22"/>
      <c r="V1493" s="22"/>
      <c r="W1493" s="22"/>
      <c r="X1493" s="22"/>
      <c r="Y1493" s="22"/>
      <c r="Z1493" s="22"/>
      <c r="AA1493" s="22"/>
      <c r="AB1493" s="22"/>
      <c r="AC1493" s="22"/>
      <c r="AD1493" s="22"/>
      <c r="AE1493" s="22"/>
      <c r="AG1493" s="71"/>
      <c r="AH1493" s="71"/>
      <c r="AI1493" s="71"/>
      <c r="AJ1493" s="71"/>
      <c r="AK1493" s="71"/>
      <c r="AL1493" s="71"/>
      <c r="AM1493" s="71"/>
      <c r="AN1493" s="71"/>
      <c r="AO1493" s="71"/>
      <c r="AP1493" s="71"/>
      <c r="AQ1493" s="71"/>
      <c r="AR1493" s="71"/>
      <c r="AS1493" s="94"/>
      <c r="AT1493" s="95"/>
      <c r="AU1493" s="97"/>
      <c r="AW1493" s="84">
        <f t="shared" si="1722"/>
        <v>0</v>
      </c>
      <c r="AX1493" s="84"/>
      <c r="AY1493" s="84"/>
      <c r="AZ1493" s="84"/>
      <c r="BA1493" s="84"/>
      <c r="BB1493" s="84"/>
      <c r="BC1493" s="84"/>
      <c r="BD1493" s="84"/>
      <c r="BE1493" s="84"/>
      <c r="BF1493" s="84"/>
      <c r="BG1493" s="84"/>
      <c r="BH1493" s="84"/>
      <c r="BI1493" s="68" cm="1">
        <f t="array" ref="BI1493">IFERROR(INDEX(AW1493:BH1493,1,MATCH(2,1/(AW1493:BH1493&lt;&gt;""))),"")</f>
        <v>0</v>
      </c>
      <c r="BJ1493" s="68" t="str" cm="1">
        <f t="array" ref="BJ1493">IF(BM1493 = "", "",IFERROR(INDEX(AW1493:BH1493,1,MATCH(2,1/(AW1493:BH1493&lt;&gt;""),1)-1),""))</f>
        <v/>
      </c>
      <c r="BK1493" s="57" cm="1">
        <f t="array" ref="BK1493">IFERROR(INDEX(AW1493:BH1493,1,MATCH(2,1/(AW1493:BH1493&lt;&gt;""),1)),"")</f>
        <v>0</v>
      </c>
      <c r="BL1493" s="57" t="str" cm="1">
        <f t="array" ref="BL1493">IF(BM1493 = "", "",IFERROR(INDEX(AW1493:BH1493,1,MATCH(2,1/(AW1493:BH1493&lt;&gt;""),1)-1),""))</f>
        <v/>
      </c>
      <c r="BM1493" s="55" t="str" cm="1">
        <f t="array" ref="BM1493">IFERROR(
   INDEX($AW$1:$BH$1,
      _xlfn.AGGREGATE(14, 6, COLUMN($AW$1:$BH$1)/(AW1493:BH1493&lt;&gt;""), 2) - COLUMN($AW$1) + 1
   ),
"")</f>
        <v/>
      </c>
      <c r="BN1493" s="55" cm="1">
        <f t="array" ref="BN1493">IFERROR(INDEX($AW$1:$BH$1,1,MATCH(2,1/(AW1493:BH1493&lt;&gt;""))),"")</f>
        <v>46023</v>
      </c>
      <c r="BO1493" s="53">
        <f ca="1">IFERROR(_xlfn.XLOOKUP(F1493,Apuração!A:A,Apuração!C:C)/_xlfn.XLOOKUP(F1493,Apuração!A:A,Apuração!B:B),0)</f>
        <v>0</v>
      </c>
      <c r="BP1493" s="53">
        <f ca="1">IFERROR(_xlfn.XLOOKUP(F1493,Apuração!A:A,Apuração!D:D)/_xlfn.XLOOKUP(F1493,Apuração!A:A,Apuração!B:B),0)</f>
        <v>0</v>
      </c>
      <c r="BQ1493" s="53">
        <f ca="1">IF(BK1493&gt;=BO1493,0,_xlfn.XLOOKUP(F1493,Apuração!A:A,Apuração!B:B)*(BO1493 + (1/_xlfn.XLOOKUP(F1493,Apuração!A:A,Apuração!B:B)) - BK1493))</f>
        <v>0</v>
      </c>
      <c r="BR1493" s="85">
        <f t="shared" ca="1" si="1723"/>
        <v>0</v>
      </c>
      <c r="BS1493" s="53">
        <f ca="1">IFERROR((_xlfn.XLOOKUP(F1493,Apuração!A:A,Apuração!C:C)+1)/_xlfn.XLOOKUP(F1493,Apuração!A:A,Apuração!B:B),0)</f>
        <v>0.14285714285714285</v>
      </c>
    </row>
    <row r="1494" spans="1:71" ht="25.95" hidden="1" customHeight="1" x14ac:dyDescent="0.3">
      <c r="A1494" s="35" t="s">
        <v>44</v>
      </c>
      <c r="B1494" s="10" t="s">
        <v>44</v>
      </c>
      <c r="C1494" s="5" t="s">
        <v>209</v>
      </c>
      <c r="D1494" s="5" t="s">
        <v>212</v>
      </c>
      <c r="E1494" s="4" t="str" cm="1">
        <f t="array" ref="E1494">_xlfn.IFS(
F1494 = "A partir de Abril", "Aguardando Execução na Distribuidora",
A1494 = "CAPACITAÇÃO", "Em execução no Corporativo",
TRUE, "Em Execução na Distribuidora"
)</f>
        <v>Em Execução na Distribuidora</v>
      </c>
      <c r="F1494" s="4" t="str" cm="1">
        <f t="array" ref="F1494">_xlfn.IFS(
AG1494 &lt;&gt; "", "Jan-Dez/26",
AH1494 &lt;&gt; "", "Fev-Dez/26",
AI1494 &lt;&gt; "", "Mar-Dez/26", AJ1494 &lt;&gt; "", "Abr-Dez/26",
TRUE, "A partir de Junho"
)</f>
        <v>A partir de Junho</v>
      </c>
      <c r="G1494" s="10" t="s">
        <v>44</v>
      </c>
      <c r="H1494" s="36" t="s">
        <v>44</v>
      </c>
      <c r="I1494" s="37"/>
      <c r="J1494" s="37"/>
      <c r="K1494" s="37"/>
      <c r="L1494" s="37" t="s">
        <v>207</v>
      </c>
      <c r="M1494" s="37"/>
      <c r="N1494" s="5" t="s">
        <v>42</v>
      </c>
      <c r="O1494" s="5" t="s">
        <v>52</v>
      </c>
      <c r="P1494" s="10" t="s">
        <v>44</v>
      </c>
      <c r="Q1494" s="10" t="s">
        <v>44</v>
      </c>
      <c r="R1494" s="11" t="s">
        <v>44</v>
      </c>
      <c r="S1494" s="11" t="s">
        <v>44</v>
      </c>
      <c r="T1494" s="22"/>
      <c r="U1494" s="22"/>
      <c r="V1494" s="22"/>
      <c r="W1494" s="22"/>
      <c r="X1494" s="22"/>
      <c r="Y1494" s="22"/>
      <c r="Z1494" s="22"/>
      <c r="AA1494" s="22"/>
      <c r="AB1494" s="22"/>
      <c r="AC1494" s="22"/>
      <c r="AD1494" s="22"/>
      <c r="AE1494" s="22"/>
      <c r="AG1494" s="71"/>
      <c r="AH1494" s="71"/>
      <c r="AI1494" s="71"/>
      <c r="AJ1494" s="71"/>
      <c r="AK1494" s="71"/>
      <c r="AL1494" s="71"/>
      <c r="AM1494" s="71"/>
      <c r="AN1494" s="71"/>
      <c r="AO1494" s="71"/>
      <c r="AP1494" s="71"/>
      <c r="AQ1494" s="71"/>
      <c r="AR1494" s="71"/>
      <c r="AS1494" s="94"/>
      <c r="AT1494" s="95"/>
      <c r="AU1494" s="97"/>
      <c r="AW1494" s="84">
        <f t="shared" si="1722"/>
        <v>0</v>
      </c>
      <c r="AX1494" s="84"/>
      <c r="AY1494" s="84"/>
      <c r="AZ1494" s="84"/>
      <c r="BA1494" s="84"/>
      <c r="BB1494" s="84"/>
      <c r="BC1494" s="84"/>
      <c r="BD1494" s="84"/>
      <c r="BE1494" s="84"/>
      <c r="BF1494" s="84"/>
      <c r="BG1494" s="84"/>
      <c r="BH1494" s="84"/>
      <c r="BI1494" s="68" cm="1">
        <f t="array" ref="BI1494">IFERROR(INDEX(AW1494:BH1494,1,MATCH(2,1/(AW1494:BH1494&lt;&gt;""))),"")</f>
        <v>0</v>
      </c>
      <c r="BJ1494" s="68" t="str" cm="1">
        <f t="array" ref="BJ1494">IF(BM1494 = "", "",IFERROR(INDEX(AW1494:BH1494,1,MATCH(2,1/(AW1494:BH1494&lt;&gt;""),1)-1),""))</f>
        <v/>
      </c>
      <c r="BK1494" s="57" cm="1">
        <f t="array" ref="BK1494">IFERROR(INDEX(AW1494:BH1494,1,MATCH(2,1/(AW1494:BH1494&lt;&gt;""),1)),"")</f>
        <v>0</v>
      </c>
      <c r="BL1494" s="57" t="str" cm="1">
        <f t="array" ref="BL1494">IF(BM1494 = "", "",IFERROR(INDEX(AW1494:BH1494,1,MATCH(2,1/(AW1494:BH1494&lt;&gt;""),1)-1),""))</f>
        <v/>
      </c>
      <c r="BM1494" s="55" t="str" cm="1">
        <f t="array" ref="BM1494">IFERROR(
   INDEX($AW$1:$BH$1,
      _xlfn.AGGREGATE(14, 6, COLUMN($AW$1:$BH$1)/(AW1494:BH1494&lt;&gt;""), 2) - COLUMN($AW$1) + 1
   ),
"")</f>
        <v/>
      </c>
      <c r="BN1494" s="55" cm="1">
        <f t="array" ref="BN1494">IFERROR(INDEX($AW$1:$BH$1,1,MATCH(2,1/(AW1494:BH1494&lt;&gt;""))),"")</f>
        <v>46023</v>
      </c>
      <c r="BO1494" s="53">
        <f ca="1">IFERROR(_xlfn.XLOOKUP(F1494,Apuração!A:A,Apuração!C:C)/_xlfn.XLOOKUP(F1494,Apuração!A:A,Apuração!B:B),0)</f>
        <v>0</v>
      </c>
      <c r="BP1494" s="53">
        <f ca="1">IFERROR(_xlfn.XLOOKUP(F1494,Apuração!A:A,Apuração!D:D)/_xlfn.XLOOKUP(F1494,Apuração!A:A,Apuração!B:B),0)</f>
        <v>0</v>
      </c>
      <c r="BQ1494" s="53">
        <f ca="1">IF(BK1494&gt;=BO1494,0,_xlfn.XLOOKUP(F1494,Apuração!A:A,Apuração!B:B)*(BO1494 + (1/_xlfn.XLOOKUP(F1494,Apuração!A:A,Apuração!B:B)) - BK1494))</f>
        <v>0</v>
      </c>
      <c r="BR1494" s="85">
        <f t="shared" ca="1" si="1723"/>
        <v>0</v>
      </c>
      <c r="BS1494" s="53">
        <f ca="1">IFERROR((_xlfn.XLOOKUP(F1494,Apuração!A:A,Apuração!C:C)+1)/_xlfn.XLOOKUP(F1494,Apuração!A:A,Apuração!B:B),0)</f>
        <v>0.14285714285714285</v>
      </c>
    </row>
    <row r="1495" spans="1:71" ht="25.95" hidden="1" customHeight="1" x14ac:dyDescent="0.3">
      <c r="A1495" s="35" t="s">
        <v>44</v>
      </c>
      <c r="B1495" s="10" t="s">
        <v>44</v>
      </c>
      <c r="C1495" s="5" t="s">
        <v>209</v>
      </c>
      <c r="D1495" s="5" t="s">
        <v>213</v>
      </c>
      <c r="E1495" s="4" t="str" cm="1">
        <f t="array" ref="E1495">_xlfn.IFS(
F1495 = "A partir de Abril", "Aguardando Execução na Distribuidora",
A1495 = "CAPACITAÇÃO", "Em execução no Corporativo",
TRUE, "Em Execução na Distribuidora"
)</f>
        <v>Em Execução na Distribuidora</v>
      </c>
      <c r="F1495" s="4" t="str" cm="1">
        <f t="array" ref="F1495">_xlfn.IFS(
AG1495 &lt;&gt; "", "Jan-Dez/26",
AH1495 &lt;&gt; "", "Fev-Dez/26",
AI1495 &lt;&gt; "", "Mar-Dez/26", AJ1495 &lt;&gt; "", "Abr-Dez/26",
TRUE, "A partir de Junho"
)</f>
        <v>A partir de Junho</v>
      </c>
      <c r="G1495" s="10" t="s">
        <v>44</v>
      </c>
      <c r="H1495" s="36" t="s">
        <v>44</v>
      </c>
      <c r="I1495" s="37"/>
      <c r="J1495" s="37"/>
      <c r="K1495" s="37"/>
      <c r="L1495" s="37" t="s">
        <v>207</v>
      </c>
      <c r="M1495" s="37"/>
      <c r="N1495" s="5" t="s">
        <v>42</v>
      </c>
      <c r="O1495" s="5" t="s">
        <v>52</v>
      </c>
      <c r="P1495" s="10" t="s">
        <v>44</v>
      </c>
      <c r="Q1495" s="10" t="s">
        <v>44</v>
      </c>
      <c r="R1495" s="11" t="s">
        <v>44</v>
      </c>
      <c r="S1495" s="11" t="s">
        <v>44</v>
      </c>
      <c r="T1495" s="22"/>
      <c r="U1495" s="22"/>
      <c r="V1495" s="22"/>
      <c r="W1495" s="22"/>
      <c r="X1495" s="22"/>
      <c r="Y1495" s="22"/>
      <c r="Z1495" s="22"/>
      <c r="AA1495" s="22"/>
      <c r="AB1495" s="22"/>
      <c r="AC1495" s="22"/>
      <c r="AD1495" s="22"/>
      <c r="AE1495" s="22"/>
      <c r="AG1495" s="71"/>
      <c r="AH1495" s="71"/>
      <c r="AI1495" s="71"/>
      <c r="AJ1495" s="71"/>
      <c r="AK1495" s="71"/>
      <c r="AL1495" s="71"/>
      <c r="AM1495" s="71"/>
      <c r="AN1495" s="71"/>
      <c r="AO1495" s="71"/>
      <c r="AP1495" s="71"/>
      <c r="AQ1495" s="71"/>
      <c r="AR1495" s="71"/>
      <c r="AS1495" s="94"/>
      <c r="AT1495" s="95"/>
      <c r="AU1495" s="97"/>
      <c r="AW1495" s="84">
        <f t="shared" si="1722"/>
        <v>0</v>
      </c>
      <c r="AX1495" s="84"/>
      <c r="AY1495" s="84"/>
      <c r="AZ1495" s="84"/>
      <c r="BA1495" s="84"/>
      <c r="BB1495" s="84"/>
      <c r="BC1495" s="84"/>
      <c r="BD1495" s="84"/>
      <c r="BE1495" s="84"/>
      <c r="BF1495" s="84"/>
      <c r="BG1495" s="84"/>
      <c r="BH1495" s="84"/>
      <c r="BI1495" s="68" cm="1">
        <f t="array" ref="BI1495">IFERROR(INDEX(AW1495:BH1495,1,MATCH(2,1/(AW1495:BH1495&lt;&gt;""))),"")</f>
        <v>0</v>
      </c>
      <c r="BJ1495" s="68" t="str" cm="1">
        <f t="array" ref="BJ1495">IF(BM1495 = "", "",IFERROR(INDEX(AW1495:BH1495,1,MATCH(2,1/(AW1495:BH1495&lt;&gt;""),1)-1),""))</f>
        <v/>
      </c>
      <c r="BK1495" s="57" cm="1">
        <f t="array" ref="BK1495">IFERROR(INDEX(AW1495:BH1495,1,MATCH(2,1/(AW1495:BH1495&lt;&gt;""),1)),"")</f>
        <v>0</v>
      </c>
      <c r="BL1495" s="57" t="str" cm="1">
        <f t="array" ref="BL1495">IF(BM1495 = "", "",IFERROR(INDEX(AW1495:BH1495,1,MATCH(2,1/(AW1495:BH1495&lt;&gt;""),1)-1),""))</f>
        <v/>
      </c>
      <c r="BM1495" s="55" t="str" cm="1">
        <f t="array" ref="BM1495">IFERROR(
   INDEX($AW$1:$BH$1,
      _xlfn.AGGREGATE(14, 6, COLUMN($AW$1:$BH$1)/(AW1495:BH1495&lt;&gt;""), 2) - COLUMN($AW$1) + 1
   ),
"")</f>
        <v/>
      </c>
      <c r="BN1495" s="55" cm="1">
        <f t="array" ref="BN1495">IFERROR(INDEX($AW$1:$BH$1,1,MATCH(2,1/(AW1495:BH1495&lt;&gt;""))),"")</f>
        <v>46023</v>
      </c>
      <c r="BO1495" s="53">
        <f ca="1">IFERROR(_xlfn.XLOOKUP(F1495,Apuração!A:A,Apuração!C:C)/_xlfn.XLOOKUP(F1495,Apuração!A:A,Apuração!B:B),0)</f>
        <v>0</v>
      </c>
      <c r="BP1495" s="53">
        <f ca="1">IFERROR(_xlfn.XLOOKUP(F1495,Apuração!A:A,Apuração!D:D)/_xlfn.XLOOKUP(F1495,Apuração!A:A,Apuração!B:B),0)</f>
        <v>0</v>
      </c>
      <c r="BQ1495" s="53">
        <f ca="1">IF(BK1495&gt;=BO1495,0,_xlfn.XLOOKUP(F1495,Apuração!A:A,Apuração!B:B)*(BO1495 + (1/_xlfn.XLOOKUP(F1495,Apuração!A:A,Apuração!B:B)) - BK1495))</f>
        <v>0</v>
      </c>
      <c r="BR1495" s="85">
        <f t="shared" ca="1" si="1723"/>
        <v>0</v>
      </c>
      <c r="BS1495" s="53">
        <f ca="1">IFERROR((_xlfn.XLOOKUP(F1495,Apuração!A:A,Apuração!C:C)+1)/_xlfn.XLOOKUP(F1495,Apuração!A:A,Apuração!B:B),0)</f>
        <v>0.14285714285714285</v>
      </c>
    </row>
    <row r="1496" spans="1:71" ht="25.95" hidden="1" customHeight="1" x14ac:dyDescent="0.3">
      <c r="A1496" s="35" t="s">
        <v>44</v>
      </c>
      <c r="B1496" s="10" t="s">
        <v>44</v>
      </c>
      <c r="C1496" s="5" t="s">
        <v>209</v>
      </c>
      <c r="D1496" s="5" t="s">
        <v>36</v>
      </c>
      <c r="E1496" s="4" t="str" cm="1">
        <f t="array" ref="E1496">_xlfn.IFS(
F1496 = "A partir de Abril", "Aguardando Execução na Distribuidora",
A1496 = "CAPACITAÇÃO", "Em execução no Corporativo",
TRUE, "Em Execução na Distribuidora"
)</f>
        <v>Em Execução na Distribuidora</v>
      </c>
      <c r="F1496" s="4" t="str" cm="1">
        <f t="array" ref="F1496">_xlfn.IFS(
AG1496 &lt;&gt; "", "Jan-Dez/26",
AH1496 &lt;&gt; "", "Fev-Dez/26",
AI1496 &lt;&gt; "", "Mar-Dez/26", AJ1496 &lt;&gt; "", "Abr-Dez/26",
TRUE, "A partir de Junho"
)</f>
        <v>Jan-Dez/26</v>
      </c>
      <c r="G1496" s="10" t="s">
        <v>44</v>
      </c>
      <c r="H1496" s="36" t="s">
        <v>44</v>
      </c>
      <c r="I1496" s="37"/>
      <c r="J1496" s="37"/>
      <c r="K1496" s="37"/>
      <c r="L1496" s="37" t="s">
        <v>208</v>
      </c>
      <c r="M1496" s="37"/>
      <c r="N1496" s="5" t="s">
        <v>42</v>
      </c>
      <c r="O1496" s="5" t="s">
        <v>52</v>
      </c>
      <c r="P1496" s="10" t="s">
        <v>44</v>
      </c>
      <c r="Q1496" s="10" t="s">
        <v>44</v>
      </c>
      <c r="R1496" s="11" t="s">
        <v>44</v>
      </c>
      <c r="S1496" s="11" t="s">
        <v>44</v>
      </c>
      <c r="T1496" s="22"/>
      <c r="U1496" s="22"/>
      <c r="V1496" s="22"/>
      <c r="W1496" s="22"/>
      <c r="X1496" s="22"/>
      <c r="Y1496" s="22"/>
      <c r="Z1496" s="22"/>
      <c r="AA1496" s="22"/>
      <c r="AB1496" s="22"/>
      <c r="AC1496" s="22"/>
      <c r="AD1496" s="22"/>
      <c r="AE1496" s="22"/>
      <c r="AG1496" s="112">
        <v>2.1324987358814043</v>
      </c>
      <c r="AH1496" s="112">
        <v>19.292510245687197</v>
      </c>
      <c r="AI1496" s="112">
        <v>6.9886918986900719</v>
      </c>
      <c r="AJ1496" s="112">
        <v>7.71</v>
      </c>
      <c r="AK1496" s="112"/>
      <c r="AL1496" s="112"/>
      <c r="AM1496" s="112"/>
      <c r="AN1496" s="112"/>
      <c r="AO1496" s="112"/>
      <c r="AP1496" s="112"/>
      <c r="AQ1496" s="112"/>
      <c r="AR1496" s="112"/>
      <c r="AS1496" s="94"/>
      <c r="AT1496" s="95"/>
      <c r="AU1496" s="97"/>
      <c r="AW1496" s="84">
        <f>AG1496</f>
        <v>2.1324987358814043</v>
      </c>
      <c r="AX1496" s="84">
        <f>AH1496</f>
        <v>19.292510245687197</v>
      </c>
      <c r="AY1496" s="84">
        <f>AI1496</f>
        <v>6.9886918986900719</v>
      </c>
      <c r="AZ1496" s="84">
        <f>AJ1496</f>
        <v>7.71</v>
      </c>
      <c r="BA1496" s="84"/>
      <c r="BB1496" s="84"/>
      <c r="BC1496" s="84"/>
      <c r="BD1496" s="84"/>
      <c r="BE1496" s="84"/>
      <c r="BF1496" s="84"/>
      <c r="BG1496" s="84"/>
      <c r="BH1496" s="84"/>
      <c r="BI1496" s="68" cm="1">
        <f t="array" ref="BI1496">IFERROR(INDEX(AW1496:BH1496,1,MATCH(2,1/(AW1496:BH1496&lt;&gt;""))),"")</f>
        <v>7.71</v>
      </c>
      <c r="BJ1496" s="68" cm="1">
        <f t="array" ref="BJ1496">IF(BM1496 = "", "",IFERROR(INDEX(AW1496:BH1496,1,MATCH(2,1/(AW1496:BH1496&lt;&gt;""),1)-1),""))</f>
        <v>6.9886918986900719</v>
      </c>
      <c r="BK1496" s="57" cm="1">
        <f t="array" ref="BK1496">IFERROR(INDEX(AW1496:BH1496,1,MATCH(2,1/(AW1496:BH1496&lt;&gt;""),1)),"")</f>
        <v>7.71</v>
      </c>
      <c r="BL1496" s="57" cm="1">
        <f t="array" ref="BL1496">IF(BM1496 = "", "",IFERROR(INDEX(AW1496:BH1496,1,MATCH(2,1/(AW1496:BH1496&lt;&gt;""),1)-1),""))</f>
        <v>6.9886918986900719</v>
      </c>
      <c r="BM1496" s="55" cm="1">
        <f t="array" ref="BM1496">IFERROR(
   INDEX($AW$1:$BH$1,
      _xlfn.AGGREGATE(14, 6, COLUMN($AW$1:$BH$1)/(AW1496:BH1496&lt;&gt;""), 2) - COLUMN($AW$1) + 1
   ),
"")</f>
        <v>46082</v>
      </c>
      <c r="BN1496" s="55" cm="1">
        <f t="array" ref="BN1496">IFERROR(INDEX($AW$1:$BH$1,1,MATCH(2,1/(AW1496:BH1496&lt;&gt;""))),"")</f>
        <v>46113</v>
      </c>
      <c r="BO1496" s="53">
        <f ca="1">IFERROR(_xlfn.XLOOKUP(F1496,Apuração!A:A,Apuração!C:C)/_xlfn.XLOOKUP(F1496,Apuração!A:A,Apuração!B:B),0)</f>
        <v>0.41666666666666669</v>
      </c>
      <c r="BP1496" s="53">
        <f ca="1">IFERROR(_xlfn.XLOOKUP(F1496,Apuração!A:A,Apuração!D:D)/_xlfn.XLOOKUP(F1496,Apuração!A:A,Apuração!B:B),0)</f>
        <v>0.33333333333333331</v>
      </c>
      <c r="BQ1496" s="53">
        <f ca="1">IF(BK1496&gt;=BO1496,0,_xlfn.XLOOKUP(F1496,Apuração!A:A,Apuração!B:B)*(BO1496 + (1/_xlfn.XLOOKUP(F1496,Apuração!A:A,Apuração!B:B)) - BK1496))</f>
        <v>0</v>
      </c>
      <c r="BR1496" s="85">
        <f ca="1">IF(BQ1496=0,0,BQ1496*Z1496)</f>
        <v>0</v>
      </c>
      <c r="BS1496" s="53">
        <f ca="1">IFERROR((_xlfn.XLOOKUP(F1496,Apuração!A:A,Apuração!C:C)+1)/_xlfn.XLOOKUP(F1496,Apuração!A:A,Apuração!B:B),0)</f>
        <v>0.5</v>
      </c>
    </row>
    <row r="1497" spans="1:71" ht="25.95" hidden="1" customHeight="1" x14ac:dyDescent="0.3">
      <c r="A1497" s="3" t="s">
        <v>33</v>
      </c>
      <c r="B1497" s="4" t="s">
        <v>34</v>
      </c>
      <c r="C1497" s="5" t="s">
        <v>214</v>
      </c>
      <c r="D1497" s="5" t="s">
        <v>36</v>
      </c>
      <c r="E1497" s="4" t="str" cm="1">
        <f t="array" ref="E1497">_xlfn.IFS(
F1497 = "A partir de Abril", "Aguardando Execução na Distribuidora",
A1497 = "CAPACITAÇÃO", "Em execução no Corporativo",
TRUE, "Em Execução na Distribuidora"
)</f>
        <v>Em Execução na Distribuidora</v>
      </c>
      <c r="F1497" s="4" t="str" cm="1">
        <f t="array" ref="F1497">_xlfn.IFS(
AG1497 &lt;&gt; "", "Jan-Dez/26",
AH1497 &lt;&gt; "", "Fev-Dez/26",
AI1497 &lt;&gt; "", "Mar-Dez/26", AJ1497 &lt;&gt; "", "Abr-Dez/26",
TRUE, "A partir de Junho"
)</f>
        <v>Jan-Dez/26</v>
      </c>
      <c r="G1497" s="6" t="s">
        <v>37</v>
      </c>
      <c r="H1497" s="7" t="s">
        <v>110</v>
      </c>
      <c r="I1497" s="8" t="s">
        <v>39</v>
      </c>
      <c r="J1497" s="8" t="str" cm="1">
        <f t="array" aca="1" ref="J1497" ca="1">_xlfn.LET(
  _xlpm.actual_value_month, INDEX(T1497:AE1497, MATCH(DATE(YEAR(TODAY()), MONTH(TODAY()), 1), $T$1:$AE$1, 0)),
  IF(_xlpm.actual_value_month &lt;&gt; "",_xlpm.actual_value_month &amp; " soluções mensais", "")
)</f>
        <v>5 soluções mensais</v>
      </c>
      <c r="K1497" s="8" t="str" cm="1">
        <f t="array" ref="K1497">_xlfn.LET(
    _xlpm.sum_month, SUM(T1497:AE1497),
    IF(_xlpm.sum_month = 0, "", _xlpm.sum_month &amp; " soluções implementadas no ano")
)</f>
        <v>60 soluções implementadas no ano</v>
      </c>
      <c r="L1497" s="9" t="s">
        <v>40</v>
      </c>
      <c r="M1497" s="9" t="s">
        <v>41</v>
      </c>
      <c r="N1497" s="5" t="s">
        <v>42</v>
      </c>
      <c r="O1497" s="5" t="s">
        <v>43</v>
      </c>
      <c r="P1497" s="10" t="s">
        <v>44</v>
      </c>
      <c r="Q1497" s="10" t="s">
        <v>44</v>
      </c>
      <c r="R1497" s="11" t="s">
        <v>45</v>
      </c>
      <c r="S1497" s="11" t="s">
        <v>46</v>
      </c>
      <c r="T1497" s="22">
        <v>5</v>
      </c>
      <c r="U1497" s="22">
        <v>5</v>
      </c>
      <c r="V1497" s="22">
        <v>5</v>
      </c>
      <c r="W1497" s="22">
        <v>5</v>
      </c>
      <c r="X1497" s="22">
        <v>5</v>
      </c>
      <c r="Y1497" s="22">
        <v>5</v>
      </c>
      <c r="Z1497" s="22">
        <v>5</v>
      </c>
      <c r="AA1497" s="22">
        <v>5</v>
      </c>
      <c r="AB1497" s="22">
        <v>5</v>
      </c>
      <c r="AC1497" s="22">
        <v>5</v>
      </c>
      <c r="AD1497" s="22">
        <v>5</v>
      </c>
      <c r="AE1497" s="22">
        <v>5</v>
      </c>
      <c r="AG1497" s="71">
        <v>5</v>
      </c>
      <c r="AH1497" s="71">
        <v>5</v>
      </c>
      <c r="AI1497" s="71">
        <v>5</v>
      </c>
      <c r="AJ1497" s="71">
        <v>5</v>
      </c>
      <c r="AK1497" s="71"/>
      <c r="AL1497" s="71"/>
      <c r="AM1497" s="71"/>
      <c r="AN1497" s="71"/>
      <c r="AO1497" s="71"/>
      <c r="AP1497" s="71"/>
      <c r="AQ1497" s="71"/>
      <c r="AR1497" s="71"/>
      <c r="AS1497" s="94">
        <f ca="1">IF(MONTH(TODAY())=3,SUM(T1497:U1497),IF(MONTH(TODAY())=4,SUM(T1497:V1497),IF(MONTH(TODAY())=5,SUM(T1497:W1497),IF(MONTH(TODAY())=6,SUM(T1497:X1497),IF(MONTH(TODAY())=7,SUM(T1497:Y1497),IF(MONTH(TODAY())=8,SUM(T1497:Z1497),IF(MONTH(TODAY())=9,SUM(T1497:AA1497),IF(MONTH(TODAY())=10,SUM(T1497:AB1497),IF(MONTH(TODAY())=11,SUM(T1497:AC1497),IF(MONTH(TODAY())=12,SUM(T1497:AD1497),IF(MONTH(TODAY())=1,SUM(T1497:AE1497),T1497)))))))))))</f>
        <v>25</v>
      </c>
      <c r="AT1497" s="95">
        <f>SUM(IF(AW1497&lt;1.15,AG1497,1.15*T1497),IF(AX1497&lt;1.15,AH1497,1.15*U1497),IF(AY1497&lt;1.15,AI1497,1.15*V1497),IF(AZ1497&lt;1.15,AJ1497,1.15*W1497),IF(BA1497&lt;1.15,AK1497,1.15*X1497),IF(BB1497&lt;1.15,AL1497,1.15*Y1497),IF(BC1497&lt;1.15,AM1497,1.15*Z1497),IF(BD1497&lt;1.15,AN1497,1.15*AA1497),IF(BE1497&lt;1.15,AO1497,1.15*AB1497),IF(BF1497&lt;1.15,AP1497,1.15*AC1497),IF(BG1497&lt;1.15,AQ1497,1.15*AD1497),IF(BH1497&lt;1.15,AR1497,1.15*AE1497))</f>
        <v>20</v>
      </c>
      <c r="AU1497" s="97">
        <f>SUM(AG1497:AR1497)</f>
        <v>20</v>
      </c>
      <c r="AW1497" s="51">
        <f>IFERROR(IF(AG1497="",0,AG1497/T1497),0)</f>
        <v>1</v>
      </c>
      <c r="AX1497" s="51">
        <f>IFERROR(IF(AH1497="",0,AH1497/U1497),0)</f>
        <v>1</v>
      </c>
      <c r="AY1497" s="51">
        <f>IFERROR(IF(AI1497="",0,AI1497/V1497),0)</f>
        <v>1</v>
      </c>
      <c r="AZ1497" s="51">
        <f>IFERROR(IF(AJ1497="",0,AJ1497/W1497),0)</f>
        <v>1</v>
      </c>
      <c r="BA1497" s="51"/>
      <c r="BB1497" s="51"/>
      <c r="BC1497" s="51"/>
      <c r="BD1497" s="51"/>
      <c r="BE1497" s="51"/>
      <c r="BF1497" s="51"/>
      <c r="BG1497" s="51"/>
      <c r="BH1497" s="51"/>
      <c r="BI1497" s="65" cm="1">
        <f t="array" ref="BI1497">IFERROR(INDEX(AW1497:BH1497,1,MATCH(2,1/(AW1497:BH1497&lt;&gt;""))),"")</f>
        <v>1</v>
      </c>
      <c r="BJ1497" s="68" cm="1">
        <f t="array" ref="BJ1497">IF(BM1497 = "", "",IFERROR(INDEX(AW1497:BH1497,1,MATCH(2,1/(AW1497:BH1497&lt;&gt;""),1)-1),""))</f>
        <v>1</v>
      </c>
      <c r="BK1497" s="58">
        <f>IF((IF(AW1497&gt;=115%,115%,AW1497) + IF(AX1497&gt;=115%,115%,AX1497) + IF(AY1497&gt;=200%,200%,AY1497) + (IF(AZ1497&gt;=115%,115%,AZ1497) + IF(BA1497&gt;=145%,145%,BA1497) + IF(BB1497&gt;=115%,115%,BB1497) + IF(BC1497&gt;=115%,115%,BC1497) + IF(BD1497&gt;=115%,115%,BD1497) + IF(BE1497&gt;=115%,115%,BE1497) + IF(BF1497&gt;=115%,115%,BF1497) + IF(BG1497&gt;=143%,143%,BG1497) + IF(BH1497&gt;=115%,115%,BH1497)))/_xlfn.XLOOKUP(F1497,Apuração!A:A,Apuração!B:B)&gt;=1.15,1.15,((IF(AZ1497&gt;=115%,115%,AZ1497) + IF(AX1497&gt;=115%,115%,AX1497) + IF(AY1497&gt;=200%,200%,AY1497) + (IF(AW1497&gt;=115%,115%,AW1497) + IF(BA1497&gt;=145%,145%,BA1497) + IF(BB1497&gt;=115%,115%,BB1497) + IF(BC1497&gt;=115%,115%,BC1497) + IF(BD1497&gt;=115%,115%,BD1497) + IF(BE1497&gt;=115%,115%,BE1497) + IF(BF1497&gt;=115%,115%,BF1497) + IF(BG1497&gt;=143%,143%,BG1497) + IF(BH1497&gt;=115%,115%,BH1497)))/_xlfn.XLOOKUP(F1497,Apuração!A:A,Apuração!B:B)))</f>
        <v>0.33333333333333331</v>
      </c>
      <c r="BL1497" s="58" cm="1">
        <f t="array" aca="1" ref="BL1497" ca="1">IF(SUM(IFERROR(IF(INDEX(AW1497:INDEX(AW1497:BH1497, MATCH(2, 1/(AW1497:BH1497&lt;&gt;""), 1)-1), ROW(INDIRECT("1:" &amp; MATCH(2, 1/(AW1497:BH1497&lt;&gt;""), 1)-1))) &gt;= 115%, 115%, INDEX(AW1497:INDEX(AW1497:BH1497, MATCH(2, 1/(AW1497:BH1497&lt;&gt;""), 1)-1), ROW(INDIRECT("1:" &amp; MATCH(2, 1/(AW1497:BH1497&lt;&gt;""), 1)-1)))), 0))/_xlfn.XLOOKUP(F1497,Apuração!A:A,Apuração!B:B)&gt;=1.15,1.15,SUM(IFERROR(IF(INDEX(AW1497:INDEX(AW1497:BH1497, MATCH(2, 1/(AW1497:BH1497&lt;&gt;""), 1)-1), ROW(INDIRECT("1:" &amp; MATCH(2, 1/(AW1497:BH1497&lt;&gt;""), 1)-1))) &gt;= 115%, 115%, INDEX(AW1497:INDEX(AW1497:BH1497, MATCH(2, 1/(AW1497:BH1497&lt;&gt;""), 1)-1), ROW(INDIRECT("1:" &amp; MATCH(2, 1/(AW1497:BH1497&lt;&gt;""), 1)-1)))), 0))/_xlfn.XLOOKUP(F1497,Apuração!A:A,Apuração!B:B))</f>
        <v>0.25</v>
      </c>
      <c r="BM1497" s="55" cm="1">
        <f t="array" ref="BM1497">IFERROR(
   INDEX($AW$1:$BH$1,
      _xlfn.AGGREGATE(14, 6, COLUMN($AW$1:$BH$1)/(AW1497:BH1497&lt;&gt;""), 2) - COLUMN($AW$1) + 1
   ),
"")</f>
        <v>46082</v>
      </c>
      <c r="BN1497" s="55" cm="1">
        <f t="array" ref="BN1497">IFERROR(INDEX($AW$1:$BH$1,1,MATCH(2,1/(AW1497:BH1497&lt;&gt;""))),"")</f>
        <v>46113</v>
      </c>
      <c r="BO1497" s="53">
        <f ca="1">IFERROR(_xlfn.XLOOKUP(F1497,Apuração!A:A,Apuração!C:C)/_xlfn.XLOOKUP(F1497,Apuração!A:A,Apuração!B:B),0)</f>
        <v>0.41666666666666669</v>
      </c>
      <c r="BP1497" s="53">
        <f ca="1">IFERROR(_xlfn.XLOOKUP(F1497,Apuração!A:A,Apuração!D:D)/_xlfn.XLOOKUP(F1497,Apuração!A:A,Apuração!B:B),0)</f>
        <v>0.33333333333333331</v>
      </c>
      <c r="BQ1497" s="53">
        <f ca="1">IF(BK1497&gt;=BO1497,0,_xlfn.XLOOKUP(F1497,Apuração!A:A,Apuração!B:B)*(BO1497 + (1/_xlfn.XLOOKUP(F1497,Apuração!A:A,Apuração!B:B)) - BK1497))</f>
        <v>2</v>
      </c>
      <c r="BR1497" s="85">
        <f ca="1">IF(BQ1497=0,0,BQ1497*Z1497)</f>
        <v>10</v>
      </c>
      <c r="BS1497" s="53">
        <f ca="1">IFERROR((_xlfn.XLOOKUP(F1497,Apuração!A:A,Apuração!C:C)+1)/_xlfn.XLOOKUP(F1497,Apuração!A:A,Apuração!B:B),0)</f>
        <v>0.5</v>
      </c>
    </row>
    <row r="1498" spans="1:71" ht="25.95" hidden="1" customHeight="1" x14ac:dyDescent="0.3">
      <c r="A1498" s="3" t="s">
        <v>33</v>
      </c>
      <c r="B1498" s="4" t="s">
        <v>34</v>
      </c>
      <c r="C1498" s="5" t="s">
        <v>214</v>
      </c>
      <c r="D1498" s="5" t="s">
        <v>210</v>
      </c>
      <c r="E1498" s="4" t="str" cm="1">
        <f t="array" ref="E1498">_xlfn.IFS(
F1498 = "A partir de Abril", "Aguardando Execução na Distribuidora",
A1498 = "CAPACITAÇÃO", "Em execução no Corporativo",
TRUE, "Em Execução na Distribuidora"
)</f>
        <v>Em Execução na Distribuidora</v>
      </c>
      <c r="F1498" s="4" t="str" cm="1">
        <f t="array" ref="F1498">_xlfn.IFS(
AG1498 &lt;&gt; "", "Jan-Dez/26",
AH1498 &lt;&gt; "", "Fev-Dez/26",
AI1498 &lt;&gt; "", "Mar-Dez/26", AJ1498 &lt;&gt; "", "Abr-Dez/26",
TRUE, "A partir de Junho"
)</f>
        <v>Jan-Dez/26</v>
      </c>
      <c r="G1498" s="6" t="s">
        <v>37</v>
      </c>
      <c r="H1498" s="7" t="s">
        <v>110</v>
      </c>
      <c r="I1498" s="8" t="s">
        <v>39</v>
      </c>
      <c r="J1498" s="8" t="str" cm="1">
        <f t="array" aca="1" ref="J1498" ca="1">_xlfn.LET(
  _xlpm.actual_value_month, INDEX(T1498:AE1498, MATCH(DATE(YEAR(TODAY()), MONTH(TODAY()), 1), $T$1:$AE$1, 0)),
  IF(_xlpm.actual_value_month &lt;&gt; "",_xlpm.actual_value_month &amp; " soluções mensais", "")
)</f>
        <v>1 soluções mensais</v>
      </c>
      <c r="K1498" s="8" t="str" cm="1">
        <f t="array" ref="K1498">_xlfn.LET(
    _xlpm.sum_month, SUM(T1498:AE1498),
    IF(_xlpm.sum_month = 0, "", _xlpm.sum_month &amp; " soluções implementadas no ano")
)</f>
        <v>12 soluções implementadas no ano</v>
      </c>
      <c r="L1498" s="9" t="s">
        <v>40</v>
      </c>
      <c r="M1498" s="9" t="s">
        <v>41</v>
      </c>
      <c r="N1498" s="5" t="s">
        <v>42</v>
      </c>
      <c r="O1498" s="5" t="s">
        <v>43</v>
      </c>
      <c r="P1498" s="10" t="s">
        <v>44</v>
      </c>
      <c r="Q1498" s="10" t="s">
        <v>44</v>
      </c>
      <c r="R1498" s="11" t="s">
        <v>45</v>
      </c>
      <c r="S1498" s="11" t="s">
        <v>46</v>
      </c>
      <c r="T1498" s="152">
        <v>1</v>
      </c>
      <c r="U1498" s="152">
        <v>1</v>
      </c>
      <c r="V1498" s="152">
        <v>1</v>
      </c>
      <c r="W1498" s="152">
        <v>1</v>
      </c>
      <c r="X1498" s="152">
        <v>1</v>
      </c>
      <c r="Y1498" s="152">
        <v>1</v>
      </c>
      <c r="Z1498" s="152">
        <v>1</v>
      </c>
      <c r="AA1498" s="152">
        <v>1</v>
      </c>
      <c r="AB1498" s="152">
        <v>1</v>
      </c>
      <c r="AC1498" s="152">
        <v>1</v>
      </c>
      <c r="AD1498" s="152">
        <v>1</v>
      </c>
      <c r="AE1498" s="152">
        <v>1</v>
      </c>
      <c r="AG1498" s="144">
        <v>1</v>
      </c>
      <c r="AH1498" s="144">
        <v>1</v>
      </c>
      <c r="AI1498" s="144">
        <v>1</v>
      </c>
      <c r="AJ1498" s="144">
        <v>1</v>
      </c>
      <c r="AK1498" s="71"/>
      <c r="AL1498" s="71"/>
      <c r="AM1498" s="71"/>
      <c r="AN1498" s="71"/>
      <c r="AO1498" s="71"/>
      <c r="AP1498" s="71"/>
      <c r="AQ1498" s="71"/>
      <c r="AR1498" s="71"/>
      <c r="AS1498" s="94">
        <f t="shared" ref="AS1498:AS1502" ca="1" si="1724">IF(MONTH(TODAY())=3,SUM(T1498:U1498),IF(MONTH(TODAY())=4,SUM(T1498:V1498),IF(MONTH(TODAY())=5,SUM(T1498:W1498),IF(MONTH(TODAY())=6,SUM(T1498:X1498),IF(MONTH(TODAY())=7,SUM(T1498:Y1498),IF(MONTH(TODAY())=8,SUM(T1498:Z1498),IF(MONTH(TODAY())=9,SUM(T1498:AA1498),IF(MONTH(TODAY())=10,SUM(T1498:AB1498),IF(MONTH(TODAY())=11,SUM(T1498:AC1498),IF(MONTH(TODAY())=12,SUM(T1498:AD1498),IF(MONTH(TODAY())=1,SUM(T1498:AE1498),T1498)))))))))))</f>
        <v>5</v>
      </c>
      <c r="AT1498" s="95">
        <f t="shared" ref="AT1498:AT1502" si="1725">SUM(IF(AW1498&lt;1.15,AG1498,1.15*T1498),IF(AX1498&lt;1.15,AH1498,1.15*U1498),IF(AY1498&lt;1.15,AI1498,1.15*V1498),IF(AZ1498&lt;1.15,AJ1498,1.15*W1498),IF(BA1498&lt;1.15,AK1498,1.15*X1498),IF(BB1498&lt;1.15,AL1498,1.15*Y1498),IF(BC1498&lt;1.15,AM1498,1.15*Z1498),IF(BD1498&lt;1.15,AN1498,1.15*AA1498),IF(BE1498&lt;1.15,AO1498,1.15*AB1498),IF(BF1498&lt;1.15,AP1498,1.15*AC1498),IF(BG1498&lt;1.15,AQ1498,1.15*AD1498),IF(BH1498&lt;1.15,AR1498,1.15*AE1498))</f>
        <v>4</v>
      </c>
      <c r="AU1498" s="97">
        <f t="shared" ref="AU1498:AU1502" si="1726">SUM(AG1498:AR1498)</f>
        <v>4</v>
      </c>
      <c r="AW1498" s="51">
        <f t="shared" ref="AW1498:AW1502" si="1727">IFERROR(IF(AG1498="",0,AG1498/T1498),0)</f>
        <v>1</v>
      </c>
      <c r="AX1498" s="51">
        <f t="shared" ref="AX1498:AX1502" si="1728">IFERROR(IF(AH1498="",0,AH1498/U1498),0)</f>
        <v>1</v>
      </c>
      <c r="AY1498" s="51">
        <f t="shared" ref="AY1498:AY1502" si="1729">IFERROR(IF(AI1498="",0,AI1498/V1498),0)</f>
        <v>1</v>
      </c>
      <c r="AZ1498" s="51">
        <f t="shared" ref="AZ1498:AZ1502" si="1730">IFERROR(IF(AJ1498="",0,AJ1498/W1498),0)</f>
        <v>1</v>
      </c>
      <c r="BA1498" s="51"/>
      <c r="BB1498" s="51"/>
      <c r="BC1498" s="51"/>
      <c r="BD1498" s="51"/>
      <c r="BE1498" s="51"/>
      <c r="BF1498" s="51"/>
      <c r="BG1498" s="51"/>
      <c r="BH1498" s="51"/>
      <c r="BI1498" s="65" cm="1">
        <f t="array" ref="BI1498">IFERROR(INDEX(AW1498:BH1498,1,MATCH(2,1/(AW1498:BH1498&lt;&gt;""))),"")</f>
        <v>1</v>
      </c>
      <c r="BJ1498" s="68" cm="1">
        <f t="array" ref="BJ1498">IF(BM1498 = "", "",IFERROR(INDEX(AW1498:BH1498,1,MATCH(2,1/(AW1498:BH1498&lt;&gt;""),1)-1),""))</f>
        <v>1</v>
      </c>
      <c r="BK1498" s="58">
        <f>IF((IF(AW1498&gt;=115%,115%,AW1498) + IF(AX1498&gt;=115%,115%,AX1498) + IF(AY1498&gt;=200%,200%,AY1498) + (IF(AZ1498&gt;=115%,115%,AZ1498) + IF(BA1498&gt;=145%,145%,BA1498) + IF(BB1498&gt;=115%,115%,BB1498) + IF(BC1498&gt;=115%,115%,BC1498) + IF(BD1498&gt;=115%,115%,BD1498) + IF(BE1498&gt;=115%,115%,BE1498) + IF(BF1498&gt;=115%,115%,BF1498) + IF(BG1498&gt;=143%,143%,BG1498) + IF(BH1498&gt;=115%,115%,BH1498)))/_xlfn.XLOOKUP(F1498,Apuração!A:A,Apuração!B:B)&gt;=1.15,1.15,((IF(AZ1498&gt;=115%,115%,AZ1498) + IF(AX1498&gt;=115%,115%,AX1498) + IF(AY1498&gt;=200%,200%,AY1498) + (IF(AW1498&gt;=115%,115%,AW1498) + IF(BA1498&gt;=145%,145%,BA1498) + IF(BB1498&gt;=115%,115%,BB1498) + IF(BC1498&gt;=115%,115%,BC1498) + IF(BD1498&gt;=115%,115%,BD1498) + IF(BE1498&gt;=115%,115%,BE1498) + IF(BF1498&gt;=115%,115%,BF1498) + IF(BG1498&gt;=143%,143%,BG1498) + IF(BH1498&gt;=115%,115%,BH1498)))/_xlfn.XLOOKUP(F1498,Apuração!A:A,Apuração!B:B)))</f>
        <v>0.33333333333333331</v>
      </c>
      <c r="BL1498" s="58" cm="1">
        <f t="array" aca="1" ref="BL1498" ca="1">IF(SUM(IFERROR(IF(INDEX(AW1498:INDEX(AW1498:BH1498, MATCH(2, 1/(AW1498:BH1498&lt;&gt;""), 1)-1), ROW(INDIRECT("1:" &amp; MATCH(2, 1/(AW1498:BH1498&lt;&gt;""), 1)-1))) &gt;= 115%, 115%, INDEX(AW1498:INDEX(AW1498:BH1498, MATCH(2, 1/(AW1498:BH1498&lt;&gt;""), 1)-1), ROW(INDIRECT("1:" &amp; MATCH(2, 1/(AW1498:BH1498&lt;&gt;""), 1)-1)))), 0))/_xlfn.XLOOKUP(F1498,Apuração!A:A,Apuração!B:B)&gt;=1.15,1.15,SUM(IFERROR(IF(INDEX(AW1498:INDEX(AW1498:BH1498, MATCH(2, 1/(AW1498:BH1498&lt;&gt;""), 1)-1), ROW(INDIRECT("1:" &amp; MATCH(2, 1/(AW1498:BH1498&lt;&gt;""), 1)-1))) &gt;= 115%, 115%, INDEX(AW1498:INDEX(AW1498:BH1498, MATCH(2, 1/(AW1498:BH1498&lt;&gt;""), 1)-1), ROW(INDIRECT("1:" &amp; MATCH(2, 1/(AW1498:BH1498&lt;&gt;""), 1)-1)))), 0))/_xlfn.XLOOKUP(F1498,Apuração!A:A,Apuração!B:B))</f>
        <v>0.25</v>
      </c>
      <c r="BM1498" s="55" cm="1">
        <f t="array" ref="BM1498">IFERROR(
   INDEX($AW$1:$BH$1,
      _xlfn.AGGREGATE(14, 6, COLUMN($AW$1:$BH$1)/(AW1498:BH1498&lt;&gt;""), 2) - COLUMN($AW$1) + 1
   ),
"")</f>
        <v>46082</v>
      </c>
      <c r="BN1498" s="55" cm="1">
        <f t="array" ref="BN1498">IFERROR(INDEX($AW$1:$BH$1,1,MATCH(2,1/(AW1498:BH1498&lt;&gt;""))),"")</f>
        <v>46113</v>
      </c>
      <c r="BO1498" s="53">
        <f ca="1">IFERROR(_xlfn.XLOOKUP(F1498,Apuração!A:A,Apuração!C:C)/_xlfn.XLOOKUP(F1498,Apuração!A:A,Apuração!B:B),0)</f>
        <v>0.41666666666666669</v>
      </c>
      <c r="BP1498" s="53">
        <f ca="1">IFERROR(_xlfn.XLOOKUP(F1498,Apuração!A:A,Apuração!D:D)/_xlfn.XLOOKUP(F1498,Apuração!A:A,Apuração!B:B),0)</f>
        <v>0.33333333333333331</v>
      </c>
      <c r="BQ1498" s="53">
        <f ca="1">IF(BK1498&gt;=BO1498,0,_xlfn.XLOOKUP(F1498,Apuração!A:A,Apuração!B:B)*(BO1498 + (1/_xlfn.XLOOKUP(F1498,Apuração!A:A,Apuração!B:B)) - BK1498))</f>
        <v>2</v>
      </c>
      <c r="BR1498" s="85">
        <f t="shared" ref="BR1498:BR1502" ca="1" si="1731">IF(BQ1498=0,0,BQ1498*Z1498)</f>
        <v>2</v>
      </c>
      <c r="BS1498" s="53">
        <f ca="1">IFERROR((_xlfn.XLOOKUP(F1498,Apuração!A:A,Apuração!C:C)+1)/_xlfn.XLOOKUP(F1498,Apuração!A:A,Apuração!B:B),0)</f>
        <v>0.5</v>
      </c>
    </row>
    <row r="1499" spans="1:71" ht="25.95" hidden="1" customHeight="1" x14ac:dyDescent="0.3">
      <c r="A1499" s="3" t="s">
        <v>33</v>
      </c>
      <c r="B1499" s="4" t="s">
        <v>34</v>
      </c>
      <c r="C1499" s="5" t="s">
        <v>214</v>
      </c>
      <c r="D1499" s="5" t="s">
        <v>215</v>
      </c>
      <c r="E1499" s="4" t="str" cm="1">
        <f t="array" ref="E1499">_xlfn.IFS(
F1499 = "A partir de Abril", "Aguardando Execução na Distribuidora",
A1499 = "CAPACITAÇÃO", "Em execução no Corporativo",
TRUE, "Em Execução na Distribuidora"
)</f>
        <v>Em Execução na Distribuidora</v>
      </c>
      <c r="F1499" s="4" t="str" cm="1">
        <f t="array" ref="F1499">_xlfn.IFS(
AG1499 &lt;&gt; "", "Jan-Dez/26",
AH1499 &lt;&gt; "", "Fev-Dez/26",
AI1499 &lt;&gt; "", "Mar-Dez/26", AJ1499 &lt;&gt; "", "Abr-Dez/26",
TRUE, "A partir de Junho"
)</f>
        <v>Jan-Dez/26</v>
      </c>
      <c r="G1499" s="6" t="s">
        <v>37</v>
      </c>
      <c r="H1499" s="7" t="s">
        <v>110</v>
      </c>
      <c r="I1499" s="8" t="s">
        <v>39</v>
      </c>
      <c r="J1499" s="8" t="str" cm="1">
        <f t="array" aca="1" ref="J1499" ca="1">_xlfn.LET(
  _xlpm.actual_value_month, INDEX(T1499:AE1499, MATCH(DATE(YEAR(TODAY()), MONTH(TODAY()), 1), $T$1:$AE$1, 0)),
  IF(_xlpm.actual_value_month &lt;&gt; "",_xlpm.actual_value_month &amp; " soluções mensais", "")
)</f>
        <v>1 soluções mensais</v>
      </c>
      <c r="K1499" s="8" t="str" cm="1">
        <f t="array" ref="K1499">_xlfn.LET(
    _xlpm.sum_month, SUM(T1499:AE1499),
    IF(_xlpm.sum_month = 0, "", _xlpm.sum_month &amp; " soluções implementadas no ano")
)</f>
        <v>12 soluções implementadas no ano</v>
      </c>
      <c r="L1499" s="9" t="s">
        <v>40</v>
      </c>
      <c r="M1499" s="9" t="s">
        <v>41</v>
      </c>
      <c r="N1499" s="5" t="s">
        <v>42</v>
      </c>
      <c r="O1499" s="5" t="s">
        <v>43</v>
      </c>
      <c r="P1499" s="10" t="s">
        <v>44</v>
      </c>
      <c r="Q1499" s="10" t="s">
        <v>44</v>
      </c>
      <c r="R1499" s="11" t="s">
        <v>45</v>
      </c>
      <c r="S1499" s="11" t="s">
        <v>46</v>
      </c>
      <c r="T1499" s="152">
        <v>1</v>
      </c>
      <c r="U1499" s="152">
        <v>1</v>
      </c>
      <c r="V1499" s="152">
        <v>1</v>
      </c>
      <c r="W1499" s="152">
        <v>1</v>
      </c>
      <c r="X1499" s="152">
        <v>1</v>
      </c>
      <c r="Y1499" s="152">
        <v>1</v>
      </c>
      <c r="Z1499" s="152">
        <v>1</v>
      </c>
      <c r="AA1499" s="152">
        <v>1</v>
      </c>
      <c r="AB1499" s="152">
        <v>1</v>
      </c>
      <c r="AC1499" s="152">
        <v>1</v>
      </c>
      <c r="AD1499" s="152">
        <v>1</v>
      </c>
      <c r="AE1499" s="152">
        <v>1</v>
      </c>
      <c r="AG1499" s="144">
        <v>1</v>
      </c>
      <c r="AH1499" s="144">
        <v>1</v>
      </c>
      <c r="AI1499" s="144">
        <v>1</v>
      </c>
      <c r="AJ1499" s="144">
        <v>1</v>
      </c>
      <c r="AK1499" s="71"/>
      <c r="AL1499" s="71"/>
      <c r="AM1499" s="71"/>
      <c r="AN1499" s="71"/>
      <c r="AO1499" s="71"/>
      <c r="AP1499" s="71"/>
      <c r="AQ1499" s="71"/>
      <c r="AR1499" s="71"/>
      <c r="AS1499" s="94">
        <f t="shared" ca="1" si="1724"/>
        <v>5</v>
      </c>
      <c r="AT1499" s="95">
        <f t="shared" si="1725"/>
        <v>4</v>
      </c>
      <c r="AU1499" s="97">
        <f t="shared" si="1726"/>
        <v>4</v>
      </c>
      <c r="AW1499" s="51">
        <f t="shared" si="1727"/>
        <v>1</v>
      </c>
      <c r="AX1499" s="51">
        <f t="shared" si="1728"/>
        <v>1</v>
      </c>
      <c r="AY1499" s="51">
        <f t="shared" si="1729"/>
        <v>1</v>
      </c>
      <c r="AZ1499" s="51">
        <f t="shared" si="1730"/>
        <v>1</v>
      </c>
      <c r="BA1499" s="51"/>
      <c r="BB1499" s="51"/>
      <c r="BC1499" s="51"/>
      <c r="BD1499" s="51"/>
      <c r="BE1499" s="51"/>
      <c r="BF1499" s="51"/>
      <c r="BG1499" s="51"/>
      <c r="BH1499" s="51"/>
      <c r="BI1499" s="65" cm="1">
        <f t="array" ref="BI1499">IFERROR(INDEX(AW1499:BH1499,1,MATCH(2,1/(AW1499:BH1499&lt;&gt;""))),"")</f>
        <v>1</v>
      </c>
      <c r="BJ1499" s="68" cm="1">
        <f t="array" ref="BJ1499">IF(BM1499 = "", "",IFERROR(INDEX(AW1499:BH1499,1,MATCH(2,1/(AW1499:BH1499&lt;&gt;""),1)-1),""))</f>
        <v>1</v>
      </c>
      <c r="BK1499" s="58">
        <f>IF((IF(AW1499&gt;=115%,115%,AW1499) + IF(AX1499&gt;=115%,115%,AX1499) + IF(AY1499&gt;=200%,200%,AY1499) + (IF(AZ1499&gt;=115%,115%,AZ1499) + IF(BA1499&gt;=145%,145%,BA1499) + IF(BB1499&gt;=115%,115%,BB1499) + IF(BC1499&gt;=115%,115%,BC1499) + IF(BD1499&gt;=115%,115%,BD1499) + IF(BE1499&gt;=115%,115%,BE1499) + IF(BF1499&gt;=115%,115%,BF1499) + IF(BG1499&gt;=143%,143%,BG1499) + IF(BH1499&gt;=115%,115%,BH1499)))/_xlfn.XLOOKUP(F1499,Apuração!A:A,Apuração!B:B)&gt;=1.15,1.15,((IF(AZ1499&gt;=115%,115%,AZ1499) + IF(AX1499&gt;=115%,115%,AX1499) + IF(AY1499&gt;=200%,200%,AY1499) + (IF(AW1499&gt;=115%,115%,AW1499) + IF(BA1499&gt;=145%,145%,BA1499) + IF(BB1499&gt;=115%,115%,BB1499) + IF(BC1499&gt;=115%,115%,BC1499) + IF(BD1499&gt;=115%,115%,BD1499) + IF(BE1499&gt;=115%,115%,BE1499) + IF(BF1499&gt;=115%,115%,BF1499) + IF(BG1499&gt;=143%,143%,BG1499) + IF(BH1499&gt;=115%,115%,BH1499)))/_xlfn.XLOOKUP(F1499,Apuração!A:A,Apuração!B:B)))</f>
        <v>0.33333333333333331</v>
      </c>
      <c r="BL1499" s="58" cm="1">
        <f t="array" aca="1" ref="BL1499" ca="1">IF(SUM(IFERROR(IF(INDEX(AW1499:INDEX(AW1499:BH1499, MATCH(2, 1/(AW1499:BH1499&lt;&gt;""), 1)-1), ROW(INDIRECT("1:" &amp; MATCH(2, 1/(AW1499:BH1499&lt;&gt;""), 1)-1))) &gt;= 115%, 115%, INDEX(AW1499:INDEX(AW1499:BH1499, MATCH(2, 1/(AW1499:BH1499&lt;&gt;""), 1)-1), ROW(INDIRECT("1:" &amp; MATCH(2, 1/(AW1499:BH1499&lt;&gt;""), 1)-1)))), 0))/_xlfn.XLOOKUP(F1499,Apuração!A:A,Apuração!B:B)&gt;=1.15,1.15,SUM(IFERROR(IF(INDEX(AW1499:INDEX(AW1499:BH1499, MATCH(2, 1/(AW1499:BH1499&lt;&gt;""), 1)-1), ROW(INDIRECT("1:" &amp; MATCH(2, 1/(AW1499:BH1499&lt;&gt;""), 1)-1))) &gt;= 115%, 115%, INDEX(AW1499:INDEX(AW1499:BH1499, MATCH(2, 1/(AW1499:BH1499&lt;&gt;""), 1)-1), ROW(INDIRECT("1:" &amp; MATCH(2, 1/(AW1499:BH1499&lt;&gt;""), 1)-1)))), 0))/_xlfn.XLOOKUP(F1499,Apuração!A:A,Apuração!B:B))</f>
        <v>0.25</v>
      </c>
      <c r="BM1499" s="55" cm="1">
        <f t="array" ref="BM1499">IFERROR(
   INDEX($AW$1:$BH$1,
      _xlfn.AGGREGATE(14, 6, COLUMN($AW$1:$BH$1)/(AW1499:BH1499&lt;&gt;""), 2) - COLUMN($AW$1) + 1
   ),
"")</f>
        <v>46082</v>
      </c>
      <c r="BN1499" s="55" cm="1">
        <f t="array" ref="BN1499">IFERROR(INDEX($AW$1:$BH$1,1,MATCH(2,1/(AW1499:BH1499&lt;&gt;""))),"")</f>
        <v>46113</v>
      </c>
      <c r="BO1499" s="53">
        <f ca="1">IFERROR(_xlfn.XLOOKUP(F1499,Apuração!A:A,Apuração!C:C)/_xlfn.XLOOKUP(F1499,Apuração!A:A,Apuração!B:B),0)</f>
        <v>0.41666666666666669</v>
      </c>
      <c r="BP1499" s="53">
        <f ca="1">IFERROR(_xlfn.XLOOKUP(F1499,Apuração!A:A,Apuração!D:D)/_xlfn.XLOOKUP(F1499,Apuração!A:A,Apuração!B:B),0)</f>
        <v>0.33333333333333331</v>
      </c>
      <c r="BQ1499" s="53">
        <f ca="1">IF(BK1499&gt;=BO1499,0,_xlfn.XLOOKUP(F1499,Apuração!A:A,Apuração!B:B)*(BO1499 + (1/_xlfn.XLOOKUP(F1499,Apuração!A:A,Apuração!B:B)) - BK1499))</f>
        <v>2</v>
      </c>
      <c r="BR1499" s="85">
        <f t="shared" ca="1" si="1731"/>
        <v>2</v>
      </c>
      <c r="BS1499" s="53">
        <f ca="1">IFERROR((_xlfn.XLOOKUP(F1499,Apuração!A:A,Apuração!C:C)+1)/_xlfn.XLOOKUP(F1499,Apuração!A:A,Apuração!B:B),0)</f>
        <v>0.5</v>
      </c>
    </row>
    <row r="1500" spans="1:71" ht="25.95" hidden="1" customHeight="1" x14ac:dyDescent="0.3">
      <c r="A1500" s="3" t="s">
        <v>33</v>
      </c>
      <c r="B1500" s="4" t="s">
        <v>34</v>
      </c>
      <c r="C1500" s="5" t="s">
        <v>214</v>
      </c>
      <c r="D1500" s="5" t="s">
        <v>212</v>
      </c>
      <c r="E1500" s="4" t="str" cm="1">
        <f t="array" ref="E1500">_xlfn.IFS(
F1500 = "A partir de Abril", "Aguardando Execução na Distribuidora",
A1500 = "CAPACITAÇÃO", "Em execução no Corporativo",
TRUE, "Em Execução na Distribuidora"
)</f>
        <v>Em Execução na Distribuidora</v>
      </c>
      <c r="F1500" s="4" t="str" cm="1">
        <f t="array" ref="F1500">_xlfn.IFS(
AG1500 &lt;&gt; "", "Jan-Dez/26",
AH1500 &lt;&gt; "", "Fev-Dez/26",
AI1500 &lt;&gt; "", "Mar-Dez/26", AJ1500 &lt;&gt; "", "Abr-Dez/26",
TRUE, "A partir de Junho"
)</f>
        <v>Jan-Dez/26</v>
      </c>
      <c r="G1500" s="6" t="s">
        <v>37</v>
      </c>
      <c r="H1500" s="7" t="s">
        <v>110</v>
      </c>
      <c r="I1500" s="8" t="s">
        <v>39</v>
      </c>
      <c r="J1500" s="8" t="str" cm="1">
        <f t="array" aca="1" ref="J1500" ca="1">_xlfn.LET(
  _xlpm.actual_value_month, INDEX(T1500:AE1500, MATCH(DATE(YEAR(TODAY()), MONTH(TODAY()), 1), $T$1:$AE$1, 0)),
  IF(_xlpm.actual_value_month &lt;&gt; "",_xlpm.actual_value_month &amp; " soluções mensais", "")
)</f>
        <v>1 soluções mensais</v>
      </c>
      <c r="K1500" s="8" t="str" cm="1">
        <f t="array" ref="K1500">_xlfn.LET(
    _xlpm.sum_month, SUM(T1500:AE1500),
    IF(_xlpm.sum_month = 0, "", _xlpm.sum_month &amp; " soluções implementadas no ano")
)</f>
        <v>12 soluções implementadas no ano</v>
      </c>
      <c r="L1500" s="9" t="s">
        <v>40</v>
      </c>
      <c r="M1500" s="9" t="s">
        <v>41</v>
      </c>
      <c r="N1500" s="5" t="s">
        <v>42</v>
      </c>
      <c r="O1500" s="5" t="s">
        <v>43</v>
      </c>
      <c r="P1500" s="10" t="s">
        <v>44</v>
      </c>
      <c r="Q1500" s="10" t="s">
        <v>44</v>
      </c>
      <c r="R1500" s="11" t="s">
        <v>45</v>
      </c>
      <c r="S1500" s="11" t="s">
        <v>46</v>
      </c>
      <c r="T1500" s="152">
        <v>1</v>
      </c>
      <c r="U1500" s="152">
        <v>1</v>
      </c>
      <c r="V1500" s="152">
        <v>1</v>
      </c>
      <c r="W1500" s="152">
        <v>1</v>
      </c>
      <c r="X1500" s="152">
        <v>1</v>
      </c>
      <c r="Y1500" s="152">
        <v>1</v>
      </c>
      <c r="Z1500" s="152">
        <v>1</v>
      </c>
      <c r="AA1500" s="152">
        <v>1</v>
      </c>
      <c r="AB1500" s="152">
        <v>1</v>
      </c>
      <c r="AC1500" s="152">
        <v>1</v>
      </c>
      <c r="AD1500" s="152">
        <v>1</v>
      </c>
      <c r="AE1500" s="152">
        <v>1</v>
      </c>
      <c r="AG1500" s="144">
        <v>1</v>
      </c>
      <c r="AH1500" s="144">
        <v>1</v>
      </c>
      <c r="AI1500" s="144">
        <v>1</v>
      </c>
      <c r="AJ1500" s="144">
        <v>1</v>
      </c>
      <c r="AK1500" s="71"/>
      <c r="AL1500" s="71"/>
      <c r="AM1500" s="71"/>
      <c r="AN1500" s="71"/>
      <c r="AO1500" s="71"/>
      <c r="AP1500" s="71"/>
      <c r="AQ1500" s="71"/>
      <c r="AR1500" s="71"/>
      <c r="AS1500" s="94">
        <f t="shared" ca="1" si="1724"/>
        <v>5</v>
      </c>
      <c r="AT1500" s="95">
        <f t="shared" si="1725"/>
        <v>4</v>
      </c>
      <c r="AU1500" s="97">
        <f t="shared" si="1726"/>
        <v>4</v>
      </c>
      <c r="AW1500" s="51">
        <f t="shared" si="1727"/>
        <v>1</v>
      </c>
      <c r="AX1500" s="51">
        <f t="shared" si="1728"/>
        <v>1</v>
      </c>
      <c r="AY1500" s="51">
        <f t="shared" si="1729"/>
        <v>1</v>
      </c>
      <c r="AZ1500" s="51">
        <f t="shared" si="1730"/>
        <v>1</v>
      </c>
      <c r="BA1500" s="51"/>
      <c r="BB1500" s="51"/>
      <c r="BC1500" s="51"/>
      <c r="BD1500" s="51"/>
      <c r="BE1500" s="51"/>
      <c r="BF1500" s="51"/>
      <c r="BG1500" s="51"/>
      <c r="BH1500" s="51"/>
      <c r="BI1500" s="65" cm="1">
        <f t="array" ref="BI1500">IFERROR(INDEX(AW1500:BH1500,1,MATCH(2,1/(AW1500:BH1500&lt;&gt;""))),"")</f>
        <v>1</v>
      </c>
      <c r="BJ1500" s="68" cm="1">
        <f t="array" ref="BJ1500">IF(BM1500 = "", "",IFERROR(INDEX(AW1500:BH1500,1,MATCH(2,1/(AW1500:BH1500&lt;&gt;""),1)-1),""))</f>
        <v>1</v>
      </c>
      <c r="BK1500" s="58">
        <f>IF((IF(AW1500&gt;=115%,115%,AW1500) + IF(AX1500&gt;=115%,115%,AX1500) + IF(AY1500&gt;=200%,200%,AY1500) + (IF(AZ1500&gt;=115%,115%,AZ1500) + IF(BA1500&gt;=145%,145%,BA1500) + IF(BB1500&gt;=115%,115%,BB1500) + IF(BC1500&gt;=115%,115%,BC1500) + IF(BD1500&gt;=115%,115%,BD1500) + IF(BE1500&gt;=115%,115%,BE1500) + IF(BF1500&gt;=115%,115%,BF1500) + IF(BG1500&gt;=143%,143%,BG1500) + IF(BH1500&gt;=115%,115%,BH1500)))/_xlfn.XLOOKUP(F1500,Apuração!A:A,Apuração!B:B)&gt;=1.15,1.15,((IF(AZ1500&gt;=115%,115%,AZ1500) + IF(AX1500&gt;=115%,115%,AX1500) + IF(AY1500&gt;=200%,200%,AY1500) + (IF(AW1500&gt;=115%,115%,AW1500) + IF(BA1500&gt;=145%,145%,BA1500) + IF(BB1500&gt;=115%,115%,BB1500) + IF(BC1500&gt;=115%,115%,BC1500) + IF(BD1500&gt;=115%,115%,BD1500) + IF(BE1500&gt;=115%,115%,BE1500) + IF(BF1500&gt;=115%,115%,BF1500) + IF(BG1500&gt;=143%,143%,BG1500) + IF(BH1500&gt;=115%,115%,BH1500)))/_xlfn.XLOOKUP(F1500,Apuração!A:A,Apuração!B:B)))</f>
        <v>0.33333333333333331</v>
      </c>
      <c r="BL1500" s="58" cm="1">
        <f t="array" aca="1" ref="BL1500" ca="1">IF(SUM(IFERROR(IF(INDEX(AW1500:INDEX(AW1500:BH1500, MATCH(2, 1/(AW1500:BH1500&lt;&gt;""), 1)-1), ROW(INDIRECT("1:" &amp; MATCH(2, 1/(AW1500:BH1500&lt;&gt;""), 1)-1))) &gt;= 115%, 115%, INDEX(AW1500:INDEX(AW1500:BH1500, MATCH(2, 1/(AW1500:BH1500&lt;&gt;""), 1)-1), ROW(INDIRECT("1:" &amp; MATCH(2, 1/(AW1500:BH1500&lt;&gt;""), 1)-1)))), 0))/_xlfn.XLOOKUP(F1500,Apuração!A:A,Apuração!B:B)&gt;=1.15,1.15,SUM(IFERROR(IF(INDEX(AW1500:INDEX(AW1500:BH1500, MATCH(2, 1/(AW1500:BH1500&lt;&gt;""), 1)-1), ROW(INDIRECT("1:" &amp; MATCH(2, 1/(AW1500:BH1500&lt;&gt;""), 1)-1))) &gt;= 115%, 115%, INDEX(AW1500:INDEX(AW1500:BH1500, MATCH(2, 1/(AW1500:BH1500&lt;&gt;""), 1)-1), ROW(INDIRECT("1:" &amp; MATCH(2, 1/(AW1500:BH1500&lt;&gt;""), 1)-1)))), 0))/_xlfn.XLOOKUP(F1500,Apuração!A:A,Apuração!B:B))</f>
        <v>0.25</v>
      </c>
      <c r="BM1500" s="55" cm="1">
        <f t="array" ref="BM1500">IFERROR(
   INDEX($AW$1:$BH$1,
      _xlfn.AGGREGATE(14, 6, COLUMN($AW$1:$BH$1)/(AW1500:BH1500&lt;&gt;""), 2) - COLUMN($AW$1) + 1
   ),
"")</f>
        <v>46082</v>
      </c>
      <c r="BN1500" s="55" cm="1">
        <f t="array" ref="BN1500">IFERROR(INDEX($AW$1:$BH$1,1,MATCH(2,1/(AW1500:BH1500&lt;&gt;""))),"")</f>
        <v>46113</v>
      </c>
      <c r="BO1500" s="53">
        <f ca="1">IFERROR(_xlfn.XLOOKUP(F1500,Apuração!A:A,Apuração!C:C)/_xlfn.XLOOKUP(F1500,Apuração!A:A,Apuração!B:B),0)</f>
        <v>0.41666666666666669</v>
      </c>
      <c r="BP1500" s="53">
        <f ca="1">IFERROR(_xlfn.XLOOKUP(F1500,Apuração!A:A,Apuração!D:D)/_xlfn.XLOOKUP(F1500,Apuração!A:A,Apuração!B:B),0)</f>
        <v>0.33333333333333331</v>
      </c>
      <c r="BQ1500" s="53">
        <f ca="1">IF(BK1500&gt;=BO1500,0,_xlfn.XLOOKUP(F1500,Apuração!A:A,Apuração!B:B)*(BO1500 + (1/_xlfn.XLOOKUP(F1500,Apuração!A:A,Apuração!B:B)) - BK1500))</f>
        <v>2</v>
      </c>
      <c r="BR1500" s="85">
        <f t="shared" ca="1" si="1731"/>
        <v>2</v>
      </c>
      <c r="BS1500" s="53">
        <f ca="1">IFERROR((_xlfn.XLOOKUP(F1500,Apuração!A:A,Apuração!C:C)+1)/_xlfn.XLOOKUP(F1500,Apuração!A:A,Apuração!B:B),0)</f>
        <v>0.5</v>
      </c>
    </row>
    <row r="1501" spans="1:71" ht="25.95" hidden="1" customHeight="1" x14ac:dyDescent="0.3">
      <c r="A1501" s="3" t="s">
        <v>33</v>
      </c>
      <c r="B1501" s="4" t="s">
        <v>34</v>
      </c>
      <c r="C1501" s="5" t="s">
        <v>214</v>
      </c>
      <c r="D1501" s="5" t="s">
        <v>48</v>
      </c>
      <c r="E1501" s="4" t="str" cm="1">
        <f t="array" ref="E1501">_xlfn.IFS(
F1501 = "A partir de Abril", "Aguardando Execução na Distribuidora",
A1501 = "CAPACITAÇÃO", "Em execução no Corporativo",
TRUE, "Em Execução na Distribuidora"
)</f>
        <v>Em Execução na Distribuidora</v>
      </c>
      <c r="F1501" s="4" t="str" cm="1">
        <f t="array" ref="F1501">_xlfn.IFS(
AG1501 &lt;&gt; "", "Jan-Dez/26",
AH1501 &lt;&gt; "", "Fev-Dez/26",
AI1501 &lt;&gt; "", "Mar-Dez/26", AJ1501 &lt;&gt; "", "Abr-Dez/26",
TRUE, "A partir de Junho"
)</f>
        <v>Jan-Dez/26</v>
      </c>
      <c r="G1501" s="6" t="s">
        <v>37</v>
      </c>
      <c r="H1501" s="7" t="s">
        <v>110</v>
      </c>
      <c r="I1501" s="8" t="s">
        <v>39</v>
      </c>
      <c r="J1501" s="8" t="str" cm="1">
        <f t="array" aca="1" ref="J1501" ca="1">_xlfn.LET(
  _xlpm.actual_value_month, INDEX(T1501:AE1501, MATCH(DATE(YEAR(TODAY()), MONTH(TODAY()), 1), $T$1:$AE$1, 0)),
  IF(_xlpm.actual_value_month &lt;&gt; "",_xlpm.actual_value_month &amp; " soluções mensais", "")
)</f>
        <v>1 soluções mensais</v>
      </c>
      <c r="K1501" s="8" t="str" cm="1">
        <f t="array" ref="K1501">_xlfn.LET(
    _xlpm.sum_month, SUM(T1501:AE1501),
    IF(_xlpm.sum_month = 0, "", _xlpm.sum_month &amp; " soluções implementadas no ano")
)</f>
        <v>12 soluções implementadas no ano</v>
      </c>
      <c r="L1501" s="9" t="s">
        <v>40</v>
      </c>
      <c r="M1501" s="9" t="s">
        <v>41</v>
      </c>
      <c r="N1501" s="5" t="s">
        <v>42</v>
      </c>
      <c r="O1501" s="5" t="s">
        <v>43</v>
      </c>
      <c r="P1501" s="10" t="s">
        <v>44</v>
      </c>
      <c r="Q1501" s="10" t="s">
        <v>44</v>
      </c>
      <c r="R1501" s="11" t="s">
        <v>45</v>
      </c>
      <c r="S1501" s="11" t="s">
        <v>46</v>
      </c>
      <c r="T1501" s="152">
        <v>1</v>
      </c>
      <c r="U1501" s="152">
        <v>1</v>
      </c>
      <c r="V1501" s="152">
        <v>1</v>
      </c>
      <c r="W1501" s="152">
        <v>1</v>
      </c>
      <c r="X1501" s="152">
        <v>1</v>
      </c>
      <c r="Y1501" s="152">
        <v>1</v>
      </c>
      <c r="Z1501" s="152">
        <v>1</v>
      </c>
      <c r="AA1501" s="152">
        <v>1</v>
      </c>
      <c r="AB1501" s="152">
        <v>1</v>
      </c>
      <c r="AC1501" s="152">
        <v>1</v>
      </c>
      <c r="AD1501" s="152">
        <v>1</v>
      </c>
      <c r="AE1501" s="152">
        <v>1</v>
      </c>
      <c r="AG1501" s="144">
        <v>1</v>
      </c>
      <c r="AH1501" s="144">
        <v>1</v>
      </c>
      <c r="AI1501" s="144">
        <v>1</v>
      </c>
      <c r="AJ1501" s="144">
        <v>1</v>
      </c>
      <c r="AK1501" s="71"/>
      <c r="AL1501" s="71"/>
      <c r="AM1501" s="71"/>
      <c r="AN1501" s="71"/>
      <c r="AO1501" s="71"/>
      <c r="AP1501" s="71"/>
      <c r="AQ1501" s="71"/>
      <c r="AR1501" s="71"/>
      <c r="AS1501" s="94">
        <f t="shared" ca="1" si="1724"/>
        <v>5</v>
      </c>
      <c r="AT1501" s="95">
        <f t="shared" si="1725"/>
        <v>4</v>
      </c>
      <c r="AU1501" s="97">
        <f t="shared" si="1726"/>
        <v>4</v>
      </c>
      <c r="AW1501" s="51">
        <f t="shared" si="1727"/>
        <v>1</v>
      </c>
      <c r="AX1501" s="51">
        <f t="shared" si="1728"/>
        <v>1</v>
      </c>
      <c r="AY1501" s="51">
        <f t="shared" si="1729"/>
        <v>1</v>
      </c>
      <c r="AZ1501" s="51">
        <f t="shared" si="1730"/>
        <v>1</v>
      </c>
      <c r="BA1501" s="51"/>
      <c r="BB1501" s="51"/>
      <c r="BC1501" s="51"/>
      <c r="BD1501" s="51"/>
      <c r="BE1501" s="51"/>
      <c r="BF1501" s="51"/>
      <c r="BG1501" s="51"/>
      <c r="BH1501" s="51"/>
      <c r="BI1501" s="65" cm="1">
        <f t="array" ref="BI1501">IFERROR(INDEX(AW1501:BH1501,1,MATCH(2,1/(AW1501:BH1501&lt;&gt;""))),"")</f>
        <v>1</v>
      </c>
      <c r="BJ1501" s="68" cm="1">
        <f t="array" ref="BJ1501">IF(BM1501 = "", "",IFERROR(INDEX(AW1501:BH1501,1,MATCH(2,1/(AW1501:BH1501&lt;&gt;""),1)-1),""))</f>
        <v>1</v>
      </c>
      <c r="BK1501" s="58">
        <f>IF((IF(AW1501&gt;=115%,115%,AW1501) + IF(AX1501&gt;=115%,115%,AX1501) + IF(AY1501&gt;=200%,200%,AY1501) + (IF(AZ1501&gt;=115%,115%,AZ1501) + IF(BA1501&gt;=145%,145%,BA1501) + IF(BB1501&gt;=115%,115%,BB1501) + IF(BC1501&gt;=115%,115%,BC1501) + IF(BD1501&gt;=115%,115%,BD1501) + IF(BE1501&gt;=115%,115%,BE1501) + IF(BF1501&gt;=115%,115%,BF1501) + IF(BG1501&gt;=143%,143%,BG1501) + IF(BH1501&gt;=115%,115%,BH1501)))/_xlfn.XLOOKUP(F1501,Apuração!A:A,Apuração!B:B)&gt;=1.15,1.15,((IF(AZ1501&gt;=115%,115%,AZ1501) + IF(AX1501&gt;=115%,115%,AX1501) + IF(AY1501&gt;=200%,200%,AY1501) + (IF(AW1501&gt;=115%,115%,AW1501) + IF(BA1501&gt;=145%,145%,BA1501) + IF(BB1501&gt;=115%,115%,BB1501) + IF(BC1501&gt;=115%,115%,BC1501) + IF(BD1501&gt;=115%,115%,BD1501) + IF(BE1501&gt;=115%,115%,BE1501) + IF(BF1501&gt;=115%,115%,BF1501) + IF(BG1501&gt;=143%,143%,BG1501) + IF(BH1501&gt;=115%,115%,BH1501)))/_xlfn.XLOOKUP(F1501,Apuração!A:A,Apuração!B:B)))</f>
        <v>0.33333333333333331</v>
      </c>
      <c r="BL1501" s="58" cm="1">
        <f t="array" aca="1" ref="BL1501" ca="1">IF(SUM(IFERROR(IF(INDEX(AW1501:INDEX(AW1501:BH1501, MATCH(2, 1/(AW1501:BH1501&lt;&gt;""), 1)-1), ROW(INDIRECT("1:" &amp; MATCH(2, 1/(AW1501:BH1501&lt;&gt;""), 1)-1))) &gt;= 115%, 115%, INDEX(AW1501:INDEX(AW1501:BH1501, MATCH(2, 1/(AW1501:BH1501&lt;&gt;""), 1)-1), ROW(INDIRECT("1:" &amp; MATCH(2, 1/(AW1501:BH1501&lt;&gt;""), 1)-1)))), 0))/_xlfn.XLOOKUP(F1501,Apuração!A:A,Apuração!B:B)&gt;=1.15,1.15,SUM(IFERROR(IF(INDEX(AW1501:INDEX(AW1501:BH1501, MATCH(2, 1/(AW1501:BH1501&lt;&gt;""), 1)-1), ROW(INDIRECT("1:" &amp; MATCH(2, 1/(AW1501:BH1501&lt;&gt;""), 1)-1))) &gt;= 115%, 115%, INDEX(AW1501:INDEX(AW1501:BH1501, MATCH(2, 1/(AW1501:BH1501&lt;&gt;""), 1)-1), ROW(INDIRECT("1:" &amp; MATCH(2, 1/(AW1501:BH1501&lt;&gt;""), 1)-1)))), 0))/_xlfn.XLOOKUP(F1501,Apuração!A:A,Apuração!B:B))</f>
        <v>0.25</v>
      </c>
      <c r="BM1501" s="55" cm="1">
        <f t="array" ref="BM1501">IFERROR(
   INDEX($AW$1:$BH$1,
      _xlfn.AGGREGATE(14, 6, COLUMN($AW$1:$BH$1)/(AW1501:BH1501&lt;&gt;""), 2) - COLUMN($AW$1) + 1
   ),
"")</f>
        <v>46082</v>
      </c>
      <c r="BN1501" s="55" cm="1">
        <f t="array" ref="BN1501">IFERROR(INDEX($AW$1:$BH$1,1,MATCH(2,1/(AW1501:BH1501&lt;&gt;""))),"")</f>
        <v>46113</v>
      </c>
      <c r="BO1501" s="53">
        <f ca="1">IFERROR(_xlfn.XLOOKUP(F1501,Apuração!A:A,Apuração!C:C)/_xlfn.XLOOKUP(F1501,Apuração!A:A,Apuração!B:B),0)</f>
        <v>0.41666666666666669</v>
      </c>
      <c r="BP1501" s="53">
        <f ca="1">IFERROR(_xlfn.XLOOKUP(F1501,Apuração!A:A,Apuração!D:D)/_xlfn.XLOOKUP(F1501,Apuração!A:A,Apuração!B:B),0)</f>
        <v>0.33333333333333331</v>
      </c>
      <c r="BQ1501" s="53">
        <f ca="1">IF(BK1501&gt;=BO1501,0,_xlfn.XLOOKUP(F1501,Apuração!A:A,Apuração!B:B)*(BO1501 + (1/_xlfn.XLOOKUP(F1501,Apuração!A:A,Apuração!B:B)) - BK1501))</f>
        <v>2</v>
      </c>
      <c r="BR1501" s="85">
        <f t="shared" ca="1" si="1731"/>
        <v>2</v>
      </c>
      <c r="BS1501" s="53">
        <f ca="1">IFERROR((_xlfn.XLOOKUP(F1501,Apuração!A:A,Apuração!C:C)+1)/_xlfn.XLOOKUP(F1501,Apuração!A:A,Apuração!B:B),0)</f>
        <v>0.5</v>
      </c>
    </row>
    <row r="1502" spans="1:71" ht="25.95" hidden="1" customHeight="1" x14ac:dyDescent="0.3">
      <c r="A1502" s="3" t="s">
        <v>33</v>
      </c>
      <c r="B1502" s="4" t="s">
        <v>34</v>
      </c>
      <c r="C1502" s="5" t="s">
        <v>214</v>
      </c>
      <c r="D1502" s="5" t="s">
        <v>213</v>
      </c>
      <c r="E1502" s="4" t="str" cm="1">
        <f t="array" ref="E1502">_xlfn.IFS(
F1502 = "A partir de Abril", "Aguardando Execução na Distribuidora",
A1502 = "CAPACITAÇÃO", "Em execução no Corporativo",
TRUE, "Em Execução na Distribuidora"
)</f>
        <v>Em Execução na Distribuidora</v>
      </c>
      <c r="F1502" s="4" t="str" cm="1">
        <f t="array" ref="F1502">_xlfn.IFS(
AG1502 &lt;&gt; "", "Jan-Dez/26",
AH1502 &lt;&gt; "", "Fev-Dez/26",
AI1502 &lt;&gt; "", "Mar-Dez/26", AJ1502 &lt;&gt; "", "Abr-Dez/26",
TRUE, "A partir de Junho"
)</f>
        <v>Jan-Dez/26</v>
      </c>
      <c r="G1502" s="6" t="s">
        <v>37</v>
      </c>
      <c r="H1502" s="7" t="s">
        <v>110</v>
      </c>
      <c r="I1502" s="8" t="s">
        <v>39</v>
      </c>
      <c r="J1502" s="8" t="str" cm="1">
        <f t="array" aca="1" ref="J1502" ca="1">_xlfn.LET(
  _xlpm.actual_value_month, INDEX(T1502:AE1502, MATCH(DATE(YEAR(TODAY()), MONTH(TODAY()), 1), $T$1:$AE$1, 0)),
  IF(_xlpm.actual_value_month &lt;&gt; "",_xlpm.actual_value_month &amp; " soluções mensais", "")
)</f>
        <v>1 soluções mensais</v>
      </c>
      <c r="K1502" s="8" t="str" cm="1">
        <f t="array" ref="K1502">_xlfn.LET(
    _xlpm.sum_month, SUM(T1502:AE1502),
    IF(_xlpm.sum_month = 0, "", _xlpm.sum_month &amp; " soluções implementadas no ano")
)</f>
        <v>12 soluções implementadas no ano</v>
      </c>
      <c r="L1502" s="9" t="s">
        <v>40</v>
      </c>
      <c r="M1502" s="9" t="s">
        <v>41</v>
      </c>
      <c r="N1502" s="5" t="s">
        <v>42</v>
      </c>
      <c r="O1502" s="5" t="s">
        <v>43</v>
      </c>
      <c r="P1502" s="10" t="s">
        <v>44</v>
      </c>
      <c r="Q1502" s="10" t="s">
        <v>44</v>
      </c>
      <c r="R1502" s="11" t="s">
        <v>45</v>
      </c>
      <c r="S1502" s="11" t="s">
        <v>46</v>
      </c>
      <c r="T1502" s="152">
        <v>1</v>
      </c>
      <c r="U1502" s="152">
        <v>1</v>
      </c>
      <c r="V1502" s="152">
        <v>1</v>
      </c>
      <c r="W1502" s="152">
        <v>1</v>
      </c>
      <c r="X1502" s="152">
        <v>1</v>
      </c>
      <c r="Y1502" s="152">
        <v>1</v>
      </c>
      <c r="Z1502" s="152">
        <v>1</v>
      </c>
      <c r="AA1502" s="152">
        <v>1</v>
      </c>
      <c r="AB1502" s="152">
        <v>1</v>
      </c>
      <c r="AC1502" s="152">
        <v>1</v>
      </c>
      <c r="AD1502" s="152">
        <v>1</v>
      </c>
      <c r="AE1502" s="152">
        <v>1</v>
      </c>
      <c r="AG1502" s="82">
        <v>1</v>
      </c>
      <c r="AH1502" s="82">
        <v>1</v>
      </c>
      <c r="AI1502" s="82">
        <v>1</v>
      </c>
      <c r="AJ1502" s="144">
        <v>1</v>
      </c>
      <c r="AK1502" s="71"/>
      <c r="AL1502" s="71"/>
      <c r="AM1502" s="71"/>
      <c r="AN1502" s="71"/>
      <c r="AO1502" s="71"/>
      <c r="AP1502" s="71"/>
      <c r="AQ1502" s="71"/>
      <c r="AR1502" s="71"/>
      <c r="AS1502" s="94">
        <f t="shared" ca="1" si="1724"/>
        <v>5</v>
      </c>
      <c r="AT1502" s="95">
        <f t="shared" si="1725"/>
        <v>4</v>
      </c>
      <c r="AU1502" s="97">
        <f t="shared" si="1726"/>
        <v>4</v>
      </c>
      <c r="AW1502" s="51">
        <f t="shared" si="1727"/>
        <v>1</v>
      </c>
      <c r="AX1502" s="51">
        <f t="shared" si="1728"/>
        <v>1</v>
      </c>
      <c r="AY1502" s="51">
        <f t="shared" si="1729"/>
        <v>1</v>
      </c>
      <c r="AZ1502" s="51">
        <f t="shared" si="1730"/>
        <v>1</v>
      </c>
      <c r="BA1502" s="51"/>
      <c r="BB1502" s="51"/>
      <c r="BC1502" s="51"/>
      <c r="BD1502" s="51"/>
      <c r="BE1502" s="51"/>
      <c r="BF1502" s="51"/>
      <c r="BG1502" s="51"/>
      <c r="BH1502" s="51"/>
      <c r="BI1502" s="65" cm="1">
        <f t="array" ref="BI1502">IFERROR(INDEX(AW1502:BH1502,1,MATCH(2,1/(AW1502:BH1502&lt;&gt;""))),"")</f>
        <v>1</v>
      </c>
      <c r="BJ1502" s="68" cm="1">
        <f t="array" ref="BJ1502">IF(BM1502 = "", "",IFERROR(INDEX(AW1502:BH1502,1,MATCH(2,1/(AW1502:BH1502&lt;&gt;""),1)-1),""))</f>
        <v>1</v>
      </c>
      <c r="BK1502" s="58">
        <f>IF((IF(AW1502&gt;=115%,115%,AW1502) + IF(AX1502&gt;=115%,115%,AX1502) + IF(AY1502&gt;=200%,200%,AY1502) + (IF(AZ1502&gt;=115%,115%,AZ1502) + IF(BA1502&gt;=145%,145%,BA1502) + IF(BB1502&gt;=115%,115%,BB1502) + IF(BC1502&gt;=115%,115%,BC1502) + IF(BD1502&gt;=115%,115%,BD1502) + IF(BE1502&gt;=115%,115%,BE1502) + IF(BF1502&gt;=115%,115%,BF1502) + IF(BG1502&gt;=143%,143%,BG1502) + IF(BH1502&gt;=115%,115%,BH1502)))/_xlfn.XLOOKUP(F1502,Apuração!A:A,Apuração!B:B)&gt;=1.15,1.15,((IF(AZ1502&gt;=115%,115%,AZ1502) + IF(AX1502&gt;=115%,115%,AX1502) + IF(AY1502&gt;=200%,200%,AY1502) + (IF(AW1502&gt;=115%,115%,AW1502) + IF(BA1502&gt;=145%,145%,BA1502) + IF(BB1502&gt;=115%,115%,BB1502) + IF(BC1502&gt;=115%,115%,BC1502) + IF(BD1502&gt;=115%,115%,BD1502) + IF(BE1502&gt;=115%,115%,BE1502) + IF(BF1502&gt;=115%,115%,BF1502) + IF(BG1502&gt;=143%,143%,BG1502) + IF(BH1502&gt;=115%,115%,BH1502)))/_xlfn.XLOOKUP(F1502,Apuração!A:A,Apuração!B:B)))</f>
        <v>0.33333333333333331</v>
      </c>
      <c r="BL1502" s="58" cm="1">
        <f t="array" aca="1" ref="BL1502" ca="1">IF(SUM(IFERROR(IF(INDEX(AW1502:INDEX(AW1502:BH1502, MATCH(2, 1/(AW1502:BH1502&lt;&gt;""), 1)-1), ROW(INDIRECT("1:" &amp; MATCH(2, 1/(AW1502:BH1502&lt;&gt;""), 1)-1))) &gt;= 115%, 115%, INDEX(AW1502:INDEX(AW1502:BH1502, MATCH(2, 1/(AW1502:BH1502&lt;&gt;""), 1)-1), ROW(INDIRECT("1:" &amp; MATCH(2, 1/(AW1502:BH1502&lt;&gt;""), 1)-1)))), 0))/_xlfn.XLOOKUP(F1502,Apuração!A:A,Apuração!B:B)&gt;=1.15,1.15,SUM(IFERROR(IF(INDEX(AW1502:INDEX(AW1502:BH1502, MATCH(2, 1/(AW1502:BH1502&lt;&gt;""), 1)-1), ROW(INDIRECT("1:" &amp; MATCH(2, 1/(AW1502:BH1502&lt;&gt;""), 1)-1))) &gt;= 115%, 115%, INDEX(AW1502:INDEX(AW1502:BH1502, MATCH(2, 1/(AW1502:BH1502&lt;&gt;""), 1)-1), ROW(INDIRECT("1:" &amp; MATCH(2, 1/(AW1502:BH1502&lt;&gt;""), 1)-1)))), 0))/_xlfn.XLOOKUP(F1502,Apuração!A:A,Apuração!B:B))</f>
        <v>0.25</v>
      </c>
      <c r="BM1502" s="55" cm="1">
        <f t="array" ref="BM1502">IFERROR(
   INDEX($AW$1:$BH$1,
      _xlfn.AGGREGATE(14, 6, COLUMN($AW$1:$BH$1)/(AW1502:BH1502&lt;&gt;""), 2) - COLUMN($AW$1) + 1
   ),
"")</f>
        <v>46082</v>
      </c>
      <c r="BN1502" s="55" cm="1">
        <f t="array" ref="BN1502">IFERROR(INDEX($AW$1:$BH$1,1,MATCH(2,1/(AW1502:BH1502&lt;&gt;""))),"")</f>
        <v>46113</v>
      </c>
      <c r="BO1502" s="53">
        <f ca="1">IFERROR(_xlfn.XLOOKUP(F1502,Apuração!A:A,Apuração!C:C)/_xlfn.XLOOKUP(F1502,Apuração!A:A,Apuração!B:B),0)</f>
        <v>0.41666666666666669</v>
      </c>
      <c r="BP1502" s="53">
        <f ca="1">IFERROR(_xlfn.XLOOKUP(F1502,Apuração!A:A,Apuração!D:D)/_xlfn.XLOOKUP(F1502,Apuração!A:A,Apuração!B:B),0)</f>
        <v>0.33333333333333331</v>
      </c>
      <c r="BQ1502" s="53">
        <f ca="1">IF(BK1502&gt;=BO1502,0,_xlfn.XLOOKUP(F1502,Apuração!A:A,Apuração!B:B)*(BO1502 + (1/_xlfn.XLOOKUP(F1502,Apuração!A:A,Apuração!B:B)) - BK1502))</f>
        <v>2</v>
      </c>
      <c r="BR1502" s="85">
        <f t="shared" ca="1" si="1731"/>
        <v>2</v>
      </c>
      <c r="BS1502" s="53">
        <f ca="1">IFERROR((_xlfn.XLOOKUP(F1502,Apuração!A:A,Apuração!C:C)+1)/_xlfn.XLOOKUP(F1502,Apuração!A:A,Apuração!B:B),0)</f>
        <v>0.5</v>
      </c>
    </row>
    <row r="1503" spans="1:71" ht="25.95" hidden="1" customHeight="1" x14ac:dyDescent="0.3">
      <c r="A1503" s="39" t="s">
        <v>33</v>
      </c>
      <c r="B1503" s="4" t="s">
        <v>34</v>
      </c>
      <c r="C1503" s="5" t="s">
        <v>214</v>
      </c>
      <c r="D1503" s="5" t="s">
        <v>36</v>
      </c>
      <c r="E1503" s="4" t="str" cm="1">
        <f t="array" ref="E1503">_xlfn.IFS(
F1503 = "A partir de Abril", "Aguardando Execução na Distribuidora",
A1503 = "CAPACITAÇÃO", "Em execução no Corporativo",
TRUE, "Em Execução na Distribuidora"
)</f>
        <v>Em Execução na Distribuidora</v>
      </c>
      <c r="F1503" s="4" t="str" cm="1">
        <f t="array" ref="F1503">_xlfn.IFS(
AG1503 &lt;&gt; "", "Jan-Dez/26",
AH1503 &lt;&gt; "", "Fev-Dez/26",
AI1503 &lt;&gt; "", "Mar-Dez/26", AJ1503 &lt;&gt; "", "Abr-Dez/26",
TRUE, "A partir de Junho"
)</f>
        <v>Jan-Dez/26</v>
      </c>
      <c r="G1503" s="6" t="s">
        <v>37</v>
      </c>
      <c r="H1503" s="7" t="s">
        <v>110</v>
      </c>
      <c r="I1503" s="9" t="s">
        <v>49</v>
      </c>
      <c r="J1503" s="8" t="str" cm="1">
        <f t="array" aca="1" ref="J1503" ca="1">_xlfn.LET(
  _xlpm.actual_value_month, INDEX(T1503:AE1503, MATCH(DATE(YEAR(TODAY()), MONTH(TODAY()), 1), $T$1:$AE$1, 0)),
  IF(_xlpm.actual_value_month &lt;&gt; "",_xlpm.actual_value_month &amp; " ações mensais", "")
)</f>
        <v/>
      </c>
      <c r="K1503" s="8" t="str" cm="1">
        <f t="array" ref="K1503">_xlfn.LET(
    _xlpm.sum_month, SUM(T1503:AE1503),
    IF(_xlpm.sum_month = 0, "", _xlpm.sum_month &amp; " soluções implementadas no ano")
)</f>
        <v/>
      </c>
      <c r="L1503" s="9" t="s">
        <v>50</v>
      </c>
      <c r="M1503" s="9"/>
      <c r="N1503" s="5" t="s">
        <v>51</v>
      </c>
      <c r="O1503" s="5" t="s">
        <v>52</v>
      </c>
      <c r="P1503" s="10" t="s">
        <v>44</v>
      </c>
      <c r="Q1503" s="10" t="s">
        <v>44</v>
      </c>
      <c r="R1503" s="10" t="s">
        <v>44</v>
      </c>
      <c r="S1503" s="10" t="s">
        <v>44</v>
      </c>
      <c r="T1503" s="22"/>
      <c r="U1503" s="22"/>
      <c r="V1503" s="22"/>
      <c r="W1503" s="22"/>
      <c r="X1503" s="22"/>
      <c r="Y1503" s="22"/>
      <c r="Z1503" s="22"/>
      <c r="AA1503" s="22"/>
      <c r="AB1503" s="22"/>
      <c r="AC1503" s="22"/>
      <c r="AD1503" s="22"/>
      <c r="AE1503" s="22"/>
      <c r="AG1503" s="71">
        <v>158</v>
      </c>
      <c r="AH1503" s="71">
        <v>73</v>
      </c>
      <c r="AI1503" s="71">
        <v>60</v>
      </c>
      <c r="AJ1503" s="71">
        <v>196</v>
      </c>
      <c r="AK1503" s="71"/>
      <c r="AL1503" s="71"/>
      <c r="AM1503" s="71"/>
      <c r="AN1503" s="71"/>
      <c r="AO1503" s="71"/>
      <c r="AP1503" s="71"/>
      <c r="AQ1503" s="71"/>
      <c r="AR1503" s="71"/>
      <c r="AS1503" s="94">
        <f ca="1">IF(MONTH(TODAY())=3,SUM(T1503:U1503),IF(MONTH(TODAY())=4,SUM(T1503:V1503),IF(MONTH(TODAY())=5,SUM(T1503:W1503),IF(MONTH(TODAY())=6,SUM(T1503:X1503),IF(MONTH(TODAY())=7,SUM(T1503:Y1503),IF(MONTH(TODAY())=8,SUM(T1503:Z1503),IF(MONTH(TODAY())=9,SUM(T1503:AA1503),IF(MONTH(TODAY())=10,SUM(T1503:AB1503),IF(MONTH(TODAY())=11,SUM(T1503:AC1503),IF(MONTH(TODAY())=12,SUM(T1503:AD1503),IF(MONTH(TODAY())=1,SUM(T1503:AE1503),T1503)))))))))))</f>
        <v>0</v>
      </c>
      <c r="AT1503" s="95">
        <f>SUM(AG1503:AR1503)</f>
        <v>487</v>
      </c>
      <c r="AU1503" s="97">
        <f>SUM(AG1503:AR1503)</f>
        <v>487</v>
      </c>
      <c r="AW1503" s="83">
        <f>AG1503</f>
        <v>158</v>
      </c>
      <c r="AX1503" s="83">
        <f>AH1503</f>
        <v>73</v>
      </c>
      <c r="AY1503" s="83">
        <f>AI1503</f>
        <v>60</v>
      </c>
      <c r="AZ1503" s="83">
        <f>AJ1503</f>
        <v>196</v>
      </c>
      <c r="BA1503" s="52"/>
      <c r="BB1503" s="52"/>
      <c r="BC1503" s="52"/>
      <c r="BD1503" s="52"/>
      <c r="BE1503" s="52"/>
      <c r="BF1503" s="52"/>
      <c r="BG1503" s="52"/>
      <c r="BH1503" s="52"/>
      <c r="BI1503" s="68" cm="1">
        <f t="array" ref="BI1503">IFERROR(INDEX(AW1503:BH1503,1,MATCH(2,1/(AW1503:BH1503&lt;&gt;""))),"")</f>
        <v>196</v>
      </c>
      <c r="BJ1503" s="68" cm="1">
        <f t="array" ref="BJ1503">IF(BM1503 = "", "",IFERROR(INDEX(AW1503:BH1503,1,MATCH(2,1/(AW1503:BH1503&lt;&gt;""),1)-1),""))</f>
        <v>60</v>
      </c>
      <c r="BK1503" s="59">
        <f>SUM(AW1503:BH1503)</f>
        <v>487</v>
      </c>
      <c r="BL1503" s="59" cm="1">
        <f t="array" ref="BL1503">IFERROR(SUM(AW1503:INDEX(AW1503:BH1503, MATCH(2, 1/(AW1503:BH1503&lt;&gt;""), 1) - 1))/_xlfn.XLOOKUP(F1503,Apuração!A:A,Apuração!B:B),0)</f>
        <v>24.25</v>
      </c>
      <c r="BM1503" s="55" cm="1">
        <f t="array" ref="BM1503">IFERROR(
   INDEX($AW$1:$BH$1,
      _xlfn.AGGREGATE(14, 6, COLUMN($AW$1:$BH$1)/(AW1503:BH1503&lt;&gt;""), 2) - COLUMN($AW$1) + 1
   ),
"")</f>
        <v>46082</v>
      </c>
      <c r="BN1503" s="55" cm="1">
        <f t="array" ref="BN1503">IFERROR(INDEX($AW$1:$BH$1,1,MATCH(2,1/(AW1503:BH1503&lt;&gt;""))),"")</f>
        <v>46113</v>
      </c>
      <c r="BO1503" s="53">
        <f ca="1">IFERROR(_xlfn.XLOOKUP(F1503,Apuração!A:A,Apuração!C:C)/_xlfn.XLOOKUP(F1503,Apuração!A:A,Apuração!B:B),0)</f>
        <v>0.41666666666666669</v>
      </c>
      <c r="BP1503" s="53">
        <f ca="1">IFERROR(_xlfn.XLOOKUP(F1503,Apuração!A:A,Apuração!D:D)/_xlfn.XLOOKUP(F1503,Apuração!A:A,Apuração!B:B),0)</f>
        <v>0.33333333333333331</v>
      </c>
      <c r="BQ1503" s="53">
        <f ca="1">IF(BK1503&gt;=BO1503,0,_xlfn.XLOOKUP(F1503,Apuração!A:A,Apuração!B:B)*(BO1503 + (1/_xlfn.XLOOKUP(F1503,Apuração!A:A,Apuração!B:B)) - BK1503))</f>
        <v>0</v>
      </c>
      <c r="BR1503" s="85">
        <f ca="1">IF(BQ1503=0,0,BQ1503*Z1503)</f>
        <v>0</v>
      </c>
      <c r="BS1503" s="53">
        <f ca="1">IFERROR((_xlfn.XLOOKUP(F1503,Apuração!A:A,Apuração!C:C)+1)/_xlfn.XLOOKUP(F1503,Apuração!A:A,Apuração!B:B),0)</f>
        <v>0.5</v>
      </c>
    </row>
    <row r="1504" spans="1:71" ht="25.95" hidden="1" customHeight="1" x14ac:dyDescent="0.3">
      <c r="A1504" s="39" t="s">
        <v>33</v>
      </c>
      <c r="B1504" s="4" t="s">
        <v>34</v>
      </c>
      <c r="C1504" s="5" t="s">
        <v>214</v>
      </c>
      <c r="D1504" s="5" t="s">
        <v>210</v>
      </c>
      <c r="E1504" s="4" t="str" cm="1">
        <f t="array" ref="E1504">_xlfn.IFS(
F1504 = "A partir de Abril", "Aguardando Execução na Distribuidora",
A1504 = "CAPACITAÇÃO", "Em execução no Corporativo",
TRUE, "Em Execução na Distribuidora"
)</f>
        <v>Em Execução na Distribuidora</v>
      </c>
      <c r="F1504" s="4" t="str" cm="1">
        <f t="array" ref="F1504">_xlfn.IFS(
AG1504 &lt;&gt; "", "Jan-Dez/26",
AH1504 &lt;&gt; "", "Fev-Dez/26",
AI1504 &lt;&gt; "", "Mar-Dez/26", AJ1504 &lt;&gt; "", "Abr-Dez/26",
TRUE, "A partir de Junho"
)</f>
        <v>Jan-Dez/26</v>
      </c>
      <c r="G1504" s="6" t="s">
        <v>37</v>
      </c>
      <c r="H1504" s="7" t="s">
        <v>110</v>
      </c>
      <c r="I1504" s="9" t="s">
        <v>49</v>
      </c>
      <c r="J1504" s="8" t="str" cm="1">
        <f t="array" aca="1" ref="J1504" ca="1">_xlfn.LET(
  _xlpm.actual_value_month, INDEX(T1504:AE1504, MATCH(DATE(YEAR(TODAY()), MONTH(TODAY()), 1), $T$1:$AE$1, 0)),
  IF(_xlpm.actual_value_month &lt;&gt; "",_xlpm.actual_value_month &amp; " ações mensais", "")
)</f>
        <v/>
      </c>
      <c r="K1504" s="8" t="str" cm="1">
        <f t="array" ref="K1504">_xlfn.LET(
    _xlpm.sum_month, SUM(T1504:AE1504),
    IF(_xlpm.sum_month = 0, "", _xlpm.sum_month &amp; " soluções implementadas no ano")
)</f>
        <v/>
      </c>
      <c r="L1504" s="9" t="s">
        <v>50</v>
      </c>
      <c r="M1504" s="9"/>
      <c r="N1504" s="5" t="s">
        <v>51</v>
      </c>
      <c r="O1504" s="5" t="s">
        <v>52</v>
      </c>
      <c r="P1504" s="10" t="s">
        <v>44</v>
      </c>
      <c r="Q1504" s="10" t="s">
        <v>44</v>
      </c>
      <c r="R1504" s="10" t="s">
        <v>44</v>
      </c>
      <c r="S1504" s="10" t="s">
        <v>44</v>
      </c>
      <c r="T1504" s="22"/>
      <c r="U1504" s="22"/>
      <c r="V1504" s="22"/>
      <c r="W1504" s="22"/>
      <c r="X1504" s="22"/>
      <c r="Y1504" s="22"/>
      <c r="Z1504" s="22"/>
      <c r="AA1504" s="22"/>
      <c r="AB1504" s="22"/>
      <c r="AC1504" s="22"/>
      <c r="AD1504" s="22"/>
      <c r="AE1504" s="22"/>
      <c r="AG1504" s="145">
        <v>1</v>
      </c>
      <c r="AH1504" s="149">
        <v>0</v>
      </c>
      <c r="AI1504" s="149">
        <v>7</v>
      </c>
      <c r="AJ1504" s="145">
        <v>17</v>
      </c>
      <c r="AK1504" s="71"/>
      <c r="AL1504" s="71"/>
      <c r="AM1504" s="71"/>
      <c r="AN1504" s="71"/>
      <c r="AO1504" s="71"/>
      <c r="AP1504" s="71"/>
      <c r="AQ1504" s="71"/>
      <c r="AR1504" s="71"/>
      <c r="AS1504" s="94">
        <f t="shared" ref="AS1504:AS1508" ca="1" si="1732">IF(MONTH(TODAY())=3,SUM(T1504:U1504),IF(MONTH(TODAY())=4,SUM(T1504:V1504),IF(MONTH(TODAY())=5,SUM(T1504:W1504),IF(MONTH(TODAY())=6,SUM(T1504:X1504),IF(MONTH(TODAY())=7,SUM(T1504:Y1504),IF(MONTH(TODAY())=8,SUM(T1504:Z1504),IF(MONTH(TODAY())=9,SUM(T1504:AA1504),IF(MONTH(TODAY())=10,SUM(T1504:AB1504),IF(MONTH(TODAY())=11,SUM(T1504:AC1504),IF(MONTH(TODAY())=12,SUM(T1504:AD1504),IF(MONTH(TODAY())=1,SUM(T1504:AE1504),T1504)))))))))))</f>
        <v>0</v>
      </c>
      <c r="AT1504" s="95">
        <f t="shared" ref="AT1504:AT1508" si="1733">SUM(AG1504:AR1504)</f>
        <v>25</v>
      </c>
      <c r="AU1504" s="97">
        <f t="shared" ref="AU1504:AU1508" si="1734">SUM(AG1504:AR1504)</f>
        <v>25</v>
      </c>
      <c r="AW1504" s="83">
        <f t="shared" ref="AW1504:AW1508" si="1735">AG1504</f>
        <v>1</v>
      </c>
      <c r="AX1504" s="83">
        <f t="shared" ref="AX1504:AX1508" si="1736">AH1504</f>
        <v>0</v>
      </c>
      <c r="AY1504" s="83">
        <f t="shared" ref="AY1504:AY1508" si="1737">AI1504</f>
        <v>7</v>
      </c>
      <c r="AZ1504" s="83">
        <f t="shared" ref="AZ1504:AZ1508" si="1738">AJ1504</f>
        <v>17</v>
      </c>
      <c r="BA1504" s="52"/>
      <c r="BB1504" s="52"/>
      <c r="BC1504" s="52"/>
      <c r="BD1504" s="52"/>
      <c r="BE1504" s="52"/>
      <c r="BF1504" s="52"/>
      <c r="BG1504" s="52"/>
      <c r="BH1504" s="52"/>
      <c r="BI1504" s="68" cm="1">
        <f t="array" ref="BI1504">IFERROR(INDEX(AW1504:BH1504,1,MATCH(2,1/(AW1504:BH1504&lt;&gt;""))),"")</f>
        <v>17</v>
      </c>
      <c r="BJ1504" s="68" cm="1">
        <f t="array" ref="BJ1504">IF(BM1504 = "", "",IFERROR(INDEX(AW1504:BH1504,1,MATCH(2,1/(AW1504:BH1504&lt;&gt;""),1)-1),""))</f>
        <v>7</v>
      </c>
      <c r="BK1504" s="59">
        <f t="shared" ref="BK1504:BK1508" si="1739">SUM(AW1504:BH1504)</f>
        <v>25</v>
      </c>
      <c r="BL1504" s="59" cm="1">
        <f t="array" ref="BL1504">IFERROR(SUM(AW1504:INDEX(AW1504:BH1504, MATCH(2, 1/(AW1504:BH1504&lt;&gt;""), 1) - 1))/_xlfn.XLOOKUP(F1504,Apuração!A:A,Apuração!B:B),0)</f>
        <v>0.66666666666666663</v>
      </c>
      <c r="BM1504" s="55" cm="1">
        <f t="array" ref="BM1504">IFERROR(
   INDEX($AW$1:$BH$1,
      _xlfn.AGGREGATE(14, 6, COLUMN($AW$1:$BH$1)/(AW1504:BH1504&lt;&gt;""), 2) - COLUMN($AW$1) + 1
   ),
"")</f>
        <v>46082</v>
      </c>
      <c r="BN1504" s="55" cm="1">
        <f t="array" ref="BN1504">IFERROR(INDEX($AW$1:$BH$1,1,MATCH(2,1/(AW1504:BH1504&lt;&gt;""))),"")</f>
        <v>46113</v>
      </c>
      <c r="BO1504" s="53">
        <f ca="1">IFERROR(_xlfn.XLOOKUP(F1504,Apuração!A:A,Apuração!C:C)/_xlfn.XLOOKUP(F1504,Apuração!A:A,Apuração!B:B),0)</f>
        <v>0.41666666666666669</v>
      </c>
      <c r="BP1504" s="53">
        <f ca="1">IFERROR(_xlfn.XLOOKUP(F1504,Apuração!A:A,Apuração!D:D)/_xlfn.XLOOKUP(F1504,Apuração!A:A,Apuração!B:B),0)</f>
        <v>0.33333333333333331</v>
      </c>
      <c r="BQ1504" s="53">
        <f ca="1">IF(BK1504&gt;=BO1504,0,_xlfn.XLOOKUP(F1504,Apuração!A:A,Apuração!B:B)*(BO1504 + (1/_xlfn.XLOOKUP(F1504,Apuração!A:A,Apuração!B:B)) - BK1504))</f>
        <v>0</v>
      </c>
      <c r="BR1504" s="85">
        <f t="shared" ref="BR1504:BR1508" ca="1" si="1740">IF(BQ1504=0,0,BQ1504*Z1504)</f>
        <v>0</v>
      </c>
      <c r="BS1504" s="53">
        <f ca="1">IFERROR((_xlfn.XLOOKUP(F1504,Apuração!A:A,Apuração!C:C)+1)/_xlfn.XLOOKUP(F1504,Apuração!A:A,Apuração!B:B),0)</f>
        <v>0.5</v>
      </c>
    </row>
    <row r="1505" spans="1:71" ht="25.95" hidden="1" customHeight="1" x14ac:dyDescent="0.3">
      <c r="A1505" s="39" t="s">
        <v>33</v>
      </c>
      <c r="B1505" s="4" t="s">
        <v>34</v>
      </c>
      <c r="C1505" s="5" t="s">
        <v>214</v>
      </c>
      <c r="D1505" s="5" t="s">
        <v>215</v>
      </c>
      <c r="E1505" s="4" t="str" cm="1">
        <f t="array" ref="E1505">_xlfn.IFS(
F1505 = "A partir de Abril", "Aguardando Execução na Distribuidora",
A1505 = "CAPACITAÇÃO", "Em execução no Corporativo",
TRUE, "Em Execução na Distribuidora"
)</f>
        <v>Em Execução na Distribuidora</v>
      </c>
      <c r="F1505" s="4" t="str" cm="1">
        <f t="array" ref="F1505">_xlfn.IFS(
AG1505 &lt;&gt; "", "Jan-Dez/26",
AH1505 &lt;&gt; "", "Fev-Dez/26",
AI1505 &lt;&gt; "", "Mar-Dez/26", AJ1505 &lt;&gt; "", "Abr-Dez/26",
TRUE, "A partir de Junho"
)</f>
        <v>Jan-Dez/26</v>
      </c>
      <c r="G1505" s="6" t="s">
        <v>37</v>
      </c>
      <c r="H1505" s="7" t="s">
        <v>110</v>
      </c>
      <c r="I1505" s="9" t="s">
        <v>49</v>
      </c>
      <c r="J1505" s="8" t="str" cm="1">
        <f t="array" aca="1" ref="J1505" ca="1">_xlfn.LET(
  _xlpm.actual_value_month, INDEX(T1505:AE1505, MATCH(DATE(YEAR(TODAY()), MONTH(TODAY()), 1), $T$1:$AE$1, 0)),
  IF(_xlpm.actual_value_month &lt;&gt; "",_xlpm.actual_value_month &amp; " ações mensais", "")
)</f>
        <v/>
      </c>
      <c r="K1505" s="8" t="str" cm="1">
        <f t="array" ref="K1505">_xlfn.LET(
    _xlpm.sum_month, SUM(T1505:AE1505),
    IF(_xlpm.sum_month = 0, "", _xlpm.sum_month &amp; " soluções implementadas no ano")
)</f>
        <v/>
      </c>
      <c r="L1505" s="9" t="s">
        <v>50</v>
      </c>
      <c r="M1505" s="9"/>
      <c r="N1505" s="5" t="s">
        <v>51</v>
      </c>
      <c r="O1505" s="5" t="s">
        <v>52</v>
      </c>
      <c r="P1505" s="10" t="s">
        <v>44</v>
      </c>
      <c r="Q1505" s="10" t="s">
        <v>44</v>
      </c>
      <c r="R1505" s="10" t="s">
        <v>44</v>
      </c>
      <c r="S1505" s="10" t="s">
        <v>44</v>
      </c>
      <c r="T1505" s="22"/>
      <c r="U1505" s="22"/>
      <c r="V1505" s="22"/>
      <c r="W1505" s="22"/>
      <c r="X1505" s="22"/>
      <c r="Y1505" s="22"/>
      <c r="Z1505" s="22"/>
      <c r="AA1505" s="22"/>
      <c r="AB1505" s="22"/>
      <c r="AC1505" s="22"/>
      <c r="AD1505" s="22"/>
      <c r="AE1505" s="22"/>
      <c r="AG1505" s="146">
        <v>30</v>
      </c>
      <c r="AH1505" s="150">
        <v>18</v>
      </c>
      <c r="AI1505" s="150">
        <v>2</v>
      </c>
      <c r="AJ1505" s="146">
        <v>30</v>
      </c>
      <c r="AK1505" s="71"/>
      <c r="AL1505" s="71"/>
      <c r="AM1505" s="71"/>
      <c r="AN1505" s="71"/>
      <c r="AO1505" s="71"/>
      <c r="AP1505" s="71"/>
      <c r="AQ1505" s="71"/>
      <c r="AR1505" s="71"/>
      <c r="AS1505" s="94">
        <f t="shared" ca="1" si="1732"/>
        <v>0</v>
      </c>
      <c r="AT1505" s="95">
        <f t="shared" si="1733"/>
        <v>80</v>
      </c>
      <c r="AU1505" s="97">
        <f t="shared" si="1734"/>
        <v>80</v>
      </c>
      <c r="AW1505" s="83">
        <f t="shared" si="1735"/>
        <v>30</v>
      </c>
      <c r="AX1505" s="83">
        <f t="shared" si="1736"/>
        <v>18</v>
      </c>
      <c r="AY1505" s="83">
        <f t="shared" si="1737"/>
        <v>2</v>
      </c>
      <c r="AZ1505" s="83">
        <f t="shared" si="1738"/>
        <v>30</v>
      </c>
      <c r="BA1505" s="52"/>
      <c r="BB1505" s="52"/>
      <c r="BC1505" s="52"/>
      <c r="BD1505" s="52"/>
      <c r="BE1505" s="52"/>
      <c r="BF1505" s="52"/>
      <c r="BG1505" s="52"/>
      <c r="BH1505" s="52"/>
      <c r="BI1505" s="68" cm="1">
        <f t="array" ref="BI1505">IFERROR(INDEX(AW1505:BH1505,1,MATCH(2,1/(AW1505:BH1505&lt;&gt;""))),"")</f>
        <v>30</v>
      </c>
      <c r="BJ1505" s="68" cm="1">
        <f t="array" ref="BJ1505">IF(BM1505 = "", "",IFERROR(INDEX(AW1505:BH1505,1,MATCH(2,1/(AW1505:BH1505&lt;&gt;""),1)-1),""))</f>
        <v>2</v>
      </c>
      <c r="BK1505" s="59">
        <f t="shared" si="1739"/>
        <v>80</v>
      </c>
      <c r="BL1505" s="59" cm="1">
        <f t="array" ref="BL1505">IFERROR(SUM(AW1505:INDEX(AW1505:BH1505, MATCH(2, 1/(AW1505:BH1505&lt;&gt;""), 1) - 1))/_xlfn.XLOOKUP(F1505,Apuração!A:A,Apuração!B:B),0)</f>
        <v>4.166666666666667</v>
      </c>
      <c r="BM1505" s="55" cm="1">
        <f t="array" ref="BM1505">IFERROR(
   INDEX($AW$1:$BH$1,
      _xlfn.AGGREGATE(14, 6, COLUMN($AW$1:$BH$1)/(AW1505:BH1505&lt;&gt;""), 2) - COLUMN($AW$1) + 1
   ),
"")</f>
        <v>46082</v>
      </c>
      <c r="BN1505" s="55" cm="1">
        <f t="array" ref="BN1505">IFERROR(INDEX($AW$1:$BH$1,1,MATCH(2,1/(AW1505:BH1505&lt;&gt;""))),"")</f>
        <v>46113</v>
      </c>
      <c r="BO1505" s="53">
        <f ca="1">IFERROR(_xlfn.XLOOKUP(F1505,Apuração!A:A,Apuração!C:C)/_xlfn.XLOOKUP(F1505,Apuração!A:A,Apuração!B:B),0)</f>
        <v>0.41666666666666669</v>
      </c>
      <c r="BP1505" s="53">
        <f ca="1">IFERROR(_xlfn.XLOOKUP(F1505,Apuração!A:A,Apuração!D:D)/_xlfn.XLOOKUP(F1505,Apuração!A:A,Apuração!B:B),0)</f>
        <v>0.33333333333333331</v>
      </c>
      <c r="BQ1505" s="53">
        <f ca="1">IF(BK1505&gt;=BO1505,0,_xlfn.XLOOKUP(F1505,Apuração!A:A,Apuração!B:B)*(BO1505 + (1/_xlfn.XLOOKUP(F1505,Apuração!A:A,Apuração!B:B)) - BK1505))</f>
        <v>0</v>
      </c>
      <c r="BR1505" s="85">
        <f t="shared" ca="1" si="1740"/>
        <v>0</v>
      </c>
      <c r="BS1505" s="53">
        <f ca="1">IFERROR((_xlfn.XLOOKUP(F1505,Apuração!A:A,Apuração!C:C)+1)/_xlfn.XLOOKUP(F1505,Apuração!A:A,Apuração!B:B),0)</f>
        <v>0.5</v>
      </c>
    </row>
    <row r="1506" spans="1:71" ht="25.95" hidden="1" customHeight="1" x14ac:dyDescent="0.3">
      <c r="A1506" s="39" t="s">
        <v>33</v>
      </c>
      <c r="B1506" s="4" t="s">
        <v>34</v>
      </c>
      <c r="C1506" s="5" t="s">
        <v>214</v>
      </c>
      <c r="D1506" s="5" t="s">
        <v>212</v>
      </c>
      <c r="E1506" s="4" t="str" cm="1">
        <f t="array" ref="E1506">_xlfn.IFS(
F1506 = "A partir de Abril", "Aguardando Execução na Distribuidora",
A1506 = "CAPACITAÇÃO", "Em execução no Corporativo",
TRUE, "Em Execução na Distribuidora"
)</f>
        <v>Em Execução na Distribuidora</v>
      </c>
      <c r="F1506" s="4" t="str" cm="1">
        <f t="array" ref="F1506">_xlfn.IFS(
AG1506 &lt;&gt; "", "Jan-Dez/26",
AH1506 &lt;&gt; "", "Fev-Dez/26",
AI1506 &lt;&gt; "", "Mar-Dez/26", AJ1506 &lt;&gt; "", "Abr-Dez/26",
TRUE, "A partir de Junho"
)</f>
        <v>Jan-Dez/26</v>
      </c>
      <c r="G1506" s="6" t="s">
        <v>37</v>
      </c>
      <c r="H1506" s="7" t="s">
        <v>110</v>
      </c>
      <c r="I1506" s="9" t="s">
        <v>49</v>
      </c>
      <c r="J1506" s="8" t="str" cm="1">
        <f t="array" aca="1" ref="J1506" ca="1">_xlfn.LET(
  _xlpm.actual_value_month, INDEX(T1506:AE1506, MATCH(DATE(YEAR(TODAY()), MONTH(TODAY()), 1), $T$1:$AE$1, 0)),
  IF(_xlpm.actual_value_month &lt;&gt; "",_xlpm.actual_value_month &amp; " ações mensais", "")
)</f>
        <v/>
      </c>
      <c r="K1506" s="8" t="str" cm="1">
        <f t="array" ref="K1506">_xlfn.LET(
    _xlpm.sum_month, SUM(T1506:AE1506),
    IF(_xlpm.sum_month = 0, "", _xlpm.sum_month &amp; " soluções implementadas no ano")
)</f>
        <v/>
      </c>
      <c r="L1506" s="9" t="s">
        <v>50</v>
      </c>
      <c r="M1506" s="9"/>
      <c r="N1506" s="5" t="s">
        <v>51</v>
      </c>
      <c r="O1506" s="5" t="s">
        <v>52</v>
      </c>
      <c r="P1506" s="10" t="s">
        <v>44</v>
      </c>
      <c r="Q1506" s="10" t="s">
        <v>44</v>
      </c>
      <c r="R1506" s="10" t="s">
        <v>44</v>
      </c>
      <c r="S1506" s="10" t="s">
        <v>44</v>
      </c>
      <c r="T1506" s="22"/>
      <c r="U1506" s="22"/>
      <c r="V1506" s="22"/>
      <c r="W1506" s="22"/>
      <c r="X1506" s="22"/>
      <c r="Y1506" s="22"/>
      <c r="Z1506" s="22"/>
      <c r="AA1506" s="22"/>
      <c r="AB1506" s="22"/>
      <c r="AC1506" s="22"/>
      <c r="AD1506" s="22"/>
      <c r="AE1506" s="22"/>
      <c r="AG1506" s="146">
        <v>4</v>
      </c>
      <c r="AH1506" s="150">
        <v>0</v>
      </c>
      <c r="AI1506" s="150">
        <v>0</v>
      </c>
      <c r="AJ1506" s="146">
        <v>2</v>
      </c>
      <c r="AK1506" s="71"/>
      <c r="AL1506" s="71"/>
      <c r="AM1506" s="71"/>
      <c r="AN1506" s="71"/>
      <c r="AO1506" s="71"/>
      <c r="AP1506" s="71"/>
      <c r="AQ1506" s="71"/>
      <c r="AR1506" s="71"/>
      <c r="AS1506" s="94">
        <f t="shared" ca="1" si="1732"/>
        <v>0</v>
      </c>
      <c r="AT1506" s="95">
        <f t="shared" si="1733"/>
        <v>6</v>
      </c>
      <c r="AU1506" s="97">
        <f t="shared" si="1734"/>
        <v>6</v>
      </c>
      <c r="AW1506" s="83">
        <f t="shared" si="1735"/>
        <v>4</v>
      </c>
      <c r="AX1506" s="83">
        <f t="shared" si="1736"/>
        <v>0</v>
      </c>
      <c r="AY1506" s="83">
        <f t="shared" si="1737"/>
        <v>0</v>
      </c>
      <c r="AZ1506" s="83">
        <f t="shared" si="1738"/>
        <v>2</v>
      </c>
      <c r="BA1506" s="52"/>
      <c r="BB1506" s="52"/>
      <c r="BC1506" s="52"/>
      <c r="BD1506" s="52"/>
      <c r="BE1506" s="52"/>
      <c r="BF1506" s="52"/>
      <c r="BG1506" s="52"/>
      <c r="BH1506" s="52"/>
      <c r="BI1506" s="68" cm="1">
        <f t="array" ref="BI1506">IFERROR(INDEX(AW1506:BH1506,1,MATCH(2,1/(AW1506:BH1506&lt;&gt;""))),"")</f>
        <v>2</v>
      </c>
      <c r="BJ1506" s="68" cm="1">
        <f t="array" ref="BJ1506">IF(BM1506 = "", "",IFERROR(INDEX(AW1506:BH1506,1,MATCH(2,1/(AW1506:BH1506&lt;&gt;""),1)-1),""))</f>
        <v>0</v>
      </c>
      <c r="BK1506" s="59">
        <f t="shared" si="1739"/>
        <v>6</v>
      </c>
      <c r="BL1506" s="59" cm="1">
        <f t="array" ref="BL1506">IFERROR(SUM(AW1506:INDEX(AW1506:BH1506, MATCH(2, 1/(AW1506:BH1506&lt;&gt;""), 1) - 1))/_xlfn.XLOOKUP(F1506,Apuração!A:A,Apuração!B:B),0)</f>
        <v>0.33333333333333331</v>
      </c>
      <c r="BM1506" s="55" cm="1">
        <f t="array" ref="BM1506">IFERROR(
   INDEX($AW$1:$BH$1,
      _xlfn.AGGREGATE(14, 6, COLUMN($AW$1:$BH$1)/(AW1506:BH1506&lt;&gt;""), 2) - COLUMN($AW$1) + 1
   ),
"")</f>
        <v>46082</v>
      </c>
      <c r="BN1506" s="55" cm="1">
        <f t="array" ref="BN1506">IFERROR(INDEX($AW$1:$BH$1,1,MATCH(2,1/(AW1506:BH1506&lt;&gt;""))),"")</f>
        <v>46113</v>
      </c>
      <c r="BO1506" s="53">
        <f ca="1">IFERROR(_xlfn.XLOOKUP(F1506,Apuração!A:A,Apuração!C:C)/_xlfn.XLOOKUP(F1506,Apuração!A:A,Apuração!B:B),0)</f>
        <v>0.41666666666666669</v>
      </c>
      <c r="BP1506" s="53">
        <f ca="1">IFERROR(_xlfn.XLOOKUP(F1506,Apuração!A:A,Apuração!D:D)/_xlfn.XLOOKUP(F1506,Apuração!A:A,Apuração!B:B),0)</f>
        <v>0.33333333333333331</v>
      </c>
      <c r="BQ1506" s="53">
        <f ca="1">IF(BK1506&gt;=BO1506,0,_xlfn.XLOOKUP(F1506,Apuração!A:A,Apuração!B:B)*(BO1506 + (1/_xlfn.XLOOKUP(F1506,Apuração!A:A,Apuração!B:B)) - BK1506))</f>
        <v>0</v>
      </c>
      <c r="BR1506" s="85">
        <f t="shared" ca="1" si="1740"/>
        <v>0</v>
      </c>
      <c r="BS1506" s="53">
        <f ca="1">IFERROR((_xlfn.XLOOKUP(F1506,Apuração!A:A,Apuração!C:C)+1)/_xlfn.XLOOKUP(F1506,Apuração!A:A,Apuração!B:B),0)</f>
        <v>0.5</v>
      </c>
    </row>
    <row r="1507" spans="1:71" ht="25.95" hidden="1" customHeight="1" x14ac:dyDescent="0.3">
      <c r="A1507" s="39" t="s">
        <v>33</v>
      </c>
      <c r="B1507" s="4" t="s">
        <v>34</v>
      </c>
      <c r="C1507" s="5" t="s">
        <v>214</v>
      </c>
      <c r="D1507" s="5" t="s">
        <v>48</v>
      </c>
      <c r="E1507" s="4" t="str" cm="1">
        <f t="array" ref="E1507">_xlfn.IFS(
F1507 = "A partir de Abril", "Aguardando Execução na Distribuidora",
A1507 = "CAPACITAÇÃO", "Em execução no Corporativo",
TRUE, "Em Execução na Distribuidora"
)</f>
        <v>Em Execução na Distribuidora</v>
      </c>
      <c r="F1507" s="4" t="str" cm="1">
        <f t="array" ref="F1507">_xlfn.IFS(
AG1507 &lt;&gt; "", "Jan-Dez/26",
AH1507 &lt;&gt; "", "Fev-Dez/26",
AI1507 &lt;&gt; "", "Mar-Dez/26", AJ1507 &lt;&gt; "", "Abr-Dez/26",
TRUE, "A partir de Junho"
)</f>
        <v>Jan-Dez/26</v>
      </c>
      <c r="G1507" s="6" t="s">
        <v>37</v>
      </c>
      <c r="H1507" s="7" t="s">
        <v>110</v>
      </c>
      <c r="I1507" s="9" t="s">
        <v>49</v>
      </c>
      <c r="J1507" s="8" t="str" cm="1">
        <f t="array" aca="1" ref="J1507" ca="1">_xlfn.LET(
  _xlpm.actual_value_month, INDEX(T1507:AE1507, MATCH(DATE(YEAR(TODAY()), MONTH(TODAY()), 1), $T$1:$AE$1, 0)),
  IF(_xlpm.actual_value_month &lt;&gt; "",_xlpm.actual_value_month &amp; " ações mensais", "")
)</f>
        <v/>
      </c>
      <c r="K1507" s="8" t="str" cm="1">
        <f t="array" ref="K1507">_xlfn.LET(
    _xlpm.sum_month, SUM(T1507:AE1507),
    IF(_xlpm.sum_month = 0, "", _xlpm.sum_month &amp; " soluções implementadas no ano")
)</f>
        <v/>
      </c>
      <c r="L1507" s="9" t="s">
        <v>50</v>
      </c>
      <c r="M1507" s="9"/>
      <c r="N1507" s="5" t="s">
        <v>51</v>
      </c>
      <c r="O1507" s="5" t="s">
        <v>52</v>
      </c>
      <c r="P1507" s="10" t="s">
        <v>44</v>
      </c>
      <c r="Q1507" s="10" t="s">
        <v>44</v>
      </c>
      <c r="R1507" s="10" t="s">
        <v>44</v>
      </c>
      <c r="S1507" s="10" t="s">
        <v>44</v>
      </c>
      <c r="T1507" s="22"/>
      <c r="U1507" s="22"/>
      <c r="V1507" s="22"/>
      <c r="W1507" s="22"/>
      <c r="X1507" s="22"/>
      <c r="Y1507" s="22"/>
      <c r="Z1507" s="22"/>
      <c r="AA1507" s="22"/>
      <c r="AB1507" s="22"/>
      <c r="AC1507" s="22"/>
      <c r="AD1507" s="22"/>
      <c r="AE1507" s="22"/>
      <c r="AG1507" s="146">
        <v>104</v>
      </c>
      <c r="AH1507" s="150">
        <v>50</v>
      </c>
      <c r="AI1507" s="150">
        <v>33</v>
      </c>
      <c r="AJ1507" s="146">
        <v>128</v>
      </c>
      <c r="AK1507" s="71"/>
      <c r="AL1507" s="71"/>
      <c r="AM1507" s="71"/>
      <c r="AN1507" s="71"/>
      <c r="AO1507" s="71"/>
      <c r="AP1507" s="71"/>
      <c r="AQ1507" s="71"/>
      <c r="AR1507" s="71"/>
      <c r="AS1507" s="94">
        <f t="shared" ca="1" si="1732"/>
        <v>0</v>
      </c>
      <c r="AT1507" s="95">
        <f t="shared" si="1733"/>
        <v>315</v>
      </c>
      <c r="AU1507" s="97">
        <f t="shared" si="1734"/>
        <v>315</v>
      </c>
      <c r="AW1507" s="83">
        <f t="shared" si="1735"/>
        <v>104</v>
      </c>
      <c r="AX1507" s="83">
        <f t="shared" si="1736"/>
        <v>50</v>
      </c>
      <c r="AY1507" s="83">
        <f t="shared" si="1737"/>
        <v>33</v>
      </c>
      <c r="AZ1507" s="83">
        <f t="shared" si="1738"/>
        <v>128</v>
      </c>
      <c r="BA1507" s="52"/>
      <c r="BB1507" s="52"/>
      <c r="BC1507" s="52"/>
      <c r="BD1507" s="52"/>
      <c r="BE1507" s="52"/>
      <c r="BF1507" s="52"/>
      <c r="BG1507" s="52"/>
      <c r="BH1507" s="52"/>
      <c r="BI1507" s="68" cm="1">
        <f t="array" ref="BI1507">IFERROR(INDEX(AW1507:BH1507,1,MATCH(2,1/(AW1507:BH1507&lt;&gt;""))),"")</f>
        <v>128</v>
      </c>
      <c r="BJ1507" s="68" cm="1">
        <f t="array" ref="BJ1507">IF(BM1507 = "", "",IFERROR(INDEX(AW1507:BH1507,1,MATCH(2,1/(AW1507:BH1507&lt;&gt;""),1)-1),""))</f>
        <v>33</v>
      </c>
      <c r="BK1507" s="59">
        <f t="shared" si="1739"/>
        <v>315</v>
      </c>
      <c r="BL1507" s="59" cm="1">
        <f t="array" ref="BL1507">IFERROR(SUM(AW1507:INDEX(AW1507:BH1507, MATCH(2, 1/(AW1507:BH1507&lt;&gt;""), 1) - 1))/_xlfn.XLOOKUP(F1507,Apuração!A:A,Apuração!B:B),0)</f>
        <v>15.583333333333334</v>
      </c>
      <c r="BM1507" s="55" cm="1">
        <f t="array" ref="BM1507">IFERROR(
   INDEX($AW$1:$BH$1,
      _xlfn.AGGREGATE(14, 6, COLUMN($AW$1:$BH$1)/(AW1507:BH1507&lt;&gt;""), 2) - COLUMN($AW$1) + 1
   ),
"")</f>
        <v>46082</v>
      </c>
      <c r="BN1507" s="55" cm="1">
        <f t="array" ref="BN1507">IFERROR(INDEX($AW$1:$BH$1,1,MATCH(2,1/(AW1507:BH1507&lt;&gt;""))),"")</f>
        <v>46113</v>
      </c>
      <c r="BO1507" s="53">
        <f ca="1">IFERROR(_xlfn.XLOOKUP(F1507,Apuração!A:A,Apuração!C:C)/_xlfn.XLOOKUP(F1507,Apuração!A:A,Apuração!B:B),0)</f>
        <v>0.41666666666666669</v>
      </c>
      <c r="BP1507" s="53">
        <f ca="1">IFERROR(_xlfn.XLOOKUP(F1507,Apuração!A:A,Apuração!D:D)/_xlfn.XLOOKUP(F1507,Apuração!A:A,Apuração!B:B),0)</f>
        <v>0.33333333333333331</v>
      </c>
      <c r="BQ1507" s="53">
        <f ca="1">IF(BK1507&gt;=BO1507,0,_xlfn.XLOOKUP(F1507,Apuração!A:A,Apuração!B:B)*(BO1507 + (1/_xlfn.XLOOKUP(F1507,Apuração!A:A,Apuração!B:B)) - BK1507))</f>
        <v>0</v>
      </c>
      <c r="BR1507" s="85">
        <f t="shared" ca="1" si="1740"/>
        <v>0</v>
      </c>
      <c r="BS1507" s="53">
        <f ca="1">IFERROR((_xlfn.XLOOKUP(F1507,Apuração!A:A,Apuração!C:C)+1)/_xlfn.XLOOKUP(F1507,Apuração!A:A,Apuração!B:B),0)</f>
        <v>0.5</v>
      </c>
    </row>
    <row r="1508" spans="1:71" ht="25.95" hidden="1" customHeight="1" x14ac:dyDescent="0.3">
      <c r="A1508" s="39" t="s">
        <v>33</v>
      </c>
      <c r="B1508" s="4" t="s">
        <v>34</v>
      </c>
      <c r="C1508" s="5" t="s">
        <v>214</v>
      </c>
      <c r="D1508" s="5" t="s">
        <v>213</v>
      </c>
      <c r="E1508" s="4" t="str" cm="1">
        <f t="array" ref="E1508">_xlfn.IFS(
F1508 = "A partir de Abril", "Aguardando Execução na Distribuidora",
A1508 = "CAPACITAÇÃO", "Em execução no Corporativo",
TRUE, "Em Execução na Distribuidora"
)</f>
        <v>Em Execução na Distribuidora</v>
      </c>
      <c r="F1508" s="4" t="str" cm="1">
        <f t="array" ref="F1508">_xlfn.IFS(
AG1508 &lt;&gt; "", "Jan-Dez/26",
AH1508 &lt;&gt; "", "Fev-Dez/26",
AI1508 &lt;&gt; "", "Mar-Dez/26", AJ1508 &lt;&gt; "", "Abr-Dez/26",
TRUE, "A partir de Junho"
)</f>
        <v>Jan-Dez/26</v>
      </c>
      <c r="G1508" s="6" t="s">
        <v>37</v>
      </c>
      <c r="H1508" s="7" t="s">
        <v>110</v>
      </c>
      <c r="I1508" s="9" t="s">
        <v>49</v>
      </c>
      <c r="J1508" s="8" t="str" cm="1">
        <f t="array" aca="1" ref="J1508" ca="1">_xlfn.LET(
  _xlpm.actual_value_month, INDEX(T1508:AE1508, MATCH(DATE(YEAR(TODAY()), MONTH(TODAY()), 1), $T$1:$AE$1, 0)),
  IF(_xlpm.actual_value_month &lt;&gt; "",_xlpm.actual_value_month &amp; " ações mensais", "")
)</f>
        <v/>
      </c>
      <c r="K1508" s="8" t="str" cm="1">
        <f t="array" ref="K1508">_xlfn.LET(
    _xlpm.sum_month, SUM(T1508:AE1508),
    IF(_xlpm.sum_month = 0, "", _xlpm.sum_month &amp; " soluções implementadas no ano")
)</f>
        <v/>
      </c>
      <c r="L1508" s="9" t="s">
        <v>50</v>
      </c>
      <c r="M1508" s="9"/>
      <c r="N1508" s="5" t="s">
        <v>51</v>
      </c>
      <c r="O1508" s="5" t="s">
        <v>52</v>
      </c>
      <c r="P1508" s="10" t="s">
        <v>44</v>
      </c>
      <c r="Q1508" s="10" t="s">
        <v>44</v>
      </c>
      <c r="R1508" s="10" t="s">
        <v>44</v>
      </c>
      <c r="S1508" s="10" t="s">
        <v>44</v>
      </c>
      <c r="T1508" s="22"/>
      <c r="U1508" s="22"/>
      <c r="V1508" s="22"/>
      <c r="W1508" s="22"/>
      <c r="X1508" s="22"/>
      <c r="Y1508" s="22"/>
      <c r="Z1508" s="22"/>
      <c r="AA1508" s="22"/>
      <c r="AB1508" s="22"/>
      <c r="AC1508" s="22"/>
      <c r="AD1508" s="22"/>
      <c r="AE1508" s="22"/>
      <c r="AG1508" s="146">
        <v>19</v>
      </c>
      <c r="AH1508" s="150">
        <v>5</v>
      </c>
      <c r="AI1508" s="150">
        <v>18</v>
      </c>
      <c r="AJ1508" s="146">
        <v>19</v>
      </c>
      <c r="AK1508" s="71"/>
      <c r="AL1508" s="71"/>
      <c r="AM1508" s="71"/>
      <c r="AN1508" s="71"/>
      <c r="AO1508" s="71"/>
      <c r="AP1508" s="71"/>
      <c r="AQ1508" s="71"/>
      <c r="AR1508" s="71"/>
      <c r="AS1508" s="94">
        <f t="shared" ca="1" si="1732"/>
        <v>0</v>
      </c>
      <c r="AT1508" s="95">
        <f t="shared" si="1733"/>
        <v>61</v>
      </c>
      <c r="AU1508" s="97">
        <f t="shared" si="1734"/>
        <v>61</v>
      </c>
      <c r="AW1508" s="83">
        <f t="shared" si="1735"/>
        <v>19</v>
      </c>
      <c r="AX1508" s="83">
        <f t="shared" si="1736"/>
        <v>5</v>
      </c>
      <c r="AY1508" s="83">
        <f t="shared" si="1737"/>
        <v>18</v>
      </c>
      <c r="AZ1508" s="83">
        <f t="shared" si="1738"/>
        <v>19</v>
      </c>
      <c r="BA1508" s="52"/>
      <c r="BB1508" s="52"/>
      <c r="BC1508" s="52"/>
      <c r="BD1508" s="52"/>
      <c r="BE1508" s="52"/>
      <c r="BF1508" s="52"/>
      <c r="BG1508" s="52"/>
      <c r="BH1508" s="52"/>
      <c r="BI1508" s="68" cm="1">
        <f t="array" ref="BI1508">IFERROR(INDEX(AW1508:BH1508,1,MATCH(2,1/(AW1508:BH1508&lt;&gt;""))),"")</f>
        <v>19</v>
      </c>
      <c r="BJ1508" s="68" cm="1">
        <f t="array" ref="BJ1508">IF(BM1508 = "", "",IFERROR(INDEX(AW1508:BH1508,1,MATCH(2,1/(AW1508:BH1508&lt;&gt;""),1)-1),""))</f>
        <v>18</v>
      </c>
      <c r="BK1508" s="59">
        <f t="shared" si="1739"/>
        <v>61</v>
      </c>
      <c r="BL1508" s="59" cm="1">
        <f t="array" ref="BL1508">IFERROR(SUM(AW1508:INDEX(AW1508:BH1508, MATCH(2, 1/(AW1508:BH1508&lt;&gt;""), 1) - 1))/_xlfn.XLOOKUP(F1508,Apuração!A:A,Apuração!B:B),0)</f>
        <v>3.5</v>
      </c>
      <c r="BM1508" s="55" cm="1">
        <f t="array" ref="BM1508">IFERROR(
   INDEX($AW$1:$BH$1,
      _xlfn.AGGREGATE(14, 6, COLUMN($AW$1:$BH$1)/(AW1508:BH1508&lt;&gt;""), 2) - COLUMN($AW$1) + 1
   ),
"")</f>
        <v>46082</v>
      </c>
      <c r="BN1508" s="55" cm="1">
        <f t="array" ref="BN1508">IFERROR(INDEX($AW$1:$BH$1,1,MATCH(2,1/(AW1508:BH1508&lt;&gt;""))),"")</f>
        <v>46113</v>
      </c>
      <c r="BO1508" s="53">
        <f ca="1">IFERROR(_xlfn.XLOOKUP(F1508,Apuração!A:A,Apuração!C:C)/_xlfn.XLOOKUP(F1508,Apuração!A:A,Apuração!B:B),0)</f>
        <v>0.41666666666666669</v>
      </c>
      <c r="BP1508" s="53">
        <f ca="1">IFERROR(_xlfn.XLOOKUP(F1508,Apuração!A:A,Apuração!D:D)/_xlfn.XLOOKUP(F1508,Apuração!A:A,Apuração!B:B),0)</f>
        <v>0.33333333333333331</v>
      </c>
      <c r="BQ1508" s="53">
        <f ca="1">IF(BK1508&gt;=BO1508,0,_xlfn.XLOOKUP(F1508,Apuração!A:A,Apuração!B:B)*(BO1508 + (1/_xlfn.XLOOKUP(F1508,Apuração!A:A,Apuração!B:B)) - BK1508))</f>
        <v>0</v>
      </c>
      <c r="BR1508" s="85">
        <f t="shared" ca="1" si="1740"/>
        <v>0</v>
      </c>
      <c r="BS1508" s="53">
        <f ca="1">IFERROR((_xlfn.XLOOKUP(F1508,Apuração!A:A,Apuração!C:C)+1)/_xlfn.XLOOKUP(F1508,Apuração!A:A,Apuração!B:B),0)</f>
        <v>0.5</v>
      </c>
    </row>
    <row r="1509" spans="1:71" ht="25.95" hidden="1" customHeight="1" x14ac:dyDescent="0.3">
      <c r="A1509" s="3" t="s">
        <v>33</v>
      </c>
      <c r="B1509" s="4" t="s">
        <v>53</v>
      </c>
      <c r="C1509" s="5" t="s">
        <v>214</v>
      </c>
      <c r="D1509" s="5" t="s">
        <v>36</v>
      </c>
      <c r="E1509" s="4" t="str" cm="1">
        <f t="array" ref="E1509">_xlfn.IFS(
F1509 = "A partir de Abril", "Aguardando Execução na Distribuidora",
A1509 = "CAPACITAÇÃO", "Em execução no Corporativo",
TRUE, "Em Execução na Distribuidora"
)</f>
        <v>Em Execução na Distribuidora</v>
      </c>
      <c r="F1509" s="4" t="str" cm="1">
        <f t="array" ref="F1509">_xlfn.IFS(
AG1509 &lt;&gt; "", "Jan-Dez/26",
AH1509 &lt;&gt; "", "Fev-Dez/26",
AI1509 &lt;&gt; "", "Mar-Dez/26", AJ1509 &lt;&gt; "", "Abr-Dez/26",
TRUE, "A partir de Junho"
)</f>
        <v>Jan-Dez/26</v>
      </c>
      <c r="G1509" s="4" t="s">
        <v>37</v>
      </c>
      <c r="H1509" s="7" t="s">
        <v>110</v>
      </c>
      <c r="I1509" s="8" t="s">
        <v>55</v>
      </c>
      <c r="J1509" s="8" t="str" cm="1">
        <f t="array" aca="1" ref="J1509" ca="1">_xlfn.LET(
  _xlpm.actual_value_month, INDEX(T1509:AE1509, MATCH(DATE(YEAR(TODAY()), MONTH(TODAY()), 1), $T$1:$AE$1, 0)),
  IF(_xlpm.actual_value_month &lt;&gt; "",_xlpm.actual_value_month &amp; " eventos mensais", "")
)</f>
        <v>5 eventos mensais</v>
      </c>
      <c r="K1509" s="14" t="str" cm="1">
        <f t="array" ref="K1509">_xlfn.LET(
    _xlpm.sum_month, SUM(T1509:AE1509),
    IF(_xlpm.sum_month = 0, "", _xlpm.sum_month &amp; "  eventos no ano")
)</f>
        <v>90  eventos no ano</v>
      </c>
      <c r="L1509" s="9" t="s">
        <v>56</v>
      </c>
      <c r="M1509" s="13" t="s">
        <v>57</v>
      </c>
      <c r="N1509" s="5" t="s">
        <v>42</v>
      </c>
      <c r="O1509" s="5" t="s">
        <v>43</v>
      </c>
      <c r="P1509" s="10" t="s">
        <v>58</v>
      </c>
      <c r="Q1509" s="10" t="s">
        <v>44</v>
      </c>
      <c r="R1509" s="11" t="s">
        <v>45</v>
      </c>
      <c r="S1509" s="11" t="s">
        <v>46</v>
      </c>
      <c r="T1509" s="22">
        <v>5</v>
      </c>
      <c r="U1509" s="22">
        <v>10</v>
      </c>
      <c r="V1509" s="22">
        <v>30</v>
      </c>
      <c r="W1509" s="22">
        <v>5</v>
      </c>
      <c r="X1509" s="22">
        <v>5</v>
      </c>
      <c r="Y1509" s="22">
        <v>5</v>
      </c>
      <c r="Z1509" s="22">
        <v>5</v>
      </c>
      <c r="AA1509" s="22">
        <v>5</v>
      </c>
      <c r="AB1509" s="22">
        <v>5</v>
      </c>
      <c r="AC1509" s="22">
        <v>5</v>
      </c>
      <c r="AD1509" s="22">
        <v>5</v>
      </c>
      <c r="AE1509" s="22">
        <v>5</v>
      </c>
      <c r="AG1509" s="71">
        <v>5</v>
      </c>
      <c r="AH1509" s="71">
        <v>10</v>
      </c>
      <c r="AI1509" s="71">
        <v>30</v>
      </c>
      <c r="AJ1509" s="71">
        <v>27</v>
      </c>
      <c r="AK1509" s="71"/>
      <c r="AL1509" s="71"/>
      <c r="AM1509" s="71"/>
      <c r="AN1509" s="71"/>
      <c r="AO1509" s="71"/>
      <c r="AP1509" s="71"/>
      <c r="AQ1509" s="71"/>
      <c r="AR1509" s="71"/>
      <c r="AS1509" s="94">
        <f ca="1">IF(MONTH(TODAY())=3,SUM(T1509:U1509),IF(MONTH(TODAY())=4,SUM(T1509:V1509),IF(MONTH(TODAY())=5,SUM(T1509:W1509),IF(MONTH(TODAY())=6,SUM(T1509:X1509),IF(MONTH(TODAY())=7,SUM(T1509:Y1509),IF(MONTH(TODAY())=8,SUM(T1509:Z1509),IF(MONTH(TODAY())=9,SUM(T1509:AA1509),IF(MONTH(TODAY())=10,SUM(T1509:AB1509),IF(MONTH(TODAY())=11,SUM(T1509:AC1509),IF(MONTH(TODAY())=12,SUM(T1509:AD1509),IF(MONTH(TODAY())=1,SUM(T1509:AE1509),T1509)))))))))))</f>
        <v>55</v>
      </c>
      <c r="AT1509" s="95">
        <f>SUM(IF(AW1509&lt;1.15,AG1509,1.15*T1509),IF(AX1509&lt;1.15,AH1509,1.15*U1509),IF(AY1509&lt;1.15,AI1509,1.15*V1509),IF(AZ1509&lt;1.15,AJ1509,1.15*W1509),IF(BA1509&lt;1.15,AK1509,1.15*X1509),IF(BB1509&lt;1.15,AL1509,1.15*Y1509),IF(BC1509&lt;1.15,AM1509,1.15*Z1509),IF(BD1509&lt;1.15,AN1509,1.15*AA1509),IF(BE1509&lt;1.15,AO1509,1.15*AB1509),IF(BF1509&lt;1.15,AP1509,1.15*AC1509),IF(BG1509&lt;1.15,AQ1509,1.15*AD1509),IF(BH1509&lt;1.15,AR1509,1.15*AE1509))</f>
        <v>50.75</v>
      </c>
      <c r="AU1509" s="97">
        <f>SUM(AG1509:AR1509)</f>
        <v>72</v>
      </c>
      <c r="AW1509" s="51">
        <f>IFERROR(IF(AG1509="",0,AG1509/T1509),0)</f>
        <v>1</v>
      </c>
      <c r="AX1509" s="51">
        <f>IFERROR(IF(AH1509="",0,AH1509/U1509),0)</f>
        <v>1</v>
      </c>
      <c r="AY1509" s="51">
        <f>IFERROR(IF(AI1509="",0,AI1509/V1509),0)</f>
        <v>1</v>
      </c>
      <c r="AZ1509" s="51">
        <f>IFERROR(IF(AJ1509="",0,AJ1509/W1509),0)</f>
        <v>5.4</v>
      </c>
      <c r="BA1509" s="51"/>
      <c r="BB1509" s="51"/>
      <c r="BC1509" s="51"/>
      <c r="BD1509" s="51"/>
      <c r="BE1509" s="51"/>
      <c r="BF1509" s="51"/>
      <c r="BG1509" s="51"/>
      <c r="BH1509" s="51"/>
      <c r="BI1509" s="65" cm="1">
        <f t="array" ref="BI1509">IFERROR(INDEX(AW1509:BH1509,1,MATCH(2,1/(AW1509:BH1509&lt;&gt;""))),"")</f>
        <v>5.4</v>
      </c>
      <c r="BJ1509" s="68" cm="1">
        <f t="array" ref="BJ1509">IF(BM1509 = "", "",IFERROR(INDEX(AW1509:BH1509,1,MATCH(2,1/(AW1509:BH1509&lt;&gt;""),1)-1),""))</f>
        <v>1</v>
      </c>
      <c r="BK1509" s="58">
        <f>IF((IF(AW1509&gt;=115%,115%,AW1509) + IF(AX1509&gt;=115%,115%,AX1509) + IF(AY1509&gt;=115%,115%,AY1509) + (IF(AZ1509&gt;=115%,115%,AZ1509) + IF(BA1509&gt;=115%,115%,BA1509) + IF(BB1509&gt;=115%,115%,BB1509) + IF(BC1509&gt;=115%,115%,BC1509) + IF(BD1509&gt;=115%,115%,BD1509) + IF(BE1509&gt;=115%,115%,BE1509) + IF(BF1509&gt;=115%,115%,BF1509) + IF(BG1509&gt;=115%,115%,BG1509) + IF(BH1509&gt;=115%,115%,BH1509)))/_xlfn.XLOOKUP(F1509,Apuração!A:A,Apuração!B:B)&gt;=1.15,1.15,((IF(AZ1509&gt;=115%,115%,AZ1509) + IF(AX1509&gt;=115%,115%,AX1509) + IF(AY1509&gt;=115%,115%,AY1509) + (IF(AW1509&gt;=115%,115%,AW1509) + IF(BA1509&gt;=115%,115%,BA1509) + IF(BB1509&gt;=115%,115%,BB1509) + IF(BC1509&gt;=115%,115%,BC1509) + IF(BD1509&gt;=115%,115%,BD1509) + IF(BE1509&gt;=115%,115%,BE1509) + IF(BF1509&gt;=115%,115%,BF1509) + IF(BG1509&gt;=115%,115%,BG1509) + IF(BH1509&gt;=115%,115%,BH1509)))/_xlfn.XLOOKUP(F1509,Apuração!A:A,Apuração!B:B)))</f>
        <v>0.34583333333333338</v>
      </c>
      <c r="BL1509" s="58" cm="1">
        <f t="array" aca="1" ref="BL1509" ca="1">IF(SUM(IFERROR(IF(INDEX(AW1509:INDEX(AW1509:BH1509, MATCH(2, 1/(AW1509:BH1509&lt;&gt;""), 1)-1), ROW(INDIRECT("1:" &amp; MATCH(2, 1/(AW1509:BH1509&lt;&gt;""), 1)-1))) &gt;= 115%, 115%, INDEX(AW1509:INDEX(AW1509:BH1509, MATCH(2, 1/(AW1509:BH1509&lt;&gt;""), 1)-1), ROW(INDIRECT("1:" &amp; MATCH(2, 1/(AW1509:BH1509&lt;&gt;""), 1)-1)))), 0))/_xlfn.XLOOKUP(F1509,Apuração!A:A,Apuração!B:B)&gt;=1.15,1.15,SUM(IFERROR(IF(INDEX(AW1509:INDEX(AW1509:BH1509, MATCH(2, 1/(AW1509:BH1509&lt;&gt;""), 1)-1), ROW(INDIRECT("1:" &amp; MATCH(2, 1/(AW1509:BH1509&lt;&gt;""), 1)-1))) &gt;= 115%, 115%, INDEX(AW1509:INDEX(AW1509:BH1509, MATCH(2, 1/(AW1509:BH1509&lt;&gt;""), 1)-1), ROW(INDIRECT("1:" &amp; MATCH(2, 1/(AW1509:BH1509&lt;&gt;""), 1)-1)))), 0))/_xlfn.XLOOKUP(F1509,Apuração!A:A,Apuração!B:B))</f>
        <v>0.25</v>
      </c>
      <c r="BM1509" s="55" cm="1">
        <f t="array" ref="BM1509">IFERROR(
   INDEX($AW$1:$BH$1,
      _xlfn.AGGREGATE(14, 6, COLUMN($AW$1:$BH$1)/(AW1509:BH1509&lt;&gt;""), 2) - COLUMN($AW$1) + 1
   ),
"")</f>
        <v>46082</v>
      </c>
      <c r="BN1509" s="55" cm="1">
        <f t="array" ref="BN1509">IFERROR(INDEX($AW$1:$BH$1,1,MATCH(2,1/(AW1509:BH1509&lt;&gt;""))),"")</f>
        <v>46113</v>
      </c>
      <c r="BO1509" s="53">
        <f ca="1">IFERROR(_xlfn.XLOOKUP(F1509,Apuração!A:A,Apuração!C:C)/_xlfn.XLOOKUP(F1509,Apuração!A:A,Apuração!B:B),0)</f>
        <v>0.41666666666666669</v>
      </c>
      <c r="BP1509" s="53">
        <f ca="1">IFERROR(_xlfn.XLOOKUP(F1509,Apuração!A:A,Apuração!D:D)/_xlfn.XLOOKUP(F1509,Apuração!A:A,Apuração!B:B),0)</f>
        <v>0.33333333333333331</v>
      </c>
      <c r="BQ1509" s="53">
        <f ca="1">IF(BK1509&gt;=BO1509,0,_xlfn.XLOOKUP(F1509,Apuração!A:A,Apuração!B:B)*(BO1509 + (1/_xlfn.XLOOKUP(F1509,Apuração!A:A,Apuração!B:B)) - BK1509))</f>
        <v>1.8499999999999994</v>
      </c>
      <c r="BR1509" s="85">
        <f ca="1">IF(BQ1509=0,0,BQ1509*Z1509)</f>
        <v>9.2499999999999964</v>
      </c>
      <c r="BS1509" s="53">
        <f ca="1">IFERROR((_xlfn.XLOOKUP(F1509,Apuração!A:A,Apuração!C:C)+1)/_xlfn.XLOOKUP(F1509,Apuração!A:A,Apuração!B:B),0)</f>
        <v>0.5</v>
      </c>
    </row>
    <row r="1510" spans="1:71" ht="25.95" hidden="1" customHeight="1" x14ac:dyDescent="0.3">
      <c r="A1510" s="3" t="s">
        <v>33</v>
      </c>
      <c r="B1510" s="4" t="s">
        <v>53</v>
      </c>
      <c r="C1510" s="5" t="s">
        <v>214</v>
      </c>
      <c r="D1510" s="5" t="s">
        <v>210</v>
      </c>
      <c r="E1510" s="4" t="str" cm="1">
        <f t="array" ref="E1510">_xlfn.IFS(
F1510 = "A partir de Abril", "Aguardando Execução na Distribuidora",
A1510 = "CAPACITAÇÃO", "Em execução no Corporativo",
TRUE, "Em Execução na Distribuidora"
)</f>
        <v>Em Execução na Distribuidora</v>
      </c>
      <c r="F1510" s="4" t="str" cm="1">
        <f t="array" ref="F1510">_xlfn.IFS(
AG1510 &lt;&gt; "", "Jan-Dez/26",
AH1510 &lt;&gt; "", "Fev-Dez/26",
AI1510 &lt;&gt; "", "Mar-Dez/26", AJ1510 &lt;&gt; "", "Abr-Dez/26",
TRUE, "A partir de Junho"
)</f>
        <v>Jan-Dez/26</v>
      </c>
      <c r="G1510" s="4" t="s">
        <v>37</v>
      </c>
      <c r="H1510" s="7" t="s">
        <v>110</v>
      </c>
      <c r="I1510" s="8" t="s">
        <v>55</v>
      </c>
      <c r="J1510" s="8" t="str" cm="1">
        <f t="array" aca="1" ref="J1510" ca="1">_xlfn.LET(
  _xlpm.actual_value_month, INDEX(T1510:AE1510, MATCH(DATE(YEAR(TODAY()), MONTH(TODAY()), 1), $T$1:$AE$1, 0)),
  IF(_xlpm.actual_value_month &lt;&gt; "",_xlpm.actual_value_month &amp; " eventos mensais", "")
)</f>
        <v>1 eventos mensais</v>
      </c>
      <c r="K1510" s="14" t="str" cm="1">
        <f t="array" ref="K1510">_xlfn.LET(
    _xlpm.sum_month, SUM(T1510:AE1510),
    IF(_xlpm.sum_month = 0, "", _xlpm.sum_month &amp; "  eventos no ano")
)</f>
        <v>18  eventos no ano</v>
      </c>
      <c r="L1510" s="9" t="s">
        <v>56</v>
      </c>
      <c r="M1510" s="13" t="s">
        <v>57</v>
      </c>
      <c r="N1510" s="5" t="s">
        <v>42</v>
      </c>
      <c r="O1510" s="5" t="s">
        <v>43</v>
      </c>
      <c r="P1510" s="10" t="s">
        <v>58</v>
      </c>
      <c r="Q1510" s="10" t="s">
        <v>44</v>
      </c>
      <c r="R1510" s="11" t="s">
        <v>45</v>
      </c>
      <c r="S1510" s="11" t="s">
        <v>46</v>
      </c>
      <c r="T1510" s="143">
        <v>1</v>
      </c>
      <c r="U1510" s="143">
        <v>2</v>
      </c>
      <c r="V1510" s="143">
        <v>6</v>
      </c>
      <c r="W1510" s="143">
        <v>1</v>
      </c>
      <c r="X1510" s="143">
        <v>1</v>
      </c>
      <c r="Y1510" s="143">
        <v>1</v>
      </c>
      <c r="Z1510" s="143">
        <v>1</v>
      </c>
      <c r="AA1510" s="143">
        <v>1</v>
      </c>
      <c r="AB1510" s="143">
        <v>1</v>
      </c>
      <c r="AC1510" s="143">
        <v>1</v>
      </c>
      <c r="AD1510" s="143">
        <v>1</v>
      </c>
      <c r="AE1510" s="143">
        <v>1</v>
      </c>
      <c r="AG1510" s="145">
        <v>1</v>
      </c>
      <c r="AH1510" s="149">
        <v>2</v>
      </c>
      <c r="AI1510" s="149">
        <v>6</v>
      </c>
      <c r="AJ1510" s="145">
        <v>1</v>
      </c>
      <c r="AK1510" s="71"/>
      <c r="AL1510" s="71"/>
      <c r="AM1510" s="71"/>
      <c r="AN1510" s="71"/>
      <c r="AO1510" s="71"/>
      <c r="AP1510" s="71"/>
      <c r="AQ1510" s="71"/>
      <c r="AR1510" s="71"/>
      <c r="AS1510" s="94">
        <f t="shared" ref="AS1510:AS1514" ca="1" si="1741">IF(MONTH(TODAY())=3,SUM(T1510:U1510),IF(MONTH(TODAY())=4,SUM(T1510:V1510),IF(MONTH(TODAY())=5,SUM(T1510:W1510),IF(MONTH(TODAY())=6,SUM(T1510:X1510),IF(MONTH(TODAY())=7,SUM(T1510:Y1510),IF(MONTH(TODAY())=8,SUM(T1510:Z1510),IF(MONTH(TODAY())=9,SUM(T1510:AA1510),IF(MONTH(TODAY())=10,SUM(T1510:AB1510),IF(MONTH(TODAY())=11,SUM(T1510:AC1510),IF(MONTH(TODAY())=12,SUM(T1510:AD1510),IF(MONTH(TODAY())=1,SUM(T1510:AE1510),T1510)))))))))))</f>
        <v>11</v>
      </c>
      <c r="AT1510" s="95">
        <f t="shared" ref="AT1510:AT1514" si="1742">SUM(IF(AW1510&lt;1.15,AG1510,1.15*T1510),IF(AX1510&lt;1.15,AH1510,1.15*U1510),IF(AY1510&lt;1.15,AI1510,1.15*V1510),IF(AZ1510&lt;1.15,AJ1510,1.15*W1510),IF(BA1510&lt;1.15,AK1510,1.15*X1510),IF(BB1510&lt;1.15,AL1510,1.15*Y1510),IF(BC1510&lt;1.15,AM1510,1.15*Z1510),IF(BD1510&lt;1.15,AN1510,1.15*AA1510),IF(BE1510&lt;1.15,AO1510,1.15*AB1510),IF(BF1510&lt;1.15,AP1510,1.15*AC1510),IF(BG1510&lt;1.15,AQ1510,1.15*AD1510),IF(BH1510&lt;1.15,AR1510,1.15*AE1510))</f>
        <v>10</v>
      </c>
      <c r="AU1510" s="97">
        <f t="shared" ref="AU1510:AU1514" si="1743">SUM(AG1510:AR1510)</f>
        <v>10</v>
      </c>
      <c r="AW1510" s="51">
        <f t="shared" ref="AW1510:AW1514" si="1744">IFERROR(IF(AG1510="",0,AG1510/T1510),0)</f>
        <v>1</v>
      </c>
      <c r="AX1510" s="51">
        <f t="shared" ref="AX1510:AX1514" si="1745">IFERROR(IF(AH1510="",0,AH1510/U1510),0)</f>
        <v>1</v>
      </c>
      <c r="AY1510" s="51">
        <f t="shared" ref="AY1510:AY1514" si="1746">IFERROR(IF(AI1510="",0,AI1510/V1510),0)</f>
        <v>1</v>
      </c>
      <c r="AZ1510" s="51">
        <f t="shared" ref="AZ1510:AZ1514" si="1747">IFERROR(IF(AJ1510="",0,AJ1510/W1510),0)</f>
        <v>1</v>
      </c>
      <c r="BA1510" s="51"/>
      <c r="BB1510" s="51"/>
      <c r="BC1510" s="51"/>
      <c r="BD1510" s="51"/>
      <c r="BE1510" s="51"/>
      <c r="BF1510" s="51"/>
      <c r="BG1510" s="51"/>
      <c r="BH1510" s="51"/>
      <c r="BI1510" s="65" cm="1">
        <f t="array" ref="BI1510">IFERROR(INDEX(AW1510:BH1510,1,MATCH(2,1/(AW1510:BH1510&lt;&gt;""))),"")</f>
        <v>1</v>
      </c>
      <c r="BJ1510" s="68" cm="1">
        <f t="array" ref="BJ1510">IF(BM1510 = "", "",IFERROR(INDEX(AW1510:BH1510,1,MATCH(2,1/(AW1510:BH1510&lt;&gt;""),1)-1),""))</f>
        <v>1</v>
      </c>
      <c r="BK1510" s="58">
        <f>IF((IF(AW1510&gt;=115%,115%,AW1510) + IF(AX1510&gt;=115%,115%,AX1510) + IF(AY1510&gt;=115%,115%,AY1510) + (IF(AZ1510&gt;=115%,115%,AZ1510) + IF(BA1510&gt;=115%,115%,BA1510) + IF(BB1510&gt;=115%,115%,BB1510) + IF(BC1510&gt;=115%,115%,BC1510) + IF(BD1510&gt;=115%,115%,BD1510) + IF(BE1510&gt;=115%,115%,BE1510) + IF(BF1510&gt;=115%,115%,BF1510) + IF(BG1510&gt;=115%,115%,BG1510) + IF(BH1510&gt;=115%,115%,BH1510)))/_xlfn.XLOOKUP(F1510,Apuração!A:A,Apuração!B:B)&gt;=1.15,1.15,((IF(AZ1510&gt;=115%,115%,AZ1510) + IF(AX1510&gt;=115%,115%,AX1510) + IF(AY1510&gt;=115%,115%,AY1510) + (IF(AW1510&gt;=115%,115%,AW1510) + IF(BA1510&gt;=115%,115%,BA1510) + IF(BB1510&gt;=115%,115%,BB1510) + IF(BC1510&gt;=115%,115%,BC1510) + IF(BD1510&gt;=115%,115%,BD1510) + IF(BE1510&gt;=115%,115%,BE1510) + IF(BF1510&gt;=115%,115%,BF1510) + IF(BG1510&gt;=115%,115%,BG1510) + IF(BH1510&gt;=115%,115%,BH1510)))/_xlfn.XLOOKUP(F1510,Apuração!A:A,Apuração!B:B)))</f>
        <v>0.33333333333333331</v>
      </c>
      <c r="BL1510" s="58" cm="1">
        <f t="array" aca="1" ref="BL1510" ca="1">IF(SUM(IFERROR(IF(INDEX(AW1510:INDEX(AW1510:BH1510, MATCH(2, 1/(AW1510:BH1510&lt;&gt;""), 1)-1), ROW(INDIRECT("1:" &amp; MATCH(2, 1/(AW1510:BH1510&lt;&gt;""), 1)-1))) &gt;= 115%, 115%, INDEX(AW1510:INDEX(AW1510:BH1510, MATCH(2, 1/(AW1510:BH1510&lt;&gt;""), 1)-1), ROW(INDIRECT("1:" &amp; MATCH(2, 1/(AW1510:BH1510&lt;&gt;""), 1)-1)))), 0))/_xlfn.XLOOKUP(F1510,Apuração!A:A,Apuração!B:B)&gt;=1.15,1.15,SUM(IFERROR(IF(INDEX(AW1510:INDEX(AW1510:BH1510, MATCH(2, 1/(AW1510:BH1510&lt;&gt;""), 1)-1), ROW(INDIRECT("1:" &amp; MATCH(2, 1/(AW1510:BH1510&lt;&gt;""), 1)-1))) &gt;= 115%, 115%, INDEX(AW1510:INDEX(AW1510:BH1510, MATCH(2, 1/(AW1510:BH1510&lt;&gt;""), 1)-1), ROW(INDIRECT("1:" &amp; MATCH(2, 1/(AW1510:BH1510&lt;&gt;""), 1)-1)))), 0))/_xlfn.XLOOKUP(F1510,Apuração!A:A,Apuração!B:B))</f>
        <v>0.25</v>
      </c>
      <c r="BM1510" s="55" cm="1">
        <f t="array" ref="BM1510">IFERROR(
   INDEX($AW$1:$BH$1,
      _xlfn.AGGREGATE(14, 6, COLUMN($AW$1:$BH$1)/(AW1510:BH1510&lt;&gt;""), 2) - COLUMN($AW$1) + 1
   ),
"")</f>
        <v>46082</v>
      </c>
      <c r="BN1510" s="55" cm="1">
        <f t="array" ref="BN1510">IFERROR(INDEX($AW$1:$BH$1,1,MATCH(2,1/(AW1510:BH1510&lt;&gt;""))),"")</f>
        <v>46113</v>
      </c>
      <c r="BO1510" s="53">
        <f ca="1">IFERROR(_xlfn.XLOOKUP(F1510,Apuração!A:A,Apuração!C:C)/_xlfn.XLOOKUP(F1510,Apuração!A:A,Apuração!B:B),0)</f>
        <v>0.41666666666666669</v>
      </c>
      <c r="BP1510" s="53">
        <f ca="1">IFERROR(_xlfn.XLOOKUP(F1510,Apuração!A:A,Apuração!D:D)/_xlfn.XLOOKUP(F1510,Apuração!A:A,Apuração!B:B),0)</f>
        <v>0.33333333333333331</v>
      </c>
      <c r="BQ1510" s="53">
        <f ca="1">IF(BK1510&gt;=BO1510,0,_xlfn.XLOOKUP(F1510,Apuração!A:A,Apuração!B:B)*(BO1510 + (1/_xlfn.XLOOKUP(F1510,Apuração!A:A,Apuração!B:B)) - BK1510))</f>
        <v>2</v>
      </c>
      <c r="BR1510" s="85">
        <f t="shared" ref="BR1510:BR1514" ca="1" si="1748">IF(BQ1510=0,0,BQ1510*Z1510)</f>
        <v>2</v>
      </c>
      <c r="BS1510" s="53">
        <f ca="1">IFERROR((_xlfn.XLOOKUP(F1510,Apuração!A:A,Apuração!C:C)+1)/_xlfn.XLOOKUP(F1510,Apuração!A:A,Apuração!B:B),0)</f>
        <v>0.5</v>
      </c>
    </row>
    <row r="1511" spans="1:71" ht="25.95" hidden="1" customHeight="1" x14ac:dyDescent="0.3">
      <c r="A1511" s="3" t="s">
        <v>33</v>
      </c>
      <c r="B1511" s="4" t="s">
        <v>53</v>
      </c>
      <c r="C1511" s="5" t="s">
        <v>214</v>
      </c>
      <c r="D1511" s="5" t="s">
        <v>215</v>
      </c>
      <c r="E1511" s="4" t="str" cm="1">
        <f t="array" ref="E1511">_xlfn.IFS(
F1511 = "A partir de Abril", "Aguardando Execução na Distribuidora",
A1511 = "CAPACITAÇÃO", "Em execução no Corporativo",
TRUE, "Em Execução na Distribuidora"
)</f>
        <v>Em Execução na Distribuidora</v>
      </c>
      <c r="F1511" s="4" t="str" cm="1">
        <f t="array" ref="F1511">_xlfn.IFS(
AG1511 &lt;&gt; "", "Jan-Dez/26",
AH1511 &lt;&gt; "", "Fev-Dez/26",
AI1511 &lt;&gt; "", "Mar-Dez/26", AJ1511 &lt;&gt; "", "Abr-Dez/26",
TRUE, "A partir de Junho"
)</f>
        <v>Jan-Dez/26</v>
      </c>
      <c r="G1511" s="4" t="s">
        <v>37</v>
      </c>
      <c r="H1511" s="7" t="s">
        <v>110</v>
      </c>
      <c r="I1511" s="8" t="s">
        <v>55</v>
      </c>
      <c r="J1511" s="8" t="str" cm="1">
        <f t="array" aca="1" ref="J1511" ca="1">_xlfn.LET(
  _xlpm.actual_value_month, INDEX(T1511:AE1511, MATCH(DATE(YEAR(TODAY()), MONTH(TODAY()), 1), $T$1:$AE$1, 0)),
  IF(_xlpm.actual_value_month &lt;&gt; "",_xlpm.actual_value_month &amp; " eventos mensais", "")
)</f>
        <v>1 eventos mensais</v>
      </c>
      <c r="K1511" s="14" t="str" cm="1">
        <f t="array" ref="K1511">_xlfn.LET(
    _xlpm.sum_month, SUM(T1511:AE1511),
    IF(_xlpm.sum_month = 0, "", _xlpm.sum_month &amp; "  eventos no ano")
)</f>
        <v>18  eventos no ano</v>
      </c>
      <c r="L1511" s="9" t="s">
        <v>56</v>
      </c>
      <c r="M1511" s="13" t="s">
        <v>57</v>
      </c>
      <c r="N1511" s="5" t="s">
        <v>42</v>
      </c>
      <c r="O1511" s="5" t="s">
        <v>43</v>
      </c>
      <c r="P1511" s="10" t="s">
        <v>58</v>
      </c>
      <c r="Q1511" s="10" t="s">
        <v>44</v>
      </c>
      <c r="R1511" s="11" t="s">
        <v>45</v>
      </c>
      <c r="S1511" s="11" t="s">
        <v>46</v>
      </c>
      <c r="T1511" s="143">
        <v>1</v>
      </c>
      <c r="U1511" s="143">
        <v>2</v>
      </c>
      <c r="V1511" s="143">
        <v>6</v>
      </c>
      <c r="W1511" s="143">
        <v>1</v>
      </c>
      <c r="X1511" s="143">
        <v>1</v>
      </c>
      <c r="Y1511" s="143">
        <v>1</v>
      </c>
      <c r="Z1511" s="143">
        <v>1</v>
      </c>
      <c r="AA1511" s="143">
        <v>1</v>
      </c>
      <c r="AB1511" s="143">
        <v>1</v>
      </c>
      <c r="AC1511" s="143">
        <v>1</v>
      </c>
      <c r="AD1511" s="143">
        <v>1</v>
      </c>
      <c r="AE1511" s="143">
        <v>1</v>
      </c>
      <c r="AG1511" s="146">
        <v>1</v>
      </c>
      <c r="AH1511" s="150">
        <v>2</v>
      </c>
      <c r="AI1511" s="150">
        <v>6</v>
      </c>
      <c r="AJ1511" s="146">
        <v>4</v>
      </c>
      <c r="AK1511" s="71"/>
      <c r="AL1511" s="71"/>
      <c r="AM1511" s="71"/>
      <c r="AN1511" s="71"/>
      <c r="AO1511" s="71"/>
      <c r="AP1511" s="71"/>
      <c r="AQ1511" s="71"/>
      <c r="AR1511" s="71"/>
      <c r="AS1511" s="94">
        <f t="shared" ca="1" si="1741"/>
        <v>11</v>
      </c>
      <c r="AT1511" s="95">
        <f t="shared" si="1742"/>
        <v>10.15</v>
      </c>
      <c r="AU1511" s="97">
        <f t="shared" si="1743"/>
        <v>13</v>
      </c>
      <c r="AW1511" s="51">
        <f t="shared" si="1744"/>
        <v>1</v>
      </c>
      <c r="AX1511" s="51">
        <f t="shared" si="1745"/>
        <v>1</v>
      </c>
      <c r="AY1511" s="51">
        <f t="shared" si="1746"/>
        <v>1</v>
      </c>
      <c r="AZ1511" s="51">
        <f t="shared" si="1747"/>
        <v>4</v>
      </c>
      <c r="BA1511" s="51"/>
      <c r="BB1511" s="51"/>
      <c r="BC1511" s="51"/>
      <c r="BD1511" s="51"/>
      <c r="BE1511" s="51"/>
      <c r="BF1511" s="51"/>
      <c r="BG1511" s="51"/>
      <c r="BH1511" s="51"/>
      <c r="BI1511" s="65" cm="1">
        <f t="array" ref="BI1511">IFERROR(INDEX(AW1511:BH1511,1,MATCH(2,1/(AW1511:BH1511&lt;&gt;""))),"")</f>
        <v>4</v>
      </c>
      <c r="BJ1511" s="68" cm="1">
        <f t="array" ref="BJ1511">IF(BM1511 = "", "",IFERROR(INDEX(AW1511:BH1511,1,MATCH(2,1/(AW1511:BH1511&lt;&gt;""),1)-1),""))</f>
        <v>1</v>
      </c>
      <c r="BK1511" s="58">
        <f>IF((IF(AW1511&gt;=115%,115%,AW1511) + IF(AX1511&gt;=115%,115%,AX1511) + IF(AY1511&gt;=115%,115%,AY1511) + (IF(AZ1511&gt;=115%,115%,AZ1511) + IF(BA1511&gt;=115%,115%,BA1511) + IF(BB1511&gt;=115%,115%,BB1511) + IF(BC1511&gt;=115%,115%,BC1511) + IF(BD1511&gt;=115%,115%,BD1511) + IF(BE1511&gt;=115%,115%,BE1511) + IF(BF1511&gt;=115%,115%,BF1511) + IF(BG1511&gt;=115%,115%,BG1511) + IF(BH1511&gt;=115%,115%,BH1511)))/_xlfn.XLOOKUP(F1511,Apuração!A:A,Apuração!B:B)&gt;=1.15,1.15,((IF(AZ1511&gt;=115%,115%,AZ1511) + IF(AX1511&gt;=115%,115%,AX1511) + IF(AY1511&gt;=115%,115%,AY1511) + (IF(AW1511&gt;=115%,115%,AW1511) + IF(BA1511&gt;=115%,115%,BA1511) + IF(BB1511&gt;=115%,115%,BB1511) + IF(BC1511&gt;=115%,115%,BC1511) + IF(BD1511&gt;=115%,115%,BD1511) + IF(BE1511&gt;=115%,115%,BE1511) + IF(BF1511&gt;=115%,115%,BF1511) + IF(BG1511&gt;=115%,115%,BG1511) + IF(BH1511&gt;=115%,115%,BH1511)))/_xlfn.XLOOKUP(F1511,Apuração!A:A,Apuração!B:B)))</f>
        <v>0.34583333333333338</v>
      </c>
      <c r="BL1511" s="58" cm="1">
        <f t="array" aca="1" ref="BL1511" ca="1">IF(SUM(IFERROR(IF(INDEX(AW1511:INDEX(AW1511:BH1511, MATCH(2, 1/(AW1511:BH1511&lt;&gt;""), 1)-1), ROW(INDIRECT("1:" &amp; MATCH(2, 1/(AW1511:BH1511&lt;&gt;""), 1)-1))) &gt;= 115%, 115%, INDEX(AW1511:INDEX(AW1511:BH1511, MATCH(2, 1/(AW1511:BH1511&lt;&gt;""), 1)-1), ROW(INDIRECT("1:" &amp; MATCH(2, 1/(AW1511:BH1511&lt;&gt;""), 1)-1)))), 0))/_xlfn.XLOOKUP(F1511,Apuração!A:A,Apuração!B:B)&gt;=1.15,1.15,SUM(IFERROR(IF(INDEX(AW1511:INDEX(AW1511:BH1511, MATCH(2, 1/(AW1511:BH1511&lt;&gt;""), 1)-1), ROW(INDIRECT("1:" &amp; MATCH(2, 1/(AW1511:BH1511&lt;&gt;""), 1)-1))) &gt;= 115%, 115%, INDEX(AW1511:INDEX(AW1511:BH1511, MATCH(2, 1/(AW1511:BH1511&lt;&gt;""), 1)-1), ROW(INDIRECT("1:" &amp; MATCH(2, 1/(AW1511:BH1511&lt;&gt;""), 1)-1)))), 0))/_xlfn.XLOOKUP(F1511,Apuração!A:A,Apuração!B:B))</f>
        <v>0.25</v>
      </c>
      <c r="BM1511" s="55" cm="1">
        <f t="array" ref="BM1511">IFERROR(
   INDEX($AW$1:$BH$1,
      _xlfn.AGGREGATE(14, 6, COLUMN($AW$1:$BH$1)/(AW1511:BH1511&lt;&gt;""), 2) - COLUMN($AW$1) + 1
   ),
"")</f>
        <v>46082</v>
      </c>
      <c r="BN1511" s="55" cm="1">
        <f t="array" ref="BN1511">IFERROR(INDEX($AW$1:$BH$1,1,MATCH(2,1/(AW1511:BH1511&lt;&gt;""))),"")</f>
        <v>46113</v>
      </c>
      <c r="BO1511" s="53">
        <f ca="1">IFERROR(_xlfn.XLOOKUP(F1511,Apuração!A:A,Apuração!C:C)/_xlfn.XLOOKUP(F1511,Apuração!A:A,Apuração!B:B),0)</f>
        <v>0.41666666666666669</v>
      </c>
      <c r="BP1511" s="53">
        <f ca="1">IFERROR(_xlfn.XLOOKUP(F1511,Apuração!A:A,Apuração!D:D)/_xlfn.XLOOKUP(F1511,Apuração!A:A,Apuração!B:B),0)</f>
        <v>0.33333333333333331</v>
      </c>
      <c r="BQ1511" s="53">
        <f ca="1">IF(BK1511&gt;=BO1511,0,_xlfn.XLOOKUP(F1511,Apuração!A:A,Apuração!B:B)*(BO1511 + (1/_xlfn.XLOOKUP(F1511,Apuração!A:A,Apuração!B:B)) - BK1511))</f>
        <v>1.8499999999999994</v>
      </c>
      <c r="BR1511" s="85">
        <f t="shared" ca="1" si="1748"/>
        <v>1.8499999999999994</v>
      </c>
      <c r="BS1511" s="53">
        <f ca="1">IFERROR((_xlfn.XLOOKUP(F1511,Apuração!A:A,Apuração!C:C)+1)/_xlfn.XLOOKUP(F1511,Apuração!A:A,Apuração!B:B),0)</f>
        <v>0.5</v>
      </c>
    </row>
    <row r="1512" spans="1:71" ht="25.95" hidden="1" customHeight="1" x14ac:dyDescent="0.3">
      <c r="A1512" s="3" t="s">
        <v>33</v>
      </c>
      <c r="B1512" s="4" t="s">
        <v>53</v>
      </c>
      <c r="C1512" s="5" t="s">
        <v>214</v>
      </c>
      <c r="D1512" s="5" t="s">
        <v>212</v>
      </c>
      <c r="E1512" s="4" t="str" cm="1">
        <f t="array" ref="E1512">_xlfn.IFS(
F1512 = "A partir de Abril", "Aguardando Execução na Distribuidora",
A1512 = "CAPACITAÇÃO", "Em execução no Corporativo",
TRUE, "Em Execução na Distribuidora"
)</f>
        <v>Em Execução na Distribuidora</v>
      </c>
      <c r="F1512" s="4" t="str" cm="1">
        <f t="array" ref="F1512">_xlfn.IFS(
AG1512 &lt;&gt; "", "Jan-Dez/26",
AH1512 &lt;&gt; "", "Fev-Dez/26",
AI1512 &lt;&gt; "", "Mar-Dez/26", AJ1512 &lt;&gt; "", "Abr-Dez/26",
TRUE, "A partir de Junho"
)</f>
        <v>Jan-Dez/26</v>
      </c>
      <c r="G1512" s="4" t="s">
        <v>37</v>
      </c>
      <c r="H1512" s="7" t="s">
        <v>110</v>
      </c>
      <c r="I1512" s="8" t="s">
        <v>55</v>
      </c>
      <c r="J1512" s="8" t="str" cm="1">
        <f t="array" aca="1" ref="J1512" ca="1">_xlfn.LET(
  _xlpm.actual_value_month, INDEX(T1512:AE1512, MATCH(DATE(YEAR(TODAY()), MONTH(TODAY()), 1), $T$1:$AE$1, 0)),
  IF(_xlpm.actual_value_month &lt;&gt; "",_xlpm.actual_value_month &amp; " eventos mensais", "")
)</f>
        <v>1 eventos mensais</v>
      </c>
      <c r="K1512" s="14" t="str" cm="1">
        <f t="array" ref="K1512">_xlfn.LET(
    _xlpm.sum_month, SUM(T1512:AE1512),
    IF(_xlpm.sum_month = 0, "", _xlpm.sum_month &amp; "  eventos no ano")
)</f>
        <v>18  eventos no ano</v>
      </c>
      <c r="L1512" s="9" t="s">
        <v>56</v>
      </c>
      <c r="M1512" s="13" t="s">
        <v>57</v>
      </c>
      <c r="N1512" s="5" t="s">
        <v>42</v>
      </c>
      <c r="O1512" s="5" t="s">
        <v>43</v>
      </c>
      <c r="P1512" s="10" t="s">
        <v>58</v>
      </c>
      <c r="Q1512" s="10" t="s">
        <v>44</v>
      </c>
      <c r="R1512" s="11" t="s">
        <v>45</v>
      </c>
      <c r="S1512" s="11" t="s">
        <v>46</v>
      </c>
      <c r="T1512" s="143">
        <v>1</v>
      </c>
      <c r="U1512" s="143">
        <v>2</v>
      </c>
      <c r="V1512" s="143">
        <v>6</v>
      </c>
      <c r="W1512" s="143">
        <v>1</v>
      </c>
      <c r="X1512" s="143">
        <v>1</v>
      </c>
      <c r="Y1512" s="143">
        <v>1</v>
      </c>
      <c r="Z1512" s="143">
        <v>1</v>
      </c>
      <c r="AA1512" s="143">
        <v>1</v>
      </c>
      <c r="AB1512" s="143">
        <v>1</v>
      </c>
      <c r="AC1512" s="143">
        <v>1</v>
      </c>
      <c r="AD1512" s="143">
        <v>1</v>
      </c>
      <c r="AE1512" s="143">
        <v>1</v>
      </c>
      <c r="AG1512" s="146">
        <v>1</v>
      </c>
      <c r="AH1512" s="150">
        <v>2</v>
      </c>
      <c r="AI1512" s="150">
        <v>6</v>
      </c>
      <c r="AJ1512" s="146">
        <v>18</v>
      </c>
      <c r="AK1512" s="71"/>
      <c r="AL1512" s="71"/>
      <c r="AM1512" s="71"/>
      <c r="AN1512" s="71"/>
      <c r="AO1512" s="71"/>
      <c r="AP1512" s="71"/>
      <c r="AQ1512" s="71"/>
      <c r="AR1512" s="71"/>
      <c r="AS1512" s="94">
        <f t="shared" ca="1" si="1741"/>
        <v>11</v>
      </c>
      <c r="AT1512" s="95">
        <f t="shared" si="1742"/>
        <v>10.15</v>
      </c>
      <c r="AU1512" s="97">
        <f t="shared" si="1743"/>
        <v>27</v>
      </c>
      <c r="AW1512" s="51">
        <f t="shared" si="1744"/>
        <v>1</v>
      </c>
      <c r="AX1512" s="51">
        <f t="shared" si="1745"/>
        <v>1</v>
      </c>
      <c r="AY1512" s="51">
        <f t="shared" si="1746"/>
        <v>1</v>
      </c>
      <c r="AZ1512" s="51">
        <f t="shared" si="1747"/>
        <v>18</v>
      </c>
      <c r="BA1512" s="51"/>
      <c r="BB1512" s="51"/>
      <c r="BC1512" s="51"/>
      <c r="BD1512" s="51"/>
      <c r="BE1512" s="51"/>
      <c r="BF1512" s="51"/>
      <c r="BG1512" s="51"/>
      <c r="BH1512" s="51"/>
      <c r="BI1512" s="65" cm="1">
        <f t="array" ref="BI1512">IFERROR(INDEX(AW1512:BH1512,1,MATCH(2,1/(AW1512:BH1512&lt;&gt;""))),"")</f>
        <v>18</v>
      </c>
      <c r="BJ1512" s="68" cm="1">
        <f t="array" ref="BJ1512">IF(BM1512 = "", "",IFERROR(INDEX(AW1512:BH1512,1,MATCH(2,1/(AW1512:BH1512&lt;&gt;""),1)-1),""))</f>
        <v>1</v>
      </c>
      <c r="BK1512" s="58">
        <f>IF((IF(AW1512&gt;=115%,115%,AW1512) + IF(AX1512&gt;=115%,115%,AX1512) + IF(AY1512&gt;=115%,115%,AY1512) + (IF(AZ1512&gt;=115%,115%,AZ1512) + IF(BA1512&gt;=115%,115%,BA1512) + IF(BB1512&gt;=115%,115%,BB1512) + IF(BC1512&gt;=115%,115%,BC1512) + IF(BD1512&gt;=115%,115%,BD1512) + IF(BE1512&gt;=115%,115%,BE1512) + IF(BF1512&gt;=115%,115%,BF1512) + IF(BG1512&gt;=115%,115%,BG1512) + IF(BH1512&gt;=115%,115%,BH1512)))/_xlfn.XLOOKUP(F1512,Apuração!A:A,Apuração!B:B)&gt;=1.15,1.15,((IF(AZ1512&gt;=115%,115%,AZ1512) + IF(AX1512&gt;=115%,115%,AX1512) + IF(AY1512&gt;=115%,115%,AY1512) + (IF(AW1512&gt;=115%,115%,AW1512) + IF(BA1512&gt;=115%,115%,BA1512) + IF(BB1512&gt;=115%,115%,BB1512) + IF(BC1512&gt;=115%,115%,BC1512) + IF(BD1512&gt;=115%,115%,BD1512) + IF(BE1512&gt;=115%,115%,BE1512) + IF(BF1512&gt;=115%,115%,BF1512) + IF(BG1512&gt;=115%,115%,BG1512) + IF(BH1512&gt;=115%,115%,BH1512)))/_xlfn.XLOOKUP(F1512,Apuração!A:A,Apuração!B:B)))</f>
        <v>0.34583333333333338</v>
      </c>
      <c r="BL1512" s="58" cm="1">
        <f t="array" aca="1" ref="BL1512" ca="1">IF(SUM(IFERROR(IF(INDEX(AW1512:INDEX(AW1512:BH1512, MATCH(2, 1/(AW1512:BH1512&lt;&gt;""), 1)-1), ROW(INDIRECT("1:" &amp; MATCH(2, 1/(AW1512:BH1512&lt;&gt;""), 1)-1))) &gt;= 115%, 115%, INDEX(AW1512:INDEX(AW1512:BH1512, MATCH(2, 1/(AW1512:BH1512&lt;&gt;""), 1)-1), ROW(INDIRECT("1:" &amp; MATCH(2, 1/(AW1512:BH1512&lt;&gt;""), 1)-1)))), 0))/_xlfn.XLOOKUP(F1512,Apuração!A:A,Apuração!B:B)&gt;=1.15,1.15,SUM(IFERROR(IF(INDEX(AW1512:INDEX(AW1512:BH1512, MATCH(2, 1/(AW1512:BH1512&lt;&gt;""), 1)-1), ROW(INDIRECT("1:" &amp; MATCH(2, 1/(AW1512:BH1512&lt;&gt;""), 1)-1))) &gt;= 115%, 115%, INDEX(AW1512:INDEX(AW1512:BH1512, MATCH(2, 1/(AW1512:BH1512&lt;&gt;""), 1)-1), ROW(INDIRECT("1:" &amp; MATCH(2, 1/(AW1512:BH1512&lt;&gt;""), 1)-1)))), 0))/_xlfn.XLOOKUP(F1512,Apuração!A:A,Apuração!B:B))</f>
        <v>0.25</v>
      </c>
      <c r="BM1512" s="55" cm="1">
        <f t="array" ref="BM1512">IFERROR(
   INDEX($AW$1:$BH$1,
      _xlfn.AGGREGATE(14, 6, COLUMN($AW$1:$BH$1)/(AW1512:BH1512&lt;&gt;""), 2) - COLUMN($AW$1) + 1
   ),
"")</f>
        <v>46082</v>
      </c>
      <c r="BN1512" s="55" cm="1">
        <f t="array" ref="BN1512">IFERROR(INDEX($AW$1:$BH$1,1,MATCH(2,1/(AW1512:BH1512&lt;&gt;""))),"")</f>
        <v>46113</v>
      </c>
      <c r="BO1512" s="53">
        <f ca="1">IFERROR(_xlfn.XLOOKUP(F1512,Apuração!A:A,Apuração!C:C)/_xlfn.XLOOKUP(F1512,Apuração!A:A,Apuração!B:B),0)</f>
        <v>0.41666666666666669</v>
      </c>
      <c r="BP1512" s="53">
        <f ca="1">IFERROR(_xlfn.XLOOKUP(F1512,Apuração!A:A,Apuração!D:D)/_xlfn.XLOOKUP(F1512,Apuração!A:A,Apuração!B:B),0)</f>
        <v>0.33333333333333331</v>
      </c>
      <c r="BQ1512" s="53">
        <f ca="1">IF(BK1512&gt;=BO1512,0,_xlfn.XLOOKUP(F1512,Apuração!A:A,Apuração!B:B)*(BO1512 + (1/_xlfn.XLOOKUP(F1512,Apuração!A:A,Apuração!B:B)) - BK1512))</f>
        <v>1.8499999999999994</v>
      </c>
      <c r="BR1512" s="85">
        <f t="shared" ca="1" si="1748"/>
        <v>1.8499999999999994</v>
      </c>
      <c r="BS1512" s="53">
        <f ca="1">IFERROR((_xlfn.XLOOKUP(F1512,Apuração!A:A,Apuração!C:C)+1)/_xlfn.XLOOKUP(F1512,Apuração!A:A,Apuração!B:B),0)</f>
        <v>0.5</v>
      </c>
    </row>
    <row r="1513" spans="1:71" ht="25.95" hidden="1" customHeight="1" x14ac:dyDescent="0.3">
      <c r="A1513" s="3" t="s">
        <v>33</v>
      </c>
      <c r="B1513" s="4" t="s">
        <v>53</v>
      </c>
      <c r="C1513" s="5" t="s">
        <v>214</v>
      </c>
      <c r="D1513" s="5" t="s">
        <v>48</v>
      </c>
      <c r="E1513" s="4" t="str" cm="1">
        <f t="array" ref="E1513">_xlfn.IFS(
F1513 = "A partir de Abril", "Aguardando Execução na Distribuidora",
A1513 = "CAPACITAÇÃO", "Em execução no Corporativo",
TRUE, "Em Execução na Distribuidora"
)</f>
        <v>Em Execução na Distribuidora</v>
      </c>
      <c r="F1513" s="4" t="str" cm="1">
        <f t="array" ref="F1513">_xlfn.IFS(
AG1513 &lt;&gt; "", "Jan-Dez/26",
AH1513 &lt;&gt; "", "Fev-Dez/26",
AI1513 &lt;&gt; "", "Mar-Dez/26", AJ1513 &lt;&gt; "", "Abr-Dez/26",
TRUE, "A partir de Junho"
)</f>
        <v>Jan-Dez/26</v>
      </c>
      <c r="G1513" s="4" t="s">
        <v>37</v>
      </c>
      <c r="H1513" s="7" t="s">
        <v>110</v>
      </c>
      <c r="I1513" s="8" t="s">
        <v>55</v>
      </c>
      <c r="J1513" s="8" t="str" cm="1">
        <f t="array" aca="1" ref="J1513" ca="1">_xlfn.LET(
  _xlpm.actual_value_month, INDEX(T1513:AE1513, MATCH(DATE(YEAR(TODAY()), MONTH(TODAY()), 1), $T$1:$AE$1, 0)),
  IF(_xlpm.actual_value_month &lt;&gt; "",_xlpm.actual_value_month &amp; " eventos mensais", "")
)</f>
        <v>1 eventos mensais</v>
      </c>
      <c r="K1513" s="14" t="str" cm="1">
        <f t="array" ref="K1513">_xlfn.LET(
    _xlpm.sum_month, SUM(T1513:AE1513),
    IF(_xlpm.sum_month = 0, "", _xlpm.sum_month &amp; "  eventos no ano")
)</f>
        <v>18  eventos no ano</v>
      </c>
      <c r="L1513" s="9" t="s">
        <v>56</v>
      </c>
      <c r="M1513" s="13" t="s">
        <v>57</v>
      </c>
      <c r="N1513" s="5" t="s">
        <v>42</v>
      </c>
      <c r="O1513" s="5" t="s">
        <v>43</v>
      </c>
      <c r="P1513" s="10" t="s">
        <v>58</v>
      </c>
      <c r="Q1513" s="10" t="s">
        <v>44</v>
      </c>
      <c r="R1513" s="11" t="s">
        <v>45</v>
      </c>
      <c r="S1513" s="11" t="s">
        <v>46</v>
      </c>
      <c r="T1513" s="143">
        <v>1</v>
      </c>
      <c r="U1513" s="143">
        <v>2</v>
      </c>
      <c r="V1513" s="143">
        <v>6</v>
      </c>
      <c r="W1513" s="143">
        <v>1</v>
      </c>
      <c r="X1513" s="143">
        <v>1</v>
      </c>
      <c r="Y1513" s="143">
        <v>1</v>
      </c>
      <c r="Z1513" s="143">
        <v>1</v>
      </c>
      <c r="AA1513" s="143">
        <v>1</v>
      </c>
      <c r="AB1513" s="143">
        <v>1</v>
      </c>
      <c r="AC1513" s="143">
        <v>1</v>
      </c>
      <c r="AD1513" s="143">
        <v>1</v>
      </c>
      <c r="AE1513" s="143">
        <v>1</v>
      </c>
      <c r="AG1513" s="146">
        <v>1</v>
      </c>
      <c r="AH1513" s="150">
        <v>2</v>
      </c>
      <c r="AI1513" s="150">
        <v>6</v>
      </c>
      <c r="AJ1513" s="146">
        <v>4</v>
      </c>
      <c r="AK1513" s="71"/>
      <c r="AL1513" s="71"/>
      <c r="AM1513" s="71"/>
      <c r="AN1513" s="71"/>
      <c r="AO1513" s="71"/>
      <c r="AP1513" s="71"/>
      <c r="AQ1513" s="71"/>
      <c r="AR1513" s="71"/>
      <c r="AS1513" s="94">
        <f t="shared" ca="1" si="1741"/>
        <v>11</v>
      </c>
      <c r="AT1513" s="95">
        <f t="shared" si="1742"/>
        <v>10.15</v>
      </c>
      <c r="AU1513" s="97">
        <f t="shared" si="1743"/>
        <v>13</v>
      </c>
      <c r="AW1513" s="51">
        <f t="shared" si="1744"/>
        <v>1</v>
      </c>
      <c r="AX1513" s="51">
        <f t="shared" si="1745"/>
        <v>1</v>
      </c>
      <c r="AY1513" s="51">
        <f t="shared" si="1746"/>
        <v>1</v>
      </c>
      <c r="AZ1513" s="51">
        <f t="shared" si="1747"/>
        <v>4</v>
      </c>
      <c r="BA1513" s="51"/>
      <c r="BB1513" s="51"/>
      <c r="BC1513" s="51"/>
      <c r="BD1513" s="51"/>
      <c r="BE1513" s="51"/>
      <c r="BF1513" s="51"/>
      <c r="BG1513" s="51"/>
      <c r="BH1513" s="51"/>
      <c r="BI1513" s="65" cm="1">
        <f t="array" ref="BI1513">IFERROR(INDEX(AW1513:BH1513,1,MATCH(2,1/(AW1513:BH1513&lt;&gt;""))),"")</f>
        <v>4</v>
      </c>
      <c r="BJ1513" s="68" cm="1">
        <f t="array" ref="BJ1513">IF(BM1513 = "", "",IFERROR(INDEX(AW1513:BH1513,1,MATCH(2,1/(AW1513:BH1513&lt;&gt;""),1)-1),""))</f>
        <v>1</v>
      </c>
      <c r="BK1513" s="58">
        <f>IF((IF(AW1513&gt;=115%,115%,AW1513) + IF(AX1513&gt;=115%,115%,AX1513) + IF(AY1513&gt;=115%,115%,AY1513) + (IF(AZ1513&gt;=115%,115%,AZ1513) + IF(BA1513&gt;=115%,115%,BA1513) + IF(BB1513&gt;=115%,115%,BB1513) + IF(BC1513&gt;=115%,115%,BC1513) + IF(BD1513&gt;=115%,115%,BD1513) + IF(BE1513&gt;=115%,115%,BE1513) + IF(BF1513&gt;=115%,115%,BF1513) + IF(BG1513&gt;=115%,115%,BG1513) + IF(BH1513&gt;=115%,115%,BH1513)))/_xlfn.XLOOKUP(F1513,Apuração!A:A,Apuração!B:B)&gt;=1.15,1.15,((IF(AZ1513&gt;=115%,115%,AZ1513) + IF(AX1513&gt;=115%,115%,AX1513) + IF(AY1513&gt;=115%,115%,AY1513) + (IF(AW1513&gt;=115%,115%,AW1513) + IF(BA1513&gt;=115%,115%,BA1513) + IF(BB1513&gt;=115%,115%,BB1513) + IF(BC1513&gt;=115%,115%,BC1513) + IF(BD1513&gt;=115%,115%,BD1513) + IF(BE1513&gt;=115%,115%,BE1513) + IF(BF1513&gt;=115%,115%,BF1513) + IF(BG1513&gt;=115%,115%,BG1513) + IF(BH1513&gt;=115%,115%,BH1513)))/_xlfn.XLOOKUP(F1513,Apuração!A:A,Apuração!B:B)))</f>
        <v>0.34583333333333338</v>
      </c>
      <c r="BL1513" s="58" cm="1">
        <f t="array" aca="1" ref="BL1513" ca="1">IF(SUM(IFERROR(IF(INDEX(AW1513:INDEX(AW1513:BH1513, MATCH(2, 1/(AW1513:BH1513&lt;&gt;""), 1)-1), ROW(INDIRECT("1:" &amp; MATCH(2, 1/(AW1513:BH1513&lt;&gt;""), 1)-1))) &gt;= 115%, 115%, INDEX(AW1513:INDEX(AW1513:BH1513, MATCH(2, 1/(AW1513:BH1513&lt;&gt;""), 1)-1), ROW(INDIRECT("1:" &amp; MATCH(2, 1/(AW1513:BH1513&lt;&gt;""), 1)-1)))), 0))/_xlfn.XLOOKUP(F1513,Apuração!A:A,Apuração!B:B)&gt;=1.15,1.15,SUM(IFERROR(IF(INDEX(AW1513:INDEX(AW1513:BH1513, MATCH(2, 1/(AW1513:BH1513&lt;&gt;""), 1)-1), ROW(INDIRECT("1:" &amp; MATCH(2, 1/(AW1513:BH1513&lt;&gt;""), 1)-1))) &gt;= 115%, 115%, INDEX(AW1513:INDEX(AW1513:BH1513, MATCH(2, 1/(AW1513:BH1513&lt;&gt;""), 1)-1), ROW(INDIRECT("1:" &amp; MATCH(2, 1/(AW1513:BH1513&lt;&gt;""), 1)-1)))), 0))/_xlfn.XLOOKUP(F1513,Apuração!A:A,Apuração!B:B))</f>
        <v>0.25</v>
      </c>
      <c r="BM1513" s="55" cm="1">
        <f t="array" ref="BM1513">IFERROR(
   INDEX($AW$1:$BH$1,
      _xlfn.AGGREGATE(14, 6, COLUMN($AW$1:$BH$1)/(AW1513:BH1513&lt;&gt;""), 2) - COLUMN($AW$1) + 1
   ),
"")</f>
        <v>46082</v>
      </c>
      <c r="BN1513" s="55" cm="1">
        <f t="array" ref="BN1513">IFERROR(INDEX($AW$1:$BH$1,1,MATCH(2,1/(AW1513:BH1513&lt;&gt;""))),"")</f>
        <v>46113</v>
      </c>
      <c r="BO1513" s="53">
        <f ca="1">IFERROR(_xlfn.XLOOKUP(F1513,Apuração!A:A,Apuração!C:C)/_xlfn.XLOOKUP(F1513,Apuração!A:A,Apuração!B:B),0)</f>
        <v>0.41666666666666669</v>
      </c>
      <c r="BP1513" s="53">
        <f ca="1">IFERROR(_xlfn.XLOOKUP(F1513,Apuração!A:A,Apuração!D:D)/_xlfn.XLOOKUP(F1513,Apuração!A:A,Apuração!B:B),0)</f>
        <v>0.33333333333333331</v>
      </c>
      <c r="BQ1513" s="53">
        <f ca="1">IF(BK1513&gt;=BO1513,0,_xlfn.XLOOKUP(F1513,Apuração!A:A,Apuração!B:B)*(BO1513 + (1/_xlfn.XLOOKUP(F1513,Apuração!A:A,Apuração!B:B)) - BK1513))</f>
        <v>1.8499999999999994</v>
      </c>
      <c r="BR1513" s="85">
        <f t="shared" ca="1" si="1748"/>
        <v>1.8499999999999994</v>
      </c>
      <c r="BS1513" s="53">
        <f ca="1">IFERROR((_xlfn.XLOOKUP(F1513,Apuração!A:A,Apuração!C:C)+1)/_xlfn.XLOOKUP(F1513,Apuração!A:A,Apuração!B:B),0)</f>
        <v>0.5</v>
      </c>
    </row>
    <row r="1514" spans="1:71" ht="25.95" hidden="1" customHeight="1" x14ac:dyDescent="0.3">
      <c r="A1514" s="3" t="s">
        <v>33</v>
      </c>
      <c r="B1514" s="4" t="s">
        <v>53</v>
      </c>
      <c r="C1514" s="5" t="s">
        <v>214</v>
      </c>
      <c r="D1514" s="5" t="s">
        <v>213</v>
      </c>
      <c r="E1514" s="4" t="str" cm="1">
        <f t="array" ref="E1514">_xlfn.IFS(
F1514 = "A partir de Abril", "Aguardando Execução na Distribuidora",
A1514 = "CAPACITAÇÃO", "Em execução no Corporativo",
TRUE, "Em Execução na Distribuidora"
)</f>
        <v>Em Execução na Distribuidora</v>
      </c>
      <c r="F1514" s="4" t="str" cm="1">
        <f t="array" ref="F1514">_xlfn.IFS(
AG1514 &lt;&gt; "", "Jan-Dez/26",
AH1514 &lt;&gt; "", "Fev-Dez/26",
AI1514 &lt;&gt; "", "Mar-Dez/26", AJ1514 &lt;&gt; "", "Abr-Dez/26",
TRUE, "A partir de Junho"
)</f>
        <v>Jan-Dez/26</v>
      </c>
      <c r="G1514" s="4" t="s">
        <v>37</v>
      </c>
      <c r="H1514" s="7" t="s">
        <v>110</v>
      </c>
      <c r="I1514" s="8" t="s">
        <v>55</v>
      </c>
      <c r="J1514" s="8" t="str" cm="1">
        <f t="array" aca="1" ref="J1514" ca="1">_xlfn.LET(
  _xlpm.actual_value_month, INDEX(T1514:AE1514, MATCH(DATE(YEAR(TODAY()), MONTH(TODAY()), 1), $T$1:$AE$1, 0)),
  IF(_xlpm.actual_value_month &lt;&gt; "",_xlpm.actual_value_month &amp; " eventos mensais", "")
)</f>
        <v>1 eventos mensais</v>
      </c>
      <c r="K1514" s="14" t="str" cm="1">
        <f t="array" ref="K1514">_xlfn.LET(
    _xlpm.sum_month, SUM(T1514:AE1514),
    IF(_xlpm.sum_month = 0, "", _xlpm.sum_month &amp; "  eventos no ano")
)</f>
        <v>18  eventos no ano</v>
      </c>
      <c r="L1514" s="9" t="s">
        <v>56</v>
      </c>
      <c r="M1514" s="13" t="s">
        <v>57</v>
      </c>
      <c r="N1514" s="5" t="s">
        <v>42</v>
      </c>
      <c r="O1514" s="5" t="s">
        <v>43</v>
      </c>
      <c r="P1514" s="10" t="s">
        <v>58</v>
      </c>
      <c r="Q1514" s="10" t="s">
        <v>44</v>
      </c>
      <c r="R1514" s="11" t="s">
        <v>45</v>
      </c>
      <c r="S1514" s="11" t="s">
        <v>46</v>
      </c>
      <c r="T1514" s="143">
        <v>1</v>
      </c>
      <c r="U1514" s="143">
        <v>2</v>
      </c>
      <c r="V1514" s="143">
        <v>6</v>
      </c>
      <c r="W1514" s="143">
        <v>1</v>
      </c>
      <c r="X1514" s="143">
        <v>1</v>
      </c>
      <c r="Y1514" s="143">
        <v>1</v>
      </c>
      <c r="Z1514" s="143">
        <v>1</v>
      </c>
      <c r="AA1514" s="143">
        <v>1</v>
      </c>
      <c r="AB1514" s="143">
        <v>1</v>
      </c>
      <c r="AC1514" s="143">
        <v>1</v>
      </c>
      <c r="AD1514" s="143">
        <v>1</v>
      </c>
      <c r="AE1514" s="143">
        <v>1</v>
      </c>
      <c r="AG1514" s="146">
        <v>1</v>
      </c>
      <c r="AH1514" s="150">
        <v>2</v>
      </c>
      <c r="AI1514" s="150">
        <v>6</v>
      </c>
      <c r="AJ1514" s="146">
        <v>0</v>
      </c>
      <c r="AK1514" s="71"/>
      <c r="AL1514" s="71"/>
      <c r="AM1514" s="71"/>
      <c r="AN1514" s="71"/>
      <c r="AO1514" s="71"/>
      <c r="AP1514" s="71"/>
      <c r="AQ1514" s="71"/>
      <c r="AR1514" s="71"/>
      <c r="AS1514" s="94">
        <f t="shared" ca="1" si="1741"/>
        <v>11</v>
      </c>
      <c r="AT1514" s="95">
        <f t="shared" si="1742"/>
        <v>9</v>
      </c>
      <c r="AU1514" s="97">
        <f t="shared" si="1743"/>
        <v>9</v>
      </c>
      <c r="AW1514" s="51">
        <f t="shared" si="1744"/>
        <v>1</v>
      </c>
      <c r="AX1514" s="51">
        <f t="shared" si="1745"/>
        <v>1</v>
      </c>
      <c r="AY1514" s="51">
        <f t="shared" si="1746"/>
        <v>1</v>
      </c>
      <c r="AZ1514" s="51">
        <f t="shared" si="1747"/>
        <v>0</v>
      </c>
      <c r="BA1514" s="51"/>
      <c r="BB1514" s="51"/>
      <c r="BC1514" s="51"/>
      <c r="BD1514" s="51"/>
      <c r="BE1514" s="51"/>
      <c r="BF1514" s="51"/>
      <c r="BG1514" s="51"/>
      <c r="BH1514" s="51"/>
      <c r="BI1514" s="65" cm="1">
        <f t="array" ref="BI1514">IFERROR(INDEX(AW1514:BH1514,1,MATCH(2,1/(AW1514:BH1514&lt;&gt;""))),"")</f>
        <v>0</v>
      </c>
      <c r="BJ1514" s="68" cm="1">
        <f t="array" ref="BJ1514">IF(BM1514 = "", "",IFERROR(INDEX(AW1514:BH1514,1,MATCH(2,1/(AW1514:BH1514&lt;&gt;""),1)-1),""))</f>
        <v>1</v>
      </c>
      <c r="BK1514" s="58">
        <f>IF((IF(AW1514&gt;=115%,115%,AW1514) + IF(AX1514&gt;=115%,115%,AX1514) + IF(AY1514&gt;=115%,115%,AY1514) + (IF(AZ1514&gt;=115%,115%,AZ1514) + IF(BA1514&gt;=115%,115%,BA1514) + IF(BB1514&gt;=115%,115%,BB1514) + IF(BC1514&gt;=115%,115%,BC1514) + IF(BD1514&gt;=115%,115%,BD1514) + IF(BE1514&gt;=115%,115%,BE1514) + IF(BF1514&gt;=115%,115%,BF1514) + IF(BG1514&gt;=115%,115%,BG1514) + IF(BH1514&gt;=115%,115%,BH1514)))/_xlfn.XLOOKUP(F1514,Apuração!A:A,Apuração!B:B)&gt;=1.15,1.15,((IF(AZ1514&gt;=115%,115%,AZ1514) + IF(AX1514&gt;=115%,115%,AX1514) + IF(AY1514&gt;=115%,115%,AY1514) + (IF(AW1514&gt;=115%,115%,AW1514) + IF(BA1514&gt;=115%,115%,BA1514) + IF(BB1514&gt;=115%,115%,BB1514) + IF(BC1514&gt;=115%,115%,BC1514) + IF(BD1514&gt;=115%,115%,BD1514) + IF(BE1514&gt;=115%,115%,BE1514) + IF(BF1514&gt;=115%,115%,BF1514) + IF(BG1514&gt;=115%,115%,BG1514) + IF(BH1514&gt;=115%,115%,BH1514)))/_xlfn.XLOOKUP(F1514,Apuração!A:A,Apuração!B:B)))</f>
        <v>0.25</v>
      </c>
      <c r="BL1514" s="58" cm="1">
        <f t="array" aca="1" ref="BL1514" ca="1">IF(SUM(IFERROR(IF(INDEX(AW1514:INDEX(AW1514:BH1514, MATCH(2, 1/(AW1514:BH1514&lt;&gt;""), 1)-1), ROW(INDIRECT("1:" &amp; MATCH(2, 1/(AW1514:BH1514&lt;&gt;""), 1)-1))) &gt;= 115%, 115%, INDEX(AW1514:INDEX(AW1514:BH1514, MATCH(2, 1/(AW1514:BH1514&lt;&gt;""), 1)-1), ROW(INDIRECT("1:" &amp; MATCH(2, 1/(AW1514:BH1514&lt;&gt;""), 1)-1)))), 0))/_xlfn.XLOOKUP(F1514,Apuração!A:A,Apuração!B:B)&gt;=1.15,1.15,SUM(IFERROR(IF(INDEX(AW1514:INDEX(AW1514:BH1514, MATCH(2, 1/(AW1514:BH1514&lt;&gt;""), 1)-1), ROW(INDIRECT("1:" &amp; MATCH(2, 1/(AW1514:BH1514&lt;&gt;""), 1)-1))) &gt;= 115%, 115%, INDEX(AW1514:INDEX(AW1514:BH1514, MATCH(2, 1/(AW1514:BH1514&lt;&gt;""), 1)-1), ROW(INDIRECT("1:" &amp; MATCH(2, 1/(AW1514:BH1514&lt;&gt;""), 1)-1)))), 0))/_xlfn.XLOOKUP(F1514,Apuração!A:A,Apuração!B:B))</f>
        <v>0.25</v>
      </c>
      <c r="BM1514" s="55" cm="1">
        <f t="array" ref="BM1514">IFERROR(
   INDEX($AW$1:$BH$1,
      _xlfn.AGGREGATE(14, 6, COLUMN($AW$1:$BH$1)/(AW1514:BH1514&lt;&gt;""), 2) - COLUMN($AW$1) + 1
   ),
"")</f>
        <v>46082</v>
      </c>
      <c r="BN1514" s="55" cm="1">
        <f t="array" ref="BN1514">IFERROR(INDEX($AW$1:$BH$1,1,MATCH(2,1/(AW1514:BH1514&lt;&gt;""))),"")</f>
        <v>46113</v>
      </c>
      <c r="BO1514" s="53">
        <f ca="1">IFERROR(_xlfn.XLOOKUP(F1514,Apuração!A:A,Apuração!C:C)/_xlfn.XLOOKUP(F1514,Apuração!A:A,Apuração!B:B),0)</f>
        <v>0.41666666666666669</v>
      </c>
      <c r="BP1514" s="53">
        <f ca="1">IFERROR(_xlfn.XLOOKUP(F1514,Apuração!A:A,Apuração!D:D)/_xlfn.XLOOKUP(F1514,Apuração!A:A,Apuração!B:B),0)</f>
        <v>0.33333333333333331</v>
      </c>
      <c r="BQ1514" s="53">
        <f ca="1">IF(BK1514&gt;=BO1514,0,_xlfn.XLOOKUP(F1514,Apuração!A:A,Apuração!B:B)*(BO1514 + (1/_xlfn.XLOOKUP(F1514,Apuração!A:A,Apuração!B:B)) - BK1514))</f>
        <v>3</v>
      </c>
      <c r="BR1514" s="85">
        <f t="shared" ca="1" si="1748"/>
        <v>3</v>
      </c>
      <c r="BS1514" s="53">
        <f ca="1">IFERROR((_xlfn.XLOOKUP(F1514,Apuração!A:A,Apuração!C:C)+1)/_xlfn.XLOOKUP(F1514,Apuração!A:A,Apuração!B:B),0)</f>
        <v>0.5</v>
      </c>
    </row>
    <row r="1515" spans="1:71" ht="25.95" hidden="1" customHeight="1" x14ac:dyDescent="0.3">
      <c r="A1515" s="39" t="s">
        <v>33</v>
      </c>
      <c r="B1515" s="4" t="s">
        <v>53</v>
      </c>
      <c r="C1515" s="5" t="s">
        <v>214</v>
      </c>
      <c r="D1515" s="5" t="s">
        <v>36</v>
      </c>
      <c r="E1515" s="4" t="str" cm="1">
        <f t="array" ref="E1515">_xlfn.IFS(
F1515 = "A partir de Abril", "Aguardando Execução na Distribuidora",
A1515 = "CAPACITAÇÃO", "Em execução no Corporativo",
TRUE, "Em Execução na Distribuidora"
)</f>
        <v>Em Execução na Distribuidora</v>
      </c>
      <c r="F1515" s="4" t="str" cm="1">
        <f t="array" ref="F1515">_xlfn.IFS(
AG1515 &lt;&gt; "", "Jan-Dez/26",
AH1515 &lt;&gt; "", "Fev-Dez/26",
AI1515 &lt;&gt; "", "Mar-Dez/26", AJ1515 &lt;&gt; "", "Abr-Dez/26",
TRUE, "A partir de Junho"
)</f>
        <v>Jan-Dez/26</v>
      </c>
      <c r="G1515" s="4" t="s">
        <v>37</v>
      </c>
      <c r="H1515" s="7" t="s">
        <v>110</v>
      </c>
      <c r="I1515" s="8" t="s">
        <v>59</v>
      </c>
      <c r="J1515" s="8" t="str" cm="1">
        <f t="array" aca="1" ref="J1515" ca="1">_xlfn.LET(
  _xlpm.actual_value_month, INDEX(T1515:AE1515, MATCH(DATE(YEAR(TODAY()), MONTH(TODAY()), 1), $T$1:$AE$1, 0)),
  IF(_xlpm.actual_value_month &lt;&gt; "",_xlpm.actual_value_month &amp; " ações mensais", "")
)</f>
        <v/>
      </c>
      <c r="K1515" s="12" t="str" cm="1">
        <f t="array" ref="K1515">_xlfn.LET(
    _xlpm.sum_month, SUM(T1515:AE1515),
    IF(_xlpm.sum_month = 0, "", _xlpm.sum_month &amp; " pessoas impactadas no ano")
)</f>
        <v/>
      </c>
      <c r="L1515" s="9" t="s">
        <v>59</v>
      </c>
      <c r="M1515" s="13">
        <v>1</v>
      </c>
      <c r="N1515" s="5" t="s">
        <v>51</v>
      </c>
      <c r="O1515" s="5" t="s">
        <v>52</v>
      </c>
      <c r="P1515" s="10" t="s">
        <v>44</v>
      </c>
      <c r="Q1515" s="10" t="s">
        <v>44</v>
      </c>
      <c r="R1515" s="11" t="s">
        <v>44</v>
      </c>
      <c r="S1515" s="11" t="s">
        <v>44</v>
      </c>
      <c r="T1515" s="22"/>
      <c r="U1515" s="22"/>
      <c r="V1515" s="22"/>
      <c r="W1515" s="22"/>
      <c r="X1515" s="22"/>
      <c r="Y1515" s="22"/>
      <c r="Z1515" s="22"/>
      <c r="AA1515" s="22"/>
      <c r="AB1515" s="22"/>
      <c r="AC1515" s="22"/>
      <c r="AD1515" s="22"/>
      <c r="AE1515" s="22"/>
      <c r="AG1515" s="71">
        <v>50</v>
      </c>
      <c r="AH1515" s="71">
        <v>124</v>
      </c>
      <c r="AI1515" s="71">
        <v>100</v>
      </c>
      <c r="AJ1515" s="71">
        <v>135</v>
      </c>
      <c r="AK1515" s="71"/>
      <c r="AL1515" s="71"/>
      <c r="AM1515" s="71"/>
      <c r="AN1515" s="71"/>
      <c r="AO1515" s="71"/>
      <c r="AP1515" s="71"/>
      <c r="AQ1515" s="71"/>
      <c r="AR1515" s="71"/>
      <c r="AS1515" s="94">
        <f ca="1">IF(MONTH(TODAY())=3,SUM(T1515:U1515),IF(MONTH(TODAY())=4,SUM(T1515:V1515),IF(MONTH(TODAY())=5,SUM(T1515:W1515),IF(MONTH(TODAY())=6,SUM(T1515:X1515),IF(MONTH(TODAY())=7,SUM(T1515:Y1515),IF(MONTH(TODAY())=8,SUM(T1515:Z1515),IF(MONTH(TODAY())=9,SUM(T1515:AA1515),IF(MONTH(TODAY())=10,SUM(T1515:AB1515),IF(MONTH(TODAY())=11,SUM(T1515:AC1515),IF(MONTH(TODAY())=12,SUM(T1515:AD1515),IF(MONTH(TODAY())=1,SUM(T1515:AE1515),T1515)))))))))))</f>
        <v>0</v>
      </c>
      <c r="AT1515" s="95">
        <f>SUM(AG1515:AR1515)</f>
        <v>409</v>
      </c>
      <c r="AU1515" s="97">
        <f>SUM(AG1515:AR1515)</f>
        <v>409</v>
      </c>
      <c r="AW1515" s="83">
        <f>AG1515</f>
        <v>50</v>
      </c>
      <c r="AX1515" s="83">
        <f>AH1515</f>
        <v>124</v>
      </c>
      <c r="AY1515" s="83">
        <f>AI1515</f>
        <v>100</v>
      </c>
      <c r="AZ1515" s="83">
        <f>AJ1515</f>
        <v>135</v>
      </c>
      <c r="BA1515" s="52"/>
      <c r="BB1515" s="52"/>
      <c r="BC1515" s="52"/>
      <c r="BD1515" s="52"/>
      <c r="BE1515" s="52"/>
      <c r="BF1515" s="52"/>
      <c r="BG1515" s="52"/>
      <c r="BH1515" s="52"/>
      <c r="BI1515" s="68" cm="1">
        <f t="array" ref="BI1515">IFERROR(INDEX(AW1515:BH1515,1,MATCH(2,1/(AW1515:BH1515&lt;&gt;""))),"")</f>
        <v>135</v>
      </c>
      <c r="BJ1515" s="68" cm="1">
        <f t="array" ref="BJ1515">IF(BM1515 = "", "",IFERROR(INDEX(AW1515:BH1515,1,MATCH(2,1/(AW1515:BH1515&lt;&gt;""),1)-1),""))</f>
        <v>100</v>
      </c>
      <c r="BK1515" s="59">
        <f>SUM(AW1515:BH1515)</f>
        <v>409</v>
      </c>
      <c r="BL1515" s="59" cm="1">
        <f t="array" ref="BL1515">IFERROR(SUM(AW1515:INDEX(AW1515:BH1515, MATCH(2, 1/(AW1515:BH1515&lt;&gt;""), 1) - 1))/_xlfn.XLOOKUP(F1515,Apuração!A:A,Apuração!B:B),0)</f>
        <v>22.833333333333332</v>
      </c>
      <c r="BM1515" s="55" cm="1">
        <f t="array" ref="BM1515">IFERROR(
   INDEX($AW$1:$BH$1,
      _xlfn.AGGREGATE(14, 6, COLUMN($AW$1:$BH$1)/(AW1515:BH1515&lt;&gt;""), 2) - COLUMN($AW$1) + 1
   ),
"")</f>
        <v>46082</v>
      </c>
      <c r="BN1515" s="55" cm="1">
        <f t="array" ref="BN1515">IFERROR(INDEX($AW$1:$BH$1,1,MATCH(2,1/(AW1515:BH1515&lt;&gt;""))),"")</f>
        <v>46113</v>
      </c>
      <c r="BO1515" s="53">
        <f ca="1">IFERROR(_xlfn.XLOOKUP(F1515,Apuração!A:A,Apuração!C:C)/_xlfn.XLOOKUP(F1515,Apuração!A:A,Apuração!B:B),0)</f>
        <v>0.41666666666666669</v>
      </c>
      <c r="BP1515" s="53">
        <f ca="1">IFERROR(_xlfn.XLOOKUP(F1515,Apuração!A:A,Apuração!D:D)/_xlfn.XLOOKUP(F1515,Apuração!A:A,Apuração!B:B),0)</f>
        <v>0.33333333333333331</v>
      </c>
      <c r="BQ1515" s="53">
        <f ca="1">IF(BK1515&gt;=BO1515,0,_xlfn.XLOOKUP(F1515,Apuração!A:A,Apuração!B:B)*(BO1515 + (1/_xlfn.XLOOKUP(F1515,Apuração!A:A,Apuração!B:B)) - BK1515))</f>
        <v>0</v>
      </c>
      <c r="BR1515" s="85">
        <f ca="1">IF(BQ1515=0,0,BQ1515*Z1515)</f>
        <v>0</v>
      </c>
      <c r="BS1515" s="53">
        <f ca="1">IFERROR((_xlfn.XLOOKUP(F1515,Apuração!A:A,Apuração!C:C)+1)/_xlfn.XLOOKUP(F1515,Apuração!A:A,Apuração!B:B),0)</f>
        <v>0.5</v>
      </c>
    </row>
    <row r="1516" spans="1:71" ht="25.95" hidden="1" customHeight="1" x14ac:dyDescent="0.3">
      <c r="A1516" s="39" t="s">
        <v>33</v>
      </c>
      <c r="B1516" s="4" t="s">
        <v>53</v>
      </c>
      <c r="C1516" s="5" t="s">
        <v>214</v>
      </c>
      <c r="D1516" s="5" t="s">
        <v>210</v>
      </c>
      <c r="E1516" s="4" t="str" cm="1">
        <f t="array" ref="E1516">_xlfn.IFS(
F1516 = "A partir de Abril", "Aguardando Execução na Distribuidora",
A1516 = "CAPACITAÇÃO", "Em execução no Corporativo",
TRUE, "Em Execução na Distribuidora"
)</f>
        <v>Em Execução na Distribuidora</v>
      </c>
      <c r="F1516" s="4" t="str" cm="1">
        <f t="array" ref="F1516">_xlfn.IFS(
AG1516 &lt;&gt; "", "Jan-Dez/26",
AH1516 &lt;&gt; "", "Fev-Dez/26",
AI1516 &lt;&gt; "", "Mar-Dez/26", AJ1516 &lt;&gt; "", "Abr-Dez/26",
TRUE, "A partir de Junho"
)</f>
        <v>Jan-Dez/26</v>
      </c>
      <c r="G1516" s="4" t="s">
        <v>37</v>
      </c>
      <c r="H1516" s="7" t="s">
        <v>110</v>
      </c>
      <c r="I1516" s="8" t="s">
        <v>59</v>
      </c>
      <c r="J1516" s="8" t="str" cm="1">
        <f t="array" aca="1" ref="J1516" ca="1">_xlfn.LET(
  _xlpm.actual_value_month, INDEX(T1516:AE1516, MATCH(DATE(YEAR(TODAY()), MONTH(TODAY()), 1), $T$1:$AE$1, 0)),
  IF(_xlpm.actual_value_month &lt;&gt; "",_xlpm.actual_value_month &amp; " ações mensais", "")
)</f>
        <v/>
      </c>
      <c r="K1516" s="12" t="str" cm="1">
        <f t="array" ref="K1516">_xlfn.LET(
    _xlpm.sum_month, SUM(T1516:AE1516),
    IF(_xlpm.sum_month = 0, "", _xlpm.sum_month &amp; " pessoas impactadas no ano")
)</f>
        <v/>
      </c>
      <c r="L1516" s="9" t="s">
        <v>59</v>
      </c>
      <c r="M1516" s="13">
        <v>1</v>
      </c>
      <c r="N1516" s="5" t="s">
        <v>51</v>
      </c>
      <c r="O1516" s="5" t="s">
        <v>52</v>
      </c>
      <c r="P1516" s="10" t="s">
        <v>44</v>
      </c>
      <c r="Q1516" s="10" t="s">
        <v>44</v>
      </c>
      <c r="R1516" s="11" t="s">
        <v>44</v>
      </c>
      <c r="S1516" s="11" t="s">
        <v>44</v>
      </c>
      <c r="T1516" s="22"/>
      <c r="U1516" s="22"/>
      <c r="V1516" s="22"/>
      <c r="W1516" s="22"/>
      <c r="X1516" s="22"/>
      <c r="Y1516" s="22"/>
      <c r="Z1516" s="22"/>
      <c r="AA1516" s="22"/>
      <c r="AB1516" s="22"/>
      <c r="AC1516" s="22"/>
      <c r="AD1516" s="22"/>
      <c r="AE1516" s="22"/>
      <c r="AG1516" s="145">
        <v>10</v>
      </c>
      <c r="AH1516" s="149">
        <v>4</v>
      </c>
      <c r="AI1516" s="149">
        <v>20</v>
      </c>
      <c r="AJ1516" s="145">
        <v>14</v>
      </c>
      <c r="AK1516" s="71"/>
      <c r="AL1516" s="71"/>
      <c r="AM1516" s="71"/>
      <c r="AN1516" s="71"/>
      <c r="AO1516" s="71"/>
      <c r="AP1516" s="71"/>
      <c r="AQ1516" s="71"/>
      <c r="AR1516" s="71"/>
      <c r="AS1516" s="94">
        <f t="shared" ref="AS1516:AS1520" ca="1" si="1749">IF(MONTH(TODAY())=3,SUM(T1516:U1516),IF(MONTH(TODAY())=4,SUM(T1516:V1516),IF(MONTH(TODAY())=5,SUM(T1516:W1516),IF(MONTH(TODAY())=6,SUM(T1516:X1516),IF(MONTH(TODAY())=7,SUM(T1516:Y1516),IF(MONTH(TODAY())=8,SUM(T1516:Z1516),IF(MONTH(TODAY())=9,SUM(T1516:AA1516),IF(MONTH(TODAY())=10,SUM(T1516:AB1516),IF(MONTH(TODAY())=11,SUM(T1516:AC1516),IF(MONTH(TODAY())=12,SUM(T1516:AD1516),IF(MONTH(TODAY())=1,SUM(T1516:AE1516),T1516)))))))))))</f>
        <v>0</v>
      </c>
      <c r="AT1516" s="95">
        <f t="shared" ref="AT1516:AT1520" si="1750">SUM(AG1516:AR1516)</f>
        <v>48</v>
      </c>
      <c r="AU1516" s="97">
        <f t="shared" ref="AU1516:AU1520" si="1751">SUM(AG1516:AR1516)</f>
        <v>48</v>
      </c>
      <c r="AW1516" s="83">
        <f t="shared" ref="AW1516:AW1520" si="1752">AG1516</f>
        <v>10</v>
      </c>
      <c r="AX1516" s="83">
        <f t="shared" ref="AX1516:AX1520" si="1753">AH1516</f>
        <v>4</v>
      </c>
      <c r="AY1516" s="83">
        <f t="shared" ref="AY1516:AY1520" si="1754">AI1516</f>
        <v>20</v>
      </c>
      <c r="AZ1516" s="83">
        <f t="shared" ref="AZ1516:AZ1520" si="1755">AJ1516</f>
        <v>14</v>
      </c>
      <c r="BA1516" s="52"/>
      <c r="BB1516" s="52"/>
      <c r="BC1516" s="52"/>
      <c r="BD1516" s="52"/>
      <c r="BE1516" s="52"/>
      <c r="BF1516" s="52"/>
      <c r="BG1516" s="52"/>
      <c r="BH1516" s="52"/>
      <c r="BI1516" s="68" cm="1">
        <f t="array" ref="BI1516">IFERROR(INDEX(AW1516:BH1516,1,MATCH(2,1/(AW1516:BH1516&lt;&gt;""))),"")</f>
        <v>14</v>
      </c>
      <c r="BJ1516" s="68" cm="1">
        <f t="array" ref="BJ1516">IF(BM1516 = "", "",IFERROR(INDEX(AW1516:BH1516,1,MATCH(2,1/(AW1516:BH1516&lt;&gt;""),1)-1),""))</f>
        <v>20</v>
      </c>
      <c r="BK1516" s="59">
        <f t="shared" ref="BK1516:BK1520" si="1756">SUM(AW1516:BH1516)</f>
        <v>48</v>
      </c>
      <c r="BL1516" s="59" cm="1">
        <f t="array" ref="BL1516">IFERROR(SUM(AW1516:INDEX(AW1516:BH1516, MATCH(2, 1/(AW1516:BH1516&lt;&gt;""), 1) - 1))/_xlfn.XLOOKUP(F1516,Apuração!A:A,Apuração!B:B),0)</f>
        <v>2.8333333333333335</v>
      </c>
      <c r="BM1516" s="55" cm="1">
        <f t="array" ref="BM1516">IFERROR(
   INDEX($AW$1:$BH$1,
      _xlfn.AGGREGATE(14, 6, COLUMN($AW$1:$BH$1)/(AW1516:BH1516&lt;&gt;""), 2) - COLUMN($AW$1) + 1
   ),
"")</f>
        <v>46082</v>
      </c>
      <c r="BN1516" s="55" cm="1">
        <f t="array" ref="BN1516">IFERROR(INDEX($AW$1:$BH$1,1,MATCH(2,1/(AW1516:BH1516&lt;&gt;""))),"")</f>
        <v>46113</v>
      </c>
      <c r="BO1516" s="53">
        <f ca="1">IFERROR(_xlfn.XLOOKUP(F1516,Apuração!A:A,Apuração!C:C)/_xlfn.XLOOKUP(F1516,Apuração!A:A,Apuração!B:B),0)</f>
        <v>0.41666666666666669</v>
      </c>
      <c r="BP1516" s="53">
        <f ca="1">IFERROR(_xlfn.XLOOKUP(F1516,Apuração!A:A,Apuração!D:D)/_xlfn.XLOOKUP(F1516,Apuração!A:A,Apuração!B:B),0)</f>
        <v>0.33333333333333331</v>
      </c>
      <c r="BQ1516" s="53">
        <f ca="1">IF(BK1516&gt;=BO1516,0,_xlfn.XLOOKUP(F1516,Apuração!A:A,Apuração!B:B)*(BO1516 + (1/_xlfn.XLOOKUP(F1516,Apuração!A:A,Apuração!B:B)) - BK1516))</f>
        <v>0</v>
      </c>
      <c r="BR1516" s="85">
        <f t="shared" ref="BR1516:BR1520" ca="1" si="1757">IF(BQ1516=0,0,BQ1516*Z1516)</f>
        <v>0</v>
      </c>
      <c r="BS1516" s="53">
        <f ca="1">IFERROR((_xlfn.XLOOKUP(F1516,Apuração!A:A,Apuração!C:C)+1)/_xlfn.XLOOKUP(F1516,Apuração!A:A,Apuração!B:B),0)</f>
        <v>0.5</v>
      </c>
    </row>
    <row r="1517" spans="1:71" ht="25.95" hidden="1" customHeight="1" x14ac:dyDescent="0.3">
      <c r="A1517" s="39" t="s">
        <v>33</v>
      </c>
      <c r="B1517" s="4" t="s">
        <v>53</v>
      </c>
      <c r="C1517" s="5" t="s">
        <v>214</v>
      </c>
      <c r="D1517" s="5" t="s">
        <v>215</v>
      </c>
      <c r="E1517" s="4" t="str" cm="1">
        <f t="array" ref="E1517">_xlfn.IFS(
F1517 = "A partir de Abril", "Aguardando Execução na Distribuidora",
A1517 = "CAPACITAÇÃO", "Em execução no Corporativo",
TRUE, "Em Execução na Distribuidora"
)</f>
        <v>Em Execução na Distribuidora</v>
      </c>
      <c r="F1517" s="4" t="str" cm="1">
        <f t="array" ref="F1517">_xlfn.IFS(
AG1517 &lt;&gt; "", "Jan-Dez/26",
AH1517 &lt;&gt; "", "Fev-Dez/26",
AI1517 &lt;&gt; "", "Mar-Dez/26", AJ1517 &lt;&gt; "", "Abr-Dez/26",
TRUE, "A partir de Junho"
)</f>
        <v>Jan-Dez/26</v>
      </c>
      <c r="G1517" s="4" t="s">
        <v>37</v>
      </c>
      <c r="H1517" s="7" t="s">
        <v>110</v>
      </c>
      <c r="I1517" s="8" t="s">
        <v>59</v>
      </c>
      <c r="J1517" s="8" t="str" cm="1">
        <f t="array" aca="1" ref="J1517" ca="1">_xlfn.LET(
  _xlpm.actual_value_month, INDEX(T1517:AE1517, MATCH(DATE(YEAR(TODAY()), MONTH(TODAY()), 1), $T$1:$AE$1, 0)),
  IF(_xlpm.actual_value_month &lt;&gt; "",_xlpm.actual_value_month &amp; " ações mensais", "")
)</f>
        <v/>
      </c>
      <c r="K1517" s="12" t="str" cm="1">
        <f t="array" ref="K1517">_xlfn.LET(
    _xlpm.sum_month, SUM(T1517:AE1517),
    IF(_xlpm.sum_month = 0, "", _xlpm.sum_month &amp; " pessoas impactadas no ano")
)</f>
        <v/>
      </c>
      <c r="L1517" s="9" t="s">
        <v>59</v>
      </c>
      <c r="M1517" s="13">
        <v>1</v>
      </c>
      <c r="N1517" s="5" t="s">
        <v>51</v>
      </c>
      <c r="O1517" s="5" t="s">
        <v>52</v>
      </c>
      <c r="P1517" s="10" t="s">
        <v>44</v>
      </c>
      <c r="Q1517" s="10" t="s">
        <v>44</v>
      </c>
      <c r="R1517" s="11" t="s">
        <v>44</v>
      </c>
      <c r="S1517" s="11" t="s">
        <v>44</v>
      </c>
      <c r="T1517" s="22"/>
      <c r="U1517" s="22"/>
      <c r="V1517" s="22"/>
      <c r="W1517" s="22"/>
      <c r="X1517" s="22"/>
      <c r="Y1517" s="22"/>
      <c r="Z1517" s="22"/>
      <c r="AA1517" s="22"/>
      <c r="AB1517" s="22"/>
      <c r="AC1517" s="22"/>
      <c r="AD1517" s="22"/>
      <c r="AE1517" s="22"/>
      <c r="AG1517" s="146">
        <v>10</v>
      </c>
      <c r="AH1517" s="150">
        <v>30</v>
      </c>
      <c r="AI1517" s="150">
        <v>20</v>
      </c>
      <c r="AJ1517" s="146">
        <v>50</v>
      </c>
      <c r="AK1517" s="71"/>
      <c r="AL1517" s="71"/>
      <c r="AM1517" s="71"/>
      <c r="AN1517" s="71"/>
      <c r="AO1517" s="71"/>
      <c r="AP1517" s="71"/>
      <c r="AQ1517" s="71"/>
      <c r="AR1517" s="71"/>
      <c r="AS1517" s="94">
        <f t="shared" ca="1" si="1749"/>
        <v>0</v>
      </c>
      <c r="AT1517" s="95">
        <f t="shared" si="1750"/>
        <v>110</v>
      </c>
      <c r="AU1517" s="97">
        <f t="shared" si="1751"/>
        <v>110</v>
      </c>
      <c r="AW1517" s="83">
        <f t="shared" si="1752"/>
        <v>10</v>
      </c>
      <c r="AX1517" s="83">
        <f t="shared" si="1753"/>
        <v>30</v>
      </c>
      <c r="AY1517" s="83">
        <f t="shared" si="1754"/>
        <v>20</v>
      </c>
      <c r="AZ1517" s="83">
        <f t="shared" si="1755"/>
        <v>50</v>
      </c>
      <c r="BA1517" s="52"/>
      <c r="BB1517" s="52"/>
      <c r="BC1517" s="52"/>
      <c r="BD1517" s="52"/>
      <c r="BE1517" s="52"/>
      <c r="BF1517" s="52"/>
      <c r="BG1517" s="52"/>
      <c r="BH1517" s="52"/>
      <c r="BI1517" s="68" cm="1">
        <f t="array" ref="BI1517">IFERROR(INDEX(AW1517:BH1517,1,MATCH(2,1/(AW1517:BH1517&lt;&gt;""))),"")</f>
        <v>50</v>
      </c>
      <c r="BJ1517" s="68" cm="1">
        <f t="array" ref="BJ1517">IF(BM1517 = "", "",IFERROR(INDEX(AW1517:BH1517,1,MATCH(2,1/(AW1517:BH1517&lt;&gt;""),1)-1),""))</f>
        <v>20</v>
      </c>
      <c r="BK1517" s="59">
        <f t="shared" si="1756"/>
        <v>110</v>
      </c>
      <c r="BL1517" s="59" cm="1">
        <f t="array" ref="BL1517">IFERROR(SUM(AW1517:INDEX(AW1517:BH1517, MATCH(2, 1/(AW1517:BH1517&lt;&gt;""), 1) - 1))/_xlfn.XLOOKUP(F1517,Apuração!A:A,Apuração!B:B),0)</f>
        <v>5</v>
      </c>
      <c r="BM1517" s="55" cm="1">
        <f t="array" ref="BM1517">IFERROR(
   INDEX($AW$1:$BH$1,
      _xlfn.AGGREGATE(14, 6, COLUMN($AW$1:$BH$1)/(AW1517:BH1517&lt;&gt;""), 2) - COLUMN($AW$1) + 1
   ),
"")</f>
        <v>46082</v>
      </c>
      <c r="BN1517" s="55" cm="1">
        <f t="array" ref="BN1517">IFERROR(INDEX($AW$1:$BH$1,1,MATCH(2,1/(AW1517:BH1517&lt;&gt;""))),"")</f>
        <v>46113</v>
      </c>
      <c r="BO1517" s="53">
        <f ca="1">IFERROR(_xlfn.XLOOKUP(F1517,Apuração!A:A,Apuração!C:C)/_xlfn.XLOOKUP(F1517,Apuração!A:A,Apuração!B:B),0)</f>
        <v>0.41666666666666669</v>
      </c>
      <c r="BP1517" s="53">
        <f ca="1">IFERROR(_xlfn.XLOOKUP(F1517,Apuração!A:A,Apuração!D:D)/_xlfn.XLOOKUP(F1517,Apuração!A:A,Apuração!B:B),0)</f>
        <v>0.33333333333333331</v>
      </c>
      <c r="BQ1517" s="53">
        <f ca="1">IF(BK1517&gt;=BO1517,0,_xlfn.XLOOKUP(F1517,Apuração!A:A,Apuração!B:B)*(BO1517 + (1/_xlfn.XLOOKUP(F1517,Apuração!A:A,Apuração!B:B)) - BK1517))</f>
        <v>0</v>
      </c>
      <c r="BR1517" s="85">
        <f t="shared" ca="1" si="1757"/>
        <v>0</v>
      </c>
      <c r="BS1517" s="53">
        <f ca="1">IFERROR((_xlfn.XLOOKUP(F1517,Apuração!A:A,Apuração!C:C)+1)/_xlfn.XLOOKUP(F1517,Apuração!A:A,Apuração!B:B),0)</f>
        <v>0.5</v>
      </c>
    </row>
    <row r="1518" spans="1:71" ht="25.95" hidden="1" customHeight="1" x14ac:dyDescent="0.3">
      <c r="A1518" s="39" t="s">
        <v>33</v>
      </c>
      <c r="B1518" s="4" t="s">
        <v>53</v>
      </c>
      <c r="C1518" s="5" t="s">
        <v>214</v>
      </c>
      <c r="D1518" s="5" t="s">
        <v>212</v>
      </c>
      <c r="E1518" s="4" t="str" cm="1">
        <f t="array" ref="E1518">_xlfn.IFS(
F1518 = "A partir de Abril", "Aguardando Execução na Distribuidora",
A1518 = "CAPACITAÇÃO", "Em execução no Corporativo",
TRUE, "Em Execução na Distribuidora"
)</f>
        <v>Em Execução na Distribuidora</v>
      </c>
      <c r="F1518" s="4" t="str" cm="1">
        <f t="array" ref="F1518">_xlfn.IFS(
AG1518 &lt;&gt; "", "Jan-Dez/26",
AH1518 &lt;&gt; "", "Fev-Dez/26",
AI1518 &lt;&gt; "", "Mar-Dez/26", AJ1518 &lt;&gt; "", "Abr-Dez/26",
TRUE, "A partir de Junho"
)</f>
        <v>Jan-Dez/26</v>
      </c>
      <c r="G1518" s="4" t="s">
        <v>37</v>
      </c>
      <c r="H1518" s="7" t="s">
        <v>110</v>
      </c>
      <c r="I1518" s="8" t="s">
        <v>59</v>
      </c>
      <c r="J1518" s="8" t="str" cm="1">
        <f t="array" aca="1" ref="J1518" ca="1">_xlfn.LET(
  _xlpm.actual_value_month, INDEX(T1518:AE1518, MATCH(DATE(YEAR(TODAY()), MONTH(TODAY()), 1), $T$1:$AE$1, 0)),
  IF(_xlpm.actual_value_month &lt;&gt; "",_xlpm.actual_value_month &amp; " ações mensais", "")
)</f>
        <v/>
      </c>
      <c r="K1518" s="12" t="str" cm="1">
        <f t="array" ref="K1518">_xlfn.LET(
    _xlpm.sum_month, SUM(T1518:AE1518),
    IF(_xlpm.sum_month = 0, "", _xlpm.sum_month &amp; " pessoas impactadas no ano")
)</f>
        <v/>
      </c>
      <c r="L1518" s="9" t="s">
        <v>59</v>
      </c>
      <c r="M1518" s="13">
        <v>1</v>
      </c>
      <c r="N1518" s="5" t="s">
        <v>51</v>
      </c>
      <c r="O1518" s="5" t="s">
        <v>52</v>
      </c>
      <c r="P1518" s="10" t="s">
        <v>44</v>
      </c>
      <c r="Q1518" s="10" t="s">
        <v>44</v>
      </c>
      <c r="R1518" s="11" t="s">
        <v>44</v>
      </c>
      <c r="S1518" s="11" t="s">
        <v>44</v>
      </c>
      <c r="T1518" s="22"/>
      <c r="U1518" s="22"/>
      <c r="V1518" s="22"/>
      <c r="W1518" s="22"/>
      <c r="X1518" s="22"/>
      <c r="Y1518" s="22"/>
      <c r="Z1518" s="22"/>
      <c r="AA1518" s="22"/>
      <c r="AB1518" s="22"/>
      <c r="AC1518" s="22"/>
      <c r="AD1518" s="22"/>
      <c r="AE1518" s="22"/>
      <c r="AG1518" s="146">
        <v>10</v>
      </c>
      <c r="AH1518" s="150">
        <v>30</v>
      </c>
      <c r="AI1518" s="150">
        <v>20</v>
      </c>
      <c r="AJ1518" s="146">
        <v>45</v>
      </c>
      <c r="AK1518" s="71"/>
      <c r="AL1518" s="71"/>
      <c r="AM1518" s="71"/>
      <c r="AN1518" s="71"/>
      <c r="AO1518" s="71"/>
      <c r="AP1518" s="71"/>
      <c r="AQ1518" s="71"/>
      <c r="AR1518" s="71"/>
      <c r="AS1518" s="94">
        <f t="shared" ca="1" si="1749"/>
        <v>0</v>
      </c>
      <c r="AT1518" s="95">
        <f t="shared" si="1750"/>
        <v>105</v>
      </c>
      <c r="AU1518" s="97">
        <f t="shared" si="1751"/>
        <v>105</v>
      </c>
      <c r="AW1518" s="83">
        <f t="shared" si="1752"/>
        <v>10</v>
      </c>
      <c r="AX1518" s="83">
        <f t="shared" si="1753"/>
        <v>30</v>
      </c>
      <c r="AY1518" s="83">
        <f t="shared" si="1754"/>
        <v>20</v>
      </c>
      <c r="AZ1518" s="83">
        <f t="shared" si="1755"/>
        <v>45</v>
      </c>
      <c r="BA1518" s="52"/>
      <c r="BB1518" s="52"/>
      <c r="BC1518" s="52"/>
      <c r="BD1518" s="52"/>
      <c r="BE1518" s="52"/>
      <c r="BF1518" s="52"/>
      <c r="BG1518" s="52"/>
      <c r="BH1518" s="52"/>
      <c r="BI1518" s="68" cm="1">
        <f t="array" ref="BI1518">IFERROR(INDEX(AW1518:BH1518,1,MATCH(2,1/(AW1518:BH1518&lt;&gt;""))),"")</f>
        <v>45</v>
      </c>
      <c r="BJ1518" s="68" cm="1">
        <f t="array" ref="BJ1518">IF(BM1518 = "", "",IFERROR(INDEX(AW1518:BH1518,1,MATCH(2,1/(AW1518:BH1518&lt;&gt;""),1)-1),""))</f>
        <v>20</v>
      </c>
      <c r="BK1518" s="59">
        <f t="shared" si="1756"/>
        <v>105</v>
      </c>
      <c r="BL1518" s="59" cm="1">
        <f t="array" ref="BL1518">IFERROR(SUM(AW1518:INDEX(AW1518:BH1518, MATCH(2, 1/(AW1518:BH1518&lt;&gt;""), 1) - 1))/_xlfn.XLOOKUP(F1518,Apuração!A:A,Apuração!B:B),0)</f>
        <v>5</v>
      </c>
      <c r="BM1518" s="55" cm="1">
        <f t="array" ref="BM1518">IFERROR(
   INDEX($AW$1:$BH$1,
      _xlfn.AGGREGATE(14, 6, COLUMN($AW$1:$BH$1)/(AW1518:BH1518&lt;&gt;""), 2) - COLUMN($AW$1) + 1
   ),
"")</f>
        <v>46082</v>
      </c>
      <c r="BN1518" s="55" cm="1">
        <f t="array" ref="BN1518">IFERROR(INDEX($AW$1:$BH$1,1,MATCH(2,1/(AW1518:BH1518&lt;&gt;""))),"")</f>
        <v>46113</v>
      </c>
      <c r="BO1518" s="53">
        <f ca="1">IFERROR(_xlfn.XLOOKUP(F1518,Apuração!A:A,Apuração!C:C)/_xlfn.XLOOKUP(F1518,Apuração!A:A,Apuração!B:B),0)</f>
        <v>0.41666666666666669</v>
      </c>
      <c r="BP1518" s="53">
        <f ca="1">IFERROR(_xlfn.XLOOKUP(F1518,Apuração!A:A,Apuração!D:D)/_xlfn.XLOOKUP(F1518,Apuração!A:A,Apuração!B:B),0)</f>
        <v>0.33333333333333331</v>
      </c>
      <c r="BQ1518" s="53">
        <f ca="1">IF(BK1518&gt;=BO1518,0,_xlfn.XLOOKUP(F1518,Apuração!A:A,Apuração!B:B)*(BO1518 + (1/_xlfn.XLOOKUP(F1518,Apuração!A:A,Apuração!B:B)) - BK1518))</f>
        <v>0</v>
      </c>
      <c r="BR1518" s="85">
        <f t="shared" ca="1" si="1757"/>
        <v>0</v>
      </c>
      <c r="BS1518" s="53">
        <f ca="1">IFERROR((_xlfn.XLOOKUP(F1518,Apuração!A:A,Apuração!C:C)+1)/_xlfn.XLOOKUP(F1518,Apuração!A:A,Apuração!B:B),0)</f>
        <v>0.5</v>
      </c>
    </row>
    <row r="1519" spans="1:71" ht="25.95" hidden="1" customHeight="1" x14ac:dyDescent="0.3">
      <c r="A1519" s="39" t="s">
        <v>33</v>
      </c>
      <c r="B1519" s="4" t="s">
        <v>53</v>
      </c>
      <c r="C1519" s="5" t="s">
        <v>214</v>
      </c>
      <c r="D1519" s="5" t="s">
        <v>48</v>
      </c>
      <c r="E1519" s="4" t="str" cm="1">
        <f t="array" ref="E1519">_xlfn.IFS(
F1519 = "A partir de Abril", "Aguardando Execução na Distribuidora",
A1519 = "CAPACITAÇÃO", "Em execução no Corporativo",
TRUE, "Em Execução na Distribuidora"
)</f>
        <v>Em Execução na Distribuidora</v>
      </c>
      <c r="F1519" s="4" t="str" cm="1">
        <f t="array" ref="F1519">_xlfn.IFS(
AG1519 &lt;&gt; "", "Jan-Dez/26",
AH1519 &lt;&gt; "", "Fev-Dez/26",
AI1519 &lt;&gt; "", "Mar-Dez/26", AJ1519 &lt;&gt; "", "Abr-Dez/26",
TRUE, "A partir de Junho"
)</f>
        <v>Jan-Dez/26</v>
      </c>
      <c r="G1519" s="4" t="s">
        <v>37</v>
      </c>
      <c r="H1519" s="7" t="s">
        <v>110</v>
      </c>
      <c r="I1519" s="8" t="s">
        <v>59</v>
      </c>
      <c r="J1519" s="8" t="str" cm="1">
        <f t="array" aca="1" ref="J1519" ca="1">_xlfn.LET(
  _xlpm.actual_value_month, INDEX(T1519:AE1519, MATCH(DATE(YEAR(TODAY()), MONTH(TODAY()), 1), $T$1:$AE$1, 0)),
  IF(_xlpm.actual_value_month &lt;&gt; "",_xlpm.actual_value_month &amp; " ações mensais", "")
)</f>
        <v/>
      </c>
      <c r="K1519" s="12" t="str" cm="1">
        <f t="array" ref="K1519">_xlfn.LET(
    _xlpm.sum_month, SUM(T1519:AE1519),
    IF(_xlpm.sum_month = 0, "", _xlpm.sum_month &amp; " pessoas impactadas no ano")
)</f>
        <v/>
      </c>
      <c r="L1519" s="9" t="s">
        <v>59</v>
      </c>
      <c r="M1519" s="13">
        <v>1</v>
      </c>
      <c r="N1519" s="5" t="s">
        <v>51</v>
      </c>
      <c r="O1519" s="5" t="s">
        <v>52</v>
      </c>
      <c r="P1519" s="10" t="s">
        <v>44</v>
      </c>
      <c r="Q1519" s="10" t="s">
        <v>44</v>
      </c>
      <c r="R1519" s="11" t="s">
        <v>44</v>
      </c>
      <c r="S1519" s="11" t="s">
        <v>44</v>
      </c>
      <c r="T1519" s="22"/>
      <c r="U1519" s="22"/>
      <c r="V1519" s="22"/>
      <c r="W1519" s="22"/>
      <c r="X1519" s="22"/>
      <c r="Y1519" s="22"/>
      <c r="Z1519" s="22"/>
      <c r="AA1519" s="22"/>
      <c r="AB1519" s="22"/>
      <c r="AC1519" s="22"/>
      <c r="AD1519" s="22"/>
      <c r="AE1519" s="22"/>
      <c r="AG1519" s="146">
        <v>10</v>
      </c>
      <c r="AH1519" s="150">
        <v>30</v>
      </c>
      <c r="AI1519" s="150">
        <v>20</v>
      </c>
      <c r="AJ1519" s="146">
        <v>26</v>
      </c>
      <c r="AK1519" s="71"/>
      <c r="AL1519" s="71"/>
      <c r="AM1519" s="71"/>
      <c r="AN1519" s="71"/>
      <c r="AO1519" s="71"/>
      <c r="AP1519" s="71"/>
      <c r="AQ1519" s="71"/>
      <c r="AR1519" s="71"/>
      <c r="AS1519" s="94">
        <f t="shared" ca="1" si="1749"/>
        <v>0</v>
      </c>
      <c r="AT1519" s="95">
        <f t="shared" si="1750"/>
        <v>86</v>
      </c>
      <c r="AU1519" s="97">
        <f t="shared" si="1751"/>
        <v>86</v>
      </c>
      <c r="AW1519" s="83">
        <f t="shared" si="1752"/>
        <v>10</v>
      </c>
      <c r="AX1519" s="83">
        <f t="shared" si="1753"/>
        <v>30</v>
      </c>
      <c r="AY1519" s="83">
        <f t="shared" si="1754"/>
        <v>20</v>
      </c>
      <c r="AZ1519" s="83">
        <f t="shared" si="1755"/>
        <v>26</v>
      </c>
      <c r="BA1519" s="52"/>
      <c r="BB1519" s="52"/>
      <c r="BC1519" s="52"/>
      <c r="BD1519" s="52"/>
      <c r="BE1519" s="52"/>
      <c r="BF1519" s="52"/>
      <c r="BG1519" s="52"/>
      <c r="BH1519" s="52"/>
      <c r="BI1519" s="68" cm="1">
        <f t="array" ref="BI1519">IFERROR(INDEX(AW1519:BH1519,1,MATCH(2,1/(AW1519:BH1519&lt;&gt;""))),"")</f>
        <v>26</v>
      </c>
      <c r="BJ1519" s="68" cm="1">
        <f t="array" ref="BJ1519">IF(BM1519 = "", "",IFERROR(INDEX(AW1519:BH1519,1,MATCH(2,1/(AW1519:BH1519&lt;&gt;""),1)-1),""))</f>
        <v>20</v>
      </c>
      <c r="BK1519" s="59">
        <f t="shared" si="1756"/>
        <v>86</v>
      </c>
      <c r="BL1519" s="59" cm="1">
        <f t="array" ref="BL1519">IFERROR(SUM(AW1519:INDEX(AW1519:BH1519, MATCH(2, 1/(AW1519:BH1519&lt;&gt;""), 1) - 1))/_xlfn.XLOOKUP(F1519,Apuração!A:A,Apuração!B:B),0)</f>
        <v>5</v>
      </c>
      <c r="BM1519" s="55" cm="1">
        <f t="array" ref="BM1519">IFERROR(
   INDEX($AW$1:$BH$1,
      _xlfn.AGGREGATE(14, 6, COLUMN($AW$1:$BH$1)/(AW1519:BH1519&lt;&gt;""), 2) - COLUMN($AW$1) + 1
   ),
"")</f>
        <v>46082</v>
      </c>
      <c r="BN1519" s="55" cm="1">
        <f t="array" ref="BN1519">IFERROR(INDEX($AW$1:$BH$1,1,MATCH(2,1/(AW1519:BH1519&lt;&gt;""))),"")</f>
        <v>46113</v>
      </c>
      <c r="BO1519" s="53">
        <f ca="1">IFERROR(_xlfn.XLOOKUP(F1519,Apuração!A:A,Apuração!C:C)/_xlfn.XLOOKUP(F1519,Apuração!A:A,Apuração!B:B),0)</f>
        <v>0.41666666666666669</v>
      </c>
      <c r="BP1519" s="53">
        <f ca="1">IFERROR(_xlfn.XLOOKUP(F1519,Apuração!A:A,Apuração!D:D)/_xlfn.XLOOKUP(F1519,Apuração!A:A,Apuração!B:B),0)</f>
        <v>0.33333333333333331</v>
      </c>
      <c r="BQ1519" s="53">
        <f ca="1">IF(BK1519&gt;=BO1519,0,_xlfn.XLOOKUP(F1519,Apuração!A:A,Apuração!B:B)*(BO1519 + (1/_xlfn.XLOOKUP(F1519,Apuração!A:A,Apuração!B:B)) - BK1519))</f>
        <v>0</v>
      </c>
      <c r="BR1519" s="85">
        <f t="shared" ca="1" si="1757"/>
        <v>0</v>
      </c>
      <c r="BS1519" s="53">
        <f ca="1">IFERROR((_xlfn.XLOOKUP(F1519,Apuração!A:A,Apuração!C:C)+1)/_xlfn.XLOOKUP(F1519,Apuração!A:A,Apuração!B:B),0)</f>
        <v>0.5</v>
      </c>
    </row>
    <row r="1520" spans="1:71" ht="25.95" hidden="1" customHeight="1" x14ac:dyDescent="0.3">
      <c r="A1520" s="39" t="s">
        <v>33</v>
      </c>
      <c r="B1520" s="4" t="s">
        <v>53</v>
      </c>
      <c r="C1520" s="5" t="s">
        <v>214</v>
      </c>
      <c r="D1520" s="5" t="s">
        <v>213</v>
      </c>
      <c r="E1520" s="4" t="str" cm="1">
        <f t="array" ref="E1520">_xlfn.IFS(
F1520 = "A partir de Abril", "Aguardando Execução na Distribuidora",
A1520 = "CAPACITAÇÃO", "Em execução no Corporativo",
TRUE, "Em Execução na Distribuidora"
)</f>
        <v>Em Execução na Distribuidora</v>
      </c>
      <c r="F1520" s="4" t="str" cm="1">
        <f t="array" ref="F1520">_xlfn.IFS(
AG1520 &lt;&gt; "", "Jan-Dez/26",
AH1520 &lt;&gt; "", "Fev-Dez/26",
AI1520 &lt;&gt; "", "Mar-Dez/26", AJ1520 &lt;&gt; "", "Abr-Dez/26",
TRUE, "A partir de Junho"
)</f>
        <v>Jan-Dez/26</v>
      </c>
      <c r="G1520" s="4" t="s">
        <v>37</v>
      </c>
      <c r="H1520" s="7" t="s">
        <v>110</v>
      </c>
      <c r="I1520" s="8" t="s">
        <v>59</v>
      </c>
      <c r="J1520" s="8" t="str" cm="1">
        <f t="array" aca="1" ref="J1520" ca="1">_xlfn.LET(
  _xlpm.actual_value_month, INDEX(T1520:AE1520, MATCH(DATE(YEAR(TODAY()), MONTH(TODAY()), 1), $T$1:$AE$1, 0)),
  IF(_xlpm.actual_value_month &lt;&gt; "",_xlpm.actual_value_month &amp; " ações mensais", "")
)</f>
        <v/>
      </c>
      <c r="K1520" s="12" t="str" cm="1">
        <f t="array" ref="K1520">_xlfn.LET(
    _xlpm.sum_month, SUM(T1520:AE1520),
    IF(_xlpm.sum_month = 0, "", _xlpm.sum_month &amp; " pessoas impactadas no ano")
)</f>
        <v/>
      </c>
      <c r="L1520" s="9" t="s">
        <v>59</v>
      </c>
      <c r="M1520" s="13">
        <v>1</v>
      </c>
      <c r="N1520" s="5" t="s">
        <v>51</v>
      </c>
      <c r="O1520" s="5" t="s">
        <v>52</v>
      </c>
      <c r="P1520" s="10" t="s">
        <v>44</v>
      </c>
      <c r="Q1520" s="10" t="s">
        <v>44</v>
      </c>
      <c r="R1520" s="11" t="s">
        <v>44</v>
      </c>
      <c r="S1520" s="11" t="s">
        <v>44</v>
      </c>
      <c r="T1520" s="22"/>
      <c r="U1520" s="22"/>
      <c r="V1520" s="22"/>
      <c r="W1520" s="22"/>
      <c r="X1520" s="22"/>
      <c r="Y1520" s="22"/>
      <c r="Z1520" s="22"/>
      <c r="AA1520" s="22"/>
      <c r="AB1520" s="22"/>
      <c r="AC1520" s="22"/>
      <c r="AD1520" s="22"/>
      <c r="AE1520" s="22"/>
      <c r="AG1520" s="146">
        <v>10</v>
      </c>
      <c r="AH1520" s="150">
        <v>30</v>
      </c>
      <c r="AI1520" s="150">
        <v>20</v>
      </c>
      <c r="AJ1520" s="146">
        <v>0</v>
      </c>
      <c r="AK1520" s="71"/>
      <c r="AL1520" s="71"/>
      <c r="AM1520" s="71"/>
      <c r="AN1520" s="71"/>
      <c r="AO1520" s="71"/>
      <c r="AP1520" s="71"/>
      <c r="AQ1520" s="71"/>
      <c r="AR1520" s="71"/>
      <c r="AS1520" s="94">
        <f t="shared" ca="1" si="1749"/>
        <v>0</v>
      </c>
      <c r="AT1520" s="95">
        <f t="shared" si="1750"/>
        <v>60</v>
      </c>
      <c r="AU1520" s="97">
        <f t="shared" si="1751"/>
        <v>60</v>
      </c>
      <c r="AW1520" s="83">
        <f t="shared" si="1752"/>
        <v>10</v>
      </c>
      <c r="AX1520" s="83">
        <f t="shared" si="1753"/>
        <v>30</v>
      </c>
      <c r="AY1520" s="83">
        <f t="shared" si="1754"/>
        <v>20</v>
      </c>
      <c r="AZ1520" s="83">
        <f t="shared" si="1755"/>
        <v>0</v>
      </c>
      <c r="BA1520" s="52"/>
      <c r="BB1520" s="52"/>
      <c r="BC1520" s="52"/>
      <c r="BD1520" s="52"/>
      <c r="BE1520" s="52"/>
      <c r="BF1520" s="52"/>
      <c r="BG1520" s="52"/>
      <c r="BH1520" s="52"/>
      <c r="BI1520" s="68" cm="1">
        <f t="array" ref="BI1520">IFERROR(INDEX(AW1520:BH1520,1,MATCH(2,1/(AW1520:BH1520&lt;&gt;""))),"")</f>
        <v>0</v>
      </c>
      <c r="BJ1520" s="68" cm="1">
        <f t="array" ref="BJ1520">IF(BM1520 = "", "",IFERROR(INDEX(AW1520:BH1520,1,MATCH(2,1/(AW1520:BH1520&lt;&gt;""),1)-1),""))</f>
        <v>20</v>
      </c>
      <c r="BK1520" s="59">
        <f t="shared" si="1756"/>
        <v>60</v>
      </c>
      <c r="BL1520" s="59" cm="1">
        <f t="array" ref="BL1520">IFERROR(SUM(AW1520:INDEX(AW1520:BH1520, MATCH(2, 1/(AW1520:BH1520&lt;&gt;""), 1) - 1))/_xlfn.XLOOKUP(F1520,Apuração!A:A,Apuração!B:B),0)</f>
        <v>5</v>
      </c>
      <c r="BM1520" s="55" cm="1">
        <f t="array" ref="BM1520">IFERROR(
   INDEX($AW$1:$BH$1,
      _xlfn.AGGREGATE(14, 6, COLUMN($AW$1:$BH$1)/(AW1520:BH1520&lt;&gt;""), 2) - COLUMN($AW$1) + 1
   ),
"")</f>
        <v>46082</v>
      </c>
      <c r="BN1520" s="55" cm="1">
        <f t="array" ref="BN1520">IFERROR(INDEX($AW$1:$BH$1,1,MATCH(2,1/(AW1520:BH1520&lt;&gt;""))),"")</f>
        <v>46113</v>
      </c>
      <c r="BO1520" s="53">
        <f ca="1">IFERROR(_xlfn.XLOOKUP(F1520,Apuração!A:A,Apuração!C:C)/_xlfn.XLOOKUP(F1520,Apuração!A:A,Apuração!B:B),0)</f>
        <v>0.41666666666666669</v>
      </c>
      <c r="BP1520" s="53">
        <f ca="1">IFERROR(_xlfn.XLOOKUP(F1520,Apuração!A:A,Apuração!D:D)/_xlfn.XLOOKUP(F1520,Apuração!A:A,Apuração!B:B),0)</f>
        <v>0.33333333333333331</v>
      </c>
      <c r="BQ1520" s="53">
        <f ca="1">IF(BK1520&gt;=BO1520,0,_xlfn.XLOOKUP(F1520,Apuração!A:A,Apuração!B:B)*(BO1520 + (1/_xlfn.XLOOKUP(F1520,Apuração!A:A,Apuração!B:B)) - BK1520))</f>
        <v>0</v>
      </c>
      <c r="BR1520" s="85">
        <f t="shared" ca="1" si="1757"/>
        <v>0</v>
      </c>
      <c r="BS1520" s="53">
        <f ca="1">IFERROR((_xlfn.XLOOKUP(F1520,Apuração!A:A,Apuração!C:C)+1)/_xlfn.XLOOKUP(F1520,Apuração!A:A,Apuração!B:B),0)</f>
        <v>0.5</v>
      </c>
    </row>
    <row r="1521" spans="1:71" ht="25.95" hidden="1" customHeight="1" x14ac:dyDescent="0.3">
      <c r="A1521" s="3" t="s">
        <v>33</v>
      </c>
      <c r="B1521" s="4" t="s">
        <v>60</v>
      </c>
      <c r="C1521" s="5" t="s">
        <v>214</v>
      </c>
      <c r="D1521" s="5" t="s">
        <v>36</v>
      </c>
      <c r="E1521" s="4" t="s">
        <v>61</v>
      </c>
      <c r="F1521" s="4" t="str" cm="1">
        <f t="array" ref="F1521">_xlfn.IFS(
AG1521 &lt;&gt; "", "Jan-Dez/26",
AH1521 &lt;&gt; "", "Fev-Dez/26",
AI1521 &lt;&gt; "", "Mar-Dez/26", AJ1521 &lt;&gt; "", "Abr-Dez/26",
TRUE, "A partir de Junho"
)</f>
        <v>A partir de Junho</v>
      </c>
      <c r="G1521" s="16" t="s">
        <v>62</v>
      </c>
      <c r="H1521" s="7" t="s">
        <v>110</v>
      </c>
      <c r="I1521" s="8" t="s">
        <v>63</v>
      </c>
      <c r="J1521" s="8" t="str" cm="1">
        <f t="array" aca="1" ref="J1521" ca="1">_xlfn.LET(
  _xlpm.actual_value_month, INDEX(T1521:AE1521, MATCH(DATE(YEAR(TODAY()), MONTH(TODAY()), 1), $T$1:$AE$1, 0)),
  IF(_xlpm.actual_value_month &lt;&gt; "",_xlpm.actual_value_month &amp; " ações mensais", "")
)</f>
        <v/>
      </c>
      <c r="K1521" s="17" t="str" cm="1">
        <f t="array" ref="K1521">_xlfn.LET(
    _xlpm.sum_month, SUM(T1521:AE1521),
    IF(_xlpm.sum_month = 0, "", _xlpm.sum_month &amp; " eventos realizados")
)</f>
        <v/>
      </c>
      <c r="L1521" s="9" t="s">
        <v>64</v>
      </c>
      <c r="M1521" s="13" t="s">
        <v>65</v>
      </c>
      <c r="N1521" s="5" t="s">
        <v>42</v>
      </c>
      <c r="O1521" s="5" t="s">
        <v>43</v>
      </c>
      <c r="P1521" s="10" t="s">
        <v>44</v>
      </c>
      <c r="Q1521" s="10" t="s">
        <v>44</v>
      </c>
      <c r="R1521" s="11" t="s">
        <v>66</v>
      </c>
      <c r="S1521" s="11" t="s">
        <v>67</v>
      </c>
      <c r="T1521" s="22"/>
      <c r="U1521" s="22"/>
      <c r="V1521" s="22"/>
      <c r="W1521" s="22"/>
      <c r="X1521" s="22"/>
      <c r="Y1521" s="22"/>
      <c r="Z1521" s="22"/>
      <c r="AA1521" s="22"/>
      <c r="AB1521" s="22"/>
      <c r="AC1521" s="22"/>
      <c r="AD1521" s="22"/>
      <c r="AE1521" s="22"/>
      <c r="AG1521" s="71"/>
      <c r="AH1521" s="71"/>
      <c r="AI1521" s="71"/>
      <c r="AJ1521" s="71"/>
      <c r="AK1521" s="71"/>
      <c r="AL1521" s="71"/>
      <c r="AM1521" s="71"/>
      <c r="AN1521" s="71"/>
      <c r="AO1521" s="71"/>
      <c r="AP1521" s="71"/>
      <c r="AQ1521" s="71"/>
      <c r="AR1521" s="71"/>
      <c r="AS1521" s="94">
        <f ca="1">IF(MONTH(TODAY())=3,SUM(T1521:U1521),IF(MONTH(TODAY())=4,SUM(T1521:V1521),IF(MONTH(TODAY())=5,SUM(T1521:W1521),IF(MONTH(TODAY())=6,SUM(T1521:X1521),IF(MONTH(TODAY())=7,SUM(T1521:Y1521),IF(MONTH(TODAY())=8,SUM(T1521:Z1521),IF(MONTH(TODAY())=9,SUM(T1521:AA1521),IF(MONTH(TODAY())=10,SUM(T1521:AB1521),IF(MONTH(TODAY())=11,SUM(T1521:AC1521),IF(MONTH(TODAY())=12,SUM(T1521:AD1521),IF(MONTH(TODAY())=1,SUM(T1521:AE1521),T1521)))))))))))</f>
        <v>0</v>
      </c>
      <c r="AT1521" s="95">
        <f>SUM(IF(AW1521&lt;1.15,AG1521,1.15*T1521),IF(AX1521&lt;1.15,AH1521,1.15*U1521),IF(AY1521&lt;1.15,AI1521,1.15*V1521),IF(AZ1521&lt;1.15,AJ1521,1.15*W1521),IF(BA1521&lt;1.15,AK1521,1.15*X1521),IF(BB1521&lt;1.15,AL1521,1.15*Y1521),IF(BC1521&lt;1.15,AM1521,1.15*Z1521),IF(BD1521&lt;1.15,AN1521,1.15*AA1521),IF(BE1521&lt;1.15,AO1521,1.15*AB1521),IF(BF1521&lt;1.15,AP1521,1.15*AC1521),IF(BG1521&lt;1.15,AQ1521,1.15*AD1521),IF(BH1521&lt;1.15,AR1521,1.15*AE1521))</f>
        <v>0</v>
      </c>
      <c r="AU1521" s="97">
        <f>SUM(AG1521:AR1521)</f>
        <v>0</v>
      </c>
      <c r="AW1521" s="51">
        <f>IFERROR(IF(AG1521="",0,AG1521/T1521),0)</f>
        <v>0</v>
      </c>
      <c r="AX1521" s="51">
        <f>IFERROR(IF(AH1521="",0,AH1521/U1521),0)</f>
        <v>0</v>
      </c>
      <c r="AY1521" s="51">
        <f>IFERROR(IF(AI1521="",0,AI1521/V1521),0)</f>
        <v>0</v>
      </c>
      <c r="AZ1521" s="51">
        <f>IFERROR(IF(AJ1521="",0,AJ1521/W1521),0)</f>
        <v>0</v>
      </c>
      <c r="BA1521" s="51"/>
      <c r="BB1521" s="51"/>
      <c r="BC1521" s="51"/>
      <c r="BD1521" s="51"/>
      <c r="BE1521" s="51"/>
      <c r="BF1521" s="51"/>
      <c r="BG1521" s="51"/>
      <c r="BH1521" s="51"/>
      <c r="BI1521" s="65" cm="1">
        <f t="array" ref="BI1521">IFERROR(INDEX(AW1521:BH1521,1,MATCH(2,1/(AW1521:BH1521&lt;&gt;""))),"")</f>
        <v>0</v>
      </c>
      <c r="BJ1521" s="68" cm="1">
        <f t="array" ref="BJ1521">IF(BM1521 = "", "",IFERROR(INDEX(AW1521:BH1521,1,MATCH(2,1/(AW1521:BH1521&lt;&gt;""),1)-1),""))</f>
        <v>0</v>
      </c>
      <c r="BK1521" s="58">
        <f>IF((IF(AW1521&gt;=115%,115%,AW1521) + IF(AX1521&gt;=115%,115%,AX1521) + IF(AY1521&gt;=115%,115%,AY1521) + (IF(AZ1521&gt;=115%,115%,AZ1521) + IF(BA1521&gt;=115%,115%,BA1521) + IF(BB1521&gt;=115%,115%,BB1521) + IF(BC1521&gt;=115%,115%,BC1521) + IF(BD1521&gt;=115%,115%,BD1521) + IF(BE1521&gt;=115%,115%,BE1521) + IF(BF1521&gt;=115%,115%,BF1521) + IF(BG1521&gt;=115%,115%,BG1521) + IF(BH1521&gt;=115%,115%,BH1521)))/_xlfn.XLOOKUP(F1521,Apuração!A:A,Apuração!B:B)&gt;=1.15,1.15,((IF(AZ1521&gt;=115%,115%,AZ1521) + IF(AX1521&gt;=115%,115%,AX1521) + IF(AY1521&gt;=115%,115%,AY1521) + (IF(AW1521&gt;=115%,115%,AW1521) + IF(BA1521&gt;=115%,115%,BA1521) + IF(BB1521&gt;=115%,115%,BB1521) + IF(BC1521&gt;=115%,115%,BC1521) + IF(BD1521&gt;=115%,115%,BD1521) + IF(BE1521&gt;=115%,115%,BE1521) + IF(BF1521&gt;=115%,115%,BF1521) + IF(BG1521&gt;=115%,115%,BG1521) + IF(BH1521&gt;=115%,115%,BH1521)))/_xlfn.XLOOKUP(F1521,Apuração!A:A,Apuração!B:B)))</f>
        <v>0</v>
      </c>
      <c r="BL1521" s="58" cm="1">
        <f t="array" aca="1" ref="BL1521" ca="1">IF(SUM(IFERROR(IF(INDEX(AW1521:INDEX(AW1521:BH1521, MATCH(2, 1/(AW1521:BH1521&lt;&gt;""), 1)-1), ROW(INDIRECT("1:" &amp; MATCH(2, 1/(AW1521:BH1521&lt;&gt;""), 1)-1))) &gt;= 115%, 115%, INDEX(AW1521:INDEX(AW1521:BH1521, MATCH(2, 1/(AW1521:BH1521&lt;&gt;""), 1)-1), ROW(INDIRECT("1:" &amp; MATCH(2, 1/(AW1521:BH1521&lt;&gt;""), 1)-1)))), 0))/_xlfn.XLOOKUP(F1521,Apuração!A:A,Apuração!B:B)&gt;=1.15,1.15,SUM(IFERROR(IF(INDEX(AW1521:INDEX(AW1521:BH1521, MATCH(2, 1/(AW1521:BH1521&lt;&gt;""), 1)-1), ROW(INDIRECT("1:" &amp; MATCH(2, 1/(AW1521:BH1521&lt;&gt;""), 1)-1))) &gt;= 115%, 115%, INDEX(AW1521:INDEX(AW1521:BH1521, MATCH(2, 1/(AW1521:BH1521&lt;&gt;""), 1)-1), ROW(INDIRECT("1:" &amp; MATCH(2, 1/(AW1521:BH1521&lt;&gt;""), 1)-1)))), 0))/_xlfn.XLOOKUP(F1521,Apuração!A:A,Apuração!B:B))</f>
        <v>0</v>
      </c>
      <c r="BM1521" s="55" cm="1">
        <f t="array" ref="BM1521">IFERROR(
   INDEX($AW$1:$BH$1,
      _xlfn.AGGREGATE(14, 6, COLUMN($AW$1:$BH$1)/(AW1521:BH1521&lt;&gt;""), 2) - COLUMN($AW$1) + 1
   ),
"")</f>
        <v>46082</v>
      </c>
      <c r="BN1521" s="55" cm="1">
        <f t="array" ref="BN1521">IFERROR(INDEX($AW$1:$BH$1,1,MATCH(2,1/(AW1521:BH1521&lt;&gt;""))),"")</f>
        <v>46113</v>
      </c>
      <c r="BO1521" s="53">
        <f ca="1">IFERROR(_xlfn.XLOOKUP(F1521,Apuração!A:A,Apuração!C:C)/_xlfn.XLOOKUP(F1521,Apuração!A:A,Apuração!B:B),0)</f>
        <v>0</v>
      </c>
      <c r="BP1521" s="53">
        <f ca="1">IFERROR(_xlfn.XLOOKUP(F1521,Apuração!A:A,Apuração!D:D)/_xlfn.XLOOKUP(F1521,Apuração!A:A,Apuração!B:B),0)</f>
        <v>0</v>
      </c>
      <c r="BQ1521" s="53">
        <f ca="1">IF(BK1521&gt;=BO1521,0,_xlfn.XLOOKUP(F1521,Apuração!A:A,Apuração!B:B)*(BO1521 + (1/_xlfn.XLOOKUP(F1521,Apuração!A:A,Apuração!B:B)) - BK1521))</f>
        <v>0</v>
      </c>
      <c r="BR1521" s="85">
        <f ca="1">IF(BQ1521=0,0,BQ1521*Z1521)</f>
        <v>0</v>
      </c>
      <c r="BS1521" s="53">
        <f ca="1">IFERROR((_xlfn.XLOOKUP(F1521,Apuração!A:A,Apuração!C:C)+1)/_xlfn.XLOOKUP(F1521,Apuração!A:A,Apuração!B:B),0)</f>
        <v>0.14285714285714285</v>
      </c>
    </row>
    <row r="1522" spans="1:71" ht="25.95" hidden="1" customHeight="1" x14ac:dyDescent="0.3">
      <c r="A1522" s="3" t="s">
        <v>33</v>
      </c>
      <c r="B1522" s="4" t="s">
        <v>60</v>
      </c>
      <c r="C1522" s="5" t="s">
        <v>214</v>
      </c>
      <c r="D1522" s="5" t="s">
        <v>210</v>
      </c>
      <c r="E1522" s="4" t="s">
        <v>61</v>
      </c>
      <c r="F1522" s="4" t="str" cm="1">
        <f t="array" ref="F1522">_xlfn.IFS(
AG1522 &lt;&gt; "", "Jan-Dez/26",
AH1522 &lt;&gt; "", "Fev-Dez/26",
AI1522 &lt;&gt; "", "Mar-Dez/26", AJ1522 &lt;&gt; "", "Abr-Dez/26",
TRUE, "A partir de Junho"
)</f>
        <v>A partir de Junho</v>
      </c>
      <c r="G1522" s="16" t="s">
        <v>62</v>
      </c>
      <c r="H1522" s="7" t="s">
        <v>110</v>
      </c>
      <c r="I1522" s="8" t="s">
        <v>63</v>
      </c>
      <c r="J1522" s="8" t="str" cm="1">
        <f t="array" aca="1" ref="J1522" ca="1">_xlfn.LET(
  _xlpm.actual_value_month, INDEX(T1522:AE1522, MATCH(DATE(YEAR(TODAY()), MONTH(TODAY()), 1), $T$1:$AE$1, 0)),
  IF(_xlpm.actual_value_month &lt;&gt; "",_xlpm.actual_value_month &amp; " ações mensais", "")
)</f>
        <v/>
      </c>
      <c r="K1522" s="17" t="str" cm="1">
        <f t="array" ref="K1522">_xlfn.LET(
    _xlpm.sum_month, SUM(T1522:AE1522),
    IF(_xlpm.sum_month = 0, "", _xlpm.sum_month &amp; " eventos realizados")
)</f>
        <v/>
      </c>
      <c r="L1522" s="9" t="s">
        <v>64</v>
      </c>
      <c r="M1522" s="13" t="s">
        <v>65</v>
      </c>
      <c r="N1522" s="5" t="s">
        <v>42</v>
      </c>
      <c r="O1522" s="5" t="s">
        <v>43</v>
      </c>
      <c r="P1522" s="10" t="s">
        <v>44</v>
      </c>
      <c r="Q1522" s="10" t="s">
        <v>44</v>
      </c>
      <c r="R1522" s="11" t="s">
        <v>66</v>
      </c>
      <c r="S1522" s="11" t="s">
        <v>67</v>
      </c>
      <c r="T1522" s="22"/>
      <c r="U1522" s="22"/>
      <c r="V1522" s="22"/>
      <c r="W1522" s="22"/>
      <c r="X1522" s="22"/>
      <c r="Y1522" s="22"/>
      <c r="Z1522" s="22"/>
      <c r="AA1522" s="22"/>
      <c r="AB1522" s="22"/>
      <c r="AC1522" s="22"/>
      <c r="AD1522" s="22"/>
      <c r="AE1522" s="22"/>
      <c r="AG1522" s="71"/>
      <c r="AH1522" s="71"/>
      <c r="AI1522" s="71"/>
      <c r="AJ1522" s="71"/>
      <c r="AK1522" s="71"/>
      <c r="AL1522" s="71"/>
      <c r="AM1522" s="71"/>
      <c r="AN1522" s="71"/>
      <c r="AO1522" s="71"/>
      <c r="AP1522" s="71"/>
      <c r="AQ1522" s="71"/>
      <c r="AR1522" s="71"/>
      <c r="AS1522" s="94">
        <f t="shared" ref="AS1522:AS1526" ca="1" si="1758">IF(MONTH(TODAY())=3,SUM(T1522:U1522),IF(MONTH(TODAY())=4,SUM(T1522:V1522),IF(MONTH(TODAY())=5,SUM(T1522:W1522),IF(MONTH(TODAY())=6,SUM(T1522:X1522),IF(MONTH(TODAY())=7,SUM(T1522:Y1522),IF(MONTH(TODAY())=8,SUM(T1522:Z1522),IF(MONTH(TODAY())=9,SUM(T1522:AA1522),IF(MONTH(TODAY())=10,SUM(T1522:AB1522),IF(MONTH(TODAY())=11,SUM(T1522:AC1522),IF(MONTH(TODAY())=12,SUM(T1522:AD1522),IF(MONTH(TODAY())=1,SUM(T1522:AE1522),T1522)))))))))))</f>
        <v>0</v>
      </c>
      <c r="AT1522" s="95">
        <f t="shared" ref="AT1522:AT1526" si="1759">SUM(IF(AW1522&lt;1.15,AG1522,1.15*T1522),IF(AX1522&lt;1.15,AH1522,1.15*U1522),IF(AY1522&lt;1.15,AI1522,1.15*V1522),IF(AZ1522&lt;1.15,AJ1522,1.15*W1522),IF(BA1522&lt;1.15,AK1522,1.15*X1522),IF(BB1522&lt;1.15,AL1522,1.15*Y1522),IF(BC1522&lt;1.15,AM1522,1.15*Z1522),IF(BD1522&lt;1.15,AN1522,1.15*AA1522),IF(BE1522&lt;1.15,AO1522,1.15*AB1522),IF(BF1522&lt;1.15,AP1522,1.15*AC1522),IF(BG1522&lt;1.15,AQ1522,1.15*AD1522),IF(BH1522&lt;1.15,AR1522,1.15*AE1522))</f>
        <v>0</v>
      </c>
      <c r="AU1522" s="97">
        <f t="shared" ref="AU1522:AU1526" si="1760">SUM(AG1522:AR1522)</f>
        <v>0</v>
      </c>
      <c r="AW1522" s="51">
        <f t="shared" ref="AW1522:AW1526" si="1761">IFERROR(IF(AG1522="",0,AG1522/T1522),0)</f>
        <v>0</v>
      </c>
      <c r="AX1522" s="51">
        <f t="shared" ref="AX1522:AX1526" si="1762">IFERROR(IF(AH1522="",0,AH1522/U1522),0)</f>
        <v>0</v>
      </c>
      <c r="AY1522" s="51">
        <f t="shared" ref="AY1522:AY1526" si="1763">IFERROR(IF(AI1522="",0,AI1522/V1522),0)</f>
        <v>0</v>
      </c>
      <c r="AZ1522" s="51">
        <f t="shared" ref="AZ1522:AZ1526" si="1764">IFERROR(IF(AJ1522="",0,AJ1522/W1522),0)</f>
        <v>0</v>
      </c>
      <c r="BA1522" s="51"/>
      <c r="BB1522" s="51"/>
      <c r="BC1522" s="51"/>
      <c r="BD1522" s="51"/>
      <c r="BE1522" s="51"/>
      <c r="BF1522" s="51"/>
      <c r="BG1522" s="51"/>
      <c r="BH1522" s="51"/>
      <c r="BI1522" s="65" cm="1">
        <f t="array" ref="BI1522">IFERROR(INDEX(AW1522:BH1522,1,MATCH(2,1/(AW1522:BH1522&lt;&gt;""))),"")</f>
        <v>0</v>
      </c>
      <c r="BJ1522" s="68" cm="1">
        <f t="array" ref="BJ1522">IF(BM1522 = "", "",IFERROR(INDEX(AW1522:BH1522,1,MATCH(2,1/(AW1522:BH1522&lt;&gt;""),1)-1),""))</f>
        <v>0</v>
      </c>
      <c r="BK1522" s="58">
        <f>IF((IF(AW1522&gt;=115%,115%,AW1522) + IF(AX1522&gt;=115%,115%,AX1522) + IF(AY1522&gt;=115%,115%,AY1522) + (IF(AZ1522&gt;=115%,115%,AZ1522) + IF(BA1522&gt;=115%,115%,BA1522) + IF(BB1522&gt;=115%,115%,BB1522) + IF(BC1522&gt;=115%,115%,BC1522) + IF(BD1522&gt;=115%,115%,BD1522) + IF(BE1522&gt;=115%,115%,BE1522) + IF(BF1522&gt;=115%,115%,BF1522) + IF(BG1522&gt;=115%,115%,BG1522) + IF(BH1522&gt;=115%,115%,BH1522)))/_xlfn.XLOOKUP(F1522,Apuração!A:A,Apuração!B:B)&gt;=1.15,1.15,((IF(AZ1522&gt;=115%,115%,AZ1522) + IF(AX1522&gt;=115%,115%,AX1522) + IF(AY1522&gt;=115%,115%,AY1522) + (IF(AW1522&gt;=115%,115%,AW1522) + IF(BA1522&gt;=115%,115%,BA1522) + IF(BB1522&gt;=115%,115%,BB1522) + IF(BC1522&gt;=115%,115%,BC1522) + IF(BD1522&gt;=115%,115%,BD1522) + IF(BE1522&gt;=115%,115%,BE1522) + IF(BF1522&gt;=115%,115%,BF1522) + IF(BG1522&gt;=115%,115%,BG1522) + IF(BH1522&gt;=115%,115%,BH1522)))/_xlfn.XLOOKUP(F1522,Apuração!A:A,Apuração!B:B)))</f>
        <v>0</v>
      </c>
      <c r="BL1522" s="58" cm="1">
        <f t="array" aca="1" ref="BL1522" ca="1">IF(SUM(IFERROR(IF(INDEX(AW1522:INDEX(AW1522:BH1522, MATCH(2, 1/(AW1522:BH1522&lt;&gt;""), 1)-1), ROW(INDIRECT("1:" &amp; MATCH(2, 1/(AW1522:BH1522&lt;&gt;""), 1)-1))) &gt;= 115%, 115%, INDEX(AW1522:INDEX(AW1522:BH1522, MATCH(2, 1/(AW1522:BH1522&lt;&gt;""), 1)-1), ROW(INDIRECT("1:" &amp; MATCH(2, 1/(AW1522:BH1522&lt;&gt;""), 1)-1)))), 0))/_xlfn.XLOOKUP(F1522,Apuração!A:A,Apuração!B:B)&gt;=1.15,1.15,SUM(IFERROR(IF(INDEX(AW1522:INDEX(AW1522:BH1522, MATCH(2, 1/(AW1522:BH1522&lt;&gt;""), 1)-1), ROW(INDIRECT("1:" &amp; MATCH(2, 1/(AW1522:BH1522&lt;&gt;""), 1)-1))) &gt;= 115%, 115%, INDEX(AW1522:INDEX(AW1522:BH1522, MATCH(2, 1/(AW1522:BH1522&lt;&gt;""), 1)-1), ROW(INDIRECT("1:" &amp; MATCH(2, 1/(AW1522:BH1522&lt;&gt;""), 1)-1)))), 0))/_xlfn.XLOOKUP(F1522,Apuração!A:A,Apuração!B:B))</f>
        <v>0</v>
      </c>
      <c r="BM1522" s="55" cm="1">
        <f t="array" ref="BM1522">IFERROR(
   INDEX($AW$1:$BH$1,
      _xlfn.AGGREGATE(14, 6, COLUMN($AW$1:$BH$1)/(AW1522:BH1522&lt;&gt;""), 2) - COLUMN($AW$1) + 1
   ),
"")</f>
        <v>46082</v>
      </c>
      <c r="BN1522" s="55" cm="1">
        <f t="array" ref="BN1522">IFERROR(INDEX($AW$1:$BH$1,1,MATCH(2,1/(AW1522:BH1522&lt;&gt;""))),"")</f>
        <v>46113</v>
      </c>
      <c r="BO1522" s="53">
        <f ca="1">IFERROR(_xlfn.XLOOKUP(F1522,Apuração!A:A,Apuração!C:C)/_xlfn.XLOOKUP(F1522,Apuração!A:A,Apuração!B:B),0)</f>
        <v>0</v>
      </c>
      <c r="BP1522" s="53">
        <f ca="1">IFERROR(_xlfn.XLOOKUP(F1522,Apuração!A:A,Apuração!D:D)/_xlfn.XLOOKUP(F1522,Apuração!A:A,Apuração!B:B),0)</f>
        <v>0</v>
      </c>
      <c r="BQ1522" s="53">
        <f ca="1">IF(BK1522&gt;=BO1522,0,_xlfn.XLOOKUP(F1522,Apuração!A:A,Apuração!B:B)*(BO1522 + (1/_xlfn.XLOOKUP(F1522,Apuração!A:A,Apuração!B:B)) - BK1522))</f>
        <v>0</v>
      </c>
      <c r="BR1522" s="85">
        <f t="shared" ref="BR1522:BR1526" ca="1" si="1765">IF(BQ1522=0,0,BQ1522*Z1522)</f>
        <v>0</v>
      </c>
      <c r="BS1522" s="53">
        <f ca="1">IFERROR((_xlfn.XLOOKUP(F1522,Apuração!A:A,Apuração!C:C)+1)/_xlfn.XLOOKUP(F1522,Apuração!A:A,Apuração!B:B),0)</f>
        <v>0.14285714285714285</v>
      </c>
    </row>
    <row r="1523" spans="1:71" ht="25.95" hidden="1" customHeight="1" x14ac:dyDescent="0.3">
      <c r="A1523" s="3" t="s">
        <v>33</v>
      </c>
      <c r="B1523" s="4" t="s">
        <v>60</v>
      </c>
      <c r="C1523" s="5" t="s">
        <v>214</v>
      </c>
      <c r="D1523" s="5" t="s">
        <v>215</v>
      </c>
      <c r="E1523" s="4" t="s">
        <v>61</v>
      </c>
      <c r="F1523" s="4" t="str" cm="1">
        <f t="array" ref="F1523">_xlfn.IFS(
AG1523 &lt;&gt; "", "Jan-Dez/26",
AH1523 &lt;&gt; "", "Fev-Dez/26",
AI1523 &lt;&gt; "", "Mar-Dez/26", AJ1523 &lt;&gt; "", "Abr-Dez/26",
TRUE, "A partir de Junho"
)</f>
        <v>A partir de Junho</v>
      </c>
      <c r="G1523" s="16" t="s">
        <v>62</v>
      </c>
      <c r="H1523" s="7" t="s">
        <v>110</v>
      </c>
      <c r="I1523" s="8" t="s">
        <v>63</v>
      </c>
      <c r="J1523" s="8" t="str" cm="1">
        <f t="array" aca="1" ref="J1523" ca="1">_xlfn.LET(
  _xlpm.actual_value_month, INDEX(T1523:AE1523, MATCH(DATE(YEAR(TODAY()), MONTH(TODAY()), 1), $T$1:$AE$1, 0)),
  IF(_xlpm.actual_value_month &lt;&gt; "",_xlpm.actual_value_month &amp; " ações mensais", "")
)</f>
        <v/>
      </c>
      <c r="K1523" s="17" t="str" cm="1">
        <f t="array" ref="K1523">_xlfn.LET(
    _xlpm.sum_month, SUM(T1523:AE1523),
    IF(_xlpm.sum_month = 0, "", _xlpm.sum_month &amp; " eventos realizados")
)</f>
        <v/>
      </c>
      <c r="L1523" s="9" t="s">
        <v>64</v>
      </c>
      <c r="M1523" s="13" t="s">
        <v>65</v>
      </c>
      <c r="N1523" s="5" t="s">
        <v>42</v>
      </c>
      <c r="O1523" s="5" t="s">
        <v>43</v>
      </c>
      <c r="P1523" s="10" t="s">
        <v>44</v>
      </c>
      <c r="Q1523" s="10" t="s">
        <v>44</v>
      </c>
      <c r="R1523" s="11" t="s">
        <v>66</v>
      </c>
      <c r="S1523" s="11" t="s">
        <v>67</v>
      </c>
      <c r="T1523" s="22"/>
      <c r="U1523" s="22"/>
      <c r="V1523" s="22"/>
      <c r="W1523" s="22"/>
      <c r="X1523" s="22"/>
      <c r="Y1523" s="22"/>
      <c r="Z1523" s="22"/>
      <c r="AA1523" s="22"/>
      <c r="AB1523" s="22"/>
      <c r="AC1523" s="22"/>
      <c r="AD1523" s="22"/>
      <c r="AE1523" s="22"/>
      <c r="AG1523" s="71"/>
      <c r="AH1523" s="71"/>
      <c r="AI1523" s="71"/>
      <c r="AJ1523" s="71"/>
      <c r="AK1523" s="71"/>
      <c r="AL1523" s="71"/>
      <c r="AM1523" s="71"/>
      <c r="AN1523" s="71"/>
      <c r="AO1523" s="71"/>
      <c r="AP1523" s="71"/>
      <c r="AQ1523" s="71"/>
      <c r="AR1523" s="71"/>
      <c r="AS1523" s="94">
        <f t="shared" ca="1" si="1758"/>
        <v>0</v>
      </c>
      <c r="AT1523" s="95">
        <f t="shared" si="1759"/>
        <v>0</v>
      </c>
      <c r="AU1523" s="97">
        <f t="shared" si="1760"/>
        <v>0</v>
      </c>
      <c r="AW1523" s="51">
        <f t="shared" si="1761"/>
        <v>0</v>
      </c>
      <c r="AX1523" s="51">
        <f t="shared" si="1762"/>
        <v>0</v>
      </c>
      <c r="AY1523" s="51">
        <f t="shared" si="1763"/>
        <v>0</v>
      </c>
      <c r="AZ1523" s="51">
        <f t="shared" si="1764"/>
        <v>0</v>
      </c>
      <c r="BA1523" s="51"/>
      <c r="BB1523" s="51"/>
      <c r="BC1523" s="51"/>
      <c r="BD1523" s="51"/>
      <c r="BE1523" s="51"/>
      <c r="BF1523" s="51"/>
      <c r="BG1523" s="51"/>
      <c r="BH1523" s="51"/>
      <c r="BI1523" s="65" cm="1">
        <f t="array" ref="BI1523">IFERROR(INDEX(AW1523:BH1523,1,MATCH(2,1/(AW1523:BH1523&lt;&gt;""))),"")</f>
        <v>0</v>
      </c>
      <c r="BJ1523" s="68" cm="1">
        <f t="array" ref="BJ1523">IF(BM1523 = "", "",IFERROR(INDEX(AW1523:BH1523,1,MATCH(2,1/(AW1523:BH1523&lt;&gt;""),1)-1),""))</f>
        <v>0</v>
      </c>
      <c r="BK1523" s="58">
        <f>IF((IF(AW1523&gt;=115%,115%,AW1523) + IF(AX1523&gt;=115%,115%,AX1523) + IF(AY1523&gt;=115%,115%,AY1523) + (IF(AZ1523&gt;=115%,115%,AZ1523) + IF(BA1523&gt;=115%,115%,BA1523) + IF(BB1523&gt;=115%,115%,BB1523) + IF(BC1523&gt;=115%,115%,BC1523) + IF(BD1523&gt;=115%,115%,BD1523) + IF(BE1523&gt;=115%,115%,BE1523) + IF(BF1523&gt;=115%,115%,BF1523) + IF(BG1523&gt;=115%,115%,BG1523) + IF(BH1523&gt;=115%,115%,BH1523)))/_xlfn.XLOOKUP(F1523,Apuração!A:A,Apuração!B:B)&gt;=1.15,1.15,((IF(AZ1523&gt;=115%,115%,AZ1523) + IF(AX1523&gt;=115%,115%,AX1523) + IF(AY1523&gt;=115%,115%,AY1523) + (IF(AW1523&gt;=115%,115%,AW1523) + IF(BA1523&gt;=115%,115%,BA1523) + IF(BB1523&gt;=115%,115%,BB1523) + IF(BC1523&gt;=115%,115%,BC1523) + IF(BD1523&gt;=115%,115%,BD1523) + IF(BE1523&gt;=115%,115%,BE1523) + IF(BF1523&gt;=115%,115%,BF1523) + IF(BG1523&gt;=115%,115%,BG1523) + IF(BH1523&gt;=115%,115%,BH1523)))/_xlfn.XLOOKUP(F1523,Apuração!A:A,Apuração!B:B)))</f>
        <v>0</v>
      </c>
      <c r="BL1523" s="58" cm="1">
        <f t="array" aca="1" ref="BL1523" ca="1">IF(SUM(IFERROR(IF(INDEX(AW1523:INDEX(AW1523:BH1523, MATCH(2, 1/(AW1523:BH1523&lt;&gt;""), 1)-1), ROW(INDIRECT("1:" &amp; MATCH(2, 1/(AW1523:BH1523&lt;&gt;""), 1)-1))) &gt;= 115%, 115%, INDEX(AW1523:INDEX(AW1523:BH1523, MATCH(2, 1/(AW1523:BH1523&lt;&gt;""), 1)-1), ROW(INDIRECT("1:" &amp; MATCH(2, 1/(AW1523:BH1523&lt;&gt;""), 1)-1)))), 0))/_xlfn.XLOOKUP(F1523,Apuração!A:A,Apuração!B:B)&gt;=1.15,1.15,SUM(IFERROR(IF(INDEX(AW1523:INDEX(AW1523:BH1523, MATCH(2, 1/(AW1523:BH1523&lt;&gt;""), 1)-1), ROW(INDIRECT("1:" &amp; MATCH(2, 1/(AW1523:BH1523&lt;&gt;""), 1)-1))) &gt;= 115%, 115%, INDEX(AW1523:INDEX(AW1523:BH1523, MATCH(2, 1/(AW1523:BH1523&lt;&gt;""), 1)-1), ROW(INDIRECT("1:" &amp; MATCH(2, 1/(AW1523:BH1523&lt;&gt;""), 1)-1)))), 0))/_xlfn.XLOOKUP(F1523,Apuração!A:A,Apuração!B:B))</f>
        <v>0</v>
      </c>
      <c r="BM1523" s="55" cm="1">
        <f t="array" ref="BM1523">IFERROR(
   INDEX($AW$1:$BH$1,
      _xlfn.AGGREGATE(14, 6, COLUMN($AW$1:$BH$1)/(AW1523:BH1523&lt;&gt;""), 2) - COLUMN($AW$1) + 1
   ),
"")</f>
        <v>46082</v>
      </c>
      <c r="BN1523" s="55" cm="1">
        <f t="array" ref="BN1523">IFERROR(INDEX($AW$1:$BH$1,1,MATCH(2,1/(AW1523:BH1523&lt;&gt;""))),"")</f>
        <v>46113</v>
      </c>
      <c r="BO1523" s="53">
        <f ca="1">IFERROR(_xlfn.XLOOKUP(F1523,Apuração!A:A,Apuração!C:C)/_xlfn.XLOOKUP(F1523,Apuração!A:A,Apuração!B:B),0)</f>
        <v>0</v>
      </c>
      <c r="BP1523" s="53">
        <f ca="1">IFERROR(_xlfn.XLOOKUP(F1523,Apuração!A:A,Apuração!D:D)/_xlfn.XLOOKUP(F1523,Apuração!A:A,Apuração!B:B),0)</f>
        <v>0</v>
      </c>
      <c r="BQ1523" s="53">
        <f ca="1">IF(BK1523&gt;=BO1523,0,_xlfn.XLOOKUP(F1523,Apuração!A:A,Apuração!B:B)*(BO1523 + (1/_xlfn.XLOOKUP(F1523,Apuração!A:A,Apuração!B:B)) - BK1523))</f>
        <v>0</v>
      </c>
      <c r="BR1523" s="85">
        <f t="shared" ca="1" si="1765"/>
        <v>0</v>
      </c>
      <c r="BS1523" s="53">
        <f ca="1">IFERROR((_xlfn.XLOOKUP(F1523,Apuração!A:A,Apuração!C:C)+1)/_xlfn.XLOOKUP(F1523,Apuração!A:A,Apuração!B:B),0)</f>
        <v>0.14285714285714285</v>
      </c>
    </row>
    <row r="1524" spans="1:71" ht="25.95" hidden="1" customHeight="1" x14ac:dyDescent="0.3">
      <c r="A1524" s="3" t="s">
        <v>33</v>
      </c>
      <c r="B1524" s="4" t="s">
        <v>60</v>
      </c>
      <c r="C1524" s="5" t="s">
        <v>214</v>
      </c>
      <c r="D1524" s="5" t="s">
        <v>212</v>
      </c>
      <c r="E1524" s="4" t="s">
        <v>61</v>
      </c>
      <c r="F1524" s="4" t="str" cm="1">
        <f t="array" ref="F1524">_xlfn.IFS(
AG1524 &lt;&gt; "", "Jan-Dez/26",
AH1524 &lt;&gt; "", "Fev-Dez/26",
AI1524 &lt;&gt; "", "Mar-Dez/26", AJ1524 &lt;&gt; "", "Abr-Dez/26",
TRUE, "A partir de Junho"
)</f>
        <v>A partir de Junho</v>
      </c>
      <c r="G1524" s="16" t="s">
        <v>62</v>
      </c>
      <c r="H1524" s="7" t="s">
        <v>110</v>
      </c>
      <c r="I1524" s="8" t="s">
        <v>63</v>
      </c>
      <c r="J1524" s="8" t="str" cm="1">
        <f t="array" aca="1" ref="J1524" ca="1">_xlfn.LET(
  _xlpm.actual_value_month, INDEX(T1524:AE1524, MATCH(DATE(YEAR(TODAY()), MONTH(TODAY()), 1), $T$1:$AE$1, 0)),
  IF(_xlpm.actual_value_month &lt;&gt; "",_xlpm.actual_value_month &amp; " ações mensais", "")
)</f>
        <v/>
      </c>
      <c r="K1524" s="17" t="str" cm="1">
        <f t="array" ref="K1524">_xlfn.LET(
    _xlpm.sum_month, SUM(T1524:AE1524),
    IF(_xlpm.sum_month = 0, "", _xlpm.sum_month &amp; " eventos realizados")
)</f>
        <v/>
      </c>
      <c r="L1524" s="9" t="s">
        <v>64</v>
      </c>
      <c r="M1524" s="13" t="s">
        <v>65</v>
      </c>
      <c r="N1524" s="5" t="s">
        <v>42</v>
      </c>
      <c r="O1524" s="5" t="s">
        <v>43</v>
      </c>
      <c r="P1524" s="10" t="s">
        <v>44</v>
      </c>
      <c r="Q1524" s="10" t="s">
        <v>44</v>
      </c>
      <c r="R1524" s="11" t="s">
        <v>66</v>
      </c>
      <c r="S1524" s="11" t="s">
        <v>67</v>
      </c>
      <c r="T1524" s="22"/>
      <c r="U1524" s="22"/>
      <c r="V1524" s="22"/>
      <c r="W1524" s="22"/>
      <c r="X1524" s="22"/>
      <c r="Y1524" s="22"/>
      <c r="Z1524" s="22"/>
      <c r="AA1524" s="22"/>
      <c r="AB1524" s="22"/>
      <c r="AC1524" s="22"/>
      <c r="AD1524" s="22"/>
      <c r="AE1524" s="22"/>
      <c r="AG1524" s="71"/>
      <c r="AH1524" s="71"/>
      <c r="AI1524" s="71"/>
      <c r="AJ1524" s="71"/>
      <c r="AK1524" s="71"/>
      <c r="AL1524" s="71"/>
      <c r="AM1524" s="71"/>
      <c r="AN1524" s="71"/>
      <c r="AO1524" s="71"/>
      <c r="AP1524" s="71"/>
      <c r="AQ1524" s="71"/>
      <c r="AR1524" s="71"/>
      <c r="AS1524" s="94">
        <f t="shared" ca="1" si="1758"/>
        <v>0</v>
      </c>
      <c r="AT1524" s="95">
        <f t="shared" si="1759"/>
        <v>0</v>
      </c>
      <c r="AU1524" s="97">
        <f t="shared" si="1760"/>
        <v>0</v>
      </c>
      <c r="AW1524" s="51">
        <f t="shared" si="1761"/>
        <v>0</v>
      </c>
      <c r="AX1524" s="51">
        <f t="shared" si="1762"/>
        <v>0</v>
      </c>
      <c r="AY1524" s="51">
        <f t="shared" si="1763"/>
        <v>0</v>
      </c>
      <c r="AZ1524" s="51">
        <f t="shared" si="1764"/>
        <v>0</v>
      </c>
      <c r="BA1524" s="51"/>
      <c r="BB1524" s="51"/>
      <c r="BC1524" s="51"/>
      <c r="BD1524" s="51"/>
      <c r="BE1524" s="51"/>
      <c r="BF1524" s="51"/>
      <c r="BG1524" s="51"/>
      <c r="BH1524" s="51"/>
      <c r="BI1524" s="65" cm="1">
        <f t="array" ref="BI1524">IFERROR(INDEX(AW1524:BH1524,1,MATCH(2,1/(AW1524:BH1524&lt;&gt;""))),"")</f>
        <v>0</v>
      </c>
      <c r="BJ1524" s="68" cm="1">
        <f t="array" ref="BJ1524">IF(BM1524 = "", "",IFERROR(INDEX(AW1524:BH1524,1,MATCH(2,1/(AW1524:BH1524&lt;&gt;""),1)-1),""))</f>
        <v>0</v>
      </c>
      <c r="BK1524" s="58">
        <f>IF((IF(AW1524&gt;=115%,115%,AW1524) + IF(AX1524&gt;=115%,115%,AX1524) + IF(AY1524&gt;=115%,115%,AY1524) + (IF(AZ1524&gt;=115%,115%,AZ1524) + IF(BA1524&gt;=115%,115%,BA1524) + IF(BB1524&gt;=115%,115%,BB1524) + IF(BC1524&gt;=115%,115%,BC1524) + IF(BD1524&gt;=115%,115%,BD1524) + IF(BE1524&gt;=115%,115%,BE1524) + IF(BF1524&gt;=115%,115%,BF1524) + IF(BG1524&gt;=115%,115%,BG1524) + IF(BH1524&gt;=115%,115%,BH1524)))/_xlfn.XLOOKUP(F1524,Apuração!A:A,Apuração!B:B)&gt;=1.15,1.15,((IF(AZ1524&gt;=115%,115%,AZ1524) + IF(AX1524&gt;=115%,115%,AX1524) + IF(AY1524&gt;=115%,115%,AY1524) + (IF(AW1524&gt;=115%,115%,AW1524) + IF(BA1524&gt;=115%,115%,BA1524) + IF(BB1524&gt;=115%,115%,BB1524) + IF(BC1524&gt;=115%,115%,BC1524) + IF(BD1524&gt;=115%,115%,BD1524) + IF(BE1524&gt;=115%,115%,BE1524) + IF(BF1524&gt;=115%,115%,BF1524) + IF(BG1524&gt;=115%,115%,BG1524) + IF(BH1524&gt;=115%,115%,BH1524)))/_xlfn.XLOOKUP(F1524,Apuração!A:A,Apuração!B:B)))</f>
        <v>0</v>
      </c>
      <c r="BL1524" s="58" cm="1">
        <f t="array" aca="1" ref="BL1524" ca="1">IF(SUM(IFERROR(IF(INDEX(AW1524:INDEX(AW1524:BH1524, MATCH(2, 1/(AW1524:BH1524&lt;&gt;""), 1)-1), ROW(INDIRECT("1:" &amp; MATCH(2, 1/(AW1524:BH1524&lt;&gt;""), 1)-1))) &gt;= 115%, 115%, INDEX(AW1524:INDEX(AW1524:BH1524, MATCH(2, 1/(AW1524:BH1524&lt;&gt;""), 1)-1), ROW(INDIRECT("1:" &amp; MATCH(2, 1/(AW1524:BH1524&lt;&gt;""), 1)-1)))), 0))/_xlfn.XLOOKUP(F1524,Apuração!A:A,Apuração!B:B)&gt;=1.15,1.15,SUM(IFERROR(IF(INDEX(AW1524:INDEX(AW1524:BH1524, MATCH(2, 1/(AW1524:BH1524&lt;&gt;""), 1)-1), ROW(INDIRECT("1:" &amp; MATCH(2, 1/(AW1524:BH1524&lt;&gt;""), 1)-1))) &gt;= 115%, 115%, INDEX(AW1524:INDEX(AW1524:BH1524, MATCH(2, 1/(AW1524:BH1524&lt;&gt;""), 1)-1), ROW(INDIRECT("1:" &amp; MATCH(2, 1/(AW1524:BH1524&lt;&gt;""), 1)-1)))), 0))/_xlfn.XLOOKUP(F1524,Apuração!A:A,Apuração!B:B))</f>
        <v>0</v>
      </c>
      <c r="BM1524" s="55" cm="1">
        <f t="array" ref="BM1524">IFERROR(
   INDEX($AW$1:$BH$1,
      _xlfn.AGGREGATE(14, 6, COLUMN($AW$1:$BH$1)/(AW1524:BH1524&lt;&gt;""), 2) - COLUMN($AW$1) + 1
   ),
"")</f>
        <v>46082</v>
      </c>
      <c r="BN1524" s="55" cm="1">
        <f t="array" ref="BN1524">IFERROR(INDEX($AW$1:$BH$1,1,MATCH(2,1/(AW1524:BH1524&lt;&gt;""))),"")</f>
        <v>46113</v>
      </c>
      <c r="BO1524" s="53">
        <f ca="1">IFERROR(_xlfn.XLOOKUP(F1524,Apuração!A:A,Apuração!C:C)/_xlfn.XLOOKUP(F1524,Apuração!A:A,Apuração!B:B),0)</f>
        <v>0</v>
      </c>
      <c r="BP1524" s="53">
        <f ca="1">IFERROR(_xlfn.XLOOKUP(F1524,Apuração!A:A,Apuração!D:D)/_xlfn.XLOOKUP(F1524,Apuração!A:A,Apuração!B:B),0)</f>
        <v>0</v>
      </c>
      <c r="BQ1524" s="53">
        <f ca="1">IF(BK1524&gt;=BO1524,0,_xlfn.XLOOKUP(F1524,Apuração!A:A,Apuração!B:B)*(BO1524 + (1/_xlfn.XLOOKUP(F1524,Apuração!A:A,Apuração!B:B)) - BK1524))</f>
        <v>0</v>
      </c>
      <c r="BR1524" s="85">
        <f t="shared" ca="1" si="1765"/>
        <v>0</v>
      </c>
      <c r="BS1524" s="53">
        <f ca="1">IFERROR((_xlfn.XLOOKUP(F1524,Apuração!A:A,Apuração!C:C)+1)/_xlfn.XLOOKUP(F1524,Apuração!A:A,Apuração!B:B),0)</f>
        <v>0.14285714285714285</v>
      </c>
    </row>
    <row r="1525" spans="1:71" ht="25.95" hidden="1" customHeight="1" x14ac:dyDescent="0.3">
      <c r="A1525" s="3" t="s">
        <v>33</v>
      </c>
      <c r="B1525" s="4" t="s">
        <v>60</v>
      </c>
      <c r="C1525" s="5" t="s">
        <v>214</v>
      </c>
      <c r="D1525" s="5" t="s">
        <v>48</v>
      </c>
      <c r="E1525" s="4" t="s">
        <v>61</v>
      </c>
      <c r="F1525" s="4" t="str" cm="1">
        <f t="array" ref="F1525">_xlfn.IFS(
AG1525 &lt;&gt; "", "Jan-Dez/26",
AH1525 &lt;&gt; "", "Fev-Dez/26",
AI1525 &lt;&gt; "", "Mar-Dez/26", AJ1525 &lt;&gt; "", "Abr-Dez/26",
TRUE, "A partir de Junho"
)</f>
        <v>A partir de Junho</v>
      </c>
      <c r="G1525" s="16" t="s">
        <v>62</v>
      </c>
      <c r="H1525" s="7" t="s">
        <v>110</v>
      </c>
      <c r="I1525" s="8" t="s">
        <v>63</v>
      </c>
      <c r="J1525" s="8" t="str" cm="1">
        <f t="array" aca="1" ref="J1525" ca="1">_xlfn.LET(
  _xlpm.actual_value_month, INDEX(T1525:AE1525, MATCH(DATE(YEAR(TODAY()), MONTH(TODAY()), 1), $T$1:$AE$1, 0)),
  IF(_xlpm.actual_value_month &lt;&gt; "",_xlpm.actual_value_month &amp; " ações mensais", "")
)</f>
        <v/>
      </c>
      <c r="K1525" s="17" t="str" cm="1">
        <f t="array" ref="K1525">_xlfn.LET(
    _xlpm.sum_month, SUM(T1525:AE1525),
    IF(_xlpm.sum_month = 0, "", _xlpm.sum_month &amp; " eventos realizados")
)</f>
        <v/>
      </c>
      <c r="L1525" s="9" t="s">
        <v>64</v>
      </c>
      <c r="M1525" s="13" t="s">
        <v>65</v>
      </c>
      <c r="N1525" s="5" t="s">
        <v>42</v>
      </c>
      <c r="O1525" s="5" t="s">
        <v>43</v>
      </c>
      <c r="P1525" s="10" t="s">
        <v>44</v>
      </c>
      <c r="Q1525" s="10" t="s">
        <v>44</v>
      </c>
      <c r="R1525" s="11" t="s">
        <v>66</v>
      </c>
      <c r="S1525" s="11" t="s">
        <v>67</v>
      </c>
      <c r="T1525" s="22"/>
      <c r="U1525" s="22"/>
      <c r="V1525" s="22"/>
      <c r="W1525" s="22"/>
      <c r="X1525" s="22"/>
      <c r="Y1525" s="22"/>
      <c r="Z1525" s="22"/>
      <c r="AA1525" s="22"/>
      <c r="AB1525" s="22"/>
      <c r="AC1525" s="22"/>
      <c r="AD1525" s="22"/>
      <c r="AE1525" s="22"/>
      <c r="AG1525" s="71"/>
      <c r="AH1525" s="71"/>
      <c r="AI1525" s="71"/>
      <c r="AJ1525" s="71"/>
      <c r="AK1525" s="71"/>
      <c r="AL1525" s="71"/>
      <c r="AM1525" s="71"/>
      <c r="AN1525" s="71"/>
      <c r="AO1525" s="71"/>
      <c r="AP1525" s="71"/>
      <c r="AQ1525" s="71"/>
      <c r="AR1525" s="71"/>
      <c r="AS1525" s="94">
        <f t="shared" ca="1" si="1758"/>
        <v>0</v>
      </c>
      <c r="AT1525" s="95">
        <f t="shared" si="1759"/>
        <v>0</v>
      </c>
      <c r="AU1525" s="97">
        <f t="shared" si="1760"/>
        <v>0</v>
      </c>
      <c r="AW1525" s="51">
        <f t="shared" si="1761"/>
        <v>0</v>
      </c>
      <c r="AX1525" s="51">
        <f t="shared" si="1762"/>
        <v>0</v>
      </c>
      <c r="AY1525" s="51">
        <f t="shared" si="1763"/>
        <v>0</v>
      </c>
      <c r="AZ1525" s="51">
        <f t="shared" si="1764"/>
        <v>0</v>
      </c>
      <c r="BA1525" s="51"/>
      <c r="BB1525" s="51"/>
      <c r="BC1525" s="51"/>
      <c r="BD1525" s="51"/>
      <c r="BE1525" s="51"/>
      <c r="BF1525" s="51"/>
      <c r="BG1525" s="51"/>
      <c r="BH1525" s="51"/>
      <c r="BI1525" s="65" cm="1">
        <f t="array" ref="BI1525">IFERROR(INDEX(AW1525:BH1525,1,MATCH(2,1/(AW1525:BH1525&lt;&gt;""))),"")</f>
        <v>0</v>
      </c>
      <c r="BJ1525" s="68" cm="1">
        <f t="array" ref="BJ1525">IF(BM1525 = "", "",IFERROR(INDEX(AW1525:BH1525,1,MATCH(2,1/(AW1525:BH1525&lt;&gt;""),1)-1),""))</f>
        <v>0</v>
      </c>
      <c r="BK1525" s="58">
        <f>IF((IF(AW1525&gt;=115%,115%,AW1525) + IF(AX1525&gt;=115%,115%,AX1525) + IF(AY1525&gt;=115%,115%,AY1525) + (IF(AZ1525&gt;=115%,115%,AZ1525) + IF(BA1525&gt;=115%,115%,BA1525) + IF(BB1525&gt;=115%,115%,BB1525) + IF(BC1525&gt;=115%,115%,BC1525) + IF(BD1525&gt;=115%,115%,BD1525) + IF(BE1525&gt;=115%,115%,BE1525) + IF(BF1525&gt;=115%,115%,BF1525) + IF(BG1525&gt;=115%,115%,BG1525) + IF(BH1525&gt;=115%,115%,BH1525)))/_xlfn.XLOOKUP(F1525,Apuração!A:A,Apuração!B:B)&gt;=1.15,1.15,((IF(AZ1525&gt;=115%,115%,AZ1525) + IF(AX1525&gt;=115%,115%,AX1525) + IF(AY1525&gt;=115%,115%,AY1525) + (IF(AW1525&gt;=115%,115%,AW1525) + IF(BA1525&gt;=115%,115%,BA1525) + IF(BB1525&gt;=115%,115%,BB1525) + IF(BC1525&gt;=115%,115%,BC1525) + IF(BD1525&gt;=115%,115%,BD1525) + IF(BE1525&gt;=115%,115%,BE1525) + IF(BF1525&gt;=115%,115%,BF1525) + IF(BG1525&gt;=115%,115%,BG1525) + IF(BH1525&gt;=115%,115%,BH1525)))/_xlfn.XLOOKUP(F1525,Apuração!A:A,Apuração!B:B)))</f>
        <v>0</v>
      </c>
      <c r="BL1525" s="58" cm="1">
        <f t="array" aca="1" ref="BL1525" ca="1">IF(SUM(IFERROR(IF(INDEX(AW1525:INDEX(AW1525:BH1525, MATCH(2, 1/(AW1525:BH1525&lt;&gt;""), 1)-1), ROW(INDIRECT("1:" &amp; MATCH(2, 1/(AW1525:BH1525&lt;&gt;""), 1)-1))) &gt;= 115%, 115%, INDEX(AW1525:INDEX(AW1525:BH1525, MATCH(2, 1/(AW1525:BH1525&lt;&gt;""), 1)-1), ROW(INDIRECT("1:" &amp; MATCH(2, 1/(AW1525:BH1525&lt;&gt;""), 1)-1)))), 0))/_xlfn.XLOOKUP(F1525,Apuração!A:A,Apuração!B:B)&gt;=1.15,1.15,SUM(IFERROR(IF(INDEX(AW1525:INDEX(AW1525:BH1525, MATCH(2, 1/(AW1525:BH1525&lt;&gt;""), 1)-1), ROW(INDIRECT("1:" &amp; MATCH(2, 1/(AW1525:BH1525&lt;&gt;""), 1)-1))) &gt;= 115%, 115%, INDEX(AW1525:INDEX(AW1525:BH1525, MATCH(2, 1/(AW1525:BH1525&lt;&gt;""), 1)-1), ROW(INDIRECT("1:" &amp; MATCH(2, 1/(AW1525:BH1525&lt;&gt;""), 1)-1)))), 0))/_xlfn.XLOOKUP(F1525,Apuração!A:A,Apuração!B:B))</f>
        <v>0</v>
      </c>
      <c r="BM1525" s="55" cm="1">
        <f t="array" ref="BM1525">IFERROR(
   INDEX($AW$1:$BH$1,
      _xlfn.AGGREGATE(14, 6, COLUMN($AW$1:$BH$1)/(AW1525:BH1525&lt;&gt;""), 2) - COLUMN($AW$1) + 1
   ),
"")</f>
        <v>46082</v>
      </c>
      <c r="BN1525" s="55" cm="1">
        <f t="array" ref="BN1525">IFERROR(INDEX($AW$1:$BH$1,1,MATCH(2,1/(AW1525:BH1525&lt;&gt;""))),"")</f>
        <v>46113</v>
      </c>
      <c r="BO1525" s="53">
        <f ca="1">IFERROR(_xlfn.XLOOKUP(F1525,Apuração!A:A,Apuração!C:C)/_xlfn.XLOOKUP(F1525,Apuração!A:A,Apuração!B:B),0)</f>
        <v>0</v>
      </c>
      <c r="BP1525" s="53">
        <f ca="1">IFERROR(_xlfn.XLOOKUP(F1525,Apuração!A:A,Apuração!D:D)/_xlfn.XLOOKUP(F1525,Apuração!A:A,Apuração!B:B),0)</f>
        <v>0</v>
      </c>
      <c r="BQ1525" s="53">
        <f ca="1">IF(BK1525&gt;=BO1525,0,_xlfn.XLOOKUP(F1525,Apuração!A:A,Apuração!B:B)*(BO1525 + (1/_xlfn.XLOOKUP(F1525,Apuração!A:A,Apuração!B:B)) - BK1525))</f>
        <v>0</v>
      </c>
      <c r="BR1525" s="85">
        <f t="shared" ca="1" si="1765"/>
        <v>0</v>
      </c>
      <c r="BS1525" s="53">
        <f ca="1">IFERROR((_xlfn.XLOOKUP(F1525,Apuração!A:A,Apuração!C:C)+1)/_xlfn.XLOOKUP(F1525,Apuração!A:A,Apuração!B:B),0)</f>
        <v>0.14285714285714285</v>
      </c>
    </row>
    <row r="1526" spans="1:71" ht="25.95" hidden="1" customHeight="1" x14ac:dyDescent="0.3">
      <c r="A1526" s="3" t="s">
        <v>33</v>
      </c>
      <c r="B1526" s="4" t="s">
        <v>60</v>
      </c>
      <c r="C1526" s="5" t="s">
        <v>214</v>
      </c>
      <c r="D1526" s="5" t="s">
        <v>213</v>
      </c>
      <c r="E1526" s="4" t="s">
        <v>61</v>
      </c>
      <c r="F1526" s="4" t="str" cm="1">
        <f t="array" ref="F1526">_xlfn.IFS(
AG1526 &lt;&gt; "", "Jan-Dez/26",
AH1526 &lt;&gt; "", "Fev-Dez/26",
AI1526 &lt;&gt; "", "Mar-Dez/26", AJ1526 &lt;&gt; "", "Abr-Dez/26",
TRUE, "A partir de Junho"
)</f>
        <v>A partir de Junho</v>
      </c>
      <c r="G1526" s="16" t="s">
        <v>62</v>
      </c>
      <c r="H1526" s="7" t="s">
        <v>110</v>
      </c>
      <c r="I1526" s="8" t="s">
        <v>63</v>
      </c>
      <c r="J1526" s="8" t="str" cm="1">
        <f t="array" aca="1" ref="J1526" ca="1">_xlfn.LET(
  _xlpm.actual_value_month, INDEX(T1526:AE1526, MATCH(DATE(YEAR(TODAY()), MONTH(TODAY()), 1), $T$1:$AE$1, 0)),
  IF(_xlpm.actual_value_month &lt;&gt; "",_xlpm.actual_value_month &amp; " ações mensais", "")
)</f>
        <v/>
      </c>
      <c r="K1526" s="17" t="str" cm="1">
        <f t="array" ref="K1526">_xlfn.LET(
    _xlpm.sum_month, SUM(T1526:AE1526),
    IF(_xlpm.sum_month = 0, "", _xlpm.sum_month &amp; " eventos realizados")
)</f>
        <v/>
      </c>
      <c r="L1526" s="9" t="s">
        <v>64</v>
      </c>
      <c r="M1526" s="13" t="s">
        <v>65</v>
      </c>
      <c r="N1526" s="5" t="s">
        <v>42</v>
      </c>
      <c r="O1526" s="5" t="s">
        <v>43</v>
      </c>
      <c r="P1526" s="10" t="s">
        <v>44</v>
      </c>
      <c r="Q1526" s="10" t="s">
        <v>44</v>
      </c>
      <c r="R1526" s="11" t="s">
        <v>66</v>
      </c>
      <c r="S1526" s="11" t="s">
        <v>67</v>
      </c>
      <c r="T1526" s="22"/>
      <c r="U1526" s="22"/>
      <c r="V1526" s="22"/>
      <c r="W1526" s="22"/>
      <c r="X1526" s="22"/>
      <c r="Y1526" s="22"/>
      <c r="Z1526" s="22"/>
      <c r="AA1526" s="22"/>
      <c r="AB1526" s="22"/>
      <c r="AC1526" s="22"/>
      <c r="AD1526" s="22"/>
      <c r="AE1526" s="22"/>
      <c r="AG1526" s="71"/>
      <c r="AH1526" s="71"/>
      <c r="AI1526" s="71"/>
      <c r="AJ1526" s="71"/>
      <c r="AK1526" s="71"/>
      <c r="AL1526" s="71"/>
      <c r="AM1526" s="71"/>
      <c r="AN1526" s="71"/>
      <c r="AO1526" s="71"/>
      <c r="AP1526" s="71"/>
      <c r="AQ1526" s="71"/>
      <c r="AR1526" s="71"/>
      <c r="AS1526" s="94">
        <f t="shared" ca="1" si="1758"/>
        <v>0</v>
      </c>
      <c r="AT1526" s="95">
        <f t="shared" si="1759"/>
        <v>0</v>
      </c>
      <c r="AU1526" s="97">
        <f t="shared" si="1760"/>
        <v>0</v>
      </c>
      <c r="AW1526" s="51">
        <f t="shared" si="1761"/>
        <v>0</v>
      </c>
      <c r="AX1526" s="51">
        <f t="shared" si="1762"/>
        <v>0</v>
      </c>
      <c r="AY1526" s="51">
        <f t="shared" si="1763"/>
        <v>0</v>
      </c>
      <c r="AZ1526" s="51">
        <f t="shared" si="1764"/>
        <v>0</v>
      </c>
      <c r="BA1526" s="51"/>
      <c r="BB1526" s="51"/>
      <c r="BC1526" s="51"/>
      <c r="BD1526" s="51"/>
      <c r="BE1526" s="51"/>
      <c r="BF1526" s="51"/>
      <c r="BG1526" s="51"/>
      <c r="BH1526" s="51"/>
      <c r="BI1526" s="65" cm="1">
        <f t="array" ref="BI1526">IFERROR(INDEX(AW1526:BH1526,1,MATCH(2,1/(AW1526:BH1526&lt;&gt;""))),"")</f>
        <v>0</v>
      </c>
      <c r="BJ1526" s="68" cm="1">
        <f t="array" ref="BJ1526">IF(BM1526 = "", "",IFERROR(INDEX(AW1526:BH1526,1,MATCH(2,1/(AW1526:BH1526&lt;&gt;""),1)-1),""))</f>
        <v>0</v>
      </c>
      <c r="BK1526" s="58">
        <f>IF((IF(AW1526&gt;=115%,115%,AW1526) + IF(AX1526&gt;=115%,115%,AX1526) + IF(AY1526&gt;=115%,115%,AY1526) + (IF(AZ1526&gt;=115%,115%,AZ1526) + IF(BA1526&gt;=115%,115%,BA1526) + IF(BB1526&gt;=115%,115%,BB1526) + IF(BC1526&gt;=115%,115%,BC1526) + IF(BD1526&gt;=115%,115%,BD1526) + IF(BE1526&gt;=115%,115%,BE1526) + IF(BF1526&gt;=115%,115%,BF1526) + IF(BG1526&gt;=115%,115%,BG1526) + IF(BH1526&gt;=115%,115%,BH1526)))/_xlfn.XLOOKUP(F1526,Apuração!A:A,Apuração!B:B)&gt;=1.15,1.15,((IF(AZ1526&gt;=115%,115%,AZ1526) + IF(AX1526&gt;=115%,115%,AX1526) + IF(AY1526&gt;=115%,115%,AY1526) + (IF(AW1526&gt;=115%,115%,AW1526) + IF(BA1526&gt;=115%,115%,BA1526) + IF(BB1526&gt;=115%,115%,BB1526) + IF(BC1526&gt;=115%,115%,BC1526) + IF(BD1526&gt;=115%,115%,BD1526) + IF(BE1526&gt;=115%,115%,BE1526) + IF(BF1526&gt;=115%,115%,BF1526) + IF(BG1526&gt;=115%,115%,BG1526) + IF(BH1526&gt;=115%,115%,BH1526)))/_xlfn.XLOOKUP(F1526,Apuração!A:A,Apuração!B:B)))</f>
        <v>0</v>
      </c>
      <c r="BL1526" s="58" cm="1">
        <f t="array" aca="1" ref="BL1526" ca="1">IF(SUM(IFERROR(IF(INDEX(AW1526:INDEX(AW1526:BH1526, MATCH(2, 1/(AW1526:BH1526&lt;&gt;""), 1)-1), ROW(INDIRECT("1:" &amp; MATCH(2, 1/(AW1526:BH1526&lt;&gt;""), 1)-1))) &gt;= 115%, 115%, INDEX(AW1526:INDEX(AW1526:BH1526, MATCH(2, 1/(AW1526:BH1526&lt;&gt;""), 1)-1), ROW(INDIRECT("1:" &amp; MATCH(2, 1/(AW1526:BH1526&lt;&gt;""), 1)-1)))), 0))/_xlfn.XLOOKUP(F1526,Apuração!A:A,Apuração!B:B)&gt;=1.15,1.15,SUM(IFERROR(IF(INDEX(AW1526:INDEX(AW1526:BH1526, MATCH(2, 1/(AW1526:BH1526&lt;&gt;""), 1)-1), ROW(INDIRECT("1:" &amp; MATCH(2, 1/(AW1526:BH1526&lt;&gt;""), 1)-1))) &gt;= 115%, 115%, INDEX(AW1526:INDEX(AW1526:BH1526, MATCH(2, 1/(AW1526:BH1526&lt;&gt;""), 1)-1), ROW(INDIRECT("1:" &amp; MATCH(2, 1/(AW1526:BH1526&lt;&gt;""), 1)-1)))), 0))/_xlfn.XLOOKUP(F1526,Apuração!A:A,Apuração!B:B))</f>
        <v>0</v>
      </c>
      <c r="BM1526" s="55" cm="1">
        <f t="array" ref="BM1526">IFERROR(
   INDEX($AW$1:$BH$1,
      _xlfn.AGGREGATE(14, 6, COLUMN($AW$1:$BH$1)/(AW1526:BH1526&lt;&gt;""), 2) - COLUMN($AW$1) + 1
   ),
"")</f>
        <v>46082</v>
      </c>
      <c r="BN1526" s="55" cm="1">
        <f t="array" ref="BN1526">IFERROR(INDEX($AW$1:$BH$1,1,MATCH(2,1/(AW1526:BH1526&lt;&gt;""))),"")</f>
        <v>46113</v>
      </c>
      <c r="BO1526" s="53">
        <f ca="1">IFERROR(_xlfn.XLOOKUP(F1526,Apuração!A:A,Apuração!C:C)/_xlfn.XLOOKUP(F1526,Apuração!A:A,Apuração!B:B),0)</f>
        <v>0</v>
      </c>
      <c r="BP1526" s="53">
        <f ca="1">IFERROR(_xlfn.XLOOKUP(F1526,Apuração!A:A,Apuração!D:D)/_xlfn.XLOOKUP(F1526,Apuração!A:A,Apuração!B:B),0)</f>
        <v>0</v>
      </c>
      <c r="BQ1526" s="53">
        <f ca="1">IF(BK1526&gt;=BO1526,0,_xlfn.XLOOKUP(F1526,Apuração!A:A,Apuração!B:B)*(BO1526 + (1/_xlfn.XLOOKUP(F1526,Apuração!A:A,Apuração!B:B)) - BK1526))</f>
        <v>0</v>
      </c>
      <c r="BR1526" s="85">
        <f t="shared" ca="1" si="1765"/>
        <v>0</v>
      </c>
      <c r="BS1526" s="53">
        <f ca="1">IFERROR((_xlfn.XLOOKUP(F1526,Apuração!A:A,Apuração!C:C)+1)/_xlfn.XLOOKUP(F1526,Apuração!A:A,Apuração!B:B),0)</f>
        <v>0.14285714285714285</v>
      </c>
    </row>
    <row r="1527" spans="1:71" ht="25.95" hidden="1" customHeight="1" x14ac:dyDescent="0.3">
      <c r="A1527" s="39" t="s">
        <v>33</v>
      </c>
      <c r="B1527" s="4" t="s">
        <v>60</v>
      </c>
      <c r="C1527" s="5" t="s">
        <v>214</v>
      </c>
      <c r="D1527" s="5" t="s">
        <v>36</v>
      </c>
      <c r="E1527" s="4" t="s">
        <v>61</v>
      </c>
      <c r="F1527" s="4" t="str" cm="1">
        <f t="array" ref="F1527">_xlfn.IFS(
AG1527 &lt;&gt; "", "Jan-Dez/26",
AH1527 &lt;&gt; "", "Fev-Dez/26",
AI1527 &lt;&gt; "", "Mar-Dez/26", AJ1527 &lt;&gt; "", "Abr-Dez/26",
TRUE, "A partir de Junho"
)</f>
        <v>A partir de Junho</v>
      </c>
      <c r="G1527" s="16" t="s">
        <v>62</v>
      </c>
      <c r="H1527" s="7" t="s">
        <v>110</v>
      </c>
      <c r="I1527" s="8" t="s">
        <v>68</v>
      </c>
      <c r="J1527" s="8" t="str" cm="1">
        <f t="array" aca="1" ref="J1527" ca="1">_xlfn.LET(
  _xlpm.actual_value_month, INDEX(T1527:AE1527, MATCH(DATE(YEAR(TODAY()), MONTH(TODAY()), 1), $T$1:$AE$1, 0)),
  IF(_xlpm.actual_value_month &lt;&gt; "",_xlpm.actual_value_month &amp; " ações mensais", "")
)</f>
        <v/>
      </c>
      <c r="K1527" s="18" t="str" cm="1">
        <f t="array" ref="K1527">_xlfn.LET(
    _xlpm.sum_month, SUM(T1527:AE1527),
    IF(_xlpm.sum_month = 0, "", _xlpm.sum_month &amp; " notificações.")
)</f>
        <v/>
      </c>
      <c r="L1527" s="4" t="s">
        <v>69</v>
      </c>
      <c r="M1527" s="19">
        <v>1</v>
      </c>
      <c r="N1527" s="5" t="s">
        <v>51</v>
      </c>
      <c r="O1527" s="5" t="s">
        <v>43</v>
      </c>
      <c r="P1527" s="10" t="s">
        <v>44</v>
      </c>
      <c r="Q1527" s="10" t="s">
        <v>44</v>
      </c>
      <c r="R1527" s="11" t="s">
        <v>44</v>
      </c>
      <c r="S1527" s="11" t="s">
        <v>44</v>
      </c>
      <c r="T1527" s="22"/>
      <c r="U1527" s="22"/>
      <c r="V1527" s="22"/>
      <c r="W1527" s="22"/>
      <c r="X1527" s="22"/>
      <c r="Y1527" s="22"/>
      <c r="Z1527" s="22"/>
      <c r="AA1527" s="22"/>
      <c r="AB1527" s="22"/>
      <c r="AC1527" s="22"/>
      <c r="AD1527" s="22"/>
      <c r="AE1527" s="22"/>
      <c r="AG1527" s="71"/>
      <c r="AH1527" s="71"/>
      <c r="AI1527" s="71"/>
      <c r="AJ1527" s="71"/>
      <c r="AK1527" s="71"/>
      <c r="AL1527" s="71"/>
      <c r="AM1527" s="71"/>
      <c r="AN1527" s="71"/>
      <c r="AO1527" s="71"/>
      <c r="AP1527" s="71"/>
      <c r="AQ1527" s="71"/>
      <c r="AR1527" s="71"/>
      <c r="AS1527" s="94">
        <f ca="1">IF(MONTH(TODAY())=3,SUM(T1527:U1527),IF(MONTH(TODAY())=4,SUM(T1527:V1527),IF(MONTH(TODAY())=5,SUM(T1527:W1527),IF(MONTH(TODAY())=6,SUM(T1527:X1527),IF(MONTH(TODAY())=7,SUM(T1527:Y1527),IF(MONTH(TODAY())=8,SUM(T1527:Z1527),IF(MONTH(TODAY())=9,SUM(T1527:AA1527),IF(MONTH(TODAY())=10,SUM(T1527:AB1527),IF(MONTH(TODAY())=11,SUM(T1527:AC1527),IF(MONTH(TODAY())=12,SUM(T1527:AD1527),IF(MONTH(TODAY())=1,SUM(T1527:AE1527),T1527)))))))))))</f>
        <v>0</v>
      </c>
      <c r="AT1527" s="95">
        <f>SUM(AG1527:AR1527)</f>
        <v>0</v>
      </c>
      <c r="AU1527" s="97">
        <f>SUM(AG1527:AR1527)</f>
        <v>0</v>
      </c>
      <c r="AW1527" s="83">
        <f>AG1527</f>
        <v>0</v>
      </c>
      <c r="AX1527" s="83">
        <f>AH1527</f>
        <v>0</v>
      </c>
      <c r="AY1527" s="83">
        <f>AI1527</f>
        <v>0</v>
      </c>
      <c r="AZ1527" s="83">
        <f>AJ1527</f>
        <v>0</v>
      </c>
      <c r="BA1527" s="52"/>
      <c r="BB1527" s="52"/>
      <c r="BC1527" s="52"/>
      <c r="BD1527" s="52"/>
      <c r="BE1527" s="52"/>
      <c r="BF1527" s="52"/>
      <c r="BG1527" s="52"/>
      <c r="BH1527" s="52"/>
      <c r="BI1527" s="68" cm="1">
        <f t="array" ref="BI1527">IFERROR(INDEX(AW1527:BH1527,1,MATCH(2,1/(AW1527:BH1527&lt;&gt;""))),"")</f>
        <v>0</v>
      </c>
      <c r="BJ1527" s="68" cm="1">
        <f t="array" ref="BJ1527">IF(BM1527 = "", "",IFERROR(INDEX(AW1527:BH1527,1,MATCH(2,1/(AW1527:BH1527&lt;&gt;""),1)-1),""))</f>
        <v>0</v>
      </c>
      <c r="BK1527" s="59">
        <f>IF((IF(AW1527&gt;=150%,150%,AW1527) + IF(AX1527&gt;=150%,150%,AX1527) + IF(AY1527&gt;=150%,150%,AY1527) + (IF(AW1527&gt;=150%,150%,AW1527) + IF(BA1527&gt;=150%,150%,BA1527) + IF(BB1527&gt;=150%,150%,BB1527) + IF(BC1527&gt;=150%,150%,BC1527) + IF(BD1527&gt;=150%,150%,BD1527) + IF(BE1527&gt;=150%,150%,BE1527) + IF(BF1527&gt;=150%,150%,BF1527) + IF(BG1527&gt;=150%,150%,BG1527) + IF(BH1527&gt;=150%,150%,BH1527)))/_xlfn.XLOOKUP(F1527,Apuração!A:A,Apuração!B:B)&gt;=1.15,1.15,((IF(AW1527&gt;=150%,150%,AW1527) + IF(AX1527&gt;=150%,150%,AX1527) + IF(AY1527&gt;=150%,150%,AY1527) + (IF(AW1527&gt;=150%,150%,AW1527) + IF(BA1527&gt;=150%,150%,BA1527) + IF(BB1527&gt;=150%,150%,BB1527) + IF(BC1527&gt;=150%,150%,BC1527) + IF(BD1527&gt;=150%,150%,BD1527) + IF(BE1527&gt;=150%,150%,BE1527) + IF(BF1527&gt;=150%,150%,BF1527) + IF(BG1527&gt;=150%,150%,BG1527) + IF(BH1527&gt;=150%,150%,BH1527)))/_xlfn.XLOOKUP(F1527,Apuração!A:A,Apuração!B:B)))</f>
        <v>0</v>
      </c>
      <c r="BL1527" s="59" cm="1">
        <f t="array" aca="1" ref="BL1527" ca="1">IF(SUM(IFERROR(IF(INDEX(AW1527:INDEX(AW1527:BH1527, MATCH(2, 1/(AW1527:BH1527&lt;&gt;""), 1)-1), ROW(INDIRECT("1:" &amp; MATCH(2, 1/(AW1527:BH1527&lt;&gt;""), 1)-1))) &gt;= 150%, 150%, INDEX(AW1527:INDEX(AW1527:BH1527, MATCH(2, 1/(AW1527:BH1527&lt;&gt;""), 1)-1), ROW(INDIRECT("1:" &amp; MATCH(2, 1/(AW1527:BH1527&lt;&gt;""), 1)-1)))), 0))/_xlfn.XLOOKUP(F1527,Apuração!A:A,Apuração!B:B)&gt;=1.15,1.15,SUM(IFERROR(IF(INDEX(AW1527:INDEX(AW1527:BH1527, MATCH(2, 1/(AW1527:BH1527&lt;&gt;""), 1)-1), ROW(INDIRECT("1:" &amp; MATCH(2, 1/(AW1527:BH1527&lt;&gt;""), 1)-1))) &gt;= 150%, 150%, INDEX(AW1527:INDEX(AW1527:BH1527, MATCH(2, 1/(AW1527:BH1527&lt;&gt;""), 1)-1), ROW(INDIRECT("1:" &amp; MATCH(2, 1/(AW1527:BH1527&lt;&gt;""), 1)-1)))), 0))/_xlfn.XLOOKUP(F1527,Apuração!A:A,Apuração!B:B))</f>
        <v>0</v>
      </c>
      <c r="BM1527" s="55" cm="1">
        <f t="array" ref="BM1527">IFERROR(
   INDEX($AW$1:$BH$1,
      _xlfn.AGGREGATE(14, 6, COLUMN($AW$1:$BH$1)/(AW1527:BH1527&lt;&gt;""), 2) - COLUMN($AW$1) + 1
   ),
"")</f>
        <v>46082</v>
      </c>
      <c r="BN1527" s="55" cm="1">
        <f t="array" ref="BN1527">IFERROR(INDEX($AW$1:$BH$1,1,MATCH(2,1/(AW1527:BH1527&lt;&gt;""))),"")</f>
        <v>46113</v>
      </c>
      <c r="BO1527" s="53">
        <f ca="1">IFERROR(_xlfn.XLOOKUP(F1527,Apuração!A:A,Apuração!C:C)/_xlfn.XLOOKUP(F1527,Apuração!A:A,Apuração!B:B),0)</f>
        <v>0</v>
      </c>
      <c r="BP1527" s="53">
        <f ca="1">IFERROR(_xlfn.XLOOKUP(F1527,Apuração!A:A,Apuração!D:D)/_xlfn.XLOOKUP(F1527,Apuração!A:A,Apuração!B:B),0)</f>
        <v>0</v>
      </c>
      <c r="BQ1527" s="53">
        <f ca="1">IF(BK1527&gt;=BO1527,0,_xlfn.XLOOKUP(F1527,Apuração!A:A,Apuração!B:B)*(BO1527 + (1/_xlfn.XLOOKUP(F1527,Apuração!A:A,Apuração!B:B)) - BK1527))</f>
        <v>0</v>
      </c>
      <c r="BR1527" s="85">
        <f ca="1">IF(BQ1527=0,0,BQ1527*Z1527)</f>
        <v>0</v>
      </c>
      <c r="BS1527" s="53">
        <f ca="1">IFERROR((_xlfn.XLOOKUP(F1527,Apuração!A:A,Apuração!C:C)+1)/_xlfn.XLOOKUP(F1527,Apuração!A:A,Apuração!B:B),0)</f>
        <v>0.14285714285714285</v>
      </c>
    </row>
    <row r="1528" spans="1:71" ht="25.95" hidden="1" customHeight="1" x14ac:dyDescent="0.3">
      <c r="A1528" s="39" t="s">
        <v>33</v>
      </c>
      <c r="B1528" s="4" t="s">
        <v>60</v>
      </c>
      <c r="C1528" s="5" t="s">
        <v>214</v>
      </c>
      <c r="D1528" s="5" t="s">
        <v>210</v>
      </c>
      <c r="E1528" s="4" t="s">
        <v>61</v>
      </c>
      <c r="F1528" s="4" t="str" cm="1">
        <f t="array" ref="F1528">_xlfn.IFS(
AG1528 &lt;&gt; "", "Jan-Dez/26",
AH1528 &lt;&gt; "", "Fev-Dez/26",
AI1528 &lt;&gt; "", "Mar-Dez/26", AJ1528 &lt;&gt; "", "Abr-Dez/26",
TRUE, "A partir de Junho"
)</f>
        <v>A partir de Junho</v>
      </c>
      <c r="G1528" s="16" t="s">
        <v>62</v>
      </c>
      <c r="H1528" s="7" t="s">
        <v>110</v>
      </c>
      <c r="I1528" s="8" t="s">
        <v>68</v>
      </c>
      <c r="J1528" s="8" t="str" cm="1">
        <f t="array" aca="1" ref="J1528" ca="1">_xlfn.LET(
  _xlpm.actual_value_month, INDEX(T1528:AE1528, MATCH(DATE(YEAR(TODAY()), MONTH(TODAY()), 1), $T$1:$AE$1, 0)),
  IF(_xlpm.actual_value_month &lt;&gt; "",_xlpm.actual_value_month &amp; " ações mensais", "")
)</f>
        <v/>
      </c>
      <c r="K1528" s="18" t="str" cm="1">
        <f t="array" ref="K1528">_xlfn.LET(
    _xlpm.sum_month, SUM(T1528:AE1528),
    IF(_xlpm.sum_month = 0, "", _xlpm.sum_month &amp; " notificações.")
)</f>
        <v/>
      </c>
      <c r="L1528" s="4" t="s">
        <v>69</v>
      </c>
      <c r="M1528" s="19">
        <v>1</v>
      </c>
      <c r="N1528" s="5" t="s">
        <v>51</v>
      </c>
      <c r="O1528" s="5" t="s">
        <v>43</v>
      </c>
      <c r="P1528" s="10" t="s">
        <v>44</v>
      </c>
      <c r="Q1528" s="10" t="s">
        <v>44</v>
      </c>
      <c r="R1528" s="11" t="s">
        <v>44</v>
      </c>
      <c r="S1528" s="11" t="s">
        <v>44</v>
      </c>
      <c r="T1528" s="22"/>
      <c r="U1528" s="22"/>
      <c r="V1528" s="22"/>
      <c r="W1528" s="22"/>
      <c r="X1528" s="22"/>
      <c r="Y1528" s="22"/>
      <c r="Z1528" s="22"/>
      <c r="AA1528" s="22"/>
      <c r="AB1528" s="22"/>
      <c r="AC1528" s="22"/>
      <c r="AD1528" s="22"/>
      <c r="AE1528" s="22"/>
      <c r="AG1528" s="71"/>
      <c r="AH1528" s="71"/>
      <c r="AI1528" s="71"/>
      <c r="AJ1528" s="71"/>
      <c r="AK1528" s="71"/>
      <c r="AL1528" s="71"/>
      <c r="AM1528" s="71"/>
      <c r="AN1528" s="71"/>
      <c r="AO1528" s="71"/>
      <c r="AP1528" s="71"/>
      <c r="AQ1528" s="71"/>
      <c r="AR1528" s="71"/>
      <c r="AS1528" s="94">
        <f t="shared" ref="AS1528:AS1532" ca="1" si="1766">IF(MONTH(TODAY())=3,SUM(T1528:U1528),IF(MONTH(TODAY())=4,SUM(T1528:V1528),IF(MONTH(TODAY())=5,SUM(T1528:W1528),IF(MONTH(TODAY())=6,SUM(T1528:X1528),IF(MONTH(TODAY())=7,SUM(T1528:Y1528),IF(MONTH(TODAY())=8,SUM(T1528:Z1528),IF(MONTH(TODAY())=9,SUM(T1528:AA1528),IF(MONTH(TODAY())=10,SUM(T1528:AB1528),IF(MONTH(TODAY())=11,SUM(T1528:AC1528),IF(MONTH(TODAY())=12,SUM(T1528:AD1528),IF(MONTH(TODAY())=1,SUM(T1528:AE1528),T1528)))))))))))</f>
        <v>0</v>
      </c>
      <c r="AT1528" s="95">
        <f t="shared" ref="AT1528:AT1532" si="1767">SUM(AG1528:AR1528)</f>
        <v>0</v>
      </c>
      <c r="AU1528" s="97">
        <f t="shared" ref="AU1528:AU1532" si="1768">SUM(AG1528:AR1528)</f>
        <v>0</v>
      </c>
      <c r="AW1528" s="83">
        <f t="shared" ref="AW1528:AW1532" si="1769">AG1528</f>
        <v>0</v>
      </c>
      <c r="AX1528" s="83">
        <f t="shared" ref="AX1528:AX1532" si="1770">AH1528</f>
        <v>0</v>
      </c>
      <c r="AY1528" s="83">
        <f t="shared" ref="AY1528:AY1532" si="1771">AI1528</f>
        <v>0</v>
      </c>
      <c r="AZ1528" s="83">
        <f t="shared" ref="AZ1528:AZ1532" si="1772">AJ1528</f>
        <v>0</v>
      </c>
      <c r="BA1528" s="52"/>
      <c r="BB1528" s="52"/>
      <c r="BC1528" s="52"/>
      <c r="BD1528" s="52"/>
      <c r="BE1528" s="52"/>
      <c r="BF1528" s="52"/>
      <c r="BG1528" s="52"/>
      <c r="BH1528" s="52"/>
      <c r="BI1528" s="68" cm="1">
        <f t="array" ref="BI1528">IFERROR(INDEX(AW1528:BH1528,1,MATCH(2,1/(AW1528:BH1528&lt;&gt;""))),"")</f>
        <v>0</v>
      </c>
      <c r="BJ1528" s="68" cm="1">
        <f t="array" ref="BJ1528">IF(BM1528 = "", "",IFERROR(INDEX(AW1528:BH1528,1,MATCH(2,1/(AW1528:BH1528&lt;&gt;""),1)-1),""))</f>
        <v>0</v>
      </c>
      <c r="BK1528" s="59">
        <f>IF((IF(AW1528&gt;=150%,150%,AW1528) + IF(AX1528&gt;=150%,150%,AX1528) + IF(AY1528&gt;=150%,150%,AY1528) + (IF(AW1528&gt;=150%,150%,AW1528) + IF(BA1528&gt;=150%,150%,BA1528) + IF(BB1528&gt;=150%,150%,BB1528) + IF(BC1528&gt;=150%,150%,BC1528) + IF(BD1528&gt;=150%,150%,BD1528) + IF(BE1528&gt;=150%,150%,BE1528) + IF(BF1528&gt;=150%,150%,BF1528) + IF(BG1528&gt;=150%,150%,BG1528) + IF(BH1528&gt;=150%,150%,BH1528)))/_xlfn.XLOOKUP(F1528,Apuração!A:A,Apuração!B:B)&gt;=1.15,1.15,((IF(AW1528&gt;=150%,150%,AW1528) + IF(AX1528&gt;=150%,150%,AX1528) + IF(AY1528&gt;=150%,150%,AY1528) + (IF(AW1528&gt;=150%,150%,AW1528) + IF(BA1528&gt;=150%,150%,BA1528) + IF(BB1528&gt;=150%,150%,BB1528) + IF(BC1528&gt;=150%,150%,BC1528) + IF(BD1528&gt;=150%,150%,BD1528) + IF(BE1528&gt;=150%,150%,BE1528) + IF(BF1528&gt;=150%,150%,BF1528) + IF(BG1528&gt;=150%,150%,BG1528) + IF(BH1528&gt;=150%,150%,BH1528)))/_xlfn.XLOOKUP(F1528,Apuração!A:A,Apuração!B:B)))</f>
        <v>0</v>
      </c>
      <c r="BL1528" s="59" cm="1">
        <f t="array" aca="1" ref="BL1528" ca="1">IF(SUM(IFERROR(IF(INDEX(AW1528:INDEX(AW1528:BH1528, MATCH(2, 1/(AW1528:BH1528&lt;&gt;""), 1)-1), ROW(INDIRECT("1:" &amp; MATCH(2, 1/(AW1528:BH1528&lt;&gt;""), 1)-1))) &gt;= 150%, 150%, INDEX(AW1528:INDEX(AW1528:BH1528, MATCH(2, 1/(AW1528:BH1528&lt;&gt;""), 1)-1), ROW(INDIRECT("1:" &amp; MATCH(2, 1/(AW1528:BH1528&lt;&gt;""), 1)-1)))), 0))/_xlfn.XLOOKUP(F1528,Apuração!A:A,Apuração!B:B)&gt;=1.15,1.15,SUM(IFERROR(IF(INDEX(AW1528:INDEX(AW1528:BH1528, MATCH(2, 1/(AW1528:BH1528&lt;&gt;""), 1)-1), ROW(INDIRECT("1:" &amp; MATCH(2, 1/(AW1528:BH1528&lt;&gt;""), 1)-1))) &gt;= 150%, 150%, INDEX(AW1528:INDEX(AW1528:BH1528, MATCH(2, 1/(AW1528:BH1528&lt;&gt;""), 1)-1), ROW(INDIRECT("1:" &amp; MATCH(2, 1/(AW1528:BH1528&lt;&gt;""), 1)-1)))), 0))/_xlfn.XLOOKUP(F1528,Apuração!A:A,Apuração!B:B))</f>
        <v>0</v>
      </c>
      <c r="BM1528" s="55" cm="1">
        <f t="array" ref="BM1528">IFERROR(
   INDEX($AW$1:$BH$1,
      _xlfn.AGGREGATE(14, 6, COLUMN($AW$1:$BH$1)/(AW1528:BH1528&lt;&gt;""), 2) - COLUMN($AW$1) + 1
   ),
"")</f>
        <v>46082</v>
      </c>
      <c r="BN1528" s="55" cm="1">
        <f t="array" ref="BN1528">IFERROR(INDEX($AW$1:$BH$1,1,MATCH(2,1/(AW1528:BH1528&lt;&gt;""))),"")</f>
        <v>46113</v>
      </c>
      <c r="BO1528" s="53">
        <f ca="1">IFERROR(_xlfn.XLOOKUP(F1528,Apuração!A:A,Apuração!C:C)/_xlfn.XLOOKUP(F1528,Apuração!A:A,Apuração!B:B),0)</f>
        <v>0</v>
      </c>
      <c r="BP1528" s="53">
        <f ca="1">IFERROR(_xlfn.XLOOKUP(F1528,Apuração!A:A,Apuração!D:D)/_xlfn.XLOOKUP(F1528,Apuração!A:A,Apuração!B:B),0)</f>
        <v>0</v>
      </c>
      <c r="BQ1528" s="53">
        <f ca="1">IF(BK1528&gt;=BO1528,0,_xlfn.XLOOKUP(F1528,Apuração!A:A,Apuração!B:B)*(BO1528 + (1/_xlfn.XLOOKUP(F1528,Apuração!A:A,Apuração!B:B)) - BK1528))</f>
        <v>0</v>
      </c>
      <c r="BR1528" s="85">
        <f t="shared" ref="BR1528:BR1532" ca="1" si="1773">IF(BQ1528=0,0,BQ1528*Z1528)</f>
        <v>0</v>
      </c>
      <c r="BS1528" s="53">
        <f ca="1">IFERROR((_xlfn.XLOOKUP(F1528,Apuração!A:A,Apuração!C:C)+1)/_xlfn.XLOOKUP(F1528,Apuração!A:A,Apuração!B:B),0)</f>
        <v>0.14285714285714285</v>
      </c>
    </row>
    <row r="1529" spans="1:71" ht="25.95" hidden="1" customHeight="1" x14ac:dyDescent="0.3">
      <c r="A1529" s="39" t="s">
        <v>33</v>
      </c>
      <c r="B1529" s="4" t="s">
        <v>60</v>
      </c>
      <c r="C1529" s="5" t="s">
        <v>214</v>
      </c>
      <c r="D1529" s="5" t="s">
        <v>215</v>
      </c>
      <c r="E1529" s="4" t="s">
        <v>61</v>
      </c>
      <c r="F1529" s="4" t="str" cm="1">
        <f t="array" ref="F1529">_xlfn.IFS(
AG1529 &lt;&gt; "", "Jan-Dez/26",
AH1529 &lt;&gt; "", "Fev-Dez/26",
AI1529 &lt;&gt; "", "Mar-Dez/26", AJ1529 &lt;&gt; "", "Abr-Dez/26",
TRUE, "A partir de Junho"
)</f>
        <v>A partir de Junho</v>
      </c>
      <c r="G1529" s="16" t="s">
        <v>62</v>
      </c>
      <c r="H1529" s="7" t="s">
        <v>110</v>
      </c>
      <c r="I1529" s="8" t="s">
        <v>68</v>
      </c>
      <c r="J1529" s="8" t="str" cm="1">
        <f t="array" aca="1" ref="J1529" ca="1">_xlfn.LET(
  _xlpm.actual_value_month, INDEX(T1529:AE1529, MATCH(DATE(YEAR(TODAY()), MONTH(TODAY()), 1), $T$1:$AE$1, 0)),
  IF(_xlpm.actual_value_month &lt;&gt; "",_xlpm.actual_value_month &amp; " ações mensais", "")
)</f>
        <v/>
      </c>
      <c r="K1529" s="18" t="str" cm="1">
        <f t="array" ref="K1529">_xlfn.LET(
    _xlpm.sum_month, SUM(T1529:AE1529),
    IF(_xlpm.sum_month = 0, "", _xlpm.sum_month &amp; " notificações.")
)</f>
        <v/>
      </c>
      <c r="L1529" s="4" t="s">
        <v>69</v>
      </c>
      <c r="M1529" s="19">
        <v>1</v>
      </c>
      <c r="N1529" s="5" t="s">
        <v>51</v>
      </c>
      <c r="O1529" s="5" t="s">
        <v>43</v>
      </c>
      <c r="P1529" s="10" t="s">
        <v>44</v>
      </c>
      <c r="Q1529" s="10" t="s">
        <v>44</v>
      </c>
      <c r="R1529" s="11" t="s">
        <v>44</v>
      </c>
      <c r="S1529" s="11" t="s">
        <v>44</v>
      </c>
      <c r="T1529" s="22"/>
      <c r="U1529" s="22"/>
      <c r="V1529" s="22"/>
      <c r="W1529" s="22"/>
      <c r="X1529" s="22"/>
      <c r="Y1529" s="22"/>
      <c r="Z1529" s="22"/>
      <c r="AA1529" s="22"/>
      <c r="AB1529" s="22"/>
      <c r="AC1529" s="22"/>
      <c r="AD1529" s="22"/>
      <c r="AE1529" s="22"/>
      <c r="AG1529" s="71"/>
      <c r="AH1529" s="71"/>
      <c r="AI1529" s="71"/>
      <c r="AJ1529" s="71"/>
      <c r="AK1529" s="71"/>
      <c r="AL1529" s="71"/>
      <c r="AM1529" s="71"/>
      <c r="AN1529" s="71"/>
      <c r="AO1529" s="71"/>
      <c r="AP1529" s="71"/>
      <c r="AQ1529" s="71"/>
      <c r="AR1529" s="71"/>
      <c r="AS1529" s="94">
        <f t="shared" ca="1" si="1766"/>
        <v>0</v>
      </c>
      <c r="AT1529" s="95">
        <f t="shared" si="1767"/>
        <v>0</v>
      </c>
      <c r="AU1529" s="97">
        <f t="shared" si="1768"/>
        <v>0</v>
      </c>
      <c r="AW1529" s="83">
        <f t="shared" si="1769"/>
        <v>0</v>
      </c>
      <c r="AX1529" s="83">
        <f t="shared" si="1770"/>
        <v>0</v>
      </c>
      <c r="AY1529" s="83">
        <f t="shared" si="1771"/>
        <v>0</v>
      </c>
      <c r="AZ1529" s="83">
        <f t="shared" si="1772"/>
        <v>0</v>
      </c>
      <c r="BA1529" s="52"/>
      <c r="BB1529" s="52"/>
      <c r="BC1529" s="52"/>
      <c r="BD1529" s="52"/>
      <c r="BE1529" s="52"/>
      <c r="BF1529" s="52"/>
      <c r="BG1529" s="52"/>
      <c r="BH1529" s="52"/>
      <c r="BI1529" s="68" cm="1">
        <f t="array" ref="BI1529">IFERROR(INDEX(AW1529:BH1529,1,MATCH(2,1/(AW1529:BH1529&lt;&gt;""))),"")</f>
        <v>0</v>
      </c>
      <c r="BJ1529" s="68" cm="1">
        <f t="array" ref="BJ1529">IF(BM1529 = "", "",IFERROR(INDEX(AW1529:BH1529,1,MATCH(2,1/(AW1529:BH1529&lt;&gt;""),1)-1),""))</f>
        <v>0</v>
      </c>
      <c r="BK1529" s="59">
        <f>IF((IF(AW1529&gt;=150%,150%,AW1529) + IF(AX1529&gt;=150%,150%,AX1529) + IF(AY1529&gt;=150%,150%,AY1529) + (IF(AW1529&gt;=150%,150%,AW1529) + IF(BA1529&gt;=150%,150%,BA1529) + IF(BB1529&gt;=150%,150%,BB1529) + IF(BC1529&gt;=150%,150%,BC1529) + IF(BD1529&gt;=150%,150%,BD1529) + IF(BE1529&gt;=150%,150%,BE1529) + IF(BF1529&gt;=150%,150%,BF1529) + IF(BG1529&gt;=150%,150%,BG1529) + IF(BH1529&gt;=150%,150%,BH1529)))/_xlfn.XLOOKUP(F1529,Apuração!A:A,Apuração!B:B)&gt;=1.15,1.15,((IF(AW1529&gt;=150%,150%,AW1529) + IF(AX1529&gt;=150%,150%,AX1529) + IF(AY1529&gt;=150%,150%,AY1529) + (IF(AW1529&gt;=150%,150%,AW1529) + IF(BA1529&gt;=150%,150%,BA1529) + IF(BB1529&gt;=150%,150%,BB1529) + IF(BC1529&gt;=150%,150%,BC1529) + IF(BD1529&gt;=150%,150%,BD1529) + IF(BE1529&gt;=150%,150%,BE1529) + IF(BF1529&gt;=150%,150%,BF1529) + IF(BG1529&gt;=150%,150%,BG1529) + IF(BH1529&gt;=150%,150%,BH1529)))/_xlfn.XLOOKUP(F1529,Apuração!A:A,Apuração!B:B)))</f>
        <v>0</v>
      </c>
      <c r="BL1529" s="59" cm="1">
        <f t="array" aca="1" ref="BL1529" ca="1">IF(SUM(IFERROR(IF(INDEX(AW1529:INDEX(AW1529:BH1529, MATCH(2, 1/(AW1529:BH1529&lt;&gt;""), 1)-1), ROW(INDIRECT("1:" &amp; MATCH(2, 1/(AW1529:BH1529&lt;&gt;""), 1)-1))) &gt;= 150%, 150%, INDEX(AW1529:INDEX(AW1529:BH1529, MATCH(2, 1/(AW1529:BH1529&lt;&gt;""), 1)-1), ROW(INDIRECT("1:" &amp; MATCH(2, 1/(AW1529:BH1529&lt;&gt;""), 1)-1)))), 0))/_xlfn.XLOOKUP(F1529,Apuração!A:A,Apuração!B:B)&gt;=1.15,1.15,SUM(IFERROR(IF(INDEX(AW1529:INDEX(AW1529:BH1529, MATCH(2, 1/(AW1529:BH1529&lt;&gt;""), 1)-1), ROW(INDIRECT("1:" &amp; MATCH(2, 1/(AW1529:BH1529&lt;&gt;""), 1)-1))) &gt;= 150%, 150%, INDEX(AW1529:INDEX(AW1529:BH1529, MATCH(2, 1/(AW1529:BH1529&lt;&gt;""), 1)-1), ROW(INDIRECT("1:" &amp; MATCH(2, 1/(AW1529:BH1529&lt;&gt;""), 1)-1)))), 0))/_xlfn.XLOOKUP(F1529,Apuração!A:A,Apuração!B:B))</f>
        <v>0</v>
      </c>
      <c r="BM1529" s="55" cm="1">
        <f t="array" ref="BM1529">IFERROR(
   INDEX($AW$1:$BH$1,
      _xlfn.AGGREGATE(14, 6, COLUMN($AW$1:$BH$1)/(AW1529:BH1529&lt;&gt;""), 2) - COLUMN($AW$1) + 1
   ),
"")</f>
        <v>46082</v>
      </c>
      <c r="BN1529" s="55" cm="1">
        <f t="array" ref="BN1529">IFERROR(INDEX($AW$1:$BH$1,1,MATCH(2,1/(AW1529:BH1529&lt;&gt;""))),"")</f>
        <v>46113</v>
      </c>
      <c r="BO1529" s="53">
        <f ca="1">IFERROR(_xlfn.XLOOKUP(F1529,Apuração!A:A,Apuração!C:C)/_xlfn.XLOOKUP(F1529,Apuração!A:A,Apuração!B:B),0)</f>
        <v>0</v>
      </c>
      <c r="BP1529" s="53">
        <f ca="1">IFERROR(_xlfn.XLOOKUP(F1529,Apuração!A:A,Apuração!D:D)/_xlfn.XLOOKUP(F1529,Apuração!A:A,Apuração!B:B),0)</f>
        <v>0</v>
      </c>
      <c r="BQ1529" s="53">
        <f ca="1">IF(BK1529&gt;=BO1529,0,_xlfn.XLOOKUP(F1529,Apuração!A:A,Apuração!B:B)*(BO1529 + (1/_xlfn.XLOOKUP(F1529,Apuração!A:A,Apuração!B:B)) - BK1529))</f>
        <v>0</v>
      </c>
      <c r="BR1529" s="85">
        <f t="shared" ca="1" si="1773"/>
        <v>0</v>
      </c>
      <c r="BS1529" s="53">
        <f ca="1">IFERROR((_xlfn.XLOOKUP(F1529,Apuração!A:A,Apuração!C:C)+1)/_xlfn.XLOOKUP(F1529,Apuração!A:A,Apuração!B:B),0)</f>
        <v>0.14285714285714285</v>
      </c>
    </row>
    <row r="1530" spans="1:71" ht="25.95" hidden="1" customHeight="1" x14ac:dyDescent="0.3">
      <c r="A1530" s="39" t="s">
        <v>33</v>
      </c>
      <c r="B1530" s="4" t="s">
        <v>60</v>
      </c>
      <c r="C1530" s="5" t="s">
        <v>214</v>
      </c>
      <c r="D1530" s="5" t="s">
        <v>212</v>
      </c>
      <c r="E1530" s="4" t="s">
        <v>61</v>
      </c>
      <c r="F1530" s="4" t="str" cm="1">
        <f t="array" ref="F1530">_xlfn.IFS(
AG1530 &lt;&gt; "", "Jan-Dez/26",
AH1530 &lt;&gt; "", "Fev-Dez/26",
AI1530 &lt;&gt; "", "Mar-Dez/26", AJ1530 &lt;&gt; "", "Abr-Dez/26",
TRUE, "A partir de Junho"
)</f>
        <v>A partir de Junho</v>
      </c>
      <c r="G1530" s="16" t="s">
        <v>62</v>
      </c>
      <c r="H1530" s="7" t="s">
        <v>110</v>
      </c>
      <c r="I1530" s="8" t="s">
        <v>68</v>
      </c>
      <c r="J1530" s="8" t="str" cm="1">
        <f t="array" aca="1" ref="J1530" ca="1">_xlfn.LET(
  _xlpm.actual_value_month, INDEX(T1530:AE1530, MATCH(DATE(YEAR(TODAY()), MONTH(TODAY()), 1), $T$1:$AE$1, 0)),
  IF(_xlpm.actual_value_month &lt;&gt; "",_xlpm.actual_value_month &amp; " ações mensais", "")
)</f>
        <v/>
      </c>
      <c r="K1530" s="18" t="str" cm="1">
        <f t="array" ref="K1530">_xlfn.LET(
    _xlpm.sum_month, SUM(T1530:AE1530),
    IF(_xlpm.sum_month = 0, "", _xlpm.sum_month &amp; " notificações.")
)</f>
        <v/>
      </c>
      <c r="L1530" s="4" t="s">
        <v>69</v>
      </c>
      <c r="M1530" s="19">
        <v>1</v>
      </c>
      <c r="N1530" s="5" t="s">
        <v>51</v>
      </c>
      <c r="O1530" s="5" t="s">
        <v>43</v>
      </c>
      <c r="P1530" s="10" t="s">
        <v>44</v>
      </c>
      <c r="Q1530" s="10" t="s">
        <v>44</v>
      </c>
      <c r="R1530" s="11" t="s">
        <v>44</v>
      </c>
      <c r="S1530" s="11" t="s">
        <v>44</v>
      </c>
      <c r="T1530" s="22"/>
      <c r="U1530" s="22"/>
      <c r="V1530" s="22"/>
      <c r="W1530" s="22"/>
      <c r="X1530" s="22"/>
      <c r="Y1530" s="22"/>
      <c r="Z1530" s="22"/>
      <c r="AA1530" s="22"/>
      <c r="AB1530" s="22"/>
      <c r="AC1530" s="22"/>
      <c r="AD1530" s="22"/>
      <c r="AE1530" s="22"/>
      <c r="AG1530" s="71"/>
      <c r="AH1530" s="71"/>
      <c r="AI1530" s="71"/>
      <c r="AJ1530" s="71"/>
      <c r="AK1530" s="71"/>
      <c r="AL1530" s="71"/>
      <c r="AM1530" s="71"/>
      <c r="AN1530" s="71"/>
      <c r="AO1530" s="71"/>
      <c r="AP1530" s="71"/>
      <c r="AQ1530" s="71"/>
      <c r="AR1530" s="71"/>
      <c r="AS1530" s="94">
        <f t="shared" ca="1" si="1766"/>
        <v>0</v>
      </c>
      <c r="AT1530" s="95">
        <f t="shared" si="1767"/>
        <v>0</v>
      </c>
      <c r="AU1530" s="97">
        <f t="shared" si="1768"/>
        <v>0</v>
      </c>
      <c r="AW1530" s="83">
        <f t="shared" si="1769"/>
        <v>0</v>
      </c>
      <c r="AX1530" s="83">
        <f t="shared" si="1770"/>
        <v>0</v>
      </c>
      <c r="AY1530" s="83">
        <f t="shared" si="1771"/>
        <v>0</v>
      </c>
      <c r="AZ1530" s="83">
        <f t="shared" si="1772"/>
        <v>0</v>
      </c>
      <c r="BA1530" s="52"/>
      <c r="BB1530" s="52"/>
      <c r="BC1530" s="52"/>
      <c r="BD1530" s="52"/>
      <c r="BE1530" s="52"/>
      <c r="BF1530" s="52"/>
      <c r="BG1530" s="52"/>
      <c r="BH1530" s="52"/>
      <c r="BI1530" s="68" cm="1">
        <f t="array" ref="BI1530">IFERROR(INDEX(AW1530:BH1530,1,MATCH(2,1/(AW1530:BH1530&lt;&gt;""))),"")</f>
        <v>0</v>
      </c>
      <c r="BJ1530" s="68" cm="1">
        <f t="array" ref="BJ1530">IF(BM1530 = "", "",IFERROR(INDEX(AW1530:BH1530,1,MATCH(2,1/(AW1530:BH1530&lt;&gt;""),1)-1),""))</f>
        <v>0</v>
      </c>
      <c r="BK1530" s="59">
        <f>IF((IF(AW1530&gt;=150%,150%,AW1530) + IF(AX1530&gt;=150%,150%,AX1530) + IF(AY1530&gt;=150%,150%,AY1530) + (IF(AW1530&gt;=150%,150%,AW1530) + IF(BA1530&gt;=150%,150%,BA1530) + IF(BB1530&gt;=150%,150%,BB1530) + IF(BC1530&gt;=150%,150%,BC1530) + IF(BD1530&gt;=150%,150%,BD1530) + IF(BE1530&gt;=150%,150%,BE1530) + IF(BF1530&gt;=150%,150%,BF1530) + IF(BG1530&gt;=150%,150%,BG1530) + IF(BH1530&gt;=150%,150%,BH1530)))/_xlfn.XLOOKUP(F1530,Apuração!A:A,Apuração!B:B)&gt;=1.15,1.15,((IF(AW1530&gt;=150%,150%,AW1530) + IF(AX1530&gt;=150%,150%,AX1530) + IF(AY1530&gt;=150%,150%,AY1530) + (IF(AW1530&gt;=150%,150%,AW1530) + IF(BA1530&gt;=150%,150%,BA1530) + IF(BB1530&gt;=150%,150%,BB1530) + IF(BC1530&gt;=150%,150%,BC1530) + IF(BD1530&gt;=150%,150%,BD1530) + IF(BE1530&gt;=150%,150%,BE1530) + IF(BF1530&gt;=150%,150%,BF1530) + IF(BG1530&gt;=150%,150%,BG1530) + IF(BH1530&gt;=150%,150%,BH1530)))/_xlfn.XLOOKUP(F1530,Apuração!A:A,Apuração!B:B)))</f>
        <v>0</v>
      </c>
      <c r="BL1530" s="59" cm="1">
        <f t="array" aca="1" ref="BL1530" ca="1">IF(SUM(IFERROR(IF(INDEX(AW1530:INDEX(AW1530:BH1530, MATCH(2, 1/(AW1530:BH1530&lt;&gt;""), 1)-1), ROW(INDIRECT("1:" &amp; MATCH(2, 1/(AW1530:BH1530&lt;&gt;""), 1)-1))) &gt;= 150%, 150%, INDEX(AW1530:INDEX(AW1530:BH1530, MATCH(2, 1/(AW1530:BH1530&lt;&gt;""), 1)-1), ROW(INDIRECT("1:" &amp; MATCH(2, 1/(AW1530:BH1530&lt;&gt;""), 1)-1)))), 0))/_xlfn.XLOOKUP(F1530,Apuração!A:A,Apuração!B:B)&gt;=1.15,1.15,SUM(IFERROR(IF(INDEX(AW1530:INDEX(AW1530:BH1530, MATCH(2, 1/(AW1530:BH1530&lt;&gt;""), 1)-1), ROW(INDIRECT("1:" &amp; MATCH(2, 1/(AW1530:BH1530&lt;&gt;""), 1)-1))) &gt;= 150%, 150%, INDEX(AW1530:INDEX(AW1530:BH1530, MATCH(2, 1/(AW1530:BH1530&lt;&gt;""), 1)-1), ROW(INDIRECT("1:" &amp; MATCH(2, 1/(AW1530:BH1530&lt;&gt;""), 1)-1)))), 0))/_xlfn.XLOOKUP(F1530,Apuração!A:A,Apuração!B:B))</f>
        <v>0</v>
      </c>
      <c r="BM1530" s="55" cm="1">
        <f t="array" ref="BM1530">IFERROR(
   INDEX($AW$1:$BH$1,
      _xlfn.AGGREGATE(14, 6, COLUMN($AW$1:$BH$1)/(AW1530:BH1530&lt;&gt;""), 2) - COLUMN($AW$1) + 1
   ),
"")</f>
        <v>46082</v>
      </c>
      <c r="BN1530" s="55" cm="1">
        <f t="array" ref="BN1530">IFERROR(INDEX($AW$1:$BH$1,1,MATCH(2,1/(AW1530:BH1530&lt;&gt;""))),"")</f>
        <v>46113</v>
      </c>
      <c r="BO1530" s="53">
        <f ca="1">IFERROR(_xlfn.XLOOKUP(F1530,Apuração!A:A,Apuração!C:C)/_xlfn.XLOOKUP(F1530,Apuração!A:A,Apuração!B:B),0)</f>
        <v>0</v>
      </c>
      <c r="BP1530" s="53">
        <f ca="1">IFERROR(_xlfn.XLOOKUP(F1530,Apuração!A:A,Apuração!D:D)/_xlfn.XLOOKUP(F1530,Apuração!A:A,Apuração!B:B),0)</f>
        <v>0</v>
      </c>
      <c r="BQ1530" s="53">
        <f ca="1">IF(BK1530&gt;=BO1530,0,_xlfn.XLOOKUP(F1530,Apuração!A:A,Apuração!B:B)*(BO1530 + (1/_xlfn.XLOOKUP(F1530,Apuração!A:A,Apuração!B:B)) - BK1530))</f>
        <v>0</v>
      </c>
      <c r="BR1530" s="85">
        <f t="shared" ca="1" si="1773"/>
        <v>0</v>
      </c>
      <c r="BS1530" s="53">
        <f ca="1">IFERROR((_xlfn.XLOOKUP(F1530,Apuração!A:A,Apuração!C:C)+1)/_xlfn.XLOOKUP(F1530,Apuração!A:A,Apuração!B:B),0)</f>
        <v>0.14285714285714285</v>
      </c>
    </row>
    <row r="1531" spans="1:71" ht="25.95" hidden="1" customHeight="1" x14ac:dyDescent="0.3">
      <c r="A1531" s="39" t="s">
        <v>33</v>
      </c>
      <c r="B1531" s="4" t="s">
        <v>60</v>
      </c>
      <c r="C1531" s="5" t="s">
        <v>214</v>
      </c>
      <c r="D1531" s="5" t="s">
        <v>48</v>
      </c>
      <c r="E1531" s="4" t="s">
        <v>61</v>
      </c>
      <c r="F1531" s="4" t="str" cm="1">
        <f t="array" ref="F1531">_xlfn.IFS(
AG1531 &lt;&gt; "", "Jan-Dez/26",
AH1531 &lt;&gt; "", "Fev-Dez/26",
AI1531 &lt;&gt; "", "Mar-Dez/26", AJ1531 &lt;&gt; "", "Abr-Dez/26",
TRUE, "A partir de Junho"
)</f>
        <v>A partir de Junho</v>
      </c>
      <c r="G1531" s="16" t="s">
        <v>62</v>
      </c>
      <c r="H1531" s="7" t="s">
        <v>110</v>
      </c>
      <c r="I1531" s="8" t="s">
        <v>68</v>
      </c>
      <c r="J1531" s="8" t="str" cm="1">
        <f t="array" aca="1" ref="J1531" ca="1">_xlfn.LET(
  _xlpm.actual_value_month, INDEX(T1531:AE1531, MATCH(DATE(YEAR(TODAY()), MONTH(TODAY()), 1), $T$1:$AE$1, 0)),
  IF(_xlpm.actual_value_month &lt;&gt; "",_xlpm.actual_value_month &amp; " ações mensais", "")
)</f>
        <v/>
      </c>
      <c r="K1531" s="18" t="str" cm="1">
        <f t="array" ref="K1531">_xlfn.LET(
    _xlpm.sum_month, SUM(T1531:AE1531),
    IF(_xlpm.sum_month = 0, "", _xlpm.sum_month &amp; " notificações.")
)</f>
        <v/>
      </c>
      <c r="L1531" s="4" t="s">
        <v>69</v>
      </c>
      <c r="M1531" s="19">
        <v>1</v>
      </c>
      <c r="N1531" s="5" t="s">
        <v>51</v>
      </c>
      <c r="O1531" s="5" t="s">
        <v>43</v>
      </c>
      <c r="P1531" s="10" t="s">
        <v>44</v>
      </c>
      <c r="Q1531" s="10" t="s">
        <v>44</v>
      </c>
      <c r="R1531" s="11" t="s">
        <v>44</v>
      </c>
      <c r="S1531" s="11" t="s">
        <v>44</v>
      </c>
      <c r="T1531" s="22"/>
      <c r="U1531" s="22"/>
      <c r="V1531" s="22"/>
      <c r="W1531" s="22"/>
      <c r="X1531" s="22"/>
      <c r="Y1531" s="22"/>
      <c r="Z1531" s="22"/>
      <c r="AA1531" s="22"/>
      <c r="AB1531" s="22"/>
      <c r="AC1531" s="22"/>
      <c r="AD1531" s="22"/>
      <c r="AE1531" s="22"/>
      <c r="AG1531" s="71"/>
      <c r="AH1531" s="71"/>
      <c r="AI1531" s="71"/>
      <c r="AJ1531" s="71"/>
      <c r="AK1531" s="71"/>
      <c r="AL1531" s="71"/>
      <c r="AM1531" s="71"/>
      <c r="AN1531" s="71"/>
      <c r="AO1531" s="71"/>
      <c r="AP1531" s="71"/>
      <c r="AQ1531" s="71"/>
      <c r="AR1531" s="71"/>
      <c r="AS1531" s="94">
        <f t="shared" ca="1" si="1766"/>
        <v>0</v>
      </c>
      <c r="AT1531" s="95">
        <f t="shared" si="1767"/>
        <v>0</v>
      </c>
      <c r="AU1531" s="97">
        <f t="shared" si="1768"/>
        <v>0</v>
      </c>
      <c r="AW1531" s="83">
        <f t="shared" si="1769"/>
        <v>0</v>
      </c>
      <c r="AX1531" s="83">
        <f t="shared" si="1770"/>
        <v>0</v>
      </c>
      <c r="AY1531" s="83">
        <f t="shared" si="1771"/>
        <v>0</v>
      </c>
      <c r="AZ1531" s="83">
        <f t="shared" si="1772"/>
        <v>0</v>
      </c>
      <c r="BA1531" s="52"/>
      <c r="BB1531" s="52"/>
      <c r="BC1531" s="52"/>
      <c r="BD1531" s="52"/>
      <c r="BE1531" s="52"/>
      <c r="BF1531" s="52"/>
      <c r="BG1531" s="52"/>
      <c r="BH1531" s="52"/>
      <c r="BI1531" s="68" cm="1">
        <f t="array" ref="BI1531">IFERROR(INDEX(AW1531:BH1531,1,MATCH(2,1/(AW1531:BH1531&lt;&gt;""))),"")</f>
        <v>0</v>
      </c>
      <c r="BJ1531" s="68" cm="1">
        <f t="array" ref="BJ1531">IF(BM1531 = "", "",IFERROR(INDEX(AW1531:BH1531,1,MATCH(2,1/(AW1531:BH1531&lt;&gt;""),1)-1),""))</f>
        <v>0</v>
      </c>
      <c r="BK1531" s="59">
        <f>IF((IF(AW1531&gt;=150%,150%,AW1531) + IF(AX1531&gt;=150%,150%,AX1531) + IF(AY1531&gt;=150%,150%,AY1531) + (IF(AW1531&gt;=150%,150%,AW1531) + IF(BA1531&gt;=150%,150%,BA1531) + IF(BB1531&gt;=150%,150%,BB1531) + IF(BC1531&gt;=150%,150%,BC1531) + IF(BD1531&gt;=150%,150%,BD1531) + IF(BE1531&gt;=150%,150%,BE1531) + IF(BF1531&gt;=150%,150%,BF1531) + IF(BG1531&gt;=150%,150%,BG1531) + IF(BH1531&gt;=150%,150%,BH1531)))/_xlfn.XLOOKUP(F1531,Apuração!A:A,Apuração!B:B)&gt;=1.15,1.15,((IF(AW1531&gt;=150%,150%,AW1531) + IF(AX1531&gt;=150%,150%,AX1531) + IF(AY1531&gt;=150%,150%,AY1531) + (IF(AW1531&gt;=150%,150%,AW1531) + IF(BA1531&gt;=150%,150%,BA1531) + IF(BB1531&gt;=150%,150%,BB1531) + IF(BC1531&gt;=150%,150%,BC1531) + IF(BD1531&gt;=150%,150%,BD1531) + IF(BE1531&gt;=150%,150%,BE1531) + IF(BF1531&gt;=150%,150%,BF1531) + IF(BG1531&gt;=150%,150%,BG1531) + IF(BH1531&gt;=150%,150%,BH1531)))/_xlfn.XLOOKUP(F1531,Apuração!A:A,Apuração!B:B)))</f>
        <v>0</v>
      </c>
      <c r="BL1531" s="59" cm="1">
        <f t="array" aca="1" ref="BL1531" ca="1">IF(SUM(IFERROR(IF(INDEX(AW1531:INDEX(AW1531:BH1531, MATCH(2, 1/(AW1531:BH1531&lt;&gt;""), 1)-1), ROW(INDIRECT("1:" &amp; MATCH(2, 1/(AW1531:BH1531&lt;&gt;""), 1)-1))) &gt;= 150%, 150%, INDEX(AW1531:INDEX(AW1531:BH1531, MATCH(2, 1/(AW1531:BH1531&lt;&gt;""), 1)-1), ROW(INDIRECT("1:" &amp; MATCH(2, 1/(AW1531:BH1531&lt;&gt;""), 1)-1)))), 0))/_xlfn.XLOOKUP(F1531,Apuração!A:A,Apuração!B:B)&gt;=1.15,1.15,SUM(IFERROR(IF(INDEX(AW1531:INDEX(AW1531:BH1531, MATCH(2, 1/(AW1531:BH1531&lt;&gt;""), 1)-1), ROW(INDIRECT("1:" &amp; MATCH(2, 1/(AW1531:BH1531&lt;&gt;""), 1)-1))) &gt;= 150%, 150%, INDEX(AW1531:INDEX(AW1531:BH1531, MATCH(2, 1/(AW1531:BH1531&lt;&gt;""), 1)-1), ROW(INDIRECT("1:" &amp; MATCH(2, 1/(AW1531:BH1531&lt;&gt;""), 1)-1)))), 0))/_xlfn.XLOOKUP(F1531,Apuração!A:A,Apuração!B:B))</f>
        <v>0</v>
      </c>
      <c r="BM1531" s="55" cm="1">
        <f t="array" ref="BM1531">IFERROR(
   INDEX($AW$1:$BH$1,
      _xlfn.AGGREGATE(14, 6, COLUMN($AW$1:$BH$1)/(AW1531:BH1531&lt;&gt;""), 2) - COLUMN($AW$1) + 1
   ),
"")</f>
        <v>46082</v>
      </c>
      <c r="BN1531" s="55" cm="1">
        <f t="array" ref="BN1531">IFERROR(INDEX($AW$1:$BH$1,1,MATCH(2,1/(AW1531:BH1531&lt;&gt;""))),"")</f>
        <v>46113</v>
      </c>
      <c r="BO1531" s="53">
        <f ca="1">IFERROR(_xlfn.XLOOKUP(F1531,Apuração!A:A,Apuração!C:C)/_xlfn.XLOOKUP(F1531,Apuração!A:A,Apuração!B:B),0)</f>
        <v>0</v>
      </c>
      <c r="BP1531" s="53">
        <f ca="1">IFERROR(_xlfn.XLOOKUP(F1531,Apuração!A:A,Apuração!D:D)/_xlfn.XLOOKUP(F1531,Apuração!A:A,Apuração!B:B),0)</f>
        <v>0</v>
      </c>
      <c r="BQ1531" s="53">
        <f ca="1">IF(BK1531&gt;=BO1531,0,_xlfn.XLOOKUP(F1531,Apuração!A:A,Apuração!B:B)*(BO1531 + (1/_xlfn.XLOOKUP(F1531,Apuração!A:A,Apuração!B:B)) - BK1531))</f>
        <v>0</v>
      </c>
      <c r="BR1531" s="85">
        <f t="shared" ca="1" si="1773"/>
        <v>0</v>
      </c>
      <c r="BS1531" s="53">
        <f ca="1">IFERROR((_xlfn.XLOOKUP(F1531,Apuração!A:A,Apuração!C:C)+1)/_xlfn.XLOOKUP(F1531,Apuração!A:A,Apuração!B:B),0)</f>
        <v>0.14285714285714285</v>
      </c>
    </row>
    <row r="1532" spans="1:71" ht="25.95" hidden="1" customHeight="1" x14ac:dyDescent="0.3">
      <c r="A1532" s="39" t="s">
        <v>33</v>
      </c>
      <c r="B1532" s="4" t="s">
        <v>60</v>
      </c>
      <c r="C1532" s="5" t="s">
        <v>214</v>
      </c>
      <c r="D1532" s="5" t="s">
        <v>213</v>
      </c>
      <c r="E1532" s="4" t="s">
        <v>61</v>
      </c>
      <c r="F1532" s="4" t="str" cm="1">
        <f t="array" ref="F1532">_xlfn.IFS(
AG1532 &lt;&gt; "", "Jan-Dez/26",
AH1532 &lt;&gt; "", "Fev-Dez/26",
AI1532 &lt;&gt; "", "Mar-Dez/26", AJ1532 &lt;&gt; "", "Abr-Dez/26",
TRUE, "A partir de Junho"
)</f>
        <v>A partir de Junho</v>
      </c>
      <c r="G1532" s="16" t="s">
        <v>62</v>
      </c>
      <c r="H1532" s="7" t="s">
        <v>110</v>
      </c>
      <c r="I1532" s="8" t="s">
        <v>68</v>
      </c>
      <c r="J1532" s="8" t="str" cm="1">
        <f t="array" aca="1" ref="J1532" ca="1">_xlfn.LET(
  _xlpm.actual_value_month, INDEX(T1532:AE1532, MATCH(DATE(YEAR(TODAY()), MONTH(TODAY()), 1), $T$1:$AE$1, 0)),
  IF(_xlpm.actual_value_month &lt;&gt; "",_xlpm.actual_value_month &amp; " ações mensais", "")
)</f>
        <v/>
      </c>
      <c r="K1532" s="18" t="str" cm="1">
        <f t="array" ref="K1532">_xlfn.LET(
    _xlpm.sum_month, SUM(T1532:AE1532),
    IF(_xlpm.sum_month = 0, "", _xlpm.sum_month &amp; " notificações.")
)</f>
        <v/>
      </c>
      <c r="L1532" s="4" t="s">
        <v>69</v>
      </c>
      <c r="M1532" s="19">
        <v>1</v>
      </c>
      <c r="N1532" s="5" t="s">
        <v>51</v>
      </c>
      <c r="O1532" s="5" t="s">
        <v>43</v>
      </c>
      <c r="P1532" s="10" t="s">
        <v>44</v>
      </c>
      <c r="Q1532" s="10" t="s">
        <v>44</v>
      </c>
      <c r="R1532" s="11" t="s">
        <v>44</v>
      </c>
      <c r="S1532" s="11" t="s">
        <v>44</v>
      </c>
      <c r="T1532" s="22"/>
      <c r="U1532" s="22"/>
      <c r="V1532" s="22"/>
      <c r="W1532" s="22"/>
      <c r="X1532" s="22"/>
      <c r="Y1532" s="22"/>
      <c r="Z1532" s="22"/>
      <c r="AA1532" s="22"/>
      <c r="AB1532" s="22"/>
      <c r="AC1532" s="22"/>
      <c r="AD1532" s="22"/>
      <c r="AE1532" s="22"/>
      <c r="AG1532" s="71"/>
      <c r="AH1532" s="71"/>
      <c r="AI1532" s="71"/>
      <c r="AJ1532" s="71"/>
      <c r="AK1532" s="71"/>
      <c r="AL1532" s="71"/>
      <c r="AM1532" s="71"/>
      <c r="AN1532" s="71"/>
      <c r="AO1532" s="71"/>
      <c r="AP1532" s="71"/>
      <c r="AQ1532" s="71"/>
      <c r="AR1532" s="71"/>
      <c r="AS1532" s="94">
        <f t="shared" ca="1" si="1766"/>
        <v>0</v>
      </c>
      <c r="AT1532" s="95">
        <f t="shared" si="1767"/>
        <v>0</v>
      </c>
      <c r="AU1532" s="97">
        <f t="shared" si="1768"/>
        <v>0</v>
      </c>
      <c r="AW1532" s="83">
        <f t="shared" si="1769"/>
        <v>0</v>
      </c>
      <c r="AX1532" s="83">
        <f t="shared" si="1770"/>
        <v>0</v>
      </c>
      <c r="AY1532" s="83">
        <f t="shared" si="1771"/>
        <v>0</v>
      </c>
      <c r="AZ1532" s="83">
        <f t="shared" si="1772"/>
        <v>0</v>
      </c>
      <c r="BA1532" s="52"/>
      <c r="BB1532" s="52"/>
      <c r="BC1532" s="52"/>
      <c r="BD1532" s="52"/>
      <c r="BE1532" s="52"/>
      <c r="BF1532" s="52"/>
      <c r="BG1532" s="52"/>
      <c r="BH1532" s="52"/>
      <c r="BI1532" s="68" cm="1">
        <f t="array" ref="BI1532">IFERROR(INDEX(AW1532:BH1532,1,MATCH(2,1/(AW1532:BH1532&lt;&gt;""))),"")</f>
        <v>0</v>
      </c>
      <c r="BJ1532" s="68" cm="1">
        <f t="array" ref="BJ1532">IF(BM1532 = "", "",IFERROR(INDEX(AW1532:BH1532,1,MATCH(2,1/(AW1532:BH1532&lt;&gt;""),1)-1),""))</f>
        <v>0</v>
      </c>
      <c r="BK1532" s="59">
        <f>IF((IF(AW1532&gt;=150%,150%,AW1532) + IF(AX1532&gt;=150%,150%,AX1532) + IF(AY1532&gt;=150%,150%,AY1532) + (IF(AW1532&gt;=150%,150%,AW1532) + IF(BA1532&gt;=150%,150%,BA1532) + IF(BB1532&gt;=150%,150%,BB1532) + IF(BC1532&gt;=150%,150%,BC1532) + IF(BD1532&gt;=150%,150%,BD1532) + IF(BE1532&gt;=150%,150%,BE1532) + IF(BF1532&gt;=150%,150%,BF1532) + IF(BG1532&gt;=150%,150%,BG1532) + IF(BH1532&gt;=150%,150%,BH1532)))/_xlfn.XLOOKUP(F1532,Apuração!A:A,Apuração!B:B)&gt;=1.15,1.15,((IF(AW1532&gt;=150%,150%,AW1532) + IF(AX1532&gt;=150%,150%,AX1532) + IF(AY1532&gt;=150%,150%,AY1532) + (IF(AW1532&gt;=150%,150%,AW1532) + IF(BA1532&gt;=150%,150%,BA1532) + IF(BB1532&gt;=150%,150%,BB1532) + IF(BC1532&gt;=150%,150%,BC1532) + IF(BD1532&gt;=150%,150%,BD1532) + IF(BE1532&gt;=150%,150%,BE1532) + IF(BF1532&gt;=150%,150%,BF1532) + IF(BG1532&gt;=150%,150%,BG1532) + IF(BH1532&gt;=150%,150%,BH1532)))/_xlfn.XLOOKUP(F1532,Apuração!A:A,Apuração!B:B)))</f>
        <v>0</v>
      </c>
      <c r="BL1532" s="59" cm="1">
        <f t="array" aca="1" ref="BL1532" ca="1">IF(SUM(IFERROR(IF(INDEX(AW1532:INDEX(AW1532:BH1532, MATCH(2, 1/(AW1532:BH1532&lt;&gt;""), 1)-1), ROW(INDIRECT("1:" &amp; MATCH(2, 1/(AW1532:BH1532&lt;&gt;""), 1)-1))) &gt;= 150%, 150%, INDEX(AW1532:INDEX(AW1532:BH1532, MATCH(2, 1/(AW1532:BH1532&lt;&gt;""), 1)-1), ROW(INDIRECT("1:" &amp; MATCH(2, 1/(AW1532:BH1532&lt;&gt;""), 1)-1)))), 0))/_xlfn.XLOOKUP(F1532,Apuração!A:A,Apuração!B:B)&gt;=1.15,1.15,SUM(IFERROR(IF(INDEX(AW1532:INDEX(AW1532:BH1532, MATCH(2, 1/(AW1532:BH1532&lt;&gt;""), 1)-1), ROW(INDIRECT("1:" &amp; MATCH(2, 1/(AW1532:BH1532&lt;&gt;""), 1)-1))) &gt;= 150%, 150%, INDEX(AW1532:INDEX(AW1532:BH1532, MATCH(2, 1/(AW1532:BH1532&lt;&gt;""), 1)-1), ROW(INDIRECT("1:" &amp; MATCH(2, 1/(AW1532:BH1532&lt;&gt;""), 1)-1)))), 0))/_xlfn.XLOOKUP(F1532,Apuração!A:A,Apuração!B:B))</f>
        <v>0</v>
      </c>
      <c r="BM1532" s="55" cm="1">
        <f t="array" ref="BM1532">IFERROR(
   INDEX($AW$1:$BH$1,
      _xlfn.AGGREGATE(14, 6, COLUMN($AW$1:$BH$1)/(AW1532:BH1532&lt;&gt;""), 2) - COLUMN($AW$1) + 1
   ),
"")</f>
        <v>46082</v>
      </c>
      <c r="BN1532" s="55" cm="1">
        <f t="array" ref="BN1532">IFERROR(INDEX($AW$1:$BH$1,1,MATCH(2,1/(AW1532:BH1532&lt;&gt;""))),"")</f>
        <v>46113</v>
      </c>
      <c r="BO1532" s="53">
        <f ca="1">IFERROR(_xlfn.XLOOKUP(F1532,Apuração!A:A,Apuração!C:C)/_xlfn.XLOOKUP(F1532,Apuração!A:A,Apuração!B:B),0)</f>
        <v>0</v>
      </c>
      <c r="BP1532" s="53">
        <f ca="1">IFERROR(_xlfn.XLOOKUP(F1532,Apuração!A:A,Apuração!D:D)/_xlfn.XLOOKUP(F1532,Apuração!A:A,Apuração!B:B),0)</f>
        <v>0</v>
      </c>
      <c r="BQ1532" s="53">
        <f ca="1">IF(BK1532&gt;=BO1532,0,_xlfn.XLOOKUP(F1532,Apuração!A:A,Apuração!B:B)*(BO1532 + (1/_xlfn.XLOOKUP(F1532,Apuração!A:A,Apuração!B:B)) - BK1532))</f>
        <v>0</v>
      </c>
      <c r="BR1532" s="85">
        <f t="shared" ca="1" si="1773"/>
        <v>0</v>
      </c>
      <c r="BS1532" s="53">
        <f ca="1">IFERROR((_xlfn.XLOOKUP(F1532,Apuração!A:A,Apuração!C:C)+1)/_xlfn.XLOOKUP(F1532,Apuração!A:A,Apuração!B:B),0)</f>
        <v>0.14285714285714285</v>
      </c>
    </row>
    <row r="1533" spans="1:71" ht="25.95" hidden="1" customHeight="1" x14ac:dyDescent="0.3">
      <c r="A1533" s="3" t="s">
        <v>33</v>
      </c>
      <c r="B1533" s="4" t="s">
        <v>70</v>
      </c>
      <c r="C1533" s="5" t="s">
        <v>214</v>
      </c>
      <c r="D1533" s="5" t="s">
        <v>36</v>
      </c>
      <c r="E1533" s="4" t="str" cm="1">
        <f t="array" ref="E1533">_xlfn.IFS(
F1533 = "A partir de Abril", "Aguardando Execução na Distribuidora",
A1533 = "CAPACITAÇÃO", "Em execução no Corporativo",
TRUE, "Em Execução na Distribuidora"
)</f>
        <v>Em Execução na Distribuidora</v>
      </c>
      <c r="F1533" s="4" t="str" cm="1">
        <f t="array" ref="F1533">_xlfn.IFS(
AG1533 &lt;&gt; "", "Jan-Dez/26",
AH1533 &lt;&gt; "", "Fev-Dez/26",
AI1533 &lt;&gt; "", "Mar-Dez/26", AJ1533 &lt;&gt; "", "Abr-Dez/26",
TRUE, "A partir de Junho"
)</f>
        <v>Jan-Dez/26</v>
      </c>
      <c r="G1533" s="4" t="s">
        <v>37</v>
      </c>
      <c r="H1533" s="7" t="s">
        <v>110</v>
      </c>
      <c r="I1533" s="8" t="s">
        <v>55</v>
      </c>
      <c r="J1533" s="8" t="str" cm="1">
        <f t="array" aca="1" ref="J1533" ca="1">_xlfn.LET(
  _xlpm.actual_value_month, INDEX(T1533:AE1533, MATCH(DATE(YEAR(TODAY()), MONTH(TODAY()), 1), $T$1:$AE$1, 0)),
  IF(_xlpm.actual_value_month &lt;&gt; "",_xlpm.actual_value_month &amp; " eventos mensais", "")
)</f>
        <v>5 eventos mensais</v>
      </c>
      <c r="K1533" s="14" t="str" cm="1">
        <f t="array" ref="K1533">_xlfn.LET(
    _xlpm.sum_month, SUM(T1533:AE1533),
    IF(_xlpm.sum_month = 0, "", _xlpm.sum_month &amp; "  eventos no ano")
)</f>
        <v>55  eventos no ano</v>
      </c>
      <c r="L1533" s="9" t="s">
        <v>56</v>
      </c>
      <c r="M1533" s="13" t="s">
        <v>71</v>
      </c>
      <c r="N1533" s="5" t="s">
        <v>42</v>
      </c>
      <c r="O1533" s="5" t="s">
        <v>43</v>
      </c>
      <c r="P1533" s="10" t="s">
        <v>58</v>
      </c>
      <c r="Q1533" s="10" t="s">
        <v>72</v>
      </c>
      <c r="R1533" s="11" t="s">
        <v>45</v>
      </c>
      <c r="S1533" s="11" t="s">
        <v>46</v>
      </c>
      <c r="T1533" s="22">
        <v>4</v>
      </c>
      <c r="U1533" s="22">
        <v>1</v>
      </c>
      <c r="V1533" s="22">
        <v>5</v>
      </c>
      <c r="W1533" s="22">
        <v>5</v>
      </c>
      <c r="X1533" s="22">
        <v>5</v>
      </c>
      <c r="Y1533" s="22">
        <v>5</v>
      </c>
      <c r="Z1533" s="22">
        <v>5</v>
      </c>
      <c r="AA1533" s="22">
        <v>5</v>
      </c>
      <c r="AB1533" s="22">
        <v>5</v>
      </c>
      <c r="AC1533" s="22">
        <v>5</v>
      </c>
      <c r="AD1533" s="22">
        <v>5</v>
      </c>
      <c r="AE1533" s="22">
        <v>5</v>
      </c>
      <c r="AG1533" s="71">
        <v>4</v>
      </c>
      <c r="AH1533" s="71">
        <v>1</v>
      </c>
      <c r="AI1533" s="71">
        <v>5</v>
      </c>
      <c r="AJ1533" s="71">
        <v>8</v>
      </c>
      <c r="AK1533" s="71"/>
      <c r="AL1533" s="71"/>
      <c r="AM1533" s="71"/>
      <c r="AN1533" s="71"/>
      <c r="AO1533" s="71"/>
      <c r="AP1533" s="71"/>
      <c r="AQ1533" s="71"/>
      <c r="AR1533" s="71"/>
      <c r="AS1533" s="94">
        <f ca="1">IF(MONTH(TODAY())=3,SUM(T1533:U1533),IF(MONTH(TODAY())=4,SUM(T1533:V1533),IF(MONTH(TODAY())=5,SUM(T1533:W1533),IF(MONTH(TODAY())=6,SUM(T1533:X1533),IF(MONTH(TODAY())=7,SUM(T1533:Y1533),IF(MONTH(TODAY())=8,SUM(T1533:Z1533),IF(MONTH(TODAY())=9,SUM(T1533:AA1533),IF(MONTH(TODAY())=10,SUM(T1533:AB1533),IF(MONTH(TODAY())=11,SUM(T1533:AC1533),IF(MONTH(TODAY())=12,SUM(T1533:AD1533),IF(MONTH(TODAY())=1,SUM(T1533:AE1533),T1533)))))))))))</f>
        <v>20</v>
      </c>
      <c r="AT1533" s="95">
        <f>SUM(IF(AW1533&lt;1.15,AG1533,1.15*T1533),IF(AX1533&lt;1.15,AH1533,1.15*U1533),IF(AY1533&lt;1.15,AI1533,1.15*V1533),IF(AZ1533&lt;1.15,AJ1533,1.15*W1533),IF(BA1533&lt;1.15,AK1533,1.15*X1533),IF(BB1533&lt;1.15,AL1533,1.15*Y1533),IF(BC1533&lt;1.15,AM1533,1.15*Z1533),IF(BD1533&lt;1.15,AN1533,1.15*AA1533),IF(BE1533&lt;1.15,AO1533,1.15*AB1533),IF(BF1533&lt;1.15,AP1533,1.15*AC1533),IF(BG1533&lt;1.15,AQ1533,1.15*AD1533),IF(BH1533&lt;1.15,AR1533,1.15*AE1533))</f>
        <v>15.75</v>
      </c>
      <c r="AU1533" s="97">
        <f>SUM(AG1533:AR1533)</f>
        <v>18</v>
      </c>
      <c r="AW1533" s="51">
        <f>IFERROR(IF(AG1533="",0,AG1533/T1533),0)</f>
        <v>1</v>
      </c>
      <c r="AX1533" s="51">
        <f>IFERROR(IF(AH1533="",0,AH1533/U1533),0)</f>
        <v>1</v>
      </c>
      <c r="AY1533" s="51">
        <f>IFERROR(IF(AI1533="",0,AI1533/V1533),0)</f>
        <v>1</v>
      </c>
      <c r="AZ1533" s="51">
        <f>IFERROR(IF(AJ1533="",0,AJ1533/W1533),0)</f>
        <v>1.6</v>
      </c>
      <c r="BA1533" s="51"/>
      <c r="BB1533" s="51"/>
      <c r="BC1533" s="51"/>
      <c r="BD1533" s="51"/>
      <c r="BE1533" s="51"/>
      <c r="BF1533" s="51"/>
      <c r="BG1533" s="51"/>
      <c r="BH1533" s="51"/>
      <c r="BI1533" s="65" cm="1">
        <f t="array" ref="BI1533">IFERROR(INDEX(AW1533:BH1533,1,MATCH(2,1/(AW1533:BH1533&lt;&gt;""))),"")</f>
        <v>1.6</v>
      </c>
      <c r="BJ1533" s="68" cm="1">
        <f t="array" ref="BJ1533">IF(BM1533 = "", "",IFERROR(INDEX(AW1533:BH1533,1,MATCH(2,1/(AW1533:BH1533&lt;&gt;""),1)-1),""))</f>
        <v>1</v>
      </c>
      <c r="BK1533" s="58">
        <f>IF((IF(AW1533&gt;=115%,115%,AW1533) + IF(AX1533&gt;=180%,180%,AX1533) + IF(AY1533&gt;=115%,115%,AY1533) + (IF(AZ1533&gt;=115%,115%,AZ1533) + IF(BA1533&gt;=115%,115%,BA1533) + IF(BB1533&gt;=115%,115%,BB1533) + IF(BC1533&gt;=115%,115%,BC1533) + IF(BD1533&gt;=115%,115%,BD1533) + IF(BE1533&gt;=115%,115%,BE1533) + IF(BF1533&gt;=115%,115%,BF1533) + IF(BG1533&gt;=115%,115%,BG1533) + IF(BH1533&gt;=115%,115%,BH1533)))/_xlfn.XLOOKUP(F1533,Apuração!A:A,Apuração!B:B)&gt;=1.15,1.15,((IF(AZ1533&gt;=115%,115%,AZ1533) + IF(AX1533&gt;=180%,180%,AX1533) + IF(AY1533&gt;=115%,115%,AY1533) + (IF(AW1533&gt;=115%,115%,AW1533) + IF(BA1533&gt;=115%,115%,BA1533) + IF(BB1533&gt;=115%,115%,BB1533) + IF(BC1533&gt;=115%,115%,BC1533) + IF(BD1533&gt;=115%,115%,BD1533) + IF(BE1533&gt;=115%,115%,BE1533) + IF(BF1533&gt;=115%,115%,BF1533) + IF(BG1533&gt;=115%,115%,BG1533) + IF(BH1533&gt;=115%,115%,BH1533)))/_xlfn.XLOOKUP(F1533,Apuração!A:A,Apuração!B:B)))</f>
        <v>0.34583333333333338</v>
      </c>
      <c r="BL1533" s="58" cm="1">
        <f t="array" aca="1" ref="BL1533" ca="1">IF(SUM(IFERROR(IF(INDEX(AW1533:INDEX(AW1533:BH1533, MATCH(2, 1/(AW1533:BH1533&lt;&gt;""), 1)-1), ROW(INDIRECT("1:" &amp; MATCH(2, 1/(AW1533:BH1533&lt;&gt;""), 1)-1))) &gt;= 115%, 115%, INDEX(AW1533:INDEX(AW1533:BH1533, MATCH(2, 1/(AW1533:BH1533&lt;&gt;""), 1)-1), ROW(INDIRECT("1:" &amp; MATCH(2, 1/(AW1533:BH1533&lt;&gt;""), 1)-1)))), 0))/_xlfn.XLOOKUP(F1533,Apuração!A:A,Apuração!B:B)&gt;=1.15,1.15,SUM(IFERROR(IF(INDEX(AW1533:INDEX(AW1533:BH1533, MATCH(2, 1/(AW1533:BH1533&lt;&gt;""), 1)-1), ROW(INDIRECT("1:" &amp; MATCH(2, 1/(AW1533:BH1533&lt;&gt;""), 1)-1))) &gt;= 115%, 115%, INDEX(AW1533:INDEX(AW1533:BH1533, MATCH(2, 1/(AW1533:BH1533&lt;&gt;""), 1)-1), ROW(INDIRECT("1:" &amp; MATCH(2, 1/(AW1533:BH1533&lt;&gt;""), 1)-1)))), 0))/_xlfn.XLOOKUP(F1533,Apuração!A:A,Apuração!B:B))</f>
        <v>0.25</v>
      </c>
      <c r="BM1533" s="55" cm="1">
        <f t="array" ref="BM1533">IFERROR(
   INDEX($AW$1:$BH$1,
      _xlfn.AGGREGATE(14, 6, COLUMN($AW$1:$BH$1)/(AW1533:BH1533&lt;&gt;""), 2) - COLUMN($AW$1) + 1
   ),
"")</f>
        <v>46082</v>
      </c>
      <c r="BN1533" s="55" cm="1">
        <f t="array" ref="BN1533">IFERROR(INDEX($AW$1:$BH$1,1,MATCH(2,1/(AW1533:BH1533&lt;&gt;""))),"")</f>
        <v>46113</v>
      </c>
      <c r="BO1533" s="53">
        <f ca="1">IFERROR(_xlfn.XLOOKUP(F1533,Apuração!A:A,Apuração!C:C)/_xlfn.XLOOKUP(F1533,Apuração!A:A,Apuração!B:B),0)</f>
        <v>0.41666666666666669</v>
      </c>
      <c r="BP1533" s="53">
        <f ca="1">IFERROR(_xlfn.XLOOKUP(F1533,Apuração!A:A,Apuração!D:D)/_xlfn.XLOOKUP(F1533,Apuração!A:A,Apuração!B:B),0)</f>
        <v>0.33333333333333331</v>
      </c>
      <c r="BQ1533" s="53">
        <f ca="1">IF(BK1533&gt;=BO1533,0,_xlfn.XLOOKUP(F1533,Apuração!A:A,Apuração!B:B)*(BO1533 + (1/_xlfn.XLOOKUP(F1533,Apuração!A:A,Apuração!B:B)) - BK1533))</f>
        <v>1.8499999999999994</v>
      </c>
      <c r="BR1533" s="85">
        <f ca="1">IF(BQ1533=0,0,BQ1533*Z1533)</f>
        <v>9.2499999999999964</v>
      </c>
      <c r="BS1533" s="53">
        <f ca="1">IFERROR((_xlfn.XLOOKUP(F1533,Apuração!A:A,Apuração!C:C)+1)/_xlfn.XLOOKUP(F1533,Apuração!A:A,Apuração!B:B),0)</f>
        <v>0.5</v>
      </c>
    </row>
    <row r="1534" spans="1:71" ht="25.95" hidden="1" customHeight="1" x14ac:dyDescent="0.3">
      <c r="A1534" s="3" t="s">
        <v>33</v>
      </c>
      <c r="B1534" s="4" t="s">
        <v>70</v>
      </c>
      <c r="C1534" s="5" t="s">
        <v>214</v>
      </c>
      <c r="D1534" s="5" t="s">
        <v>210</v>
      </c>
      <c r="E1534" s="4" t="str" cm="1">
        <f t="array" ref="E1534">_xlfn.IFS(
F1534 = "A partir de Abril", "Aguardando Execução na Distribuidora",
A1534 = "CAPACITAÇÃO", "Em execução no Corporativo",
TRUE, "Em Execução na Distribuidora"
)</f>
        <v>Em Execução na Distribuidora</v>
      </c>
      <c r="F1534" s="4" t="str" cm="1">
        <f t="array" ref="F1534">_xlfn.IFS(
AG1534 &lt;&gt; "", "Jan-Dez/26",
AH1534 &lt;&gt; "", "Fev-Dez/26",
AI1534 &lt;&gt; "", "Mar-Dez/26", AJ1534 &lt;&gt; "", "Abr-Dez/26",
TRUE, "A partir de Junho"
)</f>
        <v>Jan-Dez/26</v>
      </c>
      <c r="G1534" s="4" t="s">
        <v>37</v>
      </c>
      <c r="H1534" s="7" t="s">
        <v>110</v>
      </c>
      <c r="I1534" s="8" t="s">
        <v>55</v>
      </c>
      <c r="J1534" s="8" t="str" cm="1">
        <f t="array" aca="1" ref="J1534" ca="1">_xlfn.LET(
  _xlpm.actual_value_month, INDEX(T1534:AE1534, MATCH(DATE(YEAR(TODAY()), MONTH(TODAY()), 1), $T$1:$AE$1, 0)),
  IF(_xlpm.actual_value_month &lt;&gt; "",_xlpm.actual_value_month &amp; " eventos mensais", "")
)</f>
        <v>1 eventos mensais</v>
      </c>
      <c r="K1534" s="14" t="str" cm="1">
        <f t="array" ref="K1534">_xlfn.LET(
    _xlpm.sum_month, SUM(T1534:AE1534),
    IF(_xlpm.sum_month = 0, "", _xlpm.sum_month &amp; "  eventos no ano")
)</f>
        <v>11  eventos no ano</v>
      </c>
      <c r="L1534" s="9" t="s">
        <v>56</v>
      </c>
      <c r="M1534" s="13" t="s">
        <v>71</v>
      </c>
      <c r="N1534" s="5" t="s">
        <v>42</v>
      </c>
      <c r="O1534" s="5" t="s">
        <v>43</v>
      </c>
      <c r="P1534" s="10" t="s">
        <v>58</v>
      </c>
      <c r="Q1534" s="10" t="s">
        <v>72</v>
      </c>
      <c r="R1534" s="11" t="s">
        <v>45</v>
      </c>
      <c r="S1534" s="11" t="s">
        <v>46</v>
      </c>
      <c r="T1534" s="143">
        <v>1</v>
      </c>
      <c r="U1534" s="143">
        <v>0</v>
      </c>
      <c r="V1534" s="143">
        <v>1</v>
      </c>
      <c r="W1534" s="143">
        <v>1</v>
      </c>
      <c r="X1534" s="143">
        <v>1</v>
      </c>
      <c r="Y1534" s="143">
        <v>1</v>
      </c>
      <c r="Z1534" s="143">
        <v>1</v>
      </c>
      <c r="AA1534" s="143">
        <v>1</v>
      </c>
      <c r="AB1534" s="143">
        <v>1</v>
      </c>
      <c r="AC1534" s="143">
        <v>1</v>
      </c>
      <c r="AD1534" s="143">
        <v>1</v>
      </c>
      <c r="AE1534" s="143">
        <v>1</v>
      </c>
      <c r="AG1534" s="145">
        <v>1</v>
      </c>
      <c r="AH1534" s="149">
        <v>0</v>
      </c>
      <c r="AI1534" s="149">
        <v>1</v>
      </c>
      <c r="AJ1534" s="145">
        <v>0</v>
      </c>
      <c r="AK1534" s="71"/>
      <c r="AL1534" s="71"/>
      <c r="AM1534" s="71"/>
      <c r="AN1534" s="71"/>
      <c r="AO1534" s="71"/>
      <c r="AP1534" s="71"/>
      <c r="AQ1534" s="71"/>
      <c r="AR1534" s="71"/>
      <c r="AS1534" s="94">
        <f t="shared" ref="AS1534:AS1538" ca="1" si="1774">IF(MONTH(TODAY())=3,SUM(T1534:U1534),IF(MONTH(TODAY())=4,SUM(T1534:V1534),IF(MONTH(TODAY())=5,SUM(T1534:W1534),IF(MONTH(TODAY())=6,SUM(T1534:X1534),IF(MONTH(TODAY())=7,SUM(T1534:Y1534),IF(MONTH(TODAY())=8,SUM(T1534:Z1534),IF(MONTH(TODAY())=9,SUM(T1534:AA1534),IF(MONTH(TODAY())=10,SUM(T1534:AB1534),IF(MONTH(TODAY())=11,SUM(T1534:AC1534),IF(MONTH(TODAY())=12,SUM(T1534:AD1534),IF(MONTH(TODAY())=1,SUM(T1534:AE1534),T1534)))))))))))</f>
        <v>4</v>
      </c>
      <c r="AT1534" s="95">
        <f t="shared" ref="AT1534:AT1538" si="1775">SUM(IF(AW1534&lt;1.15,AG1534,1.15*T1534),IF(AX1534&lt;1.15,AH1534,1.15*U1534),IF(AY1534&lt;1.15,AI1534,1.15*V1534),IF(AZ1534&lt;1.15,AJ1534,1.15*W1534),IF(BA1534&lt;1.15,AK1534,1.15*X1534),IF(BB1534&lt;1.15,AL1534,1.15*Y1534),IF(BC1534&lt;1.15,AM1534,1.15*Z1534),IF(BD1534&lt;1.15,AN1534,1.15*AA1534),IF(BE1534&lt;1.15,AO1534,1.15*AB1534),IF(BF1534&lt;1.15,AP1534,1.15*AC1534),IF(BG1534&lt;1.15,AQ1534,1.15*AD1534),IF(BH1534&lt;1.15,AR1534,1.15*AE1534))</f>
        <v>2</v>
      </c>
      <c r="AU1534" s="97">
        <f t="shared" ref="AU1534:AU1538" si="1776">SUM(AG1534:AR1534)</f>
        <v>2</v>
      </c>
      <c r="AW1534" s="51">
        <f t="shared" ref="AW1534:AW1538" si="1777">IFERROR(IF(AG1534="",0,AG1534/T1534),0)</f>
        <v>1</v>
      </c>
      <c r="AX1534" s="51">
        <f t="shared" ref="AX1534:AX1538" si="1778">IFERROR(IF(AH1534="",0,AH1534/U1534),0)</f>
        <v>0</v>
      </c>
      <c r="AY1534" s="51">
        <f t="shared" ref="AY1534:AY1538" si="1779">IFERROR(IF(AI1534="",0,AI1534/V1534),0)</f>
        <v>1</v>
      </c>
      <c r="AZ1534" s="51">
        <f t="shared" ref="AZ1534:AZ1538" si="1780">IFERROR(IF(AJ1534="",0,AJ1534/W1534),0)</f>
        <v>0</v>
      </c>
      <c r="BA1534" s="51"/>
      <c r="BB1534" s="51"/>
      <c r="BC1534" s="51"/>
      <c r="BD1534" s="51"/>
      <c r="BE1534" s="51"/>
      <c r="BF1534" s="51"/>
      <c r="BG1534" s="51"/>
      <c r="BH1534" s="51"/>
      <c r="BI1534" s="65" cm="1">
        <f t="array" ref="BI1534">IFERROR(INDEX(AW1534:BH1534,1,MATCH(2,1/(AW1534:BH1534&lt;&gt;""))),"")</f>
        <v>0</v>
      </c>
      <c r="BJ1534" s="68" cm="1">
        <f t="array" ref="BJ1534">IF(BM1534 = "", "",IFERROR(INDEX(AW1534:BH1534,1,MATCH(2,1/(AW1534:BH1534&lt;&gt;""),1)-1),""))</f>
        <v>1</v>
      </c>
      <c r="BK1534" s="58">
        <f>IF((IF(AW1534&gt;=115%,115%,AW1534) + IF(AX1534&gt;=180%,180%,AX1534) + IF(AY1534&gt;=115%,115%,AY1534) + (IF(AZ1534&gt;=115%,115%,AZ1534) + IF(BA1534&gt;=115%,115%,BA1534) + IF(BB1534&gt;=115%,115%,BB1534) + IF(BC1534&gt;=115%,115%,BC1534) + IF(BD1534&gt;=115%,115%,BD1534) + IF(BE1534&gt;=115%,115%,BE1534) + IF(BF1534&gt;=115%,115%,BF1534) + IF(BG1534&gt;=115%,115%,BG1534) + IF(BH1534&gt;=115%,115%,BH1534)))/_xlfn.XLOOKUP(F1534,Apuração!A:A,Apuração!B:B)&gt;=1.15,1.15,((IF(AZ1534&gt;=115%,115%,AZ1534) + IF(AX1534&gt;=180%,180%,AX1534) + IF(AY1534&gt;=115%,115%,AY1534) + (IF(AW1534&gt;=115%,115%,AW1534) + IF(BA1534&gt;=115%,115%,BA1534) + IF(BB1534&gt;=115%,115%,BB1534) + IF(BC1534&gt;=115%,115%,BC1534) + IF(BD1534&gt;=115%,115%,BD1534) + IF(BE1534&gt;=115%,115%,BE1534) + IF(BF1534&gt;=115%,115%,BF1534) + IF(BG1534&gt;=115%,115%,BG1534) + IF(BH1534&gt;=115%,115%,BH1534)))/_xlfn.XLOOKUP(F1534,Apuração!A:A,Apuração!B:B)))</f>
        <v>0.16666666666666666</v>
      </c>
      <c r="BL1534" s="58" cm="1">
        <f t="array" aca="1" ref="BL1534" ca="1">IF(SUM(IFERROR(IF(INDEX(AW1534:INDEX(AW1534:BH1534, MATCH(2, 1/(AW1534:BH1534&lt;&gt;""), 1)-1), ROW(INDIRECT("1:" &amp; MATCH(2, 1/(AW1534:BH1534&lt;&gt;""), 1)-1))) &gt;= 115%, 115%, INDEX(AW1534:INDEX(AW1534:BH1534, MATCH(2, 1/(AW1534:BH1534&lt;&gt;""), 1)-1), ROW(INDIRECT("1:" &amp; MATCH(2, 1/(AW1534:BH1534&lt;&gt;""), 1)-1)))), 0))/_xlfn.XLOOKUP(F1534,Apuração!A:A,Apuração!B:B)&gt;=1.15,1.15,SUM(IFERROR(IF(INDEX(AW1534:INDEX(AW1534:BH1534, MATCH(2, 1/(AW1534:BH1534&lt;&gt;""), 1)-1), ROW(INDIRECT("1:" &amp; MATCH(2, 1/(AW1534:BH1534&lt;&gt;""), 1)-1))) &gt;= 115%, 115%, INDEX(AW1534:INDEX(AW1534:BH1534, MATCH(2, 1/(AW1534:BH1534&lt;&gt;""), 1)-1), ROW(INDIRECT("1:" &amp; MATCH(2, 1/(AW1534:BH1534&lt;&gt;""), 1)-1)))), 0))/_xlfn.XLOOKUP(F1534,Apuração!A:A,Apuração!B:B))</f>
        <v>0.16666666666666666</v>
      </c>
      <c r="BM1534" s="55" cm="1">
        <f t="array" ref="BM1534">IFERROR(
   INDEX($AW$1:$BH$1,
      _xlfn.AGGREGATE(14, 6, COLUMN($AW$1:$BH$1)/(AW1534:BH1534&lt;&gt;""), 2) - COLUMN($AW$1) + 1
   ),
"")</f>
        <v>46082</v>
      </c>
      <c r="BN1534" s="55" cm="1">
        <f t="array" ref="BN1534">IFERROR(INDEX($AW$1:$BH$1,1,MATCH(2,1/(AW1534:BH1534&lt;&gt;""))),"")</f>
        <v>46113</v>
      </c>
      <c r="BO1534" s="53">
        <f ca="1">IFERROR(_xlfn.XLOOKUP(F1534,Apuração!A:A,Apuração!C:C)/_xlfn.XLOOKUP(F1534,Apuração!A:A,Apuração!B:B),0)</f>
        <v>0.41666666666666669</v>
      </c>
      <c r="BP1534" s="53">
        <f ca="1">IFERROR(_xlfn.XLOOKUP(F1534,Apuração!A:A,Apuração!D:D)/_xlfn.XLOOKUP(F1534,Apuração!A:A,Apuração!B:B),0)</f>
        <v>0.33333333333333331</v>
      </c>
      <c r="BQ1534" s="53">
        <f ca="1">IF(BK1534&gt;=BO1534,0,_xlfn.XLOOKUP(F1534,Apuração!A:A,Apuração!B:B)*(BO1534 + (1/_xlfn.XLOOKUP(F1534,Apuração!A:A,Apuração!B:B)) - BK1534))</f>
        <v>4</v>
      </c>
      <c r="BR1534" s="85">
        <f t="shared" ref="BR1534:BR1538" ca="1" si="1781">IF(BQ1534=0,0,BQ1534*Z1534)</f>
        <v>4</v>
      </c>
      <c r="BS1534" s="53">
        <f ca="1">IFERROR((_xlfn.XLOOKUP(F1534,Apuração!A:A,Apuração!C:C)+1)/_xlfn.XLOOKUP(F1534,Apuração!A:A,Apuração!B:B),0)</f>
        <v>0.5</v>
      </c>
    </row>
    <row r="1535" spans="1:71" ht="25.95" hidden="1" customHeight="1" x14ac:dyDescent="0.3">
      <c r="A1535" s="3" t="s">
        <v>33</v>
      </c>
      <c r="B1535" s="4" t="s">
        <v>70</v>
      </c>
      <c r="C1535" s="5" t="s">
        <v>214</v>
      </c>
      <c r="D1535" s="5" t="s">
        <v>215</v>
      </c>
      <c r="E1535" s="4" t="str" cm="1">
        <f t="array" ref="E1535">_xlfn.IFS(
F1535 = "A partir de Abril", "Aguardando Execução na Distribuidora",
A1535 = "CAPACITAÇÃO", "Em execução no Corporativo",
TRUE, "Em Execução na Distribuidora"
)</f>
        <v>Em Execução na Distribuidora</v>
      </c>
      <c r="F1535" s="4" t="str" cm="1">
        <f t="array" ref="F1535">_xlfn.IFS(
AG1535 &lt;&gt; "", "Jan-Dez/26",
AH1535 &lt;&gt; "", "Fev-Dez/26",
AI1535 &lt;&gt; "", "Mar-Dez/26", AJ1535 &lt;&gt; "", "Abr-Dez/26",
TRUE, "A partir de Junho"
)</f>
        <v>Jan-Dez/26</v>
      </c>
      <c r="G1535" s="4" t="s">
        <v>37</v>
      </c>
      <c r="H1535" s="7" t="s">
        <v>110</v>
      </c>
      <c r="I1535" s="8" t="s">
        <v>55</v>
      </c>
      <c r="J1535" s="8" t="str" cm="1">
        <f t="array" aca="1" ref="J1535" ca="1">_xlfn.LET(
  _xlpm.actual_value_month, INDEX(T1535:AE1535, MATCH(DATE(YEAR(TODAY()), MONTH(TODAY()), 1), $T$1:$AE$1, 0)),
  IF(_xlpm.actual_value_month &lt;&gt; "",_xlpm.actual_value_month &amp; " eventos mensais", "")
)</f>
        <v>1 eventos mensais</v>
      </c>
      <c r="K1535" s="14" t="str" cm="1">
        <f t="array" ref="K1535">_xlfn.LET(
    _xlpm.sum_month, SUM(T1535:AE1535),
    IF(_xlpm.sum_month = 0, "", _xlpm.sum_month &amp; "  eventos no ano")
)</f>
        <v>11  eventos no ano</v>
      </c>
      <c r="L1535" s="9" t="s">
        <v>56</v>
      </c>
      <c r="M1535" s="13" t="s">
        <v>71</v>
      </c>
      <c r="N1535" s="5" t="s">
        <v>42</v>
      </c>
      <c r="O1535" s="5" t="s">
        <v>43</v>
      </c>
      <c r="P1535" s="10" t="s">
        <v>58</v>
      </c>
      <c r="Q1535" s="10" t="s">
        <v>72</v>
      </c>
      <c r="R1535" s="11" t="s">
        <v>45</v>
      </c>
      <c r="S1535" s="11" t="s">
        <v>46</v>
      </c>
      <c r="T1535" s="143">
        <v>0</v>
      </c>
      <c r="U1535" s="143">
        <v>1</v>
      </c>
      <c r="V1535" s="143">
        <v>1</v>
      </c>
      <c r="W1535" s="143">
        <v>1</v>
      </c>
      <c r="X1535" s="143">
        <v>1</v>
      </c>
      <c r="Y1535" s="143">
        <v>1</v>
      </c>
      <c r="Z1535" s="143">
        <v>1</v>
      </c>
      <c r="AA1535" s="143">
        <v>1</v>
      </c>
      <c r="AB1535" s="143">
        <v>1</v>
      </c>
      <c r="AC1535" s="143">
        <v>1</v>
      </c>
      <c r="AD1535" s="143">
        <v>1</v>
      </c>
      <c r="AE1535" s="143">
        <v>1</v>
      </c>
      <c r="AG1535" s="146">
        <v>0</v>
      </c>
      <c r="AH1535" s="150">
        <v>1</v>
      </c>
      <c r="AI1535" s="150">
        <v>1</v>
      </c>
      <c r="AJ1535" s="146">
        <v>0</v>
      </c>
      <c r="AK1535" s="71"/>
      <c r="AL1535" s="71"/>
      <c r="AM1535" s="71"/>
      <c r="AN1535" s="71"/>
      <c r="AO1535" s="71"/>
      <c r="AP1535" s="71"/>
      <c r="AQ1535" s="71"/>
      <c r="AR1535" s="71"/>
      <c r="AS1535" s="94">
        <f t="shared" ca="1" si="1774"/>
        <v>4</v>
      </c>
      <c r="AT1535" s="95">
        <f t="shared" si="1775"/>
        <v>2</v>
      </c>
      <c r="AU1535" s="97">
        <f t="shared" si="1776"/>
        <v>2</v>
      </c>
      <c r="AW1535" s="51">
        <f t="shared" si="1777"/>
        <v>0</v>
      </c>
      <c r="AX1535" s="51">
        <f t="shared" si="1778"/>
        <v>1</v>
      </c>
      <c r="AY1535" s="51">
        <f t="shared" si="1779"/>
        <v>1</v>
      </c>
      <c r="AZ1535" s="51">
        <f t="shared" si="1780"/>
        <v>0</v>
      </c>
      <c r="BA1535" s="51"/>
      <c r="BB1535" s="51"/>
      <c r="BC1535" s="51"/>
      <c r="BD1535" s="51"/>
      <c r="BE1535" s="51"/>
      <c r="BF1535" s="51"/>
      <c r="BG1535" s="51"/>
      <c r="BH1535" s="51"/>
      <c r="BI1535" s="65" cm="1">
        <f t="array" ref="BI1535">IFERROR(INDEX(AW1535:BH1535,1,MATCH(2,1/(AW1535:BH1535&lt;&gt;""))),"")</f>
        <v>0</v>
      </c>
      <c r="BJ1535" s="68" cm="1">
        <f t="array" ref="BJ1535">IF(BM1535 = "", "",IFERROR(INDEX(AW1535:BH1535,1,MATCH(2,1/(AW1535:BH1535&lt;&gt;""),1)-1),""))</f>
        <v>1</v>
      </c>
      <c r="BK1535" s="58">
        <f>IF((IF(AW1535&gt;=115%,115%,AW1535) + IF(AX1535&gt;=180%,180%,AX1535) + IF(AY1535&gt;=115%,115%,AY1535) + (IF(AZ1535&gt;=115%,115%,AZ1535) + IF(BA1535&gt;=115%,115%,BA1535) + IF(BB1535&gt;=115%,115%,BB1535) + IF(BC1535&gt;=115%,115%,BC1535) + IF(BD1535&gt;=115%,115%,BD1535) + IF(BE1535&gt;=115%,115%,BE1535) + IF(BF1535&gt;=115%,115%,BF1535) + IF(BG1535&gt;=115%,115%,BG1535) + IF(BH1535&gt;=115%,115%,BH1535)))/_xlfn.XLOOKUP(F1535,Apuração!A:A,Apuração!B:B)&gt;=1.15,1.15,((IF(AZ1535&gt;=115%,115%,AZ1535) + IF(AX1535&gt;=180%,180%,AX1535) + IF(AY1535&gt;=115%,115%,AY1535) + (IF(AW1535&gt;=115%,115%,AW1535) + IF(BA1535&gt;=115%,115%,BA1535) + IF(BB1535&gt;=115%,115%,BB1535) + IF(BC1535&gt;=115%,115%,BC1535) + IF(BD1535&gt;=115%,115%,BD1535) + IF(BE1535&gt;=115%,115%,BE1535) + IF(BF1535&gt;=115%,115%,BF1535) + IF(BG1535&gt;=115%,115%,BG1535) + IF(BH1535&gt;=115%,115%,BH1535)))/_xlfn.XLOOKUP(F1535,Apuração!A:A,Apuração!B:B)))</f>
        <v>0.16666666666666666</v>
      </c>
      <c r="BL1535" s="58" cm="1">
        <f t="array" aca="1" ref="BL1535" ca="1">IF(SUM(IFERROR(IF(INDEX(AW1535:INDEX(AW1535:BH1535, MATCH(2, 1/(AW1535:BH1535&lt;&gt;""), 1)-1), ROW(INDIRECT("1:" &amp; MATCH(2, 1/(AW1535:BH1535&lt;&gt;""), 1)-1))) &gt;= 115%, 115%, INDEX(AW1535:INDEX(AW1535:BH1535, MATCH(2, 1/(AW1535:BH1535&lt;&gt;""), 1)-1), ROW(INDIRECT("1:" &amp; MATCH(2, 1/(AW1535:BH1535&lt;&gt;""), 1)-1)))), 0))/_xlfn.XLOOKUP(F1535,Apuração!A:A,Apuração!B:B)&gt;=1.15,1.15,SUM(IFERROR(IF(INDEX(AW1535:INDEX(AW1535:BH1535, MATCH(2, 1/(AW1535:BH1535&lt;&gt;""), 1)-1), ROW(INDIRECT("1:" &amp; MATCH(2, 1/(AW1535:BH1535&lt;&gt;""), 1)-1))) &gt;= 115%, 115%, INDEX(AW1535:INDEX(AW1535:BH1535, MATCH(2, 1/(AW1535:BH1535&lt;&gt;""), 1)-1), ROW(INDIRECT("1:" &amp; MATCH(2, 1/(AW1535:BH1535&lt;&gt;""), 1)-1)))), 0))/_xlfn.XLOOKUP(F1535,Apuração!A:A,Apuração!B:B))</f>
        <v>0.16666666666666666</v>
      </c>
      <c r="BM1535" s="55" cm="1">
        <f t="array" ref="BM1535">IFERROR(
   INDEX($AW$1:$BH$1,
      _xlfn.AGGREGATE(14, 6, COLUMN($AW$1:$BH$1)/(AW1535:BH1535&lt;&gt;""), 2) - COLUMN($AW$1) + 1
   ),
"")</f>
        <v>46082</v>
      </c>
      <c r="BN1535" s="55" cm="1">
        <f t="array" ref="BN1535">IFERROR(INDEX($AW$1:$BH$1,1,MATCH(2,1/(AW1535:BH1535&lt;&gt;""))),"")</f>
        <v>46113</v>
      </c>
      <c r="BO1535" s="53">
        <f ca="1">IFERROR(_xlfn.XLOOKUP(F1535,Apuração!A:A,Apuração!C:C)/_xlfn.XLOOKUP(F1535,Apuração!A:A,Apuração!B:B),0)</f>
        <v>0.41666666666666669</v>
      </c>
      <c r="BP1535" s="53">
        <f ca="1">IFERROR(_xlfn.XLOOKUP(F1535,Apuração!A:A,Apuração!D:D)/_xlfn.XLOOKUP(F1535,Apuração!A:A,Apuração!B:B),0)</f>
        <v>0.33333333333333331</v>
      </c>
      <c r="BQ1535" s="53">
        <f ca="1">IF(BK1535&gt;=BO1535,0,_xlfn.XLOOKUP(F1535,Apuração!A:A,Apuração!B:B)*(BO1535 + (1/_xlfn.XLOOKUP(F1535,Apuração!A:A,Apuração!B:B)) - BK1535))</f>
        <v>4</v>
      </c>
      <c r="BR1535" s="85">
        <f t="shared" ca="1" si="1781"/>
        <v>4</v>
      </c>
      <c r="BS1535" s="53">
        <f ca="1">IFERROR((_xlfn.XLOOKUP(F1535,Apuração!A:A,Apuração!C:C)+1)/_xlfn.XLOOKUP(F1535,Apuração!A:A,Apuração!B:B),0)</f>
        <v>0.5</v>
      </c>
    </row>
    <row r="1536" spans="1:71" ht="25.95" hidden="1" customHeight="1" x14ac:dyDescent="0.3">
      <c r="A1536" s="3" t="s">
        <v>33</v>
      </c>
      <c r="B1536" s="4" t="s">
        <v>70</v>
      </c>
      <c r="C1536" s="5" t="s">
        <v>214</v>
      </c>
      <c r="D1536" s="5" t="s">
        <v>212</v>
      </c>
      <c r="E1536" s="4" t="str" cm="1">
        <f t="array" ref="E1536">_xlfn.IFS(
F1536 = "A partir de Abril", "Aguardando Execução na Distribuidora",
A1536 = "CAPACITAÇÃO", "Em execução no Corporativo",
TRUE, "Em Execução na Distribuidora"
)</f>
        <v>Em Execução na Distribuidora</v>
      </c>
      <c r="F1536" s="4" t="str" cm="1">
        <f t="array" ref="F1536">_xlfn.IFS(
AG1536 &lt;&gt; "", "Jan-Dez/26",
AH1536 &lt;&gt; "", "Fev-Dez/26",
AI1536 &lt;&gt; "", "Mar-Dez/26", AJ1536 &lt;&gt; "", "Abr-Dez/26",
TRUE, "A partir de Junho"
)</f>
        <v>Jan-Dez/26</v>
      </c>
      <c r="G1536" s="4" t="s">
        <v>37</v>
      </c>
      <c r="H1536" s="7" t="s">
        <v>110</v>
      </c>
      <c r="I1536" s="8" t="s">
        <v>55</v>
      </c>
      <c r="J1536" s="8" t="str" cm="1">
        <f t="array" aca="1" ref="J1536" ca="1">_xlfn.LET(
  _xlpm.actual_value_month, INDEX(T1536:AE1536, MATCH(DATE(YEAR(TODAY()), MONTH(TODAY()), 1), $T$1:$AE$1, 0)),
  IF(_xlpm.actual_value_month &lt;&gt; "",_xlpm.actual_value_month &amp; " eventos mensais", "")
)</f>
        <v>1 eventos mensais</v>
      </c>
      <c r="K1536" s="14" t="str" cm="1">
        <f t="array" ref="K1536">_xlfn.LET(
    _xlpm.sum_month, SUM(T1536:AE1536),
    IF(_xlpm.sum_month = 0, "", _xlpm.sum_month &amp; "  eventos no ano")
)</f>
        <v>11  eventos no ano</v>
      </c>
      <c r="L1536" s="9" t="s">
        <v>56</v>
      </c>
      <c r="M1536" s="13" t="s">
        <v>71</v>
      </c>
      <c r="N1536" s="5" t="s">
        <v>42</v>
      </c>
      <c r="O1536" s="5" t="s">
        <v>43</v>
      </c>
      <c r="P1536" s="10" t="s">
        <v>58</v>
      </c>
      <c r="Q1536" s="10" t="s">
        <v>72</v>
      </c>
      <c r="R1536" s="11" t="s">
        <v>45</v>
      </c>
      <c r="S1536" s="11" t="s">
        <v>46</v>
      </c>
      <c r="T1536" s="143">
        <v>1</v>
      </c>
      <c r="U1536" s="143">
        <v>0</v>
      </c>
      <c r="V1536" s="143">
        <v>1</v>
      </c>
      <c r="W1536" s="143">
        <v>1</v>
      </c>
      <c r="X1536" s="143">
        <v>1</v>
      </c>
      <c r="Y1536" s="143">
        <v>1</v>
      </c>
      <c r="Z1536" s="143">
        <v>1</v>
      </c>
      <c r="AA1536" s="143">
        <v>1</v>
      </c>
      <c r="AB1536" s="143">
        <v>1</v>
      </c>
      <c r="AC1536" s="143">
        <v>1</v>
      </c>
      <c r="AD1536" s="143">
        <v>1</v>
      </c>
      <c r="AE1536" s="143">
        <v>1</v>
      </c>
      <c r="AG1536" s="146">
        <v>1</v>
      </c>
      <c r="AH1536" s="150">
        <v>0</v>
      </c>
      <c r="AI1536" s="150">
        <v>1</v>
      </c>
      <c r="AJ1536" s="146">
        <v>1</v>
      </c>
      <c r="AK1536" s="71"/>
      <c r="AL1536" s="71"/>
      <c r="AM1536" s="71"/>
      <c r="AN1536" s="71"/>
      <c r="AO1536" s="71"/>
      <c r="AP1536" s="71"/>
      <c r="AQ1536" s="71"/>
      <c r="AR1536" s="71"/>
      <c r="AS1536" s="94">
        <f t="shared" ca="1" si="1774"/>
        <v>4</v>
      </c>
      <c r="AT1536" s="95">
        <f t="shared" si="1775"/>
        <v>3</v>
      </c>
      <c r="AU1536" s="97">
        <f t="shared" si="1776"/>
        <v>3</v>
      </c>
      <c r="AW1536" s="51">
        <f t="shared" si="1777"/>
        <v>1</v>
      </c>
      <c r="AX1536" s="51">
        <f t="shared" si="1778"/>
        <v>0</v>
      </c>
      <c r="AY1536" s="51">
        <f t="shared" si="1779"/>
        <v>1</v>
      </c>
      <c r="AZ1536" s="51">
        <f t="shared" si="1780"/>
        <v>1</v>
      </c>
      <c r="BA1536" s="51"/>
      <c r="BB1536" s="51"/>
      <c r="BC1536" s="51"/>
      <c r="BD1536" s="51"/>
      <c r="BE1536" s="51"/>
      <c r="BF1536" s="51"/>
      <c r="BG1536" s="51"/>
      <c r="BH1536" s="51"/>
      <c r="BI1536" s="65" cm="1">
        <f t="array" ref="BI1536">IFERROR(INDEX(AW1536:BH1536,1,MATCH(2,1/(AW1536:BH1536&lt;&gt;""))),"")</f>
        <v>1</v>
      </c>
      <c r="BJ1536" s="68" cm="1">
        <f t="array" ref="BJ1536">IF(BM1536 = "", "",IFERROR(INDEX(AW1536:BH1536,1,MATCH(2,1/(AW1536:BH1536&lt;&gt;""),1)-1),""))</f>
        <v>1</v>
      </c>
      <c r="BK1536" s="58">
        <f>IF((IF(AW1536&gt;=115%,115%,AW1536) + IF(AX1536&gt;=180%,180%,AX1536) + IF(AY1536&gt;=115%,115%,AY1536) + (IF(AZ1536&gt;=115%,115%,AZ1536) + IF(BA1536&gt;=115%,115%,BA1536) + IF(BB1536&gt;=115%,115%,BB1536) + IF(BC1536&gt;=115%,115%,BC1536) + IF(BD1536&gt;=115%,115%,BD1536) + IF(BE1536&gt;=115%,115%,BE1536) + IF(BF1536&gt;=115%,115%,BF1536) + IF(BG1536&gt;=115%,115%,BG1536) + IF(BH1536&gt;=115%,115%,BH1536)))/_xlfn.XLOOKUP(F1536,Apuração!A:A,Apuração!B:B)&gt;=1.15,1.15,((IF(AZ1536&gt;=115%,115%,AZ1536) + IF(AX1536&gt;=180%,180%,AX1536) + IF(AY1536&gt;=115%,115%,AY1536) + (IF(AW1536&gt;=115%,115%,AW1536) + IF(BA1536&gt;=115%,115%,BA1536) + IF(BB1536&gt;=115%,115%,BB1536) + IF(BC1536&gt;=115%,115%,BC1536) + IF(BD1536&gt;=115%,115%,BD1536) + IF(BE1536&gt;=115%,115%,BE1536) + IF(BF1536&gt;=115%,115%,BF1536) + IF(BG1536&gt;=115%,115%,BG1536) + IF(BH1536&gt;=115%,115%,BH1536)))/_xlfn.XLOOKUP(F1536,Apuração!A:A,Apuração!B:B)))</f>
        <v>0.25</v>
      </c>
      <c r="BL1536" s="58" cm="1">
        <f t="array" aca="1" ref="BL1536" ca="1">IF(SUM(IFERROR(IF(INDEX(AW1536:INDEX(AW1536:BH1536, MATCH(2, 1/(AW1536:BH1536&lt;&gt;""), 1)-1), ROW(INDIRECT("1:" &amp; MATCH(2, 1/(AW1536:BH1536&lt;&gt;""), 1)-1))) &gt;= 115%, 115%, INDEX(AW1536:INDEX(AW1536:BH1536, MATCH(2, 1/(AW1536:BH1536&lt;&gt;""), 1)-1), ROW(INDIRECT("1:" &amp; MATCH(2, 1/(AW1536:BH1536&lt;&gt;""), 1)-1)))), 0))/_xlfn.XLOOKUP(F1536,Apuração!A:A,Apuração!B:B)&gt;=1.15,1.15,SUM(IFERROR(IF(INDEX(AW1536:INDEX(AW1536:BH1536, MATCH(2, 1/(AW1536:BH1536&lt;&gt;""), 1)-1), ROW(INDIRECT("1:" &amp; MATCH(2, 1/(AW1536:BH1536&lt;&gt;""), 1)-1))) &gt;= 115%, 115%, INDEX(AW1536:INDEX(AW1536:BH1536, MATCH(2, 1/(AW1536:BH1536&lt;&gt;""), 1)-1), ROW(INDIRECT("1:" &amp; MATCH(2, 1/(AW1536:BH1536&lt;&gt;""), 1)-1)))), 0))/_xlfn.XLOOKUP(F1536,Apuração!A:A,Apuração!B:B))</f>
        <v>0.16666666666666666</v>
      </c>
      <c r="BM1536" s="55" cm="1">
        <f t="array" ref="BM1536">IFERROR(
   INDEX($AW$1:$BH$1,
      _xlfn.AGGREGATE(14, 6, COLUMN($AW$1:$BH$1)/(AW1536:BH1536&lt;&gt;""), 2) - COLUMN($AW$1) + 1
   ),
"")</f>
        <v>46082</v>
      </c>
      <c r="BN1536" s="55" cm="1">
        <f t="array" ref="BN1536">IFERROR(INDEX($AW$1:$BH$1,1,MATCH(2,1/(AW1536:BH1536&lt;&gt;""))),"")</f>
        <v>46113</v>
      </c>
      <c r="BO1536" s="53">
        <f ca="1">IFERROR(_xlfn.XLOOKUP(F1536,Apuração!A:A,Apuração!C:C)/_xlfn.XLOOKUP(F1536,Apuração!A:A,Apuração!B:B),0)</f>
        <v>0.41666666666666669</v>
      </c>
      <c r="BP1536" s="53">
        <f ca="1">IFERROR(_xlfn.XLOOKUP(F1536,Apuração!A:A,Apuração!D:D)/_xlfn.XLOOKUP(F1536,Apuração!A:A,Apuração!B:B),0)</f>
        <v>0.33333333333333331</v>
      </c>
      <c r="BQ1536" s="53">
        <f ca="1">IF(BK1536&gt;=BO1536,0,_xlfn.XLOOKUP(F1536,Apuração!A:A,Apuração!B:B)*(BO1536 + (1/_xlfn.XLOOKUP(F1536,Apuração!A:A,Apuração!B:B)) - BK1536))</f>
        <v>3</v>
      </c>
      <c r="BR1536" s="85">
        <f t="shared" ca="1" si="1781"/>
        <v>3</v>
      </c>
      <c r="BS1536" s="53">
        <f ca="1">IFERROR((_xlfn.XLOOKUP(F1536,Apuração!A:A,Apuração!C:C)+1)/_xlfn.XLOOKUP(F1536,Apuração!A:A,Apuração!B:B),0)</f>
        <v>0.5</v>
      </c>
    </row>
    <row r="1537" spans="1:71" ht="25.95" hidden="1" customHeight="1" x14ac:dyDescent="0.3">
      <c r="A1537" s="3" t="s">
        <v>33</v>
      </c>
      <c r="B1537" s="4" t="s">
        <v>70</v>
      </c>
      <c r="C1537" s="5" t="s">
        <v>214</v>
      </c>
      <c r="D1537" s="5" t="s">
        <v>48</v>
      </c>
      <c r="E1537" s="4" t="str" cm="1">
        <f t="array" ref="E1537">_xlfn.IFS(
F1537 = "A partir de Abril", "Aguardando Execução na Distribuidora",
A1537 = "CAPACITAÇÃO", "Em execução no Corporativo",
TRUE, "Em Execução na Distribuidora"
)</f>
        <v>Em Execução na Distribuidora</v>
      </c>
      <c r="F1537" s="4" t="str" cm="1">
        <f t="array" ref="F1537">_xlfn.IFS(
AG1537 &lt;&gt; "", "Jan-Dez/26",
AH1537 &lt;&gt; "", "Fev-Dez/26",
AI1537 &lt;&gt; "", "Mar-Dez/26", AJ1537 &lt;&gt; "", "Abr-Dez/26",
TRUE, "A partir de Junho"
)</f>
        <v>Jan-Dez/26</v>
      </c>
      <c r="G1537" s="4" t="s">
        <v>37</v>
      </c>
      <c r="H1537" s="7" t="s">
        <v>110</v>
      </c>
      <c r="I1537" s="8" t="s">
        <v>55</v>
      </c>
      <c r="J1537" s="8" t="str" cm="1">
        <f t="array" aca="1" ref="J1537" ca="1">_xlfn.LET(
  _xlpm.actual_value_month, INDEX(T1537:AE1537, MATCH(DATE(YEAR(TODAY()), MONTH(TODAY()), 1), $T$1:$AE$1, 0)),
  IF(_xlpm.actual_value_month &lt;&gt; "",_xlpm.actual_value_month &amp; " eventos mensais", "")
)</f>
        <v>1 eventos mensais</v>
      </c>
      <c r="K1537" s="14" t="str" cm="1">
        <f t="array" ref="K1537">_xlfn.LET(
    _xlpm.sum_month, SUM(T1537:AE1537),
    IF(_xlpm.sum_month = 0, "", _xlpm.sum_month &amp; "  eventos no ano")
)</f>
        <v>11  eventos no ano</v>
      </c>
      <c r="L1537" s="9" t="s">
        <v>56</v>
      </c>
      <c r="M1537" s="13" t="s">
        <v>71</v>
      </c>
      <c r="N1537" s="5" t="s">
        <v>42</v>
      </c>
      <c r="O1537" s="5" t="s">
        <v>43</v>
      </c>
      <c r="P1537" s="10" t="s">
        <v>58</v>
      </c>
      <c r="Q1537" s="10" t="s">
        <v>72</v>
      </c>
      <c r="R1537" s="11" t="s">
        <v>45</v>
      </c>
      <c r="S1537" s="11" t="s">
        <v>46</v>
      </c>
      <c r="T1537" s="143">
        <v>1</v>
      </c>
      <c r="U1537" s="143">
        <v>0</v>
      </c>
      <c r="V1537" s="143">
        <v>1</v>
      </c>
      <c r="W1537" s="143">
        <v>1</v>
      </c>
      <c r="X1537" s="143">
        <v>1</v>
      </c>
      <c r="Y1537" s="143">
        <v>1</v>
      </c>
      <c r="Z1537" s="143">
        <v>1</v>
      </c>
      <c r="AA1537" s="143">
        <v>1</v>
      </c>
      <c r="AB1537" s="143">
        <v>1</v>
      </c>
      <c r="AC1537" s="143">
        <v>1</v>
      </c>
      <c r="AD1537" s="143">
        <v>1</v>
      </c>
      <c r="AE1537" s="143">
        <v>1</v>
      </c>
      <c r="AG1537" s="146">
        <v>1</v>
      </c>
      <c r="AH1537" s="150">
        <v>0</v>
      </c>
      <c r="AI1537" s="150">
        <v>1</v>
      </c>
      <c r="AJ1537" s="146">
        <v>0</v>
      </c>
      <c r="AK1537" s="71"/>
      <c r="AL1537" s="71"/>
      <c r="AM1537" s="71"/>
      <c r="AN1537" s="71"/>
      <c r="AO1537" s="71"/>
      <c r="AP1537" s="71"/>
      <c r="AQ1537" s="71"/>
      <c r="AR1537" s="71"/>
      <c r="AS1537" s="94">
        <f t="shared" ca="1" si="1774"/>
        <v>4</v>
      </c>
      <c r="AT1537" s="95">
        <f t="shared" si="1775"/>
        <v>2</v>
      </c>
      <c r="AU1537" s="97">
        <f t="shared" si="1776"/>
        <v>2</v>
      </c>
      <c r="AW1537" s="51">
        <f t="shared" si="1777"/>
        <v>1</v>
      </c>
      <c r="AX1537" s="51">
        <f t="shared" si="1778"/>
        <v>0</v>
      </c>
      <c r="AY1537" s="51">
        <f t="shared" si="1779"/>
        <v>1</v>
      </c>
      <c r="AZ1537" s="51">
        <f t="shared" si="1780"/>
        <v>0</v>
      </c>
      <c r="BA1537" s="51"/>
      <c r="BB1537" s="51"/>
      <c r="BC1537" s="51"/>
      <c r="BD1537" s="51"/>
      <c r="BE1537" s="51"/>
      <c r="BF1537" s="51"/>
      <c r="BG1537" s="51"/>
      <c r="BH1537" s="51"/>
      <c r="BI1537" s="65" cm="1">
        <f t="array" ref="BI1537">IFERROR(INDEX(AW1537:BH1537,1,MATCH(2,1/(AW1537:BH1537&lt;&gt;""))),"")</f>
        <v>0</v>
      </c>
      <c r="BJ1537" s="68" cm="1">
        <f t="array" ref="BJ1537">IF(BM1537 = "", "",IFERROR(INDEX(AW1537:BH1537,1,MATCH(2,1/(AW1537:BH1537&lt;&gt;""),1)-1),""))</f>
        <v>1</v>
      </c>
      <c r="BK1537" s="58">
        <f>IF((IF(AW1537&gt;=115%,115%,AW1537) + IF(AX1537&gt;=180%,180%,AX1537) + IF(AY1537&gt;=115%,115%,AY1537) + (IF(AZ1537&gt;=115%,115%,AZ1537) + IF(BA1537&gt;=115%,115%,BA1537) + IF(BB1537&gt;=115%,115%,BB1537) + IF(BC1537&gt;=115%,115%,BC1537) + IF(BD1537&gt;=115%,115%,BD1537) + IF(BE1537&gt;=115%,115%,BE1537) + IF(BF1537&gt;=115%,115%,BF1537) + IF(BG1537&gt;=115%,115%,BG1537) + IF(BH1537&gt;=115%,115%,BH1537)))/_xlfn.XLOOKUP(F1537,Apuração!A:A,Apuração!B:B)&gt;=1.15,1.15,((IF(AZ1537&gt;=115%,115%,AZ1537) + IF(AX1537&gt;=180%,180%,AX1537) + IF(AY1537&gt;=115%,115%,AY1537) + (IF(AW1537&gt;=115%,115%,AW1537) + IF(BA1537&gt;=115%,115%,BA1537) + IF(BB1537&gt;=115%,115%,BB1537) + IF(BC1537&gt;=115%,115%,BC1537) + IF(BD1537&gt;=115%,115%,BD1537) + IF(BE1537&gt;=115%,115%,BE1537) + IF(BF1537&gt;=115%,115%,BF1537) + IF(BG1537&gt;=115%,115%,BG1537) + IF(BH1537&gt;=115%,115%,BH1537)))/_xlfn.XLOOKUP(F1537,Apuração!A:A,Apuração!B:B)))</f>
        <v>0.16666666666666666</v>
      </c>
      <c r="BL1537" s="58" cm="1">
        <f t="array" aca="1" ref="BL1537" ca="1">IF(SUM(IFERROR(IF(INDEX(AW1537:INDEX(AW1537:BH1537, MATCH(2, 1/(AW1537:BH1537&lt;&gt;""), 1)-1), ROW(INDIRECT("1:" &amp; MATCH(2, 1/(AW1537:BH1537&lt;&gt;""), 1)-1))) &gt;= 115%, 115%, INDEX(AW1537:INDEX(AW1537:BH1537, MATCH(2, 1/(AW1537:BH1537&lt;&gt;""), 1)-1), ROW(INDIRECT("1:" &amp; MATCH(2, 1/(AW1537:BH1537&lt;&gt;""), 1)-1)))), 0))/_xlfn.XLOOKUP(F1537,Apuração!A:A,Apuração!B:B)&gt;=1.15,1.15,SUM(IFERROR(IF(INDEX(AW1537:INDEX(AW1537:BH1537, MATCH(2, 1/(AW1537:BH1537&lt;&gt;""), 1)-1), ROW(INDIRECT("1:" &amp; MATCH(2, 1/(AW1537:BH1537&lt;&gt;""), 1)-1))) &gt;= 115%, 115%, INDEX(AW1537:INDEX(AW1537:BH1537, MATCH(2, 1/(AW1537:BH1537&lt;&gt;""), 1)-1), ROW(INDIRECT("1:" &amp; MATCH(2, 1/(AW1537:BH1537&lt;&gt;""), 1)-1)))), 0))/_xlfn.XLOOKUP(F1537,Apuração!A:A,Apuração!B:B))</f>
        <v>0.16666666666666666</v>
      </c>
      <c r="BM1537" s="55" cm="1">
        <f t="array" ref="BM1537">IFERROR(
   INDEX($AW$1:$BH$1,
      _xlfn.AGGREGATE(14, 6, COLUMN($AW$1:$BH$1)/(AW1537:BH1537&lt;&gt;""), 2) - COLUMN($AW$1) + 1
   ),
"")</f>
        <v>46082</v>
      </c>
      <c r="BN1537" s="55" cm="1">
        <f t="array" ref="BN1537">IFERROR(INDEX($AW$1:$BH$1,1,MATCH(2,1/(AW1537:BH1537&lt;&gt;""))),"")</f>
        <v>46113</v>
      </c>
      <c r="BO1537" s="53">
        <f ca="1">IFERROR(_xlfn.XLOOKUP(F1537,Apuração!A:A,Apuração!C:C)/_xlfn.XLOOKUP(F1537,Apuração!A:A,Apuração!B:B),0)</f>
        <v>0.41666666666666669</v>
      </c>
      <c r="BP1537" s="53">
        <f ca="1">IFERROR(_xlfn.XLOOKUP(F1537,Apuração!A:A,Apuração!D:D)/_xlfn.XLOOKUP(F1537,Apuração!A:A,Apuração!B:B),0)</f>
        <v>0.33333333333333331</v>
      </c>
      <c r="BQ1537" s="53">
        <f ca="1">IF(BK1537&gt;=BO1537,0,_xlfn.XLOOKUP(F1537,Apuração!A:A,Apuração!B:B)*(BO1537 + (1/_xlfn.XLOOKUP(F1537,Apuração!A:A,Apuração!B:B)) - BK1537))</f>
        <v>4</v>
      </c>
      <c r="BR1537" s="85">
        <f t="shared" ca="1" si="1781"/>
        <v>4</v>
      </c>
      <c r="BS1537" s="53">
        <f ca="1">IFERROR((_xlfn.XLOOKUP(F1537,Apuração!A:A,Apuração!C:C)+1)/_xlfn.XLOOKUP(F1537,Apuração!A:A,Apuração!B:B),0)</f>
        <v>0.5</v>
      </c>
    </row>
    <row r="1538" spans="1:71" ht="25.95" hidden="1" customHeight="1" x14ac:dyDescent="0.3">
      <c r="A1538" s="3" t="s">
        <v>33</v>
      </c>
      <c r="B1538" s="4" t="s">
        <v>70</v>
      </c>
      <c r="C1538" s="5" t="s">
        <v>214</v>
      </c>
      <c r="D1538" s="5" t="s">
        <v>213</v>
      </c>
      <c r="E1538" s="4" t="str" cm="1">
        <f t="array" ref="E1538">_xlfn.IFS(
F1538 = "A partir de Abril", "Aguardando Execução na Distribuidora",
A1538 = "CAPACITAÇÃO", "Em execução no Corporativo",
TRUE, "Em Execução na Distribuidora"
)</f>
        <v>Em Execução na Distribuidora</v>
      </c>
      <c r="F1538" s="4" t="str" cm="1">
        <f t="array" ref="F1538">_xlfn.IFS(
AG1538 &lt;&gt; "", "Jan-Dez/26",
AH1538 &lt;&gt; "", "Fev-Dez/26",
AI1538 &lt;&gt; "", "Mar-Dez/26", AJ1538 &lt;&gt; "", "Abr-Dez/26",
TRUE, "A partir de Junho"
)</f>
        <v>Jan-Dez/26</v>
      </c>
      <c r="G1538" s="4" t="s">
        <v>37</v>
      </c>
      <c r="H1538" s="7" t="s">
        <v>110</v>
      </c>
      <c r="I1538" s="8" t="s">
        <v>55</v>
      </c>
      <c r="J1538" s="8" t="str" cm="1">
        <f t="array" aca="1" ref="J1538" ca="1">_xlfn.LET(
  _xlpm.actual_value_month, INDEX(T1538:AE1538, MATCH(DATE(YEAR(TODAY()), MONTH(TODAY()), 1), $T$1:$AE$1, 0)),
  IF(_xlpm.actual_value_month &lt;&gt; "",_xlpm.actual_value_month &amp; " eventos mensais", "")
)</f>
        <v>1 eventos mensais</v>
      </c>
      <c r="K1538" s="14" t="str" cm="1">
        <f t="array" ref="K1538">_xlfn.LET(
    _xlpm.sum_month, SUM(T1538:AE1538),
    IF(_xlpm.sum_month = 0, "", _xlpm.sum_month &amp; "  eventos no ano")
)</f>
        <v>11  eventos no ano</v>
      </c>
      <c r="L1538" s="9" t="s">
        <v>56</v>
      </c>
      <c r="M1538" s="13" t="s">
        <v>71</v>
      </c>
      <c r="N1538" s="5" t="s">
        <v>42</v>
      </c>
      <c r="O1538" s="5" t="s">
        <v>43</v>
      </c>
      <c r="P1538" s="10" t="s">
        <v>58</v>
      </c>
      <c r="Q1538" s="10" t="s">
        <v>72</v>
      </c>
      <c r="R1538" s="11" t="s">
        <v>45</v>
      </c>
      <c r="S1538" s="11" t="s">
        <v>46</v>
      </c>
      <c r="T1538" s="143">
        <v>1</v>
      </c>
      <c r="U1538" s="143">
        <v>0</v>
      </c>
      <c r="V1538" s="143">
        <v>1</v>
      </c>
      <c r="W1538" s="143">
        <v>1</v>
      </c>
      <c r="X1538" s="143">
        <v>1</v>
      </c>
      <c r="Y1538" s="143">
        <v>1</v>
      </c>
      <c r="Z1538" s="143">
        <v>1</v>
      </c>
      <c r="AA1538" s="143">
        <v>1</v>
      </c>
      <c r="AB1538" s="143">
        <v>1</v>
      </c>
      <c r="AC1538" s="143">
        <v>1</v>
      </c>
      <c r="AD1538" s="143">
        <v>1</v>
      </c>
      <c r="AE1538" s="143">
        <v>1</v>
      </c>
      <c r="AG1538" s="146">
        <v>1</v>
      </c>
      <c r="AH1538" s="150">
        <v>0</v>
      </c>
      <c r="AI1538" s="150">
        <v>1</v>
      </c>
      <c r="AJ1538" s="146">
        <v>7</v>
      </c>
      <c r="AK1538" s="71"/>
      <c r="AL1538" s="71"/>
      <c r="AM1538" s="71"/>
      <c r="AN1538" s="71"/>
      <c r="AO1538" s="71"/>
      <c r="AP1538" s="71"/>
      <c r="AQ1538" s="71"/>
      <c r="AR1538" s="71"/>
      <c r="AS1538" s="94">
        <f t="shared" ca="1" si="1774"/>
        <v>4</v>
      </c>
      <c r="AT1538" s="95">
        <f t="shared" si="1775"/>
        <v>3.15</v>
      </c>
      <c r="AU1538" s="97">
        <f t="shared" si="1776"/>
        <v>9</v>
      </c>
      <c r="AW1538" s="51">
        <f t="shared" si="1777"/>
        <v>1</v>
      </c>
      <c r="AX1538" s="51">
        <f t="shared" si="1778"/>
        <v>0</v>
      </c>
      <c r="AY1538" s="51">
        <f t="shared" si="1779"/>
        <v>1</v>
      </c>
      <c r="AZ1538" s="51">
        <f t="shared" si="1780"/>
        <v>7</v>
      </c>
      <c r="BA1538" s="51"/>
      <c r="BB1538" s="51"/>
      <c r="BC1538" s="51"/>
      <c r="BD1538" s="51"/>
      <c r="BE1538" s="51"/>
      <c r="BF1538" s="51"/>
      <c r="BG1538" s="51"/>
      <c r="BH1538" s="51"/>
      <c r="BI1538" s="65" cm="1">
        <f t="array" ref="BI1538">IFERROR(INDEX(AW1538:BH1538,1,MATCH(2,1/(AW1538:BH1538&lt;&gt;""))),"")</f>
        <v>7</v>
      </c>
      <c r="BJ1538" s="68" cm="1">
        <f t="array" ref="BJ1538">IF(BM1538 = "", "",IFERROR(INDEX(AW1538:BH1538,1,MATCH(2,1/(AW1538:BH1538&lt;&gt;""),1)-1),""))</f>
        <v>1</v>
      </c>
      <c r="BK1538" s="58">
        <f>IF((IF(AW1538&gt;=115%,115%,AW1538) + IF(AX1538&gt;=180%,180%,AX1538) + IF(AY1538&gt;=115%,115%,AY1538) + (IF(AZ1538&gt;=115%,115%,AZ1538) + IF(BA1538&gt;=115%,115%,BA1538) + IF(BB1538&gt;=115%,115%,BB1538) + IF(BC1538&gt;=115%,115%,BC1538) + IF(BD1538&gt;=115%,115%,BD1538) + IF(BE1538&gt;=115%,115%,BE1538) + IF(BF1538&gt;=115%,115%,BF1538) + IF(BG1538&gt;=115%,115%,BG1538) + IF(BH1538&gt;=115%,115%,BH1538)))/_xlfn.XLOOKUP(F1538,Apuração!A:A,Apuração!B:B)&gt;=1.15,1.15,((IF(AZ1538&gt;=115%,115%,AZ1538) + IF(AX1538&gt;=180%,180%,AX1538) + IF(AY1538&gt;=115%,115%,AY1538) + (IF(AW1538&gt;=115%,115%,AW1538) + IF(BA1538&gt;=115%,115%,BA1538) + IF(BB1538&gt;=115%,115%,BB1538) + IF(BC1538&gt;=115%,115%,BC1538) + IF(BD1538&gt;=115%,115%,BD1538) + IF(BE1538&gt;=115%,115%,BE1538) + IF(BF1538&gt;=115%,115%,BF1538) + IF(BG1538&gt;=115%,115%,BG1538) + IF(BH1538&gt;=115%,115%,BH1538)))/_xlfn.XLOOKUP(F1538,Apuração!A:A,Apuração!B:B)))</f>
        <v>0.26250000000000001</v>
      </c>
      <c r="BL1538" s="58" cm="1">
        <f t="array" aca="1" ref="BL1538" ca="1">IF(SUM(IFERROR(IF(INDEX(AW1538:INDEX(AW1538:BH1538, MATCH(2, 1/(AW1538:BH1538&lt;&gt;""), 1)-1), ROW(INDIRECT("1:" &amp; MATCH(2, 1/(AW1538:BH1538&lt;&gt;""), 1)-1))) &gt;= 115%, 115%, INDEX(AW1538:INDEX(AW1538:BH1538, MATCH(2, 1/(AW1538:BH1538&lt;&gt;""), 1)-1), ROW(INDIRECT("1:" &amp; MATCH(2, 1/(AW1538:BH1538&lt;&gt;""), 1)-1)))), 0))/_xlfn.XLOOKUP(F1538,Apuração!A:A,Apuração!B:B)&gt;=1.15,1.15,SUM(IFERROR(IF(INDEX(AW1538:INDEX(AW1538:BH1538, MATCH(2, 1/(AW1538:BH1538&lt;&gt;""), 1)-1), ROW(INDIRECT("1:" &amp; MATCH(2, 1/(AW1538:BH1538&lt;&gt;""), 1)-1))) &gt;= 115%, 115%, INDEX(AW1538:INDEX(AW1538:BH1538, MATCH(2, 1/(AW1538:BH1538&lt;&gt;""), 1)-1), ROW(INDIRECT("1:" &amp; MATCH(2, 1/(AW1538:BH1538&lt;&gt;""), 1)-1)))), 0))/_xlfn.XLOOKUP(F1538,Apuração!A:A,Apuração!B:B))</f>
        <v>0.16666666666666666</v>
      </c>
      <c r="BM1538" s="55" cm="1">
        <f t="array" ref="BM1538">IFERROR(
   INDEX($AW$1:$BH$1,
      _xlfn.AGGREGATE(14, 6, COLUMN($AW$1:$BH$1)/(AW1538:BH1538&lt;&gt;""), 2) - COLUMN($AW$1) + 1
   ),
"")</f>
        <v>46082</v>
      </c>
      <c r="BN1538" s="55" cm="1">
        <f t="array" ref="BN1538">IFERROR(INDEX($AW$1:$BH$1,1,MATCH(2,1/(AW1538:BH1538&lt;&gt;""))),"")</f>
        <v>46113</v>
      </c>
      <c r="BO1538" s="53">
        <f ca="1">IFERROR(_xlfn.XLOOKUP(F1538,Apuração!A:A,Apuração!C:C)/_xlfn.XLOOKUP(F1538,Apuração!A:A,Apuração!B:B),0)</f>
        <v>0.41666666666666669</v>
      </c>
      <c r="BP1538" s="53">
        <f ca="1">IFERROR(_xlfn.XLOOKUP(F1538,Apuração!A:A,Apuração!D:D)/_xlfn.XLOOKUP(F1538,Apuração!A:A,Apuração!B:B),0)</f>
        <v>0.33333333333333331</v>
      </c>
      <c r="BQ1538" s="53">
        <f ca="1">IF(BK1538&gt;=BO1538,0,_xlfn.XLOOKUP(F1538,Apuração!A:A,Apuração!B:B)*(BO1538 + (1/_xlfn.XLOOKUP(F1538,Apuração!A:A,Apuração!B:B)) - BK1538))</f>
        <v>2.8499999999999996</v>
      </c>
      <c r="BR1538" s="85">
        <f t="shared" ca="1" si="1781"/>
        <v>2.8499999999999996</v>
      </c>
      <c r="BS1538" s="53">
        <f ca="1">IFERROR((_xlfn.XLOOKUP(F1538,Apuração!A:A,Apuração!C:C)+1)/_xlfn.XLOOKUP(F1538,Apuração!A:A,Apuração!B:B),0)</f>
        <v>0.5</v>
      </c>
    </row>
    <row r="1539" spans="1:71" ht="25.95" hidden="1" customHeight="1" x14ac:dyDescent="0.3">
      <c r="A1539" s="39" t="s">
        <v>33</v>
      </c>
      <c r="B1539" s="4" t="s">
        <v>70</v>
      </c>
      <c r="C1539" s="5" t="s">
        <v>214</v>
      </c>
      <c r="D1539" s="5" t="s">
        <v>36</v>
      </c>
      <c r="E1539" s="4" t="str" cm="1">
        <f t="array" ref="E1539">_xlfn.IFS(
F1539 = "A partir de Abril", "Aguardando Execução na Distribuidora",
A1539 = "CAPACITAÇÃO", "Em execução no Corporativo",
TRUE, "Em Execução na Distribuidora"
)</f>
        <v>Em Execução na Distribuidora</v>
      </c>
      <c r="F1539" s="4" t="str" cm="1">
        <f t="array" ref="F1539">_xlfn.IFS(
AG1539 &lt;&gt; "", "Jan-Dez/26",
AH1539 &lt;&gt; "", "Fev-Dez/26",
AI1539 &lt;&gt; "", "Mar-Dez/26", AJ1539 &lt;&gt; "", "Abr-Dez/26",
TRUE, "A partir de Junho"
)</f>
        <v>Jan-Dez/26</v>
      </c>
      <c r="G1539" s="4" t="s">
        <v>37</v>
      </c>
      <c r="H1539" s="7" t="s">
        <v>110</v>
      </c>
      <c r="I1539" s="8" t="s">
        <v>59</v>
      </c>
      <c r="J1539" s="8" t="str" cm="1">
        <f t="array" aca="1" ref="J1539" ca="1">_xlfn.LET(
  _xlpm.actual_value_month, INDEX(T1539:AE1539, MATCH(DATE(YEAR(TODAY()), MONTH(TODAY()), 1), $T$1:$AE$1, 0)),
  IF(_xlpm.actual_value_month &lt;&gt; "",_xlpm.actual_value_month &amp; " ações mensais", "")
)</f>
        <v/>
      </c>
      <c r="K1539" s="14" t="str" cm="1">
        <f t="array" ref="K1539">_xlfn.LET(
    _xlpm.sum_month, SUM(T1539:AE1539),
    IF(_xlpm.sum_month = 0, "", _xlpm.sum_month &amp; " pessoas impactadas no ano.")
)</f>
        <v/>
      </c>
      <c r="L1539" s="9" t="s">
        <v>59</v>
      </c>
      <c r="M1539" s="13">
        <v>1</v>
      </c>
      <c r="N1539" s="5" t="s">
        <v>51</v>
      </c>
      <c r="O1539" s="5" t="s">
        <v>52</v>
      </c>
      <c r="P1539" s="10" t="s">
        <v>44</v>
      </c>
      <c r="Q1539" s="10" t="s">
        <v>44</v>
      </c>
      <c r="R1539" s="11" t="s">
        <v>44</v>
      </c>
      <c r="S1539" s="11" t="s">
        <v>44</v>
      </c>
      <c r="T1539" s="22"/>
      <c r="U1539" s="22"/>
      <c r="V1539" s="22"/>
      <c r="W1539" s="22"/>
      <c r="X1539" s="22"/>
      <c r="Y1539" s="22"/>
      <c r="Z1539" s="22"/>
      <c r="AA1539" s="22"/>
      <c r="AB1539" s="22"/>
      <c r="AC1539" s="22"/>
      <c r="AD1539" s="22"/>
      <c r="AE1539" s="22"/>
      <c r="AG1539" s="71">
        <v>80</v>
      </c>
      <c r="AH1539" s="71">
        <v>20</v>
      </c>
      <c r="AI1539" s="71">
        <v>223</v>
      </c>
      <c r="AJ1539" s="71">
        <v>75</v>
      </c>
      <c r="AK1539" s="71"/>
      <c r="AL1539" s="71"/>
      <c r="AM1539" s="71"/>
      <c r="AN1539" s="71"/>
      <c r="AO1539" s="71"/>
      <c r="AP1539" s="71"/>
      <c r="AQ1539" s="71"/>
      <c r="AR1539" s="71"/>
      <c r="AS1539" s="94">
        <f ca="1">IF(MONTH(TODAY())=3,SUM(T1539:U1539),IF(MONTH(TODAY())=4,SUM(T1539:V1539),IF(MONTH(TODAY())=5,SUM(T1539:W1539),IF(MONTH(TODAY())=6,SUM(T1539:X1539),IF(MONTH(TODAY())=7,SUM(T1539:Y1539),IF(MONTH(TODAY())=8,SUM(T1539:Z1539),IF(MONTH(TODAY())=9,SUM(T1539:AA1539),IF(MONTH(TODAY())=10,SUM(T1539:AB1539),IF(MONTH(TODAY())=11,SUM(T1539:AC1539),IF(MONTH(TODAY())=12,SUM(T1539:AD1539),IF(MONTH(TODAY())=1,SUM(T1539:AE1539),T1539)))))))))))</f>
        <v>0</v>
      </c>
      <c r="AT1539" s="95">
        <f>SUM(AG1539:AR1539)</f>
        <v>398</v>
      </c>
      <c r="AU1539" s="97">
        <f>SUM(AG1539:AR1539)</f>
        <v>398</v>
      </c>
      <c r="AW1539" s="83">
        <f>AG1539</f>
        <v>80</v>
      </c>
      <c r="AX1539" s="83">
        <f>AH1539</f>
        <v>20</v>
      </c>
      <c r="AY1539" s="83">
        <f>AI1539</f>
        <v>223</v>
      </c>
      <c r="AZ1539" s="83">
        <f>AJ1539</f>
        <v>75</v>
      </c>
      <c r="BA1539" s="52"/>
      <c r="BB1539" s="52"/>
      <c r="BC1539" s="52"/>
      <c r="BD1539" s="52"/>
      <c r="BE1539" s="52"/>
      <c r="BF1539" s="52"/>
      <c r="BG1539" s="52"/>
      <c r="BH1539" s="52"/>
      <c r="BI1539" s="68" cm="1">
        <f t="array" ref="BI1539">IFERROR(INDEX(AW1539:BH1539,1,MATCH(2,1/(AW1539:BH1539&lt;&gt;""))),"")</f>
        <v>75</v>
      </c>
      <c r="BJ1539" s="68" cm="1">
        <f t="array" ref="BJ1539">IF(BM1539 = "", "",IFERROR(INDEX(AW1539:BH1539,1,MATCH(2,1/(AW1539:BH1539&lt;&gt;""),1)-1),""))</f>
        <v>223</v>
      </c>
      <c r="BK1539" s="59">
        <f>SUM(AW1539:BH1539)</f>
        <v>398</v>
      </c>
      <c r="BL1539" s="59" cm="1">
        <f t="array" ref="BL1539">IFERROR(SUM(AW1539:INDEX(AW1539:BH1539, MATCH(2, 1/(AW1539:BH1539&lt;&gt;""), 1) - 1))/_xlfn.XLOOKUP(F1539,Apuração!A:A,Apuração!B:B),0)</f>
        <v>26.916666666666668</v>
      </c>
      <c r="BM1539" s="55" cm="1">
        <f t="array" ref="BM1539">IFERROR(
   INDEX($AW$1:$BH$1,
      _xlfn.AGGREGATE(14, 6, COLUMN($AW$1:$BH$1)/(AW1539:BH1539&lt;&gt;""), 2) - COLUMN($AW$1) + 1
   ),
"")</f>
        <v>46082</v>
      </c>
      <c r="BN1539" s="55" cm="1">
        <f t="array" ref="BN1539">IFERROR(INDEX($AW$1:$BH$1,1,MATCH(2,1/(AW1539:BH1539&lt;&gt;""))),"")</f>
        <v>46113</v>
      </c>
      <c r="BO1539" s="53">
        <f ca="1">IFERROR(_xlfn.XLOOKUP(F1539,Apuração!A:A,Apuração!C:C)/_xlfn.XLOOKUP(F1539,Apuração!A:A,Apuração!B:B),0)</f>
        <v>0.41666666666666669</v>
      </c>
      <c r="BP1539" s="53">
        <f ca="1">IFERROR(_xlfn.XLOOKUP(F1539,Apuração!A:A,Apuração!D:D)/_xlfn.XLOOKUP(F1539,Apuração!A:A,Apuração!B:B),0)</f>
        <v>0.33333333333333331</v>
      </c>
      <c r="BQ1539" s="53">
        <f ca="1">IF(BK1539&gt;=BO1539,0,_xlfn.XLOOKUP(F1539,Apuração!A:A,Apuração!B:B)*(BO1539 + (1/_xlfn.XLOOKUP(F1539,Apuração!A:A,Apuração!B:B)) - BK1539))</f>
        <v>0</v>
      </c>
      <c r="BR1539" s="85">
        <f ca="1">IF(BQ1539=0,0,BQ1539*Z1539)</f>
        <v>0</v>
      </c>
      <c r="BS1539" s="53">
        <f ca="1">IFERROR((_xlfn.XLOOKUP(F1539,Apuração!A:A,Apuração!C:C)+1)/_xlfn.XLOOKUP(F1539,Apuração!A:A,Apuração!B:B),0)</f>
        <v>0.5</v>
      </c>
    </row>
    <row r="1540" spans="1:71" ht="25.95" hidden="1" customHeight="1" x14ac:dyDescent="0.3">
      <c r="A1540" s="39" t="s">
        <v>33</v>
      </c>
      <c r="B1540" s="4" t="s">
        <v>70</v>
      </c>
      <c r="C1540" s="5" t="s">
        <v>214</v>
      </c>
      <c r="D1540" s="5" t="s">
        <v>210</v>
      </c>
      <c r="E1540" s="4" t="str" cm="1">
        <f t="array" ref="E1540">_xlfn.IFS(
F1540 = "A partir de Abril", "Aguardando Execução na Distribuidora",
A1540 = "CAPACITAÇÃO", "Em execução no Corporativo",
TRUE, "Em Execução na Distribuidora"
)</f>
        <v>Em Execução na Distribuidora</v>
      </c>
      <c r="F1540" s="4" t="str" cm="1">
        <f t="array" ref="F1540">_xlfn.IFS(
AG1540 &lt;&gt; "", "Jan-Dez/26",
AH1540 &lt;&gt; "", "Fev-Dez/26",
AI1540 &lt;&gt; "", "Mar-Dez/26", AJ1540 &lt;&gt; "", "Abr-Dez/26",
TRUE, "A partir de Junho"
)</f>
        <v>Jan-Dez/26</v>
      </c>
      <c r="G1540" s="4" t="s">
        <v>37</v>
      </c>
      <c r="H1540" s="7" t="s">
        <v>110</v>
      </c>
      <c r="I1540" s="8" t="s">
        <v>59</v>
      </c>
      <c r="J1540" s="8" t="str" cm="1">
        <f t="array" aca="1" ref="J1540" ca="1">_xlfn.LET(
  _xlpm.actual_value_month, INDEX(T1540:AE1540, MATCH(DATE(YEAR(TODAY()), MONTH(TODAY()), 1), $T$1:$AE$1, 0)),
  IF(_xlpm.actual_value_month &lt;&gt; "",_xlpm.actual_value_month &amp; " ações mensais", "")
)</f>
        <v/>
      </c>
      <c r="K1540" s="14" t="str" cm="1">
        <f t="array" ref="K1540">_xlfn.LET(
    _xlpm.sum_month, SUM(T1540:AE1540),
    IF(_xlpm.sum_month = 0, "", _xlpm.sum_month &amp; " pessoas impactadas no ano.")
)</f>
        <v/>
      </c>
      <c r="L1540" s="9" t="s">
        <v>59</v>
      </c>
      <c r="M1540" s="13">
        <v>1</v>
      </c>
      <c r="N1540" s="5" t="s">
        <v>51</v>
      </c>
      <c r="O1540" s="5" t="s">
        <v>52</v>
      </c>
      <c r="P1540" s="10" t="s">
        <v>44</v>
      </c>
      <c r="Q1540" s="10" t="s">
        <v>44</v>
      </c>
      <c r="R1540" s="11" t="s">
        <v>44</v>
      </c>
      <c r="S1540" s="11" t="s">
        <v>44</v>
      </c>
      <c r="T1540" s="22"/>
      <c r="U1540" s="22"/>
      <c r="V1540" s="22"/>
      <c r="W1540" s="22"/>
      <c r="X1540" s="22"/>
      <c r="Y1540" s="22"/>
      <c r="Z1540" s="22"/>
      <c r="AA1540" s="22"/>
      <c r="AB1540" s="22"/>
      <c r="AC1540" s="22"/>
      <c r="AD1540" s="22"/>
      <c r="AE1540" s="22"/>
      <c r="AG1540" s="145">
        <v>20</v>
      </c>
      <c r="AH1540" s="149">
        <v>0</v>
      </c>
      <c r="AI1540" s="149">
        <v>45</v>
      </c>
      <c r="AJ1540" s="145">
        <v>0</v>
      </c>
      <c r="AK1540" s="71"/>
      <c r="AL1540" s="71"/>
      <c r="AM1540" s="71"/>
      <c r="AN1540" s="71"/>
      <c r="AO1540" s="71"/>
      <c r="AP1540" s="71"/>
      <c r="AQ1540" s="71"/>
      <c r="AR1540" s="71"/>
      <c r="AS1540" s="94">
        <f t="shared" ref="AS1540:AS1544" ca="1" si="1782">IF(MONTH(TODAY())=3,SUM(T1540:U1540),IF(MONTH(TODAY())=4,SUM(T1540:V1540),IF(MONTH(TODAY())=5,SUM(T1540:W1540),IF(MONTH(TODAY())=6,SUM(T1540:X1540),IF(MONTH(TODAY())=7,SUM(T1540:Y1540),IF(MONTH(TODAY())=8,SUM(T1540:Z1540),IF(MONTH(TODAY())=9,SUM(T1540:AA1540),IF(MONTH(TODAY())=10,SUM(T1540:AB1540),IF(MONTH(TODAY())=11,SUM(T1540:AC1540),IF(MONTH(TODAY())=12,SUM(T1540:AD1540),IF(MONTH(TODAY())=1,SUM(T1540:AE1540),T1540)))))))))))</f>
        <v>0</v>
      </c>
      <c r="AT1540" s="95">
        <f t="shared" ref="AT1540:AT1544" si="1783">SUM(AG1540:AR1540)</f>
        <v>65</v>
      </c>
      <c r="AU1540" s="97">
        <f t="shared" ref="AU1540:AU1544" si="1784">SUM(AG1540:AR1540)</f>
        <v>65</v>
      </c>
      <c r="AW1540" s="83">
        <f t="shared" ref="AW1540:AW1544" si="1785">AG1540</f>
        <v>20</v>
      </c>
      <c r="AX1540" s="83">
        <f t="shared" ref="AX1540:AX1544" si="1786">AH1540</f>
        <v>0</v>
      </c>
      <c r="AY1540" s="83">
        <f t="shared" ref="AY1540:AY1544" si="1787">AI1540</f>
        <v>45</v>
      </c>
      <c r="AZ1540" s="83">
        <f t="shared" ref="AZ1540:AZ1544" si="1788">AJ1540</f>
        <v>0</v>
      </c>
      <c r="BA1540" s="52"/>
      <c r="BB1540" s="52"/>
      <c r="BC1540" s="52"/>
      <c r="BD1540" s="52"/>
      <c r="BE1540" s="52"/>
      <c r="BF1540" s="52"/>
      <c r="BG1540" s="52"/>
      <c r="BH1540" s="52"/>
      <c r="BI1540" s="68" cm="1">
        <f t="array" ref="BI1540">IFERROR(INDEX(AW1540:BH1540,1,MATCH(2,1/(AW1540:BH1540&lt;&gt;""))),"")</f>
        <v>0</v>
      </c>
      <c r="BJ1540" s="68" cm="1">
        <f t="array" ref="BJ1540">IF(BM1540 = "", "",IFERROR(INDEX(AW1540:BH1540,1,MATCH(2,1/(AW1540:BH1540&lt;&gt;""),1)-1),""))</f>
        <v>45</v>
      </c>
      <c r="BK1540" s="59">
        <f t="shared" ref="BK1540:BK1544" si="1789">SUM(AW1540:BH1540)</f>
        <v>65</v>
      </c>
      <c r="BL1540" s="59" cm="1">
        <f t="array" ref="BL1540">IFERROR(SUM(AW1540:INDEX(AW1540:BH1540, MATCH(2, 1/(AW1540:BH1540&lt;&gt;""), 1) - 1))/_xlfn.XLOOKUP(F1540,Apuração!A:A,Apuração!B:B),0)</f>
        <v>5.416666666666667</v>
      </c>
      <c r="BM1540" s="55" cm="1">
        <f t="array" ref="BM1540">IFERROR(
   INDEX($AW$1:$BH$1,
      _xlfn.AGGREGATE(14, 6, COLUMN($AW$1:$BH$1)/(AW1540:BH1540&lt;&gt;""), 2) - COLUMN($AW$1) + 1
   ),
"")</f>
        <v>46082</v>
      </c>
      <c r="BN1540" s="55" cm="1">
        <f t="array" ref="BN1540">IFERROR(INDEX($AW$1:$BH$1,1,MATCH(2,1/(AW1540:BH1540&lt;&gt;""))),"")</f>
        <v>46113</v>
      </c>
      <c r="BO1540" s="53">
        <f ca="1">IFERROR(_xlfn.XLOOKUP(F1540,Apuração!A:A,Apuração!C:C)/_xlfn.XLOOKUP(F1540,Apuração!A:A,Apuração!B:B),0)</f>
        <v>0.41666666666666669</v>
      </c>
      <c r="BP1540" s="53">
        <f ca="1">IFERROR(_xlfn.XLOOKUP(F1540,Apuração!A:A,Apuração!D:D)/_xlfn.XLOOKUP(F1540,Apuração!A:A,Apuração!B:B),0)</f>
        <v>0.33333333333333331</v>
      </c>
      <c r="BQ1540" s="53">
        <f ca="1">IF(BK1540&gt;=BO1540,0,_xlfn.XLOOKUP(F1540,Apuração!A:A,Apuração!B:B)*(BO1540 + (1/_xlfn.XLOOKUP(F1540,Apuração!A:A,Apuração!B:B)) - BK1540))</f>
        <v>0</v>
      </c>
      <c r="BR1540" s="85">
        <f t="shared" ref="BR1540:BR1544" ca="1" si="1790">IF(BQ1540=0,0,BQ1540*Z1540)</f>
        <v>0</v>
      </c>
      <c r="BS1540" s="53">
        <f ca="1">IFERROR((_xlfn.XLOOKUP(F1540,Apuração!A:A,Apuração!C:C)+1)/_xlfn.XLOOKUP(F1540,Apuração!A:A,Apuração!B:B),0)</f>
        <v>0.5</v>
      </c>
    </row>
    <row r="1541" spans="1:71" ht="25.95" hidden="1" customHeight="1" x14ac:dyDescent="0.3">
      <c r="A1541" s="39" t="s">
        <v>33</v>
      </c>
      <c r="B1541" s="4" t="s">
        <v>70</v>
      </c>
      <c r="C1541" s="5" t="s">
        <v>214</v>
      </c>
      <c r="D1541" s="5" t="s">
        <v>215</v>
      </c>
      <c r="E1541" s="4" t="str" cm="1">
        <f t="array" ref="E1541">_xlfn.IFS(
F1541 = "A partir de Abril", "Aguardando Execução na Distribuidora",
A1541 = "CAPACITAÇÃO", "Em execução no Corporativo",
TRUE, "Em Execução na Distribuidora"
)</f>
        <v>Em Execução na Distribuidora</v>
      </c>
      <c r="F1541" s="4" t="str" cm="1">
        <f t="array" ref="F1541">_xlfn.IFS(
AG1541 &lt;&gt; "", "Jan-Dez/26",
AH1541 &lt;&gt; "", "Fev-Dez/26",
AI1541 &lt;&gt; "", "Mar-Dez/26", AJ1541 &lt;&gt; "", "Abr-Dez/26",
TRUE, "A partir de Junho"
)</f>
        <v>Jan-Dez/26</v>
      </c>
      <c r="G1541" s="4" t="s">
        <v>37</v>
      </c>
      <c r="H1541" s="7" t="s">
        <v>110</v>
      </c>
      <c r="I1541" s="8" t="s">
        <v>59</v>
      </c>
      <c r="J1541" s="8" t="str" cm="1">
        <f t="array" aca="1" ref="J1541" ca="1">_xlfn.LET(
  _xlpm.actual_value_month, INDEX(T1541:AE1541, MATCH(DATE(YEAR(TODAY()), MONTH(TODAY()), 1), $T$1:$AE$1, 0)),
  IF(_xlpm.actual_value_month &lt;&gt; "",_xlpm.actual_value_month &amp; " ações mensais", "")
)</f>
        <v/>
      </c>
      <c r="K1541" s="14" t="str" cm="1">
        <f t="array" ref="K1541">_xlfn.LET(
    _xlpm.sum_month, SUM(T1541:AE1541),
    IF(_xlpm.sum_month = 0, "", _xlpm.sum_month &amp; " pessoas impactadas no ano.")
)</f>
        <v/>
      </c>
      <c r="L1541" s="9" t="s">
        <v>59</v>
      </c>
      <c r="M1541" s="13">
        <v>1</v>
      </c>
      <c r="N1541" s="5" t="s">
        <v>51</v>
      </c>
      <c r="O1541" s="5" t="s">
        <v>52</v>
      </c>
      <c r="P1541" s="10" t="s">
        <v>44</v>
      </c>
      <c r="Q1541" s="10" t="s">
        <v>44</v>
      </c>
      <c r="R1541" s="11" t="s">
        <v>44</v>
      </c>
      <c r="S1541" s="11" t="s">
        <v>44</v>
      </c>
      <c r="T1541" s="22"/>
      <c r="U1541" s="22"/>
      <c r="V1541" s="22"/>
      <c r="W1541" s="22"/>
      <c r="X1541" s="22"/>
      <c r="Y1541" s="22"/>
      <c r="Z1541" s="22"/>
      <c r="AA1541" s="22"/>
      <c r="AB1541" s="22"/>
      <c r="AC1541" s="22"/>
      <c r="AD1541" s="22"/>
      <c r="AE1541" s="22"/>
      <c r="AG1541" s="146">
        <v>20</v>
      </c>
      <c r="AH1541" s="150">
        <v>20</v>
      </c>
      <c r="AI1541" s="150">
        <v>45</v>
      </c>
      <c r="AJ1541" s="146">
        <v>0</v>
      </c>
      <c r="AK1541" s="71"/>
      <c r="AL1541" s="71"/>
      <c r="AM1541" s="71"/>
      <c r="AN1541" s="71"/>
      <c r="AO1541" s="71"/>
      <c r="AP1541" s="71"/>
      <c r="AQ1541" s="71"/>
      <c r="AR1541" s="71"/>
      <c r="AS1541" s="94">
        <f t="shared" ca="1" si="1782"/>
        <v>0</v>
      </c>
      <c r="AT1541" s="95">
        <f t="shared" si="1783"/>
        <v>85</v>
      </c>
      <c r="AU1541" s="97">
        <f t="shared" si="1784"/>
        <v>85</v>
      </c>
      <c r="AW1541" s="83">
        <f t="shared" si="1785"/>
        <v>20</v>
      </c>
      <c r="AX1541" s="83">
        <f t="shared" si="1786"/>
        <v>20</v>
      </c>
      <c r="AY1541" s="83">
        <f t="shared" si="1787"/>
        <v>45</v>
      </c>
      <c r="AZ1541" s="83">
        <f t="shared" si="1788"/>
        <v>0</v>
      </c>
      <c r="BA1541" s="52"/>
      <c r="BB1541" s="52"/>
      <c r="BC1541" s="52"/>
      <c r="BD1541" s="52"/>
      <c r="BE1541" s="52"/>
      <c r="BF1541" s="52"/>
      <c r="BG1541" s="52"/>
      <c r="BH1541" s="52"/>
      <c r="BI1541" s="68" cm="1">
        <f t="array" ref="BI1541">IFERROR(INDEX(AW1541:BH1541,1,MATCH(2,1/(AW1541:BH1541&lt;&gt;""))),"")</f>
        <v>0</v>
      </c>
      <c r="BJ1541" s="68" cm="1">
        <f t="array" ref="BJ1541">IF(BM1541 = "", "",IFERROR(INDEX(AW1541:BH1541,1,MATCH(2,1/(AW1541:BH1541&lt;&gt;""),1)-1),""))</f>
        <v>45</v>
      </c>
      <c r="BK1541" s="59">
        <f t="shared" si="1789"/>
        <v>85</v>
      </c>
      <c r="BL1541" s="59" cm="1">
        <f t="array" ref="BL1541">IFERROR(SUM(AW1541:INDEX(AW1541:BH1541, MATCH(2, 1/(AW1541:BH1541&lt;&gt;""), 1) - 1))/_xlfn.XLOOKUP(F1541,Apuração!A:A,Apuração!B:B),0)</f>
        <v>7.083333333333333</v>
      </c>
      <c r="BM1541" s="55" cm="1">
        <f t="array" ref="BM1541">IFERROR(
   INDEX($AW$1:$BH$1,
      _xlfn.AGGREGATE(14, 6, COLUMN($AW$1:$BH$1)/(AW1541:BH1541&lt;&gt;""), 2) - COLUMN($AW$1) + 1
   ),
"")</f>
        <v>46082</v>
      </c>
      <c r="BN1541" s="55" cm="1">
        <f t="array" ref="BN1541">IFERROR(INDEX($AW$1:$BH$1,1,MATCH(2,1/(AW1541:BH1541&lt;&gt;""))),"")</f>
        <v>46113</v>
      </c>
      <c r="BO1541" s="53">
        <f ca="1">IFERROR(_xlfn.XLOOKUP(F1541,Apuração!A:A,Apuração!C:C)/_xlfn.XLOOKUP(F1541,Apuração!A:A,Apuração!B:B),0)</f>
        <v>0.41666666666666669</v>
      </c>
      <c r="BP1541" s="53">
        <f ca="1">IFERROR(_xlfn.XLOOKUP(F1541,Apuração!A:A,Apuração!D:D)/_xlfn.XLOOKUP(F1541,Apuração!A:A,Apuração!B:B),0)</f>
        <v>0.33333333333333331</v>
      </c>
      <c r="BQ1541" s="53">
        <f ca="1">IF(BK1541&gt;=BO1541,0,_xlfn.XLOOKUP(F1541,Apuração!A:A,Apuração!B:B)*(BO1541 + (1/_xlfn.XLOOKUP(F1541,Apuração!A:A,Apuração!B:B)) - BK1541))</f>
        <v>0</v>
      </c>
      <c r="BR1541" s="85">
        <f t="shared" ca="1" si="1790"/>
        <v>0</v>
      </c>
      <c r="BS1541" s="53">
        <f ca="1">IFERROR((_xlfn.XLOOKUP(F1541,Apuração!A:A,Apuração!C:C)+1)/_xlfn.XLOOKUP(F1541,Apuração!A:A,Apuração!B:B),0)</f>
        <v>0.5</v>
      </c>
    </row>
    <row r="1542" spans="1:71" ht="25.95" hidden="1" customHeight="1" x14ac:dyDescent="0.3">
      <c r="A1542" s="39" t="s">
        <v>33</v>
      </c>
      <c r="B1542" s="4" t="s">
        <v>70</v>
      </c>
      <c r="C1542" s="5" t="s">
        <v>214</v>
      </c>
      <c r="D1542" s="5" t="s">
        <v>212</v>
      </c>
      <c r="E1542" s="4" t="str" cm="1">
        <f t="array" ref="E1542">_xlfn.IFS(
F1542 = "A partir de Abril", "Aguardando Execução na Distribuidora",
A1542 = "CAPACITAÇÃO", "Em execução no Corporativo",
TRUE, "Em Execução na Distribuidora"
)</f>
        <v>Em Execução na Distribuidora</v>
      </c>
      <c r="F1542" s="4" t="str" cm="1">
        <f t="array" ref="F1542">_xlfn.IFS(
AG1542 &lt;&gt; "", "Jan-Dez/26",
AH1542 &lt;&gt; "", "Fev-Dez/26",
AI1542 &lt;&gt; "", "Mar-Dez/26", AJ1542 &lt;&gt; "", "Abr-Dez/26",
TRUE, "A partir de Junho"
)</f>
        <v>Jan-Dez/26</v>
      </c>
      <c r="G1542" s="4" t="s">
        <v>37</v>
      </c>
      <c r="H1542" s="7" t="s">
        <v>110</v>
      </c>
      <c r="I1542" s="8" t="s">
        <v>59</v>
      </c>
      <c r="J1542" s="8" t="str" cm="1">
        <f t="array" aca="1" ref="J1542" ca="1">_xlfn.LET(
  _xlpm.actual_value_month, INDEX(T1542:AE1542, MATCH(DATE(YEAR(TODAY()), MONTH(TODAY()), 1), $T$1:$AE$1, 0)),
  IF(_xlpm.actual_value_month &lt;&gt; "",_xlpm.actual_value_month &amp; " ações mensais", "")
)</f>
        <v/>
      </c>
      <c r="K1542" s="14" t="str" cm="1">
        <f t="array" ref="K1542">_xlfn.LET(
    _xlpm.sum_month, SUM(T1542:AE1542),
    IF(_xlpm.sum_month = 0, "", _xlpm.sum_month &amp; " pessoas impactadas no ano.")
)</f>
        <v/>
      </c>
      <c r="L1542" s="9" t="s">
        <v>59</v>
      </c>
      <c r="M1542" s="13">
        <v>1</v>
      </c>
      <c r="N1542" s="5" t="s">
        <v>51</v>
      </c>
      <c r="O1542" s="5" t="s">
        <v>52</v>
      </c>
      <c r="P1542" s="10" t="s">
        <v>44</v>
      </c>
      <c r="Q1542" s="10" t="s">
        <v>44</v>
      </c>
      <c r="R1542" s="11" t="s">
        <v>44</v>
      </c>
      <c r="S1542" s="11" t="s">
        <v>44</v>
      </c>
      <c r="T1542" s="22"/>
      <c r="U1542" s="22"/>
      <c r="V1542" s="22"/>
      <c r="W1542" s="22"/>
      <c r="X1542" s="22"/>
      <c r="Y1542" s="22"/>
      <c r="Z1542" s="22"/>
      <c r="AA1542" s="22"/>
      <c r="AB1542" s="22"/>
      <c r="AC1542" s="22"/>
      <c r="AD1542" s="22"/>
      <c r="AE1542" s="22"/>
      <c r="AG1542" s="146">
        <v>20</v>
      </c>
      <c r="AH1542" s="150">
        <v>0</v>
      </c>
      <c r="AI1542" s="150">
        <v>43</v>
      </c>
      <c r="AJ1542" s="146">
        <v>25</v>
      </c>
      <c r="AK1542" s="71"/>
      <c r="AL1542" s="71"/>
      <c r="AM1542" s="71"/>
      <c r="AN1542" s="71"/>
      <c r="AO1542" s="71"/>
      <c r="AP1542" s="71"/>
      <c r="AQ1542" s="71"/>
      <c r="AR1542" s="71"/>
      <c r="AS1542" s="94">
        <f t="shared" ca="1" si="1782"/>
        <v>0</v>
      </c>
      <c r="AT1542" s="95">
        <f t="shared" si="1783"/>
        <v>88</v>
      </c>
      <c r="AU1542" s="97">
        <f t="shared" si="1784"/>
        <v>88</v>
      </c>
      <c r="AW1542" s="83">
        <f t="shared" si="1785"/>
        <v>20</v>
      </c>
      <c r="AX1542" s="83">
        <f t="shared" si="1786"/>
        <v>0</v>
      </c>
      <c r="AY1542" s="83">
        <f t="shared" si="1787"/>
        <v>43</v>
      </c>
      <c r="AZ1542" s="83">
        <f t="shared" si="1788"/>
        <v>25</v>
      </c>
      <c r="BA1542" s="52"/>
      <c r="BB1542" s="52"/>
      <c r="BC1542" s="52"/>
      <c r="BD1542" s="52"/>
      <c r="BE1542" s="52"/>
      <c r="BF1542" s="52"/>
      <c r="BG1542" s="52"/>
      <c r="BH1542" s="52"/>
      <c r="BI1542" s="68" cm="1">
        <f t="array" ref="BI1542">IFERROR(INDEX(AW1542:BH1542,1,MATCH(2,1/(AW1542:BH1542&lt;&gt;""))),"")</f>
        <v>25</v>
      </c>
      <c r="BJ1542" s="68" cm="1">
        <f t="array" ref="BJ1542">IF(BM1542 = "", "",IFERROR(INDEX(AW1542:BH1542,1,MATCH(2,1/(AW1542:BH1542&lt;&gt;""),1)-1),""))</f>
        <v>43</v>
      </c>
      <c r="BK1542" s="59">
        <f t="shared" si="1789"/>
        <v>88</v>
      </c>
      <c r="BL1542" s="59" cm="1">
        <f t="array" ref="BL1542">IFERROR(SUM(AW1542:INDEX(AW1542:BH1542, MATCH(2, 1/(AW1542:BH1542&lt;&gt;""), 1) - 1))/_xlfn.XLOOKUP(F1542,Apuração!A:A,Apuração!B:B),0)</f>
        <v>5.25</v>
      </c>
      <c r="BM1542" s="55" cm="1">
        <f t="array" ref="BM1542">IFERROR(
   INDEX($AW$1:$BH$1,
      _xlfn.AGGREGATE(14, 6, COLUMN($AW$1:$BH$1)/(AW1542:BH1542&lt;&gt;""), 2) - COLUMN($AW$1) + 1
   ),
"")</f>
        <v>46082</v>
      </c>
      <c r="BN1542" s="55" cm="1">
        <f t="array" ref="BN1542">IFERROR(INDEX($AW$1:$BH$1,1,MATCH(2,1/(AW1542:BH1542&lt;&gt;""))),"")</f>
        <v>46113</v>
      </c>
      <c r="BO1542" s="53">
        <f ca="1">IFERROR(_xlfn.XLOOKUP(F1542,Apuração!A:A,Apuração!C:C)/_xlfn.XLOOKUP(F1542,Apuração!A:A,Apuração!B:B),0)</f>
        <v>0.41666666666666669</v>
      </c>
      <c r="BP1542" s="53">
        <f ca="1">IFERROR(_xlfn.XLOOKUP(F1542,Apuração!A:A,Apuração!D:D)/_xlfn.XLOOKUP(F1542,Apuração!A:A,Apuração!B:B),0)</f>
        <v>0.33333333333333331</v>
      </c>
      <c r="BQ1542" s="53">
        <f ca="1">IF(BK1542&gt;=BO1542,0,_xlfn.XLOOKUP(F1542,Apuração!A:A,Apuração!B:B)*(BO1542 + (1/_xlfn.XLOOKUP(F1542,Apuração!A:A,Apuração!B:B)) - BK1542))</f>
        <v>0</v>
      </c>
      <c r="BR1542" s="85">
        <f t="shared" ca="1" si="1790"/>
        <v>0</v>
      </c>
      <c r="BS1542" s="53">
        <f ca="1">IFERROR((_xlfn.XLOOKUP(F1542,Apuração!A:A,Apuração!C:C)+1)/_xlfn.XLOOKUP(F1542,Apuração!A:A,Apuração!B:B),0)</f>
        <v>0.5</v>
      </c>
    </row>
    <row r="1543" spans="1:71" ht="25.95" hidden="1" customHeight="1" x14ac:dyDescent="0.3">
      <c r="A1543" s="39" t="s">
        <v>33</v>
      </c>
      <c r="B1543" s="4" t="s">
        <v>70</v>
      </c>
      <c r="C1543" s="5" t="s">
        <v>214</v>
      </c>
      <c r="D1543" s="5" t="s">
        <v>48</v>
      </c>
      <c r="E1543" s="4" t="str" cm="1">
        <f t="array" ref="E1543">_xlfn.IFS(
F1543 = "A partir de Abril", "Aguardando Execução na Distribuidora",
A1543 = "CAPACITAÇÃO", "Em execução no Corporativo",
TRUE, "Em Execução na Distribuidora"
)</f>
        <v>Em Execução na Distribuidora</v>
      </c>
      <c r="F1543" s="4" t="str" cm="1">
        <f t="array" ref="F1543">_xlfn.IFS(
AG1543 &lt;&gt; "", "Jan-Dez/26",
AH1543 &lt;&gt; "", "Fev-Dez/26",
AI1543 &lt;&gt; "", "Mar-Dez/26", AJ1543 &lt;&gt; "", "Abr-Dez/26",
TRUE, "A partir de Junho"
)</f>
        <v>Jan-Dez/26</v>
      </c>
      <c r="G1543" s="4" t="s">
        <v>37</v>
      </c>
      <c r="H1543" s="7" t="s">
        <v>110</v>
      </c>
      <c r="I1543" s="8" t="s">
        <v>59</v>
      </c>
      <c r="J1543" s="8" t="str" cm="1">
        <f t="array" aca="1" ref="J1543" ca="1">_xlfn.LET(
  _xlpm.actual_value_month, INDEX(T1543:AE1543, MATCH(DATE(YEAR(TODAY()), MONTH(TODAY()), 1), $T$1:$AE$1, 0)),
  IF(_xlpm.actual_value_month &lt;&gt; "",_xlpm.actual_value_month &amp; " ações mensais", "")
)</f>
        <v/>
      </c>
      <c r="K1543" s="14" t="str" cm="1">
        <f t="array" ref="K1543">_xlfn.LET(
    _xlpm.sum_month, SUM(T1543:AE1543),
    IF(_xlpm.sum_month = 0, "", _xlpm.sum_month &amp; " pessoas impactadas no ano.")
)</f>
        <v/>
      </c>
      <c r="L1543" s="9" t="s">
        <v>59</v>
      </c>
      <c r="M1543" s="13">
        <v>1</v>
      </c>
      <c r="N1543" s="5" t="s">
        <v>51</v>
      </c>
      <c r="O1543" s="5" t="s">
        <v>52</v>
      </c>
      <c r="P1543" s="10" t="s">
        <v>44</v>
      </c>
      <c r="Q1543" s="10" t="s">
        <v>44</v>
      </c>
      <c r="R1543" s="11" t="s">
        <v>44</v>
      </c>
      <c r="S1543" s="11" t="s">
        <v>44</v>
      </c>
      <c r="T1543" s="22"/>
      <c r="U1543" s="22"/>
      <c r="V1543" s="22"/>
      <c r="W1543" s="22"/>
      <c r="X1543" s="22"/>
      <c r="Y1543" s="22"/>
      <c r="Z1543" s="22"/>
      <c r="AA1543" s="22"/>
      <c r="AB1543" s="22"/>
      <c r="AC1543" s="22"/>
      <c r="AD1543" s="22"/>
      <c r="AE1543" s="22"/>
      <c r="AG1543" s="146">
        <v>20</v>
      </c>
      <c r="AH1543" s="150">
        <v>0</v>
      </c>
      <c r="AI1543" s="150">
        <v>45</v>
      </c>
      <c r="AJ1543" s="146">
        <v>0</v>
      </c>
      <c r="AK1543" s="71"/>
      <c r="AL1543" s="71"/>
      <c r="AM1543" s="71"/>
      <c r="AN1543" s="71"/>
      <c r="AO1543" s="71"/>
      <c r="AP1543" s="71"/>
      <c r="AQ1543" s="71"/>
      <c r="AR1543" s="71"/>
      <c r="AS1543" s="94">
        <f t="shared" ca="1" si="1782"/>
        <v>0</v>
      </c>
      <c r="AT1543" s="95">
        <f t="shared" si="1783"/>
        <v>65</v>
      </c>
      <c r="AU1543" s="97">
        <f t="shared" si="1784"/>
        <v>65</v>
      </c>
      <c r="AW1543" s="83">
        <f t="shared" si="1785"/>
        <v>20</v>
      </c>
      <c r="AX1543" s="83">
        <f t="shared" si="1786"/>
        <v>0</v>
      </c>
      <c r="AY1543" s="83">
        <f t="shared" si="1787"/>
        <v>45</v>
      </c>
      <c r="AZ1543" s="83">
        <f t="shared" si="1788"/>
        <v>0</v>
      </c>
      <c r="BA1543" s="52"/>
      <c r="BB1543" s="52"/>
      <c r="BC1543" s="52"/>
      <c r="BD1543" s="52"/>
      <c r="BE1543" s="52"/>
      <c r="BF1543" s="52"/>
      <c r="BG1543" s="52"/>
      <c r="BH1543" s="52"/>
      <c r="BI1543" s="68" cm="1">
        <f t="array" ref="BI1543">IFERROR(INDEX(AW1543:BH1543,1,MATCH(2,1/(AW1543:BH1543&lt;&gt;""))),"")</f>
        <v>0</v>
      </c>
      <c r="BJ1543" s="68" cm="1">
        <f t="array" ref="BJ1543">IF(BM1543 = "", "",IFERROR(INDEX(AW1543:BH1543,1,MATCH(2,1/(AW1543:BH1543&lt;&gt;""),1)-1),""))</f>
        <v>45</v>
      </c>
      <c r="BK1543" s="59">
        <f t="shared" si="1789"/>
        <v>65</v>
      </c>
      <c r="BL1543" s="59" cm="1">
        <f t="array" ref="BL1543">IFERROR(SUM(AW1543:INDEX(AW1543:BH1543, MATCH(2, 1/(AW1543:BH1543&lt;&gt;""), 1) - 1))/_xlfn.XLOOKUP(F1543,Apuração!A:A,Apuração!B:B),0)</f>
        <v>5.416666666666667</v>
      </c>
      <c r="BM1543" s="55" cm="1">
        <f t="array" ref="BM1543">IFERROR(
   INDEX($AW$1:$BH$1,
      _xlfn.AGGREGATE(14, 6, COLUMN($AW$1:$BH$1)/(AW1543:BH1543&lt;&gt;""), 2) - COLUMN($AW$1) + 1
   ),
"")</f>
        <v>46082</v>
      </c>
      <c r="BN1543" s="55" cm="1">
        <f t="array" ref="BN1543">IFERROR(INDEX($AW$1:$BH$1,1,MATCH(2,1/(AW1543:BH1543&lt;&gt;""))),"")</f>
        <v>46113</v>
      </c>
      <c r="BO1543" s="53">
        <f ca="1">IFERROR(_xlfn.XLOOKUP(F1543,Apuração!A:A,Apuração!C:C)/_xlfn.XLOOKUP(F1543,Apuração!A:A,Apuração!B:B),0)</f>
        <v>0.41666666666666669</v>
      </c>
      <c r="BP1543" s="53">
        <f ca="1">IFERROR(_xlfn.XLOOKUP(F1543,Apuração!A:A,Apuração!D:D)/_xlfn.XLOOKUP(F1543,Apuração!A:A,Apuração!B:B),0)</f>
        <v>0.33333333333333331</v>
      </c>
      <c r="BQ1543" s="53">
        <f ca="1">IF(BK1543&gt;=BO1543,0,_xlfn.XLOOKUP(F1543,Apuração!A:A,Apuração!B:B)*(BO1543 + (1/_xlfn.XLOOKUP(F1543,Apuração!A:A,Apuração!B:B)) - BK1543))</f>
        <v>0</v>
      </c>
      <c r="BR1543" s="85">
        <f t="shared" ca="1" si="1790"/>
        <v>0</v>
      </c>
      <c r="BS1543" s="53">
        <f ca="1">IFERROR((_xlfn.XLOOKUP(F1543,Apuração!A:A,Apuração!C:C)+1)/_xlfn.XLOOKUP(F1543,Apuração!A:A,Apuração!B:B),0)</f>
        <v>0.5</v>
      </c>
    </row>
    <row r="1544" spans="1:71" ht="25.95" hidden="1" customHeight="1" x14ac:dyDescent="0.3">
      <c r="A1544" s="39" t="s">
        <v>33</v>
      </c>
      <c r="B1544" s="4" t="s">
        <v>70</v>
      </c>
      <c r="C1544" s="5" t="s">
        <v>214</v>
      </c>
      <c r="D1544" s="5" t="s">
        <v>213</v>
      </c>
      <c r="E1544" s="4" t="str" cm="1">
        <f t="array" ref="E1544">_xlfn.IFS(
F1544 = "A partir de Abril", "Aguardando Execução na Distribuidora",
A1544 = "CAPACITAÇÃO", "Em execução no Corporativo",
TRUE, "Em Execução na Distribuidora"
)</f>
        <v>Em Execução na Distribuidora</v>
      </c>
      <c r="F1544" s="4" t="str" cm="1">
        <f t="array" ref="F1544">_xlfn.IFS(
AG1544 &lt;&gt; "", "Jan-Dez/26",
AH1544 &lt;&gt; "", "Fev-Dez/26",
AI1544 &lt;&gt; "", "Mar-Dez/26", AJ1544 &lt;&gt; "", "Abr-Dez/26",
TRUE, "A partir de Junho"
)</f>
        <v>Jan-Dez/26</v>
      </c>
      <c r="G1544" s="4" t="s">
        <v>37</v>
      </c>
      <c r="H1544" s="7" t="s">
        <v>110</v>
      </c>
      <c r="I1544" s="8" t="s">
        <v>59</v>
      </c>
      <c r="J1544" s="8" t="str" cm="1">
        <f t="array" aca="1" ref="J1544" ca="1">_xlfn.LET(
  _xlpm.actual_value_month, INDEX(T1544:AE1544, MATCH(DATE(YEAR(TODAY()), MONTH(TODAY()), 1), $T$1:$AE$1, 0)),
  IF(_xlpm.actual_value_month &lt;&gt; "",_xlpm.actual_value_month &amp; " ações mensais", "")
)</f>
        <v/>
      </c>
      <c r="K1544" s="14" t="str" cm="1">
        <f t="array" ref="K1544">_xlfn.LET(
    _xlpm.sum_month, SUM(T1544:AE1544),
    IF(_xlpm.sum_month = 0, "", _xlpm.sum_month &amp; " pessoas impactadas no ano.")
)</f>
        <v/>
      </c>
      <c r="L1544" s="9" t="s">
        <v>59</v>
      </c>
      <c r="M1544" s="13">
        <v>1</v>
      </c>
      <c r="N1544" s="5" t="s">
        <v>51</v>
      </c>
      <c r="O1544" s="5" t="s">
        <v>52</v>
      </c>
      <c r="P1544" s="10" t="s">
        <v>44</v>
      </c>
      <c r="Q1544" s="10" t="s">
        <v>44</v>
      </c>
      <c r="R1544" s="11" t="s">
        <v>44</v>
      </c>
      <c r="S1544" s="11" t="s">
        <v>44</v>
      </c>
      <c r="T1544" s="22"/>
      <c r="U1544" s="22"/>
      <c r="V1544" s="22"/>
      <c r="W1544" s="22"/>
      <c r="X1544" s="22"/>
      <c r="Y1544" s="22"/>
      <c r="Z1544" s="22"/>
      <c r="AA1544" s="22"/>
      <c r="AB1544" s="22"/>
      <c r="AC1544" s="22"/>
      <c r="AD1544" s="22"/>
      <c r="AE1544" s="22"/>
      <c r="AG1544" s="146">
        <v>20</v>
      </c>
      <c r="AH1544" s="150">
        <v>0</v>
      </c>
      <c r="AI1544" s="150">
        <v>45</v>
      </c>
      <c r="AJ1544" s="146">
        <v>50</v>
      </c>
      <c r="AK1544" s="71"/>
      <c r="AL1544" s="71"/>
      <c r="AM1544" s="71"/>
      <c r="AN1544" s="71"/>
      <c r="AO1544" s="71"/>
      <c r="AP1544" s="71"/>
      <c r="AQ1544" s="71"/>
      <c r="AR1544" s="71"/>
      <c r="AS1544" s="94">
        <f t="shared" ca="1" si="1782"/>
        <v>0</v>
      </c>
      <c r="AT1544" s="95">
        <f t="shared" si="1783"/>
        <v>115</v>
      </c>
      <c r="AU1544" s="97">
        <f t="shared" si="1784"/>
        <v>115</v>
      </c>
      <c r="AW1544" s="83">
        <f t="shared" si="1785"/>
        <v>20</v>
      </c>
      <c r="AX1544" s="83">
        <f t="shared" si="1786"/>
        <v>0</v>
      </c>
      <c r="AY1544" s="83">
        <f t="shared" si="1787"/>
        <v>45</v>
      </c>
      <c r="AZ1544" s="83">
        <f t="shared" si="1788"/>
        <v>50</v>
      </c>
      <c r="BA1544" s="52"/>
      <c r="BB1544" s="52"/>
      <c r="BC1544" s="52"/>
      <c r="BD1544" s="52"/>
      <c r="BE1544" s="52"/>
      <c r="BF1544" s="52"/>
      <c r="BG1544" s="52"/>
      <c r="BH1544" s="52"/>
      <c r="BI1544" s="68" cm="1">
        <f t="array" ref="BI1544">IFERROR(INDEX(AW1544:BH1544,1,MATCH(2,1/(AW1544:BH1544&lt;&gt;""))),"")</f>
        <v>50</v>
      </c>
      <c r="BJ1544" s="68" cm="1">
        <f t="array" ref="BJ1544">IF(BM1544 = "", "",IFERROR(INDEX(AW1544:BH1544,1,MATCH(2,1/(AW1544:BH1544&lt;&gt;""),1)-1),""))</f>
        <v>45</v>
      </c>
      <c r="BK1544" s="59">
        <f t="shared" si="1789"/>
        <v>115</v>
      </c>
      <c r="BL1544" s="59" cm="1">
        <f t="array" ref="BL1544">IFERROR(SUM(AW1544:INDEX(AW1544:BH1544, MATCH(2, 1/(AW1544:BH1544&lt;&gt;""), 1) - 1))/_xlfn.XLOOKUP(F1544,Apuração!A:A,Apuração!B:B),0)</f>
        <v>5.416666666666667</v>
      </c>
      <c r="BM1544" s="55" cm="1">
        <f t="array" ref="BM1544">IFERROR(
   INDEX($AW$1:$BH$1,
      _xlfn.AGGREGATE(14, 6, COLUMN($AW$1:$BH$1)/(AW1544:BH1544&lt;&gt;""), 2) - COLUMN($AW$1) + 1
   ),
"")</f>
        <v>46082</v>
      </c>
      <c r="BN1544" s="55" cm="1">
        <f t="array" ref="BN1544">IFERROR(INDEX($AW$1:$BH$1,1,MATCH(2,1/(AW1544:BH1544&lt;&gt;""))),"")</f>
        <v>46113</v>
      </c>
      <c r="BO1544" s="53">
        <f ca="1">IFERROR(_xlfn.XLOOKUP(F1544,Apuração!A:A,Apuração!C:C)/_xlfn.XLOOKUP(F1544,Apuração!A:A,Apuração!B:B),0)</f>
        <v>0.41666666666666669</v>
      </c>
      <c r="BP1544" s="53">
        <f ca="1">IFERROR(_xlfn.XLOOKUP(F1544,Apuração!A:A,Apuração!D:D)/_xlfn.XLOOKUP(F1544,Apuração!A:A,Apuração!B:B),0)</f>
        <v>0.33333333333333331</v>
      </c>
      <c r="BQ1544" s="53">
        <f ca="1">IF(BK1544&gt;=BO1544,0,_xlfn.XLOOKUP(F1544,Apuração!A:A,Apuração!B:B)*(BO1544 + (1/_xlfn.XLOOKUP(F1544,Apuração!A:A,Apuração!B:B)) - BK1544))</f>
        <v>0</v>
      </c>
      <c r="BR1544" s="85">
        <f t="shared" ca="1" si="1790"/>
        <v>0</v>
      </c>
      <c r="BS1544" s="53">
        <f ca="1">IFERROR((_xlfn.XLOOKUP(F1544,Apuração!A:A,Apuração!C:C)+1)/_xlfn.XLOOKUP(F1544,Apuração!A:A,Apuração!B:B),0)</f>
        <v>0.5</v>
      </c>
    </row>
    <row r="1545" spans="1:71" ht="25.95" hidden="1" customHeight="1" x14ac:dyDescent="0.3">
      <c r="A1545" s="3" t="s">
        <v>33</v>
      </c>
      <c r="B1545" s="4" t="s">
        <v>73</v>
      </c>
      <c r="C1545" s="5" t="s">
        <v>214</v>
      </c>
      <c r="D1545" s="5" t="s">
        <v>36</v>
      </c>
      <c r="E1545" s="4" t="str" cm="1">
        <f t="array" ref="E1545">_xlfn.IFS(
F1545 = "A partir de Abril", "Aguardando Execução na Distribuidora",
A1545 = "CAPACITAÇÃO", "Em execução no Corporativo",
TRUE, "Em Execução na Distribuidora"
)</f>
        <v>Em Execução na Distribuidora</v>
      </c>
      <c r="F1545" s="4" t="str" cm="1">
        <f t="array" ref="F1545">_xlfn.IFS(
AG1545 &lt;&gt; "", "Jan-Dez/26",
AH1545 &lt;&gt; "", "Fev-Dez/26",
AI1545 &lt;&gt; "", "Mar-Dez/26", AJ1545 &lt;&gt; "", "Abr-Dez/26",
TRUE, "A partir de Junho"
)</f>
        <v>Jan-Dez/26</v>
      </c>
      <c r="G1545" s="4" t="s">
        <v>37</v>
      </c>
      <c r="H1545" s="7" t="s">
        <v>110</v>
      </c>
      <c r="I1545" s="8" t="s">
        <v>55</v>
      </c>
      <c r="J1545" s="8" t="str" cm="1">
        <f t="array" aca="1" ref="J1545" ca="1">_xlfn.LET(
  _xlpm.actual_value_month, INDEX(T1545:AE1545, MATCH(DATE(YEAR(TODAY()), MONTH(TODAY()), 1), $T$1:$AE$1, 0)),
  IF(_xlpm.actual_value_month &lt;&gt; "",_xlpm.actual_value_month &amp; " eventos mensais", "")
)</f>
        <v>10 eventos mensais</v>
      </c>
      <c r="K1545" s="14" t="str" cm="1">
        <f t="array" ref="K1545">_xlfn.LET(
    _xlpm.sum_month, SUM(T1545:AE1545),
    IF(_xlpm.sum_month = 0, "", _xlpm.sum_month &amp; "  eventos no ano")
)</f>
        <v>110  eventos no ano</v>
      </c>
      <c r="L1545" s="9" t="s">
        <v>64</v>
      </c>
      <c r="M1545" s="13" t="s">
        <v>74</v>
      </c>
      <c r="N1545" s="5" t="s">
        <v>42</v>
      </c>
      <c r="O1545" s="5" t="s">
        <v>43</v>
      </c>
      <c r="P1545" s="10" t="s">
        <v>44</v>
      </c>
      <c r="Q1545" s="10" t="s">
        <v>75</v>
      </c>
      <c r="R1545" s="11" t="s">
        <v>44</v>
      </c>
      <c r="S1545" s="11" t="s">
        <v>44</v>
      </c>
      <c r="T1545" s="22">
        <v>5</v>
      </c>
      <c r="U1545" s="22">
        <v>5</v>
      </c>
      <c r="V1545" s="22">
        <v>10</v>
      </c>
      <c r="W1545" s="22">
        <v>10</v>
      </c>
      <c r="X1545" s="22">
        <v>10</v>
      </c>
      <c r="Y1545" s="22">
        <v>10</v>
      </c>
      <c r="Z1545" s="22">
        <v>10</v>
      </c>
      <c r="AA1545" s="22">
        <v>10</v>
      </c>
      <c r="AB1545" s="22">
        <v>10</v>
      </c>
      <c r="AC1545" s="22">
        <v>10</v>
      </c>
      <c r="AD1545" s="22">
        <v>10</v>
      </c>
      <c r="AE1545" s="22">
        <v>10</v>
      </c>
      <c r="AG1545" s="71">
        <v>5</v>
      </c>
      <c r="AH1545" s="71">
        <v>5</v>
      </c>
      <c r="AI1545" s="71">
        <v>10</v>
      </c>
      <c r="AJ1545" s="71">
        <v>89</v>
      </c>
      <c r="AK1545" s="71"/>
      <c r="AL1545" s="71"/>
      <c r="AM1545" s="71"/>
      <c r="AN1545" s="71"/>
      <c r="AO1545" s="71"/>
      <c r="AP1545" s="71"/>
      <c r="AQ1545" s="71"/>
      <c r="AR1545" s="71"/>
      <c r="AS1545" s="94">
        <f ca="1">IF(MONTH(TODAY())=3,SUM(T1545:U1545),IF(MONTH(TODAY())=4,SUM(T1545:V1545),IF(MONTH(TODAY())=5,SUM(T1545:W1545),IF(MONTH(TODAY())=6,SUM(T1545:X1545),IF(MONTH(TODAY())=7,SUM(T1545:Y1545),IF(MONTH(TODAY())=8,SUM(T1545:Z1545),IF(MONTH(TODAY())=9,SUM(T1545:AA1545),IF(MONTH(TODAY())=10,SUM(T1545:AB1545),IF(MONTH(TODAY())=11,SUM(T1545:AC1545),IF(MONTH(TODAY())=12,SUM(T1545:AD1545),IF(MONTH(TODAY())=1,SUM(T1545:AE1545),T1545)))))))))))</f>
        <v>40</v>
      </c>
      <c r="AT1545" s="95">
        <f>SUM(IF(AW1545&lt;1.15,AG1545,1.15*T1545),IF(AX1545&lt;1.15,AH1545,1.15*U1545),IF(AY1545&lt;1.15,AI1545,1.15*V1545),IF(AZ1545&lt;1.15,AJ1545,1.15*W1545),IF(BA1545&lt;1.15,AK1545,1.15*X1545),IF(BB1545&lt;1.15,AL1545,1.15*Y1545),IF(BC1545&lt;1.15,AM1545,1.15*Z1545),IF(BD1545&lt;1.15,AN1545,1.15*AA1545),IF(BE1545&lt;1.15,AO1545,1.15*AB1545),IF(BF1545&lt;1.15,AP1545,1.15*AC1545),IF(BG1545&lt;1.15,AQ1545,1.15*AD1545),IF(BH1545&lt;1.15,AR1545,1.15*AE1545))</f>
        <v>31.5</v>
      </c>
      <c r="AU1545" s="97">
        <f>SUM(AG1545:AR1545)</f>
        <v>109</v>
      </c>
      <c r="AW1545" s="51">
        <f>IFERROR(IF(AG1545="",0,AG1545/T1545),0)</f>
        <v>1</v>
      </c>
      <c r="AX1545" s="51">
        <f>IFERROR(IF(AH1545="",0,AH1545/U1545),0)</f>
        <v>1</v>
      </c>
      <c r="AY1545" s="51">
        <f>IFERROR(IF(AI1545="",0,AI1545/V1545),0)</f>
        <v>1</v>
      </c>
      <c r="AZ1545" s="51">
        <f>IFERROR(IF(AJ1545="",0,AJ1545/W1545),0)</f>
        <v>8.9</v>
      </c>
      <c r="BA1545" s="51"/>
      <c r="BB1545" s="51"/>
      <c r="BC1545" s="51"/>
      <c r="BD1545" s="51"/>
      <c r="BE1545" s="51"/>
      <c r="BF1545" s="51"/>
      <c r="BG1545" s="51"/>
      <c r="BH1545" s="51"/>
      <c r="BI1545" s="65" cm="1">
        <f t="array" ref="BI1545">IFERROR(INDEX(AW1545:BH1545,1,MATCH(2,1/(AW1545:BH1545&lt;&gt;""))),"")</f>
        <v>8.9</v>
      </c>
      <c r="BJ1545" s="68" cm="1">
        <f t="array" ref="BJ1545">IF(BM1545 = "", "",IFERROR(INDEX(AW1545:BH1545,1,MATCH(2,1/(AW1545:BH1545&lt;&gt;""),1)-1),""))</f>
        <v>1</v>
      </c>
      <c r="BK1545" s="58">
        <f>IF((IF(AW1545&gt;=115%,115%,AW1545) + IF(AX1545&gt;=115%,115%,AX1545) + IF(AY1545&gt;=115%,115%,AY1545) + (IF(AZ1545&gt;=115%,115%,AZ1545) + IF(BA1545&gt;=115%,115%,BA1545) + IF(BB1545&gt;=115%,115%,BB1545) + IF(BC1545&gt;=115%,115%,BC1545) + IF(BD1545&gt;=115%,115%,BD1545) + IF(BE1545&gt;=190%,190%,BE1545) + IF(BF1545&gt;=115%,115%,BF1545) + IF(BG1545&gt;=115%,115%,BG1545) + IF(BH1545&gt;=115%,115%,BH1545)))/_xlfn.XLOOKUP(F1545,Apuração!A:A,Apuração!B:B)&gt;=1.15,1.15,((IF(AZ1545&gt;=115%,115%,AZ1545) + IF(AX1545&gt;=115%,115%,AX1545) + IF(AY1545&gt;=115%,115%,AY1545) + (IF(AW1545&gt;=115%,115%,AW1545) + IF(BA1545&gt;=115%,115%,BA1545) + IF(BB1545&gt;=115%,115%,BB1545) + IF(BC1545&gt;=115%,115%,BC1545) + IF(BD1545&gt;=115%,115%,BD1545) + IF(BE1545&gt;=190%,190%,BE1545) + IF(BF1545&gt;=115%,115%,BF1545) + IF(BG1545&gt;=115%,115%,BG1545) + IF(BH1545&gt;=115%,115%,BH1545)))/_xlfn.XLOOKUP(F1545,Apuração!A:A,Apuração!B:B)))</f>
        <v>0.34583333333333338</v>
      </c>
      <c r="BL1545" s="58" cm="1">
        <f t="array" aca="1" ref="BL1545" ca="1">IF(SUM(IFERROR(IF(INDEX(AW1545:INDEX(AW1545:BH1545, MATCH(2, 1/(AW1545:BH1545&lt;&gt;""), 1)-1), ROW(INDIRECT("1:" &amp; MATCH(2, 1/(AW1545:BH1545&lt;&gt;""), 1)-1))) &gt;= 115%, 115%, INDEX(AW1545:INDEX(AW1545:BH1545, MATCH(2, 1/(AW1545:BH1545&lt;&gt;""), 1)-1), ROW(INDIRECT("1:" &amp; MATCH(2, 1/(AW1545:BH1545&lt;&gt;""), 1)-1)))), 0))/_xlfn.XLOOKUP(F1545,Apuração!A:A,Apuração!B:B)&gt;=1.15,1.15,SUM(IFERROR(IF(INDEX(AW1545:INDEX(AW1545:BH1545, MATCH(2, 1/(AW1545:BH1545&lt;&gt;""), 1)-1), ROW(INDIRECT("1:" &amp; MATCH(2, 1/(AW1545:BH1545&lt;&gt;""), 1)-1))) &gt;= 115%, 115%, INDEX(AW1545:INDEX(AW1545:BH1545, MATCH(2, 1/(AW1545:BH1545&lt;&gt;""), 1)-1), ROW(INDIRECT("1:" &amp; MATCH(2, 1/(AW1545:BH1545&lt;&gt;""), 1)-1)))), 0))/_xlfn.XLOOKUP(F1545,Apuração!A:A,Apuração!B:B))</f>
        <v>0.25</v>
      </c>
      <c r="BM1545" s="55" cm="1">
        <f t="array" ref="BM1545">IFERROR(
   INDEX($AW$1:$BH$1,
      _xlfn.AGGREGATE(14, 6, COLUMN($AW$1:$BH$1)/(AW1545:BH1545&lt;&gt;""), 2) - COLUMN($AW$1) + 1
   ),
"")</f>
        <v>46082</v>
      </c>
      <c r="BN1545" s="55" cm="1">
        <f t="array" ref="BN1545">IFERROR(INDEX($AW$1:$BH$1,1,MATCH(2,1/(AW1545:BH1545&lt;&gt;""))),"")</f>
        <v>46113</v>
      </c>
      <c r="BO1545" s="53">
        <f ca="1">IFERROR(_xlfn.XLOOKUP(F1545,Apuração!A:A,Apuração!C:C)/_xlfn.XLOOKUP(F1545,Apuração!A:A,Apuração!B:B),0)</f>
        <v>0.41666666666666669</v>
      </c>
      <c r="BP1545" s="53">
        <f ca="1">IFERROR(_xlfn.XLOOKUP(F1545,Apuração!A:A,Apuração!D:D)/_xlfn.XLOOKUP(F1545,Apuração!A:A,Apuração!B:B),0)</f>
        <v>0.33333333333333331</v>
      </c>
      <c r="BQ1545" s="53">
        <f ca="1">IF(BK1545&gt;=BO1545,0,_xlfn.XLOOKUP(F1545,Apuração!A:A,Apuração!B:B)*(BO1545 + (1/_xlfn.XLOOKUP(F1545,Apuração!A:A,Apuração!B:B)) - BK1545))</f>
        <v>1.8499999999999994</v>
      </c>
      <c r="BR1545" s="85">
        <f ca="1">IF(BQ1545=0,0,BQ1545*Z1545)</f>
        <v>18.499999999999993</v>
      </c>
      <c r="BS1545" s="53">
        <f ca="1">IFERROR((_xlfn.XLOOKUP(F1545,Apuração!A:A,Apuração!C:C)+1)/_xlfn.XLOOKUP(F1545,Apuração!A:A,Apuração!B:B),0)</f>
        <v>0.5</v>
      </c>
    </row>
    <row r="1546" spans="1:71" ht="25.95" hidden="1" customHeight="1" x14ac:dyDescent="0.3">
      <c r="A1546" s="3" t="s">
        <v>33</v>
      </c>
      <c r="B1546" s="4" t="s">
        <v>73</v>
      </c>
      <c r="C1546" s="5" t="s">
        <v>214</v>
      </c>
      <c r="D1546" s="5" t="s">
        <v>210</v>
      </c>
      <c r="E1546" s="4" t="str" cm="1">
        <f t="array" ref="E1546">_xlfn.IFS(
F1546 = "A partir de Abril", "Aguardando Execução na Distribuidora",
A1546 = "CAPACITAÇÃO", "Em execução no Corporativo",
TRUE, "Em Execução na Distribuidora"
)</f>
        <v>Em Execução na Distribuidora</v>
      </c>
      <c r="F1546" s="4" t="str" cm="1">
        <f t="array" ref="F1546">_xlfn.IFS(
AG1546 &lt;&gt; "", "Jan-Dez/26",
AH1546 &lt;&gt; "", "Fev-Dez/26",
AI1546 &lt;&gt; "", "Mar-Dez/26", AJ1546 &lt;&gt; "", "Abr-Dez/26",
TRUE, "A partir de Junho"
)</f>
        <v>Jan-Dez/26</v>
      </c>
      <c r="G1546" s="4" t="s">
        <v>37</v>
      </c>
      <c r="H1546" s="7" t="s">
        <v>110</v>
      </c>
      <c r="I1546" s="8" t="s">
        <v>55</v>
      </c>
      <c r="J1546" s="8" t="str" cm="1">
        <f t="array" aca="1" ref="J1546" ca="1">_xlfn.LET(
  _xlpm.actual_value_month, INDEX(T1546:AE1546, MATCH(DATE(YEAR(TODAY()), MONTH(TODAY()), 1), $T$1:$AE$1, 0)),
  IF(_xlpm.actual_value_month &lt;&gt; "",_xlpm.actual_value_month &amp; " eventos mensais", "")
)</f>
        <v>2 eventos mensais</v>
      </c>
      <c r="K1546" s="14" t="str" cm="1">
        <f t="array" ref="K1546">_xlfn.LET(
    _xlpm.sum_month, SUM(T1546:AE1546),
    IF(_xlpm.sum_month = 0, "", _xlpm.sum_month &amp; "  eventos no ano")
)</f>
        <v>22  eventos no ano</v>
      </c>
      <c r="L1546" s="9" t="s">
        <v>64</v>
      </c>
      <c r="M1546" s="13" t="s">
        <v>74</v>
      </c>
      <c r="N1546" s="5" t="s">
        <v>42</v>
      </c>
      <c r="O1546" s="5" t="s">
        <v>43</v>
      </c>
      <c r="P1546" s="10" t="s">
        <v>44</v>
      </c>
      <c r="Q1546" s="10" t="s">
        <v>75</v>
      </c>
      <c r="R1546" s="11" t="s">
        <v>44</v>
      </c>
      <c r="S1546" s="11" t="s">
        <v>44</v>
      </c>
      <c r="T1546" s="143">
        <v>1</v>
      </c>
      <c r="U1546" s="143">
        <v>1</v>
      </c>
      <c r="V1546" s="143">
        <v>2</v>
      </c>
      <c r="W1546" s="143">
        <v>2</v>
      </c>
      <c r="X1546" s="143">
        <v>2</v>
      </c>
      <c r="Y1546" s="143">
        <v>2</v>
      </c>
      <c r="Z1546" s="143">
        <v>2</v>
      </c>
      <c r="AA1546" s="143">
        <v>2</v>
      </c>
      <c r="AB1546" s="143">
        <v>2</v>
      </c>
      <c r="AC1546" s="143">
        <v>2</v>
      </c>
      <c r="AD1546" s="143">
        <v>2</v>
      </c>
      <c r="AE1546" s="143">
        <v>2</v>
      </c>
      <c r="AG1546" s="82">
        <v>1</v>
      </c>
      <c r="AH1546" s="82">
        <v>1</v>
      </c>
      <c r="AI1546" s="82">
        <v>2</v>
      </c>
      <c r="AJ1546" s="145">
        <v>5</v>
      </c>
      <c r="AK1546" s="71"/>
      <c r="AL1546" s="71"/>
      <c r="AM1546" s="71"/>
      <c r="AN1546" s="71"/>
      <c r="AO1546" s="71"/>
      <c r="AP1546" s="71"/>
      <c r="AQ1546" s="71"/>
      <c r="AR1546" s="71"/>
      <c r="AS1546" s="94">
        <f t="shared" ref="AS1546:AS1550" ca="1" si="1791">IF(MONTH(TODAY())=3,SUM(T1546:U1546),IF(MONTH(TODAY())=4,SUM(T1546:V1546),IF(MONTH(TODAY())=5,SUM(T1546:W1546),IF(MONTH(TODAY())=6,SUM(T1546:X1546),IF(MONTH(TODAY())=7,SUM(T1546:Y1546),IF(MONTH(TODAY())=8,SUM(T1546:Z1546),IF(MONTH(TODAY())=9,SUM(T1546:AA1546),IF(MONTH(TODAY())=10,SUM(T1546:AB1546),IF(MONTH(TODAY())=11,SUM(T1546:AC1546),IF(MONTH(TODAY())=12,SUM(T1546:AD1546),IF(MONTH(TODAY())=1,SUM(T1546:AE1546),T1546)))))))))))</f>
        <v>8</v>
      </c>
      <c r="AT1546" s="95">
        <f t="shared" ref="AT1546:AT1550" si="1792">SUM(IF(AW1546&lt;1.15,AG1546,1.15*T1546),IF(AX1546&lt;1.15,AH1546,1.15*U1546),IF(AY1546&lt;1.15,AI1546,1.15*V1546),IF(AZ1546&lt;1.15,AJ1546,1.15*W1546),IF(BA1546&lt;1.15,AK1546,1.15*X1546),IF(BB1546&lt;1.15,AL1546,1.15*Y1546),IF(BC1546&lt;1.15,AM1546,1.15*Z1546),IF(BD1546&lt;1.15,AN1546,1.15*AA1546),IF(BE1546&lt;1.15,AO1546,1.15*AB1546),IF(BF1546&lt;1.15,AP1546,1.15*AC1546),IF(BG1546&lt;1.15,AQ1546,1.15*AD1546),IF(BH1546&lt;1.15,AR1546,1.15*AE1546))</f>
        <v>6.3</v>
      </c>
      <c r="AU1546" s="97">
        <f t="shared" ref="AU1546:AU1550" si="1793">SUM(AG1546:AR1546)</f>
        <v>9</v>
      </c>
      <c r="AW1546" s="51">
        <f t="shared" ref="AW1546:AW1550" si="1794">IFERROR(IF(AG1546="",0,AG1546/T1546),0)</f>
        <v>1</v>
      </c>
      <c r="AX1546" s="51">
        <f t="shared" ref="AX1546:AX1550" si="1795">IFERROR(IF(AH1546="",0,AH1546/U1546),0)</f>
        <v>1</v>
      </c>
      <c r="AY1546" s="51">
        <f t="shared" ref="AY1546:AY1550" si="1796">IFERROR(IF(AI1546="",0,AI1546/V1546),0)</f>
        <v>1</v>
      </c>
      <c r="AZ1546" s="51">
        <f t="shared" ref="AZ1546:AZ1550" si="1797">IFERROR(IF(AJ1546="",0,AJ1546/W1546),0)</f>
        <v>2.5</v>
      </c>
      <c r="BA1546" s="51"/>
      <c r="BB1546" s="51"/>
      <c r="BC1546" s="51"/>
      <c r="BD1546" s="51"/>
      <c r="BE1546" s="51"/>
      <c r="BF1546" s="51"/>
      <c r="BG1546" s="51"/>
      <c r="BH1546" s="51"/>
      <c r="BI1546" s="65" cm="1">
        <f t="array" ref="BI1546">IFERROR(INDEX(AW1546:BH1546,1,MATCH(2,1/(AW1546:BH1546&lt;&gt;""))),"")</f>
        <v>2.5</v>
      </c>
      <c r="BJ1546" s="68" cm="1">
        <f t="array" ref="BJ1546">IF(BM1546 = "", "",IFERROR(INDEX(AW1546:BH1546,1,MATCH(2,1/(AW1546:BH1546&lt;&gt;""),1)-1),""))</f>
        <v>1</v>
      </c>
      <c r="BK1546" s="58">
        <f>IF((IF(AW1546&gt;=115%,115%,AW1546) + IF(AX1546&gt;=115%,115%,AX1546) + IF(AY1546&gt;=115%,115%,AY1546) + (IF(AZ1546&gt;=115%,115%,AZ1546) + IF(BA1546&gt;=115%,115%,BA1546) + IF(BB1546&gt;=115%,115%,BB1546) + IF(BC1546&gt;=115%,115%,BC1546) + IF(BD1546&gt;=115%,115%,BD1546) + IF(BE1546&gt;=190%,190%,BE1546) + IF(BF1546&gt;=115%,115%,BF1546) + IF(BG1546&gt;=115%,115%,BG1546) + IF(BH1546&gt;=115%,115%,BH1546)))/_xlfn.XLOOKUP(F1546,Apuração!A:A,Apuração!B:B)&gt;=1.15,1.15,((IF(AZ1546&gt;=115%,115%,AZ1546) + IF(AX1546&gt;=115%,115%,AX1546) + IF(AY1546&gt;=115%,115%,AY1546) + (IF(AW1546&gt;=115%,115%,AW1546) + IF(BA1546&gt;=115%,115%,BA1546) + IF(BB1546&gt;=115%,115%,BB1546) + IF(BC1546&gt;=115%,115%,BC1546) + IF(BD1546&gt;=115%,115%,BD1546) + IF(BE1546&gt;=190%,190%,BE1546) + IF(BF1546&gt;=115%,115%,BF1546) + IF(BG1546&gt;=115%,115%,BG1546) + IF(BH1546&gt;=115%,115%,BH1546)))/_xlfn.XLOOKUP(F1546,Apuração!A:A,Apuração!B:B)))</f>
        <v>0.34583333333333338</v>
      </c>
      <c r="BL1546" s="58" cm="1">
        <f t="array" aca="1" ref="BL1546" ca="1">IF(SUM(IFERROR(IF(INDEX(AW1546:INDEX(AW1546:BH1546, MATCH(2, 1/(AW1546:BH1546&lt;&gt;""), 1)-1), ROW(INDIRECT("1:" &amp; MATCH(2, 1/(AW1546:BH1546&lt;&gt;""), 1)-1))) &gt;= 115%, 115%, INDEX(AW1546:INDEX(AW1546:BH1546, MATCH(2, 1/(AW1546:BH1546&lt;&gt;""), 1)-1), ROW(INDIRECT("1:" &amp; MATCH(2, 1/(AW1546:BH1546&lt;&gt;""), 1)-1)))), 0))/_xlfn.XLOOKUP(F1546,Apuração!A:A,Apuração!B:B)&gt;=1.15,1.15,SUM(IFERROR(IF(INDEX(AW1546:INDEX(AW1546:BH1546, MATCH(2, 1/(AW1546:BH1546&lt;&gt;""), 1)-1), ROW(INDIRECT("1:" &amp; MATCH(2, 1/(AW1546:BH1546&lt;&gt;""), 1)-1))) &gt;= 115%, 115%, INDEX(AW1546:INDEX(AW1546:BH1546, MATCH(2, 1/(AW1546:BH1546&lt;&gt;""), 1)-1), ROW(INDIRECT("1:" &amp; MATCH(2, 1/(AW1546:BH1546&lt;&gt;""), 1)-1)))), 0))/_xlfn.XLOOKUP(F1546,Apuração!A:A,Apuração!B:B))</f>
        <v>0.25</v>
      </c>
      <c r="BM1546" s="55" cm="1">
        <f t="array" ref="BM1546">IFERROR(
   INDEX($AW$1:$BH$1,
      _xlfn.AGGREGATE(14, 6, COLUMN($AW$1:$BH$1)/(AW1546:BH1546&lt;&gt;""), 2) - COLUMN($AW$1) + 1
   ),
"")</f>
        <v>46082</v>
      </c>
      <c r="BN1546" s="55" cm="1">
        <f t="array" ref="BN1546">IFERROR(INDEX($AW$1:$BH$1,1,MATCH(2,1/(AW1546:BH1546&lt;&gt;""))),"")</f>
        <v>46113</v>
      </c>
      <c r="BO1546" s="53">
        <f ca="1">IFERROR(_xlfn.XLOOKUP(F1546,Apuração!A:A,Apuração!C:C)/_xlfn.XLOOKUP(F1546,Apuração!A:A,Apuração!B:B),0)</f>
        <v>0.41666666666666669</v>
      </c>
      <c r="BP1546" s="53">
        <f ca="1">IFERROR(_xlfn.XLOOKUP(F1546,Apuração!A:A,Apuração!D:D)/_xlfn.XLOOKUP(F1546,Apuração!A:A,Apuração!B:B),0)</f>
        <v>0.33333333333333331</v>
      </c>
      <c r="BQ1546" s="53">
        <f ca="1">IF(BK1546&gt;=BO1546,0,_xlfn.XLOOKUP(F1546,Apuração!A:A,Apuração!B:B)*(BO1546 + (1/_xlfn.XLOOKUP(F1546,Apuração!A:A,Apuração!B:B)) - BK1546))</f>
        <v>1.8499999999999994</v>
      </c>
      <c r="BR1546" s="85">
        <f t="shared" ref="BR1546:BR1550" ca="1" si="1798">IF(BQ1546=0,0,BQ1546*Z1546)</f>
        <v>3.6999999999999988</v>
      </c>
      <c r="BS1546" s="53">
        <f ca="1">IFERROR((_xlfn.XLOOKUP(F1546,Apuração!A:A,Apuração!C:C)+1)/_xlfn.XLOOKUP(F1546,Apuração!A:A,Apuração!B:B),0)</f>
        <v>0.5</v>
      </c>
    </row>
    <row r="1547" spans="1:71" ht="25.95" hidden="1" customHeight="1" x14ac:dyDescent="0.3">
      <c r="A1547" s="3" t="s">
        <v>33</v>
      </c>
      <c r="B1547" s="4" t="s">
        <v>73</v>
      </c>
      <c r="C1547" s="5" t="s">
        <v>214</v>
      </c>
      <c r="D1547" s="5" t="s">
        <v>215</v>
      </c>
      <c r="E1547" s="4" t="str" cm="1">
        <f t="array" ref="E1547">_xlfn.IFS(
F1547 = "A partir de Abril", "Aguardando Execução na Distribuidora",
A1547 = "CAPACITAÇÃO", "Em execução no Corporativo",
TRUE, "Em Execução na Distribuidora"
)</f>
        <v>Em Execução na Distribuidora</v>
      </c>
      <c r="F1547" s="4" t="str" cm="1">
        <f t="array" ref="F1547">_xlfn.IFS(
AG1547 &lt;&gt; "", "Jan-Dez/26",
AH1547 &lt;&gt; "", "Fev-Dez/26",
AI1547 &lt;&gt; "", "Mar-Dez/26", AJ1547 &lt;&gt; "", "Abr-Dez/26",
TRUE, "A partir de Junho"
)</f>
        <v>Jan-Dez/26</v>
      </c>
      <c r="G1547" s="4" t="s">
        <v>37</v>
      </c>
      <c r="H1547" s="7" t="s">
        <v>110</v>
      </c>
      <c r="I1547" s="8" t="s">
        <v>55</v>
      </c>
      <c r="J1547" s="8" t="str" cm="1">
        <f t="array" aca="1" ref="J1547" ca="1">_xlfn.LET(
  _xlpm.actual_value_month, INDEX(T1547:AE1547, MATCH(DATE(YEAR(TODAY()), MONTH(TODAY()), 1), $T$1:$AE$1, 0)),
  IF(_xlpm.actual_value_month &lt;&gt; "",_xlpm.actual_value_month &amp; " eventos mensais", "")
)</f>
        <v>2 eventos mensais</v>
      </c>
      <c r="K1547" s="14" t="str" cm="1">
        <f t="array" ref="K1547">_xlfn.LET(
    _xlpm.sum_month, SUM(T1547:AE1547),
    IF(_xlpm.sum_month = 0, "", _xlpm.sum_month &amp; "  eventos no ano")
)</f>
        <v>22  eventos no ano</v>
      </c>
      <c r="L1547" s="9" t="s">
        <v>64</v>
      </c>
      <c r="M1547" s="13" t="s">
        <v>74</v>
      </c>
      <c r="N1547" s="5" t="s">
        <v>42</v>
      </c>
      <c r="O1547" s="5" t="s">
        <v>43</v>
      </c>
      <c r="P1547" s="10" t="s">
        <v>44</v>
      </c>
      <c r="Q1547" s="10" t="s">
        <v>75</v>
      </c>
      <c r="R1547" s="11" t="s">
        <v>44</v>
      </c>
      <c r="S1547" s="11" t="s">
        <v>44</v>
      </c>
      <c r="T1547" s="143">
        <v>1</v>
      </c>
      <c r="U1547" s="143">
        <v>1</v>
      </c>
      <c r="V1547" s="143">
        <v>2</v>
      </c>
      <c r="W1547" s="143">
        <v>2</v>
      </c>
      <c r="X1547" s="143">
        <v>2</v>
      </c>
      <c r="Y1547" s="143">
        <v>2</v>
      </c>
      <c r="Z1547" s="143">
        <v>2</v>
      </c>
      <c r="AA1547" s="143">
        <v>2</v>
      </c>
      <c r="AB1547" s="143">
        <v>2</v>
      </c>
      <c r="AC1547" s="143">
        <v>2</v>
      </c>
      <c r="AD1547" s="143">
        <v>2</v>
      </c>
      <c r="AE1547" s="143">
        <v>2</v>
      </c>
      <c r="AG1547" s="82">
        <v>1</v>
      </c>
      <c r="AH1547" s="82">
        <v>1</v>
      </c>
      <c r="AI1547" s="82">
        <v>2</v>
      </c>
      <c r="AJ1547" s="146">
        <v>1</v>
      </c>
      <c r="AK1547" s="71"/>
      <c r="AL1547" s="71"/>
      <c r="AM1547" s="71"/>
      <c r="AN1547" s="71"/>
      <c r="AO1547" s="71"/>
      <c r="AP1547" s="71"/>
      <c r="AQ1547" s="71"/>
      <c r="AR1547" s="71"/>
      <c r="AS1547" s="94">
        <f t="shared" ca="1" si="1791"/>
        <v>8</v>
      </c>
      <c r="AT1547" s="95">
        <f t="shared" si="1792"/>
        <v>5</v>
      </c>
      <c r="AU1547" s="97">
        <f t="shared" si="1793"/>
        <v>5</v>
      </c>
      <c r="AW1547" s="51">
        <f t="shared" si="1794"/>
        <v>1</v>
      </c>
      <c r="AX1547" s="51">
        <f t="shared" si="1795"/>
        <v>1</v>
      </c>
      <c r="AY1547" s="51">
        <f t="shared" si="1796"/>
        <v>1</v>
      </c>
      <c r="AZ1547" s="51">
        <f t="shared" si="1797"/>
        <v>0.5</v>
      </c>
      <c r="BA1547" s="51"/>
      <c r="BB1547" s="51"/>
      <c r="BC1547" s="51"/>
      <c r="BD1547" s="51"/>
      <c r="BE1547" s="51"/>
      <c r="BF1547" s="51"/>
      <c r="BG1547" s="51"/>
      <c r="BH1547" s="51"/>
      <c r="BI1547" s="65" cm="1">
        <f t="array" ref="BI1547">IFERROR(INDEX(AW1547:BH1547,1,MATCH(2,1/(AW1547:BH1547&lt;&gt;""))),"")</f>
        <v>0.5</v>
      </c>
      <c r="BJ1547" s="68" cm="1">
        <f t="array" ref="BJ1547">IF(BM1547 = "", "",IFERROR(INDEX(AW1547:BH1547,1,MATCH(2,1/(AW1547:BH1547&lt;&gt;""),1)-1),""))</f>
        <v>1</v>
      </c>
      <c r="BK1547" s="58">
        <f>IF((IF(AW1547&gt;=115%,115%,AW1547) + IF(AX1547&gt;=115%,115%,AX1547) + IF(AY1547&gt;=115%,115%,AY1547) + (IF(AZ1547&gt;=115%,115%,AZ1547) + IF(BA1547&gt;=115%,115%,BA1547) + IF(BB1547&gt;=115%,115%,BB1547) + IF(BC1547&gt;=115%,115%,BC1547) + IF(BD1547&gt;=115%,115%,BD1547) + IF(BE1547&gt;=190%,190%,BE1547) + IF(BF1547&gt;=115%,115%,BF1547) + IF(BG1547&gt;=115%,115%,BG1547) + IF(BH1547&gt;=115%,115%,BH1547)))/_xlfn.XLOOKUP(F1547,Apuração!A:A,Apuração!B:B)&gt;=1.15,1.15,((IF(AZ1547&gt;=115%,115%,AZ1547) + IF(AX1547&gt;=115%,115%,AX1547) + IF(AY1547&gt;=115%,115%,AY1547) + (IF(AW1547&gt;=115%,115%,AW1547) + IF(BA1547&gt;=115%,115%,BA1547) + IF(BB1547&gt;=115%,115%,BB1547) + IF(BC1547&gt;=115%,115%,BC1547) + IF(BD1547&gt;=115%,115%,BD1547) + IF(BE1547&gt;=190%,190%,BE1547) + IF(BF1547&gt;=115%,115%,BF1547) + IF(BG1547&gt;=115%,115%,BG1547) + IF(BH1547&gt;=115%,115%,BH1547)))/_xlfn.XLOOKUP(F1547,Apuração!A:A,Apuração!B:B)))</f>
        <v>0.29166666666666669</v>
      </c>
      <c r="BL1547" s="58" cm="1">
        <f t="array" aca="1" ref="BL1547" ca="1">IF(SUM(IFERROR(IF(INDEX(AW1547:INDEX(AW1547:BH1547, MATCH(2, 1/(AW1547:BH1547&lt;&gt;""), 1)-1), ROW(INDIRECT("1:" &amp; MATCH(2, 1/(AW1547:BH1547&lt;&gt;""), 1)-1))) &gt;= 115%, 115%, INDEX(AW1547:INDEX(AW1547:BH1547, MATCH(2, 1/(AW1547:BH1547&lt;&gt;""), 1)-1), ROW(INDIRECT("1:" &amp; MATCH(2, 1/(AW1547:BH1547&lt;&gt;""), 1)-1)))), 0))/_xlfn.XLOOKUP(F1547,Apuração!A:A,Apuração!B:B)&gt;=1.15,1.15,SUM(IFERROR(IF(INDEX(AW1547:INDEX(AW1547:BH1547, MATCH(2, 1/(AW1547:BH1547&lt;&gt;""), 1)-1), ROW(INDIRECT("1:" &amp; MATCH(2, 1/(AW1547:BH1547&lt;&gt;""), 1)-1))) &gt;= 115%, 115%, INDEX(AW1547:INDEX(AW1547:BH1547, MATCH(2, 1/(AW1547:BH1547&lt;&gt;""), 1)-1), ROW(INDIRECT("1:" &amp; MATCH(2, 1/(AW1547:BH1547&lt;&gt;""), 1)-1)))), 0))/_xlfn.XLOOKUP(F1547,Apuração!A:A,Apuração!B:B))</f>
        <v>0.25</v>
      </c>
      <c r="BM1547" s="55" cm="1">
        <f t="array" ref="BM1547">IFERROR(
   INDEX($AW$1:$BH$1,
      _xlfn.AGGREGATE(14, 6, COLUMN($AW$1:$BH$1)/(AW1547:BH1547&lt;&gt;""), 2) - COLUMN($AW$1) + 1
   ),
"")</f>
        <v>46082</v>
      </c>
      <c r="BN1547" s="55" cm="1">
        <f t="array" ref="BN1547">IFERROR(INDEX($AW$1:$BH$1,1,MATCH(2,1/(AW1547:BH1547&lt;&gt;""))),"")</f>
        <v>46113</v>
      </c>
      <c r="BO1547" s="53">
        <f ca="1">IFERROR(_xlfn.XLOOKUP(F1547,Apuração!A:A,Apuração!C:C)/_xlfn.XLOOKUP(F1547,Apuração!A:A,Apuração!B:B),0)</f>
        <v>0.41666666666666669</v>
      </c>
      <c r="BP1547" s="53">
        <f ca="1">IFERROR(_xlfn.XLOOKUP(F1547,Apuração!A:A,Apuração!D:D)/_xlfn.XLOOKUP(F1547,Apuração!A:A,Apuração!B:B),0)</f>
        <v>0.33333333333333331</v>
      </c>
      <c r="BQ1547" s="53">
        <f ca="1">IF(BK1547&gt;=BO1547,0,_xlfn.XLOOKUP(F1547,Apuração!A:A,Apuração!B:B)*(BO1547 + (1/_xlfn.XLOOKUP(F1547,Apuração!A:A,Apuração!B:B)) - BK1547))</f>
        <v>2.5</v>
      </c>
      <c r="BR1547" s="85">
        <f t="shared" ca="1" si="1798"/>
        <v>5</v>
      </c>
      <c r="BS1547" s="53">
        <f ca="1">IFERROR((_xlfn.XLOOKUP(F1547,Apuração!A:A,Apuração!C:C)+1)/_xlfn.XLOOKUP(F1547,Apuração!A:A,Apuração!B:B),0)</f>
        <v>0.5</v>
      </c>
    </row>
    <row r="1548" spans="1:71" ht="25.95" hidden="1" customHeight="1" x14ac:dyDescent="0.3">
      <c r="A1548" s="3" t="s">
        <v>33</v>
      </c>
      <c r="B1548" s="4" t="s">
        <v>73</v>
      </c>
      <c r="C1548" s="5" t="s">
        <v>214</v>
      </c>
      <c r="D1548" s="5" t="s">
        <v>212</v>
      </c>
      <c r="E1548" s="4" t="str" cm="1">
        <f t="array" ref="E1548">_xlfn.IFS(
F1548 = "A partir de Abril", "Aguardando Execução na Distribuidora",
A1548 = "CAPACITAÇÃO", "Em execução no Corporativo",
TRUE, "Em Execução na Distribuidora"
)</f>
        <v>Em Execução na Distribuidora</v>
      </c>
      <c r="F1548" s="4" t="str" cm="1">
        <f t="array" ref="F1548">_xlfn.IFS(
AG1548 &lt;&gt; "", "Jan-Dez/26",
AH1548 &lt;&gt; "", "Fev-Dez/26",
AI1548 &lt;&gt; "", "Mar-Dez/26", AJ1548 &lt;&gt; "", "Abr-Dez/26",
TRUE, "A partir de Junho"
)</f>
        <v>Jan-Dez/26</v>
      </c>
      <c r="G1548" s="4" t="s">
        <v>37</v>
      </c>
      <c r="H1548" s="7" t="s">
        <v>110</v>
      </c>
      <c r="I1548" s="8" t="s">
        <v>55</v>
      </c>
      <c r="J1548" s="8" t="str" cm="1">
        <f t="array" aca="1" ref="J1548" ca="1">_xlfn.LET(
  _xlpm.actual_value_month, INDEX(T1548:AE1548, MATCH(DATE(YEAR(TODAY()), MONTH(TODAY()), 1), $T$1:$AE$1, 0)),
  IF(_xlpm.actual_value_month &lt;&gt; "",_xlpm.actual_value_month &amp; " eventos mensais", "")
)</f>
        <v>2 eventos mensais</v>
      </c>
      <c r="K1548" s="14" t="str" cm="1">
        <f t="array" ref="K1548">_xlfn.LET(
    _xlpm.sum_month, SUM(T1548:AE1548),
    IF(_xlpm.sum_month = 0, "", _xlpm.sum_month &amp; "  eventos no ano")
)</f>
        <v>22  eventos no ano</v>
      </c>
      <c r="L1548" s="9" t="s">
        <v>64</v>
      </c>
      <c r="M1548" s="13" t="s">
        <v>74</v>
      </c>
      <c r="N1548" s="5" t="s">
        <v>42</v>
      </c>
      <c r="O1548" s="5" t="s">
        <v>43</v>
      </c>
      <c r="P1548" s="10" t="s">
        <v>44</v>
      </c>
      <c r="Q1548" s="10" t="s">
        <v>75</v>
      </c>
      <c r="R1548" s="11" t="s">
        <v>44</v>
      </c>
      <c r="S1548" s="11" t="s">
        <v>44</v>
      </c>
      <c r="T1548" s="143">
        <v>1</v>
      </c>
      <c r="U1548" s="143">
        <v>1</v>
      </c>
      <c r="V1548" s="143">
        <v>2</v>
      </c>
      <c r="W1548" s="143">
        <v>2</v>
      </c>
      <c r="X1548" s="143">
        <v>2</v>
      </c>
      <c r="Y1548" s="143">
        <v>2</v>
      </c>
      <c r="Z1548" s="143">
        <v>2</v>
      </c>
      <c r="AA1548" s="143">
        <v>2</v>
      </c>
      <c r="AB1548" s="143">
        <v>2</v>
      </c>
      <c r="AC1548" s="143">
        <v>2</v>
      </c>
      <c r="AD1548" s="143">
        <v>2</v>
      </c>
      <c r="AE1548" s="143">
        <v>2</v>
      </c>
      <c r="AG1548" s="82">
        <v>1</v>
      </c>
      <c r="AH1548" s="82">
        <v>1</v>
      </c>
      <c r="AI1548" s="82">
        <v>2</v>
      </c>
      <c r="AJ1548" s="146">
        <v>80</v>
      </c>
      <c r="AK1548" s="71"/>
      <c r="AL1548" s="71"/>
      <c r="AM1548" s="71"/>
      <c r="AN1548" s="71"/>
      <c r="AO1548" s="71"/>
      <c r="AP1548" s="71"/>
      <c r="AQ1548" s="71"/>
      <c r="AR1548" s="71"/>
      <c r="AS1548" s="94">
        <f t="shared" ca="1" si="1791"/>
        <v>8</v>
      </c>
      <c r="AT1548" s="95">
        <f t="shared" si="1792"/>
        <v>6.3</v>
      </c>
      <c r="AU1548" s="97">
        <f t="shared" si="1793"/>
        <v>84</v>
      </c>
      <c r="AW1548" s="51">
        <f t="shared" si="1794"/>
        <v>1</v>
      </c>
      <c r="AX1548" s="51">
        <f t="shared" si="1795"/>
        <v>1</v>
      </c>
      <c r="AY1548" s="51">
        <f t="shared" si="1796"/>
        <v>1</v>
      </c>
      <c r="AZ1548" s="51">
        <f t="shared" si="1797"/>
        <v>40</v>
      </c>
      <c r="BA1548" s="51"/>
      <c r="BB1548" s="51"/>
      <c r="BC1548" s="51"/>
      <c r="BD1548" s="51"/>
      <c r="BE1548" s="51"/>
      <c r="BF1548" s="51"/>
      <c r="BG1548" s="51"/>
      <c r="BH1548" s="51"/>
      <c r="BI1548" s="65" cm="1">
        <f t="array" ref="BI1548">IFERROR(INDEX(AW1548:BH1548,1,MATCH(2,1/(AW1548:BH1548&lt;&gt;""))),"")</f>
        <v>40</v>
      </c>
      <c r="BJ1548" s="68" cm="1">
        <f t="array" ref="BJ1548">IF(BM1548 = "", "",IFERROR(INDEX(AW1548:BH1548,1,MATCH(2,1/(AW1548:BH1548&lt;&gt;""),1)-1),""))</f>
        <v>1</v>
      </c>
      <c r="BK1548" s="58">
        <f>IF((IF(AW1548&gt;=115%,115%,AW1548) + IF(AX1548&gt;=115%,115%,AX1548) + IF(AY1548&gt;=115%,115%,AY1548) + (IF(AZ1548&gt;=115%,115%,AZ1548) + IF(BA1548&gt;=115%,115%,BA1548) + IF(BB1548&gt;=115%,115%,BB1548) + IF(BC1548&gt;=115%,115%,BC1548) + IF(BD1548&gt;=115%,115%,BD1548) + IF(BE1548&gt;=190%,190%,BE1548) + IF(BF1548&gt;=115%,115%,BF1548) + IF(BG1548&gt;=115%,115%,BG1548) + IF(BH1548&gt;=115%,115%,BH1548)))/_xlfn.XLOOKUP(F1548,Apuração!A:A,Apuração!B:B)&gt;=1.15,1.15,((IF(AZ1548&gt;=115%,115%,AZ1548) + IF(AX1548&gt;=115%,115%,AX1548) + IF(AY1548&gt;=115%,115%,AY1548) + (IF(AW1548&gt;=115%,115%,AW1548) + IF(BA1548&gt;=115%,115%,BA1548) + IF(BB1548&gt;=115%,115%,BB1548) + IF(BC1548&gt;=115%,115%,BC1548) + IF(BD1548&gt;=115%,115%,BD1548) + IF(BE1548&gt;=190%,190%,BE1548) + IF(BF1548&gt;=115%,115%,BF1548) + IF(BG1548&gt;=115%,115%,BG1548) + IF(BH1548&gt;=115%,115%,BH1548)))/_xlfn.XLOOKUP(F1548,Apuração!A:A,Apuração!B:B)))</f>
        <v>0.34583333333333338</v>
      </c>
      <c r="BL1548" s="58" cm="1">
        <f t="array" aca="1" ref="BL1548" ca="1">IF(SUM(IFERROR(IF(INDEX(AW1548:INDEX(AW1548:BH1548, MATCH(2, 1/(AW1548:BH1548&lt;&gt;""), 1)-1), ROW(INDIRECT("1:" &amp; MATCH(2, 1/(AW1548:BH1548&lt;&gt;""), 1)-1))) &gt;= 115%, 115%, INDEX(AW1548:INDEX(AW1548:BH1548, MATCH(2, 1/(AW1548:BH1548&lt;&gt;""), 1)-1), ROW(INDIRECT("1:" &amp; MATCH(2, 1/(AW1548:BH1548&lt;&gt;""), 1)-1)))), 0))/_xlfn.XLOOKUP(F1548,Apuração!A:A,Apuração!B:B)&gt;=1.15,1.15,SUM(IFERROR(IF(INDEX(AW1548:INDEX(AW1548:BH1548, MATCH(2, 1/(AW1548:BH1548&lt;&gt;""), 1)-1), ROW(INDIRECT("1:" &amp; MATCH(2, 1/(AW1548:BH1548&lt;&gt;""), 1)-1))) &gt;= 115%, 115%, INDEX(AW1548:INDEX(AW1548:BH1548, MATCH(2, 1/(AW1548:BH1548&lt;&gt;""), 1)-1), ROW(INDIRECT("1:" &amp; MATCH(2, 1/(AW1548:BH1548&lt;&gt;""), 1)-1)))), 0))/_xlfn.XLOOKUP(F1548,Apuração!A:A,Apuração!B:B))</f>
        <v>0.25</v>
      </c>
      <c r="BM1548" s="55" cm="1">
        <f t="array" ref="BM1548">IFERROR(
   INDEX($AW$1:$BH$1,
      _xlfn.AGGREGATE(14, 6, COLUMN($AW$1:$BH$1)/(AW1548:BH1548&lt;&gt;""), 2) - COLUMN($AW$1) + 1
   ),
"")</f>
        <v>46082</v>
      </c>
      <c r="BN1548" s="55" cm="1">
        <f t="array" ref="BN1548">IFERROR(INDEX($AW$1:$BH$1,1,MATCH(2,1/(AW1548:BH1548&lt;&gt;""))),"")</f>
        <v>46113</v>
      </c>
      <c r="BO1548" s="53">
        <f ca="1">IFERROR(_xlfn.XLOOKUP(F1548,Apuração!A:A,Apuração!C:C)/_xlfn.XLOOKUP(F1548,Apuração!A:A,Apuração!B:B),0)</f>
        <v>0.41666666666666669</v>
      </c>
      <c r="BP1548" s="53">
        <f ca="1">IFERROR(_xlfn.XLOOKUP(F1548,Apuração!A:A,Apuração!D:D)/_xlfn.XLOOKUP(F1548,Apuração!A:A,Apuração!B:B),0)</f>
        <v>0.33333333333333331</v>
      </c>
      <c r="BQ1548" s="53">
        <f ca="1">IF(BK1548&gt;=BO1548,0,_xlfn.XLOOKUP(F1548,Apuração!A:A,Apuração!B:B)*(BO1548 + (1/_xlfn.XLOOKUP(F1548,Apuração!A:A,Apuração!B:B)) - BK1548))</f>
        <v>1.8499999999999994</v>
      </c>
      <c r="BR1548" s="85">
        <f t="shared" ca="1" si="1798"/>
        <v>3.6999999999999988</v>
      </c>
      <c r="BS1548" s="53">
        <f ca="1">IFERROR((_xlfn.XLOOKUP(F1548,Apuração!A:A,Apuração!C:C)+1)/_xlfn.XLOOKUP(F1548,Apuração!A:A,Apuração!B:B),0)</f>
        <v>0.5</v>
      </c>
    </row>
    <row r="1549" spans="1:71" ht="25.95" hidden="1" customHeight="1" x14ac:dyDescent="0.3">
      <c r="A1549" s="3" t="s">
        <v>33</v>
      </c>
      <c r="B1549" s="4" t="s">
        <v>73</v>
      </c>
      <c r="C1549" s="5" t="s">
        <v>214</v>
      </c>
      <c r="D1549" s="5" t="s">
        <v>48</v>
      </c>
      <c r="E1549" s="4" t="str" cm="1">
        <f t="array" ref="E1549">_xlfn.IFS(
F1549 = "A partir de Abril", "Aguardando Execução na Distribuidora",
A1549 = "CAPACITAÇÃO", "Em execução no Corporativo",
TRUE, "Em Execução na Distribuidora"
)</f>
        <v>Em Execução na Distribuidora</v>
      </c>
      <c r="F1549" s="4" t="str" cm="1">
        <f t="array" ref="F1549">_xlfn.IFS(
AG1549 &lt;&gt; "", "Jan-Dez/26",
AH1549 &lt;&gt; "", "Fev-Dez/26",
AI1549 &lt;&gt; "", "Mar-Dez/26", AJ1549 &lt;&gt; "", "Abr-Dez/26",
TRUE, "A partir de Junho"
)</f>
        <v>Jan-Dez/26</v>
      </c>
      <c r="G1549" s="4" t="s">
        <v>37</v>
      </c>
      <c r="H1549" s="7" t="s">
        <v>110</v>
      </c>
      <c r="I1549" s="8" t="s">
        <v>55</v>
      </c>
      <c r="J1549" s="8" t="str" cm="1">
        <f t="array" aca="1" ref="J1549" ca="1">_xlfn.LET(
  _xlpm.actual_value_month, INDEX(T1549:AE1549, MATCH(DATE(YEAR(TODAY()), MONTH(TODAY()), 1), $T$1:$AE$1, 0)),
  IF(_xlpm.actual_value_month &lt;&gt; "",_xlpm.actual_value_month &amp; " eventos mensais", "")
)</f>
        <v>2 eventos mensais</v>
      </c>
      <c r="K1549" s="14" t="str" cm="1">
        <f t="array" ref="K1549">_xlfn.LET(
    _xlpm.sum_month, SUM(T1549:AE1549),
    IF(_xlpm.sum_month = 0, "", _xlpm.sum_month &amp; "  eventos no ano")
)</f>
        <v>22  eventos no ano</v>
      </c>
      <c r="L1549" s="9" t="s">
        <v>64</v>
      </c>
      <c r="M1549" s="13" t="s">
        <v>74</v>
      </c>
      <c r="N1549" s="5" t="s">
        <v>42</v>
      </c>
      <c r="O1549" s="5" t="s">
        <v>43</v>
      </c>
      <c r="P1549" s="10" t="s">
        <v>44</v>
      </c>
      <c r="Q1549" s="10" t="s">
        <v>75</v>
      </c>
      <c r="R1549" s="11" t="s">
        <v>44</v>
      </c>
      <c r="S1549" s="11" t="s">
        <v>44</v>
      </c>
      <c r="T1549" s="143">
        <v>1</v>
      </c>
      <c r="U1549" s="143">
        <v>1</v>
      </c>
      <c r="V1549" s="143">
        <v>2</v>
      </c>
      <c r="W1549" s="143">
        <v>2</v>
      </c>
      <c r="X1549" s="143">
        <v>2</v>
      </c>
      <c r="Y1549" s="143">
        <v>2</v>
      </c>
      <c r="Z1549" s="143">
        <v>2</v>
      </c>
      <c r="AA1549" s="143">
        <v>2</v>
      </c>
      <c r="AB1549" s="143">
        <v>2</v>
      </c>
      <c r="AC1549" s="143">
        <v>2</v>
      </c>
      <c r="AD1549" s="143">
        <v>2</v>
      </c>
      <c r="AE1549" s="143">
        <v>2</v>
      </c>
      <c r="AG1549" s="82">
        <v>1</v>
      </c>
      <c r="AH1549" s="82">
        <v>1</v>
      </c>
      <c r="AI1549" s="82">
        <v>2</v>
      </c>
      <c r="AJ1549" s="146">
        <v>0</v>
      </c>
      <c r="AK1549" s="71"/>
      <c r="AL1549" s="71"/>
      <c r="AM1549" s="71"/>
      <c r="AN1549" s="71"/>
      <c r="AO1549" s="71"/>
      <c r="AP1549" s="71"/>
      <c r="AQ1549" s="71"/>
      <c r="AR1549" s="71"/>
      <c r="AS1549" s="94">
        <f t="shared" ca="1" si="1791"/>
        <v>8</v>
      </c>
      <c r="AT1549" s="95">
        <f t="shared" si="1792"/>
        <v>4</v>
      </c>
      <c r="AU1549" s="97">
        <f t="shared" si="1793"/>
        <v>4</v>
      </c>
      <c r="AW1549" s="51">
        <f t="shared" si="1794"/>
        <v>1</v>
      </c>
      <c r="AX1549" s="51">
        <f t="shared" si="1795"/>
        <v>1</v>
      </c>
      <c r="AY1549" s="51">
        <f t="shared" si="1796"/>
        <v>1</v>
      </c>
      <c r="AZ1549" s="51">
        <f t="shared" si="1797"/>
        <v>0</v>
      </c>
      <c r="BA1549" s="51"/>
      <c r="BB1549" s="51"/>
      <c r="BC1549" s="51"/>
      <c r="BD1549" s="51"/>
      <c r="BE1549" s="51"/>
      <c r="BF1549" s="51"/>
      <c r="BG1549" s="51"/>
      <c r="BH1549" s="51"/>
      <c r="BI1549" s="65" cm="1">
        <f t="array" ref="BI1549">IFERROR(INDEX(AW1549:BH1549,1,MATCH(2,1/(AW1549:BH1549&lt;&gt;""))),"")</f>
        <v>0</v>
      </c>
      <c r="BJ1549" s="68" cm="1">
        <f t="array" ref="BJ1549">IF(BM1549 = "", "",IFERROR(INDEX(AW1549:BH1549,1,MATCH(2,1/(AW1549:BH1549&lt;&gt;""),1)-1),""))</f>
        <v>1</v>
      </c>
      <c r="BK1549" s="58">
        <f>IF((IF(AW1549&gt;=115%,115%,AW1549) + IF(AX1549&gt;=115%,115%,AX1549) + IF(AY1549&gt;=115%,115%,AY1549) + (IF(AZ1549&gt;=115%,115%,AZ1549) + IF(BA1549&gt;=115%,115%,BA1549) + IF(BB1549&gt;=115%,115%,BB1549) + IF(BC1549&gt;=115%,115%,BC1549) + IF(BD1549&gt;=115%,115%,BD1549) + IF(BE1549&gt;=190%,190%,BE1549) + IF(BF1549&gt;=115%,115%,BF1549) + IF(BG1549&gt;=115%,115%,BG1549) + IF(BH1549&gt;=115%,115%,BH1549)))/_xlfn.XLOOKUP(F1549,Apuração!A:A,Apuração!B:B)&gt;=1.15,1.15,((IF(AZ1549&gt;=115%,115%,AZ1549) + IF(AX1549&gt;=115%,115%,AX1549) + IF(AY1549&gt;=115%,115%,AY1549) + (IF(AW1549&gt;=115%,115%,AW1549) + IF(BA1549&gt;=115%,115%,BA1549) + IF(BB1549&gt;=115%,115%,BB1549) + IF(BC1549&gt;=115%,115%,BC1549) + IF(BD1549&gt;=115%,115%,BD1549) + IF(BE1549&gt;=190%,190%,BE1549) + IF(BF1549&gt;=115%,115%,BF1549) + IF(BG1549&gt;=115%,115%,BG1549) + IF(BH1549&gt;=115%,115%,BH1549)))/_xlfn.XLOOKUP(F1549,Apuração!A:A,Apuração!B:B)))</f>
        <v>0.25</v>
      </c>
      <c r="BL1549" s="58" cm="1">
        <f t="array" aca="1" ref="BL1549" ca="1">IF(SUM(IFERROR(IF(INDEX(AW1549:INDEX(AW1549:BH1549, MATCH(2, 1/(AW1549:BH1549&lt;&gt;""), 1)-1), ROW(INDIRECT("1:" &amp; MATCH(2, 1/(AW1549:BH1549&lt;&gt;""), 1)-1))) &gt;= 115%, 115%, INDEX(AW1549:INDEX(AW1549:BH1549, MATCH(2, 1/(AW1549:BH1549&lt;&gt;""), 1)-1), ROW(INDIRECT("1:" &amp; MATCH(2, 1/(AW1549:BH1549&lt;&gt;""), 1)-1)))), 0))/_xlfn.XLOOKUP(F1549,Apuração!A:A,Apuração!B:B)&gt;=1.15,1.15,SUM(IFERROR(IF(INDEX(AW1549:INDEX(AW1549:BH1549, MATCH(2, 1/(AW1549:BH1549&lt;&gt;""), 1)-1), ROW(INDIRECT("1:" &amp; MATCH(2, 1/(AW1549:BH1549&lt;&gt;""), 1)-1))) &gt;= 115%, 115%, INDEX(AW1549:INDEX(AW1549:BH1549, MATCH(2, 1/(AW1549:BH1549&lt;&gt;""), 1)-1), ROW(INDIRECT("1:" &amp; MATCH(2, 1/(AW1549:BH1549&lt;&gt;""), 1)-1)))), 0))/_xlfn.XLOOKUP(F1549,Apuração!A:A,Apuração!B:B))</f>
        <v>0.25</v>
      </c>
      <c r="BM1549" s="55" cm="1">
        <f t="array" ref="BM1549">IFERROR(
   INDEX($AW$1:$BH$1,
      _xlfn.AGGREGATE(14, 6, COLUMN($AW$1:$BH$1)/(AW1549:BH1549&lt;&gt;""), 2) - COLUMN($AW$1) + 1
   ),
"")</f>
        <v>46082</v>
      </c>
      <c r="BN1549" s="55" cm="1">
        <f t="array" ref="BN1549">IFERROR(INDEX($AW$1:$BH$1,1,MATCH(2,1/(AW1549:BH1549&lt;&gt;""))),"")</f>
        <v>46113</v>
      </c>
      <c r="BO1549" s="53">
        <f ca="1">IFERROR(_xlfn.XLOOKUP(F1549,Apuração!A:A,Apuração!C:C)/_xlfn.XLOOKUP(F1549,Apuração!A:A,Apuração!B:B),0)</f>
        <v>0.41666666666666669</v>
      </c>
      <c r="BP1549" s="53">
        <f ca="1">IFERROR(_xlfn.XLOOKUP(F1549,Apuração!A:A,Apuração!D:D)/_xlfn.XLOOKUP(F1549,Apuração!A:A,Apuração!B:B),0)</f>
        <v>0.33333333333333331</v>
      </c>
      <c r="BQ1549" s="53">
        <f ca="1">IF(BK1549&gt;=BO1549,0,_xlfn.XLOOKUP(F1549,Apuração!A:A,Apuração!B:B)*(BO1549 + (1/_xlfn.XLOOKUP(F1549,Apuração!A:A,Apuração!B:B)) - BK1549))</f>
        <v>3</v>
      </c>
      <c r="BR1549" s="85">
        <f t="shared" ca="1" si="1798"/>
        <v>6</v>
      </c>
      <c r="BS1549" s="53">
        <f ca="1">IFERROR((_xlfn.XLOOKUP(F1549,Apuração!A:A,Apuração!C:C)+1)/_xlfn.XLOOKUP(F1549,Apuração!A:A,Apuração!B:B),0)</f>
        <v>0.5</v>
      </c>
    </row>
    <row r="1550" spans="1:71" ht="25.95" hidden="1" customHeight="1" x14ac:dyDescent="0.3">
      <c r="A1550" s="3" t="s">
        <v>33</v>
      </c>
      <c r="B1550" s="4" t="s">
        <v>73</v>
      </c>
      <c r="C1550" s="5" t="s">
        <v>214</v>
      </c>
      <c r="D1550" s="5" t="s">
        <v>213</v>
      </c>
      <c r="E1550" s="4" t="str" cm="1">
        <f t="array" ref="E1550">_xlfn.IFS(
F1550 = "A partir de Abril", "Aguardando Execução na Distribuidora",
A1550 = "CAPACITAÇÃO", "Em execução no Corporativo",
TRUE, "Em Execução na Distribuidora"
)</f>
        <v>Em Execução na Distribuidora</v>
      </c>
      <c r="F1550" s="4" t="str" cm="1">
        <f t="array" ref="F1550">_xlfn.IFS(
AG1550 &lt;&gt; "", "Jan-Dez/26",
AH1550 &lt;&gt; "", "Fev-Dez/26",
AI1550 &lt;&gt; "", "Mar-Dez/26", AJ1550 &lt;&gt; "", "Abr-Dez/26",
TRUE, "A partir de Junho"
)</f>
        <v>Jan-Dez/26</v>
      </c>
      <c r="G1550" s="4" t="s">
        <v>37</v>
      </c>
      <c r="H1550" s="7" t="s">
        <v>110</v>
      </c>
      <c r="I1550" s="8" t="s">
        <v>55</v>
      </c>
      <c r="J1550" s="8" t="str" cm="1">
        <f t="array" aca="1" ref="J1550" ca="1">_xlfn.LET(
  _xlpm.actual_value_month, INDEX(T1550:AE1550, MATCH(DATE(YEAR(TODAY()), MONTH(TODAY()), 1), $T$1:$AE$1, 0)),
  IF(_xlpm.actual_value_month &lt;&gt; "",_xlpm.actual_value_month &amp; " eventos mensais", "")
)</f>
        <v>2 eventos mensais</v>
      </c>
      <c r="K1550" s="14" t="str" cm="1">
        <f t="array" ref="K1550">_xlfn.LET(
    _xlpm.sum_month, SUM(T1550:AE1550),
    IF(_xlpm.sum_month = 0, "", _xlpm.sum_month &amp; "  eventos no ano")
)</f>
        <v>22  eventos no ano</v>
      </c>
      <c r="L1550" s="9" t="s">
        <v>64</v>
      </c>
      <c r="M1550" s="13" t="s">
        <v>74</v>
      </c>
      <c r="N1550" s="5" t="s">
        <v>42</v>
      </c>
      <c r="O1550" s="5" t="s">
        <v>43</v>
      </c>
      <c r="P1550" s="10" t="s">
        <v>44</v>
      </c>
      <c r="Q1550" s="10" t="s">
        <v>75</v>
      </c>
      <c r="R1550" s="11" t="s">
        <v>44</v>
      </c>
      <c r="S1550" s="11" t="s">
        <v>44</v>
      </c>
      <c r="T1550" s="143">
        <v>1</v>
      </c>
      <c r="U1550" s="143">
        <v>1</v>
      </c>
      <c r="V1550" s="143">
        <v>2</v>
      </c>
      <c r="W1550" s="143">
        <v>2</v>
      </c>
      <c r="X1550" s="143">
        <v>2</v>
      </c>
      <c r="Y1550" s="143">
        <v>2</v>
      </c>
      <c r="Z1550" s="143">
        <v>2</v>
      </c>
      <c r="AA1550" s="143">
        <v>2</v>
      </c>
      <c r="AB1550" s="143">
        <v>2</v>
      </c>
      <c r="AC1550" s="143">
        <v>2</v>
      </c>
      <c r="AD1550" s="143">
        <v>2</v>
      </c>
      <c r="AE1550" s="143">
        <v>2</v>
      </c>
      <c r="AG1550" s="82">
        <v>1</v>
      </c>
      <c r="AH1550" s="82">
        <v>1</v>
      </c>
      <c r="AI1550" s="82">
        <v>2</v>
      </c>
      <c r="AJ1550" s="146">
        <v>3</v>
      </c>
      <c r="AK1550" s="71"/>
      <c r="AL1550" s="71"/>
      <c r="AM1550" s="71"/>
      <c r="AN1550" s="71"/>
      <c r="AO1550" s="71"/>
      <c r="AP1550" s="71"/>
      <c r="AQ1550" s="71"/>
      <c r="AR1550" s="71"/>
      <c r="AS1550" s="94">
        <f t="shared" ca="1" si="1791"/>
        <v>8</v>
      </c>
      <c r="AT1550" s="95">
        <f t="shared" si="1792"/>
        <v>6.3</v>
      </c>
      <c r="AU1550" s="97">
        <f t="shared" si="1793"/>
        <v>7</v>
      </c>
      <c r="AW1550" s="51">
        <f t="shared" si="1794"/>
        <v>1</v>
      </c>
      <c r="AX1550" s="51">
        <f t="shared" si="1795"/>
        <v>1</v>
      </c>
      <c r="AY1550" s="51">
        <f t="shared" si="1796"/>
        <v>1</v>
      </c>
      <c r="AZ1550" s="51">
        <f t="shared" si="1797"/>
        <v>1.5</v>
      </c>
      <c r="BA1550" s="51"/>
      <c r="BB1550" s="51"/>
      <c r="BC1550" s="51"/>
      <c r="BD1550" s="51"/>
      <c r="BE1550" s="51"/>
      <c r="BF1550" s="51"/>
      <c r="BG1550" s="51"/>
      <c r="BH1550" s="51"/>
      <c r="BI1550" s="65" cm="1">
        <f t="array" ref="BI1550">IFERROR(INDEX(AW1550:BH1550,1,MATCH(2,1/(AW1550:BH1550&lt;&gt;""))),"")</f>
        <v>1.5</v>
      </c>
      <c r="BJ1550" s="68" cm="1">
        <f t="array" ref="BJ1550">IF(BM1550 = "", "",IFERROR(INDEX(AW1550:BH1550,1,MATCH(2,1/(AW1550:BH1550&lt;&gt;""),1)-1),""))</f>
        <v>1</v>
      </c>
      <c r="BK1550" s="58">
        <f>IF((IF(AW1550&gt;=115%,115%,AW1550) + IF(AX1550&gt;=115%,115%,AX1550) + IF(AY1550&gt;=115%,115%,AY1550) + (IF(AZ1550&gt;=115%,115%,AZ1550) + IF(BA1550&gt;=115%,115%,BA1550) + IF(BB1550&gt;=115%,115%,BB1550) + IF(BC1550&gt;=115%,115%,BC1550) + IF(BD1550&gt;=115%,115%,BD1550) + IF(BE1550&gt;=190%,190%,BE1550) + IF(BF1550&gt;=115%,115%,BF1550) + IF(BG1550&gt;=115%,115%,BG1550) + IF(BH1550&gt;=115%,115%,BH1550)))/_xlfn.XLOOKUP(F1550,Apuração!A:A,Apuração!B:B)&gt;=1.15,1.15,((IF(AZ1550&gt;=115%,115%,AZ1550) + IF(AX1550&gt;=115%,115%,AX1550) + IF(AY1550&gt;=115%,115%,AY1550) + (IF(AW1550&gt;=115%,115%,AW1550) + IF(BA1550&gt;=115%,115%,BA1550) + IF(BB1550&gt;=115%,115%,BB1550) + IF(BC1550&gt;=115%,115%,BC1550) + IF(BD1550&gt;=115%,115%,BD1550) + IF(BE1550&gt;=190%,190%,BE1550) + IF(BF1550&gt;=115%,115%,BF1550) + IF(BG1550&gt;=115%,115%,BG1550) + IF(BH1550&gt;=115%,115%,BH1550)))/_xlfn.XLOOKUP(F1550,Apuração!A:A,Apuração!B:B)))</f>
        <v>0.34583333333333338</v>
      </c>
      <c r="BL1550" s="58" cm="1">
        <f t="array" aca="1" ref="BL1550" ca="1">IF(SUM(IFERROR(IF(INDEX(AW1550:INDEX(AW1550:BH1550, MATCH(2, 1/(AW1550:BH1550&lt;&gt;""), 1)-1), ROW(INDIRECT("1:" &amp; MATCH(2, 1/(AW1550:BH1550&lt;&gt;""), 1)-1))) &gt;= 115%, 115%, INDEX(AW1550:INDEX(AW1550:BH1550, MATCH(2, 1/(AW1550:BH1550&lt;&gt;""), 1)-1), ROW(INDIRECT("1:" &amp; MATCH(2, 1/(AW1550:BH1550&lt;&gt;""), 1)-1)))), 0))/_xlfn.XLOOKUP(F1550,Apuração!A:A,Apuração!B:B)&gt;=1.15,1.15,SUM(IFERROR(IF(INDEX(AW1550:INDEX(AW1550:BH1550, MATCH(2, 1/(AW1550:BH1550&lt;&gt;""), 1)-1), ROW(INDIRECT("1:" &amp; MATCH(2, 1/(AW1550:BH1550&lt;&gt;""), 1)-1))) &gt;= 115%, 115%, INDEX(AW1550:INDEX(AW1550:BH1550, MATCH(2, 1/(AW1550:BH1550&lt;&gt;""), 1)-1), ROW(INDIRECT("1:" &amp; MATCH(2, 1/(AW1550:BH1550&lt;&gt;""), 1)-1)))), 0))/_xlfn.XLOOKUP(F1550,Apuração!A:A,Apuração!B:B))</f>
        <v>0.25</v>
      </c>
      <c r="BM1550" s="55" cm="1">
        <f t="array" ref="BM1550">IFERROR(
   INDEX($AW$1:$BH$1,
      _xlfn.AGGREGATE(14, 6, COLUMN($AW$1:$BH$1)/(AW1550:BH1550&lt;&gt;""), 2) - COLUMN($AW$1) + 1
   ),
"")</f>
        <v>46082</v>
      </c>
      <c r="BN1550" s="55" cm="1">
        <f t="array" ref="BN1550">IFERROR(INDEX($AW$1:$BH$1,1,MATCH(2,1/(AW1550:BH1550&lt;&gt;""))),"")</f>
        <v>46113</v>
      </c>
      <c r="BO1550" s="53">
        <f ca="1">IFERROR(_xlfn.XLOOKUP(F1550,Apuração!A:A,Apuração!C:C)/_xlfn.XLOOKUP(F1550,Apuração!A:A,Apuração!B:B),0)</f>
        <v>0.41666666666666669</v>
      </c>
      <c r="BP1550" s="53">
        <f ca="1">IFERROR(_xlfn.XLOOKUP(F1550,Apuração!A:A,Apuração!D:D)/_xlfn.XLOOKUP(F1550,Apuração!A:A,Apuração!B:B),0)</f>
        <v>0.33333333333333331</v>
      </c>
      <c r="BQ1550" s="53">
        <f ca="1">IF(BK1550&gt;=BO1550,0,_xlfn.XLOOKUP(F1550,Apuração!A:A,Apuração!B:B)*(BO1550 + (1/_xlfn.XLOOKUP(F1550,Apuração!A:A,Apuração!B:B)) - BK1550))</f>
        <v>1.8499999999999994</v>
      </c>
      <c r="BR1550" s="85">
        <f t="shared" ca="1" si="1798"/>
        <v>3.6999999999999988</v>
      </c>
      <c r="BS1550" s="53">
        <f ca="1">IFERROR((_xlfn.XLOOKUP(F1550,Apuração!A:A,Apuração!C:C)+1)/_xlfn.XLOOKUP(F1550,Apuração!A:A,Apuração!B:B),0)</f>
        <v>0.5</v>
      </c>
    </row>
    <row r="1551" spans="1:71" ht="25.95" hidden="1" customHeight="1" x14ac:dyDescent="0.3">
      <c r="A1551" s="39" t="s">
        <v>33</v>
      </c>
      <c r="B1551" s="4" t="s">
        <v>73</v>
      </c>
      <c r="C1551" s="5" t="s">
        <v>214</v>
      </c>
      <c r="D1551" s="5" t="s">
        <v>36</v>
      </c>
      <c r="E1551" s="4" t="str" cm="1">
        <f t="array" ref="E1551">_xlfn.IFS(
F1551 = "A partir de Abril", "Aguardando Execução na Distribuidora",
A1551 = "CAPACITAÇÃO", "Em execução no Corporativo",
TRUE, "Em Execução na Distribuidora"
)</f>
        <v>Em Execução na Distribuidora</v>
      </c>
      <c r="F1551" s="4" t="str" cm="1">
        <f t="array" ref="F1551">_xlfn.IFS(
AG1551 &lt;&gt; "", "Jan-Dez/26",
AH1551 &lt;&gt; "", "Fev-Dez/26",
AI1551 &lt;&gt; "", "Mar-Dez/26", AJ1551 &lt;&gt; "", "Abr-Dez/26",
TRUE, "A partir de Junho"
)</f>
        <v>Jan-Dez/26</v>
      </c>
      <c r="G1551" s="4" t="s">
        <v>37</v>
      </c>
      <c r="H1551" s="7" t="s">
        <v>110</v>
      </c>
      <c r="I1551" s="9" t="s">
        <v>76</v>
      </c>
      <c r="J1551" s="8" t="str" cm="1">
        <f t="array" aca="1" ref="J1551" ca="1">_xlfn.LET(
  _xlpm.actual_value_month, INDEX(T1551:AE1551, MATCH(DATE(YEAR(TODAY()), MONTH(TODAY()), 1), $T$1:$AE$1, 0)),
  IF(_xlpm.actual_value_month &lt;&gt; "",_xlpm.actual_value_month &amp; " ações mensais", "")
)</f>
        <v/>
      </c>
      <c r="K1551" s="14" t="str" cm="1">
        <f t="array" ref="K1551">_xlfn.LET(
    _xlpm.sum_month, SUM(T1551:AE1551),
    IF(_xlpm.sum_month = 0, "", _xlpm.sum_month &amp; " pessoas impactadas no ano.")
)</f>
        <v/>
      </c>
      <c r="L1551" s="9" t="s">
        <v>76</v>
      </c>
      <c r="M1551" s="13">
        <v>1</v>
      </c>
      <c r="N1551" s="5" t="s">
        <v>51</v>
      </c>
      <c r="O1551" s="5" t="s">
        <v>52</v>
      </c>
      <c r="P1551" s="10" t="s">
        <v>44</v>
      </c>
      <c r="Q1551" s="10" t="s">
        <v>44</v>
      </c>
      <c r="R1551" s="11" t="s">
        <v>44</v>
      </c>
      <c r="S1551" s="11" t="s">
        <v>44</v>
      </c>
      <c r="T1551" s="22"/>
      <c r="U1551" s="22"/>
      <c r="V1551" s="22"/>
      <c r="W1551" s="22"/>
      <c r="X1551" s="22"/>
      <c r="Y1551" s="22"/>
      <c r="Z1551" s="22"/>
      <c r="AA1551" s="22"/>
      <c r="AB1551" s="22"/>
      <c r="AC1551" s="22"/>
      <c r="AD1551" s="22"/>
      <c r="AE1551" s="22"/>
      <c r="AG1551" s="71">
        <v>100</v>
      </c>
      <c r="AH1551" s="71">
        <v>150</v>
      </c>
      <c r="AI1551" s="71">
        <v>300</v>
      </c>
      <c r="AJ1551" s="71">
        <v>3056</v>
      </c>
      <c r="AK1551" s="71"/>
      <c r="AL1551" s="71"/>
      <c r="AM1551" s="71"/>
      <c r="AN1551" s="71"/>
      <c r="AO1551" s="71"/>
      <c r="AP1551" s="71"/>
      <c r="AQ1551" s="71"/>
      <c r="AR1551" s="71"/>
      <c r="AS1551" s="94">
        <f ca="1">IF(MONTH(TODAY())=3,SUM(T1551:U1551),IF(MONTH(TODAY())=4,SUM(T1551:V1551),IF(MONTH(TODAY())=5,SUM(T1551:W1551),IF(MONTH(TODAY())=6,SUM(T1551:X1551),IF(MONTH(TODAY())=7,SUM(T1551:Y1551),IF(MONTH(TODAY())=8,SUM(T1551:Z1551),IF(MONTH(TODAY())=9,SUM(T1551:AA1551),IF(MONTH(TODAY())=10,SUM(T1551:AB1551),IF(MONTH(TODAY())=11,SUM(T1551:AC1551),IF(MONTH(TODAY())=12,SUM(T1551:AD1551),IF(MONTH(TODAY())=1,SUM(T1551:AE1551),T1551)))))))))))</f>
        <v>0</v>
      </c>
      <c r="AT1551" s="95">
        <f>SUM(AG1551:AR1551)</f>
        <v>3606</v>
      </c>
      <c r="AU1551" s="97">
        <f>SUM(AG1551:AR1551)</f>
        <v>3606</v>
      </c>
      <c r="AW1551" s="83">
        <f>AG1551</f>
        <v>100</v>
      </c>
      <c r="AX1551" s="83">
        <f>AH1551</f>
        <v>150</v>
      </c>
      <c r="AY1551" s="83">
        <f>AI1551</f>
        <v>300</v>
      </c>
      <c r="AZ1551" s="83">
        <f>AJ1551</f>
        <v>3056</v>
      </c>
      <c r="BA1551" s="52"/>
      <c r="BB1551" s="52"/>
      <c r="BC1551" s="52"/>
      <c r="BD1551" s="52"/>
      <c r="BE1551" s="52"/>
      <c r="BF1551" s="52"/>
      <c r="BG1551" s="52"/>
      <c r="BH1551" s="52"/>
      <c r="BI1551" s="68" cm="1">
        <f t="array" ref="BI1551">IFERROR(INDEX(AW1551:BH1551,1,MATCH(2,1/(AW1551:BH1551&lt;&gt;""))),"")</f>
        <v>3056</v>
      </c>
      <c r="BJ1551" s="68" cm="1">
        <f t="array" ref="BJ1551">IF(BM1551 = "", "",IFERROR(INDEX(AW1551:BH1551,1,MATCH(2,1/(AW1551:BH1551&lt;&gt;""),1)-1),""))</f>
        <v>300</v>
      </c>
      <c r="BK1551" s="59">
        <f>SUM(AW1551:BH1551)</f>
        <v>3606</v>
      </c>
      <c r="BL1551" s="59" cm="1">
        <f t="array" ref="BL1551">IFERROR(SUM(AW1551:INDEX(AW1551:BH1551, MATCH(2, 1/(AW1551:BH1551&lt;&gt;""), 1) - 1))/_xlfn.XLOOKUP(F1551,Apuração!A:A,Apuração!B:B),0)</f>
        <v>45.833333333333336</v>
      </c>
      <c r="BM1551" s="55" cm="1">
        <f t="array" ref="BM1551">IFERROR(
   INDEX($AW$1:$BH$1,
      _xlfn.AGGREGATE(14, 6, COLUMN($AW$1:$BH$1)/(AW1551:BH1551&lt;&gt;""), 2) - COLUMN($AW$1) + 1
   ),
"")</f>
        <v>46082</v>
      </c>
      <c r="BN1551" s="55" cm="1">
        <f t="array" ref="BN1551">IFERROR(INDEX($AW$1:$BH$1,1,MATCH(2,1/(AW1551:BH1551&lt;&gt;""))),"")</f>
        <v>46113</v>
      </c>
      <c r="BO1551" s="53">
        <f ca="1">IFERROR(_xlfn.XLOOKUP(F1551,Apuração!A:A,Apuração!C:C)/_xlfn.XLOOKUP(F1551,Apuração!A:A,Apuração!B:B),0)</f>
        <v>0.41666666666666669</v>
      </c>
      <c r="BP1551" s="53">
        <f ca="1">IFERROR(_xlfn.XLOOKUP(F1551,Apuração!A:A,Apuração!D:D)/_xlfn.XLOOKUP(F1551,Apuração!A:A,Apuração!B:B),0)</f>
        <v>0.33333333333333331</v>
      </c>
      <c r="BQ1551" s="53">
        <f ca="1">IF(BK1551&gt;=BO1551,0,_xlfn.XLOOKUP(F1551,Apuração!A:A,Apuração!B:B)*(BO1551 + (1/_xlfn.XLOOKUP(F1551,Apuração!A:A,Apuração!B:B)) - BK1551))</f>
        <v>0</v>
      </c>
      <c r="BR1551" s="85">
        <f ca="1">IF(BQ1551=0,0,BQ1551*Z1551)</f>
        <v>0</v>
      </c>
      <c r="BS1551" s="53">
        <f ca="1">IFERROR((_xlfn.XLOOKUP(F1551,Apuração!A:A,Apuração!C:C)+1)/_xlfn.XLOOKUP(F1551,Apuração!A:A,Apuração!B:B),0)</f>
        <v>0.5</v>
      </c>
    </row>
    <row r="1552" spans="1:71" ht="25.95" hidden="1" customHeight="1" x14ac:dyDescent="0.3">
      <c r="A1552" s="39" t="s">
        <v>33</v>
      </c>
      <c r="B1552" s="4" t="s">
        <v>73</v>
      </c>
      <c r="C1552" s="5" t="s">
        <v>214</v>
      </c>
      <c r="D1552" s="5" t="s">
        <v>210</v>
      </c>
      <c r="E1552" s="4" t="str" cm="1">
        <f t="array" ref="E1552">_xlfn.IFS(
F1552 = "A partir de Abril", "Aguardando Execução na Distribuidora",
A1552 = "CAPACITAÇÃO", "Em execução no Corporativo",
TRUE, "Em Execução na Distribuidora"
)</f>
        <v>Em Execução na Distribuidora</v>
      </c>
      <c r="F1552" s="4" t="str" cm="1">
        <f t="array" ref="F1552">_xlfn.IFS(
AG1552 &lt;&gt; "", "Jan-Dez/26",
AH1552 &lt;&gt; "", "Fev-Dez/26",
AI1552 &lt;&gt; "", "Mar-Dez/26", AJ1552 &lt;&gt; "", "Abr-Dez/26",
TRUE, "A partir de Junho"
)</f>
        <v>Jan-Dez/26</v>
      </c>
      <c r="G1552" s="4" t="s">
        <v>37</v>
      </c>
      <c r="H1552" s="7" t="s">
        <v>110</v>
      </c>
      <c r="I1552" s="9" t="s">
        <v>76</v>
      </c>
      <c r="J1552" s="8" t="str" cm="1">
        <f t="array" aca="1" ref="J1552" ca="1">_xlfn.LET(
  _xlpm.actual_value_month, INDEX(T1552:AE1552, MATCH(DATE(YEAR(TODAY()), MONTH(TODAY()), 1), $T$1:$AE$1, 0)),
  IF(_xlpm.actual_value_month &lt;&gt; "",_xlpm.actual_value_month &amp; " ações mensais", "")
)</f>
        <v/>
      </c>
      <c r="K1552" s="14" t="str" cm="1">
        <f t="array" ref="K1552">_xlfn.LET(
    _xlpm.sum_month, SUM(T1552:AE1552),
    IF(_xlpm.sum_month = 0, "", _xlpm.sum_month &amp; " pessoas impactadas no ano.")
)</f>
        <v/>
      </c>
      <c r="L1552" s="9" t="s">
        <v>76</v>
      </c>
      <c r="M1552" s="13">
        <v>1</v>
      </c>
      <c r="N1552" s="5" t="s">
        <v>51</v>
      </c>
      <c r="O1552" s="5" t="s">
        <v>52</v>
      </c>
      <c r="P1552" s="10" t="s">
        <v>44</v>
      </c>
      <c r="Q1552" s="10" t="s">
        <v>44</v>
      </c>
      <c r="R1552" s="11" t="s">
        <v>44</v>
      </c>
      <c r="S1552" s="11" t="s">
        <v>44</v>
      </c>
      <c r="T1552" s="22"/>
      <c r="U1552" s="22"/>
      <c r="V1552" s="22"/>
      <c r="W1552" s="22"/>
      <c r="X1552" s="22"/>
      <c r="Y1552" s="22"/>
      <c r="Z1552" s="22"/>
      <c r="AA1552" s="22"/>
      <c r="AB1552" s="22"/>
      <c r="AC1552" s="22"/>
      <c r="AD1552" s="22"/>
      <c r="AE1552" s="22"/>
      <c r="AG1552" s="82">
        <v>20</v>
      </c>
      <c r="AH1552" s="82">
        <v>30</v>
      </c>
      <c r="AI1552" s="82">
        <v>60</v>
      </c>
      <c r="AJ1552" s="145">
        <v>146</v>
      </c>
      <c r="AK1552" s="71"/>
      <c r="AL1552" s="71"/>
      <c r="AM1552" s="71"/>
      <c r="AN1552" s="71"/>
      <c r="AO1552" s="71"/>
      <c r="AP1552" s="71"/>
      <c r="AQ1552" s="71"/>
      <c r="AR1552" s="71"/>
      <c r="AS1552" s="94">
        <f t="shared" ref="AS1552:AS1556" ca="1" si="1799">IF(MONTH(TODAY())=3,SUM(T1552:U1552),IF(MONTH(TODAY())=4,SUM(T1552:V1552),IF(MONTH(TODAY())=5,SUM(T1552:W1552),IF(MONTH(TODAY())=6,SUM(T1552:X1552),IF(MONTH(TODAY())=7,SUM(T1552:Y1552),IF(MONTH(TODAY())=8,SUM(T1552:Z1552),IF(MONTH(TODAY())=9,SUM(T1552:AA1552),IF(MONTH(TODAY())=10,SUM(T1552:AB1552),IF(MONTH(TODAY())=11,SUM(T1552:AC1552),IF(MONTH(TODAY())=12,SUM(T1552:AD1552),IF(MONTH(TODAY())=1,SUM(T1552:AE1552),T1552)))))))))))</f>
        <v>0</v>
      </c>
      <c r="AT1552" s="95">
        <f t="shared" ref="AT1552:AT1556" si="1800">SUM(AG1552:AR1552)</f>
        <v>256</v>
      </c>
      <c r="AU1552" s="97">
        <f t="shared" ref="AU1552:AU1556" si="1801">SUM(AG1552:AR1552)</f>
        <v>256</v>
      </c>
      <c r="AW1552" s="83">
        <f t="shared" ref="AW1552:AW1556" si="1802">AG1552</f>
        <v>20</v>
      </c>
      <c r="AX1552" s="83">
        <f t="shared" ref="AX1552:AX1556" si="1803">AH1552</f>
        <v>30</v>
      </c>
      <c r="AY1552" s="83">
        <f t="shared" ref="AY1552:AY1556" si="1804">AI1552</f>
        <v>60</v>
      </c>
      <c r="AZ1552" s="83">
        <f t="shared" ref="AZ1552:AZ1556" si="1805">AJ1552</f>
        <v>146</v>
      </c>
      <c r="BA1552" s="52"/>
      <c r="BB1552" s="52"/>
      <c r="BC1552" s="52"/>
      <c r="BD1552" s="52"/>
      <c r="BE1552" s="52"/>
      <c r="BF1552" s="52"/>
      <c r="BG1552" s="52"/>
      <c r="BH1552" s="52"/>
      <c r="BI1552" s="68" cm="1">
        <f t="array" ref="BI1552">IFERROR(INDEX(AW1552:BH1552,1,MATCH(2,1/(AW1552:BH1552&lt;&gt;""))),"")</f>
        <v>146</v>
      </c>
      <c r="BJ1552" s="68" cm="1">
        <f t="array" ref="BJ1552">IF(BM1552 = "", "",IFERROR(INDEX(AW1552:BH1552,1,MATCH(2,1/(AW1552:BH1552&lt;&gt;""),1)-1),""))</f>
        <v>60</v>
      </c>
      <c r="BK1552" s="59">
        <f t="shared" ref="BK1552:BK1556" si="1806">SUM(AW1552:BH1552)</f>
        <v>256</v>
      </c>
      <c r="BL1552" s="59" cm="1">
        <f t="array" ref="BL1552">IFERROR(SUM(AW1552:INDEX(AW1552:BH1552, MATCH(2, 1/(AW1552:BH1552&lt;&gt;""), 1) - 1))/_xlfn.XLOOKUP(F1552,Apuração!A:A,Apuração!B:B),0)</f>
        <v>9.1666666666666661</v>
      </c>
      <c r="BM1552" s="55" cm="1">
        <f t="array" ref="BM1552">IFERROR(
   INDEX($AW$1:$BH$1,
      _xlfn.AGGREGATE(14, 6, COLUMN($AW$1:$BH$1)/(AW1552:BH1552&lt;&gt;""), 2) - COLUMN($AW$1) + 1
   ),
"")</f>
        <v>46082</v>
      </c>
      <c r="BN1552" s="55" cm="1">
        <f t="array" ref="BN1552">IFERROR(INDEX($AW$1:$BH$1,1,MATCH(2,1/(AW1552:BH1552&lt;&gt;""))),"")</f>
        <v>46113</v>
      </c>
      <c r="BO1552" s="53">
        <f ca="1">IFERROR(_xlfn.XLOOKUP(F1552,Apuração!A:A,Apuração!C:C)/_xlfn.XLOOKUP(F1552,Apuração!A:A,Apuração!B:B),0)</f>
        <v>0.41666666666666669</v>
      </c>
      <c r="BP1552" s="53">
        <f ca="1">IFERROR(_xlfn.XLOOKUP(F1552,Apuração!A:A,Apuração!D:D)/_xlfn.XLOOKUP(F1552,Apuração!A:A,Apuração!B:B),0)</f>
        <v>0.33333333333333331</v>
      </c>
      <c r="BQ1552" s="53">
        <f ca="1">IF(BK1552&gt;=BO1552,0,_xlfn.XLOOKUP(F1552,Apuração!A:A,Apuração!B:B)*(BO1552 + (1/_xlfn.XLOOKUP(F1552,Apuração!A:A,Apuração!B:B)) - BK1552))</f>
        <v>0</v>
      </c>
      <c r="BR1552" s="85">
        <f t="shared" ref="BR1552:BR1556" ca="1" si="1807">IF(BQ1552=0,0,BQ1552*Z1552)</f>
        <v>0</v>
      </c>
      <c r="BS1552" s="53">
        <f ca="1">IFERROR((_xlfn.XLOOKUP(F1552,Apuração!A:A,Apuração!C:C)+1)/_xlfn.XLOOKUP(F1552,Apuração!A:A,Apuração!B:B),0)</f>
        <v>0.5</v>
      </c>
    </row>
    <row r="1553" spans="1:71" ht="25.95" hidden="1" customHeight="1" x14ac:dyDescent="0.3">
      <c r="A1553" s="39" t="s">
        <v>33</v>
      </c>
      <c r="B1553" s="4" t="s">
        <v>73</v>
      </c>
      <c r="C1553" s="5" t="s">
        <v>214</v>
      </c>
      <c r="D1553" s="5" t="s">
        <v>215</v>
      </c>
      <c r="E1553" s="4" t="str" cm="1">
        <f t="array" ref="E1553">_xlfn.IFS(
F1553 = "A partir de Abril", "Aguardando Execução na Distribuidora",
A1553 = "CAPACITAÇÃO", "Em execução no Corporativo",
TRUE, "Em Execução na Distribuidora"
)</f>
        <v>Em Execução na Distribuidora</v>
      </c>
      <c r="F1553" s="4" t="str" cm="1">
        <f t="array" ref="F1553">_xlfn.IFS(
AG1553 &lt;&gt; "", "Jan-Dez/26",
AH1553 &lt;&gt; "", "Fev-Dez/26",
AI1553 &lt;&gt; "", "Mar-Dez/26", AJ1553 &lt;&gt; "", "Abr-Dez/26",
TRUE, "A partir de Junho"
)</f>
        <v>Jan-Dez/26</v>
      </c>
      <c r="G1553" s="4" t="s">
        <v>37</v>
      </c>
      <c r="H1553" s="7" t="s">
        <v>110</v>
      </c>
      <c r="I1553" s="9" t="s">
        <v>76</v>
      </c>
      <c r="J1553" s="8" t="str" cm="1">
        <f t="array" aca="1" ref="J1553" ca="1">_xlfn.LET(
  _xlpm.actual_value_month, INDEX(T1553:AE1553, MATCH(DATE(YEAR(TODAY()), MONTH(TODAY()), 1), $T$1:$AE$1, 0)),
  IF(_xlpm.actual_value_month &lt;&gt; "",_xlpm.actual_value_month &amp; " ações mensais", "")
)</f>
        <v/>
      </c>
      <c r="K1553" s="14" t="str" cm="1">
        <f t="array" ref="K1553">_xlfn.LET(
    _xlpm.sum_month, SUM(T1553:AE1553),
    IF(_xlpm.sum_month = 0, "", _xlpm.sum_month &amp; " pessoas impactadas no ano.")
)</f>
        <v/>
      </c>
      <c r="L1553" s="9" t="s">
        <v>76</v>
      </c>
      <c r="M1553" s="13">
        <v>1</v>
      </c>
      <c r="N1553" s="5" t="s">
        <v>51</v>
      </c>
      <c r="O1553" s="5" t="s">
        <v>52</v>
      </c>
      <c r="P1553" s="10" t="s">
        <v>44</v>
      </c>
      <c r="Q1553" s="10" t="s">
        <v>44</v>
      </c>
      <c r="R1553" s="11" t="s">
        <v>44</v>
      </c>
      <c r="S1553" s="11" t="s">
        <v>44</v>
      </c>
      <c r="T1553" s="22"/>
      <c r="U1553" s="22"/>
      <c r="V1553" s="22"/>
      <c r="W1553" s="22"/>
      <c r="X1553" s="22"/>
      <c r="Y1553" s="22"/>
      <c r="Z1553" s="22"/>
      <c r="AA1553" s="22"/>
      <c r="AB1553" s="22"/>
      <c r="AC1553" s="22"/>
      <c r="AD1553" s="22"/>
      <c r="AE1553" s="22"/>
      <c r="AG1553" s="82">
        <v>20</v>
      </c>
      <c r="AH1553" s="82">
        <v>30</v>
      </c>
      <c r="AI1553" s="82">
        <v>60</v>
      </c>
      <c r="AJ1553" s="146">
        <v>50</v>
      </c>
      <c r="AK1553" s="71"/>
      <c r="AL1553" s="71"/>
      <c r="AM1553" s="71"/>
      <c r="AN1553" s="71"/>
      <c r="AO1553" s="71"/>
      <c r="AP1553" s="71"/>
      <c r="AQ1553" s="71"/>
      <c r="AR1553" s="71"/>
      <c r="AS1553" s="94">
        <f t="shared" ca="1" si="1799"/>
        <v>0</v>
      </c>
      <c r="AT1553" s="95">
        <f t="shared" si="1800"/>
        <v>160</v>
      </c>
      <c r="AU1553" s="97">
        <f t="shared" si="1801"/>
        <v>160</v>
      </c>
      <c r="AW1553" s="83">
        <f t="shared" si="1802"/>
        <v>20</v>
      </c>
      <c r="AX1553" s="83">
        <f t="shared" si="1803"/>
        <v>30</v>
      </c>
      <c r="AY1553" s="83">
        <f t="shared" si="1804"/>
        <v>60</v>
      </c>
      <c r="AZ1553" s="83">
        <f t="shared" si="1805"/>
        <v>50</v>
      </c>
      <c r="BA1553" s="52"/>
      <c r="BB1553" s="52"/>
      <c r="BC1553" s="52"/>
      <c r="BD1553" s="52"/>
      <c r="BE1553" s="52"/>
      <c r="BF1553" s="52"/>
      <c r="BG1553" s="52"/>
      <c r="BH1553" s="52"/>
      <c r="BI1553" s="68" cm="1">
        <f t="array" ref="BI1553">IFERROR(INDEX(AW1553:BH1553,1,MATCH(2,1/(AW1553:BH1553&lt;&gt;""))),"")</f>
        <v>50</v>
      </c>
      <c r="BJ1553" s="68" cm="1">
        <f t="array" ref="BJ1553">IF(BM1553 = "", "",IFERROR(INDEX(AW1553:BH1553,1,MATCH(2,1/(AW1553:BH1553&lt;&gt;""),1)-1),""))</f>
        <v>60</v>
      </c>
      <c r="BK1553" s="59">
        <f t="shared" si="1806"/>
        <v>160</v>
      </c>
      <c r="BL1553" s="59" cm="1">
        <f t="array" ref="BL1553">IFERROR(SUM(AW1553:INDEX(AW1553:BH1553, MATCH(2, 1/(AW1553:BH1553&lt;&gt;""), 1) - 1))/_xlfn.XLOOKUP(F1553,Apuração!A:A,Apuração!B:B),0)</f>
        <v>9.1666666666666661</v>
      </c>
      <c r="BM1553" s="55" cm="1">
        <f t="array" ref="BM1553">IFERROR(
   INDEX($AW$1:$BH$1,
      _xlfn.AGGREGATE(14, 6, COLUMN($AW$1:$BH$1)/(AW1553:BH1553&lt;&gt;""), 2) - COLUMN($AW$1) + 1
   ),
"")</f>
        <v>46082</v>
      </c>
      <c r="BN1553" s="55" cm="1">
        <f t="array" ref="BN1553">IFERROR(INDEX($AW$1:$BH$1,1,MATCH(2,1/(AW1553:BH1553&lt;&gt;""))),"")</f>
        <v>46113</v>
      </c>
      <c r="BO1553" s="53">
        <f ca="1">IFERROR(_xlfn.XLOOKUP(F1553,Apuração!A:A,Apuração!C:C)/_xlfn.XLOOKUP(F1553,Apuração!A:A,Apuração!B:B),0)</f>
        <v>0.41666666666666669</v>
      </c>
      <c r="BP1553" s="53">
        <f ca="1">IFERROR(_xlfn.XLOOKUP(F1553,Apuração!A:A,Apuração!D:D)/_xlfn.XLOOKUP(F1553,Apuração!A:A,Apuração!B:B),0)</f>
        <v>0.33333333333333331</v>
      </c>
      <c r="BQ1553" s="53">
        <f ca="1">IF(BK1553&gt;=BO1553,0,_xlfn.XLOOKUP(F1553,Apuração!A:A,Apuração!B:B)*(BO1553 + (1/_xlfn.XLOOKUP(F1553,Apuração!A:A,Apuração!B:B)) - BK1553))</f>
        <v>0</v>
      </c>
      <c r="BR1553" s="85">
        <f t="shared" ca="1" si="1807"/>
        <v>0</v>
      </c>
      <c r="BS1553" s="53">
        <f ca="1">IFERROR((_xlfn.XLOOKUP(F1553,Apuração!A:A,Apuração!C:C)+1)/_xlfn.XLOOKUP(F1553,Apuração!A:A,Apuração!B:B),0)</f>
        <v>0.5</v>
      </c>
    </row>
    <row r="1554" spans="1:71" ht="25.95" hidden="1" customHeight="1" x14ac:dyDescent="0.3">
      <c r="A1554" s="39" t="s">
        <v>33</v>
      </c>
      <c r="B1554" s="4" t="s">
        <v>73</v>
      </c>
      <c r="C1554" s="5" t="s">
        <v>214</v>
      </c>
      <c r="D1554" s="5" t="s">
        <v>212</v>
      </c>
      <c r="E1554" s="4" t="str" cm="1">
        <f t="array" ref="E1554">_xlfn.IFS(
F1554 = "A partir de Abril", "Aguardando Execução na Distribuidora",
A1554 = "CAPACITAÇÃO", "Em execução no Corporativo",
TRUE, "Em Execução na Distribuidora"
)</f>
        <v>Em Execução na Distribuidora</v>
      </c>
      <c r="F1554" s="4" t="str" cm="1">
        <f t="array" ref="F1554">_xlfn.IFS(
AG1554 &lt;&gt; "", "Jan-Dez/26",
AH1554 &lt;&gt; "", "Fev-Dez/26",
AI1554 &lt;&gt; "", "Mar-Dez/26", AJ1554 &lt;&gt; "", "Abr-Dez/26",
TRUE, "A partir de Junho"
)</f>
        <v>Jan-Dez/26</v>
      </c>
      <c r="G1554" s="4" t="s">
        <v>37</v>
      </c>
      <c r="H1554" s="7" t="s">
        <v>110</v>
      </c>
      <c r="I1554" s="9" t="s">
        <v>76</v>
      </c>
      <c r="J1554" s="8" t="str" cm="1">
        <f t="array" aca="1" ref="J1554" ca="1">_xlfn.LET(
  _xlpm.actual_value_month, INDEX(T1554:AE1554, MATCH(DATE(YEAR(TODAY()), MONTH(TODAY()), 1), $T$1:$AE$1, 0)),
  IF(_xlpm.actual_value_month &lt;&gt; "",_xlpm.actual_value_month &amp; " ações mensais", "")
)</f>
        <v/>
      </c>
      <c r="K1554" s="14" t="str" cm="1">
        <f t="array" ref="K1554">_xlfn.LET(
    _xlpm.sum_month, SUM(T1554:AE1554),
    IF(_xlpm.sum_month = 0, "", _xlpm.sum_month &amp; " pessoas impactadas no ano.")
)</f>
        <v/>
      </c>
      <c r="L1554" s="9" t="s">
        <v>76</v>
      </c>
      <c r="M1554" s="13">
        <v>1</v>
      </c>
      <c r="N1554" s="5" t="s">
        <v>51</v>
      </c>
      <c r="O1554" s="5" t="s">
        <v>52</v>
      </c>
      <c r="P1554" s="10" t="s">
        <v>44</v>
      </c>
      <c r="Q1554" s="10" t="s">
        <v>44</v>
      </c>
      <c r="R1554" s="11" t="s">
        <v>44</v>
      </c>
      <c r="S1554" s="11" t="s">
        <v>44</v>
      </c>
      <c r="T1554" s="22"/>
      <c r="U1554" s="22"/>
      <c r="V1554" s="22"/>
      <c r="W1554" s="22"/>
      <c r="X1554" s="22"/>
      <c r="Y1554" s="22"/>
      <c r="Z1554" s="22"/>
      <c r="AA1554" s="22"/>
      <c r="AB1554" s="22"/>
      <c r="AC1554" s="22"/>
      <c r="AD1554" s="22"/>
      <c r="AE1554" s="22"/>
      <c r="AG1554" s="82">
        <v>20</v>
      </c>
      <c r="AH1554" s="82">
        <v>30</v>
      </c>
      <c r="AI1554" s="82">
        <v>60</v>
      </c>
      <c r="AJ1554" s="148">
        <v>2800</v>
      </c>
      <c r="AK1554" s="71"/>
      <c r="AL1554" s="71"/>
      <c r="AM1554" s="71"/>
      <c r="AN1554" s="71"/>
      <c r="AO1554" s="71"/>
      <c r="AP1554" s="71"/>
      <c r="AQ1554" s="71"/>
      <c r="AR1554" s="71"/>
      <c r="AS1554" s="94">
        <f t="shared" ca="1" si="1799"/>
        <v>0</v>
      </c>
      <c r="AT1554" s="95">
        <f t="shared" si="1800"/>
        <v>2910</v>
      </c>
      <c r="AU1554" s="97">
        <f t="shared" si="1801"/>
        <v>2910</v>
      </c>
      <c r="AW1554" s="83">
        <f t="shared" si="1802"/>
        <v>20</v>
      </c>
      <c r="AX1554" s="83">
        <f t="shared" si="1803"/>
        <v>30</v>
      </c>
      <c r="AY1554" s="83">
        <f t="shared" si="1804"/>
        <v>60</v>
      </c>
      <c r="AZ1554" s="83">
        <f t="shared" si="1805"/>
        <v>2800</v>
      </c>
      <c r="BA1554" s="52"/>
      <c r="BB1554" s="52"/>
      <c r="BC1554" s="52"/>
      <c r="BD1554" s="52"/>
      <c r="BE1554" s="52"/>
      <c r="BF1554" s="52"/>
      <c r="BG1554" s="52"/>
      <c r="BH1554" s="52"/>
      <c r="BI1554" s="68" cm="1">
        <f t="array" ref="BI1554">IFERROR(INDEX(AW1554:BH1554,1,MATCH(2,1/(AW1554:BH1554&lt;&gt;""))),"")</f>
        <v>2800</v>
      </c>
      <c r="BJ1554" s="68" cm="1">
        <f t="array" ref="BJ1554">IF(BM1554 = "", "",IFERROR(INDEX(AW1554:BH1554,1,MATCH(2,1/(AW1554:BH1554&lt;&gt;""),1)-1),""))</f>
        <v>60</v>
      </c>
      <c r="BK1554" s="59">
        <f t="shared" si="1806"/>
        <v>2910</v>
      </c>
      <c r="BL1554" s="59" cm="1">
        <f t="array" ref="BL1554">IFERROR(SUM(AW1554:INDEX(AW1554:BH1554, MATCH(2, 1/(AW1554:BH1554&lt;&gt;""), 1) - 1))/_xlfn.XLOOKUP(F1554,Apuração!A:A,Apuração!B:B),0)</f>
        <v>9.1666666666666661</v>
      </c>
      <c r="BM1554" s="55" cm="1">
        <f t="array" ref="BM1554">IFERROR(
   INDEX($AW$1:$BH$1,
      _xlfn.AGGREGATE(14, 6, COLUMN($AW$1:$BH$1)/(AW1554:BH1554&lt;&gt;""), 2) - COLUMN($AW$1) + 1
   ),
"")</f>
        <v>46082</v>
      </c>
      <c r="BN1554" s="55" cm="1">
        <f t="array" ref="BN1554">IFERROR(INDEX($AW$1:$BH$1,1,MATCH(2,1/(AW1554:BH1554&lt;&gt;""))),"")</f>
        <v>46113</v>
      </c>
      <c r="BO1554" s="53">
        <f ca="1">IFERROR(_xlfn.XLOOKUP(F1554,Apuração!A:A,Apuração!C:C)/_xlfn.XLOOKUP(F1554,Apuração!A:A,Apuração!B:B),0)</f>
        <v>0.41666666666666669</v>
      </c>
      <c r="BP1554" s="53">
        <f ca="1">IFERROR(_xlfn.XLOOKUP(F1554,Apuração!A:A,Apuração!D:D)/_xlfn.XLOOKUP(F1554,Apuração!A:A,Apuração!B:B),0)</f>
        <v>0.33333333333333331</v>
      </c>
      <c r="BQ1554" s="53">
        <f ca="1">IF(BK1554&gt;=BO1554,0,_xlfn.XLOOKUP(F1554,Apuração!A:A,Apuração!B:B)*(BO1554 + (1/_xlfn.XLOOKUP(F1554,Apuração!A:A,Apuração!B:B)) - BK1554))</f>
        <v>0</v>
      </c>
      <c r="BR1554" s="85">
        <f t="shared" ca="1" si="1807"/>
        <v>0</v>
      </c>
      <c r="BS1554" s="53">
        <f ca="1">IFERROR((_xlfn.XLOOKUP(F1554,Apuração!A:A,Apuração!C:C)+1)/_xlfn.XLOOKUP(F1554,Apuração!A:A,Apuração!B:B),0)</f>
        <v>0.5</v>
      </c>
    </row>
    <row r="1555" spans="1:71" ht="25.95" hidden="1" customHeight="1" x14ac:dyDescent="0.3">
      <c r="A1555" s="39" t="s">
        <v>33</v>
      </c>
      <c r="B1555" s="4" t="s">
        <v>73</v>
      </c>
      <c r="C1555" s="5" t="s">
        <v>214</v>
      </c>
      <c r="D1555" s="5" t="s">
        <v>48</v>
      </c>
      <c r="E1555" s="4" t="str" cm="1">
        <f t="array" ref="E1555">_xlfn.IFS(
F1555 = "A partir de Abril", "Aguardando Execução na Distribuidora",
A1555 = "CAPACITAÇÃO", "Em execução no Corporativo",
TRUE, "Em Execução na Distribuidora"
)</f>
        <v>Em Execução na Distribuidora</v>
      </c>
      <c r="F1555" s="4" t="str" cm="1">
        <f t="array" ref="F1555">_xlfn.IFS(
AG1555 &lt;&gt; "", "Jan-Dez/26",
AH1555 &lt;&gt; "", "Fev-Dez/26",
AI1555 &lt;&gt; "", "Mar-Dez/26", AJ1555 &lt;&gt; "", "Abr-Dez/26",
TRUE, "A partir de Junho"
)</f>
        <v>Jan-Dez/26</v>
      </c>
      <c r="G1555" s="4" t="s">
        <v>37</v>
      </c>
      <c r="H1555" s="7" t="s">
        <v>110</v>
      </c>
      <c r="I1555" s="9" t="s">
        <v>76</v>
      </c>
      <c r="J1555" s="8" t="str" cm="1">
        <f t="array" aca="1" ref="J1555" ca="1">_xlfn.LET(
  _xlpm.actual_value_month, INDEX(T1555:AE1555, MATCH(DATE(YEAR(TODAY()), MONTH(TODAY()), 1), $T$1:$AE$1, 0)),
  IF(_xlpm.actual_value_month &lt;&gt; "",_xlpm.actual_value_month &amp; " ações mensais", "")
)</f>
        <v/>
      </c>
      <c r="K1555" s="14" t="str" cm="1">
        <f t="array" ref="K1555">_xlfn.LET(
    _xlpm.sum_month, SUM(T1555:AE1555),
    IF(_xlpm.sum_month = 0, "", _xlpm.sum_month &amp; " pessoas impactadas no ano.")
)</f>
        <v/>
      </c>
      <c r="L1555" s="9" t="s">
        <v>76</v>
      </c>
      <c r="M1555" s="13">
        <v>1</v>
      </c>
      <c r="N1555" s="5" t="s">
        <v>51</v>
      </c>
      <c r="O1555" s="5" t="s">
        <v>52</v>
      </c>
      <c r="P1555" s="10" t="s">
        <v>44</v>
      </c>
      <c r="Q1555" s="10" t="s">
        <v>44</v>
      </c>
      <c r="R1555" s="11" t="s">
        <v>44</v>
      </c>
      <c r="S1555" s="11" t="s">
        <v>44</v>
      </c>
      <c r="T1555" s="22"/>
      <c r="U1555" s="22"/>
      <c r="V1555" s="22"/>
      <c r="W1555" s="22"/>
      <c r="X1555" s="22"/>
      <c r="Y1555" s="22"/>
      <c r="Z1555" s="22"/>
      <c r="AA1555" s="22"/>
      <c r="AB1555" s="22"/>
      <c r="AC1555" s="22"/>
      <c r="AD1555" s="22"/>
      <c r="AE1555" s="22"/>
      <c r="AG1555" s="82">
        <v>20</v>
      </c>
      <c r="AH1555" s="82">
        <v>30</v>
      </c>
      <c r="AI1555" s="82">
        <v>60</v>
      </c>
      <c r="AJ1555" s="146">
        <v>0</v>
      </c>
      <c r="AK1555" s="71"/>
      <c r="AL1555" s="71"/>
      <c r="AM1555" s="71"/>
      <c r="AN1555" s="71"/>
      <c r="AO1555" s="71"/>
      <c r="AP1555" s="71"/>
      <c r="AQ1555" s="71"/>
      <c r="AR1555" s="71"/>
      <c r="AS1555" s="94">
        <f t="shared" ca="1" si="1799"/>
        <v>0</v>
      </c>
      <c r="AT1555" s="95">
        <f t="shared" si="1800"/>
        <v>110</v>
      </c>
      <c r="AU1555" s="97">
        <f t="shared" si="1801"/>
        <v>110</v>
      </c>
      <c r="AW1555" s="83">
        <f t="shared" si="1802"/>
        <v>20</v>
      </c>
      <c r="AX1555" s="83">
        <f t="shared" si="1803"/>
        <v>30</v>
      </c>
      <c r="AY1555" s="83">
        <f t="shared" si="1804"/>
        <v>60</v>
      </c>
      <c r="AZ1555" s="83">
        <f t="shared" si="1805"/>
        <v>0</v>
      </c>
      <c r="BA1555" s="52"/>
      <c r="BB1555" s="52"/>
      <c r="BC1555" s="52"/>
      <c r="BD1555" s="52"/>
      <c r="BE1555" s="52"/>
      <c r="BF1555" s="52"/>
      <c r="BG1555" s="52"/>
      <c r="BH1555" s="52"/>
      <c r="BI1555" s="68" cm="1">
        <f t="array" ref="BI1555">IFERROR(INDEX(AW1555:BH1555,1,MATCH(2,1/(AW1555:BH1555&lt;&gt;""))),"")</f>
        <v>0</v>
      </c>
      <c r="BJ1555" s="68" cm="1">
        <f t="array" ref="BJ1555">IF(BM1555 = "", "",IFERROR(INDEX(AW1555:BH1555,1,MATCH(2,1/(AW1555:BH1555&lt;&gt;""),1)-1),""))</f>
        <v>60</v>
      </c>
      <c r="BK1555" s="59">
        <f t="shared" si="1806"/>
        <v>110</v>
      </c>
      <c r="BL1555" s="59" cm="1">
        <f t="array" ref="BL1555">IFERROR(SUM(AW1555:INDEX(AW1555:BH1555, MATCH(2, 1/(AW1555:BH1555&lt;&gt;""), 1) - 1))/_xlfn.XLOOKUP(F1555,Apuração!A:A,Apuração!B:B),0)</f>
        <v>9.1666666666666661</v>
      </c>
      <c r="BM1555" s="55" cm="1">
        <f t="array" ref="BM1555">IFERROR(
   INDEX($AW$1:$BH$1,
      _xlfn.AGGREGATE(14, 6, COLUMN($AW$1:$BH$1)/(AW1555:BH1555&lt;&gt;""), 2) - COLUMN($AW$1) + 1
   ),
"")</f>
        <v>46082</v>
      </c>
      <c r="BN1555" s="55" cm="1">
        <f t="array" ref="BN1555">IFERROR(INDEX($AW$1:$BH$1,1,MATCH(2,1/(AW1555:BH1555&lt;&gt;""))),"")</f>
        <v>46113</v>
      </c>
      <c r="BO1555" s="53">
        <f ca="1">IFERROR(_xlfn.XLOOKUP(F1555,Apuração!A:A,Apuração!C:C)/_xlfn.XLOOKUP(F1555,Apuração!A:A,Apuração!B:B),0)</f>
        <v>0.41666666666666669</v>
      </c>
      <c r="BP1555" s="53">
        <f ca="1">IFERROR(_xlfn.XLOOKUP(F1555,Apuração!A:A,Apuração!D:D)/_xlfn.XLOOKUP(F1555,Apuração!A:A,Apuração!B:B),0)</f>
        <v>0.33333333333333331</v>
      </c>
      <c r="BQ1555" s="53">
        <f ca="1">IF(BK1555&gt;=BO1555,0,_xlfn.XLOOKUP(F1555,Apuração!A:A,Apuração!B:B)*(BO1555 + (1/_xlfn.XLOOKUP(F1555,Apuração!A:A,Apuração!B:B)) - BK1555))</f>
        <v>0</v>
      </c>
      <c r="BR1555" s="85">
        <f t="shared" ca="1" si="1807"/>
        <v>0</v>
      </c>
      <c r="BS1555" s="53">
        <f ca="1">IFERROR((_xlfn.XLOOKUP(F1555,Apuração!A:A,Apuração!C:C)+1)/_xlfn.XLOOKUP(F1555,Apuração!A:A,Apuração!B:B),0)</f>
        <v>0.5</v>
      </c>
    </row>
    <row r="1556" spans="1:71" ht="25.95" hidden="1" customHeight="1" x14ac:dyDescent="0.3">
      <c r="A1556" s="39" t="s">
        <v>33</v>
      </c>
      <c r="B1556" s="4" t="s">
        <v>73</v>
      </c>
      <c r="C1556" s="5" t="s">
        <v>214</v>
      </c>
      <c r="D1556" s="5" t="s">
        <v>213</v>
      </c>
      <c r="E1556" s="4" t="str" cm="1">
        <f t="array" ref="E1556">_xlfn.IFS(
F1556 = "A partir de Abril", "Aguardando Execução na Distribuidora",
A1556 = "CAPACITAÇÃO", "Em execução no Corporativo",
TRUE, "Em Execução na Distribuidora"
)</f>
        <v>Em Execução na Distribuidora</v>
      </c>
      <c r="F1556" s="4" t="str" cm="1">
        <f t="array" ref="F1556">_xlfn.IFS(
AG1556 &lt;&gt; "", "Jan-Dez/26",
AH1556 &lt;&gt; "", "Fev-Dez/26",
AI1556 &lt;&gt; "", "Mar-Dez/26", AJ1556 &lt;&gt; "", "Abr-Dez/26",
TRUE, "A partir de Junho"
)</f>
        <v>Jan-Dez/26</v>
      </c>
      <c r="G1556" s="4" t="s">
        <v>37</v>
      </c>
      <c r="H1556" s="7" t="s">
        <v>110</v>
      </c>
      <c r="I1556" s="9" t="s">
        <v>76</v>
      </c>
      <c r="J1556" s="8" t="str" cm="1">
        <f t="array" aca="1" ref="J1556" ca="1">_xlfn.LET(
  _xlpm.actual_value_month, INDEX(T1556:AE1556, MATCH(DATE(YEAR(TODAY()), MONTH(TODAY()), 1), $T$1:$AE$1, 0)),
  IF(_xlpm.actual_value_month &lt;&gt; "",_xlpm.actual_value_month &amp; " ações mensais", "")
)</f>
        <v/>
      </c>
      <c r="K1556" s="14" t="str" cm="1">
        <f t="array" ref="K1556">_xlfn.LET(
    _xlpm.sum_month, SUM(T1556:AE1556),
    IF(_xlpm.sum_month = 0, "", _xlpm.sum_month &amp; " pessoas impactadas no ano.")
)</f>
        <v/>
      </c>
      <c r="L1556" s="9" t="s">
        <v>76</v>
      </c>
      <c r="M1556" s="13">
        <v>1</v>
      </c>
      <c r="N1556" s="5" t="s">
        <v>51</v>
      </c>
      <c r="O1556" s="5" t="s">
        <v>52</v>
      </c>
      <c r="P1556" s="10" t="s">
        <v>44</v>
      </c>
      <c r="Q1556" s="10" t="s">
        <v>44</v>
      </c>
      <c r="R1556" s="11" t="s">
        <v>44</v>
      </c>
      <c r="S1556" s="11" t="s">
        <v>44</v>
      </c>
      <c r="T1556" s="22"/>
      <c r="U1556" s="22"/>
      <c r="V1556" s="22"/>
      <c r="W1556" s="22"/>
      <c r="X1556" s="22"/>
      <c r="Y1556" s="22"/>
      <c r="Z1556" s="22"/>
      <c r="AA1556" s="22"/>
      <c r="AB1556" s="22"/>
      <c r="AC1556" s="22"/>
      <c r="AD1556" s="22"/>
      <c r="AE1556" s="22"/>
      <c r="AG1556" s="82">
        <v>20</v>
      </c>
      <c r="AH1556" s="82">
        <v>30</v>
      </c>
      <c r="AI1556" s="82">
        <v>60</v>
      </c>
      <c r="AJ1556" s="146">
        <v>60</v>
      </c>
      <c r="AK1556" s="71"/>
      <c r="AL1556" s="71"/>
      <c r="AM1556" s="71"/>
      <c r="AN1556" s="71"/>
      <c r="AO1556" s="71"/>
      <c r="AP1556" s="71"/>
      <c r="AQ1556" s="71"/>
      <c r="AR1556" s="71"/>
      <c r="AS1556" s="94">
        <f t="shared" ca="1" si="1799"/>
        <v>0</v>
      </c>
      <c r="AT1556" s="95">
        <f t="shared" si="1800"/>
        <v>170</v>
      </c>
      <c r="AU1556" s="97">
        <f t="shared" si="1801"/>
        <v>170</v>
      </c>
      <c r="AW1556" s="83">
        <f t="shared" si="1802"/>
        <v>20</v>
      </c>
      <c r="AX1556" s="83">
        <f t="shared" si="1803"/>
        <v>30</v>
      </c>
      <c r="AY1556" s="83">
        <f t="shared" si="1804"/>
        <v>60</v>
      </c>
      <c r="AZ1556" s="83">
        <f t="shared" si="1805"/>
        <v>60</v>
      </c>
      <c r="BA1556" s="52"/>
      <c r="BB1556" s="52"/>
      <c r="BC1556" s="52"/>
      <c r="BD1556" s="52"/>
      <c r="BE1556" s="52"/>
      <c r="BF1556" s="52"/>
      <c r="BG1556" s="52"/>
      <c r="BH1556" s="52"/>
      <c r="BI1556" s="68" cm="1">
        <f t="array" ref="BI1556">IFERROR(INDEX(AW1556:BH1556,1,MATCH(2,1/(AW1556:BH1556&lt;&gt;""))),"")</f>
        <v>60</v>
      </c>
      <c r="BJ1556" s="68" cm="1">
        <f t="array" ref="BJ1556">IF(BM1556 = "", "",IFERROR(INDEX(AW1556:BH1556,1,MATCH(2,1/(AW1556:BH1556&lt;&gt;""),1)-1),""))</f>
        <v>60</v>
      </c>
      <c r="BK1556" s="59">
        <f t="shared" si="1806"/>
        <v>170</v>
      </c>
      <c r="BL1556" s="59" cm="1">
        <f t="array" ref="BL1556">IFERROR(SUM(AW1556:INDEX(AW1556:BH1556, MATCH(2, 1/(AW1556:BH1556&lt;&gt;""), 1) - 1))/_xlfn.XLOOKUP(F1556,Apuração!A:A,Apuração!B:B),0)</f>
        <v>9.1666666666666661</v>
      </c>
      <c r="BM1556" s="55" cm="1">
        <f t="array" ref="BM1556">IFERROR(
   INDEX($AW$1:$BH$1,
      _xlfn.AGGREGATE(14, 6, COLUMN($AW$1:$BH$1)/(AW1556:BH1556&lt;&gt;""), 2) - COLUMN($AW$1) + 1
   ),
"")</f>
        <v>46082</v>
      </c>
      <c r="BN1556" s="55" cm="1">
        <f t="array" ref="BN1556">IFERROR(INDEX($AW$1:$BH$1,1,MATCH(2,1/(AW1556:BH1556&lt;&gt;""))),"")</f>
        <v>46113</v>
      </c>
      <c r="BO1556" s="53">
        <f ca="1">IFERROR(_xlfn.XLOOKUP(F1556,Apuração!A:A,Apuração!C:C)/_xlfn.XLOOKUP(F1556,Apuração!A:A,Apuração!B:B),0)</f>
        <v>0.41666666666666669</v>
      </c>
      <c r="BP1556" s="53">
        <f ca="1">IFERROR(_xlfn.XLOOKUP(F1556,Apuração!A:A,Apuração!D:D)/_xlfn.XLOOKUP(F1556,Apuração!A:A,Apuração!B:B),0)</f>
        <v>0.33333333333333331</v>
      </c>
      <c r="BQ1556" s="53">
        <f ca="1">IF(BK1556&gt;=BO1556,0,_xlfn.XLOOKUP(F1556,Apuração!A:A,Apuração!B:B)*(BO1556 + (1/_xlfn.XLOOKUP(F1556,Apuração!A:A,Apuração!B:B)) - BK1556))</f>
        <v>0</v>
      </c>
      <c r="BR1556" s="85">
        <f t="shared" ca="1" si="1807"/>
        <v>0</v>
      </c>
      <c r="BS1556" s="53">
        <f ca="1">IFERROR((_xlfn.XLOOKUP(F1556,Apuração!A:A,Apuração!C:C)+1)/_xlfn.XLOOKUP(F1556,Apuração!A:A,Apuração!B:B),0)</f>
        <v>0.5</v>
      </c>
    </row>
    <row r="1557" spans="1:71" ht="25.95" hidden="1" customHeight="1" x14ac:dyDescent="0.3">
      <c r="A1557" s="3" t="s">
        <v>33</v>
      </c>
      <c r="B1557" s="4" t="s">
        <v>77</v>
      </c>
      <c r="C1557" s="5" t="s">
        <v>214</v>
      </c>
      <c r="D1557" s="5" t="s">
        <v>36</v>
      </c>
      <c r="E1557" s="4" t="str" cm="1">
        <f t="array" ref="E1557">_xlfn.IFS(
F1557 = "A partir de Abril", "Aguardando Execução na Distribuidora",
A1557 = "CAPACITAÇÃO", "Em execução no Corporativo",
TRUE, "Em Execução na Distribuidora"
)</f>
        <v>Em Execução na Distribuidora</v>
      </c>
      <c r="F1557" s="4" t="str" cm="1">
        <f t="array" ref="F1557">_xlfn.IFS(
AG1557 &lt;&gt; "", "Jan-Dez/26",
AH1557 &lt;&gt; "", "Fev-Dez/26",
AI1557 &lt;&gt; "", "Mar-Dez/26", AJ1557 &lt;&gt; "", "Abr-Dez/26",
TRUE, "A partir de Junho"
)</f>
        <v>Jan-Dez/26</v>
      </c>
      <c r="G1557" s="4" t="s">
        <v>37</v>
      </c>
      <c r="H1557" s="7" t="s">
        <v>110</v>
      </c>
      <c r="I1557" s="8" t="s">
        <v>78</v>
      </c>
      <c r="J1557" s="8" t="str" cm="1">
        <f t="array" aca="1" ref="J1557" ca="1">_xlfn.LET(
  _xlpm.actual_value_month, INDEX(T1557:AE1557, MATCH(DATE(YEAR(TODAY()), MONTH(TODAY()), 1), $T$1:$AE$1, 0)),
  IF(_xlpm.actual_value_month &lt;&gt; "",_xlpm.actual_value_month &amp; " eventos mensais", "")
)</f>
        <v>20 eventos mensais</v>
      </c>
      <c r="K1557" s="8" t="str" cm="1">
        <f t="array" ref="K1557">_xlfn.LET(
    _xlpm.sum_month, SUM(T1557:AE1557),
    IF(_xlpm.sum_month = 0, "", _xlpm.sum_month &amp; " eventos no ano.")
)</f>
        <v>1880 eventos no ano.</v>
      </c>
      <c r="L1557" s="9" t="s">
        <v>56</v>
      </c>
      <c r="M1557" s="13" t="s">
        <v>79</v>
      </c>
      <c r="N1557" s="5" t="s">
        <v>42</v>
      </c>
      <c r="O1557" s="5" t="s">
        <v>43</v>
      </c>
      <c r="P1557" s="10" t="s">
        <v>44</v>
      </c>
      <c r="Q1557" s="10" t="s">
        <v>44</v>
      </c>
      <c r="R1557" s="11" t="s">
        <v>44</v>
      </c>
      <c r="S1557" s="11" t="s">
        <v>44</v>
      </c>
      <c r="T1557" s="22">
        <v>335</v>
      </c>
      <c r="U1557" s="22">
        <v>475</v>
      </c>
      <c r="V1557" s="22">
        <v>890</v>
      </c>
      <c r="W1557" s="22">
        <v>20</v>
      </c>
      <c r="X1557" s="22">
        <v>20</v>
      </c>
      <c r="Y1557" s="22">
        <v>20</v>
      </c>
      <c r="Z1557" s="22">
        <v>20</v>
      </c>
      <c r="AA1557" s="22">
        <v>20</v>
      </c>
      <c r="AB1557" s="22">
        <v>20</v>
      </c>
      <c r="AC1557" s="22">
        <v>20</v>
      </c>
      <c r="AD1557" s="22">
        <v>20</v>
      </c>
      <c r="AE1557" s="22">
        <v>20</v>
      </c>
      <c r="AG1557" s="71">
        <v>335</v>
      </c>
      <c r="AH1557" s="71">
        <v>475</v>
      </c>
      <c r="AI1557" s="71">
        <v>890</v>
      </c>
      <c r="AJ1557" s="71">
        <v>450</v>
      </c>
      <c r="AK1557" s="71"/>
      <c r="AL1557" s="71"/>
      <c r="AM1557" s="71"/>
      <c r="AN1557" s="71"/>
      <c r="AO1557" s="71"/>
      <c r="AP1557" s="71"/>
      <c r="AQ1557" s="71"/>
      <c r="AR1557" s="71"/>
      <c r="AS1557" s="94">
        <f ca="1">IF(MONTH(TODAY())=3,SUM(T1557:U1557),IF(MONTH(TODAY())=4,SUM(T1557:V1557),IF(MONTH(TODAY())=5,SUM(T1557:W1557),IF(MONTH(TODAY())=6,SUM(T1557:X1557),IF(MONTH(TODAY())=7,SUM(T1557:Y1557),IF(MONTH(TODAY())=8,SUM(T1557:Z1557),IF(MONTH(TODAY())=9,SUM(T1557:AA1557),IF(MONTH(TODAY())=10,SUM(T1557:AB1557),IF(MONTH(TODAY())=11,SUM(T1557:AC1557),IF(MONTH(TODAY())=12,SUM(T1557:AD1557),IF(MONTH(TODAY())=1,SUM(T1557:AE1557),T1557)))))))))))</f>
        <v>1740</v>
      </c>
      <c r="AT1557" s="95">
        <f>SUM(IF(AW1557&lt;1.15,AG1557,1.15*T1557),IF(AX1557&lt;1.15,AH1557,1.15*U1557),IF(AY1557&lt;1.15,AI1557,1.15*V1557),IF(AZ1557&lt;1.15,AJ1557,1.15*W1557),IF(BA1557&lt;1.15,AK1557,1.15*X1557),IF(BB1557&lt;1.15,AL1557,1.15*Y1557),IF(BC1557&lt;1.15,AM1557,1.15*Z1557),IF(BD1557&lt;1.15,AN1557,1.15*AA1557),IF(BE1557&lt;1.15,AO1557,1.15*AB1557),IF(BF1557&lt;1.15,AP1557,1.15*AC1557),IF(BG1557&lt;1.15,AQ1557,1.15*AD1557),IF(BH1557&lt;1.15,AR1557,1.15*AE1557))</f>
        <v>1723</v>
      </c>
      <c r="AU1557" s="97">
        <f>SUM(AG1557:AR1557)</f>
        <v>2150</v>
      </c>
      <c r="AW1557" s="51">
        <f>IFERROR(IF(AG1557="",0,AG1557/T1557),0)</f>
        <v>1</v>
      </c>
      <c r="AX1557" s="51">
        <f>IFERROR(IF(AH1557="",0,AH1557/U1557),0)</f>
        <v>1</v>
      </c>
      <c r="AY1557" s="51">
        <f>IFERROR(IF(AI1557="",0,AI1557/V1557),0)</f>
        <v>1</v>
      </c>
      <c r="AZ1557" s="51">
        <f>IFERROR(IF(AJ1557="",0,AJ1557/W1557),0)</f>
        <v>22.5</v>
      </c>
      <c r="BA1557" s="51"/>
      <c r="BB1557" s="51"/>
      <c r="BC1557" s="51"/>
      <c r="BD1557" s="51"/>
      <c r="BE1557" s="51"/>
      <c r="BF1557" s="51"/>
      <c r="BG1557" s="51"/>
      <c r="BH1557" s="51"/>
      <c r="BI1557" s="65" cm="1">
        <f t="array" ref="BI1557">IFERROR(INDEX(AW1557:BH1557,1,MATCH(2,1/(AW1557:BH1557&lt;&gt;""))),"")</f>
        <v>22.5</v>
      </c>
      <c r="BJ1557" s="68" cm="1">
        <f t="array" ref="BJ1557">IF(BM1557 = "", "",IFERROR(INDEX(AW1557:BH1557,1,MATCH(2,1/(AW1557:BH1557&lt;&gt;""),1)-1),""))</f>
        <v>1</v>
      </c>
      <c r="BK1557" s="58">
        <f>IF((IF(AW1557&gt;=115%,115%,AW1557) + IF(AX1557&gt;=115%,115%,AX1557) + IF(AY1557&gt;=115%,115%,AY1557) + (IF(AZ1557&gt;=115%,115%,AZ1557) + IF(BA1557&gt;=115%,115%,BA1557) + IF(BB1557&gt;=115%,115%,BB1557) + IF(BC1557&gt;=115%,115%,BC1557) + IF(BD1557&gt;=115%,115%,BD1557) + IF(BE1557&gt;=115%,115%,BE1557) + IF(BF1557&gt;=115%,115%,BF1557) + IF(BG1557&gt;=115%,115%,BG1557) + IF(BH1557&gt;=151%,151%,BH1557)))/_xlfn.XLOOKUP(F1557,Apuração!A:A,Apuração!B:B)&gt;=1.15,1.15,((IF(AZ1557&gt;=115%,115%,AZ1557) + IF(AX1557&gt;=115%,115%,AX1557) + IF(AY1557&gt;=115%,115%,AY1557) + (IF(AW1557&gt;=115%,115%,AW1557) + IF(BA1557&gt;=115%,115%,BA1557) + IF(BB1557&gt;=115%,115%,BB1557) + IF(BC1557&gt;=115%,115%,BC1557) + IF(BD1557&gt;=115%,115%,BD1557) + IF(BE1557&gt;=115%,115%,BE1557) + IF(BF1557&gt;=115%,115%,BF1557) + IF(BG1557&gt;=115%,115%,BG1557) + IF(BH1557&gt;=151%,151%,BH1557)))/_xlfn.XLOOKUP(F1557,Apuração!A:A,Apuração!B:B)))</f>
        <v>0.34583333333333338</v>
      </c>
      <c r="BL1557" s="58" cm="1">
        <f t="array" aca="1" ref="BL1557" ca="1">IF(SUM(IFERROR(IF(INDEX(AW1557:INDEX(AW1557:BH1557, MATCH(2, 1/(AW1557:BH1557&lt;&gt;""), 1)-1), ROW(INDIRECT("1:" &amp; MATCH(2, 1/(AW1557:BH1557&lt;&gt;""), 1)-1))) &gt;= 115%, 115%, INDEX(AW1557:INDEX(AW1557:BH1557, MATCH(2, 1/(AW1557:BH1557&lt;&gt;""), 1)-1), ROW(INDIRECT("1:" &amp; MATCH(2, 1/(AW1557:BH1557&lt;&gt;""), 1)-1)))), 0))/_xlfn.XLOOKUP(F1557,Apuração!A:A,Apuração!B:B)&gt;=1.15,1.15,SUM(IFERROR(IF(INDEX(AW1557:INDEX(AW1557:BH1557, MATCH(2, 1/(AW1557:BH1557&lt;&gt;""), 1)-1), ROW(INDIRECT("1:" &amp; MATCH(2, 1/(AW1557:BH1557&lt;&gt;""), 1)-1))) &gt;= 115%, 115%, INDEX(AW1557:INDEX(AW1557:BH1557, MATCH(2, 1/(AW1557:BH1557&lt;&gt;""), 1)-1), ROW(INDIRECT("1:" &amp; MATCH(2, 1/(AW1557:BH1557&lt;&gt;""), 1)-1)))), 0))/_xlfn.XLOOKUP(F1557,Apuração!A:A,Apuração!B:B))</f>
        <v>0.25</v>
      </c>
      <c r="BM1557" s="55" cm="1">
        <f t="array" ref="BM1557">IFERROR(
   INDEX($AW$1:$BH$1,
      _xlfn.AGGREGATE(14, 6, COLUMN($AW$1:$BH$1)/(AW1557:BH1557&lt;&gt;""), 2) - COLUMN($AW$1) + 1
   ),
"")</f>
        <v>46082</v>
      </c>
      <c r="BN1557" s="55" cm="1">
        <f t="array" ref="BN1557">IFERROR(INDEX($AW$1:$BH$1,1,MATCH(2,1/(AW1557:BH1557&lt;&gt;""))),"")</f>
        <v>46113</v>
      </c>
      <c r="BO1557" s="53">
        <f ca="1">IFERROR(_xlfn.XLOOKUP(F1557,Apuração!A:A,Apuração!C:C)/_xlfn.XLOOKUP(F1557,Apuração!A:A,Apuração!B:B),0)</f>
        <v>0.41666666666666669</v>
      </c>
      <c r="BP1557" s="53">
        <f ca="1">IFERROR(_xlfn.XLOOKUP(F1557,Apuração!A:A,Apuração!D:D)/_xlfn.XLOOKUP(F1557,Apuração!A:A,Apuração!B:B),0)</f>
        <v>0.33333333333333331</v>
      </c>
      <c r="BQ1557" s="53">
        <f ca="1">IF(BK1557&gt;=BO1557,0,_xlfn.XLOOKUP(F1557,Apuração!A:A,Apuração!B:B)*(BO1557 + (1/_xlfn.XLOOKUP(F1557,Apuração!A:A,Apuração!B:B)) - BK1557))</f>
        <v>1.8499999999999994</v>
      </c>
      <c r="BR1557" s="85">
        <f ca="1">IF(BQ1557=0,0,BQ1557*Z1557)</f>
        <v>36.999999999999986</v>
      </c>
      <c r="BS1557" s="53">
        <f ca="1">IFERROR((_xlfn.XLOOKUP(F1557,Apuração!A:A,Apuração!C:C)+1)/_xlfn.XLOOKUP(F1557,Apuração!A:A,Apuração!B:B),0)</f>
        <v>0.5</v>
      </c>
    </row>
    <row r="1558" spans="1:71" ht="25.95" hidden="1" customHeight="1" x14ac:dyDescent="0.3">
      <c r="A1558" s="3" t="s">
        <v>33</v>
      </c>
      <c r="B1558" s="4" t="s">
        <v>77</v>
      </c>
      <c r="C1558" s="5" t="s">
        <v>214</v>
      </c>
      <c r="D1558" s="5" t="s">
        <v>210</v>
      </c>
      <c r="E1558" s="4" t="str" cm="1">
        <f t="array" ref="E1558">_xlfn.IFS(
F1558 = "A partir de Abril", "Aguardando Execução na Distribuidora",
A1558 = "CAPACITAÇÃO", "Em execução no Corporativo",
TRUE, "Em Execução na Distribuidora"
)</f>
        <v>Em Execução na Distribuidora</v>
      </c>
      <c r="F1558" s="4" t="str" cm="1">
        <f t="array" ref="F1558">_xlfn.IFS(
AG1558 &lt;&gt; "", "Jan-Dez/26",
AH1558 &lt;&gt; "", "Fev-Dez/26",
AI1558 &lt;&gt; "", "Mar-Dez/26", AJ1558 &lt;&gt; "", "Abr-Dez/26",
TRUE, "A partir de Junho"
)</f>
        <v>Jan-Dez/26</v>
      </c>
      <c r="G1558" s="4" t="s">
        <v>37</v>
      </c>
      <c r="H1558" s="7" t="s">
        <v>110</v>
      </c>
      <c r="I1558" s="8" t="s">
        <v>78</v>
      </c>
      <c r="J1558" s="8" t="str" cm="1">
        <f t="array" aca="1" ref="J1558" ca="1">_xlfn.LET(
  _xlpm.actual_value_month, INDEX(T1558:AE1558, MATCH(DATE(YEAR(TODAY()), MONTH(TODAY()), 1), $T$1:$AE$1, 0)),
  IF(_xlpm.actual_value_month &lt;&gt; "",_xlpm.actual_value_month &amp; " eventos mensais", "")
)</f>
        <v>4 eventos mensais</v>
      </c>
      <c r="K1558" s="8" t="str" cm="1">
        <f t="array" ref="K1558">_xlfn.LET(
    _xlpm.sum_month, SUM(T1558:AE1558),
    IF(_xlpm.sum_month = 0, "", _xlpm.sum_month &amp; " eventos no ano.")
)</f>
        <v>376 eventos no ano.</v>
      </c>
      <c r="L1558" s="9" t="s">
        <v>56</v>
      </c>
      <c r="M1558" s="13" t="s">
        <v>79</v>
      </c>
      <c r="N1558" s="5" t="s">
        <v>42</v>
      </c>
      <c r="O1558" s="5" t="s">
        <v>43</v>
      </c>
      <c r="P1558" s="10" t="s">
        <v>44</v>
      </c>
      <c r="Q1558" s="10" t="s">
        <v>44</v>
      </c>
      <c r="R1558" s="11" t="s">
        <v>44</v>
      </c>
      <c r="S1558" s="11" t="s">
        <v>44</v>
      </c>
      <c r="T1558" s="143">
        <v>67</v>
      </c>
      <c r="U1558" s="143">
        <v>95</v>
      </c>
      <c r="V1558" s="143">
        <v>178</v>
      </c>
      <c r="W1558" s="143">
        <v>4</v>
      </c>
      <c r="X1558" s="143">
        <v>4</v>
      </c>
      <c r="Y1558" s="143">
        <v>4</v>
      </c>
      <c r="Z1558" s="143">
        <v>4</v>
      </c>
      <c r="AA1558" s="143">
        <v>4</v>
      </c>
      <c r="AB1558" s="143">
        <v>4</v>
      </c>
      <c r="AC1558" s="143">
        <v>4</v>
      </c>
      <c r="AD1558" s="143">
        <v>4</v>
      </c>
      <c r="AE1558" s="143">
        <v>4</v>
      </c>
      <c r="AG1558" s="145">
        <v>67</v>
      </c>
      <c r="AH1558" s="149">
        <v>95</v>
      </c>
      <c r="AI1558" s="149">
        <v>178</v>
      </c>
      <c r="AJ1558" s="145">
        <v>90</v>
      </c>
      <c r="AK1558" s="71"/>
      <c r="AL1558" s="71"/>
      <c r="AM1558" s="71"/>
      <c r="AN1558" s="71"/>
      <c r="AO1558" s="71"/>
      <c r="AP1558" s="71"/>
      <c r="AQ1558" s="71"/>
      <c r="AR1558" s="71"/>
      <c r="AS1558" s="94">
        <f t="shared" ref="AS1558:AS1562" ca="1" si="1808">IF(MONTH(TODAY())=3,SUM(T1558:U1558),IF(MONTH(TODAY())=4,SUM(T1558:V1558),IF(MONTH(TODAY())=5,SUM(T1558:W1558),IF(MONTH(TODAY())=6,SUM(T1558:X1558),IF(MONTH(TODAY())=7,SUM(T1558:Y1558),IF(MONTH(TODAY())=8,SUM(T1558:Z1558),IF(MONTH(TODAY())=9,SUM(T1558:AA1558),IF(MONTH(TODAY())=10,SUM(T1558:AB1558),IF(MONTH(TODAY())=11,SUM(T1558:AC1558),IF(MONTH(TODAY())=12,SUM(T1558:AD1558),IF(MONTH(TODAY())=1,SUM(T1558:AE1558),T1558)))))))))))</f>
        <v>348</v>
      </c>
      <c r="AT1558" s="95">
        <f t="shared" ref="AT1558:AT1562" si="1809">SUM(IF(AW1558&lt;1.15,AG1558,1.15*T1558),IF(AX1558&lt;1.15,AH1558,1.15*U1558),IF(AY1558&lt;1.15,AI1558,1.15*V1558),IF(AZ1558&lt;1.15,AJ1558,1.15*W1558),IF(BA1558&lt;1.15,AK1558,1.15*X1558),IF(BB1558&lt;1.15,AL1558,1.15*Y1558),IF(BC1558&lt;1.15,AM1558,1.15*Z1558),IF(BD1558&lt;1.15,AN1558,1.15*AA1558),IF(BE1558&lt;1.15,AO1558,1.15*AB1558),IF(BF1558&lt;1.15,AP1558,1.15*AC1558),IF(BG1558&lt;1.15,AQ1558,1.15*AD1558),IF(BH1558&lt;1.15,AR1558,1.15*AE1558))</f>
        <v>344.6</v>
      </c>
      <c r="AU1558" s="97">
        <f t="shared" ref="AU1558:AU1562" si="1810">SUM(AG1558:AR1558)</f>
        <v>430</v>
      </c>
      <c r="AW1558" s="51">
        <f t="shared" ref="AW1558:AW1562" si="1811">IFERROR(IF(AG1558="",0,AG1558/T1558),0)</f>
        <v>1</v>
      </c>
      <c r="AX1558" s="51">
        <f t="shared" ref="AX1558:AX1562" si="1812">IFERROR(IF(AH1558="",0,AH1558/U1558),0)</f>
        <v>1</v>
      </c>
      <c r="AY1558" s="51">
        <f t="shared" ref="AY1558:AY1562" si="1813">IFERROR(IF(AI1558="",0,AI1558/V1558),0)</f>
        <v>1</v>
      </c>
      <c r="AZ1558" s="51">
        <f t="shared" ref="AZ1558:AZ1562" si="1814">IFERROR(IF(AJ1558="",0,AJ1558/W1558),0)</f>
        <v>22.5</v>
      </c>
      <c r="BA1558" s="51"/>
      <c r="BB1558" s="51"/>
      <c r="BC1558" s="51"/>
      <c r="BD1558" s="51"/>
      <c r="BE1558" s="51"/>
      <c r="BF1558" s="51"/>
      <c r="BG1558" s="51"/>
      <c r="BH1558" s="51"/>
      <c r="BI1558" s="65" cm="1">
        <f t="array" ref="BI1558">IFERROR(INDEX(AW1558:BH1558,1,MATCH(2,1/(AW1558:BH1558&lt;&gt;""))),"")</f>
        <v>22.5</v>
      </c>
      <c r="BJ1558" s="68" cm="1">
        <f t="array" ref="BJ1558">IF(BM1558 = "", "",IFERROR(INDEX(AW1558:BH1558,1,MATCH(2,1/(AW1558:BH1558&lt;&gt;""),1)-1),""))</f>
        <v>1</v>
      </c>
      <c r="BK1558" s="58">
        <f>IF((IF(AW1558&gt;=115%,115%,AW1558) + IF(AX1558&gt;=115%,115%,AX1558) + IF(AY1558&gt;=115%,115%,AY1558) + (IF(AZ1558&gt;=115%,115%,AZ1558) + IF(BA1558&gt;=115%,115%,BA1558) + IF(BB1558&gt;=115%,115%,BB1558) + IF(BC1558&gt;=115%,115%,BC1558) + IF(BD1558&gt;=115%,115%,BD1558) + IF(BE1558&gt;=115%,115%,BE1558) + IF(BF1558&gt;=115%,115%,BF1558) + IF(BG1558&gt;=115%,115%,BG1558) + IF(BH1558&gt;=151%,151%,BH1558)))/_xlfn.XLOOKUP(F1558,Apuração!A:A,Apuração!B:B)&gt;=1.15,1.15,((IF(AZ1558&gt;=115%,115%,AZ1558) + IF(AX1558&gt;=115%,115%,AX1558) + IF(AY1558&gt;=115%,115%,AY1558) + (IF(AW1558&gt;=115%,115%,AW1558) + IF(BA1558&gt;=115%,115%,BA1558) + IF(BB1558&gt;=115%,115%,BB1558) + IF(BC1558&gt;=115%,115%,BC1558) + IF(BD1558&gt;=115%,115%,BD1558) + IF(BE1558&gt;=115%,115%,BE1558) + IF(BF1558&gt;=115%,115%,BF1558) + IF(BG1558&gt;=115%,115%,BG1558) + IF(BH1558&gt;=151%,151%,BH1558)))/_xlfn.XLOOKUP(F1558,Apuração!A:A,Apuração!B:B)))</f>
        <v>0.34583333333333338</v>
      </c>
      <c r="BL1558" s="58" cm="1">
        <f t="array" aca="1" ref="BL1558" ca="1">IF(SUM(IFERROR(IF(INDEX(AW1558:INDEX(AW1558:BH1558, MATCH(2, 1/(AW1558:BH1558&lt;&gt;""), 1)-1), ROW(INDIRECT("1:" &amp; MATCH(2, 1/(AW1558:BH1558&lt;&gt;""), 1)-1))) &gt;= 115%, 115%, INDEX(AW1558:INDEX(AW1558:BH1558, MATCH(2, 1/(AW1558:BH1558&lt;&gt;""), 1)-1), ROW(INDIRECT("1:" &amp; MATCH(2, 1/(AW1558:BH1558&lt;&gt;""), 1)-1)))), 0))/_xlfn.XLOOKUP(F1558,Apuração!A:A,Apuração!B:B)&gt;=1.15,1.15,SUM(IFERROR(IF(INDEX(AW1558:INDEX(AW1558:BH1558, MATCH(2, 1/(AW1558:BH1558&lt;&gt;""), 1)-1), ROW(INDIRECT("1:" &amp; MATCH(2, 1/(AW1558:BH1558&lt;&gt;""), 1)-1))) &gt;= 115%, 115%, INDEX(AW1558:INDEX(AW1558:BH1558, MATCH(2, 1/(AW1558:BH1558&lt;&gt;""), 1)-1), ROW(INDIRECT("1:" &amp; MATCH(2, 1/(AW1558:BH1558&lt;&gt;""), 1)-1)))), 0))/_xlfn.XLOOKUP(F1558,Apuração!A:A,Apuração!B:B))</f>
        <v>0.25</v>
      </c>
      <c r="BM1558" s="55" cm="1">
        <f t="array" ref="BM1558">IFERROR(
   INDEX($AW$1:$BH$1,
      _xlfn.AGGREGATE(14, 6, COLUMN($AW$1:$BH$1)/(AW1558:BH1558&lt;&gt;""), 2) - COLUMN($AW$1) + 1
   ),
"")</f>
        <v>46082</v>
      </c>
      <c r="BN1558" s="55" cm="1">
        <f t="array" ref="BN1558">IFERROR(INDEX($AW$1:$BH$1,1,MATCH(2,1/(AW1558:BH1558&lt;&gt;""))),"")</f>
        <v>46113</v>
      </c>
      <c r="BO1558" s="53">
        <f ca="1">IFERROR(_xlfn.XLOOKUP(F1558,Apuração!A:A,Apuração!C:C)/_xlfn.XLOOKUP(F1558,Apuração!A:A,Apuração!B:B),0)</f>
        <v>0.41666666666666669</v>
      </c>
      <c r="BP1558" s="53">
        <f ca="1">IFERROR(_xlfn.XLOOKUP(F1558,Apuração!A:A,Apuração!D:D)/_xlfn.XLOOKUP(F1558,Apuração!A:A,Apuração!B:B),0)</f>
        <v>0.33333333333333331</v>
      </c>
      <c r="BQ1558" s="53">
        <f ca="1">IF(BK1558&gt;=BO1558,0,_xlfn.XLOOKUP(F1558,Apuração!A:A,Apuração!B:B)*(BO1558 + (1/_xlfn.XLOOKUP(F1558,Apuração!A:A,Apuração!B:B)) - BK1558))</f>
        <v>1.8499999999999994</v>
      </c>
      <c r="BR1558" s="85">
        <f t="shared" ref="BR1558:BR1562" ca="1" si="1815">IF(BQ1558=0,0,BQ1558*Z1558)</f>
        <v>7.3999999999999977</v>
      </c>
      <c r="BS1558" s="53">
        <f ca="1">IFERROR((_xlfn.XLOOKUP(F1558,Apuração!A:A,Apuração!C:C)+1)/_xlfn.XLOOKUP(F1558,Apuração!A:A,Apuração!B:B),0)</f>
        <v>0.5</v>
      </c>
    </row>
    <row r="1559" spans="1:71" ht="25.95" hidden="1" customHeight="1" x14ac:dyDescent="0.3">
      <c r="A1559" s="3" t="s">
        <v>33</v>
      </c>
      <c r="B1559" s="4" t="s">
        <v>77</v>
      </c>
      <c r="C1559" s="5" t="s">
        <v>214</v>
      </c>
      <c r="D1559" s="5" t="s">
        <v>215</v>
      </c>
      <c r="E1559" s="4" t="str" cm="1">
        <f t="array" ref="E1559">_xlfn.IFS(
F1559 = "A partir de Abril", "Aguardando Execução na Distribuidora",
A1559 = "CAPACITAÇÃO", "Em execução no Corporativo",
TRUE, "Em Execução na Distribuidora"
)</f>
        <v>Em Execução na Distribuidora</v>
      </c>
      <c r="F1559" s="4" t="str" cm="1">
        <f t="array" ref="F1559">_xlfn.IFS(
AG1559 &lt;&gt; "", "Jan-Dez/26",
AH1559 &lt;&gt; "", "Fev-Dez/26",
AI1559 &lt;&gt; "", "Mar-Dez/26", AJ1559 &lt;&gt; "", "Abr-Dez/26",
TRUE, "A partir de Junho"
)</f>
        <v>Jan-Dez/26</v>
      </c>
      <c r="G1559" s="4" t="s">
        <v>37</v>
      </c>
      <c r="H1559" s="7" t="s">
        <v>110</v>
      </c>
      <c r="I1559" s="8" t="s">
        <v>78</v>
      </c>
      <c r="J1559" s="8" t="str" cm="1">
        <f t="array" aca="1" ref="J1559" ca="1">_xlfn.LET(
  _xlpm.actual_value_month, INDEX(T1559:AE1559, MATCH(DATE(YEAR(TODAY()), MONTH(TODAY()), 1), $T$1:$AE$1, 0)),
  IF(_xlpm.actual_value_month &lt;&gt; "",_xlpm.actual_value_month &amp; " eventos mensais", "")
)</f>
        <v>4 eventos mensais</v>
      </c>
      <c r="K1559" s="8" t="str" cm="1">
        <f t="array" ref="K1559">_xlfn.LET(
    _xlpm.sum_month, SUM(T1559:AE1559),
    IF(_xlpm.sum_month = 0, "", _xlpm.sum_month &amp; " eventos no ano.")
)</f>
        <v>376 eventos no ano.</v>
      </c>
      <c r="L1559" s="9" t="s">
        <v>56</v>
      </c>
      <c r="M1559" s="13" t="s">
        <v>79</v>
      </c>
      <c r="N1559" s="5" t="s">
        <v>42</v>
      </c>
      <c r="O1559" s="5" t="s">
        <v>43</v>
      </c>
      <c r="P1559" s="10" t="s">
        <v>44</v>
      </c>
      <c r="Q1559" s="10" t="s">
        <v>44</v>
      </c>
      <c r="R1559" s="11" t="s">
        <v>44</v>
      </c>
      <c r="S1559" s="11" t="s">
        <v>44</v>
      </c>
      <c r="T1559" s="143">
        <v>67</v>
      </c>
      <c r="U1559" s="143">
        <v>95</v>
      </c>
      <c r="V1559" s="143">
        <v>178</v>
      </c>
      <c r="W1559" s="143">
        <v>4</v>
      </c>
      <c r="X1559" s="143">
        <v>4</v>
      </c>
      <c r="Y1559" s="143">
        <v>4</v>
      </c>
      <c r="Z1559" s="143">
        <v>4</v>
      </c>
      <c r="AA1559" s="143">
        <v>4</v>
      </c>
      <c r="AB1559" s="143">
        <v>4</v>
      </c>
      <c r="AC1559" s="143">
        <v>4</v>
      </c>
      <c r="AD1559" s="143">
        <v>4</v>
      </c>
      <c r="AE1559" s="143">
        <v>4</v>
      </c>
      <c r="AG1559" s="146">
        <v>67</v>
      </c>
      <c r="AH1559" s="150">
        <v>95</v>
      </c>
      <c r="AI1559" s="150">
        <v>178</v>
      </c>
      <c r="AJ1559" s="146">
        <v>90</v>
      </c>
      <c r="AK1559" s="71"/>
      <c r="AL1559" s="71"/>
      <c r="AM1559" s="71"/>
      <c r="AN1559" s="71"/>
      <c r="AO1559" s="71"/>
      <c r="AP1559" s="71"/>
      <c r="AQ1559" s="71"/>
      <c r="AR1559" s="71"/>
      <c r="AS1559" s="94">
        <f t="shared" ca="1" si="1808"/>
        <v>348</v>
      </c>
      <c r="AT1559" s="95">
        <f t="shared" si="1809"/>
        <v>344.6</v>
      </c>
      <c r="AU1559" s="97">
        <f t="shared" si="1810"/>
        <v>430</v>
      </c>
      <c r="AW1559" s="51">
        <f t="shared" si="1811"/>
        <v>1</v>
      </c>
      <c r="AX1559" s="51">
        <f t="shared" si="1812"/>
        <v>1</v>
      </c>
      <c r="AY1559" s="51">
        <f t="shared" si="1813"/>
        <v>1</v>
      </c>
      <c r="AZ1559" s="51">
        <f t="shared" si="1814"/>
        <v>22.5</v>
      </c>
      <c r="BA1559" s="51"/>
      <c r="BB1559" s="51"/>
      <c r="BC1559" s="51"/>
      <c r="BD1559" s="51"/>
      <c r="BE1559" s="51"/>
      <c r="BF1559" s="51"/>
      <c r="BG1559" s="51"/>
      <c r="BH1559" s="51"/>
      <c r="BI1559" s="65" cm="1">
        <f t="array" ref="BI1559">IFERROR(INDEX(AW1559:BH1559,1,MATCH(2,1/(AW1559:BH1559&lt;&gt;""))),"")</f>
        <v>22.5</v>
      </c>
      <c r="BJ1559" s="68" cm="1">
        <f t="array" ref="BJ1559">IF(BM1559 = "", "",IFERROR(INDEX(AW1559:BH1559,1,MATCH(2,1/(AW1559:BH1559&lt;&gt;""),1)-1),""))</f>
        <v>1</v>
      </c>
      <c r="BK1559" s="58">
        <f>IF((IF(AW1559&gt;=115%,115%,AW1559) + IF(AX1559&gt;=115%,115%,AX1559) + IF(AY1559&gt;=115%,115%,AY1559) + (IF(AZ1559&gt;=115%,115%,AZ1559) + IF(BA1559&gt;=115%,115%,BA1559) + IF(BB1559&gt;=115%,115%,BB1559) + IF(BC1559&gt;=115%,115%,BC1559) + IF(BD1559&gt;=115%,115%,BD1559) + IF(BE1559&gt;=115%,115%,BE1559) + IF(BF1559&gt;=115%,115%,BF1559) + IF(BG1559&gt;=115%,115%,BG1559) + IF(BH1559&gt;=151%,151%,BH1559)))/_xlfn.XLOOKUP(F1559,Apuração!A:A,Apuração!B:B)&gt;=1.15,1.15,((IF(AZ1559&gt;=115%,115%,AZ1559) + IF(AX1559&gt;=115%,115%,AX1559) + IF(AY1559&gt;=115%,115%,AY1559) + (IF(AW1559&gt;=115%,115%,AW1559) + IF(BA1559&gt;=115%,115%,BA1559) + IF(BB1559&gt;=115%,115%,BB1559) + IF(BC1559&gt;=115%,115%,BC1559) + IF(BD1559&gt;=115%,115%,BD1559) + IF(BE1559&gt;=115%,115%,BE1559) + IF(BF1559&gt;=115%,115%,BF1559) + IF(BG1559&gt;=115%,115%,BG1559) + IF(BH1559&gt;=151%,151%,BH1559)))/_xlfn.XLOOKUP(F1559,Apuração!A:A,Apuração!B:B)))</f>
        <v>0.34583333333333338</v>
      </c>
      <c r="BL1559" s="58" cm="1">
        <f t="array" aca="1" ref="BL1559" ca="1">IF(SUM(IFERROR(IF(INDEX(AW1559:INDEX(AW1559:BH1559, MATCH(2, 1/(AW1559:BH1559&lt;&gt;""), 1)-1), ROW(INDIRECT("1:" &amp; MATCH(2, 1/(AW1559:BH1559&lt;&gt;""), 1)-1))) &gt;= 115%, 115%, INDEX(AW1559:INDEX(AW1559:BH1559, MATCH(2, 1/(AW1559:BH1559&lt;&gt;""), 1)-1), ROW(INDIRECT("1:" &amp; MATCH(2, 1/(AW1559:BH1559&lt;&gt;""), 1)-1)))), 0))/_xlfn.XLOOKUP(F1559,Apuração!A:A,Apuração!B:B)&gt;=1.15,1.15,SUM(IFERROR(IF(INDEX(AW1559:INDEX(AW1559:BH1559, MATCH(2, 1/(AW1559:BH1559&lt;&gt;""), 1)-1), ROW(INDIRECT("1:" &amp; MATCH(2, 1/(AW1559:BH1559&lt;&gt;""), 1)-1))) &gt;= 115%, 115%, INDEX(AW1559:INDEX(AW1559:BH1559, MATCH(2, 1/(AW1559:BH1559&lt;&gt;""), 1)-1), ROW(INDIRECT("1:" &amp; MATCH(2, 1/(AW1559:BH1559&lt;&gt;""), 1)-1)))), 0))/_xlfn.XLOOKUP(F1559,Apuração!A:A,Apuração!B:B))</f>
        <v>0.25</v>
      </c>
      <c r="BM1559" s="55" cm="1">
        <f t="array" ref="BM1559">IFERROR(
   INDEX($AW$1:$BH$1,
      _xlfn.AGGREGATE(14, 6, COLUMN($AW$1:$BH$1)/(AW1559:BH1559&lt;&gt;""), 2) - COLUMN($AW$1) + 1
   ),
"")</f>
        <v>46082</v>
      </c>
      <c r="BN1559" s="55" cm="1">
        <f t="array" ref="BN1559">IFERROR(INDEX($AW$1:$BH$1,1,MATCH(2,1/(AW1559:BH1559&lt;&gt;""))),"")</f>
        <v>46113</v>
      </c>
      <c r="BO1559" s="53">
        <f ca="1">IFERROR(_xlfn.XLOOKUP(F1559,Apuração!A:A,Apuração!C:C)/_xlfn.XLOOKUP(F1559,Apuração!A:A,Apuração!B:B),0)</f>
        <v>0.41666666666666669</v>
      </c>
      <c r="BP1559" s="53">
        <f ca="1">IFERROR(_xlfn.XLOOKUP(F1559,Apuração!A:A,Apuração!D:D)/_xlfn.XLOOKUP(F1559,Apuração!A:A,Apuração!B:B),0)</f>
        <v>0.33333333333333331</v>
      </c>
      <c r="BQ1559" s="53">
        <f ca="1">IF(BK1559&gt;=BO1559,0,_xlfn.XLOOKUP(F1559,Apuração!A:A,Apuração!B:B)*(BO1559 + (1/_xlfn.XLOOKUP(F1559,Apuração!A:A,Apuração!B:B)) - BK1559))</f>
        <v>1.8499999999999994</v>
      </c>
      <c r="BR1559" s="85">
        <f t="shared" ca="1" si="1815"/>
        <v>7.3999999999999977</v>
      </c>
      <c r="BS1559" s="53">
        <f ca="1">IFERROR((_xlfn.XLOOKUP(F1559,Apuração!A:A,Apuração!C:C)+1)/_xlfn.XLOOKUP(F1559,Apuração!A:A,Apuração!B:B),0)</f>
        <v>0.5</v>
      </c>
    </row>
    <row r="1560" spans="1:71" ht="25.95" hidden="1" customHeight="1" x14ac:dyDescent="0.3">
      <c r="A1560" s="3" t="s">
        <v>33</v>
      </c>
      <c r="B1560" s="4" t="s">
        <v>77</v>
      </c>
      <c r="C1560" s="5" t="s">
        <v>214</v>
      </c>
      <c r="D1560" s="5" t="s">
        <v>212</v>
      </c>
      <c r="E1560" s="4" t="str" cm="1">
        <f t="array" ref="E1560">_xlfn.IFS(
F1560 = "A partir de Abril", "Aguardando Execução na Distribuidora",
A1560 = "CAPACITAÇÃO", "Em execução no Corporativo",
TRUE, "Em Execução na Distribuidora"
)</f>
        <v>Em Execução na Distribuidora</v>
      </c>
      <c r="F1560" s="4" t="str" cm="1">
        <f t="array" ref="F1560">_xlfn.IFS(
AG1560 &lt;&gt; "", "Jan-Dez/26",
AH1560 &lt;&gt; "", "Fev-Dez/26",
AI1560 &lt;&gt; "", "Mar-Dez/26", AJ1560 &lt;&gt; "", "Abr-Dez/26",
TRUE, "A partir de Junho"
)</f>
        <v>Jan-Dez/26</v>
      </c>
      <c r="G1560" s="4" t="s">
        <v>37</v>
      </c>
      <c r="H1560" s="7" t="s">
        <v>110</v>
      </c>
      <c r="I1560" s="8" t="s">
        <v>78</v>
      </c>
      <c r="J1560" s="8" t="str" cm="1">
        <f t="array" aca="1" ref="J1560" ca="1">_xlfn.LET(
  _xlpm.actual_value_month, INDEX(T1560:AE1560, MATCH(DATE(YEAR(TODAY()), MONTH(TODAY()), 1), $T$1:$AE$1, 0)),
  IF(_xlpm.actual_value_month &lt;&gt; "",_xlpm.actual_value_month &amp; " eventos mensais", "")
)</f>
        <v>4 eventos mensais</v>
      </c>
      <c r="K1560" s="8" t="str" cm="1">
        <f t="array" ref="K1560">_xlfn.LET(
    _xlpm.sum_month, SUM(T1560:AE1560),
    IF(_xlpm.sum_month = 0, "", _xlpm.sum_month &amp; " eventos no ano.")
)</f>
        <v>376 eventos no ano.</v>
      </c>
      <c r="L1560" s="9" t="s">
        <v>56</v>
      </c>
      <c r="M1560" s="13" t="s">
        <v>79</v>
      </c>
      <c r="N1560" s="5" t="s">
        <v>42</v>
      </c>
      <c r="O1560" s="5" t="s">
        <v>43</v>
      </c>
      <c r="P1560" s="10" t="s">
        <v>44</v>
      </c>
      <c r="Q1560" s="10" t="s">
        <v>44</v>
      </c>
      <c r="R1560" s="11" t="s">
        <v>44</v>
      </c>
      <c r="S1560" s="11" t="s">
        <v>44</v>
      </c>
      <c r="T1560" s="143">
        <v>67</v>
      </c>
      <c r="U1560" s="143">
        <v>95</v>
      </c>
      <c r="V1560" s="143">
        <v>178</v>
      </c>
      <c r="W1560" s="143">
        <v>4</v>
      </c>
      <c r="X1560" s="143">
        <v>4</v>
      </c>
      <c r="Y1560" s="143">
        <v>4</v>
      </c>
      <c r="Z1560" s="143">
        <v>4</v>
      </c>
      <c r="AA1560" s="143">
        <v>4</v>
      </c>
      <c r="AB1560" s="143">
        <v>4</v>
      </c>
      <c r="AC1560" s="143">
        <v>4</v>
      </c>
      <c r="AD1560" s="143">
        <v>4</v>
      </c>
      <c r="AE1560" s="143">
        <v>4</v>
      </c>
      <c r="AG1560" s="146">
        <v>67</v>
      </c>
      <c r="AH1560" s="150">
        <v>95</v>
      </c>
      <c r="AI1560" s="150">
        <v>178</v>
      </c>
      <c r="AJ1560" s="146">
        <v>90</v>
      </c>
      <c r="AK1560" s="71"/>
      <c r="AL1560" s="71"/>
      <c r="AM1560" s="71"/>
      <c r="AN1560" s="71"/>
      <c r="AO1560" s="71"/>
      <c r="AP1560" s="71"/>
      <c r="AQ1560" s="71"/>
      <c r="AR1560" s="71"/>
      <c r="AS1560" s="94">
        <f t="shared" ca="1" si="1808"/>
        <v>348</v>
      </c>
      <c r="AT1560" s="95">
        <f t="shared" si="1809"/>
        <v>344.6</v>
      </c>
      <c r="AU1560" s="97">
        <f t="shared" si="1810"/>
        <v>430</v>
      </c>
      <c r="AW1560" s="51">
        <f t="shared" si="1811"/>
        <v>1</v>
      </c>
      <c r="AX1560" s="51">
        <f t="shared" si="1812"/>
        <v>1</v>
      </c>
      <c r="AY1560" s="51">
        <f t="shared" si="1813"/>
        <v>1</v>
      </c>
      <c r="AZ1560" s="51">
        <f t="shared" si="1814"/>
        <v>22.5</v>
      </c>
      <c r="BA1560" s="51"/>
      <c r="BB1560" s="51"/>
      <c r="BC1560" s="51"/>
      <c r="BD1560" s="51"/>
      <c r="BE1560" s="51"/>
      <c r="BF1560" s="51"/>
      <c r="BG1560" s="51"/>
      <c r="BH1560" s="51"/>
      <c r="BI1560" s="65" cm="1">
        <f t="array" ref="BI1560">IFERROR(INDEX(AW1560:BH1560,1,MATCH(2,1/(AW1560:BH1560&lt;&gt;""))),"")</f>
        <v>22.5</v>
      </c>
      <c r="BJ1560" s="68" cm="1">
        <f t="array" ref="BJ1560">IF(BM1560 = "", "",IFERROR(INDEX(AW1560:BH1560,1,MATCH(2,1/(AW1560:BH1560&lt;&gt;""),1)-1),""))</f>
        <v>1</v>
      </c>
      <c r="BK1560" s="58">
        <f>IF((IF(AW1560&gt;=115%,115%,AW1560) + IF(AX1560&gt;=115%,115%,AX1560) + IF(AY1560&gt;=115%,115%,AY1560) + (IF(AZ1560&gt;=115%,115%,AZ1560) + IF(BA1560&gt;=115%,115%,BA1560) + IF(BB1560&gt;=115%,115%,BB1560) + IF(BC1560&gt;=115%,115%,BC1560) + IF(BD1560&gt;=115%,115%,BD1560) + IF(BE1560&gt;=115%,115%,BE1560) + IF(BF1560&gt;=115%,115%,BF1560) + IF(BG1560&gt;=115%,115%,BG1560) + IF(BH1560&gt;=151%,151%,BH1560)))/_xlfn.XLOOKUP(F1560,Apuração!A:A,Apuração!B:B)&gt;=1.15,1.15,((IF(AZ1560&gt;=115%,115%,AZ1560) + IF(AX1560&gt;=115%,115%,AX1560) + IF(AY1560&gt;=115%,115%,AY1560) + (IF(AW1560&gt;=115%,115%,AW1560) + IF(BA1560&gt;=115%,115%,BA1560) + IF(BB1560&gt;=115%,115%,BB1560) + IF(BC1560&gt;=115%,115%,BC1560) + IF(BD1560&gt;=115%,115%,BD1560) + IF(BE1560&gt;=115%,115%,BE1560) + IF(BF1560&gt;=115%,115%,BF1560) + IF(BG1560&gt;=115%,115%,BG1560) + IF(BH1560&gt;=151%,151%,BH1560)))/_xlfn.XLOOKUP(F1560,Apuração!A:A,Apuração!B:B)))</f>
        <v>0.34583333333333338</v>
      </c>
      <c r="BL1560" s="58" cm="1">
        <f t="array" aca="1" ref="BL1560" ca="1">IF(SUM(IFERROR(IF(INDEX(AW1560:INDEX(AW1560:BH1560, MATCH(2, 1/(AW1560:BH1560&lt;&gt;""), 1)-1), ROW(INDIRECT("1:" &amp; MATCH(2, 1/(AW1560:BH1560&lt;&gt;""), 1)-1))) &gt;= 115%, 115%, INDEX(AW1560:INDEX(AW1560:BH1560, MATCH(2, 1/(AW1560:BH1560&lt;&gt;""), 1)-1), ROW(INDIRECT("1:" &amp; MATCH(2, 1/(AW1560:BH1560&lt;&gt;""), 1)-1)))), 0))/_xlfn.XLOOKUP(F1560,Apuração!A:A,Apuração!B:B)&gt;=1.15,1.15,SUM(IFERROR(IF(INDEX(AW1560:INDEX(AW1560:BH1560, MATCH(2, 1/(AW1560:BH1560&lt;&gt;""), 1)-1), ROW(INDIRECT("1:" &amp; MATCH(2, 1/(AW1560:BH1560&lt;&gt;""), 1)-1))) &gt;= 115%, 115%, INDEX(AW1560:INDEX(AW1560:BH1560, MATCH(2, 1/(AW1560:BH1560&lt;&gt;""), 1)-1), ROW(INDIRECT("1:" &amp; MATCH(2, 1/(AW1560:BH1560&lt;&gt;""), 1)-1)))), 0))/_xlfn.XLOOKUP(F1560,Apuração!A:A,Apuração!B:B))</f>
        <v>0.25</v>
      </c>
      <c r="BM1560" s="55" cm="1">
        <f t="array" ref="BM1560">IFERROR(
   INDEX($AW$1:$BH$1,
      _xlfn.AGGREGATE(14, 6, COLUMN($AW$1:$BH$1)/(AW1560:BH1560&lt;&gt;""), 2) - COLUMN($AW$1) + 1
   ),
"")</f>
        <v>46082</v>
      </c>
      <c r="BN1560" s="55" cm="1">
        <f t="array" ref="BN1560">IFERROR(INDEX($AW$1:$BH$1,1,MATCH(2,1/(AW1560:BH1560&lt;&gt;""))),"")</f>
        <v>46113</v>
      </c>
      <c r="BO1560" s="53">
        <f ca="1">IFERROR(_xlfn.XLOOKUP(F1560,Apuração!A:A,Apuração!C:C)/_xlfn.XLOOKUP(F1560,Apuração!A:A,Apuração!B:B),0)</f>
        <v>0.41666666666666669</v>
      </c>
      <c r="BP1560" s="53">
        <f ca="1">IFERROR(_xlfn.XLOOKUP(F1560,Apuração!A:A,Apuração!D:D)/_xlfn.XLOOKUP(F1560,Apuração!A:A,Apuração!B:B),0)</f>
        <v>0.33333333333333331</v>
      </c>
      <c r="BQ1560" s="53">
        <f ca="1">IF(BK1560&gt;=BO1560,0,_xlfn.XLOOKUP(F1560,Apuração!A:A,Apuração!B:B)*(BO1560 + (1/_xlfn.XLOOKUP(F1560,Apuração!A:A,Apuração!B:B)) - BK1560))</f>
        <v>1.8499999999999994</v>
      </c>
      <c r="BR1560" s="85">
        <f t="shared" ca="1" si="1815"/>
        <v>7.3999999999999977</v>
      </c>
      <c r="BS1560" s="53">
        <f ca="1">IFERROR((_xlfn.XLOOKUP(F1560,Apuração!A:A,Apuração!C:C)+1)/_xlfn.XLOOKUP(F1560,Apuração!A:A,Apuração!B:B),0)</f>
        <v>0.5</v>
      </c>
    </row>
    <row r="1561" spans="1:71" ht="25.95" hidden="1" customHeight="1" x14ac:dyDescent="0.3">
      <c r="A1561" s="3" t="s">
        <v>33</v>
      </c>
      <c r="B1561" s="4" t="s">
        <v>77</v>
      </c>
      <c r="C1561" s="5" t="s">
        <v>214</v>
      </c>
      <c r="D1561" s="5" t="s">
        <v>48</v>
      </c>
      <c r="E1561" s="4" t="str" cm="1">
        <f t="array" ref="E1561">_xlfn.IFS(
F1561 = "A partir de Abril", "Aguardando Execução na Distribuidora",
A1561 = "CAPACITAÇÃO", "Em execução no Corporativo",
TRUE, "Em Execução na Distribuidora"
)</f>
        <v>Em Execução na Distribuidora</v>
      </c>
      <c r="F1561" s="4" t="str" cm="1">
        <f t="array" ref="F1561">_xlfn.IFS(
AG1561 &lt;&gt; "", "Jan-Dez/26",
AH1561 &lt;&gt; "", "Fev-Dez/26",
AI1561 &lt;&gt; "", "Mar-Dez/26", AJ1561 &lt;&gt; "", "Abr-Dez/26",
TRUE, "A partir de Junho"
)</f>
        <v>Jan-Dez/26</v>
      </c>
      <c r="G1561" s="4" t="s">
        <v>37</v>
      </c>
      <c r="H1561" s="7" t="s">
        <v>110</v>
      </c>
      <c r="I1561" s="8" t="s">
        <v>78</v>
      </c>
      <c r="J1561" s="8" t="str" cm="1">
        <f t="array" aca="1" ref="J1561" ca="1">_xlfn.LET(
  _xlpm.actual_value_month, INDEX(T1561:AE1561, MATCH(DATE(YEAR(TODAY()), MONTH(TODAY()), 1), $T$1:$AE$1, 0)),
  IF(_xlpm.actual_value_month &lt;&gt; "",_xlpm.actual_value_month &amp; " eventos mensais", "")
)</f>
        <v>4 eventos mensais</v>
      </c>
      <c r="K1561" s="8" t="str" cm="1">
        <f t="array" ref="K1561">_xlfn.LET(
    _xlpm.sum_month, SUM(T1561:AE1561),
    IF(_xlpm.sum_month = 0, "", _xlpm.sum_month &amp; " eventos no ano.")
)</f>
        <v>376 eventos no ano.</v>
      </c>
      <c r="L1561" s="9" t="s">
        <v>56</v>
      </c>
      <c r="M1561" s="13" t="s">
        <v>79</v>
      </c>
      <c r="N1561" s="5" t="s">
        <v>42</v>
      </c>
      <c r="O1561" s="5" t="s">
        <v>43</v>
      </c>
      <c r="P1561" s="10" t="s">
        <v>44</v>
      </c>
      <c r="Q1561" s="10" t="s">
        <v>44</v>
      </c>
      <c r="R1561" s="11" t="s">
        <v>44</v>
      </c>
      <c r="S1561" s="11" t="s">
        <v>44</v>
      </c>
      <c r="T1561" s="143">
        <v>67</v>
      </c>
      <c r="U1561" s="143">
        <v>95</v>
      </c>
      <c r="V1561" s="143">
        <v>178</v>
      </c>
      <c r="W1561" s="143">
        <v>4</v>
      </c>
      <c r="X1561" s="143">
        <v>4</v>
      </c>
      <c r="Y1561" s="143">
        <v>4</v>
      </c>
      <c r="Z1561" s="143">
        <v>4</v>
      </c>
      <c r="AA1561" s="143">
        <v>4</v>
      </c>
      <c r="AB1561" s="143">
        <v>4</v>
      </c>
      <c r="AC1561" s="143">
        <v>4</v>
      </c>
      <c r="AD1561" s="143">
        <v>4</v>
      </c>
      <c r="AE1561" s="143">
        <v>4</v>
      </c>
      <c r="AG1561" s="146">
        <v>67</v>
      </c>
      <c r="AH1561" s="150">
        <v>95</v>
      </c>
      <c r="AI1561" s="150">
        <v>178</v>
      </c>
      <c r="AJ1561" s="146">
        <v>90</v>
      </c>
      <c r="AK1561" s="71"/>
      <c r="AL1561" s="71"/>
      <c r="AM1561" s="71"/>
      <c r="AN1561" s="71"/>
      <c r="AO1561" s="71"/>
      <c r="AP1561" s="71"/>
      <c r="AQ1561" s="71"/>
      <c r="AR1561" s="71"/>
      <c r="AS1561" s="94">
        <f t="shared" ca="1" si="1808"/>
        <v>348</v>
      </c>
      <c r="AT1561" s="95">
        <f t="shared" si="1809"/>
        <v>344.6</v>
      </c>
      <c r="AU1561" s="97">
        <f t="shared" si="1810"/>
        <v>430</v>
      </c>
      <c r="AW1561" s="51">
        <f t="shared" si="1811"/>
        <v>1</v>
      </c>
      <c r="AX1561" s="51">
        <f t="shared" si="1812"/>
        <v>1</v>
      </c>
      <c r="AY1561" s="51">
        <f t="shared" si="1813"/>
        <v>1</v>
      </c>
      <c r="AZ1561" s="51">
        <f t="shared" si="1814"/>
        <v>22.5</v>
      </c>
      <c r="BA1561" s="51"/>
      <c r="BB1561" s="51"/>
      <c r="BC1561" s="51"/>
      <c r="BD1561" s="51"/>
      <c r="BE1561" s="51"/>
      <c r="BF1561" s="51"/>
      <c r="BG1561" s="51"/>
      <c r="BH1561" s="51"/>
      <c r="BI1561" s="65" cm="1">
        <f t="array" ref="BI1561">IFERROR(INDEX(AW1561:BH1561,1,MATCH(2,1/(AW1561:BH1561&lt;&gt;""))),"")</f>
        <v>22.5</v>
      </c>
      <c r="BJ1561" s="68" cm="1">
        <f t="array" ref="BJ1561">IF(BM1561 = "", "",IFERROR(INDEX(AW1561:BH1561,1,MATCH(2,1/(AW1561:BH1561&lt;&gt;""),1)-1),""))</f>
        <v>1</v>
      </c>
      <c r="BK1561" s="58">
        <f>IF((IF(AW1561&gt;=115%,115%,AW1561) + IF(AX1561&gt;=115%,115%,AX1561) + IF(AY1561&gt;=115%,115%,AY1561) + (IF(AZ1561&gt;=115%,115%,AZ1561) + IF(BA1561&gt;=115%,115%,BA1561) + IF(BB1561&gt;=115%,115%,BB1561) + IF(BC1561&gt;=115%,115%,BC1561) + IF(BD1561&gt;=115%,115%,BD1561) + IF(BE1561&gt;=115%,115%,BE1561) + IF(BF1561&gt;=115%,115%,BF1561) + IF(BG1561&gt;=115%,115%,BG1561) + IF(BH1561&gt;=151%,151%,BH1561)))/_xlfn.XLOOKUP(F1561,Apuração!A:A,Apuração!B:B)&gt;=1.15,1.15,((IF(AZ1561&gt;=115%,115%,AZ1561) + IF(AX1561&gt;=115%,115%,AX1561) + IF(AY1561&gt;=115%,115%,AY1561) + (IF(AW1561&gt;=115%,115%,AW1561) + IF(BA1561&gt;=115%,115%,BA1561) + IF(BB1561&gt;=115%,115%,BB1561) + IF(BC1561&gt;=115%,115%,BC1561) + IF(BD1561&gt;=115%,115%,BD1561) + IF(BE1561&gt;=115%,115%,BE1561) + IF(BF1561&gt;=115%,115%,BF1561) + IF(BG1561&gt;=115%,115%,BG1561) + IF(BH1561&gt;=151%,151%,BH1561)))/_xlfn.XLOOKUP(F1561,Apuração!A:A,Apuração!B:B)))</f>
        <v>0.34583333333333338</v>
      </c>
      <c r="BL1561" s="58" cm="1">
        <f t="array" aca="1" ref="BL1561" ca="1">IF(SUM(IFERROR(IF(INDEX(AW1561:INDEX(AW1561:BH1561, MATCH(2, 1/(AW1561:BH1561&lt;&gt;""), 1)-1), ROW(INDIRECT("1:" &amp; MATCH(2, 1/(AW1561:BH1561&lt;&gt;""), 1)-1))) &gt;= 115%, 115%, INDEX(AW1561:INDEX(AW1561:BH1561, MATCH(2, 1/(AW1561:BH1561&lt;&gt;""), 1)-1), ROW(INDIRECT("1:" &amp; MATCH(2, 1/(AW1561:BH1561&lt;&gt;""), 1)-1)))), 0))/_xlfn.XLOOKUP(F1561,Apuração!A:A,Apuração!B:B)&gt;=1.15,1.15,SUM(IFERROR(IF(INDEX(AW1561:INDEX(AW1561:BH1561, MATCH(2, 1/(AW1561:BH1561&lt;&gt;""), 1)-1), ROW(INDIRECT("1:" &amp; MATCH(2, 1/(AW1561:BH1561&lt;&gt;""), 1)-1))) &gt;= 115%, 115%, INDEX(AW1561:INDEX(AW1561:BH1561, MATCH(2, 1/(AW1561:BH1561&lt;&gt;""), 1)-1), ROW(INDIRECT("1:" &amp; MATCH(2, 1/(AW1561:BH1561&lt;&gt;""), 1)-1)))), 0))/_xlfn.XLOOKUP(F1561,Apuração!A:A,Apuração!B:B))</f>
        <v>0.25</v>
      </c>
      <c r="BM1561" s="55" cm="1">
        <f t="array" ref="BM1561">IFERROR(
   INDEX($AW$1:$BH$1,
      _xlfn.AGGREGATE(14, 6, COLUMN($AW$1:$BH$1)/(AW1561:BH1561&lt;&gt;""), 2) - COLUMN($AW$1) + 1
   ),
"")</f>
        <v>46082</v>
      </c>
      <c r="BN1561" s="55" cm="1">
        <f t="array" ref="BN1561">IFERROR(INDEX($AW$1:$BH$1,1,MATCH(2,1/(AW1561:BH1561&lt;&gt;""))),"")</f>
        <v>46113</v>
      </c>
      <c r="BO1561" s="53">
        <f ca="1">IFERROR(_xlfn.XLOOKUP(F1561,Apuração!A:A,Apuração!C:C)/_xlfn.XLOOKUP(F1561,Apuração!A:A,Apuração!B:B),0)</f>
        <v>0.41666666666666669</v>
      </c>
      <c r="BP1561" s="53">
        <f ca="1">IFERROR(_xlfn.XLOOKUP(F1561,Apuração!A:A,Apuração!D:D)/_xlfn.XLOOKUP(F1561,Apuração!A:A,Apuração!B:B),0)</f>
        <v>0.33333333333333331</v>
      </c>
      <c r="BQ1561" s="53">
        <f ca="1">IF(BK1561&gt;=BO1561,0,_xlfn.XLOOKUP(F1561,Apuração!A:A,Apuração!B:B)*(BO1561 + (1/_xlfn.XLOOKUP(F1561,Apuração!A:A,Apuração!B:B)) - BK1561))</f>
        <v>1.8499999999999994</v>
      </c>
      <c r="BR1561" s="85">
        <f t="shared" ca="1" si="1815"/>
        <v>7.3999999999999977</v>
      </c>
      <c r="BS1561" s="53">
        <f ca="1">IFERROR((_xlfn.XLOOKUP(F1561,Apuração!A:A,Apuração!C:C)+1)/_xlfn.XLOOKUP(F1561,Apuração!A:A,Apuração!B:B),0)</f>
        <v>0.5</v>
      </c>
    </row>
    <row r="1562" spans="1:71" ht="25.95" hidden="1" customHeight="1" x14ac:dyDescent="0.3">
      <c r="A1562" s="3" t="s">
        <v>33</v>
      </c>
      <c r="B1562" s="4" t="s">
        <v>77</v>
      </c>
      <c r="C1562" s="5" t="s">
        <v>214</v>
      </c>
      <c r="D1562" s="5" t="s">
        <v>213</v>
      </c>
      <c r="E1562" s="4" t="str" cm="1">
        <f t="array" ref="E1562">_xlfn.IFS(
F1562 = "A partir de Abril", "Aguardando Execução na Distribuidora",
A1562 = "CAPACITAÇÃO", "Em execução no Corporativo",
TRUE, "Em Execução na Distribuidora"
)</f>
        <v>Em Execução na Distribuidora</v>
      </c>
      <c r="F1562" s="4" t="str" cm="1">
        <f t="array" ref="F1562">_xlfn.IFS(
AG1562 &lt;&gt; "", "Jan-Dez/26",
AH1562 &lt;&gt; "", "Fev-Dez/26",
AI1562 &lt;&gt; "", "Mar-Dez/26", AJ1562 &lt;&gt; "", "Abr-Dez/26",
TRUE, "A partir de Junho"
)</f>
        <v>Jan-Dez/26</v>
      </c>
      <c r="G1562" s="4" t="s">
        <v>37</v>
      </c>
      <c r="H1562" s="7" t="s">
        <v>110</v>
      </c>
      <c r="I1562" s="8" t="s">
        <v>78</v>
      </c>
      <c r="J1562" s="8" t="str" cm="1">
        <f t="array" aca="1" ref="J1562" ca="1">_xlfn.LET(
  _xlpm.actual_value_month, INDEX(T1562:AE1562, MATCH(DATE(YEAR(TODAY()), MONTH(TODAY()), 1), $T$1:$AE$1, 0)),
  IF(_xlpm.actual_value_month &lt;&gt; "",_xlpm.actual_value_month &amp; " eventos mensais", "")
)</f>
        <v>4 eventos mensais</v>
      </c>
      <c r="K1562" s="8" t="str" cm="1">
        <f t="array" ref="K1562">_xlfn.LET(
    _xlpm.sum_month, SUM(T1562:AE1562),
    IF(_xlpm.sum_month = 0, "", _xlpm.sum_month &amp; " eventos no ano.")
)</f>
        <v>376 eventos no ano.</v>
      </c>
      <c r="L1562" s="9" t="s">
        <v>56</v>
      </c>
      <c r="M1562" s="13" t="s">
        <v>79</v>
      </c>
      <c r="N1562" s="5" t="s">
        <v>42</v>
      </c>
      <c r="O1562" s="5" t="s">
        <v>43</v>
      </c>
      <c r="P1562" s="10" t="s">
        <v>44</v>
      </c>
      <c r="Q1562" s="10" t="s">
        <v>44</v>
      </c>
      <c r="R1562" s="11" t="s">
        <v>44</v>
      </c>
      <c r="S1562" s="11" t="s">
        <v>44</v>
      </c>
      <c r="T1562" s="143">
        <v>67</v>
      </c>
      <c r="U1562" s="143">
        <v>95</v>
      </c>
      <c r="V1562" s="143">
        <v>178</v>
      </c>
      <c r="W1562" s="143">
        <v>4</v>
      </c>
      <c r="X1562" s="143">
        <v>4</v>
      </c>
      <c r="Y1562" s="143">
        <v>4</v>
      </c>
      <c r="Z1562" s="143">
        <v>4</v>
      </c>
      <c r="AA1562" s="143">
        <v>4</v>
      </c>
      <c r="AB1562" s="143">
        <v>4</v>
      </c>
      <c r="AC1562" s="143">
        <v>4</v>
      </c>
      <c r="AD1562" s="143">
        <v>4</v>
      </c>
      <c r="AE1562" s="143">
        <v>4</v>
      </c>
      <c r="AG1562" s="146">
        <v>67</v>
      </c>
      <c r="AH1562" s="150">
        <v>95</v>
      </c>
      <c r="AI1562" s="150">
        <v>178</v>
      </c>
      <c r="AJ1562" s="146">
        <v>90</v>
      </c>
      <c r="AK1562" s="71"/>
      <c r="AL1562" s="71"/>
      <c r="AM1562" s="71"/>
      <c r="AN1562" s="71"/>
      <c r="AO1562" s="71"/>
      <c r="AP1562" s="71"/>
      <c r="AQ1562" s="71"/>
      <c r="AR1562" s="71"/>
      <c r="AS1562" s="94">
        <f t="shared" ca="1" si="1808"/>
        <v>348</v>
      </c>
      <c r="AT1562" s="95">
        <f t="shared" si="1809"/>
        <v>344.6</v>
      </c>
      <c r="AU1562" s="97">
        <f t="shared" si="1810"/>
        <v>430</v>
      </c>
      <c r="AW1562" s="51">
        <f t="shared" si="1811"/>
        <v>1</v>
      </c>
      <c r="AX1562" s="51">
        <f t="shared" si="1812"/>
        <v>1</v>
      </c>
      <c r="AY1562" s="51">
        <f t="shared" si="1813"/>
        <v>1</v>
      </c>
      <c r="AZ1562" s="51">
        <f t="shared" si="1814"/>
        <v>22.5</v>
      </c>
      <c r="BA1562" s="51"/>
      <c r="BB1562" s="51"/>
      <c r="BC1562" s="51"/>
      <c r="BD1562" s="51"/>
      <c r="BE1562" s="51"/>
      <c r="BF1562" s="51"/>
      <c r="BG1562" s="51"/>
      <c r="BH1562" s="51"/>
      <c r="BI1562" s="65" cm="1">
        <f t="array" ref="BI1562">IFERROR(INDEX(AW1562:BH1562,1,MATCH(2,1/(AW1562:BH1562&lt;&gt;""))),"")</f>
        <v>22.5</v>
      </c>
      <c r="BJ1562" s="68" cm="1">
        <f t="array" ref="BJ1562">IF(BM1562 = "", "",IFERROR(INDEX(AW1562:BH1562,1,MATCH(2,1/(AW1562:BH1562&lt;&gt;""),1)-1),""))</f>
        <v>1</v>
      </c>
      <c r="BK1562" s="58">
        <f>IF((IF(AW1562&gt;=115%,115%,AW1562) + IF(AX1562&gt;=115%,115%,AX1562) + IF(AY1562&gt;=115%,115%,AY1562) + (IF(AZ1562&gt;=115%,115%,AZ1562) + IF(BA1562&gt;=115%,115%,BA1562) + IF(BB1562&gt;=115%,115%,BB1562) + IF(BC1562&gt;=115%,115%,BC1562) + IF(BD1562&gt;=115%,115%,BD1562) + IF(BE1562&gt;=115%,115%,BE1562) + IF(BF1562&gt;=115%,115%,BF1562) + IF(BG1562&gt;=115%,115%,BG1562) + IF(BH1562&gt;=151%,151%,BH1562)))/_xlfn.XLOOKUP(F1562,Apuração!A:A,Apuração!B:B)&gt;=1.15,1.15,((IF(AZ1562&gt;=115%,115%,AZ1562) + IF(AX1562&gt;=115%,115%,AX1562) + IF(AY1562&gt;=115%,115%,AY1562) + (IF(AW1562&gt;=115%,115%,AW1562) + IF(BA1562&gt;=115%,115%,BA1562) + IF(BB1562&gt;=115%,115%,BB1562) + IF(BC1562&gt;=115%,115%,BC1562) + IF(BD1562&gt;=115%,115%,BD1562) + IF(BE1562&gt;=115%,115%,BE1562) + IF(BF1562&gt;=115%,115%,BF1562) + IF(BG1562&gt;=115%,115%,BG1562) + IF(BH1562&gt;=151%,151%,BH1562)))/_xlfn.XLOOKUP(F1562,Apuração!A:A,Apuração!B:B)))</f>
        <v>0.34583333333333338</v>
      </c>
      <c r="BL1562" s="58" cm="1">
        <f t="array" aca="1" ref="BL1562" ca="1">IF(SUM(IFERROR(IF(INDEX(AW1562:INDEX(AW1562:BH1562, MATCH(2, 1/(AW1562:BH1562&lt;&gt;""), 1)-1), ROW(INDIRECT("1:" &amp; MATCH(2, 1/(AW1562:BH1562&lt;&gt;""), 1)-1))) &gt;= 115%, 115%, INDEX(AW1562:INDEX(AW1562:BH1562, MATCH(2, 1/(AW1562:BH1562&lt;&gt;""), 1)-1), ROW(INDIRECT("1:" &amp; MATCH(2, 1/(AW1562:BH1562&lt;&gt;""), 1)-1)))), 0))/_xlfn.XLOOKUP(F1562,Apuração!A:A,Apuração!B:B)&gt;=1.15,1.15,SUM(IFERROR(IF(INDEX(AW1562:INDEX(AW1562:BH1562, MATCH(2, 1/(AW1562:BH1562&lt;&gt;""), 1)-1), ROW(INDIRECT("1:" &amp; MATCH(2, 1/(AW1562:BH1562&lt;&gt;""), 1)-1))) &gt;= 115%, 115%, INDEX(AW1562:INDEX(AW1562:BH1562, MATCH(2, 1/(AW1562:BH1562&lt;&gt;""), 1)-1), ROW(INDIRECT("1:" &amp; MATCH(2, 1/(AW1562:BH1562&lt;&gt;""), 1)-1)))), 0))/_xlfn.XLOOKUP(F1562,Apuração!A:A,Apuração!B:B))</f>
        <v>0.25</v>
      </c>
      <c r="BM1562" s="55" cm="1">
        <f t="array" ref="BM1562">IFERROR(
   INDEX($AW$1:$BH$1,
      _xlfn.AGGREGATE(14, 6, COLUMN($AW$1:$BH$1)/(AW1562:BH1562&lt;&gt;""), 2) - COLUMN($AW$1) + 1
   ),
"")</f>
        <v>46082</v>
      </c>
      <c r="BN1562" s="55" cm="1">
        <f t="array" ref="BN1562">IFERROR(INDEX($AW$1:$BH$1,1,MATCH(2,1/(AW1562:BH1562&lt;&gt;""))),"")</f>
        <v>46113</v>
      </c>
      <c r="BO1562" s="53">
        <f ca="1">IFERROR(_xlfn.XLOOKUP(F1562,Apuração!A:A,Apuração!C:C)/_xlfn.XLOOKUP(F1562,Apuração!A:A,Apuração!B:B),0)</f>
        <v>0.41666666666666669</v>
      </c>
      <c r="BP1562" s="53">
        <f ca="1">IFERROR(_xlfn.XLOOKUP(F1562,Apuração!A:A,Apuração!D:D)/_xlfn.XLOOKUP(F1562,Apuração!A:A,Apuração!B:B),0)</f>
        <v>0.33333333333333331</v>
      </c>
      <c r="BQ1562" s="53">
        <f ca="1">IF(BK1562&gt;=BO1562,0,_xlfn.XLOOKUP(F1562,Apuração!A:A,Apuração!B:B)*(BO1562 + (1/_xlfn.XLOOKUP(F1562,Apuração!A:A,Apuração!B:B)) - BK1562))</f>
        <v>1.8499999999999994</v>
      </c>
      <c r="BR1562" s="85">
        <f t="shared" ca="1" si="1815"/>
        <v>7.3999999999999977</v>
      </c>
      <c r="BS1562" s="53">
        <f ca="1">IFERROR((_xlfn.XLOOKUP(F1562,Apuração!A:A,Apuração!C:C)+1)/_xlfn.XLOOKUP(F1562,Apuração!A:A,Apuração!B:B),0)</f>
        <v>0.5</v>
      </c>
    </row>
    <row r="1563" spans="1:71" ht="25.95" hidden="1" customHeight="1" x14ac:dyDescent="0.3">
      <c r="A1563" s="39" t="s">
        <v>33</v>
      </c>
      <c r="B1563" s="4" t="s">
        <v>77</v>
      </c>
      <c r="C1563" s="5" t="s">
        <v>214</v>
      </c>
      <c r="D1563" s="5" t="s">
        <v>36</v>
      </c>
      <c r="E1563" s="4" t="str" cm="1">
        <f t="array" ref="E1563">_xlfn.IFS(
F1563 = "A partir de Abril", "Aguardando Execução na Distribuidora",
A1563 = "CAPACITAÇÃO", "Em execução no Corporativo",
TRUE, "Em Execução na Distribuidora"
)</f>
        <v>Em Execução na Distribuidora</v>
      </c>
      <c r="F1563" s="4" t="str" cm="1">
        <f t="array" ref="F1563">_xlfn.IFS(
AG1563 &lt;&gt; "", "Jan-Dez/26",
AH1563 &lt;&gt; "", "Fev-Dez/26",
AI1563 &lt;&gt; "", "Mar-Dez/26", AJ1563 &lt;&gt; "", "Abr-Dez/26",
TRUE, "A partir de Junho"
)</f>
        <v>Jan-Dez/26</v>
      </c>
      <c r="G1563" s="4" t="s">
        <v>37</v>
      </c>
      <c r="H1563" s="7" t="s">
        <v>110</v>
      </c>
      <c r="I1563" s="9" t="s">
        <v>76</v>
      </c>
      <c r="J1563" s="8" t="str" cm="1">
        <f t="array" aca="1" ref="J1563" ca="1">_xlfn.LET(
  _xlpm.actual_value_month, INDEX(T1563:AE1563, MATCH(DATE(YEAR(TODAY()), MONTH(TODAY()), 1), $T$1:$AE$1, 0)),
  IF(_xlpm.actual_value_month &lt;&gt; "",_xlpm.actual_value_month &amp; " ações mensais", "")
)</f>
        <v/>
      </c>
      <c r="K1563" s="8" t="str" cm="1">
        <f t="array" ref="K1563">_xlfn.LET(
    _xlpm.sum_month, SUM(T1563:AE1563),
    IF(_xlpm.sum_month = 0, "", _xlpm.sum_month &amp; " pessoas impactadas no ano.")
)</f>
        <v/>
      </c>
      <c r="L1563" s="9" t="s">
        <v>76</v>
      </c>
      <c r="M1563" s="19">
        <v>1</v>
      </c>
      <c r="N1563" s="5" t="s">
        <v>51</v>
      </c>
      <c r="O1563" s="5" t="s">
        <v>52</v>
      </c>
      <c r="P1563" s="10" t="s">
        <v>44</v>
      </c>
      <c r="Q1563" s="10" t="s">
        <v>44</v>
      </c>
      <c r="R1563" s="11" t="s">
        <v>44</v>
      </c>
      <c r="S1563" s="11" t="s">
        <v>44</v>
      </c>
      <c r="T1563" s="22"/>
      <c r="U1563" s="22"/>
      <c r="V1563" s="22"/>
      <c r="W1563" s="22"/>
      <c r="X1563" s="22"/>
      <c r="Y1563" s="22"/>
      <c r="Z1563" s="22"/>
      <c r="AA1563" s="22"/>
      <c r="AB1563" s="22"/>
      <c r="AC1563" s="22"/>
      <c r="AD1563" s="22"/>
      <c r="AE1563" s="22"/>
      <c r="AG1563" s="71">
        <v>630000</v>
      </c>
      <c r="AH1563" s="71">
        <v>3800000</v>
      </c>
      <c r="AI1563" s="71">
        <v>3800000</v>
      </c>
      <c r="AJ1563" s="71">
        <v>3000000</v>
      </c>
      <c r="AK1563" s="71"/>
      <c r="AL1563" s="71"/>
      <c r="AM1563" s="71"/>
      <c r="AN1563" s="71"/>
      <c r="AO1563" s="71"/>
      <c r="AP1563" s="71"/>
      <c r="AQ1563" s="71"/>
      <c r="AR1563" s="71"/>
      <c r="AS1563" s="94">
        <f ca="1">IF(MONTH(TODAY())=3,SUM(T1563:U1563),IF(MONTH(TODAY())=4,SUM(T1563:V1563),IF(MONTH(TODAY())=5,SUM(T1563:W1563),IF(MONTH(TODAY())=6,SUM(T1563:X1563),IF(MONTH(TODAY())=7,SUM(T1563:Y1563),IF(MONTH(TODAY())=8,SUM(T1563:Z1563),IF(MONTH(TODAY())=9,SUM(T1563:AA1563),IF(MONTH(TODAY())=10,SUM(T1563:AB1563),IF(MONTH(TODAY())=11,SUM(T1563:AC1563),IF(MONTH(TODAY())=12,SUM(T1563:AD1563),IF(MONTH(TODAY())=1,SUM(T1563:AE1563),T1563)))))))))))</f>
        <v>0</v>
      </c>
      <c r="AT1563" s="95">
        <f>SUM(AG1563:AR1563)</f>
        <v>11230000</v>
      </c>
      <c r="AU1563" s="97">
        <f>SUM(AG1563:AR1563)</f>
        <v>11230000</v>
      </c>
      <c r="AW1563" s="83">
        <f>AG1563</f>
        <v>630000</v>
      </c>
      <c r="AX1563" s="83">
        <f>AH1563</f>
        <v>3800000</v>
      </c>
      <c r="AY1563" s="83">
        <f>AI1563</f>
        <v>3800000</v>
      </c>
      <c r="AZ1563" s="83">
        <f>AJ1563</f>
        <v>3000000</v>
      </c>
      <c r="BA1563" s="52"/>
      <c r="BB1563" s="52"/>
      <c r="BC1563" s="52"/>
      <c r="BD1563" s="52"/>
      <c r="BE1563" s="52"/>
      <c r="BF1563" s="52"/>
      <c r="BG1563" s="52"/>
      <c r="BH1563" s="52"/>
      <c r="BI1563" s="68" cm="1">
        <f t="array" ref="BI1563">IFERROR(INDEX(AW1563:BH1563,1,MATCH(2,1/(AW1563:BH1563&lt;&gt;""))),"")</f>
        <v>3000000</v>
      </c>
      <c r="BJ1563" s="68" cm="1">
        <f t="array" ref="BJ1563">IF(BM1563 = "", "",IFERROR(INDEX(AW1563:BH1563,1,MATCH(2,1/(AW1563:BH1563&lt;&gt;""),1)-1),""))</f>
        <v>3800000</v>
      </c>
      <c r="BK1563" s="59">
        <f>SUM(AW1563:BH1563)</f>
        <v>11230000</v>
      </c>
      <c r="BL1563" s="59" cm="1">
        <f t="array" ref="BL1563">IFERROR(SUM(AW1563:INDEX(AW1563:BH1563, MATCH(2, 1/(AW1563:BH1563&lt;&gt;""), 1) - 1))/_xlfn.XLOOKUP(F1563,Apuração!A:A,Apuração!B:B),0)</f>
        <v>685833.33333333337</v>
      </c>
      <c r="BM1563" s="55" cm="1">
        <f t="array" ref="BM1563">IFERROR(
   INDEX($AW$1:$BH$1,
      _xlfn.AGGREGATE(14, 6, COLUMN($AW$1:$BH$1)/(AW1563:BH1563&lt;&gt;""), 2) - COLUMN($AW$1) + 1
   ),
"")</f>
        <v>46082</v>
      </c>
      <c r="BN1563" s="55" cm="1">
        <f t="array" ref="BN1563">IFERROR(INDEX($AW$1:$BH$1,1,MATCH(2,1/(AW1563:BH1563&lt;&gt;""))),"")</f>
        <v>46113</v>
      </c>
      <c r="BO1563" s="53">
        <f ca="1">IFERROR(_xlfn.XLOOKUP(F1563,Apuração!A:A,Apuração!C:C)/_xlfn.XLOOKUP(F1563,Apuração!A:A,Apuração!B:B),0)</f>
        <v>0.41666666666666669</v>
      </c>
      <c r="BP1563" s="53">
        <f ca="1">IFERROR(_xlfn.XLOOKUP(F1563,Apuração!A:A,Apuração!D:D)/_xlfn.XLOOKUP(F1563,Apuração!A:A,Apuração!B:B),0)</f>
        <v>0.33333333333333331</v>
      </c>
      <c r="BQ1563" s="53">
        <f ca="1">IF(BK1563&gt;=BO1563,0,_xlfn.XLOOKUP(F1563,Apuração!A:A,Apuração!B:B)*(BO1563 + (1/_xlfn.XLOOKUP(F1563,Apuração!A:A,Apuração!B:B)) - BK1563))</f>
        <v>0</v>
      </c>
      <c r="BR1563" s="85">
        <f ca="1">IF(BQ1563=0,0,BQ1563*Z1563)</f>
        <v>0</v>
      </c>
      <c r="BS1563" s="53">
        <f ca="1">IFERROR((_xlfn.XLOOKUP(F1563,Apuração!A:A,Apuração!C:C)+1)/_xlfn.XLOOKUP(F1563,Apuração!A:A,Apuração!B:B),0)</f>
        <v>0.5</v>
      </c>
    </row>
    <row r="1564" spans="1:71" ht="25.95" hidden="1" customHeight="1" x14ac:dyDescent="0.3">
      <c r="A1564" s="39" t="s">
        <v>33</v>
      </c>
      <c r="B1564" s="4" t="s">
        <v>77</v>
      </c>
      <c r="C1564" s="5" t="s">
        <v>214</v>
      </c>
      <c r="D1564" s="5" t="s">
        <v>210</v>
      </c>
      <c r="E1564" s="4" t="str" cm="1">
        <f t="array" ref="E1564">_xlfn.IFS(
F1564 = "A partir de Abril", "Aguardando Execução na Distribuidora",
A1564 = "CAPACITAÇÃO", "Em execução no Corporativo",
TRUE, "Em Execução na Distribuidora"
)</f>
        <v>Em Execução na Distribuidora</v>
      </c>
      <c r="F1564" s="4" t="str" cm="1">
        <f t="array" ref="F1564">_xlfn.IFS(
AG1564 &lt;&gt; "", "Jan-Dez/26",
AH1564 &lt;&gt; "", "Fev-Dez/26",
AI1564 &lt;&gt; "", "Mar-Dez/26", AJ1564 &lt;&gt; "", "Abr-Dez/26",
TRUE, "A partir de Junho"
)</f>
        <v>Jan-Dez/26</v>
      </c>
      <c r="G1564" s="4" t="s">
        <v>37</v>
      </c>
      <c r="H1564" s="7" t="s">
        <v>110</v>
      </c>
      <c r="I1564" s="9" t="s">
        <v>76</v>
      </c>
      <c r="J1564" s="8" t="str" cm="1">
        <f t="array" aca="1" ref="J1564" ca="1">_xlfn.LET(
  _xlpm.actual_value_month, INDEX(T1564:AE1564, MATCH(DATE(YEAR(TODAY()), MONTH(TODAY()), 1), $T$1:$AE$1, 0)),
  IF(_xlpm.actual_value_month &lt;&gt; "",_xlpm.actual_value_month &amp; " ações mensais", "")
)</f>
        <v/>
      </c>
      <c r="K1564" s="8" t="str" cm="1">
        <f t="array" ref="K1564">_xlfn.LET(
    _xlpm.sum_month, SUM(T1564:AE1564),
    IF(_xlpm.sum_month = 0, "", _xlpm.sum_month &amp; " pessoas impactadas no ano.")
)</f>
        <v/>
      </c>
      <c r="L1564" s="9" t="s">
        <v>76</v>
      </c>
      <c r="M1564" s="19">
        <v>1</v>
      </c>
      <c r="N1564" s="5" t="s">
        <v>51</v>
      </c>
      <c r="O1564" s="5" t="s">
        <v>52</v>
      </c>
      <c r="P1564" s="10" t="s">
        <v>44</v>
      </c>
      <c r="Q1564" s="10" t="s">
        <v>44</v>
      </c>
      <c r="R1564" s="11" t="s">
        <v>44</v>
      </c>
      <c r="S1564" s="11" t="s">
        <v>44</v>
      </c>
      <c r="T1564" s="22"/>
      <c r="U1564" s="22"/>
      <c r="V1564" s="22"/>
      <c r="W1564" s="22"/>
      <c r="X1564" s="22"/>
      <c r="Y1564" s="22"/>
      <c r="Z1564" s="22"/>
      <c r="AA1564" s="22"/>
      <c r="AB1564" s="22"/>
      <c r="AC1564" s="22"/>
      <c r="AD1564" s="22"/>
      <c r="AE1564" s="22"/>
      <c r="AG1564" s="154">
        <v>126000</v>
      </c>
      <c r="AH1564" s="153">
        <v>760000</v>
      </c>
      <c r="AI1564" s="153">
        <v>760000</v>
      </c>
      <c r="AJ1564" s="154">
        <v>600000</v>
      </c>
      <c r="AK1564" s="71"/>
      <c r="AL1564" s="71"/>
      <c r="AM1564" s="71"/>
      <c r="AN1564" s="71"/>
      <c r="AO1564" s="71"/>
      <c r="AP1564" s="71"/>
      <c r="AQ1564" s="71"/>
      <c r="AR1564" s="71"/>
      <c r="AS1564" s="94">
        <f t="shared" ref="AS1564:AS1568" ca="1" si="1816">IF(MONTH(TODAY())=3,SUM(T1564:U1564),IF(MONTH(TODAY())=4,SUM(T1564:V1564),IF(MONTH(TODAY())=5,SUM(T1564:W1564),IF(MONTH(TODAY())=6,SUM(T1564:X1564),IF(MONTH(TODAY())=7,SUM(T1564:Y1564),IF(MONTH(TODAY())=8,SUM(T1564:Z1564),IF(MONTH(TODAY())=9,SUM(T1564:AA1564),IF(MONTH(TODAY())=10,SUM(T1564:AB1564),IF(MONTH(TODAY())=11,SUM(T1564:AC1564),IF(MONTH(TODAY())=12,SUM(T1564:AD1564),IF(MONTH(TODAY())=1,SUM(T1564:AE1564),T1564)))))))))))</f>
        <v>0</v>
      </c>
      <c r="AT1564" s="95">
        <f t="shared" ref="AT1564:AT1568" si="1817">SUM(AG1564:AR1564)</f>
        <v>2246000</v>
      </c>
      <c r="AU1564" s="97">
        <f t="shared" ref="AU1564:AU1568" si="1818">SUM(AG1564:AR1564)</f>
        <v>2246000</v>
      </c>
      <c r="AW1564" s="83">
        <f t="shared" ref="AW1564:AW1568" si="1819">AG1564</f>
        <v>126000</v>
      </c>
      <c r="AX1564" s="83">
        <f t="shared" ref="AX1564:AX1568" si="1820">AH1564</f>
        <v>760000</v>
      </c>
      <c r="AY1564" s="83">
        <f t="shared" ref="AY1564:AY1568" si="1821">AI1564</f>
        <v>760000</v>
      </c>
      <c r="AZ1564" s="83">
        <f t="shared" ref="AZ1564:AZ1568" si="1822">AJ1564</f>
        <v>600000</v>
      </c>
      <c r="BA1564" s="52"/>
      <c r="BB1564" s="52"/>
      <c r="BC1564" s="52"/>
      <c r="BD1564" s="52"/>
      <c r="BE1564" s="52"/>
      <c r="BF1564" s="52"/>
      <c r="BG1564" s="52"/>
      <c r="BH1564" s="52"/>
      <c r="BI1564" s="68" cm="1">
        <f t="array" ref="BI1564">IFERROR(INDEX(AW1564:BH1564,1,MATCH(2,1/(AW1564:BH1564&lt;&gt;""))),"")</f>
        <v>600000</v>
      </c>
      <c r="BJ1564" s="68" cm="1">
        <f t="array" ref="BJ1564">IF(BM1564 = "", "",IFERROR(INDEX(AW1564:BH1564,1,MATCH(2,1/(AW1564:BH1564&lt;&gt;""),1)-1),""))</f>
        <v>760000</v>
      </c>
      <c r="BK1564" s="59">
        <f t="shared" ref="BK1564:BK1568" si="1823">SUM(AW1564:BH1564)</f>
        <v>2246000</v>
      </c>
      <c r="BL1564" s="59" cm="1">
        <f t="array" ref="BL1564">IFERROR(SUM(AW1564:INDEX(AW1564:BH1564, MATCH(2, 1/(AW1564:BH1564&lt;&gt;""), 1) - 1))/_xlfn.XLOOKUP(F1564,Apuração!A:A,Apuração!B:B),0)</f>
        <v>137166.66666666666</v>
      </c>
      <c r="BM1564" s="55" cm="1">
        <f t="array" ref="BM1564">IFERROR(
   INDEX($AW$1:$BH$1,
      _xlfn.AGGREGATE(14, 6, COLUMN($AW$1:$BH$1)/(AW1564:BH1564&lt;&gt;""), 2) - COLUMN($AW$1) + 1
   ),
"")</f>
        <v>46082</v>
      </c>
      <c r="BN1564" s="55" cm="1">
        <f t="array" ref="BN1564">IFERROR(INDEX($AW$1:$BH$1,1,MATCH(2,1/(AW1564:BH1564&lt;&gt;""))),"")</f>
        <v>46113</v>
      </c>
      <c r="BO1564" s="53">
        <f ca="1">IFERROR(_xlfn.XLOOKUP(F1564,Apuração!A:A,Apuração!C:C)/_xlfn.XLOOKUP(F1564,Apuração!A:A,Apuração!B:B),0)</f>
        <v>0.41666666666666669</v>
      </c>
      <c r="BP1564" s="53">
        <f ca="1">IFERROR(_xlfn.XLOOKUP(F1564,Apuração!A:A,Apuração!D:D)/_xlfn.XLOOKUP(F1564,Apuração!A:A,Apuração!B:B),0)</f>
        <v>0.33333333333333331</v>
      </c>
      <c r="BQ1564" s="53">
        <f ca="1">IF(BK1564&gt;=BO1564,0,_xlfn.XLOOKUP(F1564,Apuração!A:A,Apuração!B:B)*(BO1564 + (1/_xlfn.XLOOKUP(F1564,Apuração!A:A,Apuração!B:B)) - BK1564))</f>
        <v>0</v>
      </c>
      <c r="BR1564" s="85">
        <f t="shared" ref="BR1564:BR1568" ca="1" si="1824">IF(BQ1564=0,0,BQ1564*Z1564)</f>
        <v>0</v>
      </c>
      <c r="BS1564" s="53">
        <f ca="1">IFERROR((_xlfn.XLOOKUP(F1564,Apuração!A:A,Apuração!C:C)+1)/_xlfn.XLOOKUP(F1564,Apuração!A:A,Apuração!B:B),0)</f>
        <v>0.5</v>
      </c>
    </row>
    <row r="1565" spans="1:71" ht="25.95" hidden="1" customHeight="1" x14ac:dyDescent="0.3">
      <c r="A1565" s="39" t="s">
        <v>33</v>
      </c>
      <c r="B1565" s="4" t="s">
        <v>77</v>
      </c>
      <c r="C1565" s="5" t="s">
        <v>214</v>
      </c>
      <c r="D1565" s="5" t="s">
        <v>215</v>
      </c>
      <c r="E1565" s="4" t="str" cm="1">
        <f t="array" ref="E1565">_xlfn.IFS(
F1565 = "A partir de Abril", "Aguardando Execução na Distribuidora",
A1565 = "CAPACITAÇÃO", "Em execução no Corporativo",
TRUE, "Em Execução na Distribuidora"
)</f>
        <v>Em Execução na Distribuidora</v>
      </c>
      <c r="F1565" s="4" t="str" cm="1">
        <f t="array" ref="F1565">_xlfn.IFS(
AG1565 &lt;&gt; "", "Jan-Dez/26",
AH1565 &lt;&gt; "", "Fev-Dez/26",
AI1565 &lt;&gt; "", "Mar-Dez/26", AJ1565 &lt;&gt; "", "Abr-Dez/26",
TRUE, "A partir de Junho"
)</f>
        <v>Jan-Dez/26</v>
      </c>
      <c r="G1565" s="4" t="s">
        <v>37</v>
      </c>
      <c r="H1565" s="7" t="s">
        <v>110</v>
      </c>
      <c r="I1565" s="9" t="s">
        <v>76</v>
      </c>
      <c r="J1565" s="8" t="str" cm="1">
        <f t="array" aca="1" ref="J1565" ca="1">_xlfn.LET(
  _xlpm.actual_value_month, INDEX(T1565:AE1565, MATCH(DATE(YEAR(TODAY()), MONTH(TODAY()), 1), $T$1:$AE$1, 0)),
  IF(_xlpm.actual_value_month &lt;&gt; "",_xlpm.actual_value_month &amp; " ações mensais", "")
)</f>
        <v/>
      </c>
      <c r="K1565" s="8" t="str" cm="1">
        <f t="array" ref="K1565">_xlfn.LET(
    _xlpm.sum_month, SUM(T1565:AE1565),
    IF(_xlpm.sum_month = 0, "", _xlpm.sum_month &amp; " pessoas impactadas no ano.")
)</f>
        <v/>
      </c>
      <c r="L1565" s="9" t="s">
        <v>76</v>
      </c>
      <c r="M1565" s="19">
        <v>1</v>
      </c>
      <c r="N1565" s="5" t="s">
        <v>51</v>
      </c>
      <c r="O1565" s="5" t="s">
        <v>52</v>
      </c>
      <c r="P1565" s="10" t="s">
        <v>44</v>
      </c>
      <c r="Q1565" s="10" t="s">
        <v>44</v>
      </c>
      <c r="R1565" s="11" t="s">
        <v>44</v>
      </c>
      <c r="S1565" s="11" t="s">
        <v>44</v>
      </c>
      <c r="T1565" s="22"/>
      <c r="U1565" s="22"/>
      <c r="V1565" s="22"/>
      <c r="W1565" s="22"/>
      <c r="X1565" s="22"/>
      <c r="Y1565" s="22"/>
      <c r="Z1565" s="22"/>
      <c r="AA1565" s="22"/>
      <c r="AB1565" s="22"/>
      <c r="AC1565" s="22"/>
      <c r="AD1565" s="22"/>
      <c r="AE1565" s="22"/>
      <c r="AG1565" s="148">
        <v>126000</v>
      </c>
      <c r="AH1565" s="155">
        <v>760000</v>
      </c>
      <c r="AI1565" s="155">
        <v>760000</v>
      </c>
      <c r="AJ1565" s="148">
        <v>600000</v>
      </c>
      <c r="AK1565" s="71"/>
      <c r="AL1565" s="71"/>
      <c r="AM1565" s="71"/>
      <c r="AN1565" s="71"/>
      <c r="AO1565" s="71"/>
      <c r="AP1565" s="71"/>
      <c r="AQ1565" s="71"/>
      <c r="AR1565" s="71"/>
      <c r="AS1565" s="94">
        <f t="shared" ca="1" si="1816"/>
        <v>0</v>
      </c>
      <c r="AT1565" s="95">
        <f t="shared" si="1817"/>
        <v>2246000</v>
      </c>
      <c r="AU1565" s="97">
        <f t="shared" si="1818"/>
        <v>2246000</v>
      </c>
      <c r="AW1565" s="83">
        <f t="shared" si="1819"/>
        <v>126000</v>
      </c>
      <c r="AX1565" s="83">
        <f t="shared" si="1820"/>
        <v>760000</v>
      </c>
      <c r="AY1565" s="83">
        <f t="shared" si="1821"/>
        <v>760000</v>
      </c>
      <c r="AZ1565" s="83">
        <f t="shared" si="1822"/>
        <v>600000</v>
      </c>
      <c r="BA1565" s="52"/>
      <c r="BB1565" s="52"/>
      <c r="BC1565" s="52"/>
      <c r="BD1565" s="52"/>
      <c r="BE1565" s="52"/>
      <c r="BF1565" s="52"/>
      <c r="BG1565" s="52"/>
      <c r="BH1565" s="52"/>
      <c r="BI1565" s="68" cm="1">
        <f t="array" ref="BI1565">IFERROR(INDEX(AW1565:BH1565,1,MATCH(2,1/(AW1565:BH1565&lt;&gt;""))),"")</f>
        <v>600000</v>
      </c>
      <c r="BJ1565" s="68" cm="1">
        <f t="array" ref="BJ1565">IF(BM1565 = "", "",IFERROR(INDEX(AW1565:BH1565,1,MATCH(2,1/(AW1565:BH1565&lt;&gt;""),1)-1),""))</f>
        <v>760000</v>
      </c>
      <c r="BK1565" s="59">
        <f t="shared" si="1823"/>
        <v>2246000</v>
      </c>
      <c r="BL1565" s="59" cm="1">
        <f t="array" ref="BL1565">IFERROR(SUM(AW1565:INDEX(AW1565:BH1565, MATCH(2, 1/(AW1565:BH1565&lt;&gt;""), 1) - 1))/_xlfn.XLOOKUP(F1565,Apuração!A:A,Apuração!B:B),0)</f>
        <v>137166.66666666666</v>
      </c>
      <c r="BM1565" s="55" cm="1">
        <f t="array" ref="BM1565">IFERROR(
   INDEX($AW$1:$BH$1,
      _xlfn.AGGREGATE(14, 6, COLUMN($AW$1:$BH$1)/(AW1565:BH1565&lt;&gt;""), 2) - COLUMN($AW$1) + 1
   ),
"")</f>
        <v>46082</v>
      </c>
      <c r="BN1565" s="55" cm="1">
        <f t="array" ref="BN1565">IFERROR(INDEX($AW$1:$BH$1,1,MATCH(2,1/(AW1565:BH1565&lt;&gt;""))),"")</f>
        <v>46113</v>
      </c>
      <c r="BO1565" s="53">
        <f ca="1">IFERROR(_xlfn.XLOOKUP(F1565,Apuração!A:A,Apuração!C:C)/_xlfn.XLOOKUP(F1565,Apuração!A:A,Apuração!B:B),0)</f>
        <v>0.41666666666666669</v>
      </c>
      <c r="BP1565" s="53">
        <f ca="1">IFERROR(_xlfn.XLOOKUP(F1565,Apuração!A:A,Apuração!D:D)/_xlfn.XLOOKUP(F1565,Apuração!A:A,Apuração!B:B),0)</f>
        <v>0.33333333333333331</v>
      </c>
      <c r="BQ1565" s="53">
        <f ca="1">IF(BK1565&gt;=BO1565,0,_xlfn.XLOOKUP(F1565,Apuração!A:A,Apuração!B:B)*(BO1565 + (1/_xlfn.XLOOKUP(F1565,Apuração!A:A,Apuração!B:B)) - BK1565))</f>
        <v>0</v>
      </c>
      <c r="BR1565" s="85">
        <f t="shared" ca="1" si="1824"/>
        <v>0</v>
      </c>
      <c r="BS1565" s="53">
        <f ca="1">IFERROR((_xlfn.XLOOKUP(F1565,Apuração!A:A,Apuração!C:C)+1)/_xlfn.XLOOKUP(F1565,Apuração!A:A,Apuração!B:B),0)</f>
        <v>0.5</v>
      </c>
    </row>
    <row r="1566" spans="1:71" ht="25.95" hidden="1" customHeight="1" x14ac:dyDescent="0.3">
      <c r="A1566" s="39" t="s">
        <v>33</v>
      </c>
      <c r="B1566" s="4" t="s">
        <v>77</v>
      </c>
      <c r="C1566" s="5" t="s">
        <v>214</v>
      </c>
      <c r="D1566" s="5" t="s">
        <v>212</v>
      </c>
      <c r="E1566" s="4" t="str" cm="1">
        <f t="array" ref="E1566">_xlfn.IFS(
F1566 = "A partir de Abril", "Aguardando Execução na Distribuidora",
A1566 = "CAPACITAÇÃO", "Em execução no Corporativo",
TRUE, "Em Execução na Distribuidora"
)</f>
        <v>Em Execução na Distribuidora</v>
      </c>
      <c r="F1566" s="4" t="str" cm="1">
        <f t="array" ref="F1566">_xlfn.IFS(
AG1566 &lt;&gt; "", "Jan-Dez/26",
AH1566 &lt;&gt; "", "Fev-Dez/26",
AI1566 &lt;&gt; "", "Mar-Dez/26", AJ1566 &lt;&gt; "", "Abr-Dez/26",
TRUE, "A partir de Junho"
)</f>
        <v>Jan-Dez/26</v>
      </c>
      <c r="G1566" s="4" t="s">
        <v>37</v>
      </c>
      <c r="H1566" s="7" t="s">
        <v>110</v>
      </c>
      <c r="I1566" s="9" t="s">
        <v>76</v>
      </c>
      <c r="J1566" s="8" t="str" cm="1">
        <f t="array" aca="1" ref="J1566" ca="1">_xlfn.LET(
  _xlpm.actual_value_month, INDEX(T1566:AE1566, MATCH(DATE(YEAR(TODAY()), MONTH(TODAY()), 1), $T$1:$AE$1, 0)),
  IF(_xlpm.actual_value_month &lt;&gt; "",_xlpm.actual_value_month &amp; " ações mensais", "")
)</f>
        <v/>
      </c>
      <c r="K1566" s="8" t="str" cm="1">
        <f t="array" ref="K1566">_xlfn.LET(
    _xlpm.sum_month, SUM(T1566:AE1566),
    IF(_xlpm.sum_month = 0, "", _xlpm.sum_month &amp; " pessoas impactadas no ano.")
)</f>
        <v/>
      </c>
      <c r="L1566" s="9" t="s">
        <v>76</v>
      </c>
      <c r="M1566" s="19">
        <v>1</v>
      </c>
      <c r="N1566" s="5" t="s">
        <v>51</v>
      </c>
      <c r="O1566" s="5" t="s">
        <v>52</v>
      </c>
      <c r="P1566" s="10" t="s">
        <v>44</v>
      </c>
      <c r="Q1566" s="10" t="s">
        <v>44</v>
      </c>
      <c r="R1566" s="11" t="s">
        <v>44</v>
      </c>
      <c r="S1566" s="11" t="s">
        <v>44</v>
      </c>
      <c r="T1566" s="22"/>
      <c r="U1566" s="22"/>
      <c r="V1566" s="22"/>
      <c r="W1566" s="22"/>
      <c r="X1566" s="22"/>
      <c r="Y1566" s="22"/>
      <c r="Z1566" s="22"/>
      <c r="AA1566" s="22"/>
      <c r="AB1566" s="22"/>
      <c r="AC1566" s="22"/>
      <c r="AD1566" s="22"/>
      <c r="AE1566" s="22"/>
      <c r="AG1566" s="148">
        <v>126000</v>
      </c>
      <c r="AH1566" s="155">
        <v>760000</v>
      </c>
      <c r="AI1566" s="155">
        <v>760000</v>
      </c>
      <c r="AJ1566" s="148">
        <v>600000</v>
      </c>
      <c r="AK1566" s="71"/>
      <c r="AL1566" s="71"/>
      <c r="AM1566" s="71"/>
      <c r="AN1566" s="71"/>
      <c r="AO1566" s="71"/>
      <c r="AP1566" s="71"/>
      <c r="AQ1566" s="71"/>
      <c r="AR1566" s="71"/>
      <c r="AS1566" s="94">
        <f t="shared" ca="1" si="1816"/>
        <v>0</v>
      </c>
      <c r="AT1566" s="95">
        <f t="shared" si="1817"/>
        <v>2246000</v>
      </c>
      <c r="AU1566" s="97">
        <f t="shared" si="1818"/>
        <v>2246000</v>
      </c>
      <c r="AW1566" s="83">
        <f t="shared" si="1819"/>
        <v>126000</v>
      </c>
      <c r="AX1566" s="83">
        <f t="shared" si="1820"/>
        <v>760000</v>
      </c>
      <c r="AY1566" s="83">
        <f t="shared" si="1821"/>
        <v>760000</v>
      </c>
      <c r="AZ1566" s="83">
        <f t="shared" si="1822"/>
        <v>600000</v>
      </c>
      <c r="BA1566" s="52"/>
      <c r="BB1566" s="52"/>
      <c r="BC1566" s="52"/>
      <c r="BD1566" s="52"/>
      <c r="BE1566" s="52"/>
      <c r="BF1566" s="52"/>
      <c r="BG1566" s="52"/>
      <c r="BH1566" s="52"/>
      <c r="BI1566" s="68" cm="1">
        <f t="array" ref="BI1566">IFERROR(INDEX(AW1566:BH1566,1,MATCH(2,1/(AW1566:BH1566&lt;&gt;""))),"")</f>
        <v>600000</v>
      </c>
      <c r="BJ1566" s="68" cm="1">
        <f t="array" ref="BJ1566">IF(BM1566 = "", "",IFERROR(INDEX(AW1566:BH1566,1,MATCH(2,1/(AW1566:BH1566&lt;&gt;""),1)-1),""))</f>
        <v>760000</v>
      </c>
      <c r="BK1566" s="59">
        <f t="shared" si="1823"/>
        <v>2246000</v>
      </c>
      <c r="BL1566" s="59" cm="1">
        <f t="array" ref="BL1566">IFERROR(SUM(AW1566:INDEX(AW1566:BH1566, MATCH(2, 1/(AW1566:BH1566&lt;&gt;""), 1) - 1))/_xlfn.XLOOKUP(F1566,Apuração!A:A,Apuração!B:B),0)</f>
        <v>137166.66666666666</v>
      </c>
      <c r="BM1566" s="55" cm="1">
        <f t="array" ref="BM1566">IFERROR(
   INDEX($AW$1:$BH$1,
      _xlfn.AGGREGATE(14, 6, COLUMN($AW$1:$BH$1)/(AW1566:BH1566&lt;&gt;""), 2) - COLUMN($AW$1) + 1
   ),
"")</f>
        <v>46082</v>
      </c>
      <c r="BN1566" s="55" cm="1">
        <f t="array" ref="BN1566">IFERROR(INDEX($AW$1:$BH$1,1,MATCH(2,1/(AW1566:BH1566&lt;&gt;""))),"")</f>
        <v>46113</v>
      </c>
      <c r="BO1566" s="53">
        <f ca="1">IFERROR(_xlfn.XLOOKUP(F1566,Apuração!A:A,Apuração!C:C)/_xlfn.XLOOKUP(F1566,Apuração!A:A,Apuração!B:B),0)</f>
        <v>0.41666666666666669</v>
      </c>
      <c r="BP1566" s="53">
        <f ca="1">IFERROR(_xlfn.XLOOKUP(F1566,Apuração!A:A,Apuração!D:D)/_xlfn.XLOOKUP(F1566,Apuração!A:A,Apuração!B:B),0)</f>
        <v>0.33333333333333331</v>
      </c>
      <c r="BQ1566" s="53">
        <f ca="1">IF(BK1566&gt;=BO1566,0,_xlfn.XLOOKUP(F1566,Apuração!A:A,Apuração!B:B)*(BO1566 + (1/_xlfn.XLOOKUP(F1566,Apuração!A:A,Apuração!B:B)) - BK1566))</f>
        <v>0</v>
      </c>
      <c r="BR1566" s="85">
        <f t="shared" ca="1" si="1824"/>
        <v>0</v>
      </c>
      <c r="BS1566" s="53">
        <f ca="1">IFERROR((_xlfn.XLOOKUP(F1566,Apuração!A:A,Apuração!C:C)+1)/_xlfn.XLOOKUP(F1566,Apuração!A:A,Apuração!B:B),0)</f>
        <v>0.5</v>
      </c>
    </row>
    <row r="1567" spans="1:71" ht="25.95" hidden="1" customHeight="1" x14ac:dyDescent="0.3">
      <c r="A1567" s="39" t="s">
        <v>33</v>
      </c>
      <c r="B1567" s="4" t="s">
        <v>77</v>
      </c>
      <c r="C1567" s="5" t="s">
        <v>214</v>
      </c>
      <c r="D1567" s="5" t="s">
        <v>48</v>
      </c>
      <c r="E1567" s="4" t="str" cm="1">
        <f t="array" ref="E1567">_xlfn.IFS(
F1567 = "A partir de Abril", "Aguardando Execução na Distribuidora",
A1567 = "CAPACITAÇÃO", "Em execução no Corporativo",
TRUE, "Em Execução na Distribuidora"
)</f>
        <v>Em Execução na Distribuidora</v>
      </c>
      <c r="F1567" s="4" t="str" cm="1">
        <f t="array" ref="F1567">_xlfn.IFS(
AG1567 &lt;&gt; "", "Jan-Dez/26",
AH1567 &lt;&gt; "", "Fev-Dez/26",
AI1567 &lt;&gt; "", "Mar-Dez/26", AJ1567 &lt;&gt; "", "Abr-Dez/26",
TRUE, "A partir de Junho"
)</f>
        <v>Jan-Dez/26</v>
      </c>
      <c r="G1567" s="4" t="s">
        <v>37</v>
      </c>
      <c r="H1567" s="7" t="s">
        <v>110</v>
      </c>
      <c r="I1567" s="9" t="s">
        <v>76</v>
      </c>
      <c r="J1567" s="8" t="str" cm="1">
        <f t="array" aca="1" ref="J1567" ca="1">_xlfn.LET(
  _xlpm.actual_value_month, INDEX(T1567:AE1567, MATCH(DATE(YEAR(TODAY()), MONTH(TODAY()), 1), $T$1:$AE$1, 0)),
  IF(_xlpm.actual_value_month &lt;&gt; "",_xlpm.actual_value_month &amp; " ações mensais", "")
)</f>
        <v/>
      </c>
      <c r="K1567" s="8" t="str" cm="1">
        <f t="array" ref="K1567">_xlfn.LET(
    _xlpm.sum_month, SUM(T1567:AE1567),
    IF(_xlpm.sum_month = 0, "", _xlpm.sum_month &amp; " pessoas impactadas no ano.")
)</f>
        <v/>
      </c>
      <c r="L1567" s="9" t="s">
        <v>76</v>
      </c>
      <c r="M1567" s="19">
        <v>1</v>
      </c>
      <c r="N1567" s="5" t="s">
        <v>51</v>
      </c>
      <c r="O1567" s="5" t="s">
        <v>52</v>
      </c>
      <c r="P1567" s="10" t="s">
        <v>44</v>
      </c>
      <c r="Q1567" s="10" t="s">
        <v>44</v>
      </c>
      <c r="R1567" s="11" t="s">
        <v>44</v>
      </c>
      <c r="S1567" s="11" t="s">
        <v>44</v>
      </c>
      <c r="T1567" s="22"/>
      <c r="U1567" s="22"/>
      <c r="V1567" s="22"/>
      <c r="W1567" s="22"/>
      <c r="X1567" s="22"/>
      <c r="Y1567" s="22"/>
      <c r="Z1567" s="22"/>
      <c r="AA1567" s="22"/>
      <c r="AB1567" s="22"/>
      <c r="AC1567" s="22"/>
      <c r="AD1567" s="22"/>
      <c r="AE1567" s="22"/>
      <c r="AG1567" s="148">
        <v>126000</v>
      </c>
      <c r="AH1567" s="155">
        <v>760000</v>
      </c>
      <c r="AI1567" s="155">
        <v>760000</v>
      </c>
      <c r="AJ1567" s="148">
        <v>600000</v>
      </c>
      <c r="AK1567" s="71"/>
      <c r="AL1567" s="71"/>
      <c r="AM1567" s="71"/>
      <c r="AN1567" s="71"/>
      <c r="AO1567" s="71"/>
      <c r="AP1567" s="71"/>
      <c r="AQ1567" s="71"/>
      <c r="AR1567" s="71"/>
      <c r="AS1567" s="94">
        <f t="shared" ca="1" si="1816"/>
        <v>0</v>
      </c>
      <c r="AT1567" s="95">
        <f t="shared" si="1817"/>
        <v>2246000</v>
      </c>
      <c r="AU1567" s="97">
        <f t="shared" si="1818"/>
        <v>2246000</v>
      </c>
      <c r="AW1567" s="83">
        <f t="shared" si="1819"/>
        <v>126000</v>
      </c>
      <c r="AX1567" s="83">
        <f t="shared" si="1820"/>
        <v>760000</v>
      </c>
      <c r="AY1567" s="83">
        <f t="shared" si="1821"/>
        <v>760000</v>
      </c>
      <c r="AZ1567" s="83">
        <f t="shared" si="1822"/>
        <v>600000</v>
      </c>
      <c r="BA1567" s="52"/>
      <c r="BB1567" s="52"/>
      <c r="BC1567" s="52"/>
      <c r="BD1567" s="52"/>
      <c r="BE1567" s="52"/>
      <c r="BF1567" s="52"/>
      <c r="BG1567" s="52"/>
      <c r="BH1567" s="52"/>
      <c r="BI1567" s="68" cm="1">
        <f t="array" ref="BI1567">IFERROR(INDEX(AW1567:BH1567,1,MATCH(2,1/(AW1567:BH1567&lt;&gt;""))),"")</f>
        <v>600000</v>
      </c>
      <c r="BJ1567" s="68" cm="1">
        <f t="array" ref="BJ1567">IF(BM1567 = "", "",IFERROR(INDEX(AW1567:BH1567,1,MATCH(2,1/(AW1567:BH1567&lt;&gt;""),1)-1),""))</f>
        <v>760000</v>
      </c>
      <c r="BK1567" s="59">
        <f t="shared" si="1823"/>
        <v>2246000</v>
      </c>
      <c r="BL1567" s="59" cm="1">
        <f t="array" ref="BL1567">IFERROR(SUM(AW1567:INDEX(AW1567:BH1567, MATCH(2, 1/(AW1567:BH1567&lt;&gt;""), 1) - 1))/_xlfn.XLOOKUP(F1567,Apuração!A:A,Apuração!B:B),0)</f>
        <v>137166.66666666666</v>
      </c>
      <c r="BM1567" s="55" cm="1">
        <f t="array" ref="BM1567">IFERROR(
   INDEX($AW$1:$BH$1,
      _xlfn.AGGREGATE(14, 6, COLUMN($AW$1:$BH$1)/(AW1567:BH1567&lt;&gt;""), 2) - COLUMN($AW$1) + 1
   ),
"")</f>
        <v>46082</v>
      </c>
      <c r="BN1567" s="55" cm="1">
        <f t="array" ref="BN1567">IFERROR(INDEX($AW$1:$BH$1,1,MATCH(2,1/(AW1567:BH1567&lt;&gt;""))),"")</f>
        <v>46113</v>
      </c>
      <c r="BO1567" s="53">
        <f ca="1">IFERROR(_xlfn.XLOOKUP(F1567,Apuração!A:A,Apuração!C:C)/_xlfn.XLOOKUP(F1567,Apuração!A:A,Apuração!B:B),0)</f>
        <v>0.41666666666666669</v>
      </c>
      <c r="BP1567" s="53">
        <f ca="1">IFERROR(_xlfn.XLOOKUP(F1567,Apuração!A:A,Apuração!D:D)/_xlfn.XLOOKUP(F1567,Apuração!A:A,Apuração!B:B),0)</f>
        <v>0.33333333333333331</v>
      </c>
      <c r="BQ1567" s="53">
        <f ca="1">IF(BK1567&gt;=BO1567,0,_xlfn.XLOOKUP(F1567,Apuração!A:A,Apuração!B:B)*(BO1567 + (1/_xlfn.XLOOKUP(F1567,Apuração!A:A,Apuração!B:B)) - BK1567))</f>
        <v>0</v>
      </c>
      <c r="BR1567" s="85">
        <f t="shared" ca="1" si="1824"/>
        <v>0</v>
      </c>
      <c r="BS1567" s="53">
        <f ca="1">IFERROR((_xlfn.XLOOKUP(F1567,Apuração!A:A,Apuração!C:C)+1)/_xlfn.XLOOKUP(F1567,Apuração!A:A,Apuração!B:B),0)</f>
        <v>0.5</v>
      </c>
    </row>
    <row r="1568" spans="1:71" ht="25.95" hidden="1" customHeight="1" x14ac:dyDescent="0.3">
      <c r="A1568" s="39" t="s">
        <v>33</v>
      </c>
      <c r="B1568" s="4" t="s">
        <v>77</v>
      </c>
      <c r="C1568" s="5" t="s">
        <v>214</v>
      </c>
      <c r="D1568" s="5" t="s">
        <v>213</v>
      </c>
      <c r="E1568" s="4" t="str" cm="1">
        <f t="array" ref="E1568">_xlfn.IFS(
F1568 = "A partir de Abril", "Aguardando Execução na Distribuidora",
A1568 = "CAPACITAÇÃO", "Em execução no Corporativo",
TRUE, "Em Execução na Distribuidora"
)</f>
        <v>Em Execução na Distribuidora</v>
      </c>
      <c r="F1568" s="4" t="str" cm="1">
        <f t="array" ref="F1568">_xlfn.IFS(
AG1568 &lt;&gt; "", "Jan-Dez/26",
AH1568 &lt;&gt; "", "Fev-Dez/26",
AI1568 &lt;&gt; "", "Mar-Dez/26", AJ1568 &lt;&gt; "", "Abr-Dez/26",
TRUE, "A partir de Junho"
)</f>
        <v>Jan-Dez/26</v>
      </c>
      <c r="G1568" s="4" t="s">
        <v>37</v>
      </c>
      <c r="H1568" s="7" t="s">
        <v>110</v>
      </c>
      <c r="I1568" s="9" t="s">
        <v>76</v>
      </c>
      <c r="J1568" s="8" t="str" cm="1">
        <f t="array" aca="1" ref="J1568" ca="1">_xlfn.LET(
  _xlpm.actual_value_month, INDEX(T1568:AE1568, MATCH(DATE(YEAR(TODAY()), MONTH(TODAY()), 1), $T$1:$AE$1, 0)),
  IF(_xlpm.actual_value_month &lt;&gt; "",_xlpm.actual_value_month &amp; " ações mensais", "")
)</f>
        <v/>
      </c>
      <c r="K1568" s="8" t="str" cm="1">
        <f t="array" ref="K1568">_xlfn.LET(
    _xlpm.sum_month, SUM(T1568:AE1568),
    IF(_xlpm.sum_month = 0, "", _xlpm.sum_month &amp; " pessoas impactadas no ano.")
)</f>
        <v/>
      </c>
      <c r="L1568" s="9" t="s">
        <v>76</v>
      </c>
      <c r="M1568" s="19">
        <v>1</v>
      </c>
      <c r="N1568" s="5" t="s">
        <v>51</v>
      </c>
      <c r="O1568" s="5" t="s">
        <v>52</v>
      </c>
      <c r="P1568" s="10" t="s">
        <v>44</v>
      </c>
      <c r="Q1568" s="10" t="s">
        <v>44</v>
      </c>
      <c r="R1568" s="11" t="s">
        <v>44</v>
      </c>
      <c r="S1568" s="11" t="s">
        <v>44</v>
      </c>
      <c r="T1568" s="22"/>
      <c r="U1568" s="22"/>
      <c r="V1568" s="22"/>
      <c r="W1568" s="22"/>
      <c r="X1568" s="22"/>
      <c r="Y1568" s="22"/>
      <c r="Z1568" s="22"/>
      <c r="AA1568" s="22"/>
      <c r="AB1568" s="22"/>
      <c r="AC1568" s="22"/>
      <c r="AD1568" s="22"/>
      <c r="AE1568" s="22"/>
      <c r="AG1568" s="148">
        <v>126000</v>
      </c>
      <c r="AH1568" s="155">
        <v>760000</v>
      </c>
      <c r="AI1568" s="155">
        <v>760000</v>
      </c>
      <c r="AJ1568" s="148">
        <v>600000</v>
      </c>
      <c r="AK1568" s="71"/>
      <c r="AL1568" s="71"/>
      <c r="AM1568" s="71"/>
      <c r="AN1568" s="71"/>
      <c r="AO1568" s="71"/>
      <c r="AP1568" s="71"/>
      <c r="AQ1568" s="71"/>
      <c r="AR1568" s="71"/>
      <c r="AS1568" s="94">
        <f t="shared" ca="1" si="1816"/>
        <v>0</v>
      </c>
      <c r="AT1568" s="95">
        <f t="shared" si="1817"/>
        <v>2246000</v>
      </c>
      <c r="AU1568" s="97">
        <f t="shared" si="1818"/>
        <v>2246000</v>
      </c>
      <c r="AW1568" s="83">
        <f t="shared" si="1819"/>
        <v>126000</v>
      </c>
      <c r="AX1568" s="83">
        <f t="shared" si="1820"/>
        <v>760000</v>
      </c>
      <c r="AY1568" s="83">
        <f t="shared" si="1821"/>
        <v>760000</v>
      </c>
      <c r="AZ1568" s="83">
        <f t="shared" si="1822"/>
        <v>600000</v>
      </c>
      <c r="BA1568" s="52"/>
      <c r="BB1568" s="52"/>
      <c r="BC1568" s="52"/>
      <c r="BD1568" s="52"/>
      <c r="BE1568" s="52"/>
      <c r="BF1568" s="52"/>
      <c r="BG1568" s="52"/>
      <c r="BH1568" s="52"/>
      <c r="BI1568" s="68" cm="1">
        <f t="array" ref="BI1568">IFERROR(INDEX(AW1568:BH1568,1,MATCH(2,1/(AW1568:BH1568&lt;&gt;""))),"")</f>
        <v>600000</v>
      </c>
      <c r="BJ1568" s="68" cm="1">
        <f t="array" ref="BJ1568">IF(BM1568 = "", "",IFERROR(INDEX(AW1568:BH1568,1,MATCH(2,1/(AW1568:BH1568&lt;&gt;""),1)-1),""))</f>
        <v>760000</v>
      </c>
      <c r="BK1568" s="59">
        <f t="shared" si="1823"/>
        <v>2246000</v>
      </c>
      <c r="BL1568" s="59" cm="1">
        <f t="array" ref="BL1568">IFERROR(SUM(AW1568:INDEX(AW1568:BH1568, MATCH(2, 1/(AW1568:BH1568&lt;&gt;""), 1) - 1))/_xlfn.XLOOKUP(F1568,Apuração!A:A,Apuração!B:B),0)</f>
        <v>137166.66666666666</v>
      </c>
      <c r="BM1568" s="55" cm="1">
        <f t="array" ref="BM1568">IFERROR(
   INDEX($AW$1:$BH$1,
      _xlfn.AGGREGATE(14, 6, COLUMN($AW$1:$BH$1)/(AW1568:BH1568&lt;&gt;""), 2) - COLUMN($AW$1) + 1
   ),
"")</f>
        <v>46082</v>
      </c>
      <c r="BN1568" s="55" cm="1">
        <f t="array" ref="BN1568">IFERROR(INDEX($AW$1:$BH$1,1,MATCH(2,1/(AW1568:BH1568&lt;&gt;""))),"")</f>
        <v>46113</v>
      </c>
      <c r="BO1568" s="53">
        <f ca="1">IFERROR(_xlfn.XLOOKUP(F1568,Apuração!A:A,Apuração!C:C)/_xlfn.XLOOKUP(F1568,Apuração!A:A,Apuração!B:B),0)</f>
        <v>0.41666666666666669</v>
      </c>
      <c r="BP1568" s="53">
        <f ca="1">IFERROR(_xlfn.XLOOKUP(F1568,Apuração!A:A,Apuração!D:D)/_xlfn.XLOOKUP(F1568,Apuração!A:A,Apuração!B:B),0)</f>
        <v>0.33333333333333331</v>
      </c>
      <c r="BQ1568" s="53">
        <f ca="1">IF(BK1568&gt;=BO1568,0,_xlfn.XLOOKUP(F1568,Apuração!A:A,Apuração!B:B)*(BO1568 + (1/_xlfn.XLOOKUP(F1568,Apuração!A:A,Apuração!B:B)) - BK1568))</f>
        <v>0</v>
      </c>
      <c r="BR1568" s="85">
        <f t="shared" ca="1" si="1824"/>
        <v>0</v>
      </c>
      <c r="BS1568" s="53">
        <f ca="1">IFERROR((_xlfn.XLOOKUP(F1568,Apuração!A:A,Apuração!C:C)+1)/_xlfn.XLOOKUP(F1568,Apuração!A:A,Apuração!B:B),0)</f>
        <v>0.5</v>
      </c>
    </row>
    <row r="1569" spans="1:71" ht="25.95" hidden="1" customHeight="1" x14ac:dyDescent="0.3">
      <c r="A1569" s="3" t="s">
        <v>33</v>
      </c>
      <c r="B1569" s="4" t="s">
        <v>81</v>
      </c>
      <c r="C1569" s="5" t="s">
        <v>214</v>
      </c>
      <c r="D1569" s="5" t="s">
        <v>36</v>
      </c>
      <c r="E1569" s="4" t="str" cm="1">
        <f t="array" ref="E1569">_xlfn.IFS(
F1569 = "A partir de Abril", "Aguardando Execução na Distribuidora",
A1569 = "CAPACITAÇÃO", "Em execução no Corporativo",
TRUE, "Em Execução na Distribuidora"
)</f>
        <v>Em Execução na Distribuidora</v>
      </c>
      <c r="F1569" s="4" t="str" cm="1">
        <f t="array" ref="F1569">_xlfn.IFS(
AG1569 &lt;&gt; "", "Jan-Dez/26",
AH1569 &lt;&gt; "", "Fev-Dez/26",
AI1569 &lt;&gt; "", "Mar-Dez/26", AJ1569 &lt;&gt; "", "Abr-Dez/26",
TRUE, "A partir de Junho"
)</f>
        <v>Jan-Dez/26</v>
      </c>
      <c r="G1569" s="4" t="s">
        <v>37</v>
      </c>
      <c r="H1569" s="7" t="s">
        <v>110</v>
      </c>
      <c r="I1569" s="8" t="s">
        <v>55</v>
      </c>
      <c r="J1569" s="8" t="str" cm="1">
        <f t="array" aca="1" ref="J1569" ca="1">_xlfn.LET(
  _xlpm.actual_value_month, INDEX(T1569:AE1569, MATCH(DATE(YEAR(TODAY()), MONTH(TODAY()), 1), $T$1:$AE$1, 0)),
  IF(_xlpm.actual_value_month &lt;&gt; "",_xlpm.actual_value_month &amp; " eventos mensais", "")
)</f>
        <v>10 eventos mensais</v>
      </c>
      <c r="K1569" s="8" t="str" cm="1">
        <f t="array" ref="K1569">_xlfn.LET(
    _xlpm.sum_month, SUM(T1569:AE1569),
    IF(_xlpm.sum_month = 0, "", _xlpm.sum_month &amp; "  eventos no ano")
)</f>
        <v>115  eventos no ano</v>
      </c>
      <c r="L1569" s="9" t="s">
        <v>82</v>
      </c>
      <c r="M1569" s="13" t="s">
        <v>83</v>
      </c>
      <c r="N1569" s="5" t="s">
        <v>42</v>
      </c>
      <c r="O1569" s="5" t="s">
        <v>43</v>
      </c>
      <c r="P1569" s="10" t="s">
        <v>44</v>
      </c>
      <c r="Q1569" s="10" t="s">
        <v>44</v>
      </c>
      <c r="R1569" s="11" t="s">
        <v>44</v>
      </c>
      <c r="S1569" s="11" t="s">
        <v>44</v>
      </c>
      <c r="T1569" s="22">
        <v>10</v>
      </c>
      <c r="U1569" s="22">
        <v>5</v>
      </c>
      <c r="V1569" s="22">
        <v>10</v>
      </c>
      <c r="W1569" s="22">
        <v>10</v>
      </c>
      <c r="X1569" s="22">
        <v>10</v>
      </c>
      <c r="Y1569" s="22">
        <v>10</v>
      </c>
      <c r="Z1569" s="22">
        <v>10</v>
      </c>
      <c r="AA1569" s="22">
        <v>10</v>
      </c>
      <c r="AB1569" s="22">
        <v>10</v>
      </c>
      <c r="AC1569" s="22">
        <v>10</v>
      </c>
      <c r="AD1569" s="22">
        <v>10</v>
      </c>
      <c r="AE1569" s="22">
        <v>10</v>
      </c>
      <c r="AG1569" s="71">
        <v>10</v>
      </c>
      <c r="AH1569" s="71">
        <v>5</v>
      </c>
      <c r="AI1569" s="71">
        <v>10</v>
      </c>
      <c r="AJ1569" s="71">
        <v>5</v>
      </c>
      <c r="AK1569" s="71"/>
      <c r="AL1569" s="71"/>
      <c r="AM1569" s="71"/>
      <c r="AN1569" s="71"/>
      <c r="AO1569" s="71"/>
      <c r="AP1569" s="71"/>
      <c r="AQ1569" s="71"/>
      <c r="AR1569" s="71"/>
      <c r="AS1569" s="94">
        <f ca="1">IF(MONTH(TODAY())=3,SUM(T1569:U1569),IF(MONTH(TODAY())=4,SUM(T1569:V1569),IF(MONTH(TODAY())=5,SUM(T1569:W1569),IF(MONTH(TODAY())=6,SUM(T1569:X1569),IF(MONTH(TODAY())=7,SUM(T1569:Y1569),IF(MONTH(TODAY())=8,SUM(T1569:Z1569),IF(MONTH(TODAY())=9,SUM(T1569:AA1569),IF(MONTH(TODAY())=10,SUM(T1569:AB1569),IF(MONTH(TODAY())=11,SUM(T1569:AC1569),IF(MONTH(TODAY())=12,SUM(T1569:AD1569),IF(MONTH(TODAY())=1,SUM(T1569:AE1569),T1569)))))))))))</f>
        <v>45</v>
      </c>
      <c r="AT1569" s="95">
        <f>SUM(IF(AW1569&lt;1.15,AG1569,1.15*T1569),IF(AX1569&lt;1.15,AH1569,1.15*U1569),IF(AY1569&lt;1.15,AI1569,1.15*V1569),IF(AZ1569&lt;1.15,AJ1569,1.15*W1569),IF(BA1569&lt;1.15,AK1569,1.15*X1569),IF(BB1569&lt;1.15,AL1569,1.15*Y1569),IF(BC1569&lt;1.15,AM1569,1.15*Z1569),IF(BD1569&lt;1.15,AN1569,1.15*AA1569),IF(BE1569&lt;1.15,AO1569,1.15*AB1569),IF(BF1569&lt;1.15,AP1569,1.15*AC1569),IF(BG1569&lt;1.15,AQ1569,1.15*AD1569),IF(BH1569&lt;1.15,AR1569,1.15*AE1569))</f>
        <v>30</v>
      </c>
      <c r="AU1569" s="97">
        <f>SUM(AG1569:AR1569)</f>
        <v>30</v>
      </c>
      <c r="AW1569" s="51">
        <f>IFERROR(IF(AG1569="",0,AG1569/T1569),0)</f>
        <v>1</v>
      </c>
      <c r="AX1569" s="51">
        <f>IFERROR(IF(AH1569="",0,AH1569/U1569),0)</f>
        <v>1</v>
      </c>
      <c r="AY1569" s="51">
        <f>IFERROR(IF(AI1569="",0,AI1569/V1569),0)</f>
        <v>1</v>
      </c>
      <c r="AZ1569" s="51">
        <f>IFERROR(IF(AJ1569="",0,AJ1569/W1569),0)</f>
        <v>0.5</v>
      </c>
      <c r="BA1569" s="51"/>
      <c r="BB1569" s="51"/>
      <c r="BC1569" s="51"/>
      <c r="BD1569" s="51"/>
      <c r="BE1569" s="51"/>
      <c r="BF1569" s="51"/>
      <c r="BG1569" s="51"/>
      <c r="BH1569" s="51"/>
      <c r="BI1569" s="65" cm="1">
        <f t="array" ref="BI1569">IFERROR(INDEX(AW1569:BH1569,1,MATCH(2,1/(AW1569:BH1569&lt;&gt;""))),"")</f>
        <v>0.5</v>
      </c>
      <c r="BJ1569" s="68" cm="1">
        <f t="array" ref="BJ1569">IF(BM1569 = "", "",IFERROR(INDEX(AW1569:BH1569,1,MATCH(2,1/(AW1569:BH1569&lt;&gt;""),1)-1),""))</f>
        <v>1</v>
      </c>
      <c r="BK1569" s="58">
        <f>IF((IF(AW1569&gt;=115%,115%,AW1569) + IF(AX1569&gt;=115%,115%,AX1569) + IF(AY1569&gt;=115%,115%,AY1569) + (IF(AZ1569&gt;=115%,115%,AZ1569) + IF(BA1569&gt;=140%,140%,BA1569) + IF(BB1569&gt;=200%,200%,BB1569) + IF(BC1569&gt;=120%,120%,BC1569) + IF(BD1569&gt;=115%,115%,BD1569) + IF(BE1569&gt;=115%,115%,BE1569) + IF(BF1569&gt;=120%,120%,BF1569) + IF(BG1569&gt;=115%,115%,BG1569) + IF(BH1569&gt;=200%,200%,BH1569)))/_xlfn.XLOOKUP(F1569,Apuração!A:A,Apuração!B:B)&gt;=1.15,1.15,((IF(AZ1569&gt;=115%,115%,AZ1569) + IF(AX1569&gt;=115%,115%,AX1569) + IF(AY1569&gt;=115%,115%,AY1569) + (IF(AW1569&gt;=115%,115%,AW1569) + IF(BA1569&gt;=140%,140%,BA1569) + IF(BB1569&gt;=200%,200%,BB1569) + IF(BC1569&gt;=120%,120%,BC1569) + IF(BD1569&gt;=115%,115%,BD1569) + IF(BE1569&gt;=115%,115%,BE1569) + IF(BF1569&gt;=120%,120%,BF1569) + IF(BG1569&gt;=115%,115%,BG1569) + IF(BH1569&gt;=200%,200%,BH1569)))/_xlfn.XLOOKUP(F1569,Apuração!A:A,Apuração!B:B)))</f>
        <v>0.29166666666666669</v>
      </c>
      <c r="BL1569" s="58" cm="1">
        <f t="array" aca="1" ref="BL1569" ca="1">IF(SUM(IFERROR(IF(INDEX(AW1569:INDEX(AW1569:BH1569, MATCH(2, 1/(AW1569:BH1569&lt;&gt;""), 1)-1), ROW(INDIRECT("1:" &amp; MATCH(2, 1/(AW1569:BH1569&lt;&gt;""), 1)-1))) &gt;= 115%, 115%, INDEX(AW1569:INDEX(AW1569:BH1569, MATCH(2, 1/(AW1569:BH1569&lt;&gt;""), 1)-1), ROW(INDIRECT("1:" &amp; MATCH(2, 1/(AW1569:BH1569&lt;&gt;""), 1)-1)))), 0))/_xlfn.XLOOKUP(F1569,Apuração!A:A,Apuração!B:B)&gt;=1.15,1.15,SUM(IFERROR(IF(INDEX(AW1569:INDEX(AW1569:BH1569, MATCH(2, 1/(AW1569:BH1569&lt;&gt;""), 1)-1), ROW(INDIRECT("1:" &amp; MATCH(2, 1/(AW1569:BH1569&lt;&gt;""), 1)-1))) &gt;= 115%, 115%, INDEX(AW1569:INDEX(AW1569:BH1569, MATCH(2, 1/(AW1569:BH1569&lt;&gt;""), 1)-1), ROW(INDIRECT("1:" &amp; MATCH(2, 1/(AW1569:BH1569&lt;&gt;""), 1)-1)))), 0))/_xlfn.XLOOKUP(F1569,Apuração!A:A,Apuração!B:B))</f>
        <v>0.25</v>
      </c>
      <c r="BM1569" s="55" cm="1">
        <f t="array" ref="BM1569">IFERROR(
   INDEX($AW$1:$BH$1,
      _xlfn.AGGREGATE(14, 6, COLUMN($AW$1:$BH$1)/(AW1569:BH1569&lt;&gt;""), 2) - COLUMN($AW$1) + 1
   ),
"")</f>
        <v>46082</v>
      </c>
      <c r="BN1569" s="55" cm="1">
        <f t="array" ref="BN1569">IFERROR(INDEX($AW$1:$BH$1,1,MATCH(2,1/(AW1569:BH1569&lt;&gt;""))),"")</f>
        <v>46113</v>
      </c>
      <c r="BO1569" s="53">
        <f ca="1">IFERROR(_xlfn.XLOOKUP(F1569,Apuração!A:A,Apuração!C:C)/_xlfn.XLOOKUP(F1569,Apuração!A:A,Apuração!B:B),0)</f>
        <v>0.41666666666666669</v>
      </c>
      <c r="BP1569" s="53">
        <f ca="1">IFERROR(_xlfn.XLOOKUP(F1569,Apuração!A:A,Apuração!D:D)/_xlfn.XLOOKUP(F1569,Apuração!A:A,Apuração!B:B),0)</f>
        <v>0.33333333333333331</v>
      </c>
      <c r="BQ1569" s="53">
        <f ca="1">IF(BK1569&gt;=BO1569,0,_xlfn.XLOOKUP(F1569,Apuração!A:A,Apuração!B:B)*(BO1569 + (1/_xlfn.XLOOKUP(F1569,Apuração!A:A,Apuração!B:B)) - BK1569))</f>
        <v>2.5</v>
      </c>
      <c r="BR1569" s="85">
        <f ca="1">IF(BQ1569=0,0,BQ1569*Z1569)</f>
        <v>25</v>
      </c>
      <c r="BS1569" s="53">
        <f ca="1">IFERROR((_xlfn.XLOOKUP(F1569,Apuração!A:A,Apuração!C:C)+1)/_xlfn.XLOOKUP(F1569,Apuração!A:A,Apuração!B:B),0)</f>
        <v>0.5</v>
      </c>
    </row>
    <row r="1570" spans="1:71" ht="25.95" hidden="1" customHeight="1" x14ac:dyDescent="0.3">
      <c r="A1570" s="3" t="s">
        <v>33</v>
      </c>
      <c r="B1570" s="4" t="s">
        <v>81</v>
      </c>
      <c r="C1570" s="5" t="s">
        <v>214</v>
      </c>
      <c r="D1570" s="5" t="s">
        <v>210</v>
      </c>
      <c r="E1570" s="4" t="str" cm="1">
        <f t="array" ref="E1570">_xlfn.IFS(
F1570 = "A partir de Abril", "Aguardando Execução na Distribuidora",
A1570 = "CAPACITAÇÃO", "Em execução no Corporativo",
TRUE, "Em Execução na Distribuidora"
)</f>
        <v>Em Execução na Distribuidora</v>
      </c>
      <c r="F1570" s="4" t="str" cm="1">
        <f t="array" ref="F1570">_xlfn.IFS(
AG1570 &lt;&gt; "", "Jan-Dez/26",
AH1570 &lt;&gt; "", "Fev-Dez/26",
AI1570 &lt;&gt; "", "Mar-Dez/26", AJ1570 &lt;&gt; "", "Abr-Dez/26",
TRUE, "A partir de Junho"
)</f>
        <v>Jan-Dez/26</v>
      </c>
      <c r="G1570" s="4" t="s">
        <v>37</v>
      </c>
      <c r="H1570" s="7" t="s">
        <v>110</v>
      </c>
      <c r="I1570" s="8" t="s">
        <v>55</v>
      </c>
      <c r="J1570" s="8" t="str" cm="1">
        <f t="array" aca="1" ref="J1570" ca="1">_xlfn.LET(
  _xlpm.actual_value_month, INDEX(T1570:AE1570, MATCH(DATE(YEAR(TODAY()), MONTH(TODAY()), 1), $T$1:$AE$1, 0)),
  IF(_xlpm.actual_value_month &lt;&gt; "",_xlpm.actual_value_month &amp; " eventos mensais", "")
)</f>
        <v>2 eventos mensais</v>
      </c>
      <c r="K1570" s="8" t="str" cm="1">
        <f t="array" ref="K1570">_xlfn.LET(
    _xlpm.sum_month, SUM(T1570:AE1570),
    IF(_xlpm.sum_month = 0, "", _xlpm.sum_month &amp; "  eventos no ano")
)</f>
        <v>23  eventos no ano</v>
      </c>
      <c r="L1570" s="9" t="s">
        <v>82</v>
      </c>
      <c r="M1570" s="13" t="s">
        <v>83</v>
      </c>
      <c r="N1570" s="5" t="s">
        <v>42</v>
      </c>
      <c r="O1570" s="5" t="s">
        <v>43</v>
      </c>
      <c r="P1570" s="10" t="s">
        <v>44</v>
      </c>
      <c r="Q1570" s="10" t="s">
        <v>44</v>
      </c>
      <c r="R1570" s="11" t="s">
        <v>44</v>
      </c>
      <c r="S1570" s="11" t="s">
        <v>44</v>
      </c>
      <c r="T1570" s="143">
        <v>2</v>
      </c>
      <c r="U1570" s="143">
        <v>1</v>
      </c>
      <c r="V1570" s="143">
        <v>2</v>
      </c>
      <c r="W1570" s="143">
        <v>2</v>
      </c>
      <c r="X1570" s="143">
        <v>2</v>
      </c>
      <c r="Y1570" s="143">
        <v>2</v>
      </c>
      <c r="Z1570" s="143">
        <v>2</v>
      </c>
      <c r="AA1570" s="143">
        <v>2</v>
      </c>
      <c r="AB1570" s="143">
        <v>2</v>
      </c>
      <c r="AC1570" s="143">
        <v>2</v>
      </c>
      <c r="AD1570" s="143">
        <v>2</v>
      </c>
      <c r="AE1570" s="143">
        <v>2</v>
      </c>
      <c r="AG1570" s="145">
        <v>2</v>
      </c>
      <c r="AH1570" s="149">
        <v>1</v>
      </c>
      <c r="AI1570" s="149">
        <v>2</v>
      </c>
      <c r="AJ1570" s="145">
        <v>3</v>
      </c>
      <c r="AK1570" s="71"/>
      <c r="AL1570" s="71"/>
      <c r="AM1570" s="71"/>
      <c r="AN1570" s="71"/>
      <c r="AO1570" s="71"/>
      <c r="AP1570" s="71"/>
      <c r="AQ1570" s="71"/>
      <c r="AR1570" s="71"/>
      <c r="AS1570" s="94">
        <f t="shared" ref="AS1570:AS1574" ca="1" si="1825">IF(MONTH(TODAY())=3,SUM(T1570:U1570),IF(MONTH(TODAY())=4,SUM(T1570:V1570),IF(MONTH(TODAY())=5,SUM(T1570:W1570),IF(MONTH(TODAY())=6,SUM(T1570:X1570),IF(MONTH(TODAY())=7,SUM(T1570:Y1570),IF(MONTH(TODAY())=8,SUM(T1570:Z1570),IF(MONTH(TODAY())=9,SUM(T1570:AA1570),IF(MONTH(TODAY())=10,SUM(T1570:AB1570),IF(MONTH(TODAY())=11,SUM(T1570:AC1570),IF(MONTH(TODAY())=12,SUM(T1570:AD1570),IF(MONTH(TODAY())=1,SUM(T1570:AE1570),T1570)))))))))))</f>
        <v>9</v>
      </c>
      <c r="AT1570" s="95">
        <f t="shared" ref="AT1570:AT1574" si="1826">SUM(IF(AW1570&lt;1.15,AG1570,1.15*T1570),IF(AX1570&lt;1.15,AH1570,1.15*U1570),IF(AY1570&lt;1.15,AI1570,1.15*V1570),IF(AZ1570&lt;1.15,AJ1570,1.15*W1570),IF(BA1570&lt;1.15,AK1570,1.15*X1570),IF(BB1570&lt;1.15,AL1570,1.15*Y1570),IF(BC1570&lt;1.15,AM1570,1.15*Z1570),IF(BD1570&lt;1.15,AN1570,1.15*AA1570),IF(BE1570&lt;1.15,AO1570,1.15*AB1570),IF(BF1570&lt;1.15,AP1570,1.15*AC1570),IF(BG1570&lt;1.15,AQ1570,1.15*AD1570),IF(BH1570&lt;1.15,AR1570,1.15*AE1570))</f>
        <v>7.3</v>
      </c>
      <c r="AU1570" s="97">
        <f t="shared" ref="AU1570:AU1574" si="1827">SUM(AG1570:AR1570)</f>
        <v>8</v>
      </c>
      <c r="AW1570" s="51">
        <f t="shared" ref="AW1570:AW1574" si="1828">IFERROR(IF(AG1570="",0,AG1570/T1570),0)</f>
        <v>1</v>
      </c>
      <c r="AX1570" s="51">
        <f t="shared" ref="AX1570:AX1574" si="1829">IFERROR(IF(AH1570="",0,AH1570/U1570),0)</f>
        <v>1</v>
      </c>
      <c r="AY1570" s="51">
        <f t="shared" ref="AY1570:AY1574" si="1830">IFERROR(IF(AI1570="",0,AI1570/V1570),0)</f>
        <v>1</v>
      </c>
      <c r="AZ1570" s="51">
        <f t="shared" ref="AZ1570:AZ1574" si="1831">IFERROR(IF(AJ1570="",0,AJ1570/W1570),0)</f>
        <v>1.5</v>
      </c>
      <c r="BA1570" s="51"/>
      <c r="BB1570" s="51"/>
      <c r="BC1570" s="51"/>
      <c r="BD1570" s="51"/>
      <c r="BE1570" s="51"/>
      <c r="BF1570" s="51"/>
      <c r="BG1570" s="51"/>
      <c r="BH1570" s="51"/>
      <c r="BI1570" s="65" cm="1">
        <f t="array" ref="BI1570">IFERROR(INDEX(AW1570:BH1570,1,MATCH(2,1/(AW1570:BH1570&lt;&gt;""))),"")</f>
        <v>1.5</v>
      </c>
      <c r="BJ1570" s="68" cm="1">
        <f t="array" ref="BJ1570">IF(BM1570 = "", "",IFERROR(INDEX(AW1570:BH1570,1,MATCH(2,1/(AW1570:BH1570&lt;&gt;""),1)-1),""))</f>
        <v>1</v>
      </c>
      <c r="BK1570" s="58">
        <f>IF((IF(AW1570&gt;=115%,115%,AW1570) + IF(AX1570&gt;=115%,115%,AX1570) + IF(AY1570&gt;=115%,115%,AY1570) + (IF(AZ1570&gt;=115%,115%,AZ1570) + IF(BA1570&gt;=140%,140%,BA1570) + IF(BB1570&gt;=200%,200%,BB1570) + IF(BC1570&gt;=120%,120%,BC1570) + IF(BD1570&gt;=115%,115%,BD1570) + IF(BE1570&gt;=115%,115%,BE1570) + IF(BF1570&gt;=120%,120%,BF1570) + IF(BG1570&gt;=115%,115%,BG1570) + IF(BH1570&gt;=200%,200%,BH1570)))/_xlfn.XLOOKUP(F1570,Apuração!A:A,Apuração!B:B)&gt;=1.15,1.15,((IF(AZ1570&gt;=115%,115%,AZ1570) + IF(AX1570&gt;=115%,115%,AX1570) + IF(AY1570&gt;=115%,115%,AY1570) + (IF(AW1570&gt;=115%,115%,AW1570) + IF(BA1570&gt;=140%,140%,BA1570) + IF(BB1570&gt;=200%,200%,BB1570) + IF(BC1570&gt;=120%,120%,BC1570) + IF(BD1570&gt;=115%,115%,BD1570) + IF(BE1570&gt;=115%,115%,BE1570) + IF(BF1570&gt;=120%,120%,BF1570) + IF(BG1570&gt;=115%,115%,BG1570) + IF(BH1570&gt;=200%,200%,BH1570)))/_xlfn.XLOOKUP(F1570,Apuração!A:A,Apuração!B:B)))</f>
        <v>0.34583333333333338</v>
      </c>
      <c r="BL1570" s="58" cm="1">
        <f t="array" aca="1" ref="BL1570" ca="1">IF(SUM(IFERROR(IF(INDEX(AW1570:INDEX(AW1570:BH1570, MATCH(2, 1/(AW1570:BH1570&lt;&gt;""), 1)-1), ROW(INDIRECT("1:" &amp; MATCH(2, 1/(AW1570:BH1570&lt;&gt;""), 1)-1))) &gt;= 115%, 115%, INDEX(AW1570:INDEX(AW1570:BH1570, MATCH(2, 1/(AW1570:BH1570&lt;&gt;""), 1)-1), ROW(INDIRECT("1:" &amp; MATCH(2, 1/(AW1570:BH1570&lt;&gt;""), 1)-1)))), 0))/_xlfn.XLOOKUP(F1570,Apuração!A:A,Apuração!B:B)&gt;=1.15,1.15,SUM(IFERROR(IF(INDEX(AW1570:INDEX(AW1570:BH1570, MATCH(2, 1/(AW1570:BH1570&lt;&gt;""), 1)-1), ROW(INDIRECT("1:" &amp; MATCH(2, 1/(AW1570:BH1570&lt;&gt;""), 1)-1))) &gt;= 115%, 115%, INDEX(AW1570:INDEX(AW1570:BH1570, MATCH(2, 1/(AW1570:BH1570&lt;&gt;""), 1)-1), ROW(INDIRECT("1:" &amp; MATCH(2, 1/(AW1570:BH1570&lt;&gt;""), 1)-1)))), 0))/_xlfn.XLOOKUP(F1570,Apuração!A:A,Apuração!B:B))</f>
        <v>0.25</v>
      </c>
      <c r="BM1570" s="55" cm="1">
        <f t="array" ref="BM1570">IFERROR(
   INDEX($AW$1:$BH$1,
      _xlfn.AGGREGATE(14, 6, COLUMN($AW$1:$BH$1)/(AW1570:BH1570&lt;&gt;""), 2) - COLUMN($AW$1) + 1
   ),
"")</f>
        <v>46082</v>
      </c>
      <c r="BN1570" s="55" cm="1">
        <f t="array" ref="BN1570">IFERROR(INDEX($AW$1:$BH$1,1,MATCH(2,1/(AW1570:BH1570&lt;&gt;""))),"")</f>
        <v>46113</v>
      </c>
      <c r="BO1570" s="53">
        <f ca="1">IFERROR(_xlfn.XLOOKUP(F1570,Apuração!A:A,Apuração!C:C)/_xlfn.XLOOKUP(F1570,Apuração!A:A,Apuração!B:B),0)</f>
        <v>0.41666666666666669</v>
      </c>
      <c r="BP1570" s="53">
        <f ca="1">IFERROR(_xlfn.XLOOKUP(F1570,Apuração!A:A,Apuração!D:D)/_xlfn.XLOOKUP(F1570,Apuração!A:A,Apuração!B:B),0)</f>
        <v>0.33333333333333331</v>
      </c>
      <c r="BQ1570" s="53">
        <f ca="1">IF(BK1570&gt;=BO1570,0,_xlfn.XLOOKUP(F1570,Apuração!A:A,Apuração!B:B)*(BO1570 + (1/_xlfn.XLOOKUP(F1570,Apuração!A:A,Apuração!B:B)) - BK1570))</f>
        <v>1.8499999999999994</v>
      </c>
      <c r="BR1570" s="85">
        <f t="shared" ref="BR1570:BR1574" ca="1" si="1832">IF(BQ1570=0,0,BQ1570*Z1570)</f>
        <v>3.6999999999999988</v>
      </c>
      <c r="BS1570" s="53">
        <f ca="1">IFERROR((_xlfn.XLOOKUP(F1570,Apuração!A:A,Apuração!C:C)+1)/_xlfn.XLOOKUP(F1570,Apuração!A:A,Apuração!B:B),0)</f>
        <v>0.5</v>
      </c>
    </row>
    <row r="1571" spans="1:71" ht="25.95" hidden="1" customHeight="1" x14ac:dyDescent="0.3">
      <c r="A1571" s="3" t="s">
        <v>33</v>
      </c>
      <c r="B1571" s="4" t="s">
        <v>81</v>
      </c>
      <c r="C1571" s="5" t="s">
        <v>214</v>
      </c>
      <c r="D1571" s="5" t="s">
        <v>215</v>
      </c>
      <c r="E1571" s="4" t="str" cm="1">
        <f t="array" ref="E1571">_xlfn.IFS(
F1571 = "A partir de Abril", "Aguardando Execução na Distribuidora",
A1571 = "CAPACITAÇÃO", "Em execução no Corporativo",
TRUE, "Em Execução na Distribuidora"
)</f>
        <v>Em Execução na Distribuidora</v>
      </c>
      <c r="F1571" s="4" t="str" cm="1">
        <f t="array" ref="F1571">_xlfn.IFS(
AG1571 &lt;&gt; "", "Jan-Dez/26",
AH1571 &lt;&gt; "", "Fev-Dez/26",
AI1571 &lt;&gt; "", "Mar-Dez/26", AJ1571 &lt;&gt; "", "Abr-Dez/26",
TRUE, "A partir de Junho"
)</f>
        <v>Jan-Dez/26</v>
      </c>
      <c r="G1571" s="4" t="s">
        <v>37</v>
      </c>
      <c r="H1571" s="7" t="s">
        <v>110</v>
      </c>
      <c r="I1571" s="8" t="s">
        <v>55</v>
      </c>
      <c r="J1571" s="8" t="str" cm="1">
        <f t="array" aca="1" ref="J1571" ca="1">_xlfn.LET(
  _xlpm.actual_value_month, INDEX(T1571:AE1571, MATCH(DATE(YEAR(TODAY()), MONTH(TODAY()), 1), $T$1:$AE$1, 0)),
  IF(_xlpm.actual_value_month &lt;&gt; "",_xlpm.actual_value_month &amp; " eventos mensais", "")
)</f>
        <v>2 eventos mensais</v>
      </c>
      <c r="K1571" s="8" t="str" cm="1">
        <f t="array" ref="K1571">_xlfn.LET(
    _xlpm.sum_month, SUM(T1571:AE1571),
    IF(_xlpm.sum_month = 0, "", _xlpm.sum_month &amp; "  eventos no ano")
)</f>
        <v>23  eventos no ano</v>
      </c>
      <c r="L1571" s="9" t="s">
        <v>82</v>
      </c>
      <c r="M1571" s="13" t="s">
        <v>83</v>
      </c>
      <c r="N1571" s="5" t="s">
        <v>42</v>
      </c>
      <c r="O1571" s="5" t="s">
        <v>43</v>
      </c>
      <c r="P1571" s="10" t="s">
        <v>44</v>
      </c>
      <c r="Q1571" s="10" t="s">
        <v>44</v>
      </c>
      <c r="R1571" s="11" t="s">
        <v>44</v>
      </c>
      <c r="S1571" s="11" t="s">
        <v>44</v>
      </c>
      <c r="T1571" s="143">
        <v>2</v>
      </c>
      <c r="U1571" s="143">
        <v>1</v>
      </c>
      <c r="V1571" s="143">
        <v>2</v>
      </c>
      <c r="W1571" s="143">
        <v>2</v>
      </c>
      <c r="X1571" s="143">
        <v>2</v>
      </c>
      <c r="Y1571" s="143">
        <v>2</v>
      </c>
      <c r="Z1571" s="143">
        <v>2</v>
      </c>
      <c r="AA1571" s="143">
        <v>2</v>
      </c>
      <c r="AB1571" s="143">
        <v>2</v>
      </c>
      <c r="AC1571" s="143">
        <v>2</v>
      </c>
      <c r="AD1571" s="143">
        <v>2</v>
      </c>
      <c r="AE1571" s="143">
        <v>2</v>
      </c>
      <c r="AG1571" s="146">
        <v>2</v>
      </c>
      <c r="AH1571" s="150">
        <v>1</v>
      </c>
      <c r="AI1571" s="150">
        <v>2</v>
      </c>
      <c r="AJ1571" s="146">
        <v>0</v>
      </c>
      <c r="AK1571" s="71"/>
      <c r="AL1571" s="71"/>
      <c r="AM1571" s="71"/>
      <c r="AN1571" s="71"/>
      <c r="AO1571" s="71"/>
      <c r="AP1571" s="71"/>
      <c r="AQ1571" s="71"/>
      <c r="AR1571" s="71"/>
      <c r="AS1571" s="94">
        <f t="shared" ca="1" si="1825"/>
        <v>9</v>
      </c>
      <c r="AT1571" s="95">
        <f t="shared" si="1826"/>
        <v>5</v>
      </c>
      <c r="AU1571" s="97">
        <f t="shared" si="1827"/>
        <v>5</v>
      </c>
      <c r="AW1571" s="51">
        <f t="shared" si="1828"/>
        <v>1</v>
      </c>
      <c r="AX1571" s="51">
        <f t="shared" si="1829"/>
        <v>1</v>
      </c>
      <c r="AY1571" s="51">
        <f t="shared" si="1830"/>
        <v>1</v>
      </c>
      <c r="AZ1571" s="51">
        <f t="shared" si="1831"/>
        <v>0</v>
      </c>
      <c r="BA1571" s="51"/>
      <c r="BB1571" s="51"/>
      <c r="BC1571" s="51"/>
      <c r="BD1571" s="51"/>
      <c r="BE1571" s="51"/>
      <c r="BF1571" s="51"/>
      <c r="BG1571" s="51"/>
      <c r="BH1571" s="51"/>
      <c r="BI1571" s="65" cm="1">
        <f t="array" ref="BI1571">IFERROR(INDEX(AW1571:BH1571,1,MATCH(2,1/(AW1571:BH1571&lt;&gt;""))),"")</f>
        <v>0</v>
      </c>
      <c r="BJ1571" s="68" cm="1">
        <f t="array" ref="BJ1571">IF(BM1571 = "", "",IFERROR(INDEX(AW1571:BH1571,1,MATCH(2,1/(AW1571:BH1571&lt;&gt;""),1)-1),""))</f>
        <v>1</v>
      </c>
      <c r="BK1571" s="58">
        <f>IF((IF(AW1571&gt;=115%,115%,AW1571) + IF(AX1571&gt;=115%,115%,AX1571) + IF(AY1571&gt;=115%,115%,AY1571) + (IF(AZ1571&gt;=115%,115%,AZ1571) + IF(BA1571&gt;=140%,140%,BA1571) + IF(BB1571&gt;=200%,200%,BB1571) + IF(BC1571&gt;=120%,120%,BC1571) + IF(BD1571&gt;=115%,115%,BD1571) + IF(BE1571&gt;=115%,115%,BE1571) + IF(BF1571&gt;=120%,120%,BF1571) + IF(BG1571&gt;=115%,115%,BG1571) + IF(BH1571&gt;=200%,200%,BH1571)))/_xlfn.XLOOKUP(F1571,Apuração!A:A,Apuração!B:B)&gt;=1.15,1.15,((IF(AZ1571&gt;=115%,115%,AZ1571) + IF(AX1571&gt;=115%,115%,AX1571) + IF(AY1571&gt;=115%,115%,AY1571) + (IF(AW1571&gt;=115%,115%,AW1571) + IF(BA1571&gt;=140%,140%,BA1571) + IF(BB1571&gt;=200%,200%,BB1571) + IF(BC1571&gt;=120%,120%,BC1571) + IF(BD1571&gt;=115%,115%,BD1571) + IF(BE1571&gt;=115%,115%,BE1571) + IF(BF1571&gt;=120%,120%,BF1571) + IF(BG1571&gt;=115%,115%,BG1571) + IF(BH1571&gt;=200%,200%,BH1571)))/_xlfn.XLOOKUP(F1571,Apuração!A:A,Apuração!B:B)))</f>
        <v>0.25</v>
      </c>
      <c r="BL1571" s="58" cm="1">
        <f t="array" aca="1" ref="BL1571" ca="1">IF(SUM(IFERROR(IF(INDEX(AW1571:INDEX(AW1571:BH1571, MATCH(2, 1/(AW1571:BH1571&lt;&gt;""), 1)-1), ROW(INDIRECT("1:" &amp; MATCH(2, 1/(AW1571:BH1571&lt;&gt;""), 1)-1))) &gt;= 115%, 115%, INDEX(AW1571:INDEX(AW1571:BH1571, MATCH(2, 1/(AW1571:BH1571&lt;&gt;""), 1)-1), ROW(INDIRECT("1:" &amp; MATCH(2, 1/(AW1571:BH1571&lt;&gt;""), 1)-1)))), 0))/_xlfn.XLOOKUP(F1571,Apuração!A:A,Apuração!B:B)&gt;=1.15,1.15,SUM(IFERROR(IF(INDEX(AW1571:INDEX(AW1571:BH1571, MATCH(2, 1/(AW1571:BH1571&lt;&gt;""), 1)-1), ROW(INDIRECT("1:" &amp; MATCH(2, 1/(AW1571:BH1571&lt;&gt;""), 1)-1))) &gt;= 115%, 115%, INDEX(AW1571:INDEX(AW1571:BH1571, MATCH(2, 1/(AW1571:BH1571&lt;&gt;""), 1)-1), ROW(INDIRECT("1:" &amp; MATCH(2, 1/(AW1571:BH1571&lt;&gt;""), 1)-1)))), 0))/_xlfn.XLOOKUP(F1571,Apuração!A:A,Apuração!B:B))</f>
        <v>0.25</v>
      </c>
      <c r="BM1571" s="55" cm="1">
        <f t="array" ref="BM1571">IFERROR(
   INDEX($AW$1:$BH$1,
      _xlfn.AGGREGATE(14, 6, COLUMN($AW$1:$BH$1)/(AW1571:BH1571&lt;&gt;""), 2) - COLUMN($AW$1) + 1
   ),
"")</f>
        <v>46082</v>
      </c>
      <c r="BN1571" s="55" cm="1">
        <f t="array" ref="BN1571">IFERROR(INDEX($AW$1:$BH$1,1,MATCH(2,1/(AW1571:BH1571&lt;&gt;""))),"")</f>
        <v>46113</v>
      </c>
      <c r="BO1571" s="53">
        <f ca="1">IFERROR(_xlfn.XLOOKUP(F1571,Apuração!A:A,Apuração!C:C)/_xlfn.XLOOKUP(F1571,Apuração!A:A,Apuração!B:B),0)</f>
        <v>0.41666666666666669</v>
      </c>
      <c r="BP1571" s="53">
        <f ca="1">IFERROR(_xlfn.XLOOKUP(F1571,Apuração!A:A,Apuração!D:D)/_xlfn.XLOOKUP(F1571,Apuração!A:A,Apuração!B:B),0)</f>
        <v>0.33333333333333331</v>
      </c>
      <c r="BQ1571" s="53">
        <f ca="1">IF(BK1571&gt;=BO1571,0,_xlfn.XLOOKUP(F1571,Apuração!A:A,Apuração!B:B)*(BO1571 + (1/_xlfn.XLOOKUP(F1571,Apuração!A:A,Apuração!B:B)) - BK1571))</f>
        <v>3</v>
      </c>
      <c r="BR1571" s="85">
        <f t="shared" ca="1" si="1832"/>
        <v>6</v>
      </c>
      <c r="BS1571" s="53">
        <f ca="1">IFERROR((_xlfn.XLOOKUP(F1571,Apuração!A:A,Apuração!C:C)+1)/_xlfn.XLOOKUP(F1571,Apuração!A:A,Apuração!B:B),0)</f>
        <v>0.5</v>
      </c>
    </row>
    <row r="1572" spans="1:71" ht="25.95" hidden="1" customHeight="1" x14ac:dyDescent="0.3">
      <c r="A1572" s="3" t="s">
        <v>33</v>
      </c>
      <c r="B1572" s="4" t="s">
        <v>81</v>
      </c>
      <c r="C1572" s="5" t="s">
        <v>214</v>
      </c>
      <c r="D1572" s="5" t="s">
        <v>212</v>
      </c>
      <c r="E1572" s="4" t="str" cm="1">
        <f t="array" ref="E1572">_xlfn.IFS(
F1572 = "A partir de Abril", "Aguardando Execução na Distribuidora",
A1572 = "CAPACITAÇÃO", "Em execução no Corporativo",
TRUE, "Em Execução na Distribuidora"
)</f>
        <v>Em Execução na Distribuidora</v>
      </c>
      <c r="F1572" s="4" t="str" cm="1">
        <f t="array" ref="F1572">_xlfn.IFS(
AG1572 &lt;&gt; "", "Jan-Dez/26",
AH1572 &lt;&gt; "", "Fev-Dez/26",
AI1572 &lt;&gt; "", "Mar-Dez/26", AJ1572 &lt;&gt; "", "Abr-Dez/26",
TRUE, "A partir de Junho"
)</f>
        <v>Jan-Dez/26</v>
      </c>
      <c r="G1572" s="4" t="s">
        <v>37</v>
      </c>
      <c r="H1572" s="7" t="s">
        <v>110</v>
      </c>
      <c r="I1572" s="8" t="s">
        <v>55</v>
      </c>
      <c r="J1572" s="8" t="str" cm="1">
        <f t="array" aca="1" ref="J1572" ca="1">_xlfn.LET(
  _xlpm.actual_value_month, INDEX(T1572:AE1572, MATCH(DATE(YEAR(TODAY()), MONTH(TODAY()), 1), $T$1:$AE$1, 0)),
  IF(_xlpm.actual_value_month &lt;&gt; "",_xlpm.actual_value_month &amp; " eventos mensais", "")
)</f>
        <v>2 eventos mensais</v>
      </c>
      <c r="K1572" s="8" t="str" cm="1">
        <f t="array" ref="K1572">_xlfn.LET(
    _xlpm.sum_month, SUM(T1572:AE1572),
    IF(_xlpm.sum_month = 0, "", _xlpm.sum_month &amp; "  eventos no ano")
)</f>
        <v>23  eventos no ano</v>
      </c>
      <c r="L1572" s="9" t="s">
        <v>82</v>
      </c>
      <c r="M1572" s="13" t="s">
        <v>83</v>
      </c>
      <c r="N1572" s="5" t="s">
        <v>42</v>
      </c>
      <c r="O1572" s="5" t="s">
        <v>43</v>
      </c>
      <c r="P1572" s="10" t="s">
        <v>44</v>
      </c>
      <c r="Q1572" s="10" t="s">
        <v>44</v>
      </c>
      <c r="R1572" s="11" t="s">
        <v>44</v>
      </c>
      <c r="S1572" s="11" t="s">
        <v>44</v>
      </c>
      <c r="T1572" s="143">
        <v>2</v>
      </c>
      <c r="U1572" s="143">
        <v>1</v>
      </c>
      <c r="V1572" s="143">
        <v>2</v>
      </c>
      <c r="W1572" s="143">
        <v>2</v>
      </c>
      <c r="X1572" s="143">
        <v>2</v>
      </c>
      <c r="Y1572" s="143">
        <v>2</v>
      </c>
      <c r="Z1572" s="143">
        <v>2</v>
      </c>
      <c r="AA1572" s="143">
        <v>2</v>
      </c>
      <c r="AB1572" s="143">
        <v>2</v>
      </c>
      <c r="AC1572" s="143">
        <v>2</v>
      </c>
      <c r="AD1572" s="143">
        <v>2</v>
      </c>
      <c r="AE1572" s="143">
        <v>2</v>
      </c>
      <c r="AG1572" s="146">
        <v>2</v>
      </c>
      <c r="AH1572" s="150">
        <v>1</v>
      </c>
      <c r="AI1572" s="150">
        <v>2</v>
      </c>
      <c r="AJ1572" s="146">
        <v>1</v>
      </c>
      <c r="AK1572" s="71"/>
      <c r="AL1572" s="71"/>
      <c r="AM1572" s="71"/>
      <c r="AN1572" s="71"/>
      <c r="AO1572" s="71"/>
      <c r="AP1572" s="71"/>
      <c r="AQ1572" s="71"/>
      <c r="AR1572" s="71"/>
      <c r="AS1572" s="94">
        <f t="shared" ca="1" si="1825"/>
        <v>9</v>
      </c>
      <c r="AT1572" s="95">
        <f t="shared" si="1826"/>
        <v>6</v>
      </c>
      <c r="AU1572" s="97">
        <f t="shared" si="1827"/>
        <v>6</v>
      </c>
      <c r="AW1572" s="51">
        <f t="shared" si="1828"/>
        <v>1</v>
      </c>
      <c r="AX1572" s="51">
        <f t="shared" si="1829"/>
        <v>1</v>
      </c>
      <c r="AY1572" s="51">
        <f t="shared" si="1830"/>
        <v>1</v>
      </c>
      <c r="AZ1572" s="51">
        <f t="shared" si="1831"/>
        <v>0.5</v>
      </c>
      <c r="BA1572" s="51"/>
      <c r="BB1572" s="51"/>
      <c r="BC1572" s="51"/>
      <c r="BD1572" s="51"/>
      <c r="BE1572" s="51"/>
      <c r="BF1572" s="51"/>
      <c r="BG1572" s="51"/>
      <c r="BH1572" s="51"/>
      <c r="BI1572" s="65" cm="1">
        <f t="array" ref="BI1572">IFERROR(INDEX(AW1572:BH1572,1,MATCH(2,1/(AW1572:BH1572&lt;&gt;""))),"")</f>
        <v>0.5</v>
      </c>
      <c r="BJ1572" s="68" cm="1">
        <f t="array" ref="BJ1572">IF(BM1572 = "", "",IFERROR(INDEX(AW1572:BH1572,1,MATCH(2,1/(AW1572:BH1572&lt;&gt;""),1)-1),""))</f>
        <v>1</v>
      </c>
      <c r="BK1572" s="58">
        <f>IF((IF(AW1572&gt;=115%,115%,AW1572) + IF(AX1572&gt;=115%,115%,AX1572) + IF(AY1572&gt;=115%,115%,AY1572) + (IF(AZ1572&gt;=115%,115%,AZ1572) + IF(BA1572&gt;=140%,140%,BA1572) + IF(BB1572&gt;=200%,200%,BB1572) + IF(BC1572&gt;=120%,120%,BC1572) + IF(BD1572&gt;=115%,115%,BD1572) + IF(BE1572&gt;=115%,115%,BE1572) + IF(BF1572&gt;=120%,120%,BF1572) + IF(BG1572&gt;=115%,115%,BG1572) + IF(BH1572&gt;=200%,200%,BH1572)))/_xlfn.XLOOKUP(F1572,Apuração!A:A,Apuração!B:B)&gt;=1.15,1.15,((IF(AZ1572&gt;=115%,115%,AZ1572) + IF(AX1572&gt;=115%,115%,AX1572) + IF(AY1572&gt;=115%,115%,AY1572) + (IF(AW1572&gt;=115%,115%,AW1572) + IF(BA1572&gt;=140%,140%,BA1572) + IF(BB1572&gt;=200%,200%,BB1572) + IF(BC1572&gt;=120%,120%,BC1572) + IF(BD1572&gt;=115%,115%,BD1572) + IF(BE1572&gt;=115%,115%,BE1572) + IF(BF1572&gt;=120%,120%,BF1572) + IF(BG1572&gt;=115%,115%,BG1572) + IF(BH1572&gt;=200%,200%,BH1572)))/_xlfn.XLOOKUP(F1572,Apuração!A:A,Apuração!B:B)))</f>
        <v>0.29166666666666669</v>
      </c>
      <c r="BL1572" s="58" cm="1">
        <f t="array" aca="1" ref="BL1572" ca="1">IF(SUM(IFERROR(IF(INDEX(AW1572:INDEX(AW1572:BH1572, MATCH(2, 1/(AW1572:BH1572&lt;&gt;""), 1)-1), ROW(INDIRECT("1:" &amp; MATCH(2, 1/(AW1572:BH1572&lt;&gt;""), 1)-1))) &gt;= 115%, 115%, INDEX(AW1572:INDEX(AW1572:BH1572, MATCH(2, 1/(AW1572:BH1572&lt;&gt;""), 1)-1), ROW(INDIRECT("1:" &amp; MATCH(2, 1/(AW1572:BH1572&lt;&gt;""), 1)-1)))), 0))/_xlfn.XLOOKUP(F1572,Apuração!A:A,Apuração!B:B)&gt;=1.15,1.15,SUM(IFERROR(IF(INDEX(AW1572:INDEX(AW1572:BH1572, MATCH(2, 1/(AW1572:BH1572&lt;&gt;""), 1)-1), ROW(INDIRECT("1:" &amp; MATCH(2, 1/(AW1572:BH1572&lt;&gt;""), 1)-1))) &gt;= 115%, 115%, INDEX(AW1572:INDEX(AW1572:BH1572, MATCH(2, 1/(AW1572:BH1572&lt;&gt;""), 1)-1), ROW(INDIRECT("1:" &amp; MATCH(2, 1/(AW1572:BH1572&lt;&gt;""), 1)-1)))), 0))/_xlfn.XLOOKUP(F1572,Apuração!A:A,Apuração!B:B))</f>
        <v>0.25</v>
      </c>
      <c r="BM1572" s="55" cm="1">
        <f t="array" ref="BM1572">IFERROR(
   INDEX($AW$1:$BH$1,
      _xlfn.AGGREGATE(14, 6, COLUMN($AW$1:$BH$1)/(AW1572:BH1572&lt;&gt;""), 2) - COLUMN($AW$1) + 1
   ),
"")</f>
        <v>46082</v>
      </c>
      <c r="BN1572" s="55" cm="1">
        <f t="array" ref="BN1572">IFERROR(INDEX($AW$1:$BH$1,1,MATCH(2,1/(AW1572:BH1572&lt;&gt;""))),"")</f>
        <v>46113</v>
      </c>
      <c r="BO1572" s="53">
        <f ca="1">IFERROR(_xlfn.XLOOKUP(F1572,Apuração!A:A,Apuração!C:C)/_xlfn.XLOOKUP(F1572,Apuração!A:A,Apuração!B:B),0)</f>
        <v>0.41666666666666669</v>
      </c>
      <c r="BP1572" s="53">
        <f ca="1">IFERROR(_xlfn.XLOOKUP(F1572,Apuração!A:A,Apuração!D:D)/_xlfn.XLOOKUP(F1572,Apuração!A:A,Apuração!B:B),0)</f>
        <v>0.33333333333333331</v>
      </c>
      <c r="BQ1572" s="53">
        <f ca="1">IF(BK1572&gt;=BO1572,0,_xlfn.XLOOKUP(F1572,Apuração!A:A,Apuração!B:B)*(BO1572 + (1/_xlfn.XLOOKUP(F1572,Apuração!A:A,Apuração!B:B)) - BK1572))</f>
        <v>2.5</v>
      </c>
      <c r="BR1572" s="85">
        <f t="shared" ca="1" si="1832"/>
        <v>5</v>
      </c>
      <c r="BS1572" s="53">
        <f ca="1">IFERROR((_xlfn.XLOOKUP(F1572,Apuração!A:A,Apuração!C:C)+1)/_xlfn.XLOOKUP(F1572,Apuração!A:A,Apuração!B:B),0)</f>
        <v>0.5</v>
      </c>
    </row>
    <row r="1573" spans="1:71" ht="25.95" hidden="1" customHeight="1" x14ac:dyDescent="0.3">
      <c r="A1573" s="3" t="s">
        <v>33</v>
      </c>
      <c r="B1573" s="4" t="s">
        <v>81</v>
      </c>
      <c r="C1573" s="5" t="s">
        <v>214</v>
      </c>
      <c r="D1573" s="5" t="s">
        <v>48</v>
      </c>
      <c r="E1573" s="4" t="str" cm="1">
        <f t="array" ref="E1573">_xlfn.IFS(
F1573 = "A partir de Abril", "Aguardando Execução na Distribuidora",
A1573 = "CAPACITAÇÃO", "Em execução no Corporativo",
TRUE, "Em Execução na Distribuidora"
)</f>
        <v>Em Execução na Distribuidora</v>
      </c>
      <c r="F1573" s="4" t="str" cm="1">
        <f t="array" ref="F1573">_xlfn.IFS(
AG1573 &lt;&gt; "", "Jan-Dez/26",
AH1573 &lt;&gt; "", "Fev-Dez/26",
AI1573 &lt;&gt; "", "Mar-Dez/26", AJ1573 &lt;&gt; "", "Abr-Dez/26",
TRUE, "A partir de Junho"
)</f>
        <v>Jan-Dez/26</v>
      </c>
      <c r="G1573" s="4" t="s">
        <v>37</v>
      </c>
      <c r="H1573" s="7" t="s">
        <v>110</v>
      </c>
      <c r="I1573" s="8" t="s">
        <v>55</v>
      </c>
      <c r="J1573" s="8" t="str" cm="1">
        <f t="array" aca="1" ref="J1573" ca="1">_xlfn.LET(
  _xlpm.actual_value_month, INDEX(T1573:AE1573, MATCH(DATE(YEAR(TODAY()), MONTH(TODAY()), 1), $T$1:$AE$1, 0)),
  IF(_xlpm.actual_value_month &lt;&gt; "",_xlpm.actual_value_month &amp; " eventos mensais", "")
)</f>
        <v>2 eventos mensais</v>
      </c>
      <c r="K1573" s="8" t="str" cm="1">
        <f t="array" ref="K1573">_xlfn.LET(
    _xlpm.sum_month, SUM(T1573:AE1573),
    IF(_xlpm.sum_month = 0, "", _xlpm.sum_month &amp; "  eventos no ano")
)</f>
        <v>23  eventos no ano</v>
      </c>
      <c r="L1573" s="9" t="s">
        <v>82</v>
      </c>
      <c r="M1573" s="13" t="s">
        <v>83</v>
      </c>
      <c r="N1573" s="5" t="s">
        <v>42</v>
      </c>
      <c r="O1573" s="5" t="s">
        <v>43</v>
      </c>
      <c r="P1573" s="10" t="s">
        <v>44</v>
      </c>
      <c r="Q1573" s="10" t="s">
        <v>44</v>
      </c>
      <c r="R1573" s="11" t="s">
        <v>44</v>
      </c>
      <c r="S1573" s="11" t="s">
        <v>44</v>
      </c>
      <c r="T1573" s="143">
        <v>2</v>
      </c>
      <c r="U1573" s="143">
        <v>1</v>
      </c>
      <c r="V1573" s="143">
        <v>2</v>
      </c>
      <c r="W1573" s="143">
        <v>2</v>
      </c>
      <c r="X1573" s="143">
        <v>2</v>
      </c>
      <c r="Y1573" s="143">
        <v>2</v>
      </c>
      <c r="Z1573" s="143">
        <v>2</v>
      </c>
      <c r="AA1573" s="143">
        <v>2</v>
      </c>
      <c r="AB1573" s="143">
        <v>2</v>
      </c>
      <c r="AC1573" s="143">
        <v>2</v>
      </c>
      <c r="AD1573" s="143">
        <v>2</v>
      </c>
      <c r="AE1573" s="143">
        <v>2</v>
      </c>
      <c r="AG1573" s="146">
        <v>2</v>
      </c>
      <c r="AH1573" s="150">
        <v>1</v>
      </c>
      <c r="AI1573" s="150">
        <v>2</v>
      </c>
      <c r="AJ1573" s="146">
        <v>1</v>
      </c>
      <c r="AK1573" s="71"/>
      <c r="AL1573" s="71"/>
      <c r="AM1573" s="71"/>
      <c r="AN1573" s="71"/>
      <c r="AO1573" s="71"/>
      <c r="AP1573" s="71"/>
      <c r="AQ1573" s="71"/>
      <c r="AR1573" s="71"/>
      <c r="AS1573" s="94">
        <f t="shared" ca="1" si="1825"/>
        <v>9</v>
      </c>
      <c r="AT1573" s="95">
        <f t="shared" si="1826"/>
        <v>6</v>
      </c>
      <c r="AU1573" s="97">
        <f t="shared" si="1827"/>
        <v>6</v>
      </c>
      <c r="AW1573" s="51">
        <f t="shared" si="1828"/>
        <v>1</v>
      </c>
      <c r="AX1573" s="51">
        <f t="shared" si="1829"/>
        <v>1</v>
      </c>
      <c r="AY1573" s="51">
        <f t="shared" si="1830"/>
        <v>1</v>
      </c>
      <c r="AZ1573" s="51">
        <f t="shared" si="1831"/>
        <v>0.5</v>
      </c>
      <c r="BA1573" s="51"/>
      <c r="BB1573" s="51"/>
      <c r="BC1573" s="51"/>
      <c r="BD1573" s="51"/>
      <c r="BE1573" s="51"/>
      <c r="BF1573" s="51"/>
      <c r="BG1573" s="51"/>
      <c r="BH1573" s="51"/>
      <c r="BI1573" s="65" cm="1">
        <f t="array" ref="BI1573">IFERROR(INDEX(AW1573:BH1573,1,MATCH(2,1/(AW1573:BH1573&lt;&gt;""))),"")</f>
        <v>0.5</v>
      </c>
      <c r="BJ1573" s="68" cm="1">
        <f t="array" ref="BJ1573">IF(BM1573 = "", "",IFERROR(INDEX(AW1573:BH1573,1,MATCH(2,1/(AW1573:BH1573&lt;&gt;""),1)-1),""))</f>
        <v>1</v>
      </c>
      <c r="BK1573" s="58">
        <f>IF((IF(AW1573&gt;=115%,115%,AW1573) + IF(AX1573&gt;=115%,115%,AX1573) + IF(AY1573&gt;=115%,115%,AY1573) + (IF(AZ1573&gt;=115%,115%,AZ1573) + IF(BA1573&gt;=140%,140%,BA1573) + IF(BB1573&gt;=200%,200%,BB1573) + IF(BC1573&gt;=120%,120%,BC1573) + IF(BD1573&gt;=115%,115%,BD1573) + IF(BE1573&gt;=115%,115%,BE1573) + IF(BF1573&gt;=120%,120%,BF1573) + IF(BG1573&gt;=115%,115%,BG1573) + IF(BH1573&gt;=200%,200%,BH1573)))/_xlfn.XLOOKUP(F1573,Apuração!A:A,Apuração!B:B)&gt;=1.15,1.15,((IF(AZ1573&gt;=115%,115%,AZ1573) + IF(AX1573&gt;=115%,115%,AX1573) + IF(AY1573&gt;=115%,115%,AY1573) + (IF(AW1573&gt;=115%,115%,AW1573) + IF(BA1573&gt;=140%,140%,BA1573) + IF(BB1573&gt;=200%,200%,BB1573) + IF(BC1573&gt;=120%,120%,BC1573) + IF(BD1573&gt;=115%,115%,BD1573) + IF(BE1573&gt;=115%,115%,BE1573) + IF(BF1573&gt;=120%,120%,BF1573) + IF(BG1573&gt;=115%,115%,BG1573) + IF(BH1573&gt;=200%,200%,BH1573)))/_xlfn.XLOOKUP(F1573,Apuração!A:A,Apuração!B:B)))</f>
        <v>0.29166666666666669</v>
      </c>
      <c r="BL1573" s="58" cm="1">
        <f t="array" aca="1" ref="BL1573" ca="1">IF(SUM(IFERROR(IF(INDEX(AW1573:INDEX(AW1573:BH1573, MATCH(2, 1/(AW1573:BH1573&lt;&gt;""), 1)-1), ROW(INDIRECT("1:" &amp; MATCH(2, 1/(AW1573:BH1573&lt;&gt;""), 1)-1))) &gt;= 115%, 115%, INDEX(AW1573:INDEX(AW1573:BH1573, MATCH(2, 1/(AW1573:BH1573&lt;&gt;""), 1)-1), ROW(INDIRECT("1:" &amp; MATCH(2, 1/(AW1573:BH1573&lt;&gt;""), 1)-1)))), 0))/_xlfn.XLOOKUP(F1573,Apuração!A:A,Apuração!B:B)&gt;=1.15,1.15,SUM(IFERROR(IF(INDEX(AW1573:INDEX(AW1573:BH1573, MATCH(2, 1/(AW1573:BH1573&lt;&gt;""), 1)-1), ROW(INDIRECT("1:" &amp; MATCH(2, 1/(AW1573:BH1573&lt;&gt;""), 1)-1))) &gt;= 115%, 115%, INDEX(AW1573:INDEX(AW1573:BH1573, MATCH(2, 1/(AW1573:BH1573&lt;&gt;""), 1)-1), ROW(INDIRECT("1:" &amp; MATCH(2, 1/(AW1573:BH1573&lt;&gt;""), 1)-1)))), 0))/_xlfn.XLOOKUP(F1573,Apuração!A:A,Apuração!B:B))</f>
        <v>0.25</v>
      </c>
      <c r="BM1573" s="55" cm="1">
        <f t="array" ref="BM1573">IFERROR(
   INDEX($AW$1:$BH$1,
      _xlfn.AGGREGATE(14, 6, COLUMN($AW$1:$BH$1)/(AW1573:BH1573&lt;&gt;""), 2) - COLUMN($AW$1) + 1
   ),
"")</f>
        <v>46082</v>
      </c>
      <c r="BN1573" s="55" cm="1">
        <f t="array" ref="BN1573">IFERROR(INDEX($AW$1:$BH$1,1,MATCH(2,1/(AW1573:BH1573&lt;&gt;""))),"")</f>
        <v>46113</v>
      </c>
      <c r="BO1573" s="53">
        <f ca="1">IFERROR(_xlfn.XLOOKUP(F1573,Apuração!A:A,Apuração!C:C)/_xlfn.XLOOKUP(F1573,Apuração!A:A,Apuração!B:B),0)</f>
        <v>0.41666666666666669</v>
      </c>
      <c r="BP1573" s="53">
        <f ca="1">IFERROR(_xlfn.XLOOKUP(F1573,Apuração!A:A,Apuração!D:D)/_xlfn.XLOOKUP(F1573,Apuração!A:A,Apuração!B:B),0)</f>
        <v>0.33333333333333331</v>
      </c>
      <c r="BQ1573" s="53">
        <f ca="1">IF(BK1573&gt;=BO1573,0,_xlfn.XLOOKUP(F1573,Apuração!A:A,Apuração!B:B)*(BO1573 + (1/_xlfn.XLOOKUP(F1573,Apuração!A:A,Apuração!B:B)) - BK1573))</f>
        <v>2.5</v>
      </c>
      <c r="BR1573" s="85">
        <f t="shared" ca="1" si="1832"/>
        <v>5</v>
      </c>
      <c r="BS1573" s="53">
        <f ca="1">IFERROR((_xlfn.XLOOKUP(F1573,Apuração!A:A,Apuração!C:C)+1)/_xlfn.XLOOKUP(F1573,Apuração!A:A,Apuração!B:B),0)</f>
        <v>0.5</v>
      </c>
    </row>
    <row r="1574" spans="1:71" ht="25.95" hidden="1" customHeight="1" x14ac:dyDescent="0.3">
      <c r="A1574" s="3" t="s">
        <v>33</v>
      </c>
      <c r="B1574" s="4" t="s">
        <v>81</v>
      </c>
      <c r="C1574" s="5" t="s">
        <v>214</v>
      </c>
      <c r="D1574" s="5" t="s">
        <v>213</v>
      </c>
      <c r="E1574" s="4" t="str" cm="1">
        <f t="array" ref="E1574">_xlfn.IFS(
F1574 = "A partir de Abril", "Aguardando Execução na Distribuidora",
A1574 = "CAPACITAÇÃO", "Em execução no Corporativo",
TRUE, "Em Execução na Distribuidora"
)</f>
        <v>Em Execução na Distribuidora</v>
      </c>
      <c r="F1574" s="4" t="str" cm="1">
        <f t="array" ref="F1574">_xlfn.IFS(
AG1574 &lt;&gt; "", "Jan-Dez/26",
AH1574 &lt;&gt; "", "Fev-Dez/26",
AI1574 &lt;&gt; "", "Mar-Dez/26", AJ1574 &lt;&gt; "", "Abr-Dez/26",
TRUE, "A partir de Junho"
)</f>
        <v>Jan-Dez/26</v>
      </c>
      <c r="G1574" s="4" t="s">
        <v>37</v>
      </c>
      <c r="H1574" s="7" t="s">
        <v>110</v>
      </c>
      <c r="I1574" s="8" t="s">
        <v>55</v>
      </c>
      <c r="J1574" s="8" t="str" cm="1">
        <f t="array" aca="1" ref="J1574" ca="1">_xlfn.LET(
  _xlpm.actual_value_month, INDEX(T1574:AE1574, MATCH(DATE(YEAR(TODAY()), MONTH(TODAY()), 1), $T$1:$AE$1, 0)),
  IF(_xlpm.actual_value_month &lt;&gt; "",_xlpm.actual_value_month &amp; " eventos mensais", "")
)</f>
        <v>2 eventos mensais</v>
      </c>
      <c r="K1574" s="8" t="str" cm="1">
        <f t="array" ref="K1574">_xlfn.LET(
    _xlpm.sum_month, SUM(T1574:AE1574),
    IF(_xlpm.sum_month = 0, "", _xlpm.sum_month &amp; "  eventos no ano")
)</f>
        <v>23  eventos no ano</v>
      </c>
      <c r="L1574" s="9" t="s">
        <v>82</v>
      </c>
      <c r="M1574" s="13" t="s">
        <v>83</v>
      </c>
      <c r="N1574" s="5" t="s">
        <v>42</v>
      </c>
      <c r="O1574" s="5" t="s">
        <v>43</v>
      </c>
      <c r="P1574" s="10" t="s">
        <v>44</v>
      </c>
      <c r="Q1574" s="10" t="s">
        <v>44</v>
      </c>
      <c r="R1574" s="11" t="s">
        <v>44</v>
      </c>
      <c r="S1574" s="11" t="s">
        <v>44</v>
      </c>
      <c r="T1574" s="143">
        <v>2</v>
      </c>
      <c r="U1574" s="143">
        <v>1</v>
      </c>
      <c r="V1574" s="143">
        <v>2</v>
      </c>
      <c r="W1574" s="143">
        <v>2</v>
      </c>
      <c r="X1574" s="143">
        <v>2</v>
      </c>
      <c r="Y1574" s="143">
        <v>2</v>
      </c>
      <c r="Z1574" s="143">
        <v>2</v>
      </c>
      <c r="AA1574" s="143">
        <v>2</v>
      </c>
      <c r="AB1574" s="143">
        <v>2</v>
      </c>
      <c r="AC1574" s="143">
        <v>2</v>
      </c>
      <c r="AD1574" s="143">
        <v>2</v>
      </c>
      <c r="AE1574" s="143">
        <v>2</v>
      </c>
      <c r="AG1574" s="146">
        <v>2</v>
      </c>
      <c r="AH1574" s="150">
        <v>1</v>
      </c>
      <c r="AI1574" s="150">
        <v>2</v>
      </c>
      <c r="AJ1574" s="146">
        <v>0</v>
      </c>
      <c r="AK1574" s="71"/>
      <c r="AL1574" s="71"/>
      <c r="AM1574" s="71"/>
      <c r="AN1574" s="71"/>
      <c r="AO1574" s="71"/>
      <c r="AP1574" s="71"/>
      <c r="AQ1574" s="71"/>
      <c r="AR1574" s="71"/>
      <c r="AS1574" s="94">
        <f t="shared" ca="1" si="1825"/>
        <v>9</v>
      </c>
      <c r="AT1574" s="95">
        <f t="shared" si="1826"/>
        <v>5</v>
      </c>
      <c r="AU1574" s="97">
        <f t="shared" si="1827"/>
        <v>5</v>
      </c>
      <c r="AW1574" s="51">
        <f t="shared" si="1828"/>
        <v>1</v>
      </c>
      <c r="AX1574" s="51">
        <f t="shared" si="1829"/>
        <v>1</v>
      </c>
      <c r="AY1574" s="51">
        <f t="shared" si="1830"/>
        <v>1</v>
      </c>
      <c r="AZ1574" s="51">
        <f t="shared" si="1831"/>
        <v>0</v>
      </c>
      <c r="BA1574" s="51"/>
      <c r="BB1574" s="51"/>
      <c r="BC1574" s="51"/>
      <c r="BD1574" s="51"/>
      <c r="BE1574" s="51"/>
      <c r="BF1574" s="51"/>
      <c r="BG1574" s="51"/>
      <c r="BH1574" s="51"/>
      <c r="BI1574" s="65" cm="1">
        <f t="array" ref="BI1574">IFERROR(INDEX(AW1574:BH1574,1,MATCH(2,1/(AW1574:BH1574&lt;&gt;""))),"")</f>
        <v>0</v>
      </c>
      <c r="BJ1574" s="68" cm="1">
        <f t="array" ref="BJ1574">IF(BM1574 = "", "",IFERROR(INDEX(AW1574:BH1574,1,MATCH(2,1/(AW1574:BH1574&lt;&gt;""),1)-1),""))</f>
        <v>1</v>
      </c>
      <c r="BK1574" s="58">
        <f>IF((IF(AW1574&gt;=115%,115%,AW1574) + IF(AX1574&gt;=115%,115%,AX1574) + IF(AY1574&gt;=115%,115%,AY1574) + (IF(AZ1574&gt;=115%,115%,AZ1574) + IF(BA1574&gt;=140%,140%,BA1574) + IF(BB1574&gt;=200%,200%,BB1574) + IF(BC1574&gt;=120%,120%,BC1574) + IF(BD1574&gt;=115%,115%,BD1574) + IF(BE1574&gt;=115%,115%,BE1574) + IF(BF1574&gt;=120%,120%,BF1574) + IF(BG1574&gt;=115%,115%,BG1574) + IF(BH1574&gt;=200%,200%,BH1574)))/_xlfn.XLOOKUP(F1574,Apuração!A:A,Apuração!B:B)&gt;=1.15,1.15,((IF(AZ1574&gt;=115%,115%,AZ1574) + IF(AX1574&gt;=115%,115%,AX1574) + IF(AY1574&gt;=115%,115%,AY1574) + (IF(AW1574&gt;=115%,115%,AW1574) + IF(BA1574&gt;=140%,140%,BA1574) + IF(BB1574&gt;=200%,200%,BB1574) + IF(BC1574&gt;=120%,120%,BC1574) + IF(BD1574&gt;=115%,115%,BD1574) + IF(BE1574&gt;=115%,115%,BE1574) + IF(BF1574&gt;=120%,120%,BF1574) + IF(BG1574&gt;=115%,115%,BG1574) + IF(BH1574&gt;=200%,200%,BH1574)))/_xlfn.XLOOKUP(F1574,Apuração!A:A,Apuração!B:B)))</f>
        <v>0.25</v>
      </c>
      <c r="BL1574" s="58" cm="1">
        <f t="array" aca="1" ref="BL1574" ca="1">IF(SUM(IFERROR(IF(INDEX(AW1574:INDEX(AW1574:BH1574, MATCH(2, 1/(AW1574:BH1574&lt;&gt;""), 1)-1), ROW(INDIRECT("1:" &amp; MATCH(2, 1/(AW1574:BH1574&lt;&gt;""), 1)-1))) &gt;= 115%, 115%, INDEX(AW1574:INDEX(AW1574:BH1574, MATCH(2, 1/(AW1574:BH1574&lt;&gt;""), 1)-1), ROW(INDIRECT("1:" &amp; MATCH(2, 1/(AW1574:BH1574&lt;&gt;""), 1)-1)))), 0))/_xlfn.XLOOKUP(F1574,Apuração!A:A,Apuração!B:B)&gt;=1.15,1.15,SUM(IFERROR(IF(INDEX(AW1574:INDEX(AW1574:BH1574, MATCH(2, 1/(AW1574:BH1574&lt;&gt;""), 1)-1), ROW(INDIRECT("1:" &amp; MATCH(2, 1/(AW1574:BH1574&lt;&gt;""), 1)-1))) &gt;= 115%, 115%, INDEX(AW1574:INDEX(AW1574:BH1574, MATCH(2, 1/(AW1574:BH1574&lt;&gt;""), 1)-1), ROW(INDIRECT("1:" &amp; MATCH(2, 1/(AW1574:BH1574&lt;&gt;""), 1)-1)))), 0))/_xlfn.XLOOKUP(F1574,Apuração!A:A,Apuração!B:B))</f>
        <v>0.25</v>
      </c>
      <c r="BM1574" s="55" cm="1">
        <f t="array" ref="BM1574">IFERROR(
   INDEX($AW$1:$BH$1,
      _xlfn.AGGREGATE(14, 6, COLUMN($AW$1:$BH$1)/(AW1574:BH1574&lt;&gt;""), 2) - COLUMN($AW$1) + 1
   ),
"")</f>
        <v>46082</v>
      </c>
      <c r="BN1574" s="55" cm="1">
        <f t="array" ref="BN1574">IFERROR(INDEX($AW$1:$BH$1,1,MATCH(2,1/(AW1574:BH1574&lt;&gt;""))),"")</f>
        <v>46113</v>
      </c>
      <c r="BO1574" s="53">
        <f ca="1">IFERROR(_xlfn.XLOOKUP(F1574,Apuração!A:A,Apuração!C:C)/_xlfn.XLOOKUP(F1574,Apuração!A:A,Apuração!B:B),0)</f>
        <v>0.41666666666666669</v>
      </c>
      <c r="BP1574" s="53">
        <f ca="1">IFERROR(_xlfn.XLOOKUP(F1574,Apuração!A:A,Apuração!D:D)/_xlfn.XLOOKUP(F1574,Apuração!A:A,Apuração!B:B),0)</f>
        <v>0.33333333333333331</v>
      </c>
      <c r="BQ1574" s="53">
        <f ca="1">IF(BK1574&gt;=BO1574,0,_xlfn.XLOOKUP(F1574,Apuração!A:A,Apuração!B:B)*(BO1574 + (1/_xlfn.XLOOKUP(F1574,Apuração!A:A,Apuração!B:B)) - BK1574))</f>
        <v>3</v>
      </c>
      <c r="BR1574" s="85">
        <f t="shared" ca="1" si="1832"/>
        <v>6</v>
      </c>
      <c r="BS1574" s="53">
        <f ca="1">IFERROR((_xlfn.XLOOKUP(F1574,Apuração!A:A,Apuração!C:C)+1)/_xlfn.XLOOKUP(F1574,Apuração!A:A,Apuração!B:B),0)</f>
        <v>0.5</v>
      </c>
    </row>
    <row r="1575" spans="1:71" ht="25.95" hidden="1" customHeight="1" x14ac:dyDescent="0.3">
      <c r="A1575" s="39" t="s">
        <v>33</v>
      </c>
      <c r="B1575" s="4" t="s">
        <v>81</v>
      </c>
      <c r="C1575" s="5" t="s">
        <v>214</v>
      </c>
      <c r="D1575" s="5" t="s">
        <v>36</v>
      </c>
      <c r="E1575" s="4" t="str" cm="1">
        <f t="array" ref="E1575">_xlfn.IFS(
F1575 = "A partir de Abril", "Aguardando Execução na Distribuidora",
A1575 = "CAPACITAÇÃO", "Em execução no Corporativo",
TRUE, "Em Execução na Distribuidora"
)</f>
        <v>Em Execução na Distribuidora</v>
      </c>
      <c r="F1575" s="4" t="str" cm="1">
        <f t="array" ref="F1575">_xlfn.IFS(
AG1575 &lt;&gt; "", "Jan-Dez/26",
AH1575 &lt;&gt; "", "Fev-Dez/26",
AI1575 &lt;&gt; "", "Mar-Dez/26", AJ1575 &lt;&gt; "", "Abr-Dez/26",
TRUE, "A partir de Junho"
)</f>
        <v>Jan-Dez/26</v>
      </c>
      <c r="G1575" s="4" t="s">
        <v>37</v>
      </c>
      <c r="H1575" s="7" t="s">
        <v>110</v>
      </c>
      <c r="I1575" s="9" t="s">
        <v>76</v>
      </c>
      <c r="J1575" s="8" t="str" cm="1">
        <f t="array" aca="1" ref="J1575" ca="1">_xlfn.LET(
  _xlpm.actual_value_month, INDEX(T1575:AE1575, MATCH(DATE(YEAR(TODAY()), MONTH(TODAY()), 1), $T$1:$AE$1, 0)),
  IF(_xlpm.actual_value_month &lt;&gt; "",_xlpm.actual_value_month &amp; " ações mensais", "")
)</f>
        <v/>
      </c>
      <c r="K1575" s="8" t="str" cm="1">
        <f t="array" ref="K1575">_xlfn.LET(
    _xlpm.sum_month, SUM(T1575:AE1575),
    IF(_xlpm.sum_month = 0, "", _xlpm.sum_month &amp; " público impactado no ano.")
)</f>
        <v/>
      </c>
      <c r="L1575" s="9" t="s">
        <v>76</v>
      </c>
      <c r="M1575" s="13">
        <v>1</v>
      </c>
      <c r="N1575" s="5" t="s">
        <v>51</v>
      </c>
      <c r="O1575" s="5" t="s">
        <v>52</v>
      </c>
      <c r="P1575" s="10" t="s">
        <v>44</v>
      </c>
      <c r="Q1575" s="10" t="s">
        <v>44</v>
      </c>
      <c r="R1575" s="11" t="s">
        <v>44</v>
      </c>
      <c r="S1575" s="11" t="s">
        <v>44</v>
      </c>
      <c r="T1575" s="22"/>
      <c r="U1575" s="22"/>
      <c r="V1575" s="22"/>
      <c r="W1575" s="22"/>
      <c r="X1575" s="22"/>
      <c r="Y1575" s="22"/>
      <c r="Z1575" s="22"/>
      <c r="AA1575" s="22"/>
      <c r="AB1575" s="22"/>
      <c r="AC1575" s="22"/>
      <c r="AD1575" s="22"/>
      <c r="AE1575" s="22"/>
      <c r="AG1575" s="71">
        <v>20</v>
      </c>
      <c r="AH1575" s="71">
        <v>33</v>
      </c>
      <c r="AI1575" s="71">
        <v>25</v>
      </c>
      <c r="AJ1575" s="71">
        <v>23</v>
      </c>
      <c r="AK1575" s="71"/>
      <c r="AL1575" s="71"/>
      <c r="AM1575" s="71"/>
      <c r="AN1575" s="71"/>
      <c r="AO1575" s="71"/>
      <c r="AP1575" s="71"/>
      <c r="AQ1575" s="71"/>
      <c r="AR1575" s="71"/>
      <c r="AS1575" s="94">
        <f ca="1">IF(MONTH(TODAY())=3,SUM(T1575:U1575),IF(MONTH(TODAY())=4,SUM(T1575:V1575),IF(MONTH(TODAY())=5,SUM(T1575:W1575),IF(MONTH(TODAY())=6,SUM(T1575:X1575),IF(MONTH(TODAY())=7,SUM(T1575:Y1575),IF(MONTH(TODAY())=8,SUM(T1575:Z1575),IF(MONTH(TODAY())=9,SUM(T1575:AA1575),IF(MONTH(TODAY())=10,SUM(T1575:AB1575),IF(MONTH(TODAY())=11,SUM(T1575:AC1575),IF(MONTH(TODAY())=12,SUM(T1575:AD1575),IF(MONTH(TODAY())=1,SUM(T1575:AE1575),T1575)))))))))))</f>
        <v>0</v>
      </c>
      <c r="AT1575" s="95">
        <f>SUM(AG1575:AR1575)</f>
        <v>101</v>
      </c>
      <c r="AU1575" s="97">
        <f>SUM(AG1575:AR1575)</f>
        <v>101</v>
      </c>
      <c r="AW1575" s="83">
        <f>AG1575</f>
        <v>20</v>
      </c>
      <c r="AX1575" s="83">
        <f>AH1575</f>
        <v>33</v>
      </c>
      <c r="AY1575" s="83">
        <f>AI1575</f>
        <v>25</v>
      </c>
      <c r="AZ1575" s="83">
        <f>AJ1575</f>
        <v>23</v>
      </c>
      <c r="BA1575" s="52"/>
      <c r="BB1575" s="52"/>
      <c r="BC1575" s="52"/>
      <c r="BD1575" s="52"/>
      <c r="BE1575" s="52"/>
      <c r="BF1575" s="52"/>
      <c r="BG1575" s="52"/>
      <c r="BH1575" s="52"/>
      <c r="BI1575" s="68" cm="1">
        <f t="array" ref="BI1575">IFERROR(INDEX(AW1575:BH1575,1,MATCH(2,1/(AW1575:BH1575&lt;&gt;""))),"")</f>
        <v>23</v>
      </c>
      <c r="BJ1575" s="68" cm="1">
        <f t="array" ref="BJ1575">IF(BM1575 = "", "",IFERROR(INDEX(AW1575:BH1575,1,MATCH(2,1/(AW1575:BH1575&lt;&gt;""),1)-1),""))</f>
        <v>25</v>
      </c>
      <c r="BK1575" s="59">
        <f>SUM(AW1575:BH1575)</f>
        <v>101</v>
      </c>
      <c r="BL1575" s="59" cm="1">
        <f t="array" ref="BL1575">IFERROR(SUM(AW1575:INDEX(AW1575:BH1575, MATCH(2, 1/(AW1575:BH1575&lt;&gt;""), 1) - 1))/_xlfn.XLOOKUP(F1575,Apuração!A:A,Apuração!B:B),0)</f>
        <v>6.5</v>
      </c>
      <c r="BM1575" s="55" cm="1">
        <f t="array" ref="BM1575">IFERROR(
   INDEX($AW$1:$BH$1,
      _xlfn.AGGREGATE(14, 6, COLUMN($AW$1:$BH$1)/(AW1575:BH1575&lt;&gt;""), 2) - COLUMN($AW$1) + 1
   ),
"")</f>
        <v>46082</v>
      </c>
      <c r="BN1575" s="55" cm="1">
        <f t="array" ref="BN1575">IFERROR(INDEX($AW$1:$BH$1,1,MATCH(2,1/(AW1575:BH1575&lt;&gt;""))),"")</f>
        <v>46113</v>
      </c>
      <c r="BO1575" s="53">
        <f ca="1">IFERROR(_xlfn.XLOOKUP(F1575,Apuração!A:A,Apuração!C:C)/_xlfn.XLOOKUP(F1575,Apuração!A:A,Apuração!B:B),0)</f>
        <v>0.41666666666666669</v>
      </c>
      <c r="BP1575" s="53">
        <f ca="1">IFERROR(_xlfn.XLOOKUP(F1575,Apuração!A:A,Apuração!D:D)/_xlfn.XLOOKUP(F1575,Apuração!A:A,Apuração!B:B),0)</f>
        <v>0.33333333333333331</v>
      </c>
      <c r="BQ1575" s="53">
        <f ca="1">IF(BK1575&gt;=BO1575,0,_xlfn.XLOOKUP(F1575,Apuração!A:A,Apuração!B:B)*(BO1575 + (1/_xlfn.XLOOKUP(F1575,Apuração!A:A,Apuração!B:B)) - BK1575))</f>
        <v>0</v>
      </c>
      <c r="BR1575" s="85">
        <f ca="1">IF(BQ1575=0,0,BQ1575*Z1575)</f>
        <v>0</v>
      </c>
      <c r="BS1575" s="53">
        <f ca="1">IFERROR((_xlfn.XLOOKUP(F1575,Apuração!A:A,Apuração!C:C)+1)/_xlfn.XLOOKUP(F1575,Apuração!A:A,Apuração!B:B),0)</f>
        <v>0.5</v>
      </c>
    </row>
    <row r="1576" spans="1:71" ht="25.95" hidden="1" customHeight="1" x14ac:dyDescent="0.3">
      <c r="A1576" s="39" t="s">
        <v>33</v>
      </c>
      <c r="B1576" s="4" t="s">
        <v>81</v>
      </c>
      <c r="C1576" s="5" t="s">
        <v>214</v>
      </c>
      <c r="D1576" s="5" t="s">
        <v>210</v>
      </c>
      <c r="E1576" s="4" t="str" cm="1">
        <f t="array" ref="E1576">_xlfn.IFS(
F1576 = "A partir de Abril", "Aguardando Execução na Distribuidora",
A1576 = "CAPACITAÇÃO", "Em execução no Corporativo",
TRUE, "Em Execução na Distribuidora"
)</f>
        <v>Em Execução na Distribuidora</v>
      </c>
      <c r="F1576" s="4" t="str" cm="1">
        <f t="array" ref="F1576">_xlfn.IFS(
AG1576 &lt;&gt; "", "Jan-Dez/26",
AH1576 &lt;&gt; "", "Fev-Dez/26",
AI1576 &lt;&gt; "", "Mar-Dez/26", AJ1576 &lt;&gt; "", "Abr-Dez/26",
TRUE, "A partir de Junho"
)</f>
        <v>Jan-Dez/26</v>
      </c>
      <c r="G1576" s="4" t="s">
        <v>37</v>
      </c>
      <c r="H1576" s="7" t="s">
        <v>110</v>
      </c>
      <c r="I1576" s="9" t="s">
        <v>76</v>
      </c>
      <c r="J1576" s="8" t="str" cm="1">
        <f t="array" aca="1" ref="J1576" ca="1">_xlfn.LET(
  _xlpm.actual_value_month, INDEX(T1576:AE1576, MATCH(DATE(YEAR(TODAY()), MONTH(TODAY()), 1), $T$1:$AE$1, 0)),
  IF(_xlpm.actual_value_month &lt;&gt; "",_xlpm.actual_value_month &amp; " ações mensais", "")
)</f>
        <v/>
      </c>
      <c r="K1576" s="8" t="str" cm="1">
        <f t="array" ref="K1576">_xlfn.LET(
    _xlpm.sum_month, SUM(T1576:AE1576),
    IF(_xlpm.sum_month = 0, "", _xlpm.sum_month &amp; " público impactado no ano.")
)</f>
        <v/>
      </c>
      <c r="L1576" s="9" t="s">
        <v>76</v>
      </c>
      <c r="M1576" s="13">
        <v>1</v>
      </c>
      <c r="N1576" s="5" t="s">
        <v>51</v>
      </c>
      <c r="O1576" s="5" t="s">
        <v>52</v>
      </c>
      <c r="P1576" s="10" t="s">
        <v>44</v>
      </c>
      <c r="Q1576" s="10" t="s">
        <v>44</v>
      </c>
      <c r="R1576" s="11" t="s">
        <v>44</v>
      </c>
      <c r="S1576" s="11" t="s">
        <v>44</v>
      </c>
      <c r="T1576" s="22"/>
      <c r="U1576" s="22"/>
      <c r="V1576" s="22"/>
      <c r="W1576" s="22"/>
      <c r="X1576" s="22"/>
      <c r="Y1576" s="22"/>
      <c r="Z1576" s="22"/>
      <c r="AA1576" s="22"/>
      <c r="AB1576" s="22"/>
      <c r="AC1576" s="22"/>
      <c r="AD1576" s="22"/>
      <c r="AE1576" s="22"/>
      <c r="AG1576" s="145">
        <v>4</v>
      </c>
      <c r="AH1576" s="149">
        <v>6</v>
      </c>
      <c r="AI1576" s="149">
        <v>5</v>
      </c>
      <c r="AJ1576" s="145">
        <v>10</v>
      </c>
      <c r="AK1576" s="71"/>
      <c r="AL1576" s="71"/>
      <c r="AM1576" s="71"/>
      <c r="AN1576" s="71"/>
      <c r="AO1576" s="71"/>
      <c r="AP1576" s="71"/>
      <c r="AQ1576" s="71"/>
      <c r="AR1576" s="71"/>
      <c r="AS1576" s="94">
        <f t="shared" ref="AS1576:AS1580" ca="1" si="1833">IF(MONTH(TODAY())=3,SUM(T1576:U1576),IF(MONTH(TODAY())=4,SUM(T1576:V1576),IF(MONTH(TODAY())=5,SUM(T1576:W1576),IF(MONTH(TODAY())=6,SUM(T1576:X1576),IF(MONTH(TODAY())=7,SUM(T1576:Y1576),IF(MONTH(TODAY())=8,SUM(T1576:Z1576),IF(MONTH(TODAY())=9,SUM(T1576:AA1576),IF(MONTH(TODAY())=10,SUM(T1576:AB1576),IF(MONTH(TODAY())=11,SUM(T1576:AC1576),IF(MONTH(TODAY())=12,SUM(T1576:AD1576),IF(MONTH(TODAY())=1,SUM(T1576:AE1576),T1576)))))))))))</f>
        <v>0</v>
      </c>
      <c r="AT1576" s="95">
        <f t="shared" ref="AT1576:AT1580" si="1834">SUM(AG1576:AR1576)</f>
        <v>25</v>
      </c>
      <c r="AU1576" s="97">
        <f t="shared" ref="AU1576:AU1580" si="1835">SUM(AG1576:AR1576)</f>
        <v>25</v>
      </c>
      <c r="AW1576" s="83">
        <f t="shared" ref="AW1576:AW1580" si="1836">AG1576</f>
        <v>4</v>
      </c>
      <c r="AX1576" s="83">
        <f t="shared" ref="AX1576:AX1580" si="1837">AH1576</f>
        <v>6</v>
      </c>
      <c r="AY1576" s="83">
        <f t="shared" ref="AY1576:AY1580" si="1838">AI1576</f>
        <v>5</v>
      </c>
      <c r="AZ1576" s="83">
        <f t="shared" ref="AZ1576:AZ1580" si="1839">AJ1576</f>
        <v>10</v>
      </c>
      <c r="BA1576" s="52"/>
      <c r="BB1576" s="52"/>
      <c r="BC1576" s="52"/>
      <c r="BD1576" s="52"/>
      <c r="BE1576" s="52"/>
      <c r="BF1576" s="52"/>
      <c r="BG1576" s="52"/>
      <c r="BH1576" s="52"/>
      <c r="BI1576" s="68" cm="1">
        <f t="array" ref="BI1576">IFERROR(INDEX(AW1576:BH1576,1,MATCH(2,1/(AW1576:BH1576&lt;&gt;""))),"")</f>
        <v>10</v>
      </c>
      <c r="BJ1576" s="68" cm="1">
        <f t="array" ref="BJ1576">IF(BM1576 = "", "",IFERROR(INDEX(AW1576:BH1576,1,MATCH(2,1/(AW1576:BH1576&lt;&gt;""),1)-1),""))</f>
        <v>5</v>
      </c>
      <c r="BK1576" s="59">
        <f t="shared" ref="BK1576:BK1580" si="1840">SUM(AW1576:BH1576)</f>
        <v>25</v>
      </c>
      <c r="BL1576" s="59" cm="1">
        <f t="array" ref="BL1576">IFERROR(SUM(AW1576:INDEX(AW1576:BH1576, MATCH(2, 1/(AW1576:BH1576&lt;&gt;""), 1) - 1))/_xlfn.XLOOKUP(F1576,Apuração!A:A,Apuração!B:B),0)</f>
        <v>1.25</v>
      </c>
      <c r="BM1576" s="55" cm="1">
        <f t="array" ref="BM1576">IFERROR(
   INDEX($AW$1:$BH$1,
      _xlfn.AGGREGATE(14, 6, COLUMN($AW$1:$BH$1)/(AW1576:BH1576&lt;&gt;""), 2) - COLUMN($AW$1) + 1
   ),
"")</f>
        <v>46082</v>
      </c>
      <c r="BN1576" s="55" cm="1">
        <f t="array" ref="BN1576">IFERROR(INDEX($AW$1:$BH$1,1,MATCH(2,1/(AW1576:BH1576&lt;&gt;""))),"")</f>
        <v>46113</v>
      </c>
      <c r="BO1576" s="53">
        <f ca="1">IFERROR(_xlfn.XLOOKUP(F1576,Apuração!A:A,Apuração!C:C)/_xlfn.XLOOKUP(F1576,Apuração!A:A,Apuração!B:B),0)</f>
        <v>0.41666666666666669</v>
      </c>
      <c r="BP1576" s="53">
        <f ca="1">IFERROR(_xlfn.XLOOKUP(F1576,Apuração!A:A,Apuração!D:D)/_xlfn.XLOOKUP(F1576,Apuração!A:A,Apuração!B:B),0)</f>
        <v>0.33333333333333331</v>
      </c>
      <c r="BQ1576" s="53">
        <f ca="1">IF(BK1576&gt;=BO1576,0,_xlfn.XLOOKUP(F1576,Apuração!A:A,Apuração!B:B)*(BO1576 + (1/_xlfn.XLOOKUP(F1576,Apuração!A:A,Apuração!B:B)) - BK1576))</f>
        <v>0</v>
      </c>
      <c r="BR1576" s="85">
        <f t="shared" ref="BR1576:BR1580" ca="1" si="1841">IF(BQ1576=0,0,BQ1576*Z1576)</f>
        <v>0</v>
      </c>
      <c r="BS1576" s="53">
        <f ca="1">IFERROR((_xlfn.XLOOKUP(F1576,Apuração!A:A,Apuração!C:C)+1)/_xlfn.XLOOKUP(F1576,Apuração!A:A,Apuração!B:B),0)</f>
        <v>0.5</v>
      </c>
    </row>
    <row r="1577" spans="1:71" ht="25.95" hidden="1" customHeight="1" x14ac:dyDescent="0.3">
      <c r="A1577" s="39" t="s">
        <v>33</v>
      </c>
      <c r="B1577" s="4" t="s">
        <v>81</v>
      </c>
      <c r="C1577" s="5" t="s">
        <v>214</v>
      </c>
      <c r="D1577" s="5" t="s">
        <v>215</v>
      </c>
      <c r="E1577" s="4" t="str" cm="1">
        <f t="array" ref="E1577">_xlfn.IFS(
F1577 = "A partir de Abril", "Aguardando Execução na Distribuidora",
A1577 = "CAPACITAÇÃO", "Em execução no Corporativo",
TRUE, "Em Execução na Distribuidora"
)</f>
        <v>Em Execução na Distribuidora</v>
      </c>
      <c r="F1577" s="4" t="str" cm="1">
        <f t="array" ref="F1577">_xlfn.IFS(
AG1577 &lt;&gt; "", "Jan-Dez/26",
AH1577 &lt;&gt; "", "Fev-Dez/26",
AI1577 &lt;&gt; "", "Mar-Dez/26", AJ1577 &lt;&gt; "", "Abr-Dez/26",
TRUE, "A partir de Junho"
)</f>
        <v>Jan-Dez/26</v>
      </c>
      <c r="G1577" s="4" t="s">
        <v>37</v>
      </c>
      <c r="H1577" s="7" t="s">
        <v>110</v>
      </c>
      <c r="I1577" s="9" t="s">
        <v>76</v>
      </c>
      <c r="J1577" s="8" t="str" cm="1">
        <f t="array" aca="1" ref="J1577" ca="1">_xlfn.LET(
  _xlpm.actual_value_month, INDEX(T1577:AE1577, MATCH(DATE(YEAR(TODAY()), MONTH(TODAY()), 1), $T$1:$AE$1, 0)),
  IF(_xlpm.actual_value_month &lt;&gt; "",_xlpm.actual_value_month &amp; " ações mensais", "")
)</f>
        <v/>
      </c>
      <c r="K1577" s="8" t="str" cm="1">
        <f t="array" ref="K1577">_xlfn.LET(
    _xlpm.sum_month, SUM(T1577:AE1577),
    IF(_xlpm.sum_month = 0, "", _xlpm.sum_month &amp; " público impactado no ano.")
)</f>
        <v/>
      </c>
      <c r="L1577" s="9" t="s">
        <v>76</v>
      </c>
      <c r="M1577" s="13">
        <v>1</v>
      </c>
      <c r="N1577" s="5" t="s">
        <v>51</v>
      </c>
      <c r="O1577" s="5" t="s">
        <v>52</v>
      </c>
      <c r="P1577" s="10" t="s">
        <v>44</v>
      </c>
      <c r="Q1577" s="10" t="s">
        <v>44</v>
      </c>
      <c r="R1577" s="11" t="s">
        <v>44</v>
      </c>
      <c r="S1577" s="11" t="s">
        <v>44</v>
      </c>
      <c r="T1577" s="22"/>
      <c r="U1577" s="22"/>
      <c r="V1577" s="22"/>
      <c r="W1577" s="22"/>
      <c r="X1577" s="22"/>
      <c r="Y1577" s="22"/>
      <c r="Z1577" s="22"/>
      <c r="AA1577" s="22"/>
      <c r="AB1577" s="22"/>
      <c r="AC1577" s="22"/>
      <c r="AD1577" s="22"/>
      <c r="AE1577" s="22"/>
      <c r="AG1577" s="146">
        <v>4</v>
      </c>
      <c r="AH1577" s="150">
        <v>9</v>
      </c>
      <c r="AI1577" s="150">
        <v>5</v>
      </c>
      <c r="AJ1577" s="146">
        <v>0</v>
      </c>
      <c r="AK1577" s="71"/>
      <c r="AL1577" s="71"/>
      <c r="AM1577" s="71"/>
      <c r="AN1577" s="71"/>
      <c r="AO1577" s="71"/>
      <c r="AP1577" s="71"/>
      <c r="AQ1577" s="71"/>
      <c r="AR1577" s="71"/>
      <c r="AS1577" s="94">
        <f t="shared" ca="1" si="1833"/>
        <v>0</v>
      </c>
      <c r="AT1577" s="95">
        <f t="shared" si="1834"/>
        <v>18</v>
      </c>
      <c r="AU1577" s="97">
        <f t="shared" si="1835"/>
        <v>18</v>
      </c>
      <c r="AW1577" s="83">
        <f t="shared" si="1836"/>
        <v>4</v>
      </c>
      <c r="AX1577" s="83">
        <f t="shared" si="1837"/>
        <v>9</v>
      </c>
      <c r="AY1577" s="83">
        <f t="shared" si="1838"/>
        <v>5</v>
      </c>
      <c r="AZ1577" s="83">
        <f t="shared" si="1839"/>
        <v>0</v>
      </c>
      <c r="BA1577" s="52"/>
      <c r="BB1577" s="52"/>
      <c r="BC1577" s="52"/>
      <c r="BD1577" s="52"/>
      <c r="BE1577" s="52"/>
      <c r="BF1577" s="52"/>
      <c r="BG1577" s="52"/>
      <c r="BH1577" s="52"/>
      <c r="BI1577" s="68" cm="1">
        <f t="array" ref="BI1577">IFERROR(INDEX(AW1577:BH1577,1,MATCH(2,1/(AW1577:BH1577&lt;&gt;""))),"")</f>
        <v>0</v>
      </c>
      <c r="BJ1577" s="68" cm="1">
        <f t="array" ref="BJ1577">IF(BM1577 = "", "",IFERROR(INDEX(AW1577:BH1577,1,MATCH(2,1/(AW1577:BH1577&lt;&gt;""),1)-1),""))</f>
        <v>5</v>
      </c>
      <c r="BK1577" s="59">
        <f t="shared" si="1840"/>
        <v>18</v>
      </c>
      <c r="BL1577" s="59" cm="1">
        <f t="array" ref="BL1577">IFERROR(SUM(AW1577:INDEX(AW1577:BH1577, MATCH(2, 1/(AW1577:BH1577&lt;&gt;""), 1) - 1))/_xlfn.XLOOKUP(F1577,Apuração!A:A,Apuração!B:B),0)</f>
        <v>1.5</v>
      </c>
      <c r="BM1577" s="55" cm="1">
        <f t="array" ref="BM1577">IFERROR(
   INDEX($AW$1:$BH$1,
      _xlfn.AGGREGATE(14, 6, COLUMN($AW$1:$BH$1)/(AW1577:BH1577&lt;&gt;""), 2) - COLUMN($AW$1) + 1
   ),
"")</f>
        <v>46082</v>
      </c>
      <c r="BN1577" s="55" cm="1">
        <f t="array" ref="BN1577">IFERROR(INDEX($AW$1:$BH$1,1,MATCH(2,1/(AW1577:BH1577&lt;&gt;""))),"")</f>
        <v>46113</v>
      </c>
      <c r="BO1577" s="53">
        <f ca="1">IFERROR(_xlfn.XLOOKUP(F1577,Apuração!A:A,Apuração!C:C)/_xlfn.XLOOKUP(F1577,Apuração!A:A,Apuração!B:B),0)</f>
        <v>0.41666666666666669</v>
      </c>
      <c r="BP1577" s="53">
        <f ca="1">IFERROR(_xlfn.XLOOKUP(F1577,Apuração!A:A,Apuração!D:D)/_xlfn.XLOOKUP(F1577,Apuração!A:A,Apuração!B:B),0)</f>
        <v>0.33333333333333331</v>
      </c>
      <c r="BQ1577" s="53">
        <f ca="1">IF(BK1577&gt;=BO1577,0,_xlfn.XLOOKUP(F1577,Apuração!A:A,Apuração!B:B)*(BO1577 + (1/_xlfn.XLOOKUP(F1577,Apuração!A:A,Apuração!B:B)) - BK1577))</f>
        <v>0</v>
      </c>
      <c r="BR1577" s="85">
        <f t="shared" ca="1" si="1841"/>
        <v>0</v>
      </c>
      <c r="BS1577" s="53">
        <f ca="1">IFERROR((_xlfn.XLOOKUP(F1577,Apuração!A:A,Apuração!C:C)+1)/_xlfn.XLOOKUP(F1577,Apuração!A:A,Apuração!B:B),0)</f>
        <v>0.5</v>
      </c>
    </row>
    <row r="1578" spans="1:71" ht="25.95" hidden="1" customHeight="1" x14ac:dyDescent="0.3">
      <c r="A1578" s="39" t="s">
        <v>33</v>
      </c>
      <c r="B1578" s="4" t="s">
        <v>81</v>
      </c>
      <c r="C1578" s="5" t="s">
        <v>214</v>
      </c>
      <c r="D1578" s="5" t="s">
        <v>212</v>
      </c>
      <c r="E1578" s="4" t="str" cm="1">
        <f t="array" ref="E1578">_xlfn.IFS(
F1578 = "A partir de Abril", "Aguardando Execução na Distribuidora",
A1578 = "CAPACITAÇÃO", "Em execução no Corporativo",
TRUE, "Em Execução na Distribuidora"
)</f>
        <v>Em Execução na Distribuidora</v>
      </c>
      <c r="F1578" s="4" t="str" cm="1">
        <f t="array" ref="F1578">_xlfn.IFS(
AG1578 &lt;&gt; "", "Jan-Dez/26",
AH1578 &lt;&gt; "", "Fev-Dez/26",
AI1578 &lt;&gt; "", "Mar-Dez/26", AJ1578 &lt;&gt; "", "Abr-Dez/26",
TRUE, "A partir de Junho"
)</f>
        <v>Jan-Dez/26</v>
      </c>
      <c r="G1578" s="4" t="s">
        <v>37</v>
      </c>
      <c r="H1578" s="7" t="s">
        <v>110</v>
      </c>
      <c r="I1578" s="9" t="s">
        <v>76</v>
      </c>
      <c r="J1578" s="8" t="str" cm="1">
        <f t="array" aca="1" ref="J1578" ca="1">_xlfn.LET(
  _xlpm.actual_value_month, INDEX(T1578:AE1578, MATCH(DATE(YEAR(TODAY()), MONTH(TODAY()), 1), $T$1:$AE$1, 0)),
  IF(_xlpm.actual_value_month &lt;&gt; "",_xlpm.actual_value_month &amp; " ações mensais", "")
)</f>
        <v/>
      </c>
      <c r="K1578" s="8" t="str" cm="1">
        <f t="array" ref="K1578">_xlfn.LET(
    _xlpm.sum_month, SUM(T1578:AE1578),
    IF(_xlpm.sum_month = 0, "", _xlpm.sum_month &amp; " público impactado no ano.")
)</f>
        <v/>
      </c>
      <c r="L1578" s="9" t="s">
        <v>76</v>
      </c>
      <c r="M1578" s="13">
        <v>1</v>
      </c>
      <c r="N1578" s="5" t="s">
        <v>51</v>
      </c>
      <c r="O1578" s="5" t="s">
        <v>52</v>
      </c>
      <c r="P1578" s="10" t="s">
        <v>44</v>
      </c>
      <c r="Q1578" s="10" t="s">
        <v>44</v>
      </c>
      <c r="R1578" s="11" t="s">
        <v>44</v>
      </c>
      <c r="S1578" s="11" t="s">
        <v>44</v>
      </c>
      <c r="T1578" s="22"/>
      <c r="U1578" s="22"/>
      <c r="V1578" s="22"/>
      <c r="W1578" s="22"/>
      <c r="X1578" s="22"/>
      <c r="Y1578" s="22"/>
      <c r="Z1578" s="22"/>
      <c r="AA1578" s="22"/>
      <c r="AB1578" s="22"/>
      <c r="AC1578" s="22"/>
      <c r="AD1578" s="22"/>
      <c r="AE1578" s="22"/>
      <c r="AG1578" s="146">
        <v>4</v>
      </c>
      <c r="AH1578" s="150">
        <v>6</v>
      </c>
      <c r="AI1578" s="150">
        <v>5</v>
      </c>
      <c r="AJ1578" s="146">
        <v>10</v>
      </c>
      <c r="AK1578" s="71"/>
      <c r="AL1578" s="71"/>
      <c r="AM1578" s="71"/>
      <c r="AN1578" s="71"/>
      <c r="AO1578" s="71"/>
      <c r="AP1578" s="71"/>
      <c r="AQ1578" s="71"/>
      <c r="AR1578" s="71"/>
      <c r="AS1578" s="94">
        <f t="shared" ca="1" si="1833"/>
        <v>0</v>
      </c>
      <c r="AT1578" s="95">
        <f t="shared" si="1834"/>
        <v>25</v>
      </c>
      <c r="AU1578" s="97">
        <f t="shared" si="1835"/>
        <v>25</v>
      </c>
      <c r="AW1578" s="83">
        <f t="shared" si="1836"/>
        <v>4</v>
      </c>
      <c r="AX1578" s="83">
        <f t="shared" si="1837"/>
        <v>6</v>
      </c>
      <c r="AY1578" s="83">
        <f t="shared" si="1838"/>
        <v>5</v>
      </c>
      <c r="AZ1578" s="83">
        <f t="shared" si="1839"/>
        <v>10</v>
      </c>
      <c r="BA1578" s="52"/>
      <c r="BB1578" s="52"/>
      <c r="BC1578" s="52"/>
      <c r="BD1578" s="52"/>
      <c r="BE1578" s="52"/>
      <c r="BF1578" s="52"/>
      <c r="BG1578" s="52"/>
      <c r="BH1578" s="52"/>
      <c r="BI1578" s="68" cm="1">
        <f t="array" ref="BI1578">IFERROR(INDEX(AW1578:BH1578,1,MATCH(2,1/(AW1578:BH1578&lt;&gt;""))),"")</f>
        <v>10</v>
      </c>
      <c r="BJ1578" s="68" cm="1">
        <f t="array" ref="BJ1578">IF(BM1578 = "", "",IFERROR(INDEX(AW1578:BH1578,1,MATCH(2,1/(AW1578:BH1578&lt;&gt;""),1)-1),""))</f>
        <v>5</v>
      </c>
      <c r="BK1578" s="59">
        <f t="shared" si="1840"/>
        <v>25</v>
      </c>
      <c r="BL1578" s="59" cm="1">
        <f t="array" ref="BL1578">IFERROR(SUM(AW1578:INDEX(AW1578:BH1578, MATCH(2, 1/(AW1578:BH1578&lt;&gt;""), 1) - 1))/_xlfn.XLOOKUP(F1578,Apuração!A:A,Apuração!B:B),0)</f>
        <v>1.25</v>
      </c>
      <c r="BM1578" s="55" cm="1">
        <f t="array" ref="BM1578">IFERROR(
   INDEX($AW$1:$BH$1,
      _xlfn.AGGREGATE(14, 6, COLUMN($AW$1:$BH$1)/(AW1578:BH1578&lt;&gt;""), 2) - COLUMN($AW$1) + 1
   ),
"")</f>
        <v>46082</v>
      </c>
      <c r="BN1578" s="55" cm="1">
        <f t="array" ref="BN1578">IFERROR(INDEX($AW$1:$BH$1,1,MATCH(2,1/(AW1578:BH1578&lt;&gt;""))),"")</f>
        <v>46113</v>
      </c>
      <c r="BO1578" s="53">
        <f ca="1">IFERROR(_xlfn.XLOOKUP(F1578,Apuração!A:A,Apuração!C:C)/_xlfn.XLOOKUP(F1578,Apuração!A:A,Apuração!B:B),0)</f>
        <v>0.41666666666666669</v>
      </c>
      <c r="BP1578" s="53">
        <f ca="1">IFERROR(_xlfn.XLOOKUP(F1578,Apuração!A:A,Apuração!D:D)/_xlfn.XLOOKUP(F1578,Apuração!A:A,Apuração!B:B),0)</f>
        <v>0.33333333333333331</v>
      </c>
      <c r="BQ1578" s="53">
        <f ca="1">IF(BK1578&gt;=BO1578,0,_xlfn.XLOOKUP(F1578,Apuração!A:A,Apuração!B:B)*(BO1578 + (1/_xlfn.XLOOKUP(F1578,Apuração!A:A,Apuração!B:B)) - BK1578))</f>
        <v>0</v>
      </c>
      <c r="BR1578" s="85">
        <f t="shared" ca="1" si="1841"/>
        <v>0</v>
      </c>
      <c r="BS1578" s="53">
        <f ca="1">IFERROR((_xlfn.XLOOKUP(F1578,Apuração!A:A,Apuração!C:C)+1)/_xlfn.XLOOKUP(F1578,Apuração!A:A,Apuração!B:B),0)</f>
        <v>0.5</v>
      </c>
    </row>
    <row r="1579" spans="1:71" ht="25.95" hidden="1" customHeight="1" x14ac:dyDescent="0.3">
      <c r="A1579" s="39" t="s">
        <v>33</v>
      </c>
      <c r="B1579" s="4" t="s">
        <v>81</v>
      </c>
      <c r="C1579" s="5" t="s">
        <v>214</v>
      </c>
      <c r="D1579" s="5" t="s">
        <v>48</v>
      </c>
      <c r="E1579" s="4" t="str" cm="1">
        <f t="array" ref="E1579">_xlfn.IFS(
F1579 = "A partir de Abril", "Aguardando Execução na Distribuidora",
A1579 = "CAPACITAÇÃO", "Em execução no Corporativo",
TRUE, "Em Execução na Distribuidora"
)</f>
        <v>Em Execução na Distribuidora</v>
      </c>
      <c r="F1579" s="4" t="str" cm="1">
        <f t="array" ref="F1579">_xlfn.IFS(
AG1579 &lt;&gt; "", "Jan-Dez/26",
AH1579 &lt;&gt; "", "Fev-Dez/26",
AI1579 &lt;&gt; "", "Mar-Dez/26", AJ1579 &lt;&gt; "", "Abr-Dez/26",
TRUE, "A partir de Junho"
)</f>
        <v>Jan-Dez/26</v>
      </c>
      <c r="G1579" s="4" t="s">
        <v>37</v>
      </c>
      <c r="H1579" s="7" t="s">
        <v>110</v>
      </c>
      <c r="I1579" s="9" t="s">
        <v>76</v>
      </c>
      <c r="J1579" s="8" t="str" cm="1">
        <f t="array" aca="1" ref="J1579" ca="1">_xlfn.LET(
  _xlpm.actual_value_month, INDEX(T1579:AE1579, MATCH(DATE(YEAR(TODAY()), MONTH(TODAY()), 1), $T$1:$AE$1, 0)),
  IF(_xlpm.actual_value_month &lt;&gt; "",_xlpm.actual_value_month &amp; " ações mensais", "")
)</f>
        <v/>
      </c>
      <c r="K1579" s="8" t="str" cm="1">
        <f t="array" ref="K1579">_xlfn.LET(
    _xlpm.sum_month, SUM(T1579:AE1579),
    IF(_xlpm.sum_month = 0, "", _xlpm.sum_month &amp; " público impactado no ano.")
)</f>
        <v/>
      </c>
      <c r="L1579" s="9" t="s">
        <v>76</v>
      </c>
      <c r="M1579" s="13">
        <v>1</v>
      </c>
      <c r="N1579" s="5" t="s">
        <v>51</v>
      </c>
      <c r="O1579" s="5" t="s">
        <v>52</v>
      </c>
      <c r="P1579" s="10" t="s">
        <v>44</v>
      </c>
      <c r="Q1579" s="10" t="s">
        <v>44</v>
      </c>
      <c r="R1579" s="11" t="s">
        <v>44</v>
      </c>
      <c r="S1579" s="11" t="s">
        <v>44</v>
      </c>
      <c r="T1579" s="22"/>
      <c r="U1579" s="22"/>
      <c r="V1579" s="22"/>
      <c r="W1579" s="22"/>
      <c r="X1579" s="22"/>
      <c r="Y1579" s="22"/>
      <c r="Z1579" s="22"/>
      <c r="AA1579" s="22"/>
      <c r="AB1579" s="22"/>
      <c r="AC1579" s="22"/>
      <c r="AD1579" s="22"/>
      <c r="AE1579" s="22"/>
      <c r="AG1579" s="146">
        <v>4</v>
      </c>
      <c r="AH1579" s="150">
        <v>6</v>
      </c>
      <c r="AI1579" s="150">
        <v>5</v>
      </c>
      <c r="AJ1579" s="146">
        <v>3</v>
      </c>
      <c r="AK1579" s="71"/>
      <c r="AL1579" s="71"/>
      <c r="AM1579" s="71"/>
      <c r="AN1579" s="71"/>
      <c r="AO1579" s="71"/>
      <c r="AP1579" s="71"/>
      <c r="AQ1579" s="71"/>
      <c r="AR1579" s="71"/>
      <c r="AS1579" s="94">
        <f t="shared" ca="1" si="1833"/>
        <v>0</v>
      </c>
      <c r="AT1579" s="95">
        <f t="shared" si="1834"/>
        <v>18</v>
      </c>
      <c r="AU1579" s="97">
        <f t="shared" si="1835"/>
        <v>18</v>
      </c>
      <c r="AW1579" s="83">
        <f t="shared" si="1836"/>
        <v>4</v>
      </c>
      <c r="AX1579" s="83">
        <f t="shared" si="1837"/>
        <v>6</v>
      </c>
      <c r="AY1579" s="83">
        <f t="shared" si="1838"/>
        <v>5</v>
      </c>
      <c r="AZ1579" s="83">
        <f t="shared" si="1839"/>
        <v>3</v>
      </c>
      <c r="BA1579" s="52"/>
      <c r="BB1579" s="52"/>
      <c r="BC1579" s="52"/>
      <c r="BD1579" s="52"/>
      <c r="BE1579" s="52"/>
      <c r="BF1579" s="52"/>
      <c r="BG1579" s="52"/>
      <c r="BH1579" s="52"/>
      <c r="BI1579" s="68" cm="1">
        <f t="array" ref="BI1579">IFERROR(INDEX(AW1579:BH1579,1,MATCH(2,1/(AW1579:BH1579&lt;&gt;""))),"")</f>
        <v>3</v>
      </c>
      <c r="BJ1579" s="68" cm="1">
        <f t="array" ref="BJ1579">IF(BM1579 = "", "",IFERROR(INDEX(AW1579:BH1579,1,MATCH(2,1/(AW1579:BH1579&lt;&gt;""),1)-1),""))</f>
        <v>5</v>
      </c>
      <c r="BK1579" s="59">
        <f t="shared" si="1840"/>
        <v>18</v>
      </c>
      <c r="BL1579" s="59" cm="1">
        <f t="array" ref="BL1579">IFERROR(SUM(AW1579:INDEX(AW1579:BH1579, MATCH(2, 1/(AW1579:BH1579&lt;&gt;""), 1) - 1))/_xlfn.XLOOKUP(F1579,Apuração!A:A,Apuração!B:B),0)</f>
        <v>1.25</v>
      </c>
      <c r="BM1579" s="55" cm="1">
        <f t="array" ref="BM1579">IFERROR(
   INDEX($AW$1:$BH$1,
      _xlfn.AGGREGATE(14, 6, COLUMN($AW$1:$BH$1)/(AW1579:BH1579&lt;&gt;""), 2) - COLUMN($AW$1) + 1
   ),
"")</f>
        <v>46082</v>
      </c>
      <c r="BN1579" s="55" cm="1">
        <f t="array" ref="BN1579">IFERROR(INDEX($AW$1:$BH$1,1,MATCH(2,1/(AW1579:BH1579&lt;&gt;""))),"")</f>
        <v>46113</v>
      </c>
      <c r="BO1579" s="53">
        <f ca="1">IFERROR(_xlfn.XLOOKUP(F1579,Apuração!A:A,Apuração!C:C)/_xlfn.XLOOKUP(F1579,Apuração!A:A,Apuração!B:B),0)</f>
        <v>0.41666666666666669</v>
      </c>
      <c r="BP1579" s="53">
        <f ca="1">IFERROR(_xlfn.XLOOKUP(F1579,Apuração!A:A,Apuração!D:D)/_xlfn.XLOOKUP(F1579,Apuração!A:A,Apuração!B:B),0)</f>
        <v>0.33333333333333331</v>
      </c>
      <c r="BQ1579" s="53">
        <f ca="1">IF(BK1579&gt;=BO1579,0,_xlfn.XLOOKUP(F1579,Apuração!A:A,Apuração!B:B)*(BO1579 + (1/_xlfn.XLOOKUP(F1579,Apuração!A:A,Apuração!B:B)) - BK1579))</f>
        <v>0</v>
      </c>
      <c r="BR1579" s="85">
        <f t="shared" ca="1" si="1841"/>
        <v>0</v>
      </c>
      <c r="BS1579" s="53">
        <f ca="1">IFERROR((_xlfn.XLOOKUP(F1579,Apuração!A:A,Apuração!C:C)+1)/_xlfn.XLOOKUP(F1579,Apuração!A:A,Apuração!B:B),0)</f>
        <v>0.5</v>
      </c>
    </row>
    <row r="1580" spans="1:71" ht="25.95" hidden="1" customHeight="1" x14ac:dyDescent="0.3">
      <c r="A1580" s="39" t="s">
        <v>33</v>
      </c>
      <c r="B1580" s="4" t="s">
        <v>81</v>
      </c>
      <c r="C1580" s="5" t="s">
        <v>214</v>
      </c>
      <c r="D1580" s="5" t="s">
        <v>213</v>
      </c>
      <c r="E1580" s="4" t="str" cm="1">
        <f t="array" ref="E1580">_xlfn.IFS(
F1580 = "A partir de Abril", "Aguardando Execução na Distribuidora",
A1580 = "CAPACITAÇÃO", "Em execução no Corporativo",
TRUE, "Em Execução na Distribuidora"
)</f>
        <v>Em Execução na Distribuidora</v>
      </c>
      <c r="F1580" s="4" t="str" cm="1">
        <f t="array" ref="F1580">_xlfn.IFS(
AG1580 &lt;&gt; "", "Jan-Dez/26",
AH1580 &lt;&gt; "", "Fev-Dez/26",
AI1580 &lt;&gt; "", "Mar-Dez/26", AJ1580 &lt;&gt; "", "Abr-Dez/26",
TRUE, "A partir de Junho"
)</f>
        <v>Jan-Dez/26</v>
      </c>
      <c r="G1580" s="4" t="s">
        <v>37</v>
      </c>
      <c r="H1580" s="7" t="s">
        <v>110</v>
      </c>
      <c r="I1580" s="9" t="s">
        <v>76</v>
      </c>
      <c r="J1580" s="8" t="str" cm="1">
        <f t="array" aca="1" ref="J1580" ca="1">_xlfn.LET(
  _xlpm.actual_value_month, INDEX(T1580:AE1580, MATCH(DATE(YEAR(TODAY()), MONTH(TODAY()), 1), $T$1:$AE$1, 0)),
  IF(_xlpm.actual_value_month &lt;&gt; "",_xlpm.actual_value_month &amp; " ações mensais", "")
)</f>
        <v/>
      </c>
      <c r="K1580" s="8" t="str" cm="1">
        <f t="array" ref="K1580">_xlfn.LET(
    _xlpm.sum_month, SUM(T1580:AE1580),
    IF(_xlpm.sum_month = 0, "", _xlpm.sum_month &amp; " público impactado no ano.")
)</f>
        <v/>
      </c>
      <c r="L1580" s="9" t="s">
        <v>76</v>
      </c>
      <c r="M1580" s="13">
        <v>1</v>
      </c>
      <c r="N1580" s="5" t="s">
        <v>51</v>
      </c>
      <c r="O1580" s="5" t="s">
        <v>52</v>
      </c>
      <c r="P1580" s="10" t="s">
        <v>44</v>
      </c>
      <c r="Q1580" s="10" t="s">
        <v>44</v>
      </c>
      <c r="R1580" s="11" t="s">
        <v>44</v>
      </c>
      <c r="S1580" s="11" t="s">
        <v>44</v>
      </c>
      <c r="T1580" s="22"/>
      <c r="U1580" s="22"/>
      <c r="V1580" s="22"/>
      <c r="W1580" s="22"/>
      <c r="X1580" s="22"/>
      <c r="Y1580" s="22"/>
      <c r="Z1580" s="22"/>
      <c r="AA1580" s="22"/>
      <c r="AB1580" s="22"/>
      <c r="AC1580" s="22"/>
      <c r="AD1580" s="22"/>
      <c r="AE1580" s="22"/>
      <c r="AG1580" s="146">
        <v>4</v>
      </c>
      <c r="AH1580" s="150">
        <v>6</v>
      </c>
      <c r="AI1580" s="150">
        <v>5</v>
      </c>
      <c r="AJ1580" s="146">
        <v>0</v>
      </c>
      <c r="AK1580" s="71"/>
      <c r="AL1580" s="71"/>
      <c r="AM1580" s="71"/>
      <c r="AN1580" s="71"/>
      <c r="AO1580" s="71"/>
      <c r="AP1580" s="71"/>
      <c r="AQ1580" s="71"/>
      <c r="AR1580" s="71"/>
      <c r="AS1580" s="94">
        <f t="shared" ca="1" si="1833"/>
        <v>0</v>
      </c>
      <c r="AT1580" s="95">
        <f t="shared" si="1834"/>
        <v>15</v>
      </c>
      <c r="AU1580" s="97">
        <f t="shared" si="1835"/>
        <v>15</v>
      </c>
      <c r="AW1580" s="83">
        <f t="shared" si="1836"/>
        <v>4</v>
      </c>
      <c r="AX1580" s="83">
        <f t="shared" si="1837"/>
        <v>6</v>
      </c>
      <c r="AY1580" s="83">
        <f t="shared" si="1838"/>
        <v>5</v>
      </c>
      <c r="AZ1580" s="83">
        <f t="shared" si="1839"/>
        <v>0</v>
      </c>
      <c r="BA1580" s="52"/>
      <c r="BB1580" s="52"/>
      <c r="BC1580" s="52"/>
      <c r="BD1580" s="52"/>
      <c r="BE1580" s="52"/>
      <c r="BF1580" s="52"/>
      <c r="BG1580" s="52"/>
      <c r="BH1580" s="52"/>
      <c r="BI1580" s="68" cm="1">
        <f t="array" ref="BI1580">IFERROR(INDEX(AW1580:BH1580,1,MATCH(2,1/(AW1580:BH1580&lt;&gt;""))),"")</f>
        <v>0</v>
      </c>
      <c r="BJ1580" s="68" cm="1">
        <f t="array" ref="BJ1580">IF(BM1580 = "", "",IFERROR(INDEX(AW1580:BH1580,1,MATCH(2,1/(AW1580:BH1580&lt;&gt;""),1)-1),""))</f>
        <v>5</v>
      </c>
      <c r="BK1580" s="59">
        <f t="shared" si="1840"/>
        <v>15</v>
      </c>
      <c r="BL1580" s="59" cm="1">
        <f t="array" ref="BL1580">IFERROR(SUM(AW1580:INDEX(AW1580:BH1580, MATCH(2, 1/(AW1580:BH1580&lt;&gt;""), 1) - 1))/_xlfn.XLOOKUP(F1580,Apuração!A:A,Apuração!B:B),0)</f>
        <v>1.25</v>
      </c>
      <c r="BM1580" s="55" cm="1">
        <f t="array" ref="BM1580">IFERROR(
   INDEX($AW$1:$BH$1,
      _xlfn.AGGREGATE(14, 6, COLUMN($AW$1:$BH$1)/(AW1580:BH1580&lt;&gt;""), 2) - COLUMN($AW$1) + 1
   ),
"")</f>
        <v>46082</v>
      </c>
      <c r="BN1580" s="55" cm="1">
        <f t="array" ref="BN1580">IFERROR(INDEX($AW$1:$BH$1,1,MATCH(2,1/(AW1580:BH1580&lt;&gt;""))),"")</f>
        <v>46113</v>
      </c>
      <c r="BO1580" s="53">
        <f ca="1">IFERROR(_xlfn.XLOOKUP(F1580,Apuração!A:A,Apuração!C:C)/_xlfn.XLOOKUP(F1580,Apuração!A:A,Apuração!B:B),0)</f>
        <v>0.41666666666666669</v>
      </c>
      <c r="BP1580" s="53">
        <f ca="1">IFERROR(_xlfn.XLOOKUP(F1580,Apuração!A:A,Apuração!D:D)/_xlfn.XLOOKUP(F1580,Apuração!A:A,Apuração!B:B),0)</f>
        <v>0.33333333333333331</v>
      </c>
      <c r="BQ1580" s="53">
        <f ca="1">IF(BK1580&gt;=BO1580,0,_xlfn.XLOOKUP(F1580,Apuração!A:A,Apuração!B:B)*(BO1580 + (1/_xlfn.XLOOKUP(F1580,Apuração!A:A,Apuração!B:B)) - BK1580))</f>
        <v>0</v>
      </c>
      <c r="BR1580" s="85">
        <f t="shared" ca="1" si="1841"/>
        <v>0</v>
      </c>
      <c r="BS1580" s="53">
        <f ca="1">IFERROR((_xlfn.XLOOKUP(F1580,Apuração!A:A,Apuração!C:C)+1)/_xlfn.XLOOKUP(F1580,Apuração!A:A,Apuração!B:B),0)</f>
        <v>0.5</v>
      </c>
    </row>
    <row r="1581" spans="1:71" ht="25.95" hidden="1" customHeight="1" x14ac:dyDescent="0.3">
      <c r="A1581" s="3" t="s">
        <v>33</v>
      </c>
      <c r="B1581" s="4" t="s">
        <v>84</v>
      </c>
      <c r="C1581" s="5" t="s">
        <v>214</v>
      </c>
      <c r="D1581" s="5" t="s">
        <v>36</v>
      </c>
      <c r="E1581" s="4" t="s">
        <v>96</v>
      </c>
      <c r="F1581" s="4" t="str" cm="1">
        <f t="array" ref="F1581">_xlfn.IFS(
AG1581 &lt;&gt; "", "Jan-Dez/26",
AH1581 &lt;&gt; "", "Fev-Dez/26",
AI1581 &lt;&gt; "", "Mar-Dez/26", AJ1581 &lt;&gt; "", "Abr-Dez/26",
TRUE, "A partir de Junho"
)</f>
        <v>A partir de Junho</v>
      </c>
      <c r="G1581" s="4" t="s">
        <v>62</v>
      </c>
      <c r="H1581" s="7" t="s">
        <v>38</v>
      </c>
      <c r="I1581" s="8" t="s">
        <v>55</v>
      </c>
      <c r="J1581" s="8" t="str" cm="1">
        <f t="array" aca="1" ref="J1581" ca="1">_xlfn.LET(
  _xlpm.actual_value_month, INDEX(T1581:AE1581, MATCH(DATE(YEAR(TODAY()), MONTH(TODAY()), 1), $T$1:$AE$1, 0)),
  IF(_xlpm.actual_value_month &lt;&gt; "",_xlpm.actual_value_month &amp; " ações mensais", "")
)</f>
        <v>5 ações mensais</v>
      </c>
      <c r="K1581" s="14" t="str" cm="1">
        <f t="array" ref="K1581">_xlfn.LET(
    _xlpm.sum_month, SUM(T1581:AE1581),
    IF(_xlpm.sum_month = 0, "", _xlpm.sum_month &amp; " eventos realizados")
)</f>
        <v>45 eventos realizados</v>
      </c>
      <c r="L1581" s="9" t="s">
        <v>56</v>
      </c>
      <c r="M1581" s="13" t="s">
        <v>86</v>
      </c>
      <c r="N1581" s="5" t="s">
        <v>42</v>
      </c>
      <c r="O1581" s="5" t="s">
        <v>43</v>
      </c>
      <c r="P1581" s="10" t="s">
        <v>44</v>
      </c>
      <c r="Q1581" s="10" t="s">
        <v>44</v>
      </c>
      <c r="R1581" s="11" t="s">
        <v>44</v>
      </c>
      <c r="S1581" s="11" t="s">
        <v>44</v>
      </c>
      <c r="T1581" s="22"/>
      <c r="U1581" s="22"/>
      <c r="V1581" s="22"/>
      <c r="W1581" s="22">
        <v>5</v>
      </c>
      <c r="X1581" s="22">
        <v>5</v>
      </c>
      <c r="Y1581" s="22">
        <v>5</v>
      </c>
      <c r="Z1581" s="22">
        <v>5</v>
      </c>
      <c r="AA1581" s="22">
        <v>5</v>
      </c>
      <c r="AB1581" s="22">
        <v>5</v>
      </c>
      <c r="AC1581" s="22">
        <v>5</v>
      </c>
      <c r="AD1581" s="22">
        <v>5</v>
      </c>
      <c r="AE1581" s="22">
        <v>5</v>
      </c>
      <c r="AG1581" s="71"/>
      <c r="AH1581" s="71"/>
      <c r="AI1581" s="71"/>
      <c r="AJ1581" s="71"/>
      <c r="AK1581" s="71"/>
      <c r="AL1581" s="71"/>
      <c r="AM1581" s="71"/>
      <c r="AN1581" s="71"/>
      <c r="AO1581" s="71"/>
      <c r="AP1581" s="71"/>
      <c r="AQ1581" s="71"/>
      <c r="AR1581" s="71"/>
      <c r="AS1581" s="94">
        <f ca="1">IF(MONTH(TODAY())=3,SUM(T1581:U1581),IF(MONTH(TODAY())=4,SUM(T1581:V1581),IF(MONTH(TODAY())=5,SUM(T1581:W1581),IF(MONTH(TODAY())=6,SUM(T1581:X1581),IF(MONTH(TODAY())=7,SUM(T1581:Y1581),IF(MONTH(TODAY())=8,SUM(T1581:Z1581),IF(MONTH(TODAY())=9,SUM(T1581:AA1581),IF(MONTH(TODAY())=10,SUM(T1581:AB1581),IF(MONTH(TODAY())=11,SUM(T1581:AC1581),IF(MONTH(TODAY())=12,SUM(T1581:AD1581),IF(MONTH(TODAY())=1,SUM(T1581:AE1581),T1581)))))))))))</f>
        <v>10</v>
      </c>
      <c r="AT1581" s="95">
        <f>SUM(IF(AW1581&lt;1.15,AG1581,1.15*T1581),IF(AX1581&lt;1.15,AH1581,1.15*U1581),IF(AY1581&lt;1.15,AI1581,1.15*V1581),IF(AZ1581&lt;1.15,AJ1581,1.15*W1581),IF(BA1581&lt;1.15,AK1581,1.15*X1581),IF(BB1581&lt;1.15,AL1581,1.15*Y1581),IF(BC1581&lt;1.15,AM1581,1.15*Z1581),IF(BD1581&lt;1.15,AN1581,1.15*AA1581),IF(BE1581&lt;1.15,AO1581,1.15*AB1581),IF(BF1581&lt;1.15,AP1581,1.15*AC1581),IF(BG1581&lt;1.15,AQ1581,1.15*AD1581),IF(BH1581&lt;1.15,AR1581,1.15*AE1581))</f>
        <v>0</v>
      </c>
      <c r="AU1581" s="97">
        <f>SUM(AG1581:AR1581)</f>
        <v>0</v>
      </c>
      <c r="AW1581" s="51">
        <f>IFERROR(IF(AG1581="",0,AG1581/T1581),0)</f>
        <v>0</v>
      </c>
      <c r="AX1581" s="51">
        <f>IFERROR(IF(AH1581="",0,AH1581/U1581),0)</f>
        <v>0</v>
      </c>
      <c r="AY1581" s="51">
        <f>IFERROR(IF(AI1581="",0,AI1581/V1581),0)</f>
        <v>0</v>
      </c>
      <c r="AZ1581" s="51">
        <f>IFERROR(IF(AJ1581="",0,AJ1581/W1581),0)</f>
        <v>0</v>
      </c>
      <c r="BA1581" s="51"/>
      <c r="BB1581" s="51"/>
      <c r="BC1581" s="51"/>
      <c r="BD1581" s="51"/>
      <c r="BE1581" s="51"/>
      <c r="BF1581" s="51"/>
      <c r="BG1581" s="51"/>
      <c r="BH1581" s="51"/>
      <c r="BI1581" s="65" cm="1">
        <f t="array" ref="BI1581">IFERROR(INDEX(AW1581:BH1581,1,MATCH(2,1/(AW1581:BH1581&lt;&gt;""))),"")</f>
        <v>0</v>
      </c>
      <c r="BJ1581" s="68" cm="1">
        <f t="array" ref="BJ1581">IF(BM1581 = "", "",IFERROR(INDEX(AW1581:BH1581,1,MATCH(2,1/(AW1581:BH1581&lt;&gt;""),1)-1),""))</f>
        <v>0</v>
      </c>
      <c r="BK1581" s="58">
        <f>IF((IF(AW1581&gt;=115%,115%,AW1581) + IF(AX1581&gt;=115%,115%,AX1581) + IF(AY1581&gt;=115%,115%,AY1581) + (IF(AZ1581&gt;=115%,115%,AZ1581) + IF(BA1581&gt;=115%,115%,BA1581) + IF(BB1581&gt;=115%,115%,BB1581) + IF(BC1581&gt;=115%,115%,BC1581) + IF(BD1581&gt;=115%,115%,BD1581) + IF(BE1581&gt;=115%,115%,BE1581) + IF(BF1581&gt;=115%,115%,BF1581) + IF(BG1581&gt;=115%,115%,BG1581) + IF(BH1581&gt;=115%,115%,BH1581)))/_xlfn.XLOOKUP(F1581,Apuração!A:A,Apuração!B:B)&gt;=1.15,1.15,((IF(AZ1581&gt;=115%,115%,AZ1581) + IF(AX1581&gt;=115%,115%,AX1581) + IF(AY1581&gt;=115%,115%,AY1581) + (IF(AW1581&gt;=115%,115%,AW1581) + IF(BA1581&gt;=115%,115%,BA1581) + IF(BB1581&gt;=115%,115%,BB1581) + IF(BC1581&gt;=115%,115%,BC1581) + IF(BD1581&gt;=115%,115%,BD1581) + IF(BE1581&gt;=115%,115%,BE1581) + IF(BF1581&gt;=115%,115%,BF1581) + IF(BG1581&gt;=115%,115%,BG1581) + IF(BH1581&gt;=115%,115%,BH1581)))/_xlfn.XLOOKUP(F1581,Apuração!A:A,Apuração!B:B)))</f>
        <v>0</v>
      </c>
      <c r="BL1581" s="58" cm="1">
        <f t="array" aca="1" ref="BL1581" ca="1">IF(SUM(IFERROR(IF(INDEX(AW1581:INDEX(AW1581:BH1581, MATCH(2, 1/(AW1581:BH1581&lt;&gt;""), 1)-1), ROW(INDIRECT("1:" &amp; MATCH(2, 1/(AW1581:BH1581&lt;&gt;""), 1)-1))) &gt;= 115%, 115%, INDEX(AW1581:INDEX(AW1581:BH1581, MATCH(2, 1/(AW1581:BH1581&lt;&gt;""), 1)-1), ROW(INDIRECT("1:" &amp; MATCH(2, 1/(AW1581:BH1581&lt;&gt;""), 1)-1)))), 0))/_xlfn.XLOOKUP(F1581,Apuração!A:A,Apuração!B:B)&gt;=1.15,1.15,SUM(IFERROR(IF(INDEX(AW1581:INDEX(AW1581:BH1581, MATCH(2, 1/(AW1581:BH1581&lt;&gt;""), 1)-1), ROW(INDIRECT("1:" &amp; MATCH(2, 1/(AW1581:BH1581&lt;&gt;""), 1)-1))) &gt;= 115%, 115%, INDEX(AW1581:INDEX(AW1581:BH1581, MATCH(2, 1/(AW1581:BH1581&lt;&gt;""), 1)-1), ROW(INDIRECT("1:" &amp; MATCH(2, 1/(AW1581:BH1581&lt;&gt;""), 1)-1)))), 0))/_xlfn.XLOOKUP(F1581,Apuração!A:A,Apuração!B:B))</f>
        <v>0</v>
      </c>
      <c r="BM1581" s="55" cm="1">
        <f t="array" ref="BM1581">IFERROR(
   INDEX($AW$1:$BH$1,
      _xlfn.AGGREGATE(14, 6, COLUMN($AW$1:$BH$1)/(AW1581:BH1581&lt;&gt;""), 2) - COLUMN($AW$1) + 1
   ),
"")</f>
        <v>46082</v>
      </c>
      <c r="BN1581" s="55" cm="1">
        <f t="array" ref="BN1581">IFERROR(INDEX($AW$1:$BH$1,1,MATCH(2,1/(AW1581:BH1581&lt;&gt;""))),"")</f>
        <v>46113</v>
      </c>
      <c r="BO1581" s="53">
        <f ca="1">IFERROR(_xlfn.XLOOKUP(F1581,Apuração!A:A,Apuração!C:C)/_xlfn.XLOOKUP(F1581,Apuração!A:A,Apuração!B:B),0)</f>
        <v>0</v>
      </c>
      <c r="BP1581" s="53">
        <f ca="1">IFERROR(_xlfn.XLOOKUP(F1581,Apuração!A:A,Apuração!D:D)/_xlfn.XLOOKUP(F1581,Apuração!A:A,Apuração!B:B),0)</f>
        <v>0</v>
      </c>
      <c r="BQ1581" s="53">
        <f ca="1">IF(BK1581&gt;=BO1581,0,_xlfn.XLOOKUP(F1581,Apuração!A:A,Apuração!B:B)*(BO1581 + (1/_xlfn.XLOOKUP(F1581,Apuração!A:A,Apuração!B:B)) - BK1581))</f>
        <v>0</v>
      </c>
      <c r="BR1581" s="85">
        <f ca="1">IF(BQ1581=0,0,BQ1581*Z1581)</f>
        <v>0</v>
      </c>
      <c r="BS1581" s="53">
        <f ca="1">IFERROR((_xlfn.XLOOKUP(F1581,Apuração!A:A,Apuração!C:C)+1)/_xlfn.XLOOKUP(F1581,Apuração!A:A,Apuração!B:B),0)</f>
        <v>0.14285714285714285</v>
      </c>
    </row>
    <row r="1582" spans="1:71" ht="25.95" hidden="1" customHeight="1" x14ac:dyDescent="0.3">
      <c r="A1582" s="3" t="s">
        <v>33</v>
      </c>
      <c r="B1582" s="4" t="s">
        <v>84</v>
      </c>
      <c r="C1582" s="5" t="s">
        <v>214</v>
      </c>
      <c r="D1582" s="5" t="s">
        <v>210</v>
      </c>
      <c r="E1582" s="4" t="s">
        <v>96</v>
      </c>
      <c r="F1582" s="4" t="str" cm="1">
        <f t="array" ref="F1582">_xlfn.IFS(
AG1582 &lt;&gt; "", "Jan-Dez/26",
AH1582 &lt;&gt; "", "Fev-Dez/26",
AI1582 &lt;&gt; "", "Mar-Dez/26", AJ1582 &lt;&gt; "", "Abr-Dez/26",
TRUE, "A partir de Junho"
)</f>
        <v>A partir de Junho</v>
      </c>
      <c r="G1582" s="4" t="s">
        <v>62</v>
      </c>
      <c r="H1582" s="7" t="s">
        <v>38</v>
      </c>
      <c r="I1582" s="8" t="s">
        <v>55</v>
      </c>
      <c r="J1582" s="8" t="str" cm="1">
        <f t="array" aca="1" ref="J1582" ca="1">_xlfn.LET(
  _xlpm.actual_value_month, INDEX(T1582:AE1582, MATCH(DATE(YEAR(TODAY()), MONTH(TODAY()), 1), $T$1:$AE$1, 0)),
  IF(_xlpm.actual_value_month &lt;&gt; "",_xlpm.actual_value_month &amp; " ações mensais", "")
)</f>
        <v>1 ações mensais</v>
      </c>
      <c r="K1582" s="14" t="str" cm="1">
        <f t="array" ref="K1582">_xlfn.LET(
    _xlpm.sum_month, SUM(T1582:AE1582),
    IF(_xlpm.sum_month = 0, "", _xlpm.sum_month &amp; " eventos realizados")
)</f>
        <v>9 eventos realizados</v>
      </c>
      <c r="L1582" s="9" t="s">
        <v>56</v>
      </c>
      <c r="M1582" s="13" t="s">
        <v>86</v>
      </c>
      <c r="N1582" s="5" t="s">
        <v>42</v>
      </c>
      <c r="O1582" s="5" t="s">
        <v>43</v>
      </c>
      <c r="P1582" s="10" t="s">
        <v>44</v>
      </c>
      <c r="Q1582" s="10" t="s">
        <v>44</v>
      </c>
      <c r="R1582" s="11" t="s">
        <v>44</v>
      </c>
      <c r="S1582" s="11" t="s">
        <v>44</v>
      </c>
      <c r="T1582" s="22"/>
      <c r="U1582" s="22"/>
      <c r="V1582" s="22"/>
      <c r="W1582" s="143">
        <v>1</v>
      </c>
      <c r="X1582" s="143">
        <v>1</v>
      </c>
      <c r="Y1582" s="143">
        <v>1</v>
      </c>
      <c r="Z1582" s="143">
        <v>1</v>
      </c>
      <c r="AA1582" s="143">
        <v>1</v>
      </c>
      <c r="AB1582" s="143">
        <v>1</v>
      </c>
      <c r="AC1582" s="143">
        <v>1</v>
      </c>
      <c r="AD1582" s="143">
        <v>1</v>
      </c>
      <c r="AE1582" s="143">
        <v>1</v>
      </c>
      <c r="AG1582" s="71"/>
      <c r="AH1582" s="71"/>
      <c r="AI1582" s="71"/>
      <c r="AJ1582" s="71"/>
      <c r="AK1582" s="71"/>
      <c r="AL1582" s="71"/>
      <c r="AM1582" s="71"/>
      <c r="AN1582" s="71"/>
      <c r="AO1582" s="71"/>
      <c r="AP1582" s="71"/>
      <c r="AQ1582" s="71"/>
      <c r="AR1582" s="71"/>
      <c r="AS1582" s="94">
        <f t="shared" ref="AS1582:AS1586" ca="1" si="1842">IF(MONTH(TODAY())=3,SUM(T1582:U1582),IF(MONTH(TODAY())=4,SUM(T1582:V1582),IF(MONTH(TODAY())=5,SUM(T1582:W1582),IF(MONTH(TODAY())=6,SUM(T1582:X1582),IF(MONTH(TODAY())=7,SUM(T1582:Y1582),IF(MONTH(TODAY())=8,SUM(T1582:Z1582),IF(MONTH(TODAY())=9,SUM(T1582:AA1582),IF(MONTH(TODAY())=10,SUM(T1582:AB1582),IF(MONTH(TODAY())=11,SUM(T1582:AC1582),IF(MONTH(TODAY())=12,SUM(T1582:AD1582),IF(MONTH(TODAY())=1,SUM(T1582:AE1582),T1582)))))))))))</f>
        <v>2</v>
      </c>
      <c r="AT1582" s="95">
        <f t="shared" ref="AT1582:AT1586" si="1843">SUM(IF(AW1582&lt;1.15,AG1582,1.15*T1582),IF(AX1582&lt;1.15,AH1582,1.15*U1582),IF(AY1582&lt;1.15,AI1582,1.15*V1582),IF(AZ1582&lt;1.15,AJ1582,1.15*W1582),IF(BA1582&lt;1.15,AK1582,1.15*X1582),IF(BB1582&lt;1.15,AL1582,1.15*Y1582),IF(BC1582&lt;1.15,AM1582,1.15*Z1582),IF(BD1582&lt;1.15,AN1582,1.15*AA1582),IF(BE1582&lt;1.15,AO1582,1.15*AB1582),IF(BF1582&lt;1.15,AP1582,1.15*AC1582),IF(BG1582&lt;1.15,AQ1582,1.15*AD1582),IF(BH1582&lt;1.15,AR1582,1.15*AE1582))</f>
        <v>0</v>
      </c>
      <c r="AU1582" s="97">
        <f t="shared" ref="AU1582:AU1586" si="1844">SUM(AG1582:AR1582)</f>
        <v>0</v>
      </c>
      <c r="AW1582" s="51">
        <f t="shared" ref="AW1582:AW1586" si="1845">IFERROR(IF(AG1582="",0,AG1582/T1582),0)</f>
        <v>0</v>
      </c>
      <c r="AX1582" s="51">
        <f t="shared" ref="AX1582:AX1586" si="1846">IFERROR(IF(AH1582="",0,AH1582/U1582),0)</f>
        <v>0</v>
      </c>
      <c r="AY1582" s="51">
        <f t="shared" ref="AY1582:AY1586" si="1847">IFERROR(IF(AI1582="",0,AI1582/V1582),0)</f>
        <v>0</v>
      </c>
      <c r="AZ1582" s="51">
        <f t="shared" ref="AZ1582:AZ1586" si="1848">IFERROR(IF(AJ1582="",0,AJ1582/W1582),0)</f>
        <v>0</v>
      </c>
      <c r="BA1582" s="51"/>
      <c r="BB1582" s="51"/>
      <c r="BC1582" s="51"/>
      <c r="BD1582" s="51"/>
      <c r="BE1582" s="51"/>
      <c r="BF1582" s="51"/>
      <c r="BG1582" s="51"/>
      <c r="BH1582" s="51"/>
      <c r="BI1582" s="65" cm="1">
        <f t="array" ref="BI1582">IFERROR(INDEX(AW1582:BH1582,1,MATCH(2,1/(AW1582:BH1582&lt;&gt;""))),"")</f>
        <v>0</v>
      </c>
      <c r="BJ1582" s="68" cm="1">
        <f t="array" ref="BJ1582">IF(BM1582 = "", "",IFERROR(INDEX(AW1582:BH1582,1,MATCH(2,1/(AW1582:BH1582&lt;&gt;""),1)-1),""))</f>
        <v>0</v>
      </c>
      <c r="BK1582" s="58">
        <f>IF((IF(AW1582&gt;=115%,115%,AW1582) + IF(AX1582&gt;=115%,115%,AX1582) + IF(AY1582&gt;=115%,115%,AY1582) + (IF(AZ1582&gt;=115%,115%,AZ1582) + IF(BA1582&gt;=115%,115%,BA1582) + IF(BB1582&gt;=115%,115%,BB1582) + IF(BC1582&gt;=115%,115%,BC1582) + IF(BD1582&gt;=115%,115%,BD1582) + IF(BE1582&gt;=115%,115%,BE1582) + IF(BF1582&gt;=115%,115%,BF1582) + IF(BG1582&gt;=115%,115%,BG1582) + IF(BH1582&gt;=115%,115%,BH1582)))/_xlfn.XLOOKUP(F1582,Apuração!A:A,Apuração!B:B)&gt;=1.15,1.15,((IF(AZ1582&gt;=115%,115%,AZ1582) + IF(AX1582&gt;=115%,115%,AX1582) + IF(AY1582&gt;=115%,115%,AY1582) + (IF(AW1582&gt;=115%,115%,AW1582) + IF(BA1582&gt;=115%,115%,BA1582) + IF(BB1582&gt;=115%,115%,BB1582) + IF(BC1582&gt;=115%,115%,BC1582) + IF(BD1582&gt;=115%,115%,BD1582) + IF(BE1582&gt;=115%,115%,BE1582) + IF(BF1582&gt;=115%,115%,BF1582) + IF(BG1582&gt;=115%,115%,BG1582) + IF(BH1582&gt;=115%,115%,BH1582)))/_xlfn.XLOOKUP(F1582,Apuração!A:A,Apuração!B:B)))</f>
        <v>0</v>
      </c>
      <c r="BL1582" s="58" cm="1">
        <f t="array" aca="1" ref="BL1582" ca="1">IF(SUM(IFERROR(IF(INDEX(AW1582:INDEX(AW1582:BH1582, MATCH(2, 1/(AW1582:BH1582&lt;&gt;""), 1)-1), ROW(INDIRECT("1:" &amp; MATCH(2, 1/(AW1582:BH1582&lt;&gt;""), 1)-1))) &gt;= 115%, 115%, INDEX(AW1582:INDEX(AW1582:BH1582, MATCH(2, 1/(AW1582:BH1582&lt;&gt;""), 1)-1), ROW(INDIRECT("1:" &amp; MATCH(2, 1/(AW1582:BH1582&lt;&gt;""), 1)-1)))), 0))/_xlfn.XLOOKUP(F1582,Apuração!A:A,Apuração!B:B)&gt;=1.15,1.15,SUM(IFERROR(IF(INDEX(AW1582:INDEX(AW1582:BH1582, MATCH(2, 1/(AW1582:BH1582&lt;&gt;""), 1)-1), ROW(INDIRECT("1:" &amp; MATCH(2, 1/(AW1582:BH1582&lt;&gt;""), 1)-1))) &gt;= 115%, 115%, INDEX(AW1582:INDEX(AW1582:BH1582, MATCH(2, 1/(AW1582:BH1582&lt;&gt;""), 1)-1), ROW(INDIRECT("1:" &amp; MATCH(2, 1/(AW1582:BH1582&lt;&gt;""), 1)-1)))), 0))/_xlfn.XLOOKUP(F1582,Apuração!A:A,Apuração!B:B))</f>
        <v>0</v>
      </c>
      <c r="BM1582" s="55" cm="1">
        <f t="array" ref="BM1582">IFERROR(
   INDEX($AW$1:$BH$1,
      _xlfn.AGGREGATE(14, 6, COLUMN($AW$1:$BH$1)/(AW1582:BH1582&lt;&gt;""), 2) - COLUMN($AW$1) + 1
   ),
"")</f>
        <v>46082</v>
      </c>
      <c r="BN1582" s="55" cm="1">
        <f t="array" ref="BN1582">IFERROR(INDEX($AW$1:$BH$1,1,MATCH(2,1/(AW1582:BH1582&lt;&gt;""))),"")</f>
        <v>46113</v>
      </c>
      <c r="BO1582" s="53">
        <f ca="1">IFERROR(_xlfn.XLOOKUP(F1582,Apuração!A:A,Apuração!C:C)/_xlfn.XLOOKUP(F1582,Apuração!A:A,Apuração!B:B),0)</f>
        <v>0</v>
      </c>
      <c r="BP1582" s="53">
        <f ca="1">IFERROR(_xlfn.XLOOKUP(F1582,Apuração!A:A,Apuração!D:D)/_xlfn.XLOOKUP(F1582,Apuração!A:A,Apuração!B:B),0)</f>
        <v>0</v>
      </c>
      <c r="BQ1582" s="53">
        <f ca="1">IF(BK1582&gt;=BO1582,0,_xlfn.XLOOKUP(F1582,Apuração!A:A,Apuração!B:B)*(BO1582 + (1/_xlfn.XLOOKUP(F1582,Apuração!A:A,Apuração!B:B)) - BK1582))</f>
        <v>0</v>
      </c>
      <c r="BR1582" s="85">
        <f t="shared" ref="BR1582:BR1586" ca="1" si="1849">IF(BQ1582=0,0,BQ1582*Z1582)</f>
        <v>0</v>
      </c>
      <c r="BS1582" s="53">
        <f ca="1">IFERROR((_xlfn.XLOOKUP(F1582,Apuração!A:A,Apuração!C:C)+1)/_xlfn.XLOOKUP(F1582,Apuração!A:A,Apuração!B:B),0)</f>
        <v>0.14285714285714285</v>
      </c>
    </row>
    <row r="1583" spans="1:71" ht="25.95" hidden="1" customHeight="1" x14ac:dyDescent="0.3">
      <c r="A1583" s="3" t="s">
        <v>33</v>
      </c>
      <c r="B1583" s="4" t="s">
        <v>84</v>
      </c>
      <c r="C1583" s="5" t="s">
        <v>214</v>
      </c>
      <c r="D1583" s="5" t="s">
        <v>215</v>
      </c>
      <c r="E1583" s="4" t="s">
        <v>96</v>
      </c>
      <c r="F1583" s="4" t="str" cm="1">
        <f t="array" ref="F1583">_xlfn.IFS(
AG1583 &lt;&gt; "", "Jan-Dez/26",
AH1583 &lt;&gt; "", "Fev-Dez/26",
AI1583 &lt;&gt; "", "Mar-Dez/26", AJ1583 &lt;&gt; "", "Abr-Dez/26",
TRUE, "A partir de Junho"
)</f>
        <v>A partir de Junho</v>
      </c>
      <c r="G1583" s="4" t="s">
        <v>62</v>
      </c>
      <c r="H1583" s="7" t="s">
        <v>38</v>
      </c>
      <c r="I1583" s="8" t="s">
        <v>55</v>
      </c>
      <c r="J1583" s="8" t="str" cm="1">
        <f t="array" aca="1" ref="J1583" ca="1">_xlfn.LET(
  _xlpm.actual_value_month, INDEX(T1583:AE1583, MATCH(DATE(YEAR(TODAY()), MONTH(TODAY()), 1), $T$1:$AE$1, 0)),
  IF(_xlpm.actual_value_month &lt;&gt; "",_xlpm.actual_value_month &amp; " ações mensais", "")
)</f>
        <v>1 ações mensais</v>
      </c>
      <c r="K1583" s="14" t="str" cm="1">
        <f t="array" ref="K1583">_xlfn.LET(
    _xlpm.sum_month, SUM(T1583:AE1583),
    IF(_xlpm.sum_month = 0, "", _xlpm.sum_month &amp; " eventos realizados")
)</f>
        <v>9 eventos realizados</v>
      </c>
      <c r="L1583" s="9" t="s">
        <v>56</v>
      </c>
      <c r="M1583" s="13" t="s">
        <v>86</v>
      </c>
      <c r="N1583" s="5" t="s">
        <v>42</v>
      </c>
      <c r="O1583" s="5" t="s">
        <v>43</v>
      </c>
      <c r="P1583" s="10" t="s">
        <v>44</v>
      </c>
      <c r="Q1583" s="10" t="s">
        <v>44</v>
      </c>
      <c r="R1583" s="11" t="s">
        <v>44</v>
      </c>
      <c r="S1583" s="11" t="s">
        <v>44</v>
      </c>
      <c r="T1583" s="22"/>
      <c r="U1583" s="22"/>
      <c r="V1583" s="22"/>
      <c r="W1583" s="143">
        <v>1</v>
      </c>
      <c r="X1583" s="143">
        <v>1</v>
      </c>
      <c r="Y1583" s="143">
        <v>1</v>
      </c>
      <c r="Z1583" s="143">
        <v>1</v>
      </c>
      <c r="AA1583" s="143">
        <v>1</v>
      </c>
      <c r="AB1583" s="143">
        <v>1</v>
      </c>
      <c r="AC1583" s="143">
        <v>1</v>
      </c>
      <c r="AD1583" s="143">
        <v>1</v>
      </c>
      <c r="AE1583" s="143">
        <v>1</v>
      </c>
      <c r="AG1583" s="71"/>
      <c r="AH1583" s="71"/>
      <c r="AI1583" s="71"/>
      <c r="AJ1583" s="71"/>
      <c r="AK1583" s="71"/>
      <c r="AL1583" s="71"/>
      <c r="AM1583" s="71"/>
      <c r="AN1583" s="71"/>
      <c r="AO1583" s="71"/>
      <c r="AP1583" s="71"/>
      <c r="AQ1583" s="71"/>
      <c r="AR1583" s="71"/>
      <c r="AS1583" s="94">
        <f t="shared" ca="1" si="1842"/>
        <v>2</v>
      </c>
      <c r="AT1583" s="95">
        <f t="shared" si="1843"/>
        <v>0</v>
      </c>
      <c r="AU1583" s="97">
        <f t="shared" si="1844"/>
        <v>0</v>
      </c>
      <c r="AW1583" s="51">
        <f t="shared" si="1845"/>
        <v>0</v>
      </c>
      <c r="AX1583" s="51">
        <f t="shared" si="1846"/>
        <v>0</v>
      </c>
      <c r="AY1583" s="51">
        <f t="shared" si="1847"/>
        <v>0</v>
      </c>
      <c r="AZ1583" s="51">
        <f t="shared" si="1848"/>
        <v>0</v>
      </c>
      <c r="BA1583" s="51"/>
      <c r="BB1583" s="51"/>
      <c r="BC1583" s="51"/>
      <c r="BD1583" s="51"/>
      <c r="BE1583" s="51"/>
      <c r="BF1583" s="51"/>
      <c r="BG1583" s="51"/>
      <c r="BH1583" s="51"/>
      <c r="BI1583" s="65" cm="1">
        <f t="array" ref="BI1583">IFERROR(INDEX(AW1583:BH1583,1,MATCH(2,1/(AW1583:BH1583&lt;&gt;""))),"")</f>
        <v>0</v>
      </c>
      <c r="BJ1583" s="68" cm="1">
        <f t="array" ref="BJ1583">IF(BM1583 = "", "",IFERROR(INDEX(AW1583:BH1583,1,MATCH(2,1/(AW1583:BH1583&lt;&gt;""),1)-1),""))</f>
        <v>0</v>
      </c>
      <c r="BK1583" s="58">
        <f>IF((IF(AW1583&gt;=115%,115%,AW1583) + IF(AX1583&gt;=115%,115%,AX1583) + IF(AY1583&gt;=115%,115%,AY1583) + (IF(AZ1583&gt;=115%,115%,AZ1583) + IF(BA1583&gt;=115%,115%,BA1583) + IF(BB1583&gt;=115%,115%,BB1583) + IF(BC1583&gt;=115%,115%,BC1583) + IF(BD1583&gt;=115%,115%,BD1583) + IF(BE1583&gt;=115%,115%,BE1583) + IF(BF1583&gt;=115%,115%,BF1583) + IF(BG1583&gt;=115%,115%,BG1583) + IF(BH1583&gt;=115%,115%,BH1583)))/_xlfn.XLOOKUP(F1583,Apuração!A:A,Apuração!B:B)&gt;=1.15,1.15,((IF(AZ1583&gt;=115%,115%,AZ1583) + IF(AX1583&gt;=115%,115%,AX1583) + IF(AY1583&gt;=115%,115%,AY1583) + (IF(AW1583&gt;=115%,115%,AW1583) + IF(BA1583&gt;=115%,115%,BA1583) + IF(BB1583&gt;=115%,115%,BB1583) + IF(BC1583&gt;=115%,115%,BC1583) + IF(BD1583&gt;=115%,115%,BD1583) + IF(BE1583&gt;=115%,115%,BE1583) + IF(BF1583&gt;=115%,115%,BF1583) + IF(BG1583&gt;=115%,115%,BG1583) + IF(BH1583&gt;=115%,115%,BH1583)))/_xlfn.XLOOKUP(F1583,Apuração!A:A,Apuração!B:B)))</f>
        <v>0</v>
      </c>
      <c r="BL1583" s="58" cm="1">
        <f t="array" aca="1" ref="BL1583" ca="1">IF(SUM(IFERROR(IF(INDEX(AW1583:INDEX(AW1583:BH1583, MATCH(2, 1/(AW1583:BH1583&lt;&gt;""), 1)-1), ROW(INDIRECT("1:" &amp; MATCH(2, 1/(AW1583:BH1583&lt;&gt;""), 1)-1))) &gt;= 115%, 115%, INDEX(AW1583:INDEX(AW1583:BH1583, MATCH(2, 1/(AW1583:BH1583&lt;&gt;""), 1)-1), ROW(INDIRECT("1:" &amp; MATCH(2, 1/(AW1583:BH1583&lt;&gt;""), 1)-1)))), 0))/_xlfn.XLOOKUP(F1583,Apuração!A:A,Apuração!B:B)&gt;=1.15,1.15,SUM(IFERROR(IF(INDEX(AW1583:INDEX(AW1583:BH1583, MATCH(2, 1/(AW1583:BH1583&lt;&gt;""), 1)-1), ROW(INDIRECT("1:" &amp; MATCH(2, 1/(AW1583:BH1583&lt;&gt;""), 1)-1))) &gt;= 115%, 115%, INDEX(AW1583:INDEX(AW1583:BH1583, MATCH(2, 1/(AW1583:BH1583&lt;&gt;""), 1)-1), ROW(INDIRECT("1:" &amp; MATCH(2, 1/(AW1583:BH1583&lt;&gt;""), 1)-1)))), 0))/_xlfn.XLOOKUP(F1583,Apuração!A:A,Apuração!B:B))</f>
        <v>0</v>
      </c>
      <c r="BM1583" s="55" cm="1">
        <f t="array" ref="BM1583">IFERROR(
   INDEX($AW$1:$BH$1,
      _xlfn.AGGREGATE(14, 6, COLUMN($AW$1:$BH$1)/(AW1583:BH1583&lt;&gt;""), 2) - COLUMN($AW$1) + 1
   ),
"")</f>
        <v>46082</v>
      </c>
      <c r="BN1583" s="55" cm="1">
        <f t="array" ref="BN1583">IFERROR(INDEX($AW$1:$BH$1,1,MATCH(2,1/(AW1583:BH1583&lt;&gt;""))),"")</f>
        <v>46113</v>
      </c>
      <c r="BO1583" s="53">
        <f ca="1">IFERROR(_xlfn.XLOOKUP(F1583,Apuração!A:A,Apuração!C:C)/_xlfn.XLOOKUP(F1583,Apuração!A:A,Apuração!B:B),0)</f>
        <v>0</v>
      </c>
      <c r="BP1583" s="53">
        <f ca="1">IFERROR(_xlfn.XLOOKUP(F1583,Apuração!A:A,Apuração!D:D)/_xlfn.XLOOKUP(F1583,Apuração!A:A,Apuração!B:B),0)</f>
        <v>0</v>
      </c>
      <c r="BQ1583" s="53">
        <f ca="1">IF(BK1583&gt;=BO1583,0,_xlfn.XLOOKUP(F1583,Apuração!A:A,Apuração!B:B)*(BO1583 + (1/_xlfn.XLOOKUP(F1583,Apuração!A:A,Apuração!B:B)) - BK1583))</f>
        <v>0</v>
      </c>
      <c r="BR1583" s="85">
        <f t="shared" ca="1" si="1849"/>
        <v>0</v>
      </c>
      <c r="BS1583" s="53">
        <f ca="1">IFERROR((_xlfn.XLOOKUP(F1583,Apuração!A:A,Apuração!C:C)+1)/_xlfn.XLOOKUP(F1583,Apuração!A:A,Apuração!B:B),0)</f>
        <v>0.14285714285714285</v>
      </c>
    </row>
    <row r="1584" spans="1:71" ht="25.95" hidden="1" customHeight="1" x14ac:dyDescent="0.3">
      <c r="A1584" s="3" t="s">
        <v>33</v>
      </c>
      <c r="B1584" s="4" t="s">
        <v>84</v>
      </c>
      <c r="C1584" s="5" t="s">
        <v>214</v>
      </c>
      <c r="D1584" s="5" t="s">
        <v>212</v>
      </c>
      <c r="E1584" s="4" t="s">
        <v>96</v>
      </c>
      <c r="F1584" s="4" t="str" cm="1">
        <f t="array" ref="F1584">_xlfn.IFS(
AG1584 &lt;&gt; "", "Jan-Dez/26",
AH1584 &lt;&gt; "", "Fev-Dez/26",
AI1584 &lt;&gt; "", "Mar-Dez/26", AJ1584 &lt;&gt; "", "Abr-Dez/26",
TRUE, "A partir de Junho"
)</f>
        <v>A partir de Junho</v>
      </c>
      <c r="G1584" s="4" t="s">
        <v>62</v>
      </c>
      <c r="H1584" s="7" t="s">
        <v>38</v>
      </c>
      <c r="I1584" s="8" t="s">
        <v>55</v>
      </c>
      <c r="J1584" s="8" t="str" cm="1">
        <f t="array" aca="1" ref="J1584" ca="1">_xlfn.LET(
  _xlpm.actual_value_month, INDEX(T1584:AE1584, MATCH(DATE(YEAR(TODAY()), MONTH(TODAY()), 1), $T$1:$AE$1, 0)),
  IF(_xlpm.actual_value_month &lt;&gt; "",_xlpm.actual_value_month &amp; " ações mensais", "")
)</f>
        <v>1 ações mensais</v>
      </c>
      <c r="K1584" s="14" t="str" cm="1">
        <f t="array" ref="K1584">_xlfn.LET(
    _xlpm.sum_month, SUM(T1584:AE1584),
    IF(_xlpm.sum_month = 0, "", _xlpm.sum_month &amp; " eventos realizados")
)</f>
        <v>9 eventos realizados</v>
      </c>
      <c r="L1584" s="9" t="s">
        <v>56</v>
      </c>
      <c r="M1584" s="13" t="s">
        <v>86</v>
      </c>
      <c r="N1584" s="5" t="s">
        <v>42</v>
      </c>
      <c r="O1584" s="5" t="s">
        <v>43</v>
      </c>
      <c r="P1584" s="10" t="s">
        <v>44</v>
      </c>
      <c r="Q1584" s="10" t="s">
        <v>44</v>
      </c>
      <c r="R1584" s="11" t="s">
        <v>44</v>
      </c>
      <c r="S1584" s="11" t="s">
        <v>44</v>
      </c>
      <c r="T1584" s="22"/>
      <c r="U1584" s="22"/>
      <c r="V1584" s="22"/>
      <c r="W1584" s="143">
        <v>1</v>
      </c>
      <c r="X1584" s="143">
        <v>1</v>
      </c>
      <c r="Y1584" s="143">
        <v>1</v>
      </c>
      <c r="Z1584" s="143">
        <v>1</v>
      </c>
      <c r="AA1584" s="143">
        <v>1</v>
      </c>
      <c r="AB1584" s="143">
        <v>1</v>
      </c>
      <c r="AC1584" s="143">
        <v>1</v>
      </c>
      <c r="AD1584" s="143">
        <v>1</v>
      </c>
      <c r="AE1584" s="143">
        <v>1</v>
      </c>
      <c r="AG1584" s="71"/>
      <c r="AH1584" s="71"/>
      <c r="AI1584" s="71"/>
      <c r="AJ1584" s="71"/>
      <c r="AK1584" s="71"/>
      <c r="AL1584" s="71"/>
      <c r="AM1584" s="71"/>
      <c r="AN1584" s="71"/>
      <c r="AO1584" s="71"/>
      <c r="AP1584" s="71"/>
      <c r="AQ1584" s="71"/>
      <c r="AR1584" s="71"/>
      <c r="AS1584" s="94">
        <f t="shared" ca="1" si="1842"/>
        <v>2</v>
      </c>
      <c r="AT1584" s="95">
        <f t="shared" si="1843"/>
        <v>0</v>
      </c>
      <c r="AU1584" s="97">
        <f t="shared" si="1844"/>
        <v>0</v>
      </c>
      <c r="AW1584" s="51">
        <f t="shared" si="1845"/>
        <v>0</v>
      </c>
      <c r="AX1584" s="51">
        <f t="shared" si="1846"/>
        <v>0</v>
      </c>
      <c r="AY1584" s="51">
        <f t="shared" si="1847"/>
        <v>0</v>
      </c>
      <c r="AZ1584" s="51">
        <f t="shared" si="1848"/>
        <v>0</v>
      </c>
      <c r="BA1584" s="51"/>
      <c r="BB1584" s="51"/>
      <c r="BC1584" s="51"/>
      <c r="BD1584" s="51"/>
      <c r="BE1584" s="51"/>
      <c r="BF1584" s="51"/>
      <c r="BG1584" s="51"/>
      <c r="BH1584" s="51"/>
      <c r="BI1584" s="65" cm="1">
        <f t="array" ref="BI1584">IFERROR(INDEX(AW1584:BH1584,1,MATCH(2,1/(AW1584:BH1584&lt;&gt;""))),"")</f>
        <v>0</v>
      </c>
      <c r="BJ1584" s="68" cm="1">
        <f t="array" ref="BJ1584">IF(BM1584 = "", "",IFERROR(INDEX(AW1584:BH1584,1,MATCH(2,1/(AW1584:BH1584&lt;&gt;""),1)-1),""))</f>
        <v>0</v>
      </c>
      <c r="BK1584" s="58">
        <f>IF((IF(AW1584&gt;=115%,115%,AW1584) + IF(AX1584&gt;=115%,115%,AX1584) + IF(AY1584&gt;=115%,115%,AY1584) + (IF(AZ1584&gt;=115%,115%,AZ1584) + IF(BA1584&gt;=115%,115%,BA1584) + IF(BB1584&gt;=115%,115%,BB1584) + IF(BC1584&gt;=115%,115%,BC1584) + IF(BD1584&gt;=115%,115%,BD1584) + IF(BE1584&gt;=115%,115%,BE1584) + IF(BF1584&gt;=115%,115%,BF1584) + IF(BG1584&gt;=115%,115%,BG1584) + IF(BH1584&gt;=115%,115%,BH1584)))/_xlfn.XLOOKUP(F1584,Apuração!A:A,Apuração!B:B)&gt;=1.15,1.15,((IF(AZ1584&gt;=115%,115%,AZ1584) + IF(AX1584&gt;=115%,115%,AX1584) + IF(AY1584&gt;=115%,115%,AY1584) + (IF(AW1584&gt;=115%,115%,AW1584) + IF(BA1584&gt;=115%,115%,BA1584) + IF(BB1584&gt;=115%,115%,BB1584) + IF(BC1584&gt;=115%,115%,BC1584) + IF(BD1584&gt;=115%,115%,BD1584) + IF(BE1584&gt;=115%,115%,BE1584) + IF(BF1584&gt;=115%,115%,BF1584) + IF(BG1584&gt;=115%,115%,BG1584) + IF(BH1584&gt;=115%,115%,BH1584)))/_xlfn.XLOOKUP(F1584,Apuração!A:A,Apuração!B:B)))</f>
        <v>0</v>
      </c>
      <c r="BL1584" s="58" cm="1">
        <f t="array" aca="1" ref="BL1584" ca="1">IF(SUM(IFERROR(IF(INDEX(AW1584:INDEX(AW1584:BH1584, MATCH(2, 1/(AW1584:BH1584&lt;&gt;""), 1)-1), ROW(INDIRECT("1:" &amp; MATCH(2, 1/(AW1584:BH1584&lt;&gt;""), 1)-1))) &gt;= 115%, 115%, INDEX(AW1584:INDEX(AW1584:BH1584, MATCH(2, 1/(AW1584:BH1584&lt;&gt;""), 1)-1), ROW(INDIRECT("1:" &amp; MATCH(2, 1/(AW1584:BH1584&lt;&gt;""), 1)-1)))), 0))/_xlfn.XLOOKUP(F1584,Apuração!A:A,Apuração!B:B)&gt;=1.15,1.15,SUM(IFERROR(IF(INDEX(AW1584:INDEX(AW1584:BH1584, MATCH(2, 1/(AW1584:BH1584&lt;&gt;""), 1)-1), ROW(INDIRECT("1:" &amp; MATCH(2, 1/(AW1584:BH1584&lt;&gt;""), 1)-1))) &gt;= 115%, 115%, INDEX(AW1584:INDEX(AW1584:BH1584, MATCH(2, 1/(AW1584:BH1584&lt;&gt;""), 1)-1), ROW(INDIRECT("1:" &amp; MATCH(2, 1/(AW1584:BH1584&lt;&gt;""), 1)-1)))), 0))/_xlfn.XLOOKUP(F1584,Apuração!A:A,Apuração!B:B))</f>
        <v>0</v>
      </c>
      <c r="BM1584" s="55" cm="1">
        <f t="array" ref="BM1584">IFERROR(
   INDEX($AW$1:$BH$1,
      _xlfn.AGGREGATE(14, 6, COLUMN($AW$1:$BH$1)/(AW1584:BH1584&lt;&gt;""), 2) - COLUMN($AW$1) + 1
   ),
"")</f>
        <v>46082</v>
      </c>
      <c r="BN1584" s="55" cm="1">
        <f t="array" ref="BN1584">IFERROR(INDEX($AW$1:$BH$1,1,MATCH(2,1/(AW1584:BH1584&lt;&gt;""))),"")</f>
        <v>46113</v>
      </c>
      <c r="BO1584" s="53">
        <f ca="1">IFERROR(_xlfn.XLOOKUP(F1584,Apuração!A:A,Apuração!C:C)/_xlfn.XLOOKUP(F1584,Apuração!A:A,Apuração!B:B),0)</f>
        <v>0</v>
      </c>
      <c r="BP1584" s="53">
        <f ca="1">IFERROR(_xlfn.XLOOKUP(F1584,Apuração!A:A,Apuração!D:D)/_xlfn.XLOOKUP(F1584,Apuração!A:A,Apuração!B:B),0)</f>
        <v>0</v>
      </c>
      <c r="BQ1584" s="53">
        <f ca="1">IF(BK1584&gt;=BO1584,0,_xlfn.XLOOKUP(F1584,Apuração!A:A,Apuração!B:B)*(BO1584 + (1/_xlfn.XLOOKUP(F1584,Apuração!A:A,Apuração!B:B)) - BK1584))</f>
        <v>0</v>
      </c>
      <c r="BR1584" s="85">
        <f t="shared" ca="1" si="1849"/>
        <v>0</v>
      </c>
      <c r="BS1584" s="53">
        <f ca="1">IFERROR((_xlfn.XLOOKUP(F1584,Apuração!A:A,Apuração!C:C)+1)/_xlfn.XLOOKUP(F1584,Apuração!A:A,Apuração!B:B),0)</f>
        <v>0.14285714285714285</v>
      </c>
    </row>
    <row r="1585" spans="1:71" ht="25.95" hidden="1" customHeight="1" x14ac:dyDescent="0.3">
      <c r="A1585" s="3" t="s">
        <v>33</v>
      </c>
      <c r="B1585" s="4" t="s">
        <v>84</v>
      </c>
      <c r="C1585" s="5" t="s">
        <v>214</v>
      </c>
      <c r="D1585" s="5" t="s">
        <v>48</v>
      </c>
      <c r="E1585" s="4" t="s">
        <v>96</v>
      </c>
      <c r="F1585" s="4" t="str" cm="1">
        <f t="array" ref="F1585">_xlfn.IFS(
AG1585 &lt;&gt; "", "Jan-Dez/26",
AH1585 &lt;&gt; "", "Fev-Dez/26",
AI1585 &lt;&gt; "", "Mar-Dez/26", AJ1585 &lt;&gt; "", "Abr-Dez/26",
TRUE, "A partir de Junho"
)</f>
        <v>A partir de Junho</v>
      </c>
      <c r="G1585" s="4" t="s">
        <v>62</v>
      </c>
      <c r="H1585" s="7" t="s">
        <v>38</v>
      </c>
      <c r="I1585" s="8" t="s">
        <v>55</v>
      </c>
      <c r="J1585" s="8" t="str" cm="1">
        <f t="array" aca="1" ref="J1585" ca="1">_xlfn.LET(
  _xlpm.actual_value_month, INDEX(T1585:AE1585, MATCH(DATE(YEAR(TODAY()), MONTH(TODAY()), 1), $T$1:$AE$1, 0)),
  IF(_xlpm.actual_value_month &lt;&gt; "",_xlpm.actual_value_month &amp; " ações mensais", "")
)</f>
        <v>1 ações mensais</v>
      </c>
      <c r="K1585" s="14" t="str" cm="1">
        <f t="array" ref="K1585">_xlfn.LET(
    _xlpm.sum_month, SUM(T1585:AE1585),
    IF(_xlpm.sum_month = 0, "", _xlpm.sum_month &amp; " eventos realizados")
)</f>
        <v>9 eventos realizados</v>
      </c>
      <c r="L1585" s="9" t="s">
        <v>56</v>
      </c>
      <c r="M1585" s="13" t="s">
        <v>86</v>
      </c>
      <c r="N1585" s="5" t="s">
        <v>42</v>
      </c>
      <c r="O1585" s="5" t="s">
        <v>43</v>
      </c>
      <c r="P1585" s="10" t="s">
        <v>44</v>
      </c>
      <c r="Q1585" s="10" t="s">
        <v>44</v>
      </c>
      <c r="R1585" s="11" t="s">
        <v>44</v>
      </c>
      <c r="S1585" s="11" t="s">
        <v>44</v>
      </c>
      <c r="T1585" s="22"/>
      <c r="U1585" s="22"/>
      <c r="V1585" s="22"/>
      <c r="W1585" s="143">
        <v>1</v>
      </c>
      <c r="X1585" s="143">
        <v>1</v>
      </c>
      <c r="Y1585" s="143">
        <v>1</v>
      </c>
      <c r="Z1585" s="143">
        <v>1</v>
      </c>
      <c r="AA1585" s="143">
        <v>1</v>
      </c>
      <c r="AB1585" s="143">
        <v>1</v>
      </c>
      <c r="AC1585" s="143">
        <v>1</v>
      </c>
      <c r="AD1585" s="143">
        <v>1</v>
      </c>
      <c r="AE1585" s="143">
        <v>1</v>
      </c>
      <c r="AG1585" s="71"/>
      <c r="AH1585" s="71"/>
      <c r="AI1585" s="71"/>
      <c r="AJ1585" s="71"/>
      <c r="AK1585" s="71"/>
      <c r="AL1585" s="71"/>
      <c r="AM1585" s="71"/>
      <c r="AN1585" s="71"/>
      <c r="AO1585" s="71"/>
      <c r="AP1585" s="71"/>
      <c r="AQ1585" s="71"/>
      <c r="AR1585" s="71"/>
      <c r="AS1585" s="94">
        <f t="shared" ca="1" si="1842"/>
        <v>2</v>
      </c>
      <c r="AT1585" s="95">
        <f t="shared" si="1843"/>
        <v>0</v>
      </c>
      <c r="AU1585" s="97">
        <f t="shared" si="1844"/>
        <v>0</v>
      </c>
      <c r="AW1585" s="51">
        <f t="shared" si="1845"/>
        <v>0</v>
      </c>
      <c r="AX1585" s="51">
        <f t="shared" si="1846"/>
        <v>0</v>
      </c>
      <c r="AY1585" s="51">
        <f t="shared" si="1847"/>
        <v>0</v>
      </c>
      <c r="AZ1585" s="51">
        <f t="shared" si="1848"/>
        <v>0</v>
      </c>
      <c r="BA1585" s="51"/>
      <c r="BB1585" s="51"/>
      <c r="BC1585" s="51"/>
      <c r="BD1585" s="51"/>
      <c r="BE1585" s="51"/>
      <c r="BF1585" s="51"/>
      <c r="BG1585" s="51"/>
      <c r="BH1585" s="51"/>
      <c r="BI1585" s="65" cm="1">
        <f t="array" ref="BI1585">IFERROR(INDEX(AW1585:BH1585,1,MATCH(2,1/(AW1585:BH1585&lt;&gt;""))),"")</f>
        <v>0</v>
      </c>
      <c r="BJ1585" s="68" cm="1">
        <f t="array" ref="BJ1585">IF(BM1585 = "", "",IFERROR(INDEX(AW1585:BH1585,1,MATCH(2,1/(AW1585:BH1585&lt;&gt;""),1)-1),""))</f>
        <v>0</v>
      </c>
      <c r="BK1585" s="58">
        <f>IF((IF(AW1585&gt;=115%,115%,AW1585) + IF(AX1585&gt;=115%,115%,AX1585) + IF(AY1585&gt;=115%,115%,AY1585) + (IF(AZ1585&gt;=115%,115%,AZ1585) + IF(BA1585&gt;=115%,115%,BA1585) + IF(BB1585&gt;=115%,115%,BB1585) + IF(BC1585&gt;=115%,115%,BC1585) + IF(BD1585&gt;=115%,115%,BD1585) + IF(BE1585&gt;=115%,115%,BE1585) + IF(BF1585&gt;=115%,115%,BF1585) + IF(BG1585&gt;=115%,115%,BG1585) + IF(BH1585&gt;=115%,115%,BH1585)))/_xlfn.XLOOKUP(F1585,Apuração!A:A,Apuração!B:B)&gt;=1.15,1.15,((IF(AZ1585&gt;=115%,115%,AZ1585) + IF(AX1585&gt;=115%,115%,AX1585) + IF(AY1585&gt;=115%,115%,AY1585) + (IF(AW1585&gt;=115%,115%,AW1585) + IF(BA1585&gt;=115%,115%,BA1585) + IF(BB1585&gt;=115%,115%,BB1585) + IF(BC1585&gt;=115%,115%,BC1585) + IF(BD1585&gt;=115%,115%,BD1585) + IF(BE1585&gt;=115%,115%,BE1585) + IF(BF1585&gt;=115%,115%,BF1585) + IF(BG1585&gt;=115%,115%,BG1585) + IF(BH1585&gt;=115%,115%,BH1585)))/_xlfn.XLOOKUP(F1585,Apuração!A:A,Apuração!B:B)))</f>
        <v>0</v>
      </c>
      <c r="BL1585" s="58" cm="1">
        <f t="array" aca="1" ref="BL1585" ca="1">IF(SUM(IFERROR(IF(INDEX(AW1585:INDEX(AW1585:BH1585, MATCH(2, 1/(AW1585:BH1585&lt;&gt;""), 1)-1), ROW(INDIRECT("1:" &amp; MATCH(2, 1/(AW1585:BH1585&lt;&gt;""), 1)-1))) &gt;= 115%, 115%, INDEX(AW1585:INDEX(AW1585:BH1585, MATCH(2, 1/(AW1585:BH1585&lt;&gt;""), 1)-1), ROW(INDIRECT("1:" &amp; MATCH(2, 1/(AW1585:BH1585&lt;&gt;""), 1)-1)))), 0))/_xlfn.XLOOKUP(F1585,Apuração!A:A,Apuração!B:B)&gt;=1.15,1.15,SUM(IFERROR(IF(INDEX(AW1585:INDEX(AW1585:BH1585, MATCH(2, 1/(AW1585:BH1585&lt;&gt;""), 1)-1), ROW(INDIRECT("1:" &amp; MATCH(2, 1/(AW1585:BH1585&lt;&gt;""), 1)-1))) &gt;= 115%, 115%, INDEX(AW1585:INDEX(AW1585:BH1585, MATCH(2, 1/(AW1585:BH1585&lt;&gt;""), 1)-1), ROW(INDIRECT("1:" &amp; MATCH(2, 1/(AW1585:BH1585&lt;&gt;""), 1)-1)))), 0))/_xlfn.XLOOKUP(F1585,Apuração!A:A,Apuração!B:B))</f>
        <v>0</v>
      </c>
      <c r="BM1585" s="55" cm="1">
        <f t="array" ref="BM1585">IFERROR(
   INDEX($AW$1:$BH$1,
      _xlfn.AGGREGATE(14, 6, COLUMN($AW$1:$BH$1)/(AW1585:BH1585&lt;&gt;""), 2) - COLUMN($AW$1) + 1
   ),
"")</f>
        <v>46082</v>
      </c>
      <c r="BN1585" s="55" cm="1">
        <f t="array" ref="BN1585">IFERROR(INDEX($AW$1:$BH$1,1,MATCH(2,1/(AW1585:BH1585&lt;&gt;""))),"")</f>
        <v>46113</v>
      </c>
      <c r="BO1585" s="53">
        <f ca="1">IFERROR(_xlfn.XLOOKUP(F1585,Apuração!A:A,Apuração!C:C)/_xlfn.XLOOKUP(F1585,Apuração!A:A,Apuração!B:B),0)</f>
        <v>0</v>
      </c>
      <c r="BP1585" s="53">
        <f ca="1">IFERROR(_xlfn.XLOOKUP(F1585,Apuração!A:A,Apuração!D:D)/_xlfn.XLOOKUP(F1585,Apuração!A:A,Apuração!B:B),0)</f>
        <v>0</v>
      </c>
      <c r="BQ1585" s="53">
        <f ca="1">IF(BK1585&gt;=BO1585,0,_xlfn.XLOOKUP(F1585,Apuração!A:A,Apuração!B:B)*(BO1585 + (1/_xlfn.XLOOKUP(F1585,Apuração!A:A,Apuração!B:B)) - BK1585))</f>
        <v>0</v>
      </c>
      <c r="BR1585" s="85">
        <f t="shared" ca="1" si="1849"/>
        <v>0</v>
      </c>
      <c r="BS1585" s="53">
        <f ca="1">IFERROR((_xlfn.XLOOKUP(F1585,Apuração!A:A,Apuração!C:C)+1)/_xlfn.XLOOKUP(F1585,Apuração!A:A,Apuração!B:B),0)</f>
        <v>0.14285714285714285</v>
      </c>
    </row>
    <row r="1586" spans="1:71" ht="25.95" hidden="1" customHeight="1" x14ac:dyDescent="0.3">
      <c r="A1586" s="3" t="s">
        <v>33</v>
      </c>
      <c r="B1586" s="4" t="s">
        <v>84</v>
      </c>
      <c r="C1586" s="5" t="s">
        <v>214</v>
      </c>
      <c r="D1586" s="5" t="s">
        <v>213</v>
      </c>
      <c r="E1586" s="4" t="s">
        <v>96</v>
      </c>
      <c r="F1586" s="4" t="str" cm="1">
        <f t="array" ref="F1586">_xlfn.IFS(
AG1586 &lt;&gt; "", "Jan-Dez/26",
AH1586 &lt;&gt; "", "Fev-Dez/26",
AI1586 &lt;&gt; "", "Mar-Dez/26", AJ1586 &lt;&gt; "", "Abr-Dez/26",
TRUE, "A partir de Junho"
)</f>
        <v>A partir de Junho</v>
      </c>
      <c r="G1586" s="4" t="s">
        <v>62</v>
      </c>
      <c r="H1586" s="7" t="s">
        <v>38</v>
      </c>
      <c r="I1586" s="8" t="s">
        <v>55</v>
      </c>
      <c r="J1586" s="8" t="str" cm="1">
        <f t="array" aca="1" ref="J1586" ca="1">_xlfn.LET(
  _xlpm.actual_value_month, INDEX(T1586:AE1586, MATCH(DATE(YEAR(TODAY()), MONTH(TODAY()), 1), $T$1:$AE$1, 0)),
  IF(_xlpm.actual_value_month &lt;&gt; "",_xlpm.actual_value_month &amp; " ações mensais", "")
)</f>
        <v>1 ações mensais</v>
      </c>
      <c r="K1586" s="14" t="str" cm="1">
        <f t="array" ref="K1586">_xlfn.LET(
    _xlpm.sum_month, SUM(T1586:AE1586),
    IF(_xlpm.sum_month = 0, "", _xlpm.sum_month &amp; " eventos realizados")
)</f>
        <v>9 eventos realizados</v>
      </c>
      <c r="L1586" s="9" t="s">
        <v>56</v>
      </c>
      <c r="M1586" s="13" t="s">
        <v>86</v>
      </c>
      <c r="N1586" s="5" t="s">
        <v>42</v>
      </c>
      <c r="O1586" s="5" t="s">
        <v>43</v>
      </c>
      <c r="P1586" s="10" t="s">
        <v>44</v>
      </c>
      <c r="Q1586" s="10" t="s">
        <v>44</v>
      </c>
      <c r="R1586" s="11" t="s">
        <v>44</v>
      </c>
      <c r="S1586" s="11" t="s">
        <v>44</v>
      </c>
      <c r="T1586" s="22"/>
      <c r="U1586" s="22"/>
      <c r="V1586" s="22"/>
      <c r="W1586" s="143">
        <v>1</v>
      </c>
      <c r="X1586" s="143">
        <v>1</v>
      </c>
      <c r="Y1586" s="143">
        <v>1</v>
      </c>
      <c r="Z1586" s="143">
        <v>1</v>
      </c>
      <c r="AA1586" s="143">
        <v>1</v>
      </c>
      <c r="AB1586" s="143">
        <v>1</v>
      </c>
      <c r="AC1586" s="143">
        <v>1</v>
      </c>
      <c r="AD1586" s="143">
        <v>1</v>
      </c>
      <c r="AE1586" s="143">
        <v>1</v>
      </c>
      <c r="AG1586" s="71"/>
      <c r="AH1586" s="71"/>
      <c r="AI1586" s="71"/>
      <c r="AJ1586" s="71"/>
      <c r="AK1586" s="71"/>
      <c r="AL1586" s="71"/>
      <c r="AM1586" s="71"/>
      <c r="AN1586" s="71"/>
      <c r="AO1586" s="71"/>
      <c r="AP1586" s="71"/>
      <c r="AQ1586" s="71"/>
      <c r="AR1586" s="71"/>
      <c r="AS1586" s="94">
        <f t="shared" ca="1" si="1842"/>
        <v>2</v>
      </c>
      <c r="AT1586" s="95">
        <f t="shared" si="1843"/>
        <v>0</v>
      </c>
      <c r="AU1586" s="97">
        <f t="shared" si="1844"/>
        <v>0</v>
      </c>
      <c r="AW1586" s="51">
        <f t="shared" si="1845"/>
        <v>0</v>
      </c>
      <c r="AX1586" s="51">
        <f t="shared" si="1846"/>
        <v>0</v>
      </c>
      <c r="AY1586" s="51">
        <f t="shared" si="1847"/>
        <v>0</v>
      </c>
      <c r="AZ1586" s="51">
        <f t="shared" si="1848"/>
        <v>0</v>
      </c>
      <c r="BA1586" s="51"/>
      <c r="BB1586" s="51"/>
      <c r="BC1586" s="51"/>
      <c r="BD1586" s="51"/>
      <c r="BE1586" s="51"/>
      <c r="BF1586" s="51"/>
      <c r="BG1586" s="51"/>
      <c r="BH1586" s="51"/>
      <c r="BI1586" s="65" cm="1">
        <f t="array" ref="BI1586">IFERROR(INDEX(AW1586:BH1586,1,MATCH(2,1/(AW1586:BH1586&lt;&gt;""))),"")</f>
        <v>0</v>
      </c>
      <c r="BJ1586" s="68" cm="1">
        <f t="array" ref="BJ1586">IF(BM1586 = "", "",IFERROR(INDEX(AW1586:BH1586,1,MATCH(2,1/(AW1586:BH1586&lt;&gt;""),1)-1),""))</f>
        <v>0</v>
      </c>
      <c r="BK1586" s="58">
        <f>IF((IF(AW1586&gt;=115%,115%,AW1586) + IF(AX1586&gt;=115%,115%,AX1586) + IF(AY1586&gt;=115%,115%,AY1586) + (IF(AZ1586&gt;=115%,115%,AZ1586) + IF(BA1586&gt;=115%,115%,BA1586) + IF(BB1586&gt;=115%,115%,BB1586) + IF(BC1586&gt;=115%,115%,BC1586) + IF(BD1586&gt;=115%,115%,BD1586) + IF(BE1586&gt;=115%,115%,BE1586) + IF(BF1586&gt;=115%,115%,BF1586) + IF(BG1586&gt;=115%,115%,BG1586) + IF(BH1586&gt;=115%,115%,BH1586)))/_xlfn.XLOOKUP(F1586,Apuração!A:A,Apuração!B:B)&gt;=1.15,1.15,((IF(AZ1586&gt;=115%,115%,AZ1586) + IF(AX1586&gt;=115%,115%,AX1586) + IF(AY1586&gt;=115%,115%,AY1586) + (IF(AW1586&gt;=115%,115%,AW1586) + IF(BA1586&gt;=115%,115%,BA1586) + IF(BB1586&gt;=115%,115%,BB1586) + IF(BC1586&gt;=115%,115%,BC1586) + IF(BD1586&gt;=115%,115%,BD1586) + IF(BE1586&gt;=115%,115%,BE1586) + IF(BF1586&gt;=115%,115%,BF1586) + IF(BG1586&gt;=115%,115%,BG1586) + IF(BH1586&gt;=115%,115%,BH1586)))/_xlfn.XLOOKUP(F1586,Apuração!A:A,Apuração!B:B)))</f>
        <v>0</v>
      </c>
      <c r="BL1586" s="58" cm="1">
        <f t="array" aca="1" ref="BL1586" ca="1">IF(SUM(IFERROR(IF(INDEX(AW1586:INDEX(AW1586:BH1586, MATCH(2, 1/(AW1586:BH1586&lt;&gt;""), 1)-1), ROW(INDIRECT("1:" &amp; MATCH(2, 1/(AW1586:BH1586&lt;&gt;""), 1)-1))) &gt;= 115%, 115%, INDEX(AW1586:INDEX(AW1586:BH1586, MATCH(2, 1/(AW1586:BH1586&lt;&gt;""), 1)-1), ROW(INDIRECT("1:" &amp; MATCH(2, 1/(AW1586:BH1586&lt;&gt;""), 1)-1)))), 0))/_xlfn.XLOOKUP(F1586,Apuração!A:A,Apuração!B:B)&gt;=1.15,1.15,SUM(IFERROR(IF(INDEX(AW1586:INDEX(AW1586:BH1586, MATCH(2, 1/(AW1586:BH1586&lt;&gt;""), 1)-1), ROW(INDIRECT("1:" &amp; MATCH(2, 1/(AW1586:BH1586&lt;&gt;""), 1)-1))) &gt;= 115%, 115%, INDEX(AW1586:INDEX(AW1586:BH1586, MATCH(2, 1/(AW1586:BH1586&lt;&gt;""), 1)-1), ROW(INDIRECT("1:" &amp; MATCH(2, 1/(AW1586:BH1586&lt;&gt;""), 1)-1)))), 0))/_xlfn.XLOOKUP(F1586,Apuração!A:A,Apuração!B:B))</f>
        <v>0</v>
      </c>
      <c r="BM1586" s="55" cm="1">
        <f t="array" ref="BM1586">IFERROR(
   INDEX($AW$1:$BH$1,
      _xlfn.AGGREGATE(14, 6, COLUMN($AW$1:$BH$1)/(AW1586:BH1586&lt;&gt;""), 2) - COLUMN($AW$1) + 1
   ),
"")</f>
        <v>46082</v>
      </c>
      <c r="BN1586" s="55" cm="1">
        <f t="array" ref="BN1586">IFERROR(INDEX($AW$1:$BH$1,1,MATCH(2,1/(AW1586:BH1586&lt;&gt;""))),"")</f>
        <v>46113</v>
      </c>
      <c r="BO1586" s="53">
        <f ca="1">IFERROR(_xlfn.XLOOKUP(F1586,Apuração!A:A,Apuração!C:C)/_xlfn.XLOOKUP(F1586,Apuração!A:A,Apuração!B:B),0)</f>
        <v>0</v>
      </c>
      <c r="BP1586" s="53">
        <f ca="1">IFERROR(_xlfn.XLOOKUP(F1586,Apuração!A:A,Apuração!D:D)/_xlfn.XLOOKUP(F1586,Apuração!A:A,Apuração!B:B),0)</f>
        <v>0</v>
      </c>
      <c r="BQ1586" s="53">
        <f ca="1">IF(BK1586&gt;=BO1586,0,_xlfn.XLOOKUP(F1586,Apuração!A:A,Apuração!B:B)*(BO1586 + (1/_xlfn.XLOOKUP(F1586,Apuração!A:A,Apuração!B:B)) - BK1586))</f>
        <v>0</v>
      </c>
      <c r="BR1586" s="85">
        <f t="shared" ca="1" si="1849"/>
        <v>0</v>
      </c>
      <c r="BS1586" s="53">
        <f ca="1">IFERROR((_xlfn.XLOOKUP(F1586,Apuração!A:A,Apuração!C:C)+1)/_xlfn.XLOOKUP(F1586,Apuração!A:A,Apuração!B:B),0)</f>
        <v>0.14285714285714285</v>
      </c>
    </row>
    <row r="1587" spans="1:71" ht="25.95" hidden="1" customHeight="1" x14ac:dyDescent="0.3">
      <c r="A1587" s="39" t="s">
        <v>33</v>
      </c>
      <c r="B1587" s="4" t="s">
        <v>84</v>
      </c>
      <c r="C1587" s="5" t="s">
        <v>214</v>
      </c>
      <c r="D1587" s="5" t="s">
        <v>36</v>
      </c>
      <c r="E1587" s="4" t="s">
        <v>96</v>
      </c>
      <c r="F1587" s="4" t="str" cm="1">
        <f t="array" ref="F1587">_xlfn.IFS(
AG1587 &lt;&gt; "", "Jan-Dez/26",
AH1587 &lt;&gt; "", "Fev-Dez/26",
AI1587 &lt;&gt; "", "Mar-Dez/26", AJ1587 &lt;&gt; "", "Abr-Dez/26",
TRUE, "A partir de Junho"
)</f>
        <v>A partir de Junho</v>
      </c>
      <c r="G1587" s="4" t="s">
        <v>62</v>
      </c>
      <c r="H1587" s="7" t="s">
        <v>38</v>
      </c>
      <c r="I1587" s="9" t="s">
        <v>76</v>
      </c>
      <c r="J1587" s="8" t="str" cm="1">
        <f t="array" aca="1" ref="J1587" ca="1">_xlfn.LET(
  _xlpm.actual_value_month, INDEX(T1587:AE1587, MATCH(DATE(YEAR(TODAY()), MONTH(TODAY()), 1), $T$1:$AE$1, 0)),
  IF(_xlpm.actual_value_month &lt;&gt; "",_xlpm.actual_value_month &amp; " ações mensais", "")
)</f>
        <v/>
      </c>
      <c r="K1587" s="14" t="str" cm="1">
        <f t="array" ref="K1587">_xlfn.LET(
    _xlpm.sum_month, SUM(T1587:AE1587),
    IF(_xlpm.sum_month = 0, "", _xlpm.sum_month &amp; " público impactado no ano.")
)</f>
        <v/>
      </c>
      <c r="L1587" s="9" t="s">
        <v>76</v>
      </c>
      <c r="M1587" s="13">
        <v>1</v>
      </c>
      <c r="N1587" s="5" t="s">
        <v>51</v>
      </c>
      <c r="O1587" s="5" t="s">
        <v>52</v>
      </c>
      <c r="P1587" s="10" t="s">
        <v>44</v>
      </c>
      <c r="Q1587" s="10" t="s">
        <v>44</v>
      </c>
      <c r="R1587" s="11" t="s">
        <v>44</v>
      </c>
      <c r="S1587" s="11" t="s">
        <v>44</v>
      </c>
      <c r="T1587" s="22"/>
      <c r="U1587" s="22"/>
      <c r="V1587" s="22"/>
      <c r="W1587" s="22"/>
      <c r="X1587" s="22"/>
      <c r="Y1587" s="22"/>
      <c r="Z1587" s="22"/>
      <c r="AA1587" s="22"/>
      <c r="AB1587" s="22"/>
      <c r="AC1587" s="22"/>
      <c r="AD1587" s="22"/>
      <c r="AE1587" s="22"/>
      <c r="AG1587" s="71"/>
      <c r="AH1587" s="71"/>
      <c r="AI1587" s="71"/>
      <c r="AJ1587" s="71"/>
      <c r="AK1587" s="71"/>
      <c r="AL1587" s="71"/>
      <c r="AM1587" s="71"/>
      <c r="AN1587" s="71"/>
      <c r="AO1587" s="71"/>
      <c r="AP1587" s="71"/>
      <c r="AQ1587" s="71"/>
      <c r="AR1587" s="71"/>
      <c r="AS1587" s="94">
        <f ca="1">IF(MONTH(TODAY())=3,SUM(T1587:U1587),IF(MONTH(TODAY())=4,SUM(T1587:V1587),IF(MONTH(TODAY())=5,SUM(T1587:W1587),IF(MONTH(TODAY())=6,SUM(T1587:X1587),IF(MONTH(TODAY())=7,SUM(T1587:Y1587),IF(MONTH(TODAY())=8,SUM(T1587:Z1587),IF(MONTH(TODAY())=9,SUM(T1587:AA1587),IF(MONTH(TODAY())=10,SUM(T1587:AB1587),IF(MONTH(TODAY())=11,SUM(T1587:AC1587),IF(MONTH(TODAY())=12,SUM(T1587:AD1587),IF(MONTH(TODAY())=1,SUM(T1587:AE1587),T1587)))))))))))</f>
        <v>0</v>
      </c>
      <c r="AT1587" s="95">
        <f>SUM(AG1587:AR1587)</f>
        <v>0</v>
      </c>
      <c r="AU1587" s="97">
        <f>SUM(AG1587:AR1587)</f>
        <v>0</v>
      </c>
      <c r="AW1587" s="83">
        <f>AG1587</f>
        <v>0</v>
      </c>
      <c r="AX1587" s="83">
        <f>AH1587</f>
        <v>0</v>
      </c>
      <c r="AY1587" s="83">
        <f>AI1587</f>
        <v>0</v>
      </c>
      <c r="AZ1587" s="83">
        <f>AJ1587</f>
        <v>0</v>
      </c>
      <c r="BA1587" s="52"/>
      <c r="BB1587" s="52"/>
      <c r="BC1587" s="52"/>
      <c r="BD1587" s="52"/>
      <c r="BE1587" s="52"/>
      <c r="BF1587" s="52"/>
      <c r="BG1587" s="52"/>
      <c r="BH1587" s="52"/>
      <c r="BI1587" s="68" cm="1">
        <f t="array" ref="BI1587">IFERROR(INDEX(AW1587:BH1587,1,MATCH(2,1/(AW1587:BH1587&lt;&gt;""))),"")</f>
        <v>0</v>
      </c>
      <c r="BJ1587" s="68" cm="1">
        <f t="array" ref="BJ1587">IF(BM1587 = "", "",IFERROR(INDEX(AW1587:BH1587,1,MATCH(2,1/(AW1587:BH1587&lt;&gt;""),1)-1),""))</f>
        <v>0</v>
      </c>
      <c r="BK1587" s="59">
        <f>SUM(AW1587:BH1587)</f>
        <v>0</v>
      </c>
      <c r="BL1587" s="59" cm="1">
        <f t="array" ref="BL1587">IFERROR(SUM(AW1587:INDEX(AW1587:BH1587, MATCH(2, 1/(AW1587:BH1587&lt;&gt;""), 1) - 1))/_xlfn.XLOOKUP(F1587,Apuração!A:A,Apuração!B:B),0)</f>
        <v>0</v>
      </c>
      <c r="BM1587" s="55" cm="1">
        <f t="array" ref="BM1587">IFERROR(
   INDEX($AW$1:$BH$1,
      _xlfn.AGGREGATE(14, 6, COLUMN($AW$1:$BH$1)/(AW1587:BH1587&lt;&gt;""), 2) - COLUMN($AW$1) + 1
   ),
"")</f>
        <v>46082</v>
      </c>
      <c r="BN1587" s="55" cm="1">
        <f t="array" ref="BN1587">IFERROR(INDEX($AW$1:$BH$1,1,MATCH(2,1/(AW1587:BH1587&lt;&gt;""))),"")</f>
        <v>46113</v>
      </c>
      <c r="BO1587" s="53">
        <f ca="1">IFERROR(_xlfn.XLOOKUP(F1587,Apuração!A:A,Apuração!C:C)/_xlfn.XLOOKUP(F1587,Apuração!A:A,Apuração!B:B),0)</f>
        <v>0</v>
      </c>
      <c r="BP1587" s="53">
        <f ca="1">IFERROR(_xlfn.XLOOKUP(F1587,Apuração!A:A,Apuração!D:D)/_xlfn.XLOOKUP(F1587,Apuração!A:A,Apuração!B:B),0)</f>
        <v>0</v>
      </c>
      <c r="BQ1587" s="53">
        <f ca="1">IF(BK1587&gt;=BO1587,0,_xlfn.XLOOKUP(F1587,Apuração!A:A,Apuração!B:B)*(BO1587 + (1/_xlfn.XLOOKUP(F1587,Apuração!A:A,Apuração!B:B)) - BK1587))</f>
        <v>0</v>
      </c>
      <c r="BR1587" s="85">
        <f ca="1">IF(BQ1587=0,0,BQ1587*Z1587)</f>
        <v>0</v>
      </c>
      <c r="BS1587" s="53">
        <f ca="1">IFERROR((_xlfn.XLOOKUP(F1587,Apuração!A:A,Apuração!C:C)+1)/_xlfn.XLOOKUP(F1587,Apuração!A:A,Apuração!B:B),0)</f>
        <v>0.14285714285714285</v>
      </c>
    </row>
    <row r="1588" spans="1:71" ht="25.95" hidden="1" customHeight="1" x14ac:dyDescent="0.3">
      <c r="A1588" s="39" t="s">
        <v>33</v>
      </c>
      <c r="B1588" s="4" t="s">
        <v>84</v>
      </c>
      <c r="C1588" s="5" t="s">
        <v>214</v>
      </c>
      <c r="D1588" s="5" t="s">
        <v>210</v>
      </c>
      <c r="E1588" s="4" t="s">
        <v>96</v>
      </c>
      <c r="F1588" s="4" t="str" cm="1">
        <f t="array" ref="F1588">_xlfn.IFS(
AG1588 &lt;&gt; "", "Jan-Dez/26",
AH1588 &lt;&gt; "", "Fev-Dez/26",
AI1588 &lt;&gt; "", "Mar-Dez/26", AJ1588 &lt;&gt; "", "Abr-Dez/26",
TRUE, "A partir de Junho"
)</f>
        <v>A partir de Junho</v>
      </c>
      <c r="G1588" s="4" t="s">
        <v>62</v>
      </c>
      <c r="H1588" s="7" t="s">
        <v>38</v>
      </c>
      <c r="I1588" s="9" t="s">
        <v>76</v>
      </c>
      <c r="J1588" s="8" t="str" cm="1">
        <f t="array" aca="1" ref="J1588" ca="1">_xlfn.LET(
  _xlpm.actual_value_month, INDEX(T1588:AE1588, MATCH(DATE(YEAR(TODAY()), MONTH(TODAY()), 1), $T$1:$AE$1, 0)),
  IF(_xlpm.actual_value_month &lt;&gt; "",_xlpm.actual_value_month &amp; " ações mensais", "")
)</f>
        <v/>
      </c>
      <c r="K1588" s="14" t="str" cm="1">
        <f t="array" ref="K1588">_xlfn.LET(
    _xlpm.sum_month, SUM(T1588:AE1588),
    IF(_xlpm.sum_month = 0, "", _xlpm.sum_month &amp; " público impactado no ano.")
)</f>
        <v/>
      </c>
      <c r="L1588" s="9" t="s">
        <v>76</v>
      </c>
      <c r="M1588" s="13">
        <v>1</v>
      </c>
      <c r="N1588" s="5" t="s">
        <v>51</v>
      </c>
      <c r="O1588" s="5" t="s">
        <v>52</v>
      </c>
      <c r="P1588" s="10" t="s">
        <v>44</v>
      </c>
      <c r="Q1588" s="10" t="s">
        <v>44</v>
      </c>
      <c r="R1588" s="11" t="s">
        <v>44</v>
      </c>
      <c r="S1588" s="11" t="s">
        <v>44</v>
      </c>
      <c r="T1588" s="22"/>
      <c r="U1588" s="22"/>
      <c r="V1588" s="22"/>
      <c r="W1588" s="22"/>
      <c r="X1588" s="22"/>
      <c r="Y1588" s="22"/>
      <c r="Z1588" s="22"/>
      <c r="AA1588" s="22"/>
      <c r="AB1588" s="22"/>
      <c r="AC1588" s="22"/>
      <c r="AD1588" s="22"/>
      <c r="AE1588" s="22"/>
      <c r="AG1588" s="71"/>
      <c r="AH1588" s="71"/>
      <c r="AI1588" s="71"/>
      <c r="AJ1588" s="71"/>
      <c r="AK1588" s="71"/>
      <c r="AL1588" s="71"/>
      <c r="AM1588" s="71"/>
      <c r="AN1588" s="71"/>
      <c r="AO1588" s="71"/>
      <c r="AP1588" s="71"/>
      <c r="AQ1588" s="71"/>
      <c r="AR1588" s="71"/>
      <c r="AS1588" s="94">
        <f t="shared" ref="AS1588:AS1592" ca="1" si="1850">IF(MONTH(TODAY())=3,SUM(T1588:U1588),IF(MONTH(TODAY())=4,SUM(T1588:V1588),IF(MONTH(TODAY())=5,SUM(T1588:W1588),IF(MONTH(TODAY())=6,SUM(T1588:X1588),IF(MONTH(TODAY())=7,SUM(T1588:Y1588),IF(MONTH(TODAY())=8,SUM(T1588:Z1588),IF(MONTH(TODAY())=9,SUM(T1588:AA1588),IF(MONTH(TODAY())=10,SUM(T1588:AB1588),IF(MONTH(TODAY())=11,SUM(T1588:AC1588),IF(MONTH(TODAY())=12,SUM(T1588:AD1588),IF(MONTH(TODAY())=1,SUM(T1588:AE1588),T1588)))))))))))</f>
        <v>0</v>
      </c>
      <c r="AT1588" s="95">
        <f t="shared" ref="AT1588:AT1592" si="1851">SUM(AG1588:AR1588)</f>
        <v>0</v>
      </c>
      <c r="AU1588" s="97">
        <f t="shared" ref="AU1588:AU1592" si="1852">SUM(AG1588:AR1588)</f>
        <v>0</v>
      </c>
      <c r="AW1588" s="83">
        <f t="shared" ref="AW1588:AW1592" si="1853">AG1588</f>
        <v>0</v>
      </c>
      <c r="AX1588" s="83">
        <f t="shared" ref="AX1588:AX1592" si="1854">AH1588</f>
        <v>0</v>
      </c>
      <c r="AY1588" s="83">
        <f t="shared" ref="AY1588:AY1592" si="1855">AI1588</f>
        <v>0</v>
      </c>
      <c r="AZ1588" s="83">
        <f t="shared" ref="AZ1588:AZ1592" si="1856">AJ1588</f>
        <v>0</v>
      </c>
      <c r="BA1588" s="52"/>
      <c r="BB1588" s="52"/>
      <c r="BC1588" s="52"/>
      <c r="BD1588" s="52"/>
      <c r="BE1588" s="52"/>
      <c r="BF1588" s="52"/>
      <c r="BG1588" s="52"/>
      <c r="BH1588" s="52"/>
      <c r="BI1588" s="68" cm="1">
        <f t="array" ref="BI1588">IFERROR(INDEX(AW1588:BH1588,1,MATCH(2,1/(AW1588:BH1588&lt;&gt;""))),"")</f>
        <v>0</v>
      </c>
      <c r="BJ1588" s="68" cm="1">
        <f t="array" ref="BJ1588">IF(BM1588 = "", "",IFERROR(INDEX(AW1588:BH1588,1,MATCH(2,1/(AW1588:BH1588&lt;&gt;""),1)-1),""))</f>
        <v>0</v>
      </c>
      <c r="BK1588" s="59">
        <f t="shared" ref="BK1588:BK1592" si="1857">SUM(AW1588:BH1588)</f>
        <v>0</v>
      </c>
      <c r="BL1588" s="59" cm="1">
        <f t="array" ref="BL1588">IFERROR(SUM(AW1588:INDEX(AW1588:BH1588, MATCH(2, 1/(AW1588:BH1588&lt;&gt;""), 1) - 1))/_xlfn.XLOOKUP(F1588,Apuração!A:A,Apuração!B:B),0)</f>
        <v>0</v>
      </c>
      <c r="BM1588" s="55" cm="1">
        <f t="array" ref="BM1588">IFERROR(
   INDEX($AW$1:$BH$1,
      _xlfn.AGGREGATE(14, 6, COLUMN($AW$1:$BH$1)/(AW1588:BH1588&lt;&gt;""), 2) - COLUMN($AW$1) + 1
   ),
"")</f>
        <v>46082</v>
      </c>
      <c r="BN1588" s="55" cm="1">
        <f t="array" ref="BN1588">IFERROR(INDEX($AW$1:$BH$1,1,MATCH(2,1/(AW1588:BH1588&lt;&gt;""))),"")</f>
        <v>46113</v>
      </c>
      <c r="BO1588" s="53">
        <f ca="1">IFERROR(_xlfn.XLOOKUP(F1588,Apuração!A:A,Apuração!C:C)/_xlfn.XLOOKUP(F1588,Apuração!A:A,Apuração!B:B),0)</f>
        <v>0</v>
      </c>
      <c r="BP1588" s="53">
        <f ca="1">IFERROR(_xlfn.XLOOKUP(F1588,Apuração!A:A,Apuração!D:D)/_xlfn.XLOOKUP(F1588,Apuração!A:A,Apuração!B:B),0)</f>
        <v>0</v>
      </c>
      <c r="BQ1588" s="53">
        <f ca="1">IF(BK1588&gt;=BO1588,0,_xlfn.XLOOKUP(F1588,Apuração!A:A,Apuração!B:B)*(BO1588 + (1/_xlfn.XLOOKUP(F1588,Apuração!A:A,Apuração!B:B)) - BK1588))</f>
        <v>0</v>
      </c>
      <c r="BR1588" s="85">
        <f t="shared" ref="BR1588:BR1592" ca="1" si="1858">IF(BQ1588=0,0,BQ1588*Z1588)</f>
        <v>0</v>
      </c>
      <c r="BS1588" s="53">
        <f ca="1">IFERROR((_xlfn.XLOOKUP(F1588,Apuração!A:A,Apuração!C:C)+1)/_xlfn.XLOOKUP(F1588,Apuração!A:A,Apuração!B:B),0)</f>
        <v>0.14285714285714285</v>
      </c>
    </row>
    <row r="1589" spans="1:71" ht="25.95" hidden="1" customHeight="1" x14ac:dyDescent="0.3">
      <c r="A1589" s="39" t="s">
        <v>33</v>
      </c>
      <c r="B1589" s="4" t="s">
        <v>84</v>
      </c>
      <c r="C1589" s="5" t="s">
        <v>214</v>
      </c>
      <c r="D1589" s="5" t="s">
        <v>215</v>
      </c>
      <c r="E1589" s="4" t="s">
        <v>96</v>
      </c>
      <c r="F1589" s="4" t="str" cm="1">
        <f t="array" ref="F1589">_xlfn.IFS(
AG1589 &lt;&gt; "", "Jan-Dez/26",
AH1589 &lt;&gt; "", "Fev-Dez/26",
AI1589 &lt;&gt; "", "Mar-Dez/26", AJ1589 &lt;&gt; "", "Abr-Dez/26",
TRUE, "A partir de Junho"
)</f>
        <v>A partir de Junho</v>
      </c>
      <c r="G1589" s="4" t="s">
        <v>62</v>
      </c>
      <c r="H1589" s="7" t="s">
        <v>38</v>
      </c>
      <c r="I1589" s="9" t="s">
        <v>76</v>
      </c>
      <c r="J1589" s="8" t="str" cm="1">
        <f t="array" aca="1" ref="J1589" ca="1">_xlfn.LET(
  _xlpm.actual_value_month, INDEX(T1589:AE1589, MATCH(DATE(YEAR(TODAY()), MONTH(TODAY()), 1), $T$1:$AE$1, 0)),
  IF(_xlpm.actual_value_month &lt;&gt; "",_xlpm.actual_value_month &amp; " ações mensais", "")
)</f>
        <v/>
      </c>
      <c r="K1589" s="14" t="str" cm="1">
        <f t="array" ref="K1589">_xlfn.LET(
    _xlpm.sum_month, SUM(T1589:AE1589),
    IF(_xlpm.sum_month = 0, "", _xlpm.sum_month &amp; " público impactado no ano.")
)</f>
        <v/>
      </c>
      <c r="L1589" s="9" t="s">
        <v>76</v>
      </c>
      <c r="M1589" s="13">
        <v>1</v>
      </c>
      <c r="N1589" s="5" t="s">
        <v>51</v>
      </c>
      <c r="O1589" s="5" t="s">
        <v>52</v>
      </c>
      <c r="P1589" s="10" t="s">
        <v>44</v>
      </c>
      <c r="Q1589" s="10" t="s">
        <v>44</v>
      </c>
      <c r="R1589" s="11" t="s">
        <v>44</v>
      </c>
      <c r="S1589" s="11" t="s">
        <v>44</v>
      </c>
      <c r="T1589" s="22"/>
      <c r="U1589" s="22"/>
      <c r="V1589" s="22"/>
      <c r="W1589" s="22"/>
      <c r="X1589" s="22"/>
      <c r="Y1589" s="22"/>
      <c r="Z1589" s="22"/>
      <c r="AA1589" s="22"/>
      <c r="AB1589" s="22"/>
      <c r="AC1589" s="22"/>
      <c r="AD1589" s="22"/>
      <c r="AE1589" s="22"/>
      <c r="AG1589" s="71"/>
      <c r="AH1589" s="71"/>
      <c r="AI1589" s="71"/>
      <c r="AJ1589" s="71"/>
      <c r="AK1589" s="71"/>
      <c r="AL1589" s="71"/>
      <c r="AM1589" s="71"/>
      <c r="AN1589" s="71"/>
      <c r="AO1589" s="71"/>
      <c r="AP1589" s="71"/>
      <c r="AQ1589" s="71"/>
      <c r="AR1589" s="71"/>
      <c r="AS1589" s="94">
        <f t="shared" ca="1" si="1850"/>
        <v>0</v>
      </c>
      <c r="AT1589" s="95">
        <f t="shared" si="1851"/>
        <v>0</v>
      </c>
      <c r="AU1589" s="97">
        <f t="shared" si="1852"/>
        <v>0</v>
      </c>
      <c r="AW1589" s="83">
        <f t="shared" si="1853"/>
        <v>0</v>
      </c>
      <c r="AX1589" s="83">
        <f t="shared" si="1854"/>
        <v>0</v>
      </c>
      <c r="AY1589" s="83">
        <f t="shared" si="1855"/>
        <v>0</v>
      </c>
      <c r="AZ1589" s="83">
        <f t="shared" si="1856"/>
        <v>0</v>
      </c>
      <c r="BA1589" s="52"/>
      <c r="BB1589" s="52"/>
      <c r="BC1589" s="52"/>
      <c r="BD1589" s="52"/>
      <c r="BE1589" s="52"/>
      <c r="BF1589" s="52"/>
      <c r="BG1589" s="52"/>
      <c r="BH1589" s="52"/>
      <c r="BI1589" s="68" cm="1">
        <f t="array" ref="BI1589">IFERROR(INDEX(AW1589:BH1589,1,MATCH(2,1/(AW1589:BH1589&lt;&gt;""))),"")</f>
        <v>0</v>
      </c>
      <c r="BJ1589" s="68" cm="1">
        <f t="array" ref="BJ1589">IF(BM1589 = "", "",IFERROR(INDEX(AW1589:BH1589,1,MATCH(2,1/(AW1589:BH1589&lt;&gt;""),1)-1),""))</f>
        <v>0</v>
      </c>
      <c r="BK1589" s="59">
        <f t="shared" si="1857"/>
        <v>0</v>
      </c>
      <c r="BL1589" s="59" cm="1">
        <f t="array" ref="BL1589">IFERROR(SUM(AW1589:INDEX(AW1589:BH1589, MATCH(2, 1/(AW1589:BH1589&lt;&gt;""), 1) - 1))/_xlfn.XLOOKUP(F1589,Apuração!A:A,Apuração!B:B),0)</f>
        <v>0</v>
      </c>
      <c r="BM1589" s="55" cm="1">
        <f t="array" ref="BM1589">IFERROR(
   INDEX($AW$1:$BH$1,
      _xlfn.AGGREGATE(14, 6, COLUMN($AW$1:$BH$1)/(AW1589:BH1589&lt;&gt;""), 2) - COLUMN($AW$1) + 1
   ),
"")</f>
        <v>46082</v>
      </c>
      <c r="BN1589" s="55" cm="1">
        <f t="array" ref="BN1589">IFERROR(INDEX($AW$1:$BH$1,1,MATCH(2,1/(AW1589:BH1589&lt;&gt;""))),"")</f>
        <v>46113</v>
      </c>
      <c r="BO1589" s="53">
        <f ca="1">IFERROR(_xlfn.XLOOKUP(F1589,Apuração!A:A,Apuração!C:C)/_xlfn.XLOOKUP(F1589,Apuração!A:A,Apuração!B:B),0)</f>
        <v>0</v>
      </c>
      <c r="BP1589" s="53">
        <f ca="1">IFERROR(_xlfn.XLOOKUP(F1589,Apuração!A:A,Apuração!D:D)/_xlfn.XLOOKUP(F1589,Apuração!A:A,Apuração!B:B),0)</f>
        <v>0</v>
      </c>
      <c r="BQ1589" s="53">
        <f ca="1">IF(BK1589&gt;=BO1589,0,_xlfn.XLOOKUP(F1589,Apuração!A:A,Apuração!B:B)*(BO1589 + (1/_xlfn.XLOOKUP(F1589,Apuração!A:A,Apuração!B:B)) - BK1589))</f>
        <v>0</v>
      </c>
      <c r="BR1589" s="85">
        <f t="shared" ca="1" si="1858"/>
        <v>0</v>
      </c>
      <c r="BS1589" s="53">
        <f ca="1">IFERROR((_xlfn.XLOOKUP(F1589,Apuração!A:A,Apuração!C:C)+1)/_xlfn.XLOOKUP(F1589,Apuração!A:A,Apuração!B:B),0)</f>
        <v>0.14285714285714285</v>
      </c>
    </row>
    <row r="1590" spans="1:71" ht="25.95" hidden="1" customHeight="1" x14ac:dyDescent="0.3">
      <c r="A1590" s="39" t="s">
        <v>33</v>
      </c>
      <c r="B1590" s="4" t="s">
        <v>84</v>
      </c>
      <c r="C1590" s="5" t="s">
        <v>214</v>
      </c>
      <c r="D1590" s="5" t="s">
        <v>212</v>
      </c>
      <c r="E1590" s="4" t="s">
        <v>96</v>
      </c>
      <c r="F1590" s="4" t="str" cm="1">
        <f t="array" ref="F1590">_xlfn.IFS(
AG1590 &lt;&gt; "", "Jan-Dez/26",
AH1590 &lt;&gt; "", "Fev-Dez/26",
AI1590 &lt;&gt; "", "Mar-Dez/26", AJ1590 &lt;&gt; "", "Abr-Dez/26",
TRUE, "A partir de Junho"
)</f>
        <v>A partir de Junho</v>
      </c>
      <c r="G1590" s="4" t="s">
        <v>62</v>
      </c>
      <c r="H1590" s="7" t="s">
        <v>38</v>
      </c>
      <c r="I1590" s="9" t="s">
        <v>76</v>
      </c>
      <c r="J1590" s="8" t="str" cm="1">
        <f t="array" aca="1" ref="J1590" ca="1">_xlfn.LET(
  _xlpm.actual_value_month, INDEX(T1590:AE1590, MATCH(DATE(YEAR(TODAY()), MONTH(TODAY()), 1), $T$1:$AE$1, 0)),
  IF(_xlpm.actual_value_month &lt;&gt; "",_xlpm.actual_value_month &amp; " ações mensais", "")
)</f>
        <v/>
      </c>
      <c r="K1590" s="14" t="str" cm="1">
        <f t="array" ref="K1590">_xlfn.LET(
    _xlpm.sum_month, SUM(T1590:AE1590),
    IF(_xlpm.sum_month = 0, "", _xlpm.sum_month &amp; " público impactado no ano.")
)</f>
        <v/>
      </c>
      <c r="L1590" s="9" t="s">
        <v>76</v>
      </c>
      <c r="M1590" s="13">
        <v>1</v>
      </c>
      <c r="N1590" s="5" t="s">
        <v>51</v>
      </c>
      <c r="O1590" s="5" t="s">
        <v>52</v>
      </c>
      <c r="P1590" s="10" t="s">
        <v>44</v>
      </c>
      <c r="Q1590" s="10" t="s">
        <v>44</v>
      </c>
      <c r="R1590" s="11" t="s">
        <v>44</v>
      </c>
      <c r="S1590" s="11" t="s">
        <v>44</v>
      </c>
      <c r="T1590" s="22"/>
      <c r="U1590" s="22"/>
      <c r="V1590" s="22"/>
      <c r="W1590" s="22"/>
      <c r="X1590" s="22"/>
      <c r="Y1590" s="22"/>
      <c r="Z1590" s="22"/>
      <c r="AA1590" s="22"/>
      <c r="AB1590" s="22"/>
      <c r="AC1590" s="22"/>
      <c r="AD1590" s="22"/>
      <c r="AE1590" s="22"/>
      <c r="AG1590" s="71"/>
      <c r="AH1590" s="71"/>
      <c r="AI1590" s="71"/>
      <c r="AJ1590" s="71"/>
      <c r="AK1590" s="71"/>
      <c r="AL1590" s="71"/>
      <c r="AM1590" s="71"/>
      <c r="AN1590" s="71"/>
      <c r="AO1590" s="71"/>
      <c r="AP1590" s="71"/>
      <c r="AQ1590" s="71"/>
      <c r="AR1590" s="71"/>
      <c r="AS1590" s="94">
        <f t="shared" ca="1" si="1850"/>
        <v>0</v>
      </c>
      <c r="AT1590" s="95">
        <f t="shared" si="1851"/>
        <v>0</v>
      </c>
      <c r="AU1590" s="97">
        <f t="shared" si="1852"/>
        <v>0</v>
      </c>
      <c r="AW1590" s="83">
        <f t="shared" si="1853"/>
        <v>0</v>
      </c>
      <c r="AX1590" s="83">
        <f t="shared" si="1854"/>
        <v>0</v>
      </c>
      <c r="AY1590" s="83">
        <f t="shared" si="1855"/>
        <v>0</v>
      </c>
      <c r="AZ1590" s="83">
        <f t="shared" si="1856"/>
        <v>0</v>
      </c>
      <c r="BA1590" s="52"/>
      <c r="BB1590" s="52"/>
      <c r="BC1590" s="52"/>
      <c r="BD1590" s="52"/>
      <c r="BE1590" s="52"/>
      <c r="BF1590" s="52"/>
      <c r="BG1590" s="52"/>
      <c r="BH1590" s="52"/>
      <c r="BI1590" s="68" cm="1">
        <f t="array" ref="BI1590">IFERROR(INDEX(AW1590:BH1590,1,MATCH(2,1/(AW1590:BH1590&lt;&gt;""))),"")</f>
        <v>0</v>
      </c>
      <c r="BJ1590" s="68" cm="1">
        <f t="array" ref="BJ1590">IF(BM1590 = "", "",IFERROR(INDEX(AW1590:BH1590,1,MATCH(2,1/(AW1590:BH1590&lt;&gt;""),1)-1),""))</f>
        <v>0</v>
      </c>
      <c r="BK1590" s="59">
        <f t="shared" si="1857"/>
        <v>0</v>
      </c>
      <c r="BL1590" s="59" cm="1">
        <f t="array" ref="BL1590">IFERROR(SUM(AW1590:INDEX(AW1590:BH1590, MATCH(2, 1/(AW1590:BH1590&lt;&gt;""), 1) - 1))/_xlfn.XLOOKUP(F1590,Apuração!A:A,Apuração!B:B),0)</f>
        <v>0</v>
      </c>
      <c r="BM1590" s="55" cm="1">
        <f t="array" ref="BM1590">IFERROR(
   INDEX($AW$1:$BH$1,
      _xlfn.AGGREGATE(14, 6, COLUMN($AW$1:$BH$1)/(AW1590:BH1590&lt;&gt;""), 2) - COLUMN($AW$1) + 1
   ),
"")</f>
        <v>46082</v>
      </c>
      <c r="BN1590" s="55" cm="1">
        <f t="array" ref="BN1590">IFERROR(INDEX($AW$1:$BH$1,1,MATCH(2,1/(AW1590:BH1590&lt;&gt;""))),"")</f>
        <v>46113</v>
      </c>
      <c r="BO1590" s="53">
        <f ca="1">IFERROR(_xlfn.XLOOKUP(F1590,Apuração!A:A,Apuração!C:C)/_xlfn.XLOOKUP(F1590,Apuração!A:A,Apuração!B:B),0)</f>
        <v>0</v>
      </c>
      <c r="BP1590" s="53">
        <f ca="1">IFERROR(_xlfn.XLOOKUP(F1590,Apuração!A:A,Apuração!D:D)/_xlfn.XLOOKUP(F1590,Apuração!A:A,Apuração!B:B),0)</f>
        <v>0</v>
      </c>
      <c r="BQ1590" s="53">
        <f ca="1">IF(BK1590&gt;=BO1590,0,_xlfn.XLOOKUP(F1590,Apuração!A:A,Apuração!B:B)*(BO1590 + (1/_xlfn.XLOOKUP(F1590,Apuração!A:A,Apuração!B:B)) - BK1590))</f>
        <v>0</v>
      </c>
      <c r="BR1590" s="85">
        <f t="shared" ca="1" si="1858"/>
        <v>0</v>
      </c>
      <c r="BS1590" s="53">
        <f ca="1">IFERROR((_xlfn.XLOOKUP(F1590,Apuração!A:A,Apuração!C:C)+1)/_xlfn.XLOOKUP(F1590,Apuração!A:A,Apuração!B:B),0)</f>
        <v>0.14285714285714285</v>
      </c>
    </row>
    <row r="1591" spans="1:71" ht="25.95" hidden="1" customHeight="1" x14ac:dyDescent="0.3">
      <c r="A1591" s="39" t="s">
        <v>33</v>
      </c>
      <c r="B1591" s="4" t="s">
        <v>84</v>
      </c>
      <c r="C1591" s="5" t="s">
        <v>214</v>
      </c>
      <c r="D1591" s="5" t="s">
        <v>48</v>
      </c>
      <c r="E1591" s="4" t="s">
        <v>96</v>
      </c>
      <c r="F1591" s="4" t="str" cm="1">
        <f t="array" ref="F1591">_xlfn.IFS(
AG1591 &lt;&gt; "", "Jan-Dez/26",
AH1591 &lt;&gt; "", "Fev-Dez/26",
AI1591 &lt;&gt; "", "Mar-Dez/26", AJ1591 &lt;&gt; "", "Abr-Dez/26",
TRUE, "A partir de Junho"
)</f>
        <v>A partir de Junho</v>
      </c>
      <c r="G1591" s="4" t="s">
        <v>62</v>
      </c>
      <c r="H1591" s="7" t="s">
        <v>38</v>
      </c>
      <c r="I1591" s="9" t="s">
        <v>76</v>
      </c>
      <c r="J1591" s="8" t="str" cm="1">
        <f t="array" aca="1" ref="J1591" ca="1">_xlfn.LET(
  _xlpm.actual_value_month, INDEX(T1591:AE1591, MATCH(DATE(YEAR(TODAY()), MONTH(TODAY()), 1), $T$1:$AE$1, 0)),
  IF(_xlpm.actual_value_month &lt;&gt; "",_xlpm.actual_value_month &amp; " ações mensais", "")
)</f>
        <v/>
      </c>
      <c r="K1591" s="14" t="str" cm="1">
        <f t="array" ref="K1591">_xlfn.LET(
    _xlpm.sum_month, SUM(T1591:AE1591),
    IF(_xlpm.sum_month = 0, "", _xlpm.sum_month &amp; " público impactado no ano.")
)</f>
        <v/>
      </c>
      <c r="L1591" s="9" t="s">
        <v>76</v>
      </c>
      <c r="M1591" s="13">
        <v>1</v>
      </c>
      <c r="N1591" s="5" t="s">
        <v>51</v>
      </c>
      <c r="O1591" s="5" t="s">
        <v>52</v>
      </c>
      <c r="P1591" s="10" t="s">
        <v>44</v>
      </c>
      <c r="Q1591" s="10" t="s">
        <v>44</v>
      </c>
      <c r="R1591" s="11" t="s">
        <v>44</v>
      </c>
      <c r="S1591" s="11" t="s">
        <v>44</v>
      </c>
      <c r="T1591" s="22"/>
      <c r="U1591" s="22"/>
      <c r="V1591" s="22"/>
      <c r="W1591" s="22"/>
      <c r="X1591" s="22"/>
      <c r="Y1591" s="22"/>
      <c r="Z1591" s="22"/>
      <c r="AA1591" s="22"/>
      <c r="AB1591" s="22"/>
      <c r="AC1591" s="22"/>
      <c r="AD1591" s="22"/>
      <c r="AE1591" s="22"/>
      <c r="AG1591" s="71"/>
      <c r="AH1591" s="71"/>
      <c r="AI1591" s="71"/>
      <c r="AJ1591" s="71"/>
      <c r="AK1591" s="71"/>
      <c r="AL1591" s="71"/>
      <c r="AM1591" s="71"/>
      <c r="AN1591" s="71"/>
      <c r="AO1591" s="71"/>
      <c r="AP1591" s="71"/>
      <c r="AQ1591" s="71"/>
      <c r="AR1591" s="71"/>
      <c r="AS1591" s="94">
        <f t="shared" ca="1" si="1850"/>
        <v>0</v>
      </c>
      <c r="AT1591" s="95">
        <f t="shared" si="1851"/>
        <v>0</v>
      </c>
      <c r="AU1591" s="97">
        <f t="shared" si="1852"/>
        <v>0</v>
      </c>
      <c r="AW1591" s="83">
        <f t="shared" si="1853"/>
        <v>0</v>
      </c>
      <c r="AX1591" s="83">
        <f t="shared" si="1854"/>
        <v>0</v>
      </c>
      <c r="AY1591" s="83">
        <f t="shared" si="1855"/>
        <v>0</v>
      </c>
      <c r="AZ1591" s="83">
        <f t="shared" si="1856"/>
        <v>0</v>
      </c>
      <c r="BA1591" s="52"/>
      <c r="BB1591" s="52"/>
      <c r="BC1591" s="52"/>
      <c r="BD1591" s="52"/>
      <c r="BE1591" s="52"/>
      <c r="BF1591" s="52"/>
      <c r="BG1591" s="52"/>
      <c r="BH1591" s="52"/>
      <c r="BI1591" s="68" cm="1">
        <f t="array" ref="BI1591">IFERROR(INDEX(AW1591:BH1591,1,MATCH(2,1/(AW1591:BH1591&lt;&gt;""))),"")</f>
        <v>0</v>
      </c>
      <c r="BJ1591" s="68" cm="1">
        <f t="array" ref="BJ1591">IF(BM1591 = "", "",IFERROR(INDEX(AW1591:BH1591,1,MATCH(2,1/(AW1591:BH1591&lt;&gt;""),1)-1),""))</f>
        <v>0</v>
      </c>
      <c r="BK1591" s="59">
        <f t="shared" si="1857"/>
        <v>0</v>
      </c>
      <c r="BL1591" s="59" cm="1">
        <f t="array" ref="BL1591">IFERROR(SUM(AW1591:INDEX(AW1591:BH1591, MATCH(2, 1/(AW1591:BH1591&lt;&gt;""), 1) - 1))/_xlfn.XLOOKUP(F1591,Apuração!A:A,Apuração!B:B),0)</f>
        <v>0</v>
      </c>
      <c r="BM1591" s="55" cm="1">
        <f t="array" ref="BM1591">IFERROR(
   INDEX($AW$1:$BH$1,
      _xlfn.AGGREGATE(14, 6, COLUMN($AW$1:$BH$1)/(AW1591:BH1591&lt;&gt;""), 2) - COLUMN($AW$1) + 1
   ),
"")</f>
        <v>46082</v>
      </c>
      <c r="BN1591" s="55" cm="1">
        <f t="array" ref="BN1591">IFERROR(INDEX($AW$1:$BH$1,1,MATCH(2,1/(AW1591:BH1591&lt;&gt;""))),"")</f>
        <v>46113</v>
      </c>
      <c r="BO1591" s="53">
        <f ca="1">IFERROR(_xlfn.XLOOKUP(F1591,Apuração!A:A,Apuração!C:C)/_xlfn.XLOOKUP(F1591,Apuração!A:A,Apuração!B:B),0)</f>
        <v>0</v>
      </c>
      <c r="BP1591" s="53">
        <f ca="1">IFERROR(_xlfn.XLOOKUP(F1591,Apuração!A:A,Apuração!D:D)/_xlfn.XLOOKUP(F1591,Apuração!A:A,Apuração!B:B),0)</f>
        <v>0</v>
      </c>
      <c r="BQ1591" s="53">
        <f ca="1">IF(BK1591&gt;=BO1591,0,_xlfn.XLOOKUP(F1591,Apuração!A:A,Apuração!B:B)*(BO1591 + (1/_xlfn.XLOOKUP(F1591,Apuração!A:A,Apuração!B:B)) - BK1591))</f>
        <v>0</v>
      </c>
      <c r="BR1591" s="85">
        <f t="shared" ca="1" si="1858"/>
        <v>0</v>
      </c>
      <c r="BS1591" s="53">
        <f ca="1">IFERROR((_xlfn.XLOOKUP(F1591,Apuração!A:A,Apuração!C:C)+1)/_xlfn.XLOOKUP(F1591,Apuração!A:A,Apuração!B:B),0)</f>
        <v>0.14285714285714285</v>
      </c>
    </row>
    <row r="1592" spans="1:71" ht="25.95" hidden="1" customHeight="1" x14ac:dyDescent="0.3">
      <c r="A1592" s="39" t="s">
        <v>33</v>
      </c>
      <c r="B1592" s="4" t="s">
        <v>84</v>
      </c>
      <c r="C1592" s="5" t="s">
        <v>214</v>
      </c>
      <c r="D1592" s="5" t="s">
        <v>213</v>
      </c>
      <c r="E1592" s="4" t="s">
        <v>96</v>
      </c>
      <c r="F1592" s="4" t="str" cm="1">
        <f t="array" ref="F1592">_xlfn.IFS(
AG1592 &lt;&gt; "", "Jan-Dez/26",
AH1592 &lt;&gt; "", "Fev-Dez/26",
AI1592 &lt;&gt; "", "Mar-Dez/26", AJ1592 &lt;&gt; "", "Abr-Dez/26",
TRUE, "A partir de Junho"
)</f>
        <v>A partir de Junho</v>
      </c>
      <c r="G1592" s="4" t="s">
        <v>62</v>
      </c>
      <c r="H1592" s="7" t="s">
        <v>38</v>
      </c>
      <c r="I1592" s="9" t="s">
        <v>76</v>
      </c>
      <c r="J1592" s="8" t="str" cm="1">
        <f t="array" aca="1" ref="J1592" ca="1">_xlfn.LET(
  _xlpm.actual_value_month, INDEX(T1592:AE1592, MATCH(DATE(YEAR(TODAY()), MONTH(TODAY()), 1), $T$1:$AE$1, 0)),
  IF(_xlpm.actual_value_month &lt;&gt; "",_xlpm.actual_value_month &amp; " ações mensais", "")
)</f>
        <v/>
      </c>
      <c r="K1592" s="14" t="str" cm="1">
        <f t="array" ref="K1592">_xlfn.LET(
    _xlpm.sum_month, SUM(T1592:AE1592),
    IF(_xlpm.sum_month = 0, "", _xlpm.sum_month &amp; " público impactado no ano.")
)</f>
        <v/>
      </c>
      <c r="L1592" s="9" t="s">
        <v>76</v>
      </c>
      <c r="M1592" s="13">
        <v>1</v>
      </c>
      <c r="N1592" s="5" t="s">
        <v>51</v>
      </c>
      <c r="O1592" s="5" t="s">
        <v>52</v>
      </c>
      <c r="P1592" s="10" t="s">
        <v>44</v>
      </c>
      <c r="Q1592" s="10" t="s">
        <v>44</v>
      </c>
      <c r="R1592" s="11" t="s">
        <v>44</v>
      </c>
      <c r="S1592" s="11" t="s">
        <v>44</v>
      </c>
      <c r="T1592" s="22"/>
      <c r="U1592" s="22"/>
      <c r="V1592" s="22"/>
      <c r="W1592" s="22"/>
      <c r="X1592" s="22"/>
      <c r="Y1592" s="22"/>
      <c r="Z1592" s="22"/>
      <c r="AA1592" s="22"/>
      <c r="AB1592" s="22"/>
      <c r="AC1592" s="22"/>
      <c r="AD1592" s="22"/>
      <c r="AE1592" s="22"/>
      <c r="AG1592" s="71"/>
      <c r="AH1592" s="71"/>
      <c r="AI1592" s="71"/>
      <c r="AJ1592" s="71"/>
      <c r="AK1592" s="71"/>
      <c r="AL1592" s="71"/>
      <c r="AM1592" s="71"/>
      <c r="AN1592" s="71"/>
      <c r="AO1592" s="71"/>
      <c r="AP1592" s="71"/>
      <c r="AQ1592" s="71"/>
      <c r="AR1592" s="71"/>
      <c r="AS1592" s="94">
        <f t="shared" ca="1" si="1850"/>
        <v>0</v>
      </c>
      <c r="AT1592" s="95">
        <f t="shared" si="1851"/>
        <v>0</v>
      </c>
      <c r="AU1592" s="97">
        <f t="shared" si="1852"/>
        <v>0</v>
      </c>
      <c r="AW1592" s="83">
        <f t="shared" si="1853"/>
        <v>0</v>
      </c>
      <c r="AX1592" s="83">
        <f t="shared" si="1854"/>
        <v>0</v>
      </c>
      <c r="AY1592" s="83">
        <f t="shared" si="1855"/>
        <v>0</v>
      </c>
      <c r="AZ1592" s="83">
        <f t="shared" si="1856"/>
        <v>0</v>
      </c>
      <c r="BA1592" s="52"/>
      <c r="BB1592" s="52"/>
      <c r="BC1592" s="52"/>
      <c r="BD1592" s="52"/>
      <c r="BE1592" s="52"/>
      <c r="BF1592" s="52"/>
      <c r="BG1592" s="52"/>
      <c r="BH1592" s="52"/>
      <c r="BI1592" s="68" cm="1">
        <f t="array" ref="BI1592">IFERROR(INDEX(AW1592:BH1592,1,MATCH(2,1/(AW1592:BH1592&lt;&gt;""))),"")</f>
        <v>0</v>
      </c>
      <c r="BJ1592" s="68" cm="1">
        <f t="array" ref="BJ1592">IF(BM1592 = "", "",IFERROR(INDEX(AW1592:BH1592,1,MATCH(2,1/(AW1592:BH1592&lt;&gt;""),1)-1),""))</f>
        <v>0</v>
      </c>
      <c r="BK1592" s="59">
        <f t="shared" si="1857"/>
        <v>0</v>
      </c>
      <c r="BL1592" s="59" cm="1">
        <f t="array" ref="BL1592">IFERROR(SUM(AW1592:INDEX(AW1592:BH1592, MATCH(2, 1/(AW1592:BH1592&lt;&gt;""), 1) - 1))/_xlfn.XLOOKUP(F1592,Apuração!A:A,Apuração!B:B),0)</f>
        <v>0</v>
      </c>
      <c r="BM1592" s="55" cm="1">
        <f t="array" ref="BM1592">IFERROR(
   INDEX($AW$1:$BH$1,
      _xlfn.AGGREGATE(14, 6, COLUMN($AW$1:$BH$1)/(AW1592:BH1592&lt;&gt;""), 2) - COLUMN($AW$1) + 1
   ),
"")</f>
        <v>46082</v>
      </c>
      <c r="BN1592" s="55" cm="1">
        <f t="array" ref="BN1592">IFERROR(INDEX($AW$1:$BH$1,1,MATCH(2,1/(AW1592:BH1592&lt;&gt;""))),"")</f>
        <v>46113</v>
      </c>
      <c r="BO1592" s="53">
        <f ca="1">IFERROR(_xlfn.XLOOKUP(F1592,Apuração!A:A,Apuração!C:C)/_xlfn.XLOOKUP(F1592,Apuração!A:A,Apuração!B:B),0)</f>
        <v>0</v>
      </c>
      <c r="BP1592" s="53">
        <f ca="1">IFERROR(_xlfn.XLOOKUP(F1592,Apuração!A:A,Apuração!D:D)/_xlfn.XLOOKUP(F1592,Apuração!A:A,Apuração!B:B),0)</f>
        <v>0</v>
      </c>
      <c r="BQ1592" s="53">
        <f ca="1">IF(BK1592&gt;=BO1592,0,_xlfn.XLOOKUP(F1592,Apuração!A:A,Apuração!B:B)*(BO1592 + (1/_xlfn.XLOOKUP(F1592,Apuração!A:A,Apuração!B:B)) - BK1592))</f>
        <v>0</v>
      </c>
      <c r="BR1592" s="85">
        <f t="shared" ca="1" si="1858"/>
        <v>0</v>
      </c>
      <c r="BS1592" s="53">
        <f ca="1">IFERROR((_xlfn.XLOOKUP(F1592,Apuração!A:A,Apuração!C:C)+1)/_xlfn.XLOOKUP(F1592,Apuração!A:A,Apuração!B:B),0)</f>
        <v>0.14285714285714285</v>
      </c>
    </row>
    <row r="1593" spans="1:71" ht="25.95" hidden="1" customHeight="1" x14ac:dyDescent="0.3">
      <c r="A1593" s="20" t="s">
        <v>87</v>
      </c>
      <c r="B1593" s="4" t="s">
        <v>229</v>
      </c>
      <c r="C1593" s="5" t="s">
        <v>35</v>
      </c>
      <c r="D1593" s="5" t="s">
        <v>47</v>
      </c>
      <c r="E1593" s="4" t="str" cm="1">
        <f t="array" ref="E1593">_xlfn.IFS(
F1593 = "A partir de Abril", "Aguardando Execução na Distribuidora",
A1593 = "CAPACITAÇÃO", "Em execução no Corporativo",
TRUE, "Em Execução na Distribuidora"
)</f>
        <v>Em Execução na Distribuidora</v>
      </c>
      <c r="F1593" s="4" t="str" cm="1">
        <f t="array" ref="F1593">_xlfn.IFS(
AG1593 &lt;&gt; "", "Jan-Dez/26",
AH1593 &lt;&gt; "", "Fev-Dez/26",
AI1593 &lt;&gt; "", "Mar-Dez/26", AJ1593 &lt;&gt; "", "Abr-Dez/26",
TRUE, "A partir de Junho"
)</f>
        <v>Jan-Dez/26</v>
      </c>
      <c r="G1593" s="7" t="s">
        <v>37</v>
      </c>
      <c r="H1593" s="7" t="s">
        <v>110</v>
      </c>
      <c r="I1593" s="8" t="s">
        <v>223</v>
      </c>
      <c r="J1593" s="21" t="str" cm="1">
        <f t="array" aca="1" ref="J1593" ca="1">_xlfn.LET(
  _xlpm.actual_value_month, INDEX(T1593:AE1593, MATCH(DATE(YEAR(TODAY()), MONTH(TODAY()), 1), $T$1:$AE$1, 0)),
  IF(_xlpm.actual_value_month &lt;&gt; "",_xlpm.actual_value_month &amp; " inspeções mensais", "")
)</f>
        <v>29 inspeções mensais</v>
      </c>
      <c r="K1593" s="8" t="str" cm="1">
        <f t="array" ref="K1593">_xlfn.LET(
    _xlpm.sum_month, SUM(T1593:AE1593),
    IF(_xlpm.sum_month = 0, "", _xlpm.sum_month &amp; " inspeções realizadas no ano")
)</f>
        <v>337 inspeções realizadas no ano</v>
      </c>
      <c r="L1593" s="4" t="s">
        <v>230</v>
      </c>
      <c r="M1593" s="19" t="s">
        <v>231</v>
      </c>
      <c r="N1593" s="5" t="s">
        <v>42</v>
      </c>
      <c r="O1593" s="5" t="s">
        <v>43</v>
      </c>
      <c r="P1593" s="10" t="s">
        <v>44</v>
      </c>
      <c r="Q1593" s="10" t="s">
        <v>72</v>
      </c>
      <c r="R1593" s="11" t="s">
        <v>225</v>
      </c>
      <c r="S1593" s="11" t="s">
        <v>44</v>
      </c>
      <c r="T1593" s="143">
        <v>22</v>
      </c>
      <c r="U1593" s="143">
        <v>45</v>
      </c>
      <c r="V1593" s="143">
        <v>9</v>
      </c>
      <c r="W1593" s="143">
        <v>29</v>
      </c>
      <c r="X1593" s="143">
        <v>29</v>
      </c>
      <c r="Y1593" s="143">
        <v>29</v>
      </c>
      <c r="Z1593" s="143">
        <v>29</v>
      </c>
      <c r="AA1593" s="143">
        <v>29</v>
      </c>
      <c r="AB1593" s="143">
        <v>29</v>
      </c>
      <c r="AC1593" s="143">
        <v>29</v>
      </c>
      <c r="AD1593" s="143">
        <v>29</v>
      </c>
      <c r="AE1593" s="143">
        <v>29</v>
      </c>
      <c r="AG1593" s="82">
        <v>22</v>
      </c>
      <c r="AH1593" s="82">
        <v>45</v>
      </c>
      <c r="AI1593" s="82">
        <v>9</v>
      </c>
      <c r="AJ1593" s="82">
        <v>9</v>
      </c>
      <c r="AK1593" s="71">
        <v>16</v>
      </c>
      <c r="AL1593" s="71"/>
      <c r="AM1593" s="71"/>
      <c r="AN1593" s="71"/>
      <c r="AO1593" s="71"/>
      <c r="AP1593" s="71"/>
      <c r="AQ1593" s="71"/>
      <c r="AR1593" s="71"/>
      <c r="AS1593" s="94">
        <f ca="1">IF(MONTH(TODAY())=3,SUM(T1593:U1593),IF(MONTH(TODAY())=4,SUM(T1593:V1593),IF(MONTH(TODAY())=5,SUM(T1593:W1593),IF(MONTH(TODAY())=6,SUM(T1593:X1593),IF(MONTH(TODAY())=7,SUM(T1593:Y1593),IF(MONTH(TODAY())=8,SUM(T1593:Z1593),IF(MONTH(TODAY())=9,SUM(T1593:AA1593),IF(MONTH(TODAY())=10,SUM(T1593:AB1593),IF(MONTH(TODAY())=11,SUM(T1593:AC1593),IF(MONTH(TODAY())=12,SUM(T1593:AD1593),IF(MONTH(TODAY())=1,SUM(T1593:AE1593),T1593)))))))))))</f>
        <v>134</v>
      </c>
      <c r="AT1593" s="95">
        <f>SUM(IF(AW1593&lt;1.15,AG1593,1.15*T1593),IF(AX1593&lt;1.15,AH1593,1.15*U1593),IF(AY1593&lt;1.15,AI1593,1.15*V1593),IF(AZ1593&lt;1.15,AJ1593,1.15*W1593),IF(BA1593&lt;1.15,AK1593,1.15*X1593),IF(BB1593&lt;1.15,AL1593,1.15*Y1593),IF(BC1593&lt;1.15,AM1593,1.15*Z1593),IF(BD1593&lt;1.15,AN1593,1.15*AA1593),IF(BE1593&lt;1.15,AO1593,1.15*AB1593),IF(BF1593&lt;1.15,AP1593,1.15*AC1593),IF(BG1593&lt;1.15,AQ1593,1.15*AD1593),IF(BH1593&lt;1.15,AR1593,1.15*AE1593))</f>
        <v>101</v>
      </c>
      <c r="AU1593" s="97">
        <f>SUM(AG1593:AR1593)</f>
        <v>101</v>
      </c>
      <c r="AW1593" s="51">
        <f t="shared" ref="AW1593:BA1594" si="1859">IFERROR(IF(AG1593="",0,AG1593/T1593),0)</f>
        <v>1</v>
      </c>
      <c r="AX1593" s="51">
        <f t="shared" si="1859"/>
        <v>1</v>
      </c>
      <c r="AY1593" s="51">
        <f t="shared" si="1859"/>
        <v>1</v>
      </c>
      <c r="AZ1593" s="51">
        <f t="shared" si="1859"/>
        <v>0.31034482758620691</v>
      </c>
      <c r="BA1593" s="51">
        <f t="shared" si="1859"/>
        <v>0.55172413793103448</v>
      </c>
      <c r="BB1593" s="51"/>
      <c r="BC1593" s="51"/>
      <c r="BD1593" s="51"/>
      <c r="BE1593" s="51"/>
      <c r="BF1593" s="51"/>
      <c r="BG1593" s="51"/>
      <c r="BH1593" s="51"/>
      <c r="BI1593" s="65" cm="1">
        <f t="array" ref="BI1593">IFERROR(INDEX(AW1593:BH1593,1,MATCH(2,1/(AW1593:BH1593&lt;&gt;""))),"")</f>
        <v>0.55172413793103448</v>
      </c>
      <c r="BJ1593" s="68" cm="1">
        <f t="array" ref="BJ1593">IF(BM1593 = "", "",IFERROR(INDEX(AW1593:BH1593,1,MATCH(2,1/(AW1593:BH1593&lt;&gt;""),1)-1),""))</f>
        <v>0.31034482758620691</v>
      </c>
      <c r="BK1593" s="58">
        <f>IF((IF(AW1593&gt;=115%,115%,AW1593) + IF(AX1593&gt;=115%,115%,AX1593) + IF(AY1593&gt;=115%,115%,AY1593) + (IF(AZ1593&gt;=115%,115%,AZ1593) + IF(BA1593&gt;=115%,115%,BA1593) + IF(BB1593&gt;=115%,115%,BB1593) + IF(BC1593&gt;=115%,115%,BC1593) + IF(BD1593&gt;=115%,115%,BD1593) + IF(BE1593&gt;=115%,115%,BE1593) + IF(BF1593&gt;=115%,115%,BF1593) + IF(BG1593&gt;=115%,115%,BG1593) + IF(BH1593&gt;=115%,115%,BH1593)))/_xlfn.XLOOKUP(F1593,Apuração!A:A,Apuração!B:B)&gt;=1.15,1.15,((IF(AZ1593&gt;=115%,115%,AZ1593) + IF(AX1593&gt;=115%,115%,AX1593) + IF(AY1593&gt;=115%,115%,AY1593) + (IF(AW1593&gt;=115%,115%,AW1593) + IF(BA1593&gt;=115%,115%,BA1593) + IF(BB1593&gt;=115%,115%,BB1593) + IF(BC1593&gt;=115%,115%,BC1593) + IF(BD1593&gt;=115%,115%,BD1593) + IF(BE1593&gt;=115%,115%,BE1593) + IF(BF1593&gt;=115%,115%,BF1593) + IF(BG1593&gt;=115%,115%,BG1593) + IF(BH1593&gt;=115%,115%,BH1593)))/_xlfn.XLOOKUP(F1593,Apuração!A:A,Apuração!B:B)))</f>
        <v>0.32183908045977011</v>
      </c>
      <c r="BL1593" s="58" cm="1">
        <f t="array" aca="1" ref="BL1593" ca="1">IF(SUM(IFERROR(IF(INDEX(AW1593:INDEX(AW1593:BH1593, MATCH(2, 1/(AW1593:BH1593&lt;&gt;""), 1)-1), ROW(INDIRECT("1:" &amp; MATCH(2, 1/(AW1593:BH1593&lt;&gt;""), 1)-1))) &gt;= 115%, 115%, INDEX(AW1593:INDEX(AW1593:BH1593, MATCH(2, 1/(AW1593:BH1593&lt;&gt;""), 1)-1), ROW(INDIRECT("1:" &amp; MATCH(2, 1/(AW1593:BH1593&lt;&gt;""), 1)-1)))), 0))/_xlfn.XLOOKUP(F1593,Apuração!A:A,Apuração!B:B)&gt;=1.15,1.15,SUM(IFERROR(IF(INDEX(AW1593:INDEX(AW1593:BH1593, MATCH(2, 1/(AW1593:BH1593&lt;&gt;""), 1)-1), ROW(INDIRECT("1:" &amp; MATCH(2, 1/(AW1593:BH1593&lt;&gt;""), 1)-1))) &gt;= 115%, 115%, INDEX(AW1593:INDEX(AW1593:BH1593, MATCH(2, 1/(AW1593:BH1593&lt;&gt;""), 1)-1), ROW(INDIRECT("1:" &amp; MATCH(2, 1/(AW1593:BH1593&lt;&gt;""), 1)-1)))), 0))/_xlfn.XLOOKUP(F1593,Apuração!A:A,Apuração!B:B))</f>
        <v>0.27586206896551724</v>
      </c>
      <c r="BM1593" s="55" cm="1">
        <f t="array" ref="BM1593">IFERROR(
   INDEX($AW$1:$BH$1,
      _xlfn.AGGREGATE(14, 6, COLUMN($AW$1:$BH$1)/(AW1593:BH1593&lt;&gt;""), 2) - COLUMN($AW$1) + 1
   ),
"")</f>
        <v>46113</v>
      </c>
      <c r="BN1593" s="55" cm="1">
        <f t="array" ref="BN1593">IFERROR(INDEX($AW$1:$BH$1,1,MATCH(2,1/(AW1593:BH1593&lt;&gt;""))),"")</f>
        <v>46143</v>
      </c>
      <c r="BO1593" s="53">
        <f ca="1">IFERROR(_xlfn.XLOOKUP(F1593,Apuração!A:A,Apuração!C:C)/_xlfn.XLOOKUP(F1593,Apuração!A:A,Apuração!B:B),0)</f>
        <v>0.41666666666666669</v>
      </c>
      <c r="BP1593" s="53">
        <f ca="1">IFERROR(_xlfn.XLOOKUP(F1593,Apuração!A:A,Apuração!D:D)/_xlfn.XLOOKUP(F1593,Apuração!A:A,Apuração!B:B),0)</f>
        <v>0.33333333333333331</v>
      </c>
      <c r="BQ1593" s="53">
        <f ca="1">IF(BK1593&gt;=BO1593,0,_xlfn.XLOOKUP(F1593,Apuração!A:A,Apuração!B:B)*(BO1593 + (1/_xlfn.XLOOKUP(F1593,Apuração!A:A,Apuração!B:B)) - BK1593))</f>
        <v>2.1379310344827589</v>
      </c>
      <c r="BR1593" s="85">
        <f ca="1">IF(BQ1593=0,0,BQ1593*Z1593)</f>
        <v>62.000000000000007</v>
      </c>
      <c r="BS1593" s="53">
        <f ca="1">IFERROR((_xlfn.XLOOKUP(F1593,Apuração!A:A,Apuração!C:C)+1)/_xlfn.XLOOKUP(F1593,Apuração!A:A,Apuração!B:B),0)</f>
        <v>0.5</v>
      </c>
    </row>
    <row r="1594" spans="1:71" ht="25.95" hidden="1" customHeight="1" x14ac:dyDescent="0.3">
      <c r="A1594" s="20" t="s">
        <v>87</v>
      </c>
      <c r="B1594" s="4" t="s">
        <v>229</v>
      </c>
      <c r="C1594" s="5" t="s">
        <v>35</v>
      </c>
      <c r="D1594" s="5" t="s">
        <v>48</v>
      </c>
      <c r="E1594" s="4" t="str" cm="1">
        <f t="array" ref="E1594">_xlfn.IFS(
F1594 = "A partir de Abril", "Aguardando Execução na Distribuidora",
A1594 = "CAPACITAÇÃO", "Em execução no Corporativo",
TRUE, "Em Execução na Distribuidora"
)</f>
        <v>Em Execução na Distribuidora</v>
      </c>
      <c r="F1594" s="4" t="str" cm="1">
        <f t="array" ref="F1594">_xlfn.IFS(
AG1594 &lt;&gt; "", "Jan-Dez/26",
AH1594 &lt;&gt; "", "Fev-Dez/26",
AI1594 &lt;&gt; "", "Mar-Dez/26", AJ1594 &lt;&gt; "", "Abr-Dez/26",
TRUE, "A partir de Junho"
)</f>
        <v>Jan-Dez/26</v>
      </c>
      <c r="G1594" s="7" t="s">
        <v>37</v>
      </c>
      <c r="H1594" s="7" t="s">
        <v>110</v>
      </c>
      <c r="I1594" s="8" t="s">
        <v>223</v>
      </c>
      <c r="J1594" s="21" t="str" cm="1">
        <f t="array" aca="1" ref="J1594" ca="1">_xlfn.LET(
  _xlpm.actual_value_month, INDEX(T1594:AE1594, MATCH(DATE(YEAR(TODAY()), MONTH(TODAY()), 1), $T$1:$AE$1, 0)),
  IF(_xlpm.actual_value_month &lt;&gt; "",_xlpm.actual_value_month &amp; " inspeções mensais", "")
)</f>
        <v>15 inspeções mensais</v>
      </c>
      <c r="K1594" s="8" t="str" cm="1">
        <f t="array" ref="K1594">_xlfn.LET(
    _xlpm.sum_month, SUM(T1594:AE1594),
    IF(_xlpm.sum_month = 0, "", _xlpm.sum_month &amp; " inspeções realizadas no ano")
)</f>
        <v>312 inspeções realizadas no ano</v>
      </c>
      <c r="L1594" s="4" t="s">
        <v>230</v>
      </c>
      <c r="M1594" s="19" t="s">
        <v>231</v>
      </c>
      <c r="N1594" s="5" t="s">
        <v>42</v>
      </c>
      <c r="O1594" s="5" t="s">
        <v>43</v>
      </c>
      <c r="P1594" s="10" t="s">
        <v>44</v>
      </c>
      <c r="Q1594" s="10" t="s">
        <v>72</v>
      </c>
      <c r="R1594" s="11" t="s">
        <v>225</v>
      </c>
      <c r="S1594" s="11" t="s">
        <v>44</v>
      </c>
      <c r="T1594" s="143">
        <v>56</v>
      </c>
      <c r="U1594" s="143">
        <v>83</v>
      </c>
      <c r="V1594" s="143">
        <v>38</v>
      </c>
      <c r="W1594" s="143">
        <v>15</v>
      </c>
      <c r="X1594" s="143">
        <v>15</v>
      </c>
      <c r="Y1594" s="143">
        <v>15</v>
      </c>
      <c r="Z1594" s="143">
        <v>15</v>
      </c>
      <c r="AA1594" s="143">
        <v>15</v>
      </c>
      <c r="AB1594" s="143">
        <v>15</v>
      </c>
      <c r="AC1594" s="143">
        <v>15</v>
      </c>
      <c r="AD1594" s="143">
        <v>15</v>
      </c>
      <c r="AE1594" s="143">
        <v>15</v>
      </c>
      <c r="AG1594" s="82">
        <v>56</v>
      </c>
      <c r="AH1594" s="82">
        <v>83</v>
      </c>
      <c r="AI1594" s="82">
        <v>38</v>
      </c>
      <c r="AJ1594" s="82">
        <v>11</v>
      </c>
      <c r="AK1594" s="71">
        <v>24</v>
      </c>
      <c r="AL1594" s="71"/>
      <c r="AM1594" s="71"/>
      <c r="AN1594" s="71"/>
      <c r="AO1594" s="71"/>
      <c r="AP1594" s="71"/>
      <c r="AQ1594" s="71"/>
      <c r="AR1594" s="71"/>
      <c r="AS1594" s="94">
        <f ca="1">IF(MONTH(TODAY())=3,SUM(T1594:U1594),IF(MONTH(TODAY())=4,SUM(T1594:V1594),IF(MONTH(TODAY())=5,SUM(T1594:W1594),IF(MONTH(TODAY())=6,SUM(T1594:X1594),IF(MONTH(TODAY())=7,SUM(T1594:Y1594),IF(MONTH(TODAY())=8,SUM(T1594:Z1594),IF(MONTH(TODAY())=9,SUM(T1594:AA1594),IF(MONTH(TODAY())=10,SUM(T1594:AB1594),IF(MONTH(TODAY())=11,SUM(T1594:AC1594),IF(MONTH(TODAY())=12,SUM(T1594:AD1594),IF(MONTH(TODAY())=1,SUM(T1594:AE1594),T1594)))))))))))</f>
        <v>207</v>
      </c>
      <c r="AT1594" s="95">
        <f>SUM(IF(AW1594&lt;1.15,AG1594,1.15*T1594),IF(AX1594&lt;1.15,AH1594,1.15*U1594),IF(AY1594&lt;1.15,AI1594,1.15*V1594),IF(AZ1594&lt;1.15,AJ1594,1.15*W1594),IF(BA1594&lt;1.15,AK1594,1.15*X1594),IF(BB1594&lt;1.15,AL1594,1.15*Y1594),IF(BC1594&lt;1.15,AM1594,1.15*Z1594),IF(BD1594&lt;1.15,AN1594,1.15*AA1594),IF(BE1594&lt;1.15,AO1594,1.15*AB1594),IF(BF1594&lt;1.15,AP1594,1.15*AC1594),IF(BG1594&lt;1.15,AQ1594,1.15*AD1594),IF(BH1594&lt;1.15,AR1594,1.15*AE1594))</f>
        <v>205.25</v>
      </c>
      <c r="AU1594" s="97">
        <f>SUM(AG1594:AR1594)</f>
        <v>212</v>
      </c>
      <c r="AW1594" s="51">
        <f t="shared" si="1859"/>
        <v>1</v>
      </c>
      <c r="AX1594" s="51">
        <f t="shared" si="1859"/>
        <v>1</v>
      </c>
      <c r="AY1594" s="51">
        <f t="shared" si="1859"/>
        <v>1</v>
      </c>
      <c r="AZ1594" s="51">
        <f t="shared" si="1859"/>
        <v>0.73333333333333328</v>
      </c>
      <c r="BA1594" s="51">
        <f t="shared" si="1859"/>
        <v>1.6</v>
      </c>
      <c r="BB1594" s="51"/>
      <c r="BC1594" s="51"/>
      <c r="BD1594" s="51"/>
      <c r="BE1594" s="51"/>
      <c r="BF1594" s="51"/>
      <c r="BG1594" s="51"/>
      <c r="BH1594" s="51"/>
      <c r="BI1594" s="65" cm="1">
        <f t="array" ref="BI1594">IFERROR(INDEX(AW1594:BH1594,1,MATCH(2,1/(AW1594:BH1594&lt;&gt;""))),"")</f>
        <v>1.6</v>
      </c>
      <c r="BJ1594" s="68" cm="1">
        <f t="array" ref="BJ1594">IF(BM1594 = "", "",IFERROR(INDEX(AW1594:BH1594,1,MATCH(2,1/(AW1594:BH1594&lt;&gt;""),1)-1),""))</f>
        <v>0.73333333333333328</v>
      </c>
      <c r="BK1594" s="58">
        <f>IF((IF(AW1594&gt;=115%,115%,AW1594) + IF(AX1594&gt;=115%,115%,AX1594) + IF(AY1594&gt;=115%,115%,AY1594) + (IF(AZ1594&gt;=115%,115%,AZ1594) + IF(BA1594&gt;=115%,115%,BA1594) + IF(BB1594&gt;=115%,115%,BB1594) + IF(BC1594&gt;=115%,115%,BC1594) + IF(BD1594&gt;=115%,115%,BD1594) + IF(BE1594&gt;=115%,115%,BE1594) + IF(BF1594&gt;=115%,115%,BF1594) + IF(BG1594&gt;=115%,115%,BG1594) + IF(BH1594&gt;=115%,115%,BH1594)))/_xlfn.XLOOKUP(F1594,Apuração!A:A,Apuração!B:B)&gt;=1.15,1.15,((IF(AZ1594&gt;=115%,115%,AZ1594) + IF(AX1594&gt;=115%,115%,AX1594) + IF(AY1594&gt;=115%,115%,AY1594) + (IF(AW1594&gt;=115%,115%,AW1594) + IF(BA1594&gt;=115%,115%,BA1594) + IF(BB1594&gt;=115%,115%,BB1594) + IF(BC1594&gt;=115%,115%,BC1594) + IF(BD1594&gt;=115%,115%,BD1594) + IF(BE1594&gt;=115%,115%,BE1594) + IF(BF1594&gt;=115%,115%,BF1594) + IF(BG1594&gt;=115%,115%,BG1594) + IF(BH1594&gt;=115%,115%,BH1594)))/_xlfn.XLOOKUP(F1594,Apuração!A:A,Apuração!B:B)))</f>
        <v>0.40694444444444439</v>
      </c>
      <c r="BL1594" s="58" cm="1">
        <f t="array" aca="1" ref="BL1594" ca="1">IF(SUM(IFERROR(IF(INDEX(AW1594:INDEX(AW1594:BH1594, MATCH(2, 1/(AW1594:BH1594&lt;&gt;""), 1)-1), ROW(INDIRECT("1:" &amp; MATCH(2, 1/(AW1594:BH1594&lt;&gt;""), 1)-1))) &gt;= 115%, 115%, INDEX(AW1594:INDEX(AW1594:BH1594, MATCH(2, 1/(AW1594:BH1594&lt;&gt;""), 1)-1), ROW(INDIRECT("1:" &amp; MATCH(2, 1/(AW1594:BH1594&lt;&gt;""), 1)-1)))), 0))/_xlfn.XLOOKUP(F1594,Apuração!A:A,Apuração!B:B)&gt;=1.15,1.15,SUM(IFERROR(IF(INDEX(AW1594:INDEX(AW1594:BH1594, MATCH(2, 1/(AW1594:BH1594&lt;&gt;""), 1)-1), ROW(INDIRECT("1:" &amp; MATCH(2, 1/(AW1594:BH1594&lt;&gt;""), 1)-1))) &gt;= 115%, 115%, INDEX(AW1594:INDEX(AW1594:BH1594, MATCH(2, 1/(AW1594:BH1594&lt;&gt;""), 1)-1), ROW(INDIRECT("1:" &amp; MATCH(2, 1/(AW1594:BH1594&lt;&gt;""), 1)-1)))), 0))/_xlfn.XLOOKUP(F1594,Apuração!A:A,Apuração!B:B))</f>
        <v>0.31111111111111112</v>
      </c>
      <c r="BM1594" s="55" cm="1">
        <f t="array" ref="BM1594">IFERROR(
   INDEX($AW$1:$BH$1,
      _xlfn.AGGREGATE(14, 6, COLUMN($AW$1:$BH$1)/(AW1594:BH1594&lt;&gt;""), 2) - COLUMN($AW$1) + 1
   ),
"")</f>
        <v>46113</v>
      </c>
      <c r="BN1594" s="55" cm="1">
        <f t="array" ref="BN1594">IFERROR(INDEX($AW$1:$BH$1,1,MATCH(2,1/(AW1594:BH1594&lt;&gt;""))),"")</f>
        <v>46143</v>
      </c>
      <c r="BO1594" s="53">
        <f ca="1">IFERROR(_xlfn.XLOOKUP(F1594,Apuração!A:A,Apuração!C:C)/_xlfn.XLOOKUP(F1594,Apuração!A:A,Apuração!B:B),0)</f>
        <v>0.41666666666666669</v>
      </c>
      <c r="BP1594" s="53">
        <f ca="1">IFERROR(_xlfn.XLOOKUP(F1594,Apuração!A:A,Apuração!D:D)/_xlfn.XLOOKUP(F1594,Apuração!A:A,Apuração!B:B),0)</f>
        <v>0.33333333333333331</v>
      </c>
      <c r="BQ1594" s="53">
        <f ca="1">IF(BK1594&gt;=BO1594,0,_xlfn.XLOOKUP(F1594,Apuração!A:A,Apuração!B:B)*(BO1594 + (1/_xlfn.XLOOKUP(F1594,Apuração!A:A,Apuração!B:B)) - BK1594))</f>
        <v>1.1166666666666674</v>
      </c>
      <c r="BR1594" s="85">
        <f ca="1">IF(BQ1594=0,0,BQ1594*Z1594)</f>
        <v>16.750000000000011</v>
      </c>
      <c r="BS1594" s="53">
        <f ca="1">IFERROR((_xlfn.XLOOKUP(F1594,Apuração!A:A,Apuração!C:C)+1)/_xlfn.XLOOKUP(F1594,Apuração!A:A,Apuração!B:B),0)</f>
        <v>0.5</v>
      </c>
    </row>
    <row r="1595" spans="1:71" ht="25.95" hidden="1" customHeight="1" x14ac:dyDescent="0.3">
      <c r="A1595" s="40" t="s">
        <v>87</v>
      </c>
      <c r="B1595" s="4" t="s">
        <v>229</v>
      </c>
      <c r="C1595" s="5" t="s">
        <v>35</v>
      </c>
      <c r="D1595" s="5" t="s">
        <v>36</v>
      </c>
      <c r="E1595" s="4" t="str" cm="1">
        <f t="array" ref="E1595">_xlfn.IFS(
F1595 = "A partir de Abril", "Aguardando Execução na Distribuidora",
A1595 = "CAPACITAÇÃO", "Em execução no Corporativo",
TRUE, "Em Execução na Distribuidora"
)</f>
        <v>Em Execução na Distribuidora</v>
      </c>
      <c r="F1595" s="4" t="str" cm="1">
        <f t="array" ref="F1595">_xlfn.IFS(
AG1595 &lt;&gt; "", "Jan-Dez/26",
AH1595 &lt;&gt; "", "Fev-Dez/26",
AI1595 &lt;&gt; "", "Mar-Dez/26", AJ1595 &lt;&gt; "", "Abr-Dez/26",
TRUE, "A partir de Junho"
)</f>
        <v>Jan-Dez/26</v>
      </c>
      <c r="G1595" s="7" t="s">
        <v>37</v>
      </c>
      <c r="H1595" s="7" t="s">
        <v>110</v>
      </c>
      <c r="I1595" s="8" t="s">
        <v>148</v>
      </c>
      <c r="J1595" s="21" t="str" cm="1">
        <f t="array" aca="1" ref="J1595" ca="1">_xlfn.LET(
  _xlpm.actual_value_month, INDEX(T1595:AE1595, MATCH(DATE(YEAR(TODAY()), MONTH(TODAY()), 1), $T$1:$AE$1, 0)),
  IF(_xlpm.actual_value_month &lt;&gt; "",_xlpm.actual_value_month &amp; " ações mensais", "")
)</f>
        <v/>
      </c>
      <c r="K1595" s="8" t="str" cm="1">
        <f t="array" ref="K1595">_xlfn.LET(
    _xlpm.sum_month, SUM(T1595:AE1595),
    IF(_xlpm.sum_month = 0, "", _xlpm.sum_month &amp; " NC's no ano")
)</f>
        <v/>
      </c>
      <c r="L1595" s="9" t="s">
        <v>149</v>
      </c>
      <c r="M1595" s="4"/>
      <c r="N1595" s="5" t="s">
        <v>51</v>
      </c>
      <c r="O1595" s="5" t="s">
        <v>52</v>
      </c>
      <c r="P1595" s="10" t="s">
        <v>44</v>
      </c>
      <c r="Q1595" s="10" t="s">
        <v>44</v>
      </c>
      <c r="R1595" s="11" t="s">
        <v>44</v>
      </c>
      <c r="S1595" s="11" t="s">
        <v>44</v>
      </c>
      <c r="T1595" s="22"/>
      <c r="U1595" s="22"/>
      <c r="V1595" s="22"/>
      <c r="W1595" s="22"/>
      <c r="X1595" s="22"/>
      <c r="Y1595" s="22"/>
      <c r="Z1595" s="22"/>
      <c r="AA1595" s="22"/>
      <c r="AB1595" s="22"/>
      <c r="AC1595" s="22"/>
      <c r="AD1595" s="22"/>
      <c r="AE1595" s="22"/>
      <c r="AG1595" s="71">
        <v>5</v>
      </c>
      <c r="AH1595" s="71">
        <v>2</v>
      </c>
      <c r="AI1595" s="71">
        <v>3</v>
      </c>
      <c r="AJ1595" s="71">
        <v>4</v>
      </c>
      <c r="AK1595" s="71">
        <v>3</v>
      </c>
      <c r="AL1595" s="71"/>
      <c r="AM1595" s="71"/>
      <c r="AN1595" s="71"/>
      <c r="AO1595" s="71"/>
      <c r="AP1595" s="71"/>
      <c r="AQ1595" s="71"/>
      <c r="AR1595" s="71"/>
      <c r="AS1595" s="94">
        <f ca="1">IF(MONTH(TODAY())=3,SUM(T1595:U1595),IF(MONTH(TODAY())=4,SUM(T1595:V1595),IF(MONTH(TODAY())=5,SUM(T1595:W1595),IF(MONTH(TODAY())=6,SUM(T1595:X1595),IF(MONTH(TODAY())=7,SUM(T1595:Y1595),IF(MONTH(TODAY())=8,SUM(T1595:Z1595),IF(MONTH(TODAY())=9,SUM(T1595:AA1595),IF(MONTH(TODAY())=10,SUM(T1595:AB1595),IF(MONTH(TODAY())=11,SUM(T1595:AC1595),IF(MONTH(TODAY())=12,SUM(T1595:AD1595),IF(MONTH(TODAY())=1,SUM(T1595:AE1595),T1595)))))))))))</f>
        <v>0</v>
      </c>
      <c r="AT1595" s="95">
        <f>SUM(AG1595:AR1595)</f>
        <v>17</v>
      </c>
      <c r="AU1595" s="97">
        <f>SUM(AG1595:AR1595)</f>
        <v>17</v>
      </c>
      <c r="AW1595" s="83">
        <f>AG1595</f>
        <v>5</v>
      </c>
      <c r="AX1595" s="83">
        <f>AH1595</f>
        <v>2</v>
      </c>
      <c r="AY1595" s="83">
        <f>AI1595</f>
        <v>3</v>
      </c>
      <c r="AZ1595" s="83">
        <f>AJ1595</f>
        <v>4</v>
      </c>
      <c r="BA1595" s="83">
        <f>AK1595</f>
        <v>3</v>
      </c>
      <c r="BB1595" s="52"/>
      <c r="BC1595" s="52"/>
      <c r="BD1595" s="52"/>
      <c r="BE1595" s="52"/>
      <c r="BF1595" s="52"/>
      <c r="BG1595" s="52"/>
      <c r="BH1595" s="52"/>
      <c r="BI1595" s="68" cm="1">
        <f t="array" ref="BI1595">IFERROR(INDEX(AW1595:BH1595,1,MATCH(2,1/(AW1595:BH1595&lt;&gt;""))),"")</f>
        <v>3</v>
      </c>
      <c r="BJ1595" s="68" cm="1">
        <f t="array" ref="BJ1595">IF(BM1595 = "", "",IFERROR(INDEX(AW1595:BH1595,1,MATCH(2,1/(AW1595:BH1595&lt;&gt;""),1)-1),""))</f>
        <v>4</v>
      </c>
      <c r="BK1595" s="59">
        <f>SUM(AW1595:BH1595)</f>
        <v>17</v>
      </c>
      <c r="BL1595" s="59" cm="1">
        <f t="array" ref="BL1595">IFERROR(SUM(AW1595:INDEX(AW1595:BH1595, MATCH(2, 1/(AW1595:BH1595&lt;&gt;""), 1) - 1))/_xlfn.XLOOKUP(F1595,Apuração!A:A,Apuração!B:B),0)</f>
        <v>1.1666666666666667</v>
      </c>
      <c r="BM1595" s="55" cm="1">
        <f t="array" ref="BM1595">IFERROR(
   INDEX($AW$1:$BH$1,
      _xlfn.AGGREGATE(14, 6, COLUMN($AW$1:$BH$1)/(AW1595:BH1595&lt;&gt;""), 2) - COLUMN($AW$1) + 1
   ),
"")</f>
        <v>46113</v>
      </c>
      <c r="BN1595" s="55" cm="1">
        <f t="array" ref="BN1595">IFERROR(INDEX($AW$1:$BH$1,1,MATCH(2,1/(AW1595:BH1595&lt;&gt;""))),"")</f>
        <v>46143</v>
      </c>
      <c r="BO1595" s="53">
        <f ca="1">IFERROR(_xlfn.XLOOKUP(F1595,Apuração!A:A,Apuração!C:C)/_xlfn.XLOOKUP(F1595,Apuração!A:A,Apuração!B:B),0)</f>
        <v>0.41666666666666669</v>
      </c>
      <c r="BP1595" s="53">
        <f ca="1">IFERROR(_xlfn.XLOOKUP(F1595,Apuração!A:A,Apuração!D:D)/_xlfn.XLOOKUP(F1595,Apuração!A:A,Apuração!B:B),0)</f>
        <v>0.33333333333333331</v>
      </c>
      <c r="BQ1595" s="53">
        <f ca="1">IF(BK1595&gt;=BO1595,0,_xlfn.XLOOKUP(F1595,Apuração!A:A,Apuração!B:B)*(BO1595 + (1/_xlfn.XLOOKUP(F1595,Apuração!A:A,Apuração!B:B)) - BK1595))</f>
        <v>0</v>
      </c>
      <c r="BR1595" s="85">
        <f ca="1">IF(BQ1595=0,0,BQ1595*Z1595)</f>
        <v>0</v>
      </c>
      <c r="BS1595" s="53">
        <f ca="1">IFERROR((_xlfn.XLOOKUP(F1595,Apuração!A:A,Apuração!C:C)+1)/_xlfn.XLOOKUP(F1595,Apuração!A:A,Apuração!B:B),0)</f>
        <v>0.5</v>
      </c>
    </row>
    <row r="1596" spans="1:71" ht="25.95" hidden="1" customHeight="1" x14ac:dyDescent="0.3">
      <c r="A1596" s="20" t="s">
        <v>87</v>
      </c>
      <c r="B1596" s="4" t="s">
        <v>229</v>
      </c>
      <c r="C1596" s="5" t="s">
        <v>95</v>
      </c>
      <c r="D1596" s="5" t="s">
        <v>36</v>
      </c>
      <c r="E1596" s="4" t="str" cm="1">
        <f t="array" ref="E1596">_xlfn.IFS(
F1596 = "A partir de Abril", "Aguardando Execução na Distribuidora",
A1596 = "CAPACITAÇÃO", "Em execução no Corporativo",
TRUE, "Em Execução na Distribuidora"
)</f>
        <v>Em Execução na Distribuidora</v>
      </c>
      <c r="F1596" s="4" t="str" cm="1">
        <f t="array" ref="F1596">_xlfn.IFS(
AG1596 &lt;&gt; "", "Jan-Dez/26",
AH1596 &lt;&gt; "", "Fev-Dez/26",
AI1596 &lt;&gt; "", "Mar-Dez/26", AJ1596 &lt;&gt; "", "Abr-Dez/26",
TRUE, "A partir de Junho"
)</f>
        <v>Jan-Dez/26</v>
      </c>
      <c r="G1596" s="7" t="s">
        <v>37</v>
      </c>
      <c r="H1596" s="7" t="s">
        <v>110</v>
      </c>
      <c r="I1596" s="8" t="s">
        <v>223</v>
      </c>
      <c r="J1596" s="21" t="str" cm="1">
        <f t="array" aca="1" ref="J1596" ca="1">_xlfn.LET(
  _xlpm.actual_value_month, INDEX(T1596:AE1596, MATCH(DATE(YEAR(TODAY()), MONTH(TODAY()), 1), $T$1:$AE$1, 0)),
  IF(_xlpm.actual_value_month &lt;&gt; "",_xlpm.actual_value_month &amp; " inspeções mensais", "")
)</f>
        <v>3 inspeções mensais</v>
      </c>
      <c r="K1596" s="8" t="str" cm="1">
        <f t="array" ref="K1596">_xlfn.LET(
    _xlpm.sum_month, SUM(T1596:AE1596),
    IF(_xlpm.sum_month = 0, "", _xlpm.sum_month &amp; " inspeções realizadas no ano")
)</f>
        <v>37 inspeções realizadas no ano</v>
      </c>
      <c r="L1596" s="4" t="s">
        <v>230</v>
      </c>
      <c r="M1596" s="19" t="s">
        <v>231</v>
      </c>
      <c r="N1596" s="5" t="s">
        <v>42</v>
      </c>
      <c r="O1596" s="5" t="s">
        <v>43</v>
      </c>
      <c r="P1596" s="10" t="s">
        <v>44</v>
      </c>
      <c r="Q1596" s="10" t="s">
        <v>72</v>
      </c>
      <c r="R1596" s="11" t="s">
        <v>225</v>
      </c>
      <c r="S1596" s="11" t="s">
        <v>44</v>
      </c>
      <c r="T1596" s="22">
        <v>3</v>
      </c>
      <c r="U1596" s="22">
        <v>3</v>
      </c>
      <c r="V1596" s="22">
        <v>4</v>
      </c>
      <c r="W1596" s="22">
        <v>3</v>
      </c>
      <c r="X1596" s="22">
        <v>3</v>
      </c>
      <c r="Y1596" s="22">
        <v>3</v>
      </c>
      <c r="Z1596" s="22">
        <v>3</v>
      </c>
      <c r="AA1596" s="22">
        <v>3</v>
      </c>
      <c r="AB1596" s="22">
        <v>3</v>
      </c>
      <c r="AC1596" s="22">
        <v>3</v>
      </c>
      <c r="AD1596" s="22">
        <v>3</v>
      </c>
      <c r="AE1596" s="22">
        <v>3</v>
      </c>
      <c r="AG1596" s="71">
        <v>3</v>
      </c>
      <c r="AH1596" s="71">
        <v>3</v>
      </c>
      <c r="AI1596" s="71">
        <v>4</v>
      </c>
      <c r="AJ1596" s="71">
        <v>3</v>
      </c>
      <c r="AK1596" s="71">
        <v>3</v>
      </c>
      <c r="AL1596" s="71"/>
      <c r="AM1596" s="71"/>
      <c r="AN1596" s="71"/>
      <c r="AO1596" s="71"/>
      <c r="AP1596" s="71"/>
      <c r="AQ1596" s="71"/>
      <c r="AR1596" s="71"/>
      <c r="AS1596" s="94">
        <f ca="1">IF(MONTH(TODAY())=3,SUM(T1596:U1596),IF(MONTH(TODAY())=4,SUM(T1596:V1596),IF(MONTH(TODAY())=5,SUM(T1596:W1596),IF(MONTH(TODAY())=6,SUM(T1596:X1596),IF(MONTH(TODAY())=7,SUM(T1596:Y1596),IF(MONTH(TODAY())=8,SUM(T1596:Z1596),IF(MONTH(TODAY())=9,SUM(T1596:AA1596),IF(MONTH(TODAY())=10,SUM(T1596:AB1596),IF(MONTH(TODAY())=11,SUM(T1596:AC1596),IF(MONTH(TODAY())=12,SUM(T1596:AD1596),IF(MONTH(TODAY())=1,SUM(T1596:AE1596),T1596)))))))))))</f>
        <v>16</v>
      </c>
      <c r="AT1596" s="95">
        <f>SUM(IF(AW1596&lt;1.15,AG1596,1.15*T1596),IF(AX1596&lt;1.15,AH1596,1.15*U1596),IF(AY1596&lt;1.15,AI1596,1.15*V1596),IF(AZ1596&lt;1.15,AJ1596,1.15*W1596),IF(BA1596&lt;1.15,AK1596,1.15*X1596),IF(BB1596&lt;1.15,AL1596,1.15*Y1596),IF(BC1596&lt;1.15,AM1596,1.15*Z1596),IF(BD1596&lt;1.15,AN1596,1.15*AA1596),IF(BE1596&lt;1.15,AO1596,1.15*AB1596),IF(BF1596&lt;1.15,AP1596,1.15*AC1596),IF(BG1596&lt;1.15,AQ1596,1.15*AD1596),IF(BH1596&lt;1.15,AR1596,1.15*AE1596))</f>
        <v>16</v>
      </c>
      <c r="AU1596" s="97">
        <f>SUM(AG1596:AR1596)</f>
        <v>16</v>
      </c>
      <c r="AW1596" s="51">
        <f>IFERROR(IF(AG1596="",0,AG1596/T1596),0)</f>
        <v>1</v>
      </c>
      <c r="AX1596" s="51">
        <f>IFERROR(IF(AH1596="",0,AH1596/U1596),0)</f>
        <v>1</v>
      </c>
      <c r="AY1596" s="51">
        <f>IFERROR(IF(AI1596="",0,AI1596/V1596),0)</f>
        <v>1</v>
      </c>
      <c r="AZ1596" s="51">
        <f>IFERROR(IF(AJ1596="",0,AJ1596/W1596),0)</f>
        <v>1</v>
      </c>
      <c r="BA1596" s="51">
        <f>IFERROR(IF(AK1596="",0,AK1596/X1596),0)</f>
        <v>1</v>
      </c>
      <c r="BB1596" s="51"/>
      <c r="BC1596" s="51"/>
      <c r="BD1596" s="51"/>
      <c r="BE1596" s="51"/>
      <c r="BF1596" s="51"/>
      <c r="BG1596" s="51"/>
      <c r="BH1596" s="51"/>
      <c r="BI1596" s="65" cm="1">
        <f t="array" ref="BI1596">IFERROR(INDEX(AW1596:BH1596,1,MATCH(2,1/(AW1596:BH1596&lt;&gt;""))),"")</f>
        <v>1</v>
      </c>
      <c r="BJ1596" s="68" cm="1">
        <f t="array" ref="BJ1596">IF(BM1596 = "", "",IFERROR(INDEX(AW1596:BH1596,1,MATCH(2,1/(AW1596:BH1596&lt;&gt;""),1)-1),""))</f>
        <v>1</v>
      </c>
      <c r="BK1596" s="58">
        <f>IF((IF(AW1596&gt;=115%,115%,AW1596) + IF(AX1596&gt;=115%,115%,AX1596) + IF(AY1596&gt;=115%,115%,AY1596) + (IF(AZ1596&gt;=115%,115%,AZ1596) + IF(BA1596&gt;=115%,115%,BA1596) + IF(BB1596&gt;=115%,115%,BB1596) + IF(BC1596&gt;=115%,115%,BC1596) + IF(BD1596&gt;=115%,115%,BD1596) + IF(BE1596&gt;=115%,115%,BE1596) + IF(BF1596&gt;=115%,115%,BF1596) + IF(BG1596&gt;=115%,115%,BG1596) + IF(BH1596&gt;=115%,115%,BH1596)))/_xlfn.XLOOKUP(F1596,Apuração!A:A,Apuração!B:B)&gt;=1.15,1.15,((IF(AZ1596&gt;=115%,115%,AZ1596) + IF(AX1596&gt;=115%,115%,AX1596) + IF(AY1596&gt;=115%,115%,AY1596) + (IF(AW1596&gt;=115%,115%,AW1596) + IF(BA1596&gt;=115%,115%,BA1596) + IF(BB1596&gt;=115%,115%,BB1596) + IF(BC1596&gt;=115%,115%,BC1596) + IF(BD1596&gt;=115%,115%,BD1596) + IF(BE1596&gt;=115%,115%,BE1596) + IF(BF1596&gt;=115%,115%,BF1596) + IF(BG1596&gt;=115%,115%,BG1596) + IF(BH1596&gt;=115%,115%,BH1596)))/_xlfn.XLOOKUP(F1596,Apuração!A:A,Apuração!B:B)))</f>
        <v>0.41666666666666669</v>
      </c>
      <c r="BL1596" s="58" cm="1">
        <f t="array" aca="1" ref="BL1596" ca="1">IF(SUM(IFERROR(IF(INDEX(AW1596:INDEX(AW1596:BH1596, MATCH(2, 1/(AW1596:BH1596&lt;&gt;""), 1)-1), ROW(INDIRECT("1:" &amp; MATCH(2, 1/(AW1596:BH1596&lt;&gt;""), 1)-1))) &gt;= 115%, 115%, INDEX(AW1596:INDEX(AW1596:BH1596, MATCH(2, 1/(AW1596:BH1596&lt;&gt;""), 1)-1), ROW(INDIRECT("1:" &amp; MATCH(2, 1/(AW1596:BH1596&lt;&gt;""), 1)-1)))), 0))/_xlfn.XLOOKUP(F1596,Apuração!A:A,Apuração!B:B)&gt;=1.15,1.15,SUM(IFERROR(IF(INDEX(AW1596:INDEX(AW1596:BH1596, MATCH(2, 1/(AW1596:BH1596&lt;&gt;""), 1)-1), ROW(INDIRECT("1:" &amp; MATCH(2, 1/(AW1596:BH1596&lt;&gt;""), 1)-1))) &gt;= 115%, 115%, INDEX(AW1596:INDEX(AW1596:BH1596, MATCH(2, 1/(AW1596:BH1596&lt;&gt;""), 1)-1), ROW(INDIRECT("1:" &amp; MATCH(2, 1/(AW1596:BH1596&lt;&gt;""), 1)-1)))), 0))/_xlfn.XLOOKUP(F1596,Apuração!A:A,Apuração!B:B))</f>
        <v>0.33333333333333331</v>
      </c>
      <c r="BM1596" s="55" cm="1">
        <f t="array" ref="BM1596">IFERROR(
   INDEX($AW$1:$BH$1,
      _xlfn.AGGREGATE(14, 6, COLUMN($AW$1:$BH$1)/(AW1596:BH1596&lt;&gt;""), 2) - COLUMN($AW$1) + 1
   ),
"")</f>
        <v>46113</v>
      </c>
      <c r="BN1596" s="55" cm="1">
        <f t="array" ref="BN1596">IFERROR(INDEX($AW$1:$BH$1,1,MATCH(2,1/(AW1596:BH1596&lt;&gt;""))),"")</f>
        <v>46143</v>
      </c>
      <c r="BO1596" s="53">
        <f ca="1">IFERROR(_xlfn.XLOOKUP(F1596,Apuração!A:A,Apuração!C:C)/_xlfn.XLOOKUP(F1596,Apuração!A:A,Apuração!B:B),0)</f>
        <v>0.41666666666666669</v>
      </c>
      <c r="BP1596" s="53">
        <f ca="1">IFERROR(_xlfn.XLOOKUP(F1596,Apuração!A:A,Apuração!D:D)/_xlfn.XLOOKUP(F1596,Apuração!A:A,Apuração!B:B),0)</f>
        <v>0.33333333333333331</v>
      </c>
      <c r="BQ1596" s="53">
        <f ca="1">IF(BK1596&gt;=BO1596,0,_xlfn.XLOOKUP(F1596,Apuração!A:A,Apuração!B:B)*(BO1596 + (1/_xlfn.XLOOKUP(F1596,Apuração!A:A,Apuração!B:B)) - BK1596))</f>
        <v>0</v>
      </c>
      <c r="BR1596" s="85">
        <f ca="1">IF(BQ1596=0,0,BQ1596*Z1596)</f>
        <v>0</v>
      </c>
      <c r="BS1596" s="53">
        <f ca="1">IFERROR((_xlfn.XLOOKUP(F1596,Apuração!A:A,Apuração!C:C)+1)/_xlfn.XLOOKUP(F1596,Apuração!A:A,Apuração!B:B),0)</f>
        <v>0.5</v>
      </c>
    </row>
    <row r="1597" spans="1:71" ht="25.95" hidden="1" customHeight="1" x14ac:dyDescent="0.3">
      <c r="A1597" s="40" t="s">
        <v>87</v>
      </c>
      <c r="B1597" s="4" t="s">
        <v>229</v>
      </c>
      <c r="C1597" s="5" t="s">
        <v>95</v>
      </c>
      <c r="D1597" s="5" t="s">
        <v>36</v>
      </c>
      <c r="E1597" s="4" t="str" cm="1">
        <f t="array" ref="E1597">_xlfn.IFS(
F1597 = "A partir de Abril", "Aguardando Execução na Distribuidora",
A1597 = "CAPACITAÇÃO", "Em execução no Corporativo",
TRUE, "Em Execução na Distribuidora"
)</f>
        <v>Em Execução na Distribuidora</v>
      </c>
      <c r="F1597" s="4" t="str" cm="1">
        <f t="array" ref="F1597">_xlfn.IFS(
AG1597 &lt;&gt; "", "Jan-Dez/26",
AH1597 &lt;&gt; "", "Fev-Dez/26",
AI1597 &lt;&gt; "", "Mar-Dez/26", AJ1597 &lt;&gt; "", "Abr-Dez/26",
TRUE, "A partir de Junho"
)</f>
        <v>Jan-Dez/26</v>
      </c>
      <c r="G1597" s="7" t="s">
        <v>37</v>
      </c>
      <c r="H1597" s="7" t="s">
        <v>110</v>
      </c>
      <c r="I1597" s="8" t="s">
        <v>148</v>
      </c>
      <c r="J1597" s="21" t="str" cm="1">
        <f t="array" aca="1" ref="J1597" ca="1">_xlfn.LET(
  _xlpm.actual_value_month, INDEX(T1597:AE1597, MATCH(DATE(YEAR(TODAY()), MONTH(TODAY()), 1), $T$1:$AE$1, 0)),
  IF(_xlpm.actual_value_month &lt;&gt; "",_xlpm.actual_value_month &amp; " ações mensais", "")
)</f>
        <v/>
      </c>
      <c r="K1597" s="8" t="str" cm="1">
        <f t="array" ref="K1597">_xlfn.LET(
    _xlpm.sum_month, SUM(T1597:AE1597),
    IF(_xlpm.sum_month = 0, "", _xlpm.sum_month &amp; " NC's no ano")
)</f>
        <v/>
      </c>
      <c r="L1597" s="9" t="s">
        <v>149</v>
      </c>
      <c r="M1597" s="4"/>
      <c r="N1597" s="5" t="s">
        <v>51</v>
      </c>
      <c r="O1597" s="5" t="s">
        <v>52</v>
      </c>
      <c r="P1597" s="10" t="s">
        <v>44</v>
      </c>
      <c r="Q1597" s="10" t="s">
        <v>44</v>
      </c>
      <c r="R1597" s="11" t="s">
        <v>44</v>
      </c>
      <c r="S1597" s="11" t="s">
        <v>44</v>
      </c>
      <c r="T1597" s="22"/>
      <c r="U1597" s="22"/>
      <c r="V1597" s="22"/>
      <c r="W1597" s="22"/>
      <c r="X1597" s="22"/>
      <c r="Y1597" s="22"/>
      <c r="Z1597" s="22"/>
      <c r="AA1597" s="22"/>
      <c r="AB1597" s="22"/>
      <c r="AC1597" s="22"/>
      <c r="AD1597" s="22"/>
      <c r="AE1597" s="22"/>
      <c r="AG1597" s="71">
        <v>1</v>
      </c>
      <c r="AH1597" s="71">
        <v>0</v>
      </c>
      <c r="AI1597" s="71">
        <v>0</v>
      </c>
      <c r="AJ1597" s="71">
        <v>0</v>
      </c>
      <c r="AK1597" s="71">
        <v>0</v>
      </c>
      <c r="AL1597" s="71"/>
      <c r="AM1597" s="71"/>
      <c r="AN1597" s="71"/>
      <c r="AO1597" s="71"/>
      <c r="AP1597" s="71"/>
      <c r="AQ1597" s="71"/>
      <c r="AR1597" s="71"/>
      <c r="AS1597" s="94">
        <f ca="1">IF(MONTH(TODAY())=3,SUM(T1597:U1597),IF(MONTH(TODAY())=4,SUM(T1597:V1597),IF(MONTH(TODAY())=5,SUM(T1597:W1597),IF(MONTH(TODAY())=6,SUM(T1597:X1597),IF(MONTH(TODAY())=7,SUM(T1597:Y1597),IF(MONTH(TODAY())=8,SUM(T1597:Z1597),IF(MONTH(TODAY())=9,SUM(T1597:AA1597),IF(MONTH(TODAY())=10,SUM(T1597:AB1597),IF(MONTH(TODAY())=11,SUM(T1597:AC1597),IF(MONTH(TODAY())=12,SUM(T1597:AD1597),IF(MONTH(TODAY())=1,SUM(T1597:AE1597),T1597)))))))))))</f>
        <v>0</v>
      </c>
      <c r="AT1597" s="95">
        <f>SUM(AG1597:AR1597)</f>
        <v>1</v>
      </c>
      <c r="AU1597" s="97">
        <f>SUM(AG1597:AR1597)</f>
        <v>1</v>
      </c>
      <c r="AW1597" s="83">
        <f>AG1597</f>
        <v>1</v>
      </c>
      <c r="AX1597" s="83">
        <f>AH1597</f>
        <v>0</v>
      </c>
      <c r="AY1597" s="83">
        <f>AI1597</f>
        <v>0</v>
      </c>
      <c r="AZ1597" s="83">
        <f>AJ1597</f>
        <v>0</v>
      </c>
      <c r="BA1597" s="83">
        <f>AK1597</f>
        <v>0</v>
      </c>
      <c r="BB1597" s="52"/>
      <c r="BC1597" s="52"/>
      <c r="BD1597" s="52"/>
      <c r="BE1597" s="52"/>
      <c r="BF1597" s="52"/>
      <c r="BG1597" s="52"/>
      <c r="BH1597" s="52"/>
      <c r="BI1597" s="68" cm="1">
        <f t="array" ref="BI1597">IFERROR(INDEX(AW1597:BH1597,1,MATCH(2,1/(AW1597:BH1597&lt;&gt;""))),"")</f>
        <v>0</v>
      </c>
      <c r="BJ1597" s="68" cm="1">
        <f t="array" ref="BJ1597">IF(BM1597 = "", "",IFERROR(INDEX(AW1597:BH1597,1,MATCH(2,1/(AW1597:BH1597&lt;&gt;""),1)-1),""))</f>
        <v>0</v>
      </c>
      <c r="BK1597" s="59">
        <f>SUM(AW1597:BH1597)</f>
        <v>1</v>
      </c>
      <c r="BL1597" s="59" cm="1">
        <f t="array" ref="BL1597">IFERROR(SUM(AW1597:INDEX(AW1597:BH1597, MATCH(2, 1/(AW1597:BH1597&lt;&gt;""), 1) - 1))/_xlfn.XLOOKUP(F1597,Apuração!A:A,Apuração!B:B),0)</f>
        <v>8.3333333333333329E-2</v>
      </c>
      <c r="BM1597" s="55" cm="1">
        <f t="array" ref="BM1597">IFERROR(
   INDEX($AW$1:$BH$1,
      _xlfn.AGGREGATE(14, 6, COLUMN($AW$1:$BH$1)/(AW1597:BH1597&lt;&gt;""), 2) - COLUMN($AW$1) + 1
   ),
"")</f>
        <v>46113</v>
      </c>
      <c r="BN1597" s="55" cm="1">
        <f t="array" ref="BN1597">IFERROR(INDEX($AW$1:$BH$1,1,MATCH(2,1/(AW1597:BH1597&lt;&gt;""))),"")</f>
        <v>46143</v>
      </c>
      <c r="BO1597" s="53">
        <f ca="1">IFERROR(_xlfn.XLOOKUP(F1597,Apuração!A:A,Apuração!C:C)/_xlfn.XLOOKUP(F1597,Apuração!A:A,Apuração!B:B),0)</f>
        <v>0.41666666666666669</v>
      </c>
      <c r="BP1597" s="53">
        <f ca="1">IFERROR(_xlfn.XLOOKUP(F1597,Apuração!A:A,Apuração!D:D)/_xlfn.XLOOKUP(F1597,Apuração!A:A,Apuração!B:B),0)</f>
        <v>0.33333333333333331</v>
      </c>
      <c r="BQ1597" s="53">
        <f ca="1">IF(BK1597&gt;=BO1597,0,_xlfn.XLOOKUP(F1597,Apuração!A:A,Apuração!B:B)*(BO1597 + (1/_xlfn.XLOOKUP(F1597,Apuração!A:A,Apuração!B:B)) - BK1597))</f>
        <v>0</v>
      </c>
      <c r="BR1597" s="85">
        <f ca="1">IF(BQ1597=0,0,BQ1597*Z1597)</f>
        <v>0</v>
      </c>
      <c r="BS1597" s="53">
        <f ca="1">IFERROR((_xlfn.XLOOKUP(F1597,Apuração!A:A,Apuração!C:C)+1)/_xlfn.XLOOKUP(F1597,Apuração!A:A,Apuração!B:B),0)</f>
        <v>0.5</v>
      </c>
    </row>
    <row r="1598" spans="1:71" ht="25.95" hidden="1" customHeight="1" x14ac:dyDescent="0.3">
      <c r="A1598" s="40" t="s">
        <v>87</v>
      </c>
      <c r="B1598" s="4" t="s">
        <v>222</v>
      </c>
      <c r="C1598" s="5" t="s">
        <v>97</v>
      </c>
      <c r="D1598" s="5" t="s">
        <v>98</v>
      </c>
      <c r="E1598" s="4" t="str" cm="1">
        <f t="array" ref="E1598">_xlfn.IFS(
F1598 = "A partir de Abril", "Aguardando Execução na Distribuidora",
A1598 = "CAPACITAÇÃO", "Em execução no Corporativo",
TRUE, "Em Execução na Distribuidora"
)</f>
        <v>Em Execução na Distribuidora</v>
      </c>
      <c r="F1598" s="4" t="str" cm="1">
        <f t="array" ref="F1598">_xlfn.IFS(
AG1598 &lt;&gt; "", "Jan-Dez/26",
AH1598 &lt;&gt; "", "Fev-Dez/26",
AI1598 &lt;&gt; "", "Mar-Dez/26", AJ1598 &lt;&gt; "", "Abr-Dez/26",
TRUE, "A partir de Junho"
)</f>
        <v>Jan-Dez/26</v>
      </c>
      <c r="G1598" s="7" t="s">
        <v>37</v>
      </c>
      <c r="H1598" s="7" t="s">
        <v>38</v>
      </c>
      <c r="I1598" s="8" t="s">
        <v>148</v>
      </c>
      <c r="J1598" s="21" t="str" cm="1">
        <f t="array" aca="1" ref="J1598" ca="1">_xlfn.LET(
  _xlpm.actual_value_month, INDEX(T1598:AE1598, MATCH(DATE(YEAR(TODAY()), MONTH(TODAY()), 1), $T$1:$AE$1, 0)),
  IF(_xlpm.actual_value_month &lt;&gt; "",_xlpm.actual_value_month &amp; " ações mensais", "")
)</f>
        <v/>
      </c>
      <c r="K1598" s="8" t="str" cm="1">
        <f t="array" ref="K1598">_xlfn.LET(
    _xlpm.sum_month, SUM(T1598:AE1598),
    IF(_xlpm.sum_month = 0, "", _xlpm.sum_month &amp; " NC's no ano")
)</f>
        <v/>
      </c>
      <c r="L1598" s="9" t="s">
        <v>149</v>
      </c>
      <c r="M1598" s="4"/>
      <c r="N1598" s="5" t="s">
        <v>51</v>
      </c>
      <c r="O1598" s="5" t="s">
        <v>52</v>
      </c>
      <c r="P1598" s="10" t="s">
        <v>44</v>
      </c>
      <c r="Q1598" s="10" t="s">
        <v>44</v>
      </c>
      <c r="R1598" s="11" t="s">
        <v>44</v>
      </c>
      <c r="S1598" s="11" t="s">
        <v>44</v>
      </c>
      <c r="T1598" s="22"/>
      <c r="U1598" s="22"/>
      <c r="V1598" s="22"/>
      <c r="W1598" s="22"/>
      <c r="X1598" s="22"/>
      <c r="Y1598" s="22"/>
      <c r="Z1598" s="22"/>
      <c r="AA1598" s="22"/>
      <c r="AB1598" s="22"/>
      <c r="AC1598" s="22"/>
      <c r="AD1598" s="22"/>
      <c r="AE1598" s="22"/>
      <c r="AG1598" s="71">
        <v>8</v>
      </c>
      <c r="AH1598" s="71">
        <v>2</v>
      </c>
      <c r="AI1598" s="71">
        <v>0</v>
      </c>
      <c r="AJ1598" s="71">
        <v>0</v>
      </c>
      <c r="AK1598" s="71">
        <v>7</v>
      </c>
      <c r="AL1598" s="71"/>
      <c r="AM1598" s="71"/>
      <c r="AN1598" s="71"/>
      <c r="AO1598" s="71"/>
      <c r="AP1598" s="71"/>
      <c r="AQ1598" s="71"/>
      <c r="AR1598" s="71"/>
      <c r="AS1598" s="94">
        <f t="shared" ref="AS1598:AS1607" ca="1" si="1860">IF(MONTH(TODAY())=3,SUM(T1598:U1598),IF(MONTH(TODAY())=4,SUM(T1598:V1598),IF(MONTH(TODAY())=5,SUM(T1598:W1598),IF(MONTH(TODAY())=6,SUM(T1598:X1598),IF(MONTH(TODAY())=7,SUM(T1598:Y1598),IF(MONTH(TODAY())=8,SUM(T1598:Z1598),IF(MONTH(TODAY())=9,SUM(T1598:AA1598),IF(MONTH(TODAY())=10,SUM(T1598:AB1598),IF(MONTH(TODAY())=11,SUM(T1598:AC1598),IF(MONTH(TODAY())=12,SUM(T1598:AD1598),IF(MONTH(TODAY())=1,SUM(T1598:AE1598),T1598)))))))))))</f>
        <v>0</v>
      </c>
      <c r="AT1598" s="95">
        <f t="shared" ref="AT1598:AT1607" si="1861">SUM(AG1598:AR1598)</f>
        <v>17</v>
      </c>
      <c r="AU1598" s="97">
        <f t="shared" ref="AU1598:AU1607" si="1862">SUM(AG1598:AR1598)</f>
        <v>17</v>
      </c>
      <c r="AW1598" s="83">
        <f t="shared" ref="AW1598:AW1607" si="1863">AG1598</f>
        <v>8</v>
      </c>
      <c r="AX1598" s="83">
        <f t="shared" ref="AX1598:AX1607" si="1864">AH1598</f>
        <v>2</v>
      </c>
      <c r="AY1598" s="83">
        <f t="shared" ref="AY1598:AY1607" si="1865">AI1598</f>
        <v>0</v>
      </c>
      <c r="AZ1598" s="83">
        <f t="shared" ref="AZ1598:BA1607" si="1866">AJ1598</f>
        <v>0</v>
      </c>
      <c r="BA1598" s="83">
        <f t="shared" si="1866"/>
        <v>7</v>
      </c>
      <c r="BB1598" s="52"/>
      <c r="BC1598" s="52"/>
      <c r="BD1598" s="52"/>
      <c r="BE1598" s="52"/>
      <c r="BF1598" s="52"/>
      <c r="BG1598" s="52"/>
      <c r="BH1598" s="52"/>
      <c r="BI1598" s="68" cm="1">
        <f t="array" ref="BI1598">IFERROR(INDEX(AW1598:BH1598,1,MATCH(2,1/(AW1598:BH1598&lt;&gt;""))),"")</f>
        <v>7</v>
      </c>
      <c r="BJ1598" s="68" cm="1">
        <f t="array" ref="BJ1598">IF(BM1598 = "", "",IFERROR(INDEX(AW1598:BH1598,1,MATCH(2,1/(AW1598:BH1598&lt;&gt;""),1)-1),""))</f>
        <v>0</v>
      </c>
      <c r="BK1598" s="59">
        <f t="shared" ref="BK1598:BK1607" si="1867">SUM(AW1598:BH1598)</f>
        <v>17</v>
      </c>
      <c r="BL1598" s="59" cm="1">
        <f t="array" ref="BL1598">IFERROR(SUM(AW1598:INDEX(AW1598:BH1598, MATCH(2, 1/(AW1598:BH1598&lt;&gt;""), 1) - 1))/_xlfn.XLOOKUP(F1598,Apuração!A:A,Apuração!B:B),0)</f>
        <v>0.83333333333333337</v>
      </c>
      <c r="BM1598" s="55" cm="1">
        <f t="array" ref="BM1598">IFERROR(
   INDEX($AW$1:$BH$1,
      _xlfn.AGGREGATE(14, 6, COLUMN($AW$1:$BH$1)/(AW1598:BH1598&lt;&gt;""), 2) - COLUMN($AW$1) + 1
   ),
"")</f>
        <v>46113</v>
      </c>
      <c r="BN1598" s="55" cm="1">
        <f t="array" ref="BN1598">IFERROR(INDEX($AW$1:$BH$1,1,MATCH(2,1/(AW1598:BH1598&lt;&gt;""))),"")</f>
        <v>46143</v>
      </c>
      <c r="BO1598" s="53">
        <f ca="1">IFERROR(_xlfn.XLOOKUP(F1598,Apuração!A:A,Apuração!C:C)/_xlfn.XLOOKUP(F1598,Apuração!A:A,Apuração!B:B),0)</f>
        <v>0.41666666666666669</v>
      </c>
      <c r="BP1598" s="53">
        <f ca="1">IFERROR(_xlfn.XLOOKUP(F1598,Apuração!A:A,Apuração!D:D)/_xlfn.XLOOKUP(F1598,Apuração!A:A,Apuração!B:B),0)</f>
        <v>0.33333333333333331</v>
      </c>
      <c r="BQ1598" s="53">
        <f ca="1">IF(BK1598&gt;=BO1598,0,_xlfn.XLOOKUP(F1598,Apuração!A:A,Apuração!B:B)*(BO1598 + (1/_xlfn.XLOOKUP(F1598,Apuração!A:A,Apuração!B:B)) - BK1598))</f>
        <v>0</v>
      </c>
      <c r="BR1598" s="85">
        <f t="shared" ref="BR1598:BR1607" ca="1" si="1868">IF(BQ1598=0,0,BQ1598*Z1598)</f>
        <v>0</v>
      </c>
      <c r="BS1598" s="53">
        <f ca="1">IFERROR((_xlfn.XLOOKUP(F1598,Apuração!A:A,Apuração!C:C)+1)/_xlfn.XLOOKUP(F1598,Apuração!A:A,Apuração!B:B),0)</f>
        <v>0.5</v>
      </c>
    </row>
    <row r="1599" spans="1:71" ht="25.95" hidden="1" customHeight="1" x14ac:dyDescent="0.3">
      <c r="A1599" s="40" t="s">
        <v>87</v>
      </c>
      <c r="B1599" s="4" t="s">
        <v>222</v>
      </c>
      <c r="C1599" s="5" t="s">
        <v>97</v>
      </c>
      <c r="D1599" s="5" t="s">
        <v>99</v>
      </c>
      <c r="E1599" s="4" t="str" cm="1">
        <f t="array" ref="E1599">_xlfn.IFS(
F1599 = "A partir de Abril", "Aguardando Execução na Distribuidora",
A1599 = "CAPACITAÇÃO", "Em execução no Corporativo",
TRUE, "Em Execução na Distribuidora"
)</f>
        <v>Em Execução na Distribuidora</v>
      </c>
      <c r="F1599" s="4" t="str" cm="1">
        <f t="array" ref="F1599">_xlfn.IFS(
AG1599 &lt;&gt; "", "Jan-Dez/26",
AH1599 &lt;&gt; "", "Fev-Dez/26",
AI1599 &lt;&gt; "", "Mar-Dez/26", AJ1599 &lt;&gt; "", "Abr-Dez/26",
TRUE, "A partir de Junho"
)</f>
        <v>Jan-Dez/26</v>
      </c>
      <c r="G1599" s="7" t="s">
        <v>37</v>
      </c>
      <c r="H1599" s="7" t="s">
        <v>38</v>
      </c>
      <c r="I1599" s="8" t="s">
        <v>148</v>
      </c>
      <c r="J1599" s="21" t="str" cm="1">
        <f t="array" aca="1" ref="J1599" ca="1">_xlfn.LET(
  _xlpm.actual_value_month, INDEX(T1599:AE1599, MATCH(DATE(YEAR(TODAY()), MONTH(TODAY()), 1), $T$1:$AE$1, 0)),
  IF(_xlpm.actual_value_month &lt;&gt; "",_xlpm.actual_value_month &amp; " ações mensais", "")
)</f>
        <v/>
      </c>
      <c r="K1599" s="8" t="str" cm="1">
        <f t="array" ref="K1599">_xlfn.LET(
    _xlpm.sum_month, SUM(T1599:AE1599),
    IF(_xlpm.sum_month = 0, "", _xlpm.sum_month &amp; " NC's no ano")
)</f>
        <v/>
      </c>
      <c r="L1599" s="9" t="s">
        <v>149</v>
      </c>
      <c r="M1599" s="4"/>
      <c r="N1599" s="5" t="s">
        <v>51</v>
      </c>
      <c r="O1599" s="5" t="s">
        <v>52</v>
      </c>
      <c r="P1599" s="10" t="s">
        <v>44</v>
      </c>
      <c r="Q1599" s="10" t="s">
        <v>44</v>
      </c>
      <c r="R1599" s="11" t="s">
        <v>44</v>
      </c>
      <c r="S1599" s="11" t="s">
        <v>44</v>
      </c>
      <c r="T1599" s="22"/>
      <c r="U1599" s="22"/>
      <c r="V1599" s="22"/>
      <c r="W1599" s="22"/>
      <c r="X1599" s="22"/>
      <c r="Y1599" s="22"/>
      <c r="Z1599" s="22"/>
      <c r="AA1599" s="22"/>
      <c r="AB1599" s="22"/>
      <c r="AC1599" s="22"/>
      <c r="AD1599" s="22"/>
      <c r="AE1599" s="22"/>
      <c r="AG1599" s="71">
        <v>2</v>
      </c>
      <c r="AH1599" s="71">
        <v>3</v>
      </c>
      <c r="AI1599" s="71">
        <v>4</v>
      </c>
      <c r="AJ1599" s="71">
        <v>2</v>
      </c>
      <c r="AK1599" s="71">
        <v>0</v>
      </c>
      <c r="AL1599" s="71"/>
      <c r="AM1599" s="71"/>
      <c r="AN1599" s="71"/>
      <c r="AO1599" s="71"/>
      <c r="AP1599" s="71"/>
      <c r="AQ1599" s="71"/>
      <c r="AR1599" s="71"/>
      <c r="AS1599" s="94">
        <f t="shared" ca="1" si="1860"/>
        <v>0</v>
      </c>
      <c r="AT1599" s="95">
        <f t="shared" si="1861"/>
        <v>11</v>
      </c>
      <c r="AU1599" s="97">
        <f t="shared" si="1862"/>
        <v>11</v>
      </c>
      <c r="AW1599" s="83">
        <f t="shared" si="1863"/>
        <v>2</v>
      </c>
      <c r="AX1599" s="83">
        <f t="shared" si="1864"/>
        <v>3</v>
      </c>
      <c r="AY1599" s="83">
        <f t="shared" si="1865"/>
        <v>4</v>
      </c>
      <c r="AZ1599" s="83">
        <f t="shared" si="1866"/>
        <v>2</v>
      </c>
      <c r="BA1599" s="83">
        <f t="shared" si="1866"/>
        <v>0</v>
      </c>
      <c r="BB1599" s="52"/>
      <c r="BC1599" s="52"/>
      <c r="BD1599" s="52"/>
      <c r="BE1599" s="52"/>
      <c r="BF1599" s="52"/>
      <c r="BG1599" s="52"/>
      <c r="BH1599" s="52"/>
      <c r="BI1599" s="68" cm="1">
        <f t="array" ref="BI1599">IFERROR(INDEX(AW1599:BH1599,1,MATCH(2,1/(AW1599:BH1599&lt;&gt;""))),"")</f>
        <v>0</v>
      </c>
      <c r="BJ1599" s="68" cm="1">
        <f t="array" ref="BJ1599">IF(BM1599 = "", "",IFERROR(INDEX(AW1599:BH1599,1,MATCH(2,1/(AW1599:BH1599&lt;&gt;""),1)-1),""))</f>
        <v>2</v>
      </c>
      <c r="BK1599" s="59">
        <f t="shared" si="1867"/>
        <v>11</v>
      </c>
      <c r="BL1599" s="59" cm="1">
        <f t="array" ref="BL1599">IFERROR(SUM(AW1599:INDEX(AW1599:BH1599, MATCH(2, 1/(AW1599:BH1599&lt;&gt;""), 1) - 1))/_xlfn.XLOOKUP(F1599,Apuração!A:A,Apuração!B:B),0)</f>
        <v>0.91666666666666663</v>
      </c>
      <c r="BM1599" s="55" cm="1">
        <f t="array" ref="BM1599">IFERROR(
   INDEX($AW$1:$BH$1,
      _xlfn.AGGREGATE(14, 6, COLUMN($AW$1:$BH$1)/(AW1599:BH1599&lt;&gt;""), 2) - COLUMN($AW$1) + 1
   ),
"")</f>
        <v>46113</v>
      </c>
      <c r="BN1599" s="55" cm="1">
        <f t="array" ref="BN1599">IFERROR(INDEX($AW$1:$BH$1,1,MATCH(2,1/(AW1599:BH1599&lt;&gt;""))),"")</f>
        <v>46143</v>
      </c>
      <c r="BO1599" s="53">
        <f ca="1">IFERROR(_xlfn.XLOOKUP(F1599,Apuração!A:A,Apuração!C:C)/_xlfn.XLOOKUP(F1599,Apuração!A:A,Apuração!B:B),0)</f>
        <v>0.41666666666666669</v>
      </c>
      <c r="BP1599" s="53">
        <f ca="1">IFERROR(_xlfn.XLOOKUP(F1599,Apuração!A:A,Apuração!D:D)/_xlfn.XLOOKUP(F1599,Apuração!A:A,Apuração!B:B),0)</f>
        <v>0.33333333333333331</v>
      </c>
      <c r="BQ1599" s="53">
        <f ca="1">IF(BK1599&gt;=BO1599,0,_xlfn.XLOOKUP(F1599,Apuração!A:A,Apuração!B:B)*(BO1599 + (1/_xlfn.XLOOKUP(F1599,Apuração!A:A,Apuração!B:B)) - BK1599))</f>
        <v>0</v>
      </c>
      <c r="BR1599" s="85">
        <f t="shared" ca="1" si="1868"/>
        <v>0</v>
      </c>
      <c r="BS1599" s="53">
        <f ca="1">IFERROR((_xlfn.XLOOKUP(F1599,Apuração!A:A,Apuração!C:C)+1)/_xlfn.XLOOKUP(F1599,Apuração!A:A,Apuração!B:B),0)</f>
        <v>0.5</v>
      </c>
    </row>
    <row r="1600" spans="1:71" ht="25.95" hidden="1" customHeight="1" x14ac:dyDescent="0.3">
      <c r="A1600" s="40" t="s">
        <v>87</v>
      </c>
      <c r="B1600" s="4" t="s">
        <v>222</v>
      </c>
      <c r="C1600" s="5" t="s">
        <v>97</v>
      </c>
      <c r="D1600" s="5" t="s">
        <v>100</v>
      </c>
      <c r="E1600" s="4" t="str" cm="1">
        <f t="array" ref="E1600">_xlfn.IFS(
F1600 = "A partir de Abril", "Aguardando Execução na Distribuidora",
A1600 = "CAPACITAÇÃO", "Em execução no Corporativo",
TRUE, "Em Execução na Distribuidora"
)</f>
        <v>Em Execução na Distribuidora</v>
      </c>
      <c r="F1600" s="4" t="str" cm="1">
        <f t="array" ref="F1600">_xlfn.IFS(
AG1600 &lt;&gt; "", "Jan-Dez/26",
AH1600 &lt;&gt; "", "Fev-Dez/26",
AI1600 &lt;&gt; "", "Mar-Dez/26", AJ1600 &lt;&gt; "", "Abr-Dez/26",
TRUE, "A partir de Junho"
)</f>
        <v>Jan-Dez/26</v>
      </c>
      <c r="G1600" s="7" t="s">
        <v>37</v>
      </c>
      <c r="H1600" s="7" t="s">
        <v>38</v>
      </c>
      <c r="I1600" s="8" t="s">
        <v>148</v>
      </c>
      <c r="J1600" s="21" t="str" cm="1">
        <f t="array" aca="1" ref="J1600" ca="1">_xlfn.LET(
  _xlpm.actual_value_month, INDEX(T1600:AE1600, MATCH(DATE(YEAR(TODAY()), MONTH(TODAY()), 1), $T$1:$AE$1, 0)),
  IF(_xlpm.actual_value_month &lt;&gt; "",_xlpm.actual_value_month &amp; " ações mensais", "")
)</f>
        <v/>
      </c>
      <c r="K1600" s="8" t="str" cm="1">
        <f t="array" ref="K1600">_xlfn.LET(
    _xlpm.sum_month, SUM(T1600:AE1600),
    IF(_xlpm.sum_month = 0, "", _xlpm.sum_month &amp; " NC's no ano")
)</f>
        <v/>
      </c>
      <c r="L1600" s="9" t="s">
        <v>149</v>
      </c>
      <c r="M1600" s="4"/>
      <c r="N1600" s="5" t="s">
        <v>51</v>
      </c>
      <c r="O1600" s="5" t="s">
        <v>52</v>
      </c>
      <c r="P1600" s="10" t="s">
        <v>44</v>
      </c>
      <c r="Q1600" s="10" t="s">
        <v>44</v>
      </c>
      <c r="R1600" s="11" t="s">
        <v>44</v>
      </c>
      <c r="S1600" s="11" t="s">
        <v>44</v>
      </c>
      <c r="T1600" s="22"/>
      <c r="U1600" s="22"/>
      <c r="V1600" s="22"/>
      <c r="W1600" s="22"/>
      <c r="X1600" s="22"/>
      <c r="Y1600" s="22"/>
      <c r="Z1600" s="22"/>
      <c r="AA1600" s="22"/>
      <c r="AB1600" s="22"/>
      <c r="AC1600" s="22"/>
      <c r="AD1600" s="22"/>
      <c r="AE1600" s="22"/>
      <c r="AG1600" s="71">
        <v>0</v>
      </c>
      <c r="AH1600" s="71">
        <v>0</v>
      </c>
      <c r="AI1600" s="71">
        <v>10</v>
      </c>
      <c r="AJ1600" s="71">
        <v>5</v>
      </c>
      <c r="AK1600" s="71">
        <v>0</v>
      </c>
      <c r="AL1600" s="71"/>
      <c r="AM1600" s="71"/>
      <c r="AN1600" s="71"/>
      <c r="AO1600" s="71"/>
      <c r="AP1600" s="71"/>
      <c r="AQ1600" s="71"/>
      <c r="AR1600" s="71"/>
      <c r="AS1600" s="94">
        <f t="shared" ca="1" si="1860"/>
        <v>0</v>
      </c>
      <c r="AT1600" s="95">
        <f t="shared" si="1861"/>
        <v>15</v>
      </c>
      <c r="AU1600" s="97">
        <f t="shared" si="1862"/>
        <v>15</v>
      </c>
      <c r="AW1600" s="83">
        <f t="shared" si="1863"/>
        <v>0</v>
      </c>
      <c r="AX1600" s="83">
        <f t="shared" si="1864"/>
        <v>0</v>
      </c>
      <c r="AY1600" s="83">
        <f t="shared" si="1865"/>
        <v>10</v>
      </c>
      <c r="AZ1600" s="83">
        <f t="shared" si="1866"/>
        <v>5</v>
      </c>
      <c r="BA1600" s="83">
        <f t="shared" si="1866"/>
        <v>0</v>
      </c>
      <c r="BB1600" s="52"/>
      <c r="BC1600" s="52"/>
      <c r="BD1600" s="52"/>
      <c r="BE1600" s="52"/>
      <c r="BF1600" s="52"/>
      <c r="BG1600" s="52"/>
      <c r="BH1600" s="52"/>
      <c r="BI1600" s="68" cm="1">
        <f t="array" ref="BI1600">IFERROR(INDEX(AW1600:BH1600,1,MATCH(2,1/(AW1600:BH1600&lt;&gt;""))),"")</f>
        <v>0</v>
      </c>
      <c r="BJ1600" s="68" cm="1">
        <f t="array" ref="BJ1600">IF(BM1600 = "", "",IFERROR(INDEX(AW1600:BH1600,1,MATCH(2,1/(AW1600:BH1600&lt;&gt;""),1)-1),""))</f>
        <v>5</v>
      </c>
      <c r="BK1600" s="59">
        <f t="shared" si="1867"/>
        <v>15</v>
      </c>
      <c r="BL1600" s="59" cm="1">
        <f t="array" ref="BL1600">IFERROR(SUM(AW1600:INDEX(AW1600:BH1600, MATCH(2, 1/(AW1600:BH1600&lt;&gt;""), 1) - 1))/_xlfn.XLOOKUP(F1600,Apuração!A:A,Apuração!B:B),0)</f>
        <v>1.25</v>
      </c>
      <c r="BM1600" s="55" cm="1">
        <f t="array" ref="BM1600">IFERROR(
   INDEX($AW$1:$BH$1,
      _xlfn.AGGREGATE(14, 6, COLUMN($AW$1:$BH$1)/(AW1600:BH1600&lt;&gt;""), 2) - COLUMN($AW$1) + 1
   ),
"")</f>
        <v>46113</v>
      </c>
      <c r="BN1600" s="55" cm="1">
        <f t="array" ref="BN1600">IFERROR(INDEX($AW$1:$BH$1,1,MATCH(2,1/(AW1600:BH1600&lt;&gt;""))),"")</f>
        <v>46143</v>
      </c>
      <c r="BO1600" s="53">
        <f ca="1">IFERROR(_xlfn.XLOOKUP(F1600,Apuração!A:A,Apuração!C:C)/_xlfn.XLOOKUP(F1600,Apuração!A:A,Apuração!B:B),0)</f>
        <v>0.41666666666666669</v>
      </c>
      <c r="BP1600" s="53">
        <f ca="1">IFERROR(_xlfn.XLOOKUP(F1600,Apuração!A:A,Apuração!D:D)/_xlfn.XLOOKUP(F1600,Apuração!A:A,Apuração!B:B),0)</f>
        <v>0.33333333333333331</v>
      </c>
      <c r="BQ1600" s="53">
        <f ca="1">IF(BK1600&gt;=BO1600,0,_xlfn.XLOOKUP(F1600,Apuração!A:A,Apuração!B:B)*(BO1600 + (1/_xlfn.XLOOKUP(F1600,Apuração!A:A,Apuração!B:B)) - BK1600))</f>
        <v>0</v>
      </c>
      <c r="BR1600" s="85">
        <f t="shared" ca="1" si="1868"/>
        <v>0</v>
      </c>
      <c r="BS1600" s="53">
        <f ca="1">IFERROR((_xlfn.XLOOKUP(F1600,Apuração!A:A,Apuração!C:C)+1)/_xlfn.XLOOKUP(F1600,Apuração!A:A,Apuração!B:B),0)</f>
        <v>0.5</v>
      </c>
    </row>
    <row r="1601" spans="1:71" ht="25.95" hidden="1" customHeight="1" x14ac:dyDescent="0.3">
      <c r="A1601" s="40" t="s">
        <v>87</v>
      </c>
      <c r="B1601" s="4" t="s">
        <v>222</v>
      </c>
      <c r="C1601" s="5" t="s">
        <v>97</v>
      </c>
      <c r="D1601" s="5" t="s">
        <v>101</v>
      </c>
      <c r="E1601" s="4" t="str" cm="1">
        <f t="array" ref="E1601">_xlfn.IFS(
F1601 = "A partir de Abril", "Aguardando Execução na Distribuidora",
A1601 = "CAPACITAÇÃO", "Em execução no Corporativo",
TRUE, "Em Execução na Distribuidora"
)</f>
        <v>Em Execução na Distribuidora</v>
      </c>
      <c r="F1601" s="4" t="str" cm="1">
        <f t="array" ref="F1601">_xlfn.IFS(
AG1601 &lt;&gt; "", "Jan-Dez/26",
AH1601 &lt;&gt; "", "Fev-Dez/26",
AI1601 &lt;&gt; "", "Mar-Dez/26", AJ1601 &lt;&gt; "", "Abr-Dez/26",
TRUE, "A partir de Junho"
)</f>
        <v>Jan-Dez/26</v>
      </c>
      <c r="G1601" s="7" t="s">
        <v>37</v>
      </c>
      <c r="H1601" s="7" t="s">
        <v>38</v>
      </c>
      <c r="I1601" s="8" t="s">
        <v>148</v>
      </c>
      <c r="J1601" s="21" t="str" cm="1">
        <f t="array" aca="1" ref="J1601" ca="1">_xlfn.LET(
  _xlpm.actual_value_month, INDEX(T1601:AE1601, MATCH(DATE(YEAR(TODAY()), MONTH(TODAY()), 1), $T$1:$AE$1, 0)),
  IF(_xlpm.actual_value_month &lt;&gt; "",_xlpm.actual_value_month &amp; " ações mensais", "")
)</f>
        <v/>
      </c>
      <c r="K1601" s="8" t="str" cm="1">
        <f t="array" ref="K1601">_xlfn.LET(
    _xlpm.sum_month, SUM(T1601:AE1601),
    IF(_xlpm.sum_month = 0, "", _xlpm.sum_month &amp; " NC's no ano")
)</f>
        <v/>
      </c>
      <c r="L1601" s="9" t="s">
        <v>149</v>
      </c>
      <c r="M1601" s="4"/>
      <c r="N1601" s="5" t="s">
        <v>51</v>
      </c>
      <c r="O1601" s="5" t="s">
        <v>52</v>
      </c>
      <c r="P1601" s="10" t="s">
        <v>44</v>
      </c>
      <c r="Q1601" s="10" t="s">
        <v>44</v>
      </c>
      <c r="R1601" s="11" t="s">
        <v>44</v>
      </c>
      <c r="S1601" s="11" t="s">
        <v>44</v>
      </c>
      <c r="T1601" s="22"/>
      <c r="U1601" s="22"/>
      <c r="V1601" s="22"/>
      <c r="W1601" s="22"/>
      <c r="X1601" s="22"/>
      <c r="Y1601" s="22"/>
      <c r="Z1601" s="22"/>
      <c r="AA1601" s="22"/>
      <c r="AB1601" s="22"/>
      <c r="AC1601" s="22"/>
      <c r="AD1601" s="22"/>
      <c r="AE1601" s="22"/>
      <c r="AG1601" s="71">
        <v>0</v>
      </c>
      <c r="AH1601" s="71">
        <v>0</v>
      </c>
      <c r="AI1601" s="71">
        <v>1</v>
      </c>
      <c r="AJ1601" s="71">
        <v>3</v>
      </c>
      <c r="AK1601" s="71">
        <v>1</v>
      </c>
      <c r="AL1601" s="71"/>
      <c r="AM1601" s="71"/>
      <c r="AN1601" s="71"/>
      <c r="AO1601" s="71"/>
      <c r="AP1601" s="71"/>
      <c r="AQ1601" s="71"/>
      <c r="AR1601" s="71"/>
      <c r="AS1601" s="94">
        <f t="shared" ca="1" si="1860"/>
        <v>0</v>
      </c>
      <c r="AT1601" s="95">
        <f t="shared" si="1861"/>
        <v>5</v>
      </c>
      <c r="AU1601" s="97">
        <f t="shared" si="1862"/>
        <v>5</v>
      </c>
      <c r="AW1601" s="83">
        <f t="shared" si="1863"/>
        <v>0</v>
      </c>
      <c r="AX1601" s="83">
        <f t="shared" si="1864"/>
        <v>0</v>
      </c>
      <c r="AY1601" s="83">
        <f t="shared" si="1865"/>
        <v>1</v>
      </c>
      <c r="AZ1601" s="83">
        <f t="shared" si="1866"/>
        <v>3</v>
      </c>
      <c r="BA1601" s="83">
        <f t="shared" si="1866"/>
        <v>1</v>
      </c>
      <c r="BB1601" s="52"/>
      <c r="BC1601" s="52"/>
      <c r="BD1601" s="52"/>
      <c r="BE1601" s="52"/>
      <c r="BF1601" s="52"/>
      <c r="BG1601" s="52"/>
      <c r="BH1601" s="52"/>
      <c r="BI1601" s="68" cm="1">
        <f t="array" ref="BI1601">IFERROR(INDEX(AW1601:BH1601,1,MATCH(2,1/(AW1601:BH1601&lt;&gt;""))),"")</f>
        <v>1</v>
      </c>
      <c r="BJ1601" s="68" cm="1">
        <f t="array" ref="BJ1601">IF(BM1601 = "", "",IFERROR(INDEX(AW1601:BH1601,1,MATCH(2,1/(AW1601:BH1601&lt;&gt;""),1)-1),""))</f>
        <v>3</v>
      </c>
      <c r="BK1601" s="59">
        <f t="shared" si="1867"/>
        <v>5</v>
      </c>
      <c r="BL1601" s="59" cm="1">
        <f t="array" ref="BL1601">IFERROR(SUM(AW1601:INDEX(AW1601:BH1601, MATCH(2, 1/(AW1601:BH1601&lt;&gt;""), 1) - 1))/_xlfn.XLOOKUP(F1601,Apuração!A:A,Apuração!B:B),0)</f>
        <v>0.33333333333333331</v>
      </c>
      <c r="BM1601" s="55" cm="1">
        <f t="array" ref="BM1601">IFERROR(
   INDEX($AW$1:$BH$1,
      _xlfn.AGGREGATE(14, 6, COLUMN($AW$1:$BH$1)/(AW1601:BH1601&lt;&gt;""), 2) - COLUMN($AW$1) + 1
   ),
"")</f>
        <v>46113</v>
      </c>
      <c r="BN1601" s="55" cm="1">
        <f t="array" ref="BN1601">IFERROR(INDEX($AW$1:$BH$1,1,MATCH(2,1/(AW1601:BH1601&lt;&gt;""))),"")</f>
        <v>46143</v>
      </c>
      <c r="BO1601" s="53">
        <f ca="1">IFERROR(_xlfn.XLOOKUP(F1601,Apuração!A:A,Apuração!C:C)/_xlfn.XLOOKUP(F1601,Apuração!A:A,Apuração!B:B),0)</f>
        <v>0.41666666666666669</v>
      </c>
      <c r="BP1601" s="53">
        <f ca="1">IFERROR(_xlfn.XLOOKUP(F1601,Apuração!A:A,Apuração!D:D)/_xlfn.XLOOKUP(F1601,Apuração!A:A,Apuração!B:B),0)</f>
        <v>0.33333333333333331</v>
      </c>
      <c r="BQ1601" s="53">
        <f ca="1">IF(BK1601&gt;=BO1601,0,_xlfn.XLOOKUP(F1601,Apuração!A:A,Apuração!B:B)*(BO1601 + (1/_xlfn.XLOOKUP(F1601,Apuração!A:A,Apuração!B:B)) - BK1601))</f>
        <v>0</v>
      </c>
      <c r="BR1601" s="85">
        <f t="shared" ca="1" si="1868"/>
        <v>0</v>
      </c>
      <c r="BS1601" s="53">
        <f ca="1">IFERROR((_xlfn.XLOOKUP(F1601,Apuração!A:A,Apuração!C:C)+1)/_xlfn.XLOOKUP(F1601,Apuração!A:A,Apuração!B:B),0)</f>
        <v>0.5</v>
      </c>
    </row>
    <row r="1602" spans="1:71" ht="25.95" hidden="1" customHeight="1" x14ac:dyDescent="0.3">
      <c r="A1602" s="40" t="s">
        <v>87</v>
      </c>
      <c r="B1602" s="4" t="s">
        <v>222</v>
      </c>
      <c r="C1602" s="5" t="s">
        <v>97</v>
      </c>
      <c r="D1602" s="5" t="s">
        <v>102</v>
      </c>
      <c r="E1602" s="4" t="str" cm="1">
        <f t="array" ref="E1602">_xlfn.IFS(
F1602 = "A partir de Abril", "Aguardando Execução na Distribuidora",
A1602 = "CAPACITAÇÃO", "Em execução no Corporativo",
TRUE, "Em Execução na Distribuidora"
)</f>
        <v>Em Execução na Distribuidora</v>
      </c>
      <c r="F1602" s="4" t="str" cm="1">
        <f t="array" ref="F1602">_xlfn.IFS(
AG1602 &lt;&gt; "", "Jan-Dez/26",
AH1602 &lt;&gt; "", "Fev-Dez/26",
AI1602 &lt;&gt; "", "Mar-Dez/26", AJ1602 &lt;&gt; "", "Abr-Dez/26",
TRUE, "A partir de Junho"
)</f>
        <v>Jan-Dez/26</v>
      </c>
      <c r="G1602" s="7" t="s">
        <v>37</v>
      </c>
      <c r="H1602" s="7" t="s">
        <v>38</v>
      </c>
      <c r="I1602" s="8" t="s">
        <v>148</v>
      </c>
      <c r="J1602" s="21" t="str" cm="1">
        <f t="array" aca="1" ref="J1602" ca="1">_xlfn.LET(
  _xlpm.actual_value_month, INDEX(T1602:AE1602, MATCH(DATE(YEAR(TODAY()), MONTH(TODAY()), 1), $T$1:$AE$1, 0)),
  IF(_xlpm.actual_value_month &lt;&gt; "",_xlpm.actual_value_month &amp; " ações mensais", "")
)</f>
        <v/>
      </c>
      <c r="K1602" s="8" t="str" cm="1">
        <f t="array" ref="K1602">_xlfn.LET(
    _xlpm.sum_month, SUM(T1602:AE1602),
    IF(_xlpm.sum_month = 0, "", _xlpm.sum_month &amp; " NC's no ano")
)</f>
        <v/>
      </c>
      <c r="L1602" s="9" t="s">
        <v>149</v>
      </c>
      <c r="M1602" s="4"/>
      <c r="N1602" s="5" t="s">
        <v>51</v>
      </c>
      <c r="O1602" s="5" t="s">
        <v>52</v>
      </c>
      <c r="P1602" s="10" t="s">
        <v>44</v>
      </c>
      <c r="Q1602" s="10" t="s">
        <v>44</v>
      </c>
      <c r="R1602" s="11" t="s">
        <v>44</v>
      </c>
      <c r="S1602" s="11" t="s">
        <v>44</v>
      </c>
      <c r="T1602" s="22"/>
      <c r="U1602" s="22"/>
      <c r="V1602" s="22"/>
      <c r="W1602" s="22"/>
      <c r="X1602" s="22"/>
      <c r="Y1602" s="22"/>
      <c r="Z1602" s="22"/>
      <c r="AA1602" s="22"/>
      <c r="AB1602" s="22"/>
      <c r="AC1602" s="22"/>
      <c r="AD1602" s="22"/>
      <c r="AE1602" s="22"/>
      <c r="AG1602" s="71">
        <v>2</v>
      </c>
      <c r="AH1602" s="71">
        <v>1</v>
      </c>
      <c r="AI1602" s="71">
        <v>1</v>
      </c>
      <c r="AJ1602" s="71">
        <v>4</v>
      </c>
      <c r="AK1602" s="71">
        <v>3</v>
      </c>
      <c r="AL1602" s="71"/>
      <c r="AM1602" s="71"/>
      <c r="AN1602" s="71"/>
      <c r="AO1602" s="71"/>
      <c r="AP1602" s="71"/>
      <c r="AQ1602" s="71"/>
      <c r="AR1602" s="71"/>
      <c r="AS1602" s="94">
        <f t="shared" ca="1" si="1860"/>
        <v>0</v>
      </c>
      <c r="AT1602" s="95">
        <f t="shared" si="1861"/>
        <v>11</v>
      </c>
      <c r="AU1602" s="97">
        <f t="shared" si="1862"/>
        <v>11</v>
      </c>
      <c r="AW1602" s="83">
        <f t="shared" si="1863"/>
        <v>2</v>
      </c>
      <c r="AX1602" s="83">
        <f t="shared" si="1864"/>
        <v>1</v>
      </c>
      <c r="AY1602" s="83">
        <f t="shared" si="1865"/>
        <v>1</v>
      </c>
      <c r="AZ1602" s="83">
        <f t="shared" si="1866"/>
        <v>4</v>
      </c>
      <c r="BA1602" s="83">
        <f t="shared" si="1866"/>
        <v>3</v>
      </c>
      <c r="BB1602" s="52"/>
      <c r="BC1602" s="52"/>
      <c r="BD1602" s="52"/>
      <c r="BE1602" s="52"/>
      <c r="BF1602" s="52"/>
      <c r="BG1602" s="52"/>
      <c r="BH1602" s="52"/>
      <c r="BI1602" s="68" cm="1">
        <f t="array" ref="BI1602">IFERROR(INDEX(AW1602:BH1602,1,MATCH(2,1/(AW1602:BH1602&lt;&gt;""))),"")</f>
        <v>3</v>
      </c>
      <c r="BJ1602" s="68" cm="1">
        <f t="array" ref="BJ1602">IF(BM1602 = "", "",IFERROR(INDEX(AW1602:BH1602,1,MATCH(2,1/(AW1602:BH1602&lt;&gt;""),1)-1),""))</f>
        <v>4</v>
      </c>
      <c r="BK1602" s="59">
        <f t="shared" si="1867"/>
        <v>11</v>
      </c>
      <c r="BL1602" s="59" cm="1">
        <f t="array" ref="BL1602">IFERROR(SUM(AW1602:INDEX(AW1602:BH1602, MATCH(2, 1/(AW1602:BH1602&lt;&gt;""), 1) - 1))/_xlfn.XLOOKUP(F1602,Apuração!A:A,Apuração!B:B),0)</f>
        <v>0.66666666666666663</v>
      </c>
      <c r="BM1602" s="55" cm="1">
        <f t="array" ref="BM1602">IFERROR(
   INDEX($AW$1:$BH$1,
      _xlfn.AGGREGATE(14, 6, COLUMN($AW$1:$BH$1)/(AW1602:BH1602&lt;&gt;""), 2) - COLUMN($AW$1) + 1
   ),
"")</f>
        <v>46113</v>
      </c>
      <c r="BN1602" s="55" cm="1">
        <f t="array" ref="BN1602">IFERROR(INDEX($AW$1:$BH$1,1,MATCH(2,1/(AW1602:BH1602&lt;&gt;""))),"")</f>
        <v>46143</v>
      </c>
      <c r="BO1602" s="53">
        <f ca="1">IFERROR(_xlfn.XLOOKUP(F1602,Apuração!A:A,Apuração!C:C)/_xlfn.XLOOKUP(F1602,Apuração!A:A,Apuração!B:B),0)</f>
        <v>0.41666666666666669</v>
      </c>
      <c r="BP1602" s="53">
        <f ca="1">IFERROR(_xlfn.XLOOKUP(F1602,Apuração!A:A,Apuração!D:D)/_xlfn.XLOOKUP(F1602,Apuração!A:A,Apuração!B:B),0)</f>
        <v>0.33333333333333331</v>
      </c>
      <c r="BQ1602" s="53">
        <f ca="1">IF(BK1602&gt;=BO1602,0,_xlfn.XLOOKUP(F1602,Apuração!A:A,Apuração!B:B)*(BO1602 + (1/_xlfn.XLOOKUP(F1602,Apuração!A:A,Apuração!B:B)) - BK1602))</f>
        <v>0</v>
      </c>
      <c r="BR1602" s="85">
        <f t="shared" ca="1" si="1868"/>
        <v>0</v>
      </c>
      <c r="BS1602" s="53">
        <f ca="1">IFERROR((_xlfn.XLOOKUP(F1602,Apuração!A:A,Apuração!C:C)+1)/_xlfn.XLOOKUP(F1602,Apuração!A:A,Apuração!B:B),0)</f>
        <v>0.5</v>
      </c>
    </row>
    <row r="1603" spans="1:71" ht="25.95" hidden="1" customHeight="1" x14ac:dyDescent="0.3">
      <c r="A1603" s="40" t="s">
        <v>87</v>
      </c>
      <c r="B1603" s="4" t="s">
        <v>222</v>
      </c>
      <c r="C1603" s="5" t="s">
        <v>97</v>
      </c>
      <c r="D1603" s="5" t="s">
        <v>103</v>
      </c>
      <c r="E1603" s="4" t="str" cm="1">
        <f t="array" ref="E1603">_xlfn.IFS(
F1603 = "A partir de Abril", "Aguardando Execução na Distribuidora",
A1603 = "CAPACITAÇÃO", "Em execução no Corporativo",
TRUE, "Em Execução na Distribuidora"
)</f>
        <v>Em Execução na Distribuidora</v>
      </c>
      <c r="F1603" s="4" t="str" cm="1">
        <f t="array" ref="F1603">_xlfn.IFS(
AG1603 &lt;&gt; "", "Jan-Dez/26",
AH1603 &lt;&gt; "", "Fev-Dez/26",
AI1603 &lt;&gt; "", "Mar-Dez/26", AJ1603 &lt;&gt; "", "Abr-Dez/26",
TRUE, "A partir de Junho"
)</f>
        <v>Jan-Dez/26</v>
      </c>
      <c r="G1603" s="7" t="s">
        <v>37</v>
      </c>
      <c r="H1603" s="7" t="s">
        <v>38</v>
      </c>
      <c r="I1603" s="8" t="s">
        <v>148</v>
      </c>
      <c r="J1603" s="21" t="str" cm="1">
        <f t="array" aca="1" ref="J1603" ca="1">_xlfn.LET(
  _xlpm.actual_value_month, INDEX(T1603:AE1603, MATCH(DATE(YEAR(TODAY()), MONTH(TODAY()), 1), $T$1:$AE$1, 0)),
  IF(_xlpm.actual_value_month &lt;&gt; "",_xlpm.actual_value_month &amp; " ações mensais", "")
)</f>
        <v/>
      </c>
      <c r="K1603" s="8" t="str" cm="1">
        <f t="array" ref="K1603">_xlfn.LET(
    _xlpm.sum_month, SUM(T1603:AE1603),
    IF(_xlpm.sum_month = 0, "", _xlpm.sum_month &amp; " NC's no ano")
)</f>
        <v/>
      </c>
      <c r="L1603" s="9" t="s">
        <v>149</v>
      </c>
      <c r="M1603" s="4"/>
      <c r="N1603" s="5" t="s">
        <v>51</v>
      </c>
      <c r="O1603" s="5" t="s">
        <v>52</v>
      </c>
      <c r="P1603" s="10" t="s">
        <v>44</v>
      </c>
      <c r="Q1603" s="10" t="s">
        <v>44</v>
      </c>
      <c r="R1603" s="11" t="s">
        <v>44</v>
      </c>
      <c r="S1603" s="11" t="s">
        <v>44</v>
      </c>
      <c r="T1603" s="22"/>
      <c r="U1603" s="22"/>
      <c r="V1603" s="22"/>
      <c r="W1603" s="22"/>
      <c r="X1603" s="22"/>
      <c r="Y1603" s="22"/>
      <c r="Z1603" s="22"/>
      <c r="AA1603" s="22"/>
      <c r="AB1603" s="22"/>
      <c r="AC1603" s="22"/>
      <c r="AD1603" s="22"/>
      <c r="AE1603" s="22"/>
      <c r="AG1603" s="71">
        <v>7</v>
      </c>
      <c r="AH1603" s="71">
        <v>3</v>
      </c>
      <c r="AI1603" s="71">
        <v>29</v>
      </c>
      <c r="AJ1603" s="71">
        <v>41</v>
      </c>
      <c r="AK1603" s="71">
        <v>47</v>
      </c>
      <c r="AL1603" s="71"/>
      <c r="AM1603" s="71"/>
      <c r="AN1603" s="71"/>
      <c r="AO1603" s="71"/>
      <c r="AP1603" s="71"/>
      <c r="AQ1603" s="71"/>
      <c r="AR1603" s="71"/>
      <c r="AS1603" s="94">
        <f t="shared" ca="1" si="1860"/>
        <v>0</v>
      </c>
      <c r="AT1603" s="95">
        <f t="shared" si="1861"/>
        <v>127</v>
      </c>
      <c r="AU1603" s="97">
        <f t="shared" si="1862"/>
        <v>127</v>
      </c>
      <c r="AW1603" s="83">
        <f t="shared" si="1863"/>
        <v>7</v>
      </c>
      <c r="AX1603" s="83">
        <f t="shared" si="1864"/>
        <v>3</v>
      </c>
      <c r="AY1603" s="83">
        <f t="shared" si="1865"/>
        <v>29</v>
      </c>
      <c r="AZ1603" s="83">
        <f t="shared" si="1866"/>
        <v>41</v>
      </c>
      <c r="BA1603" s="83">
        <f t="shared" si="1866"/>
        <v>47</v>
      </c>
      <c r="BB1603" s="52"/>
      <c r="BC1603" s="52"/>
      <c r="BD1603" s="52"/>
      <c r="BE1603" s="52"/>
      <c r="BF1603" s="52"/>
      <c r="BG1603" s="52"/>
      <c r="BH1603" s="52"/>
      <c r="BI1603" s="68" cm="1">
        <f t="array" ref="BI1603">IFERROR(INDEX(AW1603:BH1603,1,MATCH(2,1/(AW1603:BH1603&lt;&gt;""))),"")</f>
        <v>47</v>
      </c>
      <c r="BJ1603" s="68" cm="1">
        <f t="array" ref="BJ1603">IF(BM1603 = "", "",IFERROR(INDEX(AW1603:BH1603,1,MATCH(2,1/(AW1603:BH1603&lt;&gt;""),1)-1),""))</f>
        <v>41</v>
      </c>
      <c r="BK1603" s="59">
        <f t="shared" si="1867"/>
        <v>127</v>
      </c>
      <c r="BL1603" s="59" cm="1">
        <f t="array" ref="BL1603">IFERROR(SUM(AW1603:INDEX(AW1603:BH1603, MATCH(2, 1/(AW1603:BH1603&lt;&gt;""), 1) - 1))/_xlfn.XLOOKUP(F1603,Apuração!A:A,Apuração!B:B),0)</f>
        <v>6.666666666666667</v>
      </c>
      <c r="BM1603" s="55" cm="1">
        <f t="array" ref="BM1603">IFERROR(
   INDEX($AW$1:$BH$1,
      _xlfn.AGGREGATE(14, 6, COLUMN($AW$1:$BH$1)/(AW1603:BH1603&lt;&gt;""), 2) - COLUMN($AW$1) + 1
   ),
"")</f>
        <v>46113</v>
      </c>
      <c r="BN1603" s="55" cm="1">
        <f t="array" ref="BN1603">IFERROR(INDEX($AW$1:$BH$1,1,MATCH(2,1/(AW1603:BH1603&lt;&gt;""))),"")</f>
        <v>46143</v>
      </c>
      <c r="BO1603" s="53">
        <f ca="1">IFERROR(_xlfn.XLOOKUP(F1603,Apuração!A:A,Apuração!C:C)/_xlfn.XLOOKUP(F1603,Apuração!A:A,Apuração!B:B),0)</f>
        <v>0.41666666666666669</v>
      </c>
      <c r="BP1603" s="53">
        <f ca="1">IFERROR(_xlfn.XLOOKUP(F1603,Apuração!A:A,Apuração!D:D)/_xlfn.XLOOKUP(F1603,Apuração!A:A,Apuração!B:B),0)</f>
        <v>0.33333333333333331</v>
      </c>
      <c r="BQ1603" s="53">
        <f ca="1">IF(BK1603&gt;=BO1603,0,_xlfn.XLOOKUP(F1603,Apuração!A:A,Apuração!B:B)*(BO1603 + (1/_xlfn.XLOOKUP(F1603,Apuração!A:A,Apuração!B:B)) - BK1603))</f>
        <v>0</v>
      </c>
      <c r="BR1603" s="85">
        <f t="shared" ca="1" si="1868"/>
        <v>0</v>
      </c>
      <c r="BS1603" s="53">
        <f ca="1">IFERROR((_xlfn.XLOOKUP(F1603,Apuração!A:A,Apuração!C:C)+1)/_xlfn.XLOOKUP(F1603,Apuração!A:A,Apuração!B:B),0)</f>
        <v>0.5</v>
      </c>
    </row>
    <row r="1604" spans="1:71" ht="25.95" hidden="1" customHeight="1" x14ac:dyDescent="0.3">
      <c r="A1604" s="40" t="s">
        <v>87</v>
      </c>
      <c r="B1604" s="4" t="s">
        <v>222</v>
      </c>
      <c r="C1604" s="5" t="s">
        <v>97</v>
      </c>
      <c r="D1604" s="5" t="s">
        <v>104</v>
      </c>
      <c r="E1604" s="4" t="str" cm="1">
        <f t="array" ref="E1604">_xlfn.IFS(
F1604 = "A partir de Abril", "Aguardando Execução na Distribuidora",
A1604 = "CAPACITAÇÃO", "Em execução no Corporativo",
TRUE, "Em Execução na Distribuidora"
)</f>
        <v>Em Execução na Distribuidora</v>
      </c>
      <c r="F1604" s="4" t="str" cm="1">
        <f t="array" ref="F1604">_xlfn.IFS(
AG1604 &lt;&gt; "", "Jan-Dez/26",
AH1604 &lt;&gt; "", "Fev-Dez/26",
AI1604 &lt;&gt; "", "Mar-Dez/26", AJ1604 &lt;&gt; "", "Abr-Dez/26",
TRUE, "A partir de Junho"
)</f>
        <v>Jan-Dez/26</v>
      </c>
      <c r="G1604" s="7" t="s">
        <v>37</v>
      </c>
      <c r="H1604" s="7" t="s">
        <v>38</v>
      </c>
      <c r="I1604" s="8" t="s">
        <v>148</v>
      </c>
      <c r="J1604" s="21" t="str" cm="1">
        <f t="array" aca="1" ref="J1604" ca="1">_xlfn.LET(
  _xlpm.actual_value_month, INDEX(T1604:AE1604, MATCH(DATE(YEAR(TODAY()), MONTH(TODAY()), 1), $T$1:$AE$1, 0)),
  IF(_xlpm.actual_value_month &lt;&gt; "",_xlpm.actual_value_month &amp; " ações mensais", "")
)</f>
        <v/>
      </c>
      <c r="K1604" s="8" t="str" cm="1">
        <f t="array" ref="K1604">_xlfn.LET(
    _xlpm.sum_month, SUM(T1604:AE1604),
    IF(_xlpm.sum_month = 0, "", _xlpm.sum_month &amp; " NC's no ano")
)</f>
        <v/>
      </c>
      <c r="L1604" s="9" t="s">
        <v>149</v>
      </c>
      <c r="M1604" s="4"/>
      <c r="N1604" s="5" t="s">
        <v>51</v>
      </c>
      <c r="O1604" s="5" t="s">
        <v>52</v>
      </c>
      <c r="P1604" s="10" t="s">
        <v>44</v>
      </c>
      <c r="Q1604" s="10" t="s">
        <v>44</v>
      </c>
      <c r="R1604" s="11" t="s">
        <v>44</v>
      </c>
      <c r="S1604" s="11" t="s">
        <v>44</v>
      </c>
      <c r="T1604" s="22"/>
      <c r="U1604" s="22"/>
      <c r="V1604" s="22"/>
      <c r="W1604" s="22"/>
      <c r="X1604" s="22"/>
      <c r="Y1604" s="22"/>
      <c r="Z1604" s="22"/>
      <c r="AA1604" s="22"/>
      <c r="AB1604" s="22"/>
      <c r="AC1604" s="22"/>
      <c r="AD1604" s="22"/>
      <c r="AE1604" s="22"/>
      <c r="AG1604" s="71">
        <v>4</v>
      </c>
      <c r="AH1604" s="71">
        <v>14</v>
      </c>
      <c r="AI1604" s="71">
        <v>14</v>
      </c>
      <c r="AJ1604" s="71">
        <v>4</v>
      </c>
      <c r="AK1604" s="71">
        <v>0</v>
      </c>
      <c r="AL1604" s="71"/>
      <c r="AM1604" s="71"/>
      <c r="AN1604" s="71"/>
      <c r="AO1604" s="71"/>
      <c r="AP1604" s="71"/>
      <c r="AQ1604" s="71"/>
      <c r="AR1604" s="71"/>
      <c r="AS1604" s="94">
        <f t="shared" ca="1" si="1860"/>
        <v>0</v>
      </c>
      <c r="AT1604" s="95">
        <f t="shared" si="1861"/>
        <v>36</v>
      </c>
      <c r="AU1604" s="97">
        <f t="shared" si="1862"/>
        <v>36</v>
      </c>
      <c r="AW1604" s="83">
        <f t="shared" si="1863"/>
        <v>4</v>
      </c>
      <c r="AX1604" s="83">
        <f t="shared" si="1864"/>
        <v>14</v>
      </c>
      <c r="AY1604" s="83">
        <f t="shared" si="1865"/>
        <v>14</v>
      </c>
      <c r="AZ1604" s="83">
        <f t="shared" si="1866"/>
        <v>4</v>
      </c>
      <c r="BA1604" s="83">
        <f t="shared" si="1866"/>
        <v>0</v>
      </c>
      <c r="BB1604" s="52"/>
      <c r="BC1604" s="52"/>
      <c r="BD1604" s="52"/>
      <c r="BE1604" s="52"/>
      <c r="BF1604" s="52"/>
      <c r="BG1604" s="52"/>
      <c r="BH1604" s="52"/>
      <c r="BI1604" s="68" cm="1">
        <f t="array" ref="BI1604">IFERROR(INDEX(AW1604:BH1604,1,MATCH(2,1/(AW1604:BH1604&lt;&gt;""))),"")</f>
        <v>0</v>
      </c>
      <c r="BJ1604" s="68" cm="1">
        <f t="array" ref="BJ1604">IF(BM1604 = "", "",IFERROR(INDEX(AW1604:BH1604,1,MATCH(2,1/(AW1604:BH1604&lt;&gt;""),1)-1),""))</f>
        <v>4</v>
      </c>
      <c r="BK1604" s="59">
        <f t="shared" si="1867"/>
        <v>36</v>
      </c>
      <c r="BL1604" s="59" cm="1">
        <f t="array" ref="BL1604">IFERROR(SUM(AW1604:INDEX(AW1604:BH1604, MATCH(2, 1/(AW1604:BH1604&lt;&gt;""), 1) - 1))/_xlfn.XLOOKUP(F1604,Apuração!A:A,Apuração!B:B),0)</f>
        <v>3</v>
      </c>
      <c r="BM1604" s="55" cm="1">
        <f t="array" ref="BM1604">IFERROR(
   INDEX($AW$1:$BH$1,
      _xlfn.AGGREGATE(14, 6, COLUMN($AW$1:$BH$1)/(AW1604:BH1604&lt;&gt;""), 2) - COLUMN($AW$1) + 1
   ),
"")</f>
        <v>46113</v>
      </c>
      <c r="BN1604" s="55" cm="1">
        <f t="array" ref="BN1604">IFERROR(INDEX($AW$1:$BH$1,1,MATCH(2,1/(AW1604:BH1604&lt;&gt;""))),"")</f>
        <v>46143</v>
      </c>
      <c r="BO1604" s="53">
        <f ca="1">IFERROR(_xlfn.XLOOKUP(F1604,Apuração!A:A,Apuração!C:C)/_xlfn.XLOOKUP(F1604,Apuração!A:A,Apuração!B:B),0)</f>
        <v>0.41666666666666669</v>
      </c>
      <c r="BP1604" s="53">
        <f ca="1">IFERROR(_xlfn.XLOOKUP(F1604,Apuração!A:A,Apuração!D:D)/_xlfn.XLOOKUP(F1604,Apuração!A:A,Apuração!B:B),0)</f>
        <v>0.33333333333333331</v>
      </c>
      <c r="BQ1604" s="53">
        <f ca="1">IF(BK1604&gt;=BO1604,0,_xlfn.XLOOKUP(F1604,Apuração!A:A,Apuração!B:B)*(BO1604 + (1/_xlfn.XLOOKUP(F1604,Apuração!A:A,Apuração!B:B)) - BK1604))</f>
        <v>0</v>
      </c>
      <c r="BR1604" s="85">
        <f t="shared" ca="1" si="1868"/>
        <v>0</v>
      </c>
      <c r="BS1604" s="53">
        <f ca="1">IFERROR((_xlfn.XLOOKUP(F1604,Apuração!A:A,Apuração!C:C)+1)/_xlfn.XLOOKUP(F1604,Apuração!A:A,Apuração!B:B),0)</f>
        <v>0.5</v>
      </c>
    </row>
    <row r="1605" spans="1:71" ht="25.95" hidden="1" customHeight="1" x14ac:dyDescent="0.3">
      <c r="A1605" s="40" t="s">
        <v>87</v>
      </c>
      <c r="B1605" s="4" t="s">
        <v>222</v>
      </c>
      <c r="C1605" s="5" t="s">
        <v>97</v>
      </c>
      <c r="D1605" s="5" t="s">
        <v>105</v>
      </c>
      <c r="E1605" s="4" t="str" cm="1">
        <f t="array" ref="E1605">_xlfn.IFS(
F1605 = "A partir de Abril", "Aguardando Execução na Distribuidora",
A1605 = "CAPACITAÇÃO", "Em execução no Corporativo",
TRUE, "Em Execução na Distribuidora"
)</f>
        <v>Em Execução na Distribuidora</v>
      </c>
      <c r="F1605" s="4" t="str" cm="1">
        <f t="array" ref="F1605">_xlfn.IFS(
AG1605 &lt;&gt; "", "Jan-Dez/26",
AH1605 &lt;&gt; "", "Fev-Dez/26",
AI1605 &lt;&gt; "", "Mar-Dez/26", AJ1605 &lt;&gt; "", "Abr-Dez/26",
TRUE, "A partir de Junho"
)</f>
        <v>Jan-Dez/26</v>
      </c>
      <c r="G1605" s="7" t="s">
        <v>37</v>
      </c>
      <c r="H1605" s="7" t="s">
        <v>38</v>
      </c>
      <c r="I1605" s="8" t="s">
        <v>148</v>
      </c>
      <c r="J1605" s="21" t="str" cm="1">
        <f t="array" aca="1" ref="J1605" ca="1">_xlfn.LET(
  _xlpm.actual_value_month, INDEX(T1605:AE1605, MATCH(DATE(YEAR(TODAY()), MONTH(TODAY()), 1), $T$1:$AE$1, 0)),
  IF(_xlpm.actual_value_month &lt;&gt; "",_xlpm.actual_value_month &amp; " ações mensais", "")
)</f>
        <v/>
      </c>
      <c r="K1605" s="8" t="str" cm="1">
        <f t="array" ref="K1605">_xlfn.LET(
    _xlpm.sum_month, SUM(T1605:AE1605),
    IF(_xlpm.sum_month = 0, "", _xlpm.sum_month &amp; " NC's no ano")
)</f>
        <v/>
      </c>
      <c r="L1605" s="9" t="s">
        <v>149</v>
      </c>
      <c r="M1605" s="4"/>
      <c r="N1605" s="5" t="s">
        <v>51</v>
      </c>
      <c r="O1605" s="5" t="s">
        <v>52</v>
      </c>
      <c r="P1605" s="10" t="s">
        <v>44</v>
      </c>
      <c r="Q1605" s="10" t="s">
        <v>44</v>
      </c>
      <c r="R1605" s="11" t="s">
        <v>44</v>
      </c>
      <c r="S1605" s="11" t="s">
        <v>44</v>
      </c>
      <c r="T1605" s="22"/>
      <c r="U1605" s="22"/>
      <c r="V1605" s="22"/>
      <c r="W1605" s="22"/>
      <c r="X1605" s="22"/>
      <c r="Y1605" s="22"/>
      <c r="Z1605" s="22"/>
      <c r="AA1605" s="22"/>
      <c r="AB1605" s="22"/>
      <c r="AC1605" s="22"/>
      <c r="AD1605" s="22"/>
      <c r="AE1605" s="22"/>
      <c r="AG1605" s="71">
        <v>2</v>
      </c>
      <c r="AH1605" s="71">
        <v>2</v>
      </c>
      <c r="AI1605" s="71">
        <v>3</v>
      </c>
      <c r="AJ1605" s="71">
        <v>5</v>
      </c>
      <c r="AK1605" s="71">
        <v>0</v>
      </c>
      <c r="AL1605" s="71"/>
      <c r="AM1605" s="71"/>
      <c r="AN1605" s="71"/>
      <c r="AO1605" s="71"/>
      <c r="AP1605" s="71"/>
      <c r="AQ1605" s="71"/>
      <c r="AR1605" s="71"/>
      <c r="AS1605" s="94">
        <f t="shared" ca="1" si="1860"/>
        <v>0</v>
      </c>
      <c r="AT1605" s="95">
        <f t="shared" si="1861"/>
        <v>12</v>
      </c>
      <c r="AU1605" s="97">
        <f t="shared" si="1862"/>
        <v>12</v>
      </c>
      <c r="AW1605" s="83">
        <f t="shared" si="1863"/>
        <v>2</v>
      </c>
      <c r="AX1605" s="83">
        <f t="shared" si="1864"/>
        <v>2</v>
      </c>
      <c r="AY1605" s="83">
        <f t="shared" si="1865"/>
        <v>3</v>
      </c>
      <c r="AZ1605" s="83">
        <f t="shared" si="1866"/>
        <v>5</v>
      </c>
      <c r="BA1605" s="83">
        <f t="shared" si="1866"/>
        <v>0</v>
      </c>
      <c r="BB1605" s="52"/>
      <c r="BC1605" s="52"/>
      <c r="BD1605" s="52"/>
      <c r="BE1605" s="52"/>
      <c r="BF1605" s="52"/>
      <c r="BG1605" s="52"/>
      <c r="BH1605" s="52"/>
      <c r="BI1605" s="68" cm="1">
        <f t="array" ref="BI1605">IFERROR(INDEX(AW1605:BH1605,1,MATCH(2,1/(AW1605:BH1605&lt;&gt;""))),"")</f>
        <v>0</v>
      </c>
      <c r="BJ1605" s="68" cm="1">
        <f t="array" ref="BJ1605">IF(BM1605 = "", "",IFERROR(INDEX(AW1605:BH1605,1,MATCH(2,1/(AW1605:BH1605&lt;&gt;""),1)-1),""))</f>
        <v>5</v>
      </c>
      <c r="BK1605" s="59">
        <f t="shared" si="1867"/>
        <v>12</v>
      </c>
      <c r="BL1605" s="59" cm="1">
        <f t="array" ref="BL1605">IFERROR(SUM(AW1605:INDEX(AW1605:BH1605, MATCH(2, 1/(AW1605:BH1605&lt;&gt;""), 1) - 1))/_xlfn.XLOOKUP(F1605,Apuração!A:A,Apuração!B:B),0)</f>
        <v>1</v>
      </c>
      <c r="BM1605" s="55" cm="1">
        <f t="array" ref="BM1605">IFERROR(
   INDEX($AW$1:$BH$1,
      _xlfn.AGGREGATE(14, 6, COLUMN($AW$1:$BH$1)/(AW1605:BH1605&lt;&gt;""), 2) - COLUMN($AW$1) + 1
   ),
"")</f>
        <v>46113</v>
      </c>
      <c r="BN1605" s="55" cm="1">
        <f t="array" ref="BN1605">IFERROR(INDEX($AW$1:$BH$1,1,MATCH(2,1/(AW1605:BH1605&lt;&gt;""))),"")</f>
        <v>46143</v>
      </c>
      <c r="BO1605" s="53">
        <f ca="1">IFERROR(_xlfn.XLOOKUP(F1605,Apuração!A:A,Apuração!C:C)/_xlfn.XLOOKUP(F1605,Apuração!A:A,Apuração!B:B),0)</f>
        <v>0.41666666666666669</v>
      </c>
      <c r="BP1605" s="53">
        <f ca="1">IFERROR(_xlfn.XLOOKUP(F1605,Apuração!A:A,Apuração!D:D)/_xlfn.XLOOKUP(F1605,Apuração!A:A,Apuração!B:B),0)</f>
        <v>0.33333333333333331</v>
      </c>
      <c r="BQ1605" s="53">
        <f ca="1">IF(BK1605&gt;=BO1605,0,_xlfn.XLOOKUP(F1605,Apuração!A:A,Apuração!B:B)*(BO1605 + (1/_xlfn.XLOOKUP(F1605,Apuração!A:A,Apuração!B:B)) - BK1605))</f>
        <v>0</v>
      </c>
      <c r="BR1605" s="85">
        <f t="shared" ca="1" si="1868"/>
        <v>0</v>
      </c>
      <c r="BS1605" s="53">
        <f ca="1">IFERROR((_xlfn.XLOOKUP(F1605,Apuração!A:A,Apuração!C:C)+1)/_xlfn.XLOOKUP(F1605,Apuração!A:A,Apuração!B:B),0)</f>
        <v>0.5</v>
      </c>
    </row>
    <row r="1606" spans="1:71" ht="25.95" hidden="1" customHeight="1" x14ac:dyDescent="0.3">
      <c r="A1606" s="40" t="s">
        <v>87</v>
      </c>
      <c r="B1606" s="4" t="s">
        <v>222</v>
      </c>
      <c r="C1606" s="5" t="s">
        <v>97</v>
      </c>
      <c r="D1606" s="5" t="s">
        <v>106</v>
      </c>
      <c r="E1606" s="4" t="str" cm="1">
        <f t="array" ref="E1606">_xlfn.IFS(
F1606 = "A partir de Abril", "Aguardando Execução na Distribuidora",
A1606 = "CAPACITAÇÃO", "Em execução no Corporativo",
TRUE, "Em Execução na Distribuidora"
)</f>
        <v>Em Execução na Distribuidora</v>
      </c>
      <c r="F1606" s="4" t="str" cm="1">
        <f t="array" ref="F1606">_xlfn.IFS(
AG1606 &lt;&gt; "", "Jan-Dez/26",
AH1606 &lt;&gt; "", "Fev-Dez/26",
AI1606 &lt;&gt; "", "Mar-Dez/26", AJ1606 &lt;&gt; "", "Abr-Dez/26",
TRUE, "A partir de Junho"
)</f>
        <v>Jan-Dez/26</v>
      </c>
      <c r="G1606" s="7" t="s">
        <v>37</v>
      </c>
      <c r="H1606" s="7" t="s">
        <v>38</v>
      </c>
      <c r="I1606" s="8" t="s">
        <v>148</v>
      </c>
      <c r="J1606" s="21" t="str" cm="1">
        <f t="array" aca="1" ref="J1606" ca="1">_xlfn.LET(
  _xlpm.actual_value_month, INDEX(T1606:AE1606, MATCH(DATE(YEAR(TODAY()), MONTH(TODAY()), 1), $T$1:$AE$1, 0)),
  IF(_xlpm.actual_value_month &lt;&gt; "",_xlpm.actual_value_month &amp; " ações mensais", "")
)</f>
        <v/>
      </c>
      <c r="K1606" s="8" t="str" cm="1">
        <f t="array" ref="K1606">_xlfn.LET(
    _xlpm.sum_month, SUM(T1606:AE1606),
    IF(_xlpm.sum_month = 0, "", _xlpm.sum_month &amp; " NC's no ano")
)</f>
        <v/>
      </c>
      <c r="L1606" s="9" t="s">
        <v>149</v>
      </c>
      <c r="M1606" s="4"/>
      <c r="N1606" s="5" t="s">
        <v>51</v>
      </c>
      <c r="O1606" s="5" t="s">
        <v>52</v>
      </c>
      <c r="P1606" s="10" t="s">
        <v>44</v>
      </c>
      <c r="Q1606" s="10" t="s">
        <v>44</v>
      </c>
      <c r="R1606" s="11" t="s">
        <v>44</v>
      </c>
      <c r="S1606" s="11" t="s">
        <v>44</v>
      </c>
      <c r="T1606" s="22"/>
      <c r="U1606" s="22"/>
      <c r="V1606" s="22"/>
      <c r="W1606" s="22"/>
      <c r="X1606" s="22"/>
      <c r="Y1606" s="22"/>
      <c r="Z1606" s="22"/>
      <c r="AA1606" s="22"/>
      <c r="AB1606" s="22"/>
      <c r="AC1606" s="22"/>
      <c r="AD1606" s="22"/>
      <c r="AE1606" s="22"/>
      <c r="AG1606" s="71">
        <v>1</v>
      </c>
      <c r="AH1606" s="71">
        <v>7</v>
      </c>
      <c r="AI1606" s="71">
        <v>1</v>
      </c>
      <c r="AJ1606" s="71">
        <v>6</v>
      </c>
      <c r="AK1606" s="71">
        <v>14</v>
      </c>
      <c r="AL1606" s="71"/>
      <c r="AM1606" s="71"/>
      <c r="AN1606" s="71"/>
      <c r="AO1606" s="71"/>
      <c r="AP1606" s="71"/>
      <c r="AQ1606" s="71"/>
      <c r="AR1606" s="71"/>
      <c r="AS1606" s="94">
        <f t="shared" ca="1" si="1860"/>
        <v>0</v>
      </c>
      <c r="AT1606" s="95">
        <f t="shared" si="1861"/>
        <v>29</v>
      </c>
      <c r="AU1606" s="97">
        <f t="shared" si="1862"/>
        <v>29</v>
      </c>
      <c r="AW1606" s="83">
        <f t="shared" si="1863"/>
        <v>1</v>
      </c>
      <c r="AX1606" s="83">
        <f t="shared" si="1864"/>
        <v>7</v>
      </c>
      <c r="AY1606" s="83">
        <f t="shared" si="1865"/>
        <v>1</v>
      </c>
      <c r="AZ1606" s="83">
        <f t="shared" si="1866"/>
        <v>6</v>
      </c>
      <c r="BA1606" s="83">
        <f t="shared" si="1866"/>
        <v>14</v>
      </c>
      <c r="BB1606" s="52"/>
      <c r="BC1606" s="52"/>
      <c r="BD1606" s="52"/>
      <c r="BE1606" s="52"/>
      <c r="BF1606" s="52"/>
      <c r="BG1606" s="52"/>
      <c r="BH1606" s="52"/>
      <c r="BI1606" s="68" cm="1">
        <f t="array" ref="BI1606">IFERROR(INDEX(AW1606:BH1606,1,MATCH(2,1/(AW1606:BH1606&lt;&gt;""))),"")</f>
        <v>14</v>
      </c>
      <c r="BJ1606" s="68" cm="1">
        <f t="array" ref="BJ1606">IF(BM1606 = "", "",IFERROR(INDEX(AW1606:BH1606,1,MATCH(2,1/(AW1606:BH1606&lt;&gt;""),1)-1),""))</f>
        <v>6</v>
      </c>
      <c r="BK1606" s="59">
        <f t="shared" si="1867"/>
        <v>29</v>
      </c>
      <c r="BL1606" s="59" cm="1">
        <f t="array" ref="BL1606">IFERROR(SUM(AW1606:INDEX(AW1606:BH1606, MATCH(2, 1/(AW1606:BH1606&lt;&gt;""), 1) - 1))/_xlfn.XLOOKUP(F1606,Apuração!A:A,Apuração!B:B),0)</f>
        <v>1.25</v>
      </c>
      <c r="BM1606" s="55" cm="1">
        <f t="array" ref="BM1606">IFERROR(
   INDEX($AW$1:$BH$1,
      _xlfn.AGGREGATE(14, 6, COLUMN($AW$1:$BH$1)/(AW1606:BH1606&lt;&gt;""), 2) - COLUMN($AW$1) + 1
   ),
"")</f>
        <v>46113</v>
      </c>
      <c r="BN1606" s="55" cm="1">
        <f t="array" ref="BN1606">IFERROR(INDEX($AW$1:$BH$1,1,MATCH(2,1/(AW1606:BH1606&lt;&gt;""))),"")</f>
        <v>46143</v>
      </c>
      <c r="BO1606" s="53">
        <f ca="1">IFERROR(_xlfn.XLOOKUP(F1606,Apuração!A:A,Apuração!C:C)/_xlfn.XLOOKUP(F1606,Apuração!A:A,Apuração!B:B),0)</f>
        <v>0.41666666666666669</v>
      </c>
      <c r="BP1606" s="53">
        <f ca="1">IFERROR(_xlfn.XLOOKUP(F1606,Apuração!A:A,Apuração!D:D)/_xlfn.XLOOKUP(F1606,Apuração!A:A,Apuração!B:B),0)</f>
        <v>0.33333333333333331</v>
      </c>
      <c r="BQ1606" s="53">
        <f ca="1">IF(BK1606&gt;=BO1606,0,_xlfn.XLOOKUP(F1606,Apuração!A:A,Apuração!B:B)*(BO1606 + (1/_xlfn.XLOOKUP(F1606,Apuração!A:A,Apuração!B:B)) - BK1606))</f>
        <v>0</v>
      </c>
      <c r="BR1606" s="85">
        <f t="shared" ca="1" si="1868"/>
        <v>0</v>
      </c>
      <c r="BS1606" s="53">
        <f ca="1">IFERROR((_xlfn.XLOOKUP(F1606,Apuração!A:A,Apuração!C:C)+1)/_xlfn.XLOOKUP(F1606,Apuração!A:A,Apuração!B:B),0)</f>
        <v>0.5</v>
      </c>
    </row>
    <row r="1607" spans="1:71" ht="25.95" hidden="1" customHeight="1" x14ac:dyDescent="0.3">
      <c r="A1607" s="40" t="s">
        <v>87</v>
      </c>
      <c r="B1607" s="4" t="s">
        <v>222</v>
      </c>
      <c r="C1607" s="5" t="s">
        <v>97</v>
      </c>
      <c r="D1607" s="5" t="s">
        <v>107</v>
      </c>
      <c r="E1607" s="4" t="str" cm="1">
        <f t="array" ref="E1607">_xlfn.IFS(
F1607 = "A partir de Abril", "Aguardando Execução na Distribuidora",
A1607 = "CAPACITAÇÃO", "Em execução no Corporativo",
TRUE, "Em Execução na Distribuidora"
)</f>
        <v>Em Execução na Distribuidora</v>
      </c>
      <c r="F1607" s="4" t="str" cm="1">
        <f t="array" ref="F1607">_xlfn.IFS(
AG1607 &lt;&gt; "", "Jan-Dez/26",
AH1607 &lt;&gt; "", "Fev-Dez/26",
AI1607 &lt;&gt; "", "Mar-Dez/26", AJ1607 &lt;&gt; "", "Abr-Dez/26",
TRUE, "A partir de Junho"
)</f>
        <v>Jan-Dez/26</v>
      </c>
      <c r="G1607" s="7" t="s">
        <v>37</v>
      </c>
      <c r="H1607" s="7" t="s">
        <v>38</v>
      </c>
      <c r="I1607" s="8" t="s">
        <v>148</v>
      </c>
      <c r="J1607" s="21" t="str" cm="1">
        <f t="array" aca="1" ref="J1607" ca="1">_xlfn.LET(
  _xlpm.actual_value_month, INDEX(T1607:AE1607, MATCH(DATE(YEAR(TODAY()), MONTH(TODAY()), 1), $T$1:$AE$1, 0)),
  IF(_xlpm.actual_value_month &lt;&gt; "",_xlpm.actual_value_month &amp; " ações mensais", "")
)</f>
        <v/>
      </c>
      <c r="K1607" s="8" t="str" cm="1">
        <f t="array" ref="K1607">_xlfn.LET(
    _xlpm.sum_month, SUM(T1607:AE1607),
    IF(_xlpm.sum_month = 0, "", _xlpm.sum_month &amp; " NC's no ano")
)</f>
        <v/>
      </c>
      <c r="L1607" s="9" t="s">
        <v>149</v>
      </c>
      <c r="M1607" s="4"/>
      <c r="N1607" s="5" t="s">
        <v>51</v>
      </c>
      <c r="O1607" s="5" t="s">
        <v>52</v>
      </c>
      <c r="P1607" s="10" t="s">
        <v>44</v>
      </c>
      <c r="Q1607" s="10" t="s">
        <v>44</v>
      </c>
      <c r="R1607" s="11" t="s">
        <v>44</v>
      </c>
      <c r="S1607" s="11" t="s">
        <v>44</v>
      </c>
      <c r="T1607" s="22"/>
      <c r="U1607" s="22"/>
      <c r="V1607" s="22"/>
      <c r="W1607" s="22"/>
      <c r="X1607" s="22"/>
      <c r="Y1607" s="22"/>
      <c r="Z1607" s="22"/>
      <c r="AA1607" s="22"/>
      <c r="AB1607" s="22"/>
      <c r="AC1607" s="22"/>
      <c r="AD1607" s="22"/>
      <c r="AE1607" s="22"/>
      <c r="AG1607" s="71">
        <v>0</v>
      </c>
      <c r="AH1607" s="71">
        <v>3</v>
      </c>
      <c r="AI1607" s="71">
        <v>0</v>
      </c>
      <c r="AJ1607" s="71">
        <v>0</v>
      </c>
      <c r="AK1607" s="71">
        <v>0</v>
      </c>
      <c r="AL1607" s="71"/>
      <c r="AM1607" s="71"/>
      <c r="AN1607" s="71"/>
      <c r="AO1607" s="71"/>
      <c r="AP1607" s="71"/>
      <c r="AQ1607" s="71"/>
      <c r="AR1607" s="71"/>
      <c r="AS1607" s="94">
        <f t="shared" ca="1" si="1860"/>
        <v>0</v>
      </c>
      <c r="AT1607" s="95">
        <f t="shared" si="1861"/>
        <v>3</v>
      </c>
      <c r="AU1607" s="97">
        <f t="shared" si="1862"/>
        <v>3</v>
      </c>
      <c r="AW1607" s="83">
        <f t="shared" si="1863"/>
        <v>0</v>
      </c>
      <c r="AX1607" s="83">
        <f t="shared" si="1864"/>
        <v>3</v>
      </c>
      <c r="AY1607" s="83">
        <f t="shared" si="1865"/>
        <v>0</v>
      </c>
      <c r="AZ1607" s="83">
        <f t="shared" si="1866"/>
        <v>0</v>
      </c>
      <c r="BA1607" s="83">
        <f t="shared" si="1866"/>
        <v>0</v>
      </c>
      <c r="BB1607" s="52"/>
      <c r="BC1607" s="52"/>
      <c r="BD1607" s="52"/>
      <c r="BE1607" s="52"/>
      <c r="BF1607" s="52"/>
      <c r="BG1607" s="52"/>
      <c r="BH1607" s="52"/>
      <c r="BI1607" s="68" cm="1">
        <f t="array" ref="BI1607">IFERROR(INDEX(AW1607:BH1607,1,MATCH(2,1/(AW1607:BH1607&lt;&gt;""))),"")</f>
        <v>0</v>
      </c>
      <c r="BJ1607" s="68" cm="1">
        <f t="array" ref="BJ1607">IF(BM1607 = "", "",IFERROR(INDEX(AW1607:BH1607,1,MATCH(2,1/(AW1607:BH1607&lt;&gt;""),1)-1),""))</f>
        <v>0</v>
      </c>
      <c r="BK1607" s="59">
        <f t="shared" si="1867"/>
        <v>3</v>
      </c>
      <c r="BL1607" s="59" cm="1">
        <f t="array" ref="BL1607">IFERROR(SUM(AW1607:INDEX(AW1607:BH1607, MATCH(2, 1/(AW1607:BH1607&lt;&gt;""), 1) - 1))/_xlfn.XLOOKUP(F1607,Apuração!A:A,Apuração!B:B),0)</f>
        <v>0.25</v>
      </c>
      <c r="BM1607" s="55" cm="1">
        <f t="array" ref="BM1607">IFERROR(
   INDEX($AW$1:$BH$1,
      _xlfn.AGGREGATE(14, 6, COLUMN($AW$1:$BH$1)/(AW1607:BH1607&lt;&gt;""), 2) - COLUMN($AW$1) + 1
   ),
"")</f>
        <v>46113</v>
      </c>
      <c r="BN1607" s="55" cm="1">
        <f t="array" ref="BN1607">IFERROR(INDEX($AW$1:$BH$1,1,MATCH(2,1/(AW1607:BH1607&lt;&gt;""))),"")</f>
        <v>46143</v>
      </c>
      <c r="BO1607" s="53">
        <f ca="1">IFERROR(_xlfn.XLOOKUP(F1607,Apuração!A:A,Apuração!C:C)/_xlfn.XLOOKUP(F1607,Apuração!A:A,Apuração!B:B),0)</f>
        <v>0.41666666666666669</v>
      </c>
      <c r="BP1607" s="53">
        <f ca="1">IFERROR(_xlfn.XLOOKUP(F1607,Apuração!A:A,Apuração!D:D)/_xlfn.XLOOKUP(F1607,Apuração!A:A,Apuração!B:B),0)</f>
        <v>0.33333333333333331</v>
      </c>
      <c r="BQ1607" s="53">
        <f ca="1">IF(BK1607&gt;=BO1607,0,_xlfn.XLOOKUP(F1607,Apuração!A:A,Apuração!B:B)*(BO1607 + (1/_xlfn.XLOOKUP(F1607,Apuração!A:A,Apuração!B:B)) - BK1607))</f>
        <v>0</v>
      </c>
      <c r="BR1607" s="85">
        <f t="shared" ca="1" si="1868"/>
        <v>0</v>
      </c>
      <c r="BS1607" s="53">
        <f ca="1">IFERROR((_xlfn.XLOOKUP(F1607,Apuração!A:A,Apuração!C:C)+1)/_xlfn.XLOOKUP(F1607,Apuração!A:A,Apuração!B:B),0)</f>
        <v>0.5</v>
      </c>
    </row>
    <row r="1608" spans="1:71" ht="25.95" hidden="1" customHeight="1" x14ac:dyDescent="0.3">
      <c r="A1608" s="20" t="s">
        <v>87</v>
      </c>
      <c r="B1608" s="4" t="s">
        <v>229</v>
      </c>
      <c r="C1608" s="5" t="s">
        <v>97</v>
      </c>
      <c r="D1608" s="5" t="s">
        <v>36</v>
      </c>
      <c r="E1608" s="4" t="str" cm="1">
        <f t="array" ref="E1608">_xlfn.IFS(
F1608 = "A partir de Abril", "Aguardando Execução na Distribuidora",
A1608 = "CAPACITAÇÃO", "Em execução no Corporativo",
TRUE, "Em Execução na Distribuidora"
)</f>
        <v>Em Execução na Distribuidora</v>
      </c>
      <c r="F1608" s="4" t="str" cm="1">
        <f t="array" ref="F1608">_xlfn.IFS(
AG1608 &lt;&gt; "", "Jan-Dez/26",
AH1608 &lt;&gt; "", "Fev-Dez/26",
AI1608 &lt;&gt; "", "Mar-Dez/26", AJ1608 &lt;&gt; "", "Abr-Dez/26",
TRUE, "A partir de Junho"
)</f>
        <v>Jan-Dez/26</v>
      </c>
      <c r="G1608" s="7" t="s">
        <v>37</v>
      </c>
      <c r="H1608" s="7" t="s">
        <v>38</v>
      </c>
      <c r="I1608" s="8" t="s">
        <v>223</v>
      </c>
      <c r="J1608" s="21" t="str" cm="1">
        <f t="array" aca="1" ref="J1608" ca="1">_xlfn.LET(
  _xlpm.actual_value_month, INDEX(T1608:AE1608, MATCH(DATE(YEAR(TODAY()), MONTH(TODAY()), 1), $T$1:$AE$1, 0)),
  IF(_xlpm.actual_value_month &lt;&gt; "",_xlpm.actual_value_month &amp; " inspeções mensais", "")
)</f>
        <v>54 inspeções mensais</v>
      </c>
      <c r="K1608" s="8" t="str" cm="1">
        <f t="array" ref="K1608">_xlfn.LET(
    _xlpm.sum_month, SUM(T1608:AE1608),
    IF(_xlpm.sum_month = 0, "", _xlpm.sum_month &amp; " inspeções realizadas no ano")
)</f>
        <v>500 inspeções realizadas no ano</v>
      </c>
      <c r="L1608" s="4" t="s">
        <v>230</v>
      </c>
      <c r="M1608" s="19" t="s">
        <v>231</v>
      </c>
      <c r="N1608" s="5" t="s">
        <v>42</v>
      </c>
      <c r="O1608" s="5" t="s">
        <v>43</v>
      </c>
      <c r="P1608" s="10" t="s">
        <v>44</v>
      </c>
      <c r="Q1608" s="10" t="s">
        <v>72</v>
      </c>
      <c r="R1608" s="11" t="s">
        <v>225</v>
      </c>
      <c r="S1608" s="11" t="s">
        <v>44</v>
      </c>
      <c r="T1608" s="22">
        <v>4</v>
      </c>
      <c r="U1608" s="22">
        <v>3</v>
      </c>
      <c r="V1608" s="22">
        <v>7</v>
      </c>
      <c r="W1608" s="22">
        <v>54</v>
      </c>
      <c r="X1608" s="22">
        <v>54</v>
      </c>
      <c r="Y1608" s="22">
        <v>54</v>
      </c>
      <c r="Z1608" s="22">
        <v>54</v>
      </c>
      <c r="AA1608" s="22">
        <v>54</v>
      </c>
      <c r="AB1608" s="22">
        <v>54</v>
      </c>
      <c r="AC1608" s="22">
        <v>54</v>
      </c>
      <c r="AD1608" s="22">
        <v>54</v>
      </c>
      <c r="AE1608" s="22">
        <v>54</v>
      </c>
      <c r="AG1608" s="71">
        <v>4</v>
      </c>
      <c r="AH1608" s="71">
        <v>3</v>
      </c>
      <c r="AI1608" s="71">
        <v>7</v>
      </c>
      <c r="AJ1608" s="71">
        <v>5</v>
      </c>
      <c r="AK1608" s="71">
        <v>5</v>
      </c>
      <c r="AL1608" s="71"/>
      <c r="AM1608" s="71"/>
      <c r="AN1608" s="71"/>
      <c r="AO1608" s="71"/>
      <c r="AP1608" s="71"/>
      <c r="AQ1608" s="71"/>
      <c r="AR1608" s="71"/>
      <c r="AS1608" s="94">
        <f ca="1">IF(MONTH(TODAY())=3,SUM(T1608:U1608),IF(MONTH(TODAY())=4,SUM(T1608:V1608),IF(MONTH(TODAY())=5,SUM(T1608:W1608),IF(MONTH(TODAY())=6,SUM(T1608:X1608),IF(MONTH(TODAY())=7,SUM(T1608:Y1608),IF(MONTH(TODAY())=8,SUM(T1608:Z1608),IF(MONTH(TODAY())=9,SUM(T1608:AA1608),IF(MONTH(TODAY())=10,SUM(T1608:AB1608),IF(MONTH(TODAY())=11,SUM(T1608:AC1608),IF(MONTH(TODAY())=12,SUM(T1608:AD1608),IF(MONTH(TODAY())=1,SUM(T1608:AE1608),T1608)))))))))))</f>
        <v>122</v>
      </c>
      <c r="AT1608" s="95">
        <f>SUM(IF(AW1608&lt;1.15,AG1608,1.15*T1608),IF(AX1608&lt;1.15,AH1608,1.15*U1608),IF(AY1608&lt;1.15,AI1608,1.15*V1608),IF(AZ1608&lt;1.15,AJ1608,1.15*W1608),IF(BA1608&lt;1.15,AK1608,1.15*X1608),IF(BB1608&lt;1.15,AL1608,1.15*Y1608),IF(BC1608&lt;1.15,AM1608,1.15*Z1608),IF(BD1608&lt;1.15,AN1608,1.15*AA1608),IF(BE1608&lt;1.15,AO1608,1.15*AB1608),IF(BF1608&lt;1.15,AP1608,1.15*AC1608),IF(BG1608&lt;1.15,AQ1608,1.15*AD1608),IF(BH1608&lt;1.15,AR1608,1.15*AE1608))</f>
        <v>24</v>
      </c>
      <c r="AU1608" s="97">
        <f>SUM(AG1608:AR1608)</f>
        <v>24</v>
      </c>
      <c r="AW1608" s="51">
        <f>IFERROR(IF(AG1608="",0,AG1608/T1608),0)</f>
        <v>1</v>
      </c>
      <c r="AX1608" s="51">
        <f>IFERROR(IF(AH1608="",0,AH1608/U1608),0)</f>
        <v>1</v>
      </c>
      <c r="AY1608" s="51">
        <f>IFERROR(IF(AI1608="",0,AI1608/V1608),0)</f>
        <v>1</v>
      </c>
      <c r="AZ1608" s="51">
        <f>IFERROR(IF(AJ1608="",0,AJ1608/W1608),0)</f>
        <v>9.2592592592592587E-2</v>
      </c>
      <c r="BA1608" s="51">
        <f t="shared" ref="BA1608:BA1618" si="1869">IFERROR(IF(AK1608="",0,AK1608/X1608),0)</f>
        <v>9.2592592592592587E-2</v>
      </c>
      <c r="BB1608" s="51"/>
      <c r="BC1608" s="51"/>
      <c r="BD1608" s="51"/>
      <c r="BE1608" s="51"/>
      <c r="BF1608" s="51"/>
      <c r="BG1608" s="51"/>
      <c r="BH1608" s="51"/>
      <c r="BI1608" s="65" cm="1">
        <f t="array" ref="BI1608">IFERROR(INDEX(AW1608:BH1608,1,MATCH(2,1/(AW1608:BH1608&lt;&gt;""))),"")</f>
        <v>9.2592592592592587E-2</v>
      </c>
      <c r="BJ1608" s="68" cm="1">
        <f t="array" ref="BJ1608">IF(BM1608 = "", "",IFERROR(INDEX(AW1608:BH1608,1,MATCH(2,1/(AW1608:BH1608&lt;&gt;""),1)-1),""))</f>
        <v>9.2592592592592587E-2</v>
      </c>
      <c r="BK1608" s="58">
        <f>IF((IF(AW1608&gt;=115%,115%,AW1608) + IF(AX1608&gt;=115%,115%,AX1608) + IF(AY1608&gt;=115%,115%,AY1608) + (IF(AZ1608&gt;=115%,115%,AZ1608) + IF(BA1608&gt;=115%,115%,BA1608) + IF(BB1608&gt;=115%,115%,BB1608) + IF(BC1608&gt;=115%,115%,BC1608) + IF(BD1608&gt;=115%,115%,BD1608) + IF(BE1608&gt;=115%,115%,BE1608) + IF(BF1608&gt;=115%,115%,BF1608) + IF(BG1608&gt;=115%,115%,BG1608) + IF(BH1608&gt;=115%,115%,BH1608)))/_xlfn.XLOOKUP(F1608,Apuração!A:A,Apuração!B:B)&gt;=1.15,1.15,((IF(AZ1608&gt;=115%,115%,AZ1608) + IF(AX1608&gt;=115%,115%,AX1608) + IF(AY1608&gt;=115%,115%,AY1608) + (IF(AW1608&gt;=115%,115%,AW1608) + IF(BA1608&gt;=115%,115%,BA1608) + IF(BB1608&gt;=115%,115%,BB1608) + IF(BC1608&gt;=115%,115%,BC1608) + IF(BD1608&gt;=115%,115%,BD1608) + IF(BE1608&gt;=115%,115%,BE1608) + IF(BF1608&gt;=115%,115%,BF1608) + IF(BG1608&gt;=115%,115%,BG1608) + IF(BH1608&gt;=115%,115%,BH1608)))/_xlfn.XLOOKUP(F1608,Apuração!A:A,Apuração!B:B)))</f>
        <v>0.26543209876543211</v>
      </c>
      <c r="BL1608" s="58" cm="1">
        <f t="array" aca="1" ref="BL1608" ca="1">IF(SUM(IFERROR(IF(INDEX(AW1608:INDEX(AW1608:BH1608, MATCH(2, 1/(AW1608:BH1608&lt;&gt;""), 1)-1), ROW(INDIRECT("1:" &amp; MATCH(2, 1/(AW1608:BH1608&lt;&gt;""), 1)-1))) &gt;= 115%, 115%, INDEX(AW1608:INDEX(AW1608:BH1608, MATCH(2, 1/(AW1608:BH1608&lt;&gt;""), 1)-1), ROW(INDIRECT("1:" &amp; MATCH(2, 1/(AW1608:BH1608&lt;&gt;""), 1)-1)))), 0))/_xlfn.XLOOKUP(F1608,Apuração!A:A,Apuração!B:B)&gt;=1.15,1.15,SUM(IFERROR(IF(INDEX(AW1608:INDEX(AW1608:BH1608, MATCH(2, 1/(AW1608:BH1608&lt;&gt;""), 1)-1), ROW(INDIRECT("1:" &amp; MATCH(2, 1/(AW1608:BH1608&lt;&gt;""), 1)-1))) &gt;= 115%, 115%, INDEX(AW1608:INDEX(AW1608:BH1608, MATCH(2, 1/(AW1608:BH1608&lt;&gt;""), 1)-1), ROW(INDIRECT("1:" &amp; MATCH(2, 1/(AW1608:BH1608&lt;&gt;""), 1)-1)))), 0))/_xlfn.XLOOKUP(F1608,Apuração!A:A,Apuração!B:B))</f>
        <v>0.25771604938271603</v>
      </c>
      <c r="BM1608" s="55" cm="1">
        <f t="array" ref="BM1608">IFERROR(
   INDEX($AW$1:$BH$1,
      _xlfn.AGGREGATE(14, 6, COLUMN($AW$1:$BH$1)/(AW1608:BH1608&lt;&gt;""), 2) - COLUMN($AW$1) + 1
   ),
"")</f>
        <v>46113</v>
      </c>
      <c r="BN1608" s="55" cm="1">
        <f t="array" ref="BN1608">IFERROR(INDEX($AW$1:$BH$1,1,MATCH(2,1/(AW1608:BH1608&lt;&gt;""))),"")</f>
        <v>46143</v>
      </c>
      <c r="BO1608" s="53">
        <f ca="1">IFERROR(_xlfn.XLOOKUP(F1608,Apuração!A:A,Apuração!C:C)/_xlfn.XLOOKUP(F1608,Apuração!A:A,Apuração!B:B),0)</f>
        <v>0.41666666666666669</v>
      </c>
      <c r="BP1608" s="53">
        <f ca="1">IFERROR(_xlfn.XLOOKUP(F1608,Apuração!A:A,Apuração!D:D)/_xlfn.XLOOKUP(F1608,Apuração!A:A,Apuração!B:B),0)</f>
        <v>0.33333333333333331</v>
      </c>
      <c r="BQ1608" s="53">
        <f ca="1">IF(BK1608&gt;=BO1608,0,_xlfn.XLOOKUP(F1608,Apuração!A:A,Apuração!B:B)*(BO1608 + (1/_xlfn.XLOOKUP(F1608,Apuração!A:A,Apuração!B:B)) - BK1608))</f>
        <v>2.8148148148148149</v>
      </c>
      <c r="BR1608" s="85">
        <f ca="1">IF(BQ1608=0,0,BQ1608*Z1608)</f>
        <v>152</v>
      </c>
      <c r="BS1608" s="53">
        <f ca="1">IFERROR((_xlfn.XLOOKUP(F1608,Apuração!A:A,Apuração!C:C)+1)/_xlfn.XLOOKUP(F1608,Apuração!A:A,Apuração!B:B),0)</f>
        <v>0.5</v>
      </c>
    </row>
    <row r="1609" spans="1:71" ht="25.95" hidden="1" customHeight="1" x14ac:dyDescent="0.3">
      <c r="A1609" s="20" t="s">
        <v>87</v>
      </c>
      <c r="B1609" s="4" t="s">
        <v>229</v>
      </c>
      <c r="C1609" s="5" t="s">
        <v>97</v>
      </c>
      <c r="D1609" s="5" t="s">
        <v>98</v>
      </c>
      <c r="E1609" s="4" t="str" cm="1">
        <f t="array" ref="E1609">_xlfn.IFS(
F1609 = "A partir de Abril", "Aguardando Execução na Distribuidora",
A1609 = "CAPACITAÇÃO", "Em execução no Corporativo",
TRUE, "Em Execução na Distribuidora"
)</f>
        <v>Em Execução na Distribuidora</v>
      </c>
      <c r="F1609" s="4" t="str" cm="1">
        <f t="array" ref="F1609">_xlfn.IFS(
AG1609 &lt;&gt; "", "Jan-Dez/26",
AH1609 &lt;&gt; "", "Fev-Dez/26",
AI1609 &lt;&gt; "", "Mar-Dez/26", AJ1609 &lt;&gt; "", "Abr-Dez/26",
TRUE, "A partir de Junho"
)</f>
        <v>Jan-Dez/26</v>
      </c>
      <c r="G1609" s="7" t="s">
        <v>37</v>
      </c>
      <c r="H1609" s="7" t="s">
        <v>38</v>
      </c>
      <c r="I1609" s="8" t="s">
        <v>223</v>
      </c>
      <c r="J1609" s="21" t="str" cm="1">
        <f t="array" aca="1" ref="J1609" ca="1">_xlfn.LET(
  _xlpm.actual_value_month, INDEX(T1609:AE1609, MATCH(DATE(YEAR(TODAY()), MONTH(TODAY()), 1), $T$1:$AE$1, 0)),
  IF(_xlpm.actual_value_month &lt;&gt; "",_xlpm.actual_value_month &amp; " inspeções mensais", "")
)</f>
        <v>7 inspeções mensais</v>
      </c>
      <c r="K1609" s="8" t="str" cm="1">
        <f t="array" ref="K1609">_xlfn.LET(
    _xlpm.sum_month, SUM(T1609:AE1609),
    IF(_xlpm.sum_month = 0, "", _xlpm.sum_month &amp; " inspeções realizadas no ano")
)</f>
        <v>63 inspeções realizadas no ano</v>
      </c>
      <c r="L1609" s="4" t="s">
        <v>230</v>
      </c>
      <c r="M1609" s="19" t="s">
        <v>231</v>
      </c>
      <c r="N1609" s="5" t="s">
        <v>42</v>
      </c>
      <c r="O1609" s="5" t="s">
        <v>43</v>
      </c>
      <c r="P1609" s="10" t="s">
        <v>44</v>
      </c>
      <c r="Q1609" s="10" t="s">
        <v>72</v>
      </c>
      <c r="R1609" s="11" t="s">
        <v>225</v>
      </c>
      <c r="S1609" s="11" t="s">
        <v>44</v>
      </c>
      <c r="T1609" s="22">
        <v>0</v>
      </c>
      <c r="U1609" s="22">
        <v>0</v>
      </c>
      <c r="V1609" s="22">
        <v>0</v>
      </c>
      <c r="W1609" s="22">
        <v>7</v>
      </c>
      <c r="X1609" s="22">
        <v>7</v>
      </c>
      <c r="Y1609" s="22">
        <v>7</v>
      </c>
      <c r="Z1609" s="22">
        <v>7</v>
      </c>
      <c r="AA1609" s="22">
        <v>7</v>
      </c>
      <c r="AB1609" s="22">
        <v>7</v>
      </c>
      <c r="AC1609" s="22">
        <v>7</v>
      </c>
      <c r="AD1609" s="22">
        <v>7</v>
      </c>
      <c r="AE1609" s="22">
        <v>7</v>
      </c>
      <c r="AG1609" s="71">
        <v>0</v>
      </c>
      <c r="AH1609" s="71">
        <v>0</v>
      </c>
      <c r="AI1609" s="71">
        <v>0</v>
      </c>
      <c r="AJ1609" s="71">
        <v>0</v>
      </c>
      <c r="AK1609" s="71">
        <v>0</v>
      </c>
      <c r="AL1609" s="71"/>
      <c r="AM1609" s="71"/>
      <c r="AN1609" s="71"/>
      <c r="AO1609" s="71"/>
      <c r="AP1609" s="71"/>
      <c r="AQ1609" s="71"/>
      <c r="AR1609" s="71"/>
      <c r="AS1609" s="94">
        <f t="shared" ref="AS1609:AS1618" ca="1" si="1870">IF(MONTH(TODAY())=3,SUM(T1609:U1609),IF(MONTH(TODAY())=4,SUM(T1609:V1609),IF(MONTH(TODAY())=5,SUM(T1609:W1609),IF(MONTH(TODAY())=6,SUM(T1609:X1609),IF(MONTH(TODAY())=7,SUM(T1609:Y1609),IF(MONTH(TODAY())=8,SUM(T1609:Z1609),IF(MONTH(TODAY())=9,SUM(T1609:AA1609),IF(MONTH(TODAY())=10,SUM(T1609:AB1609),IF(MONTH(TODAY())=11,SUM(T1609:AC1609),IF(MONTH(TODAY())=12,SUM(T1609:AD1609),IF(MONTH(TODAY())=1,SUM(T1609:AE1609),T1609)))))))))))</f>
        <v>14</v>
      </c>
      <c r="AT1609" s="95">
        <f t="shared" ref="AT1609:AT1618" si="1871">SUM(IF(AW1609&lt;1.15,AG1609,1.15*T1609),IF(AX1609&lt;1.15,AH1609,1.15*U1609),IF(AY1609&lt;1.15,AI1609,1.15*V1609),IF(AZ1609&lt;1.15,AJ1609,1.15*W1609),IF(BA1609&lt;1.15,AK1609,1.15*X1609),IF(BB1609&lt;1.15,AL1609,1.15*Y1609),IF(BC1609&lt;1.15,AM1609,1.15*Z1609),IF(BD1609&lt;1.15,AN1609,1.15*AA1609),IF(BE1609&lt;1.15,AO1609,1.15*AB1609),IF(BF1609&lt;1.15,AP1609,1.15*AC1609),IF(BG1609&lt;1.15,AQ1609,1.15*AD1609),IF(BH1609&lt;1.15,AR1609,1.15*AE1609))</f>
        <v>0</v>
      </c>
      <c r="AU1609" s="97">
        <f t="shared" ref="AU1609:AU1618" si="1872">SUM(AG1609:AR1609)</f>
        <v>0</v>
      </c>
      <c r="AW1609" s="51">
        <f t="shared" ref="AW1609:AW1618" si="1873">IFERROR(IF(AG1609="",0,AG1609/T1609),0)</f>
        <v>0</v>
      </c>
      <c r="AX1609" s="51">
        <f t="shared" ref="AX1609:AX1618" si="1874">IFERROR(IF(AH1609="",0,AH1609/U1609),0)</f>
        <v>0</v>
      </c>
      <c r="AY1609" s="51">
        <f t="shared" ref="AY1609:AY1618" si="1875">IFERROR(IF(AI1609="",0,AI1609/V1609),0)</f>
        <v>0</v>
      </c>
      <c r="AZ1609" s="51">
        <f t="shared" ref="AZ1609:AZ1618" si="1876">IFERROR(IF(AJ1609="",0,AJ1609/W1609),0)</f>
        <v>0</v>
      </c>
      <c r="BA1609" s="51">
        <f t="shared" si="1869"/>
        <v>0</v>
      </c>
      <c r="BB1609" s="51"/>
      <c r="BC1609" s="51"/>
      <c r="BD1609" s="51"/>
      <c r="BE1609" s="51"/>
      <c r="BF1609" s="51"/>
      <c r="BG1609" s="51"/>
      <c r="BH1609" s="51"/>
      <c r="BI1609" s="65" cm="1">
        <f t="array" ref="BI1609">IFERROR(INDEX(AW1609:BH1609,1,MATCH(2,1/(AW1609:BH1609&lt;&gt;""))),"")</f>
        <v>0</v>
      </c>
      <c r="BJ1609" s="68" cm="1">
        <f t="array" ref="BJ1609">IF(BM1609 = "", "",IFERROR(INDEX(AW1609:BH1609,1,MATCH(2,1/(AW1609:BH1609&lt;&gt;""),1)-1),""))</f>
        <v>0</v>
      </c>
      <c r="BK1609" s="58">
        <f>IF((IF(AW1609&gt;=115%,115%,AW1609) + IF(AX1609&gt;=115%,115%,AX1609) + IF(AY1609&gt;=115%,115%,AY1609) + (IF(AZ1609&gt;=115%,115%,AZ1609) + IF(BA1609&gt;=115%,115%,BA1609) + IF(BB1609&gt;=115%,115%,BB1609) + IF(BC1609&gt;=115%,115%,BC1609) + IF(BD1609&gt;=115%,115%,BD1609) + IF(BE1609&gt;=115%,115%,BE1609) + IF(BF1609&gt;=115%,115%,BF1609) + IF(BG1609&gt;=115%,115%,BG1609) + IF(BH1609&gt;=115%,115%,BH1609)))/_xlfn.XLOOKUP(F1609,Apuração!A:A,Apuração!B:B)&gt;=1.15,1.15,((IF(AZ1609&gt;=115%,115%,AZ1609) + IF(AX1609&gt;=115%,115%,AX1609) + IF(AY1609&gt;=115%,115%,AY1609) + (IF(AW1609&gt;=115%,115%,AW1609) + IF(BA1609&gt;=115%,115%,BA1609) + IF(BB1609&gt;=115%,115%,BB1609) + IF(BC1609&gt;=115%,115%,BC1609) + IF(BD1609&gt;=115%,115%,BD1609) + IF(BE1609&gt;=115%,115%,BE1609) + IF(BF1609&gt;=115%,115%,BF1609) + IF(BG1609&gt;=115%,115%,BG1609) + IF(BH1609&gt;=115%,115%,BH1609)))/_xlfn.XLOOKUP(F1609,Apuração!A:A,Apuração!B:B)))</f>
        <v>0</v>
      </c>
      <c r="BL1609" s="58" cm="1">
        <f t="array" aca="1" ref="BL1609" ca="1">IF(SUM(IFERROR(IF(INDEX(AW1609:INDEX(AW1609:BH1609, MATCH(2, 1/(AW1609:BH1609&lt;&gt;""), 1)-1), ROW(INDIRECT("1:" &amp; MATCH(2, 1/(AW1609:BH1609&lt;&gt;""), 1)-1))) &gt;= 115%, 115%, INDEX(AW1609:INDEX(AW1609:BH1609, MATCH(2, 1/(AW1609:BH1609&lt;&gt;""), 1)-1), ROW(INDIRECT("1:" &amp; MATCH(2, 1/(AW1609:BH1609&lt;&gt;""), 1)-1)))), 0))/_xlfn.XLOOKUP(F1609,Apuração!A:A,Apuração!B:B)&gt;=1.15,1.15,SUM(IFERROR(IF(INDEX(AW1609:INDEX(AW1609:BH1609, MATCH(2, 1/(AW1609:BH1609&lt;&gt;""), 1)-1), ROW(INDIRECT("1:" &amp; MATCH(2, 1/(AW1609:BH1609&lt;&gt;""), 1)-1))) &gt;= 115%, 115%, INDEX(AW1609:INDEX(AW1609:BH1609, MATCH(2, 1/(AW1609:BH1609&lt;&gt;""), 1)-1), ROW(INDIRECT("1:" &amp; MATCH(2, 1/(AW1609:BH1609&lt;&gt;""), 1)-1)))), 0))/_xlfn.XLOOKUP(F1609,Apuração!A:A,Apuração!B:B))</f>
        <v>0</v>
      </c>
      <c r="BM1609" s="55" cm="1">
        <f t="array" ref="BM1609">IFERROR(
   INDEX($AW$1:$BH$1,
      _xlfn.AGGREGATE(14, 6, COLUMN($AW$1:$BH$1)/(AW1609:BH1609&lt;&gt;""), 2) - COLUMN($AW$1) + 1
   ),
"")</f>
        <v>46113</v>
      </c>
      <c r="BN1609" s="55" cm="1">
        <f t="array" ref="BN1609">IFERROR(INDEX($AW$1:$BH$1,1,MATCH(2,1/(AW1609:BH1609&lt;&gt;""))),"")</f>
        <v>46143</v>
      </c>
      <c r="BO1609" s="53">
        <f ca="1">IFERROR(_xlfn.XLOOKUP(F1609,Apuração!A:A,Apuração!C:C)/_xlfn.XLOOKUP(F1609,Apuração!A:A,Apuração!B:B),0)</f>
        <v>0.41666666666666669</v>
      </c>
      <c r="BP1609" s="53">
        <f ca="1">IFERROR(_xlfn.XLOOKUP(F1609,Apuração!A:A,Apuração!D:D)/_xlfn.XLOOKUP(F1609,Apuração!A:A,Apuração!B:B),0)</f>
        <v>0.33333333333333331</v>
      </c>
      <c r="BQ1609" s="53">
        <f ca="1">IF(BK1609&gt;=BO1609,0,_xlfn.XLOOKUP(F1609,Apuração!A:A,Apuração!B:B)*(BO1609 + (1/_xlfn.XLOOKUP(F1609,Apuração!A:A,Apuração!B:B)) - BK1609))</f>
        <v>6</v>
      </c>
      <c r="BR1609" s="85">
        <f t="shared" ref="BR1609:BR1618" ca="1" si="1877">IF(BQ1609=0,0,BQ1609*Z1609)</f>
        <v>42</v>
      </c>
      <c r="BS1609" s="53">
        <f ca="1">IFERROR((_xlfn.XLOOKUP(F1609,Apuração!A:A,Apuração!C:C)+1)/_xlfn.XLOOKUP(F1609,Apuração!A:A,Apuração!B:B),0)</f>
        <v>0.5</v>
      </c>
    </row>
    <row r="1610" spans="1:71" ht="25.95" hidden="1" customHeight="1" x14ac:dyDescent="0.3">
      <c r="A1610" s="20" t="s">
        <v>87</v>
      </c>
      <c r="B1610" s="4" t="s">
        <v>229</v>
      </c>
      <c r="C1610" s="5" t="s">
        <v>97</v>
      </c>
      <c r="D1610" s="5" t="s">
        <v>99</v>
      </c>
      <c r="E1610" s="4" t="str" cm="1">
        <f t="array" ref="E1610">_xlfn.IFS(
F1610 = "A partir de Abril", "Aguardando Execução na Distribuidora",
A1610 = "CAPACITAÇÃO", "Em execução no Corporativo",
TRUE, "Em Execução na Distribuidora"
)</f>
        <v>Em Execução na Distribuidora</v>
      </c>
      <c r="F1610" s="4" t="str" cm="1">
        <f t="array" ref="F1610">_xlfn.IFS(
AG1610 &lt;&gt; "", "Jan-Dez/26",
AH1610 &lt;&gt; "", "Fev-Dez/26",
AI1610 &lt;&gt; "", "Mar-Dez/26", AJ1610 &lt;&gt; "", "Abr-Dez/26",
TRUE, "A partir de Junho"
)</f>
        <v>Jan-Dez/26</v>
      </c>
      <c r="G1610" s="7" t="s">
        <v>37</v>
      </c>
      <c r="H1610" s="7" t="s">
        <v>38</v>
      </c>
      <c r="I1610" s="8" t="s">
        <v>223</v>
      </c>
      <c r="J1610" s="21" t="str" cm="1">
        <f t="array" aca="1" ref="J1610" ca="1">_xlfn.LET(
  _xlpm.actual_value_month, INDEX(T1610:AE1610, MATCH(DATE(YEAR(TODAY()), MONTH(TODAY()), 1), $T$1:$AE$1, 0)),
  IF(_xlpm.actual_value_month &lt;&gt; "",_xlpm.actual_value_month &amp; " inspeções mensais", "")
)</f>
        <v>4 inspeções mensais</v>
      </c>
      <c r="K1610" s="8" t="str" cm="1">
        <f t="array" ref="K1610">_xlfn.LET(
    _xlpm.sum_month, SUM(T1610:AE1610),
    IF(_xlpm.sum_month = 0, "", _xlpm.sum_month &amp; " inspeções realizadas no ano")
)</f>
        <v>36 inspeções realizadas no ano</v>
      </c>
      <c r="L1610" s="4" t="s">
        <v>230</v>
      </c>
      <c r="M1610" s="19" t="s">
        <v>231</v>
      </c>
      <c r="N1610" s="5" t="s">
        <v>42</v>
      </c>
      <c r="O1610" s="5" t="s">
        <v>43</v>
      </c>
      <c r="P1610" s="10" t="s">
        <v>44</v>
      </c>
      <c r="Q1610" s="10" t="s">
        <v>72</v>
      </c>
      <c r="R1610" s="11" t="s">
        <v>225</v>
      </c>
      <c r="S1610" s="11" t="s">
        <v>44</v>
      </c>
      <c r="T1610" s="22">
        <v>0</v>
      </c>
      <c r="U1610" s="22">
        <v>0</v>
      </c>
      <c r="V1610" s="22">
        <v>0</v>
      </c>
      <c r="W1610" s="22">
        <v>4</v>
      </c>
      <c r="X1610" s="22">
        <v>4</v>
      </c>
      <c r="Y1610" s="22">
        <v>4</v>
      </c>
      <c r="Z1610" s="22">
        <v>4</v>
      </c>
      <c r="AA1610" s="22">
        <v>4</v>
      </c>
      <c r="AB1610" s="22">
        <v>4</v>
      </c>
      <c r="AC1610" s="22">
        <v>4</v>
      </c>
      <c r="AD1610" s="22">
        <v>4</v>
      </c>
      <c r="AE1610" s="22">
        <v>4</v>
      </c>
      <c r="AG1610" s="71">
        <v>0</v>
      </c>
      <c r="AH1610" s="71">
        <v>0</v>
      </c>
      <c r="AI1610" s="71">
        <v>0</v>
      </c>
      <c r="AJ1610" s="71">
        <v>0</v>
      </c>
      <c r="AK1610" s="71">
        <v>0</v>
      </c>
      <c r="AL1610" s="71"/>
      <c r="AM1610" s="71"/>
      <c r="AN1610" s="71"/>
      <c r="AO1610" s="71"/>
      <c r="AP1610" s="71"/>
      <c r="AQ1610" s="71"/>
      <c r="AR1610" s="71"/>
      <c r="AS1610" s="94">
        <f t="shared" ca="1" si="1870"/>
        <v>8</v>
      </c>
      <c r="AT1610" s="95">
        <f t="shared" si="1871"/>
        <v>0</v>
      </c>
      <c r="AU1610" s="97">
        <f t="shared" si="1872"/>
        <v>0</v>
      </c>
      <c r="AW1610" s="51">
        <f t="shared" si="1873"/>
        <v>0</v>
      </c>
      <c r="AX1610" s="51">
        <f t="shared" si="1874"/>
        <v>0</v>
      </c>
      <c r="AY1610" s="51">
        <f t="shared" si="1875"/>
        <v>0</v>
      </c>
      <c r="AZ1610" s="51">
        <f t="shared" si="1876"/>
        <v>0</v>
      </c>
      <c r="BA1610" s="51">
        <f t="shared" si="1869"/>
        <v>0</v>
      </c>
      <c r="BB1610" s="51"/>
      <c r="BC1610" s="51"/>
      <c r="BD1610" s="51"/>
      <c r="BE1610" s="51"/>
      <c r="BF1610" s="51"/>
      <c r="BG1610" s="51"/>
      <c r="BH1610" s="51"/>
      <c r="BI1610" s="65" cm="1">
        <f t="array" ref="BI1610">IFERROR(INDEX(AW1610:BH1610,1,MATCH(2,1/(AW1610:BH1610&lt;&gt;""))),"")</f>
        <v>0</v>
      </c>
      <c r="BJ1610" s="68" cm="1">
        <f t="array" ref="BJ1610">IF(BM1610 = "", "",IFERROR(INDEX(AW1610:BH1610,1,MATCH(2,1/(AW1610:BH1610&lt;&gt;""),1)-1),""))</f>
        <v>0</v>
      </c>
      <c r="BK1610" s="58">
        <f>IF((IF(AW1610&gt;=115%,115%,AW1610) + IF(AX1610&gt;=115%,115%,AX1610) + IF(AY1610&gt;=115%,115%,AY1610) + (IF(AZ1610&gt;=115%,115%,AZ1610) + IF(BA1610&gt;=115%,115%,BA1610) + IF(BB1610&gt;=115%,115%,BB1610) + IF(BC1610&gt;=115%,115%,BC1610) + IF(BD1610&gt;=115%,115%,BD1610) + IF(BE1610&gt;=115%,115%,BE1610) + IF(BF1610&gt;=115%,115%,BF1610) + IF(BG1610&gt;=115%,115%,BG1610) + IF(BH1610&gt;=115%,115%,BH1610)))/_xlfn.XLOOKUP(F1610,Apuração!A:A,Apuração!B:B)&gt;=1.15,1.15,((IF(AZ1610&gt;=115%,115%,AZ1610) + IF(AX1610&gt;=115%,115%,AX1610) + IF(AY1610&gt;=115%,115%,AY1610) + (IF(AW1610&gt;=115%,115%,AW1610) + IF(BA1610&gt;=115%,115%,BA1610) + IF(BB1610&gt;=115%,115%,BB1610) + IF(BC1610&gt;=115%,115%,BC1610) + IF(BD1610&gt;=115%,115%,BD1610) + IF(BE1610&gt;=115%,115%,BE1610) + IF(BF1610&gt;=115%,115%,BF1610) + IF(BG1610&gt;=115%,115%,BG1610) + IF(BH1610&gt;=115%,115%,BH1610)))/_xlfn.XLOOKUP(F1610,Apuração!A:A,Apuração!B:B)))</f>
        <v>0</v>
      </c>
      <c r="BL1610" s="58" cm="1">
        <f t="array" aca="1" ref="BL1610" ca="1">IF(SUM(IFERROR(IF(INDEX(AW1610:INDEX(AW1610:BH1610, MATCH(2, 1/(AW1610:BH1610&lt;&gt;""), 1)-1), ROW(INDIRECT("1:" &amp; MATCH(2, 1/(AW1610:BH1610&lt;&gt;""), 1)-1))) &gt;= 115%, 115%, INDEX(AW1610:INDEX(AW1610:BH1610, MATCH(2, 1/(AW1610:BH1610&lt;&gt;""), 1)-1), ROW(INDIRECT("1:" &amp; MATCH(2, 1/(AW1610:BH1610&lt;&gt;""), 1)-1)))), 0))/_xlfn.XLOOKUP(F1610,Apuração!A:A,Apuração!B:B)&gt;=1.15,1.15,SUM(IFERROR(IF(INDEX(AW1610:INDEX(AW1610:BH1610, MATCH(2, 1/(AW1610:BH1610&lt;&gt;""), 1)-1), ROW(INDIRECT("1:" &amp; MATCH(2, 1/(AW1610:BH1610&lt;&gt;""), 1)-1))) &gt;= 115%, 115%, INDEX(AW1610:INDEX(AW1610:BH1610, MATCH(2, 1/(AW1610:BH1610&lt;&gt;""), 1)-1), ROW(INDIRECT("1:" &amp; MATCH(2, 1/(AW1610:BH1610&lt;&gt;""), 1)-1)))), 0))/_xlfn.XLOOKUP(F1610,Apuração!A:A,Apuração!B:B))</f>
        <v>0</v>
      </c>
      <c r="BM1610" s="55" cm="1">
        <f t="array" ref="BM1610">IFERROR(
   INDEX($AW$1:$BH$1,
      _xlfn.AGGREGATE(14, 6, COLUMN($AW$1:$BH$1)/(AW1610:BH1610&lt;&gt;""), 2) - COLUMN($AW$1) + 1
   ),
"")</f>
        <v>46113</v>
      </c>
      <c r="BN1610" s="55" cm="1">
        <f t="array" ref="BN1610">IFERROR(INDEX($AW$1:$BH$1,1,MATCH(2,1/(AW1610:BH1610&lt;&gt;""))),"")</f>
        <v>46143</v>
      </c>
      <c r="BO1610" s="53">
        <f ca="1">IFERROR(_xlfn.XLOOKUP(F1610,Apuração!A:A,Apuração!C:C)/_xlfn.XLOOKUP(F1610,Apuração!A:A,Apuração!B:B),0)</f>
        <v>0.41666666666666669</v>
      </c>
      <c r="BP1610" s="53">
        <f ca="1">IFERROR(_xlfn.XLOOKUP(F1610,Apuração!A:A,Apuração!D:D)/_xlfn.XLOOKUP(F1610,Apuração!A:A,Apuração!B:B),0)</f>
        <v>0.33333333333333331</v>
      </c>
      <c r="BQ1610" s="53">
        <f ca="1">IF(BK1610&gt;=BO1610,0,_xlfn.XLOOKUP(F1610,Apuração!A:A,Apuração!B:B)*(BO1610 + (1/_xlfn.XLOOKUP(F1610,Apuração!A:A,Apuração!B:B)) - BK1610))</f>
        <v>6</v>
      </c>
      <c r="BR1610" s="85">
        <f t="shared" ca="1" si="1877"/>
        <v>24</v>
      </c>
      <c r="BS1610" s="53">
        <f ca="1">IFERROR((_xlfn.XLOOKUP(F1610,Apuração!A:A,Apuração!C:C)+1)/_xlfn.XLOOKUP(F1610,Apuração!A:A,Apuração!B:B),0)</f>
        <v>0.5</v>
      </c>
    </row>
    <row r="1611" spans="1:71" ht="25.95" hidden="1" customHeight="1" x14ac:dyDescent="0.3">
      <c r="A1611" s="20" t="s">
        <v>87</v>
      </c>
      <c r="B1611" s="4" t="s">
        <v>229</v>
      </c>
      <c r="C1611" s="5" t="s">
        <v>97</v>
      </c>
      <c r="D1611" s="5" t="s">
        <v>100</v>
      </c>
      <c r="E1611" s="4" t="str" cm="1">
        <f t="array" ref="E1611">_xlfn.IFS(
F1611 = "A partir de Abril", "Aguardando Execução na Distribuidora",
A1611 = "CAPACITAÇÃO", "Em execução no Corporativo",
TRUE, "Em Execução na Distribuidora"
)</f>
        <v>Em Execução na Distribuidora</v>
      </c>
      <c r="F1611" s="4" t="str" cm="1">
        <f t="array" ref="F1611">_xlfn.IFS(
AG1611 &lt;&gt; "", "Jan-Dez/26",
AH1611 &lt;&gt; "", "Fev-Dez/26",
AI1611 &lt;&gt; "", "Mar-Dez/26", AJ1611 &lt;&gt; "", "Abr-Dez/26",
TRUE, "A partir de Junho"
)</f>
        <v>Jan-Dez/26</v>
      </c>
      <c r="G1611" s="7" t="s">
        <v>37</v>
      </c>
      <c r="H1611" s="7" t="s">
        <v>38</v>
      </c>
      <c r="I1611" s="8" t="s">
        <v>223</v>
      </c>
      <c r="J1611" s="21" t="str" cm="1">
        <f t="array" aca="1" ref="J1611" ca="1">_xlfn.LET(
  _xlpm.actual_value_month, INDEX(T1611:AE1611, MATCH(DATE(YEAR(TODAY()), MONTH(TODAY()), 1), $T$1:$AE$1, 0)),
  IF(_xlpm.actual_value_month &lt;&gt; "",_xlpm.actual_value_month &amp; " inspeções mensais", "")
)</f>
        <v>10 inspeções mensais</v>
      </c>
      <c r="K1611" s="8" t="str" cm="1">
        <f t="array" ref="K1611">_xlfn.LET(
    _xlpm.sum_month, SUM(T1611:AE1611),
    IF(_xlpm.sum_month = 0, "", _xlpm.sum_month &amp; " inspeções realizadas no ano")
)</f>
        <v>90 inspeções realizadas no ano</v>
      </c>
      <c r="L1611" s="4" t="s">
        <v>230</v>
      </c>
      <c r="M1611" s="19" t="s">
        <v>231</v>
      </c>
      <c r="N1611" s="5" t="s">
        <v>42</v>
      </c>
      <c r="O1611" s="5" t="s">
        <v>43</v>
      </c>
      <c r="P1611" s="10" t="s">
        <v>44</v>
      </c>
      <c r="Q1611" s="10" t="s">
        <v>72</v>
      </c>
      <c r="R1611" s="11" t="s">
        <v>225</v>
      </c>
      <c r="S1611" s="11" t="s">
        <v>44</v>
      </c>
      <c r="T1611" s="22">
        <v>0</v>
      </c>
      <c r="U1611" s="22">
        <v>0</v>
      </c>
      <c r="V1611" s="22">
        <v>0</v>
      </c>
      <c r="W1611" s="22">
        <v>10</v>
      </c>
      <c r="X1611" s="22">
        <v>10</v>
      </c>
      <c r="Y1611" s="22">
        <v>10</v>
      </c>
      <c r="Z1611" s="22">
        <v>10</v>
      </c>
      <c r="AA1611" s="22">
        <v>10</v>
      </c>
      <c r="AB1611" s="22">
        <v>10</v>
      </c>
      <c r="AC1611" s="22">
        <v>10</v>
      </c>
      <c r="AD1611" s="22">
        <v>10</v>
      </c>
      <c r="AE1611" s="22">
        <v>10</v>
      </c>
      <c r="AG1611" s="71">
        <v>0</v>
      </c>
      <c r="AH1611" s="71">
        <v>0</v>
      </c>
      <c r="AI1611" s="71">
        <v>0</v>
      </c>
      <c r="AJ1611" s="71">
        <v>1</v>
      </c>
      <c r="AK1611" s="71">
        <v>1</v>
      </c>
      <c r="AL1611" s="71"/>
      <c r="AM1611" s="71"/>
      <c r="AN1611" s="71"/>
      <c r="AO1611" s="71"/>
      <c r="AP1611" s="71"/>
      <c r="AQ1611" s="71"/>
      <c r="AR1611" s="71"/>
      <c r="AS1611" s="94">
        <f t="shared" ca="1" si="1870"/>
        <v>20</v>
      </c>
      <c r="AT1611" s="95">
        <f t="shared" si="1871"/>
        <v>2</v>
      </c>
      <c r="AU1611" s="97">
        <f t="shared" si="1872"/>
        <v>2</v>
      </c>
      <c r="AW1611" s="51">
        <f t="shared" si="1873"/>
        <v>0</v>
      </c>
      <c r="AX1611" s="51">
        <f t="shared" si="1874"/>
        <v>0</v>
      </c>
      <c r="AY1611" s="51">
        <f t="shared" si="1875"/>
        <v>0</v>
      </c>
      <c r="AZ1611" s="51">
        <f t="shared" si="1876"/>
        <v>0.1</v>
      </c>
      <c r="BA1611" s="51">
        <f t="shared" si="1869"/>
        <v>0.1</v>
      </c>
      <c r="BB1611" s="51"/>
      <c r="BC1611" s="51"/>
      <c r="BD1611" s="51"/>
      <c r="BE1611" s="51"/>
      <c r="BF1611" s="51"/>
      <c r="BG1611" s="51"/>
      <c r="BH1611" s="51"/>
      <c r="BI1611" s="65" cm="1">
        <f t="array" ref="BI1611">IFERROR(INDEX(AW1611:BH1611,1,MATCH(2,1/(AW1611:BH1611&lt;&gt;""))),"")</f>
        <v>0.1</v>
      </c>
      <c r="BJ1611" s="68" cm="1">
        <f t="array" ref="BJ1611">IF(BM1611 = "", "",IFERROR(INDEX(AW1611:BH1611,1,MATCH(2,1/(AW1611:BH1611&lt;&gt;""),1)-1),""))</f>
        <v>0.1</v>
      </c>
      <c r="BK1611" s="58">
        <f>IF((IF(AW1611&gt;=115%,115%,AW1611) + IF(AX1611&gt;=115%,115%,AX1611) + IF(AY1611&gt;=115%,115%,AY1611) + (IF(AZ1611&gt;=115%,115%,AZ1611) + IF(BA1611&gt;=115%,115%,BA1611) + IF(BB1611&gt;=115%,115%,BB1611) + IF(BC1611&gt;=115%,115%,BC1611) + IF(BD1611&gt;=115%,115%,BD1611) + IF(BE1611&gt;=115%,115%,BE1611) + IF(BF1611&gt;=115%,115%,BF1611) + IF(BG1611&gt;=115%,115%,BG1611) + IF(BH1611&gt;=115%,115%,BH1611)))/_xlfn.XLOOKUP(F1611,Apuração!A:A,Apuração!B:B)&gt;=1.15,1.15,((IF(AZ1611&gt;=115%,115%,AZ1611) + IF(AX1611&gt;=115%,115%,AX1611) + IF(AY1611&gt;=115%,115%,AY1611) + (IF(AW1611&gt;=115%,115%,AW1611) + IF(BA1611&gt;=115%,115%,BA1611) + IF(BB1611&gt;=115%,115%,BB1611) + IF(BC1611&gt;=115%,115%,BC1611) + IF(BD1611&gt;=115%,115%,BD1611) + IF(BE1611&gt;=115%,115%,BE1611) + IF(BF1611&gt;=115%,115%,BF1611) + IF(BG1611&gt;=115%,115%,BG1611) + IF(BH1611&gt;=115%,115%,BH1611)))/_xlfn.XLOOKUP(F1611,Apuração!A:A,Apuração!B:B)))</f>
        <v>1.6666666666666666E-2</v>
      </c>
      <c r="BL1611" s="58" cm="1">
        <f t="array" aca="1" ref="BL1611" ca="1">IF(SUM(IFERROR(IF(INDEX(AW1611:INDEX(AW1611:BH1611, MATCH(2, 1/(AW1611:BH1611&lt;&gt;""), 1)-1), ROW(INDIRECT("1:" &amp; MATCH(2, 1/(AW1611:BH1611&lt;&gt;""), 1)-1))) &gt;= 115%, 115%, INDEX(AW1611:INDEX(AW1611:BH1611, MATCH(2, 1/(AW1611:BH1611&lt;&gt;""), 1)-1), ROW(INDIRECT("1:" &amp; MATCH(2, 1/(AW1611:BH1611&lt;&gt;""), 1)-1)))), 0))/_xlfn.XLOOKUP(F1611,Apuração!A:A,Apuração!B:B)&gt;=1.15,1.15,SUM(IFERROR(IF(INDEX(AW1611:INDEX(AW1611:BH1611, MATCH(2, 1/(AW1611:BH1611&lt;&gt;""), 1)-1), ROW(INDIRECT("1:" &amp; MATCH(2, 1/(AW1611:BH1611&lt;&gt;""), 1)-1))) &gt;= 115%, 115%, INDEX(AW1611:INDEX(AW1611:BH1611, MATCH(2, 1/(AW1611:BH1611&lt;&gt;""), 1)-1), ROW(INDIRECT("1:" &amp; MATCH(2, 1/(AW1611:BH1611&lt;&gt;""), 1)-1)))), 0))/_xlfn.XLOOKUP(F1611,Apuração!A:A,Apuração!B:B))</f>
        <v>8.3333333333333332E-3</v>
      </c>
      <c r="BM1611" s="55" cm="1">
        <f t="array" ref="BM1611">IFERROR(
   INDEX($AW$1:$BH$1,
      _xlfn.AGGREGATE(14, 6, COLUMN($AW$1:$BH$1)/(AW1611:BH1611&lt;&gt;""), 2) - COLUMN($AW$1) + 1
   ),
"")</f>
        <v>46113</v>
      </c>
      <c r="BN1611" s="55" cm="1">
        <f t="array" ref="BN1611">IFERROR(INDEX($AW$1:$BH$1,1,MATCH(2,1/(AW1611:BH1611&lt;&gt;""))),"")</f>
        <v>46143</v>
      </c>
      <c r="BO1611" s="53">
        <f ca="1">IFERROR(_xlfn.XLOOKUP(F1611,Apuração!A:A,Apuração!C:C)/_xlfn.XLOOKUP(F1611,Apuração!A:A,Apuração!B:B),0)</f>
        <v>0.41666666666666669</v>
      </c>
      <c r="BP1611" s="53">
        <f ca="1">IFERROR(_xlfn.XLOOKUP(F1611,Apuração!A:A,Apuração!D:D)/_xlfn.XLOOKUP(F1611,Apuração!A:A,Apuração!B:B),0)</f>
        <v>0.33333333333333331</v>
      </c>
      <c r="BQ1611" s="53">
        <f ca="1">IF(BK1611&gt;=BO1611,0,_xlfn.XLOOKUP(F1611,Apuração!A:A,Apuração!B:B)*(BO1611 + (1/_xlfn.XLOOKUP(F1611,Apuração!A:A,Apuração!B:B)) - BK1611))</f>
        <v>5.8</v>
      </c>
      <c r="BR1611" s="85">
        <f t="shared" ca="1" si="1877"/>
        <v>58</v>
      </c>
      <c r="BS1611" s="53">
        <f ca="1">IFERROR((_xlfn.XLOOKUP(F1611,Apuração!A:A,Apuração!C:C)+1)/_xlfn.XLOOKUP(F1611,Apuração!A:A,Apuração!B:B),0)</f>
        <v>0.5</v>
      </c>
    </row>
    <row r="1612" spans="1:71" ht="25.95" hidden="1" customHeight="1" x14ac:dyDescent="0.3">
      <c r="A1612" s="20" t="s">
        <v>87</v>
      </c>
      <c r="B1612" s="4" t="s">
        <v>229</v>
      </c>
      <c r="C1612" s="5" t="s">
        <v>97</v>
      </c>
      <c r="D1612" s="5" t="s">
        <v>101</v>
      </c>
      <c r="E1612" s="4" t="str" cm="1">
        <f t="array" ref="E1612">_xlfn.IFS(
F1612 = "A partir de Abril", "Aguardando Execução na Distribuidora",
A1612 = "CAPACITAÇÃO", "Em execução no Corporativo",
TRUE, "Em Execução na Distribuidora"
)</f>
        <v>Em Execução na Distribuidora</v>
      </c>
      <c r="F1612" s="4" t="str" cm="1">
        <f t="array" ref="F1612">_xlfn.IFS(
AG1612 &lt;&gt; "", "Jan-Dez/26",
AH1612 &lt;&gt; "", "Fev-Dez/26",
AI1612 &lt;&gt; "", "Mar-Dez/26", AJ1612 &lt;&gt; "", "Abr-Dez/26",
TRUE, "A partir de Junho"
)</f>
        <v>Jan-Dez/26</v>
      </c>
      <c r="G1612" s="7" t="s">
        <v>37</v>
      </c>
      <c r="H1612" s="7" t="s">
        <v>38</v>
      </c>
      <c r="I1612" s="8" t="s">
        <v>223</v>
      </c>
      <c r="J1612" s="21" t="str" cm="1">
        <f t="array" aca="1" ref="J1612" ca="1">_xlfn.LET(
  _xlpm.actual_value_month, INDEX(T1612:AE1612, MATCH(DATE(YEAR(TODAY()), MONTH(TODAY()), 1), $T$1:$AE$1, 0)),
  IF(_xlpm.actual_value_month &lt;&gt; "",_xlpm.actual_value_month &amp; " inspeções mensais", "")
)</f>
        <v>8 inspeções mensais</v>
      </c>
      <c r="K1612" s="8" t="str" cm="1">
        <f t="array" ref="K1612">_xlfn.LET(
    _xlpm.sum_month, SUM(T1612:AE1612),
    IF(_xlpm.sum_month = 0, "", _xlpm.sum_month &amp; " inspeções realizadas no ano")
)</f>
        <v>72 inspeções realizadas no ano</v>
      </c>
      <c r="L1612" s="4" t="s">
        <v>230</v>
      </c>
      <c r="M1612" s="19" t="s">
        <v>231</v>
      </c>
      <c r="N1612" s="5" t="s">
        <v>42</v>
      </c>
      <c r="O1612" s="5" t="s">
        <v>43</v>
      </c>
      <c r="P1612" s="10" t="s">
        <v>44</v>
      </c>
      <c r="Q1612" s="10" t="s">
        <v>72</v>
      </c>
      <c r="R1612" s="11" t="s">
        <v>225</v>
      </c>
      <c r="S1612" s="11" t="s">
        <v>44</v>
      </c>
      <c r="T1612" s="22">
        <v>0</v>
      </c>
      <c r="U1612" s="22">
        <v>0</v>
      </c>
      <c r="V1612" s="22">
        <v>0</v>
      </c>
      <c r="W1612" s="22">
        <v>8</v>
      </c>
      <c r="X1612" s="22">
        <v>8</v>
      </c>
      <c r="Y1612" s="22">
        <v>8</v>
      </c>
      <c r="Z1612" s="22">
        <v>8</v>
      </c>
      <c r="AA1612" s="22">
        <v>8</v>
      </c>
      <c r="AB1612" s="22">
        <v>8</v>
      </c>
      <c r="AC1612" s="22">
        <v>8</v>
      </c>
      <c r="AD1612" s="22">
        <v>8</v>
      </c>
      <c r="AE1612" s="22">
        <v>8</v>
      </c>
      <c r="AG1612" s="71">
        <v>0</v>
      </c>
      <c r="AH1612" s="71">
        <v>0</v>
      </c>
      <c r="AI1612" s="71">
        <v>0</v>
      </c>
      <c r="AJ1612" s="71">
        <v>0</v>
      </c>
      <c r="AK1612" s="71">
        <v>0</v>
      </c>
      <c r="AL1612" s="71"/>
      <c r="AM1612" s="71"/>
      <c r="AN1612" s="71"/>
      <c r="AO1612" s="71"/>
      <c r="AP1612" s="71"/>
      <c r="AQ1612" s="71"/>
      <c r="AR1612" s="71"/>
      <c r="AS1612" s="94">
        <f t="shared" ca="1" si="1870"/>
        <v>16</v>
      </c>
      <c r="AT1612" s="95">
        <f t="shared" si="1871"/>
        <v>0</v>
      </c>
      <c r="AU1612" s="97">
        <f t="shared" si="1872"/>
        <v>0</v>
      </c>
      <c r="AW1612" s="51">
        <f t="shared" si="1873"/>
        <v>0</v>
      </c>
      <c r="AX1612" s="51">
        <f t="shared" si="1874"/>
        <v>0</v>
      </c>
      <c r="AY1612" s="51">
        <f t="shared" si="1875"/>
        <v>0</v>
      </c>
      <c r="AZ1612" s="51">
        <f t="shared" si="1876"/>
        <v>0</v>
      </c>
      <c r="BA1612" s="51">
        <f t="shared" si="1869"/>
        <v>0</v>
      </c>
      <c r="BB1612" s="51"/>
      <c r="BC1612" s="51"/>
      <c r="BD1612" s="51"/>
      <c r="BE1612" s="51"/>
      <c r="BF1612" s="51"/>
      <c r="BG1612" s="51"/>
      <c r="BH1612" s="51"/>
      <c r="BI1612" s="65" cm="1">
        <f t="array" ref="BI1612">IFERROR(INDEX(AW1612:BH1612,1,MATCH(2,1/(AW1612:BH1612&lt;&gt;""))),"")</f>
        <v>0</v>
      </c>
      <c r="BJ1612" s="68" cm="1">
        <f t="array" ref="BJ1612">IF(BM1612 = "", "",IFERROR(INDEX(AW1612:BH1612,1,MATCH(2,1/(AW1612:BH1612&lt;&gt;""),1)-1),""))</f>
        <v>0</v>
      </c>
      <c r="BK1612" s="58">
        <f>IF((IF(AW1612&gt;=115%,115%,AW1612) + IF(AX1612&gt;=115%,115%,AX1612) + IF(AY1612&gt;=115%,115%,AY1612) + (IF(AZ1612&gt;=115%,115%,AZ1612) + IF(BA1612&gt;=115%,115%,BA1612) + IF(BB1612&gt;=115%,115%,BB1612) + IF(BC1612&gt;=115%,115%,BC1612) + IF(BD1612&gt;=115%,115%,BD1612) + IF(BE1612&gt;=115%,115%,BE1612) + IF(BF1612&gt;=115%,115%,BF1612) + IF(BG1612&gt;=115%,115%,BG1612) + IF(BH1612&gt;=115%,115%,BH1612)))/_xlfn.XLOOKUP(F1612,Apuração!A:A,Apuração!B:B)&gt;=1.15,1.15,((IF(AZ1612&gt;=115%,115%,AZ1612) + IF(AX1612&gt;=115%,115%,AX1612) + IF(AY1612&gt;=115%,115%,AY1612) + (IF(AW1612&gt;=115%,115%,AW1612) + IF(BA1612&gt;=115%,115%,BA1612) + IF(BB1612&gt;=115%,115%,BB1612) + IF(BC1612&gt;=115%,115%,BC1612) + IF(BD1612&gt;=115%,115%,BD1612) + IF(BE1612&gt;=115%,115%,BE1612) + IF(BF1612&gt;=115%,115%,BF1612) + IF(BG1612&gt;=115%,115%,BG1612) + IF(BH1612&gt;=115%,115%,BH1612)))/_xlfn.XLOOKUP(F1612,Apuração!A:A,Apuração!B:B)))</f>
        <v>0</v>
      </c>
      <c r="BL1612" s="58" cm="1">
        <f t="array" aca="1" ref="BL1612" ca="1">IF(SUM(IFERROR(IF(INDEX(AW1612:INDEX(AW1612:BH1612, MATCH(2, 1/(AW1612:BH1612&lt;&gt;""), 1)-1), ROW(INDIRECT("1:" &amp; MATCH(2, 1/(AW1612:BH1612&lt;&gt;""), 1)-1))) &gt;= 115%, 115%, INDEX(AW1612:INDEX(AW1612:BH1612, MATCH(2, 1/(AW1612:BH1612&lt;&gt;""), 1)-1), ROW(INDIRECT("1:" &amp; MATCH(2, 1/(AW1612:BH1612&lt;&gt;""), 1)-1)))), 0))/_xlfn.XLOOKUP(F1612,Apuração!A:A,Apuração!B:B)&gt;=1.15,1.15,SUM(IFERROR(IF(INDEX(AW1612:INDEX(AW1612:BH1612, MATCH(2, 1/(AW1612:BH1612&lt;&gt;""), 1)-1), ROW(INDIRECT("1:" &amp; MATCH(2, 1/(AW1612:BH1612&lt;&gt;""), 1)-1))) &gt;= 115%, 115%, INDEX(AW1612:INDEX(AW1612:BH1612, MATCH(2, 1/(AW1612:BH1612&lt;&gt;""), 1)-1), ROW(INDIRECT("1:" &amp; MATCH(2, 1/(AW1612:BH1612&lt;&gt;""), 1)-1)))), 0))/_xlfn.XLOOKUP(F1612,Apuração!A:A,Apuração!B:B))</f>
        <v>0</v>
      </c>
      <c r="BM1612" s="55" cm="1">
        <f t="array" ref="BM1612">IFERROR(
   INDEX($AW$1:$BH$1,
      _xlfn.AGGREGATE(14, 6, COLUMN($AW$1:$BH$1)/(AW1612:BH1612&lt;&gt;""), 2) - COLUMN($AW$1) + 1
   ),
"")</f>
        <v>46113</v>
      </c>
      <c r="BN1612" s="55" cm="1">
        <f t="array" ref="BN1612">IFERROR(INDEX($AW$1:$BH$1,1,MATCH(2,1/(AW1612:BH1612&lt;&gt;""))),"")</f>
        <v>46143</v>
      </c>
      <c r="BO1612" s="53">
        <f ca="1">IFERROR(_xlfn.XLOOKUP(F1612,Apuração!A:A,Apuração!C:C)/_xlfn.XLOOKUP(F1612,Apuração!A:A,Apuração!B:B),0)</f>
        <v>0.41666666666666669</v>
      </c>
      <c r="BP1612" s="53">
        <f ca="1">IFERROR(_xlfn.XLOOKUP(F1612,Apuração!A:A,Apuração!D:D)/_xlfn.XLOOKUP(F1612,Apuração!A:A,Apuração!B:B),0)</f>
        <v>0.33333333333333331</v>
      </c>
      <c r="BQ1612" s="53">
        <f ca="1">IF(BK1612&gt;=BO1612,0,_xlfn.XLOOKUP(F1612,Apuração!A:A,Apuração!B:B)*(BO1612 + (1/_xlfn.XLOOKUP(F1612,Apuração!A:A,Apuração!B:B)) - BK1612))</f>
        <v>6</v>
      </c>
      <c r="BR1612" s="85">
        <f t="shared" ca="1" si="1877"/>
        <v>48</v>
      </c>
      <c r="BS1612" s="53">
        <f ca="1">IFERROR((_xlfn.XLOOKUP(F1612,Apuração!A:A,Apuração!C:C)+1)/_xlfn.XLOOKUP(F1612,Apuração!A:A,Apuração!B:B),0)</f>
        <v>0.5</v>
      </c>
    </row>
    <row r="1613" spans="1:71" ht="25.95" hidden="1" customHeight="1" x14ac:dyDescent="0.3">
      <c r="A1613" s="20" t="s">
        <v>87</v>
      </c>
      <c r="B1613" s="4" t="s">
        <v>229</v>
      </c>
      <c r="C1613" s="5" t="s">
        <v>97</v>
      </c>
      <c r="D1613" s="5" t="s">
        <v>102</v>
      </c>
      <c r="E1613" s="4" t="str" cm="1">
        <f t="array" ref="E1613">_xlfn.IFS(
F1613 = "A partir de Abril", "Aguardando Execução na Distribuidora",
A1613 = "CAPACITAÇÃO", "Em execução no Corporativo",
TRUE, "Em Execução na Distribuidora"
)</f>
        <v>Em Execução na Distribuidora</v>
      </c>
      <c r="F1613" s="4" t="str" cm="1">
        <f t="array" ref="F1613">_xlfn.IFS(
AG1613 &lt;&gt; "", "Jan-Dez/26",
AH1613 &lt;&gt; "", "Fev-Dez/26",
AI1613 &lt;&gt; "", "Mar-Dez/26", AJ1613 &lt;&gt; "", "Abr-Dez/26",
TRUE, "A partir de Junho"
)</f>
        <v>Jan-Dez/26</v>
      </c>
      <c r="G1613" s="7" t="s">
        <v>37</v>
      </c>
      <c r="H1613" s="7" t="s">
        <v>38</v>
      </c>
      <c r="I1613" s="8" t="s">
        <v>223</v>
      </c>
      <c r="J1613" s="21" t="str" cm="1">
        <f t="array" aca="1" ref="J1613" ca="1">_xlfn.LET(
  _xlpm.actual_value_month, INDEX(T1613:AE1613, MATCH(DATE(YEAR(TODAY()), MONTH(TODAY()), 1), $T$1:$AE$1, 0)),
  IF(_xlpm.actual_value_month &lt;&gt; "",_xlpm.actual_value_month &amp; " inspeções mensais", "")
)</f>
        <v>4 inspeções mensais</v>
      </c>
      <c r="K1613" s="8" t="str" cm="1">
        <f t="array" ref="K1613">_xlfn.LET(
    _xlpm.sum_month, SUM(T1613:AE1613),
    IF(_xlpm.sum_month = 0, "", _xlpm.sum_month &amp; " inspeções realizadas no ano")
)</f>
        <v>36 inspeções realizadas no ano</v>
      </c>
      <c r="L1613" s="4" t="s">
        <v>230</v>
      </c>
      <c r="M1613" s="19" t="s">
        <v>231</v>
      </c>
      <c r="N1613" s="5" t="s">
        <v>42</v>
      </c>
      <c r="O1613" s="5" t="s">
        <v>43</v>
      </c>
      <c r="P1613" s="10" t="s">
        <v>44</v>
      </c>
      <c r="Q1613" s="10" t="s">
        <v>72</v>
      </c>
      <c r="R1613" s="11" t="s">
        <v>225</v>
      </c>
      <c r="S1613" s="11" t="s">
        <v>44</v>
      </c>
      <c r="T1613" s="22">
        <v>0</v>
      </c>
      <c r="U1613" s="22">
        <v>0</v>
      </c>
      <c r="V1613" s="22">
        <v>0</v>
      </c>
      <c r="W1613" s="22">
        <v>4</v>
      </c>
      <c r="X1613" s="22">
        <v>4</v>
      </c>
      <c r="Y1613" s="22">
        <v>4</v>
      </c>
      <c r="Z1613" s="22">
        <v>4</v>
      </c>
      <c r="AA1613" s="22">
        <v>4</v>
      </c>
      <c r="AB1613" s="22">
        <v>4</v>
      </c>
      <c r="AC1613" s="22">
        <v>4</v>
      </c>
      <c r="AD1613" s="22">
        <v>4</v>
      </c>
      <c r="AE1613" s="22">
        <v>4</v>
      </c>
      <c r="AG1613" s="71">
        <v>0</v>
      </c>
      <c r="AH1613" s="71">
        <v>0</v>
      </c>
      <c r="AI1613" s="71">
        <v>0</v>
      </c>
      <c r="AJ1613" s="71">
        <v>0</v>
      </c>
      <c r="AK1613" s="71">
        <v>0</v>
      </c>
      <c r="AL1613" s="71"/>
      <c r="AM1613" s="71"/>
      <c r="AN1613" s="71"/>
      <c r="AO1613" s="71"/>
      <c r="AP1613" s="71"/>
      <c r="AQ1613" s="71"/>
      <c r="AR1613" s="71"/>
      <c r="AS1613" s="94">
        <f t="shared" ca="1" si="1870"/>
        <v>8</v>
      </c>
      <c r="AT1613" s="95">
        <f t="shared" si="1871"/>
        <v>0</v>
      </c>
      <c r="AU1613" s="97">
        <f t="shared" si="1872"/>
        <v>0</v>
      </c>
      <c r="AW1613" s="51">
        <f t="shared" si="1873"/>
        <v>0</v>
      </c>
      <c r="AX1613" s="51">
        <f t="shared" si="1874"/>
        <v>0</v>
      </c>
      <c r="AY1613" s="51">
        <f t="shared" si="1875"/>
        <v>0</v>
      </c>
      <c r="AZ1613" s="51">
        <f t="shared" si="1876"/>
        <v>0</v>
      </c>
      <c r="BA1613" s="51">
        <f t="shared" si="1869"/>
        <v>0</v>
      </c>
      <c r="BB1613" s="51"/>
      <c r="BC1613" s="51"/>
      <c r="BD1613" s="51"/>
      <c r="BE1613" s="51"/>
      <c r="BF1613" s="51"/>
      <c r="BG1613" s="51"/>
      <c r="BH1613" s="51"/>
      <c r="BI1613" s="65" cm="1">
        <f t="array" ref="BI1613">IFERROR(INDEX(AW1613:BH1613,1,MATCH(2,1/(AW1613:BH1613&lt;&gt;""))),"")</f>
        <v>0</v>
      </c>
      <c r="BJ1613" s="68" cm="1">
        <f t="array" ref="BJ1613">IF(BM1613 = "", "",IFERROR(INDEX(AW1613:BH1613,1,MATCH(2,1/(AW1613:BH1613&lt;&gt;""),1)-1),""))</f>
        <v>0</v>
      </c>
      <c r="BK1613" s="58">
        <f>IF((IF(AW1613&gt;=115%,115%,AW1613) + IF(AX1613&gt;=115%,115%,AX1613) + IF(AY1613&gt;=115%,115%,AY1613) + (IF(AZ1613&gt;=115%,115%,AZ1613) + IF(BA1613&gt;=115%,115%,BA1613) + IF(BB1613&gt;=115%,115%,BB1613) + IF(BC1613&gt;=115%,115%,BC1613) + IF(BD1613&gt;=115%,115%,BD1613) + IF(BE1613&gt;=115%,115%,BE1613) + IF(BF1613&gt;=115%,115%,BF1613) + IF(BG1613&gt;=115%,115%,BG1613) + IF(BH1613&gt;=115%,115%,BH1613)))/_xlfn.XLOOKUP(F1613,Apuração!A:A,Apuração!B:B)&gt;=1.15,1.15,((IF(AZ1613&gt;=115%,115%,AZ1613) + IF(AX1613&gt;=115%,115%,AX1613) + IF(AY1613&gt;=115%,115%,AY1613) + (IF(AW1613&gt;=115%,115%,AW1613) + IF(BA1613&gt;=115%,115%,BA1613) + IF(BB1613&gt;=115%,115%,BB1613) + IF(BC1613&gt;=115%,115%,BC1613) + IF(BD1613&gt;=115%,115%,BD1613) + IF(BE1613&gt;=115%,115%,BE1613) + IF(BF1613&gt;=115%,115%,BF1613) + IF(BG1613&gt;=115%,115%,BG1613) + IF(BH1613&gt;=115%,115%,BH1613)))/_xlfn.XLOOKUP(F1613,Apuração!A:A,Apuração!B:B)))</f>
        <v>0</v>
      </c>
      <c r="BL1613" s="58" cm="1">
        <f t="array" aca="1" ref="BL1613" ca="1">IF(SUM(IFERROR(IF(INDEX(AW1613:INDEX(AW1613:BH1613, MATCH(2, 1/(AW1613:BH1613&lt;&gt;""), 1)-1), ROW(INDIRECT("1:" &amp; MATCH(2, 1/(AW1613:BH1613&lt;&gt;""), 1)-1))) &gt;= 115%, 115%, INDEX(AW1613:INDEX(AW1613:BH1613, MATCH(2, 1/(AW1613:BH1613&lt;&gt;""), 1)-1), ROW(INDIRECT("1:" &amp; MATCH(2, 1/(AW1613:BH1613&lt;&gt;""), 1)-1)))), 0))/_xlfn.XLOOKUP(F1613,Apuração!A:A,Apuração!B:B)&gt;=1.15,1.15,SUM(IFERROR(IF(INDEX(AW1613:INDEX(AW1613:BH1613, MATCH(2, 1/(AW1613:BH1613&lt;&gt;""), 1)-1), ROW(INDIRECT("1:" &amp; MATCH(2, 1/(AW1613:BH1613&lt;&gt;""), 1)-1))) &gt;= 115%, 115%, INDEX(AW1613:INDEX(AW1613:BH1613, MATCH(2, 1/(AW1613:BH1613&lt;&gt;""), 1)-1), ROW(INDIRECT("1:" &amp; MATCH(2, 1/(AW1613:BH1613&lt;&gt;""), 1)-1)))), 0))/_xlfn.XLOOKUP(F1613,Apuração!A:A,Apuração!B:B))</f>
        <v>0</v>
      </c>
      <c r="BM1613" s="55" cm="1">
        <f t="array" ref="BM1613">IFERROR(
   INDEX($AW$1:$BH$1,
      _xlfn.AGGREGATE(14, 6, COLUMN($AW$1:$BH$1)/(AW1613:BH1613&lt;&gt;""), 2) - COLUMN($AW$1) + 1
   ),
"")</f>
        <v>46113</v>
      </c>
      <c r="BN1613" s="55" cm="1">
        <f t="array" ref="BN1613">IFERROR(INDEX($AW$1:$BH$1,1,MATCH(2,1/(AW1613:BH1613&lt;&gt;""))),"")</f>
        <v>46143</v>
      </c>
      <c r="BO1613" s="53">
        <f ca="1">IFERROR(_xlfn.XLOOKUP(F1613,Apuração!A:A,Apuração!C:C)/_xlfn.XLOOKUP(F1613,Apuração!A:A,Apuração!B:B),0)</f>
        <v>0.41666666666666669</v>
      </c>
      <c r="BP1613" s="53">
        <f ca="1">IFERROR(_xlfn.XLOOKUP(F1613,Apuração!A:A,Apuração!D:D)/_xlfn.XLOOKUP(F1613,Apuração!A:A,Apuração!B:B),0)</f>
        <v>0.33333333333333331</v>
      </c>
      <c r="BQ1613" s="53">
        <f ca="1">IF(BK1613&gt;=BO1613,0,_xlfn.XLOOKUP(F1613,Apuração!A:A,Apuração!B:B)*(BO1613 + (1/_xlfn.XLOOKUP(F1613,Apuração!A:A,Apuração!B:B)) - BK1613))</f>
        <v>6</v>
      </c>
      <c r="BR1613" s="85">
        <f t="shared" ca="1" si="1877"/>
        <v>24</v>
      </c>
      <c r="BS1613" s="53">
        <f ca="1">IFERROR((_xlfn.XLOOKUP(F1613,Apuração!A:A,Apuração!C:C)+1)/_xlfn.XLOOKUP(F1613,Apuração!A:A,Apuração!B:B),0)</f>
        <v>0.5</v>
      </c>
    </row>
    <row r="1614" spans="1:71" ht="25.95" hidden="1" customHeight="1" x14ac:dyDescent="0.3">
      <c r="A1614" s="20" t="s">
        <v>87</v>
      </c>
      <c r="B1614" s="4" t="s">
        <v>229</v>
      </c>
      <c r="C1614" s="5" t="s">
        <v>97</v>
      </c>
      <c r="D1614" s="5" t="s">
        <v>103</v>
      </c>
      <c r="E1614" s="4" t="str" cm="1">
        <f t="array" ref="E1614">_xlfn.IFS(
F1614 = "A partir de Abril", "Aguardando Execução na Distribuidora",
A1614 = "CAPACITAÇÃO", "Em execução no Corporativo",
TRUE, "Em Execução na Distribuidora"
)</f>
        <v>Em Execução na Distribuidora</v>
      </c>
      <c r="F1614" s="4" t="str" cm="1">
        <f t="array" ref="F1614">_xlfn.IFS(
AG1614 &lt;&gt; "", "Jan-Dez/26",
AH1614 &lt;&gt; "", "Fev-Dez/26",
AI1614 &lt;&gt; "", "Mar-Dez/26", AJ1614 &lt;&gt; "", "Abr-Dez/26",
TRUE, "A partir de Junho"
)</f>
        <v>Jan-Dez/26</v>
      </c>
      <c r="G1614" s="7" t="s">
        <v>37</v>
      </c>
      <c r="H1614" s="7" t="s">
        <v>38</v>
      </c>
      <c r="I1614" s="8" t="s">
        <v>223</v>
      </c>
      <c r="J1614" s="21" t="str" cm="1">
        <f t="array" aca="1" ref="J1614" ca="1">_xlfn.LET(
  _xlpm.actual_value_month, INDEX(T1614:AE1614, MATCH(DATE(YEAR(TODAY()), MONTH(TODAY()), 1), $T$1:$AE$1, 0)),
  IF(_xlpm.actual_value_month &lt;&gt; "",_xlpm.actual_value_month &amp; " inspeções mensais", "")
)</f>
        <v>1 inspeções mensais</v>
      </c>
      <c r="K1614" s="8" t="str" cm="1">
        <f t="array" ref="K1614">_xlfn.LET(
    _xlpm.sum_month, SUM(T1614:AE1614),
    IF(_xlpm.sum_month = 0, "", _xlpm.sum_month &amp; " inspeções realizadas no ano")
)</f>
        <v>22 inspeções realizadas no ano</v>
      </c>
      <c r="L1614" s="4" t="s">
        <v>230</v>
      </c>
      <c r="M1614" s="19" t="s">
        <v>231</v>
      </c>
      <c r="N1614" s="5" t="s">
        <v>42</v>
      </c>
      <c r="O1614" s="5" t="s">
        <v>43</v>
      </c>
      <c r="P1614" s="10" t="s">
        <v>44</v>
      </c>
      <c r="Q1614" s="10" t="s">
        <v>72</v>
      </c>
      <c r="R1614" s="11" t="s">
        <v>225</v>
      </c>
      <c r="S1614" s="11" t="s">
        <v>44</v>
      </c>
      <c r="T1614" s="22">
        <v>4</v>
      </c>
      <c r="U1614" s="22">
        <v>2</v>
      </c>
      <c r="V1614" s="22">
        <v>7</v>
      </c>
      <c r="W1614" s="22">
        <v>1</v>
      </c>
      <c r="X1614" s="22">
        <v>1</v>
      </c>
      <c r="Y1614" s="22">
        <v>1</v>
      </c>
      <c r="Z1614" s="22">
        <v>1</v>
      </c>
      <c r="AA1614" s="22">
        <v>1</v>
      </c>
      <c r="AB1614" s="22">
        <v>1</v>
      </c>
      <c r="AC1614" s="22">
        <v>1</v>
      </c>
      <c r="AD1614" s="22">
        <v>1</v>
      </c>
      <c r="AE1614" s="22">
        <v>1</v>
      </c>
      <c r="AG1614" s="71">
        <v>4</v>
      </c>
      <c r="AH1614" s="71">
        <v>2</v>
      </c>
      <c r="AI1614" s="71">
        <v>7</v>
      </c>
      <c r="AJ1614" s="71">
        <v>4</v>
      </c>
      <c r="AK1614" s="71">
        <v>4</v>
      </c>
      <c r="AL1614" s="71"/>
      <c r="AM1614" s="71"/>
      <c r="AN1614" s="71"/>
      <c r="AO1614" s="71"/>
      <c r="AP1614" s="71"/>
      <c r="AQ1614" s="71"/>
      <c r="AR1614" s="71"/>
      <c r="AS1614" s="94">
        <f t="shared" ca="1" si="1870"/>
        <v>15</v>
      </c>
      <c r="AT1614" s="95">
        <f t="shared" si="1871"/>
        <v>15.3</v>
      </c>
      <c r="AU1614" s="97">
        <f t="shared" si="1872"/>
        <v>21</v>
      </c>
      <c r="AW1614" s="51">
        <f t="shared" si="1873"/>
        <v>1</v>
      </c>
      <c r="AX1614" s="51">
        <f t="shared" si="1874"/>
        <v>1</v>
      </c>
      <c r="AY1614" s="51">
        <f t="shared" si="1875"/>
        <v>1</v>
      </c>
      <c r="AZ1614" s="51">
        <f t="shared" si="1876"/>
        <v>4</v>
      </c>
      <c r="BA1614" s="51">
        <f t="shared" si="1869"/>
        <v>4</v>
      </c>
      <c r="BB1614" s="51"/>
      <c r="BC1614" s="51"/>
      <c r="BD1614" s="51"/>
      <c r="BE1614" s="51"/>
      <c r="BF1614" s="51"/>
      <c r="BG1614" s="51"/>
      <c r="BH1614" s="51"/>
      <c r="BI1614" s="65" cm="1">
        <f t="array" ref="BI1614">IFERROR(INDEX(AW1614:BH1614,1,MATCH(2,1/(AW1614:BH1614&lt;&gt;""))),"")</f>
        <v>4</v>
      </c>
      <c r="BJ1614" s="68" cm="1">
        <f t="array" ref="BJ1614">IF(BM1614 = "", "",IFERROR(INDEX(AW1614:BH1614,1,MATCH(2,1/(AW1614:BH1614&lt;&gt;""),1)-1),""))</f>
        <v>4</v>
      </c>
      <c r="BK1614" s="58">
        <f>IF((IF(AW1614&gt;=115%,115%,AW1614) + IF(AX1614&gt;=115%,115%,AX1614) + IF(AY1614&gt;=115%,115%,AY1614) + (IF(AZ1614&gt;=115%,115%,AZ1614) + IF(BA1614&gt;=115%,115%,BA1614) + IF(BB1614&gt;=115%,115%,BB1614) + IF(BC1614&gt;=115%,115%,BC1614) + IF(BD1614&gt;=115%,115%,BD1614) + IF(BE1614&gt;=115%,115%,BE1614) + IF(BF1614&gt;=115%,115%,BF1614) + IF(BG1614&gt;=115%,115%,BG1614) + IF(BH1614&gt;=115%,115%,BH1614)))/_xlfn.XLOOKUP(F1614,Apuração!A:A,Apuração!B:B)&gt;=1.15,1.15,((IF(AZ1614&gt;=115%,115%,AZ1614) + IF(AX1614&gt;=115%,115%,AX1614) + IF(AY1614&gt;=115%,115%,AY1614) + (IF(AW1614&gt;=115%,115%,AW1614) + IF(BA1614&gt;=115%,115%,BA1614) + IF(BB1614&gt;=115%,115%,BB1614) + IF(BC1614&gt;=115%,115%,BC1614) + IF(BD1614&gt;=115%,115%,BD1614) + IF(BE1614&gt;=115%,115%,BE1614) + IF(BF1614&gt;=115%,115%,BF1614) + IF(BG1614&gt;=115%,115%,BG1614) + IF(BH1614&gt;=115%,115%,BH1614)))/_xlfn.XLOOKUP(F1614,Apuração!A:A,Apuração!B:B)))</f>
        <v>0.44166666666666665</v>
      </c>
      <c r="BL1614" s="58" cm="1">
        <f t="array" aca="1" ref="BL1614" ca="1">IF(SUM(IFERROR(IF(INDEX(AW1614:INDEX(AW1614:BH1614, MATCH(2, 1/(AW1614:BH1614&lt;&gt;""), 1)-1), ROW(INDIRECT("1:" &amp; MATCH(2, 1/(AW1614:BH1614&lt;&gt;""), 1)-1))) &gt;= 115%, 115%, INDEX(AW1614:INDEX(AW1614:BH1614, MATCH(2, 1/(AW1614:BH1614&lt;&gt;""), 1)-1), ROW(INDIRECT("1:" &amp; MATCH(2, 1/(AW1614:BH1614&lt;&gt;""), 1)-1)))), 0))/_xlfn.XLOOKUP(F1614,Apuração!A:A,Apuração!B:B)&gt;=1.15,1.15,SUM(IFERROR(IF(INDEX(AW1614:INDEX(AW1614:BH1614, MATCH(2, 1/(AW1614:BH1614&lt;&gt;""), 1)-1), ROW(INDIRECT("1:" &amp; MATCH(2, 1/(AW1614:BH1614&lt;&gt;""), 1)-1))) &gt;= 115%, 115%, INDEX(AW1614:INDEX(AW1614:BH1614, MATCH(2, 1/(AW1614:BH1614&lt;&gt;""), 1)-1), ROW(INDIRECT("1:" &amp; MATCH(2, 1/(AW1614:BH1614&lt;&gt;""), 1)-1)))), 0))/_xlfn.XLOOKUP(F1614,Apuração!A:A,Apuração!B:B))</f>
        <v>0.34583333333333338</v>
      </c>
      <c r="BM1614" s="55" cm="1">
        <f t="array" ref="BM1614">IFERROR(
   INDEX($AW$1:$BH$1,
      _xlfn.AGGREGATE(14, 6, COLUMN($AW$1:$BH$1)/(AW1614:BH1614&lt;&gt;""), 2) - COLUMN($AW$1) + 1
   ),
"")</f>
        <v>46113</v>
      </c>
      <c r="BN1614" s="55" cm="1">
        <f t="array" ref="BN1614">IFERROR(INDEX($AW$1:$BH$1,1,MATCH(2,1/(AW1614:BH1614&lt;&gt;""))),"")</f>
        <v>46143</v>
      </c>
      <c r="BO1614" s="53">
        <f ca="1">IFERROR(_xlfn.XLOOKUP(F1614,Apuração!A:A,Apuração!C:C)/_xlfn.XLOOKUP(F1614,Apuração!A:A,Apuração!B:B),0)</f>
        <v>0.41666666666666669</v>
      </c>
      <c r="BP1614" s="53">
        <f ca="1">IFERROR(_xlfn.XLOOKUP(F1614,Apuração!A:A,Apuração!D:D)/_xlfn.XLOOKUP(F1614,Apuração!A:A,Apuração!B:B),0)</f>
        <v>0.33333333333333331</v>
      </c>
      <c r="BQ1614" s="53">
        <f ca="1">IF(BK1614&gt;=BO1614,0,_xlfn.XLOOKUP(F1614,Apuração!A:A,Apuração!B:B)*(BO1614 + (1/_xlfn.XLOOKUP(F1614,Apuração!A:A,Apuração!B:B)) - BK1614))</f>
        <v>0</v>
      </c>
      <c r="BR1614" s="85">
        <f t="shared" ca="1" si="1877"/>
        <v>0</v>
      </c>
      <c r="BS1614" s="53">
        <f ca="1">IFERROR((_xlfn.XLOOKUP(F1614,Apuração!A:A,Apuração!C:C)+1)/_xlfn.XLOOKUP(F1614,Apuração!A:A,Apuração!B:B),0)</f>
        <v>0.5</v>
      </c>
    </row>
    <row r="1615" spans="1:71" ht="25.95" hidden="1" customHeight="1" x14ac:dyDescent="0.3">
      <c r="A1615" s="20" t="s">
        <v>87</v>
      </c>
      <c r="B1615" s="4" t="s">
        <v>229</v>
      </c>
      <c r="C1615" s="5" t="s">
        <v>97</v>
      </c>
      <c r="D1615" s="5" t="s">
        <v>104</v>
      </c>
      <c r="E1615" s="4" t="str" cm="1">
        <f t="array" ref="E1615">_xlfn.IFS(
F1615 = "A partir de Abril", "Aguardando Execução na Distribuidora",
A1615 = "CAPACITAÇÃO", "Em execução no Corporativo",
TRUE, "Em Execução na Distribuidora"
)</f>
        <v>Em Execução na Distribuidora</v>
      </c>
      <c r="F1615" s="4" t="str" cm="1">
        <f t="array" ref="F1615">_xlfn.IFS(
AG1615 &lt;&gt; "", "Jan-Dez/26",
AH1615 &lt;&gt; "", "Fev-Dez/26",
AI1615 &lt;&gt; "", "Mar-Dez/26", AJ1615 &lt;&gt; "", "Abr-Dez/26",
TRUE, "A partir de Junho"
)</f>
        <v>Jan-Dez/26</v>
      </c>
      <c r="G1615" s="7" t="s">
        <v>37</v>
      </c>
      <c r="H1615" s="7" t="s">
        <v>38</v>
      </c>
      <c r="I1615" s="8" t="s">
        <v>223</v>
      </c>
      <c r="J1615" s="21" t="str" cm="1">
        <f t="array" aca="1" ref="J1615" ca="1">_xlfn.LET(
  _xlpm.actual_value_month, INDEX(T1615:AE1615, MATCH(DATE(YEAR(TODAY()), MONTH(TODAY()), 1), $T$1:$AE$1, 0)),
  IF(_xlpm.actual_value_month &lt;&gt; "",_xlpm.actual_value_month &amp; " inspeções mensais", "")
)</f>
        <v>5 inspeções mensais</v>
      </c>
      <c r="K1615" s="8" t="str" cm="1">
        <f t="array" ref="K1615">_xlfn.LET(
    _xlpm.sum_month, SUM(T1615:AE1615),
    IF(_xlpm.sum_month = 0, "", _xlpm.sum_month &amp; " inspeções realizadas no ano")
)</f>
        <v>45 inspeções realizadas no ano</v>
      </c>
      <c r="L1615" s="4" t="s">
        <v>230</v>
      </c>
      <c r="M1615" s="19" t="s">
        <v>231</v>
      </c>
      <c r="N1615" s="5" t="s">
        <v>42</v>
      </c>
      <c r="O1615" s="5" t="s">
        <v>43</v>
      </c>
      <c r="P1615" s="10" t="s">
        <v>44</v>
      </c>
      <c r="Q1615" s="10" t="s">
        <v>72</v>
      </c>
      <c r="R1615" s="11" t="s">
        <v>225</v>
      </c>
      <c r="S1615" s="11" t="s">
        <v>44</v>
      </c>
      <c r="T1615" s="22">
        <v>0</v>
      </c>
      <c r="U1615" s="22">
        <v>0</v>
      </c>
      <c r="V1615" s="22">
        <v>0</v>
      </c>
      <c r="W1615" s="22">
        <v>5</v>
      </c>
      <c r="X1615" s="22">
        <v>5</v>
      </c>
      <c r="Y1615" s="22">
        <v>5</v>
      </c>
      <c r="Z1615" s="22">
        <v>5</v>
      </c>
      <c r="AA1615" s="22">
        <v>5</v>
      </c>
      <c r="AB1615" s="22">
        <v>5</v>
      </c>
      <c r="AC1615" s="22">
        <v>5</v>
      </c>
      <c r="AD1615" s="22">
        <v>5</v>
      </c>
      <c r="AE1615" s="22">
        <v>5</v>
      </c>
      <c r="AG1615" s="71">
        <v>0</v>
      </c>
      <c r="AH1615" s="71">
        <v>0</v>
      </c>
      <c r="AI1615" s="71">
        <v>0</v>
      </c>
      <c r="AJ1615" s="71">
        <v>0</v>
      </c>
      <c r="AK1615" s="71">
        <v>0</v>
      </c>
      <c r="AL1615" s="71"/>
      <c r="AM1615" s="71"/>
      <c r="AN1615" s="71"/>
      <c r="AO1615" s="71"/>
      <c r="AP1615" s="71"/>
      <c r="AQ1615" s="71"/>
      <c r="AR1615" s="71"/>
      <c r="AS1615" s="94">
        <f t="shared" ca="1" si="1870"/>
        <v>10</v>
      </c>
      <c r="AT1615" s="95">
        <f t="shared" si="1871"/>
        <v>0</v>
      </c>
      <c r="AU1615" s="97">
        <f t="shared" si="1872"/>
        <v>0</v>
      </c>
      <c r="AW1615" s="51">
        <f t="shared" si="1873"/>
        <v>0</v>
      </c>
      <c r="AX1615" s="51">
        <f t="shared" si="1874"/>
        <v>0</v>
      </c>
      <c r="AY1615" s="51">
        <f t="shared" si="1875"/>
        <v>0</v>
      </c>
      <c r="AZ1615" s="51">
        <f t="shared" si="1876"/>
        <v>0</v>
      </c>
      <c r="BA1615" s="51">
        <f t="shared" si="1869"/>
        <v>0</v>
      </c>
      <c r="BB1615" s="51"/>
      <c r="BC1615" s="51"/>
      <c r="BD1615" s="51"/>
      <c r="BE1615" s="51"/>
      <c r="BF1615" s="51"/>
      <c r="BG1615" s="51"/>
      <c r="BH1615" s="51"/>
      <c r="BI1615" s="65" cm="1">
        <f t="array" ref="BI1615">IFERROR(INDEX(AW1615:BH1615,1,MATCH(2,1/(AW1615:BH1615&lt;&gt;""))),"")</f>
        <v>0</v>
      </c>
      <c r="BJ1615" s="68" cm="1">
        <f t="array" ref="BJ1615">IF(BM1615 = "", "",IFERROR(INDEX(AW1615:BH1615,1,MATCH(2,1/(AW1615:BH1615&lt;&gt;""),1)-1),""))</f>
        <v>0</v>
      </c>
      <c r="BK1615" s="58">
        <f>IF((IF(AW1615&gt;=115%,115%,AW1615) + IF(AX1615&gt;=115%,115%,AX1615) + IF(AY1615&gt;=115%,115%,AY1615) + (IF(AZ1615&gt;=115%,115%,AZ1615) + IF(BA1615&gt;=115%,115%,BA1615) + IF(BB1615&gt;=115%,115%,BB1615) + IF(BC1615&gt;=115%,115%,BC1615) + IF(BD1615&gt;=115%,115%,BD1615) + IF(BE1615&gt;=115%,115%,BE1615) + IF(BF1615&gt;=115%,115%,BF1615) + IF(BG1615&gt;=115%,115%,BG1615) + IF(BH1615&gt;=115%,115%,BH1615)))/_xlfn.XLOOKUP(F1615,Apuração!A:A,Apuração!B:B)&gt;=1.15,1.15,((IF(AZ1615&gt;=115%,115%,AZ1615) + IF(AX1615&gt;=115%,115%,AX1615) + IF(AY1615&gt;=115%,115%,AY1615) + (IF(AW1615&gt;=115%,115%,AW1615) + IF(BA1615&gt;=115%,115%,BA1615) + IF(BB1615&gt;=115%,115%,BB1615) + IF(BC1615&gt;=115%,115%,BC1615) + IF(BD1615&gt;=115%,115%,BD1615) + IF(BE1615&gt;=115%,115%,BE1615) + IF(BF1615&gt;=115%,115%,BF1615) + IF(BG1615&gt;=115%,115%,BG1615) + IF(BH1615&gt;=115%,115%,BH1615)))/_xlfn.XLOOKUP(F1615,Apuração!A:A,Apuração!B:B)))</f>
        <v>0</v>
      </c>
      <c r="BL1615" s="58" cm="1">
        <f t="array" aca="1" ref="BL1615" ca="1">IF(SUM(IFERROR(IF(INDEX(AW1615:INDEX(AW1615:BH1615, MATCH(2, 1/(AW1615:BH1615&lt;&gt;""), 1)-1), ROW(INDIRECT("1:" &amp; MATCH(2, 1/(AW1615:BH1615&lt;&gt;""), 1)-1))) &gt;= 115%, 115%, INDEX(AW1615:INDEX(AW1615:BH1615, MATCH(2, 1/(AW1615:BH1615&lt;&gt;""), 1)-1), ROW(INDIRECT("1:" &amp; MATCH(2, 1/(AW1615:BH1615&lt;&gt;""), 1)-1)))), 0))/_xlfn.XLOOKUP(F1615,Apuração!A:A,Apuração!B:B)&gt;=1.15,1.15,SUM(IFERROR(IF(INDEX(AW1615:INDEX(AW1615:BH1615, MATCH(2, 1/(AW1615:BH1615&lt;&gt;""), 1)-1), ROW(INDIRECT("1:" &amp; MATCH(2, 1/(AW1615:BH1615&lt;&gt;""), 1)-1))) &gt;= 115%, 115%, INDEX(AW1615:INDEX(AW1615:BH1615, MATCH(2, 1/(AW1615:BH1615&lt;&gt;""), 1)-1), ROW(INDIRECT("1:" &amp; MATCH(2, 1/(AW1615:BH1615&lt;&gt;""), 1)-1)))), 0))/_xlfn.XLOOKUP(F1615,Apuração!A:A,Apuração!B:B))</f>
        <v>0</v>
      </c>
      <c r="BM1615" s="55" cm="1">
        <f t="array" ref="BM1615">IFERROR(
   INDEX($AW$1:$BH$1,
      _xlfn.AGGREGATE(14, 6, COLUMN($AW$1:$BH$1)/(AW1615:BH1615&lt;&gt;""), 2) - COLUMN($AW$1) + 1
   ),
"")</f>
        <v>46113</v>
      </c>
      <c r="BN1615" s="55" cm="1">
        <f t="array" ref="BN1615">IFERROR(INDEX($AW$1:$BH$1,1,MATCH(2,1/(AW1615:BH1615&lt;&gt;""))),"")</f>
        <v>46143</v>
      </c>
      <c r="BO1615" s="53">
        <f ca="1">IFERROR(_xlfn.XLOOKUP(F1615,Apuração!A:A,Apuração!C:C)/_xlfn.XLOOKUP(F1615,Apuração!A:A,Apuração!B:B),0)</f>
        <v>0.41666666666666669</v>
      </c>
      <c r="BP1615" s="53">
        <f ca="1">IFERROR(_xlfn.XLOOKUP(F1615,Apuração!A:A,Apuração!D:D)/_xlfn.XLOOKUP(F1615,Apuração!A:A,Apuração!B:B),0)</f>
        <v>0.33333333333333331</v>
      </c>
      <c r="BQ1615" s="53">
        <f ca="1">IF(BK1615&gt;=BO1615,0,_xlfn.XLOOKUP(F1615,Apuração!A:A,Apuração!B:B)*(BO1615 + (1/_xlfn.XLOOKUP(F1615,Apuração!A:A,Apuração!B:B)) - BK1615))</f>
        <v>6</v>
      </c>
      <c r="BR1615" s="85">
        <f t="shared" ca="1" si="1877"/>
        <v>30</v>
      </c>
      <c r="BS1615" s="53">
        <f ca="1">IFERROR((_xlfn.XLOOKUP(F1615,Apuração!A:A,Apuração!C:C)+1)/_xlfn.XLOOKUP(F1615,Apuração!A:A,Apuração!B:B),0)</f>
        <v>0.5</v>
      </c>
    </row>
    <row r="1616" spans="1:71" ht="25.95" hidden="1" customHeight="1" x14ac:dyDescent="0.3">
      <c r="A1616" s="20" t="s">
        <v>87</v>
      </c>
      <c r="B1616" s="4" t="s">
        <v>229</v>
      </c>
      <c r="C1616" s="5" t="s">
        <v>97</v>
      </c>
      <c r="D1616" s="5" t="s">
        <v>105</v>
      </c>
      <c r="E1616" s="4" t="str" cm="1">
        <f t="array" ref="E1616">_xlfn.IFS(
F1616 = "A partir de Abril", "Aguardando Execução na Distribuidora",
A1616 = "CAPACITAÇÃO", "Em execução no Corporativo",
TRUE, "Em Execução na Distribuidora"
)</f>
        <v>Em Execução na Distribuidora</v>
      </c>
      <c r="F1616" s="4" t="str" cm="1">
        <f t="array" ref="F1616">_xlfn.IFS(
AG1616 &lt;&gt; "", "Jan-Dez/26",
AH1616 &lt;&gt; "", "Fev-Dez/26",
AI1616 &lt;&gt; "", "Mar-Dez/26", AJ1616 &lt;&gt; "", "Abr-Dez/26",
TRUE, "A partir de Junho"
)</f>
        <v>Jan-Dez/26</v>
      </c>
      <c r="G1616" s="7" t="s">
        <v>37</v>
      </c>
      <c r="H1616" s="7" t="s">
        <v>38</v>
      </c>
      <c r="I1616" s="8" t="s">
        <v>223</v>
      </c>
      <c r="J1616" s="21" t="str" cm="1">
        <f t="array" aca="1" ref="J1616" ca="1">_xlfn.LET(
  _xlpm.actual_value_month, INDEX(T1616:AE1616, MATCH(DATE(YEAR(TODAY()), MONTH(TODAY()), 1), $T$1:$AE$1, 0)),
  IF(_xlpm.actual_value_month &lt;&gt; "",_xlpm.actual_value_month &amp; " inspeções mensais", "")
)</f>
        <v>4 inspeções mensais</v>
      </c>
      <c r="K1616" s="8" t="str" cm="1">
        <f t="array" ref="K1616">_xlfn.LET(
    _xlpm.sum_month, SUM(T1616:AE1616),
    IF(_xlpm.sum_month = 0, "", _xlpm.sum_month &amp; " inspeções realizadas no ano")
)</f>
        <v>36 inspeções realizadas no ano</v>
      </c>
      <c r="L1616" s="4" t="s">
        <v>230</v>
      </c>
      <c r="M1616" s="19" t="s">
        <v>231</v>
      </c>
      <c r="N1616" s="5" t="s">
        <v>42</v>
      </c>
      <c r="O1616" s="5" t="s">
        <v>43</v>
      </c>
      <c r="P1616" s="10" t="s">
        <v>44</v>
      </c>
      <c r="Q1616" s="10" t="s">
        <v>72</v>
      </c>
      <c r="R1616" s="11" t="s">
        <v>225</v>
      </c>
      <c r="S1616" s="11" t="s">
        <v>44</v>
      </c>
      <c r="T1616" s="22">
        <v>0</v>
      </c>
      <c r="U1616" s="22">
        <v>0</v>
      </c>
      <c r="V1616" s="22">
        <v>0</v>
      </c>
      <c r="W1616" s="22">
        <v>4</v>
      </c>
      <c r="X1616" s="22">
        <v>4</v>
      </c>
      <c r="Y1616" s="22">
        <v>4</v>
      </c>
      <c r="Z1616" s="22">
        <v>4</v>
      </c>
      <c r="AA1616" s="22">
        <v>4</v>
      </c>
      <c r="AB1616" s="22">
        <v>4</v>
      </c>
      <c r="AC1616" s="22">
        <v>4</v>
      </c>
      <c r="AD1616" s="22">
        <v>4</v>
      </c>
      <c r="AE1616" s="22">
        <v>4</v>
      </c>
      <c r="AG1616" s="71">
        <v>0</v>
      </c>
      <c r="AH1616" s="71">
        <v>0</v>
      </c>
      <c r="AI1616" s="71">
        <v>0</v>
      </c>
      <c r="AJ1616" s="71">
        <v>0</v>
      </c>
      <c r="AK1616" s="71">
        <v>0</v>
      </c>
      <c r="AL1616" s="71"/>
      <c r="AM1616" s="71"/>
      <c r="AN1616" s="71"/>
      <c r="AO1616" s="71"/>
      <c r="AP1616" s="71"/>
      <c r="AQ1616" s="71"/>
      <c r="AR1616" s="71"/>
      <c r="AS1616" s="94">
        <f t="shared" ca="1" si="1870"/>
        <v>8</v>
      </c>
      <c r="AT1616" s="95">
        <f t="shared" si="1871"/>
        <v>0</v>
      </c>
      <c r="AU1616" s="97">
        <f t="shared" si="1872"/>
        <v>0</v>
      </c>
      <c r="AW1616" s="51">
        <f t="shared" si="1873"/>
        <v>0</v>
      </c>
      <c r="AX1616" s="51">
        <f t="shared" si="1874"/>
        <v>0</v>
      </c>
      <c r="AY1616" s="51">
        <f t="shared" si="1875"/>
        <v>0</v>
      </c>
      <c r="AZ1616" s="51">
        <f t="shared" si="1876"/>
        <v>0</v>
      </c>
      <c r="BA1616" s="51">
        <f t="shared" si="1869"/>
        <v>0</v>
      </c>
      <c r="BB1616" s="51"/>
      <c r="BC1616" s="51"/>
      <c r="BD1616" s="51"/>
      <c r="BE1616" s="51"/>
      <c r="BF1616" s="51"/>
      <c r="BG1616" s="51"/>
      <c r="BH1616" s="51"/>
      <c r="BI1616" s="65" cm="1">
        <f t="array" ref="BI1616">IFERROR(INDEX(AW1616:BH1616,1,MATCH(2,1/(AW1616:BH1616&lt;&gt;""))),"")</f>
        <v>0</v>
      </c>
      <c r="BJ1616" s="68" cm="1">
        <f t="array" ref="BJ1616">IF(BM1616 = "", "",IFERROR(INDEX(AW1616:BH1616,1,MATCH(2,1/(AW1616:BH1616&lt;&gt;""),1)-1),""))</f>
        <v>0</v>
      </c>
      <c r="BK1616" s="58">
        <f>IF((IF(AW1616&gt;=115%,115%,AW1616) + IF(AX1616&gt;=115%,115%,AX1616) + IF(AY1616&gt;=115%,115%,AY1616) + (IF(AZ1616&gt;=115%,115%,AZ1616) + IF(BA1616&gt;=115%,115%,BA1616) + IF(BB1616&gt;=115%,115%,BB1616) + IF(BC1616&gt;=115%,115%,BC1616) + IF(BD1616&gt;=115%,115%,BD1616) + IF(BE1616&gt;=115%,115%,BE1616) + IF(BF1616&gt;=115%,115%,BF1616) + IF(BG1616&gt;=115%,115%,BG1616) + IF(BH1616&gt;=115%,115%,BH1616)))/_xlfn.XLOOKUP(F1616,Apuração!A:A,Apuração!B:B)&gt;=1.15,1.15,((IF(AZ1616&gt;=115%,115%,AZ1616) + IF(AX1616&gt;=115%,115%,AX1616) + IF(AY1616&gt;=115%,115%,AY1616) + (IF(AW1616&gt;=115%,115%,AW1616) + IF(BA1616&gt;=115%,115%,BA1616) + IF(BB1616&gt;=115%,115%,BB1616) + IF(BC1616&gt;=115%,115%,BC1616) + IF(BD1616&gt;=115%,115%,BD1616) + IF(BE1616&gt;=115%,115%,BE1616) + IF(BF1616&gt;=115%,115%,BF1616) + IF(BG1616&gt;=115%,115%,BG1616) + IF(BH1616&gt;=115%,115%,BH1616)))/_xlfn.XLOOKUP(F1616,Apuração!A:A,Apuração!B:B)))</f>
        <v>0</v>
      </c>
      <c r="BL1616" s="58" cm="1">
        <f t="array" aca="1" ref="BL1616" ca="1">IF(SUM(IFERROR(IF(INDEX(AW1616:INDEX(AW1616:BH1616, MATCH(2, 1/(AW1616:BH1616&lt;&gt;""), 1)-1), ROW(INDIRECT("1:" &amp; MATCH(2, 1/(AW1616:BH1616&lt;&gt;""), 1)-1))) &gt;= 115%, 115%, INDEX(AW1616:INDEX(AW1616:BH1616, MATCH(2, 1/(AW1616:BH1616&lt;&gt;""), 1)-1), ROW(INDIRECT("1:" &amp; MATCH(2, 1/(AW1616:BH1616&lt;&gt;""), 1)-1)))), 0))/_xlfn.XLOOKUP(F1616,Apuração!A:A,Apuração!B:B)&gt;=1.15,1.15,SUM(IFERROR(IF(INDEX(AW1616:INDEX(AW1616:BH1616, MATCH(2, 1/(AW1616:BH1616&lt;&gt;""), 1)-1), ROW(INDIRECT("1:" &amp; MATCH(2, 1/(AW1616:BH1616&lt;&gt;""), 1)-1))) &gt;= 115%, 115%, INDEX(AW1616:INDEX(AW1616:BH1616, MATCH(2, 1/(AW1616:BH1616&lt;&gt;""), 1)-1), ROW(INDIRECT("1:" &amp; MATCH(2, 1/(AW1616:BH1616&lt;&gt;""), 1)-1)))), 0))/_xlfn.XLOOKUP(F1616,Apuração!A:A,Apuração!B:B))</f>
        <v>0</v>
      </c>
      <c r="BM1616" s="55" cm="1">
        <f t="array" ref="BM1616">IFERROR(
   INDEX($AW$1:$BH$1,
      _xlfn.AGGREGATE(14, 6, COLUMN($AW$1:$BH$1)/(AW1616:BH1616&lt;&gt;""), 2) - COLUMN($AW$1) + 1
   ),
"")</f>
        <v>46113</v>
      </c>
      <c r="BN1616" s="55" cm="1">
        <f t="array" ref="BN1616">IFERROR(INDEX($AW$1:$BH$1,1,MATCH(2,1/(AW1616:BH1616&lt;&gt;""))),"")</f>
        <v>46143</v>
      </c>
      <c r="BO1616" s="53">
        <f ca="1">IFERROR(_xlfn.XLOOKUP(F1616,Apuração!A:A,Apuração!C:C)/_xlfn.XLOOKUP(F1616,Apuração!A:A,Apuração!B:B),0)</f>
        <v>0.41666666666666669</v>
      </c>
      <c r="BP1616" s="53">
        <f ca="1">IFERROR(_xlfn.XLOOKUP(F1616,Apuração!A:A,Apuração!D:D)/_xlfn.XLOOKUP(F1616,Apuração!A:A,Apuração!B:B),0)</f>
        <v>0.33333333333333331</v>
      </c>
      <c r="BQ1616" s="53">
        <f ca="1">IF(BK1616&gt;=BO1616,0,_xlfn.XLOOKUP(F1616,Apuração!A:A,Apuração!B:B)*(BO1616 + (1/_xlfn.XLOOKUP(F1616,Apuração!A:A,Apuração!B:B)) - BK1616))</f>
        <v>6</v>
      </c>
      <c r="BR1616" s="85">
        <f t="shared" ca="1" si="1877"/>
        <v>24</v>
      </c>
      <c r="BS1616" s="53">
        <f ca="1">IFERROR((_xlfn.XLOOKUP(F1616,Apuração!A:A,Apuração!C:C)+1)/_xlfn.XLOOKUP(F1616,Apuração!A:A,Apuração!B:B),0)</f>
        <v>0.5</v>
      </c>
    </row>
    <row r="1617" spans="1:71" ht="25.95" hidden="1" customHeight="1" x14ac:dyDescent="0.3">
      <c r="A1617" s="20" t="s">
        <v>87</v>
      </c>
      <c r="B1617" s="4" t="s">
        <v>229</v>
      </c>
      <c r="C1617" s="5" t="s">
        <v>97</v>
      </c>
      <c r="D1617" s="5" t="s">
        <v>106</v>
      </c>
      <c r="E1617" s="4" t="str" cm="1">
        <f t="array" ref="E1617">_xlfn.IFS(
F1617 = "A partir de Abril", "Aguardando Execução na Distribuidora",
A1617 = "CAPACITAÇÃO", "Em execução no Corporativo",
TRUE, "Em Execução na Distribuidora"
)</f>
        <v>Em Execução na Distribuidora</v>
      </c>
      <c r="F1617" s="4" t="str" cm="1">
        <f t="array" ref="F1617">_xlfn.IFS(
AG1617 &lt;&gt; "", "Jan-Dez/26",
AH1617 &lt;&gt; "", "Fev-Dez/26",
AI1617 &lt;&gt; "", "Mar-Dez/26", AJ1617 &lt;&gt; "", "Abr-Dez/26",
TRUE, "A partir de Junho"
)</f>
        <v>Jan-Dez/26</v>
      </c>
      <c r="G1617" s="7" t="s">
        <v>37</v>
      </c>
      <c r="H1617" s="7" t="s">
        <v>38</v>
      </c>
      <c r="I1617" s="8" t="s">
        <v>223</v>
      </c>
      <c r="J1617" s="21" t="str" cm="1">
        <f t="array" aca="1" ref="J1617" ca="1">_xlfn.LET(
  _xlpm.actual_value_month, INDEX(T1617:AE1617, MATCH(DATE(YEAR(TODAY()), MONTH(TODAY()), 1), $T$1:$AE$1, 0)),
  IF(_xlpm.actual_value_month &lt;&gt; "",_xlpm.actual_value_month &amp; " inspeções mensais", "")
)</f>
        <v>6 inspeções mensais</v>
      </c>
      <c r="K1617" s="8" t="str" cm="1">
        <f t="array" ref="K1617">_xlfn.LET(
    _xlpm.sum_month, SUM(T1617:AE1617),
    IF(_xlpm.sum_month = 0, "", _xlpm.sum_month &amp; " inspeções realizadas no ano")
)</f>
        <v>55 inspeções realizadas no ano</v>
      </c>
      <c r="L1617" s="4" t="s">
        <v>230</v>
      </c>
      <c r="M1617" s="19" t="s">
        <v>231</v>
      </c>
      <c r="N1617" s="5" t="s">
        <v>42</v>
      </c>
      <c r="O1617" s="5" t="s">
        <v>43</v>
      </c>
      <c r="P1617" s="10" t="s">
        <v>44</v>
      </c>
      <c r="Q1617" s="10" t="s">
        <v>72</v>
      </c>
      <c r="R1617" s="11" t="s">
        <v>225</v>
      </c>
      <c r="S1617" s="11" t="s">
        <v>44</v>
      </c>
      <c r="T1617" s="22">
        <v>0</v>
      </c>
      <c r="U1617" s="22">
        <v>1</v>
      </c>
      <c r="V1617" s="22">
        <v>0</v>
      </c>
      <c r="W1617" s="22">
        <v>6</v>
      </c>
      <c r="X1617" s="22">
        <v>6</v>
      </c>
      <c r="Y1617" s="22">
        <v>6</v>
      </c>
      <c r="Z1617" s="22">
        <v>6</v>
      </c>
      <c r="AA1617" s="22">
        <v>6</v>
      </c>
      <c r="AB1617" s="22">
        <v>6</v>
      </c>
      <c r="AC1617" s="22">
        <v>6</v>
      </c>
      <c r="AD1617" s="22">
        <v>6</v>
      </c>
      <c r="AE1617" s="22">
        <v>6</v>
      </c>
      <c r="AG1617" s="71">
        <v>0</v>
      </c>
      <c r="AH1617" s="71">
        <v>1</v>
      </c>
      <c r="AI1617" s="71">
        <v>0</v>
      </c>
      <c r="AJ1617" s="71">
        <v>0</v>
      </c>
      <c r="AK1617" s="71">
        <v>0</v>
      </c>
      <c r="AL1617" s="71"/>
      <c r="AM1617" s="71"/>
      <c r="AN1617" s="71"/>
      <c r="AO1617" s="71"/>
      <c r="AP1617" s="71"/>
      <c r="AQ1617" s="71"/>
      <c r="AR1617" s="71"/>
      <c r="AS1617" s="94">
        <f t="shared" ca="1" si="1870"/>
        <v>13</v>
      </c>
      <c r="AT1617" s="95">
        <f t="shared" si="1871"/>
        <v>1</v>
      </c>
      <c r="AU1617" s="97">
        <f t="shared" si="1872"/>
        <v>1</v>
      </c>
      <c r="AW1617" s="51">
        <f t="shared" si="1873"/>
        <v>0</v>
      </c>
      <c r="AX1617" s="51">
        <f t="shared" si="1874"/>
        <v>1</v>
      </c>
      <c r="AY1617" s="51">
        <f t="shared" si="1875"/>
        <v>0</v>
      </c>
      <c r="AZ1617" s="51">
        <f t="shared" si="1876"/>
        <v>0</v>
      </c>
      <c r="BA1617" s="51">
        <f t="shared" si="1869"/>
        <v>0</v>
      </c>
      <c r="BB1617" s="51"/>
      <c r="BC1617" s="51"/>
      <c r="BD1617" s="51"/>
      <c r="BE1617" s="51"/>
      <c r="BF1617" s="51"/>
      <c r="BG1617" s="51"/>
      <c r="BH1617" s="51"/>
      <c r="BI1617" s="65" cm="1">
        <f t="array" ref="BI1617">IFERROR(INDEX(AW1617:BH1617,1,MATCH(2,1/(AW1617:BH1617&lt;&gt;""))),"")</f>
        <v>0</v>
      </c>
      <c r="BJ1617" s="68" cm="1">
        <f t="array" ref="BJ1617">IF(BM1617 = "", "",IFERROR(INDEX(AW1617:BH1617,1,MATCH(2,1/(AW1617:BH1617&lt;&gt;""),1)-1),""))</f>
        <v>0</v>
      </c>
      <c r="BK1617" s="58">
        <f>IF((IF(AW1617&gt;=115%,115%,AW1617) + IF(AX1617&gt;=115%,115%,AX1617) + IF(AY1617&gt;=115%,115%,AY1617) + (IF(AZ1617&gt;=115%,115%,AZ1617) + IF(BA1617&gt;=115%,115%,BA1617) + IF(BB1617&gt;=115%,115%,BB1617) + IF(BC1617&gt;=115%,115%,BC1617) + IF(BD1617&gt;=115%,115%,BD1617) + IF(BE1617&gt;=115%,115%,BE1617) + IF(BF1617&gt;=115%,115%,BF1617) + IF(BG1617&gt;=115%,115%,BG1617) + IF(BH1617&gt;=115%,115%,BH1617)))/_xlfn.XLOOKUP(F1617,Apuração!A:A,Apuração!B:B)&gt;=1.15,1.15,((IF(AZ1617&gt;=115%,115%,AZ1617) + IF(AX1617&gt;=115%,115%,AX1617) + IF(AY1617&gt;=115%,115%,AY1617) + (IF(AW1617&gt;=115%,115%,AW1617) + IF(BA1617&gt;=115%,115%,BA1617) + IF(BB1617&gt;=115%,115%,BB1617) + IF(BC1617&gt;=115%,115%,BC1617) + IF(BD1617&gt;=115%,115%,BD1617) + IF(BE1617&gt;=115%,115%,BE1617) + IF(BF1617&gt;=115%,115%,BF1617) + IF(BG1617&gt;=115%,115%,BG1617) + IF(BH1617&gt;=115%,115%,BH1617)))/_xlfn.XLOOKUP(F1617,Apuração!A:A,Apuração!B:B)))</f>
        <v>8.3333333333333329E-2</v>
      </c>
      <c r="BL1617" s="58" cm="1">
        <f t="array" aca="1" ref="BL1617" ca="1">IF(SUM(IFERROR(IF(INDEX(AW1617:INDEX(AW1617:BH1617, MATCH(2, 1/(AW1617:BH1617&lt;&gt;""), 1)-1), ROW(INDIRECT("1:" &amp; MATCH(2, 1/(AW1617:BH1617&lt;&gt;""), 1)-1))) &gt;= 115%, 115%, INDEX(AW1617:INDEX(AW1617:BH1617, MATCH(2, 1/(AW1617:BH1617&lt;&gt;""), 1)-1), ROW(INDIRECT("1:" &amp; MATCH(2, 1/(AW1617:BH1617&lt;&gt;""), 1)-1)))), 0))/_xlfn.XLOOKUP(F1617,Apuração!A:A,Apuração!B:B)&gt;=1.15,1.15,SUM(IFERROR(IF(INDEX(AW1617:INDEX(AW1617:BH1617, MATCH(2, 1/(AW1617:BH1617&lt;&gt;""), 1)-1), ROW(INDIRECT("1:" &amp; MATCH(2, 1/(AW1617:BH1617&lt;&gt;""), 1)-1))) &gt;= 115%, 115%, INDEX(AW1617:INDEX(AW1617:BH1617, MATCH(2, 1/(AW1617:BH1617&lt;&gt;""), 1)-1), ROW(INDIRECT("1:" &amp; MATCH(2, 1/(AW1617:BH1617&lt;&gt;""), 1)-1)))), 0))/_xlfn.XLOOKUP(F1617,Apuração!A:A,Apuração!B:B))</f>
        <v>8.3333333333333329E-2</v>
      </c>
      <c r="BM1617" s="55" cm="1">
        <f t="array" ref="BM1617">IFERROR(
   INDEX($AW$1:$BH$1,
      _xlfn.AGGREGATE(14, 6, COLUMN($AW$1:$BH$1)/(AW1617:BH1617&lt;&gt;""), 2) - COLUMN($AW$1) + 1
   ),
"")</f>
        <v>46113</v>
      </c>
      <c r="BN1617" s="55" cm="1">
        <f t="array" ref="BN1617">IFERROR(INDEX($AW$1:$BH$1,1,MATCH(2,1/(AW1617:BH1617&lt;&gt;""))),"")</f>
        <v>46143</v>
      </c>
      <c r="BO1617" s="53">
        <f ca="1">IFERROR(_xlfn.XLOOKUP(F1617,Apuração!A:A,Apuração!C:C)/_xlfn.XLOOKUP(F1617,Apuração!A:A,Apuração!B:B),0)</f>
        <v>0.41666666666666669</v>
      </c>
      <c r="BP1617" s="53">
        <f ca="1">IFERROR(_xlfn.XLOOKUP(F1617,Apuração!A:A,Apuração!D:D)/_xlfn.XLOOKUP(F1617,Apuração!A:A,Apuração!B:B),0)</f>
        <v>0.33333333333333331</v>
      </c>
      <c r="BQ1617" s="53">
        <f ca="1">IF(BK1617&gt;=BO1617,0,_xlfn.XLOOKUP(F1617,Apuração!A:A,Apuração!B:B)*(BO1617 + (1/_xlfn.XLOOKUP(F1617,Apuração!A:A,Apuração!B:B)) - BK1617))</f>
        <v>5</v>
      </c>
      <c r="BR1617" s="85">
        <f t="shared" ca="1" si="1877"/>
        <v>30</v>
      </c>
      <c r="BS1617" s="53">
        <f ca="1">IFERROR((_xlfn.XLOOKUP(F1617,Apuração!A:A,Apuração!C:C)+1)/_xlfn.XLOOKUP(F1617,Apuração!A:A,Apuração!B:B),0)</f>
        <v>0.5</v>
      </c>
    </row>
    <row r="1618" spans="1:71" ht="25.95" hidden="1" customHeight="1" x14ac:dyDescent="0.3">
      <c r="A1618" s="20" t="s">
        <v>87</v>
      </c>
      <c r="B1618" s="4" t="s">
        <v>229</v>
      </c>
      <c r="C1618" s="5" t="s">
        <v>97</v>
      </c>
      <c r="D1618" s="5" t="s">
        <v>107</v>
      </c>
      <c r="E1618" s="4" t="str" cm="1">
        <f t="array" ref="E1618">_xlfn.IFS(
F1618 = "A partir de Abril", "Aguardando Execução na Distribuidora",
A1618 = "CAPACITAÇÃO", "Em execução no Corporativo",
TRUE, "Em Execução na Distribuidora"
)</f>
        <v>Em Execução na Distribuidora</v>
      </c>
      <c r="F1618" s="4" t="str" cm="1">
        <f t="array" ref="F1618">_xlfn.IFS(
AG1618 &lt;&gt; "", "Jan-Dez/26",
AH1618 &lt;&gt; "", "Fev-Dez/26",
AI1618 &lt;&gt; "", "Mar-Dez/26", AJ1618 &lt;&gt; "", "Abr-Dez/26",
TRUE, "A partir de Junho"
)</f>
        <v>Jan-Dez/26</v>
      </c>
      <c r="G1618" s="7" t="s">
        <v>37</v>
      </c>
      <c r="H1618" s="7" t="s">
        <v>38</v>
      </c>
      <c r="I1618" s="8" t="s">
        <v>223</v>
      </c>
      <c r="J1618" s="21" t="str" cm="1">
        <f t="array" aca="1" ref="J1618" ca="1">_xlfn.LET(
  _xlpm.actual_value_month, INDEX(T1618:AE1618, MATCH(DATE(YEAR(TODAY()), MONTH(TODAY()), 1), $T$1:$AE$1, 0)),
  IF(_xlpm.actual_value_month &lt;&gt; "",_xlpm.actual_value_month &amp; " inspeções mensais", "")
)</f>
        <v>5 inspeções mensais</v>
      </c>
      <c r="K1618" s="8" t="str" cm="1">
        <f t="array" ref="K1618">_xlfn.LET(
    _xlpm.sum_month, SUM(T1618:AE1618),
    IF(_xlpm.sum_month = 0, "", _xlpm.sum_month &amp; " inspeções realizadas no ano")
)</f>
        <v>45 inspeções realizadas no ano</v>
      </c>
      <c r="L1618" s="4" t="s">
        <v>230</v>
      </c>
      <c r="M1618" s="19" t="s">
        <v>231</v>
      </c>
      <c r="N1618" s="5" t="s">
        <v>42</v>
      </c>
      <c r="O1618" s="5" t="s">
        <v>43</v>
      </c>
      <c r="P1618" s="10" t="s">
        <v>44</v>
      </c>
      <c r="Q1618" s="10" t="s">
        <v>72</v>
      </c>
      <c r="R1618" s="11" t="s">
        <v>225</v>
      </c>
      <c r="S1618" s="11" t="s">
        <v>44</v>
      </c>
      <c r="T1618" s="22">
        <v>0</v>
      </c>
      <c r="U1618" s="22">
        <v>0</v>
      </c>
      <c r="V1618" s="22">
        <v>0</v>
      </c>
      <c r="W1618" s="22">
        <v>5</v>
      </c>
      <c r="X1618" s="22">
        <v>5</v>
      </c>
      <c r="Y1618" s="22">
        <v>5</v>
      </c>
      <c r="Z1618" s="22">
        <v>5</v>
      </c>
      <c r="AA1618" s="22">
        <v>5</v>
      </c>
      <c r="AB1618" s="22">
        <v>5</v>
      </c>
      <c r="AC1618" s="22">
        <v>5</v>
      </c>
      <c r="AD1618" s="22">
        <v>5</v>
      </c>
      <c r="AE1618" s="22">
        <v>5</v>
      </c>
      <c r="AG1618" s="71">
        <v>0</v>
      </c>
      <c r="AH1618" s="71">
        <v>0</v>
      </c>
      <c r="AI1618" s="71">
        <v>0</v>
      </c>
      <c r="AJ1618" s="71">
        <v>0</v>
      </c>
      <c r="AK1618" s="71">
        <v>0</v>
      </c>
      <c r="AL1618" s="71"/>
      <c r="AM1618" s="71"/>
      <c r="AN1618" s="71"/>
      <c r="AO1618" s="71"/>
      <c r="AP1618" s="71"/>
      <c r="AQ1618" s="71"/>
      <c r="AR1618" s="71"/>
      <c r="AS1618" s="94">
        <f t="shared" ca="1" si="1870"/>
        <v>10</v>
      </c>
      <c r="AT1618" s="95">
        <f t="shared" si="1871"/>
        <v>0</v>
      </c>
      <c r="AU1618" s="97">
        <f t="shared" si="1872"/>
        <v>0</v>
      </c>
      <c r="AW1618" s="51">
        <f t="shared" si="1873"/>
        <v>0</v>
      </c>
      <c r="AX1618" s="51">
        <f t="shared" si="1874"/>
        <v>0</v>
      </c>
      <c r="AY1618" s="51">
        <f t="shared" si="1875"/>
        <v>0</v>
      </c>
      <c r="AZ1618" s="51">
        <f t="shared" si="1876"/>
        <v>0</v>
      </c>
      <c r="BA1618" s="51">
        <f t="shared" si="1869"/>
        <v>0</v>
      </c>
      <c r="BB1618" s="51"/>
      <c r="BC1618" s="51"/>
      <c r="BD1618" s="51"/>
      <c r="BE1618" s="51"/>
      <c r="BF1618" s="51"/>
      <c r="BG1618" s="51"/>
      <c r="BH1618" s="51"/>
      <c r="BI1618" s="65" cm="1">
        <f t="array" ref="BI1618">IFERROR(INDEX(AW1618:BH1618,1,MATCH(2,1/(AW1618:BH1618&lt;&gt;""))),"")</f>
        <v>0</v>
      </c>
      <c r="BJ1618" s="68" cm="1">
        <f t="array" ref="BJ1618">IF(BM1618 = "", "",IFERROR(INDEX(AW1618:BH1618,1,MATCH(2,1/(AW1618:BH1618&lt;&gt;""),1)-1),""))</f>
        <v>0</v>
      </c>
      <c r="BK1618" s="58">
        <f>IF((IF(AW1618&gt;=115%,115%,AW1618) + IF(AX1618&gt;=115%,115%,AX1618) + IF(AY1618&gt;=115%,115%,AY1618) + (IF(AZ1618&gt;=115%,115%,AZ1618) + IF(BA1618&gt;=115%,115%,BA1618) + IF(BB1618&gt;=115%,115%,BB1618) + IF(BC1618&gt;=115%,115%,BC1618) + IF(BD1618&gt;=115%,115%,BD1618) + IF(BE1618&gt;=115%,115%,BE1618) + IF(BF1618&gt;=115%,115%,BF1618) + IF(BG1618&gt;=115%,115%,BG1618) + IF(BH1618&gt;=115%,115%,BH1618)))/_xlfn.XLOOKUP(F1618,Apuração!A:A,Apuração!B:B)&gt;=1.15,1.15,((IF(AZ1618&gt;=115%,115%,AZ1618) + IF(AX1618&gt;=115%,115%,AX1618) + IF(AY1618&gt;=115%,115%,AY1618) + (IF(AW1618&gt;=115%,115%,AW1618) + IF(BA1618&gt;=115%,115%,BA1618) + IF(BB1618&gt;=115%,115%,BB1618) + IF(BC1618&gt;=115%,115%,BC1618) + IF(BD1618&gt;=115%,115%,BD1618) + IF(BE1618&gt;=115%,115%,BE1618) + IF(BF1618&gt;=115%,115%,BF1618) + IF(BG1618&gt;=115%,115%,BG1618) + IF(BH1618&gt;=115%,115%,BH1618)))/_xlfn.XLOOKUP(F1618,Apuração!A:A,Apuração!B:B)))</f>
        <v>0</v>
      </c>
      <c r="BL1618" s="58" cm="1">
        <f t="array" aca="1" ref="BL1618" ca="1">IF(SUM(IFERROR(IF(INDEX(AW1618:INDEX(AW1618:BH1618, MATCH(2, 1/(AW1618:BH1618&lt;&gt;""), 1)-1), ROW(INDIRECT("1:" &amp; MATCH(2, 1/(AW1618:BH1618&lt;&gt;""), 1)-1))) &gt;= 115%, 115%, INDEX(AW1618:INDEX(AW1618:BH1618, MATCH(2, 1/(AW1618:BH1618&lt;&gt;""), 1)-1), ROW(INDIRECT("1:" &amp; MATCH(2, 1/(AW1618:BH1618&lt;&gt;""), 1)-1)))), 0))/_xlfn.XLOOKUP(F1618,Apuração!A:A,Apuração!B:B)&gt;=1.15,1.15,SUM(IFERROR(IF(INDEX(AW1618:INDEX(AW1618:BH1618, MATCH(2, 1/(AW1618:BH1618&lt;&gt;""), 1)-1), ROW(INDIRECT("1:" &amp; MATCH(2, 1/(AW1618:BH1618&lt;&gt;""), 1)-1))) &gt;= 115%, 115%, INDEX(AW1618:INDEX(AW1618:BH1618, MATCH(2, 1/(AW1618:BH1618&lt;&gt;""), 1)-1), ROW(INDIRECT("1:" &amp; MATCH(2, 1/(AW1618:BH1618&lt;&gt;""), 1)-1)))), 0))/_xlfn.XLOOKUP(F1618,Apuração!A:A,Apuração!B:B))</f>
        <v>0</v>
      </c>
      <c r="BM1618" s="55" cm="1">
        <f t="array" ref="BM1618">IFERROR(
   INDEX($AW$1:$BH$1,
      _xlfn.AGGREGATE(14, 6, COLUMN($AW$1:$BH$1)/(AW1618:BH1618&lt;&gt;""), 2) - COLUMN($AW$1) + 1
   ),
"")</f>
        <v>46113</v>
      </c>
      <c r="BN1618" s="55" cm="1">
        <f t="array" ref="BN1618">IFERROR(INDEX($AW$1:$BH$1,1,MATCH(2,1/(AW1618:BH1618&lt;&gt;""))),"")</f>
        <v>46143</v>
      </c>
      <c r="BO1618" s="53">
        <f ca="1">IFERROR(_xlfn.XLOOKUP(F1618,Apuração!A:A,Apuração!C:C)/_xlfn.XLOOKUP(F1618,Apuração!A:A,Apuração!B:B),0)</f>
        <v>0.41666666666666669</v>
      </c>
      <c r="BP1618" s="53">
        <f ca="1">IFERROR(_xlfn.XLOOKUP(F1618,Apuração!A:A,Apuração!D:D)/_xlfn.XLOOKUP(F1618,Apuração!A:A,Apuração!B:B),0)</f>
        <v>0.33333333333333331</v>
      </c>
      <c r="BQ1618" s="53">
        <f ca="1">IF(BK1618&gt;=BO1618,0,_xlfn.XLOOKUP(F1618,Apuração!A:A,Apuração!B:B)*(BO1618 + (1/_xlfn.XLOOKUP(F1618,Apuração!A:A,Apuração!B:B)) - BK1618))</f>
        <v>6</v>
      </c>
      <c r="BR1618" s="85">
        <f t="shared" ca="1" si="1877"/>
        <v>30</v>
      </c>
      <c r="BS1618" s="53">
        <f ca="1">IFERROR((_xlfn.XLOOKUP(F1618,Apuração!A:A,Apuração!C:C)+1)/_xlfn.XLOOKUP(F1618,Apuração!A:A,Apuração!B:B),0)</f>
        <v>0.5</v>
      </c>
    </row>
    <row r="1619" spans="1:71" ht="25.95" hidden="1" customHeight="1" x14ac:dyDescent="0.3">
      <c r="A1619" s="40" t="s">
        <v>87</v>
      </c>
      <c r="B1619" s="4" t="s">
        <v>229</v>
      </c>
      <c r="C1619" s="5" t="s">
        <v>97</v>
      </c>
      <c r="D1619" s="5" t="s">
        <v>36</v>
      </c>
      <c r="E1619" s="4" t="str" cm="1">
        <f t="array" ref="E1619">_xlfn.IFS(
F1619 = "A partir de Abril", "Aguardando Execução na Distribuidora",
A1619 = "CAPACITAÇÃO", "Em execução no Corporativo",
TRUE, "Em Execução na Distribuidora"
)</f>
        <v>Em Execução na Distribuidora</v>
      </c>
      <c r="F1619" s="4" t="str" cm="1">
        <f t="array" ref="F1619">_xlfn.IFS(
AG1619 &lt;&gt; "", "Jan-Dez/26",
AH1619 &lt;&gt; "", "Fev-Dez/26",
AI1619 &lt;&gt; "", "Mar-Dez/26", AJ1619 &lt;&gt; "", "Abr-Dez/26",
TRUE, "A partir de Junho"
)</f>
        <v>Jan-Dez/26</v>
      </c>
      <c r="G1619" s="7" t="s">
        <v>37</v>
      </c>
      <c r="H1619" s="7" t="s">
        <v>38</v>
      </c>
      <c r="I1619" s="8" t="s">
        <v>148</v>
      </c>
      <c r="J1619" s="21" t="str" cm="1">
        <f t="array" aca="1" ref="J1619" ca="1">_xlfn.LET(
  _xlpm.actual_value_month, INDEX(T1619:AE1619, MATCH(DATE(YEAR(TODAY()), MONTH(TODAY()), 1), $T$1:$AE$1, 0)),
  IF(_xlpm.actual_value_month &lt;&gt; "",_xlpm.actual_value_month &amp; " ações mensais", "")
)</f>
        <v/>
      </c>
      <c r="K1619" s="8" t="str" cm="1">
        <f t="array" ref="K1619">_xlfn.LET(
    _xlpm.sum_month, SUM(T1619:AE1619),
    IF(_xlpm.sum_month = 0, "", _xlpm.sum_month &amp; " NC's no ano")
)</f>
        <v/>
      </c>
      <c r="L1619" s="9" t="s">
        <v>149</v>
      </c>
      <c r="M1619" s="4"/>
      <c r="N1619" s="5" t="s">
        <v>51</v>
      </c>
      <c r="O1619" s="5" t="s">
        <v>52</v>
      </c>
      <c r="P1619" s="10" t="s">
        <v>44</v>
      </c>
      <c r="Q1619" s="10" t="s">
        <v>44</v>
      </c>
      <c r="R1619" s="11" t="s">
        <v>44</v>
      </c>
      <c r="S1619" s="11" t="s">
        <v>44</v>
      </c>
      <c r="T1619" s="22"/>
      <c r="U1619" s="22"/>
      <c r="V1619" s="22"/>
      <c r="W1619" s="22"/>
      <c r="X1619" s="22"/>
      <c r="Y1619" s="22"/>
      <c r="Z1619" s="22"/>
      <c r="AA1619" s="22"/>
      <c r="AB1619" s="22"/>
      <c r="AC1619" s="22"/>
      <c r="AD1619" s="22"/>
      <c r="AE1619" s="22"/>
      <c r="AG1619" s="71">
        <v>0</v>
      </c>
      <c r="AH1619" s="71">
        <v>1</v>
      </c>
      <c r="AI1619" s="71">
        <v>0</v>
      </c>
      <c r="AJ1619" s="71">
        <v>1</v>
      </c>
      <c r="AK1619" s="71">
        <v>0</v>
      </c>
      <c r="AL1619" s="71"/>
      <c r="AM1619" s="71"/>
      <c r="AN1619" s="71"/>
      <c r="AO1619" s="71"/>
      <c r="AP1619" s="71"/>
      <c r="AQ1619" s="71"/>
      <c r="AR1619" s="71"/>
      <c r="AS1619" s="94">
        <f ca="1">IF(MONTH(TODAY())=3,SUM(T1619:U1619),IF(MONTH(TODAY())=4,SUM(T1619:V1619),IF(MONTH(TODAY())=5,SUM(T1619:W1619),IF(MONTH(TODAY())=6,SUM(T1619:X1619),IF(MONTH(TODAY())=7,SUM(T1619:Y1619),IF(MONTH(TODAY())=8,SUM(T1619:Z1619),IF(MONTH(TODAY())=9,SUM(T1619:AA1619),IF(MONTH(TODAY())=10,SUM(T1619:AB1619),IF(MONTH(TODAY())=11,SUM(T1619:AC1619),IF(MONTH(TODAY())=12,SUM(T1619:AD1619),IF(MONTH(TODAY())=1,SUM(T1619:AE1619),T1619)))))))))))</f>
        <v>0</v>
      </c>
      <c r="AT1619" s="95">
        <f>SUM(AG1619:AR1619)</f>
        <v>2</v>
      </c>
      <c r="AU1619" s="97">
        <f>SUM(AG1619:AR1619)</f>
        <v>2</v>
      </c>
      <c r="AW1619" s="83">
        <f>AG1619</f>
        <v>0</v>
      </c>
      <c r="AX1619" s="83">
        <f>AH1619</f>
        <v>1</v>
      </c>
      <c r="AY1619" s="83">
        <f>AI1619</f>
        <v>0</v>
      </c>
      <c r="AZ1619" s="83">
        <f>AJ1619</f>
        <v>1</v>
      </c>
      <c r="BA1619" s="83">
        <f>AK1619</f>
        <v>0</v>
      </c>
      <c r="BB1619" s="52"/>
      <c r="BC1619" s="52"/>
      <c r="BD1619" s="52"/>
      <c r="BE1619" s="52"/>
      <c r="BF1619" s="52"/>
      <c r="BG1619" s="52"/>
      <c r="BH1619" s="52"/>
      <c r="BI1619" s="68" cm="1">
        <f t="array" ref="BI1619">IFERROR(INDEX(AW1619:BH1619,1,MATCH(2,1/(AW1619:BH1619&lt;&gt;""))),"")</f>
        <v>0</v>
      </c>
      <c r="BJ1619" s="68" cm="1">
        <f t="array" ref="BJ1619">IF(BM1619 = "", "",IFERROR(INDEX(AW1619:BH1619,1,MATCH(2,1/(AW1619:BH1619&lt;&gt;""),1)-1),""))</f>
        <v>1</v>
      </c>
      <c r="BK1619" s="59">
        <f>SUM(AW1619:BH1619)</f>
        <v>2</v>
      </c>
      <c r="BL1619" s="86" cm="1">
        <f t="array" ref="BL1619">IFERROR(SUM(AW1619:INDEX(AW1619:BH1619, MATCH(2, 1/(AW1619:BH1619&lt;&gt;""), 1) - 1))/_xlfn.XLOOKUP(F1619,Apuração!A:A,Apuração!B:B),0)</f>
        <v>0.16666666666666666</v>
      </c>
      <c r="BM1619" s="55" cm="1">
        <f t="array" ref="BM1619">IFERROR(
   INDEX($AW$1:$BH$1,
      _xlfn.AGGREGATE(14, 6, COLUMN($AW$1:$BH$1)/(AW1619:BH1619&lt;&gt;""), 2) - COLUMN($AW$1) + 1
   ),
"")</f>
        <v>46113</v>
      </c>
      <c r="BN1619" s="55" cm="1">
        <f t="array" ref="BN1619">IFERROR(INDEX($AW$1:$BH$1,1,MATCH(2,1/(AW1619:BH1619&lt;&gt;""))),"")</f>
        <v>46143</v>
      </c>
      <c r="BO1619" s="53">
        <f ca="1">IFERROR(_xlfn.XLOOKUP(F1619,Apuração!A:A,Apuração!C:C)/_xlfn.XLOOKUP(F1619,Apuração!A:A,Apuração!B:B),0)</f>
        <v>0.41666666666666669</v>
      </c>
      <c r="BP1619" s="53">
        <f ca="1">IFERROR(_xlfn.XLOOKUP(F1619,Apuração!A:A,Apuração!D:D)/_xlfn.XLOOKUP(F1619,Apuração!A:A,Apuração!B:B),0)</f>
        <v>0.33333333333333331</v>
      </c>
      <c r="BQ1619" s="53">
        <f ca="1">IF(BK1619&gt;=BO1619,0,_xlfn.XLOOKUP(F1619,Apuração!A:A,Apuração!B:B)*(BO1619 + (1/_xlfn.XLOOKUP(F1619,Apuração!A:A,Apuração!B:B)) - BK1619))</f>
        <v>0</v>
      </c>
      <c r="BR1619" s="85">
        <f ca="1">IF(BQ1619=0,0,BQ1619*Z1619)</f>
        <v>0</v>
      </c>
      <c r="BS1619" s="53">
        <f ca="1">IFERROR((_xlfn.XLOOKUP(F1619,Apuração!A:A,Apuração!C:C)+1)/_xlfn.XLOOKUP(F1619,Apuração!A:A,Apuração!B:B),0)</f>
        <v>0.5</v>
      </c>
    </row>
    <row r="1620" spans="1:71" ht="25.95" hidden="1" customHeight="1" x14ac:dyDescent="0.3">
      <c r="A1620" s="40" t="s">
        <v>87</v>
      </c>
      <c r="B1620" s="4" t="s">
        <v>222</v>
      </c>
      <c r="C1620" s="5" t="s">
        <v>209</v>
      </c>
      <c r="D1620" s="5" t="s">
        <v>210</v>
      </c>
      <c r="E1620" s="4" t="str" cm="1">
        <f t="array" ref="E1620">_xlfn.IFS(
F1620 = "A partir de Abril", "Aguardando Execução na Distribuidora",
A1620 = "CAPACITAÇÃO", "Em execução no Corporativo",
TRUE, "Em Execução na Distribuidora"
)</f>
        <v>Em Execução na Distribuidora</v>
      </c>
      <c r="F1620" s="4" t="str" cm="1">
        <f t="array" ref="F1620">_xlfn.IFS(
AG1620 &lt;&gt; "", "Jan-Dez/26",
AH1620 &lt;&gt; "", "Fev-Dez/26",
AI1620 &lt;&gt; "", "Mar-Dez/26", AJ1620 &lt;&gt; "", "Abr-Dez/26",
TRUE, "A partir de Junho"
)</f>
        <v>Jan-Dez/26</v>
      </c>
      <c r="G1620" s="7" t="s">
        <v>37</v>
      </c>
      <c r="H1620" s="7" t="s">
        <v>38</v>
      </c>
      <c r="I1620" s="8" t="s">
        <v>148</v>
      </c>
      <c r="J1620" s="21" t="str" cm="1">
        <f t="array" aca="1" ref="J1620" ca="1">_xlfn.LET(
  _xlpm.actual_value_month, INDEX(T1620:AE1620, MATCH(DATE(YEAR(TODAY()), MONTH(TODAY()), 1), $T$1:$AE$1, 0)),
  IF(_xlpm.actual_value_month &lt;&gt; "",_xlpm.actual_value_month &amp; " ações mensais", "")
)</f>
        <v/>
      </c>
      <c r="K1620" s="8" t="str" cm="1">
        <f t="array" ref="K1620">_xlfn.LET(
    _xlpm.sum_month, SUM(T1620:AE1620),
    IF(_xlpm.sum_month = 0, "", _xlpm.sum_month &amp; " NC's no ano")
)</f>
        <v/>
      </c>
      <c r="L1620" s="9" t="s">
        <v>149</v>
      </c>
      <c r="M1620" s="4"/>
      <c r="N1620" s="5" t="s">
        <v>51</v>
      </c>
      <c r="O1620" s="5" t="s">
        <v>52</v>
      </c>
      <c r="P1620" s="10" t="s">
        <v>44</v>
      </c>
      <c r="Q1620" s="10" t="s">
        <v>44</v>
      </c>
      <c r="R1620" s="11" t="s">
        <v>44</v>
      </c>
      <c r="S1620" s="11" t="s">
        <v>44</v>
      </c>
      <c r="T1620" s="22"/>
      <c r="U1620" s="22"/>
      <c r="V1620" s="22"/>
      <c r="W1620" s="22"/>
      <c r="X1620" s="22"/>
      <c r="Y1620" s="22"/>
      <c r="Z1620" s="22"/>
      <c r="AA1620" s="22"/>
      <c r="AB1620" s="22"/>
      <c r="AC1620" s="22"/>
      <c r="AD1620" s="22"/>
      <c r="AE1620" s="22"/>
      <c r="AG1620" s="82">
        <v>5</v>
      </c>
      <c r="AH1620" s="82">
        <v>26</v>
      </c>
      <c r="AI1620" s="82">
        <v>35</v>
      </c>
      <c r="AJ1620" s="82">
        <v>20</v>
      </c>
      <c r="AK1620" s="71">
        <v>18</v>
      </c>
      <c r="AL1620" s="71"/>
      <c r="AM1620" s="71"/>
      <c r="AN1620" s="71"/>
      <c r="AO1620" s="71"/>
      <c r="AP1620" s="71"/>
      <c r="AQ1620" s="71"/>
      <c r="AR1620" s="71"/>
      <c r="AS1620" s="94">
        <f t="shared" ref="AS1620:AS1624" ca="1" si="1878">IF(MONTH(TODAY())=3,SUM(T1620:U1620),IF(MONTH(TODAY())=4,SUM(T1620:V1620),IF(MONTH(TODAY())=5,SUM(T1620:W1620),IF(MONTH(TODAY())=6,SUM(T1620:X1620),IF(MONTH(TODAY())=7,SUM(T1620:Y1620),IF(MONTH(TODAY())=8,SUM(T1620:Z1620),IF(MONTH(TODAY())=9,SUM(T1620:AA1620),IF(MONTH(TODAY())=10,SUM(T1620:AB1620),IF(MONTH(TODAY())=11,SUM(T1620:AC1620),IF(MONTH(TODAY())=12,SUM(T1620:AD1620),IF(MONTH(TODAY())=1,SUM(T1620:AE1620),T1620)))))))))))</f>
        <v>0</v>
      </c>
      <c r="AT1620" s="95">
        <f t="shared" ref="AT1620:AT1624" si="1879">SUM(AG1620:AR1620)</f>
        <v>104</v>
      </c>
      <c r="AU1620" s="97">
        <f t="shared" ref="AU1620:AU1624" si="1880">SUM(AG1620:AR1620)</f>
        <v>104</v>
      </c>
      <c r="AW1620" s="83">
        <f t="shared" ref="AW1620:AW1624" si="1881">AG1620</f>
        <v>5</v>
      </c>
      <c r="AX1620" s="83">
        <f t="shared" ref="AX1620:AX1624" si="1882">AH1620</f>
        <v>26</v>
      </c>
      <c r="AY1620" s="83">
        <f t="shared" ref="AY1620:AY1624" si="1883">AI1620</f>
        <v>35</v>
      </c>
      <c r="AZ1620" s="83">
        <f t="shared" ref="AZ1620:AZ1624" si="1884">AJ1620</f>
        <v>20</v>
      </c>
      <c r="BA1620" s="83">
        <f>AK1620</f>
        <v>18</v>
      </c>
      <c r="BB1620" s="52"/>
      <c r="BC1620" s="52"/>
      <c r="BD1620" s="52"/>
      <c r="BE1620" s="52"/>
      <c r="BF1620" s="52"/>
      <c r="BG1620" s="52"/>
      <c r="BH1620" s="52"/>
      <c r="BI1620" s="68" cm="1">
        <f t="array" ref="BI1620">IFERROR(INDEX(AW1620:BH1620,1,MATCH(2,1/(AW1620:BH1620&lt;&gt;""))),"")</f>
        <v>18</v>
      </c>
      <c r="BJ1620" s="68" cm="1">
        <f t="array" ref="BJ1620">IF(BM1620 = "", "",IFERROR(INDEX(AW1620:BH1620,1,MATCH(2,1/(AW1620:BH1620&lt;&gt;""),1)-1),""))</f>
        <v>20</v>
      </c>
      <c r="BK1620" s="59">
        <f t="shared" ref="BK1620:BK1624" si="1885">SUM(AW1620:BH1620)</f>
        <v>104</v>
      </c>
      <c r="BL1620" s="59" cm="1">
        <f t="array" ref="BL1620">IFERROR(SUM(AW1620:INDEX(AW1620:BH1620, MATCH(2, 1/(AW1620:BH1620&lt;&gt;""), 1) - 1))/_xlfn.XLOOKUP(F1620,Apuração!A:A,Apuração!B:B),0)</f>
        <v>7.166666666666667</v>
      </c>
      <c r="BM1620" s="55" cm="1">
        <f t="array" ref="BM1620">IFERROR(
   INDEX($AW$1:$BH$1,
      _xlfn.AGGREGATE(14, 6, COLUMN($AW$1:$BH$1)/(AW1620:BH1620&lt;&gt;""), 2) - COLUMN($AW$1) + 1
   ),
"")</f>
        <v>46113</v>
      </c>
      <c r="BN1620" s="55" cm="1">
        <f t="array" ref="BN1620">IFERROR(INDEX($AW$1:$BH$1,1,MATCH(2,1/(AW1620:BH1620&lt;&gt;""))),"")</f>
        <v>46143</v>
      </c>
      <c r="BO1620" s="53">
        <f ca="1">IFERROR(_xlfn.XLOOKUP(F1620,Apuração!A:A,Apuração!C:C)/_xlfn.XLOOKUP(F1620,Apuração!A:A,Apuração!B:B),0)</f>
        <v>0.41666666666666669</v>
      </c>
      <c r="BP1620" s="53">
        <f ca="1">IFERROR(_xlfn.XLOOKUP(F1620,Apuração!A:A,Apuração!D:D)/_xlfn.XLOOKUP(F1620,Apuração!A:A,Apuração!B:B),0)</f>
        <v>0.33333333333333331</v>
      </c>
      <c r="BQ1620" s="53">
        <f ca="1">IF(BK1620&gt;=BO1620,0,_xlfn.XLOOKUP(F1620,Apuração!A:A,Apuração!B:B)*(BO1620 + (1/_xlfn.XLOOKUP(F1620,Apuração!A:A,Apuração!B:B)) - BK1620))</f>
        <v>0</v>
      </c>
      <c r="BR1620" s="85">
        <f t="shared" ref="BR1620:BR1624" ca="1" si="1886">IF(BQ1620=0,0,BQ1620*Z1620)</f>
        <v>0</v>
      </c>
      <c r="BS1620" s="53">
        <f ca="1">IFERROR((_xlfn.XLOOKUP(F1620,Apuração!A:A,Apuração!C:C)+1)/_xlfn.XLOOKUP(F1620,Apuração!A:A,Apuração!B:B),0)</f>
        <v>0.5</v>
      </c>
    </row>
    <row r="1621" spans="1:71" ht="25.95" hidden="1" customHeight="1" x14ac:dyDescent="0.3">
      <c r="A1621" s="40" t="s">
        <v>87</v>
      </c>
      <c r="B1621" s="4" t="s">
        <v>222</v>
      </c>
      <c r="C1621" s="5" t="s">
        <v>209</v>
      </c>
      <c r="D1621" s="5" t="s">
        <v>47</v>
      </c>
      <c r="E1621" s="4" t="str" cm="1">
        <f t="array" ref="E1621">_xlfn.IFS(
F1621 = "A partir de Abril", "Aguardando Execução na Distribuidora",
A1621 = "CAPACITAÇÃO", "Em execução no Corporativo",
TRUE, "Em Execução na Distribuidora"
)</f>
        <v>Em Execução na Distribuidora</v>
      </c>
      <c r="F1621" s="4" t="str" cm="1">
        <f t="array" ref="F1621">_xlfn.IFS(
AG1621 &lt;&gt; "", "Jan-Dez/26",
AH1621 &lt;&gt; "", "Fev-Dez/26",
AI1621 &lt;&gt; "", "Mar-Dez/26", AJ1621 &lt;&gt; "", "Abr-Dez/26",
TRUE, "A partir de Junho"
)</f>
        <v>Jan-Dez/26</v>
      </c>
      <c r="G1621" s="7" t="s">
        <v>37</v>
      </c>
      <c r="H1621" s="7" t="s">
        <v>38</v>
      </c>
      <c r="I1621" s="8" t="s">
        <v>148</v>
      </c>
      <c r="J1621" s="21" t="str" cm="1">
        <f t="array" aca="1" ref="J1621" ca="1">_xlfn.LET(
  _xlpm.actual_value_month, INDEX(T1621:AE1621, MATCH(DATE(YEAR(TODAY()), MONTH(TODAY()), 1), $T$1:$AE$1, 0)),
  IF(_xlpm.actual_value_month &lt;&gt; "",_xlpm.actual_value_month &amp; " ações mensais", "")
)</f>
        <v/>
      </c>
      <c r="K1621" s="8" t="str" cm="1">
        <f t="array" ref="K1621">_xlfn.LET(
    _xlpm.sum_month, SUM(T1621:AE1621),
    IF(_xlpm.sum_month = 0, "", _xlpm.sum_month &amp; " NC's no ano")
)</f>
        <v/>
      </c>
      <c r="L1621" s="9" t="s">
        <v>149</v>
      </c>
      <c r="M1621" s="4"/>
      <c r="N1621" s="5" t="s">
        <v>51</v>
      </c>
      <c r="O1621" s="5" t="s">
        <v>52</v>
      </c>
      <c r="P1621" s="10" t="s">
        <v>44</v>
      </c>
      <c r="Q1621" s="10" t="s">
        <v>44</v>
      </c>
      <c r="R1621" s="11" t="s">
        <v>44</v>
      </c>
      <c r="S1621" s="11" t="s">
        <v>44</v>
      </c>
      <c r="T1621" s="22"/>
      <c r="U1621" s="22"/>
      <c r="V1621" s="22"/>
      <c r="W1621" s="22"/>
      <c r="X1621" s="22"/>
      <c r="Y1621" s="22"/>
      <c r="Z1621" s="22"/>
      <c r="AA1621" s="22"/>
      <c r="AB1621" s="22"/>
      <c r="AC1621" s="22"/>
      <c r="AD1621" s="22"/>
      <c r="AE1621" s="22"/>
      <c r="AG1621" s="82">
        <v>3</v>
      </c>
      <c r="AH1621" s="82">
        <v>25</v>
      </c>
      <c r="AI1621" s="82">
        <v>34</v>
      </c>
      <c r="AJ1621" s="82">
        <v>32</v>
      </c>
      <c r="AK1621" s="71">
        <v>29</v>
      </c>
      <c r="AL1621" s="71"/>
      <c r="AM1621" s="71"/>
      <c r="AN1621" s="71"/>
      <c r="AO1621" s="71"/>
      <c r="AP1621" s="71"/>
      <c r="AQ1621" s="71"/>
      <c r="AR1621" s="71"/>
      <c r="AS1621" s="94">
        <f t="shared" ca="1" si="1878"/>
        <v>0</v>
      </c>
      <c r="AT1621" s="95">
        <f t="shared" si="1879"/>
        <v>123</v>
      </c>
      <c r="AU1621" s="97">
        <f t="shared" si="1880"/>
        <v>123</v>
      </c>
      <c r="AW1621" s="83">
        <f t="shared" si="1881"/>
        <v>3</v>
      </c>
      <c r="AX1621" s="83">
        <f t="shared" si="1882"/>
        <v>25</v>
      </c>
      <c r="AY1621" s="83">
        <f t="shared" si="1883"/>
        <v>34</v>
      </c>
      <c r="AZ1621" s="83">
        <f t="shared" si="1884"/>
        <v>32</v>
      </c>
      <c r="BA1621" s="83">
        <f t="shared" ref="BA1621:BA1624" si="1887">AK1621</f>
        <v>29</v>
      </c>
      <c r="BB1621" s="52"/>
      <c r="BC1621" s="52"/>
      <c r="BD1621" s="52"/>
      <c r="BE1621" s="52"/>
      <c r="BF1621" s="52"/>
      <c r="BG1621" s="52"/>
      <c r="BH1621" s="52"/>
      <c r="BI1621" s="68" cm="1">
        <f t="array" ref="BI1621">IFERROR(INDEX(AW1621:BH1621,1,MATCH(2,1/(AW1621:BH1621&lt;&gt;""))),"")</f>
        <v>29</v>
      </c>
      <c r="BJ1621" s="68" cm="1">
        <f t="array" ref="BJ1621">IF(BM1621 = "", "",IFERROR(INDEX(AW1621:BH1621,1,MATCH(2,1/(AW1621:BH1621&lt;&gt;""),1)-1),""))</f>
        <v>32</v>
      </c>
      <c r="BK1621" s="59">
        <f t="shared" si="1885"/>
        <v>123</v>
      </c>
      <c r="BL1621" s="59" cm="1">
        <f t="array" ref="BL1621">IFERROR(SUM(AW1621:INDEX(AW1621:BH1621, MATCH(2, 1/(AW1621:BH1621&lt;&gt;""), 1) - 1))/_xlfn.XLOOKUP(F1621,Apuração!A:A,Apuração!B:B),0)</f>
        <v>7.833333333333333</v>
      </c>
      <c r="BM1621" s="55" cm="1">
        <f t="array" ref="BM1621">IFERROR(
   INDEX($AW$1:$BH$1,
      _xlfn.AGGREGATE(14, 6, COLUMN($AW$1:$BH$1)/(AW1621:BH1621&lt;&gt;""), 2) - COLUMN($AW$1) + 1
   ),
"")</f>
        <v>46113</v>
      </c>
      <c r="BN1621" s="55" cm="1">
        <f t="array" ref="BN1621">IFERROR(INDEX($AW$1:$BH$1,1,MATCH(2,1/(AW1621:BH1621&lt;&gt;""))),"")</f>
        <v>46143</v>
      </c>
      <c r="BO1621" s="53">
        <f ca="1">IFERROR(_xlfn.XLOOKUP(F1621,Apuração!A:A,Apuração!C:C)/_xlfn.XLOOKUP(F1621,Apuração!A:A,Apuração!B:B),0)</f>
        <v>0.41666666666666669</v>
      </c>
      <c r="BP1621" s="53">
        <f ca="1">IFERROR(_xlfn.XLOOKUP(F1621,Apuração!A:A,Apuração!D:D)/_xlfn.XLOOKUP(F1621,Apuração!A:A,Apuração!B:B),0)</f>
        <v>0.33333333333333331</v>
      </c>
      <c r="BQ1621" s="53">
        <f ca="1">IF(BK1621&gt;=BO1621,0,_xlfn.XLOOKUP(F1621,Apuração!A:A,Apuração!B:B)*(BO1621 + (1/_xlfn.XLOOKUP(F1621,Apuração!A:A,Apuração!B:B)) - BK1621))</f>
        <v>0</v>
      </c>
      <c r="BR1621" s="85">
        <f t="shared" ca="1" si="1886"/>
        <v>0</v>
      </c>
      <c r="BS1621" s="53">
        <f ca="1">IFERROR((_xlfn.XLOOKUP(F1621,Apuração!A:A,Apuração!C:C)+1)/_xlfn.XLOOKUP(F1621,Apuração!A:A,Apuração!B:B),0)</f>
        <v>0.5</v>
      </c>
    </row>
    <row r="1622" spans="1:71" ht="25.95" hidden="1" customHeight="1" x14ac:dyDescent="0.3">
      <c r="A1622" s="40" t="s">
        <v>87</v>
      </c>
      <c r="B1622" s="4" t="s">
        <v>222</v>
      </c>
      <c r="C1622" s="5" t="s">
        <v>209</v>
      </c>
      <c r="D1622" s="5" t="s">
        <v>211</v>
      </c>
      <c r="E1622" s="4" t="str" cm="1">
        <f t="array" ref="E1622">_xlfn.IFS(
F1622 = "A partir de Abril", "Aguardando Execução na Distribuidora",
A1622 = "CAPACITAÇÃO", "Em execução no Corporativo",
TRUE, "Em Execução na Distribuidora"
)</f>
        <v>Em Execução na Distribuidora</v>
      </c>
      <c r="F1622" s="4" t="str" cm="1">
        <f t="array" ref="F1622">_xlfn.IFS(
AG1622 &lt;&gt; "", "Jan-Dez/26",
AH1622 &lt;&gt; "", "Fev-Dez/26",
AI1622 &lt;&gt; "", "Mar-Dez/26", AJ1622 &lt;&gt; "", "Abr-Dez/26",
TRUE, "A partir de Junho"
)</f>
        <v>Jan-Dez/26</v>
      </c>
      <c r="G1622" s="7" t="s">
        <v>37</v>
      </c>
      <c r="H1622" s="7" t="s">
        <v>38</v>
      </c>
      <c r="I1622" s="8" t="s">
        <v>148</v>
      </c>
      <c r="J1622" s="21" t="str" cm="1">
        <f t="array" aca="1" ref="J1622" ca="1">_xlfn.LET(
  _xlpm.actual_value_month, INDEX(T1622:AE1622, MATCH(DATE(YEAR(TODAY()), MONTH(TODAY()), 1), $T$1:$AE$1, 0)),
  IF(_xlpm.actual_value_month &lt;&gt; "",_xlpm.actual_value_month &amp; " ações mensais", "")
)</f>
        <v/>
      </c>
      <c r="K1622" s="8" t="str" cm="1">
        <f t="array" ref="K1622">_xlfn.LET(
    _xlpm.sum_month, SUM(T1622:AE1622),
    IF(_xlpm.sum_month = 0, "", _xlpm.sum_month &amp; " NC's no ano")
)</f>
        <v/>
      </c>
      <c r="L1622" s="9" t="s">
        <v>149</v>
      </c>
      <c r="M1622" s="4"/>
      <c r="N1622" s="5" t="s">
        <v>51</v>
      </c>
      <c r="O1622" s="5" t="s">
        <v>52</v>
      </c>
      <c r="P1622" s="10" t="s">
        <v>44</v>
      </c>
      <c r="Q1622" s="10" t="s">
        <v>44</v>
      </c>
      <c r="R1622" s="11" t="s">
        <v>44</v>
      </c>
      <c r="S1622" s="11" t="s">
        <v>44</v>
      </c>
      <c r="T1622" s="22"/>
      <c r="U1622" s="22"/>
      <c r="V1622" s="22"/>
      <c r="W1622" s="22"/>
      <c r="X1622" s="22"/>
      <c r="Y1622" s="22"/>
      <c r="Z1622" s="22"/>
      <c r="AA1622" s="22"/>
      <c r="AB1622" s="22"/>
      <c r="AC1622" s="22"/>
      <c r="AD1622" s="22"/>
      <c r="AE1622" s="22"/>
      <c r="AG1622" s="82">
        <v>16</v>
      </c>
      <c r="AH1622" s="82">
        <v>44</v>
      </c>
      <c r="AI1622" s="82">
        <v>18</v>
      </c>
      <c r="AJ1622" s="82">
        <v>57</v>
      </c>
      <c r="AK1622" s="71">
        <v>37</v>
      </c>
      <c r="AL1622" s="71"/>
      <c r="AM1622" s="71"/>
      <c r="AN1622" s="71"/>
      <c r="AO1622" s="71"/>
      <c r="AP1622" s="71"/>
      <c r="AQ1622" s="71"/>
      <c r="AR1622" s="71"/>
      <c r="AS1622" s="94">
        <f t="shared" ca="1" si="1878"/>
        <v>0</v>
      </c>
      <c r="AT1622" s="95">
        <f t="shared" si="1879"/>
        <v>172</v>
      </c>
      <c r="AU1622" s="97">
        <f t="shared" si="1880"/>
        <v>172</v>
      </c>
      <c r="AW1622" s="83">
        <f t="shared" si="1881"/>
        <v>16</v>
      </c>
      <c r="AX1622" s="83">
        <f t="shared" si="1882"/>
        <v>44</v>
      </c>
      <c r="AY1622" s="83">
        <f t="shared" si="1883"/>
        <v>18</v>
      </c>
      <c r="AZ1622" s="83">
        <f t="shared" si="1884"/>
        <v>57</v>
      </c>
      <c r="BA1622" s="83">
        <f t="shared" si="1887"/>
        <v>37</v>
      </c>
      <c r="BB1622" s="52"/>
      <c r="BC1622" s="52"/>
      <c r="BD1622" s="52"/>
      <c r="BE1622" s="52"/>
      <c r="BF1622" s="52"/>
      <c r="BG1622" s="52"/>
      <c r="BH1622" s="52"/>
      <c r="BI1622" s="68" cm="1">
        <f t="array" ref="BI1622">IFERROR(INDEX(AW1622:BH1622,1,MATCH(2,1/(AW1622:BH1622&lt;&gt;""))),"")</f>
        <v>37</v>
      </c>
      <c r="BJ1622" s="68" cm="1">
        <f t="array" ref="BJ1622">IF(BM1622 = "", "",IFERROR(INDEX(AW1622:BH1622,1,MATCH(2,1/(AW1622:BH1622&lt;&gt;""),1)-1),""))</f>
        <v>57</v>
      </c>
      <c r="BK1622" s="59">
        <f t="shared" si="1885"/>
        <v>172</v>
      </c>
      <c r="BL1622" s="59" cm="1">
        <f t="array" ref="BL1622">IFERROR(SUM(AW1622:INDEX(AW1622:BH1622, MATCH(2, 1/(AW1622:BH1622&lt;&gt;""), 1) - 1))/_xlfn.XLOOKUP(F1622,Apuração!A:A,Apuração!B:B),0)</f>
        <v>11.25</v>
      </c>
      <c r="BM1622" s="55" cm="1">
        <f t="array" ref="BM1622">IFERROR(
   INDEX($AW$1:$BH$1,
      _xlfn.AGGREGATE(14, 6, COLUMN($AW$1:$BH$1)/(AW1622:BH1622&lt;&gt;""), 2) - COLUMN($AW$1) + 1
   ),
"")</f>
        <v>46113</v>
      </c>
      <c r="BN1622" s="55" cm="1">
        <f t="array" ref="BN1622">IFERROR(INDEX($AW$1:$BH$1,1,MATCH(2,1/(AW1622:BH1622&lt;&gt;""))),"")</f>
        <v>46143</v>
      </c>
      <c r="BO1622" s="53">
        <f ca="1">IFERROR(_xlfn.XLOOKUP(F1622,Apuração!A:A,Apuração!C:C)/_xlfn.XLOOKUP(F1622,Apuração!A:A,Apuração!B:B),0)</f>
        <v>0.41666666666666669</v>
      </c>
      <c r="BP1622" s="53">
        <f ca="1">IFERROR(_xlfn.XLOOKUP(F1622,Apuração!A:A,Apuração!D:D)/_xlfn.XLOOKUP(F1622,Apuração!A:A,Apuração!B:B),0)</f>
        <v>0.33333333333333331</v>
      </c>
      <c r="BQ1622" s="53">
        <f ca="1">IF(BK1622&gt;=BO1622,0,_xlfn.XLOOKUP(F1622,Apuração!A:A,Apuração!B:B)*(BO1622 + (1/_xlfn.XLOOKUP(F1622,Apuração!A:A,Apuração!B:B)) - BK1622))</f>
        <v>0</v>
      </c>
      <c r="BR1622" s="85">
        <f t="shared" ca="1" si="1886"/>
        <v>0</v>
      </c>
      <c r="BS1622" s="53">
        <f ca="1">IFERROR((_xlfn.XLOOKUP(F1622,Apuração!A:A,Apuração!C:C)+1)/_xlfn.XLOOKUP(F1622,Apuração!A:A,Apuração!B:B),0)</f>
        <v>0.5</v>
      </c>
    </row>
    <row r="1623" spans="1:71" ht="25.95" hidden="1" customHeight="1" x14ac:dyDescent="0.3">
      <c r="A1623" s="40" t="s">
        <v>87</v>
      </c>
      <c r="B1623" s="4" t="s">
        <v>222</v>
      </c>
      <c r="C1623" s="5" t="s">
        <v>209</v>
      </c>
      <c r="D1623" s="5" t="s">
        <v>212</v>
      </c>
      <c r="E1623" s="4" t="str" cm="1">
        <f t="array" ref="E1623">_xlfn.IFS(
F1623 = "A partir de Abril", "Aguardando Execução na Distribuidora",
A1623 = "CAPACITAÇÃO", "Em execução no Corporativo",
TRUE, "Em Execução na Distribuidora"
)</f>
        <v>Em Execução na Distribuidora</v>
      </c>
      <c r="F1623" s="4" t="str" cm="1">
        <f t="array" ref="F1623">_xlfn.IFS(
AG1623 &lt;&gt; "", "Jan-Dez/26",
AH1623 &lt;&gt; "", "Fev-Dez/26",
AI1623 &lt;&gt; "", "Mar-Dez/26", AJ1623 &lt;&gt; "", "Abr-Dez/26",
TRUE, "A partir de Junho"
)</f>
        <v>Jan-Dez/26</v>
      </c>
      <c r="G1623" s="7" t="s">
        <v>37</v>
      </c>
      <c r="H1623" s="7" t="s">
        <v>38</v>
      </c>
      <c r="I1623" s="8" t="s">
        <v>148</v>
      </c>
      <c r="J1623" s="21" t="str" cm="1">
        <f t="array" aca="1" ref="J1623" ca="1">_xlfn.LET(
  _xlpm.actual_value_month, INDEX(T1623:AE1623, MATCH(DATE(YEAR(TODAY()), MONTH(TODAY()), 1), $T$1:$AE$1, 0)),
  IF(_xlpm.actual_value_month &lt;&gt; "",_xlpm.actual_value_month &amp; " ações mensais", "")
)</f>
        <v/>
      </c>
      <c r="K1623" s="8" t="str" cm="1">
        <f t="array" ref="K1623">_xlfn.LET(
    _xlpm.sum_month, SUM(T1623:AE1623),
    IF(_xlpm.sum_month = 0, "", _xlpm.sum_month &amp; " NC's no ano")
)</f>
        <v/>
      </c>
      <c r="L1623" s="9" t="s">
        <v>149</v>
      </c>
      <c r="M1623" s="4"/>
      <c r="N1623" s="5" t="s">
        <v>51</v>
      </c>
      <c r="O1623" s="5" t="s">
        <v>52</v>
      </c>
      <c r="P1623" s="10" t="s">
        <v>44</v>
      </c>
      <c r="Q1623" s="10" t="s">
        <v>44</v>
      </c>
      <c r="R1623" s="11" t="s">
        <v>44</v>
      </c>
      <c r="S1623" s="11" t="s">
        <v>44</v>
      </c>
      <c r="T1623" s="22"/>
      <c r="U1623" s="22"/>
      <c r="V1623" s="22"/>
      <c r="W1623" s="22"/>
      <c r="X1623" s="22"/>
      <c r="Y1623" s="22"/>
      <c r="Z1623" s="22"/>
      <c r="AA1623" s="22"/>
      <c r="AB1623" s="22"/>
      <c r="AC1623" s="22"/>
      <c r="AD1623" s="22"/>
      <c r="AE1623" s="22"/>
      <c r="AG1623" s="82">
        <v>9</v>
      </c>
      <c r="AH1623" s="82">
        <v>42</v>
      </c>
      <c r="AI1623" s="82">
        <v>41</v>
      </c>
      <c r="AJ1623" s="82">
        <v>41</v>
      </c>
      <c r="AK1623" s="71">
        <v>46</v>
      </c>
      <c r="AL1623" s="71"/>
      <c r="AM1623" s="71"/>
      <c r="AN1623" s="71"/>
      <c r="AO1623" s="71"/>
      <c r="AP1623" s="71"/>
      <c r="AQ1623" s="71"/>
      <c r="AR1623" s="71"/>
      <c r="AS1623" s="94">
        <f t="shared" ca="1" si="1878"/>
        <v>0</v>
      </c>
      <c r="AT1623" s="95">
        <f t="shared" si="1879"/>
        <v>179</v>
      </c>
      <c r="AU1623" s="97">
        <f t="shared" si="1880"/>
        <v>179</v>
      </c>
      <c r="AW1623" s="83">
        <f t="shared" si="1881"/>
        <v>9</v>
      </c>
      <c r="AX1623" s="83">
        <f t="shared" si="1882"/>
        <v>42</v>
      </c>
      <c r="AY1623" s="83">
        <f t="shared" si="1883"/>
        <v>41</v>
      </c>
      <c r="AZ1623" s="83">
        <f t="shared" si="1884"/>
        <v>41</v>
      </c>
      <c r="BA1623" s="83">
        <f t="shared" si="1887"/>
        <v>46</v>
      </c>
      <c r="BB1623" s="52"/>
      <c r="BC1623" s="52"/>
      <c r="BD1623" s="52"/>
      <c r="BE1623" s="52"/>
      <c r="BF1623" s="52"/>
      <c r="BG1623" s="52"/>
      <c r="BH1623" s="52"/>
      <c r="BI1623" s="68" cm="1">
        <f t="array" ref="BI1623">IFERROR(INDEX(AW1623:BH1623,1,MATCH(2,1/(AW1623:BH1623&lt;&gt;""))),"")</f>
        <v>46</v>
      </c>
      <c r="BJ1623" s="68" cm="1">
        <f t="array" ref="BJ1623">IF(BM1623 = "", "",IFERROR(INDEX(AW1623:BH1623,1,MATCH(2,1/(AW1623:BH1623&lt;&gt;""),1)-1),""))</f>
        <v>41</v>
      </c>
      <c r="BK1623" s="59">
        <f t="shared" si="1885"/>
        <v>179</v>
      </c>
      <c r="BL1623" s="59" cm="1">
        <f t="array" ref="BL1623">IFERROR(SUM(AW1623:INDEX(AW1623:BH1623, MATCH(2, 1/(AW1623:BH1623&lt;&gt;""), 1) - 1))/_xlfn.XLOOKUP(F1623,Apuração!A:A,Apuração!B:B),0)</f>
        <v>11.083333333333334</v>
      </c>
      <c r="BM1623" s="55" cm="1">
        <f t="array" ref="BM1623">IFERROR(
   INDEX($AW$1:$BH$1,
      _xlfn.AGGREGATE(14, 6, COLUMN($AW$1:$BH$1)/(AW1623:BH1623&lt;&gt;""), 2) - COLUMN($AW$1) + 1
   ),
"")</f>
        <v>46113</v>
      </c>
      <c r="BN1623" s="55" cm="1">
        <f t="array" ref="BN1623">IFERROR(INDEX($AW$1:$BH$1,1,MATCH(2,1/(AW1623:BH1623&lt;&gt;""))),"")</f>
        <v>46143</v>
      </c>
      <c r="BO1623" s="53">
        <f ca="1">IFERROR(_xlfn.XLOOKUP(F1623,Apuração!A:A,Apuração!C:C)/_xlfn.XLOOKUP(F1623,Apuração!A:A,Apuração!B:B),0)</f>
        <v>0.41666666666666669</v>
      </c>
      <c r="BP1623" s="53">
        <f ca="1">IFERROR(_xlfn.XLOOKUP(F1623,Apuração!A:A,Apuração!D:D)/_xlfn.XLOOKUP(F1623,Apuração!A:A,Apuração!B:B),0)</f>
        <v>0.33333333333333331</v>
      </c>
      <c r="BQ1623" s="53">
        <f ca="1">IF(BK1623&gt;=BO1623,0,_xlfn.XLOOKUP(F1623,Apuração!A:A,Apuração!B:B)*(BO1623 + (1/_xlfn.XLOOKUP(F1623,Apuração!A:A,Apuração!B:B)) - BK1623))</f>
        <v>0</v>
      </c>
      <c r="BR1623" s="85">
        <f t="shared" ca="1" si="1886"/>
        <v>0</v>
      </c>
      <c r="BS1623" s="53">
        <f ca="1">IFERROR((_xlfn.XLOOKUP(F1623,Apuração!A:A,Apuração!C:C)+1)/_xlfn.XLOOKUP(F1623,Apuração!A:A,Apuração!B:B),0)</f>
        <v>0.5</v>
      </c>
    </row>
    <row r="1624" spans="1:71" ht="25.95" hidden="1" customHeight="1" x14ac:dyDescent="0.3">
      <c r="A1624" s="40" t="s">
        <v>87</v>
      </c>
      <c r="B1624" s="4" t="s">
        <v>222</v>
      </c>
      <c r="C1624" s="5" t="s">
        <v>209</v>
      </c>
      <c r="D1624" s="5" t="s">
        <v>213</v>
      </c>
      <c r="E1624" s="4" t="str" cm="1">
        <f t="array" ref="E1624">_xlfn.IFS(
F1624 = "A partir de Abril", "Aguardando Execução na Distribuidora",
A1624 = "CAPACITAÇÃO", "Em execução no Corporativo",
TRUE, "Em Execução na Distribuidora"
)</f>
        <v>Em Execução na Distribuidora</v>
      </c>
      <c r="F1624" s="4" t="str" cm="1">
        <f t="array" ref="F1624">_xlfn.IFS(
AG1624 &lt;&gt; "", "Jan-Dez/26",
AH1624 &lt;&gt; "", "Fev-Dez/26",
AI1624 &lt;&gt; "", "Mar-Dez/26", AJ1624 &lt;&gt; "", "Abr-Dez/26",
TRUE, "A partir de Junho"
)</f>
        <v>Jan-Dez/26</v>
      </c>
      <c r="G1624" s="7" t="s">
        <v>37</v>
      </c>
      <c r="H1624" s="7" t="s">
        <v>38</v>
      </c>
      <c r="I1624" s="8" t="s">
        <v>148</v>
      </c>
      <c r="J1624" s="21" t="str" cm="1">
        <f t="array" aca="1" ref="J1624" ca="1">_xlfn.LET(
  _xlpm.actual_value_month, INDEX(T1624:AE1624, MATCH(DATE(YEAR(TODAY()), MONTH(TODAY()), 1), $T$1:$AE$1, 0)),
  IF(_xlpm.actual_value_month &lt;&gt; "",_xlpm.actual_value_month &amp; " ações mensais", "")
)</f>
        <v/>
      </c>
      <c r="K1624" s="8" t="str" cm="1">
        <f t="array" ref="K1624">_xlfn.LET(
    _xlpm.sum_month, SUM(T1624:AE1624),
    IF(_xlpm.sum_month = 0, "", _xlpm.sum_month &amp; " NC's no ano")
)</f>
        <v/>
      </c>
      <c r="L1624" s="9" t="s">
        <v>149</v>
      </c>
      <c r="M1624" s="4"/>
      <c r="N1624" s="5" t="s">
        <v>51</v>
      </c>
      <c r="O1624" s="5" t="s">
        <v>52</v>
      </c>
      <c r="P1624" s="10" t="s">
        <v>44</v>
      </c>
      <c r="Q1624" s="10" t="s">
        <v>44</v>
      </c>
      <c r="R1624" s="11" t="s">
        <v>44</v>
      </c>
      <c r="S1624" s="11" t="s">
        <v>44</v>
      </c>
      <c r="T1624" s="22"/>
      <c r="U1624" s="22"/>
      <c r="V1624" s="22"/>
      <c r="W1624" s="22"/>
      <c r="X1624" s="22"/>
      <c r="Y1624" s="22"/>
      <c r="Z1624" s="22"/>
      <c r="AA1624" s="22"/>
      <c r="AB1624" s="22"/>
      <c r="AC1624" s="22"/>
      <c r="AD1624" s="22"/>
      <c r="AE1624" s="22"/>
      <c r="AG1624" s="82">
        <v>19</v>
      </c>
      <c r="AH1624" s="82">
        <v>22</v>
      </c>
      <c r="AI1624" s="82">
        <v>10</v>
      </c>
      <c r="AJ1624" s="82">
        <v>10</v>
      </c>
      <c r="AK1624" s="71">
        <v>42</v>
      </c>
      <c r="AL1624" s="71"/>
      <c r="AM1624" s="71"/>
      <c r="AN1624" s="71"/>
      <c r="AO1624" s="71"/>
      <c r="AP1624" s="71"/>
      <c r="AQ1624" s="71"/>
      <c r="AR1624" s="71"/>
      <c r="AS1624" s="94">
        <f t="shared" ca="1" si="1878"/>
        <v>0</v>
      </c>
      <c r="AT1624" s="95">
        <f t="shared" si="1879"/>
        <v>103</v>
      </c>
      <c r="AU1624" s="97">
        <f t="shared" si="1880"/>
        <v>103</v>
      </c>
      <c r="AW1624" s="83">
        <f t="shared" si="1881"/>
        <v>19</v>
      </c>
      <c r="AX1624" s="83">
        <f t="shared" si="1882"/>
        <v>22</v>
      </c>
      <c r="AY1624" s="83">
        <f t="shared" si="1883"/>
        <v>10</v>
      </c>
      <c r="AZ1624" s="83">
        <f t="shared" si="1884"/>
        <v>10</v>
      </c>
      <c r="BA1624" s="83">
        <f t="shared" si="1887"/>
        <v>42</v>
      </c>
      <c r="BB1624" s="52"/>
      <c r="BC1624" s="52"/>
      <c r="BD1624" s="52"/>
      <c r="BE1624" s="52"/>
      <c r="BF1624" s="52"/>
      <c r="BG1624" s="52"/>
      <c r="BH1624" s="52"/>
      <c r="BI1624" s="68" cm="1">
        <f t="array" ref="BI1624">IFERROR(INDEX(AW1624:BH1624,1,MATCH(2,1/(AW1624:BH1624&lt;&gt;""))),"")</f>
        <v>42</v>
      </c>
      <c r="BJ1624" s="68" cm="1">
        <f t="array" ref="BJ1624">IF(BM1624 = "", "",IFERROR(INDEX(AW1624:BH1624,1,MATCH(2,1/(AW1624:BH1624&lt;&gt;""),1)-1),""))</f>
        <v>10</v>
      </c>
      <c r="BK1624" s="59">
        <f t="shared" si="1885"/>
        <v>103</v>
      </c>
      <c r="BL1624" s="59" cm="1">
        <f t="array" ref="BL1624">IFERROR(SUM(AW1624:INDEX(AW1624:BH1624, MATCH(2, 1/(AW1624:BH1624&lt;&gt;""), 1) - 1))/_xlfn.XLOOKUP(F1624,Apuração!A:A,Apuração!B:B),0)</f>
        <v>5.083333333333333</v>
      </c>
      <c r="BM1624" s="55" cm="1">
        <f t="array" ref="BM1624">IFERROR(
   INDEX($AW$1:$BH$1,
      _xlfn.AGGREGATE(14, 6, COLUMN($AW$1:$BH$1)/(AW1624:BH1624&lt;&gt;""), 2) - COLUMN($AW$1) + 1
   ),
"")</f>
        <v>46113</v>
      </c>
      <c r="BN1624" s="55" cm="1">
        <f t="array" ref="BN1624">IFERROR(INDEX($AW$1:$BH$1,1,MATCH(2,1/(AW1624:BH1624&lt;&gt;""))),"")</f>
        <v>46143</v>
      </c>
      <c r="BO1624" s="53">
        <f ca="1">IFERROR(_xlfn.XLOOKUP(F1624,Apuração!A:A,Apuração!C:C)/_xlfn.XLOOKUP(F1624,Apuração!A:A,Apuração!B:B),0)</f>
        <v>0.41666666666666669</v>
      </c>
      <c r="BP1624" s="53">
        <f ca="1">IFERROR(_xlfn.XLOOKUP(F1624,Apuração!A:A,Apuração!D:D)/_xlfn.XLOOKUP(F1624,Apuração!A:A,Apuração!B:B),0)</f>
        <v>0.33333333333333331</v>
      </c>
      <c r="BQ1624" s="53">
        <f ca="1">IF(BK1624&gt;=BO1624,0,_xlfn.XLOOKUP(F1624,Apuração!A:A,Apuração!B:B)*(BO1624 + (1/_xlfn.XLOOKUP(F1624,Apuração!A:A,Apuração!B:B)) - BK1624))</f>
        <v>0</v>
      </c>
      <c r="BR1624" s="85">
        <f t="shared" ca="1" si="1886"/>
        <v>0</v>
      </c>
      <c r="BS1624" s="53">
        <f ca="1">IFERROR((_xlfn.XLOOKUP(F1624,Apuração!A:A,Apuração!C:C)+1)/_xlfn.XLOOKUP(F1624,Apuração!A:A,Apuração!B:B),0)</f>
        <v>0.5</v>
      </c>
    </row>
    <row r="1625" spans="1:71" ht="25.95" hidden="1" customHeight="1" x14ac:dyDescent="0.3">
      <c r="A1625" s="20" t="s">
        <v>87</v>
      </c>
      <c r="B1625" s="4" t="s">
        <v>229</v>
      </c>
      <c r="C1625" s="5" t="s">
        <v>209</v>
      </c>
      <c r="D1625" s="5" t="s">
        <v>36</v>
      </c>
      <c r="E1625" s="4" t="str" cm="1">
        <f t="array" ref="E1625">_xlfn.IFS(
F1625 = "A partir de Abril", "Aguardando Execução na Distribuidora",
A1625 = "CAPACITAÇÃO", "Em execução no Corporativo",
TRUE, "Em Execução na Distribuidora"
)</f>
        <v>Em Execução na Distribuidora</v>
      </c>
      <c r="F1625" s="4" t="str" cm="1">
        <f t="array" ref="F1625">_xlfn.IFS(
AG1625 &lt;&gt; "", "Jan-Dez/26",
AH1625 &lt;&gt; "", "Fev-Dez/26",
AI1625 &lt;&gt; "", "Mar-Dez/26", AJ1625 &lt;&gt; "", "Abr-Dez/26",
TRUE, "A partir de Junho"
)</f>
        <v>Jan-Dez/26</v>
      </c>
      <c r="G1625" s="7" t="s">
        <v>37</v>
      </c>
      <c r="H1625" s="7" t="s">
        <v>110</v>
      </c>
      <c r="I1625" s="8" t="s">
        <v>223</v>
      </c>
      <c r="J1625" s="21" t="str" cm="1">
        <f t="array" aca="1" ref="J1625" ca="1">_xlfn.LET(
  _xlpm.actual_value_month, INDEX(T1625:AE1625, MATCH(DATE(YEAR(TODAY()), MONTH(TODAY()), 1), $T$1:$AE$1, 0)),
  IF(_xlpm.actual_value_month &lt;&gt; "",_xlpm.actual_value_month &amp; " inspeções mensais", "")
)</f>
        <v>34 inspeções mensais</v>
      </c>
      <c r="K1625" s="8" t="str" cm="1">
        <f t="array" ref="K1625">_xlfn.LET(
    _xlpm.sum_month, SUM(T1625:AE1625),
    IF(_xlpm.sum_month = 0, "", _xlpm.sum_month &amp; " inspeções realizadas no ano")
)</f>
        <v>392 inspeções realizadas no ano</v>
      </c>
      <c r="L1625" s="4" t="s">
        <v>230</v>
      </c>
      <c r="M1625" s="19" t="s">
        <v>231</v>
      </c>
      <c r="N1625" s="5" t="s">
        <v>42</v>
      </c>
      <c r="O1625" s="5" t="s">
        <v>43</v>
      </c>
      <c r="P1625" s="10" t="s">
        <v>44</v>
      </c>
      <c r="Q1625" s="10" t="s">
        <v>72</v>
      </c>
      <c r="R1625" s="11" t="s">
        <v>225</v>
      </c>
      <c r="S1625" s="11" t="s">
        <v>44</v>
      </c>
      <c r="T1625" s="22">
        <v>25</v>
      </c>
      <c r="U1625" s="22">
        <v>33</v>
      </c>
      <c r="V1625" s="22">
        <v>28</v>
      </c>
      <c r="W1625" s="22">
        <v>34</v>
      </c>
      <c r="X1625" s="22">
        <v>34</v>
      </c>
      <c r="Y1625" s="22">
        <v>34</v>
      </c>
      <c r="Z1625" s="22">
        <v>34</v>
      </c>
      <c r="AA1625" s="22">
        <v>34</v>
      </c>
      <c r="AB1625" s="22">
        <v>34</v>
      </c>
      <c r="AC1625" s="22">
        <v>34</v>
      </c>
      <c r="AD1625" s="22">
        <v>34</v>
      </c>
      <c r="AE1625" s="22">
        <v>34</v>
      </c>
      <c r="AG1625" s="71">
        <v>25</v>
      </c>
      <c r="AH1625" s="71">
        <v>33</v>
      </c>
      <c r="AI1625" s="71">
        <v>28</v>
      </c>
      <c r="AJ1625" s="71">
        <v>31</v>
      </c>
      <c r="AK1625" s="71">
        <v>26</v>
      </c>
      <c r="AL1625" s="71"/>
      <c r="AM1625" s="71"/>
      <c r="AN1625" s="71"/>
      <c r="AO1625" s="71"/>
      <c r="AP1625" s="71"/>
      <c r="AQ1625" s="71"/>
      <c r="AR1625" s="71"/>
      <c r="AS1625" s="94">
        <f ca="1">IF(MONTH(TODAY())=3,SUM(T1625:U1625),IF(MONTH(TODAY())=4,SUM(T1625:V1625),IF(MONTH(TODAY())=5,SUM(T1625:W1625),IF(MONTH(TODAY())=6,SUM(T1625:X1625),IF(MONTH(TODAY())=7,SUM(T1625:Y1625),IF(MONTH(TODAY())=8,SUM(T1625:Z1625),IF(MONTH(TODAY())=9,SUM(T1625:AA1625),IF(MONTH(TODAY())=10,SUM(T1625:AB1625),IF(MONTH(TODAY())=11,SUM(T1625:AC1625),IF(MONTH(TODAY())=12,SUM(T1625:AD1625),IF(MONTH(TODAY())=1,SUM(T1625:AE1625),T1625)))))))))))</f>
        <v>154</v>
      </c>
      <c r="AT1625" s="95">
        <f>SUM(IF(AW1625&lt;1.15,AG1625,1.15*T1625),IF(AX1625&lt;1.15,AH1625,1.15*U1625),IF(AY1625&lt;1.15,AI1625,1.15*V1625),IF(AZ1625&lt;1.15,AJ1625,1.15*W1625),IF(BA1625&lt;1.15,AK1625,1.15*X1625),IF(BB1625&lt;1.15,AL1625,1.15*Y1625),IF(BC1625&lt;1.15,AM1625,1.15*Z1625),IF(BD1625&lt;1.15,AN1625,1.15*AA1625),IF(BE1625&lt;1.15,AO1625,1.15*AB1625),IF(BF1625&lt;1.15,AP1625,1.15*AC1625),IF(BG1625&lt;1.15,AQ1625,1.15*AD1625),IF(BH1625&lt;1.15,AR1625,1.15*AE1625))</f>
        <v>143</v>
      </c>
      <c r="AU1625" s="97">
        <f>SUM(AG1625:AR1625)</f>
        <v>143</v>
      </c>
      <c r="AW1625" s="51">
        <f>IFERROR(IF(AG1625="",0,AG1625/T1625),0)</f>
        <v>1</v>
      </c>
      <c r="AX1625" s="51">
        <f>IFERROR(IF(AH1625="",0,AH1625/U1625),0)</f>
        <v>1</v>
      </c>
      <c r="AY1625" s="51">
        <f>IFERROR(IF(AI1625="",0,AI1625/V1625),0)</f>
        <v>1</v>
      </c>
      <c r="AZ1625" s="51">
        <f>IFERROR(IF(AJ1625="",0,AJ1625/W1625),0)</f>
        <v>0.91176470588235292</v>
      </c>
      <c r="BA1625" s="51">
        <f t="shared" ref="BA1625:BA1630" si="1888">IFERROR(IF(AK1625="",0,AK1625/X1625),0)</f>
        <v>0.76470588235294112</v>
      </c>
      <c r="BB1625" s="51"/>
      <c r="BC1625" s="51"/>
      <c r="BD1625" s="51"/>
      <c r="BE1625" s="51"/>
      <c r="BF1625" s="51"/>
      <c r="BG1625" s="51"/>
      <c r="BH1625" s="51"/>
      <c r="BI1625" s="65" cm="1">
        <f t="array" ref="BI1625">IFERROR(INDEX(AW1625:BH1625,1,MATCH(2,1/(AW1625:BH1625&lt;&gt;""))),"")</f>
        <v>0.76470588235294112</v>
      </c>
      <c r="BJ1625" s="68" cm="1">
        <f t="array" ref="BJ1625">IF(BM1625 = "", "",IFERROR(INDEX(AW1625:BH1625,1,MATCH(2,1/(AW1625:BH1625&lt;&gt;""),1)-1),""))</f>
        <v>0.91176470588235292</v>
      </c>
      <c r="BK1625" s="58">
        <f>IF((IF(AW1625&gt;=115%,115%,AW1625) + IF(AX1625&gt;=115%,115%,AX1625) + IF(AY1625&gt;=115%,115%,AY1625) + (IF(AZ1625&gt;=115%,115%,AZ1625) + IF(BA1625&gt;=115%,115%,BA1625) + IF(BB1625&gt;=115%,115%,BB1625) + IF(BC1625&gt;=115%,115%,BC1625) + IF(BD1625&gt;=115%,115%,BD1625) + IF(BE1625&gt;=115%,115%,BE1625) + IF(BF1625&gt;=115%,115%,BF1625) + IF(BG1625&gt;=115%,115%,BG1625) + IF(BH1625&gt;=115%,115%,BH1625)))/_xlfn.XLOOKUP(F1625,Apuração!A:A,Apuração!B:B)&gt;=1.15,1.15,((IF(AZ1625&gt;=115%,115%,AZ1625) + IF(AX1625&gt;=115%,115%,AX1625) + IF(AY1625&gt;=115%,115%,AY1625) + (IF(AW1625&gt;=115%,115%,AW1625) + IF(BA1625&gt;=115%,115%,BA1625) + IF(BB1625&gt;=115%,115%,BB1625) + IF(BC1625&gt;=115%,115%,BC1625) + IF(BD1625&gt;=115%,115%,BD1625) + IF(BE1625&gt;=115%,115%,BE1625) + IF(BF1625&gt;=115%,115%,BF1625) + IF(BG1625&gt;=115%,115%,BG1625) + IF(BH1625&gt;=115%,115%,BH1625)))/_xlfn.XLOOKUP(F1625,Apuração!A:A,Apuração!B:B)))</f>
        <v>0.38970588235294112</v>
      </c>
      <c r="BL1625" s="58" cm="1">
        <f t="array" aca="1" ref="BL1625" ca="1">IF(SUM(IFERROR(IF(INDEX(AW1625:INDEX(AW1625:BH1625, MATCH(2, 1/(AW1625:BH1625&lt;&gt;""), 1)-1), ROW(INDIRECT("1:" &amp; MATCH(2, 1/(AW1625:BH1625&lt;&gt;""), 1)-1))) &gt;= 115%, 115%, INDEX(AW1625:INDEX(AW1625:BH1625, MATCH(2, 1/(AW1625:BH1625&lt;&gt;""), 1)-1), ROW(INDIRECT("1:" &amp; MATCH(2, 1/(AW1625:BH1625&lt;&gt;""), 1)-1)))), 0))/_xlfn.XLOOKUP(F1625,Apuração!A:A,Apuração!B:B)&gt;=1.15,1.15,SUM(IFERROR(IF(INDEX(AW1625:INDEX(AW1625:BH1625, MATCH(2, 1/(AW1625:BH1625&lt;&gt;""), 1)-1), ROW(INDIRECT("1:" &amp; MATCH(2, 1/(AW1625:BH1625&lt;&gt;""), 1)-1))) &gt;= 115%, 115%, INDEX(AW1625:INDEX(AW1625:BH1625, MATCH(2, 1/(AW1625:BH1625&lt;&gt;""), 1)-1), ROW(INDIRECT("1:" &amp; MATCH(2, 1/(AW1625:BH1625&lt;&gt;""), 1)-1)))), 0))/_xlfn.XLOOKUP(F1625,Apuração!A:A,Apuração!B:B))</f>
        <v>0.32598039215686275</v>
      </c>
      <c r="BM1625" s="55" cm="1">
        <f t="array" ref="BM1625">IFERROR(
   INDEX($AW$1:$BH$1,
      _xlfn.AGGREGATE(14, 6, COLUMN($AW$1:$BH$1)/(AW1625:BH1625&lt;&gt;""), 2) - COLUMN($AW$1) + 1
   ),
"")</f>
        <v>46113</v>
      </c>
      <c r="BN1625" s="55" cm="1">
        <f t="array" ref="BN1625">IFERROR(INDEX($AW$1:$BH$1,1,MATCH(2,1/(AW1625:BH1625&lt;&gt;""))),"")</f>
        <v>46143</v>
      </c>
      <c r="BO1625" s="53">
        <f ca="1">IFERROR(_xlfn.XLOOKUP(F1625,Apuração!A:A,Apuração!C:C)/_xlfn.XLOOKUP(F1625,Apuração!A:A,Apuração!B:B),0)</f>
        <v>0.41666666666666669</v>
      </c>
      <c r="BP1625" s="53">
        <f ca="1">IFERROR(_xlfn.XLOOKUP(F1625,Apuração!A:A,Apuração!D:D)/_xlfn.XLOOKUP(F1625,Apuração!A:A,Apuração!B:B),0)</f>
        <v>0.33333333333333331</v>
      </c>
      <c r="BQ1625" s="53">
        <f ca="1">IF(BK1625&gt;=BO1625,0,_xlfn.XLOOKUP(F1625,Apuração!A:A,Apuração!B:B)*(BO1625 + (1/_xlfn.XLOOKUP(F1625,Apuração!A:A,Apuração!B:B)) - BK1625))</f>
        <v>1.3235294117647065</v>
      </c>
      <c r="BR1625" s="85">
        <f ca="1">IF(BQ1625=0,0,BQ1625*Z1625)</f>
        <v>45.000000000000021</v>
      </c>
      <c r="BS1625" s="53">
        <f ca="1">IFERROR((_xlfn.XLOOKUP(F1625,Apuração!A:A,Apuração!C:C)+1)/_xlfn.XLOOKUP(F1625,Apuração!A:A,Apuração!B:B),0)</f>
        <v>0.5</v>
      </c>
    </row>
    <row r="1626" spans="1:71" ht="25.95" hidden="1" customHeight="1" x14ac:dyDescent="0.3">
      <c r="A1626" s="20" t="s">
        <v>87</v>
      </c>
      <c r="B1626" s="4" t="s">
        <v>229</v>
      </c>
      <c r="C1626" s="5" t="s">
        <v>209</v>
      </c>
      <c r="D1626" s="5" t="s">
        <v>210</v>
      </c>
      <c r="E1626" s="4" t="str" cm="1">
        <f t="array" ref="E1626">_xlfn.IFS(
F1626 = "A partir de Abril", "Aguardando Execução na Distribuidora",
A1626 = "CAPACITAÇÃO", "Em execução no Corporativo",
TRUE, "Em Execução na Distribuidora"
)</f>
        <v>Em Execução na Distribuidora</v>
      </c>
      <c r="F1626" s="4" t="str" cm="1">
        <f t="array" ref="F1626">_xlfn.IFS(
AG1626 &lt;&gt; "", "Jan-Dez/26",
AH1626 &lt;&gt; "", "Fev-Dez/26",
AI1626 &lt;&gt; "", "Mar-Dez/26", AJ1626 &lt;&gt; "", "Abr-Dez/26",
TRUE, "A partir de Junho"
)</f>
        <v>Jan-Dez/26</v>
      </c>
      <c r="G1626" s="7" t="s">
        <v>37</v>
      </c>
      <c r="H1626" s="7" t="s">
        <v>110</v>
      </c>
      <c r="I1626" s="8" t="s">
        <v>223</v>
      </c>
      <c r="J1626" s="21" t="str" cm="1">
        <f t="array" aca="1" ref="J1626" ca="1">_xlfn.LET(
  _xlpm.actual_value_month, INDEX(T1626:AE1626, MATCH(DATE(YEAR(TODAY()), MONTH(TODAY()), 1), $T$1:$AE$1, 0)),
  IF(_xlpm.actual_value_month &lt;&gt; "",_xlpm.actual_value_month &amp; " inspeções mensais", "")
)</f>
        <v>8 inspeções mensais</v>
      </c>
      <c r="K1626" s="8" t="str" cm="1">
        <f t="array" ref="K1626">_xlfn.LET(
    _xlpm.sum_month, SUM(T1626:AE1626),
    IF(_xlpm.sum_month = 0, "", _xlpm.sum_month &amp; " inspeções realizadas no ano")
)</f>
        <v>99 inspeções realizadas no ano</v>
      </c>
      <c r="L1626" s="4" t="s">
        <v>230</v>
      </c>
      <c r="M1626" s="19" t="s">
        <v>231</v>
      </c>
      <c r="N1626" s="5" t="s">
        <v>42</v>
      </c>
      <c r="O1626" s="5" t="s">
        <v>43</v>
      </c>
      <c r="P1626" s="10" t="s">
        <v>44</v>
      </c>
      <c r="Q1626" s="10" t="s">
        <v>72</v>
      </c>
      <c r="R1626" s="11" t="s">
        <v>225</v>
      </c>
      <c r="S1626" s="11" t="s">
        <v>44</v>
      </c>
      <c r="T1626" s="143">
        <v>8</v>
      </c>
      <c r="U1626" s="143">
        <v>8</v>
      </c>
      <c r="V1626" s="143">
        <v>11</v>
      </c>
      <c r="W1626" s="143">
        <v>8</v>
      </c>
      <c r="X1626" s="143">
        <v>8</v>
      </c>
      <c r="Y1626" s="143">
        <v>8</v>
      </c>
      <c r="Z1626" s="143">
        <v>8</v>
      </c>
      <c r="AA1626" s="143">
        <v>8</v>
      </c>
      <c r="AB1626" s="143">
        <v>8</v>
      </c>
      <c r="AC1626" s="143">
        <v>8</v>
      </c>
      <c r="AD1626" s="143">
        <v>8</v>
      </c>
      <c r="AE1626" s="143">
        <v>8</v>
      </c>
      <c r="AG1626" s="82">
        <v>8</v>
      </c>
      <c r="AH1626" s="82">
        <v>8</v>
      </c>
      <c r="AI1626" s="82">
        <v>11</v>
      </c>
      <c r="AJ1626" s="82">
        <v>7</v>
      </c>
      <c r="AK1626" s="71">
        <v>8</v>
      </c>
      <c r="AL1626" s="71"/>
      <c r="AM1626" s="71"/>
      <c r="AN1626" s="71"/>
      <c r="AO1626" s="71"/>
      <c r="AP1626" s="71"/>
      <c r="AQ1626" s="71"/>
      <c r="AR1626" s="71"/>
      <c r="AS1626" s="94">
        <f t="shared" ref="AS1626:AS1630" ca="1" si="1889">IF(MONTH(TODAY())=3,SUM(T1626:U1626),IF(MONTH(TODAY())=4,SUM(T1626:V1626),IF(MONTH(TODAY())=5,SUM(T1626:W1626),IF(MONTH(TODAY())=6,SUM(T1626:X1626),IF(MONTH(TODAY())=7,SUM(T1626:Y1626),IF(MONTH(TODAY())=8,SUM(T1626:Z1626),IF(MONTH(TODAY())=9,SUM(T1626:AA1626),IF(MONTH(TODAY())=10,SUM(T1626:AB1626),IF(MONTH(TODAY())=11,SUM(T1626:AC1626),IF(MONTH(TODAY())=12,SUM(T1626:AD1626),IF(MONTH(TODAY())=1,SUM(T1626:AE1626),T1626)))))))))))</f>
        <v>43</v>
      </c>
      <c r="AT1626" s="95">
        <f t="shared" ref="AT1626:AT1630" si="1890">SUM(IF(AW1626&lt;1.15,AG1626,1.15*T1626),IF(AX1626&lt;1.15,AH1626,1.15*U1626),IF(AY1626&lt;1.15,AI1626,1.15*V1626),IF(AZ1626&lt;1.15,AJ1626,1.15*W1626),IF(BA1626&lt;1.15,AK1626,1.15*X1626),IF(BB1626&lt;1.15,AL1626,1.15*Y1626),IF(BC1626&lt;1.15,AM1626,1.15*Z1626),IF(BD1626&lt;1.15,AN1626,1.15*AA1626),IF(BE1626&lt;1.15,AO1626,1.15*AB1626),IF(BF1626&lt;1.15,AP1626,1.15*AC1626),IF(BG1626&lt;1.15,AQ1626,1.15*AD1626),IF(BH1626&lt;1.15,AR1626,1.15*AE1626))</f>
        <v>42</v>
      </c>
      <c r="AU1626" s="97">
        <f t="shared" ref="AU1626:AU1630" si="1891">SUM(AG1626:AR1626)</f>
        <v>42</v>
      </c>
      <c r="AW1626" s="51">
        <f t="shared" ref="AW1626:AW1630" si="1892">IFERROR(IF(AG1626="",0,AG1626/T1626),0)</f>
        <v>1</v>
      </c>
      <c r="AX1626" s="51">
        <f t="shared" ref="AX1626:AX1630" si="1893">IFERROR(IF(AH1626="",0,AH1626/U1626),0)</f>
        <v>1</v>
      </c>
      <c r="AY1626" s="51">
        <f t="shared" ref="AY1626:AY1630" si="1894">IFERROR(IF(AI1626="",0,AI1626/V1626),0)</f>
        <v>1</v>
      </c>
      <c r="AZ1626" s="51">
        <f t="shared" ref="AZ1626:AZ1630" si="1895">IFERROR(IF(AJ1626="",0,AJ1626/W1626),0)</f>
        <v>0.875</v>
      </c>
      <c r="BA1626" s="51">
        <f t="shared" si="1888"/>
        <v>1</v>
      </c>
      <c r="BB1626" s="51"/>
      <c r="BC1626" s="51"/>
      <c r="BD1626" s="51"/>
      <c r="BE1626" s="51"/>
      <c r="BF1626" s="51"/>
      <c r="BG1626" s="51"/>
      <c r="BH1626" s="51"/>
      <c r="BI1626" s="65" cm="1">
        <f t="array" ref="BI1626">IFERROR(INDEX(AW1626:BH1626,1,MATCH(2,1/(AW1626:BH1626&lt;&gt;""))),"")</f>
        <v>1</v>
      </c>
      <c r="BJ1626" s="68" cm="1">
        <f t="array" ref="BJ1626">IF(BM1626 = "", "",IFERROR(INDEX(AW1626:BH1626,1,MATCH(2,1/(AW1626:BH1626&lt;&gt;""),1)-1),""))</f>
        <v>0.875</v>
      </c>
      <c r="BK1626" s="58">
        <f>IF((IF(AW1626&gt;=115%,115%,AW1626) + IF(AX1626&gt;=115%,115%,AX1626) + IF(AY1626&gt;=115%,115%,AY1626) + (IF(AZ1626&gt;=115%,115%,AZ1626) + IF(BA1626&gt;=115%,115%,BA1626) + IF(BB1626&gt;=115%,115%,BB1626) + IF(BC1626&gt;=115%,115%,BC1626) + IF(BD1626&gt;=115%,115%,BD1626) + IF(BE1626&gt;=115%,115%,BE1626) + IF(BF1626&gt;=115%,115%,BF1626) + IF(BG1626&gt;=115%,115%,BG1626) + IF(BH1626&gt;=115%,115%,BH1626)))/_xlfn.XLOOKUP(F1626,Apuração!A:A,Apuração!B:B)&gt;=1.15,1.15,((IF(AZ1626&gt;=115%,115%,AZ1626) + IF(AX1626&gt;=115%,115%,AX1626) + IF(AY1626&gt;=115%,115%,AY1626) + (IF(AW1626&gt;=115%,115%,AW1626) + IF(BA1626&gt;=115%,115%,BA1626) + IF(BB1626&gt;=115%,115%,BB1626) + IF(BC1626&gt;=115%,115%,BC1626) + IF(BD1626&gt;=115%,115%,BD1626) + IF(BE1626&gt;=115%,115%,BE1626) + IF(BF1626&gt;=115%,115%,BF1626) + IF(BG1626&gt;=115%,115%,BG1626) + IF(BH1626&gt;=115%,115%,BH1626)))/_xlfn.XLOOKUP(F1626,Apuração!A:A,Apuração!B:B)))</f>
        <v>0.40625</v>
      </c>
      <c r="BL1626" s="58" cm="1">
        <f t="array" aca="1" ref="BL1626" ca="1">IF(SUM(IFERROR(IF(INDEX(AW1626:INDEX(AW1626:BH1626, MATCH(2, 1/(AW1626:BH1626&lt;&gt;""), 1)-1), ROW(INDIRECT("1:" &amp; MATCH(2, 1/(AW1626:BH1626&lt;&gt;""), 1)-1))) &gt;= 115%, 115%, INDEX(AW1626:INDEX(AW1626:BH1626, MATCH(2, 1/(AW1626:BH1626&lt;&gt;""), 1)-1), ROW(INDIRECT("1:" &amp; MATCH(2, 1/(AW1626:BH1626&lt;&gt;""), 1)-1)))), 0))/_xlfn.XLOOKUP(F1626,Apuração!A:A,Apuração!B:B)&gt;=1.15,1.15,SUM(IFERROR(IF(INDEX(AW1626:INDEX(AW1626:BH1626, MATCH(2, 1/(AW1626:BH1626&lt;&gt;""), 1)-1), ROW(INDIRECT("1:" &amp; MATCH(2, 1/(AW1626:BH1626&lt;&gt;""), 1)-1))) &gt;= 115%, 115%, INDEX(AW1626:INDEX(AW1626:BH1626, MATCH(2, 1/(AW1626:BH1626&lt;&gt;""), 1)-1), ROW(INDIRECT("1:" &amp; MATCH(2, 1/(AW1626:BH1626&lt;&gt;""), 1)-1)))), 0))/_xlfn.XLOOKUP(F1626,Apuração!A:A,Apuração!B:B))</f>
        <v>0.32291666666666669</v>
      </c>
      <c r="BM1626" s="55" cm="1">
        <f t="array" ref="BM1626">IFERROR(
   INDEX($AW$1:$BH$1,
      _xlfn.AGGREGATE(14, 6, COLUMN($AW$1:$BH$1)/(AW1626:BH1626&lt;&gt;""), 2) - COLUMN($AW$1) + 1
   ),
"")</f>
        <v>46113</v>
      </c>
      <c r="BN1626" s="55" cm="1">
        <f t="array" ref="BN1626">IFERROR(INDEX($AW$1:$BH$1,1,MATCH(2,1/(AW1626:BH1626&lt;&gt;""))),"")</f>
        <v>46143</v>
      </c>
      <c r="BO1626" s="53">
        <f ca="1">IFERROR(_xlfn.XLOOKUP(F1626,Apuração!A:A,Apuração!C:C)/_xlfn.XLOOKUP(F1626,Apuração!A:A,Apuração!B:B),0)</f>
        <v>0.41666666666666669</v>
      </c>
      <c r="BP1626" s="53">
        <f ca="1">IFERROR(_xlfn.XLOOKUP(F1626,Apuração!A:A,Apuração!D:D)/_xlfn.XLOOKUP(F1626,Apuração!A:A,Apuração!B:B),0)</f>
        <v>0.33333333333333331</v>
      </c>
      <c r="BQ1626" s="53">
        <f ca="1">IF(BK1626&gt;=BO1626,0,_xlfn.XLOOKUP(F1626,Apuração!A:A,Apuração!B:B)*(BO1626 + (1/_xlfn.XLOOKUP(F1626,Apuração!A:A,Apuração!B:B)) - BK1626))</f>
        <v>1.125</v>
      </c>
      <c r="BR1626" s="85">
        <f t="shared" ref="BR1626:BR1630" ca="1" si="1896">IF(BQ1626=0,0,BQ1626*Z1626)</f>
        <v>9</v>
      </c>
      <c r="BS1626" s="53">
        <f ca="1">IFERROR((_xlfn.XLOOKUP(F1626,Apuração!A:A,Apuração!C:C)+1)/_xlfn.XLOOKUP(F1626,Apuração!A:A,Apuração!B:B),0)</f>
        <v>0.5</v>
      </c>
    </row>
    <row r="1627" spans="1:71" ht="25.95" hidden="1" customHeight="1" x14ac:dyDescent="0.3">
      <c r="A1627" s="20" t="s">
        <v>87</v>
      </c>
      <c r="B1627" s="4" t="s">
        <v>229</v>
      </c>
      <c r="C1627" s="5" t="s">
        <v>209</v>
      </c>
      <c r="D1627" s="5" t="s">
        <v>47</v>
      </c>
      <c r="E1627" s="4" t="str" cm="1">
        <f t="array" ref="E1627">_xlfn.IFS(
F1627 = "A partir de Abril", "Aguardando Execução na Distribuidora",
A1627 = "CAPACITAÇÃO", "Em execução no Corporativo",
TRUE, "Em Execução na Distribuidora"
)</f>
        <v>Em Execução na Distribuidora</v>
      </c>
      <c r="F1627" s="4" t="str" cm="1">
        <f t="array" ref="F1627">_xlfn.IFS(
AG1627 &lt;&gt; "", "Jan-Dez/26",
AH1627 &lt;&gt; "", "Fev-Dez/26",
AI1627 &lt;&gt; "", "Mar-Dez/26", AJ1627 &lt;&gt; "", "Abr-Dez/26",
TRUE, "A partir de Junho"
)</f>
        <v>Jan-Dez/26</v>
      </c>
      <c r="G1627" s="7" t="s">
        <v>37</v>
      </c>
      <c r="H1627" s="7" t="s">
        <v>110</v>
      </c>
      <c r="I1627" s="8" t="s">
        <v>223</v>
      </c>
      <c r="J1627" s="21" t="str" cm="1">
        <f t="array" aca="1" ref="J1627" ca="1">_xlfn.LET(
  _xlpm.actual_value_month, INDEX(T1627:AE1627, MATCH(DATE(YEAR(TODAY()), MONTH(TODAY()), 1), $T$1:$AE$1, 0)),
  IF(_xlpm.actual_value_month &lt;&gt; "",_xlpm.actual_value_month &amp; " inspeções mensais", "")
)</f>
        <v>6 inspeções mensais</v>
      </c>
      <c r="K1627" s="8" t="str" cm="1">
        <f t="array" ref="K1627">_xlfn.LET(
    _xlpm.sum_month, SUM(T1627:AE1627),
    IF(_xlpm.sum_month = 0, "", _xlpm.sum_month &amp; " inspeções realizadas no ano")
)</f>
        <v>63 inspeções realizadas no ano</v>
      </c>
      <c r="L1627" s="4" t="s">
        <v>230</v>
      </c>
      <c r="M1627" s="19" t="s">
        <v>231</v>
      </c>
      <c r="N1627" s="5" t="s">
        <v>42</v>
      </c>
      <c r="O1627" s="5" t="s">
        <v>43</v>
      </c>
      <c r="P1627" s="10" t="s">
        <v>44</v>
      </c>
      <c r="Q1627" s="10" t="s">
        <v>72</v>
      </c>
      <c r="R1627" s="11" t="s">
        <v>225</v>
      </c>
      <c r="S1627" s="11" t="s">
        <v>44</v>
      </c>
      <c r="T1627" s="143">
        <v>3</v>
      </c>
      <c r="U1627" s="143">
        <v>3</v>
      </c>
      <c r="V1627" s="143">
        <v>3</v>
      </c>
      <c r="W1627" s="143">
        <v>6</v>
      </c>
      <c r="X1627" s="143">
        <v>6</v>
      </c>
      <c r="Y1627" s="143">
        <v>6</v>
      </c>
      <c r="Z1627" s="143">
        <v>6</v>
      </c>
      <c r="AA1627" s="143">
        <v>6</v>
      </c>
      <c r="AB1627" s="143">
        <v>6</v>
      </c>
      <c r="AC1627" s="143">
        <v>6</v>
      </c>
      <c r="AD1627" s="143">
        <v>6</v>
      </c>
      <c r="AE1627" s="143">
        <v>6</v>
      </c>
      <c r="AG1627" s="82">
        <v>3</v>
      </c>
      <c r="AH1627" s="82">
        <v>3</v>
      </c>
      <c r="AI1627" s="82">
        <v>3</v>
      </c>
      <c r="AJ1627" s="82">
        <v>4</v>
      </c>
      <c r="AK1627" s="71">
        <v>5</v>
      </c>
      <c r="AL1627" s="71"/>
      <c r="AM1627" s="71"/>
      <c r="AN1627" s="71"/>
      <c r="AO1627" s="71"/>
      <c r="AP1627" s="71"/>
      <c r="AQ1627" s="71"/>
      <c r="AR1627" s="71"/>
      <c r="AS1627" s="94">
        <f t="shared" ca="1" si="1889"/>
        <v>21</v>
      </c>
      <c r="AT1627" s="95">
        <f t="shared" si="1890"/>
        <v>18</v>
      </c>
      <c r="AU1627" s="97">
        <f t="shared" si="1891"/>
        <v>18</v>
      </c>
      <c r="AW1627" s="51">
        <f t="shared" si="1892"/>
        <v>1</v>
      </c>
      <c r="AX1627" s="51">
        <f t="shared" si="1893"/>
        <v>1</v>
      </c>
      <c r="AY1627" s="51">
        <f t="shared" si="1894"/>
        <v>1</v>
      </c>
      <c r="AZ1627" s="51">
        <f t="shared" si="1895"/>
        <v>0.66666666666666663</v>
      </c>
      <c r="BA1627" s="51">
        <f t="shared" si="1888"/>
        <v>0.83333333333333337</v>
      </c>
      <c r="BB1627" s="51"/>
      <c r="BC1627" s="51"/>
      <c r="BD1627" s="51"/>
      <c r="BE1627" s="51"/>
      <c r="BF1627" s="51"/>
      <c r="BG1627" s="51"/>
      <c r="BH1627" s="51"/>
      <c r="BI1627" s="65" cm="1">
        <f t="array" ref="BI1627">IFERROR(INDEX(AW1627:BH1627,1,MATCH(2,1/(AW1627:BH1627&lt;&gt;""))),"")</f>
        <v>0.83333333333333337</v>
      </c>
      <c r="BJ1627" s="68" cm="1">
        <f t="array" ref="BJ1627">IF(BM1627 = "", "",IFERROR(INDEX(AW1627:BH1627,1,MATCH(2,1/(AW1627:BH1627&lt;&gt;""),1)-1),""))</f>
        <v>0.66666666666666663</v>
      </c>
      <c r="BK1627" s="58">
        <f>IF((IF(AW1627&gt;=115%,115%,AW1627) + IF(AX1627&gt;=115%,115%,AX1627) + IF(AY1627&gt;=115%,115%,AY1627) + (IF(AZ1627&gt;=115%,115%,AZ1627) + IF(BA1627&gt;=115%,115%,BA1627) + IF(BB1627&gt;=115%,115%,BB1627) + IF(BC1627&gt;=115%,115%,BC1627) + IF(BD1627&gt;=115%,115%,BD1627) + IF(BE1627&gt;=115%,115%,BE1627) + IF(BF1627&gt;=115%,115%,BF1627) + IF(BG1627&gt;=115%,115%,BG1627) + IF(BH1627&gt;=115%,115%,BH1627)))/_xlfn.XLOOKUP(F1627,Apuração!A:A,Apuração!B:B)&gt;=1.15,1.15,((IF(AZ1627&gt;=115%,115%,AZ1627) + IF(AX1627&gt;=115%,115%,AX1627) + IF(AY1627&gt;=115%,115%,AY1627) + (IF(AW1627&gt;=115%,115%,AW1627) + IF(BA1627&gt;=115%,115%,BA1627) + IF(BB1627&gt;=115%,115%,BB1627) + IF(BC1627&gt;=115%,115%,BC1627) + IF(BD1627&gt;=115%,115%,BD1627) + IF(BE1627&gt;=115%,115%,BE1627) + IF(BF1627&gt;=115%,115%,BF1627) + IF(BG1627&gt;=115%,115%,BG1627) + IF(BH1627&gt;=115%,115%,BH1627)))/_xlfn.XLOOKUP(F1627,Apuração!A:A,Apuração!B:B)))</f>
        <v>0.375</v>
      </c>
      <c r="BL1627" s="58" cm="1">
        <f t="array" aca="1" ref="BL1627" ca="1">IF(SUM(IFERROR(IF(INDEX(AW1627:INDEX(AW1627:BH1627, MATCH(2, 1/(AW1627:BH1627&lt;&gt;""), 1)-1), ROW(INDIRECT("1:" &amp; MATCH(2, 1/(AW1627:BH1627&lt;&gt;""), 1)-1))) &gt;= 115%, 115%, INDEX(AW1627:INDEX(AW1627:BH1627, MATCH(2, 1/(AW1627:BH1627&lt;&gt;""), 1)-1), ROW(INDIRECT("1:" &amp; MATCH(2, 1/(AW1627:BH1627&lt;&gt;""), 1)-1)))), 0))/_xlfn.XLOOKUP(F1627,Apuração!A:A,Apuração!B:B)&gt;=1.15,1.15,SUM(IFERROR(IF(INDEX(AW1627:INDEX(AW1627:BH1627, MATCH(2, 1/(AW1627:BH1627&lt;&gt;""), 1)-1), ROW(INDIRECT("1:" &amp; MATCH(2, 1/(AW1627:BH1627&lt;&gt;""), 1)-1))) &gt;= 115%, 115%, INDEX(AW1627:INDEX(AW1627:BH1627, MATCH(2, 1/(AW1627:BH1627&lt;&gt;""), 1)-1), ROW(INDIRECT("1:" &amp; MATCH(2, 1/(AW1627:BH1627&lt;&gt;""), 1)-1)))), 0))/_xlfn.XLOOKUP(F1627,Apuração!A:A,Apuração!B:B))</f>
        <v>0.30555555555555552</v>
      </c>
      <c r="BM1627" s="55" cm="1">
        <f t="array" ref="BM1627">IFERROR(
   INDEX($AW$1:$BH$1,
      _xlfn.AGGREGATE(14, 6, COLUMN($AW$1:$BH$1)/(AW1627:BH1627&lt;&gt;""), 2) - COLUMN($AW$1) + 1
   ),
"")</f>
        <v>46113</v>
      </c>
      <c r="BN1627" s="55" cm="1">
        <f t="array" ref="BN1627">IFERROR(INDEX($AW$1:$BH$1,1,MATCH(2,1/(AW1627:BH1627&lt;&gt;""))),"")</f>
        <v>46143</v>
      </c>
      <c r="BO1627" s="53">
        <f ca="1">IFERROR(_xlfn.XLOOKUP(F1627,Apuração!A:A,Apuração!C:C)/_xlfn.XLOOKUP(F1627,Apuração!A:A,Apuração!B:B),0)</f>
        <v>0.41666666666666669</v>
      </c>
      <c r="BP1627" s="53">
        <f ca="1">IFERROR(_xlfn.XLOOKUP(F1627,Apuração!A:A,Apuração!D:D)/_xlfn.XLOOKUP(F1627,Apuração!A:A,Apuração!B:B),0)</f>
        <v>0.33333333333333331</v>
      </c>
      <c r="BQ1627" s="53">
        <f ca="1">IF(BK1627&gt;=BO1627,0,_xlfn.XLOOKUP(F1627,Apuração!A:A,Apuração!B:B)*(BO1627 + (1/_xlfn.XLOOKUP(F1627,Apuração!A:A,Apuração!B:B)) - BK1627))</f>
        <v>1.5</v>
      </c>
      <c r="BR1627" s="85">
        <f t="shared" ca="1" si="1896"/>
        <v>9</v>
      </c>
      <c r="BS1627" s="53">
        <f ca="1">IFERROR((_xlfn.XLOOKUP(F1627,Apuração!A:A,Apuração!C:C)+1)/_xlfn.XLOOKUP(F1627,Apuração!A:A,Apuração!B:B),0)</f>
        <v>0.5</v>
      </c>
    </row>
    <row r="1628" spans="1:71" ht="25.95" hidden="1" customHeight="1" x14ac:dyDescent="0.3">
      <c r="A1628" s="20" t="s">
        <v>87</v>
      </c>
      <c r="B1628" s="4" t="s">
        <v>229</v>
      </c>
      <c r="C1628" s="5" t="s">
        <v>209</v>
      </c>
      <c r="D1628" s="5" t="s">
        <v>211</v>
      </c>
      <c r="E1628" s="4" t="str" cm="1">
        <f t="array" ref="E1628">_xlfn.IFS(
F1628 = "A partir de Abril", "Aguardando Execução na Distribuidora",
A1628 = "CAPACITAÇÃO", "Em execução no Corporativo",
TRUE, "Em Execução na Distribuidora"
)</f>
        <v>Em Execução na Distribuidora</v>
      </c>
      <c r="F1628" s="4" t="str" cm="1">
        <f t="array" ref="F1628">_xlfn.IFS(
AG1628 &lt;&gt; "", "Jan-Dez/26",
AH1628 &lt;&gt; "", "Fev-Dez/26",
AI1628 &lt;&gt; "", "Mar-Dez/26", AJ1628 &lt;&gt; "", "Abr-Dez/26",
TRUE, "A partir de Junho"
)</f>
        <v>Jan-Dez/26</v>
      </c>
      <c r="G1628" s="7" t="s">
        <v>37</v>
      </c>
      <c r="H1628" s="7" t="s">
        <v>110</v>
      </c>
      <c r="I1628" s="8" t="s">
        <v>223</v>
      </c>
      <c r="J1628" s="21" t="str" cm="1">
        <f t="array" aca="1" ref="J1628" ca="1">_xlfn.LET(
  _xlpm.actual_value_month, INDEX(T1628:AE1628, MATCH(DATE(YEAR(TODAY()), MONTH(TODAY()), 1), $T$1:$AE$1, 0)),
  IF(_xlpm.actual_value_month &lt;&gt; "",_xlpm.actual_value_month &amp; " inspeções mensais", "")
)</f>
        <v>6 inspeções mensais</v>
      </c>
      <c r="K1628" s="8" t="str" cm="1">
        <f t="array" ref="K1628">_xlfn.LET(
    _xlpm.sum_month, SUM(T1628:AE1628),
    IF(_xlpm.sum_month = 0, "", _xlpm.sum_month &amp; " inspeções realizadas no ano")
)</f>
        <v>66 inspeções realizadas no ano</v>
      </c>
      <c r="L1628" s="4" t="s">
        <v>230</v>
      </c>
      <c r="M1628" s="19" t="s">
        <v>231</v>
      </c>
      <c r="N1628" s="5" t="s">
        <v>42</v>
      </c>
      <c r="O1628" s="5" t="s">
        <v>43</v>
      </c>
      <c r="P1628" s="10" t="s">
        <v>44</v>
      </c>
      <c r="Q1628" s="10" t="s">
        <v>72</v>
      </c>
      <c r="R1628" s="11" t="s">
        <v>225</v>
      </c>
      <c r="S1628" s="11" t="s">
        <v>44</v>
      </c>
      <c r="T1628" s="143">
        <v>5</v>
      </c>
      <c r="U1628" s="143">
        <v>6</v>
      </c>
      <c r="V1628" s="143">
        <v>1</v>
      </c>
      <c r="W1628" s="143">
        <v>6</v>
      </c>
      <c r="X1628" s="143">
        <v>6</v>
      </c>
      <c r="Y1628" s="143">
        <v>6</v>
      </c>
      <c r="Z1628" s="143">
        <v>6</v>
      </c>
      <c r="AA1628" s="143">
        <v>6</v>
      </c>
      <c r="AB1628" s="143">
        <v>6</v>
      </c>
      <c r="AC1628" s="143">
        <v>6</v>
      </c>
      <c r="AD1628" s="143">
        <v>6</v>
      </c>
      <c r="AE1628" s="143">
        <v>6</v>
      </c>
      <c r="AG1628" s="82">
        <v>5</v>
      </c>
      <c r="AH1628" s="82">
        <v>6</v>
      </c>
      <c r="AI1628" s="82">
        <v>1</v>
      </c>
      <c r="AJ1628" s="82">
        <v>5</v>
      </c>
      <c r="AK1628" s="71">
        <v>2</v>
      </c>
      <c r="AL1628" s="71"/>
      <c r="AM1628" s="71"/>
      <c r="AN1628" s="71"/>
      <c r="AO1628" s="71"/>
      <c r="AP1628" s="71"/>
      <c r="AQ1628" s="71"/>
      <c r="AR1628" s="71"/>
      <c r="AS1628" s="94">
        <f t="shared" ca="1" si="1889"/>
        <v>24</v>
      </c>
      <c r="AT1628" s="95">
        <f t="shared" si="1890"/>
        <v>19</v>
      </c>
      <c r="AU1628" s="97">
        <f t="shared" si="1891"/>
        <v>19</v>
      </c>
      <c r="AW1628" s="51">
        <f t="shared" si="1892"/>
        <v>1</v>
      </c>
      <c r="AX1628" s="51">
        <f t="shared" si="1893"/>
        <v>1</v>
      </c>
      <c r="AY1628" s="51">
        <f t="shared" si="1894"/>
        <v>1</v>
      </c>
      <c r="AZ1628" s="51">
        <f t="shared" si="1895"/>
        <v>0.83333333333333337</v>
      </c>
      <c r="BA1628" s="51">
        <f t="shared" si="1888"/>
        <v>0.33333333333333331</v>
      </c>
      <c r="BB1628" s="51"/>
      <c r="BC1628" s="51"/>
      <c r="BD1628" s="51"/>
      <c r="BE1628" s="51"/>
      <c r="BF1628" s="51"/>
      <c r="BG1628" s="51"/>
      <c r="BH1628" s="51"/>
      <c r="BI1628" s="65" cm="1">
        <f t="array" ref="BI1628">IFERROR(INDEX(AW1628:BH1628,1,MATCH(2,1/(AW1628:BH1628&lt;&gt;""))),"")</f>
        <v>0.33333333333333331</v>
      </c>
      <c r="BJ1628" s="68" cm="1">
        <f t="array" ref="BJ1628">IF(BM1628 = "", "",IFERROR(INDEX(AW1628:BH1628,1,MATCH(2,1/(AW1628:BH1628&lt;&gt;""),1)-1),""))</f>
        <v>0.83333333333333337</v>
      </c>
      <c r="BK1628" s="58">
        <f>IF((IF(AW1628&gt;=115%,115%,AW1628) + IF(AX1628&gt;=115%,115%,AX1628) + IF(AY1628&gt;=115%,115%,AY1628) + (IF(AZ1628&gt;=115%,115%,AZ1628) + IF(BA1628&gt;=115%,115%,BA1628) + IF(BB1628&gt;=115%,115%,BB1628) + IF(BC1628&gt;=115%,115%,BC1628) + IF(BD1628&gt;=115%,115%,BD1628) + IF(BE1628&gt;=115%,115%,BE1628) + IF(BF1628&gt;=115%,115%,BF1628) + IF(BG1628&gt;=115%,115%,BG1628) + IF(BH1628&gt;=115%,115%,BH1628)))/_xlfn.XLOOKUP(F1628,Apuração!A:A,Apuração!B:B)&gt;=1.15,1.15,((IF(AZ1628&gt;=115%,115%,AZ1628) + IF(AX1628&gt;=115%,115%,AX1628) + IF(AY1628&gt;=115%,115%,AY1628) + (IF(AW1628&gt;=115%,115%,AW1628) + IF(BA1628&gt;=115%,115%,BA1628) + IF(BB1628&gt;=115%,115%,BB1628) + IF(BC1628&gt;=115%,115%,BC1628) + IF(BD1628&gt;=115%,115%,BD1628) + IF(BE1628&gt;=115%,115%,BE1628) + IF(BF1628&gt;=115%,115%,BF1628) + IF(BG1628&gt;=115%,115%,BG1628) + IF(BH1628&gt;=115%,115%,BH1628)))/_xlfn.XLOOKUP(F1628,Apuração!A:A,Apuração!B:B)))</f>
        <v>0.34722222222222227</v>
      </c>
      <c r="BL1628" s="58" cm="1">
        <f t="array" aca="1" ref="BL1628" ca="1">IF(SUM(IFERROR(IF(INDEX(AW1628:INDEX(AW1628:BH1628, MATCH(2, 1/(AW1628:BH1628&lt;&gt;""), 1)-1), ROW(INDIRECT("1:" &amp; MATCH(2, 1/(AW1628:BH1628&lt;&gt;""), 1)-1))) &gt;= 115%, 115%, INDEX(AW1628:INDEX(AW1628:BH1628, MATCH(2, 1/(AW1628:BH1628&lt;&gt;""), 1)-1), ROW(INDIRECT("1:" &amp; MATCH(2, 1/(AW1628:BH1628&lt;&gt;""), 1)-1)))), 0))/_xlfn.XLOOKUP(F1628,Apuração!A:A,Apuração!B:B)&gt;=1.15,1.15,SUM(IFERROR(IF(INDEX(AW1628:INDEX(AW1628:BH1628, MATCH(2, 1/(AW1628:BH1628&lt;&gt;""), 1)-1), ROW(INDIRECT("1:" &amp; MATCH(2, 1/(AW1628:BH1628&lt;&gt;""), 1)-1))) &gt;= 115%, 115%, INDEX(AW1628:INDEX(AW1628:BH1628, MATCH(2, 1/(AW1628:BH1628&lt;&gt;""), 1)-1), ROW(INDIRECT("1:" &amp; MATCH(2, 1/(AW1628:BH1628&lt;&gt;""), 1)-1)))), 0))/_xlfn.XLOOKUP(F1628,Apuração!A:A,Apuração!B:B))</f>
        <v>0.31944444444444448</v>
      </c>
      <c r="BM1628" s="55" cm="1">
        <f t="array" ref="BM1628">IFERROR(
   INDEX($AW$1:$BH$1,
      _xlfn.AGGREGATE(14, 6, COLUMN($AW$1:$BH$1)/(AW1628:BH1628&lt;&gt;""), 2) - COLUMN($AW$1) + 1
   ),
"")</f>
        <v>46113</v>
      </c>
      <c r="BN1628" s="55" cm="1">
        <f t="array" ref="BN1628">IFERROR(INDEX($AW$1:$BH$1,1,MATCH(2,1/(AW1628:BH1628&lt;&gt;""))),"")</f>
        <v>46143</v>
      </c>
      <c r="BO1628" s="53">
        <f ca="1">IFERROR(_xlfn.XLOOKUP(F1628,Apuração!A:A,Apuração!C:C)/_xlfn.XLOOKUP(F1628,Apuração!A:A,Apuração!B:B),0)</f>
        <v>0.41666666666666669</v>
      </c>
      <c r="BP1628" s="53">
        <f ca="1">IFERROR(_xlfn.XLOOKUP(F1628,Apuração!A:A,Apuração!D:D)/_xlfn.XLOOKUP(F1628,Apuração!A:A,Apuração!B:B),0)</f>
        <v>0.33333333333333331</v>
      </c>
      <c r="BQ1628" s="53">
        <f ca="1">IF(BK1628&gt;=BO1628,0,_xlfn.XLOOKUP(F1628,Apuração!A:A,Apuração!B:B)*(BO1628 + (1/_xlfn.XLOOKUP(F1628,Apuração!A:A,Apuração!B:B)) - BK1628))</f>
        <v>1.8333333333333328</v>
      </c>
      <c r="BR1628" s="85">
        <f t="shared" ca="1" si="1896"/>
        <v>10.999999999999996</v>
      </c>
      <c r="BS1628" s="53">
        <f ca="1">IFERROR((_xlfn.XLOOKUP(F1628,Apuração!A:A,Apuração!C:C)+1)/_xlfn.XLOOKUP(F1628,Apuração!A:A,Apuração!B:B),0)</f>
        <v>0.5</v>
      </c>
    </row>
    <row r="1629" spans="1:71" ht="25.95" hidden="1" customHeight="1" x14ac:dyDescent="0.3">
      <c r="A1629" s="20" t="s">
        <v>87</v>
      </c>
      <c r="B1629" s="4" t="s">
        <v>229</v>
      </c>
      <c r="C1629" s="5" t="s">
        <v>209</v>
      </c>
      <c r="D1629" s="5" t="s">
        <v>212</v>
      </c>
      <c r="E1629" s="4" t="str" cm="1">
        <f t="array" ref="E1629">_xlfn.IFS(
F1629 = "A partir de Abril", "Aguardando Execução na Distribuidora",
A1629 = "CAPACITAÇÃO", "Em execução no Corporativo",
TRUE, "Em Execução na Distribuidora"
)</f>
        <v>Em Execução na Distribuidora</v>
      </c>
      <c r="F1629" s="4" t="str" cm="1">
        <f t="array" ref="F1629">_xlfn.IFS(
AG1629 &lt;&gt; "", "Jan-Dez/26",
AH1629 &lt;&gt; "", "Fev-Dez/26",
AI1629 &lt;&gt; "", "Mar-Dez/26", AJ1629 &lt;&gt; "", "Abr-Dez/26",
TRUE, "A partir de Junho"
)</f>
        <v>Jan-Dez/26</v>
      </c>
      <c r="G1629" s="7" t="s">
        <v>37</v>
      </c>
      <c r="H1629" s="7" t="s">
        <v>110</v>
      </c>
      <c r="I1629" s="8" t="s">
        <v>223</v>
      </c>
      <c r="J1629" s="21" t="str" cm="1">
        <f t="array" aca="1" ref="J1629" ca="1">_xlfn.LET(
  _xlpm.actual_value_month, INDEX(T1629:AE1629, MATCH(DATE(YEAR(TODAY()), MONTH(TODAY()), 1), $T$1:$AE$1, 0)),
  IF(_xlpm.actual_value_month &lt;&gt; "",_xlpm.actual_value_month &amp; " inspeções mensais", "")
)</f>
        <v>8 inspeções mensais</v>
      </c>
      <c r="K1629" s="8" t="str" cm="1">
        <f t="array" ref="K1629">_xlfn.LET(
    _xlpm.sum_month, SUM(T1629:AE1629),
    IF(_xlpm.sum_month = 0, "", _xlpm.sum_month &amp; " inspeções realizadas no ano")
)</f>
        <v>96 inspeções realizadas no ano</v>
      </c>
      <c r="L1629" s="4" t="s">
        <v>230</v>
      </c>
      <c r="M1629" s="19" t="s">
        <v>231</v>
      </c>
      <c r="N1629" s="5" t="s">
        <v>42</v>
      </c>
      <c r="O1629" s="5" t="s">
        <v>43</v>
      </c>
      <c r="P1629" s="10" t="s">
        <v>44</v>
      </c>
      <c r="Q1629" s="10" t="s">
        <v>72</v>
      </c>
      <c r="R1629" s="11" t="s">
        <v>225</v>
      </c>
      <c r="S1629" s="11" t="s">
        <v>44</v>
      </c>
      <c r="T1629" s="143">
        <v>6</v>
      </c>
      <c r="U1629" s="143">
        <v>10</v>
      </c>
      <c r="V1629" s="143">
        <v>8</v>
      </c>
      <c r="W1629" s="143">
        <v>8</v>
      </c>
      <c r="X1629" s="143">
        <v>8</v>
      </c>
      <c r="Y1629" s="143">
        <v>8</v>
      </c>
      <c r="Z1629" s="143">
        <v>8</v>
      </c>
      <c r="AA1629" s="143">
        <v>8</v>
      </c>
      <c r="AB1629" s="143">
        <v>8</v>
      </c>
      <c r="AC1629" s="143">
        <v>8</v>
      </c>
      <c r="AD1629" s="143">
        <v>8</v>
      </c>
      <c r="AE1629" s="143">
        <v>8</v>
      </c>
      <c r="AG1629" s="82">
        <v>6</v>
      </c>
      <c r="AH1629" s="82">
        <v>10</v>
      </c>
      <c r="AI1629" s="82">
        <v>8</v>
      </c>
      <c r="AJ1629" s="82">
        <v>6</v>
      </c>
      <c r="AK1629" s="71">
        <v>4</v>
      </c>
      <c r="AL1629" s="71"/>
      <c r="AM1629" s="71"/>
      <c r="AN1629" s="71"/>
      <c r="AO1629" s="71"/>
      <c r="AP1629" s="71"/>
      <c r="AQ1629" s="71"/>
      <c r="AR1629" s="71"/>
      <c r="AS1629" s="94">
        <f t="shared" ca="1" si="1889"/>
        <v>40</v>
      </c>
      <c r="AT1629" s="95">
        <f t="shared" si="1890"/>
        <v>34</v>
      </c>
      <c r="AU1629" s="97">
        <f t="shared" si="1891"/>
        <v>34</v>
      </c>
      <c r="AW1629" s="51">
        <f t="shared" si="1892"/>
        <v>1</v>
      </c>
      <c r="AX1629" s="51">
        <f t="shared" si="1893"/>
        <v>1</v>
      </c>
      <c r="AY1629" s="51">
        <f t="shared" si="1894"/>
        <v>1</v>
      </c>
      <c r="AZ1629" s="51">
        <f t="shared" si="1895"/>
        <v>0.75</v>
      </c>
      <c r="BA1629" s="51">
        <f t="shared" si="1888"/>
        <v>0.5</v>
      </c>
      <c r="BB1629" s="51"/>
      <c r="BC1629" s="51"/>
      <c r="BD1629" s="51"/>
      <c r="BE1629" s="51"/>
      <c r="BF1629" s="51"/>
      <c r="BG1629" s="51"/>
      <c r="BH1629" s="51"/>
      <c r="BI1629" s="65" cm="1">
        <f t="array" ref="BI1629">IFERROR(INDEX(AW1629:BH1629,1,MATCH(2,1/(AW1629:BH1629&lt;&gt;""))),"")</f>
        <v>0.5</v>
      </c>
      <c r="BJ1629" s="68" cm="1">
        <f t="array" ref="BJ1629">IF(BM1629 = "", "",IFERROR(INDEX(AW1629:BH1629,1,MATCH(2,1/(AW1629:BH1629&lt;&gt;""),1)-1),""))</f>
        <v>0.75</v>
      </c>
      <c r="BK1629" s="58">
        <f>IF((IF(AW1629&gt;=115%,115%,AW1629) + IF(AX1629&gt;=115%,115%,AX1629) + IF(AY1629&gt;=115%,115%,AY1629) + (IF(AZ1629&gt;=115%,115%,AZ1629) + IF(BA1629&gt;=115%,115%,BA1629) + IF(BB1629&gt;=115%,115%,BB1629) + IF(BC1629&gt;=115%,115%,BC1629) + IF(BD1629&gt;=115%,115%,BD1629) + IF(BE1629&gt;=115%,115%,BE1629) + IF(BF1629&gt;=115%,115%,BF1629) + IF(BG1629&gt;=115%,115%,BG1629) + IF(BH1629&gt;=115%,115%,BH1629)))/_xlfn.XLOOKUP(F1629,Apuração!A:A,Apuração!B:B)&gt;=1.15,1.15,((IF(AZ1629&gt;=115%,115%,AZ1629) + IF(AX1629&gt;=115%,115%,AX1629) + IF(AY1629&gt;=115%,115%,AY1629) + (IF(AW1629&gt;=115%,115%,AW1629) + IF(BA1629&gt;=115%,115%,BA1629) + IF(BB1629&gt;=115%,115%,BB1629) + IF(BC1629&gt;=115%,115%,BC1629) + IF(BD1629&gt;=115%,115%,BD1629) + IF(BE1629&gt;=115%,115%,BE1629) + IF(BF1629&gt;=115%,115%,BF1629) + IF(BG1629&gt;=115%,115%,BG1629) + IF(BH1629&gt;=115%,115%,BH1629)))/_xlfn.XLOOKUP(F1629,Apuração!A:A,Apuração!B:B)))</f>
        <v>0.35416666666666669</v>
      </c>
      <c r="BL1629" s="58" cm="1">
        <f t="array" aca="1" ref="BL1629" ca="1">IF(SUM(IFERROR(IF(INDEX(AW1629:INDEX(AW1629:BH1629, MATCH(2, 1/(AW1629:BH1629&lt;&gt;""), 1)-1), ROW(INDIRECT("1:" &amp; MATCH(2, 1/(AW1629:BH1629&lt;&gt;""), 1)-1))) &gt;= 115%, 115%, INDEX(AW1629:INDEX(AW1629:BH1629, MATCH(2, 1/(AW1629:BH1629&lt;&gt;""), 1)-1), ROW(INDIRECT("1:" &amp; MATCH(2, 1/(AW1629:BH1629&lt;&gt;""), 1)-1)))), 0))/_xlfn.XLOOKUP(F1629,Apuração!A:A,Apuração!B:B)&gt;=1.15,1.15,SUM(IFERROR(IF(INDEX(AW1629:INDEX(AW1629:BH1629, MATCH(2, 1/(AW1629:BH1629&lt;&gt;""), 1)-1), ROW(INDIRECT("1:" &amp; MATCH(2, 1/(AW1629:BH1629&lt;&gt;""), 1)-1))) &gt;= 115%, 115%, INDEX(AW1629:INDEX(AW1629:BH1629, MATCH(2, 1/(AW1629:BH1629&lt;&gt;""), 1)-1), ROW(INDIRECT("1:" &amp; MATCH(2, 1/(AW1629:BH1629&lt;&gt;""), 1)-1)))), 0))/_xlfn.XLOOKUP(F1629,Apuração!A:A,Apuração!B:B))</f>
        <v>0.3125</v>
      </c>
      <c r="BM1629" s="55" cm="1">
        <f t="array" ref="BM1629">IFERROR(
   INDEX($AW$1:$BH$1,
      _xlfn.AGGREGATE(14, 6, COLUMN($AW$1:$BH$1)/(AW1629:BH1629&lt;&gt;""), 2) - COLUMN($AW$1) + 1
   ),
"")</f>
        <v>46113</v>
      </c>
      <c r="BN1629" s="55" cm="1">
        <f t="array" ref="BN1629">IFERROR(INDEX($AW$1:$BH$1,1,MATCH(2,1/(AW1629:BH1629&lt;&gt;""))),"")</f>
        <v>46143</v>
      </c>
      <c r="BO1629" s="53">
        <f ca="1">IFERROR(_xlfn.XLOOKUP(F1629,Apuração!A:A,Apuração!C:C)/_xlfn.XLOOKUP(F1629,Apuração!A:A,Apuração!B:B),0)</f>
        <v>0.41666666666666669</v>
      </c>
      <c r="BP1629" s="53">
        <f ca="1">IFERROR(_xlfn.XLOOKUP(F1629,Apuração!A:A,Apuração!D:D)/_xlfn.XLOOKUP(F1629,Apuração!A:A,Apuração!B:B),0)</f>
        <v>0.33333333333333331</v>
      </c>
      <c r="BQ1629" s="53">
        <f ca="1">IF(BK1629&gt;=BO1629,0,_xlfn.XLOOKUP(F1629,Apuração!A:A,Apuração!B:B)*(BO1629 + (1/_xlfn.XLOOKUP(F1629,Apuração!A:A,Apuração!B:B)) - BK1629))</f>
        <v>1.7499999999999998</v>
      </c>
      <c r="BR1629" s="85">
        <f t="shared" ca="1" si="1896"/>
        <v>13.999999999999998</v>
      </c>
      <c r="BS1629" s="53">
        <f ca="1">IFERROR((_xlfn.XLOOKUP(F1629,Apuração!A:A,Apuração!C:C)+1)/_xlfn.XLOOKUP(F1629,Apuração!A:A,Apuração!B:B),0)</f>
        <v>0.5</v>
      </c>
    </row>
    <row r="1630" spans="1:71" ht="25.95" hidden="1" customHeight="1" x14ac:dyDescent="0.3">
      <c r="A1630" s="20" t="s">
        <v>87</v>
      </c>
      <c r="B1630" s="4" t="s">
        <v>229</v>
      </c>
      <c r="C1630" s="5" t="s">
        <v>209</v>
      </c>
      <c r="D1630" s="5" t="s">
        <v>213</v>
      </c>
      <c r="E1630" s="4" t="str" cm="1">
        <f t="array" ref="E1630">_xlfn.IFS(
F1630 = "A partir de Abril", "Aguardando Execução na Distribuidora",
A1630 = "CAPACITAÇÃO", "Em execução no Corporativo",
TRUE, "Em Execução na Distribuidora"
)</f>
        <v>Em Execução na Distribuidora</v>
      </c>
      <c r="F1630" s="4" t="str" cm="1">
        <f t="array" ref="F1630">_xlfn.IFS(
AG1630 &lt;&gt; "", "Jan-Dez/26",
AH1630 &lt;&gt; "", "Fev-Dez/26",
AI1630 &lt;&gt; "", "Mar-Dez/26", AJ1630 &lt;&gt; "", "Abr-Dez/26",
TRUE, "A partir de Junho"
)</f>
        <v>Jan-Dez/26</v>
      </c>
      <c r="G1630" s="7" t="s">
        <v>37</v>
      </c>
      <c r="H1630" s="7" t="s">
        <v>110</v>
      </c>
      <c r="I1630" s="8" t="s">
        <v>223</v>
      </c>
      <c r="J1630" s="21" t="str" cm="1">
        <f t="array" aca="1" ref="J1630" ca="1">_xlfn.LET(
  _xlpm.actual_value_month, INDEX(T1630:AE1630, MATCH(DATE(YEAR(TODAY()), MONTH(TODAY()), 1), $T$1:$AE$1, 0)),
  IF(_xlpm.actual_value_month &lt;&gt; "",_xlpm.actual_value_month &amp; " inspeções mensais", "")
)</f>
        <v>7 inspeções mensais</v>
      </c>
      <c r="K1630" s="8" t="str" cm="1">
        <f t="array" ref="K1630">_xlfn.LET(
    _xlpm.sum_month, SUM(T1630:AE1630),
    IF(_xlpm.sum_month = 0, "", _xlpm.sum_month &amp; " inspeções realizadas no ano")
)</f>
        <v>77 inspeções realizadas no ano</v>
      </c>
      <c r="L1630" s="4" t="s">
        <v>230</v>
      </c>
      <c r="M1630" s="19" t="s">
        <v>231</v>
      </c>
      <c r="N1630" s="5" t="s">
        <v>42</v>
      </c>
      <c r="O1630" s="5" t="s">
        <v>43</v>
      </c>
      <c r="P1630" s="10" t="s">
        <v>44</v>
      </c>
      <c r="Q1630" s="10" t="s">
        <v>72</v>
      </c>
      <c r="R1630" s="11" t="s">
        <v>225</v>
      </c>
      <c r="S1630" s="11" t="s">
        <v>44</v>
      </c>
      <c r="T1630" s="143">
        <v>3</v>
      </c>
      <c r="U1630" s="143">
        <v>6</v>
      </c>
      <c r="V1630" s="143">
        <v>5</v>
      </c>
      <c r="W1630" s="143">
        <v>7</v>
      </c>
      <c r="X1630" s="143">
        <v>7</v>
      </c>
      <c r="Y1630" s="143">
        <v>7</v>
      </c>
      <c r="Z1630" s="143">
        <v>7</v>
      </c>
      <c r="AA1630" s="143">
        <v>7</v>
      </c>
      <c r="AB1630" s="143">
        <v>7</v>
      </c>
      <c r="AC1630" s="143">
        <v>7</v>
      </c>
      <c r="AD1630" s="143">
        <v>7</v>
      </c>
      <c r="AE1630" s="143">
        <v>7</v>
      </c>
      <c r="AG1630" s="82">
        <v>3</v>
      </c>
      <c r="AH1630" s="82">
        <v>6</v>
      </c>
      <c r="AI1630" s="82">
        <v>5</v>
      </c>
      <c r="AJ1630" s="82">
        <v>9</v>
      </c>
      <c r="AK1630" s="71">
        <v>7</v>
      </c>
      <c r="AL1630" s="71"/>
      <c r="AM1630" s="71"/>
      <c r="AN1630" s="71"/>
      <c r="AO1630" s="71"/>
      <c r="AP1630" s="71"/>
      <c r="AQ1630" s="71"/>
      <c r="AR1630" s="71"/>
      <c r="AS1630" s="94">
        <f t="shared" ca="1" si="1889"/>
        <v>28</v>
      </c>
      <c r="AT1630" s="95">
        <f t="shared" si="1890"/>
        <v>29.049999999999997</v>
      </c>
      <c r="AU1630" s="97">
        <f t="shared" si="1891"/>
        <v>30</v>
      </c>
      <c r="AW1630" s="51">
        <f t="shared" si="1892"/>
        <v>1</v>
      </c>
      <c r="AX1630" s="51">
        <f t="shared" si="1893"/>
        <v>1</v>
      </c>
      <c r="AY1630" s="51">
        <f t="shared" si="1894"/>
        <v>1</v>
      </c>
      <c r="AZ1630" s="51">
        <f t="shared" si="1895"/>
        <v>1.2857142857142858</v>
      </c>
      <c r="BA1630" s="51">
        <f t="shared" si="1888"/>
        <v>1</v>
      </c>
      <c r="BB1630" s="51"/>
      <c r="BC1630" s="51"/>
      <c r="BD1630" s="51"/>
      <c r="BE1630" s="51"/>
      <c r="BF1630" s="51"/>
      <c r="BG1630" s="51"/>
      <c r="BH1630" s="51"/>
      <c r="BI1630" s="65" cm="1">
        <f t="array" ref="BI1630">IFERROR(INDEX(AW1630:BH1630,1,MATCH(2,1/(AW1630:BH1630&lt;&gt;""))),"")</f>
        <v>1</v>
      </c>
      <c r="BJ1630" s="68" cm="1">
        <f t="array" ref="BJ1630">IF(BM1630 = "", "",IFERROR(INDEX(AW1630:BH1630,1,MATCH(2,1/(AW1630:BH1630&lt;&gt;""),1)-1),""))</f>
        <v>1.2857142857142858</v>
      </c>
      <c r="BK1630" s="58">
        <f>IF((IF(AW1630&gt;=115%,115%,AW1630) + IF(AX1630&gt;=115%,115%,AX1630) + IF(AY1630&gt;=115%,115%,AY1630) + (IF(AZ1630&gt;=115%,115%,AZ1630) + IF(BA1630&gt;=115%,115%,BA1630) + IF(BB1630&gt;=115%,115%,BB1630) + IF(BC1630&gt;=115%,115%,BC1630) + IF(BD1630&gt;=115%,115%,BD1630) + IF(BE1630&gt;=115%,115%,BE1630) + IF(BF1630&gt;=115%,115%,BF1630) + IF(BG1630&gt;=115%,115%,BG1630) + IF(BH1630&gt;=115%,115%,BH1630)))/_xlfn.XLOOKUP(F1630,Apuração!A:A,Apuração!B:B)&gt;=1.15,1.15,((IF(AZ1630&gt;=115%,115%,AZ1630) + IF(AX1630&gt;=115%,115%,AX1630) + IF(AY1630&gt;=115%,115%,AY1630) + (IF(AW1630&gt;=115%,115%,AW1630) + IF(BA1630&gt;=115%,115%,BA1630) + IF(BB1630&gt;=115%,115%,BB1630) + IF(BC1630&gt;=115%,115%,BC1630) + IF(BD1630&gt;=115%,115%,BD1630) + IF(BE1630&gt;=115%,115%,BE1630) + IF(BF1630&gt;=115%,115%,BF1630) + IF(BG1630&gt;=115%,115%,BG1630) + IF(BH1630&gt;=115%,115%,BH1630)))/_xlfn.XLOOKUP(F1630,Apuração!A:A,Apuração!B:B)))</f>
        <v>0.4291666666666667</v>
      </c>
      <c r="BL1630" s="58" cm="1">
        <f t="array" aca="1" ref="BL1630" ca="1">IF(SUM(IFERROR(IF(INDEX(AW1630:INDEX(AW1630:BH1630, MATCH(2, 1/(AW1630:BH1630&lt;&gt;""), 1)-1), ROW(INDIRECT("1:" &amp; MATCH(2, 1/(AW1630:BH1630&lt;&gt;""), 1)-1))) &gt;= 115%, 115%, INDEX(AW1630:INDEX(AW1630:BH1630, MATCH(2, 1/(AW1630:BH1630&lt;&gt;""), 1)-1), ROW(INDIRECT("1:" &amp; MATCH(2, 1/(AW1630:BH1630&lt;&gt;""), 1)-1)))), 0))/_xlfn.XLOOKUP(F1630,Apuração!A:A,Apuração!B:B)&gt;=1.15,1.15,SUM(IFERROR(IF(INDEX(AW1630:INDEX(AW1630:BH1630, MATCH(2, 1/(AW1630:BH1630&lt;&gt;""), 1)-1), ROW(INDIRECT("1:" &amp; MATCH(2, 1/(AW1630:BH1630&lt;&gt;""), 1)-1))) &gt;= 115%, 115%, INDEX(AW1630:INDEX(AW1630:BH1630, MATCH(2, 1/(AW1630:BH1630&lt;&gt;""), 1)-1), ROW(INDIRECT("1:" &amp; MATCH(2, 1/(AW1630:BH1630&lt;&gt;""), 1)-1)))), 0))/_xlfn.XLOOKUP(F1630,Apuração!A:A,Apuração!B:B))</f>
        <v>0.34583333333333338</v>
      </c>
      <c r="BM1630" s="55" cm="1">
        <f t="array" ref="BM1630">IFERROR(
   INDEX($AW$1:$BH$1,
      _xlfn.AGGREGATE(14, 6, COLUMN($AW$1:$BH$1)/(AW1630:BH1630&lt;&gt;""), 2) - COLUMN($AW$1) + 1
   ),
"")</f>
        <v>46113</v>
      </c>
      <c r="BN1630" s="55" cm="1">
        <f t="array" ref="BN1630">IFERROR(INDEX($AW$1:$BH$1,1,MATCH(2,1/(AW1630:BH1630&lt;&gt;""))),"")</f>
        <v>46143</v>
      </c>
      <c r="BO1630" s="53">
        <f ca="1">IFERROR(_xlfn.XLOOKUP(F1630,Apuração!A:A,Apuração!C:C)/_xlfn.XLOOKUP(F1630,Apuração!A:A,Apuração!B:B),0)</f>
        <v>0.41666666666666669</v>
      </c>
      <c r="BP1630" s="53">
        <f ca="1">IFERROR(_xlfn.XLOOKUP(F1630,Apuração!A:A,Apuração!D:D)/_xlfn.XLOOKUP(F1630,Apuração!A:A,Apuração!B:B),0)</f>
        <v>0.33333333333333331</v>
      </c>
      <c r="BQ1630" s="53">
        <f ca="1">IF(BK1630&gt;=BO1630,0,_xlfn.XLOOKUP(F1630,Apuração!A:A,Apuração!B:B)*(BO1630 + (1/_xlfn.XLOOKUP(F1630,Apuração!A:A,Apuração!B:B)) - BK1630))</f>
        <v>0</v>
      </c>
      <c r="BR1630" s="85">
        <f t="shared" ca="1" si="1896"/>
        <v>0</v>
      </c>
      <c r="BS1630" s="53">
        <f ca="1">IFERROR((_xlfn.XLOOKUP(F1630,Apuração!A:A,Apuração!C:C)+1)/_xlfn.XLOOKUP(F1630,Apuração!A:A,Apuração!B:B),0)</f>
        <v>0.5</v>
      </c>
    </row>
    <row r="1631" spans="1:71" ht="25.95" hidden="1" customHeight="1" x14ac:dyDescent="0.3">
      <c r="A1631" s="40" t="s">
        <v>87</v>
      </c>
      <c r="B1631" s="4" t="s">
        <v>229</v>
      </c>
      <c r="C1631" s="5" t="s">
        <v>209</v>
      </c>
      <c r="D1631" s="5" t="s">
        <v>36</v>
      </c>
      <c r="E1631" s="4" t="str" cm="1">
        <f t="array" ref="E1631">_xlfn.IFS(
F1631 = "A partir de Abril", "Aguardando Execução na Distribuidora",
A1631 = "CAPACITAÇÃO", "Em execução no Corporativo",
TRUE, "Em Execução na Distribuidora"
)</f>
        <v>Em Execução na Distribuidora</v>
      </c>
      <c r="F1631" s="4" t="str" cm="1">
        <f t="array" ref="F1631">_xlfn.IFS(
AG1631 &lt;&gt; "", "Jan-Dez/26",
AH1631 &lt;&gt; "", "Fev-Dez/26",
AI1631 &lt;&gt; "", "Mar-Dez/26", AJ1631 &lt;&gt; "", "Abr-Dez/26",
TRUE, "A partir de Junho"
)</f>
        <v>Jan-Dez/26</v>
      </c>
      <c r="G1631" s="7" t="s">
        <v>37</v>
      </c>
      <c r="H1631" s="7" t="s">
        <v>110</v>
      </c>
      <c r="I1631" s="8" t="s">
        <v>148</v>
      </c>
      <c r="J1631" s="21" t="str" cm="1">
        <f t="array" aca="1" ref="J1631" ca="1">_xlfn.LET(
  _xlpm.actual_value_month, INDEX(T1631:AE1631, MATCH(DATE(YEAR(TODAY()), MONTH(TODAY()), 1), $T$1:$AE$1, 0)),
  IF(_xlpm.actual_value_month &lt;&gt; "",_xlpm.actual_value_month &amp; " ações mensais", "")
)</f>
        <v/>
      </c>
      <c r="K1631" s="8" t="str" cm="1">
        <f t="array" ref="K1631">_xlfn.LET(
    _xlpm.sum_month, SUM(T1631:AE1631),
    IF(_xlpm.sum_month = 0, "", _xlpm.sum_month &amp; " NC's no ano")
)</f>
        <v/>
      </c>
      <c r="L1631" s="9" t="s">
        <v>149</v>
      </c>
      <c r="M1631" s="4"/>
      <c r="N1631" s="5" t="s">
        <v>51</v>
      </c>
      <c r="O1631" s="5" t="s">
        <v>52</v>
      </c>
      <c r="P1631" s="10" t="s">
        <v>44</v>
      </c>
      <c r="Q1631" s="10" t="s">
        <v>44</v>
      </c>
      <c r="R1631" s="11" t="s">
        <v>44</v>
      </c>
      <c r="S1631" s="11" t="s">
        <v>44</v>
      </c>
      <c r="T1631" s="22"/>
      <c r="U1631" s="22"/>
      <c r="V1631" s="22"/>
      <c r="W1631" s="22"/>
      <c r="X1631" s="22"/>
      <c r="Y1631" s="22"/>
      <c r="Z1631" s="22"/>
      <c r="AA1631" s="22"/>
      <c r="AB1631" s="22"/>
      <c r="AC1631" s="22"/>
      <c r="AD1631" s="22"/>
      <c r="AE1631" s="22"/>
      <c r="AG1631" s="71">
        <v>9</v>
      </c>
      <c r="AH1631" s="71">
        <v>7</v>
      </c>
      <c r="AI1631" s="71">
        <v>4</v>
      </c>
      <c r="AJ1631" s="71">
        <v>6</v>
      </c>
      <c r="AK1631" s="71">
        <v>4</v>
      </c>
      <c r="AL1631" s="71"/>
      <c r="AM1631" s="71"/>
      <c r="AN1631" s="71"/>
      <c r="AO1631" s="71"/>
      <c r="AP1631" s="71"/>
      <c r="AQ1631" s="71"/>
      <c r="AR1631" s="71"/>
      <c r="AS1631" s="94">
        <f ca="1">IF(MONTH(TODAY())=3,SUM(T1631:U1631),IF(MONTH(TODAY())=4,SUM(T1631:V1631),IF(MONTH(TODAY())=5,SUM(T1631:W1631),IF(MONTH(TODAY())=6,SUM(T1631:X1631),IF(MONTH(TODAY())=7,SUM(T1631:Y1631),IF(MONTH(TODAY())=8,SUM(T1631:Z1631),IF(MONTH(TODAY())=9,SUM(T1631:AA1631),IF(MONTH(TODAY())=10,SUM(T1631:AB1631),IF(MONTH(TODAY())=11,SUM(T1631:AC1631),IF(MONTH(TODAY())=12,SUM(T1631:AD1631),IF(MONTH(TODAY())=1,SUM(T1631:AE1631),T1631)))))))))))</f>
        <v>0</v>
      </c>
      <c r="AT1631" s="95">
        <f>SUM(AG1631:AR1631)</f>
        <v>30</v>
      </c>
      <c r="AU1631" s="97">
        <f>SUM(AG1631:AR1631)</f>
        <v>30</v>
      </c>
      <c r="AW1631" s="83">
        <f>AG1631</f>
        <v>9</v>
      </c>
      <c r="AX1631" s="83">
        <f>AH1631</f>
        <v>7</v>
      </c>
      <c r="AY1631" s="83">
        <f>AI1631</f>
        <v>4</v>
      </c>
      <c r="AZ1631" s="83">
        <f>AJ1631</f>
        <v>6</v>
      </c>
      <c r="BA1631" s="83">
        <f>AK1631</f>
        <v>4</v>
      </c>
      <c r="BB1631" s="52"/>
      <c r="BC1631" s="52"/>
      <c r="BD1631" s="52"/>
      <c r="BE1631" s="52"/>
      <c r="BF1631" s="52"/>
      <c r="BG1631" s="52"/>
      <c r="BH1631" s="52"/>
      <c r="BI1631" s="68" cm="1">
        <f t="array" ref="BI1631">IFERROR(INDEX(AW1631:BH1631,1,MATCH(2,1/(AW1631:BH1631&lt;&gt;""))),"")</f>
        <v>4</v>
      </c>
      <c r="BJ1631" s="68" cm="1">
        <f t="array" ref="BJ1631">IF(BM1631 = "", "",IFERROR(INDEX(AW1631:BH1631,1,MATCH(2,1/(AW1631:BH1631&lt;&gt;""),1)-1),""))</f>
        <v>6</v>
      </c>
      <c r="BK1631" s="59">
        <f>SUM(AW1631:BH1631)</f>
        <v>30</v>
      </c>
      <c r="BL1631" s="59" cm="1">
        <f t="array" ref="BL1631">IFERROR(SUM(AW1631:INDEX(AW1631:BH1631, MATCH(2, 1/(AW1631:BH1631&lt;&gt;""), 1) - 1))/_xlfn.XLOOKUP(F1631,Apuração!A:A,Apuração!B:B),0)</f>
        <v>2.1666666666666665</v>
      </c>
      <c r="BM1631" s="55" cm="1">
        <f t="array" ref="BM1631">IFERROR(
   INDEX($AW$1:$BH$1,
      _xlfn.AGGREGATE(14, 6, COLUMN($AW$1:$BH$1)/(AW1631:BH1631&lt;&gt;""), 2) - COLUMN($AW$1) + 1
   ),
"")</f>
        <v>46113</v>
      </c>
      <c r="BN1631" s="55" cm="1">
        <f t="array" ref="BN1631">IFERROR(INDEX($AW$1:$BH$1,1,MATCH(2,1/(AW1631:BH1631&lt;&gt;""))),"")</f>
        <v>46143</v>
      </c>
      <c r="BO1631" s="53">
        <f ca="1">IFERROR(_xlfn.XLOOKUP(F1631,Apuração!A:A,Apuração!C:C)/_xlfn.XLOOKUP(F1631,Apuração!A:A,Apuração!B:B),0)</f>
        <v>0.41666666666666669</v>
      </c>
      <c r="BP1631" s="53">
        <f ca="1">IFERROR(_xlfn.XLOOKUP(F1631,Apuração!A:A,Apuração!D:D)/_xlfn.XLOOKUP(F1631,Apuração!A:A,Apuração!B:B),0)</f>
        <v>0.33333333333333331</v>
      </c>
      <c r="BQ1631" s="53">
        <f ca="1">IF(BK1631&gt;=BO1631,0,_xlfn.XLOOKUP(F1631,Apuração!A:A,Apuração!B:B)*(BO1631 + (1/_xlfn.XLOOKUP(F1631,Apuração!A:A,Apuração!B:B)) - BK1631))</f>
        <v>0</v>
      </c>
      <c r="BR1631" s="85">
        <f ca="1">IF(BQ1631=0,0,BQ1631*Z1631)</f>
        <v>0</v>
      </c>
      <c r="BS1631" s="53">
        <f ca="1">IFERROR((_xlfn.XLOOKUP(F1631,Apuração!A:A,Apuração!C:C)+1)/_xlfn.XLOOKUP(F1631,Apuração!A:A,Apuração!B:B),0)</f>
        <v>0.5</v>
      </c>
    </row>
    <row r="1632" spans="1:71" ht="25.95" hidden="1" customHeight="1" x14ac:dyDescent="0.3">
      <c r="A1632" s="40" t="s">
        <v>87</v>
      </c>
      <c r="B1632" s="4" t="s">
        <v>222</v>
      </c>
      <c r="C1632" s="5" t="s">
        <v>214</v>
      </c>
      <c r="D1632" s="5" t="s">
        <v>210</v>
      </c>
      <c r="E1632" s="4" t="str" cm="1">
        <f t="array" ref="E1632">_xlfn.IFS(
F1632 = "A partir de Abril", "Aguardando Execução na Distribuidora",
A1632 = "CAPACITAÇÃO", "Em execução no Corporativo",
TRUE, "Em Execução na Distribuidora"
)</f>
        <v>Em Execução na Distribuidora</v>
      </c>
      <c r="F1632" s="4" t="str" cm="1">
        <f t="array" ref="F1632">_xlfn.IFS(
AG1632 &lt;&gt; "", "Jan-Dez/26",
AH1632 &lt;&gt; "", "Fev-Dez/26",
AI1632 &lt;&gt; "", "Mar-Dez/26", AJ1632 &lt;&gt; "", "Abr-Dez/26",
TRUE, "A partir de Junho"
)</f>
        <v>Jan-Dez/26</v>
      </c>
      <c r="G1632" s="6" t="s">
        <v>37</v>
      </c>
      <c r="H1632" s="7" t="s">
        <v>110</v>
      </c>
      <c r="I1632" s="8" t="s">
        <v>148</v>
      </c>
      <c r="J1632" s="21" t="str" cm="1">
        <f t="array" aca="1" ref="J1632" ca="1">_xlfn.LET(
  _xlpm.actual_value_month, INDEX(T1632:AE1632, MATCH(DATE(YEAR(TODAY()), MONTH(TODAY()), 1), $T$1:$AE$1, 0)),
  IF(_xlpm.actual_value_month &lt;&gt; "",_xlpm.actual_value_month &amp; " ações mensais", "")
)</f>
        <v/>
      </c>
      <c r="K1632" s="8" t="str" cm="1">
        <f t="array" ref="K1632">_xlfn.LET(
    _xlpm.sum_month, SUM(T1632:AE1632),
    IF(_xlpm.sum_month = 0, "", _xlpm.sum_month &amp; " NC's no ano")
)</f>
        <v/>
      </c>
      <c r="L1632" s="9" t="s">
        <v>149</v>
      </c>
      <c r="M1632" s="4"/>
      <c r="N1632" s="5" t="s">
        <v>51</v>
      </c>
      <c r="O1632" s="5" t="s">
        <v>52</v>
      </c>
      <c r="P1632" s="10" t="s">
        <v>44</v>
      </c>
      <c r="Q1632" s="10" t="s">
        <v>44</v>
      </c>
      <c r="R1632" s="11" t="s">
        <v>44</v>
      </c>
      <c r="S1632" s="11" t="s">
        <v>44</v>
      </c>
      <c r="T1632" s="22"/>
      <c r="U1632" s="22"/>
      <c r="V1632" s="22"/>
      <c r="W1632" s="22"/>
      <c r="X1632" s="22"/>
      <c r="Y1632" s="22"/>
      <c r="Z1632" s="22"/>
      <c r="AA1632" s="22"/>
      <c r="AB1632" s="22"/>
      <c r="AC1632" s="22"/>
      <c r="AD1632" s="22"/>
      <c r="AE1632" s="22"/>
      <c r="AG1632" s="82">
        <v>6</v>
      </c>
      <c r="AH1632" s="82">
        <v>1</v>
      </c>
      <c r="AI1632" s="82">
        <v>2</v>
      </c>
      <c r="AJ1632" s="82">
        <v>77</v>
      </c>
      <c r="AK1632" s="71"/>
      <c r="AL1632" s="71"/>
      <c r="AM1632" s="71"/>
      <c r="AN1632" s="71"/>
      <c r="AO1632" s="71"/>
      <c r="AP1632" s="71"/>
      <c r="AQ1632" s="71"/>
      <c r="AR1632" s="71"/>
      <c r="AS1632" s="94">
        <f t="shared" ref="AS1632:AS1636" ca="1" si="1897">IF(MONTH(TODAY())=3,SUM(T1632:U1632),IF(MONTH(TODAY())=4,SUM(T1632:V1632),IF(MONTH(TODAY())=5,SUM(T1632:W1632),IF(MONTH(TODAY())=6,SUM(T1632:X1632),IF(MONTH(TODAY())=7,SUM(T1632:Y1632),IF(MONTH(TODAY())=8,SUM(T1632:Z1632),IF(MONTH(TODAY())=9,SUM(T1632:AA1632),IF(MONTH(TODAY())=10,SUM(T1632:AB1632),IF(MONTH(TODAY())=11,SUM(T1632:AC1632),IF(MONTH(TODAY())=12,SUM(T1632:AD1632),IF(MONTH(TODAY())=1,SUM(T1632:AE1632),T1632)))))))))))</f>
        <v>0</v>
      </c>
      <c r="AT1632" s="95">
        <f t="shared" ref="AT1632:AT1636" si="1898">SUM(AG1632:AR1632)</f>
        <v>86</v>
      </c>
      <c r="AU1632" s="97">
        <f t="shared" ref="AU1632:AU1636" si="1899">SUM(AG1632:AR1632)</f>
        <v>86</v>
      </c>
      <c r="AW1632" s="83">
        <f t="shared" ref="AW1632:AW1636" si="1900">AG1632</f>
        <v>6</v>
      </c>
      <c r="AX1632" s="83">
        <f t="shared" ref="AX1632:AX1636" si="1901">AH1632</f>
        <v>1</v>
      </c>
      <c r="AY1632" s="83">
        <f t="shared" ref="AY1632:AY1636" si="1902">AI1632</f>
        <v>2</v>
      </c>
      <c r="AZ1632" s="83">
        <f t="shared" ref="AZ1632:AZ1636" si="1903">AJ1632</f>
        <v>77</v>
      </c>
      <c r="BA1632" s="52"/>
      <c r="BB1632" s="52"/>
      <c r="BC1632" s="52"/>
      <c r="BD1632" s="52"/>
      <c r="BE1632" s="52"/>
      <c r="BF1632" s="52"/>
      <c r="BG1632" s="52"/>
      <c r="BH1632" s="52"/>
      <c r="BI1632" s="68" cm="1">
        <f t="array" ref="BI1632">IFERROR(INDEX(AW1632:BH1632,1,MATCH(2,1/(AW1632:BH1632&lt;&gt;""))),"")</f>
        <v>77</v>
      </c>
      <c r="BJ1632" s="68" cm="1">
        <f t="array" ref="BJ1632">IF(BM1632 = "", "",IFERROR(INDEX(AW1632:BH1632,1,MATCH(2,1/(AW1632:BH1632&lt;&gt;""),1)-1),""))</f>
        <v>2</v>
      </c>
      <c r="BK1632" s="59">
        <f t="shared" ref="BK1632:BK1636" si="1904">SUM(AW1632:BH1632)</f>
        <v>86</v>
      </c>
      <c r="BL1632" s="59" cm="1">
        <f t="array" ref="BL1632">IFERROR(SUM(AW1632:INDEX(AW1632:BH1632, MATCH(2, 1/(AW1632:BH1632&lt;&gt;""), 1) - 1))/_xlfn.XLOOKUP(F1632,Apuração!A:A,Apuração!B:B),0)</f>
        <v>0.75</v>
      </c>
      <c r="BM1632" s="55" cm="1">
        <f t="array" ref="BM1632">IFERROR(
   INDEX($AW$1:$BH$1,
      _xlfn.AGGREGATE(14, 6, COLUMN($AW$1:$BH$1)/(AW1632:BH1632&lt;&gt;""), 2) - COLUMN($AW$1) + 1
   ),
"")</f>
        <v>46082</v>
      </c>
      <c r="BN1632" s="55" cm="1">
        <f t="array" ref="BN1632">IFERROR(INDEX($AW$1:$BH$1,1,MATCH(2,1/(AW1632:BH1632&lt;&gt;""))),"")</f>
        <v>46113</v>
      </c>
      <c r="BO1632" s="53">
        <f ca="1">IFERROR(_xlfn.XLOOKUP(F1632,Apuração!A:A,Apuração!C:C)/_xlfn.XLOOKUP(F1632,Apuração!A:A,Apuração!B:B),0)</f>
        <v>0.41666666666666669</v>
      </c>
      <c r="BP1632" s="53">
        <f ca="1">IFERROR(_xlfn.XLOOKUP(F1632,Apuração!A:A,Apuração!D:D)/_xlfn.XLOOKUP(F1632,Apuração!A:A,Apuração!B:B),0)</f>
        <v>0.33333333333333331</v>
      </c>
      <c r="BQ1632" s="53">
        <f ca="1">IF(BK1632&gt;=BO1632,0,_xlfn.XLOOKUP(F1632,Apuração!A:A,Apuração!B:B)*(BO1632 + (1/_xlfn.XLOOKUP(F1632,Apuração!A:A,Apuração!B:B)) - BK1632))</f>
        <v>0</v>
      </c>
      <c r="BR1632" s="85">
        <f t="shared" ref="BR1632:BR1636" ca="1" si="1905">IF(BQ1632=0,0,BQ1632*Z1632)</f>
        <v>0</v>
      </c>
      <c r="BS1632" s="53">
        <f ca="1">IFERROR((_xlfn.XLOOKUP(F1632,Apuração!A:A,Apuração!C:C)+1)/_xlfn.XLOOKUP(F1632,Apuração!A:A,Apuração!B:B),0)</f>
        <v>0.5</v>
      </c>
    </row>
    <row r="1633" spans="1:71" ht="25.95" hidden="1" customHeight="1" x14ac:dyDescent="0.3">
      <c r="A1633" s="40" t="s">
        <v>87</v>
      </c>
      <c r="B1633" s="4" t="s">
        <v>222</v>
      </c>
      <c r="C1633" s="5" t="s">
        <v>214</v>
      </c>
      <c r="D1633" s="5" t="s">
        <v>215</v>
      </c>
      <c r="E1633" s="4" t="str" cm="1">
        <f t="array" ref="E1633">_xlfn.IFS(
F1633 = "A partir de Abril", "Aguardando Execução na Distribuidora",
A1633 = "CAPACITAÇÃO", "Em execução no Corporativo",
TRUE, "Em Execução na Distribuidora"
)</f>
        <v>Em Execução na Distribuidora</v>
      </c>
      <c r="F1633" s="4" t="str" cm="1">
        <f t="array" ref="F1633">_xlfn.IFS(
AG1633 &lt;&gt; "", "Jan-Dez/26",
AH1633 &lt;&gt; "", "Fev-Dez/26",
AI1633 &lt;&gt; "", "Mar-Dez/26", AJ1633 &lt;&gt; "", "Abr-Dez/26",
TRUE, "A partir de Junho"
)</f>
        <v>Jan-Dez/26</v>
      </c>
      <c r="G1633" s="6" t="s">
        <v>37</v>
      </c>
      <c r="H1633" s="7" t="s">
        <v>110</v>
      </c>
      <c r="I1633" s="8" t="s">
        <v>148</v>
      </c>
      <c r="J1633" s="21" t="str" cm="1">
        <f t="array" aca="1" ref="J1633" ca="1">_xlfn.LET(
  _xlpm.actual_value_month, INDEX(T1633:AE1633, MATCH(DATE(YEAR(TODAY()), MONTH(TODAY()), 1), $T$1:$AE$1, 0)),
  IF(_xlpm.actual_value_month &lt;&gt; "",_xlpm.actual_value_month &amp; " ações mensais", "")
)</f>
        <v/>
      </c>
      <c r="K1633" s="8" t="str" cm="1">
        <f t="array" ref="K1633">_xlfn.LET(
    _xlpm.sum_month, SUM(T1633:AE1633),
    IF(_xlpm.sum_month = 0, "", _xlpm.sum_month &amp; " NC's no ano")
)</f>
        <v/>
      </c>
      <c r="L1633" s="9" t="s">
        <v>149</v>
      </c>
      <c r="M1633" s="4"/>
      <c r="N1633" s="5" t="s">
        <v>51</v>
      </c>
      <c r="O1633" s="5" t="s">
        <v>52</v>
      </c>
      <c r="P1633" s="10" t="s">
        <v>44</v>
      </c>
      <c r="Q1633" s="10" t="s">
        <v>44</v>
      </c>
      <c r="R1633" s="11" t="s">
        <v>44</v>
      </c>
      <c r="S1633" s="11" t="s">
        <v>44</v>
      </c>
      <c r="T1633" s="22"/>
      <c r="U1633" s="22"/>
      <c r="V1633" s="22"/>
      <c r="W1633" s="22"/>
      <c r="X1633" s="22"/>
      <c r="Y1633" s="22"/>
      <c r="Z1633" s="22"/>
      <c r="AA1633" s="22"/>
      <c r="AB1633" s="22"/>
      <c r="AC1633" s="22"/>
      <c r="AD1633" s="22"/>
      <c r="AE1633" s="22"/>
      <c r="AG1633" s="82">
        <v>26</v>
      </c>
      <c r="AH1633" s="82">
        <v>31</v>
      </c>
      <c r="AI1633" s="82">
        <v>43</v>
      </c>
      <c r="AJ1633" s="82">
        <v>301</v>
      </c>
      <c r="AK1633" s="71"/>
      <c r="AL1633" s="71"/>
      <c r="AM1633" s="71"/>
      <c r="AN1633" s="71"/>
      <c r="AO1633" s="71"/>
      <c r="AP1633" s="71"/>
      <c r="AQ1633" s="71"/>
      <c r="AR1633" s="71"/>
      <c r="AS1633" s="94">
        <f t="shared" ca="1" si="1897"/>
        <v>0</v>
      </c>
      <c r="AT1633" s="95">
        <f t="shared" si="1898"/>
        <v>401</v>
      </c>
      <c r="AU1633" s="97">
        <f t="shared" si="1899"/>
        <v>401</v>
      </c>
      <c r="AW1633" s="83">
        <f t="shared" si="1900"/>
        <v>26</v>
      </c>
      <c r="AX1633" s="83">
        <f t="shared" si="1901"/>
        <v>31</v>
      </c>
      <c r="AY1633" s="83">
        <f t="shared" si="1902"/>
        <v>43</v>
      </c>
      <c r="AZ1633" s="83">
        <f t="shared" si="1903"/>
        <v>301</v>
      </c>
      <c r="BA1633" s="52"/>
      <c r="BB1633" s="52"/>
      <c r="BC1633" s="52"/>
      <c r="BD1633" s="52"/>
      <c r="BE1633" s="52"/>
      <c r="BF1633" s="52"/>
      <c r="BG1633" s="52"/>
      <c r="BH1633" s="52"/>
      <c r="BI1633" s="68" cm="1">
        <f t="array" ref="BI1633">IFERROR(INDEX(AW1633:BH1633,1,MATCH(2,1/(AW1633:BH1633&lt;&gt;""))),"")</f>
        <v>301</v>
      </c>
      <c r="BJ1633" s="68" cm="1">
        <f t="array" ref="BJ1633">IF(BM1633 = "", "",IFERROR(INDEX(AW1633:BH1633,1,MATCH(2,1/(AW1633:BH1633&lt;&gt;""),1)-1),""))</f>
        <v>43</v>
      </c>
      <c r="BK1633" s="59">
        <f t="shared" si="1904"/>
        <v>401</v>
      </c>
      <c r="BL1633" s="59" cm="1">
        <f t="array" ref="BL1633">IFERROR(SUM(AW1633:INDEX(AW1633:BH1633, MATCH(2, 1/(AW1633:BH1633&lt;&gt;""), 1) - 1))/_xlfn.XLOOKUP(F1633,Apuração!A:A,Apuração!B:B),0)</f>
        <v>8.3333333333333339</v>
      </c>
      <c r="BM1633" s="55" cm="1">
        <f t="array" ref="BM1633">IFERROR(
   INDEX($AW$1:$BH$1,
      _xlfn.AGGREGATE(14, 6, COLUMN($AW$1:$BH$1)/(AW1633:BH1633&lt;&gt;""), 2) - COLUMN($AW$1) + 1
   ),
"")</f>
        <v>46082</v>
      </c>
      <c r="BN1633" s="55" cm="1">
        <f t="array" ref="BN1633">IFERROR(INDEX($AW$1:$BH$1,1,MATCH(2,1/(AW1633:BH1633&lt;&gt;""))),"")</f>
        <v>46113</v>
      </c>
      <c r="BO1633" s="53">
        <f ca="1">IFERROR(_xlfn.XLOOKUP(F1633,Apuração!A:A,Apuração!C:C)/_xlfn.XLOOKUP(F1633,Apuração!A:A,Apuração!B:B),0)</f>
        <v>0.41666666666666669</v>
      </c>
      <c r="BP1633" s="53">
        <f ca="1">IFERROR(_xlfn.XLOOKUP(F1633,Apuração!A:A,Apuração!D:D)/_xlfn.XLOOKUP(F1633,Apuração!A:A,Apuração!B:B),0)</f>
        <v>0.33333333333333331</v>
      </c>
      <c r="BQ1633" s="53">
        <f ca="1">IF(BK1633&gt;=BO1633,0,_xlfn.XLOOKUP(F1633,Apuração!A:A,Apuração!B:B)*(BO1633 + (1/_xlfn.XLOOKUP(F1633,Apuração!A:A,Apuração!B:B)) - BK1633))</f>
        <v>0</v>
      </c>
      <c r="BR1633" s="85">
        <f t="shared" ca="1" si="1905"/>
        <v>0</v>
      </c>
      <c r="BS1633" s="53">
        <f ca="1">IFERROR((_xlfn.XLOOKUP(F1633,Apuração!A:A,Apuração!C:C)+1)/_xlfn.XLOOKUP(F1633,Apuração!A:A,Apuração!B:B),0)</f>
        <v>0.5</v>
      </c>
    </row>
    <row r="1634" spans="1:71" ht="25.95" hidden="1" customHeight="1" x14ac:dyDescent="0.3">
      <c r="A1634" s="40" t="s">
        <v>87</v>
      </c>
      <c r="B1634" s="4" t="s">
        <v>222</v>
      </c>
      <c r="C1634" s="5" t="s">
        <v>214</v>
      </c>
      <c r="D1634" s="5" t="s">
        <v>212</v>
      </c>
      <c r="E1634" s="4" t="str" cm="1">
        <f t="array" ref="E1634">_xlfn.IFS(
F1634 = "A partir de Abril", "Aguardando Execução na Distribuidora",
A1634 = "CAPACITAÇÃO", "Em execução no Corporativo",
TRUE, "Em Execução na Distribuidora"
)</f>
        <v>Em Execução na Distribuidora</v>
      </c>
      <c r="F1634" s="4" t="str" cm="1">
        <f t="array" ref="F1634">_xlfn.IFS(
AG1634 &lt;&gt; "", "Jan-Dez/26",
AH1634 &lt;&gt; "", "Fev-Dez/26",
AI1634 &lt;&gt; "", "Mar-Dez/26", AJ1634 &lt;&gt; "", "Abr-Dez/26",
TRUE, "A partir de Junho"
)</f>
        <v>Jan-Dez/26</v>
      </c>
      <c r="G1634" s="6" t="s">
        <v>37</v>
      </c>
      <c r="H1634" s="7" t="s">
        <v>110</v>
      </c>
      <c r="I1634" s="8" t="s">
        <v>148</v>
      </c>
      <c r="J1634" s="21" t="str" cm="1">
        <f t="array" aca="1" ref="J1634" ca="1">_xlfn.LET(
  _xlpm.actual_value_month, INDEX(T1634:AE1634, MATCH(DATE(YEAR(TODAY()), MONTH(TODAY()), 1), $T$1:$AE$1, 0)),
  IF(_xlpm.actual_value_month &lt;&gt; "",_xlpm.actual_value_month &amp; " ações mensais", "")
)</f>
        <v/>
      </c>
      <c r="K1634" s="8" t="str" cm="1">
        <f t="array" ref="K1634">_xlfn.LET(
    _xlpm.sum_month, SUM(T1634:AE1634),
    IF(_xlpm.sum_month = 0, "", _xlpm.sum_month &amp; " NC's no ano")
)</f>
        <v/>
      </c>
      <c r="L1634" s="9" t="s">
        <v>149</v>
      </c>
      <c r="M1634" s="4"/>
      <c r="N1634" s="5" t="s">
        <v>51</v>
      </c>
      <c r="O1634" s="5" t="s">
        <v>52</v>
      </c>
      <c r="P1634" s="10" t="s">
        <v>44</v>
      </c>
      <c r="Q1634" s="10" t="s">
        <v>44</v>
      </c>
      <c r="R1634" s="11" t="s">
        <v>44</v>
      </c>
      <c r="S1634" s="11" t="s">
        <v>44</v>
      </c>
      <c r="T1634" s="22"/>
      <c r="U1634" s="22"/>
      <c r="V1634" s="22"/>
      <c r="W1634" s="22"/>
      <c r="X1634" s="22"/>
      <c r="Y1634" s="22"/>
      <c r="Z1634" s="22"/>
      <c r="AA1634" s="22"/>
      <c r="AB1634" s="22"/>
      <c r="AC1634" s="22"/>
      <c r="AD1634" s="22"/>
      <c r="AE1634" s="22"/>
      <c r="AG1634" s="82">
        <v>79</v>
      </c>
      <c r="AH1634" s="82">
        <v>106</v>
      </c>
      <c r="AI1634" s="82">
        <v>162</v>
      </c>
      <c r="AJ1634" s="82">
        <v>320</v>
      </c>
      <c r="AK1634" s="71"/>
      <c r="AL1634" s="71"/>
      <c r="AM1634" s="71"/>
      <c r="AN1634" s="71"/>
      <c r="AO1634" s="71"/>
      <c r="AP1634" s="71"/>
      <c r="AQ1634" s="71"/>
      <c r="AR1634" s="71"/>
      <c r="AS1634" s="94">
        <f t="shared" ca="1" si="1897"/>
        <v>0</v>
      </c>
      <c r="AT1634" s="95">
        <f t="shared" si="1898"/>
        <v>667</v>
      </c>
      <c r="AU1634" s="97">
        <f t="shared" si="1899"/>
        <v>667</v>
      </c>
      <c r="AW1634" s="83">
        <f t="shared" si="1900"/>
        <v>79</v>
      </c>
      <c r="AX1634" s="83">
        <f t="shared" si="1901"/>
        <v>106</v>
      </c>
      <c r="AY1634" s="83">
        <f t="shared" si="1902"/>
        <v>162</v>
      </c>
      <c r="AZ1634" s="83">
        <f t="shared" si="1903"/>
        <v>320</v>
      </c>
      <c r="BA1634" s="52"/>
      <c r="BB1634" s="52"/>
      <c r="BC1634" s="52"/>
      <c r="BD1634" s="52"/>
      <c r="BE1634" s="52"/>
      <c r="BF1634" s="52"/>
      <c r="BG1634" s="52"/>
      <c r="BH1634" s="52"/>
      <c r="BI1634" s="68" cm="1">
        <f t="array" ref="BI1634">IFERROR(INDEX(AW1634:BH1634,1,MATCH(2,1/(AW1634:BH1634&lt;&gt;""))),"")</f>
        <v>320</v>
      </c>
      <c r="BJ1634" s="68" cm="1">
        <f t="array" ref="BJ1634">IF(BM1634 = "", "",IFERROR(INDEX(AW1634:BH1634,1,MATCH(2,1/(AW1634:BH1634&lt;&gt;""),1)-1),""))</f>
        <v>162</v>
      </c>
      <c r="BK1634" s="59">
        <f t="shared" si="1904"/>
        <v>667</v>
      </c>
      <c r="BL1634" s="59" cm="1">
        <f t="array" ref="BL1634">IFERROR(SUM(AW1634:INDEX(AW1634:BH1634, MATCH(2, 1/(AW1634:BH1634&lt;&gt;""), 1) - 1))/_xlfn.XLOOKUP(F1634,Apuração!A:A,Apuração!B:B),0)</f>
        <v>28.916666666666668</v>
      </c>
      <c r="BM1634" s="55" cm="1">
        <f t="array" ref="BM1634">IFERROR(
   INDEX($AW$1:$BH$1,
      _xlfn.AGGREGATE(14, 6, COLUMN($AW$1:$BH$1)/(AW1634:BH1634&lt;&gt;""), 2) - COLUMN($AW$1) + 1
   ),
"")</f>
        <v>46082</v>
      </c>
      <c r="BN1634" s="55" cm="1">
        <f t="array" ref="BN1634">IFERROR(INDEX($AW$1:$BH$1,1,MATCH(2,1/(AW1634:BH1634&lt;&gt;""))),"")</f>
        <v>46113</v>
      </c>
      <c r="BO1634" s="53">
        <f ca="1">IFERROR(_xlfn.XLOOKUP(F1634,Apuração!A:A,Apuração!C:C)/_xlfn.XLOOKUP(F1634,Apuração!A:A,Apuração!B:B),0)</f>
        <v>0.41666666666666669</v>
      </c>
      <c r="BP1634" s="53">
        <f ca="1">IFERROR(_xlfn.XLOOKUP(F1634,Apuração!A:A,Apuração!D:D)/_xlfn.XLOOKUP(F1634,Apuração!A:A,Apuração!B:B),0)</f>
        <v>0.33333333333333331</v>
      </c>
      <c r="BQ1634" s="53">
        <f ca="1">IF(BK1634&gt;=BO1634,0,_xlfn.XLOOKUP(F1634,Apuração!A:A,Apuração!B:B)*(BO1634 + (1/_xlfn.XLOOKUP(F1634,Apuração!A:A,Apuração!B:B)) - BK1634))</f>
        <v>0</v>
      </c>
      <c r="BR1634" s="85">
        <f t="shared" ca="1" si="1905"/>
        <v>0</v>
      </c>
      <c r="BS1634" s="53">
        <f ca="1">IFERROR((_xlfn.XLOOKUP(F1634,Apuração!A:A,Apuração!C:C)+1)/_xlfn.XLOOKUP(F1634,Apuração!A:A,Apuração!B:B),0)</f>
        <v>0.5</v>
      </c>
    </row>
    <row r="1635" spans="1:71" ht="25.95" hidden="1" customHeight="1" x14ac:dyDescent="0.3">
      <c r="A1635" s="40" t="s">
        <v>87</v>
      </c>
      <c r="B1635" s="4" t="s">
        <v>222</v>
      </c>
      <c r="C1635" s="5" t="s">
        <v>214</v>
      </c>
      <c r="D1635" s="5" t="s">
        <v>48</v>
      </c>
      <c r="E1635" s="4" t="str" cm="1">
        <f t="array" ref="E1635">_xlfn.IFS(
F1635 = "A partir de Abril", "Aguardando Execução na Distribuidora",
A1635 = "CAPACITAÇÃO", "Em execução no Corporativo",
TRUE, "Em Execução na Distribuidora"
)</f>
        <v>Em Execução na Distribuidora</v>
      </c>
      <c r="F1635" s="4" t="str" cm="1">
        <f t="array" ref="F1635">_xlfn.IFS(
AG1635 &lt;&gt; "", "Jan-Dez/26",
AH1635 &lt;&gt; "", "Fev-Dez/26",
AI1635 &lt;&gt; "", "Mar-Dez/26", AJ1635 &lt;&gt; "", "Abr-Dez/26",
TRUE, "A partir de Junho"
)</f>
        <v>Jan-Dez/26</v>
      </c>
      <c r="G1635" s="6" t="s">
        <v>37</v>
      </c>
      <c r="H1635" s="7" t="s">
        <v>110</v>
      </c>
      <c r="I1635" s="8" t="s">
        <v>148</v>
      </c>
      <c r="J1635" s="21" t="str" cm="1">
        <f t="array" aca="1" ref="J1635" ca="1">_xlfn.LET(
  _xlpm.actual_value_month, INDEX(T1635:AE1635, MATCH(DATE(YEAR(TODAY()), MONTH(TODAY()), 1), $T$1:$AE$1, 0)),
  IF(_xlpm.actual_value_month &lt;&gt; "",_xlpm.actual_value_month &amp; " ações mensais", "")
)</f>
        <v/>
      </c>
      <c r="K1635" s="8" t="str" cm="1">
        <f t="array" ref="K1635">_xlfn.LET(
    _xlpm.sum_month, SUM(T1635:AE1635),
    IF(_xlpm.sum_month = 0, "", _xlpm.sum_month &amp; " NC's no ano")
)</f>
        <v/>
      </c>
      <c r="L1635" s="9" t="s">
        <v>149</v>
      </c>
      <c r="M1635" s="4"/>
      <c r="N1635" s="5" t="s">
        <v>51</v>
      </c>
      <c r="O1635" s="5" t="s">
        <v>52</v>
      </c>
      <c r="P1635" s="10" t="s">
        <v>44</v>
      </c>
      <c r="Q1635" s="10" t="s">
        <v>44</v>
      </c>
      <c r="R1635" s="11" t="s">
        <v>44</v>
      </c>
      <c r="S1635" s="11" t="s">
        <v>44</v>
      </c>
      <c r="T1635" s="22"/>
      <c r="U1635" s="22"/>
      <c r="V1635" s="22"/>
      <c r="W1635" s="22"/>
      <c r="X1635" s="22"/>
      <c r="Y1635" s="22"/>
      <c r="Z1635" s="22"/>
      <c r="AA1635" s="22"/>
      <c r="AB1635" s="22"/>
      <c r="AC1635" s="22"/>
      <c r="AD1635" s="22"/>
      <c r="AE1635" s="22"/>
      <c r="AG1635" s="82">
        <v>4</v>
      </c>
      <c r="AH1635" s="82">
        <v>3</v>
      </c>
      <c r="AI1635" s="82">
        <v>2</v>
      </c>
      <c r="AJ1635" s="82">
        <v>78</v>
      </c>
      <c r="AK1635" s="71"/>
      <c r="AL1635" s="71"/>
      <c r="AM1635" s="71"/>
      <c r="AN1635" s="71"/>
      <c r="AO1635" s="71"/>
      <c r="AP1635" s="71"/>
      <c r="AQ1635" s="71"/>
      <c r="AR1635" s="71"/>
      <c r="AS1635" s="94">
        <f t="shared" ca="1" si="1897"/>
        <v>0</v>
      </c>
      <c r="AT1635" s="95">
        <f t="shared" si="1898"/>
        <v>87</v>
      </c>
      <c r="AU1635" s="97">
        <f t="shared" si="1899"/>
        <v>87</v>
      </c>
      <c r="AW1635" s="83">
        <f t="shared" si="1900"/>
        <v>4</v>
      </c>
      <c r="AX1635" s="83">
        <f t="shared" si="1901"/>
        <v>3</v>
      </c>
      <c r="AY1635" s="83">
        <f t="shared" si="1902"/>
        <v>2</v>
      </c>
      <c r="AZ1635" s="83">
        <f t="shared" si="1903"/>
        <v>78</v>
      </c>
      <c r="BA1635" s="52"/>
      <c r="BB1635" s="52"/>
      <c r="BC1635" s="52"/>
      <c r="BD1635" s="52"/>
      <c r="BE1635" s="52"/>
      <c r="BF1635" s="52"/>
      <c r="BG1635" s="52"/>
      <c r="BH1635" s="52"/>
      <c r="BI1635" s="68" cm="1">
        <f t="array" ref="BI1635">IFERROR(INDEX(AW1635:BH1635,1,MATCH(2,1/(AW1635:BH1635&lt;&gt;""))),"")</f>
        <v>78</v>
      </c>
      <c r="BJ1635" s="68" cm="1">
        <f t="array" ref="BJ1635">IF(BM1635 = "", "",IFERROR(INDEX(AW1635:BH1635,1,MATCH(2,1/(AW1635:BH1635&lt;&gt;""),1)-1),""))</f>
        <v>2</v>
      </c>
      <c r="BK1635" s="59">
        <f t="shared" si="1904"/>
        <v>87</v>
      </c>
      <c r="BL1635" s="59" cm="1">
        <f t="array" ref="BL1635">IFERROR(SUM(AW1635:INDEX(AW1635:BH1635, MATCH(2, 1/(AW1635:BH1635&lt;&gt;""), 1) - 1))/_xlfn.XLOOKUP(F1635,Apuração!A:A,Apuração!B:B),0)</f>
        <v>0.75</v>
      </c>
      <c r="BM1635" s="55" cm="1">
        <f t="array" ref="BM1635">IFERROR(
   INDEX($AW$1:$BH$1,
      _xlfn.AGGREGATE(14, 6, COLUMN($AW$1:$BH$1)/(AW1635:BH1635&lt;&gt;""), 2) - COLUMN($AW$1) + 1
   ),
"")</f>
        <v>46082</v>
      </c>
      <c r="BN1635" s="55" cm="1">
        <f t="array" ref="BN1635">IFERROR(INDEX($AW$1:$BH$1,1,MATCH(2,1/(AW1635:BH1635&lt;&gt;""))),"")</f>
        <v>46113</v>
      </c>
      <c r="BO1635" s="53">
        <f ca="1">IFERROR(_xlfn.XLOOKUP(F1635,Apuração!A:A,Apuração!C:C)/_xlfn.XLOOKUP(F1635,Apuração!A:A,Apuração!B:B),0)</f>
        <v>0.41666666666666669</v>
      </c>
      <c r="BP1635" s="53">
        <f ca="1">IFERROR(_xlfn.XLOOKUP(F1635,Apuração!A:A,Apuração!D:D)/_xlfn.XLOOKUP(F1635,Apuração!A:A,Apuração!B:B),0)</f>
        <v>0.33333333333333331</v>
      </c>
      <c r="BQ1635" s="53">
        <f ca="1">IF(BK1635&gt;=BO1635,0,_xlfn.XLOOKUP(F1635,Apuração!A:A,Apuração!B:B)*(BO1635 + (1/_xlfn.XLOOKUP(F1635,Apuração!A:A,Apuração!B:B)) - BK1635))</f>
        <v>0</v>
      </c>
      <c r="BR1635" s="85">
        <f t="shared" ca="1" si="1905"/>
        <v>0</v>
      </c>
      <c r="BS1635" s="53">
        <f ca="1">IFERROR((_xlfn.XLOOKUP(F1635,Apuração!A:A,Apuração!C:C)+1)/_xlfn.XLOOKUP(F1635,Apuração!A:A,Apuração!B:B),0)</f>
        <v>0.5</v>
      </c>
    </row>
    <row r="1636" spans="1:71" ht="25.95" hidden="1" customHeight="1" x14ac:dyDescent="0.3">
      <c r="A1636" s="40" t="s">
        <v>87</v>
      </c>
      <c r="B1636" s="4" t="s">
        <v>222</v>
      </c>
      <c r="C1636" s="5" t="s">
        <v>214</v>
      </c>
      <c r="D1636" s="5" t="s">
        <v>213</v>
      </c>
      <c r="E1636" s="4" t="str" cm="1">
        <f t="array" ref="E1636">_xlfn.IFS(
F1636 = "A partir de Abril", "Aguardando Execução na Distribuidora",
A1636 = "CAPACITAÇÃO", "Em execução no Corporativo",
TRUE, "Em Execução na Distribuidora"
)</f>
        <v>Em Execução na Distribuidora</v>
      </c>
      <c r="F1636" s="4" t="str" cm="1">
        <f t="array" ref="F1636">_xlfn.IFS(
AG1636 &lt;&gt; "", "Jan-Dez/26",
AH1636 &lt;&gt; "", "Fev-Dez/26",
AI1636 &lt;&gt; "", "Mar-Dez/26", AJ1636 &lt;&gt; "", "Abr-Dez/26",
TRUE, "A partir de Junho"
)</f>
        <v>Jan-Dez/26</v>
      </c>
      <c r="G1636" s="6" t="s">
        <v>37</v>
      </c>
      <c r="H1636" s="7" t="s">
        <v>110</v>
      </c>
      <c r="I1636" s="8" t="s">
        <v>148</v>
      </c>
      <c r="J1636" s="21" t="str" cm="1">
        <f t="array" aca="1" ref="J1636" ca="1">_xlfn.LET(
  _xlpm.actual_value_month, INDEX(T1636:AE1636, MATCH(DATE(YEAR(TODAY()), MONTH(TODAY()), 1), $T$1:$AE$1, 0)),
  IF(_xlpm.actual_value_month &lt;&gt; "",_xlpm.actual_value_month &amp; " ações mensais", "")
)</f>
        <v/>
      </c>
      <c r="K1636" s="8" t="str" cm="1">
        <f t="array" ref="K1636">_xlfn.LET(
    _xlpm.sum_month, SUM(T1636:AE1636),
    IF(_xlpm.sum_month = 0, "", _xlpm.sum_month &amp; " NC's no ano")
)</f>
        <v/>
      </c>
      <c r="L1636" s="9" t="s">
        <v>149</v>
      </c>
      <c r="M1636" s="4"/>
      <c r="N1636" s="5" t="s">
        <v>51</v>
      </c>
      <c r="O1636" s="5" t="s">
        <v>52</v>
      </c>
      <c r="P1636" s="10" t="s">
        <v>44</v>
      </c>
      <c r="Q1636" s="10" t="s">
        <v>44</v>
      </c>
      <c r="R1636" s="11" t="s">
        <v>44</v>
      </c>
      <c r="S1636" s="11" t="s">
        <v>44</v>
      </c>
      <c r="T1636" s="22"/>
      <c r="U1636" s="22"/>
      <c r="V1636" s="22"/>
      <c r="W1636" s="22"/>
      <c r="X1636" s="22"/>
      <c r="Y1636" s="22"/>
      <c r="Z1636" s="22"/>
      <c r="AA1636" s="22"/>
      <c r="AB1636" s="22"/>
      <c r="AC1636" s="22"/>
      <c r="AD1636" s="22"/>
      <c r="AE1636" s="22"/>
      <c r="AG1636" s="82">
        <v>30</v>
      </c>
      <c r="AH1636" s="82">
        <v>70</v>
      </c>
      <c r="AI1636" s="82">
        <v>38</v>
      </c>
      <c r="AJ1636" s="82">
        <v>400</v>
      </c>
      <c r="AK1636" s="71"/>
      <c r="AL1636" s="71"/>
      <c r="AM1636" s="71"/>
      <c r="AN1636" s="71"/>
      <c r="AO1636" s="71"/>
      <c r="AP1636" s="71"/>
      <c r="AQ1636" s="71"/>
      <c r="AR1636" s="71"/>
      <c r="AS1636" s="94">
        <f t="shared" ca="1" si="1897"/>
        <v>0</v>
      </c>
      <c r="AT1636" s="95">
        <f t="shared" si="1898"/>
        <v>538</v>
      </c>
      <c r="AU1636" s="97">
        <f t="shared" si="1899"/>
        <v>538</v>
      </c>
      <c r="AW1636" s="83">
        <f t="shared" si="1900"/>
        <v>30</v>
      </c>
      <c r="AX1636" s="83">
        <f t="shared" si="1901"/>
        <v>70</v>
      </c>
      <c r="AY1636" s="83">
        <f t="shared" si="1902"/>
        <v>38</v>
      </c>
      <c r="AZ1636" s="83">
        <f t="shared" si="1903"/>
        <v>400</v>
      </c>
      <c r="BA1636" s="52"/>
      <c r="BB1636" s="52"/>
      <c r="BC1636" s="52"/>
      <c r="BD1636" s="52"/>
      <c r="BE1636" s="52"/>
      <c r="BF1636" s="52"/>
      <c r="BG1636" s="52"/>
      <c r="BH1636" s="52"/>
      <c r="BI1636" s="68" cm="1">
        <f t="array" ref="BI1636">IFERROR(INDEX(AW1636:BH1636,1,MATCH(2,1/(AW1636:BH1636&lt;&gt;""))),"")</f>
        <v>400</v>
      </c>
      <c r="BJ1636" s="68" cm="1">
        <f t="array" ref="BJ1636">IF(BM1636 = "", "",IFERROR(INDEX(AW1636:BH1636,1,MATCH(2,1/(AW1636:BH1636&lt;&gt;""),1)-1),""))</f>
        <v>38</v>
      </c>
      <c r="BK1636" s="59">
        <f t="shared" si="1904"/>
        <v>538</v>
      </c>
      <c r="BL1636" s="59" cm="1">
        <f t="array" ref="BL1636">IFERROR(SUM(AW1636:INDEX(AW1636:BH1636, MATCH(2, 1/(AW1636:BH1636&lt;&gt;""), 1) - 1))/_xlfn.XLOOKUP(F1636,Apuração!A:A,Apuração!B:B),0)</f>
        <v>11.5</v>
      </c>
      <c r="BM1636" s="55" cm="1">
        <f t="array" ref="BM1636">IFERROR(
   INDEX($AW$1:$BH$1,
      _xlfn.AGGREGATE(14, 6, COLUMN($AW$1:$BH$1)/(AW1636:BH1636&lt;&gt;""), 2) - COLUMN($AW$1) + 1
   ),
"")</f>
        <v>46082</v>
      </c>
      <c r="BN1636" s="55" cm="1">
        <f t="array" ref="BN1636">IFERROR(INDEX($AW$1:$BH$1,1,MATCH(2,1/(AW1636:BH1636&lt;&gt;""))),"")</f>
        <v>46113</v>
      </c>
      <c r="BO1636" s="53">
        <f ca="1">IFERROR(_xlfn.XLOOKUP(F1636,Apuração!A:A,Apuração!C:C)/_xlfn.XLOOKUP(F1636,Apuração!A:A,Apuração!B:B),0)</f>
        <v>0.41666666666666669</v>
      </c>
      <c r="BP1636" s="53">
        <f ca="1">IFERROR(_xlfn.XLOOKUP(F1636,Apuração!A:A,Apuração!D:D)/_xlfn.XLOOKUP(F1636,Apuração!A:A,Apuração!B:B),0)</f>
        <v>0.33333333333333331</v>
      </c>
      <c r="BQ1636" s="53">
        <f ca="1">IF(BK1636&gt;=BO1636,0,_xlfn.XLOOKUP(F1636,Apuração!A:A,Apuração!B:B)*(BO1636 + (1/_xlfn.XLOOKUP(F1636,Apuração!A:A,Apuração!B:B)) - BK1636))</f>
        <v>0</v>
      </c>
      <c r="BR1636" s="85">
        <f t="shared" ca="1" si="1905"/>
        <v>0</v>
      </c>
      <c r="BS1636" s="53">
        <f ca="1">IFERROR((_xlfn.XLOOKUP(F1636,Apuração!A:A,Apuração!C:C)+1)/_xlfn.XLOOKUP(F1636,Apuração!A:A,Apuração!B:B),0)</f>
        <v>0.5</v>
      </c>
    </row>
    <row r="1637" spans="1:71" ht="25.95" hidden="1" customHeight="1" x14ac:dyDescent="0.3">
      <c r="A1637" s="20" t="s">
        <v>87</v>
      </c>
      <c r="B1637" s="4" t="s">
        <v>229</v>
      </c>
      <c r="C1637" s="5" t="s">
        <v>214</v>
      </c>
      <c r="D1637" s="5" t="s">
        <v>36</v>
      </c>
      <c r="E1637" s="4" t="str" cm="1">
        <f t="array" ref="E1637">_xlfn.IFS(
F1637 = "A partir de Abril", "Aguardando Execução na Distribuidora",
A1637 = "CAPACITAÇÃO", "Em execução no Corporativo",
TRUE, "Em Execução na Distribuidora"
)</f>
        <v>Em Execução na Distribuidora</v>
      </c>
      <c r="F1637" s="4" t="str" cm="1">
        <f t="array" ref="F1637">_xlfn.IFS(
AG1637 &lt;&gt; "", "Jan-Dez/26",
AH1637 &lt;&gt; "", "Fev-Dez/26",
AI1637 &lt;&gt; "", "Mar-Dez/26", AJ1637 &lt;&gt; "", "Abr-Dez/26",
TRUE, "A partir de Junho"
)</f>
        <v>Jan-Dez/26</v>
      </c>
      <c r="G1637" s="7" t="s">
        <v>37</v>
      </c>
      <c r="H1637" s="7" t="s">
        <v>38</v>
      </c>
      <c r="I1637" s="8" t="s">
        <v>223</v>
      </c>
      <c r="J1637" s="21" t="str" cm="1">
        <f t="array" aca="1" ref="J1637" ca="1">_xlfn.LET(
  _xlpm.actual_value_month, INDEX(T1637:AE1637, MATCH(DATE(YEAR(TODAY()), MONTH(TODAY()), 1), $T$1:$AE$1, 0)),
  IF(_xlpm.actual_value_month &lt;&gt; "",_xlpm.actual_value_month &amp; " inspeções mensais", "")
)</f>
        <v>38 inspeções mensais</v>
      </c>
      <c r="K1637" s="8" t="str" cm="1">
        <f t="array" ref="K1637">_xlfn.LET(
    _xlpm.sum_month, SUM(T1637:AE1637),
    IF(_xlpm.sum_month = 0, "", _xlpm.sum_month &amp; " inspeções realizadas no ano")
)</f>
        <v>394 inspeções realizadas no ano</v>
      </c>
      <c r="L1637" s="4" t="s">
        <v>230</v>
      </c>
      <c r="M1637" s="19" t="s">
        <v>231</v>
      </c>
      <c r="N1637" s="5" t="s">
        <v>42</v>
      </c>
      <c r="O1637" s="5" t="s">
        <v>43</v>
      </c>
      <c r="P1637" s="10" t="s">
        <v>44</v>
      </c>
      <c r="Q1637" s="10" t="s">
        <v>72</v>
      </c>
      <c r="R1637" s="11" t="s">
        <v>225</v>
      </c>
      <c r="S1637" s="11" t="s">
        <v>44</v>
      </c>
      <c r="T1637" s="22">
        <v>16</v>
      </c>
      <c r="U1637" s="22">
        <v>13</v>
      </c>
      <c r="V1637" s="22">
        <v>23</v>
      </c>
      <c r="W1637" s="22">
        <v>38</v>
      </c>
      <c r="X1637" s="22">
        <v>38</v>
      </c>
      <c r="Y1637" s="22">
        <v>38</v>
      </c>
      <c r="Z1637" s="22">
        <v>38</v>
      </c>
      <c r="AA1637" s="22">
        <v>38</v>
      </c>
      <c r="AB1637" s="22">
        <v>38</v>
      </c>
      <c r="AC1637" s="22">
        <v>38</v>
      </c>
      <c r="AD1637" s="22">
        <v>38</v>
      </c>
      <c r="AE1637" s="22">
        <v>38</v>
      </c>
      <c r="AG1637" s="71">
        <v>16</v>
      </c>
      <c r="AH1637" s="71">
        <v>13</v>
      </c>
      <c r="AI1637" s="71">
        <v>23</v>
      </c>
      <c r="AJ1637" s="71">
        <v>18</v>
      </c>
      <c r="AK1637" s="71"/>
      <c r="AL1637" s="71"/>
      <c r="AM1637" s="71"/>
      <c r="AN1637" s="71"/>
      <c r="AO1637" s="71"/>
      <c r="AP1637" s="71"/>
      <c r="AQ1637" s="71"/>
      <c r="AR1637" s="71"/>
      <c r="AS1637" s="94">
        <f ca="1">IF(MONTH(TODAY())=3,SUM(T1637:U1637),IF(MONTH(TODAY())=4,SUM(T1637:V1637),IF(MONTH(TODAY())=5,SUM(T1637:W1637),IF(MONTH(TODAY())=6,SUM(T1637:X1637),IF(MONTH(TODAY())=7,SUM(T1637:Y1637),IF(MONTH(TODAY())=8,SUM(T1637:Z1637),IF(MONTH(TODAY())=9,SUM(T1637:AA1637),IF(MONTH(TODAY())=10,SUM(T1637:AB1637),IF(MONTH(TODAY())=11,SUM(T1637:AC1637),IF(MONTH(TODAY())=12,SUM(T1637:AD1637),IF(MONTH(TODAY())=1,SUM(T1637:AE1637),T1637)))))))))))</f>
        <v>128</v>
      </c>
      <c r="AT1637" s="95">
        <f>SUM(IF(AW1637&lt;1.15,AG1637,1.15*T1637),IF(AX1637&lt;1.15,AH1637,1.15*U1637),IF(AY1637&lt;1.15,AI1637,1.15*V1637),IF(AZ1637&lt;1.15,AJ1637,1.15*W1637),IF(BA1637&lt;1.15,AK1637,1.15*X1637),IF(BB1637&lt;1.15,AL1637,1.15*Y1637),IF(BC1637&lt;1.15,AM1637,1.15*Z1637),IF(BD1637&lt;1.15,AN1637,1.15*AA1637),IF(BE1637&lt;1.15,AO1637,1.15*AB1637),IF(BF1637&lt;1.15,AP1637,1.15*AC1637),IF(BG1637&lt;1.15,AQ1637,1.15*AD1637),IF(BH1637&lt;1.15,AR1637,1.15*AE1637))</f>
        <v>70</v>
      </c>
      <c r="AU1637" s="97">
        <f>SUM(AG1637:AR1637)</f>
        <v>70</v>
      </c>
      <c r="AW1637" s="51">
        <f>IFERROR(IF(AG1637="",0,AG1637/T1637),0)</f>
        <v>1</v>
      </c>
      <c r="AX1637" s="51">
        <f>IFERROR(IF(AH1637="",0,AH1637/U1637),0)</f>
        <v>1</v>
      </c>
      <c r="AY1637" s="51">
        <f>IFERROR(IF(AI1637="",0,AI1637/V1637),0)</f>
        <v>1</v>
      </c>
      <c r="AZ1637" s="51">
        <f>IFERROR(IF(AJ1637="",0,AJ1637/W1637),0)</f>
        <v>0.47368421052631576</v>
      </c>
      <c r="BA1637" s="51"/>
      <c r="BB1637" s="51"/>
      <c r="BC1637" s="51"/>
      <c r="BD1637" s="51"/>
      <c r="BE1637" s="51"/>
      <c r="BF1637" s="51"/>
      <c r="BG1637" s="51"/>
      <c r="BH1637" s="51"/>
      <c r="BI1637" s="65" cm="1">
        <f t="array" ref="BI1637">IFERROR(INDEX(AW1637:BH1637,1,MATCH(2,1/(AW1637:BH1637&lt;&gt;""))),"")</f>
        <v>0.47368421052631576</v>
      </c>
      <c r="BJ1637" s="68" cm="1">
        <f t="array" ref="BJ1637">IF(BM1637 = "", "",IFERROR(INDEX(AW1637:BH1637,1,MATCH(2,1/(AW1637:BH1637&lt;&gt;""),1)-1),""))</f>
        <v>1</v>
      </c>
      <c r="BK1637" s="58">
        <f>IF((IF(AW1637&gt;=115%,115%,AW1637) + IF(AX1637&gt;=115%,115%,AX1637) + IF(AY1637&gt;=115%,115%,AY1637) + (IF(AZ1637&gt;=115%,115%,AZ1637) + IF(BA1637&gt;=115%,115%,BA1637) + IF(BB1637&gt;=115%,115%,BB1637) + IF(BC1637&gt;=115%,115%,BC1637) + IF(BD1637&gt;=115%,115%,BD1637) + IF(BE1637&gt;=115%,115%,BE1637) + IF(BF1637&gt;=115%,115%,BF1637) + IF(BG1637&gt;=115%,115%,BG1637) + IF(BH1637&gt;=115%,115%,BH1637)))/_xlfn.XLOOKUP(F1637,Apuração!A:A,Apuração!B:B)&gt;=1.15,1.15,((IF(AZ1637&gt;=115%,115%,AZ1637) + IF(AX1637&gt;=115%,115%,AX1637) + IF(AY1637&gt;=115%,115%,AY1637) + (IF(AW1637&gt;=115%,115%,AW1637) + IF(BA1637&gt;=115%,115%,BA1637) + IF(BB1637&gt;=115%,115%,BB1637) + IF(BC1637&gt;=115%,115%,BC1637) + IF(BD1637&gt;=115%,115%,BD1637) + IF(BE1637&gt;=115%,115%,BE1637) + IF(BF1637&gt;=115%,115%,BF1637) + IF(BG1637&gt;=115%,115%,BG1637) + IF(BH1637&gt;=115%,115%,BH1637)))/_xlfn.XLOOKUP(F1637,Apuração!A:A,Apuração!B:B)))</f>
        <v>0.28947368421052633</v>
      </c>
      <c r="BL1637" s="58" cm="1">
        <f t="array" aca="1" ref="BL1637" ca="1">IF(SUM(IFERROR(IF(INDEX(AW1637:INDEX(AW1637:BH1637, MATCH(2, 1/(AW1637:BH1637&lt;&gt;""), 1)-1), ROW(INDIRECT("1:" &amp; MATCH(2, 1/(AW1637:BH1637&lt;&gt;""), 1)-1))) &gt;= 115%, 115%, INDEX(AW1637:INDEX(AW1637:BH1637, MATCH(2, 1/(AW1637:BH1637&lt;&gt;""), 1)-1), ROW(INDIRECT("1:" &amp; MATCH(2, 1/(AW1637:BH1637&lt;&gt;""), 1)-1)))), 0))/_xlfn.XLOOKUP(F1637,Apuração!A:A,Apuração!B:B)&gt;=1.15,1.15,SUM(IFERROR(IF(INDEX(AW1637:INDEX(AW1637:BH1637, MATCH(2, 1/(AW1637:BH1637&lt;&gt;""), 1)-1), ROW(INDIRECT("1:" &amp; MATCH(2, 1/(AW1637:BH1637&lt;&gt;""), 1)-1))) &gt;= 115%, 115%, INDEX(AW1637:INDEX(AW1637:BH1637, MATCH(2, 1/(AW1637:BH1637&lt;&gt;""), 1)-1), ROW(INDIRECT("1:" &amp; MATCH(2, 1/(AW1637:BH1637&lt;&gt;""), 1)-1)))), 0))/_xlfn.XLOOKUP(F1637,Apuração!A:A,Apuração!B:B))</f>
        <v>0.25</v>
      </c>
      <c r="BM1637" s="55" cm="1">
        <f t="array" ref="BM1637">IFERROR(
   INDEX($AW$1:$BH$1,
      _xlfn.AGGREGATE(14, 6, COLUMN($AW$1:$BH$1)/(AW1637:BH1637&lt;&gt;""), 2) - COLUMN($AW$1) + 1
   ),
"")</f>
        <v>46082</v>
      </c>
      <c r="BN1637" s="55" cm="1">
        <f t="array" ref="BN1637">IFERROR(INDEX($AW$1:$BH$1,1,MATCH(2,1/(AW1637:BH1637&lt;&gt;""))),"")</f>
        <v>46113</v>
      </c>
      <c r="BO1637" s="53">
        <f ca="1">IFERROR(_xlfn.XLOOKUP(F1637,Apuração!A:A,Apuração!C:C)/_xlfn.XLOOKUP(F1637,Apuração!A:A,Apuração!B:B),0)</f>
        <v>0.41666666666666669</v>
      </c>
      <c r="BP1637" s="53">
        <f ca="1">IFERROR(_xlfn.XLOOKUP(F1637,Apuração!A:A,Apuração!D:D)/_xlfn.XLOOKUP(F1637,Apuração!A:A,Apuração!B:B),0)</f>
        <v>0.33333333333333331</v>
      </c>
      <c r="BQ1637" s="53">
        <f ca="1">IF(BK1637&gt;=BO1637,0,_xlfn.XLOOKUP(F1637,Apuração!A:A,Apuração!B:B)*(BO1637 + (1/_xlfn.XLOOKUP(F1637,Apuração!A:A,Apuração!B:B)) - BK1637))</f>
        <v>2.5263157894736841</v>
      </c>
      <c r="BR1637" s="85">
        <f ca="1">IF(BQ1637=0,0,BQ1637*Z1637)</f>
        <v>96</v>
      </c>
      <c r="BS1637" s="53">
        <f ca="1">IFERROR((_xlfn.XLOOKUP(F1637,Apuração!A:A,Apuração!C:C)+1)/_xlfn.XLOOKUP(F1637,Apuração!A:A,Apuração!B:B),0)</f>
        <v>0.5</v>
      </c>
    </row>
    <row r="1638" spans="1:71" ht="25.95" hidden="1" customHeight="1" x14ac:dyDescent="0.3">
      <c r="A1638" s="20" t="s">
        <v>87</v>
      </c>
      <c r="B1638" s="4" t="s">
        <v>229</v>
      </c>
      <c r="C1638" s="5" t="s">
        <v>214</v>
      </c>
      <c r="D1638" s="5" t="s">
        <v>210</v>
      </c>
      <c r="E1638" s="4" t="str" cm="1">
        <f t="array" ref="E1638">_xlfn.IFS(
F1638 = "A partir de Abril", "Aguardando Execução na Distribuidora",
A1638 = "CAPACITAÇÃO", "Em execução no Corporativo",
TRUE, "Em Execução na Distribuidora"
)</f>
        <v>Em Execução na Distribuidora</v>
      </c>
      <c r="F1638" s="4" t="str" cm="1">
        <f t="array" ref="F1638">_xlfn.IFS(
AG1638 &lt;&gt; "", "Jan-Dez/26",
AH1638 &lt;&gt; "", "Fev-Dez/26",
AI1638 &lt;&gt; "", "Mar-Dez/26", AJ1638 &lt;&gt; "", "Abr-Dez/26",
TRUE, "A partir de Junho"
)</f>
        <v>Jan-Dez/26</v>
      </c>
      <c r="G1638" s="7" t="s">
        <v>37</v>
      </c>
      <c r="H1638" s="7" t="s">
        <v>38</v>
      </c>
      <c r="I1638" s="8" t="s">
        <v>223</v>
      </c>
      <c r="J1638" s="21" t="str" cm="1">
        <f t="array" aca="1" ref="J1638" ca="1">_xlfn.LET(
  _xlpm.actual_value_month, INDEX(T1638:AE1638, MATCH(DATE(YEAR(TODAY()), MONTH(TODAY()), 1), $T$1:$AE$1, 0)),
  IF(_xlpm.actual_value_month &lt;&gt; "",_xlpm.actual_value_month &amp; " inspeções mensais", "")
)</f>
        <v>5 inspeções mensais</v>
      </c>
      <c r="K1638" s="8" t="str" cm="1">
        <f t="array" ref="K1638">_xlfn.LET(
    _xlpm.sum_month, SUM(T1638:AE1638),
    IF(_xlpm.sum_month = 0, "", _xlpm.sum_month &amp; " inspeções realizadas no ano")
)</f>
        <v>45 inspeções realizadas no ano</v>
      </c>
      <c r="L1638" s="4" t="s">
        <v>230</v>
      </c>
      <c r="M1638" s="19" t="s">
        <v>231</v>
      </c>
      <c r="N1638" s="5" t="s">
        <v>42</v>
      </c>
      <c r="O1638" s="5" t="s">
        <v>43</v>
      </c>
      <c r="P1638" s="10" t="s">
        <v>44</v>
      </c>
      <c r="Q1638" s="10" t="s">
        <v>72</v>
      </c>
      <c r="R1638" s="11" t="s">
        <v>225</v>
      </c>
      <c r="S1638" s="11" t="s">
        <v>44</v>
      </c>
      <c r="T1638" s="143">
        <v>0</v>
      </c>
      <c r="U1638" s="143">
        <v>0</v>
      </c>
      <c r="V1638" s="143">
        <v>0</v>
      </c>
      <c r="W1638" s="143">
        <v>5</v>
      </c>
      <c r="X1638" s="143">
        <v>5</v>
      </c>
      <c r="Y1638" s="143">
        <v>5</v>
      </c>
      <c r="Z1638" s="143">
        <v>5</v>
      </c>
      <c r="AA1638" s="143">
        <v>5</v>
      </c>
      <c r="AB1638" s="143">
        <v>5</v>
      </c>
      <c r="AC1638" s="143">
        <v>5</v>
      </c>
      <c r="AD1638" s="143">
        <v>5</v>
      </c>
      <c r="AE1638" s="143">
        <v>5</v>
      </c>
      <c r="AG1638" s="145">
        <v>0</v>
      </c>
      <c r="AH1638" s="149">
        <v>0</v>
      </c>
      <c r="AI1638" s="149">
        <v>0</v>
      </c>
      <c r="AJ1638" s="82">
        <v>0</v>
      </c>
      <c r="AK1638" s="71"/>
      <c r="AL1638" s="71"/>
      <c r="AM1638" s="71"/>
      <c r="AN1638" s="71"/>
      <c r="AO1638" s="71"/>
      <c r="AP1638" s="71"/>
      <c r="AQ1638" s="71"/>
      <c r="AR1638" s="71"/>
      <c r="AS1638" s="94">
        <f t="shared" ref="AS1638:AS1642" ca="1" si="1906">IF(MONTH(TODAY())=3,SUM(T1638:U1638),IF(MONTH(TODAY())=4,SUM(T1638:V1638),IF(MONTH(TODAY())=5,SUM(T1638:W1638),IF(MONTH(TODAY())=6,SUM(T1638:X1638),IF(MONTH(TODAY())=7,SUM(T1638:Y1638),IF(MONTH(TODAY())=8,SUM(T1638:Z1638),IF(MONTH(TODAY())=9,SUM(T1638:AA1638),IF(MONTH(TODAY())=10,SUM(T1638:AB1638),IF(MONTH(TODAY())=11,SUM(T1638:AC1638),IF(MONTH(TODAY())=12,SUM(T1638:AD1638),IF(MONTH(TODAY())=1,SUM(T1638:AE1638),T1638)))))))))))</f>
        <v>10</v>
      </c>
      <c r="AT1638" s="95">
        <f t="shared" ref="AT1638:AT1642" si="1907">SUM(IF(AW1638&lt;1.15,AG1638,1.15*T1638),IF(AX1638&lt;1.15,AH1638,1.15*U1638),IF(AY1638&lt;1.15,AI1638,1.15*V1638),IF(AZ1638&lt;1.15,AJ1638,1.15*W1638),IF(BA1638&lt;1.15,AK1638,1.15*X1638),IF(BB1638&lt;1.15,AL1638,1.15*Y1638),IF(BC1638&lt;1.15,AM1638,1.15*Z1638),IF(BD1638&lt;1.15,AN1638,1.15*AA1638),IF(BE1638&lt;1.15,AO1638,1.15*AB1638),IF(BF1638&lt;1.15,AP1638,1.15*AC1638),IF(BG1638&lt;1.15,AQ1638,1.15*AD1638),IF(BH1638&lt;1.15,AR1638,1.15*AE1638))</f>
        <v>0</v>
      </c>
      <c r="AU1638" s="97">
        <f t="shared" ref="AU1638:AU1642" si="1908">SUM(AG1638:AR1638)</f>
        <v>0</v>
      </c>
      <c r="AW1638" s="51">
        <f t="shared" ref="AW1638:AW1642" si="1909">IFERROR(IF(AG1638="",0,AG1638/T1638),0)</f>
        <v>0</v>
      </c>
      <c r="AX1638" s="51">
        <f t="shared" ref="AX1638:AX1642" si="1910">IFERROR(IF(AH1638="",0,AH1638/U1638),0)</f>
        <v>0</v>
      </c>
      <c r="AY1638" s="51">
        <f t="shared" ref="AY1638:AY1642" si="1911">IFERROR(IF(AI1638="",0,AI1638/V1638),0)</f>
        <v>0</v>
      </c>
      <c r="AZ1638" s="51">
        <f t="shared" ref="AZ1638:AZ1642" si="1912">IFERROR(IF(AJ1638="",0,AJ1638/W1638),0)</f>
        <v>0</v>
      </c>
      <c r="BA1638" s="51"/>
      <c r="BB1638" s="51"/>
      <c r="BC1638" s="51"/>
      <c r="BD1638" s="51"/>
      <c r="BE1638" s="51"/>
      <c r="BF1638" s="51"/>
      <c r="BG1638" s="51"/>
      <c r="BH1638" s="51"/>
      <c r="BI1638" s="65" cm="1">
        <f t="array" ref="BI1638">IFERROR(INDEX(AW1638:BH1638,1,MATCH(2,1/(AW1638:BH1638&lt;&gt;""))),"")</f>
        <v>0</v>
      </c>
      <c r="BJ1638" s="68" cm="1">
        <f t="array" ref="BJ1638">IF(BM1638 = "", "",IFERROR(INDEX(AW1638:BH1638,1,MATCH(2,1/(AW1638:BH1638&lt;&gt;""),1)-1),""))</f>
        <v>0</v>
      </c>
      <c r="BK1638" s="58">
        <f>IF((IF(AW1638&gt;=115%,115%,AW1638) + IF(AX1638&gt;=115%,115%,AX1638) + IF(AY1638&gt;=115%,115%,AY1638) + (IF(AZ1638&gt;=115%,115%,AZ1638) + IF(BA1638&gt;=115%,115%,BA1638) + IF(BB1638&gt;=115%,115%,BB1638) + IF(BC1638&gt;=115%,115%,BC1638) + IF(BD1638&gt;=115%,115%,BD1638) + IF(BE1638&gt;=115%,115%,BE1638) + IF(BF1638&gt;=115%,115%,BF1638) + IF(BG1638&gt;=115%,115%,BG1638) + IF(BH1638&gt;=115%,115%,BH1638)))/_xlfn.XLOOKUP(F1638,Apuração!A:A,Apuração!B:B)&gt;=1.15,1.15,((IF(AZ1638&gt;=115%,115%,AZ1638) + IF(AX1638&gt;=115%,115%,AX1638) + IF(AY1638&gt;=115%,115%,AY1638) + (IF(AW1638&gt;=115%,115%,AW1638) + IF(BA1638&gt;=115%,115%,BA1638) + IF(BB1638&gt;=115%,115%,BB1638) + IF(BC1638&gt;=115%,115%,BC1638) + IF(BD1638&gt;=115%,115%,BD1638) + IF(BE1638&gt;=115%,115%,BE1638) + IF(BF1638&gt;=115%,115%,BF1638) + IF(BG1638&gt;=115%,115%,BG1638) + IF(BH1638&gt;=115%,115%,BH1638)))/_xlfn.XLOOKUP(F1638,Apuração!A:A,Apuração!B:B)))</f>
        <v>0</v>
      </c>
      <c r="BL1638" s="58" cm="1">
        <f t="array" aca="1" ref="BL1638" ca="1">IF(SUM(IFERROR(IF(INDEX(AW1638:INDEX(AW1638:BH1638, MATCH(2, 1/(AW1638:BH1638&lt;&gt;""), 1)-1), ROW(INDIRECT("1:" &amp; MATCH(2, 1/(AW1638:BH1638&lt;&gt;""), 1)-1))) &gt;= 115%, 115%, INDEX(AW1638:INDEX(AW1638:BH1638, MATCH(2, 1/(AW1638:BH1638&lt;&gt;""), 1)-1), ROW(INDIRECT("1:" &amp; MATCH(2, 1/(AW1638:BH1638&lt;&gt;""), 1)-1)))), 0))/_xlfn.XLOOKUP(F1638,Apuração!A:A,Apuração!B:B)&gt;=1.15,1.15,SUM(IFERROR(IF(INDEX(AW1638:INDEX(AW1638:BH1638, MATCH(2, 1/(AW1638:BH1638&lt;&gt;""), 1)-1), ROW(INDIRECT("1:" &amp; MATCH(2, 1/(AW1638:BH1638&lt;&gt;""), 1)-1))) &gt;= 115%, 115%, INDEX(AW1638:INDEX(AW1638:BH1638, MATCH(2, 1/(AW1638:BH1638&lt;&gt;""), 1)-1), ROW(INDIRECT("1:" &amp; MATCH(2, 1/(AW1638:BH1638&lt;&gt;""), 1)-1)))), 0))/_xlfn.XLOOKUP(F1638,Apuração!A:A,Apuração!B:B))</f>
        <v>0</v>
      </c>
      <c r="BM1638" s="55" cm="1">
        <f t="array" ref="BM1638">IFERROR(
   INDEX($AW$1:$BH$1,
      _xlfn.AGGREGATE(14, 6, COLUMN($AW$1:$BH$1)/(AW1638:BH1638&lt;&gt;""), 2) - COLUMN($AW$1) + 1
   ),
"")</f>
        <v>46082</v>
      </c>
      <c r="BN1638" s="55" cm="1">
        <f t="array" ref="BN1638">IFERROR(INDEX($AW$1:$BH$1,1,MATCH(2,1/(AW1638:BH1638&lt;&gt;""))),"")</f>
        <v>46113</v>
      </c>
      <c r="BO1638" s="53">
        <f ca="1">IFERROR(_xlfn.XLOOKUP(F1638,Apuração!A:A,Apuração!C:C)/_xlfn.XLOOKUP(F1638,Apuração!A:A,Apuração!B:B),0)</f>
        <v>0.41666666666666669</v>
      </c>
      <c r="BP1638" s="53">
        <f ca="1">IFERROR(_xlfn.XLOOKUP(F1638,Apuração!A:A,Apuração!D:D)/_xlfn.XLOOKUP(F1638,Apuração!A:A,Apuração!B:B),0)</f>
        <v>0.33333333333333331</v>
      </c>
      <c r="BQ1638" s="53">
        <f ca="1">IF(BK1638&gt;=BO1638,0,_xlfn.XLOOKUP(F1638,Apuração!A:A,Apuração!B:B)*(BO1638 + (1/_xlfn.XLOOKUP(F1638,Apuração!A:A,Apuração!B:B)) - BK1638))</f>
        <v>6</v>
      </c>
      <c r="BR1638" s="85">
        <f t="shared" ref="BR1638:BR1642" ca="1" si="1913">IF(BQ1638=0,0,BQ1638*Z1638)</f>
        <v>30</v>
      </c>
      <c r="BS1638" s="53">
        <f ca="1">IFERROR((_xlfn.XLOOKUP(F1638,Apuração!A:A,Apuração!C:C)+1)/_xlfn.XLOOKUP(F1638,Apuração!A:A,Apuração!B:B),0)</f>
        <v>0.5</v>
      </c>
    </row>
    <row r="1639" spans="1:71" ht="25.95" hidden="1" customHeight="1" x14ac:dyDescent="0.3">
      <c r="A1639" s="20" t="s">
        <v>87</v>
      </c>
      <c r="B1639" s="4" t="s">
        <v>229</v>
      </c>
      <c r="C1639" s="5" t="s">
        <v>214</v>
      </c>
      <c r="D1639" s="5" t="s">
        <v>215</v>
      </c>
      <c r="E1639" s="4" t="str" cm="1">
        <f t="array" ref="E1639">_xlfn.IFS(
F1639 = "A partir de Abril", "Aguardando Execução na Distribuidora",
A1639 = "CAPACITAÇÃO", "Em execução no Corporativo",
TRUE, "Em Execução na Distribuidora"
)</f>
        <v>Em Execução na Distribuidora</v>
      </c>
      <c r="F1639" s="4" t="str" cm="1">
        <f t="array" ref="F1639">_xlfn.IFS(
AG1639 &lt;&gt; "", "Jan-Dez/26",
AH1639 &lt;&gt; "", "Fev-Dez/26",
AI1639 &lt;&gt; "", "Mar-Dez/26", AJ1639 &lt;&gt; "", "Abr-Dez/26",
TRUE, "A partir de Junho"
)</f>
        <v>Jan-Dez/26</v>
      </c>
      <c r="G1639" s="7" t="s">
        <v>37</v>
      </c>
      <c r="H1639" s="7" t="s">
        <v>38</v>
      </c>
      <c r="I1639" s="8" t="s">
        <v>223</v>
      </c>
      <c r="J1639" s="21" t="str" cm="1">
        <f t="array" aca="1" ref="J1639" ca="1">_xlfn.LET(
  _xlpm.actual_value_month, INDEX(T1639:AE1639, MATCH(DATE(YEAR(TODAY()), MONTH(TODAY()), 1), $T$1:$AE$1, 0)),
  IF(_xlpm.actual_value_month &lt;&gt; "",_xlpm.actual_value_month &amp; " inspeções mensais", "")
)</f>
        <v>11 inspeções mensais</v>
      </c>
      <c r="K1639" s="8" t="str" cm="1">
        <f t="array" ref="K1639">_xlfn.LET(
    _xlpm.sum_month, SUM(T1639:AE1639),
    IF(_xlpm.sum_month = 0, "", _xlpm.sum_month &amp; " inspeções realizadas no ano")
)</f>
        <v>101 inspeções realizadas no ano</v>
      </c>
      <c r="L1639" s="4" t="s">
        <v>230</v>
      </c>
      <c r="M1639" s="19" t="s">
        <v>231</v>
      </c>
      <c r="N1639" s="5" t="s">
        <v>42</v>
      </c>
      <c r="O1639" s="5" t="s">
        <v>43</v>
      </c>
      <c r="P1639" s="10" t="s">
        <v>44</v>
      </c>
      <c r="Q1639" s="10" t="s">
        <v>72</v>
      </c>
      <c r="R1639" s="11" t="s">
        <v>225</v>
      </c>
      <c r="S1639" s="11" t="s">
        <v>44</v>
      </c>
      <c r="T1639" s="143">
        <v>0</v>
      </c>
      <c r="U1639" s="143">
        <v>0</v>
      </c>
      <c r="V1639" s="143">
        <v>2</v>
      </c>
      <c r="W1639" s="143">
        <v>11</v>
      </c>
      <c r="X1639" s="143">
        <v>11</v>
      </c>
      <c r="Y1639" s="143">
        <v>11</v>
      </c>
      <c r="Z1639" s="143">
        <v>11</v>
      </c>
      <c r="AA1639" s="143">
        <v>11</v>
      </c>
      <c r="AB1639" s="143">
        <v>11</v>
      </c>
      <c r="AC1639" s="143">
        <v>11</v>
      </c>
      <c r="AD1639" s="143">
        <v>11</v>
      </c>
      <c r="AE1639" s="143">
        <v>11</v>
      </c>
      <c r="AG1639" s="146">
        <v>0</v>
      </c>
      <c r="AH1639" s="150">
        <v>0</v>
      </c>
      <c r="AI1639" s="150">
        <v>2</v>
      </c>
      <c r="AJ1639" s="82">
        <v>0</v>
      </c>
      <c r="AK1639" s="71"/>
      <c r="AL1639" s="71"/>
      <c r="AM1639" s="71"/>
      <c r="AN1639" s="71"/>
      <c r="AO1639" s="71"/>
      <c r="AP1639" s="71"/>
      <c r="AQ1639" s="71"/>
      <c r="AR1639" s="71"/>
      <c r="AS1639" s="94">
        <f t="shared" ca="1" si="1906"/>
        <v>24</v>
      </c>
      <c r="AT1639" s="95">
        <f t="shared" si="1907"/>
        <v>2</v>
      </c>
      <c r="AU1639" s="97">
        <f t="shared" si="1908"/>
        <v>2</v>
      </c>
      <c r="AW1639" s="51">
        <f t="shared" si="1909"/>
        <v>0</v>
      </c>
      <c r="AX1639" s="51">
        <f t="shared" si="1910"/>
        <v>0</v>
      </c>
      <c r="AY1639" s="51">
        <f t="shared" si="1911"/>
        <v>1</v>
      </c>
      <c r="AZ1639" s="51">
        <f t="shared" si="1912"/>
        <v>0</v>
      </c>
      <c r="BA1639" s="51"/>
      <c r="BB1639" s="51"/>
      <c r="BC1639" s="51"/>
      <c r="BD1639" s="51"/>
      <c r="BE1639" s="51"/>
      <c r="BF1639" s="51"/>
      <c r="BG1639" s="51"/>
      <c r="BH1639" s="51"/>
      <c r="BI1639" s="65" cm="1">
        <f t="array" ref="BI1639">IFERROR(INDEX(AW1639:BH1639,1,MATCH(2,1/(AW1639:BH1639&lt;&gt;""))),"")</f>
        <v>0</v>
      </c>
      <c r="BJ1639" s="68" cm="1">
        <f t="array" ref="BJ1639">IF(BM1639 = "", "",IFERROR(INDEX(AW1639:BH1639,1,MATCH(2,1/(AW1639:BH1639&lt;&gt;""),1)-1),""))</f>
        <v>1</v>
      </c>
      <c r="BK1639" s="58">
        <f>IF((IF(AW1639&gt;=115%,115%,AW1639) + IF(AX1639&gt;=115%,115%,AX1639) + IF(AY1639&gt;=115%,115%,AY1639) + (IF(AZ1639&gt;=115%,115%,AZ1639) + IF(BA1639&gt;=115%,115%,BA1639) + IF(BB1639&gt;=115%,115%,BB1639) + IF(BC1639&gt;=115%,115%,BC1639) + IF(BD1639&gt;=115%,115%,BD1639) + IF(BE1639&gt;=115%,115%,BE1639) + IF(BF1639&gt;=115%,115%,BF1639) + IF(BG1639&gt;=115%,115%,BG1639) + IF(BH1639&gt;=115%,115%,BH1639)))/_xlfn.XLOOKUP(F1639,Apuração!A:A,Apuração!B:B)&gt;=1.15,1.15,((IF(AZ1639&gt;=115%,115%,AZ1639) + IF(AX1639&gt;=115%,115%,AX1639) + IF(AY1639&gt;=115%,115%,AY1639) + (IF(AW1639&gt;=115%,115%,AW1639) + IF(BA1639&gt;=115%,115%,BA1639) + IF(BB1639&gt;=115%,115%,BB1639) + IF(BC1639&gt;=115%,115%,BC1639) + IF(BD1639&gt;=115%,115%,BD1639) + IF(BE1639&gt;=115%,115%,BE1639) + IF(BF1639&gt;=115%,115%,BF1639) + IF(BG1639&gt;=115%,115%,BG1639) + IF(BH1639&gt;=115%,115%,BH1639)))/_xlfn.XLOOKUP(F1639,Apuração!A:A,Apuração!B:B)))</f>
        <v>8.3333333333333329E-2</v>
      </c>
      <c r="BL1639" s="58" cm="1">
        <f t="array" aca="1" ref="BL1639" ca="1">IF(SUM(IFERROR(IF(INDEX(AW1639:INDEX(AW1639:BH1639, MATCH(2, 1/(AW1639:BH1639&lt;&gt;""), 1)-1), ROW(INDIRECT("1:" &amp; MATCH(2, 1/(AW1639:BH1639&lt;&gt;""), 1)-1))) &gt;= 115%, 115%, INDEX(AW1639:INDEX(AW1639:BH1639, MATCH(2, 1/(AW1639:BH1639&lt;&gt;""), 1)-1), ROW(INDIRECT("1:" &amp; MATCH(2, 1/(AW1639:BH1639&lt;&gt;""), 1)-1)))), 0))/_xlfn.XLOOKUP(F1639,Apuração!A:A,Apuração!B:B)&gt;=1.15,1.15,SUM(IFERROR(IF(INDEX(AW1639:INDEX(AW1639:BH1639, MATCH(2, 1/(AW1639:BH1639&lt;&gt;""), 1)-1), ROW(INDIRECT("1:" &amp; MATCH(2, 1/(AW1639:BH1639&lt;&gt;""), 1)-1))) &gt;= 115%, 115%, INDEX(AW1639:INDEX(AW1639:BH1639, MATCH(2, 1/(AW1639:BH1639&lt;&gt;""), 1)-1), ROW(INDIRECT("1:" &amp; MATCH(2, 1/(AW1639:BH1639&lt;&gt;""), 1)-1)))), 0))/_xlfn.XLOOKUP(F1639,Apuração!A:A,Apuração!B:B))</f>
        <v>8.3333333333333329E-2</v>
      </c>
      <c r="BM1639" s="55" cm="1">
        <f t="array" ref="BM1639">IFERROR(
   INDEX($AW$1:$BH$1,
      _xlfn.AGGREGATE(14, 6, COLUMN($AW$1:$BH$1)/(AW1639:BH1639&lt;&gt;""), 2) - COLUMN($AW$1) + 1
   ),
"")</f>
        <v>46082</v>
      </c>
      <c r="BN1639" s="55" cm="1">
        <f t="array" ref="BN1639">IFERROR(INDEX($AW$1:$BH$1,1,MATCH(2,1/(AW1639:BH1639&lt;&gt;""))),"")</f>
        <v>46113</v>
      </c>
      <c r="BO1639" s="53">
        <f ca="1">IFERROR(_xlfn.XLOOKUP(F1639,Apuração!A:A,Apuração!C:C)/_xlfn.XLOOKUP(F1639,Apuração!A:A,Apuração!B:B),0)</f>
        <v>0.41666666666666669</v>
      </c>
      <c r="BP1639" s="53">
        <f ca="1">IFERROR(_xlfn.XLOOKUP(F1639,Apuração!A:A,Apuração!D:D)/_xlfn.XLOOKUP(F1639,Apuração!A:A,Apuração!B:B),0)</f>
        <v>0.33333333333333331</v>
      </c>
      <c r="BQ1639" s="53">
        <f ca="1">IF(BK1639&gt;=BO1639,0,_xlfn.XLOOKUP(F1639,Apuração!A:A,Apuração!B:B)*(BO1639 + (1/_xlfn.XLOOKUP(F1639,Apuração!A:A,Apuração!B:B)) - BK1639))</f>
        <v>5</v>
      </c>
      <c r="BR1639" s="85">
        <f t="shared" ca="1" si="1913"/>
        <v>55</v>
      </c>
      <c r="BS1639" s="53">
        <f ca="1">IFERROR((_xlfn.XLOOKUP(F1639,Apuração!A:A,Apuração!C:C)+1)/_xlfn.XLOOKUP(F1639,Apuração!A:A,Apuração!B:B),0)</f>
        <v>0.5</v>
      </c>
    </row>
    <row r="1640" spans="1:71" ht="25.95" hidden="1" customHeight="1" x14ac:dyDescent="0.3">
      <c r="A1640" s="20" t="s">
        <v>87</v>
      </c>
      <c r="B1640" s="4" t="s">
        <v>229</v>
      </c>
      <c r="C1640" s="5" t="s">
        <v>214</v>
      </c>
      <c r="D1640" s="5" t="s">
        <v>212</v>
      </c>
      <c r="E1640" s="4" t="str" cm="1">
        <f t="array" ref="E1640">_xlfn.IFS(
F1640 = "A partir de Abril", "Aguardando Execução na Distribuidora",
A1640 = "CAPACITAÇÃO", "Em execução no Corporativo",
TRUE, "Em Execução na Distribuidora"
)</f>
        <v>Em Execução na Distribuidora</v>
      </c>
      <c r="F1640" s="4" t="str" cm="1">
        <f t="array" ref="F1640">_xlfn.IFS(
AG1640 &lt;&gt; "", "Jan-Dez/26",
AH1640 &lt;&gt; "", "Fev-Dez/26",
AI1640 &lt;&gt; "", "Mar-Dez/26", AJ1640 &lt;&gt; "", "Abr-Dez/26",
TRUE, "A partir de Junho"
)</f>
        <v>Jan-Dez/26</v>
      </c>
      <c r="G1640" s="7" t="s">
        <v>37</v>
      </c>
      <c r="H1640" s="7" t="s">
        <v>38</v>
      </c>
      <c r="I1640" s="8" t="s">
        <v>223</v>
      </c>
      <c r="J1640" s="21" t="str" cm="1">
        <f t="array" aca="1" ref="J1640" ca="1">_xlfn.LET(
  _xlpm.actual_value_month, INDEX(T1640:AE1640, MATCH(DATE(YEAR(TODAY()), MONTH(TODAY()), 1), $T$1:$AE$1, 0)),
  IF(_xlpm.actual_value_month &lt;&gt; "",_xlpm.actual_value_month &amp; " inspeções mensais", "")
)</f>
        <v>10 inspeções mensais</v>
      </c>
      <c r="K1640" s="8" t="str" cm="1">
        <f t="array" ref="K1640">_xlfn.LET(
    _xlpm.sum_month, SUM(T1640:AE1640),
    IF(_xlpm.sum_month = 0, "", _xlpm.sum_month &amp; " inspeções realizadas no ano")
)</f>
        <v>101 inspeções realizadas no ano</v>
      </c>
      <c r="L1640" s="4" t="s">
        <v>230</v>
      </c>
      <c r="M1640" s="19" t="s">
        <v>231</v>
      </c>
      <c r="N1640" s="5" t="s">
        <v>42</v>
      </c>
      <c r="O1640" s="5" t="s">
        <v>43</v>
      </c>
      <c r="P1640" s="10" t="s">
        <v>44</v>
      </c>
      <c r="Q1640" s="10" t="s">
        <v>72</v>
      </c>
      <c r="R1640" s="11" t="s">
        <v>225</v>
      </c>
      <c r="S1640" s="11" t="s">
        <v>44</v>
      </c>
      <c r="T1640" s="143">
        <v>5</v>
      </c>
      <c r="U1640" s="143">
        <v>4</v>
      </c>
      <c r="V1640" s="143">
        <v>2</v>
      </c>
      <c r="W1640" s="143">
        <v>10</v>
      </c>
      <c r="X1640" s="143">
        <v>10</v>
      </c>
      <c r="Y1640" s="143">
        <v>10</v>
      </c>
      <c r="Z1640" s="143">
        <v>10</v>
      </c>
      <c r="AA1640" s="143">
        <v>10</v>
      </c>
      <c r="AB1640" s="143">
        <v>10</v>
      </c>
      <c r="AC1640" s="143">
        <v>10</v>
      </c>
      <c r="AD1640" s="143">
        <v>10</v>
      </c>
      <c r="AE1640" s="143">
        <v>10</v>
      </c>
      <c r="AG1640" s="146">
        <v>5</v>
      </c>
      <c r="AH1640" s="150">
        <v>4</v>
      </c>
      <c r="AI1640" s="150">
        <v>2</v>
      </c>
      <c r="AJ1640" s="82">
        <v>2</v>
      </c>
      <c r="AK1640" s="71"/>
      <c r="AL1640" s="71"/>
      <c r="AM1640" s="71"/>
      <c r="AN1640" s="71"/>
      <c r="AO1640" s="71"/>
      <c r="AP1640" s="71"/>
      <c r="AQ1640" s="71"/>
      <c r="AR1640" s="71"/>
      <c r="AS1640" s="94">
        <f t="shared" ca="1" si="1906"/>
        <v>31</v>
      </c>
      <c r="AT1640" s="95">
        <f t="shared" si="1907"/>
        <v>13</v>
      </c>
      <c r="AU1640" s="97">
        <f t="shared" si="1908"/>
        <v>13</v>
      </c>
      <c r="AW1640" s="51">
        <f t="shared" si="1909"/>
        <v>1</v>
      </c>
      <c r="AX1640" s="51">
        <f t="shared" si="1910"/>
        <v>1</v>
      </c>
      <c r="AY1640" s="51">
        <f t="shared" si="1911"/>
        <v>1</v>
      </c>
      <c r="AZ1640" s="51">
        <f t="shared" si="1912"/>
        <v>0.2</v>
      </c>
      <c r="BA1640" s="51"/>
      <c r="BB1640" s="51"/>
      <c r="BC1640" s="51"/>
      <c r="BD1640" s="51"/>
      <c r="BE1640" s="51"/>
      <c r="BF1640" s="51"/>
      <c r="BG1640" s="51"/>
      <c r="BH1640" s="51"/>
      <c r="BI1640" s="65" cm="1">
        <f t="array" ref="BI1640">IFERROR(INDEX(AW1640:BH1640,1,MATCH(2,1/(AW1640:BH1640&lt;&gt;""))),"")</f>
        <v>0.2</v>
      </c>
      <c r="BJ1640" s="68" cm="1">
        <f t="array" ref="BJ1640">IF(BM1640 = "", "",IFERROR(INDEX(AW1640:BH1640,1,MATCH(2,1/(AW1640:BH1640&lt;&gt;""),1)-1),""))</f>
        <v>1</v>
      </c>
      <c r="BK1640" s="58">
        <f>IF((IF(AW1640&gt;=115%,115%,AW1640) + IF(AX1640&gt;=115%,115%,AX1640) + IF(AY1640&gt;=115%,115%,AY1640) + (IF(AZ1640&gt;=115%,115%,AZ1640) + IF(BA1640&gt;=115%,115%,BA1640) + IF(BB1640&gt;=115%,115%,BB1640) + IF(BC1640&gt;=115%,115%,BC1640) + IF(BD1640&gt;=115%,115%,BD1640) + IF(BE1640&gt;=115%,115%,BE1640) + IF(BF1640&gt;=115%,115%,BF1640) + IF(BG1640&gt;=115%,115%,BG1640) + IF(BH1640&gt;=115%,115%,BH1640)))/_xlfn.XLOOKUP(F1640,Apuração!A:A,Apuração!B:B)&gt;=1.15,1.15,((IF(AZ1640&gt;=115%,115%,AZ1640) + IF(AX1640&gt;=115%,115%,AX1640) + IF(AY1640&gt;=115%,115%,AY1640) + (IF(AW1640&gt;=115%,115%,AW1640) + IF(BA1640&gt;=115%,115%,BA1640) + IF(BB1640&gt;=115%,115%,BB1640) + IF(BC1640&gt;=115%,115%,BC1640) + IF(BD1640&gt;=115%,115%,BD1640) + IF(BE1640&gt;=115%,115%,BE1640) + IF(BF1640&gt;=115%,115%,BF1640) + IF(BG1640&gt;=115%,115%,BG1640) + IF(BH1640&gt;=115%,115%,BH1640)))/_xlfn.XLOOKUP(F1640,Apuração!A:A,Apuração!B:B)))</f>
        <v>0.26666666666666666</v>
      </c>
      <c r="BL1640" s="58" cm="1">
        <f t="array" aca="1" ref="BL1640" ca="1">IF(SUM(IFERROR(IF(INDEX(AW1640:INDEX(AW1640:BH1640, MATCH(2, 1/(AW1640:BH1640&lt;&gt;""), 1)-1), ROW(INDIRECT("1:" &amp; MATCH(2, 1/(AW1640:BH1640&lt;&gt;""), 1)-1))) &gt;= 115%, 115%, INDEX(AW1640:INDEX(AW1640:BH1640, MATCH(2, 1/(AW1640:BH1640&lt;&gt;""), 1)-1), ROW(INDIRECT("1:" &amp; MATCH(2, 1/(AW1640:BH1640&lt;&gt;""), 1)-1)))), 0))/_xlfn.XLOOKUP(F1640,Apuração!A:A,Apuração!B:B)&gt;=1.15,1.15,SUM(IFERROR(IF(INDEX(AW1640:INDEX(AW1640:BH1640, MATCH(2, 1/(AW1640:BH1640&lt;&gt;""), 1)-1), ROW(INDIRECT("1:" &amp; MATCH(2, 1/(AW1640:BH1640&lt;&gt;""), 1)-1))) &gt;= 115%, 115%, INDEX(AW1640:INDEX(AW1640:BH1640, MATCH(2, 1/(AW1640:BH1640&lt;&gt;""), 1)-1), ROW(INDIRECT("1:" &amp; MATCH(2, 1/(AW1640:BH1640&lt;&gt;""), 1)-1)))), 0))/_xlfn.XLOOKUP(F1640,Apuração!A:A,Apuração!B:B))</f>
        <v>0.25</v>
      </c>
      <c r="BM1640" s="55" cm="1">
        <f t="array" ref="BM1640">IFERROR(
   INDEX($AW$1:$BH$1,
      _xlfn.AGGREGATE(14, 6, COLUMN($AW$1:$BH$1)/(AW1640:BH1640&lt;&gt;""), 2) - COLUMN($AW$1) + 1
   ),
"")</f>
        <v>46082</v>
      </c>
      <c r="BN1640" s="55" cm="1">
        <f t="array" ref="BN1640">IFERROR(INDEX($AW$1:$BH$1,1,MATCH(2,1/(AW1640:BH1640&lt;&gt;""))),"")</f>
        <v>46113</v>
      </c>
      <c r="BO1640" s="53">
        <f ca="1">IFERROR(_xlfn.XLOOKUP(F1640,Apuração!A:A,Apuração!C:C)/_xlfn.XLOOKUP(F1640,Apuração!A:A,Apuração!B:B),0)</f>
        <v>0.41666666666666669</v>
      </c>
      <c r="BP1640" s="53">
        <f ca="1">IFERROR(_xlfn.XLOOKUP(F1640,Apuração!A:A,Apuração!D:D)/_xlfn.XLOOKUP(F1640,Apuração!A:A,Apuração!B:B),0)</f>
        <v>0.33333333333333331</v>
      </c>
      <c r="BQ1640" s="53">
        <f ca="1">IF(BK1640&gt;=BO1640,0,_xlfn.XLOOKUP(F1640,Apuração!A:A,Apuração!B:B)*(BO1640 + (1/_xlfn.XLOOKUP(F1640,Apuração!A:A,Apuração!B:B)) - BK1640))</f>
        <v>2.8</v>
      </c>
      <c r="BR1640" s="85">
        <f t="shared" ca="1" si="1913"/>
        <v>28</v>
      </c>
      <c r="BS1640" s="53">
        <f ca="1">IFERROR((_xlfn.XLOOKUP(F1640,Apuração!A:A,Apuração!C:C)+1)/_xlfn.XLOOKUP(F1640,Apuração!A:A,Apuração!B:B),0)</f>
        <v>0.5</v>
      </c>
    </row>
    <row r="1641" spans="1:71" ht="25.95" hidden="1" customHeight="1" x14ac:dyDescent="0.3">
      <c r="A1641" s="20" t="s">
        <v>87</v>
      </c>
      <c r="B1641" s="4" t="s">
        <v>229</v>
      </c>
      <c r="C1641" s="5" t="s">
        <v>214</v>
      </c>
      <c r="D1641" s="5" t="s">
        <v>48</v>
      </c>
      <c r="E1641" s="4" t="str" cm="1">
        <f t="array" ref="E1641">_xlfn.IFS(
F1641 = "A partir de Abril", "Aguardando Execução na Distribuidora",
A1641 = "CAPACITAÇÃO", "Em execução no Corporativo",
TRUE, "Em Execução na Distribuidora"
)</f>
        <v>Em Execução na Distribuidora</v>
      </c>
      <c r="F1641" s="4" t="str" cm="1">
        <f t="array" ref="F1641">_xlfn.IFS(
AG1641 &lt;&gt; "", "Jan-Dez/26",
AH1641 &lt;&gt; "", "Fev-Dez/26",
AI1641 &lt;&gt; "", "Mar-Dez/26", AJ1641 &lt;&gt; "", "Abr-Dez/26",
TRUE, "A partir de Junho"
)</f>
        <v>Jan-Dez/26</v>
      </c>
      <c r="G1641" s="7" t="s">
        <v>37</v>
      </c>
      <c r="H1641" s="7" t="s">
        <v>38</v>
      </c>
      <c r="I1641" s="8" t="s">
        <v>223</v>
      </c>
      <c r="J1641" s="21" t="str" cm="1">
        <f t="array" aca="1" ref="J1641" ca="1">_xlfn.LET(
  _xlpm.actual_value_month, INDEX(T1641:AE1641, MATCH(DATE(YEAR(TODAY()), MONTH(TODAY()), 1), $T$1:$AE$1, 0)),
  IF(_xlpm.actual_value_month &lt;&gt; "",_xlpm.actual_value_month &amp; " inspeções mensais", "")
)</f>
        <v>10 inspeções mensais</v>
      </c>
      <c r="K1641" s="8" t="str" cm="1">
        <f t="array" ref="K1641">_xlfn.LET(
    _xlpm.sum_month, SUM(T1641:AE1641),
    IF(_xlpm.sum_month = 0, "", _xlpm.sum_month &amp; " inspeções realizadas no ano")
)</f>
        <v>90 inspeções realizadas no ano</v>
      </c>
      <c r="L1641" s="4" t="s">
        <v>230</v>
      </c>
      <c r="M1641" s="19" t="s">
        <v>231</v>
      </c>
      <c r="N1641" s="5" t="s">
        <v>42</v>
      </c>
      <c r="O1641" s="5" t="s">
        <v>43</v>
      </c>
      <c r="P1641" s="10" t="s">
        <v>44</v>
      </c>
      <c r="Q1641" s="10" t="s">
        <v>72</v>
      </c>
      <c r="R1641" s="11" t="s">
        <v>225</v>
      </c>
      <c r="S1641" s="11" t="s">
        <v>44</v>
      </c>
      <c r="T1641" s="143">
        <v>0</v>
      </c>
      <c r="U1641" s="143">
        <v>0</v>
      </c>
      <c r="V1641" s="143">
        <v>0</v>
      </c>
      <c r="W1641" s="143">
        <v>10</v>
      </c>
      <c r="X1641" s="143">
        <v>10</v>
      </c>
      <c r="Y1641" s="143">
        <v>10</v>
      </c>
      <c r="Z1641" s="143">
        <v>10</v>
      </c>
      <c r="AA1641" s="143">
        <v>10</v>
      </c>
      <c r="AB1641" s="143">
        <v>10</v>
      </c>
      <c r="AC1641" s="143">
        <v>10</v>
      </c>
      <c r="AD1641" s="143">
        <v>10</v>
      </c>
      <c r="AE1641" s="143">
        <v>10</v>
      </c>
      <c r="AG1641" s="146">
        <v>0</v>
      </c>
      <c r="AH1641" s="150">
        <v>0</v>
      </c>
      <c r="AI1641" s="150">
        <v>0</v>
      </c>
      <c r="AJ1641" s="82">
        <v>0</v>
      </c>
      <c r="AK1641" s="71"/>
      <c r="AL1641" s="71"/>
      <c r="AM1641" s="71"/>
      <c r="AN1641" s="71"/>
      <c r="AO1641" s="71"/>
      <c r="AP1641" s="71"/>
      <c r="AQ1641" s="71"/>
      <c r="AR1641" s="71"/>
      <c r="AS1641" s="94">
        <f t="shared" ca="1" si="1906"/>
        <v>20</v>
      </c>
      <c r="AT1641" s="95">
        <f t="shared" si="1907"/>
        <v>0</v>
      </c>
      <c r="AU1641" s="97">
        <f t="shared" si="1908"/>
        <v>0</v>
      </c>
      <c r="AW1641" s="51">
        <f t="shared" si="1909"/>
        <v>0</v>
      </c>
      <c r="AX1641" s="51">
        <f t="shared" si="1910"/>
        <v>0</v>
      </c>
      <c r="AY1641" s="51">
        <f t="shared" si="1911"/>
        <v>0</v>
      </c>
      <c r="AZ1641" s="51">
        <f t="shared" si="1912"/>
        <v>0</v>
      </c>
      <c r="BA1641" s="51"/>
      <c r="BB1641" s="51"/>
      <c r="BC1641" s="51"/>
      <c r="BD1641" s="51"/>
      <c r="BE1641" s="51"/>
      <c r="BF1641" s="51"/>
      <c r="BG1641" s="51"/>
      <c r="BH1641" s="51"/>
      <c r="BI1641" s="65" cm="1">
        <f t="array" ref="BI1641">IFERROR(INDEX(AW1641:BH1641,1,MATCH(2,1/(AW1641:BH1641&lt;&gt;""))),"")</f>
        <v>0</v>
      </c>
      <c r="BJ1641" s="68" cm="1">
        <f t="array" ref="BJ1641">IF(BM1641 = "", "",IFERROR(INDEX(AW1641:BH1641,1,MATCH(2,1/(AW1641:BH1641&lt;&gt;""),1)-1),""))</f>
        <v>0</v>
      </c>
      <c r="BK1641" s="58">
        <f>IF((IF(AW1641&gt;=115%,115%,AW1641) + IF(AX1641&gt;=115%,115%,AX1641) + IF(AY1641&gt;=115%,115%,AY1641) + (IF(AZ1641&gt;=115%,115%,AZ1641) + IF(BA1641&gt;=115%,115%,BA1641) + IF(BB1641&gt;=115%,115%,BB1641) + IF(BC1641&gt;=115%,115%,BC1641) + IF(BD1641&gt;=115%,115%,BD1641) + IF(BE1641&gt;=115%,115%,BE1641) + IF(BF1641&gt;=115%,115%,BF1641) + IF(BG1641&gt;=115%,115%,BG1641) + IF(BH1641&gt;=115%,115%,BH1641)))/_xlfn.XLOOKUP(F1641,Apuração!A:A,Apuração!B:B)&gt;=1.15,1.15,((IF(AZ1641&gt;=115%,115%,AZ1641) + IF(AX1641&gt;=115%,115%,AX1641) + IF(AY1641&gt;=115%,115%,AY1641) + (IF(AW1641&gt;=115%,115%,AW1641) + IF(BA1641&gt;=115%,115%,BA1641) + IF(BB1641&gt;=115%,115%,BB1641) + IF(BC1641&gt;=115%,115%,BC1641) + IF(BD1641&gt;=115%,115%,BD1641) + IF(BE1641&gt;=115%,115%,BE1641) + IF(BF1641&gt;=115%,115%,BF1641) + IF(BG1641&gt;=115%,115%,BG1641) + IF(BH1641&gt;=115%,115%,BH1641)))/_xlfn.XLOOKUP(F1641,Apuração!A:A,Apuração!B:B)))</f>
        <v>0</v>
      </c>
      <c r="BL1641" s="58" cm="1">
        <f t="array" aca="1" ref="BL1641" ca="1">IF(SUM(IFERROR(IF(INDEX(AW1641:INDEX(AW1641:BH1641, MATCH(2, 1/(AW1641:BH1641&lt;&gt;""), 1)-1), ROW(INDIRECT("1:" &amp; MATCH(2, 1/(AW1641:BH1641&lt;&gt;""), 1)-1))) &gt;= 115%, 115%, INDEX(AW1641:INDEX(AW1641:BH1641, MATCH(2, 1/(AW1641:BH1641&lt;&gt;""), 1)-1), ROW(INDIRECT("1:" &amp; MATCH(2, 1/(AW1641:BH1641&lt;&gt;""), 1)-1)))), 0))/_xlfn.XLOOKUP(F1641,Apuração!A:A,Apuração!B:B)&gt;=1.15,1.15,SUM(IFERROR(IF(INDEX(AW1641:INDEX(AW1641:BH1641, MATCH(2, 1/(AW1641:BH1641&lt;&gt;""), 1)-1), ROW(INDIRECT("1:" &amp; MATCH(2, 1/(AW1641:BH1641&lt;&gt;""), 1)-1))) &gt;= 115%, 115%, INDEX(AW1641:INDEX(AW1641:BH1641, MATCH(2, 1/(AW1641:BH1641&lt;&gt;""), 1)-1), ROW(INDIRECT("1:" &amp; MATCH(2, 1/(AW1641:BH1641&lt;&gt;""), 1)-1)))), 0))/_xlfn.XLOOKUP(F1641,Apuração!A:A,Apuração!B:B))</f>
        <v>0</v>
      </c>
      <c r="BM1641" s="55" cm="1">
        <f t="array" ref="BM1641">IFERROR(
   INDEX($AW$1:$BH$1,
      _xlfn.AGGREGATE(14, 6, COLUMN($AW$1:$BH$1)/(AW1641:BH1641&lt;&gt;""), 2) - COLUMN($AW$1) + 1
   ),
"")</f>
        <v>46082</v>
      </c>
      <c r="BN1641" s="55" cm="1">
        <f t="array" ref="BN1641">IFERROR(INDEX($AW$1:$BH$1,1,MATCH(2,1/(AW1641:BH1641&lt;&gt;""))),"")</f>
        <v>46113</v>
      </c>
      <c r="BO1641" s="53">
        <f ca="1">IFERROR(_xlfn.XLOOKUP(F1641,Apuração!A:A,Apuração!C:C)/_xlfn.XLOOKUP(F1641,Apuração!A:A,Apuração!B:B),0)</f>
        <v>0.41666666666666669</v>
      </c>
      <c r="BP1641" s="53">
        <f ca="1">IFERROR(_xlfn.XLOOKUP(F1641,Apuração!A:A,Apuração!D:D)/_xlfn.XLOOKUP(F1641,Apuração!A:A,Apuração!B:B),0)</f>
        <v>0.33333333333333331</v>
      </c>
      <c r="BQ1641" s="53">
        <f ca="1">IF(BK1641&gt;=BO1641,0,_xlfn.XLOOKUP(F1641,Apuração!A:A,Apuração!B:B)*(BO1641 + (1/_xlfn.XLOOKUP(F1641,Apuração!A:A,Apuração!B:B)) - BK1641))</f>
        <v>6</v>
      </c>
      <c r="BR1641" s="85">
        <f t="shared" ca="1" si="1913"/>
        <v>60</v>
      </c>
      <c r="BS1641" s="53">
        <f ca="1">IFERROR((_xlfn.XLOOKUP(F1641,Apuração!A:A,Apuração!C:C)+1)/_xlfn.XLOOKUP(F1641,Apuração!A:A,Apuração!B:B),0)</f>
        <v>0.5</v>
      </c>
    </row>
    <row r="1642" spans="1:71" ht="25.95" hidden="1" customHeight="1" x14ac:dyDescent="0.3">
      <c r="A1642" s="20" t="s">
        <v>87</v>
      </c>
      <c r="B1642" s="4" t="s">
        <v>229</v>
      </c>
      <c r="C1642" s="5" t="s">
        <v>214</v>
      </c>
      <c r="D1642" s="5" t="s">
        <v>213</v>
      </c>
      <c r="E1642" s="4" t="str" cm="1">
        <f t="array" ref="E1642">_xlfn.IFS(
F1642 = "A partir de Abril", "Aguardando Execução na Distribuidora",
A1642 = "CAPACITAÇÃO", "Em execução no Corporativo",
TRUE, "Em Execução na Distribuidora"
)</f>
        <v>Em Execução na Distribuidora</v>
      </c>
      <c r="F1642" s="4" t="str" cm="1">
        <f t="array" ref="F1642">_xlfn.IFS(
AG1642 &lt;&gt; "", "Jan-Dez/26",
AH1642 &lt;&gt; "", "Fev-Dez/26",
AI1642 &lt;&gt; "", "Mar-Dez/26", AJ1642 &lt;&gt; "", "Abr-Dez/26",
TRUE, "A partir de Junho"
)</f>
        <v>Jan-Dez/26</v>
      </c>
      <c r="G1642" s="7" t="s">
        <v>37</v>
      </c>
      <c r="H1642" s="7" t="s">
        <v>38</v>
      </c>
      <c r="I1642" s="8" t="s">
        <v>223</v>
      </c>
      <c r="J1642" s="21" t="str" cm="1">
        <f t="array" aca="1" ref="J1642" ca="1">_xlfn.LET(
  _xlpm.actual_value_month, INDEX(T1642:AE1642, MATCH(DATE(YEAR(TODAY()), MONTH(TODAY()), 1), $T$1:$AE$1, 0)),
  IF(_xlpm.actual_value_month &lt;&gt; "",_xlpm.actual_value_month &amp; " inspeções mensais", "")
)</f>
        <v>9 inspeções mensais</v>
      </c>
      <c r="K1642" s="8" t="str" cm="1">
        <f t="array" ref="K1642">_xlfn.LET(
    _xlpm.sum_month, SUM(T1642:AE1642),
    IF(_xlpm.sum_month = 0, "", _xlpm.sum_month &amp; " inspeções realizadas no ano")
)</f>
        <v>120 inspeções realizadas no ano</v>
      </c>
      <c r="L1642" s="4" t="s">
        <v>230</v>
      </c>
      <c r="M1642" s="19" t="s">
        <v>231</v>
      </c>
      <c r="N1642" s="5" t="s">
        <v>42</v>
      </c>
      <c r="O1642" s="5" t="s">
        <v>43</v>
      </c>
      <c r="P1642" s="10" t="s">
        <v>44</v>
      </c>
      <c r="Q1642" s="10" t="s">
        <v>72</v>
      </c>
      <c r="R1642" s="11" t="s">
        <v>225</v>
      </c>
      <c r="S1642" s="11" t="s">
        <v>44</v>
      </c>
      <c r="T1642" s="143">
        <v>11</v>
      </c>
      <c r="U1642" s="143">
        <v>9</v>
      </c>
      <c r="V1642" s="143">
        <v>19</v>
      </c>
      <c r="W1642" s="143">
        <v>9</v>
      </c>
      <c r="X1642" s="143">
        <v>9</v>
      </c>
      <c r="Y1642" s="143">
        <v>9</v>
      </c>
      <c r="Z1642" s="143">
        <v>9</v>
      </c>
      <c r="AA1642" s="143">
        <v>9</v>
      </c>
      <c r="AB1642" s="143">
        <v>9</v>
      </c>
      <c r="AC1642" s="143">
        <v>9</v>
      </c>
      <c r="AD1642" s="143">
        <v>9</v>
      </c>
      <c r="AE1642" s="143">
        <v>9</v>
      </c>
      <c r="AG1642" s="146">
        <v>11</v>
      </c>
      <c r="AH1642" s="150">
        <v>9</v>
      </c>
      <c r="AI1642" s="150">
        <v>19</v>
      </c>
      <c r="AJ1642" s="82">
        <v>16</v>
      </c>
      <c r="AK1642" s="71"/>
      <c r="AL1642" s="71"/>
      <c r="AM1642" s="71"/>
      <c r="AN1642" s="71"/>
      <c r="AO1642" s="71"/>
      <c r="AP1642" s="71"/>
      <c r="AQ1642" s="71"/>
      <c r="AR1642" s="71"/>
      <c r="AS1642" s="94">
        <f t="shared" ca="1" si="1906"/>
        <v>57</v>
      </c>
      <c r="AT1642" s="95">
        <f t="shared" si="1907"/>
        <v>49.35</v>
      </c>
      <c r="AU1642" s="97">
        <f t="shared" si="1908"/>
        <v>55</v>
      </c>
      <c r="AW1642" s="51">
        <f t="shared" si="1909"/>
        <v>1</v>
      </c>
      <c r="AX1642" s="51">
        <f t="shared" si="1910"/>
        <v>1</v>
      </c>
      <c r="AY1642" s="51">
        <f t="shared" si="1911"/>
        <v>1</v>
      </c>
      <c r="AZ1642" s="51">
        <f t="shared" si="1912"/>
        <v>1.7777777777777777</v>
      </c>
      <c r="BA1642" s="51"/>
      <c r="BB1642" s="51"/>
      <c r="BC1642" s="51"/>
      <c r="BD1642" s="51"/>
      <c r="BE1642" s="51"/>
      <c r="BF1642" s="51"/>
      <c r="BG1642" s="51"/>
      <c r="BH1642" s="51"/>
      <c r="BI1642" s="65" cm="1">
        <f t="array" ref="BI1642">IFERROR(INDEX(AW1642:BH1642,1,MATCH(2,1/(AW1642:BH1642&lt;&gt;""))),"")</f>
        <v>1.7777777777777777</v>
      </c>
      <c r="BJ1642" s="68" cm="1">
        <f t="array" ref="BJ1642">IF(BM1642 = "", "",IFERROR(INDEX(AW1642:BH1642,1,MATCH(2,1/(AW1642:BH1642&lt;&gt;""),1)-1),""))</f>
        <v>1</v>
      </c>
      <c r="BK1642" s="58">
        <f>IF((IF(AW1642&gt;=115%,115%,AW1642) + IF(AX1642&gt;=115%,115%,AX1642) + IF(AY1642&gt;=115%,115%,AY1642) + (IF(AZ1642&gt;=115%,115%,AZ1642) + IF(BA1642&gt;=115%,115%,BA1642) + IF(BB1642&gt;=115%,115%,BB1642) + IF(BC1642&gt;=115%,115%,BC1642) + IF(BD1642&gt;=115%,115%,BD1642) + IF(BE1642&gt;=115%,115%,BE1642) + IF(BF1642&gt;=115%,115%,BF1642) + IF(BG1642&gt;=115%,115%,BG1642) + IF(BH1642&gt;=115%,115%,BH1642)))/_xlfn.XLOOKUP(F1642,Apuração!A:A,Apuração!B:B)&gt;=1.15,1.15,((IF(AZ1642&gt;=115%,115%,AZ1642) + IF(AX1642&gt;=115%,115%,AX1642) + IF(AY1642&gt;=115%,115%,AY1642) + (IF(AW1642&gt;=115%,115%,AW1642) + IF(BA1642&gt;=115%,115%,BA1642) + IF(BB1642&gt;=115%,115%,BB1642) + IF(BC1642&gt;=115%,115%,BC1642) + IF(BD1642&gt;=115%,115%,BD1642) + IF(BE1642&gt;=115%,115%,BE1642) + IF(BF1642&gt;=115%,115%,BF1642) + IF(BG1642&gt;=115%,115%,BG1642) + IF(BH1642&gt;=115%,115%,BH1642)))/_xlfn.XLOOKUP(F1642,Apuração!A:A,Apuração!B:B)))</f>
        <v>0.34583333333333338</v>
      </c>
      <c r="BL1642" s="58" cm="1">
        <f t="array" aca="1" ref="BL1642" ca="1">IF(SUM(IFERROR(IF(INDEX(AW1642:INDEX(AW1642:BH1642, MATCH(2, 1/(AW1642:BH1642&lt;&gt;""), 1)-1), ROW(INDIRECT("1:" &amp; MATCH(2, 1/(AW1642:BH1642&lt;&gt;""), 1)-1))) &gt;= 115%, 115%, INDEX(AW1642:INDEX(AW1642:BH1642, MATCH(2, 1/(AW1642:BH1642&lt;&gt;""), 1)-1), ROW(INDIRECT("1:" &amp; MATCH(2, 1/(AW1642:BH1642&lt;&gt;""), 1)-1)))), 0))/_xlfn.XLOOKUP(F1642,Apuração!A:A,Apuração!B:B)&gt;=1.15,1.15,SUM(IFERROR(IF(INDEX(AW1642:INDEX(AW1642:BH1642, MATCH(2, 1/(AW1642:BH1642&lt;&gt;""), 1)-1), ROW(INDIRECT("1:" &amp; MATCH(2, 1/(AW1642:BH1642&lt;&gt;""), 1)-1))) &gt;= 115%, 115%, INDEX(AW1642:INDEX(AW1642:BH1642, MATCH(2, 1/(AW1642:BH1642&lt;&gt;""), 1)-1), ROW(INDIRECT("1:" &amp; MATCH(2, 1/(AW1642:BH1642&lt;&gt;""), 1)-1)))), 0))/_xlfn.XLOOKUP(F1642,Apuração!A:A,Apuração!B:B))</f>
        <v>0.25</v>
      </c>
      <c r="BM1642" s="55" cm="1">
        <f t="array" ref="BM1642">IFERROR(
   INDEX($AW$1:$BH$1,
      _xlfn.AGGREGATE(14, 6, COLUMN($AW$1:$BH$1)/(AW1642:BH1642&lt;&gt;""), 2) - COLUMN($AW$1) + 1
   ),
"")</f>
        <v>46082</v>
      </c>
      <c r="BN1642" s="55" cm="1">
        <f t="array" ref="BN1642">IFERROR(INDEX($AW$1:$BH$1,1,MATCH(2,1/(AW1642:BH1642&lt;&gt;""))),"")</f>
        <v>46113</v>
      </c>
      <c r="BO1642" s="53">
        <f ca="1">IFERROR(_xlfn.XLOOKUP(F1642,Apuração!A:A,Apuração!C:C)/_xlfn.XLOOKUP(F1642,Apuração!A:A,Apuração!B:B),0)</f>
        <v>0.41666666666666669</v>
      </c>
      <c r="BP1642" s="53">
        <f ca="1">IFERROR(_xlfn.XLOOKUP(F1642,Apuração!A:A,Apuração!D:D)/_xlfn.XLOOKUP(F1642,Apuração!A:A,Apuração!B:B),0)</f>
        <v>0.33333333333333331</v>
      </c>
      <c r="BQ1642" s="53">
        <f ca="1">IF(BK1642&gt;=BO1642,0,_xlfn.XLOOKUP(F1642,Apuração!A:A,Apuração!B:B)*(BO1642 + (1/_xlfn.XLOOKUP(F1642,Apuração!A:A,Apuração!B:B)) - BK1642))</f>
        <v>1.8499999999999994</v>
      </c>
      <c r="BR1642" s="85">
        <f t="shared" ca="1" si="1913"/>
        <v>16.649999999999995</v>
      </c>
      <c r="BS1642" s="53">
        <f ca="1">IFERROR((_xlfn.XLOOKUP(F1642,Apuração!A:A,Apuração!C:C)+1)/_xlfn.XLOOKUP(F1642,Apuração!A:A,Apuração!B:B),0)</f>
        <v>0.5</v>
      </c>
    </row>
    <row r="1643" spans="1:71" ht="25.95" hidden="1" customHeight="1" x14ac:dyDescent="0.3">
      <c r="A1643" s="40" t="s">
        <v>87</v>
      </c>
      <c r="B1643" s="4" t="s">
        <v>229</v>
      </c>
      <c r="C1643" s="5" t="s">
        <v>214</v>
      </c>
      <c r="D1643" s="5" t="s">
        <v>36</v>
      </c>
      <c r="E1643" s="4" t="str" cm="1">
        <f t="array" ref="E1643">_xlfn.IFS(
F1643 = "A partir de Abril", "Aguardando Execução na Distribuidora",
A1643 = "CAPACITAÇÃO", "Em execução no Corporativo",
TRUE, "Em Execução na Distribuidora"
)</f>
        <v>Em Execução na Distribuidora</v>
      </c>
      <c r="F1643" s="4" t="str" cm="1">
        <f t="array" ref="F1643">_xlfn.IFS(
AG1643 &lt;&gt; "", "Jan-Dez/26",
AH1643 &lt;&gt; "", "Fev-Dez/26",
AI1643 &lt;&gt; "", "Mar-Dez/26", AJ1643 &lt;&gt; "", "Abr-Dez/26",
TRUE, "A partir de Junho"
)</f>
        <v>Jan-Dez/26</v>
      </c>
      <c r="G1643" s="7" t="s">
        <v>37</v>
      </c>
      <c r="H1643" s="7" t="s">
        <v>38</v>
      </c>
      <c r="I1643" s="8" t="s">
        <v>148</v>
      </c>
      <c r="J1643" s="21" t="str" cm="1">
        <f t="array" aca="1" ref="J1643" ca="1">_xlfn.LET(
  _xlpm.actual_value_month, INDEX(T1643:AE1643, MATCH(DATE(YEAR(TODAY()), MONTH(TODAY()), 1), $T$1:$AE$1, 0)),
  IF(_xlpm.actual_value_month &lt;&gt; "",_xlpm.actual_value_month &amp; " ações mensais", "")
)</f>
        <v/>
      </c>
      <c r="K1643" s="8" t="str" cm="1">
        <f t="array" ref="K1643">_xlfn.LET(
    _xlpm.sum_month, SUM(T1643:AE1643),
    IF(_xlpm.sum_month = 0, "", _xlpm.sum_month &amp; " NC's no ano")
)</f>
        <v/>
      </c>
      <c r="L1643" s="9" t="s">
        <v>149</v>
      </c>
      <c r="M1643" s="4"/>
      <c r="N1643" s="5" t="s">
        <v>51</v>
      </c>
      <c r="O1643" s="5" t="s">
        <v>52</v>
      </c>
      <c r="P1643" s="10" t="s">
        <v>44</v>
      </c>
      <c r="Q1643" s="10" t="s">
        <v>44</v>
      </c>
      <c r="R1643" s="11" t="s">
        <v>44</v>
      </c>
      <c r="S1643" s="11" t="s">
        <v>44</v>
      </c>
      <c r="T1643" s="22"/>
      <c r="U1643" s="22"/>
      <c r="V1643" s="22"/>
      <c r="W1643" s="22"/>
      <c r="X1643" s="22"/>
      <c r="Y1643" s="22"/>
      <c r="Z1643" s="22"/>
      <c r="AA1643" s="22"/>
      <c r="AB1643" s="22"/>
      <c r="AC1643" s="22"/>
      <c r="AD1643" s="22"/>
      <c r="AE1643" s="22"/>
      <c r="AG1643" s="71">
        <v>2</v>
      </c>
      <c r="AH1643" s="71">
        <v>1</v>
      </c>
      <c r="AI1643" s="71">
        <v>2</v>
      </c>
      <c r="AJ1643" s="71">
        <v>18</v>
      </c>
      <c r="AK1643" s="71"/>
      <c r="AL1643" s="71"/>
      <c r="AM1643" s="71"/>
      <c r="AN1643" s="71"/>
      <c r="AO1643" s="71"/>
      <c r="AP1643" s="71"/>
      <c r="AQ1643" s="71"/>
      <c r="AR1643" s="71"/>
      <c r="AS1643" s="94">
        <f ca="1">IF(MONTH(TODAY())=3,SUM(T1643:U1643),IF(MONTH(TODAY())=4,SUM(T1643:V1643),IF(MONTH(TODAY())=5,SUM(T1643:W1643),IF(MONTH(TODAY())=6,SUM(T1643:X1643),IF(MONTH(TODAY())=7,SUM(T1643:Y1643),IF(MONTH(TODAY())=8,SUM(T1643:Z1643),IF(MONTH(TODAY())=9,SUM(T1643:AA1643),IF(MONTH(TODAY())=10,SUM(T1643:AB1643),IF(MONTH(TODAY())=11,SUM(T1643:AC1643),IF(MONTH(TODAY())=12,SUM(T1643:AD1643),IF(MONTH(TODAY())=1,SUM(T1643:AE1643),T1643)))))))))))</f>
        <v>0</v>
      </c>
      <c r="AT1643" s="95">
        <f>SUM(AG1643:AR1643)</f>
        <v>23</v>
      </c>
      <c r="AU1643" s="97">
        <f>SUM(AG1643:AR1643)</f>
        <v>23</v>
      </c>
      <c r="AW1643" s="83">
        <f t="shared" ref="AW1643:AZ1644" si="1914">AG1643</f>
        <v>2</v>
      </c>
      <c r="AX1643" s="83">
        <f t="shared" si="1914"/>
        <v>1</v>
      </c>
      <c r="AY1643" s="83">
        <f t="shared" si="1914"/>
        <v>2</v>
      </c>
      <c r="AZ1643" s="83">
        <f t="shared" si="1914"/>
        <v>18</v>
      </c>
      <c r="BA1643" s="52"/>
      <c r="BB1643" s="52"/>
      <c r="BC1643" s="52"/>
      <c r="BD1643" s="52"/>
      <c r="BE1643" s="52"/>
      <c r="BF1643" s="52"/>
      <c r="BG1643" s="52"/>
      <c r="BH1643" s="52"/>
      <c r="BI1643" s="68" cm="1">
        <f t="array" ref="BI1643">IFERROR(INDEX(AW1643:BH1643,1,MATCH(2,1/(AW1643:BH1643&lt;&gt;""))),"")</f>
        <v>18</v>
      </c>
      <c r="BJ1643" s="68" cm="1">
        <f t="array" ref="BJ1643">IF(BM1643 = "", "",IFERROR(INDEX(AW1643:BH1643,1,MATCH(2,1/(AW1643:BH1643&lt;&gt;""),1)-1),""))</f>
        <v>2</v>
      </c>
      <c r="BK1643" s="59">
        <f>SUM(AW1643:BH1643)</f>
        <v>23</v>
      </c>
      <c r="BL1643" s="59" cm="1">
        <f t="array" ref="BL1643">IFERROR(SUM(AW1643:INDEX(AW1643:BH1643, MATCH(2, 1/(AW1643:BH1643&lt;&gt;""), 1) - 1))/_xlfn.XLOOKUP(F1643,Apuração!A:A,Apuração!B:B),0)</f>
        <v>0.41666666666666669</v>
      </c>
      <c r="BM1643" s="55" cm="1">
        <f t="array" ref="BM1643">IFERROR(
   INDEX($AW$1:$BH$1,
      _xlfn.AGGREGATE(14, 6, COLUMN($AW$1:$BH$1)/(AW1643:BH1643&lt;&gt;""), 2) - COLUMN($AW$1) + 1
   ),
"")</f>
        <v>46082</v>
      </c>
      <c r="BN1643" s="55" cm="1">
        <f t="array" ref="BN1643">IFERROR(INDEX($AW$1:$BH$1,1,MATCH(2,1/(AW1643:BH1643&lt;&gt;""))),"")</f>
        <v>46113</v>
      </c>
      <c r="BO1643" s="53">
        <f ca="1">IFERROR(_xlfn.XLOOKUP(F1643,Apuração!A:A,Apuração!C:C)/_xlfn.XLOOKUP(F1643,Apuração!A:A,Apuração!B:B),0)</f>
        <v>0.41666666666666669</v>
      </c>
      <c r="BP1643" s="53">
        <f ca="1">IFERROR(_xlfn.XLOOKUP(F1643,Apuração!A:A,Apuração!D:D)/_xlfn.XLOOKUP(F1643,Apuração!A:A,Apuração!B:B),0)</f>
        <v>0.33333333333333331</v>
      </c>
      <c r="BQ1643" s="53">
        <f ca="1">IF(BK1643&gt;=BO1643,0,_xlfn.XLOOKUP(F1643,Apuração!A:A,Apuração!B:B)*(BO1643 + (1/_xlfn.XLOOKUP(F1643,Apuração!A:A,Apuração!B:B)) - BK1643))</f>
        <v>0</v>
      </c>
      <c r="BR1643" s="85">
        <f ca="1">IF(BQ1643=0,0,BQ1643*Z1643)</f>
        <v>0</v>
      </c>
      <c r="BS1643" s="53">
        <f ca="1">IFERROR((_xlfn.XLOOKUP(F1643,Apuração!A:A,Apuração!C:C)+1)/_xlfn.XLOOKUP(F1643,Apuração!A:A,Apuração!B:B),0)</f>
        <v>0.5</v>
      </c>
    </row>
    <row r="1644" spans="1:71" ht="25.95" hidden="1" customHeight="1" x14ac:dyDescent="0.3">
      <c r="A1644" s="70" t="s">
        <v>108</v>
      </c>
      <c r="B1644" s="4" t="s">
        <v>109</v>
      </c>
      <c r="C1644" s="5" t="s">
        <v>214</v>
      </c>
      <c r="D1644" s="5" t="s">
        <v>36</v>
      </c>
      <c r="E1644" s="4" t="s">
        <v>80</v>
      </c>
      <c r="F1644" s="4" t="str" cm="1">
        <f t="array" ref="F1644">_xlfn.IFS(
AG1644 &lt;&gt; "", "Jan-Dez/26",
AH1644 &lt;&gt; "", "Fev-Dez/26",
AI1644 &lt;&gt; "", "Mar-Dez/26", AJ1644 &lt;&gt; "", "Abr-Dez/26",
TRUE, "A partir de Junho"
)</f>
        <v>Abr-Dez/26</v>
      </c>
      <c r="G1644" s="4" t="s">
        <v>37</v>
      </c>
      <c r="H1644" s="7" t="s">
        <v>110</v>
      </c>
      <c r="I1644" s="8"/>
      <c r="J1644" s="8" t="str" cm="1">
        <f t="array" aca="1" ref="J1644" ca="1">_xlfn.LET(
  _xlpm.actual_value_month, INDEX(T1644:AE1644, MATCH(DATE(YEAR(TODAY()), MONTH(TODAY()), 1), $T$1:$AE$1, 0)),
  IF(_xlpm.actual_value_month &lt;&gt; "",_xlpm.actual_value_month &amp; " ações mensais", "")
)</f>
        <v/>
      </c>
      <c r="K1644" s="8" t="str" cm="1">
        <f t="array" ref="K1644">_xlfn.LET(
    _xlpm.sum_month, SUM(T1644:AE1644),
    IF(_xlpm.sum_month = 0, "", _xlpm.sum_month &amp; " veículos com telemetria no ano")
)</f>
        <v/>
      </c>
      <c r="L1644" s="9" t="s">
        <v>111</v>
      </c>
      <c r="M1644" s="13">
        <v>1</v>
      </c>
      <c r="N1644" s="5" t="s">
        <v>51</v>
      </c>
      <c r="O1644" s="5" t="s">
        <v>52</v>
      </c>
      <c r="P1644" s="10" t="s">
        <v>44</v>
      </c>
      <c r="Q1644" s="10" t="s">
        <v>44</v>
      </c>
      <c r="R1644" s="11" t="s">
        <v>44</v>
      </c>
      <c r="S1644" s="11" t="s">
        <v>44</v>
      </c>
      <c r="T1644" s="22"/>
      <c r="U1644" s="22"/>
      <c r="V1644" s="22"/>
      <c r="W1644" s="22"/>
      <c r="X1644" s="22"/>
      <c r="Y1644" s="22"/>
      <c r="Z1644" s="22"/>
      <c r="AA1644" s="22"/>
      <c r="AB1644" s="22"/>
      <c r="AC1644" s="22"/>
      <c r="AD1644" s="22"/>
      <c r="AE1644" s="22"/>
      <c r="AG1644" s="71"/>
      <c r="AH1644" s="71"/>
      <c r="AI1644" s="71"/>
      <c r="AJ1644" s="71">
        <v>529</v>
      </c>
      <c r="AK1644" s="71"/>
      <c r="AL1644" s="71"/>
      <c r="AM1644" s="71"/>
      <c r="AN1644" s="71"/>
      <c r="AO1644" s="71"/>
      <c r="AP1644" s="71"/>
      <c r="AQ1644" s="71"/>
      <c r="AR1644" s="71"/>
      <c r="AS1644" s="94">
        <v>0</v>
      </c>
      <c r="AT1644" s="95">
        <v>0</v>
      </c>
      <c r="AU1644" s="97">
        <v>0</v>
      </c>
      <c r="AW1644" s="83">
        <f t="shared" si="1914"/>
        <v>0</v>
      </c>
      <c r="AX1644" s="83">
        <f t="shared" si="1914"/>
        <v>0</v>
      </c>
      <c r="AY1644" s="83">
        <f t="shared" si="1914"/>
        <v>0</v>
      </c>
      <c r="AZ1644" s="83">
        <f t="shared" si="1914"/>
        <v>529</v>
      </c>
      <c r="BA1644" s="52"/>
      <c r="BB1644" s="52"/>
      <c r="BC1644" s="52"/>
      <c r="BD1644" s="52"/>
      <c r="BE1644" s="52"/>
      <c r="BF1644" s="52"/>
      <c r="BG1644" s="52"/>
      <c r="BH1644" s="52"/>
      <c r="BI1644" s="68">
        <v>0</v>
      </c>
      <c r="BJ1644" s="68">
        <v>0</v>
      </c>
      <c r="BK1644" s="59">
        <v>0</v>
      </c>
      <c r="BL1644" s="59">
        <v>0</v>
      </c>
      <c r="BM1644" s="55">
        <v>46054</v>
      </c>
      <c r="BN1644" s="55">
        <v>46082</v>
      </c>
      <c r="BO1644" s="53">
        <v>0</v>
      </c>
      <c r="BP1644" s="53">
        <v>0</v>
      </c>
      <c r="BQ1644" s="53">
        <v>0</v>
      </c>
      <c r="BR1644" s="85">
        <v>0</v>
      </c>
      <c r="BS1644" s="53">
        <v>0.1111111111111111</v>
      </c>
    </row>
    <row r="1645" spans="1:71" ht="25.95" hidden="1" customHeight="1" x14ac:dyDescent="0.3">
      <c r="A1645" s="70" t="s">
        <v>108</v>
      </c>
      <c r="B1645" s="4" t="s">
        <v>109</v>
      </c>
      <c r="C1645" s="5" t="s">
        <v>214</v>
      </c>
      <c r="D1645" s="5" t="s">
        <v>210</v>
      </c>
      <c r="E1645" s="4" t="s">
        <v>80</v>
      </c>
      <c r="F1645" s="4" t="str" cm="1">
        <f t="array" ref="F1645">_xlfn.IFS(
AG1645 &lt;&gt; "", "Jan-Dez/26",
AH1645 &lt;&gt; "", "Fev-Dez/26",
AI1645 &lt;&gt; "", "Mar-Dez/26", AJ1645 &lt;&gt; "", "Abr-Dez/26",
TRUE, "A partir de Junho"
)</f>
        <v>Abr-Dez/26</v>
      </c>
      <c r="G1645" s="4" t="s">
        <v>37</v>
      </c>
      <c r="H1645" s="7" t="s">
        <v>110</v>
      </c>
      <c r="I1645" s="8"/>
      <c r="J1645" s="8" t="str" cm="1">
        <f t="array" aca="1" ref="J1645" ca="1">_xlfn.LET(
  _xlpm.actual_value_month, INDEX(T1645:AE1645, MATCH(DATE(YEAR(TODAY()), MONTH(TODAY()), 1), $T$1:$AE$1, 0)),
  IF(_xlpm.actual_value_month &lt;&gt; "",_xlpm.actual_value_month &amp; " ações mensais", "")
)</f>
        <v/>
      </c>
      <c r="K1645" s="8" t="str" cm="1">
        <f t="array" ref="K1645">_xlfn.LET(
    _xlpm.sum_month, SUM(T1645:AE1645),
    IF(_xlpm.sum_month = 0, "", _xlpm.sum_month &amp; " veículos com telemetria no ano")
)</f>
        <v/>
      </c>
      <c r="L1645" s="9" t="s">
        <v>111</v>
      </c>
      <c r="M1645" s="13">
        <v>1</v>
      </c>
      <c r="N1645" s="5" t="s">
        <v>51</v>
      </c>
      <c r="O1645" s="5" t="s">
        <v>52</v>
      </c>
      <c r="P1645" s="10" t="s">
        <v>44</v>
      </c>
      <c r="Q1645" s="10" t="s">
        <v>44</v>
      </c>
      <c r="R1645" s="11" t="s">
        <v>44</v>
      </c>
      <c r="S1645" s="11" t="s">
        <v>44</v>
      </c>
      <c r="T1645" s="22"/>
      <c r="U1645" s="22"/>
      <c r="V1645" s="22"/>
      <c r="W1645" s="22"/>
      <c r="X1645" s="22"/>
      <c r="Y1645" s="22"/>
      <c r="Z1645" s="22"/>
      <c r="AA1645" s="22"/>
      <c r="AB1645" s="22"/>
      <c r="AC1645" s="22"/>
      <c r="AD1645" s="22"/>
      <c r="AE1645" s="22"/>
      <c r="AG1645" s="71"/>
      <c r="AH1645" s="71"/>
      <c r="AI1645" s="71"/>
      <c r="AJ1645" s="71">
        <v>10</v>
      </c>
      <c r="AK1645" s="71"/>
      <c r="AL1645" s="71"/>
      <c r="AM1645" s="71"/>
      <c r="AN1645" s="71"/>
      <c r="AO1645" s="71"/>
      <c r="AP1645" s="71"/>
      <c r="AQ1645" s="71"/>
      <c r="AR1645" s="71"/>
      <c r="AS1645" s="94">
        <v>0</v>
      </c>
      <c r="AT1645" s="95">
        <v>0</v>
      </c>
      <c r="AU1645" s="97">
        <v>0</v>
      </c>
      <c r="AW1645" s="83">
        <f t="shared" ref="AW1645:AW1649" si="1915">AG1645</f>
        <v>0</v>
      </c>
      <c r="AX1645" s="83">
        <f t="shared" ref="AX1645:AX1649" si="1916">AH1645</f>
        <v>0</v>
      </c>
      <c r="AY1645" s="83">
        <f t="shared" ref="AY1645:AY1649" si="1917">AI1645</f>
        <v>0</v>
      </c>
      <c r="AZ1645" s="83">
        <f t="shared" ref="AZ1645:AZ1649" si="1918">AJ1645</f>
        <v>10</v>
      </c>
      <c r="BA1645" s="52"/>
      <c r="BB1645" s="52"/>
      <c r="BC1645" s="52"/>
      <c r="BD1645" s="52"/>
      <c r="BE1645" s="52"/>
      <c r="BF1645" s="52"/>
      <c r="BG1645" s="52"/>
      <c r="BH1645" s="52"/>
      <c r="BI1645" s="68">
        <v>0</v>
      </c>
      <c r="BJ1645" s="68">
        <v>0</v>
      </c>
      <c r="BK1645" s="59">
        <v>0</v>
      </c>
      <c r="BL1645" s="59">
        <v>0</v>
      </c>
      <c r="BM1645" s="55">
        <v>46054</v>
      </c>
      <c r="BN1645" s="55">
        <v>46082</v>
      </c>
      <c r="BO1645" s="53">
        <v>0</v>
      </c>
      <c r="BP1645" s="53">
        <v>0</v>
      </c>
      <c r="BQ1645" s="53">
        <v>0</v>
      </c>
      <c r="BR1645" s="85">
        <v>0</v>
      </c>
      <c r="BS1645" s="53">
        <v>0.1111111111111111</v>
      </c>
    </row>
    <row r="1646" spans="1:71" ht="25.95" hidden="1" customHeight="1" x14ac:dyDescent="0.3">
      <c r="A1646" s="70" t="s">
        <v>108</v>
      </c>
      <c r="B1646" s="4" t="s">
        <v>109</v>
      </c>
      <c r="C1646" s="5" t="s">
        <v>214</v>
      </c>
      <c r="D1646" s="5" t="s">
        <v>215</v>
      </c>
      <c r="E1646" s="4" t="s">
        <v>80</v>
      </c>
      <c r="F1646" s="4" t="str" cm="1">
        <f t="array" ref="F1646">_xlfn.IFS(
AG1646 &lt;&gt; "", "Jan-Dez/26",
AH1646 &lt;&gt; "", "Fev-Dez/26",
AI1646 &lt;&gt; "", "Mar-Dez/26", AJ1646 &lt;&gt; "", "Abr-Dez/26",
TRUE, "A partir de Junho"
)</f>
        <v>Abr-Dez/26</v>
      </c>
      <c r="G1646" s="4" t="s">
        <v>37</v>
      </c>
      <c r="H1646" s="7" t="s">
        <v>110</v>
      </c>
      <c r="I1646" s="8"/>
      <c r="J1646" s="8" t="str" cm="1">
        <f t="array" aca="1" ref="J1646" ca="1">_xlfn.LET(
  _xlpm.actual_value_month, INDEX(T1646:AE1646, MATCH(DATE(YEAR(TODAY()), MONTH(TODAY()), 1), $T$1:$AE$1, 0)),
  IF(_xlpm.actual_value_month &lt;&gt; "",_xlpm.actual_value_month &amp; " ações mensais", "")
)</f>
        <v/>
      </c>
      <c r="K1646" s="8" t="str" cm="1">
        <f t="array" ref="K1646">_xlfn.LET(
    _xlpm.sum_month, SUM(T1646:AE1646),
    IF(_xlpm.sum_month = 0, "", _xlpm.sum_month &amp; " veículos com telemetria no ano")
)</f>
        <v/>
      </c>
      <c r="L1646" s="9" t="s">
        <v>111</v>
      </c>
      <c r="M1646" s="13">
        <v>1</v>
      </c>
      <c r="N1646" s="5" t="s">
        <v>51</v>
      </c>
      <c r="O1646" s="5" t="s">
        <v>52</v>
      </c>
      <c r="P1646" s="10" t="s">
        <v>44</v>
      </c>
      <c r="Q1646" s="10" t="s">
        <v>44</v>
      </c>
      <c r="R1646" s="11" t="s">
        <v>44</v>
      </c>
      <c r="S1646" s="11" t="s">
        <v>44</v>
      </c>
      <c r="T1646" s="22"/>
      <c r="U1646" s="22"/>
      <c r="V1646" s="22"/>
      <c r="W1646" s="22"/>
      <c r="X1646" s="22"/>
      <c r="Y1646" s="22"/>
      <c r="Z1646" s="22"/>
      <c r="AA1646" s="22"/>
      <c r="AB1646" s="22"/>
      <c r="AC1646" s="22"/>
      <c r="AD1646" s="22"/>
      <c r="AE1646" s="22"/>
      <c r="AG1646" s="71"/>
      <c r="AH1646" s="71"/>
      <c r="AI1646" s="71"/>
      <c r="AJ1646" s="71">
        <v>80</v>
      </c>
      <c r="AK1646" s="71"/>
      <c r="AL1646" s="71"/>
      <c r="AM1646" s="71"/>
      <c r="AN1646" s="71"/>
      <c r="AO1646" s="71"/>
      <c r="AP1646" s="71"/>
      <c r="AQ1646" s="71"/>
      <c r="AR1646" s="71"/>
      <c r="AS1646" s="94">
        <v>0</v>
      </c>
      <c r="AT1646" s="95">
        <v>0</v>
      </c>
      <c r="AU1646" s="97">
        <v>0</v>
      </c>
      <c r="AW1646" s="83">
        <f t="shared" si="1915"/>
        <v>0</v>
      </c>
      <c r="AX1646" s="83">
        <f t="shared" si="1916"/>
        <v>0</v>
      </c>
      <c r="AY1646" s="83">
        <f t="shared" si="1917"/>
        <v>0</v>
      </c>
      <c r="AZ1646" s="83">
        <f t="shared" si="1918"/>
        <v>80</v>
      </c>
      <c r="BA1646" s="52"/>
      <c r="BB1646" s="52"/>
      <c r="BC1646" s="52"/>
      <c r="BD1646" s="52"/>
      <c r="BE1646" s="52"/>
      <c r="BF1646" s="52"/>
      <c r="BG1646" s="52"/>
      <c r="BH1646" s="52"/>
      <c r="BI1646" s="68">
        <v>0</v>
      </c>
      <c r="BJ1646" s="68">
        <v>0</v>
      </c>
      <c r="BK1646" s="59">
        <v>0</v>
      </c>
      <c r="BL1646" s="59">
        <v>0</v>
      </c>
      <c r="BM1646" s="55">
        <v>46054</v>
      </c>
      <c r="BN1646" s="55">
        <v>46082</v>
      </c>
      <c r="BO1646" s="53">
        <v>0</v>
      </c>
      <c r="BP1646" s="53">
        <v>0</v>
      </c>
      <c r="BQ1646" s="53">
        <v>0</v>
      </c>
      <c r="BR1646" s="85">
        <v>0</v>
      </c>
      <c r="BS1646" s="53">
        <v>0.1111111111111111</v>
      </c>
    </row>
    <row r="1647" spans="1:71" ht="25.95" hidden="1" customHeight="1" x14ac:dyDescent="0.3">
      <c r="A1647" s="70" t="s">
        <v>108</v>
      </c>
      <c r="B1647" s="4" t="s">
        <v>109</v>
      </c>
      <c r="C1647" s="5" t="s">
        <v>214</v>
      </c>
      <c r="D1647" s="5" t="s">
        <v>212</v>
      </c>
      <c r="E1647" s="4" t="s">
        <v>80</v>
      </c>
      <c r="F1647" s="4" t="str" cm="1">
        <f t="array" ref="F1647">_xlfn.IFS(
AG1647 &lt;&gt; "", "Jan-Dez/26",
AH1647 &lt;&gt; "", "Fev-Dez/26",
AI1647 &lt;&gt; "", "Mar-Dez/26", AJ1647 &lt;&gt; "", "Abr-Dez/26",
TRUE, "A partir de Junho"
)</f>
        <v>Abr-Dez/26</v>
      </c>
      <c r="G1647" s="4" t="s">
        <v>37</v>
      </c>
      <c r="H1647" s="7" t="s">
        <v>110</v>
      </c>
      <c r="I1647" s="8"/>
      <c r="J1647" s="8" t="str" cm="1">
        <f t="array" aca="1" ref="J1647" ca="1">_xlfn.LET(
  _xlpm.actual_value_month, INDEX(T1647:AE1647, MATCH(DATE(YEAR(TODAY()), MONTH(TODAY()), 1), $T$1:$AE$1, 0)),
  IF(_xlpm.actual_value_month &lt;&gt; "",_xlpm.actual_value_month &amp; " ações mensais", "")
)</f>
        <v/>
      </c>
      <c r="K1647" s="8" t="str" cm="1">
        <f t="array" ref="K1647">_xlfn.LET(
    _xlpm.sum_month, SUM(T1647:AE1647),
    IF(_xlpm.sum_month = 0, "", _xlpm.sum_month &amp; " veículos com telemetria no ano")
)</f>
        <v/>
      </c>
      <c r="L1647" s="9" t="s">
        <v>111</v>
      </c>
      <c r="M1647" s="13">
        <v>1</v>
      </c>
      <c r="N1647" s="5" t="s">
        <v>51</v>
      </c>
      <c r="O1647" s="5" t="s">
        <v>52</v>
      </c>
      <c r="P1647" s="10" t="s">
        <v>44</v>
      </c>
      <c r="Q1647" s="10" t="s">
        <v>44</v>
      </c>
      <c r="R1647" s="11" t="s">
        <v>44</v>
      </c>
      <c r="S1647" s="11" t="s">
        <v>44</v>
      </c>
      <c r="T1647" s="22"/>
      <c r="U1647" s="22"/>
      <c r="V1647" s="22"/>
      <c r="W1647" s="22"/>
      <c r="X1647" s="22"/>
      <c r="Y1647" s="22"/>
      <c r="Z1647" s="22"/>
      <c r="AA1647" s="22"/>
      <c r="AB1647" s="22"/>
      <c r="AC1647" s="22"/>
      <c r="AD1647" s="22"/>
      <c r="AE1647" s="22"/>
      <c r="AG1647" s="71"/>
      <c r="AH1647" s="71"/>
      <c r="AI1647" s="71"/>
      <c r="AJ1647" s="71">
        <v>227</v>
      </c>
      <c r="AK1647" s="71"/>
      <c r="AL1647" s="71"/>
      <c r="AM1647" s="71"/>
      <c r="AN1647" s="71"/>
      <c r="AO1647" s="71"/>
      <c r="AP1647" s="71"/>
      <c r="AQ1647" s="71"/>
      <c r="AR1647" s="71"/>
      <c r="AS1647" s="94">
        <v>0</v>
      </c>
      <c r="AT1647" s="95">
        <v>0</v>
      </c>
      <c r="AU1647" s="97">
        <v>0</v>
      </c>
      <c r="AW1647" s="83">
        <f t="shared" si="1915"/>
        <v>0</v>
      </c>
      <c r="AX1647" s="83">
        <f t="shared" si="1916"/>
        <v>0</v>
      </c>
      <c r="AY1647" s="83">
        <f t="shared" si="1917"/>
        <v>0</v>
      </c>
      <c r="AZ1647" s="83">
        <f t="shared" si="1918"/>
        <v>227</v>
      </c>
      <c r="BA1647" s="52"/>
      <c r="BB1647" s="52"/>
      <c r="BC1647" s="52"/>
      <c r="BD1647" s="52"/>
      <c r="BE1647" s="52"/>
      <c r="BF1647" s="52"/>
      <c r="BG1647" s="52"/>
      <c r="BH1647" s="52"/>
      <c r="BI1647" s="68">
        <v>0</v>
      </c>
      <c r="BJ1647" s="68">
        <v>0</v>
      </c>
      <c r="BK1647" s="59">
        <v>0</v>
      </c>
      <c r="BL1647" s="59">
        <v>0</v>
      </c>
      <c r="BM1647" s="55">
        <v>46054</v>
      </c>
      <c r="BN1647" s="55">
        <v>46082</v>
      </c>
      <c r="BO1647" s="53">
        <v>0</v>
      </c>
      <c r="BP1647" s="53">
        <v>0</v>
      </c>
      <c r="BQ1647" s="53">
        <v>0</v>
      </c>
      <c r="BR1647" s="85">
        <v>0</v>
      </c>
      <c r="BS1647" s="53">
        <v>0.1111111111111111</v>
      </c>
    </row>
    <row r="1648" spans="1:71" ht="25.95" hidden="1" customHeight="1" x14ac:dyDescent="0.3">
      <c r="A1648" s="70" t="s">
        <v>108</v>
      </c>
      <c r="B1648" s="4" t="s">
        <v>109</v>
      </c>
      <c r="C1648" s="5" t="s">
        <v>214</v>
      </c>
      <c r="D1648" s="5" t="s">
        <v>48</v>
      </c>
      <c r="E1648" s="4" t="s">
        <v>80</v>
      </c>
      <c r="F1648" s="4" t="str" cm="1">
        <f t="array" ref="F1648">_xlfn.IFS(
AG1648 &lt;&gt; "", "Jan-Dez/26",
AH1648 &lt;&gt; "", "Fev-Dez/26",
AI1648 &lt;&gt; "", "Mar-Dez/26", AJ1648 &lt;&gt; "", "Abr-Dez/26",
TRUE, "A partir de Junho"
)</f>
        <v>Abr-Dez/26</v>
      </c>
      <c r="G1648" s="4" t="s">
        <v>37</v>
      </c>
      <c r="H1648" s="7" t="s">
        <v>110</v>
      </c>
      <c r="I1648" s="8"/>
      <c r="J1648" s="8" t="str" cm="1">
        <f t="array" aca="1" ref="J1648" ca="1">_xlfn.LET(
  _xlpm.actual_value_month, INDEX(T1648:AE1648, MATCH(DATE(YEAR(TODAY()), MONTH(TODAY()), 1), $T$1:$AE$1, 0)),
  IF(_xlpm.actual_value_month &lt;&gt; "",_xlpm.actual_value_month &amp; " ações mensais", "")
)</f>
        <v/>
      </c>
      <c r="K1648" s="8" t="str" cm="1">
        <f t="array" ref="K1648">_xlfn.LET(
    _xlpm.sum_month, SUM(T1648:AE1648),
    IF(_xlpm.sum_month = 0, "", _xlpm.sum_month &amp; " veículos com telemetria no ano")
)</f>
        <v/>
      </c>
      <c r="L1648" s="9" t="s">
        <v>111</v>
      </c>
      <c r="M1648" s="13">
        <v>1</v>
      </c>
      <c r="N1648" s="5" t="s">
        <v>51</v>
      </c>
      <c r="O1648" s="5" t="s">
        <v>52</v>
      </c>
      <c r="P1648" s="10" t="s">
        <v>44</v>
      </c>
      <c r="Q1648" s="10" t="s">
        <v>44</v>
      </c>
      <c r="R1648" s="11" t="s">
        <v>44</v>
      </c>
      <c r="S1648" s="11" t="s">
        <v>44</v>
      </c>
      <c r="T1648" s="22"/>
      <c r="U1648" s="22"/>
      <c r="V1648" s="22"/>
      <c r="W1648" s="22"/>
      <c r="X1648" s="22"/>
      <c r="Y1648" s="22"/>
      <c r="Z1648" s="22"/>
      <c r="AA1648" s="22"/>
      <c r="AB1648" s="22"/>
      <c r="AC1648" s="22"/>
      <c r="AD1648" s="22"/>
      <c r="AE1648" s="22"/>
      <c r="AG1648" s="71"/>
      <c r="AH1648" s="71"/>
      <c r="AI1648" s="71"/>
      <c r="AJ1648" s="71">
        <v>15</v>
      </c>
      <c r="AK1648" s="71"/>
      <c r="AL1648" s="71"/>
      <c r="AM1648" s="71"/>
      <c r="AN1648" s="71"/>
      <c r="AO1648" s="71"/>
      <c r="AP1648" s="71"/>
      <c r="AQ1648" s="71"/>
      <c r="AR1648" s="71"/>
      <c r="AS1648" s="94">
        <v>0</v>
      </c>
      <c r="AT1648" s="95">
        <v>0</v>
      </c>
      <c r="AU1648" s="97">
        <v>0</v>
      </c>
      <c r="AW1648" s="83">
        <f t="shared" si="1915"/>
        <v>0</v>
      </c>
      <c r="AX1648" s="83">
        <f t="shared" si="1916"/>
        <v>0</v>
      </c>
      <c r="AY1648" s="83">
        <f t="shared" si="1917"/>
        <v>0</v>
      </c>
      <c r="AZ1648" s="83">
        <f t="shared" si="1918"/>
        <v>15</v>
      </c>
      <c r="BA1648" s="52"/>
      <c r="BB1648" s="52"/>
      <c r="BC1648" s="52"/>
      <c r="BD1648" s="52"/>
      <c r="BE1648" s="52"/>
      <c r="BF1648" s="52"/>
      <c r="BG1648" s="52"/>
      <c r="BH1648" s="52"/>
      <c r="BI1648" s="68">
        <v>0</v>
      </c>
      <c r="BJ1648" s="68">
        <v>0</v>
      </c>
      <c r="BK1648" s="59">
        <v>0</v>
      </c>
      <c r="BL1648" s="59">
        <v>0</v>
      </c>
      <c r="BM1648" s="55">
        <v>46054</v>
      </c>
      <c r="BN1648" s="55">
        <v>46082</v>
      </c>
      <c r="BO1648" s="53">
        <v>0</v>
      </c>
      <c r="BP1648" s="53">
        <v>0</v>
      </c>
      <c r="BQ1648" s="53">
        <v>0</v>
      </c>
      <c r="BR1648" s="85">
        <v>0</v>
      </c>
      <c r="BS1648" s="53">
        <v>0.1111111111111111</v>
      </c>
    </row>
    <row r="1649" spans="1:71" ht="25.95" hidden="1" customHeight="1" x14ac:dyDescent="0.3">
      <c r="A1649" s="70" t="s">
        <v>108</v>
      </c>
      <c r="B1649" s="4" t="s">
        <v>109</v>
      </c>
      <c r="C1649" s="5" t="s">
        <v>214</v>
      </c>
      <c r="D1649" s="5" t="s">
        <v>213</v>
      </c>
      <c r="E1649" s="4" t="s">
        <v>80</v>
      </c>
      <c r="F1649" s="4" t="str" cm="1">
        <f t="array" ref="F1649">_xlfn.IFS(
AG1649 &lt;&gt; "", "Jan-Dez/26",
AH1649 &lt;&gt; "", "Fev-Dez/26",
AI1649 &lt;&gt; "", "Mar-Dez/26", AJ1649 &lt;&gt; "", "Abr-Dez/26",
TRUE, "A partir de Junho"
)</f>
        <v>Abr-Dez/26</v>
      </c>
      <c r="G1649" s="4" t="s">
        <v>37</v>
      </c>
      <c r="H1649" s="7" t="s">
        <v>110</v>
      </c>
      <c r="I1649" s="8"/>
      <c r="J1649" s="8" t="str" cm="1">
        <f t="array" aca="1" ref="J1649" ca="1">_xlfn.LET(
  _xlpm.actual_value_month, INDEX(T1649:AE1649, MATCH(DATE(YEAR(TODAY()), MONTH(TODAY()), 1), $T$1:$AE$1, 0)),
  IF(_xlpm.actual_value_month &lt;&gt; "",_xlpm.actual_value_month &amp; " ações mensais", "")
)</f>
        <v/>
      </c>
      <c r="K1649" s="8" t="str" cm="1">
        <f t="array" ref="K1649">_xlfn.LET(
    _xlpm.sum_month, SUM(T1649:AE1649),
    IF(_xlpm.sum_month = 0, "", _xlpm.sum_month &amp; " veículos com telemetria no ano")
)</f>
        <v/>
      </c>
      <c r="L1649" s="9" t="s">
        <v>111</v>
      </c>
      <c r="M1649" s="13">
        <v>1</v>
      </c>
      <c r="N1649" s="5" t="s">
        <v>51</v>
      </c>
      <c r="O1649" s="5" t="s">
        <v>52</v>
      </c>
      <c r="P1649" s="10" t="s">
        <v>44</v>
      </c>
      <c r="Q1649" s="10" t="s">
        <v>44</v>
      </c>
      <c r="R1649" s="11" t="s">
        <v>44</v>
      </c>
      <c r="S1649" s="11" t="s">
        <v>44</v>
      </c>
      <c r="T1649" s="22"/>
      <c r="U1649" s="22"/>
      <c r="V1649" s="22"/>
      <c r="W1649" s="22"/>
      <c r="X1649" s="22"/>
      <c r="Y1649" s="22"/>
      <c r="Z1649" s="22"/>
      <c r="AA1649" s="22"/>
      <c r="AB1649" s="22"/>
      <c r="AC1649" s="22"/>
      <c r="AD1649" s="22"/>
      <c r="AE1649" s="22"/>
      <c r="AG1649" s="71"/>
      <c r="AH1649" s="71"/>
      <c r="AI1649" s="71"/>
      <c r="AJ1649" s="71">
        <v>197</v>
      </c>
      <c r="AK1649" s="71"/>
      <c r="AL1649" s="71"/>
      <c r="AM1649" s="71"/>
      <c r="AN1649" s="71"/>
      <c r="AO1649" s="71"/>
      <c r="AP1649" s="71"/>
      <c r="AQ1649" s="71"/>
      <c r="AR1649" s="71"/>
      <c r="AS1649" s="94">
        <v>0</v>
      </c>
      <c r="AT1649" s="95">
        <v>0</v>
      </c>
      <c r="AU1649" s="97">
        <v>0</v>
      </c>
      <c r="AW1649" s="83">
        <f t="shared" si="1915"/>
        <v>0</v>
      </c>
      <c r="AX1649" s="83">
        <f t="shared" si="1916"/>
        <v>0</v>
      </c>
      <c r="AY1649" s="83">
        <f t="shared" si="1917"/>
        <v>0</v>
      </c>
      <c r="AZ1649" s="83">
        <f t="shared" si="1918"/>
        <v>197</v>
      </c>
      <c r="BA1649" s="52"/>
      <c r="BB1649" s="52"/>
      <c r="BC1649" s="52"/>
      <c r="BD1649" s="52"/>
      <c r="BE1649" s="52"/>
      <c r="BF1649" s="52"/>
      <c r="BG1649" s="52"/>
      <c r="BH1649" s="52"/>
      <c r="BI1649" s="68">
        <v>0</v>
      </c>
      <c r="BJ1649" s="68">
        <v>0</v>
      </c>
      <c r="BK1649" s="59">
        <v>0</v>
      </c>
      <c r="BL1649" s="59">
        <v>0</v>
      </c>
      <c r="BM1649" s="55">
        <v>46054</v>
      </c>
      <c r="BN1649" s="55">
        <v>46082</v>
      </c>
      <c r="BO1649" s="53">
        <v>0</v>
      </c>
      <c r="BP1649" s="53">
        <v>0</v>
      </c>
      <c r="BQ1649" s="53">
        <v>0</v>
      </c>
      <c r="BR1649" s="85">
        <v>0</v>
      </c>
      <c r="BS1649" s="53">
        <v>0.1111111111111111</v>
      </c>
    </row>
    <row r="1650" spans="1:71" ht="25.95" hidden="1" customHeight="1" x14ac:dyDescent="0.3">
      <c r="A1650" s="70" t="s">
        <v>108</v>
      </c>
      <c r="B1650" s="4" t="s">
        <v>109</v>
      </c>
      <c r="C1650" s="5" t="s">
        <v>214</v>
      </c>
      <c r="D1650" s="5" t="s">
        <v>36</v>
      </c>
      <c r="E1650" s="4" t="s">
        <v>80</v>
      </c>
      <c r="F1650" s="4" t="str" cm="1">
        <f t="array" ref="F1650">_xlfn.IFS(
AG1650 &lt;&gt; "", "Jan-Dez/26",
AH1650 &lt;&gt; "", "Fev-Dez/26",
AI1650 &lt;&gt; "", "Mar-Dez/26", AJ1650 &lt;&gt; "", "Abr-Dez/26",
TRUE, "A partir de Junho"
)</f>
        <v>Abr-Dez/26</v>
      </c>
      <c r="G1650" s="4" t="s">
        <v>37</v>
      </c>
      <c r="H1650" s="7" t="s">
        <v>110</v>
      </c>
      <c r="I1650" s="8"/>
      <c r="J1650" s="8" t="str" cm="1">
        <f t="array" aca="1" ref="J1650" ca="1">_xlfn.LET(
  _xlpm.actual_value_month, INDEX(T1650:AE1650, MATCH(DATE(YEAR(TODAY()), MONTH(TODAY()), 1), $T$1:$AE$1, 0)),
  IF(_xlpm.actual_value_month &lt;&gt; "",_xlpm.actual_value_month &amp; " ações mensais", "")
)</f>
        <v/>
      </c>
      <c r="K1650" s="8" t="str" cm="1">
        <f t="array" ref="K1650">_xlfn.LET(
    _xlpm.sum_month, SUM(T1650:AE1650),
    IF(_xlpm.sum_month = 0, "", _xlpm.sum_month &amp; " telemetria implementada no ano")
)</f>
        <v/>
      </c>
      <c r="L1650" s="9" t="s">
        <v>112</v>
      </c>
      <c r="M1650" s="13">
        <v>1</v>
      </c>
      <c r="N1650" s="5" t="s">
        <v>51</v>
      </c>
      <c r="O1650" s="5" t="s">
        <v>43</v>
      </c>
      <c r="P1650" s="10" t="s">
        <v>44</v>
      </c>
      <c r="Q1650" s="10" t="s">
        <v>44</v>
      </c>
      <c r="R1650" s="11" t="s">
        <v>44</v>
      </c>
      <c r="S1650" s="11" t="s">
        <v>44</v>
      </c>
      <c r="T1650" s="22"/>
      <c r="U1650" s="22"/>
      <c r="V1650" s="22"/>
      <c r="W1650" s="22"/>
      <c r="X1650" s="22"/>
      <c r="Y1650" s="22"/>
      <c r="Z1650" s="22"/>
      <c r="AA1650" s="22"/>
      <c r="AB1650" s="22"/>
      <c r="AC1650" s="22"/>
      <c r="AD1650" s="22"/>
      <c r="AE1650" s="22"/>
      <c r="AG1650" s="71"/>
      <c r="AH1650" s="71"/>
      <c r="AI1650" s="71"/>
      <c r="AJ1650" s="71">
        <v>405</v>
      </c>
      <c r="AK1650" s="71"/>
      <c r="AL1650" s="71"/>
      <c r="AM1650" s="71"/>
      <c r="AN1650" s="71"/>
      <c r="AO1650" s="71"/>
      <c r="AP1650" s="71"/>
      <c r="AQ1650" s="71"/>
      <c r="AR1650" s="71"/>
      <c r="AS1650" s="94">
        <v>0</v>
      </c>
      <c r="AT1650" s="95">
        <v>0</v>
      </c>
      <c r="AU1650" s="97">
        <v>0</v>
      </c>
      <c r="AW1650" s="83">
        <f>AG1650</f>
        <v>0</v>
      </c>
      <c r="AX1650" s="83">
        <f>AH1650</f>
        <v>0</v>
      </c>
      <c r="AY1650" s="83">
        <f>AI1650</f>
        <v>0</v>
      </c>
      <c r="AZ1650" s="83">
        <f>AJ1650</f>
        <v>405</v>
      </c>
      <c r="BA1650" s="52"/>
      <c r="BB1650" s="52"/>
      <c r="BC1650" s="52"/>
      <c r="BD1650" s="52"/>
      <c r="BE1650" s="52"/>
      <c r="BF1650" s="52"/>
      <c r="BG1650" s="52"/>
      <c r="BH1650" s="52"/>
      <c r="BI1650" s="68">
        <v>0</v>
      </c>
      <c r="BJ1650" s="68">
        <v>0</v>
      </c>
      <c r="BK1650" s="59">
        <v>0</v>
      </c>
      <c r="BL1650" s="59">
        <v>0</v>
      </c>
      <c r="BM1650" s="55">
        <v>46054</v>
      </c>
      <c r="BN1650" s="55">
        <v>46082</v>
      </c>
      <c r="BO1650" s="53">
        <v>0</v>
      </c>
      <c r="BP1650" s="53">
        <v>0</v>
      </c>
      <c r="BQ1650" s="53">
        <v>0</v>
      </c>
      <c r="BR1650" s="85">
        <v>0</v>
      </c>
      <c r="BS1650" s="53">
        <v>0.1111111111111111</v>
      </c>
    </row>
    <row r="1651" spans="1:71" ht="25.95" hidden="1" customHeight="1" x14ac:dyDescent="0.3">
      <c r="A1651" s="70" t="s">
        <v>108</v>
      </c>
      <c r="B1651" s="4" t="s">
        <v>109</v>
      </c>
      <c r="C1651" s="5" t="s">
        <v>214</v>
      </c>
      <c r="D1651" s="5" t="s">
        <v>210</v>
      </c>
      <c r="E1651" s="4" t="s">
        <v>80</v>
      </c>
      <c r="F1651" s="4" t="str" cm="1">
        <f t="array" ref="F1651">_xlfn.IFS(
AG1651 &lt;&gt; "", "Jan-Dez/26",
AH1651 &lt;&gt; "", "Fev-Dez/26",
AI1651 &lt;&gt; "", "Mar-Dez/26", AJ1651 &lt;&gt; "", "Abr-Dez/26",
TRUE, "A partir de Junho"
)</f>
        <v>Abr-Dez/26</v>
      </c>
      <c r="G1651" s="4" t="s">
        <v>37</v>
      </c>
      <c r="H1651" s="7" t="s">
        <v>110</v>
      </c>
      <c r="I1651" s="8"/>
      <c r="J1651" s="8" t="str" cm="1">
        <f t="array" aca="1" ref="J1651" ca="1">_xlfn.LET(
  _xlpm.actual_value_month, INDEX(T1651:AE1651, MATCH(DATE(YEAR(TODAY()), MONTH(TODAY()), 1), $T$1:$AE$1, 0)),
  IF(_xlpm.actual_value_month &lt;&gt; "",_xlpm.actual_value_month &amp; " ações mensais", "")
)</f>
        <v/>
      </c>
      <c r="K1651" s="8" t="str" cm="1">
        <f t="array" ref="K1651">_xlfn.LET(
    _xlpm.sum_month, SUM(T1651:AE1651),
    IF(_xlpm.sum_month = 0, "", _xlpm.sum_month &amp; " telemetria implementada no ano")
)</f>
        <v/>
      </c>
      <c r="L1651" s="9" t="s">
        <v>112</v>
      </c>
      <c r="M1651" s="13">
        <v>1</v>
      </c>
      <c r="N1651" s="5" t="s">
        <v>51</v>
      </c>
      <c r="O1651" s="5" t="s">
        <v>43</v>
      </c>
      <c r="P1651" s="10" t="s">
        <v>44</v>
      </c>
      <c r="Q1651" s="10" t="s">
        <v>44</v>
      </c>
      <c r="R1651" s="11" t="s">
        <v>44</v>
      </c>
      <c r="S1651" s="11" t="s">
        <v>44</v>
      </c>
      <c r="T1651" s="22"/>
      <c r="U1651" s="22"/>
      <c r="V1651" s="22"/>
      <c r="W1651" s="22"/>
      <c r="X1651" s="22"/>
      <c r="Y1651" s="22"/>
      <c r="Z1651" s="22"/>
      <c r="AA1651" s="22"/>
      <c r="AB1651" s="22"/>
      <c r="AC1651" s="22"/>
      <c r="AD1651" s="22"/>
      <c r="AE1651" s="22"/>
      <c r="AG1651" s="71"/>
      <c r="AH1651" s="71"/>
      <c r="AI1651" s="71"/>
      <c r="AJ1651" s="71">
        <v>70</v>
      </c>
      <c r="AK1651" s="71"/>
      <c r="AL1651" s="71"/>
      <c r="AM1651" s="71"/>
      <c r="AN1651" s="71"/>
      <c r="AO1651" s="71"/>
      <c r="AP1651" s="71"/>
      <c r="AQ1651" s="71"/>
      <c r="AR1651" s="71"/>
      <c r="AS1651" s="94">
        <v>0</v>
      </c>
      <c r="AT1651" s="95">
        <v>0</v>
      </c>
      <c r="AU1651" s="97">
        <v>0</v>
      </c>
      <c r="AW1651" s="83">
        <f t="shared" ref="AW1651:AW1655" si="1919">AG1651</f>
        <v>0</v>
      </c>
      <c r="AX1651" s="83">
        <f t="shared" ref="AX1651:AX1655" si="1920">AH1651</f>
        <v>0</v>
      </c>
      <c r="AY1651" s="83">
        <f t="shared" ref="AY1651:AY1655" si="1921">AI1651</f>
        <v>0</v>
      </c>
      <c r="AZ1651" s="83">
        <f t="shared" ref="AZ1651:AZ1655" si="1922">AJ1651</f>
        <v>70</v>
      </c>
      <c r="BA1651" s="52"/>
      <c r="BB1651" s="52"/>
      <c r="BC1651" s="52"/>
      <c r="BD1651" s="52"/>
      <c r="BE1651" s="52"/>
      <c r="BF1651" s="52"/>
      <c r="BG1651" s="52"/>
      <c r="BH1651" s="52"/>
      <c r="BI1651" s="68">
        <v>0</v>
      </c>
      <c r="BJ1651" s="68">
        <v>0</v>
      </c>
      <c r="BK1651" s="59">
        <v>0</v>
      </c>
      <c r="BL1651" s="59">
        <v>0</v>
      </c>
      <c r="BM1651" s="55">
        <v>46054</v>
      </c>
      <c r="BN1651" s="55">
        <v>46082</v>
      </c>
      <c r="BO1651" s="53">
        <v>0</v>
      </c>
      <c r="BP1651" s="53">
        <v>0</v>
      </c>
      <c r="BQ1651" s="53">
        <v>0</v>
      </c>
      <c r="BR1651" s="85">
        <v>0</v>
      </c>
      <c r="BS1651" s="53">
        <v>0.1111111111111111</v>
      </c>
    </row>
    <row r="1652" spans="1:71" ht="25.95" hidden="1" customHeight="1" x14ac:dyDescent="0.3">
      <c r="A1652" s="70" t="s">
        <v>108</v>
      </c>
      <c r="B1652" s="4" t="s">
        <v>109</v>
      </c>
      <c r="C1652" s="5" t="s">
        <v>214</v>
      </c>
      <c r="D1652" s="5" t="s">
        <v>215</v>
      </c>
      <c r="E1652" s="4" t="s">
        <v>80</v>
      </c>
      <c r="F1652" s="4" t="str" cm="1">
        <f t="array" ref="F1652">_xlfn.IFS(
AG1652 &lt;&gt; "", "Jan-Dez/26",
AH1652 &lt;&gt; "", "Fev-Dez/26",
AI1652 &lt;&gt; "", "Mar-Dez/26", AJ1652 &lt;&gt; "", "Abr-Dez/26",
TRUE, "A partir de Junho"
)</f>
        <v>Abr-Dez/26</v>
      </c>
      <c r="G1652" s="4" t="s">
        <v>37</v>
      </c>
      <c r="H1652" s="7" t="s">
        <v>110</v>
      </c>
      <c r="I1652" s="8"/>
      <c r="J1652" s="8" t="str" cm="1">
        <f t="array" aca="1" ref="J1652" ca="1">_xlfn.LET(
  _xlpm.actual_value_month, INDEX(T1652:AE1652, MATCH(DATE(YEAR(TODAY()), MONTH(TODAY()), 1), $T$1:$AE$1, 0)),
  IF(_xlpm.actual_value_month &lt;&gt; "",_xlpm.actual_value_month &amp; " ações mensais", "")
)</f>
        <v/>
      </c>
      <c r="K1652" s="8" t="str" cm="1">
        <f t="array" ref="K1652">_xlfn.LET(
    _xlpm.sum_month, SUM(T1652:AE1652),
    IF(_xlpm.sum_month = 0, "", _xlpm.sum_month &amp; " telemetria implementada no ano")
)</f>
        <v/>
      </c>
      <c r="L1652" s="9" t="s">
        <v>112</v>
      </c>
      <c r="M1652" s="13">
        <v>1</v>
      </c>
      <c r="N1652" s="5" t="s">
        <v>51</v>
      </c>
      <c r="O1652" s="5" t="s">
        <v>43</v>
      </c>
      <c r="P1652" s="10" t="s">
        <v>44</v>
      </c>
      <c r="Q1652" s="10" t="s">
        <v>44</v>
      </c>
      <c r="R1652" s="11" t="s">
        <v>44</v>
      </c>
      <c r="S1652" s="11" t="s">
        <v>44</v>
      </c>
      <c r="T1652" s="22"/>
      <c r="U1652" s="22"/>
      <c r="V1652" s="22"/>
      <c r="W1652" s="22"/>
      <c r="X1652" s="22"/>
      <c r="Y1652" s="22"/>
      <c r="Z1652" s="22"/>
      <c r="AA1652" s="22"/>
      <c r="AB1652" s="22"/>
      <c r="AC1652" s="22"/>
      <c r="AD1652" s="22"/>
      <c r="AE1652" s="22"/>
      <c r="AG1652" s="71"/>
      <c r="AH1652" s="71"/>
      <c r="AI1652" s="71"/>
      <c r="AJ1652" s="71">
        <v>92</v>
      </c>
      <c r="AK1652" s="71"/>
      <c r="AL1652" s="71"/>
      <c r="AM1652" s="71"/>
      <c r="AN1652" s="71"/>
      <c r="AO1652" s="71"/>
      <c r="AP1652" s="71"/>
      <c r="AQ1652" s="71"/>
      <c r="AR1652" s="71"/>
      <c r="AS1652" s="94">
        <v>0</v>
      </c>
      <c r="AT1652" s="95">
        <v>0</v>
      </c>
      <c r="AU1652" s="97">
        <v>0</v>
      </c>
      <c r="AW1652" s="83">
        <f t="shared" si="1919"/>
        <v>0</v>
      </c>
      <c r="AX1652" s="83">
        <f t="shared" si="1920"/>
        <v>0</v>
      </c>
      <c r="AY1652" s="83">
        <f t="shared" si="1921"/>
        <v>0</v>
      </c>
      <c r="AZ1652" s="83">
        <f t="shared" si="1922"/>
        <v>92</v>
      </c>
      <c r="BA1652" s="52"/>
      <c r="BB1652" s="52"/>
      <c r="BC1652" s="52"/>
      <c r="BD1652" s="52"/>
      <c r="BE1652" s="52"/>
      <c r="BF1652" s="52"/>
      <c r="BG1652" s="52"/>
      <c r="BH1652" s="52"/>
      <c r="BI1652" s="68">
        <v>0</v>
      </c>
      <c r="BJ1652" s="68">
        <v>0</v>
      </c>
      <c r="BK1652" s="59">
        <v>0</v>
      </c>
      <c r="BL1652" s="59">
        <v>0</v>
      </c>
      <c r="BM1652" s="55">
        <v>46054</v>
      </c>
      <c r="BN1652" s="55">
        <v>46082</v>
      </c>
      <c r="BO1652" s="53">
        <v>0</v>
      </c>
      <c r="BP1652" s="53">
        <v>0</v>
      </c>
      <c r="BQ1652" s="53">
        <v>0</v>
      </c>
      <c r="BR1652" s="85">
        <v>0</v>
      </c>
      <c r="BS1652" s="53">
        <v>0.1111111111111111</v>
      </c>
    </row>
    <row r="1653" spans="1:71" ht="25.95" hidden="1" customHeight="1" x14ac:dyDescent="0.3">
      <c r="A1653" s="70" t="s">
        <v>108</v>
      </c>
      <c r="B1653" s="4" t="s">
        <v>109</v>
      </c>
      <c r="C1653" s="5" t="s">
        <v>214</v>
      </c>
      <c r="D1653" s="5" t="s">
        <v>212</v>
      </c>
      <c r="E1653" s="4" t="s">
        <v>80</v>
      </c>
      <c r="F1653" s="4" t="str" cm="1">
        <f t="array" ref="F1653">_xlfn.IFS(
AG1653 &lt;&gt; "", "Jan-Dez/26",
AH1653 &lt;&gt; "", "Fev-Dez/26",
AI1653 &lt;&gt; "", "Mar-Dez/26", AJ1653 &lt;&gt; "", "Abr-Dez/26",
TRUE, "A partir de Junho"
)</f>
        <v>Abr-Dez/26</v>
      </c>
      <c r="G1653" s="4" t="s">
        <v>37</v>
      </c>
      <c r="H1653" s="7" t="s">
        <v>110</v>
      </c>
      <c r="I1653" s="8"/>
      <c r="J1653" s="8" t="str" cm="1">
        <f t="array" aca="1" ref="J1653" ca="1">_xlfn.LET(
  _xlpm.actual_value_month, INDEX(T1653:AE1653, MATCH(DATE(YEAR(TODAY()), MONTH(TODAY()), 1), $T$1:$AE$1, 0)),
  IF(_xlpm.actual_value_month &lt;&gt; "",_xlpm.actual_value_month &amp; " ações mensais", "")
)</f>
        <v/>
      </c>
      <c r="K1653" s="8" t="str" cm="1">
        <f t="array" ref="K1653">_xlfn.LET(
    _xlpm.sum_month, SUM(T1653:AE1653),
    IF(_xlpm.sum_month = 0, "", _xlpm.sum_month &amp; " telemetria implementada no ano")
)</f>
        <v/>
      </c>
      <c r="L1653" s="9" t="s">
        <v>112</v>
      </c>
      <c r="M1653" s="13">
        <v>1</v>
      </c>
      <c r="N1653" s="5" t="s">
        <v>51</v>
      </c>
      <c r="O1653" s="5" t="s">
        <v>43</v>
      </c>
      <c r="P1653" s="10" t="s">
        <v>44</v>
      </c>
      <c r="Q1653" s="10" t="s">
        <v>44</v>
      </c>
      <c r="R1653" s="11" t="s">
        <v>44</v>
      </c>
      <c r="S1653" s="11" t="s">
        <v>44</v>
      </c>
      <c r="T1653" s="22"/>
      <c r="U1653" s="22"/>
      <c r="V1653" s="22"/>
      <c r="W1653" s="22"/>
      <c r="X1653" s="22"/>
      <c r="Y1653" s="22"/>
      <c r="Z1653" s="22"/>
      <c r="AA1653" s="22"/>
      <c r="AB1653" s="22"/>
      <c r="AC1653" s="22"/>
      <c r="AD1653" s="22"/>
      <c r="AE1653" s="22"/>
      <c r="AG1653" s="71"/>
      <c r="AH1653" s="71"/>
      <c r="AI1653" s="71"/>
      <c r="AJ1653" s="71">
        <v>62</v>
      </c>
      <c r="AK1653" s="71"/>
      <c r="AL1653" s="71"/>
      <c r="AM1653" s="71"/>
      <c r="AN1653" s="71"/>
      <c r="AO1653" s="71"/>
      <c r="AP1653" s="71"/>
      <c r="AQ1653" s="71"/>
      <c r="AR1653" s="71"/>
      <c r="AS1653" s="94">
        <v>0</v>
      </c>
      <c r="AT1653" s="95">
        <v>0</v>
      </c>
      <c r="AU1653" s="97">
        <v>0</v>
      </c>
      <c r="AW1653" s="83">
        <f t="shared" si="1919"/>
        <v>0</v>
      </c>
      <c r="AX1653" s="83">
        <f t="shared" si="1920"/>
        <v>0</v>
      </c>
      <c r="AY1653" s="83">
        <f t="shared" si="1921"/>
        <v>0</v>
      </c>
      <c r="AZ1653" s="83">
        <f t="shared" si="1922"/>
        <v>62</v>
      </c>
      <c r="BA1653" s="52"/>
      <c r="BB1653" s="52"/>
      <c r="BC1653" s="52"/>
      <c r="BD1653" s="52"/>
      <c r="BE1653" s="52"/>
      <c r="BF1653" s="52"/>
      <c r="BG1653" s="52"/>
      <c r="BH1653" s="52"/>
      <c r="BI1653" s="68">
        <v>0</v>
      </c>
      <c r="BJ1653" s="68">
        <v>0</v>
      </c>
      <c r="BK1653" s="59">
        <v>0</v>
      </c>
      <c r="BL1653" s="59">
        <v>0</v>
      </c>
      <c r="BM1653" s="55">
        <v>46054</v>
      </c>
      <c r="BN1653" s="55">
        <v>46082</v>
      </c>
      <c r="BO1653" s="53">
        <v>0</v>
      </c>
      <c r="BP1653" s="53">
        <v>0</v>
      </c>
      <c r="BQ1653" s="53">
        <v>0</v>
      </c>
      <c r="BR1653" s="85">
        <v>0</v>
      </c>
      <c r="BS1653" s="53">
        <v>0.1111111111111111</v>
      </c>
    </row>
    <row r="1654" spans="1:71" ht="25.95" hidden="1" customHeight="1" x14ac:dyDescent="0.3">
      <c r="A1654" s="70" t="s">
        <v>108</v>
      </c>
      <c r="B1654" s="4" t="s">
        <v>109</v>
      </c>
      <c r="C1654" s="5" t="s">
        <v>214</v>
      </c>
      <c r="D1654" s="5" t="s">
        <v>48</v>
      </c>
      <c r="E1654" s="4" t="s">
        <v>80</v>
      </c>
      <c r="F1654" s="4" t="str" cm="1">
        <f t="array" ref="F1654">_xlfn.IFS(
AG1654 &lt;&gt; "", "Jan-Dez/26",
AH1654 &lt;&gt; "", "Fev-Dez/26",
AI1654 &lt;&gt; "", "Mar-Dez/26", AJ1654 &lt;&gt; "", "Abr-Dez/26",
TRUE, "A partir de Junho"
)</f>
        <v>Abr-Dez/26</v>
      </c>
      <c r="G1654" s="4" t="s">
        <v>37</v>
      </c>
      <c r="H1654" s="7" t="s">
        <v>110</v>
      </c>
      <c r="I1654" s="8"/>
      <c r="J1654" s="8" t="str" cm="1">
        <f t="array" aca="1" ref="J1654" ca="1">_xlfn.LET(
  _xlpm.actual_value_month, INDEX(T1654:AE1654, MATCH(DATE(YEAR(TODAY()), MONTH(TODAY()), 1), $T$1:$AE$1, 0)),
  IF(_xlpm.actual_value_month &lt;&gt; "",_xlpm.actual_value_month &amp; " ações mensais", "")
)</f>
        <v/>
      </c>
      <c r="K1654" s="8" t="str" cm="1">
        <f t="array" ref="K1654">_xlfn.LET(
    _xlpm.sum_month, SUM(T1654:AE1654),
    IF(_xlpm.sum_month = 0, "", _xlpm.sum_month &amp; " telemetria implementada no ano")
)</f>
        <v/>
      </c>
      <c r="L1654" s="9" t="s">
        <v>112</v>
      </c>
      <c r="M1654" s="13">
        <v>1</v>
      </c>
      <c r="N1654" s="5" t="s">
        <v>51</v>
      </c>
      <c r="O1654" s="5" t="s">
        <v>43</v>
      </c>
      <c r="P1654" s="10" t="s">
        <v>44</v>
      </c>
      <c r="Q1654" s="10" t="s">
        <v>44</v>
      </c>
      <c r="R1654" s="11" t="s">
        <v>44</v>
      </c>
      <c r="S1654" s="11" t="s">
        <v>44</v>
      </c>
      <c r="T1654" s="22"/>
      <c r="U1654" s="22"/>
      <c r="V1654" s="22"/>
      <c r="W1654" s="22"/>
      <c r="X1654" s="22"/>
      <c r="Y1654" s="22"/>
      <c r="Z1654" s="22"/>
      <c r="AA1654" s="22"/>
      <c r="AB1654" s="22"/>
      <c r="AC1654" s="22"/>
      <c r="AD1654" s="22"/>
      <c r="AE1654" s="22"/>
      <c r="AG1654" s="71"/>
      <c r="AH1654" s="71"/>
      <c r="AI1654" s="71"/>
      <c r="AJ1654" s="71">
        <v>81</v>
      </c>
      <c r="AK1654" s="71"/>
      <c r="AL1654" s="71"/>
      <c r="AM1654" s="71"/>
      <c r="AN1654" s="71"/>
      <c r="AO1654" s="71"/>
      <c r="AP1654" s="71"/>
      <c r="AQ1654" s="71"/>
      <c r="AR1654" s="71"/>
      <c r="AS1654" s="94">
        <v>0</v>
      </c>
      <c r="AT1654" s="95">
        <v>0</v>
      </c>
      <c r="AU1654" s="97">
        <v>0</v>
      </c>
      <c r="AW1654" s="83">
        <f t="shared" si="1919"/>
        <v>0</v>
      </c>
      <c r="AX1654" s="83">
        <f t="shared" si="1920"/>
        <v>0</v>
      </c>
      <c r="AY1654" s="83">
        <f t="shared" si="1921"/>
        <v>0</v>
      </c>
      <c r="AZ1654" s="83">
        <f t="shared" si="1922"/>
        <v>81</v>
      </c>
      <c r="BA1654" s="52"/>
      <c r="BB1654" s="52"/>
      <c r="BC1654" s="52"/>
      <c r="BD1654" s="52"/>
      <c r="BE1654" s="52"/>
      <c r="BF1654" s="52"/>
      <c r="BG1654" s="52"/>
      <c r="BH1654" s="52"/>
      <c r="BI1654" s="68">
        <v>0</v>
      </c>
      <c r="BJ1654" s="68">
        <v>0</v>
      </c>
      <c r="BK1654" s="59">
        <v>0</v>
      </c>
      <c r="BL1654" s="59">
        <v>0</v>
      </c>
      <c r="BM1654" s="55">
        <v>46054</v>
      </c>
      <c r="BN1654" s="55">
        <v>46082</v>
      </c>
      <c r="BO1654" s="53">
        <v>0</v>
      </c>
      <c r="BP1654" s="53">
        <v>0</v>
      </c>
      <c r="BQ1654" s="53">
        <v>0</v>
      </c>
      <c r="BR1654" s="85">
        <v>0</v>
      </c>
      <c r="BS1654" s="53">
        <v>0.1111111111111111</v>
      </c>
    </row>
    <row r="1655" spans="1:71" ht="25.95" hidden="1" customHeight="1" x14ac:dyDescent="0.3">
      <c r="A1655" s="70" t="s">
        <v>108</v>
      </c>
      <c r="B1655" s="4" t="s">
        <v>109</v>
      </c>
      <c r="C1655" s="5" t="s">
        <v>214</v>
      </c>
      <c r="D1655" s="5" t="s">
        <v>213</v>
      </c>
      <c r="E1655" s="4" t="s">
        <v>80</v>
      </c>
      <c r="F1655" s="4" t="str" cm="1">
        <f t="array" ref="F1655">_xlfn.IFS(
AG1655 &lt;&gt; "", "Jan-Dez/26",
AH1655 &lt;&gt; "", "Fev-Dez/26",
AI1655 &lt;&gt; "", "Mar-Dez/26", AJ1655 &lt;&gt; "", "Abr-Dez/26",
TRUE, "A partir de Junho"
)</f>
        <v>Abr-Dez/26</v>
      </c>
      <c r="G1655" s="4" t="s">
        <v>37</v>
      </c>
      <c r="H1655" s="7" t="s">
        <v>110</v>
      </c>
      <c r="I1655" s="8"/>
      <c r="J1655" s="8" t="str" cm="1">
        <f t="array" aca="1" ref="J1655" ca="1">_xlfn.LET(
  _xlpm.actual_value_month, INDEX(T1655:AE1655, MATCH(DATE(YEAR(TODAY()), MONTH(TODAY()), 1), $T$1:$AE$1, 0)),
  IF(_xlpm.actual_value_month &lt;&gt; "",_xlpm.actual_value_month &amp; " ações mensais", "")
)</f>
        <v/>
      </c>
      <c r="K1655" s="8" t="str" cm="1">
        <f t="array" ref="K1655">_xlfn.LET(
    _xlpm.sum_month, SUM(T1655:AE1655),
    IF(_xlpm.sum_month = 0, "", _xlpm.sum_month &amp; " telemetria implementada no ano")
)</f>
        <v/>
      </c>
      <c r="L1655" s="9" t="s">
        <v>112</v>
      </c>
      <c r="M1655" s="13">
        <v>1</v>
      </c>
      <c r="N1655" s="5" t="s">
        <v>51</v>
      </c>
      <c r="O1655" s="5" t="s">
        <v>43</v>
      </c>
      <c r="P1655" s="10" t="s">
        <v>44</v>
      </c>
      <c r="Q1655" s="10" t="s">
        <v>44</v>
      </c>
      <c r="R1655" s="11" t="s">
        <v>44</v>
      </c>
      <c r="S1655" s="11" t="s">
        <v>44</v>
      </c>
      <c r="T1655" s="22"/>
      <c r="U1655" s="22"/>
      <c r="V1655" s="22"/>
      <c r="W1655" s="22"/>
      <c r="X1655" s="22"/>
      <c r="Y1655" s="22"/>
      <c r="Z1655" s="22"/>
      <c r="AA1655" s="22"/>
      <c r="AB1655" s="22"/>
      <c r="AC1655" s="22"/>
      <c r="AD1655" s="22"/>
      <c r="AE1655" s="22"/>
      <c r="AG1655" s="71"/>
      <c r="AH1655" s="71"/>
      <c r="AI1655" s="71"/>
      <c r="AJ1655" s="71">
        <v>100</v>
      </c>
      <c r="AK1655" s="71"/>
      <c r="AL1655" s="71"/>
      <c r="AM1655" s="71"/>
      <c r="AN1655" s="71"/>
      <c r="AO1655" s="71"/>
      <c r="AP1655" s="71"/>
      <c r="AQ1655" s="71"/>
      <c r="AR1655" s="71"/>
      <c r="AS1655" s="94">
        <v>0</v>
      </c>
      <c r="AT1655" s="95">
        <v>0</v>
      </c>
      <c r="AU1655" s="97">
        <v>0</v>
      </c>
      <c r="AW1655" s="83">
        <f t="shared" si="1919"/>
        <v>0</v>
      </c>
      <c r="AX1655" s="83">
        <f t="shared" si="1920"/>
        <v>0</v>
      </c>
      <c r="AY1655" s="83">
        <f t="shared" si="1921"/>
        <v>0</v>
      </c>
      <c r="AZ1655" s="83">
        <f t="shared" si="1922"/>
        <v>100</v>
      </c>
      <c r="BA1655" s="52"/>
      <c r="BB1655" s="52"/>
      <c r="BC1655" s="52"/>
      <c r="BD1655" s="52"/>
      <c r="BE1655" s="52"/>
      <c r="BF1655" s="52"/>
      <c r="BG1655" s="52"/>
      <c r="BH1655" s="52"/>
      <c r="BI1655" s="68">
        <v>0</v>
      </c>
      <c r="BJ1655" s="68">
        <v>0</v>
      </c>
      <c r="BK1655" s="59">
        <v>0</v>
      </c>
      <c r="BL1655" s="59">
        <v>0</v>
      </c>
      <c r="BM1655" s="55">
        <v>46054</v>
      </c>
      <c r="BN1655" s="55">
        <v>46082</v>
      </c>
      <c r="BO1655" s="53">
        <v>0</v>
      </c>
      <c r="BP1655" s="53">
        <v>0</v>
      </c>
      <c r="BQ1655" s="53">
        <v>0</v>
      </c>
      <c r="BR1655" s="85">
        <v>0</v>
      </c>
      <c r="BS1655" s="53">
        <v>0.1111111111111111</v>
      </c>
    </row>
    <row r="1656" spans="1:71" ht="25.95" hidden="1" customHeight="1" x14ac:dyDescent="0.3">
      <c r="A1656" s="70" t="s">
        <v>108</v>
      </c>
      <c r="B1656" s="4" t="s">
        <v>109</v>
      </c>
      <c r="C1656" s="5" t="s">
        <v>214</v>
      </c>
      <c r="D1656" s="5" t="s">
        <v>36</v>
      </c>
      <c r="E1656" s="4" t="s">
        <v>80</v>
      </c>
      <c r="F1656" s="4" t="str" cm="1">
        <f t="array" ref="F1656">_xlfn.IFS(
AG1656 &lt;&gt; "", "Jan-Dez/26",
AH1656 &lt;&gt; "", "Fev-Dez/26",
AI1656 &lt;&gt; "", "Mar-Dez/26", AJ1656 &lt;&gt; "", "Abr-Dez/26",
TRUE, "A partir de Junho"
)</f>
        <v>Abr-Dez/26</v>
      </c>
      <c r="G1656" s="4" t="s">
        <v>37</v>
      </c>
      <c r="H1656" s="7" t="s">
        <v>38</v>
      </c>
      <c r="I1656" s="8" t="s">
        <v>113</v>
      </c>
      <c r="J1656" s="8" t="str" cm="1">
        <f t="array" aca="1" ref="J1656" ca="1">_xlfn.LET(
  _xlpm.actual_value_month, INDEX(T1656:AE1656, MATCH(DATE(YEAR(TODAY()), MONTH(TODAY()), 1), $T$1:$AE$1, 0)),
  IF(_xlpm.actual_value_month &lt;&gt; "",_xlpm.actual_value_month &amp; " ações mensais", "")
)</f>
        <v/>
      </c>
      <c r="K1656" s="8" t="str" cm="1">
        <f t="array" ref="K1656">_xlfn.LET(
    _xlpm.sum_month, SUM(T1656:AE1656),
    IF(_xlpm.sum_month = 0, "", _xlpm.sum_month &amp; " empresas com a prática de controle de telemetria no ano")
)</f>
        <v/>
      </c>
      <c r="L1656" s="9" t="s">
        <v>114</v>
      </c>
      <c r="M1656" s="13">
        <v>1</v>
      </c>
      <c r="N1656" s="5" t="s">
        <v>51</v>
      </c>
      <c r="O1656" s="5" t="s">
        <v>52</v>
      </c>
      <c r="P1656" s="10" t="s">
        <v>44</v>
      </c>
      <c r="Q1656" s="10" t="s">
        <v>44</v>
      </c>
      <c r="R1656" s="11" t="s">
        <v>44</v>
      </c>
      <c r="S1656" s="11" t="s">
        <v>44</v>
      </c>
      <c r="T1656" s="22"/>
      <c r="U1656" s="22"/>
      <c r="V1656" s="22"/>
      <c r="W1656" s="22"/>
      <c r="X1656" s="22"/>
      <c r="Y1656" s="22"/>
      <c r="Z1656" s="22"/>
      <c r="AA1656" s="22"/>
      <c r="AB1656" s="22"/>
      <c r="AC1656" s="22"/>
      <c r="AD1656" s="22"/>
      <c r="AE1656" s="22"/>
      <c r="AG1656" s="71"/>
      <c r="AH1656" s="71"/>
      <c r="AI1656" s="71"/>
      <c r="AJ1656" s="71">
        <v>6</v>
      </c>
      <c r="AK1656" s="71"/>
      <c r="AL1656" s="71"/>
      <c r="AM1656" s="71"/>
      <c r="AN1656" s="71"/>
      <c r="AO1656" s="71"/>
      <c r="AP1656" s="71"/>
      <c r="AQ1656" s="71"/>
      <c r="AR1656" s="71"/>
      <c r="AS1656" s="94">
        <f ca="1">IF(MONTH(TODAY())=3,SUM(T1656:U1656),IF(MONTH(TODAY())=4,SUM(T1656:V1656),IF(MONTH(TODAY())=5,SUM(T1656:W1656),IF(MONTH(TODAY())=6,SUM(T1656:X1656),IF(MONTH(TODAY())=7,SUM(T1656:Y1656),IF(MONTH(TODAY())=8,SUM(T1656:Z1656),IF(MONTH(TODAY())=9,SUM(T1656:AA1656),IF(MONTH(TODAY())=10,SUM(T1656:AB1656),IF(MONTH(TODAY())=11,SUM(T1656:AC1656),IF(MONTH(TODAY())=12,SUM(T1656:AD1656),IF(MONTH(TODAY())=1,SUM(T1656:AE1656),T1656)))))))))))</f>
        <v>0</v>
      </c>
      <c r="AT1656" s="95">
        <f>SUM(AG1656:AR1656)</f>
        <v>6</v>
      </c>
      <c r="AU1656" s="97">
        <f>SUM(AG1656:AR1656)</f>
        <v>6</v>
      </c>
      <c r="AW1656" s="83">
        <f>AG1656</f>
        <v>0</v>
      </c>
      <c r="AX1656" s="83">
        <f>AH1656</f>
        <v>0</v>
      </c>
      <c r="AY1656" s="83">
        <f>AI1656</f>
        <v>0</v>
      </c>
      <c r="AZ1656" s="83">
        <f>AJ1656</f>
        <v>6</v>
      </c>
      <c r="BA1656" s="52"/>
      <c r="BB1656" s="52"/>
      <c r="BC1656" s="52"/>
      <c r="BD1656" s="52"/>
      <c r="BE1656" s="52"/>
      <c r="BF1656" s="52"/>
      <c r="BG1656" s="52"/>
      <c r="BH1656" s="52"/>
      <c r="BI1656" s="68" cm="1">
        <f t="array" ref="BI1656">IFERROR(INDEX(AW1656:BH1656,1,MATCH(2,1/(AW1656:BH1656&lt;&gt;""))),"")</f>
        <v>6</v>
      </c>
      <c r="BJ1656" s="68" cm="1">
        <f t="array" ref="BJ1656">IF(BM1656 = "", "",IFERROR(INDEX(AW1656:BH1656,1,MATCH(2,1/(AW1656:BH1656&lt;&gt;""),1)-1),""))</f>
        <v>0</v>
      </c>
      <c r="BK1656" s="59">
        <f>SUM(AW1656:BH1656)</f>
        <v>6</v>
      </c>
      <c r="BL1656" s="59" cm="1">
        <f t="array" ref="BL1656">IFERROR(SUM(AW1656:INDEX(AW1656:BH1656, MATCH(2, 1/(AW1656:BH1656&lt;&gt;""), 1) - 1)),0)</f>
        <v>0</v>
      </c>
      <c r="BM1656" s="55" cm="1">
        <f t="array" ref="BM1656">IFERROR(
   INDEX($AW$1:$BH$1,
      _xlfn.AGGREGATE(14, 6, COLUMN($AW$1:$BH$1)/(AW1656:BH1656&lt;&gt;""), 2) - COLUMN($AW$1) + 1
   ),
"")</f>
        <v>46082</v>
      </c>
      <c r="BN1656" s="55" cm="1">
        <f t="array" ref="BN1656">IFERROR(INDEX($AW$1:$BH$1,1,MATCH(2,1/(AW1656:BH1656&lt;&gt;""))),"")</f>
        <v>46113</v>
      </c>
      <c r="BO1656" s="53">
        <f ca="1">IFERROR(_xlfn.XLOOKUP(F1656,Apuração!A:A,Apuração!C:C)/_xlfn.XLOOKUP(F1656,Apuração!A:A,Apuração!B:B),0)</f>
        <v>0.22222222222222221</v>
      </c>
      <c r="BP1656" s="53">
        <f ca="1">IFERROR(_xlfn.XLOOKUP(F1656,Apuração!A:A,Apuração!D:D)/_xlfn.XLOOKUP(F1656,Apuração!A:A,Apuração!B:B),0)</f>
        <v>0.1111111111111111</v>
      </c>
      <c r="BQ1656" s="53">
        <f ca="1">IF(BK1656&gt;=BO1656,0,_xlfn.XLOOKUP(F1656,Apuração!A:A,Apuração!B:B)*(BO1656 + (1/_xlfn.XLOOKUP(F1656,Apuração!A:A,Apuração!B:B)) - BK1656))</f>
        <v>0</v>
      </c>
      <c r="BR1656" s="85">
        <f ca="1">IF(BQ1656=0,0,BQ1656*Z1656)</f>
        <v>0</v>
      </c>
      <c r="BS1656" s="53">
        <f ca="1">IFERROR((_xlfn.XLOOKUP(F1656,Apuração!A:A,Apuração!C:C)+1)/_xlfn.XLOOKUP(F1656,Apuração!A:A,Apuração!B:B),0)</f>
        <v>0.33333333333333331</v>
      </c>
    </row>
    <row r="1657" spans="1:71" ht="25.95" hidden="1" customHeight="1" x14ac:dyDescent="0.3">
      <c r="A1657" s="70" t="s">
        <v>108</v>
      </c>
      <c r="B1657" s="4" t="s">
        <v>109</v>
      </c>
      <c r="C1657" s="5" t="s">
        <v>214</v>
      </c>
      <c r="D1657" s="5" t="s">
        <v>210</v>
      </c>
      <c r="E1657" s="4" t="s">
        <v>80</v>
      </c>
      <c r="F1657" s="4" t="str" cm="1">
        <f t="array" ref="F1657">_xlfn.IFS(
AG1657 &lt;&gt; "", "Jan-Dez/26",
AH1657 &lt;&gt; "", "Fev-Dez/26",
AI1657 &lt;&gt; "", "Mar-Dez/26", AJ1657 &lt;&gt; "", "Abr-Dez/26",
TRUE, "A partir de Junho"
)</f>
        <v>Abr-Dez/26</v>
      </c>
      <c r="G1657" s="4" t="s">
        <v>37</v>
      </c>
      <c r="H1657" s="7" t="s">
        <v>38</v>
      </c>
      <c r="I1657" s="8" t="s">
        <v>113</v>
      </c>
      <c r="J1657" s="8" t="str" cm="1">
        <f t="array" aca="1" ref="J1657" ca="1">_xlfn.LET(
  _xlpm.actual_value_month, INDEX(T1657:AE1657, MATCH(DATE(YEAR(TODAY()), MONTH(TODAY()), 1), $T$1:$AE$1, 0)),
  IF(_xlpm.actual_value_month &lt;&gt; "",_xlpm.actual_value_month &amp; " ações mensais", "")
)</f>
        <v/>
      </c>
      <c r="K1657" s="8" t="str" cm="1">
        <f t="array" ref="K1657">_xlfn.LET(
    _xlpm.sum_month, SUM(T1657:AE1657),
    IF(_xlpm.sum_month = 0, "", _xlpm.sum_month &amp; " empresas com a prática de controle de telemetria no ano")
)</f>
        <v/>
      </c>
      <c r="L1657" s="9" t="s">
        <v>114</v>
      </c>
      <c r="M1657" s="13">
        <v>1</v>
      </c>
      <c r="N1657" s="5" t="s">
        <v>51</v>
      </c>
      <c r="O1657" s="5" t="s">
        <v>52</v>
      </c>
      <c r="P1657" s="10" t="s">
        <v>44</v>
      </c>
      <c r="Q1657" s="10" t="s">
        <v>44</v>
      </c>
      <c r="R1657" s="11" t="s">
        <v>44</v>
      </c>
      <c r="S1657" s="11" t="s">
        <v>44</v>
      </c>
      <c r="T1657" s="22"/>
      <c r="U1657" s="22"/>
      <c r="V1657" s="22"/>
      <c r="W1657" s="22"/>
      <c r="X1657" s="22"/>
      <c r="Y1657" s="22"/>
      <c r="Z1657" s="22"/>
      <c r="AA1657" s="22"/>
      <c r="AB1657" s="22"/>
      <c r="AC1657" s="22"/>
      <c r="AD1657" s="22"/>
      <c r="AE1657" s="22"/>
      <c r="AG1657" s="71"/>
      <c r="AH1657" s="71"/>
      <c r="AI1657" s="71"/>
      <c r="AJ1657" s="71">
        <v>1</v>
      </c>
      <c r="AK1657" s="71"/>
      <c r="AL1657" s="71"/>
      <c r="AM1657" s="71"/>
      <c r="AN1657" s="71"/>
      <c r="AO1657" s="71"/>
      <c r="AP1657" s="71"/>
      <c r="AQ1657" s="71"/>
      <c r="AR1657" s="71"/>
      <c r="AS1657" s="94">
        <f t="shared" ref="AS1657:AS1661" ca="1" si="1923">IF(MONTH(TODAY())=3,SUM(T1657:U1657),IF(MONTH(TODAY())=4,SUM(T1657:V1657),IF(MONTH(TODAY())=5,SUM(T1657:W1657),IF(MONTH(TODAY())=6,SUM(T1657:X1657),IF(MONTH(TODAY())=7,SUM(T1657:Y1657),IF(MONTH(TODAY())=8,SUM(T1657:Z1657),IF(MONTH(TODAY())=9,SUM(T1657:AA1657),IF(MONTH(TODAY())=10,SUM(T1657:AB1657),IF(MONTH(TODAY())=11,SUM(T1657:AC1657),IF(MONTH(TODAY())=12,SUM(T1657:AD1657),IF(MONTH(TODAY())=1,SUM(T1657:AE1657),T1657)))))))))))</f>
        <v>0</v>
      </c>
      <c r="AT1657" s="95">
        <f t="shared" ref="AT1657:AT1661" si="1924">SUM(AG1657:AR1657)</f>
        <v>1</v>
      </c>
      <c r="AU1657" s="97">
        <f t="shared" ref="AU1657:AU1661" si="1925">SUM(AG1657:AR1657)</f>
        <v>1</v>
      </c>
      <c r="AW1657" s="83">
        <f t="shared" ref="AW1657:AW1661" si="1926">AG1657</f>
        <v>0</v>
      </c>
      <c r="AX1657" s="83">
        <f t="shared" ref="AX1657:AX1661" si="1927">AH1657</f>
        <v>0</v>
      </c>
      <c r="AY1657" s="83">
        <f t="shared" ref="AY1657:AY1661" si="1928">AI1657</f>
        <v>0</v>
      </c>
      <c r="AZ1657" s="83">
        <f t="shared" ref="AZ1657:AZ1661" si="1929">AJ1657</f>
        <v>1</v>
      </c>
      <c r="BA1657" s="52"/>
      <c r="BB1657" s="52"/>
      <c r="BC1657" s="52"/>
      <c r="BD1657" s="52"/>
      <c r="BE1657" s="52"/>
      <c r="BF1657" s="52"/>
      <c r="BG1657" s="52"/>
      <c r="BH1657" s="52"/>
      <c r="BI1657" s="68" cm="1">
        <f t="array" ref="BI1657">IFERROR(INDEX(AW1657:BH1657,1,MATCH(2,1/(AW1657:BH1657&lt;&gt;""))),"")</f>
        <v>1</v>
      </c>
      <c r="BJ1657" s="68" cm="1">
        <f t="array" ref="BJ1657">IF(BM1657 = "", "",IFERROR(INDEX(AW1657:BH1657,1,MATCH(2,1/(AW1657:BH1657&lt;&gt;""),1)-1),""))</f>
        <v>0</v>
      </c>
      <c r="BK1657" s="59">
        <f t="shared" ref="BK1657:BK1661" si="1930">SUM(AW1657:BH1657)</f>
        <v>1</v>
      </c>
      <c r="BL1657" s="59" cm="1">
        <f t="array" ref="BL1657">IFERROR(SUM(AW1657:INDEX(AW1657:BH1657, MATCH(2, 1/(AW1657:BH1657&lt;&gt;""), 1) - 1)),0)</f>
        <v>0</v>
      </c>
      <c r="BM1657" s="55" cm="1">
        <f t="array" ref="BM1657">IFERROR(
   INDEX($AW$1:$BH$1,
      _xlfn.AGGREGATE(14, 6, COLUMN($AW$1:$BH$1)/(AW1657:BH1657&lt;&gt;""), 2) - COLUMN($AW$1) + 1
   ),
"")</f>
        <v>46082</v>
      </c>
      <c r="BN1657" s="55" cm="1">
        <f t="array" ref="BN1657">IFERROR(INDEX($AW$1:$BH$1,1,MATCH(2,1/(AW1657:BH1657&lt;&gt;""))),"")</f>
        <v>46113</v>
      </c>
      <c r="BO1657" s="53">
        <f ca="1">IFERROR(_xlfn.XLOOKUP(F1657,Apuração!A:A,Apuração!C:C)/_xlfn.XLOOKUP(F1657,Apuração!A:A,Apuração!B:B),0)</f>
        <v>0.22222222222222221</v>
      </c>
      <c r="BP1657" s="53">
        <f ca="1">IFERROR(_xlfn.XLOOKUP(F1657,Apuração!A:A,Apuração!D:D)/_xlfn.XLOOKUP(F1657,Apuração!A:A,Apuração!B:B),0)</f>
        <v>0.1111111111111111</v>
      </c>
      <c r="BQ1657" s="53">
        <f ca="1">IF(BK1657&gt;=BO1657,0,_xlfn.XLOOKUP(F1657,Apuração!A:A,Apuração!B:B)*(BO1657 + (1/_xlfn.XLOOKUP(F1657,Apuração!A:A,Apuração!B:B)) - BK1657))</f>
        <v>0</v>
      </c>
      <c r="BR1657" s="85">
        <f t="shared" ref="BR1657:BR1661" ca="1" si="1931">IF(BQ1657=0,0,BQ1657*Z1657)</f>
        <v>0</v>
      </c>
      <c r="BS1657" s="53">
        <f ca="1">IFERROR((_xlfn.XLOOKUP(F1657,Apuração!A:A,Apuração!C:C)+1)/_xlfn.XLOOKUP(F1657,Apuração!A:A,Apuração!B:B),0)</f>
        <v>0.33333333333333331</v>
      </c>
    </row>
    <row r="1658" spans="1:71" ht="25.95" hidden="1" customHeight="1" x14ac:dyDescent="0.3">
      <c r="A1658" s="70" t="s">
        <v>108</v>
      </c>
      <c r="B1658" s="4" t="s">
        <v>109</v>
      </c>
      <c r="C1658" s="5" t="s">
        <v>214</v>
      </c>
      <c r="D1658" s="5" t="s">
        <v>215</v>
      </c>
      <c r="E1658" s="4" t="s">
        <v>80</v>
      </c>
      <c r="F1658" s="4" t="str" cm="1">
        <f t="array" ref="F1658">_xlfn.IFS(
AG1658 &lt;&gt; "", "Jan-Dez/26",
AH1658 &lt;&gt; "", "Fev-Dez/26",
AI1658 &lt;&gt; "", "Mar-Dez/26", AJ1658 &lt;&gt; "", "Abr-Dez/26",
TRUE, "A partir de Junho"
)</f>
        <v>Abr-Dez/26</v>
      </c>
      <c r="G1658" s="4" t="s">
        <v>37</v>
      </c>
      <c r="H1658" s="7" t="s">
        <v>38</v>
      </c>
      <c r="I1658" s="8" t="s">
        <v>113</v>
      </c>
      <c r="J1658" s="8" t="str" cm="1">
        <f t="array" aca="1" ref="J1658" ca="1">_xlfn.LET(
  _xlpm.actual_value_month, INDEX(T1658:AE1658, MATCH(DATE(YEAR(TODAY()), MONTH(TODAY()), 1), $T$1:$AE$1, 0)),
  IF(_xlpm.actual_value_month &lt;&gt; "",_xlpm.actual_value_month &amp; " ações mensais", "")
)</f>
        <v/>
      </c>
      <c r="K1658" s="8" t="str" cm="1">
        <f t="array" ref="K1658">_xlfn.LET(
    _xlpm.sum_month, SUM(T1658:AE1658),
    IF(_xlpm.sum_month = 0, "", _xlpm.sum_month &amp; " empresas com a prática de controle de telemetria no ano")
)</f>
        <v/>
      </c>
      <c r="L1658" s="9" t="s">
        <v>114</v>
      </c>
      <c r="M1658" s="13">
        <v>1</v>
      </c>
      <c r="N1658" s="5" t="s">
        <v>51</v>
      </c>
      <c r="O1658" s="5" t="s">
        <v>52</v>
      </c>
      <c r="P1658" s="10" t="s">
        <v>44</v>
      </c>
      <c r="Q1658" s="10" t="s">
        <v>44</v>
      </c>
      <c r="R1658" s="11" t="s">
        <v>44</v>
      </c>
      <c r="S1658" s="11" t="s">
        <v>44</v>
      </c>
      <c r="T1658" s="22"/>
      <c r="U1658" s="22"/>
      <c r="V1658" s="22"/>
      <c r="W1658" s="22"/>
      <c r="X1658" s="22"/>
      <c r="Y1658" s="22"/>
      <c r="Z1658" s="22"/>
      <c r="AA1658" s="22"/>
      <c r="AB1658" s="22"/>
      <c r="AC1658" s="22"/>
      <c r="AD1658" s="22"/>
      <c r="AE1658" s="22"/>
      <c r="AG1658" s="71"/>
      <c r="AH1658" s="71"/>
      <c r="AI1658" s="71"/>
      <c r="AJ1658" s="71">
        <v>2</v>
      </c>
      <c r="AK1658" s="71"/>
      <c r="AL1658" s="71"/>
      <c r="AM1658" s="71"/>
      <c r="AN1658" s="71"/>
      <c r="AO1658" s="71"/>
      <c r="AP1658" s="71"/>
      <c r="AQ1658" s="71"/>
      <c r="AR1658" s="71"/>
      <c r="AS1658" s="94">
        <f t="shared" ca="1" si="1923"/>
        <v>0</v>
      </c>
      <c r="AT1658" s="95">
        <f t="shared" si="1924"/>
        <v>2</v>
      </c>
      <c r="AU1658" s="97">
        <f t="shared" si="1925"/>
        <v>2</v>
      </c>
      <c r="AW1658" s="83">
        <f t="shared" si="1926"/>
        <v>0</v>
      </c>
      <c r="AX1658" s="83">
        <f t="shared" si="1927"/>
        <v>0</v>
      </c>
      <c r="AY1658" s="83">
        <f t="shared" si="1928"/>
        <v>0</v>
      </c>
      <c r="AZ1658" s="83">
        <f t="shared" si="1929"/>
        <v>2</v>
      </c>
      <c r="BA1658" s="52"/>
      <c r="BB1658" s="52"/>
      <c r="BC1658" s="52"/>
      <c r="BD1658" s="52"/>
      <c r="BE1658" s="52"/>
      <c r="BF1658" s="52"/>
      <c r="BG1658" s="52"/>
      <c r="BH1658" s="52"/>
      <c r="BI1658" s="68" cm="1">
        <f t="array" ref="BI1658">IFERROR(INDEX(AW1658:BH1658,1,MATCH(2,1/(AW1658:BH1658&lt;&gt;""))),"")</f>
        <v>2</v>
      </c>
      <c r="BJ1658" s="68" cm="1">
        <f t="array" ref="BJ1658">IF(BM1658 = "", "",IFERROR(INDEX(AW1658:BH1658,1,MATCH(2,1/(AW1658:BH1658&lt;&gt;""),1)-1),""))</f>
        <v>0</v>
      </c>
      <c r="BK1658" s="59">
        <f t="shared" si="1930"/>
        <v>2</v>
      </c>
      <c r="BL1658" s="59" cm="1">
        <f t="array" ref="BL1658">IFERROR(SUM(AW1658:INDEX(AW1658:BH1658, MATCH(2, 1/(AW1658:BH1658&lt;&gt;""), 1) - 1)),0)</f>
        <v>0</v>
      </c>
      <c r="BM1658" s="55" cm="1">
        <f t="array" ref="BM1658">IFERROR(
   INDEX($AW$1:$BH$1,
      _xlfn.AGGREGATE(14, 6, COLUMN($AW$1:$BH$1)/(AW1658:BH1658&lt;&gt;""), 2) - COLUMN($AW$1) + 1
   ),
"")</f>
        <v>46082</v>
      </c>
      <c r="BN1658" s="55" cm="1">
        <f t="array" ref="BN1658">IFERROR(INDEX($AW$1:$BH$1,1,MATCH(2,1/(AW1658:BH1658&lt;&gt;""))),"")</f>
        <v>46113</v>
      </c>
      <c r="BO1658" s="53">
        <f ca="1">IFERROR(_xlfn.XLOOKUP(F1658,Apuração!A:A,Apuração!C:C)/_xlfn.XLOOKUP(F1658,Apuração!A:A,Apuração!B:B),0)</f>
        <v>0.22222222222222221</v>
      </c>
      <c r="BP1658" s="53">
        <f ca="1">IFERROR(_xlfn.XLOOKUP(F1658,Apuração!A:A,Apuração!D:D)/_xlfn.XLOOKUP(F1658,Apuração!A:A,Apuração!B:B),0)</f>
        <v>0.1111111111111111</v>
      </c>
      <c r="BQ1658" s="53">
        <f ca="1">IF(BK1658&gt;=BO1658,0,_xlfn.XLOOKUP(F1658,Apuração!A:A,Apuração!B:B)*(BO1658 + (1/_xlfn.XLOOKUP(F1658,Apuração!A:A,Apuração!B:B)) - BK1658))</f>
        <v>0</v>
      </c>
      <c r="BR1658" s="85">
        <f t="shared" ca="1" si="1931"/>
        <v>0</v>
      </c>
      <c r="BS1658" s="53">
        <f ca="1">IFERROR((_xlfn.XLOOKUP(F1658,Apuração!A:A,Apuração!C:C)+1)/_xlfn.XLOOKUP(F1658,Apuração!A:A,Apuração!B:B),0)</f>
        <v>0.33333333333333331</v>
      </c>
    </row>
    <row r="1659" spans="1:71" ht="25.95" hidden="1" customHeight="1" x14ac:dyDescent="0.3">
      <c r="A1659" s="70" t="s">
        <v>108</v>
      </c>
      <c r="B1659" s="4" t="s">
        <v>109</v>
      </c>
      <c r="C1659" s="5" t="s">
        <v>214</v>
      </c>
      <c r="D1659" s="5" t="s">
        <v>212</v>
      </c>
      <c r="E1659" s="4" t="s">
        <v>80</v>
      </c>
      <c r="F1659" s="4" t="str" cm="1">
        <f t="array" ref="F1659">_xlfn.IFS(
AG1659 &lt;&gt; "", "Jan-Dez/26",
AH1659 &lt;&gt; "", "Fev-Dez/26",
AI1659 &lt;&gt; "", "Mar-Dez/26", AJ1659 &lt;&gt; "", "Abr-Dez/26",
TRUE, "A partir de Junho"
)</f>
        <v>Abr-Dez/26</v>
      </c>
      <c r="G1659" s="4" t="s">
        <v>37</v>
      </c>
      <c r="H1659" s="7" t="s">
        <v>38</v>
      </c>
      <c r="I1659" s="8" t="s">
        <v>113</v>
      </c>
      <c r="J1659" s="8" t="str" cm="1">
        <f t="array" aca="1" ref="J1659" ca="1">_xlfn.LET(
  _xlpm.actual_value_month, INDEX(T1659:AE1659, MATCH(DATE(YEAR(TODAY()), MONTH(TODAY()), 1), $T$1:$AE$1, 0)),
  IF(_xlpm.actual_value_month &lt;&gt; "",_xlpm.actual_value_month &amp; " ações mensais", "")
)</f>
        <v/>
      </c>
      <c r="K1659" s="8" t="str" cm="1">
        <f t="array" ref="K1659">_xlfn.LET(
    _xlpm.sum_month, SUM(T1659:AE1659),
    IF(_xlpm.sum_month = 0, "", _xlpm.sum_month &amp; " empresas com a prática de controle de telemetria no ano")
)</f>
        <v/>
      </c>
      <c r="L1659" s="9" t="s">
        <v>114</v>
      </c>
      <c r="M1659" s="13">
        <v>1</v>
      </c>
      <c r="N1659" s="5" t="s">
        <v>51</v>
      </c>
      <c r="O1659" s="5" t="s">
        <v>52</v>
      </c>
      <c r="P1659" s="10" t="s">
        <v>44</v>
      </c>
      <c r="Q1659" s="10" t="s">
        <v>44</v>
      </c>
      <c r="R1659" s="11" t="s">
        <v>44</v>
      </c>
      <c r="S1659" s="11" t="s">
        <v>44</v>
      </c>
      <c r="T1659" s="22"/>
      <c r="U1659" s="22"/>
      <c r="V1659" s="22"/>
      <c r="W1659" s="22"/>
      <c r="X1659" s="22"/>
      <c r="Y1659" s="22"/>
      <c r="Z1659" s="22"/>
      <c r="AA1659" s="22"/>
      <c r="AB1659" s="22"/>
      <c r="AC1659" s="22"/>
      <c r="AD1659" s="22"/>
      <c r="AE1659" s="22"/>
      <c r="AG1659" s="71"/>
      <c r="AH1659" s="71"/>
      <c r="AI1659" s="71"/>
      <c r="AJ1659" s="71">
        <v>1</v>
      </c>
      <c r="AK1659" s="71"/>
      <c r="AL1659" s="71"/>
      <c r="AM1659" s="71"/>
      <c r="AN1659" s="71"/>
      <c r="AO1659" s="71"/>
      <c r="AP1659" s="71"/>
      <c r="AQ1659" s="71"/>
      <c r="AR1659" s="71"/>
      <c r="AS1659" s="94">
        <f t="shared" ca="1" si="1923"/>
        <v>0</v>
      </c>
      <c r="AT1659" s="95">
        <f t="shared" si="1924"/>
        <v>1</v>
      </c>
      <c r="AU1659" s="97">
        <f t="shared" si="1925"/>
        <v>1</v>
      </c>
      <c r="AW1659" s="83">
        <f t="shared" si="1926"/>
        <v>0</v>
      </c>
      <c r="AX1659" s="83">
        <f t="shared" si="1927"/>
        <v>0</v>
      </c>
      <c r="AY1659" s="83">
        <f t="shared" si="1928"/>
        <v>0</v>
      </c>
      <c r="AZ1659" s="83">
        <f t="shared" si="1929"/>
        <v>1</v>
      </c>
      <c r="BA1659" s="52"/>
      <c r="BB1659" s="52"/>
      <c r="BC1659" s="52"/>
      <c r="BD1659" s="52"/>
      <c r="BE1659" s="52"/>
      <c r="BF1659" s="52"/>
      <c r="BG1659" s="52"/>
      <c r="BH1659" s="52"/>
      <c r="BI1659" s="68" cm="1">
        <f t="array" ref="BI1659">IFERROR(INDEX(AW1659:BH1659,1,MATCH(2,1/(AW1659:BH1659&lt;&gt;""))),"")</f>
        <v>1</v>
      </c>
      <c r="BJ1659" s="68" cm="1">
        <f t="array" ref="BJ1659">IF(BM1659 = "", "",IFERROR(INDEX(AW1659:BH1659,1,MATCH(2,1/(AW1659:BH1659&lt;&gt;""),1)-1),""))</f>
        <v>0</v>
      </c>
      <c r="BK1659" s="59">
        <f t="shared" si="1930"/>
        <v>1</v>
      </c>
      <c r="BL1659" s="59" cm="1">
        <f t="array" ref="BL1659">IFERROR(SUM(AW1659:INDEX(AW1659:BH1659, MATCH(2, 1/(AW1659:BH1659&lt;&gt;""), 1) - 1)),0)</f>
        <v>0</v>
      </c>
      <c r="BM1659" s="55" cm="1">
        <f t="array" ref="BM1659">IFERROR(
   INDEX($AW$1:$BH$1,
      _xlfn.AGGREGATE(14, 6, COLUMN($AW$1:$BH$1)/(AW1659:BH1659&lt;&gt;""), 2) - COLUMN($AW$1) + 1
   ),
"")</f>
        <v>46082</v>
      </c>
      <c r="BN1659" s="55" cm="1">
        <f t="array" ref="BN1659">IFERROR(INDEX($AW$1:$BH$1,1,MATCH(2,1/(AW1659:BH1659&lt;&gt;""))),"")</f>
        <v>46113</v>
      </c>
      <c r="BO1659" s="53">
        <f ca="1">IFERROR(_xlfn.XLOOKUP(F1659,Apuração!A:A,Apuração!C:C)/_xlfn.XLOOKUP(F1659,Apuração!A:A,Apuração!B:B),0)</f>
        <v>0.22222222222222221</v>
      </c>
      <c r="BP1659" s="53">
        <f ca="1">IFERROR(_xlfn.XLOOKUP(F1659,Apuração!A:A,Apuração!D:D)/_xlfn.XLOOKUP(F1659,Apuração!A:A,Apuração!B:B),0)</f>
        <v>0.1111111111111111</v>
      </c>
      <c r="BQ1659" s="53">
        <f ca="1">IF(BK1659&gt;=BO1659,0,_xlfn.XLOOKUP(F1659,Apuração!A:A,Apuração!B:B)*(BO1659 + (1/_xlfn.XLOOKUP(F1659,Apuração!A:A,Apuração!B:B)) - BK1659))</f>
        <v>0</v>
      </c>
      <c r="BR1659" s="85">
        <f t="shared" ca="1" si="1931"/>
        <v>0</v>
      </c>
      <c r="BS1659" s="53">
        <f ca="1">IFERROR((_xlfn.XLOOKUP(F1659,Apuração!A:A,Apuração!C:C)+1)/_xlfn.XLOOKUP(F1659,Apuração!A:A,Apuração!B:B),0)</f>
        <v>0.33333333333333331</v>
      </c>
    </row>
    <row r="1660" spans="1:71" ht="25.95" hidden="1" customHeight="1" x14ac:dyDescent="0.3">
      <c r="A1660" s="70" t="s">
        <v>108</v>
      </c>
      <c r="B1660" s="4" t="s">
        <v>109</v>
      </c>
      <c r="C1660" s="5" t="s">
        <v>214</v>
      </c>
      <c r="D1660" s="5" t="s">
        <v>48</v>
      </c>
      <c r="E1660" s="4" t="s">
        <v>80</v>
      </c>
      <c r="F1660" s="4" t="str" cm="1">
        <f t="array" ref="F1660">_xlfn.IFS(
AG1660 &lt;&gt; "", "Jan-Dez/26",
AH1660 &lt;&gt; "", "Fev-Dez/26",
AI1660 &lt;&gt; "", "Mar-Dez/26", AJ1660 &lt;&gt; "", "Abr-Dez/26",
TRUE, "A partir de Junho"
)</f>
        <v>Abr-Dez/26</v>
      </c>
      <c r="G1660" s="4" t="s">
        <v>37</v>
      </c>
      <c r="H1660" s="7" t="s">
        <v>38</v>
      </c>
      <c r="I1660" s="8" t="s">
        <v>113</v>
      </c>
      <c r="J1660" s="8" t="str" cm="1">
        <f t="array" aca="1" ref="J1660" ca="1">_xlfn.LET(
  _xlpm.actual_value_month, INDEX(T1660:AE1660, MATCH(DATE(YEAR(TODAY()), MONTH(TODAY()), 1), $T$1:$AE$1, 0)),
  IF(_xlpm.actual_value_month &lt;&gt; "",_xlpm.actual_value_month &amp; " ações mensais", "")
)</f>
        <v/>
      </c>
      <c r="K1660" s="8" t="str" cm="1">
        <f t="array" ref="K1660">_xlfn.LET(
    _xlpm.sum_month, SUM(T1660:AE1660),
    IF(_xlpm.sum_month = 0, "", _xlpm.sum_month &amp; " empresas com a prática de controle de telemetria no ano")
)</f>
        <v/>
      </c>
      <c r="L1660" s="9" t="s">
        <v>114</v>
      </c>
      <c r="M1660" s="13">
        <v>1</v>
      </c>
      <c r="N1660" s="5" t="s">
        <v>51</v>
      </c>
      <c r="O1660" s="5" t="s">
        <v>52</v>
      </c>
      <c r="P1660" s="10" t="s">
        <v>44</v>
      </c>
      <c r="Q1660" s="10" t="s">
        <v>44</v>
      </c>
      <c r="R1660" s="11" t="s">
        <v>44</v>
      </c>
      <c r="S1660" s="11" t="s">
        <v>44</v>
      </c>
      <c r="T1660" s="22"/>
      <c r="U1660" s="22"/>
      <c r="V1660" s="22"/>
      <c r="W1660" s="22"/>
      <c r="X1660" s="22"/>
      <c r="Y1660" s="22"/>
      <c r="Z1660" s="22"/>
      <c r="AA1660" s="22"/>
      <c r="AB1660" s="22"/>
      <c r="AC1660" s="22"/>
      <c r="AD1660" s="22"/>
      <c r="AE1660" s="22"/>
      <c r="AG1660" s="71"/>
      <c r="AH1660" s="71"/>
      <c r="AI1660" s="71"/>
      <c r="AJ1660" s="71">
        <v>1</v>
      </c>
      <c r="AK1660" s="71"/>
      <c r="AL1660" s="71"/>
      <c r="AM1660" s="71"/>
      <c r="AN1660" s="71"/>
      <c r="AO1660" s="71"/>
      <c r="AP1660" s="71"/>
      <c r="AQ1660" s="71"/>
      <c r="AR1660" s="71"/>
      <c r="AS1660" s="94">
        <f t="shared" ca="1" si="1923"/>
        <v>0</v>
      </c>
      <c r="AT1660" s="95">
        <f t="shared" si="1924"/>
        <v>1</v>
      </c>
      <c r="AU1660" s="97">
        <f t="shared" si="1925"/>
        <v>1</v>
      </c>
      <c r="AW1660" s="83">
        <f t="shared" si="1926"/>
        <v>0</v>
      </c>
      <c r="AX1660" s="83">
        <f t="shared" si="1927"/>
        <v>0</v>
      </c>
      <c r="AY1660" s="83">
        <f t="shared" si="1928"/>
        <v>0</v>
      </c>
      <c r="AZ1660" s="83">
        <f t="shared" si="1929"/>
        <v>1</v>
      </c>
      <c r="BA1660" s="52"/>
      <c r="BB1660" s="52"/>
      <c r="BC1660" s="52"/>
      <c r="BD1660" s="52"/>
      <c r="BE1660" s="52"/>
      <c r="BF1660" s="52"/>
      <c r="BG1660" s="52"/>
      <c r="BH1660" s="52"/>
      <c r="BI1660" s="68" cm="1">
        <f t="array" ref="BI1660">IFERROR(INDEX(AW1660:BH1660,1,MATCH(2,1/(AW1660:BH1660&lt;&gt;""))),"")</f>
        <v>1</v>
      </c>
      <c r="BJ1660" s="68" cm="1">
        <f t="array" ref="BJ1660">IF(BM1660 = "", "",IFERROR(INDEX(AW1660:BH1660,1,MATCH(2,1/(AW1660:BH1660&lt;&gt;""),1)-1),""))</f>
        <v>0</v>
      </c>
      <c r="BK1660" s="59">
        <f t="shared" si="1930"/>
        <v>1</v>
      </c>
      <c r="BL1660" s="59" cm="1">
        <f t="array" ref="BL1660">IFERROR(SUM(AW1660:INDEX(AW1660:BH1660, MATCH(2, 1/(AW1660:BH1660&lt;&gt;""), 1) - 1)),0)</f>
        <v>0</v>
      </c>
      <c r="BM1660" s="55" cm="1">
        <f t="array" ref="BM1660">IFERROR(
   INDEX($AW$1:$BH$1,
      _xlfn.AGGREGATE(14, 6, COLUMN($AW$1:$BH$1)/(AW1660:BH1660&lt;&gt;""), 2) - COLUMN($AW$1) + 1
   ),
"")</f>
        <v>46082</v>
      </c>
      <c r="BN1660" s="55" cm="1">
        <f t="array" ref="BN1660">IFERROR(INDEX($AW$1:$BH$1,1,MATCH(2,1/(AW1660:BH1660&lt;&gt;""))),"")</f>
        <v>46113</v>
      </c>
      <c r="BO1660" s="53">
        <f ca="1">IFERROR(_xlfn.XLOOKUP(F1660,Apuração!A:A,Apuração!C:C)/_xlfn.XLOOKUP(F1660,Apuração!A:A,Apuração!B:B),0)</f>
        <v>0.22222222222222221</v>
      </c>
      <c r="BP1660" s="53">
        <f ca="1">IFERROR(_xlfn.XLOOKUP(F1660,Apuração!A:A,Apuração!D:D)/_xlfn.XLOOKUP(F1660,Apuração!A:A,Apuração!B:B),0)</f>
        <v>0.1111111111111111</v>
      </c>
      <c r="BQ1660" s="53">
        <f ca="1">IF(BK1660&gt;=BO1660,0,_xlfn.XLOOKUP(F1660,Apuração!A:A,Apuração!B:B)*(BO1660 + (1/_xlfn.XLOOKUP(F1660,Apuração!A:A,Apuração!B:B)) - BK1660))</f>
        <v>0</v>
      </c>
      <c r="BR1660" s="85">
        <f t="shared" ca="1" si="1931"/>
        <v>0</v>
      </c>
      <c r="BS1660" s="53">
        <f ca="1">IFERROR((_xlfn.XLOOKUP(F1660,Apuração!A:A,Apuração!C:C)+1)/_xlfn.XLOOKUP(F1660,Apuração!A:A,Apuração!B:B),0)</f>
        <v>0.33333333333333331</v>
      </c>
    </row>
    <row r="1661" spans="1:71" ht="25.95" hidden="1" customHeight="1" x14ac:dyDescent="0.3">
      <c r="A1661" s="70" t="s">
        <v>108</v>
      </c>
      <c r="B1661" s="4" t="s">
        <v>109</v>
      </c>
      <c r="C1661" s="5" t="s">
        <v>214</v>
      </c>
      <c r="D1661" s="5" t="s">
        <v>213</v>
      </c>
      <c r="E1661" s="4" t="s">
        <v>80</v>
      </c>
      <c r="F1661" s="4" t="str" cm="1">
        <f t="array" ref="F1661">_xlfn.IFS(
AG1661 &lt;&gt; "", "Jan-Dez/26",
AH1661 &lt;&gt; "", "Fev-Dez/26",
AI1661 &lt;&gt; "", "Mar-Dez/26", AJ1661 &lt;&gt; "", "Abr-Dez/26",
TRUE, "A partir de Junho"
)</f>
        <v>Abr-Dez/26</v>
      </c>
      <c r="G1661" s="4" t="s">
        <v>37</v>
      </c>
      <c r="H1661" s="7" t="s">
        <v>38</v>
      </c>
      <c r="I1661" s="8" t="s">
        <v>113</v>
      </c>
      <c r="J1661" s="8" t="str" cm="1">
        <f t="array" aca="1" ref="J1661" ca="1">_xlfn.LET(
  _xlpm.actual_value_month, INDEX(T1661:AE1661, MATCH(DATE(YEAR(TODAY()), MONTH(TODAY()), 1), $T$1:$AE$1, 0)),
  IF(_xlpm.actual_value_month &lt;&gt; "",_xlpm.actual_value_month &amp; " ações mensais", "")
)</f>
        <v/>
      </c>
      <c r="K1661" s="8" t="str" cm="1">
        <f t="array" ref="K1661">_xlfn.LET(
    _xlpm.sum_month, SUM(T1661:AE1661),
    IF(_xlpm.sum_month = 0, "", _xlpm.sum_month &amp; " empresas com a prática de controle de telemetria no ano")
)</f>
        <v/>
      </c>
      <c r="L1661" s="9" t="s">
        <v>114</v>
      </c>
      <c r="M1661" s="13">
        <v>1</v>
      </c>
      <c r="N1661" s="5" t="s">
        <v>51</v>
      </c>
      <c r="O1661" s="5" t="s">
        <v>52</v>
      </c>
      <c r="P1661" s="10" t="s">
        <v>44</v>
      </c>
      <c r="Q1661" s="10" t="s">
        <v>44</v>
      </c>
      <c r="R1661" s="11" t="s">
        <v>44</v>
      </c>
      <c r="S1661" s="11" t="s">
        <v>44</v>
      </c>
      <c r="T1661" s="22"/>
      <c r="U1661" s="22"/>
      <c r="V1661" s="22"/>
      <c r="W1661" s="22"/>
      <c r="X1661" s="22"/>
      <c r="Y1661" s="22"/>
      <c r="Z1661" s="22"/>
      <c r="AA1661" s="22"/>
      <c r="AB1661" s="22"/>
      <c r="AC1661" s="22"/>
      <c r="AD1661" s="22"/>
      <c r="AE1661" s="22"/>
      <c r="AG1661" s="71"/>
      <c r="AH1661" s="71"/>
      <c r="AI1661" s="71"/>
      <c r="AJ1661" s="71">
        <v>1</v>
      </c>
      <c r="AK1661" s="71"/>
      <c r="AL1661" s="71"/>
      <c r="AM1661" s="71"/>
      <c r="AN1661" s="71"/>
      <c r="AO1661" s="71"/>
      <c r="AP1661" s="71"/>
      <c r="AQ1661" s="71"/>
      <c r="AR1661" s="71"/>
      <c r="AS1661" s="94">
        <f t="shared" ca="1" si="1923"/>
        <v>0</v>
      </c>
      <c r="AT1661" s="95">
        <f t="shared" si="1924"/>
        <v>1</v>
      </c>
      <c r="AU1661" s="97">
        <f t="shared" si="1925"/>
        <v>1</v>
      </c>
      <c r="AW1661" s="83">
        <f t="shared" si="1926"/>
        <v>0</v>
      </c>
      <c r="AX1661" s="83">
        <f t="shared" si="1927"/>
        <v>0</v>
      </c>
      <c r="AY1661" s="83">
        <f t="shared" si="1928"/>
        <v>0</v>
      </c>
      <c r="AZ1661" s="83">
        <f t="shared" si="1929"/>
        <v>1</v>
      </c>
      <c r="BA1661" s="52"/>
      <c r="BB1661" s="52"/>
      <c r="BC1661" s="52"/>
      <c r="BD1661" s="52"/>
      <c r="BE1661" s="52"/>
      <c r="BF1661" s="52"/>
      <c r="BG1661" s="52"/>
      <c r="BH1661" s="52"/>
      <c r="BI1661" s="68" cm="1">
        <f t="array" ref="BI1661">IFERROR(INDEX(AW1661:BH1661,1,MATCH(2,1/(AW1661:BH1661&lt;&gt;""))),"")</f>
        <v>1</v>
      </c>
      <c r="BJ1661" s="68" cm="1">
        <f t="array" ref="BJ1661">IF(BM1661 = "", "",IFERROR(INDEX(AW1661:BH1661,1,MATCH(2,1/(AW1661:BH1661&lt;&gt;""),1)-1),""))</f>
        <v>0</v>
      </c>
      <c r="BK1661" s="59">
        <f t="shared" si="1930"/>
        <v>1</v>
      </c>
      <c r="BL1661" s="59" cm="1">
        <f t="array" ref="BL1661">IFERROR(SUM(AW1661:INDEX(AW1661:BH1661, MATCH(2, 1/(AW1661:BH1661&lt;&gt;""), 1) - 1)),0)</f>
        <v>0</v>
      </c>
      <c r="BM1661" s="55" cm="1">
        <f t="array" ref="BM1661">IFERROR(
   INDEX($AW$1:$BH$1,
      _xlfn.AGGREGATE(14, 6, COLUMN($AW$1:$BH$1)/(AW1661:BH1661&lt;&gt;""), 2) - COLUMN($AW$1) + 1
   ),
"")</f>
        <v>46082</v>
      </c>
      <c r="BN1661" s="55" cm="1">
        <f t="array" ref="BN1661">IFERROR(INDEX($AW$1:$BH$1,1,MATCH(2,1/(AW1661:BH1661&lt;&gt;""))),"")</f>
        <v>46113</v>
      </c>
      <c r="BO1661" s="53">
        <f ca="1">IFERROR(_xlfn.XLOOKUP(F1661,Apuração!A:A,Apuração!C:C)/_xlfn.XLOOKUP(F1661,Apuração!A:A,Apuração!B:B),0)</f>
        <v>0.22222222222222221</v>
      </c>
      <c r="BP1661" s="53">
        <f ca="1">IFERROR(_xlfn.XLOOKUP(F1661,Apuração!A:A,Apuração!D:D)/_xlfn.XLOOKUP(F1661,Apuração!A:A,Apuração!B:B),0)</f>
        <v>0.1111111111111111</v>
      </c>
      <c r="BQ1661" s="53">
        <f ca="1">IF(BK1661&gt;=BO1661,0,_xlfn.XLOOKUP(F1661,Apuração!A:A,Apuração!B:B)*(BO1661 + (1/_xlfn.XLOOKUP(F1661,Apuração!A:A,Apuração!B:B)) - BK1661))</f>
        <v>0</v>
      </c>
      <c r="BR1661" s="85">
        <f t="shared" ca="1" si="1931"/>
        <v>0</v>
      </c>
      <c r="BS1661" s="53">
        <f ca="1">IFERROR((_xlfn.XLOOKUP(F1661,Apuração!A:A,Apuração!C:C)+1)/_xlfn.XLOOKUP(F1661,Apuração!A:A,Apuração!B:B),0)</f>
        <v>0.33333333333333331</v>
      </c>
    </row>
    <row r="1662" spans="1:71" ht="25.95" hidden="1" customHeight="1" x14ac:dyDescent="0.3">
      <c r="A1662" s="41" t="s">
        <v>108</v>
      </c>
      <c r="B1662" s="4" t="s">
        <v>109</v>
      </c>
      <c r="C1662" s="5" t="s">
        <v>214</v>
      </c>
      <c r="D1662" s="5" t="s">
        <v>36</v>
      </c>
      <c r="E1662" s="4" t="s">
        <v>80</v>
      </c>
      <c r="F1662" s="4" t="str" cm="1">
        <f t="array" ref="F1662">_xlfn.IFS(
AG1662 &lt;&gt; "", "Jan-Dez/26",
AH1662 &lt;&gt; "", "Fev-Dez/26",
AI1662 &lt;&gt; "", "Mar-Dez/26", AJ1662 &lt;&gt; "", "Abr-Dez/26",
TRUE, "A partir de Junho"
)</f>
        <v>Jan-Dez/26</v>
      </c>
      <c r="G1662" s="4" t="s">
        <v>37</v>
      </c>
      <c r="H1662" s="7" t="s">
        <v>38</v>
      </c>
      <c r="I1662" s="4" t="s">
        <v>115</v>
      </c>
      <c r="J1662" s="8" t="str" cm="1">
        <f t="array" aca="1" ref="J1662" ca="1">_xlfn.LET(
  _xlpm.actual_value_month, INDEX(T1662:AE1662, MATCH(DATE(YEAR(TODAY()), MONTH(TODAY()), 1), $T$1:$AE$1, 0)),
  IF(_xlpm.actual_value_month &lt;&gt; "",_xlpm.actual_value_month &amp; " redução de notificações mensais", "")
)</f>
        <v>1459 redução de notificações mensais</v>
      </c>
      <c r="K1662" s="8" t="str" cm="1">
        <f t="array" ref="K1662">_xlfn.LET(
    _xlpm.sum_month, SUM(T1662:AE1662),
    IF(_xlpm.sum_month = 0, "", _xlpm.sum_month &amp; " taxa de redução das notificações de excesso de velocidade no ano")
)</f>
        <v>13751 taxa de redução das notificações de excesso de velocidade no ano</v>
      </c>
      <c r="L1662" s="4" t="s">
        <v>116</v>
      </c>
      <c r="M1662" s="13">
        <v>1</v>
      </c>
      <c r="N1662" s="45" t="s">
        <v>42</v>
      </c>
      <c r="O1662" s="5" t="s">
        <v>43</v>
      </c>
      <c r="P1662" s="10" t="s">
        <v>44</v>
      </c>
      <c r="Q1662" s="10" t="s">
        <v>44</v>
      </c>
      <c r="R1662" s="11" t="s">
        <v>44</v>
      </c>
      <c r="S1662" s="11" t="s">
        <v>44</v>
      </c>
      <c r="T1662" s="22">
        <v>183</v>
      </c>
      <c r="U1662" s="22">
        <v>201</v>
      </c>
      <c r="V1662" s="22">
        <v>236</v>
      </c>
      <c r="W1662" s="22">
        <v>1459</v>
      </c>
      <c r="X1662" s="22">
        <v>1459</v>
      </c>
      <c r="Y1662" s="22">
        <v>1459</v>
      </c>
      <c r="Z1662" s="22">
        <v>1459</v>
      </c>
      <c r="AA1662" s="22">
        <v>1459</v>
      </c>
      <c r="AB1662" s="22">
        <v>1459</v>
      </c>
      <c r="AC1662" s="22">
        <v>1459</v>
      </c>
      <c r="AD1662" s="22">
        <v>1459</v>
      </c>
      <c r="AE1662" s="22">
        <v>1459</v>
      </c>
      <c r="AG1662" s="71">
        <v>183</v>
      </c>
      <c r="AH1662" s="71">
        <v>201</v>
      </c>
      <c r="AI1662" s="71">
        <v>236</v>
      </c>
      <c r="AJ1662" s="71">
        <v>1170</v>
      </c>
      <c r="AK1662" s="71"/>
      <c r="AL1662" s="71"/>
      <c r="AM1662" s="71"/>
      <c r="AN1662" s="71"/>
      <c r="AO1662" s="71"/>
      <c r="AP1662" s="71"/>
      <c r="AQ1662" s="71"/>
      <c r="AR1662" s="71"/>
      <c r="AS1662" s="94">
        <f ca="1">IF(MONTH(TODAY())=3,SUM(T1662:U1662),IF(MONTH(TODAY())=4,SUM(T1662:V1662),IF(MONTH(TODAY())=5,SUM(T1662:W1662),IF(MONTH(TODAY())=6,SUM(T1662:X1662),IF(MONTH(TODAY())=7,SUM(T1662:Y1662),IF(MONTH(TODAY())=8,SUM(T1662:Z1662),IF(MONTH(TODAY())=9,SUM(T1662:AA1662),IF(MONTH(TODAY())=10,SUM(T1662:AB1662),IF(MONTH(TODAY())=11,SUM(T1662:AC1662),IF(MONTH(TODAY())=12,SUM(T1662:AD1662),IF(MONTH(TODAY())=1,SUM(T1662:AE1662),T1662)))))))))))</f>
        <v>3538</v>
      </c>
      <c r="AT1662" s="95">
        <f>SUM(IF(AW1662&lt;1.15,AG1662,1.15*T1662),IF(AX1662&lt;1.15,AH1662,1.15*U1662),IF(AY1662&lt;1.15,AI1662,1.15*V1662),IF(AZ1662&lt;1.15,AJ1662,1.15*W1662),IF(BA1662&lt;1.15,AK1662,1.15*X1662),IF(BB1662&lt;1.15,AL1662,1.15*Y1662),IF(BC1662&lt;1.15,AM1662,1.15*Z1662),IF(BD1662&lt;1.15,AN1662,1.15*AA1662),IF(BE1662&lt;1.15,AO1662,1.15*AB1662),IF(BF1662&lt;1.15,AP1662,1.15*AC1662),IF(BG1662&lt;1.15,AQ1662,1.15*AD1662),IF(BH1662&lt;1.15,AR1662,1.15*AE1662))</f>
        <v>1790</v>
      </c>
      <c r="AU1662" s="97">
        <f>SUM(AG1662:AR1662)</f>
        <v>1790</v>
      </c>
      <c r="AW1662" s="51">
        <f>IF(ISBLANK(AG1662),0,IF(1+((AG1662-T1662)/T1662)&gt;=1, 1-((AG1662-T1662)/AG1662),
IF(1+((AG1662-T1662)/T1662)&lt;=0,1.15,IF(1+((AG1662-T1662)/T1662)&lt;=0.33,1.1,
IF(1+((AG1662-T1662)/T1662)&lt;=0.66,1.05,
IF(AG1662&lt;=T1662,1))))))</f>
        <v>1</v>
      </c>
      <c r="AX1662" s="51">
        <f>IF(ISBLANK(AH1662),0,IF(1+((AH1662-U1662)/U1662)&gt;=1, 1-((AH1662-U1662)/AH1662),
IF(1+((AH1662-U1662)/U1662)&lt;=0,1.15,IF(1+((AH1662-U1662)/U1662)&lt;=0.33,1.1,
IF(1+((AH1662-U1662)/U1662)&lt;=0.66,1.05,
IF(AH1662&lt;=U1662,1))))))</f>
        <v>1</v>
      </c>
      <c r="AY1662" s="51">
        <f>IF(ISBLANK(AI1662),0,IF(1+((AI1662-V1662)/V1662)&gt;=1, 1-((AI1662-V1662)/AI1662),
IF(1+((AI1662-V1662)/V1662)&lt;=0,1.15,IF(1+((AI1662-V1662)/V1662)&lt;=0.33,1.1,
IF(1+((AI1662-V1662)/V1662)&lt;=0.66,1.05,
IF(AI1662&lt;=V1662,1))))))</f>
        <v>1</v>
      </c>
      <c r="AZ1662" s="51">
        <f>IF(ISBLANK(AJ1662),0,IF(1+((AJ1662-W1662)/W1662)&gt;=1, 1-((AJ1662-W1662)/AJ1662),
IF(1+((AJ1662-W1662)/W1662)&lt;=0,1.15,IF(1+((AJ1662-W1662)/W1662)&lt;=0.33,1.1,
IF(1+((AJ1662-W1662)/W1662)&lt;=0.66,1.05,
IF(AJ1662&lt;=W1662,1))))))</f>
        <v>1</v>
      </c>
      <c r="BA1662" s="51"/>
      <c r="BB1662" s="51"/>
      <c r="BC1662" s="51"/>
      <c r="BD1662" s="51"/>
      <c r="BE1662" s="51"/>
      <c r="BF1662" s="51"/>
      <c r="BG1662" s="51"/>
      <c r="BH1662" s="51"/>
      <c r="BI1662" s="80" cm="1">
        <f t="array" ref="BI1662">IFERROR(INDEX(AW1662:BH1662,1,MATCH(2,1/(AW1662:BH1662&lt;&gt;""))),"")</f>
        <v>1</v>
      </c>
      <c r="BJ1662" s="68" cm="1">
        <f t="array" ref="BJ1662">IF(BM1662 = "", "",IFERROR(INDEX(AW1662:BH1662,1,MATCH(2,1/(AW1662:BH1662&lt;&gt;""),1)-1),""))</f>
        <v>1</v>
      </c>
      <c r="BK1662" s="58">
        <f>IF((IF(AW1662&gt;=115%,115%,AW1662) + IF(AX1662&gt;=115%,115%,AX1662) + IF(AY1662&gt;=115%,115%,AY1662) + (IF(AZ1662&gt;=115%,115%,AZ1662) + IF(BA1662&gt;=115%,115%,BA1662) + IF(BB1662&gt;=115%,115%,BB1662) + IF(BC1662&gt;=115%,115%,BC1662) + IF(BD1662&gt;=115%,115%,BD1662) + IF(BE1662&gt;=115%,115%,BE1662) + IF(BF1662&gt;=115%,115%,BF1662) + IF(BG1662&gt;=115%,115%,BG1662) + IF(BH1662&gt;=115%,115%,BH1662)))/_xlfn.XLOOKUP(F1662,Apuração!A:A,Apuração!B:B)&gt;=1.15,1.15,((IF(AZ1662&gt;=115%,115%,AZ1662) + IF(AX1662&gt;=115%,115%,AX1662) + IF(AY1662&gt;=115%,115%,AY1662) + (IF(AW1662&gt;=115%,115%,AW1662) + IF(BA1662&gt;=115%,115%,BA1662) + IF(BB1662&gt;=115%,115%,BB1662) + IF(BC1662&gt;=115%,115%,BC1662) + IF(BD1662&gt;=115%,115%,BD1662) + IF(BE1662&gt;=115%,115%,BE1662) + IF(BF1662&gt;=115%,115%,BF1662) + IF(BG1662&gt;=115%,115%,BG1662) + IF(BH1662&gt;=115%,115%,BH1662)))/_xlfn.XLOOKUP(F1662,Apuração!A:A,Apuração!B:B)))</f>
        <v>0.33333333333333331</v>
      </c>
      <c r="BL1662" s="58" cm="1">
        <f t="array" aca="1" ref="BL1662" ca="1">IF(SUM(IFERROR(IF(INDEX(AW1662:INDEX(AW1662:BH1662, MATCH(2, 1/(AW1662:BH1662&lt;&gt;""), 1)-1), ROW(INDIRECT("1:" &amp; MATCH(2, 1/(AW1662:BH1662&lt;&gt;""), 1)-1))) &gt;= 115%, 115%, INDEX(AW1662:INDEX(AW1662:BH1662, MATCH(2, 1/(AW1662:BH1662&lt;&gt;""), 1)-1), ROW(INDIRECT("1:" &amp; MATCH(2, 1/(AW1662:BH1662&lt;&gt;""), 1)-1)))), 0))/_xlfn.XLOOKUP(F1662,Apuração!A:A,Apuração!B:B)&gt;=1.15,1.15,SUM(IFERROR(IF(INDEX(AW1662:INDEX(AW1662:BH1662, MATCH(2, 1/(AW1662:BH1662&lt;&gt;""), 1)-1), ROW(INDIRECT("1:" &amp; MATCH(2, 1/(AW1662:BH1662&lt;&gt;""), 1)-1))) &gt;= 115%, 115%, INDEX(AW1662:INDEX(AW1662:BH1662, MATCH(2, 1/(AW1662:BH1662&lt;&gt;""), 1)-1), ROW(INDIRECT("1:" &amp; MATCH(2, 1/(AW1662:BH1662&lt;&gt;""), 1)-1)))), 0))/_xlfn.XLOOKUP(F1662,Apuração!A:A,Apuração!B:B))</f>
        <v>0.25</v>
      </c>
      <c r="BM1662" s="55" cm="1">
        <f t="array" ref="BM1662">IFERROR(
   INDEX($AW$1:$BH$1,
      _xlfn.AGGREGATE(14, 6, COLUMN($AW$1:$BH$1)/(AW1662:BH1662&lt;&gt;""), 2) - COLUMN($AW$1) + 1
   ),
"")</f>
        <v>46082</v>
      </c>
      <c r="BN1662" s="55" cm="1">
        <f t="array" ref="BN1662">IFERROR(INDEX($AW$1:$BH$1,1,MATCH(2,1/(AW1662:BH1662&lt;&gt;""))),"")</f>
        <v>46113</v>
      </c>
      <c r="BO1662" s="53">
        <f ca="1">IFERROR(_xlfn.XLOOKUP(F1662,Apuração!A:A,Apuração!C:C)/_xlfn.XLOOKUP(F1662,Apuração!A:A,Apuração!B:B),0)</f>
        <v>0.41666666666666669</v>
      </c>
      <c r="BP1662" s="53">
        <f ca="1">IFERROR(_xlfn.XLOOKUP(F1662,Apuração!A:A,Apuração!D:D)/_xlfn.XLOOKUP(F1662,Apuração!A:A,Apuração!B:B),0)</f>
        <v>0.33333333333333331</v>
      </c>
      <c r="BQ1662" s="53">
        <f ca="1">IF(BK1662&gt;=BO1662,0,_xlfn.XLOOKUP(F1662,Apuração!A:A,Apuração!B:B)*(BO1662 + (1/_xlfn.XLOOKUP(F1662,Apuração!A:A,Apuração!B:B)) - BK1662))</f>
        <v>2</v>
      </c>
      <c r="BR1662" s="85">
        <f ca="1">IF(BQ1662=0,0,BQ1662*Z1662)</f>
        <v>2918</v>
      </c>
      <c r="BS1662" s="53">
        <f ca="1">IFERROR((_xlfn.XLOOKUP(F1662,Apuração!A:A,Apuração!C:C)+1)/_xlfn.XLOOKUP(F1662,Apuração!A:A,Apuração!B:B),0)</f>
        <v>0.5</v>
      </c>
    </row>
    <row r="1663" spans="1:71" ht="25.95" hidden="1" customHeight="1" x14ac:dyDescent="0.3">
      <c r="A1663" s="41" t="s">
        <v>108</v>
      </c>
      <c r="B1663" s="4" t="s">
        <v>109</v>
      </c>
      <c r="C1663" s="5" t="s">
        <v>214</v>
      </c>
      <c r="D1663" s="5" t="s">
        <v>210</v>
      </c>
      <c r="E1663" s="4" t="s">
        <v>80</v>
      </c>
      <c r="F1663" s="4" t="str" cm="1">
        <f t="array" ref="F1663">_xlfn.IFS(
AG1663 &lt;&gt; "", "Jan-Dez/26",
AH1663 &lt;&gt; "", "Fev-Dez/26",
AI1663 &lt;&gt; "", "Mar-Dez/26", AJ1663 &lt;&gt; "", "Abr-Dez/26",
TRUE, "A partir de Junho"
)</f>
        <v>Abr-Dez/26</v>
      </c>
      <c r="G1663" s="4" t="s">
        <v>37</v>
      </c>
      <c r="H1663" s="7" t="s">
        <v>38</v>
      </c>
      <c r="I1663" s="4" t="s">
        <v>115</v>
      </c>
      <c r="J1663" s="8" t="str" cm="1">
        <f t="array" aca="1" ref="J1663" ca="1">_xlfn.LET(
  _xlpm.actual_value_month, INDEX(T1663:AE1663, MATCH(DATE(YEAR(TODAY()), MONTH(TODAY()), 1), $T$1:$AE$1, 0)),
  IF(_xlpm.actual_value_month &lt;&gt; "",_xlpm.actual_value_month &amp; " redução de notificações mensais", "")
)</f>
        <v>292 redução de notificações mensais</v>
      </c>
      <c r="K1663" s="8" t="str" cm="1">
        <f t="array" ref="K1663">_xlfn.LET(
    _xlpm.sum_month, SUM(T1663:AE1663),
    IF(_xlpm.sum_month = 0, "", _xlpm.sum_month &amp; " taxa de redução das notificações de excesso de velocidade no ano")
)</f>
        <v>2628 taxa de redução das notificações de excesso de velocidade no ano</v>
      </c>
      <c r="L1663" s="4" t="s">
        <v>116</v>
      </c>
      <c r="M1663" s="13">
        <v>1</v>
      </c>
      <c r="N1663" s="45" t="s">
        <v>42</v>
      </c>
      <c r="O1663" s="5" t="s">
        <v>43</v>
      </c>
      <c r="P1663" s="10" t="s">
        <v>44</v>
      </c>
      <c r="Q1663" s="10" t="s">
        <v>44</v>
      </c>
      <c r="R1663" s="11" t="s">
        <v>44</v>
      </c>
      <c r="S1663" s="11" t="s">
        <v>44</v>
      </c>
      <c r="T1663" s="22"/>
      <c r="U1663" s="22"/>
      <c r="V1663" s="22"/>
      <c r="W1663" s="143">
        <v>292</v>
      </c>
      <c r="X1663" s="143">
        <v>292</v>
      </c>
      <c r="Y1663" s="143">
        <v>292</v>
      </c>
      <c r="Z1663" s="143">
        <v>292</v>
      </c>
      <c r="AA1663" s="143">
        <v>292</v>
      </c>
      <c r="AB1663" s="143">
        <v>292</v>
      </c>
      <c r="AC1663" s="143">
        <v>292</v>
      </c>
      <c r="AD1663" s="143">
        <v>292</v>
      </c>
      <c r="AE1663" s="143">
        <v>292</v>
      </c>
      <c r="AG1663" s="71"/>
      <c r="AH1663" s="71"/>
      <c r="AI1663" s="71"/>
      <c r="AJ1663" s="71">
        <v>94</v>
      </c>
      <c r="AK1663" s="71"/>
      <c r="AL1663" s="71"/>
      <c r="AM1663" s="71"/>
      <c r="AN1663" s="71"/>
      <c r="AO1663" s="71"/>
      <c r="AP1663" s="71"/>
      <c r="AQ1663" s="71"/>
      <c r="AR1663" s="71"/>
      <c r="AS1663" s="94">
        <f t="shared" ref="AS1663:AS1667" ca="1" si="1932">IF(MONTH(TODAY())=3,SUM(T1663:U1663),IF(MONTH(TODAY())=4,SUM(T1663:V1663),IF(MONTH(TODAY())=5,SUM(T1663:W1663),IF(MONTH(TODAY())=6,SUM(T1663:X1663),IF(MONTH(TODAY())=7,SUM(T1663:Y1663),IF(MONTH(TODAY())=8,SUM(T1663:Z1663),IF(MONTH(TODAY())=9,SUM(T1663:AA1663),IF(MONTH(TODAY())=10,SUM(T1663:AB1663),IF(MONTH(TODAY())=11,SUM(T1663:AC1663),IF(MONTH(TODAY())=12,SUM(T1663:AD1663),IF(MONTH(TODAY())=1,SUM(T1663:AE1663),T1663)))))))))))</f>
        <v>584</v>
      </c>
      <c r="AT1663" s="95">
        <f t="shared" ref="AT1663:AT1667" si="1933">SUM(IF(AW1663&lt;1.15,AG1663,1.15*T1663),IF(AX1663&lt;1.15,AH1663,1.15*U1663),IF(AY1663&lt;1.15,AI1663,1.15*V1663),IF(AZ1663&lt;1.15,AJ1663,1.15*W1663),IF(BA1663&lt;1.15,AK1663,1.15*X1663),IF(BB1663&lt;1.15,AL1663,1.15*Y1663),IF(BC1663&lt;1.15,AM1663,1.15*Z1663),IF(BD1663&lt;1.15,AN1663,1.15*AA1663),IF(BE1663&lt;1.15,AO1663,1.15*AB1663),IF(BF1663&lt;1.15,AP1663,1.15*AC1663),IF(BG1663&lt;1.15,AQ1663,1.15*AD1663),IF(BH1663&lt;1.15,AR1663,1.15*AE1663))</f>
        <v>94</v>
      </c>
      <c r="AU1663" s="97">
        <f t="shared" ref="AU1663:AU1667" si="1934">SUM(AG1663:AR1663)</f>
        <v>94</v>
      </c>
      <c r="AW1663" s="51">
        <f t="shared" ref="AW1663:AW1667" si="1935">IF(ISBLANK(AG1663),0,IF(1+((AG1663-T1663)/T1663)&gt;=1, 1-((AG1663-T1663)/AG1663),
IF(1+((AG1663-T1663)/T1663)&lt;=0,1.15,IF(1+((AG1663-T1663)/T1663)&lt;=0.33,1.1,
IF(1+((AG1663-T1663)/T1663)&lt;=0.66,1.05,
IF(AG1663&lt;=T1663,1))))))</f>
        <v>0</v>
      </c>
      <c r="AX1663" s="51">
        <f t="shared" ref="AX1663:AX1667" si="1936">IF(ISBLANK(AH1663),0,IF(1+((AH1663-U1663)/U1663)&gt;=1, 1-((AH1663-U1663)/AH1663),
IF(1+((AH1663-U1663)/U1663)&lt;=0,1.15,IF(1+((AH1663-U1663)/U1663)&lt;=0.33,1.1,
IF(1+((AH1663-U1663)/U1663)&lt;=0.66,1.05,
IF(AH1663&lt;=U1663,1))))))</f>
        <v>0</v>
      </c>
      <c r="AY1663" s="51">
        <f t="shared" ref="AY1663:AY1667" si="1937">IF(ISBLANK(AI1663),0,IF(1+((AI1663-V1663)/V1663)&gt;=1, 1-((AI1663-V1663)/AI1663),
IF(1+((AI1663-V1663)/V1663)&lt;=0,1.15,IF(1+((AI1663-V1663)/V1663)&lt;=0.33,1.1,
IF(1+((AI1663-V1663)/V1663)&lt;=0.66,1.05,
IF(AI1663&lt;=V1663,1))))))</f>
        <v>0</v>
      </c>
      <c r="AZ1663" s="51">
        <f t="shared" ref="AZ1663:AZ1667" si="1938">IF(ISBLANK(AJ1663),0,IF(1+((AJ1663-W1663)/W1663)&gt;=1, 1-((AJ1663-W1663)/AJ1663),
IF(1+((AJ1663-W1663)/W1663)&lt;=0,1.15,IF(1+((AJ1663-W1663)/W1663)&lt;=0.33,1.1,
IF(1+((AJ1663-W1663)/W1663)&lt;=0.66,1.05,
IF(AJ1663&lt;=W1663,1))))))</f>
        <v>1.1000000000000001</v>
      </c>
      <c r="BA1663" s="51"/>
      <c r="BB1663" s="51"/>
      <c r="BC1663" s="51"/>
      <c r="BD1663" s="51"/>
      <c r="BE1663" s="51"/>
      <c r="BF1663" s="51"/>
      <c r="BG1663" s="51"/>
      <c r="BH1663" s="51"/>
      <c r="BI1663" s="80" cm="1">
        <f t="array" ref="BI1663">IFERROR(INDEX(AW1663:BH1663,1,MATCH(2,1/(AW1663:BH1663&lt;&gt;""))),"")</f>
        <v>1.1000000000000001</v>
      </c>
      <c r="BJ1663" s="68" cm="1">
        <f t="array" ref="BJ1663">IF(BM1663 = "", "",IFERROR(INDEX(AW1663:BH1663,1,MATCH(2,1/(AW1663:BH1663&lt;&gt;""),1)-1),""))</f>
        <v>0</v>
      </c>
      <c r="BK1663" s="58">
        <f>IF((IF(AW1663&gt;=115%,115%,AW1663) + IF(AX1663&gt;=115%,115%,AX1663) + IF(AY1663&gt;=115%,115%,AY1663) + (IF(AZ1663&gt;=115%,115%,AZ1663) + IF(BA1663&gt;=115%,115%,BA1663) + IF(BB1663&gt;=115%,115%,BB1663) + IF(BC1663&gt;=115%,115%,BC1663) + IF(BD1663&gt;=115%,115%,BD1663) + IF(BE1663&gt;=115%,115%,BE1663) + IF(BF1663&gt;=115%,115%,BF1663) + IF(BG1663&gt;=115%,115%,BG1663) + IF(BH1663&gt;=115%,115%,BH1663)))/_xlfn.XLOOKUP(F1663,Apuração!A:A,Apuração!B:B)&gt;=1.15,1.15,((IF(AZ1663&gt;=115%,115%,AZ1663) + IF(AX1663&gt;=115%,115%,AX1663) + IF(AY1663&gt;=115%,115%,AY1663) + (IF(AW1663&gt;=115%,115%,AW1663) + IF(BA1663&gt;=115%,115%,BA1663) + IF(BB1663&gt;=115%,115%,BB1663) + IF(BC1663&gt;=115%,115%,BC1663) + IF(BD1663&gt;=115%,115%,BD1663) + IF(BE1663&gt;=115%,115%,BE1663) + IF(BF1663&gt;=115%,115%,BF1663) + IF(BG1663&gt;=115%,115%,BG1663) + IF(BH1663&gt;=115%,115%,BH1663)))/_xlfn.XLOOKUP(F1663,Apuração!A:A,Apuração!B:B)))</f>
        <v>0.12222222222222223</v>
      </c>
      <c r="BL1663" s="58" cm="1">
        <f t="array" aca="1" ref="BL1663" ca="1">IF(SUM(IFERROR(IF(INDEX(AW1663:INDEX(AW1663:BH1663, MATCH(2, 1/(AW1663:BH1663&lt;&gt;""), 1)-1), ROW(INDIRECT("1:" &amp; MATCH(2, 1/(AW1663:BH1663&lt;&gt;""), 1)-1))) &gt;= 115%, 115%, INDEX(AW1663:INDEX(AW1663:BH1663, MATCH(2, 1/(AW1663:BH1663&lt;&gt;""), 1)-1), ROW(INDIRECT("1:" &amp; MATCH(2, 1/(AW1663:BH1663&lt;&gt;""), 1)-1)))), 0))/_xlfn.XLOOKUP(F1663,Apuração!A:A,Apuração!B:B)&gt;=1.15,1.15,SUM(IFERROR(IF(INDEX(AW1663:INDEX(AW1663:BH1663, MATCH(2, 1/(AW1663:BH1663&lt;&gt;""), 1)-1), ROW(INDIRECT("1:" &amp; MATCH(2, 1/(AW1663:BH1663&lt;&gt;""), 1)-1))) &gt;= 115%, 115%, INDEX(AW1663:INDEX(AW1663:BH1663, MATCH(2, 1/(AW1663:BH1663&lt;&gt;""), 1)-1), ROW(INDIRECT("1:" &amp; MATCH(2, 1/(AW1663:BH1663&lt;&gt;""), 1)-1)))), 0))/_xlfn.XLOOKUP(F1663,Apuração!A:A,Apuração!B:B))</f>
        <v>0</v>
      </c>
      <c r="BM1663" s="55" cm="1">
        <f t="array" ref="BM1663">IFERROR(
   INDEX($AW$1:$BH$1,
      _xlfn.AGGREGATE(14, 6, COLUMN($AW$1:$BH$1)/(AW1663:BH1663&lt;&gt;""), 2) - COLUMN($AW$1) + 1
   ),
"")</f>
        <v>46082</v>
      </c>
      <c r="BN1663" s="55" cm="1">
        <f t="array" ref="BN1663">IFERROR(INDEX($AW$1:$BH$1,1,MATCH(2,1/(AW1663:BH1663&lt;&gt;""))),"")</f>
        <v>46113</v>
      </c>
      <c r="BO1663" s="53">
        <f ca="1">IFERROR(_xlfn.XLOOKUP(F1663,Apuração!A:A,Apuração!C:C)/_xlfn.XLOOKUP(F1663,Apuração!A:A,Apuração!B:B),0)</f>
        <v>0.22222222222222221</v>
      </c>
      <c r="BP1663" s="53">
        <f ca="1">IFERROR(_xlfn.XLOOKUP(F1663,Apuração!A:A,Apuração!D:D)/_xlfn.XLOOKUP(F1663,Apuração!A:A,Apuração!B:B),0)</f>
        <v>0.1111111111111111</v>
      </c>
      <c r="BQ1663" s="53">
        <f ca="1">IF(BK1663&gt;=BO1663,0,_xlfn.XLOOKUP(F1663,Apuração!A:A,Apuração!B:B)*(BO1663 + (1/_xlfn.XLOOKUP(F1663,Apuração!A:A,Apuração!B:B)) - BK1663))</f>
        <v>1.8999999999999997</v>
      </c>
      <c r="BR1663" s="85">
        <f t="shared" ref="BR1663:BR1667" ca="1" si="1939">IF(BQ1663=0,0,BQ1663*Z1663)</f>
        <v>554.79999999999995</v>
      </c>
      <c r="BS1663" s="53">
        <f ca="1">IFERROR((_xlfn.XLOOKUP(F1663,Apuração!A:A,Apuração!C:C)+1)/_xlfn.XLOOKUP(F1663,Apuração!A:A,Apuração!B:B),0)</f>
        <v>0.33333333333333331</v>
      </c>
    </row>
    <row r="1664" spans="1:71" ht="25.95" hidden="1" customHeight="1" x14ac:dyDescent="0.3">
      <c r="A1664" s="41" t="s">
        <v>108</v>
      </c>
      <c r="B1664" s="4" t="s">
        <v>109</v>
      </c>
      <c r="C1664" s="5" t="s">
        <v>214</v>
      </c>
      <c r="D1664" s="5" t="s">
        <v>215</v>
      </c>
      <c r="E1664" s="4" t="s">
        <v>80</v>
      </c>
      <c r="F1664" s="4" t="str" cm="1">
        <f t="array" ref="F1664">_xlfn.IFS(
AG1664 &lt;&gt; "", "Jan-Dez/26",
AH1664 &lt;&gt; "", "Fev-Dez/26",
AI1664 &lt;&gt; "", "Mar-Dez/26", AJ1664 &lt;&gt; "", "Abr-Dez/26",
TRUE, "A partir de Junho"
)</f>
        <v>Abr-Dez/26</v>
      </c>
      <c r="G1664" s="4" t="s">
        <v>37</v>
      </c>
      <c r="H1664" s="7" t="s">
        <v>38</v>
      </c>
      <c r="I1664" s="4" t="s">
        <v>115</v>
      </c>
      <c r="J1664" s="8" t="str" cm="1">
        <f t="array" aca="1" ref="J1664" ca="1">_xlfn.LET(
  _xlpm.actual_value_month, INDEX(T1664:AE1664, MATCH(DATE(YEAR(TODAY()), MONTH(TODAY()), 1), $T$1:$AE$1, 0)),
  IF(_xlpm.actual_value_month &lt;&gt; "",_xlpm.actual_value_month &amp; " redução de notificações mensais", "")
)</f>
        <v>292 redução de notificações mensais</v>
      </c>
      <c r="K1664" s="8" t="str" cm="1">
        <f t="array" ref="K1664">_xlfn.LET(
    _xlpm.sum_month, SUM(T1664:AE1664),
    IF(_xlpm.sum_month = 0, "", _xlpm.sum_month &amp; " taxa de redução das notificações de excesso de velocidade no ano")
)</f>
        <v>2628 taxa de redução das notificações de excesso de velocidade no ano</v>
      </c>
      <c r="L1664" s="4" t="s">
        <v>116</v>
      </c>
      <c r="M1664" s="13">
        <v>1</v>
      </c>
      <c r="N1664" s="45" t="s">
        <v>42</v>
      </c>
      <c r="O1664" s="5" t="s">
        <v>43</v>
      </c>
      <c r="P1664" s="10" t="s">
        <v>44</v>
      </c>
      <c r="Q1664" s="10" t="s">
        <v>44</v>
      </c>
      <c r="R1664" s="11" t="s">
        <v>44</v>
      </c>
      <c r="S1664" s="11" t="s">
        <v>44</v>
      </c>
      <c r="T1664" s="22"/>
      <c r="U1664" s="22"/>
      <c r="V1664" s="22"/>
      <c r="W1664" s="143">
        <v>292</v>
      </c>
      <c r="X1664" s="143">
        <v>292</v>
      </c>
      <c r="Y1664" s="143">
        <v>292</v>
      </c>
      <c r="Z1664" s="143">
        <v>292</v>
      </c>
      <c r="AA1664" s="143">
        <v>292</v>
      </c>
      <c r="AB1664" s="143">
        <v>292</v>
      </c>
      <c r="AC1664" s="143">
        <v>292</v>
      </c>
      <c r="AD1664" s="143">
        <v>292</v>
      </c>
      <c r="AE1664" s="143">
        <v>292</v>
      </c>
      <c r="AG1664" s="71"/>
      <c r="AH1664" s="71"/>
      <c r="AI1664" s="71"/>
      <c r="AJ1664" s="71">
        <v>251</v>
      </c>
      <c r="AK1664" s="71"/>
      <c r="AL1664" s="71"/>
      <c r="AM1664" s="71"/>
      <c r="AN1664" s="71"/>
      <c r="AO1664" s="71"/>
      <c r="AP1664" s="71"/>
      <c r="AQ1664" s="71"/>
      <c r="AR1664" s="71"/>
      <c r="AS1664" s="94">
        <f t="shared" ca="1" si="1932"/>
        <v>584</v>
      </c>
      <c r="AT1664" s="95">
        <f t="shared" si="1933"/>
        <v>251</v>
      </c>
      <c r="AU1664" s="97">
        <f t="shared" si="1934"/>
        <v>251</v>
      </c>
      <c r="AW1664" s="51">
        <f t="shared" si="1935"/>
        <v>0</v>
      </c>
      <c r="AX1664" s="51">
        <f t="shared" si="1936"/>
        <v>0</v>
      </c>
      <c r="AY1664" s="51">
        <f t="shared" si="1937"/>
        <v>0</v>
      </c>
      <c r="AZ1664" s="51">
        <f t="shared" si="1938"/>
        <v>1</v>
      </c>
      <c r="BA1664" s="51"/>
      <c r="BB1664" s="51"/>
      <c r="BC1664" s="51"/>
      <c r="BD1664" s="51"/>
      <c r="BE1664" s="51"/>
      <c r="BF1664" s="51"/>
      <c r="BG1664" s="51"/>
      <c r="BH1664" s="51"/>
      <c r="BI1664" s="80" cm="1">
        <f t="array" ref="BI1664">IFERROR(INDEX(AW1664:BH1664,1,MATCH(2,1/(AW1664:BH1664&lt;&gt;""))),"")</f>
        <v>1</v>
      </c>
      <c r="BJ1664" s="68" cm="1">
        <f t="array" ref="BJ1664">IF(BM1664 = "", "",IFERROR(INDEX(AW1664:BH1664,1,MATCH(2,1/(AW1664:BH1664&lt;&gt;""),1)-1),""))</f>
        <v>0</v>
      </c>
      <c r="BK1664" s="58">
        <f>IF((IF(AW1664&gt;=115%,115%,AW1664) + IF(AX1664&gt;=115%,115%,AX1664) + IF(AY1664&gt;=115%,115%,AY1664) + (IF(AZ1664&gt;=115%,115%,AZ1664) + IF(BA1664&gt;=115%,115%,BA1664) + IF(BB1664&gt;=115%,115%,BB1664) + IF(BC1664&gt;=115%,115%,BC1664) + IF(BD1664&gt;=115%,115%,BD1664) + IF(BE1664&gt;=115%,115%,BE1664) + IF(BF1664&gt;=115%,115%,BF1664) + IF(BG1664&gt;=115%,115%,BG1664) + IF(BH1664&gt;=115%,115%,BH1664)))/_xlfn.XLOOKUP(F1664,Apuração!A:A,Apuração!B:B)&gt;=1.15,1.15,((IF(AZ1664&gt;=115%,115%,AZ1664) + IF(AX1664&gt;=115%,115%,AX1664) + IF(AY1664&gt;=115%,115%,AY1664) + (IF(AW1664&gt;=115%,115%,AW1664) + IF(BA1664&gt;=115%,115%,BA1664) + IF(BB1664&gt;=115%,115%,BB1664) + IF(BC1664&gt;=115%,115%,BC1664) + IF(BD1664&gt;=115%,115%,BD1664) + IF(BE1664&gt;=115%,115%,BE1664) + IF(BF1664&gt;=115%,115%,BF1664) + IF(BG1664&gt;=115%,115%,BG1664) + IF(BH1664&gt;=115%,115%,BH1664)))/_xlfn.XLOOKUP(F1664,Apuração!A:A,Apuração!B:B)))</f>
        <v>0.1111111111111111</v>
      </c>
      <c r="BL1664" s="58" cm="1">
        <f t="array" aca="1" ref="BL1664" ca="1">IF(SUM(IFERROR(IF(INDEX(AW1664:INDEX(AW1664:BH1664, MATCH(2, 1/(AW1664:BH1664&lt;&gt;""), 1)-1), ROW(INDIRECT("1:" &amp; MATCH(2, 1/(AW1664:BH1664&lt;&gt;""), 1)-1))) &gt;= 115%, 115%, INDEX(AW1664:INDEX(AW1664:BH1664, MATCH(2, 1/(AW1664:BH1664&lt;&gt;""), 1)-1), ROW(INDIRECT("1:" &amp; MATCH(2, 1/(AW1664:BH1664&lt;&gt;""), 1)-1)))), 0))/_xlfn.XLOOKUP(F1664,Apuração!A:A,Apuração!B:B)&gt;=1.15,1.15,SUM(IFERROR(IF(INDEX(AW1664:INDEX(AW1664:BH1664, MATCH(2, 1/(AW1664:BH1664&lt;&gt;""), 1)-1), ROW(INDIRECT("1:" &amp; MATCH(2, 1/(AW1664:BH1664&lt;&gt;""), 1)-1))) &gt;= 115%, 115%, INDEX(AW1664:INDEX(AW1664:BH1664, MATCH(2, 1/(AW1664:BH1664&lt;&gt;""), 1)-1), ROW(INDIRECT("1:" &amp; MATCH(2, 1/(AW1664:BH1664&lt;&gt;""), 1)-1)))), 0))/_xlfn.XLOOKUP(F1664,Apuração!A:A,Apuração!B:B))</f>
        <v>0</v>
      </c>
      <c r="BM1664" s="55" cm="1">
        <f t="array" ref="BM1664">IFERROR(
   INDEX($AW$1:$BH$1,
      _xlfn.AGGREGATE(14, 6, COLUMN($AW$1:$BH$1)/(AW1664:BH1664&lt;&gt;""), 2) - COLUMN($AW$1) + 1
   ),
"")</f>
        <v>46082</v>
      </c>
      <c r="BN1664" s="55" cm="1">
        <f t="array" ref="BN1664">IFERROR(INDEX($AW$1:$BH$1,1,MATCH(2,1/(AW1664:BH1664&lt;&gt;""))),"")</f>
        <v>46113</v>
      </c>
      <c r="BO1664" s="53">
        <f ca="1">IFERROR(_xlfn.XLOOKUP(F1664,Apuração!A:A,Apuração!C:C)/_xlfn.XLOOKUP(F1664,Apuração!A:A,Apuração!B:B),0)</f>
        <v>0.22222222222222221</v>
      </c>
      <c r="BP1664" s="53">
        <f ca="1">IFERROR(_xlfn.XLOOKUP(F1664,Apuração!A:A,Apuração!D:D)/_xlfn.XLOOKUP(F1664,Apuração!A:A,Apuração!B:B),0)</f>
        <v>0.1111111111111111</v>
      </c>
      <c r="BQ1664" s="53">
        <f ca="1">IF(BK1664&gt;=BO1664,0,_xlfn.XLOOKUP(F1664,Apuração!A:A,Apuração!B:B)*(BO1664 + (1/_xlfn.XLOOKUP(F1664,Apuração!A:A,Apuração!B:B)) - BK1664))</f>
        <v>2</v>
      </c>
      <c r="BR1664" s="85">
        <f t="shared" ca="1" si="1939"/>
        <v>584</v>
      </c>
      <c r="BS1664" s="53">
        <f ca="1">IFERROR((_xlfn.XLOOKUP(F1664,Apuração!A:A,Apuração!C:C)+1)/_xlfn.XLOOKUP(F1664,Apuração!A:A,Apuração!B:B),0)</f>
        <v>0.33333333333333331</v>
      </c>
    </row>
    <row r="1665" spans="1:71" ht="25.95" hidden="1" customHeight="1" x14ac:dyDescent="0.3">
      <c r="A1665" s="41" t="s">
        <v>108</v>
      </c>
      <c r="B1665" s="4" t="s">
        <v>109</v>
      </c>
      <c r="C1665" s="5" t="s">
        <v>214</v>
      </c>
      <c r="D1665" s="5" t="s">
        <v>212</v>
      </c>
      <c r="E1665" s="4" t="s">
        <v>80</v>
      </c>
      <c r="F1665" s="4" t="str" cm="1">
        <f t="array" ref="F1665">_xlfn.IFS(
AG1665 &lt;&gt; "", "Jan-Dez/26",
AH1665 &lt;&gt; "", "Fev-Dez/26",
AI1665 &lt;&gt; "", "Mar-Dez/26", AJ1665 &lt;&gt; "", "Abr-Dez/26",
TRUE, "A partir de Junho"
)</f>
        <v>Abr-Dez/26</v>
      </c>
      <c r="G1665" s="4" t="s">
        <v>37</v>
      </c>
      <c r="H1665" s="7" t="s">
        <v>38</v>
      </c>
      <c r="I1665" s="4" t="s">
        <v>115</v>
      </c>
      <c r="J1665" s="8" t="str" cm="1">
        <f t="array" aca="1" ref="J1665" ca="1">_xlfn.LET(
  _xlpm.actual_value_month, INDEX(T1665:AE1665, MATCH(DATE(YEAR(TODAY()), MONTH(TODAY()), 1), $T$1:$AE$1, 0)),
  IF(_xlpm.actual_value_month &lt;&gt; "",_xlpm.actual_value_month &amp; " redução de notificações mensais", "")
)</f>
        <v>292 redução de notificações mensais</v>
      </c>
      <c r="K1665" s="8" t="str" cm="1">
        <f t="array" ref="K1665">_xlfn.LET(
    _xlpm.sum_month, SUM(T1665:AE1665),
    IF(_xlpm.sum_month = 0, "", _xlpm.sum_month &amp; " taxa de redução das notificações de excesso de velocidade no ano")
)</f>
        <v>2628 taxa de redução das notificações de excesso de velocidade no ano</v>
      </c>
      <c r="L1665" s="4" t="s">
        <v>116</v>
      </c>
      <c r="M1665" s="13">
        <v>1</v>
      </c>
      <c r="N1665" s="45" t="s">
        <v>42</v>
      </c>
      <c r="O1665" s="5" t="s">
        <v>43</v>
      </c>
      <c r="P1665" s="10" t="s">
        <v>44</v>
      </c>
      <c r="Q1665" s="10" t="s">
        <v>44</v>
      </c>
      <c r="R1665" s="11" t="s">
        <v>44</v>
      </c>
      <c r="S1665" s="11" t="s">
        <v>44</v>
      </c>
      <c r="T1665" s="22"/>
      <c r="U1665" s="22"/>
      <c r="V1665" s="22"/>
      <c r="W1665" s="143">
        <v>292</v>
      </c>
      <c r="X1665" s="143">
        <v>292</v>
      </c>
      <c r="Y1665" s="143">
        <v>292</v>
      </c>
      <c r="Z1665" s="143">
        <v>292</v>
      </c>
      <c r="AA1665" s="143">
        <v>292</v>
      </c>
      <c r="AB1665" s="143">
        <v>292</v>
      </c>
      <c r="AC1665" s="143">
        <v>292</v>
      </c>
      <c r="AD1665" s="143">
        <v>292</v>
      </c>
      <c r="AE1665" s="143">
        <v>292</v>
      </c>
      <c r="AG1665" s="71"/>
      <c r="AH1665" s="71"/>
      <c r="AI1665" s="71"/>
      <c r="AJ1665" s="71">
        <v>475</v>
      </c>
      <c r="AK1665" s="71"/>
      <c r="AL1665" s="71"/>
      <c r="AM1665" s="71"/>
      <c r="AN1665" s="71"/>
      <c r="AO1665" s="71"/>
      <c r="AP1665" s="71"/>
      <c r="AQ1665" s="71"/>
      <c r="AR1665" s="71"/>
      <c r="AS1665" s="94">
        <f t="shared" ca="1" si="1932"/>
        <v>584</v>
      </c>
      <c r="AT1665" s="95">
        <f t="shared" si="1933"/>
        <v>475</v>
      </c>
      <c r="AU1665" s="97">
        <f t="shared" si="1934"/>
        <v>475</v>
      </c>
      <c r="AW1665" s="51">
        <f t="shared" si="1935"/>
        <v>0</v>
      </c>
      <c r="AX1665" s="51">
        <f t="shared" si="1936"/>
        <v>0</v>
      </c>
      <c r="AY1665" s="51">
        <f t="shared" si="1937"/>
        <v>0</v>
      </c>
      <c r="AZ1665" s="51">
        <f t="shared" si="1938"/>
        <v>0.61473684210526314</v>
      </c>
      <c r="BA1665" s="51"/>
      <c r="BB1665" s="51"/>
      <c r="BC1665" s="51"/>
      <c r="BD1665" s="51"/>
      <c r="BE1665" s="51"/>
      <c r="BF1665" s="51"/>
      <c r="BG1665" s="51"/>
      <c r="BH1665" s="51"/>
      <c r="BI1665" s="80" cm="1">
        <f t="array" ref="BI1665">IFERROR(INDEX(AW1665:BH1665,1,MATCH(2,1/(AW1665:BH1665&lt;&gt;""))),"")</f>
        <v>0.61473684210526314</v>
      </c>
      <c r="BJ1665" s="68" cm="1">
        <f t="array" ref="BJ1665">IF(BM1665 = "", "",IFERROR(INDEX(AW1665:BH1665,1,MATCH(2,1/(AW1665:BH1665&lt;&gt;""),1)-1),""))</f>
        <v>0</v>
      </c>
      <c r="BK1665" s="58">
        <f>IF((IF(AW1665&gt;=115%,115%,AW1665) + IF(AX1665&gt;=115%,115%,AX1665) + IF(AY1665&gt;=115%,115%,AY1665) + (IF(AZ1665&gt;=115%,115%,AZ1665) + IF(BA1665&gt;=115%,115%,BA1665) + IF(BB1665&gt;=115%,115%,BB1665) + IF(BC1665&gt;=115%,115%,BC1665) + IF(BD1665&gt;=115%,115%,BD1665) + IF(BE1665&gt;=115%,115%,BE1665) + IF(BF1665&gt;=115%,115%,BF1665) + IF(BG1665&gt;=115%,115%,BG1665) + IF(BH1665&gt;=115%,115%,BH1665)))/_xlfn.XLOOKUP(F1665,Apuração!A:A,Apuração!B:B)&gt;=1.15,1.15,((IF(AZ1665&gt;=115%,115%,AZ1665) + IF(AX1665&gt;=115%,115%,AX1665) + IF(AY1665&gt;=115%,115%,AY1665) + (IF(AW1665&gt;=115%,115%,AW1665) + IF(BA1665&gt;=115%,115%,BA1665) + IF(BB1665&gt;=115%,115%,BB1665) + IF(BC1665&gt;=115%,115%,BC1665) + IF(BD1665&gt;=115%,115%,BD1665) + IF(BE1665&gt;=115%,115%,BE1665) + IF(BF1665&gt;=115%,115%,BF1665) + IF(BG1665&gt;=115%,115%,BG1665) + IF(BH1665&gt;=115%,115%,BH1665)))/_xlfn.XLOOKUP(F1665,Apuração!A:A,Apuração!B:B)))</f>
        <v>6.8304093567251464E-2</v>
      </c>
      <c r="BL1665" s="58" cm="1">
        <f t="array" aca="1" ref="BL1665" ca="1">IF(SUM(IFERROR(IF(INDEX(AW1665:INDEX(AW1665:BH1665, MATCH(2, 1/(AW1665:BH1665&lt;&gt;""), 1)-1), ROW(INDIRECT("1:" &amp; MATCH(2, 1/(AW1665:BH1665&lt;&gt;""), 1)-1))) &gt;= 115%, 115%, INDEX(AW1665:INDEX(AW1665:BH1665, MATCH(2, 1/(AW1665:BH1665&lt;&gt;""), 1)-1), ROW(INDIRECT("1:" &amp; MATCH(2, 1/(AW1665:BH1665&lt;&gt;""), 1)-1)))), 0))/_xlfn.XLOOKUP(F1665,Apuração!A:A,Apuração!B:B)&gt;=1.15,1.15,SUM(IFERROR(IF(INDEX(AW1665:INDEX(AW1665:BH1665, MATCH(2, 1/(AW1665:BH1665&lt;&gt;""), 1)-1), ROW(INDIRECT("1:" &amp; MATCH(2, 1/(AW1665:BH1665&lt;&gt;""), 1)-1))) &gt;= 115%, 115%, INDEX(AW1665:INDEX(AW1665:BH1665, MATCH(2, 1/(AW1665:BH1665&lt;&gt;""), 1)-1), ROW(INDIRECT("1:" &amp; MATCH(2, 1/(AW1665:BH1665&lt;&gt;""), 1)-1)))), 0))/_xlfn.XLOOKUP(F1665,Apuração!A:A,Apuração!B:B))</f>
        <v>0</v>
      </c>
      <c r="BM1665" s="55" cm="1">
        <f t="array" ref="BM1665">IFERROR(
   INDEX($AW$1:$BH$1,
      _xlfn.AGGREGATE(14, 6, COLUMN($AW$1:$BH$1)/(AW1665:BH1665&lt;&gt;""), 2) - COLUMN($AW$1) + 1
   ),
"")</f>
        <v>46082</v>
      </c>
      <c r="BN1665" s="55" cm="1">
        <f t="array" ref="BN1665">IFERROR(INDEX($AW$1:$BH$1,1,MATCH(2,1/(AW1665:BH1665&lt;&gt;""))),"")</f>
        <v>46113</v>
      </c>
      <c r="BO1665" s="53">
        <f ca="1">IFERROR(_xlfn.XLOOKUP(F1665,Apuração!A:A,Apuração!C:C)/_xlfn.XLOOKUP(F1665,Apuração!A:A,Apuração!B:B),0)</f>
        <v>0.22222222222222221</v>
      </c>
      <c r="BP1665" s="53">
        <f ca="1">IFERROR(_xlfn.XLOOKUP(F1665,Apuração!A:A,Apuração!D:D)/_xlfn.XLOOKUP(F1665,Apuração!A:A,Apuração!B:B),0)</f>
        <v>0.1111111111111111</v>
      </c>
      <c r="BQ1665" s="53">
        <f ca="1">IF(BK1665&gt;=BO1665,0,_xlfn.XLOOKUP(F1665,Apuração!A:A,Apuração!B:B)*(BO1665 + (1/_xlfn.XLOOKUP(F1665,Apuração!A:A,Apuração!B:B)) - BK1665))</f>
        <v>2.3852631578947365</v>
      </c>
      <c r="BR1665" s="85">
        <f t="shared" ca="1" si="1939"/>
        <v>696.49684210526311</v>
      </c>
      <c r="BS1665" s="53">
        <f ca="1">IFERROR((_xlfn.XLOOKUP(F1665,Apuração!A:A,Apuração!C:C)+1)/_xlfn.XLOOKUP(F1665,Apuração!A:A,Apuração!B:B),0)</f>
        <v>0.33333333333333331</v>
      </c>
    </row>
    <row r="1666" spans="1:71" ht="25.95" hidden="1" customHeight="1" x14ac:dyDescent="0.3">
      <c r="A1666" s="41" t="s">
        <v>108</v>
      </c>
      <c r="B1666" s="4" t="s">
        <v>109</v>
      </c>
      <c r="C1666" s="5" t="s">
        <v>214</v>
      </c>
      <c r="D1666" s="5" t="s">
        <v>48</v>
      </c>
      <c r="E1666" s="4" t="s">
        <v>80</v>
      </c>
      <c r="F1666" s="4" t="str" cm="1">
        <f t="array" ref="F1666">_xlfn.IFS(
AG1666 &lt;&gt; "", "Jan-Dez/26",
AH1666 &lt;&gt; "", "Fev-Dez/26",
AI1666 &lt;&gt; "", "Mar-Dez/26", AJ1666 &lt;&gt; "", "Abr-Dez/26",
TRUE, "A partir de Junho"
)</f>
        <v>Abr-Dez/26</v>
      </c>
      <c r="G1666" s="4" t="s">
        <v>37</v>
      </c>
      <c r="H1666" s="7" t="s">
        <v>38</v>
      </c>
      <c r="I1666" s="4" t="s">
        <v>115</v>
      </c>
      <c r="J1666" s="8" t="str" cm="1">
        <f t="array" aca="1" ref="J1666" ca="1">_xlfn.LET(
  _xlpm.actual_value_month, INDEX(T1666:AE1666, MATCH(DATE(YEAR(TODAY()), MONTH(TODAY()), 1), $T$1:$AE$1, 0)),
  IF(_xlpm.actual_value_month &lt;&gt; "",_xlpm.actual_value_month &amp; " redução de notificações mensais", "")
)</f>
        <v>292 redução de notificações mensais</v>
      </c>
      <c r="K1666" s="8" t="str" cm="1">
        <f t="array" ref="K1666">_xlfn.LET(
    _xlpm.sum_month, SUM(T1666:AE1666),
    IF(_xlpm.sum_month = 0, "", _xlpm.sum_month &amp; " taxa de redução das notificações de excesso de velocidade no ano")
)</f>
        <v>2628 taxa de redução das notificações de excesso de velocidade no ano</v>
      </c>
      <c r="L1666" s="4" t="s">
        <v>116</v>
      </c>
      <c r="M1666" s="13">
        <v>1</v>
      </c>
      <c r="N1666" s="45" t="s">
        <v>42</v>
      </c>
      <c r="O1666" s="5" t="s">
        <v>43</v>
      </c>
      <c r="P1666" s="10" t="s">
        <v>44</v>
      </c>
      <c r="Q1666" s="10" t="s">
        <v>44</v>
      </c>
      <c r="R1666" s="11" t="s">
        <v>44</v>
      </c>
      <c r="S1666" s="11" t="s">
        <v>44</v>
      </c>
      <c r="T1666" s="22"/>
      <c r="U1666" s="22"/>
      <c r="V1666" s="22"/>
      <c r="W1666" s="143">
        <v>292</v>
      </c>
      <c r="X1666" s="143">
        <v>292</v>
      </c>
      <c r="Y1666" s="143">
        <v>292</v>
      </c>
      <c r="Z1666" s="143">
        <v>292</v>
      </c>
      <c r="AA1666" s="143">
        <v>292</v>
      </c>
      <c r="AB1666" s="143">
        <v>292</v>
      </c>
      <c r="AC1666" s="143">
        <v>292</v>
      </c>
      <c r="AD1666" s="143">
        <v>292</v>
      </c>
      <c r="AE1666" s="143">
        <v>292</v>
      </c>
      <c r="AG1666" s="71"/>
      <c r="AH1666" s="71"/>
      <c r="AI1666" s="71"/>
      <c r="AJ1666" s="71">
        <v>105</v>
      </c>
      <c r="AK1666" s="71"/>
      <c r="AL1666" s="71"/>
      <c r="AM1666" s="71"/>
      <c r="AN1666" s="71"/>
      <c r="AO1666" s="71"/>
      <c r="AP1666" s="71"/>
      <c r="AQ1666" s="71"/>
      <c r="AR1666" s="71"/>
      <c r="AS1666" s="94">
        <f t="shared" ca="1" si="1932"/>
        <v>584</v>
      </c>
      <c r="AT1666" s="95">
        <f t="shared" si="1933"/>
        <v>105</v>
      </c>
      <c r="AU1666" s="97">
        <f t="shared" si="1934"/>
        <v>105</v>
      </c>
      <c r="AW1666" s="51">
        <f t="shared" si="1935"/>
        <v>0</v>
      </c>
      <c r="AX1666" s="51">
        <f t="shared" si="1936"/>
        <v>0</v>
      </c>
      <c r="AY1666" s="51">
        <f t="shared" si="1937"/>
        <v>0</v>
      </c>
      <c r="AZ1666" s="51">
        <f t="shared" si="1938"/>
        <v>1.05</v>
      </c>
      <c r="BA1666" s="51"/>
      <c r="BB1666" s="51"/>
      <c r="BC1666" s="51"/>
      <c r="BD1666" s="51"/>
      <c r="BE1666" s="51"/>
      <c r="BF1666" s="51"/>
      <c r="BG1666" s="51"/>
      <c r="BH1666" s="51"/>
      <c r="BI1666" s="80" cm="1">
        <f t="array" ref="BI1666">IFERROR(INDEX(AW1666:BH1666,1,MATCH(2,1/(AW1666:BH1666&lt;&gt;""))),"")</f>
        <v>1.05</v>
      </c>
      <c r="BJ1666" s="68" cm="1">
        <f t="array" ref="BJ1666">IF(BM1666 = "", "",IFERROR(INDEX(AW1666:BH1666,1,MATCH(2,1/(AW1666:BH1666&lt;&gt;""),1)-1),""))</f>
        <v>0</v>
      </c>
      <c r="BK1666" s="58">
        <f>IF((IF(AW1666&gt;=115%,115%,AW1666) + IF(AX1666&gt;=115%,115%,AX1666) + IF(AY1666&gt;=115%,115%,AY1666) + (IF(AZ1666&gt;=115%,115%,AZ1666) + IF(BA1666&gt;=115%,115%,BA1666) + IF(BB1666&gt;=115%,115%,BB1666) + IF(BC1666&gt;=115%,115%,BC1666) + IF(BD1666&gt;=115%,115%,BD1666) + IF(BE1666&gt;=115%,115%,BE1666) + IF(BF1666&gt;=115%,115%,BF1666) + IF(BG1666&gt;=115%,115%,BG1666) + IF(BH1666&gt;=115%,115%,BH1666)))/_xlfn.XLOOKUP(F1666,Apuração!A:A,Apuração!B:B)&gt;=1.15,1.15,((IF(AZ1666&gt;=115%,115%,AZ1666) + IF(AX1666&gt;=115%,115%,AX1666) + IF(AY1666&gt;=115%,115%,AY1666) + (IF(AW1666&gt;=115%,115%,AW1666) + IF(BA1666&gt;=115%,115%,BA1666) + IF(BB1666&gt;=115%,115%,BB1666) + IF(BC1666&gt;=115%,115%,BC1666) + IF(BD1666&gt;=115%,115%,BD1666) + IF(BE1666&gt;=115%,115%,BE1666) + IF(BF1666&gt;=115%,115%,BF1666) + IF(BG1666&gt;=115%,115%,BG1666) + IF(BH1666&gt;=115%,115%,BH1666)))/_xlfn.XLOOKUP(F1666,Apuração!A:A,Apuração!B:B)))</f>
        <v>0.11666666666666667</v>
      </c>
      <c r="BL1666" s="58" cm="1">
        <f t="array" aca="1" ref="BL1666" ca="1">IF(SUM(IFERROR(IF(INDEX(AW1666:INDEX(AW1666:BH1666, MATCH(2, 1/(AW1666:BH1666&lt;&gt;""), 1)-1), ROW(INDIRECT("1:" &amp; MATCH(2, 1/(AW1666:BH1666&lt;&gt;""), 1)-1))) &gt;= 115%, 115%, INDEX(AW1666:INDEX(AW1666:BH1666, MATCH(2, 1/(AW1666:BH1666&lt;&gt;""), 1)-1), ROW(INDIRECT("1:" &amp; MATCH(2, 1/(AW1666:BH1666&lt;&gt;""), 1)-1)))), 0))/_xlfn.XLOOKUP(F1666,Apuração!A:A,Apuração!B:B)&gt;=1.15,1.15,SUM(IFERROR(IF(INDEX(AW1666:INDEX(AW1666:BH1666, MATCH(2, 1/(AW1666:BH1666&lt;&gt;""), 1)-1), ROW(INDIRECT("1:" &amp; MATCH(2, 1/(AW1666:BH1666&lt;&gt;""), 1)-1))) &gt;= 115%, 115%, INDEX(AW1666:INDEX(AW1666:BH1666, MATCH(2, 1/(AW1666:BH1666&lt;&gt;""), 1)-1), ROW(INDIRECT("1:" &amp; MATCH(2, 1/(AW1666:BH1666&lt;&gt;""), 1)-1)))), 0))/_xlfn.XLOOKUP(F1666,Apuração!A:A,Apuração!B:B))</f>
        <v>0</v>
      </c>
      <c r="BM1666" s="55" cm="1">
        <f t="array" ref="BM1666">IFERROR(
   INDEX($AW$1:$BH$1,
      _xlfn.AGGREGATE(14, 6, COLUMN($AW$1:$BH$1)/(AW1666:BH1666&lt;&gt;""), 2) - COLUMN($AW$1) + 1
   ),
"")</f>
        <v>46082</v>
      </c>
      <c r="BN1666" s="55" cm="1">
        <f t="array" ref="BN1666">IFERROR(INDEX($AW$1:$BH$1,1,MATCH(2,1/(AW1666:BH1666&lt;&gt;""))),"")</f>
        <v>46113</v>
      </c>
      <c r="BO1666" s="53">
        <f ca="1">IFERROR(_xlfn.XLOOKUP(F1666,Apuração!A:A,Apuração!C:C)/_xlfn.XLOOKUP(F1666,Apuração!A:A,Apuração!B:B),0)</f>
        <v>0.22222222222222221</v>
      </c>
      <c r="BP1666" s="53">
        <f ca="1">IFERROR(_xlfn.XLOOKUP(F1666,Apuração!A:A,Apuração!D:D)/_xlfn.XLOOKUP(F1666,Apuração!A:A,Apuração!B:B),0)</f>
        <v>0.1111111111111111</v>
      </c>
      <c r="BQ1666" s="53">
        <f ca="1">IF(BK1666&gt;=BO1666,0,_xlfn.XLOOKUP(F1666,Apuração!A:A,Apuração!B:B)*(BO1666 + (1/_xlfn.XLOOKUP(F1666,Apuração!A:A,Apuração!B:B)) - BK1666))</f>
        <v>1.9499999999999997</v>
      </c>
      <c r="BR1666" s="85">
        <f t="shared" ca="1" si="1939"/>
        <v>569.4</v>
      </c>
      <c r="BS1666" s="53">
        <f ca="1">IFERROR((_xlfn.XLOOKUP(F1666,Apuração!A:A,Apuração!C:C)+1)/_xlfn.XLOOKUP(F1666,Apuração!A:A,Apuração!B:B),0)</f>
        <v>0.33333333333333331</v>
      </c>
    </row>
    <row r="1667" spans="1:71" ht="25.95" hidden="1" customHeight="1" x14ac:dyDescent="0.3">
      <c r="A1667" s="41" t="s">
        <v>108</v>
      </c>
      <c r="B1667" s="4" t="s">
        <v>109</v>
      </c>
      <c r="C1667" s="5" t="s">
        <v>214</v>
      </c>
      <c r="D1667" s="5" t="s">
        <v>213</v>
      </c>
      <c r="E1667" s="4" t="s">
        <v>80</v>
      </c>
      <c r="F1667" s="4" t="str" cm="1">
        <f t="array" ref="F1667">_xlfn.IFS(
AG1667 &lt;&gt; "", "Jan-Dez/26",
AH1667 &lt;&gt; "", "Fev-Dez/26",
AI1667 &lt;&gt; "", "Mar-Dez/26", AJ1667 &lt;&gt; "", "Abr-Dez/26",
TRUE, "A partir de Junho"
)</f>
        <v>Abr-Dez/26</v>
      </c>
      <c r="G1667" s="4" t="s">
        <v>37</v>
      </c>
      <c r="H1667" s="7" t="s">
        <v>38</v>
      </c>
      <c r="I1667" s="4" t="s">
        <v>115</v>
      </c>
      <c r="J1667" s="8" t="str" cm="1">
        <f t="array" aca="1" ref="J1667" ca="1">_xlfn.LET(
  _xlpm.actual_value_month, INDEX(T1667:AE1667, MATCH(DATE(YEAR(TODAY()), MONTH(TODAY()), 1), $T$1:$AE$1, 0)),
  IF(_xlpm.actual_value_month &lt;&gt; "",_xlpm.actual_value_month &amp; " redução de notificações mensais", "")
)</f>
        <v>292 redução de notificações mensais</v>
      </c>
      <c r="K1667" s="8" t="str" cm="1">
        <f t="array" ref="K1667">_xlfn.LET(
    _xlpm.sum_month, SUM(T1667:AE1667),
    IF(_xlpm.sum_month = 0, "", _xlpm.sum_month &amp; " taxa de redução das notificações de excesso de velocidade no ano")
)</f>
        <v>2628 taxa de redução das notificações de excesso de velocidade no ano</v>
      </c>
      <c r="L1667" s="4" t="s">
        <v>116</v>
      </c>
      <c r="M1667" s="13">
        <v>1</v>
      </c>
      <c r="N1667" s="45" t="s">
        <v>42</v>
      </c>
      <c r="O1667" s="5" t="s">
        <v>43</v>
      </c>
      <c r="P1667" s="10" t="s">
        <v>44</v>
      </c>
      <c r="Q1667" s="10" t="s">
        <v>44</v>
      </c>
      <c r="R1667" s="11" t="s">
        <v>44</v>
      </c>
      <c r="S1667" s="11" t="s">
        <v>44</v>
      </c>
      <c r="T1667" s="22"/>
      <c r="U1667" s="22"/>
      <c r="V1667" s="22"/>
      <c r="W1667" s="143">
        <v>292</v>
      </c>
      <c r="X1667" s="143">
        <v>292</v>
      </c>
      <c r="Y1667" s="143">
        <v>292</v>
      </c>
      <c r="Z1667" s="143">
        <v>292</v>
      </c>
      <c r="AA1667" s="143">
        <v>292</v>
      </c>
      <c r="AB1667" s="143">
        <v>292</v>
      </c>
      <c r="AC1667" s="143">
        <v>292</v>
      </c>
      <c r="AD1667" s="143">
        <v>292</v>
      </c>
      <c r="AE1667" s="143">
        <v>292</v>
      </c>
      <c r="AG1667" s="71"/>
      <c r="AH1667" s="71"/>
      <c r="AI1667" s="71"/>
      <c r="AJ1667" s="71">
        <v>245</v>
      </c>
      <c r="AK1667" s="71"/>
      <c r="AL1667" s="71"/>
      <c r="AM1667" s="71"/>
      <c r="AN1667" s="71"/>
      <c r="AO1667" s="71"/>
      <c r="AP1667" s="71"/>
      <c r="AQ1667" s="71"/>
      <c r="AR1667" s="71"/>
      <c r="AS1667" s="94">
        <f t="shared" ca="1" si="1932"/>
        <v>584</v>
      </c>
      <c r="AT1667" s="95">
        <f t="shared" si="1933"/>
        <v>245</v>
      </c>
      <c r="AU1667" s="97">
        <f t="shared" si="1934"/>
        <v>245</v>
      </c>
      <c r="AW1667" s="51">
        <f t="shared" si="1935"/>
        <v>0</v>
      </c>
      <c r="AX1667" s="51">
        <f t="shared" si="1936"/>
        <v>0</v>
      </c>
      <c r="AY1667" s="51">
        <f t="shared" si="1937"/>
        <v>0</v>
      </c>
      <c r="AZ1667" s="51">
        <f t="shared" si="1938"/>
        <v>1</v>
      </c>
      <c r="BA1667" s="51"/>
      <c r="BB1667" s="51"/>
      <c r="BC1667" s="51"/>
      <c r="BD1667" s="51"/>
      <c r="BE1667" s="51"/>
      <c r="BF1667" s="51"/>
      <c r="BG1667" s="51"/>
      <c r="BH1667" s="51"/>
      <c r="BI1667" s="80" cm="1">
        <f t="array" ref="BI1667">IFERROR(INDEX(AW1667:BH1667,1,MATCH(2,1/(AW1667:BH1667&lt;&gt;""))),"")</f>
        <v>1</v>
      </c>
      <c r="BJ1667" s="68" cm="1">
        <f t="array" ref="BJ1667">IF(BM1667 = "", "",IFERROR(INDEX(AW1667:BH1667,1,MATCH(2,1/(AW1667:BH1667&lt;&gt;""),1)-1),""))</f>
        <v>0</v>
      </c>
      <c r="BK1667" s="58">
        <f>IF((IF(AW1667&gt;=115%,115%,AW1667) + IF(AX1667&gt;=115%,115%,AX1667) + IF(AY1667&gt;=115%,115%,AY1667) + (IF(AZ1667&gt;=115%,115%,AZ1667) + IF(BA1667&gt;=115%,115%,BA1667) + IF(BB1667&gt;=115%,115%,BB1667) + IF(BC1667&gt;=115%,115%,BC1667) + IF(BD1667&gt;=115%,115%,BD1667) + IF(BE1667&gt;=115%,115%,BE1667) + IF(BF1667&gt;=115%,115%,BF1667) + IF(BG1667&gt;=115%,115%,BG1667) + IF(BH1667&gt;=115%,115%,BH1667)))/_xlfn.XLOOKUP(F1667,Apuração!A:A,Apuração!B:B)&gt;=1.15,1.15,((IF(AZ1667&gt;=115%,115%,AZ1667) + IF(AX1667&gt;=115%,115%,AX1667) + IF(AY1667&gt;=115%,115%,AY1667) + (IF(AW1667&gt;=115%,115%,AW1667) + IF(BA1667&gt;=115%,115%,BA1667) + IF(BB1667&gt;=115%,115%,BB1667) + IF(BC1667&gt;=115%,115%,BC1667) + IF(BD1667&gt;=115%,115%,BD1667) + IF(BE1667&gt;=115%,115%,BE1667) + IF(BF1667&gt;=115%,115%,BF1667) + IF(BG1667&gt;=115%,115%,BG1667) + IF(BH1667&gt;=115%,115%,BH1667)))/_xlfn.XLOOKUP(F1667,Apuração!A:A,Apuração!B:B)))</f>
        <v>0.1111111111111111</v>
      </c>
      <c r="BL1667" s="58" cm="1">
        <f t="array" aca="1" ref="BL1667" ca="1">IF(SUM(IFERROR(IF(INDEX(AW1667:INDEX(AW1667:BH1667, MATCH(2, 1/(AW1667:BH1667&lt;&gt;""), 1)-1), ROW(INDIRECT("1:" &amp; MATCH(2, 1/(AW1667:BH1667&lt;&gt;""), 1)-1))) &gt;= 115%, 115%, INDEX(AW1667:INDEX(AW1667:BH1667, MATCH(2, 1/(AW1667:BH1667&lt;&gt;""), 1)-1), ROW(INDIRECT("1:" &amp; MATCH(2, 1/(AW1667:BH1667&lt;&gt;""), 1)-1)))), 0))/_xlfn.XLOOKUP(F1667,Apuração!A:A,Apuração!B:B)&gt;=1.15,1.15,SUM(IFERROR(IF(INDEX(AW1667:INDEX(AW1667:BH1667, MATCH(2, 1/(AW1667:BH1667&lt;&gt;""), 1)-1), ROW(INDIRECT("1:" &amp; MATCH(2, 1/(AW1667:BH1667&lt;&gt;""), 1)-1))) &gt;= 115%, 115%, INDEX(AW1667:INDEX(AW1667:BH1667, MATCH(2, 1/(AW1667:BH1667&lt;&gt;""), 1)-1), ROW(INDIRECT("1:" &amp; MATCH(2, 1/(AW1667:BH1667&lt;&gt;""), 1)-1)))), 0))/_xlfn.XLOOKUP(F1667,Apuração!A:A,Apuração!B:B))</f>
        <v>0</v>
      </c>
      <c r="BM1667" s="55" cm="1">
        <f t="array" ref="BM1667">IFERROR(
   INDEX($AW$1:$BH$1,
      _xlfn.AGGREGATE(14, 6, COLUMN($AW$1:$BH$1)/(AW1667:BH1667&lt;&gt;""), 2) - COLUMN($AW$1) + 1
   ),
"")</f>
        <v>46082</v>
      </c>
      <c r="BN1667" s="55" cm="1">
        <f t="array" ref="BN1667">IFERROR(INDEX($AW$1:$BH$1,1,MATCH(2,1/(AW1667:BH1667&lt;&gt;""))),"")</f>
        <v>46113</v>
      </c>
      <c r="BO1667" s="53">
        <f ca="1">IFERROR(_xlfn.XLOOKUP(F1667,Apuração!A:A,Apuração!C:C)/_xlfn.XLOOKUP(F1667,Apuração!A:A,Apuração!B:B),0)</f>
        <v>0.22222222222222221</v>
      </c>
      <c r="BP1667" s="53">
        <f ca="1">IFERROR(_xlfn.XLOOKUP(F1667,Apuração!A:A,Apuração!D:D)/_xlfn.XLOOKUP(F1667,Apuração!A:A,Apuração!B:B),0)</f>
        <v>0.1111111111111111</v>
      </c>
      <c r="BQ1667" s="53">
        <f ca="1">IF(BK1667&gt;=BO1667,0,_xlfn.XLOOKUP(F1667,Apuração!A:A,Apuração!B:B)*(BO1667 + (1/_xlfn.XLOOKUP(F1667,Apuração!A:A,Apuração!B:B)) - BK1667))</f>
        <v>2</v>
      </c>
      <c r="BR1667" s="85">
        <f t="shared" ca="1" si="1939"/>
        <v>584</v>
      </c>
      <c r="BS1667" s="53">
        <f ca="1">IFERROR((_xlfn.XLOOKUP(F1667,Apuração!A:A,Apuração!C:C)+1)/_xlfn.XLOOKUP(F1667,Apuração!A:A,Apuração!B:B),0)</f>
        <v>0.33333333333333331</v>
      </c>
    </row>
    <row r="1668" spans="1:71" ht="25.95" hidden="1" customHeight="1" x14ac:dyDescent="0.3">
      <c r="A1668" s="70" t="s">
        <v>108</v>
      </c>
      <c r="B1668" s="4" t="s">
        <v>117</v>
      </c>
      <c r="C1668" s="5" t="s">
        <v>214</v>
      </c>
      <c r="D1668" s="5" t="s">
        <v>36</v>
      </c>
      <c r="E1668" s="4" t="s">
        <v>118</v>
      </c>
      <c r="F1668" s="4" t="str" cm="1">
        <f t="array" ref="F1668">_xlfn.IFS(
AG1668 &lt;&gt; "", "Jan-Dez/26",
AH1668 &lt;&gt; "", "Fev-Dez/26",
AI1668 &lt;&gt; "", "Mar-Dez/26", AJ1668 &lt;&gt; "", "Abr-Dez/26",
TRUE, "A partir de Junho"
)</f>
        <v>Jan-Dez/26</v>
      </c>
      <c r="G1668" s="4" t="s">
        <v>37</v>
      </c>
      <c r="H1668" s="7" t="s">
        <v>38</v>
      </c>
      <c r="I1668" s="4" t="s">
        <v>119</v>
      </c>
      <c r="J1668" s="8" t="str" cm="1">
        <f t="array" aca="1" ref="J1668" ca="1">_xlfn.LET(
  _xlpm.actual_value_month, INDEX(T1668:AE1668, MATCH(DATE(YEAR(TODAY()), MONTH(TODAY()), 1), $T$1:$AE$1, 0)),
  IF(_xlpm.actual_value_month &lt;&gt; "",_xlpm.actual_value_month &amp; " ações mensais", "")
)</f>
        <v/>
      </c>
      <c r="K1668" s="8" t="str" cm="1">
        <f t="array" ref="K1668">_xlfn.LET(
    _xlpm.sum_month, SUM(T1668:AE1668),
    IF(_xlpm.sum_month = 0, "", _xlpm.sum_month &amp; " NC's no ano")
)</f>
        <v/>
      </c>
      <c r="L1668" s="4" t="s">
        <v>120</v>
      </c>
      <c r="M1668" s="19"/>
      <c r="N1668" s="5" t="s">
        <v>51</v>
      </c>
      <c r="O1668" s="5"/>
      <c r="P1668" s="10"/>
      <c r="Q1668" s="10"/>
      <c r="R1668" s="11"/>
      <c r="S1668" s="11"/>
      <c r="T1668" s="22"/>
      <c r="U1668" s="22"/>
      <c r="V1668" s="22"/>
      <c r="W1668" s="22"/>
      <c r="X1668" s="22"/>
      <c r="Y1668" s="22"/>
      <c r="Z1668" s="22"/>
      <c r="AA1668" s="22"/>
      <c r="AB1668" s="22"/>
      <c r="AC1668" s="22"/>
      <c r="AD1668" s="22"/>
      <c r="AE1668" s="22"/>
      <c r="AF1668" s="81"/>
      <c r="AG1668" s="71">
        <v>3587</v>
      </c>
      <c r="AH1668" s="71">
        <v>4426</v>
      </c>
      <c r="AI1668" s="71">
        <v>2293</v>
      </c>
      <c r="AJ1668" s="71"/>
      <c r="AK1668" s="71"/>
      <c r="AL1668" s="71"/>
      <c r="AM1668" s="71"/>
      <c r="AN1668" s="71"/>
      <c r="AO1668" s="71"/>
      <c r="AP1668" s="71"/>
      <c r="AQ1668" s="71"/>
      <c r="AR1668" s="71"/>
      <c r="AS1668" s="94"/>
      <c r="AT1668" s="95"/>
      <c r="AU1668" s="97"/>
      <c r="AV1668" s="81"/>
      <c r="AW1668" s="83">
        <f>AG1668</f>
        <v>3587</v>
      </c>
      <c r="AX1668" s="83">
        <f>AH1668</f>
        <v>4426</v>
      </c>
      <c r="AY1668" s="83">
        <f>AI1668</f>
        <v>2293</v>
      </c>
      <c r="AZ1668" s="83">
        <f>AJ1668</f>
        <v>0</v>
      </c>
      <c r="BA1668" s="83"/>
      <c r="BB1668" s="83"/>
      <c r="BC1668" s="83"/>
      <c r="BD1668" s="83"/>
      <c r="BE1668" s="83"/>
      <c r="BF1668" s="83"/>
      <c r="BG1668" s="83"/>
      <c r="BH1668" s="83"/>
      <c r="BI1668" s="65"/>
      <c r="BJ1668" s="68"/>
      <c r="BK1668" s="59">
        <f>SUM(AW1668:BH1668)</f>
        <v>10306</v>
      </c>
      <c r="BL1668" s="59" cm="1">
        <f t="array" ref="BL1668">IFERROR(SUM(AW1668:INDEX(AW1668:BH1668, MATCH(2, 1/(AW1668:BH1668&lt;&gt;""), 1) - 1))/_xlfn.XLOOKUP(F1668,Apuração!A:A,Apuração!B:B),0)</f>
        <v>858.83333333333337</v>
      </c>
      <c r="BM1668" s="55"/>
      <c r="BN1668" s="55"/>
      <c r="BO1668" s="53">
        <f ca="1">IFERROR(_xlfn.XLOOKUP(F1668,Apuração!A:A,Apuração!C:C)/_xlfn.XLOOKUP(F1668,Apuração!A:A,Apuração!B:B),0)</f>
        <v>0.41666666666666669</v>
      </c>
      <c r="BP1668" s="53">
        <f ca="1">IFERROR(_xlfn.XLOOKUP(F1668,Apuração!A:A,Apuração!D:D)/_xlfn.XLOOKUP(F1668,Apuração!A:A,Apuração!B:B),0)</f>
        <v>0.33333333333333331</v>
      </c>
      <c r="BQ1668" s="53">
        <f ca="1">IF(BK1668&gt;=BO1668,0,_xlfn.XLOOKUP(F1668,Apuração!A:A,Apuração!B:B)*(BO1668 + (1/_xlfn.XLOOKUP(F1668,Apuração!A:A,Apuração!B:B)) - BK1668))</f>
        <v>0</v>
      </c>
      <c r="BR1668" s="85">
        <f ca="1">IF(BQ1668=0,0,BQ1668*Z1668)</f>
        <v>0</v>
      </c>
      <c r="BS1668" s="53">
        <f ca="1">IFERROR((_xlfn.XLOOKUP(F1668,Apuração!A:A,Apuração!C:C)+1)/_xlfn.XLOOKUP(F1668,Apuração!A:A,Apuração!B:B),0)</f>
        <v>0.5</v>
      </c>
    </row>
    <row r="1669" spans="1:71" ht="25.95" hidden="1" customHeight="1" x14ac:dyDescent="0.3">
      <c r="A1669" s="70" t="s">
        <v>108</v>
      </c>
      <c r="B1669" s="4" t="s">
        <v>117</v>
      </c>
      <c r="C1669" s="5" t="s">
        <v>214</v>
      </c>
      <c r="D1669" s="5" t="s">
        <v>210</v>
      </c>
      <c r="E1669" s="4" t="s">
        <v>118</v>
      </c>
      <c r="F1669" s="4" t="str" cm="1">
        <f t="array" ref="F1669">_xlfn.IFS(
AG1669 &lt;&gt; "", "Jan-Dez/26",
AH1669 &lt;&gt; "", "Fev-Dez/26",
AI1669 &lt;&gt; "", "Mar-Dez/26", AJ1669 &lt;&gt; "", "Abr-Dez/26",
TRUE, "A partir de Junho"
)</f>
        <v>A partir de Junho</v>
      </c>
      <c r="G1669" s="4" t="s">
        <v>37</v>
      </c>
      <c r="H1669" s="7" t="s">
        <v>38</v>
      </c>
      <c r="I1669" s="4" t="s">
        <v>119</v>
      </c>
      <c r="J1669" s="8" t="str" cm="1">
        <f t="array" aca="1" ref="J1669" ca="1">_xlfn.LET(
  _xlpm.actual_value_month, INDEX(T1669:AE1669, MATCH(DATE(YEAR(TODAY()), MONTH(TODAY()), 1), $T$1:$AE$1, 0)),
  IF(_xlpm.actual_value_month &lt;&gt; "",_xlpm.actual_value_month &amp; " ações mensais", "")
)</f>
        <v/>
      </c>
      <c r="K1669" s="8" t="str" cm="1">
        <f t="array" ref="K1669">_xlfn.LET(
    _xlpm.sum_month, SUM(T1669:AE1669),
    IF(_xlpm.sum_month = 0, "", _xlpm.sum_month &amp; " NC's no ano")
)</f>
        <v/>
      </c>
      <c r="L1669" s="4" t="s">
        <v>120</v>
      </c>
      <c r="M1669" s="19"/>
      <c r="N1669" s="5" t="s">
        <v>51</v>
      </c>
      <c r="O1669" s="5"/>
      <c r="P1669" s="10"/>
      <c r="Q1669" s="10"/>
      <c r="R1669" s="11"/>
      <c r="S1669" s="11"/>
      <c r="T1669" s="22"/>
      <c r="U1669" s="22"/>
      <c r="V1669" s="22"/>
      <c r="W1669" s="22"/>
      <c r="X1669" s="22"/>
      <c r="Y1669" s="22"/>
      <c r="Z1669" s="22"/>
      <c r="AA1669" s="22"/>
      <c r="AB1669" s="22"/>
      <c r="AC1669" s="22"/>
      <c r="AD1669" s="22"/>
      <c r="AE1669" s="22"/>
      <c r="AF1669" s="81"/>
      <c r="AG1669" s="71"/>
      <c r="AH1669" s="71"/>
      <c r="AI1669" s="71"/>
      <c r="AJ1669" s="71"/>
      <c r="AK1669" s="71"/>
      <c r="AL1669" s="71"/>
      <c r="AM1669" s="71"/>
      <c r="AN1669" s="71"/>
      <c r="AO1669" s="71"/>
      <c r="AP1669" s="71"/>
      <c r="AQ1669" s="71"/>
      <c r="AR1669" s="71"/>
      <c r="AS1669" s="94"/>
      <c r="AT1669" s="95"/>
      <c r="AU1669" s="97"/>
      <c r="AV1669" s="81"/>
      <c r="AW1669" s="83">
        <f t="shared" ref="AW1669:AW1673" si="1940">AG1669</f>
        <v>0</v>
      </c>
      <c r="AX1669" s="83">
        <f t="shared" ref="AX1669:AX1673" si="1941">AH1669</f>
        <v>0</v>
      </c>
      <c r="AY1669" s="83">
        <f t="shared" ref="AY1669:AY1673" si="1942">AI1669</f>
        <v>0</v>
      </c>
      <c r="AZ1669" s="83">
        <f t="shared" ref="AZ1669:AZ1673" si="1943">AJ1669</f>
        <v>0</v>
      </c>
      <c r="BA1669" s="83"/>
      <c r="BB1669" s="83"/>
      <c r="BC1669" s="83"/>
      <c r="BD1669" s="83"/>
      <c r="BE1669" s="83"/>
      <c r="BF1669" s="83"/>
      <c r="BG1669" s="83"/>
      <c r="BH1669" s="83"/>
      <c r="BI1669" s="65"/>
      <c r="BJ1669" s="68"/>
      <c r="BK1669" s="59">
        <f t="shared" ref="BK1669:BK1673" si="1944">SUM(AW1669:BH1669)</f>
        <v>0</v>
      </c>
      <c r="BL1669" s="59" cm="1">
        <f t="array" ref="BL1669">IFERROR(SUM(AW1669:INDEX(AW1669:BH1669, MATCH(2, 1/(AW1669:BH1669&lt;&gt;""), 1) - 1))/_xlfn.XLOOKUP(F1669,Apuração!A:A,Apuração!B:B),0)</f>
        <v>0</v>
      </c>
      <c r="BM1669" s="55"/>
      <c r="BN1669" s="55"/>
      <c r="BO1669" s="53">
        <f ca="1">IFERROR(_xlfn.XLOOKUP(F1669,Apuração!A:A,Apuração!C:C)/_xlfn.XLOOKUP(F1669,Apuração!A:A,Apuração!B:B),0)</f>
        <v>0</v>
      </c>
      <c r="BP1669" s="53">
        <f ca="1">IFERROR(_xlfn.XLOOKUP(F1669,Apuração!A:A,Apuração!D:D)/_xlfn.XLOOKUP(F1669,Apuração!A:A,Apuração!B:B),0)</f>
        <v>0</v>
      </c>
      <c r="BQ1669" s="53">
        <f ca="1">IF(BK1669&gt;=BO1669,0,_xlfn.XLOOKUP(F1669,Apuração!A:A,Apuração!B:B)*(BO1669 + (1/_xlfn.XLOOKUP(F1669,Apuração!A:A,Apuração!B:B)) - BK1669))</f>
        <v>0</v>
      </c>
      <c r="BR1669" s="85">
        <f t="shared" ref="BR1669:BR1673" ca="1" si="1945">IF(BQ1669=0,0,BQ1669*Z1669)</f>
        <v>0</v>
      </c>
      <c r="BS1669" s="53">
        <f ca="1">IFERROR((_xlfn.XLOOKUP(F1669,Apuração!A:A,Apuração!C:C)+1)/_xlfn.XLOOKUP(F1669,Apuração!A:A,Apuração!B:B),0)</f>
        <v>0.14285714285714285</v>
      </c>
    </row>
    <row r="1670" spans="1:71" ht="25.95" hidden="1" customHeight="1" x14ac:dyDescent="0.3">
      <c r="A1670" s="70" t="s">
        <v>108</v>
      </c>
      <c r="B1670" s="4" t="s">
        <v>117</v>
      </c>
      <c r="C1670" s="5" t="s">
        <v>214</v>
      </c>
      <c r="D1670" s="5" t="s">
        <v>215</v>
      </c>
      <c r="E1670" s="4" t="s">
        <v>118</v>
      </c>
      <c r="F1670" s="4" t="str" cm="1">
        <f t="array" ref="F1670">_xlfn.IFS(
AG1670 &lt;&gt; "", "Jan-Dez/26",
AH1670 &lt;&gt; "", "Fev-Dez/26",
AI1670 &lt;&gt; "", "Mar-Dez/26", AJ1670 &lt;&gt; "", "Abr-Dez/26",
TRUE, "A partir de Junho"
)</f>
        <v>A partir de Junho</v>
      </c>
      <c r="G1670" s="4" t="s">
        <v>37</v>
      </c>
      <c r="H1670" s="7" t="s">
        <v>38</v>
      </c>
      <c r="I1670" s="4" t="s">
        <v>119</v>
      </c>
      <c r="J1670" s="8" t="str" cm="1">
        <f t="array" aca="1" ref="J1670" ca="1">_xlfn.LET(
  _xlpm.actual_value_month, INDEX(T1670:AE1670, MATCH(DATE(YEAR(TODAY()), MONTH(TODAY()), 1), $T$1:$AE$1, 0)),
  IF(_xlpm.actual_value_month &lt;&gt; "",_xlpm.actual_value_month &amp; " ações mensais", "")
)</f>
        <v/>
      </c>
      <c r="K1670" s="8" t="str" cm="1">
        <f t="array" ref="K1670">_xlfn.LET(
    _xlpm.sum_month, SUM(T1670:AE1670),
    IF(_xlpm.sum_month = 0, "", _xlpm.sum_month &amp; " NC's no ano")
)</f>
        <v/>
      </c>
      <c r="L1670" s="4" t="s">
        <v>120</v>
      </c>
      <c r="M1670" s="19"/>
      <c r="N1670" s="5" t="s">
        <v>51</v>
      </c>
      <c r="O1670" s="5"/>
      <c r="P1670" s="10"/>
      <c r="Q1670" s="10"/>
      <c r="R1670" s="11"/>
      <c r="S1670" s="11"/>
      <c r="T1670" s="22"/>
      <c r="U1670" s="22"/>
      <c r="V1670" s="22"/>
      <c r="W1670" s="22"/>
      <c r="X1670" s="22"/>
      <c r="Y1670" s="22"/>
      <c r="Z1670" s="22"/>
      <c r="AA1670" s="22"/>
      <c r="AB1670" s="22"/>
      <c r="AC1670" s="22"/>
      <c r="AD1670" s="22"/>
      <c r="AE1670" s="22"/>
      <c r="AF1670" s="81"/>
      <c r="AG1670" s="71"/>
      <c r="AH1670" s="71"/>
      <c r="AI1670" s="71"/>
      <c r="AJ1670" s="71"/>
      <c r="AK1670" s="71"/>
      <c r="AL1670" s="71"/>
      <c r="AM1670" s="71"/>
      <c r="AN1670" s="71"/>
      <c r="AO1670" s="71"/>
      <c r="AP1670" s="71"/>
      <c r="AQ1670" s="71"/>
      <c r="AR1670" s="71"/>
      <c r="AS1670" s="94"/>
      <c r="AT1670" s="95"/>
      <c r="AU1670" s="97"/>
      <c r="AV1670" s="81"/>
      <c r="AW1670" s="83">
        <f t="shared" si="1940"/>
        <v>0</v>
      </c>
      <c r="AX1670" s="83">
        <f t="shared" si="1941"/>
        <v>0</v>
      </c>
      <c r="AY1670" s="83">
        <f t="shared" si="1942"/>
        <v>0</v>
      </c>
      <c r="AZ1670" s="83">
        <f t="shared" si="1943"/>
        <v>0</v>
      </c>
      <c r="BA1670" s="83"/>
      <c r="BB1670" s="83"/>
      <c r="BC1670" s="83"/>
      <c r="BD1670" s="83"/>
      <c r="BE1670" s="83"/>
      <c r="BF1670" s="83"/>
      <c r="BG1670" s="83"/>
      <c r="BH1670" s="83"/>
      <c r="BI1670" s="65"/>
      <c r="BJ1670" s="68"/>
      <c r="BK1670" s="59">
        <f t="shared" si="1944"/>
        <v>0</v>
      </c>
      <c r="BL1670" s="59" cm="1">
        <f t="array" ref="BL1670">IFERROR(SUM(AW1670:INDEX(AW1670:BH1670, MATCH(2, 1/(AW1670:BH1670&lt;&gt;""), 1) - 1))/_xlfn.XLOOKUP(F1670,Apuração!A:A,Apuração!B:B),0)</f>
        <v>0</v>
      </c>
      <c r="BM1670" s="55"/>
      <c r="BN1670" s="55"/>
      <c r="BO1670" s="53">
        <f ca="1">IFERROR(_xlfn.XLOOKUP(F1670,Apuração!A:A,Apuração!C:C)/_xlfn.XLOOKUP(F1670,Apuração!A:A,Apuração!B:B),0)</f>
        <v>0</v>
      </c>
      <c r="BP1670" s="53">
        <f ca="1">IFERROR(_xlfn.XLOOKUP(F1670,Apuração!A:A,Apuração!D:D)/_xlfn.XLOOKUP(F1670,Apuração!A:A,Apuração!B:B),0)</f>
        <v>0</v>
      </c>
      <c r="BQ1670" s="53">
        <f ca="1">IF(BK1670&gt;=BO1670,0,_xlfn.XLOOKUP(F1670,Apuração!A:A,Apuração!B:B)*(BO1670 + (1/_xlfn.XLOOKUP(F1670,Apuração!A:A,Apuração!B:B)) - BK1670))</f>
        <v>0</v>
      </c>
      <c r="BR1670" s="85">
        <f t="shared" ca="1" si="1945"/>
        <v>0</v>
      </c>
      <c r="BS1670" s="53">
        <f ca="1">IFERROR((_xlfn.XLOOKUP(F1670,Apuração!A:A,Apuração!C:C)+1)/_xlfn.XLOOKUP(F1670,Apuração!A:A,Apuração!B:B),0)</f>
        <v>0.14285714285714285</v>
      </c>
    </row>
    <row r="1671" spans="1:71" ht="25.95" hidden="1" customHeight="1" x14ac:dyDescent="0.3">
      <c r="A1671" s="70" t="s">
        <v>108</v>
      </c>
      <c r="B1671" s="4" t="s">
        <v>117</v>
      </c>
      <c r="C1671" s="5" t="s">
        <v>214</v>
      </c>
      <c r="D1671" s="5" t="s">
        <v>212</v>
      </c>
      <c r="E1671" s="4" t="s">
        <v>118</v>
      </c>
      <c r="F1671" s="4" t="str" cm="1">
        <f t="array" ref="F1671">_xlfn.IFS(
AG1671 &lt;&gt; "", "Jan-Dez/26",
AH1671 &lt;&gt; "", "Fev-Dez/26",
AI1671 &lt;&gt; "", "Mar-Dez/26", AJ1671 &lt;&gt; "", "Abr-Dez/26",
TRUE, "A partir de Junho"
)</f>
        <v>A partir de Junho</v>
      </c>
      <c r="G1671" s="4" t="s">
        <v>37</v>
      </c>
      <c r="H1671" s="7" t="s">
        <v>38</v>
      </c>
      <c r="I1671" s="4" t="s">
        <v>119</v>
      </c>
      <c r="J1671" s="8" t="str" cm="1">
        <f t="array" aca="1" ref="J1671" ca="1">_xlfn.LET(
  _xlpm.actual_value_month, INDEX(T1671:AE1671, MATCH(DATE(YEAR(TODAY()), MONTH(TODAY()), 1), $T$1:$AE$1, 0)),
  IF(_xlpm.actual_value_month &lt;&gt; "",_xlpm.actual_value_month &amp; " ações mensais", "")
)</f>
        <v/>
      </c>
      <c r="K1671" s="8" t="str" cm="1">
        <f t="array" ref="K1671">_xlfn.LET(
    _xlpm.sum_month, SUM(T1671:AE1671),
    IF(_xlpm.sum_month = 0, "", _xlpm.sum_month &amp; " NC's no ano")
)</f>
        <v/>
      </c>
      <c r="L1671" s="4" t="s">
        <v>120</v>
      </c>
      <c r="M1671" s="19"/>
      <c r="N1671" s="5" t="s">
        <v>51</v>
      </c>
      <c r="O1671" s="5"/>
      <c r="P1671" s="10"/>
      <c r="Q1671" s="10"/>
      <c r="R1671" s="11"/>
      <c r="S1671" s="11"/>
      <c r="T1671" s="22"/>
      <c r="U1671" s="22"/>
      <c r="V1671" s="22"/>
      <c r="W1671" s="22"/>
      <c r="X1671" s="22"/>
      <c r="Y1671" s="22"/>
      <c r="Z1671" s="22"/>
      <c r="AA1671" s="22"/>
      <c r="AB1671" s="22"/>
      <c r="AC1671" s="22"/>
      <c r="AD1671" s="22"/>
      <c r="AE1671" s="22"/>
      <c r="AF1671" s="81"/>
      <c r="AG1671" s="71"/>
      <c r="AH1671" s="71"/>
      <c r="AI1671" s="71"/>
      <c r="AJ1671" s="71"/>
      <c r="AK1671" s="71"/>
      <c r="AL1671" s="71"/>
      <c r="AM1671" s="71"/>
      <c r="AN1671" s="71"/>
      <c r="AO1671" s="71"/>
      <c r="AP1671" s="71"/>
      <c r="AQ1671" s="71"/>
      <c r="AR1671" s="71"/>
      <c r="AS1671" s="94"/>
      <c r="AT1671" s="95"/>
      <c r="AU1671" s="97"/>
      <c r="AV1671" s="81"/>
      <c r="AW1671" s="83">
        <f t="shared" si="1940"/>
        <v>0</v>
      </c>
      <c r="AX1671" s="83">
        <f t="shared" si="1941"/>
        <v>0</v>
      </c>
      <c r="AY1671" s="83">
        <f t="shared" si="1942"/>
        <v>0</v>
      </c>
      <c r="AZ1671" s="83">
        <f t="shared" si="1943"/>
        <v>0</v>
      </c>
      <c r="BA1671" s="83"/>
      <c r="BB1671" s="83"/>
      <c r="BC1671" s="83"/>
      <c r="BD1671" s="83"/>
      <c r="BE1671" s="83"/>
      <c r="BF1671" s="83"/>
      <c r="BG1671" s="83"/>
      <c r="BH1671" s="83"/>
      <c r="BI1671" s="65"/>
      <c r="BJ1671" s="68"/>
      <c r="BK1671" s="59">
        <f t="shared" si="1944"/>
        <v>0</v>
      </c>
      <c r="BL1671" s="59" cm="1">
        <f t="array" ref="BL1671">IFERROR(SUM(AW1671:INDEX(AW1671:BH1671, MATCH(2, 1/(AW1671:BH1671&lt;&gt;""), 1) - 1))/_xlfn.XLOOKUP(F1671,Apuração!A:A,Apuração!B:B),0)</f>
        <v>0</v>
      </c>
      <c r="BM1671" s="55"/>
      <c r="BN1671" s="55"/>
      <c r="BO1671" s="53">
        <f ca="1">IFERROR(_xlfn.XLOOKUP(F1671,Apuração!A:A,Apuração!C:C)/_xlfn.XLOOKUP(F1671,Apuração!A:A,Apuração!B:B),0)</f>
        <v>0</v>
      </c>
      <c r="BP1671" s="53">
        <f ca="1">IFERROR(_xlfn.XLOOKUP(F1671,Apuração!A:A,Apuração!D:D)/_xlfn.XLOOKUP(F1671,Apuração!A:A,Apuração!B:B),0)</f>
        <v>0</v>
      </c>
      <c r="BQ1671" s="53">
        <f ca="1">IF(BK1671&gt;=BO1671,0,_xlfn.XLOOKUP(F1671,Apuração!A:A,Apuração!B:B)*(BO1671 + (1/_xlfn.XLOOKUP(F1671,Apuração!A:A,Apuração!B:B)) - BK1671))</f>
        <v>0</v>
      </c>
      <c r="BR1671" s="85">
        <f t="shared" ca="1" si="1945"/>
        <v>0</v>
      </c>
      <c r="BS1671" s="53">
        <f ca="1">IFERROR((_xlfn.XLOOKUP(F1671,Apuração!A:A,Apuração!C:C)+1)/_xlfn.XLOOKUP(F1671,Apuração!A:A,Apuração!B:B),0)</f>
        <v>0.14285714285714285</v>
      </c>
    </row>
    <row r="1672" spans="1:71" ht="25.95" hidden="1" customHeight="1" x14ac:dyDescent="0.3">
      <c r="A1672" s="70" t="s">
        <v>108</v>
      </c>
      <c r="B1672" s="4" t="s">
        <v>117</v>
      </c>
      <c r="C1672" s="5" t="s">
        <v>214</v>
      </c>
      <c r="D1672" s="5" t="s">
        <v>48</v>
      </c>
      <c r="E1672" s="4" t="s">
        <v>118</v>
      </c>
      <c r="F1672" s="4" t="str" cm="1">
        <f t="array" ref="F1672">_xlfn.IFS(
AG1672 &lt;&gt; "", "Jan-Dez/26",
AH1672 &lt;&gt; "", "Fev-Dez/26",
AI1672 &lt;&gt; "", "Mar-Dez/26", AJ1672 &lt;&gt; "", "Abr-Dez/26",
TRUE, "A partir de Junho"
)</f>
        <v>A partir de Junho</v>
      </c>
      <c r="G1672" s="4" t="s">
        <v>37</v>
      </c>
      <c r="H1672" s="7" t="s">
        <v>38</v>
      </c>
      <c r="I1672" s="4" t="s">
        <v>119</v>
      </c>
      <c r="J1672" s="8" t="str" cm="1">
        <f t="array" aca="1" ref="J1672" ca="1">_xlfn.LET(
  _xlpm.actual_value_month, INDEX(T1672:AE1672, MATCH(DATE(YEAR(TODAY()), MONTH(TODAY()), 1), $T$1:$AE$1, 0)),
  IF(_xlpm.actual_value_month &lt;&gt; "",_xlpm.actual_value_month &amp; " ações mensais", "")
)</f>
        <v/>
      </c>
      <c r="K1672" s="8" t="str" cm="1">
        <f t="array" ref="K1672">_xlfn.LET(
    _xlpm.sum_month, SUM(T1672:AE1672),
    IF(_xlpm.sum_month = 0, "", _xlpm.sum_month &amp; " NC's no ano")
)</f>
        <v/>
      </c>
      <c r="L1672" s="4" t="s">
        <v>120</v>
      </c>
      <c r="M1672" s="19"/>
      <c r="N1672" s="5" t="s">
        <v>51</v>
      </c>
      <c r="O1672" s="5"/>
      <c r="P1672" s="10"/>
      <c r="Q1672" s="10"/>
      <c r="R1672" s="11"/>
      <c r="S1672" s="11"/>
      <c r="T1672" s="22"/>
      <c r="U1672" s="22"/>
      <c r="V1672" s="22"/>
      <c r="W1672" s="22"/>
      <c r="X1672" s="22"/>
      <c r="Y1672" s="22"/>
      <c r="Z1672" s="22"/>
      <c r="AA1672" s="22"/>
      <c r="AB1672" s="22"/>
      <c r="AC1672" s="22"/>
      <c r="AD1672" s="22"/>
      <c r="AE1672" s="22"/>
      <c r="AF1672" s="81"/>
      <c r="AG1672" s="71"/>
      <c r="AH1672" s="71"/>
      <c r="AI1672" s="71"/>
      <c r="AJ1672" s="71"/>
      <c r="AK1672" s="71"/>
      <c r="AL1672" s="71"/>
      <c r="AM1672" s="71"/>
      <c r="AN1672" s="71"/>
      <c r="AO1672" s="71"/>
      <c r="AP1672" s="71"/>
      <c r="AQ1672" s="71"/>
      <c r="AR1672" s="71"/>
      <c r="AS1672" s="94"/>
      <c r="AT1672" s="95"/>
      <c r="AU1672" s="97"/>
      <c r="AV1672" s="81"/>
      <c r="AW1672" s="83">
        <f t="shared" si="1940"/>
        <v>0</v>
      </c>
      <c r="AX1672" s="83">
        <f t="shared" si="1941"/>
        <v>0</v>
      </c>
      <c r="AY1672" s="83">
        <f t="shared" si="1942"/>
        <v>0</v>
      </c>
      <c r="AZ1672" s="83">
        <f t="shared" si="1943"/>
        <v>0</v>
      </c>
      <c r="BA1672" s="83"/>
      <c r="BB1672" s="83"/>
      <c r="BC1672" s="83"/>
      <c r="BD1672" s="83"/>
      <c r="BE1672" s="83"/>
      <c r="BF1672" s="83"/>
      <c r="BG1672" s="83"/>
      <c r="BH1672" s="83"/>
      <c r="BI1672" s="65"/>
      <c r="BJ1672" s="68"/>
      <c r="BK1672" s="59">
        <f t="shared" si="1944"/>
        <v>0</v>
      </c>
      <c r="BL1672" s="59" cm="1">
        <f t="array" ref="BL1672">IFERROR(SUM(AW1672:INDEX(AW1672:BH1672, MATCH(2, 1/(AW1672:BH1672&lt;&gt;""), 1) - 1))/_xlfn.XLOOKUP(F1672,Apuração!A:A,Apuração!B:B),0)</f>
        <v>0</v>
      </c>
      <c r="BM1672" s="55"/>
      <c r="BN1672" s="55"/>
      <c r="BO1672" s="53">
        <f ca="1">IFERROR(_xlfn.XLOOKUP(F1672,Apuração!A:A,Apuração!C:C)/_xlfn.XLOOKUP(F1672,Apuração!A:A,Apuração!B:B),0)</f>
        <v>0</v>
      </c>
      <c r="BP1672" s="53">
        <f ca="1">IFERROR(_xlfn.XLOOKUP(F1672,Apuração!A:A,Apuração!D:D)/_xlfn.XLOOKUP(F1672,Apuração!A:A,Apuração!B:B),0)</f>
        <v>0</v>
      </c>
      <c r="BQ1672" s="53">
        <f ca="1">IF(BK1672&gt;=BO1672,0,_xlfn.XLOOKUP(F1672,Apuração!A:A,Apuração!B:B)*(BO1672 + (1/_xlfn.XLOOKUP(F1672,Apuração!A:A,Apuração!B:B)) - BK1672))</f>
        <v>0</v>
      </c>
      <c r="BR1672" s="85">
        <f t="shared" ca="1" si="1945"/>
        <v>0</v>
      </c>
      <c r="BS1672" s="53">
        <f ca="1">IFERROR((_xlfn.XLOOKUP(F1672,Apuração!A:A,Apuração!C:C)+1)/_xlfn.XLOOKUP(F1672,Apuração!A:A,Apuração!B:B),0)</f>
        <v>0.14285714285714285</v>
      </c>
    </row>
    <row r="1673" spans="1:71" ht="25.95" hidden="1" customHeight="1" x14ac:dyDescent="0.3">
      <c r="A1673" s="70" t="s">
        <v>108</v>
      </c>
      <c r="B1673" s="4" t="s">
        <v>117</v>
      </c>
      <c r="C1673" s="5" t="s">
        <v>214</v>
      </c>
      <c r="D1673" s="5" t="s">
        <v>213</v>
      </c>
      <c r="E1673" s="4" t="s">
        <v>118</v>
      </c>
      <c r="F1673" s="4" t="str" cm="1">
        <f t="array" ref="F1673">_xlfn.IFS(
AG1673 &lt;&gt; "", "Jan-Dez/26",
AH1673 &lt;&gt; "", "Fev-Dez/26",
AI1673 &lt;&gt; "", "Mar-Dez/26", AJ1673 &lt;&gt; "", "Abr-Dez/26",
TRUE, "A partir de Junho"
)</f>
        <v>A partir de Junho</v>
      </c>
      <c r="G1673" s="4" t="s">
        <v>37</v>
      </c>
      <c r="H1673" s="7" t="s">
        <v>38</v>
      </c>
      <c r="I1673" s="4" t="s">
        <v>119</v>
      </c>
      <c r="J1673" s="8" t="str" cm="1">
        <f t="array" aca="1" ref="J1673" ca="1">_xlfn.LET(
  _xlpm.actual_value_month, INDEX(T1673:AE1673, MATCH(DATE(YEAR(TODAY()), MONTH(TODAY()), 1), $T$1:$AE$1, 0)),
  IF(_xlpm.actual_value_month &lt;&gt; "",_xlpm.actual_value_month &amp; " ações mensais", "")
)</f>
        <v/>
      </c>
      <c r="K1673" s="8" t="str" cm="1">
        <f t="array" ref="K1673">_xlfn.LET(
    _xlpm.sum_month, SUM(T1673:AE1673),
    IF(_xlpm.sum_month = 0, "", _xlpm.sum_month &amp; " NC's no ano")
)</f>
        <v/>
      </c>
      <c r="L1673" s="4" t="s">
        <v>120</v>
      </c>
      <c r="M1673" s="19"/>
      <c r="N1673" s="5" t="s">
        <v>51</v>
      </c>
      <c r="O1673" s="5"/>
      <c r="P1673" s="10"/>
      <c r="Q1673" s="10"/>
      <c r="R1673" s="11"/>
      <c r="S1673" s="11"/>
      <c r="T1673" s="22"/>
      <c r="U1673" s="22"/>
      <c r="V1673" s="22"/>
      <c r="W1673" s="22"/>
      <c r="X1673" s="22"/>
      <c r="Y1673" s="22"/>
      <c r="Z1673" s="22"/>
      <c r="AA1673" s="22"/>
      <c r="AB1673" s="22"/>
      <c r="AC1673" s="22"/>
      <c r="AD1673" s="22"/>
      <c r="AE1673" s="22"/>
      <c r="AF1673" s="81"/>
      <c r="AG1673" s="71"/>
      <c r="AH1673" s="71"/>
      <c r="AI1673" s="71"/>
      <c r="AJ1673" s="71"/>
      <c r="AK1673" s="71"/>
      <c r="AL1673" s="71"/>
      <c r="AM1673" s="71"/>
      <c r="AN1673" s="71"/>
      <c r="AO1673" s="71"/>
      <c r="AP1673" s="71"/>
      <c r="AQ1673" s="71"/>
      <c r="AR1673" s="71"/>
      <c r="AS1673" s="94"/>
      <c r="AT1673" s="95"/>
      <c r="AU1673" s="97"/>
      <c r="AV1673" s="81"/>
      <c r="AW1673" s="83">
        <f t="shared" si="1940"/>
        <v>0</v>
      </c>
      <c r="AX1673" s="83">
        <f t="shared" si="1941"/>
        <v>0</v>
      </c>
      <c r="AY1673" s="83">
        <f t="shared" si="1942"/>
        <v>0</v>
      </c>
      <c r="AZ1673" s="83">
        <f t="shared" si="1943"/>
        <v>0</v>
      </c>
      <c r="BA1673" s="83"/>
      <c r="BB1673" s="83"/>
      <c r="BC1673" s="83"/>
      <c r="BD1673" s="83"/>
      <c r="BE1673" s="83"/>
      <c r="BF1673" s="83"/>
      <c r="BG1673" s="83"/>
      <c r="BH1673" s="83"/>
      <c r="BI1673" s="65"/>
      <c r="BJ1673" s="68"/>
      <c r="BK1673" s="59">
        <f t="shared" si="1944"/>
        <v>0</v>
      </c>
      <c r="BL1673" s="59" cm="1">
        <f t="array" ref="BL1673">IFERROR(SUM(AW1673:INDEX(AW1673:BH1673, MATCH(2, 1/(AW1673:BH1673&lt;&gt;""), 1) - 1))/_xlfn.XLOOKUP(F1673,Apuração!A:A,Apuração!B:B),0)</f>
        <v>0</v>
      </c>
      <c r="BM1673" s="55"/>
      <c r="BN1673" s="55"/>
      <c r="BO1673" s="53">
        <f ca="1">IFERROR(_xlfn.XLOOKUP(F1673,Apuração!A:A,Apuração!C:C)/_xlfn.XLOOKUP(F1673,Apuração!A:A,Apuração!B:B),0)</f>
        <v>0</v>
      </c>
      <c r="BP1673" s="53">
        <f ca="1">IFERROR(_xlfn.XLOOKUP(F1673,Apuração!A:A,Apuração!D:D)/_xlfn.XLOOKUP(F1673,Apuração!A:A,Apuração!B:B),0)</f>
        <v>0</v>
      </c>
      <c r="BQ1673" s="53">
        <f ca="1">IF(BK1673&gt;=BO1673,0,_xlfn.XLOOKUP(F1673,Apuração!A:A,Apuração!B:B)*(BO1673 + (1/_xlfn.XLOOKUP(F1673,Apuração!A:A,Apuração!B:B)) - BK1673))</f>
        <v>0</v>
      </c>
      <c r="BR1673" s="85">
        <f t="shared" ca="1" si="1945"/>
        <v>0</v>
      </c>
      <c r="BS1673" s="53">
        <f ca="1">IFERROR((_xlfn.XLOOKUP(F1673,Apuração!A:A,Apuração!C:C)+1)/_xlfn.XLOOKUP(F1673,Apuração!A:A,Apuração!B:B),0)</f>
        <v>0.14285714285714285</v>
      </c>
    </row>
    <row r="1674" spans="1:71" ht="25.95" hidden="1" customHeight="1" x14ac:dyDescent="0.3">
      <c r="A1674" s="70" t="s">
        <v>108</v>
      </c>
      <c r="B1674" s="4" t="s">
        <v>117</v>
      </c>
      <c r="C1674" s="5" t="s">
        <v>214</v>
      </c>
      <c r="D1674" s="5" t="s">
        <v>36</v>
      </c>
      <c r="E1674" s="4" t="s">
        <v>118</v>
      </c>
      <c r="F1674" s="4" t="str" cm="1">
        <f t="array" ref="F1674">_xlfn.IFS(
AG1674 &lt;&gt; "", "Jan-Dez/26",
AH1674 &lt;&gt; "", "Fev-Dez/26",
AI1674 &lt;&gt; "", "Mar-Dez/26", AJ1674 &lt;&gt; "", "Abr-Dez/26",
TRUE, "A partir de Junho"
)</f>
        <v>Jan-Dez/26</v>
      </c>
      <c r="G1674" s="4" t="s">
        <v>37</v>
      </c>
      <c r="H1674" s="7" t="s">
        <v>38</v>
      </c>
      <c r="I1674" s="4" t="s">
        <v>121</v>
      </c>
      <c r="J1674" s="8" t="str" cm="1">
        <f t="array" aca="1" ref="J1674" ca="1">_xlfn.LET(
  _xlpm.actual_value_month, INDEX(T1674:AE1674, MATCH(DATE(YEAR(TODAY()), MONTH(TODAY()), 1), $T$1:$AE$1, 0)),
  IF(_xlpm.actual_value_month &lt;&gt; "",_xlpm.actual_value_month &amp; " ações mensais", "")
)</f>
        <v/>
      </c>
      <c r="K1674" s="8" t="str" cm="1">
        <f t="array" ref="K1674">_xlfn.LET(
    _xlpm.sum_month, SUM(T1674:AE1674),
    IF(_xlpm.sum_month = 0, "", _xlpm.sum_month &amp; " empresas monitoradas no ano")
)</f>
        <v/>
      </c>
      <c r="L1674" s="4" t="s">
        <v>122</v>
      </c>
      <c r="M1674" s="19"/>
      <c r="N1674" s="5" t="s">
        <v>51</v>
      </c>
      <c r="O1674" s="5"/>
      <c r="P1674" s="10"/>
      <c r="Q1674" s="10"/>
      <c r="R1674" s="11"/>
      <c r="S1674" s="11"/>
      <c r="T1674" s="22"/>
      <c r="U1674" s="22"/>
      <c r="V1674" s="22"/>
      <c r="W1674" s="22"/>
      <c r="X1674" s="22"/>
      <c r="Y1674" s="22"/>
      <c r="Z1674" s="22"/>
      <c r="AA1674" s="22"/>
      <c r="AB1674" s="22"/>
      <c r="AC1674" s="22"/>
      <c r="AD1674" s="22"/>
      <c r="AE1674" s="22"/>
      <c r="AF1674" s="81"/>
      <c r="AG1674" s="71">
        <v>58</v>
      </c>
      <c r="AH1674" s="71">
        <v>59</v>
      </c>
      <c r="AI1674" s="71">
        <v>59</v>
      </c>
      <c r="AJ1674" s="71"/>
      <c r="AK1674" s="71"/>
      <c r="AL1674" s="71"/>
      <c r="AM1674" s="71"/>
      <c r="AN1674" s="71"/>
      <c r="AO1674" s="71"/>
      <c r="AP1674" s="71"/>
      <c r="AQ1674" s="71"/>
      <c r="AR1674" s="71"/>
      <c r="AS1674" s="94"/>
      <c r="AT1674" s="95"/>
      <c r="AU1674" s="97"/>
      <c r="AV1674" s="81"/>
      <c r="AW1674" s="83">
        <f>AG1674</f>
        <v>58</v>
      </c>
      <c r="AX1674" s="83">
        <f>AH1674</f>
        <v>59</v>
      </c>
      <c r="AY1674" s="83">
        <f>AI1674</f>
        <v>59</v>
      </c>
      <c r="AZ1674" s="83">
        <f>AJ1674</f>
        <v>0</v>
      </c>
      <c r="BA1674" s="83"/>
      <c r="BB1674" s="83"/>
      <c r="BC1674" s="83"/>
      <c r="BD1674" s="83"/>
      <c r="BE1674" s="83"/>
      <c r="BF1674" s="83"/>
      <c r="BG1674" s="83"/>
      <c r="BH1674" s="83"/>
      <c r="BI1674" s="65"/>
      <c r="BJ1674" s="68"/>
      <c r="BK1674" s="59">
        <f>SUM(AW1674:BH1674)</f>
        <v>176</v>
      </c>
      <c r="BL1674" s="59" cm="1">
        <f t="array" ref="BL1674">IFERROR(SUM(AW1674:INDEX(AW1674:BH1674, MATCH(2, 1/(AW1674:BH1674&lt;&gt;""), 1) - 1))/_xlfn.XLOOKUP(F1674,Apuração!A:A,Apuração!B:B),0)</f>
        <v>14.666666666666666</v>
      </c>
      <c r="BM1674" s="55"/>
      <c r="BN1674" s="55"/>
      <c r="BO1674" s="53">
        <f ca="1">IFERROR(_xlfn.XLOOKUP(F1674,Apuração!A:A,Apuração!C:C)/_xlfn.XLOOKUP(F1674,Apuração!A:A,Apuração!B:B),0)</f>
        <v>0.41666666666666669</v>
      </c>
      <c r="BP1674" s="53">
        <f ca="1">IFERROR(_xlfn.XLOOKUP(F1674,Apuração!A:A,Apuração!D:D)/_xlfn.XLOOKUP(F1674,Apuração!A:A,Apuração!B:B),0)</f>
        <v>0.33333333333333331</v>
      </c>
      <c r="BQ1674" s="53">
        <f ca="1">IF(BK1674&gt;=BO1674,0,_xlfn.XLOOKUP(F1674,Apuração!A:A,Apuração!B:B)*(BO1674 + (1/_xlfn.XLOOKUP(F1674,Apuração!A:A,Apuração!B:B)) - BK1674))</f>
        <v>0</v>
      </c>
      <c r="BR1674" s="85">
        <f ca="1">IF(BQ1674=0,0,BQ1674*Z1674)</f>
        <v>0</v>
      </c>
      <c r="BS1674" s="53">
        <f ca="1">IFERROR((_xlfn.XLOOKUP(F1674,Apuração!A:A,Apuração!C:C)+1)/_xlfn.XLOOKUP(F1674,Apuração!A:A,Apuração!B:B),0)</f>
        <v>0.5</v>
      </c>
    </row>
    <row r="1675" spans="1:71" ht="25.95" hidden="1" customHeight="1" x14ac:dyDescent="0.3">
      <c r="A1675" s="70" t="s">
        <v>108</v>
      </c>
      <c r="B1675" s="4" t="s">
        <v>117</v>
      </c>
      <c r="C1675" s="5" t="s">
        <v>214</v>
      </c>
      <c r="D1675" s="5" t="s">
        <v>210</v>
      </c>
      <c r="E1675" s="4" t="s">
        <v>118</v>
      </c>
      <c r="F1675" s="4" t="str" cm="1">
        <f t="array" ref="F1675">_xlfn.IFS(
AG1675 &lt;&gt; "", "Jan-Dez/26",
AH1675 &lt;&gt; "", "Fev-Dez/26",
AI1675 &lt;&gt; "", "Mar-Dez/26", AJ1675 &lt;&gt; "", "Abr-Dez/26",
TRUE, "A partir de Junho"
)</f>
        <v>A partir de Junho</v>
      </c>
      <c r="G1675" s="4" t="s">
        <v>37</v>
      </c>
      <c r="H1675" s="7" t="s">
        <v>38</v>
      </c>
      <c r="I1675" s="4" t="s">
        <v>121</v>
      </c>
      <c r="J1675" s="8" t="str" cm="1">
        <f t="array" aca="1" ref="J1675" ca="1">_xlfn.LET(
  _xlpm.actual_value_month, INDEX(T1675:AE1675, MATCH(DATE(YEAR(TODAY()), MONTH(TODAY()), 1), $T$1:$AE$1, 0)),
  IF(_xlpm.actual_value_month &lt;&gt; "",_xlpm.actual_value_month &amp; " ações mensais", "")
)</f>
        <v/>
      </c>
      <c r="K1675" s="8" t="str" cm="1">
        <f t="array" ref="K1675">_xlfn.LET(
    _xlpm.sum_month, SUM(T1675:AE1675),
    IF(_xlpm.sum_month = 0, "", _xlpm.sum_month &amp; " empresas monitoradas no ano")
)</f>
        <v/>
      </c>
      <c r="L1675" s="4" t="s">
        <v>122</v>
      </c>
      <c r="M1675" s="19"/>
      <c r="N1675" s="5" t="s">
        <v>51</v>
      </c>
      <c r="O1675" s="5"/>
      <c r="P1675" s="10"/>
      <c r="Q1675" s="10"/>
      <c r="R1675" s="11"/>
      <c r="S1675" s="11"/>
      <c r="T1675" s="22"/>
      <c r="U1675" s="22"/>
      <c r="V1675" s="22"/>
      <c r="W1675" s="22"/>
      <c r="X1675" s="22"/>
      <c r="Y1675" s="22"/>
      <c r="Z1675" s="22"/>
      <c r="AA1675" s="22"/>
      <c r="AB1675" s="22"/>
      <c r="AC1675" s="22"/>
      <c r="AD1675" s="22"/>
      <c r="AE1675" s="22"/>
      <c r="AF1675" s="81"/>
      <c r="AG1675" s="71"/>
      <c r="AH1675" s="71"/>
      <c r="AI1675" s="71"/>
      <c r="AJ1675" s="71"/>
      <c r="AK1675" s="71"/>
      <c r="AL1675" s="71"/>
      <c r="AM1675" s="71"/>
      <c r="AN1675" s="71"/>
      <c r="AO1675" s="71"/>
      <c r="AP1675" s="71"/>
      <c r="AQ1675" s="71"/>
      <c r="AR1675" s="71"/>
      <c r="AS1675" s="94"/>
      <c r="AT1675" s="95"/>
      <c r="AU1675" s="97"/>
      <c r="AV1675" s="81"/>
      <c r="AW1675" s="83">
        <f t="shared" ref="AW1675:AW1679" si="1946">AG1675</f>
        <v>0</v>
      </c>
      <c r="AX1675" s="83">
        <f t="shared" ref="AX1675:AX1679" si="1947">AH1675</f>
        <v>0</v>
      </c>
      <c r="AY1675" s="83">
        <f t="shared" ref="AY1675:AY1679" si="1948">AI1675</f>
        <v>0</v>
      </c>
      <c r="AZ1675" s="83">
        <f t="shared" ref="AZ1675:AZ1679" si="1949">AJ1675</f>
        <v>0</v>
      </c>
      <c r="BA1675" s="83"/>
      <c r="BB1675" s="83"/>
      <c r="BC1675" s="83"/>
      <c r="BD1675" s="83"/>
      <c r="BE1675" s="83"/>
      <c r="BF1675" s="83"/>
      <c r="BG1675" s="83"/>
      <c r="BH1675" s="83"/>
      <c r="BI1675" s="65"/>
      <c r="BJ1675" s="68"/>
      <c r="BK1675" s="59">
        <f t="shared" ref="BK1675:BK1679" si="1950">SUM(AW1675:BH1675)</f>
        <v>0</v>
      </c>
      <c r="BL1675" s="59" cm="1">
        <f t="array" ref="BL1675">IFERROR(SUM(AW1675:INDEX(AW1675:BH1675, MATCH(2, 1/(AW1675:BH1675&lt;&gt;""), 1) - 1))/_xlfn.XLOOKUP(F1675,Apuração!A:A,Apuração!B:B),0)</f>
        <v>0</v>
      </c>
      <c r="BM1675" s="55"/>
      <c r="BN1675" s="55"/>
      <c r="BO1675" s="53">
        <f ca="1">IFERROR(_xlfn.XLOOKUP(F1675,Apuração!A:A,Apuração!C:C)/_xlfn.XLOOKUP(F1675,Apuração!A:A,Apuração!B:B),0)</f>
        <v>0</v>
      </c>
      <c r="BP1675" s="53">
        <f ca="1">IFERROR(_xlfn.XLOOKUP(F1675,Apuração!A:A,Apuração!D:D)/_xlfn.XLOOKUP(F1675,Apuração!A:A,Apuração!B:B),0)</f>
        <v>0</v>
      </c>
      <c r="BQ1675" s="53">
        <f ca="1">IF(BK1675&gt;=BO1675,0,_xlfn.XLOOKUP(F1675,Apuração!A:A,Apuração!B:B)*(BO1675 + (1/_xlfn.XLOOKUP(F1675,Apuração!A:A,Apuração!B:B)) - BK1675))</f>
        <v>0</v>
      </c>
      <c r="BR1675" s="85">
        <f t="shared" ref="BR1675:BR1679" ca="1" si="1951">IF(BQ1675=0,0,BQ1675*Z1675)</f>
        <v>0</v>
      </c>
      <c r="BS1675" s="53">
        <f ca="1">IFERROR((_xlfn.XLOOKUP(F1675,Apuração!A:A,Apuração!C:C)+1)/_xlfn.XLOOKUP(F1675,Apuração!A:A,Apuração!B:B),0)</f>
        <v>0.14285714285714285</v>
      </c>
    </row>
    <row r="1676" spans="1:71" ht="25.95" hidden="1" customHeight="1" x14ac:dyDescent="0.3">
      <c r="A1676" s="70" t="s">
        <v>108</v>
      </c>
      <c r="B1676" s="4" t="s">
        <v>117</v>
      </c>
      <c r="C1676" s="5" t="s">
        <v>214</v>
      </c>
      <c r="D1676" s="5" t="s">
        <v>215</v>
      </c>
      <c r="E1676" s="4" t="s">
        <v>118</v>
      </c>
      <c r="F1676" s="4" t="str" cm="1">
        <f t="array" ref="F1676">_xlfn.IFS(
AG1676 &lt;&gt; "", "Jan-Dez/26",
AH1676 &lt;&gt; "", "Fev-Dez/26",
AI1676 &lt;&gt; "", "Mar-Dez/26", AJ1676 &lt;&gt; "", "Abr-Dez/26",
TRUE, "A partir de Junho"
)</f>
        <v>A partir de Junho</v>
      </c>
      <c r="G1676" s="4" t="s">
        <v>37</v>
      </c>
      <c r="H1676" s="7" t="s">
        <v>38</v>
      </c>
      <c r="I1676" s="4" t="s">
        <v>121</v>
      </c>
      <c r="J1676" s="8" t="str" cm="1">
        <f t="array" aca="1" ref="J1676" ca="1">_xlfn.LET(
  _xlpm.actual_value_month, INDEX(T1676:AE1676, MATCH(DATE(YEAR(TODAY()), MONTH(TODAY()), 1), $T$1:$AE$1, 0)),
  IF(_xlpm.actual_value_month &lt;&gt; "",_xlpm.actual_value_month &amp; " ações mensais", "")
)</f>
        <v/>
      </c>
      <c r="K1676" s="8" t="str" cm="1">
        <f t="array" ref="K1676">_xlfn.LET(
    _xlpm.sum_month, SUM(T1676:AE1676),
    IF(_xlpm.sum_month = 0, "", _xlpm.sum_month &amp; " empresas monitoradas no ano")
)</f>
        <v/>
      </c>
      <c r="L1676" s="4" t="s">
        <v>122</v>
      </c>
      <c r="M1676" s="19"/>
      <c r="N1676" s="5" t="s">
        <v>51</v>
      </c>
      <c r="O1676" s="5"/>
      <c r="P1676" s="10"/>
      <c r="Q1676" s="10"/>
      <c r="R1676" s="11"/>
      <c r="S1676" s="11"/>
      <c r="T1676" s="22"/>
      <c r="U1676" s="22"/>
      <c r="V1676" s="22"/>
      <c r="W1676" s="22"/>
      <c r="X1676" s="22"/>
      <c r="Y1676" s="22"/>
      <c r="Z1676" s="22"/>
      <c r="AA1676" s="22"/>
      <c r="AB1676" s="22"/>
      <c r="AC1676" s="22"/>
      <c r="AD1676" s="22"/>
      <c r="AE1676" s="22"/>
      <c r="AF1676" s="81"/>
      <c r="AG1676" s="71"/>
      <c r="AH1676" s="71"/>
      <c r="AI1676" s="71"/>
      <c r="AJ1676" s="71"/>
      <c r="AK1676" s="71"/>
      <c r="AL1676" s="71"/>
      <c r="AM1676" s="71"/>
      <c r="AN1676" s="71"/>
      <c r="AO1676" s="71"/>
      <c r="AP1676" s="71"/>
      <c r="AQ1676" s="71"/>
      <c r="AR1676" s="71"/>
      <c r="AS1676" s="94"/>
      <c r="AT1676" s="95"/>
      <c r="AU1676" s="97"/>
      <c r="AV1676" s="81"/>
      <c r="AW1676" s="83">
        <f t="shared" si="1946"/>
        <v>0</v>
      </c>
      <c r="AX1676" s="83">
        <f t="shared" si="1947"/>
        <v>0</v>
      </c>
      <c r="AY1676" s="83">
        <f t="shared" si="1948"/>
        <v>0</v>
      </c>
      <c r="AZ1676" s="83">
        <f t="shared" si="1949"/>
        <v>0</v>
      </c>
      <c r="BA1676" s="83"/>
      <c r="BB1676" s="83"/>
      <c r="BC1676" s="83"/>
      <c r="BD1676" s="83"/>
      <c r="BE1676" s="83"/>
      <c r="BF1676" s="83"/>
      <c r="BG1676" s="83"/>
      <c r="BH1676" s="83"/>
      <c r="BI1676" s="65"/>
      <c r="BJ1676" s="68"/>
      <c r="BK1676" s="59">
        <f t="shared" si="1950"/>
        <v>0</v>
      </c>
      <c r="BL1676" s="59" cm="1">
        <f t="array" ref="BL1676">IFERROR(SUM(AW1676:INDEX(AW1676:BH1676, MATCH(2, 1/(AW1676:BH1676&lt;&gt;""), 1) - 1))/_xlfn.XLOOKUP(F1676,Apuração!A:A,Apuração!B:B),0)</f>
        <v>0</v>
      </c>
      <c r="BM1676" s="55"/>
      <c r="BN1676" s="55"/>
      <c r="BO1676" s="53">
        <f ca="1">IFERROR(_xlfn.XLOOKUP(F1676,Apuração!A:A,Apuração!C:C)/_xlfn.XLOOKUP(F1676,Apuração!A:A,Apuração!B:B),0)</f>
        <v>0</v>
      </c>
      <c r="BP1676" s="53">
        <f ca="1">IFERROR(_xlfn.XLOOKUP(F1676,Apuração!A:A,Apuração!D:D)/_xlfn.XLOOKUP(F1676,Apuração!A:A,Apuração!B:B),0)</f>
        <v>0</v>
      </c>
      <c r="BQ1676" s="53">
        <f ca="1">IF(BK1676&gt;=BO1676,0,_xlfn.XLOOKUP(F1676,Apuração!A:A,Apuração!B:B)*(BO1676 + (1/_xlfn.XLOOKUP(F1676,Apuração!A:A,Apuração!B:B)) - BK1676))</f>
        <v>0</v>
      </c>
      <c r="BR1676" s="85">
        <f t="shared" ca="1" si="1951"/>
        <v>0</v>
      </c>
      <c r="BS1676" s="53">
        <f ca="1">IFERROR((_xlfn.XLOOKUP(F1676,Apuração!A:A,Apuração!C:C)+1)/_xlfn.XLOOKUP(F1676,Apuração!A:A,Apuração!B:B),0)</f>
        <v>0.14285714285714285</v>
      </c>
    </row>
    <row r="1677" spans="1:71" ht="25.95" hidden="1" customHeight="1" x14ac:dyDescent="0.3">
      <c r="A1677" s="70" t="s">
        <v>108</v>
      </c>
      <c r="B1677" s="4" t="s">
        <v>117</v>
      </c>
      <c r="C1677" s="5" t="s">
        <v>214</v>
      </c>
      <c r="D1677" s="5" t="s">
        <v>212</v>
      </c>
      <c r="E1677" s="4" t="s">
        <v>118</v>
      </c>
      <c r="F1677" s="4" t="str" cm="1">
        <f t="array" ref="F1677">_xlfn.IFS(
AG1677 &lt;&gt; "", "Jan-Dez/26",
AH1677 &lt;&gt; "", "Fev-Dez/26",
AI1677 &lt;&gt; "", "Mar-Dez/26", AJ1677 &lt;&gt; "", "Abr-Dez/26",
TRUE, "A partir de Junho"
)</f>
        <v>A partir de Junho</v>
      </c>
      <c r="G1677" s="4" t="s">
        <v>37</v>
      </c>
      <c r="H1677" s="7" t="s">
        <v>38</v>
      </c>
      <c r="I1677" s="4" t="s">
        <v>121</v>
      </c>
      <c r="J1677" s="8" t="str" cm="1">
        <f t="array" aca="1" ref="J1677" ca="1">_xlfn.LET(
  _xlpm.actual_value_month, INDEX(T1677:AE1677, MATCH(DATE(YEAR(TODAY()), MONTH(TODAY()), 1), $T$1:$AE$1, 0)),
  IF(_xlpm.actual_value_month &lt;&gt; "",_xlpm.actual_value_month &amp; " ações mensais", "")
)</f>
        <v/>
      </c>
      <c r="K1677" s="8" t="str" cm="1">
        <f t="array" ref="K1677">_xlfn.LET(
    _xlpm.sum_month, SUM(T1677:AE1677),
    IF(_xlpm.sum_month = 0, "", _xlpm.sum_month &amp; " empresas monitoradas no ano")
)</f>
        <v/>
      </c>
      <c r="L1677" s="4" t="s">
        <v>122</v>
      </c>
      <c r="M1677" s="19"/>
      <c r="N1677" s="5" t="s">
        <v>51</v>
      </c>
      <c r="O1677" s="5"/>
      <c r="P1677" s="10"/>
      <c r="Q1677" s="10"/>
      <c r="R1677" s="11"/>
      <c r="S1677" s="11"/>
      <c r="T1677" s="22"/>
      <c r="U1677" s="22"/>
      <c r="V1677" s="22"/>
      <c r="W1677" s="22"/>
      <c r="X1677" s="22"/>
      <c r="Y1677" s="22"/>
      <c r="Z1677" s="22"/>
      <c r="AA1677" s="22"/>
      <c r="AB1677" s="22"/>
      <c r="AC1677" s="22"/>
      <c r="AD1677" s="22"/>
      <c r="AE1677" s="22"/>
      <c r="AF1677" s="81"/>
      <c r="AG1677" s="71"/>
      <c r="AH1677" s="71"/>
      <c r="AI1677" s="71"/>
      <c r="AJ1677" s="71"/>
      <c r="AK1677" s="71"/>
      <c r="AL1677" s="71"/>
      <c r="AM1677" s="71"/>
      <c r="AN1677" s="71"/>
      <c r="AO1677" s="71"/>
      <c r="AP1677" s="71"/>
      <c r="AQ1677" s="71"/>
      <c r="AR1677" s="71"/>
      <c r="AS1677" s="94"/>
      <c r="AT1677" s="95"/>
      <c r="AU1677" s="97"/>
      <c r="AV1677" s="81"/>
      <c r="AW1677" s="83">
        <f t="shared" si="1946"/>
        <v>0</v>
      </c>
      <c r="AX1677" s="83">
        <f t="shared" si="1947"/>
        <v>0</v>
      </c>
      <c r="AY1677" s="83">
        <f t="shared" si="1948"/>
        <v>0</v>
      </c>
      <c r="AZ1677" s="83">
        <f t="shared" si="1949"/>
        <v>0</v>
      </c>
      <c r="BA1677" s="83"/>
      <c r="BB1677" s="83"/>
      <c r="BC1677" s="83"/>
      <c r="BD1677" s="83"/>
      <c r="BE1677" s="83"/>
      <c r="BF1677" s="83"/>
      <c r="BG1677" s="83"/>
      <c r="BH1677" s="83"/>
      <c r="BI1677" s="65"/>
      <c r="BJ1677" s="68"/>
      <c r="BK1677" s="59">
        <f t="shared" si="1950"/>
        <v>0</v>
      </c>
      <c r="BL1677" s="59" cm="1">
        <f t="array" ref="BL1677">IFERROR(SUM(AW1677:INDEX(AW1677:BH1677, MATCH(2, 1/(AW1677:BH1677&lt;&gt;""), 1) - 1))/_xlfn.XLOOKUP(F1677,Apuração!A:A,Apuração!B:B),0)</f>
        <v>0</v>
      </c>
      <c r="BM1677" s="55"/>
      <c r="BN1677" s="55"/>
      <c r="BO1677" s="53">
        <f ca="1">IFERROR(_xlfn.XLOOKUP(F1677,Apuração!A:A,Apuração!C:C)/_xlfn.XLOOKUP(F1677,Apuração!A:A,Apuração!B:B),0)</f>
        <v>0</v>
      </c>
      <c r="BP1677" s="53">
        <f ca="1">IFERROR(_xlfn.XLOOKUP(F1677,Apuração!A:A,Apuração!D:D)/_xlfn.XLOOKUP(F1677,Apuração!A:A,Apuração!B:B),0)</f>
        <v>0</v>
      </c>
      <c r="BQ1677" s="53">
        <f ca="1">IF(BK1677&gt;=BO1677,0,_xlfn.XLOOKUP(F1677,Apuração!A:A,Apuração!B:B)*(BO1677 + (1/_xlfn.XLOOKUP(F1677,Apuração!A:A,Apuração!B:B)) - BK1677))</f>
        <v>0</v>
      </c>
      <c r="BR1677" s="85">
        <f t="shared" ca="1" si="1951"/>
        <v>0</v>
      </c>
      <c r="BS1677" s="53">
        <f ca="1">IFERROR((_xlfn.XLOOKUP(F1677,Apuração!A:A,Apuração!C:C)+1)/_xlfn.XLOOKUP(F1677,Apuração!A:A,Apuração!B:B),0)</f>
        <v>0.14285714285714285</v>
      </c>
    </row>
    <row r="1678" spans="1:71" ht="25.95" hidden="1" customHeight="1" x14ac:dyDescent="0.3">
      <c r="A1678" s="70" t="s">
        <v>108</v>
      </c>
      <c r="B1678" s="4" t="s">
        <v>117</v>
      </c>
      <c r="C1678" s="5" t="s">
        <v>214</v>
      </c>
      <c r="D1678" s="5" t="s">
        <v>48</v>
      </c>
      <c r="E1678" s="4" t="s">
        <v>118</v>
      </c>
      <c r="F1678" s="4" t="str" cm="1">
        <f t="array" ref="F1678">_xlfn.IFS(
AG1678 &lt;&gt; "", "Jan-Dez/26",
AH1678 &lt;&gt; "", "Fev-Dez/26",
AI1678 &lt;&gt; "", "Mar-Dez/26", AJ1678 &lt;&gt; "", "Abr-Dez/26",
TRUE, "A partir de Junho"
)</f>
        <v>A partir de Junho</v>
      </c>
      <c r="G1678" s="4" t="s">
        <v>37</v>
      </c>
      <c r="H1678" s="7" t="s">
        <v>38</v>
      </c>
      <c r="I1678" s="4" t="s">
        <v>121</v>
      </c>
      <c r="J1678" s="8" t="str" cm="1">
        <f t="array" aca="1" ref="J1678" ca="1">_xlfn.LET(
  _xlpm.actual_value_month, INDEX(T1678:AE1678, MATCH(DATE(YEAR(TODAY()), MONTH(TODAY()), 1), $T$1:$AE$1, 0)),
  IF(_xlpm.actual_value_month &lt;&gt; "",_xlpm.actual_value_month &amp; " ações mensais", "")
)</f>
        <v/>
      </c>
      <c r="K1678" s="8" t="str" cm="1">
        <f t="array" ref="K1678">_xlfn.LET(
    _xlpm.sum_month, SUM(T1678:AE1678),
    IF(_xlpm.sum_month = 0, "", _xlpm.sum_month &amp; " empresas monitoradas no ano")
)</f>
        <v/>
      </c>
      <c r="L1678" s="4" t="s">
        <v>122</v>
      </c>
      <c r="M1678" s="19"/>
      <c r="N1678" s="5" t="s">
        <v>51</v>
      </c>
      <c r="O1678" s="5"/>
      <c r="P1678" s="10"/>
      <c r="Q1678" s="10"/>
      <c r="R1678" s="11"/>
      <c r="S1678" s="11"/>
      <c r="T1678" s="22"/>
      <c r="U1678" s="22"/>
      <c r="V1678" s="22"/>
      <c r="W1678" s="22"/>
      <c r="X1678" s="22"/>
      <c r="Y1678" s="22"/>
      <c r="Z1678" s="22"/>
      <c r="AA1678" s="22"/>
      <c r="AB1678" s="22"/>
      <c r="AC1678" s="22"/>
      <c r="AD1678" s="22"/>
      <c r="AE1678" s="22"/>
      <c r="AF1678" s="81"/>
      <c r="AG1678" s="71"/>
      <c r="AH1678" s="71"/>
      <c r="AI1678" s="71"/>
      <c r="AJ1678" s="71"/>
      <c r="AK1678" s="71"/>
      <c r="AL1678" s="71"/>
      <c r="AM1678" s="71"/>
      <c r="AN1678" s="71"/>
      <c r="AO1678" s="71"/>
      <c r="AP1678" s="71"/>
      <c r="AQ1678" s="71"/>
      <c r="AR1678" s="71"/>
      <c r="AS1678" s="94"/>
      <c r="AT1678" s="95"/>
      <c r="AU1678" s="97"/>
      <c r="AV1678" s="81"/>
      <c r="AW1678" s="83">
        <f t="shared" si="1946"/>
        <v>0</v>
      </c>
      <c r="AX1678" s="83">
        <f t="shared" si="1947"/>
        <v>0</v>
      </c>
      <c r="AY1678" s="83">
        <f t="shared" si="1948"/>
        <v>0</v>
      </c>
      <c r="AZ1678" s="83">
        <f t="shared" si="1949"/>
        <v>0</v>
      </c>
      <c r="BA1678" s="83"/>
      <c r="BB1678" s="83"/>
      <c r="BC1678" s="83"/>
      <c r="BD1678" s="83"/>
      <c r="BE1678" s="83"/>
      <c r="BF1678" s="83"/>
      <c r="BG1678" s="83"/>
      <c r="BH1678" s="83"/>
      <c r="BI1678" s="65"/>
      <c r="BJ1678" s="68"/>
      <c r="BK1678" s="59">
        <f t="shared" si="1950"/>
        <v>0</v>
      </c>
      <c r="BL1678" s="59" cm="1">
        <f t="array" ref="BL1678">IFERROR(SUM(AW1678:INDEX(AW1678:BH1678, MATCH(2, 1/(AW1678:BH1678&lt;&gt;""), 1) - 1))/_xlfn.XLOOKUP(F1678,Apuração!A:A,Apuração!B:B),0)</f>
        <v>0</v>
      </c>
      <c r="BM1678" s="55"/>
      <c r="BN1678" s="55"/>
      <c r="BO1678" s="53">
        <f ca="1">IFERROR(_xlfn.XLOOKUP(F1678,Apuração!A:A,Apuração!C:C)/_xlfn.XLOOKUP(F1678,Apuração!A:A,Apuração!B:B),0)</f>
        <v>0</v>
      </c>
      <c r="BP1678" s="53">
        <f ca="1">IFERROR(_xlfn.XLOOKUP(F1678,Apuração!A:A,Apuração!D:D)/_xlfn.XLOOKUP(F1678,Apuração!A:A,Apuração!B:B),0)</f>
        <v>0</v>
      </c>
      <c r="BQ1678" s="53">
        <f ca="1">IF(BK1678&gt;=BO1678,0,_xlfn.XLOOKUP(F1678,Apuração!A:A,Apuração!B:B)*(BO1678 + (1/_xlfn.XLOOKUP(F1678,Apuração!A:A,Apuração!B:B)) - BK1678))</f>
        <v>0</v>
      </c>
      <c r="BR1678" s="85">
        <f t="shared" ca="1" si="1951"/>
        <v>0</v>
      </c>
      <c r="BS1678" s="53">
        <f ca="1">IFERROR((_xlfn.XLOOKUP(F1678,Apuração!A:A,Apuração!C:C)+1)/_xlfn.XLOOKUP(F1678,Apuração!A:A,Apuração!B:B),0)</f>
        <v>0.14285714285714285</v>
      </c>
    </row>
    <row r="1679" spans="1:71" ht="25.95" hidden="1" customHeight="1" x14ac:dyDescent="0.3">
      <c r="A1679" s="70" t="s">
        <v>108</v>
      </c>
      <c r="B1679" s="4" t="s">
        <v>117</v>
      </c>
      <c r="C1679" s="5" t="s">
        <v>214</v>
      </c>
      <c r="D1679" s="5" t="s">
        <v>213</v>
      </c>
      <c r="E1679" s="4" t="s">
        <v>118</v>
      </c>
      <c r="F1679" s="4" t="str" cm="1">
        <f t="array" ref="F1679">_xlfn.IFS(
AG1679 &lt;&gt; "", "Jan-Dez/26",
AH1679 &lt;&gt; "", "Fev-Dez/26",
AI1679 &lt;&gt; "", "Mar-Dez/26", AJ1679 &lt;&gt; "", "Abr-Dez/26",
TRUE, "A partir de Junho"
)</f>
        <v>A partir de Junho</v>
      </c>
      <c r="G1679" s="4" t="s">
        <v>37</v>
      </c>
      <c r="H1679" s="7" t="s">
        <v>38</v>
      </c>
      <c r="I1679" s="4" t="s">
        <v>121</v>
      </c>
      <c r="J1679" s="8" t="str" cm="1">
        <f t="array" aca="1" ref="J1679" ca="1">_xlfn.LET(
  _xlpm.actual_value_month, INDEX(T1679:AE1679, MATCH(DATE(YEAR(TODAY()), MONTH(TODAY()), 1), $T$1:$AE$1, 0)),
  IF(_xlpm.actual_value_month &lt;&gt; "",_xlpm.actual_value_month &amp; " ações mensais", "")
)</f>
        <v/>
      </c>
      <c r="K1679" s="8" t="str" cm="1">
        <f t="array" ref="K1679">_xlfn.LET(
    _xlpm.sum_month, SUM(T1679:AE1679),
    IF(_xlpm.sum_month = 0, "", _xlpm.sum_month &amp; " empresas monitoradas no ano")
)</f>
        <v/>
      </c>
      <c r="L1679" s="4" t="s">
        <v>122</v>
      </c>
      <c r="M1679" s="19"/>
      <c r="N1679" s="5" t="s">
        <v>51</v>
      </c>
      <c r="O1679" s="5"/>
      <c r="P1679" s="10"/>
      <c r="Q1679" s="10"/>
      <c r="R1679" s="11"/>
      <c r="S1679" s="11"/>
      <c r="T1679" s="22"/>
      <c r="U1679" s="22"/>
      <c r="V1679" s="22"/>
      <c r="W1679" s="22"/>
      <c r="X1679" s="22"/>
      <c r="Y1679" s="22"/>
      <c r="Z1679" s="22"/>
      <c r="AA1679" s="22"/>
      <c r="AB1679" s="22"/>
      <c r="AC1679" s="22"/>
      <c r="AD1679" s="22"/>
      <c r="AE1679" s="22"/>
      <c r="AF1679" s="81"/>
      <c r="AG1679" s="71"/>
      <c r="AH1679" s="71"/>
      <c r="AI1679" s="71"/>
      <c r="AJ1679" s="71"/>
      <c r="AK1679" s="71"/>
      <c r="AL1679" s="71"/>
      <c r="AM1679" s="71"/>
      <c r="AN1679" s="71"/>
      <c r="AO1679" s="71"/>
      <c r="AP1679" s="71"/>
      <c r="AQ1679" s="71"/>
      <c r="AR1679" s="71"/>
      <c r="AS1679" s="94"/>
      <c r="AT1679" s="95"/>
      <c r="AU1679" s="97"/>
      <c r="AV1679" s="81"/>
      <c r="AW1679" s="83">
        <f t="shared" si="1946"/>
        <v>0</v>
      </c>
      <c r="AX1679" s="83">
        <f t="shared" si="1947"/>
        <v>0</v>
      </c>
      <c r="AY1679" s="83">
        <f t="shared" si="1948"/>
        <v>0</v>
      </c>
      <c r="AZ1679" s="83">
        <f t="shared" si="1949"/>
        <v>0</v>
      </c>
      <c r="BA1679" s="83"/>
      <c r="BB1679" s="83"/>
      <c r="BC1679" s="83"/>
      <c r="BD1679" s="83"/>
      <c r="BE1679" s="83"/>
      <c r="BF1679" s="83"/>
      <c r="BG1679" s="83"/>
      <c r="BH1679" s="83"/>
      <c r="BI1679" s="65"/>
      <c r="BJ1679" s="68"/>
      <c r="BK1679" s="59">
        <f t="shared" si="1950"/>
        <v>0</v>
      </c>
      <c r="BL1679" s="59" cm="1">
        <f t="array" ref="BL1679">IFERROR(SUM(AW1679:INDEX(AW1679:BH1679, MATCH(2, 1/(AW1679:BH1679&lt;&gt;""), 1) - 1))/_xlfn.XLOOKUP(F1679,Apuração!A:A,Apuração!B:B),0)</f>
        <v>0</v>
      </c>
      <c r="BM1679" s="55"/>
      <c r="BN1679" s="55"/>
      <c r="BO1679" s="53">
        <f ca="1">IFERROR(_xlfn.XLOOKUP(F1679,Apuração!A:A,Apuração!C:C)/_xlfn.XLOOKUP(F1679,Apuração!A:A,Apuração!B:B),0)</f>
        <v>0</v>
      </c>
      <c r="BP1679" s="53">
        <f ca="1">IFERROR(_xlfn.XLOOKUP(F1679,Apuração!A:A,Apuração!D:D)/_xlfn.XLOOKUP(F1679,Apuração!A:A,Apuração!B:B),0)</f>
        <v>0</v>
      </c>
      <c r="BQ1679" s="53">
        <f ca="1">IF(BK1679&gt;=BO1679,0,_xlfn.XLOOKUP(F1679,Apuração!A:A,Apuração!B:B)*(BO1679 + (1/_xlfn.XLOOKUP(F1679,Apuração!A:A,Apuração!B:B)) - BK1679))</f>
        <v>0</v>
      </c>
      <c r="BR1679" s="85">
        <f t="shared" ca="1" si="1951"/>
        <v>0</v>
      </c>
      <c r="BS1679" s="53">
        <f ca="1">IFERROR((_xlfn.XLOOKUP(F1679,Apuração!A:A,Apuração!C:C)+1)/_xlfn.XLOOKUP(F1679,Apuração!A:A,Apuração!B:B),0)</f>
        <v>0.14285714285714285</v>
      </c>
    </row>
    <row r="1680" spans="1:71" ht="25.95" hidden="1" customHeight="1" x14ac:dyDescent="0.3">
      <c r="A1680" s="41" t="s">
        <v>108</v>
      </c>
      <c r="B1680" s="4" t="s">
        <v>123</v>
      </c>
      <c r="C1680" s="5" t="s">
        <v>214</v>
      </c>
      <c r="D1680" s="5" t="s">
        <v>36</v>
      </c>
      <c r="E1680" s="4" t="s">
        <v>61</v>
      </c>
      <c r="F1680" s="4" t="str" cm="1">
        <f t="array" ref="F1680">_xlfn.IFS(
AG1680 &lt;&gt; "", "Jan-Dez/26",
AH1680 &lt;&gt; "", "Fev-Dez/26",
AI1680 &lt;&gt; "", "Mar-Dez/26", AJ1680 &lt;&gt; "", "Abr-Dez/26",
TRUE, "A partir de Junho"
)</f>
        <v>A partir de Junho</v>
      </c>
      <c r="G1680" s="4" t="s">
        <v>62</v>
      </c>
      <c r="H1680" s="7" t="s">
        <v>38</v>
      </c>
      <c r="I1680" s="28" t="s">
        <v>124</v>
      </c>
      <c r="J1680" s="8" t="str" cm="1">
        <f t="array" aca="1" ref="J1680" ca="1">_xlfn.LET(
  _xlpm.actual_value_month, INDEX(T1680:AE1680, MATCH(DATE(YEAR(TODAY()), MONTH(TODAY()), 1), $T$1:$AE$1, 0)),
  IF(_xlpm.actual_value_month &lt;&gt; "",_xlpm.actual_value_month &amp; " ações mensais", "")
)</f>
        <v/>
      </c>
      <c r="K1680" s="8" t="str" cm="1">
        <f t="array" ref="K1680">_xlfn.LET(
    _xlpm.sum_month, SUM(T1680:AE1680),
    IF(_xlpm.sum_month = 0, "", _xlpm.sum_month &amp; " atividades no ano")
)</f>
        <v/>
      </c>
      <c r="L1680" s="4" t="s">
        <v>125</v>
      </c>
      <c r="M1680" s="19"/>
      <c r="N1680" s="5" t="s">
        <v>42</v>
      </c>
      <c r="O1680" s="5"/>
      <c r="P1680" s="10"/>
      <c r="Q1680" s="10"/>
      <c r="R1680" s="11"/>
      <c r="S1680" s="11"/>
      <c r="T1680" s="22"/>
      <c r="U1680" s="22"/>
      <c r="V1680" s="22"/>
      <c r="W1680" s="22"/>
      <c r="X1680" s="22"/>
      <c r="Y1680" s="22"/>
      <c r="Z1680" s="22"/>
      <c r="AA1680" s="22"/>
      <c r="AB1680" s="22"/>
      <c r="AC1680" s="22"/>
      <c r="AD1680" s="22"/>
      <c r="AE1680" s="22"/>
      <c r="AF1680" s="81"/>
      <c r="AG1680" s="71"/>
      <c r="AH1680" s="71"/>
      <c r="AI1680" s="71"/>
      <c r="AJ1680" s="71"/>
      <c r="AK1680" s="71"/>
      <c r="AL1680" s="71"/>
      <c r="AM1680" s="71"/>
      <c r="AN1680" s="71"/>
      <c r="AO1680" s="71"/>
      <c r="AP1680" s="71"/>
      <c r="AQ1680" s="71"/>
      <c r="AR1680" s="71"/>
      <c r="AS1680" s="94"/>
      <c r="AT1680" s="95"/>
      <c r="AU1680" s="97"/>
      <c r="AV1680" s="81"/>
      <c r="AW1680" s="51">
        <f>IFERROR(IF(AG1680="",0,AG1680/T1680),0)</f>
        <v>0</v>
      </c>
      <c r="AX1680" s="51">
        <f>IFERROR(IF(AH1680="",0,AH1680/U1680),0)</f>
        <v>0</v>
      </c>
      <c r="AY1680" s="51">
        <f>IFERROR(IF(AI1680="",0,AI1680/V1680),0)</f>
        <v>0</v>
      </c>
      <c r="AZ1680" s="51">
        <f>IFERROR(IF(AJ1680="",0,AJ1680/W1680),0)</f>
        <v>0</v>
      </c>
      <c r="BA1680" s="51"/>
      <c r="BB1680" s="51"/>
      <c r="BC1680" s="51"/>
      <c r="BD1680" s="51"/>
      <c r="BE1680" s="51"/>
      <c r="BF1680" s="51"/>
      <c r="BG1680" s="51"/>
      <c r="BH1680" s="51"/>
      <c r="BI1680" s="65"/>
      <c r="BJ1680" s="68"/>
      <c r="BK1680" s="58">
        <f>IF((IF(AW1680&gt;=115%,115%,AW1680) + IF(AX1680&gt;=115%,115%,AX1680) + IF(AY1680&gt;=115%,115%,AY1680) + (IF(AZ1680&gt;=115%,115%,AZ1680) + IF(BA1680&gt;=115%,115%,BA1680) + IF(BB1680&gt;=115%,115%,BB1680) + IF(BC1680&gt;=115%,115%,BC1680) + IF(BD1680&gt;=115%,115%,BD1680) + IF(BE1680&gt;=115%,115%,BE1680) + IF(BF1680&gt;=115%,115%,BF1680) + IF(BG1680&gt;=115%,115%,BG1680) + IF(BH1680&gt;=115%,115%,BH1680)))/_xlfn.XLOOKUP(F1680,Apuração!A:A,Apuração!B:B)&gt;=1.15,1.15,((IF(AZ1680&gt;=115%,115%,AZ1680) + IF(AX1680&gt;=115%,115%,AX1680) + IF(AY1680&gt;=115%,115%,AY1680) + (IF(AW1680&gt;=115%,115%,AW1680) + IF(BA1680&gt;=115%,115%,BA1680) + IF(BB1680&gt;=115%,115%,BB1680) + IF(BC1680&gt;=115%,115%,BC1680) + IF(BD1680&gt;=115%,115%,BD1680) + IF(BE1680&gt;=115%,115%,BE1680) + IF(BF1680&gt;=115%,115%,BF1680) + IF(BG1680&gt;=115%,115%,BG1680) + IF(BH1680&gt;=115%,115%,BH1680)))/_xlfn.XLOOKUP(F1680,Apuração!A:A,Apuração!B:B)))</f>
        <v>0</v>
      </c>
      <c r="BL1680" s="58" cm="1">
        <f t="array" aca="1" ref="BL1680" ca="1">IF(SUM(IFERROR(IF(INDEX(AW1680:INDEX(AW1680:BH1680, MATCH(2, 1/(AW1680:BH1680&lt;&gt;""), 1)-1), ROW(INDIRECT("1:" &amp; MATCH(2, 1/(AW1680:BH1680&lt;&gt;""), 1)-1))) &gt;= 115%, 115%, INDEX(AW1680:INDEX(AW1680:BH1680, MATCH(2, 1/(AW1680:BH1680&lt;&gt;""), 1)-1), ROW(INDIRECT("1:" &amp; MATCH(2, 1/(AW1680:BH1680&lt;&gt;""), 1)-1)))), 0))/_xlfn.XLOOKUP(F1680,Apuração!A:A,Apuração!B:B)&gt;=1.15,1.15,SUM(IFERROR(IF(INDEX(AW1680:INDEX(AW1680:BH1680, MATCH(2, 1/(AW1680:BH1680&lt;&gt;""), 1)-1), ROW(INDIRECT("1:" &amp; MATCH(2, 1/(AW1680:BH1680&lt;&gt;""), 1)-1))) &gt;= 115%, 115%, INDEX(AW1680:INDEX(AW1680:BH1680, MATCH(2, 1/(AW1680:BH1680&lt;&gt;""), 1)-1), ROW(INDIRECT("1:" &amp; MATCH(2, 1/(AW1680:BH1680&lt;&gt;""), 1)-1)))), 0))/_xlfn.XLOOKUP(F1680,Apuração!A:A,Apuração!B:B))</f>
        <v>0</v>
      </c>
      <c r="BM1680" s="55"/>
      <c r="BN1680" s="55"/>
      <c r="BO1680" s="53">
        <f ca="1">IFERROR(_xlfn.XLOOKUP(F1680,Apuração!A:A,Apuração!C:C)/_xlfn.XLOOKUP(F1680,Apuração!A:A,Apuração!B:B),0)</f>
        <v>0</v>
      </c>
      <c r="BP1680" s="53">
        <f ca="1">IFERROR(_xlfn.XLOOKUP(F1680,Apuração!A:A,Apuração!D:D)/_xlfn.XLOOKUP(F1680,Apuração!A:A,Apuração!B:B),0)</f>
        <v>0</v>
      </c>
      <c r="BQ1680" s="53">
        <f ca="1">IF(BK1680&gt;=BO1680,0,_xlfn.XLOOKUP(F1680,Apuração!A:A,Apuração!B:B)*(BO1680 + (1/_xlfn.XLOOKUP(F1680,Apuração!A:A,Apuração!B:B)) - BK1680))</f>
        <v>0</v>
      </c>
      <c r="BR1680" s="85">
        <f ca="1">IF(BQ1680=0,0,BQ1680*Z1680)</f>
        <v>0</v>
      </c>
      <c r="BS1680" s="53">
        <f ca="1">IFERROR((_xlfn.XLOOKUP(F1680,Apuração!A:A,Apuração!C:C)+1)/_xlfn.XLOOKUP(F1680,Apuração!A:A,Apuração!B:B),0)</f>
        <v>0.14285714285714285</v>
      </c>
    </row>
    <row r="1681" spans="1:71" ht="25.95" hidden="1" customHeight="1" x14ac:dyDescent="0.3">
      <c r="A1681" s="41" t="s">
        <v>108</v>
      </c>
      <c r="B1681" s="4" t="s">
        <v>123</v>
      </c>
      <c r="C1681" s="5" t="s">
        <v>214</v>
      </c>
      <c r="D1681" s="5" t="s">
        <v>210</v>
      </c>
      <c r="E1681" s="4" t="s">
        <v>61</v>
      </c>
      <c r="F1681" s="4" t="str" cm="1">
        <f t="array" ref="F1681">_xlfn.IFS(
AG1681 &lt;&gt; "", "Jan-Dez/26",
AH1681 &lt;&gt; "", "Fev-Dez/26",
AI1681 &lt;&gt; "", "Mar-Dez/26", AJ1681 &lt;&gt; "", "Abr-Dez/26",
TRUE, "A partir de Junho"
)</f>
        <v>A partir de Junho</v>
      </c>
      <c r="G1681" s="4" t="s">
        <v>62</v>
      </c>
      <c r="H1681" s="7" t="s">
        <v>38</v>
      </c>
      <c r="I1681" s="28" t="s">
        <v>124</v>
      </c>
      <c r="J1681" s="8" t="str" cm="1">
        <f t="array" aca="1" ref="J1681" ca="1">_xlfn.LET(
  _xlpm.actual_value_month, INDEX(T1681:AE1681, MATCH(DATE(YEAR(TODAY()), MONTH(TODAY()), 1), $T$1:$AE$1, 0)),
  IF(_xlpm.actual_value_month &lt;&gt; "",_xlpm.actual_value_month &amp; " ações mensais", "")
)</f>
        <v/>
      </c>
      <c r="K1681" s="8" t="str" cm="1">
        <f t="array" ref="K1681">_xlfn.LET(
    _xlpm.sum_month, SUM(T1681:AE1681),
    IF(_xlpm.sum_month = 0, "", _xlpm.sum_month &amp; " atividades no ano")
)</f>
        <v/>
      </c>
      <c r="L1681" s="4" t="s">
        <v>125</v>
      </c>
      <c r="M1681" s="19"/>
      <c r="N1681" s="5" t="s">
        <v>42</v>
      </c>
      <c r="O1681" s="5"/>
      <c r="P1681" s="10"/>
      <c r="Q1681" s="10"/>
      <c r="R1681" s="11"/>
      <c r="S1681" s="11"/>
      <c r="T1681" s="22"/>
      <c r="U1681" s="22"/>
      <c r="V1681" s="22"/>
      <c r="W1681" s="22"/>
      <c r="X1681" s="22"/>
      <c r="Y1681" s="22"/>
      <c r="Z1681" s="22"/>
      <c r="AA1681" s="22"/>
      <c r="AB1681" s="22"/>
      <c r="AC1681" s="22"/>
      <c r="AD1681" s="22"/>
      <c r="AE1681" s="22"/>
      <c r="AF1681" s="81"/>
      <c r="AG1681" s="71"/>
      <c r="AH1681" s="71"/>
      <c r="AI1681" s="71"/>
      <c r="AJ1681" s="71"/>
      <c r="AK1681" s="71"/>
      <c r="AL1681" s="71"/>
      <c r="AM1681" s="71"/>
      <c r="AN1681" s="71"/>
      <c r="AO1681" s="71"/>
      <c r="AP1681" s="71"/>
      <c r="AQ1681" s="71"/>
      <c r="AR1681" s="71"/>
      <c r="AS1681" s="94"/>
      <c r="AT1681" s="95"/>
      <c r="AU1681" s="97"/>
      <c r="AV1681" s="81"/>
      <c r="AW1681" s="51">
        <f t="shared" ref="AW1681:AW1685" si="1952">IFERROR(IF(AG1681="",0,AG1681/T1681),0)</f>
        <v>0</v>
      </c>
      <c r="AX1681" s="51">
        <f t="shared" ref="AX1681:AX1685" si="1953">IFERROR(IF(AH1681="",0,AH1681/U1681),0)</f>
        <v>0</v>
      </c>
      <c r="AY1681" s="51">
        <f t="shared" ref="AY1681:AY1685" si="1954">IFERROR(IF(AI1681="",0,AI1681/V1681),0)</f>
        <v>0</v>
      </c>
      <c r="AZ1681" s="51">
        <f t="shared" ref="AZ1681:AZ1685" si="1955">IFERROR(IF(AJ1681="",0,AJ1681/W1681),0)</f>
        <v>0</v>
      </c>
      <c r="BA1681" s="51"/>
      <c r="BB1681" s="51"/>
      <c r="BC1681" s="51"/>
      <c r="BD1681" s="51"/>
      <c r="BE1681" s="51"/>
      <c r="BF1681" s="51"/>
      <c r="BG1681" s="51"/>
      <c r="BH1681" s="51"/>
      <c r="BI1681" s="65"/>
      <c r="BJ1681" s="68"/>
      <c r="BK1681" s="58">
        <f>IF((IF(AW1681&gt;=115%,115%,AW1681) + IF(AX1681&gt;=115%,115%,AX1681) + IF(AY1681&gt;=115%,115%,AY1681) + (IF(AZ1681&gt;=115%,115%,AZ1681) + IF(BA1681&gt;=115%,115%,BA1681) + IF(BB1681&gt;=115%,115%,BB1681) + IF(BC1681&gt;=115%,115%,BC1681) + IF(BD1681&gt;=115%,115%,BD1681) + IF(BE1681&gt;=115%,115%,BE1681) + IF(BF1681&gt;=115%,115%,BF1681) + IF(BG1681&gt;=115%,115%,BG1681) + IF(BH1681&gt;=115%,115%,BH1681)))/_xlfn.XLOOKUP(F1681,Apuração!A:A,Apuração!B:B)&gt;=1.15,1.15,((IF(AZ1681&gt;=115%,115%,AZ1681) + IF(AX1681&gt;=115%,115%,AX1681) + IF(AY1681&gt;=115%,115%,AY1681) + (IF(AW1681&gt;=115%,115%,AW1681) + IF(BA1681&gt;=115%,115%,BA1681) + IF(BB1681&gt;=115%,115%,BB1681) + IF(BC1681&gt;=115%,115%,BC1681) + IF(BD1681&gt;=115%,115%,BD1681) + IF(BE1681&gt;=115%,115%,BE1681) + IF(BF1681&gt;=115%,115%,BF1681) + IF(BG1681&gt;=115%,115%,BG1681) + IF(BH1681&gt;=115%,115%,BH1681)))/_xlfn.XLOOKUP(F1681,Apuração!A:A,Apuração!B:B)))</f>
        <v>0</v>
      </c>
      <c r="BL1681" s="58" cm="1">
        <f t="array" aca="1" ref="BL1681" ca="1">IF(SUM(IFERROR(IF(INDEX(AW1681:INDEX(AW1681:BH1681, MATCH(2, 1/(AW1681:BH1681&lt;&gt;""), 1)-1), ROW(INDIRECT("1:" &amp; MATCH(2, 1/(AW1681:BH1681&lt;&gt;""), 1)-1))) &gt;= 115%, 115%, INDEX(AW1681:INDEX(AW1681:BH1681, MATCH(2, 1/(AW1681:BH1681&lt;&gt;""), 1)-1), ROW(INDIRECT("1:" &amp; MATCH(2, 1/(AW1681:BH1681&lt;&gt;""), 1)-1)))), 0))/_xlfn.XLOOKUP(F1681,Apuração!A:A,Apuração!B:B)&gt;=1.15,1.15,SUM(IFERROR(IF(INDEX(AW1681:INDEX(AW1681:BH1681, MATCH(2, 1/(AW1681:BH1681&lt;&gt;""), 1)-1), ROW(INDIRECT("1:" &amp; MATCH(2, 1/(AW1681:BH1681&lt;&gt;""), 1)-1))) &gt;= 115%, 115%, INDEX(AW1681:INDEX(AW1681:BH1681, MATCH(2, 1/(AW1681:BH1681&lt;&gt;""), 1)-1), ROW(INDIRECT("1:" &amp; MATCH(2, 1/(AW1681:BH1681&lt;&gt;""), 1)-1)))), 0))/_xlfn.XLOOKUP(F1681,Apuração!A:A,Apuração!B:B))</f>
        <v>0</v>
      </c>
      <c r="BM1681" s="55"/>
      <c r="BN1681" s="55"/>
      <c r="BO1681" s="53">
        <f ca="1">IFERROR(_xlfn.XLOOKUP(F1681,Apuração!A:A,Apuração!C:C)/_xlfn.XLOOKUP(F1681,Apuração!A:A,Apuração!B:B),0)</f>
        <v>0</v>
      </c>
      <c r="BP1681" s="53">
        <f ca="1">IFERROR(_xlfn.XLOOKUP(F1681,Apuração!A:A,Apuração!D:D)/_xlfn.XLOOKUP(F1681,Apuração!A:A,Apuração!B:B),0)</f>
        <v>0</v>
      </c>
      <c r="BQ1681" s="53">
        <f ca="1">IF(BK1681&gt;=BO1681,0,_xlfn.XLOOKUP(F1681,Apuração!A:A,Apuração!B:B)*(BO1681 + (1/_xlfn.XLOOKUP(F1681,Apuração!A:A,Apuração!B:B)) - BK1681))</f>
        <v>0</v>
      </c>
      <c r="BR1681" s="85">
        <f t="shared" ref="BR1681:BR1685" ca="1" si="1956">IF(BQ1681=0,0,BQ1681*Z1681)</f>
        <v>0</v>
      </c>
      <c r="BS1681" s="53">
        <f ca="1">IFERROR((_xlfn.XLOOKUP(F1681,Apuração!A:A,Apuração!C:C)+1)/_xlfn.XLOOKUP(F1681,Apuração!A:A,Apuração!B:B),0)</f>
        <v>0.14285714285714285</v>
      </c>
    </row>
    <row r="1682" spans="1:71" ht="25.95" hidden="1" customHeight="1" x14ac:dyDescent="0.3">
      <c r="A1682" s="41" t="s">
        <v>108</v>
      </c>
      <c r="B1682" s="4" t="s">
        <v>123</v>
      </c>
      <c r="C1682" s="5" t="s">
        <v>214</v>
      </c>
      <c r="D1682" s="5" t="s">
        <v>215</v>
      </c>
      <c r="E1682" s="4" t="s">
        <v>61</v>
      </c>
      <c r="F1682" s="4" t="str" cm="1">
        <f t="array" ref="F1682">_xlfn.IFS(
AG1682 &lt;&gt; "", "Jan-Dez/26",
AH1682 &lt;&gt; "", "Fev-Dez/26",
AI1682 &lt;&gt; "", "Mar-Dez/26", AJ1682 &lt;&gt; "", "Abr-Dez/26",
TRUE, "A partir de Junho"
)</f>
        <v>A partir de Junho</v>
      </c>
      <c r="G1682" s="4" t="s">
        <v>62</v>
      </c>
      <c r="H1682" s="7" t="s">
        <v>38</v>
      </c>
      <c r="I1682" s="28" t="s">
        <v>124</v>
      </c>
      <c r="J1682" s="8" t="str" cm="1">
        <f t="array" aca="1" ref="J1682" ca="1">_xlfn.LET(
  _xlpm.actual_value_month, INDEX(T1682:AE1682, MATCH(DATE(YEAR(TODAY()), MONTH(TODAY()), 1), $T$1:$AE$1, 0)),
  IF(_xlpm.actual_value_month &lt;&gt; "",_xlpm.actual_value_month &amp; " ações mensais", "")
)</f>
        <v/>
      </c>
      <c r="K1682" s="8" t="str" cm="1">
        <f t="array" ref="K1682">_xlfn.LET(
    _xlpm.sum_month, SUM(T1682:AE1682),
    IF(_xlpm.sum_month = 0, "", _xlpm.sum_month &amp; " atividades no ano")
)</f>
        <v/>
      </c>
      <c r="L1682" s="4" t="s">
        <v>125</v>
      </c>
      <c r="M1682" s="19"/>
      <c r="N1682" s="5" t="s">
        <v>42</v>
      </c>
      <c r="O1682" s="5"/>
      <c r="P1682" s="10"/>
      <c r="Q1682" s="10"/>
      <c r="R1682" s="11"/>
      <c r="S1682" s="11"/>
      <c r="T1682" s="22"/>
      <c r="U1682" s="22"/>
      <c r="V1682" s="22"/>
      <c r="W1682" s="22"/>
      <c r="X1682" s="22"/>
      <c r="Y1682" s="22"/>
      <c r="Z1682" s="22"/>
      <c r="AA1682" s="22"/>
      <c r="AB1682" s="22"/>
      <c r="AC1682" s="22"/>
      <c r="AD1682" s="22"/>
      <c r="AE1682" s="22"/>
      <c r="AF1682" s="81"/>
      <c r="AG1682" s="71"/>
      <c r="AH1682" s="71"/>
      <c r="AI1682" s="71"/>
      <c r="AJ1682" s="71"/>
      <c r="AK1682" s="71"/>
      <c r="AL1682" s="71"/>
      <c r="AM1682" s="71"/>
      <c r="AN1682" s="71"/>
      <c r="AO1682" s="71"/>
      <c r="AP1682" s="71"/>
      <c r="AQ1682" s="71"/>
      <c r="AR1682" s="71"/>
      <c r="AS1682" s="94"/>
      <c r="AT1682" s="95"/>
      <c r="AU1682" s="97"/>
      <c r="AV1682" s="81"/>
      <c r="AW1682" s="51">
        <f t="shared" si="1952"/>
        <v>0</v>
      </c>
      <c r="AX1682" s="51">
        <f t="shared" si="1953"/>
        <v>0</v>
      </c>
      <c r="AY1682" s="51">
        <f t="shared" si="1954"/>
        <v>0</v>
      </c>
      <c r="AZ1682" s="51">
        <f t="shared" si="1955"/>
        <v>0</v>
      </c>
      <c r="BA1682" s="51"/>
      <c r="BB1682" s="51"/>
      <c r="BC1682" s="51"/>
      <c r="BD1682" s="51"/>
      <c r="BE1682" s="51"/>
      <c r="BF1682" s="51"/>
      <c r="BG1682" s="51"/>
      <c r="BH1682" s="51"/>
      <c r="BI1682" s="65"/>
      <c r="BJ1682" s="68"/>
      <c r="BK1682" s="58">
        <f>IF((IF(AW1682&gt;=115%,115%,AW1682) + IF(AX1682&gt;=115%,115%,AX1682) + IF(AY1682&gt;=115%,115%,AY1682) + (IF(AZ1682&gt;=115%,115%,AZ1682) + IF(BA1682&gt;=115%,115%,BA1682) + IF(BB1682&gt;=115%,115%,BB1682) + IF(BC1682&gt;=115%,115%,BC1682) + IF(BD1682&gt;=115%,115%,BD1682) + IF(BE1682&gt;=115%,115%,BE1682) + IF(BF1682&gt;=115%,115%,BF1682) + IF(BG1682&gt;=115%,115%,BG1682) + IF(BH1682&gt;=115%,115%,BH1682)))/_xlfn.XLOOKUP(F1682,Apuração!A:A,Apuração!B:B)&gt;=1.15,1.15,((IF(AZ1682&gt;=115%,115%,AZ1682) + IF(AX1682&gt;=115%,115%,AX1682) + IF(AY1682&gt;=115%,115%,AY1682) + (IF(AW1682&gt;=115%,115%,AW1682) + IF(BA1682&gt;=115%,115%,BA1682) + IF(BB1682&gt;=115%,115%,BB1682) + IF(BC1682&gt;=115%,115%,BC1682) + IF(BD1682&gt;=115%,115%,BD1682) + IF(BE1682&gt;=115%,115%,BE1682) + IF(BF1682&gt;=115%,115%,BF1682) + IF(BG1682&gt;=115%,115%,BG1682) + IF(BH1682&gt;=115%,115%,BH1682)))/_xlfn.XLOOKUP(F1682,Apuração!A:A,Apuração!B:B)))</f>
        <v>0</v>
      </c>
      <c r="BL1682" s="58" cm="1">
        <f t="array" aca="1" ref="BL1682" ca="1">IF(SUM(IFERROR(IF(INDEX(AW1682:INDEX(AW1682:BH1682, MATCH(2, 1/(AW1682:BH1682&lt;&gt;""), 1)-1), ROW(INDIRECT("1:" &amp; MATCH(2, 1/(AW1682:BH1682&lt;&gt;""), 1)-1))) &gt;= 115%, 115%, INDEX(AW1682:INDEX(AW1682:BH1682, MATCH(2, 1/(AW1682:BH1682&lt;&gt;""), 1)-1), ROW(INDIRECT("1:" &amp; MATCH(2, 1/(AW1682:BH1682&lt;&gt;""), 1)-1)))), 0))/_xlfn.XLOOKUP(F1682,Apuração!A:A,Apuração!B:B)&gt;=1.15,1.15,SUM(IFERROR(IF(INDEX(AW1682:INDEX(AW1682:BH1682, MATCH(2, 1/(AW1682:BH1682&lt;&gt;""), 1)-1), ROW(INDIRECT("1:" &amp; MATCH(2, 1/(AW1682:BH1682&lt;&gt;""), 1)-1))) &gt;= 115%, 115%, INDEX(AW1682:INDEX(AW1682:BH1682, MATCH(2, 1/(AW1682:BH1682&lt;&gt;""), 1)-1), ROW(INDIRECT("1:" &amp; MATCH(2, 1/(AW1682:BH1682&lt;&gt;""), 1)-1)))), 0))/_xlfn.XLOOKUP(F1682,Apuração!A:A,Apuração!B:B))</f>
        <v>0</v>
      </c>
      <c r="BM1682" s="55"/>
      <c r="BN1682" s="55"/>
      <c r="BO1682" s="53">
        <f ca="1">IFERROR(_xlfn.XLOOKUP(F1682,Apuração!A:A,Apuração!C:C)/_xlfn.XLOOKUP(F1682,Apuração!A:A,Apuração!B:B),0)</f>
        <v>0</v>
      </c>
      <c r="BP1682" s="53">
        <f ca="1">IFERROR(_xlfn.XLOOKUP(F1682,Apuração!A:A,Apuração!D:D)/_xlfn.XLOOKUP(F1682,Apuração!A:A,Apuração!B:B),0)</f>
        <v>0</v>
      </c>
      <c r="BQ1682" s="53">
        <f ca="1">IF(BK1682&gt;=BO1682,0,_xlfn.XLOOKUP(F1682,Apuração!A:A,Apuração!B:B)*(BO1682 + (1/_xlfn.XLOOKUP(F1682,Apuração!A:A,Apuração!B:B)) - BK1682))</f>
        <v>0</v>
      </c>
      <c r="BR1682" s="85">
        <f t="shared" ca="1" si="1956"/>
        <v>0</v>
      </c>
      <c r="BS1682" s="53">
        <f ca="1">IFERROR((_xlfn.XLOOKUP(F1682,Apuração!A:A,Apuração!C:C)+1)/_xlfn.XLOOKUP(F1682,Apuração!A:A,Apuração!B:B),0)</f>
        <v>0.14285714285714285</v>
      </c>
    </row>
    <row r="1683" spans="1:71" ht="25.95" hidden="1" customHeight="1" x14ac:dyDescent="0.3">
      <c r="A1683" s="41" t="s">
        <v>108</v>
      </c>
      <c r="B1683" s="4" t="s">
        <v>123</v>
      </c>
      <c r="C1683" s="5" t="s">
        <v>214</v>
      </c>
      <c r="D1683" s="5" t="s">
        <v>212</v>
      </c>
      <c r="E1683" s="4" t="s">
        <v>61</v>
      </c>
      <c r="F1683" s="4" t="str" cm="1">
        <f t="array" ref="F1683">_xlfn.IFS(
AG1683 &lt;&gt; "", "Jan-Dez/26",
AH1683 &lt;&gt; "", "Fev-Dez/26",
AI1683 &lt;&gt; "", "Mar-Dez/26", AJ1683 &lt;&gt; "", "Abr-Dez/26",
TRUE, "A partir de Junho"
)</f>
        <v>A partir de Junho</v>
      </c>
      <c r="G1683" s="4" t="s">
        <v>62</v>
      </c>
      <c r="H1683" s="7" t="s">
        <v>38</v>
      </c>
      <c r="I1683" s="28" t="s">
        <v>124</v>
      </c>
      <c r="J1683" s="8" t="str" cm="1">
        <f t="array" aca="1" ref="J1683" ca="1">_xlfn.LET(
  _xlpm.actual_value_month, INDEX(T1683:AE1683, MATCH(DATE(YEAR(TODAY()), MONTH(TODAY()), 1), $T$1:$AE$1, 0)),
  IF(_xlpm.actual_value_month &lt;&gt; "",_xlpm.actual_value_month &amp; " ações mensais", "")
)</f>
        <v/>
      </c>
      <c r="K1683" s="8" t="str" cm="1">
        <f t="array" ref="K1683">_xlfn.LET(
    _xlpm.sum_month, SUM(T1683:AE1683),
    IF(_xlpm.sum_month = 0, "", _xlpm.sum_month &amp; " atividades no ano")
)</f>
        <v/>
      </c>
      <c r="L1683" s="4" t="s">
        <v>125</v>
      </c>
      <c r="M1683" s="19"/>
      <c r="N1683" s="5" t="s">
        <v>42</v>
      </c>
      <c r="O1683" s="5"/>
      <c r="P1683" s="10"/>
      <c r="Q1683" s="10"/>
      <c r="R1683" s="11"/>
      <c r="S1683" s="11"/>
      <c r="T1683" s="22"/>
      <c r="U1683" s="22"/>
      <c r="V1683" s="22"/>
      <c r="W1683" s="22"/>
      <c r="X1683" s="22"/>
      <c r="Y1683" s="22"/>
      <c r="Z1683" s="22"/>
      <c r="AA1683" s="22"/>
      <c r="AB1683" s="22"/>
      <c r="AC1683" s="22"/>
      <c r="AD1683" s="22"/>
      <c r="AE1683" s="22"/>
      <c r="AF1683" s="81"/>
      <c r="AG1683" s="71"/>
      <c r="AH1683" s="71"/>
      <c r="AI1683" s="71"/>
      <c r="AJ1683" s="71"/>
      <c r="AK1683" s="71"/>
      <c r="AL1683" s="71"/>
      <c r="AM1683" s="71"/>
      <c r="AN1683" s="71"/>
      <c r="AO1683" s="71"/>
      <c r="AP1683" s="71"/>
      <c r="AQ1683" s="71"/>
      <c r="AR1683" s="71"/>
      <c r="AS1683" s="94"/>
      <c r="AT1683" s="95"/>
      <c r="AU1683" s="97"/>
      <c r="AV1683" s="81"/>
      <c r="AW1683" s="51">
        <f t="shared" si="1952"/>
        <v>0</v>
      </c>
      <c r="AX1683" s="51">
        <f t="shared" si="1953"/>
        <v>0</v>
      </c>
      <c r="AY1683" s="51">
        <f t="shared" si="1954"/>
        <v>0</v>
      </c>
      <c r="AZ1683" s="51">
        <f t="shared" si="1955"/>
        <v>0</v>
      </c>
      <c r="BA1683" s="51"/>
      <c r="BB1683" s="51"/>
      <c r="BC1683" s="51"/>
      <c r="BD1683" s="51"/>
      <c r="BE1683" s="51"/>
      <c r="BF1683" s="51"/>
      <c r="BG1683" s="51"/>
      <c r="BH1683" s="51"/>
      <c r="BI1683" s="65"/>
      <c r="BJ1683" s="68"/>
      <c r="BK1683" s="58">
        <f>IF((IF(AW1683&gt;=115%,115%,AW1683) + IF(AX1683&gt;=115%,115%,AX1683) + IF(AY1683&gt;=115%,115%,AY1683) + (IF(AZ1683&gt;=115%,115%,AZ1683) + IF(BA1683&gt;=115%,115%,BA1683) + IF(BB1683&gt;=115%,115%,BB1683) + IF(BC1683&gt;=115%,115%,BC1683) + IF(BD1683&gt;=115%,115%,BD1683) + IF(BE1683&gt;=115%,115%,BE1683) + IF(BF1683&gt;=115%,115%,BF1683) + IF(BG1683&gt;=115%,115%,BG1683) + IF(BH1683&gt;=115%,115%,BH1683)))/_xlfn.XLOOKUP(F1683,Apuração!A:A,Apuração!B:B)&gt;=1.15,1.15,((IF(AZ1683&gt;=115%,115%,AZ1683) + IF(AX1683&gt;=115%,115%,AX1683) + IF(AY1683&gt;=115%,115%,AY1683) + (IF(AW1683&gt;=115%,115%,AW1683) + IF(BA1683&gt;=115%,115%,BA1683) + IF(BB1683&gt;=115%,115%,BB1683) + IF(BC1683&gt;=115%,115%,BC1683) + IF(BD1683&gt;=115%,115%,BD1683) + IF(BE1683&gt;=115%,115%,BE1683) + IF(BF1683&gt;=115%,115%,BF1683) + IF(BG1683&gt;=115%,115%,BG1683) + IF(BH1683&gt;=115%,115%,BH1683)))/_xlfn.XLOOKUP(F1683,Apuração!A:A,Apuração!B:B)))</f>
        <v>0</v>
      </c>
      <c r="BL1683" s="58" cm="1">
        <f t="array" aca="1" ref="BL1683" ca="1">IF(SUM(IFERROR(IF(INDEX(AW1683:INDEX(AW1683:BH1683, MATCH(2, 1/(AW1683:BH1683&lt;&gt;""), 1)-1), ROW(INDIRECT("1:" &amp; MATCH(2, 1/(AW1683:BH1683&lt;&gt;""), 1)-1))) &gt;= 115%, 115%, INDEX(AW1683:INDEX(AW1683:BH1683, MATCH(2, 1/(AW1683:BH1683&lt;&gt;""), 1)-1), ROW(INDIRECT("1:" &amp; MATCH(2, 1/(AW1683:BH1683&lt;&gt;""), 1)-1)))), 0))/_xlfn.XLOOKUP(F1683,Apuração!A:A,Apuração!B:B)&gt;=1.15,1.15,SUM(IFERROR(IF(INDEX(AW1683:INDEX(AW1683:BH1683, MATCH(2, 1/(AW1683:BH1683&lt;&gt;""), 1)-1), ROW(INDIRECT("1:" &amp; MATCH(2, 1/(AW1683:BH1683&lt;&gt;""), 1)-1))) &gt;= 115%, 115%, INDEX(AW1683:INDEX(AW1683:BH1683, MATCH(2, 1/(AW1683:BH1683&lt;&gt;""), 1)-1), ROW(INDIRECT("1:" &amp; MATCH(2, 1/(AW1683:BH1683&lt;&gt;""), 1)-1)))), 0))/_xlfn.XLOOKUP(F1683,Apuração!A:A,Apuração!B:B))</f>
        <v>0</v>
      </c>
      <c r="BM1683" s="55"/>
      <c r="BN1683" s="55"/>
      <c r="BO1683" s="53">
        <f ca="1">IFERROR(_xlfn.XLOOKUP(F1683,Apuração!A:A,Apuração!C:C)/_xlfn.XLOOKUP(F1683,Apuração!A:A,Apuração!B:B),0)</f>
        <v>0</v>
      </c>
      <c r="BP1683" s="53">
        <f ca="1">IFERROR(_xlfn.XLOOKUP(F1683,Apuração!A:A,Apuração!D:D)/_xlfn.XLOOKUP(F1683,Apuração!A:A,Apuração!B:B),0)</f>
        <v>0</v>
      </c>
      <c r="BQ1683" s="53">
        <f ca="1">IF(BK1683&gt;=BO1683,0,_xlfn.XLOOKUP(F1683,Apuração!A:A,Apuração!B:B)*(BO1683 + (1/_xlfn.XLOOKUP(F1683,Apuração!A:A,Apuração!B:B)) - BK1683))</f>
        <v>0</v>
      </c>
      <c r="BR1683" s="85">
        <f t="shared" ca="1" si="1956"/>
        <v>0</v>
      </c>
      <c r="BS1683" s="53">
        <f ca="1">IFERROR((_xlfn.XLOOKUP(F1683,Apuração!A:A,Apuração!C:C)+1)/_xlfn.XLOOKUP(F1683,Apuração!A:A,Apuração!B:B),0)</f>
        <v>0.14285714285714285</v>
      </c>
    </row>
    <row r="1684" spans="1:71" ht="25.95" hidden="1" customHeight="1" x14ac:dyDescent="0.3">
      <c r="A1684" s="41" t="s">
        <v>108</v>
      </c>
      <c r="B1684" s="4" t="s">
        <v>123</v>
      </c>
      <c r="C1684" s="5" t="s">
        <v>214</v>
      </c>
      <c r="D1684" s="5" t="s">
        <v>48</v>
      </c>
      <c r="E1684" s="4" t="s">
        <v>61</v>
      </c>
      <c r="F1684" s="4" t="str" cm="1">
        <f t="array" ref="F1684">_xlfn.IFS(
AG1684 &lt;&gt; "", "Jan-Dez/26",
AH1684 &lt;&gt; "", "Fev-Dez/26",
AI1684 &lt;&gt; "", "Mar-Dez/26", AJ1684 &lt;&gt; "", "Abr-Dez/26",
TRUE, "A partir de Junho"
)</f>
        <v>A partir de Junho</v>
      </c>
      <c r="G1684" s="4" t="s">
        <v>62</v>
      </c>
      <c r="H1684" s="7" t="s">
        <v>38</v>
      </c>
      <c r="I1684" s="28" t="s">
        <v>124</v>
      </c>
      <c r="J1684" s="8" t="str" cm="1">
        <f t="array" aca="1" ref="J1684" ca="1">_xlfn.LET(
  _xlpm.actual_value_month, INDEX(T1684:AE1684, MATCH(DATE(YEAR(TODAY()), MONTH(TODAY()), 1), $T$1:$AE$1, 0)),
  IF(_xlpm.actual_value_month &lt;&gt; "",_xlpm.actual_value_month &amp; " ações mensais", "")
)</f>
        <v/>
      </c>
      <c r="K1684" s="8" t="str" cm="1">
        <f t="array" ref="K1684">_xlfn.LET(
    _xlpm.sum_month, SUM(T1684:AE1684),
    IF(_xlpm.sum_month = 0, "", _xlpm.sum_month &amp; " atividades no ano")
)</f>
        <v/>
      </c>
      <c r="L1684" s="4" t="s">
        <v>125</v>
      </c>
      <c r="M1684" s="19"/>
      <c r="N1684" s="5" t="s">
        <v>42</v>
      </c>
      <c r="O1684" s="5"/>
      <c r="P1684" s="10"/>
      <c r="Q1684" s="10"/>
      <c r="R1684" s="11"/>
      <c r="S1684" s="11"/>
      <c r="T1684" s="22"/>
      <c r="U1684" s="22"/>
      <c r="V1684" s="22"/>
      <c r="W1684" s="22"/>
      <c r="X1684" s="22"/>
      <c r="Y1684" s="22"/>
      <c r="Z1684" s="22"/>
      <c r="AA1684" s="22"/>
      <c r="AB1684" s="22"/>
      <c r="AC1684" s="22"/>
      <c r="AD1684" s="22"/>
      <c r="AE1684" s="22"/>
      <c r="AF1684" s="81"/>
      <c r="AG1684" s="71"/>
      <c r="AH1684" s="71"/>
      <c r="AI1684" s="71"/>
      <c r="AJ1684" s="71"/>
      <c r="AK1684" s="71"/>
      <c r="AL1684" s="71"/>
      <c r="AM1684" s="71"/>
      <c r="AN1684" s="71"/>
      <c r="AO1684" s="71"/>
      <c r="AP1684" s="71"/>
      <c r="AQ1684" s="71"/>
      <c r="AR1684" s="71"/>
      <c r="AS1684" s="94"/>
      <c r="AT1684" s="95"/>
      <c r="AU1684" s="97"/>
      <c r="AV1684" s="81"/>
      <c r="AW1684" s="51">
        <f t="shared" si="1952"/>
        <v>0</v>
      </c>
      <c r="AX1684" s="51">
        <f t="shared" si="1953"/>
        <v>0</v>
      </c>
      <c r="AY1684" s="51">
        <f t="shared" si="1954"/>
        <v>0</v>
      </c>
      <c r="AZ1684" s="51">
        <f t="shared" si="1955"/>
        <v>0</v>
      </c>
      <c r="BA1684" s="51"/>
      <c r="BB1684" s="51"/>
      <c r="BC1684" s="51"/>
      <c r="BD1684" s="51"/>
      <c r="BE1684" s="51"/>
      <c r="BF1684" s="51"/>
      <c r="BG1684" s="51"/>
      <c r="BH1684" s="51"/>
      <c r="BI1684" s="65"/>
      <c r="BJ1684" s="68"/>
      <c r="BK1684" s="58">
        <f>IF((IF(AW1684&gt;=115%,115%,AW1684) + IF(AX1684&gt;=115%,115%,AX1684) + IF(AY1684&gt;=115%,115%,AY1684) + (IF(AZ1684&gt;=115%,115%,AZ1684) + IF(BA1684&gt;=115%,115%,BA1684) + IF(BB1684&gt;=115%,115%,BB1684) + IF(BC1684&gt;=115%,115%,BC1684) + IF(BD1684&gt;=115%,115%,BD1684) + IF(BE1684&gt;=115%,115%,BE1684) + IF(BF1684&gt;=115%,115%,BF1684) + IF(BG1684&gt;=115%,115%,BG1684) + IF(BH1684&gt;=115%,115%,BH1684)))/_xlfn.XLOOKUP(F1684,Apuração!A:A,Apuração!B:B)&gt;=1.15,1.15,((IF(AZ1684&gt;=115%,115%,AZ1684) + IF(AX1684&gt;=115%,115%,AX1684) + IF(AY1684&gt;=115%,115%,AY1684) + (IF(AW1684&gt;=115%,115%,AW1684) + IF(BA1684&gt;=115%,115%,BA1684) + IF(BB1684&gt;=115%,115%,BB1684) + IF(BC1684&gt;=115%,115%,BC1684) + IF(BD1684&gt;=115%,115%,BD1684) + IF(BE1684&gt;=115%,115%,BE1684) + IF(BF1684&gt;=115%,115%,BF1684) + IF(BG1684&gt;=115%,115%,BG1684) + IF(BH1684&gt;=115%,115%,BH1684)))/_xlfn.XLOOKUP(F1684,Apuração!A:A,Apuração!B:B)))</f>
        <v>0</v>
      </c>
      <c r="BL1684" s="58" cm="1">
        <f t="array" aca="1" ref="BL1684" ca="1">IF(SUM(IFERROR(IF(INDEX(AW1684:INDEX(AW1684:BH1684, MATCH(2, 1/(AW1684:BH1684&lt;&gt;""), 1)-1), ROW(INDIRECT("1:" &amp; MATCH(2, 1/(AW1684:BH1684&lt;&gt;""), 1)-1))) &gt;= 115%, 115%, INDEX(AW1684:INDEX(AW1684:BH1684, MATCH(2, 1/(AW1684:BH1684&lt;&gt;""), 1)-1), ROW(INDIRECT("1:" &amp; MATCH(2, 1/(AW1684:BH1684&lt;&gt;""), 1)-1)))), 0))/_xlfn.XLOOKUP(F1684,Apuração!A:A,Apuração!B:B)&gt;=1.15,1.15,SUM(IFERROR(IF(INDEX(AW1684:INDEX(AW1684:BH1684, MATCH(2, 1/(AW1684:BH1684&lt;&gt;""), 1)-1), ROW(INDIRECT("1:" &amp; MATCH(2, 1/(AW1684:BH1684&lt;&gt;""), 1)-1))) &gt;= 115%, 115%, INDEX(AW1684:INDEX(AW1684:BH1684, MATCH(2, 1/(AW1684:BH1684&lt;&gt;""), 1)-1), ROW(INDIRECT("1:" &amp; MATCH(2, 1/(AW1684:BH1684&lt;&gt;""), 1)-1)))), 0))/_xlfn.XLOOKUP(F1684,Apuração!A:A,Apuração!B:B))</f>
        <v>0</v>
      </c>
      <c r="BM1684" s="55"/>
      <c r="BN1684" s="55"/>
      <c r="BO1684" s="53">
        <f ca="1">IFERROR(_xlfn.XLOOKUP(F1684,Apuração!A:A,Apuração!C:C)/_xlfn.XLOOKUP(F1684,Apuração!A:A,Apuração!B:B),0)</f>
        <v>0</v>
      </c>
      <c r="BP1684" s="53">
        <f ca="1">IFERROR(_xlfn.XLOOKUP(F1684,Apuração!A:A,Apuração!D:D)/_xlfn.XLOOKUP(F1684,Apuração!A:A,Apuração!B:B),0)</f>
        <v>0</v>
      </c>
      <c r="BQ1684" s="53">
        <f ca="1">IF(BK1684&gt;=BO1684,0,_xlfn.XLOOKUP(F1684,Apuração!A:A,Apuração!B:B)*(BO1684 + (1/_xlfn.XLOOKUP(F1684,Apuração!A:A,Apuração!B:B)) - BK1684))</f>
        <v>0</v>
      </c>
      <c r="BR1684" s="85">
        <f t="shared" ca="1" si="1956"/>
        <v>0</v>
      </c>
      <c r="BS1684" s="53">
        <f ca="1">IFERROR((_xlfn.XLOOKUP(F1684,Apuração!A:A,Apuração!C:C)+1)/_xlfn.XLOOKUP(F1684,Apuração!A:A,Apuração!B:B),0)</f>
        <v>0.14285714285714285</v>
      </c>
    </row>
    <row r="1685" spans="1:71" ht="25.95" hidden="1" customHeight="1" x14ac:dyDescent="0.3">
      <c r="A1685" s="41" t="s">
        <v>108</v>
      </c>
      <c r="B1685" s="4" t="s">
        <v>123</v>
      </c>
      <c r="C1685" s="5" t="s">
        <v>214</v>
      </c>
      <c r="D1685" s="5" t="s">
        <v>213</v>
      </c>
      <c r="E1685" s="4" t="s">
        <v>61</v>
      </c>
      <c r="F1685" s="4" t="str" cm="1">
        <f t="array" ref="F1685">_xlfn.IFS(
AG1685 &lt;&gt; "", "Jan-Dez/26",
AH1685 &lt;&gt; "", "Fev-Dez/26",
AI1685 &lt;&gt; "", "Mar-Dez/26", AJ1685 &lt;&gt; "", "Abr-Dez/26",
TRUE, "A partir de Junho"
)</f>
        <v>A partir de Junho</v>
      </c>
      <c r="G1685" s="4" t="s">
        <v>62</v>
      </c>
      <c r="H1685" s="7" t="s">
        <v>38</v>
      </c>
      <c r="I1685" s="28" t="s">
        <v>124</v>
      </c>
      <c r="J1685" s="8" t="str" cm="1">
        <f t="array" aca="1" ref="J1685" ca="1">_xlfn.LET(
  _xlpm.actual_value_month, INDEX(T1685:AE1685, MATCH(DATE(YEAR(TODAY()), MONTH(TODAY()), 1), $T$1:$AE$1, 0)),
  IF(_xlpm.actual_value_month &lt;&gt; "",_xlpm.actual_value_month &amp; " ações mensais", "")
)</f>
        <v/>
      </c>
      <c r="K1685" s="8" t="str" cm="1">
        <f t="array" ref="K1685">_xlfn.LET(
    _xlpm.sum_month, SUM(T1685:AE1685),
    IF(_xlpm.sum_month = 0, "", _xlpm.sum_month &amp; " atividades no ano")
)</f>
        <v/>
      </c>
      <c r="L1685" s="4" t="s">
        <v>125</v>
      </c>
      <c r="M1685" s="19"/>
      <c r="N1685" s="5" t="s">
        <v>42</v>
      </c>
      <c r="O1685" s="5"/>
      <c r="P1685" s="10"/>
      <c r="Q1685" s="10"/>
      <c r="R1685" s="11"/>
      <c r="S1685" s="11"/>
      <c r="T1685" s="22"/>
      <c r="U1685" s="22"/>
      <c r="V1685" s="22"/>
      <c r="W1685" s="22"/>
      <c r="X1685" s="22"/>
      <c r="Y1685" s="22"/>
      <c r="Z1685" s="22"/>
      <c r="AA1685" s="22"/>
      <c r="AB1685" s="22"/>
      <c r="AC1685" s="22"/>
      <c r="AD1685" s="22"/>
      <c r="AE1685" s="22"/>
      <c r="AF1685" s="81"/>
      <c r="AG1685" s="71"/>
      <c r="AH1685" s="71"/>
      <c r="AI1685" s="71"/>
      <c r="AJ1685" s="71"/>
      <c r="AK1685" s="71"/>
      <c r="AL1685" s="71"/>
      <c r="AM1685" s="71"/>
      <c r="AN1685" s="71"/>
      <c r="AO1685" s="71"/>
      <c r="AP1685" s="71"/>
      <c r="AQ1685" s="71"/>
      <c r="AR1685" s="71"/>
      <c r="AS1685" s="94"/>
      <c r="AT1685" s="95"/>
      <c r="AU1685" s="97"/>
      <c r="AV1685" s="81"/>
      <c r="AW1685" s="51">
        <f t="shared" si="1952"/>
        <v>0</v>
      </c>
      <c r="AX1685" s="51">
        <f t="shared" si="1953"/>
        <v>0</v>
      </c>
      <c r="AY1685" s="51">
        <f t="shared" si="1954"/>
        <v>0</v>
      </c>
      <c r="AZ1685" s="51">
        <f t="shared" si="1955"/>
        <v>0</v>
      </c>
      <c r="BA1685" s="51"/>
      <c r="BB1685" s="51"/>
      <c r="BC1685" s="51"/>
      <c r="BD1685" s="51"/>
      <c r="BE1685" s="51"/>
      <c r="BF1685" s="51"/>
      <c r="BG1685" s="51"/>
      <c r="BH1685" s="51"/>
      <c r="BI1685" s="65"/>
      <c r="BJ1685" s="68"/>
      <c r="BK1685" s="58">
        <f>IF((IF(AW1685&gt;=115%,115%,AW1685) + IF(AX1685&gt;=115%,115%,AX1685) + IF(AY1685&gt;=115%,115%,AY1685) + (IF(AZ1685&gt;=115%,115%,AZ1685) + IF(BA1685&gt;=115%,115%,BA1685) + IF(BB1685&gt;=115%,115%,BB1685) + IF(BC1685&gt;=115%,115%,BC1685) + IF(BD1685&gt;=115%,115%,BD1685) + IF(BE1685&gt;=115%,115%,BE1685) + IF(BF1685&gt;=115%,115%,BF1685) + IF(BG1685&gt;=115%,115%,BG1685) + IF(BH1685&gt;=115%,115%,BH1685)))/_xlfn.XLOOKUP(F1685,Apuração!A:A,Apuração!B:B)&gt;=1.15,1.15,((IF(AZ1685&gt;=115%,115%,AZ1685) + IF(AX1685&gt;=115%,115%,AX1685) + IF(AY1685&gt;=115%,115%,AY1685) + (IF(AW1685&gt;=115%,115%,AW1685) + IF(BA1685&gt;=115%,115%,BA1685) + IF(BB1685&gt;=115%,115%,BB1685) + IF(BC1685&gt;=115%,115%,BC1685) + IF(BD1685&gt;=115%,115%,BD1685) + IF(BE1685&gt;=115%,115%,BE1685) + IF(BF1685&gt;=115%,115%,BF1685) + IF(BG1685&gt;=115%,115%,BG1685) + IF(BH1685&gt;=115%,115%,BH1685)))/_xlfn.XLOOKUP(F1685,Apuração!A:A,Apuração!B:B)))</f>
        <v>0</v>
      </c>
      <c r="BL1685" s="58" cm="1">
        <f t="array" aca="1" ref="BL1685" ca="1">IF(SUM(IFERROR(IF(INDEX(AW1685:INDEX(AW1685:BH1685, MATCH(2, 1/(AW1685:BH1685&lt;&gt;""), 1)-1), ROW(INDIRECT("1:" &amp; MATCH(2, 1/(AW1685:BH1685&lt;&gt;""), 1)-1))) &gt;= 115%, 115%, INDEX(AW1685:INDEX(AW1685:BH1685, MATCH(2, 1/(AW1685:BH1685&lt;&gt;""), 1)-1), ROW(INDIRECT("1:" &amp; MATCH(2, 1/(AW1685:BH1685&lt;&gt;""), 1)-1)))), 0))/_xlfn.XLOOKUP(F1685,Apuração!A:A,Apuração!B:B)&gt;=1.15,1.15,SUM(IFERROR(IF(INDEX(AW1685:INDEX(AW1685:BH1685, MATCH(2, 1/(AW1685:BH1685&lt;&gt;""), 1)-1), ROW(INDIRECT("1:" &amp; MATCH(2, 1/(AW1685:BH1685&lt;&gt;""), 1)-1))) &gt;= 115%, 115%, INDEX(AW1685:INDEX(AW1685:BH1685, MATCH(2, 1/(AW1685:BH1685&lt;&gt;""), 1)-1), ROW(INDIRECT("1:" &amp; MATCH(2, 1/(AW1685:BH1685&lt;&gt;""), 1)-1)))), 0))/_xlfn.XLOOKUP(F1685,Apuração!A:A,Apuração!B:B))</f>
        <v>0</v>
      </c>
      <c r="BM1685" s="55"/>
      <c r="BN1685" s="55"/>
      <c r="BO1685" s="53">
        <f ca="1">IFERROR(_xlfn.XLOOKUP(F1685,Apuração!A:A,Apuração!C:C)/_xlfn.XLOOKUP(F1685,Apuração!A:A,Apuração!B:B),0)</f>
        <v>0</v>
      </c>
      <c r="BP1685" s="53">
        <f ca="1">IFERROR(_xlfn.XLOOKUP(F1685,Apuração!A:A,Apuração!D:D)/_xlfn.XLOOKUP(F1685,Apuração!A:A,Apuração!B:B),0)</f>
        <v>0</v>
      </c>
      <c r="BQ1685" s="53">
        <f ca="1">IF(BK1685&gt;=BO1685,0,_xlfn.XLOOKUP(F1685,Apuração!A:A,Apuração!B:B)*(BO1685 + (1/_xlfn.XLOOKUP(F1685,Apuração!A:A,Apuração!B:B)) - BK1685))</f>
        <v>0</v>
      </c>
      <c r="BR1685" s="85">
        <f t="shared" ca="1" si="1956"/>
        <v>0</v>
      </c>
      <c r="BS1685" s="53">
        <f ca="1">IFERROR((_xlfn.XLOOKUP(F1685,Apuração!A:A,Apuração!C:C)+1)/_xlfn.XLOOKUP(F1685,Apuração!A:A,Apuração!B:B),0)</f>
        <v>0.14285714285714285</v>
      </c>
    </row>
    <row r="1686" spans="1:71" ht="25.95" hidden="1" customHeight="1" x14ac:dyDescent="0.3">
      <c r="A1686" s="70" t="s">
        <v>108</v>
      </c>
      <c r="B1686" s="4" t="s">
        <v>123</v>
      </c>
      <c r="C1686" s="5" t="s">
        <v>214</v>
      </c>
      <c r="D1686" s="5" t="s">
        <v>36</v>
      </c>
      <c r="E1686" s="4" t="s">
        <v>61</v>
      </c>
      <c r="F1686" s="4" t="str" cm="1">
        <f t="array" ref="F1686">_xlfn.IFS(
AG1686 &lt;&gt; "", "Jan-Dez/26",
AH1686 &lt;&gt; "", "Fev-Dez/26",
AI1686 &lt;&gt; "", "Mar-Dez/26", AJ1686 &lt;&gt; "", "Abr-Dez/26",
TRUE, "A partir de Junho"
)</f>
        <v>A partir de Junho</v>
      </c>
      <c r="G1686" s="4" t="s">
        <v>62</v>
      </c>
      <c r="H1686" s="7" t="s">
        <v>38</v>
      </c>
      <c r="I1686" s="4" t="s">
        <v>121</v>
      </c>
      <c r="J1686" s="8" t="str" cm="1">
        <f t="array" aca="1" ref="J1686" ca="1">_xlfn.LET(
  _xlpm.actual_value_month, INDEX(T1686:AE1686, MATCH(DATE(YEAR(TODAY()), MONTH(TODAY()), 1), $T$1:$AE$1, 0)),
  IF(_xlpm.actual_value_month &lt;&gt; "",_xlpm.actual_value_month &amp; " ações mensais", "")
)</f>
        <v/>
      </c>
      <c r="K1686" s="8" t="str" cm="1">
        <f t="array" ref="K1686">_xlfn.LET(
    _xlpm.sum_month, SUM(T1686:AE1686),
    IF(_xlpm.sum_month = 0, "", _xlpm.sum_month &amp; " empresas monitoradas no ano")
)</f>
        <v/>
      </c>
      <c r="L1686" s="4" t="s">
        <v>126</v>
      </c>
      <c r="M1686" s="19"/>
      <c r="N1686" s="5" t="s">
        <v>51</v>
      </c>
      <c r="O1686" s="5"/>
      <c r="P1686" s="10"/>
      <c r="Q1686" s="10"/>
      <c r="R1686" s="11"/>
      <c r="S1686" s="11"/>
      <c r="T1686" s="22"/>
      <c r="U1686" s="22"/>
      <c r="V1686" s="22"/>
      <c r="W1686" s="22"/>
      <c r="X1686" s="22"/>
      <c r="Y1686" s="22"/>
      <c r="Z1686" s="22"/>
      <c r="AA1686" s="22"/>
      <c r="AB1686" s="22"/>
      <c r="AC1686" s="22"/>
      <c r="AD1686" s="22"/>
      <c r="AE1686" s="22"/>
      <c r="AF1686" s="81"/>
      <c r="AG1686" s="71"/>
      <c r="AH1686" s="71"/>
      <c r="AI1686" s="71"/>
      <c r="AJ1686" s="71"/>
      <c r="AK1686" s="71"/>
      <c r="AL1686" s="71"/>
      <c r="AM1686" s="71"/>
      <c r="AN1686" s="71"/>
      <c r="AO1686" s="71"/>
      <c r="AP1686" s="71"/>
      <c r="AQ1686" s="71"/>
      <c r="AR1686" s="71"/>
      <c r="AS1686" s="94"/>
      <c r="AT1686" s="95"/>
      <c r="AU1686" s="97"/>
      <c r="AV1686" s="81"/>
      <c r="AW1686" s="83">
        <f>AG1686</f>
        <v>0</v>
      </c>
      <c r="AX1686" s="83">
        <f>AH1686</f>
        <v>0</v>
      </c>
      <c r="AY1686" s="83">
        <f>AI1686</f>
        <v>0</v>
      </c>
      <c r="AZ1686" s="83">
        <f>AJ1686</f>
        <v>0</v>
      </c>
      <c r="BA1686" s="52"/>
      <c r="BB1686" s="52"/>
      <c r="BC1686" s="52"/>
      <c r="BD1686" s="52"/>
      <c r="BE1686" s="52"/>
      <c r="BF1686" s="52"/>
      <c r="BG1686" s="52"/>
      <c r="BH1686" s="52"/>
      <c r="BI1686" s="65"/>
      <c r="BJ1686" s="68"/>
      <c r="BK1686" s="59">
        <f>SUM(AW1686:BH1686)</f>
        <v>0</v>
      </c>
      <c r="BL1686" s="59" cm="1">
        <f t="array" ref="BL1686">IFERROR(SUM(AW1686:INDEX(AW1686:BH1686, MATCH(2, 1/(AW1686:BH1686&lt;&gt;""), 1) - 1))/_xlfn.XLOOKUP(F1686,Apuração!A:A,Apuração!B:B),0)</f>
        <v>0</v>
      </c>
      <c r="BM1686" s="55"/>
      <c r="BN1686" s="55"/>
      <c r="BO1686" s="53">
        <f ca="1">IFERROR(_xlfn.XLOOKUP(F1686,Apuração!A:A,Apuração!C:C)/_xlfn.XLOOKUP(F1686,Apuração!A:A,Apuração!B:B),0)</f>
        <v>0</v>
      </c>
      <c r="BP1686" s="53">
        <f ca="1">IFERROR(_xlfn.XLOOKUP(F1686,Apuração!A:A,Apuração!D:D)/_xlfn.XLOOKUP(F1686,Apuração!A:A,Apuração!B:B),0)</f>
        <v>0</v>
      </c>
      <c r="BQ1686" s="53">
        <f ca="1">IF(BK1686&gt;=BO1686,0,_xlfn.XLOOKUP(F1686,Apuração!A:A,Apuração!B:B)*(BO1686 + (1/_xlfn.XLOOKUP(F1686,Apuração!A:A,Apuração!B:B)) - BK1686))</f>
        <v>0</v>
      </c>
      <c r="BR1686" s="85">
        <f ca="1">IF(BQ1686=0,0,BQ1686*Z1686)</f>
        <v>0</v>
      </c>
      <c r="BS1686" s="53">
        <f ca="1">IFERROR((_xlfn.XLOOKUP(F1686,Apuração!A:A,Apuração!C:C)+1)/_xlfn.XLOOKUP(F1686,Apuração!A:A,Apuração!B:B),0)</f>
        <v>0.14285714285714285</v>
      </c>
    </row>
    <row r="1687" spans="1:71" ht="25.95" hidden="1" customHeight="1" x14ac:dyDescent="0.3">
      <c r="A1687" s="70" t="s">
        <v>108</v>
      </c>
      <c r="B1687" s="4" t="s">
        <v>123</v>
      </c>
      <c r="C1687" s="5" t="s">
        <v>214</v>
      </c>
      <c r="D1687" s="5" t="s">
        <v>210</v>
      </c>
      <c r="E1687" s="4" t="s">
        <v>61</v>
      </c>
      <c r="F1687" s="4" t="str" cm="1">
        <f t="array" ref="F1687">_xlfn.IFS(
AG1687 &lt;&gt; "", "Jan-Dez/26",
AH1687 &lt;&gt; "", "Fev-Dez/26",
AI1687 &lt;&gt; "", "Mar-Dez/26", AJ1687 &lt;&gt; "", "Abr-Dez/26",
TRUE, "A partir de Junho"
)</f>
        <v>A partir de Junho</v>
      </c>
      <c r="G1687" s="4" t="s">
        <v>62</v>
      </c>
      <c r="H1687" s="7" t="s">
        <v>38</v>
      </c>
      <c r="I1687" s="4" t="s">
        <v>121</v>
      </c>
      <c r="J1687" s="8" t="str" cm="1">
        <f t="array" aca="1" ref="J1687" ca="1">_xlfn.LET(
  _xlpm.actual_value_month, INDEX(T1687:AE1687, MATCH(DATE(YEAR(TODAY()), MONTH(TODAY()), 1), $T$1:$AE$1, 0)),
  IF(_xlpm.actual_value_month &lt;&gt; "",_xlpm.actual_value_month &amp; " ações mensais", "")
)</f>
        <v/>
      </c>
      <c r="K1687" s="8" t="str" cm="1">
        <f t="array" ref="K1687">_xlfn.LET(
    _xlpm.sum_month, SUM(T1687:AE1687),
    IF(_xlpm.sum_month = 0, "", _xlpm.sum_month &amp; " empresas monitoradas no ano")
)</f>
        <v/>
      </c>
      <c r="L1687" s="4" t="s">
        <v>126</v>
      </c>
      <c r="M1687" s="19"/>
      <c r="N1687" s="5" t="s">
        <v>51</v>
      </c>
      <c r="O1687" s="5"/>
      <c r="P1687" s="10"/>
      <c r="Q1687" s="10"/>
      <c r="R1687" s="11"/>
      <c r="S1687" s="11"/>
      <c r="T1687" s="22"/>
      <c r="U1687" s="22"/>
      <c r="V1687" s="22"/>
      <c r="W1687" s="22"/>
      <c r="X1687" s="22"/>
      <c r="Y1687" s="22"/>
      <c r="Z1687" s="22"/>
      <c r="AA1687" s="22"/>
      <c r="AB1687" s="22"/>
      <c r="AC1687" s="22"/>
      <c r="AD1687" s="22"/>
      <c r="AE1687" s="22"/>
      <c r="AF1687" s="81"/>
      <c r="AG1687" s="71"/>
      <c r="AH1687" s="71"/>
      <c r="AI1687" s="71"/>
      <c r="AJ1687" s="71"/>
      <c r="AK1687" s="71"/>
      <c r="AL1687" s="71"/>
      <c r="AM1687" s="71"/>
      <c r="AN1687" s="71"/>
      <c r="AO1687" s="71"/>
      <c r="AP1687" s="71"/>
      <c r="AQ1687" s="71"/>
      <c r="AR1687" s="71"/>
      <c r="AS1687" s="94"/>
      <c r="AT1687" s="95"/>
      <c r="AU1687" s="97"/>
      <c r="AV1687" s="81"/>
      <c r="AW1687" s="83">
        <f t="shared" ref="AW1687:AW1691" si="1957">AG1687</f>
        <v>0</v>
      </c>
      <c r="AX1687" s="83">
        <f t="shared" ref="AX1687:AX1691" si="1958">AH1687</f>
        <v>0</v>
      </c>
      <c r="AY1687" s="83">
        <f t="shared" ref="AY1687:AY1691" si="1959">AI1687</f>
        <v>0</v>
      </c>
      <c r="AZ1687" s="83">
        <f t="shared" ref="AZ1687:AZ1691" si="1960">AJ1687</f>
        <v>0</v>
      </c>
      <c r="BA1687" s="52"/>
      <c r="BB1687" s="52"/>
      <c r="BC1687" s="52"/>
      <c r="BD1687" s="52"/>
      <c r="BE1687" s="52"/>
      <c r="BF1687" s="52"/>
      <c r="BG1687" s="52"/>
      <c r="BH1687" s="52"/>
      <c r="BI1687" s="65"/>
      <c r="BJ1687" s="68"/>
      <c r="BK1687" s="59">
        <f t="shared" ref="BK1687:BK1691" si="1961">SUM(AW1687:BH1687)</f>
        <v>0</v>
      </c>
      <c r="BL1687" s="59" cm="1">
        <f t="array" ref="BL1687">IFERROR(SUM(AW1687:INDEX(AW1687:BH1687, MATCH(2, 1/(AW1687:BH1687&lt;&gt;""), 1) - 1))/_xlfn.XLOOKUP(F1687,Apuração!A:A,Apuração!B:B),0)</f>
        <v>0</v>
      </c>
      <c r="BM1687" s="55"/>
      <c r="BN1687" s="55"/>
      <c r="BO1687" s="53">
        <f ca="1">IFERROR(_xlfn.XLOOKUP(F1687,Apuração!A:A,Apuração!C:C)/_xlfn.XLOOKUP(F1687,Apuração!A:A,Apuração!B:B),0)</f>
        <v>0</v>
      </c>
      <c r="BP1687" s="53">
        <f ca="1">IFERROR(_xlfn.XLOOKUP(F1687,Apuração!A:A,Apuração!D:D)/_xlfn.XLOOKUP(F1687,Apuração!A:A,Apuração!B:B),0)</f>
        <v>0</v>
      </c>
      <c r="BQ1687" s="53">
        <f ca="1">IF(BK1687&gt;=BO1687,0,_xlfn.XLOOKUP(F1687,Apuração!A:A,Apuração!B:B)*(BO1687 + (1/_xlfn.XLOOKUP(F1687,Apuração!A:A,Apuração!B:B)) - BK1687))</f>
        <v>0</v>
      </c>
      <c r="BR1687" s="85">
        <f t="shared" ref="BR1687:BR1691" ca="1" si="1962">IF(BQ1687=0,0,BQ1687*Z1687)</f>
        <v>0</v>
      </c>
      <c r="BS1687" s="53">
        <f ca="1">IFERROR((_xlfn.XLOOKUP(F1687,Apuração!A:A,Apuração!C:C)+1)/_xlfn.XLOOKUP(F1687,Apuração!A:A,Apuração!B:B),0)</f>
        <v>0.14285714285714285</v>
      </c>
    </row>
    <row r="1688" spans="1:71" ht="25.95" hidden="1" customHeight="1" x14ac:dyDescent="0.3">
      <c r="A1688" s="70" t="s">
        <v>108</v>
      </c>
      <c r="B1688" s="4" t="s">
        <v>123</v>
      </c>
      <c r="C1688" s="5" t="s">
        <v>214</v>
      </c>
      <c r="D1688" s="5" t="s">
        <v>215</v>
      </c>
      <c r="E1688" s="4" t="s">
        <v>61</v>
      </c>
      <c r="F1688" s="4" t="str" cm="1">
        <f t="array" ref="F1688">_xlfn.IFS(
AG1688 &lt;&gt; "", "Jan-Dez/26",
AH1688 &lt;&gt; "", "Fev-Dez/26",
AI1688 &lt;&gt; "", "Mar-Dez/26", AJ1688 &lt;&gt; "", "Abr-Dez/26",
TRUE, "A partir de Junho"
)</f>
        <v>A partir de Junho</v>
      </c>
      <c r="G1688" s="4" t="s">
        <v>62</v>
      </c>
      <c r="H1688" s="7" t="s">
        <v>38</v>
      </c>
      <c r="I1688" s="4" t="s">
        <v>121</v>
      </c>
      <c r="J1688" s="8" t="str" cm="1">
        <f t="array" aca="1" ref="J1688" ca="1">_xlfn.LET(
  _xlpm.actual_value_month, INDEX(T1688:AE1688, MATCH(DATE(YEAR(TODAY()), MONTH(TODAY()), 1), $T$1:$AE$1, 0)),
  IF(_xlpm.actual_value_month &lt;&gt; "",_xlpm.actual_value_month &amp; " ações mensais", "")
)</f>
        <v/>
      </c>
      <c r="K1688" s="8" t="str" cm="1">
        <f t="array" ref="K1688">_xlfn.LET(
    _xlpm.sum_month, SUM(T1688:AE1688),
    IF(_xlpm.sum_month = 0, "", _xlpm.sum_month &amp; " empresas monitoradas no ano")
)</f>
        <v/>
      </c>
      <c r="L1688" s="4" t="s">
        <v>126</v>
      </c>
      <c r="M1688" s="19"/>
      <c r="N1688" s="5" t="s">
        <v>51</v>
      </c>
      <c r="O1688" s="5"/>
      <c r="P1688" s="10"/>
      <c r="Q1688" s="10"/>
      <c r="R1688" s="11"/>
      <c r="S1688" s="11"/>
      <c r="T1688" s="22"/>
      <c r="U1688" s="22"/>
      <c r="V1688" s="22"/>
      <c r="W1688" s="22"/>
      <c r="X1688" s="22"/>
      <c r="Y1688" s="22"/>
      <c r="Z1688" s="22"/>
      <c r="AA1688" s="22"/>
      <c r="AB1688" s="22"/>
      <c r="AC1688" s="22"/>
      <c r="AD1688" s="22"/>
      <c r="AE1688" s="22"/>
      <c r="AF1688" s="81"/>
      <c r="AG1688" s="71"/>
      <c r="AH1688" s="71"/>
      <c r="AI1688" s="71"/>
      <c r="AJ1688" s="71"/>
      <c r="AK1688" s="71"/>
      <c r="AL1688" s="71"/>
      <c r="AM1688" s="71"/>
      <c r="AN1688" s="71"/>
      <c r="AO1688" s="71"/>
      <c r="AP1688" s="71"/>
      <c r="AQ1688" s="71"/>
      <c r="AR1688" s="71"/>
      <c r="AS1688" s="94"/>
      <c r="AT1688" s="95"/>
      <c r="AU1688" s="97"/>
      <c r="AV1688" s="81"/>
      <c r="AW1688" s="83">
        <f t="shared" si="1957"/>
        <v>0</v>
      </c>
      <c r="AX1688" s="83">
        <f t="shared" si="1958"/>
        <v>0</v>
      </c>
      <c r="AY1688" s="83">
        <f t="shared" si="1959"/>
        <v>0</v>
      </c>
      <c r="AZ1688" s="83">
        <f t="shared" si="1960"/>
        <v>0</v>
      </c>
      <c r="BA1688" s="52"/>
      <c r="BB1688" s="52"/>
      <c r="BC1688" s="52"/>
      <c r="BD1688" s="52"/>
      <c r="BE1688" s="52"/>
      <c r="BF1688" s="52"/>
      <c r="BG1688" s="52"/>
      <c r="BH1688" s="52"/>
      <c r="BI1688" s="65"/>
      <c r="BJ1688" s="68"/>
      <c r="BK1688" s="59">
        <f t="shared" si="1961"/>
        <v>0</v>
      </c>
      <c r="BL1688" s="59" cm="1">
        <f t="array" ref="BL1688">IFERROR(SUM(AW1688:INDEX(AW1688:BH1688, MATCH(2, 1/(AW1688:BH1688&lt;&gt;""), 1) - 1))/_xlfn.XLOOKUP(F1688,Apuração!A:A,Apuração!B:B),0)</f>
        <v>0</v>
      </c>
      <c r="BM1688" s="55"/>
      <c r="BN1688" s="55"/>
      <c r="BO1688" s="53">
        <f ca="1">IFERROR(_xlfn.XLOOKUP(F1688,Apuração!A:A,Apuração!C:C)/_xlfn.XLOOKUP(F1688,Apuração!A:A,Apuração!B:B),0)</f>
        <v>0</v>
      </c>
      <c r="BP1688" s="53">
        <f ca="1">IFERROR(_xlfn.XLOOKUP(F1688,Apuração!A:A,Apuração!D:D)/_xlfn.XLOOKUP(F1688,Apuração!A:A,Apuração!B:B),0)</f>
        <v>0</v>
      </c>
      <c r="BQ1688" s="53">
        <f ca="1">IF(BK1688&gt;=BO1688,0,_xlfn.XLOOKUP(F1688,Apuração!A:A,Apuração!B:B)*(BO1688 + (1/_xlfn.XLOOKUP(F1688,Apuração!A:A,Apuração!B:B)) - BK1688))</f>
        <v>0</v>
      </c>
      <c r="BR1688" s="85">
        <f t="shared" ca="1" si="1962"/>
        <v>0</v>
      </c>
      <c r="BS1688" s="53">
        <f ca="1">IFERROR((_xlfn.XLOOKUP(F1688,Apuração!A:A,Apuração!C:C)+1)/_xlfn.XLOOKUP(F1688,Apuração!A:A,Apuração!B:B),0)</f>
        <v>0.14285714285714285</v>
      </c>
    </row>
    <row r="1689" spans="1:71" ht="25.95" hidden="1" customHeight="1" x14ac:dyDescent="0.3">
      <c r="A1689" s="70" t="s">
        <v>108</v>
      </c>
      <c r="B1689" s="4" t="s">
        <v>123</v>
      </c>
      <c r="C1689" s="5" t="s">
        <v>214</v>
      </c>
      <c r="D1689" s="5" t="s">
        <v>212</v>
      </c>
      <c r="E1689" s="4" t="s">
        <v>61</v>
      </c>
      <c r="F1689" s="4" t="str" cm="1">
        <f t="array" ref="F1689">_xlfn.IFS(
AG1689 &lt;&gt; "", "Jan-Dez/26",
AH1689 &lt;&gt; "", "Fev-Dez/26",
AI1689 &lt;&gt; "", "Mar-Dez/26", AJ1689 &lt;&gt; "", "Abr-Dez/26",
TRUE, "A partir de Junho"
)</f>
        <v>A partir de Junho</v>
      </c>
      <c r="G1689" s="4" t="s">
        <v>62</v>
      </c>
      <c r="H1689" s="7" t="s">
        <v>38</v>
      </c>
      <c r="I1689" s="4" t="s">
        <v>121</v>
      </c>
      <c r="J1689" s="8" t="str" cm="1">
        <f t="array" aca="1" ref="J1689" ca="1">_xlfn.LET(
  _xlpm.actual_value_month, INDEX(T1689:AE1689, MATCH(DATE(YEAR(TODAY()), MONTH(TODAY()), 1), $T$1:$AE$1, 0)),
  IF(_xlpm.actual_value_month &lt;&gt; "",_xlpm.actual_value_month &amp; " ações mensais", "")
)</f>
        <v/>
      </c>
      <c r="K1689" s="8" t="str" cm="1">
        <f t="array" ref="K1689">_xlfn.LET(
    _xlpm.sum_month, SUM(T1689:AE1689),
    IF(_xlpm.sum_month = 0, "", _xlpm.sum_month &amp; " empresas monitoradas no ano")
)</f>
        <v/>
      </c>
      <c r="L1689" s="4" t="s">
        <v>126</v>
      </c>
      <c r="M1689" s="19"/>
      <c r="N1689" s="5" t="s">
        <v>51</v>
      </c>
      <c r="O1689" s="5"/>
      <c r="P1689" s="10"/>
      <c r="Q1689" s="10"/>
      <c r="R1689" s="11"/>
      <c r="S1689" s="11"/>
      <c r="T1689" s="22"/>
      <c r="U1689" s="22"/>
      <c r="V1689" s="22"/>
      <c r="W1689" s="22"/>
      <c r="X1689" s="22"/>
      <c r="Y1689" s="22"/>
      <c r="Z1689" s="22"/>
      <c r="AA1689" s="22"/>
      <c r="AB1689" s="22"/>
      <c r="AC1689" s="22"/>
      <c r="AD1689" s="22"/>
      <c r="AE1689" s="22"/>
      <c r="AF1689" s="81"/>
      <c r="AG1689" s="71"/>
      <c r="AH1689" s="71"/>
      <c r="AI1689" s="71"/>
      <c r="AJ1689" s="71"/>
      <c r="AK1689" s="71"/>
      <c r="AL1689" s="71"/>
      <c r="AM1689" s="71"/>
      <c r="AN1689" s="71"/>
      <c r="AO1689" s="71"/>
      <c r="AP1689" s="71"/>
      <c r="AQ1689" s="71"/>
      <c r="AR1689" s="71"/>
      <c r="AS1689" s="94"/>
      <c r="AT1689" s="95"/>
      <c r="AU1689" s="97"/>
      <c r="AV1689" s="81"/>
      <c r="AW1689" s="83">
        <f t="shared" si="1957"/>
        <v>0</v>
      </c>
      <c r="AX1689" s="83">
        <f t="shared" si="1958"/>
        <v>0</v>
      </c>
      <c r="AY1689" s="83">
        <f t="shared" si="1959"/>
        <v>0</v>
      </c>
      <c r="AZ1689" s="83">
        <f t="shared" si="1960"/>
        <v>0</v>
      </c>
      <c r="BA1689" s="52"/>
      <c r="BB1689" s="52"/>
      <c r="BC1689" s="52"/>
      <c r="BD1689" s="52"/>
      <c r="BE1689" s="52"/>
      <c r="BF1689" s="52"/>
      <c r="BG1689" s="52"/>
      <c r="BH1689" s="52"/>
      <c r="BI1689" s="65"/>
      <c r="BJ1689" s="68"/>
      <c r="BK1689" s="59">
        <f t="shared" si="1961"/>
        <v>0</v>
      </c>
      <c r="BL1689" s="59" cm="1">
        <f t="array" ref="BL1689">IFERROR(SUM(AW1689:INDEX(AW1689:BH1689, MATCH(2, 1/(AW1689:BH1689&lt;&gt;""), 1) - 1))/_xlfn.XLOOKUP(F1689,Apuração!A:A,Apuração!B:B),0)</f>
        <v>0</v>
      </c>
      <c r="BM1689" s="55"/>
      <c r="BN1689" s="55"/>
      <c r="BO1689" s="53">
        <f ca="1">IFERROR(_xlfn.XLOOKUP(F1689,Apuração!A:A,Apuração!C:C)/_xlfn.XLOOKUP(F1689,Apuração!A:A,Apuração!B:B),0)</f>
        <v>0</v>
      </c>
      <c r="BP1689" s="53">
        <f ca="1">IFERROR(_xlfn.XLOOKUP(F1689,Apuração!A:A,Apuração!D:D)/_xlfn.XLOOKUP(F1689,Apuração!A:A,Apuração!B:B),0)</f>
        <v>0</v>
      </c>
      <c r="BQ1689" s="53">
        <f ca="1">IF(BK1689&gt;=BO1689,0,_xlfn.XLOOKUP(F1689,Apuração!A:A,Apuração!B:B)*(BO1689 + (1/_xlfn.XLOOKUP(F1689,Apuração!A:A,Apuração!B:B)) - BK1689))</f>
        <v>0</v>
      </c>
      <c r="BR1689" s="85">
        <f t="shared" ca="1" si="1962"/>
        <v>0</v>
      </c>
      <c r="BS1689" s="53">
        <f ca="1">IFERROR((_xlfn.XLOOKUP(F1689,Apuração!A:A,Apuração!C:C)+1)/_xlfn.XLOOKUP(F1689,Apuração!A:A,Apuração!B:B),0)</f>
        <v>0.14285714285714285</v>
      </c>
    </row>
    <row r="1690" spans="1:71" ht="25.95" hidden="1" customHeight="1" x14ac:dyDescent="0.3">
      <c r="A1690" s="70" t="s">
        <v>108</v>
      </c>
      <c r="B1690" s="4" t="s">
        <v>123</v>
      </c>
      <c r="C1690" s="5" t="s">
        <v>214</v>
      </c>
      <c r="D1690" s="5" t="s">
        <v>48</v>
      </c>
      <c r="E1690" s="4" t="s">
        <v>61</v>
      </c>
      <c r="F1690" s="4" t="str" cm="1">
        <f t="array" ref="F1690">_xlfn.IFS(
AG1690 &lt;&gt; "", "Jan-Dez/26",
AH1690 &lt;&gt; "", "Fev-Dez/26",
AI1690 &lt;&gt; "", "Mar-Dez/26", AJ1690 &lt;&gt; "", "Abr-Dez/26",
TRUE, "A partir de Junho"
)</f>
        <v>A partir de Junho</v>
      </c>
      <c r="G1690" s="4" t="s">
        <v>62</v>
      </c>
      <c r="H1690" s="7" t="s">
        <v>38</v>
      </c>
      <c r="I1690" s="4" t="s">
        <v>121</v>
      </c>
      <c r="J1690" s="8" t="str" cm="1">
        <f t="array" aca="1" ref="J1690" ca="1">_xlfn.LET(
  _xlpm.actual_value_month, INDEX(T1690:AE1690, MATCH(DATE(YEAR(TODAY()), MONTH(TODAY()), 1), $T$1:$AE$1, 0)),
  IF(_xlpm.actual_value_month &lt;&gt; "",_xlpm.actual_value_month &amp; " ações mensais", "")
)</f>
        <v/>
      </c>
      <c r="K1690" s="8" t="str" cm="1">
        <f t="array" ref="K1690">_xlfn.LET(
    _xlpm.sum_month, SUM(T1690:AE1690),
    IF(_xlpm.sum_month = 0, "", _xlpm.sum_month &amp; " empresas monitoradas no ano")
)</f>
        <v/>
      </c>
      <c r="L1690" s="4" t="s">
        <v>126</v>
      </c>
      <c r="M1690" s="19"/>
      <c r="N1690" s="5" t="s">
        <v>51</v>
      </c>
      <c r="O1690" s="5"/>
      <c r="P1690" s="10"/>
      <c r="Q1690" s="10"/>
      <c r="R1690" s="11"/>
      <c r="S1690" s="11"/>
      <c r="T1690" s="22"/>
      <c r="U1690" s="22"/>
      <c r="V1690" s="22"/>
      <c r="W1690" s="22"/>
      <c r="X1690" s="22"/>
      <c r="Y1690" s="22"/>
      <c r="Z1690" s="22"/>
      <c r="AA1690" s="22"/>
      <c r="AB1690" s="22"/>
      <c r="AC1690" s="22"/>
      <c r="AD1690" s="22"/>
      <c r="AE1690" s="22"/>
      <c r="AF1690" s="81"/>
      <c r="AG1690" s="71"/>
      <c r="AH1690" s="71"/>
      <c r="AI1690" s="71"/>
      <c r="AJ1690" s="71"/>
      <c r="AK1690" s="71"/>
      <c r="AL1690" s="71"/>
      <c r="AM1690" s="71"/>
      <c r="AN1690" s="71"/>
      <c r="AO1690" s="71"/>
      <c r="AP1690" s="71"/>
      <c r="AQ1690" s="71"/>
      <c r="AR1690" s="71"/>
      <c r="AS1690" s="94"/>
      <c r="AT1690" s="95"/>
      <c r="AU1690" s="97"/>
      <c r="AV1690" s="81"/>
      <c r="AW1690" s="83">
        <f t="shared" si="1957"/>
        <v>0</v>
      </c>
      <c r="AX1690" s="83">
        <f t="shared" si="1958"/>
        <v>0</v>
      </c>
      <c r="AY1690" s="83">
        <f t="shared" si="1959"/>
        <v>0</v>
      </c>
      <c r="AZ1690" s="83">
        <f t="shared" si="1960"/>
        <v>0</v>
      </c>
      <c r="BA1690" s="52"/>
      <c r="BB1690" s="52"/>
      <c r="BC1690" s="52"/>
      <c r="BD1690" s="52"/>
      <c r="BE1690" s="52"/>
      <c r="BF1690" s="52"/>
      <c r="BG1690" s="52"/>
      <c r="BH1690" s="52"/>
      <c r="BI1690" s="65"/>
      <c r="BJ1690" s="68"/>
      <c r="BK1690" s="59">
        <f t="shared" si="1961"/>
        <v>0</v>
      </c>
      <c r="BL1690" s="59" cm="1">
        <f t="array" ref="BL1690">IFERROR(SUM(AW1690:INDEX(AW1690:BH1690, MATCH(2, 1/(AW1690:BH1690&lt;&gt;""), 1) - 1))/_xlfn.XLOOKUP(F1690,Apuração!A:A,Apuração!B:B),0)</f>
        <v>0</v>
      </c>
      <c r="BM1690" s="55"/>
      <c r="BN1690" s="55"/>
      <c r="BO1690" s="53">
        <f ca="1">IFERROR(_xlfn.XLOOKUP(F1690,Apuração!A:A,Apuração!C:C)/_xlfn.XLOOKUP(F1690,Apuração!A:A,Apuração!B:B),0)</f>
        <v>0</v>
      </c>
      <c r="BP1690" s="53">
        <f ca="1">IFERROR(_xlfn.XLOOKUP(F1690,Apuração!A:A,Apuração!D:D)/_xlfn.XLOOKUP(F1690,Apuração!A:A,Apuração!B:B),0)</f>
        <v>0</v>
      </c>
      <c r="BQ1690" s="53">
        <f ca="1">IF(BK1690&gt;=BO1690,0,_xlfn.XLOOKUP(F1690,Apuração!A:A,Apuração!B:B)*(BO1690 + (1/_xlfn.XLOOKUP(F1690,Apuração!A:A,Apuração!B:B)) - BK1690))</f>
        <v>0</v>
      </c>
      <c r="BR1690" s="85">
        <f t="shared" ca="1" si="1962"/>
        <v>0</v>
      </c>
      <c r="BS1690" s="53">
        <f ca="1">IFERROR((_xlfn.XLOOKUP(F1690,Apuração!A:A,Apuração!C:C)+1)/_xlfn.XLOOKUP(F1690,Apuração!A:A,Apuração!B:B),0)</f>
        <v>0.14285714285714285</v>
      </c>
    </row>
    <row r="1691" spans="1:71" ht="25.95" hidden="1" customHeight="1" x14ac:dyDescent="0.3">
      <c r="A1691" s="70" t="s">
        <v>108</v>
      </c>
      <c r="B1691" s="4" t="s">
        <v>123</v>
      </c>
      <c r="C1691" s="5" t="s">
        <v>214</v>
      </c>
      <c r="D1691" s="5" t="s">
        <v>213</v>
      </c>
      <c r="E1691" s="4" t="s">
        <v>61</v>
      </c>
      <c r="F1691" s="4" t="str" cm="1">
        <f t="array" ref="F1691">_xlfn.IFS(
AG1691 &lt;&gt; "", "Jan-Dez/26",
AH1691 &lt;&gt; "", "Fev-Dez/26",
AI1691 &lt;&gt; "", "Mar-Dez/26", AJ1691 &lt;&gt; "", "Abr-Dez/26",
TRUE, "A partir de Junho"
)</f>
        <v>A partir de Junho</v>
      </c>
      <c r="G1691" s="4" t="s">
        <v>62</v>
      </c>
      <c r="H1691" s="7" t="s">
        <v>38</v>
      </c>
      <c r="I1691" s="4" t="s">
        <v>121</v>
      </c>
      <c r="J1691" s="8" t="str" cm="1">
        <f t="array" aca="1" ref="J1691" ca="1">_xlfn.LET(
  _xlpm.actual_value_month, INDEX(T1691:AE1691, MATCH(DATE(YEAR(TODAY()), MONTH(TODAY()), 1), $T$1:$AE$1, 0)),
  IF(_xlpm.actual_value_month &lt;&gt; "",_xlpm.actual_value_month &amp; " ações mensais", "")
)</f>
        <v/>
      </c>
      <c r="K1691" s="8" t="str" cm="1">
        <f t="array" ref="K1691">_xlfn.LET(
    _xlpm.sum_month, SUM(T1691:AE1691),
    IF(_xlpm.sum_month = 0, "", _xlpm.sum_month &amp; " empresas monitoradas no ano")
)</f>
        <v/>
      </c>
      <c r="L1691" s="4" t="s">
        <v>126</v>
      </c>
      <c r="M1691" s="19"/>
      <c r="N1691" s="5" t="s">
        <v>51</v>
      </c>
      <c r="O1691" s="5"/>
      <c r="P1691" s="10"/>
      <c r="Q1691" s="10"/>
      <c r="R1691" s="11"/>
      <c r="S1691" s="11"/>
      <c r="T1691" s="22"/>
      <c r="U1691" s="22"/>
      <c r="V1691" s="22"/>
      <c r="W1691" s="22"/>
      <c r="X1691" s="22"/>
      <c r="Y1691" s="22"/>
      <c r="Z1691" s="22"/>
      <c r="AA1691" s="22"/>
      <c r="AB1691" s="22"/>
      <c r="AC1691" s="22"/>
      <c r="AD1691" s="22"/>
      <c r="AE1691" s="22"/>
      <c r="AF1691" s="81"/>
      <c r="AG1691" s="71"/>
      <c r="AH1691" s="71"/>
      <c r="AI1691" s="71"/>
      <c r="AJ1691" s="71"/>
      <c r="AK1691" s="71"/>
      <c r="AL1691" s="71"/>
      <c r="AM1691" s="71"/>
      <c r="AN1691" s="71"/>
      <c r="AO1691" s="71"/>
      <c r="AP1691" s="71"/>
      <c r="AQ1691" s="71"/>
      <c r="AR1691" s="71"/>
      <c r="AS1691" s="94"/>
      <c r="AT1691" s="95"/>
      <c r="AU1691" s="97"/>
      <c r="AV1691" s="81"/>
      <c r="AW1691" s="83">
        <f t="shared" si="1957"/>
        <v>0</v>
      </c>
      <c r="AX1691" s="83">
        <f t="shared" si="1958"/>
        <v>0</v>
      </c>
      <c r="AY1691" s="83">
        <f t="shared" si="1959"/>
        <v>0</v>
      </c>
      <c r="AZ1691" s="83">
        <f t="shared" si="1960"/>
        <v>0</v>
      </c>
      <c r="BA1691" s="52"/>
      <c r="BB1691" s="52"/>
      <c r="BC1691" s="52"/>
      <c r="BD1691" s="52"/>
      <c r="BE1691" s="52"/>
      <c r="BF1691" s="52"/>
      <c r="BG1691" s="52"/>
      <c r="BH1691" s="52"/>
      <c r="BI1691" s="65"/>
      <c r="BJ1691" s="68"/>
      <c r="BK1691" s="59">
        <f t="shared" si="1961"/>
        <v>0</v>
      </c>
      <c r="BL1691" s="59" cm="1">
        <f t="array" ref="BL1691">IFERROR(SUM(AW1691:INDEX(AW1691:BH1691, MATCH(2, 1/(AW1691:BH1691&lt;&gt;""), 1) - 1))/_xlfn.XLOOKUP(F1691,Apuração!A:A,Apuração!B:B),0)</f>
        <v>0</v>
      </c>
      <c r="BM1691" s="55"/>
      <c r="BN1691" s="55"/>
      <c r="BO1691" s="53">
        <f ca="1">IFERROR(_xlfn.XLOOKUP(F1691,Apuração!A:A,Apuração!C:C)/_xlfn.XLOOKUP(F1691,Apuração!A:A,Apuração!B:B),0)</f>
        <v>0</v>
      </c>
      <c r="BP1691" s="53">
        <f ca="1">IFERROR(_xlfn.XLOOKUP(F1691,Apuração!A:A,Apuração!D:D)/_xlfn.XLOOKUP(F1691,Apuração!A:A,Apuração!B:B),0)</f>
        <v>0</v>
      </c>
      <c r="BQ1691" s="53">
        <f ca="1">IF(BK1691&gt;=BO1691,0,_xlfn.XLOOKUP(F1691,Apuração!A:A,Apuração!B:B)*(BO1691 + (1/_xlfn.XLOOKUP(F1691,Apuração!A:A,Apuração!B:B)) - BK1691))</f>
        <v>0</v>
      </c>
      <c r="BR1691" s="85">
        <f t="shared" ca="1" si="1962"/>
        <v>0</v>
      </c>
      <c r="BS1691" s="53">
        <f ca="1">IFERROR((_xlfn.XLOOKUP(F1691,Apuração!A:A,Apuração!C:C)+1)/_xlfn.XLOOKUP(F1691,Apuração!A:A,Apuração!B:B),0)</f>
        <v>0.14285714285714285</v>
      </c>
    </row>
    <row r="1692" spans="1:71" ht="25.95" hidden="1" customHeight="1" x14ac:dyDescent="0.3">
      <c r="A1692" s="70" t="s">
        <v>108</v>
      </c>
      <c r="B1692" s="4" t="s">
        <v>123</v>
      </c>
      <c r="C1692" s="5" t="s">
        <v>214</v>
      </c>
      <c r="D1692" s="5" t="s">
        <v>36</v>
      </c>
      <c r="E1692" s="4" t="s">
        <v>61</v>
      </c>
      <c r="F1692" s="4" t="str" cm="1">
        <f t="array" ref="F1692">_xlfn.IFS(
AG1692 &lt;&gt; "", "Jan-Dez/26",
AH1692 &lt;&gt; "", "Fev-Dez/26",
AI1692 &lt;&gt; "", "Mar-Dez/26", AJ1692 &lt;&gt; "", "Abr-Dez/26",
TRUE, "A partir de Junho"
)</f>
        <v>A partir de Junho</v>
      </c>
      <c r="G1692" s="4" t="s">
        <v>62</v>
      </c>
      <c r="H1692" s="7" t="s">
        <v>38</v>
      </c>
      <c r="I1692" s="28" t="s">
        <v>127</v>
      </c>
      <c r="J1692" s="8" t="str" cm="1">
        <f t="array" aca="1" ref="J1692" ca="1">_xlfn.LET(
  _xlpm.actual_value_month, INDEX(T1692:AE1692, MATCH(DATE(YEAR(TODAY()), MONTH(TODAY()), 1), $T$1:$AE$1, 0)),
  IF(_xlpm.actual_value_month &lt;&gt; "",_xlpm.actual_value_month &amp; " ações mensais", "")
)</f>
        <v/>
      </c>
      <c r="K1692" s="8" t="str" cm="1">
        <f t="array" ref="K1692">_xlfn.LET(
    _xlpm.sum_month, SUM(T1692:AE1692),
    IF(_xlpm.sum_month = 0, "", _xlpm.sum_month &amp; " ações no ano")
)</f>
        <v/>
      </c>
      <c r="L1692" s="4" t="s">
        <v>128</v>
      </c>
      <c r="M1692" s="19"/>
      <c r="N1692" s="5" t="s">
        <v>51</v>
      </c>
      <c r="O1692" s="5"/>
      <c r="P1692" s="10"/>
      <c r="Q1692" s="10"/>
      <c r="R1692" s="11"/>
      <c r="S1692" s="11"/>
      <c r="T1692" s="22"/>
      <c r="U1692" s="22"/>
      <c r="V1692" s="22"/>
      <c r="W1692" s="22"/>
      <c r="X1692" s="22"/>
      <c r="Y1692" s="22"/>
      <c r="Z1692" s="22"/>
      <c r="AA1692" s="22"/>
      <c r="AB1692" s="22"/>
      <c r="AC1692" s="22"/>
      <c r="AD1692" s="22"/>
      <c r="AE1692" s="22"/>
      <c r="AF1692" s="81"/>
      <c r="AG1692" s="71"/>
      <c r="AH1692" s="71"/>
      <c r="AI1692" s="71"/>
      <c r="AJ1692" s="71"/>
      <c r="AK1692" s="71"/>
      <c r="AL1692" s="71"/>
      <c r="AM1692" s="71"/>
      <c r="AN1692" s="71"/>
      <c r="AO1692" s="71"/>
      <c r="AP1692" s="71"/>
      <c r="AQ1692" s="71"/>
      <c r="AR1692" s="71"/>
      <c r="AS1692" s="94"/>
      <c r="AT1692" s="95"/>
      <c r="AU1692" s="97"/>
      <c r="AV1692" s="81"/>
      <c r="AW1692" s="83">
        <f>AG1692</f>
        <v>0</v>
      </c>
      <c r="AX1692" s="83">
        <f>AH1692</f>
        <v>0</v>
      </c>
      <c r="AY1692" s="83">
        <f>AI1692</f>
        <v>0</v>
      </c>
      <c r="AZ1692" s="83">
        <f>AJ1692</f>
        <v>0</v>
      </c>
      <c r="BA1692" s="52"/>
      <c r="BB1692" s="52"/>
      <c r="BC1692" s="52"/>
      <c r="BD1692" s="52"/>
      <c r="BE1692" s="52"/>
      <c r="BF1692" s="52"/>
      <c r="BG1692" s="52"/>
      <c r="BH1692" s="52"/>
      <c r="BI1692" s="65"/>
      <c r="BJ1692" s="68"/>
      <c r="BK1692" s="59">
        <f>SUM(AW1692:BH1692)</f>
        <v>0</v>
      </c>
      <c r="BL1692" s="59" cm="1">
        <f t="array" ref="BL1692">IFERROR(SUM(AW1692:INDEX(AW1692:BH1692, MATCH(2, 1/(AW1692:BH1692&lt;&gt;""), 1) - 1))/_xlfn.XLOOKUP(F1692,Apuração!A:A,Apuração!B:B),0)</f>
        <v>0</v>
      </c>
      <c r="BM1692" s="55"/>
      <c r="BN1692" s="55"/>
      <c r="BO1692" s="53">
        <f ca="1">IFERROR(_xlfn.XLOOKUP(F1692,Apuração!A:A,Apuração!C:C)/_xlfn.XLOOKUP(F1692,Apuração!A:A,Apuração!B:B),0)</f>
        <v>0</v>
      </c>
      <c r="BP1692" s="53">
        <f ca="1">IFERROR(_xlfn.XLOOKUP(F1692,Apuração!A:A,Apuração!D:D)/_xlfn.XLOOKUP(F1692,Apuração!A:A,Apuração!B:B),0)</f>
        <v>0</v>
      </c>
      <c r="BQ1692" s="53">
        <f ca="1">IF(BK1692&gt;=BO1692,0,_xlfn.XLOOKUP(F1692,Apuração!A:A,Apuração!B:B)*(BO1692 + (1/_xlfn.XLOOKUP(F1692,Apuração!A:A,Apuração!B:B)) - BK1692))</f>
        <v>0</v>
      </c>
      <c r="BR1692" s="85">
        <f ca="1">IF(BQ1692=0,0,BQ1692*Z1692)</f>
        <v>0</v>
      </c>
      <c r="BS1692" s="53">
        <f ca="1">IFERROR((_xlfn.XLOOKUP(F1692,Apuração!A:A,Apuração!C:C)+1)/_xlfn.XLOOKUP(F1692,Apuração!A:A,Apuração!B:B),0)</f>
        <v>0.14285714285714285</v>
      </c>
    </row>
    <row r="1693" spans="1:71" ht="25.95" hidden="1" customHeight="1" x14ac:dyDescent="0.3">
      <c r="A1693" s="70" t="s">
        <v>108</v>
      </c>
      <c r="B1693" s="4" t="s">
        <v>123</v>
      </c>
      <c r="C1693" s="5" t="s">
        <v>214</v>
      </c>
      <c r="D1693" s="5" t="s">
        <v>210</v>
      </c>
      <c r="E1693" s="4" t="s">
        <v>61</v>
      </c>
      <c r="F1693" s="4" t="str" cm="1">
        <f t="array" ref="F1693">_xlfn.IFS(
AG1693 &lt;&gt; "", "Jan-Dez/26",
AH1693 &lt;&gt; "", "Fev-Dez/26",
AI1693 &lt;&gt; "", "Mar-Dez/26", AJ1693 &lt;&gt; "", "Abr-Dez/26",
TRUE, "A partir de Junho"
)</f>
        <v>A partir de Junho</v>
      </c>
      <c r="G1693" s="4" t="s">
        <v>62</v>
      </c>
      <c r="H1693" s="7" t="s">
        <v>38</v>
      </c>
      <c r="I1693" s="28" t="s">
        <v>127</v>
      </c>
      <c r="J1693" s="8" t="str" cm="1">
        <f t="array" aca="1" ref="J1693" ca="1">_xlfn.LET(
  _xlpm.actual_value_month, INDEX(T1693:AE1693, MATCH(DATE(YEAR(TODAY()), MONTH(TODAY()), 1), $T$1:$AE$1, 0)),
  IF(_xlpm.actual_value_month &lt;&gt; "",_xlpm.actual_value_month &amp; " ações mensais", "")
)</f>
        <v/>
      </c>
      <c r="K1693" s="8" t="str" cm="1">
        <f t="array" ref="K1693">_xlfn.LET(
    _xlpm.sum_month, SUM(T1693:AE1693),
    IF(_xlpm.sum_month = 0, "", _xlpm.sum_month &amp; " ações no ano")
)</f>
        <v/>
      </c>
      <c r="L1693" s="4" t="s">
        <v>128</v>
      </c>
      <c r="M1693" s="19"/>
      <c r="N1693" s="5" t="s">
        <v>51</v>
      </c>
      <c r="O1693" s="5"/>
      <c r="P1693" s="10"/>
      <c r="Q1693" s="10"/>
      <c r="R1693" s="11"/>
      <c r="S1693" s="11"/>
      <c r="T1693" s="22"/>
      <c r="U1693" s="22"/>
      <c r="V1693" s="22"/>
      <c r="W1693" s="22"/>
      <c r="X1693" s="22"/>
      <c r="Y1693" s="22"/>
      <c r="Z1693" s="22"/>
      <c r="AA1693" s="22"/>
      <c r="AB1693" s="22"/>
      <c r="AC1693" s="22"/>
      <c r="AD1693" s="22"/>
      <c r="AE1693" s="22"/>
      <c r="AF1693" s="81"/>
      <c r="AG1693" s="71"/>
      <c r="AH1693" s="71"/>
      <c r="AI1693" s="71"/>
      <c r="AJ1693" s="71"/>
      <c r="AK1693" s="71"/>
      <c r="AL1693" s="71"/>
      <c r="AM1693" s="71"/>
      <c r="AN1693" s="71"/>
      <c r="AO1693" s="71"/>
      <c r="AP1693" s="71"/>
      <c r="AQ1693" s="71"/>
      <c r="AR1693" s="71"/>
      <c r="AS1693" s="94"/>
      <c r="AT1693" s="95"/>
      <c r="AU1693" s="97"/>
      <c r="AV1693" s="81"/>
      <c r="AW1693" s="83">
        <f t="shared" ref="AW1693:AW1697" si="1963">AG1693</f>
        <v>0</v>
      </c>
      <c r="AX1693" s="83">
        <f t="shared" ref="AX1693:AX1697" si="1964">AH1693</f>
        <v>0</v>
      </c>
      <c r="AY1693" s="83">
        <f t="shared" ref="AY1693:AY1697" si="1965">AI1693</f>
        <v>0</v>
      </c>
      <c r="AZ1693" s="83">
        <f t="shared" ref="AZ1693:AZ1697" si="1966">AJ1693</f>
        <v>0</v>
      </c>
      <c r="BA1693" s="52"/>
      <c r="BB1693" s="52"/>
      <c r="BC1693" s="52"/>
      <c r="BD1693" s="52"/>
      <c r="BE1693" s="52"/>
      <c r="BF1693" s="52"/>
      <c r="BG1693" s="52"/>
      <c r="BH1693" s="52"/>
      <c r="BI1693" s="65"/>
      <c r="BJ1693" s="68"/>
      <c r="BK1693" s="59">
        <f t="shared" ref="BK1693:BK1697" si="1967">SUM(AW1693:BH1693)</f>
        <v>0</v>
      </c>
      <c r="BL1693" s="59" cm="1">
        <f t="array" ref="BL1693">IFERROR(SUM(AW1693:INDEX(AW1693:BH1693, MATCH(2, 1/(AW1693:BH1693&lt;&gt;""), 1) - 1))/_xlfn.XLOOKUP(F1693,Apuração!A:A,Apuração!B:B),0)</f>
        <v>0</v>
      </c>
      <c r="BM1693" s="55"/>
      <c r="BN1693" s="55"/>
      <c r="BO1693" s="53">
        <f ca="1">IFERROR(_xlfn.XLOOKUP(F1693,Apuração!A:A,Apuração!C:C)/_xlfn.XLOOKUP(F1693,Apuração!A:A,Apuração!B:B),0)</f>
        <v>0</v>
      </c>
      <c r="BP1693" s="53">
        <f ca="1">IFERROR(_xlfn.XLOOKUP(F1693,Apuração!A:A,Apuração!D:D)/_xlfn.XLOOKUP(F1693,Apuração!A:A,Apuração!B:B),0)</f>
        <v>0</v>
      </c>
      <c r="BQ1693" s="53">
        <f ca="1">IF(BK1693&gt;=BO1693,0,_xlfn.XLOOKUP(F1693,Apuração!A:A,Apuração!B:B)*(BO1693 + (1/_xlfn.XLOOKUP(F1693,Apuração!A:A,Apuração!B:B)) - BK1693))</f>
        <v>0</v>
      </c>
      <c r="BR1693" s="85">
        <f t="shared" ref="BR1693:BR1697" ca="1" si="1968">IF(BQ1693=0,0,BQ1693*Z1693)</f>
        <v>0</v>
      </c>
      <c r="BS1693" s="53">
        <f ca="1">IFERROR((_xlfn.XLOOKUP(F1693,Apuração!A:A,Apuração!C:C)+1)/_xlfn.XLOOKUP(F1693,Apuração!A:A,Apuração!B:B),0)</f>
        <v>0.14285714285714285</v>
      </c>
    </row>
    <row r="1694" spans="1:71" ht="25.95" hidden="1" customHeight="1" x14ac:dyDescent="0.3">
      <c r="A1694" s="70" t="s">
        <v>108</v>
      </c>
      <c r="B1694" s="4" t="s">
        <v>123</v>
      </c>
      <c r="C1694" s="5" t="s">
        <v>214</v>
      </c>
      <c r="D1694" s="5" t="s">
        <v>215</v>
      </c>
      <c r="E1694" s="4" t="s">
        <v>61</v>
      </c>
      <c r="F1694" s="4" t="str" cm="1">
        <f t="array" ref="F1694">_xlfn.IFS(
AG1694 &lt;&gt; "", "Jan-Dez/26",
AH1694 &lt;&gt; "", "Fev-Dez/26",
AI1694 &lt;&gt; "", "Mar-Dez/26", AJ1694 &lt;&gt; "", "Abr-Dez/26",
TRUE, "A partir de Junho"
)</f>
        <v>A partir de Junho</v>
      </c>
      <c r="G1694" s="4" t="s">
        <v>62</v>
      </c>
      <c r="H1694" s="7" t="s">
        <v>38</v>
      </c>
      <c r="I1694" s="28" t="s">
        <v>127</v>
      </c>
      <c r="J1694" s="8" t="str" cm="1">
        <f t="array" aca="1" ref="J1694" ca="1">_xlfn.LET(
  _xlpm.actual_value_month, INDEX(T1694:AE1694, MATCH(DATE(YEAR(TODAY()), MONTH(TODAY()), 1), $T$1:$AE$1, 0)),
  IF(_xlpm.actual_value_month &lt;&gt; "",_xlpm.actual_value_month &amp; " ações mensais", "")
)</f>
        <v/>
      </c>
      <c r="K1694" s="8" t="str" cm="1">
        <f t="array" ref="K1694">_xlfn.LET(
    _xlpm.sum_month, SUM(T1694:AE1694),
    IF(_xlpm.sum_month = 0, "", _xlpm.sum_month &amp; " ações no ano")
)</f>
        <v/>
      </c>
      <c r="L1694" s="4" t="s">
        <v>128</v>
      </c>
      <c r="M1694" s="19"/>
      <c r="N1694" s="5" t="s">
        <v>51</v>
      </c>
      <c r="O1694" s="5"/>
      <c r="P1694" s="10"/>
      <c r="Q1694" s="10"/>
      <c r="R1694" s="11"/>
      <c r="S1694" s="11"/>
      <c r="T1694" s="22"/>
      <c r="U1694" s="22"/>
      <c r="V1694" s="22"/>
      <c r="W1694" s="22"/>
      <c r="X1694" s="22"/>
      <c r="Y1694" s="22"/>
      <c r="Z1694" s="22"/>
      <c r="AA1694" s="22"/>
      <c r="AB1694" s="22"/>
      <c r="AC1694" s="22"/>
      <c r="AD1694" s="22"/>
      <c r="AE1694" s="22"/>
      <c r="AF1694" s="81"/>
      <c r="AG1694" s="71"/>
      <c r="AH1694" s="71"/>
      <c r="AI1694" s="71"/>
      <c r="AJ1694" s="71"/>
      <c r="AK1694" s="71"/>
      <c r="AL1694" s="71"/>
      <c r="AM1694" s="71"/>
      <c r="AN1694" s="71"/>
      <c r="AO1694" s="71"/>
      <c r="AP1694" s="71"/>
      <c r="AQ1694" s="71"/>
      <c r="AR1694" s="71"/>
      <c r="AS1694" s="94"/>
      <c r="AT1694" s="95"/>
      <c r="AU1694" s="97"/>
      <c r="AV1694" s="81"/>
      <c r="AW1694" s="83">
        <f t="shared" si="1963"/>
        <v>0</v>
      </c>
      <c r="AX1694" s="83">
        <f t="shared" si="1964"/>
        <v>0</v>
      </c>
      <c r="AY1694" s="83">
        <f t="shared" si="1965"/>
        <v>0</v>
      </c>
      <c r="AZ1694" s="83">
        <f t="shared" si="1966"/>
        <v>0</v>
      </c>
      <c r="BA1694" s="52"/>
      <c r="BB1694" s="52"/>
      <c r="BC1694" s="52"/>
      <c r="BD1694" s="52"/>
      <c r="BE1694" s="52"/>
      <c r="BF1694" s="52"/>
      <c r="BG1694" s="52"/>
      <c r="BH1694" s="52"/>
      <c r="BI1694" s="65"/>
      <c r="BJ1694" s="68"/>
      <c r="BK1694" s="59">
        <f t="shared" si="1967"/>
        <v>0</v>
      </c>
      <c r="BL1694" s="59" cm="1">
        <f t="array" ref="BL1694">IFERROR(SUM(AW1694:INDEX(AW1694:BH1694, MATCH(2, 1/(AW1694:BH1694&lt;&gt;""), 1) - 1))/_xlfn.XLOOKUP(F1694,Apuração!A:A,Apuração!B:B),0)</f>
        <v>0</v>
      </c>
      <c r="BM1694" s="55"/>
      <c r="BN1694" s="55"/>
      <c r="BO1694" s="53">
        <f ca="1">IFERROR(_xlfn.XLOOKUP(F1694,Apuração!A:A,Apuração!C:C)/_xlfn.XLOOKUP(F1694,Apuração!A:A,Apuração!B:B),0)</f>
        <v>0</v>
      </c>
      <c r="BP1694" s="53">
        <f ca="1">IFERROR(_xlfn.XLOOKUP(F1694,Apuração!A:A,Apuração!D:D)/_xlfn.XLOOKUP(F1694,Apuração!A:A,Apuração!B:B),0)</f>
        <v>0</v>
      </c>
      <c r="BQ1694" s="53">
        <f ca="1">IF(BK1694&gt;=BO1694,0,_xlfn.XLOOKUP(F1694,Apuração!A:A,Apuração!B:B)*(BO1694 + (1/_xlfn.XLOOKUP(F1694,Apuração!A:A,Apuração!B:B)) - BK1694))</f>
        <v>0</v>
      </c>
      <c r="BR1694" s="85">
        <f t="shared" ca="1" si="1968"/>
        <v>0</v>
      </c>
      <c r="BS1694" s="53">
        <f ca="1">IFERROR((_xlfn.XLOOKUP(F1694,Apuração!A:A,Apuração!C:C)+1)/_xlfn.XLOOKUP(F1694,Apuração!A:A,Apuração!B:B),0)</f>
        <v>0.14285714285714285</v>
      </c>
    </row>
    <row r="1695" spans="1:71" ht="25.95" hidden="1" customHeight="1" x14ac:dyDescent="0.3">
      <c r="A1695" s="70" t="s">
        <v>108</v>
      </c>
      <c r="B1695" s="4" t="s">
        <v>123</v>
      </c>
      <c r="C1695" s="5" t="s">
        <v>214</v>
      </c>
      <c r="D1695" s="5" t="s">
        <v>212</v>
      </c>
      <c r="E1695" s="4" t="s">
        <v>61</v>
      </c>
      <c r="F1695" s="4" t="str" cm="1">
        <f t="array" ref="F1695">_xlfn.IFS(
AG1695 &lt;&gt; "", "Jan-Dez/26",
AH1695 &lt;&gt; "", "Fev-Dez/26",
AI1695 &lt;&gt; "", "Mar-Dez/26", AJ1695 &lt;&gt; "", "Abr-Dez/26",
TRUE, "A partir de Junho"
)</f>
        <v>A partir de Junho</v>
      </c>
      <c r="G1695" s="4" t="s">
        <v>62</v>
      </c>
      <c r="H1695" s="7" t="s">
        <v>38</v>
      </c>
      <c r="I1695" s="28" t="s">
        <v>127</v>
      </c>
      <c r="J1695" s="8" t="str" cm="1">
        <f t="array" aca="1" ref="J1695" ca="1">_xlfn.LET(
  _xlpm.actual_value_month, INDEX(T1695:AE1695, MATCH(DATE(YEAR(TODAY()), MONTH(TODAY()), 1), $T$1:$AE$1, 0)),
  IF(_xlpm.actual_value_month &lt;&gt; "",_xlpm.actual_value_month &amp; " ações mensais", "")
)</f>
        <v/>
      </c>
      <c r="K1695" s="8" t="str" cm="1">
        <f t="array" ref="K1695">_xlfn.LET(
    _xlpm.sum_month, SUM(T1695:AE1695),
    IF(_xlpm.sum_month = 0, "", _xlpm.sum_month &amp; " ações no ano")
)</f>
        <v/>
      </c>
      <c r="L1695" s="4" t="s">
        <v>128</v>
      </c>
      <c r="M1695" s="19"/>
      <c r="N1695" s="5" t="s">
        <v>51</v>
      </c>
      <c r="O1695" s="5"/>
      <c r="P1695" s="10"/>
      <c r="Q1695" s="10"/>
      <c r="R1695" s="11"/>
      <c r="S1695" s="11"/>
      <c r="T1695" s="22"/>
      <c r="U1695" s="22"/>
      <c r="V1695" s="22"/>
      <c r="W1695" s="22"/>
      <c r="X1695" s="22"/>
      <c r="Y1695" s="22"/>
      <c r="Z1695" s="22"/>
      <c r="AA1695" s="22"/>
      <c r="AB1695" s="22"/>
      <c r="AC1695" s="22"/>
      <c r="AD1695" s="22"/>
      <c r="AE1695" s="22"/>
      <c r="AF1695" s="81"/>
      <c r="AG1695" s="71"/>
      <c r="AH1695" s="71"/>
      <c r="AI1695" s="71"/>
      <c r="AJ1695" s="71"/>
      <c r="AK1695" s="71"/>
      <c r="AL1695" s="71"/>
      <c r="AM1695" s="71"/>
      <c r="AN1695" s="71"/>
      <c r="AO1695" s="71"/>
      <c r="AP1695" s="71"/>
      <c r="AQ1695" s="71"/>
      <c r="AR1695" s="71"/>
      <c r="AS1695" s="94"/>
      <c r="AT1695" s="95"/>
      <c r="AU1695" s="97"/>
      <c r="AV1695" s="81"/>
      <c r="AW1695" s="83">
        <f t="shared" si="1963"/>
        <v>0</v>
      </c>
      <c r="AX1695" s="83">
        <f t="shared" si="1964"/>
        <v>0</v>
      </c>
      <c r="AY1695" s="83">
        <f t="shared" si="1965"/>
        <v>0</v>
      </c>
      <c r="AZ1695" s="83">
        <f t="shared" si="1966"/>
        <v>0</v>
      </c>
      <c r="BA1695" s="52"/>
      <c r="BB1695" s="52"/>
      <c r="BC1695" s="52"/>
      <c r="BD1695" s="52"/>
      <c r="BE1695" s="52"/>
      <c r="BF1695" s="52"/>
      <c r="BG1695" s="52"/>
      <c r="BH1695" s="52"/>
      <c r="BI1695" s="65"/>
      <c r="BJ1695" s="68"/>
      <c r="BK1695" s="59">
        <f t="shared" si="1967"/>
        <v>0</v>
      </c>
      <c r="BL1695" s="59" cm="1">
        <f t="array" ref="BL1695">IFERROR(SUM(AW1695:INDEX(AW1695:BH1695, MATCH(2, 1/(AW1695:BH1695&lt;&gt;""), 1) - 1))/_xlfn.XLOOKUP(F1695,Apuração!A:A,Apuração!B:B),0)</f>
        <v>0</v>
      </c>
      <c r="BM1695" s="55"/>
      <c r="BN1695" s="55"/>
      <c r="BO1695" s="53">
        <f ca="1">IFERROR(_xlfn.XLOOKUP(F1695,Apuração!A:A,Apuração!C:C)/_xlfn.XLOOKUP(F1695,Apuração!A:A,Apuração!B:B),0)</f>
        <v>0</v>
      </c>
      <c r="BP1695" s="53">
        <f ca="1">IFERROR(_xlfn.XLOOKUP(F1695,Apuração!A:A,Apuração!D:D)/_xlfn.XLOOKUP(F1695,Apuração!A:A,Apuração!B:B),0)</f>
        <v>0</v>
      </c>
      <c r="BQ1695" s="53">
        <f ca="1">IF(BK1695&gt;=BO1695,0,_xlfn.XLOOKUP(F1695,Apuração!A:A,Apuração!B:B)*(BO1695 + (1/_xlfn.XLOOKUP(F1695,Apuração!A:A,Apuração!B:B)) - BK1695))</f>
        <v>0</v>
      </c>
      <c r="BR1695" s="85">
        <f t="shared" ca="1" si="1968"/>
        <v>0</v>
      </c>
      <c r="BS1695" s="53">
        <f ca="1">IFERROR((_xlfn.XLOOKUP(F1695,Apuração!A:A,Apuração!C:C)+1)/_xlfn.XLOOKUP(F1695,Apuração!A:A,Apuração!B:B),0)</f>
        <v>0.14285714285714285</v>
      </c>
    </row>
    <row r="1696" spans="1:71" ht="25.95" hidden="1" customHeight="1" x14ac:dyDescent="0.3">
      <c r="A1696" s="70" t="s">
        <v>108</v>
      </c>
      <c r="B1696" s="4" t="s">
        <v>123</v>
      </c>
      <c r="C1696" s="5" t="s">
        <v>214</v>
      </c>
      <c r="D1696" s="5" t="s">
        <v>48</v>
      </c>
      <c r="E1696" s="4" t="s">
        <v>61</v>
      </c>
      <c r="F1696" s="4" t="str" cm="1">
        <f t="array" ref="F1696">_xlfn.IFS(
AG1696 &lt;&gt; "", "Jan-Dez/26",
AH1696 &lt;&gt; "", "Fev-Dez/26",
AI1696 &lt;&gt; "", "Mar-Dez/26", AJ1696 &lt;&gt; "", "Abr-Dez/26",
TRUE, "A partir de Junho"
)</f>
        <v>A partir de Junho</v>
      </c>
      <c r="G1696" s="4" t="s">
        <v>62</v>
      </c>
      <c r="H1696" s="7" t="s">
        <v>38</v>
      </c>
      <c r="I1696" s="28" t="s">
        <v>127</v>
      </c>
      <c r="J1696" s="8" t="str" cm="1">
        <f t="array" aca="1" ref="J1696" ca="1">_xlfn.LET(
  _xlpm.actual_value_month, INDEX(T1696:AE1696, MATCH(DATE(YEAR(TODAY()), MONTH(TODAY()), 1), $T$1:$AE$1, 0)),
  IF(_xlpm.actual_value_month &lt;&gt; "",_xlpm.actual_value_month &amp; " ações mensais", "")
)</f>
        <v/>
      </c>
      <c r="K1696" s="8" t="str" cm="1">
        <f t="array" ref="K1696">_xlfn.LET(
    _xlpm.sum_month, SUM(T1696:AE1696),
    IF(_xlpm.sum_month = 0, "", _xlpm.sum_month &amp; " ações no ano")
)</f>
        <v/>
      </c>
      <c r="L1696" s="4" t="s">
        <v>128</v>
      </c>
      <c r="M1696" s="19"/>
      <c r="N1696" s="5" t="s">
        <v>51</v>
      </c>
      <c r="O1696" s="5"/>
      <c r="P1696" s="10"/>
      <c r="Q1696" s="10"/>
      <c r="R1696" s="11"/>
      <c r="S1696" s="11"/>
      <c r="T1696" s="22"/>
      <c r="U1696" s="22"/>
      <c r="V1696" s="22"/>
      <c r="W1696" s="22"/>
      <c r="X1696" s="22"/>
      <c r="Y1696" s="22"/>
      <c r="Z1696" s="22"/>
      <c r="AA1696" s="22"/>
      <c r="AB1696" s="22"/>
      <c r="AC1696" s="22"/>
      <c r="AD1696" s="22"/>
      <c r="AE1696" s="22"/>
      <c r="AF1696" s="81"/>
      <c r="AG1696" s="71"/>
      <c r="AH1696" s="71"/>
      <c r="AI1696" s="71"/>
      <c r="AJ1696" s="71"/>
      <c r="AK1696" s="71"/>
      <c r="AL1696" s="71"/>
      <c r="AM1696" s="71"/>
      <c r="AN1696" s="71"/>
      <c r="AO1696" s="71"/>
      <c r="AP1696" s="71"/>
      <c r="AQ1696" s="71"/>
      <c r="AR1696" s="71"/>
      <c r="AS1696" s="94"/>
      <c r="AT1696" s="95"/>
      <c r="AU1696" s="97"/>
      <c r="AV1696" s="81"/>
      <c r="AW1696" s="83">
        <f t="shared" si="1963"/>
        <v>0</v>
      </c>
      <c r="AX1696" s="83">
        <f t="shared" si="1964"/>
        <v>0</v>
      </c>
      <c r="AY1696" s="83">
        <f t="shared" si="1965"/>
        <v>0</v>
      </c>
      <c r="AZ1696" s="83">
        <f t="shared" si="1966"/>
        <v>0</v>
      </c>
      <c r="BA1696" s="52"/>
      <c r="BB1696" s="52"/>
      <c r="BC1696" s="52"/>
      <c r="BD1696" s="52"/>
      <c r="BE1696" s="52"/>
      <c r="BF1696" s="52"/>
      <c r="BG1696" s="52"/>
      <c r="BH1696" s="52"/>
      <c r="BI1696" s="65"/>
      <c r="BJ1696" s="68"/>
      <c r="BK1696" s="59">
        <f t="shared" si="1967"/>
        <v>0</v>
      </c>
      <c r="BL1696" s="59" cm="1">
        <f t="array" ref="BL1696">IFERROR(SUM(AW1696:INDEX(AW1696:BH1696, MATCH(2, 1/(AW1696:BH1696&lt;&gt;""), 1) - 1))/_xlfn.XLOOKUP(F1696,Apuração!A:A,Apuração!B:B),0)</f>
        <v>0</v>
      </c>
      <c r="BM1696" s="55"/>
      <c r="BN1696" s="55"/>
      <c r="BO1696" s="53">
        <f ca="1">IFERROR(_xlfn.XLOOKUP(F1696,Apuração!A:A,Apuração!C:C)/_xlfn.XLOOKUP(F1696,Apuração!A:A,Apuração!B:B),0)</f>
        <v>0</v>
      </c>
      <c r="BP1696" s="53">
        <f ca="1">IFERROR(_xlfn.XLOOKUP(F1696,Apuração!A:A,Apuração!D:D)/_xlfn.XLOOKUP(F1696,Apuração!A:A,Apuração!B:B),0)</f>
        <v>0</v>
      </c>
      <c r="BQ1696" s="53">
        <f ca="1">IF(BK1696&gt;=BO1696,0,_xlfn.XLOOKUP(F1696,Apuração!A:A,Apuração!B:B)*(BO1696 + (1/_xlfn.XLOOKUP(F1696,Apuração!A:A,Apuração!B:B)) - BK1696))</f>
        <v>0</v>
      </c>
      <c r="BR1696" s="85">
        <f t="shared" ca="1" si="1968"/>
        <v>0</v>
      </c>
      <c r="BS1696" s="53">
        <f ca="1">IFERROR((_xlfn.XLOOKUP(F1696,Apuração!A:A,Apuração!C:C)+1)/_xlfn.XLOOKUP(F1696,Apuração!A:A,Apuração!B:B),0)</f>
        <v>0.14285714285714285</v>
      </c>
    </row>
    <row r="1697" spans="1:71" ht="25.95" hidden="1" customHeight="1" x14ac:dyDescent="0.3">
      <c r="A1697" s="70" t="s">
        <v>108</v>
      </c>
      <c r="B1697" s="4" t="s">
        <v>123</v>
      </c>
      <c r="C1697" s="5" t="s">
        <v>214</v>
      </c>
      <c r="D1697" s="5" t="s">
        <v>213</v>
      </c>
      <c r="E1697" s="4" t="s">
        <v>61</v>
      </c>
      <c r="F1697" s="4" t="str" cm="1">
        <f t="array" ref="F1697">_xlfn.IFS(
AG1697 &lt;&gt; "", "Jan-Dez/26",
AH1697 &lt;&gt; "", "Fev-Dez/26",
AI1697 &lt;&gt; "", "Mar-Dez/26", AJ1697 &lt;&gt; "", "Abr-Dez/26",
TRUE, "A partir de Junho"
)</f>
        <v>A partir de Junho</v>
      </c>
      <c r="G1697" s="4" t="s">
        <v>62</v>
      </c>
      <c r="H1697" s="7" t="s">
        <v>38</v>
      </c>
      <c r="I1697" s="28" t="s">
        <v>127</v>
      </c>
      <c r="J1697" s="8" t="str" cm="1">
        <f t="array" aca="1" ref="J1697" ca="1">_xlfn.LET(
  _xlpm.actual_value_month, INDEX(T1697:AE1697, MATCH(DATE(YEAR(TODAY()), MONTH(TODAY()), 1), $T$1:$AE$1, 0)),
  IF(_xlpm.actual_value_month &lt;&gt; "",_xlpm.actual_value_month &amp; " ações mensais", "")
)</f>
        <v/>
      </c>
      <c r="K1697" s="8" t="str" cm="1">
        <f t="array" ref="K1697">_xlfn.LET(
    _xlpm.sum_month, SUM(T1697:AE1697),
    IF(_xlpm.sum_month = 0, "", _xlpm.sum_month &amp; " ações no ano")
)</f>
        <v/>
      </c>
      <c r="L1697" s="4" t="s">
        <v>128</v>
      </c>
      <c r="M1697" s="19"/>
      <c r="N1697" s="5" t="s">
        <v>51</v>
      </c>
      <c r="O1697" s="5"/>
      <c r="P1697" s="10"/>
      <c r="Q1697" s="10"/>
      <c r="R1697" s="11"/>
      <c r="S1697" s="11"/>
      <c r="T1697" s="22"/>
      <c r="U1697" s="22"/>
      <c r="V1697" s="22"/>
      <c r="W1697" s="22"/>
      <c r="X1697" s="22"/>
      <c r="Y1697" s="22"/>
      <c r="Z1697" s="22"/>
      <c r="AA1697" s="22"/>
      <c r="AB1697" s="22"/>
      <c r="AC1697" s="22"/>
      <c r="AD1697" s="22"/>
      <c r="AE1697" s="22"/>
      <c r="AF1697" s="81"/>
      <c r="AG1697" s="71"/>
      <c r="AH1697" s="71"/>
      <c r="AI1697" s="71"/>
      <c r="AJ1697" s="71"/>
      <c r="AK1697" s="71"/>
      <c r="AL1697" s="71"/>
      <c r="AM1697" s="71"/>
      <c r="AN1697" s="71"/>
      <c r="AO1697" s="71"/>
      <c r="AP1697" s="71"/>
      <c r="AQ1697" s="71"/>
      <c r="AR1697" s="71"/>
      <c r="AS1697" s="94"/>
      <c r="AT1697" s="95"/>
      <c r="AU1697" s="97"/>
      <c r="AV1697" s="81"/>
      <c r="AW1697" s="83">
        <f t="shared" si="1963"/>
        <v>0</v>
      </c>
      <c r="AX1697" s="83">
        <f t="shared" si="1964"/>
        <v>0</v>
      </c>
      <c r="AY1697" s="83">
        <f t="shared" si="1965"/>
        <v>0</v>
      </c>
      <c r="AZ1697" s="83">
        <f t="shared" si="1966"/>
        <v>0</v>
      </c>
      <c r="BA1697" s="52"/>
      <c r="BB1697" s="52"/>
      <c r="BC1697" s="52"/>
      <c r="BD1697" s="52"/>
      <c r="BE1697" s="52"/>
      <c r="BF1697" s="52"/>
      <c r="BG1697" s="52"/>
      <c r="BH1697" s="52"/>
      <c r="BI1697" s="65"/>
      <c r="BJ1697" s="68"/>
      <c r="BK1697" s="59">
        <f t="shared" si="1967"/>
        <v>0</v>
      </c>
      <c r="BL1697" s="59" cm="1">
        <f t="array" ref="BL1697">IFERROR(SUM(AW1697:INDEX(AW1697:BH1697, MATCH(2, 1/(AW1697:BH1697&lt;&gt;""), 1) - 1))/_xlfn.XLOOKUP(F1697,Apuração!A:A,Apuração!B:B),0)</f>
        <v>0</v>
      </c>
      <c r="BM1697" s="55"/>
      <c r="BN1697" s="55"/>
      <c r="BO1697" s="53">
        <f ca="1">IFERROR(_xlfn.XLOOKUP(F1697,Apuração!A:A,Apuração!C:C)/_xlfn.XLOOKUP(F1697,Apuração!A:A,Apuração!B:B),0)</f>
        <v>0</v>
      </c>
      <c r="BP1697" s="53">
        <f ca="1">IFERROR(_xlfn.XLOOKUP(F1697,Apuração!A:A,Apuração!D:D)/_xlfn.XLOOKUP(F1697,Apuração!A:A,Apuração!B:B),0)</f>
        <v>0</v>
      </c>
      <c r="BQ1697" s="53">
        <f ca="1">IF(BK1697&gt;=BO1697,0,_xlfn.XLOOKUP(F1697,Apuração!A:A,Apuração!B:B)*(BO1697 + (1/_xlfn.XLOOKUP(F1697,Apuração!A:A,Apuração!B:B)) - BK1697))</f>
        <v>0</v>
      </c>
      <c r="BR1697" s="85">
        <f t="shared" ca="1" si="1968"/>
        <v>0</v>
      </c>
      <c r="BS1697" s="53">
        <f ca="1">IFERROR((_xlfn.XLOOKUP(F1697,Apuração!A:A,Apuração!C:C)+1)/_xlfn.XLOOKUP(F1697,Apuração!A:A,Apuração!B:B),0)</f>
        <v>0.14285714285714285</v>
      </c>
    </row>
    <row r="1698" spans="1:71" ht="25.95" hidden="1" customHeight="1" x14ac:dyDescent="0.3">
      <c r="A1698" s="41" t="s">
        <v>108</v>
      </c>
      <c r="B1698" s="4" t="s">
        <v>129</v>
      </c>
      <c r="C1698" s="5" t="s">
        <v>214</v>
      </c>
      <c r="D1698" s="5" t="s">
        <v>36</v>
      </c>
      <c r="E1698" s="4" t="s">
        <v>61</v>
      </c>
      <c r="F1698" s="4" t="str" cm="1">
        <f t="array" ref="F1698">_xlfn.IFS(
AG1698 &lt;&gt; "", "Jan-Dez/26",
AH1698 &lt;&gt; "", "Fev-Dez/26",
AI1698 &lt;&gt; "", "Mar-Dez/26", AJ1698 &lt;&gt; "", "Abr-Dez/26",
TRUE, "A partir de Junho"
)</f>
        <v>A partir de Junho</v>
      </c>
      <c r="G1698" s="4" t="s">
        <v>62</v>
      </c>
      <c r="H1698" s="7" t="s">
        <v>38</v>
      </c>
      <c r="I1698" s="4" t="s">
        <v>130</v>
      </c>
      <c r="J1698" s="8" t="str" cm="1">
        <f t="array" aca="1" ref="J1698" ca="1">_xlfn.LET(
  _xlpm.actual_value_month, INDEX(T1698:AE1698, MATCH(DATE(YEAR(TODAY()), MONTH(TODAY()), 1), $T$1:$AE$1, 0)),
  IF(_xlpm.actual_value_month &lt;&gt; "",_xlpm.actual_value_month &amp; " ações mensais", "")
)</f>
        <v/>
      </c>
      <c r="K1698" s="8" t="str" cm="1">
        <f t="array" ref="K1698">_xlfn.LET(
    _xlpm.sum_month, SUM(T1698:AE1698),
    IF(_xlpm.sum_month = 0, "", _xlpm.sum_month &amp; " treinamento de motociclistas no ano")
)</f>
        <v/>
      </c>
      <c r="L1698" s="4" t="s">
        <v>131</v>
      </c>
      <c r="M1698" s="19"/>
      <c r="N1698" s="5" t="s">
        <v>42</v>
      </c>
      <c r="O1698" s="5"/>
      <c r="P1698" s="10"/>
      <c r="Q1698" s="10"/>
      <c r="R1698" s="11"/>
      <c r="S1698" s="11"/>
      <c r="T1698" s="22"/>
      <c r="U1698" s="22"/>
      <c r="V1698" s="22"/>
      <c r="W1698" s="22"/>
      <c r="X1698" s="22"/>
      <c r="Y1698" s="22"/>
      <c r="Z1698" s="22"/>
      <c r="AA1698" s="22"/>
      <c r="AB1698" s="22"/>
      <c r="AC1698" s="22"/>
      <c r="AD1698" s="22"/>
      <c r="AE1698" s="22"/>
      <c r="AF1698" s="81"/>
      <c r="AG1698" s="71"/>
      <c r="AH1698" s="71"/>
      <c r="AI1698" s="71"/>
      <c r="AJ1698" s="71"/>
      <c r="AK1698" s="71"/>
      <c r="AL1698" s="71"/>
      <c r="AM1698" s="71"/>
      <c r="AN1698" s="71"/>
      <c r="AO1698" s="71"/>
      <c r="AP1698" s="71"/>
      <c r="AQ1698" s="71"/>
      <c r="AR1698" s="71"/>
      <c r="AS1698" s="94"/>
      <c r="AT1698" s="95"/>
      <c r="AU1698" s="97"/>
      <c r="AV1698" s="81"/>
      <c r="AW1698" s="51">
        <f>IFERROR(IF(AG1698="",0,AG1698/T1698),0)</f>
        <v>0</v>
      </c>
      <c r="AX1698" s="51">
        <f>IFERROR(IF(AH1698="",0,AH1698/U1698),0)</f>
        <v>0</v>
      </c>
      <c r="AY1698" s="51">
        <f>IFERROR(IF(AI1698="",0,AI1698/V1698),0)</f>
        <v>0</v>
      </c>
      <c r="AZ1698" s="51">
        <f>IFERROR(IF(AJ1698="",0,AJ1698/W1698),0)</f>
        <v>0</v>
      </c>
      <c r="BA1698" s="51"/>
      <c r="BB1698" s="51"/>
      <c r="BC1698" s="51"/>
      <c r="BD1698" s="51"/>
      <c r="BE1698" s="51"/>
      <c r="BF1698" s="51"/>
      <c r="BG1698" s="51"/>
      <c r="BH1698" s="51"/>
      <c r="BI1698" s="65"/>
      <c r="BJ1698" s="68"/>
      <c r="BK1698" s="58">
        <f>IF((IF(AW1698&gt;=115%,115%,AW1698) + IF(AX1698&gt;=115%,115%,AX1698) + IF(AY1698&gt;=115%,115%,AY1698) + (IF(AZ1698&gt;=115%,115%,AZ1698) + IF(BA1698&gt;=115%,115%,BA1698) + IF(BB1698&gt;=115%,115%,BB1698) + IF(BC1698&gt;=115%,115%,BC1698) + IF(BD1698&gt;=115%,115%,BD1698) + IF(BE1698&gt;=115%,115%,BE1698) + IF(BF1698&gt;=115%,115%,BF1698) + IF(BG1698&gt;=115%,115%,BG1698) + IF(BH1698&gt;=115%,115%,BH1698)))/_xlfn.XLOOKUP(F1698,Apuração!A:A,Apuração!B:B)&gt;=1.15,1.15,((IF(AZ1698&gt;=115%,115%,AZ1698) + IF(AX1698&gt;=115%,115%,AX1698) + IF(AY1698&gt;=115%,115%,AY1698) + (IF(AW1698&gt;=115%,115%,AW1698) + IF(BA1698&gt;=115%,115%,BA1698) + IF(BB1698&gt;=115%,115%,BB1698) + IF(BC1698&gt;=115%,115%,BC1698) + IF(BD1698&gt;=115%,115%,BD1698) + IF(BE1698&gt;=115%,115%,BE1698) + IF(BF1698&gt;=115%,115%,BF1698) + IF(BG1698&gt;=115%,115%,BG1698) + IF(BH1698&gt;=115%,115%,BH1698)))/_xlfn.XLOOKUP(F1698,Apuração!A:A,Apuração!B:B)))</f>
        <v>0</v>
      </c>
      <c r="BL1698" s="58" cm="1">
        <f t="array" aca="1" ref="BL1698" ca="1">IF(SUM(IFERROR(IF(INDEX(AW1698:INDEX(AW1698:BH1698, MATCH(2, 1/(AW1698:BH1698&lt;&gt;""), 1)-1), ROW(INDIRECT("1:" &amp; MATCH(2, 1/(AW1698:BH1698&lt;&gt;""), 1)-1))) &gt;= 115%, 115%, INDEX(AW1698:INDEX(AW1698:BH1698, MATCH(2, 1/(AW1698:BH1698&lt;&gt;""), 1)-1), ROW(INDIRECT("1:" &amp; MATCH(2, 1/(AW1698:BH1698&lt;&gt;""), 1)-1)))), 0))/_xlfn.XLOOKUP(F1698,Apuração!A:A,Apuração!B:B)&gt;=1.15,1.15,SUM(IFERROR(IF(INDEX(AW1698:INDEX(AW1698:BH1698, MATCH(2, 1/(AW1698:BH1698&lt;&gt;""), 1)-1), ROW(INDIRECT("1:" &amp; MATCH(2, 1/(AW1698:BH1698&lt;&gt;""), 1)-1))) &gt;= 115%, 115%, INDEX(AW1698:INDEX(AW1698:BH1698, MATCH(2, 1/(AW1698:BH1698&lt;&gt;""), 1)-1), ROW(INDIRECT("1:" &amp; MATCH(2, 1/(AW1698:BH1698&lt;&gt;""), 1)-1)))), 0))/_xlfn.XLOOKUP(F1698,Apuração!A:A,Apuração!B:B))</f>
        <v>0</v>
      </c>
      <c r="BM1698" s="55"/>
      <c r="BN1698" s="55"/>
      <c r="BO1698" s="53">
        <f ca="1">IFERROR(_xlfn.XLOOKUP(F1698,Apuração!A:A,Apuração!C:C)/_xlfn.XLOOKUP(F1698,Apuração!A:A,Apuração!B:B),0)</f>
        <v>0</v>
      </c>
      <c r="BP1698" s="53">
        <f ca="1">IFERROR(_xlfn.XLOOKUP(F1698,Apuração!A:A,Apuração!D:D)/_xlfn.XLOOKUP(F1698,Apuração!A:A,Apuração!B:B),0)</f>
        <v>0</v>
      </c>
      <c r="BQ1698" s="53">
        <f ca="1">IF(BK1698&gt;=BO1698,0,_xlfn.XLOOKUP(F1698,Apuração!A:A,Apuração!B:B)*(BO1698 + (1/_xlfn.XLOOKUP(F1698,Apuração!A:A,Apuração!B:B)) - BK1698))</f>
        <v>0</v>
      </c>
      <c r="BR1698" s="85">
        <f ca="1">IF(BQ1698=0,0,BQ1698*Z1698)</f>
        <v>0</v>
      </c>
      <c r="BS1698" s="53">
        <f ca="1">IFERROR((_xlfn.XLOOKUP(F1698,Apuração!A:A,Apuração!C:C)+1)/_xlfn.XLOOKUP(F1698,Apuração!A:A,Apuração!B:B),0)</f>
        <v>0.14285714285714285</v>
      </c>
    </row>
    <row r="1699" spans="1:71" ht="25.95" hidden="1" customHeight="1" x14ac:dyDescent="0.3">
      <c r="A1699" s="41" t="s">
        <v>108</v>
      </c>
      <c r="B1699" s="4" t="s">
        <v>129</v>
      </c>
      <c r="C1699" s="5" t="s">
        <v>214</v>
      </c>
      <c r="D1699" s="5" t="s">
        <v>210</v>
      </c>
      <c r="E1699" s="4" t="s">
        <v>61</v>
      </c>
      <c r="F1699" s="4" t="str" cm="1">
        <f t="array" ref="F1699">_xlfn.IFS(
AG1699 &lt;&gt; "", "Jan-Dez/26",
AH1699 &lt;&gt; "", "Fev-Dez/26",
AI1699 &lt;&gt; "", "Mar-Dez/26", AJ1699 &lt;&gt; "", "Abr-Dez/26",
TRUE, "A partir de Junho"
)</f>
        <v>A partir de Junho</v>
      </c>
      <c r="G1699" s="4" t="s">
        <v>62</v>
      </c>
      <c r="H1699" s="7" t="s">
        <v>38</v>
      </c>
      <c r="I1699" s="4" t="s">
        <v>130</v>
      </c>
      <c r="J1699" s="8" t="str" cm="1">
        <f t="array" aca="1" ref="J1699" ca="1">_xlfn.LET(
  _xlpm.actual_value_month, INDEX(T1699:AE1699, MATCH(DATE(YEAR(TODAY()), MONTH(TODAY()), 1), $T$1:$AE$1, 0)),
  IF(_xlpm.actual_value_month &lt;&gt; "",_xlpm.actual_value_month &amp; " ações mensais", "")
)</f>
        <v/>
      </c>
      <c r="K1699" s="8" t="str" cm="1">
        <f t="array" ref="K1699">_xlfn.LET(
    _xlpm.sum_month, SUM(T1699:AE1699),
    IF(_xlpm.sum_month = 0, "", _xlpm.sum_month &amp; " treinamento de motociclistas no ano")
)</f>
        <v/>
      </c>
      <c r="L1699" s="4" t="s">
        <v>131</v>
      </c>
      <c r="M1699" s="19"/>
      <c r="N1699" s="5" t="s">
        <v>42</v>
      </c>
      <c r="O1699" s="5"/>
      <c r="P1699" s="10"/>
      <c r="Q1699" s="10"/>
      <c r="R1699" s="11"/>
      <c r="S1699" s="11"/>
      <c r="T1699" s="22"/>
      <c r="U1699" s="22"/>
      <c r="V1699" s="22"/>
      <c r="W1699" s="22"/>
      <c r="X1699" s="22"/>
      <c r="Y1699" s="22"/>
      <c r="Z1699" s="22"/>
      <c r="AA1699" s="22"/>
      <c r="AB1699" s="22"/>
      <c r="AC1699" s="22"/>
      <c r="AD1699" s="22"/>
      <c r="AE1699" s="22"/>
      <c r="AF1699" s="81"/>
      <c r="AG1699" s="71"/>
      <c r="AH1699" s="71"/>
      <c r="AI1699" s="71"/>
      <c r="AJ1699" s="71"/>
      <c r="AK1699" s="71"/>
      <c r="AL1699" s="71"/>
      <c r="AM1699" s="71"/>
      <c r="AN1699" s="71"/>
      <c r="AO1699" s="71"/>
      <c r="AP1699" s="71"/>
      <c r="AQ1699" s="71"/>
      <c r="AR1699" s="71"/>
      <c r="AS1699" s="94"/>
      <c r="AT1699" s="95"/>
      <c r="AU1699" s="97"/>
      <c r="AV1699" s="81"/>
      <c r="AW1699" s="51">
        <f t="shared" ref="AW1699:AW1703" si="1969">IFERROR(IF(AG1699="",0,AG1699/T1699),0)</f>
        <v>0</v>
      </c>
      <c r="AX1699" s="51">
        <f t="shared" ref="AX1699:AX1703" si="1970">IFERROR(IF(AH1699="",0,AH1699/U1699),0)</f>
        <v>0</v>
      </c>
      <c r="AY1699" s="51">
        <f t="shared" ref="AY1699:AY1703" si="1971">IFERROR(IF(AI1699="",0,AI1699/V1699),0)</f>
        <v>0</v>
      </c>
      <c r="AZ1699" s="51">
        <f t="shared" ref="AZ1699:AZ1703" si="1972">IFERROR(IF(AJ1699="",0,AJ1699/W1699),0)</f>
        <v>0</v>
      </c>
      <c r="BA1699" s="51"/>
      <c r="BB1699" s="51"/>
      <c r="BC1699" s="51"/>
      <c r="BD1699" s="51"/>
      <c r="BE1699" s="51"/>
      <c r="BF1699" s="51"/>
      <c r="BG1699" s="51"/>
      <c r="BH1699" s="51"/>
      <c r="BI1699" s="65"/>
      <c r="BJ1699" s="68"/>
      <c r="BK1699" s="58">
        <f>IF((IF(AW1699&gt;=115%,115%,AW1699) + IF(AX1699&gt;=115%,115%,AX1699) + IF(AY1699&gt;=115%,115%,AY1699) + (IF(AZ1699&gt;=115%,115%,AZ1699) + IF(BA1699&gt;=115%,115%,BA1699) + IF(BB1699&gt;=115%,115%,BB1699) + IF(BC1699&gt;=115%,115%,BC1699) + IF(BD1699&gt;=115%,115%,BD1699) + IF(BE1699&gt;=115%,115%,BE1699) + IF(BF1699&gt;=115%,115%,BF1699) + IF(BG1699&gt;=115%,115%,BG1699) + IF(BH1699&gt;=115%,115%,BH1699)))/_xlfn.XLOOKUP(F1699,Apuração!A:A,Apuração!B:B)&gt;=1.15,1.15,((IF(AZ1699&gt;=115%,115%,AZ1699) + IF(AX1699&gt;=115%,115%,AX1699) + IF(AY1699&gt;=115%,115%,AY1699) + (IF(AW1699&gt;=115%,115%,AW1699) + IF(BA1699&gt;=115%,115%,BA1699) + IF(BB1699&gt;=115%,115%,BB1699) + IF(BC1699&gt;=115%,115%,BC1699) + IF(BD1699&gt;=115%,115%,BD1699) + IF(BE1699&gt;=115%,115%,BE1699) + IF(BF1699&gt;=115%,115%,BF1699) + IF(BG1699&gt;=115%,115%,BG1699) + IF(BH1699&gt;=115%,115%,BH1699)))/_xlfn.XLOOKUP(F1699,Apuração!A:A,Apuração!B:B)))</f>
        <v>0</v>
      </c>
      <c r="BL1699" s="58" cm="1">
        <f t="array" aca="1" ref="BL1699" ca="1">IF(SUM(IFERROR(IF(INDEX(AW1699:INDEX(AW1699:BH1699, MATCH(2, 1/(AW1699:BH1699&lt;&gt;""), 1)-1), ROW(INDIRECT("1:" &amp; MATCH(2, 1/(AW1699:BH1699&lt;&gt;""), 1)-1))) &gt;= 115%, 115%, INDEX(AW1699:INDEX(AW1699:BH1699, MATCH(2, 1/(AW1699:BH1699&lt;&gt;""), 1)-1), ROW(INDIRECT("1:" &amp; MATCH(2, 1/(AW1699:BH1699&lt;&gt;""), 1)-1)))), 0))/_xlfn.XLOOKUP(F1699,Apuração!A:A,Apuração!B:B)&gt;=1.15,1.15,SUM(IFERROR(IF(INDEX(AW1699:INDEX(AW1699:BH1699, MATCH(2, 1/(AW1699:BH1699&lt;&gt;""), 1)-1), ROW(INDIRECT("1:" &amp; MATCH(2, 1/(AW1699:BH1699&lt;&gt;""), 1)-1))) &gt;= 115%, 115%, INDEX(AW1699:INDEX(AW1699:BH1699, MATCH(2, 1/(AW1699:BH1699&lt;&gt;""), 1)-1), ROW(INDIRECT("1:" &amp; MATCH(2, 1/(AW1699:BH1699&lt;&gt;""), 1)-1)))), 0))/_xlfn.XLOOKUP(F1699,Apuração!A:A,Apuração!B:B))</f>
        <v>0</v>
      </c>
      <c r="BM1699" s="55"/>
      <c r="BN1699" s="55"/>
      <c r="BO1699" s="53">
        <f ca="1">IFERROR(_xlfn.XLOOKUP(F1699,Apuração!A:A,Apuração!C:C)/_xlfn.XLOOKUP(F1699,Apuração!A:A,Apuração!B:B),0)</f>
        <v>0</v>
      </c>
      <c r="BP1699" s="53">
        <f ca="1">IFERROR(_xlfn.XLOOKUP(F1699,Apuração!A:A,Apuração!D:D)/_xlfn.XLOOKUP(F1699,Apuração!A:A,Apuração!B:B),0)</f>
        <v>0</v>
      </c>
      <c r="BQ1699" s="53">
        <f ca="1">IF(BK1699&gt;=BO1699,0,_xlfn.XLOOKUP(F1699,Apuração!A:A,Apuração!B:B)*(BO1699 + (1/_xlfn.XLOOKUP(F1699,Apuração!A:A,Apuração!B:B)) - BK1699))</f>
        <v>0</v>
      </c>
      <c r="BR1699" s="85">
        <f t="shared" ref="BR1699:BR1703" ca="1" si="1973">IF(BQ1699=0,0,BQ1699*Z1699)</f>
        <v>0</v>
      </c>
      <c r="BS1699" s="53">
        <f ca="1">IFERROR((_xlfn.XLOOKUP(F1699,Apuração!A:A,Apuração!C:C)+1)/_xlfn.XLOOKUP(F1699,Apuração!A:A,Apuração!B:B),0)</f>
        <v>0.14285714285714285</v>
      </c>
    </row>
    <row r="1700" spans="1:71" ht="25.95" hidden="1" customHeight="1" x14ac:dyDescent="0.3">
      <c r="A1700" s="41" t="s">
        <v>108</v>
      </c>
      <c r="B1700" s="4" t="s">
        <v>129</v>
      </c>
      <c r="C1700" s="5" t="s">
        <v>214</v>
      </c>
      <c r="D1700" s="5" t="s">
        <v>215</v>
      </c>
      <c r="E1700" s="4" t="s">
        <v>61</v>
      </c>
      <c r="F1700" s="4" t="str" cm="1">
        <f t="array" ref="F1700">_xlfn.IFS(
AG1700 &lt;&gt; "", "Jan-Dez/26",
AH1700 &lt;&gt; "", "Fev-Dez/26",
AI1700 &lt;&gt; "", "Mar-Dez/26", AJ1700 &lt;&gt; "", "Abr-Dez/26",
TRUE, "A partir de Junho"
)</f>
        <v>A partir de Junho</v>
      </c>
      <c r="G1700" s="4" t="s">
        <v>62</v>
      </c>
      <c r="H1700" s="7" t="s">
        <v>38</v>
      </c>
      <c r="I1700" s="4" t="s">
        <v>130</v>
      </c>
      <c r="J1700" s="8" t="str" cm="1">
        <f t="array" aca="1" ref="J1700" ca="1">_xlfn.LET(
  _xlpm.actual_value_month, INDEX(T1700:AE1700, MATCH(DATE(YEAR(TODAY()), MONTH(TODAY()), 1), $T$1:$AE$1, 0)),
  IF(_xlpm.actual_value_month &lt;&gt; "",_xlpm.actual_value_month &amp; " ações mensais", "")
)</f>
        <v/>
      </c>
      <c r="K1700" s="8" t="str" cm="1">
        <f t="array" ref="K1700">_xlfn.LET(
    _xlpm.sum_month, SUM(T1700:AE1700),
    IF(_xlpm.sum_month = 0, "", _xlpm.sum_month &amp; " treinamento de motociclistas no ano")
)</f>
        <v/>
      </c>
      <c r="L1700" s="4" t="s">
        <v>131</v>
      </c>
      <c r="M1700" s="19"/>
      <c r="N1700" s="5" t="s">
        <v>42</v>
      </c>
      <c r="O1700" s="5"/>
      <c r="P1700" s="10"/>
      <c r="Q1700" s="10"/>
      <c r="R1700" s="11"/>
      <c r="S1700" s="11"/>
      <c r="T1700" s="22"/>
      <c r="U1700" s="22"/>
      <c r="V1700" s="22"/>
      <c r="W1700" s="22"/>
      <c r="X1700" s="22"/>
      <c r="Y1700" s="22"/>
      <c r="Z1700" s="22"/>
      <c r="AA1700" s="22"/>
      <c r="AB1700" s="22"/>
      <c r="AC1700" s="22"/>
      <c r="AD1700" s="22"/>
      <c r="AE1700" s="22"/>
      <c r="AF1700" s="81"/>
      <c r="AG1700" s="71"/>
      <c r="AH1700" s="71"/>
      <c r="AI1700" s="71"/>
      <c r="AJ1700" s="71"/>
      <c r="AK1700" s="71"/>
      <c r="AL1700" s="71"/>
      <c r="AM1700" s="71"/>
      <c r="AN1700" s="71"/>
      <c r="AO1700" s="71"/>
      <c r="AP1700" s="71"/>
      <c r="AQ1700" s="71"/>
      <c r="AR1700" s="71"/>
      <c r="AS1700" s="94"/>
      <c r="AT1700" s="95"/>
      <c r="AU1700" s="97"/>
      <c r="AV1700" s="81"/>
      <c r="AW1700" s="51">
        <f t="shared" si="1969"/>
        <v>0</v>
      </c>
      <c r="AX1700" s="51">
        <f t="shared" si="1970"/>
        <v>0</v>
      </c>
      <c r="AY1700" s="51">
        <f t="shared" si="1971"/>
        <v>0</v>
      </c>
      <c r="AZ1700" s="51">
        <f t="shared" si="1972"/>
        <v>0</v>
      </c>
      <c r="BA1700" s="51"/>
      <c r="BB1700" s="51"/>
      <c r="BC1700" s="51"/>
      <c r="BD1700" s="51"/>
      <c r="BE1700" s="51"/>
      <c r="BF1700" s="51"/>
      <c r="BG1700" s="51"/>
      <c r="BH1700" s="51"/>
      <c r="BI1700" s="65"/>
      <c r="BJ1700" s="68"/>
      <c r="BK1700" s="58">
        <f>IF((IF(AW1700&gt;=115%,115%,AW1700) + IF(AX1700&gt;=115%,115%,AX1700) + IF(AY1700&gt;=115%,115%,AY1700) + (IF(AZ1700&gt;=115%,115%,AZ1700) + IF(BA1700&gt;=115%,115%,BA1700) + IF(BB1700&gt;=115%,115%,BB1700) + IF(BC1700&gt;=115%,115%,BC1700) + IF(BD1700&gt;=115%,115%,BD1700) + IF(BE1700&gt;=115%,115%,BE1700) + IF(BF1700&gt;=115%,115%,BF1700) + IF(BG1700&gt;=115%,115%,BG1700) + IF(BH1700&gt;=115%,115%,BH1700)))/_xlfn.XLOOKUP(F1700,Apuração!A:A,Apuração!B:B)&gt;=1.15,1.15,((IF(AZ1700&gt;=115%,115%,AZ1700) + IF(AX1700&gt;=115%,115%,AX1700) + IF(AY1700&gt;=115%,115%,AY1700) + (IF(AW1700&gt;=115%,115%,AW1700) + IF(BA1700&gt;=115%,115%,BA1700) + IF(BB1700&gt;=115%,115%,BB1700) + IF(BC1700&gt;=115%,115%,BC1700) + IF(BD1700&gt;=115%,115%,BD1700) + IF(BE1700&gt;=115%,115%,BE1700) + IF(BF1700&gt;=115%,115%,BF1700) + IF(BG1700&gt;=115%,115%,BG1700) + IF(BH1700&gt;=115%,115%,BH1700)))/_xlfn.XLOOKUP(F1700,Apuração!A:A,Apuração!B:B)))</f>
        <v>0</v>
      </c>
      <c r="BL1700" s="58" cm="1">
        <f t="array" aca="1" ref="BL1700" ca="1">IF(SUM(IFERROR(IF(INDEX(AW1700:INDEX(AW1700:BH1700, MATCH(2, 1/(AW1700:BH1700&lt;&gt;""), 1)-1), ROW(INDIRECT("1:" &amp; MATCH(2, 1/(AW1700:BH1700&lt;&gt;""), 1)-1))) &gt;= 115%, 115%, INDEX(AW1700:INDEX(AW1700:BH1700, MATCH(2, 1/(AW1700:BH1700&lt;&gt;""), 1)-1), ROW(INDIRECT("1:" &amp; MATCH(2, 1/(AW1700:BH1700&lt;&gt;""), 1)-1)))), 0))/_xlfn.XLOOKUP(F1700,Apuração!A:A,Apuração!B:B)&gt;=1.15,1.15,SUM(IFERROR(IF(INDEX(AW1700:INDEX(AW1700:BH1700, MATCH(2, 1/(AW1700:BH1700&lt;&gt;""), 1)-1), ROW(INDIRECT("1:" &amp; MATCH(2, 1/(AW1700:BH1700&lt;&gt;""), 1)-1))) &gt;= 115%, 115%, INDEX(AW1700:INDEX(AW1700:BH1700, MATCH(2, 1/(AW1700:BH1700&lt;&gt;""), 1)-1), ROW(INDIRECT("1:" &amp; MATCH(2, 1/(AW1700:BH1700&lt;&gt;""), 1)-1)))), 0))/_xlfn.XLOOKUP(F1700,Apuração!A:A,Apuração!B:B))</f>
        <v>0</v>
      </c>
      <c r="BM1700" s="55"/>
      <c r="BN1700" s="55"/>
      <c r="BO1700" s="53">
        <f ca="1">IFERROR(_xlfn.XLOOKUP(F1700,Apuração!A:A,Apuração!C:C)/_xlfn.XLOOKUP(F1700,Apuração!A:A,Apuração!B:B),0)</f>
        <v>0</v>
      </c>
      <c r="BP1700" s="53">
        <f ca="1">IFERROR(_xlfn.XLOOKUP(F1700,Apuração!A:A,Apuração!D:D)/_xlfn.XLOOKUP(F1700,Apuração!A:A,Apuração!B:B),0)</f>
        <v>0</v>
      </c>
      <c r="BQ1700" s="53">
        <f ca="1">IF(BK1700&gt;=BO1700,0,_xlfn.XLOOKUP(F1700,Apuração!A:A,Apuração!B:B)*(BO1700 + (1/_xlfn.XLOOKUP(F1700,Apuração!A:A,Apuração!B:B)) - BK1700))</f>
        <v>0</v>
      </c>
      <c r="BR1700" s="85">
        <f t="shared" ca="1" si="1973"/>
        <v>0</v>
      </c>
      <c r="BS1700" s="53">
        <f ca="1">IFERROR((_xlfn.XLOOKUP(F1700,Apuração!A:A,Apuração!C:C)+1)/_xlfn.XLOOKUP(F1700,Apuração!A:A,Apuração!B:B),0)</f>
        <v>0.14285714285714285</v>
      </c>
    </row>
    <row r="1701" spans="1:71" ht="25.95" hidden="1" customHeight="1" x14ac:dyDescent="0.3">
      <c r="A1701" s="41" t="s">
        <v>108</v>
      </c>
      <c r="B1701" s="4" t="s">
        <v>129</v>
      </c>
      <c r="C1701" s="5" t="s">
        <v>214</v>
      </c>
      <c r="D1701" s="5" t="s">
        <v>212</v>
      </c>
      <c r="E1701" s="4" t="s">
        <v>61</v>
      </c>
      <c r="F1701" s="4" t="str" cm="1">
        <f t="array" ref="F1701">_xlfn.IFS(
AG1701 &lt;&gt; "", "Jan-Dez/26",
AH1701 &lt;&gt; "", "Fev-Dez/26",
AI1701 &lt;&gt; "", "Mar-Dez/26", AJ1701 &lt;&gt; "", "Abr-Dez/26",
TRUE, "A partir de Junho"
)</f>
        <v>A partir de Junho</v>
      </c>
      <c r="G1701" s="4" t="s">
        <v>62</v>
      </c>
      <c r="H1701" s="7" t="s">
        <v>38</v>
      </c>
      <c r="I1701" s="4" t="s">
        <v>130</v>
      </c>
      <c r="J1701" s="8" t="str" cm="1">
        <f t="array" aca="1" ref="J1701" ca="1">_xlfn.LET(
  _xlpm.actual_value_month, INDEX(T1701:AE1701, MATCH(DATE(YEAR(TODAY()), MONTH(TODAY()), 1), $T$1:$AE$1, 0)),
  IF(_xlpm.actual_value_month &lt;&gt; "",_xlpm.actual_value_month &amp; " ações mensais", "")
)</f>
        <v/>
      </c>
      <c r="K1701" s="8" t="str" cm="1">
        <f t="array" ref="K1701">_xlfn.LET(
    _xlpm.sum_month, SUM(T1701:AE1701),
    IF(_xlpm.sum_month = 0, "", _xlpm.sum_month &amp; " treinamento de motociclistas no ano")
)</f>
        <v/>
      </c>
      <c r="L1701" s="4" t="s">
        <v>131</v>
      </c>
      <c r="M1701" s="19"/>
      <c r="N1701" s="5" t="s">
        <v>42</v>
      </c>
      <c r="O1701" s="5"/>
      <c r="P1701" s="10"/>
      <c r="Q1701" s="10"/>
      <c r="R1701" s="11"/>
      <c r="S1701" s="11"/>
      <c r="T1701" s="22"/>
      <c r="U1701" s="22"/>
      <c r="V1701" s="22"/>
      <c r="W1701" s="22"/>
      <c r="X1701" s="22"/>
      <c r="Y1701" s="22"/>
      <c r="Z1701" s="22"/>
      <c r="AA1701" s="22"/>
      <c r="AB1701" s="22"/>
      <c r="AC1701" s="22"/>
      <c r="AD1701" s="22"/>
      <c r="AE1701" s="22"/>
      <c r="AF1701" s="81"/>
      <c r="AG1701" s="71"/>
      <c r="AH1701" s="71"/>
      <c r="AI1701" s="71"/>
      <c r="AJ1701" s="71"/>
      <c r="AK1701" s="71"/>
      <c r="AL1701" s="71"/>
      <c r="AM1701" s="71"/>
      <c r="AN1701" s="71"/>
      <c r="AO1701" s="71"/>
      <c r="AP1701" s="71"/>
      <c r="AQ1701" s="71"/>
      <c r="AR1701" s="71"/>
      <c r="AS1701" s="94"/>
      <c r="AT1701" s="95"/>
      <c r="AU1701" s="97"/>
      <c r="AV1701" s="81"/>
      <c r="AW1701" s="51">
        <f t="shared" si="1969"/>
        <v>0</v>
      </c>
      <c r="AX1701" s="51">
        <f t="shared" si="1970"/>
        <v>0</v>
      </c>
      <c r="AY1701" s="51">
        <f t="shared" si="1971"/>
        <v>0</v>
      </c>
      <c r="AZ1701" s="51">
        <f t="shared" si="1972"/>
        <v>0</v>
      </c>
      <c r="BA1701" s="51"/>
      <c r="BB1701" s="51"/>
      <c r="BC1701" s="51"/>
      <c r="BD1701" s="51"/>
      <c r="BE1701" s="51"/>
      <c r="BF1701" s="51"/>
      <c r="BG1701" s="51"/>
      <c r="BH1701" s="51"/>
      <c r="BI1701" s="65"/>
      <c r="BJ1701" s="68"/>
      <c r="BK1701" s="58">
        <f>IF((IF(AW1701&gt;=115%,115%,AW1701) + IF(AX1701&gt;=115%,115%,AX1701) + IF(AY1701&gt;=115%,115%,AY1701) + (IF(AZ1701&gt;=115%,115%,AZ1701) + IF(BA1701&gt;=115%,115%,BA1701) + IF(BB1701&gt;=115%,115%,BB1701) + IF(BC1701&gt;=115%,115%,BC1701) + IF(BD1701&gt;=115%,115%,BD1701) + IF(BE1701&gt;=115%,115%,BE1701) + IF(BF1701&gt;=115%,115%,BF1701) + IF(BG1701&gt;=115%,115%,BG1701) + IF(BH1701&gt;=115%,115%,BH1701)))/_xlfn.XLOOKUP(F1701,Apuração!A:A,Apuração!B:B)&gt;=1.15,1.15,((IF(AZ1701&gt;=115%,115%,AZ1701) + IF(AX1701&gt;=115%,115%,AX1701) + IF(AY1701&gt;=115%,115%,AY1701) + (IF(AW1701&gt;=115%,115%,AW1701) + IF(BA1701&gt;=115%,115%,BA1701) + IF(BB1701&gt;=115%,115%,BB1701) + IF(BC1701&gt;=115%,115%,BC1701) + IF(BD1701&gt;=115%,115%,BD1701) + IF(BE1701&gt;=115%,115%,BE1701) + IF(BF1701&gt;=115%,115%,BF1701) + IF(BG1701&gt;=115%,115%,BG1701) + IF(BH1701&gt;=115%,115%,BH1701)))/_xlfn.XLOOKUP(F1701,Apuração!A:A,Apuração!B:B)))</f>
        <v>0</v>
      </c>
      <c r="BL1701" s="58" cm="1">
        <f t="array" aca="1" ref="BL1701" ca="1">IF(SUM(IFERROR(IF(INDEX(AW1701:INDEX(AW1701:BH1701, MATCH(2, 1/(AW1701:BH1701&lt;&gt;""), 1)-1), ROW(INDIRECT("1:" &amp; MATCH(2, 1/(AW1701:BH1701&lt;&gt;""), 1)-1))) &gt;= 115%, 115%, INDEX(AW1701:INDEX(AW1701:BH1701, MATCH(2, 1/(AW1701:BH1701&lt;&gt;""), 1)-1), ROW(INDIRECT("1:" &amp; MATCH(2, 1/(AW1701:BH1701&lt;&gt;""), 1)-1)))), 0))/_xlfn.XLOOKUP(F1701,Apuração!A:A,Apuração!B:B)&gt;=1.15,1.15,SUM(IFERROR(IF(INDEX(AW1701:INDEX(AW1701:BH1701, MATCH(2, 1/(AW1701:BH1701&lt;&gt;""), 1)-1), ROW(INDIRECT("1:" &amp; MATCH(2, 1/(AW1701:BH1701&lt;&gt;""), 1)-1))) &gt;= 115%, 115%, INDEX(AW1701:INDEX(AW1701:BH1701, MATCH(2, 1/(AW1701:BH1701&lt;&gt;""), 1)-1), ROW(INDIRECT("1:" &amp; MATCH(2, 1/(AW1701:BH1701&lt;&gt;""), 1)-1)))), 0))/_xlfn.XLOOKUP(F1701,Apuração!A:A,Apuração!B:B))</f>
        <v>0</v>
      </c>
      <c r="BM1701" s="55"/>
      <c r="BN1701" s="55"/>
      <c r="BO1701" s="53">
        <f ca="1">IFERROR(_xlfn.XLOOKUP(F1701,Apuração!A:A,Apuração!C:C)/_xlfn.XLOOKUP(F1701,Apuração!A:A,Apuração!B:B),0)</f>
        <v>0</v>
      </c>
      <c r="BP1701" s="53">
        <f ca="1">IFERROR(_xlfn.XLOOKUP(F1701,Apuração!A:A,Apuração!D:D)/_xlfn.XLOOKUP(F1701,Apuração!A:A,Apuração!B:B),0)</f>
        <v>0</v>
      </c>
      <c r="BQ1701" s="53">
        <f ca="1">IF(BK1701&gt;=BO1701,0,_xlfn.XLOOKUP(F1701,Apuração!A:A,Apuração!B:B)*(BO1701 + (1/_xlfn.XLOOKUP(F1701,Apuração!A:A,Apuração!B:B)) - BK1701))</f>
        <v>0</v>
      </c>
      <c r="BR1701" s="85">
        <f t="shared" ca="1" si="1973"/>
        <v>0</v>
      </c>
      <c r="BS1701" s="53">
        <f ca="1">IFERROR((_xlfn.XLOOKUP(F1701,Apuração!A:A,Apuração!C:C)+1)/_xlfn.XLOOKUP(F1701,Apuração!A:A,Apuração!B:B),0)</f>
        <v>0.14285714285714285</v>
      </c>
    </row>
    <row r="1702" spans="1:71" ht="25.95" hidden="1" customHeight="1" x14ac:dyDescent="0.3">
      <c r="A1702" s="41" t="s">
        <v>108</v>
      </c>
      <c r="B1702" s="4" t="s">
        <v>129</v>
      </c>
      <c r="C1702" s="5" t="s">
        <v>214</v>
      </c>
      <c r="D1702" s="5" t="s">
        <v>48</v>
      </c>
      <c r="E1702" s="4" t="s">
        <v>61</v>
      </c>
      <c r="F1702" s="4" t="str" cm="1">
        <f t="array" ref="F1702">_xlfn.IFS(
AG1702 &lt;&gt; "", "Jan-Dez/26",
AH1702 &lt;&gt; "", "Fev-Dez/26",
AI1702 &lt;&gt; "", "Mar-Dez/26", AJ1702 &lt;&gt; "", "Abr-Dez/26",
TRUE, "A partir de Junho"
)</f>
        <v>A partir de Junho</v>
      </c>
      <c r="G1702" s="4" t="s">
        <v>62</v>
      </c>
      <c r="H1702" s="7" t="s">
        <v>38</v>
      </c>
      <c r="I1702" s="4" t="s">
        <v>130</v>
      </c>
      <c r="J1702" s="8" t="str" cm="1">
        <f t="array" aca="1" ref="J1702" ca="1">_xlfn.LET(
  _xlpm.actual_value_month, INDEX(T1702:AE1702, MATCH(DATE(YEAR(TODAY()), MONTH(TODAY()), 1), $T$1:$AE$1, 0)),
  IF(_xlpm.actual_value_month &lt;&gt; "",_xlpm.actual_value_month &amp; " ações mensais", "")
)</f>
        <v/>
      </c>
      <c r="K1702" s="8" t="str" cm="1">
        <f t="array" ref="K1702">_xlfn.LET(
    _xlpm.sum_month, SUM(T1702:AE1702),
    IF(_xlpm.sum_month = 0, "", _xlpm.sum_month &amp; " treinamento de motociclistas no ano")
)</f>
        <v/>
      </c>
      <c r="L1702" s="4" t="s">
        <v>131</v>
      </c>
      <c r="M1702" s="19"/>
      <c r="N1702" s="5" t="s">
        <v>42</v>
      </c>
      <c r="O1702" s="5"/>
      <c r="P1702" s="10"/>
      <c r="Q1702" s="10"/>
      <c r="R1702" s="11"/>
      <c r="S1702" s="11"/>
      <c r="T1702" s="22"/>
      <c r="U1702" s="22"/>
      <c r="V1702" s="22"/>
      <c r="W1702" s="22"/>
      <c r="X1702" s="22"/>
      <c r="Y1702" s="22"/>
      <c r="Z1702" s="22"/>
      <c r="AA1702" s="22"/>
      <c r="AB1702" s="22"/>
      <c r="AC1702" s="22"/>
      <c r="AD1702" s="22"/>
      <c r="AE1702" s="22"/>
      <c r="AF1702" s="81"/>
      <c r="AG1702" s="71"/>
      <c r="AH1702" s="71"/>
      <c r="AI1702" s="71"/>
      <c r="AJ1702" s="71"/>
      <c r="AK1702" s="71"/>
      <c r="AL1702" s="71"/>
      <c r="AM1702" s="71"/>
      <c r="AN1702" s="71"/>
      <c r="AO1702" s="71"/>
      <c r="AP1702" s="71"/>
      <c r="AQ1702" s="71"/>
      <c r="AR1702" s="71"/>
      <c r="AS1702" s="94"/>
      <c r="AT1702" s="95"/>
      <c r="AU1702" s="97"/>
      <c r="AV1702" s="81"/>
      <c r="AW1702" s="51">
        <f t="shared" si="1969"/>
        <v>0</v>
      </c>
      <c r="AX1702" s="51">
        <f t="shared" si="1970"/>
        <v>0</v>
      </c>
      <c r="AY1702" s="51">
        <f t="shared" si="1971"/>
        <v>0</v>
      </c>
      <c r="AZ1702" s="51">
        <f t="shared" si="1972"/>
        <v>0</v>
      </c>
      <c r="BA1702" s="51"/>
      <c r="BB1702" s="51"/>
      <c r="BC1702" s="51"/>
      <c r="BD1702" s="51"/>
      <c r="BE1702" s="51"/>
      <c r="BF1702" s="51"/>
      <c r="BG1702" s="51"/>
      <c r="BH1702" s="51"/>
      <c r="BI1702" s="65"/>
      <c r="BJ1702" s="68"/>
      <c r="BK1702" s="58">
        <f>IF((IF(AW1702&gt;=115%,115%,AW1702) + IF(AX1702&gt;=115%,115%,AX1702) + IF(AY1702&gt;=115%,115%,AY1702) + (IF(AZ1702&gt;=115%,115%,AZ1702) + IF(BA1702&gt;=115%,115%,BA1702) + IF(BB1702&gt;=115%,115%,BB1702) + IF(BC1702&gt;=115%,115%,BC1702) + IF(BD1702&gt;=115%,115%,BD1702) + IF(BE1702&gt;=115%,115%,BE1702) + IF(BF1702&gt;=115%,115%,BF1702) + IF(BG1702&gt;=115%,115%,BG1702) + IF(BH1702&gt;=115%,115%,BH1702)))/_xlfn.XLOOKUP(F1702,Apuração!A:A,Apuração!B:B)&gt;=1.15,1.15,((IF(AZ1702&gt;=115%,115%,AZ1702) + IF(AX1702&gt;=115%,115%,AX1702) + IF(AY1702&gt;=115%,115%,AY1702) + (IF(AW1702&gt;=115%,115%,AW1702) + IF(BA1702&gt;=115%,115%,BA1702) + IF(BB1702&gt;=115%,115%,BB1702) + IF(BC1702&gt;=115%,115%,BC1702) + IF(BD1702&gt;=115%,115%,BD1702) + IF(BE1702&gt;=115%,115%,BE1702) + IF(BF1702&gt;=115%,115%,BF1702) + IF(BG1702&gt;=115%,115%,BG1702) + IF(BH1702&gt;=115%,115%,BH1702)))/_xlfn.XLOOKUP(F1702,Apuração!A:A,Apuração!B:B)))</f>
        <v>0</v>
      </c>
      <c r="BL1702" s="58" cm="1">
        <f t="array" aca="1" ref="BL1702" ca="1">IF(SUM(IFERROR(IF(INDEX(AW1702:INDEX(AW1702:BH1702, MATCH(2, 1/(AW1702:BH1702&lt;&gt;""), 1)-1), ROW(INDIRECT("1:" &amp; MATCH(2, 1/(AW1702:BH1702&lt;&gt;""), 1)-1))) &gt;= 115%, 115%, INDEX(AW1702:INDEX(AW1702:BH1702, MATCH(2, 1/(AW1702:BH1702&lt;&gt;""), 1)-1), ROW(INDIRECT("1:" &amp; MATCH(2, 1/(AW1702:BH1702&lt;&gt;""), 1)-1)))), 0))/_xlfn.XLOOKUP(F1702,Apuração!A:A,Apuração!B:B)&gt;=1.15,1.15,SUM(IFERROR(IF(INDEX(AW1702:INDEX(AW1702:BH1702, MATCH(2, 1/(AW1702:BH1702&lt;&gt;""), 1)-1), ROW(INDIRECT("1:" &amp; MATCH(2, 1/(AW1702:BH1702&lt;&gt;""), 1)-1))) &gt;= 115%, 115%, INDEX(AW1702:INDEX(AW1702:BH1702, MATCH(2, 1/(AW1702:BH1702&lt;&gt;""), 1)-1), ROW(INDIRECT("1:" &amp; MATCH(2, 1/(AW1702:BH1702&lt;&gt;""), 1)-1)))), 0))/_xlfn.XLOOKUP(F1702,Apuração!A:A,Apuração!B:B))</f>
        <v>0</v>
      </c>
      <c r="BM1702" s="55"/>
      <c r="BN1702" s="55"/>
      <c r="BO1702" s="53">
        <f ca="1">IFERROR(_xlfn.XLOOKUP(F1702,Apuração!A:A,Apuração!C:C)/_xlfn.XLOOKUP(F1702,Apuração!A:A,Apuração!B:B),0)</f>
        <v>0</v>
      </c>
      <c r="BP1702" s="53">
        <f ca="1">IFERROR(_xlfn.XLOOKUP(F1702,Apuração!A:A,Apuração!D:D)/_xlfn.XLOOKUP(F1702,Apuração!A:A,Apuração!B:B),0)</f>
        <v>0</v>
      </c>
      <c r="BQ1702" s="53">
        <f ca="1">IF(BK1702&gt;=BO1702,0,_xlfn.XLOOKUP(F1702,Apuração!A:A,Apuração!B:B)*(BO1702 + (1/_xlfn.XLOOKUP(F1702,Apuração!A:A,Apuração!B:B)) - BK1702))</f>
        <v>0</v>
      </c>
      <c r="BR1702" s="85">
        <f t="shared" ca="1" si="1973"/>
        <v>0</v>
      </c>
      <c r="BS1702" s="53">
        <f ca="1">IFERROR((_xlfn.XLOOKUP(F1702,Apuração!A:A,Apuração!C:C)+1)/_xlfn.XLOOKUP(F1702,Apuração!A:A,Apuração!B:B),0)</f>
        <v>0.14285714285714285</v>
      </c>
    </row>
    <row r="1703" spans="1:71" ht="25.95" hidden="1" customHeight="1" x14ac:dyDescent="0.3">
      <c r="A1703" s="41" t="s">
        <v>108</v>
      </c>
      <c r="B1703" s="4" t="s">
        <v>129</v>
      </c>
      <c r="C1703" s="5" t="s">
        <v>214</v>
      </c>
      <c r="D1703" s="5" t="s">
        <v>213</v>
      </c>
      <c r="E1703" s="4" t="s">
        <v>61</v>
      </c>
      <c r="F1703" s="4" t="str" cm="1">
        <f t="array" ref="F1703">_xlfn.IFS(
AG1703 &lt;&gt; "", "Jan-Dez/26",
AH1703 &lt;&gt; "", "Fev-Dez/26",
AI1703 &lt;&gt; "", "Mar-Dez/26", AJ1703 &lt;&gt; "", "Abr-Dez/26",
TRUE, "A partir de Junho"
)</f>
        <v>A partir de Junho</v>
      </c>
      <c r="G1703" s="4" t="s">
        <v>62</v>
      </c>
      <c r="H1703" s="7" t="s">
        <v>38</v>
      </c>
      <c r="I1703" s="4" t="s">
        <v>130</v>
      </c>
      <c r="J1703" s="8" t="str" cm="1">
        <f t="array" aca="1" ref="J1703" ca="1">_xlfn.LET(
  _xlpm.actual_value_month, INDEX(T1703:AE1703, MATCH(DATE(YEAR(TODAY()), MONTH(TODAY()), 1), $T$1:$AE$1, 0)),
  IF(_xlpm.actual_value_month &lt;&gt; "",_xlpm.actual_value_month &amp; " ações mensais", "")
)</f>
        <v/>
      </c>
      <c r="K1703" s="8" t="str" cm="1">
        <f t="array" ref="K1703">_xlfn.LET(
    _xlpm.sum_month, SUM(T1703:AE1703),
    IF(_xlpm.sum_month = 0, "", _xlpm.sum_month &amp; " treinamento de motociclistas no ano")
)</f>
        <v/>
      </c>
      <c r="L1703" s="4" t="s">
        <v>131</v>
      </c>
      <c r="M1703" s="19"/>
      <c r="N1703" s="5" t="s">
        <v>42</v>
      </c>
      <c r="O1703" s="5"/>
      <c r="P1703" s="10"/>
      <c r="Q1703" s="10"/>
      <c r="R1703" s="11"/>
      <c r="S1703" s="11"/>
      <c r="T1703" s="22"/>
      <c r="U1703" s="22"/>
      <c r="V1703" s="22"/>
      <c r="W1703" s="22"/>
      <c r="X1703" s="22"/>
      <c r="Y1703" s="22"/>
      <c r="Z1703" s="22"/>
      <c r="AA1703" s="22"/>
      <c r="AB1703" s="22"/>
      <c r="AC1703" s="22"/>
      <c r="AD1703" s="22"/>
      <c r="AE1703" s="22"/>
      <c r="AF1703" s="81"/>
      <c r="AG1703" s="71"/>
      <c r="AH1703" s="71"/>
      <c r="AI1703" s="71"/>
      <c r="AJ1703" s="71"/>
      <c r="AK1703" s="71"/>
      <c r="AL1703" s="71"/>
      <c r="AM1703" s="71"/>
      <c r="AN1703" s="71"/>
      <c r="AO1703" s="71"/>
      <c r="AP1703" s="71"/>
      <c r="AQ1703" s="71"/>
      <c r="AR1703" s="71"/>
      <c r="AS1703" s="94"/>
      <c r="AT1703" s="95"/>
      <c r="AU1703" s="97"/>
      <c r="AV1703" s="81"/>
      <c r="AW1703" s="51">
        <f t="shared" si="1969"/>
        <v>0</v>
      </c>
      <c r="AX1703" s="51">
        <f t="shared" si="1970"/>
        <v>0</v>
      </c>
      <c r="AY1703" s="51">
        <f t="shared" si="1971"/>
        <v>0</v>
      </c>
      <c r="AZ1703" s="51">
        <f t="shared" si="1972"/>
        <v>0</v>
      </c>
      <c r="BA1703" s="51"/>
      <c r="BB1703" s="51"/>
      <c r="BC1703" s="51"/>
      <c r="BD1703" s="51"/>
      <c r="BE1703" s="51"/>
      <c r="BF1703" s="51"/>
      <c r="BG1703" s="51"/>
      <c r="BH1703" s="51"/>
      <c r="BI1703" s="65"/>
      <c r="BJ1703" s="68"/>
      <c r="BK1703" s="58">
        <f>IF((IF(AW1703&gt;=115%,115%,AW1703) + IF(AX1703&gt;=115%,115%,AX1703) + IF(AY1703&gt;=115%,115%,AY1703) + (IF(AZ1703&gt;=115%,115%,AZ1703) + IF(BA1703&gt;=115%,115%,BA1703) + IF(BB1703&gt;=115%,115%,BB1703) + IF(BC1703&gt;=115%,115%,BC1703) + IF(BD1703&gt;=115%,115%,BD1703) + IF(BE1703&gt;=115%,115%,BE1703) + IF(BF1703&gt;=115%,115%,BF1703) + IF(BG1703&gt;=115%,115%,BG1703) + IF(BH1703&gt;=115%,115%,BH1703)))/_xlfn.XLOOKUP(F1703,Apuração!A:A,Apuração!B:B)&gt;=1.15,1.15,((IF(AZ1703&gt;=115%,115%,AZ1703) + IF(AX1703&gt;=115%,115%,AX1703) + IF(AY1703&gt;=115%,115%,AY1703) + (IF(AW1703&gt;=115%,115%,AW1703) + IF(BA1703&gt;=115%,115%,BA1703) + IF(BB1703&gt;=115%,115%,BB1703) + IF(BC1703&gt;=115%,115%,BC1703) + IF(BD1703&gt;=115%,115%,BD1703) + IF(BE1703&gt;=115%,115%,BE1703) + IF(BF1703&gt;=115%,115%,BF1703) + IF(BG1703&gt;=115%,115%,BG1703) + IF(BH1703&gt;=115%,115%,BH1703)))/_xlfn.XLOOKUP(F1703,Apuração!A:A,Apuração!B:B)))</f>
        <v>0</v>
      </c>
      <c r="BL1703" s="58" cm="1">
        <f t="array" aca="1" ref="BL1703" ca="1">IF(SUM(IFERROR(IF(INDEX(AW1703:INDEX(AW1703:BH1703, MATCH(2, 1/(AW1703:BH1703&lt;&gt;""), 1)-1), ROW(INDIRECT("1:" &amp; MATCH(2, 1/(AW1703:BH1703&lt;&gt;""), 1)-1))) &gt;= 115%, 115%, INDEX(AW1703:INDEX(AW1703:BH1703, MATCH(2, 1/(AW1703:BH1703&lt;&gt;""), 1)-1), ROW(INDIRECT("1:" &amp; MATCH(2, 1/(AW1703:BH1703&lt;&gt;""), 1)-1)))), 0))/_xlfn.XLOOKUP(F1703,Apuração!A:A,Apuração!B:B)&gt;=1.15,1.15,SUM(IFERROR(IF(INDEX(AW1703:INDEX(AW1703:BH1703, MATCH(2, 1/(AW1703:BH1703&lt;&gt;""), 1)-1), ROW(INDIRECT("1:" &amp; MATCH(2, 1/(AW1703:BH1703&lt;&gt;""), 1)-1))) &gt;= 115%, 115%, INDEX(AW1703:INDEX(AW1703:BH1703, MATCH(2, 1/(AW1703:BH1703&lt;&gt;""), 1)-1), ROW(INDIRECT("1:" &amp; MATCH(2, 1/(AW1703:BH1703&lt;&gt;""), 1)-1)))), 0))/_xlfn.XLOOKUP(F1703,Apuração!A:A,Apuração!B:B))</f>
        <v>0</v>
      </c>
      <c r="BM1703" s="55"/>
      <c r="BN1703" s="55"/>
      <c r="BO1703" s="53">
        <f ca="1">IFERROR(_xlfn.XLOOKUP(F1703,Apuração!A:A,Apuração!C:C)/_xlfn.XLOOKUP(F1703,Apuração!A:A,Apuração!B:B),0)</f>
        <v>0</v>
      </c>
      <c r="BP1703" s="53">
        <f ca="1">IFERROR(_xlfn.XLOOKUP(F1703,Apuração!A:A,Apuração!D:D)/_xlfn.XLOOKUP(F1703,Apuração!A:A,Apuração!B:B),0)</f>
        <v>0</v>
      </c>
      <c r="BQ1703" s="53">
        <f ca="1">IF(BK1703&gt;=BO1703,0,_xlfn.XLOOKUP(F1703,Apuração!A:A,Apuração!B:B)*(BO1703 + (1/_xlfn.XLOOKUP(F1703,Apuração!A:A,Apuração!B:B)) - BK1703))</f>
        <v>0</v>
      </c>
      <c r="BR1703" s="85">
        <f t="shared" ca="1" si="1973"/>
        <v>0</v>
      </c>
      <c r="BS1703" s="53">
        <f ca="1">IFERROR((_xlfn.XLOOKUP(F1703,Apuração!A:A,Apuração!C:C)+1)/_xlfn.XLOOKUP(F1703,Apuração!A:A,Apuração!B:B),0)</f>
        <v>0.14285714285714285</v>
      </c>
    </row>
    <row r="1704" spans="1:71" ht="25.95" hidden="1" customHeight="1" x14ac:dyDescent="0.3">
      <c r="A1704" s="70" t="s">
        <v>108</v>
      </c>
      <c r="B1704" s="4" t="s">
        <v>129</v>
      </c>
      <c r="C1704" s="5" t="s">
        <v>214</v>
      </c>
      <c r="D1704" s="5" t="s">
        <v>36</v>
      </c>
      <c r="E1704" s="4" t="s">
        <v>61</v>
      </c>
      <c r="F1704" s="4" t="str" cm="1">
        <f t="array" ref="F1704">_xlfn.IFS(
AG1704 &lt;&gt; "", "Jan-Dez/26",
AH1704 &lt;&gt; "", "Fev-Dez/26",
AI1704 &lt;&gt; "", "Mar-Dez/26", AJ1704 &lt;&gt; "", "Abr-Dez/26",
TRUE, "A partir de Junho"
)</f>
        <v>A partir de Junho</v>
      </c>
      <c r="G1704" s="4" t="s">
        <v>62</v>
      </c>
      <c r="H1704" s="7" t="s">
        <v>38</v>
      </c>
      <c r="I1704" s="28" t="s">
        <v>132</v>
      </c>
      <c r="J1704" s="8" t="str" cm="1">
        <f t="array" aca="1" ref="J1704" ca="1">_xlfn.LET(
  _xlpm.actual_value_month, INDEX(T1704:AE1704, MATCH(DATE(YEAR(TODAY()), MONTH(TODAY()), 1), $T$1:$AE$1, 0)),
  IF(_xlpm.actual_value_month &lt;&gt; "",_xlpm.actual_value_month &amp; " ações mensais", "")
)</f>
        <v/>
      </c>
      <c r="K1704" s="8" t="str" cm="1">
        <f t="array" ref="K1704">_xlfn.LET(
    _xlpm.sum_month, SUM(T1704:AE1704),
    IF(_xlpm.sum_month = 0, "", _xlpm.sum_month &amp; "  notificações de excesso de velocidade no ano")
)</f>
        <v/>
      </c>
      <c r="L1704" s="4" t="s">
        <v>133</v>
      </c>
      <c r="M1704" s="19"/>
      <c r="N1704" s="5" t="s">
        <v>51</v>
      </c>
      <c r="O1704" s="5"/>
      <c r="P1704" s="10"/>
      <c r="Q1704" s="10"/>
      <c r="R1704" s="11"/>
      <c r="S1704" s="11"/>
      <c r="T1704" s="22"/>
      <c r="U1704" s="22"/>
      <c r="V1704" s="22"/>
      <c r="W1704" s="22"/>
      <c r="X1704" s="22"/>
      <c r="Y1704" s="22"/>
      <c r="Z1704" s="22"/>
      <c r="AA1704" s="22"/>
      <c r="AB1704" s="22"/>
      <c r="AC1704" s="22"/>
      <c r="AD1704" s="22"/>
      <c r="AE1704" s="22"/>
      <c r="AF1704" s="81"/>
      <c r="AG1704" s="71"/>
      <c r="AH1704" s="71"/>
      <c r="AI1704" s="71"/>
      <c r="AJ1704" s="71"/>
      <c r="AK1704" s="71"/>
      <c r="AL1704" s="71"/>
      <c r="AM1704" s="71"/>
      <c r="AN1704" s="71"/>
      <c r="AO1704" s="71"/>
      <c r="AP1704" s="71"/>
      <c r="AQ1704" s="71"/>
      <c r="AR1704" s="71"/>
      <c r="AS1704" s="94"/>
      <c r="AT1704" s="95"/>
      <c r="AU1704" s="97"/>
      <c r="AV1704" s="81"/>
      <c r="AW1704" s="83">
        <f>AG1704</f>
        <v>0</v>
      </c>
      <c r="AX1704" s="83">
        <f>AH1704</f>
        <v>0</v>
      </c>
      <c r="AY1704" s="83">
        <f>AI1704</f>
        <v>0</v>
      </c>
      <c r="AZ1704" s="83">
        <f>AJ1704</f>
        <v>0</v>
      </c>
      <c r="BA1704" s="52"/>
      <c r="BB1704" s="52"/>
      <c r="BC1704" s="52"/>
      <c r="BD1704" s="52"/>
      <c r="BE1704" s="52"/>
      <c r="BF1704" s="52"/>
      <c r="BG1704" s="52"/>
      <c r="BH1704" s="52"/>
      <c r="BI1704" s="65"/>
      <c r="BJ1704" s="68"/>
      <c r="BK1704" s="59">
        <f>SUM(AW1704:BH1704)</f>
        <v>0</v>
      </c>
      <c r="BL1704" s="59" cm="1">
        <f t="array" ref="BL1704">IFERROR(SUM(AW1704:INDEX(AW1704:BH1704, MATCH(2, 1/(AW1704:BH1704&lt;&gt;""), 1) - 1))/_xlfn.XLOOKUP(F1704,Apuração!A:A,Apuração!B:B),0)</f>
        <v>0</v>
      </c>
      <c r="BM1704" s="55"/>
      <c r="BN1704" s="55"/>
      <c r="BO1704" s="53">
        <f ca="1">IFERROR(_xlfn.XLOOKUP(F1704,Apuração!A:A,Apuração!C:C)/_xlfn.XLOOKUP(F1704,Apuração!A:A,Apuração!B:B),0)</f>
        <v>0</v>
      </c>
      <c r="BP1704" s="53">
        <f ca="1">IFERROR(_xlfn.XLOOKUP(F1704,Apuração!A:A,Apuração!D:D)/_xlfn.XLOOKUP(F1704,Apuração!A:A,Apuração!B:B),0)</f>
        <v>0</v>
      </c>
      <c r="BQ1704" s="53">
        <f ca="1">IF(BK1704&gt;=BO1704,0,_xlfn.XLOOKUP(F1704,Apuração!A:A,Apuração!B:B)*(BO1704 + (1/_xlfn.XLOOKUP(F1704,Apuração!A:A,Apuração!B:B)) - BK1704))</f>
        <v>0</v>
      </c>
      <c r="BR1704" s="85">
        <f ca="1">IF(BQ1704=0,0,BQ1704*Z1704)</f>
        <v>0</v>
      </c>
      <c r="BS1704" s="53">
        <f ca="1">IFERROR((_xlfn.XLOOKUP(F1704,Apuração!A:A,Apuração!C:C)+1)/_xlfn.XLOOKUP(F1704,Apuração!A:A,Apuração!B:B),0)</f>
        <v>0.14285714285714285</v>
      </c>
    </row>
    <row r="1705" spans="1:71" ht="25.95" hidden="1" customHeight="1" x14ac:dyDescent="0.3">
      <c r="A1705" s="70" t="s">
        <v>108</v>
      </c>
      <c r="B1705" s="4" t="s">
        <v>129</v>
      </c>
      <c r="C1705" s="5" t="s">
        <v>214</v>
      </c>
      <c r="D1705" s="5" t="s">
        <v>210</v>
      </c>
      <c r="E1705" s="4" t="s">
        <v>61</v>
      </c>
      <c r="F1705" s="4" t="str" cm="1">
        <f t="array" ref="F1705">_xlfn.IFS(
AG1705 &lt;&gt; "", "Jan-Dez/26",
AH1705 &lt;&gt; "", "Fev-Dez/26",
AI1705 &lt;&gt; "", "Mar-Dez/26", AJ1705 &lt;&gt; "", "Abr-Dez/26",
TRUE, "A partir de Junho"
)</f>
        <v>A partir de Junho</v>
      </c>
      <c r="G1705" s="4" t="s">
        <v>62</v>
      </c>
      <c r="H1705" s="7" t="s">
        <v>38</v>
      </c>
      <c r="I1705" s="28" t="s">
        <v>132</v>
      </c>
      <c r="J1705" s="8" t="str" cm="1">
        <f t="array" aca="1" ref="J1705" ca="1">_xlfn.LET(
  _xlpm.actual_value_month, INDEX(T1705:AE1705, MATCH(DATE(YEAR(TODAY()), MONTH(TODAY()), 1), $T$1:$AE$1, 0)),
  IF(_xlpm.actual_value_month &lt;&gt; "",_xlpm.actual_value_month &amp; " ações mensais", "")
)</f>
        <v/>
      </c>
      <c r="K1705" s="8" t="str" cm="1">
        <f t="array" ref="K1705">_xlfn.LET(
    _xlpm.sum_month, SUM(T1705:AE1705),
    IF(_xlpm.sum_month = 0, "", _xlpm.sum_month &amp; "  notificações de excesso de velocidade no ano")
)</f>
        <v/>
      </c>
      <c r="L1705" s="4" t="s">
        <v>133</v>
      </c>
      <c r="M1705" s="19"/>
      <c r="N1705" s="5" t="s">
        <v>51</v>
      </c>
      <c r="O1705" s="5"/>
      <c r="P1705" s="10"/>
      <c r="Q1705" s="10"/>
      <c r="R1705" s="11"/>
      <c r="S1705" s="11"/>
      <c r="T1705" s="22"/>
      <c r="U1705" s="22"/>
      <c r="V1705" s="22"/>
      <c r="W1705" s="22"/>
      <c r="X1705" s="22"/>
      <c r="Y1705" s="22"/>
      <c r="Z1705" s="22"/>
      <c r="AA1705" s="22"/>
      <c r="AB1705" s="22"/>
      <c r="AC1705" s="22"/>
      <c r="AD1705" s="22"/>
      <c r="AE1705" s="22"/>
      <c r="AF1705" s="81"/>
      <c r="AG1705" s="71"/>
      <c r="AH1705" s="71"/>
      <c r="AI1705" s="71"/>
      <c r="AJ1705" s="71"/>
      <c r="AK1705" s="71"/>
      <c r="AL1705" s="71"/>
      <c r="AM1705" s="71"/>
      <c r="AN1705" s="71"/>
      <c r="AO1705" s="71"/>
      <c r="AP1705" s="71"/>
      <c r="AQ1705" s="71"/>
      <c r="AR1705" s="71"/>
      <c r="AS1705" s="94"/>
      <c r="AT1705" s="95"/>
      <c r="AU1705" s="97"/>
      <c r="AV1705" s="81"/>
      <c r="AW1705" s="83">
        <f t="shared" ref="AW1705:AW1709" si="1974">AG1705</f>
        <v>0</v>
      </c>
      <c r="AX1705" s="83">
        <f t="shared" ref="AX1705:AX1709" si="1975">AH1705</f>
        <v>0</v>
      </c>
      <c r="AY1705" s="83">
        <f t="shared" ref="AY1705:AY1709" si="1976">AI1705</f>
        <v>0</v>
      </c>
      <c r="AZ1705" s="83">
        <f t="shared" ref="AZ1705:AZ1709" si="1977">AJ1705</f>
        <v>0</v>
      </c>
      <c r="BA1705" s="52"/>
      <c r="BB1705" s="52"/>
      <c r="BC1705" s="52"/>
      <c r="BD1705" s="52"/>
      <c r="BE1705" s="52"/>
      <c r="BF1705" s="52"/>
      <c r="BG1705" s="52"/>
      <c r="BH1705" s="52"/>
      <c r="BI1705" s="65"/>
      <c r="BJ1705" s="68"/>
      <c r="BK1705" s="59">
        <f t="shared" ref="BK1705:BK1709" si="1978">SUM(AW1705:BH1705)</f>
        <v>0</v>
      </c>
      <c r="BL1705" s="59" cm="1">
        <f t="array" ref="BL1705">IFERROR(SUM(AW1705:INDEX(AW1705:BH1705, MATCH(2, 1/(AW1705:BH1705&lt;&gt;""), 1) - 1))/_xlfn.XLOOKUP(F1705,Apuração!A:A,Apuração!B:B),0)</f>
        <v>0</v>
      </c>
      <c r="BM1705" s="55"/>
      <c r="BN1705" s="55"/>
      <c r="BO1705" s="53">
        <f ca="1">IFERROR(_xlfn.XLOOKUP(F1705,Apuração!A:A,Apuração!C:C)/_xlfn.XLOOKUP(F1705,Apuração!A:A,Apuração!B:B),0)</f>
        <v>0</v>
      </c>
      <c r="BP1705" s="53">
        <f ca="1">IFERROR(_xlfn.XLOOKUP(F1705,Apuração!A:A,Apuração!D:D)/_xlfn.XLOOKUP(F1705,Apuração!A:A,Apuração!B:B),0)</f>
        <v>0</v>
      </c>
      <c r="BQ1705" s="53">
        <f ca="1">IF(BK1705&gt;=BO1705,0,_xlfn.XLOOKUP(F1705,Apuração!A:A,Apuração!B:B)*(BO1705 + (1/_xlfn.XLOOKUP(F1705,Apuração!A:A,Apuração!B:B)) - BK1705))</f>
        <v>0</v>
      </c>
      <c r="BR1705" s="85">
        <f t="shared" ref="BR1705:BR1709" ca="1" si="1979">IF(BQ1705=0,0,BQ1705*Z1705)</f>
        <v>0</v>
      </c>
      <c r="BS1705" s="53">
        <f ca="1">IFERROR((_xlfn.XLOOKUP(F1705,Apuração!A:A,Apuração!C:C)+1)/_xlfn.XLOOKUP(F1705,Apuração!A:A,Apuração!B:B),0)</f>
        <v>0.14285714285714285</v>
      </c>
    </row>
    <row r="1706" spans="1:71" ht="25.95" hidden="1" customHeight="1" x14ac:dyDescent="0.3">
      <c r="A1706" s="70" t="s">
        <v>108</v>
      </c>
      <c r="B1706" s="4" t="s">
        <v>129</v>
      </c>
      <c r="C1706" s="5" t="s">
        <v>214</v>
      </c>
      <c r="D1706" s="5" t="s">
        <v>215</v>
      </c>
      <c r="E1706" s="4" t="s">
        <v>61</v>
      </c>
      <c r="F1706" s="4" t="str" cm="1">
        <f t="array" ref="F1706">_xlfn.IFS(
AG1706 &lt;&gt; "", "Jan-Dez/26",
AH1706 &lt;&gt; "", "Fev-Dez/26",
AI1706 &lt;&gt; "", "Mar-Dez/26", AJ1706 &lt;&gt; "", "Abr-Dez/26",
TRUE, "A partir de Junho"
)</f>
        <v>A partir de Junho</v>
      </c>
      <c r="G1706" s="4" t="s">
        <v>62</v>
      </c>
      <c r="H1706" s="7" t="s">
        <v>38</v>
      </c>
      <c r="I1706" s="28" t="s">
        <v>132</v>
      </c>
      <c r="J1706" s="8" t="str" cm="1">
        <f t="array" aca="1" ref="J1706" ca="1">_xlfn.LET(
  _xlpm.actual_value_month, INDEX(T1706:AE1706, MATCH(DATE(YEAR(TODAY()), MONTH(TODAY()), 1), $T$1:$AE$1, 0)),
  IF(_xlpm.actual_value_month &lt;&gt; "",_xlpm.actual_value_month &amp; " ações mensais", "")
)</f>
        <v/>
      </c>
      <c r="K1706" s="8" t="str" cm="1">
        <f t="array" ref="K1706">_xlfn.LET(
    _xlpm.sum_month, SUM(T1706:AE1706),
    IF(_xlpm.sum_month = 0, "", _xlpm.sum_month &amp; "  notificações de excesso de velocidade no ano")
)</f>
        <v/>
      </c>
      <c r="L1706" s="4" t="s">
        <v>133</v>
      </c>
      <c r="M1706" s="19"/>
      <c r="N1706" s="5" t="s">
        <v>51</v>
      </c>
      <c r="O1706" s="5"/>
      <c r="P1706" s="10"/>
      <c r="Q1706" s="10"/>
      <c r="R1706" s="11"/>
      <c r="S1706" s="11"/>
      <c r="T1706" s="22"/>
      <c r="U1706" s="22"/>
      <c r="V1706" s="22"/>
      <c r="W1706" s="22"/>
      <c r="X1706" s="22"/>
      <c r="Y1706" s="22"/>
      <c r="Z1706" s="22"/>
      <c r="AA1706" s="22"/>
      <c r="AB1706" s="22"/>
      <c r="AC1706" s="22"/>
      <c r="AD1706" s="22"/>
      <c r="AE1706" s="22"/>
      <c r="AF1706" s="81"/>
      <c r="AG1706" s="71"/>
      <c r="AH1706" s="71"/>
      <c r="AI1706" s="71"/>
      <c r="AJ1706" s="71"/>
      <c r="AK1706" s="71"/>
      <c r="AL1706" s="71"/>
      <c r="AM1706" s="71"/>
      <c r="AN1706" s="71"/>
      <c r="AO1706" s="71"/>
      <c r="AP1706" s="71"/>
      <c r="AQ1706" s="71"/>
      <c r="AR1706" s="71"/>
      <c r="AS1706" s="94"/>
      <c r="AT1706" s="95"/>
      <c r="AU1706" s="97"/>
      <c r="AV1706" s="81"/>
      <c r="AW1706" s="83">
        <f t="shared" si="1974"/>
        <v>0</v>
      </c>
      <c r="AX1706" s="83">
        <f t="shared" si="1975"/>
        <v>0</v>
      </c>
      <c r="AY1706" s="83">
        <f t="shared" si="1976"/>
        <v>0</v>
      </c>
      <c r="AZ1706" s="83">
        <f t="shared" si="1977"/>
        <v>0</v>
      </c>
      <c r="BA1706" s="52"/>
      <c r="BB1706" s="52"/>
      <c r="BC1706" s="52"/>
      <c r="BD1706" s="52"/>
      <c r="BE1706" s="52"/>
      <c r="BF1706" s="52"/>
      <c r="BG1706" s="52"/>
      <c r="BH1706" s="52"/>
      <c r="BI1706" s="65"/>
      <c r="BJ1706" s="68"/>
      <c r="BK1706" s="59">
        <f t="shared" si="1978"/>
        <v>0</v>
      </c>
      <c r="BL1706" s="59" cm="1">
        <f t="array" ref="BL1706">IFERROR(SUM(AW1706:INDEX(AW1706:BH1706, MATCH(2, 1/(AW1706:BH1706&lt;&gt;""), 1) - 1))/_xlfn.XLOOKUP(F1706,Apuração!A:A,Apuração!B:B),0)</f>
        <v>0</v>
      </c>
      <c r="BM1706" s="55"/>
      <c r="BN1706" s="55"/>
      <c r="BO1706" s="53">
        <f ca="1">IFERROR(_xlfn.XLOOKUP(F1706,Apuração!A:A,Apuração!C:C)/_xlfn.XLOOKUP(F1706,Apuração!A:A,Apuração!B:B),0)</f>
        <v>0</v>
      </c>
      <c r="BP1706" s="53">
        <f ca="1">IFERROR(_xlfn.XLOOKUP(F1706,Apuração!A:A,Apuração!D:D)/_xlfn.XLOOKUP(F1706,Apuração!A:A,Apuração!B:B),0)</f>
        <v>0</v>
      </c>
      <c r="BQ1706" s="53">
        <f ca="1">IF(BK1706&gt;=BO1706,0,_xlfn.XLOOKUP(F1706,Apuração!A:A,Apuração!B:B)*(BO1706 + (1/_xlfn.XLOOKUP(F1706,Apuração!A:A,Apuração!B:B)) - BK1706))</f>
        <v>0</v>
      </c>
      <c r="BR1706" s="85">
        <f t="shared" ca="1" si="1979"/>
        <v>0</v>
      </c>
      <c r="BS1706" s="53">
        <f ca="1">IFERROR((_xlfn.XLOOKUP(F1706,Apuração!A:A,Apuração!C:C)+1)/_xlfn.XLOOKUP(F1706,Apuração!A:A,Apuração!B:B),0)</f>
        <v>0.14285714285714285</v>
      </c>
    </row>
    <row r="1707" spans="1:71" ht="25.95" hidden="1" customHeight="1" x14ac:dyDescent="0.3">
      <c r="A1707" s="70" t="s">
        <v>108</v>
      </c>
      <c r="B1707" s="4" t="s">
        <v>129</v>
      </c>
      <c r="C1707" s="5" t="s">
        <v>214</v>
      </c>
      <c r="D1707" s="5" t="s">
        <v>212</v>
      </c>
      <c r="E1707" s="4" t="s">
        <v>61</v>
      </c>
      <c r="F1707" s="4" t="str" cm="1">
        <f t="array" ref="F1707">_xlfn.IFS(
AG1707 &lt;&gt; "", "Jan-Dez/26",
AH1707 &lt;&gt; "", "Fev-Dez/26",
AI1707 &lt;&gt; "", "Mar-Dez/26", AJ1707 &lt;&gt; "", "Abr-Dez/26",
TRUE, "A partir de Junho"
)</f>
        <v>A partir de Junho</v>
      </c>
      <c r="G1707" s="4" t="s">
        <v>62</v>
      </c>
      <c r="H1707" s="7" t="s">
        <v>38</v>
      </c>
      <c r="I1707" s="28" t="s">
        <v>132</v>
      </c>
      <c r="J1707" s="8" t="str" cm="1">
        <f t="array" aca="1" ref="J1707" ca="1">_xlfn.LET(
  _xlpm.actual_value_month, INDEX(T1707:AE1707, MATCH(DATE(YEAR(TODAY()), MONTH(TODAY()), 1), $T$1:$AE$1, 0)),
  IF(_xlpm.actual_value_month &lt;&gt; "",_xlpm.actual_value_month &amp; " ações mensais", "")
)</f>
        <v/>
      </c>
      <c r="K1707" s="8" t="str" cm="1">
        <f t="array" ref="K1707">_xlfn.LET(
    _xlpm.sum_month, SUM(T1707:AE1707),
    IF(_xlpm.sum_month = 0, "", _xlpm.sum_month &amp; "  notificações de excesso de velocidade no ano")
)</f>
        <v/>
      </c>
      <c r="L1707" s="4" t="s">
        <v>133</v>
      </c>
      <c r="M1707" s="19"/>
      <c r="N1707" s="5" t="s">
        <v>51</v>
      </c>
      <c r="O1707" s="5"/>
      <c r="P1707" s="10"/>
      <c r="Q1707" s="10"/>
      <c r="R1707" s="11"/>
      <c r="S1707" s="11"/>
      <c r="T1707" s="22"/>
      <c r="U1707" s="22"/>
      <c r="V1707" s="22"/>
      <c r="W1707" s="22"/>
      <c r="X1707" s="22"/>
      <c r="Y1707" s="22"/>
      <c r="Z1707" s="22"/>
      <c r="AA1707" s="22"/>
      <c r="AB1707" s="22"/>
      <c r="AC1707" s="22"/>
      <c r="AD1707" s="22"/>
      <c r="AE1707" s="22"/>
      <c r="AF1707" s="81"/>
      <c r="AG1707" s="71"/>
      <c r="AH1707" s="71"/>
      <c r="AI1707" s="71"/>
      <c r="AJ1707" s="71"/>
      <c r="AK1707" s="71"/>
      <c r="AL1707" s="71"/>
      <c r="AM1707" s="71"/>
      <c r="AN1707" s="71"/>
      <c r="AO1707" s="71"/>
      <c r="AP1707" s="71"/>
      <c r="AQ1707" s="71"/>
      <c r="AR1707" s="71"/>
      <c r="AS1707" s="94"/>
      <c r="AT1707" s="95"/>
      <c r="AU1707" s="97"/>
      <c r="AV1707" s="81"/>
      <c r="AW1707" s="83">
        <f t="shared" si="1974"/>
        <v>0</v>
      </c>
      <c r="AX1707" s="83">
        <f t="shared" si="1975"/>
        <v>0</v>
      </c>
      <c r="AY1707" s="83">
        <f t="shared" si="1976"/>
        <v>0</v>
      </c>
      <c r="AZ1707" s="83">
        <f t="shared" si="1977"/>
        <v>0</v>
      </c>
      <c r="BA1707" s="52"/>
      <c r="BB1707" s="52"/>
      <c r="BC1707" s="52"/>
      <c r="BD1707" s="52"/>
      <c r="BE1707" s="52"/>
      <c r="BF1707" s="52"/>
      <c r="BG1707" s="52"/>
      <c r="BH1707" s="52"/>
      <c r="BI1707" s="65"/>
      <c r="BJ1707" s="68"/>
      <c r="BK1707" s="59">
        <f t="shared" si="1978"/>
        <v>0</v>
      </c>
      <c r="BL1707" s="59" cm="1">
        <f t="array" ref="BL1707">IFERROR(SUM(AW1707:INDEX(AW1707:BH1707, MATCH(2, 1/(AW1707:BH1707&lt;&gt;""), 1) - 1))/_xlfn.XLOOKUP(F1707,Apuração!A:A,Apuração!B:B),0)</f>
        <v>0</v>
      </c>
      <c r="BM1707" s="55"/>
      <c r="BN1707" s="55"/>
      <c r="BO1707" s="53">
        <f ca="1">IFERROR(_xlfn.XLOOKUP(F1707,Apuração!A:A,Apuração!C:C)/_xlfn.XLOOKUP(F1707,Apuração!A:A,Apuração!B:B),0)</f>
        <v>0</v>
      </c>
      <c r="BP1707" s="53">
        <f ca="1">IFERROR(_xlfn.XLOOKUP(F1707,Apuração!A:A,Apuração!D:D)/_xlfn.XLOOKUP(F1707,Apuração!A:A,Apuração!B:B),0)</f>
        <v>0</v>
      </c>
      <c r="BQ1707" s="53">
        <f ca="1">IF(BK1707&gt;=BO1707,0,_xlfn.XLOOKUP(F1707,Apuração!A:A,Apuração!B:B)*(BO1707 + (1/_xlfn.XLOOKUP(F1707,Apuração!A:A,Apuração!B:B)) - BK1707))</f>
        <v>0</v>
      </c>
      <c r="BR1707" s="85">
        <f t="shared" ca="1" si="1979"/>
        <v>0</v>
      </c>
      <c r="BS1707" s="53">
        <f ca="1">IFERROR((_xlfn.XLOOKUP(F1707,Apuração!A:A,Apuração!C:C)+1)/_xlfn.XLOOKUP(F1707,Apuração!A:A,Apuração!B:B),0)</f>
        <v>0.14285714285714285</v>
      </c>
    </row>
    <row r="1708" spans="1:71" ht="25.95" hidden="1" customHeight="1" x14ac:dyDescent="0.3">
      <c r="A1708" s="70" t="s">
        <v>108</v>
      </c>
      <c r="B1708" s="4" t="s">
        <v>129</v>
      </c>
      <c r="C1708" s="5" t="s">
        <v>214</v>
      </c>
      <c r="D1708" s="5" t="s">
        <v>48</v>
      </c>
      <c r="E1708" s="4" t="s">
        <v>61</v>
      </c>
      <c r="F1708" s="4" t="str" cm="1">
        <f t="array" ref="F1708">_xlfn.IFS(
AG1708 &lt;&gt; "", "Jan-Dez/26",
AH1708 &lt;&gt; "", "Fev-Dez/26",
AI1708 &lt;&gt; "", "Mar-Dez/26", AJ1708 &lt;&gt; "", "Abr-Dez/26",
TRUE, "A partir de Junho"
)</f>
        <v>A partir de Junho</v>
      </c>
      <c r="G1708" s="4" t="s">
        <v>62</v>
      </c>
      <c r="H1708" s="7" t="s">
        <v>38</v>
      </c>
      <c r="I1708" s="28" t="s">
        <v>132</v>
      </c>
      <c r="J1708" s="8" t="str" cm="1">
        <f t="array" aca="1" ref="J1708" ca="1">_xlfn.LET(
  _xlpm.actual_value_month, INDEX(T1708:AE1708, MATCH(DATE(YEAR(TODAY()), MONTH(TODAY()), 1), $T$1:$AE$1, 0)),
  IF(_xlpm.actual_value_month &lt;&gt; "",_xlpm.actual_value_month &amp; " ações mensais", "")
)</f>
        <v/>
      </c>
      <c r="K1708" s="8" t="str" cm="1">
        <f t="array" ref="K1708">_xlfn.LET(
    _xlpm.sum_month, SUM(T1708:AE1708),
    IF(_xlpm.sum_month = 0, "", _xlpm.sum_month &amp; "  notificações de excesso de velocidade no ano")
)</f>
        <v/>
      </c>
      <c r="L1708" s="4" t="s">
        <v>133</v>
      </c>
      <c r="M1708" s="19"/>
      <c r="N1708" s="5" t="s">
        <v>51</v>
      </c>
      <c r="O1708" s="5"/>
      <c r="P1708" s="10"/>
      <c r="Q1708" s="10"/>
      <c r="R1708" s="11"/>
      <c r="S1708" s="11"/>
      <c r="T1708" s="22"/>
      <c r="U1708" s="22"/>
      <c r="V1708" s="22"/>
      <c r="W1708" s="22"/>
      <c r="X1708" s="22"/>
      <c r="Y1708" s="22"/>
      <c r="Z1708" s="22"/>
      <c r="AA1708" s="22"/>
      <c r="AB1708" s="22"/>
      <c r="AC1708" s="22"/>
      <c r="AD1708" s="22"/>
      <c r="AE1708" s="22"/>
      <c r="AF1708" s="81"/>
      <c r="AG1708" s="71"/>
      <c r="AH1708" s="71"/>
      <c r="AI1708" s="71"/>
      <c r="AJ1708" s="71"/>
      <c r="AK1708" s="71"/>
      <c r="AL1708" s="71"/>
      <c r="AM1708" s="71"/>
      <c r="AN1708" s="71"/>
      <c r="AO1708" s="71"/>
      <c r="AP1708" s="71"/>
      <c r="AQ1708" s="71"/>
      <c r="AR1708" s="71"/>
      <c r="AS1708" s="94"/>
      <c r="AT1708" s="95"/>
      <c r="AU1708" s="97"/>
      <c r="AV1708" s="81"/>
      <c r="AW1708" s="83">
        <f t="shared" si="1974"/>
        <v>0</v>
      </c>
      <c r="AX1708" s="83">
        <f t="shared" si="1975"/>
        <v>0</v>
      </c>
      <c r="AY1708" s="83">
        <f t="shared" si="1976"/>
        <v>0</v>
      </c>
      <c r="AZ1708" s="83">
        <f t="shared" si="1977"/>
        <v>0</v>
      </c>
      <c r="BA1708" s="52"/>
      <c r="BB1708" s="52"/>
      <c r="BC1708" s="52"/>
      <c r="BD1708" s="52"/>
      <c r="BE1708" s="52"/>
      <c r="BF1708" s="52"/>
      <c r="BG1708" s="52"/>
      <c r="BH1708" s="52"/>
      <c r="BI1708" s="65"/>
      <c r="BJ1708" s="68"/>
      <c r="BK1708" s="59">
        <f t="shared" si="1978"/>
        <v>0</v>
      </c>
      <c r="BL1708" s="59" cm="1">
        <f t="array" ref="BL1708">IFERROR(SUM(AW1708:INDEX(AW1708:BH1708, MATCH(2, 1/(AW1708:BH1708&lt;&gt;""), 1) - 1))/_xlfn.XLOOKUP(F1708,Apuração!A:A,Apuração!B:B),0)</f>
        <v>0</v>
      </c>
      <c r="BM1708" s="55"/>
      <c r="BN1708" s="55"/>
      <c r="BO1708" s="53">
        <f ca="1">IFERROR(_xlfn.XLOOKUP(F1708,Apuração!A:A,Apuração!C:C)/_xlfn.XLOOKUP(F1708,Apuração!A:A,Apuração!B:B),0)</f>
        <v>0</v>
      </c>
      <c r="BP1708" s="53">
        <f ca="1">IFERROR(_xlfn.XLOOKUP(F1708,Apuração!A:A,Apuração!D:D)/_xlfn.XLOOKUP(F1708,Apuração!A:A,Apuração!B:B),0)</f>
        <v>0</v>
      </c>
      <c r="BQ1708" s="53">
        <f ca="1">IF(BK1708&gt;=BO1708,0,_xlfn.XLOOKUP(F1708,Apuração!A:A,Apuração!B:B)*(BO1708 + (1/_xlfn.XLOOKUP(F1708,Apuração!A:A,Apuração!B:B)) - BK1708))</f>
        <v>0</v>
      </c>
      <c r="BR1708" s="85">
        <f t="shared" ca="1" si="1979"/>
        <v>0</v>
      </c>
      <c r="BS1708" s="53">
        <f ca="1">IFERROR((_xlfn.XLOOKUP(F1708,Apuração!A:A,Apuração!C:C)+1)/_xlfn.XLOOKUP(F1708,Apuração!A:A,Apuração!B:B),0)</f>
        <v>0.14285714285714285</v>
      </c>
    </row>
    <row r="1709" spans="1:71" ht="25.95" hidden="1" customHeight="1" x14ac:dyDescent="0.3">
      <c r="A1709" s="70" t="s">
        <v>108</v>
      </c>
      <c r="B1709" s="4" t="s">
        <v>129</v>
      </c>
      <c r="C1709" s="5" t="s">
        <v>214</v>
      </c>
      <c r="D1709" s="5" t="s">
        <v>213</v>
      </c>
      <c r="E1709" s="4" t="s">
        <v>61</v>
      </c>
      <c r="F1709" s="4" t="str" cm="1">
        <f t="array" ref="F1709">_xlfn.IFS(
AG1709 &lt;&gt; "", "Jan-Dez/26",
AH1709 &lt;&gt; "", "Fev-Dez/26",
AI1709 &lt;&gt; "", "Mar-Dez/26", AJ1709 &lt;&gt; "", "Abr-Dez/26",
TRUE, "A partir de Junho"
)</f>
        <v>A partir de Junho</v>
      </c>
      <c r="G1709" s="4" t="s">
        <v>62</v>
      </c>
      <c r="H1709" s="7" t="s">
        <v>38</v>
      </c>
      <c r="I1709" s="28" t="s">
        <v>132</v>
      </c>
      <c r="J1709" s="8" t="str" cm="1">
        <f t="array" aca="1" ref="J1709" ca="1">_xlfn.LET(
  _xlpm.actual_value_month, INDEX(T1709:AE1709, MATCH(DATE(YEAR(TODAY()), MONTH(TODAY()), 1), $T$1:$AE$1, 0)),
  IF(_xlpm.actual_value_month &lt;&gt; "",_xlpm.actual_value_month &amp; " ações mensais", "")
)</f>
        <v/>
      </c>
      <c r="K1709" s="8" t="str" cm="1">
        <f t="array" ref="K1709">_xlfn.LET(
    _xlpm.sum_month, SUM(T1709:AE1709),
    IF(_xlpm.sum_month = 0, "", _xlpm.sum_month &amp; "  notificações de excesso de velocidade no ano")
)</f>
        <v/>
      </c>
      <c r="L1709" s="4" t="s">
        <v>133</v>
      </c>
      <c r="M1709" s="19"/>
      <c r="N1709" s="5" t="s">
        <v>51</v>
      </c>
      <c r="O1709" s="5"/>
      <c r="P1709" s="10"/>
      <c r="Q1709" s="10"/>
      <c r="R1709" s="11"/>
      <c r="S1709" s="11"/>
      <c r="T1709" s="22"/>
      <c r="U1709" s="22"/>
      <c r="V1709" s="22"/>
      <c r="W1709" s="22"/>
      <c r="X1709" s="22"/>
      <c r="Y1709" s="22"/>
      <c r="Z1709" s="22"/>
      <c r="AA1709" s="22"/>
      <c r="AB1709" s="22"/>
      <c r="AC1709" s="22"/>
      <c r="AD1709" s="22"/>
      <c r="AE1709" s="22"/>
      <c r="AF1709" s="81"/>
      <c r="AG1709" s="71"/>
      <c r="AH1709" s="71"/>
      <c r="AI1709" s="71"/>
      <c r="AJ1709" s="71"/>
      <c r="AK1709" s="71"/>
      <c r="AL1709" s="71"/>
      <c r="AM1709" s="71"/>
      <c r="AN1709" s="71"/>
      <c r="AO1709" s="71"/>
      <c r="AP1709" s="71"/>
      <c r="AQ1709" s="71"/>
      <c r="AR1709" s="71"/>
      <c r="AS1709" s="94"/>
      <c r="AT1709" s="95"/>
      <c r="AU1709" s="97"/>
      <c r="AV1709" s="81"/>
      <c r="AW1709" s="83">
        <f t="shared" si="1974"/>
        <v>0</v>
      </c>
      <c r="AX1709" s="83">
        <f t="shared" si="1975"/>
        <v>0</v>
      </c>
      <c r="AY1709" s="83">
        <f t="shared" si="1976"/>
        <v>0</v>
      </c>
      <c r="AZ1709" s="83">
        <f t="shared" si="1977"/>
        <v>0</v>
      </c>
      <c r="BA1709" s="52"/>
      <c r="BB1709" s="52"/>
      <c r="BC1709" s="52"/>
      <c r="BD1709" s="52"/>
      <c r="BE1709" s="52"/>
      <c r="BF1709" s="52"/>
      <c r="BG1709" s="52"/>
      <c r="BH1709" s="52"/>
      <c r="BI1709" s="65"/>
      <c r="BJ1709" s="68"/>
      <c r="BK1709" s="59">
        <f t="shared" si="1978"/>
        <v>0</v>
      </c>
      <c r="BL1709" s="59" cm="1">
        <f t="array" ref="BL1709">IFERROR(SUM(AW1709:INDEX(AW1709:BH1709, MATCH(2, 1/(AW1709:BH1709&lt;&gt;""), 1) - 1))/_xlfn.XLOOKUP(F1709,Apuração!A:A,Apuração!B:B),0)</f>
        <v>0</v>
      </c>
      <c r="BM1709" s="55"/>
      <c r="BN1709" s="55"/>
      <c r="BO1709" s="53">
        <f ca="1">IFERROR(_xlfn.XLOOKUP(F1709,Apuração!A:A,Apuração!C:C)/_xlfn.XLOOKUP(F1709,Apuração!A:A,Apuração!B:B),0)</f>
        <v>0</v>
      </c>
      <c r="BP1709" s="53">
        <f ca="1">IFERROR(_xlfn.XLOOKUP(F1709,Apuração!A:A,Apuração!D:D)/_xlfn.XLOOKUP(F1709,Apuração!A:A,Apuração!B:B),0)</f>
        <v>0</v>
      </c>
      <c r="BQ1709" s="53">
        <f ca="1">IF(BK1709&gt;=BO1709,0,_xlfn.XLOOKUP(F1709,Apuração!A:A,Apuração!B:B)*(BO1709 + (1/_xlfn.XLOOKUP(F1709,Apuração!A:A,Apuração!B:B)) - BK1709))</f>
        <v>0</v>
      </c>
      <c r="BR1709" s="85">
        <f t="shared" ca="1" si="1979"/>
        <v>0</v>
      </c>
      <c r="BS1709" s="53">
        <f ca="1">IFERROR((_xlfn.XLOOKUP(F1709,Apuração!A:A,Apuração!C:C)+1)/_xlfn.XLOOKUP(F1709,Apuração!A:A,Apuração!B:B),0)</f>
        <v>0.14285714285714285</v>
      </c>
    </row>
    <row r="1710" spans="1:71" ht="25.95" hidden="1" customHeight="1" x14ac:dyDescent="0.3">
      <c r="A1710" s="23" t="s">
        <v>134</v>
      </c>
      <c r="B1710" s="4" t="s">
        <v>135</v>
      </c>
      <c r="C1710" s="5" t="s">
        <v>214</v>
      </c>
      <c r="D1710" s="5" t="s">
        <v>36</v>
      </c>
      <c r="E1710" s="4" t="str" cm="1">
        <f t="array" ref="E1710">_xlfn.IFS(
F1710 = "A partir de Abril", "Aguardando Execução na Distribuidora",
A1710 = "CAPACITAÇÃO", "Em execução no Corporativo",
TRUE, "Em Execução na Distribuidora"
)</f>
        <v>Em Execução na Distribuidora</v>
      </c>
      <c r="F1710" s="4" t="str" cm="1">
        <f t="array" ref="F1710">_xlfn.IFS(
AG1710 &lt;&gt; "", "Jan-Dez/26",
AH1710 &lt;&gt; "", "Fev-Dez/26",
AI1710 &lt;&gt; "", "Mar-Dez/26", AJ1710 &lt;&gt; "", "Abr-Dez/26",
TRUE, "A partir de Junho"
)</f>
        <v>Jan-Dez/26</v>
      </c>
      <c r="G1710" s="4" t="s">
        <v>37</v>
      </c>
      <c r="H1710" s="7" t="s">
        <v>38</v>
      </c>
      <c r="I1710" s="8" t="s">
        <v>136</v>
      </c>
      <c r="J1710" s="8" t="str" cm="1">
        <f t="array" aca="1" ref="J1710" ca="1">_xlfn.LET(
  _xlpm.actual_value_month, INDEX(T1710:AE1710, MATCH(DATE(YEAR(TODAY()), MONTH(TODAY()), 1), $T$1:$AE$1, 0)),
  IF(_xlpm.actual_value_month &lt;&gt; "",_xlpm.actual_value_month &amp; " equipes mensais", "")
)</f>
        <v>447 equipes mensais</v>
      </c>
      <c r="K1710" s="8" t="str" cm="1">
        <f t="array" ref="K1710">_xlfn.LET(
    _xlpm.sum_month, SUM(T1710:AE1710),
    IF(_xlpm.sum_month = 0, "", _xlpm.sum_month &amp; " alcançadas no ano")
)</f>
        <v>6028 alcançadas no ano</v>
      </c>
      <c r="L1710" s="9" t="s">
        <v>137</v>
      </c>
      <c r="M1710" s="24" t="s">
        <v>138</v>
      </c>
      <c r="N1710" s="5" t="s">
        <v>42</v>
      </c>
      <c r="O1710" s="5" t="s">
        <v>43</v>
      </c>
      <c r="P1710" s="10" t="s">
        <v>44</v>
      </c>
      <c r="Q1710" s="10" t="s">
        <v>44</v>
      </c>
      <c r="R1710" s="11" t="s">
        <v>66</v>
      </c>
      <c r="S1710" s="11" t="s">
        <v>67</v>
      </c>
      <c r="T1710" s="22">
        <v>631</v>
      </c>
      <c r="U1710" s="22">
        <v>639</v>
      </c>
      <c r="V1710" s="22">
        <v>735</v>
      </c>
      <c r="W1710" s="22">
        <v>447</v>
      </c>
      <c r="X1710" s="22">
        <v>447</v>
      </c>
      <c r="Y1710" s="22">
        <v>447</v>
      </c>
      <c r="Z1710" s="22">
        <v>447</v>
      </c>
      <c r="AA1710" s="22">
        <v>447</v>
      </c>
      <c r="AB1710" s="22">
        <v>447</v>
      </c>
      <c r="AC1710" s="22">
        <v>447</v>
      </c>
      <c r="AD1710" s="22">
        <v>447</v>
      </c>
      <c r="AE1710" s="22">
        <v>447</v>
      </c>
      <c r="AG1710" s="71">
        <v>631</v>
      </c>
      <c r="AH1710" s="71">
        <v>639</v>
      </c>
      <c r="AI1710" s="71">
        <v>735</v>
      </c>
      <c r="AJ1710" s="71">
        <v>823</v>
      </c>
      <c r="AK1710" s="71"/>
      <c r="AL1710" s="71"/>
      <c r="AM1710" s="71"/>
      <c r="AN1710" s="71"/>
      <c r="AO1710" s="71"/>
      <c r="AP1710" s="71"/>
      <c r="AQ1710" s="71"/>
      <c r="AR1710" s="71"/>
      <c r="AS1710" s="94">
        <f ca="1">IF(MONTH(TODAY())=3,SUM(T1710:U1710),IF(MONTH(TODAY())=4,SUM(T1710:V1710),IF(MONTH(TODAY())=5,SUM(T1710:W1710),IF(MONTH(TODAY())=6,SUM(T1710:X1710),IF(MONTH(TODAY())=7,SUM(T1710:Y1710),IF(MONTH(TODAY())=8,SUM(T1710:Z1710),IF(MONTH(TODAY())=9,SUM(T1710:AA1710),IF(MONTH(TODAY())=10,SUM(T1710:AB1710),IF(MONTH(TODAY())=11,SUM(T1710:AC1710),IF(MONTH(TODAY())=12,SUM(T1710:AD1710),IF(MONTH(TODAY())=1,SUM(T1710:AE1710),T1710)))))))))))</f>
        <v>2899</v>
      </c>
      <c r="AT1710" s="95">
        <f>SUM(IF(AW1710&lt;1.15,AG1710,1.15*T1710),IF(AX1710&lt;1.15,AH1710,1.15*U1710),IF(AY1710&lt;1.15,AI1710,1.15*V1710),IF(AZ1710&lt;1.15,AJ1710,1.15*W1710),IF(BA1710&lt;1.15,AK1710,1.15*X1710),IF(BB1710&lt;1.15,AL1710,1.15*Y1710),IF(BC1710&lt;1.15,AM1710,1.15*Z1710),IF(BD1710&lt;1.15,AN1710,1.15*AA1710),IF(BE1710&lt;1.15,AO1710,1.15*AB1710),IF(BF1710&lt;1.15,AP1710,1.15*AC1710),IF(BG1710&lt;1.15,AQ1710,1.15*AD1710),IF(BH1710&lt;1.15,AR1710,1.15*AE1710))</f>
        <v>2519.0500000000002</v>
      </c>
      <c r="AU1710" s="97">
        <f>SUM(AG1710:AR1710)</f>
        <v>2828</v>
      </c>
      <c r="AW1710" s="51">
        <f>IFERROR(IF(AG1710="",0,AG1710/T1710),0)</f>
        <v>1</v>
      </c>
      <c r="AX1710" s="51">
        <f>IFERROR(IF(AH1710="",0,AH1710/U1710),0)</f>
        <v>1</v>
      </c>
      <c r="AY1710" s="51">
        <f>IFERROR(IF(AI1710="",0,AI1710/V1710),0)</f>
        <v>1</v>
      </c>
      <c r="AZ1710" s="51">
        <f>IFERROR(IF(AJ1710="",0,AJ1710/W1710),0)</f>
        <v>1.8411633109619687</v>
      </c>
      <c r="BA1710" s="51"/>
      <c r="BB1710" s="51"/>
      <c r="BC1710" s="51"/>
      <c r="BD1710" s="51"/>
      <c r="BE1710" s="51"/>
      <c r="BF1710" s="51"/>
      <c r="BG1710" s="51"/>
      <c r="BH1710" s="51"/>
      <c r="BI1710" s="65" cm="1">
        <f t="array" ref="BI1710">IFERROR(INDEX(AW1710:BH1710,1,MATCH(2,1/(AW1710:BH1710&lt;&gt;""))),"")</f>
        <v>1.8411633109619687</v>
      </c>
      <c r="BJ1710" s="68" cm="1">
        <f t="array" ref="BJ1710">IF(BM1710 = "", "",IFERROR(INDEX(AW1710:BH1710,1,MATCH(2,1/(AW1710:BH1710&lt;&gt;""),1)-1),""))</f>
        <v>1</v>
      </c>
      <c r="BK1710" s="58">
        <f>IF((IF(AW1710&gt;=115%,115%,AW1710) + IF(AX1710&gt;=115%,115%,AX1710) + IF(AY1710&gt;=115%,115%,AY1710) + (IF(AZ1710&gt;=115%,115%,AZ1710) + IF(BA1710&gt;=115%,115%,BA1710) + IF(BB1710&gt;=115%,115%,BB1710) + IF(BC1710&gt;=115%,115%,BC1710) + IF(BD1710&gt;=115%,115%,BD1710) + IF(BE1710&gt;=115%,115%,BE1710) + IF(BF1710&gt;=115%,115%,BF1710) + IF(BG1710&gt;=115%,115%,BG1710) + IF(BH1710&gt;=115%,115%,BH1710)))/_xlfn.XLOOKUP(F1710,Apuração!A:A,Apuração!B:B)&gt;=1.15,1.15,((IF(AZ1710&gt;=115%,115%,AZ1710) + IF(AX1710&gt;=115%,115%,AX1710) + IF(AY1710&gt;=115%,115%,AY1710) + (IF(AW1710&gt;=115%,115%,AW1710) + IF(BA1710&gt;=115%,115%,BA1710) + IF(BB1710&gt;=115%,115%,BB1710) + IF(BC1710&gt;=115%,115%,BC1710) + IF(BD1710&gt;=115%,115%,BD1710) + IF(BE1710&gt;=115%,115%,BE1710) + IF(BF1710&gt;=115%,115%,BF1710) + IF(BG1710&gt;=115%,115%,BG1710) + IF(BH1710&gt;=115%,115%,BH1710)))/_xlfn.XLOOKUP(F1710,Apuração!A:A,Apuração!B:B)))</f>
        <v>0.34583333333333338</v>
      </c>
      <c r="BL1710" s="58" cm="1">
        <f t="array" aca="1" ref="BL1710" ca="1">IF(SUM(IFERROR(IF(INDEX(AW1710:INDEX(AW1710:BH1710, MATCH(2, 1/(AW1710:BH1710&lt;&gt;""), 1)-1), ROW(INDIRECT("1:" &amp; MATCH(2, 1/(AW1710:BH1710&lt;&gt;""), 1)-1))) &gt;= 115%, 115%, INDEX(AW1710:INDEX(AW1710:BH1710, MATCH(2, 1/(AW1710:BH1710&lt;&gt;""), 1)-1), ROW(INDIRECT("1:" &amp; MATCH(2, 1/(AW1710:BH1710&lt;&gt;""), 1)-1)))), 0))/_xlfn.XLOOKUP(F1710,Apuração!A:A,Apuração!B:B)&gt;=1.15,1.15,SUM(IFERROR(IF(INDEX(AW1710:INDEX(AW1710:BH1710, MATCH(2, 1/(AW1710:BH1710&lt;&gt;""), 1)-1), ROW(INDIRECT("1:" &amp; MATCH(2, 1/(AW1710:BH1710&lt;&gt;""), 1)-1))) &gt;= 115%, 115%, INDEX(AW1710:INDEX(AW1710:BH1710, MATCH(2, 1/(AW1710:BH1710&lt;&gt;""), 1)-1), ROW(INDIRECT("1:" &amp; MATCH(2, 1/(AW1710:BH1710&lt;&gt;""), 1)-1)))), 0))/_xlfn.XLOOKUP(F1710,Apuração!A:A,Apuração!B:B))</f>
        <v>0.25</v>
      </c>
      <c r="BM1710" s="55" cm="1">
        <f t="array" ref="BM1710">IFERROR(
   INDEX($AW$1:$BH$1,
      _xlfn.AGGREGATE(14, 6, COLUMN($AW$1:$BH$1)/(AW1710:BH1710&lt;&gt;""), 2) - COLUMN($AW$1) + 1
   ),
"")</f>
        <v>46082</v>
      </c>
      <c r="BN1710" s="55" cm="1">
        <f t="array" ref="BN1710">IFERROR(INDEX($AW$1:$BH$1,1,MATCH(2,1/(AW1710:BH1710&lt;&gt;""))),"")</f>
        <v>46113</v>
      </c>
      <c r="BO1710" s="53">
        <f ca="1">IFERROR(_xlfn.XLOOKUP(F1710,Apuração!A:A,Apuração!C:C)/_xlfn.XLOOKUP(F1710,Apuração!A:A,Apuração!B:B),0)</f>
        <v>0.41666666666666669</v>
      </c>
      <c r="BP1710" s="53">
        <f ca="1">IFERROR(_xlfn.XLOOKUP(F1710,Apuração!A:A,Apuração!D:D)/_xlfn.XLOOKUP(F1710,Apuração!A:A,Apuração!B:B),0)</f>
        <v>0.33333333333333331</v>
      </c>
      <c r="BQ1710" s="53">
        <f ca="1">IF(BK1710&gt;=BO1710,0,_xlfn.XLOOKUP(F1710,Apuração!A:A,Apuração!B:B)*(BO1710 + (1/_xlfn.XLOOKUP(F1710,Apuração!A:A,Apuração!B:B)) - BK1710))</f>
        <v>1.8499999999999994</v>
      </c>
      <c r="BR1710" s="85">
        <f ca="1">IF(BQ1710=0,0,BQ1710*Z1710)</f>
        <v>826.9499999999997</v>
      </c>
      <c r="BS1710" s="53">
        <f ca="1">IFERROR((_xlfn.XLOOKUP(F1710,Apuração!A:A,Apuração!C:C)+1)/_xlfn.XLOOKUP(F1710,Apuração!A:A,Apuração!B:B),0)</f>
        <v>0.5</v>
      </c>
    </row>
    <row r="1711" spans="1:71" ht="25.95" hidden="1" customHeight="1" x14ac:dyDescent="0.3">
      <c r="A1711" s="23" t="s">
        <v>134</v>
      </c>
      <c r="B1711" s="4" t="s">
        <v>135</v>
      </c>
      <c r="C1711" s="5" t="s">
        <v>214</v>
      </c>
      <c r="D1711" s="5" t="s">
        <v>210</v>
      </c>
      <c r="E1711" s="4" t="str" cm="1">
        <f t="array" ref="E1711">_xlfn.IFS(
F1711 = "A partir de Abril", "Aguardando Execução na Distribuidora",
A1711 = "CAPACITAÇÃO", "Em execução no Corporativo",
TRUE, "Em Execução na Distribuidora"
)</f>
        <v>Em Execução na Distribuidora</v>
      </c>
      <c r="F1711" s="4" t="str" cm="1">
        <f t="array" ref="F1711">_xlfn.IFS(
AG1711 &lt;&gt; "", "Jan-Dez/26",
AH1711 &lt;&gt; "", "Fev-Dez/26",
AI1711 &lt;&gt; "", "Mar-Dez/26", AJ1711 &lt;&gt; "", "Abr-Dez/26",
TRUE, "A partir de Junho"
)</f>
        <v>Jan-Dez/26</v>
      </c>
      <c r="G1711" s="4" t="s">
        <v>37</v>
      </c>
      <c r="H1711" s="7" t="s">
        <v>38</v>
      </c>
      <c r="I1711" s="8" t="s">
        <v>136</v>
      </c>
      <c r="J1711" s="8" t="str" cm="1">
        <f t="array" aca="1" ref="J1711" ca="1">_xlfn.LET(
  _xlpm.actual_value_month, INDEX(T1711:AE1711, MATCH(DATE(YEAR(TODAY()), MONTH(TODAY()), 1), $T$1:$AE$1, 0)),
  IF(_xlpm.actual_value_month &lt;&gt; "",_xlpm.actual_value_month &amp; " equipes mensais", "")
)</f>
        <v>28 equipes mensais</v>
      </c>
      <c r="K1711" s="8" t="str" cm="1">
        <f t="array" ref="K1711">_xlfn.LET(
    _xlpm.sum_month, SUM(T1711:AE1711),
    IF(_xlpm.sum_month = 0, "", _xlpm.sum_month &amp; " alcançadas no ano")
)</f>
        <v>479 alcançadas no ano</v>
      </c>
      <c r="L1711" s="9" t="s">
        <v>137</v>
      </c>
      <c r="M1711" s="24" t="s">
        <v>138</v>
      </c>
      <c r="N1711" s="5" t="s">
        <v>42</v>
      </c>
      <c r="O1711" s="5" t="s">
        <v>43</v>
      </c>
      <c r="P1711" s="10" t="s">
        <v>44</v>
      </c>
      <c r="Q1711" s="10" t="s">
        <v>44</v>
      </c>
      <c r="R1711" s="11" t="s">
        <v>66</v>
      </c>
      <c r="S1711" s="11" t="s">
        <v>67</v>
      </c>
      <c r="T1711" s="143">
        <v>70</v>
      </c>
      <c r="U1711" s="143">
        <v>78</v>
      </c>
      <c r="V1711" s="143">
        <v>79</v>
      </c>
      <c r="W1711" s="143">
        <v>28</v>
      </c>
      <c r="X1711" s="143">
        <v>28</v>
      </c>
      <c r="Y1711" s="143">
        <v>28</v>
      </c>
      <c r="Z1711" s="143">
        <v>28</v>
      </c>
      <c r="AA1711" s="143">
        <v>28</v>
      </c>
      <c r="AB1711" s="143">
        <v>28</v>
      </c>
      <c r="AC1711" s="143">
        <v>28</v>
      </c>
      <c r="AD1711" s="143">
        <v>28</v>
      </c>
      <c r="AE1711" s="143">
        <v>28</v>
      </c>
      <c r="AG1711" s="145">
        <v>70</v>
      </c>
      <c r="AH1711" s="149">
        <v>78</v>
      </c>
      <c r="AI1711" s="149">
        <v>79</v>
      </c>
      <c r="AJ1711" s="82">
        <v>91</v>
      </c>
      <c r="AK1711" s="71"/>
      <c r="AL1711" s="71"/>
      <c r="AM1711" s="71"/>
      <c r="AN1711" s="71"/>
      <c r="AO1711" s="71"/>
      <c r="AP1711" s="71"/>
      <c r="AQ1711" s="71"/>
      <c r="AR1711" s="71"/>
      <c r="AS1711" s="94">
        <f t="shared" ref="AS1711:AS1715" ca="1" si="1980">IF(MONTH(TODAY())=3,SUM(T1711:U1711),IF(MONTH(TODAY())=4,SUM(T1711:V1711),IF(MONTH(TODAY())=5,SUM(T1711:W1711),IF(MONTH(TODAY())=6,SUM(T1711:X1711),IF(MONTH(TODAY())=7,SUM(T1711:Y1711),IF(MONTH(TODAY())=8,SUM(T1711:Z1711),IF(MONTH(TODAY())=9,SUM(T1711:AA1711),IF(MONTH(TODAY())=10,SUM(T1711:AB1711),IF(MONTH(TODAY())=11,SUM(T1711:AC1711),IF(MONTH(TODAY())=12,SUM(T1711:AD1711),IF(MONTH(TODAY())=1,SUM(T1711:AE1711),T1711)))))))))))</f>
        <v>283</v>
      </c>
      <c r="AT1711" s="95">
        <f t="shared" ref="AT1711:AT1715" si="1981">SUM(IF(AW1711&lt;1.15,AG1711,1.15*T1711),IF(AX1711&lt;1.15,AH1711,1.15*U1711),IF(AY1711&lt;1.15,AI1711,1.15*V1711),IF(AZ1711&lt;1.15,AJ1711,1.15*W1711),IF(BA1711&lt;1.15,AK1711,1.15*X1711),IF(BB1711&lt;1.15,AL1711,1.15*Y1711),IF(BC1711&lt;1.15,AM1711,1.15*Z1711),IF(BD1711&lt;1.15,AN1711,1.15*AA1711),IF(BE1711&lt;1.15,AO1711,1.15*AB1711),IF(BF1711&lt;1.15,AP1711,1.15*AC1711),IF(BG1711&lt;1.15,AQ1711,1.15*AD1711),IF(BH1711&lt;1.15,AR1711,1.15*AE1711))</f>
        <v>259.2</v>
      </c>
      <c r="AU1711" s="97">
        <f t="shared" ref="AU1711:AU1715" si="1982">SUM(AG1711:AR1711)</f>
        <v>318</v>
      </c>
      <c r="AW1711" s="51">
        <f t="shared" ref="AW1711:AW1715" si="1983">IFERROR(IF(AG1711="",0,AG1711/T1711),0)</f>
        <v>1</v>
      </c>
      <c r="AX1711" s="51">
        <f t="shared" ref="AX1711:AX1715" si="1984">IFERROR(IF(AH1711="",0,AH1711/U1711),0)</f>
        <v>1</v>
      </c>
      <c r="AY1711" s="51">
        <f t="shared" ref="AY1711:AY1715" si="1985">IFERROR(IF(AI1711="",0,AI1711/V1711),0)</f>
        <v>1</v>
      </c>
      <c r="AZ1711" s="51">
        <f t="shared" ref="AZ1711:AZ1715" si="1986">IFERROR(IF(AJ1711="",0,AJ1711/W1711),0)</f>
        <v>3.25</v>
      </c>
      <c r="BA1711" s="51"/>
      <c r="BB1711" s="51"/>
      <c r="BC1711" s="51"/>
      <c r="BD1711" s="51"/>
      <c r="BE1711" s="51"/>
      <c r="BF1711" s="51"/>
      <c r="BG1711" s="51"/>
      <c r="BH1711" s="51"/>
      <c r="BI1711" s="65" cm="1">
        <f t="array" ref="BI1711">IFERROR(INDEX(AW1711:BH1711,1,MATCH(2,1/(AW1711:BH1711&lt;&gt;""))),"")</f>
        <v>3.25</v>
      </c>
      <c r="BJ1711" s="68" cm="1">
        <f t="array" ref="BJ1711">IF(BM1711 = "", "",IFERROR(INDEX(AW1711:BH1711,1,MATCH(2,1/(AW1711:BH1711&lt;&gt;""),1)-1),""))</f>
        <v>1</v>
      </c>
      <c r="BK1711" s="58">
        <f>IF((IF(AW1711&gt;=115%,115%,AW1711) + IF(AX1711&gt;=115%,115%,AX1711) + IF(AY1711&gt;=115%,115%,AY1711) + (IF(AZ1711&gt;=115%,115%,AZ1711) + IF(BA1711&gt;=115%,115%,BA1711) + IF(BB1711&gt;=115%,115%,BB1711) + IF(BC1711&gt;=115%,115%,BC1711) + IF(BD1711&gt;=115%,115%,BD1711) + IF(BE1711&gt;=115%,115%,BE1711) + IF(BF1711&gt;=115%,115%,BF1711) + IF(BG1711&gt;=115%,115%,BG1711) + IF(BH1711&gt;=115%,115%,BH1711)))/_xlfn.XLOOKUP(F1711,Apuração!A:A,Apuração!B:B)&gt;=1.15,1.15,((IF(AZ1711&gt;=115%,115%,AZ1711) + IF(AX1711&gt;=115%,115%,AX1711) + IF(AY1711&gt;=115%,115%,AY1711) + (IF(AW1711&gt;=115%,115%,AW1711) + IF(BA1711&gt;=115%,115%,BA1711) + IF(BB1711&gt;=115%,115%,BB1711) + IF(BC1711&gt;=115%,115%,BC1711) + IF(BD1711&gt;=115%,115%,BD1711) + IF(BE1711&gt;=115%,115%,BE1711) + IF(BF1711&gt;=115%,115%,BF1711) + IF(BG1711&gt;=115%,115%,BG1711) + IF(BH1711&gt;=115%,115%,BH1711)))/_xlfn.XLOOKUP(F1711,Apuração!A:A,Apuração!B:B)))</f>
        <v>0.34583333333333338</v>
      </c>
      <c r="BL1711" s="58" cm="1">
        <f t="array" aca="1" ref="BL1711" ca="1">IF(SUM(IFERROR(IF(INDEX(AW1711:INDEX(AW1711:BH1711, MATCH(2, 1/(AW1711:BH1711&lt;&gt;""), 1)-1), ROW(INDIRECT("1:" &amp; MATCH(2, 1/(AW1711:BH1711&lt;&gt;""), 1)-1))) &gt;= 115%, 115%, INDEX(AW1711:INDEX(AW1711:BH1711, MATCH(2, 1/(AW1711:BH1711&lt;&gt;""), 1)-1), ROW(INDIRECT("1:" &amp; MATCH(2, 1/(AW1711:BH1711&lt;&gt;""), 1)-1)))), 0))/_xlfn.XLOOKUP(F1711,Apuração!A:A,Apuração!B:B)&gt;=1.15,1.15,SUM(IFERROR(IF(INDEX(AW1711:INDEX(AW1711:BH1711, MATCH(2, 1/(AW1711:BH1711&lt;&gt;""), 1)-1), ROW(INDIRECT("1:" &amp; MATCH(2, 1/(AW1711:BH1711&lt;&gt;""), 1)-1))) &gt;= 115%, 115%, INDEX(AW1711:INDEX(AW1711:BH1711, MATCH(2, 1/(AW1711:BH1711&lt;&gt;""), 1)-1), ROW(INDIRECT("1:" &amp; MATCH(2, 1/(AW1711:BH1711&lt;&gt;""), 1)-1)))), 0))/_xlfn.XLOOKUP(F1711,Apuração!A:A,Apuração!B:B))</f>
        <v>0.25</v>
      </c>
      <c r="BM1711" s="55" cm="1">
        <f t="array" ref="BM1711">IFERROR(
   INDEX($AW$1:$BH$1,
      _xlfn.AGGREGATE(14, 6, COLUMN($AW$1:$BH$1)/(AW1711:BH1711&lt;&gt;""), 2) - COLUMN($AW$1) + 1
   ),
"")</f>
        <v>46082</v>
      </c>
      <c r="BN1711" s="55" cm="1">
        <f t="array" ref="BN1711">IFERROR(INDEX($AW$1:$BH$1,1,MATCH(2,1/(AW1711:BH1711&lt;&gt;""))),"")</f>
        <v>46113</v>
      </c>
      <c r="BO1711" s="53">
        <f ca="1">IFERROR(_xlfn.XLOOKUP(F1711,Apuração!A:A,Apuração!C:C)/_xlfn.XLOOKUP(F1711,Apuração!A:A,Apuração!B:B),0)</f>
        <v>0.41666666666666669</v>
      </c>
      <c r="BP1711" s="53">
        <f ca="1">IFERROR(_xlfn.XLOOKUP(F1711,Apuração!A:A,Apuração!D:D)/_xlfn.XLOOKUP(F1711,Apuração!A:A,Apuração!B:B),0)</f>
        <v>0.33333333333333331</v>
      </c>
      <c r="BQ1711" s="53">
        <f ca="1">IF(BK1711&gt;=BO1711,0,_xlfn.XLOOKUP(F1711,Apuração!A:A,Apuração!B:B)*(BO1711 + (1/_xlfn.XLOOKUP(F1711,Apuração!A:A,Apuração!B:B)) - BK1711))</f>
        <v>1.8499999999999994</v>
      </c>
      <c r="BR1711" s="85">
        <f t="shared" ref="BR1711:BR1715" ca="1" si="1987">IF(BQ1711=0,0,BQ1711*Z1711)</f>
        <v>51.799999999999983</v>
      </c>
      <c r="BS1711" s="53">
        <f ca="1">IFERROR((_xlfn.XLOOKUP(F1711,Apuração!A:A,Apuração!C:C)+1)/_xlfn.XLOOKUP(F1711,Apuração!A:A,Apuração!B:B),0)</f>
        <v>0.5</v>
      </c>
    </row>
    <row r="1712" spans="1:71" ht="25.95" hidden="1" customHeight="1" x14ac:dyDescent="0.3">
      <c r="A1712" s="23" t="s">
        <v>134</v>
      </c>
      <c r="B1712" s="4" t="s">
        <v>135</v>
      </c>
      <c r="C1712" s="5" t="s">
        <v>214</v>
      </c>
      <c r="D1712" s="5" t="s">
        <v>215</v>
      </c>
      <c r="E1712" s="4" t="str" cm="1">
        <f t="array" ref="E1712">_xlfn.IFS(
F1712 = "A partir de Abril", "Aguardando Execução na Distribuidora",
A1712 = "CAPACITAÇÃO", "Em execução no Corporativo",
TRUE, "Em Execução na Distribuidora"
)</f>
        <v>Em Execução na Distribuidora</v>
      </c>
      <c r="F1712" s="4" t="str" cm="1">
        <f t="array" ref="F1712">_xlfn.IFS(
AG1712 &lt;&gt; "", "Jan-Dez/26",
AH1712 &lt;&gt; "", "Fev-Dez/26",
AI1712 &lt;&gt; "", "Mar-Dez/26", AJ1712 &lt;&gt; "", "Abr-Dez/26",
TRUE, "A partir de Junho"
)</f>
        <v>Jan-Dez/26</v>
      </c>
      <c r="G1712" s="4" t="s">
        <v>37</v>
      </c>
      <c r="H1712" s="7" t="s">
        <v>38</v>
      </c>
      <c r="I1712" s="8" t="s">
        <v>136</v>
      </c>
      <c r="J1712" s="8" t="str" cm="1">
        <f t="array" aca="1" ref="J1712" ca="1">_xlfn.LET(
  _xlpm.actual_value_month, INDEX(T1712:AE1712, MATCH(DATE(YEAR(TODAY()), MONTH(TODAY()), 1), $T$1:$AE$1, 0)),
  IF(_xlpm.actual_value_month &lt;&gt; "",_xlpm.actual_value_month &amp; " equipes mensais", "")
)</f>
        <v>94 equipes mensais</v>
      </c>
      <c r="K1712" s="8" t="str" cm="1">
        <f t="array" ref="K1712">_xlfn.LET(
    _xlpm.sum_month, SUM(T1712:AE1712),
    IF(_xlpm.sum_month = 0, "", _xlpm.sum_month &amp; " alcançadas no ano")
)</f>
        <v>1291 alcançadas no ano</v>
      </c>
      <c r="L1712" s="9" t="s">
        <v>137</v>
      </c>
      <c r="M1712" s="24" t="s">
        <v>138</v>
      </c>
      <c r="N1712" s="5" t="s">
        <v>42</v>
      </c>
      <c r="O1712" s="5" t="s">
        <v>43</v>
      </c>
      <c r="P1712" s="10" t="s">
        <v>44</v>
      </c>
      <c r="Q1712" s="10" t="s">
        <v>44</v>
      </c>
      <c r="R1712" s="11" t="s">
        <v>66</v>
      </c>
      <c r="S1712" s="11" t="s">
        <v>67</v>
      </c>
      <c r="T1712" s="143">
        <v>148</v>
      </c>
      <c r="U1712" s="143">
        <v>133</v>
      </c>
      <c r="V1712" s="143">
        <v>164</v>
      </c>
      <c r="W1712" s="143">
        <v>94</v>
      </c>
      <c r="X1712" s="143">
        <v>94</v>
      </c>
      <c r="Y1712" s="143">
        <v>94</v>
      </c>
      <c r="Z1712" s="143">
        <v>94</v>
      </c>
      <c r="AA1712" s="143">
        <v>94</v>
      </c>
      <c r="AB1712" s="143">
        <v>94</v>
      </c>
      <c r="AC1712" s="143">
        <v>94</v>
      </c>
      <c r="AD1712" s="143">
        <v>94</v>
      </c>
      <c r="AE1712" s="143">
        <v>94</v>
      </c>
      <c r="AG1712" s="146">
        <v>148</v>
      </c>
      <c r="AH1712" s="150">
        <v>133</v>
      </c>
      <c r="AI1712" s="150">
        <v>164</v>
      </c>
      <c r="AJ1712" s="82">
        <v>191</v>
      </c>
      <c r="AK1712" s="71"/>
      <c r="AL1712" s="71"/>
      <c r="AM1712" s="71"/>
      <c r="AN1712" s="71"/>
      <c r="AO1712" s="71"/>
      <c r="AP1712" s="71"/>
      <c r="AQ1712" s="71"/>
      <c r="AR1712" s="71"/>
      <c r="AS1712" s="94">
        <f t="shared" ca="1" si="1980"/>
        <v>633</v>
      </c>
      <c r="AT1712" s="95">
        <f t="shared" si="1981"/>
        <v>553.1</v>
      </c>
      <c r="AU1712" s="97">
        <f t="shared" si="1982"/>
        <v>636</v>
      </c>
      <c r="AW1712" s="51">
        <f t="shared" si="1983"/>
        <v>1</v>
      </c>
      <c r="AX1712" s="51">
        <f t="shared" si="1984"/>
        <v>1</v>
      </c>
      <c r="AY1712" s="51">
        <f t="shared" si="1985"/>
        <v>1</v>
      </c>
      <c r="AZ1712" s="51">
        <f t="shared" si="1986"/>
        <v>2.0319148936170213</v>
      </c>
      <c r="BA1712" s="51"/>
      <c r="BB1712" s="51"/>
      <c r="BC1712" s="51"/>
      <c r="BD1712" s="51"/>
      <c r="BE1712" s="51"/>
      <c r="BF1712" s="51"/>
      <c r="BG1712" s="51"/>
      <c r="BH1712" s="51"/>
      <c r="BI1712" s="65" cm="1">
        <f t="array" ref="BI1712">IFERROR(INDEX(AW1712:BH1712,1,MATCH(2,1/(AW1712:BH1712&lt;&gt;""))),"")</f>
        <v>2.0319148936170213</v>
      </c>
      <c r="BJ1712" s="68" cm="1">
        <f t="array" ref="BJ1712">IF(BM1712 = "", "",IFERROR(INDEX(AW1712:BH1712,1,MATCH(2,1/(AW1712:BH1712&lt;&gt;""),1)-1),""))</f>
        <v>1</v>
      </c>
      <c r="BK1712" s="58">
        <f>IF((IF(AW1712&gt;=115%,115%,AW1712) + IF(AX1712&gt;=115%,115%,AX1712) + IF(AY1712&gt;=115%,115%,AY1712) + (IF(AZ1712&gt;=115%,115%,AZ1712) + IF(BA1712&gt;=115%,115%,BA1712) + IF(BB1712&gt;=115%,115%,BB1712) + IF(BC1712&gt;=115%,115%,BC1712) + IF(BD1712&gt;=115%,115%,BD1712) + IF(BE1712&gt;=115%,115%,BE1712) + IF(BF1712&gt;=115%,115%,BF1712) + IF(BG1712&gt;=115%,115%,BG1712) + IF(BH1712&gt;=115%,115%,BH1712)))/_xlfn.XLOOKUP(F1712,Apuração!A:A,Apuração!B:B)&gt;=1.15,1.15,((IF(AZ1712&gt;=115%,115%,AZ1712) + IF(AX1712&gt;=115%,115%,AX1712) + IF(AY1712&gt;=115%,115%,AY1712) + (IF(AW1712&gt;=115%,115%,AW1712) + IF(BA1712&gt;=115%,115%,BA1712) + IF(BB1712&gt;=115%,115%,BB1712) + IF(BC1712&gt;=115%,115%,BC1712) + IF(BD1712&gt;=115%,115%,BD1712) + IF(BE1712&gt;=115%,115%,BE1712) + IF(BF1712&gt;=115%,115%,BF1712) + IF(BG1712&gt;=115%,115%,BG1712) + IF(BH1712&gt;=115%,115%,BH1712)))/_xlfn.XLOOKUP(F1712,Apuração!A:A,Apuração!B:B)))</f>
        <v>0.34583333333333338</v>
      </c>
      <c r="BL1712" s="58" cm="1">
        <f t="array" aca="1" ref="BL1712" ca="1">IF(SUM(IFERROR(IF(INDEX(AW1712:INDEX(AW1712:BH1712, MATCH(2, 1/(AW1712:BH1712&lt;&gt;""), 1)-1), ROW(INDIRECT("1:" &amp; MATCH(2, 1/(AW1712:BH1712&lt;&gt;""), 1)-1))) &gt;= 115%, 115%, INDEX(AW1712:INDEX(AW1712:BH1712, MATCH(2, 1/(AW1712:BH1712&lt;&gt;""), 1)-1), ROW(INDIRECT("1:" &amp; MATCH(2, 1/(AW1712:BH1712&lt;&gt;""), 1)-1)))), 0))/_xlfn.XLOOKUP(F1712,Apuração!A:A,Apuração!B:B)&gt;=1.15,1.15,SUM(IFERROR(IF(INDEX(AW1712:INDEX(AW1712:BH1712, MATCH(2, 1/(AW1712:BH1712&lt;&gt;""), 1)-1), ROW(INDIRECT("1:" &amp; MATCH(2, 1/(AW1712:BH1712&lt;&gt;""), 1)-1))) &gt;= 115%, 115%, INDEX(AW1712:INDEX(AW1712:BH1712, MATCH(2, 1/(AW1712:BH1712&lt;&gt;""), 1)-1), ROW(INDIRECT("1:" &amp; MATCH(2, 1/(AW1712:BH1712&lt;&gt;""), 1)-1)))), 0))/_xlfn.XLOOKUP(F1712,Apuração!A:A,Apuração!B:B))</f>
        <v>0.25</v>
      </c>
      <c r="BM1712" s="55" cm="1">
        <f t="array" ref="BM1712">IFERROR(
   INDEX($AW$1:$BH$1,
      _xlfn.AGGREGATE(14, 6, COLUMN($AW$1:$BH$1)/(AW1712:BH1712&lt;&gt;""), 2) - COLUMN($AW$1) + 1
   ),
"")</f>
        <v>46082</v>
      </c>
      <c r="BN1712" s="55" cm="1">
        <f t="array" ref="BN1712">IFERROR(INDEX($AW$1:$BH$1,1,MATCH(2,1/(AW1712:BH1712&lt;&gt;""))),"")</f>
        <v>46113</v>
      </c>
      <c r="BO1712" s="53">
        <f ca="1">IFERROR(_xlfn.XLOOKUP(F1712,Apuração!A:A,Apuração!C:C)/_xlfn.XLOOKUP(F1712,Apuração!A:A,Apuração!B:B),0)</f>
        <v>0.41666666666666669</v>
      </c>
      <c r="BP1712" s="53">
        <f ca="1">IFERROR(_xlfn.XLOOKUP(F1712,Apuração!A:A,Apuração!D:D)/_xlfn.XLOOKUP(F1712,Apuração!A:A,Apuração!B:B),0)</f>
        <v>0.33333333333333331</v>
      </c>
      <c r="BQ1712" s="53">
        <f ca="1">IF(BK1712&gt;=BO1712,0,_xlfn.XLOOKUP(F1712,Apuração!A:A,Apuração!B:B)*(BO1712 + (1/_xlfn.XLOOKUP(F1712,Apuração!A:A,Apuração!B:B)) - BK1712))</f>
        <v>1.8499999999999994</v>
      </c>
      <c r="BR1712" s="85">
        <f t="shared" ca="1" si="1987"/>
        <v>173.89999999999995</v>
      </c>
      <c r="BS1712" s="53">
        <f ca="1">IFERROR((_xlfn.XLOOKUP(F1712,Apuração!A:A,Apuração!C:C)+1)/_xlfn.XLOOKUP(F1712,Apuração!A:A,Apuração!B:B),0)</f>
        <v>0.5</v>
      </c>
    </row>
    <row r="1713" spans="1:71" ht="25.95" hidden="1" customHeight="1" x14ac:dyDescent="0.3">
      <c r="A1713" s="23" t="s">
        <v>134</v>
      </c>
      <c r="B1713" s="4" t="s">
        <v>135</v>
      </c>
      <c r="C1713" s="5" t="s">
        <v>214</v>
      </c>
      <c r="D1713" s="5" t="s">
        <v>212</v>
      </c>
      <c r="E1713" s="4" t="str" cm="1">
        <f t="array" ref="E1713">_xlfn.IFS(
F1713 = "A partir de Abril", "Aguardando Execução na Distribuidora",
A1713 = "CAPACITAÇÃO", "Em execução no Corporativo",
TRUE, "Em Execução na Distribuidora"
)</f>
        <v>Em Execução na Distribuidora</v>
      </c>
      <c r="F1713" s="4" t="str" cm="1">
        <f t="array" ref="F1713">_xlfn.IFS(
AG1713 &lt;&gt; "", "Jan-Dez/26",
AH1713 &lt;&gt; "", "Fev-Dez/26",
AI1713 &lt;&gt; "", "Mar-Dez/26", AJ1713 &lt;&gt; "", "Abr-Dez/26",
TRUE, "A partir de Junho"
)</f>
        <v>Jan-Dez/26</v>
      </c>
      <c r="G1713" s="4" t="s">
        <v>37</v>
      </c>
      <c r="H1713" s="7" t="s">
        <v>38</v>
      </c>
      <c r="I1713" s="8" t="s">
        <v>136</v>
      </c>
      <c r="J1713" s="8" t="str" cm="1">
        <f t="array" aca="1" ref="J1713" ca="1">_xlfn.LET(
  _xlpm.actual_value_month, INDEX(T1713:AE1713, MATCH(DATE(YEAR(TODAY()), MONTH(TODAY()), 1), $T$1:$AE$1, 0)),
  IF(_xlpm.actual_value_month &lt;&gt; "",_xlpm.actual_value_month &amp; " equipes mensais", "")
)</f>
        <v>136 equipes mensais</v>
      </c>
      <c r="K1713" s="8" t="str" cm="1">
        <f t="array" ref="K1713">_xlfn.LET(
    _xlpm.sum_month, SUM(T1713:AE1713),
    IF(_xlpm.sum_month = 0, "", _xlpm.sum_month &amp; " alcançadas no ano")
)</f>
        <v>1801 alcançadas no ano</v>
      </c>
      <c r="L1713" s="9" t="s">
        <v>137</v>
      </c>
      <c r="M1713" s="24" t="s">
        <v>138</v>
      </c>
      <c r="N1713" s="5" t="s">
        <v>42</v>
      </c>
      <c r="O1713" s="5" t="s">
        <v>43</v>
      </c>
      <c r="P1713" s="10" t="s">
        <v>44</v>
      </c>
      <c r="Q1713" s="10" t="s">
        <v>44</v>
      </c>
      <c r="R1713" s="11" t="s">
        <v>66</v>
      </c>
      <c r="S1713" s="11" t="s">
        <v>67</v>
      </c>
      <c r="T1713" s="143">
        <v>174</v>
      </c>
      <c r="U1713" s="143">
        <v>195</v>
      </c>
      <c r="V1713" s="143">
        <v>208</v>
      </c>
      <c r="W1713" s="143">
        <v>136</v>
      </c>
      <c r="X1713" s="143">
        <v>136</v>
      </c>
      <c r="Y1713" s="143">
        <v>136</v>
      </c>
      <c r="Z1713" s="143">
        <v>136</v>
      </c>
      <c r="AA1713" s="143">
        <v>136</v>
      </c>
      <c r="AB1713" s="143">
        <v>136</v>
      </c>
      <c r="AC1713" s="143">
        <v>136</v>
      </c>
      <c r="AD1713" s="143">
        <v>136</v>
      </c>
      <c r="AE1713" s="143">
        <v>136</v>
      </c>
      <c r="AG1713" s="146">
        <v>174</v>
      </c>
      <c r="AH1713" s="150">
        <v>195</v>
      </c>
      <c r="AI1713" s="150">
        <v>208</v>
      </c>
      <c r="AJ1713" s="82">
        <v>214</v>
      </c>
      <c r="AK1713" s="71"/>
      <c r="AL1713" s="71"/>
      <c r="AM1713" s="71"/>
      <c r="AN1713" s="71"/>
      <c r="AO1713" s="71"/>
      <c r="AP1713" s="71"/>
      <c r="AQ1713" s="71"/>
      <c r="AR1713" s="71"/>
      <c r="AS1713" s="94">
        <f t="shared" ca="1" si="1980"/>
        <v>849</v>
      </c>
      <c r="AT1713" s="95">
        <f t="shared" si="1981"/>
        <v>733.4</v>
      </c>
      <c r="AU1713" s="97">
        <f t="shared" si="1982"/>
        <v>791</v>
      </c>
      <c r="AW1713" s="51">
        <f t="shared" si="1983"/>
        <v>1</v>
      </c>
      <c r="AX1713" s="51">
        <f t="shared" si="1984"/>
        <v>1</v>
      </c>
      <c r="AY1713" s="51">
        <f t="shared" si="1985"/>
        <v>1</v>
      </c>
      <c r="AZ1713" s="51">
        <f t="shared" si="1986"/>
        <v>1.5735294117647058</v>
      </c>
      <c r="BA1713" s="51"/>
      <c r="BB1713" s="51"/>
      <c r="BC1713" s="51"/>
      <c r="BD1713" s="51"/>
      <c r="BE1713" s="51"/>
      <c r="BF1713" s="51"/>
      <c r="BG1713" s="51"/>
      <c r="BH1713" s="51"/>
      <c r="BI1713" s="65" cm="1">
        <f t="array" ref="BI1713">IFERROR(INDEX(AW1713:BH1713,1,MATCH(2,1/(AW1713:BH1713&lt;&gt;""))),"")</f>
        <v>1.5735294117647058</v>
      </c>
      <c r="BJ1713" s="68" cm="1">
        <f t="array" ref="BJ1713">IF(BM1713 = "", "",IFERROR(INDEX(AW1713:BH1713,1,MATCH(2,1/(AW1713:BH1713&lt;&gt;""),1)-1),""))</f>
        <v>1</v>
      </c>
      <c r="BK1713" s="58">
        <f>IF((IF(AW1713&gt;=115%,115%,AW1713) + IF(AX1713&gt;=115%,115%,AX1713) + IF(AY1713&gt;=115%,115%,AY1713) + (IF(AZ1713&gt;=115%,115%,AZ1713) + IF(BA1713&gt;=115%,115%,BA1713) + IF(BB1713&gt;=115%,115%,BB1713) + IF(BC1713&gt;=115%,115%,BC1713) + IF(BD1713&gt;=115%,115%,BD1713) + IF(BE1713&gt;=115%,115%,BE1713) + IF(BF1713&gt;=115%,115%,BF1713) + IF(BG1713&gt;=115%,115%,BG1713) + IF(BH1713&gt;=115%,115%,BH1713)))/_xlfn.XLOOKUP(F1713,Apuração!A:A,Apuração!B:B)&gt;=1.15,1.15,((IF(AZ1713&gt;=115%,115%,AZ1713) + IF(AX1713&gt;=115%,115%,AX1713) + IF(AY1713&gt;=115%,115%,AY1713) + (IF(AW1713&gt;=115%,115%,AW1713) + IF(BA1713&gt;=115%,115%,BA1713) + IF(BB1713&gt;=115%,115%,BB1713) + IF(BC1713&gt;=115%,115%,BC1713) + IF(BD1713&gt;=115%,115%,BD1713) + IF(BE1713&gt;=115%,115%,BE1713) + IF(BF1713&gt;=115%,115%,BF1713) + IF(BG1713&gt;=115%,115%,BG1713) + IF(BH1713&gt;=115%,115%,BH1713)))/_xlfn.XLOOKUP(F1713,Apuração!A:A,Apuração!B:B)))</f>
        <v>0.34583333333333338</v>
      </c>
      <c r="BL1713" s="58" cm="1">
        <f t="array" aca="1" ref="BL1713" ca="1">IF(SUM(IFERROR(IF(INDEX(AW1713:INDEX(AW1713:BH1713, MATCH(2, 1/(AW1713:BH1713&lt;&gt;""), 1)-1), ROW(INDIRECT("1:" &amp; MATCH(2, 1/(AW1713:BH1713&lt;&gt;""), 1)-1))) &gt;= 115%, 115%, INDEX(AW1713:INDEX(AW1713:BH1713, MATCH(2, 1/(AW1713:BH1713&lt;&gt;""), 1)-1), ROW(INDIRECT("1:" &amp; MATCH(2, 1/(AW1713:BH1713&lt;&gt;""), 1)-1)))), 0))/_xlfn.XLOOKUP(F1713,Apuração!A:A,Apuração!B:B)&gt;=1.15,1.15,SUM(IFERROR(IF(INDEX(AW1713:INDEX(AW1713:BH1713, MATCH(2, 1/(AW1713:BH1713&lt;&gt;""), 1)-1), ROW(INDIRECT("1:" &amp; MATCH(2, 1/(AW1713:BH1713&lt;&gt;""), 1)-1))) &gt;= 115%, 115%, INDEX(AW1713:INDEX(AW1713:BH1713, MATCH(2, 1/(AW1713:BH1713&lt;&gt;""), 1)-1), ROW(INDIRECT("1:" &amp; MATCH(2, 1/(AW1713:BH1713&lt;&gt;""), 1)-1)))), 0))/_xlfn.XLOOKUP(F1713,Apuração!A:A,Apuração!B:B))</f>
        <v>0.25</v>
      </c>
      <c r="BM1713" s="55" cm="1">
        <f t="array" ref="BM1713">IFERROR(
   INDEX($AW$1:$BH$1,
      _xlfn.AGGREGATE(14, 6, COLUMN($AW$1:$BH$1)/(AW1713:BH1713&lt;&gt;""), 2) - COLUMN($AW$1) + 1
   ),
"")</f>
        <v>46082</v>
      </c>
      <c r="BN1713" s="55" cm="1">
        <f t="array" ref="BN1713">IFERROR(INDEX($AW$1:$BH$1,1,MATCH(2,1/(AW1713:BH1713&lt;&gt;""))),"")</f>
        <v>46113</v>
      </c>
      <c r="BO1713" s="53">
        <f ca="1">IFERROR(_xlfn.XLOOKUP(F1713,Apuração!A:A,Apuração!C:C)/_xlfn.XLOOKUP(F1713,Apuração!A:A,Apuração!B:B),0)</f>
        <v>0.41666666666666669</v>
      </c>
      <c r="BP1713" s="53">
        <f ca="1">IFERROR(_xlfn.XLOOKUP(F1713,Apuração!A:A,Apuração!D:D)/_xlfn.XLOOKUP(F1713,Apuração!A:A,Apuração!B:B),0)</f>
        <v>0.33333333333333331</v>
      </c>
      <c r="BQ1713" s="53">
        <f ca="1">IF(BK1713&gt;=BO1713,0,_xlfn.XLOOKUP(F1713,Apuração!A:A,Apuração!B:B)*(BO1713 + (1/_xlfn.XLOOKUP(F1713,Apuração!A:A,Apuração!B:B)) - BK1713))</f>
        <v>1.8499999999999994</v>
      </c>
      <c r="BR1713" s="85">
        <f t="shared" ca="1" si="1987"/>
        <v>251.59999999999991</v>
      </c>
      <c r="BS1713" s="53">
        <f ca="1">IFERROR((_xlfn.XLOOKUP(F1713,Apuração!A:A,Apuração!C:C)+1)/_xlfn.XLOOKUP(F1713,Apuração!A:A,Apuração!B:B),0)</f>
        <v>0.5</v>
      </c>
    </row>
    <row r="1714" spans="1:71" ht="25.95" hidden="1" customHeight="1" x14ac:dyDescent="0.3">
      <c r="A1714" s="23" t="s">
        <v>134</v>
      </c>
      <c r="B1714" s="4" t="s">
        <v>135</v>
      </c>
      <c r="C1714" s="5" t="s">
        <v>214</v>
      </c>
      <c r="D1714" s="5" t="s">
        <v>48</v>
      </c>
      <c r="E1714" s="4" t="str" cm="1">
        <f t="array" ref="E1714">_xlfn.IFS(
F1714 = "A partir de Abril", "Aguardando Execução na Distribuidora",
A1714 = "CAPACITAÇÃO", "Em execução no Corporativo",
TRUE, "Em Execução na Distribuidora"
)</f>
        <v>Em Execução na Distribuidora</v>
      </c>
      <c r="F1714" s="4" t="str" cm="1">
        <f t="array" ref="F1714">_xlfn.IFS(
AG1714 &lt;&gt; "", "Jan-Dez/26",
AH1714 &lt;&gt; "", "Fev-Dez/26",
AI1714 &lt;&gt; "", "Mar-Dez/26", AJ1714 &lt;&gt; "", "Abr-Dez/26",
TRUE, "A partir de Junho"
)</f>
        <v>Jan-Dez/26</v>
      </c>
      <c r="G1714" s="4" t="s">
        <v>37</v>
      </c>
      <c r="H1714" s="7" t="s">
        <v>38</v>
      </c>
      <c r="I1714" s="8" t="s">
        <v>136</v>
      </c>
      <c r="J1714" s="8" t="str" cm="1">
        <f t="array" aca="1" ref="J1714" ca="1">_xlfn.LET(
  _xlpm.actual_value_month, INDEX(T1714:AE1714, MATCH(DATE(YEAR(TODAY()), MONTH(TODAY()), 1), $T$1:$AE$1, 0)),
  IF(_xlpm.actual_value_month &lt;&gt; "",_xlpm.actual_value_month &amp; " equipes mensais", "")
)</f>
        <v>67 equipes mensais</v>
      </c>
      <c r="K1714" s="8" t="str" cm="1">
        <f t="array" ref="K1714">_xlfn.LET(
    _xlpm.sum_month, SUM(T1714:AE1714),
    IF(_xlpm.sum_month = 0, "", _xlpm.sum_month &amp; " alcançadas no ano")
)</f>
        <v>935 alcançadas no ano</v>
      </c>
      <c r="L1714" s="9" t="s">
        <v>137</v>
      </c>
      <c r="M1714" s="24" t="s">
        <v>138</v>
      </c>
      <c r="N1714" s="5" t="s">
        <v>42</v>
      </c>
      <c r="O1714" s="5" t="s">
        <v>43</v>
      </c>
      <c r="P1714" s="10" t="s">
        <v>44</v>
      </c>
      <c r="Q1714" s="10" t="s">
        <v>44</v>
      </c>
      <c r="R1714" s="11" t="s">
        <v>66</v>
      </c>
      <c r="S1714" s="11" t="s">
        <v>67</v>
      </c>
      <c r="T1714" s="143">
        <v>104</v>
      </c>
      <c r="U1714" s="143">
        <v>102</v>
      </c>
      <c r="V1714" s="143">
        <v>126</v>
      </c>
      <c r="W1714" s="143">
        <v>67</v>
      </c>
      <c r="X1714" s="143">
        <v>67</v>
      </c>
      <c r="Y1714" s="143">
        <v>67</v>
      </c>
      <c r="Z1714" s="143">
        <v>67</v>
      </c>
      <c r="AA1714" s="143">
        <v>67</v>
      </c>
      <c r="AB1714" s="143">
        <v>67</v>
      </c>
      <c r="AC1714" s="143">
        <v>67</v>
      </c>
      <c r="AD1714" s="143">
        <v>67</v>
      </c>
      <c r="AE1714" s="143">
        <v>67</v>
      </c>
      <c r="AG1714" s="146">
        <v>104</v>
      </c>
      <c r="AH1714" s="150">
        <v>102</v>
      </c>
      <c r="AI1714" s="150">
        <v>126</v>
      </c>
      <c r="AJ1714" s="82">
        <v>132</v>
      </c>
      <c r="AK1714" s="71"/>
      <c r="AL1714" s="71"/>
      <c r="AM1714" s="71"/>
      <c r="AN1714" s="71"/>
      <c r="AO1714" s="71"/>
      <c r="AP1714" s="71"/>
      <c r="AQ1714" s="71"/>
      <c r="AR1714" s="71"/>
      <c r="AS1714" s="94">
        <f t="shared" ca="1" si="1980"/>
        <v>466</v>
      </c>
      <c r="AT1714" s="95">
        <f t="shared" si="1981"/>
        <v>409.05</v>
      </c>
      <c r="AU1714" s="97">
        <f t="shared" si="1982"/>
        <v>464</v>
      </c>
      <c r="AW1714" s="51">
        <f t="shared" si="1983"/>
        <v>1</v>
      </c>
      <c r="AX1714" s="51">
        <f t="shared" si="1984"/>
        <v>1</v>
      </c>
      <c r="AY1714" s="51">
        <f t="shared" si="1985"/>
        <v>1</v>
      </c>
      <c r="AZ1714" s="51">
        <f t="shared" si="1986"/>
        <v>1.9701492537313432</v>
      </c>
      <c r="BA1714" s="51"/>
      <c r="BB1714" s="51"/>
      <c r="BC1714" s="51"/>
      <c r="BD1714" s="51"/>
      <c r="BE1714" s="51"/>
      <c r="BF1714" s="51"/>
      <c r="BG1714" s="51"/>
      <c r="BH1714" s="51"/>
      <c r="BI1714" s="65" cm="1">
        <f t="array" ref="BI1714">IFERROR(INDEX(AW1714:BH1714,1,MATCH(2,1/(AW1714:BH1714&lt;&gt;""))),"")</f>
        <v>1.9701492537313432</v>
      </c>
      <c r="BJ1714" s="68" cm="1">
        <f t="array" ref="BJ1714">IF(BM1714 = "", "",IFERROR(INDEX(AW1714:BH1714,1,MATCH(2,1/(AW1714:BH1714&lt;&gt;""),1)-1),""))</f>
        <v>1</v>
      </c>
      <c r="BK1714" s="58">
        <f>IF((IF(AW1714&gt;=115%,115%,AW1714) + IF(AX1714&gt;=115%,115%,AX1714) + IF(AY1714&gt;=115%,115%,AY1714) + (IF(AZ1714&gt;=115%,115%,AZ1714) + IF(BA1714&gt;=115%,115%,BA1714) + IF(BB1714&gt;=115%,115%,BB1714) + IF(BC1714&gt;=115%,115%,BC1714) + IF(BD1714&gt;=115%,115%,BD1714) + IF(BE1714&gt;=115%,115%,BE1714) + IF(BF1714&gt;=115%,115%,BF1714) + IF(BG1714&gt;=115%,115%,BG1714) + IF(BH1714&gt;=115%,115%,BH1714)))/_xlfn.XLOOKUP(F1714,Apuração!A:A,Apuração!B:B)&gt;=1.15,1.15,((IF(AZ1714&gt;=115%,115%,AZ1714) + IF(AX1714&gt;=115%,115%,AX1714) + IF(AY1714&gt;=115%,115%,AY1714) + (IF(AW1714&gt;=115%,115%,AW1714) + IF(BA1714&gt;=115%,115%,BA1714) + IF(BB1714&gt;=115%,115%,BB1714) + IF(BC1714&gt;=115%,115%,BC1714) + IF(BD1714&gt;=115%,115%,BD1714) + IF(BE1714&gt;=115%,115%,BE1714) + IF(BF1714&gt;=115%,115%,BF1714) + IF(BG1714&gt;=115%,115%,BG1714) + IF(BH1714&gt;=115%,115%,BH1714)))/_xlfn.XLOOKUP(F1714,Apuração!A:A,Apuração!B:B)))</f>
        <v>0.34583333333333338</v>
      </c>
      <c r="BL1714" s="58" cm="1">
        <f t="array" aca="1" ref="BL1714" ca="1">IF(SUM(IFERROR(IF(INDEX(AW1714:INDEX(AW1714:BH1714, MATCH(2, 1/(AW1714:BH1714&lt;&gt;""), 1)-1), ROW(INDIRECT("1:" &amp; MATCH(2, 1/(AW1714:BH1714&lt;&gt;""), 1)-1))) &gt;= 115%, 115%, INDEX(AW1714:INDEX(AW1714:BH1714, MATCH(2, 1/(AW1714:BH1714&lt;&gt;""), 1)-1), ROW(INDIRECT("1:" &amp; MATCH(2, 1/(AW1714:BH1714&lt;&gt;""), 1)-1)))), 0))/_xlfn.XLOOKUP(F1714,Apuração!A:A,Apuração!B:B)&gt;=1.15,1.15,SUM(IFERROR(IF(INDEX(AW1714:INDEX(AW1714:BH1714, MATCH(2, 1/(AW1714:BH1714&lt;&gt;""), 1)-1), ROW(INDIRECT("1:" &amp; MATCH(2, 1/(AW1714:BH1714&lt;&gt;""), 1)-1))) &gt;= 115%, 115%, INDEX(AW1714:INDEX(AW1714:BH1714, MATCH(2, 1/(AW1714:BH1714&lt;&gt;""), 1)-1), ROW(INDIRECT("1:" &amp; MATCH(2, 1/(AW1714:BH1714&lt;&gt;""), 1)-1)))), 0))/_xlfn.XLOOKUP(F1714,Apuração!A:A,Apuração!B:B))</f>
        <v>0.25</v>
      </c>
      <c r="BM1714" s="55" cm="1">
        <f t="array" ref="BM1714">IFERROR(
   INDEX($AW$1:$BH$1,
      _xlfn.AGGREGATE(14, 6, COLUMN($AW$1:$BH$1)/(AW1714:BH1714&lt;&gt;""), 2) - COLUMN($AW$1) + 1
   ),
"")</f>
        <v>46082</v>
      </c>
      <c r="BN1714" s="55" cm="1">
        <f t="array" ref="BN1714">IFERROR(INDEX($AW$1:$BH$1,1,MATCH(2,1/(AW1714:BH1714&lt;&gt;""))),"")</f>
        <v>46113</v>
      </c>
      <c r="BO1714" s="53">
        <f ca="1">IFERROR(_xlfn.XLOOKUP(F1714,Apuração!A:A,Apuração!C:C)/_xlfn.XLOOKUP(F1714,Apuração!A:A,Apuração!B:B),0)</f>
        <v>0.41666666666666669</v>
      </c>
      <c r="BP1714" s="53">
        <f ca="1">IFERROR(_xlfn.XLOOKUP(F1714,Apuração!A:A,Apuração!D:D)/_xlfn.XLOOKUP(F1714,Apuração!A:A,Apuração!B:B),0)</f>
        <v>0.33333333333333331</v>
      </c>
      <c r="BQ1714" s="53">
        <f ca="1">IF(BK1714&gt;=BO1714,0,_xlfn.XLOOKUP(F1714,Apuração!A:A,Apuração!B:B)*(BO1714 + (1/_xlfn.XLOOKUP(F1714,Apuração!A:A,Apuração!B:B)) - BK1714))</f>
        <v>1.8499999999999994</v>
      </c>
      <c r="BR1714" s="85">
        <f t="shared" ca="1" si="1987"/>
        <v>123.94999999999996</v>
      </c>
      <c r="BS1714" s="53">
        <f ca="1">IFERROR((_xlfn.XLOOKUP(F1714,Apuração!A:A,Apuração!C:C)+1)/_xlfn.XLOOKUP(F1714,Apuração!A:A,Apuração!B:B),0)</f>
        <v>0.5</v>
      </c>
    </row>
    <row r="1715" spans="1:71" ht="25.95" hidden="1" customHeight="1" x14ac:dyDescent="0.3">
      <c r="A1715" s="23" t="s">
        <v>134</v>
      </c>
      <c r="B1715" s="4" t="s">
        <v>135</v>
      </c>
      <c r="C1715" s="5" t="s">
        <v>214</v>
      </c>
      <c r="D1715" s="5" t="s">
        <v>213</v>
      </c>
      <c r="E1715" s="4" t="str" cm="1">
        <f t="array" ref="E1715">_xlfn.IFS(
F1715 = "A partir de Abril", "Aguardando Execução na Distribuidora",
A1715 = "CAPACITAÇÃO", "Em execução no Corporativo",
TRUE, "Em Execução na Distribuidora"
)</f>
        <v>Em Execução na Distribuidora</v>
      </c>
      <c r="F1715" s="4" t="str" cm="1">
        <f t="array" ref="F1715">_xlfn.IFS(
AG1715 &lt;&gt; "", "Jan-Dez/26",
AH1715 &lt;&gt; "", "Fev-Dez/26",
AI1715 &lt;&gt; "", "Mar-Dez/26", AJ1715 &lt;&gt; "", "Abr-Dez/26",
TRUE, "A partir de Junho"
)</f>
        <v>Jan-Dez/26</v>
      </c>
      <c r="G1715" s="4" t="s">
        <v>37</v>
      </c>
      <c r="H1715" s="7" t="s">
        <v>38</v>
      </c>
      <c r="I1715" s="8" t="s">
        <v>136</v>
      </c>
      <c r="J1715" s="8" t="str" cm="1">
        <f t="array" aca="1" ref="J1715" ca="1">_xlfn.LET(
  _xlpm.actual_value_month, INDEX(T1715:AE1715, MATCH(DATE(YEAR(TODAY()), MONTH(TODAY()), 1), $T$1:$AE$1, 0)),
  IF(_xlpm.actual_value_month &lt;&gt; "",_xlpm.actual_value_month &amp; " equipes mensais", "")
)</f>
        <v>123 equipes mensais</v>
      </c>
      <c r="K1715" s="8" t="str" cm="1">
        <f t="array" ref="K1715">_xlfn.LET(
    _xlpm.sum_month, SUM(T1715:AE1715),
    IF(_xlpm.sum_month = 0, "", _xlpm.sum_month &amp; " alcançadas no ano")
)</f>
        <v>1531 alcançadas no ano</v>
      </c>
      <c r="L1715" s="9" t="s">
        <v>137</v>
      </c>
      <c r="M1715" s="24" t="s">
        <v>138</v>
      </c>
      <c r="N1715" s="5" t="s">
        <v>42</v>
      </c>
      <c r="O1715" s="5" t="s">
        <v>43</v>
      </c>
      <c r="P1715" s="10" t="s">
        <v>44</v>
      </c>
      <c r="Q1715" s="10" t="s">
        <v>44</v>
      </c>
      <c r="R1715" s="11" t="s">
        <v>66</v>
      </c>
      <c r="S1715" s="11" t="s">
        <v>67</v>
      </c>
      <c r="T1715" s="143">
        <v>135</v>
      </c>
      <c r="U1715" s="143">
        <v>131</v>
      </c>
      <c r="V1715" s="143">
        <v>158</v>
      </c>
      <c r="W1715" s="143">
        <v>123</v>
      </c>
      <c r="X1715" s="143">
        <v>123</v>
      </c>
      <c r="Y1715" s="143">
        <v>123</v>
      </c>
      <c r="Z1715" s="143">
        <v>123</v>
      </c>
      <c r="AA1715" s="143">
        <v>123</v>
      </c>
      <c r="AB1715" s="143">
        <v>123</v>
      </c>
      <c r="AC1715" s="143">
        <v>123</v>
      </c>
      <c r="AD1715" s="143">
        <v>123</v>
      </c>
      <c r="AE1715" s="143">
        <v>123</v>
      </c>
      <c r="AG1715" s="146">
        <v>135</v>
      </c>
      <c r="AH1715" s="150">
        <v>131</v>
      </c>
      <c r="AI1715" s="150">
        <v>158</v>
      </c>
      <c r="AJ1715" s="82">
        <v>195</v>
      </c>
      <c r="AK1715" s="71"/>
      <c r="AL1715" s="71"/>
      <c r="AM1715" s="71"/>
      <c r="AN1715" s="71"/>
      <c r="AO1715" s="71"/>
      <c r="AP1715" s="71"/>
      <c r="AQ1715" s="71"/>
      <c r="AR1715" s="71"/>
      <c r="AS1715" s="94">
        <f t="shared" ca="1" si="1980"/>
        <v>670</v>
      </c>
      <c r="AT1715" s="95">
        <f t="shared" si="1981"/>
        <v>565.45000000000005</v>
      </c>
      <c r="AU1715" s="97">
        <f t="shared" si="1982"/>
        <v>619</v>
      </c>
      <c r="AW1715" s="51">
        <f t="shared" si="1983"/>
        <v>1</v>
      </c>
      <c r="AX1715" s="51">
        <f t="shared" si="1984"/>
        <v>1</v>
      </c>
      <c r="AY1715" s="51">
        <f t="shared" si="1985"/>
        <v>1</v>
      </c>
      <c r="AZ1715" s="51">
        <f t="shared" si="1986"/>
        <v>1.5853658536585367</v>
      </c>
      <c r="BA1715" s="51"/>
      <c r="BB1715" s="51"/>
      <c r="BC1715" s="51"/>
      <c r="BD1715" s="51"/>
      <c r="BE1715" s="51"/>
      <c r="BF1715" s="51"/>
      <c r="BG1715" s="51"/>
      <c r="BH1715" s="51"/>
      <c r="BI1715" s="65" cm="1">
        <f t="array" ref="BI1715">IFERROR(INDEX(AW1715:BH1715,1,MATCH(2,1/(AW1715:BH1715&lt;&gt;""))),"")</f>
        <v>1.5853658536585367</v>
      </c>
      <c r="BJ1715" s="68" cm="1">
        <f t="array" ref="BJ1715">IF(BM1715 = "", "",IFERROR(INDEX(AW1715:BH1715,1,MATCH(2,1/(AW1715:BH1715&lt;&gt;""),1)-1),""))</f>
        <v>1</v>
      </c>
      <c r="BK1715" s="58">
        <f>IF((IF(AW1715&gt;=115%,115%,AW1715) + IF(AX1715&gt;=115%,115%,AX1715) + IF(AY1715&gt;=115%,115%,AY1715) + (IF(AZ1715&gt;=115%,115%,AZ1715) + IF(BA1715&gt;=115%,115%,BA1715) + IF(BB1715&gt;=115%,115%,BB1715) + IF(BC1715&gt;=115%,115%,BC1715) + IF(BD1715&gt;=115%,115%,BD1715) + IF(BE1715&gt;=115%,115%,BE1715) + IF(BF1715&gt;=115%,115%,BF1715) + IF(BG1715&gt;=115%,115%,BG1715) + IF(BH1715&gt;=115%,115%,BH1715)))/_xlfn.XLOOKUP(F1715,Apuração!A:A,Apuração!B:B)&gt;=1.15,1.15,((IF(AZ1715&gt;=115%,115%,AZ1715) + IF(AX1715&gt;=115%,115%,AX1715) + IF(AY1715&gt;=115%,115%,AY1715) + (IF(AW1715&gt;=115%,115%,AW1715) + IF(BA1715&gt;=115%,115%,BA1715) + IF(BB1715&gt;=115%,115%,BB1715) + IF(BC1715&gt;=115%,115%,BC1715) + IF(BD1715&gt;=115%,115%,BD1715) + IF(BE1715&gt;=115%,115%,BE1715) + IF(BF1715&gt;=115%,115%,BF1715) + IF(BG1715&gt;=115%,115%,BG1715) + IF(BH1715&gt;=115%,115%,BH1715)))/_xlfn.XLOOKUP(F1715,Apuração!A:A,Apuração!B:B)))</f>
        <v>0.34583333333333338</v>
      </c>
      <c r="BL1715" s="58" cm="1">
        <f t="array" aca="1" ref="BL1715" ca="1">IF(SUM(IFERROR(IF(INDEX(AW1715:INDEX(AW1715:BH1715, MATCH(2, 1/(AW1715:BH1715&lt;&gt;""), 1)-1), ROW(INDIRECT("1:" &amp; MATCH(2, 1/(AW1715:BH1715&lt;&gt;""), 1)-1))) &gt;= 115%, 115%, INDEX(AW1715:INDEX(AW1715:BH1715, MATCH(2, 1/(AW1715:BH1715&lt;&gt;""), 1)-1), ROW(INDIRECT("1:" &amp; MATCH(2, 1/(AW1715:BH1715&lt;&gt;""), 1)-1)))), 0))/_xlfn.XLOOKUP(F1715,Apuração!A:A,Apuração!B:B)&gt;=1.15,1.15,SUM(IFERROR(IF(INDEX(AW1715:INDEX(AW1715:BH1715, MATCH(2, 1/(AW1715:BH1715&lt;&gt;""), 1)-1), ROW(INDIRECT("1:" &amp; MATCH(2, 1/(AW1715:BH1715&lt;&gt;""), 1)-1))) &gt;= 115%, 115%, INDEX(AW1715:INDEX(AW1715:BH1715, MATCH(2, 1/(AW1715:BH1715&lt;&gt;""), 1)-1), ROW(INDIRECT("1:" &amp; MATCH(2, 1/(AW1715:BH1715&lt;&gt;""), 1)-1)))), 0))/_xlfn.XLOOKUP(F1715,Apuração!A:A,Apuração!B:B))</f>
        <v>0.25</v>
      </c>
      <c r="BM1715" s="55" cm="1">
        <f t="array" ref="BM1715">IFERROR(
   INDEX($AW$1:$BH$1,
      _xlfn.AGGREGATE(14, 6, COLUMN($AW$1:$BH$1)/(AW1715:BH1715&lt;&gt;""), 2) - COLUMN($AW$1) + 1
   ),
"")</f>
        <v>46082</v>
      </c>
      <c r="BN1715" s="55" cm="1">
        <f t="array" ref="BN1715">IFERROR(INDEX($AW$1:$BH$1,1,MATCH(2,1/(AW1715:BH1715&lt;&gt;""))),"")</f>
        <v>46113</v>
      </c>
      <c r="BO1715" s="53">
        <f ca="1">IFERROR(_xlfn.XLOOKUP(F1715,Apuração!A:A,Apuração!C:C)/_xlfn.XLOOKUP(F1715,Apuração!A:A,Apuração!B:B),0)</f>
        <v>0.41666666666666669</v>
      </c>
      <c r="BP1715" s="53">
        <f ca="1">IFERROR(_xlfn.XLOOKUP(F1715,Apuração!A:A,Apuração!D:D)/_xlfn.XLOOKUP(F1715,Apuração!A:A,Apuração!B:B),0)</f>
        <v>0.33333333333333331</v>
      </c>
      <c r="BQ1715" s="53">
        <f ca="1">IF(BK1715&gt;=BO1715,0,_xlfn.XLOOKUP(F1715,Apuração!A:A,Apuração!B:B)*(BO1715 + (1/_xlfn.XLOOKUP(F1715,Apuração!A:A,Apuração!B:B)) - BK1715))</f>
        <v>1.8499999999999994</v>
      </c>
      <c r="BR1715" s="85">
        <f t="shared" ca="1" si="1987"/>
        <v>227.54999999999993</v>
      </c>
      <c r="BS1715" s="53">
        <f ca="1">IFERROR((_xlfn.XLOOKUP(F1715,Apuração!A:A,Apuração!C:C)+1)/_xlfn.XLOOKUP(F1715,Apuração!A:A,Apuração!B:B),0)</f>
        <v>0.5</v>
      </c>
    </row>
    <row r="1716" spans="1:71" ht="25.95" hidden="1" customHeight="1" x14ac:dyDescent="0.3">
      <c r="A1716" s="42" t="s">
        <v>134</v>
      </c>
      <c r="B1716" s="4" t="s">
        <v>135</v>
      </c>
      <c r="C1716" s="5" t="s">
        <v>214</v>
      </c>
      <c r="D1716" s="5" t="s">
        <v>36</v>
      </c>
      <c r="E1716" s="4" t="str" cm="1">
        <f t="array" ref="E1716">_xlfn.IFS(
F1716 = "A partir de Abril", "Aguardando Execução na Distribuidora",
A1716 = "CAPACITAÇÃO", "Em execução no Corporativo",
TRUE, "Em Execução na Distribuidora"
)</f>
        <v>Em Execução na Distribuidora</v>
      </c>
      <c r="F1716" s="4" t="str" cm="1">
        <f t="array" ref="F1716">_xlfn.IFS(
AG1716 &lt;&gt; "", "Jan-Dez/26",
AH1716 &lt;&gt; "", "Fev-Dez/26",
AI1716 &lt;&gt; "", "Mar-Dez/26", AJ1716 &lt;&gt; "", "Abr-Dez/26",
TRUE, "A partir de Junho"
)</f>
        <v>Jan-Dez/26</v>
      </c>
      <c r="G1716" s="4" t="s">
        <v>37</v>
      </c>
      <c r="H1716" s="7" t="s">
        <v>38</v>
      </c>
      <c r="I1716" s="8" t="s">
        <v>139</v>
      </c>
      <c r="J1716" s="8" t="str" cm="1">
        <f t="array" aca="1" ref="J1716" ca="1">_xlfn.LET(
  _xlpm.actual_value_month, INDEX(T1716:AE1716, MATCH(DATE(YEAR(TODAY()), MONTH(TODAY()), 1), $T$1:$AE$1, 0)),
  IF(_xlpm.actual_value_month &lt;&gt; "",_xlpm.actual_value_month &amp; " ações mensais", "")
)</f>
        <v/>
      </c>
      <c r="K1716" s="8" t="str" cm="1">
        <f t="array" ref="K1716">_xlfn.LET(
    _xlpm.sum_month, SUM(T1716:AE1716),
    IF(_xlpm.sum_month = 0, "", _xlpm.sum_month &amp; " mensagens a serem enviadas no ano")
)</f>
        <v/>
      </c>
      <c r="L1716" s="4" t="s">
        <v>140</v>
      </c>
      <c r="M1716" s="24">
        <v>1</v>
      </c>
      <c r="N1716" s="5" t="s">
        <v>51</v>
      </c>
      <c r="O1716" s="5" t="s">
        <v>52</v>
      </c>
      <c r="P1716" s="10" t="s">
        <v>44</v>
      </c>
      <c r="Q1716" s="10" t="s">
        <v>44</v>
      </c>
      <c r="R1716" s="11" t="s">
        <v>44</v>
      </c>
      <c r="S1716" s="11" t="s">
        <v>44</v>
      </c>
      <c r="T1716" s="22"/>
      <c r="U1716" s="22"/>
      <c r="V1716" s="22"/>
      <c r="W1716" s="22"/>
      <c r="X1716" s="22"/>
      <c r="Y1716" s="22"/>
      <c r="Z1716" s="22"/>
      <c r="AA1716" s="22"/>
      <c r="AB1716" s="22"/>
      <c r="AC1716" s="22"/>
      <c r="AD1716" s="22"/>
      <c r="AE1716" s="22"/>
      <c r="AG1716" s="71">
        <v>610</v>
      </c>
      <c r="AH1716" s="71">
        <v>617</v>
      </c>
      <c r="AI1716" s="71">
        <v>694</v>
      </c>
      <c r="AJ1716" s="71">
        <v>823</v>
      </c>
      <c r="AK1716" s="71"/>
      <c r="AL1716" s="71"/>
      <c r="AM1716" s="71"/>
      <c r="AN1716" s="71"/>
      <c r="AO1716" s="71"/>
      <c r="AP1716" s="71"/>
      <c r="AQ1716" s="71"/>
      <c r="AR1716" s="71"/>
      <c r="AS1716" s="94">
        <f ca="1">IF(MONTH(TODAY())=3,SUM(T1716:U1716),IF(MONTH(TODAY())=4,SUM(T1716:V1716),IF(MONTH(TODAY())=5,SUM(T1716:W1716),IF(MONTH(TODAY())=6,SUM(T1716:X1716),IF(MONTH(TODAY())=7,SUM(T1716:Y1716),IF(MONTH(TODAY())=8,SUM(T1716:Z1716),IF(MONTH(TODAY())=9,SUM(T1716:AA1716),IF(MONTH(TODAY())=10,SUM(T1716:AB1716),IF(MONTH(TODAY())=11,SUM(T1716:AC1716),IF(MONTH(TODAY())=12,SUM(T1716:AD1716),IF(MONTH(TODAY())=1,SUM(T1716:AE1716),T1716)))))))))))</f>
        <v>0</v>
      </c>
      <c r="AT1716" s="95">
        <f>SUM(AG1716:AR1716)</f>
        <v>2744</v>
      </c>
      <c r="AU1716" s="97">
        <f>SUM(AG1716:AR1716)</f>
        <v>2744</v>
      </c>
      <c r="AW1716" s="83">
        <f>AG1716</f>
        <v>610</v>
      </c>
      <c r="AX1716" s="83">
        <f>AH1716</f>
        <v>617</v>
      </c>
      <c r="AY1716" s="83">
        <f>AI1716</f>
        <v>694</v>
      </c>
      <c r="AZ1716" s="83">
        <f>AJ1716</f>
        <v>823</v>
      </c>
      <c r="BA1716" s="52"/>
      <c r="BB1716" s="52"/>
      <c r="BC1716" s="52"/>
      <c r="BD1716" s="52"/>
      <c r="BE1716" s="52"/>
      <c r="BF1716" s="52"/>
      <c r="BG1716" s="52"/>
      <c r="BH1716" s="52"/>
      <c r="BI1716" s="68" cm="1">
        <f t="array" ref="BI1716">IFERROR(INDEX(AW1716:BH1716,1,MATCH(2,1/(AW1716:BH1716&lt;&gt;""))),"")</f>
        <v>823</v>
      </c>
      <c r="BJ1716" s="68" cm="1">
        <f t="array" ref="BJ1716">IF(BM1716 = "", "",IFERROR(INDEX(AW1716:BH1716,1,MATCH(2,1/(AW1716:BH1716&lt;&gt;""),1)-1),""))</f>
        <v>694</v>
      </c>
      <c r="BK1716" s="59">
        <f>SUM(AW1716:BH1716)</f>
        <v>2744</v>
      </c>
      <c r="BL1716" s="59" cm="1">
        <f t="array" ref="BL1716">IFERROR(SUM(AW1716:INDEX(AW1716:BH1716, MATCH(2, 1/(AW1716:BH1716&lt;&gt;""), 1) - 1))/_xlfn.XLOOKUP(F1716,Apuração!A:A,Apuração!B:B),0)</f>
        <v>160.08333333333334</v>
      </c>
      <c r="BM1716" s="55" cm="1">
        <f t="array" ref="BM1716">IFERROR(
   INDEX($AW$1:$BH$1,
      _xlfn.AGGREGATE(14, 6, COLUMN($AW$1:$BH$1)/(AW1716:BH1716&lt;&gt;""), 2) - COLUMN($AW$1) + 1
   ),
"")</f>
        <v>46082</v>
      </c>
      <c r="BN1716" s="55" cm="1">
        <f t="array" ref="BN1716">IFERROR(INDEX($AW$1:$BH$1,1,MATCH(2,1/(AW1716:BH1716&lt;&gt;""))),"")</f>
        <v>46113</v>
      </c>
      <c r="BO1716" s="53">
        <f ca="1">IFERROR(_xlfn.XLOOKUP(F1716,Apuração!A:A,Apuração!C:C)/_xlfn.XLOOKUP(F1716,Apuração!A:A,Apuração!B:B),0)</f>
        <v>0.41666666666666669</v>
      </c>
      <c r="BP1716" s="53">
        <f ca="1">IFERROR(_xlfn.XLOOKUP(F1716,Apuração!A:A,Apuração!D:D)/_xlfn.XLOOKUP(F1716,Apuração!A:A,Apuração!B:B),0)</f>
        <v>0.33333333333333331</v>
      </c>
      <c r="BQ1716" s="53">
        <f ca="1">IF(BK1716&gt;=BO1716,0,_xlfn.XLOOKUP(F1716,Apuração!A:A,Apuração!B:B)*(BO1716 + (1/_xlfn.XLOOKUP(F1716,Apuração!A:A,Apuração!B:B)) - BK1716))</f>
        <v>0</v>
      </c>
      <c r="BR1716" s="85">
        <f ca="1">IF(BQ1716=0,0,BQ1716*Z1716)</f>
        <v>0</v>
      </c>
      <c r="BS1716" s="53">
        <f ca="1">IFERROR((_xlfn.XLOOKUP(F1716,Apuração!A:A,Apuração!C:C)+1)/_xlfn.XLOOKUP(F1716,Apuração!A:A,Apuração!B:B),0)</f>
        <v>0.5</v>
      </c>
    </row>
    <row r="1717" spans="1:71" ht="25.95" hidden="1" customHeight="1" x14ac:dyDescent="0.3">
      <c r="A1717" s="42" t="s">
        <v>134</v>
      </c>
      <c r="B1717" s="4" t="s">
        <v>135</v>
      </c>
      <c r="C1717" s="5" t="s">
        <v>214</v>
      </c>
      <c r="D1717" s="5" t="s">
        <v>210</v>
      </c>
      <c r="E1717" s="4" t="str" cm="1">
        <f t="array" ref="E1717">_xlfn.IFS(
F1717 = "A partir de Abril", "Aguardando Execução na Distribuidora",
A1717 = "CAPACITAÇÃO", "Em execução no Corporativo",
TRUE, "Em Execução na Distribuidora"
)</f>
        <v>Em Execução na Distribuidora</v>
      </c>
      <c r="F1717" s="4" t="str" cm="1">
        <f t="array" ref="F1717">_xlfn.IFS(
AG1717 &lt;&gt; "", "Jan-Dez/26",
AH1717 &lt;&gt; "", "Fev-Dez/26",
AI1717 &lt;&gt; "", "Mar-Dez/26", AJ1717 &lt;&gt; "", "Abr-Dez/26",
TRUE, "A partir de Junho"
)</f>
        <v>Jan-Dez/26</v>
      </c>
      <c r="G1717" s="4" t="s">
        <v>37</v>
      </c>
      <c r="H1717" s="7" t="s">
        <v>38</v>
      </c>
      <c r="I1717" s="8" t="s">
        <v>139</v>
      </c>
      <c r="J1717" s="8" t="str" cm="1">
        <f t="array" aca="1" ref="J1717" ca="1">_xlfn.LET(
  _xlpm.actual_value_month, INDEX(T1717:AE1717, MATCH(DATE(YEAR(TODAY()), MONTH(TODAY()), 1), $T$1:$AE$1, 0)),
  IF(_xlpm.actual_value_month &lt;&gt; "",_xlpm.actual_value_month &amp; " ações mensais", "")
)</f>
        <v/>
      </c>
      <c r="K1717" s="8" t="str" cm="1">
        <f t="array" ref="K1717">_xlfn.LET(
    _xlpm.sum_month, SUM(T1717:AE1717),
    IF(_xlpm.sum_month = 0, "", _xlpm.sum_month &amp; " mensagens a serem enviadas no ano")
)</f>
        <v/>
      </c>
      <c r="L1717" s="4" t="s">
        <v>140</v>
      </c>
      <c r="M1717" s="24">
        <v>1</v>
      </c>
      <c r="N1717" s="5" t="s">
        <v>51</v>
      </c>
      <c r="O1717" s="5" t="s">
        <v>52</v>
      </c>
      <c r="P1717" s="10" t="s">
        <v>44</v>
      </c>
      <c r="Q1717" s="10" t="s">
        <v>44</v>
      </c>
      <c r="R1717" s="11" t="s">
        <v>44</v>
      </c>
      <c r="S1717" s="11" t="s">
        <v>44</v>
      </c>
      <c r="T1717" s="22"/>
      <c r="U1717" s="22"/>
      <c r="V1717" s="22"/>
      <c r="W1717" s="22"/>
      <c r="X1717" s="22"/>
      <c r="Y1717" s="22"/>
      <c r="Z1717" s="22"/>
      <c r="AA1717" s="22"/>
      <c r="AB1717" s="22"/>
      <c r="AC1717" s="22"/>
      <c r="AD1717" s="22"/>
      <c r="AE1717" s="22"/>
      <c r="AG1717" s="145">
        <v>70</v>
      </c>
      <c r="AH1717" s="149">
        <v>78</v>
      </c>
      <c r="AI1717" s="149">
        <v>79</v>
      </c>
      <c r="AJ1717" s="82">
        <v>91</v>
      </c>
      <c r="AK1717" s="71"/>
      <c r="AL1717" s="71"/>
      <c r="AM1717" s="71"/>
      <c r="AN1717" s="71"/>
      <c r="AO1717" s="71"/>
      <c r="AP1717" s="71"/>
      <c r="AQ1717" s="71"/>
      <c r="AR1717" s="71"/>
      <c r="AS1717" s="94">
        <f t="shared" ref="AS1717:AS1721" ca="1" si="1988">IF(MONTH(TODAY())=3,SUM(T1717:U1717),IF(MONTH(TODAY())=4,SUM(T1717:V1717),IF(MONTH(TODAY())=5,SUM(T1717:W1717),IF(MONTH(TODAY())=6,SUM(T1717:X1717),IF(MONTH(TODAY())=7,SUM(T1717:Y1717),IF(MONTH(TODAY())=8,SUM(T1717:Z1717),IF(MONTH(TODAY())=9,SUM(T1717:AA1717),IF(MONTH(TODAY())=10,SUM(T1717:AB1717),IF(MONTH(TODAY())=11,SUM(T1717:AC1717),IF(MONTH(TODAY())=12,SUM(T1717:AD1717),IF(MONTH(TODAY())=1,SUM(T1717:AE1717),T1717)))))))))))</f>
        <v>0</v>
      </c>
      <c r="AT1717" s="95">
        <f t="shared" ref="AT1717:AT1721" si="1989">SUM(AG1717:AR1717)</f>
        <v>318</v>
      </c>
      <c r="AU1717" s="97">
        <f t="shared" ref="AU1717:AU1721" si="1990">SUM(AG1717:AR1717)</f>
        <v>318</v>
      </c>
      <c r="AW1717" s="83">
        <f t="shared" ref="AW1717:AW1721" si="1991">AG1717</f>
        <v>70</v>
      </c>
      <c r="AX1717" s="83">
        <f t="shared" ref="AX1717:AX1721" si="1992">AH1717</f>
        <v>78</v>
      </c>
      <c r="AY1717" s="83">
        <f t="shared" ref="AY1717:AY1721" si="1993">AI1717</f>
        <v>79</v>
      </c>
      <c r="AZ1717" s="83">
        <f t="shared" ref="AZ1717:AZ1721" si="1994">AJ1717</f>
        <v>91</v>
      </c>
      <c r="BA1717" s="52"/>
      <c r="BB1717" s="52"/>
      <c r="BC1717" s="52"/>
      <c r="BD1717" s="52"/>
      <c r="BE1717" s="52"/>
      <c r="BF1717" s="52"/>
      <c r="BG1717" s="52"/>
      <c r="BH1717" s="52"/>
      <c r="BI1717" s="68" cm="1">
        <f t="array" ref="BI1717">IFERROR(INDEX(AW1717:BH1717,1,MATCH(2,1/(AW1717:BH1717&lt;&gt;""))),"")</f>
        <v>91</v>
      </c>
      <c r="BJ1717" s="68" cm="1">
        <f t="array" ref="BJ1717">IF(BM1717 = "", "",IFERROR(INDEX(AW1717:BH1717,1,MATCH(2,1/(AW1717:BH1717&lt;&gt;""),1)-1),""))</f>
        <v>79</v>
      </c>
      <c r="BK1717" s="59">
        <f t="shared" ref="BK1717:BK1721" si="1995">SUM(AW1717:BH1717)</f>
        <v>318</v>
      </c>
      <c r="BL1717" s="59" cm="1">
        <f t="array" ref="BL1717">IFERROR(SUM(AW1717:INDEX(AW1717:BH1717, MATCH(2, 1/(AW1717:BH1717&lt;&gt;""), 1) - 1))/_xlfn.XLOOKUP(F1717,Apuração!A:A,Apuração!B:B),0)</f>
        <v>18.916666666666668</v>
      </c>
      <c r="BM1717" s="55" cm="1">
        <f t="array" ref="BM1717">IFERROR(
   INDEX($AW$1:$BH$1,
      _xlfn.AGGREGATE(14, 6, COLUMN($AW$1:$BH$1)/(AW1717:BH1717&lt;&gt;""), 2) - COLUMN($AW$1) + 1
   ),
"")</f>
        <v>46082</v>
      </c>
      <c r="BN1717" s="55" cm="1">
        <f t="array" ref="BN1717">IFERROR(INDEX($AW$1:$BH$1,1,MATCH(2,1/(AW1717:BH1717&lt;&gt;""))),"")</f>
        <v>46113</v>
      </c>
      <c r="BO1717" s="53">
        <f ca="1">IFERROR(_xlfn.XLOOKUP(F1717,Apuração!A:A,Apuração!C:C)/_xlfn.XLOOKUP(F1717,Apuração!A:A,Apuração!B:B),0)</f>
        <v>0.41666666666666669</v>
      </c>
      <c r="BP1717" s="53">
        <f ca="1">IFERROR(_xlfn.XLOOKUP(F1717,Apuração!A:A,Apuração!D:D)/_xlfn.XLOOKUP(F1717,Apuração!A:A,Apuração!B:B),0)</f>
        <v>0.33333333333333331</v>
      </c>
      <c r="BQ1717" s="53">
        <f ca="1">IF(BK1717&gt;=BO1717,0,_xlfn.XLOOKUP(F1717,Apuração!A:A,Apuração!B:B)*(BO1717 + (1/_xlfn.XLOOKUP(F1717,Apuração!A:A,Apuração!B:B)) - BK1717))</f>
        <v>0</v>
      </c>
      <c r="BR1717" s="85">
        <f t="shared" ref="BR1717:BR1721" ca="1" si="1996">IF(BQ1717=0,0,BQ1717*Z1717)</f>
        <v>0</v>
      </c>
      <c r="BS1717" s="53">
        <f ca="1">IFERROR((_xlfn.XLOOKUP(F1717,Apuração!A:A,Apuração!C:C)+1)/_xlfn.XLOOKUP(F1717,Apuração!A:A,Apuração!B:B),0)</f>
        <v>0.5</v>
      </c>
    </row>
    <row r="1718" spans="1:71" ht="25.95" hidden="1" customHeight="1" x14ac:dyDescent="0.3">
      <c r="A1718" s="42" t="s">
        <v>134</v>
      </c>
      <c r="B1718" s="4" t="s">
        <v>135</v>
      </c>
      <c r="C1718" s="5" t="s">
        <v>214</v>
      </c>
      <c r="D1718" s="5" t="s">
        <v>215</v>
      </c>
      <c r="E1718" s="4" t="str" cm="1">
        <f t="array" ref="E1718">_xlfn.IFS(
F1718 = "A partir de Abril", "Aguardando Execução na Distribuidora",
A1718 = "CAPACITAÇÃO", "Em execução no Corporativo",
TRUE, "Em Execução na Distribuidora"
)</f>
        <v>Em Execução na Distribuidora</v>
      </c>
      <c r="F1718" s="4" t="str" cm="1">
        <f t="array" ref="F1718">_xlfn.IFS(
AG1718 &lt;&gt; "", "Jan-Dez/26",
AH1718 &lt;&gt; "", "Fev-Dez/26",
AI1718 &lt;&gt; "", "Mar-Dez/26", AJ1718 &lt;&gt; "", "Abr-Dez/26",
TRUE, "A partir de Junho"
)</f>
        <v>Jan-Dez/26</v>
      </c>
      <c r="G1718" s="4" t="s">
        <v>37</v>
      </c>
      <c r="H1718" s="7" t="s">
        <v>38</v>
      </c>
      <c r="I1718" s="8" t="s">
        <v>139</v>
      </c>
      <c r="J1718" s="8" t="str" cm="1">
        <f t="array" aca="1" ref="J1718" ca="1">_xlfn.LET(
  _xlpm.actual_value_month, INDEX(T1718:AE1718, MATCH(DATE(YEAR(TODAY()), MONTH(TODAY()), 1), $T$1:$AE$1, 0)),
  IF(_xlpm.actual_value_month &lt;&gt; "",_xlpm.actual_value_month &amp; " ações mensais", "")
)</f>
        <v/>
      </c>
      <c r="K1718" s="8" t="str" cm="1">
        <f t="array" ref="K1718">_xlfn.LET(
    _xlpm.sum_month, SUM(T1718:AE1718),
    IF(_xlpm.sum_month = 0, "", _xlpm.sum_month &amp; " mensagens a serem enviadas no ano")
)</f>
        <v/>
      </c>
      <c r="L1718" s="4" t="s">
        <v>140</v>
      </c>
      <c r="M1718" s="24">
        <v>1</v>
      </c>
      <c r="N1718" s="5" t="s">
        <v>51</v>
      </c>
      <c r="O1718" s="5" t="s">
        <v>52</v>
      </c>
      <c r="P1718" s="10" t="s">
        <v>44</v>
      </c>
      <c r="Q1718" s="10" t="s">
        <v>44</v>
      </c>
      <c r="R1718" s="11" t="s">
        <v>44</v>
      </c>
      <c r="S1718" s="11" t="s">
        <v>44</v>
      </c>
      <c r="T1718" s="22"/>
      <c r="U1718" s="22"/>
      <c r="V1718" s="22"/>
      <c r="W1718" s="22"/>
      <c r="X1718" s="22"/>
      <c r="Y1718" s="22"/>
      <c r="Z1718" s="22"/>
      <c r="AA1718" s="22"/>
      <c r="AB1718" s="22"/>
      <c r="AC1718" s="22"/>
      <c r="AD1718" s="22"/>
      <c r="AE1718" s="22"/>
      <c r="AG1718" s="146">
        <v>70</v>
      </c>
      <c r="AH1718" s="150">
        <v>78</v>
      </c>
      <c r="AI1718" s="150">
        <v>79</v>
      </c>
      <c r="AJ1718" s="82">
        <v>191</v>
      </c>
      <c r="AK1718" s="71"/>
      <c r="AL1718" s="71"/>
      <c r="AM1718" s="71"/>
      <c r="AN1718" s="71"/>
      <c r="AO1718" s="71"/>
      <c r="AP1718" s="71"/>
      <c r="AQ1718" s="71"/>
      <c r="AR1718" s="71"/>
      <c r="AS1718" s="94">
        <f t="shared" ca="1" si="1988"/>
        <v>0</v>
      </c>
      <c r="AT1718" s="95">
        <f t="shared" si="1989"/>
        <v>418</v>
      </c>
      <c r="AU1718" s="97">
        <f t="shared" si="1990"/>
        <v>418</v>
      </c>
      <c r="AW1718" s="83">
        <f t="shared" si="1991"/>
        <v>70</v>
      </c>
      <c r="AX1718" s="83">
        <f t="shared" si="1992"/>
        <v>78</v>
      </c>
      <c r="AY1718" s="83">
        <f t="shared" si="1993"/>
        <v>79</v>
      </c>
      <c r="AZ1718" s="83">
        <f t="shared" si="1994"/>
        <v>191</v>
      </c>
      <c r="BA1718" s="52"/>
      <c r="BB1718" s="52"/>
      <c r="BC1718" s="52"/>
      <c r="BD1718" s="52"/>
      <c r="BE1718" s="52"/>
      <c r="BF1718" s="52"/>
      <c r="BG1718" s="52"/>
      <c r="BH1718" s="52"/>
      <c r="BI1718" s="68" cm="1">
        <f t="array" ref="BI1718">IFERROR(INDEX(AW1718:BH1718,1,MATCH(2,1/(AW1718:BH1718&lt;&gt;""))),"")</f>
        <v>191</v>
      </c>
      <c r="BJ1718" s="68" cm="1">
        <f t="array" ref="BJ1718">IF(BM1718 = "", "",IFERROR(INDEX(AW1718:BH1718,1,MATCH(2,1/(AW1718:BH1718&lt;&gt;""),1)-1),""))</f>
        <v>79</v>
      </c>
      <c r="BK1718" s="59">
        <f t="shared" si="1995"/>
        <v>418</v>
      </c>
      <c r="BL1718" s="59" cm="1">
        <f t="array" ref="BL1718">IFERROR(SUM(AW1718:INDEX(AW1718:BH1718, MATCH(2, 1/(AW1718:BH1718&lt;&gt;""), 1) - 1))/_xlfn.XLOOKUP(F1718,Apuração!A:A,Apuração!B:B),0)</f>
        <v>18.916666666666668</v>
      </c>
      <c r="BM1718" s="55" cm="1">
        <f t="array" ref="BM1718">IFERROR(
   INDEX($AW$1:$BH$1,
      _xlfn.AGGREGATE(14, 6, COLUMN($AW$1:$BH$1)/(AW1718:BH1718&lt;&gt;""), 2) - COLUMN($AW$1) + 1
   ),
"")</f>
        <v>46082</v>
      </c>
      <c r="BN1718" s="55" cm="1">
        <f t="array" ref="BN1718">IFERROR(INDEX($AW$1:$BH$1,1,MATCH(2,1/(AW1718:BH1718&lt;&gt;""))),"")</f>
        <v>46113</v>
      </c>
      <c r="BO1718" s="53">
        <f ca="1">IFERROR(_xlfn.XLOOKUP(F1718,Apuração!A:A,Apuração!C:C)/_xlfn.XLOOKUP(F1718,Apuração!A:A,Apuração!B:B),0)</f>
        <v>0.41666666666666669</v>
      </c>
      <c r="BP1718" s="53">
        <f ca="1">IFERROR(_xlfn.XLOOKUP(F1718,Apuração!A:A,Apuração!D:D)/_xlfn.XLOOKUP(F1718,Apuração!A:A,Apuração!B:B),0)</f>
        <v>0.33333333333333331</v>
      </c>
      <c r="BQ1718" s="53">
        <f ca="1">IF(BK1718&gt;=BO1718,0,_xlfn.XLOOKUP(F1718,Apuração!A:A,Apuração!B:B)*(BO1718 + (1/_xlfn.XLOOKUP(F1718,Apuração!A:A,Apuração!B:B)) - BK1718))</f>
        <v>0</v>
      </c>
      <c r="BR1718" s="85">
        <f t="shared" ca="1" si="1996"/>
        <v>0</v>
      </c>
      <c r="BS1718" s="53">
        <f ca="1">IFERROR((_xlfn.XLOOKUP(F1718,Apuração!A:A,Apuração!C:C)+1)/_xlfn.XLOOKUP(F1718,Apuração!A:A,Apuração!B:B),0)</f>
        <v>0.5</v>
      </c>
    </row>
    <row r="1719" spans="1:71" ht="25.95" hidden="1" customHeight="1" x14ac:dyDescent="0.3">
      <c r="A1719" s="42" t="s">
        <v>134</v>
      </c>
      <c r="B1719" s="4" t="s">
        <v>135</v>
      </c>
      <c r="C1719" s="5" t="s">
        <v>214</v>
      </c>
      <c r="D1719" s="5" t="s">
        <v>212</v>
      </c>
      <c r="E1719" s="4" t="str" cm="1">
        <f t="array" ref="E1719">_xlfn.IFS(
F1719 = "A partir de Abril", "Aguardando Execução na Distribuidora",
A1719 = "CAPACITAÇÃO", "Em execução no Corporativo",
TRUE, "Em Execução na Distribuidora"
)</f>
        <v>Em Execução na Distribuidora</v>
      </c>
      <c r="F1719" s="4" t="str" cm="1">
        <f t="array" ref="F1719">_xlfn.IFS(
AG1719 &lt;&gt; "", "Jan-Dez/26",
AH1719 &lt;&gt; "", "Fev-Dez/26",
AI1719 &lt;&gt; "", "Mar-Dez/26", AJ1719 &lt;&gt; "", "Abr-Dez/26",
TRUE, "A partir de Junho"
)</f>
        <v>Jan-Dez/26</v>
      </c>
      <c r="G1719" s="4" t="s">
        <v>37</v>
      </c>
      <c r="H1719" s="7" t="s">
        <v>38</v>
      </c>
      <c r="I1719" s="8" t="s">
        <v>139</v>
      </c>
      <c r="J1719" s="8" t="str" cm="1">
        <f t="array" aca="1" ref="J1719" ca="1">_xlfn.LET(
  _xlpm.actual_value_month, INDEX(T1719:AE1719, MATCH(DATE(YEAR(TODAY()), MONTH(TODAY()), 1), $T$1:$AE$1, 0)),
  IF(_xlpm.actual_value_month &lt;&gt; "",_xlpm.actual_value_month &amp; " ações mensais", "")
)</f>
        <v/>
      </c>
      <c r="K1719" s="8" t="str" cm="1">
        <f t="array" ref="K1719">_xlfn.LET(
    _xlpm.sum_month, SUM(T1719:AE1719),
    IF(_xlpm.sum_month = 0, "", _xlpm.sum_month &amp; " mensagens a serem enviadas no ano")
)</f>
        <v/>
      </c>
      <c r="L1719" s="4" t="s">
        <v>140</v>
      </c>
      <c r="M1719" s="24">
        <v>1</v>
      </c>
      <c r="N1719" s="5" t="s">
        <v>51</v>
      </c>
      <c r="O1719" s="5" t="s">
        <v>52</v>
      </c>
      <c r="P1719" s="10" t="s">
        <v>44</v>
      </c>
      <c r="Q1719" s="10" t="s">
        <v>44</v>
      </c>
      <c r="R1719" s="11" t="s">
        <v>44</v>
      </c>
      <c r="S1719" s="11" t="s">
        <v>44</v>
      </c>
      <c r="T1719" s="22"/>
      <c r="U1719" s="22"/>
      <c r="V1719" s="22"/>
      <c r="W1719" s="22"/>
      <c r="X1719" s="22"/>
      <c r="Y1719" s="22"/>
      <c r="Z1719" s="22"/>
      <c r="AA1719" s="22"/>
      <c r="AB1719" s="22"/>
      <c r="AC1719" s="22"/>
      <c r="AD1719" s="22"/>
      <c r="AE1719" s="22"/>
      <c r="AG1719" s="146">
        <v>148</v>
      </c>
      <c r="AH1719" s="150">
        <v>133</v>
      </c>
      <c r="AI1719" s="150">
        <v>164</v>
      </c>
      <c r="AJ1719" s="82">
        <v>214</v>
      </c>
      <c r="AK1719" s="71"/>
      <c r="AL1719" s="71"/>
      <c r="AM1719" s="71"/>
      <c r="AN1719" s="71"/>
      <c r="AO1719" s="71"/>
      <c r="AP1719" s="71"/>
      <c r="AQ1719" s="71"/>
      <c r="AR1719" s="71"/>
      <c r="AS1719" s="94">
        <f t="shared" ca="1" si="1988"/>
        <v>0</v>
      </c>
      <c r="AT1719" s="95">
        <f t="shared" si="1989"/>
        <v>659</v>
      </c>
      <c r="AU1719" s="97">
        <f t="shared" si="1990"/>
        <v>659</v>
      </c>
      <c r="AW1719" s="83">
        <f t="shared" si="1991"/>
        <v>148</v>
      </c>
      <c r="AX1719" s="83">
        <f t="shared" si="1992"/>
        <v>133</v>
      </c>
      <c r="AY1719" s="83">
        <f t="shared" si="1993"/>
        <v>164</v>
      </c>
      <c r="AZ1719" s="83">
        <f t="shared" si="1994"/>
        <v>214</v>
      </c>
      <c r="BA1719" s="52"/>
      <c r="BB1719" s="52"/>
      <c r="BC1719" s="52"/>
      <c r="BD1719" s="52"/>
      <c r="BE1719" s="52"/>
      <c r="BF1719" s="52"/>
      <c r="BG1719" s="52"/>
      <c r="BH1719" s="52"/>
      <c r="BI1719" s="68" cm="1">
        <f t="array" ref="BI1719">IFERROR(INDEX(AW1719:BH1719,1,MATCH(2,1/(AW1719:BH1719&lt;&gt;""))),"")</f>
        <v>214</v>
      </c>
      <c r="BJ1719" s="68" cm="1">
        <f t="array" ref="BJ1719">IF(BM1719 = "", "",IFERROR(INDEX(AW1719:BH1719,1,MATCH(2,1/(AW1719:BH1719&lt;&gt;""),1)-1),""))</f>
        <v>164</v>
      </c>
      <c r="BK1719" s="59">
        <f t="shared" si="1995"/>
        <v>659</v>
      </c>
      <c r="BL1719" s="59" cm="1">
        <f t="array" ref="BL1719">IFERROR(SUM(AW1719:INDEX(AW1719:BH1719, MATCH(2, 1/(AW1719:BH1719&lt;&gt;""), 1) - 1))/_xlfn.XLOOKUP(F1719,Apuração!A:A,Apuração!B:B),0)</f>
        <v>37.083333333333336</v>
      </c>
      <c r="BM1719" s="55" cm="1">
        <f t="array" ref="BM1719">IFERROR(
   INDEX($AW$1:$BH$1,
      _xlfn.AGGREGATE(14, 6, COLUMN($AW$1:$BH$1)/(AW1719:BH1719&lt;&gt;""), 2) - COLUMN($AW$1) + 1
   ),
"")</f>
        <v>46082</v>
      </c>
      <c r="BN1719" s="55" cm="1">
        <f t="array" ref="BN1719">IFERROR(INDEX($AW$1:$BH$1,1,MATCH(2,1/(AW1719:BH1719&lt;&gt;""))),"")</f>
        <v>46113</v>
      </c>
      <c r="BO1719" s="53">
        <f ca="1">IFERROR(_xlfn.XLOOKUP(F1719,Apuração!A:A,Apuração!C:C)/_xlfn.XLOOKUP(F1719,Apuração!A:A,Apuração!B:B),0)</f>
        <v>0.41666666666666669</v>
      </c>
      <c r="BP1719" s="53">
        <f ca="1">IFERROR(_xlfn.XLOOKUP(F1719,Apuração!A:A,Apuração!D:D)/_xlfn.XLOOKUP(F1719,Apuração!A:A,Apuração!B:B),0)</f>
        <v>0.33333333333333331</v>
      </c>
      <c r="BQ1719" s="53">
        <f ca="1">IF(BK1719&gt;=BO1719,0,_xlfn.XLOOKUP(F1719,Apuração!A:A,Apuração!B:B)*(BO1719 + (1/_xlfn.XLOOKUP(F1719,Apuração!A:A,Apuração!B:B)) - BK1719))</f>
        <v>0</v>
      </c>
      <c r="BR1719" s="85">
        <f t="shared" ca="1" si="1996"/>
        <v>0</v>
      </c>
      <c r="BS1719" s="53">
        <f ca="1">IFERROR((_xlfn.XLOOKUP(F1719,Apuração!A:A,Apuração!C:C)+1)/_xlfn.XLOOKUP(F1719,Apuração!A:A,Apuração!B:B),0)</f>
        <v>0.5</v>
      </c>
    </row>
    <row r="1720" spans="1:71" ht="25.95" hidden="1" customHeight="1" x14ac:dyDescent="0.3">
      <c r="A1720" s="42" t="s">
        <v>134</v>
      </c>
      <c r="B1720" s="4" t="s">
        <v>135</v>
      </c>
      <c r="C1720" s="5" t="s">
        <v>214</v>
      </c>
      <c r="D1720" s="5" t="s">
        <v>48</v>
      </c>
      <c r="E1720" s="4" t="str" cm="1">
        <f t="array" ref="E1720">_xlfn.IFS(
F1720 = "A partir de Abril", "Aguardando Execução na Distribuidora",
A1720 = "CAPACITAÇÃO", "Em execução no Corporativo",
TRUE, "Em Execução na Distribuidora"
)</f>
        <v>Em Execução na Distribuidora</v>
      </c>
      <c r="F1720" s="4" t="str" cm="1">
        <f t="array" ref="F1720">_xlfn.IFS(
AG1720 &lt;&gt; "", "Jan-Dez/26",
AH1720 &lt;&gt; "", "Fev-Dez/26",
AI1720 &lt;&gt; "", "Mar-Dez/26", AJ1720 &lt;&gt; "", "Abr-Dez/26",
TRUE, "A partir de Junho"
)</f>
        <v>Jan-Dez/26</v>
      </c>
      <c r="G1720" s="4" t="s">
        <v>37</v>
      </c>
      <c r="H1720" s="7" t="s">
        <v>38</v>
      </c>
      <c r="I1720" s="8" t="s">
        <v>139</v>
      </c>
      <c r="J1720" s="8" t="str" cm="1">
        <f t="array" aca="1" ref="J1720" ca="1">_xlfn.LET(
  _xlpm.actual_value_month, INDEX(T1720:AE1720, MATCH(DATE(YEAR(TODAY()), MONTH(TODAY()), 1), $T$1:$AE$1, 0)),
  IF(_xlpm.actual_value_month &lt;&gt; "",_xlpm.actual_value_month &amp; " ações mensais", "")
)</f>
        <v/>
      </c>
      <c r="K1720" s="8" t="str" cm="1">
        <f t="array" ref="K1720">_xlfn.LET(
    _xlpm.sum_month, SUM(T1720:AE1720),
    IF(_xlpm.sum_month = 0, "", _xlpm.sum_month &amp; " mensagens a serem enviadas no ano")
)</f>
        <v/>
      </c>
      <c r="L1720" s="4" t="s">
        <v>140</v>
      </c>
      <c r="M1720" s="24">
        <v>1</v>
      </c>
      <c r="N1720" s="5" t="s">
        <v>51</v>
      </c>
      <c r="O1720" s="5" t="s">
        <v>52</v>
      </c>
      <c r="P1720" s="10" t="s">
        <v>44</v>
      </c>
      <c r="Q1720" s="10" t="s">
        <v>44</v>
      </c>
      <c r="R1720" s="11" t="s">
        <v>44</v>
      </c>
      <c r="S1720" s="11" t="s">
        <v>44</v>
      </c>
      <c r="T1720" s="22"/>
      <c r="U1720" s="22"/>
      <c r="V1720" s="22"/>
      <c r="W1720" s="22"/>
      <c r="X1720" s="22"/>
      <c r="Y1720" s="22"/>
      <c r="Z1720" s="22"/>
      <c r="AA1720" s="22"/>
      <c r="AB1720" s="22"/>
      <c r="AC1720" s="22"/>
      <c r="AD1720" s="22"/>
      <c r="AE1720" s="22"/>
      <c r="AG1720" s="146">
        <v>148</v>
      </c>
      <c r="AH1720" s="150">
        <v>133</v>
      </c>
      <c r="AI1720" s="150">
        <v>164</v>
      </c>
      <c r="AJ1720" s="82">
        <v>132</v>
      </c>
      <c r="AK1720" s="71"/>
      <c r="AL1720" s="71"/>
      <c r="AM1720" s="71"/>
      <c r="AN1720" s="71"/>
      <c r="AO1720" s="71"/>
      <c r="AP1720" s="71"/>
      <c r="AQ1720" s="71"/>
      <c r="AR1720" s="71"/>
      <c r="AS1720" s="94">
        <f t="shared" ca="1" si="1988"/>
        <v>0</v>
      </c>
      <c r="AT1720" s="95">
        <f t="shared" si="1989"/>
        <v>577</v>
      </c>
      <c r="AU1720" s="97">
        <f t="shared" si="1990"/>
        <v>577</v>
      </c>
      <c r="AW1720" s="83">
        <f t="shared" si="1991"/>
        <v>148</v>
      </c>
      <c r="AX1720" s="83">
        <f t="shared" si="1992"/>
        <v>133</v>
      </c>
      <c r="AY1720" s="83">
        <f t="shared" si="1993"/>
        <v>164</v>
      </c>
      <c r="AZ1720" s="83">
        <f t="shared" si="1994"/>
        <v>132</v>
      </c>
      <c r="BA1720" s="52"/>
      <c r="BB1720" s="52"/>
      <c r="BC1720" s="52"/>
      <c r="BD1720" s="52"/>
      <c r="BE1720" s="52"/>
      <c r="BF1720" s="52"/>
      <c r="BG1720" s="52"/>
      <c r="BH1720" s="52"/>
      <c r="BI1720" s="68" cm="1">
        <f t="array" ref="BI1720">IFERROR(INDEX(AW1720:BH1720,1,MATCH(2,1/(AW1720:BH1720&lt;&gt;""))),"")</f>
        <v>132</v>
      </c>
      <c r="BJ1720" s="68" cm="1">
        <f t="array" ref="BJ1720">IF(BM1720 = "", "",IFERROR(INDEX(AW1720:BH1720,1,MATCH(2,1/(AW1720:BH1720&lt;&gt;""),1)-1),""))</f>
        <v>164</v>
      </c>
      <c r="BK1720" s="59">
        <f t="shared" si="1995"/>
        <v>577</v>
      </c>
      <c r="BL1720" s="59" cm="1">
        <f t="array" ref="BL1720">IFERROR(SUM(AW1720:INDEX(AW1720:BH1720, MATCH(2, 1/(AW1720:BH1720&lt;&gt;""), 1) - 1))/_xlfn.XLOOKUP(F1720,Apuração!A:A,Apuração!B:B),0)</f>
        <v>37.083333333333336</v>
      </c>
      <c r="BM1720" s="55" cm="1">
        <f t="array" ref="BM1720">IFERROR(
   INDEX($AW$1:$BH$1,
      _xlfn.AGGREGATE(14, 6, COLUMN($AW$1:$BH$1)/(AW1720:BH1720&lt;&gt;""), 2) - COLUMN($AW$1) + 1
   ),
"")</f>
        <v>46082</v>
      </c>
      <c r="BN1720" s="55" cm="1">
        <f t="array" ref="BN1720">IFERROR(INDEX($AW$1:$BH$1,1,MATCH(2,1/(AW1720:BH1720&lt;&gt;""))),"")</f>
        <v>46113</v>
      </c>
      <c r="BO1720" s="53">
        <f ca="1">IFERROR(_xlfn.XLOOKUP(F1720,Apuração!A:A,Apuração!C:C)/_xlfn.XLOOKUP(F1720,Apuração!A:A,Apuração!B:B),0)</f>
        <v>0.41666666666666669</v>
      </c>
      <c r="BP1720" s="53">
        <f ca="1">IFERROR(_xlfn.XLOOKUP(F1720,Apuração!A:A,Apuração!D:D)/_xlfn.XLOOKUP(F1720,Apuração!A:A,Apuração!B:B),0)</f>
        <v>0.33333333333333331</v>
      </c>
      <c r="BQ1720" s="53">
        <f ca="1">IF(BK1720&gt;=BO1720,0,_xlfn.XLOOKUP(F1720,Apuração!A:A,Apuração!B:B)*(BO1720 + (1/_xlfn.XLOOKUP(F1720,Apuração!A:A,Apuração!B:B)) - BK1720))</f>
        <v>0</v>
      </c>
      <c r="BR1720" s="85">
        <f t="shared" ca="1" si="1996"/>
        <v>0</v>
      </c>
      <c r="BS1720" s="53">
        <f ca="1">IFERROR((_xlfn.XLOOKUP(F1720,Apuração!A:A,Apuração!C:C)+1)/_xlfn.XLOOKUP(F1720,Apuração!A:A,Apuração!B:B),0)</f>
        <v>0.5</v>
      </c>
    </row>
    <row r="1721" spans="1:71" ht="25.95" hidden="1" customHeight="1" x14ac:dyDescent="0.3">
      <c r="A1721" s="42" t="s">
        <v>134</v>
      </c>
      <c r="B1721" s="4" t="s">
        <v>135</v>
      </c>
      <c r="C1721" s="5" t="s">
        <v>214</v>
      </c>
      <c r="D1721" s="5" t="s">
        <v>213</v>
      </c>
      <c r="E1721" s="4" t="str" cm="1">
        <f t="array" ref="E1721">_xlfn.IFS(
F1721 = "A partir de Abril", "Aguardando Execução na Distribuidora",
A1721 = "CAPACITAÇÃO", "Em execução no Corporativo",
TRUE, "Em Execução na Distribuidora"
)</f>
        <v>Em Execução na Distribuidora</v>
      </c>
      <c r="F1721" s="4" t="str" cm="1">
        <f t="array" ref="F1721">_xlfn.IFS(
AG1721 &lt;&gt; "", "Jan-Dez/26",
AH1721 &lt;&gt; "", "Fev-Dez/26",
AI1721 &lt;&gt; "", "Mar-Dez/26", AJ1721 &lt;&gt; "", "Abr-Dez/26",
TRUE, "A partir de Junho"
)</f>
        <v>Jan-Dez/26</v>
      </c>
      <c r="G1721" s="4" t="s">
        <v>37</v>
      </c>
      <c r="H1721" s="7" t="s">
        <v>38</v>
      </c>
      <c r="I1721" s="8" t="s">
        <v>139</v>
      </c>
      <c r="J1721" s="8" t="str" cm="1">
        <f t="array" aca="1" ref="J1721" ca="1">_xlfn.LET(
  _xlpm.actual_value_month, INDEX(T1721:AE1721, MATCH(DATE(YEAR(TODAY()), MONTH(TODAY()), 1), $T$1:$AE$1, 0)),
  IF(_xlpm.actual_value_month &lt;&gt; "",_xlpm.actual_value_month &amp; " ações mensais", "")
)</f>
        <v/>
      </c>
      <c r="K1721" s="8" t="str" cm="1">
        <f t="array" ref="K1721">_xlfn.LET(
    _xlpm.sum_month, SUM(T1721:AE1721),
    IF(_xlpm.sum_month = 0, "", _xlpm.sum_month &amp; " mensagens a serem enviadas no ano")
)</f>
        <v/>
      </c>
      <c r="L1721" s="4" t="s">
        <v>140</v>
      </c>
      <c r="M1721" s="24">
        <v>1</v>
      </c>
      <c r="N1721" s="5" t="s">
        <v>51</v>
      </c>
      <c r="O1721" s="5" t="s">
        <v>52</v>
      </c>
      <c r="P1721" s="10" t="s">
        <v>44</v>
      </c>
      <c r="Q1721" s="10" t="s">
        <v>44</v>
      </c>
      <c r="R1721" s="11" t="s">
        <v>44</v>
      </c>
      <c r="S1721" s="11" t="s">
        <v>44</v>
      </c>
      <c r="T1721" s="22"/>
      <c r="U1721" s="22"/>
      <c r="V1721" s="22"/>
      <c r="W1721" s="22"/>
      <c r="X1721" s="22"/>
      <c r="Y1721" s="22"/>
      <c r="Z1721" s="22"/>
      <c r="AA1721" s="22"/>
      <c r="AB1721" s="22"/>
      <c r="AC1721" s="22"/>
      <c r="AD1721" s="22"/>
      <c r="AE1721" s="22"/>
      <c r="AG1721" s="146">
        <v>174</v>
      </c>
      <c r="AH1721" s="150">
        <v>195</v>
      </c>
      <c r="AI1721" s="150">
        <v>208</v>
      </c>
      <c r="AJ1721" s="82">
        <v>195</v>
      </c>
      <c r="AK1721" s="71"/>
      <c r="AL1721" s="71"/>
      <c r="AM1721" s="71"/>
      <c r="AN1721" s="71"/>
      <c r="AO1721" s="71"/>
      <c r="AP1721" s="71"/>
      <c r="AQ1721" s="71"/>
      <c r="AR1721" s="71"/>
      <c r="AS1721" s="94">
        <f t="shared" ca="1" si="1988"/>
        <v>0</v>
      </c>
      <c r="AT1721" s="95">
        <f t="shared" si="1989"/>
        <v>772</v>
      </c>
      <c r="AU1721" s="97">
        <f t="shared" si="1990"/>
        <v>772</v>
      </c>
      <c r="AW1721" s="83">
        <f t="shared" si="1991"/>
        <v>174</v>
      </c>
      <c r="AX1721" s="83">
        <f t="shared" si="1992"/>
        <v>195</v>
      </c>
      <c r="AY1721" s="83">
        <f t="shared" si="1993"/>
        <v>208</v>
      </c>
      <c r="AZ1721" s="83">
        <f t="shared" si="1994"/>
        <v>195</v>
      </c>
      <c r="BA1721" s="52"/>
      <c r="BB1721" s="52"/>
      <c r="BC1721" s="52"/>
      <c r="BD1721" s="52"/>
      <c r="BE1721" s="52"/>
      <c r="BF1721" s="52"/>
      <c r="BG1721" s="52"/>
      <c r="BH1721" s="52"/>
      <c r="BI1721" s="68" cm="1">
        <f t="array" ref="BI1721">IFERROR(INDEX(AW1721:BH1721,1,MATCH(2,1/(AW1721:BH1721&lt;&gt;""))),"")</f>
        <v>195</v>
      </c>
      <c r="BJ1721" s="68" cm="1">
        <f t="array" ref="BJ1721">IF(BM1721 = "", "",IFERROR(INDEX(AW1721:BH1721,1,MATCH(2,1/(AW1721:BH1721&lt;&gt;""),1)-1),""))</f>
        <v>208</v>
      </c>
      <c r="BK1721" s="59">
        <f t="shared" si="1995"/>
        <v>772</v>
      </c>
      <c r="BL1721" s="59" cm="1">
        <f t="array" ref="BL1721">IFERROR(SUM(AW1721:INDEX(AW1721:BH1721, MATCH(2, 1/(AW1721:BH1721&lt;&gt;""), 1) - 1))/_xlfn.XLOOKUP(F1721,Apuração!A:A,Apuração!B:B),0)</f>
        <v>48.083333333333336</v>
      </c>
      <c r="BM1721" s="55" cm="1">
        <f t="array" ref="BM1721">IFERROR(
   INDEX($AW$1:$BH$1,
      _xlfn.AGGREGATE(14, 6, COLUMN($AW$1:$BH$1)/(AW1721:BH1721&lt;&gt;""), 2) - COLUMN($AW$1) + 1
   ),
"")</f>
        <v>46082</v>
      </c>
      <c r="BN1721" s="55" cm="1">
        <f t="array" ref="BN1721">IFERROR(INDEX($AW$1:$BH$1,1,MATCH(2,1/(AW1721:BH1721&lt;&gt;""))),"")</f>
        <v>46113</v>
      </c>
      <c r="BO1721" s="53">
        <f ca="1">IFERROR(_xlfn.XLOOKUP(F1721,Apuração!A:A,Apuração!C:C)/_xlfn.XLOOKUP(F1721,Apuração!A:A,Apuração!B:B),0)</f>
        <v>0.41666666666666669</v>
      </c>
      <c r="BP1721" s="53">
        <f ca="1">IFERROR(_xlfn.XLOOKUP(F1721,Apuração!A:A,Apuração!D:D)/_xlfn.XLOOKUP(F1721,Apuração!A:A,Apuração!B:B),0)</f>
        <v>0.33333333333333331</v>
      </c>
      <c r="BQ1721" s="53">
        <f ca="1">IF(BK1721&gt;=BO1721,0,_xlfn.XLOOKUP(F1721,Apuração!A:A,Apuração!B:B)*(BO1721 + (1/_xlfn.XLOOKUP(F1721,Apuração!A:A,Apuração!B:B)) - BK1721))</f>
        <v>0</v>
      </c>
      <c r="BR1721" s="85">
        <f t="shared" ca="1" si="1996"/>
        <v>0</v>
      </c>
      <c r="BS1721" s="53">
        <f ca="1">IFERROR((_xlfn.XLOOKUP(F1721,Apuração!A:A,Apuração!C:C)+1)/_xlfn.XLOOKUP(F1721,Apuração!A:A,Apuração!B:B),0)</f>
        <v>0.5</v>
      </c>
    </row>
    <row r="1722" spans="1:71" ht="25.95" hidden="1" customHeight="1" x14ac:dyDescent="0.3">
      <c r="A1722" s="42" t="s">
        <v>134</v>
      </c>
      <c r="B1722" s="4" t="s">
        <v>135</v>
      </c>
      <c r="C1722" s="5" t="s">
        <v>214</v>
      </c>
      <c r="D1722" s="5" t="s">
        <v>36</v>
      </c>
      <c r="E1722" s="4" t="str" cm="1">
        <f t="array" ref="E1722">_xlfn.IFS(
F1722 = "A partir de Abril", "Aguardando Execução na Distribuidora",
A1722 = "CAPACITAÇÃO", "Em execução no Corporativo",
TRUE, "Em Execução na Distribuidora"
)</f>
        <v>Em Execução na Distribuidora</v>
      </c>
      <c r="F1722" s="4" t="str" cm="1">
        <f t="array" ref="F1722">_xlfn.IFS(
AG1722 &lt;&gt; "", "Jan-Dez/26",
AH1722 &lt;&gt; "", "Fev-Dez/26",
AI1722 &lt;&gt; "", "Mar-Dez/26", AJ1722 &lt;&gt; "", "Abr-Dez/26",
TRUE, "A partir de Junho"
)</f>
        <v>Jan-Dez/26</v>
      </c>
      <c r="G1722" s="4" t="s">
        <v>37</v>
      </c>
      <c r="H1722" s="7" t="s">
        <v>38</v>
      </c>
      <c r="I1722" s="9" t="s">
        <v>76</v>
      </c>
      <c r="J1722" s="8" t="str" cm="1">
        <f t="array" aca="1" ref="J1722" ca="1">_xlfn.LET(
  _xlpm.actual_value_month, INDEX(T1722:AE1722, MATCH(DATE(YEAR(TODAY()), MONTH(TODAY()), 1), $T$1:$AE$1, 0)),
  IF(_xlpm.actual_value_month &lt;&gt; "",_xlpm.actual_value_month &amp; " ações mensais", "")
)</f>
        <v>447 ações mensais</v>
      </c>
      <c r="K1722" s="8" t="str" cm="1">
        <f t="array" ref="K1722">_xlfn.LET(
    _xlpm.sum_month, SUM(T1722:AE1722),
    IF(_xlpm.sum_month = 0, "", _xlpm.sum_month &amp; " alcançadas no ano")
)</f>
        <v>6028 alcançadas no ano</v>
      </c>
      <c r="L1722" s="9" t="s">
        <v>141</v>
      </c>
      <c r="M1722" s="24">
        <v>1</v>
      </c>
      <c r="N1722" s="5" t="s">
        <v>51</v>
      </c>
      <c r="O1722" s="5" t="s">
        <v>52</v>
      </c>
      <c r="P1722" s="10" t="s">
        <v>44</v>
      </c>
      <c r="Q1722" s="10" t="s">
        <v>44</v>
      </c>
      <c r="R1722" s="10" t="s">
        <v>44</v>
      </c>
      <c r="S1722" s="10" t="s">
        <v>44</v>
      </c>
      <c r="T1722" s="22">
        <v>631</v>
      </c>
      <c r="U1722" s="22">
        <v>639</v>
      </c>
      <c r="V1722" s="22">
        <v>735</v>
      </c>
      <c r="W1722" s="22">
        <v>447</v>
      </c>
      <c r="X1722" s="22">
        <v>447</v>
      </c>
      <c r="Y1722" s="22">
        <v>447</v>
      </c>
      <c r="Z1722" s="22">
        <v>447</v>
      </c>
      <c r="AA1722" s="22">
        <v>447</v>
      </c>
      <c r="AB1722" s="22">
        <v>447</v>
      </c>
      <c r="AC1722" s="22">
        <v>447</v>
      </c>
      <c r="AD1722" s="22">
        <v>447</v>
      </c>
      <c r="AE1722" s="22">
        <v>447</v>
      </c>
      <c r="AG1722" s="71">
        <v>652</v>
      </c>
      <c r="AH1722" s="71">
        <v>661</v>
      </c>
      <c r="AI1722" s="71">
        <v>776</v>
      </c>
      <c r="AJ1722" s="71">
        <v>823</v>
      </c>
      <c r="AK1722" s="71"/>
      <c r="AL1722" s="71"/>
      <c r="AM1722" s="71"/>
      <c r="AN1722" s="71"/>
      <c r="AO1722" s="71"/>
      <c r="AP1722" s="71"/>
      <c r="AQ1722" s="71"/>
      <c r="AR1722" s="71"/>
      <c r="AS1722" s="94">
        <f ca="1">IF(MONTH(TODAY())=3,SUM(T1722:U1722),IF(MONTH(TODAY())=4,SUM(T1722:V1722),IF(MONTH(TODAY())=5,SUM(T1722:W1722),IF(MONTH(TODAY())=6,SUM(T1722:X1722),IF(MONTH(TODAY())=7,SUM(T1722:Y1722),IF(MONTH(TODAY())=8,SUM(T1722:Z1722),IF(MONTH(TODAY())=9,SUM(T1722:AA1722),IF(MONTH(TODAY())=10,SUM(T1722:AB1722),IF(MONTH(TODAY())=11,SUM(T1722:AC1722),IF(MONTH(TODAY())=12,SUM(T1722:AD1722),IF(MONTH(TODAY())=1,SUM(T1722:AE1722),T1722)))))))))))</f>
        <v>2899</v>
      </c>
      <c r="AT1722" s="95">
        <f>SUM(AG1722:AR1722)</f>
        <v>2912</v>
      </c>
      <c r="AU1722" s="97">
        <f>SUM(AG1722:AR1722)</f>
        <v>2912</v>
      </c>
      <c r="AW1722" s="83">
        <f>AG1722</f>
        <v>652</v>
      </c>
      <c r="AX1722" s="83">
        <f>AH1722</f>
        <v>661</v>
      </c>
      <c r="AY1722" s="83">
        <f>AI1722</f>
        <v>776</v>
      </c>
      <c r="AZ1722" s="83">
        <f>AJ1722</f>
        <v>823</v>
      </c>
      <c r="BA1722" s="52"/>
      <c r="BB1722" s="52"/>
      <c r="BC1722" s="52"/>
      <c r="BD1722" s="52"/>
      <c r="BE1722" s="52"/>
      <c r="BF1722" s="52"/>
      <c r="BG1722" s="52"/>
      <c r="BH1722" s="52"/>
      <c r="BI1722" s="68" cm="1">
        <f t="array" ref="BI1722">IFERROR(INDEX(AW1722:BH1722,1,MATCH(2,1/(AW1722:BH1722&lt;&gt;""))),"")</f>
        <v>823</v>
      </c>
      <c r="BJ1722" s="68" cm="1">
        <f t="array" ref="BJ1722">IF(BM1722 = "", "",IFERROR(INDEX(AW1722:BH1722,1,MATCH(2,1/(AW1722:BH1722&lt;&gt;""),1)-1),""))</f>
        <v>776</v>
      </c>
      <c r="BK1722" s="59">
        <f>SUM(AW1722:BH1722)</f>
        <v>2912</v>
      </c>
      <c r="BL1722" s="59" cm="1">
        <f t="array" ref="BL1722">IFERROR(SUM(AW1722:INDEX(AW1722:BH1722, MATCH(2, 1/(AW1722:BH1722&lt;&gt;""), 1) - 1))/_xlfn.XLOOKUP(F1722,Apuração!A:A,Apuração!B:B),0)</f>
        <v>174.08333333333334</v>
      </c>
      <c r="BM1722" s="55" cm="1">
        <f t="array" ref="BM1722">IFERROR(
   INDEX($AW$1:$BH$1,
      _xlfn.AGGREGATE(14, 6, COLUMN($AW$1:$BH$1)/(AW1722:BH1722&lt;&gt;""), 2) - COLUMN($AW$1) + 1
   ),
"")</f>
        <v>46082</v>
      </c>
      <c r="BN1722" s="55" cm="1">
        <f t="array" ref="BN1722">IFERROR(INDEX($AW$1:$BH$1,1,MATCH(2,1/(AW1722:BH1722&lt;&gt;""))),"")</f>
        <v>46113</v>
      </c>
      <c r="BO1722" s="53">
        <f ca="1">IFERROR(_xlfn.XLOOKUP(F1722,Apuração!A:A,Apuração!C:C)/_xlfn.XLOOKUP(F1722,Apuração!A:A,Apuração!B:B),0)</f>
        <v>0.41666666666666669</v>
      </c>
      <c r="BP1722" s="53">
        <f ca="1">IFERROR(_xlfn.XLOOKUP(F1722,Apuração!A:A,Apuração!D:D)/_xlfn.XLOOKUP(F1722,Apuração!A:A,Apuração!B:B),0)</f>
        <v>0.33333333333333331</v>
      </c>
      <c r="BQ1722" s="53">
        <f ca="1">IF(BK1722&gt;=BO1722,0,_xlfn.XLOOKUP(F1722,Apuração!A:A,Apuração!B:B)*(BO1722 + (1/_xlfn.XLOOKUP(F1722,Apuração!A:A,Apuração!B:B)) - BK1722))</f>
        <v>0</v>
      </c>
      <c r="BR1722" s="85">
        <f ca="1">IF(BQ1722=0,0,BQ1722*Z1722)</f>
        <v>0</v>
      </c>
      <c r="BS1722" s="53">
        <f ca="1">IFERROR((_xlfn.XLOOKUP(F1722,Apuração!A:A,Apuração!C:C)+1)/_xlfn.XLOOKUP(F1722,Apuração!A:A,Apuração!B:B),0)</f>
        <v>0.5</v>
      </c>
    </row>
    <row r="1723" spans="1:71" ht="25.95" hidden="1" customHeight="1" x14ac:dyDescent="0.3">
      <c r="A1723" s="42" t="s">
        <v>134</v>
      </c>
      <c r="B1723" s="4" t="s">
        <v>135</v>
      </c>
      <c r="C1723" s="5" t="s">
        <v>214</v>
      </c>
      <c r="D1723" s="5" t="s">
        <v>210</v>
      </c>
      <c r="E1723" s="4" t="str" cm="1">
        <f t="array" ref="E1723">_xlfn.IFS(
F1723 = "A partir de Abril", "Aguardando Execução na Distribuidora",
A1723 = "CAPACITAÇÃO", "Em execução no Corporativo",
TRUE, "Em Execução na Distribuidora"
)</f>
        <v>Em Execução na Distribuidora</v>
      </c>
      <c r="F1723" s="4" t="str" cm="1">
        <f t="array" ref="F1723">_xlfn.IFS(
AG1723 &lt;&gt; "", "Jan-Dez/26",
AH1723 &lt;&gt; "", "Fev-Dez/26",
AI1723 &lt;&gt; "", "Mar-Dez/26", AJ1723 &lt;&gt; "", "Abr-Dez/26",
TRUE, "A partir de Junho"
)</f>
        <v>Jan-Dez/26</v>
      </c>
      <c r="G1723" s="4" t="s">
        <v>37</v>
      </c>
      <c r="H1723" s="7" t="s">
        <v>38</v>
      </c>
      <c r="I1723" s="9" t="s">
        <v>76</v>
      </c>
      <c r="J1723" s="8" t="str" cm="1">
        <f t="array" aca="1" ref="J1723" ca="1">_xlfn.LET(
  _xlpm.actual_value_month, INDEX(T1723:AE1723, MATCH(DATE(YEAR(TODAY()), MONTH(TODAY()), 1), $T$1:$AE$1, 0)),
  IF(_xlpm.actual_value_month &lt;&gt; "",_xlpm.actual_value_month &amp; " ações mensais", "")
)</f>
        <v/>
      </c>
      <c r="K1723" s="8" t="str" cm="1">
        <f t="array" ref="K1723">_xlfn.LET(
    _xlpm.sum_month, SUM(T1723:AE1723),
    IF(_xlpm.sum_month = 0, "", _xlpm.sum_month &amp; " alcançadas no ano")
)</f>
        <v/>
      </c>
      <c r="L1723" s="9" t="s">
        <v>141</v>
      </c>
      <c r="M1723" s="24">
        <v>1</v>
      </c>
      <c r="N1723" s="5" t="s">
        <v>51</v>
      </c>
      <c r="O1723" s="5" t="s">
        <v>52</v>
      </c>
      <c r="P1723" s="10" t="s">
        <v>44</v>
      </c>
      <c r="Q1723" s="10" t="s">
        <v>44</v>
      </c>
      <c r="R1723" s="10" t="s">
        <v>44</v>
      </c>
      <c r="S1723" s="10" t="s">
        <v>44</v>
      </c>
      <c r="T1723" s="22"/>
      <c r="U1723" s="22"/>
      <c r="V1723" s="22"/>
      <c r="W1723" s="22"/>
      <c r="X1723" s="22"/>
      <c r="Y1723" s="22"/>
      <c r="Z1723" s="22"/>
      <c r="AA1723" s="22"/>
      <c r="AB1723" s="22"/>
      <c r="AC1723" s="22"/>
      <c r="AD1723" s="22"/>
      <c r="AE1723" s="22"/>
      <c r="AG1723" s="146">
        <v>174</v>
      </c>
      <c r="AH1723" s="150">
        <v>195</v>
      </c>
      <c r="AI1723" s="150">
        <v>208</v>
      </c>
      <c r="AJ1723" s="82">
        <v>91</v>
      </c>
      <c r="AK1723" s="71"/>
      <c r="AL1723" s="71"/>
      <c r="AM1723" s="71"/>
      <c r="AN1723" s="71"/>
      <c r="AO1723" s="71"/>
      <c r="AP1723" s="71"/>
      <c r="AQ1723" s="71"/>
      <c r="AR1723" s="71"/>
      <c r="AS1723" s="94">
        <f t="shared" ref="AS1723:AS1727" ca="1" si="1997">IF(MONTH(TODAY())=3,SUM(T1723:U1723),IF(MONTH(TODAY())=4,SUM(T1723:V1723),IF(MONTH(TODAY())=5,SUM(T1723:W1723),IF(MONTH(TODAY())=6,SUM(T1723:X1723),IF(MONTH(TODAY())=7,SUM(T1723:Y1723),IF(MONTH(TODAY())=8,SUM(T1723:Z1723),IF(MONTH(TODAY())=9,SUM(T1723:AA1723),IF(MONTH(TODAY())=10,SUM(T1723:AB1723),IF(MONTH(TODAY())=11,SUM(T1723:AC1723),IF(MONTH(TODAY())=12,SUM(T1723:AD1723),IF(MONTH(TODAY())=1,SUM(T1723:AE1723),T1723)))))))))))</f>
        <v>0</v>
      </c>
      <c r="AT1723" s="95">
        <f t="shared" ref="AT1723:AT1727" si="1998">SUM(AG1723:AR1723)</f>
        <v>668</v>
      </c>
      <c r="AU1723" s="97">
        <f t="shared" ref="AU1723:AU1727" si="1999">SUM(AG1723:AR1723)</f>
        <v>668</v>
      </c>
      <c r="AW1723" s="83">
        <f t="shared" ref="AW1723:AW1727" si="2000">AG1723</f>
        <v>174</v>
      </c>
      <c r="AX1723" s="83">
        <f t="shared" ref="AX1723:AX1727" si="2001">AH1723</f>
        <v>195</v>
      </c>
      <c r="AY1723" s="83">
        <f t="shared" ref="AY1723:AY1727" si="2002">AI1723</f>
        <v>208</v>
      </c>
      <c r="AZ1723" s="83">
        <f t="shared" ref="AZ1723:AZ1727" si="2003">AJ1723</f>
        <v>91</v>
      </c>
      <c r="BA1723" s="52"/>
      <c r="BB1723" s="52"/>
      <c r="BC1723" s="52"/>
      <c r="BD1723" s="52"/>
      <c r="BE1723" s="52"/>
      <c r="BF1723" s="52"/>
      <c r="BG1723" s="52"/>
      <c r="BH1723" s="52"/>
      <c r="BI1723" s="68" cm="1">
        <f t="array" ref="BI1723">IFERROR(INDEX(AW1723:BH1723,1,MATCH(2,1/(AW1723:BH1723&lt;&gt;""))),"")</f>
        <v>91</v>
      </c>
      <c r="BJ1723" s="68" cm="1">
        <f t="array" ref="BJ1723">IF(BM1723 = "", "",IFERROR(INDEX(AW1723:BH1723,1,MATCH(2,1/(AW1723:BH1723&lt;&gt;""),1)-1),""))</f>
        <v>208</v>
      </c>
      <c r="BK1723" s="59">
        <f t="shared" ref="BK1723:BK1727" si="2004">SUM(AW1723:BH1723)</f>
        <v>668</v>
      </c>
      <c r="BL1723" s="59" cm="1">
        <f t="array" ref="BL1723">IFERROR(SUM(AW1723:INDEX(AW1723:BH1723, MATCH(2, 1/(AW1723:BH1723&lt;&gt;""), 1) - 1))/_xlfn.XLOOKUP(F1723,Apuração!A:A,Apuração!B:B),0)</f>
        <v>48.083333333333336</v>
      </c>
      <c r="BM1723" s="55" cm="1">
        <f t="array" ref="BM1723">IFERROR(
   INDEX($AW$1:$BH$1,
      _xlfn.AGGREGATE(14, 6, COLUMN($AW$1:$BH$1)/(AW1723:BH1723&lt;&gt;""), 2) - COLUMN($AW$1) + 1
   ),
"")</f>
        <v>46082</v>
      </c>
      <c r="BN1723" s="55" cm="1">
        <f t="array" ref="BN1723">IFERROR(INDEX($AW$1:$BH$1,1,MATCH(2,1/(AW1723:BH1723&lt;&gt;""))),"")</f>
        <v>46113</v>
      </c>
      <c r="BO1723" s="53">
        <f ca="1">IFERROR(_xlfn.XLOOKUP(F1723,Apuração!A:A,Apuração!C:C)/_xlfn.XLOOKUP(F1723,Apuração!A:A,Apuração!B:B),0)</f>
        <v>0.41666666666666669</v>
      </c>
      <c r="BP1723" s="53">
        <f ca="1">IFERROR(_xlfn.XLOOKUP(F1723,Apuração!A:A,Apuração!D:D)/_xlfn.XLOOKUP(F1723,Apuração!A:A,Apuração!B:B),0)</f>
        <v>0.33333333333333331</v>
      </c>
      <c r="BQ1723" s="53">
        <f ca="1">IF(BK1723&gt;=BO1723,0,_xlfn.XLOOKUP(F1723,Apuração!A:A,Apuração!B:B)*(BO1723 + (1/_xlfn.XLOOKUP(F1723,Apuração!A:A,Apuração!B:B)) - BK1723))</f>
        <v>0</v>
      </c>
      <c r="BR1723" s="85">
        <f t="shared" ref="BR1723:BR1727" ca="1" si="2005">IF(BQ1723=0,0,BQ1723*Z1723)</f>
        <v>0</v>
      </c>
      <c r="BS1723" s="53">
        <f ca="1">IFERROR((_xlfn.XLOOKUP(F1723,Apuração!A:A,Apuração!C:C)+1)/_xlfn.XLOOKUP(F1723,Apuração!A:A,Apuração!B:B),0)</f>
        <v>0.5</v>
      </c>
    </row>
    <row r="1724" spans="1:71" ht="25.95" hidden="1" customHeight="1" x14ac:dyDescent="0.3">
      <c r="A1724" s="42" t="s">
        <v>134</v>
      </c>
      <c r="B1724" s="4" t="s">
        <v>135</v>
      </c>
      <c r="C1724" s="5" t="s">
        <v>214</v>
      </c>
      <c r="D1724" s="5" t="s">
        <v>215</v>
      </c>
      <c r="E1724" s="4" t="str" cm="1">
        <f t="array" ref="E1724">_xlfn.IFS(
F1724 = "A partir de Abril", "Aguardando Execução na Distribuidora",
A1724 = "CAPACITAÇÃO", "Em execução no Corporativo",
TRUE, "Em Execução na Distribuidora"
)</f>
        <v>Em Execução na Distribuidora</v>
      </c>
      <c r="F1724" s="4" t="str" cm="1">
        <f t="array" ref="F1724">_xlfn.IFS(
AG1724 &lt;&gt; "", "Jan-Dez/26",
AH1724 &lt;&gt; "", "Fev-Dez/26",
AI1724 &lt;&gt; "", "Mar-Dez/26", AJ1724 &lt;&gt; "", "Abr-Dez/26",
TRUE, "A partir de Junho"
)</f>
        <v>Jan-Dez/26</v>
      </c>
      <c r="G1724" s="4" t="s">
        <v>37</v>
      </c>
      <c r="H1724" s="7" t="s">
        <v>38</v>
      </c>
      <c r="I1724" s="9" t="s">
        <v>76</v>
      </c>
      <c r="J1724" s="8" t="str" cm="1">
        <f t="array" aca="1" ref="J1724" ca="1">_xlfn.LET(
  _xlpm.actual_value_month, INDEX(T1724:AE1724, MATCH(DATE(YEAR(TODAY()), MONTH(TODAY()), 1), $T$1:$AE$1, 0)),
  IF(_xlpm.actual_value_month &lt;&gt; "",_xlpm.actual_value_month &amp; " ações mensais", "")
)</f>
        <v/>
      </c>
      <c r="K1724" s="8" t="str" cm="1">
        <f t="array" ref="K1724">_xlfn.LET(
    _xlpm.sum_month, SUM(T1724:AE1724),
    IF(_xlpm.sum_month = 0, "", _xlpm.sum_month &amp; " alcançadas no ano")
)</f>
        <v/>
      </c>
      <c r="L1724" s="9" t="s">
        <v>141</v>
      </c>
      <c r="M1724" s="24">
        <v>1</v>
      </c>
      <c r="N1724" s="5" t="s">
        <v>51</v>
      </c>
      <c r="O1724" s="5" t="s">
        <v>52</v>
      </c>
      <c r="P1724" s="10" t="s">
        <v>44</v>
      </c>
      <c r="Q1724" s="10" t="s">
        <v>44</v>
      </c>
      <c r="R1724" s="10" t="s">
        <v>44</v>
      </c>
      <c r="S1724" s="10" t="s">
        <v>44</v>
      </c>
      <c r="T1724" s="22"/>
      <c r="U1724" s="22"/>
      <c r="V1724" s="22"/>
      <c r="W1724" s="22"/>
      <c r="X1724" s="22"/>
      <c r="Y1724" s="22"/>
      <c r="Z1724" s="22"/>
      <c r="AA1724" s="22"/>
      <c r="AB1724" s="22"/>
      <c r="AC1724" s="22"/>
      <c r="AD1724" s="22"/>
      <c r="AE1724" s="22"/>
      <c r="AG1724" s="146">
        <v>104</v>
      </c>
      <c r="AH1724" s="150">
        <v>102</v>
      </c>
      <c r="AI1724" s="150">
        <v>126</v>
      </c>
      <c r="AJ1724" s="82">
        <v>191</v>
      </c>
      <c r="AK1724" s="71"/>
      <c r="AL1724" s="71"/>
      <c r="AM1724" s="71"/>
      <c r="AN1724" s="71"/>
      <c r="AO1724" s="71"/>
      <c r="AP1724" s="71"/>
      <c r="AQ1724" s="71"/>
      <c r="AR1724" s="71"/>
      <c r="AS1724" s="94">
        <f t="shared" ca="1" si="1997"/>
        <v>0</v>
      </c>
      <c r="AT1724" s="95">
        <f t="shared" si="1998"/>
        <v>523</v>
      </c>
      <c r="AU1724" s="97">
        <f t="shared" si="1999"/>
        <v>523</v>
      </c>
      <c r="AW1724" s="83">
        <f t="shared" si="2000"/>
        <v>104</v>
      </c>
      <c r="AX1724" s="83">
        <f t="shared" si="2001"/>
        <v>102</v>
      </c>
      <c r="AY1724" s="83">
        <f t="shared" si="2002"/>
        <v>126</v>
      </c>
      <c r="AZ1724" s="83">
        <f t="shared" si="2003"/>
        <v>191</v>
      </c>
      <c r="BA1724" s="52"/>
      <c r="BB1724" s="52"/>
      <c r="BC1724" s="52"/>
      <c r="BD1724" s="52"/>
      <c r="BE1724" s="52"/>
      <c r="BF1724" s="52"/>
      <c r="BG1724" s="52"/>
      <c r="BH1724" s="52"/>
      <c r="BI1724" s="68" cm="1">
        <f t="array" ref="BI1724">IFERROR(INDEX(AW1724:BH1724,1,MATCH(2,1/(AW1724:BH1724&lt;&gt;""))),"")</f>
        <v>191</v>
      </c>
      <c r="BJ1724" s="68" cm="1">
        <f t="array" ref="BJ1724">IF(BM1724 = "", "",IFERROR(INDEX(AW1724:BH1724,1,MATCH(2,1/(AW1724:BH1724&lt;&gt;""),1)-1),""))</f>
        <v>126</v>
      </c>
      <c r="BK1724" s="59">
        <f t="shared" si="2004"/>
        <v>523</v>
      </c>
      <c r="BL1724" s="59" cm="1">
        <f t="array" ref="BL1724">IFERROR(SUM(AW1724:INDEX(AW1724:BH1724, MATCH(2, 1/(AW1724:BH1724&lt;&gt;""), 1) - 1))/_xlfn.XLOOKUP(F1724,Apuração!A:A,Apuração!B:B),0)</f>
        <v>27.666666666666668</v>
      </c>
      <c r="BM1724" s="55" cm="1">
        <f t="array" ref="BM1724">IFERROR(
   INDEX($AW$1:$BH$1,
      _xlfn.AGGREGATE(14, 6, COLUMN($AW$1:$BH$1)/(AW1724:BH1724&lt;&gt;""), 2) - COLUMN($AW$1) + 1
   ),
"")</f>
        <v>46082</v>
      </c>
      <c r="BN1724" s="55" cm="1">
        <f t="array" ref="BN1724">IFERROR(INDEX($AW$1:$BH$1,1,MATCH(2,1/(AW1724:BH1724&lt;&gt;""))),"")</f>
        <v>46113</v>
      </c>
      <c r="BO1724" s="53">
        <f ca="1">IFERROR(_xlfn.XLOOKUP(F1724,Apuração!A:A,Apuração!C:C)/_xlfn.XLOOKUP(F1724,Apuração!A:A,Apuração!B:B),0)</f>
        <v>0.41666666666666669</v>
      </c>
      <c r="BP1724" s="53">
        <f ca="1">IFERROR(_xlfn.XLOOKUP(F1724,Apuração!A:A,Apuração!D:D)/_xlfn.XLOOKUP(F1724,Apuração!A:A,Apuração!B:B),0)</f>
        <v>0.33333333333333331</v>
      </c>
      <c r="BQ1724" s="53">
        <f ca="1">IF(BK1724&gt;=BO1724,0,_xlfn.XLOOKUP(F1724,Apuração!A:A,Apuração!B:B)*(BO1724 + (1/_xlfn.XLOOKUP(F1724,Apuração!A:A,Apuração!B:B)) - BK1724))</f>
        <v>0</v>
      </c>
      <c r="BR1724" s="85">
        <f t="shared" ca="1" si="2005"/>
        <v>0</v>
      </c>
      <c r="BS1724" s="53">
        <f ca="1">IFERROR((_xlfn.XLOOKUP(F1724,Apuração!A:A,Apuração!C:C)+1)/_xlfn.XLOOKUP(F1724,Apuração!A:A,Apuração!B:B),0)</f>
        <v>0.5</v>
      </c>
    </row>
    <row r="1725" spans="1:71" ht="25.95" hidden="1" customHeight="1" x14ac:dyDescent="0.3">
      <c r="A1725" s="42" t="s">
        <v>134</v>
      </c>
      <c r="B1725" s="4" t="s">
        <v>135</v>
      </c>
      <c r="C1725" s="5" t="s">
        <v>214</v>
      </c>
      <c r="D1725" s="5" t="s">
        <v>212</v>
      </c>
      <c r="E1725" s="4" t="str" cm="1">
        <f t="array" ref="E1725">_xlfn.IFS(
F1725 = "A partir de Abril", "Aguardando Execução na Distribuidora",
A1725 = "CAPACITAÇÃO", "Em execução no Corporativo",
TRUE, "Em Execução na Distribuidora"
)</f>
        <v>Em Execução na Distribuidora</v>
      </c>
      <c r="F1725" s="4" t="str" cm="1">
        <f t="array" ref="F1725">_xlfn.IFS(
AG1725 &lt;&gt; "", "Jan-Dez/26",
AH1725 &lt;&gt; "", "Fev-Dez/26",
AI1725 &lt;&gt; "", "Mar-Dez/26", AJ1725 &lt;&gt; "", "Abr-Dez/26",
TRUE, "A partir de Junho"
)</f>
        <v>Jan-Dez/26</v>
      </c>
      <c r="G1725" s="4" t="s">
        <v>37</v>
      </c>
      <c r="H1725" s="7" t="s">
        <v>38</v>
      </c>
      <c r="I1725" s="9" t="s">
        <v>76</v>
      </c>
      <c r="J1725" s="8" t="str" cm="1">
        <f t="array" aca="1" ref="J1725" ca="1">_xlfn.LET(
  _xlpm.actual_value_month, INDEX(T1725:AE1725, MATCH(DATE(YEAR(TODAY()), MONTH(TODAY()), 1), $T$1:$AE$1, 0)),
  IF(_xlpm.actual_value_month &lt;&gt; "",_xlpm.actual_value_month &amp; " ações mensais", "")
)</f>
        <v/>
      </c>
      <c r="K1725" s="8" t="str" cm="1">
        <f t="array" ref="K1725">_xlfn.LET(
    _xlpm.sum_month, SUM(T1725:AE1725),
    IF(_xlpm.sum_month = 0, "", _xlpm.sum_month &amp; " alcançadas no ano")
)</f>
        <v/>
      </c>
      <c r="L1725" s="9" t="s">
        <v>141</v>
      </c>
      <c r="M1725" s="24">
        <v>1</v>
      </c>
      <c r="N1725" s="5" t="s">
        <v>51</v>
      </c>
      <c r="O1725" s="5" t="s">
        <v>52</v>
      </c>
      <c r="P1725" s="10" t="s">
        <v>44</v>
      </c>
      <c r="Q1725" s="10" t="s">
        <v>44</v>
      </c>
      <c r="R1725" s="10" t="s">
        <v>44</v>
      </c>
      <c r="S1725" s="10" t="s">
        <v>44</v>
      </c>
      <c r="T1725" s="22"/>
      <c r="U1725" s="22"/>
      <c r="V1725" s="22"/>
      <c r="W1725" s="22"/>
      <c r="X1725" s="22"/>
      <c r="Y1725" s="22"/>
      <c r="Z1725" s="22"/>
      <c r="AA1725" s="22"/>
      <c r="AB1725" s="22"/>
      <c r="AC1725" s="22"/>
      <c r="AD1725" s="22"/>
      <c r="AE1725" s="22"/>
      <c r="AG1725" s="146">
        <v>104</v>
      </c>
      <c r="AH1725" s="150">
        <v>102</v>
      </c>
      <c r="AI1725" s="150">
        <v>126</v>
      </c>
      <c r="AJ1725" s="82">
        <v>214</v>
      </c>
      <c r="AK1725" s="71"/>
      <c r="AL1725" s="71"/>
      <c r="AM1725" s="71"/>
      <c r="AN1725" s="71"/>
      <c r="AO1725" s="71"/>
      <c r="AP1725" s="71"/>
      <c r="AQ1725" s="71"/>
      <c r="AR1725" s="71"/>
      <c r="AS1725" s="94">
        <f t="shared" ca="1" si="1997"/>
        <v>0</v>
      </c>
      <c r="AT1725" s="95">
        <f t="shared" si="1998"/>
        <v>546</v>
      </c>
      <c r="AU1725" s="97">
        <f t="shared" si="1999"/>
        <v>546</v>
      </c>
      <c r="AW1725" s="83">
        <f t="shared" si="2000"/>
        <v>104</v>
      </c>
      <c r="AX1725" s="83">
        <f t="shared" si="2001"/>
        <v>102</v>
      </c>
      <c r="AY1725" s="83">
        <f t="shared" si="2002"/>
        <v>126</v>
      </c>
      <c r="AZ1725" s="83">
        <f t="shared" si="2003"/>
        <v>214</v>
      </c>
      <c r="BA1725" s="52"/>
      <c r="BB1725" s="52"/>
      <c r="BC1725" s="52"/>
      <c r="BD1725" s="52"/>
      <c r="BE1725" s="52"/>
      <c r="BF1725" s="52"/>
      <c r="BG1725" s="52"/>
      <c r="BH1725" s="52"/>
      <c r="BI1725" s="68" cm="1">
        <f t="array" ref="BI1725">IFERROR(INDEX(AW1725:BH1725,1,MATCH(2,1/(AW1725:BH1725&lt;&gt;""))),"")</f>
        <v>214</v>
      </c>
      <c r="BJ1725" s="68" cm="1">
        <f t="array" ref="BJ1725">IF(BM1725 = "", "",IFERROR(INDEX(AW1725:BH1725,1,MATCH(2,1/(AW1725:BH1725&lt;&gt;""),1)-1),""))</f>
        <v>126</v>
      </c>
      <c r="BK1725" s="59">
        <f t="shared" si="2004"/>
        <v>546</v>
      </c>
      <c r="BL1725" s="59" cm="1">
        <f t="array" ref="BL1725">IFERROR(SUM(AW1725:INDEX(AW1725:BH1725, MATCH(2, 1/(AW1725:BH1725&lt;&gt;""), 1) - 1))/_xlfn.XLOOKUP(F1725,Apuração!A:A,Apuração!B:B),0)</f>
        <v>27.666666666666668</v>
      </c>
      <c r="BM1725" s="55" cm="1">
        <f t="array" ref="BM1725">IFERROR(
   INDEX($AW$1:$BH$1,
      _xlfn.AGGREGATE(14, 6, COLUMN($AW$1:$BH$1)/(AW1725:BH1725&lt;&gt;""), 2) - COLUMN($AW$1) + 1
   ),
"")</f>
        <v>46082</v>
      </c>
      <c r="BN1725" s="55" cm="1">
        <f t="array" ref="BN1725">IFERROR(INDEX($AW$1:$BH$1,1,MATCH(2,1/(AW1725:BH1725&lt;&gt;""))),"")</f>
        <v>46113</v>
      </c>
      <c r="BO1725" s="53">
        <f ca="1">IFERROR(_xlfn.XLOOKUP(F1725,Apuração!A:A,Apuração!C:C)/_xlfn.XLOOKUP(F1725,Apuração!A:A,Apuração!B:B),0)</f>
        <v>0.41666666666666669</v>
      </c>
      <c r="BP1725" s="53">
        <f ca="1">IFERROR(_xlfn.XLOOKUP(F1725,Apuração!A:A,Apuração!D:D)/_xlfn.XLOOKUP(F1725,Apuração!A:A,Apuração!B:B),0)</f>
        <v>0.33333333333333331</v>
      </c>
      <c r="BQ1725" s="53">
        <f ca="1">IF(BK1725&gt;=BO1725,0,_xlfn.XLOOKUP(F1725,Apuração!A:A,Apuração!B:B)*(BO1725 + (1/_xlfn.XLOOKUP(F1725,Apuração!A:A,Apuração!B:B)) - BK1725))</f>
        <v>0</v>
      </c>
      <c r="BR1725" s="85">
        <f t="shared" ca="1" si="2005"/>
        <v>0</v>
      </c>
      <c r="BS1725" s="53">
        <f ca="1">IFERROR((_xlfn.XLOOKUP(F1725,Apuração!A:A,Apuração!C:C)+1)/_xlfn.XLOOKUP(F1725,Apuração!A:A,Apuração!B:B),0)</f>
        <v>0.5</v>
      </c>
    </row>
    <row r="1726" spans="1:71" ht="25.95" hidden="1" customHeight="1" x14ac:dyDescent="0.3">
      <c r="A1726" s="42" t="s">
        <v>134</v>
      </c>
      <c r="B1726" s="4" t="s">
        <v>135</v>
      </c>
      <c r="C1726" s="5" t="s">
        <v>214</v>
      </c>
      <c r="D1726" s="5" t="s">
        <v>48</v>
      </c>
      <c r="E1726" s="4" t="str" cm="1">
        <f t="array" ref="E1726">_xlfn.IFS(
F1726 = "A partir de Abril", "Aguardando Execução na Distribuidora",
A1726 = "CAPACITAÇÃO", "Em execução no Corporativo",
TRUE, "Em Execução na Distribuidora"
)</f>
        <v>Em Execução na Distribuidora</v>
      </c>
      <c r="F1726" s="4" t="str" cm="1">
        <f t="array" ref="F1726">_xlfn.IFS(
AG1726 &lt;&gt; "", "Jan-Dez/26",
AH1726 &lt;&gt; "", "Fev-Dez/26",
AI1726 &lt;&gt; "", "Mar-Dez/26", AJ1726 &lt;&gt; "", "Abr-Dez/26",
TRUE, "A partir de Junho"
)</f>
        <v>Jan-Dez/26</v>
      </c>
      <c r="G1726" s="4" t="s">
        <v>37</v>
      </c>
      <c r="H1726" s="7" t="s">
        <v>38</v>
      </c>
      <c r="I1726" s="9" t="s">
        <v>76</v>
      </c>
      <c r="J1726" s="8" t="str" cm="1">
        <f t="array" aca="1" ref="J1726" ca="1">_xlfn.LET(
  _xlpm.actual_value_month, INDEX(T1726:AE1726, MATCH(DATE(YEAR(TODAY()), MONTH(TODAY()), 1), $T$1:$AE$1, 0)),
  IF(_xlpm.actual_value_month &lt;&gt; "",_xlpm.actual_value_month &amp; " ações mensais", "")
)</f>
        <v/>
      </c>
      <c r="K1726" s="8" t="str" cm="1">
        <f t="array" ref="K1726">_xlfn.LET(
    _xlpm.sum_month, SUM(T1726:AE1726),
    IF(_xlpm.sum_month = 0, "", _xlpm.sum_month &amp; " alcançadas no ano")
)</f>
        <v/>
      </c>
      <c r="L1726" s="9" t="s">
        <v>141</v>
      </c>
      <c r="M1726" s="24">
        <v>1</v>
      </c>
      <c r="N1726" s="5" t="s">
        <v>51</v>
      </c>
      <c r="O1726" s="5" t="s">
        <v>52</v>
      </c>
      <c r="P1726" s="10" t="s">
        <v>44</v>
      </c>
      <c r="Q1726" s="10" t="s">
        <v>44</v>
      </c>
      <c r="R1726" s="10" t="s">
        <v>44</v>
      </c>
      <c r="S1726" s="10" t="s">
        <v>44</v>
      </c>
      <c r="T1726" s="22"/>
      <c r="U1726" s="22"/>
      <c r="V1726" s="22"/>
      <c r="W1726" s="22"/>
      <c r="X1726" s="22"/>
      <c r="Y1726" s="22"/>
      <c r="Z1726" s="22"/>
      <c r="AA1726" s="22"/>
      <c r="AB1726" s="22"/>
      <c r="AC1726" s="22"/>
      <c r="AD1726" s="22"/>
      <c r="AE1726" s="22"/>
      <c r="AG1726" s="146">
        <v>135</v>
      </c>
      <c r="AH1726" s="150">
        <v>131</v>
      </c>
      <c r="AI1726" s="150">
        <v>158</v>
      </c>
      <c r="AJ1726" s="82">
        <v>132</v>
      </c>
      <c r="AK1726" s="71"/>
      <c r="AL1726" s="71"/>
      <c r="AM1726" s="71"/>
      <c r="AN1726" s="71"/>
      <c r="AO1726" s="71"/>
      <c r="AP1726" s="71"/>
      <c r="AQ1726" s="71"/>
      <c r="AR1726" s="71"/>
      <c r="AS1726" s="94">
        <f t="shared" ca="1" si="1997"/>
        <v>0</v>
      </c>
      <c r="AT1726" s="95">
        <f t="shared" si="1998"/>
        <v>556</v>
      </c>
      <c r="AU1726" s="97">
        <f t="shared" si="1999"/>
        <v>556</v>
      </c>
      <c r="AW1726" s="83">
        <f t="shared" si="2000"/>
        <v>135</v>
      </c>
      <c r="AX1726" s="83">
        <f t="shared" si="2001"/>
        <v>131</v>
      </c>
      <c r="AY1726" s="83">
        <f t="shared" si="2002"/>
        <v>158</v>
      </c>
      <c r="AZ1726" s="83">
        <f t="shared" si="2003"/>
        <v>132</v>
      </c>
      <c r="BA1726" s="52"/>
      <c r="BB1726" s="52"/>
      <c r="BC1726" s="52"/>
      <c r="BD1726" s="52"/>
      <c r="BE1726" s="52"/>
      <c r="BF1726" s="52"/>
      <c r="BG1726" s="52"/>
      <c r="BH1726" s="52"/>
      <c r="BI1726" s="68" cm="1">
        <f t="array" ref="BI1726">IFERROR(INDEX(AW1726:BH1726,1,MATCH(2,1/(AW1726:BH1726&lt;&gt;""))),"")</f>
        <v>132</v>
      </c>
      <c r="BJ1726" s="68" cm="1">
        <f t="array" ref="BJ1726">IF(BM1726 = "", "",IFERROR(INDEX(AW1726:BH1726,1,MATCH(2,1/(AW1726:BH1726&lt;&gt;""),1)-1),""))</f>
        <v>158</v>
      </c>
      <c r="BK1726" s="59">
        <f t="shared" si="2004"/>
        <v>556</v>
      </c>
      <c r="BL1726" s="59" cm="1">
        <f t="array" ref="BL1726">IFERROR(SUM(AW1726:INDEX(AW1726:BH1726, MATCH(2, 1/(AW1726:BH1726&lt;&gt;""), 1) - 1))/_xlfn.XLOOKUP(F1726,Apuração!A:A,Apuração!B:B),0)</f>
        <v>35.333333333333336</v>
      </c>
      <c r="BM1726" s="55" cm="1">
        <f t="array" ref="BM1726">IFERROR(
   INDEX($AW$1:$BH$1,
      _xlfn.AGGREGATE(14, 6, COLUMN($AW$1:$BH$1)/(AW1726:BH1726&lt;&gt;""), 2) - COLUMN($AW$1) + 1
   ),
"")</f>
        <v>46082</v>
      </c>
      <c r="BN1726" s="55" cm="1">
        <f t="array" ref="BN1726">IFERROR(INDEX($AW$1:$BH$1,1,MATCH(2,1/(AW1726:BH1726&lt;&gt;""))),"")</f>
        <v>46113</v>
      </c>
      <c r="BO1726" s="53">
        <f ca="1">IFERROR(_xlfn.XLOOKUP(F1726,Apuração!A:A,Apuração!C:C)/_xlfn.XLOOKUP(F1726,Apuração!A:A,Apuração!B:B),0)</f>
        <v>0.41666666666666669</v>
      </c>
      <c r="BP1726" s="53">
        <f ca="1">IFERROR(_xlfn.XLOOKUP(F1726,Apuração!A:A,Apuração!D:D)/_xlfn.XLOOKUP(F1726,Apuração!A:A,Apuração!B:B),0)</f>
        <v>0.33333333333333331</v>
      </c>
      <c r="BQ1726" s="53">
        <f ca="1">IF(BK1726&gt;=BO1726,0,_xlfn.XLOOKUP(F1726,Apuração!A:A,Apuração!B:B)*(BO1726 + (1/_xlfn.XLOOKUP(F1726,Apuração!A:A,Apuração!B:B)) - BK1726))</f>
        <v>0</v>
      </c>
      <c r="BR1726" s="85">
        <f t="shared" ca="1" si="2005"/>
        <v>0</v>
      </c>
      <c r="BS1726" s="53">
        <f ca="1">IFERROR((_xlfn.XLOOKUP(F1726,Apuração!A:A,Apuração!C:C)+1)/_xlfn.XLOOKUP(F1726,Apuração!A:A,Apuração!B:B),0)</f>
        <v>0.5</v>
      </c>
    </row>
    <row r="1727" spans="1:71" ht="25.95" hidden="1" customHeight="1" x14ac:dyDescent="0.3">
      <c r="A1727" s="42" t="s">
        <v>134</v>
      </c>
      <c r="B1727" s="4" t="s">
        <v>135</v>
      </c>
      <c r="C1727" s="5" t="s">
        <v>214</v>
      </c>
      <c r="D1727" s="5" t="s">
        <v>213</v>
      </c>
      <c r="E1727" s="4" t="str" cm="1">
        <f t="array" ref="E1727">_xlfn.IFS(
F1727 = "A partir de Abril", "Aguardando Execução na Distribuidora",
A1727 = "CAPACITAÇÃO", "Em execução no Corporativo",
TRUE, "Em Execução na Distribuidora"
)</f>
        <v>Em Execução na Distribuidora</v>
      </c>
      <c r="F1727" s="4" t="str" cm="1">
        <f t="array" ref="F1727">_xlfn.IFS(
AG1727 &lt;&gt; "", "Jan-Dez/26",
AH1727 &lt;&gt; "", "Fev-Dez/26",
AI1727 &lt;&gt; "", "Mar-Dez/26", AJ1727 &lt;&gt; "", "Abr-Dez/26",
TRUE, "A partir de Junho"
)</f>
        <v>Jan-Dez/26</v>
      </c>
      <c r="G1727" s="4" t="s">
        <v>37</v>
      </c>
      <c r="H1727" s="7" t="s">
        <v>38</v>
      </c>
      <c r="I1727" s="9" t="s">
        <v>76</v>
      </c>
      <c r="J1727" s="8" t="str" cm="1">
        <f t="array" aca="1" ref="J1727" ca="1">_xlfn.LET(
  _xlpm.actual_value_month, INDEX(T1727:AE1727, MATCH(DATE(YEAR(TODAY()), MONTH(TODAY()), 1), $T$1:$AE$1, 0)),
  IF(_xlpm.actual_value_month &lt;&gt; "",_xlpm.actual_value_month &amp; " ações mensais", "")
)</f>
        <v/>
      </c>
      <c r="K1727" s="8" t="str" cm="1">
        <f t="array" ref="K1727">_xlfn.LET(
    _xlpm.sum_month, SUM(T1727:AE1727),
    IF(_xlpm.sum_month = 0, "", _xlpm.sum_month &amp; " alcançadas no ano")
)</f>
        <v/>
      </c>
      <c r="L1727" s="9" t="s">
        <v>141</v>
      </c>
      <c r="M1727" s="24">
        <v>1</v>
      </c>
      <c r="N1727" s="5" t="s">
        <v>51</v>
      </c>
      <c r="O1727" s="5" t="s">
        <v>52</v>
      </c>
      <c r="P1727" s="10" t="s">
        <v>44</v>
      </c>
      <c r="Q1727" s="10" t="s">
        <v>44</v>
      </c>
      <c r="R1727" s="10" t="s">
        <v>44</v>
      </c>
      <c r="S1727" s="10" t="s">
        <v>44</v>
      </c>
      <c r="T1727" s="22"/>
      <c r="U1727" s="22"/>
      <c r="V1727" s="22"/>
      <c r="W1727" s="22"/>
      <c r="X1727" s="22"/>
      <c r="Y1727" s="22"/>
      <c r="Z1727" s="22"/>
      <c r="AA1727" s="22"/>
      <c r="AB1727" s="22"/>
      <c r="AC1727" s="22"/>
      <c r="AD1727" s="22"/>
      <c r="AE1727" s="22"/>
      <c r="AG1727" s="146">
        <v>135</v>
      </c>
      <c r="AH1727" s="150">
        <v>131</v>
      </c>
      <c r="AI1727" s="150">
        <v>158</v>
      </c>
      <c r="AJ1727" s="82">
        <v>195</v>
      </c>
      <c r="AK1727" s="71"/>
      <c r="AL1727" s="71"/>
      <c r="AM1727" s="71"/>
      <c r="AN1727" s="71"/>
      <c r="AO1727" s="71"/>
      <c r="AP1727" s="71"/>
      <c r="AQ1727" s="71"/>
      <c r="AR1727" s="71"/>
      <c r="AS1727" s="94">
        <f t="shared" ca="1" si="1997"/>
        <v>0</v>
      </c>
      <c r="AT1727" s="95">
        <f t="shared" si="1998"/>
        <v>619</v>
      </c>
      <c r="AU1727" s="97">
        <f t="shared" si="1999"/>
        <v>619</v>
      </c>
      <c r="AW1727" s="83">
        <f t="shared" si="2000"/>
        <v>135</v>
      </c>
      <c r="AX1727" s="83">
        <f t="shared" si="2001"/>
        <v>131</v>
      </c>
      <c r="AY1727" s="83">
        <f t="shared" si="2002"/>
        <v>158</v>
      </c>
      <c r="AZ1727" s="83">
        <f t="shared" si="2003"/>
        <v>195</v>
      </c>
      <c r="BA1727" s="52"/>
      <c r="BB1727" s="52"/>
      <c r="BC1727" s="52"/>
      <c r="BD1727" s="52"/>
      <c r="BE1727" s="52"/>
      <c r="BF1727" s="52"/>
      <c r="BG1727" s="52"/>
      <c r="BH1727" s="52"/>
      <c r="BI1727" s="68" cm="1">
        <f t="array" ref="BI1727">IFERROR(INDEX(AW1727:BH1727,1,MATCH(2,1/(AW1727:BH1727&lt;&gt;""))),"")</f>
        <v>195</v>
      </c>
      <c r="BJ1727" s="68" cm="1">
        <f t="array" ref="BJ1727">IF(BM1727 = "", "",IFERROR(INDEX(AW1727:BH1727,1,MATCH(2,1/(AW1727:BH1727&lt;&gt;""),1)-1),""))</f>
        <v>158</v>
      </c>
      <c r="BK1727" s="59">
        <f t="shared" si="2004"/>
        <v>619</v>
      </c>
      <c r="BL1727" s="59" cm="1">
        <f t="array" ref="BL1727">IFERROR(SUM(AW1727:INDEX(AW1727:BH1727, MATCH(2, 1/(AW1727:BH1727&lt;&gt;""), 1) - 1))/_xlfn.XLOOKUP(F1727,Apuração!A:A,Apuração!B:B),0)</f>
        <v>35.333333333333336</v>
      </c>
      <c r="BM1727" s="55" cm="1">
        <f t="array" ref="BM1727">IFERROR(
   INDEX($AW$1:$BH$1,
      _xlfn.AGGREGATE(14, 6, COLUMN($AW$1:$BH$1)/(AW1727:BH1727&lt;&gt;""), 2) - COLUMN($AW$1) + 1
   ),
"")</f>
        <v>46082</v>
      </c>
      <c r="BN1727" s="55" cm="1">
        <f t="array" ref="BN1727">IFERROR(INDEX($AW$1:$BH$1,1,MATCH(2,1/(AW1727:BH1727&lt;&gt;""))),"")</f>
        <v>46113</v>
      </c>
      <c r="BO1727" s="53">
        <f ca="1">IFERROR(_xlfn.XLOOKUP(F1727,Apuração!A:A,Apuração!C:C)/_xlfn.XLOOKUP(F1727,Apuração!A:A,Apuração!B:B),0)</f>
        <v>0.41666666666666669</v>
      </c>
      <c r="BP1727" s="53">
        <f ca="1">IFERROR(_xlfn.XLOOKUP(F1727,Apuração!A:A,Apuração!D:D)/_xlfn.XLOOKUP(F1727,Apuração!A:A,Apuração!B:B),0)</f>
        <v>0.33333333333333331</v>
      </c>
      <c r="BQ1727" s="53">
        <f ca="1">IF(BK1727&gt;=BO1727,0,_xlfn.XLOOKUP(F1727,Apuração!A:A,Apuração!B:B)*(BO1727 + (1/_xlfn.XLOOKUP(F1727,Apuração!A:A,Apuração!B:B)) - BK1727))</f>
        <v>0</v>
      </c>
      <c r="BR1727" s="85">
        <f t="shared" ca="1" si="2005"/>
        <v>0</v>
      </c>
      <c r="BS1727" s="53">
        <f ca="1">IFERROR((_xlfn.XLOOKUP(F1727,Apuração!A:A,Apuração!C:C)+1)/_xlfn.XLOOKUP(F1727,Apuração!A:A,Apuração!B:B),0)</f>
        <v>0.5</v>
      </c>
    </row>
    <row r="1728" spans="1:71" ht="25.95" hidden="1" customHeight="1" x14ac:dyDescent="0.3">
      <c r="A1728" s="23" t="s">
        <v>134</v>
      </c>
      <c r="B1728" s="4" t="s">
        <v>142</v>
      </c>
      <c r="C1728" s="5" t="s">
        <v>214</v>
      </c>
      <c r="D1728" s="5" t="s">
        <v>36</v>
      </c>
      <c r="E1728" s="4" t="str" cm="1">
        <f t="array" ref="E1728">_xlfn.IFS(
F1728 = "A partir de Abril", "Aguardando Execução na Distribuidora",
A1728 = "CAPACITAÇÃO", "Em execução no Corporativo",
TRUE, "Em Execução na Distribuidora"
)</f>
        <v>Em Execução na Distribuidora</v>
      </c>
      <c r="F1728" s="4" t="str" cm="1">
        <f t="array" ref="F1728">_xlfn.IFS(
AG1728 &lt;&gt; "", "Jan-Dez/26",
AH1728 &lt;&gt; "", "Fev-Dez/26",
AI1728 &lt;&gt; "", "Mar-Dez/26", AJ1728 &lt;&gt; "", "Abr-Dez/26",
TRUE, "A partir de Junho"
)</f>
        <v>Jan-Dez/26</v>
      </c>
      <c r="G1728" s="4" t="s">
        <v>37</v>
      </c>
      <c r="H1728" s="7" t="s">
        <v>110</v>
      </c>
      <c r="I1728" s="8" t="s">
        <v>143</v>
      </c>
      <c r="J1728" s="8" t="str" cm="1">
        <f t="array" aca="1" ref="J1728" ca="1">_xlfn.LET(
  _xlpm.actual_value_month, INDEX(T1728:AE1728, MATCH(DATE(YEAR(TODAY()), MONTH(TODAY()), 1), $T$1:$AE$1, 0)),
  IF(_xlpm.actual_value_month &lt;&gt; "",_xlpm.actual_value_month &amp; " equipes mensais", "")
)</f>
        <v>143 equipes mensais</v>
      </c>
      <c r="K1728" s="8" t="str" cm="1">
        <f t="array" ref="K1728">_xlfn.LET(
    _xlpm.sum_month, SUM(T1728:AE1728),
    IF(_xlpm.sum_month = 0, "", _xlpm.sum_month &amp; " equipes inspencionadas no ano")
)</f>
        <v>1601 equipes inspencionadas no ano</v>
      </c>
      <c r="L1728" s="4" t="s">
        <v>144</v>
      </c>
      <c r="M1728" s="24" t="s">
        <v>145</v>
      </c>
      <c r="N1728" s="5" t="s">
        <v>42</v>
      </c>
      <c r="O1728" s="5" t="s">
        <v>43</v>
      </c>
      <c r="P1728" s="10" t="s">
        <v>146</v>
      </c>
      <c r="Q1728" s="10" t="s">
        <v>44</v>
      </c>
      <c r="R1728" s="11" t="s">
        <v>147</v>
      </c>
      <c r="S1728" s="11" t="s">
        <v>44</v>
      </c>
      <c r="T1728" s="22">
        <v>24</v>
      </c>
      <c r="U1728" s="22">
        <v>134</v>
      </c>
      <c r="V1728" s="22">
        <v>156</v>
      </c>
      <c r="W1728" s="22">
        <v>143</v>
      </c>
      <c r="X1728" s="22">
        <v>143</v>
      </c>
      <c r="Y1728" s="22">
        <v>143</v>
      </c>
      <c r="Z1728" s="22">
        <v>143</v>
      </c>
      <c r="AA1728" s="22">
        <v>143</v>
      </c>
      <c r="AB1728" s="22">
        <v>143</v>
      </c>
      <c r="AC1728" s="22">
        <v>143</v>
      </c>
      <c r="AD1728" s="22">
        <v>143</v>
      </c>
      <c r="AE1728" s="22">
        <v>143</v>
      </c>
      <c r="AG1728" s="71">
        <v>24</v>
      </c>
      <c r="AH1728" s="71">
        <v>134</v>
      </c>
      <c r="AI1728" s="71">
        <v>156</v>
      </c>
      <c r="AJ1728" s="71">
        <v>1008</v>
      </c>
      <c r="AK1728" s="71"/>
      <c r="AL1728" s="71"/>
      <c r="AM1728" s="71"/>
      <c r="AN1728" s="71"/>
      <c r="AO1728" s="71"/>
      <c r="AP1728" s="71"/>
      <c r="AQ1728" s="71"/>
      <c r="AR1728" s="71"/>
      <c r="AS1728" s="94">
        <f ca="1">IF(MONTH(TODAY())=3,SUM(T1728:U1728),IF(MONTH(TODAY())=4,SUM(T1728:V1728),IF(MONTH(TODAY())=5,SUM(T1728:W1728),IF(MONTH(TODAY())=6,SUM(T1728:X1728),IF(MONTH(TODAY())=7,SUM(T1728:Y1728),IF(MONTH(TODAY())=8,SUM(T1728:Z1728),IF(MONTH(TODAY())=9,SUM(T1728:AA1728),IF(MONTH(TODAY())=10,SUM(T1728:AB1728),IF(MONTH(TODAY())=11,SUM(T1728:AC1728),IF(MONTH(TODAY())=12,SUM(T1728:AD1728),IF(MONTH(TODAY())=1,SUM(T1728:AE1728),T1728)))))))))))</f>
        <v>600</v>
      </c>
      <c r="AT1728" s="95">
        <f>SUM(IF(AW1728&lt;1.15,AG1728,1.15*T1728),IF(AX1728&lt;1.15,AH1728,1.15*U1728),IF(AY1728&lt;1.15,AI1728,1.15*V1728),IF(AZ1728&lt;1.15,AJ1728,1.15*W1728),IF(BA1728&lt;1.15,AK1728,1.15*X1728),IF(BB1728&lt;1.15,AL1728,1.15*Y1728),IF(BC1728&lt;1.15,AM1728,1.15*Z1728),IF(BD1728&lt;1.15,AN1728,1.15*AA1728),IF(BE1728&lt;1.15,AO1728,1.15*AB1728),IF(BF1728&lt;1.15,AP1728,1.15*AC1728),IF(BG1728&lt;1.15,AQ1728,1.15*AD1728),IF(BH1728&lt;1.15,AR1728,1.15*AE1728))</f>
        <v>478.45</v>
      </c>
      <c r="AU1728" s="97">
        <f>SUM(AG1728:AR1728)</f>
        <v>1322</v>
      </c>
      <c r="AW1728" s="51">
        <f>IFERROR(IF(AG1728="",0,AG1728/T1728),0)</f>
        <v>1</v>
      </c>
      <c r="AX1728" s="51">
        <f>IFERROR(IF(AH1728="",0,AH1728/U1728),0)</f>
        <v>1</v>
      </c>
      <c r="AY1728" s="51">
        <f>IFERROR(IF(AI1728="",0,AI1728/V1728),0)</f>
        <v>1</v>
      </c>
      <c r="AZ1728" s="51">
        <f>IFERROR(IF(AJ1728="",0,AJ1728/W1728),0)</f>
        <v>7.0489510489510492</v>
      </c>
      <c r="BA1728" s="51"/>
      <c r="BB1728" s="51"/>
      <c r="BC1728" s="51"/>
      <c r="BD1728" s="51"/>
      <c r="BE1728" s="51"/>
      <c r="BF1728" s="51"/>
      <c r="BG1728" s="51"/>
      <c r="BH1728" s="51"/>
      <c r="BI1728" s="65" cm="1">
        <f t="array" ref="BI1728">IFERROR(INDEX(AW1728:BH1728,1,MATCH(2,1/(AW1728:BH1728&lt;&gt;""))),"")</f>
        <v>7.0489510489510492</v>
      </c>
      <c r="BJ1728" s="68" cm="1">
        <f t="array" ref="BJ1728">IF(BM1728 = "", "",IFERROR(INDEX(AW1728:BH1728,1,MATCH(2,1/(AW1728:BH1728&lt;&gt;""),1)-1),""))</f>
        <v>1</v>
      </c>
      <c r="BK1728" s="58">
        <f>IF((IF(AW1728&gt;=115%,115%,AW1728) + IF(AX1728&gt;=115%,115%,AX1728) + IF(AY1728&gt;=115%,115%,AY1728) + (IF(AZ1728&gt;=115%,115%,AZ1728) + IF(BA1728&gt;=115%,115%,BA1728) + IF(BB1728&gt;=115%,115%,BB1728) + IF(BC1728&gt;=115%,115%,BC1728) + IF(BD1728&gt;=115%,115%,BD1728) + IF(BE1728&gt;=115%,115%,BE1728) + IF(BF1728&gt;=115%,115%,BF1728) + IF(BG1728&gt;=115%,115%,BG1728) + IF(BH1728&gt;=115%,115%,BH1728)))/_xlfn.XLOOKUP(F1728,Apuração!A:A,Apuração!B:B)&gt;=1.15,1.15,((IF(AZ1728&gt;=115%,115%,AZ1728) + IF(AX1728&gt;=115%,115%,AX1728) + IF(AY1728&gt;=115%,115%,AY1728) + (IF(AW1728&gt;=115%,115%,AW1728) + IF(BA1728&gt;=115%,115%,BA1728) + IF(BB1728&gt;=115%,115%,BB1728) + IF(BC1728&gt;=115%,115%,BC1728) + IF(BD1728&gt;=115%,115%,BD1728) + IF(BE1728&gt;=115%,115%,BE1728) + IF(BF1728&gt;=115%,115%,BF1728) + IF(BG1728&gt;=115%,115%,BG1728) + IF(BH1728&gt;=115%,115%,BH1728)))/_xlfn.XLOOKUP(F1728,Apuração!A:A,Apuração!B:B)))</f>
        <v>0.34583333333333338</v>
      </c>
      <c r="BL1728" s="58" cm="1">
        <f t="array" aca="1" ref="BL1728" ca="1">IF(SUM(IFERROR(IF(INDEX(AW1728:INDEX(AW1728:BH1728, MATCH(2, 1/(AW1728:BH1728&lt;&gt;""), 1)-1), ROW(INDIRECT("1:" &amp; MATCH(2, 1/(AW1728:BH1728&lt;&gt;""), 1)-1))) &gt;= 115%, 115%, INDEX(AW1728:INDEX(AW1728:BH1728, MATCH(2, 1/(AW1728:BH1728&lt;&gt;""), 1)-1), ROW(INDIRECT("1:" &amp; MATCH(2, 1/(AW1728:BH1728&lt;&gt;""), 1)-1)))), 0))/_xlfn.XLOOKUP(F1728,Apuração!A:A,Apuração!B:B)&gt;=1.15,1.15,SUM(IFERROR(IF(INDEX(AW1728:INDEX(AW1728:BH1728, MATCH(2, 1/(AW1728:BH1728&lt;&gt;""), 1)-1), ROW(INDIRECT("1:" &amp; MATCH(2, 1/(AW1728:BH1728&lt;&gt;""), 1)-1))) &gt;= 115%, 115%, INDEX(AW1728:INDEX(AW1728:BH1728, MATCH(2, 1/(AW1728:BH1728&lt;&gt;""), 1)-1), ROW(INDIRECT("1:" &amp; MATCH(2, 1/(AW1728:BH1728&lt;&gt;""), 1)-1)))), 0))/_xlfn.XLOOKUP(F1728,Apuração!A:A,Apuração!B:B))</f>
        <v>0.25</v>
      </c>
      <c r="BM1728" s="55" cm="1">
        <f t="array" ref="BM1728">IFERROR(
   INDEX($AW$1:$BH$1,
      _xlfn.AGGREGATE(14, 6, COLUMN($AW$1:$BH$1)/(AW1728:BH1728&lt;&gt;""), 2) - COLUMN($AW$1) + 1
   ),
"")</f>
        <v>46082</v>
      </c>
      <c r="BN1728" s="55" cm="1">
        <f t="array" ref="BN1728">IFERROR(INDEX($AW$1:$BH$1,1,MATCH(2,1/(AW1728:BH1728&lt;&gt;""))),"")</f>
        <v>46113</v>
      </c>
      <c r="BO1728" s="53">
        <f ca="1">IFERROR(_xlfn.XLOOKUP(F1728,Apuração!A:A,Apuração!C:C)/_xlfn.XLOOKUP(F1728,Apuração!A:A,Apuração!B:B),0)</f>
        <v>0.41666666666666669</v>
      </c>
      <c r="BP1728" s="53">
        <f ca="1">IFERROR(_xlfn.XLOOKUP(F1728,Apuração!A:A,Apuração!D:D)/_xlfn.XLOOKUP(F1728,Apuração!A:A,Apuração!B:B),0)</f>
        <v>0.33333333333333331</v>
      </c>
      <c r="BQ1728" s="53">
        <f ca="1">IF(BK1728&gt;=BO1728,0,_xlfn.XLOOKUP(F1728,Apuração!A:A,Apuração!B:B)*(BO1728 + (1/_xlfn.XLOOKUP(F1728,Apuração!A:A,Apuração!B:B)) - BK1728))</f>
        <v>1.8499999999999994</v>
      </c>
      <c r="BR1728" s="85">
        <f ca="1">IF(BQ1728=0,0,BQ1728*Z1728)</f>
        <v>264.5499999999999</v>
      </c>
      <c r="BS1728" s="53">
        <f ca="1">IFERROR((_xlfn.XLOOKUP(F1728,Apuração!A:A,Apuração!C:C)+1)/_xlfn.XLOOKUP(F1728,Apuração!A:A,Apuração!B:B),0)</f>
        <v>0.5</v>
      </c>
    </row>
    <row r="1729" spans="1:71" ht="25.95" hidden="1" customHeight="1" x14ac:dyDescent="0.3">
      <c r="A1729" s="23" t="s">
        <v>134</v>
      </c>
      <c r="B1729" s="4" t="s">
        <v>142</v>
      </c>
      <c r="C1729" s="5" t="s">
        <v>214</v>
      </c>
      <c r="D1729" s="5" t="s">
        <v>210</v>
      </c>
      <c r="E1729" s="4" t="str" cm="1">
        <f t="array" ref="E1729">_xlfn.IFS(
F1729 = "A partir de Abril", "Aguardando Execução na Distribuidora",
A1729 = "CAPACITAÇÃO", "Em execução no Corporativo",
TRUE, "Em Execução na Distribuidora"
)</f>
        <v>Em Execução na Distribuidora</v>
      </c>
      <c r="F1729" s="4" t="str" cm="1">
        <f t="array" ref="F1729">_xlfn.IFS(
AG1729 &lt;&gt; "", "Jan-Dez/26",
AH1729 &lt;&gt; "", "Fev-Dez/26",
AI1729 &lt;&gt; "", "Mar-Dez/26", AJ1729 &lt;&gt; "", "Abr-Dez/26",
TRUE, "A partir de Junho"
)</f>
        <v>Jan-Dez/26</v>
      </c>
      <c r="G1729" s="4" t="s">
        <v>37</v>
      </c>
      <c r="H1729" s="7" t="s">
        <v>110</v>
      </c>
      <c r="I1729" s="8" t="s">
        <v>143</v>
      </c>
      <c r="J1729" s="8" t="str" cm="1">
        <f t="array" aca="1" ref="J1729" ca="1">_xlfn.LET(
  _xlpm.actual_value_month, INDEX(T1729:AE1729, MATCH(DATE(YEAR(TODAY()), MONTH(TODAY()), 1), $T$1:$AE$1, 0)),
  IF(_xlpm.actual_value_month &lt;&gt; "",_xlpm.actual_value_month &amp; " equipes mensais", "")
)</f>
        <v>9 equipes mensais</v>
      </c>
      <c r="K1729" s="8" t="str" cm="1">
        <f t="array" ref="K1729">_xlfn.LET(
    _xlpm.sum_month, SUM(T1729:AE1729),
    IF(_xlpm.sum_month = 0, "", _xlpm.sum_month &amp; " equipes inspencionadas no ano")
)</f>
        <v>99 equipes inspencionadas no ano</v>
      </c>
      <c r="L1729" s="4" t="s">
        <v>144</v>
      </c>
      <c r="M1729" s="24" t="s">
        <v>145</v>
      </c>
      <c r="N1729" s="5" t="s">
        <v>42</v>
      </c>
      <c r="O1729" s="5" t="s">
        <v>43</v>
      </c>
      <c r="P1729" s="10" t="s">
        <v>146</v>
      </c>
      <c r="Q1729" s="10" t="s">
        <v>44</v>
      </c>
      <c r="R1729" s="11" t="s">
        <v>147</v>
      </c>
      <c r="S1729" s="11" t="s">
        <v>44</v>
      </c>
      <c r="T1729" s="143">
        <v>5</v>
      </c>
      <c r="U1729" s="143">
        <v>11</v>
      </c>
      <c r="V1729" s="143">
        <v>2</v>
      </c>
      <c r="W1729" s="143">
        <v>9</v>
      </c>
      <c r="X1729" s="143">
        <v>9</v>
      </c>
      <c r="Y1729" s="143">
        <v>9</v>
      </c>
      <c r="Z1729" s="143">
        <v>9</v>
      </c>
      <c r="AA1729" s="143">
        <v>9</v>
      </c>
      <c r="AB1729" s="143">
        <v>9</v>
      </c>
      <c r="AC1729" s="143">
        <v>9</v>
      </c>
      <c r="AD1729" s="143">
        <v>9</v>
      </c>
      <c r="AE1729" s="143">
        <v>9</v>
      </c>
      <c r="AG1729" s="145">
        <v>5</v>
      </c>
      <c r="AH1729" s="149">
        <v>11</v>
      </c>
      <c r="AI1729" s="149">
        <v>2</v>
      </c>
      <c r="AJ1729" s="82">
        <v>70</v>
      </c>
      <c r="AK1729" s="71"/>
      <c r="AL1729" s="71"/>
      <c r="AM1729" s="71"/>
      <c r="AN1729" s="71"/>
      <c r="AO1729" s="71"/>
      <c r="AP1729" s="71"/>
      <c r="AQ1729" s="71"/>
      <c r="AR1729" s="71"/>
      <c r="AS1729" s="94">
        <f t="shared" ref="AS1729:AS1733" ca="1" si="2006">IF(MONTH(TODAY())=3,SUM(T1729:U1729),IF(MONTH(TODAY())=4,SUM(T1729:V1729),IF(MONTH(TODAY())=5,SUM(T1729:W1729),IF(MONTH(TODAY())=6,SUM(T1729:X1729),IF(MONTH(TODAY())=7,SUM(T1729:Y1729),IF(MONTH(TODAY())=8,SUM(T1729:Z1729),IF(MONTH(TODAY())=9,SUM(T1729:AA1729),IF(MONTH(TODAY())=10,SUM(T1729:AB1729),IF(MONTH(TODAY())=11,SUM(T1729:AC1729),IF(MONTH(TODAY())=12,SUM(T1729:AD1729),IF(MONTH(TODAY())=1,SUM(T1729:AE1729),T1729)))))))))))</f>
        <v>36</v>
      </c>
      <c r="AT1729" s="95">
        <f t="shared" ref="AT1729:AT1733" si="2007">SUM(IF(AW1729&lt;1.15,AG1729,1.15*T1729),IF(AX1729&lt;1.15,AH1729,1.15*U1729),IF(AY1729&lt;1.15,AI1729,1.15*V1729),IF(AZ1729&lt;1.15,AJ1729,1.15*W1729),IF(BA1729&lt;1.15,AK1729,1.15*X1729),IF(BB1729&lt;1.15,AL1729,1.15*Y1729),IF(BC1729&lt;1.15,AM1729,1.15*Z1729),IF(BD1729&lt;1.15,AN1729,1.15*AA1729),IF(BE1729&lt;1.15,AO1729,1.15*AB1729),IF(BF1729&lt;1.15,AP1729,1.15*AC1729),IF(BG1729&lt;1.15,AQ1729,1.15*AD1729),IF(BH1729&lt;1.15,AR1729,1.15*AE1729))</f>
        <v>28.35</v>
      </c>
      <c r="AU1729" s="97">
        <f t="shared" ref="AU1729:AU1733" si="2008">SUM(AG1729:AR1729)</f>
        <v>88</v>
      </c>
      <c r="AW1729" s="51">
        <f t="shared" ref="AW1729:AW1733" si="2009">IFERROR(IF(AG1729="",0,AG1729/T1729),0)</f>
        <v>1</v>
      </c>
      <c r="AX1729" s="51">
        <f t="shared" ref="AX1729:AX1733" si="2010">IFERROR(IF(AH1729="",0,AH1729/U1729),0)</f>
        <v>1</v>
      </c>
      <c r="AY1729" s="51">
        <f t="shared" ref="AY1729:AY1733" si="2011">IFERROR(IF(AI1729="",0,AI1729/V1729),0)</f>
        <v>1</v>
      </c>
      <c r="AZ1729" s="51">
        <f t="shared" ref="AZ1729:AZ1733" si="2012">IFERROR(IF(AJ1729="",0,AJ1729/W1729),0)</f>
        <v>7.7777777777777777</v>
      </c>
      <c r="BA1729" s="51"/>
      <c r="BB1729" s="51"/>
      <c r="BC1729" s="51"/>
      <c r="BD1729" s="51"/>
      <c r="BE1729" s="51"/>
      <c r="BF1729" s="51"/>
      <c r="BG1729" s="51"/>
      <c r="BH1729" s="51"/>
      <c r="BI1729" s="65" cm="1">
        <f t="array" ref="BI1729">IFERROR(INDEX(AW1729:BH1729,1,MATCH(2,1/(AW1729:BH1729&lt;&gt;""))),"")</f>
        <v>7.7777777777777777</v>
      </c>
      <c r="BJ1729" s="68" cm="1">
        <f t="array" ref="BJ1729">IF(BM1729 = "", "",IFERROR(INDEX(AW1729:BH1729,1,MATCH(2,1/(AW1729:BH1729&lt;&gt;""),1)-1),""))</f>
        <v>1</v>
      </c>
      <c r="BK1729" s="58">
        <f>IF((IF(AW1729&gt;=115%,115%,AW1729) + IF(AX1729&gt;=115%,115%,AX1729) + IF(AY1729&gt;=115%,115%,AY1729) + (IF(AZ1729&gt;=115%,115%,AZ1729) + IF(BA1729&gt;=115%,115%,BA1729) + IF(BB1729&gt;=115%,115%,BB1729) + IF(BC1729&gt;=115%,115%,BC1729) + IF(BD1729&gt;=115%,115%,BD1729) + IF(BE1729&gt;=115%,115%,BE1729) + IF(BF1729&gt;=115%,115%,BF1729) + IF(BG1729&gt;=115%,115%,BG1729) + IF(BH1729&gt;=115%,115%,BH1729)))/_xlfn.XLOOKUP(F1729,Apuração!A:A,Apuração!B:B)&gt;=1.15,1.15,((IF(AZ1729&gt;=115%,115%,AZ1729) + IF(AX1729&gt;=115%,115%,AX1729) + IF(AY1729&gt;=115%,115%,AY1729) + (IF(AW1729&gt;=115%,115%,AW1729) + IF(BA1729&gt;=115%,115%,BA1729) + IF(BB1729&gt;=115%,115%,BB1729) + IF(BC1729&gt;=115%,115%,BC1729) + IF(BD1729&gt;=115%,115%,BD1729) + IF(BE1729&gt;=115%,115%,BE1729) + IF(BF1729&gt;=115%,115%,BF1729) + IF(BG1729&gt;=115%,115%,BG1729) + IF(BH1729&gt;=115%,115%,BH1729)))/_xlfn.XLOOKUP(F1729,Apuração!A:A,Apuração!B:B)))</f>
        <v>0.34583333333333338</v>
      </c>
      <c r="BL1729" s="58" cm="1">
        <f t="array" aca="1" ref="BL1729" ca="1">IF(SUM(IFERROR(IF(INDEX(AW1729:INDEX(AW1729:BH1729, MATCH(2, 1/(AW1729:BH1729&lt;&gt;""), 1)-1), ROW(INDIRECT("1:" &amp; MATCH(2, 1/(AW1729:BH1729&lt;&gt;""), 1)-1))) &gt;= 115%, 115%, INDEX(AW1729:INDEX(AW1729:BH1729, MATCH(2, 1/(AW1729:BH1729&lt;&gt;""), 1)-1), ROW(INDIRECT("1:" &amp; MATCH(2, 1/(AW1729:BH1729&lt;&gt;""), 1)-1)))), 0))/_xlfn.XLOOKUP(F1729,Apuração!A:A,Apuração!B:B)&gt;=1.15,1.15,SUM(IFERROR(IF(INDEX(AW1729:INDEX(AW1729:BH1729, MATCH(2, 1/(AW1729:BH1729&lt;&gt;""), 1)-1), ROW(INDIRECT("1:" &amp; MATCH(2, 1/(AW1729:BH1729&lt;&gt;""), 1)-1))) &gt;= 115%, 115%, INDEX(AW1729:INDEX(AW1729:BH1729, MATCH(2, 1/(AW1729:BH1729&lt;&gt;""), 1)-1), ROW(INDIRECT("1:" &amp; MATCH(2, 1/(AW1729:BH1729&lt;&gt;""), 1)-1)))), 0))/_xlfn.XLOOKUP(F1729,Apuração!A:A,Apuração!B:B))</f>
        <v>0.25</v>
      </c>
      <c r="BM1729" s="55" cm="1">
        <f t="array" ref="BM1729">IFERROR(
   INDEX($AW$1:$BH$1,
      _xlfn.AGGREGATE(14, 6, COLUMN($AW$1:$BH$1)/(AW1729:BH1729&lt;&gt;""), 2) - COLUMN($AW$1) + 1
   ),
"")</f>
        <v>46082</v>
      </c>
      <c r="BN1729" s="55" cm="1">
        <f t="array" ref="BN1729">IFERROR(INDEX($AW$1:$BH$1,1,MATCH(2,1/(AW1729:BH1729&lt;&gt;""))),"")</f>
        <v>46113</v>
      </c>
      <c r="BO1729" s="53">
        <f ca="1">IFERROR(_xlfn.XLOOKUP(F1729,Apuração!A:A,Apuração!C:C)/_xlfn.XLOOKUP(F1729,Apuração!A:A,Apuração!B:B),0)</f>
        <v>0.41666666666666669</v>
      </c>
      <c r="BP1729" s="53">
        <f ca="1">IFERROR(_xlfn.XLOOKUP(F1729,Apuração!A:A,Apuração!D:D)/_xlfn.XLOOKUP(F1729,Apuração!A:A,Apuração!B:B),0)</f>
        <v>0.33333333333333331</v>
      </c>
      <c r="BQ1729" s="53">
        <f ca="1">IF(BK1729&gt;=BO1729,0,_xlfn.XLOOKUP(F1729,Apuração!A:A,Apuração!B:B)*(BO1729 + (1/_xlfn.XLOOKUP(F1729,Apuração!A:A,Apuração!B:B)) - BK1729))</f>
        <v>1.8499999999999994</v>
      </c>
      <c r="BR1729" s="85">
        <f t="shared" ref="BR1729:BR1733" ca="1" si="2013">IF(BQ1729=0,0,BQ1729*Z1729)</f>
        <v>16.649999999999995</v>
      </c>
      <c r="BS1729" s="53">
        <f ca="1">IFERROR((_xlfn.XLOOKUP(F1729,Apuração!A:A,Apuração!C:C)+1)/_xlfn.XLOOKUP(F1729,Apuração!A:A,Apuração!B:B),0)</f>
        <v>0.5</v>
      </c>
    </row>
    <row r="1730" spans="1:71" ht="25.95" hidden="1" customHeight="1" x14ac:dyDescent="0.3">
      <c r="A1730" s="23" t="s">
        <v>134</v>
      </c>
      <c r="B1730" s="4" t="s">
        <v>142</v>
      </c>
      <c r="C1730" s="5" t="s">
        <v>214</v>
      </c>
      <c r="D1730" s="5" t="s">
        <v>215</v>
      </c>
      <c r="E1730" s="4" t="str" cm="1">
        <f t="array" ref="E1730">_xlfn.IFS(
F1730 = "A partir de Abril", "Aguardando Execução na Distribuidora",
A1730 = "CAPACITAÇÃO", "Em execução no Corporativo",
TRUE, "Em Execução na Distribuidora"
)</f>
        <v>Em Execução na Distribuidora</v>
      </c>
      <c r="F1730" s="4" t="str" cm="1">
        <f t="array" ref="F1730">_xlfn.IFS(
AG1730 &lt;&gt; "", "Jan-Dez/26",
AH1730 &lt;&gt; "", "Fev-Dez/26",
AI1730 &lt;&gt; "", "Mar-Dez/26", AJ1730 &lt;&gt; "", "Abr-Dez/26",
TRUE, "A partir de Junho"
)</f>
        <v>Jan-Dez/26</v>
      </c>
      <c r="G1730" s="4" t="s">
        <v>37</v>
      </c>
      <c r="H1730" s="7" t="s">
        <v>110</v>
      </c>
      <c r="I1730" s="8" t="s">
        <v>143</v>
      </c>
      <c r="J1730" s="8" t="str" cm="1">
        <f t="array" aca="1" ref="J1730" ca="1">_xlfn.LET(
  _xlpm.actual_value_month, INDEX(T1730:AE1730, MATCH(DATE(YEAR(TODAY()), MONTH(TODAY()), 1), $T$1:$AE$1, 0)),
  IF(_xlpm.actual_value_month &lt;&gt; "",_xlpm.actual_value_month &amp; " equipes mensais", "")
)</f>
        <v>30 equipes mensais</v>
      </c>
      <c r="K1730" s="8" t="str" cm="1">
        <f t="array" ref="K1730">_xlfn.LET(
    _xlpm.sum_month, SUM(T1730:AE1730),
    IF(_xlpm.sum_month = 0, "", _xlpm.sum_month &amp; " equipes inspencionadas no ano")
)</f>
        <v>359 equipes inspencionadas no ano</v>
      </c>
      <c r="L1730" s="4" t="s">
        <v>144</v>
      </c>
      <c r="M1730" s="24" t="s">
        <v>145</v>
      </c>
      <c r="N1730" s="5" t="s">
        <v>42</v>
      </c>
      <c r="O1730" s="5" t="s">
        <v>43</v>
      </c>
      <c r="P1730" s="10" t="s">
        <v>146</v>
      </c>
      <c r="Q1730" s="10" t="s">
        <v>44</v>
      </c>
      <c r="R1730" s="11" t="s">
        <v>147</v>
      </c>
      <c r="S1730" s="11" t="s">
        <v>44</v>
      </c>
      <c r="T1730" s="143">
        <v>0</v>
      </c>
      <c r="U1730" s="143">
        <v>41</v>
      </c>
      <c r="V1730" s="143">
        <v>48</v>
      </c>
      <c r="W1730" s="143">
        <v>30</v>
      </c>
      <c r="X1730" s="143">
        <v>30</v>
      </c>
      <c r="Y1730" s="143">
        <v>30</v>
      </c>
      <c r="Z1730" s="143">
        <v>30</v>
      </c>
      <c r="AA1730" s="143">
        <v>30</v>
      </c>
      <c r="AB1730" s="143">
        <v>30</v>
      </c>
      <c r="AC1730" s="143">
        <v>30</v>
      </c>
      <c r="AD1730" s="143">
        <v>30</v>
      </c>
      <c r="AE1730" s="143">
        <v>30</v>
      </c>
      <c r="AG1730" s="146">
        <v>0</v>
      </c>
      <c r="AH1730" s="150">
        <v>41</v>
      </c>
      <c r="AI1730" s="150">
        <v>48</v>
      </c>
      <c r="AJ1730" s="82">
        <v>259</v>
      </c>
      <c r="AK1730" s="71"/>
      <c r="AL1730" s="71"/>
      <c r="AM1730" s="71"/>
      <c r="AN1730" s="71"/>
      <c r="AO1730" s="71"/>
      <c r="AP1730" s="71"/>
      <c r="AQ1730" s="71"/>
      <c r="AR1730" s="71"/>
      <c r="AS1730" s="94">
        <f t="shared" ca="1" si="2006"/>
        <v>149</v>
      </c>
      <c r="AT1730" s="95">
        <f t="shared" si="2007"/>
        <v>123.5</v>
      </c>
      <c r="AU1730" s="97">
        <f t="shared" si="2008"/>
        <v>348</v>
      </c>
      <c r="AW1730" s="51">
        <f t="shared" si="2009"/>
        <v>0</v>
      </c>
      <c r="AX1730" s="51">
        <f t="shared" si="2010"/>
        <v>1</v>
      </c>
      <c r="AY1730" s="51">
        <f t="shared" si="2011"/>
        <v>1</v>
      </c>
      <c r="AZ1730" s="51">
        <f t="shared" si="2012"/>
        <v>8.6333333333333329</v>
      </c>
      <c r="BA1730" s="51"/>
      <c r="BB1730" s="51"/>
      <c r="BC1730" s="51"/>
      <c r="BD1730" s="51"/>
      <c r="BE1730" s="51"/>
      <c r="BF1730" s="51"/>
      <c r="BG1730" s="51"/>
      <c r="BH1730" s="51"/>
      <c r="BI1730" s="65" cm="1">
        <f t="array" ref="BI1730">IFERROR(INDEX(AW1730:BH1730,1,MATCH(2,1/(AW1730:BH1730&lt;&gt;""))),"")</f>
        <v>8.6333333333333329</v>
      </c>
      <c r="BJ1730" s="68" cm="1">
        <f t="array" ref="BJ1730">IF(BM1730 = "", "",IFERROR(INDEX(AW1730:BH1730,1,MATCH(2,1/(AW1730:BH1730&lt;&gt;""),1)-1),""))</f>
        <v>1</v>
      </c>
      <c r="BK1730" s="58">
        <f>IF((IF(AW1730&gt;=115%,115%,AW1730) + IF(AX1730&gt;=115%,115%,AX1730) + IF(AY1730&gt;=115%,115%,AY1730) + (IF(AZ1730&gt;=115%,115%,AZ1730) + IF(BA1730&gt;=115%,115%,BA1730) + IF(BB1730&gt;=115%,115%,BB1730) + IF(BC1730&gt;=115%,115%,BC1730) + IF(BD1730&gt;=115%,115%,BD1730) + IF(BE1730&gt;=115%,115%,BE1730) + IF(BF1730&gt;=115%,115%,BF1730) + IF(BG1730&gt;=115%,115%,BG1730) + IF(BH1730&gt;=115%,115%,BH1730)))/_xlfn.XLOOKUP(F1730,Apuração!A:A,Apuração!B:B)&gt;=1.15,1.15,((IF(AZ1730&gt;=115%,115%,AZ1730) + IF(AX1730&gt;=115%,115%,AX1730) + IF(AY1730&gt;=115%,115%,AY1730) + (IF(AW1730&gt;=115%,115%,AW1730) + IF(BA1730&gt;=115%,115%,BA1730) + IF(BB1730&gt;=115%,115%,BB1730) + IF(BC1730&gt;=115%,115%,BC1730) + IF(BD1730&gt;=115%,115%,BD1730) + IF(BE1730&gt;=115%,115%,BE1730) + IF(BF1730&gt;=115%,115%,BF1730) + IF(BG1730&gt;=115%,115%,BG1730) + IF(BH1730&gt;=115%,115%,BH1730)))/_xlfn.XLOOKUP(F1730,Apuração!A:A,Apuração!B:B)))</f>
        <v>0.26250000000000001</v>
      </c>
      <c r="BL1730" s="58" cm="1">
        <f t="array" aca="1" ref="BL1730" ca="1">IF(SUM(IFERROR(IF(INDEX(AW1730:INDEX(AW1730:BH1730, MATCH(2, 1/(AW1730:BH1730&lt;&gt;""), 1)-1), ROW(INDIRECT("1:" &amp; MATCH(2, 1/(AW1730:BH1730&lt;&gt;""), 1)-1))) &gt;= 115%, 115%, INDEX(AW1730:INDEX(AW1730:BH1730, MATCH(2, 1/(AW1730:BH1730&lt;&gt;""), 1)-1), ROW(INDIRECT("1:" &amp; MATCH(2, 1/(AW1730:BH1730&lt;&gt;""), 1)-1)))), 0))/_xlfn.XLOOKUP(F1730,Apuração!A:A,Apuração!B:B)&gt;=1.15,1.15,SUM(IFERROR(IF(INDEX(AW1730:INDEX(AW1730:BH1730, MATCH(2, 1/(AW1730:BH1730&lt;&gt;""), 1)-1), ROW(INDIRECT("1:" &amp; MATCH(2, 1/(AW1730:BH1730&lt;&gt;""), 1)-1))) &gt;= 115%, 115%, INDEX(AW1730:INDEX(AW1730:BH1730, MATCH(2, 1/(AW1730:BH1730&lt;&gt;""), 1)-1), ROW(INDIRECT("1:" &amp; MATCH(2, 1/(AW1730:BH1730&lt;&gt;""), 1)-1)))), 0))/_xlfn.XLOOKUP(F1730,Apuração!A:A,Apuração!B:B))</f>
        <v>0.16666666666666666</v>
      </c>
      <c r="BM1730" s="55" cm="1">
        <f t="array" ref="BM1730">IFERROR(
   INDEX($AW$1:$BH$1,
      _xlfn.AGGREGATE(14, 6, COLUMN($AW$1:$BH$1)/(AW1730:BH1730&lt;&gt;""), 2) - COLUMN($AW$1) + 1
   ),
"")</f>
        <v>46082</v>
      </c>
      <c r="BN1730" s="55" cm="1">
        <f t="array" ref="BN1730">IFERROR(INDEX($AW$1:$BH$1,1,MATCH(2,1/(AW1730:BH1730&lt;&gt;""))),"")</f>
        <v>46113</v>
      </c>
      <c r="BO1730" s="53">
        <f ca="1">IFERROR(_xlfn.XLOOKUP(F1730,Apuração!A:A,Apuração!C:C)/_xlfn.XLOOKUP(F1730,Apuração!A:A,Apuração!B:B),0)</f>
        <v>0.41666666666666669</v>
      </c>
      <c r="BP1730" s="53">
        <f ca="1">IFERROR(_xlfn.XLOOKUP(F1730,Apuração!A:A,Apuração!D:D)/_xlfn.XLOOKUP(F1730,Apuração!A:A,Apuração!B:B),0)</f>
        <v>0.33333333333333331</v>
      </c>
      <c r="BQ1730" s="53">
        <f ca="1">IF(BK1730&gt;=BO1730,0,_xlfn.XLOOKUP(F1730,Apuração!A:A,Apuração!B:B)*(BO1730 + (1/_xlfn.XLOOKUP(F1730,Apuração!A:A,Apuração!B:B)) - BK1730))</f>
        <v>2.8499999999999996</v>
      </c>
      <c r="BR1730" s="85">
        <f t="shared" ca="1" si="2013"/>
        <v>85.499999999999986</v>
      </c>
      <c r="BS1730" s="53">
        <f ca="1">IFERROR((_xlfn.XLOOKUP(F1730,Apuração!A:A,Apuração!C:C)+1)/_xlfn.XLOOKUP(F1730,Apuração!A:A,Apuração!B:B),0)</f>
        <v>0.5</v>
      </c>
    </row>
    <row r="1731" spans="1:71" ht="25.95" hidden="1" customHeight="1" x14ac:dyDescent="0.3">
      <c r="A1731" s="23" t="s">
        <v>134</v>
      </c>
      <c r="B1731" s="4" t="s">
        <v>142</v>
      </c>
      <c r="C1731" s="5" t="s">
        <v>214</v>
      </c>
      <c r="D1731" s="5" t="s">
        <v>212</v>
      </c>
      <c r="E1731" s="4" t="str" cm="1">
        <f t="array" ref="E1731">_xlfn.IFS(
F1731 = "A partir de Abril", "Aguardando Execução na Distribuidora",
A1731 = "CAPACITAÇÃO", "Em execução no Corporativo",
TRUE, "Em Execução na Distribuidora"
)</f>
        <v>Em Execução na Distribuidora</v>
      </c>
      <c r="F1731" s="4" t="str" cm="1">
        <f t="array" ref="F1731">_xlfn.IFS(
AG1731 &lt;&gt; "", "Jan-Dez/26",
AH1731 &lt;&gt; "", "Fev-Dez/26",
AI1731 &lt;&gt; "", "Mar-Dez/26", AJ1731 &lt;&gt; "", "Abr-Dez/26",
TRUE, "A partir de Junho"
)</f>
        <v>Jan-Dez/26</v>
      </c>
      <c r="G1731" s="4" t="s">
        <v>37</v>
      </c>
      <c r="H1731" s="7" t="s">
        <v>110</v>
      </c>
      <c r="I1731" s="8" t="s">
        <v>143</v>
      </c>
      <c r="J1731" s="8" t="str" cm="1">
        <f t="array" aca="1" ref="J1731" ca="1">_xlfn.LET(
  _xlpm.actual_value_month, INDEX(T1731:AE1731, MATCH(DATE(YEAR(TODAY()), MONTH(TODAY()), 1), $T$1:$AE$1, 0)),
  IF(_xlpm.actual_value_month &lt;&gt; "",_xlpm.actual_value_month &amp; " equipes mensais", "")
)</f>
        <v>44 equipes mensais</v>
      </c>
      <c r="K1731" s="8" t="str" cm="1">
        <f t="array" ref="K1731">_xlfn.LET(
    _xlpm.sum_month, SUM(T1731:AE1731),
    IF(_xlpm.sum_month = 0, "", _xlpm.sum_month &amp; " equipes inspencionadas no ano")
)</f>
        <v>543 equipes inspencionadas no ano</v>
      </c>
      <c r="L1731" s="4" t="s">
        <v>144</v>
      </c>
      <c r="M1731" s="24" t="s">
        <v>145</v>
      </c>
      <c r="N1731" s="5" t="s">
        <v>42</v>
      </c>
      <c r="O1731" s="5" t="s">
        <v>43</v>
      </c>
      <c r="P1731" s="10" t="s">
        <v>146</v>
      </c>
      <c r="Q1731" s="10" t="s">
        <v>44</v>
      </c>
      <c r="R1731" s="11" t="s">
        <v>147</v>
      </c>
      <c r="S1731" s="11" t="s">
        <v>44</v>
      </c>
      <c r="T1731" s="143">
        <v>5</v>
      </c>
      <c r="U1731" s="143">
        <v>53</v>
      </c>
      <c r="V1731" s="143">
        <v>89</v>
      </c>
      <c r="W1731" s="143">
        <v>44</v>
      </c>
      <c r="X1731" s="143">
        <v>44</v>
      </c>
      <c r="Y1731" s="143">
        <v>44</v>
      </c>
      <c r="Z1731" s="143">
        <v>44</v>
      </c>
      <c r="AA1731" s="143">
        <v>44</v>
      </c>
      <c r="AB1731" s="143">
        <v>44</v>
      </c>
      <c r="AC1731" s="143">
        <v>44</v>
      </c>
      <c r="AD1731" s="143">
        <v>44</v>
      </c>
      <c r="AE1731" s="143">
        <v>44</v>
      </c>
      <c r="AG1731" s="146">
        <v>5</v>
      </c>
      <c r="AH1731" s="150">
        <v>53</v>
      </c>
      <c r="AI1731" s="150">
        <v>89</v>
      </c>
      <c r="AJ1731" s="82">
        <v>259</v>
      </c>
      <c r="AK1731" s="71"/>
      <c r="AL1731" s="71"/>
      <c r="AM1731" s="71"/>
      <c r="AN1731" s="71"/>
      <c r="AO1731" s="71"/>
      <c r="AP1731" s="71"/>
      <c r="AQ1731" s="71"/>
      <c r="AR1731" s="71"/>
      <c r="AS1731" s="94">
        <f t="shared" ca="1" si="2006"/>
        <v>235</v>
      </c>
      <c r="AT1731" s="95">
        <f t="shared" si="2007"/>
        <v>197.6</v>
      </c>
      <c r="AU1731" s="97">
        <f t="shared" si="2008"/>
        <v>406</v>
      </c>
      <c r="AW1731" s="51">
        <f t="shared" si="2009"/>
        <v>1</v>
      </c>
      <c r="AX1731" s="51">
        <f t="shared" si="2010"/>
        <v>1</v>
      </c>
      <c r="AY1731" s="51">
        <f t="shared" si="2011"/>
        <v>1</v>
      </c>
      <c r="AZ1731" s="51">
        <f t="shared" si="2012"/>
        <v>5.8863636363636367</v>
      </c>
      <c r="BA1731" s="51"/>
      <c r="BB1731" s="51"/>
      <c r="BC1731" s="51"/>
      <c r="BD1731" s="51"/>
      <c r="BE1731" s="51"/>
      <c r="BF1731" s="51"/>
      <c r="BG1731" s="51"/>
      <c r="BH1731" s="51"/>
      <c r="BI1731" s="65" cm="1">
        <f t="array" ref="BI1731">IFERROR(INDEX(AW1731:BH1731,1,MATCH(2,1/(AW1731:BH1731&lt;&gt;""))),"")</f>
        <v>5.8863636363636367</v>
      </c>
      <c r="BJ1731" s="68" cm="1">
        <f t="array" ref="BJ1731">IF(BM1731 = "", "",IFERROR(INDEX(AW1731:BH1731,1,MATCH(2,1/(AW1731:BH1731&lt;&gt;""),1)-1),""))</f>
        <v>1</v>
      </c>
      <c r="BK1731" s="58">
        <f>IF((IF(AW1731&gt;=115%,115%,AW1731) + IF(AX1731&gt;=115%,115%,AX1731) + IF(AY1731&gt;=115%,115%,AY1731) + (IF(AZ1731&gt;=115%,115%,AZ1731) + IF(BA1731&gt;=115%,115%,BA1731) + IF(BB1731&gt;=115%,115%,BB1731) + IF(BC1731&gt;=115%,115%,BC1731) + IF(BD1731&gt;=115%,115%,BD1731) + IF(BE1731&gt;=115%,115%,BE1731) + IF(BF1731&gt;=115%,115%,BF1731) + IF(BG1731&gt;=115%,115%,BG1731) + IF(BH1731&gt;=115%,115%,BH1731)))/_xlfn.XLOOKUP(F1731,Apuração!A:A,Apuração!B:B)&gt;=1.15,1.15,((IF(AZ1731&gt;=115%,115%,AZ1731) + IF(AX1731&gt;=115%,115%,AX1731) + IF(AY1731&gt;=115%,115%,AY1731) + (IF(AW1731&gt;=115%,115%,AW1731) + IF(BA1731&gt;=115%,115%,BA1731) + IF(BB1731&gt;=115%,115%,BB1731) + IF(BC1731&gt;=115%,115%,BC1731) + IF(BD1731&gt;=115%,115%,BD1731) + IF(BE1731&gt;=115%,115%,BE1731) + IF(BF1731&gt;=115%,115%,BF1731) + IF(BG1731&gt;=115%,115%,BG1731) + IF(BH1731&gt;=115%,115%,BH1731)))/_xlfn.XLOOKUP(F1731,Apuração!A:A,Apuração!B:B)))</f>
        <v>0.34583333333333338</v>
      </c>
      <c r="BL1731" s="58" cm="1">
        <f t="array" aca="1" ref="BL1731" ca="1">IF(SUM(IFERROR(IF(INDEX(AW1731:INDEX(AW1731:BH1731, MATCH(2, 1/(AW1731:BH1731&lt;&gt;""), 1)-1), ROW(INDIRECT("1:" &amp; MATCH(2, 1/(AW1731:BH1731&lt;&gt;""), 1)-1))) &gt;= 115%, 115%, INDEX(AW1731:INDEX(AW1731:BH1731, MATCH(2, 1/(AW1731:BH1731&lt;&gt;""), 1)-1), ROW(INDIRECT("1:" &amp; MATCH(2, 1/(AW1731:BH1731&lt;&gt;""), 1)-1)))), 0))/_xlfn.XLOOKUP(F1731,Apuração!A:A,Apuração!B:B)&gt;=1.15,1.15,SUM(IFERROR(IF(INDEX(AW1731:INDEX(AW1731:BH1731, MATCH(2, 1/(AW1731:BH1731&lt;&gt;""), 1)-1), ROW(INDIRECT("1:" &amp; MATCH(2, 1/(AW1731:BH1731&lt;&gt;""), 1)-1))) &gt;= 115%, 115%, INDEX(AW1731:INDEX(AW1731:BH1731, MATCH(2, 1/(AW1731:BH1731&lt;&gt;""), 1)-1), ROW(INDIRECT("1:" &amp; MATCH(2, 1/(AW1731:BH1731&lt;&gt;""), 1)-1)))), 0))/_xlfn.XLOOKUP(F1731,Apuração!A:A,Apuração!B:B))</f>
        <v>0.25</v>
      </c>
      <c r="BM1731" s="55" cm="1">
        <f t="array" ref="BM1731">IFERROR(
   INDEX($AW$1:$BH$1,
      _xlfn.AGGREGATE(14, 6, COLUMN($AW$1:$BH$1)/(AW1731:BH1731&lt;&gt;""), 2) - COLUMN($AW$1) + 1
   ),
"")</f>
        <v>46082</v>
      </c>
      <c r="BN1731" s="55" cm="1">
        <f t="array" ref="BN1731">IFERROR(INDEX($AW$1:$BH$1,1,MATCH(2,1/(AW1731:BH1731&lt;&gt;""))),"")</f>
        <v>46113</v>
      </c>
      <c r="BO1731" s="53">
        <f ca="1">IFERROR(_xlfn.XLOOKUP(F1731,Apuração!A:A,Apuração!C:C)/_xlfn.XLOOKUP(F1731,Apuração!A:A,Apuração!B:B),0)</f>
        <v>0.41666666666666669</v>
      </c>
      <c r="BP1731" s="53">
        <f ca="1">IFERROR(_xlfn.XLOOKUP(F1731,Apuração!A:A,Apuração!D:D)/_xlfn.XLOOKUP(F1731,Apuração!A:A,Apuração!B:B),0)</f>
        <v>0.33333333333333331</v>
      </c>
      <c r="BQ1731" s="53">
        <f ca="1">IF(BK1731&gt;=BO1731,0,_xlfn.XLOOKUP(F1731,Apuração!A:A,Apuração!B:B)*(BO1731 + (1/_xlfn.XLOOKUP(F1731,Apuração!A:A,Apuração!B:B)) - BK1731))</f>
        <v>1.8499999999999994</v>
      </c>
      <c r="BR1731" s="85">
        <f t="shared" ca="1" si="2013"/>
        <v>81.399999999999977</v>
      </c>
      <c r="BS1731" s="53">
        <f ca="1">IFERROR((_xlfn.XLOOKUP(F1731,Apuração!A:A,Apuração!C:C)+1)/_xlfn.XLOOKUP(F1731,Apuração!A:A,Apuração!B:B),0)</f>
        <v>0.5</v>
      </c>
    </row>
    <row r="1732" spans="1:71" ht="25.95" hidden="1" customHeight="1" x14ac:dyDescent="0.3">
      <c r="A1732" s="23" t="s">
        <v>134</v>
      </c>
      <c r="B1732" s="4" t="s">
        <v>142</v>
      </c>
      <c r="C1732" s="5" t="s">
        <v>214</v>
      </c>
      <c r="D1732" s="5" t="s">
        <v>48</v>
      </c>
      <c r="E1732" s="4" t="str" cm="1">
        <f t="array" ref="E1732">_xlfn.IFS(
F1732 = "A partir de Abril", "Aguardando Execução na Distribuidora",
A1732 = "CAPACITAÇÃO", "Em execução no Corporativo",
TRUE, "Em Execução na Distribuidora"
)</f>
        <v>Em Execução na Distribuidora</v>
      </c>
      <c r="F1732" s="4" t="str" cm="1">
        <f t="array" ref="F1732">_xlfn.IFS(
AG1732 &lt;&gt; "", "Jan-Dez/26",
AH1732 &lt;&gt; "", "Fev-Dez/26",
AI1732 &lt;&gt; "", "Mar-Dez/26", AJ1732 &lt;&gt; "", "Abr-Dez/26",
TRUE, "A partir de Junho"
)</f>
        <v>Jan-Dez/26</v>
      </c>
      <c r="G1732" s="4" t="s">
        <v>37</v>
      </c>
      <c r="H1732" s="7" t="s">
        <v>110</v>
      </c>
      <c r="I1732" s="8" t="s">
        <v>143</v>
      </c>
      <c r="J1732" s="8" t="str" cm="1">
        <f t="array" aca="1" ref="J1732" ca="1">_xlfn.LET(
  _xlpm.actual_value_month, INDEX(T1732:AE1732, MATCH(DATE(YEAR(TODAY()), MONTH(TODAY()), 1), $T$1:$AE$1, 0)),
  IF(_xlpm.actual_value_month &lt;&gt; "",_xlpm.actual_value_month &amp; " equipes mensais", "")
)</f>
        <v>21 equipes mensais</v>
      </c>
      <c r="K1732" s="8" t="str" cm="1">
        <f t="array" ref="K1732">_xlfn.LET(
    _xlpm.sum_month, SUM(T1732:AE1732),
    IF(_xlpm.sum_month = 0, "", _xlpm.sum_month &amp; " equipes inspencionadas no ano")
)</f>
        <v>195 equipes inspencionadas no ano</v>
      </c>
      <c r="L1732" s="4" t="s">
        <v>144</v>
      </c>
      <c r="M1732" s="24" t="s">
        <v>145</v>
      </c>
      <c r="N1732" s="5" t="s">
        <v>42</v>
      </c>
      <c r="O1732" s="5" t="s">
        <v>43</v>
      </c>
      <c r="P1732" s="10" t="s">
        <v>146</v>
      </c>
      <c r="Q1732" s="10" t="s">
        <v>44</v>
      </c>
      <c r="R1732" s="11" t="s">
        <v>147</v>
      </c>
      <c r="S1732" s="11" t="s">
        <v>44</v>
      </c>
      <c r="T1732" s="143">
        <v>1</v>
      </c>
      <c r="U1732" s="143">
        <v>5</v>
      </c>
      <c r="V1732" s="143">
        <v>0</v>
      </c>
      <c r="W1732" s="143">
        <v>21</v>
      </c>
      <c r="X1732" s="143">
        <v>21</v>
      </c>
      <c r="Y1732" s="143">
        <v>21</v>
      </c>
      <c r="Z1732" s="143">
        <v>21</v>
      </c>
      <c r="AA1732" s="143">
        <v>21</v>
      </c>
      <c r="AB1732" s="143">
        <v>21</v>
      </c>
      <c r="AC1732" s="143">
        <v>21</v>
      </c>
      <c r="AD1732" s="143">
        <v>21</v>
      </c>
      <c r="AE1732" s="143">
        <v>21</v>
      </c>
      <c r="AG1732" s="146">
        <v>1</v>
      </c>
      <c r="AH1732" s="150">
        <v>5</v>
      </c>
      <c r="AI1732" s="150">
        <v>0</v>
      </c>
      <c r="AJ1732" s="82">
        <v>68</v>
      </c>
      <c r="AK1732" s="71"/>
      <c r="AL1732" s="71"/>
      <c r="AM1732" s="71"/>
      <c r="AN1732" s="71"/>
      <c r="AO1732" s="71"/>
      <c r="AP1732" s="71"/>
      <c r="AQ1732" s="71"/>
      <c r="AR1732" s="71"/>
      <c r="AS1732" s="94">
        <f t="shared" ca="1" si="2006"/>
        <v>48</v>
      </c>
      <c r="AT1732" s="95">
        <f t="shared" si="2007"/>
        <v>30.15</v>
      </c>
      <c r="AU1732" s="97">
        <f t="shared" si="2008"/>
        <v>74</v>
      </c>
      <c r="AW1732" s="51">
        <f t="shared" si="2009"/>
        <v>1</v>
      </c>
      <c r="AX1732" s="51">
        <f t="shared" si="2010"/>
        <v>1</v>
      </c>
      <c r="AY1732" s="51">
        <f t="shared" si="2011"/>
        <v>0</v>
      </c>
      <c r="AZ1732" s="51">
        <f t="shared" si="2012"/>
        <v>3.2380952380952381</v>
      </c>
      <c r="BA1732" s="51"/>
      <c r="BB1732" s="51"/>
      <c r="BC1732" s="51"/>
      <c r="BD1732" s="51"/>
      <c r="BE1732" s="51"/>
      <c r="BF1732" s="51"/>
      <c r="BG1732" s="51"/>
      <c r="BH1732" s="51"/>
      <c r="BI1732" s="65" cm="1">
        <f t="array" ref="BI1732">IFERROR(INDEX(AW1732:BH1732,1,MATCH(2,1/(AW1732:BH1732&lt;&gt;""))),"")</f>
        <v>3.2380952380952381</v>
      </c>
      <c r="BJ1732" s="68" cm="1">
        <f t="array" ref="BJ1732">IF(BM1732 = "", "",IFERROR(INDEX(AW1732:BH1732,1,MATCH(2,1/(AW1732:BH1732&lt;&gt;""),1)-1),""))</f>
        <v>0</v>
      </c>
      <c r="BK1732" s="58">
        <f>IF((IF(AW1732&gt;=115%,115%,AW1732) + IF(AX1732&gt;=115%,115%,AX1732) + IF(AY1732&gt;=115%,115%,AY1732) + (IF(AZ1732&gt;=115%,115%,AZ1732) + IF(BA1732&gt;=115%,115%,BA1732) + IF(BB1732&gt;=115%,115%,BB1732) + IF(BC1732&gt;=115%,115%,BC1732) + IF(BD1732&gt;=115%,115%,BD1732) + IF(BE1732&gt;=115%,115%,BE1732) + IF(BF1732&gt;=115%,115%,BF1732) + IF(BG1732&gt;=115%,115%,BG1732) + IF(BH1732&gt;=115%,115%,BH1732)))/_xlfn.XLOOKUP(F1732,Apuração!A:A,Apuração!B:B)&gt;=1.15,1.15,((IF(AZ1732&gt;=115%,115%,AZ1732) + IF(AX1732&gt;=115%,115%,AX1732) + IF(AY1732&gt;=115%,115%,AY1732) + (IF(AW1732&gt;=115%,115%,AW1732) + IF(BA1732&gt;=115%,115%,BA1732) + IF(BB1732&gt;=115%,115%,BB1732) + IF(BC1732&gt;=115%,115%,BC1732) + IF(BD1732&gt;=115%,115%,BD1732) + IF(BE1732&gt;=115%,115%,BE1732) + IF(BF1732&gt;=115%,115%,BF1732) + IF(BG1732&gt;=115%,115%,BG1732) + IF(BH1732&gt;=115%,115%,BH1732)))/_xlfn.XLOOKUP(F1732,Apuração!A:A,Apuração!B:B)))</f>
        <v>0.26250000000000001</v>
      </c>
      <c r="BL1732" s="58" cm="1">
        <f t="array" aca="1" ref="BL1732" ca="1">IF(SUM(IFERROR(IF(INDEX(AW1732:INDEX(AW1732:BH1732, MATCH(2, 1/(AW1732:BH1732&lt;&gt;""), 1)-1), ROW(INDIRECT("1:" &amp; MATCH(2, 1/(AW1732:BH1732&lt;&gt;""), 1)-1))) &gt;= 115%, 115%, INDEX(AW1732:INDEX(AW1732:BH1732, MATCH(2, 1/(AW1732:BH1732&lt;&gt;""), 1)-1), ROW(INDIRECT("1:" &amp; MATCH(2, 1/(AW1732:BH1732&lt;&gt;""), 1)-1)))), 0))/_xlfn.XLOOKUP(F1732,Apuração!A:A,Apuração!B:B)&gt;=1.15,1.15,SUM(IFERROR(IF(INDEX(AW1732:INDEX(AW1732:BH1732, MATCH(2, 1/(AW1732:BH1732&lt;&gt;""), 1)-1), ROW(INDIRECT("1:" &amp; MATCH(2, 1/(AW1732:BH1732&lt;&gt;""), 1)-1))) &gt;= 115%, 115%, INDEX(AW1732:INDEX(AW1732:BH1732, MATCH(2, 1/(AW1732:BH1732&lt;&gt;""), 1)-1), ROW(INDIRECT("1:" &amp; MATCH(2, 1/(AW1732:BH1732&lt;&gt;""), 1)-1)))), 0))/_xlfn.XLOOKUP(F1732,Apuração!A:A,Apuração!B:B))</f>
        <v>0.16666666666666666</v>
      </c>
      <c r="BM1732" s="55" cm="1">
        <f t="array" ref="BM1732">IFERROR(
   INDEX($AW$1:$BH$1,
      _xlfn.AGGREGATE(14, 6, COLUMN($AW$1:$BH$1)/(AW1732:BH1732&lt;&gt;""), 2) - COLUMN($AW$1) + 1
   ),
"")</f>
        <v>46082</v>
      </c>
      <c r="BN1732" s="55" cm="1">
        <f t="array" ref="BN1732">IFERROR(INDEX($AW$1:$BH$1,1,MATCH(2,1/(AW1732:BH1732&lt;&gt;""))),"")</f>
        <v>46113</v>
      </c>
      <c r="BO1732" s="53">
        <f ca="1">IFERROR(_xlfn.XLOOKUP(F1732,Apuração!A:A,Apuração!C:C)/_xlfn.XLOOKUP(F1732,Apuração!A:A,Apuração!B:B),0)</f>
        <v>0.41666666666666669</v>
      </c>
      <c r="BP1732" s="53">
        <f ca="1">IFERROR(_xlfn.XLOOKUP(F1732,Apuração!A:A,Apuração!D:D)/_xlfn.XLOOKUP(F1732,Apuração!A:A,Apuração!B:B),0)</f>
        <v>0.33333333333333331</v>
      </c>
      <c r="BQ1732" s="53">
        <f ca="1">IF(BK1732&gt;=BO1732,0,_xlfn.XLOOKUP(F1732,Apuração!A:A,Apuração!B:B)*(BO1732 + (1/_xlfn.XLOOKUP(F1732,Apuração!A:A,Apuração!B:B)) - BK1732))</f>
        <v>2.8499999999999996</v>
      </c>
      <c r="BR1732" s="85">
        <f t="shared" ca="1" si="2013"/>
        <v>59.849999999999994</v>
      </c>
      <c r="BS1732" s="53">
        <f ca="1">IFERROR((_xlfn.XLOOKUP(F1732,Apuração!A:A,Apuração!C:C)+1)/_xlfn.XLOOKUP(F1732,Apuração!A:A,Apuração!B:B),0)</f>
        <v>0.5</v>
      </c>
    </row>
    <row r="1733" spans="1:71" ht="25.95" hidden="1" customHeight="1" x14ac:dyDescent="0.3">
      <c r="A1733" s="23" t="s">
        <v>134</v>
      </c>
      <c r="B1733" s="4" t="s">
        <v>142</v>
      </c>
      <c r="C1733" s="5" t="s">
        <v>214</v>
      </c>
      <c r="D1733" s="5" t="s">
        <v>213</v>
      </c>
      <c r="E1733" s="4" t="str" cm="1">
        <f t="array" ref="E1733">_xlfn.IFS(
F1733 = "A partir de Abril", "Aguardando Execução na Distribuidora",
A1733 = "CAPACITAÇÃO", "Em execução no Corporativo",
TRUE, "Em Execução na Distribuidora"
)</f>
        <v>Em Execução na Distribuidora</v>
      </c>
      <c r="F1733" s="4" t="str" cm="1">
        <f t="array" ref="F1733">_xlfn.IFS(
AG1733 &lt;&gt; "", "Jan-Dez/26",
AH1733 &lt;&gt; "", "Fev-Dez/26",
AI1733 &lt;&gt; "", "Mar-Dez/26", AJ1733 &lt;&gt; "", "Abr-Dez/26",
TRUE, "A partir de Junho"
)</f>
        <v>Jan-Dez/26</v>
      </c>
      <c r="G1733" s="4" t="s">
        <v>37</v>
      </c>
      <c r="H1733" s="7" t="s">
        <v>110</v>
      </c>
      <c r="I1733" s="8" t="s">
        <v>143</v>
      </c>
      <c r="J1733" s="8" t="str" cm="1">
        <f t="array" aca="1" ref="J1733" ca="1">_xlfn.LET(
  _xlpm.actual_value_month, INDEX(T1733:AE1733, MATCH(DATE(YEAR(TODAY()), MONTH(TODAY()), 1), $T$1:$AE$1, 0)),
  IF(_xlpm.actual_value_month &lt;&gt; "",_xlpm.actual_value_month &amp; " equipes mensais", "")
)</f>
        <v>39 equipes mensais</v>
      </c>
      <c r="K1733" s="8" t="str" cm="1">
        <f t="array" ref="K1733">_xlfn.LET(
    _xlpm.sum_month, SUM(T1733:AE1733),
    IF(_xlpm.sum_month = 0, "", _xlpm.sum_month &amp; " equipes inspencionadas no ano")
)</f>
        <v>405 equipes inspencionadas no ano</v>
      </c>
      <c r="L1733" s="4" t="s">
        <v>144</v>
      </c>
      <c r="M1733" s="24" t="s">
        <v>145</v>
      </c>
      <c r="N1733" s="5" t="s">
        <v>42</v>
      </c>
      <c r="O1733" s="5" t="s">
        <v>43</v>
      </c>
      <c r="P1733" s="10" t="s">
        <v>146</v>
      </c>
      <c r="Q1733" s="10" t="s">
        <v>44</v>
      </c>
      <c r="R1733" s="11" t="s">
        <v>147</v>
      </c>
      <c r="S1733" s="11" t="s">
        <v>44</v>
      </c>
      <c r="T1733" s="143">
        <v>13</v>
      </c>
      <c r="U1733" s="143">
        <v>24</v>
      </c>
      <c r="V1733" s="143">
        <v>17</v>
      </c>
      <c r="W1733" s="143">
        <v>39</v>
      </c>
      <c r="X1733" s="143">
        <v>39</v>
      </c>
      <c r="Y1733" s="143">
        <v>39</v>
      </c>
      <c r="Z1733" s="143">
        <v>39</v>
      </c>
      <c r="AA1733" s="143">
        <v>39</v>
      </c>
      <c r="AB1733" s="143">
        <v>39</v>
      </c>
      <c r="AC1733" s="143">
        <v>39</v>
      </c>
      <c r="AD1733" s="143">
        <v>39</v>
      </c>
      <c r="AE1733" s="143">
        <v>39</v>
      </c>
      <c r="AG1733" s="146">
        <v>13</v>
      </c>
      <c r="AH1733" s="150">
        <v>24</v>
      </c>
      <c r="AI1733" s="150">
        <v>17</v>
      </c>
      <c r="AJ1733" s="82">
        <v>352</v>
      </c>
      <c r="AK1733" s="71"/>
      <c r="AL1733" s="71"/>
      <c r="AM1733" s="71"/>
      <c r="AN1733" s="71"/>
      <c r="AO1733" s="71"/>
      <c r="AP1733" s="71"/>
      <c r="AQ1733" s="71"/>
      <c r="AR1733" s="71"/>
      <c r="AS1733" s="94">
        <f t="shared" ca="1" si="2006"/>
        <v>132</v>
      </c>
      <c r="AT1733" s="95">
        <f t="shared" si="2007"/>
        <v>98.85</v>
      </c>
      <c r="AU1733" s="97">
        <f t="shared" si="2008"/>
        <v>406</v>
      </c>
      <c r="AW1733" s="51">
        <f t="shared" si="2009"/>
        <v>1</v>
      </c>
      <c r="AX1733" s="51">
        <f t="shared" si="2010"/>
        <v>1</v>
      </c>
      <c r="AY1733" s="51">
        <f t="shared" si="2011"/>
        <v>1</v>
      </c>
      <c r="AZ1733" s="51">
        <f t="shared" si="2012"/>
        <v>9.0256410256410255</v>
      </c>
      <c r="BA1733" s="51"/>
      <c r="BB1733" s="51"/>
      <c r="BC1733" s="51"/>
      <c r="BD1733" s="51"/>
      <c r="BE1733" s="51"/>
      <c r="BF1733" s="51"/>
      <c r="BG1733" s="51"/>
      <c r="BH1733" s="51"/>
      <c r="BI1733" s="65" cm="1">
        <f t="array" ref="BI1733">IFERROR(INDEX(AW1733:BH1733,1,MATCH(2,1/(AW1733:BH1733&lt;&gt;""))),"")</f>
        <v>9.0256410256410255</v>
      </c>
      <c r="BJ1733" s="68" cm="1">
        <f t="array" ref="BJ1733">IF(BM1733 = "", "",IFERROR(INDEX(AW1733:BH1733,1,MATCH(2,1/(AW1733:BH1733&lt;&gt;""),1)-1),""))</f>
        <v>1</v>
      </c>
      <c r="BK1733" s="58">
        <f>IF((IF(AW1733&gt;=115%,115%,AW1733) + IF(AX1733&gt;=115%,115%,AX1733) + IF(AY1733&gt;=115%,115%,AY1733) + (IF(AZ1733&gt;=115%,115%,AZ1733) + IF(BA1733&gt;=115%,115%,BA1733) + IF(BB1733&gt;=115%,115%,BB1733) + IF(BC1733&gt;=115%,115%,BC1733) + IF(BD1733&gt;=115%,115%,BD1733) + IF(BE1733&gt;=115%,115%,BE1733) + IF(BF1733&gt;=115%,115%,BF1733) + IF(BG1733&gt;=115%,115%,BG1733) + IF(BH1733&gt;=115%,115%,BH1733)))/_xlfn.XLOOKUP(F1733,Apuração!A:A,Apuração!B:B)&gt;=1.15,1.15,((IF(AZ1733&gt;=115%,115%,AZ1733) + IF(AX1733&gt;=115%,115%,AX1733) + IF(AY1733&gt;=115%,115%,AY1733) + (IF(AW1733&gt;=115%,115%,AW1733) + IF(BA1733&gt;=115%,115%,BA1733) + IF(BB1733&gt;=115%,115%,BB1733) + IF(BC1733&gt;=115%,115%,BC1733) + IF(BD1733&gt;=115%,115%,BD1733) + IF(BE1733&gt;=115%,115%,BE1733) + IF(BF1733&gt;=115%,115%,BF1733) + IF(BG1733&gt;=115%,115%,BG1733) + IF(BH1733&gt;=115%,115%,BH1733)))/_xlfn.XLOOKUP(F1733,Apuração!A:A,Apuração!B:B)))</f>
        <v>0.34583333333333338</v>
      </c>
      <c r="BL1733" s="58" cm="1">
        <f t="array" aca="1" ref="BL1733" ca="1">IF(SUM(IFERROR(IF(INDEX(AW1733:INDEX(AW1733:BH1733, MATCH(2, 1/(AW1733:BH1733&lt;&gt;""), 1)-1), ROW(INDIRECT("1:" &amp; MATCH(2, 1/(AW1733:BH1733&lt;&gt;""), 1)-1))) &gt;= 115%, 115%, INDEX(AW1733:INDEX(AW1733:BH1733, MATCH(2, 1/(AW1733:BH1733&lt;&gt;""), 1)-1), ROW(INDIRECT("1:" &amp; MATCH(2, 1/(AW1733:BH1733&lt;&gt;""), 1)-1)))), 0))/_xlfn.XLOOKUP(F1733,Apuração!A:A,Apuração!B:B)&gt;=1.15,1.15,SUM(IFERROR(IF(INDEX(AW1733:INDEX(AW1733:BH1733, MATCH(2, 1/(AW1733:BH1733&lt;&gt;""), 1)-1), ROW(INDIRECT("1:" &amp; MATCH(2, 1/(AW1733:BH1733&lt;&gt;""), 1)-1))) &gt;= 115%, 115%, INDEX(AW1733:INDEX(AW1733:BH1733, MATCH(2, 1/(AW1733:BH1733&lt;&gt;""), 1)-1), ROW(INDIRECT("1:" &amp; MATCH(2, 1/(AW1733:BH1733&lt;&gt;""), 1)-1)))), 0))/_xlfn.XLOOKUP(F1733,Apuração!A:A,Apuração!B:B))</f>
        <v>0.25</v>
      </c>
      <c r="BM1733" s="55" cm="1">
        <f t="array" ref="BM1733">IFERROR(
   INDEX($AW$1:$BH$1,
      _xlfn.AGGREGATE(14, 6, COLUMN($AW$1:$BH$1)/(AW1733:BH1733&lt;&gt;""), 2) - COLUMN($AW$1) + 1
   ),
"")</f>
        <v>46082</v>
      </c>
      <c r="BN1733" s="55" cm="1">
        <f t="array" ref="BN1733">IFERROR(INDEX($AW$1:$BH$1,1,MATCH(2,1/(AW1733:BH1733&lt;&gt;""))),"")</f>
        <v>46113</v>
      </c>
      <c r="BO1733" s="53">
        <f ca="1">IFERROR(_xlfn.XLOOKUP(F1733,Apuração!A:A,Apuração!C:C)/_xlfn.XLOOKUP(F1733,Apuração!A:A,Apuração!B:B),0)</f>
        <v>0.41666666666666669</v>
      </c>
      <c r="BP1733" s="53">
        <f ca="1">IFERROR(_xlfn.XLOOKUP(F1733,Apuração!A:A,Apuração!D:D)/_xlfn.XLOOKUP(F1733,Apuração!A:A,Apuração!B:B),0)</f>
        <v>0.33333333333333331</v>
      </c>
      <c r="BQ1733" s="53">
        <f ca="1">IF(BK1733&gt;=BO1733,0,_xlfn.XLOOKUP(F1733,Apuração!A:A,Apuração!B:B)*(BO1733 + (1/_xlfn.XLOOKUP(F1733,Apuração!A:A,Apuração!B:B)) - BK1733))</f>
        <v>1.8499999999999994</v>
      </c>
      <c r="BR1733" s="85">
        <f t="shared" ca="1" si="2013"/>
        <v>72.149999999999977</v>
      </c>
      <c r="BS1733" s="53">
        <f ca="1">IFERROR((_xlfn.XLOOKUP(F1733,Apuração!A:A,Apuração!C:C)+1)/_xlfn.XLOOKUP(F1733,Apuração!A:A,Apuração!B:B),0)</f>
        <v>0.5</v>
      </c>
    </row>
    <row r="1734" spans="1:71" ht="25.95" hidden="1" customHeight="1" x14ac:dyDescent="0.3">
      <c r="A1734" s="42" t="s">
        <v>134</v>
      </c>
      <c r="B1734" s="4" t="s">
        <v>142</v>
      </c>
      <c r="C1734" s="5" t="s">
        <v>214</v>
      </c>
      <c r="D1734" s="5" t="s">
        <v>36</v>
      </c>
      <c r="E1734" s="4" t="str" cm="1">
        <f t="array" ref="E1734">_xlfn.IFS(
F1734 = "A partir de Abril", "Aguardando Execução na Distribuidora",
A1734 = "CAPACITAÇÃO", "Em execução no Corporativo",
TRUE, "Em Execução na Distribuidora"
)</f>
        <v>Em Execução na Distribuidora</v>
      </c>
      <c r="F1734" s="4" t="str" cm="1">
        <f t="array" ref="F1734">_xlfn.IFS(
AG1734 &lt;&gt; "", "Jan-Dez/26",
AH1734 &lt;&gt; "", "Fev-Dez/26",
AI1734 &lt;&gt; "", "Mar-Dez/26", AJ1734 &lt;&gt; "", "Abr-Dez/26",
TRUE, "A partir de Junho"
)</f>
        <v>Jan-Dez/26</v>
      </c>
      <c r="G1734" s="4" t="s">
        <v>37</v>
      </c>
      <c r="H1734" s="7" t="s">
        <v>110</v>
      </c>
      <c r="I1734" s="8" t="s">
        <v>148</v>
      </c>
      <c r="J1734" s="8" t="str" cm="1">
        <f t="array" aca="1" ref="J1734" ca="1">_xlfn.LET(
  _xlpm.actual_value_month, INDEX(T1734:AE1734, MATCH(DATE(YEAR(TODAY()), MONTH(TODAY()), 1), $T$1:$AE$1, 0)),
  IF(_xlpm.actual_value_month &lt;&gt; "",_xlpm.actual_value_month &amp; " ações mensais", "")
)</f>
        <v/>
      </c>
      <c r="K1734" s="8" t="str" cm="1">
        <f t="array" ref="K1734">_xlfn.LET(
    _xlpm.sum_month, SUM(T1734:AE1734),
    IF(_xlpm.sum_month = 0, "", _xlpm.sum_month &amp; " NC's no ano")
)</f>
        <v/>
      </c>
      <c r="L1734" s="9" t="s">
        <v>149</v>
      </c>
      <c r="M1734" s="24">
        <v>1</v>
      </c>
      <c r="N1734" s="5" t="s">
        <v>51</v>
      </c>
      <c r="O1734" s="5" t="s">
        <v>52</v>
      </c>
      <c r="P1734" s="10" t="s">
        <v>44</v>
      </c>
      <c r="Q1734" s="10" t="s">
        <v>44</v>
      </c>
      <c r="R1734" s="11" t="s">
        <v>44</v>
      </c>
      <c r="S1734" s="11" t="s">
        <v>44</v>
      </c>
      <c r="T1734" s="22"/>
      <c r="U1734" s="22"/>
      <c r="V1734" s="22"/>
      <c r="W1734" s="22"/>
      <c r="X1734" s="22"/>
      <c r="Y1734" s="22"/>
      <c r="Z1734" s="22"/>
      <c r="AA1734" s="22"/>
      <c r="AB1734" s="22"/>
      <c r="AC1734" s="22"/>
      <c r="AD1734" s="22"/>
      <c r="AE1734" s="22"/>
      <c r="AG1734" s="71">
        <v>0</v>
      </c>
      <c r="AH1734" s="71">
        <v>0</v>
      </c>
      <c r="AI1734" s="71">
        <v>0</v>
      </c>
      <c r="AJ1734" s="71">
        <v>1008</v>
      </c>
      <c r="AK1734" s="71"/>
      <c r="AL1734" s="71"/>
      <c r="AM1734" s="71"/>
      <c r="AN1734" s="71"/>
      <c r="AO1734" s="71"/>
      <c r="AP1734" s="71"/>
      <c r="AQ1734" s="71"/>
      <c r="AR1734" s="71"/>
      <c r="AS1734" s="94">
        <f ca="1">IF(MONTH(TODAY())=3,SUM(T1734:U1734),IF(MONTH(TODAY())=4,SUM(T1734:V1734),IF(MONTH(TODAY())=5,SUM(T1734:W1734),IF(MONTH(TODAY())=6,SUM(T1734:X1734),IF(MONTH(TODAY())=7,SUM(T1734:Y1734),IF(MONTH(TODAY())=8,SUM(T1734:Z1734),IF(MONTH(TODAY())=9,SUM(T1734:AA1734),IF(MONTH(TODAY())=10,SUM(T1734:AB1734),IF(MONTH(TODAY())=11,SUM(T1734:AC1734),IF(MONTH(TODAY())=12,SUM(T1734:AD1734),IF(MONTH(TODAY())=1,SUM(T1734:AE1734),T1734)))))))))))</f>
        <v>0</v>
      </c>
      <c r="AT1734" s="95">
        <f>SUM(AG1734:AR1734)</f>
        <v>1008</v>
      </c>
      <c r="AU1734" s="97">
        <f>SUM(AG1734:AR1734)</f>
        <v>1008</v>
      </c>
      <c r="AW1734" s="83">
        <f>AG1734</f>
        <v>0</v>
      </c>
      <c r="AX1734" s="83">
        <f>AH1734</f>
        <v>0</v>
      </c>
      <c r="AY1734" s="83">
        <f>AI1734</f>
        <v>0</v>
      </c>
      <c r="AZ1734" s="83">
        <f>AJ1734</f>
        <v>1008</v>
      </c>
      <c r="BA1734" s="52"/>
      <c r="BB1734" s="52"/>
      <c r="BC1734" s="52"/>
      <c r="BD1734" s="52"/>
      <c r="BE1734" s="52"/>
      <c r="BF1734" s="52"/>
      <c r="BG1734" s="52"/>
      <c r="BH1734" s="52"/>
      <c r="BI1734" s="68" cm="1">
        <f t="array" ref="BI1734">IFERROR(INDEX(AW1734:BH1734,1,MATCH(2,1/(AW1734:BH1734&lt;&gt;""))),"")</f>
        <v>1008</v>
      </c>
      <c r="BJ1734" s="68" cm="1">
        <f t="array" ref="BJ1734">IF(BM1734 = "", "",IFERROR(INDEX(AW1734:BH1734,1,MATCH(2,1/(AW1734:BH1734&lt;&gt;""),1)-1),""))</f>
        <v>0</v>
      </c>
      <c r="BK1734" s="59">
        <f>SUM(AW1734:BH1734)</f>
        <v>1008</v>
      </c>
      <c r="BL1734" s="59" cm="1">
        <f t="array" ref="BL1734">IFERROR(SUM(AW1734:INDEX(AW1734:BH1734, MATCH(2, 1/(AW1734:BH1734&lt;&gt;""), 1) - 1))/_xlfn.XLOOKUP(F1734,Apuração!A:A,Apuração!B:B),0)</f>
        <v>0</v>
      </c>
      <c r="BM1734" s="55" cm="1">
        <f t="array" ref="BM1734">IFERROR(
   INDEX($AW$1:$BH$1,
      _xlfn.AGGREGATE(14, 6, COLUMN($AW$1:$BH$1)/(AW1734:BH1734&lt;&gt;""), 2) - COLUMN($AW$1) + 1
   ),
"")</f>
        <v>46082</v>
      </c>
      <c r="BN1734" s="55" cm="1">
        <f t="array" ref="BN1734">IFERROR(INDEX($AW$1:$BH$1,1,MATCH(2,1/(AW1734:BH1734&lt;&gt;""))),"")</f>
        <v>46113</v>
      </c>
      <c r="BO1734" s="53">
        <f ca="1">IFERROR(_xlfn.XLOOKUP(F1734,Apuração!A:A,Apuração!C:C)/_xlfn.XLOOKUP(F1734,Apuração!A:A,Apuração!B:B),0)</f>
        <v>0.41666666666666669</v>
      </c>
      <c r="BP1734" s="53">
        <f ca="1">IFERROR(_xlfn.XLOOKUP(F1734,Apuração!A:A,Apuração!D:D)/_xlfn.XLOOKUP(F1734,Apuração!A:A,Apuração!B:B),0)</f>
        <v>0.33333333333333331</v>
      </c>
      <c r="BQ1734" s="53">
        <f ca="1">IF(BK1734&gt;=BO1734,0,_xlfn.XLOOKUP(F1734,Apuração!A:A,Apuração!B:B)*(BO1734 + (1/_xlfn.XLOOKUP(F1734,Apuração!A:A,Apuração!B:B)) - BK1734))</f>
        <v>0</v>
      </c>
      <c r="BR1734" s="85">
        <f ca="1">IF(BQ1734=0,0,BQ1734*Z1734)</f>
        <v>0</v>
      </c>
      <c r="BS1734" s="53">
        <f ca="1">IFERROR((_xlfn.XLOOKUP(F1734,Apuração!A:A,Apuração!C:C)+1)/_xlfn.XLOOKUP(F1734,Apuração!A:A,Apuração!B:B),0)</f>
        <v>0.5</v>
      </c>
    </row>
    <row r="1735" spans="1:71" ht="25.95" hidden="1" customHeight="1" x14ac:dyDescent="0.3">
      <c r="A1735" s="42" t="s">
        <v>134</v>
      </c>
      <c r="B1735" s="4" t="s">
        <v>142</v>
      </c>
      <c r="C1735" s="5" t="s">
        <v>214</v>
      </c>
      <c r="D1735" s="5" t="s">
        <v>210</v>
      </c>
      <c r="E1735" s="4" t="str" cm="1">
        <f t="array" ref="E1735">_xlfn.IFS(
F1735 = "A partir de Abril", "Aguardando Execução na Distribuidora",
A1735 = "CAPACITAÇÃO", "Em execução no Corporativo",
TRUE, "Em Execução na Distribuidora"
)</f>
        <v>Em Execução na Distribuidora</v>
      </c>
      <c r="F1735" s="4" t="str" cm="1">
        <f t="array" ref="F1735">_xlfn.IFS(
AG1735 &lt;&gt; "", "Jan-Dez/26",
AH1735 &lt;&gt; "", "Fev-Dez/26",
AI1735 &lt;&gt; "", "Mar-Dez/26", AJ1735 &lt;&gt; "", "Abr-Dez/26",
TRUE, "A partir de Junho"
)</f>
        <v>Jan-Dez/26</v>
      </c>
      <c r="G1735" s="4" t="s">
        <v>37</v>
      </c>
      <c r="H1735" s="7" t="s">
        <v>110</v>
      </c>
      <c r="I1735" s="8" t="s">
        <v>148</v>
      </c>
      <c r="J1735" s="8" t="str" cm="1">
        <f t="array" aca="1" ref="J1735" ca="1">_xlfn.LET(
  _xlpm.actual_value_month, INDEX(T1735:AE1735, MATCH(DATE(YEAR(TODAY()), MONTH(TODAY()), 1), $T$1:$AE$1, 0)),
  IF(_xlpm.actual_value_month &lt;&gt; "",_xlpm.actual_value_month &amp; " ações mensais", "")
)</f>
        <v/>
      </c>
      <c r="K1735" s="8" t="str" cm="1">
        <f t="array" ref="K1735">_xlfn.LET(
    _xlpm.sum_month, SUM(T1735:AE1735),
    IF(_xlpm.sum_month = 0, "", _xlpm.sum_month &amp; " NC's no ano")
)</f>
        <v/>
      </c>
      <c r="L1735" s="9" t="s">
        <v>149</v>
      </c>
      <c r="M1735" s="24">
        <v>1</v>
      </c>
      <c r="N1735" s="5" t="s">
        <v>51</v>
      </c>
      <c r="O1735" s="5" t="s">
        <v>52</v>
      </c>
      <c r="P1735" s="10" t="s">
        <v>44</v>
      </c>
      <c r="Q1735" s="10" t="s">
        <v>44</v>
      </c>
      <c r="R1735" s="11" t="s">
        <v>44</v>
      </c>
      <c r="S1735" s="11" t="s">
        <v>44</v>
      </c>
      <c r="T1735" s="22"/>
      <c r="U1735" s="22"/>
      <c r="V1735" s="22"/>
      <c r="W1735" s="22"/>
      <c r="X1735" s="22"/>
      <c r="Y1735" s="22"/>
      <c r="Z1735" s="22"/>
      <c r="AA1735" s="22"/>
      <c r="AB1735" s="22"/>
      <c r="AC1735" s="22"/>
      <c r="AD1735" s="22"/>
      <c r="AE1735" s="22"/>
      <c r="AG1735" s="82">
        <v>0</v>
      </c>
      <c r="AH1735" s="82">
        <v>0</v>
      </c>
      <c r="AI1735" s="82">
        <v>0</v>
      </c>
      <c r="AJ1735" s="82">
        <v>70</v>
      </c>
      <c r="AK1735" s="71"/>
      <c r="AL1735" s="71"/>
      <c r="AM1735" s="71"/>
      <c r="AN1735" s="71"/>
      <c r="AO1735" s="71"/>
      <c r="AP1735" s="71"/>
      <c r="AQ1735" s="71"/>
      <c r="AR1735" s="71"/>
      <c r="AS1735" s="94">
        <f t="shared" ref="AS1735:AS1739" ca="1" si="2014">IF(MONTH(TODAY())=3,SUM(T1735:U1735),IF(MONTH(TODAY())=4,SUM(T1735:V1735),IF(MONTH(TODAY())=5,SUM(T1735:W1735),IF(MONTH(TODAY())=6,SUM(T1735:X1735),IF(MONTH(TODAY())=7,SUM(T1735:Y1735),IF(MONTH(TODAY())=8,SUM(T1735:Z1735),IF(MONTH(TODAY())=9,SUM(T1735:AA1735),IF(MONTH(TODAY())=10,SUM(T1735:AB1735),IF(MONTH(TODAY())=11,SUM(T1735:AC1735),IF(MONTH(TODAY())=12,SUM(T1735:AD1735),IF(MONTH(TODAY())=1,SUM(T1735:AE1735),T1735)))))))))))</f>
        <v>0</v>
      </c>
      <c r="AT1735" s="95">
        <f t="shared" ref="AT1735:AT1739" si="2015">SUM(AG1735:AR1735)</f>
        <v>70</v>
      </c>
      <c r="AU1735" s="97">
        <f t="shared" ref="AU1735:AU1739" si="2016">SUM(AG1735:AR1735)</f>
        <v>70</v>
      </c>
      <c r="AW1735" s="83">
        <f t="shared" ref="AW1735:AW1739" si="2017">AG1735</f>
        <v>0</v>
      </c>
      <c r="AX1735" s="83">
        <f t="shared" ref="AX1735:AX1739" si="2018">AH1735</f>
        <v>0</v>
      </c>
      <c r="AY1735" s="83">
        <f t="shared" ref="AY1735:AY1739" si="2019">AI1735</f>
        <v>0</v>
      </c>
      <c r="AZ1735" s="83">
        <f t="shared" ref="AZ1735:AZ1739" si="2020">AJ1735</f>
        <v>70</v>
      </c>
      <c r="BA1735" s="52"/>
      <c r="BB1735" s="52"/>
      <c r="BC1735" s="52"/>
      <c r="BD1735" s="52"/>
      <c r="BE1735" s="52"/>
      <c r="BF1735" s="52"/>
      <c r="BG1735" s="52"/>
      <c r="BH1735" s="52"/>
      <c r="BI1735" s="68" cm="1">
        <f t="array" ref="BI1735">IFERROR(INDEX(AW1735:BH1735,1,MATCH(2,1/(AW1735:BH1735&lt;&gt;""))),"")</f>
        <v>70</v>
      </c>
      <c r="BJ1735" s="68" cm="1">
        <f t="array" ref="BJ1735">IF(BM1735 = "", "",IFERROR(INDEX(AW1735:BH1735,1,MATCH(2,1/(AW1735:BH1735&lt;&gt;""),1)-1),""))</f>
        <v>0</v>
      </c>
      <c r="BK1735" s="59">
        <f t="shared" ref="BK1735:BK1739" si="2021">SUM(AW1735:BH1735)</f>
        <v>70</v>
      </c>
      <c r="BL1735" s="59" cm="1">
        <f t="array" ref="BL1735">IFERROR(SUM(AW1735:INDEX(AW1735:BH1735, MATCH(2, 1/(AW1735:BH1735&lt;&gt;""), 1) - 1))/_xlfn.XLOOKUP(F1735,Apuração!A:A,Apuração!B:B),0)</f>
        <v>0</v>
      </c>
      <c r="BM1735" s="55" cm="1">
        <f t="array" ref="BM1735">IFERROR(
   INDEX($AW$1:$BH$1,
      _xlfn.AGGREGATE(14, 6, COLUMN($AW$1:$BH$1)/(AW1735:BH1735&lt;&gt;""), 2) - COLUMN($AW$1) + 1
   ),
"")</f>
        <v>46082</v>
      </c>
      <c r="BN1735" s="55" cm="1">
        <f t="array" ref="BN1735">IFERROR(INDEX($AW$1:$BH$1,1,MATCH(2,1/(AW1735:BH1735&lt;&gt;""))),"")</f>
        <v>46113</v>
      </c>
      <c r="BO1735" s="53">
        <f ca="1">IFERROR(_xlfn.XLOOKUP(F1735,Apuração!A:A,Apuração!C:C)/_xlfn.XLOOKUP(F1735,Apuração!A:A,Apuração!B:B),0)</f>
        <v>0.41666666666666669</v>
      </c>
      <c r="BP1735" s="53">
        <f ca="1">IFERROR(_xlfn.XLOOKUP(F1735,Apuração!A:A,Apuração!D:D)/_xlfn.XLOOKUP(F1735,Apuração!A:A,Apuração!B:B),0)</f>
        <v>0.33333333333333331</v>
      </c>
      <c r="BQ1735" s="53">
        <f ca="1">IF(BK1735&gt;=BO1735,0,_xlfn.XLOOKUP(F1735,Apuração!A:A,Apuração!B:B)*(BO1735 + (1/_xlfn.XLOOKUP(F1735,Apuração!A:A,Apuração!B:B)) - BK1735))</f>
        <v>0</v>
      </c>
      <c r="BR1735" s="85">
        <f t="shared" ref="BR1735:BR1739" ca="1" si="2022">IF(BQ1735=0,0,BQ1735*Z1735)</f>
        <v>0</v>
      </c>
      <c r="BS1735" s="53">
        <f ca="1">IFERROR((_xlfn.XLOOKUP(F1735,Apuração!A:A,Apuração!C:C)+1)/_xlfn.XLOOKUP(F1735,Apuração!A:A,Apuração!B:B),0)</f>
        <v>0.5</v>
      </c>
    </row>
    <row r="1736" spans="1:71" ht="25.95" hidden="1" customHeight="1" x14ac:dyDescent="0.3">
      <c r="A1736" s="42" t="s">
        <v>134</v>
      </c>
      <c r="B1736" s="4" t="s">
        <v>142</v>
      </c>
      <c r="C1736" s="5" t="s">
        <v>214</v>
      </c>
      <c r="D1736" s="5" t="s">
        <v>215</v>
      </c>
      <c r="E1736" s="4" t="str" cm="1">
        <f t="array" ref="E1736">_xlfn.IFS(
F1736 = "A partir de Abril", "Aguardando Execução na Distribuidora",
A1736 = "CAPACITAÇÃO", "Em execução no Corporativo",
TRUE, "Em Execução na Distribuidora"
)</f>
        <v>Em Execução na Distribuidora</v>
      </c>
      <c r="F1736" s="4" t="str" cm="1">
        <f t="array" ref="F1736">_xlfn.IFS(
AG1736 &lt;&gt; "", "Jan-Dez/26",
AH1736 &lt;&gt; "", "Fev-Dez/26",
AI1736 &lt;&gt; "", "Mar-Dez/26", AJ1736 &lt;&gt; "", "Abr-Dez/26",
TRUE, "A partir de Junho"
)</f>
        <v>Jan-Dez/26</v>
      </c>
      <c r="G1736" s="4" t="s">
        <v>37</v>
      </c>
      <c r="H1736" s="7" t="s">
        <v>110</v>
      </c>
      <c r="I1736" s="8" t="s">
        <v>148</v>
      </c>
      <c r="J1736" s="8" t="str" cm="1">
        <f t="array" aca="1" ref="J1736" ca="1">_xlfn.LET(
  _xlpm.actual_value_month, INDEX(T1736:AE1736, MATCH(DATE(YEAR(TODAY()), MONTH(TODAY()), 1), $T$1:$AE$1, 0)),
  IF(_xlpm.actual_value_month &lt;&gt; "",_xlpm.actual_value_month &amp; " ações mensais", "")
)</f>
        <v/>
      </c>
      <c r="K1736" s="8" t="str" cm="1">
        <f t="array" ref="K1736">_xlfn.LET(
    _xlpm.sum_month, SUM(T1736:AE1736),
    IF(_xlpm.sum_month = 0, "", _xlpm.sum_month &amp; " NC's no ano")
)</f>
        <v/>
      </c>
      <c r="L1736" s="9" t="s">
        <v>149</v>
      </c>
      <c r="M1736" s="24">
        <v>1</v>
      </c>
      <c r="N1736" s="5" t="s">
        <v>51</v>
      </c>
      <c r="O1736" s="5" t="s">
        <v>52</v>
      </c>
      <c r="P1736" s="10" t="s">
        <v>44</v>
      </c>
      <c r="Q1736" s="10" t="s">
        <v>44</v>
      </c>
      <c r="R1736" s="11" t="s">
        <v>44</v>
      </c>
      <c r="S1736" s="11" t="s">
        <v>44</v>
      </c>
      <c r="T1736" s="22"/>
      <c r="U1736" s="22"/>
      <c r="V1736" s="22"/>
      <c r="W1736" s="22"/>
      <c r="X1736" s="22"/>
      <c r="Y1736" s="22"/>
      <c r="Z1736" s="22"/>
      <c r="AA1736" s="22"/>
      <c r="AB1736" s="22"/>
      <c r="AC1736" s="22"/>
      <c r="AD1736" s="22"/>
      <c r="AE1736" s="22"/>
      <c r="AG1736" s="82">
        <v>0</v>
      </c>
      <c r="AH1736" s="82">
        <v>0</v>
      </c>
      <c r="AI1736" s="82">
        <v>0</v>
      </c>
      <c r="AJ1736" s="82">
        <v>259</v>
      </c>
      <c r="AK1736" s="71"/>
      <c r="AL1736" s="71"/>
      <c r="AM1736" s="71"/>
      <c r="AN1736" s="71"/>
      <c r="AO1736" s="71"/>
      <c r="AP1736" s="71"/>
      <c r="AQ1736" s="71"/>
      <c r="AR1736" s="71"/>
      <c r="AS1736" s="94">
        <f t="shared" ca="1" si="2014"/>
        <v>0</v>
      </c>
      <c r="AT1736" s="95">
        <f t="shared" si="2015"/>
        <v>259</v>
      </c>
      <c r="AU1736" s="97">
        <f t="shared" si="2016"/>
        <v>259</v>
      </c>
      <c r="AW1736" s="83">
        <f t="shared" si="2017"/>
        <v>0</v>
      </c>
      <c r="AX1736" s="83">
        <f t="shared" si="2018"/>
        <v>0</v>
      </c>
      <c r="AY1736" s="83">
        <f t="shared" si="2019"/>
        <v>0</v>
      </c>
      <c r="AZ1736" s="83">
        <f t="shared" si="2020"/>
        <v>259</v>
      </c>
      <c r="BA1736" s="52"/>
      <c r="BB1736" s="52"/>
      <c r="BC1736" s="52"/>
      <c r="BD1736" s="52"/>
      <c r="BE1736" s="52"/>
      <c r="BF1736" s="52"/>
      <c r="BG1736" s="52"/>
      <c r="BH1736" s="52"/>
      <c r="BI1736" s="68" cm="1">
        <f t="array" ref="BI1736">IFERROR(INDEX(AW1736:BH1736,1,MATCH(2,1/(AW1736:BH1736&lt;&gt;""))),"")</f>
        <v>259</v>
      </c>
      <c r="BJ1736" s="68" cm="1">
        <f t="array" ref="BJ1736">IF(BM1736 = "", "",IFERROR(INDEX(AW1736:BH1736,1,MATCH(2,1/(AW1736:BH1736&lt;&gt;""),1)-1),""))</f>
        <v>0</v>
      </c>
      <c r="BK1736" s="59">
        <f t="shared" si="2021"/>
        <v>259</v>
      </c>
      <c r="BL1736" s="59" cm="1">
        <f t="array" ref="BL1736">IFERROR(SUM(AW1736:INDEX(AW1736:BH1736, MATCH(2, 1/(AW1736:BH1736&lt;&gt;""), 1) - 1))/_xlfn.XLOOKUP(F1736,Apuração!A:A,Apuração!B:B),0)</f>
        <v>0</v>
      </c>
      <c r="BM1736" s="55" cm="1">
        <f t="array" ref="BM1736">IFERROR(
   INDEX($AW$1:$BH$1,
      _xlfn.AGGREGATE(14, 6, COLUMN($AW$1:$BH$1)/(AW1736:BH1736&lt;&gt;""), 2) - COLUMN($AW$1) + 1
   ),
"")</f>
        <v>46082</v>
      </c>
      <c r="BN1736" s="55" cm="1">
        <f t="array" ref="BN1736">IFERROR(INDEX($AW$1:$BH$1,1,MATCH(2,1/(AW1736:BH1736&lt;&gt;""))),"")</f>
        <v>46113</v>
      </c>
      <c r="BO1736" s="53">
        <f ca="1">IFERROR(_xlfn.XLOOKUP(F1736,Apuração!A:A,Apuração!C:C)/_xlfn.XLOOKUP(F1736,Apuração!A:A,Apuração!B:B),0)</f>
        <v>0.41666666666666669</v>
      </c>
      <c r="BP1736" s="53">
        <f ca="1">IFERROR(_xlfn.XLOOKUP(F1736,Apuração!A:A,Apuração!D:D)/_xlfn.XLOOKUP(F1736,Apuração!A:A,Apuração!B:B),0)</f>
        <v>0.33333333333333331</v>
      </c>
      <c r="BQ1736" s="53">
        <f ca="1">IF(BK1736&gt;=BO1736,0,_xlfn.XLOOKUP(F1736,Apuração!A:A,Apuração!B:B)*(BO1736 + (1/_xlfn.XLOOKUP(F1736,Apuração!A:A,Apuração!B:B)) - BK1736))</f>
        <v>0</v>
      </c>
      <c r="BR1736" s="85">
        <f t="shared" ca="1" si="2022"/>
        <v>0</v>
      </c>
      <c r="BS1736" s="53">
        <f ca="1">IFERROR((_xlfn.XLOOKUP(F1736,Apuração!A:A,Apuração!C:C)+1)/_xlfn.XLOOKUP(F1736,Apuração!A:A,Apuração!B:B),0)</f>
        <v>0.5</v>
      </c>
    </row>
    <row r="1737" spans="1:71" ht="25.95" hidden="1" customHeight="1" x14ac:dyDescent="0.3">
      <c r="A1737" s="42" t="s">
        <v>134</v>
      </c>
      <c r="B1737" s="4" t="s">
        <v>142</v>
      </c>
      <c r="C1737" s="5" t="s">
        <v>214</v>
      </c>
      <c r="D1737" s="5" t="s">
        <v>212</v>
      </c>
      <c r="E1737" s="4" t="str" cm="1">
        <f t="array" ref="E1737">_xlfn.IFS(
F1737 = "A partir de Abril", "Aguardando Execução na Distribuidora",
A1737 = "CAPACITAÇÃO", "Em execução no Corporativo",
TRUE, "Em Execução na Distribuidora"
)</f>
        <v>Em Execução na Distribuidora</v>
      </c>
      <c r="F1737" s="4" t="str" cm="1">
        <f t="array" ref="F1737">_xlfn.IFS(
AG1737 &lt;&gt; "", "Jan-Dez/26",
AH1737 &lt;&gt; "", "Fev-Dez/26",
AI1737 &lt;&gt; "", "Mar-Dez/26", AJ1737 &lt;&gt; "", "Abr-Dez/26",
TRUE, "A partir de Junho"
)</f>
        <v>Jan-Dez/26</v>
      </c>
      <c r="G1737" s="4" t="s">
        <v>37</v>
      </c>
      <c r="H1737" s="7" t="s">
        <v>110</v>
      </c>
      <c r="I1737" s="8" t="s">
        <v>148</v>
      </c>
      <c r="J1737" s="8" t="str" cm="1">
        <f t="array" aca="1" ref="J1737" ca="1">_xlfn.LET(
  _xlpm.actual_value_month, INDEX(T1737:AE1737, MATCH(DATE(YEAR(TODAY()), MONTH(TODAY()), 1), $T$1:$AE$1, 0)),
  IF(_xlpm.actual_value_month &lt;&gt; "",_xlpm.actual_value_month &amp; " ações mensais", "")
)</f>
        <v/>
      </c>
      <c r="K1737" s="8" t="str" cm="1">
        <f t="array" ref="K1737">_xlfn.LET(
    _xlpm.sum_month, SUM(T1737:AE1737),
    IF(_xlpm.sum_month = 0, "", _xlpm.sum_month &amp; " NC's no ano")
)</f>
        <v/>
      </c>
      <c r="L1737" s="9" t="s">
        <v>149</v>
      </c>
      <c r="M1737" s="24">
        <v>1</v>
      </c>
      <c r="N1737" s="5" t="s">
        <v>51</v>
      </c>
      <c r="O1737" s="5" t="s">
        <v>52</v>
      </c>
      <c r="P1737" s="10" t="s">
        <v>44</v>
      </c>
      <c r="Q1737" s="10" t="s">
        <v>44</v>
      </c>
      <c r="R1737" s="11" t="s">
        <v>44</v>
      </c>
      <c r="S1737" s="11" t="s">
        <v>44</v>
      </c>
      <c r="T1737" s="22"/>
      <c r="U1737" s="22"/>
      <c r="V1737" s="22"/>
      <c r="W1737" s="22"/>
      <c r="X1737" s="22"/>
      <c r="Y1737" s="22"/>
      <c r="Z1737" s="22"/>
      <c r="AA1737" s="22"/>
      <c r="AB1737" s="22"/>
      <c r="AC1737" s="22"/>
      <c r="AD1737" s="22"/>
      <c r="AE1737" s="22"/>
      <c r="AG1737" s="82">
        <v>0</v>
      </c>
      <c r="AH1737" s="82">
        <v>0</v>
      </c>
      <c r="AI1737" s="82">
        <v>0</v>
      </c>
      <c r="AJ1737" s="82">
        <v>259</v>
      </c>
      <c r="AK1737" s="71"/>
      <c r="AL1737" s="71"/>
      <c r="AM1737" s="71"/>
      <c r="AN1737" s="71"/>
      <c r="AO1737" s="71"/>
      <c r="AP1737" s="71"/>
      <c r="AQ1737" s="71"/>
      <c r="AR1737" s="71"/>
      <c r="AS1737" s="94">
        <f t="shared" ca="1" si="2014"/>
        <v>0</v>
      </c>
      <c r="AT1737" s="95">
        <f t="shared" si="2015"/>
        <v>259</v>
      </c>
      <c r="AU1737" s="97">
        <f t="shared" si="2016"/>
        <v>259</v>
      </c>
      <c r="AW1737" s="83">
        <f t="shared" si="2017"/>
        <v>0</v>
      </c>
      <c r="AX1737" s="83">
        <f t="shared" si="2018"/>
        <v>0</v>
      </c>
      <c r="AY1737" s="83">
        <f t="shared" si="2019"/>
        <v>0</v>
      </c>
      <c r="AZ1737" s="83">
        <f t="shared" si="2020"/>
        <v>259</v>
      </c>
      <c r="BA1737" s="52"/>
      <c r="BB1737" s="52"/>
      <c r="BC1737" s="52"/>
      <c r="BD1737" s="52"/>
      <c r="BE1737" s="52"/>
      <c r="BF1737" s="52"/>
      <c r="BG1737" s="52"/>
      <c r="BH1737" s="52"/>
      <c r="BI1737" s="68" cm="1">
        <f t="array" ref="BI1737">IFERROR(INDEX(AW1737:BH1737,1,MATCH(2,1/(AW1737:BH1737&lt;&gt;""))),"")</f>
        <v>259</v>
      </c>
      <c r="BJ1737" s="68" cm="1">
        <f t="array" ref="BJ1737">IF(BM1737 = "", "",IFERROR(INDEX(AW1737:BH1737,1,MATCH(2,1/(AW1737:BH1737&lt;&gt;""),1)-1),""))</f>
        <v>0</v>
      </c>
      <c r="BK1737" s="59">
        <f t="shared" si="2021"/>
        <v>259</v>
      </c>
      <c r="BL1737" s="59" cm="1">
        <f t="array" ref="BL1737">IFERROR(SUM(AW1737:INDEX(AW1737:BH1737, MATCH(2, 1/(AW1737:BH1737&lt;&gt;""), 1) - 1))/_xlfn.XLOOKUP(F1737,Apuração!A:A,Apuração!B:B),0)</f>
        <v>0</v>
      </c>
      <c r="BM1737" s="55" cm="1">
        <f t="array" ref="BM1737">IFERROR(
   INDEX($AW$1:$BH$1,
      _xlfn.AGGREGATE(14, 6, COLUMN($AW$1:$BH$1)/(AW1737:BH1737&lt;&gt;""), 2) - COLUMN($AW$1) + 1
   ),
"")</f>
        <v>46082</v>
      </c>
      <c r="BN1737" s="55" cm="1">
        <f t="array" ref="BN1737">IFERROR(INDEX($AW$1:$BH$1,1,MATCH(2,1/(AW1737:BH1737&lt;&gt;""))),"")</f>
        <v>46113</v>
      </c>
      <c r="BO1737" s="53">
        <f ca="1">IFERROR(_xlfn.XLOOKUP(F1737,Apuração!A:A,Apuração!C:C)/_xlfn.XLOOKUP(F1737,Apuração!A:A,Apuração!B:B),0)</f>
        <v>0.41666666666666669</v>
      </c>
      <c r="BP1737" s="53">
        <f ca="1">IFERROR(_xlfn.XLOOKUP(F1737,Apuração!A:A,Apuração!D:D)/_xlfn.XLOOKUP(F1737,Apuração!A:A,Apuração!B:B),0)</f>
        <v>0.33333333333333331</v>
      </c>
      <c r="BQ1737" s="53">
        <f ca="1">IF(BK1737&gt;=BO1737,0,_xlfn.XLOOKUP(F1737,Apuração!A:A,Apuração!B:B)*(BO1737 + (1/_xlfn.XLOOKUP(F1737,Apuração!A:A,Apuração!B:B)) - BK1737))</f>
        <v>0</v>
      </c>
      <c r="BR1737" s="85">
        <f t="shared" ca="1" si="2022"/>
        <v>0</v>
      </c>
      <c r="BS1737" s="53">
        <f ca="1">IFERROR((_xlfn.XLOOKUP(F1737,Apuração!A:A,Apuração!C:C)+1)/_xlfn.XLOOKUP(F1737,Apuração!A:A,Apuração!B:B),0)</f>
        <v>0.5</v>
      </c>
    </row>
    <row r="1738" spans="1:71" ht="25.95" hidden="1" customHeight="1" x14ac:dyDescent="0.3">
      <c r="A1738" s="42" t="s">
        <v>134</v>
      </c>
      <c r="B1738" s="4" t="s">
        <v>142</v>
      </c>
      <c r="C1738" s="5" t="s">
        <v>214</v>
      </c>
      <c r="D1738" s="5" t="s">
        <v>48</v>
      </c>
      <c r="E1738" s="4" t="str" cm="1">
        <f t="array" ref="E1738">_xlfn.IFS(
F1738 = "A partir de Abril", "Aguardando Execução na Distribuidora",
A1738 = "CAPACITAÇÃO", "Em execução no Corporativo",
TRUE, "Em Execução na Distribuidora"
)</f>
        <v>Em Execução na Distribuidora</v>
      </c>
      <c r="F1738" s="4" t="str" cm="1">
        <f t="array" ref="F1738">_xlfn.IFS(
AG1738 &lt;&gt; "", "Jan-Dez/26",
AH1738 &lt;&gt; "", "Fev-Dez/26",
AI1738 &lt;&gt; "", "Mar-Dez/26", AJ1738 &lt;&gt; "", "Abr-Dez/26",
TRUE, "A partir de Junho"
)</f>
        <v>Jan-Dez/26</v>
      </c>
      <c r="G1738" s="4" t="s">
        <v>37</v>
      </c>
      <c r="H1738" s="7" t="s">
        <v>110</v>
      </c>
      <c r="I1738" s="8" t="s">
        <v>148</v>
      </c>
      <c r="J1738" s="8" t="str" cm="1">
        <f t="array" aca="1" ref="J1738" ca="1">_xlfn.LET(
  _xlpm.actual_value_month, INDEX(T1738:AE1738, MATCH(DATE(YEAR(TODAY()), MONTH(TODAY()), 1), $T$1:$AE$1, 0)),
  IF(_xlpm.actual_value_month &lt;&gt; "",_xlpm.actual_value_month &amp; " ações mensais", "")
)</f>
        <v/>
      </c>
      <c r="K1738" s="8" t="str" cm="1">
        <f t="array" ref="K1738">_xlfn.LET(
    _xlpm.sum_month, SUM(T1738:AE1738),
    IF(_xlpm.sum_month = 0, "", _xlpm.sum_month &amp; " NC's no ano")
)</f>
        <v/>
      </c>
      <c r="L1738" s="9" t="s">
        <v>149</v>
      </c>
      <c r="M1738" s="24">
        <v>1</v>
      </c>
      <c r="N1738" s="5" t="s">
        <v>51</v>
      </c>
      <c r="O1738" s="5" t="s">
        <v>52</v>
      </c>
      <c r="P1738" s="10" t="s">
        <v>44</v>
      </c>
      <c r="Q1738" s="10" t="s">
        <v>44</v>
      </c>
      <c r="R1738" s="11" t="s">
        <v>44</v>
      </c>
      <c r="S1738" s="11" t="s">
        <v>44</v>
      </c>
      <c r="T1738" s="22"/>
      <c r="U1738" s="22"/>
      <c r="V1738" s="22"/>
      <c r="W1738" s="22"/>
      <c r="X1738" s="22"/>
      <c r="Y1738" s="22"/>
      <c r="Z1738" s="22"/>
      <c r="AA1738" s="22"/>
      <c r="AB1738" s="22"/>
      <c r="AC1738" s="22"/>
      <c r="AD1738" s="22"/>
      <c r="AE1738" s="22"/>
      <c r="AG1738" s="82">
        <v>0</v>
      </c>
      <c r="AH1738" s="82">
        <v>0</v>
      </c>
      <c r="AI1738" s="82">
        <v>0</v>
      </c>
      <c r="AJ1738" s="82">
        <v>68</v>
      </c>
      <c r="AK1738" s="71"/>
      <c r="AL1738" s="71"/>
      <c r="AM1738" s="71"/>
      <c r="AN1738" s="71"/>
      <c r="AO1738" s="71"/>
      <c r="AP1738" s="71"/>
      <c r="AQ1738" s="71"/>
      <c r="AR1738" s="71"/>
      <c r="AS1738" s="94">
        <f t="shared" ca="1" si="2014"/>
        <v>0</v>
      </c>
      <c r="AT1738" s="95">
        <f t="shared" si="2015"/>
        <v>68</v>
      </c>
      <c r="AU1738" s="97">
        <f t="shared" si="2016"/>
        <v>68</v>
      </c>
      <c r="AW1738" s="83">
        <f t="shared" si="2017"/>
        <v>0</v>
      </c>
      <c r="AX1738" s="83">
        <f t="shared" si="2018"/>
        <v>0</v>
      </c>
      <c r="AY1738" s="83">
        <f t="shared" si="2019"/>
        <v>0</v>
      </c>
      <c r="AZ1738" s="83">
        <f t="shared" si="2020"/>
        <v>68</v>
      </c>
      <c r="BA1738" s="52"/>
      <c r="BB1738" s="52"/>
      <c r="BC1738" s="52"/>
      <c r="BD1738" s="52"/>
      <c r="BE1738" s="52"/>
      <c r="BF1738" s="52"/>
      <c r="BG1738" s="52"/>
      <c r="BH1738" s="52"/>
      <c r="BI1738" s="68" cm="1">
        <f t="array" ref="BI1738">IFERROR(INDEX(AW1738:BH1738,1,MATCH(2,1/(AW1738:BH1738&lt;&gt;""))),"")</f>
        <v>68</v>
      </c>
      <c r="BJ1738" s="68" cm="1">
        <f t="array" ref="BJ1738">IF(BM1738 = "", "",IFERROR(INDEX(AW1738:BH1738,1,MATCH(2,1/(AW1738:BH1738&lt;&gt;""),1)-1),""))</f>
        <v>0</v>
      </c>
      <c r="BK1738" s="59">
        <f t="shared" si="2021"/>
        <v>68</v>
      </c>
      <c r="BL1738" s="59" cm="1">
        <f t="array" ref="BL1738">IFERROR(SUM(AW1738:INDEX(AW1738:BH1738, MATCH(2, 1/(AW1738:BH1738&lt;&gt;""), 1) - 1))/_xlfn.XLOOKUP(F1738,Apuração!A:A,Apuração!B:B),0)</f>
        <v>0</v>
      </c>
      <c r="BM1738" s="55" cm="1">
        <f t="array" ref="BM1738">IFERROR(
   INDEX($AW$1:$BH$1,
      _xlfn.AGGREGATE(14, 6, COLUMN($AW$1:$BH$1)/(AW1738:BH1738&lt;&gt;""), 2) - COLUMN($AW$1) + 1
   ),
"")</f>
        <v>46082</v>
      </c>
      <c r="BN1738" s="55" cm="1">
        <f t="array" ref="BN1738">IFERROR(INDEX($AW$1:$BH$1,1,MATCH(2,1/(AW1738:BH1738&lt;&gt;""))),"")</f>
        <v>46113</v>
      </c>
      <c r="BO1738" s="53">
        <f ca="1">IFERROR(_xlfn.XLOOKUP(F1738,Apuração!A:A,Apuração!C:C)/_xlfn.XLOOKUP(F1738,Apuração!A:A,Apuração!B:B),0)</f>
        <v>0.41666666666666669</v>
      </c>
      <c r="BP1738" s="53">
        <f ca="1">IFERROR(_xlfn.XLOOKUP(F1738,Apuração!A:A,Apuração!D:D)/_xlfn.XLOOKUP(F1738,Apuração!A:A,Apuração!B:B),0)</f>
        <v>0.33333333333333331</v>
      </c>
      <c r="BQ1738" s="53">
        <f ca="1">IF(BK1738&gt;=BO1738,0,_xlfn.XLOOKUP(F1738,Apuração!A:A,Apuração!B:B)*(BO1738 + (1/_xlfn.XLOOKUP(F1738,Apuração!A:A,Apuração!B:B)) - BK1738))</f>
        <v>0</v>
      </c>
      <c r="BR1738" s="85">
        <f t="shared" ca="1" si="2022"/>
        <v>0</v>
      </c>
      <c r="BS1738" s="53">
        <f ca="1">IFERROR((_xlfn.XLOOKUP(F1738,Apuração!A:A,Apuração!C:C)+1)/_xlfn.XLOOKUP(F1738,Apuração!A:A,Apuração!B:B),0)</f>
        <v>0.5</v>
      </c>
    </row>
    <row r="1739" spans="1:71" ht="25.95" hidden="1" customHeight="1" x14ac:dyDescent="0.3">
      <c r="A1739" s="42" t="s">
        <v>134</v>
      </c>
      <c r="B1739" s="4" t="s">
        <v>142</v>
      </c>
      <c r="C1739" s="5" t="s">
        <v>214</v>
      </c>
      <c r="D1739" s="5" t="s">
        <v>213</v>
      </c>
      <c r="E1739" s="4" t="str" cm="1">
        <f t="array" ref="E1739">_xlfn.IFS(
F1739 = "A partir de Abril", "Aguardando Execução na Distribuidora",
A1739 = "CAPACITAÇÃO", "Em execução no Corporativo",
TRUE, "Em Execução na Distribuidora"
)</f>
        <v>Em Execução na Distribuidora</v>
      </c>
      <c r="F1739" s="4" t="str" cm="1">
        <f t="array" ref="F1739">_xlfn.IFS(
AG1739 &lt;&gt; "", "Jan-Dez/26",
AH1739 &lt;&gt; "", "Fev-Dez/26",
AI1739 &lt;&gt; "", "Mar-Dez/26", AJ1739 &lt;&gt; "", "Abr-Dez/26",
TRUE, "A partir de Junho"
)</f>
        <v>Jan-Dez/26</v>
      </c>
      <c r="G1739" s="4" t="s">
        <v>37</v>
      </c>
      <c r="H1739" s="7" t="s">
        <v>110</v>
      </c>
      <c r="I1739" s="8" t="s">
        <v>148</v>
      </c>
      <c r="J1739" s="8" t="str" cm="1">
        <f t="array" aca="1" ref="J1739" ca="1">_xlfn.LET(
  _xlpm.actual_value_month, INDEX(T1739:AE1739, MATCH(DATE(YEAR(TODAY()), MONTH(TODAY()), 1), $T$1:$AE$1, 0)),
  IF(_xlpm.actual_value_month &lt;&gt; "",_xlpm.actual_value_month &amp; " ações mensais", "")
)</f>
        <v/>
      </c>
      <c r="K1739" s="8" t="str" cm="1">
        <f t="array" ref="K1739">_xlfn.LET(
    _xlpm.sum_month, SUM(T1739:AE1739),
    IF(_xlpm.sum_month = 0, "", _xlpm.sum_month &amp; " NC's no ano")
)</f>
        <v/>
      </c>
      <c r="L1739" s="9" t="s">
        <v>149</v>
      </c>
      <c r="M1739" s="24">
        <v>1</v>
      </c>
      <c r="N1739" s="5" t="s">
        <v>51</v>
      </c>
      <c r="O1739" s="5" t="s">
        <v>52</v>
      </c>
      <c r="P1739" s="10" t="s">
        <v>44</v>
      </c>
      <c r="Q1739" s="10" t="s">
        <v>44</v>
      </c>
      <c r="R1739" s="11" t="s">
        <v>44</v>
      </c>
      <c r="S1739" s="11" t="s">
        <v>44</v>
      </c>
      <c r="T1739" s="22"/>
      <c r="U1739" s="22"/>
      <c r="V1739" s="22"/>
      <c r="W1739" s="22"/>
      <c r="X1739" s="22"/>
      <c r="Y1739" s="22"/>
      <c r="Z1739" s="22"/>
      <c r="AA1739" s="22"/>
      <c r="AB1739" s="22"/>
      <c r="AC1739" s="22"/>
      <c r="AD1739" s="22"/>
      <c r="AE1739" s="22"/>
      <c r="AG1739" s="82">
        <v>0</v>
      </c>
      <c r="AH1739" s="82">
        <v>0</v>
      </c>
      <c r="AI1739" s="82">
        <v>0</v>
      </c>
      <c r="AJ1739" s="82">
        <v>352</v>
      </c>
      <c r="AK1739" s="71"/>
      <c r="AL1739" s="71"/>
      <c r="AM1739" s="71"/>
      <c r="AN1739" s="71"/>
      <c r="AO1739" s="71"/>
      <c r="AP1739" s="71"/>
      <c r="AQ1739" s="71"/>
      <c r="AR1739" s="71"/>
      <c r="AS1739" s="94">
        <f t="shared" ca="1" si="2014"/>
        <v>0</v>
      </c>
      <c r="AT1739" s="95">
        <f t="shared" si="2015"/>
        <v>352</v>
      </c>
      <c r="AU1739" s="97">
        <f t="shared" si="2016"/>
        <v>352</v>
      </c>
      <c r="AW1739" s="83">
        <f t="shared" si="2017"/>
        <v>0</v>
      </c>
      <c r="AX1739" s="83">
        <f t="shared" si="2018"/>
        <v>0</v>
      </c>
      <c r="AY1739" s="83">
        <f t="shared" si="2019"/>
        <v>0</v>
      </c>
      <c r="AZ1739" s="83">
        <f t="shared" si="2020"/>
        <v>352</v>
      </c>
      <c r="BA1739" s="52"/>
      <c r="BB1739" s="52"/>
      <c r="BC1739" s="52"/>
      <c r="BD1739" s="52"/>
      <c r="BE1739" s="52"/>
      <c r="BF1739" s="52"/>
      <c r="BG1739" s="52"/>
      <c r="BH1739" s="52"/>
      <c r="BI1739" s="68" cm="1">
        <f t="array" ref="BI1739">IFERROR(INDEX(AW1739:BH1739,1,MATCH(2,1/(AW1739:BH1739&lt;&gt;""))),"")</f>
        <v>352</v>
      </c>
      <c r="BJ1739" s="68" cm="1">
        <f t="array" ref="BJ1739">IF(BM1739 = "", "",IFERROR(INDEX(AW1739:BH1739,1,MATCH(2,1/(AW1739:BH1739&lt;&gt;""),1)-1),""))</f>
        <v>0</v>
      </c>
      <c r="BK1739" s="59">
        <f t="shared" si="2021"/>
        <v>352</v>
      </c>
      <c r="BL1739" s="59" cm="1">
        <f t="array" ref="BL1739">IFERROR(SUM(AW1739:INDEX(AW1739:BH1739, MATCH(2, 1/(AW1739:BH1739&lt;&gt;""), 1) - 1))/_xlfn.XLOOKUP(F1739,Apuração!A:A,Apuração!B:B),0)</f>
        <v>0</v>
      </c>
      <c r="BM1739" s="55" cm="1">
        <f t="array" ref="BM1739">IFERROR(
   INDEX($AW$1:$BH$1,
      _xlfn.AGGREGATE(14, 6, COLUMN($AW$1:$BH$1)/(AW1739:BH1739&lt;&gt;""), 2) - COLUMN($AW$1) + 1
   ),
"")</f>
        <v>46082</v>
      </c>
      <c r="BN1739" s="55" cm="1">
        <f t="array" ref="BN1739">IFERROR(INDEX($AW$1:$BH$1,1,MATCH(2,1/(AW1739:BH1739&lt;&gt;""))),"")</f>
        <v>46113</v>
      </c>
      <c r="BO1739" s="53">
        <f ca="1">IFERROR(_xlfn.XLOOKUP(F1739,Apuração!A:A,Apuração!C:C)/_xlfn.XLOOKUP(F1739,Apuração!A:A,Apuração!B:B),0)</f>
        <v>0.41666666666666669</v>
      </c>
      <c r="BP1739" s="53">
        <f ca="1">IFERROR(_xlfn.XLOOKUP(F1739,Apuração!A:A,Apuração!D:D)/_xlfn.XLOOKUP(F1739,Apuração!A:A,Apuração!B:B),0)</f>
        <v>0.33333333333333331</v>
      </c>
      <c r="BQ1739" s="53">
        <f ca="1">IF(BK1739&gt;=BO1739,0,_xlfn.XLOOKUP(F1739,Apuração!A:A,Apuração!B:B)*(BO1739 + (1/_xlfn.XLOOKUP(F1739,Apuração!A:A,Apuração!B:B)) - BK1739))</f>
        <v>0</v>
      </c>
      <c r="BR1739" s="85">
        <f t="shared" ca="1" si="2022"/>
        <v>0</v>
      </c>
      <c r="BS1739" s="53">
        <f ca="1">IFERROR((_xlfn.XLOOKUP(F1739,Apuração!A:A,Apuração!C:C)+1)/_xlfn.XLOOKUP(F1739,Apuração!A:A,Apuração!B:B),0)</f>
        <v>0.5</v>
      </c>
    </row>
    <row r="1740" spans="1:71" ht="25.95" hidden="1" customHeight="1" x14ac:dyDescent="0.3">
      <c r="A1740" s="25" t="s">
        <v>134</v>
      </c>
      <c r="B1740" s="15" t="s">
        <v>150</v>
      </c>
      <c r="C1740" s="5" t="s">
        <v>214</v>
      </c>
      <c r="D1740" s="5" t="s">
        <v>36</v>
      </c>
      <c r="E1740" s="4" t="str" cm="1">
        <f t="array" ref="E1740">_xlfn.IFS(
F1740 = "A partir de Abril", "Aguardando Execução na Distribuidora",
A1740 = "CAPACITAÇÃO", "Em execução no Corporativo",
TRUE, "Em Execução na Distribuidora"
)</f>
        <v>Em Execução na Distribuidora</v>
      </c>
      <c r="F1740" s="4" t="str" cm="1">
        <f t="array" ref="F1740">_xlfn.IFS(
AG1740 &lt;&gt; "", "Jan-Dez/26",
AH1740 &lt;&gt; "", "Fev-Dez/26",
AI1740 &lt;&gt; "", "Mar-Dez/26", AJ1740 &lt;&gt; "", "Abr-Dez/26",
TRUE, "A partir de Junho"
)</f>
        <v>Jan-Dez/26</v>
      </c>
      <c r="G1740" s="15" t="s">
        <v>37</v>
      </c>
      <c r="H1740" s="7" t="s">
        <v>110</v>
      </c>
      <c r="I1740" s="28" t="s">
        <v>124</v>
      </c>
      <c r="J1740" s="8" t="str" cm="1">
        <f t="array" aca="1" ref="J1740" ca="1">_xlfn.LET(
  _xlpm.actual_value_month, INDEX(T1740:AE1740, MATCH(DATE(YEAR(TODAY()), MONTH(TODAY()), 1), $T$1:$AE$1, 0)),
  IF(_xlpm.actual_value_month &lt;&gt; "",_xlpm.actual_value_month &amp; " reuniões mensais", "")
)</f>
        <v/>
      </c>
      <c r="K1740" s="8" t="str" cm="1">
        <f t="array" ref="K1740">_xlfn.LET(
    _xlpm.sum_month, SUM(T1740:AE1740),
    IF(_xlpm.sum_month = 0, "", _xlpm.sum_month &amp; " atividades no ano")
)</f>
        <v>789 atividades no ano</v>
      </c>
      <c r="L1740" s="29" t="s">
        <v>125</v>
      </c>
      <c r="M1740" s="30" t="s">
        <v>151</v>
      </c>
      <c r="N1740" s="66" t="s">
        <v>42</v>
      </c>
      <c r="O1740" s="111" t="s">
        <v>52</v>
      </c>
      <c r="P1740" s="31" t="s">
        <v>44</v>
      </c>
      <c r="Q1740" s="31" t="s">
        <v>72</v>
      </c>
      <c r="R1740" s="32" t="s">
        <v>44</v>
      </c>
      <c r="S1740" s="32" t="s">
        <v>44</v>
      </c>
      <c r="T1740" s="22">
        <v>195</v>
      </c>
      <c r="U1740" s="22">
        <v>225</v>
      </c>
      <c r="V1740" s="22">
        <v>193</v>
      </c>
      <c r="W1740" s="22">
        <v>176</v>
      </c>
      <c r="X1740" s="22"/>
      <c r="Y1740" s="22"/>
      <c r="Z1740" s="22"/>
      <c r="AA1740" s="22"/>
      <c r="AB1740" s="22"/>
      <c r="AC1740" s="22"/>
      <c r="AD1740" s="22"/>
      <c r="AE1740" s="22"/>
      <c r="AG1740" s="71">
        <v>195</v>
      </c>
      <c r="AH1740" s="71">
        <v>225</v>
      </c>
      <c r="AI1740" s="71">
        <v>193</v>
      </c>
      <c r="AJ1740" s="71">
        <v>176</v>
      </c>
      <c r="AK1740" s="71"/>
      <c r="AL1740" s="71"/>
      <c r="AM1740" s="71"/>
      <c r="AN1740" s="71"/>
      <c r="AO1740" s="71"/>
      <c r="AP1740" s="71"/>
      <c r="AQ1740" s="71"/>
      <c r="AR1740" s="71"/>
      <c r="AS1740" s="94">
        <f ca="1">IF(MONTH(TODAY())=3,SUM(T1740:U1740),IF(MONTH(TODAY())=4,SUM(T1740:V1740),IF(MONTH(TODAY())=5,SUM(T1740:W1740),IF(MONTH(TODAY())=6,SUM(T1740:X1740),IF(MONTH(TODAY())=7,SUM(T1740:Y1740),IF(MONTH(TODAY())=8,SUM(T1740:Z1740),IF(MONTH(TODAY())=9,SUM(T1740:AA1740),IF(MONTH(TODAY())=10,SUM(T1740:AB1740),IF(MONTH(TODAY())=11,SUM(T1740:AC1740),IF(MONTH(TODAY())=12,SUM(T1740:AD1740),IF(MONTH(TODAY())=1,SUM(T1740:AE1740),T1740)))))))))))</f>
        <v>789</v>
      </c>
      <c r="AT1740" s="95">
        <f>SUM(IF(AW1740&lt;1.15,AG1740,1.15*T1740),IF(AX1740&lt;1.15,AH1740,1.15*U1740),IF(AY1740&lt;1.15,AI1740,1.15*V1740),IF(AZ1740&lt;1.15,AJ1740,1.15*W1740),IF(BA1740&lt;1.15,AK1740,1.15*X1740),IF(BB1740&lt;1.15,AL1740,1.15*Y1740),IF(BC1740&lt;1.15,AM1740,1.15*Z1740),IF(BD1740&lt;1.15,AN1740,1.15*AA1740),IF(BE1740&lt;1.15,AO1740,1.15*AB1740),IF(BF1740&lt;1.15,AP1740,1.15*AC1740),IF(BG1740&lt;1.15,AQ1740,1.15*AD1740),IF(BH1740&lt;1.15,AR1740,1.15*AE1740))</f>
        <v>789</v>
      </c>
      <c r="AU1740" s="97">
        <f>SUM(AG1740:AR1740)</f>
        <v>789</v>
      </c>
      <c r="AW1740" s="51">
        <f>IFERROR(IF(AG1740="",0,AG1740/T1740),0)</f>
        <v>1</v>
      </c>
      <c r="AX1740" s="51">
        <f>IFERROR(IF(AH1740="",0,AH1740/U1740),0)</f>
        <v>1</v>
      </c>
      <c r="AY1740" s="51">
        <f>IFERROR(IF(AI1740="",0,AI1740/V1740),0)</f>
        <v>1</v>
      </c>
      <c r="AZ1740" s="51">
        <f>IFERROR(IF(AJ1740="",0,AJ1740/W1740),0)</f>
        <v>1</v>
      </c>
      <c r="BA1740" s="51"/>
      <c r="BB1740" s="51"/>
      <c r="BC1740" s="51"/>
      <c r="BD1740" s="51"/>
      <c r="BE1740" s="51"/>
      <c r="BF1740" s="51"/>
      <c r="BG1740" s="51"/>
      <c r="BH1740" s="51"/>
      <c r="BI1740" s="65" cm="1">
        <f t="array" ref="BI1740">IFERROR(INDEX(AW1740:BH1740,1,MATCH(2,1/(AW1740:BH1740&lt;&gt;""))),"")</f>
        <v>1</v>
      </c>
      <c r="BJ1740" s="68" cm="1">
        <f t="array" ref="BJ1740">IF(BM1740 = "", "",IFERROR(INDEX(AW1740:BH1740,1,MATCH(2,1/(AW1740:BH1740&lt;&gt;""),1)-1),""))</f>
        <v>1</v>
      </c>
      <c r="BK1740" s="58">
        <f>IF((IF(AW1740&gt;=115%,115%,AW1740) + IF(AX1740&gt;=115%,115%,AX1740) + IF(AY1740&gt;=115%,115%,AY1740) + (IF(AZ1740&gt;=115%,115%,AZ1740) + IF(BA1740&gt;=115%,115%,BA1740) + IF(BB1740&gt;=115%,115%,BB1740) + IF(BC1740&gt;=115%,115%,BC1740) + IF(BD1740&gt;=115%,115%,BD1740) + IF(BE1740&gt;=115%,115%,BE1740) + IF(BF1740&gt;=115%,115%,BF1740) + IF(BG1740&gt;=115%,115%,BG1740) + IF(BH1740&gt;=115%,115%,BH1740)))/_xlfn.XLOOKUP(F1740,Apuração!A:A,Apuração!B:B)&gt;=1.15,1.15,((IF(AZ1740&gt;=115%,115%,AZ1740) + IF(AX1740&gt;=115%,115%,AX1740) + IF(AY1740&gt;=115%,115%,AY1740) + (IF(AW1740&gt;=115%,115%,AW1740) + IF(BA1740&gt;=115%,115%,BA1740) + IF(BB1740&gt;=115%,115%,BB1740) + IF(BC1740&gt;=115%,115%,BC1740) + IF(BD1740&gt;=115%,115%,BD1740) + IF(BE1740&gt;=115%,115%,BE1740) + IF(BF1740&gt;=115%,115%,BF1740) + IF(BG1740&gt;=115%,115%,BG1740) + IF(BH1740&gt;=115%,115%,BH1740)))/_xlfn.XLOOKUP(F1740,Apuração!A:A,Apuração!B:B)))</f>
        <v>0.33333333333333331</v>
      </c>
      <c r="BL1740" s="58" cm="1">
        <f t="array" aca="1" ref="BL1740" ca="1">IF(SUM(IFERROR(IF(INDEX(AW1740:INDEX(AW1740:BH1740, MATCH(2, 1/(AW1740:BH1740&lt;&gt;""), 1)-1), ROW(INDIRECT("1:" &amp; MATCH(2, 1/(AW1740:BH1740&lt;&gt;""), 1)-1))) &gt;= 115%, 115%, INDEX(AW1740:INDEX(AW1740:BH1740, MATCH(2, 1/(AW1740:BH1740&lt;&gt;""), 1)-1), ROW(INDIRECT("1:" &amp; MATCH(2, 1/(AW1740:BH1740&lt;&gt;""), 1)-1)))), 0))/_xlfn.XLOOKUP(F1740,Apuração!A:A,Apuração!B:B)&gt;=1.15,1.15,SUM(IFERROR(IF(INDEX(AW1740:INDEX(AW1740:BH1740, MATCH(2, 1/(AW1740:BH1740&lt;&gt;""), 1)-1), ROW(INDIRECT("1:" &amp; MATCH(2, 1/(AW1740:BH1740&lt;&gt;""), 1)-1))) &gt;= 115%, 115%, INDEX(AW1740:INDEX(AW1740:BH1740, MATCH(2, 1/(AW1740:BH1740&lt;&gt;""), 1)-1), ROW(INDIRECT("1:" &amp; MATCH(2, 1/(AW1740:BH1740&lt;&gt;""), 1)-1)))), 0))/_xlfn.XLOOKUP(F1740,Apuração!A:A,Apuração!B:B))</f>
        <v>0.25</v>
      </c>
      <c r="BM1740" s="55" cm="1">
        <f t="array" ref="BM1740">IFERROR(
   INDEX($AW$1:$BH$1,
      _xlfn.AGGREGATE(14, 6, COLUMN($AW$1:$BH$1)/(AW1740:BH1740&lt;&gt;""), 2) - COLUMN($AW$1) + 1
   ),
"")</f>
        <v>46082</v>
      </c>
      <c r="BN1740" s="55" cm="1">
        <f t="array" ref="BN1740">IFERROR(INDEX($AW$1:$BH$1,1,MATCH(2,1/(AW1740:BH1740&lt;&gt;""))),"")</f>
        <v>46113</v>
      </c>
      <c r="BO1740" s="53">
        <f ca="1">IFERROR(_xlfn.XLOOKUP(F1740,Apuração!A:A,Apuração!C:C)/_xlfn.XLOOKUP(F1740,Apuração!A:A,Apuração!B:B),0)</f>
        <v>0.41666666666666669</v>
      </c>
      <c r="BP1740" s="53">
        <f ca="1">IFERROR(_xlfn.XLOOKUP(F1740,Apuração!A:A,Apuração!D:D)/_xlfn.XLOOKUP(F1740,Apuração!A:A,Apuração!B:B),0)</f>
        <v>0.33333333333333331</v>
      </c>
      <c r="BQ1740" s="53">
        <f ca="1">IF(BK1740&gt;=BO1740,0,_xlfn.XLOOKUP(F1740,Apuração!A:A,Apuração!B:B)*(BO1740 + (1/_xlfn.XLOOKUP(F1740,Apuração!A:A,Apuração!B:B)) - BK1740))</f>
        <v>2</v>
      </c>
      <c r="BR1740" s="85">
        <f ca="1">IF(BQ1740=0,0,BQ1740*Z1740)</f>
        <v>0</v>
      </c>
      <c r="BS1740" s="53">
        <f ca="1">IFERROR((_xlfn.XLOOKUP(F1740,Apuração!A:A,Apuração!C:C)+1)/_xlfn.XLOOKUP(F1740,Apuração!A:A,Apuração!B:B),0)</f>
        <v>0.5</v>
      </c>
    </row>
    <row r="1741" spans="1:71" ht="25.95" hidden="1" customHeight="1" x14ac:dyDescent="0.3">
      <c r="A1741" s="25" t="s">
        <v>134</v>
      </c>
      <c r="B1741" s="15" t="s">
        <v>150</v>
      </c>
      <c r="C1741" s="5" t="s">
        <v>214</v>
      </c>
      <c r="D1741" s="5" t="s">
        <v>210</v>
      </c>
      <c r="E1741" s="4" t="str" cm="1">
        <f t="array" ref="E1741">_xlfn.IFS(
F1741 = "A partir de Abril", "Aguardando Execução na Distribuidora",
A1741 = "CAPACITAÇÃO", "Em execução no Corporativo",
TRUE, "Em Execução na Distribuidora"
)</f>
        <v>Em Execução na Distribuidora</v>
      </c>
      <c r="F1741" s="4" t="str" cm="1">
        <f t="array" ref="F1741">_xlfn.IFS(
AG1741 &lt;&gt; "", "Jan-Dez/26",
AH1741 &lt;&gt; "", "Fev-Dez/26",
AI1741 &lt;&gt; "", "Mar-Dez/26", AJ1741 &lt;&gt; "", "Abr-Dez/26",
TRUE, "A partir de Junho"
)</f>
        <v>Jan-Dez/26</v>
      </c>
      <c r="G1741" s="15" t="s">
        <v>37</v>
      </c>
      <c r="H1741" s="7" t="s">
        <v>110</v>
      </c>
      <c r="I1741" s="28" t="s">
        <v>124</v>
      </c>
      <c r="J1741" s="8" t="str" cm="1">
        <f t="array" aca="1" ref="J1741" ca="1">_xlfn.LET(
  _xlpm.actual_value_month, INDEX(T1741:AE1741, MATCH(DATE(YEAR(TODAY()), MONTH(TODAY()), 1), $T$1:$AE$1, 0)),
  IF(_xlpm.actual_value_month &lt;&gt; "",_xlpm.actual_value_month &amp; " reuniões mensais", "")
)</f>
        <v/>
      </c>
      <c r="K1741" s="8" t="str" cm="1">
        <f t="array" ref="K1741">_xlfn.LET(
    _xlpm.sum_month, SUM(T1741:AE1741),
    IF(_xlpm.sum_month = 0, "", _xlpm.sum_month &amp; " atividades no ano")
)</f>
        <v>103 atividades no ano</v>
      </c>
      <c r="L1741" s="29" t="s">
        <v>125</v>
      </c>
      <c r="M1741" s="30" t="s">
        <v>151</v>
      </c>
      <c r="N1741" s="66" t="s">
        <v>42</v>
      </c>
      <c r="O1741" s="111" t="s">
        <v>52</v>
      </c>
      <c r="P1741" s="31" t="s">
        <v>44</v>
      </c>
      <c r="Q1741" s="31" t="s">
        <v>72</v>
      </c>
      <c r="R1741" s="32" t="s">
        <v>44</v>
      </c>
      <c r="S1741" s="32" t="s">
        <v>44</v>
      </c>
      <c r="T1741" s="143">
        <v>22</v>
      </c>
      <c r="U1741" s="143">
        <v>34</v>
      </c>
      <c r="V1741" s="143">
        <v>23</v>
      </c>
      <c r="W1741" s="22">
        <v>24</v>
      </c>
      <c r="X1741" s="22"/>
      <c r="Y1741" s="22"/>
      <c r="Z1741" s="22"/>
      <c r="AA1741" s="22"/>
      <c r="AB1741" s="22"/>
      <c r="AC1741" s="22"/>
      <c r="AD1741" s="22"/>
      <c r="AE1741" s="22"/>
      <c r="AG1741" s="145">
        <v>22</v>
      </c>
      <c r="AH1741" s="149">
        <v>34</v>
      </c>
      <c r="AI1741" s="149">
        <v>23</v>
      </c>
      <c r="AJ1741" s="82">
        <v>24</v>
      </c>
      <c r="AK1741" s="71"/>
      <c r="AL1741" s="71"/>
      <c r="AM1741" s="71"/>
      <c r="AN1741" s="71"/>
      <c r="AO1741" s="71"/>
      <c r="AP1741" s="71"/>
      <c r="AQ1741" s="71"/>
      <c r="AR1741" s="71"/>
      <c r="AS1741" s="94">
        <f t="shared" ref="AS1741:AS1745" ca="1" si="2023">IF(MONTH(TODAY())=3,SUM(T1741:U1741),IF(MONTH(TODAY())=4,SUM(T1741:V1741),IF(MONTH(TODAY())=5,SUM(T1741:W1741),IF(MONTH(TODAY())=6,SUM(T1741:X1741),IF(MONTH(TODAY())=7,SUM(T1741:Y1741),IF(MONTH(TODAY())=8,SUM(T1741:Z1741),IF(MONTH(TODAY())=9,SUM(T1741:AA1741),IF(MONTH(TODAY())=10,SUM(T1741:AB1741),IF(MONTH(TODAY())=11,SUM(T1741:AC1741),IF(MONTH(TODAY())=12,SUM(T1741:AD1741),IF(MONTH(TODAY())=1,SUM(T1741:AE1741),T1741)))))))))))</f>
        <v>103</v>
      </c>
      <c r="AT1741" s="95">
        <f t="shared" ref="AT1741:AT1745" si="2024">SUM(IF(AW1741&lt;1.15,AG1741,1.15*T1741),IF(AX1741&lt;1.15,AH1741,1.15*U1741),IF(AY1741&lt;1.15,AI1741,1.15*V1741),IF(AZ1741&lt;1.15,AJ1741,1.15*W1741),IF(BA1741&lt;1.15,AK1741,1.15*X1741),IF(BB1741&lt;1.15,AL1741,1.15*Y1741),IF(BC1741&lt;1.15,AM1741,1.15*Z1741),IF(BD1741&lt;1.15,AN1741,1.15*AA1741),IF(BE1741&lt;1.15,AO1741,1.15*AB1741),IF(BF1741&lt;1.15,AP1741,1.15*AC1741),IF(BG1741&lt;1.15,AQ1741,1.15*AD1741),IF(BH1741&lt;1.15,AR1741,1.15*AE1741))</f>
        <v>103</v>
      </c>
      <c r="AU1741" s="97">
        <f t="shared" ref="AU1741:AU1745" si="2025">SUM(AG1741:AR1741)</f>
        <v>103</v>
      </c>
      <c r="AW1741" s="51">
        <f t="shared" ref="AW1741:AW1745" si="2026">IFERROR(IF(AG1741="",0,AG1741/T1741),0)</f>
        <v>1</v>
      </c>
      <c r="AX1741" s="51">
        <f t="shared" ref="AX1741:AX1745" si="2027">IFERROR(IF(AH1741="",0,AH1741/U1741),0)</f>
        <v>1</v>
      </c>
      <c r="AY1741" s="51">
        <f t="shared" ref="AY1741:AY1745" si="2028">IFERROR(IF(AI1741="",0,AI1741/V1741),0)</f>
        <v>1</v>
      </c>
      <c r="AZ1741" s="51">
        <f t="shared" ref="AZ1741:AZ1745" si="2029">IFERROR(IF(AJ1741="",0,AJ1741/W1741),0)</f>
        <v>1</v>
      </c>
      <c r="BA1741" s="51"/>
      <c r="BB1741" s="51"/>
      <c r="BC1741" s="51"/>
      <c r="BD1741" s="51"/>
      <c r="BE1741" s="51"/>
      <c r="BF1741" s="51"/>
      <c r="BG1741" s="51"/>
      <c r="BH1741" s="51"/>
      <c r="BI1741" s="65" cm="1">
        <f t="array" ref="BI1741">IFERROR(INDEX(AW1741:BH1741,1,MATCH(2,1/(AW1741:BH1741&lt;&gt;""))),"")</f>
        <v>1</v>
      </c>
      <c r="BJ1741" s="68" cm="1">
        <f t="array" ref="BJ1741">IF(BM1741 = "", "",IFERROR(INDEX(AW1741:BH1741,1,MATCH(2,1/(AW1741:BH1741&lt;&gt;""),1)-1),""))</f>
        <v>1</v>
      </c>
      <c r="BK1741" s="58">
        <f>IF((IF(AW1741&gt;=115%,115%,AW1741) + IF(AX1741&gt;=115%,115%,AX1741) + IF(AY1741&gt;=115%,115%,AY1741) + (IF(AZ1741&gt;=115%,115%,AZ1741) + IF(BA1741&gt;=115%,115%,BA1741) + IF(BB1741&gt;=115%,115%,BB1741) + IF(BC1741&gt;=115%,115%,BC1741) + IF(BD1741&gt;=115%,115%,BD1741) + IF(BE1741&gt;=115%,115%,BE1741) + IF(BF1741&gt;=115%,115%,BF1741) + IF(BG1741&gt;=115%,115%,BG1741) + IF(BH1741&gt;=115%,115%,BH1741)))/_xlfn.XLOOKUP(F1741,Apuração!A:A,Apuração!B:B)&gt;=1.15,1.15,((IF(AZ1741&gt;=115%,115%,AZ1741) + IF(AX1741&gt;=115%,115%,AX1741) + IF(AY1741&gt;=115%,115%,AY1741) + (IF(AW1741&gt;=115%,115%,AW1741) + IF(BA1741&gt;=115%,115%,BA1741) + IF(BB1741&gt;=115%,115%,BB1741) + IF(BC1741&gt;=115%,115%,BC1741) + IF(BD1741&gt;=115%,115%,BD1741) + IF(BE1741&gt;=115%,115%,BE1741) + IF(BF1741&gt;=115%,115%,BF1741) + IF(BG1741&gt;=115%,115%,BG1741) + IF(BH1741&gt;=115%,115%,BH1741)))/_xlfn.XLOOKUP(F1741,Apuração!A:A,Apuração!B:B)))</f>
        <v>0.33333333333333331</v>
      </c>
      <c r="BL1741" s="58" cm="1">
        <f t="array" aca="1" ref="BL1741" ca="1">IF(SUM(IFERROR(IF(INDEX(AW1741:INDEX(AW1741:BH1741, MATCH(2, 1/(AW1741:BH1741&lt;&gt;""), 1)-1), ROW(INDIRECT("1:" &amp; MATCH(2, 1/(AW1741:BH1741&lt;&gt;""), 1)-1))) &gt;= 115%, 115%, INDEX(AW1741:INDEX(AW1741:BH1741, MATCH(2, 1/(AW1741:BH1741&lt;&gt;""), 1)-1), ROW(INDIRECT("1:" &amp; MATCH(2, 1/(AW1741:BH1741&lt;&gt;""), 1)-1)))), 0))/_xlfn.XLOOKUP(F1741,Apuração!A:A,Apuração!B:B)&gt;=1.15,1.15,SUM(IFERROR(IF(INDEX(AW1741:INDEX(AW1741:BH1741, MATCH(2, 1/(AW1741:BH1741&lt;&gt;""), 1)-1), ROW(INDIRECT("1:" &amp; MATCH(2, 1/(AW1741:BH1741&lt;&gt;""), 1)-1))) &gt;= 115%, 115%, INDEX(AW1741:INDEX(AW1741:BH1741, MATCH(2, 1/(AW1741:BH1741&lt;&gt;""), 1)-1), ROW(INDIRECT("1:" &amp; MATCH(2, 1/(AW1741:BH1741&lt;&gt;""), 1)-1)))), 0))/_xlfn.XLOOKUP(F1741,Apuração!A:A,Apuração!B:B))</f>
        <v>0.25</v>
      </c>
      <c r="BM1741" s="55" cm="1">
        <f t="array" ref="BM1741">IFERROR(
   INDEX($AW$1:$BH$1,
      _xlfn.AGGREGATE(14, 6, COLUMN($AW$1:$BH$1)/(AW1741:BH1741&lt;&gt;""), 2) - COLUMN($AW$1) + 1
   ),
"")</f>
        <v>46082</v>
      </c>
      <c r="BN1741" s="55" cm="1">
        <f t="array" ref="BN1741">IFERROR(INDEX($AW$1:$BH$1,1,MATCH(2,1/(AW1741:BH1741&lt;&gt;""))),"")</f>
        <v>46113</v>
      </c>
      <c r="BO1741" s="53">
        <f ca="1">IFERROR(_xlfn.XLOOKUP(F1741,Apuração!A:A,Apuração!C:C)/_xlfn.XLOOKUP(F1741,Apuração!A:A,Apuração!B:B),0)</f>
        <v>0.41666666666666669</v>
      </c>
      <c r="BP1741" s="53">
        <f ca="1">IFERROR(_xlfn.XLOOKUP(F1741,Apuração!A:A,Apuração!D:D)/_xlfn.XLOOKUP(F1741,Apuração!A:A,Apuração!B:B),0)</f>
        <v>0.33333333333333331</v>
      </c>
      <c r="BQ1741" s="53">
        <f ca="1">IF(BK1741&gt;=BO1741,0,_xlfn.XLOOKUP(F1741,Apuração!A:A,Apuração!B:B)*(BO1741 + (1/_xlfn.XLOOKUP(F1741,Apuração!A:A,Apuração!B:B)) - BK1741))</f>
        <v>2</v>
      </c>
      <c r="BR1741" s="85">
        <f t="shared" ref="BR1741:BR1745" ca="1" si="2030">IF(BQ1741=0,0,BQ1741*Z1741)</f>
        <v>0</v>
      </c>
      <c r="BS1741" s="53">
        <f ca="1">IFERROR((_xlfn.XLOOKUP(F1741,Apuração!A:A,Apuração!C:C)+1)/_xlfn.XLOOKUP(F1741,Apuração!A:A,Apuração!B:B),0)</f>
        <v>0.5</v>
      </c>
    </row>
    <row r="1742" spans="1:71" ht="25.95" hidden="1" customHeight="1" x14ac:dyDescent="0.3">
      <c r="A1742" s="25" t="s">
        <v>134</v>
      </c>
      <c r="B1742" s="15" t="s">
        <v>150</v>
      </c>
      <c r="C1742" s="5" t="s">
        <v>214</v>
      </c>
      <c r="D1742" s="5" t="s">
        <v>215</v>
      </c>
      <c r="E1742" s="4" t="str" cm="1">
        <f t="array" ref="E1742">_xlfn.IFS(
F1742 = "A partir de Abril", "Aguardando Execução na Distribuidora",
A1742 = "CAPACITAÇÃO", "Em execução no Corporativo",
TRUE, "Em Execução na Distribuidora"
)</f>
        <v>Em Execução na Distribuidora</v>
      </c>
      <c r="F1742" s="4" t="str" cm="1">
        <f t="array" ref="F1742">_xlfn.IFS(
AG1742 &lt;&gt; "", "Jan-Dez/26",
AH1742 &lt;&gt; "", "Fev-Dez/26",
AI1742 &lt;&gt; "", "Mar-Dez/26", AJ1742 &lt;&gt; "", "Abr-Dez/26",
TRUE, "A partir de Junho"
)</f>
        <v>Jan-Dez/26</v>
      </c>
      <c r="G1742" s="15" t="s">
        <v>37</v>
      </c>
      <c r="H1742" s="7" t="s">
        <v>110</v>
      </c>
      <c r="I1742" s="28" t="s">
        <v>124</v>
      </c>
      <c r="J1742" s="8" t="str" cm="1">
        <f t="array" aca="1" ref="J1742" ca="1">_xlfn.LET(
  _xlpm.actual_value_month, INDEX(T1742:AE1742, MATCH(DATE(YEAR(TODAY()), MONTH(TODAY()), 1), $T$1:$AE$1, 0)),
  IF(_xlpm.actual_value_month &lt;&gt; "",_xlpm.actual_value_month &amp; " reuniões mensais", "")
)</f>
        <v/>
      </c>
      <c r="K1742" s="8" t="str" cm="1">
        <f t="array" ref="K1742">_xlfn.LET(
    _xlpm.sum_month, SUM(T1742:AE1742),
    IF(_xlpm.sum_month = 0, "", _xlpm.sum_month &amp; " atividades no ano")
)</f>
        <v>229 atividades no ano</v>
      </c>
      <c r="L1742" s="29" t="s">
        <v>125</v>
      </c>
      <c r="M1742" s="30" t="s">
        <v>151</v>
      </c>
      <c r="N1742" s="66" t="s">
        <v>42</v>
      </c>
      <c r="O1742" s="111" t="s">
        <v>52</v>
      </c>
      <c r="P1742" s="31" t="s">
        <v>44</v>
      </c>
      <c r="Q1742" s="31" t="s">
        <v>72</v>
      </c>
      <c r="R1742" s="32" t="s">
        <v>44</v>
      </c>
      <c r="S1742" s="32" t="s">
        <v>44</v>
      </c>
      <c r="T1742" s="143">
        <v>55</v>
      </c>
      <c r="U1742" s="143">
        <v>72</v>
      </c>
      <c r="V1742" s="143">
        <v>49</v>
      </c>
      <c r="W1742" s="22">
        <v>53</v>
      </c>
      <c r="X1742" s="22"/>
      <c r="Y1742" s="22"/>
      <c r="Z1742" s="22"/>
      <c r="AA1742" s="22"/>
      <c r="AB1742" s="22"/>
      <c r="AC1742" s="22"/>
      <c r="AD1742" s="22"/>
      <c r="AE1742" s="22"/>
      <c r="AG1742" s="146">
        <v>55</v>
      </c>
      <c r="AH1742" s="150">
        <v>72</v>
      </c>
      <c r="AI1742" s="150">
        <v>49</v>
      </c>
      <c r="AJ1742" s="82">
        <v>53</v>
      </c>
      <c r="AK1742" s="71"/>
      <c r="AL1742" s="71"/>
      <c r="AM1742" s="71"/>
      <c r="AN1742" s="71"/>
      <c r="AO1742" s="71"/>
      <c r="AP1742" s="71"/>
      <c r="AQ1742" s="71"/>
      <c r="AR1742" s="71"/>
      <c r="AS1742" s="94">
        <f t="shared" ca="1" si="2023"/>
        <v>229</v>
      </c>
      <c r="AT1742" s="95">
        <f t="shared" si="2024"/>
        <v>229</v>
      </c>
      <c r="AU1742" s="97">
        <f t="shared" si="2025"/>
        <v>229</v>
      </c>
      <c r="AW1742" s="51">
        <f t="shared" si="2026"/>
        <v>1</v>
      </c>
      <c r="AX1742" s="51">
        <f t="shared" si="2027"/>
        <v>1</v>
      </c>
      <c r="AY1742" s="51">
        <f t="shared" si="2028"/>
        <v>1</v>
      </c>
      <c r="AZ1742" s="51">
        <f t="shared" si="2029"/>
        <v>1</v>
      </c>
      <c r="BA1742" s="51"/>
      <c r="BB1742" s="51"/>
      <c r="BC1742" s="51"/>
      <c r="BD1742" s="51"/>
      <c r="BE1742" s="51"/>
      <c r="BF1742" s="51"/>
      <c r="BG1742" s="51"/>
      <c r="BH1742" s="51"/>
      <c r="BI1742" s="65" cm="1">
        <f t="array" ref="BI1742">IFERROR(INDEX(AW1742:BH1742,1,MATCH(2,1/(AW1742:BH1742&lt;&gt;""))),"")</f>
        <v>1</v>
      </c>
      <c r="BJ1742" s="68" cm="1">
        <f t="array" ref="BJ1742">IF(BM1742 = "", "",IFERROR(INDEX(AW1742:BH1742,1,MATCH(2,1/(AW1742:BH1742&lt;&gt;""),1)-1),""))</f>
        <v>1</v>
      </c>
      <c r="BK1742" s="58">
        <f>IF((IF(AW1742&gt;=115%,115%,AW1742) + IF(AX1742&gt;=115%,115%,AX1742) + IF(AY1742&gt;=115%,115%,AY1742) + (IF(AZ1742&gt;=115%,115%,AZ1742) + IF(BA1742&gt;=115%,115%,BA1742) + IF(BB1742&gt;=115%,115%,BB1742) + IF(BC1742&gt;=115%,115%,BC1742) + IF(BD1742&gt;=115%,115%,BD1742) + IF(BE1742&gt;=115%,115%,BE1742) + IF(BF1742&gt;=115%,115%,BF1742) + IF(BG1742&gt;=115%,115%,BG1742) + IF(BH1742&gt;=115%,115%,BH1742)))/_xlfn.XLOOKUP(F1742,Apuração!A:A,Apuração!B:B)&gt;=1.15,1.15,((IF(AZ1742&gt;=115%,115%,AZ1742) + IF(AX1742&gt;=115%,115%,AX1742) + IF(AY1742&gt;=115%,115%,AY1742) + (IF(AW1742&gt;=115%,115%,AW1742) + IF(BA1742&gt;=115%,115%,BA1742) + IF(BB1742&gt;=115%,115%,BB1742) + IF(BC1742&gt;=115%,115%,BC1742) + IF(BD1742&gt;=115%,115%,BD1742) + IF(BE1742&gt;=115%,115%,BE1742) + IF(BF1742&gt;=115%,115%,BF1742) + IF(BG1742&gt;=115%,115%,BG1742) + IF(BH1742&gt;=115%,115%,BH1742)))/_xlfn.XLOOKUP(F1742,Apuração!A:A,Apuração!B:B)))</f>
        <v>0.33333333333333331</v>
      </c>
      <c r="BL1742" s="58" cm="1">
        <f t="array" aca="1" ref="BL1742" ca="1">IF(SUM(IFERROR(IF(INDEX(AW1742:INDEX(AW1742:BH1742, MATCH(2, 1/(AW1742:BH1742&lt;&gt;""), 1)-1), ROW(INDIRECT("1:" &amp; MATCH(2, 1/(AW1742:BH1742&lt;&gt;""), 1)-1))) &gt;= 115%, 115%, INDEX(AW1742:INDEX(AW1742:BH1742, MATCH(2, 1/(AW1742:BH1742&lt;&gt;""), 1)-1), ROW(INDIRECT("1:" &amp; MATCH(2, 1/(AW1742:BH1742&lt;&gt;""), 1)-1)))), 0))/_xlfn.XLOOKUP(F1742,Apuração!A:A,Apuração!B:B)&gt;=1.15,1.15,SUM(IFERROR(IF(INDEX(AW1742:INDEX(AW1742:BH1742, MATCH(2, 1/(AW1742:BH1742&lt;&gt;""), 1)-1), ROW(INDIRECT("1:" &amp; MATCH(2, 1/(AW1742:BH1742&lt;&gt;""), 1)-1))) &gt;= 115%, 115%, INDEX(AW1742:INDEX(AW1742:BH1742, MATCH(2, 1/(AW1742:BH1742&lt;&gt;""), 1)-1), ROW(INDIRECT("1:" &amp; MATCH(2, 1/(AW1742:BH1742&lt;&gt;""), 1)-1)))), 0))/_xlfn.XLOOKUP(F1742,Apuração!A:A,Apuração!B:B))</f>
        <v>0.25</v>
      </c>
      <c r="BM1742" s="55" cm="1">
        <f t="array" ref="BM1742">IFERROR(
   INDEX($AW$1:$BH$1,
      _xlfn.AGGREGATE(14, 6, COLUMN($AW$1:$BH$1)/(AW1742:BH1742&lt;&gt;""), 2) - COLUMN($AW$1) + 1
   ),
"")</f>
        <v>46082</v>
      </c>
      <c r="BN1742" s="55" cm="1">
        <f t="array" ref="BN1742">IFERROR(INDEX($AW$1:$BH$1,1,MATCH(2,1/(AW1742:BH1742&lt;&gt;""))),"")</f>
        <v>46113</v>
      </c>
      <c r="BO1742" s="53">
        <f ca="1">IFERROR(_xlfn.XLOOKUP(F1742,Apuração!A:A,Apuração!C:C)/_xlfn.XLOOKUP(F1742,Apuração!A:A,Apuração!B:B),0)</f>
        <v>0.41666666666666669</v>
      </c>
      <c r="BP1742" s="53">
        <f ca="1">IFERROR(_xlfn.XLOOKUP(F1742,Apuração!A:A,Apuração!D:D)/_xlfn.XLOOKUP(F1742,Apuração!A:A,Apuração!B:B),0)</f>
        <v>0.33333333333333331</v>
      </c>
      <c r="BQ1742" s="53">
        <f ca="1">IF(BK1742&gt;=BO1742,0,_xlfn.XLOOKUP(F1742,Apuração!A:A,Apuração!B:B)*(BO1742 + (1/_xlfn.XLOOKUP(F1742,Apuração!A:A,Apuração!B:B)) - BK1742))</f>
        <v>2</v>
      </c>
      <c r="BR1742" s="85">
        <f t="shared" ca="1" si="2030"/>
        <v>0</v>
      </c>
      <c r="BS1742" s="53">
        <f ca="1">IFERROR((_xlfn.XLOOKUP(F1742,Apuração!A:A,Apuração!C:C)+1)/_xlfn.XLOOKUP(F1742,Apuração!A:A,Apuração!B:B),0)</f>
        <v>0.5</v>
      </c>
    </row>
    <row r="1743" spans="1:71" ht="25.95" hidden="1" customHeight="1" x14ac:dyDescent="0.3">
      <c r="A1743" s="25" t="s">
        <v>134</v>
      </c>
      <c r="B1743" s="15" t="s">
        <v>150</v>
      </c>
      <c r="C1743" s="5" t="s">
        <v>214</v>
      </c>
      <c r="D1743" s="5" t="s">
        <v>212</v>
      </c>
      <c r="E1743" s="4" t="str" cm="1">
        <f t="array" ref="E1743">_xlfn.IFS(
F1743 = "A partir de Abril", "Aguardando Execução na Distribuidora",
A1743 = "CAPACITAÇÃO", "Em execução no Corporativo",
TRUE, "Em Execução na Distribuidora"
)</f>
        <v>Em Execução na Distribuidora</v>
      </c>
      <c r="F1743" s="4" t="str" cm="1">
        <f t="array" ref="F1743">_xlfn.IFS(
AG1743 &lt;&gt; "", "Jan-Dez/26",
AH1743 &lt;&gt; "", "Fev-Dez/26",
AI1743 &lt;&gt; "", "Mar-Dez/26", AJ1743 &lt;&gt; "", "Abr-Dez/26",
TRUE, "A partir de Junho"
)</f>
        <v>Jan-Dez/26</v>
      </c>
      <c r="G1743" s="15" t="s">
        <v>37</v>
      </c>
      <c r="H1743" s="7" t="s">
        <v>110</v>
      </c>
      <c r="I1743" s="28" t="s">
        <v>124</v>
      </c>
      <c r="J1743" s="8" t="str" cm="1">
        <f t="array" aca="1" ref="J1743" ca="1">_xlfn.LET(
  _xlpm.actual_value_month, INDEX(T1743:AE1743, MATCH(DATE(YEAR(TODAY()), MONTH(TODAY()), 1), $T$1:$AE$1, 0)),
  IF(_xlpm.actual_value_month &lt;&gt; "",_xlpm.actual_value_month &amp; " reuniões mensais", "")
)</f>
        <v/>
      </c>
      <c r="K1743" s="8" t="str" cm="1">
        <f t="array" ref="K1743">_xlfn.LET(
    _xlpm.sum_month, SUM(T1743:AE1743),
    IF(_xlpm.sum_month = 0, "", _xlpm.sum_month &amp; " atividades no ano")
)</f>
        <v>260 atividades no ano</v>
      </c>
      <c r="L1743" s="29" t="s">
        <v>125</v>
      </c>
      <c r="M1743" s="30" t="s">
        <v>151</v>
      </c>
      <c r="N1743" s="66" t="s">
        <v>42</v>
      </c>
      <c r="O1743" s="111" t="s">
        <v>52</v>
      </c>
      <c r="P1743" s="31" t="s">
        <v>44</v>
      </c>
      <c r="Q1743" s="31" t="s">
        <v>72</v>
      </c>
      <c r="R1743" s="32" t="s">
        <v>44</v>
      </c>
      <c r="S1743" s="32" t="s">
        <v>44</v>
      </c>
      <c r="T1743" s="143">
        <v>57</v>
      </c>
      <c r="U1743" s="143">
        <v>60</v>
      </c>
      <c r="V1743" s="143">
        <v>70</v>
      </c>
      <c r="W1743" s="22">
        <v>73</v>
      </c>
      <c r="X1743" s="22"/>
      <c r="Y1743" s="22"/>
      <c r="Z1743" s="22"/>
      <c r="AA1743" s="22"/>
      <c r="AB1743" s="22"/>
      <c r="AC1743" s="22"/>
      <c r="AD1743" s="22"/>
      <c r="AE1743" s="22"/>
      <c r="AG1743" s="146">
        <v>57</v>
      </c>
      <c r="AH1743" s="150">
        <v>60</v>
      </c>
      <c r="AI1743" s="150">
        <v>70</v>
      </c>
      <c r="AJ1743" s="82">
        <v>73</v>
      </c>
      <c r="AK1743" s="71"/>
      <c r="AL1743" s="71"/>
      <c r="AM1743" s="71"/>
      <c r="AN1743" s="71"/>
      <c r="AO1743" s="71"/>
      <c r="AP1743" s="71"/>
      <c r="AQ1743" s="71"/>
      <c r="AR1743" s="71"/>
      <c r="AS1743" s="94">
        <f t="shared" ca="1" si="2023"/>
        <v>260</v>
      </c>
      <c r="AT1743" s="95">
        <f t="shared" si="2024"/>
        <v>260</v>
      </c>
      <c r="AU1743" s="97">
        <f t="shared" si="2025"/>
        <v>260</v>
      </c>
      <c r="AW1743" s="51">
        <f t="shared" si="2026"/>
        <v>1</v>
      </c>
      <c r="AX1743" s="51">
        <f t="shared" si="2027"/>
        <v>1</v>
      </c>
      <c r="AY1743" s="51">
        <f t="shared" si="2028"/>
        <v>1</v>
      </c>
      <c r="AZ1743" s="51">
        <f t="shared" si="2029"/>
        <v>1</v>
      </c>
      <c r="BA1743" s="51"/>
      <c r="BB1743" s="51"/>
      <c r="BC1743" s="51"/>
      <c r="BD1743" s="51"/>
      <c r="BE1743" s="51"/>
      <c r="BF1743" s="51"/>
      <c r="BG1743" s="51"/>
      <c r="BH1743" s="51"/>
      <c r="BI1743" s="65" cm="1">
        <f t="array" ref="BI1743">IFERROR(INDEX(AW1743:BH1743,1,MATCH(2,1/(AW1743:BH1743&lt;&gt;""))),"")</f>
        <v>1</v>
      </c>
      <c r="BJ1743" s="68" cm="1">
        <f t="array" ref="BJ1743">IF(BM1743 = "", "",IFERROR(INDEX(AW1743:BH1743,1,MATCH(2,1/(AW1743:BH1743&lt;&gt;""),1)-1),""))</f>
        <v>1</v>
      </c>
      <c r="BK1743" s="58">
        <f>IF((IF(AW1743&gt;=115%,115%,AW1743) + IF(AX1743&gt;=115%,115%,AX1743) + IF(AY1743&gt;=115%,115%,AY1743) + (IF(AZ1743&gt;=115%,115%,AZ1743) + IF(BA1743&gt;=115%,115%,BA1743) + IF(BB1743&gt;=115%,115%,BB1743) + IF(BC1743&gt;=115%,115%,BC1743) + IF(BD1743&gt;=115%,115%,BD1743) + IF(BE1743&gt;=115%,115%,BE1743) + IF(BF1743&gt;=115%,115%,BF1743) + IF(BG1743&gt;=115%,115%,BG1743) + IF(BH1743&gt;=115%,115%,BH1743)))/_xlfn.XLOOKUP(F1743,Apuração!A:A,Apuração!B:B)&gt;=1.15,1.15,((IF(AZ1743&gt;=115%,115%,AZ1743) + IF(AX1743&gt;=115%,115%,AX1743) + IF(AY1743&gt;=115%,115%,AY1743) + (IF(AW1743&gt;=115%,115%,AW1743) + IF(BA1743&gt;=115%,115%,BA1743) + IF(BB1743&gt;=115%,115%,BB1743) + IF(BC1743&gt;=115%,115%,BC1743) + IF(BD1743&gt;=115%,115%,BD1743) + IF(BE1743&gt;=115%,115%,BE1743) + IF(BF1743&gt;=115%,115%,BF1743) + IF(BG1743&gt;=115%,115%,BG1743) + IF(BH1743&gt;=115%,115%,BH1743)))/_xlfn.XLOOKUP(F1743,Apuração!A:A,Apuração!B:B)))</f>
        <v>0.33333333333333331</v>
      </c>
      <c r="BL1743" s="58" cm="1">
        <f t="array" aca="1" ref="BL1743" ca="1">IF(SUM(IFERROR(IF(INDEX(AW1743:INDEX(AW1743:BH1743, MATCH(2, 1/(AW1743:BH1743&lt;&gt;""), 1)-1), ROW(INDIRECT("1:" &amp; MATCH(2, 1/(AW1743:BH1743&lt;&gt;""), 1)-1))) &gt;= 115%, 115%, INDEX(AW1743:INDEX(AW1743:BH1743, MATCH(2, 1/(AW1743:BH1743&lt;&gt;""), 1)-1), ROW(INDIRECT("1:" &amp; MATCH(2, 1/(AW1743:BH1743&lt;&gt;""), 1)-1)))), 0))/_xlfn.XLOOKUP(F1743,Apuração!A:A,Apuração!B:B)&gt;=1.15,1.15,SUM(IFERROR(IF(INDEX(AW1743:INDEX(AW1743:BH1743, MATCH(2, 1/(AW1743:BH1743&lt;&gt;""), 1)-1), ROW(INDIRECT("1:" &amp; MATCH(2, 1/(AW1743:BH1743&lt;&gt;""), 1)-1))) &gt;= 115%, 115%, INDEX(AW1743:INDEX(AW1743:BH1743, MATCH(2, 1/(AW1743:BH1743&lt;&gt;""), 1)-1), ROW(INDIRECT("1:" &amp; MATCH(2, 1/(AW1743:BH1743&lt;&gt;""), 1)-1)))), 0))/_xlfn.XLOOKUP(F1743,Apuração!A:A,Apuração!B:B))</f>
        <v>0.25</v>
      </c>
      <c r="BM1743" s="55" cm="1">
        <f t="array" ref="BM1743">IFERROR(
   INDEX($AW$1:$BH$1,
      _xlfn.AGGREGATE(14, 6, COLUMN($AW$1:$BH$1)/(AW1743:BH1743&lt;&gt;""), 2) - COLUMN($AW$1) + 1
   ),
"")</f>
        <v>46082</v>
      </c>
      <c r="BN1743" s="55" cm="1">
        <f t="array" ref="BN1743">IFERROR(INDEX($AW$1:$BH$1,1,MATCH(2,1/(AW1743:BH1743&lt;&gt;""))),"")</f>
        <v>46113</v>
      </c>
      <c r="BO1743" s="53">
        <f ca="1">IFERROR(_xlfn.XLOOKUP(F1743,Apuração!A:A,Apuração!C:C)/_xlfn.XLOOKUP(F1743,Apuração!A:A,Apuração!B:B),0)</f>
        <v>0.41666666666666669</v>
      </c>
      <c r="BP1743" s="53">
        <f ca="1">IFERROR(_xlfn.XLOOKUP(F1743,Apuração!A:A,Apuração!D:D)/_xlfn.XLOOKUP(F1743,Apuração!A:A,Apuração!B:B),0)</f>
        <v>0.33333333333333331</v>
      </c>
      <c r="BQ1743" s="53">
        <f ca="1">IF(BK1743&gt;=BO1743,0,_xlfn.XLOOKUP(F1743,Apuração!A:A,Apuração!B:B)*(BO1743 + (1/_xlfn.XLOOKUP(F1743,Apuração!A:A,Apuração!B:B)) - BK1743))</f>
        <v>2</v>
      </c>
      <c r="BR1743" s="85">
        <f t="shared" ca="1" si="2030"/>
        <v>0</v>
      </c>
      <c r="BS1743" s="53">
        <f ca="1">IFERROR((_xlfn.XLOOKUP(F1743,Apuração!A:A,Apuração!C:C)+1)/_xlfn.XLOOKUP(F1743,Apuração!A:A,Apuração!B:B),0)</f>
        <v>0.5</v>
      </c>
    </row>
    <row r="1744" spans="1:71" ht="25.95" hidden="1" customHeight="1" x14ac:dyDescent="0.3">
      <c r="A1744" s="25" t="s">
        <v>134</v>
      </c>
      <c r="B1744" s="15" t="s">
        <v>150</v>
      </c>
      <c r="C1744" s="5" t="s">
        <v>214</v>
      </c>
      <c r="D1744" s="5" t="s">
        <v>48</v>
      </c>
      <c r="E1744" s="4" t="str" cm="1">
        <f t="array" ref="E1744">_xlfn.IFS(
F1744 = "A partir de Abril", "Aguardando Execução na Distribuidora",
A1744 = "CAPACITAÇÃO", "Em execução no Corporativo",
TRUE, "Em Execução na Distribuidora"
)</f>
        <v>Em Execução na Distribuidora</v>
      </c>
      <c r="F1744" s="4" t="str" cm="1">
        <f t="array" ref="F1744">_xlfn.IFS(
AG1744 &lt;&gt; "", "Jan-Dez/26",
AH1744 &lt;&gt; "", "Fev-Dez/26",
AI1744 &lt;&gt; "", "Mar-Dez/26", AJ1744 &lt;&gt; "", "Abr-Dez/26",
TRUE, "A partir de Junho"
)</f>
        <v>Jan-Dez/26</v>
      </c>
      <c r="G1744" s="15" t="s">
        <v>37</v>
      </c>
      <c r="H1744" s="7" t="s">
        <v>110</v>
      </c>
      <c r="I1744" s="28" t="s">
        <v>124</v>
      </c>
      <c r="J1744" s="8" t="str" cm="1">
        <f t="array" aca="1" ref="J1744" ca="1">_xlfn.LET(
  _xlpm.actual_value_month, INDEX(T1744:AE1744, MATCH(DATE(YEAR(TODAY()), MONTH(TODAY()), 1), $T$1:$AE$1, 0)),
  IF(_xlpm.actual_value_month &lt;&gt; "",_xlpm.actual_value_month &amp; " reuniões mensais", "")
)</f>
        <v/>
      </c>
      <c r="K1744" s="8" t="str" cm="1">
        <f t="array" ref="K1744">_xlfn.LET(
    _xlpm.sum_month, SUM(T1744:AE1744),
    IF(_xlpm.sum_month = 0, "", _xlpm.sum_month &amp; " atividades no ano")
)</f>
        <v>67 atividades no ano</v>
      </c>
      <c r="L1744" s="29" t="s">
        <v>125</v>
      </c>
      <c r="M1744" s="30" t="s">
        <v>151</v>
      </c>
      <c r="N1744" s="66" t="s">
        <v>42</v>
      </c>
      <c r="O1744" s="111" t="s">
        <v>52</v>
      </c>
      <c r="P1744" s="31" t="s">
        <v>44</v>
      </c>
      <c r="Q1744" s="31" t="s">
        <v>72</v>
      </c>
      <c r="R1744" s="32" t="s">
        <v>44</v>
      </c>
      <c r="S1744" s="32" t="s">
        <v>44</v>
      </c>
      <c r="T1744" s="143">
        <v>21</v>
      </c>
      <c r="U1744" s="143">
        <v>22</v>
      </c>
      <c r="V1744" s="143">
        <v>13</v>
      </c>
      <c r="W1744" s="22">
        <v>11</v>
      </c>
      <c r="X1744" s="22"/>
      <c r="Y1744" s="22"/>
      <c r="Z1744" s="22"/>
      <c r="AA1744" s="22"/>
      <c r="AB1744" s="22"/>
      <c r="AC1744" s="22"/>
      <c r="AD1744" s="22"/>
      <c r="AE1744" s="22"/>
      <c r="AG1744" s="146">
        <v>21</v>
      </c>
      <c r="AH1744" s="150">
        <v>22</v>
      </c>
      <c r="AI1744" s="150">
        <v>13</v>
      </c>
      <c r="AJ1744" s="82">
        <v>11</v>
      </c>
      <c r="AK1744" s="71"/>
      <c r="AL1744" s="71"/>
      <c r="AM1744" s="71"/>
      <c r="AN1744" s="71"/>
      <c r="AO1744" s="71"/>
      <c r="AP1744" s="71"/>
      <c r="AQ1744" s="71"/>
      <c r="AR1744" s="71"/>
      <c r="AS1744" s="94">
        <f t="shared" ca="1" si="2023"/>
        <v>67</v>
      </c>
      <c r="AT1744" s="95">
        <f t="shared" si="2024"/>
        <v>67</v>
      </c>
      <c r="AU1744" s="97">
        <f t="shared" si="2025"/>
        <v>67</v>
      </c>
      <c r="AW1744" s="51">
        <f t="shared" si="2026"/>
        <v>1</v>
      </c>
      <c r="AX1744" s="51">
        <f t="shared" si="2027"/>
        <v>1</v>
      </c>
      <c r="AY1744" s="51">
        <f t="shared" si="2028"/>
        <v>1</v>
      </c>
      <c r="AZ1744" s="51">
        <f t="shared" si="2029"/>
        <v>1</v>
      </c>
      <c r="BA1744" s="51"/>
      <c r="BB1744" s="51"/>
      <c r="BC1744" s="51"/>
      <c r="BD1744" s="51"/>
      <c r="BE1744" s="51"/>
      <c r="BF1744" s="51"/>
      <c r="BG1744" s="51"/>
      <c r="BH1744" s="51"/>
      <c r="BI1744" s="65" cm="1">
        <f t="array" ref="BI1744">IFERROR(INDEX(AW1744:BH1744,1,MATCH(2,1/(AW1744:BH1744&lt;&gt;""))),"")</f>
        <v>1</v>
      </c>
      <c r="BJ1744" s="68" cm="1">
        <f t="array" ref="BJ1744">IF(BM1744 = "", "",IFERROR(INDEX(AW1744:BH1744,1,MATCH(2,1/(AW1744:BH1744&lt;&gt;""),1)-1),""))</f>
        <v>1</v>
      </c>
      <c r="BK1744" s="58">
        <f>IF((IF(AW1744&gt;=115%,115%,AW1744) + IF(AX1744&gt;=115%,115%,AX1744) + IF(AY1744&gt;=115%,115%,AY1744) + (IF(AZ1744&gt;=115%,115%,AZ1744) + IF(BA1744&gt;=115%,115%,BA1744) + IF(BB1744&gt;=115%,115%,BB1744) + IF(BC1744&gt;=115%,115%,BC1744) + IF(BD1744&gt;=115%,115%,BD1744) + IF(BE1744&gt;=115%,115%,BE1744) + IF(BF1744&gt;=115%,115%,BF1744) + IF(BG1744&gt;=115%,115%,BG1744) + IF(BH1744&gt;=115%,115%,BH1744)))/_xlfn.XLOOKUP(F1744,Apuração!A:A,Apuração!B:B)&gt;=1.15,1.15,((IF(AZ1744&gt;=115%,115%,AZ1744) + IF(AX1744&gt;=115%,115%,AX1744) + IF(AY1744&gt;=115%,115%,AY1744) + (IF(AW1744&gt;=115%,115%,AW1744) + IF(BA1744&gt;=115%,115%,BA1744) + IF(BB1744&gt;=115%,115%,BB1744) + IF(BC1744&gt;=115%,115%,BC1744) + IF(BD1744&gt;=115%,115%,BD1744) + IF(BE1744&gt;=115%,115%,BE1744) + IF(BF1744&gt;=115%,115%,BF1744) + IF(BG1744&gt;=115%,115%,BG1744) + IF(BH1744&gt;=115%,115%,BH1744)))/_xlfn.XLOOKUP(F1744,Apuração!A:A,Apuração!B:B)))</f>
        <v>0.33333333333333331</v>
      </c>
      <c r="BL1744" s="58" cm="1">
        <f t="array" aca="1" ref="BL1744" ca="1">IF(SUM(IFERROR(IF(INDEX(AW1744:INDEX(AW1744:BH1744, MATCH(2, 1/(AW1744:BH1744&lt;&gt;""), 1)-1), ROW(INDIRECT("1:" &amp; MATCH(2, 1/(AW1744:BH1744&lt;&gt;""), 1)-1))) &gt;= 115%, 115%, INDEX(AW1744:INDEX(AW1744:BH1744, MATCH(2, 1/(AW1744:BH1744&lt;&gt;""), 1)-1), ROW(INDIRECT("1:" &amp; MATCH(2, 1/(AW1744:BH1744&lt;&gt;""), 1)-1)))), 0))/_xlfn.XLOOKUP(F1744,Apuração!A:A,Apuração!B:B)&gt;=1.15,1.15,SUM(IFERROR(IF(INDEX(AW1744:INDEX(AW1744:BH1744, MATCH(2, 1/(AW1744:BH1744&lt;&gt;""), 1)-1), ROW(INDIRECT("1:" &amp; MATCH(2, 1/(AW1744:BH1744&lt;&gt;""), 1)-1))) &gt;= 115%, 115%, INDEX(AW1744:INDEX(AW1744:BH1744, MATCH(2, 1/(AW1744:BH1744&lt;&gt;""), 1)-1), ROW(INDIRECT("1:" &amp; MATCH(2, 1/(AW1744:BH1744&lt;&gt;""), 1)-1)))), 0))/_xlfn.XLOOKUP(F1744,Apuração!A:A,Apuração!B:B))</f>
        <v>0.25</v>
      </c>
      <c r="BM1744" s="55" cm="1">
        <f t="array" ref="BM1744">IFERROR(
   INDEX($AW$1:$BH$1,
      _xlfn.AGGREGATE(14, 6, COLUMN($AW$1:$BH$1)/(AW1744:BH1744&lt;&gt;""), 2) - COLUMN($AW$1) + 1
   ),
"")</f>
        <v>46082</v>
      </c>
      <c r="BN1744" s="55" cm="1">
        <f t="array" ref="BN1744">IFERROR(INDEX($AW$1:$BH$1,1,MATCH(2,1/(AW1744:BH1744&lt;&gt;""))),"")</f>
        <v>46113</v>
      </c>
      <c r="BO1744" s="53">
        <f ca="1">IFERROR(_xlfn.XLOOKUP(F1744,Apuração!A:A,Apuração!C:C)/_xlfn.XLOOKUP(F1744,Apuração!A:A,Apuração!B:B),0)</f>
        <v>0.41666666666666669</v>
      </c>
      <c r="BP1744" s="53">
        <f ca="1">IFERROR(_xlfn.XLOOKUP(F1744,Apuração!A:A,Apuração!D:D)/_xlfn.XLOOKUP(F1744,Apuração!A:A,Apuração!B:B),0)</f>
        <v>0.33333333333333331</v>
      </c>
      <c r="BQ1744" s="53">
        <f ca="1">IF(BK1744&gt;=BO1744,0,_xlfn.XLOOKUP(F1744,Apuração!A:A,Apuração!B:B)*(BO1744 + (1/_xlfn.XLOOKUP(F1744,Apuração!A:A,Apuração!B:B)) - BK1744))</f>
        <v>2</v>
      </c>
      <c r="BR1744" s="85">
        <f t="shared" ca="1" si="2030"/>
        <v>0</v>
      </c>
      <c r="BS1744" s="53">
        <f ca="1">IFERROR((_xlfn.XLOOKUP(F1744,Apuração!A:A,Apuração!C:C)+1)/_xlfn.XLOOKUP(F1744,Apuração!A:A,Apuração!B:B),0)</f>
        <v>0.5</v>
      </c>
    </row>
    <row r="1745" spans="1:71" ht="25.95" hidden="1" customHeight="1" x14ac:dyDescent="0.3">
      <c r="A1745" s="25" t="s">
        <v>134</v>
      </c>
      <c r="B1745" s="15" t="s">
        <v>150</v>
      </c>
      <c r="C1745" s="5" t="s">
        <v>214</v>
      </c>
      <c r="D1745" s="5" t="s">
        <v>213</v>
      </c>
      <c r="E1745" s="4" t="str" cm="1">
        <f t="array" ref="E1745">_xlfn.IFS(
F1745 = "A partir de Abril", "Aguardando Execução na Distribuidora",
A1745 = "CAPACITAÇÃO", "Em execução no Corporativo",
TRUE, "Em Execução na Distribuidora"
)</f>
        <v>Em Execução na Distribuidora</v>
      </c>
      <c r="F1745" s="4" t="str" cm="1">
        <f t="array" ref="F1745">_xlfn.IFS(
AG1745 &lt;&gt; "", "Jan-Dez/26",
AH1745 &lt;&gt; "", "Fev-Dez/26",
AI1745 &lt;&gt; "", "Mar-Dez/26", AJ1745 &lt;&gt; "", "Abr-Dez/26",
TRUE, "A partir de Junho"
)</f>
        <v>Jan-Dez/26</v>
      </c>
      <c r="G1745" s="15" t="s">
        <v>37</v>
      </c>
      <c r="H1745" s="7" t="s">
        <v>110</v>
      </c>
      <c r="I1745" s="28" t="s">
        <v>124</v>
      </c>
      <c r="J1745" s="8" t="str" cm="1">
        <f t="array" aca="1" ref="J1745" ca="1">_xlfn.LET(
  _xlpm.actual_value_month, INDEX(T1745:AE1745, MATCH(DATE(YEAR(TODAY()), MONTH(TODAY()), 1), $T$1:$AE$1, 0)),
  IF(_xlpm.actual_value_month &lt;&gt; "",_xlpm.actual_value_month &amp; " reuniões mensais", "")
)</f>
        <v/>
      </c>
      <c r="K1745" s="8" t="str" cm="1">
        <f t="array" ref="K1745">_xlfn.LET(
    _xlpm.sum_month, SUM(T1745:AE1745),
    IF(_xlpm.sum_month = 0, "", _xlpm.sum_month &amp; " atividades no ano")
)</f>
        <v>130 atividades no ano</v>
      </c>
      <c r="L1745" s="29" t="s">
        <v>125</v>
      </c>
      <c r="M1745" s="30" t="s">
        <v>151</v>
      </c>
      <c r="N1745" s="66" t="s">
        <v>42</v>
      </c>
      <c r="O1745" s="111" t="s">
        <v>52</v>
      </c>
      <c r="P1745" s="31" t="s">
        <v>44</v>
      </c>
      <c r="Q1745" s="31" t="s">
        <v>72</v>
      </c>
      <c r="R1745" s="32" t="s">
        <v>44</v>
      </c>
      <c r="S1745" s="32" t="s">
        <v>44</v>
      </c>
      <c r="T1745" s="143">
        <v>40</v>
      </c>
      <c r="U1745" s="143">
        <v>37</v>
      </c>
      <c r="V1745" s="143">
        <v>38</v>
      </c>
      <c r="W1745" s="22">
        <v>15</v>
      </c>
      <c r="X1745" s="22"/>
      <c r="Y1745" s="22"/>
      <c r="Z1745" s="22"/>
      <c r="AA1745" s="22"/>
      <c r="AB1745" s="22"/>
      <c r="AC1745" s="22"/>
      <c r="AD1745" s="22"/>
      <c r="AE1745" s="22"/>
      <c r="AG1745" s="146">
        <v>40</v>
      </c>
      <c r="AH1745" s="150">
        <v>37</v>
      </c>
      <c r="AI1745" s="150">
        <v>38</v>
      </c>
      <c r="AJ1745" s="82">
        <v>15</v>
      </c>
      <c r="AK1745" s="71"/>
      <c r="AL1745" s="71"/>
      <c r="AM1745" s="71"/>
      <c r="AN1745" s="71"/>
      <c r="AO1745" s="71"/>
      <c r="AP1745" s="71"/>
      <c r="AQ1745" s="71"/>
      <c r="AR1745" s="71"/>
      <c r="AS1745" s="94">
        <f t="shared" ca="1" si="2023"/>
        <v>130</v>
      </c>
      <c r="AT1745" s="95">
        <f t="shared" si="2024"/>
        <v>130</v>
      </c>
      <c r="AU1745" s="97">
        <f t="shared" si="2025"/>
        <v>130</v>
      </c>
      <c r="AW1745" s="51">
        <f t="shared" si="2026"/>
        <v>1</v>
      </c>
      <c r="AX1745" s="51">
        <f t="shared" si="2027"/>
        <v>1</v>
      </c>
      <c r="AY1745" s="51">
        <f t="shared" si="2028"/>
        <v>1</v>
      </c>
      <c r="AZ1745" s="51">
        <f t="shared" si="2029"/>
        <v>1</v>
      </c>
      <c r="BA1745" s="51"/>
      <c r="BB1745" s="51"/>
      <c r="BC1745" s="51"/>
      <c r="BD1745" s="51"/>
      <c r="BE1745" s="51"/>
      <c r="BF1745" s="51"/>
      <c r="BG1745" s="51"/>
      <c r="BH1745" s="51"/>
      <c r="BI1745" s="65" cm="1">
        <f t="array" ref="BI1745">IFERROR(INDEX(AW1745:BH1745,1,MATCH(2,1/(AW1745:BH1745&lt;&gt;""))),"")</f>
        <v>1</v>
      </c>
      <c r="BJ1745" s="68" cm="1">
        <f t="array" ref="BJ1745">IF(BM1745 = "", "",IFERROR(INDEX(AW1745:BH1745,1,MATCH(2,1/(AW1745:BH1745&lt;&gt;""),1)-1),""))</f>
        <v>1</v>
      </c>
      <c r="BK1745" s="58">
        <f>IF((IF(AW1745&gt;=115%,115%,AW1745) + IF(AX1745&gt;=115%,115%,AX1745) + IF(AY1745&gt;=115%,115%,AY1745) + (IF(AZ1745&gt;=115%,115%,AZ1745) + IF(BA1745&gt;=115%,115%,BA1745) + IF(BB1745&gt;=115%,115%,BB1745) + IF(BC1745&gt;=115%,115%,BC1745) + IF(BD1745&gt;=115%,115%,BD1745) + IF(BE1745&gt;=115%,115%,BE1745) + IF(BF1745&gt;=115%,115%,BF1745) + IF(BG1745&gt;=115%,115%,BG1745) + IF(BH1745&gt;=115%,115%,BH1745)))/_xlfn.XLOOKUP(F1745,Apuração!A:A,Apuração!B:B)&gt;=1.15,1.15,((IF(AZ1745&gt;=115%,115%,AZ1745) + IF(AX1745&gt;=115%,115%,AX1745) + IF(AY1745&gt;=115%,115%,AY1745) + (IF(AW1745&gt;=115%,115%,AW1745) + IF(BA1745&gt;=115%,115%,BA1745) + IF(BB1745&gt;=115%,115%,BB1745) + IF(BC1745&gt;=115%,115%,BC1745) + IF(BD1745&gt;=115%,115%,BD1745) + IF(BE1745&gt;=115%,115%,BE1745) + IF(BF1745&gt;=115%,115%,BF1745) + IF(BG1745&gt;=115%,115%,BG1745) + IF(BH1745&gt;=115%,115%,BH1745)))/_xlfn.XLOOKUP(F1745,Apuração!A:A,Apuração!B:B)))</f>
        <v>0.33333333333333331</v>
      </c>
      <c r="BL1745" s="58" cm="1">
        <f t="array" aca="1" ref="BL1745" ca="1">IF(SUM(IFERROR(IF(INDEX(AW1745:INDEX(AW1745:BH1745, MATCH(2, 1/(AW1745:BH1745&lt;&gt;""), 1)-1), ROW(INDIRECT("1:" &amp; MATCH(2, 1/(AW1745:BH1745&lt;&gt;""), 1)-1))) &gt;= 115%, 115%, INDEX(AW1745:INDEX(AW1745:BH1745, MATCH(2, 1/(AW1745:BH1745&lt;&gt;""), 1)-1), ROW(INDIRECT("1:" &amp; MATCH(2, 1/(AW1745:BH1745&lt;&gt;""), 1)-1)))), 0))/_xlfn.XLOOKUP(F1745,Apuração!A:A,Apuração!B:B)&gt;=1.15,1.15,SUM(IFERROR(IF(INDEX(AW1745:INDEX(AW1745:BH1745, MATCH(2, 1/(AW1745:BH1745&lt;&gt;""), 1)-1), ROW(INDIRECT("1:" &amp; MATCH(2, 1/(AW1745:BH1745&lt;&gt;""), 1)-1))) &gt;= 115%, 115%, INDEX(AW1745:INDEX(AW1745:BH1745, MATCH(2, 1/(AW1745:BH1745&lt;&gt;""), 1)-1), ROW(INDIRECT("1:" &amp; MATCH(2, 1/(AW1745:BH1745&lt;&gt;""), 1)-1)))), 0))/_xlfn.XLOOKUP(F1745,Apuração!A:A,Apuração!B:B))</f>
        <v>0.25</v>
      </c>
      <c r="BM1745" s="55" cm="1">
        <f t="array" ref="BM1745">IFERROR(
   INDEX($AW$1:$BH$1,
      _xlfn.AGGREGATE(14, 6, COLUMN($AW$1:$BH$1)/(AW1745:BH1745&lt;&gt;""), 2) - COLUMN($AW$1) + 1
   ),
"")</f>
        <v>46082</v>
      </c>
      <c r="BN1745" s="55" cm="1">
        <f t="array" ref="BN1745">IFERROR(INDEX($AW$1:$BH$1,1,MATCH(2,1/(AW1745:BH1745&lt;&gt;""))),"")</f>
        <v>46113</v>
      </c>
      <c r="BO1745" s="53">
        <f ca="1">IFERROR(_xlfn.XLOOKUP(F1745,Apuração!A:A,Apuração!C:C)/_xlfn.XLOOKUP(F1745,Apuração!A:A,Apuração!B:B),0)</f>
        <v>0.41666666666666669</v>
      </c>
      <c r="BP1745" s="53">
        <f ca="1">IFERROR(_xlfn.XLOOKUP(F1745,Apuração!A:A,Apuração!D:D)/_xlfn.XLOOKUP(F1745,Apuração!A:A,Apuração!B:B),0)</f>
        <v>0.33333333333333331</v>
      </c>
      <c r="BQ1745" s="53">
        <f ca="1">IF(BK1745&gt;=BO1745,0,_xlfn.XLOOKUP(F1745,Apuração!A:A,Apuração!B:B)*(BO1745 + (1/_xlfn.XLOOKUP(F1745,Apuração!A:A,Apuração!B:B)) - BK1745))</f>
        <v>2</v>
      </c>
      <c r="BR1745" s="85">
        <f t="shared" ca="1" si="2030"/>
        <v>0</v>
      </c>
      <c r="BS1745" s="53">
        <f ca="1">IFERROR((_xlfn.XLOOKUP(F1745,Apuração!A:A,Apuração!C:C)+1)/_xlfn.XLOOKUP(F1745,Apuração!A:A,Apuração!B:B),0)</f>
        <v>0.5</v>
      </c>
    </row>
    <row r="1746" spans="1:71" ht="25.95" hidden="1" customHeight="1" x14ac:dyDescent="0.3">
      <c r="A1746" s="23" t="s">
        <v>134</v>
      </c>
      <c r="B1746" s="4" t="s">
        <v>150</v>
      </c>
      <c r="C1746" s="5" t="s">
        <v>214</v>
      </c>
      <c r="D1746" s="5" t="s">
        <v>36</v>
      </c>
      <c r="E1746" s="4" t="str" cm="1">
        <f t="array" ref="E1746">_xlfn.IFS(
F1746 = "A partir de Abril", "Aguardando Execução na Distribuidora",
A1746 = "CAPACITAÇÃO", "Em execução no Corporativo",
TRUE, "Em Execução na Distribuidora"
)</f>
        <v>Em Execução na Distribuidora</v>
      </c>
      <c r="F1746" s="4" t="str" cm="1">
        <f t="array" ref="F1746">_xlfn.IFS(
AG1746 &lt;&gt; "", "Jan-Dez/26",
AH1746 &lt;&gt; "", "Fev-Dez/26",
AI1746 &lt;&gt; "", "Mar-Dez/26", AJ1746 &lt;&gt; "", "Abr-Dez/26",
TRUE, "A partir de Junho"
)</f>
        <v>Jan-Dez/26</v>
      </c>
      <c r="G1746" s="4" t="s">
        <v>37</v>
      </c>
      <c r="H1746" s="7" t="s">
        <v>110</v>
      </c>
      <c r="I1746" s="8" t="s">
        <v>152</v>
      </c>
      <c r="J1746" s="8" t="str" cm="1">
        <f t="array" aca="1" ref="J1746" ca="1">_xlfn.LET(
  _xlpm.actual_value_month, INDEX(T1746:AE1746, MATCH(DATE(YEAR(TODAY()), MONTH(TODAY()), 1), $T$1:$AE$1, 0)),
  IF(_xlpm.actual_value_month &lt;&gt; "",_xlpm.actual_value_month &amp; " ações mensais", "")
)</f>
        <v/>
      </c>
      <c r="K1746" s="8" t="str" cm="1">
        <f t="array" ref="K1746">_xlfn.LET(
    _xlpm.sum_month, SUM(T1746:AE1746),
    IF(_xlpm.sum_month = 0, "", _xlpm.sum_month &amp; " reuniões ordinárias no ano")
)</f>
        <v/>
      </c>
      <c r="L1746" s="9" t="s">
        <v>153</v>
      </c>
      <c r="M1746" s="24">
        <v>1</v>
      </c>
      <c r="N1746" s="67" t="s">
        <v>51</v>
      </c>
      <c r="O1746" s="5" t="s">
        <v>52</v>
      </c>
      <c r="P1746" s="10" t="s">
        <v>44</v>
      </c>
      <c r="Q1746" s="10" t="s">
        <v>72</v>
      </c>
      <c r="R1746" s="11" t="s">
        <v>44</v>
      </c>
      <c r="S1746" s="11" t="s">
        <v>44</v>
      </c>
      <c r="T1746" s="22"/>
      <c r="U1746" s="22"/>
      <c r="V1746" s="22"/>
      <c r="W1746" s="22"/>
      <c r="X1746" s="22"/>
      <c r="Y1746" s="22"/>
      <c r="Z1746" s="22"/>
      <c r="AA1746" s="22"/>
      <c r="AB1746" s="22"/>
      <c r="AC1746" s="22"/>
      <c r="AD1746" s="22"/>
      <c r="AE1746" s="22"/>
      <c r="AG1746" s="71">
        <v>20</v>
      </c>
      <c r="AH1746" s="71">
        <v>20</v>
      </c>
      <c r="AI1746" s="71">
        <v>20</v>
      </c>
      <c r="AJ1746" s="71">
        <v>20</v>
      </c>
      <c r="AK1746" s="71"/>
      <c r="AL1746" s="71"/>
      <c r="AM1746" s="71"/>
      <c r="AN1746" s="71"/>
      <c r="AO1746" s="71"/>
      <c r="AP1746" s="71"/>
      <c r="AQ1746" s="71"/>
      <c r="AR1746" s="71"/>
      <c r="AS1746" s="94">
        <f ca="1">IF(MONTH(TODAY())=3,SUM(T1746:U1746),IF(MONTH(TODAY())=4,SUM(T1746:V1746),IF(MONTH(TODAY())=5,SUM(T1746:W1746),IF(MONTH(TODAY())=6,SUM(T1746:X1746),IF(MONTH(TODAY())=7,SUM(T1746:Y1746),IF(MONTH(TODAY())=8,SUM(T1746:Z1746),IF(MONTH(TODAY())=9,SUM(T1746:AA1746),IF(MONTH(TODAY())=10,SUM(T1746:AB1746),IF(MONTH(TODAY())=11,SUM(T1746:AC1746),IF(MONTH(TODAY())=12,SUM(T1746:AD1746),IF(MONTH(TODAY())=1,SUM(T1746:AE1746),T1746)))))))))))</f>
        <v>0</v>
      </c>
      <c r="AT1746" s="95">
        <f>SUM(AG1746:AR1746)</f>
        <v>80</v>
      </c>
      <c r="AU1746" s="97">
        <f>SUM(AG1746:AR1746)</f>
        <v>80</v>
      </c>
      <c r="AW1746" s="83">
        <f>AG1746</f>
        <v>20</v>
      </c>
      <c r="AX1746" s="83">
        <f>AH1746</f>
        <v>20</v>
      </c>
      <c r="AY1746" s="83">
        <f>AI1746</f>
        <v>20</v>
      </c>
      <c r="AZ1746" s="83">
        <f>AJ1746</f>
        <v>20</v>
      </c>
      <c r="BA1746" s="52"/>
      <c r="BB1746" s="52"/>
      <c r="BC1746" s="52"/>
      <c r="BD1746" s="52"/>
      <c r="BE1746" s="52"/>
      <c r="BF1746" s="52"/>
      <c r="BG1746" s="52"/>
      <c r="BH1746" s="52"/>
      <c r="BI1746" s="68" cm="1">
        <f t="array" ref="BI1746">IFERROR(INDEX(AW1746:BH1746,1,MATCH(2,1/(AW1746:BH1746&lt;&gt;""))),"")</f>
        <v>20</v>
      </c>
      <c r="BJ1746" s="68" cm="1">
        <f t="array" ref="BJ1746">IF(BM1746 = "", "",IFERROR(INDEX(AW1746:BH1746,1,MATCH(2,1/(AW1746:BH1746&lt;&gt;""),1)-1),""))</f>
        <v>20</v>
      </c>
      <c r="BK1746" s="59">
        <f>IF((IF(AW1746&gt;=150%,150%,AW1746) + IF(AX1746&gt;=150%,150%,AX1746) + IF(AY1746&gt;=150%,150%,AY1746) + (IF(AW1746&gt;=150%,150%,AW1746) + IF(BA1746&gt;=150%,150%,BA1746) + IF(BB1746&gt;=150%,150%,BB1746) + IF(BC1746&gt;=150%,150%,BC1746) + IF(BD1746&gt;=150%,150%,BD1746) + IF(BE1746&gt;=150%,150%,BE1746) + IF(BF1746&gt;=150%,150%,BF1746) + IF(BG1746&gt;=150%,150%,BG1746) + IF(BH1746&gt;=150%,150%,BH1746)))/_xlfn.XLOOKUP(F1746,Apuração!A:A,Apuração!B:B)&gt;=1.15,1.15,((IF(AW1746&gt;=150%,150%,AW1746) + IF(AX1746&gt;=150%,150%,AX1746) + IF(AY1746&gt;=150%,150%,AY1746) + (IF(AW1746&gt;=150%,150%,AW1746) + IF(BA1746&gt;=150%,150%,BA1746) + IF(BB1746&gt;=150%,150%,BB1746) + IF(BC1746&gt;=150%,150%,BC1746) + IF(BD1746&gt;=150%,150%,BD1746) + IF(BE1746&gt;=150%,150%,BE1746) + IF(BF1746&gt;=150%,150%,BF1746) + IF(BG1746&gt;=150%,150%,BG1746) + IF(BH1746&gt;=150%,150%,BH1746)))/_xlfn.XLOOKUP(F1746,Apuração!A:A,Apuração!B:B)))</f>
        <v>0.5</v>
      </c>
      <c r="BL1746" s="59" cm="1">
        <f t="array" aca="1" ref="BL1746" ca="1">IF(SUM(IFERROR(IF(INDEX(AW1746:INDEX(AW1746:BH1746, MATCH(2, 1/(AW1746:BH1746&lt;&gt;""), 1)-1), ROW(INDIRECT("1:" &amp; MATCH(2, 1/(AW1746:BH1746&lt;&gt;""), 1)-1))) &gt;= 150%, 150%, INDEX(AW1746:INDEX(AW1746:BH1746, MATCH(2, 1/(AW1746:BH1746&lt;&gt;""), 1)-1), ROW(INDIRECT("1:" &amp; MATCH(2, 1/(AW1746:BH1746&lt;&gt;""), 1)-1)))), 0))/_xlfn.XLOOKUP(F1746,Apuração!A:A,Apuração!B:B)&gt;=1.15,1.15,SUM(IFERROR(IF(INDEX(AW1746:INDEX(AW1746:BH1746, MATCH(2, 1/(AW1746:BH1746&lt;&gt;""), 1)-1), ROW(INDIRECT("1:" &amp; MATCH(2, 1/(AW1746:BH1746&lt;&gt;""), 1)-1))) &gt;= 150%, 150%, INDEX(AW1746:INDEX(AW1746:BH1746, MATCH(2, 1/(AW1746:BH1746&lt;&gt;""), 1)-1), ROW(INDIRECT("1:" &amp; MATCH(2, 1/(AW1746:BH1746&lt;&gt;""), 1)-1)))), 0))/_xlfn.XLOOKUP(F1746,Apuração!A:A,Apuração!B:B))</f>
        <v>0.375</v>
      </c>
      <c r="BM1746" s="55" cm="1">
        <f t="array" ref="BM1746">IFERROR(
   INDEX($AW$1:$BH$1,
      _xlfn.AGGREGATE(14, 6, COLUMN($AW$1:$BH$1)/(AW1746:BH1746&lt;&gt;""), 2) - COLUMN($AW$1) + 1
   ),
"")</f>
        <v>46082</v>
      </c>
      <c r="BN1746" s="55" cm="1">
        <f t="array" ref="BN1746">IFERROR(INDEX($AW$1:$BH$1,1,MATCH(2,1/(AW1746:BH1746&lt;&gt;""))),"")</f>
        <v>46113</v>
      </c>
      <c r="BO1746" s="53">
        <f ca="1">IFERROR(_xlfn.XLOOKUP(F1746,Apuração!A:A,Apuração!C:C)/_xlfn.XLOOKUP(F1746,Apuração!A:A,Apuração!B:B),0)</f>
        <v>0.41666666666666669</v>
      </c>
      <c r="BP1746" s="53">
        <f ca="1">IFERROR(_xlfn.XLOOKUP(F1746,Apuração!A:A,Apuração!D:D)/_xlfn.XLOOKUP(F1746,Apuração!A:A,Apuração!B:B),0)</f>
        <v>0.33333333333333331</v>
      </c>
      <c r="BQ1746" s="53">
        <f ca="1">IF(BK1746&gt;=BO1746,0,_xlfn.XLOOKUP(F1746,Apuração!A:A,Apuração!B:B)*(BO1746 + (1/_xlfn.XLOOKUP(F1746,Apuração!A:A,Apuração!B:B)) - BK1746))</f>
        <v>0</v>
      </c>
      <c r="BR1746" s="85">
        <f ca="1">IF(BQ1746=0,0,BQ1746*Z1746)</f>
        <v>0</v>
      </c>
      <c r="BS1746" s="53">
        <f ca="1">IFERROR((_xlfn.XLOOKUP(F1746,Apuração!A:A,Apuração!C:C)+1)/_xlfn.XLOOKUP(F1746,Apuração!A:A,Apuração!B:B),0)</f>
        <v>0.5</v>
      </c>
    </row>
    <row r="1747" spans="1:71" ht="25.95" hidden="1" customHeight="1" x14ac:dyDescent="0.3">
      <c r="A1747" s="23" t="s">
        <v>134</v>
      </c>
      <c r="B1747" s="4" t="s">
        <v>150</v>
      </c>
      <c r="C1747" s="5" t="s">
        <v>214</v>
      </c>
      <c r="D1747" s="5" t="s">
        <v>210</v>
      </c>
      <c r="E1747" s="4" t="str" cm="1">
        <f t="array" ref="E1747">_xlfn.IFS(
F1747 = "A partir de Abril", "Aguardando Execução na Distribuidora",
A1747 = "CAPACITAÇÃO", "Em execução no Corporativo",
TRUE, "Em Execução na Distribuidora"
)</f>
        <v>Em Execução na Distribuidora</v>
      </c>
      <c r="F1747" s="4" t="str" cm="1">
        <f t="array" ref="F1747">_xlfn.IFS(
AG1747 &lt;&gt; "", "Jan-Dez/26",
AH1747 &lt;&gt; "", "Fev-Dez/26",
AI1747 &lt;&gt; "", "Mar-Dez/26", AJ1747 &lt;&gt; "", "Abr-Dez/26",
TRUE, "A partir de Junho"
)</f>
        <v>Jan-Dez/26</v>
      </c>
      <c r="G1747" s="4" t="s">
        <v>37</v>
      </c>
      <c r="H1747" s="7" t="s">
        <v>110</v>
      </c>
      <c r="I1747" s="8" t="s">
        <v>152</v>
      </c>
      <c r="J1747" s="8" t="str" cm="1">
        <f t="array" aca="1" ref="J1747" ca="1">_xlfn.LET(
  _xlpm.actual_value_month, INDEX(T1747:AE1747, MATCH(DATE(YEAR(TODAY()), MONTH(TODAY()), 1), $T$1:$AE$1, 0)),
  IF(_xlpm.actual_value_month &lt;&gt; "",_xlpm.actual_value_month &amp; " ações mensais", "")
)</f>
        <v/>
      </c>
      <c r="K1747" s="8" t="str" cm="1">
        <f t="array" ref="K1747">_xlfn.LET(
    _xlpm.sum_month, SUM(T1747:AE1747),
    IF(_xlpm.sum_month = 0, "", _xlpm.sum_month &amp; " reuniões ordinárias no ano")
)</f>
        <v/>
      </c>
      <c r="L1747" s="9" t="s">
        <v>153</v>
      </c>
      <c r="M1747" s="24">
        <v>1</v>
      </c>
      <c r="N1747" s="67" t="s">
        <v>51</v>
      </c>
      <c r="O1747" s="5" t="s">
        <v>52</v>
      </c>
      <c r="P1747" s="10" t="s">
        <v>44</v>
      </c>
      <c r="Q1747" s="10" t="s">
        <v>72</v>
      </c>
      <c r="R1747" s="11" t="s">
        <v>44</v>
      </c>
      <c r="S1747" s="11" t="s">
        <v>44</v>
      </c>
      <c r="T1747" s="22"/>
      <c r="U1747" s="22"/>
      <c r="V1747" s="22"/>
      <c r="W1747" s="22"/>
      <c r="X1747" s="22"/>
      <c r="Y1747" s="22"/>
      <c r="Z1747" s="22"/>
      <c r="AA1747" s="22"/>
      <c r="AB1747" s="22"/>
      <c r="AC1747" s="22"/>
      <c r="AD1747" s="22"/>
      <c r="AE1747" s="22"/>
      <c r="AG1747" s="145">
        <v>4</v>
      </c>
      <c r="AH1747" s="149">
        <v>4</v>
      </c>
      <c r="AI1747" s="149">
        <v>4</v>
      </c>
      <c r="AJ1747" s="82">
        <v>4</v>
      </c>
      <c r="AK1747" s="71"/>
      <c r="AL1747" s="71"/>
      <c r="AM1747" s="71"/>
      <c r="AN1747" s="71"/>
      <c r="AO1747" s="71"/>
      <c r="AP1747" s="71"/>
      <c r="AQ1747" s="71"/>
      <c r="AR1747" s="71"/>
      <c r="AS1747" s="94">
        <f t="shared" ref="AS1747:AS1751" ca="1" si="2031">IF(MONTH(TODAY())=3,SUM(T1747:U1747),IF(MONTH(TODAY())=4,SUM(T1747:V1747),IF(MONTH(TODAY())=5,SUM(T1747:W1747),IF(MONTH(TODAY())=6,SUM(T1747:X1747),IF(MONTH(TODAY())=7,SUM(T1747:Y1747),IF(MONTH(TODAY())=8,SUM(T1747:Z1747),IF(MONTH(TODAY())=9,SUM(T1747:AA1747),IF(MONTH(TODAY())=10,SUM(T1747:AB1747),IF(MONTH(TODAY())=11,SUM(T1747:AC1747),IF(MONTH(TODAY())=12,SUM(T1747:AD1747),IF(MONTH(TODAY())=1,SUM(T1747:AE1747),T1747)))))))))))</f>
        <v>0</v>
      </c>
      <c r="AT1747" s="95">
        <f t="shared" ref="AT1747:AT1751" si="2032">SUM(AG1747:AR1747)</f>
        <v>16</v>
      </c>
      <c r="AU1747" s="97">
        <f t="shared" ref="AU1747:AU1751" si="2033">SUM(AG1747:AR1747)</f>
        <v>16</v>
      </c>
      <c r="AW1747" s="83">
        <f t="shared" ref="AW1747:AW1751" si="2034">AG1747</f>
        <v>4</v>
      </c>
      <c r="AX1747" s="83">
        <f t="shared" ref="AX1747:AX1751" si="2035">AH1747</f>
        <v>4</v>
      </c>
      <c r="AY1747" s="83">
        <f t="shared" ref="AY1747:AY1751" si="2036">AI1747</f>
        <v>4</v>
      </c>
      <c r="AZ1747" s="83">
        <f t="shared" ref="AZ1747:AZ1751" si="2037">AJ1747</f>
        <v>4</v>
      </c>
      <c r="BA1747" s="52"/>
      <c r="BB1747" s="52"/>
      <c r="BC1747" s="52"/>
      <c r="BD1747" s="52"/>
      <c r="BE1747" s="52"/>
      <c r="BF1747" s="52"/>
      <c r="BG1747" s="52"/>
      <c r="BH1747" s="52"/>
      <c r="BI1747" s="68" cm="1">
        <f t="array" ref="BI1747">IFERROR(INDEX(AW1747:BH1747,1,MATCH(2,1/(AW1747:BH1747&lt;&gt;""))),"")</f>
        <v>4</v>
      </c>
      <c r="BJ1747" s="68" cm="1">
        <f t="array" ref="BJ1747">IF(BM1747 = "", "",IFERROR(INDEX(AW1747:BH1747,1,MATCH(2,1/(AW1747:BH1747&lt;&gt;""),1)-1),""))</f>
        <v>4</v>
      </c>
      <c r="BK1747" s="59">
        <f>IF((IF(AW1747&gt;=150%,150%,AW1747) + IF(AX1747&gt;=150%,150%,AX1747) + IF(AY1747&gt;=150%,150%,AY1747) + (IF(AW1747&gt;=150%,150%,AW1747) + IF(BA1747&gt;=150%,150%,BA1747) + IF(BB1747&gt;=150%,150%,BB1747) + IF(BC1747&gt;=150%,150%,BC1747) + IF(BD1747&gt;=150%,150%,BD1747) + IF(BE1747&gt;=150%,150%,BE1747) + IF(BF1747&gt;=150%,150%,BF1747) + IF(BG1747&gt;=150%,150%,BG1747) + IF(BH1747&gt;=150%,150%,BH1747)))/_xlfn.XLOOKUP(F1747,Apuração!A:A,Apuração!B:B)&gt;=1.15,1.15,((IF(AW1747&gt;=150%,150%,AW1747) + IF(AX1747&gt;=150%,150%,AX1747) + IF(AY1747&gt;=150%,150%,AY1747) + (IF(AW1747&gt;=150%,150%,AW1747) + IF(BA1747&gt;=150%,150%,BA1747) + IF(BB1747&gt;=150%,150%,BB1747) + IF(BC1747&gt;=150%,150%,BC1747) + IF(BD1747&gt;=150%,150%,BD1747) + IF(BE1747&gt;=150%,150%,BE1747) + IF(BF1747&gt;=150%,150%,BF1747) + IF(BG1747&gt;=150%,150%,BG1747) + IF(BH1747&gt;=150%,150%,BH1747)))/_xlfn.XLOOKUP(F1747,Apuração!A:A,Apuração!B:B)))</f>
        <v>0.5</v>
      </c>
      <c r="BL1747" s="59" cm="1">
        <f t="array" aca="1" ref="BL1747" ca="1">IF(SUM(IFERROR(IF(INDEX(AW1747:INDEX(AW1747:BH1747, MATCH(2, 1/(AW1747:BH1747&lt;&gt;""), 1)-1), ROW(INDIRECT("1:" &amp; MATCH(2, 1/(AW1747:BH1747&lt;&gt;""), 1)-1))) &gt;= 150%, 150%, INDEX(AW1747:INDEX(AW1747:BH1747, MATCH(2, 1/(AW1747:BH1747&lt;&gt;""), 1)-1), ROW(INDIRECT("1:" &amp; MATCH(2, 1/(AW1747:BH1747&lt;&gt;""), 1)-1)))), 0))/_xlfn.XLOOKUP(F1747,Apuração!A:A,Apuração!B:B)&gt;=1.15,1.15,SUM(IFERROR(IF(INDEX(AW1747:INDEX(AW1747:BH1747, MATCH(2, 1/(AW1747:BH1747&lt;&gt;""), 1)-1), ROW(INDIRECT("1:" &amp; MATCH(2, 1/(AW1747:BH1747&lt;&gt;""), 1)-1))) &gt;= 150%, 150%, INDEX(AW1747:INDEX(AW1747:BH1747, MATCH(2, 1/(AW1747:BH1747&lt;&gt;""), 1)-1), ROW(INDIRECT("1:" &amp; MATCH(2, 1/(AW1747:BH1747&lt;&gt;""), 1)-1)))), 0))/_xlfn.XLOOKUP(F1747,Apuração!A:A,Apuração!B:B))</f>
        <v>0.375</v>
      </c>
      <c r="BM1747" s="55" cm="1">
        <f t="array" ref="BM1747">IFERROR(
   INDEX($AW$1:$BH$1,
      _xlfn.AGGREGATE(14, 6, COLUMN($AW$1:$BH$1)/(AW1747:BH1747&lt;&gt;""), 2) - COLUMN($AW$1) + 1
   ),
"")</f>
        <v>46082</v>
      </c>
      <c r="BN1747" s="55" cm="1">
        <f t="array" ref="BN1747">IFERROR(INDEX($AW$1:$BH$1,1,MATCH(2,1/(AW1747:BH1747&lt;&gt;""))),"")</f>
        <v>46113</v>
      </c>
      <c r="BO1747" s="53">
        <f ca="1">IFERROR(_xlfn.XLOOKUP(F1747,Apuração!A:A,Apuração!C:C)/_xlfn.XLOOKUP(F1747,Apuração!A:A,Apuração!B:B),0)</f>
        <v>0.41666666666666669</v>
      </c>
      <c r="BP1747" s="53">
        <f ca="1">IFERROR(_xlfn.XLOOKUP(F1747,Apuração!A:A,Apuração!D:D)/_xlfn.XLOOKUP(F1747,Apuração!A:A,Apuração!B:B),0)</f>
        <v>0.33333333333333331</v>
      </c>
      <c r="BQ1747" s="53">
        <f ca="1">IF(BK1747&gt;=BO1747,0,_xlfn.XLOOKUP(F1747,Apuração!A:A,Apuração!B:B)*(BO1747 + (1/_xlfn.XLOOKUP(F1747,Apuração!A:A,Apuração!B:B)) - BK1747))</f>
        <v>0</v>
      </c>
      <c r="BR1747" s="85">
        <f t="shared" ref="BR1747:BR1751" ca="1" si="2038">IF(BQ1747=0,0,BQ1747*Z1747)</f>
        <v>0</v>
      </c>
      <c r="BS1747" s="53">
        <f ca="1">IFERROR((_xlfn.XLOOKUP(F1747,Apuração!A:A,Apuração!C:C)+1)/_xlfn.XLOOKUP(F1747,Apuração!A:A,Apuração!B:B),0)</f>
        <v>0.5</v>
      </c>
    </row>
    <row r="1748" spans="1:71" ht="25.95" hidden="1" customHeight="1" x14ac:dyDescent="0.3">
      <c r="A1748" s="23" t="s">
        <v>134</v>
      </c>
      <c r="B1748" s="4" t="s">
        <v>150</v>
      </c>
      <c r="C1748" s="5" t="s">
        <v>214</v>
      </c>
      <c r="D1748" s="5" t="s">
        <v>215</v>
      </c>
      <c r="E1748" s="4" t="str" cm="1">
        <f t="array" ref="E1748">_xlfn.IFS(
F1748 = "A partir de Abril", "Aguardando Execução na Distribuidora",
A1748 = "CAPACITAÇÃO", "Em execução no Corporativo",
TRUE, "Em Execução na Distribuidora"
)</f>
        <v>Em Execução na Distribuidora</v>
      </c>
      <c r="F1748" s="4" t="str" cm="1">
        <f t="array" ref="F1748">_xlfn.IFS(
AG1748 &lt;&gt; "", "Jan-Dez/26",
AH1748 &lt;&gt; "", "Fev-Dez/26",
AI1748 &lt;&gt; "", "Mar-Dez/26", AJ1748 &lt;&gt; "", "Abr-Dez/26",
TRUE, "A partir de Junho"
)</f>
        <v>Jan-Dez/26</v>
      </c>
      <c r="G1748" s="4" t="s">
        <v>37</v>
      </c>
      <c r="H1748" s="7" t="s">
        <v>110</v>
      </c>
      <c r="I1748" s="8" t="s">
        <v>152</v>
      </c>
      <c r="J1748" s="8" t="str" cm="1">
        <f t="array" aca="1" ref="J1748" ca="1">_xlfn.LET(
  _xlpm.actual_value_month, INDEX(T1748:AE1748, MATCH(DATE(YEAR(TODAY()), MONTH(TODAY()), 1), $T$1:$AE$1, 0)),
  IF(_xlpm.actual_value_month &lt;&gt; "",_xlpm.actual_value_month &amp; " ações mensais", "")
)</f>
        <v/>
      </c>
      <c r="K1748" s="8" t="str" cm="1">
        <f t="array" ref="K1748">_xlfn.LET(
    _xlpm.sum_month, SUM(T1748:AE1748),
    IF(_xlpm.sum_month = 0, "", _xlpm.sum_month &amp; " reuniões ordinárias no ano")
)</f>
        <v/>
      </c>
      <c r="L1748" s="9" t="s">
        <v>153</v>
      </c>
      <c r="M1748" s="24">
        <v>1</v>
      </c>
      <c r="N1748" s="67" t="s">
        <v>51</v>
      </c>
      <c r="O1748" s="5" t="s">
        <v>52</v>
      </c>
      <c r="P1748" s="10" t="s">
        <v>44</v>
      </c>
      <c r="Q1748" s="10" t="s">
        <v>72</v>
      </c>
      <c r="R1748" s="11" t="s">
        <v>44</v>
      </c>
      <c r="S1748" s="11" t="s">
        <v>44</v>
      </c>
      <c r="T1748" s="22"/>
      <c r="U1748" s="22"/>
      <c r="V1748" s="22"/>
      <c r="W1748" s="22"/>
      <c r="X1748" s="22"/>
      <c r="Y1748" s="22"/>
      <c r="Z1748" s="22"/>
      <c r="AA1748" s="22"/>
      <c r="AB1748" s="22"/>
      <c r="AC1748" s="22"/>
      <c r="AD1748" s="22"/>
      <c r="AE1748" s="22"/>
      <c r="AG1748" s="146">
        <v>4</v>
      </c>
      <c r="AH1748" s="150">
        <v>4</v>
      </c>
      <c r="AI1748" s="150">
        <v>4</v>
      </c>
      <c r="AJ1748" s="82">
        <v>4</v>
      </c>
      <c r="AK1748" s="71"/>
      <c r="AL1748" s="71"/>
      <c r="AM1748" s="71"/>
      <c r="AN1748" s="71"/>
      <c r="AO1748" s="71"/>
      <c r="AP1748" s="71"/>
      <c r="AQ1748" s="71"/>
      <c r="AR1748" s="71"/>
      <c r="AS1748" s="94">
        <f t="shared" ca="1" si="2031"/>
        <v>0</v>
      </c>
      <c r="AT1748" s="95">
        <f t="shared" si="2032"/>
        <v>16</v>
      </c>
      <c r="AU1748" s="97">
        <f t="shared" si="2033"/>
        <v>16</v>
      </c>
      <c r="AW1748" s="83">
        <f t="shared" si="2034"/>
        <v>4</v>
      </c>
      <c r="AX1748" s="83">
        <f t="shared" si="2035"/>
        <v>4</v>
      </c>
      <c r="AY1748" s="83">
        <f t="shared" si="2036"/>
        <v>4</v>
      </c>
      <c r="AZ1748" s="83">
        <f t="shared" si="2037"/>
        <v>4</v>
      </c>
      <c r="BA1748" s="52"/>
      <c r="BB1748" s="52"/>
      <c r="BC1748" s="52"/>
      <c r="BD1748" s="52"/>
      <c r="BE1748" s="52"/>
      <c r="BF1748" s="52"/>
      <c r="BG1748" s="52"/>
      <c r="BH1748" s="52"/>
      <c r="BI1748" s="68" cm="1">
        <f t="array" ref="BI1748">IFERROR(INDEX(AW1748:BH1748,1,MATCH(2,1/(AW1748:BH1748&lt;&gt;""))),"")</f>
        <v>4</v>
      </c>
      <c r="BJ1748" s="68" cm="1">
        <f t="array" ref="BJ1748">IF(BM1748 = "", "",IFERROR(INDEX(AW1748:BH1748,1,MATCH(2,1/(AW1748:BH1748&lt;&gt;""),1)-1),""))</f>
        <v>4</v>
      </c>
      <c r="BK1748" s="59">
        <f>IF((IF(AW1748&gt;=150%,150%,AW1748) + IF(AX1748&gt;=150%,150%,AX1748) + IF(AY1748&gt;=150%,150%,AY1748) + (IF(AW1748&gt;=150%,150%,AW1748) + IF(BA1748&gt;=150%,150%,BA1748) + IF(BB1748&gt;=150%,150%,BB1748) + IF(BC1748&gt;=150%,150%,BC1748) + IF(BD1748&gt;=150%,150%,BD1748) + IF(BE1748&gt;=150%,150%,BE1748) + IF(BF1748&gt;=150%,150%,BF1748) + IF(BG1748&gt;=150%,150%,BG1748) + IF(BH1748&gt;=150%,150%,BH1748)))/_xlfn.XLOOKUP(F1748,Apuração!A:A,Apuração!B:B)&gt;=1.15,1.15,((IF(AW1748&gt;=150%,150%,AW1748) + IF(AX1748&gt;=150%,150%,AX1748) + IF(AY1748&gt;=150%,150%,AY1748) + (IF(AW1748&gt;=150%,150%,AW1748) + IF(BA1748&gt;=150%,150%,BA1748) + IF(BB1748&gt;=150%,150%,BB1748) + IF(BC1748&gt;=150%,150%,BC1748) + IF(BD1748&gt;=150%,150%,BD1748) + IF(BE1748&gt;=150%,150%,BE1748) + IF(BF1748&gt;=150%,150%,BF1748) + IF(BG1748&gt;=150%,150%,BG1748) + IF(BH1748&gt;=150%,150%,BH1748)))/_xlfn.XLOOKUP(F1748,Apuração!A:A,Apuração!B:B)))</f>
        <v>0.5</v>
      </c>
      <c r="BL1748" s="59" cm="1">
        <f t="array" aca="1" ref="BL1748" ca="1">IF(SUM(IFERROR(IF(INDEX(AW1748:INDEX(AW1748:BH1748, MATCH(2, 1/(AW1748:BH1748&lt;&gt;""), 1)-1), ROW(INDIRECT("1:" &amp; MATCH(2, 1/(AW1748:BH1748&lt;&gt;""), 1)-1))) &gt;= 150%, 150%, INDEX(AW1748:INDEX(AW1748:BH1748, MATCH(2, 1/(AW1748:BH1748&lt;&gt;""), 1)-1), ROW(INDIRECT("1:" &amp; MATCH(2, 1/(AW1748:BH1748&lt;&gt;""), 1)-1)))), 0))/_xlfn.XLOOKUP(F1748,Apuração!A:A,Apuração!B:B)&gt;=1.15,1.15,SUM(IFERROR(IF(INDEX(AW1748:INDEX(AW1748:BH1748, MATCH(2, 1/(AW1748:BH1748&lt;&gt;""), 1)-1), ROW(INDIRECT("1:" &amp; MATCH(2, 1/(AW1748:BH1748&lt;&gt;""), 1)-1))) &gt;= 150%, 150%, INDEX(AW1748:INDEX(AW1748:BH1748, MATCH(2, 1/(AW1748:BH1748&lt;&gt;""), 1)-1), ROW(INDIRECT("1:" &amp; MATCH(2, 1/(AW1748:BH1748&lt;&gt;""), 1)-1)))), 0))/_xlfn.XLOOKUP(F1748,Apuração!A:A,Apuração!B:B))</f>
        <v>0.375</v>
      </c>
      <c r="BM1748" s="55" cm="1">
        <f t="array" ref="BM1748">IFERROR(
   INDEX($AW$1:$BH$1,
      _xlfn.AGGREGATE(14, 6, COLUMN($AW$1:$BH$1)/(AW1748:BH1748&lt;&gt;""), 2) - COLUMN($AW$1) + 1
   ),
"")</f>
        <v>46082</v>
      </c>
      <c r="BN1748" s="55" cm="1">
        <f t="array" ref="BN1748">IFERROR(INDEX($AW$1:$BH$1,1,MATCH(2,1/(AW1748:BH1748&lt;&gt;""))),"")</f>
        <v>46113</v>
      </c>
      <c r="BO1748" s="53">
        <f ca="1">IFERROR(_xlfn.XLOOKUP(F1748,Apuração!A:A,Apuração!C:C)/_xlfn.XLOOKUP(F1748,Apuração!A:A,Apuração!B:B),0)</f>
        <v>0.41666666666666669</v>
      </c>
      <c r="BP1748" s="53">
        <f ca="1">IFERROR(_xlfn.XLOOKUP(F1748,Apuração!A:A,Apuração!D:D)/_xlfn.XLOOKUP(F1748,Apuração!A:A,Apuração!B:B),0)</f>
        <v>0.33333333333333331</v>
      </c>
      <c r="BQ1748" s="53">
        <f ca="1">IF(BK1748&gt;=BO1748,0,_xlfn.XLOOKUP(F1748,Apuração!A:A,Apuração!B:B)*(BO1748 + (1/_xlfn.XLOOKUP(F1748,Apuração!A:A,Apuração!B:B)) - BK1748))</f>
        <v>0</v>
      </c>
      <c r="BR1748" s="85">
        <f t="shared" ca="1" si="2038"/>
        <v>0</v>
      </c>
      <c r="BS1748" s="53">
        <f ca="1">IFERROR((_xlfn.XLOOKUP(F1748,Apuração!A:A,Apuração!C:C)+1)/_xlfn.XLOOKUP(F1748,Apuração!A:A,Apuração!B:B),0)</f>
        <v>0.5</v>
      </c>
    </row>
    <row r="1749" spans="1:71" ht="25.95" hidden="1" customHeight="1" x14ac:dyDescent="0.3">
      <c r="A1749" s="23" t="s">
        <v>134</v>
      </c>
      <c r="B1749" s="4" t="s">
        <v>150</v>
      </c>
      <c r="C1749" s="5" t="s">
        <v>214</v>
      </c>
      <c r="D1749" s="5" t="s">
        <v>212</v>
      </c>
      <c r="E1749" s="4" t="str" cm="1">
        <f t="array" ref="E1749">_xlfn.IFS(
F1749 = "A partir de Abril", "Aguardando Execução na Distribuidora",
A1749 = "CAPACITAÇÃO", "Em execução no Corporativo",
TRUE, "Em Execução na Distribuidora"
)</f>
        <v>Em Execução na Distribuidora</v>
      </c>
      <c r="F1749" s="4" t="str" cm="1">
        <f t="array" ref="F1749">_xlfn.IFS(
AG1749 &lt;&gt; "", "Jan-Dez/26",
AH1749 &lt;&gt; "", "Fev-Dez/26",
AI1749 &lt;&gt; "", "Mar-Dez/26", AJ1749 &lt;&gt; "", "Abr-Dez/26",
TRUE, "A partir de Junho"
)</f>
        <v>Jan-Dez/26</v>
      </c>
      <c r="G1749" s="4" t="s">
        <v>37</v>
      </c>
      <c r="H1749" s="7" t="s">
        <v>110</v>
      </c>
      <c r="I1749" s="8" t="s">
        <v>152</v>
      </c>
      <c r="J1749" s="8" t="str" cm="1">
        <f t="array" aca="1" ref="J1749" ca="1">_xlfn.LET(
  _xlpm.actual_value_month, INDEX(T1749:AE1749, MATCH(DATE(YEAR(TODAY()), MONTH(TODAY()), 1), $T$1:$AE$1, 0)),
  IF(_xlpm.actual_value_month &lt;&gt; "",_xlpm.actual_value_month &amp; " ações mensais", "")
)</f>
        <v/>
      </c>
      <c r="K1749" s="8" t="str" cm="1">
        <f t="array" ref="K1749">_xlfn.LET(
    _xlpm.sum_month, SUM(T1749:AE1749),
    IF(_xlpm.sum_month = 0, "", _xlpm.sum_month &amp; " reuniões ordinárias no ano")
)</f>
        <v/>
      </c>
      <c r="L1749" s="9" t="s">
        <v>153</v>
      </c>
      <c r="M1749" s="24">
        <v>1</v>
      </c>
      <c r="N1749" s="67" t="s">
        <v>51</v>
      </c>
      <c r="O1749" s="5" t="s">
        <v>52</v>
      </c>
      <c r="P1749" s="10" t="s">
        <v>44</v>
      </c>
      <c r="Q1749" s="10" t="s">
        <v>72</v>
      </c>
      <c r="R1749" s="11" t="s">
        <v>44</v>
      </c>
      <c r="S1749" s="11" t="s">
        <v>44</v>
      </c>
      <c r="T1749" s="22"/>
      <c r="U1749" s="22"/>
      <c r="V1749" s="22"/>
      <c r="W1749" s="22"/>
      <c r="X1749" s="22"/>
      <c r="Y1749" s="22"/>
      <c r="Z1749" s="22"/>
      <c r="AA1749" s="22"/>
      <c r="AB1749" s="22"/>
      <c r="AC1749" s="22"/>
      <c r="AD1749" s="22"/>
      <c r="AE1749" s="22"/>
      <c r="AG1749" s="146">
        <v>4</v>
      </c>
      <c r="AH1749" s="150">
        <v>4</v>
      </c>
      <c r="AI1749" s="150">
        <v>4</v>
      </c>
      <c r="AJ1749" s="82">
        <v>4</v>
      </c>
      <c r="AK1749" s="71"/>
      <c r="AL1749" s="71"/>
      <c r="AM1749" s="71"/>
      <c r="AN1749" s="71"/>
      <c r="AO1749" s="71"/>
      <c r="AP1749" s="71"/>
      <c r="AQ1749" s="71"/>
      <c r="AR1749" s="71"/>
      <c r="AS1749" s="94">
        <f t="shared" ca="1" si="2031"/>
        <v>0</v>
      </c>
      <c r="AT1749" s="95">
        <f t="shared" si="2032"/>
        <v>16</v>
      </c>
      <c r="AU1749" s="97">
        <f t="shared" si="2033"/>
        <v>16</v>
      </c>
      <c r="AW1749" s="83">
        <f t="shared" si="2034"/>
        <v>4</v>
      </c>
      <c r="AX1749" s="83">
        <f t="shared" si="2035"/>
        <v>4</v>
      </c>
      <c r="AY1749" s="83">
        <f t="shared" si="2036"/>
        <v>4</v>
      </c>
      <c r="AZ1749" s="83">
        <f t="shared" si="2037"/>
        <v>4</v>
      </c>
      <c r="BA1749" s="52"/>
      <c r="BB1749" s="52"/>
      <c r="BC1749" s="52"/>
      <c r="BD1749" s="52"/>
      <c r="BE1749" s="52"/>
      <c r="BF1749" s="52"/>
      <c r="BG1749" s="52"/>
      <c r="BH1749" s="52"/>
      <c r="BI1749" s="68" cm="1">
        <f t="array" ref="BI1749">IFERROR(INDEX(AW1749:BH1749,1,MATCH(2,1/(AW1749:BH1749&lt;&gt;""))),"")</f>
        <v>4</v>
      </c>
      <c r="BJ1749" s="68" cm="1">
        <f t="array" ref="BJ1749">IF(BM1749 = "", "",IFERROR(INDEX(AW1749:BH1749,1,MATCH(2,1/(AW1749:BH1749&lt;&gt;""),1)-1),""))</f>
        <v>4</v>
      </c>
      <c r="BK1749" s="59">
        <f>IF((IF(AW1749&gt;=150%,150%,AW1749) + IF(AX1749&gt;=150%,150%,AX1749) + IF(AY1749&gt;=150%,150%,AY1749) + (IF(AW1749&gt;=150%,150%,AW1749) + IF(BA1749&gt;=150%,150%,BA1749) + IF(BB1749&gt;=150%,150%,BB1749) + IF(BC1749&gt;=150%,150%,BC1749) + IF(BD1749&gt;=150%,150%,BD1749) + IF(BE1749&gt;=150%,150%,BE1749) + IF(BF1749&gt;=150%,150%,BF1749) + IF(BG1749&gt;=150%,150%,BG1749) + IF(BH1749&gt;=150%,150%,BH1749)))/_xlfn.XLOOKUP(F1749,Apuração!A:A,Apuração!B:B)&gt;=1.15,1.15,((IF(AW1749&gt;=150%,150%,AW1749) + IF(AX1749&gt;=150%,150%,AX1749) + IF(AY1749&gt;=150%,150%,AY1749) + (IF(AW1749&gt;=150%,150%,AW1749) + IF(BA1749&gt;=150%,150%,BA1749) + IF(BB1749&gt;=150%,150%,BB1749) + IF(BC1749&gt;=150%,150%,BC1749) + IF(BD1749&gt;=150%,150%,BD1749) + IF(BE1749&gt;=150%,150%,BE1749) + IF(BF1749&gt;=150%,150%,BF1749) + IF(BG1749&gt;=150%,150%,BG1749) + IF(BH1749&gt;=150%,150%,BH1749)))/_xlfn.XLOOKUP(F1749,Apuração!A:A,Apuração!B:B)))</f>
        <v>0.5</v>
      </c>
      <c r="BL1749" s="59" cm="1">
        <f t="array" aca="1" ref="BL1749" ca="1">IF(SUM(IFERROR(IF(INDEX(AW1749:INDEX(AW1749:BH1749, MATCH(2, 1/(AW1749:BH1749&lt;&gt;""), 1)-1), ROW(INDIRECT("1:" &amp; MATCH(2, 1/(AW1749:BH1749&lt;&gt;""), 1)-1))) &gt;= 150%, 150%, INDEX(AW1749:INDEX(AW1749:BH1749, MATCH(2, 1/(AW1749:BH1749&lt;&gt;""), 1)-1), ROW(INDIRECT("1:" &amp; MATCH(2, 1/(AW1749:BH1749&lt;&gt;""), 1)-1)))), 0))/_xlfn.XLOOKUP(F1749,Apuração!A:A,Apuração!B:B)&gt;=1.15,1.15,SUM(IFERROR(IF(INDEX(AW1749:INDEX(AW1749:BH1749, MATCH(2, 1/(AW1749:BH1749&lt;&gt;""), 1)-1), ROW(INDIRECT("1:" &amp; MATCH(2, 1/(AW1749:BH1749&lt;&gt;""), 1)-1))) &gt;= 150%, 150%, INDEX(AW1749:INDEX(AW1749:BH1749, MATCH(2, 1/(AW1749:BH1749&lt;&gt;""), 1)-1), ROW(INDIRECT("1:" &amp; MATCH(2, 1/(AW1749:BH1749&lt;&gt;""), 1)-1)))), 0))/_xlfn.XLOOKUP(F1749,Apuração!A:A,Apuração!B:B))</f>
        <v>0.375</v>
      </c>
      <c r="BM1749" s="55" cm="1">
        <f t="array" ref="BM1749">IFERROR(
   INDEX($AW$1:$BH$1,
      _xlfn.AGGREGATE(14, 6, COLUMN($AW$1:$BH$1)/(AW1749:BH1749&lt;&gt;""), 2) - COLUMN($AW$1) + 1
   ),
"")</f>
        <v>46082</v>
      </c>
      <c r="BN1749" s="55" cm="1">
        <f t="array" ref="BN1749">IFERROR(INDEX($AW$1:$BH$1,1,MATCH(2,1/(AW1749:BH1749&lt;&gt;""))),"")</f>
        <v>46113</v>
      </c>
      <c r="BO1749" s="53">
        <f ca="1">IFERROR(_xlfn.XLOOKUP(F1749,Apuração!A:A,Apuração!C:C)/_xlfn.XLOOKUP(F1749,Apuração!A:A,Apuração!B:B),0)</f>
        <v>0.41666666666666669</v>
      </c>
      <c r="BP1749" s="53">
        <f ca="1">IFERROR(_xlfn.XLOOKUP(F1749,Apuração!A:A,Apuração!D:D)/_xlfn.XLOOKUP(F1749,Apuração!A:A,Apuração!B:B),0)</f>
        <v>0.33333333333333331</v>
      </c>
      <c r="BQ1749" s="53">
        <f ca="1">IF(BK1749&gt;=BO1749,0,_xlfn.XLOOKUP(F1749,Apuração!A:A,Apuração!B:B)*(BO1749 + (1/_xlfn.XLOOKUP(F1749,Apuração!A:A,Apuração!B:B)) - BK1749))</f>
        <v>0</v>
      </c>
      <c r="BR1749" s="85">
        <f t="shared" ca="1" si="2038"/>
        <v>0</v>
      </c>
      <c r="BS1749" s="53">
        <f ca="1">IFERROR((_xlfn.XLOOKUP(F1749,Apuração!A:A,Apuração!C:C)+1)/_xlfn.XLOOKUP(F1749,Apuração!A:A,Apuração!B:B),0)</f>
        <v>0.5</v>
      </c>
    </row>
    <row r="1750" spans="1:71" ht="25.95" hidden="1" customHeight="1" x14ac:dyDescent="0.3">
      <c r="A1750" s="23" t="s">
        <v>134</v>
      </c>
      <c r="B1750" s="4" t="s">
        <v>150</v>
      </c>
      <c r="C1750" s="5" t="s">
        <v>214</v>
      </c>
      <c r="D1750" s="5" t="s">
        <v>48</v>
      </c>
      <c r="E1750" s="4" t="str" cm="1">
        <f t="array" ref="E1750">_xlfn.IFS(
F1750 = "A partir de Abril", "Aguardando Execução na Distribuidora",
A1750 = "CAPACITAÇÃO", "Em execução no Corporativo",
TRUE, "Em Execução na Distribuidora"
)</f>
        <v>Em Execução na Distribuidora</v>
      </c>
      <c r="F1750" s="4" t="str" cm="1">
        <f t="array" ref="F1750">_xlfn.IFS(
AG1750 &lt;&gt; "", "Jan-Dez/26",
AH1750 &lt;&gt; "", "Fev-Dez/26",
AI1750 &lt;&gt; "", "Mar-Dez/26", AJ1750 &lt;&gt; "", "Abr-Dez/26",
TRUE, "A partir de Junho"
)</f>
        <v>Jan-Dez/26</v>
      </c>
      <c r="G1750" s="4" t="s">
        <v>37</v>
      </c>
      <c r="H1750" s="7" t="s">
        <v>110</v>
      </c>
      <c r="I1750" s="8" t="s">
        <v>152</v>
      </c>
      <c r="J1750" s="8" t="str" cm="1">
        <f t="array" aca="1" ref="J1750" ca="1">_xlfn.LET(
  _xlpm.actual_value_month, INDEX(T1750:AE1750, MATCH(DATE(YEAR(TODAY()), MONTH(TODAY()), 1), $T$1:$AE$1, 0)),
  IF(_xlpm.actual_value_month &lt;&gt; "",_xlpm.actual_value_month &amp; " ações mensais", "")
)</f>
        <v/>
      </c>
      <c r="K1750" s="8" t="str" cm="1">
        <f t="array" ref="K1750">_xlfn.LET(
    _xlpm.sum_month, SUM(T1750:AE1750),
    IF(_xlpm.sum_month = 0, "", _xlpm.sum_month &amp; " reuniões ordinárias no ano")
)</f>
        <v/>
      </c>
      <c r="L1750" s="9" t="s">
        <v>153</v>
      </c>
      <c r="M1750" s="24">
        <v>1</v>
      </c>
      <c r="N1750" s="67" t="s">
        <v>51</v>
      </c>
      <c r="O1750" s="5" t="s">
        <v>52</v>
      </c>
      <c r="P1750" s="10" t="s">
        <v>44</v>
      </c>
      <c r="Q1750" s="10" t="s">
        <v>72</v>
      </c>
      <c r="R1750" s="11" t="s">
        <v>44</v>
      </c>
      <c r="S1750" s="11" t="s">
        <v>44</v>
      </c>
      <c r="T1750" s="22"/>
      <c r="U1750" s="22"/>
      <c r="V1750" s="22"/>
      <c r="W1750" s="22"/>
      <c r="X1750" s="22"/>
      <c r="Y1750" s="22"/>
      <c r="Z1750" s="22"/>
      <c r="AA1750" s="22"/>
      <c r="AB1750" s="22"/>
      <c r="AC1750" s="22"/>
      <c r="AD1750" s="22"/>
      <c r="AE1750" s="22"/>
      <c r="AG1750" s="146">
        <v>4</v>
      </c>
      <c r="AH1750" s="150">
        <v>4</v>
      </c>
      <c r="AI1750" s="150">
        <v>4</v>
      </c>
      <c r="AJ1750" s="82">
        <v>4</v>
      </c>
      <c r="AK1750" s="71"/>
      <c r="AL1750" s="71"/>
      <c r="AM1750" s="71"/>
      <c r="AN1750" s="71"/>
      <c r="AO1750" s="71"/>
      <c r="AP1750" s="71"/>
      <c r="AQ1750" s="71"/>
      <c r="AR1750" s="71"/>
      <c r="AS1750" s="94">
        <f t="shared" ca="1" si="2031"/>
        <v>0</v>
      </c>
      <c r="AT1750" s="95">
        <f t="shared" si="2032"/>
        <v>16</v>
      </c>
      <c r="AU1750" s="97">
        <f t="shared" si="2033"/>
        <v>16</v>
      </c>
      <c r="AW1750" s="83">
        <f t="shared" si="2034"/>
        <v>4</v>
      </c>
      <c r="AX1750" s="83">
        <f t="shared" si="2035"/>
        <v>4</v>
      </c>
      <c r="AY1750" s="83">
        <f t="shared" si="2036"/>
        <v>4</v>
      </c>
      <c r="AZ1750" s="83">
        <f t="shared" si="2037"/>
        <v>4</v>
      </c>
      <c r="BA1750" s="52"/>
      <c r="BB1750" s="52"/>
      <c r="BC1750" s="52"/>
      <c r="BD1750" s="52"/>
      <c r="BE1750" s="52"/>
      <c r="BF1750" s="52"/>
      <c r="BG1750" s="52"/>
      <c r="BH1750" s="52"/>
      <c r="BI1750" s="68" cm="1">
        <f t="array" ref="BI1750">IFERROR(INDEX(AW1750:BH1750,1,MATCH(2,1/(AW1750:BH1750&lt;&gt;""))),"")</f>
        <v>4</v>
      </c>
      <c r="BJ1750" s="68" cm="1">
        <f t="array" ref="BJ1750">IF(BM1750 = "", "",IFERROR(INDEX(AW1750:BH1750,1,MATCH(2,1/(AW1750:BH1750&lt;&gt;""),1)-1),""))</f>
        <v>4</v>
      </c>
      <c r="BK1750" s="59">
        <f>IF((IF(AW1750&gt;=150%,150%,AW1750) + IF(AX1750&gt;=150%,150%,AX1750) + IF(AY1750&gt;=150%,150%,AY1750) + (IF(AW1750&gt;=150%,150%,AW1750) + IF(BA1750&gt;=150%,150%,BA1750) + IF(BB1750&gt;=150%,150%,BB1750) + IF(BC1750&gt;=150%,150%,BC1750) + IF(BD1750&gt;=150%,150%,BD1750) + IF(BE1750&gt;=150%,150%,BE1750) + IF(BF1750&gt;=150%,150%,BF1750) + IF(BG1750&gt;=150%,150%,BG1750) + IF(BH1750&gt;=150%,150%,BH1750)))/_xlfn.XLOOKUP(F1750,Apuração!A:A,Apuração!B:B)&gt;=1.15,1.15,((IF(AW1750&gt;=150%,150%,AW1750) + IF(AX1750&gt;=150%,150%,AX1750) + IF(AY1750&gt;=150%,150%,AY1750) + (IF(AW1750&gt;=150%,150%,AW1750) + IF(BA1750&gt;=150%,150%,BA1750) + IF(BB1750&gt;=150%,150%,BB1750) + IF(BC1750&gt;=150%,150%,BC1750) + IF(BD1750&gt;=150%,150%,BD1750) + IF(BE1750&gt;=150%,150%,BE1750) + IF(BF1750&gt;=150%,150%,BF1750) + IF(BG1750&gt;=150%,150%,BG1750) + IF(BH1750&gt;=150%,150%,BH1750)))/_xlfn.XLOOKUP(F1750,Apuração!A:A,Apuração!B:B)))</f>
        <v>0.5</v>
      </c>
      <c r="BL1750" s="59" cm="1">
        <f t="array" aca="1" ref="BL1750" ca="1">IF(SUM(IFERROR(IF(INDEX(AW1750:INDEX(AW1750:BH1750, MATCH(2, 1/(AW1750:BH1750&lt;&gt;""), 1)-1), ROW(INDIRECT("1:" &amp; MATCH(2, 1/(AW1750:BH1750&lt;&gt;""), 1)-1))) &gt;= 150%, 150%, INDEX(AW1750:INDEX(AW1750:BH1750, MATCH(2, 1/(AW1750:BH1750&lt;&gt;""), 1)-1), ROW(INDIRECT("1:" &amp; MATCH(2, 1/(AW1750:BH1750&lt;&gt;""), 1)-1)))), 0))/_xlfn.XLOOKUP(F1750,Apuração!A:A,Apuração!B:B)&gt;=1.15,1.15,SUM(IFERROR(IF(INDEX(AW1750:INDEX(AW1750:BH1750, MATCH(2, 1/(AW1750:BH1750&lt;&gt;""), 1)-1), ROW(INDIRECT("1:" &amp; MATCH(2, 1/(AW1750:BH1750&lt;&gt;""), 1)-1))) &gt;= 150%, 150%, INDEX(AW1750:INDEX(AW1750:BH1750, MATCH(2, 1/(AW1750:BH1750&lt;&gt;""), 1)-1), ROW(INDIRECT("1:" &amp; MATCH(2, 1/(AW1750:BH1750&lt;&gt;""), 1)-1)))), 0))/_xlfn.XLOOKUP(F1750,Apuração!A:A,Apuração!B:B))</f>
        <v>0.375</v>
      </c>
      <c r="BM1750" s="55" cm="1">
        <f t="array" ref="BM1750">IFERROR(
   INDEX($AW$1:$BH$1,
      _xlfn.AGGREGATE(14, 6, COLUMN($AW$1:$BH$1)/(AW1750:BH1750&lt;&gt;""), 2) - COLUMN($AW$1) + 1
   ),
"")</f>
        <v>46082</v>
      </c>
      <c r="BN1750" s="55" cm="1">
        <f t="array" ref="BN1750">IFERROR(INDEX($AW$1:$BH$1,1,MATCH(2,1/(AW1750:BH1750&lt;&gt;""))),"")</f>
        <v>46113</v>
      </c>
      <c r="BO1750" s="53">
        <f ca="1">IFERROR(_xlfn.XLOOKUP(F1750,Apuração!A:A,Apuração!C:C)/_xlfn.XLOOKUP(F1750,Apuração!A:A,Apuração!B:B),0)</f>
        <v>0.41666666666666669</v>
      </c>
      <c r="BP1750" s="53">
        <f ca="1">IFERROR(_xlfn.XLOOKUP(F1750,Apuração!A:A,Apuração!D:D)/_xlfn.XLOOKUP(F1750,Apuração!A:A,Apuração!B:B),0)</f>
        <v>0.33333333333333331</v>
      </c>
      <c r="BQ1750" s="53">
        <f ca="1">IF(BK1750&gt;=BO1750,0,_xlfn.XLOOKUP(F1750,Apuração!A:A,Apuração!B:B)*(BO1750 + (1/_xlfn.XLOOKUP(F1750,Apuração!A:A,Apuração!B:B)) - BK1750))</f>
        <v>0</v>
      </c>
      <c r="BR1750" s="85">
        <f t="shared" ca="1" si="2038"/>
        <v>0</v>
      </c>
      <c r="BS1750" s="53">
        <f ca="1">IFERROR((_xlfn.XLOOKUP(F1750,Apuração!A:A,Apuração!C:C)+1)/_xlfn.XLOOKUP(F1750,Apuração!A:A,Apuração!B:B),0)</f>
        <v>0.5</v>
      </c>
    </row>
    <row r="1751" spans="1:71" ht="25.95" hidden="1" customHeight="1" x14ac:dyDescent="0.3">
      <c r="A1751" s="23" t="s">
        <v>134</v>
      </c>
      <c r="B1751" s="4" t="s">
        <v>150</v>
      </c>
      <c r="C1751" s="5" t="s">
        <v>214</v>
      </c>
      <c r="D1751" s="5" t="s">
        <v>213</v>
      </c>
      <c r="E1751" s="4" t="str" cm="1">
        <f t="array" ref="E1751">_xlfn.IFS(
F1751 = "A partir de Abril", "Aguardando Execução na Distribuidora",
A1751 = "CAPACITAÇÃO", "Em execução no Corporativo",
TRUE, "Em Execução na Distribuidora"
)</f>
        <v>Em Execução na Distribuidora</v>
      </c>
      <c r="F1751" s="4" t="str" cm="1">
        <f t="array" ref="F1751">_xlfn.IFS(
AG1751 &lt;&gt; "", "Jan-Dez/26",
AH1751 &lt;&gt; "", "Fev-Dez/26",
AI1751 &lt;&gt; "", "Mar-Dez/26", AJ1751 &lt;&gt; "", "Abr-Dez/26",
TRUE, "A partir de Junho"
)</f>
        <v>Jan-Dez/26</v>
      </c>
      <c r="G1751" s="4" t="s">
        <v>37</v>
      </c>
      <c r="H1751" s="7" t="s">
        <v>110</v>
      </c>
      <c r="I1751" s="8" t="s">
        <v>152</v>
      </c>
      <c r="J1751" s="8" t="str" cm="1">
        <f t="array" aca="1" ref="J1751" ca="1">_xlfn.LET(
  _xlpm.actual_value_month, INDEX(T1751:AE1751, MATCH(DATE(YEAR(TODAY()), MONTH(TODAY()), 1), $T$1:$AE$1, 0)),
  IF(_xlpm.actual_value_month &lt;&gt; "",_xlpm.actual_value_month &amp; " ações mensais", "")
)</f>
        <v/>
      </c>
      <c r="K1751" s="8" t="str" cm="1">
        <f t="array" ref="K1751">_xlfn.LET(
    _xlpm.sum_month, SUM(T1751:AE1751),
    IF(_xlpm.sum_month = 0, "", _xlpm.sum_month &amp; " reuniões ordinárias no ano")
)</f>
        <v/>
      </c>
      <c r="L1751" s="9" t="s">
        <v>153</v>
      </c>
      <c r="M1751" s="24">
        <v>1</v>
      </c>
      <c r="N1751" s="67" t="s">
        <v>51</v>
      </c>
      <c r="O1751" s="5" t="s">
        <v>52</v>
      </c>
      <c r="P1751" s="10" t="s">
        <v>44</v>
      </c>
      <c r="Q1751" s="10" t="s">
        <v>72</v>
      </c>
      <c r="R1751" s="11" t="s">
        <v>44</v>
      </c>
      <c r="S1751" s="11" t="s">
        <v>44</v>
      </c>
      <c r="T1751" s="22"/>
      <c r="U1751" s="22"/>
      <c r="V1751" s="22"/>
      <c r="W1751" s="22"/>
      <c r="X1751" s="22"/>
      <c r="Y1751" s="22"/>
      <c r="Z1751" s="22"/>
      <c r="AA1751" s="22"/>
      <c r="AB1751" s="22"/>
      <c r="AC1751" s="22"/>
      <c r="AD1751" s="22"/>
      <c r="AE1751" s="22"/>
      <c r="AG1751" s="146">
        <v>4</v>
      </c>
      <c r="AH1751" s="150">
        <v>4</v>
      </c>
      <c r="AI1751" s="150">
        <v>4</v>
      </c>
      <c r="AJ1751" s="82">
        <v>4</v>
      </c>
      <c r="AK1751" s="71"/>
      <c r="AL1751" s="71"/>
      <c r="AM1751" s="71"/>
      <c r="AN1751" s="71"/>
      <c r="AO1751" s="71"/>
      <c r="AP1751" s="71"/>
      <c r="AQ1751" s="71"/>
      <c r="AR1751" s="71"/>
      <c r="AS1751" s="94">
        <f t="shared" ca="1" si="2031"/>
        <v>0</v>
      </c>
      <c r="AT1751" s="95">
        <f t="shared" si="2032"/>
        <v>16</v>
      </c>
      <c r="AU1751" s="97">
        <f t="shared" si="2033"/>
        <v>16</v>
      </c>
      <c r="AW1751" s="83">
        <f t="shared" si="2034"/>
        <v>4</v>
      </c>
      <c r="AX1751" s="83">
        <f t="shared" si="2035"/>
        <v>4</v>
      </c>
      <c r="AY1751" s="83">
        <f t="shared" si="2036"/>
        <v>4</v>
      </c>
      <c r="AZ1751" s="83">
        <f t="shared" si="2037"/>
        <v>4</v>
      </c>
      <c r="BA1751" s="52"/>
      <c r="BB1751" s="52"/>
      <c r="BC1751" s="52"/>
      <c r="BD1751" s="52"/>
      <c r="BE1751" s="52"/>
      <c r="BF1751" s="52"/>
      <c r="BG1751" s="52"/>
      <c r="BH1751" s="52"/>
      <c r="BI1751" s="68" cm="1">
        <f t="array" ref="BI1751">IFERROR(INDEX(AW1751:BH1751,1,MATCH(2,1/(AW1751:BH1751&lt;&gt;""))),"")</f>
        <v>4</v>
      </c>
      <c r="BJ1751" s="68" cm="1">
        <f t="array" ref="BJ1751">IF(BM1751 = "", "",IFERROR(INDEX(AW1751:BH1751,1,MATCH(2,1/(AW1751:BH1751&lt;&gt;""),1)-1),""))</f>
        <v>4</v>
      </c>
      <c r="BK1751" s="59">
        <f>IF((IF(AW1751&gt;=150%,150%,AW1751) + IF(AX1751&gt;=150%,150%,AX1751) + IF(AY1751&gt;=150%,150%,AY1751) + (IF(AW1751&gt;=150%,150%,AW1751) + IF(BA1751&gt;=150%,150%,BA1751) + IF(BB1751&gt;=150%,150%,BB1751) + IF(BC1751&gt;=150%,150%,BC1751) + IF(BD1751&gt;=150%,150%,BD1751) + IF(BE1751&gt;=150%,150%,BE1751) + IF(BF1751&gt;=150%,150%,BF1751) + IF(BG1751&gt;=150%,150%,BG1751) + IF(BH1751&gt;=150%,150%,BH1751)))/_xlfn.XLOOKUP(F1751,Apuração!A:A,Apuração!B:B)&gt;=1.15,1.15,((IF(AW1751&gt;=150%,150%,AW1751) + IF(AX1751&gt;=150%,150%,AX1751) + IF(AY1751&gt;=150%,150%,AY1751) + (IF(AW1751&gt;=150%,150%,AW1751) + IF(BA1751&gt;=150%,150%,BA1751) + IF(BB1751&gt;=150%,150%,BB1751) + IF(BC1751&gt;=150%,150%,BC1751) + IF(BD1751&gt;=150%,150%,BD1751) + IF(BE1751&gt;=150%,150%,BE1751) + IF(BF1751&gt;=150%,150%,BF1751) + IF(BG1751&gt;=150%,150%,BG1751) + IF(BH1751&gt;=150%,150%,BH1751)))/_xlfn.XLOOKUP(F1751,Apuração!A:A,Apuração!B:B)))</f>
        <v>0.5</v>
      </c>
      <c r="BL1751" s="59" cm="1">
        <f t="array" aca="1" ref="BL1751" ca="1">IF(SUM(IFERROR(IF(INDEX(AW1751:INDEX(AW1751:BH1751, MATCH(2, 1/(AW1751:BH1751&lt;&gt;""), 1)-1), ROW(INDIRECT("1:" &amp; MATCH(2, 1/(AW1751:BH1751&lt;&gt;""), 1)-1))) &gt;= 150%, 150%, INDEX(AW1751:INDEX(AW1751:BH1751, MATCH(2, 1/(AW1751:BH1751&lt;&gt;""), 1)-1), ROW(INDIRECT("1:" &amp; MATCH(2, 1/(AW1751:BH1751&lt;&gt;""), 1)-1)))), 0))/_xlfn.XLOOKUP(F1751,Apuração!A:A,Apuração!B:B)&gt;=1.15,1.15,SUM(IFERROR(IF(INDEX(AW1751:INDEX(AW1751:BH1751, MATCH(2, 1/(AW1751:BH1751&lt;&gt;""), 1)-1), ROW(INDIRECT("1:" &amp; MATCH(2, 1/(AW1751:BH1751&lt;&gt;""), 1)-1))) &gt;= 150%, 150%, INDEX(AW1751:INDEX(AW1751:BH1751, MATCH(2, 1/(AW1751:BH1751&lt;&gt;""), 1)-1), ROW(INDIRECT("1:" &amp; MATCH(2, 1/(AW1751:BH1751&lt;&gt;""), 1)-1)))), 0))/_xlfn.XLOOKUP(F1751,Apuração!A:A,Apuração!B:B))</f>
        <v>0.375</v>
      </c>
      <c r="BM1751" s="55" cm="1">
        <f t="array" ref="BM1751">IFERROR(
   INDEX($AW$1:$BH$1,
      _xlfn.AGGREGATE(14, 6, COLUMN($AW$1:$BH$1)/(AW1751:BH1751&lt;&gt;""), 2) - COLUMN($AW$1) + 1
   ),
"")</f>
        <v>46082</v>
      </c>
      <c r="BN1751" s="55" cm="1">
        <f t="array" ref="BN1751">IFERROR(INDEX($AW$1:$BH$1,1,MATCH(2,1/(AW1751:BH1751&lt;&gt;""))),"")</f>
        <v>46113</v>
      </c>
      <c r="BO1751" s="53">
        <f ca="1">IFERROR(_xlfn.XLOOKUP(F1751,Apuração!A:A,Apuração!C:C)/_xlfn.XLOOKUP(F1751,Apuração!A:A,Apuração!B:B),0)</f>
        <v>0.41666666666666669</v>
      </c>
      <c r="BP1751" s="53">
        <f ca="1">IFERROR(_xlfn.XLOOKUP(F1751,Apuração!A:A,Apuração!D:D)/_xlfn.XLOOKUP(F1751,Apuração!A:A,Apuração!B:B),0)</f>
        <v>0.33333333333333331</v>
      </c>
      <c r="BQ1751" s="53">
        <f ca="1">IF(BK1751&gt;=BO1751,0,_xlfn.XLOOKUP(F1751,Apuração!A:A,Apuração!B:B)*(BO1751 + (1/_xlfn.XLOOKUP(F1751,Apuração!A:A,Apuração!B:B)) - BK1751))</f>
        <v>0</v>
      </c>
      <c r="BR1751" s="85">
        <f t="shared" ca="1" si="2038"/>
        <v>0</v>
      </c>
      <c r="BS1751" s="53">
        <f ca="1">IFERROR((_xlfn.XLOOKUP(F1751,Apuração!A:A,Apuração!C:C)+1)/_xlfn.XLOOKUP(F1751,Apuração!A:A,Apuração!B:B),0)</f>
        <v>0.5</v>
      </c>
    </row>
    <row r="1752" spans="1:71" ht="25.95" hidden="1" customHeight="1" x14ac:dyDescent="0.3">
      <c r="A1752" s="23" t="s">
        <v>134</v>
      </c>
      <c r="B1752" s="4" t="s">
        <v>150</v>
      </c>
      <c r="C1752" s="5" t="s">
        <v>214</v>
      </c>
      <c r="D1752" s="5" t="s">
        <v>36</v>
      </c>
      <c r="E1752" s="4" t="str" cm="1">
        <f t="array" ref="E1752">_xlfn.IFS(
F1752 = "A partir de Abril", "Aguardando Execução na Distribuidora",
A1752 = "CAPACITAÇÃO", "Em execução no Corporativo",
TRUE, "Em Execução na Distribuidora"
)</f>
        <v>Em Execução na Distribuidora</v>
      </c>
      <c r="F1752" s="4" t="str" cm="1">
        <f t="array" ref="F1752">_xlfn.IFS(
AG1752 &lt;&gt; "", "Jan-Dez/26",
AH1752 &lt;&gt; "", "Fev-Dez/26",
AI1752 &lt;&gt; "", "Mar-Dez/26", AJ1752 &lt;&gt; "", "Abr-Dez/26",
TRUE, "A partir de Junho"
)</f>
        <v>Jan-Dez/26</v>
      </c>
      <c r="G1752" s="4" t="s">
        <v>37</v>
      </c>
      <c r="H1752" s="7" t="s">
        <v>110</v>
      </c>
      <c r="I1752" s="8" t="s">
        <v>154</v>
      </c>
      <c r="J1752" s="8" t="str" cm="1">
        <f t="array" aca="1" ref="J1752" ca="1">_xlfn.LET(
  _xlpm.actual_value_month, INDEX(T1752:AE1752, MATCH(DATE(YEAR(TODAY()), MONTH(TODAY()), 1), $T$1:$AE$1, 0)),
  IF(_xlpm.actual_value_month &lt;&gt; "",_xlpm.actual_value_month &amp; " ações mensais", "")
)</f>
        <v/>
      </c>
      <c r="K1752" s="8" t="str" cm="1">
        <f t="array" ref="K1752">_xlfn.LET(
    _xlpm.sum_month, SUM(T1752:AE1752),
    IF(_xlpm.sum_month = 0, "", _xlpm.sum_month &amp; " presença de representantes no ano")
)</f>
        <v/>
      </c>
      <c r="L1752" s="9" t="s">
        <v>155</v>
      </c>
      <c r="M1752" s="24">
        <v>1</v>
      </c>
      <c r="N1752" s="67" t="s">
        <v>51</v>
      </c>
      <c r="O1752" s="111" t="s">
        <v>43</v>
      </c>
      <c r="P1752" s="10" t="s">
        <v>44</v>
      </c>
      <c r="Q1752" s="10" t="s">
        <v>72</v>
      </c>
      <c r="R1752" s="11" t="s">
        <v>44</v>
      </c>
      <c r="S1752" s="11" t="s">
        <v>44</v>
      </c>
      <c r="T1752" s="22"/>
      <c r="U1752" s="22"/>
      <c r="V1752" s="22"/>
      <c r="W1752" s="22"/>
      <c r="X1752" s="22"/>
      <c r="Y1752" s="22"/>
      <c r="Z1752" s="22"/>
      <c r="AA1752" s="22"/>
      <c r="AB1752" s="22"/>
      <c r="AC1752" s="22"/>
      <c r="AD1752" s="22"/>
      <c r="AE1752" s="22"/>
      <c r="AG1752" s="71">
        <v>52</v>
      </c>
      <c r="AH1752" s="71">
        <v>55</v>
      </c>
      <c r="AI1752" s="71">
        <v>54</v>
      </c>
      <c r="AJ1752" s="71">
        <v>43</v>
      </c>
      <c r="AK1752" s="71"/>
      <c r="AL1752" s="71"/>
      <c r="AM1752" s="71"/>
      <c r="AN1752" s="71"/>
      <c r="AO1752" s="71"/>
      <c r="AP1752" s="71"/>
      <c r="AQ1752" s="71"/>
      <c r="AR1752" s="71"/>
      <c r="AS1752" s="94">
        <f ca="1">IF(MONTH(TODAY())=3,SUM(T1752:U1752),IF(MONTH(TODAY())=4,SUM(T1752:V1752),IF(MONTH(TODAY())=5,SUM(T1752:W1752),IF(MONTH(TODAY())=6,SUM(T1752:X1752),IF(MONTH(TODAY())=7,SUM(T1752:Y1752),IF(MONTH(TODAY())=8,SUM(T1752:Z1752),IF(MONTH(TODAY())=9,SUM(T1752:AA1752),IF(MONTH(TODAY())=10,SUM(T1752:AB1752),IF(MONTH(TODAY())=11,SUM(T1752:AC1752),IF(MONTH(TODAY())=12,SUM(T1752:AD1752),IF(MONTH(TODAY())=1,SUM(T1752:AE1752),T1752)))))))))))</f>
        <v>0</v>
      </c>
      <c r="AT1752" s="95">
        <f>SUM(AG1752:AR1752)</f>
        <v>204</v>
      </c>
      <c r="AU1752" s="97">
        <f>SUM(AG1752:AR1752)</f>
        <v>204</v>
      </c>
      <c r="AW1752" s="83">
        <f>AG1752</f>
        <v>52</v>
      </c>
      <c r="AX1752" s="83">
        <f>AH1752</f>
        <v>55</v>
      </c>
      <c r="AY1752" s="83">
        <f>AI1752</f>
        <v>54</v>
      </c>
      <c r="AZ1752" s="83">
        <f>AJ1752</f>
        <v>43</v>
      </c>
      <c r="BA1752" s="52"/>
      <c r="BB1752" s="52"/>
      <c r="BC1752" s="52"/>
      <c r="BD1752" s="52"/>
      <c r="BE1752" s="52"/>
      <c r="BF1752" s="52"/>
      <c r="BG1752" s="52"/>
      <c r="BH1752" s="52"/>
      <c r="BI1752" s="68" cm="1">
        <f t="array" ref="BI1752">IFERROR(INDEX(AW1752:BH1752,1,MATCH(2,1/(AW1752:BH1752&lt;&gt;""))),"")</f>
        <v>43</v>
      </c>
      <c r="BJ1752" s="68" cm="1">
        <f t="array" ref="BJ1752">IF(BM1752 = "", "",IFERROR(INDEX(AW1752:BH1752,1,MATCH(2,1/(AW1752:BH1752&lt;&gt;""),1)-1),""))</f>
        <v>54</v>
      </c>
      <c r="BK1752" s="59">
        <f>IF((IF(AW1752&gt;=150%,150%,AW1752) + IF(AX1752&gt;=150%,150%,AX1752) + IF(AY1752&gt;=150%,150%,AY1752) + (IF(AW1752&gt;=150%,150%,AW1752) + IF(BA1752&gt;=150%,150%,BA1752) + IF(BB1752&gt;=150%,150%,BB1752) + IF(BC1752&gt;=150%,150%,BC1752) + IF(BD1752&gt;=150%,150%,BD1752) + IF(BE1752&gt;=150%,150%,BE1752) + IF(BF1752&gt;=150%,150%,BF1752) + IF(BG1752&gt;=150%,150%,BG1752) + IF(BH1752&gt;=150%,150%,BH1752)))/_xlfn.XLOOKUP(F1752,Apuração!A:A,Apuração!B:B)&gt;=1.15,1.15,((IF(AW1752&gt;=150%,150%,AW1752) + IF(AX1752&gt;=150%,150%,AX1752) + IF(AY1752&gt;=150%,150%,AY1752) + (IF(AW1752&gt;=150%,150%,AW1752) + IF(BA1752&gt;=150%,150%,BA1752) + IF(BB1752&gt;=150%,150%,BB1752) + IF(BC1752&gt;=150%,150%,BC1752) + IF(BD1752&gt;=150%,150%,BD1752) + IF(BE1752&gt;=150%,150%,BE1752) + IF(BF1752&gt;=150%,150%,BF1752) + IF(BG1752&gt;=150%,150%,BG1752) + IF(BH1752&gt;=150%,150%,BH1752)))/_xlfn.XLOOKUP(F1752,Apuração!A:A,Apuração!B:B)))</f>
        <v>0.5</v>
      </c>
      <c r="BL1752" s="59" cm="1">
        <f t="array" aca="1" ref="BL1752" ca="1">IF(SUM(IFERROR(IF(INDEX(AW1752:INDEX(AW1752:BH1752, MATCH(2, 1/(AW1752:BH1752&lt;&gt;""), 1)-1), ROW(INDIRECT("1:" &amp; MATCH(2, 1/(AW1752:BH1752&lt;&gt;""), 1)-1))) &gt;= 150%, 150%, INDEX(AW1752:INDEX(AW1752:BH1752, MATCH(2, 1/(AW1752:BH1752&lt;&gt;""), 1)-1), ROW(INDIRECT("1:" &amp; MATCH(2, 1/(AW1752:BH1752&lt;&gt;""), 1)-1)))), 0))/_xlfn.XLOOKUP(F1752,Apuração!A:A,Apuração!B:B)&gt;=1.15,1.15,SUM(IFERROR(IF(INDEX(AW1752:INDEX(AW1752:BH1752, MATCH(2, 1/(AW1752:BH1752&lt;&gt;""), 1)-1), ROW(INDIRECT("1:" &amp; MATCH(2, 1/(AW1752:BH1752&lt;&gt;""), 1)-1))) &gt;= 150%, 150%, INDEX(AW1752:INDEX(AW1752:BH1752, MATCH(2, 1/(AW1752:BH1752&lt;&gt;""), 1)-1), ROW(INDIRECT("1:" &amp; MATCH(2, 1/(AW1752:BH1752&lt;&gt;""), 1)-1)))), 0))/_xlfn.XLOOKUP(F1752,Apuração!A:A,Apuração!B:B))</f>
        <v>0.375</v>
      </c>
      <c r="BM1752" s="55" cm="1">
        <f t="array" ref="BM1752">IFERROR(
   INDEX($AW$1:$BH$1,
      _xlfn.AGGREGATE(14, 6, COLUMN($AW$1:$BH$1)/(AW1752:BH1752&lt;&gt;""), 2) - COLUMN($AW$1) + 1
   ),
"")</f>
        <v>46082</v>
      </c>
      <c r="BN1752" s="55" cm="1">
        <f t="array" ref="BN1752">IFERROR(INDEX($AW$1:$BH$1,1,MATCH(2,1/(AW1752:BH1752&lt;&gt;""))),"")</f>
        <v>46113</v>
      </c>
      <c r="BO1752" s="53">
        <f ca="1">IFERROR(_xlfn.XLOOKUP(F1752,Apuração!A:A,Apuração!C:C)/_xlfn.XLOOKUP(F1752,Apuração!A:A,Apuração!B:B),0)</f>
        <v>0.41666666666666669</v>
      </c>
      <c r="BP1752" s="53">
        <f ca="1">IFERROR(_xlfn.XLOOKUP(F1752,Apuração!A:A,Apuração!D:D)/_xlfn.XLOOKUP(F1752,Apuração!A:A,Apuração!B:B),0)</f>
        <v>0.33333333333333331</v>
      </c>
      <c r="BQ1752" s="53">
        <f ca="1">IF(BK1752&gt;=BO1752,0,_xlfn.XLOOKUP(F1752,Apuração!A:A,Apuração!B:B)*(BO1752 + (1/_xlfn.XLOOKUP(F1752,Apuração!A:A,Apuração!B:B)) - BK1752))</f>
        <v>0</v>
      </c>
      <c r="BR1752" s="85">
        <f ca="1">IF(BQ1752=0,0,BQ1752*Z1752)</f>
        <v>0</v>
      </c>
      <c r="BS1752" s="53">
        <f ca="1">IFERROR((_xlfn.XLOOKUP(F1752,Apuração!A:A,Apuração!C:C)+1)/_xlfn.XLOOKUP(F1752,Apuração!A:A,Apuração!B:B),0)</f>
        <v>0.5</v>
      </c>
    </row>
    <row r="1753" spans="1:71" ht="25.95" hidden="1" customHeight="1" x14ac:dyDescent="0.3">
      <c r="A1753" s="23" t="s">
        <v>134</v>
      </c>
      <c r="B1753" s="4" t="s">
        <v>150</v>
      </c>
      <c r="C1753" s="5" t="s">
        <v>214</v>
      </c>
      <c r="D1753" s="5" t="s">
        <v>210</v>
      </c>
      <c r="E1753" s="4" t="str" cm="1">
        <f t="array" ref="E1753">_xlfn.IFS(
F1753 = "A partir de Abril", "Aguardando Execução na Distribuidora",
A1753 = "CAPACITAÇÃO", "Em execução no Corporativo",
TRUE, "Em Execução na Distribuidora"
)</f>
        <v>Em Execução na Distribuidora</v>
      </c>
      <c r="F1753" s="4" t="str" cm="1">
        <f t="array" ref="F1753">_xlfn.IFS(
AG1753 &lt;&gt; "", "Jan-Dez/26",
AH1753 &lt;&gt; "", "Fev-Dez/26",
AI1753 &lt;&gt; "", "Mar-Dez/26", AJ1753 &lt;&gt; "", "Abr-Dez/26",
TRUE, "A partir de Junho"
)</f>
        <v>Jan-Dez/26</v>
      </c>
      <c r="G1753" s="4" t="s">
        <v>37</v>
      </c>
      <c r="H1753" s="7" t="s">
        <v>110</v>
      </c>
      <c r="I1753" s="8" t="s">
        <v>154</v>
      </c>
      <c r="J1753" s="8" t="str" cm="1">
        <f t="array" aca="1" ref="J1753" ca="1">_xlfn.LET(
  _xlpm.actual_value_month, INDEX(T1753:AE1753, MATCH(DATE(YEAR(TODAY()), MONTH(TODAY()), 1), $T$1:$AE$1, 0)),
  IF(_xlpm.actual_value_month &lt;&gt; "",_xlpm.actual_value_month &amp; " ações mensais", "")
)</f>
        <v/>
      </c>
      <c r="K1753" s="8" t="str" cm="1">
        <f t="array" ref="K1753">_xlfn.LET(
    _xlpm.sum_month, SUM(T1753:AE1753),
    IF(_xlpm.sum_month = 0, "", _xlpm.sum_month &amp; " presença de representantes no ano")
)</f>
        <v/>
      </c>
      <c r="L1753" s="9" t="s">
        <v>155</v>
      </c>
      <c r="M1753" s="24">
        <v>1</v>
      </c>
      <c r="N1753" s="67" t="s">
        <v>51</v>
      </c>
      <c r="O1753" s="111" t="s">
        <v>43</v>
      </c>
      <c r="P1753" s="10" t="s">
        <v>44</v>
      </c>
      <c r="Q1753" s="10" t="s">
        <v>72</v>
      </c>
      <c r="R1753" s="11" t="s">
        <v>44</v>
      </c>
      <c r="S1753" s="11" t="s">
        <v>44</v>
      </c>
      <c r="T1753" s="22"/>
      <c r="U1753" s="22"/>
      <c r="V1753" s="22"/>
      <c r="W1753" s="22"/>
      <c r="X1753" s="22"/>
      <c r="Y1753" s="22"/>
      <c r="Z1753" s="22"/>
      <c r="AA1753" s="22"/>
      <c r="AB1753" s="22"/>
      <c r="AC1753" s="22"/>
      <c r="AD1753" s="22"/>
      <c r="AE1753" s="22"/>
      <c r="AG1753" s="145">
        <v>7</v>
      </c>
      <c r="AH1753" s="149">
        <v>8</v>
      </c>
      <c r="AI1753" s="149">
        <v>7</v>
      </c>
      <c r="AJ1753" s="82">
        <v>5</v>
      </c>
      <c r="AK1753" s="71"/>
      <c r="AL1753" s="71"/>
      <c r="AM1753" s="71"/>
      <c r="AN1753" s="71"/>
      <c r="AO1753" s="71"/>
      <c r="AP1753" s="71"/>
      <c r="AQ1753" s="71"/>
      <c r="AR1753" s="71"/>
      <c r="AS1753" s="94">
        <f t="shared" ref="AS1753:AS1757" ca="1" si="2039">IF(MONTH(TODAY())=3,SUM(T1753:U1753),IF(MONTH(TODAY())=4,SUM(T1753:V1753),IF(MONTH(TODAY())=5,SUM(T1753:W1753),IF(MONTH(TODAY())=6,SUM(T1753:X1753),IF(MONTH(TODAY())=7,SUM(T1753:Y1753),IF(MONTH(TODAY())=8,SUM(T1753:Z1753),IF(MONTH(TODAY())=9,SUM(T1753:AA1753),IF(MONTH(TODAY())=10,SUM(T1753:AB1753),IF(MONTH(TODAY())=11,SUM(T1753:AC1753),IF(MONTH(TODAY())=12,SUM(T1753:AD1753),IF(MONTH(TODAY())=1,SUM(T1753:AE1753),T1753)))))))))))</f>
        <v>0</v>
      </c>
      <c r="AT1753" s="95">
        <f t="shared" ref="AT1753:AT1757" si="2040">SUM(AG1753:AR1753)</f>
        <v>27</v>
      </c>
      <c r="AU1753" s="97">
        <f t="shared" ref="AU1753:AU1757" si="2041">SUM(AG1753:AR1753)</f>
        <v>27</v>
      </c>
      <c r="AW1753" s="83">
        <f t="shared" ref="AW1753:AW1757" si="2042">AG1753</f>
        <v>7</v>
      </c>
      <c r="AX1753" s="83">
        <f t="shared" ref="AX1753:AX1757" si="2043">AH1753</f>
        <v>8</v>
      </c>
      <c r="AY1753" s="83">
        <f t="shared" ref="AY1753:AY1757" si="2044">AI1753</f>
        <v>7</v>
      </c>
      <c r="AZ1753" s="83">
        <f t="shared" ref="AZ1753:AZ1757" si="2045">AJ1753</f>
        <v>5</v>
      </c>
      <c r="BA1753" s="52"/>
      <c r="BB1753" s="52"/>
      <c r="BC1753" s="52"/>
      <c r="BD1753" s="52"/>
      <c r="BE1753" s="52"/>
      <c r="BF1753" s="52"/>
      <c r="BG1753" s="52"/>
      <c r="BH1753" s="52"/>
      <c r="BI1753" s="68" cm="1">
        <f t="array" ref="BI1753">IFERROR(INDEX(AW1753:BH1753,1,MATCH(2,1/(AW1753:BH1753&lt;&gt;""))),"")</f>
        <v>5</v>
      </c>
      <c r="BJ1753" s="68" cm="1">
        <f t="array" ref="BJ1753">IF(BM1753 = "", "",IFERROR(INDEX(AW1753:BH1753,1,MATCH(2,1/(AW1753:BH1753&lt;&gt;""),1)-1),""))</f>
        <v>7</v>
      </c>
      <c r="BK1753" s="59">
        <f>IF((IF(AW1753&gt;=150%,150%,AW1753) + IF(AX1753&gt;=150%,150%,AX1753) + IF(AY1753&gt;=150%,150%,AY1753) + (IF(AW1753&gt;=150%,150%,AW1753) + IF(BA1753&gt;=150%,150%,BA1753) + IF(BB1753&gt;=150%,150%,BB1753) + IF(BC1753&gt;=150%,150%,BC1753) + IF(BD1753&gt;=150%,150%,BD1753) + IF(BE1753&gt;=150%,150%,BE1753) + IF(BF1753&gt;=150%,150%,BF1753) + IF(BG1753&gt;=150%,150%,BG1753) + IF(BH1753&gt;=150%,150%,BH1753)))/_xlfn.XLOOKUP(F1753,Apuração!A:A,Apuração!B:B)&gt;=1.15,1.15,((IF(AW1753&gt;=150%,150%,AW1753) + IF(AX1753&gt;=150%,150%,AX1753) + IF(AY1753&gt;=150%,150%,AY1753) + (IF(AW1753&gt;=150%,150%,AW1753) + IF(BA1753&gt;=150%,150%,BA1753) + IF(BB1753&gt;=150%,150%,BB1753) + IF(BC1753&gt;=150%,150%,BC1753) + IF(BD1753&gt;=150%,150%,BD1753) + IF(BE1753&gt;=150%,150%,BE1753) + IF(BF1753&gt;=150%,150%,BF1753) + IF(BG1753&gt;=150%,150%,BG1753) + IF(BH1753&gt;=150%,150%,BH1753)))/_xlfn.XLOOKUP(F1753,Apuração!A:A,Apuração!B:B)))</f>
        <v>0.5</v>
      </c>
      <c r="BL1753" s="59" cm="1">
        <f t="array" aca="1" ref="BL1753" ca="1">IF(SUM(IFERROR(IF(INDEX(AW1753:INDEX(AW1753:BH1753, MATCH(2, 1/(AW1753:BH1753&lt;&gt;""), 1)-1), ROW(INDIRECT("1:" &amp; MATCH(2, 1/(AW1753:BH1753&lt;&gt;""), 1)-1))) &gt;= 150%, 150%, INDEX(AW1753:INDEX(AW1753:BH1753, MATCH(2, 1/(AW1753:BH1753&lt;&gt;""), 1)-1), ROW(INDIRECT("1:" &amp; MATCH(2, 1/(AW1753:BH1753&lt;&gt;""), 1)-1)))), 0))/_xlfn.XLOOKUP(F1753,Apuração!A:A,Apuração!B:B)&gt;=1.15,1.15,SUM(IFERROR(IF(INDEX(AW1753:INDEX(AW1753:BH1753, MATCH(2, 1/(AW1753:BH1753&lt;&gt;""), 1)-1), ROW(INDIRECT("1:" &amp; MATCH(2, 1/(AW1753:BH1753&lt;&gt;""), 1)-1))) &gt;= 150%, 150%, INDEX(AW1753:INDEX(AW1753:BH1753, MATCH(2, 1/(AW1753:BH1753&lt;&gt;""), 1)-1), ROW(INDIRECT("1:" &amp; MATCH(2, 1/(AW1753:BH1753&lt;&gt;""), 1)-1)))), 0))/_xlfn.XLOOKUP(F1753,Apuração!A:A,Apuração!B:B))</f>
        <v>0.375</v>
      </c>
      <c r="BM1753" s="55" cm="1">
        <f t="array" ref="BM1753">IFERROR(
   INDEX($AW$1:$BH$1,
      _xlfn.AGGREGATE(14, 6, COLUMN($AW$1:$BH$1)/(AW1753:BH1753&lt;&gt;""), 2) - COLUMN($AW$1) + 1
   ),
"")</f>
        <v>46082</v>
      </c>
      <c r="BN1753" s="55" cm="1">
        <f t="array" ref="BN1753">IFERROR(INDEX($AW$1:$BH$1,1,MATCH(2,1/(AW1753:BH1753&lt;&gt;""))),"")</f>
        <v>46113</v>
      </c>
      <c r="BO1753" s="53">
        <f ca="1">IFERROR(_xlfn.XLOOKUP(F1753,Apuração!A:A,Apuração!C:C)/_xlfn.XLOOKUP(F1753,Apuração!A:A,Apuração!B:B),0)</f>
        <v>0.41666666666666669</v>
      </c>
      <c r="BP1753" s="53">
        <f ca="1">IFERROR(_xlfn.XLOOKUP(F1753,Apuração!A:A,Apuração!D:D)/_xlfn.XLOOKUP(F1753,Apuração!A:A,Apuração!B:B),0)</f>
        <v>0.33333333333333331</v>
      </c>
      <c r="BQ1753" s="53">
        <f ca="1">IF(BK1753&gt;=BO1753,0,_xlfn.XLOOKUP(F1753,Apuração!A:A,Apuração!B:B)*(BO1753 + (1/_xlfn.XLOOKUP(F1753,Apuração!A:A,Apuração!B:B)) - BK1753))</f>
        <v>0</v>
      </c>
      <c r="BR1753" s="85">
        <f t="shared" ref="BR1753:BR1757" ca="1" si="2046">IF(BQ1753=0,0,BQ1753*Z1753)</f>
        <v>0</v>
      </c>
      <c r="BS1753" s="53">
        <f ca="1">IFERROR((_xlfn.XLOOKUP(F1753,Apuração!A:A,Apuração!C:C)+1)/_xlfn.XLOOKUP(F1753,Apuração!A:A,Apuração!B:B),0)</f>
        <v>0.5</v>
      </c>
    </row>
    <row r="1754" spans="1:71" ht="25.95" hidden="1" customHeight="1" x14ac:dyDescent="0.3">
      <c r="A1754" s="23" t="s">
        <v>134</v>
      </c>
      <c r="B1754" s="4" t="s">
        <v>150</v>
      </c>
      <c r="C1754" s="5" t="s">
        <v>214</v>
      </c>
      <c r="D1754" s="5" t="s">
        <v>215</v>
      </c>
      <c r="E1754" s="4" t="str" cm="1">
        <f t="array" ref="E1754">_xlfn.IFS(
F1754 = "A partir de Abril", "Aguardando Execução na Distribuidora",
A1754 = "CAPACITAÇÃO", "Em execução no Corporativo",
TRUE, "Em Execução na Distribuidora"
)</f>
        <v>Em Execução na Distribuidora</v>
      </c>
      <c r="F1754" s="4" t="str" cm="1">
        <f t="array" ref="F1754">_xlfn.IFS(
AG1754 &lt;&gt; "", "Jan-Dez/26",
AH1754 &lt;&gt; "", "Fev-Dez/26",
AI1754 &lt;&gt; "", "Mar-Dez/26", AJ1754 &lt;&gt; "", "Abr-Dez/26",
TRUE, "A partir de Junho"
)</f>
        <v>Jan-Dez/26</v>
      </c>
      <c r="G1754" s="4" t="s">
        <v>37</v>
      </c>
      <c r="H1754" s="7" t="s">
        <v>110</v>
      </c>
      <c r="I1754" s="8" t="s">
        <v>154</v>
      </c>
      <c r="J1754" s="8" t="str" cm="1">
        <f t="array" aca="1" ref="J1754" ca="1">_xlfn.LET(
  _xlpm.actual_value_month, INDEX(T1754:AE1754, MATCH(DATE(YEAR(TODAY()), MONTH(TODAY()), 1), $T$1:$AE$1, 0)),
  IF(_xlpm.actual_value_month &lt;&gt; "",_xlpm.actual_value_month &amp; " ações mensais", "")
)</f>
        <v/>
      </c>
      <c r="K1754" s="8" t="str" cm="1">
        <f t="array" ref="K1754">_xlfn.LET(
    _xlpm.sum_month, SUM(T1754:AE1754),
    IF(_xlpm.sum_month = 0, "", _xlpm.sum_month &amp; " presença de representantes no ano")
)</f>
        <v/>
      </c>
      <c r="L1754" s="9" t="s">
        <v>155</v>
      </c>
      <c r="M1754" s="24">
        <v>1</v>
      </c>
      <c r="N1754" s="67" t="s">
        <v>51</v>
      </c>
      <c r="O1754" s="111" t="s">
        <v>43</v>
      </c>
      <c r="P1754" s="10" t="s">
        <v>44</v>
      </c>
      <c r="Q1754" s="10" t="s">
        <v>72</v>
      </c>
      <c r="R1754" s="11" t="s">
        <v>44</v>
      </c>
      <c r="S1754" s="11" t="s">
        <v>44</v>
      </c>
      <c r="T1754" s="22"/>
      <c r="U1754" s="22"/>
      <c r="V1754" s="22"/>
      <c r="W1754" s="22"/>
      <c r="X1754" s="22"/>
      <c r="Y1754" s="22"/>
      <c r="Z1754" s="22"/>
      <c r="AA1754" s="22"/>
      <c r="AB1754" s="22"/>
      <c r="AC1754" s="22"/>
      <c r="AD1754" s="22"/>
      <c r="AE1754" s="22"/>
      <c r="AG1754" s="146">
        <v>10</v>
      </c>
      <c r="AH1754" s="150">
        <v>11</v>
      </c>
      <c r="AI1754" s="150">
        <v>10</v>
      </c>
      <c r="AJ1754" s="82">
        <v>10</v>
      </c>
      <c r="AK1754" s="71"/>
      <c r="AL1754" s="71"/>
      <c r="AM1754" s="71"/>
      <c r="AN1754" s="71"/>
      <c r="AO1754" s="71"/>
      <c r="AP1754" s="71"/>
      <c r="AQ1754" s="71"/>
      <c r="AR1754" s="71"/>
      <c r="AS1754" s="94">
        <f t="shared" ca="1" si="2039"/>
        <v>0</v>
      </c>
      <c r="AT1754" s="95">
        <f t="shared" si="2040"/>
        <v>41</v>
      </c>
      <c r="AU1754" s="97">
        <f t="shared" si="2041"/>
        <v>41</v>
      </c>
      <c r="AW1754" s="83">
        <f t="shared" si="2042"/>
        <v>10</v>
      </c>
      <c r="AX1754" s="83">
        <f t="shared" si="2043"/>
        <v>11</v>
      </c>
      <c r="AY1754" s="83">
        <f t="shared" si="2044"/>
        <v>10</v>
      </c>
      <c r="AZ1754" s="83">
        <f t="shared" si="2045"/>
        <v>10</v>
      </c>
      <c r="BA1754" s="52"/>
      <c r="BB1754" s="52"/>
      <c r="BC1754" s="52"/>
      <c r="BD1754" s="52"/>
      <c r="BE1754" s="52"/>
      <c r="BF1754" s="52"/>
      <c r="BG1754" s="52"/>
      <c r="BH1754" s="52"/>
      <c r="BI1754" s="68" cm="1">
        <f t="array" ref="BI1754">IFERROR(INDEX(AW1754:BH1754,1,MATCH(2,1/(AW1754:BH1754&lt;&gt;""))),"")</f>
        <v>10</v>
      </c>
      <c r="BJ1754" s="68" cm="1">
        <f t="array" ref="BJ1754">IF(BM1754 = "", "",IFERROR(INDEX(AW1754:BH1754,1,MATCH(2,1/(AW1754:BH1754&lt;&gt;""),1)-1),""))</f>
        <v>10</v>
      </c>
      <c r="BK1754" s="59">
        <f>IF((IF(AW1754&gt;=150%,150%,AW1754) + IF(AX1754&gt;=150%,150%,AX1754) + IF(AY1754&gt;=150%,150%,AY1754) + (IF(AW1754&gt;=150%,150%,AW1754) + IF(BA1754&gt;=150%,150%,BA1754) + IF(BB1754&gt;=150%,150%,BB1754) + IF(BC1754&gt;=150%,150%,BC1754) + IF(BD1754&gt;=150%,150%,BD1754) + IF(BE1754&gt;=150%,150%,BE1754) + IF(BF1754&gt;=150%,150%,BF1754) + IF(BG1754&gt;=150%,150%,BG1754) + IF(BH1754&gt;=150%,150%,BH1754)))/_xlfn.XLOOKUP(F1754,Apuração!A:A,Apuração!B:B)&gt;=1.15,1.15,((IF(AW1754&gt;=150%,150%,AW1754) + IF(AX1754&gt;=150%,150%,AX1754) + IF(AY1754&gt;=150%,150%,AY1754) + (IF(AW1754&gt;=150%,150%,AW1754) + IF(BA1754&gt;=150%,150%,BA1754) + IF(BB1754&gt;=150%,150%,BB1754) + IF(BC1754&gt;=150%,150%,BC1754) + IF(BD1754&gt;=150%,150%,BD1754) + IF(BE1754&gt;=150%,150%,BE1754) + IF(BF1754&gt;=150%,150%,BF1754) + IF(BG1754&gt;=150%,150%,BG1754) + IF(BH1754&gt;=150%,150%,BH1754)))/_xlfn.XLOOKUP(F1754,Apuração!A:A,Apuração!B:B)))</f>
        <v>0.5</v>
      </c>
      <c r="BL1754" s="59" cm="1">
        <f t="array" aca="1" ref="BL1754" ca="1">IF(SUM(IFERROR(IF(INDEX(AW1754:INDEX(AW1754:BH1754, MATCH(2, 1/(AW1754:BH1754&lt;&gt;""), 1)-1), ROW(INDIRECT("1:" &amp; MATCH(2, 1/(AW1754:BH1754&lt;&gt;""), 1)-1))) &gt;= 150%, 150%, INDEX(AW1754:INDEX(AW1754:BH1754, MATCH(2, 1/(AW1754:BH1754&lt;&gt;""), 1)-1), ROW(INDIRECT("1:" &amp; MATCH(2, 1/(AW1754:BH1754&lt;&gt;""), 1)-1)))), 0))/_xlfn.XLOOKUP(F1754,Apuração!A:A,Apuração!B:B)&gt;=1.15,1.15,SUM(IFERROR(IF(INDEX(AW1754:INDEX(AW1754:BH1754, MATCH(2, 1/(AW1754:BH1754&lt;&gt;""), 1)-1), ROW(INDIRECT("1:" &amp; MATCH(2, 1/(AW1754:BH1754&lt;&gt;""), 1)-1))) &gt;= 150%, 150%, INDEX(AW1754:INDEX(AW1754:BH1754, MATCH(2, 1/(AW1754:BH1754&lt;&gt;""), 1)-1), ROW(INDIRECT("1:" &amp; MATCH(2, 1/(AW1754:BH1754&lt;&gt;""), 1)-1)))), 0))/_xlfn.XLOOKUP(F1754,Apuração!A:A,Apuração!B:B))</f>
        <v>0.375</v>
      </c>
      <c r="BM1754" s="55" cm="1">
        <f t="array" ref="BM1754">IFERROR(
   INDEX($AW$1:$BH$1,
      _xlfn.AGGREGATE(14, 6, COLUMN($AW$1:$BH$1)/(AW1754:BH1754&lt;&gt;""), 2) - COLUMN($AW$1) + 1
   ),
"")</f>
        <v>46082</v>
      </c>
      <c r="BN1754" s="55" cm="1">
        <f t="array" ref="BN1754">IFERROR(INDEX($AW$1:$BH$1,1,MATCH(2,1/(AW1754:BH1754&lt;&gt;""))),"")</f>
        <v>46113</v>
      </c>
      <c r="BO1754" s="53">
        <f ca="1">IFERROR(_xlfn.XLOOKUP(F1754,Apuração!A:A,Apuração!C:C)/_xlfn.XLOOKUP(F1754,Apuração!A:A,Apuração!B:B),0)</f>
        <v>0.41666666666666669</v>
      </c>
      <c r="BP1754" s="53">
        <f ca="1">IFERROR(_xlfn.XLOOKUP(F1754,Apuração!A:A,Apuração!D:D)/_xlfn.XLOOKUP(F1754,Apuração!A:A,Apuração!B:B),0)</f>
        <v>0.33333333333333331</v>
      </c>
      <c r="BQ1754" s="53">
        <f ca="1">IF(BK1754&gt;=BO1754,0,_xlfn.XLOOKUP(F1754,Apuração!A:A,Apuração!B:B)*(BO1754 + (1/_xlfn.XLOOKUP(F1754,Apuração!A:A,Apuração!B:B)) - BK1754))</f>
        <v>0</v>
      </c>
      <c r="BR1754" s="85">
        <f t="shared" ca="1" si="2046"/>
        <v>0</v>
      </c>
      <c r="BS1754" s="53">
        <f ca="1">IFERROR((_xlfn.XLOOKUP(F1754,Apuração!A:A,Apuração!C:C)+1)/_xlfn.XLOOKUP(F1754,Apuração!A:A,Apuração!B:B),0)</f>
        <v>0.5</v>
      </c>
    </row>
    <row r="1755" spans="1:71" ht="25.95" hidden="1" customHeight="1" x14ac:dyDescent="0.3">
      <c r="A1755" s="23" t="s">
        <v>134</v>
      </c>
      <c r="B1755" s="4" t="s">
        <v>150</v>
      </c>
      <c r="C1755" s="5" t="s">
        <v>214</v>
      </c>
      <c r="D1755" s="5" t="s">
        <v>212</v>
      </c>
      <c r="E1755" s="4" t="str" cm="1">
        <f t="array" ref="E1755">_xlfn.IFS(
F1755 = "A partir de Abril", "Aguardando Execução na Distribuidora",
A1755 = "CAPACITAÇÃO", "Em execução no Corporativo",
TRUE, "Em Execução na Distribuidora"
)</f>
        <v>Em Execução na Distribuidora</v>
      </c>
      <c r="F1755" s="4" t="str" cm="1">
        <f t="array" ref="F1755">_xlfn.IFS(
AG1755 &lt;&gt; "", "Jan-Dez/26",
AH1755 &lt;&gt; "", "Fev-Dez/26",
AI1755 &lt;&gt; "", "Mar-Dez/26", AJ1755 &lt;&gt; "", "Abr-Dez/26",
TRUE, "A partir de Junho"
)</f>
        <v>Jan-Dez/26</v>
      </c>
      <c r="G1755" s="4" t="s">
        <v>37</v>
      </c>
      <c r="H1755" s="7" t="s">
        <v>110</v>
      </c>
      <c r="I1755" s="8" t="s">
        <v>154</v>
      </c>
      <c r="J1755" s="8" t="str" cm="1">
        <f t="array" aca="1" ref="J1755" ca="1">_xlfn.LET(
  _xlpm.actual_value_month, INDEX(T1755:AE1755, MATCH(DATE(YEAR(TODAY()), MONTH(TODAY()), 1), $T$1:$AE$1, 0)),
  IF(_xlpm.actual_value_month &lt;&gt; "",_xlpm.actual_value_month &amp; " ações mensais", "")
)</f>
        <v/>
      </c>
      <c r="K1755" s="8" t="str" cm="1">
        <f t="array" ref="K1755">_xlfn.LET(
    _xlpm.sum_month, SUM(T1755:AE1755),
    IF(_xlpm.sum_month = 0, "", _xlpm.sum_month &amp; " presença de representantes no ano")
)</f>
        <v/>
      </c>
      <c r="L1755" s="9" t="s">
        <v>155</v>
      </c>
      <c r="M1755" s="24">
        <v>1</v>
      </c>
      <c r="N1755" s="67" t="s">
        <v>51</v>
      </c>
      <c r="O1755" s="111" t="s">
        <v>43</v>
      </c>
      <c r="P1755" s="10" t="s">
        <v>44</v>
      </c>
      <c r="Q1755" s="10" t="s">
        <v>72</v>
      </c>
      <c r="R1755" s="11" t="s">
        <v>44</v>
      </c>
      <c r="S1755" s="11" t="s">
        <v>44</v>
      </c>
      <c r="T1755" s="22"/>
      <c r="U1755" s="22"/>
      <c r="V1755" s="22"/>
      <c r="W1755" s="22"/>
      <c r="X1755" s="22"/>
      <c r="Y1755" s="22"/>
      <c r="Z1755" s="22"/>
      <c r="AA1755" s="22"/>
      <c r="AB1755" s="22"/>
      <c r="AC1755" s="22"/>
      <c r="AD1755" s="22"/>
      <c r="AE1755" s="22"/>
      <c r="AG1755" s="146">
        <v>15</v>
      </c>
      <c r="AH1755" s="150">
        <v>14</v>
      </c>
      <c r="AI1755" s="150">
        <v>15</v>
      </c>
      <c r="AJ1755" s="82">
        <v>12</v>
      </c>
      <c r="AK1755" s="71"/>
      <c r="AL1755" s="71"/>
      <c r="AM1755" s="71"/>
      <c r="AN1755" s="71"/>
      <c r="AO1755" s="71"/>
      <c r="AP1755" s="71"/>
      <c r="AQ1755" s="71"/>
      <c r="AR1755" s="71"/>
      <c r="AS1755" s="94">
        <f t="shared" ca="1" si="2039"/>
        <v>0</v>
      </c>
      <c r="AT1755" s="95">
        <f t="shared" si="2040"/>
        <v>56</v>
      </c>
      <c r="AU1755" s="97">
        <f t="shared" si="2041"/>
        <v>56</v>
      </c>
      <c r="AW1755" s="83">
        <f t="shared" si="2042"/>
        <v>15</v>
      </c>
      <c r="AX1755" s="83">
        <f t="shared" si="2043"/>
        <v>14</v>
      </c>
      <c r="AY1755" s="83">
        <f t="shared" si="2044"/>
        <v>15</v>
      </c>
      <c r="AZ1755" s="83">
        <f t="shared" si="2045"/>
        <v>12</v>
      </c>
      <c r="BA1755" s="52"/>
      <c r="BB1755" s="52"/>
      <c r="BC1755" s="52"/>
      <c r="BD1755" s="52"/>
      <c r="BE1755" s="52"/>
      <c r="BF1755" s="52"/>
      <c r="BG1755" s="52"/>
      <c r="BH1755" s="52"/>
      <c r="BI1755" s="68" cm="1">
        <f t="array" ref="BI1755">IFERROR(INDEX(AW1755:BH1755,1,MATCH(2,1/(AW1755:BH1755&lt;&gt;""))),"")</f>
        <v>12</v>
      </c>
      <c r="BJ1755" s="68" cm="1">
        <f t="array" ref="BJ1755">IF(BM1755 = "", "",IFERROR(INDEX(AW1755:BH1755,1,MATCH(2,1/(AW1755:BH1755&lt;&gt;""),1)-1),""))</f>
        <v>15</v>
      </c>
      <c r="BK1755" s="59">
        <f>IF((IF(AW1755&gt;=150%,150%,AW1755) + IF(AX1755&gt;=150%,150%,AX1755) + IF(AY1755&gt;=150%,150%,AY1755) + (IF(AW1755&gt;=150%,150%,AW1755) + IF(BA1755&gt;=150%,150%,BA1755) + IF(BB1755&gt;=150%,150%,BB1755) + IF(BC1755&gt;=150%,150%,BC1755) + IF(BD1755&gt;=150%,150%,BD1755) + IF(BE1755&gt;=150%,150%,BE1755) + IF(BF1755&gt;=150%,150%,BF1755) + IF(BG1755&gt;=150%,150%,BG1755) + IF(BH1755&gt;=150%,150%,BH1755)))/_xlfn.XLOOKUP(F1755,Apuração!A:A,Apuração!B:B)&gt;=1.15,1.15,((IF(AW1755&gt;=150%,150%,AW1755) + IF(AX1755&gt;=150%,150%,AX1755) + IF(AY1755&gt;=150%,150%,AY1755) + (IF(AW1755&gt;=150%,150%,AW1755) + IF(BA1755&gt;=150%,150%,BA1755) + IF(BB1755&gt;=150%,150%,BB1755) + IF(BC1755&gt;=150%,150%,BC1755) + IF(BD1755&gt;=150%,150%,BD1755) + IF(BE1755&gt;=150%,150%,BE1755) + IF(BF1755&gt;=150%,150%,BF1755) + IF(BG1755&gt;=150%,150%,BG1755) + IF(BH1755&gt;=150%,150%,BH1755)))/_xlfn.XLOOKUP(F1755,Apuração!A:A,Apuração!B:B)))</f>
        <v>0.5</v>
      </c>
      <c r="BL1755" s="59" cm="1">
        <f t="array" aca="1" ref="BL1755" ca="1">IF(SUM(IFERROR(IF(INDEX(AW1755:INDEX(AW1755:BH1755, MATCH(2, 1/(AW1755:BH1755&lt;&gt;""), 1)-1), ROW(INDIRECT("1:" &amp; MATCH(2, 1/(AW1755:BH1755&lt;&gt;""), 1)-1))) &gt;= 150%, 150%, INDEX(AW1755:INDEX(AW1755:BH1755, MATCH(2, 1/(AW1755:BH1755&lt;&gt;""), 1)-1), ROW(INDIRECT("1:" &amp; MATCH(2, 1/(AW1755:BH1755&lt;&gt;""), 1)-1)))), 0))/_xlfn.XLOOKUP(F1755,Apuração!A:A,Apuração!B:B)&gt;=1.15,1.15,SUM(IFERROR(IF(INDEX(AW1755:INDEX(AW1755:BH1755, MATCH(2, 1/(AW1755:BH1755&lt;&gt;""), 1)-1), ROW(INDIRECT("1:" &amp; MATCH(2, 1/(AW1755:BH1755&lt;&gt;""), 1)-1))) &gt;= 150%, 150%, INDEX(AW1755:INDEX(AW1755:BH1755, MATCH(2, 1/(AW1755:BH1755&lt;&gt;""), 1)-1), ROW(INDIRECT("1:" &amp; MATCH(2, 1/(AW1755:BH1755&lt;&gt;""), 1)-1)))), 0))/_xlfn.XLOOKUP(F1755,Apuração!A:A,Apuração!B:B))</f>
        <v>0.375</v>
      </c>
      <c r="BM1755" s="55" cm="1">
        <f t="array" ref="BM1755">IFERROR(
   INDEX($AW$1:$BH$1,
      _xlfn.AGGREGATE(14, 6, COLUMN($AW$1:$BH$1)/(AW1755:BH1755&lt;&gt;""), 2) - COLUMN($AW$1) + 1
   ),
"")</f>
        <v>46082</v>
      </c>
      <c r="BN1755" s="55" cm="1">
        <f t="array" ref="BN1755">IFERROR(INDEX($AW$1:$BH$1,1,MATCH(2,1/(AW1755:BH1755&lt;&gt;""))),"")</f>
        <v>46113</v>
      </c>
      <c r="BO1755" s="53">
        <f ca="1">IFERROR(_xlfn.XLOOKUP(F1755,Apuração!A:A,Apuração!C:C)/_xlfn.XLOOKUP(F1755,Apuração!A:A,Apuração!B:B),0)</f>
        <v>0.41666666666666669</v>
      </c>
      <c r="BP1755" s="53">
        <f ca="1">IFERROR(_xlfn.XLOOKUP(F1755,Apuração!A:A,Apuração!D:D)/_xlfn.XLOOKUP(F1755,Apuração!A:A,Apuração!B:B),0)</f>
        <v>0.33333333333333331</v>
      </c>
      <c r="BQ1755" s="53">
        <f ca="1">IF(BK1755&gt;=BO1755,0,_xlfn.XLOOKUP(F1755,Apuração!A:A,Apuração!B:B)*(BO1755 + (1/_xlfn.XLOOKUP(F1755,Apuração!A:A,Apuração!B:B)) - BK1755))</f>
        <v>0</v>
      </c>
      <c r="BR1755" s="85">
        <f t="shared" ca="1" si="2046"/>
        <v>0</v>
      </c>
      <c r="BS1755" s="53">
        <f ca="1">IFERROR((_xlfn.XLOOKUP(F1755,Apuração!A:A,Apuração!C:C)+1)/_xlfn.XLOOKUP(F1755,Apuração!A:A,Apuração!B:B),0)</f>
        <v>0.5</v>
      </c>
    </row>
    <row r="1756" spans="1:71" ht="25.95" hidden="1" customHeight="1" x14ac:dyDescent="0.3">
      <c r="A1756" s="23" t="s">
        <v>134</v>
      </c>
      <c r="B1756" s="4" t="s">
        <v>150</v>
      </c>
      <c r="C1756" s="5" t="s">
        <v>214</v>
      </c>
      <c r="D1756" s="5" t="s">
        <v>48</v>
      </c>
      <c r="E1756" s="4" t="str" cm="1">
        <f t="array" ref="E1756">_xlfn.IFS(
F1756 = "A partir de Abril", "Aguardando Execução na Distribuidora",
A1756 = "CAPACITAÇÃO", "Em execução no Corporativo",
TRUE, "Em Execução na Distribuidora"
)</f>
        <v>Em Execução na Distribuidora</v>
      </c>
      <c r="F1756" s="4" t="str" cm="1">
        <f t="array" ref="F1756">_xlfn.IFS(
AG1756 &lt;&gt; "", "Jan-Dez/26",
AH1756 &lt;&gt; "", "Fev-Dez/26",
AI1756 &lt;&gt; "", "Mar-Dez/26", AJ1756 &lt;&gt; "", "Abr-Dez/26",
TRUE, "A partir de Junho"
)</f>
        <v>Jan-Dez/26</v>
      </c>
      <c r="G1756" s="4" t="s">
        <v>37</v>
      </c>
      <c r="H1756" s="7" t="s">
        <v>110</v>
      </c>
      <c r="I1756" s="8" t="s">
        <v>154</v>
      </c>
      <c r="J1756" s="8" t="str" cm="1">
        <f t="array" aca="1" ref="J1756" ca="1">_xlfn.LET(
  _xlpm.actual_value_month, INDEX(T1756:AE1756, MATCH(DATE(YEAR(TODAY()), MONTH(TODAY()), 1), $T$1:$AE$1, 0)),
  IF(_xlpm.actual_value_month &lt;&gt; "",_xlpm.actual_value_month &amp; " ações mensais", "")
)</f>
        <v/>
      </c>
      <c r="K1756" s="8" t="str" cm="1">
        <f t="array" ref="K1756">_xlfn.LET(
    _xlpm.sum_month, SUM(T1756:AE1756),
    IF(_xlpm.sum_month = 0, "", _xlpm.sum_month &amp; " presença de representantes no ano")
)</f>
        <v/>
      </c>
      <c r="L1756" s="9" t="s">
        <v>155</v>
      </c>
      <c r="M1756" s="24">
        <v>1</v>
      </c>
      <c r="N1756" s="67" t="s">
        <v>51</v>
      </c>
      <c r="O1756" s="111" t="s">
        <v>43</v>
      </c>
      <c r="P1756" s="10" t="s">
        <v>44</v>
      </c>
      <c r="Q1756" s="10" t="s">
        <v>72</v>
      </c>
      <c r="R1756" s="11" t="s">
        <v>44</v>
      </c>
      <c r="S1756" s="11" t="s">
        <v>44</v>
      </c>
      <c r="T1756" s="22"/>
      <c r="U1756" s="22"/>
      <c r="V1756" s="22"/>
      <c r="W1756" s="22"/>
      <c r="X1756" s="22"/>
      <c r="Y1756" s="22"/>
      <c r="Z1756" s="22"/>
      <c r="AA1756" s="22"/>
      <c r="AB1756" s="22"/>
      <c r="AC1756" s="22"/>
      <c r="AD1756" s="22"/>
      <c r="AE1756" s="22"/>
      <c r="AG1756" s="146">
        <v>8</v>
      </c>
      <c r="AH1756" s="150">
        <v>9</v>
      </c>
      <c r="AI1756" s="150">
        <v>10</v>
      </c>
      <c r="AJ1756" s="82">
        <v>6</v>
      </c>
      <c r="AK1756" s="71"/>
      <c r="AL1756" s="71"/>
      <c r="AM1756" s="71"/>
      <c r="AN1756" s="71"/>
      <c r="AO1756" s="71"/>
      <c r="AP1756" s="71"/>
      <c r="AQ1756" s="71"/>
      <c r="AR1756" s="71"/>
      <c r="AS1756" s="94">
        <f t="shared" ca="1" si="2039"/>
        <v>0</v>
      </c>
      <c r="AT1756" s="95">
        <f t="shared" si="2040"/>
        <v>33</v>
      </c>
      <c r="AU1756" s="97">
        <f t="shared" si="2041"/>
        <v>33</v>
      </c>
      <c r="AW1756" s="83">
        <f t="shared" si="2042"/>
        <v>8</v>
      </c>
      <c r="AX1756" s="83">
        <f t="shared" si="2043"/>
        <v>9</v>
      </c>
      <c r="AY1756" s="83">
        <f t="shared" si="2044"/>
        <v>10</v>
      </c>
      <c r="AZ1756" s="83">
        <f t="shared" si="2045"/>
        <v>6</v>
      </c>
      <c r="BA1756" s="52"/>
      <c r="BB1756" s="52"/>
      <c r="BC1756" s="52"/>
      <c r="BD1756" s="52"/>
      <c r="BE1756" s="52"/>
      <c r="BF1756" s="52"/>
      <c r="BG1756" s="52"/>
      <c r="BH1756" s="52"/>
      <c r="BI1756" s="68" cm="1">
        <f t="array" ref="BI1756">IFERROR(INDEX(AW1756:BH1756,1,MATCH(2,1/(AW1756:BH1756&lt;&gt;""))),"")</f>
        <v>6</v>
      </c>
      <c r="BJ1756" s="68" cm="1">
        <f t="array" ref="BJ1756">IF(BM1756 = "", "",IFERROR(INDEX(AW1756:BH1756,1,MATCH(2,1/(AW1756:BH1756&lt;&gt;""),1)-1),""))</f>
        <v>10</v>
      </c>
      <c r="BK1756" s="59">
        <f>IF((IF(AW1756&gt;=150%,150%,AW1756) + IF(AX1756&gt;=150%,150%,AX1756) + IF(AY1756&gt;=150%,150%,AY1756) + (IF(AW1756&gt;=150%,150%,AW1756) + IF(BA1756&gt;=150%,150%,BA1756) + IF(BB1756&gt;=150%,150%,BB1756) + IF(BC1756&gt;=150%,150%,BC1756) + IF(BD1756&gt;=150%,150%,BD1756) + IF(BE1756&gt;=150%,150%,BE1756) + IF(BF1756&gt;=150%,150%,BF1756) + IF(BG1756&gt;=150%,150%,BG1756) + IF(BH1756&gt;=150%,150%,BH1756)))/_xlfn.XLOOKUP(F1756,Apuração!A:A,Apuração!B:B)&gt;=1.15,1.15,((IF(AW1756&gt;=150%,150%,AW1756) + IF(AX1756&gt;=150%,150%,AX1756) + IF(AY1756&gt;=150%,150%,AY1756) + (IF(AW1756&gt;=150%,150%,AW1756) + IF(BA1756&gt;=150%,150%,BA1756) + IF(BB1756&gt;=150%,150%,BB1756) + IF(BC1756&gt;=150%,150%,BC1756) + IF(BD1756&gt;=150%,150%,BD1756) + IF(BE1756&gt;=150%,150%,BE1756) + IF(BF1756&gt;=150%,150%,BF1756) + IF(BG1756&gt;=150%,150%,BG1756) + IF(BH1756&gt;=150%,150%,BH1756)))/_xlfn.XLOOKUP(F1756,Apuração!A:A,Apuração!B:B)))</f>
        <v>0.5</v>
      </c>
      <c r="BL1756" s="59" cm="1">
        <f t="array" aca="1" ref="BL1756" ca="1">IF(SUM(IFERROR(IF(INDEX(AW1756:INDEX(AW1756:BH1756, MATCH(2, 1/(AW1756:BH1756&lt;&gt;""), 1)-1), ROW(INDIRECT("1:" &amp; MATCH(2, 1/(AW1756:BH1756&lt;&gt;""), 1)-1))) &gt;= 150%, 150%, INDEX(AW1756:INDEX(AW1756:BH1756, MATCH(2, 1/(AW1756:BH1756&lt;&gt;""), 1)-1), ROW(INDIRECT("1:" &amp; MATCH(2, 1/(AW1756:BH1756&lt;&gt;""), 1)-1)))), 0))/_xlfn.XLOOKUP(F1756,Apuração!A:A,Apuração!B:B)&gt;=1.15,1.15,SUM(IFERROR(IF(INDEX(AW1756:INDEX(AW1756:BH1756, MATCH(2, 1/(AW1756:BH1756&lt;&gt;""), 1)-1), ROW(INDIRECT("1:" &amp; MATCH(2, 1/(AW1756:BH1756&lt;&gt;""), 1)-1))) &gt;= 150%, 150%, INDEX(AW1756:INDEX(AW1756:BH1756, MATCH(2, 1/(AW1756:BH1756&lt;&gt;""), 1)-1), ROW(INDIRECT("1:" &amp; MATCH(2, 1/(AW1756:BH1756&lt;&gt;""), 1)-1)))), 0))/_xlfn.XLOOKUP(F1756,Apuração!A:A,Apuração!B:B))</f>
        <v>0.375</v>
      </c>
      <c r="BM1756" s="55" cm="1">
        <f t="array" ref="BM1756">IFERROR(
   INDEX($AW$1:$BH$1,
      _xlfn.AGGREGATE(14, 6, COLUMN($AW$1:$BH$1)/(AW1756:BH1756&lt;&gt;""), 2) - COLUMN($AW$1) + 1
   ),
"")</f>
        <v>46082</v>
      </c>
      <c r="BN1756" s="55" cm="1">
        <f t="array" ref="BN1756">IFERROR(INDEX($AW$1:$BH$1,1,MATCH(2,1/(AW1756:BH1756&lt;&gt;""))),"")</f>
        <v>46113</v>
      </c>
      <c r="BO1756" s="53">
        <f ca="1">IFERROR(_xlfn.XLOOKUP(F1756,Apuração!A:A,Apuração!C:C)/_xlfn.XLOOKUP(F1756,Apuração!A:A,Apuração!B:B),0)</f>
        <v>0.41666666666666669</v>
      </c>
      <c r="BP1756" s="53">
        <f ca="1">IFERROR(_xlfn.XLOOKUP(F1756,Apuração!A:A,Apuração!D:D)/_xlfn.XLOOKUP(F1756,Apuração!A:A,Apuração!B:B),0)</f>
        <v>0.33333333333333331</v>
      </c>
      <c r="BQ1756" s="53">
        <f ca="1">IF(BK1756&gt;=BO1756,0,_xlfn.XLOOKUP(F1756,Apuração!A:A,Apuração!B:B)*(BO1756 + (1/_xlfn.XLOOKUP(F1756,Apuração!A:A,Apuração!B:B)) - BK1756))</f>
        <v>0</v>
      </c>
      <c r="BR1756" s="85">
        <f t="shared" ca="1" si="2046"/>
        <v>0</v>
      </c>
      <c r="BS1756" s="53">
        <f ca="1">IFERROR((_xlfn.XLOOKUP(F1756,Apuração!A:A,Apuração!C:C)+1)/_xlfn.XLOOKUP(F1756,Apuração!A:A,Apuração!B:B),0)</f>
        <v>0.5</v>
      </c>
    </row>
    <row r="1757" spans="1:71" ht="25.95" hidden="1" customHeight="1" x14ac:dyDescent="0.3">
      <c r="A1757" s="23" t="s">
        <v>134</v>
      </c>
      <c r="B1757" s="4" t="s">
        <v>150</v>
      </c>
      <c r="C1757" s="5" t="s">
        <v>214</v>
      </c>
      <c r="D1757" s="5" t="s">
        <v>213</v>
      </c>
      <c r="E1757" s="4" t="str" cm="1">
        <f t="array" ref="E1757">_xlfn.IFS(
F1757 = "A partir de Abril", "Aguardando Execução na Distribuidora",
A1757 = "CAPACITAÇÃO", "Em execução no Corporativo",
TRUE, "Em Execução na Distribuidora"
)</f>
        <v>Em Execução na Distribuidora</v>
      </c>
      <c r="F1757" s="4" t="str" cm="1">
        <f t="array" ref="F1757">_xlfn.IFS(
AG1757 &lt;&gt; "", "Jan-Dez/26",
AH1757 &lt;&gt; "", "Fev-Dez/26",
AI1757 &lt;&gt; "", "Mar-Dez/26", AJ1757 &lt;&gt; "", "Abr-Dez/26",
TRUE, "A partir de Junho"
)</f>
        <v>Jan-Dez/26</v>
      </c>
      <c r="G1757" s="4" t="s">
        <v>37</v>
      </c>
      <c r="H1757" s="7" t="s">
        <v>110</v>
      </c>
      <c r="I1757" s="8" t="s">
        <v>154</v>
      </c>
      <c r="J1757" s="8" t="str" cm="1">
        <f t="array" aca="1" ref="J1757" ca="1">_xlfn.LET(
  _xlpm.actual_value_month, INDEX(T1757:AE1757, MATCH(DATE(YEAR(TODAY()), MONTH(TODAY()), 1), $T$1:$AE$1, 0)),
  IF(_xlpm.actual_value_month &lt;&gt; "",_xlpm.actual_value_month &amp; " ações mensais", "")
)</f>
        <v/>
      </c>
      <c r="K1757" s="8" t="str" cm="1">
        <f t="array" ref="K1757">_xlfn.LET(
    _xlpm.sum_month, SUM(T1757:AE1757),
    IF(_xlpm.sum_month = 0, "", _xlpm.sum_month &amp; " presença de representantes no ano")
)</f>
        <v/>
      </c>
      <c r="L1757" s="9" t="s">
        <v>155</v>
      </c>
      <c r="M1757" s="24">
        <v>1</v>
      </c>
      <c r="N1757" s="67" t="s">
        <v>51</v>
      </c>
      <c r="O1757" s="111" t="s">
        <v>43</v>
      </c>
      <c r="P1757" s="10" t="s">
        <v>44</v>
      </c>
      <c r="Q1757" s="10" t="s">
        <v>72</v>
      </c>
      <c r="R1757" s="11" t="s">
        <v>44</v>
      </c>
      <c r="S1757" s="11" t="s">
        <v>44</v>
      </c>
      <c r="T1757" s="22"/>
      <c r="U1757" s="22"/>
      <c r="V1757" s="22"/>
      <c r="W1757" s="22"/>
      <c r="X1757" s="22"/>
      <c r="Y1757" s="22"/>
      <c r="Z1757" s="22"/>
      <c r="AA1757" s="22"/>
      <c r="AB1757" s="22"/>
      <c r="AC1757" s="22"/>
      <c r="AD1757" s="22"/>
      <c r="AE1757" s="22"/>
      <c r="AG1757" s="146">
        <v>12</v>
      </c>
      <c r="AH1757" s="150">
        <v>13</v>
      </c>
      <c r="AI1757" s="150">
        <v>12</v>
      </c>
      <c r="AJ1757" s="82">
        <v>10</v>
      </c>
      <c r="AK1757" s="71"/>
      <c r="AL1757" s="71"/>
      <c r="AM1757" s="71"/>
      <c r="AN1757" s="71"/>
      <c r="AO1757" s="71"/>
      <c r="AP1757" s="71"/>
      <c r="AQ1757" s="71"/>
      <c r="AR1757" s="71"/>
      <c r="AS1757" s="94">
        <f t="shared" ca="1" si="2039"/>
        <v>0</v>
      </c>
      <c r="AT1757" s="95">
        <f t="shared" si="2040"/>
        <v>47</v>
      </c>
      <c r="AU1757" s="97">
        <f t="shared" si="2041"/>
        <v>47</v>
      </c>
      <c r="AW1757" s="83">
        <f t="shared" si="2042"/>
        <v>12</v>
      </c>
      <c r="AX1757" s="83">
        <f t="shared" si="2043"/>
        <v>13</v>
      </c>
      <c r="AY1757" s="83">
        <f t="shared" si="2044"/>
        <v>12</v>
      </c>
      <c r="AZ1757" s="83">
        <f t="shared" si="2045"/>
        <v>10</v>
      </c>
      <c r="BA1757" s="52"/>
      <c r="BB1757" s="52"/>
      <c r="BC1757" s="52"/>
      <c r="BD1757" s="52"/>
      <c r="BE1757" s="52"/>
      <c r="BF1757" s="52"/>
      <c r="BG1757" s="52"/>
      <c r="BH1757" s="52"/>
      <c r="BI1757" s="68" cm="1">
        <f t="array" ref="BI1757">IFERROR(INDEX(AW1757:BH1757,1,MATCH(2,1/(AW1757:BH1757&lt;&gt;""))),"")</f>
        <v>10</v>
      </c>
      <c r="BJ1757" s="68" cm="1">
        <f t="array" ref="BJ1757">IF(BM1757 = "", "",IFERROR(INDEX(AW1757:BH1757,1,MATCH(2,1/(AW1757:BH1757&lt;&gt;""),1)-1),""))</f>
        <v>12</v>
      </c>
      <c r="BK1757" s="59">
        <f>IF((IF(AW1757&gt;=150%,150%,AW1757) + IF(AX1757&gt;=150%,150%,AX1757) + IF(AY1757&gt;=150%,150%,AY1757) + (IF(AW1757&gt;=150%,150%,AW1757) + IF(BA1757&gt;=150%,150%,BA1757) + IF(BB1757&gt;=150%,150%,BB1757) + IF(BC1757&gt;=150%,150%,BC1757) + IF(BD1757&gt;=150%,150%,BD1757) + IF(BE1757&gt;=150%,150%,BE1757) + IF(BF1757&gt;=150%,150%,BF1757) + IF(BG1757&gt;=150%,150%,BG1757) + IF(BH1757&gt;=150%,150%,BH1757)))/_xlfn.XLOOKUP(F1757,Apuração!A:A,Apuração!B:B)&gt;=1.15,1.15,((IF(AW1757&gt;=150%,150%,AW1757) + IF(AX1757&gt;=150%,150%,AX1757) + IF(AY1757&gt;=150%,150%,AY1757) + (IF(AW1757&gt;=150%,150%,AW1757) + IF(BA1757&gt;=150%,150%,BA1757) + IF(BB1757&gt;=150%,150%,BB1757) + IF(BC1757&gt;=150%,150%,BC1757) + IF(BD1757&gt;=150%,150%,BD1757) + IF(BE1757&gt;=150%,150%,BE1757) + IF(BF1757&gt;=150%,150%,BF1757) + IF(BG1757&gt;=150%,150%,BG1757) + IF(BH1757&gt;=150%,150%,BH1757)))/_xlfn.XLOOKUP(F1757,Apuração!A:A,Apuração!B:B)))</f>
        <v>0.5</v>
      </c>
      <c r="BL1757" s="59" cm="1">
        <f t="array" aca="1" ref="BL1757" ca="1">IF(SUM(IFERROR(IF(INDEX(AW1757:INDEX(AW1757:BH1757, MATCH(2, 1/(AW1757:BH1757&lt;&gt;""), 1)-1), ROW(INDIRECT("1:" &amp; MATCH(2, 1/(AW1757:BH1757&lt;&gt;""), 1)-1))) &gt;= 150%, 150%, INDEX(AW1757:INDEX(AW1757:BH1757, MATCH(2, 1/(AW1757:BH1757&lt;&gt;""), 1)-1), ROW(INDIRECT("1:" &amp; MATCH(2, 1/(AW1757:BH1757&lt;&gt;""), 1)-1)))), 0))/_xlfn.XLOOKUP(F1757,Apuração!A:A,Apuração!B:B)&gt;=1.15,1.15,SUM(IFERROR(IF(INDEX(AW1757:INDEX(AW1757:BH1757, MATCH(2, 1/(AW1757:BH1757&lt;&gt;""), 1)-1), ROW(INDIRECT("1:" &amp; MATCH(2, 1/(AW1757:BH1757&lt;&gt;""), 1)-1))) &gt;= 150%, 150%, INDEX(AW1757:INDEX(AW1757:BH1757, MATCH(2, 1/(AW1757:BH1757&lt;&gt;""), 1)-1), ROW(INDIRECT("1:" &amp; MATCH(2, 1/(AW1757:BH1757&lt;&gt;""), 1)-1)))), 0))/_xlfn.XLOOKUP(F1757,Apuração!A:A,Apuração!B:B))</f>
        <v>0.375</v>
      </c>
      <c r="BM1757" s="55" cm="1">
        <f t="array" ref="BM1757">IFERROR(
   INDEX($AW$1:$BH$1,
      _xlfn.AGGREGATE(14, 6, COLUMN($AW$1:$BH$1)/(AW1757:BH1757&lt;&gt;""), 2) - COLUMN($AW$1) + 1
   ),
"")</f>
        <v>46082</v>
      </c>
      <c r="BN1757" s="55" cm="1">
        <f t="array" ref="BN1757">IFERROR(INDEX($AW$1:$BH$1,1,MATCH(2,1/(AW1757:BH1757&lt;&gt;""))),"")</f>
        <v>46113</v>
      </c>
      <c r="BO1757" s="53">
        <f ca="1">IFERROR(_xlfn.XLOOKUP(F1757,Apuração!A:A,Apuração!C:C)/_xlfn.XLOOKUP(F1757,Apuração!A:A,Apuração!B:B),0)</f>
        <v>0.41666666666666669</v>
      </c>
      <c r="BP1757" s="53">
        <f ca="1">IFERROR(_xlfn.XLOOKUP(F1757,Apuração!A:A,Apuração!D:D)/_xlfn.XLOOKUP(F1757,Apuração!A:A,Apuração!B:B),0)</f>
        <v>0.33333333333333331</v>
      </c>
      <c r="BQ1757" s="53">
        <f ca="1">IF(BK1757&gt;=BO1757,0,_xlfn.XLOOKUP(F1757,Apuração!A:A,Apuração!B:B)*(BO1757 + (1/_xlfn.XLOOKUP(F1757,Apuração!A:A,Apuração!B:B)) - BK1757))</f>
        <v>0</v>
      </c>
      <c r="BR1757" s="85">
        <f t="shared" ca="1" si="2046"/>
        <v>0</v>
      </c>
      <c r="BS1757" s="53">
        <f ca="1">IFERROR((_xlfn.XLOOKUP(F1757,Apuração!A:A,Apuração!C:C)+1)/_xlfn.XLOOKUP(F1757,Apuração!A:A,Apuração!B:B),0)</f>
        <v>0.5</v>
      </c>
    </row>
    <row r="1758" spans="1:71" ht="25.95" hidden="1" customHeight="1" x14ac:dyDescent="0.3">
      <c r="A1758" s="43" t="s">
        <v>134</v>
      </c>
      <c r="B1758" s="15" t="s">
        <v>150</v>
      </c>
      <c r="C1758" s="5" t="s">
        <v>214</v>
      </c>
      <c r="D1758" s="5" t="s">
        <v>36</v>
      </c>
      <c r="E1758" s="4" t="str" cm="1">
        <f t="array" ref="E1758">_xlfn.IFS(
F1758 = "A partir de Abril", "Aguardando Execução na Distribuidora",
A1758 = "CAPACITAÇÃO", "Em execução no Corporativo",
TRUE, "Em Execução na Distribuidora"
)</f>
        <v>Em Execução na Distribuidora</v>
      </c>
      <c r="F1758" s="4" t="str" cm="1">
        <f t="array" ref="F1758">_xlfn.IFS(
AG1758 &lt;&gt; "", "Jan-Dez/26",
AH1758 &lt;&gt; "", "Fev-Dez/26",
AI1758 &lt;&gt; "", "Mar-Dez/26", AJ1758 &lt;&gt; "", "Abr-Dez/26",
TRUE, "A partir de Junho"
)</f>
        <v>Jan-Dez/26</v>
      </c>
      <c r="G1758" s="15" t="s">
        <v>37</v>
      </c>
      <c r="H1758" s="7" t="s">
        <v>110</v>
      </c>
      <c r="I1758" s="28" t="s">
        <v>156</v>
      </c>
      <c r="J1758" s="8" t="str" cm="1">
        <f t="array" aca="1" ref="J1758" ca="1">_xlfn.LET(
  _xlpm.actual_value_month, INDEX(T1758:AE1758, MATCH(DATE(YEAR(TODAY()), MONTH(TODAY()), 1), $T$1:$AE$1, 0)),
  IF(_xlpm.actual_value_month &lt;&gt; "",_xlpm.actual_value_month &amp; " ações mensais", "")
)</f>
        <v/>
      </c>
      <c r="K1758" s="8" t="str" cm="1">
        <f t="array" ref="K1758">_xlfn.LET(
    _xlpm.sum_month, SUM(T1758:AE1758),
    IF(_xlpm.sum_month = 0, "", _xlpm.sum_month &amp; " atividades no ano")
)</f>
        <v/>
      </c>
      <c r="L1758" s="15" t="s">
        <v>157</v>
      </c>
      <c r="M1758" s="30">
        <v>1</v>
      </c>
      <c r="N1758" s="67" t="s">
        <v>51</v>
      </c>
      <c r="O1758" s="26" t="s">
        <v>52</v>
      </c>
      <c r="P1758" s="31" t="s">
        <v>44</v>
      </c>
      <c r="Q1758" s="31" t="s">
        <v>44</v>
      </c>
      <c r="R1758" s="32" t="s">
        <v>44</v>
      </c>
      <c r="S1758" s="32" t="s">
        <v>44</v>
      </c>
      <c r="T1758" s="22"/>
      <c r="U1758" s="22"/>
      <c r="V1758" s="22"/>
      <c r="W1758" s="22"/>
      <c r="X1758" s="22"/>
      <c r="Y1758" s="22"/>
      <c r="Z1758" s="22"/>
      <c r="AA1758" s="22"/>
      <c r="AB1758" s="22"/>
      <c r="AC1758" s="22"/>
      <c r="AD1758" s="22"/>
      <c r="AE1758" s="22"/>
      <c r="AG1758" s="71">
        <v>195</v>
      </c>
      <c r="AH1758" s="71">
        <v>225</v>
      </c>
      <c r="AI1758" s="71">
        <v>193</v>
      </c>
      <c r="AJ1758" s="71">
        <v>176</v>
      </c>
      <c r="AK1758" s="71"/>
      <c r="AL1758" s="71"/>
      <c r="AM1758" s="71"/>
      <c r="AN1758" s="71"/>
      <c r="AO1758" s="71"/>
      <c r="AP1758" s="71"/>
      <c r="AQ1758" s="71"/>
      <c r="AR1758" s="71"/>
      <c r="AS1758" s="94">
        <f ca="1">IF(MONTH(TODAY())=3,SUM(T1758:U1758),IF(MONTH(TODAY())=4,SUM(T1758:V1758),IF(MONTH(TODAY())=5,SUM(T1758:W1758),IF(MONTH(TODAY())=6,SUM(T1758:X1758),IF(MONTH(TODAY())=7,SUM(T1758:Y1758),IF(MONTH(TODAY())=8,SUM(T1758:Z1758),IF(MONTH(TODAY())=9,SUM(T1758:AA1758),IF(MONTH(TODAY())=10,SUM(T1758:AB1758),IF(MONTH(TODAY())=11,SUM(T1758:AC1758),IF(MONTH(TODAY())=12,SUM(T1758:AD1758),IF(MONTH(TODAY())=1,SUM(T1758:AE1758),T1758)))))))))))</f>
        <v>0</v>
      </c>
      <c r="AT1758" s="95">
        <f>SUM(AG1758:AR1758)</f>
        <v>789</v>
      </c>
      <c r="AU1758" s="97">
        <f>SUM(AG1758:AR1758)</f>
        <v>789</v>
      </c>
      <c r="AW1758" s="83">
        <f>AG1758</f>
        <v>195</v>
      </c>
      <c r="AX1758" s="83">
        <f>AH1758</f>
        <v>225</v>
      </c>
      <c r="AY1758" s="83">
        <f>AI1758</f>
        <v>193</v>
      </c>
      <c r="AZ1758" s="83">
        <f>AJ1758</f>
        <v>176</v>
      </c>
      <c r="BA1758" s="52"/>
      <c r="BB1758" s="52"/>
      <c r="BC1758" s="52"/>
      <c r="BD1758" s="52"/>
      <c r="BE1758" s="52"/>
      <c r="BF1758" s="52"/>
      <c r="BG1758" s="52"/>
      <c r="BH1758" s="52"/>
      <c r="BI1758" s="68" cm="1">
        <f t="array" ref="BI1758">IFERROR(INDEX(AW1758:BH1758,1,MATCH(2,1/(AW1758:BH1758&lt;&gt;""))),"")</f>
        <v>176</v>
      </c>
      <c r="BJ1758" s="68" cm="1">
        <f t="array" ref="BJ1758">IF(BM1758 = "", "",IFERROR(INDEX(AW1758:BH1758,1,MATCH(2,1/(AW1758:BH1758&lt;&gt;""),1)-1),""))</f>
        <v>193</v>
      </c>
      <c r="BK1758" s="59">
        <f>SUM(AW1758:BH1758)</f>
        <v>789</v>
      </c>
      <c r="BL1758" s="59" cm="1">
        <f t="array" ref="BL1758">IFERROR(SUM(AW1758:INDEX(AW1758:BH1758, MATCH(2, 1/(AW1758:BH1758&lt;&gt;""), 1) - 1))/_xlfn.XLOOKUP(F1758,Apuração!A:A,Apuração!B:B),0)</f>
        <v>51.083333333333336</v>
      </c>
      <c r="BM1758" s="55" cm="1">
        <f t="array" ref="BM1758">IFERROR(
   INDEX($AW$1:$BH$1,
      _xlfn.AGGREGATE(14, 6, COLUMN($AW$1:$BH$1)/(AW1758:BH1758&lt;&gt;""), 2) - COLUMN($AW$1) + 1
   ),
"")</f>
        <v>46082</v>
      </c>
      <c r="BN1758" s="55" cm="1">
        <f t="array" ref="BN1758">IFERROR(INDEX($AW$1:$BH$1,1,MATCH(2,1/(AW1758:BH1758&lt;&gt;""))),"")</f>
        <v>46113</v>
      </c>
      <c r="BO1758" s="53">
        <f ca="1">IFERROR(_xlfn.XLOOKUP(F1758,Apuração!A:A,Apuração!C:C)/_xlfn.XLOOKUP(F1758,Apuração!A:A,Apuração!B:B),0)</f>
        <v>0.41666666666666669</v>
      </c>
      <c r="BP1758" s="53">
        <f ca="1">IFERROR(_xlfn.XLOOKUP(F1758,Apuração!A:A,Apuração!D:D)/_xlfn.XLOOKUP(F1758,Apuração!A:A,Apuração!B:B),0)</f>
        <v>0.33333333333333331</v>
      </c>
      <c r="BQ1758" s="53">
        <f ca="1">IF(BK1758&gt;=BO1758,0,_xlfn.XLOOKUP(F1758,Apuração!A:A,Apuração!B:B)*(BO1758 + (1/_xlfn.XLOOKUP(F1758,Apuração!A:A,Apuração!B:B)) - BK1758))</f>
        <v>0</v>
      </c>
      <c r="BR1758" s="85">
        <f ca="1">IF(BQ1758=0,0,BQ1758*Z1758)</f>
        <v>0</v>
      </c>
      <c r="BS1758" s="53">
        <f ca="1">IFERROR((_xlfn.XLOOKUP(F1758,Apuração!A:A,Apuração!C:C)+1)/_xlfn.XLOOKUP(F1758,Apuração!A:A,Apuração!B:B),0)</f>
        <v>0.5</v>
      </c>
    </row>
    <row r="1759" spans="1:71" ht="25.95" hidden="1" customHeight="1" x14ac:dyDescent="0.3">
      <c r="A1759" s="43" t="s">
        <v>134</v>
      </c>
      <c r="B1759" s="15" t="s">
        <v>150</v>
      </c>
      <c r="C1759" s="5" t="s">
        <v>214</v>
      </c>
      <c r="D1759" s="5" t="s">
        <v>210</v>
      </c>
      <c r="E1759" s="4" t="str" cm="1">
        <f t="array" ref="E1759">_xlfn.IFS(
F1759 = "A partir de Abril", "Aguardando Execução na Distribuidora",
A1759 = "CAPACITAÇÃO", "Em execução no Corporativo",
TRUE, "Em Execução na Distribuidora"
)</f>
        <v>Em Execução na Distribuidora</v>
      </c>
      <c r="F1759" s="4" t="str" cm="1">
        <f t="array" ref="F1759">_xlfn.IFS(
AG1759 &lt;&gt; "", "Jan-Dez/26",
AH1759 &lt;&gt; "", "Fev-Dez/26",
AI1759 &lt;&gt; "", "Mar-Dez/26", AJ1759 &lt;&gt; "", "Abr-Dez/26",
TRUE, "A partir de Junho"
)</f>
        <v>Jan-Dez/26</v>
      </c>
      <c r="G1759" s="15" t="s">
        <v>37</v>
      </c>
      <c r="H1759" s="7" t="s">
        <v>110</v>
      </c>
      <c r="I1759" s="28" t="s">
        <v>156</v>
      </c>
      <c r="J1759" s="8" t="str" cm="1">
        <f t="array" aca="1" ref="J1759" ca="1">_xlfn.LET(
  _xlpm.actual_value_month, INDEX(T1759:AE1759, MATCH(DATE(YEAR(TODAY()), MONTH(TODAY()), 1), $T$1:$AE$1, 0)),
  IF(_xlpm.actual_value_month &lt;&gt; "",_xlpm.actual_value_month &amp; " ações mensais", "")
)</f>
        <v/>
      </c>
      <c r="K1759" s="8" t="str" cm="1">
        <f t="array" ref="K1759">_xlfn.LET(
    _xlpm.sum_month, SUM(T1759:AE1759),
    IF(_xlpm.sum_month = 0, "", _xlpm.sum_month &amp; " atividades no ano")
)</f>
        <v/>
      </c>
      <c r="L1759" s="15" t="s">
        <v>157</v>
      </c>
      <c r="M1759" s="30">
        <v>1</v>
      </c>
      <c r="N1759" s="67" t="s">
        <v>51</v>
      </c>
      <c r="O1759" s="26" t="s">
        <v>52</v>
      </c>
      <c r="P1759" s="31" t="s">
        <v>44</v>
      </c>
      <c r="Q1759" s="31" t="s">
        <v>44</v>
      </c>
      <c r="R1759" s="32" t="s">
        <v>44</v>
      </c>
      <c r="S1759" s="32" t="s">
        <v>44</v>
      </c>
      <c r="T1759" s="22"/>
      <c r="U1759" s="22"/>
      <c r="V1759" s="22"/>
      <c r="W1759" s="22"/>
      <c r="X1759" s="22"/>
      <c r="Y1759" s="22"/>
      <c r="Z1759" s="22"/>
      <c r="AA1759" s="22"/>
      <c r="AB1759" s="22"/>
      <c r="AC1759" s="22"/>
      <c r="AD1759" s="22"/>
      <c r="AE1759" s="22"/>
      <c r="AG1759" s="145">
        <v>22</v>
      </c>
      <c r="AH1759" s="149">
        <v>34</v>
      </c>
      <c r="AI1759" s="149">
        <v>23</v>
      </c>
      <c r="AJ1759" s="82">
        <v>24</v>
      </c>
      <c r="AK1759" s="71"/>
      <c r="AL1759" s="71"/>
      <c r="AM1759" s="71"/>
      <c r="AN1759" s="71"/>
      <c r="AO1759" s="71"/>
      <c r="AP1759" s="71"/>
      <c r="AQ1759" s="71"/>
      <c r="AR1759" s="71"/>
      <c r="AS1759" s="94">
        <f t="shared" ref="AS1759:AS1763" ca="1" si="2047">IF(MONTH(TODAY())=3,SUM(T1759:U1759),IF(MONTH(TODAY())=4,SUM(T1759:V1759),IF(MONTH(TODAY())=5,SUM(T1759:W1759),IF(MONTH(TODAY())=6,SUM(T1759:X1759),IF(MONTH(TODAY())=7,SUM(T1759:Y1759),IF(MONTH(TODAY())=8,SUM(T1759:Z1759),IF(MONTH(TODAY())=9,SUM(T1759:AA1759),IF(MONTH(TODAY())=10,SUM(T1759:AB1759),IF(MONTH(TODAY())=11,SUM(T1759:AC1759),IF(MONTH(TODAY())=12,SUM(T1759:AD1759),IF(MONTH(TODAY())=1,SUM(T1759:AE1759),T1759)))))))))))</f>
        <v>0</v>
      </c>
      <c r="AT1759" s="95">
        <f t="shared" ref="AT1759:AT1763" si="2048">SUM(AG1759:AR1759)</f>
        <v>103</v>
      </c>
      <c r="AU1759" s="97">
        <f t="shared" ref="AU1759:AU1763" si="2049">SUM(AG1759:AR1759)</f>
        <v>103</v>
      </c>
      <c r="AW1759" s="83">
        <f t="shared" ref="AW1759:AW1763" si="2050">AG1759</f>
        <v>22</v>
      </c>
      <c r="AX1759" s="83">
        <f t="shared" ref="AX1759:AX1763" si="2051">AH1759</f>
        <v>34</v>
      </c>
      <c r="AY1759" s="83">
        <f t="shared" ref="AY1759:AY1763" si="2052">AI1759</f>
        <v>23</v>
      </c>
      <c r="AZ1759" s="83">
        <f t="shared" ref="AZ1759:AZ1763" si="2053">AJ1759</f>
        <v>24</v>
      </c>
      <c r="BA1759" s="52"/>
      <c r="BB1759" s="52"/>
      <c r="BC1759" s="52"/>
      <c r="BD1759" s="52"/>
      <c r="BE1759" s="52"/>
      <c r="BF1759" s="52"/>
      <c r="BG1759" s="52"/>
      <c r="BH1759" s="52"/>
      <c r="BI1759" s="68" cm="1">
        <f t="array" ref="BI1759">IFERROR(INDEX(AW1759:BH1759,1,MATCH(2,1/(AW1759:BH1759&lt;&gt;""))),"")</f>
        <v>24</v>
      </c>
      <c r="BJ1759" s="68" cm="1">
        <f t="array" ref="BJ1759">IF(BM1759 = "", "",IFERROR(INDEX(AW1759:BH1759,1,MATCH(2,1/(AW1759:BH1759&lt;&gt;""),1)-1),""))</f>
        <v>23</v>
      </c>
      <c r="BK1759" s="59">
        <f t="shared" ref="BK1759:BK1763" si="2054">SUM(AW1759:BH1759)</f>
        <v>103</v>
      </c>
      <c r="BL1759" s="59" cm="1">
        <f t="array" ref="BL1759">IFERROR(SUM(AW1759:INDEX(AW1759:BH1759, MATCH(2, 1/(AW1759:BH1759&lt;&gt;""), 1) - 1))/_xlfn.XLOOKUP(F1759,Apuração!A:A,Apuração!B:B),0)</f>
        <v>6.583333333333333</v>
      </c>
      <c r="BM1759" s="55" cm="1">
        <f t="array" ref="BM1759">IFERROR(
   INDEX($AW$1:$BH$1,
      _xlfn.AGGREGATE(14, 6, COLUMN($AW$1:$BH$1)/(AW1759:BH1759&lt;&gt;""), 2) - COLUMN($AW$1) + 1
   ),
"")</f>
        <v>46082</v>
      </c>
      <c r="BN1759" s="55" cm="1">
        <f t="array" ref="BN1759">IFERROR(INDEX($AW$1:$BH$1,1,MATCH(2,1/(AW1759:BH1759&lt;&gt;""))),"")</f>
        <v>46113</v>
      </c>
      <c r="BO1759" s="53">
        <f ca="1">IFERROR(_xlfn.XLOOKUP(F1759,Apuração!A:A,Apuração!C:C)/_xlfn.XLOOKUP(F1759,Apuração!A:A,Apuração!B:B),0)</f>
        <v>0.41666666666666669</v>
      </c>
      <c r="BP1759" s="53">
        <f ca="1">IFERROR(_xlfn.XLOOKUP(F1759,Apuração!A:A,Apuração!D:D)/_xlfn.XLOOKUP(F1759,Apuração!A:A,Apuração!B:B),0)</f>
        <v>0.33333333333333331</v>
      </c>
      <c r="BQ1759" s="53">
        <f ca="1">IF(BK1759&gt;=BO1759,0,_xlfn.XLOOKUP(F1759,Apuração!A:A,Apuração!B:B)*(BO1759 + (1/_xlfn.XLOOKUP(F1759,Apuração!A:A,Apuração!B:B)) - BK1759))</f>
        <v>0</v>
      </c>
      <c r="BR1759" s="85">
        <f t="shared" ref="BR1759:BR1763" ca="1" si="2055">IF(BQ1759=0,0,BQ1759*Z1759)</f>
        <v>0</v>
      </c>
      <c r="BS1759" s="53">
        <f ca="1">IFERROR((_xlfn.XLOOKUP(F1759,Apuração!A:A,Apuração!C:C)+1)/_xlfn.XLOOKUP(F1759,Apuração!A:A,Apuração!B:B),0)</f>
        <v>0.5</v>
      </c>
    </row>
    <row r="1760" spans="1:71" ht="25.95" hidden="1" customHeight="1" x14ac:dyDescent="0.3">
      <c r="A1760" s="43" t="s">
        <v>134</v>
      </c>
      <c r="B1760" s="15" t="s">
        <v>150</v>
      </c>
      <c r="C1760" s="5" t="s">
        <v>214</v>
      </c>
      <c r="D1760" s="5" t="s">
        <v>215</v>
      </c>
      <c r="E1760" s="4" t="str" cm="1">
        <f t="array" ref="E1760">_xlfn.IFS(
F1760 = "A partir de Abril", "Aguardando Execução na Distribuidora",
A1760 = "CAPACITAÇÃO", "Em execução no Corporativo",
TRUE, "Em Execução na Distribuidora"
)</f>
        <v>Em Execução na Distribuidora</v>
      </c>
      <c r="F1760" s="4" t="str" cm="1">
        <f t="array" ref="F1760">_xlfn.IFS(
AG1760 &lt;&gt; "", "Jan-Dez/26",
AH1760 &lt;&gt; "", "Fev-Dez/26",
AI1760 &lt;&gt; "", "Mar-Dez/26", AJ1760 &lt;&gt; "", "Abr-Dez/26",
TRUE, "A partir de Junho"
)</f>
        <v>Jan-Dez/26</v>
      </c>
      <c r="G1760" s="15" t="s">
        <v>37</v>
      </c>
      <c r="H1760" s="7" t="s">
        <v>110</v>
      </c>
      <c r="I1760" s="28" t="s">
        <v>156</v>
      </c>
      <c r="J1760" s="8" t="str" cm="1">
        <f t="array" aca="1" ref="J1760" ca="1">_xlfn.LET(
  _xlpm.actual_value_month, INDEX(T1760:AE1760, MATCH(DATE(YEAR(TODAY()), MONTH(TODAY()), 1), $T$1:$AE$1, 0)),
  IF(_xlpm.actual_value_month &lt;&gt; "",_xlpm.actual_value_month &amp; " ações mensais", "")
)</f>
        <v/>
      </c>
      <c r="K1760" s="8" t="str" cm="1">
        <f t="array" ref="K1760">_xlfn.LET(
    _xlpm.sum_month, SUM(T1760:AE1760),
    IF(_xlpm.sum_month = 0, "", _xlpm.sum_month &amp; " atividades no ano")
)</f>
        <v/>
      </c>
      <c r="L1760" s="15" t="s">
        <v>157</v>
      </c>
      <c r="M1760" s="30">
        <v>1</v>
      </c>
      <c r="N1760" s="67" t="s">
        <v>51</v>
      </c>
      <c r="O1760" s="26" t="s">
        <v>52</v>
      </c>
      <c r="P1760" s="31" t="s">
        <v>44</v>
      </c>
      <c r="Q1760" s="31" t="s">
        <v>44</v>
      </c>
      <c r="R1760" s="32" t="s">
        <v>44</v>
      </c>
      <c r="S1760" s="32" t="s">
        <v>44</v>
      </c>
      <c r="T1760" s="22"/>
      <c r="U1760" s="22"/>
      <c r="V1760" s="22"/>
      <c r="W1760" s="22"/>
      <c r="X1760" s="22"/>
      <c r="Y1760" s="22"/>
      <c r="Z1760" s="22"/>
      <c r="AA1760" s="22"/>
      <c r="AB1760" s="22"/>
      <c r="AC1760" s="22"/>
      <c r="AD1760" s="22"/>
      <c r="AE1760" s="22"/>
      <c r="AG1760" s="146">
        <v>55</v>
      </c>
      <c r="AH1760" s="150">
        <v>72</v>
      </c>
      <c r="AI1760" s="150">
        <v>49</v>
      </c>
      <c r="AJ1760" s="82">
        <v>53</v>
      </c>
      <c r="AK1760" s="71"/>
      <c r="AL1760" s="71"/>
      <c r="AM1760" s="71"/>
      <c r="AN1760" s="71"/>
      <c r="AO1760" s="71"/>
      <c r="AP1760" s="71"/>
      <c r="AQ1760" s="71"/>
      <c r="AR1760" s="71"/>
      <c r="AS1760" s="94">
        <f t="shared" ca="1" si="2047"/>
        <v>0</v>
      </c>
      <c r="AT1760" s="95">
        <f t="shared" si="2048"/>
        <v>229</v>
      </c>
      <c r="AU1760" s="97">
        <f t="shared" si="2049"/>
        <v>229</v>
      </c>
      <c r="AW1760" s="83">
        <f t="shared" si="2050"/>
        <v>55</v>
      </c>
      <c r="AX1760" s="83">
        <f t="shared" si="2051"/>
        <v>72</v>
      </c>
      <c r="AY1760" s="83">
        <f t="shared" si="2052"/>
        <v>49</v>
      </c>
      <c r="AZ1760" s="83">
        <f t="shared" si="2053"/>
        <v>53</v>
      </c>
      <c r="BA1760" s="52"/>
      <c r="BB1760" s="52"/>
      <c r="BC1760" s="52"/>
      <c r="BD1760" s="52"/>
      <c r="BE1760" s="52"/>
      <c r="BF1760" s="52"/>
      <c r="BG1760" s="52"/>
      <c r="BH1760" s="52"/>
      <c r="BI1760" s="68" cm="1">
        <f t="array" ref="BI1760">IFERROR(INDEX(AW1760:BH1760,1,MATCH(2,1/(AW1760:BH1760&lt;&gt;""))),"")</f>
        <v>53</v>
      </c>
      <c r="BJ1760" s="68" cm="1">
        <f t="array" ref="BJ1760">IF(BM1760 = "", "",IFERROR(INDEX(AW1760:BH1760,1,MATCH(2,1/(AW1760:BH1760&lt;&gt;""),1)-1),""))</f>
        <v>49</v>
      </c>
      <c r="BK1760" s="59">
        <f t="shared" si="2054"/>
        <v>229</v>
      </c>
      <c r="BL1760" s="59" cm="1">
        <f t="array" ref="BL1760">IFERROR(SUM(AW1760:INDEX(AW1760:BH1760, MATCH(2, 1/(AW1760:BH1760&lt;&gt;""), 1) - 1))/_xlfn.XLOOKUP(F1760,Apuração!A:A,Apuração!B:B),0)</f>
        <v>14.666666666666666</v>
      </c>
      <c r="BM1760" s="55" cm="1">
        <f t="array" ref="BM1760">IFERROR(
   INDEX($AW$1:$BH$1,
      _xlfn.AGGREGATE(14, 6, COLUMN($AW$1:$BH$1)/(AW1760:BH1760&lt;&gt;""), 2) - COLUMN($AW$1) + 1
   ),
"")</f>
        <v>46082</v>
      </c>
      <c r="BN1760" s="55" cm="1">
        <f t="array" ref="BN1760">IFERROR(INDEX($AW$1:$BH$1,1,MATCH(2,1/(AW1760:BH1760&lt;&gt;""))),"")</f>
        <v>46113</v>
      </c>
      <c r="BO1760" s="53">
        <f ca="1">IFERROR(_xlfn.XLOOKUP(F1760,Apuração!A:A,Apuração!C:C)/_xlfn.XLOOKUP(F1760,Apuração!A:A,Apuração!B:B),0)</f>
        <v>0.41666666666666669</v>
      </c>
      <c r="BP1760" s="53">
        <f ca="1">IFERROR(_xlfn.XLOOKUP(F1760,Apuração!A:A,Apuração!D:D)/_xlfn.XLOOKUP(F1760,Apuração!A:A,Apuração!B:B),0)</f>
        <v>0.33333333333333331</v>
      </c>
      <c r="BQ1760" s="53">
        <f ca="1">IF(BK1760&gt;=BO1760,0,_xlfn.XLOOKUP(F1760,Apuração!A:A,Apuração!B:B)*(BO1760 + (1/_xlfn.XLOOKUP(F1760,Apuração!A:A,Apuração!B:B)) - BK1760))</f>
        <v>0</v>
      </c>
      <c r="BR1760" s="85">
        <f t="shared" ca="1" si="2055"/>
        <v>0</v>
      </c>
      <c r="BS1760" s="53">
        <f ca="1">IFERROR((_xlfn.XLOOKUP(F1760,Apuração!A:A,Apuração!C:C)+1)/_xlfn.XLOOKUP(F1760,Apuração!A:A,Apuração!B:B),0)</f>
        <v>0.5</v>
      </c>
    </row>
    <row r="1761" spans="1:71" ht="25.95" hidden="1" customHeight="1" x14ac:dyDescent="0.3">
      <c r="A1761" s="43" t="s">
        <v>134</v>
      </c>
      <c r="B1761" s="15" t="s">
        <v>150</v>
      </c>
      <c r="C1761" s="5" t="s">
        <v>214</v>
      </c>
      <c r="D1761" s="5" t="s">
        <v>212</v>
      </c>
      <c r="E1761" s="4" t="str" cm="1">
        <f t="array" ref="E1761">_xlfn.IFS(
F1761 = "A partir de Abril", "Aguardando Execução na Distribuidora",
A1761 = "CAPACITAÇÃO", "Em execução no Corporativo",
TRUE, "Em Execução na Distribuidora"
)</f>
        <v>Em Execução na Distribuidora</v>
      </c>
      <c r="F1761" s="4" t="str" cm="1">
        <f t="array" ref="F1761">_xlfn.IFS(
AG1761 &lt;&gt; "", "Jan-Dez/26",
AH1761 &lt;&gt; "", "Fev-Dez/26",
AI1761 &lt;&gt; "", "Mar-Dez/26", AJ1761 &lt;&gt; "", "Abr-Dez/26",
TRUE, "A partir de Junho"
)</f>
        <v>Jan-Dez/26</v>
      </c>
      <c r="G1761" s="15" t="s">
        <v>37</v>
      </c>
      <c r="H1761" s="7" t="s">
        <v>110</v>
      </c>
      <c r="I1761" s="28" t="s">
        <v>156</v>
      </c>
      <c r="J1761" s="8" t="str" cm="1">
        <f t="array" aca="1" ref="J1761" ca="1">_xlfn.LET(
  _xlpm.actual_value_month, INDEX(T1761:AE1761, MATCH(DATE(YEAR(TODAY()), MONTH(TODAY()), 1), $T$1:$AE$1, 0)),
  IF(_xlpm.actual_value_month &lt;&gt; "",_xlpm.actual_value_month &amp; " ações mensais", "")
)</f>
        <v/>
      </c>
      <c r="K1761" s="8" t="str" cm="1">
        <f t="array" ref="K1761">_xlfn.LET(
    _xlpm.sum_month, SUM(T1761:AE1761),
    IF(_xlpm.sum_month = 0, "", _xlpm.sum_month &amp; " atividades no ano")
)</f>
        <v/>
      </c>
      <c r="L1761" s="15" t="s">
        <v>157</v>
      </c>
      <c r="M1761" s="30">
        <v>1</v>
      </c>
      <c r="N1761" s="67" t="s">
        <v>51</v>
      </c>
      <c r="O1761" s="26" t="s">
        <v>52</v>
      </c>
      <c r="P1761" s="31" t="s">
        <v>44</v>
      </c>
      <c r="Q1761" s="31" t="s">
        <v>44</v>
      </c>
      <c r="R1761" s="32" t="s">
        <v>44</v>
      </c>
      <c r="S1761" s="32" t="s">
        <v>44</v>
      </c>
      <c r="T1761" s="22"/>
      <c r="U1761" s="22"/>
      <c r="V1761" s="22"/>
      <c r="W1761" s="22"/>
      <c r="X1761" s="22"/>
      <c r="Y1761" s="22"/>
      <c r="Z1761" s="22"/>
      <c r="AA1761" s="22"/>
      <c r="AB1761" s="22"/>
      <c r="AC1761" s="22"/>
      <c r="AD1761" s="22"/>
      <c r="AE1761" s="22"/>
      <c r="AG1761" s="146">
        <v>57</v>
      </c>
      <c r="AH1761" s="150">
        <v>60</v>
      </c>
      <c r="AI1761" s="150">
        <v>70</v>
      </c>
      <c r="AJ1761" s="82">
        <v>73</v>
      </c>
      <c r="AK1761" s="71"/>
      <c r="AL1761" s="71"/>
      <c r="AM1761" s="71"/>
      <c r="AN1761" s="71"/>
      <c r="AO1761" s="71"/>
      <c r="AP1761" s="71"/>
      <c r="AQ1761" s="71"/>
      <c r="AR1761" s="71"/>
      <c r="AS1761" s="94">
        <f t="shared" ca="1" si="2047"/>
        <v>0</v>
      </c>
      <c r="AT1761" s="95">
        <f t="shared" si="2048"/>
        <v>260</v>
      </c>
      <c r="AU1761" s="97">
        <f t="shared" si="2049"/>
        <v>260</v>
      </c>
      <c r="AW1761" s="83">
        <f t="shared" si="2050"/>
        <v>57</v>
      </c>
      <c r="AX1761" s="83">
        <f t="shared" si="2051"/>
        <v>60</v>
      </c>
      <c r="AY1761" s="83">
        <f t="shared" si="2052"/>
        <v>70</v>
      </c>
      <c r="AZ1761" s="83">
        <f t="shared" si="2053"/>
        <v>73</v>
      </c>
      <c r="BA1761" s="52"/>
      <c r="BB1761" s="52"/>
      <c r="BC1761" s="52"/>
      <c r="BD1761" s="52"/>
      <c r="BE1761" s="52"/>
      <c r="BF1761" s="52"/>
      <c r="BG1761" s="52"/>
      <c r="BH1761" s="52"/>
      <c r="BI1761" s="68" cm="1">
        <f t="array" ref="BI1761">IFERROR(INDEX(AW1761:BH1761,1,MATCH(2,1/(AW1761:BH1761&lt;&gt;""))),"")</f>
        <v>73</v>
      </c>
      <c r="BJ1761" s="68" cm="1">
        <f t="array" ref="BJ1761">IF(BM1761 = "", "",IFERROR(INDEX(AW1761:BH1761,1,MATCH(2,1/(AW1761:BH1761&lt;&gt;""),1)-1),""))</f>
        <v>70</v>
      </c>
      <c r="BK1761" s="59">
        <f t="shared" si="2054"/>
        <v>260</v>
      </c>
      <c r="BL1761" s="59" cm="1">
        <f t="array" ref="BL1761">IFERROR(SUM(AW1761:INDEX(AW1761:BH1761, MATCH(2, 1/(AW1761:BH1761&lt;&gt;""), 1) - 1))/_xlfn.XLOOKUP(F1761,Apuração!A:A,Apuração!B:B),0)</f>
        <v>15.583333333333334</v>
      </c>
      <c r="BM1761" s="55" cm="1">
        <f t="array" ref="BM1761">IFERROR(
   INDEX($AW$1:$BH$1,
      _xlfn.AGGREGATE(14, 6, COLUMN($AW$1:$BH$1)/(AW1761:BH1761&lt;&gt;""), 2) - COLUMN($AW$1) + 1
   ),
"")</f>
        <v>46082</v>
      </c>
      <c r="BN1761" s="55" cm="1">
        <f t="array" ref="BN1761">IFERROR(INDEX($AW$1:$BH$1,1,MATCH(2,1/(AW1761:BH1761&lt;&gt;""))),"")</f>
        <v>46113</v>
      </c>
      <c r="BO1761" s="53">
        <f ca="1">IFERROR(_xlfn.XLOOKUP(F1761,Apuração!A:A,Apuração!C:C)/_xlfn.XLOOKUP(F1761,Apuração!A:A,Apuração!B:B),0)</f>
        <v>0.41666666666666669</v>
      </c>
      <c r="BP1761" s="53">
        <f ca="1">IFERROR(_xlfn.XLOOKUP(F1761,Apuração!A:A,Apuração!D:D)/_xlfn.XLOOKUP(F1761,Apuração!A:A,Apuração!B:B),0)</f>
        <v>0.33333333333333331</v>
      </c>
      <c r="BQ1761" s="53">
        <f ca="1">IF(BK1761&gt;=BO1761,0,_xlfn.XLOOKUP(F1761,Apuração!A:A,Apuração!B:B)*(BO1761 + (1/_xlfn.XLOOKUP(F1761,Apuração!A:A,Apuração!B:B)) - BK1761))</f>
        <v>0</v>
      </c>
      <c r="BR1761" s="85">
        <f t="shared" ca="1" si="2055"/>
        <v>0</v>
      </c>
      <c r="BS1761" s="53">
        <f ca="1">IFERROR((_xlfn.XLOOKUP(F1761,Apuração!A:A,Apuração!C:C)+1)/_xlfn.XLOOKUP(F1761,Apuração!A:A,Apuração!B:B),0)</f>
        <v>0.5</v>
      </c>
    </row>
    <row r="1762" spans="1:71" ht="25.95" hidden="1" customHeight="1" x14ac:dyDescent="0.3">
      <c r="A1762" s="43" t="s">
        <v>134</v>
      </c>
      <c r="B1762" s="15" t="s">
        <v>150</v>
      </c>
      <c r="C1762" s="5" t="s">
        <v>214</v>
      </c>
      <c r="D1762" s="5" t="s">
        <v>48</v>
      </c>
      <c r="E1762" s="4" t="str" cm="1">
        <f t="array" ref="E1762">_xlfn.IFS(
F1762 = "A partir de Abril", "Aguardando Execução na Distribuidora",
A1762 = "CAPACITAÇÃO", "Em execução no Corporativo",
TRUE, "Em Execução na Distribuidora"
)</f>
        <v>Em Execução na Distribuidora</v>
      </c>
      <c r="F1762" s="4" t="str" cm="1">
        <f t="array" ref="F1762">_xlfn.IFS(
AG1762 &lt;&gt; "", "Jan-Dez/26",
AH1762 &lt;&gt; "", "Fev-Dez/26",
AI1762 &lt;&gt; "", "Mar-Dez/26", AJ1762 &lt;&gt; "", "Abr-Dez/26",
TRUE, "A partir de Junho"
)</f>
        <v>Jan-Dez/26</v>
      </c>
      <c r="G1762" s="15" t="s">
        <v>37</v>
      </c>
      <c r="H1762" s="7" t="s">
        <v>110</v>
      </c>
      <c r="I1762" s="28" t="s">
        <v>156</v>
      </c>
      <c r="J1762" s="8" t="str" cm="1">
        <f t="array" aca="1" ref="J1762" ca="1">_xlfn.LET(
  _xlpm.actual_value_month, INDEX(T1762:AE1762, MATCH(DATE(YEAR(TODAY()), MONTH(TODAY()), 1), $T$1:$AE$1, 0)),
  IF(_xlpm.actual_value_month &lt;&gt; "",_xlpm.actual_value_month &amp; " ações mensais", "")
)</f>
        <v/>
      </c>
      <c r="K1762" s="8" t="str" cm="1">
        <f t="array" ref="K1762">_xlfn.LET(
    _xlpm.sum_month, SUM(T1762:AE1762),
    IF(_xlpm.sum_month = 0, "", _xlpm.sum_month &amp; " atividades no ano")
)</f>
        <v/>
      </c>
      <c r="L1762" s="15" t="s">
        <v>157</v>
      </c>
      <c r="M1762" s="30">
        <v>1</v>
      </c>
      <c r="N1762" s="67" t="s">
        <v>51</v>
      </c>
      <c r="O1762" s="26" t="s">
        <v>52</v>
      </c>
      <c r="P1762" s="31" t="s">
        <v>44</v>
      </c>
      <c r="Q1762" s="31" t="s">
        <v>44</v>
      </c>
      <c r="R1762" s="32" t="s">
        <v>44</v>
      </c>
      <c r="S1762" s="32" t="s">
        <v>44</v>
      </c>
      <c r="T1762" s="22"/>
      <c r="U1762" s="22"/>
      <c r="V1762" s="22"/>
      <c r="W1762" s="22"/>
      <c r="X1762" s="22"/>
      <c r="Y1762" s="22"/>
      <c r="Z1762" s="22"/>
      <c r="AA1762" s="22"/>
      <c r="AB1762" s="22"/>
      <c r="AC1762" s="22"/>
      <c r="AD1762" s="22"/>
      <c r="AE1762" s="22"/>
      <c r="AG1762" s="146">
        <v>21</v>
      </c>
      <c r="AH1762" s="150">
        <v>22</v>
      </c>
      <c r="AI1762" s="150">
        <v>13</v>
      </c>
      <c r="AJ1762" s="82">
        <v>11</v>
      </c>
      <c r="AK1762" s="71"/>
      <c r="AL1762" s="71"/>
      <c r="AM1762" s="71"/>
      <c r="AN1762" s="71"/>
      <c r="AO1762" s="71"/>
      <c r="AP1762" s="71"/>
      <c r="AQ1762" s="71"/>
      <c r="AR1762" s="71"/>
      <c r="AS1762" s="94">
        <f t="shared" ca="1" si="2047"/>
        <v>0</v>
      </c>
      <c r="AT1762" s="95">
        <f t="shared" si="2048"/>
        <v>67</v>
      </c>
      <c r="AU1762" s="97">
        <f t="shared" si="2049"/>
        <v>67</v>
      </c>
      <c r="AW1762" s="83">
        <f t="shared" si="2050"/>
        <v>21</v>
      </c>
      <c r="AX1762" s="83">
        <f t="shared" si="2051"/>
        <v>22</v>
      </c>
      <c r="AY1762" s="83">
        <f t="shared" si="2052"/>
        <v>13</v>
      </c>
      <c r="AZ1762" s="83">
        <f t="shared" si="2053"/>
        <v>11</v>
      </c>
      <c r="BA1762" s="52"/>
      <c r="BB1762" s="52"/>
      <c r="BC1762" s="52"/>
      <c r="BD1762" s="52"/>
      <c r="BE1762" s="52"/>
      <c r="BF1762" s="52"/>
      <c r="BG1762" s="52"/>
      <c r="BH1762" s="52"/>
      <c r="BI1762" s="68" cm="1">
        <f t="array" ref="BI1762">IFERROR(INDEX(AW1762:BH1762,1,MATCH(2,1/(AW1762:BH1762&lt;&gt;""))),"")</f>
        <v>11</v>
      </c>
      <c r="BJ1762" s="68" cm="1">
        <f t="array" ref="BJ1762">IF(BM1762 = "", "",IFERROR(INDEX(AW1762:BH1762,1,MATCH(2,1/(AW1762:BH1762&lt;&gt;""),1)-1),""))</f>
        <v>13</v>
      </c>
      <c r="BK1762" s="59">
        <f t="shared" si="2054"/>
        <v>67</v>
      </c>
      <c r="BL1762" s="59" cm="1">
        <f t="array" ref="BL1762">IFERROR(SUM(AW1762:INDEX(AW1762:BH1762, MATCH(2, 1/(AW1762:BH1762&lt;&gt;""), 1) - 1))/_xlfn.XLOOKUP(F1762,Apuração!A:A,Apuração!B:B),0)</f>
        <v>4.666666666666667</v>
      </c>
      <c r="BM1762" s="55" cm="1">
        <f t="array" ref="BM1762">IFERROR(
   INDEX($AW$1:$BH$1,
      _xlfn.AGGREGATE(14, 6, COLUMN($AW$1:$BH$1)/(AW1762:BH1762&lt;&gt;""), 2) - COLUMN($AW$1) + 1
   ),
"")</f>
        <v>46082</v>
      </c>
      <c r="BN1762" s="55" cm="1">
        <f t="array" ref="BN1762">IFERROR(INDEX($AW$1:$BH$1,1,MATCH(2,1/(AW1762:BH1762&lt;&gt;""))),"")</f>
        <v>46113</v>
      </c>
      <c r="BO1762" s="53">
        <f ca="1">IFERROR(_xlfn.XLOOKUP(F1762,Apuração!A:A,Apuração!C:C)/_xlfn.XLOOKUP(F1762,Apuração!A:A,Apuração!B:B),0)</f>
        <v>0.41666666666666669</v>
      </c>
      <c r="BP1762" s="53">
        <f ca="1">IFERROR(_xlfn.XLOOKUP(F1762,Apuração!A:A,Apuração!D:D)/_xlfn.XLOOKUP(F1762,Apuração!A:A,Apuração!B:B),0)</f>
        <v>0.33333333333333331</v>
      </c>
      <c r="BQ1762" s="53">
        <f ca="1">IF(BK1762&gt;=BO1762,0,_xlfn.XLOOKUP(F1762,Apuração!A:A,Apuração!B:B)*(BO1762 + (1/_xlfn.XLOOKUP(F1762,Apuração!A:A,Apuração!B:B)) - BK1762))</f>
        <v>0</v>
      </c>
      <c r="BR1762" s="85">
        <f t="shared" ca="1" si="2055"/>
        <v>0</v>
      </c>
      <c r="BS1762" s="53">
        <f ca="1">IFERROR((_xlfn.XLOOKUP(F1762,Apuração!A:A,Apuração!C:C)+1)/_xlfn.XLOOKUP(F1762,Apuração!A:A,Apuração!B:B),0)</f>
        <v>0.5</v>
      </c>
    </row>
    <row r="1763" spans="1:71" ht="25.95" hidden="1" customHeight="1" x14ac:dyDescent="0.3">
      <c r="A1763" s="43" t="s">
        <v>134</v>
      </c>
      <c r="B1763" s="15" t="s">
        <v>150</v>
      </c>
      <c r="C1763" s="5" t="s">
        <v>214</v>
      </c>
      <c r="D1763" s="5" t="s">
        <v>213</v>
      </c>
      <c r="E1763" s="4" t="str" cm="1">
        <f t="array" ref="E1763">_xlfn.IFS(
F1763 = "A partir de Abril", "Aguardando Execução na Distribuidora",
A1763 = "CAPACITAÇÃO", "Em execução no Corporativo",
TRUE, "Em Execução na Distribuidora"
)</f>
        <v>Em Execução na Distribuidora</v>
      </c>
      <c r="F1763" s="4" t="str" cm="1">
        <f t="array" ref="F1763">_xlfn.IFS(
AG1763 &lt;&gt; "", "Jan-Dez/26",
AH1763 &lt;&gt; "", "Fev-Dez/26",
AI1763 &lt;&gt; "", "Mar-Dez/26", AJ1763 &lt;&gt; "", "Abr-Dez/26",
TRUE, "A partir de Junho"
)</f>
        <v>Jan-Dez/26</v>
      </c>
      <c r="G1763" s="15" t="s">
        <v>37</v>
      </c>
      <c r="H1763" s="7" t="s">
        <v>110</v>
      </c>
      <c r="I1763" s="28" t="s">
        <v>156</v>
      </c>
      <c r="J1763" s="8" t="str" cm="1">
        <f t="array" aca="1" ref="J1763" ca="1">_xlfn.LET(
  _xlpm.actual_value_month, INDEX(T1763:AE1763, MATCH(DATE(YEAR(TODAY()), MONTH(TODAY()), 1), $T$1:$AE$1, 0)),
  IF(_xlpm.actual_value_month &lt;&gt; "",_xlpm.actual_value_month &amp; " ações mensais", "")
)</f>
        <v/>
      </c>
      <c r="K1763" s="8" t="str" cm="1">
        <f t="array" ref="K1763">_xlfn.LET(
    _xlpm.sum_month, SUM(T1763:AE1763),
    IF(_xlpm.sum_month = 0, "", _xlpm.sum_month &amp; " atividades no ano")
)</f>
        <v/>
      </c>
      <c r="L1763" s="15" t="s">
        <v>157</v>
      </c>
      <c r="M1763" s="30">
        <v>1</v>
      </c>
      <c r="N1763" s="67" t="s">
        <v>51</v>
      </c>
      <c r="O1763" s="26" t="s">
        <v>52</v>
      </c>
      <c r="P1763" s="31" t="s">
        <v>44</v>
      </c>
      <c r="Q1763" s="31" t="s">
        <v>44</v>
      </c>
      <c r="R1763" s="32" t="s">
        <v>44</v>
      </c>
      <c r="S1763" s="32" t="s">
        <v>44</v>
      </c>
      <c r="T1763" s="22"/>
      <c r="U1763" s="22"/>
      <c r="V1763" s="22"/>
      <c r="W1763" s="22"/>
      <c r="X1763" s="22"/>
      <c r="Y1763" s="22"/>
      <c r="Z1763" s="22"/>
      <c r="AA1763" s="22"/>
      <c r="AB1763" s="22"/>
      <c r="AC1763" s="22"/>
      <c r="AD1763" s="22"/>
      <c r="AE1763" s="22"/>
      <c r="AG1763" s="146">
        <v>40</v>
      </c>
      <c r="AH1763" s="150">
        <v>37</v>
      </c>
      <c r="AI1763" s="150">
        <v>38</v>
      </c>
      <c r="AJ1763" s="82">
        <v>15</v>
      </c>
      <c r="AK1763" s="71"/>
      <c r="AL1763" s="71"/>
      <c r="AM1763" s="71"/>
      <c r="AN1763" s="71"/>
      <c r="AO1763" s="71"/>
      <c r="AP1763" s="71"/>
      <c r="AQ1763" s="71"/>
      <c r="AR1763" s="71"/>
      <c r="AS1763" s="94">
        <f t="shared" ca="1" si="2047"/>
        <v>0</v>
      </c>
      <c r="AT1763" s="95">
        <f t="shared" si="2048"/>
        <v>130</v>
      </c>
      <c r="AU1763" s="97">
        <f t="shared" si="2049"/>
        <v>130</v>
      </c>
      <c r="AW1763" s="83">
        <f t="shared" si="2050"/>
        <v>40</v>
      </c>
      <c r="AX1763" s="83">
        <f t="shared" si="2051"/>
        <v>37</v>
      </c>
      <c r="AY1763" s="83">
        <f t="shared" si="2052"/>
        <v>38</v>
      </c>
      <c r="AZ1763" s="83">
        <f t="shared" si="2053"/>
        <v>15</v>
      </c>
      <c r="BA1763" s="52"/>
      <c r="BB1763" s="52"/>
      <c r="BC1763" s="52"/>
      <c r="BD1763" s="52"/>
      <c r="BE1763" s="52"/>
      <c r="BF1763" s="52"/>
      <c r="BG1763" s="52"/>
      <c r="BH1763" s="52"/>
      <c r="BI1763" s="68" cm="1">
        <f t="array" ref="BI1763">IFERROR(INDEX(AW1763:BH1763,1,MATCH(2,1/(AW1763:BH1763&lt;&gt;""))),"")</f>
        <v>15</v>
      </c>
      <c r="BJ1763" s="68" cm="1">
        <f t="array" ref="BJ1763">IF(BM1763 = "", "",IFERROR(INDEX(AW1763:BH1763,1,MATCH(2,1/(AW1763:BH1763&lt;&gt;""),1)-1),""))</f>
        <v>38</v>
      </c>
      <c r="BK1763" s="59">
        <f t="shared" si="2054"/>
        <v>130</v>
      </c>
      <c r="BL1763" s="59" cm="1">
        <f t="array" ref="BL1763">IFERROR(SUM(AW1763:INDEX(AW1763:BH1763, MATCH(2, 1/(AW1763:BH1763&lt;&gt;""), 1) - 1))/_xlfn.XLOOKUP(F1763,Apuração!A:A,Apuração!B:B),0)</f>
        <v>9.5833333333333339</v>
      </c>
      <c r="BM1763" s="55" cm="1">
        <f t="array" ref="BM1763">IFERROR(
   INDEX($AW$1:$BH$1,
      _xlfn.AGGREGATE(14, 6, COLUMN($AW$1:$BH$1)/(AW1763:BH1763&lt;&gt;""), 2) - COLUMN($AW$1) + 1
   ),
"")</f>
        <v>46082</v>
      </c>
      <c r="BN1763" s="55" cm="1">
        <f t="array" ref="BN1763">IFERROR(INDEX($AW$1:$BH$1,1,MATCH(2,1/(AW1763:BH1763&lt;&gt;""))),"")</f>
        <v>46113</v>
      </c>
      <c r="BO1763" s="53">
        <f ca="1">IFERROR(_xlfn.XLOOKUP(F1763,Apuração!A:A,Apuração!C:C)/_xlfn.XLOOKUP(F1763,Apuração!A:A,Apuração!B:B),0)</f>
        <v>0.41666666666666669</v>
      </c>
      <c r="BP1763" s="53">
        <f ca="1">IFERROR(_xlfn.XLOOKUP(F1763,Apuração!A:A,Apuração!D:D)/_xlfn.XLOOKUP(F1763,Apuração!A:A,Apuração!B:B),0)</f>
        <v>0.33333333333333331</v>
      </c>
      <c r="BQ1763" s="53">
        <f ca="1">IF(BK1763&gt;=BO1763,0,_xlfn.XLOOKUP(F1763,Apuração!A:A,Apuração!B:B)*(BO1763 + (1/_xlfn.XLOOKUP(F1763,Apuração!A:A,Apuração!B:B)) - BK1763))</f>
        <v>0</v>
      </c>
      <c r="BR1763" s="85">
        <f t="shared" ca="1" si="2055"/>
        <v>0</v>
      </c>
      <c r="BS1763" s="53">
        <f ca="1">IFERROR((_xlfn.XLOOKUP(F1763,Apuração!A:A,Apuração!C:C)+1)/_xlfn.XLOOKUP(F1763,Apuração!A:A,Apuração!B:B),0)</f>
        <v>0.5</v>
      </c>
    </row>
    <row r="1764" spans="1:71" ht="25.95" hidden="1" customHeight="1" x14ac:dyDescent="0.3">
      <c r="A1764" s="38" t="s">
        <v>134</v>
      </c>
      <c r="B1764" s="4" t="s">
        <v>158</v>
      </c>
      <c r="C1764" s="5" t="s">
        <v>214</v>
      </c>
      <c r="D1764" s="5" t="s">
        <v>36</v>
      </c>
      <c r="E1764" s="4" t="str" cm="1">
        <f t="array" ref="E1764">_xlfn.IFS(
F1764 = "A partir de Abril", "Aguardando Execução na Distribuidora",
A1764 = "CAPACITAÇÃO", "Em execução no Corporativo",
TRUE, "Em Execução na Distribuidora"
)</f>
        <v>Em Execução na Distribuidora</v>
      </c>
      <c r="F1764" s="4" t="str" cm="1">
        <f t="array" ref="F1764">_xlfn.IFS(
AG1764 &lt;&gt; "", "Jan-Dez/26",
AH1764 &lt;&gt; "", "Fev-Dez/26",
AI1764 &lt;&gt; "", "Mar-Dez/26", AJ1764 &lt;&gt; "", "Abr-Dez/26",
TRUE, "A partir de Junho"
)</f>
        <v>Jan-Dez/26</v>
      </c>
      <c r="G1764" s="4" t="s">
        <v>37</v>
      </c>
      <c r="H1764" s="7" t="s">
        <v>110</v>
      </c>
      <c r="I1764" s="8" t="s">
        <v>159</v>
      </c>
      <c r="J1764" s="8" t="str" cm="1">
        <f t="array" aca="1" ref="J1764" ca="1">_xlfn.LET(
  _xlpm.actual_value_month, INDEX(T1764:AE1764, MATCH(DATE(YEAR(TODAY()), MONTH(TODAY()), 1), $T$1:$AE$1, 0)),
  IF(_xlpm.actual_value_month &lt;&gt; "",_xlpm.actual_value_month &amp; " colaboradores participantes mensais", "")
)</f>
        <v>7128 colaboradores participantes mensais</v>
      </c>
      <c r="K1764" s="8" t="str" cm="1">
        <f t="array" ref="K1764">_xlfn.LET(
    _xlpm.sum_month, SUM(T1764:AE1764),
    IF(_xlpm.sum_month = 0, "", _xlpm.sum_month &amp; " participações de colaboradores no ano")
)</f>
        <v>65568 participações de colaboradores no ano</v>
      </c>
      <c r="L1764" s="9" t="s">
        <v>160</v>
      </c>
      <c r="M1764" s="24" t="s">
        <v>161</v>
      </c>
      <c r="N1764" s="5" t="s">
        <v>42</v>
      </c>
      <c r="O1764" s="5" t="s">
        <v>43</v>
      </c>
      <c r="P1764" s="10" t="s">
        <v>44</v>
      </c>
      <c r="Q1764" s="10" t="s">
        <v>44</v>
      </c>
      <c r="R1764" s="11" t="s">
        <v>147</v>
      </c>
      <c r="S1764" s="11" t="s">
        <v>162</v>
      </c>
      <c r="T1764" s="22">
        <v>480</v>
      </c>
      <c r="U1764" s="22">
        <v>471</v>
      </c>
      <c r="V1764" s="22">
        <v>465</v>
      </c>
      <c r="W1764" s="22">
        <v>7128</v>
      </c>
      <c r="X1764" s="22">
        <v>7128</v>
      </c>
      <c r="Y1764" s="22">
        <v>7128</v>
      </c>
      <c r="Z1764" s="22">
        <v>7128</v>
      </c>
      <c r="AA1764" s="22">
        <v>7128</v>
      </c>
      <c r="AB1764" s="22">
        <v>7128</v>
      </c>
      <c r="AC1764" s="22">
        <v>7128</v>
      </c>
      <c r="AD1764" s="22">
        <v>7128</v>
      </c>
      <c r="AE1764" s="22">
        <v>7128</v>
      </c>
      <c r="AG1764" s="71">
        <v>480</v>
      </c>
      <c r="AH1764" s="71">
        <v>471</v>
      </c>
      <c r="AI1764" s="71">
        <v>465</v>
      </c>
      <c r="AJ1764" s="71">
        <v>7965</v>
      </c>
      <c r="AK1764" s="71"/>
      <c r="AL1764" s="71"/>
      <c r="AM1764" s="71"/>
      <c r="AN1764" s="71"/>
      <c r="AO1764" s="71"/>
      <c r="AP1764" s="71"/>
      <c r="AQ1764" s="71"/>
      <c r="AR1764" s="71"/>
      <c r="AS1764" s="94">
        <f ca="1">IF(MONTH(TODAY())=3,SUM(T1764:U1764),IF(MONTH(TODAY())=4,SUM(T1764:V1764),IF(MONTH(TODAY())=5,SUM(T1764:W1764),IF(MONTH(TODAY())=6,SUM(T1764:X1764),IF(MONTH(TODAY())=7,SUM(T1764:Y1764),IF(MONTH(TODAY())=8,SUM(T1764:Z1764),IF(MONTH(TODAY())=9,SUM(T1764:AA1764),IF(MONTH(TODAY())=10,SUM(T1764:AB1764),IF(MONTH(TODAY())=11,SUM(T1764:AC1764),IF(MONTH(TODAY())=12,SUM(T1764:AD1764),IF(MONTH(TODAY())=1,SUM(T1764:AE1764),T1764)))))))))))</f>
        <v>15672</v>
      </c>
      <c r="AT1764" s="95">
        <f>SUM(IF(AW1764&lt;1.15,AG1764,1.15*T1764),IF(AX1764&lt;1.15,AH1764,1.15*U1764),IF(AY1764&lt;1.15,AI1764,1.15*V1764),IF(AZ1764&lt;1.15,AJ1764,1.15*W1764),IF(BA1764&lt;1.15,AK1764,1.15*X1764),IF(BB1764&lt;1.15,AL1764,1.15*Y1764),IF(BC1764&lt;1.15,AM1764,1.15*Z1764),IF(BD1764&lt;1.15,AN1764,1.15*AA1764),IF(BE1764&lt;1.15,AO1764,1.15*AB1764),IF(BF1764&lt;1.15,AP1764,1.15*AC1764),IF(BG1764&lt;1.15,AQ1764,1.15*AD1764),IF(BH1764&lt;1.15,AR1764,1.15*AE1764))</f>
        <v>9381</v>
      </c>
      <c r="AU1764" s="97">
        <f>SUM(AG1764:AR1764)</f>
        <v>9381</v>
      </c>
      <c r="AW1764" s="51">
        <f>IFERROR(IF(AG1764="",0,AG1764/T1764),0)</f>
        <v>1</v>
      </c>
      <c r="AX1764" s="51">
        <f>IFERROR(IF(AH1764="",0,AH1764/U1764),0)</f>
        <v>1</v>
      </c>
      <c r="AY1764" s="51">
        <f>IFERROR(IF(AI1764="",0,AI1764/V1764),0)</f>
        <v>1</v>
      </c>
      <c r="AZ1764" s="51">
        <f>IFERROR(IF(AJ1764="",0,AJ1764/W1764),0)</f>
        <v>1.1174242424242424</v>
      </c>
      <c r="BA1764" s="51"/>
      <c r="BB1764" s="51"/>
      <c r="BC1764" s="51"/>
      <c r="BD1764" s="51"/>
      <c r="BE1764" s="51"/>
      <c r="BF1764" s="51"/>
      <c r="BG1764" s="51"/>
      <c r="BH1764" s="51"/>
      <c r="BI1764" s="65" cm="1">
        <f t="array" ref="BI1764">IFERROR(INDEX(AW1764:BH1764,1,MATCH(2,1/(AW1764:BH1764&lt;&gt;""))),"")</f>
        <v>1.1174242424242424</v>
      </c>
      <c r="BJ1764" s="68" cm="1">
        <f t="array" ref="BJ1764">IF(BM1764 = "", "",IFERROR(INDEX(AW1764:BH1764,1,MATCH(2,1/(AW1764:BH1764&lt;&gt;""),1)-1),""))</f>
        <v>1</v>
      </c>
      <c r="BK1764" s="58">
        <f>IF((IF(AW1764&gt;=115%,115%,AW1764) + IF(AX1764&gt;=115%,115%,AX1764) + IF(AY1764&gt;=115%,115%,AY1764) + (IF(AZ1764&gt;=115%,115%,AZ1764) + IF(BA1764&gt;=115%,115%,BA1764) + IF(BB1764&gt;=115%,115%,BB1764) + IF(BC1764&gt;=115%,115%,BC1764) + IF(BD1764&gt;=115%,115%,BD1764) + IF(BE1764&gt;=115%,115%,BE1764) + IF(BF1764&gt;=115%,115%,BF1764) + IF(BG1764&gt;=115%,115%,BG1764) + IF(BH1764&gt;=115%,115%,BH1764)))/_xlfn.XLOOKUP(F1764,Apuração!A:A,Apuração!B:B)&gt;=1.15,1.15,((IF(AZ1764&gt;=115%,115%,AZ1764) + IF(AX1764&gt;=115%,115%,AX1764) + IF(AY1764&gt;=115%,115%,AY1764) + (IF(AW1764&gt;=115%,115%,AW1764) + IF(BA1764&gt;=115%,115%,BA1764) + IF(BB1764&gt;=115%,115%,BB1764) + IF(BC1764&gt;=115%,115%,BC1764) + IF(BD1764&gt;=115%,115%,BD1764) + IF(BE1764&gt;=115%,115%,BE1764) + IF(BF1764&gt;=115%,115%,BF1764) + IF(BG1764&gt;=115%,115%,BG1764) + IF(BH1764&gt;=115%,115%,BH1764)))/_xlfn.XLOOKUP(F1764,Apuração!A:A,Apuração!B:B)))</f>
        <v>0.34311868686868685</v>
      </c>
      <c r="BL1764" s="58" cm="1">
        <f t="array" aca="1" ref="BL1764" ca="1">IF(SUM(IFERROR(IF(INDEX(AW1764:INDEX(AW1764:BH1764, MATCH(2, 1/(AW1764:BH1764&lt;&gt;""), 1)-1), ROW(INDIRECT("1:" &amp; MATCH(2, 1/(AW1764:BH1764&lt;&gt;""), 1)-1))) &gt;= 115%, 115%, INDEX(AW1764:INDEX(AW1764:BH1764, MATCH(2, 1/(AW1764:BH1764&lt;&gt;""), 1)-1), ROW(INDIRECT("1:" &amp; MATCH(2, 1/(AW1764:BH1764&lt;&gt;""), 1)-1)))), 0))/_xlfn.XLOOKUP(F1764,Apuração!A:A,Apuração!B:B)&gt;=1.15,1.15,SUM(IFERROR(IF(INDEX(AW1764:INDEX(AW1764:BH1764, MATCH(2, 1/(AW1764:BH1764&lt;&gt;""), 1)-1), ROW(INDIRECT("1:" &amp; MATCH(2, 1/(AW1764:BH1764&lt;&gt;""), 1)-1))) &gt;= 115%, 115%, INDEX(AW1764:INDEX(AW1764:BH1764, MATCH(2, 1/(AW1764:BH1764&lt;&gt;""), 1)-1), ROW(INDIRECT("1:" &amp; MATCH(2, 1/(AW1764:BH1764&lt;&gt;""), 1)-1)))), 0))/_xlfn.XLOOKUP(F1764,Apuração!A:A,Apuração!B:B))</f>
        <v>0.25</v>
      </c>
      <c r="BM1764" s="55" cm="1">
        <f t="array" ref="BM1764">IFERROR(
   INDEX($AW$1:$BH$1,
      _xlfn.AGGREGATE(14, 6, COLUMN($AW$1:$BH$1)/(AW1764:BH1764&lt;&gt;""), 2) - COLUMN($AW$1) + 1
   ),
"")</f>
        <v>46082</v>
      </c>
      <c r="BN1764" s="55" cm="1">
        <f t="array" ref="BN1764">IFERROR(INDEX($AW$1:$BH$1,1,MATCH(2,1/(AW1764:BH1764&lt;&gt;""))),"")</f>
        <v>46113</v>
      </c>
      <c r="BO1764" s="53">
        <f ca="1">IFERROR(_xlfn.XLOOKUP(F1764,Apuração!A:A,Apuração!C:C)/_xlfn.XLOOKUP(F1764,Apuração!A:A,Apuração!B:B),0)</f>
        <v>0.41666666666666669</v>
      </c>
      <c r="BP1764" s="53">
        <f ca="1">IFERROR(_xlfn.XLOOKUP(F1764,Apuração!A:A,Apuração!D:D)/_xlfn.XLOOKUP(F1764,Apuração!A:A,Apuração!B:B),0)</f>
        <v>0.33333333333333331</v>
      </c>
      <c r="BQ1764" s="53">
        <f ca="1">IF(BK1764&gt;=BO1764,0,_xlfn.XLOOKUP(F1764,Apuração!A:A,Apuração!B:B)*(BO1764 + (1/_xlfn.XLOOKUP(F1764,Apuração!A:A,Apuração!B:B)) - BK1764))</f>
        <v>1.8825757575757578</v>
      </c>
      <c r="BR1764" s="85">
        <f ca="1">IF(BQ1764=0,0,BQ1764*Z1764)</f>
        <v>13419.000000000002</v>
      </c>
      <c r="BS1764" s="53">
        <f ca="1">IFERROR((_xlfn.XLOOKUP(F1764,Apuração!A:A,Apuração!C:C)+1)/_xlfn.XLOOKUP(F1764,Apuração!A:A,Apuração!B:B),0)</f>
        <v>0.5</v>
      </c>
    </row>
    <row r="1765" spans="1:71" ht="25.95" hidden="1" customHeight="1" x14ac:dyDescent="0.3">
      <c r="A1765" s="38" t="s">
        <v>134</v>
      </c>
      <c r="B1765" s="4" t="s">
        <v>158</v>
      </c>
      <c r="C1765" s="5" t="s">
        <v>214</v>
      </c>
      <c r="D1765" s="5" t="s">
        <v>210</v>
      </c>
      <c r="E1765" s="4" t="str" cm="1">
        <f t="array" ref="E1765">_xlfn.IFS(
F1765 = "A partir de Abril", "Aguardando Execução na Distribuidora",
A1765 = "CAPACITAÇÃO", "Em execução no Corporativo",
TRUE, "Em Execução na Distribuidora"
)</f>
        <v>Em Execução na Distribuidora</v>
      </c>
      <c r="F1765" s="4" t="str" cm="1">
        <f t="array" ref="F1765">_xlfn.IFS(
AG1765 &lt;&gt; "", "Jan-Dez/26",
AH1765 &lt;&gt; "", "Fev-Dez/26",
AI1765 &lt;&gt; "", "Mar-Dez/26", AJ1765 &lt;&gt; "", "Abr-Dez/26",
TRUE, "A partir de Junho"
)</f>
        <v>Jan-Dez/26</v>
      </c>
      <c r="G1765" s="4" t="s">
        <v>37</v>
      </c>
      <c r="H1765" s="7" t="s">
        <v>110</v>
      </c>
      <c r="I1765" s="8" t="s">
        <v>159</v>
      </c>
      <c r="J1765" s="8" t="str" cm="1">
        <f t="array" aca="1" ref="J1765" ca="1">_xlfn.LET(
  _xlpm.actual_value_month, INDEX(T1765:AE1765, MATCH(DATE(YEAR(TODAY()), MONTH(TODAY()), 1), $T$1:$AE$1, 0)),
  IF(_xlpm.actual_value_month &lt;&gt; "",_xlpm.actual_value_month &amp; " colaboradores participantes mensais", "")
)</f>
        <v>448 colaboradores participantes mensais</v>
      </c>
      <c r="K1765" s="8" t="str" cm="1">
        <f t="array" ref="K1765">_xlfn.LET(
    _xlpm.sum_month, SUM(T1765:AE1765),
    IF(_xlpm.sum_month = 0, "", _xlpm.sum_month &amp; " participações de colaboradores no ano")
)</f>
        <v>4189 participações de colaboradores no ano</v>
      </c>
      <c r="L1765" s="9" t="s">
        <v>160</v>
      </c>
      <c r="M1765" s="24" t="s">
        <v>161</v>
      </c>
      <c r="N1765" s="5" t="s">
        <v>42</v>
      </c>
      <c r="O1765" s="5" t="s">
        <v>43</v>
      </c>
      <c r="P1765" s="10" t="s">
        <v>44</v>
      </c>
      <c r="Q1765" s="10" t="s">
        <v>44</v>
      </c>
      <c r="R1765" s="11" t="s">
        <v>147</v>
      </c>
      <c r="S1765" s="11" t="s">
        <v>162</v>
      </c>
      <c r="T1765" s="143">
        <v>48</v>
      </c>
      <c r="U1765" s="143">
        <v>52</v>
      </c>
      <c r="V1765" s="143">
        <v>57</v>
      </c>
      <c r="W1765" s="143">
        <v>448</v>
      </c>
      <c r="X1765" s="143">
        <v>448</v>
      </c>
      <c r="Y1765" s="143">
        <v>448</v>
      </c>
      <c r="Z1765" s="143">
        <v>448</v>
      </c>
      <c r="AA1765" s="143">
        <v>448</v>
      </c>
      <c r="AB1765" s="143">
        <v>448</v>
      </c>
      <c r="AC1765" s="143">
        <v>448</v>
      </c>
      <c r="AD1765" s="143">
        <v>448</v>
      </c>
      <c r="AE1765" s="143">
        <v>448</v>
      </c>
      <c r="AG1765" s="145">
        <v>48</v>
      </c>
      <c r="AH1765" s="149">
        <v>52</v>
      </c>
      <c r="AI1765" s="149">
        <v>57</v>
      </c>
      <c r="AJ1765" s="82">
        <v>544</v>
      </c>
      <c r="AK1765" s="71"/>
      <c r="AL1765" s="71"/>
      <c r="AM1765" s="71"/>
      <c r="AN1765" s="71"/>
      <c r="AO1765" s="71"/>
      <c r="AP1765" s="71"/>
      <c r="AQ1765" s="71"/>
      <c r="AR1765" s="71"/>
      <c r="AS1765" s="94">
        <f t="shared" ref="AS1765:AS1769" ca="1" si="2056">IF(MONTH(TODAY())=3,SUM(T1765:U1765),IF(MONTH(TODAY())=4,SUM(T1765:V1765),IF(MONTH(TODAY())=5,SUM(T1765:W1765),IF(MONTH(TODAY())=6,SUM(T1765:X1765),IF(MONTH(TODAY())=7,SUM(T1765:Y1765),IF(MONTH(TODAY())=8,SUM(T1765:Z1765),IF(MONTH(TODAY())=9,SUM(T1765:AA1765),IF(MONTH(TODAY())=10,SUM(T1765:AB1765),IF(MONTH(TODAY())=11,SUM(T1765:AC1765),IF(MONTH(TODAY())=12,SUM(T1765:AD1765),IF(MONTH(TODAY())=1,SUM(T1765:AE1765),T1765)))))))))))</f>
        <v>1053</v>
      </c>
      <c r="AT1765" s="95">
        <f t="shared" ref="AT1765:AT1769" si="2057">SUM(IF(AW1765&lt;1.15,AG1765,1.15*T1765),IF(AX1765&lt;1.15,AH1765,1.15*U1765),IF(AY1765&lt;1.15,AI1765,1.15*V1765),IF(AZ1765&lt;1.15,AJ1765,1.15*W1765),IF(BA1765&lt;1.15,AK1765,1.15*X1765),IF(BB1765&lt;1.15,AL1765,1.15*Y1765),IF(BC1765&lt;1.15,AM1765,1.15*Z1765),IF(BD1765&lt;1.15,AN1765,1.15*AA1765),IF(BE1765&lt;1.15,AO1765,1.15*AB1765),IF(BF1765&lt;1.15,AP1765,1.15*AC1765),IF(BG1765&lt;1.15,AQ1765,1.15*AD1765),IF(BH1765&lt;1.15,AR1765,1.15*AE1765))</f>
        <v>672.19999999999993</v>
      </c>
      <c r="AU1765" s="97">
        <f t="shared" ref="AU1765:AU1769" si="2058">SUM(AG1765:AR1765)</f>
        <v>701</v>
      </c>
      <c r="AW1765" s="51">
        <f t="shared" ref="AW1765:AW1769" si="2059">IFERROR(IF(AG1765="",0,AG1765/T1765),0)</f>
        <v>1</v>
      </c>
      <c r="AX1765" s="51">
        <f t="shared" ref="AX1765:AX1769" si="2060">IFERROR(IF(AH1765="",0,AH1765/U1765),0)</f>
        <v>1</v>
      </c>
      <c r="AY1765" s="51">
        <f t="shared" ref="AY1765:AY1769" si="2061">IFERROR(IF(AI1765="",0,AI1765/V1765),0)</f>
        <v>1</v>
      </c>
      <c r="AZ1765" s="51">
        <f t="shared" ref="AZ1765:AZ1769" si="2062">IFERROR(IF(AJ1765="",0,AJ1765/W1765),0)</f>
        <v>1.2142857142857142</v>
      </c>
      <c r="BA1765" s="51"/>
      <c r="BB1765" s="51"/>
      <c r="BC1765" s="51"/>
      <c r="BD1765" s="51"/>
      <c r="BE1765" s="51"/>
      <c r="BF1765" s="51"/>
      <c r="BG1765" s="51"/>
      <c r="BH1765" s="51"/>
      <c r="BI1765" s="65" cm="1">
        <f t="array" ref="BI1765">IFERROR(INDEX(AW1765:BH1765,1,MATCH(2,1/(AW1765:BH1765&lt;&gt;""))),"")</f>
        <v>1.2142857142857142</v>
      </c>
      <c r="BJ1765" s="68" cm="1">
        <f t="array" ref="BJ1765">IF(BM1765 = "", "",IFERROR(INDEX(AW1765:BH1765,1,MATCH(2,1/(AW1765:BH1765&lt;&gt;""),1)-1),""))</f>
        <v>1</v>
      </c>
      <c r="BK1765" s="58">
        <f>IF((IF(AW1765&gt;=115%,115%,AW1765) + IF(AX1765&gt;=115%,115%,AX1765) + IF(AY1765&gt;=115%,115%,AY1765) + (IF(AZ1765&gt;=115%,115%,AZ1765) + IF(BA1765&gt;=115%,115%,BA1765) + IF(BB1765&gt;=115%,115%,BB1765) + IF(BC1765&gt;=115%,115%,BC1765) + IF(BD1765&gt;=115%,115%,BD1765) + IF(BE1765&gt;=115%,115%,BE1765) + IF(BF1765&gt;=115%,115%,BF1765) + IF(BG1765&gt;=115%,115%,BG1765) + IF(BH1765&gt;=115%,115%,BH1765)))/_xlfn.XLOOKUP(F1765,Apuração!A:A,Apuração!B:B)&gt;=1.15,1.15,((IF(AZ1765&gt;=115%,115%,AZ1765) + IF(AX1765&gt;=115%,115%,AX1765) + IF(AY1765&gt;=115%,115%,AY1765) + (IF(AW1765&gt;=115%,115%,AW1765) + IF(BA1765&gt;=115%,115%,BA1765) + IF(BB1765&gt;=115%,115%,BB1765) + IF(BC1765&gt;=115%,115%,BC1765) + IF(BD1765&gt;=115%,115%,BD1765) + IF(BE1765&gt;=115%,115%,BE1765) + IF(BF1765&gt;=115%,115%,BF1765) + IF(BG1765&gt;=115%,115%,BG1765) + IF(BH1765&gt;=115%,115%,BH1765)))/_xlfn.XLOOKUP(F1765,Apuração!A:A,Apuração!B:B)))</f>
        <v>0.34583333333333338</v>
      </c>
      <c r="BL1765" s="58" cm="1">
        <f t="array" aca="1" ref="BL1765" ca="1">IF(SUM(IFERROR(IF(INDEX(AW1765:INDEX(AW1765:BH1765, MATCH(2, 1/(AW1765:BH1765&lt;&gt;""), 1)-1), ROW(INDIRECT("1:" &amp; MATCH(2, 1/(AW1765:BH1765&lt;&gt;""), 1)-1))) &gt;= 115%, 115%, INDEX(AW1765:INDEX(AW1765:BH1765, MATCH(2, 1/(AW1765:BH1765&lt;&gt;""), 1)-1), ROW(INDIRECT("1:" &amp; MATCH(2, 1/(AW1765:BH1765&lt;&gt;""), 1)-1)))), 0))/_xlfn.XLOOKUP(F1765,Apuração!A:A,Apuração!B:B)&gt;=1.15,1.15,SUM(IFERROR(IF(INDEX(AW1765:INDEX(AW1765:BH1765, MATCH(2, 1/(AW1765:BH1765&lt;&gt;""), 1)-1), ROW(INDIRECT("1:" &amp; MATCH(2, 1/(AW1765:BH1765&lt;&gt;""), 1)-1))) &gt;= 115%, 115%, INDEX(AW1765:INDEX(AW1765:BH1765, MATCH(2, 1/(AW1765:BH1765&lt;&gt;""), 1)-1), ROW(INDIRECT("1:" &amp; MATCH(2, 1/(AW1765:BH1765&lt;&gt;""), 1)-1)))), 0))/_xlfn.XLOOKUP(F1765,Apuração!A:A,Apuração!B:B))</f>
        <v>0.25</v>
      </c>
      <c r="BM1765" s="55" cm="1">
        <f t="array" ref="BM1765">IFERROR(
   INDEX($AW$1:$BH$1,
      _xlfn.AGGREGATE(14, 6, COLUMN($AW$1:$BH$1)/(AW1765:BH1765&lt;&gt;""), 2) - COLUMN($AW$1) + 1
   ),
"")</f>
        <v>46082</v>
      </c>
      <c r="BN1765" s="55" cm="1">
        <f t="array" ref="BN1765">IFERROR(INDEX($AW$1:$BH$1,1,MATCH(2,1/(AW1765:BH1765&lt;&gt;""))),"")</f>
        <v>46113</v>
      </c>
      <c r="BO1765" s="53">
        <f ca="1">IFERROR(_xlfn.XLOOKUP(F1765,Apuração!A:A,Apuração!C:C)/_xlfn.XLOOKUP(F1765,Apuração!A:A,Apuração!B:B),0)</f>
        <v>0.41666666666666669</v>
      </c>
      <c r="BP1765" s="53">
        <f ca="1">IFERROR(_xlfn.XLOOKUP(F1765,Apuração!A:A,Apuração!D:D)/_xlfn.XLOOKUP(F1765,Apuração!A:A,Apuração!B:B),0)</f>
        <v>0.33333333333333331</v>
      </c>
      <c r="BQ1765" s="53">
        <f ca="1">IF(BK1765&gt;=BO1765,0,_xlfn.XLOOKUP(F1765,Apuração!A:A,Apuração!B:B)*(BO1765 + (1/_xlfn.XLOOKUP(F1765,Apuração!A:A,Apuração!B:B)) - BK1765))</f>
        <v>1.8499999999999994</v>
      </c>
      <c r="BR1765" s="85">
        <f t="shared" ref="BR1765:BR1769" ca="1" si="2063">IF(BQ1765=0,0,BQ1765*Z1765)</f>
        <v>828.79999999999973</v>
      </c>
      <c r="BS1765" s="53">
        <f ca="1">IFERROR((_xlfn.XLOOKUP(F1765,Apuração!A:A,Apuração!C:C)+1)/_xlfn.XLOOKUP(F1765,Apuração!A:A,Apuração!B:B),0)</f>
        <v>0.5</v>
      </c>
    </row>
    <row r="1766" spans="1:71" ht="25.95" hidden="1" customHeight="1" x14ac:dyDescent="0.3">
      <c r="A1766" s="38" t="s">
        <v>134</v>
      </c>
      <c r="B1766" s="4" t="s">
        <v>158</v>
      </c>
      <c r="C1766" s="5" t="s">
        <v>214</v>
      </c>
      <c r="D1766" s="5" t="s">
        <v>215</v>
      </c>
      <c r="E1766" s="4" t="str" cm="1">
        <f t="array" ref="E1766">_xlfn.IFS(
F1766 = "A partir de Abril", "Aguardando Execução na Distribuidora",
A1766 = "CAPACITAÇÃO", "Em execução no Corporativo",
TRUE, "Em Execução na Distribuidora"
)</f>
        <v>Em Execução na Distribuidora</v>
      </c>
      <c r="F1766" s="4" t="str" cm="1">
        <f t="array" ref="F1766">_xlfn.IFS(
AG1766 &lt;&gt; "", "Jan-Dez/26",
AH1766 &lt;&gt; "", "Fev-Dez/26",
AI1766 &lt;&gt; "", "Mar-Dez/26", AJ1766 &lt;&gt; "", "Abr-Dez/26",
TRUE, "A partir de Junho"
)</f>
        <v>Jan-Dez/26</v>
      </c>
      <c r="G1766" s="4" t="s">
        <v>37</v>
      </c>
      <c r="H1766" s="7" t="s">
        <v>110</v>
      </c>
      <c r="I1766" s="8" t="s">
        <v>159</v>
      </c>
      <c r="J1766" s="8" t="str" cm="1">
        <f t="array" aca="1" ref="J1766" ca="1">_xlfn.LET(
  _xlpm.actual_value_month, INDEX(T1766:AE1766, MATCH(DATE(YEAR(TODAY()), MONTH(TODAY()), 1), $T$1:$AE$1, 0)),
  IF(_xlpm.actual_value_month &lt;&gt; "",_xlpm.actual_value_month &amp; " colaboradores participantes mensais", "")
)</f>
        <v>1496 colaboradores participantes mensais</v>
      </c>
      <c r="K1766" s="8" t="str" cm="1">
        <f t="array" ref="K1766">_xlfn.LET(
    _xlpm.sum_month, SUM(T1766:AE1766),
    IF(_xlpm.sum_month = 0, "", _xlpm.sum_month &amp; " participações de colaboradores no ano")
)</f>
        <v>13780 participações de colaboradores no ano</v>
      </c>
      <c r="L1766" s="9" t="s">
        <v>160</v>
      </c>
      <c r="M1766" s="24" t="s">
        <v>161</v>
      </c>
      <c r="N1766" s="5" t="s">
        <v>42</v>
      </c>
      <c r="O1766" s="5" t="s">
        <v>43</v>
      </c>
      <c r="P1766" s="10" t="s">
        <v>44</v>
      </c>
      <c r="Q1766" s="10" t="s">
        <v>44</v>
      </c>
      <c r="R1766" s="11" t="s">
        <v>147</v>
      </c>
      <c r="S1766" s="11" t="s">
        <v>162</v>
      </c>
      <c r="T1766" s="143">
        <v>107</v>
      </c>
      <c r="U1766" s="143">
        <v>101</v>
      </c>
      <c r="V1766" s="143">
        <v>108</v>
      </c>
      <c r="W1766" s="22">
        <v>1496</v>
      </c>
      <c r="X1766" s="22">
        <v>1496</v>
      </c>
      <c r="Y1766" s="22">
        <v>1496</v>
      </c>
      <c r="Z1766" s="22">
        <v>1496</v>
      </c>
      <c r="AA1766" s="22">
        <v>1496</v>
      </c>
      <c r="AB1766" s="22">
        <v>1496</v>
      </c>
      <c r="AC1766" s="22">
        <v>1496</v>
      </c>
      <c r="AD1766" s="22">
        <v>1496</v>
      </c>
      <c r="AE1766" s="22">
        <v>1496</v>
      </c>
      <c r="AG1766" s="146">
        <v>107</v>
      </c>
      <c r="AH1766" s="150">
        <v>101</v>
      </c>
      <c r="AI1766" s="150">
        <v>108</v>
      </c>
      <c r="AJ1766" s="71">
        <v>1695</v>
      </c>
      <c r="AK1766" s="71"/>
      <c r="AL1766" s="71"/>
      <c r="AM1766" s="71"/>
      <c r="AN1766" s="71"/>
      <c r="AO1766" s="71"/>
      <c r="AP1766" s="71"/>
      <c r="AQ1766" s="71"/>
      <c r="AR1766" s="71"/>
      <c r="AS1766" s="94">
        <f t="shared" ca="1" si="2056"/>
        <v>3308</v>
      </c>
      <c r="AT1766" s="95">
        <f t="shared" si="2057"/>
        <v>2011</v>
      </c>
      <c r="AU1766" s="97">
        <f t="shared" si="2058"/>
        <v>2011</v>
      </c>
      <c r="AW1766" s="51">
        <f t="shared" si="2059"/>
        <v>1</v>
      </c>
      <c r="AX1766" s="51">
        <f t="shared" si="2060"/>
        <v>1</v>
      </c>
      <c r="AY1766" s="51">
        <f t="shared" si="2061"/>
        <v>1</v>
      </c>
      <c r="AZ1766" s="51">
        <f t="shared" si="2062"/>
        <v>1.1330213903743316</v>
      </c>
      <c r="BA1766" s="51"/>
      <c r="BB1766" s="51"/>
      <c r="BC1766" s="51"/>
      <c r="BD1766" s="51"/>
      <c r="BE1766" s="51"/>
      <c r="BF1766" s="51"/>
      <c r="BG1766" s="51"/>
      <c r="BH1766" s="51"/>
      <c r="BI1766" s="65" cm="1">
        <f t="array" ref="BI1766">IFERROR(INDEX(AW1766:BH1766,1,MATCH(2,1/(AW1766:BH1766&lt;&gt;""))),"")</f>
        <v>1.1330213903743316</v>
      </c>
      <c r="BJ1766" s="68" cm="1">
        <f t="array" ref="BJ1766">IF(BM1766 = "", "",IFERROR(INDEX(AW1766:BH1766,1,MATCH(2,1/(AW1766:BH1766&lt;&gt;""),1)-1),""))</f>
        <v>1</v>
      </c>
      <c r="BK1766" s="58">
        <f>IF((IF(AW1766&gt;=115%,115%,AW1766) + IF(AX1766&gt;=115%,115%,AX1766) + IF(AY1766&gt;=115%,115%,AY1766) + (IF(AZ1766&gt;=115%,115%,AZ1766) + IF(BA1766&gt;=115%,115%,BA1766) + IF(BB1766&gt;=115%,115%,BB1766) + IF(BC1766&gt;=115%,115%,BC1766) + IF(BD1766&gt;=115%,115%,BD1766) + IF(BE1766&gt;=115%,115%,BE1766) + IF(BF1766&gt;=115%,115%,BF1766) + IF(BG1766&gt;=115%,115%,BG1766) + IF(BH1766&gt;=115%,115%,BH1766)))/_xlfn.XLOOKUP(F1766,Apuração!A:A,Apuração!B:B)&gt;=1.15,1.15,((IF(AZ1766&gt;=115%,115%,AZ1766) + IF(AX1766&gt;=115%,115%,AX1766) + IF(AY1766&gt;=115%,115%,AY1766) + (IF(AW1766&gt;=115%,115%,AW1766) + IF(BA1766&gt;=115%,115%,BA1766) + IF(BB1766&gt;=115%,115%,BB1766) + IF(BC1766&gt;=115%,115%,BC1766) + IF(BD1766&gt;=115%,115%,BD1766) + IF(BE1766&gt;=115%,115%,BE1766) + IF(BF1766&gt;=115%,115%,BF1766) + IF(BG1766&gt;=115%,115%,BG1766) + IF(BH1766&gt;=115%,115%,BH1766)))/_xlfn.XLOOKUP(F1766,Apuração!A:A,Apuração!B:B)))</f>
        <v>0.34441844919786097</v>
      </c>
      <c r="BL1766" s="58" cm="1">
        <f t="array" aca="1" ref="BL1766" ca="1">IF(SUM(IFERROR(IF(INDEX(AW1766:INDEX(AW1766:BH1766, MATCH(2, 1/(AW1766:BH1766&lt;&gt;""), 1)-1), ROW(INDIRECT("1:" &amp; MATCH(2, 1/(AW1766:BH1766&lt;&gt;""), 1)-1))) &gt;= 115%, 115%, INDEX(AW1766:INDEX(AW1766:BH1766, MATCH(2, 1/(AW1766:BH1766&lt;&gt;""), 1)-1), ROW(INDIRECT("1:" &amp; MATCH(2, 1/(AW1766:BH1766&lt;&gt;""), 1)-1)))), 0))/_xlfn.XLOOKUP(F1766,Apuração!A:A,Apuração!B:B)&gt;=1.15,1.15,SUM(IFERROR(IF(INDEX(AW1766:INDEX(AW1766:BH1766, MATCH(2, 1/(AW1766:BH1766&lt;&gt;""), 1)-1), ROW(INDIRECT("1:" &amp; MATCH(2, 1/(AW1766:BH1766&lt;&gt;""), 1)-1))) &gt;= 115%, 115%, INDEX(AW1766:INDEX(AW1766:BH1766, MATCH(2, 1/(AW1766:BH1766&lt;&gt;""), 1)-1), ROW(INDIRECT("1:" &amp; MATCH(2, 1/(AW1766:BH1766&lt;&gt;""), 1)-1)))), 0))/_xlfn.XLOOKUP(F1766,Apuração!A:A,Apuração!B:B))</f>
        <v>0.25</v>
      </c>
      <c r="BM1766" s="55" cm="1">
        <f t="array" ref="BM1766">IFERROR(
   INDEX($AW$1:$BH$1,
      _xlfn.AGGREGATE(14, 6, COLUMN($AW$1:$BH$1)/(AW1766:BH1766&lt;&gt;""), 2) - COLUMN($AW$1) + 1
   ),
"")</f>
        <v>46082</v>
      </c>
      <c r="BN1766" s="55" cm="1">
        <f t="array" ref="BN1766">IFERROR(INDEX($AW$1:$BH$1,1,MATCH(2,1/(AW1766:BH1766&lt;&gt;""))),"")</f>
        <v>46113</v>
      </c>
      <c r="BO1766" s="53">
        <f ca="1">IFERROR(_xlfn.XLOOKUP(F1766,Apuração!A:A,Apuração!C:C)/_xlfn.XLOOKUP(F1766,Apuração!A:A,Apuração!B:B),0)</f>
        <v>0.41666666666666669</v>
      </c>
      <c r="BP1766" s="53">
        <f ca="1">IFERROR(_xlfn.XLOOKUP(F1766,Apuração!A:A,Apuração!D:D)/_xlfn.XLOOKUP(F1766,Apuração!A:A,Apuração!B:B),0)</f>
        <v>0.33333333333333331</v>
      </c>
      <c r="BQ1766" s="53">
        <f ca="1">IF(BK1766&gt;=BO1766,0,_xlfn.XLOOKUP(F1766,Apuração!A:A,Apuração!B:B)*(BO1766 + (1/_xlfn.XLOOKUP(F1766,Apuração!A:A,Apuração!B:B)) - BK1766))</f>
        <v>1.8669786096256684</v>
      </c>
      <c r="BR1766" s="85">
        <f t="shared" ca="1" si="2063"/>
        <v>2793</v>
      </c>
      <c r="BS1766" s="53">
        <f ca="1">IFERROR((_xlfn.XLOOKUP(F1766,Apuração!A:A,Apuração!C:C)+1)/_xlfn.XLOOKUP(F1766,Apuração!A:A,Apuração!B:B),0)</f>
        <v>0.5</v>
      </c>
    </row>
    <row r="1767" spans="1:71" ht="25.95" hidden="1" customHeight="1" x14ac:dyDescent="0.3">
      <c r="A1767" s="38" t="s">
        <v>134</v>
      </c>
      <c r="B1767" s="4" t="s">
        <v>158</v>
      </c>
      <c r="C1767" s="5" t="s">
        <v>214</v>
      </c>
      <c r="D1767" s="5" t="s">
        <v>212</v>
      </c>
      <c r="E1767" s="4" t="str" cm="1">
        <f t="array" ref="E1767">_xlfn.IFS(
F1767 = "A partir de Abril", "Aguardando Execução na Distribuidora",
A1767 = "CAPACITAÇÃO", "Em execução no Corporativo",
TRUE, "Em Execução na Distribuidora"
)</f>
        <v>Em Execução na Distribuidora</v>
      </c>
      <c r="F1767" s="4" t="str" cm="1">
        <f t="array" ref="F1767">_xlfn.IFS(
AG1767 &lt;&gt; "", "Jan-Dez/26",
AH1767 &lt;&gt; "", "Fev-Dez/26",
AI1767 &lt;&gt; "", "Mar-Dez/26", AJ1767 &lt;&gt; "", "Abr-Dez/26",
TRUE, "A partir de Junho"
)</f>
        <v>Jan-Dez/26</v>
      </c>
      <c r="G1767" s="4" t="s">
        <v>37</v>
      </c>
      <c r="H1767" s="7" t="s">
        <v>110</v>
      </c>
      <c r="I1767" s="8" t="s">
        <v>159</v>
      </c>
      <c r="J1767" s="8" t="str" cm="1">
        <f t="array" aca="1" ref="J1767" ca="1">_xlfn.LET(
  _xlpm.actual_value_month, INDEX(T1767:AE1767, MATCH(DATE(YEAR(TODAY()), MONTH(TODAY()), 1), $T$1:$AE$1, 0)),
  IF(_xlpm.actual_value_month &lt;&gt; "",_xlpm.actual_value_month &amp; " colaboradores participantes mensais", "")
)</f>
        <v>2176 colaboradores participantes mensais</v>
      </c>
      <c r="K1767" s="8" t="str" cm="1">
        <f t="array" ref="K1767">_xlfn.LET(
    _xlpm.sum_month, SUM(T1767:AE1767),
    IF(_xlpm.sum_month = 0, "", _xlpm.sum_month &amp; " participações de colaboradores no ano")
)</f>
        <v>19973 participações de colaboradores no ano</v>
      </c>
      <c r="L1767" s="9" t="s">
        <v>160</v>
      </c>
      <c r="M1767" s="24" t="s">
        <v>161</v>
      </c>
      <c r="N1767" s="5" t="s">
        <v>42</v>
      </c>
      <c r="O1767" s="5" t="s">
        <v>43</v>
      </c>
      <c r="P1767" s="10" t="s">
        <v>44</v>
      </c>
      <c r="Q1767" s="10" t="s">
        <v>44</v>
      </c>
      <c r="R1767" s="11" t="s">
        <v>147</v>
      </c>
      <c r="S1767" s="11" t="s">
        <v>162</v>
      </c>
      <c r="T1767" s="143">
        <v>125</v>
      </c>
      <c r="U1767" s="143">
        <v>134</v>
      </c>
      <c r="V1767" s="143">
        <v>130</v>
      </c>
      <c r="W1767" s="22">
        <v>2176</v>
      </c>
      <c r="X1767" s="22">
        <v>2176</v>
      </c>
      <c r="Y1767" s="22">
        <v>2176</v>
      </c>
      <c r="Z1767" s="22">
        <v>2176</v>
      </c>
      <c r="AA1767" s="22">
        <v>2176</v>
      </c>
      <c r="AB1767" s="22">
        <v>2176</v>
      </c>
      <c r="AC1767" s="22">
        <v>2176</v>
      </c>
      <c r="AD1767" s="22">
        <v>2176</v>
      </c>
      <c r="AE1767" s="22">
        <v>2176</v>
      </c>
      <c r="AG1767" s="146">
        <v>125</v>
      </c>
      <c r="AH1767" s="150">
        <v>134</v>
      </c>
      <c r="AI1767" s="150">
        <v>130</v>
      </c>
      <c r="AJ1767" s="71">
        <v>2463</v>
      </c>
      <c r="AK1767" s="71"/>
      <c r="AL1767" s="71"/>
      <c r="AM1767" s="71"/>
      <c r="AN1767" s="71"/>
      <c r="AO1767" s="71"/>
      <c r="AP1767" s="71"/>
      <c r="AQ1767" s="71"/>
      <c r="AR1767" s="71"/>
      <c r="AS1767" s="94">
        <f t="shared" ca="1" si="2056"/>
        <v>4741</v>
      </c>
      <c r="AT1767" s="95">
        <f t="shared" si="2057"/>
        <v>2852</v>
      </c>
      <c r="AU1767" s="97">
        <f t="shared" si="2058"/>
        <v>2852</v>
      </c>
      <c r="AW1767" s="51">
        <f t="shared" si="2059"/>
        <v>1</v>
      </c>
      <c r="AX1767" s="51">
        <f t="shared" si="2060"/>
        <v>1</v>
      </c>
      <c r="AY1767" s="51">
        <f t="shared" si="2061"/>
        <v>1</v>
      </c>
      <c r="AZ1767" s="51">
        <f t="shared" si="2062"/>
        <v>1.1318933823529411</v>
      </c>
      <c r="BA1767" s="51"/>
      <c r="BB1767" s="51"/>
      <c r="BC1767" s="51"/>
      <c r="BD1767" s="51"/>
      <c r="BE1767" s="51"/>
      <c r="BF1767" s="51"/>
      <c r="BG1767" s="51"/>
      <c r="BH1767" s="51"/>
      <c r="BI1767" s="65" cm="1">
        <f t="array" ref="BI1767">IFERROR(INDEX(AW1767:BH1767,1,MATCH(2,1/(AW1767:BH1767&lt;&gt;""))),"")</f>
        <v>1.1318933823529411</v>
      </c>
      <c r="BJ1767" s="68" cm="1">
        <f t="array" ref="BJ1767">IF(BM1767 = "", "",IFERROR(INDEX(AW1767:BH1767,1,MATCH(2,1/(AW1767:BH1767&lt;&gt;""),1)-1),""))</f>
        <v>1</v>
      </c>
      <c r="BK1767" s="58">
        <f>IF((IF(AW1767&gt;=115%,115%,AW1767) + IF(AX1767&gt;=115%,115%,AX1767) + IF(AY1767&gt;=115%,115%,AY1767) + (IF(AZ1767&gt;=115%,115%,AZ1767) + IF(BA1767&gt;=115%,115%,BA1767) + IF(BB1767&gt;=115%,115%,BB1767) + IF(BC1767&gt;=115%,115%,BC1767) + IF(BD1767&gt;=115%,115%,BD1767) + IF(BE1767&gt;=115%,115%,BE1767) + IF(BF1767&gt;=115%,115%,BF1767) + IF(BG1767&gt;=115%,115%,BG1767) + IF(BH1767&gt;=115%,115%,BH1767)))/_xlfn.XLOOKUP(F1767,Apuração!A:A,Apuração!B:B)&gt;=1.15,1.15,((IF(AZ1767&gt;=115%,115%,AZ1767) + IF(AX1767&gt;=115%,115%,AX1767) + IF(AY1767&gt;=115%,115%,AY1767) + (IF(AW1767&gt;=115%,115%,AW1767) + IF(BA1767&gt;=115%,115%,BA1767) + IF(BB1767&gt;=115%,115%,BB1767) + IF(BC1767&gt;=115%,115%,BC1767) + IF(BD1767&gt;=115%,115%,BD1767) + IF(BE1767&gt;=115%,115%,BE1767) + IF(BF1767&gt;=115%,115%,BF1767) + IF(BG1767&gt;=115%,115%,BG1767) + IF(BH1767&gt;=115%,115%,BH1767)))/_xlfn.XLOOKUP(F1767,Apuração!A:A,Apuração!B:B)))</f>
        <v>0.34432444852941174</v>
      </c>
      <c r="BL1767" s="58" cm="1">
        <f t="array" aca="1" ref="BL1767" ca="1">IF(SUM(IFERROR(IF(INDEX(AW1767:INDEX(AW1767:BH1767, MATCH(2, 1/(AW1767:BH1767&lt;&gt;""), 1)-1), ROW(INDIRECT("1:" &amp; MATCH(2, 1/(AW1767:BH1767&lt;&gt;""), 1)-1))) &gt;= 115%, 115%, INDEX(AW1767:INDEX(AW1767:BH1767, MATCH(2, 1/(AW1767:BH1767&lt;&gt;""), 1)-1), ROW(INDIRECT("1:" &amp; MATCH(2, 1/(AW1767:BH1767&lt;&gt;""), 1)-1)))), 0))/_xlfn.XLOOKUP(F1767,Apuração!A:A,Apuração!B:B)&gt;=1.15,1.15,SUM(IFERROR(IF(INDEX(AW1767:INDEX(AW1767:BH1767, MATCH(2, 1/(AW1767:BH1767&lt;&gt;""), 1)-1), ROW(INDIRECT("1:" &amp; MATCH(2, 1/(AW1767:BH1767&lt;&gt;""), 1)-1))) &gt;= 115%, 115%, INDEX(AW1767:INDEX(AW1767:BH1767, MATCH(2, 1/(AW1767:BH1767&lt;&gt;""), 1)-1), ROW(INDIRECT("1:" &amp; MATCH(2, 1/(AW1767:BH1767&lt;&gt;""), 1)-1)))), 0))/_xlfn.XLOOKUP(F1767,Apuração!A:A,Apuração!B:B))</f>
        <v>0.25</v>
      </c>
      <c r="BM1767" s="55" cm="1">
        <f t="array" ref="BM1767">IFERROR(
   INDEX($AW$1:$BH$1,
      _xlfn.AGGREGATE(14, 6, COLUMN($AW$1:$BH$1)/(AW1767:BH1767&lt;&gt;""), 2) - COLUMN($AW$1) + 1
   ),
"")</f>
        <v>46082</v>
      </c>
      <c r="BN1767" s="55" cm="1">
        <f t="array" ref="BN1767">IFERROR(INDEX($AW$1:$BH$1,1,MATCH(2,1/(AW1767:BH1767&lt;&gt;""))),"")</f>
        <v>46113</v>
      </c>
      <c r="BO1767" s="53">
        <f ca="1">IFERROR(_xlfn.XLOOKUP(F1767,Apuração!A:A,Apuração!C:C)/_xlfn.XLOOKUP(F1767,Apuração!A:A,Apuração!B:B),0)</f>
        <v>0.41666666666666669</v>
      </c>
      <c r="BP1767" s="53">
        <f ca="1">IFERROR(_xlfn.XLOOKUP(F1767,Apuração!A:A,Apuração!D:D)/_xlfn.XLOOKUP(F1767,Apuração!A:A,Apuração!B:B),0)</f>
        <v>0.33333333333333331</v>
      </c>
      <c r="BQ1767" s="53">
        <f ca="1">IF(BK1767&gt;=BO1767,0,_xlfn.XLOOKUP(F1767,Apuração!A:A,Apuração!B:B)*(BO1767 + (1/_xlfn.XLOOKUP(F1767,Apuração!A:A,Apuração!B:B)) - BK1767))</f>
        <v>1.8681066176470591</v>
      </c>
      <c r="BR1767" s="85">
        <f t="shared" ca="1" si="2063"/>
        <v>4065.0000000000005</v>
      </c>
      <c r="BS1767" s="53">
        <f ca="1">IFERROR((_xlfn.XLOOKUP(F1767,Apuração!A:A,Apuração!C:C)+1)/_xlfn.XLOOKUP(F1767,Apuração!A:A,Apuração!B:B),0)</f>
        <v>0.5</v>
      </c>
    </row>
    <row r="1768" spans="1:71" ht="25.95" hidden="1" customHeight="1" x14ac:dyDescent="0.3">
      <c r="A1768" s="38" t="s">
        <v>134</v>
      </c>
      <c r="B1768" s="4" t="s">
        <v>158</v>
      </c>
      <c r="C1768" s="5" t="s">
        <v>214</v>
      </c>
      <c r="D1768" s="5" t="s">
        <v>48</v>
      </c>
      <c r="E1768" s="4" t="str" cm="1">
        <f t="array" ref="E1768">_xlfn.IFS(
F1768 = "A partir de Abril", "Aguardando Execução na Distribuidora",
A1768 = "CAPACITAÇÃO", "Em execução no Corporativo",
TRUE, "Em Execução na Distribuidora"
)</f>
        <v>Em Execução na Distribuidora</v>
      </c>
      <c r="F1768" s="4" t="str" cm="1">
        <f t="array" ref="F1768">_xlfn.IFS(
AG1768 &lt;&gt; "", "Jan-Dez/26",
AH1768 &lt;&gt; "", "Fev-Dez/26",
AI1768 &lt;&gt; "", "Mar-Dez/26", AJ1768 &lt;&gt; "", "Abr-Dez/26",
TRUE, "A partir de Junho"
)</f>
        <v>Jan-Dez/26</v>
      </c>
      <c r="G1768" s="4" t="s">
        <v>37</v>
      </c>
      <c r="H1768" s="7" t="s">
        <v>110</v>
      </c>
      <c r="I1768" s="8" t="s">
        <v>159</v>
      </c>
      <c r="J1768" s="8" t="str" cm="1">
        <f t="array" aca="1" ref="J1768" ca="1">_xlfn.LET(
  _xlpm.actual_value_month, INDEX(T1768:AE1768, MATCH(DATE(YEAR(TODAY()), MONTH(TODAY()), 1), $T$1:$AE$1, 0)),
  IF(_xlpm.actual_value_month &lt;&gt; "",_xlpm.actual_value_month &amp; " colaboradores participantes mensais", "")
)</f>
        <v>1064 colaboradores participantes mensais</v>
      </c>
      <c r="K1768" s="8" t="str" cm="1">
        <f t="array" ref="K1768">_xlfn.LET(
    _xlpm.sum_month, SUM(T1768:AE1768),
    IF(_xlpm.sum_month = 0, "", _xlpm.sum_month &amp; " participações de colaboradores no ano")
)</f>
        <v>9806 participações de colaboradores no ano</v>
      </c>
      <c r="L1768" s="9" t="s">
        <v>160</v>
      </c>
      <c r="M1768" s="24" t="s">
        <v>161</v>
      </c>
      <c r="N1768" s="5" t="s">
        <v>42</v>
      </c>
      <c r="O1768" s="5" t="s">
        <v>43</v>
      </c>
      <c r="P1768" s="10" t="s">
        <v>44</v>
      </c>
      <c r="Q1768" s="10" t="s">
        <v>44</v>
      </c>
      <c r="R1768" s="11" t="s">
        <v>147</v>
      </c>
      <c r="S1768" s="11" t="s">
        <v>162</v>
      </c>
      <c r="T1768" s="143">
        <v>85</v>
      </c>
      <c r="U1768" s="143">
        <v>74</v>
      </c>
      <c r="V1768" s="143">
        <v>71</v>
      </c>
      <c r="W1768" s="22">
        <v>1064</v>
      </c>
      <c r="X1768" s="22">
        <v>1064</v>
      </c>
      <c r="Y1768" s="22">
        <v>1064</v>
      </c>
      <c r="Z1768" s="22">
        <v>1064</v>
      </c>
      <c r="AA1768" s="22">
        <v>1064</v>
      </c>
      <c r="AB1768" s="22">
        <v>1064</v>
      </c>
      <c r="AC1768" s="22">
        <v>1064</v>
      </c>
      <c r="AD1768" s="22">
        <v>1064</v>
      </c>
      <c r="AE1768" s="22">
        <v>1064</v>
      </c>
      <c r="AG1768" s="146">
        <v>85</v>
      </c>
      <c r="AH1768" s="150">
        <v>74</v>
      </c>
      <c r="AI1768" s="150">
        <v>71</v>
      </c>
      <c r="AJ1768" s="71">
        <v>1142</v>
      </c>
      <c r="AK1768" s="71"/>
      <c r="AL1768" s="71"/>
      <c r="AM1768" s="71"/>
      <c r="AN1768" s="71"/>
      <c r="AO1768" s="71"/>
      <c r="AP1768" s="71"/>
      <c r="AQ1768" s="71"/>
      <c r="AR1768" s="71"/>
      <c r="AS1768" s="94">
        <f t="shared" ca="1" si="2056"/>
        <v>2358</v>
      </c>
      <c r="AT1768" s="95">
        <f t="shared" si="2057"/>
        <v>1372</v>
      </c>
      <c r="AU1768" s="97">
        <f t="shared" si="2058"/>
        <v>1372</v>
      </c>
      <c r="AW1768" s="51">
        <f t="shared" si="2059"/>
        <v>1</v>
      </c>
      <c r="AX1768" s="51">
        <f t="shared" si="2060"/>
        <v>1</v>
      </c>
      <c r="AY1768" s="51">
        <f t="shared" si="2061"/>
        <v>1</v>
      </c>
      <c r="AZ1768" s="51">
        <f t="shared" si="2062"/>
        <v>1.0733082706766917</v>
      </c>
      <c r="BA1768" s="51"/>
      <c r="BB1768" s="51"/>
      <c r="BC1768" s="51"/>
      <c r="BD1768" s="51"/>
      <c r="BE1768" s="51"/>
      <c r="BF1768" s="51"/>
      <c r="BG1768" s="51"/>
      <c r="BH1768" s="51"/>
      <c r="BI1768" s="65" cm="1">
        <f t="array" ref="BI1768">IFERROR(INDEX(AW1768:BH1768,1,MATCH(2,1/(AW1768:BH1768&lt;&gt;""))),"")</f>
        <v>1.0733082706766917</v>
      </c>
      <c r="BJ1768" s="68" cm="1">
        <f t="array" ref="BJ1768">IF(BM1768 = "", "",IFERROR(INDEX(AW1768:BH1768,1,MATCH(2,1/(AW1768:BH1768&lt;&gt;""),1)-1),""))</f>
        <v>1</v>
      </c>
      <c r="BK1768" s="58">
        <f>IF((IF(AW1768&gt;=115%,115%,AW1768) + IF(AX1768&gt;=115%,115%,AX1768) + IF(AY1768&gt;=115%,115%,AY1768) + (IF(AZ1768&gt;=115%,115%,AZ1768) + IF(BA1768&gt;=115%,115%,BA1768) + IF(BB1768&gt;=115%,115%,BB1768) + IF(BC1768&gt;=115%,115%,BC1768) + IF(BD1768&gt;=115%,115%,BD1768) + IF(BE1768&gt;=115%,115%,BE1768) + IF(BF1768&gt;=115%,115%,BF1768) + IF(BG1768&gt;=115%,115%,BG1768) + IF(BH1768&gt;=115%,115%,BH1768)))/_xlfn.XLOOKUP(F1768,Apuração!A:A,Apuração!B:B)&gt;=1.15,1.15,((IF(AZ1768&gt;=115%,115%,AZ1768) + IF(AX1768&gt;=115%,115%,AX1768) + IF(AY1768&gt;=115%,115%,AY1768) + (IF(AW1768&gt;=115%,115%,AW1768) + IF(BA1768&gt;=115%,115%,BA1768) + IF(BB1768&gt;=115%,115%,BB1768) + IF(BC1768&gt;=115%,115%,BC1768) + IF(BD1768&gt;=115%,115%,BD1768) + IF(BE1768&gt;=115%,115%,BE1768) + IF(BF1768&gt;=115%,115%,BF1768) + IF(BG1768&gt;=115%,115%,BG1768) + IF(BH1768&gt;=115%,115%,BH1768)))/_xlfn.XLOOKUP(F1768,Apuração!A:A,Apuração!B:B)))</f>
        <v>0.33944235588972432</v>
      </c>
      <c r="BL1768" s="58" cm="1">
        <f t="array" aca="1" ref="BL1768" ca="1">IF(SUM(IFERROR(IF(INDEX(AW1768:INDEX(AW1768:BH1768, MATCH(2, 1/(AW1768:BH1768&lt;&gt;""), 1)-1), ROW(INDIRECT("1:" &amp; MATCH(2, 1/(AW1768:BH1768&lt;&gt;""), 1)-1))) &gt;= 115%, 115%, INDEX(AW1768:INDEX(AW1768:BH1768, MATCH(2, 1/(AW1768:BH1768&lt;&gt;""), 1)-1), ROW(INDIRECT("1:" &amp; MATCH(2, 1/(AW1768:BH1768&lt;&gt;""), 1)-1)))), 0))/_xlfn.XLOOKUP(F1768,Apuração!A:A,Apuração!B:B)&gt;=1.15,1.15,SUM(IFERROR(IF(INDEX(AW1768:INDEX(AW1768:BH1768, MATCH(2, 1/(AW1768:BH1768&lt;&gt;""), 1)-1), ROW(INDIRECT("1:" &amp; MATCH(2, 1/(AW1768:BH1768&lt;&gt;""), 1)-1))) &gt;= 115%, 115%, INDEX(AW1768:INDEX(AW1768:BH1768, MATCH(2, 1/(AW1768:BH1768&lt;&gt;""), 1)-1), ROW(INDIRECT("1:" &amp; MATCH(2, 1/(AW1768:BH1768&lt;&gt;""), 1)-1)))), 0))/_xlfn.XLOOKUP(F1768,Apuração!A:A,Apuração!B:B))</f>
        <v>0.25</v>
      </c>
      <c r="BM1768" s="55" cm="1">
        <f t="array" ref="BM1768">IFERROR(
   INDEX($AW$1:$BH$1,
      _xlfn.AGGREGATE(14, 6, COLUMN($AW$1:$BH$1)/(AW1768:BH1768&lt;&gt;""), 2) - COLUMN($AW$1) + 1
   ),
"")</f>
        <v>46082</v>
      </c>
      <c r="BN1768" s="55" cm="1">
        <f t="array" ref="BN1768">IFERROR(INDEX($AW$1:$BH$1,1,MATCH(2,1/(AW1768:BH1768&lt;&gt;""))),"")</f>
        <v>46113</v>
      </c>
      <c r="BO1768" s="53">
        <f ca="1">IFERROR(_xlfn.XLOOKUP(F1768,Apuração!A:A,Apuração!C:C)/_xlfn.XLOOKUP(F1768,Apuração!A:A,Apuração!B:B),0)</f>
        <v>0.41666666666666669</v>
      </c>
      <c r="BP1768" s="53">
        <f ca="1">IFERROR(_xlfn.XLOOKUP(F1768,Apuração!A:A,Apuração!D:D)/_xlfn.XLOOKUP(F1768,Apuração!A:A,Apuração!B:B),0)</f>
        <v>0.33333333333333331</v>
      </c>
      <c r="BQ1768" s="53">
        <f ca="1">IF(BK1768&gt;=BO1768,0,_xlfn.XLOOKUP(F1768,Apuração!A:A,Apuração!B:B)*(BO1768 + (1/_xlfn.XLOOKUP(F1768,Apuração!A:A,Apuração!B:B)) - BK1768))</f>
        <v>1.9266917293233081</v>
      </c>
      <c r="BR1768" s="85">
        <f t="shared" ca="1" si="2063"/>
        <v>2050</v>
      </c>
      <c r="BS1768" s="53">
        <f ca="1">IFERROR((_xlfn.XLOOKUP(F1768,Apuração!A:A,Apuração!C:C)+1)/_xlfn.XLOOKUP(F1768,Apuração!A:A,Apuração!B:B),0)</f>
        <v>0.5</v>
      </c>
    </row>
    <row r="1769" spans="1:71" ht="25.95" hidden="1" customHeight="1" x14ac:dyDescent="0.3">
      <c r="A1769" s="38" t="s">
        <v>134</v>
      </c>
      <c r="B1769" s="4" t="s">
        <v>158</v>
      </c>
      <c r="C1769" s="5" t="s">
        <v>214</v>
      </c>
      <c r="D1769" s="5" t="s">
        <v>213</v>
      </c>
      <c r="E1769" s="4" t="str" cm="1">
        <f t="array" ref="E1769">_xlfn.IFS(
F1769 = "A partir de Abril", "Aguardando Execução na Distribuidora",
A1769 = "CAPACITAÇÃO", "Em execução no Corporativo",
TRUE, "Em Execução na Distribuidora"
)</f>
        <v>Em Execução na Distribuidora</v>
      </c>
      <c r="F1769" s="4" t="str" cm="1">
        <f t="array" ref="F1769">_xlfn.IFS(
AG1769 &lt;&gt; "", "Jan-Dez/26",
AH1769 &lt;&gt; "", "Fev-Dez/26",
AI1769 &lt;&gt; "", "Mar-Dez/26", AJ1769 &lt;&gt; "", "Abr-Dez/26",
TRUE, "A partir de Junho"
)</f>
        <v>Jan-Dez/26</v>
      </c>
      <c r="G1769" s="4" t="s">
        <v>37</v>
      </c>
      <c r="H1769" s="7" t="s">
        <v>110</v>
      </c>
      <c r="I1769" s="8" t="s">
        <v>159</v>
      </c>
      <c r="J1769" s="8" t="str" cm="1">
        <f t="array" aca="1" ref="J1769" ca="1">_xlfn.LET(
  _xlpm.actual_value_month, INDEX(T1769:AE1769, MATCH(DATE(YEAR(TODAY()), MONTH(TODAY()), 1), $T$1:$AE$1, 0)),
  IF(_xlpm.actual_value_month &lt;&gt; "",_xlpm.actual_value_month &amp; " colaboradores participantes mensais", "")
)</f>
        <v>1944 colaboradores participantes mensais</v>
      </c>
      <c r="K1769" s="8" t="str" cm="1">
        <f t="array" ref="K1769">_xlfn.LET(
    _xlpm.sum_month, SUM(T1769:AE1769),
    IF(_xlpm.sum_month = 0, "", _xlpm.sum_month &amp; " participações de colaboradores no ano")
)</f>
        <v>17820 participações de colaboradores no ano</v>
      </c>
      <c r="L1769" s="9" t="s">
        <v>160</v>
      </c>
      <c r="M1769" s="24" t="s">
        <v>161</v>
      </c>
      <c r="N1769" s="5" t="s">
        <v>42</v>
      </c>
      <c r="O1769" s="5" t="s">
        <v>43</v>
      </c>
      <c r="P1769" s="10" t="s">
        <v>44</v>
      </c>
      <c r="Q1769" s="10" t="s">
        <v>44</v>
      </c>
      <c r="R1769" s="11" t="s">
        <v>147</v>
      </c>
      <c r="S1769" s="11" t="s">
        <v>162</v>
      </c>
      <c r="T1769" s="143">
        <v>115</v>
      </c>
      <c r="U1769" s="143">
        <v>110</v>
      </c>
      <c r="V1769" s="143">
        <v>99</v>
      </c>
      <c r="W1769" s="22">
        <v>1944</v>
      </c>
      <c r="X1769" s="22">
        <v>1944</v>
      </c>
      <c r="Y1769" s="22">
        <v>1944</v>
      </c>
      <c r="Z1769" s="22">
        <v>1944</v>
      </c>
      <c r="AA1769" s="22">
        <v>1944</v>
      </c>
      <c r="AB1769" s="22">
        <v>1944</v>
      </c>
      <c r="AC1769" s="22">
        <v>1944</v>
      </c>
      <c r="AD1769" s="22">
        <v>1944</v>
      </c>
      <c r="AE1769" s="22">
        <v>1944</v>
      </c>
      <c r="AG1769" s="146">
        <v>115</v>
      </c>
      <c r="AH1769" s="150">
        <v>110</v>
      </c>
      <c r="AI1769" s="150">
        <v>99</v>
      </c>
      <c r="AJ1769" s="71">
        <v>2121</v>
      </c>
      <c r="AK1769" s="71"/>
      <c r="AL1769" s="71"/>
      <c r="AM1769" s="71"/>
      <c r="AN1769" s="71"/>
      <c r="AO1769" s="71"/>
      <c r="AP1769" s="71"/>
      <c r="AQ1769" s="71"/>
      <c r="AR1769" s="71"/>
      <c r="AS1769" s="94">
        <f t="shared" ca="1" si="2056"/>
        <v>4212</v>
      </c>
      <c r="AT1769" s="95">
        <f t="shared" si="2057"/>
        <v>2445</v>
      </c>
      <c r="AU1769" s="97">
        <f t="shared" si="2058"/>
        <v>2445</v>
      </c>
      <c r="AW1769" s="51">
        <f t="shared" si="2059"/>
        <v>1</v>
      </c>
      <c r="AX1769" s="51">
        <f t="shared" si="2060"/>
        <v>1</v>
      </c>
      <c r="AY1769" s="51">
        <f t="shared" si="2061"/>
        <v>1</v>
      </c>
      <c r="AZ1769" s="51">
        <f t="shared" si="2062"/>
        <v>1.0910493827160495</v>
      </c>
      <c r="BA1769" s="51"/>
      <c r="BB1769" s="51"/>
      <c r="BC1769" s="51"/>
      <c r="BD1769" s="51"/>
      <c r="BE1769" s="51"/>
      <c r="BF1769" s="51"/>
      <c r="BG1769" s="51"/>
      <c r="BH1769" s="51"/>
      <c r="BI1769" s="65" cm="1">
        <f t="array" ref="BI1769">IFERROR(INDEX(AW1769:BH1769,1,MATCH(2,1/(AW1769:BH1769&lt;&gt;""))),"")</f>
        <v>1.0910493827160495</v>
      </c>
      <c r="BJ1769" s="68" cm="1">
        <f t="array" ref="BJ1769">IF(BM1769 = "", "",IFERROR(INDEX(AW1769:BH1769,1,MATCH(2,1/(AW1769:BH1769&lt;&gt;""),1)-1),""))</f>
        <v>1</v>
      </c>
      <c r="BK1769" s="58">
        <f>IF((IF(AW1769&gt;=115%,115%,AW1769) + IF(AX1769&gt;=115%,115%,AX1769) + IF(AY1769&gt;=115%,115%,AY1769) + (IF(AZ1769&gt;=115%,115%,AZ1769) + IF(BA1769&gt;=115%,115%,BA1769) + IF(BB1769&gt;=115%,115%,BB1769) + IF(BC1769&gt;=115%,115%,BC1769) + IF(BD1769&gt;=115%,115%,BD1769) + IF(BE1769&gt;=115%,115%,BE1769) + IF(BF1769&gt;=115%,115%,BF1769) + IF(BG1769&gt;=115%,115%,BG1769) + IF(BH1769&gt;=115%,115%,BH1769)))/_xlfn.XLOOKUP(F1769,Apuração!A:A,Apuração!B:B)&gt;=1.15,1.15,((IF(AZ1769&gt;=115%,115%,AZ1769) + IF(AX1769&gt;=115%,115%,AX1769) + IF(AY1769&gt;=115%,115%,AY1769) + (IF(AW1769&gt;=115%,115%,AW1769) + IF(BA1769&gt;=115%,115%,BA1769) + IF(BB1769&gt;=115%,115%,BB1769) + IF(BC1769&gt;=115%,115%,BC1769) + IF(BD1769&gt;=115%,115%,BD1769) + IF(BE1769&gt;=115%,115%,BE1769) + IF(BF1769&gt;=115%,115%,BF1769) + IF(BG1769&gt;=115%,115%,BG1769) + IF(BH1769&gt;=115%,115%,BH1769)))/_xlfn.XLOOKUP(F1769,Apuração!A:A,Apuração!B:B)))</f>
        <v>0.34092078189300407</v>
      </c>
      <c r="BL1769" s="58" cm="1">
        <f t="array" aca="1" ref="BL1769" ca="1">IF(SUM(IFERROR(IF(INDEX(AW1769:INDEX(AW1769:BH1769, MATCH(2, 1/(AW1769:BH1769&lt;&gt;""), 1)-1), ROW(INDIRECT("1:" &amp; MATCH(2, 1/(AW1769:BH1769&lt;&gt;""), 1)-1))) &gt;= 115%, 115%, INDEX(AW1769:INDEX(AW1769:BH1769, MATCH(2, 1/(AW1769:BH1769&lt;&gt;""), 1)-1), ROW(INDIRECT("1:" &amp; MATCH(2, 1/(AW1769:BH1769&lt;&gt;""), 1)-1)))), 0))/_xlfn.XLOOKUP(F1769,Apuração!A:A,Apuração!B:B)&gt;=1.15,1.15,SUM(IFERROR(IF(INDEX(AW1769:INDEX(AW1769:BH1769, MATCH(2, 1/(AW1769:BH1769&lt;&gt;""), 1)-1), ROW(INDIRECT("1:" &amp; MATCH(2, 1/(AW1769:BH1769&lt;&gt;""), 1)-1))) &gt;= 115%, 115%, INDEX(AW1769:INDEX(AW1769:BH1769, MATCH(2, 1/(AW1769:BH1769&lt;&gt;""), 1)-1), ROW(INDIRECT("1:" &amp; MATCH(2, 1/(AW1769:BH1769&lt;&gt;""), 1)-1)))), 0))/_xlfn.XLOOKUP(F1769,Apuração!A:A,Apuração!B:B))</f>
        <v>0.25</v>
      </c>
      <c r="BM1769" s="55" cm="1">
        <f t="array" ref="BM1769">IFERROR(
   INDEX($AW$1:$BH$1,
      _xlfn.AGGREGATE(14, 6, COLUMN($AW$1:$BH$1)/(AW1769:BH1769&lt;&gt;""), 2) - COLUMN($AW$1) + 1
   ),
"")</f>
        <v>46082</v>
      </c>
      <c r="BN1769" s="55" cm="1">
        <f t="array" ref="BN1769">IFERROR(INDEX($AW$1:$BH$1,1,MATCH(2,1/(AW1769:BH1769&lt;&gt;""))),"")</f>
        <v>46113</v>
      </c>
      <c r="BO1769" s="53">
        <f ca="1">IFERROR(_xlfn.XLOOKUP(F1769,Apuração!A:A,Apuração!C:C)/_xlfn.XLOOKUP(F1769,Apuração!A:A,Apuração!B:B),0)</f>
        <v>0.41666666666666669</v>
      </c>
      <c r="BP1769" s="53">
        <f ca="1">IFERROR(_xlfn.XLOOKUP(F1769,Apuração!A:A,Apuração!D:D)/_xlfn.XLOOKUP(F1769,Apuração!A:A,Apuração!B:B),0)</f>
        <v>0.33333333333333331</v>
      </c>
      <c r="BQ1769" s="53">
        <f ca="1">IF(BK1769&gt;=BO1769,0,_xlfn.XLOOKUP(F1769,Apuração!A:A,Apuração!B:B)*(BO1769 + (1/_xlfn.XLOOKUP(F1769,Apuração!A:A,Apuração!B:B)) - BK1769))</f>
        <v>1.9089506172839512</v>
      </c>
      <c r="BR1769" s="85">
        <f t="shared" ca="1" si="2063"/>
        <v>3711.0000000000014</v>
      </c>
      <c r="BS1769" s="53">
        <f ca="1">IFERROR((_xlfn.XLOOKUP(F1769,Apuração!A:A,Apuração!C:C)+1)/_xlfn.XLOOKUP(F1769,Apuração!A:A,Apuração!B:B),0)</f>
        <v>0.5</v>
      </c>
    </row>
    <row r="1770" spans="1:71" ht="25.95" hidden="1" customHeight="1" x14ac:dyDescent="0.3">
      <c r="A1770" s="42" t="s">
        <v>134</v>
      </c>
      <c r="B1770" s="4" t="s">
        <v>158</v>
      </c>
      <c r="C1770" s="5" t="s">
        <v>214</v>
      </c>
      <c r="D1770" s="5" t="s">
        <v>36</v>
      </c>
      <c r="E1770" s="4" t="str" cm="1">
        <f t="array" ref="E1770">_xlfn.IFS(
F1770 = "A partir de Abril", "Aguardando Execução na Distribuidora",
A1770 = "CAPACITAÇÃO", "Em execução no Corporativo",
TRUE, "Em Execução na Distribuidora"
)</f>
        <v>Em Execução na Distribuidora</v>
      </c>
      <c r="F1770" s="4" t="str" cm="1">
        <f t="array" ref="F1770">_xlfn.IFS(
AG1770 &lt;&gt; "", "Jan-Dez/26",
AH1770 &lt;&gt; "", "Fev-Dez/26",
AI1770 &lt;&gt; "", "Mar-Dez/26", AJ1770 &lt;&gt; "", "Abr-Dez/26",
TRUE, "A partir de Junho"
)</f>
        <v>Jan-Dez/26</v>
      </c>
      <c r="G1770" s="4" t="s">
        <v>37</v>
      </c>
      <c r="H1770" s="7" t="s">
        <v>110</v>
      </c>
      <c r="I1770" s="8" t="s">
        <v>163</v>
      </c>
      <c r="J1770" s="8" t="str" cm="1">
        <f t="array" aca="1" ref="J1770" ca="1">_xlfn.LET(
  _xlpm.actual_value_month, INDEX(T1770:AE1770, MATCH(DATE(YEAR(TODAY()), MONTH(TODAY()), 1), $T$1:$AE$1, 0)),
  IF(_xlpm.actual_value_month &lt;&gt; "",_xlpm.actual_value_month &amp; " ações mensais", "")
)</f>
        <v/>
      </c>
      <c r="K1770" s="8" t="str" cm="1">
        <f t="array" ref="K1770">_xlfn.LET(
    _xlpm.sum_month, SUM(T1770:AE1770),
    IF(_xlpm.sum_month = 0, "", _xlpm.sum_month &amp; " DSS no ano")
)</f>
        <v/>
      </c>
      <c r="L1770" s="9" t="s">
        <v>164</v>
      </c>
      <c r="M1770" s="24">
        <v>1</v>
      </c>
      <c r="N1770" s="5" t="s">
        <v>51</v>
      </c>
      <c r="O1770" s="111" t="s">
        <v>52</v>
      </c>
      <c r="P1770" s="10" t="s">
        <v>146</v>
      </c>
      <c r="Q1770" s="10" t="s">
        <v>72</v>
      </c>
      <c r="R1770" s="11" t="s">
        <v>147</v>
      </c>
      <c r="S1770" s="11" t="s">
        <v>162</v>
      </c>
      <c r="T1770" s="22"/>
      <c r="U1770" s="22"/>
      <c r="V1770" s="22"/>
      <c r="W1770" s="22"/>
      <c r="X1770" s="22"/>
      <c r="Y1770" s="22"/>
      <c r="Z1770" s="22"/>
      <c r="AA1770" s="22"/>
      <c r="AB1770" s="22"/>
      <c r="AC1770" s="22"/>
      <c r="AD1770" s="22"/>
      <c r="AE1770" s="22"/>
      <c r="AG1770" s="71">
        <v>67</v>
      </c>
      <c r="AH1770" s="71">
        <v>59</v>
      </c>
      <c r="AI1770" s="71">
        <v>59</v>
      </c>
      <c r="AJ1770" s="71">
        <v>20</v>
      </c>
      <c r="AK1770" s="71"/>
      <c r="AL1770" s="71"/>
      <c r="AM1770" s="71"/>
      <c r="AN1770" s="71"/>
      <c r="AO1770" s="71"/>
      <c r="AP1770" s="71"/>
      <c r="AQ1770" s="71"/>
      <c r="AR1770" s="71"/>
      <c r="AS1770" s="94">
        <f ca="1">IF(MONTH(TODAY())=3,SUM(T1770:U1770),IF(MONTH(TODAY())=4,SUM(T1770:V1770),IF(MONTH(TODAY())=5,SUM(T1770:W1770),IF(MONTH(TODAY())=6,SUM(T1770:X1770),IF(MONTH(TODAY())=7,SUM(T1770:Y1770),IF(MONTH(TODAY())=8,SUM(T1770:Z1770),IF(MONTH(TODAY())=9,SUM(T1770:AA1770),IF(MONTH(TODAY())=10,SUM(T1770:AB1770),IF(MONTH(TODAY())=11,SUM(T1770:AC1770),IF(MONTH(TODAY())=12,SUM(T1770:AD1770),IF(MONTH(TODAY())=1,SUM(T1770:AE1770),T1770)))))))))))</f>
        <v>0</v>
      </c>
      <c r="AT1770" s="95">
        <f>SUM(IF(AW1770&lt;1.15,AG1770,1.15*T1770),IF(AX1770&lt;1.15,AH1770,1.15*U1770),IF(AY1770&lt;1.15,AI1770,1.15*V1770),IF(AZ1770&lt;1.15,AJ1770,1.15*W1770),IF(BA1770&lt;1.15,AK1770,1.15*X1770),IF(BB1770&lt;1.15,AL1770,1.15*Y1770),IF(BC1770&lt;1.15,AM1770,1.15*Z1770),IF(BD1770&lt;1.15,AN1770,1.15*AA1770),IF(BE1770&lt;1.15,AO1770,1.15*AB1770),IF(BF1770&lt;1.15,AP1770,1.15*AC1770),IF(BG1770&lt;1.15,AQ1770,1.15*AD1770),IF(BH1770&lt;1.15,AR1770,1.15*AE1770))</f>
        <v>0</v>
      </c>
      <c r="AU1770" s="97">
        <f>SUM(AG1770:AR1770)</f>
        <v>205</v>
      </c>
      <c r="AW1770" s="83">
        <f>AG1770</f>
        <v>67</v>
      </c>
      <c r="AX1770" s="83">
        <f>AH1770</f>
        <v>59</v>
      </c>
      <c r="AY1770" s="83">
        <f>AI1770</f>
        <v>59</v>
      </c>
      <c r="AZ1770" s="83">
        <f>AJ1770</f>
        <v>20</v>
      </c>
      <c r="BA1770" s="52"/>
      <c r="BB1770" s="52"/>
      <c r="BC1770" s="52"/>
      <c r="BD1770" s="52"/>
      <c r="BE1770" s="52"/>
      <c r="BF1770" s="52"/>
      <c r="BG1770" s="52"/>
      <c r="BH1770" s="52"/>
      <c r="BI1770" s="65" cm="1">
        <f t="array" ref="BI1770">IFERROR(INDEX(AW1770:BH1770,1,MATCH(2,1/(AW1770:BH1770&lt;&gt;""))),"")</f>
        <v>20</v>
      </c>
      <c r="BJ1770" s="68" cm="1">
        <f t="array" ref="BJ1770">IF(BM1770 = "", "",IFERROR(INDEX(AW1770:BH1770,1,MATCH(2,1/(AW1770:BH1770&lt;&gt;""),1)-1),""))</f>
        <v>59</v>
      </c>
      <c r="BK1770" s="58">
        <f>IF((IF(AW1770&gt;=115%,115%,AW1770) + IF(AX1770&gt;=115%,115%,AX1770) + IF(AY1770&gt;=115%,115%,AY1770) + (IF(AZ1770&gt;=115%,115%,AZ1770) + IF(BA1770&gt;=115%,115%,BA1770) + IF(BB1770&gt;=115%,115%,BB1770) + IF(BC1770&gt;=115%,115%,BC1770) + IF(BD1770&gt;=115%,115%,BD1770) + IF(BE1770&gt;=115%,115%,BE1770) + IF(BF1770&gt;=115%,115%,BF1770) + IF(BG1770&gt;=115%,115%,BG1770) + IF(BH1770&gt;=115%,115%,BH1770)))/_xlfn.XLOOKUP(F1770,Apuração!A:A,Apuração!B:B)&gt;=1.15,1.15,((IF(AZ1770&gt;=115%,115%,AZ1770) + IF(AX1770&gt;=115%,115%,AX1770) + IF(AY1770&gt;=115%,115%,AY1770) + (IF(AW1770&gt;=115%,115%,AW1770) + IF(BA1770&gt;=115%,115%,BA1770) + IF(BB1770&gt;=115%,115%,BB1770) + IF(BC1770&gt;=115%,115%,BC1770) + IF(BD1770&gt;=115%,115%,BD1770) + IF(BE1770&gt;=115%,115%,BE1770) + IF(BF1770&gt;=115%,115%,BF1770) + IF(BG1770&gt;=115%,115%,BG1770) + IF(BH1770&gt;=115%,115%,BH1770)))/_xlfn.XLOOKUP(F1770,Apuração!A:A,Apuração!B:B)))</f>
        <v>0.3833333333333333</v>
      </c>
      <c r="BL1770" s="58" cm="1">
        <f t="array" aca="1" ref="BL1770" ca="1">IF(SUM(IFERROR(IF(INDEX(AW1770:INDEX(AW1770:BH1770, MATCH(2, 1/(AW1770:BH1770&lt;&gt;""), 1)-1), ROW(INDIRECT("1:" &amp; MATCH(2, 1/(AW1770:BH1770&lt;&gt;""), 1)-1))) &gt;= 115%, 115%, INDEX(AW1770:INDEX(AW1770:BH1770, MATCH(2, 1/(AW1770:BH1770&lt;&gt;""), 1)-1), ROW(INDIRECT("1:" &amp; MATCH(2, 1/(AW1770:BH1770&lt;&gt;""), 1)-1)))), 0))/_xlfn.XLOOKUP(F1770,Apuração!A:A,Apuração!B:B)&gt;=1.15,1.15,SUM(IFERROR(IF(INDEX(AW1770:INDEX(AW1770:BH1770, MATCH(2, 1/(AW1770:BH1770&lt;&gt;""), 1)-1), ROW(INDIRECT("1:" &amp; MATCH(2, 1/(AW1770:BH1770&lt;&gt;""), 1)-1))) &gt;= 115%, 115%, INDEX(AW1770:INDEX(AW1770:BH1770, MATCH(2, 1/(AW1770:BH1770&lt;&gt;""), 1)-1), ROW(INDIRECT("1:" &amp; MATCH(2, 1/(AW1770:BH1770&lt;&gt;""), 1)-1)))), 0))/_xlfn.XLOOKUP(F1770,Apuração!A:A,Apuração!B:B))</f>
        <v>0.28749999999999998</v>
      </c>
      <c r="BM1770" s="55" cm="1">
        <f t="array" ref="BM1770">IFERROR(
   INDEX($AW$1:$BH$1,
      _xlfn.AGGREGATE(14, 6, COLUMN($AW$1:$BH$1)/(AW1770:BH1770&lt;&gt;""), 2) - COLUMN($AW$1) + 1
   ),
"")</f>
        <v>46082</v>
      </c>
      <c r="BN1770" s="55" cm="1">
        <f t="array" ref="BN1770">IFERROR(INDEX($AW$1:$BH$1,1,MATCH(2,1/(AW1770:BH1770&lt;&gt;""))),"")</f>
        <v>46113</v>
      </c>
      <c r="BO1770" s="53">
        <f ca="1">IFERROR(_xlfn.XLOOKUP(F1770,Apuração!A:A,Apuração!C:C)/_xlfn.XLOOKUP(F1770,Apuração!A:A,Apuração!B:B),0)</f>
        <v>0.41666666666666669</v>
      </c>
      <c r="BP1770" s="53">
        <f ca="1">IFERROR(_xlfn.XLOOKUP(F1770,Apuração!A:A,Apuração!D:D)/_xlfn.XLOOKUP(F1770,Apuração!A:A,Apuração!B:B),0)</f>
        <v>0.33333333333333331</v>
      </c>
      <c r="BQ1770" s="53">
        <f ca="1">IF(BK1770&gt;=BO1770,0,_xlfn.XLOOKUP(F1770,Apuração!A:A,Apuração!B:B)*(BO1770 + (1/_xlfn.XLOOKUP(F1770,Apuração!A:A,Apuração!B:B)) - BK1770))</f>
        <v>1.4000000000000004</v>
      </c>
      <c r="BR1770" s="85">
        <f ca="1">IF(BQ1770=0,0,BQ1770*Z1770)</f>
        <v>0</v>
      </c>
      <c r="BS1770" s="53">
        <f ca="1">IFERROR((_xlfn.XLOOKUP(F1770,Apuração!A:A,Apuração!C:C)+1)/_xlfn.XLOOKUP(F1770,Apuração!A:A,Apuração!B:B),0)</f>
        <v>0.5</v>
      </c>
    </row>
    <row r="1771" spans="1:71" ht="25.95" hidden="1" customHeight="1" x14ac:dyDescent="0.3">
      <c r="A1771" s="42" t="s">
        <v>134</v>
      </c>
      <c r="B1771" s="4" t="s">
        <v>158</v>
      </c>
      <c r="C1771" s="5" t="s">
        <v>214</v>
      </c>
      <c r="D1771" s="5" t="s">
        <v>210</v>
      </c>
      <c r="E1771" s="4" t="str" cm="1">
        <f t="array" ref="E1771">_xlfn.IFS(
F1771 = "A partir de Abril", "Aguardando Execução na Distribuidora",
A1771 = "CAPACITAÇÃO", "Em execução no Corporativo",
TRUE, "Em Execução na Distribuidora"
)</f>
        <v>Em Execução na Distribuidora</v>
      </c>
      <c r="F1771" s="4" t="str" cm="1">
        <f t="array" ref="F1771">_xlfn.IFS(
AG1771 &lt;&gt; "", "Jan-Dez/26",
AH1771 &lt;&gt; "", "Fev-Dez/26",
AI1771 &lt;&gt; "", "Mar-Dez/26", AJ1771 &lt;&gt; "", "Abr-Dez/26",
TRUE, "A partir de Junho"
)</f>
        <v>Jan-Dez/26</v>
      </c>
      <c r="G1771" s="4" t="s">
        <v>37</v>
      </c>
      <c r="H1771" s="7" t="s">
        <v>110</v>
      </c>
      <c r="I1771" s="8" t="s">
        <v>163</v>
      </c>
      <c r="J1771" s="8" t="str" cm="1">
        <f t="array" aca="1" ref="J1771" ca="1">_xlfn.LET(
  _xlpm.actual_value_month, INDEX(T1771:AE1771, MATCH(DATE(YEAR(TODAY()), MONTH(TODAY()), 1), $T$1:$AE$1, 0)),
  IF(_xlpm.actual_value_month &lt;&gt; "",_xlpm.actual_value_month &amp; " ações mensais", "")
)</f>
        <v/>
      </c>
      <c r="K1771" s="8" t="str" cm="1">
        <f t="array" ref="K1771">_xlfn.LET(
    _xlpm.sum_month, SUM(T1771:AE1771),
    IF(_xlpm.sum_month = 0, "", _xlpm.sum_month &amp; " DSS no ano")
)</f>
        <v/>
      </c>
      <c r="L1771" s="9" t="s">
        <v>164</v>
      </c>
      <c r="M1771" s="24">
        <v>1</v>
      </c>
      <c r="N1771" s="5" t="s">
        <v>51</v>
      </c>
      <c r="O1771" s="111" t="s">
        <v>52</v>
      </c>
      <c r="P1771" s="10" t="s">
        <v>146</v>
      </c>
      <c r="Q1771" s="10" t="s">
        <v>72</v>
      </c>
      <c r="R1771" s="11" t="s">
        <v>147</v>
      </c>
      <c r="S1771" s="11" t="s">
        <v>162</v>
      </c>
      <c r="T1771" s="22"/>
      <c r="U1771" s="22"/>
      <c r="V1771" s="22"/>
      <c r="W1771" s="22"/>
      <c r="X1771" s="22"/>
      <c r="Y1771" s="22"/>
      <c r="Z1771" s="22"/>
      <c r="AA1771" s="22"/>
      <c r="AB1771" s="22"/>
      <c r="AC1771" s="22"/>
      <c r="AD1771" s="22"/>
      <c r="AE1771" s="22"/>
      <c r="AG1771" s="145">
        <v>7</v>
      </c>
      <c r="AH1771" s="149">
        <v>8</v>
      </c>
      <c r="AI1771" s="149">
        <v>9</v>
      </c>
      <c r="AJ1771" s="82">
        <v>4</v>
      </c>
      <c r="AK1771" s="71"/>
      <c r="AL1771" s="71"/>
      <c r="AM1771" s="71"/>
      <c r="AN1771" s="71"/>
      <c r="AO1771" s="71"/>
      <c r="AP1771" s="71"/>
      <c r="AQ1771" s="71"/>
      <c r="AR1771" s="71"/>
      <c r="AS1771" s="94">
        <f t="shared" ref="AS1771:AS1775" ca="1" si="2064">IF(MONTH(TODAY())=3,SUM(T1771:U1771),IF(MONTH(TODAY())=4,SUM(T1771:V1771),IF(MONTH(TODAY())=5,SUM(T1771:W1771),IF(MONTH(TODAY())=6,SUM(T1771:X1771),IF(MONTH(TODAY())=7,SUM(T1771:Y1771),IF(MONTH(TODAY())=8,SUM(T1771:Z1771),IF(MONTH(TODAY())=9,SUM(T1771:AA1771),IF(MONTH(TODAY())=10,SUM(T1771:AB1771),IF(MONTH(TODAY())=11,SUM(T1771:AC1771),IF(MONTH(TODAY())=12,SUM(T1771:AD1771),IF(MONTH(TODAY())=1,SUM(T1771:AE1771),T1771)))))))))))</f>
        <v>0</v>
      </c>
      <c r="AT1771" s="95">
        <f t="shared" ref="AT1771:AT1775" si="2065">SUM(IF(AW1771&lt;1.15,AG1771,1.15*T1771),IF(AX1771&lt;1.15,AH1771,1.15*U1771),IF(AY1771&lt;1.15,AI1771,1.15*V1771),IF(AZ1771&lt;1.15,AJ1771,1.15*W1771),IF(BA1771&lt;1.15,AK1771,1.15*X1771),IF(BB1771&lt;1.15,AL1771,1.15*Y1771),IF(BC1771&lt;1.15,AM1771,1.15*Z1771),IF(BD1771&lt;1.15,AN1771,1.15*AA1771),IF(BE1771&lt;1.15,AO1771,1.15*AB1771),IF(BF1771&lt;1.15,AP1771,1.15*AC1771),IF(BG1771&lt;1.15,AQ1771,1.15*AD1771),IF(BH1771&lt;1.15,AR1771,1.15*AE1771))</f>
        <v>0</v>
      </c>
      <c r="AU1771" s="97">
        <f t="shared" ref="AU1771:AU1775" si="2066">SUM(AG1771:AR1771)</f>
        <v>28</v>
      </c>
      <c r="AW1771" s="83">
        <f t="shared" ref="AW1771:AW1775" si="2067">AG1771</f>
        <v>7</v>
      </c>
      <c r="AX1771" s="83">
        <f t="shared" ref="AX1771:AX1775" si="2068">AH1771</f>
        <v>8</v>
      </c>
      <c r="AY1771" s="83">
        <f t="shared" ref="AY1771:AY1775" si="2069">AI1771</f>
        <v>9</v>
      </c>
      <c r="AZ1771" s="83">
        <f t="shared" ref="AZ1771:AZ1775" si="2070">AJ1771</f>
        <v>4</v>
      </c>
      <c r="BA1771" s="52"/>
      <c r="BB1771" s="52"/>
      <c r="BC1771" s="52"/>
      <c r="BD1771" s="52"/>
      <c r="BE1771" s="52"/>
      <c r="BF1771" s="52"/>
      <c r="BG1771" s="52"/>
      <c r="BH1771" s="52"/>
      <c r="BI1771" s="65" cm="1">
        <f t="array" ref="BI1771">IFERROR(INDEX(AW1771:BH1771,1,MATCH(2,1/(AW1771:BH1771&lt;&gt;""))),"")</f>
        <v>4</v>
      </c>
      <c r="BJ1771" s="68" cm="1">
        <f t="array" ref="BJ1771">IF(BM1771 = "", "",IFERROR(INDEX(AW1771:BH1771,1,MATCH(2,1/(AW1771:BH1771&lt;&gt;""),1)-1),""))</f>
        <v>9</v>
      </c>
      <c r="BK1771" s="58">
        <f>IF((IF(AW1771&gt;=115%,115%,AW1771) + IF(AX1771&gt;=115%,115%,AX1771) + IF(AY1771&gt;=115%,115%,AY1771) + (IF(AZ1771&gt;=115%,115%,AZ1771) + IF(BA1771&gt;=115%,115%,BA1771) + IF(BB1771&gt;=115%,115%,BB1771) + IF(BC1771&gt;=115%,115%,BC1771) + IF(BD1771&gt;=115%,115%,BD1771) + IF(BE1771&gt;=115%,115%,BE1771) + IF(BF1771&gt;=115%,115%,BF1771) + IF(BG1771&gt;=115%,115%,BG1771) + IF(BH1771&gt;=115%,115%,BH1771)))/_xlfn.XLOOKUP(F1771,Apuração!A:A,Apuração!B:B)&gt;=1.15,1.15,((IF(AZ1771&gt;=115%,115%,AZ1771) + IF(AX1771&gt;=115%,115%,AX1771) + IF(AY1771&gt;=115%,115%,AY1771) + (IF(AW1771&gt;=115%,115%,AW1771) + IF(BA1771&gt;=115%,115%,BA1771) + IF(BB1771&gt;=115%,115%,BB1771) + IF(BC1771&gt;=115%,115%,BC1771) + IF(BD1771&gt;=115%,115%,BD1771) + IF(BE1771&gt;=115%,115%,BE1771) + IF(BF1771&gt;=115%,115%,BF1771) + IF(BG1771&gt;=115%,115%,BG1771) + IF(BH1771&gt;=115%,115%,BH1771)))/_xlfn.XLOOKUP(F1771,Apuração!A:A,Apuração!B:B)))</f>
        <v>0.3833333333333333</v>
      </c>
      <c r="BL1771" s="58" cm="1">
        <f t="array" aca="1" ref="BL1771" ca="1">IF(SUM(IFERROR(IF(INDEX(AW1771:INDEX(AW1771:BH1771, MATCH(2, 1/(AW1771:BH1771&lt;&gt;""), 1)-1), ROW(INDIRECT("1:" &amp; MATCH(2, 1/(AW1771:BH1771&lt;&gt;""), 1)-1))) &gt;= 115%, 115%, INDEX(AW1771:INDEX(AW1771:BH1771, MATCH(2, 1/(AW1771:BH1771&lt;&gt;""), 1)-1), ROW(INDIRECT("1:" &amp; MATCH(2, 1/(AW1771:BH1771&lt;&gt;""), 1)-1)))), 0))/_xlfn.XLOOKUP(F1771,Apuração!A:A,Apuração!B:B)&gt;=1.15,1.15,SUM(IFERROR(IF(INDEX(AW1771:INDEX(AW1771:BH1771, MATCH(2, 1/(AW1771:BH1771&lt;&gt;""), 1)-1), ROW(INDIRECT("1:" &amp; MATCH(2, 1/(AW1771:BH1771&lt;&gt;""), 1)-1))) &gt;= 115%, 115%, INDEX(AW1771:INDEX(AW1771:BH1771, MATCH(2, 1/(AW1771:BH1771&lt;&gt;""), 1)-1), ROW(INDIRECT("1:" &amp; MATCH(2, 1/(AW1771:BH1771&lt;&gt;""), 1)-1)))), 0))/_xlfn.XLOOKUP(F1771,Apuração!A:A,Apuração!B:B))</f>
        <v>0.28749999999999998</v>
      </c>
      <c r="BM1771" s="55" cm="1">
        <f t="array" ref="BM1771">IFERROR(
   INDEX($AW$1:$BH$1,
      _xlfn.AGGREGATE(14, 6, COLUMN($AW$1:$BH$1)/(AW1771:BH1771&lt;&gt;""), 2) - COLUMN($AW$1) + 1
   ),
"")</f>
        <v>46082</v>
      </c>
      <c r="BN1771" s="55" cm="1">
        <f t="array" ref="BN1771">IFERROR(INDEX($AW$1:$BH$1,1,MATCH(2,1/(AW1771:BH1771&lt;&gt;""))),"")</f>
        <v>46113</v>
      </c>
      <c r="BO1771" s="53">
        <f ca="1">IFERROR(_xlfn.XLOOKUP(F1771,Apuração!A:A,Apuração!C:C)/_xlfn.XLOOKUP(F1771,Apuração!A:A,Apuração!B:B),0)</f>
        <v>0.41666666666666669</v>
      </c>
      <c r="BP1771" s="53">
        <f ca="1">IFERROR(_xlfn.XLOOKUP(F1771,Apuração!A:A,Apuração!D:D)/_xlfn.XLOOKUP(F1771,Apuração!A:A,Apuração!B:B),0)</f>
        <v>0.33333333333333331</v>
      </c>
      <c r="BQ1771" s="53">
        <f ca="1">IF(BK1771&gt;=BO1771,0,_xlfn.XLOOKUP(F1771,Apuração!A:A,Apuração!B:B)*(BO1771 + (1/_xlfn.XLOOKUP(F1771,Apuração!A:A,Apuração!B:B)) - BK1771))</f>
        <v>1.4000000000000004</v>
      </c>
      <c r="BR1771" s="85">
        <f t="shared" ref="BR1771:BR1775" ca="1" si="2071">IF(BQ1771=0,0,BQ1771*Z1771)</f>
        <v>0</v>
      </c>
      <c r="BS1771" s="53">
        <f ca="1">IFERROR((_xlfn.XLOOKUP(F1771,Apuração!A:A,Apuração!C:C)+1)/_xlfn.XLOOKUP(F1771,Apuração!A:A,Apuração!B:B),0)</f>
        <v>0.5</v>
      </c>
    </row>
    <row r="1772" spans="1:71" ht="25.95" hidden="1" customHeight="1" x14ac:dyDescent="0.3">
      <c r="A1772" s="42" t="s">
        <v>134</v>
      </c>
      <c r="B1772" s="4" t="s">
        <v>158</v>
      </c>
      <c r="C1772" s="5" t="s">
        <v>214</v>
      </c>
      <c r="D1772" s="5" t="s">
        <v>215</v>
      </c>
      <c r="E1772" s="4" t="str" cm="1">
        <f t="array" ref="E1772">_xlfn.IFS(
F1772 = "A partir de Abril", "Aguardando Execução na Distribuidora",
A1772 = "CAPACITAÇÃO", "Em execução no Corporativo",
TRUE, "Em Execução na Distribuidora"
)</f>
        <v>Em Execução na Distribuidora</v>
      </c>
      <c r="F1772" s="4" t="str" cm="1">
        <f t="array" ref="F1772">_xlfn.IFS(
AG1772 &lt;&gt; "", "Jan-Dez/26",
AH1772 &lt;&gt; "", "Fev-Dez/26",
AI1772 &lt;&gt; "", "Mar-Dez/26", AJ1772 &lt;&gt; "", "Abr-Dez/26",
TRUE, "A partir de Junho"
)</f>
        <v>Jan-Dez/26</v>
      </c>
      <c r="G1772" s="4" t="s">
        <v>37</v>
      </c>
      <c r="H1772" s="7" t="s">
        <v>110</v>
      </c>
      <c r="I1772" s="8" t="s">
        <v>163</v>
      </c>
      <c r="J1772" s="8" t="str" cm="1">
        <f t="array" aca="1" ref="J1772" ca="1">_xlfn.LET(
  _xlpm.actual_value_month, INDEX(T1772:AE1772, MATCH(DATE(YEAR(TODAY()), MONTH(TODAY()), 1), $T$1:$AE$1, 0)),
  IF(_xlpm.actual_value_month &lt;&gt; "",_xlpm.actual_value_month &amp; " ações mensais", "")
)</f>
        <v/>
      </c>
      <c r="K1772" s="8" t="str" cm="1">
        <f t="array" ref="K1772">_xlfn.LET(
    _xlpm.sum_month, SUM(T1772:AE1772),
    IF(_xlpm.sum_month = 0, "", _xlpm.sum_month &amp; " DSS no ano")
)</f>
        <v/>
      </c>
      <c r="L1772" s="9" t="s">
        <v>164</v>
      </c>
      <c r="M1772" s="24">
        <v>1</v>
      </c>
      <c r="N1772" s="5" t="s">
        <v>51</v>
      </c>
      <c r="O1772" s="111" t="s">
        <v>52</v>
      </c>
      <c r="P1772" s="10" t="s">
        <v>146</v>
      </c>
      <c r="Q1772" s="10" t="s">
        <v>72</v>
      </c>
      <c r="R1772" s="11" t="s">
        <v>147</v>
      </c>
      <c r="S1772" s="11" t="s">
        <v>162</v>
      </c>
      <c r="T1772" s="22"/>
      <c r="U1772" s="22"/>
      <c r="V1772" s="22"/>
      <c r="W1772" s="22"/>
      <c r="X1772" s="22"/>
      <c r="Y1772" s="22"/>
      <c r="Z1772" s="22"/>
      <c r="AA1772" s="22"/>
      <c r="AB1772" s="22"/>
      <c r="AC1772" s="22"/>
      <c r="AD1772" s="22"/>
      <c r="AE1772" s="22"/>
      <c r="AG1772" s="146">
        <v>18</v>
      </c>
      <c r="AH1772" s="150">
        <v>20</v>
      </c>
      <c r="AI1772" s="150">
        <v>12</v>
      </c>
      <c r="AJ1772" s="82">
        <v>4</v>
      </c>
      <c r="AK1772" s="71"/>
      <c r="AL1772" s="71"/>
      <c r="AM1772" s="71"/>
      <c r="AN1772" s="71"/>
      <c r="AO1772" s="71"/>
      <c r="AP1772" s="71"/>
      <c r="AQ1772" s="71"/>
      <c r="AR1772" s="71"/>
      <c r="AS1772" s="94">
        <f t="shared" ca="1" si="2064"/>
        <v>0</v>
      </c>
      <c r="AT1772" s="95">
        <f t="shared" si="2065"/>
        <v>0</v>
      </c>
      <c r="AU1772" s="97">
        <f t="shared" si="2066"/>
        <v>54</v>
      </c>
      <c r="AW1772" s="83">
        <f t="shared" si="2067"/>
        <v>18</v>
      </c>
      <c r="AX1772" s="83">
        <f t="shared" si="2068"/>
        <v>20</v>
      </c>
      <c r="AY1772" s="83">
        <f t="shared" si="2069"/>
        <v>12</v>
      </c>
      <c r="AZ1772" s="83">
        <f t="shared" si="2070"/>
        <v>4</v>
      </c>
      <c r="BA1772" s="52"/>
      <c r="BB1772" s="52"/>
      <c r="BC1772" s="52"/>
      <c r="BD1772" s="52"/>
      <c r="BE1772" s="52"/>
      <c r="BF1772" s="52"/>
      <c r="BG1772" s="52"/>
      <c r="BH1772" s="52"/>
      <c r="BI1772" s="65" cm="1">
        <f t="array" ref="BI1772">IFERROR(INDEX(AW1772:BH1772,1,MATCH(2,1/(AW1772:BH1772&lt;&gt;""))),"")</f>
        <v>4</v>
      </c>
      <c r="BJ1772" s="68" cm="1">
        <f t="array" ref="BJ1772">IF(BM1772 = "", "",IFERROR(INDEX(AW1772:BH1772,1,MATCH(2,1/(AW1772:BH1772&lt;&gt;""),1)-1),""))</f>
        <v>12</v>
      </c>
      <c r="BK1772" s="58">
        <f>IF((IF(AW1772&gt;=115%,115%,AW1772) + IF(AX1772&gt;=115%,115%,AX1772) + IF(AY1772&gt;=115%,115%,AY1772) + (IF(AZ1772&gt;=115%,115%,AZ1772) + IF(BA1772&gt;=115%,115%,BA1772) + IF(BB1772&gt;=115%,115%,BB1772) + IF(BC1772&gt;=115%,115%,BC1772) + IF(BD1772&gt;=115%,115%,BD1772) + IF(BE1772&gt;=115%,115%,BE1772) + IF(BF1772&gt;=115%,115%,BF1772) + IF(BG1772&gt;=115%,115%,BG1772) + IF(BH1772&gt;=115%,115%,BH1772)))/_xlfn.XLOOKUP(F1772,Apuração!A:A,Apuração!B:B)&gt;=1.15,1.15,((IF(AZ1772&gt;=115%,115%,AZ1772) + IF(AX1772&gt;=115%,115%,AX1772) + IF(AY1772&gt;=115%,115%,AY1772) + (IF(AW1772&gt;=115%,115%,AW1772) + IF(BA1772&gt;=115%,115%,BA1772) + IF(BB1772&gt;=115%,115%,BB1772) + IF(BC1772&gt;=115%,115%,BC1772) + IF(BD1772&gt;=115%,115%,BD1772) + IF(BE1772&gt;=115%,115%,BE1772) + IF(BF1772&gt;=115%,115%,BF1772) + IF(BG1772&gt;=115%,115%,BG1772) + IF(BH1772&gt;=115%,115%,BH1772)))/_xlfn.XLOOKUP(F1772,Apuração!A:A,Apuração!B:B)))</f>
        <v>0.3833333333333333</v>
      </c>
      <c r="BL1772" s="58" cm="1">
        <f t="array" aca="1" ref="BL1772" ca="1">IF(SUM(IFERROR(IF(INDEX(AW1772:INDEX(AW1772:BH1772, MATCH(2, 1/(AW1772:BH1772&lt;&gt;""), 1)-1), ROW(INDIRECT("1:" &amp; MATCH(2, 1/(AW1772:BH1772&lt;&gt;""), 1)-1))) &gt;= 115%, 115%, INDEX(AW1772:INDEX(AW1772:BH1772, MATCH(2, 1/(AW1772:BH1772&lt;&gt;""), 1)-1), ROW(INDIRECT("1:" &amp; MATCH(2, 1/(AW1772:BH1772&lt;&gt;""), 1)-1)))), 0))/_xlfn.XLOOKUP(F1772,Apuração!A:A,Apuração!B:B)&gt;=1.15,1.15,SUM(IFERROR(IF(INDEX(AW1772:INDEX(AW1772:BH1772, MATCH(2, 1/(AW1772:BH1772&lt;&gt;""), 1)-1), ROW(INDIRECT("1:" &amp; MATCH(2, 1/(AW1772:BH1772&lt;&gt;""), 1)-1))) &gt;= 115%, 115%, INDEX(AW1772:INDEX(AW1772:BH1772, MATCH(2, 1/(AW1772:BH1772&lt;&gt;""), 1)-1), ROW(INDIRECT("1:" &amp; MATCH(2, 1/(AW1772:BH1772&lt;&gt;""), 1)-1)))), 0))/_xlfn.XLOOKUP(F1772,Apuração!A:A,Apuração!B:B))</f>
        <v>0.28749999999999998</v>
      </c>
      <c r="BM1772" s="55" cm="1">
        <f t="array" ref="BM1772">IFERROR(
   INDEX($AW$1:$BH$1,
      _xlfn.AGGREGATE(14, 6, COLUMN($AW$1:$BH$1)/(AW1772:BH1772&lt;&gt;""), 2) - COLUMN($AW$1) + 1
   ),
"")</f>
        <v>46082</v>
      </c>
      <c r="BN1772" s="55" cm="1">
        <f t="array" ref="BN1772">IFERROR(INDEX($AW$1:$BH$1,1,MATCH(2,1/(AW1772:BH1772&lt;&gt;""))),"")</f>
        <v>46113</v>
      </c>
      <c r="BO1772" s="53">
        <f ca="1">IFERROR(_xlfn.XLOOKUP(F1772,Apuração!A:A,Apuração!C:C)/_xlfn.XLOOKUP(F1772,Apuração!A:A,Apuração!B:B),0)</f>
        <v>0.41666666666666669</v>
      </c>
      <c r="BP1772" s="53">
        <f ca="1">IFERROR(_xlfn.XLOOKUP(F1772,Apuração!A:A,Apuração!D:D)/_xlfn.XLOOKUP(F1772,Apuração!A:A,Apuração!B:B),0)</f>
        <v>0.33333333333333331</v>
      </c>
      <c r="BQ1772" s="53">
        <f ca="1">IF(BK1772&gt;=BO1772,0,_xlfn.XLOOKUP(F1772,Apuração!A:A,Apuração!B:B)*(BO1772 + (1/_xlfn.XLOOKUP(F1772,Apuração!A:A,Apuração!B:B)) - BK1772))</f>
        <v>1.4000000000000004</v>
      </c>
      <c r="BR1772" s="85">
        <f t="shared" ca="1" si="2071"/>
        <v>0</v>
      </c>
      <c r="BS1772" s="53">
        <f ca="1">IFERROR((_xlfn.XLOOKUP(F1772,Apuração!A:A,Apuração!C:C)+1)/_xlfn.XLOOKUP(F1772,Apuração!A:A,Apuração!B:B),0)</f>
        <v>0.5</v>
      </c>
    </row>
    <row r="1773" spans="1:71" ht="25.95" hidden="1" customHeight="1" x14ac:dyDescent="0.3">
      <c r="A1773" s="42" t="s">
        <v>134</v>
      </c>
      <c r="B1773" s="4" t="s">
        <v>158</v>
      </c>
      <c r="C1773" s="5" t="s">
        <v>214</v>
      </c>
      <c r="D1773" s="5" t="s">
        <v>212</v>
      </c>
      <c r="E1773" s="4" t="str" cm="1">
        <f t="array" ref="E1773">_xlfn.IFS(
F1773 = "A partir de Abril", "Aguardando Execução na Distribuidora",
A1773 = "CAPACITAÇÃO", "Em execução no Corporativo",
TRUE, "Em Execução na Distribuidora"
)</f>
        <v>Em Execução na Distribuidora</v>
      </c>
      <c r="F1773" s="4" t="str" cm="1">
        <f t="array" ref="F1773">_xlfn.IFS(
AG1773 &lt;&gt; "", "Jan-Dez/26",
AH1773 &lt;&gt; "", "Fev-Dez/26",
AI1773 &lt;&gt; "", "Mar-Dez/26", AJ1773 &lt;&gt; "", "Abr-Dez/26",
TRUE, "A partir de Junho"
)</f>
        <v>Jan-Dez/26</v>
      </c>
      <c r="G1773" s="4" t="s">
        <v>37</v>
      </c>
      <c r="H1773" s="7" t="s">
        <v>110</v>
      </c>
      <c r="I1773" s="8" t="s">
        <v>163</v>
      </c>
      <c r="J1773" s="8" t="str" cm="1">
        <f t="array" aca="1" ref="J1773" ca="1">_xlfn.LET(
  _xlpm.actual_value_month, INDEX(T1773:AE1773, MATCH(DATE(YEAR(TODAY()), MONTH(TODAY()), 1), $T$1:$AE$1, 0)),
  IF(_xlpm.actual_value_month &lt;&gt; "",_xlpm.actual_value_month &amp; " ações mensais", "")
)</f>
        <v/>
      </c>
      <c r="K1773" s="8" t="str" cm="1">
        <f t="array" ref="K1773">_xlfn.LET(
    _xlpm.sum_month, SUM(T1773:AE1773),
    IF(_xlpm.sum_month = 0, "", _xlpm.sum_month &amp; " DSS no ano")
)</f>
        <v/>
      </c>
      <c r="L1773" s="9" t="s">
        <v>164</v>
      </c>
      <c r="M1773" s="24">
        <v>1</v>
      </c>
      <c r="N1773" s="5" t="s">
        <v>51</v>
      </c>
      <c r="O1773" s="111" t="s">
        <v>52</v>
      </c>
      <c r="P1773" s="10" t="s">
        <v>146</v>
      </c>
      <c r="Q1773" s="10" t="s">
        <v>72</v>
      </c>
      <c r="R1773" s="11" t="s">
        <v>147</v>
      </c>
      <c r="S1773" s="11" t="s">
        <v>162</v>
      </c>
      <c r="T1773" s="22"/>
      <c r="U1773" s="22"/>
      <c r="V1773" s="22"/>
      <c r="W1773" s="22"/>
      <c r="X1773" s="22"/>
      <c r="Y1773" s="22"/>
      <c r="Z1773" s="22"/>
      <c r="AA1773" s="22"/>
      <c r="AB1773" s="22"/>
      <c r="AC1773" s="22"/>
      <c r="AD1773" s="22"/>
      <c r="AE1773" s="22"/>
      <c r="AG1773" s="146">
        <v>14</v>
      </c>
      <c r="AH1773" s="150">
        <v>14</v>
      </c>
      <c r="AI1773" s="150">
        <v>12</v>
      </c>
      <c r="AJ1773" s="82">
        <v>4</v>
      </c>
      <c r="AK1773" s="71"/>
      <c r="AL1773" s="71"/>
      <c r="AM1773" s="71"/>
      <c r="AN1773" s="71"/>
      <c r="AO1773" s="71"/>
      <c r="AP1773" s="71"/>
      <c r="AQ1773" s="71"/>
      <c r="AR1773" s="71"/>
      <c r="AS1773" s="94">
        <f t="shared" ca="1" si="2064"/>
        <v>0</v>
      </c>
      <c r="AT1773" s="95">
        <f t="shared" si="2065"/>
        <v>0</v>
      </c>
      <c r="AU1773" s="97">
        <f t="shared" si="2066"/>
        <v>44</v>
      </c>
      <c r="AW1773" s="83">
        <f t="shared" si="2067"/>
        <v>14</v>
      </c>
      <c r="AX1773" s="83">
        <f t="shared" si="2068"/>
        <v>14</v>
      </c>
      <c r="AY1773" s="83">
        <f t="shared" si="2069"/>
        <v>12</v>
      </c>
      <c r="AZ1773" s="83">
        <f t="shared" si="2070"/>
        <v>4</v>
      </c>
      <c r="BA1773" s="52"/>
      <c r="BB1773" s="52"/>
      <c r="BC1773" s="52"/>
      <c r="BD1773" s="52"/>
      <c r="BE1773" s="52"/>
      <c r="BF1773" s="52"/>
      <c r="BG1773" s="52"/>
      <c r="BH1773" s="52"/>
      <c r="BI1773" s="65" cm="1">
        <f t="array" ref="BI1773">IFERROR(INDEX(AW1773:BH1773,1,MATCH(2,1/(AW1773:BH1773&lt;&gt;""))),"")</f>
        <v>4</v>
      </c>
      <c r="BJ1773" s="68" cm="1">
        <f t="array" ref="BJ1773">IF(BM1773 = "", "",IFERROR(INDEX(AW1773:BH1773,1,MATCH(2,1/(AW1773:BH1773&lt;&gt;""),1)-1),""))</f>
        <v>12</v>
      </c>
      <c r="BK1773" s="58">
        <f>IF((IF(AW1773&gt;=115%,115%,AW1773) + IF(AX1773&gt;=115%,115%,AX1773) + IF(AY1773&gt;=115%,115%,AY1773) + (IF(AZ1773&gt;=115%,115%,AZ1773) + IF(BA1773&gt;=115%,115%,BA1773) + IF(BB1773&gt;=115%,115%,BB1773) + IF(BC1773&gt;=115%,115%,BC1773) + IF(BD1773&gt;=115%,115%,BD1773) + IF(BE1773&gt;=115%,115%,BE1773) + IF(BF1773&gt;=115%,115%,BF1773) + IF(BG1773&gt;=115%,115%,BG1773) + IF(BH1773&gt;=115%,115%,BH1773)))/_xlfn.XLOOKUP(F1773,Apuração!A:A,Apuração!B:B)&gt;=1.15,1.15,((IF(AZ1773&gt;=115%,115%,AZ1773) + IF(AX1773&gt;=115%,115%,AX1773) + IF(AY1773&gt;=115%,115%,AY1773) + (IF(AW1773&gt;=115%,115%,AW1773) + IF(BA1773&gt;=115%,115%,BA1773) + IF(BB1773&gt;=115%,115%,BB1773) + IF(BC1773&gt;=115%,115%,BC1773) + IF(BD1773&gt;=115%,115%,BD1773) + IF(BE1773&gt;=115%,115%,BE1773) + IF(BF1773&gt;=115%,115%,BF1773) + IF(BG1773&gt;=115%,115%,BG1773) + IF(BH1773&gt;=115%,115%,BH1773)))/_xlfn.XLOOKUP(F1773,Apuração!A:A,Apuração!B:B)))</f>
        <v>0.3833333333333333</v>
      </c>
      <c r="BL1773" s="58" cm="1">
        <f t="array" aca="1" ref="BL1773" ca="1">IF(SUM(IFERROR(IF(INDEX(AW1773:INDEX(AW1773:BH1773, MATCH(2, 1/(AW1773:BH1773&lt;&gt;""), 1)-1), ROW(INDIRECT("1:" &amp; MATCH(2, 1/(AW1773:BH1773&lt;&gt;""), 1)-1))) &gt;= 115%, 115%, INDEX(AW1773:INDEX(AW1773:BH1773, MATCH(2, 1/(AW1773:BH1773&lt;&gt;""), 1)-1), ROW(INDIRECT("1:" &amp; MATCH(2, 1/(AW1773:BH1773&lt;&gt;""), 1)-1)))), 0))/_xlfn.XLOOKUP(F1773,Apuração!A:A,Apuração!B:B)&gt;=1.15,1.15,SUM(IFERROR(IF(INDEX(AW1773:INDEX(AW1773:BH1773, MATCH(2, 1/(AW1773:BH1773&lt;&gt;""), 1)-1), ROW(INDIRECT("1:" &amp; MATCH(2, 1/(AW1773:BH1773&lt;&gt;""), 1)-1))) &gt;= 115%, 115%, INDEX(AW1773:INDEX(AW1773:BH1773, MATCH(2, 1/(AW1773:BH1773&lt;&gt;""), 1)-1), ROW(INDIRECT("1:" &amp; MATCH(2, 1/(AW1773:BH1773&lt;&gt;""), 1)-1)))), 0))/_xlfn.XLOOKUP(F1773,Apuração!A:A,Apuração!B:B))</f>
        <v>0.28749999999999998</v>
      </c>
      <c r="BM1773" s="55" cm="1">
        <f t="array" ref="BM1773">IFERROR(
   INDEX($AW$1:$BH$1,
      _xlfn.AGGREGATE(14, 6, COLUMN($AW$1:$BH$1)/(AW1773:BH1773&lt;&gt;""), 2) - COLUMN($AW$1) + 1
   ),
"")</f>
        <v>46082</v>
      </c>
      <c r="BN1773" s="55" cm="1">
        <f t="array" ref="BN1773">IFERROR(INDEX($AW$1:$BH$1,1,MATCH(2,1/(AW1773:BH1773&lt;&gt;""))),"")</f>
        <v>46113</v>
      </c>
      <c r="BO1773" s="53">
        <f ca="1">IFERROR(_xlfn.XLOOKUP(F1773,Apuração!A:A,Apuração!C:C)/_xlfn.XLOOKUP(F1773,Apuração!A:A,Apuração!B:B),0)</f>
        <v>0.41666666666666669</v>
      </c>
      <c r="BP1773" s="53">
        <f ca="1">IFERROR(_xlfn.XLOOKUP(F1773,Apuração!A:A,Apuração!D:D)/_xlfn.XLOOKUP(F1773,Apuração!A:A,Apuração!B:B),0)</f>
        <v>0.33333333333333331</v>
      </c>
      <c r="BQ1773" s="53">
        <f ca="1">IF(BK1773&gt;=BO1773,0,_xlfn.XLOOKUP(F1773,Apuração!A:A,Apuração!B:B)*(BO1773 + (1/_xlfn.XLOOKUP(F1773,Apuração!A:A,Apuração!B:B)) - BK1773))</f>
        <v>1.4000000000000004</v>
      </c>
      <c r="BR1773" s="85">
        <f t="shared" ca="1" si="2071"/>
        <v>0</v>
      </c>
      <c r="BS1773" s="53">
        <f ca="1">IFERROR((_xlfn.XLOOKUP(F1773,Apuração!A:A,Apuração!C:C)+1)/_xlfn.XLOOKUP(F1773,Apuração!A:A,Apuração!B:B),0)</f>
        <v>0.5</v>
      </c>
    </row>
    <row r="1774" spans="1:71" ht="25.95" hidden="1" customHeight="1" x14ac:dyDescent="0.3">
      <c r="A1774" s="42" t="s">
        <v>134</v>
      </c>
      <c r="B1774" s="4" t="s">
        <v>158</v>
      </c>
      <c r="C1774" s="5" t="s">
        <v>214</v>
      </c>
      <c r="D1774" s="5" t="s">
        <v>48</v>
      </c>
      <c r="E1774" s="4" t="str" cm="1">
        <f t="array" ref="E1774">_xlfn.IFS(
F1774 = "A partir de Abril", "Aguardando Execução na Distribuidora",
A1774 = "CAPACITAÇÃO", "Em execução no Corporativo",
TRUE, "Em Execução na Distribuidora"
)</f>
        <v>Em Execução na Distribuidora</v>
      </c>
      <c r="F1774" s="4" t="str" cm="1">
        <f t="array" ref="F1774">_xlfn.IFS(
AG1774 &lt;&gt; "", "Jan-Dez/26",
AH1774 &lt;&gt; "", "Fev-Dez/26",
AI1774 &lt;&gt; "", "Mar-Dez/26", AJ1774 &lt;&gt; "", "Abr-Dez/26",
TRUE, "A partir de Junho"
)</f>
        <v>Jan-Dez/26</v>
      </c>
      <c r="G1774" s="4" t="s">
        <v>37</v>
      </c>
      <c r="H1774" s="7" t="s">
        <v>110</v>
      </c>
      <c r="I1774" s="8" t="s">
        <v>163</v>
      </c>
      <c r="J1774" s="8" t="str" cm="1">
        <f t="array" aca="1" ref="J1774" ca="1">_xlfn.LET(
  _xlpm.actual_value_month, INDEX(T1774:AE1774, MATCH(DATE(YEAR(TODAY()), MONTH(TODAY()), 1), $T$1:$AE$1, 0)),
  IF(_xlpm.actual_value_month &lt;&gt; "",_xlpm.actual_value_month &amp; " ações mensais", "")
)</f>
        <v/>
      </c>
      <c r="K1774" s="8" t="str" cm="1">
        <f t="array" ref="K1774">_xlfn.LET(
    _xlpm.sum_month, SUM(T1774:AE1774),
    IF(_xlpm.sum_month = 0, "", _xlpm.sum_month &amp; " DSS no ano")
)</f>
        <v/>
      </c>
      <c r="L1774" s="9" t="s">
        <v>164</v>
      </c>
      <c r="M1774" s="24">
        <v>1</v>
      </c>
      <c r="N1774" s="5" t="s">
        <v>51</v>
      </c>
      <c r="O1774" s="111" t="s">
        <v>52</v>
      </c>
      <c r="P1774" s="10" t="s">
        <v>146</v>
      </c>
      <c r="Q1774" s="10" t="s">
        <v>72</v>
      </c>
      <c r="R1774" s="11" t="s">
        <v>147</v>
      </c>
      <c r="S1774" s="11" t="s">
        <v>162</v>
      </c>
      <c r="T1774" s="22"/>
      <c r="U1774" s="22"/>
      <c r="V1774" s="22"/>
      <c r="W1774" s="22"/>
      <c r="X1774" s="22"/>
      <c r="Y1774" s="22"/>
      <c r="Z1774" s="22"/>
      <c r="AA1774" s="22"/>
      <c r="AB1774" s="22"/>
      <c r="AC1774" s="22"/>
      <c r="AD1774" s="22"/>
      <c r="AE1774" s="22"/>
      <c r="AG1774" s="146">
        <v>10</v>
      </c>
      <c r="AH1774" s="150">
        <v>8</v>
      </c>
      <c r="AI1774" s="150">
        <v>10</v>
      </c>
      <c r="AJ1774" s="82">
        <v>4</v>
      </c>
      <c r="AK1774" s="71"/>
      <c r="AL1774" s="71"/>
      <c r="AM1774" s="71"/>
      <c r="AN1774" s="71"/>
      <c r="AO1774" s="71"/>
      <c r="AP1774" s="71"/>
      <c r="AQ1774" s="71"/>
      <c r="AR1774" s="71"/>
      <c r="AS1774" s="94">
        <f t="shared" ca="1" si="2064"/>
        <v>0</v>
      </c>
      <c r="AT1774" s="95">
        <f t="shared" si="2065"/>
        <v>0</v>
      </c>
      <c r="AU1774" s="97">
        <f t="shared" si="2066"/>
        <v>32</v>
      </c>
      <c r="AW1774" s="83">
        <f t="shared" si="2067"/>
        <v>10</v>
      </c>
      <c r="AX1774" s="83">
        <f t="shared" si="2068"/>
        <v>8</v>
      </c>
      <c r="AY1774" s="83">
        <f t="shared" si="2069"/>
        <v>10</v>
      </c>
      <c r="AZ1774" s="83">
        <f t="shared" si="2070"/>
        <v>4</v>
      </c>
      <c r="BA1774" s="52"/>
      <c r="BB1774" s="52"/>
      <c r="BC1774" s="52"/>
      <c r="BD1774" s="52"/>
      <c r="BE1774" s="52"/>
      <c r="BF1774" s="52"/>
      <c r="BG1774" s="52"/>
      <c r="BH1774" s="52"/>
      <c r="BI1774" s="65" cm="1">
        <f t="array" ref="BI1774">IFERROR(INDEX(AW1774:BH1774,1,MATCH(2,1/(AW1774:BH1774&lt;&gt;""))),"")</f>
        <v>4</v>
      </c>
      <c r="BJ1774" s="68" cm="1">
        <f t="array" ref="BJ1774">IF(BM1774 = "", "",IFERROR(INDEX(AW1774:BH1774,1,MATCH(2,1/(AW1774:BH1774&lt;&gt;""),1)-1),""))</f>
        <v>10</v>
      </c>
      <c r="BK1774" s="58">
        <f>IF((IF(AW1774&gt;=115%,115%,AW1774) + IF(AX1774&gt;=115%,115%,AX1774) + IF(AY1774&gt;=115%,115%,AY1774) + (IF(AZ1774&gt;=115%,115%,AZ1774) + IF(BA1774&gt;=115%,115%,BA1774) + IF(BB1774&gt;=115%,115%,BB1774) + IF(BC1774&gt;=115%,115%,BC1774) + IF(BD1774&gt;=115%,115%,BD1774) + IF(BE1774&gt;=115%,115%,BE1774) + IF(BF1774&gt;=115%,115%,BF1774) + IF(BG1774&gt;=115%,115%,BG1774) + IF(BH1774&gt;=115%,115%,BH1774)))/_xlfn.XLOOKUP(F1774,Apuração!A:A,Apuração!B:B)&gt;=1.15,1.15,((IF(AZ1774&gt;=115%,115%,AZ1774) + IF(AX1774&gt;=115%,115%,AX1774) + IF(AY1774&gt;=115%,115%,AY1774) + (IF(AW1774&gt;=115%,115%,AW1774) + IF(BA1774&gt;=115%,115%,BA1774) + IF(BB1774&gt;=115%,115%,BB1774) + IF(BC1774&gt;=115%,115%,BC1774) + IF(BD1774&gt;=115%,115%,BD1774) + IF(BE1774&gt;=115%,115%,BE1774) + IF(BF1774&gt;=115%,115%,BF1774) + IF(BG1774&gt;=115%,115%,BG1774) + IF(BH1774&gt;=115%,115%,BH1774)))/_xlfn.XLOOKUP(F1774,Apuração!A:A,Apuração!B:B)))</f>
        <v>0.3833333333333333</v>
      </c>
      <c r="BL1774" s="58" cm="1">
        <f t="array" aca="1" ref="BL1774" ca="1">IF(SUM(IFERROR(IF(INDEX(AW1774:INDEX(AW1774:BH1774, MATCH(2, 1/(AW1774:BH1774&lt;&gt;""), 1)-1), ROW(INDIRECT("1:" &amp; MATCH(2, 1/(AW1774:BH1774&lt;&gt;""), 1)-1))) &gt;= 115%, 115%, INDEX(AW1774:INDEX(AW1774:BH1774, MATCH(2, 1/(AW1774:BH1774&lt;&gt;""), 1)-1), ROW(INDIRECT("1:" &amp; MATCH(2, 1/(AW1774:BH1774&lt;&gt;""), 1)-1)))), 0))/_xlfn.XLOOKUP(F1774,Apuração!A:A,Apuração!B:B)&gt;=1.15,1.15,SUM(IFERROR(IF(INDEX(AW1774:INDEX(AW1774:BH1774, MATCH(2, 1/(AW1774:BH1774&lt;&gt;""), 1)-1), ROW(INDIRECT("1:" &amp; MATCH(2, 1/(AW1774:BH1774&lt;&gt;""), 1)-1))) &gt;= 115%, 115%, INDEX(AW1774:INDEX(AW1774:BH1774, MATCH(2, 1/(AW1774:BH1774&lt;&gt;""), 1)-1), ROW(INDIRECT("1:" &amp; MATCH(2, 1/(AW1774:BH1774&lt;&gt;""), 1)-1)))), 0))/_xlfn.XLOOKUP(F1774,Apuração!A:A,Apuração!B:B))</f>
        <v>0.28749999999999998</v>
      </c>
      <c r="BM1774" s="55" cm="1">
        <f t="array" ref="BM1774">IFERROR(
   INDEX($AW$1:$BH$1,
      _xlfn.AGGREGATE(14, 6, COLUMN($AW$1:$BH$1)/(AW1774:BH1774&lt;&gt;""), 2) - COLUMN($AW$1) + 1
   ),
"")</f>
        <v>46082</v>
      </c>
      <c r="BN1774" s="55" cm="1">
        <f t="array" ref="BN1774">IFERROR(INDEX($AW$1:$BH$1,1,MATCH(2,1/(AW1774:BH1774&lt;&gt;""))),"")</f>
        <v>46113</v>
      </c>
      <c r="BO1774" s="53">
        <f ca="1">IFERROR(_xlfn.XLOOKUP(F1774,Apuração!A:A,Apuração!C:C)/_xlfn.XLOOKUP(F1774,Apuração!A:A,Apuração!B:B),0)</f>
        <v>0.41666666666666669</v>
      </c>
      <c r="BP1774" s="53">
        <f ca="1">IFERROR(_xlfn.XLOOKUP(F1774,Apuração!A:A,Apuração!D:D)/_xlfn.XLOOKUP(F1774,Apuração!A:A,Apuração!B:B),0)</f>
        <v>0.33333333333333331</v>
      </c>
      <c r="BQ1774" s="53">
        <f ca="1">IF(BK1774&gt;=BO1774,0,_xlfn.XLOOKUP(F1774,Apuração!A:A,Apuração!B:B)*(BO1774 + (1/_xlfn.XLOOKUP(F1774,Apuração!A:A,Apuração!B:B)) - BK1774))</f>
        <v>1.4000000000000004</v>
      </c>
      <c r="BR1774" s="85">
        <f t="shared" ca="1" si="2071"/>
        <v>0</v>
      </c>
      <c r="BS1774" s="53">
        <f ca="1">IFERROR((_xlfn.XLOOKUP(F1774,Apuração!A:A,Apuração!C:C)+1)/_xlfn.XLOOKUP(F1774,Apuração!A:A,Apuração!B:B),0)</f>
        <v>0.5</v>
      </c>
    </row>
    <row r="1775" spans="1:71" ht="25.95" hidden="1" customHeight="1" x14ac:dyDescent="0.3">
      <c r="A1775" s="42" t="s">
        <v>134</v>
      </c>
      <c r="B1775" s="4" t="s">
        <v>158</v>
      </c>
      <c r="C1775" s="5" t="s">
        <v>214</v>
      </c>
      <c r="D1775" s="5" t="s">
        <v>213</v>
      </c>
      <c r="E1775" s="4" t="str" cm="1">
        <f t="array" ref="E1775">_xlfn.IFS(
F1775 = "A partir de Abril", "Aguardando Execução na Distribuidora",
A1775 = "CAPACITAÇÃO", "Em execução no Corporativo",
TRUE, "Em Execução na Distribuidora"
)</f>
        <v>Em Execução na Distribuidora</v>
      </c>
      <c r="F1775" s="4" t="str" cm="1">
        <f t="array" ref="F1775">_xlfn.IFS(
AG1775 &lt;&gt; "", "Jan-Dez/26",
AH1775 &lt;&gt; "", "Fev-Dez/26",
AI1775 &lt;&gt; "", "Mar-Dez/26", AJ1775 &lt;&gt; "", "Abr-Dez/26",
TRUE, "A partir de Junho"
)</f>
        <v>Jan-Dez/26</v>
      </c>
      <c r="G1775" s="4" t="s">
        <v>37</v>
      </c>
      <c r="H1775" s="7" t="s">
        <v>110</v>
      </c>
      <c r="I1775" s="8" t="s">
        <v>163</v>
      </c>
      <c r="J1775" s="8" t="str" cm="1">
        <f t="array" aca="1" ref="J1775" ca="1">_xlfn.LET(
  _xlpm.actual_value_month, INDEX(T1775:AE1775, MATCH(DATE(YEAR(TODAY()), MONTH(TODAY()), 1), $T$1:$AE$1, 0)),
  IF(_xlpm.actual_value_month &lt;&gt; "",_xlpm.actual_value_month &amp; " ações mensais", "")
)</f>
        <v/>
      </c>
      <c r="K1775" s="8" t="str" cm="1">
        <f t="array" ref="K1775">_xlfn.LET(
    _xlpm.sum_month, SUM(T1775:AE1775),
    IF(_xlpm.sum_month = 0, "", _xlpm.sum_month &amp; " DSS no ano")
)</f>
        <v/>
      </c>
      <c r="L1775" s="9" t="s">
        <v>164</v>
      </c>
      <c r="M1775" s="24">
        <v>1</v>
      </c>
      <c r="N1775" s="5" t="s">
        <v>51</v>
      </c>
      <c r="O1775" s="111" t="s">
        <v>52</v>
      </c>
      <c r="P1775" s="10" t="s">
        <v>146</v>
      </c>
      <c r="Q1775" s="10" t="s">
        <v>72</v>
      </c>
      <c r="R1775" s="11" t="s">
        <v>147</v>
      </c>
      <c r="S1775" s="11" t="s">
        <v>162</v>
      </c>
      <c r="T1775" s="22"/>
      <c r="U1775" s="22"/>
      <c r="V1775" s="22"/>
      <c r="W1775" s="22"/>
      <c r="X1775" s="22"/>
      <c r="Y1775" s="22"/>
      <c r="Z1775" s="22"/>
      <c r="AA1775" s="22"/>
      <c r="AB1775" s="22"/>
      <c r="AC1775" s="22"/>
      <c r="AD1775" s="22"/>
      <c r="AE1775" s="22"/>
      <c r="AG1775" s="146">
        <v>18</v>
      </c>
      <c r="AH1775" s="150">
        <v>9</v>
      </c>
      <c r="AI1775" s="150">
        <v>16</v>
      </c>
      <c r="AJ1775" s="82">
        <v>4</v>
      </c>
      <c r="AK1775" s="71"/>
      <c r="AL1775" s="71"/>
      <c r="AM1775" s="71"/>
      <c r="AN1775" s="71"/>
      <c r="AO1775" s="71"/>
      <c r="AP1775" s="71"/>
      <c r="AQ1775" s="71"/>
      <c r="AR1775" s="71"/>
      <c r="AS1775" s="94">
        <f t="shared" ca="1" si="2064"/>
        <v>0</v>
      </c>
      <c r="AT1775" s="95">
        <f t="shared" si="2065"/>
        <v>0</v>
      </c>
      <c r="AU1775" s="97">
        <f t="shared" si="2066"/>
        <v>47</v>
      </c>
      <c r="AW1775" s="83">
        <f t="shared" si="2067"/>
        <v>18</v>
      </c>
      <c r="AX1775" s="83">
        <f t="shared" si="2068"/>
        <v>9</v>
      </c>
      <c r="AY1775" s="83">
        <f t="shared" si="2069"/>
        <v>16</v>
      </c>
      <c r="AZ1775" s="83">
        <f t="shared" si="2070"/>
        <v>4</v>
      </c>
      <c r="BA1775" s="52"/>
      <c r="BB1775" s="52"/>
      <c r="BC1775" s="52"/>
      <c r="BD1775" s="52"/>
      <c r="BE1775" s="52"/>
      <c r="BF1775" s="52"/>
      <c r="BG1775" s="52"/>
      <c r="BH1775" s="52"/>
      <c r="BI1775" s="65" cm="1">
        <f t="array" ref="BI1775">IFERROR(INDEX(AW1775:BH1775,1,MATCH(2,1/(AW1775:BH1775&lt;&gt;""))),"")</f>
        <v>4</v>
      </c>
      <c r="BJ1775" s="68" cm="1">
        <f t="array" ref="BJ1775">IF(BM1775 = "", "",IFERROR(INDEX(AW1775:BH1775,1,MATCH(2,1/(AW1775:BH1775&lt;&gt;""),1)-1),""))</f>
        <v>16</v>
      </c>
      <c r="BK1775" s="58">
        <f>IF((IF(AW1775&gt;=115%,115%,AW1775) + IF(AX1775&gt;=115%,115%,AX1775) + IF(AY1775&gt;=115%,115%,AY1775) + (IF(AZ1775&gt;=115%,115%,AZ1775) + IF(BA1775&gt;=115%,115%,BA1775) + IF(BB1775&gt;=115%,115%,BB1775) + IF(BC1775&gt;=115%,115%,BC1775) + IF(BD1775&gt;=115%,115%,BD1775) + IF(BE1775&gt;=115%,115%,BE1775) + IF(BF1775&gt;=115%,115%,BF1775) + IF(BG1775&gt;=115%,115%,BG1775) + IF(BH1775&gt;=115%,115%,BH1775)))/_xlfn.XLOOKUP(F1775,Apuração!A:A,Apuração!B:B)&gt;=1.15,1.15,((IF(AZ1775&gt;=115%,115%,AZ1775) + IF(AX1775&gt;=115%,115%,AX1775) + IF(AY1775&gt;=115%,115%,AY1775) + (IF(AW1775&gt;=115%,115%,AW1775) + IF(BA1775&gt;=115%,115%,BA1775) + IF(BB1775&gt;=115%,115%,BB1775) + IF(BC1775&gt;=115%,115%,BC1775) + IF(BD1775&gt;=115%,115%,BD1775) + IF(BE1775&gt;=115%,115%,BE1775) + IF(BF1775&gt;=115%,115%,BF1775) + IF(BG1775&gt;=115%,115%,BG1775) + IF(BH1775&gt;=115%,115%,BH1775)))/_xlfn.XLOOKUP(F1775,Apuração!A:A,Apuração!B:B)))</f>
        <v>0.3833333333333333</v>
      </c>
      <c r="BL1775" s="58" cm="1">
        <f t="array" aca="1" ref="BL1775" ca="1">IF(SUM(IFERROR(IF(INDEX(AW1775:INDEX(AW1775:BH1775, MATCH(2, 1/(AW1775:BH1775&lt;&gt;""), 1)-1), ROW(INDIRECT("1:" &amp; MATCH(2, 1/(AW1775:BH1775&lt;&gt;""), 1)-1))) &gt;= 115%, 115%, INDEX(AW1775:INDEX(AW1775:BH1775, MATCH(2, 1/(AW1775:BH1775&lt;&gt;""), 1)-1), ROW(INDIRECT("1:" &amp; MATCH(2, 1/(AW1775:BH1775&lt;&gt;""), 1)-1)))), 0))/_xlfn.XLOOKUP(F1775,Apuração!A:A,Apuração!B:B)&gt;=1.15,1.15,SUM(IFERROR(IF(INDEX(AW1775:INDEX(AW1775:BH1775, MATCH(2, 1/(AW1775:BH1775&lt;&gt;""), 1)-1), ROW(INDIRECT("1:" &amp; MATCH(2, 1/(AW1775:BH1775&lt;&gt;""), 1)-1))) &gt;= 115%, 115%, INDEX(AW1775:INDEX(AW1775:BH1775, MATCH(2, 1/(AW1775:BH1775&lt;&gt;""), 1)-1), ROW(INDIRECT("1:" &amp; MATCH(2, 1/(AW1775:BH1775&lt;&gt;""), 1)-1)))), 0))/_xlfn.XLOOKUP(F1775,Apuração!A:A,Apuração!B:B))</f>
        <v>0.28749999999999998</v>
      </c>
      <c r="BM1775" s="55" cm="1">
        <f t="array" ref="BM1775">IFERROR(
   INDEX($AW$1:$BH$1,
      _xlfn.AGGREGATE(14, 6, COLUMN($AW$1:$BH$1)/(AW1775:BH1775&lt;&gt;""), 2) - COLUMN($AW$1) + 1
   ),
"")</f>
        <v>46082</v>
      </c>
      <c r="BN1775" s="55" cm="1">
        <f t="array" ref="BN1775">IFERROR(INDEX($AW$1:$BH$1,1,MATCH(2,1/(AW1775:BH1775&lt;&gt;""))),"")</f>
        <v>46113</v>
      </c>
      <c r="BO1775" s="53">
        <f ca="1">IFERROR(_xlfn.XLOOKUP(F1775,Apuração!A:A,Apuração!C:C)/_xlfn.XLOOKUP(F1775,Apuração!A:A,Apuração!B:B),0)</f>
        <v>0.41666666666666669</v>
      </c>
      <c r="BP1775" s="53">
        <f ca="1">IFERROR(_xlfn.XLOOKUP(F1775,Apuração!A:A,Apuração!D:D)/_xlfn.XLOOKUP(F1775,Apuração!A:A,Apuração!B:B),0)</f>
        <v>0.33333333333333331</v>
      </c>
      <c r="BQ1775" s="53">
        <f ca="1">IF(BK1775&gt;=BO1775,0,_xlfn.XLOOKUP(F1775,Apuração!A:A,Apuração!B:B)*(BO1775 + (1/_xlfn.XLOOKUP(F1775,Apuração!A:A,Apuração!B:B)) - BK1775))</f>
        <v>1.4000000000000004</v>
      </c>
      <c r="BR1775" s="85">
        <f t="shared" ca="1" si="2071"/>
        <v>0</v>
      </c>
      <c r="BS1775" s="53">
        <f ca="1">IFERROR((_xlfn.XLOOKUP(F1775,Apuração!A:A,Apuração!C:C)+1)/_xlfn.XLOOKUP(F1775,Apuração!A:A,Apuração!B:B),0)</f>
        <v>0.5</v>
      </c>
    </row>
    <row r="1776" spans="1:71" ht="25.95" hidden="1" customHeight="1" x14ac:dyDescent="0.3">
      <c r="A1776" s="42" t="s">
        <v>134</v>
      </c>
      <c r="B1776" s="4" t="s">
        <v>158</v>
      </c>
      <c r="C1776" s="5" t="s">
        <v>214</v>
      </c>
      <c r="D1776" s="5" t="s">
        <v>36</v>
      </c>
      <c r="E1776" s="4" t="str" cm="1">
        <f t="array" ref="E1776">_xlfn.IFS(
F1776 = "A partir de Abril", "Aguardando Execução na Distribuidora",
A1776 = "CAPACITAÇÃO", "Em execução no Corporativo",
TRUE, "Em Execução na Distribuidora"
)</f>
        <v>Em Execução na Distribuidora</v>
      </c>
      <c r="F1776" s="4" t="str" cm="1">
        <f t="array" ref="F1776">_xlfn.IFS(
AG1776 &lt;&gt; "", "Jan-Dez/26",
AH1776 &lt;&gt; "", "Fev-Dez/26",
AI1776 &lt;&gt; "", "Mar-Dez/26", AJ1776 &lt;&gt; "", "Abr-Dez/26",
TRUE, "A partir de Junho"
)</f>
        <v>Jan-Dez/26</v>
      </c>
      <c r="G1776" s="4" t="s">
        <v>62</v>
      </c>
      <c r="H1776" s="7" t="s">
        <v>110</v>
      </c>
      <c r="I1776" s="8" t="s">
        <v>165</v>
      </c>
      <c r="J1776" s="8" t="str" cm="1">
        <f t="array" aca="1" ref="J1776" ca="1">_xlfn.LET(
  _xlpm.actual_value_month, INDEX(T1776:AE1776, MATCH(DATE(YEAR(TODAY()), MONTH(TODAY()), 1), $T$1:$AE$1, 0)),
  IF(_xlpm.actual_value_month &lt;&gt; "",_xlpm.actual_value_month &amp; " ações mensais", "")
)</f>
        <v/>
      </c>
      <c r="K1776" s="8" t="str" cm="1">
        <f t="array" ref="K1776">_xlfn.LET(
    _xlpm.sum_month, SUM(T1776:AE1776),
    IF(_xlpm.sum_month = 0, "", _xlpm.sum_month &amp; " participações de líderes nas agendas semanais")
)</f>
        <v>55 participações de líderes nas agendas semanais</v>
      </c>
      <c r="L1776" s="4" t="s">
        <v>166</v>
      </c>
      <c r="M1776" s="24">
        <v>1</v>
      </c>
      <c r="N1776" s="5" t="s">
        <v>51</v>
      </c>
      <c r="O1776" s="111" t="s">
        <v>43</v>
      </c>
      <c r="P1776" s="10" t="s">
        <v>44</v>
      </c>
      <c r="Q1776" s="10" t="s">
        <v>44</v>
      </c>
      <c r="R1776" s="11" t="s">
        <v>44</v>
      </c>
      <c r="S1776" s="11" t="s">
        <v>44</v>
      </c>
      <c r="T1776" s="22">
        <v>19</v>
      </c>
      <c r="U1776" s="22">
        <v>17</v>
      </c>
      <c r="V1776" s="22">
        <v>19</v>
      </c>
      <c r="W1776" s="22"/>
      <c r="X1776" s="22"/>
      <c r="Y1776" s="22"/>
      <c r="Z1776" s="22"/>
      <c r="AA1776" s="22"/>
      <c r="AB1776" s="22"/>
      <c r="AC1776" s="22"/>
      <c r="AD1776" s="22"/>
      <c r="AE1776" s="22"/>
      <c r="AG1776" s="71">
        <v>19</v>
      </c>
      <c r="AH1776" s="71">
        <v>17</v>
      </c>
      <c r="AI1776" s="71">
        <v>19</v>
      </c>
      <c r="AJ1776" s="71">
        <v>26</v>
      </c>
      <c r="AK1776" s="71"/>
      <c r="AL1776" s="71"/>
      <c r="AM1776" s="71"/>
      <c r="AN1776" s="71"/>
      <c r="AO1776" s="71"/>
      <c r="AP1776" s="71"/>
      <c r="AQ1776" s="71"/>
      <c r="AR1776" s="71"/>
      <c r="AS1776" s="94">
        <f ca="1">IF(MONTH(TODAY())=3,SUM(T1776:U1776),IF(MONTH(TODAY())=4,SUM(T1776:V1776),IF(MONTH(TODAY())=5,SUM(T1776:W1776),IF(MONTH(TODAY())=6,SUM(T1776:X1776),IF(MONTH(TODAY())=7,SUM(T1776:Y1776),IF(MONTH(TODAY())=8,SUM(T1776:Z1776),IF(MONTH(TODAY())=9,SUM(T1776:AA1776),IF(MONTH(TODAY())=10,SUM(T1776:AB1776),IF(MONTH(TODAY())=11,SUM(T1776:AC1776),IF(MONTH(TODAY())=12,SUM(T1776:AD1776),IF(MONTH(TODAY())=1,SUM(T1776:AE1776),T1776)))))))))))</f>
        <v>55</v>
      </c>
      <c r="AT1776" s="95">
        <f>SUM(AG1776:AR1776)</f>
        <v>81</v>
      </c>
      <c r="AU1776" s="97">
        <f>SUM(AG1776:AR1776)</f>
        <v>81</v>
      </c>
      <c r="AW1776" s="83">
        <f>AG1776</f>
        <v>19</v>
      </c>
      <c r="AX1776" s="83">
        <f>AH1776</f>
        <v>17</v>
      </c>
      <c r="AY1776" s="83">
        <f>AI1776</f>
        <v>19</v>
      </c>
      <c r="AZ1776" s="83">
        <f>AJ1776</f>
        <v>26</v>
      </c>
      <c r="BA1776" s="52"/>
      <c r="BB1776" s="52"/>
      <c r="BC1776" s="52"/>
      <c r="BD1776" s="52"/>
      <c r="BE1776" s="52"/>
      <c r="BF1776" s="52"/>
      <c r="BG1776" s="52"/>
      <c r="BH1776" s="52"/>
      <c r="BI1776" s="68" cm="1">
        <f t="array" ref="BI1776">IFERROR(INDEX(AW1776:BH1776,1,MATCH(2,1/(AW1776:BH1776&lt;&gt;""))),"")</f>
        <v>26</v>
      </c>
      <c r="BJ1776" s="68" cm="1">
        <f t="array" ref="BJ1776">IF(BM1776 = "", "",IFERROR(INDEX(AW1776:BH1776,1,MATCH(2,1/(AW1776:BH1776&lt;&gt;""),1)-1),""))</f>
        <v>19</v>
      </c>
      <c r="BK1776" s="59">
        <f>IF((IF(AW1776&gt;=150%,150%,AW1776) + IF(AX1776&gt;=150%,150%,AX1776) + IF(AY1776&gt;=150%,150%,AY1776) + (IF(AW1776&gt;=150%,150%,AW1776) + IF(BA1776&gt;=150%,150%,BA1776) + IF(BB1776&gt;=150%,150%,BB1776) + IF(BC1776&gt;=150%,150%,BC1776) + IF(BD1776&gt;=150%,150%,BD1776) + IF(BE1776&gt;=150%,150%,BE1776) + IF(BF1776&gt;=150%,150%,BF1776) + IF(BG1776&gt;=150%,150%,BG1776) + IF(BH1776&gt;=150%,150%,BH1776)))/_xlfn.XLOOKUP(F1776,Apuração!A:A,Apuração!B:B)&gt;=1.15,1.15,((IF(AW1776&gt;=150%,150%,AW1776) + IF(AX1776&gt;=150%,150%,AX1776) + IF(AY1776&gt;=150%,150%,AY1776) + (IF(AW1776&gt;=150%,150%,AW1776) + IF(BA1776&gt;=150%,150%,BA1776) + IF(BB1776&gt;=150%,150%,BB1776) + IF(BC1776&gt;=150%,150%,BC1776) + IF(BD1776&gt;=150%,150%,BD1776) + IF(BE1776&gt;=150%,150%,BE1776) + IF(BF1776&gt;=150%,150%,BF1776) + IF(BG1776&gt;=150%,150%,BG1776) + IF(BH1776&gt;=150%,150%,BH1776)))/_xlfn.XLOOKUP(F1776,Apuração!A:A,Apuração!B:B)))</f>
        <v>0.5</v>
      </c>
      <c r="BL1776" s="59" cm="1">
        <f t="array" aca="1" ref="BL1776" ca="1">IF(SUM(IFERROR(IF(INDEX(AW1776:INDEX(AW1776:BH1776, MATCH(2, 1/(AW1776:BH1776&lt;&gt;""), 1)-1), ROW(INDIRECT("1:" &amp; MATCH(2, 1/(AW1776:BH1776&lt;&gt;""), 1)-1))) &gt;= 150%, 150%, INDEX(AW1776:INDEX(AW1776:BH1776, MATCH(2, 1/(AW1776:BH1776&lt;&gt;""), 1)-1), ROW(INDIRECT("1:" &amp; MATCH(2, 1/(AW1776:BH1776&lt;&gt;""), 1)-1)))), 0))/_xlfn.XLOOKUP(F1776,Apuração!A:A,Apuração!B:B)&gt;=1.15,1.15,SUM(IFERROR(IF(INDEX(AW1776:INDEX(AW1776:BH1776, MATCH(2, 1/(AW1776:BH1776&lt;&gt;""), 1)-1), ROW(INDIRECT("1:" &amp; MATCH(2, 1/(AW1776:BH1776&lt;&gt;""), 1)-1))) &gt;= 150%, 150%, INDEX(AW1776:INDEX(AW1776:BH1776, MATCH(2, 1/(AW1776:BH1776&lt;&gt;""), 1)-1), ROW(INDIRECT("1:" &amp; MATCH(2, 1/(AW1776:BH1776&lt;&gt;""), 1)-1)))), 0))/_xlfn.XLOOKUP(F1776,Apuração!A:A,Apuração!B:B))</f>
        <v>0.375</v>
      </c>
      <c r="BM1776" s="55" cm="1">
        <f t="array" ref="BM1776">IFERROR(
   INDEX($AW$1:$BH$1,
      _xlfn.AGGREGATE(14, 6, COLUMN($AW$1:$BH$1)/(AW1776:BH1776&lt;&gt;""), 2) - COLUMN($AW$1) + 1
   ),
"")</f>
        <v>46082</v>
      </c>
      <c r="BN1776" s="55" cm="1">
        <f t="array" ref="BN1776">IFERROR(INDEX($AW$1:$BH$1,1,MATCH(2,1/(AW1776:BH1776&lt;&gt;""))),"")</f>
        <v>46113</v>
      </c>
      <c r="BO1776" s="53">
        <f ca="1">IFERROR(_xlfn.XLOOKUP(F1776,Apuração!A:A,Apuração!C:C)/_xlfn.XLOOKUP(F1776,Apuração!A:A,Apuração!B:B),0)</f>
        <v>0.41666666666666669</v>
      </c>
      <c r="BP1776" s="53">
        <f ca="1">IFERROR(_xlfn.XLOOKUP(F1776,Apuração!A:A,Apuração!D:D)/_xlfn.XLOOKUP(F1776,Apuração!A:A,Apuração!B:B),0)</f>
        <v>0.33333333333333331</v>
      </c>
      <c r="BQ1776" s="53">
        <f ca="1">IF(BK1776&gt;=BO1776,0,_xlfn.XLOOKUP(F1776,Apuração!A:A,Apuração!B:B)*(BO1776 + (1/_xlfn.XLOOKUP(F1776,Apuração!A:A,Apuração!B:B)) - BK1776))</f>
        <v>0</v>
      </c>
      <c r="BR1776" s="85">
        <f ca="1">IF(BQ1776=0,0,BQ1776*Z1776)</f>
        <v>0</v>
      </c>
      <c r="BS1776" s="53">
        <f ca="1">IFERROR((_xlfn.XLOOKUP(F1776,Apuração!A:A,Apuração!C:C)+1)/_xlfn.XLOOKUP(F1776,Apuração!A:A,Apuração!B:B),0)</f>
        <v>0.5</v>
      </c>
    </row>
    <row r="1777" spans="1:71" ht="25.95" hidden="1" customHeight="1" x14ac:dyDescent="0.3">
      <c r="A1777" s="42" t="s">
        <v>134</v>
      </c>
      <c r="B1777" s="4" t="s">
        <v>158</v>
      </c>
      <c r="C1777" s="5" t="s">
        <v>214</v>
      </c>
      <c r="D1777" s="5" t="s">
        <v>210</v>
      </c>
      <c r="E1777" s="4" t="str" cm="1">
        <f t="array" ref="E1777">_xlfn.IFS(
F1777 = "A partir de Abril", "Aguardando Execução na Distribuidora",
A1777 = "CAPACITAÇÃO", "Em execução no Corporativo",
TRUE, "Em Execução na Distribuidora"
)</f>
        <v>Em Execução na Distribuidora</v>
      </c>
      <c r="F1777" s="4" t="str" cm="1">
        <f t="array" ref="F1777">_xlfn.IFS(
AG1777 &lt;&gt; "", "Jan-Dez/26",
AH1777 &lt;&gt; "", "Fev-Dez/26",
AI1777 &lt;&gt; "", "Mar-Dez/26", AJ1777 &lt;&gt; "", "Abr-Dez/26",
TRUE, "A partir de Junho"
)</f>
        <v>Jan-Dez/26</v>
      </c>
      <c r="G1777" s="4" t="s">
        <v>62</v>
      </c>
      <c r="H1777" s="7" t="s">
        <v>110</v>
      </c>
      <c r="I1777" s="8" t="s">
        <v>165</v>
      </c>
      <c r="J1777" s="8" t="str" cm="1">
        <f t="array" aca="1" ref="J1777" ca="1">_xlfn.LET(
  _xlpm.actual_value_month, INDEX(T1777:AE1777, MATCH(DATE(YEAR(TODAY()), MONTH(TODAY()), 1), $T$1:$AE$1, 0)),
  IF(_xlpm.actual_value_month &lt;&gt; "",_xlpm.actual_value_month &amp; " ações mensais", "")
)</f>
        <v/>
      </c>
      <c r="K1777" s="8" t="str" cm="1">
        <f t="array" ref="K1777">_xlfn.LET(
    _xlpm.sum_month, SUM(T1777:AE1777),
    IF(_xlpm.sum_month = 0, "", _xlpm.sum_month &amp; " participações de líderes nas agendas semanais")
)</f>
        <v/>
      </c>
      <c r="L1777" s="4" t="s">
        <v>166</v>
      </c>
      <c r="M1777" s="24">
        <v>1</v>
      </c>
      <c r="N1777" s="5" t="s">
        <v>51</v>
      </c>
      <c r="O1777" s="111" t="s">
        <v>43</v>
      </c>
      <c r="P1777" s="10" t="s">
        <v>44</v>
      </c>
      <c r="Q1777" s="10" t="s">
        <v>44</v>
      </c>
      <c r="R1777" s="11" t="s">
        <v>44</v>
      </c>
      <c r="S1777" s="11" t="s">
        <v>44</v>
      </c>
      <c r="T1777" s="22"/>
      <c r="U1777" s="22"/>
      <c r="V1777" s="22"/>
      <c r="W1777" s="22"/>
      <c r="X1777" s="22"/>
      <c r="Y1777" s="22"/>
      <c r="Z1777" s="22"/>
      <c r="AA1777" s="22"/>
      <c r="AB1777" s="22"/>
      <c r="AC1777" s="22"/>
      <c r="AD1777" s="22"/>
      <c r="AE1777" s="22"/>
      <c r="AG1777" s="145">
        <v>2</v>
      </c>
      <c r="AH1777" s="149">
        <v>1</v>
      </c>
      <c r="AI1777" s="149">
        <v>2</v>
      </c>
      <c r="AJ1777" s="82">
        <v>2</v>
      </c>
      <c r="AK1777" s="71"/>
      <c r="AL1777" s="71"/>
      <c r="AM1777" s="71"/>
      <c r="AN1777" s="71"/>
      <c r="AO1777" s="71"/>
      <c r="AP1777" s="71"/>
      <c r="AQ1777" s="71"/>
      <c r="AR1777" s="71"/>
      <c r="AS1777" s="94">
        <f t="shared" ref="AS1777:AS1781" ca="1" si="2072">IF(MONTH(TODAY())=3,SUM(T1777:U1777),IF(MONTH(TODAY())=4,SUM(T1777:V1777),IF(MONTH(TODAY())=5,SUM(T1777:W1777),IF(MONTH(TODAY())=6,SUM(T1777:X1777),IF(MONTH(TODAY())=7,SUM(T1777:Y1777),IF(MONTH(TODAY())=8,SUM(T1777:Z1777),IF(MONTH(TODAY())=9,SUM(T1777:AA1777),IF(MONTH(TODAY())=10,SUM(T1777:AB1777),IF(MONTH(TODAY())=11,SUM(T1777:AC1777),IF(MONTH(TODAY())=12,SUM(T1777:AD1777),IF(MONTH(TODAY())=1,SUM(T1777:AE1777),T1777)))))))))))</f>
        <v>0</v>
      </c>
      <c r="AT1777" s="95">
        <f t="shared" ref="AT1777:AT1781" si="2073">SUM(AG1777:AR1777)</f>
        <v>7</v>
      </c>
      <c r="AU1777" s="97">
        <f t="shared" ref="AU1777:AU1781" si="2074">SUM(AG1777:AR1777)</f>
        <v>7</v>
      </c>
      <c r="AW1777" s="83">
        <f t="shared" ref="AW1777:AW1781" si="2075">AG1777</f>
        <v>2</v>
      </c>
      <c r="AX1777" s="83">
        <f t="shared" ref="AX1777:AX1781" si="2076">AH1777</f>
        <v>1</v>
      </c>
      <c r="AY1777" s="83">
        <f t="shared" ref="AY1777:AY1781" si="2077">AI1777</f>
        <v>2</v>
      </c>
      <c r="AZ1777" s="83">
        <f t="shared" ref="AZ1777:AZ1781" si="2078">AJ1777</f>
        <v>2</v>
      </c>
      <c r="BA1777" s="52"/>
      <c r="BB1777" s="52"/>
      <c r="BC1777" s="52"/>
      <c r="BD1777" s="52"/>
      <c r="BE1777" s="52"/>
      <c r="BF1777" s="52"/>
      <c r="BG1777" s="52"/>
      <c r="BH1777" s="52"/>
      <c r="BI1777" s="68" cm="1">
        <f t="array" ref="BI1777">IFERROR(INDEX(AW1777:BH1777,1,MATCH(2,1/(AW1777:BH1777&lt;&gt;""))),"")</f>
        <v>2</v>
      </c>
      <c r="BJ1777" s="68" cm="1">
        <f t="array" ref="BJ1777">IF(BM1777 = "", "",IFERROR(INDEX(AW1777:BH1777,1,MATCH(2,1/(AW1777:BH1777&lt;&gt;""),1)-1),""))</f>
        <v>2</v>
      </c>
      <c r="BK1777" s="59">
        <f>IF((IF(AW1777&gt;=150%,150%,AW1777) + IF(AX1777&gt;=150%,150%,AX1777) + IF(AY1777&gt;=150%,150%,AY1777) + (IF(AW1777&gt;=150%,150%,AW1777) + IF(BA1777&gt;=150%,150%,BA1777) + IF(BB1777&gt;=150%,150%,BB1777) + IF(BC1777&gt;=150%,150%,BC1777) + IF(BD1777&gt;=150%,150%,BD1777) + IF(BE1777&gt;=150%,150%,BE1777) + IF(BF1777&gt;=150%,150%,BF1777) + IF(BG1777&gt;=150%,150%,BG1777) + IF(BH1777&gt;=150%,150%,BH1777)))/_xlfn.XLOOKUP(F1777,Apuração!A:A,Apuração!B:B)&gt;=1.15,1.15,((IF(AW1777&gt;=150%,150%,AW1777) + IF(AX1777&gt;=150%,150%,AX1777) + IF(AY1777&gt;=150%,150%,AY1777) + (IF(AW1777&gt;=150%,150%,AW1777) + IF(BA1777&gt;=150%,150%,BA1777) + IF(BB1777&gt;=150%,150%,BB1777) + IF(BC1777&gt;=150%,150%,BC1777) + IF(BD1777&gt;=150%,150%,BD1777) + IF(BE1777&gt;=150%,150%,BE1777) + IF(BF1777&gt;=150%,150%,BF1777) + IF(BG1777&gt;=150%,150%,BG1777) + IF(BH1777&gt;=150%,150%,BH1777)))/_xlfn.XLOOKUP(F1777,Apuração!A:A,Apuração!B:B)))</f>
        <v>0.45833333333333331</v>
      </c>
      <c r="BL1777" s="59" cm="1">
        <f t="array" aca="1" ref="BL1777" ca="1">IF(SUM(IFERROR(IF(INDEX(AW1777:INDEX(AW1777:BH1777, MATCH(2, 1/(AW1777:BH1777&lt;&gt;""), 1)-1), ROW(INDIRECT("1:" &amp; MATCH(2, 1/(AW1777:BH1777&lt;&gt;""), 1)-1))) &gt;= 150%, 150%, INDEX(AW1777:INDEX(AW1777:BH1777, MATCH(2, 1/(AW1777:BH1777&lt;&gt;""), 1)-1), ROW(INDIRECT("1:" &amp; MATCH(2, 1/(AW1777:BH1777&lt;&gt;""), 1)-1)))), 0))/_xlfn.XLOOKUP(F1777,Apuração!A:A,Apuração!B:B)&gt;=1.15,1.15,SUM(IFERROR(IF(INDEX(AW1777:INDEX(AW1777:BH1777, MATCH(2, 1/(AW1777:BH1777&lt;&gt;""), 1)-1), ROW(INDIRECT("1:" &amp; MATCH(2, 1/(AW1777:BH1777&lt;&gt;""), 1)-1))) &gt;= 150%, 150%, INDEX(AW1777:INDEX(AW1777:BH1777, MATCH(2, 1/(AW1777:BH1777&lt;&gt;""), 1)-1), ROW(INDIRECT("1:" &amp; MATCH(2, 1/(AW1777:BH1777&lt;&gt;""), 1)-1)))), 0))/_xlfn.XLOOKUP(F1777,Apuração!A:A,Apuração!B:B))</f>
        <v>0.33333333333333331</v>
      </c>
      <c r="BM1777" s="55" cm="1">
        <f t="array" ref="BM1777">IFERROR(
   INDEX($AW$1:$BH$1,
      _xlfn.AGGREGATE(14, 6, COLUMN($AW$1:$BH$1)/(AW1777:BH1777&lt;&gt;""), 2) - COLUMN($AW$1) + 1
   ),
"")</f>
        <v>46082</v>
      </c>
      <c r="BN1777" s="55" cm="1">
        <f t="array" ref="BN1777">IFERROR(INDEX($AW$1:$BH$1,1,MATCH(2,1/(AW1777:BH1777&lt;&gt;""))),"")</f>
        <v>46113</v>
      </c>
      <c r="BO1777" s="53">
        <f ca="1">IFERROR(_xlfn.XLOOKUP(F1777,Apuração!A:A,Apuração!C:C)/_xlfn.XLOOKUP(F1777,Apuração!A:A,Apuração!B:B),0)</f>
        <v>0.41666666666666669</v>
      </c>
      <c r="BP1777" s="53">
        <f ca="1">IFERROR(_xlfn.XLOOKUP(F1777,Apuração!A:A,Apuração!D:D)/_xlfn.XLOOKUP(F1777,Apuração!A:A,Apuração!B:B),0)</f>
        <v>0.33333333333333331</v>
      </c>
      <c r="BQ1777" s="53">
        <f ca="1">IF(BK1777&gt;=BO1777,0,_xlfn.XLOOKUP(F1777,Apuração!A:A,Apuração!B:B)*(BO1777 + (1/_xlfn.XLOOKUP(F1777,Apuração!A:A,Apuração!B:B)) - BK1777))</f>
        <v>0</v>
      </c>
      <c r="BR1777" s="85">
        <f t="shared" ref="BR1777:BR1781" ca="1" si="2079">IF(BQ1777=0,0,BQ1777*Z1777)</f>
        <v>0</v>
      </c>
      <c r="BS1777" s="53">
        <f ca="1">IFERROR((_xlfn.XLOOKUP(F1777,Apuração!A:A,Apuração!C:C)+1)/_xlfn.XLOOKUP(F1777,Apuração!A:A,Apuração!B:B),0)</f>
        <v>0.5</v>
      </c>
    </row>
    <row r="1778" spans="1:71" ht="25.95" hidden="1" customHeight="1" x14ac:dyDescent="0.3">
      <c r="A1778" s="42" t="s">
        <v>134</v>
      </c>
      <c r="B1778" s="4" t="s">
        <v>158</v>
      </c>
      <c r="C1778" s="5" t="s">
        <v>214</v>
      </c>
      <c r="D1778" s="5" t="s">
        <v>215</v>
      </c>
      <c r="E1778" s="4" t="str" cm="1">
        <f t="array" ref="E1778">_xlfn.IFS(
F1778 = "A partir de Abril", "Aguardando Execução na Distribuidora",
A1778 = "CAPACITAÇÃO", "Em execução no Corporativo",
TRUE, "Em Execução na Distribuidora"
)</f>
        <v>Em Execução na Distribuidora</v>
      </c>
      <c r="F1778" s="4" t="str" cm="1">
        <f t="array" ref="F1778">_xlfn.IFS(
AG1778 &lt;&gt; "", "Jan-Dez/26",
AH1778 &lt;&gt; "", "Fev-Dez/26",
AI1778 &lt;&gt; "", "Mar-Dez/26", AJ1778 &lt;&gt; "", "Abr-Dez/26",
TRUE, "A partir de Junho"
)</f>
        <v>Jan-Dez/26</v>
      </c>
      <c r="G1778" s="4" t="s">
        <v>62</v>
      </c>
      <c r="H1778" s="7" t="s">
        <v>110</v>
      </c>
      <c r="I1778" s="8" t="s">
        <v>165</v>
      </c>
      <c r="J1778" s="8" t="str" cm="1">
        <f t="array" aca="1" ref="J1778" ca="1">_xlfn.LET(
  _xlpm.actual_value_month, INDEX(T1778:AE1778, MATCH(DATE(YEAR(TODAY()), MONTH(TODAY()), 1), $T$1:$AE$1, 0)),
  IF(_xlpm.actual_value_month &lt;&gt; "",_xlpm.actual_value_month &amp; " ações mensais", "")
)</f>
        <v/>
      </c>
      <c r="K1778" s="8" t="str" cm="1">
        <f t="array" ref="K1778">_xlfn.LET(
    _xlpm.sum_month, SUM(T1778:AE1778),
    IF(_xlpm.sum_month = 0, "", _xlpm.sum_month &amp; " participações de líderes nas agendas semanais")
)</f>
        <v/>
      </c>
      <c r="L1778" s="4" t="s">
        <v>166</v>
      </c>
      <c r="M1778" s="24">
        <v>1</v>
      </c>
      <c r="N1778" s="5" t="s">
        <v>51</v>
      </c>
      <c r="O1778" s="111" t="s">
        <v>43</v>
      </c>
      <c r="P1778" s="10" t="s">
        <v>44</v>
      </c>
      <c r="Q1778" s="10" t="s">
        <v>44</v>
      </c>
      <c r="R1778" s="11" t="s">
        <v>44</v>
      </c>
      <c r="S1778" s="11" t="s">
        <v>44</v>
      </c>
      <c r="T1778" s="22"/>
      <c r="U1778" s="22"/>
      <c r="V1778" s="22"/>
      <c r="W1778" s="22"/>
      <c r="X1778" s="22"/>
      <c r="Y1778" s="22"/>
      <c r="Z1778" s="22"/>
      <c r="AA1778" s="22"/>
      <c r="AB1778" s="22"/>
      <c r="AC1778" s="22"/>
      <c r="AD1778" s="22"/>
      <c r="AE1778" s="22"/>
      <c r="AG1778" s="146">
        <v>5</v>
      </c>
      <c r="AH1778" s="150">
        <v>4</v>
      </c>
      <c r="AI1778" s="150">
        <v>4</v>
      </c>
      <c r="AJ1778" s="82">
        <v>5</v>
      </c>
      <c r="AK1778" s="71"/>
      <c r="AL1778" s="71"/>
      <c r="AM1778" s="71"/>
      <c r="AN1778" s="71"/>
      <c r="AO1778" s="71"/>
      <c r="AP1778" s="71"/>
      <c r="AQ1778" s="71"/>
      <c r="AR1778" s="71"/>
      <c r="AS1778" s="94">
        <f t="shared" ca="1" si="2072"/>
        <v>0</v>
      </c>
      <c r="AT1778" s="95">
        <f t="shared" si="2073"/>
        <v>18</v>
      </c>
      <c r="AU1778" s="97">
        <f t="shared" si="2074"/>
        <v>18</v>
      </c>
      <c r="AW1778" s="83">
        <f t="shared" si="2075"/>
        <v>5</v>
      </c>
      <c r="AX1778" s="83">
        <f t="shared" si="2076"/>
        <v>4</v>
      </c>
      <c r="AY1778" s="83">
        <f t="shared" si="2077"/>
        <v>4</v>
      </c>
      <c r="AZ1778" s="83">
        <f t="shared" si="2078"/>
        <v>5</v>
      </c>
      <c r="BA1778" s="52"/>
      <c r="BB1778" s="52"/>
      <c r="BC1778" s="52"/>
      <c r="BD1778" s="52"/>
      <c r="BE1778" s="52"/>
      <c r="BF1778" s="52"/>
      <c r="BG1778" s="52"/>
      <c r="BH1778" s="52"/>
      <c r="BI1778" s="68" cm="1">
        <f t="array" ref="BI1778">IFERROR(INDEX(AW1778:BH1778,1,MATCH(2,1/(AW1778:BH1778&lt;&gt;""))),"")</f>
        <v>5</v>
      </c>
      <c r="BJ1778" s="68" cm="1">
        <f t="array" ref="BJ1778">IF(BM1778 = "", "",IFERROR(INDEX(AW1778:BH1778,1,MATCH(2,1/(AW1778:BH1778&lt;&gt;""),1)-1),""))</f>
        <v>4</v>
      </c>
      <c r="BK1778" s="59">
        <f>IF((IF(AW1778&gt;=150%,150%,AW1778) + IF(AX1778&gt;=150%,150%,AX1778) + IF(AY1778&gt;=150%,150%,AY1778) + (IF(AW1778&gt;=150%,150%,AW1778) + IF(BA1778&gt;=150%,150%,BA1778) + IF(BB1778&gt;=150%,150%,BB1778) + IF(BC1778&gt;=150%,150%,BC1778) + IF(BD1778&gt;=150%,150%,BD1778) + IF(BE1778&gt;=150%,150%,BE1778) + IF(BF1778&gt;=150%,150%,BF1778) + IF(BG1778&gt;=150%,150%,BG1778) + IF(BH1778&gt;=150%,150%,BH1778)))/_xlfn.XLOOKUP(F1778,Apuração!A:A,Apuração!B:B)&gt;=1.15,1.15,((IF(AW1778&gt;=150%,150%,AW1778) + IF(AX1778&gt;=150%,150%,AX1778) + IF(AY1778&gt;=150%,150%,AY1778) + (IF(AW1778&gt;=150%,150%,AW1778) + IF(BA1778&gt;=150%,150%,BA1778) + IF(BB1778&gt;=150%,150%,BB1778) + IF(BC1778&gt;=150%,150%,BC1778) + IF(BD1778&gt;=150%,150%,BD1778) + IF(BE1778&gt;=150%,150%,BE1778) + IF(BF1778&gt;=150%,150%,BF1778) + IF(BG1778&gt;=150%,150%,BG1778) + IF(BH1778&gt;=150%,150%,BH1778)))/_xlfn.XLOOKUP(F1778,Apuração!A:A,Apuração!B:B)))</f>
        <v>0.5</v>
      </c>
      <c r="BL1778" s="59" cm="1">
        <f t="array" aca="1" ref="BL1778" ca="1">IF(SUM(IFERROR(IF(INDEX(AW1778:INDEX(AW1778:BH1778, MATCH(2, 1/(AW1778:BH1778&lt;&gt;""), 1)-1), ROW(INDIRECT("1:" &amp; MATCH(2, 1/(AW1778:BH1778&lt;&gt;""), 1)-1))) &gt;= 150%, 150%, INDEX(AW1778:INDEX(AW1778:BH1778, MATCH(2, 1/(AW1778:BH1778&lt;&gt;""), 1)-1), ROW(INDIRECT("1:" &amp; MATCH(2, 1/(AW1778:BH1778&lt;&gt;""), 1)-1)))), 0))/_xlfn.XLOOKUP(F1778,Apuração!A:A,Apuração!B:B)&gt;=1.15,1.15,SUM(IFERROR(IF(INDEX(AW1778:INDEX(AW1778:BH1778, MATCH(2, 1/(AW1778:BH1778&lt;&gt;""), 1)-1), ROW(INDIRECT("1:" &amp; MATCH(2, 1/(AW1778:BH1778&lt;&gt;""), 1)-1))) &gt;= 150%, 150%, INDEX(AW1778:INDEX(AW1778:BH1778, MATCH(2, 1/(AW1778:BH1778&lt;&gt;""), 1)-1), ROW(INDIRECT("1:" &amp; MATCH(2, 1/(AW1778:BH1778&lt;&gt;""), 1)-1)))), 0))/_xlfn.XLOOKUP(F1778,Apuração!A:A,Apuração!B:B))</f>
        <v>0.375</v>
      </c>
      <c r="BM1778" s="55" cm="1">
        <f t="array" ref="BM1778">IFERROR(
   INDEX($AW$1:$BH$1,
      _xlfn.AGGREGATE(14, 6, COLUMN($AW$1:$BH$1)/(AW1778:BH1778&lt;&gt;""), 2) - COLUMN($AW$1) + 1
   ),
"")</f>
        <v>46082</v>
      </c>
      <c r="BN1778" s="55" cm="1">
        <f t="array" ref="BN1778">IFERROR(INDEX($AW$1:$BH$1,1,MATCH(2,1/(AW1778:BH1778&lt;&gt;""))),"")</f>
        <v>46113</v>
      </c>
      <c r="BO1778" s="53">
        <f ca="1">IFERROR(_xlfn.XLOOKUP(F1778,Apuração!A:A,Apuração!C:C)/_xlfn.XLOOKUP(F1778,Apuração!A:A,Apuração!B:B),0)</f>
        <v>0.41666666666666669</v>
      </c>
      <c r="BP1778" s="53">
        <f ca="1">IFERROR(_xlfn.XLOOKUP(F1778,Apuração!A:A,Apuração!D:D)/_xlfn.XLOOKUP(F1778,Apuração!A:A,Apuração!B:B),0)</f>
        <v>0.33333333333333331</v>
      </c>
      <c r="BQ1778" s="53">
        <f ca="1">IF(BK1778&gt;=BO1778,0,_xlfn.XLOOKUP(F1778,Apuração!A:A,Apuração!B:B)*(BO1778 + (1/_xlfn.XLOOKUP(F1778,Apuração!A:A,Apuração!B:B)) - BK1778))</f>
        <v>0</v>
      </c>
      <c r="BR1778" s="85">
        <f t="shared" ca="1" si="2079"/>
        <v>0</v>
      </c>
      <c r="BS1778" s="53">
        <f ca="1">IFERROR((_xlfn.XLOOKUP(F1778,Apuração!A:A,Apuração!C:C)+1)/_xlfn.XLOOKUP(F1778,Apuração!A:A,Apuração!B:B),0)</f>
        <v>0.5</v>
      </c>
    </row>
    <row r="1779" spans="1:71" ht="25.95" hidden="1" customHeight="1" x14ac:dyDescent="0.3">
      <c r="A1779" s="42" t="s">
        <v>134</v>
      </c>
      <c r="B1779" s="4" t="s">
        <v>158</v>
      </c>
      <c r="C1779" s="5" t="s">
        <v>214</v>
      </c>
      <c r="D1779" s="5" t="s">
        <v>212</v>
      </c>
      <c r="E1779" s="4" t="str" cm="1">
        <f t="array" ref="E1779">_xlfn.IFS(
F1779 = "A partir de Abril", "Aguardando Execução na Distribuidora",
A1779 = "CAPACITAÇÃO", "Em execução no Corporativo",
TRUE, "Em Execução na Distribuidora"
)</f>
        <v>Em Execução na Distribuidora</v>
      </c>
      <c r="F1779" s="4" t="str" cm="1">
        <f t="array" ref="F1779">_xlfn.IFS(
AG1779 &lt;&gt; "", "Jan-Dez/26",
AH1779 &lt;&gt; "", "Fev-Dez/26",
AI1779 &lt;&gt; "", "Mar-Dez/26", AJ1779 &lt;&gt; "", "Abr-Dez/26",
TRUE, "A partir de Junho"
)</f>
        <v>Jan-Dez/26</v>
      </c>
      <c r="G1779" s="4" t="s">
        <v>62</v>
      </c>
      <c r="H1779" s="7" t="s">
        <v>110</v>
      </c>
      <c r="I1779" s="8" t="s">
        <v>165</v>
      </c>
      <c r="J1779" s="8" t="str" cm="1">
        <f t="array" aca="1" ref="J1779" ca="1">_xlfn.LET(
  _xlpm.actual_value_month, INDEX(T1779:AE1779, MATCH(DATE(YEAR(TODAY()), MONTH(TODAY()), 1), $T$1:$AE$1, 0)),
  IF(_xlpm.actual_value_month &lt;&gt; "",_xlpm.actual_value_month &amp; " ações mensais", "")
)</f>
        <v/>
      </c>
      <c r="K1779" s="8" t="str" cm="1">
        <f t="array" ref="K1779">_xlfn.LET(
    _xlpm.sum_month, SUM(T1779:AE1779),
    IF(_xlpm.sum_month = 0, "", _xlpm.sum_month &amp; " participações de líderes nas agendas semanais")
)</f>
        <v/>
      </c>
      <c r="L1779" s="4" t="s">
        <v>166</v>
      </c>
      <c r="M1779" s="24">
        <v>1</v>
      </c>
      <c r="N1779" s="5" t="s">
        <v>51</v>
      </c>
      <c r="O1779" s="111" t="s">
        <v>43</v>
      </c>
      <c r="P1779" s="10" t="s">
        <v>44</v>
      </c>
      <c r="Q1779" s="10" t="s">
        <v>44</v>
      </c>
      <c r="R1779" s="11" t="s">
        <v>44</v>
      </c>
      <c r="S1779" s="11" t="s">
        <v>44</v>
      </c>
      <c r="T1779" s="22"/>
      <c r="U1779" s="22"/>
      <c r="V1779" s="22"/>
      <c r="W1779" s="22"/>
      <c r="X1779" s="22"/>
      <c r="Y1779" s="22"/>
      <c r="Z1779" s="22"/>
      <c r="AA1779" s="22"/>
      <c r="AB1779" s="22"/>
      <c r="AC1779" s="22"/>
      <c r="AD1779" s="22"/>
      <c r="AE1779" s="22"/>
      <c r="AG1779" s="146">
        <v>5</v>
      </c>
      <c r="AH1779" s="150">
        <v>7</v>
      </c>
      <c r="AI1779" s="150">
        <v>8</v>
      </c>
      <c r="AJ1779" s="82">
        <v>8</v>
      </c>
      <c r="AK1779" s="71"/>
      <c r="AL1779" s="71"/>
      <c r="AM1779" s="71"/>
      <c r="AN1779" s="71"/>
      <c r="AO1779" s="71"/>
      <c r="AP1779" s="71"/>
      <c r="AQ1779" s="71"/>
      <c r="AR1779" s="71"/>
      <c r="AS1779" s="94">
        <f t="shared" ca="1" si="2072"/>
        <v>0</v>
      </c>
      <c r="AT1779" s="95">
        <f t="shared" si="2073"/>
        <v>28</v>
      </c>
      <c r="AU1779" s="97">
        <f t="shared" si="2074"/>
        <v>28</v>
      </c>
      <c r="AW1779" s="83">
        <f t="shared" si="2075"/>
        <v>5</v>
      </c>
      <c r="AX1779" s="83">
        <f t="shared" si="2076"/>
        <v>7</v>
      </c>
      <c r="AY1779" s="83">
        <f t="shared" si="2077"/>
        <v>8</v>
      </c>
      <c r="AZ1779" s="83">
        <f t="shared" si="2078"/>
        <v>8</v>
      </c>
      <c r="BA1779" s="52"/>
      <c r="BB1779" s="52"/>
      <c r="BC1779" s="52"/>
      <c r="BD1779" s="52"/>
      <c r="BE1779" s="52"/>
      <c r="BF1779" s="52"/>
      <c r="BG1779" s="52"/>
      <c r="BH1779" s="52"/>
      <c r="BI1779" s="68" cm="1">
        <f t="array" ref="BI1779">IFERROR(INDEX(AW1779:BH1779,1,MATCH(2,1/(AW1779:BH1779&lt;&gt;""))),"")</f>
        <v>8</v>
      </c>
      <c r="BJ1779" s="68" cm="1">
        <f t="array" ref="BJ1779">IF(BM1779 = "", "",IFERROR(INDEX(AW1779:BH1779,1,MATCH(2,1/(AW1779:BH1779&lt;&gt;""),1)-1),""))</f>
        <v>8</v>
      </c>
      <c r="BK1779" s="59">
        <f>IF((IF(AW1779&gt;=150%,150%,AW1779) + IF(AX1779&gt;=150%,150%,AX1779) + IF(AY1779&gt;=150%,150%,AY1779) + (IF(AW1779&gt;=150%,150%,AW1779) + IF(BA1779&gt;=150%,150%,BA1779) + IF(BB1779&gt;=150%,150%,BB1779) + IF(BC1779&gt;=150%,150%,BC1779) + IF(BD1779&gt;=150%,150%,BD1779) + IF(BE1779&gt;=150%,150%,BE1779) + IF(BF1779&gt;=150%,150%,BF1779) + IF(BG1779&gt;=150%,150%,BG1779) + IF(BH1779&gt;=150%,150%,BH1779)))/_xlfn.XLOOKUP(F1779,Apuração!A:A,Apuração!B:B)&gt;=1.15,1.15,((IF(AW1779&gt;=150%,150%,AW1779) + IF(AX1779&gt;=150%,150%,AX1779) + IF(AY1779&gt;=150%,150%,AY1779) + (IF(AW1779&gt;=150%,150%,AW1779) + IF(BA1779&gt;=150%,150%,BA1779) + IF(BB1779&gt;=150%,150%,BB1779) + IF(BC1779&gt;=150%,150%,BC1779) + IF(BD1779&gt;=150%,150%,BD1779) + IF(BE1779&gt;=150%,150%,BE1779) + IF(BF1779&gt;=150%,150%,BF1779) + IF(BG1779&gt;=150%,150%,BG1779) + IF(BH1779&gt;=150%,150%,BH1779)))/_xlfn.XLOOKUP(F1779,Apuração!A:A,Apuração!B:B)))</f>
        <v>0.5</v>
      </c>
      <c r="BL1779" s="59" cm="1">
        <f t="array" aca="1" ref="BL1779" ca="1">IF(SUM(IFERROR(IF(INDEX(AW1779:INDEX(AW1779:BH1779, MATCH(2, 1/(AW1779:BH1779&lt;&gt;""), 1)-1), ROW(INDIRECT("1:" &amp; MATCH(2, 1/(AW1779:BH1779&lt;&gt;""), 1)-1))) &gt;= 150%, 150%, INDEX(AW1779:INDEX(AW1779:BH1779, MATCH(2, 1/(AW1779:BH1779&lt;&gt;""), 1)-1), ROW(INDIRECT("1:" &amp; MATCH(2, 1/(AW1779:BH1779&lt;&gt;""), 1)-1)))), 0))/_xlfn.XLOOKUP(F1779,Apuração!A:A,Apuração!B:B)&gt;=1.15,1.15,SUM(IFERROR(IF(INDEX(AW1779:INDEX(AW1779:BH1779, MATCH(2, 1/(AW1779:BH1779&lt;&gt;""), 1)-1), ROW(INDIRECT("1:" &amp; MATCH(2, 1/(AW1779:BH1779&lt;&gt;""), 1)-1))) &gt;= 150%, 150%, INDEX(AW1779:INDEX(AW1779:BH1779, MATCH(2, 1/(AW1779:BH1779&lt;&gt;""), 1)-1), ROW(INDIRECT("1:" &amp; MATCH(2, 1/(AW1779:BH1779&lt;&gt;""), 1)-1)))), 0))/_xlfn.XLOOKUP(F1779,Apuração!A:A,Apuração!B:B))</f>
        <v>0.375</v>
      </c>
      <c r="BM1779" s="55" cm="1">
        <f t="array" ref="BM1779">IFERROR(
   INDEX($AW$1:$BH$1,
      _xlfn.AGGREGATE(14, 6, COLUMN($AW$1:$BH$1)/(AW1779:BH1779&lt;&gt;""), 2) - COLUMN($AW$1) + 1
   ),
"")</f>
        <v>46082</v>
      </c>
      <c r="BN1779" s="55" cm="1">
        <f t="array" ref="BN1779">IFERROR(INDEX($AW$1:$BH$1,1,MATCH(2,1/(AW1779:BH1779&lt;&gt;""))),"")</f>
        <v>46113</v>
      </c>
      <c r="BO1779" s="53">
        <f ca="1">IFERROR(_xlfn.XLOOKUP(F1779,Apuração!A:A,Apuração!C:C)/_xlfn.XLOOKUP(F1779,Apuração!A:A,Apuração!B:B),0)</f>
        <v>0.41666666666666669</v>
      </c>
      <c r="BP1779" s="53">
        <f ca="1">IFERROR(_xlfn.XLOOKUP(F1779,Apuração!A:A,Apuração!D:D)/_xlfn.XLOOKUP(F1779,Apuração!A:A,Apuração!B:B),0)</f>
        <v>0.33333333333333331</v>
      </c>
      <c r="BQ1779" s="53">
        <f ca="1">IF(BK1779&gt;=BO1779,0,_xlfn.XLOOKUP(F1779,Apuração!A:A,Apuração!B:B)*(BO1779 + (1/_xlfn.XLOOKUP(F1779,Apuração!A:A,Apuração!B:B)) - BK1779))</f>
        <v>0</v>
      </c>
      <c r="BR1779" s="85">
        <f t="shared" ca="1" si="2079"/>
        <v>0</v>
      </c>
      <c r="BS1779" s="53">
        <f ca="1">IFERROR((_xlfn.XLOOKUP(F1779,Apuração!A:A,Apuração!C:C)+1)/_xlfn.XLOOKUP(F1779,Apuração!A:A,Apuração!B:B),0)</f>
        <v>0.5</v>
      </c>
    </row>
    <row r="1780" spans="1:71" ht="25.95" hidden="1" customHeight="1" x14ac:dyDescent="0.3">
      <c r="A1780" s="42" t="s">
        <v>134</v>
      </c>
      <c r="B1780" s="4" t="s">
        <v>158</v>
      </c>
      <c r="C1780" s="5" t="s">
        <v>214</v>
      </c>
      <c r="D1780" s="5" t="s">
        <v>48</v>
      </c>
      <c r="E1780" s="4" t="str" cm="1">
        <f t="array" ref="E1780">_xlfn.IFS(
F1780 = "A partir de Abril", "Aguardando Execução na Distribuidora",
A1780 = "CAPACITAÇÃO", "Em execução no Corporativo",
TRUE, "Em Execução na Distribuidora"
)</f>
        <v>Em Execução na Distribuidora</v>
      </c>
      <c r="F1780" s="4" t="str" cm="1">
        <f t="array" ref="F1780">_xlfn.IFS(
AG1780 &lt;&gt; "", "Jan-Dez/26",
AH1780 &lt;&gt; "", "Fev-Dez/26",
AI1780 &lt;&gt; "", "Mar-Dez/26", AJ1780 &lt;&gt; "", "Abr-Dez/26",
TRUE, "A partir de Junho"
)</f>
        <v>Jan-Dez/26</v>
      </c>
      <c r="G1780" s="4" t="s">
        <v>62</v>
      </c>
      <c r="H1780" s="7" t="s">
        <v>110</v>
      </c>
      <c r="I1780" s="8" t="s">
        <v>165</v>
      </c>
      <c r="J1780" s="8" t="str" cm="1">
        <f t="array" aca="1" ref="J1780" ca="1">_xlfn.LET(
  _xlpm.actual_value_month, INDEX(T1780:AE1780, MATCH(DATE(YEAR(TODAY()), MONTH(TODAY()), 1), $T$1:$AE$1, 0)),
  IF(_xlpm.actual_value_month &lt;&gt; "",_xlpm.actual_value_month &amp; " ações mensais", "")
)</f>
        <v/>
      </c>
      <c r="K1780" s="8" t="str" cm="1">
        <f t="array" ref="K1780">_xlfn.LET(
    _xlpm.sum_month, SUM(T1780:AE1780),
    IF(_xlpm.sum_month = 0, "", _xlpm.sum_month &amp; " participações de líderes nas agendas semanais")
)</f>
        <v/>
      </c>
      <c r="L1780" s="4" t="s">
        <v>166</v>
      </c>
      <c r="M1780" s="24">
        <v>1</v>
      </c>
      <c r="N1780" s="5" t="s">
        <v>51</v>
      </c>
      <c r="O1780" s="111" t="s">
        <v>43</v>
      </c>
      <c r="P1780" s="10" t="s">
        <v>44</v>
      </c>
      <c r="Q1780" s="10" t="s">
        <v>44</v>
      </c>
      <c r="R1780" s="11" t="s">
        <v>44</v>
      </c>
      <c r="S1780" s="11" t="s">
        <v>44</v>
      </c>
      <c r="T1780" s="22"/>
      <c r="U1780" s="22"/>
      <c r="V1780" s="22"/>
      <c r="W1780" s="22"/>
      <c r="X1780" s="22"/>
      <c r="Y1780" s="22"/>
      <c r="Z1780" s="22"/>
      <c r="AA1780" s="22"/>
      <c r="AB1780" s="22"/>
      <c r="AC1780" s="22"/>
      <c r="AD1780" s="22"/>
      <c r="AE1780" s="22"/>
      <c r="AG1780" s="146">
        <v>3</v>
      </c>
      <c r="AH1780" s="150">
        <v>2</v>
      </c>
      <c r="AI1780" s="150">
        <v>2</v>
      </c>
      <c r="AJ1780" s="82">
        <v>4</v>
      </c>
      <c r="AK1780" s="71"/>
      <c r="AL1780" s="71"/>
      <c r="AM1780" s="71"/>
      <c r="AN1780" s="71"/>
      <c r="AO1780" s="71"/>
      <c r="AP1780" s="71"/>
      <c r="AQ1780" s="71"/>
      <c r="AR1780" s="71"/>
      <c r="AS1780" s="94">
        <f t="shared" ca="1" si="2072"/>
        <v>0</v>
      </c>
      <c r="AT1780" s="95">
        <f t="shared" si="2073"/>
        <v>11</v>
      </c>
      <c r="AU1780" s="97">
        <f t="shared" si="2074"/>
        <v>11</v>
      </c>
      <c r="AW1780" s="83">
        <f t="shared" si="2075"/>
        <v>3</v>
      </c>
      <c r="AX1780" s="83">
        <f t="shared" si="2076"/>
        <v>2</v>
      </c>
      <c r="AY1780" s="83">
        <f t="shared" si="2077"/>
        <v>2</v>
      </c>
      <c r="AZ1780" s="83">
        <f t="shared" si="2078"/>
        <v>4</v>
      </c>
      <c r="BA1780" s="52"/>
      <c r="BB1780" s="52"/>
      <c r="BC1780" s="52"/>
      <c r="BD1780" s="52"/>
      <c r="BE1780" s="52"/>
      <c r="BF1780" s="52"/>
      <c r="BG1780" s="52"/>
      <c r="BH1780" s="52"/>
      <c r="BI1780" s="68" cm="1">
        <f t="array" ref="BI1780">IFERROR(INDEX(AW1780:BH1780,1,MATCH(2,1/(AW1780:BH1780&lt;&gt;""))),"")</f>
        <v>4</v>
      </c>
      <c r="BJ1780" s="68" cm="1">
        <f t="array" ref="BJ1780">IF(BM1780 = "", "",IFERROR(INDEX(AW1780:BH1780,1,MATCH(2,1/(AW1780:BH1780&lt;&gt;""),1)-1),""))</f>
        <v>2</v>
      </c>
      <c r="BK1780" s="59">
        <f>IF((IF(AW1780&gt;=150%,150%,AW1780) + IF(AX1780&gt;=150%,150%,AX1780) + IF(AY1780&gt;=150%,150%,AY1780) + (IF(AW1780&gt;=150%,150%,AW1780) + IF(BA1780&gt;=150%,150%,BA1780) + IF(BB1780&gt;=150%,150%,BB1780) + IF(BC1780&gt;=150%,150%,BC1780) + IF(BD1780&gt;=150%,150%,BD1780) + IF(BE1780&gt;=150%,150%,BE1780) + IF(BF1780&gt;=150%,150%,BF1780) + IF(BG1780&gt;=150%,150%,BG1780) + IF(BH1780&gt;=150%,150%,BH1780)))/_xlfn.XLOOKUP(F1780,Apuração!A:A,Apuração!B:B)&gt;=1.15,1.15,((IF(AW1780&gt;=150%,150%,AW1780) + IF(AX1780&gt;=150%,150%,AX1780) + IF(AY1780&gt;=150%,150%,AY1780) + (IF(AW1780&gt;=150%,150%,AW1780) + IF(BA1780&gt;=150%,150%,BA1780) + IF(BB1780&gt;=150%,150%,BB1780) + IF(BC1780&gt;=150%,150%,BC1780) + IF(BD1780&gt;=150%,150%,BD1780) + IF(BE1780&gt;=150%,150%,BE1780) + IF(BF1780&gt;=150%,150%,BF1780) + IF(BG1780&gt;=150%,150%,BG1780) + IF(BH1780&gt;=150%,150%,BH1780)))/_xlfn.XLOOKUP(F1780,Apuração!A:A,Apuração!B:B)))</f>
        <v>0.5</v>
      </c>
      <c r="BL1780" s="59" cm="1">
        <f t="array" aca="1" ref="BL1780" ca="1">IF(SUM(IFERROR(IF(INDEX(AW1780:INDEX(AW1780:BH1780, MATCH(2, 1/(AW1780:BH1780&lt;&gt;""), 1)-1), ROW(INDIRECT("1:" &amp; MATCH(2, 1/(AW1780:BH1780&lt;&gt;""), 1)-1))) &gt;= 150%, 150%, INDEX(AW1780:INDEX(AW1780:BH1780, MATCH(2, 1/(AW1780:BH1780&lt;&gt;""), 1)-1), ROW(INDIRECT("1:" &amp; MATCH(2, 1/(AW1780:BH1780&lt;&gt;""), 1)-1)))), 0))/_xlfn.XLOOKUP(F1780,Apuração!A:A,Apuração!B:B)&gt;=1.15,1.15,SUM(IFERROR(IF(INDEX(AW1780:INDEX(AW1780:BH1780, MATCH(2, 1/(AW1780:BH1780&lt;&gt;""), 1)-1), ROW(INDIRECT("1:" &amp; MATCH(2, 1/(AW1780:BH1780&lt;&gt;""), 1)-1))) &gt;= 150%, 150%, INDEX(AW1780:INDEX(AW1780:BH1780, MATCH(2, 1/(AW1780:BH1780&lt;&gt;""), 1)-1), ROW(INDIRECT("1:" &amp; MATCH(2, 1/(AW1780:BH1780&lt;&gt;""), 1)-1)))), 0))/_xlfn.XLOOKUP(F1780,Apuração!A:A,Apuração!B:B))</f>
        <v>0.375</v>
      </c>
      <c r="BM1780" s="55" cm="1">
        <f t="array" ref="BM1780">IFERROR(
   INDEX($AW$1:$BH$1,
      _xlfn.AGGREGATE(14, 6, COLUMN($AW$1:$BH$1)/(AW1780:BH1780&lt;&gt;""), 2) - COLUMN($AW$1) + 1
   ),
"")</f>
        <v>46082</v>
      </c>
      <c r="BN1780" s="55" cm="1">
        <f t="array" ref="BN1780">IFERROR(INDEX($AW$1:$BH$1,1,MATCH(2,1/(AW1780:BH1780&lt;&gt;""))),"")</f>
        <v>46113</v>
      </c>
      <c r="BO1780" s="53">
        <f ca="1">IFERROR(_xlfn.XLOOKUP(F1780,Apuração!A:A,Apuração!C:C)/_xlfn.XLOOKUP(F1780,Apuração!A:A,Apuração!B:B),0)</f>
        <v>0.41666666666666669</v>
      </c>
      <c r="BP1780" s="53">
        <f ca="1">IFERROR(_xlfn.XLOOKUP(F1780,Apuração!A:A,Apuração!D:D)/_xlfn.XLOOKUP(F1780,Apuração!A:A,Apuração!B:B),0)</f>
        <v>0.33333333333333331</v>
      </c>
      <c r="BQ1780" s="53">
        <f ca="1">IF(BK1780&gt;=BO1780,0,_xlfn.XLOOKUP(F1780,Apuração!A:A,Apuração!B:B)*(BO1780 + (1/_xlfn.XLOOKUP(F1780,Apuração!A:A,Apuração!B:B)) - BK1780))</f>
        <v>0</v>
      </c>
      <c r="BR1780" s="85">
        <f t="shared" ca="1" si="2079"/>
        <v>0</v>
      </c>
      <c r="BS1780" s="53">
        <f ca="1">IFERROR((_xlfn.XLOOKUP(F1780,Apuração!A:A,Apuração!C:C)+1)/_xlfn.XLOOKUP(F1780,Apuração!A:A,Apuração!B:B),0)</f>
        <v>0.5</v>
      </c>
    </row>
    <row r="1781" spans="1:71" ht="25.95" hidden="1" customHeight="1" x14ac:dyDescent="0.3">
      <c r="A1781" s="42" t="s">
        <v>134</v>
      </c>
      <c r="B1781" s="4" t="s">
        <v>158</v>
      </c>
      <c r="C1781" s="5" t="s">
        <v>214</v>
      </c>
      <c r="D1781" s="5" t="s">
        <v>213</v>
      </c>
      <c r="E1781" s="4" t="str" cm="1">
        <f t="array" ref="E1781">_xlfn.IFS(
F1781 = "A partir de Abril", "Aguardando Execução na Distribuidora",
A1781 = "CAPACITAÇÃO", "Em execução no Corporativo",
TRUE, "Em Execução na Distribuidora"
)</f>
        <v>Em Execução na Distribuidora</v>
      </c>
      <c r="F1781" s="4" t="str" cm="1">
        <f t="array" ref="F1781">_xlfn.IFS(
AG1781 &lt;&gt; "", "Jan-Dez/26",
AH1781 &lt;&gt; "", "Fev-Dez/26",
AI1781 &lt;&gt; "", "Mar-Dez/26", AJ1781 &lt;&gt; "", "Abr-Dez/26",
TRUE, "A partir de Junho"
)</f>
        <v>Jan-Dez/26</v>
      </c>
      <c r="G1781" s="4" t="s">
        <v>62</v>
      </c>
      <c r="H1781" s="7" t="s">
        <v>110</v>
      </c>
      <c r="I1781" s="8" t="s">
        <v>165</v>
      </c>
      <c r="J1781" s="8" t="str" cm="1">
        <f t="array" aca="1" ref="J1781" ca="1">_xlfn.LET(
  _xlpm.actual_value_month, INDEX(T1781:AE1781, MATCH(DATE(YEAR(TODAY()), MONTH(TODAY()), 1), $T$1:$AE$1, 0)),
  IF(_xlpm.actual_value_month &lt;&gt; "",_xlpm.actual_value_month &amp; " ações mensais", "")
)</f>
        <v/>
      </c>
      <c r="K1781" s="8" t="str" cm="1">
        <f t="array" ref="K1781">_xlfn.LET(
    _xlpm.sum_month, SUM(T1781:AE1781),
    IF(_xlpm.sum_month = 0, "", _xlpm.sum_month &amp; " participações de líderes nas agendas semanais")
)</f>
        <v/>
      </c>
      <c r="L1781" s="4" t="s">
        <v>166</v>
      </c>
      <c r="M1781" s="24">
        <v>1</v>
      </c>
      <c r="N1781" s="5" t="s">
        <v>51</v>
      </c>
      <c r="O1781" s="111" t="s">
        <v>43</v>
      </c>
      <c r="P1781" s="10" t="s">
        <v>44</v>
      </c>
      <c r="Q1781" s="10" t="s">
        <v>44</v>
      </c>
      <c r="R1781" s="11" t="s">
        <v>44</v>
      </c>
      <c r="S1781" s="11" t="s">
        <v>44</v>
      </c>
      <c r="T1781" s="22"/>
      <c r="U1781" s="22"/>
      <c r="V1781" s="22"/>
      <c r="W1781" s="22"/>
      <c r="X1781" s="22"/>
      <c r="Y1781" s="22"/>
      <c r="Z1781" s="22"/>
      <c r="AA1781" s="22"/>
      <c r="AB1781" s="22"/>
      <c r="AC1781" s="22"/>
      <c r="AD1781" s="22"/>
      <c r="AE1781" s="22"/>
      <c r="AG1781" s="146">
        <v>4</v>
      </c>
      <c r="AH1781" s="150">
        <v>3</v>
      </c>
      <c r="AI1781" s="150">
        <v>3</v>
      </c>
      <c r="AJ1781" s="82">
        <v>7</v>
      </c>
      <c r="AK1781" s="71"/>
      <c r="AL1781" s="71"/>
      <c r="AM1781" s="71"/>
      <c r="AN1781" s="71"/>
      <c r="AO1781" s="71"/>
      <c r="AP1781" s="71"/>
      <c r="AQ1781" s="71"/>
      <c r="AR1781" s="71"/>
      <c r="AS1781" s="94">
        <f t="shared" ca="1" si="2072"/>
        <v>0</v>
      </c>
      <c r="AT1781" s="95">
        <f t="shared" si="2073"/>
        <v>17</v>
      </c>
      <c r="AU1781" s="97">
        <f t="shared" si="2074"/>
        <v>17</v>
      </c>
      <c r="AW1781" s="83">
        <f t="shared" si="2075"/>
        <v>4</v>
      </c>
      <c r="AX1781" s="83">
        <f t="shared" si="2076"/>
        <v>3</v>
      </c>
      <c r="AY1781" s="83">
        <f t="shared" si="2077"/>
        <v>3</v>
      </c>
      <c r="AZ1781" s="83">
        <f t="shared" si="2078"/>
        <v>7</v>
      </c>
      <c r="BA1781" s="52"/>
      <c r="BB1781" s="52"/>
      <c r="BC1781" s="52"/>
      <c r="BD1781" s="52"/>
      <c r="BE1781" s="52"/>
      <c r="BF1781" s="52"/>
      <c r="BG1781" s="52"/>
      <c r="BH1781" s="52"/>
      <c r="BI1781" s="68" cm="1">
        <f t="array" ref="BI1781">IFERROR(INDEX(AW1781:BH1781,1,MATCH(2,1/(AW1781:BH1781&lt;&gt;""))),"")</f>
        <v>7</v>
      </c>
      <c r="BJ1781" s="68" cm="1">
        <f t="array" ref="BJ1781">IF(BM1781 = "", "",IFERROR(INDEX(AW1781:BH1781,1,MATCH(2,1/(AW1781:BH1781&lt;&gt;""),1)-1),""))</f>
        <v>3</v>
      </c>
      <c r="BK1781" s="59">
        <f>IF((IF(AW1781&gt;=150%,150%,AW1781) + IF(AX1781&gt;=150%,150%,AX1781) + IF(AY1781&gt;=150%,150%,AY1781) + (IF(AW1781&gt;=150%,150%,AW1781) + IF(BA1781&gt;=150%,150%,BA1781) + IF(BB1781&gt;=150%,150%,BB1781) + IF(BC1781&gt;=150%,150%,BC1781) + IF(BD1781&gt;=150%,150%,BD1781) + IF(BE1781&gt;=150%,150%,BE1781) + IF(BF1781&gt;=150%,150%,BF1781) + IF(BG1781&gt;=150%,150%,BG1781) + IF(BH1781&gt;=150%,150%,BH1781)))/_xlfn.XLOOKUP(F1781,Apuração!A:A,Apuração!B:B)&gt;=1.15,1.15,((IF(AW1781&gt;=150%,150%,AW1781) + IF(AX1781&gt;=150%,150%,AX1781) + IF(AY1781&gt;=150%,150%,AY1781) + (IF(AW1781&gt;=150%,150%,AW1781) + IF(BA1781&gt;=150%,150%,BA1781) + IF(BB1781&gt;=150%,150%,BB1781) + IF(BC1781&gt;=150%,150%,BC1781) + IF(BD1781&gt;=150%,150%,BD1781) + IF(BE1781&gt;=150%,150%,BE1781) + IF(BF1781&gt;=150%,150%,BF1781) + IF(BG1781&gt;=150%,150%,BG1781) + IF(BH1781&gt;=150%,150%,BH1781)))/_xlfn.XLOOKUP(F1781,Apuração!A:A,Apuração!B:B)))</f>
        <v>0.5</v>
      </c>
      <c r="BL1781" s="59" cm="1">
        <f t="array" aca="1" ref="BL1781" ca="1">IF(SUM(IFERROR(IF(INDEX(AW1781:INDEX(AW1781:BH1781, MATCH(2, 1/(AW1781:BH1781&lt;&gt;""), 1)-1), ROW(INDIRECT("1:" &amp; MATCH(2, 1/(AW1781:BH1781&lt;&gt;""), 1)-1))) &gt;= 150%, 150%, INDEX(AW1781:INDEX(AW1781:BH1781, MATCH(2, 1/(AW1781:BH1781&lt;&gt;""), 1)-1), ROW(INDIRECT("1:" &amp; MATCH(2, 1/(AW1781:BH1781&lt;&gt;""), 1)-1)))), 0))/_xlfn.XLOOKUP(F1781,Apuração!A:A,Apuração!B:B)&gt;=1.15,1.15,SUM(IFERROR(IF(INDEX(AW1781:INDEX(AW1781:BH1781, MATCH(2, 1/(AW1781:BH1781&lt;&gt;""), 1)-1), ROW(INDIRECT("1:" &amp; MATCH(2, 1/(AW1781:BH1781&lt;&gt;""), 1)-1))) &gt;= 150%, 150%, INDEX(AW1781:INDEX(AW1781:BH1781, MATCH(2, 1/(AW1781:BH1781&lt;&gt;""), 1)-1), ROW(INDIRECT("1:" &amp; MATCH(2, 1/(AW1781:BH1781&lt;&gt;""), 1)-1)))), 0))/_xlfn.XLOOKUP(F1781,Apuração!A:A,Apuração!B:B))</f>
        <v>0.375</v>
      </c>
      <c r="BM1781" s="55" cm="1">
        <f t="array" ref="BM1781">IFERROR(
   INDEX($AW$1:$BH$1,
      _xlfn.AGGREGATE(14, 6, COLUMN($AW$1:$BH$1)/(AW1781:BH1781&lt;&gt;""), 2) - COLUMN($AW$1) + 1
   ),
"")</f>
        <v>46082</v>
      </c>
      <c r="BN1781" s="55" cm="1">
        <f t="array" ref="BN1781">IFERROR(INDEX($AW$1:$BH$1,1,MATCH(2,1/(AW1781:BH1781&lt;&gt;""))),"")</f>
        <v>46113</v>
      </c>
      <c r="BO1781" s="53">
        <f ca="1">IFERROR(_xlfn.XLOOKUP(F1781,Apuração!A:A,Apuração!C:C)/_xlfn.XLOOKUP(F1781,Apuração!A:A,Apuração!B:B),0)</f>
        <v>0.41666666666666669</v>
      </c>
      <c r="BP1781" s="53">
        <f ca="1">IFERROR(_xlfn.XLOOKUP(F1781,Apuração!A:A,Apuração!D:D)/_xlfn.XLOOKUP(F1781,Apuração!A:A,Apuração!B:B),0)</f>
        <v>0.33333333333333331</v>
      </c>
      <c r="BQ1781" s="53">
        <f ca="1">IF(BK1781&gt;=BO1781,0,_xlfn.XLOOKUP(F1781,Apuração!A:A,Apuração!B:B)*(BO1781 + (1/_xlfn.XLOOKUP(F1781,Apuração!A:A,Apuração!B:B)) - BK1781))</f>
        <v>0</v>
      </c>
      <c r="BR1781" s="85">
        <f t="shared" ca="1" si="2079"/>
        <v>0</v>
      </c>
      <c r="BS1781" s="53">
        <f ca="1">IFERROR((_xlfn.XLOOKUP(F1781,Apuração!A:A,Apuração!C:C)+1)/_xlfn.XLOOKUP(F1781,Apuração!A:A,Apuração!B:B),0)</f>
        <v>0.5</v>
      </c>
    </row>
    <row r="1782" spans="1:71" ht="25.95" hidden="1" customHeight="1" x14ac:dyDescent="0.3">
      <c r="A1782" s="23" t="s">
        <v>134</v>
      </c>
      <c r="B1782" s="4" t="s">
        <v>167</v>
      </c>
      <c r="C1782" s="5" t="s">
        <v>214</v>
      </c>
      <c r="D1782" s="5" t="s">
        <v>36</v>
      </c>
      <c r="E1782" s="4" t="s">
        <v>61</v>
      </c>
      <c r="F1782" s="4" t="str" cm="1">
        <f t="array" ref="F1782">_xlfn.IFS(
AG1782 &lt;&gt; "", "Jan-Dez/26",
AH1782 &lt;&gt; "", "Fev-Dez/26",
AI1782 &lt;&gt; "", "Mar-Dez/26", AJ1782 &lt;&gt; "", "Abr-Dez/26",
TRUE, "A partir de Junho"
)</f>
        <v>A partir de Junho</v>
      </c>
      <c r="G1782" s="4" t="s">
        <v>62</v>
      </c>
      <c r="H1782" s="7" t="s">
        <v>38</v>
      </c>
      <c r="I1782" s="8" t="s">
        <v>168</v>
      </c>
      <c r="J1782" s="8" t="str" cm="1">
        <f t="array" aca="1" ref="J1782" ca="1">_xlfn.LET(
  _xlpm.actual_value_month, INDEX(T1782:AE1782, MATCH(DATE(YEAR(TODAY()), MONTH(TODAY()), 1), $T$1:$AE$1, 0)),
  IF(_xlpm.actual_value_month &lt;&gt; "",_xlpm.actual_value_month &amp; " ações mensais", "")
)</f>
        <v>4990 ações mensais</v>
      </c>
      <c r="K1782" s="8" t="str" cm="1">
        <f t="array" ref="K1782">_xlfn.LET(
    _xlpm.sum_month, SUM(T1782:AE1782),
    IF(_xlpm.sum_month = 0, "", _xlpm.sum_month &amp; " atividades no ano")
)</f>
        <v>44910 atividades no ano</v>
      </c>
      <c r="L1782" s="9" t="s">
        <v>169</v>
      </c>
      <c r="M1782" s="24" t="s">
        <v>170</v>
      </c>
      <c r="N1782" s="5" t="s">
        <v>42</v>
      </c>
      <c r="O1782" s="5" t="s">
        <v>43</v>
      </c>
      <c r="P1782" s="10" t="s">
        <v>44</v>
      </c>
      <c r="Q1782" s="10" t="s">
        <v>44</v>
      </c>
      <c r="R1782" s="11" t="s">
        <v>66</v>
      </c>
      <c r="S1782" s="11" t="s">
        <v>67</v>
      </c>
      <c r="T1782" s="22"/>
      <c r="U1782" s="22"/>
      <c r="V1782" s="22"/>
      <c r="W1782" s="22">
        <v>4990</v>
      </c>
      <c r="X1782" s="22">
        <v>4990</v>
      </c>
      <c r="Y1782" s="22">
        <v>4990</v>
      </c>
      <c r="Z1782" s="22">
        <v>4990</v>
      </c>
      <c r="AA1782" s="22">
        <v>4990</v>
      </c>
      <c r="AB1782" s="22">
        <v>4990</v>
      </c>
      <c r="AC1782" s="22">
        <v>4990</v>
      </c>
      <c r="AD1782" s="22">
        <v>4990</v>
      </c>
      <c r="AE1782" s="22">
        <v>4990</v>
      </c>
      <c r="AG1782" s="71"/>
      <c r="AH1782" s="71"/>
      <c r="AI1782" s="71"/>
      <c r="AJ1782" s="71"/>
      <c r="AK1782" s="71"/>
      <c r="AL1782" s="71"/>
      <c r="AM1782" s="71"/>
      <c r="AN1782" s="71"/>
      <c r="AO1782" s="71"/>
      <c r="AP1782" s="71"/>
      <c r="AQ1782" s="71"/>
      <c r="AR1782" s="71"/>
      <c r="AS1782" s="94">
        <f ca="1">IF(MONTH(TODAY())=3,SUM(T1782:U1782),IF(MONTH(TODAY())=4,SUM(T1782:V1782),IF(MONTH(TODAY())=5,SUM(T1782:W1782),IF(MONTH(TODAY())=6,SUM(T1782:X1782),IF(MONTH(TODAY())=7,SUM(T1782:Y1782),IF(MONTH(TODAY())=8,SUM(T1782:Z1782),IF(MONTH(TODAY())=9,SUM(T1782:AA1782),IF(MONTH(TODAY())=10,SUM(T1782:AB1782),IF(MONTH(TODAY())=11,SUM(T1782:AC1782),IF(MONTH(TODAY())=12,SUM(T1782:AD1782),IF(MONTH(TODAY())=1,SUM(T1782:AE1782),T1782)))))))))))</f>
        <v>9980</v>
      </c>
      <c r="AT1782" s="95">
        <f>SUM(IF(AW1782&lt;1.15,AG1782,1.15*T1782),IF(AX1782&lt;1.15,AH1782,1.15*U1782),IF(AY1782&lt;1.15,AI1782,1.15*V1782),IF(AZ1782&lt;1.15,AJ1782,1.15*W1782),IF(BA1782&lt;1.15,AK1782,1.15*X1782),IF(BB1782&lt;1.15,AL1782,1.15*Y1782),IF(BC1782&lt;1.15,AM1782,1.15*Z1782),IF(BD1782&lt;1.15,AN1782,1.15*AA1782),IF(BE1782&lt;1.15,AO1782,1.15*AB1782),IF(BF1782&lt;1.15,AP1782,1.15*AC1782),IF(BG1782&lt;1.15,AQ1782,1.15*AD1782),IF(BH1782&lt;1.15,AR1782,1.15*AE1782))</f>
        <v>0</v>
      </c>
      <c r="AU1782" s="97">
        <f>SUM(AG1782:AR1782)</f>
        <v>0</v>
      </c>
      <c r="AW1782" s="51">
        <f>IFERROR(IF(AG1782="",0,AG1782/T1782),0)</f>
        <v>0</v>
      </c>
      <c r="AX1782" s="51">
        <f>IFERROR(IF(AH1782="",0,AH1782/U1782),0)</f>
        <v>0</v>
      </c>
      <c r="AY1782" s="51">
        <f>IFERROR(IF(AI1782="",0,AI1782/V1782),0)</f>
        <v>0</v>
      </c>
      <c r="AZ1782" s="51">
        <f>IFERROR(IF(AJ1782="",0,AJ1782/W1782),0)</f>
        <v>0</v>
      </c>
      <c r="BA1782" s="51"/>
      <c r="BB1782" s="51"/>
      <c r="BC1782" s="51"/>
      <c r="BD1782" s="51"/>
      <c r="BE1782" s="51"/>
      <c r="BF1782" s="51"/>
      <c r="BG1782" s="51"/>
      <c r="BH1782" s="51"/>
      <c r="BI1782" s="65" cm="1">
        <f t="array" ref="BI1782">IFERROR(INDEX(AW1782:BH1782,1,MATCH(2,1/(AW1782:BH1782&lt;&gt;""))),"")</f>
        <v>0</v>
      </c>
      <c r="BJ1782" s="68" cm="1">
        <f t="array" ref="BJ1782">IF(BM1782 = "", "",IFERROR(INDEX(AW1782:BH1782,1,MATCH(2,1/(AW1782:BH1782&lt;&gt;""),1)-1),""))</f>
        <v>0</v>
      </c>
      <c r="BK1782" s="58">
        <f>IF((IF(AW1782&gt;=115%,115%,AW1782) + IF(AX1782&gt;=115%,115%,AX1782) + IF(AY1782&gt;=115%,115%,AY1782) + (IF(AZ1782&gt;=125%,125%,AZ1782) + IF(BA1782&gt;=115%,115%,BA1782) + IF(BB1782&gt;=115%,115%,BB1782) + IF(BC1782&gt;=125%,125%,BC1782) + IF(BD1782&gt;=115%,115%,BD1782) + IF(BE1782&gt;=115%,115%,BE1782) + IF(BF1782&gt;=115%,115%,BF1782) + IF(BG1782&gt;=115%,115%,BG1782) + IF(BH1782&gt;=115%,115%,BH1782)))/_xlfn.XLOOKUP(F1782,Apuração!A:A,Apuração!B:B)&gt;=1.15,1.15,((IF(AZ1782&gt;=125%,125%,AZ1782) + IF(AX1782&gt;=115%,115%,AX1782) + IF(AY1782&gt;=115%,115%,AY1782) + (IF(AW1782&gt;=115%,115%,AW1782) + IF(BA1782&gt;=115%,115%,BA1782) + IF(BB1782&gt;=115%,115%,BB1782) + IF(BC1782&gt;=125%,125%,BC1782) + IF(BD1782&gt;=115%,115%,BD1782) + IF(BE1782&gt;=115%,115%,BE1782) + IF(BF1782&gt;=115%,115%,BF1782) + IF(BG1782&gt;=115%,115%,BG1782) + IF(BH1782&gt;=115%,115%,BH1782)))/_xlfn.XLOOKUP(F1782,Apuração!A:A,Apuração!B:B)))</f>
        <v>0</v>
      </c>
      <c r="BL1782" s="58" cm="1">
        <f t="array" aca="1" ref="BL1782" ca="1">IF(SUM(IFERROR(IF(INDEX(AW1782:INDEX(AW1782:BH1782, MATCH(2, 1/(AW1782:BH1782&lt;&gt;""), 1)-1), ROW(INDIRECT("1:" &amp; MATCH(2, 1/(AW1782:BH1782&lt;&gt;""), 1)-1))) &gt;= 115%, 115%, INDEX(AW1782:INDEX(AW1782:BH1782, MATCH(2, 1/(AW1782:BH1782&lt;&gt;""), 1)-1), ROW(INDIRECT("1:" &amp; MATCH(2, 1/(AW1782:BH1782&lt;&gt;""), 1)-1)))), 0))/_xlfn.XLOOKUP(F1782,Apuração!A:A,Apuração!B:B)&gt;=1.15,1.15,SUM(IFERROR(IF(INDEX(AW1782:INDEX(AW1782:BH1782, MATCH(2, 1/(AW1782:BH1782&lt;&gt;""), 1)-1), ROW(INDIRECT("1:" &amp; MATCH(2, 1/(AW1782:BH1782&lt;&gt;""), 1)-1))) &gt;= 115%, 115%, INDEX(AW1782:INDEX(AW1782:BH1782, MATCH(2, 1/(AW1782:BH1782&lt;&gt;""), 1)-1), ROW(INDIRECT("1:" &amp; MATCH(2, 1/(AW1782:BH1782&lt;&gt;""), 1)-1)))), 0))/_xlfn.XLOOKUP(F1782,Apuração!A:A,Apuração!B:B))</f>
        <v>0</v>
      </c>
      <c r="BM1782" s="55" cm="1">
        <f t="array" ref="BM1782">IFERROR(
   INDEX($AW$1:$BH$1,
      _xlfn.AGGREGATE(14, 6, COLUMN($AW$1:$BH$1)/(AW1782:BH1782&lt;&gt;""), 2) - COLUMN($AW$1) + 1
   ),
"")</f>
        <v>46082</v>
      </c>
      <c r="BN1782" s="55" cm="1">
        <f t="array" ref="BN1782">IFERROR(INDEX($AW$1:$BH$1,1,MATCH(2,1/(AW1782:BH1782&lt;&gt;""))),"")</f>
        <v>46113</v>
      </c>
      <c r="BO1782" s="53">
        <f ca="1">IFERROR(_xlfn.XLOOKUP(F1782,Apuração!A:A,Apuração!C:C)/_xlfn.XLOOKUP(F1782,Apuração!A:A,Apuração!B:B),0)</f>
        <v>0</v>
      </c>
      <c r="BP1782" s="53">
        <f ca="1">IFERROR(_xlfn.XLOOKUP(F1782,Apuração!A:A,Apuração!D:D)/_xlfn.XLOOKUP(F1782,Apuração!A:A,Apuração!B:B),0)</f>
        <v>0</v>
      </c>
      <c r="BQ1782" s="53">
        <f ca="1">IF(BK1782&gt;=BO1782,0,_xlfn.XLOOKUP(F1782,Apuração!A:A,Apuração!B:B)*(BO1782 + (1/_xlfn.XLOOKUP(F1782,Apuração!A:A,Apuração!B:B)) - BK1782))</f>
        <v>0</v>
      </c>
      <c r="BR1782" s="85">
        <f ca="1">IF(BQ1782=0,0,BQ1782*Z1782)</f>
        <v>0</v>
      </c>
      <c r="BS1782" s="53">
        <f ca="1">IFERROR((_xlfn.XLOOKUP(F1782,Apuração!A:A,Apuração!C:C)+1)/_xlfn.XLOOKUP(F1782,Apuração!A:A,Apuração!B:B),0)</f>
        <v>0.14285714285714285</v>
      </c>
    </row>
    <row r="1783" spans="1:71" ht="25.95" hidden="1" customHeight="1" x14ac:dyDescent="0.3">
      <c r="A1783" s="23" t="s">
        <v>134</v>
      </c>
      <c r="B1783" s="4" t="s">
        <v>167</v>
      </c>
      <c r="C1783" s="5" t="s">
        <v>214</v>
      </c>
      <c r="D1783" s="5" t="s">
        <v>210</v>
      </c>
      <c r="E1783" s="4" t="s">
        <v>61</v>
      </c>
      <c r="F1783" s="4" t="str" cm="1">
        <f t="array" ref="F1783">_xlfn.IFS(
AG1783 &lt;&gt; "", "Jan-Dez/26",
AH1783 &lt;&gt; "", "Fev-Dez/26",
AI1783 &lt;&gt; "", "Mar-Dez/26", AJ1783 &lt;&gt; "", "Abr-Dez/26",
TRUE, "A partir de Junho"
)</f>
        <v>A partir de Junho</v>
      </c>
      <c r="G1783" s="4" t="s">
        <v>62</v>
      </c>
      <c r="H1783" s="7" t="s">
        <v>38</v>
      </c>
      <c r="I1783" s="8" t="s">
        <v>168</v>
      </c>
      <c r="J1783" s="8" t="str" cm="1">
        <f t="array" aca="1" ref="J1783" ca="1">_xlfn.LET(
  _xlpm.actual_value_month, INDEX(T1783:AE1783, MATCH(DATE(YEAR(TODAY()), MONTH(TODAY()), 1), $T$1:$AE$1, 0)),
  IF(_xlpm.actual_value_month &lt;&gt; "",_xlpm.actual_value_month &amp; " ações mensais", "")
)</f>
        <v>1 ações mensais</v>
      </c>
      <c r="K1783" s="8" t="str" cm="1">
        <f t="array" ref="K1783">_xlfn.LET(
    _xlpm.sum_month, SUM(T1783:AE1783),
    IF(_xlpm.sum_month = 0, "", _xlpm.sum_month &amp; " atividades no ano")
)</f>
        <v>9 atividades no ano</v>
      </c>
      <c r="L1783" s="9" t="s">
        <v>169</v>
      </c>
      <c r="M1783" s="24" t="s">
        <v>170</v>
      </c>
      <c r="N1783" s="5" t="s">
        <v>42</v>
      </c>
      <c r="O1783" s="5" t="s">
        <v>43</v>
      </c>
      <c r="P1783" s="10" t="s">
        <v>44</v>
      </c>
      <c r="Q1783" s="10" t="s">
        <v>44</v>
      </c>
      <c r="R1783" s="11" t="s">
        <v>66</v>
      </c>
      <c r="S1783" s="11" t="s">
        <v>67</v>
      </c>
      <c r="T1783" s="22"/>
      <c r="U1783" s="22"/>
      <c r="V1783" s="22"/>
      <c r="W1783" s="143">
        <v>1</v>
      </c>
      <c r="X1783" s="143">
        <v>1</v>
      </c>
      <c r="Y1783" s="143">
        <v>1</v>
      </c>
      <c r="Z1783" s="143">
        <v>1</v>
      </c>
      <c r="AA1783" s="143">
        <v>1</v>
      </c>
      <c r="AB1783" s="143">
        <v>1</v>
      </c>
      <c r="AC1783" s="143">
        <v>1</v>
      </c>
      <c r="AD1783" s="143">
        <v>1</v>
      </c>
      <c r="AE1783" s="143">
        <v>1</v>
      </c>
      <c r="AG1783" s="71"/>
      <c r="AH1783" s="71"/>
      <c r="AI1783" s="71"/>
      <c r="AJ1783" s="71"/>
      <c r="AK1783" s="71"/>
      <c r="AL1783" s="71"/>
      <c r="AM1783" s="71"/>
      <c r="AN1783" s="71"/>
      <c r="AO1783" s="71"/>
      <c r="AP1783" s="71"/>
      <c r="AQ1783" s="71"/>
      <c r="AR1783" s="71"/>
      <c r="AS1783" s="94">
        <f t="shared" ref="AS1783:AS1787" ca="1" si="2080">IF(MONTH(TODAY())=3,SUM(T1783:U1783),IF(MONTH(TODAY())=4,SUM(T1783:V1783),IF(MONTH(TODAY())=5,SUM(T1783:W1783),IF(MONTH(TODAY())=6,SUM(T1783:X1783),IF(MONTH(TODAY())=7,SUM(T1783:Y1783),IF(MONTH(TODAY())=8,SUM(T1783:Z1783),IF(MONTH(TODAY())=9,SUM(T1783:AA1783),IF(MONTH(TODAY())=10,SUM(T1783:AB1783),IF(MONTH(TODAY())=11,SUM(T1783:AC1783),IF(MONTH(TODAY())=12,SUM(T1783:AD1783),IF(MONTH(TODAY())=1,SUM(T1783:AE1783),T1783)))))))))))</f>
        <v>2</v>
      </c>
      <c r="AT1783" s="95">
        <f t="shared" ref="AT1783:AT1787" si="2081">SUM(IF(AW1783&lt;1.15,AG1783,1.15*T1783),IF(AX1783&lt;1.15,AH1783,1.15*U1783),IF(AY1783&lt;1.15,AI1783,1.15*V1783),IF(AZ1783&lt;1.15,AJ1783,1.15*W1783),IF(BA1783&lt;1.15,AK1783,1.15*X1783),IF(BB1783&lt;1.15,AL1783,1.15*Y1783),IF(BC1783&lt;1.15,AM1783,1.15*Z1783),IF(BD1783&lt;1.15,AN1783,1.15*AA1783),IF(BE1783&lt;1.15,AO1783,1.15*AB1783),IF(BF1783&lt;1.15,AP1783,1.15*AC1783),IF(BG1783&lt;1.15,AQ1783,1.15*AD1783),IF(BH1783&lt;1.15,AR1783,1.15*AE1783))</f>
        <v>0</v>
      </c>
      <c r="AU1783" s="97">
        <f t="shared" ref="AU1783:AU1787" si="2082">SUM(AG1783:AR1783)</f>
        <v>0</v>
      </c>
      <c r="AW1783" s="51">
        <f t="shared" ref="AW1783:AW1787" si="2083">IFERROR(IF(AG1783="",0,AG1783/T1783),0)</f>
        <v>0</v>
      </c>
      <c r="AX1783" s="51">
        <f t="shared" ref="AX1783:AX1787" si="2084">IFERROR(IF(AH1783="",0,AH1783/U1783),0)</f>
        <v>0</v>
      </c>
      <c r="AY1783" s="51">
        <f t="shared" ref="AY1783:AY1787" si="2085">IFERROR(IF(AI1783="",0,AI1783/V1783),0)</f>
        <v>0</v>
      </c>
      <c r="AZ1783" s="51">
        <f t="shared" ref="AZ1783:AZ1787" si="2086">IFERROR(IF(AJ1783="",0,AJ1783/W1783),0)</f>
        <v>0</v>
      </c>
      <c r="BA1783" s="51"/>
      <c r="BB1783" s="51"/>
      <c r="BC1783" s="51"/>
      <c r="BD1783" s="51"/>
      <c r="BE1783" s="51"/>
      <c r="BF1783" s="51"/>
      <c r="BG1783" s="51"/>
      <c r="BH1783" s="51"/>
      <c r="BI1783" s="65" cm="1">
        <f t="array" ref="BI1783">IFERROR(INDEX(AW1783:BH1783,1,MATCH(2,1/(AW1783:BH1783&lt;&gt;""))),"")</f>
        <v>0</v>
      </c>
      <c r="BJ1783" s="68" cm="1">
        <f t="array" ref="BJ1783">IF(BM1783 = "", "",IFERROR(INDEX(AW1783:BH1783,1,MATCH(2,1/(AW1783:BH1783&lt;&gt;""),1)-1),""))</f>
        <v>0</v>
      </c>
      <c r="BK1783" s="58">
        <f>IF((IF(AW1783&gt;=115%,115%,AW1783) + IF(AX1783&gt;=115%,115%,AX1783) + IF(AY1783&gt;=115%,115%,AY1783) + (IF(AZ1783&gt;=125%,125%,AZ1783) + IF(BA1783&gt;=115%,115%,BA1783) + IF(BB1783&gt;=115%,115%,BB1783) + IF(BC1783&gt;=125%,125%,BC1783) + IF(BD1783&gt;=115%,115%,BD1783) + IF(BE1783&gt;=115%,115%,BE1783) + IF(BF1783&gt;=115%,115%,BF1783) + IF(BG1783&gt;=115%,115%,BG1783) + IF(BH1783&gt;=115%,115%,BH1783)))/_xlfn.XLOOKUP(F1783,Apuração!A:A,Apuração!B:B)&gt;=1.15,1.15,((IF(AZ1783&gt;=125%,125%,AZ1783) + IF(AX1783&gt;=115%,115%,AX1783) + IF(AY1783&gt;=115%,115%,AY1783) + (IF(AW1783&gt;=115%,115%,AW1783) + IF(BA1783&gt;=115%,115%,BA1783) + IF(BB1783&gt;=115%,115%,BB1783) + IF(BC1783&gt;=125%,125%,BC1783) + IF(BD1783&gt;=115%,115%,BD1783) + IF(BE1783&gt;=115%,115%,BE1783) + IF(BF1783&gt;=115%,115%,BF1783) + IF(BG1783&gt;=115%,115%,BG1783) + IF(BH1783&gt;=115%,115%,BH1783)))/_xlfn.XLOOKUP(F1783,Apuração!A:A,Apuração!B:B)))</f>
        <v>0</v>
      </c>
      <c r="BL1783" s="58" cm="1">
        <f t="array" aca="1" ref="BL1783" ca="1">IF(SUM(IFERROR(IF(INDEX(AW1783:INDEX(AW1783:BH1783, MATCH(2, 1/(AW1783:BH1783&lt;&gt;""), 1)-1), ROW(INDIRECT("1:" &amp; MATCH(2, 1/(AW1783:BH1783&lt;&gt;""), 1)-1))) &gt;= 115%, 115%, INDEX(AW1783:INDEX(AW1783:BH1783, MATCH(2, 1/(AW1783:BH1783&lt;&gt;""), 1)-1), ROW(INDIRECT("1:" &amp; MATCH(2, 1/(AW1783:BH1783&lt;&gt;""), 1)-1)))), 0))/_xlfn.XLOOKUP(F1783,Apuração!A:A,Apuração!B:B)&gt;=1.15,1.15,SUM(IFERROR(IF(INDEX(AW1783:INDEX(AW1783:BH1783, MATCH(2, 1/(AW1783:BH1783&lt;&gt;""), 1)-1), ROW(INDIRECT("1:" &amp; MATCH(2, 1/(AW1783:BH1783&lt;&gt;""), 1)-1))) &gt;= 115%, 115%, INDEX(AW1783:INDEX(AW1783:BH1783, MATCH(2, 1/(AW1783:BH1783&lt;&gt;""), 1)-1), ROW(INDIRECT("1:" &amp; MATCH(2, 1/(AW1783:BH1783&lt;&gt;""), 1)-1)))), 0))/_xlfn.XLOOKUP(F1783,Apuração!A:A,Apuração!B:B))</f>
        <v>0</v>
      </c>
      <c r="BM1783" s="55" cm="1">
        <f t="array" ref="BM1783">IFERROR(
   INDEX($AW$1:$BH$1,
      _xlfn.AGGREGATE(14, 6, COLUMN($AW$1:$BH$1)/(AW1783:BH1783&lt;&gt;""), 2) - COLUMN($AW$1) + 1
   ),
"")</f>
        <v>46082</v>
      </c>
      <c r="BN1783" s="55" cm="1">
        <f t="array" ref="BN1783">IFERROR(INDEX($AW$1:$BH$1,1,MATCH(2,1/(AW1783:BH1783&lt;&gt;""))),"")</f>
        <v>46113</v>
      </c>
      <c r="BO1783" s="53">
        <f ca="1">IFERROR(_xlfn.XLOOKUP(F1783,Apuração!A:A,Apuração!C:C)/_xlfn.XLOOKUP(F1783,Apuração!A:A,Apuração!B:B),0)</f>
        <v>0</v>
      </c>
      <c r="BP1783" s="53">
        <f ca="1">IFERROR(_xlfn.XLOOKUP(F1783,Apuração!A:A,Apuração!D:D)/_xlfn.XLOOKUP(F1783,Apuração!A:A,Apuração!B:B),0)</f>
        <v>0</v>
      </c>
      <c r="BQ1783" s="53">
        <f ca="1">IF(BK1783&gt;=BO1783,0,_xlfn.XLOOKUP(F1783,Apuração!A:A,Apuração!B:B)*(BO1783 + (1/_xlfn.XLOOKUP(F1783,Apuração!A:A,Apuração!B:B)) - BK1783))</f>
        <v>0</v>
      </c>
      <c r="BR1783" s="85">
        <f t="shared" ref="BR1783:BR1787" ca="1" si="2087">IF(BQ1783=0,0,BQ1783*Z1783)</f>
        <v>0</v>
      </c>
      <c r="BS1783" s="53">
        <f ca="1">IFERROR((_xlfn.XLOOKUP(F1783,Apuração!A:A,Apuração!C:C)+1)/_xlfn.XLOOKUP(F1783,Apuração!A:A,Apuração!B:B),0)</f>
        <v>0.14285714285714285</v>
      </c>
    </row>
    <row r="1784" spans="1:71" ht="25.95" hidden="1" customHeight="1" x14ac:dyDescent="0.3">
      <c r="A1784" s="23" t="s">
        <v>134</v>
      </c>
      <c r="B1784" s="4" t="s">
        <v>167</v>
      </c>
      <c r="C1784" s="5" t="s">
        <v>214</v>
      </c>
      <c r="D1784" s="5" t="s">
        <v>215</v>
      </c>
      <c r="E1784" s="4" t="s">
        <v>61</v>
      </c>
      <c r="F1784" s="4" t="str" cm="1">
        <f t="array" ref="F1784">_xlfn.IFS(
AG1784 &lt;&gt; "", "Jan-Dez/26",
AH1784 &lt;&gt; "", "Fev-Dez/26",
AI1784 &lt;&gt; "", "Mar-Dez/26", AJ1784 &lt;&gt; "", "Abr-Dez/26",
TRUE, "A partir de Junho"
)</f>
        <v>A partir de Junho</v>
      </c>
      <c r="G1784" s="4" t="s">
        <v>62</v>
      </c>
      <c r="H1784" s="7" t="s">
        <v>38</v>
      </c>
      <c r="I1784" s="8" t="s">
        <v>168</v>
      </c>
      <c r="J1784" s="8" t="str" cm="1">
        <f t="array" aca="1" ref="J1784" ca="1">_xlfn.LET(
  _xlpm.actual_value_month, INDEX(T1784:AE1784, MATCH(DATE(YEAR(TODAY()), MONTH(TODAY()), 1), $T$1:$AE$1, 0)),
  IF(_xlpm.actual_value_month &lt;&gt; "",_xlpm.actual_value_month &amp; " ações mensais", "")
)</f>
        <v>1 ações mensais</v>
      </c>
      <c r="K1784" s="8" t="str" cm="1">
        <f t="array" ref="K1784">_xlfn.LET(
    _xlpm.sum_month, SUM(T1784:AE1784),
    IF(_xlpm.sum_month = 0, "", _xlpm.sum_month &amp; " atividades no ano")
)</f>
        <v>9 atividades no ano</v>
      </c>
      <c r="L1784" s="9" t="s">
        <v>169</v>
      </c>
      <c r="M1784" s="24" t="s">
        <v>170</v>
      </c>
      <c r="N1784" s="5" t="s">
        <v>42</v>
      </c>
      <c r="O1784" s="5" t="s">
        <v>43</v>
      </c>
      <c r="P1784" s="10" t="s">
        <v>44</v>
      </c>
      <c r="Q1784" s="10" t="s">
        <v>44</v>
      </c>
      <c r="R1784" s="11" t="s">
        <v>66</v>
      </c>
      <c r="S1784" s="11" t="s">
        <v>67</v>
      </c>
      <c r="T1784" s="22"/>
      <c r="U1784" s="22"/>
      <c r="V1784" s="22"/>
      <c r="W1784" s="143">
        <v>1</v>
      </c>
      <c r="X1784" s="143">
        <v>1</v>
      </c>
      <c r="Y1784" s="143">
        <v>1</v>
      </c>
      <c r="Z1784" s="143">
        <v>1</v>
      </c>
      <c r="AA1784" s="143">
        <v>1</v>
      </c>
      <c r="AB1784" s="143">
        <v>1</v>
      </c>
      <c r="AC1784" s="143">
        <v>1</v>
      </c>
      <c r="AD1784" s="143">
        <v>1</v>
      </c>
      <c r="AE1784" s="143">
        <v>1</v>
      </c>
      <c r="AG1784" s="71"/>
      <c r="AH1784" s="71"/>
      <c r="AI1784" s="71"/>
      <c r="AJ1784" s="71"/>
      <c r="AK1784" s="71"/>
      <c r="AL1784" s="71"/>
      <c r="AM1784" s="71"/>
      <c r="AN1784" s="71"/>
      <c r="AO1784" s="71"/>
      <c r="AP1784" s="71"/>
      <c r="AQ1784" s="71"/>
      <c r="AR1784" s="71"/>
      <c r="AS1784" s="94">
        <f t="shared" ca="1" si="2080"/>
        <v>2</v>
      </c>
      <c r="AT1784" s="95">
        <f t="shared" si="2081"/>
        <v>0</v>
      </c>
      <c r="AU1784" s="97">
        <f t="shared" si="2082"/>
        <v>0</v>
      </c>
      <c r="AW1784" s="51">
        <f t="shared" si="2083"/>
        <v>0</v>
      </c>
      <c r="AX1784" s="51">
        <f t="shared" si="2084"/>
        <v>0</v>
      </c>
      <c r="AY1784" s="51">
        <f t="shared" si="2085"/>
        <v>0</v>
      </c>
      <c r="AZ1784" s="51">
        <f t="shared" si="2086"/>
        <v>0</v>
      </c>
      <c r="BA1784" s="51"/>
      <c r="BB1784" s="51"/>
      <c r="BC1784" s="51"/>
      <c r="BD1784" s="51"/>
      <c r="BE1784" s="51"/>
      <c r="BF1784" s="51"/>
      <c r="BG1784" s="51"/>
      <c r="BH1784" s="51"/>
      <c r="BI1784" s="65" cm="1">
        <f t="array" ref="BI1784">IFERROR(INDEX(AW1784:BH1784,1,MATCH(2,1/(AW1784:BH1784&lt;&gt;""))),"")</f>
        <v>0</v>
      </c>
      <c r="BJ1784" s="68" cm="1">
        <f t="array" ref="BJ1784">IF(BM1784 = "", "",IFERROR(INDEX(AW1784:BH1784,1,MATCH(2,1/(AW1784:BH1784&lt;&gt;""),1)-1),""))</f>
        <v>0</v>
      </c>
      <c r="BK1784" s="58">
        <f>IF((IF(AW1784&gt;=115%,115%,AW1784) + IF(AX1784&gt;=115%,115%,AX1784) + IF(AY1784&gt;=115%,115%,AY1784) + (IF(AZ1784&gt;=125%,125%,AZ1784) + IF(BA1784&gt;=115%,115%,BA1784) + IF(BB1784&gt;=115%,115%,BB1784) + IF(BC1784&gt;=125%,125%,BC1784) + IF(BD1784&gt;=115%,115%,BD1784) + IF(BE1784&gt;=115%,115%,BE1784) + IF(BF1784&gt;=115%,115%,BF1784) + IF(BG1784&gt;=115%,115%,BG1784) + IF(BH1784&gt;=115%,115%,BH1784)))/_xlfn.XLOOKUP(F1784,Apuração!A:A,Apuração!B:B)&gt;=1.15,1.15,((IF(AZ1784&gt;=125%,125%,AZ1784) + IF(AX1784&gt;=115%,115%,AX1784) + IF(AY1784&gt;=115%,115%,AY1784) + (IF(AW1784&gt;=115%,115%,AW1784) + IF(BA1784&gt;=115%,115%,BA1784) + IF(BB1784&gt;=115%,115%,BB1784) + IF(BC1784&gt;=125%,125%,BC1784) + IF(BD1784&gt;=115%,115%,BD1784) + IF(BE1784&gt;=115%,115%,BE1784) + IF(BF1784&gt;=115%,115%,BF1784) + IF(BG1784&gt;=115%,115%,BG1784) + IF(BH1784&gt;=115%,115%,BH1784)))/_xlfn.XLOOKUP(F1784,Apuração!A:A,Apuração!B:B)))</f>
        <v>0</v>
      </c>
      <c r="BL1784" s="58" cm="1">
        <f t="array" aca="1" ref="BL1784" ca="1">IF(SUM(IFERROR(IF(INDEX(AW1784:INDEX(AW1784:BH1784, MATCH(2, 1/(AW1784:BH1784&lt;&gt;""), 1)-1), ROW(INDIRECT("1:" &amp; MATCH(2, 1/(AW1784:BH1784&lt;&gt;""), 1)-1))) &gt;= 115%, 115%, INDEX(AW1784:INDEX(AW1784:BH1784, MATCH(2, 1/(AW1784:BH1784&lt;&gt;""), 1)-1), ROW(INDIRECT("1:" &amp; MATCH(2, 1/(AW1784:BH1784&lt;&gt;""), 1)-1)))), 0))/_xlfn.XLOOKUP(F1784,Apuração!A:A,Apuração!B:B)&gt;=1.15,1.15,SUM(IFERROR(IF(INDEX(AW1784:INDEX(AW1784:BH1784, MATCH(2, 1/(AW1784:BH1784&lt;&gt;""), 1)-1), ROW(INDIRECT("1:" &amp; MATCH(2, 1/(AW1784:BH1784&lt;&gt;""), 1)-1))) &gt;= 115%, 115%, INDEX(AW1784:INDEX(AW1784:BH1784, MATCH(2, 1/(AW1784:BH1784&lt;&gt;""), 1)-1), ROW(INDIRECT("1:" &amp; MATCH(2, 1/(AW1784:BH1784&lt;&gt;""), 1)-1)))), 0))/_xlfn.XLOOKUP(F1784,Apuração!A:A,Apuração!B:B))</f>
        <v>0</v>
      </c>
      <c r="BM1784" s="55" cm="1">
        <f t="array" ref="BM1784">IFERROR(
   INDEX($AW$1:$BH$1,
      _xlfn.AGGREGATE(14, 6, COLUMN($AW$1:$BH$1)/(AW1784:BH1784&lt;&gt;""), 2) - COLUMN($AW$1) + 1
   ),
"")</f>
        <v>46082</v>
      </c>
      <c r="BN1784" s="55" cm="1">
        <f t="array" ref="BN1784">IFERROR(INDEX($AW$1:$BH$1,1,MATCH(2,1/(AW1784:BH1784&lt;&gt;""))),"")</f>
        <v>46113</v>
      </c>
      <c r="BO1784" s="53">
        <f ca="1">IFERROR(_xlfn.XLOOKUP(F1784,Apuração!A:A,Apuração!C:C)/_xlfn.XLOOKUP(F1784,Apuração!A:A,Apuração!B:B),0)</f>
        <v>0</v>
      </c>
      <c r="BP1784" s="53">
        <f ca="1">IFERROR(_xlfn.XLOOKUP(F1784,Apuração!A:A,Apuração!D:D)/_xlfn.XLOOKUP(F1784,Apuração!A:A,Apuração!B:B),0)</f>
        <v>0</v>
      </c>
      <c r="BQ1784" s="53">
        <f ca="1">IF(BK1784&gt;=BO1784,0,_xlfn.XLOOKUP(F1784,Apuração!A:A,Apuração!B:B)*(BO1784 + (1/_xlfn.XLOOKUP(F1784,Apuração!A:A,Apuração!B:B)) - BK1784))</f>
        <v>0</v>
      </c>
      <c r="BR1784" s="85">
        <f t="shared" ca="1" si="2087"/>
        <v>0</v>
      </c>
      <c r="BS1784" s="53">
        <f ca="1">IFERROR((_xlfn.XLOOKUP(F1784,Apuração!A:A,Apuração!C:C)+1)/_xlfn.XLOOKUP(F1784,Apuração!A:A,Apuração!B:B),0)</f>
        <v>0.14285714285714285</v>
      </c>
    </row>
    <row r="1785" spans="1:71" ht="25.95" hidden="1" customHeight="1" x14ac:dyDescent="0.3">
      <c r="A1785" s="23" t="s">
        <v>134</v>
      </c>
      <c r="B1785" s="4" t="s">
        <v>167</v>
      </c>
      <c r="C1785" s="5" t="s">
        <v>214</v>
      </c>
      <c r="D1785" s="5" t="s">
        <v>212</v>
      </c>
      <c r="E1785" s="4" t="s">
        <v>61</v>
      </c>
      <c r="F1785" s="4" t="str" cm="1">
        <f t="array" ref="F1785">_xlfn.IFS(
AG1785 &lt;&gt; "", "Jan-Dez/26",
AH1785 &lt;&gt; "", "Fev-Dez/26",
AI1785 &lt;&gt; "", "Mar-Dez/26", AJ1785 &lt;&gt; "", "Abr-Dez/26",
TRUE, "A partir de Junho"
)</f>
        <v>A partir de Junho</v>
      </c>
      <c r="G1785" s="4" t="s">
        <v>62</v>
      </c>
      <c r="H1785" s="7" t="s">
        <v>38</v>
      </c>
      <c r="I1785" s="8" t="s">
        <v>168</v>
      </c>
      <c r="J1785" s="8" t="str" cm="1">
        <f t="array" aca="1" ref="J1785" ca="1">_xlfn.LET(
  _xlpm.actual_value_month, INDEX(T1785:AE1785, MATCH(DATE(YEAR(TODAY()), MONTH(TODAY()), 1), $T$1:$AE$1, 0)),
  IF(_xlpm.actual_value_month &lt;&gt; "",_xlpm.actual_value_month &amp; " ações mensais", "")
)</f>
        <v>1 ações mensais</v>
      </c>
      <c r="K1785" s="8" t="str" cm="1">
        <f t="array" ref="K1785">_xlfn.LET(
    _xlpm.sum_month, SUM(T1785:AE1785),
    IF(_xlpm.sum_month = 0, "", _xlpm.sum_month &amp; " atividades no ano")
)</f>
        <v>9 atividades no ano</v>
      </c>
      <c r="L1785" s="9" t="s">
        <v>169</v>
      </c>
      <c r="M1785" s="24" t="s">
        <v>170</v>
      </c>
      <c r="N1785" s="5" t="s">
        <v>42</v>
      </c>
      <c r="O1785" s="5" t="s">
        <v>43</v>
      </c>
      <c r="P1785" s="10" t="s">
        <v>44</v>
      </c>
      <c r="Q1785" s="10" t="s">
        <v>44</v>
      </c>
      <c r="R1785" s="11" t="s">
        <v>66</v>
      </c>
      <c r="S1785" s="11" t="s">
        <v>67</v>
      </c>
      <c r="T1785" s="22"/>
      <c r="U1785" s="22"/>
      <c r="V1785" s="22"/>
      <c r="W1785" s="143">
        <v>1</v>
      </c>
      <c r="X1785" s="143">
        <v>1</v>
      </c>
      <c r="Y1785" s="143">
        <v>1</v>
      </c>
      <c r="Z1785" s="143">
        <v>1</v>
      </c>
      <c r="AA1785" s="143">
        <v>1</v>
      </c>
      <c r="AB1785" s="143">
        <v>1</v>
      </c>
      <c r="AC1785" s="143">
        <v>1</v>
      </c>
      <c r="AD1785" s="143">
        <v>1</v>
      </c>
      <c r="AE1785" s="143">
        <v>1</v>
      </c>
      <c r="AG1785" s="71"/>
      <c r="AH1785" s="71"/>
      <c r="AI1785" s="71"/>
      <c r="AJ1785" s="71"/>
      <c r="AK1785" s="71"/>
      <c r="AL1785" s="71"/>
      <c r="AM1785" s="71"/>
      <c r="AN1785" s="71"/>
      <c r="AO1785" s="71"/>
      <c r="AP1785" s="71"/>
      <c r="AQ1785" s="71"/>
      <c r="AR1785" s="71"/>
      <c r="AS1785" s="94">
        <f t="shared" ca="1" si="2080"/>
        <v>2</v>
      </c>
      <c r="AT1785" s="95">
        <f t="shared" si="2081"/>
        <v>0</v>
      </c>
      <c r="AU1785" s="97">
        <f t="shared" si="2082"/>
        <v>0</v>
      </c>
      <c r="AW1785" s="51">
        <f t="shared" si="2083"/>
        <v>0</v>
      </c>
      <c r="AX1785" s="51">
        <f t="shared" si="2084"/>
        <v>0</v>
      </c>
      <c r="AY1785" s="51">
        <f t="shared" si="2085"/>
        <v>0</v>
      </c>
      <c r="AZ1785" s="51">
        <f t="shared" si="2086"/>
        <v>0</v>
      </c>
      <c r="BA1785" s="51"/>
      <c r="BB1785" s="51"/>
      <c r="BC1785" s="51"/>
      <c r="BD1785" s="51"/>
      <c r="BE1785" s="51"/>
      <c r="BF1785" s="51"/>
      <c r="BG1785" s="51"/>
      <c r="BH1785" s="51"/>
      <c r="BI1785" s="65" cm="1">
        <f t="array" ref="BI1785">IFERROR(INDEX(AW1785:BH1785,1,MATCH(2,1/(AW1785:BH1785&lt;&gt;""))),"")</f>
        <v>0</v>
      </c>
      <c r="BJ1785" s="68" cm="1">
        <f t="array" ref="BJ1785">IF(BM1785 = "", "",IFERROR(INDEX(AW1785:BH1785,1,MATCH(2,1/(AW1785:BH1785&lt;&gt;""),1)-1),""))</f>
        <v>0</v>
      </c>
      <c r="BK1785" s="58">
        <f>IF((IF(AW1785&gt;=115%,115%,AW1785) + IF(AX1785&gt;=115%,115%,AX1785) + IF(AY1785&gt;=115%,115%,AY1785) + (IF(AZ1785&gt;=125%,125%,AZ1785) + IF(BA1785&gt;=115%,115%,BA1785) + IF(BB1785&gt;=115%,115%,BB1785) + IF(BC1785&gt;=125%,125%,BC1785) + IF(BD1785&gt;=115%,115%,BD1785) + IF(BE1785&gt;=115%,115%,BE1785) + IF(BF1785&gt;=115%,115%,BF1785) + IF(BG1785&gt;=115%,115%,BG1785) + IF(BH1785&gt;=115%,115%,BH1785)))/_xlfn.XLOOKUP(F1785,Apuração!A:A,Apuração!B:B)&gt;=1.15,1.15,((IF(AZ1785&gt;=125%,125%,AZ1785) + IF(AX1785&gt;=115%,115%,AX1785) + IF(AY1785&gt;=115%,115%,AY1785) + (IF(AW1785&gt;=115%,115%,AW1785) + IF(BA1785&gt;=115%,115%,BA1785) + IF(BB1785&gt;=115%,115%,BB1785) + IF(BC1785&gt;=125%,125%,BC1785) + IF(BD1785&gt;=115%,115%,BD1785) + IF(BE1785&gt;=115%,115%,BE1785) + IF(BF1785&gt;=115%,115%,BF1785) + IF(BG1785&gt;=115%,115%,BG1785) + IF(BH1785&gt;=115%,115%,BH1785)))/_xlfn.XLOOKUP(F1785,Apuração!A:A,Apuração!B:B)))</f>
        <v>0</v>
      </c>
      <c r="BL1785" s="58" cm="1">
        <f t="array" aca="1" ref="BL1785" ca="1">IF(SUM(IFERROR(IF(INDEX(AW1785:INDEX(AW1785:BH1785, MATCH(2, 1/(AW1785:BH1785&lt;&gt;""), 1)-1), ROW(INDIRECT("1:" &amp; MATCH(2, 1/(AW1785:BH1785&lt;&gt;""), 1)-1))) &gt;= 115%, 115%, INDEX(AW1785:INDEX(AW1785:BH1785, MATCH(2, 1/(AW1785:BH1785&lt;&gt;""), 1)-1), ROW(INDIRECT("1:" &amp; MATCH(2, 1/(AW1785:BH1785&lt;&gt;""), 1)-1)))), 0))/_xlfn.XLOOKUP(F1785,Apuração!A:A,Apuração!B:B)&gt;=1.15,1.15,SUM(IFERROR(IF(INDEX(AW1785:INDEX(AW1785:BH1785, MATCH(2, 1/(AW1785:BH1785&lt;&gt;""), 1)-1), ROW(INDIRECT("1:" &amp; MATCH(2, 1/(AW1785:BH1785&lt;&gt;""), 1)-1))) &gt;= 115%, 115%, INDEX(AW1785:INDEX(AW1785:BH1785, MATCH(2, 1/(AW1785:BH1785&lt;&gt;""), 1)-1), ROW(INDIRECT("1:" &amp; MATCH(2, 1/(AW1785:BH1785&lt;&gt;""), 1)-1)))), 0))/_xlfn.XLOOKUP(F1785,Apuração!A:A,Apuração!B:B))</f>
        <v>0</v>
      </c>
      <c r="BM1785" s="55" cm="1">
        <f t="array" ref="BM1785">IFERROR(
   INDEX($AW$1:$BH$1,
      _xlfn.AGGREGATE(14, 6, COLUMN($AW$1:$BH$1)/(AW1785:BH1785&lt;&gt;""), 2) - COLUMN($AW$1) + 1
   ),
"")</f>
        <v>46082</v>
      </c>
      <c r="BN1785" s="55" cm="1">
        <f t="array" ref="BN1785">IFERROR(INDEX($AW$1:$BH$1,1,MATCH(2,1/(AW1785:BH1785&lt;&gt;""))),"")</f>
        <v>46113</v>
      </c>
      <c r="BO1785" s="53">
        <f ca="1">IFERROR(_xlfn.XLOOKUP(F1785,Apuração!A:A,Apuração!C:C)/_xlfn.XLOOKUP(F1785,Apuração!A:A,Apuração!B:B),0)</f>
        <v>0</v>
      </c>
      <c r="BP1785" s="53">
        <f ca="1">IFERROR(_xlfn.XLOOKUP(F1785,Apuração!A:A,Apuração!D:D)/_xlfn.XLOOKUP(F1785,Apuração!A:A,Apuração!B:B),0)</f>
        <v>0</v>
      </c>
      <c r="BQ1785" s="53">
        <f ca="1">IF(BK1785&gt;=BO1785,0,_xlfn.XLOOKUP(F1785,Apuração!A:A,Apuração!B:B)*(BO1785 + (1/_xlfn.XLOOKUP(F1785,Apuração!A:A,Apuração!B:B)) - BK1785))</f>
        <v>0</v>
      </c>
      <c r="BR1785" s="85">
        <f t="shared" ca="1" si="2087"/>
        <v>0</v>
      </c>
      <c r="BS1785" s="53">
        <f ca="1">IFERROR((_xlfn.XLOOKUP(F1785,Apuração!A:A,Apuração!C:C)+1)/_xlfn.XLOOKUP(F1785,Apuração!A:A,Apuração!B:B),0)</f>
        <v>0.14285714285714285</v>
      </c>
    </row>
    <row r="1786" spans="1:71" ht="25.95" hidden="1" customHeight="1" x14ac:dyDescent="0.3">
      <c r="A1786" s="23" t="s">
        <v>134</v>
      </c>
      <c r="B1786" s="4" t="s">
        <v>167</v>
      </c>
      <c r="C1786" s="5" t="s">
        <v>214</v>
      </c>
      <c r="D1786" s="5" t="s">
        <v>48</v>
      </c>
      <c r="E1786" s="4" t="s">
        <v>61</v>
      </c>
      <c r="F1786" s="4" t="str" cm="1">
        <f t="array" ref="F1786">_xlfn.IFS(
AG1786 &lt;&gt; "", "Jan-Dez/26",
AH1786 &lt;&gt; "", "Fev-Dez/26",
AI1786 &lt;&gt; "", "Mar-Dez/26", AJ1786 &lt;&gt; "", "Abr-Dez/26",
TRUE, "A partir de Junho"
)</f>
        <v>A partir de Junho</v>
      </c>
      <c r="G1786" s="4" t="s">
        <v>62</v>
      </c>
      <c r="H1786" s="7" t="s">
        <v>38</v>
      </c>
      <c r="I1786" s="8" t="s">
        <v>168</v>
      </c>
      <c r="J1786" s="8" t="str" cm="1">
        <f t="array" aca="1" ref="J1786" ca="1">_xlfn.LET(
  _xlpm.actual_value_month, INDEX(T1786:AE1786, MATCH(DATE(YEAR(TODAY()), MONTH(TODAY()), 1), $T$1:$AE$1, 0)),
  IF(_xlpm.actual_value_month &lt;&gt; "",_xlpm.actual_value_month &amp; " ações mensais", "")
)</f>
        <v>1 ações mensais</v>
      </c>
      <c r="K1786" s="8" t="str" cm="1">
        <f t="array" ref="K1786">_xlfn.LET(
    _xlpm.sum_month, SUM(T1786:AE1786),
    IF(_xlpm.sum_month = 0, "", _xlpm.sum_month &amp; " atividades no ano")
)</f>
        <v>9 atividades no ano</v>
      </c>
      <c r="L1786" s="9" t="s">
        <v>169</v>
      </c>
      <c r="M1786" s="24" t="s">
        <v>170</v>
      </c>
      <c r="N1786" s="5" t="s">
        <v>42</v>
      </c>
      <c r="O1786" s="5" t="s">
        <v>43</v>
      </c>
      <c r="P1786" s="10" t="s">
        <v>44</v>
      </c>
      <c r="Q1786" s="10" t="s">
        <v>44</v>
      </c>
      <c r="R1786" s="11" t="s">
        <v>66</v>
      </c>
      <c r="S1786" s="11" t="s">
        <v>67</v>
      </c>
      <c r="T1786" s="22"/>
      <c r="U1786" s="22"/>
      <c r="V1786" s="22"/>
      <c r="W1786" s="143">
        <v>1</v>
      </c>
      <c r="X1786" s="143">
        <v>1</v>
      </c>
      <c r="Y1786" s="143">
        <v>1</v>
      </c>
      <c r="Z1786" s="143">
        <v>1</v>
      </c>
      <c r="AA1786" s="143">
        <v>1</v>
      </c>
      <c r="AB1786" s="143">
        <v>1</v>
      </c>
      <c r="AC1786" s="143">
        <v>1</v>
      </c>
      <c r="AD1786" s="143">
        <v>1</v>
      </c>
      <c r="AE1786" s="143">
        <v>1</v>
      </c>
      <c r="AG1786" s="71"/>
      <c r="AH1786" s="71"/>
      <c r="AI1786" s="71"/>
      <c r="AJ1786" s="71"/>
      <c r="AK1786" s="71"/>
      <c r="AL1786" s="71"/>
      <c r="AM1786" s="71"/>
      <c r="AN1786" s="71"/>
      <c r="AO1786" s="71"/>
      <c r="AP1786" s="71"/>
      <c r="AQ1786" s="71"/>
      <c r="AR1786" s="71"/>
      <c r="AS1786" s="94">
        <f t="shared" ca="1" si="2080"/>
        <v>2</v>
      </c>
      <c r="AT1786" s="95">
        <f t="shared" si="2081"/>
        <v>0</v>
      </c>
      <c r="AU1786" s="97">
        <f t="shared" si="2082"/>
        <v>0</v>
      </c>
      <c r="AW1786" s="51">
        <f t="shared" si="2083"/>
        <v>0</v>
      </c>
      <c r="AX1786" s="51">
        <f t="shared" si="2084"/>
        <v>0</v>
      </c>
      <c r="AY1786" s="51">
        <f t="shared" si="2085"/>
        <v>0</v>
      </c>
      <c r="AZ1786" s="51">
        <f t="shared" si="2086"/>
        <v>0</v>
      </c>
      <c r="BA1786" s="51"/>
      <c r="BB1786" s="51"/>
      <c r="BC1786" s="51"/>
      <c r="BD1786" s="51"/>
      <c r="BE1786" s="51"/>
      <c r="BF1786" s="51"/>
      <c r="BG1786" s="51"/>
      <c r="BH1786" s="51"/>
      <c r="BI1786" s="65" cm="1">
        <f t="array" ref="BI1786">IFERROR(INDEX(AW1786:BH1786,1,MATCH(2,1/(AW1786:BH1786&lt;&gt;""))),"")</f>
        <v>0</v>
      </c>
      <c r="BJ1786" s="68" cm="1">
        <f t="array" ref="BJ1786">IF(BM1786 = "", "",IFERROR(INDEX(AW1786:BH1786,1,MATCH(2,1/(AW1786:BH1786&lt;&gt;""),1)-1),""))</f>
        <v>0</v>
      </c>
      <c r="BK1786" s="58">
        <f>IF((IF(AW1786&gt;=115%,115%,AW1786) + IF(AX1786&gt;=115%,115%,AX1786) + IF(AY1786&gt;=115%,115%,AY1786) + (IF(AZ1786&gt;=125%,125%,AZ1786) + IF(BA1786&gt;=115%,115%,BA1786) + IF(BB1786&gt;=115%,115%,BB1786) + IF(BC1786&gt;=125%,125%,BC1786) + IF(BD1786&gt;=115%,115%,BD1786) + IF(BE1786&gt;=115%,115%,BE1786) + IF(BF1786&gt;=115%,115%,BF1786) + IF(BG1786&gt;=115%,115%,BG1786) + IF(BH1786&gt;=115%,115%,BH1786)))/_xlfn.XLOOKUP(F1786,Apuração!A:A,Apuração!B:B)&gt;=1.15,1.15,((IF(AZ1786&gt;=125%,125%,AZ1786) + IF(AX1786&gt;=115%,115%,AX1786) + IF(AY1786&gt;=115%,115%,AY1786) + (IF(AW1786&gt;=115%,115%,AW1786) + IF(BA1786&gt;=115%,115%,BA1786) + IF(BB1786&gt;=115%,115%,BB1786) + IF(BC1786&gt;=125%,125%,BC1786) + IF(BD1786&gt;=115%,115%,BD1786) + IF(BE1786&gt;=115%,115%,BE1786) + IF(BF1786&gt;=115%,115%,BF1786) + IF(BG1786&gt;=115%,115%,BG1786) + IF(BH1786&gt;=115%,115%,BH1786)))/_xlfn.XLOOKUP(F1786,Apuração!A:A,Apuração!B:B)))</f>
        <v>0</v>
      </c>
      <c r="BL1786" s="58" cm="1">
        <f t="array" aca="1" ref="BL1786" ca="1">IF(SUM(IFERROR(IF(INDEX(AW1786:INDEX(AW1786:BH1786, MATCH(2, 1/(AW1786:BH1786&lt;&gt;""), 1)-1), ROW(INDIRECT("1:" &amp; MATCH(2, 1/(AW1786:BH1786&lt;&gt;""), 1)-1))) &gt;= 115%, 115%, INDEX(AW1786:INDEX(AW1786:BH1786, MATCH(2, 1/(AW1786:BH1786&lt;&gt;""), 1)-1), ROW(INDIRECT("1:" &amp; MATCH(2, 1/(AW1786:BH1786&lt;&gt;""), 1)-1)))), 0))/_xlfn.XLOOKUP(F1786,Apuração!A:A,Apuração!B:B)&gt;=1.15,1.15,SUM(IFERROR(IF(INDEX(AW1786:INDEX(AW1786:BH1786, MATCH(2, 1/(AW1786:BH1786&lt;&gt;""), 1)-1), ROW(INDIRECT("1:" &amp; MATCH(2, 1/(AW1786:BH1786&lt;&gt;""), 1)-1))) &gt;= 115%, 115%, INDEX(AW1786:INDEX(AW1786:BH1786, MATCH(2, 1/(AW1786:BH1786&lt;&gt;""), 1)-1), ROW(INDIRECT("1:" &amp; MATCH(2, 1/(AW1786:BH1786&lt;&gt;""), 1)-1)))), 0))/_xlfn.XLOOKUP(F1786,Apuração!A:A,Apuração!B:B))</f>
        <v>0</v>
      </c>
      <c r="BM1786" s="55" cm="1">
        <f t="array" ref="BM1786">IFERROR(
   INDEX($AW$1:$BH$1,
      _xlfn.AGGREGATE(14, 6, COLUMN($AW$1:$BH$1)/(AW1786:BH1786&lt;&gt;""), 2) - COLUMN($AW$1) + 1
   ),
"")</f>
        <v>46082</v>
      </c>
      <c r="BN1786" s="55" cm="1">
        <f t="array" ref="BN1786">IFERROR(INDEX($AW$1:$BH$1,1,MATCH(2,1/(AW1786:BH1786&lt;&gt;""))),"")</f>
        <v>46113</v>
      </c>
      <c r="BO1786" s="53">
        <f ca="1">IFERROR(_xlfn.XLOOKUP(F1786,Apuração!A:A,Apuração!C:C)/_xlfn.XLOOKUP(F1786,Apuração!A:A,Apuração!B:B),0)</f>
        <v>0</v>
      </c>
      <c r="BP1786" s="53">
        <f ca="1">IFERROR(_xlfn.XLOOKUP(F1786,Apuração!A:A,Apuração!D:D)/_xlfn.XLOOKUP(F1786,Apuração!A:A,Apuração!B:B),0)</f>
        <v>0</v>
      </c>
      <c r="BQ1786" s="53">
        <f ca="1">IF(BK1786&gt;=BO1786,0,_xlfn.XLOOKUP(F1786,Apuração!A:A,Apuração!B:B)*(BO1786 + (1/_xlfn.XLOOKUP(F1786,Apuração!A:A,Apuração!B:B)) - BK1786))</f>
        <v>0</v>
      </c>
      <c r="BR1786" s="85">
        <f t="shared" ca="1" si="2087"/>
        <v>0</v>
      </c>
      <c r="BS1786" s="53">
        <f ca="1">IFERROR((_xlfn.XLOOKUP(F1786,Apuração!A:A,Apuração!C:C)+1)/_xlfn.XLOOKUP(F1786,Apuração!A:A,Apuração!B:B),0)</f>
        <v>0.14285714285714285</v>
      </c>
    </row>
    <row r="1787" spans="1:71" ht="25.95" hidden="1" customHeight="1" x14ac:dyDescent="0.3">
      <c r="A1787" s="23" t="s">
        <v>134</v>
      </c>
      <c r="B1787" s="4" t="s">
        <v>167</v>
      </c>
      <c r="C1787" s="5" t="s">
        <v>214</v>
      </c>
      <c r="D1787" s="5" t="s">
        <v>213</v>
      </c>
      <c r="E1787" s="4" t="s">
        <v>61</v>
      </c>
      <c r="F1787" s="4" t="str" cm="1">
        <f t="array" ref="F1787">_xlfn.IFS(
AG1787 &lt;&gt; "", "Jan-Dez/26",
AH1787 &lt;&gt; "", "Fev-Dez/26",
AI1787 &lt;&gt; "", "Mar-Dez/26", AJ1787 &lt;&gt; "", "Abr-Dez/26",
TRUE, "A partir de Junho"
)</f>
        <v>A partir de Junho</v>
      </c>
      <c r="G1787" s="4" t="s">
        <v>62</v>
      </c>
      <c r="H1787" s="7" t="s">
        <v>38</v>
      </c>
      <c r="I1787" s="8" t="s">
        <v>168</v>
      </c>
      <c r="J1787" s="8" t="str" cm="1">
        <f t="array" aca="1" ref="J1787" ca="1">_xlfn.LET(
  _xlpm.actual_value_month, INDEX(T1787:AE1787, MATCH(DATE(YEAR(TODAY()), MONTH(TODAY()), 1), $T$1:$AE$1, 0)),
  IF(_xlpm.actual_value_month &lt;&gt; "",_xlpm.actual_value_month &amp; " ações mensais", "")
)</f>
        <v>1 ações mensais</v>
      </c>
      <c r="K1787" s="8" t="str" cm="1">
        <f t="array" ref="K1787">_xlfn.LET(
    _xlpm.sum_month, SUM(T1787:AE1787),
    IF(_xlpm.sum_month = 0, "", _xlpm.sum_month &amp; " atividades no ano")
)</f>
        <v>9 atividades no ano</v>
      </c>
      <c r="L1787" s="9" t="s">
        <v>169</v>
      </c>
      <c r="M1787" s="24" t="s">
        <v>170</v>
      </c>
      <c r="N1787" s="5" t="s">
        <v>42</v>
      </c>
      <c r="O1787" s="5" t="s">
        <v>43</v>
      </c>
      <c r="P1787" s="10" t="s">
        <v>44</v>
      </c>
      <c r="Q1787" s="10" t="s">
        <v>44</v>
      </c>
      <c r="R1787" s="11" t="s">
        <v>66</v>
      </c>
      <c r="S1787" s="11" t="s">
        <v>67</v>
      </c>
      <c r="T1787" s="22"/>
      <c r="U1787" s="22"/>
      <c r="V1787" s="22"/>
      <c r="W1787" s="143">
        <v>1</v>
      </c>
      <c r="X1787" s="143">
        <v>1</v>
      </c>
      <c r="Y1787" s="143">
        <v>1</v>
      </c>
      <c r="Z1787" s="143">
        <v>1</v>
      </c>
      <c r="AA1787" s="143">
        <v>1</v>
      </c>
      <c r="AB1787" s="143">
        <v>1</v>
      </c>
      <c r="AC1787" s="143">
        <v>1</v>
      </c>
      <c r="AD1787" s="143">
        <v>1</v>
      </c>
      <c r="AE1787" s="143">
        <v>1</v>
      </c>
      <c r="AG1787" s="71"/>
      <c r="AH1787" s="71"/>
      <c r="AI1787" s="71"/>
      <c r="AJ1787" s="71"/>
      <c r="AK1787" s="71"/>
      <c r="AL1787" s="71"/>
      <c r="AM1787" s="71"/>
      <c r="AN1787" s="71"/>
      <c r="AO1787" s="71"/>
      <c r="AP1787" s="71"/>
      <c r="AQ1787" s="71"/>
      <c r="AR1787" s="71"/>
      <c r="AS1787" s="94">
        <f t="shared" ca="1" si="2080"/>
        <v>2</v>
      </c>
      <c r="AT1787" s="95">
        <f t="shared" si="2081"/>
        <v>0</v>
      </c>
      <c r="AU1787" s="97">
        <f t="shared" si="2082"/>
        <v>0</v>
      </c>
      <c r="AW1787" s="51">
        <f t="shared" si="2083"/>
        <v>0</v>
      </c>
      <c r="AX1787" s="51">
        <f t="shared" si="2084"/>
        <v>0</v>
      </c>
      <c r="AY1787" s="51">
        <f t="shared" si="2085"/>
        <v>0</v>
      </c>
      <c r="AZ1787" s="51">
        <f t="shared" si="2086"/>
        <v>0</v>
      </c>
      <c r="BA1787" s="51"/>
      <c r="BB1787" s="51"/>
      <c r="BC1787" s="51"/>
      <c r="BD1787" s="51"/>
      <c r="BE1787" s="51"/>
      <c r="BF1787" s="51"/>
      <c r="BG1787" s="51"/>
      <c r="BH1787" s="51"/>
      <c r="BI1787" s="65" cm="1">
        <f t="array" ref="BI1787">IFERROR(INDEX(AW1787:BH1787,1,MATCH(2,1/(AW1787:BH1787&lt;&gt;""))),"")</f>
        <v>0</v>
      </c>
      <c r="BJ1787" s="68" cm="1">
        <f t="array" ref="BJ1787">IF(BM1787 = "", "",IFERROR(INDEX(AW1787:BH1787,1,MATCH(2,1/(AW1787:BH1787&lt;&gt;""),1)-1),""))</f>
        <v>0</v>
      </c>
      <c r="BK1787" s="58">
        <f>IF((IF(AW1787&gt;=115%,115%,AW1787) + IF(AX1787&gt;=115%,115%,AX1787) + IF(AY1787&gt;=115%,115%,AY1787) + (IF(AZ1787&gt;=125%,125%,AZ1787) + IF(BA1787&gt;=115%,115%,BA1787) + IF(BB1787&gt;=115%,115%,BB1787) + IF(BC1787&gt;=125%,125%,BC1787) + IF(BD1787&gt;=115%,115%,BD1787) + IF(BE1787&gt;=115%,115%,BE1787) + IF(BF1787&gt;=115%,115%,BF1787) + IF(BG1787&gt;=115%,115%,BG1787) + IF(BH1787&gt;=115%,115%,BH1787)))/_xlfn.XLOOKUP(F1787,Apuração!A:A,Apuração!B:B)&gt;=1.15,1.15,((IF(AZ1787&gt;=125%,125%,AZ1787) + IF(AX1787&gt;=115%,115%,AX1787) + IF(AY1787&gt;=115%,115%,AY1787) + (IF(AW1787&gt;=115%,115%,AW1787) + IF(BA1787&gt;=115%,115%,BA1787) + IF(BB1787&gt;=115%,115%,BB1787) + IF(BC1787&gt;=125%,125%,BC1787) + IF(BD1787&gt;=115%,115%,BD1787) + IF(BE1787&gt;=115%,115%,BE1787) + IF(BF1787&gt;=115%,115%,BF1787) + IF(BG1787&gt;=115%,115%,BG1787) + IF(BH1787&gt;=115%,115%,BH1787)))/_xlfn.XLOOKUP(F1787,Apuração!A:A,Apuração!B:B)))</f>
        <v>0</v>
      </c>
      <c r="BL1787" s="58" cm="1">
        <f t="array" aca="1" ref="BL1787" ca="1">IF(SUM(IFERROR(IF(INDEX(AW1787:INDEX(AW1787:BH1787, MATCH(2, 1/(AW1787:BH1787&lt;&gt;""), 1)-1), ROW(INDIRECT("1:" &amp; MATCH(2, 1/(AW1787:BH1787&lt;&gt;""), 1)-1))) &gt;= 115%, 115%, INDEX(AW1787:INDEX(AW1787:BH1787, MATCH(2, 1/(AW1787:BH1787&lt;&gt;""), 1)-1), ROW(INDIRECT("1:" &amp; MATCH(2, 1/(AW1787:BH1787&lt;&gt;""), 1)-1)))), 0))/_xlfn.XLOOKUP(F1787,Apuração!A:A,Apuração!B:B)&gt;=1.15,1.15,SUM(IFERROR(IF(INDEX(AW1787:INDEX(AW1787:BH1787, MATCH(2, 1/(AW1787:BH1787&lt;&gt;""), 1)-1), ROW(INDIRECT("1:" &amp; MATCH(2, 1/(AW1787:BH1787&lt;&gt;""), 1)-1))) &gt;= 115%, 115%, INDEX(AW1787:INDEX(AW1787:BH1787, MATCH(2, 1/(AW1787:BH1787&lt;&gt;""), 1)-1), ROW(INDIRECT("1:" &amp; MATCH(2, 1/(AW1787:BH1787&lt;&gt;""), 1)-1)))), 0))/_xlfn.XLOOKUP(F1787,Apuração!A:A,Apuração!B:B))</f>
        <v>0</v>
      </c>
      <c r="BM1787" s="55" cm="1">
        <f t="array" ref="BM1787">IFERROR(
   INDEX($AW$1:$BH$1,
      _xlfn.AGGREGATE(14, 6, COLUMN($AW$1:$BH$1)/(AW1787:BH1787&lt;&gt;""), 2) - COLUMN($AW$1) + 1
   ),
"")</f>
        <v>46082</v>
      </c>
      <c r="BN1787" s="55" cm="1">
        <f t="array" ref="BN1787">IFERROR(INDEX($AW$1:$BH$1,1,MATCH(2,1/(AW1787:BH1787&lt;&gt;""))),"")</f>
        <v>46113</v>
      </c>
      <c r="BO1787" s="53">
        <f ca="1">IFERROR(_xlfn.XLOOKUP(F1787,Apuração!A:A,Apuração!C:C)/_xlfn.XLOOKUP(F1787,Apuração!A:A,Apuração!B:B),0)</f>
        <v>0</v>
      </c>
      <c r="BP1787" s="53">
        <f ca="1">IFERROR(_xlfn.XLOOKUP(F1787,Apuração!A:A,Apuração!D:D)/_xlfn.XLOOKUP(F1787,Apuração!A:A,Apuração!B:B),0)</f>
        <v>0</v>
      </c>
      <c r="BQ1787" s="53">
        <f ca="1">IF(BK1787&gt;=BO1787,0,_xlfn.XLOOKUP(F1787,Apuração!A:A,Apuração!B:B)*(BO1787 + (1/_xlfn.XLOOKUP(F1787,Apuração!A:A,Apuração!B:B)) - BK1787))</f>
        <v>0</v>
      </c>
      <c r="BR1787" s="85">
        <f t="shared" ca="1" si="2087"/>
        <v>0</v>
      </c>
      <c r="BS1787" s="53">
        <f ca="1">IFERROR((_xlfn.XLOOKUP(F1787,Apuração!A:A,Apuração!C:C)+1)/_xlfn.XLOOKUP(F1787,Apuração!A:A,Apuração!B:B),0)</f>
        <v>0.14285714285714285</v>
      </c>
    </row>
    <row r="1788" spans="1:71" ht="25.95" hidden="1" customHeight="1" x14ac:dyDescent="0.3">
      <c r="A1788" s="23" t="s">
        <v>134</v>
      </c>
      <c r="B1788" s="4" t="s">
        <v>167</v>
      </c>
      <c r="C1788" s="5" t="s">
        <v>214</v>
      </c>
      <c r="D1788" s="5" t="s">
        <v>36</v>
      </c>
      <c r="E1788" s="4" t="s">
        <v>61</v>
      </c>
      <c r="F1788" s="4" t="str" cm="1">
        <f t="array" ref="F1788">_xlfn.IFS(
AG1788 &lt;&gt; "", "Jan-Dez/26",
AH1788 &lt;&gt; "", "Fev-Dez/26",
AI1788 &lt;&gt; "", "Mar-Dez/26", AJ1788 &lt;&gt; "", "Abr-Dez/26",
TRUE, "A partir de Junho"
)</f>
        <v>A partir de Junho</v>
      </c>
      <c r="G1788" s="4" t="s">
        <v>62</v>
      </c>
      <c r="H1788" s="7" t="s">
        <v>38</v>
      </c>
      <c r="I1788" s="8" t="s">
        <v>171</v>
      </c>
      <c r="J1788" s="8" t="str" cm="1">
        <f t="array" aca="1" ref="J1788" ca="1">_xlfn.LET(
  _xlpm.actual_value_month, INDEX(T1788:AE1788, MATCH(DATE(YEAR(TODAY()), MONTH(TODAY()), 1), $T$1:$AE$1, 0)),
  IF(_xlpm.actual_value_month &lt;&gt; "",_xlpm.actual_value_month &amp; " colaboradores alcançados mensalmentes", "")
)</f>
        <v/>
      </c>
      <c r="K1788" s="8" t="str" cm="1">
        <f t="array" ref="K1788">_xlfn.LET(
    _xlpm.sum_month, SUM(T1788:AE1788),
    IF(_xlpm.sum_month = 0, "", _xlpm.sum_month &amp; " colaboradores alcançados durante no ano")
)</f>
        <v/>
      </c>
      <c r="L1788" s="9" t="s">
        <v>172</v>
      </c>
      <c r="M1788" s="24" t="s">
        <v>173</v>
      </c>
      <c r="N1788" s="5" t="s">
        <v>42</v>
      </c>
      <c r="O1788" s="5" t="s">
        <v>43</v>
      </c>
      <c r="P1788" s="10" t="s">
        <v>44</v>
      </c>
      <c r="Q1788" s="10" t="s">
        <v>72</v>
      </c>
      <c r="R1788" s="11" t="s">
        <v>66</v>
      </c>
      <c r="S1788" s="11" t="s">
        <v>67</v>
      </c>
      <c r="T1788" s="22"/>
      <c r="U1788" s="22"/>
      <c r="V1788" s="22"/>
      <c r="W1788" s="22"/>
      <c r="X1788" s="22"/>
      <c r="Y1788" s="22"/>
      <c r="Z1788" s="22"/>
      <c r="AA1788" s="22"/>
      <c r="AB1788" s="22"/>
      <c r="AC1788" s="22"/>
      <c r="AD1788" s="22"/>
      <c r="AE1788" s="22"/>
      <c r="AG1788" s="71"/>
      <c r="AH1788" s="71"/>
      <c r="AI1788" s="71"/>
      <c r="AJ1788" s="71"/>
      <c r="AK1788" s="71"/>
      <c r="AL1788" s="71"/>
      <c r="AM1788" s="71"/>
      <c r="AN1788" s="71"/>
      <c r="AO1788" s="71"/>
      <c r="AP1788" s="71"/>
      <c r="AQ1788" s="71"/>
      <c r="AR1788" s="71"/>
      <c r="AS1788" s="94">
        <f ca="1">IF(MONTH(TODAY())=3,SUM(T1788:U1788),IF(MONTH(TODAY())=4,SUM(T1788:V1788),IF(MONTH(TODAY())=5,SUM(T1788:W1788),IF(MONTH(TODAY())=6,SUM(T1788:X1788),IF(MONTH(TODAY())=7,SUM(T1788:Y1788),IF(MONTH(TODAY())=8,SUM(T1788:Z1788),IF(MONTH(TODAY())=9,SUM(T1788:AA1788),IF(MONTH(TODAY())=10,SUM(T1788:AB1788),IF(MONTH(TODAY())=11,SUM(T1788:AC1788),IF(MONTH(TODAY())=12,SUM(T1788:AD1788),IF(MONTH(TODAY())=1,SUM(T1788:AE1788),T1788)))))))))))</f>
        <v>0</v>
      </c>
      <c r="AT1788" s="95">
        <f>SUM(IF(AW1788&lt;1.15,AG1788,1.15*T1788),IF(AX1788&lt;1.15,AH1788,1.15*U1788),IF(AY1788&lt;1.15,AI1788,1.15*V1788),IF(AZ1788&lt;1.15,AJ1788,1.15*W1788),IF(BA1788&lt;1.15,AK1788,1.15*X1788),IF(BB1788&lt;1.15,AL1788,1.15*Y1788),IF(BC1788&lt;1.15,AM1788,1.15*Z1788),IF(BD1788&lt;1.15,AN1788,1.15*AA1788),IF(BE1788&lt;1.15,AO1788,1.15*AB1788),IF(BF1788&lt;1.15,AP1788,1.15*AC1788),IF(BG1788&lt;1.15,AQ1788,1.15*AD1788),IF(BH1788&lt;1.15,AR1788,1.15*AE1788))</f>
        <v>0</v>
      </c>
      <c r="AU1788" s="97">
        <f>SUM(AG1788:AR1788)</f>
        <v>0</v>
      </c>
      <c r="AW1788" s="51">
        <f>IFERROR(IF(AG1788="",0,AG1788/T1788),0)</f>
        <v>0</v>
      </c>
      <c r="AX1788" s="51">
        <f>IFERROR(IF(AH1788="",0,AH1788/U1788),0)</f>
        <v>0</v>
      </c>
      <c r="AY1788" s="51">
        <f>IFERROR(IF(AI1788="",0,AI1788/V1788),0)</f>
        <v>0</v>
      </c>
      <c r="AZ1788" s="51">
        <f>IFERROR(IF(AJ1788="",0,AJ1788/W1788),0)</f>
        <v>0</v>
      </c>
      <c r="BA1788" s="51"/>
      <c r="BB1788" s="51"/>
      <c r="BC1788" s="51"/>
      <c r="BD1788" s="51"/>
      <c r="BE1788" s="51"/>
      <c r="BF1788" s="51"/>
      <c r="BG1788" s="51"/>
      <c r="BH1788" s="51"/>
      <c r="BI1788" s="65" cm="1">
        <f t="array" ref="BI1788">IFERROR(INDEX(AW1788:BH1788,1,MATCH(2,1/(AW1788:BH1788&lt;&gt;""))),"")</f>
        <v>0</v>
      </c>
      <c r="BJ1788" s="68" cm="1">
        <f t="array" ref="BJ1788">IF(BM1788 = "", "",IFERROR(INDEX(AW1788:BH1788,1,MATCH(2,1/(AW1788:BH1788&lt;&gt;""),1)-1),""))</f>
        <v>0</v>
      </c>
      <c r="BK1788" s="58">
        <f>IF((IF(AW1788&gt;=115%,115%,AW1788) + IF(AX1788&gt;=130%,130%,AX1788) + IF(AY1788&gt;=115%,115%,AY1788) + (IF(AZ1788&gt;=115%,115%,AZ1788) + IF(BA1788&gt;=115%,115%,BA1788) + IF(BB1788&gt;=115%,115%,BB1788) + IF(BC1788&gt;=115%,115%,BC1788) + IF(BD1788&gt;=115%,115%,BD1788) + IF(BE1788&gt;=115%,115%,BE1788) + IF(BF1788&gt;=115%,115%,BF1788) + IF(BG1788&gt;=115%,115%,BG1788) + IF(BH1788&gt;=115%,115%,BH1788)))/_xlfn.XLOOKUP(F1788,Apuração!A:A,Apuração!B:B)&gt;=1.15,1.15,((IF(AZ1788&gt;=115%,115%,AZ1788) + IF(AX1788&gt;=130%,130%,AX1788) + IF(AY1788&gt;=115%,115%,AY1788) + (IF(AW1788&gt;=115%,115%,AW1788) + IF(BA1788&gt;=115%,115%,BA1788) + IF(BB1788&gt;=115%,115%,BB1788) + IF(BC1788&gt;=115%,115%,BC1788) + IF(BD1788&gt;=115%,115%,BD1788) + IF(BE1788&gt;=115%,115%,BE1788) + IF(BF1788&gt;=115%,115%,BF1788) + IF(BG1788&gt;=115%,115%,BG1788) + IF(BH1788&gt;=115%,115%,BH1788)))/_xlfn.XLOOKUP(F1788,Apuração!A:A,Apuração!B:B)))</f>
        <v>0</v>
      </c>
      <c r="BL1788" s="58" cm="1">
        <f t="array" aca="1" ref="BL1788" ca="1">IF(SUM(IFERROR(IF(INDEX(AW1788:INDEX(AW1788:BH1788, MATCH(2, 1/(AW1788:BH1788&lt;&gt;""), 1)-1), ROW(INDIRECT("1:" &amp; MATCH(2, 1/(AW1788:BH1788&lt;&gt;""), 1)-1))) &gt;= 115%, 115%, INDEX(AW1788:INDEX(AW1788:BH1788, MATCH(2, 1/(AW1788:BH1788&lt;&gt;""), 1)-1), ROW(INDIRECT("1:" &amp; MATCH(2, 1/(AW1788:BH1788&lt;&gt;""), 1)-1)))), 0))/_xlfn.XLOOKUP(F1788,Apuração!A:A,Apuração!B:B)&gt;=1.15,1.15,SUM(IFERROR(IF(INDEX(AW1788:INDEX(AW1788:BH1788, MATCH(2, 1/(AW1788:BH1788&lt;&gt;""), 1)-1), ROW(INDIRECT("1:" &amp; MATCH(2, 1/(AW1788:BH1788&lt;&gt;""), 1)-1))) &gt;= 115%, 115%, INDEX(AW1788:INDEX(AW1788:BH1788, MATCH(2, 1/(AW1788:BH1788&lt;&gt;""), 1)-1), ROW(INDIRECT("1:" &amp; MATCH(2, 1/(AW1788:BH1788&lt;&gt;""), 1)-1)))), 0))/_xlfn.XLOOKUP(F1788,Apuração!A:A,Apuração!B:B))</f>
        <v>0</v>
      </c>
      <c r="BM1788" s="55" cm="1">
        <f t="array" ref="BM1788">IFERROR(
   INDEX($AW$1:$BH$1,
      _xlfn.AGGREGATE(14, 6, COLUMN($AW$1:$BH$1)/(AW1788:BH1788&lt;&gt;""), 2) - COLUMN($AW$1) + 1
   ),
"")</f>
        <v>46082</v>
      </c>
      <c r="BN1788" s="55" cm="1">
        <f t="array" ref="BN1788">IFERROR(INDEX($AW$1:$BH$1,1,MATCH(2,1/(AW1788:BH1788&lt;&gt;""))),"")</f>
        <v>46113</v>
      </c>
      <c r="BO1788" s="53">
        <f ca="1">IFERROR(_xlfn.XLOOKUP(F1788,Apuração!A:A,Apuração!C:C)/_xlfn.XLOOKUP(F1788,Apuração!A:A,Apuração!B:B),0)</f>
        <v>0</v>
      </c>
      <c r="BP1788" s="53">
        <f ca="1">IFERROR(_xlfn.XLOOKUP(F1788,Apuração!A:A,Apuração!D:D)/_xlfn.XLOOKUP(F1788,Apuração!A:A,Apuração!B:B),0)</f>
        <v>0</v>
      </c>
      <c r="BQ1788" s="53">
        <f ca="1">IF(BK1788&gt;=BO1788,0,_xlfn.XLOOKUP(F1788,Apuração!A:A,Apuração!B:B)*(BO1788 + (1/_xlfn.XLOOKUP(F1788,Apuração!A:A,Apuração!B:B)) - BK1788))</f>
        <v>0</v>
      </c>
      <c r="BR1788" s="85">
        <f ca="1">IF(BQ1788=0,0,BQ1788*Z1788)</f>
        <v>0</v>
      </c>
      <c r="BS1788" s="53">
        <f ca="1">IFERROR((_xlfn.XLOOKUP(F1788,Apuração!A:A,Apuração!C:C)+1)/_xlfn.XLOOKUP(F1788,Apuração!A:A,Apuração!B:B),0)</f>
        <v>0.14285714285714285</v>
      </c>
    </row>
    <row r="1789" spans="1:71" ht="25.95" hidden="1" customHeight="1" x14ac:dyDescent="0.3">
      <c r="A1789" s="23" t="s">
        <v>134</v>
      </c>
      <c r="B1789" s="4" t="s">
        <v>167</v>
      </c>
      <c r="C1789" s="5" t="s">
        <v>214</v>
      </c>
      <c r="D1789" s="5" t="s">
        <v>210</v>
      </c>
      <c r="E1789" s="4" t="s">
        <v>61</v>
      </c>
      <c r="F1789" s="4" t="str" cm="1">
        <f t="array" ref="F1789">_xlfn.IFS(
AG1789 &lt;&gt; "", "Jan-Dez/26",
AH1789 &lt;&gt; "", "Fev-Dez/26",
AI1789 &lt;&gt; "", "Mar-Dez/26", AJ1789 &lt;&gt; "", "Abr-Dez/26",
TRUE, "A partir de Junho"
)</f>
        <v>A partir de Junho</v>
      </c>
      <c r="G1789" s="4" t="s">
        <v>62</v>
      </c>
      <c r="H1789" s="7" t="s">
        <v>38</v>
      </c>
      <c r="I1789" s="8" t="s">
        <v>171</v>
      </c>
      <c r="J1789" s="8" t="str" cm="1">
        <f t="array" aca="1" ref="J1789" ca="1">_xlfn.LET(
  _xlpm.actual_value_month, INDEX(T1789:AE1789, MATCH(DATE(YEAR(TODAY()), MONTH(TODAY()), 1), $T$1:$AE$1, 0)),
  IF(_xlpm.actual_value_month &lt;&gt; "",_xlpm.actual_value_month &amp; " colaboradores alcançados mensalmentes", "")
)</f>
        <v>314 colaboradores alcançados mensalmentes</v>
      </c>
      <c r="K1789" s="8" t="str" cm="1">
        <f t="array" ref="K1789">_xlfn.LET(
    _xlpm.sum_month, SUM(T1789:AE1789),
    IF(_xlpm.sum_month = 0, "", _xlpm.sum_month &amp; " colaboradores alcançados durante no ano")
)</f>
        <v>2826 colaboradores alcançados durante no ano</v>
      </c>
      <c r="L1789" s="9" t="s">
        <v>172</v>
      </c>
      <c r="M1789" s="24" t="s">
        <v>173</v>
      </c>
      <c r="N1789" s="5" t="s">
        <v>42</v>
      </c>
      <c r="O1789" s="5" t="s">
        <v>43</v>
      </c>
      <c r="P1789" s="10" t="s">
        <v>44</v>
      </c>
      <c r="Q1789" s="10" t="s">
        <v>72</v>
      </c>
      <c r="R1789" s="11" t="s">
        <v>66</v>
      </c>
      <c r="S1789" s="11" t="s">
        <v>67</v>
      </c>
      <c r="T1789" s="22"/>
      <c r="U1789" s="22"/>
      <c r="V1789" s="22"/>
      <c r="W1789" s="143">
        <v>314</v>
      </c>
      <c r="X1789" s="143">
        <v>314</v>
      </c>
      <c r="Y1789" s="143">
        <v>314</v>
      </c>
      <c r="Z1789" s="143">
        <v>314</v>
      </c>
      <c r="AA1789" s="143">
        <v>314</v>
      </c>
      <c r="AB1789" s="143">
        <v>314</v>
      </c>
      <c r="AC1789" s="143">
        <v>314</v>
      </c>
      <c r="AD1789" s="143">
        <v>314</v>
      </c>
      <c r="AE1789" s="143">
        <v>314</v>
      </c>
      <c r="AG1789" s="71"/>
      <c r="AH1789" s="71"/>
      <c r="AI1789" s="71"/>
      <c r="AJ1789" s="71"/>
      <c r="AK1789" s="71"/>
      <c r="AL1789" s="71"/>
      <c r="AM1789" s="71"/>
      <c r="AN1789" s="71"/>
      <c r="AO1789" s="71"/>
      <c r="AP1789" s="71"/>
      <c r="AQ1789" s="71"/>
      <c r="AR1789" s="71"/>
      <c r="AS1789" s="94">
        <f t="shared" ref="AS1789:AS1793" ca="1" si="2088">IF(MONTH(TODAY())=3,SUM(T1789:U1789),IF(MONTH(TODAY())=4,SUM(T1789:V1789),IF(MONTH(TODAY())=5,SUM(T1789:W1789),IF(MONTH(TODAY())=6,SUM(T1789:X1789),IF(MONTH(TODAY())=7,SUM(T1789:Y1789),IF(MONTH(TODAY())=8,SUM(T1789:Z1789),IF(MONTH(TODAY())=9,SUM(T1789:AA1789),IF(MONTH(TODAY())=10,SUM(T1789:AB1789),IF(MONTH(TODAY())=11,SUM(T1789:AC1789),IF(MONTH(TODAY())=12,SUM(T1789:AD1789),IF(MONTH(TODAY())=1,SUM(T1789:AE1789),T1789)))))))))))</f>
        <v>628</v>
      </c>
      <c r="AT1789" s="95">
        <f t="shared" ref="AT1789:AT1793" si="2089">SUM(IF(AW1789&lt;1.15,AG1789,1.15*T1789),IF(AX1789&lt;1.15,AH1789,1.15*U1789),IF(AY1789&lt;1.15,AI1789,1.15*V1789),IF(AZ1789&lt;1.15,AJ1789,1.15*W1789),IF(BA1789&lt;1.15,AK1789,1.15*X1789),IF(BB1789&lt;1.15,AL1789,1.15*Y1789),IF(BC1789&lt;1.15,AM1789,1.15*Z1789),IF(BD1789&lt;1.15,AN1789,1.15*AA1789),IF(BE1789&lt;1.15,AO1789,1.15*AB1789),IF(BF1789&lt;1.15,AP1789,1.15*AC1789),IF(BG1789&lt;1.15,AQ1789,1.15*AD1789),IF(BH1789&lt;1.15,AR1789,1.15*AE1789))</f>
        <v>0</v>
      </c>
      <c r="AU1789" s="97">
        <f t="shared" ref="AU1789:AU1793" si="2090">SUM(AG1789:AR1789)</f>
        <v>0</v>
      </c>
      <c r="AW1789" s="51">
        <f t="shared" ref="AW1789:AW1793" si="2091">IFERROR(IF(AG1789="",0,AG1789/T1789),0)</f>
        <v>0</v>
      </c>
      <c r="AX1789" s="51">
        <f t="shared" ref="AX1789:AX1793" si="2092">IFERROR(IF(AH1789="",0,AH1789/U1789),0)</f>
        <v>0</v>
      </c>
      <c r="AY1789" s="51">
        <f t="shared" ref="AY1789:AY1793" si="2093">IFERROR(IF(AI1789="",0,AI1789/V1789),0)</f>
        <v>0</v>
      </c>
      <c r="AZ1789" s="51">
        <f t="shared" ref="AZ1789:AZ1793" si="2094">IFERROR(IF(AJ1789="",0,AJ1789/W1789),0)</f>
        <v>0</v>
      </c>
      <c r="BA1789" s="51"/>
      <c r="BB1789" s="51"/>
      <c r="BC1789" s="51"/>
      <c r="BD1789" s="51"/>
      <c r="BE1789" s="51"/>
      <c r="BF1789" s="51"/>
      <c r="BG1789" s="51"/>
      <c r="BH1789" s="51"/>
      <c r="BI1789" s="65" cm="1">
        <f t="array" ref="BI1789">IFERROR(INDEX(AW1789:BH1789,1,MATCH(2,1/(AW1789:BH1789&lt;&gt;""))),"")</f>
        <v>0</v>
      </c>
      <c r="BJ1789" s="68" cm="1">
        <f t="array" ref="BJ1789">IF(BM1789 = "", "",IFERROR(INDEX(AW1789:BH1789,1,MATCH(2,1/(AW1789:BH1789&lt;&gt;""),1)-1),""))</f>
        <v>0</v>
      </c>
      <c r="BK1789" s="58">
        <f>IF((IF(AW1789&gt;=115%,115%,AW1789) + IF(AX1789&gt;=130%,130%,AX1789) + IF(AY1789&gt;=115%,115%,AY1789) + (IF(AZ1789&gt;=115%,115%,AZ1789) + IF(BA1789&gt;=115%,115%,BA1789) + IF(BB1789&gt;=115%,115%,BB1789) + IF(BC1789&gt;=115%,115%,BC1789) + IF(BD1789&gt;=115%,115%,BD1789) + IF(BE1789&gt;=115%,115%,BE1789) + IF(BF1789&gt;=115%,115%,BF1789) + IF(BG1789&gt;=115%,115%,BG1789) + IF(BH1789&gt;=115%,115%,BH1789)))/_xlfn.XLOOKUP(F1789,Apuração!A:A,Apuração!B:B)&gt;=1.15,1.15,((IF(AZ1789&gt;=115%,115%,AZ1789) + IF(AX1789&gt;=130%,130%,AX1789) + IF(AY1789&gt;=115%,115%,AY1789) + (IF(AW1789&gt;=115%,115%,AW1789) + IF(BA1789&gt;=115%,115%,BA1789) + IF(BB1789&gt;=115%,115%,BB1789) + IF(BC1789&gt;=115%,115%,BC1789) + IF(BD1789&gt;=115%,115%,BD1789) + IF(BE1789&gt;=115%,115%,BE1789) + IF(BF1789&gt;=115%,115%,BF1789) + IF(BG1789&gt;=115%,115%,BG1789) + IF(BH1789&gt;=115%,115%,BH1789)))/_xlfn.XLOOKUP(F1789,Apuração!A:A,Apuração!B:B)))</f>
        <v>0</v>
      </c>
      <c r="BL1789" s="58" cm="1">
        <f t="array" aca="1" ref="BL1789" ca="1">IF(SUM(IFERROR(IF(INDEX(AW1789:INDEX(AW1789:BH1789, MATCH(2, 1/(AW1789:BH1789&lt;&gt;""), 1)-1), ROW(INDIRECT("1:" &amp; MATCH(2, 1/(AW1789:BH1789&lt;&gt;""), 1)-1))) &gt;= 115%, 115%, INDEX(AW1789:INDEX(AW1789:BH1789, MATCH(2, 1/(AW1789:BH1789&lt;&gt;""), 1)-1), ROW(INDIRECT("1:" &amp; MATCH(2, 1/(AW1789:BH1789&lt;&gt;""), 1)-1)))), 0))/_xlfn.XLOOKUP(F1789,Apuração!A:A,Apuração!B:B)&gt;=1.15,1.15,SUM(IFERROR(IF(INDEX(AW1789:INDEX(AW1789:BH1789, MATCH(2, 1/(AW1789:BH1789&lt;&gt;""), 1)-1), ROW(INDIRECT("1:" &amp; MATCH(2, 1/(AW1789:BH1789&lt;&gt;""), 1)-1))) &gt;= 115%, 115%, INDEX(AW1789:INDEX(AW1789:BH1789, MATCH(2, 1/(AW1789:BH1789&lt;&gt;""), 1)-1), ROW(INDIRECT("1:" &amp; MATCH(2, 1/(AW1789:BH1789&lt;&gt;""), 1)-1)))), 0))/_xlfn.XLOOKUP(F1789,Apuração!A:A,Apuração!B:B))</f>
        <v>0</v>
      </c>
      <c r="BM1789" s="55" cm="1">
        <f t="array" ref="BM1789">IFERROR(
   INDEX($AW$1:$BH$1,
      _xlfn.AGGREGATE(14, 6, COLUMN($AW$1:$BH$1)/(AW1789:BH1789&lt;&gt;""), 2) - COLUMN($AW$1) + 1
   ),
"")</f>
        <v>46082</v>
      </c>
      <c r="BN1789" s="55" cm="1">
        <f t="array" ref="BN1789">IFERROR(INDEX($AW$1:$BH$1,1,MATCH(2,1/(AW1789:BH1789&lt;&gt;""))),"")</f>
        <v>46113</v>
      </c>
      <c r="BO1789" s="53">
        <f ca="1">IFERROR(_xlfn.XLOOKUP(F1789,Apuração!A:A,Apuração!C:C)/_xlfn.XLOOKUP(F1789,Apuração!A:A,Apuração!B:B),0)</f>
        <v>0</v>
      </c>
      <c r="BP1789" s="53">
        <f ca="1">IFERROR(_xlfn.XLOOKUP(F1789,Apuração!A:A,Apuração!D:D)/_xlfn.XLOOKUP(F1789,Apuração!A:A,Apuração!B:B),0)</f>
        <v>0</v>
      </c>
      <c r="BQ1789" s="53">
        <f ca="1">IF(BK1789&gt;=BO1789,0,_xlfn.XLOOKUP(F1789,Apuração!A:A,Apuração!B:B)*(BO1789 + (1/_xlfn.XLOOKUP(F1789,Apuração!A:A,Apuração!B:B)) - BK1789))</f>
        <v>0</v>
      </c>
      <c r="BR1789" s="85">
        <f t="shared" ref="BR1789:BR1793" ca="1" si="2095">IF(BQ1789=0,0,BQ1789*Z1789)</f>
        <v>0</v>
      </c>
      <c r="BS1789" s="53">
        <f ca="1">IFERROR((_xlfn.XLOOKUP(F1789,Apuração!A:A,Apuração!C:C)+1)/_xlfn.XLOOKUP(F1789,Apuração!A:A,Apuração!B:B),0)</f>
        <v>0.14285714285714285</v>
      </c>
    </row>
    <row r="1790" spans="1:71" ht="25.95" hidden="1" customHeight="1" x14ac:dyDescent="0.3">
      <c r="A1790" s="23" t="s">
        <v>134</v>
      </c>
      <c r="B1790" s="4" t="s">
        <v>167</v>
      </c>
      <c r="C1790" s="5" t="s">
        <v>214</v>
      </c>
      <c r="D1790" s="5" t="s">
        <v>215</v>
      </c>
      <c r="E1790" s="4" t="s">
        <v>61</v>
      </c>
      <c r="F1790" s="4" t="str" cm="1">
        <f t="array" ref="F1790">_xlfn.IFS(
AG1790 &lt;&gt; "", "Jan-Dez/26",
AH1790 &lt;&gt; "", "Fev-Dez/26",
AI1790 &lt;&gt; "", "Mar-Dez/26", AJ1790 &lt;&gt; "", "Abr-Dez/26",
TRUE, "A partir de Junho"
)</f>
        <v>A partir de Junho</v>
      </c>
      <c r="G1790" s="4" t="s">
        <v>62</v>
      </c>
      <c r="H1790" s="7" t="s">
        <v>38</v>
      </c>
      <c r="I1790" s="8" t="s">
        <v>171</v>
      </c>
      <c r="J1790" s="8" t="str" cm="1">
        <f t="array" aca="1" ref="J1790" ca="1">_xlfn.LET(
  _xlpm.actual_value_month, INDEX(T1790:AE1790, MATCH(DATE(YEAR(TODAY()), MONTH(TODAY()), 1), $T$1:$AE$1, 0)),
  IF(_xlpm.actual_value_month &lt;&gt; "",_xlpm.actual_value_month &amp; " colaboradores alcançados mensalmentes", "")
)</f>
        <v>1047 colaboradores alcançados mensalmentes</v>
      </c>
      <c r="K1790" s="8" t="str" cm="1">
        <f t="array" ref="K1790">_xlfn.LET(
    _xlpm.sum_month, SUM(T1790:AE1790),
    IF(_xlpm.sum_month = 0, "", _xlpm.sum_month &amp; " colaboradores alcançados durante no ano")
)</f>
        <v>9423 colaboradores alcançados durante no ano</v>
      </c>
      <c r="L1790" s="9" t="s">
        <v>172</v>
      </c>
      <c r="M1790" s="24" t="s">
        <v>173</v>
      </c>
      <c r="N1790" s="5" t="s">
        <v>42</v>
      </c>
      <c r="O1790" s="5" t="s">
        <v>43</v>
      </c>
      <c r="P1790" s="10" t="s">
        <v>44</v>
      </c>
      <c r="Q1790" s="10" t="s">
        <v>72</v>
      </c>
      <c r="R1790" s="11" t="s">
        <v>66</v>
      </c>
      <c r="S1790" s="11" t="s">
        <v>67</v>
      </c>
      <c r="T1790" s="22"/>
      <c r="U1790" s="22"/>
      <c r="V1790" s="22"/>
      <c r="W1790" s="22">
        <v>1047</v>
      </c>
      <c r="X1790" s="22">
        <v>1047</v>
      </c>
      <c r="Y1790" s="22">
        <v>1047</v>
      </c>
      <c r="Z1790" s="22">
        <v>1047</v>
      </c>
      <c r="AA1790" s="22">
        <v>1047</v>
      </c>
      <c r="AB1790" s="22">
        <v>1047</v>
      </c>
      <c r="AC1790" s="22">
        <v>1047</v>
      </c>
      <c r="AD1790" s="22">
        <v>1047</v>
      </c>
      <c r="AE1790" s="22">
        <v>1047</v>
      </c>
      <c r="AG1790" s="71"/>
      <c r="AH1790" s="71"/>
      <c r="AI1790" s="71"/>
      <c r="AJ1790" s="71"/>
      <c r="AK1790" s="71"/>
      <c r="AL1790" s="71"/>
      <c r="AM1790" s="71"/>
      <c r="AN1790" s="71"/>
      <c r="AO1790" s="71"/>
      <c r="AP1790" s="71"/>
      <c r="AQ1790" s="71"/>
      <c r="AR1790" s="71"/>
      <c r="AS1790" s="94">
        <f t="shared" ca="1" si="2088"/>
        <v>2094</v>
      </c>
      <c r="AT1790" s="95">
        <f t="shared" si="2089"/>
        <v>0</v>
      </c>
      <c r="AU1790" s="97">
        <f t="shared" si="2090"/>
        <v>0</v>
      </c>
      <c r="AW1790" s="51">
        <f t="shared" si="2091"/>
        <v>0</v>
      </c>
      <c r="AX1790" s="51">
        <f t="shared" si="2092"/>
        <v>0</v>
      </c>
      <c r="AY1790" s="51">
        <f t="shared" si="2093"/>
        <v>0</v>
      </c>
      <c r="AZ1790" s="51">
        <f t="shared" si="2094"/>
        <v>0</v>
      </c>
      <c r="BA1790" s="51"/>
      <c r="BB1790" s="51"/>
      <c r="BC1790" s="51"/>
      <c r="BD1790" s="51"/>
      <c r="BE1790" s="51"/>
      <c r="BF1790" s="51"/>
      <c r="BG1790" s="51"/>
      <c r="BH1790" s="51"/>
      <c r="BI1790" s="65" cm="1">
        <f t="array" ref="BI1790">IFERROR(INDEX(AW1790:BH1790,1,MATCH(2,1/(AW1790:BH1790&lt;&gt;""))),"")</f>
        <v>0</v>
      </c>
      <c r="BJ1790" s="68" cm="1">
        <f t="array" ref="BJ1790">IF(BM1790 = "", "",IFERROR(INDEX(AW1790:BH1790,1,MATCH(2,1/(AW1790:BH1790&lt;&gt;""),1)-1),""))</f>
        <v>0</v>
      </c>
      <c r="BK1790" s="58">
        <f>IF((IF(AW1790&gt;=115%,115%,AW1790) + IF(AX1790&gt;=130%,130%,AX1790) + IF(AY1790&gt;=115%,115%,AY1790) + (IF(AZ1790&gt;=115%,115%,AZ1790) + IF(BA1790&gt;=115%,115%,BA1790) + IF(BB1790&gt;=115%,115%,BB1790) + IF(BC1790&gt;=115%,115%,BC1790) + IF(BD1790&gt;=115%,115%,BD1790) + IF(BE1790&gt;=115%,115%,BE1790) + IF(BF1790&gt;=115%,115%,BF1790) + IF(BG1790&gt;=115%,115%,BG1790) + IF(BH1790&gt;=115%,115%,BH1790)))/_xlfn.XLOOKUP(F1790,Apuração!A:A,Apuração!B:B)&gt;=1.15,1.15,((IF(AZ1790&gt;=115%,115%,AZ1790) + IF(AX1790&gt;=130%,130%,AX1790) + IF(AY1790&gt;=115%,115%,AY1790) + (IF(AW1790&gt;=115%,115%,AW1790) + IF(BA1790&gt;=115%,115%,BA1790) + IF(BB1790&gt;=115%,115%,BB1790) + IF(BC1790&gt;=115%,115%,BC1790) + IF(BD1790&gt;=115%,115%,BD1790) + IF(BE1790&gt;=115%,115%,BE1790) + IF(BF1790&gt;=115%,115%,BF1790) + IF(BG1790&gt;=115%,115%,BG1790) + IF(BH1790&gt;=115%,115%,BH1790)))/_xlfn.XLOOKUP(F1790,Apuração!A:A,Apuração!B:B)))</f>
        <v>0</v>
      </c>
      <c r="BL1790" s="58" cm="1">
        <f t="array" aca="1" ref="BL1790" ca="1">IF(SUM(IFERROR(IF(INDEX(AW1790:INDEX(AW1790:BH1790, MATCH(2, 1/(AW1790:BH1790&lt;&gt;""), 1)-1), ROW(INDIRECT("1:" &amp; MATCH(2, 1/(AW1790:BH1790&lt;&gt;""), 1)-1))) &gt;= 115%, 115%, INDEX(AW1790:INDEX(AW1790:BH1790, MATCH(2, 1/(AW1790:BH1790&lt;&gt;""), 1)-1), ROW(INDIRECT("1:" &amp; MATCH(2, 1/(AW1790:BH1790&lt;&gt;""), 1)-1)))), 0))/_xlfn.XLOOKUP(F1790,Apuração!A:A,Apuração!B:B)&gt;=1.15,1.15,SUM(IFERROR(IF(INDEX(AW1790:INDEX(AW1790:BH1790, MATCH(2, 1/(AW1790:BH1790&lt;&gt;""), 1)-1), ROW(INDIRECT("1:" &amp; MATCH(2, 1/(AW1790:BH1790&lt;&gt;""), 1)-1))) &gt;= 115%, 115%, INDEX(AW1790:INDEX(AW1790:BH1790, MATCH(2, 1/(AW1790:BH1790&lt;&gt;""), 1)-1), ROW(INDIRECT("1:" &amp; MATCH(2, 1/(AW1790:BH1790&lt;&gt;""), 1)-1)))), 0))/_xlfn.XLOOKUP(F1790,Apuração!A:A,Apuração!B:B))</f>
        <v>0</v>
      </c>
      <c r="BM1790" s="55" cm="1">
        <f t="array" ref="BM1790">IFERROR(
   INDEX($AW$1:$BH$1,
      _xlfn.AGGREGATE(14, 6, COLUMN($AW$1:$BH$1)/(AW1790:BH1790&lt;&gt;""), 2) - COLUMN($AW$1) + 1
   ),
"")</f>
        <v>46082</v>
      </c>
      <c r="BN1790" s="55" cm="1">
        <f t="array" ref="BN1790">IFERROR(INDEX($AW$1:$BH$1,1,MATCH(2,1/(AW1790:BH1790&lt;&gt;""))),"")</f>
        <v>46113</v>
      </c>
      <c r="BO1790" s="53">
        <f ca="1">IFERROR(_xlfn.XLOOKUP(F1790,Apuração!A:A,Apuração!C:C)/_xlfn.XLOOKUP(F1790,Apuração!A:A,Apuração!B:B),0)</f>
        <v>0</v>
      </c>
      <c r="BP1790" s="53">
        <f ca="1">IFERROR(_xlfn.XLOOKUP(F1790,Apuração!A:A,Apuração!D:D)/_xlfn.XLOOKUP(F1790,Apuração!A:A,Apuração!B:B),0)</f>
        <v>0</v>
      </c>
      <c r="BQ1790" s="53">
        <f ca="1">IF(BK1790&gt;=BO1790,0,_xlfn.XLOOKUP(F1790,Apuração!A:A,Apuração!B:B)*(BO1790 + (1/_xlfn.XLOOKUP(F1790,Apuração!A:A,Apuração!B:B)) - BK1790))</f>
        <v>0</v>
      </c>
      <c r="BR1790" s="85">
        <f t="shared" ca="1" si="2095"/>
        <v>0</v>
      </c>
      <c r="BS1790" s="53">
        <f ca="1">IFERROR((_xlfn.XLOOKUP(F1790,Apuração!A:A,Apuração!C:C)+1)/_xlfn.XLOOKUP(F1790,Apuração!A:A,Apuração!B:B),0)</f>
        <v>0.14285714285714285</v>
      </c>
    </row>
    <row r="1791" spans="1:71" ht="25.95" hidden="1" customHeight="1" x14ac:dyDescent="0.3">
      <c r="A1791" s="23" t="s">
        <v>134</v>
      </c>
      <c r="B1791" s="4" t="s">
        <v>167</v>
      </c>
      <c r="C1791" s="5" t="s">
        <v>214</v>
      </c>
      <c r="D1791" s="5" t="s">
        <v>212</v>
      </c>
      <c r="E1791" s="4" t="s">
        <v>61</v>
      </c>
      <c r="F1791" s="4" t="str" cm="1">
        <f t="array" ref="F1791">_xlfn.IFS(
AG1791 &lt;&gt; "", "Jan-Dez/26",
AH1791 &lt;&gt; "", "Fev-Dez/26",
AI1791 &lt;&gt; "", "Mar-Dez/26", AJ1791 &lt;&gt; "", "Abr-Dez/26",
TRUE, "A partir de Junho"
)</f>
        <v>A partir de Junho</v>
      </c>
      <c r="G1791" s="4" t="s">
        <v>62</v>
      </c>
      <c r="H1791" s="7" t="s">
        <v>38</v>
      </c>
      <c r="I1791" s="8" t="s">
        <v>171</v>
      </c>
      <c r="J1791" s="8" t="str" cm="1">
        <f t="array" aca="1" ref="J1791" ca="1">_xlfn.LET(
  _xlpm.actual_value_month, INDEX(T1791:AE1791, MATCH(DATE(YEAR(TODAY()), MONTH(TODAY()), 1), $T$1:$AE$1, 0)),
  IF(_xlpm.actual_value_month &lt;&gt; "",_xlpm.actual_value_month &amp; " colaboradores alcançados mensalmentes", "")
)</f>
        <v>1523 colaboradores alcançados mensalmentes</v>
      </c>
      <c r="K1791" s="8" t="str" cm="1">
        <f t="array" ref="K1791">_xlfn.LET(
    _xlpm.sum_month, SUM(T1791:AE1791),
    IF(_xlpm.sum_month = 0, "", _xlpm.sum_month &amp; " colaboradores alcançados durante no ano")
)</f>
        <v>13707 colaboradores alcançados durante no ano</v>
      </c>
      <c r="L1791" s="9" t="s">
        <v>172</v>
      </c>
      <c r="M1791" s="24" t="s">
        <v>173</v>
      </c>
      <c r="N1791" s="5" t="s">
        <v>42</v>
      </c>
      <c r="O1791" s="5" t="s">
        <v>43</v>
      </c>
      <c r="P1791" s="10" t="s">
        <v>44</v>
      </c>
      <c r="Q1791" s="10" t="s">
        <v>72</v>
      </c>
      <c r="R1791" s="11" t="s">
        <v>66</v>
      </c>
      <c r="S1791" s="11" t="s">
        <v>67</v>
      </c>
      <c r="T1791" s="22"/>
      <c r="U1791" s="22"/>
      <c r="V1791" s="22"/>
      <c r="W1791" s="22">
        <v>1523</v>
      </c>
      <c r="X1791" s="22">
        <v>1523</v>
      </c>
      <c r="Y1791" s="22">
        <v>1523</v>
      </c>
      <c r="Z1791" s="22">
        <v>1523</v>
      </c>
      <c r="AA1791" s="22">
        <v>1523</v>
      </c>
      <c r="AB1791" s="22">
        <v>1523</v>
      </c>
      <c r="AC1791" s="22">
        <v>1523</v>
      </c>
      <c r="AD1791" s="22">
        <v>1523</v>
      </c>
      <c r="AE1791" s="22">
        <v>1523</v>
      </c>
      <c r="AG1791" s="71"/>
      <c r="AH1791" s="71"/>
      <c r="AI1791" s="71"/>
      <c r="AJ1791" s="71"/>
      <c r="AK1791" s="71"/>
      <c r="AL1791" s="71"/>
      <c r="AM1791" s="71"/>
      <c r="AN1791" s="71"/>
      <c r="AO1791" s="71"/>
      <c r="AP1791" s="71"/>
      <c r="AQ1791" s="71"/>
      <c r="AR1791" s="71"/>
      <c r="AS1791" s="94">
        <f t="shared" ca="1" si="2088"/>
        <v>3046</v>
      </c>
      <c r="AT1791" s="95">
        <f t="shared" si="2089"/>
        <v>0</v>
      </c>
      <c r="AU1791" s="97">
        <f t="shared" si="2090"/>
        <v>0</v>
      </c>
      <c r="AW1791" s="51">
        <f t="shared" si="2091"/>
        <v>0</v>
      </c>
      <c r="AX1791" s="51">
        <f t="shared" si="2092"/>
        <v>0</v>
      </c>
      <c r="AY1791" s="51">
        <f t="shared" si="2093"/>
        <v>0</v>
      </c>
      <c r="AZ1791" s="51">
        <f t="shared" si="2094"/>
        <v>0</v>
      </c>
      <c r="BA1791" s="51"/>
      <c r="BB1791" s="51"/>
      <c r="BC1791" s="51"/>
      <c r="BD1791" s="51"/>
      <c r="BE1791" s="51"/>
      <c r="BF1791" s="51"/>
      <c r="BG1791" s="51"/>
      <c r="BH1791" s="51"/>
      <c r="BI1791" s="65" cm="1">
        <f t="array" ref="BI1791">IFERROR(INDEX(AW1791:BH1791,1,MATCH(2,1/(AW1791:BH1791&lt;&gt;""))),"")</f>
        <v>0</v>
      </c>
      <c r="BJ1791" s="68" cm="1">
        <f t="array" ref="BJ1791">IF(BM1791 = "", "",IFERROR(INDEX(AW1791:BH1791,1,MATCH(2,1/(AW1791:BH1791&lt;&gt;""),1)-1),""))</f>
        <v>0</v>
      </c>
      <c r="BK1791" s="58">
        <f>IF((IF(AW1791&gt;=115%,115%,AW1791) + IF(AX1791&gt;=130%,130%,AX1791) + IF(AY1791&gt;=115%,115%,AY1791) + (IF(AZ1791&gt;=115%,115%,AZ1791) + IF(BA1791&gt;=115%,115%,BA1791) + IF(BB1791&gt;=115%,115%,BB1791) + IF(BC1791&gt;=115%,115%,BC1791) + IF(BD1791&gt;=115%,115%,BD1791) + IF(BE1791&gt;=115%,115%,BE1791) + IF(BF1791&gt;=115%,115%,BF1791) + IF(BG1791&gt;=115%,115%,BG1791) + IF(BH1791&gt;=115%,115%,BH1791)))/_xlfn.XLOOKUP(F1791,Apuração!A:A,Apuração!B:B)&gt;=1.15,1.15,((IF(AZ1791&gt;=115%,115%,AZ1791) + IF(AX1791&gt;=130%,130%,AX1791) + IF(AY1791&gt;=115%,115%,AY1791) + (IF(AW1791&gt;=115%,115%,AW1791) + IF(BA1791&gt;=115%,115%,BA1791) + IF(BB1791&gt;=115%,115%,BB1791) + IF(BC1791&gt;=115%,115%,BC1791) + IF(BD1791&gt;=115%,115%,BD1791) + IF(BE1791&gt;=115%,115%,BE1791) + IF(BF1791&gt;=115%,115%,BF1791) + IF(BG1791&gt;=115%,115%,BG1791) + IF(BH1791&gt;=115%,115%,BH1791)))/_xlfn.XLOOKUP(F1791,Apuração!A:A,Apuração!B:B)))</f>
        <v>0</v>
      </c>
      <c r="BL1791" s="58" cm="1">
        <f t="array" aca="1" ref="BL1791" ca="1">IF(SUM(IFERROR(IF(INDEX(AW1791:INDEX(AW1791:BH1791, MATCH(2, 1/(AW1791:BH1791&lt;&gt;""), 1)-1), ROW(INDIRECT("1:" &amp; MATCH(2, 1/(AW1791:BH1791&lt;&gt;""), 1)-1))) &gt;= 115%, 115%, INDEX(AW1791:INDEX(AW1791:BH1791, MATCH(2, 1/(AW1791:BH1791&lt;&gt;""), 1)-1), ROW(INDIRECT("1:" &amp; MATCH(2, 1/(AW1791:BH1791&lt;&gt;""), 1)-1)))), 0))/_xlfn.XLOOKUP(F1791,Apuração!A:A,Apuração!B:B)&gt;=1.15,1.15,SUM(IFERROR(IF(INDEX(AW1791:INDEX(AW1791:BH1791, MATCH(2, 1/(AW1791:BH1791&lt;&gt;""), 1)-1), ROW(INDIRECT("1:" &amp; MATCH(2, 1/(AW1791:BH1791&lt;&gt;""), 1)-1))) &gt;= 115%, 115%, INDEX(AW1791:INDEX(AW1791:BH1791, MATCH(2, 1/(AW1791:BH1791&lt;&gt;""), 1)-1), ROW(INDIRECT("1:" &amp; MATCH(2, 1/(AW1791:BH1791&lt;&gt;""), 1)-1)))), 0))/_xlfn.XLOOKUP(F1791,Apuração!A:A,Apuração!B:B))</f>
        <v>0</v>
      </c>
      <c r="BM1791" s="55" cm="1">
        <f t="array" ref="BM1791">IFERROR(
   INDEX($AW$1:$BH$1,
      _xlfn.AGGREGATE(14, 6, COLUMN($AW$1:$BH$1)/(AW1791:BH1791&lt;&gt;""), 2) - COLUMN($AW$1) + 1
   ),
"")</f>
        <v>46082</v>
      </c>
      <c r="BN1791" s="55" cm="1">
        <f t="array" ref="BN1791">IFERROR(INDEX($AW$1:$BH$1,1,MATCH(2,1/(AW1791:BH1791&lt;&gt;""))),"")</f>
        <v>46113</v>
      </c>
      <c r="BO1791" s="53">
        <f ca="1">IFERROR(_xlfn.XLOOKUP(F1791,Apuração!A:A,Apuração!C:C)/_xlfn.XLOOKUP(F1791,Apuração!A:A,Apuração!B:B),0)</f>
        <v>0</v>
      </c>
      <c r="BP1791" s="53">
        <f ca="1">IFERROR(_xlfn.XLOOKUP(F1791,Apuração!A:A,Apuração!D:D)/_xlfn.XLOOKUP(F1791,Apuração!A:A,Apuração!B:B),0)</f>
        <v>0</v>
      </c>
      <c r="BQ1791" s="53">
        <f ca="1">IF(BK1791&gt;=BO1791,0,_xlfn.XLOOKUP(F1791,Apuração!A:A,Apuração!B:B)*(BO1791 + (1/_xlfn.XLOOKUP(F1791,Apuração!A:A,Apuração!B:B)) - BK1791))</f>
        <v>0</v>
      </c>
      <c r="BR1791" s="85">
        <f t="shared" ca="1" si="2095"/>
        <v>0</v>
      </c>
      <c r="BS1791" s="53">
        <f ca="1">IFERROR((_xlfn.XLOOKUP(F1791,Apuração!A:A,Apuração!C:C)+1)/_xlfn.XLOOKUP(F1791,Apuração!A:A,Apuração!B:B),0)</f>
        <v>0.14285714285714285</v>
      </c>
    </row>
    <row r="1792" spans="1:71" ht="25.95" hidden="1" customHeight="1" x14ac:dyDescent="0.3">
      <c r="A1792" s="23" t="s">
        <v>134</v>
      </c>
      <c r="B1792" s="4" t="s">
        <v>167</v>
      </c>
      <c r="C1792" s="5" t="s">
        <v>214</v>
      </c>
      <c r="D1792" s="5" t="s">
        <v>48</v>
      </c>
      <c r="E1792" s="4" t="s">
        <v>61</v>
      </c>
      <c r="F1792" s="4" t="str" cm="1">
        <f t="array" ref="F1792">_xlfn.IFS(
AG1792 &lt;&gt; "", "Jan-Dez/26",
AH1792 &lt;&gt; "", "Fev-Dez/26",
AI1792 &lt;&gt; "", "Mar-Dez/26", AJ1792 &lt;&gt; "", "Abr-Dez/26",
TRUE, "A partir de Junho"
)</f>
        <v>A partir de Junho</v>
      </c>
      <c r="G1792" s="4" t="s">
        <v>62</v>
      </c>
      <c r="H1792" s="7" t="s">
        <v>38</v>
      </c>
      <c r="I1792" s="8" t="s">
        <v>171</v>
      </c>
      <c r="J1792" s="8" t="str" cm="1">
        <f t="array" aca="1" ref="J1792" ca="1">_xlfn.LET(
  _xlpm.actual_value_month, INDEX(T1792:AE1792, MATCH(DATE(YEAR(TODAY()), MONTH(TODAY()), 1), $T$1:$AE$1, 0)),
  IF(_xlpm.actual_value_month &lt;&gt; "",_xlpm.actual_value_month &amp; " colaboradores alcançados mensalmentes", "")
)</f>
        <v>745 colaboradores alcançados mensalmentes</v>
      </c>
      <c r="K1792" s="8" t="str" cm="1">
        <f t="array" ref="K1792">_xlfn.LET(
    _xlpm.sum_month, SUM(T1792:AE1792),
    IF(_xlpm.sum_month = 0, "", _xlpm.sum_month &amp; " colaboradores alcançados durante no ano")
)</f>
        <v>6705 colaboradores alcançados durante no ano</v>
      </c>
      <c r="L1792" s="9" t="s">
        <v>172</v>
      </c>
      <c r="M1792" s="24" t="s">
        <v>173</v>
      </c>
      <c r="N1792" s="5" t="s">
        <v>42</v>
      </c>
      <c r="O1792" s="5" t="s">
        <v>43</v>
      </c>
      <c r="P1792" s="10" t="s">
        <v>44</v>
      </c>
      <c r="Q1792" s="10" t="s">
        <v>72</v>
      </c>
      <c r="R1792" s="11" t="s">
        <v>66</v>
      </c>
      <c r="S1792" s="11" t="s">
        <v>67</v>
      </c>
      <c r="T1792" s="22"/>
      <c r="U1792" s="22"/>
      <c r="V1792" s="22"/>
      <c r="W1792" s="143">
        <v>745</v>
      </c>
      <c r="X1792" s="143">
        <v>745</v>
      </c>
      <c r="Y1792" s="143">
        <v>745</v>
      </c>
      <c r="Z1792" s="143">
        <v>745</v>
      </c>
      <c r="AA1792" s="143">
        <v>745</v>
      </c>
      <c r="AB1792" s="143">
        <v>745</v>
      </c>
      <c r="AC1792" s="143">
        <v>745</v>
      </c>
      <c r="AD1792" s="143">
        <v>745</v>
      </c>
      <c r="AE1792" s="143">
        <v>745</v>
      </c>
      <c r="AG1792" s="71"/>
      <c r="AH1792" s="71"/>
      <c r="AI1792" s="71"/>
      <c r="AJ1792" s="71"/>
      <c r="AK1792" s="71"/>
      <c r="AL1792" s="71"/>
      <c r="AM1792" s="71"/>
      <c r="AN1792" s="71"/>
      <c r="AO1792" s="71"/>
      <c r="AP1792" s="71"/>
      <c r="AQ1792" s="71"/>
      <c r="AR1792" s="71"/>
      <c r="AS1792" s="94">
        <f t="shared" ca="1" si="2088"/>
        <v>1490</v>
      </c>
      <c r="AT1792" s="95">
        <f t="shared" si="2089"/>
        <v>0</v>
      </c>
      <c r="AU1792" s="97">
        <f t="shared" si="2090"/>
        <v>0</v>
      </c>
      <c r="AW1792" s="51">
        <f t="shared" si="2091"/>
        <v>0</v>
      </c>
      <c r="AX1792" s="51">
        <f t="shared" si="2092"/>
        <v>0</v>
      </c>
      <c r="AY1792" s="51">
        <f t="shared" si="2093"/>
        <v>0</v>
      </c>
      <c r="AZ1792" s="51">
        <f t="shared" si="2094"/>
        <v>0</v>
      </c>
      <c r="BA1792" s="51"/>
      <c r="BB1792" s="51"/>
      <c r="BC1792" s="51"/>
      <c r="BD1792" s="51"/>
      <c r="BE1792" s="51"/>
      <c r="BF1792" s="51"/>
      <c r="BG1792" s="51"/>
      <c r="BH1792" s="51"/>
      <c r="BI1792" s="65" cm="1">
        <f t="array" ref="BI1792">IFERROR(INDEX(AW1792:BH1792,1,MATCH(2,1/(AW1792:BH1792&lt;&gt;""))),"")</f>
        <v>0</v>
      </c>
      <c r="BJ1792" s="68" cm="1">
        <f t="array" ref="BJ1792">IF(BM1792 = "", "",IFERROR(INDEX(AW1792:BH1792,1,MATCH(2,1/(AW1792:BH1792&lt;&gt;""),1)-1),""))</f>
        <v>0</v>
      </c>
      <c r="BK1792" s="58">
        <f>IF((IF(AW1792&gt;=115%,115%,AW1792) + IF(AX1792&gt;=130%,130%,AX1792) + IF(AY1792&gt;=115%,115%,AY1792) + (IF(AZ1792&gt;=115%,115%,AZ1792) + IF(BA1792&gt;=115%,115%,BA1792) + IF(BB1792&gt;=115%,115%,BB1792) + IF(BC1792&gt;=115%,115%,BC1792) + IF(BD1792&gt;=115%,115%,BD1792) + IF(BE1792&gt;=115%,115%,BE1792) + IF(BF1792&gt;=115%,115%,BF1792) + IF(BG1792&gt;=115%,115%,BG1792) + IF(BH1792&gt;=115%,115%,BH1792)))/_xlfn.XLOOKUP(F1792,Apuração!A:A,Apuração!B:B)&gt;=1.15,1.15,((IF(AZ1792&gt;=115%,115%,AZ1792) + IF(AX1792&gt;=130%,130%,AX1792) + IF(AY1792&gt;=115%,115%,AY1792) + (IF(AW1792&gt;=115%,115%,AW1792) + IF(BA1792&gt;=115%,115%,BA1792) + IF(BB1792&gt;=115%,115%,BB1792) + IF(BC1792&gt;=115%,115%,BC1792) + IF(BD1792&gt;=115%,115%,BD1792) + IF(BE1792&gt;=115%,115%,BE1792) + IF(BF1792&gt;=115%,115%,BF1792) + IF(BG1792&gt;=115%,115%,BG1792) + IF(BH1792&gt;=115%,115%,BH1792)))/_xlfn.XLOOKUP(F1792,Apuração!A:A,Apuração!B:B)))</f>
        <v>0</v>
      </c>
      <c r="BL1792" s="58" cm="1">
        <f t="array" aca="1" ref="BL1792" ca="1">IF(SUM(IFERROR(IF(INDEX(AW1792:INDEX(AW1792:BH1792, MATCH(2, 1/(AW1792:BH1792&lt;&gt;""), 1)-1), ROW(INDIRECT("1:" &amp; MATCH(2, 1/(AW1792:BH1792&lt;&gt;""), 1)-1))) &gt;= 115%, 115%, INDEX(AW1792:INDEX(AW1792:BH1792, MATCH(2, 1/(AW1792:BH1792&lt;&gt;""), 1)-1), ROW(INDIRECT("1:" &amp; MATCH(2, 1/(AW1792:BH1792&lt;&gt;""), 1)-1)))), 0))/_xlfn.XLOOKUP(F1792,Apuração!A:A,Apuração!B:B)&gt;=1.15,1.15,SUM(IFERROR(IF(INDEX(AW1792:INDEX(AW1792:BH1792, MATCH(2, 1/(AW1792:BH1792&lt;&gt;""), 1)-1), ROW(INDIRECT("1:" &amp; MATCH(2, 1/(AW1792:BH1792&lt;&gt;""), 1)-1))) &gt;= 115%, 115%, INDEX(AW1792:INDEX(AW1792:BH1792, MATCH(2, 1/(AW1792:BH1792&lt;&gt;""), 1)-1), ROW(INDIRECT("1:" &amp; MATCH(2, 1/(AW1792:BH1792&lt;&gt;""), 1)-1)))), 0))/_xlfn.XLOOKUP(F1792,Apuração!A:A,Apuração!B:B))</f>
        <v>0</v>
      </c>
      <c r="BM1792" s="55" cm="1">
        <f t="array" ref="BM1792">IFERROR(
   INDEX($AW$1:$BH$1,
      _xlfn.AGGREGATE(14, 6, COLUMN($AW$1:$BH$1)/(AW1792:BH1792&lt;&gt;""), 2) - COLUMN($AW$1) + 1
   ),
"")</f>
        <v>46082</v>
      </c>
      <c r="BN1792" s="55" cm="1">
        <f t="array" ref="BN1792">IFERROR(INDEX($AW$1:$BH$1,1,MATCH(2,1/(AW1792:BH1792&lt;&gt;""))),"")</f>
        <v>46113</v>
      </c>
      <c r="BO1792" s="53">
        <f ca="1">IFERROR(_xlfn.XLOOKUP(F1792,Apuração!A:A,Apuração!C:C)/_xlfn.XLOOKUP(F1792,Apuração!A:A,Apuração!B:B),0)</f>
        <v>0</v>
      </c>
      <c r="BP1792" s="53">
        <f ca="1">IFERROR(_xlfn.XLOOKUP(F1792,Apuração!A:A,Apuração!D:D)/_xlfn.XLOOKUP(F1792,Apuração!A:A,Apuração!B:B),0)</f>
        <v>0</v>
      </c>
      <c r="BQ1792" s="53">
        <f ca="1">IF(BK1792&gt;=BO1792,0,_xlfn.XLOOKUP(F1792,Apuração!A:A,Apuração!B:B)*(BO1792 + (1/_xlfn.XLOOKUP(F1792,Apuração!A:A,Apuração!B:B)) - BK1792))</f>
        <v>0</v>
      </c>
      <c r="BR1792" s="85">
        <f t="shared" ca="1" si="2095"/>
        <v>0</v>
      </c>
      <c r="BS1792" s="53">
        <f ca="1">IFERROR((_xlfn.XLOOKUP(F1792,Apuração!A:A,Apuração!C:C)+1)/_xlfn.XLOOKUP(F1792,Apuração!A:A,Apuração!B:B),0)</f>
        <v>0.14285714285714285</v>
      </c>
    </row>
    <row r="1793" spans="1:71" ht="25.95" hidden="1" customHeight="1" x14ac:dyDescent="0.3">
      <c r="A1793" s="23" t="s">
        <v>134</v>
      </c>
      <c r="B1793" s="4" t="s">
        <v>167</v>
      </c>
      <c r="C1793" s="5" t="s">
        <v>214</v>
      </c>
      <c r="D1793" s="5" t="s">
        <v>213</v>
      </c>
      <c r="E1793" s="4" t="s">
        <v>61</v>
      </c>
      <c r="F1793" s="4" t="str" cm="1">
        <f t="array" ref="F1793">_xlfn.IFS(
AG1793 &lt;&gt; "", "Jan-Dez/26",
AH1793 &lt;&gt; "", "Fev-Dez/26",
AI1793 &lt;&gt; "", "Mar-Dez/26", AJ1793 &lt;&gt; "", "Abr-Dez/26",
TRUE, "A partir de Junho"
)</f>
        <v>A partir de Junho</v>
      </c>
      <c r="G1793" s="4" t="s">
        <v>62</v>
      </c>
      <c r="H1793" s="7" t="s">
        <v>38</v>
      </c>
      <c r="I1793" s="8" t="s">
        <v>171</v>
      </c>
      <c r="J1793" s="8" t="str" cm="1">
        <f t="array" aca="1" ref="J1793" ca="1">_xlfn.LET(
  _xlpm.actual_value_month, INDEX(T1793:AE1793, MATCH(DATE(YEAR(TODAY()), MONTH(TODAY()), 1), $T$1:$AE$1, 0)),
  IF(_xlpm.actual_value_month &lt;&gt; "",_xlpm.actual_value_month &amp; " colaboradores alcançados mensalmentes", "")
)</f>
        <v>1361 colaboradores alcançados mensalmentes</v>
      </c>
      <c r="K1793" s="8" t="str" cm="1">
        <f t="array" ref="K1793">_xlfn.LET(
    _xlpm.sum_month, SUM(T1793:AE1793),
    IF(_xlpm.sum_month = 0, "", _xlpm.sum_month &amp; " colaboradores alcançados durante no ano")
)</f>
        <v>12249 colaboradores alcançados durante no ano</v>
      </c>
      <c r="L1793" s="9" t="s">
        <v>172</v>
      </c>
      <c r="M1793" s="24" t="s">
        <v>173</v>
      </c>
      <c r="N1793" s="5" t="s">
        <v>42</v>
      </c>
      <c r="O1793" s="5" t="s">
        <v>43</v>
      </c>
      <c r="P1793" s="10" t="s">
        <v>44</v>
      </c>
      <c r="Q1793" s="10" t="s">
        <v>72</v>
      </c>
      <c r="R1793" s="11" t="s">
        <v>66</v>
      </c>
      <c r="S1793" s="11" t="s">
        <v>67</v>
      </c>
      <c r="T1793" s="22"/>
      <c r="U1793" s="22"/>
      <c r="V1793" s="22"/>
      <c r="W1793" s="22">
        <v>1361</v>
      </c>
      <c r="X1793" s="22">
        <v>1361</v>
      </c>
      <c r="Y1793" s="22">
        <v>1361</v>
      </c>
      <c r="Z1793" s="22">
        <v>1361</v>
      </c>
      <c r="AA1793" s="22">
        <v>1361</v>
      </c>
      <c r="AB1793" s="22">
        <v>1361</v>
      </c>
      <c r="AC1793" s="22">
        <v>1361</v>
      </c>
      <c r="AD1793" s="22">
        <v>1361</v>
      </c>
      <c r="AE1793" s="22">
        <v>1361</v>
      </c>
      <c r="AG1793" s="71"/>
      <c r="AH1793" s="71"/>
      <c r="AI1793" s="71"/>
      <c r="AJ1793" s="71"/>
      <c r="AK1793" s="71"/>
      <c r="AL1793" s="71"/>
      <c r="AM1793" s="71"/>
      <c r="AN1793" s="71"/>
      <c r="AO1793" s="71"/>
      <c r="AP1793" s="71"/>
      <c r="AQ1793" s="71"/>
      <c r="AR1793" s="71"/>
      <c r="AS1793" s="94">
        <f t="shared" ca="1" si="2088"/>
        <v>2722</v>
      </c>
      <c r="AT1793" s="95">
        <f t="shared" si="2089"/>
        <v>0</v>
      </c>
      <c r="AU1793" s="97">
        <f t="shared" si="2090"/>
        <v>0</v>
      </c>
      <c r="AW1793" s="51">
        <f t="shared" si="2091"/>
        <v>0</v>
      </c>
      <c r="AX1793" s="51">
        <f t="shared" si="2092"/>
        <v>0</v>
      </c>
      <c r="AY1793" s="51">
        <f t="shared" si="2093"/>
        <v>0</v>
      </c>
      <c r="AZ1793" s="51">
        <f t="shared" si="2094"/>
        <v>0</v>
      </c>
      <c r="BA1793" s="51"/>
      <c r="BB1793" s="51"/>
      <c r="BC1793" s="51"/>
      <c r="BD1793" s="51"/>
      <c r="BE1793" s="51"/>
      <c r="BF1793" s="51"/>
      <c r="BG1793" s="51"/>
      <c r="BH1793" s="51"/>
      <c r="BI1793" s="65" cm="1">
        <f t="array" ref="BI1793">IFERROR(INDEX(AW1793:BH1793,1,MATCH(2,1/(AW1793:BH1793&lt;&gt;""))),"")</f>
        <v>0</v>
      </c>
      <c r="BJ1793" s="68" cm="1">
        <f t="array" ref="BJ1793">IF(BM1793 = "", "",IFERROR(INDEX(AW1793:BH1793,1,MATCH(2,1/(AW1793:BH1793&lt;&gt;""),1)-1),""))</f>
        <v>0</v>
      </c>
      <c r="BK1793" s="58">
        <f>IF((IF(AW1793&gt;=115%,115%,AW1793) + IF(AX1793&gt;=130%,130%,AX1793) + IF(AY1793&gt;=115%,115%,AY1793) + (IF(AZ1793&gt;=115%,115%,AZ1793) + IF(BA1793&gt;=115%,115%,BA1793) + IF(BB1793&gt;=115%,115%,BB1793) + IF(BC1793&gt;=115%,115%,BC1793) + IF(BD1793&gt;=115%,115%,BD1793) + IF(BE1793&gt;=115%,115%,BE1793) + IF(BF1793&gt;=115%,115%,BF1793) + IF(BG1793&gt;=115%,115%,BG1793) + IF(BH1793&gt;=115%,115%,BH1793)))/_xlfn.XLOOKUP(F1793,Apuração!A:A,Apuração!B:B)&gt;=1.15,1.15,((IF(AZ1793&gt;=115%,115%,AZ1793) + IF(AX1793&gt;=130%,130%,AX1793) + IF(AY1793&gt;=115%,115%,AY1793) + (IF(AW1793&gt;=115%,115%,AW1793) + IF(BA1793&gt;=115%,115%,BA1793) + IF(BB1793&gt;=115%,115%,BB1793) + IF(BC1793&gt;=115%,115%,BC1793) + IF(BD1793&gt;=115%,115%,BD1793) + IF(BE1793&gt;=115%,115%,BE1793) + IF(BF1793&gt;=115%,115%,BF1793) + IF(BG1793&gt;=115%,115%,BG1793) + IF(BH1793&gt;=115%,115%,BH1793)))/_xlfn.XLOOKUP(F1793,Apuração!A:A,Apuração!B:B)))</f>
        <v>0</v>
      </c>
      <c r="BL1793" s="58" cm="1">
        <f t="array" aca="1" ref="BL1793" ca="1">IF(SUM(IFERROR(IF(INDEX(AW1793:INDEX(AW1793:BH1793, MATCH(2, 1/(AW1793:BH1793&lt;&gt;""), 1)-1), ROW(INDIRECT("1:" &amp; MATCH(2, 1/(AW1793:BH1793&lt;&gt;""), 1)-1))) &gt;= 115%, 115%, INDEX(AW1793:INDEX(AW1793:BH1793, MATCH(2, 1/(AW1793:BH1793&lt;&gt;""), 1)-1), ROW(INDIRECT("1:" &amp; MATCH(2, 1/(AW1793:BH1793&lt;&gt;""), 1)-1)))), 0))/_xlfn.XLOOKUP(F1793,Apuração!A:A,Apuração!B:B)&gt;=1.15,1.15,SUM(IFERROR(IF(INDEX(AW1793:INDEX(AW1793:BH1793, MATCH(2, 1/(AW1793:BH1793&lt;&gt;""), 1)-1), ROW(INDIRECT("1:" &amp; MATCH(2, 1/(AW1793:BH1793&lt;&gt;""), 1)-1))) &gt;= 115%, 115%, INDEX(AW1793:INDEX(AW1793:BH1793, MATCH(2, 1/(AW1793:BH1793&lt;&gt;""), 1)-1), ROW(INDIRECT("1:" &amp; MATCH(2, 1/(AW1793:BH1793&lt;&gt;""), 1)-1)))), 0))/_xlfn.XLOOKUP(F1793,Apuração!A:A,Apuração!B:B))</f>
        <v>0</v>
      </c>
      <c r="BM1793" s="55" cm="1">
        <f t="array" ref="BM1793">IFERROR(
   INDEX($AW$1:$BH$1,
      _xlfn.AGGREGATE(14, 6, COLUMN($AW$1:$BH$1)/(AW1793:BH1793&lt;&gt;""), 2) - COLUMN($AW$1) + 1
   ),
"")</f>
        <v>46082</v>
      </c>
      <c r="BN1793" s="55" cm="1">
        <f t="array" ref="BN1793">IFERROR(INDEX($AW$1:$BH$1,1,MATCH(2,1/(AW1793:BH1793&lt;&gt;""))),"")</f>
        <v>46113</v>
      </c>
      <c r="BO1793" s="53">
        <f ca="1">IFERROR(_xlfn.XLOOKUP(F1793,Apuração!A:A,Apuração!C:C)/_xlfn.XLOOKUP(F1793,Apuração!A:A,Apuração!B:B),0)</f>
        <v>0</v>
      </c>
      <c r="BP1793" s="53">
        <f ca="1">IFERROR(_xlfn.XLOOKUP(F1793,Apuração!A:A,Apuração!D:D)/_xlfn.XLOOKUP(F1793,Apuração!A:A,Apuração!B:B),0)</f>
        <v>0</v>
      </c>
      <c r="BQ1793" s="53">
        <f ca="1">IF(BK1793&gt;=BO1793,0,_xlfn.XLOOKUP(F1793,Apuração!A:A,Apuração!B:B)*(BO1793 + (1/_xlfn.XLOOKUP(F1793,Apuração!A:A,Apuração!B:B)) - BK1793))</f>
        <v>0</v>
      </c>
      <c r="BR1793" s="85">
        <f t="shared" ca="1" si="2095"/>
        <v>0</v>
      </c>
      <c r="BS1793" s="53">
        <f ca="1">IFERROR((_xlfn.XLOOKUP(F1793,Apuração!A:A,Apuração!C:C)+1)/_xlfn.XLOOKUP(F1793,Apuração!A:A,Apuração!B:B),0)</f>
        <v>0.14285714285714285</v>
      </c>
    </row>
    <row r="1794" spans="1:71" ht="25.95" hidden="1" customHeight="1" x14ac:dyDescent="0.3">
      <c r="A1794" s="23" t="s">
        <v>134</v>
      </c>
      <c r="B1794" s="4" t="s">
        <v>174</v>
      </c>
      <c r="C1794" s="5" t="s">
        <v>214</v>
      </c>
      <c r="D1794" s="5" t="s">
        <v>36</v>
      </c>
      <c r="E1794" s="4" t="s">
        <v>96</v>
      </c>
      <c r="F1794" s="4" t="str" cm="1">
        <f t="array" ref="F1794">_xlfn.IFS(
AG1794 &lt;&gt; "", "Jan-Dez/26",
AH1794 &lt;&gt; "", "Fev-Dez/26",
AI1794 &lt;&gt; "", "Mar-Dez/26", AJ1794 &lt;&gt; "", "Abr-Dez/26",
TRUE, "A partir de Junho"
)</f>
        <v>A partir de Junho</v>
      </c>
      <c r="G1794" s="4" t="s">
        <v>62</v>
      </c>
      <c r="H1794" s="7" t="s">
        <v>38</v>
      </c>
      <c r="I1794" s="8" t="s">
        <v>168</v>
      </c>
      <c r="J1794" s="8" t="str" cm="1">
        <f t="array" aca="1" ref="J1794" ca="1">_xlfn.LET(
  _xlpm.actual_value_month, INDEX(T1794:AE1794, MATCH(DATE(YEAR(TODAY()), MONTH(TODAY()), 1), $T$1:$AE$1, 0)),
  IF(_xlpm.actual_value_month &lt;&gt; "",_xlpm.actual_value_month &amp; " ações mensais", "")
)</f>
        <v/>
      </c>
      <c r="K1794" s="8" t="str" cm="1">
        <f t="array" ref="K1794">_xlfn.LET(
    _xlpm.sum_month, SUM(T1794:AE1794),
    IF(_xlpm.sum_month = 0, "", _xlpm.sum_month &amp; " ações no ano")
)</f>
        <v/>
      </c>
      <c r="L1794" s="9" t="s">
        <v>169</v>
      </c>
      <c r="M1794" s="24">
        <v>1</v>
      </c>
      <c r="N1794" s="5" t="s">
        <v>42</v>
      </c>
      <c r="O1794" s="5" t="s">
        <v>43</v>
      </c>
      <c r="P1794" s="10" t="s">
        <v>44</v>
      </c>
      <c r="Q1794" s="10" t="s">
        <v>44</v>
      </c>
      <c r="R1794" s="11" t="s">
        <v>66</v>
      </c>
      <c r="S1794" s="11" t="s">
        <v>67</v>
      </c>
      <c r="T1794" s="22"/>
      <c r="U1794" s="22"/>
      <c r="V1794" s="22"/>
      <c r="W1794" s="22"/>
      <c r="X1794" s="22"/>
      <c r="Y1794" s="22"/>
      <c r="Z1794" s="22"/>
      <c r="AA1794" s="22"/>
      <c r="AB1794" s="22"/>
      <c r="AC1794" s="22"/>
      <c r="AD1794" s="22"/>
      <c r="AE1794" s="22"/>
      <c r="AG1794" s="71"/>
      <c r="AH1794" s="71"/>
      <c r="AI1794" s="71"/>
      <c r="AJ1794" s="71"/>
      <c r="AK1794" s="71"/>
      <c r="AL1794" s="71"/>
      <c r="AM1794" s="71"/>
      <c r="AN1794" s="71"/>
      <c r="AO1794" s="71"/>
      <c r="AP1794" s="71"/>
      <c r="AQ1794" s="71"/>
      <c r="AR1794" s="71"/>
      <c r="AS1794" s="94">
        <f ca="1">IF(MONTH(TODAY())=3,SUM(T1794:U1794),IF(MONTH(TODAY())=4,SUM(T1794:V1794),IF(MONTH(TODAY())=5,SUM(T1794:W1794),IF(MONTH(TODAY())=6,SUM(T1794:X1794),IF(MONTH(TODAY())=7,SUM(T1794:Y1794),IF(MONTH(TODAY())=8,SUM(T1794:Z1794),IF(MONTH(TODAY())=9,SUM(T1794:AA1794),IF(MONTH(TODAY())=10,SUM(T1794:AB1794),IF(MONTH(TODAY())=11,SUM(T1794:AC1794),IF(MONTH(TODAY())=12,SUM(T1794:AD1794),IF(MONTH(TODAY())=1,SUM(T1794:AE1794),T1794)))))))))))</f>
        <v>0</v>
      </c>
      <c r="AT1794" s="95">
        <f>SUM(IF(AW1794&lt;1.15,AG1794,1.15*T1794),IF(AX1794&lt;1.15,AH1794,1.15*U1794),IF(AY1794&lt;1.15,AI1794,1.15*V1794),IF(AZ1794&lt;1.15,AJ1794,1.15*W1794),IF(BA1794&lt;1.15,AK1794,1.15*X1794),IF(BB1794&lt;1.15,AL1794,1.15*Y1794),IF(BC1794&lt;1.15,AM1794,1.15*Z1794),IF(BD1794&lt;1.15,AN1794,1.15*AA1794),IF(BE1794&lt;1.15,AO1794,1.15*AB1794),IF(BF1794&lt;1.15,AP1794,1.15*AC1794),IF(BG1794&lt;1.15,AQ1794,1.15*AD1794),IF(BH1794&lt;1.15,AR1794,1.15*AE1794))</f>
        <v>0</v>
      </c>
      <c r="AU1794" s="97">
        <f>SUM(AG1794:AR1794)</f>
        <v>0</v>
      </c>
      <c r="AW1794" s="51">
        <f>IFERROR(IF(AG1794="",0,AG1794/T1794),0)</f>
        <v>0</v>
      </c>
      <c r="AX1794" s="51">
        <f>IFERROR(IF(AH1794="",0,AH1794/U1794),0)</f>
        <v>0</v>
      </c>
      <c r="AY1794" s="51">
        <f>IFERROR(IF(AI1794="",0,AI1794/V1794),0)</f>
        <v>0</v>
      </c>
      <c r="AZ1794" s="51">
        <f>IFERROR(IF(AJ1794="",0,AJ1794/W1794),0)</f>
        <v>0</v>
      </c>
      <c r="BA1794" s="51"/>
      <c r="BB1794" s="51"/>
      <c r="BC1794" s="51"/>
      <c r="BD1794" s="51"/>
      <c r="BE1794" s="51"/>
      <c r="BF1794" s="51"/>
      <c r="BG1794" s="51"/>
      <c r="BH1794" s="51"/>
      <c r="BI1794" s="65" cm="1">
        <f t="array" ref="BI1794">IFERROR(INDEX(AW1794:BH1794,1,MATCH(2,1/(AW1794:BH1794&lt;&gt;""))),"")</f>
        <v>0</v>
      </c>
      <c r="BJ1794" s="68" cm="1">
        <f t="array" ref="BJ1794">IF(BM1794 = "", "",IFERROR(INDEX(AW1794:BH1794,1,MATCH(2,1/(AW1794:BH1794&lt;&gt;""),1)-1),""))</f>
        <v>0</v>
      </c>
      <c r="BK1794" s="58">
        <f>IF((IF(AW1794&gt;=115%,115%,AW1794) + IF(AX1794&gt;=115%,115%,AX1794) + IF(AY1794&gt;=115%,115%,AY1794) + (IF(AZ1794&gt;=115%,115%,AZ1794) + IF(BA1794&gt;=115%,115%,BA1794) + IF(BB1794&gt;=115%,115%,BB1794) + IF(BC1794&gt;=115%,115%,BC1794) + IF(BD1794&gt;=115%,115%,BD1794) + IF(BE1794&gt;=115%,115%,BE1794) + IF(BF1794&gt;=115%,115%,BF1794) + IF(BG1794&gt;=115%,115%,BG1794) + IF(BH1794&gt;=115%,115%,BH1794)))/_xlfn.XLOOKUP(F1794,Apuração!A:A,Apuração!B:B)&gt;=1.15,1.15,((IF(AZ1794&gt;=115%,115%,AZ1794) + IF(AX1794&gt;=115%,115%,AX1794) + IF(AY1794&gt;=115%,115%,AY1794) + (IF(AW1794&gt;=115%,115%,AW1794) + IF(BA1794&gt;=115%,115%,BA1794) + IF(BB1794&gt;=115%,115%,BB1794) + IF(BC1794&gt;=115%,115%,BC1794) + IF(BD1794&gt;=115%,115%,BD1794) + IF(BE1794&gt;=115%,115%,BE1794) + IF(BF1794&gt;=115%,115%,BF1794) + IF(BG1794&gt;=115%,115%,BG1794) + IF(BH1794&gt;=115%,115%,BH1794)))/_xlfn.XLOOKUP(F1794,Apuração!A:A,Apuração!B:B)))</f>
        <v>0</v>
      </c>
      <c r="BL1794" s="58" cm="1">
        <f t="array" aca="1" ref="BL1794" ca="1">IF(SUM(IFERROR(IF(INDEX(AW1794:INDEX(AW1794:BH1794, MATCH(2, 1/(AW1794:BH1794&lt;&gt;""), 1)-1), ROW(INDIRECT("1:" &amp; MATCH(2, 1/(AW1794:BH1794&lt;&gt;""), 1)-1))) &gt;= 115%, 115%, INDEX(AW1794:INDEX(AW1794:BH1794, MATCH(2, 1/(AW1794:BH1794&lt;&gt;""), 1)-1), ROW(INDIRECT("1:" &amp; MATCH(2, 1/(AW1794:BH1794&lt;&gt;""), 1)-1)))), 0))/_xlfn.XLOOKUP(F1794,Apuração!A:A,Apuração!B:B)&gt;=1.15,1.15,SUM(IFERROR(IF(INDEX(AW1794:INDEX(AW1794:BH1794, MATCH(2, 1/(AW1794:BH1794&lt;&gt;""), 1)-1), ROW(INDIRECT("1:" &amp; MATCH(2, 1/(AW1794:BH1794&lt;&gt;""), 1)-1))) &gt;= 115%, 115%, INDEX(AW1794:INDEX(AW1794:BH1794, MATCH(2, 1/(AW1794:BH1794&lt;&gt;""), 1)-1), ROW(INDIRECT("1:" &amp; MATCH(2, 1/(AW1794:BH1794&lt;&gt;""), 1)-1)))), 0))/_xlfn.XLOOKUP(F1794,Apuração!A:A,Apuração!B:B))</f>
        <v>0</v>
      </c>
      <c r="BM1794" s="55" cm="1">
        <f t="array" ref="BM1794">IFERROR(
   INDEX($AW$1:$BH$1,
      _xlfn.AGGREGATE(14, 6, COLUMN($AW$1:$BH$1)/(AW1794:BH1794&lt;&gt;""), 2) - COLUMN($AW$1) + 1
   ),
"")</f>
        <v>46082</v>
      </c>
      <c r="BN1794" s="55" cm="1">
        <f t="array" ref="BN1794">IFERROR(INDEX($AW$1:$BH$1,1,MATCH(2,1/(AW1794:BH1794&lt;&gt;""))),"")</f>
        <v>46113</v>
      </c>
      <c r="BO1794" s="53">
        <f ca="1">IFERROR(_xlfn.XLOOKUP(F1794,Apuração!A:A,Apuração!C:C)/_xlfn.XLOOKUP(F1794,Apuração!A:A,Apuração!B:B),0)</f>
        <v>0</v>
      </c>
      <c r="BP1794" s="53">
        <f ca="1">IFERROR(_xlfn.XLOOKUP(F1794,Apuração!A:A,Apuração!D:D)/_xlfn.XLOOKUP(F1794,Apuração!A:A,Apuração!B:B),0)</f>
        <v>0</v>
      </c>
      <c r="BQ1794" s="53">
        <f ca="1">IF(BK1794&gt;=BO1794,0,_xlfn.XLOOKUP(F1794,Apuração!A:A,Apuração!B:B)*(BO1794 + (1/_xlfn.XLOOKUP(F1794,Apuração!A:A,Apuração!B:B)) - BK1794))</f>
        <v>0</v>
      </c>
      <c r="BR1794" s="85">
        <f ca="1">IF(BQ1794=0,0,BQ1794*Z1794)</f>
        <v>0</v>
      </c>
      <c r="BS1794" s="53">
        <f ca="1">IFERROR((_xlfn.XLOOKUP(F1794,Apuração!A:A,Apuração!C:C)+1)/_xlfn.XLOOKUP(F1794,Apuração!A:A,Apuração!B:B),0)</f>
        <v>0.14285714285714285</v>
      </c>
    </row>
    <row r="1795" spans="1:71" ht="25.95" hidden="1" customHeight="1" x14ac:dyDescent="0.3">
      <c r="A1795" s="23" t="s">
        <v>134</v>
      </c>
      <c r="B1795" s="4" t="s">
        <v>174</v>
      </c>
      <c r="C1795" s="5" t="s">
        <v>214</v>
      </c>
      <c r="D1795" s="5" t="s">
        <v>210</v>
      </c>
      <c r="E1795" s="4" t="s">
        <v>96</v>
      </c>
      <c r="F1795" s="4" t="str" cm="1">
        <f t="array" ref="F1795">_xlfn.IFS(
AG1795 &lt;&gt; "", "Jan-Dez/26",
AH1795 &lt;&gt; "", "Fev-Dez/26",
AI1795 &lt;&gt; "", "Mar-Dez/26", AJ1795 &lt;&gt; "", "Abr-Dez/26",
TRUE, "A partir de Junho"
)</f>
        <v>A partir de Junho</v>
      </c>
      <c r="G1795" s="4" t="s">
        <v>62</v>
      </c>
      <c r="H1795" s="7" t="s">
        <v>38</v>
      </c>
      <c r="I1795" s="8" t="s">
        <v>168</v>
      </c>
      <c r="J1795" s="8" t="str" cm="1">
        <f t="array" aca="1" ref="J1795" ca="1">_xlfn.LET(
  _xlpm.actual_value_month, INDEX(T1795:AE1795, MATCH(DATE(YEAR(TODAY()), MONTH(TODAY()), 1), $T$1:$AE$1, 0)),
  IF(_xlpm.actual_value_month &lt;&gt; "",_xlpm.actual_value_month &amp; " ações mensais", "")
)</f>
        <v/>
      </c>
      <c r="K1795" s="8" t="str" cm="1">
        <f t="array" ref="K1795">_xlfn.LET(
    _xlpm.sum_month, SUM(T1795:AE1795),
    IF(_xlpm.sum_month = 0, "", _xlpm.sum_month &amp; " ações no ano")
)</f>
        <v/>
      </c>
      <c r="L1795" s="9" t="s">
        <v>169</v>
      </c>
      <c r="M1795" s="24">
        <v>1</v>
      </c>
      <c r="N1795" s="5" t="s">
        <v>42</v>
      </c>
      <c r="O1795" s="5" t="s">
        <v>43</v>
      </c>
      <c r="P1795" s="10" t="s">
        <v>44</v>
      </c>
      <c r="Q1795" s="10" t="s">
        <v>44</v>
      </c>
      <c r="R1795" s="11" t="s">
        <v>66</v>
      </c>
      <c r="S1795" s="11" t="s">
        <v>67</v>
      </c>
      <c r="T1795" s="22"/>
      <c r="U1795" s="22"/>
      <c r="V1795" s="22"/>
      <c r="W1795" s="22"/>
      <c r="X1795" s="22"/>
      <c r="Y1795" s="22"/>
      <c r="Z1795" s="22"/>
      <c r="AA1795" s="22"/>
      <c r="AB1795" s="22"/>
      <c r="AC1795" s="22"/>
      <c r="AD1795" s="22"/>
      <c r="AE1795" s="22"/>
      <c r="AG1795" s="71"/>
      <c r="AH1795" s="71"/>
      <c r="AI1795" s="71"/>
      <c r="AJ1795" s="71"/>
      <c r="AK1795" s="71"/>
      <c r="AL1795" s="71"/>
      <c r="AM1795" s="71"/>
      <c r="AN1795" s="71"/>
      <c r="AO1795" s="71"/>
      <c r="AP1795" s="71"/>
      <c r="AQ1795" s="71"/>
      <c r="AR1795" s="71"/>
      <c r="AS1795" s="94">
        <f t="shared" ref="AS1795:AS1798" ca="1" si="2096">IF(MONTH(TODAY())=3,SUM(T1795:U1795),IF(MONTH(TODAY())=4,SUM(T1795:V1795),IF(MONTH(TODAY())=5,SUM(T1795:W1795),IF(MONTH(TODAY())=6,SUM(T1795:X1795),IF(MONTH(TODAY())=7,SUM(T1795:Y1795),IF(MONTH(TODAY())=8,SUM(T1795:Z1795),IF(MONTH(TODAY())=9,SUM(T1795:AA1795),IF(MONTH(TODAY())=10,SUM(T1795:AB1795),IF(MONTH(TODAY())=11,SUM(T1795:AC1795),IF(MONTH(TODAY())=12,SUM(T1795:AD1795),IF(MONTH(TODAY())=1,SUM(T1795:AE1795),T1795)))))))))))</f>
        <v>0</v>
      </c>
      <c r="AT1795" s="95">
        <f t="shared" ref="AT1795:AT1798" si="2097">SUM(IF(AW1795&lt;1.15,AG1795,1.15*T1795),IF(AX1795&lt;1.15,AH1795,1.15*U1795),IF(AY1795&lt;1.15,AI1795,1.15*V1795),IF(AZ1795&lt;1.15,AJ1795,1.15*W1795),IF(BA1795&lt;1.15,AK1795,1.15*X1795),IF(BB1795&lt;1.15,AL1795,1.15*Y1795),IF(BC1795&lt;1.15,AM1795,1.15*Z1795),IF(BD1795&lt;1.15,AN1795,1.15*AA1795),IF(BE1795&lt;1.15,AO1795,1.15*AB1795),IF(BF1795&lt;1.15,AP1795,1.15*AC1795),IF(BG1795&lt;1.15,AQ1795,1.15*AD1795),IF(BH1795&lt;1.15,AR1795,1.15*AE1795))</f>
        <v>0</v>
      </c>
      <c r="AU1795" s="97">
        <f t="shared" ref="AU1795:AU1798" si="2098">SUM(AG1795:AR1795)</f>
        <v>0</v>
      </c>
      <c r="AW1795" s="51">
        <f t="shared" ref="AW1795:AW1798" si="2099">IFERROR(IF(AG1795="",0,AG1795/T1795),0)</f>
        <v>0</v>
      </c>
      <c r="AX1795" s="51">
        <f t="shared" ref="AX1795:AX1798" si="2100">IFERROR(IF(AH1795="",0,AH1795/U1795),0)</f>
        <v>0</v>
      </c>
      <c r="AY1795" s="51">
        <f t="shared" ref="AY1795:AY1798" si="2101">IFERROR(IF(AI1795="",0,AI1795/V1795),0)</f>
        <v>0</v>
      </c>
      <c r="AZ1795" s="51">
        <f t="shared" ref="AZ1795:AZ1798" si="2102">IFERROR(IF(AJ1795="",0,AJ1795/W1795),0)</f>
        <v>0</v>
      </c>
      <c r="BA1795" s="51"/>
      <c r="BB1795" s="51"/>
      <c r="BC1795" s="51"/>
      <c r="BD1795" s="51"/>
      <c r="BE1795" s="51"/>
      <c r="BF1795" s="51"/>
      <c r="BG1795" s="51"/>
      <c r="BH1795" s="51"/>
      <c r="BI1795" s="65" cm="1">
        <f t="array" ref="BI1795">IFERROR(INDEX(AW1795:BH1795,1,MATCH(2,1/(AW1795:BH1795&lt;&gt;""))),"")</f>
        <v>0</v>
      </c>
      <c r="BJ1795" s="68" cm="1">
        <f t="array" ref="BJ1795">IF(BM1795 = "", "",IFERROR(INDEX(AW1795:BH1795,1,MATCH(2,1/(AW1795:BH1795&lt;&gt;""),1)-1),""))</f>
        <v>0</v>
      </c>
      <c r="BK1795" s="58">
        <f>IF((IF(AW1795&gt;=115%,115%,AW1795) + IF(AX1795&gt;=115%,115%,AX1795) + IF(AY1795&gt;=115%,115%,AY1795) + (IF(AZ1795&gt;=115%,115%,AZ1795) + IF(BA1795&gt;=115%,115%,BA1795) + IF(BB1795&gt;=115%,115%,BB1795) + IF(BC1795&gt;=115%,115%,BC1795) + IF(BD1795&gt;=115%,115%,BD1795) + IF(BE1795&gt;=115%,115%,BE1795) + IF(BF1795&gt;=115%,115%,BF1795) + IF(BG1795&gt;=115%,115%,BG1795) + IF(BH1795&gt;=115%,115%,BH1795)))/_xlfn.XLOOKUP(F1795,Apuração!A:A,Apuração!B:B)&gt;=1.15,1.15,((IF(AZ1795&gt;=115%,115%,AZ1795) + IF(AX1795&gt;=115%,115%,AX1795) + IF(AY1795&gt;=115%,115%,AY1795) + (IF(AW1795&gt;=115%,115%,AW1795) + IF(BA1795&gt;=115%,115%,BA1795) + IF(BB1795&gt;=115%,115%,BB1795) + IF(BC1795&gt;=115%,115%,BC1795) + IF(BD1795&gt;=115%,115%,BD1795) + IF(BE1795&gt;=115%,115%,BE1795) + IF(BF1795&gt;=115%,115%,BF1795) + IF(BG1795&gt;=115%,115%,BG1795) + IF(BH1795&gt;=115%,115%,BH1795)))/_xlfn.XLOOKUP(F1795,Apuração!A:A,Apuração!B:B)))</f>
        <v>0</v>
      </c>
      <c r="BL1795" s="58" cm="1">
        <f t="array" aca="1" ref="BL1795" ca="1">IF(SUM(IFERROR(IF(INDEX(AW1795:INDEX(AW1795:BH1795, MATCH(2, 1/(AW1795:BH1795&lt;&gt;""), 1)-1), ROW(INDIRECT("1:" &amp; MATCH(2, 1/(AW1795:BH1795&lt;&gt;""), 1)-1))) &gt;= 115%, 115%, INDEX(AW1795:INDEX(AW1795:BH1795, MATCH(2, 1/(AW1795:BH1795&lt;&gt;""), 1)-1), ROW(INDIRECT("1:" &amp; MATCH(2, 1/(AW1795:BH1795&lt;&gt;""), 1)-1)))), 0))/_xlfn.XLOOKUP(F1795,Apuração!A:A,Apuração!B:B)&gt;=1.15,1.15,SUM(IFERROR(IF(INDEX(AW1795:INDEX(AW1795:BH1795, MATCH(2, 1/(AW1795:BH1795&lt;&gt;""), 1)-1), ROW(INDIRECT("1:" &amp; MATCH(2, 1/(AW1795:BH1795&lt;&gt;""), 1)-1))) &gt;= 115%, 115%, INDEX(AW1795:INDEX(AW1795:BH1795, MATCH(2, 1/(AW1795:BH1795&lt;&gt;""), 1)-1), ROW(INDIRECT("1:" &amp; MATCH(2, 1/(AW1795:BH1795&lt;&gt;""), 1)-1)))), 0))/_xlfn.XLOOKUP(F1795,Apuração!A:A,Apuração!B:B))</f>
        <v>0</v>
      </c>
      <c r="BM1795" s="55" cm="1">
        <f t="array" ref="BM1795">IFERROR(
   INDEX($AW$1:$BH$1,
      _xlfn.AGGREGATE(14, 6, COLUMN($AW$1:$BH$1)/(AW1795:BH1795&lt;&gt;""), 2) - COLUMN($AW$1) + 1
   ),
"")</f>
        <v>46082</v>
      </c>
      <c r="BN1795" s="55" cm="1">
        <f t="array" ref="BN1795">IFERROR(INDEX($AW$1:$BH$1,1,MATCH(2,1/(AW1795:BH1795&lt;&gt;""))),"")</f>
        <v>46113</v>
      </c>
      <c r="BO1795" s="53">
        <f ca="1">IFERROR(_xlfn.XLOOKUP(F1795,Apuração!A:A,Apuração!C:C)/_xlfn.XLOOKUP(F1795,Apuração!A:A,Apuração!B:B),0)</f>
        <v>0</v>
      </c>
      <c r="BP1795" s="53">
        <f ca="1">IFERROR(_xlfn.XLOOKUP(F1795,Apuração!A:A,Apuração!D:D)/_xlfn.XLOOKUP(F1795,Apuração!A:A,Apuração!B:B),0)</f>
        <v>0</v>
      </c>
      <c r="BQ1795" s="53">
        <f ca="1">IF(BK1795&gt;=BO1795,0,_xlfn.XLOOKUP(F1795,Apuração!A:A,Apuração!B:B)*(BO1795 + (1/_xlfn.XLOOKUP(F1795,Apuração!A:A,Apuração!B:B)) - BK1795))</f>
        <v>0</v>
      </c>
      <c r="BR1795" s="85">
        <f t="shared" ref="BR1795:BR1798" ca="1" si="2103">IF(BQ1795=0,0,BQ1795*Z1795)</f>
        <v>0</v>
      </c>
      <c r="BS1795" s="53">
        <f ca="1">IFERROR((_xlfn.XLOOKUP(F1795,Apuração!A:A,Apuração!C:C)+1)/_xlfn.XLOOKUP(F1795,Apuração!A:A,Apuração!B:B),0)</f>
        <v>0.14285714285714285</v>
      </c>
    </row>
    <row r="1796" spans="1:71" ht="25.95" hidden="1" customHeight="1" x14ac:dyDescent="0.3">
      <c r="A1796" s="23" t="s">
        <v>134</v>
      </c>
      <c r="B1796" s="4" t="s">
        <v>174</v>
      </c>
      <c r="C1796" s="5" t="s">
        <v>214</v>
      </c>
      <c r="D1796" s="5" t="s">
        <v>215</v>
      </c>
      <c r="E1796" s="4" t="s">
        <v>96</v>
      </c>
      <c r="F1796" s="4" t="str" cm="1">
        <f t="array" ref="F1796">_xlfn.IFS(
AG1796 &lt;&gt; "", "Jan-Dez/26",
AH1796 &lt;&gt; "", "Fev-Dez/26",
AI1796 &lt;&gt; "", "Mar-Dez/26", AJ1796 &lt;&gt; "", "Abr-Dez/26",
TRUE, "A partir de Junho"
)</f>
        <v>A partir de Junho</v>
      </c>
      <c r="G1796" s="4" t="s">
        <v>62</v>
      </c>
      <c r="H1796" s="7" t="s">
        <v>38</v>
      </c>
      <c r="I1796" s="8" t="s">
        <v>168</v>
      </c>
      <c r="J1796" s="8" t="str" cm="1">
        <f t="array" aca="1" ref="J1796" ca="1">_xlfn.LET(
  _xlpm.actual_value_month, INDEX(T1796:AE1796, MATCH(DATE(YEAR(TODAY()), MONTH(TODAY()), 1), $T$1:$AE$1, 0)),
  IF(_xlpm.actual_value_month &lt;&gt; "",_xlpm.actual_value_month &amp; " ações mensais", "")
)</f>
        <v/>
      </c>
      <c r="K1796" s="8" t="str" cm="1">
        <f t="array" ref="K1796">_xlfn.LET(
    _xlpm.sum_month, SUM(T1796:AE1796),
    IF(_xlpm.sum_month = 0, "", _xlpm.sum_month &amp; " ações no ano")
)</f>
        <v/>
      </c>
      <c r="L1796" s="9" t="s">
        <v>169</v>
      </c>
      <c r="M1796" s="24">
        <v>1</v>
      </c>
      <c r="N1796" s="5" t="s">
        <v>42</v>
      </c>
      <c r="O1796" s="5" t="s">
        <v>43</v>
      </c>
      <c r="P1796" s="10" t="s">
        <v>44</v>
      </c>
      <c r="Q1796" s="10" t="s">
        <v>44</v>
      </c>
      <c r="R1796" s="11" t="s">
        <v>66</v>
      </c>
      <c r="S1796" s="11" t="s">
        <v>67</v>
      </c>
      <c r="T1796" s="22"/>
      <c r="U1796" s="22"/>
      <c r="V1796" s="22"/>
      <c r="W1796" s="22"/>
      <c r="X1796" s="22"/>
      <c r="Y1796" s="22"/>
      <c r="Z1796" s="22"/>
      <c r="AA1796" s="22"/>
      <c r="AB1796" s="22"/>
      <c r="AC1796" s="22"/>
      <c r="AD1796" s="22"/>
      <c r="AE1796" s="22"/>
      <c r="AG1796" s="71"/>
      <c r="AH1796" s="71"/>
      <c r="AI1796" s="71"/>
      <c r="AJ1796" s="71"/>
      <c r="AK1796" s="71"/>
      <c r="AL1796" s="71"/>
      <c r="AM1796" s="71"/>
      <c r="AN1796" s="71"/>
      <c r="AO1796" s="71"/>
      <c r="AP1796" s="71"/>
      <c r="AQ1796" s="71"/>
      <c r="AR1796" s="71"/>
      <c r="AS1796" s="94">
        <f t="shared" ca="1" si="2096"/>
        <v>0</v>
      </c>
      <c r="AT1796" s="95">
        <f t="shared" si="2097"/>
        <v>0</v>
      </c>
      <c r="AU1796" s="97">
        <f t="shared" si="2098"/>
        <v>0</v>
      </c>
      <c r="AW1796" s="51">
        <f t="shared" si="2099"/>
        <v>0</v>
      </c>
      <c r="AX1796" s="51">
        <f t="shared" si="2100"/>
        <v>0</v>
      </c>
      <c r="AY1796" s="51">
        <f t="shared" si="2101"/>
        <v>0</v>
      </c>
      <c r="AZ1796" s="51">
        <f t="shared" si="2102"/>
        <v>0</v>
      </c>
      <c r="BA1796" s="51"/>
      <c r="BB1796" s="51"/>
      <c r="BC1796" s="51"/>
      <c r="BD1796" s="51"/>
      <c r="BE1796" s="51"/>
      <c r="BF1796" s="51"/>
      <c r="BG1796" s="51"/>
      <c r="BH1796" s="51"/>
      <c r="BI1796" s="65" cm="1">
        <f t="array" ref="BI1796">IFERROR(INDEX(AW1796:BH1796,1,MATCH(2,1/(AW1796:BH1796&lt;&gt;""))),"")</f>
        <v>0</v>
      </c>
      <c r="BJ1796" s="68" cm="1">
        <f t="array" ref="BJ1796">IF(BM1796 = "", "",IFERROR(INDEX(AW1796:BH1796,1,MATCH(2,1/(AW1796:BH1796&lt;&gt;""),1)-1),""))</f>
        <v>0</v>
      </c>
      <c r="BK1796" s="58">
        <f>IF((IF(AW1796&gt;=115%,115%,AW1796) + IF(AX1796&gt;=115%,115%,AX1796) + IF(AY1796&gt;=115%,115%,AY1796) + (IF(AZ1796&gt;=115%,115%,AZ1796) + IF(BA1796&gt;=115%,115%,BA1796) + IF(BB1796&gt;=115%,115%,BB1796) + IF(BC1796&gt;=115%,115%,BC1796) + IF(BD1796&gt;=115%,115%,BD1796) + IF(BE1796&gt;=115%,115%,BE1796) + IF(BF1796&gt;=115%,115%,BF1796) + IF(BG1796&gt;=115%,115%,BG1796) + IF(BH1796&gt;=115%,115%,BH1796)))/_xlfn.XLOOKUP(F1796,Apuração!A:A,Apuração!B:B)&gt;=1.15,1.15,((IF(AZ1796&gt;=115%,115%,AZ1796) + IF(AX1796&gt;=115%,115%,AX1796) + IF(AY1796&gt;=115%,115%,AY1796) + (IF(AW1796&gt;=115%,115%,AW1796) + IF(BA1796&gt;=115%,115%,BA1796) + IF(BB1796&gt;=115%,115%,BB1796) + IF(BC1796&gt;=115%,115%,BC1796) + IF(BD1796&gt;=115%,115%,BD1796) + IF(BE1796&gt;=115%,115%,BE1796) + IF(BF1796&gt;=115%,115%,BF1796) + IF(BG1796&gt;=115%,115%,BG1796) + IF(BH1796&gt;=115%,115%,BH1796)))/_xlfn.XLOOKUP(F1796,Apuração!A:A,Apuração!B:B)))</f>
        <v>0</v>
      </c>
      <c r="BL1796" s="58" cm="1">
        <f t="array" aca="1" ref="BL1796" ca="1">IF(SUM(IFERROR(IF(INDEX(AW1796:INDEX(AW1796:BH1796, MATCH(2, 1/(AW1796:BH1796&lt;&gt;""), 1)-1), ROW(INDIRECT("1:" &amp; MATCH(2, 1/(AW1796:BH1796&lt;&gt;""), 1)-1))) &gt;= 115%, 115%, INDEX(AW1796:INDEX(AW1796:BH1796, MATCH(2, 1/(AW1796:BH1796&lt;&gt;""), 1)-1), ROW(INDIRECT("1:" &amp; MATCH(2, 1/(AW1796:BH1796&lt;&gt;""), 1)-1)))), 0))/_xlfn.XLOOKUP(F1796,Apuração!A:A,Apuração!B:B)&gt;=1.15,1.15,SUM(IFERROR(IF(INDEX(AW1796:INDEX(AW1796:BH1796, MATCH(2, 1/(AW1796:BH1796&lt;&gt;""), 1)-1), ROW(INDIRECT("1:" &amp; MATCH(2, 1/(AW1796:BH1796&lt;&gt;""), 1)-1))) &gt;= 115%, 115%, INDEX(AW1796:INDEX(AW1796:BH1796, MATCH(2, 1/(AW1796:BH1796&lt;&gt;""), 1)-1), ROW(INDIRECT("1:" &amp; MATCH(2, 1/(AW1796:BH1796&lt;&gt;""), 1)-1)))), 0))/_xlfn.XLOOKUP(F1796,Apuração!A:A,Apuração!B:B))</f>
        <v>0</v>
      </c>
      <c r="BM1796" s="55" cm="1">
        <f t="array" ref="BM1796">IFERROR(
   INDEX($AW$1:$BH$1,
      _xlfn.AGGREGATE(14, 6, COLUMN($AW$1:$BH$1)/(AW1796:BH1796&lt;&gt;""), 2) - COLUMN($AW$1) + 1
   ),
"")</f>
        <v>46082</v>
      </c>
      <c r="BN1796" s="55" cm="1">
        <f t="array" ref="BN1796">IFERROR(INDEX($AW$1:$BH$1,1,MATCH(2,1/(AW1796:BH1796&lt;&gt;""))),"")</f>
        <v>46113</v>
      </c>
      <c r="BO1796" s="53">
        <f ca="1">IFERROR(_xlfn.XLOOKUP(F1796,Apuração!A:A,Apuração!C:C)/_xlfn.XLOOKUP(F1796,Apuração!A:A,Apuração!B:B),0)</f>
        <v>0</v>
      </c>
      <c r="BP1796" s="53">
        <f ca="1">IFERROR(_xlfn.XLOOKUP(F1796,Apuração!A:A,Apuração!D:D)/_xlfn.XLOOKUP(F1796,Apuração!A:A,Apuração!B:B),0)</f>
        <v>0</v>
      </c>
      <c r="BQ1796" s="53">
        <f ca="1">IF(BK1796&gt;=BO1796,0,_xlfn.XLOOKUP(F1796,Apuração!A:A,Apuração!B:B)*(BO1796 + (1/_xlfn.XLOOKUP(F1796,Apuração!A:A,Apuração!B:B)) - BK1796))</f>
        <v>0</v>
      </c>
      <c r="BR1796" s="85">
        <f t="shared" ca="1" si="2103"/>
        <v>0</v>
      </c>
      <c r="BS1796" s="53">
        <f ca="1">IFERROR((_xlfn.XLOOKUP(F1796,Apuração!A:A,Apuração!C:C)+1)/_xlfn.XLOOKUP(F1796,Apuração!A:A,Apuração!B:B),0)</f>
        <v>0.14285714285714285</v>
      </c>
    </row>
    <row r="1797" spans="1:71" ht="25.95" hidden="1" customHeight="1" x14ac:dyDescent="0.3">
      <c r="A1797" s="23" t="s">
        <v>134</v>
      </c>
      <c r="B1797" s="4" t="s">
        <v>174</v>
      </c>
      <c r="C1797" s="5" t="s">
        <v>214</v>
      </c>
      <c r="D1797" s="5" t="s">
        <v>212</v>
      </c>
      <c r="E1797" s="4" t="s">
        <v>96</v>
      </c>
      <c r="F1797" s="4" t="str" cm="1">
        <f t="array" ref="F1797">_xlfn.IFS(
AG1797 &lt;&gt; "", "Jan-Dez/26",
AH1797 &lt;&gt; "", "Fev-Dez/26",
AI1797 &lt;&gt; "", "Mar-Dez/26", AJ1797 &lt;&gt; "", "Abr-Dez/26",
TRUE, "A partir de Junho"
)</f>
        <v>A partir de Junho</v>
      </c>
      <c r="G1797" s="4" t="s">
        <v>62</v>
      </c>
      <c r="H1797" s="7" t="s">
        <v>38</v>
      </c>
      <c r="I1797" s="8" t="s">
        <v>168</v>
      </c>
      <c r="J1797" s="8" t="str" cm="1">
        <f t="array" aca="1" ref="J1797" ca="1">_xlfn.LET(
  _xlpm.actual_value_month, INDEX(T1797:AE1797, MATCH(DATE(YEAR(TODAY()), MONTH(TODAY()), 1), $T$1:$AE$1, 0)),
  IF(_xlpm.actual_value_month &lt;&gt; "",_xlpm.actual_value_month &amp; " ações mensais", "")
)</f>
        <v/>
      </c>
      <c r="K1797" s="8" t="str" cm="1">
        <f t="array" ref="K1797">_xlfn.LET(
    _xlpm.sum_month, SUM(T1797:AE1797),
    IF(_xlpm.sum_month = 0, "", _xlpm.sum_month &amp; " ações no ano")
)</f>
        <v/>
      </c>
      <c r="L1797" s="9" t="s">
        <v>169</v>
      </c>
      <c r="M1797" s="24">
        <v>1</v>
      </c>
      <c r="N1797" s="5" t="s">
        <v>42</v>
      </c>
      <c r="O1797" s="5" t="s">
        <v>43</v>
      </c>
      <c r="P1797" s="10" t="s">
        <v>44</v>
      </c>
      <c r="Q1797" s="10" t="s">
        <v>44</v>
      </c>
      <c r="R1797" s="11" t="s">
        <v>66</v>
      </c>
      <c r="S1797" s="11" t="s">
        <v>67</v>
      </c>
      <c r="T1797" s="22"/>
      <c r="U1797" s="22"/>
      <c r="V1797" s="22"/>
      <c r="W1797" s="22"/>
      <c r="X1797" s="22"/>
      <c r="Y1797" s="22"/>
      <c r="Z1797" s="22"/>
      <c r="AA1797" s="22"/>
      <c r="AB1797" s="22"/>
      <c r="AC1797" s="22"/>
      <c r="AD1797" s="22"/>
      <c r="AE1797" s="22"/>
      <c r="AG1797" s="71"/>
      <c r="AH1797" s="71"/>
      <c r="AI1797" s="71"/>
      <c r="AJ1797" s="71"/>
      <c r="AK1797" s="71"/>
      <c r="AL1797" s="71"/>
      <c r="AM1797" s="71"/>
      <c r="AN1797" s="71"/>
      <c r="AO1797" s="71"/>
      <c r="AP1797" s="71"/>
      <c r="AQ1797" s="71"/>
      <c r="AR1797" s="71"/>
      <c r="AS1797" s="94">
        <f t="shared" ca="1" si="2096"/>
        <v>0</v>
      </c>
      <c r="AT1797" s="95">
        <f t="shared" si="2097"/>
        <v>0</v>
      </c>
      <c r="AU1797" s="97">
        <f t="shared" si="2098"/>
        <v>0</v>
      </c>
      <c r="AW1797" s="51">
        <f t="shared" si="2099"/>
        <v>0</v>
      </c>
      <c r="AX1797" s="51">
        <f t="shared" si="2100"/>
        <v>0</v>
      </c>
      <c r="AY1797" s="51">
        <f t="shared" si="2101"/>
        <v>0</v>
      </c>
      <c r="AZ1797" s="51">
        <f t="shared" si="2102"/>
        <v>0</v>
      </c>
      <c r="BA1797" s="51"/>
      <c r="BB1797" s="51"/>
      <c r="BC1797" s="51"/>
      <c r="BD1797" s="51"/>
      <c r="BE1797" s="51"/>
      <c r="BF1797" s="51"/>
      <c r="BG1797" s="51"/>
      <c r="BH1797" s="51"/>
      <c r="BI1797" s="65" cm="1">
        <f t="array" ref="BI1797">IFERROR(INDEX(AW1797:BH1797,1,MATCH(2,1/(AW1797:BH1797&lt;&gt;""))),"")</f>
        <v>0</v>
      </c>
      <c r="BJ1797" s="68" cm="1">
        <f t="array" ref="BJ1797">IF(BM1797 = "", "",IFERROR(INDEX(AW1797:BH1797,1,MATCH(2,1/(AW1797:BH1797&lt;&gt;""),1)-1),""))</f>
        <v>0</v>
      </c>
      <c r="BK1797" s="58">
        <f>IF((IF(AW1797&gt;=115%,115%,AW1797) + IF(AX1797&gt;=115%,115%,AX1797) + IF(AY1797&gt;=115%,115%,AY1797) + (IF(AZ1797&gt;=115%,115%,AZ1797) + IF(BA1797&gt;=115%,115%,BA1797) + IF(BB1797&gt;=115%,115%,BB1797) + IF(BC1797&gt;=115%,115%,BC1797) + IF(BD1797&gt;=115%,115%,BD1797) + IF(BE1797&gt;=115%,115%,BE1797) + IF(BF1797&gt;=115%,115%,BF1797) + IF(BG1797&gt;=115%,115%,BG1797) + IF(BH1797&gt;=115%,115%,BH1797)))/_xlfn.XLOOKUP(F1797,Apuração!A:A,Apuração!B:B)&gt;=1.15,1.15,((IF(AZ1797&gt;=115%,115%,AZ1797) + IF(AX1797&gt;=115%,115%,AX1797) + IF(AY1797&gt;=115%,115%,AY1797) + (IF(AW1797&gt;=115%,115%,AW1797) + IF(BA1797&gt;=115%,115%,BA1797) + IF(BB1797&gt;=115%,115%,BB1797) + IF(BC1797&gt;=115%,115%,BC1797) + IF(BD1797&gt;=115%,115%,BD1797) + IF(BE1797&gt;=115%,115%,BE1797) + IF(BF1797&gt;=115%,115%,BF1797) + IF(BG1797&gt;=115%,115%,BG1797) + IF(BH1797&gt;=115%,115%,BH1797)))/_xlfn.XLOOKUP(F1797,Apuração!A:A,Apuração!B:B)))</f>
        <v>0</v>
      </c>
      <c r="BL1797" s="58" cm="1">
        <f t="array" aca="1" ref="BL1797" ca="1">IF(SUM(IFERROR(IF(INDEX(AW1797:INDEX(AW1797:BH1797, MATCH(2, 1/(AW1797:BH1797&lt;&gt;""), 1)-1), ROW(INDIRECT("1:" &amp; MATCH(2, 1/(AW1797:BH1797&lt;&gt;""), 1)-1))) &gt;= 115%, 115%, INDEX(AW1797:INDEX(AW1797:BH1797, MATCH(2, 1/(AW1797:BH1797&lt;&gt;""), 1)-1), ROW(INDIRECT("1:" &amp; MATCH(2, 1/(AW1797:BH1797&lt;&gt;""), 1)-1)))), 0))/_xlfn.XLOOKUP(F1797,Apuração!A:A,Apuração!B:B)&gt;=1.15,1.15,SUM(IFERROR(IF(INDEX(AW1797:INDEX(AW1797:BH1797, MATCH(2, 1/(AW1797:BH1797&lt;&gt;""), 1)-1), ROW(INDIRECT("1:" &amp; MATCH(2, 1/(AW1797:BH1797&lt;&gt;""), 1)-1))) &gt;= 115%, 115%, INDEX(AW1797:INDEX(AW1797:BH1797, MATCH(2, 1/(AW1797:BH1797&lt;&gt;""), 1)-1), ROW(INDIRECT("1:" &amp; MATCH(2, 1/(AW1797:BH1797&lt;&gt;""), 1)-1)))), 0))/_xlfn.XLOOKUP(F1797,Apuração!A:A,Apuração!B:B))</f>
        <v>0</v>
      </c>
      <c r="BM1797" s="55" cm="1">
        <f t="array" ref="BM1797">IFERROR(
   INDEX($AW$1:$BH$1,
      _xlfn.AGGREGATE(14, 6, COLUMN($AW$1:$BH$1)/(AW1797:BH1797&lt;&gt;""), 2) - COLUMN($AW$1) + 1
   ),
"")</f>
        <v>46082</v>
      </c>
      <c r="BN1797" s="55" cm="1">
        <f t="array" ref="BN1797">IFERROR(INDEX($AW$1:$BH$1,1,MATCH(2,1/(AW1797:BH1797&lt;&gt;""))),"")</f>
        <v>46113</v>
      </c>
      <c r="BO1797" s="53">
        <f ca="1">IFERROR(_xlfn.XLOOKUP(F1797,Apuração!A:A,Apuração!C:C)/_xlfn.XLOOKUP(F1797,Apuração!A:A,Apuração!B:B),0)</f>
        <v>0</v>
      </c>
      <c r="BP1797" s="53">
        <f ca="1">IFERROR(_xlfn.XLOOKUP(F1797,Apuração!A:A,Apuração!D:D)/_xlfn.XLOOKUP(F1797,Apuração!A:A,Apuração!B:B),0)</f>
        <v>0</v>
      </c>
      <c r="BQ1797" s="53">
        <f ca="1">IF(BK1797&gt;=BO1797,0,_xlfn.XLOOKUP(F1797,Apuração!A:A,Apuração!B:B)*(BO1797 + (1/_xlfn.XLOOKUP(F1797,Apuração!A:A,Apuração!B:B)) - BK1797))</f>
        <v>0</v>
      </c>
      <c r="BR1797" s="85">
        <f t="shared" ca="1" si="2103"/>
        <v>0</v>
      </c>
      <c r="BS1797" s="53">
        <f ca="1">IFERROR((_xlfn.XLOOKUP(F1797,Apuração!A:A,Apuração!C:C)+1)/_xlfn.XLOOKUP(F1797,Apuração!A:A,Apuração!B:B),0)</f>
        <v>0.14285714285714285</v>
      </c>
    </row>
    <row r="1798" spans="1:71" ht="25.95" hidden="1" customHeight="1" x14ac:dyDescent="0.3">
      <c r="A1798" s="23" t="s">
        <v>134</v>
      </c>
      <c r="B1798" s="4" t="s">
        <v>174</v>
      </c>
      <c r="C1798" s="5" t="s">
        <v>214</v>
      </c>
      <c r="D1798" s="5" t="s">
        <v>48</v>
      </c>
      <c r="E1798" s="4" t="s">
        <v>96</v>
      </c>
      <c r="F1798" s="4" t="str" cm="1">
        <f t="array" ref="F1798">_xlfn.IFS(
AG1798 &lt;&gt; "", "Jan-Dez/26",
AH1798 &lt;&gt; "", "Fev-Dez/26",
AI1798 &lt;&gt; "", "Mar-Dez/26", AJ1798 &lt;&gt; "", "Abr-Dez/26",
TRUE, "A partir de Junho"
)</f>
        <v>A partir de Junho</v>
      </c>
      <c r="G1798" s="4" t="s">
        <v>62</v>
      </c>
      <c r="H1798" s="7" t="s">
        <v>38</v>
      </c>
      <c r="I1798" s="8" t="s">
        <v>168</v>
      </c>
      <c r="J1798" s="8" t="str" cm="1">
        <f t="array" aca="1" ref="J1798" ca="1">_xlfn.LET(
  _xlpm.actual_value_month, INDEX(T1798:AE1798, MATCH(DATE(YEAR(TODAY()), MONTH(TODAY()), 1), $T$1:$AE$1, 0)),
  IF(_xlpm.actual_value_month &lt;&gt; "",_xlpm.actual_value_month &amp; " ações mensais", "")
)</f>
        <v/>
      </c>
      <c r="K1798" s="8" t="str" cm="1">
        <f t="array" ref="K1798">_xlfn.LET(
    _xlpm.sum_month, SUM(T1798:AE1798),
    IF(_xlpm.sum_month = 0, "", _xlpm.sum_month &amp; " ações no ano")
)</f>
        <v/>
      </c>
      <c r="L1798" s="9" t="s">
        <v>169</v>
      </c>
      <c r="M1798" s="24">
        <v>1</v>
      </c>
      <c r="N1798" s="5" t="s">
        <v>42</v>
      </c>
      <c r="O1798" s="5" t="s">
        <v>43</v>
      </c>
      <c r="P1798" s="10" t="s">
        <v>44</v>
      </c>
      <c r="Q1798" s="10" t="s">
        <v>44</v>
      </c>
      <c r="R1798" s="11" t="s">
        <v>66</v>
      </c>
      <c r="S1798" s="11" t="s">
        <v>67</v>
      </c>
      <c r="T1798" s="22"/>
      <c r="U1798" s="22"/>
      <c r="V1798" s="22"/>
      <c r="W1798" s="22"/>
      <c r="X1798" s="22"/>
      <c r="Y1798" s="22"/>
      <c r="Z1798" s="22"/>
      <c r="AA1798" s="22"/>
      <c r="AB1798" s="22"/>
      <c r="AC1798" s="22"/>
      <c r="AD1798" s="22"/>
      <c r="AE1798" s="22"/>
      <c r="AG1798" s="71"/>
      <c r="AH1798" s="71"/>
      <c r="AI1798" s="71"/>
      <c r="AJ1798" s="71"/>
      <c r="AK1798" s="71"/>
      <c r="AL1798" s="71"/>
      <c r="AM1798" s="71"/>
      <c r="AN1798" s="71"/>
      <c r="AO1798" s="71"/>
      <c r="AP1798" s="71"/>
      <c r="AQ1798" s="71"/>
      <c r="AR1798" s="71"/>
      <c r="AS1798" s="94">
        <f t="shared" ca="1" si="2096"/>
        <v>0</v>
      </c>
      <c r="AT1798" s="95">
        <f t="shared" si="2097"/>
        <v>0</v>
      </c>
      <c r="AU1798" s="97">
        <f t="shared" si="2098"/>
        <v>0</v>
      </c>
      <c r="AW1798" s="51">
        <f t="shared" si="2099"/>
        <v>0</v>
      </c>
      <c r="AX1798" s="51">
        <f t="shared" si="2100"/>
        <v>0</v>
      </c>
      <c r="AY1798" s="51">
        <f t="shared" si="2101"/>
        <v>0</v>
      </c>
      <c r="AZ1798" s="51">
        <f t="shared" si="2102"/>
        <v>0</v>
      </c>
      <c r="BA1798" s="51"/>
      <c r="BB1798" s="51"/>
      <c r="BC1798" s="51"/>
      <c r="BD1798" s="51"/>
      <c r="BE1798" s="51"/>
      <c r="BF1798" s="51"/>
      <c r="BG1798" s="51"/>
      <c r="BH1798" s="51"/>
      <c r="BI1798" s="65" cm="1">
        <f t="array" ref="BI1798">IFERROR(INDEX(AW1798:BH1798,1,MATCH(2,1/(AW1798:BH1798&lt;&gt;""))),"")</f>
        <v>0</v>
      </c>
      <c r="BJ1798" s="68" cm="1">
        <f t="array" ref="BJ1798">IF(BM1798 = "", "",IFERROR(INDEX(AW1798:BH1798,1,MATCH(2,1/(AW1798:BH1798&lt;&gt;""),1)-1),""))</f>
        <v>0</v>
      </c>
      <c r="BK1798" s="58">
        <f>IF((IF(AW1798&gt;=115%,115%,AW1798) + IF(AX1798&gt;=115%,115%,AX1798) + IF(AY1798&gt;=115%,115%,AY1798) + (IF(AZ1798&gt;=115%,115%,AZ1798) + IF(BA1798&gt;=115%,115%,BA1798) + IF(BB1798&gt;=115%,115%,BB1798) + IF(BC1798&gt;=115%,115%,BC1798) + IF(BD1798&gt;=115%,115%,BD1798) + IF(BE1798&gt;=115%,115%,BE1798) + IF(BF1798&gt;=115%,115%,BF1798) + IF(BG1798&gt;=115%,115%,BG1798) + IF(BH1798&gt;=115%,115%,BH1798)))/_xlfn.XLOOKUP(F1798,Apuração!A:A,Apuração!B:B)&gt;=1.15,1.15,((IF(AZ1798&gt;=115%,115%,AZ1798) + IF(AX1798&gt;=115%,115%,AX1798) + IF(AY1798&gt;=115%,115%,AY1798) + (IF(AW1798&gt;=115%,115%,AW1798) + IF(BA1798&gt;=115%,115%,BA1798) + IF(BB1798&gt;=115%,115%,BB1798) + IF(BC1798&gt;=115%,115%,BC1798) + IF(BD1798&gt;=115%,115%,BD1798) + IF(BE1798&gt;=115%,115%,BE1798) + IF(BF1798&gt;=115%,115%,BF1798) + IF(BG1798&gt;=115%,115%,BG1798) + IF(BH1798&gt;=115%,115%,BH1798)))/_xlfn.XLOOKUP(F1798,Apuração!A:A,Apuração!B:B)))</f>
        <v>0</v>
      </c>
      <c r="BL1798" s="58" cm="1">
        <f t="array" aca="1" ref="BL1798" ca="1">IF(SUM(IFERROR(IF(INDEX(AW1798:INDEX(AW1798:BH1798, MATCH(2, 1/(AW1798:BH1798&lt;&gt;""), 1)-1), ROW(INDIRECT("1:" &amp; MATCH(2, 1/(AW1798:BH1798&lt;&gt;""), 1)-1))) &gt;= 115%, 115%, INDEX(AW1798:INDEX(AW1798:BH1798, MATCH(2, 1/(AW1798:BH1798&lt;&gt;""), 1)-1), ROW(INDIRECT("1:" &amp; MATCH(2, 1/(AW1798:BH1798&lt;&gt;""), 1)-1)))), 0))/_xlfn.XLOOKUP(F1798,Apuração!A:A,Apuração!B:B)&gt;=1.15,1.15,SUM(IFERROR(IF(INDEX(AW1798:INDEX(AW1798:BH1798, MATCH(2, 1/(AW1798:BH1798&lt;&gt;""), 1)-1), ROW(INDIRECT("1:" &amp; MATCH(2, 1/(AW1798:BH1798&lt;&gt;""), 1)-1))) &gt;= 115%, 115%, INDEX(AW1798:INDEX(AW1798:BH1798, MATCH(2, 1/(AW1798:BH1798&lt;&gt;""), 1)-1), ROW(INDIRECT("1:" &amp; MATCH(2, 1/(AW1798:BH1798&lt;&gt;""), 1)-1)))), 0))/_xlfn.XLOOKUP(F1798,Apuração!A:A,Apuração!B:B))</f>
        <v>0</v>
      </c>
      <c r="BM1798" s="55" cm="1">
        <f t="array" ref="BM1798">IFERROR(
   INDEX($AW$1:$BH$1,
      _xlfn.AGGREGATE(14, 6, COLUMN($AW$1:$BH$1)/(AW1798:BH1798&lt;&gt;""), 2) - COLUMN($AW$1) + 1
   ),
"")</f>
        <v>46082</v>
      </c>
      <c r="BN1798" s="55" cm="1">
        <f t="array" ref="BN1798">IFERROR(INDEX($AW$1:$BH$1,1,MATCH(2,1/(AW1798:BH1798&lt;&gt;""))),"")</f>
        <v>46113</v>
      </c>
      <c r="BO1798" s="53">
        <f ca="1">IFERROR(_xlfn.XLOOKUP(F1798,Apuração!A:A,Apuração!C:C)/_xlfn.XLOOKUP(F1798,Apuração!A:A,Apuração!B:B),0)</f>
        <v>0</v>
      </c>
      <c r="BP1798" s="53">
        <f ca="1">IFERROR(_xlfn.XLOOKUP(F1798,Apuração!A:A,Apuração!D:D)/_xlfn.XLOOKUP(F1798,Apuração!A:A,Apuração!B:B),0)</f>
        <v>0</v>
      </c>
      <c r="BQ1798" s="53">
        <f ca="1">IF(BK1798&gt;=BO1798,0,_xlfn.XLOOKUP(F1798,Apuração!A:A,Apuração!B:B)*(BO1798 + (1/_xlfn.XLOOKUP(F1798,Apuração!A:A,Apuração!B:B)) - BK1798))</f>
        <v>0</v>
      </c>
      <c r="BR1798" s="85">
        <f t="shared" ca="1" si="2103"/>
        <v>0</v>
      </c>
      <c r="BS1798" s="53">
        <f ca="1">IFERROR((_xlfn.XLOOKUP(F1798,Apuração!A:A,Apuração!C:C)+1)/_xlfn.XLOOKUP(F1798,Apuração!A:A,Apuração!B:B),0)</f>
        <v>0.14285714285714285</v>
      </c>
    </row>
    <row r="1799" spans="1:71" ht="25.95" hidden="1" customHeight="1" x14ac:dyDescent="0.3">
      <c r="A1799" s="23" t="s">
        <v>134</v>
      </c>
      <c r="B1799" s="4" t="s">
        <v>174</v>
      </c>
      <c r="C1799" s="5" t="s">
        <v>214</v>
      </c>
      <c r="D1799" s="5" t="s">
        <v>213</v>
      </c>
      <c r="E1799" s="4" t="s">
        <v>96</v>
      </c>
      <c r="F1799" s="4" t="str" cm="1">
        <f t="array" ref="F1799">_xlfn.IFS(
AG1799 &lt;&gt; "", "Jan-Dez/26",
AH1799 &lt;&gt; "", "Fev-Dez/26",
AI1799 &lt;&gt; "", "Mar-Dez/26", AJ1799 &lt;&gt; "", "Abr-Dez/26",
TRUE, "A partir de Junho"
)</f>
        <v>A partir de Junho</v>
      </c>
      <c r="G1799" s="4" t="s">
        <v>62</v>
      </c>
      <c r="H1799" s="7" t="s">
        <v>38</v>
      </c>
      <c r="I1799" s="8" t="s">
        <v>171</v>
      </c>
      <c r="J1799" s="8" t="str" cm="1">
        <f t="array" aca="1" ref="J1799" ca="1">_xlfn.LET(
  _xlpm.actual_value_month, INDEX(T1799:AE1799, MATCH(DATE(YEAR(TODAY()), MONTH(TODAY()), 1), $T$1:$AE$1, 0)),
  IF(_xlpm.actual_value_month &lt;&gt; "",_xlpm.actual_value_month &amp; " ações mensais", "")
)</f>
        <v/>
      </c>
      <c r="K1799" s="8" t="str" cm="1">
        <f t="array" ref="K1799">_xlfn.LET(
    _xlpm.sum_month, SUM(T1799:AE1799),
    IF(_xlpm.sum_month = 0, "", _xlpm.sum_month &amp; " colaboradores impactados no ano")
)</f>
        <v/>
      </c>
      <c r="L1799" s="9" t="s">
        <v>172</v>
      </c>
      <c r="M1799" s="24">
        <v>1</v>
      </c>
      <c r="N1799" s="5" t="s">
        <v>42</v>
      </c>
      <c r="O1799" s="5" t="s">
        <v>43</v>
      </c>
      <c r="P1799" s="10" t="s">
        <v>44</v>
      </c>
      <c r="Q1799" s="10" t="s">
        <v>72</v>
      </c>
      <c r="R1799" s="11" t="s">
        <v>66</v>
      </c>
      <c r="S1799" s="11" t="s">
        <v>67</v>
      </c>
      <c r="T1799" s="22"/>
      <c r="U1799" s="22"/>
      <c r="V1799" s="22"/>
      <c r="W1799" s="22"/>
      <c r="X1799" s="22"/>
      <c r="Y1799" s="22"/>
      <c r="Z1799" s="22"/>
      <c r="AA1799" s="22"/>
      <c r="AB1799" s="22"/>
      <c r="AC1799" s="22"/>
      <c r="AD1799" s="22"/>
      <c r="AE1799" s="22"/>
      <c r="AG1799" s="71"/>
      <c r="AH1799" s="71"/>
      <c r="AI1799" s="71"/>
      <c r="AJ1799" s="71"/>
      <c r="AK1799" s="71"/>
      <c r="AL1799" s="71"/>
      <c r="AM1799" s="71"/>
      <c r="AN1799" s="71"/>
      <c r="AO1799" s="71"/>
      <c r="AP1799" s="71"/>
      <c r="AQ1799" s="71"/>
      <c r="AR1799" s="71"/>
      <c r="AS1799" s="94">
        <f ca="1">IF(MONTH(TODAY())=3,SUM(T1799:U1799),IF(MONTH(TODAY())=4,SUM(T1799:V1799),IF(MONTH(TODAY())=5,SUM(T1799:W1799),IF(MONTH(TODAY())=6,SUM(T1799:X1799),IF(MONTH(TODAY())=7,SUM(T1799:Y1799),IF(MONTH(TODAY())=8,SUM(T1799:Z1799),IF(MONTH(TODAY())=9,SUM(T1799:AA1799),IF(MONTH(TODAY())=10,SUM(T1799:AB1799),IF(MONTH(TODAY())=11,SUM(T1799:AC1799),IF(MONTH(TODAY())=12,SUM(T1799:AD1799),IF(MONTH(TODAY())=1,SUM(T1799:AE1799),T1799)))))))))))</f>
        <v>0</v>
      </c>
      <c r="AT1799" s="95">
        <f>SUM(IF(AW1799&lt;1.15,AG1799,1.15*T1799),IF(AX1799&lt;1.15,AH1799,1.15*U1799),IF(AY1799&lt;1.15,AI1799,1.15*V1799),IF(AZ1799&lt;1.15,AJ1799,1.15*W1799),IF(BA1799&lt;1.15,AK1799,1.15*X1799),IF(BB1799&lt;1.15,AL1799,1.15*Y1799),IF(BC1799&lt;1.15,AM1799,1.15*Z1799),IF(BD1799&lt;1.15,AN1799,1.15*AA1799),IF(BE1799&lt;1.15,AO1799,1.15*AB1799),IF(BF1799&lt;1.15,AP1799,1.15*AC1799),IF(BG1799&lt;1.15,AQ1799,1.15*AD1799),IF(BH1799&lt;1.15,AR1799,1.15*AE1799))</f>
        <v>0</v>
      </c>
      <c r="AU1799" s="97">
        <f>SUM(AG1799:AR1799)</f>
        <v>0</v>
      </c>
      <c r="AW1799" s="51">
        <f>IFERROR(IF(AG1799="",0,AG1799/T1799),0)</f>
        <v>0</v>
      </c>
      <c r="AX1799" s="51">
        <f>IFERROR(IF(AH1799="",0,AH1799/U1799),0)</f>
        <v>0</v>
      </c>
      <c r="AY1799" s="51">
        <f>IFERROR(IF(AI1799="",0,AI1799/V1799),0)</f>
        <v>0</v>
      </c>
      <c r="AZ1799" s="51">
        <f>IFERROR(IF(AJ1799="",0,AJ1799/W1799),0)</f>
        <v>0</v>
      </c>
      <c r="BA1799" s="51"/>
      <c r="BB1799" s="51"/>
      <c r="BC1799" s="51"/>
      <c r="BD1799" s="51"/>
      <c r="BE1799" s="51"/>
      <c r="BF1799" s="51"/>
      <c r="BG1799" s="51"/>
      <c r="BH1799" s="51"/>
      <c r="BI1799" s="65" cm="1">
        <f t="array" ref="BI1799">IFERROR(INDEX(AW1799:BH1799,1,MATCH(2,1/(AW1799:BH1799&lt;&gt;""))),"")</f>
        <v>0</v>
      </c>
      <c r="BJ1799" s="68" cm="1">
        <f t="array" ref="BJ1799">IF(BM1799 = "", "",IFERROR(INDEX(AW1799:BH1799,1,MATCH(2,1/(AW1799:BH1799&lt;&gt;""),1)-1),""))</f>
        <v>0</v>
      </c>
      <c r="BK1799" s="58">
        <f>IF((IF(AW1799&gt;=115%,115%,AW1799) + IF(AX1799&gt;=115%,115%,AX1799) + IF(AY1799&gt;=115%,115%,AY1799) + (IF(AZ1799&gt;=115%,115%,AZ1799) + IF(BA1799&gt;=133%,133%,BA1799) + IF(BB1799&gt;=115%,115%,BB1799) + IF(BC1799&gt;=115%,115%,BC1799) + IF(BD1799&gt;=115%,115%,BD1799) + IF(BE1799&gt;=115%,115%,BE1799) + IF(BF1799&gt;=115%,115%,BF1799) + IF(BG1799&gt;=115%,115%,BG1799) + IF(BH1799&gt;=115%,115%,BH1799)))/_xlfn.XLOOKUP(F1799,Apuração!A:A,Apuração!B:B)&gt;=1.15,1.15,((IF(AZ1799&gt;=115%,115%,AZ1799) + IF(AX1799&gt;=115%,115%,AX1799) + IF(AY1799&gt;=115%,115%,AY1799) + (IF(AW1799&gt;=115%,115%,AW1799) + IF(BA1799&gt;=133%,133%,BA1799) + IF(BB1799&gt;=115%,115%,BB1799) + IF(BC1799&gt;=115%,115%,BC1799) + IF(BD1799&gt;=115%,115%,BD1799) + IF(BE1799&gt;=115%,115%,BE1799) + IF(BF1799&gt;=115%,115%,BF1799) + IF(BG1799&gt;=115%,115%,BG1799) + IF(BH1799&gt;=115%,115%,BH1799)))/_xlfn.XLOOKUP(F1799,Apuração!A:A,Apuração!B:B)))</f>
        <v>0</v>
      </c>
      <c r="BL1799" s="58" cm="1">
        <f t="array" aca="1" ref="BL1799" ca="1">IF(SUM(IFERROR(IF(INDEX(AW1799:INDEX(AW1799:BH1799, MATCH(2, 1/(AW1799:BH1799&lt;&gt;""), 1)-1), ROW(INDIRECT("1:" &amp; MATCH(2, 1/(AW1799:BH1799&lt;&gt;""), 1)-1))) &gt;= 115%, 115%, INDEX(AW1799:INDEX(AW1799:BH1799, MATCH(2, 1/(AW1799:BH1799&lt;&gt;""), 1)-1), ROW(INDIRECT("1:" &amp; MATCH(2, 1/(AW1799:BH1799&lt;&gt;""), 1)-1)))), 0))/_xlfn.XLOOKUP(F1799,Apuração!A:A,Apuração!B:B)&gt;=1.15,1.15,SUM(IFERROR(IF(INDEX(AW1799:INDEX(AW1799:BH1799, MATCH(2, 1/(AW1799:BH1799&lt;&gt;""), 1)-1), ROW(INDIRECT("1:" &amp; MATCH(2, 1/(AW1799:BH1799&lt;&gt;""), 1)-1))) &gt;= 115%, 115%, INDEX(AW1799:INDEX(AW1799:BH1799, MATCH(2, 1/(AW1799:BH1799&lt;&gt;""), 1)-1), ROW(INDIRECT("1:" &amp; MATCH(2, 1/(AW1799:BH1799&lt;&gt;""), 1)-1)))), 0))/_xlfn.XLOOKUP(F1799,Apuração!A:A,Apuração!B:B))</f>
        <v>0</v>
      </c>
      <c r="BM1799" s="55" cm="1">
        <f t="array" ref="BM1799">IFERROR(
   INDEX($AW$1:$BH$1,
      _xlfn.AGGREGATE(14, 6, COLUMN($AW$1:$BH$1)/(AW1799:BH1799&lt;&gt;""), 2) - COLUMN($AW$1) + 1
   ),
"")</f>
        <v>46082</v>
      </c>
      <c r="BN1799" s="55" cm="1">
        <f t="array" ref="BN1799">IFERROR(INDEX($AW$1:$BH$1,1,MATCH(2,1/(AW1799:BH1799&lt;&gt;""))),"")</f>
        <v>46113</v>
      </c>
      <c r="BO1799" s="53">
        <f ca="1">IFERROR(_xlfn.XLOOKUP(F1799,Apuração!A:A,Apuração!C:C)/_xlfn.XLOOKUP(F1799,Apuração!A:A,Apuração!B:B),0)</f>
        <v>0</v>
      </c>
      <c r="BP1799" s="53">
        <f ca="1">IFERROR(_xlfn.XLOOKUP(F1799,Apuração!A:A,Apuração!D:D)/_xlfn.XLOOKUP(F1799,Apuração!A:A,Apuração!B:B),0)</f>
        <v>0</v>
      </c>
      <c r="BQ1799" s="53">
        <f ca="1">IF(BK1799&gt;=BO1799,0,_xlfn.XLOOKUP(F1799,Apuração!A:A,Apuração!B:B)*(BO1799 + (1/_xlfn.XLOOKUP(F1799,Apuração!A:A,Apuração!B:B)) - BK1799))</f>
        <v>0</v>
      </c>
      <c r="BR1799" s="85">
        <f ca="1">IF(BQ1799=0,0,BQ1799*Z1799)</f>
        <v>0</v>
      </c>
      <c r="BS1799" s="53">
        <f ca="1">IFERROR((_xlfn.XLOOKUP(F1799,Apuração!A:A,Apuração!C:C)+1)/_xlfn.XLOOKUP(F1799,Apuração!A:A,Apuração!B:B),0)</f>
        <v>0.14285714285714285</v>
      </c>
    </row>
    <row r="1800" spans="1:71" ht="25.95" hidden="1" customHeight="1" x14ac:dyDescent="0.3">
      <c r="A1800" s="23" t="s">
        <v>134</v>
      </c>
      <c r="B1800" s="4" t="s">
        <v>174</v>
      </c>
      <c r="C1800" s="5" t="s">
        <v>214</v>
      </c>
      <c r="D1800" s="5" t="s">
        <v>36</v>
      </c>
      <c r="E1800" s="4" t="s">
        <v>96</v>
      </c>
      <c r="F1800" s="4" t="str" cm="1">
        <f t="array" ref="F1800">_xlfn.IFS(
AG1800 &lt;&gt; "", "Jan-Dez/26",
AH1800 &lt;&gt; "", "Fev-Dez/26",
AI1800 &lt;&gt; "", "Mar-Dez/26", AJ1800 &lt;&gt; "", "Abr-Dez/26",
TRUE, "A partir de Junho"
)</f>
        <v>A partir de Junho</v>
      </c>
      <c r="G1800" s="4" t="s">
        <v>62</v>
      </c>
      <c r="H1800" s="7" t="s">
        <v>38</v>
      </c>
      <c r="I1800" s="8" t="s">
        <v>171</v>
      </c>
      <c r="J1800" s="8" t="str" cm="1">
        <f t="array" aca="1" ref="J1800" ca="1">_xlfn.LET(
  _xlpm.actual_value_month, INDEX(T1800:AE1800, MATCH(DATE(YEAR(TODAY()), MONTH(TODAY()), 1), $T$1:$AE$1, 0)),
  IF(_xlpm.actual_value_month &lt;&gt; "",_xlpm.actual_value_month &amp; " ações mensais", "")
)</f>
        <v/>
      </c>
      <c r="K1800" s="8" t="str" cm="1">
        <f t="array" ref="K1800">_xlfn.LET(
    _xlpm.sum_month, SUM(T1800:AE1800),
    IF(_xlpm.sum_month = 0, "", _xlpm.sum_month &amp; " colaboradores impactados no ano")
)</f>
        <v/>
      </c>
      <c r="L1800" s="9" t="s">
        <v>172</v>
      </c>
      <c r="M1800" s="24">
        <v>1</v>
      </c>
      <c r="N1800" s="5" t="s">
        <v>42</v>
      </c>
      <c r="O1800" s="5" t="s">
        <v>43</v>
      </c>
      <c r="P1800" s="10" t="s">
        <v>44</v>
      </c>
      <c r="Q1800" s="10" t="s">
        <v>72</v>
      </c>
      <c r="R1800" s="11" t="s">
        <v>66</v>
      </c>
      <c r="S1800" s="11" t="s">
        <v>67</v>
      </c>
      <c r="T1800" s="22"/>
      <c r="U1800" s="22"/>
      <c r="V1800" s="22"/>
      <c r="W1800" s="22"/>
      <c r="X1800" s="22"/>
      <c r="Y1800" s="22"/>
      <c r="Z1800" s="22"/>
      <c r="AA1800" s="22"/>
      <c r="AB1800" s="22"/>
      <c r="AC1800" s="22"/>
      <c r="AD1800" s="22"/>
      <c r="AE1800" s="22"/>
      <c r="AG1800" s="71"/>
      <c r="AH1800" s="71"/>
      <c r="AI1800" s="71"/>
      <c r="AJ1800" s="71"/>
      <c r="AK1800" s="71"/>
      <c r="AL1800" s="71"/>
      <c r="AM1800" s="71"/>
      <c r="AN1800" s="71"/>
      <c r="AO1800" s="71"/>
      <c r="AP1800" s="71"/>
      <c r="AQ1800" s="71"/>
      <c r="AR1800" s="71"/>
      <c r="AS1800" s="94">
        <f t="shared" ref="AS1800:AS1805" ca="1" si="2104">IF(MONTH(TODAY())=3,SUM(T1800:U1800),IF(MONTH(TODAY())=4,SUM(T1800:V1800),IF(MONTH(TODAY())=5,SUM(T1800:W1800),IF(MONTH(TODAY())=6,SUM(T1800:X1800),IF(MONTH(TODAY())=7,SUM(T1800:Y1800),IF(MONTH(TODAY())=8,SUM(T1800:Z1800),IF(MONTH(TODAY())=9,SUM(T1800:AA1800),IF(MONTH(TODAY())=10,SUM(T1800:AB1800),IF(MONTH(TODAY())=11,SUM(T1800:AC1800),IF(MONTH(TODAY())=12,SUM(T1800:AD1800),IF(MONTH(TODAY())=1,SUM(T1800:AE1800),T1800)))))))))))</f>
        <v>0</v>
      </c>
      <c r="AT1800" s="95">
        <f t="shared" ref="AT1800:AT1805" si="2105">SUM(IF(AW1800&lt;1.15,AG1800,1.15*T1800),IF(AX1800&lt;1.15,AH1800,1.15*U1800),IF(AY1800&lt;1.15,AI1800,1.15*V1800),IF(AZ1800&lt;1.15,AJ1800,1.15*W1800),IF(BA1800&lt;1.15,AK1800,1.15*X1800),IF(BB1800&lt;1.15,AL1800,1.15*Y1800),IF(BC1800&lt;1.15,AM1800,1.15*Z1800),IF(BD1800&lt;1.15,AN1800,1.15*AA1800),IF(BE1800&lt;1.15,AO1800,1.15*AB1800),IF(BF1800&lt;1.15,AP1800,1.15*AC1800),IF(BG1800&lt;1.15,AQ1800,1.15*AD1800),IF(BH1800&lt;1.15,AR1800,1.15*AE1800))</f>
        <v>0</v>
      </c>
      <c r="AU1800" s="97">
        <f t="shared" ref="AU1800:AU1805" si="2106">SUM(AG1800:AR1800)</f>
        <v>0</v>
      </c>
      <c r="AW1800" s="51">
        <f t="shared" ref="AW1800:AW1805" si="2107">IFERROR(IF(AG1800="",0,AG1800/T1800),0)</f>
        <v>0</v>
      </c>
      <c r="AX1800" s="51">
        <f t="shared" ref="AX1800:AX1805" si="2108">IFERROR(IF(AH1800="",0,AH1800/U1800),0)</f>
        <v>0</v>
      </c>
      <c r="AY1800" s="51">
        <f t="shared" ref="AY1800:AY1805" si="2109">IFERROR(IF(AI1800="",0,AI1800/V1800),0)</f>
        <v>0</v>
      </c>
      <c r="AZ1800" s="51">
        <f t="shared" ref="AZ1800:AZ1805" si="2110">IFERROR(IF(AJ1800="",0,AJ1800/W1800),0)</f>
        <v>0</v>
      </c>
      <c r="BA1800" s="51"/>
      <c r="BB1800" s="51"/>
      <c r="BC1800" s="51"/>
      <c r="BD1800" s="51"/>
      <c r="BE1800" s="51"/>
      <c r="BF1800" s="51"/>
      <c r="BG1800" s="51"/>
      <c r="BH1800" s="51"/>
      <c r="BI1800" s="65" cm="1">
        <f t="array" ref="BI1800">IFERROR(INDEX(AW1800:BH1800,1,MATCH(2,1/(AW1800:BH1800&lt;&gt;""))),"")</f>
        <v>0</v>
      </c>
      <c r="BJ1800" s="68" cm="1">
        <f t="array" ref="BJ1800">IF(BM1800 = "", "",IFERROR(INDEX(AW1800:BH1800,1,MATCH(2,1/(AW1800:BH1800&lt;&gt;""),1)-1),""))</f>
        <v>0</v>
      </c>
      <c r="BK1800" s="58">
        <f>IF((IF(AW1800&gt;=115%,115%,AW1800) + IF(AX1800&gt;=115%,115%,AX1800) + IF(AY1800&gt;=115%,115%,AY1800) + (IF(AZ1800&gt;=115%,115%,AZ1800) + IF(BA1800&gt;=133%,133%,BA1800) + IF(BB1800&gt;=115%,115%,BB1800) + IF(BC1800&gt;=115%,115%,BC1800) + IF(BD1800&gt;=115%,115%,BD1800) + IF(BE1800&gt;=115%,115%,BE1800) + IF(BF1800&gt;=115%,115%,BF1800) + IF(BG1800&gt;=115%,115%,BG1800) + IF(BH1800&gt;=115%,115%,BH1800)))/_xlfn.XLOOKUP(F1800,Apuração!A:A,Apuração!B:B)&gt;=1.15,1.15,((IF(AZ1800&gt;=115%,115%,AZ1800) + IF(AX1800&gt;=115%,115%,AX1800) + IF(AY1800&gt;=115%,115%,AY1800) + (IF(AW1800&gt;=115%,115%,AW1800) + IF(BA1800&gt;=133%,133%,BA1800) + IF(BB1800&gt;=115%,115%,BB1800) + IF(BC1800&gt;=115%,115%,BC1800) + IF(BD1800&gt;=115%,115%,BD1800) + IF(BE1800&gt;=115%,115%,BE1800) + IF(BF1800&gt;=115%,115%,BF1800) + IF(BG1800&gt;=115%,115%,BG1800) + IF(BH1800&gt;=115%,115%,BH1800)))/_xlfn.XLOOKUP(F1800,Apuração!A:A,Apuração!B:B)))</f>
        <v>0</v>
      </c>
      <c r="BL1800" s="58" cm="1">
        <f t="array" aca="1" ref="BL1800" ca="1">IF(SUM(IFERROR(IF(INDEX(AW1800:INDEX(AW1800:BH1800, MATCH(2, 1/(AW1800:BH1800&lt;&gt;""), 1)-1), ROW(INDIRECT("1:" &amp; MATCH(2, 1/(AW1800:BH1800&lt;&gt;""), 1)-1))) &gt;= 115%, 115%, INDEX(AW1800:INDEX(AW1800:BH1800, MATCH(2, 1/(AW1800:BH1800&lt;&gt;""), 1)-1), ROW(INDIRECT("1:" &amp; MATCH(2, 1/(AW1800:BH1800&lt;&gt;""), 1)-1)))), 0))/_xlfn.XLOOKUP(F1800,Apuração!A:A,Apuração!B:B)&gt;=1.15,1.15,SUM(IFERROR(IF(INDEX(AW1800:INDEX(AW1800:BH1800, MATCH(2, 1/(AW1800:BH1800&lt;&gt;""), 1)-1), ROW(INDIRECT("1:" &amp; MATCH(2, 1/(AW1800:BH1800&lt;&gt;""), 1)-1))) &gt;= 115%, 115%, INDEX(AW1800:INDEX(AW1800:BH1800, MATCH(2, 1/(AW1800:BH1800&lt;&gt;""), 1)-1), ROW(INDIRECT("1:" &amp; MATCH(2, 1/(AW1800:BH1800&lt;&gt;""), 1)-1)))), 0))/_xlfn.XLOOKUP(F1800,Apuração!A:A,Apuração!B:B))</f>
        <v>0</v>
      </c>
      <c r="BM1800" s="55" cm="1">
        <f t="array" ref="BM1800">IFERROR(
   INDEX($AW$1:$BH$1,
      _xlfn.AGGREGATE(14, 6, COLUMN($AW$1:$BH$1)/(AW1800:BH1800&lt;&gt;""), 2) - COLUMN($AW$1) + 1
   ),
"")</f>
        <v>46082</v>
      </c>
      <c r="BN1800" s="55" cm="1">
        <f t="array" ref="BN1800">IFERROR(INDEX($AW$1:$BH$1,1,MATCH(2,1/(AW1800:BH1800&lt;&gt;""))),"")</f>
        <v>46113</v>
      </c>
      <c r="BO1800" s="53">
        <f ca="1">IFERROR(_xlfn.XLOOKUP(F1800,Apuração!A:A,Apuração!C:C)/_xlfn.XLOOKUP(F1800,Apuração!A:A,Apuração!B:B),0)</f>
        <v>0</v>
      </c>
      <c r="BP1800" s="53">
        <f ca="1">IFERROR(_xlfn.XLOOKUP(F1800,Apuração!A:A,Apuração!D:D)/_xlfn.XLOOKUP(F1800,Apuração!A:A,Apuração!B:B),0)</f>
        <v>0</v>
      </c>
      <c r="BQ1800" s="53">
        <f ca="1">IF(BK1800&gt;=BO1800,0,_xlfn.XLOOKUP(F1800,Apuração!A:A,Apuração!B:B)*(BO1800 + (1/_xlfn.XLOOKUP(F1800,Apuração!A:A,Apuração!B:B)) - BK1800))</f>
        <v>0</v>
      </c>
      <c r="BR1800" s="85">
        <f t="shared" ref="BR1800:BR1805" ca="1" si="2111">IF(BQ1800=0,0,BQ1800*Z1800)</f>
        <v>0</v>
      </c>
      <c r="BS1800" s="53">
        <f ca="1">IFERROR((_xlfn.XLOOKUP(F1800,Apuração!A:A,Apuração!C:C)+1)/_xlfn.XLOOKUP(F1800,Apuração!A:A,Apuração!B:B),0)</f>
        <v>0.14285714285714285</v>
      </c>
    </row>
    <row r="1801" spans="1:71" ht="25.95" hidden="1" customHeight="1" x14ac:dyDescent="0.3">
      <c r="A1801" s="23" t="s">
        <v>134</v>
      </c>
      <c r="B1801" s="4" t="s">
        <v>174</v>
      </c>
      <c r="C1801" s="5" t="s">
        <v>214</v>
      </c>
      <c r="D1801" s="5" t="s">
        <v>210</v>
      </c>
      <c r="E1801" s="4" t="s">
        <v>96</v>
      </c>
      <c r="F1801" s="4" t="str" cm="1">
        <f t="array" ref="F1801">_xlfn.IFS(
AG1801 &lt;&gt; "", "Jan-Dez/26",
AH1801 &lt;&gt; "", "Fev-Dez/26",
AI1801 &lt;&gt; "", "Mar-Dez/26", AJ1801 &lt;&gt; "", "Abr-Dez/26",
TRUE, "A partir de Junho"
)</f>
        <v>A partir de Junho</v>
      </c>
      <c r="G1801" s="4" t="s">
        <v>62</v>
      </c>
      <c r="H1801" s="7" t="s">
        <v>38</v>
      </c>
      <c r="I1801" s="8" t="s">
        <v>171</v>
      </c>
      <c r="J1801" s="8" t="str" cm="1">
        <f t="array" aca="1" ref="J1801" ca="1">_xlfn.LET(
  _xlpm.actual_value_month, INDEX(T1801:AE1801, MATCH(DATE(YEAR(TODAY()), MONTH(TODAY()), 1), $T$1:$AE$1, 0)),
  IF(_xlpm.actual_value_month &lt;&gt; "",_xlpm.actual_value_month &amp; " ações mensais", "")
)</f>
        <v/>
      </c>
      <c r="K1801" s="8" t="str" cm="1">
        <f t="array" ref="K1801">_xlfn.LET(
    _xlpm.sum_month, SUM(T1801:AE1801),
    IF(_xlpm.sum_month = 0, "", _xlpm.sum_month &amp; " colaboradores impactados no ano")
)</f>
        <v/>
      </c>
      <c r="L1801" s="9" t="s">
        <v>172</v>
      </c>
      <c r="M1801" s="24">
        <v>1</v>
      </c>
      <c r="N1801" s="5" t="s">
        <v>42</v>
      </c>
      <c r="O1801" s="5" t="s">
        <v>43</v>
      </c>
      <c r="P1801" s="10" t="s">
        <v>44</v>
      </c>
      <c r="Q1801" s="10" t="s">
        <v>72</v>
      </c>
      <c r="R1801" s="11" t="s">
        <v>66</v>
      </c>
      <c r="S1801" s="11" t="s">
        <v>67</v>
      </c>
      <c r="T1801" s="22"/>
      <c r="U1801" s="22"/>
      <c r="V1801" s="22"/>
      <c r="W1801" s="22"/>
      <c r="X1801" s="22"/>
      <c r="Y1801" s="22"/>
      <c r="Z1801" s="22"/>
      <c r="AA1801" s="22"/>
      <c r="AB1801" s="22"/>
      <c r="AC1801" s="22"/>
      <c r="AD1801" s="22"/>
      <c r="AE1801" s="22"/>
      <c r="AG1801" s="71"/>
      <c r="AH1801" s="71"/>
      <c r="AI1801" s="71"/>
      <c r="AJ1801" s="71"/>
      <c r="AK1801" s="71"/>
      <c r="AL1801" s="71"/>
      <c r="AM1801" s="71"/>
      <c r="AN1801" s="71"/>
      <c r="AO1801" s="71"/>
      <c r="AP1801" s="71"/>
      <c r="AQ1801" s="71"/>
      <c r="AR1801" s="71"/>
      <c r="AS1801" s="94">
        <f t="shared" ca="1" si="2104"/>
        <v>0</v>
      </c>
      <c r="AT1801" s="95">
        <f t="shared" si="2105"/>
        <v>0</v>
      </c>
      <c r="AU1801" s="97">
        <f t="shared" si="2106"/>
        <v>0</v>
      </c>
      <c r="AW1801" s="51">
        <f t="shared" si="2107"/>
        <v>0</v>
      </c>
      <c r="AX1801" s="51">
        <f t="shared" si="2108"/>
        <v>0</v>
      </c>
      <c r="AY1801" s="51">
        <f t="shared" si="2109"/>
        <v>0</v>
      </c>
      <c r="AZ1801" s="51">
        <f t="shared" si="2110"/>
        <v>0</v>
      </c>
      <c r="BA1801" s="51"/>
      <c r="BB1801" s="51"/>
      <c r="BC1801" s="51"/>
      <c r="BD1801" s="51"/>
      <c r="BE1801" s="51"/>
      <c r="BF1801" s="51"/>
      <c r="BG1801" s="51"/>
      <c r="BH1801" s="51"/>
      <c r="BI1801" s="65" cm="1">
        <f t="array" ref="BI1801">IFERROR(INDEX(AW1801:BH1801,1,MATCH(2,1/(AW1801:BH1801&lt;&gt;""))),"")</f>
        <v>0</v>
      </c>
      <c r="BJ1801" s="68" cm="1">
        <f t="array" ref="BJ1801">IF(BM1801 = "", "",IFERROR(INDEX(AW1801:BH1801,1,MATCH(2,1/(AW1801:BH1801&lt;&gt;""),1)-1),""))</f>
        <v>0</v>
      </c>
      <c r="BK1801" s="58">
        <f>IF((IF(AW1801&gt;=115%,115%,AW1801) + IF(AX1801&gt;=115%,115%,AX1801) + IF(AY1801&gt;=115%,115%,AY1801) + (IF(AZ1801&gt;=115%,115%,AZ1801) + IF(BA1801&gt;=133%,133%,BA1801) + IF(BB1801&gt;=115%,115%,BB1801) + IF(BC1801&gt;=115%,115%,BC1801) + IF(BD1801&gt;=115%,115%,BD1801) + IF(BE1801&gt;=115%,115%,BE1801) + IF(BF1801&gt;=115%,115%,BF1801) + IF(BG1801&gt;=115%,115%,BG1801) + IF(BH1801&gt;=115%,115%,BH1801)))/_xlfn.XLOOKUP(F1801,Apuração!A:A,Apuração!B:B)&gt;=1.15,1.15,((IF(AZ1801&gt;=115%,115%,AZ1801) + IF(AX1801&gt;=115%,115%,AX1801) + IF(AY1801&gt;=115%,115%,AY1801) + (IF(AW1801&gt;=115%,115%,AW1801) + IF(BA1801&gt;=133%,133%,BA1801) + IF(BB1801&gt;=115%,115%,BB1801) + IF(BC1801&gt;=115%,115%,BC1801) + IF(BD1801&gt;=115%,115%,BD1801) + IF(BE1801&gt;=115%,115%,BE1801) + IF(BF1801&gt;=115%,115%,BF1801) + IF(BG1801&gt;=115%,115%,BG1801) + IF(BH1801&gt;=115%,115%,BH1801)))/_xlfn.XLOOKUP(F1801,Apuração!A:A,Apuração!B:B)))</f>
        <v>0</v>
      </c>
      <c r="BL1801" s="58" cm="1">
        <f t="array" aca="1" ref="BL1801" ca="1">IF(SUM(IFERROR(IF(INDEX(AW1801:INDEX(AW1801:BH1801, MATCH(2, 1/(AW1801:BH1801&lt;&gt;""), 1)-1), ROW(INDIRECT("1:" &amp; MATCH(2, 1/(AW1801:BH1801&lt;&gt;""), 1)-1))) &gt;= 115%, 115%, INDEX(AW1801:INDEX(AW1801:BH1801, MATCH(2, 1/(AW1801:BH1801&lt;&gt;""), 1)-1), ROW(INDIRECT("1:" &amp; MATCH(2, 1/(AW1801:BH1801&lt;&gt;""), 1)-1)))), 0))/_xlfn.XLOOKUP(F1801,Apuração!A:A,Apuração!B:B)&gt;=1.15,1.15,SUM(IFERROR(IF(INDEX(AW1801:INDEX(AW1801:BH1801, MATCH(2, 1/(AW1801:BH1801&lt;&gt;""), 1)-1), ROW(INDIRECT("1:" &amp; MATCH(2, 1/(AW1801:BH1801&lt;&gt;""), 1)-1))) &gt;= 115%, 115%, INDEX(AW1801:INDEX(AW1801:BH1801, MATCH(2, 1/(AW1801:BH1801&lt;&gt;""), 1)-1), ROW(INDIRECT("1:" &amp; MATCH(2, 1/(AW1801:BH1801&lt;&gt;""), 1)-1)))), 0))/_xlfn.XLOOKUP(F1801,Apuração!A:A,Apuração!B:B))</f>
        <v>0</v>
      </c>
      <c r="BM1801" s="55" cm="1">
        <f t="array" ref="BM1801">IFERROR(
   INDEX($AW$1:$BH$1,
      _xlfn.AGGREGATE(14, 6, COLUMN($AW$1:$BH$1)/(AW1801:BH1801&lt;&gt;""), 2) - COLUMN($AW$1) + 1
   ),
"")</f>
        <v>46082</v>
      </c>
      <c r="BN1801" s="55" cm="1">
        <f t="array" ref="BN1801">IFERROR(INDEX($AW$1:$BH$1,1,MATCH(2,1/(AW1801:BH1801&lt;&gt;""))),"")</f>
        <v>46113</v>
      </c>
      <c r="BO1801" s="53">
        <f ca="1">IFERROR(_xlfn.XLOOKUP(F1801,Apuração!A:A,Apuração!C:C)/_xlfn.XLOOKUP(F1801,Apuração!A:A,Apuração!B:B),0)</f>
        <v>0</v>
      </c>
      <c r="BP1801" s="53">
        <f ca="1">IFERROR(_xlfn.XLOOKUP(F1801,Apuração!A:A,Apuração!D:D)/_xlfn.XLOOKUP(F1801,Apuração!A:A,Apuração!B:B),0)</f>
        <v>0</v>
      </c>
      <c r="BQ1801" s="53">
        <f ca="1">IF(BK1801&gt;=BO1801,0,_xlfn.XLOOKUP(F1801,Apuração!A:A,Apuração!B:B)*(BO1801 + (1/_xlfn.XLOOKUP(F1801,Apuração!A:A,Apuração!B:B)) - BK1801))</f>
        <v>0</v>
      </c>
      <c r="BR1801" s="85">
        <f t="shared" ca="1" si="2111"/>
        <v>0</v>
      </c>
      <c r="BS1801" s="53">
        <f ca="1">IFERROR((_xlfn.XLOOKUP(F1801,Apuração!A:A,Apuração!C:C)+1)/_xlfn.XLOOKUP(F1801,Apuração!A:A,Apuração!B:B),0)</f>
        <v>0.14285714285714285</v>
      </c>
    </row>
    <row r="1802" spans="1:71" ht="25.95" hidden="1" customHeight="1" x14ac:dyDescent="0.3">
      <c r="A1802" s="23" t="s">
        <v>134</v>
      </c>
      <c r="B1802" s="4" t="s">
        <v>174</v>
      </c>
      <c r="C1802" s="5" t="s">
        <v>214</v>
      </c>
      <c r="D1802" s="5" t="s">
        <v>215</v>
      </c>
      <c r="E1802" s="4" t="s">
        <v>96</v>
      </c>
      <c r="F1802" s="4" t="str" cm="1">
        <f t="array" ref="F1802">_xlfn.IFS(
AG1802 &lt;&gt; "", "Jan-Dez/26",
AH1802 &lt;&gt; "", "Fev-Dez/26",
AI1802 &lt;&gt; "", "Mar-Dez/26", AJ1802 &lt;&gt; "", "Abr-Dez/26",
TRUE, "A partir de Junho"
)</f>
        <v>A partir de Junho</v>
      </c>
      <c r="G1802" s="4" t="s">
        <v>62</v>
      </c>
      <c r="H1802" s="7" t="s">
        <v>38</v>
      </c>
      <c r="I1802" s="8" t="s">
        <v>171</v>
      </c>
      <c r="J1802" s="8" t="str" cm="1">
        <f t="array" aca="1" ref="J1802" ca="1">_xlfn.LET(
  _xlpm.actual_value_month, INDEX(T1802:AE1802, MATCH(DATE(YEAR(TODAY()), MONTH(TODAY()), 1), $T$1:$AE$1, 0)),
  IF(_xlpm.actual_value_month &lt;&gt; "",_xlpm.actual_value_month &amp; " ações mensais", "")
)</f>
        <v/>
      </c>
      <c r="K1802" s="8" t="str" cm="1">
        <f t="array" ref="K1802">_xlfn.LET(
    _xlpm.sum_month, SUM(T1802:AE1802),
    IF(_xlpm.sum_month = 0, "", _xlpm.sum_month &amp; " colaboradores impactados no ano")
)</f>
        <v/>
      </c>
      <c r="L1802" s="9" t="s">
        <v>172</v>
      </c>
      <c r="M1802" s="24">
        <v>1</v>
      </c>
      <c r="N1802" s="5" t="s">
        <v>42</v>
      </c>
      <c r="O1802" s="5" t="s">
        <v>43</v>
      </c>
      <c r="P1802" s="10" t="s">
        <v>44</v>
      </c>
      <c r="Q1802" s="10" t="s">
        <v>72</v>
      </c>
      <c r="R1802" s="11" t="s">
        <v>66</v>
      </c>
      <c r="S1802" s="11" t="s">
        <v>67</v>
      </c>
      <c r="T1802" s="22"/>
      <c r="U1802" s="22"/>
      <c r="V1802" s="22"/>
      <c r="W1802" s="22"/>
      <c r="X1802" s="22"/>
      <c r="Y1802" s="22"/>
      <c r="Z1802" s="22"/>
      <c r="AA1802" s="22"/>
      <c r="AB1802" s="22"/>
      <c r="AC1802" s="22"/>
      <c r="AD1802" s="22"/>
      <c r="AE1802" s="22"/>
      <c r="AG1802" s="71"/>
      <c r="AH1802" s="71"/>
      <c r="AI1802" s="71"/>
      <c r="AJ1802" s="71"/>
      <c r="AK1802" s="71"/>
      <c r="AL1802" s="71"/>
      <c r="AM1802" s="71"/>
      <c r="AN1802" s="71"/>
      <c r="AO1802" s="71"/>
      <c r="AP1802" s="71"/>
      <c r="AQ1802" s="71"/>
      <c r="AR1802" s="71"/>
      <c r="AS1802" s="94">
        <f t="shared" ca="1" si="2104"/>
        <v>0</v>
      </c>
      <c r="AT1802" s="95">
        <f t="shared" si="2105"/>
        <v>0</v>
      </c>
      <c r="AU1802" s="97">
        <f t="shared" si="2106"/>
        <v>0</v>
      </c>
      <c r="AW1802" s="51">
        <f t="shared" si="2107"/>
        <v>0</v>
      </c>
      <c r="AX1802" s="51">
        <f t="shared" si="2108"/>
        <v>0</v>
      </c>
      <c r="AY1802" s="51">
        <f t="shared" si="2109"/>
        <v>0</v>
      </c>
      <c r="AZ1802" s="51">
        <f t="shared" si="2110"/>
        <v>0</v>
      </c>
      <c r="BA1802" s="51"/>
      <c r="BB1802" s="51"/>
      <c r="BC1802" s="51"/>
      <c r="BD1802" s="51"/>
      <c r="BE1802" s="51"/>
      <c r="BF1802" s="51"/>
      <c r="BG1802" s="51"/>
      <c r="BH1802" s="51"/>
      <c r="BI1802" s="65" cm="1">
        <f t="array" ref="BI1802">IFERROR(INDEX(AW1802:BH1802,1,MATCH(2,1/(AW1802:BH1802&lt;&gt;""))),"")</f>
        <v>0</v>
      </c>
      <c r="BJ1802" s="68" cm="1">
        <f t="array" ref="BJ1802">IF(BM1802 = "", "",IFERROR(INDEX(AW1802:BH1802,1,MATCH(2,1/(AW1802:BH1802&lt;&gt;""),1)-1),""))</f>
        <v>0</v>
      </c>
      <c r="BK1802" s="58">
        <f>IF((IF(AW1802&gt;=115%,115%,AW1802) + IF(AX1802&gt;=115%,115%,AX1802) + IF(AY1802&gt;=115%,115%,AY1802) + (IF(AZ1802&gt;=115%,115%,AZ1802) + IF(BA1802&gt;=133%,133%,BA1802) + IF(BB1802&gt;=115%,115%,BB1802) + IF(BC1802&gt;=115%,115%,BC1802) + IF(BD1802&gt;=115%,115%,BD1802) + IF(BE1802&gt;=115%,115%,BE1802) + IF(BF1802&gt;=115%,115%,BF1802) + IF(BG1802&gt;=115%,115%,BG1802) + IF(BH1802&gt;=115%,115%,BH1802)))/_xlfn.XLOOKUP(F1802,Apuração!A:A,Apuração!B:B)&gt;=1.15,1.15,((IF(AZ1802&gt;=115%,115%,AZ1802) + IF(AX1802&gt;=115%,115%,AX1802) + IF(AY1802&gt;=115%,115%,AY1802) + (IF(AW1802&gt;=115%,115%,AW1802) + IF(BA1802&gt;=133%,133%,BA1802) + IF(BB1802&gt;=115%,115%,BB1802) + IF(BC1802&gt;=115%,115%,BC1802) + IF(BD1802&gt;=115%,115%,BD1802) + IF(BE1802&gt;=115%,115%,BE1802) + IF(BF1802&gt;=115%,115%,BF1802) + IF(BG1802&gt;=115%,115%,BG1802) + IF(BH1802&gt;=115%,115%,BH1802)))/_xlfn.XLOOKUP(F1802,Apuração!A:A,Apuração!B:B)))</f>
        <v>0</v>
      </c>
      <c r="BL1802" s="58" cm="1">
        <f t="array" aca="1" ref="BL1802" ca="1">IF(SUM(IFERROR(IF(INDEX(AW1802:INDEX(AW1802:BH1802, MATCH(2, 1/(AW1802:BH1802&lt;&gt;""), 1)-1), ROW(INDIRECT("1:" &amp; MATCH(2, 1/(AW1802:BH1802&lt;&gt;""), 1)-1))) &gt;= 115%, 115%, INDEX(AW1802:INDEX(AW1802:BH1802, MATCH(2, 1/(AW1802:BH1802&lt;&gt;""), 1)-1), ROW(INDIRECT("1:" &amp; MATCH(2, 1/(AW1802:BH1802&lt;&gt;""), 1)-1)))), 0))/_xlfn.XLOOKUP(F1802,Apuração!A:A,Apuração!B:B)&gt;=1.15,1.15,SUM(IFERROR(IF(INDEX(AW1802:INDEX(AW1802:BH1802, MATCH(2, 1/(AW1802:BH1802&lt;&gt;""), 1)-1), ROW(INDIRECT("1:" &amp; MATCH(2, 1/(AW1802:BH1802&lt;&gt;""), 1)-1))) &gt;= 115%, 115%, INDEX(AW1802:INDEX(AW1802:BH1802, MATCH(2, 1/(AW1802:BH1802&lt;&gt;""), 1)-1), ROW(INDIRECT("1:" &amp; MATCH(2, 1/(AW1802:BH1802&lt;&gt;""), 1)-1)))), 0))/_xlfn.XLOOKUP(F1802,Apuração!A:A,Apuração!B:B))</f>
        <v>0</v>
      </c>
      <c r="BM1802" s="55" cm="1">
        <f t="array" ref="BM1802">IFERROR(
   INDEX($AW$1:$BH$1,
      _xlfn.AGGREGATE(14, 6, COLUMN($AW$1:$BH$1)/(AW1802:BH1802&lt;&gt;""), 2) - COLUMN($AW$1) + 1
   ),
"")</f>
        <v>46082</v>
      </c>
      <c r="BN1802" s="55" cm="1">
        <f t="array" ref="BN1802">IFERROR(INDEX($AW$1:$BH$1,1,MATCH(2,1/(AW1802:BH1802&lt;&gt;""))),"")</f>
        <v>46113</v>
      </c>
      <c r="BO1802" s="53">
        <f ca="1">IFERROR(_xlfn.XLOOKUP(F1802,Apuração!A:A,Apuração!C:C)/_xlfn.XLOOKUP(F1802,Apuração!A:A,Apuração!B:B),0)</f>
        <v>0</v>
      </c>
      <c r="BP1802" s="53">
        <f ca="1">IFERROR(_xlfn.XLOOKUP(F1802,Apuração!A:A,Apuração!D:D)/_xlfn.XLOOKUP(F1802,Apuração!A:A,Apuração!B:B),0)</f>
        <v>0</v>
      </c>
      <c r="BQ1802" s="53">
        <f ca="1">IF(BK1802&gt;=BO1802,0,_xlfn.XLOOKUP(F1802,Apuração!A:A,Apuração!B:B)*(BO1802 + (1/_xlfn.XLOOKUP(F1802,Apuração!A:A,Apuração!B:B)) - BK1802))</f>
        <v>0</v>
      </c>
      <c r="BR1802" s="85">
        <f t="shared" ca="1" si="2111"/>
        <v>0</v>
      </c>
      <c r="BS1802" s="53">
        <f ca="1">IFERROR((_xlfn.XLOOKUP(F1802,Apuração!A:A,Apuração!C:C)+1)/_xlfn.XLOOKUP(F1802,Apuração!A:A,Apuração!B:B),0)</f>
        <v>0.14285714285714285</v>
      </c>
    </row>
    <row r="1803" spans="1:71" ht="25.95" hidden="1" customHeight="1" x14ac:dyDescent="0.3">
      <c r="A1803" s="23" t="s">
        <v>134</v>
      </c>
      <c r="B1803" s="4" t="s">
        <v>174</v>
      </c>
      <c r="C1803" s="5" t="s">
        <v>214</v>
      </c>
      <c r="D1803" s="5" t="s">
        <v>212</v>
      </c>
      <c r="E1803" s="4" t="s">
        <v>96</v>
      </c>
      <c r="F1803" s="4" t="str" cm="1">
        <f t="array" ref="F1803">_xlfn.IFS(
AG1803 &lt;&gt; "", "Jan-Dez/26",
AH1803 &lt;&gt; "", "Fev-Dez/26",
AI1803 &lt;&gt; "", "Mar-Dez/26", AJ1803 &lt;&gt; "", "Abr-Dez/26",
TRUE, "A partir de Junho"
)</f>
        <v>A partir de Junho</v>
      </c>
      <c r="G1803" s="4" t="s">
        <v>62</v>
      </c>
      <c r="H1803" s="7" t="s">
        <v>38</v>
      </c>
      <c r="I1803" s="8" t="s">
        <v>171</v>
      </c>
      <c r="J1803" s="8" t="str" cm="1">
        <f t="array" aca="1" ref="J1803" ca="1">_xlfn.LET(
  _xlpm.actual_value_month, INDEX(T1803:AE1803, MATCH(DATE(YEAR(TODAY()), MONTH(TODAY()), 1), $T$1:$AE$1, 0)),
  IF(_xlpm.actual_value_month &lt;&gt; "",_xlpm.actual_value_month &amp; " ações mensais", "")
)</f>
        <v/>
      </c>
      <c r="K1803" s="8" t="str" cm="1">
        <f t="array" ref="K1803">_xlfn.LET(
    _xlpm.sum_month, SUM(T1803:AE1803),
    IF(_xlpm.sum_month = 0, "", _xlpm.sum_month &amp; " colaboradores impactados no ano")
)</f>
        <v/>
      </c>
      <c r="L1803" s="9" t="s">
        <v>172</v>
      </c>
      <c r="M1803" s="24">
        <v>1</v>
      </c>
      <c r="N1803" s="5" t="s">
        <v>42</v>
      </c>
      <c r="O1803" s="5" t="s">
        <v>43</v>
      </c>
      <c r="P1803" s="10" t="s">
        <v>44</v>
      </c>
      <c r="Q1803" s="10" t="s">
        <v>72</v>
      </c>
      <c r="R1803" s="11" t="s">
        <v>66</v>
      </c>
      <c r="S1803" s="11" t="s">
        <v>67</v>
      </c>
      <c r="T1803" s="22"/>
      <c r="U1803" s="22"/>
      <c r="V1803" s="22"/>
      <c r="W1803" s="22"/>
      <c r="X1803" s="22"/>
      <c r="Y1803" s="22"/>
      <c r="Z1803" s="22"/>
      <c r="AA1803" s="22"/>
      <c r="AB1803" s="22"/>
      <c r="AC1803" s="22"/>
      <c r="AD1803" s="22"/>
      <c r="AE1803" s="22"/>
      <c r="AG1803" s="71"/>
      <c r="AH1803" s="71"/>
      <c r="AI1803" s="71"/>
      <c r="AJ1803" s="71"/>
      <c r="AK1803" s="71"/>
      <c r="AL1803" s="71"/>
      <c r="AM1803" s="71"/>
      <c r="AN1803" s="71"/>
      <c r="AO1803" s="71"/>
      <c r="AP1803" s="71"/>
      <c r="AQ1803" s="71"/>
      <c r="AR1803" s="71"/>
      <c r="AS1803" s="94">
        <f t="shared" ca="1" si="2104"/>
        <v>0</v>
      </c>
      <c r="AT1803" s="95">
        <f t="shared" si="2105"/>
        <v>0</v>
      </c>
      <c r="AU1803" s="97">
        <f t="shared" si="2106"/>
        <v>0</v>
      </c>
      <c r="AW1803" s="51">
        <f t="shared" si="2107"/>
        <v>0</v>
      </c>
      <c r="AX1803" s="51">
        <f t="shared" si="2108"/>
        <v>0</v>
      </c>
      <c r="AY1803" s="51">
        <f t="shared" si="2109"/>
        <v>0</v>
      </c>
      <c r="AZ1803" s="51">
        <f t="shared" si="2110"/>
        <v>0</v>
      </c>
      <c r="BA1803" s="51"/>
      <c r="BB1803" s="51"/>
      <c r="BC1803" s="51"/>
      <c r="BD1803" s="51"/>
      <c r="BE1803" s="51"/>
      <c r="BF1803" s="51"/>
      <c r="BG1803" s="51"/>
      <c r="BH1803" s="51"/>
      <c r="BI1803" s="65" cm="1">
        <f t="array" ref="BI1803">IFERROR(INDEX(AW1803:BH1803,1,MATCH(2,1/(AW1803:BH1803&lt;&gt;""))),"")</f>
        <v>0</v>
      </c>
      <c r="BJ1803" s="68" cm="1">
        <f t="array" ref="BJ1803">IF(BM1803 = "", "",IFERROR(INDEX(AW1803:BH1803,1,MATCH(2,1/(AW1803:BH1803&lt;&gt;""),1)-1),""))</f>
        <v>0</v>
      </c>
      <c r="BK1803" s="58">
        <f>IF((IF(AW1803&gt;=115%,115%,AW1803) + IF(AX1803&gt;=115%,115%,AX1803) + IF(AY1803&gt;=115%,115%,AY1803) + (IF(AZ1803&gt;=115%,115%,AZ1803) + IF(BA1803&gt;=133%,133%,BA1803) + IF(BB1803&gt;=115%,115%,BB1803) + IF(BC1803&gt;=115%,115%,BC1803) + IF(BD1803&gt;=115%,115%,BD1803) + IF(BE1803&gt;=115%,115%,BE1803) + IF(BF1803&gt;=115%,115%,BF1803) + IF(BG1803&gt;=115%,115%,BG1803) + IF(BH1803&gt;=115%,115%,BH1803)))/_xlfn.XLOOKUP(F1803,Apuração!A:A,Apuração!B:B)&gt;=1.15,1.15,((IF(AZ1803&gt;=115%,115%,AZ1803) + IF(AX1803&gt;=115%,115%,AX1803) + IF(AY1803&gt;=115%,115%,AY1803) + (IF(AW1803&gt;=115%,115%,AW1803) + IF(BA1803&gt;=133%,133%,BA1803) + IF(BB1803&gt;=115%,115%,BB1803) + IF(BC1803&gt;=115%,115%,BC1803) + IF(BD1803&gt;=115%,115%,BD1803) + IF(BE1803&gt;=115%,115%,BE1803) + IF(BF1803&gt;=115%,115%,BF1803) + IF(BG1803&gt;=115%,115%,BG1803) + IF(BH1803&gt;=115%,115%,BH1803)))/_xlfn.XLOOKUP(F1803,Apuração!A:A,Apuração!B:B)))</f>
        <v>0</v>
      </c>
      <c r="BL1803" s="58" cm="1">
        <f t="array" aca="1" ref="BL1803" ca="1">IF(SUM(IFERROR(IF(INDEX(AW1803:INDEX(AW1803:BH1803, MATCH(2, 1/(AW1803:BH1803&lt;&gt;""), 1)-1), ROW(INDIRECT("1:" &amp; MATCH(2, 1/(AW1803:BH1803&lt;&gt;""), 1)-1))) &gt;= 115%, 115%, INDEX(AW1803:INDEX(AW1803:BH1803, MATCH(2, 1/(AW1803:BH1803&lt;&gt;""), 1)-1), ROW(INDIRECT("1:" &amp; MATCH(2, 1/(AW1803:BH1803&lt;&gt;""), 1)-1)))), 0))/_xlfn.XLOOKUP(F1803,Apuração!A:A,Apuração!B:B)&gt;=1.15,1.15,SUM(IFERROR(IF(INDEX(AW1803:INDEX(AW1803:BH1803, MATCH(2, 1/(AW1803:BH1803&lt;&gt;""), 1)-1), ROW(INDIRECT("1:" &amp; MATCH(2, 1/(AW1803:BH1803&lt;&gt;""), 1)-1))) &gt;= 115%, 115%, INDEX(AW1803:INDEX(AW1803:BH1803, MATCH(2, 1/(AW1803:BH1803&lt;&gt;""), 1)-1), ROW(INDIRECT("1:" &amp; MATCH(2, 1/(AW1803:BH1803&lt;&gt;""), 1)-1)))), 0))/_xlfn.XLOOKUP(F1803,Apuração!A:A,Apuração!B:B))</f>
        <v>0</v>
      </c>
      <c r="BM1803" s="55" cm="1">
        <f t="array" ref="BM1803">IFERROR(
   INDEX($AW$1:$BH$1,
      _xlfn.AGGREGATE(14, 6, COLUMN($AW$1:$BH$1)/(AW1803:BH1803&lt;&gt;""), 2) - COLUMN($AW$1) + 1
   ),
"")</f>
        <v>46082</v>
      </c>
      <c r="BN1803" s="55" cm="1">
        <f t="array" ref="BN1803">IFERROR(INDEX($AW$1:$BH$1,1,MATCH(2,1/(AW1803:BH1803&lt;&gt;""))),"")</f>
        <v>46113</v>
      </c>
      <c r="BO1803" s="53">
        <f ca="1">IFERROR(_xlfn.XLOOKUP(F1803,Apuração!A:A,Apuração!C:C)/_xlfn.XLOOKUP(F1803,Apuração!A:A,Apuração!B:B),0)</f>
        <v>0</v>
      </c>
      <c r="BP1803" s="53">
        <f ca="1">IFERROR(_xlfn.XLOOKUP(F1803,Apuração!A:A,Apuração!D:D)/_xlfn.XLOOKUP(F1803,Apuração!A:A,Apuração!B:B),0)</f>
        <v>0</v>
      </c>
      <c r="BQ1803" s="53">
        <f ca="1">IF(BK1803&gt;=BO1803,0,_xlfn.XLOOKUP(F1803,Apuração!A:A,Apuração!B:B)*(BO1803 + (1/_xlfn.XLOOKUP(F1803,Apuração!A:A,Apuração!B:B)) - BK1803))</f>
        <v>0</v>
      </c>
      <c r="BR1803" s="85">
        <f t="shared" ca="1" si="2111"/>
        <v>0</v>
      </c>
      <c r="BS1803" s="53">
        <f ca="1">IFERROR((_xlfn.XLOOKUP(F1803,Apuração!A:A,Apuração!C:C)+1)/_xlfn.XLOOKUP(F1803,Apuração!A:A,Apuração!B:B),0)</f>
        <v>0.14285714285714285</v>
      </c>
    </row>
    <row r="1804" spans="1:71" ht="25.95" hidden="1" customHeight="1" x14ac:dyDescent="0.3">
      <c r="A1804" s="23" t="s">
        <v>134</v>
      </c>
      <c r="B1804" s="4" t="s">
        <v>174</v>
      </c>
      <c r="C1804" s="5" t="s">
        <v>214</v>
      </c>
      <c r="D1804" s="5" t="s">
        <v>48</v>
      </c>
      <c r="E1804" s="4" t="s">
        <v>96</v>
      </c>
      <c r="F1804" s="4" t="str" cm="1">
        <f t="array" ref="F1804">_xlfn.IFS(
AG1804 &lt;&gt; "", "Jan-Dez/26",
AH1804 &lt;&gt; "", "Fev-Dez/26",
AI1804 &lt;&gt; "", "Mar-Dez/26", AJ1804 &lt;&gt; "", "Abr-Dez/26",
TRUE, "A partir de Junho"
)</f>
        <v>A partir de Junho</v>
      </c>
      <c r="G1804" s="4" t="s">
        <v>62</v>
      </c>
      <c r="H1804" s="7" t="s">
        <v>38</v>
      </c>
      <c r="I1804" s="8" t="s">
        <v>171</v>
      </c>
      <c r="J1804" s="8" t="str" cm="1">
        <f t="array" aca="1" ref="J1804" ca="1">_xlfn.LET(
  _xlpm.actual_value_month, INDEX(T1804:AE1804, MATCH(DATE(YEAR(TODAY()), MONTH(TODAY()), 1), $T$1:$AE$1, 0)),
  IF(_xlpm.actual_value_month &lt;&gt; "",_xlpm.actual_value_month &amp; " ações mensais", "")
)</f>
        <v/>
      </c>
      <c r="K1804" s="8" t="str" cm="1">
        <f t="array" ref="K1804">_xlfn.LET(
    _xlpm.sum_month, SUM(T1804:AE1804),
    IF(_xlpm.sum_month = 0, "", _xlpm.sum_month &amp; " colaboradores impactados no ano")
)</f>
        <v/>
      </c>
      <c r="L1804" s="9" t="s">
        <v>172</v>
      </c>
      <c r="M1804" s="24">
        <v>1</v>
      </c>
      <c r="N1804" s="5" t="s">
        <v>42</v>
      </c>
      <c r="O1804" s="5" t="s">
        <v>43</v>
      </c>
      <c r="P1804" s="10" t="s">
        <v>44</v>
      </c>
      <c r="Q1804" s="10" t="s">
        <v>72</v>
      </c>
      <c r="R1804" s="11" t="s">
        <v>66</v>
      </c>
      <c r="S1804" s="11" t="s">
        <v>67</v>
      </c>
      <c r="T1804" s="22"/>
      <c r="U1804" s="22"/>
      <c r="V1804" s="22"/>
      <c r="W1804" s="22"/>
      <c r="X1804" s="22"/>
      <c r="Y1804" s="22"/>
      <c r="Z1804" s="22"/>
      <c r="AA1804" s="22"/>
      <c r="AB1804" s="22"/>
      <c r="AC1804" s="22"/>
      <c r="AD1804" s="22"/>
      <c r="AE1804" s="22"/>
      <c r="AG1804" s="71"/>
      <c r="AH1804" s="71"/>
      <c r="AI1804" s="71"/>
      <c r="AJ1804" s="71"/>
      <c r="AK1804" s="71"/>
      <c r="AL1804" s="71"/>
      <c r="AM1804" s="71"/>
      <c r="AN1804" s="71"/>
      <c r="AO1804" s="71"/>
      <c r="AP1804" s="71"/>
      <c r="AQ1804" s="71"/>
      <c r="AR1804" s="71"/>
      <c r="AS1804" s="94">
        <f t="shared" ref="AS1804" ca="1" si="2112">IF(MONTH(TODAY())=3,SUM(T1804:U1804),IF(MONTH(TODAY())=4,SUM(T1804:V1804),IF(MONTH(TODAY())=5,SUM(T1804:W1804),IF(MONTH(TODAY())=6,SUM(T1804:X1804),IF(MONTH(TODAY())=7,SUM(T1804:Y1804),IF(MONTH(TODAY())=8,SUM(T1804:Z1804),IF(MONTH(TODAY())=9,SUM(T1804:AA1804),IF(MONTH(TODAY())=10,SUM(T1804:AB1804),IF(MONTH(TODAY())=11,SUM(T1804:AC1804),IF(MONTH(TODAY())=12,SUM(T1804:AD1804),IF(MONTH(TODAY())=1,SUM(T1804:AE1804),T1804)))))))))))</f>
        <v>0</v>
      </c>
      <c r="AT1804" s="95">
        <f t="shared" ref="AT1804" si="2113">SUM(IF(AW1804&lt;1.15,AG1804,1.15*T1804),IF(AX1804&lt;1.15,AH1804,1.15*U1804),IF(AY1804&lt;1.15,AI1804,1.15*V1804),IF(AZ1804&lt;1.15,AJ1804,1.15*W1804),IF(BA1804&lt;1.15,AK1804,1.15*X1804),IF(BB1804&lt;1.15,AL1804,1.15*Y1804),IF(BC1804&lt;1.15,AM1804,1.15*Z1804),IF(BD1804&lt;1.15,AN1804,1.15*AA1804),IF(BE1804&lt;1.15,AO1804,1.15*AB1804),IF(BF1804&lt;1.15,AP1804,1.15*AC1804),IF(BG1804&lt;1.15,AQ1804,1.15*AD1804),IF(BH1804&lt;1.15,AR1804,1.15*AE1804))</f>
        <v>0</v>
      </c>
      <c r="AU1804" s="97">
        <f t="shared" ref="AU1804" si="2114">SUM(AG1804:AR1804)</f>
        <v>0</v>
      </c>
      <c r="AW1804" s="51">
        <f t="shared" ref="AW1804" si="2115">IFERROR(IF(AG1804="",0,AG1804/T1804),0)</f>
        <v>0</v>
      </c>
      <c r="AX1804" s="51">
        <f t="shared" ref="AX1804" si="2116">IFERROR(IF(AH1804="",0,AH1804/U1804),0)</f>
        <v>0</v>
      </c>
      <c r="AY1804" s="51">
        <f t="shared" ref="AY1804" si="2117">IFERROR(IF(AI1804="",0,AI1804/V1804),0)</f>
        <v>0</v>
      </c>
      <c r="AZ1804" s="51">
        <f t="shared" ref="AZ1804" si="2118">IFERROR(IF(AJ1804="",0,AJ1804/W1804),0)</f>
        <v>0</v>
      </c>
      <c r="BA1804" s="51"/>
      <c r="BB1804" s="51"/>
      <c r="BC1804" s="51"/>
      <c r="BD1804" s="51"/>
      <c r="BE1804" s="51"/>
      <c r="BF1804" s="51"/>
      <c r="BG1804" s="51"/>
      <c r="BH1804" s="51"/>
      <c r="BI1804" s="65" cm="1">
        <f t="array" ref="BI1804">IFERROR(INDEX(AW1804:BH1804,1,MATCH(2,1/(AW1804:BH1804&lt;&gt;""))),"")</f>
        <v>0</v>
      </c>
      <c r="BJ1804" s="68" cm="1">
        <f t="array" ref="BJ1804">IF(BM1804 = "", "",IFERROR(INDEX(AW1804:BH1804,1,MATCH(2,1/(AW1804:BH1804&lt;&gt;""),1)-1),""))</f>
        <v>0</v>
      </c>
      <c r="BK1804" s="58">
        <f>IF((IF(AW1804&gt;=115%,115%,AW1804) + IF(AX1804&gt;=115%,115%,AX1804) + IF(AY1804&gt;=115%,115%,AY1804) + (IF(AZ1804&gt;=115%,115%,AZ1804) + IF(BA1804&gt;=133%,133%,BA1804) + IF(BB1804&gt;=115%,115%,BB1804) + IF(BC1804&gt;=115%,115%,BC1804) + IF(BD1804&gt;=115%,115%,BD1804) + IF(BE1804&gt;=115%,115%,BE1804) + IF(BF1804&gt;=115%,115%,BF1804) + IF(BG1804&gt;=115%,115%,BG1804) + IF(BH1804&gt;=115%,115%,BH1804)))/_xlfn.XLOOKUP(F1804,Apuração!A:A,Apuração!B:B)&gt;=1.15,1.15,((IF(AZ1804&gt;=115%,115%,AZ1804) + IF(AX1804&gt;=115%,115%,AX1804) + IF(AY1804&gt;=115%,115%,AY1804) + (IF(AW1804&gt;=115%,115%,AW1804) + IF(BA1804&gt;=133%,133%,BA1804) + IF(BB1804&gt;=115%,115%,BB1804) + IF(BC1804&gt;=115%,115%,BC1804) + IF(BD1804&gt;=115%,115%,BD1804) + IF(BE1804&gt;=115%,115%,BE1804) + IF(BF1804&gt;=115%,115%,BF1804) + IF(BG1804&gt;=115%,115%,BG1804) + IF(BH1804&gt;=115%,115%,BH1804)))/_xlfn.XLOOKUP(F1804,Apuração!A:A,Apuração!B:B)))</f>
        <v>0</v>
      </c>
      <c r="BL1804" s="58" cm="1">
        <f t="array" aca="1" ref="BL1804" ca="1">IF(SUM(IFERROR(IF(INDEX(AW1804:INDEX(AW1804:BH1804, MATCH(2, 1/(AW1804:BH1804&lt;&gt;""), 1)-1), ROW(INDIRECT("1:" &amp; MATCH(2, 1/(AW1804:BH1804&lt;&gt;""), 1)-1))) &gt;= 115%, 115%, INDEX(AW1804:INDEX(AW1804:BH1804, MATCH(2, 1/(AW1804:BH1804&lt;&gt;""), 1)-1), ROW(INDIRECT("1:" &amp; MATCH(2, 1/(AW1804:BH1804&lt;&gt;""), 1)-1)))), 0))/_xlfn.XLOOKUP(F1804,Apuração!A:A,Apuração!B:B)&gt;=1.15,1.15,SUM(IFERROR(IF(INDEX(AW1804:INDEX(AW1804:BH1804, MATCH(2, 1/(AW1804:BH1804&lt;&gt;""), 1)-1), ROW(INDIRECT("1:" &amp; MATCH(2, 1/(AW1804:BH1804&lt;&gt;""), 1)-1))) &gt;= 115%, 115%, INDEX(AW1804:INDEX(AW1804:BH1804, MATCH(2, 1/(AW1804:BH1804&lt;&gt;""), 1)-1), ROW(INDIRECT("1:" &amp; MATCH(2, 1/(AW1804:BH1804&lt;&gt;""), 1)-1)))), 0))/_xlfn.XLOOKUP(F1804,Apuração!A:A,Apuração!B:B))</f>
        <v>0</v>
      </c>
      <c r="BM1804" s="55" cm="1">
        <f t="array" ref="BM1804">IFERROR(
   INDEX($AW$1:$BH$1,
      _xlfn.AGGREGATE(14, 6, COLUMN($AW$1:$BH$1)/(AW1804:BH1804&lt;&gt;""), 2) - COLUMN($AW$1) + 1
   ),
"")</f>
        <v>46082</v>
      </c>
      <c r="BN1804" s="55" cm="1">
        <f t="array" ref="BN1804">IFERROR(INDEX($AW$1:$BH$1,1,MATCH(2,1/(AW1804:BH1804&lt;&gt;""))),"")</f>
        <v>46113</v>
      </c>
      <c r="BO1804" s="53">
        <f ca="1">IFERROR(_xlfn.XLOOKUP(F1804,Apuração!A:A,Apuração!C:C)/_xlfn.XLOOKUP(F1804,Apuração!A:A,Apuração!B:B),0)</f>
        <v>0</v>
      </c>
      <c r="BP1804" s="53">
        <f ca="1">IFERROR(_xlfn.XLOOKUP(F1804,Apuração!A:A,Apuração!D:D)/_xlfn.XLOOKUP(F1804,Apuração!A:A,Apuração!B:B),0)</f>
        <v>0</v>
      </c>
      <c r="BQ1804" s="53">
        <f ca="1">IF(BK1804&gt;=BO1804,0,_xlfn.XLOOKUP(F1804,Apuração!A:A,Apuração!B:B)*(BO1804 + (1/_xlfn.XLOOKUP(F1804,Apuração!A:A,Apuração!B:B)) - BK1804))</f>
        <v>0</v>
      </c>
      <c r="BR1804" s="85">
        <f t="shared" ref="BR1804" ca="1" si="2119">IF(BQ1804=0,0,BQ1804*Z1804)</f>
        <v>0</v>
      </c>
      <c r="BS1804" s="53">
        <f ca="1">IFERROR((_xlfn.XLOOKUP(F1804,Apuração!A:A,Apuração!C:C)+1)/_xlfn.XLOOKUP(F1804,Apuração!A:A,Apuração!B:B),0)</f>
        <v>0.14285714285714285</v>
      </c>
    </row>
    <row r="1805" spans="1:71" ht="25.95" hidden="1" customHeight="1" x14ac:dyDescent="0.3">
      <c r="A1805" s="23" t="s">
        <v>134</v>
      </c>
      <c r="B1805" s="4" t="s">
        <v>174</v>
      </c>
      <c r="C1805" s="5" t="s">
        <v>214</v>
      </c>
      <c r="D1805" s="5" t="s">
        <v>213</v>
      </c>
      <c r="E1805" s="4" t="s">
        <v>96</v>
      </c>
      <c r="F1805" s="4" t="str" cm="1">
        <f t="array" ref="F1805">_xlfn.IFS(
AG1805 &lt;&gt; "", "Jan-Dez/26",
AH1805 &lt;&gt; "", "Fev-Dez/26",
AI1805 &lt;&gt; "", "Mar-Dez/26", AJ1805 &lt;&gt; "", "Abr-Dez/26",
TRUE, "A partir de Junho"
)</f>
        <v>A partir de Junho</v>
      </c>
      <c r="G1805" s="4" t="s">
        <v>62</v>
      </c>
      <c r="H1805" s="7" t="s">
        <v>38</v>
      </c>
      <c r="I1805" s="8" t="s">
        <v>171</v>
      </c>
      <c r="J1805" s="8" t="str" cm="1">
        <f t="array" aca="1" ref="J1805" ca="1">_xlfn.LET(
  _xlpm.actual_value_month, INDEX(T1805:AE1805, MATCH(DATE(YEAR(TODAY()), MONTH(TODAY()), 1), $T$1:$AE$1, 0)),
  IF(_xlpm.actual_value_month &lt;&gt; "",_xlpm.actual_value_month &amp; " ações mensais", "")
)</f>
        <v/>
      </c>
      <c r="K1805" s="8" t="str" cm="1">
        <f t="array" ref="K1805">_xlfn.LET(
    _xlpm.sum_month, SUM(T1805:AE1805),
    IF(_xlpm.sum_month = 0, "", _xlpm.sum_month &amp; " colaboradores impactados no ano")
)</f>
        <v/>
      </c>
      <c r="L1805" s="9" t="s">
        <v>172</v>
      </c>
      <c r="M1805" s="24">
        <v>1</v>
      </c>
      <c r="N1805" s="5" t="s">
        <v>42</v>
      </c>
      <c r="O1805" s="5" t="s">
        <v>43</v>
      </c>
      <c r="P1805" s="10" t="s">
        <v>44</v>
      </c>
      <c r="Q1805" s="10" t="s">
        <v>72</v>
      </c>
      <c r="R1805" s="11" t="s">
        <v>66</v>
      </c>
      <c r="S1805" s="11" t="s">
        <v>67</v>
      </c>
      <c r="T1805" s="22"/>
      <c r="U1805" s="22"/>
      <c r="V1805" s="22"/>
      <c r="W1805" s="22"/>
      <c r="X1805" s="22"/>
      <c r="Y1805" s="22"/>
      <c r="Z1805" s="22"/>
      <c r="AA1805" s="22"/>
      <c r="AB1805" s="22"/>
      <c r="AC1805" s="22"/>
      <c r="AD1805" s="22"/>
      <c r="AE1805" s="22"/>
      <c r="AG1805" s="71"/>
      <c r="AH1805" s="71"/>
      <c r="AI1805" s="71"/>
      <c r="AJ1805" s="71"/>
      <c r="AK1805" s="71"/>
      <c r="AL1805" s="71"/>
      <c r="AM1805" s="71"/>
      <c r="AN1805" s="71"/>
      <c r="AO1805" s="71"/>
      <c r="AP1805" s="71"/>
      <c r="AQ1805" s="71"/>
      <c r="AR1805" s="71"/>
      <c r="AS1805" s="94">
        <f t="shared" ca="1" si="2104"/>
        <v>0</v>
      </c>
      <c r="AT1805" s="95">
        <f t="shared" si="2105"/>
        <v>0</v>
      </c>
      <c r="AU1805" s="97">
        <f t="shared" si="2106"/>
        <v>0</v>
      </c>
      <c r="AW1805" s="51">
        <f t="shared" si="2107"/>
        <v>0</v>
      </c>
      <c r="AX1805" s="51">
        <f t="shared" si="2108"/>
        <v>0</v>
      </c>
      <c r="AY1805" s="51">
        <f t="shared" si="2109"/>
        <v>0</v>
      </c>
      <c r="AZ1805" s="51">
        <f t="shared" si="2110"/>
        <v>0</v>
      </c>
      <c r="BA1805" s="51"/>
      <c r="BB1805" s="51"/>
      <c r="BC1805" s="51"/>
      <c r="BD1805" s="51"/>
      <c r="BE1805" s="51"/>
      <c r="BF1805" s="51"/>
      <c r="BG1805" s="51"/>
      <c r="BH1805" s="51"/>
      <c r="BI1805" s="65" cm="1">
        <f t="array" ref="BI1805">IFERROR(INDEX(AW1805:BH1805,1,MATCH(2,1/(AW1805:BH1805&lt;&gt;""))),"")</f>
        <v>0</v>
      </c>
      <c r="BJ1805" s="68" cm="1">
        <f t="array" ref="BJ1805">IF(BM1805 = "", "",IFERROR(INDEX(AW1805:BH1805,1,MATCH(2,1/(AW1805:BH1805&lt;&gt;""),1)-1),""))</f>
        <v>0</v>
      </c>
      <c r="BK1805" s="58">
        <f>IF((IF(AW1805&gt;=115%,115%,AW1805) + IF(AX1805&gt;=115%,115%,AX1805) + IF(AY1805&gt;=115%,115%,AY1805) + (IF(AZ1805&gt;=115%,115%,AZ1805) + IF(BA1805&gt;=133%,133%,BA1805) + IF(BB1805&gt;=115%,115%,BB1805) + IF(BC1805&gt;=115%,115%,BC1805) + IF(BD1805&gt;=115%,115%,BD1805) + IF(BE1805&gt;=115%,115%,BE1805) + IF(BF1805&gt;=115%,115%,BF1805) + IF(BG1805&gt;=115%,115%,BG1805) + IF(BH1805&gt;=115%,115%,BH1805)))/_xlfn.XLOOKUP(F1805,Apuração!A:A,Apuração!B:B)&gt;=1.15,1.15,((IF(AZ1805&gt;=115%,115%,AZ1805) + IF(AX1805&gt;=115%,115%,AX1805) + IF(AY1805&gt;=115%,115%,AY1805) + (IF(AW1805&gt;=115%,115%,AW1805) + IF(BA1805&gt;=133%,133%,BA1805) + IF(BB1805&gt;=115%,115%,BB1805) + IF(BC1805&gt;=115%,115%,BC1805) + IF(BD1805&gt;=115%,115%,BD1805) + IF(BE1805&gt;=115%,115%,BE1805) + IF(BF1805&gt;=115%,115%,BF1805) + IF(BG1805&gt;=115%,115%,BG1805) + IF(BH1805&gt;=115%,115%,BH1805)))/_xlfn.XLOOKUP(F1805,Apuração!A:A,Apuração!B:B)))</f>
        <v>0</v>
      </c>
      <c r="BL1805" s="58" cm="1">
        <f t="array" aca="1" ref="BL1805" ca="1">IF(SUM(IFERROR(IF(INDEX(AW1805:INDEX(AW1805:BH1805, MATCH(2, 1/(AW1805:BH1805&lt;&gt;""), 1)-1), ROW(INDIRECT("1:" &amp; MATCH(2, 1/(AW1805:BH1805&lt;&gt;""), 1)-1))) &gt;= 115%, 115%, INDEX(AW1805:INDEX(AW1805:BH1805, MATCH(2, 1/(AW1805:BH1805&lt;&gt;""), 1)-1), ROW(INDIRECT("1:" &amp; MATCH(2, 1/(AW1805:BH1805&lt;&gt;""), 1)-1)))), 0))/_xlfn.XLOOKUP(F1805,Apuração!A:A,Apuração!B:B)&gt;=1.15,1.15,SUM(IFERROR(IF(INDEX(AW1805:INDEX(AW1805:BH1805, MATCH(2, 1/(AW1805:BH1805&lt;&gt;""), 1)-1), ROW(INDIRECT("1:" &amp; MATCH(2, 1/(AW1805:BH1805&lt;&gt;""), 1)-1))) &gt;= 115%, 115%, INDEX(AW1805:INDEX(AW1805:BH1805, MATCH(2, 1/(AW1805:BH1805&lt;&gt;""), 1)-1), ROW(INDIRECT("1:" &amp; MATCH(2, 1/(AW1805:BH1805&lt;&gt;""), 1)-1)))), 0))/_xlfn.XLOOKUP(F1805,Apuração!A:A,Apuração!B:B))</f>
        <v>0</v>
      </c>
      <c r="BM1805" s="55" cm="1">
        <f t="array" ref="BM1805">IFERROR(
   INDEX($AW$1:$BH$1,
      _xlfn.AGGREGATE(14, 6, COLUMN($AW$1:$BH$1)/(AW1805:BH1805&lt;&gt;""), 2) - COLUMN($AW$1) + 1
   ),
"")</f>
        <v>46082</v>
      </c>
      <c r="BN1805" s="55" cm="1">
        <f t="array" ref="BN1805">IFERROR(INDEX($AW$1:$BH$1,1,MATCH(2,1/(AW1805:BH1805&lt;&gt;""))),"")</f>
        <v>46113</v>
      </c>
      <c r="BO1805" s="53">
        <f ca="1">IFERROR(_xlfn.XLOOKUP(F1805,Apuração!A:A,Apuração!C:C)/_xlfn.XLOOKUP(F1805,Apuração!A:A,Apuração!B:B),0)</f>
        <v>0</v>
      </c>
      <c r="BP1805" s="53">
        <f ca="1">IFERROR(_xlfn.XLOOKUP(F1805,Apuração!A:A,Apuração!D:D)/_xlfn.XLOOKUP(F1805,Apuração!A:A,Apuração!B:B),0)</f>
        <v>0</v>
      </c>
      <c r="BQ1805" s="53">
        <f ca="1">IF(BK1805&gt;=BO1805,0,_xlfn.XLOOKUP(F1805,Apuração!A:A,Apuração!B:B)*(BO1805 + (1/_xlfn.XLOOKUP(F1805,Apuração!A:A,Apuração!B:B)) - BK1805))</f>
        <v>0</v>
      </c>
      <c r="BR1805" s="85">
        <f t="shared" ca="1" si="2111"/>
        <v>0</v>
      </c>
      <c r="BS1805" s="53">
        <f ca="1">IFERROR((_xlfn.XLOOKUP(F1805,Apuração!A:A,Apuração!C:C)+1)/_xlfn.XLOOKUP(F1805,Apuração!A:A,Apuração!B:B),0)</f>
        <v>0.14285714285714285</v>
      </c>
    </row>
    <row r="1806" spans="1:71" ht="25.95" hidden="1" customHeight="1" x14ac:dyDescent="0.3">
      <c r="A1806" s="33" t="s">
        <v>175</v>
      </c>
      <c r="B1806" s="4" t="s">
        <v>176</v>
      </c>
      <c r="C1806" s="5" t="s">
        <v>214</v>
      </c>
      <c r="D1806" s="5" t="s">
        <v>36</v>
      </c>
      <c r="E1806" s="4" t="str" cm="1">
        <f t="array" ref="E1806">_xlfn.IFS(
F1806 = "A partir de Abril", "Aguardando Execução na Distribuidora",
A1806 = "CAPACITAÇÃO", "Em execução no Corporativo",
TRUE, "Em Execução na Distribuidora"
)</f>
        <v>Em execução no Corporativo</v>
      </c>
      <c r="F1806" s="4" t="str" cm="1">
        <f t="array" ref="F1806">_xlfn.IFS(
AG1806 &lt;&gt; "", "Jan-Dez/26",
AH1806 &lt;&gt; "", "Fev-Dez/26",
AI1806 &lt;&gt; "", "Mar-Dez/26", AJ1806 &lt;&gt; "", "Abr-Dez/26",
TRUE, "A partir de Junho"
)</f>
        <v>Mar-Dez/26</v>
      </c>
      <c r="G1806" s="4" t="s">
        <v>37</v>
      </c>
      <c r="H1806" s="7" t="s">
        <v>38</v>
      </c>
      <c r="I1806" s="8" t="s">
        <v>177</v>
      </c>
      <c r="J1806" s="8" t="str" cm="1">
        <f t="array" aca="1" ref="J1806" ca="1">_xlfn.LET(
  _xlpm.actual_value_month, INDEX(T1806:AE1806, MATCH(DATE(YEAR(TODAY()), MONTH(TODAY()), 1), $T$1:$AE$1, 0)),
  IF(_xlpm.actual_value_month &lt;&gt; "", _xlpm.actual_value_month &amp; " certificados mensais", "")
)</f>
        <v>3669 certificados mensais</v>
      </c>
      <c r="K1806" s="8" t="str">
        <f t="shared" ref="K1806:K1811" si="2120">_xlfn.LET(
    _xlpm.month, AD1806,
    IF(_xlpm.month = 0, "", _xlpm.month &amp; " certificado anuais.")
)</f>
        <v>5361 certificado anuais.</v>
      </c>
      <c r="L1806" s="9" t="s">
        <v>178</v>
      </c>
      <c r="M1806" s="13">
        <v>1</v>
      </c>
      <c r="N1806" s="5" t="s">
        <v>42</v>
      </c>
      <c r="O1806" s="5" t="s">
        <v>43</v>
      </c>
      <c r="P1806" s="10" t="s">
        <v>44</v>
      </c>
      <c r="Q1806" s="10" t="s">
        <v>44</v>
      </c>
      <c r="R1806" s="11" t="s">
        <v>179</v>
      </c>
      <c r="S1806" s="11" t="s">
        <v>67</v>
      </c>
      <c r="T1806" s="22"/>
      <c r="U1806" s="22"/>
      <c r="V1806" s="22">
        <v>1724</v>
      </c>
      <c r="W1806" s="22">
        <v>2529</v>
      </c>
      <c r="X1806" s="22">
        <v>3553</v>
      </c>
      <c r="Y1806" s="22">
        <v>3669</v>
      </c>
      <c r="Z1806" s="22">
        <v>4331</v>
      </c>
      <c r="AA1806" s="22">
        <v>4667</v>
      </c>
      <c r="AB1806" s="22">
        <v>4947</v>
      </c>
      <c r="AC1806" s="22">
        <v>5202</v>
      </c>
      <c r="AD1806" s="22">
        <v>5361</v>
      </c>
      <c r="AE1806" s="22"/>
      <c r="AG1806" s="71"/>
      <c r="AH1806" s="71"/>
      <c r="AI1806" s="71">
        <v>1763</v>
      </c>
      <c r="AJ1806" s="71">
        <v>1797</v>
      </c>
      <c r="AK1806" s="71"/>
      <c r="AL1806" s="71"/>
      <c r="AM1806" s="71"/>
      <c r="AN1806" s="71"/>
      <c r="AO1806" s="71"/>
      <c r="AP1806" s="71"/>
      <c r="AQ1806" s="71"/>
      <c r="AR1806" s="71"/>
      <c r="AS1806" s="94" cm="1">
        <f t="array" ref="AS1806">IFERROR(INDEX(T1806:AE1806,1,MATCH(2,1/(T1806:AE1806&lt;&gt;""))),"")</f>
        <v>5361</v>
      </c>
      <c r="AT1806" s="95" cm="1">
        <f t="array" ref="AT1806">IFERROR(INDEX(AJ1806:AR1806,1,MATCH(2,1/(AJ1806:AR1806&lt;&gt;""))),"")</f>
        <v>1797</v>
      </c>
      <c r="AU1806" s="97">
        <f>AT1806</f>
        <v>1797</v>
      </c>
      <c r="AW1806" s="51">
        <f>IFERROR(IF(AG1806="",0,AG1806/$AD1806),0)</f>
        <v>0</v>
      </c>
      <c r="AX1806" s="51">
        <f>IFERROR(IF(AH1806="",0,AH1806/$AD1806),0)</f>
        <v>0</v>
      </c>
      <c r="AY1806" s="51">
        <f>IFERROR(IF(AI1806="",0,AI1806/$AD1806),0)</f>
        <v>0.32885655661257229</v>
      </c>
      <c r="AZ1806" s="51">
        <f>IFERROR(IF(AJ1806="",0,AJ1806/$AD1806),0)</f>
        <v>0.33519865696698375</v>
      </c>
      <c r="BA1806" s="51"/>
      <c r="BB1806" s="51"/>
      <c r="BC1806" s="51"/>
      <c r="BD1806" s="51"/>
      <c r="BE1806" s="51"/>
      <c r="BF1806" s="51"/>
      <c r="BG1806" s="51"/>
      <c r="BH1806" s="51"/>
      <c r="BI1806" s="65" cm="1">
        <f t="array" ref="BI1806">IFERROR(INDEX(AW1806:BH1806,1,MATCH(2,1/(AW1806:BH1806&lt;&gt;""))),"")</f>
        <v>0.33519865696698375</v>
      </c>
      <c r="BJ1806" s="68" cm="1">
        <f t="array" ref="BJ1806">IF(BM1806 = "", "",IFERROR(INDEX(AW1806:BH1806,1,MATCH(2,1/(AW1806:BH1806&lt;&gt;""),1)-1),""))</f>
        <v>0.32885655661257229</v>
      </c>
      <c r="BK1806" s="58" cm="1">
        <f t="array" ref="BK1806">IFERROR(INDEX(AW1806:BH1806,1,MATCH(2,1/(AW1806:BH1806&lt;&gt;""))),"")</f>
        <v>0.33519865696698375</v>
      </c>
      <c r="BL1806" s="58" cm="1">
        <f t="array" ref="BL1806">IFERROR(INDEX(AW1806:BH1806,1,MATCH(2,1/(AW1806:BH1806&lt;&gt;""),1)-1),"")</f>
        <v>0.32885655661257229</v>
      </c>
      <c r="BM1806" s="55" cm="1">
        <f t="array" ref="BM1806">IFERROR(
   INDEX($AW$1:$BH$1,
      _xlfn.AGGREGATE(14, 6, COLUMN($AW$1:$BH$1)/(AW1806:BH1806&lt;&gt;""), 2) - COLUMN($AW$1) + 1
   ),
"")</f>
        <v>46082</v>
      </c>
      <c r="BN1806" s="55" cm="1">
        <f t="array" ref="BN1806">IFERROR(INDEX($AW$1:$BH$1,1,MATCH(2,1/(AW1806:BH1806&lt;&gt;""))),"")</f>
        <v>46113</v>
      </c>
      <c r="BO1806" s="119" cm="1">
        <f t="array" aca="1" ref="BO1806" ca="1">_xlfn.LET(
    _xlpm.mes_num, MONTH(TODAY())-1,
    _xlpm.coluna_ajustada, IF(_xlpm.mes_num=0, 12, _xlpm.mes_num),
    _xlpm.realizado_mes_anterior, INDEX(T1806:AE1806, 1, _xlpm.coluna_ajustada),
    _xlpm.previsto_total, AD1806,
    _xlpm.realizado_mes_anterior / _xlpm.previsto_total
)</f>
        <v>0.66274948703600078</v>
      </c>
      <c r="BP1806" s="53">
        <f ca="1">IFERROR(_xlfn.XLOOKUP(F1806,Apuração!A:A,Apuração!D:D)/_xlfn.XLOOKUP(F1806,Apuração!A:A,Apuração!B:B),0)</f>
        <v>0.2</v>
      </c>
      <c r="BQ1806" s="53">
        <f ca="1">IF(BK1806&gt;=BO1806,0,_xlfn.XLOOKUP(F1806,Apuração!A:A,Apuração!B:B)*(BO1806 + (1/_xlfn.XLOOKUP(F1806,Apuração!A:A,Apuração!B:B)) - BK1806))</f>
        <v>4.27550830069017</v>
      </c>
      <c r="BR1806" s="85">
        <f ca="1">IF(BQ1806=0,0,BQ1806*Z1806)</f>
        <v>18517.226450289127</v>
      </c>
      <c r="BS1806" s="53">
        <f ca="1">IFERROR((_xlfn.XLOOKUP(F1806,Apuração!A:A,Apuração!C:C)+1)/_xlfn.XLOOKUP(F1806,Apuração!A:A,Apuração!B:B),0)</f>
        <v>0.4</v>
      </c>
    </row>
    <row r="1807" spans="1:71" ht="25.95" hidden="1" customHeight="1" x14ac:dyDescent="0.3">
      <c r="A1807" s="33" t="s">
        <v>175</v>
      </c>
      <c r="B1807" s="4" t="s">
        <v>176</v>
      </c>
      <c r="C1807" s="5" t="s">
        <v>214</v>
      </c>
      <c r="D1807" s="5" t="s">
        <v>210</v>
      </c>
      <c r="E1807" s="4" t="str" cm="1">
        <f t="array" ref="E1807">_xlfn.IFS(
F1807 = "A partir de Abril", "Aguardando Execução na Distribuidora",
A1807 = "CAPACITAÇÃO", "Em execução no Corporativo",
TRUE, "Em Execução na Distribuidora"
)</f>
        <v>Em execução no Corporativo</v>
      </c>
      <c r="F1807" s="4" t="str" cm="1">
        <f t="array" ref="F1807">_xlfn.IFS(
AG1807 &lt;&gt; "", "Jan-Dez/26",
AH1807 &lt;&gt; "", "Fev-Dez/26",
AI1807 &lt;&gt; "", "Mar-Dez/26", AJ1807 &lt;&gt; "", "Abr-Dez/26",
TRUE, "A partir de Junho"
)</f>
        <v>Mar-Dez/26</v>
      </c>
      <c r="G1807" s="4" t="s">
        <v>37</v>
      </c>
      <c r="H1807" s="7" t="s">
        <v>38</v>
      </c>
      <c r="I1807" s="8" t="s">
        <v>177</v>
      </c>
      <c r="J1807" s="8" t="str" cm="1">
        <f t="array" aca="1" ref="J1807" ca="1">_xlfn.LET(
  _xlpm.actual_value_month, INDEX(T1807:AE1807, MATCH(DATE(YEAR(TODAY()), MONTH(TODAY()), 1), $T$1:$AE$1, 0)),
  IF(_xlpm.actual_value_month &lt;&gt; "", _xlpm.actual_value_month &amp; " certificados mensais", "")
)</f>
        <v>162 certificados mensais</v>
      </c>
      <c r="K1807" s="8" t="str">
        <f t="shared" si="2120"/>
        <v>286 certificado anuais.</v>
      </c>
      <c r="L1807" s="9" t="s">
        <v>178</v>
      </c>
      <c r="M1807" s="13">
        <v>1</v>
      </c>
      <c r="N1807" s="5" t="s">
        <v>42</v>
      </c>
      <c r="O1807" s="5" t="s">
        <v>43</v>
      </c>
      <c r="P1807" s="10" t="s">
        <v>44</v>
      </c>
      <c r="Q1807" s="10" t="s">
        <v>44</v>
      </c>
      <c r="R1807" s="11" t="s">
        <v>179</v>
      </c>
      <c r="S1807" s="11" t="s">
        <v>67</v>
      </c>
      <c r="T1807" s="22"/>
      <c r="U1807" s="22"/>
      <c r="V1807" s="143">
        <v>105</v>
      </c>
      <c r="W1807" s="143">
        <v>133</v>
      </c>
      <c r="X1807" s="143">
        <v>143</v>
      </c>
      <c r="Y1807" s="143">
        <v>162</v>
      </c>
      <c r="Z1807" s="143">
        <v>184</v>
      </c>
      <c r="AA1807" s="143">
        <v>210</v>
      </c>
      <c r="AB1807" s="143">
        <v>236</v>
      </c>
      <c r="AC1807" s="143">
        <v>262</v>
      </c>
      <c r="AD1807" s="143">
        <v>286</v>
      </c>
      <c r="AE1807" s="22"/>
      <c r="AG1807" s="71"/>
      <c r="AH1807" s="71"/>
      <c r="AI1807" s="82">
        <v>105</v>
      </c>
      <c r="AJ1807" s="82">
        <v>105</v>
      </c>
      <c r="AK1807" s="71"/>
      <c r="AL1807" s="71"/>
      <c r="AM1807" s="71"/>
      <c r="AN1807" s="71"/>
      <c r="AO1807" s="71"/>
      <c r="AP1807" s="71"/>
      <c r="AQ1807" s="71"/>
      <c r="AR1807" s="71"/>
      <c r="AS1807" s="94" cm="1">
        <f t="array" ref="AS1807">IFERROR(INDEX(T1807:AE1807,1,MATCH(2,1/(T1807:AE1807&lt;&gt;""))),"")</f>
        <v>286</v>
      </c>
      <c r="AT1807" s="95" cm="1">
        <f t="array" ref="AT1807">IFERROR(INDEX(AJ1807:AR1807,1,MATCH(2,1/(AJ1807:AR1807&lt;&gt;""))),"")</f>
        <v>105</v>
      </c>
      <c r="AU1807" s="97">
        <f t="shared" ref="AU1807:AU1811" si="2121">AT1807</f>
        <v>105</v>
      </c>
      <c r="AW1807" s="51">
        <f t="shared" ref="AW1807:AW1811" si="2122">IFERROR(IF(AG1807="",0,AG1807/$AD1807),0)</f>
        <v>0</v>
      </c>
      <c r="AX1807" s="51">
        <f t="shared" ref="AX1807:AX1811" si="2123">IFERROR(IF(AH1807="",0,AH1807/$AD1807),0)</f>
        <v>0</v>
      </c>
      <c r="AY1807" s="51">
        <f t="shared" ref="AY1807:AY1811" si="2124">IFERROR(IF(AI1807="",0,AI1807/$AD1807),0)</f>
        <v>0.36713286713286714</v>
      </c>
      <c r="AZ1807" s="51">
        <f t="shared" ref="AZ1807:AZ1811" si="2125">IFERROR(IF(AJ1807="",0,AJ1807/$AD1807),0)</f>
        <v>0.36713286713286714</v>
      </c>
      <c r="BA1807" s="51"/>
      <c r="BB1807" s="51"/>
      <c r="BC1807" s="51"/>
      <c r="BD1807" s="51"/>
      <c r="BE1807" s="51"/>
      <c r="BF1807" s="51"/>
      <c r="BG1807" s="51"/>
      <c r="BH1807" s="51"/>
      <c r="BI1807" s="65" cm="1">
        <f t="array" ref="BI1807">IFERROR(INDEX(AW1807:BH1807,1,MATCH(2,1/(AW1807:BH1807&lt;&gt;""))),"")</f>
        <v>0.36713286713286714</v>
      </c>
      <c r="BJ1807" s="68" cm="1">
        <f t="array" ref="BJ1807">IF(BM1807 = "", "",IFERROR(INDEX(AW1807:BH1807,1,MATCH(2,1/(AW1807:BH1807&lt;&gt;""),1)-1),""))</f>
        <v>0.36713286713286714</v>
      </c>
      <c r="BK1807" s="58" cm="1">
        <f t="array" ref="BK1807">IFERROR(INDEX(AW1807:BH1807,1,MATCH(2,1/(AW1807:BH1807&lt;&gt;""))),"")</f>
        <v>0.36713286713286714</v>
      </c>
      <c r="BL1807" s="58" cm="1">
        <f t="array" ref="BL1807">IFERROR(INDEX(AW1807:BH1807,1,MATCH(2,1/(AW1807:BH1807&lt;&gt;""),1)-1),"")</f>
        <v>0.36713286713286714</v>
      </c>
      <c r="BM1807" s="55" cm="1">
        <f t="array" ref="BM1807">IFERROR(
   INDEX($AW$1:$BH$1,
      _xlfn.AGGREGATE(14, 6, COLUMN($AW$1:$BH$1)/(AW1807:BH1807&lt;&gt;""), 2) - COLUMN($AW$1) + 1
   ),
"")</f>
        <v>46082</v>
      </c>
      <c r="BN1807" s="55" cm="1">
        <f t="array" ref="BN1807">IFERROR(INDEX($AW$1:$BH$1,1,MATCH(2,1/(AW1807:BH1807&lt;&gt;""))),"")</f>
        <v>46113</v>
      </c>
      <c r="BO1807" s="119" cm="1">
        <f t="array" aca="1" ref="BO1807" ca="1">_xlfn.LET(
    _xlpm.mes_num, MONTH(TODAY())-1,
    _xlpm.coluna_ajustada, IF(_xlpm.mes_num=0, 12, _xlpm.mes_num),
    _xlpm.realizado_mes_anterior, INDEX(T1807:AE1807, 1, _xlpm.coluna_ajustada),
    _xlpm.previsto_total, AD1807,
    _xlpm.realizado_mes_anterior / _xlpm.previsto_total
)</f>
        <v>0.5</v>
      </c>
      <c r="BP1807" s="53">
        <f ca="1">IFERROR(_xlfn.XLOOKUP(F1807,Apuração!A:A,Apuração!D:D)/_xlfn.XLOOKUP(F1807,Apuração!A:A,Apuração!B:B),0)</f>
        <v>0.2</v>
      </c>
      <c r="BQ1807" s="53">
        <f ca="1">IF(BK1807&gt;=BO1807,0,_xlfn.XLOOKUP(F1807,Apuração!A:A,Apuração!B:B)*(BO1807 + (1/_xlfn.XLOOKUP(F1807,Apuração!A:A,Apuração!B:B)) - BK1807))</f>
        <v>2.3286713286713283</v>
      </c>
      <c r="BR1807" s="85">
        <f t="shared" ref="BR1807:BR1811" ca="1" si="2126">IF(BQ1807=0,0,BQ1807*Z1807)</f>
        <v>428.47552447552442</v>
      </c>
      <c r="BS1807" s="53">
        <f ca="1">IFERROR((_xlfn.XLOOKUP(F1807,Apuração!A:A,Apuração!C:C)+1)/_xlfn.XLOOKUP(F1807,Apuração!A:A,Apuração!B:B),0)</f>
        <v>0.4</v>
      </c>
    </row>
    <row r="1808" spans="1:71" ht="25.95" hidden="1" customHeight="1" x14ac:dyDescent="0.3">
      <c r="A1808" s="33" t="s">
        <v>175</v>
      </c>
      <c r="B1808" s="4" t="s">
        <v>176</v>
      </c>
      <c r="C1808" s="5" t="s">
        <v>214</v>
      </c>
      <c r="D1808" s="5" t="s">
        <v>215</v>
      </c>
      <c r="E1808" s="4" t="str" cm="1">
        <f t="array" ref="E1808">_xlfn.IFS(
F1808 = "A partir de Abril", "Aguardando Execução na Distribuidora",
A1808 = "CAPACITAÇÃO", "Em execução no Corporativo",
TRUE, "Em Execução na Distribuidora"
)</f>
        <v>Em execução no Corporativo</v>
      </c>
      <c r="F1808" s="4" t="str" cm="1">
        <f t="array" ref="F1808">_xlfn.IFS(
AG1808 &lt;&gt; "", "Jan-Dez/26",
AH1808 &lt;&gt; "", "Fev-Dez/26",
AI1808 &lt;&gt; "", "Mar-Dez/26", AJ1808 &lt;&gt; "", "Abr-Dez/26",
TRUE, "A partir de Junho"
)</f>
        <v>Mar-Dez/26</v>
      </c>
      <c r="G1808" s="4" t="s">
        <v>37</v>
      </c>
      <c r="H1808" s="7" t="s">
        <v>38</v>
      </c>
      <c r="I1808" s="8" t="s">
        <v>177</v>
      </c>
      <c r="J1808" s="8" t="str" cm="1">
        <f t="array" aca="1" ref="J1808" ca="1">_xlfn.LET(
  _xlpm.actual_value_month, INDEX(T1808:AE1808, MATCH(DATE(YEAR(TODAY()), MONTH(TODAY()), 1), $T$1:$AE$1, 0)),
  IF(_xlpm.actual_value_month &lt;&gt; "", _xlpm.actual_value_month &amp; " certificados mensais", "")
)</f>
        <v>724 certificados mensais</v>
      </c>
      <c r="K1808" s="8" t="str">
        <f t="shared" si="2120"/>
        <v>1146 certificado anuais.</v>
      </c>
      <c r="L1808" s="9" t="s">
        <v>178</v>
      </c>
      <c r="M1808" s="13">
        <v>1</v>
      </c>
      <c r="N1808" s="5" t="s">
        <v>42</v>
      </c>
      <c r="O1808" s="5" t="s">
        <v>43</v>
      </c>
      <c r="P1808" s="10" t="s">
        <v>44</v>
      </c>
      <c r="Q1808" s="10" t="s">
        <v>44</v>
      </c>
      <c r="R1808" s="11" t="s">
        <v>179</v>
      </c>
      <c r="S1808" s="11" t="s">
        <v>67</v>
      </c>
      <c r="T1808" s="22"/>
      <c r="U1808" s="22"/>
      <c r="V1808" s="143">
        <v>365</v>
      </c>
      <c r="W1808" s="143">
        <v>454</v>
      </c>
      <c r="X1808" s="143">
        <v>562</v>
      </c>
      <c r="Y1808" s="143">
        <v>724</v>
      </c>
      <c r="Z1808" s="143">
        <v>882</v>
      </c>
      <c r="AA1808" s="143">
        <v>988</v>
      </c>
      <c r="AB1808" s="22">
        <v>1081</v>
      </c>
      <c r="AC1808" s="22">
        <v>1146</v>
      </c>
      <c r="AD1808" s="22">
        <v>1146</v>
      </c>
      <c r="AE1808" s="22"/>
      <c r="AG1808" s="71"/>
      <c r="AH1808" s="71"/>
      <c r="AI1808" s="82">
        <v>373</v>
      </c>
      <c r="AJ1808" s="82">
        <v>373</v>
      </c>
      <c r="AK1808" s="71"/>
      <c r="AL1808" s="71"/>
      <c r="AM1808" s="71"/>
      <c r="AN1808" s="71"/>
      <c r="AO1808" s="71"/>
      <c r="AP1808" s="71"/>
      <c r="AQ1808" s="71"/>
      <c r="AR1808" s="71"/>
      <c r="AS1808" s="94" cm="1">
        <f t="array" ref="AS1808">IFERROR(INDEX(T1808:AE1808,1,MATCH(2,1/(T1808:AE1808&lt;&gt;""))),"")</f>
        <v>1146</v>
      </c>
      <c r="AT1808" s="95" cm="1">
        <f t="array" ref="AT1808">IFERROR(INDEX(AJ1808:AR1808,1,MATCH(2,1/(AJ1808:AR1808&lt;&gt;""))),"")</f>
        <v>373</v>
      </c>
      <c r="AU1808" s="97">
        <f t="shared" si="2121"/>
        <v>373</v>
      </c>
      <c r="AW1808" s="51">
        <f t="shared" si="2122"/>
        <v>0</v>
      </c>
      <c r="AX1808" s="51">
        <f t="shared" si="2123"/>
        <v>0</v>
      </c>
      <c r="AY1808" s="51">
        <f t="shared" si="2124"/>
        <v>0.32547993019197208</v>
      </c>
      <c r="AZ1808" s="51">
        <f t="shared" si="2125"/>
        <v>0.32547993019197208</v>
      </c>
      <c r="BA1808" s="51"/>
      <c r="BB1808" s="51"/>
      <c r="BC1808" s="51"/>
      <c r="BD1808" s="51"/>
      <c r="BE1808" s="51"/>
      <c r="BF1808" s="51"/>
      <c r="BG1808" s="51"/>
      <c r="BH1808" s="51"/>
      <c r="BI1808" s="65" cm="1">
        <f t="array" ref="BI1808">IFERROR(INDEX(AW1808:BH1808,1,MATCH(2,1/(AW1808:BH1808&lt;&gt;""))),"")</f>
        <v>0.32547993019197208</v>
      </c>
      <c r="BJ1808" s="68" cm="1">
        <f t="array" ref="BJ1808">IF(BM1808 = "", "",IFERROR(INDEX(AW1808:BH1808,1,MATCH(2,1/(AW1808:BH1808&lt;&gt;""),1)-1),""))</f>
        <v>0.32547993019197208</v>
      </c>
      <c r="BK1808" s="58" cm="1">
        <f t="array" ref="BK1808">IFERROR(INDEX(AW1808:BH1808,1,MATCH(2,1/(AW1808:BH1808&lt;&gt;""))),"")</f>
        <v>0.32547993019197208</v>
      </c>
      <c r="BL1808" s="58" cm="1">
        <f t="array" ref="BL1808">IFERROR(INDEX(AW1808:BH1808,1,MATCH(2,1/(AW1808:BH1808&lt;&gt;""),1)-1),"")</f>
        <v>0.32547993019197208</v>
      </c>
      <c r="BM1808" s="55" cm="1">
        <f t="array" ref="BM1808">IFERROR(
   INDEX($AW$1:$BH$1,
      _xlfn.AGGREGATE(14, 6, COLUMN($AW$1:$BH$1)/(AW1808:BH1808&lt;&gt;""), 2) - COLUMN($AW$1) + 1
   ),
"")</f>
        <v>46082</v>
      </c>
      <c r="BN1808" s="55" cm="1">
        <f t="array" ref="BN1808">IFERROR(INDEX($AW$1:$BH$1,1,MATCH(2,1/(AW1808:BH1808&lt;&gt;""))),"")</f>
        <v>46113</v>
      </c>
      <c r="BO1808" s="119" cm="1">
        <f t="array" aca="1" ref="BO1808" ca="1">_xlfn.LET(
    _xlpm.mes_num, MONTH(TODAY())-1,
    _xlpm.coluna_ajustada, IF(_xlpm.mes_num=0, 12, _xlpm.mes_num),
    _xlpm.realizado_mes_anterior, INDEX(T1808:AE1808, 1, _xlpm.coluna_ajustada),
    _xlpm.previsto_total, AD1808,
    _xlpm.realizado_mes_anterior / _xlpm.previsto_total
)</f>
        <v>0.49040139616055844</v>
      </c>
      <c r="BP1808" s="53">
        <f ca="1">IFERROR(_xlfn.XLOOKUP(F1808,Apuração!A:A,Apuração!D:D)/_xlfn.XLOOKUP(F1808,Apuração!A:A,Apuração!B:B),0)</f>
        <v>0.2</v>
      </c>
      <c r="BQ1808" s="53">
        <f ca="1">IF(BK1808&gt;=BO1808,0,_xlfn.XLOOKUP(F1808,Apuração!A:A,Apuração!B:B)*(BO1808 + (1/_xlfn.XLOOKUP(F1808,Apuração!A:A,Apuração!B:B)) - BK1808))</f>
        <v>2.6492146596858634</v>
      </c>
      <c r="BR1808" s="85">
        <f t="shared" ca="1" si="2126"/>
        <v>2336.6073298429314</v>
      </c>
      <c r="BS1808" s="53">
        <f ca="1">IFERROR((_xlfn.XLOOKUP(F1808,Apuração!A:A,Apuração!C:C)+1)/_xlfn.XLOOKUP(F1808,Apuração!A:A,Apuração!B:B),0)</f>
        <v>0.4</v>
      </c>
    </row>
    <row r="1809" spans="1:71" ht="25.95" hidden="1" customHeight="1" x14ac:dyDescent="0.3">
      <c r="A1809" s="33" t="s">
        <v>175</v>
      </c>
      <c r="B1809" s="4" t="s">
        <v>176</v>
      </c>
      <c r="C1809" s="5" t="s">
        <v>214</v>
      </c>
      <c r="D1809" s="5" t="s">
        <v>212</v>
      </c>
      <c r="E1809" s="4" t="str" cm="1">
        <f t="array" ref="E1809">_xlfn.IFS(
F1809 = "A partir de Abril", "Aguardando Execução na Distribuidora",
A1809 = "CAPACITAÇÃO", "Em execução no Corporativo",
TRUE, "Em Execução na Distribuidora"
)</f>
        <v>Em execução no Corporativo</v>
      </c>
      <c r="F1809" s="4" t="str" cm="1">
        <f t="array" ref="F1809">_xlfn.IFS(
AG1809 &lt;&gt; "", "Jan-Dez/26",
AH1809 &lt;&gt; "", "Fev-Dez/26",
AI1809 &lt;&gt; "", "Mar-Dez/26", AJ1809 &lt;&gt; "", "Abr-Dez/26",
TRUE, "A partir de Junho"
)</f>
        <v>Mar-Dez/26</v>
      </c>
      <c r="G1809" s="4" t="s">
        <v>37</v>
      </c>
      <c r="H1809" s="7" t="s">
        <v>38</v>
      </c>
      <c r="I1809" s="8" t="s">
        <v>177</v>
      </c>
      <c r="J1809" s="8" t="str" cm="1">
        <f t="array" aca="1" ref="J1809" ca="1">_xlfn.LET(
  _xlpm.actual_value_month, INDEX(T1809:AE1809, MATCH(DATE(YEAR(TODAY()), MONTH(TODAY()), 1), $T$1:$AE$1, 0)),
  IF(_xlpm.actual_value_month &lt;&gt; "", _xlpm.actual_value_month &amp; " certificados mensais", "")
)</f>
        <v>852 certificados mensais</v>
      </c>
      <c r="K1809" s="8" t="str">
        <f t="shared" si="2120"/>
        <v>912 certificado anuais.</v>
      </c>
      <c r="L1809" s="9" t="s">
        <v>178</v>
      </c>
      <c r="M1809" s="13">
        <v>1</v>
      </c>
      <c r="N1809" s="5" t="s">
        <v>42</v>
      </c>
      <c r="O1809" s="5" t="s">
        <v>43</v>
      </c>
      <c r="P1809" s="10" t="s">
        <v>44</v>
      </c>
      <c r="Q1809" s="10" t="s">
        <v>44</v>
      </c>
      <c r="R1809" s="11" t="s">
        <v>179</v>
      </c>
      <c r="S1809" s="11" t="s">
        <v>67</v>
      </c>
      <c r="T1809" s="22"/>
      <c r="U1809" s="22"/>
      <c r="V1809" s="143">
        <v>708</v>
      </c>
      <c r="W1809" s="143">
        <v>751</v>
      </c>
      <c r="X1809" s="143">
        <v>810</v>
      </c>
      <c r="Y1809" s="143">
        <v>852</v>
      </c>
      <c r="Z1809" s="143">
        <v>884</v>
      </c>
      <c r="AA1809" s="143">
        <v>912</v>
      </c>
      <c r="AB1809" s="143">
        <v>912</v>
      </c>
      <c r="AC1809" s="143">
        <v>912</v>
      </c>
      <c r="AD1809" s="143">
        <v>912</v>
      </c>
      <c r="AE1809" s="22"/>
      <c r="AG1809" s="71"/>
      <c r="AH1809" s="71"/>
      <c r="AI1809" s="82">
        <v>708</v>
      </c>
      <c r="AJ1809" s="82">
        <v>708</v>
      </c>
      <c r="AK1809" s="71"/>
      <c r="AL1809" s="71"/>
      <c r="AM1809" s="71"/>
      <c r="AN1809" s="71"/>
      <c r="AO1809" s="71"/>
      <c r="AP1809" s="71"/>
      <c r="AQ1809" s="71"/>
      <c r="AR1809" s="71"/>
      <c r="AS1809" s="94" cm="1">
        <f t="array" ref="AS1809">IFERROR(INDEX(T1809:AE1809,1,MATCH(2,1/(T1809:AE1809&lt;&gt;""))),"")</f>
        <v>912</v>
      </c>
      <c r="AT1809" s="95" cm="1">
        <f t="array" ref="AT1809">IFERROR(INDEX(AJ1809:AR1809,1,MATCH(2,1/(AJ1809:AR1809&lt;&gt;""))),"")</f>
        <v>708</v>
      </c>
      <c r="AU1809" s="97">
        <f t="shared" si="2121"/>
        <v>708</v>
      </c>
      <c r="AW1809" s="51">
        <f t="shared" si="2122"/>
        <v>0</v>
      </c>
      <c r="AX1809" s="51">
        <f t="shared" si="2123"/>
        <v>0</v>
      </c>
      <c r="AY1809" s="51">
        <f t="shared" si="2124"/>
        <v>0.77631578947368418</v>
      </c>
      <c r="AZ1809" s="51">
        <f t="shared" si="2125"/>
        <v>0.77631578947368418</v>
      </c>
      <c r="BA1809" s="51"/>
      <c r="BB1809" s="51"/>
      <c r="BC1809" s="51"/>
      <c r="BD1809" s="51"/>
      <c r="BE1809" s="51"/>
      <c r="BF1809" s="51"/>
      <c r="BG1809" s="51"/>
      <c r="BH1809" s="51"/>
      <c r="BI1809" s="65" cm="1">
        <f t="array" ref="BI1809">IFERROR(INDEX(AW1809:BH1809,1,MATCH(2,1/(AW1809:BH1809&lt;&gt;""))),"")</f>
        <v>0.77631578947368418</v>
      </c>
      <c r="BJ1809" s="68" cm="1">
        <f t="array" ref="BJ1809">IF(BM1809 = "", "",IFERROR(INDEX(AW1809:BH1809,1,MATCH(2,1/(AW1809:BH1809&lt;&gt;""),1)-1),""))</f>
        <v>0.77631578947368418</v>
      </c>
      <c r="BK1809" s="58" cm="1">
        <f t="array" ref="BK1809">IFERROR(INDEX(AW1809:BH1809,1,MATCH(2,1/(AW1809:BH1809&lt;&gt;""))),"")</f>
        <v>0.77631578947368418</v>
      </c>
      <c r="BL1809" s="58" cm="1">
        <f t="array" ref="BL1809">IFERROR(INDEX(AW1809:BH1809,1,MATCH(2,1/(AW1809:BH1809&lt;&gt;""),1)-1),"")</f>
        <v>0.77631578947368418</v>
      </c>
      <c r="BM1809" s="55" cm="1">
        <f t="array" ref="BM1809">IFERROR(
   INDEX($AW$1:$BH$1,
      _xlfn.AGGREGATE(14, 6, COLUMN($AW$1:$BH$1)/(AW1809:BH1809&lt;&gt;""), 2) - COLUMN($AW$1) + 1
   ),
"")</f>
        <v>46082</v>
      </c>
      <c r="BN1809" s="55" cm="1">
        <f t="array" ref="BN1809">IFERROR(INDEX($AW$1:$BH$1,1,MATCH(2,1/(AW1809:BH1809&lt;&gt;""))),"")</f>
        <v>46113</v>
      </c>
      <c r="BO1809" s="119" cm="1">
        <f t="array" aca="1" ref="BO1809" ca="1">_xlfn.LET(
    _xlpm.mes_num, MONTH(TODAY())-1,
    _xlpm.coluna_ajustada, IF(_xlpm.mes_num=0, 12, _xlpm.mes_num),
    _xlpm.realizado_mes_anterior, INDEX(T1809:AE1809, 1, _xlpm.coluna_ajustada),
    _xlpm.previsto_total, AD1809,
    _xlpm.realizado_mes_anterior / _xlpm.previsto_total
)</f>
        <v>0.88815789473684215</v>
      </c>
      <c r="BP1809" s="53">
        <f ca="1">IFERROR(_xlfn.XLOOKUP(F1809,Apuração!A:A,Apuração!D:D)/_xlfn.XLOOKUP(F1809,Apuração!A:A,Apuração!B:B),0)</f>
        <v>0.2</v>
      </c>
      <c r="BQ1809" s="53">
        <f ca="1">IF(BK1809&gt;=BO1809,0,_xlfn.XLOOKUP(F1809,Apuração!A:A,Apuração!B:B)*(BO1809 + (1/_xlfn.XLOOKUP(F1809,Apuração!A:A,Apuração!B:B)) - BK1809))</f>
        <v>2.1184210526315796</v>
      </c>
      <c r="BR1809" s="85">
        <f t="shared" ca="1" si="2126"/>
        <v>1872.6842105263165</v>
      </c>
      <c r="BS1809" s="53">
        <f ca="1">IFERROR((_xlfn.XLOOKUP(F1809,Apuração!A:A,Apuração!C:C)+1)/_xlfn.XLOOKUP(F1809,Apuração!A:A,Apuração!B:B),0)</f>
        <v>0.4</v>
      </c>
    </row>
    <row r="1810" spans="1:71" ht="25.95" hidden="1" customHeight="1" x14ac:dyDescent="0.3">
      <c r="A1810" s="33" t="s">
        <v>175</v>
      </c>
      <c r="B1810" s="4" t="s">
        <v>176</v>
      </c>
      <c r="C1810" s="5" t="s">
        <v>214</v>
      </c>
      <c r="D1810" s="5" t="s">
        <v>48</v>
      </c>
      <c r="E1810" s="4" t="str" cm="1">
        <f t="array" ref="E1810">_xlfn.IFS(
F1810 = "A partir de Abril", "Aguardando Execução na Distribuidora",
A1810 = "CAPACITAÇÃO", "Em execução no Corporativo",
TRUE, "Em Execução na Distribuidora"
)</f>
        <v>Em execução no Corporativo</v>
      </c>
      <c r="F1810" s="4" t="str" cm="1">
        <f t="array" ref="F1810">_xlfn.IFS(
AG1810 &lt;&gt; "", "Jan-Dez/26",
AH1810 &lt;&gt; "", "Fev-Dez/26",
AI1810 &lt;&gt; "", "Mar-Dez/26", AJ1810 &lt;&gt; "", "Abr-Dez/26",
TRUE, "A partir de Junho"
)</f>
        <v>Mar-Dez/26</v>
      </c>
      <c r="G1810" s="4" t="s">
        <v>37</v>
      </c>
      <c r="H1810" s="7" t="s">
        <v>38</v>
      </c>
      <c r="I1810" s="8" t="s">
        <v>177</v>
      </c>
      <c r="J1810" s="8" t="str" cm="1">
        <f t="array" aca="1" ref="J1810" ca="1">_xlfn.LET(
  _xlpm.actual_value_month, INDEX(T1810:AE1810, MATCH(DATE(YEAR(TODAY()), MONTH(TODAY()), 1), $T$1:$AE$1, 0)),
  IF(_xlpm.actual_value_month &lt;&gt; "", _xlpm.actual_value_month &amp; " certificados mensais", "")
)</f>
        <v>375 certificados mensais</v>
      </c>
      <c r="K1810" s="8" t="str">
        <f t="shared" si="2120"/>
        <v>743 certificado anuais.</v>
      </c>
      <c r="L1810" s="9" t="s">
        <v>178</v>
      </c>
      <c r="M1810" s="13">
        <v>1</v>
      </c>
      <c r="N1810" s="5" t="s">
        <v>42</v>
      </c>
      <c r="O1810" s="5" t="s">
        <v>43</v>
      </c>
      <c r="P1810" s="10" t="s">
        <v>44</v>
      </c>
      <c r="Q1810" s="10" t="s">
        <v>44</v>
      </c>
      <c r="R1810" s="11" t="s">
        <v>179</v>
      </c>
      <c r="S1810" s="11" t="s">
        <v>67</v>
      </c>
      <c r="T1810" s="22"/>
      <c r="U1810" s="22"/>
      <c r="V1810" s="143">
        <v>244</v>
      </c>
      <c r="W1810" s="143">
        <v>297</v>
      </c>
      <c r="X1810" s="143">
        <v>337</v>
      </c>
      <c r="Y1810" s="143">
        <v>375</v>
      </c>
      <c r="Z1810" s="143">
        <v>467</v>
      </c>
      <c r="AA1810" s="143">
        <v>554</v>
      </c>
      <c r="AB1810" s="143">
        <v>632</v>
      </c>
      <c r="AC1810" s="143">
        <v>697</v>
      </c>
      <c r="AD1810" s="143">
        <v>743</v>
      </c>
      <c r="AE1810" s="22"/>
      <c r="AG1810" s="71"/>
      <c r="AH1810" s="71"/>
      <c r="AI1810" s="82">
        <v>247</v>
      </c>
      <c r="AJ1810" s="82">
        <v>247</v>
      </c>
      <c r="AK1810" s="71"/>
      <c r="AL1810" s="71"/>
      <c r="AM1810" s="71"/>
      <c r="AN1810" s="71"/>
      <c r="AO1810" s="71"/>
      <c r="AP1810" s="71"/>
      <c r="AQ1810" s="71"/>
      <c r="AR1810" s="71"/>
      <c r="AS1810" s="94" cm="1">
        <f t="array" ref="AS1810">IFERROR(INDEX(T1810:AE1810,1,MATCH(2,1/(T1810:AE1810&lt;&gt;""))),"")</f>
        <v>743</v>
      </c>
      <c r="AT1810" s="95" cm="1">
        <f t="array" ref="AT1810">IFERROR(INDEX(AJ1810:AR1810,1,MATCH(2,1/(AJ1810:AR1810&lt;&gt;""))),"")</f>
        <v>247</v>
      </c>
      <c r="AU1810" s="97">
        <f t="shared" si="2121"/>
        <v>247</v>
      </c>
      <c r="AW1810" s="51">
        <f t="shared" si="2122"/>
        <v>0</v>
      </c>
      <c r="AX1810" s="51">
        <f t="shared" si="2123"/>
        <v>0</v>
      </c>
      <c r="AY1810" s="51">
        <f t="shared" si="2124"/>
        <v>0.33243606998654107</v>
      </c>
      <c r="AZ1810" s="51">
        <f t="shared" si="2125"/>
        <v>0.33243606998654107</v>
      </c>
      <c r="BA1810" s="51"/>
      <c r="BB1810" s="51"/>
      <c r="BC1810" s="51"/>
      <c r="BD1810" s="51"/>
      <c r="BE1810" s="51"/>
      <c r="BF1810" s="51"/>
      <c r="BG1810" s="51"/>
      <c r="BH1810" s="51"/>
      <c r="BI1810" s="65" cm="1">
        <f t="array" ref="BI1810">IFERROR(INDEX(AW1810:BH1810,1,MATCH(2,1/(AW1810:BH1810&lt;&gt;""))),"")</f>
        <v>0.33243606998654107</v>
      </c>
      <c r="BJ1810" s="68" cm="1">
        <f t="array" ref="BJ1810">IF(BM1810 = "", "",IFERROR(INDEX(AW1810:BH1810,1,MATCH(2,1/(AW1810:BH1810&lt;&gt;""),1)-1),""))</f>
        <v>0.33243606998654107</v>
      </c>
      <c r="BK1810" s="58" cm="1">
        <f t="array" ref="BK1810">IFERROR(INDEX(AW1810:BH1810,1,MATCH(2,1/(AW1810:BH1810&lt;&gt;""))),"")</f>
        <v>0.33243606998654107</v>
      </c>
      <c r="BL1810" s="58" cm="1">
        <f t="array" ref="BL1810">IFERROR(INDEX(AW1810:BH1810,1,MATCH(2,1/(AW1810:BH1810&lt;&gt;""),1)-1),"")</f>
        <v>0.33243606998654107</v>
      </c>
      <c r="BM1810" s="55" cm="1">
        <f t="array" ref="BM1810">IFERROR(
   INDEX($AW$1:$BH$1,
      _xlfn.AGGREGATE(14, 6, COLUMN($AW$1:$BH$1)/(AW1810:BH1810&lt;&gt;""), 2) - COLUMN($AW$1) + 1
   ),
"")</f>
        <v>46082</v>
      </c>
      <c r="BN1810" s="55" cm="1">
        <f t="array" ref="BN1810">IFERROR(INDEX($AW$1:$BH$1,1,MATCH(2,1/(AW1810:BH1810&lt;&gt;""))),"")</f>
        <v>46113</v>
      </c>
      <c r="BO1810" s="119" cm="1">
        <f t="array" aca="1" ref="BO1810" ca="1">_xlfn.LET(
    _xlpm.mes_num, MONTH(TODAY())-1,
    _xlpm.coluna_ajustada, IF(_xlpm.mes_num=0, 12, _xlpm.mes_num),
    _xlpm.realizado_mes_anterior, INDEX(T1810:AE1810, 1, _xlpm.coluna_ajustada),
    _xlpm.previsto_total, AD1810,
    _xlpm.realizado_mes_anterior / _xlpm.previsto_total
)</f>
        <v>0.45356662180349933</v>
      </c>
      <c r="BP1810" s="53">
        <f ca="1">IFERROR(_xlfn.XLOOKUP(F1810,Apuração!A:A,Apuração!D:D)/_xlfn.XLOOKUP(F1810,Apuração!A:A,Apuração!B:B),0)</f>
        <v>0.2</v>
      </c>
      <c r="BQ1810" s="53">
        <f ca="1">IF(BK1810&gt;=BO1810,0,_xlfn.XLOOKUP(F1810,Apuração!A:A,Apuração!B:B)*(BO1810 + (1/_xlfn.XLOOKUP(F1810,Apuração!A:A,Apuração!B:B)) - BK1810))</f>
        <v>2.2113055181695831</v>
      </c>
      <c r="BR1810" s="85">
        <f t="shared" ca="1" si="2126"/>
        <v>1032.6796769851953</v>
      </c>
      <c r="BS1810" s="53">
        <f ca="1">IFERROR((_xlfn.XLOOKUP(F1810,Apuração!A:A,Apuração!C:C)+1)/_xlfn.XLOOKUP(F1810,Apuração!A:A,Apuração!B:B),0)</f>
        <v>0.4</v>
      </c>
    </row>
    <row r="1811" spans="1:71" ht="25.95" hidden="1" customHeight="1" x14ac:dyDescent="0.3">
      <c r="A1811" s="33" t="s">
        <v>175</v>
      </c>
      <c r="B1811" s="4" t="s">
        <v>176</v>
      </c>
      <c r="C1811" s="5" t="s">
        <v>214</v>
      </c>
      <c r="D1811" s="5" t="s">
        <v>213</v>
      </c>
      <c r="E1811" s="4" t="str" cm="1">
        <f t="array" ref="E1811">_xlfn.IFS(
F1811 = "A partir de Abril", "Aguardando Execução na Distribuidora",
A1811 = "CAPACITAÇÃO", "Em execução no Corporativo",
TRUE, "Em Execução na Distribuidora"
)</f>
        <v>Em execução no Corporativo</v>
      </c>
      <c r="F1811" s="4" t="str" cm="1">
        <f t="array" ref="F1811">_xlfn.IFS(
AG1811 &lt;&gt; "", "Jan-Dez/26",
AH1811 &lt;&gt; "", "Fev-Dez/26",
AI1811 &lt;&gt; "", "Mar-Dez/26", AJ1811 &lt;&gt; "", "Abr-Dez/26",
TRUE, "A partir de Junho"
)</f>
        <v>Mar-Dez/26</v>
      </c>
      <c r="G1811" s="4" t="s">
        <v>37</v>
      </c>
      <c r="H1811" s="7" t="s">
        <v>38</v>
      </c>
      <c r="I1811" s="8" t="s">
        <v>177</v>
      </c>
      <c r="J1811" s="8" t="str" cm="1">
        <f t="array" aca="1" ref="J1811" ca="1">_xlfn.LET(
  _xlpm.actual_value_month, INDEX(T1811:AE1811, MATCH(DATE(YEAR(TODAY()), MONTH(TODAY()), 1), $T$1:$AE$1, 0)),
  IF(_xlpm.actual_value_month &lt;&gt; "", _xlpm.actual_value_month &amp; " certificados mensais", "")
)</f>
        <v>676 certificados mensais</v>
      </c>
      <c r="K1811" s="8" t="str">
        <f t="shared" si="2120"/>
        <v>740 certificado anuais.</v>
      </c>
      <c r="L1811" s="9" t="s">
        <v>178</v>
      </c>
      <c r="M1811" s="13">
        <v>1</v>
      </c>
      <c r="N1811" s="5" t="s">
        <v>42</v>
      </c>
      <c r="O1811" s="5" t="s">
        <v>43</v>
      </c>
      <c r="P1811" s="10" t="s">
        <v>44</v>
      </c>
      <c r="Q1811" s="10" t="s">
        <v>44</v>
      </c>
      <c r="R1811" s="11" t="s">
        <v>179</v>
      </c>
      <c r="S1811" s="11" t="s">
        <v>67</v>
      </c>
      <c r="T1811" s="22"/>
      <c r="U1811" s="22"/>
      <c r="V1811" s="143">
        <v>341</v>
      </c>
      <c r="W1811" s="143">
        <v>495</v>
      </c>
      <c r="X1811" s="143">
        <v>663</v>
      </c>
      <c r="Y1811" s="143">
        <v>676</v>
      </c>
      <c r="Z1811" s="143">
        <v>689</v>
      </c>
      <c r="AA1811" s="143">
        <v>702</v>
      </c>
      <c r="AB1811" s="143">
        <v>715</v>
      </c>
      <c r="AC1811" s="143">
        <v>728</v>
      </c>
      <c r="AD1811" s="143">
        <v>740</v>
      </c>
      <c r="AE1811" s="22"/>
      <c r="AG1811" s="71"/>
      <c r="AH1811" s="71"/>
      <c r="AI1811" s="82">
        <v>353</v>
      </c>
      <c r="AJ1811" s="82">
        <v>353</v>
      </c>
      <c r="AK1811" s="71"/>
      <c r="AL1811" s="71"/>
      <c r="AM1811" s="71"/>
      <c r="AN1811" s="71"/>
      <c r="AO1811" s="71"/>
      <c r="AP1811" s="71"/>
      <c r="AQ1811" s="71"/>
      <c r="AR1811" s="71"/>
      <c r="AS1811" s="94" cm="1">
        <f t="array" ref="AS1811">IFERROR(INDEX(T1811:AE1811,1,MATCH(2,1/(T1811:AE1811&lt;&gt;""))),"")</f>
        <v>740</v>
      </c>
      <c r="AT1811" s="95" cm="1">
        <f t="array" ref="AT1811">IFERROR(INDEX(AJ1811:AR1811,1,MATCH(2,1/(AJ1811:AR1811&lt;&gt;""))),"")</f>
        <v>353</v>
      </c>
      <c r="AU1811" s="97">
        <f t="shared" si="2121"/>
        <v>353</v>
      </c>
      <c r="AW1811" s="51">
        <f t="shared" si="2122"/>
        <v>0</v>
      </c>
      <c r="AX1811" s="51">
        <f t="shared" si="2123"/>
        <v>0</v>
      </c>
      <c r="AY1811" s="51">
        <f t="shared" si="2124"/>
        <v>0.47702702702702704</v>
      </c>
      <c r="AZ1811" s="51">
        <f t="shared" si="2125"/>
        <v>0.47702702702702704</v>
      </c>
      <c r="BA1811" s="51"/>
      <c r="BB1811" s="51"/>
      <c r="BC1811" s="51"/>
      <c r="BD1811" s="51"/>
      <c r="BE1811" s="51"/>
      <c r="BF1811" s="51"/>
      <c r="BG1811" s="51"/>
      <c r="BH1811" s="51"/>
      <c r="BI1811" s="65" cm="1">
        <f t="array" ref="BI1811">IFERROR(INDEX(AW1811:BH1811,1,MATCH(2,1/(AW1811:BH1811&lt;&gt;""))),"")</f>
        <v>0.47702702702702704</v>
      </c>
      <c r="BJ1811" s="68" cm="1">
        <f t="array" ref="BJ1811">IF(BM1811 = "", "",IFERROR(INDEX(AW1811:BH1811,1,MATCH(2,1/(AW1811:BH1811&lt;&gt;""),1)-1),""))</f>
        <v>0.47702702702702704</v>
      </c>
      <c r="BK1811" s="58" cm="1">
        <f t="array" ref="BK1811">IFERROR(INDEX(AW1811:BH1811,1,MATCH(2,1/(AW1811:BH1811&lt;&gt;""))),"")</f>
        <v>0.47702702702702704</v>
      </c>
      <c r="BL1811" s="58" cm="1">
        <f t="array" ref="BL1811">IFERROR(INDEX(AW1811:BH1811,1,MATCH(2,1/(AW1811:BH1811&lt;&gt;""),1)-1),"")</f>
        <v>0.47702702702702704</v>
      </c>
      <c r="BM1811" s="55" cm="1">
        <f t="array" ref="BM1811">IFERROR(
   INDEX($AW$1:$BH$1,
      _xlfn.AGGREGATE(14, 6, COLUMN($AW$1:$BH$1)/(AW1811:BH1811&lt;&gt;""), 2) - COLUMN($AW$1) + 1
   ),
"")</f>
        <v>46082</v>
      </c>
      <c r="BN1811" s="55" cm="1">
        <f t="array" ref="BN1811">IFERROR(INDEX($AW$1:$BH$1,1,MATCH(2,1/(AW1811:BH1811&lt;&gt;""))),"")</f>
        <v>46113</v>
      </c>
      <c r="BO1811" s="119" cm="1">
        <f t="array" aca="1" ref="BO1811" ca="1">_xlfn.LET(
    _xlpm.mes_num, MONTH(TODAY())-1,
    _xlpm.coluna_ajustada, IF(_xlpm.mes_num=0, 12, _xlpm.mes_num),
    _xlpm.realizado_mes_anterior, INDEX(T1811:AE1811, 1, _xlpm.coluna_ajustada),
    _xlpm.previsto_total, AD1811,
    _xlpm.realizado_mes_anterior / _xlpm.previsto_total
)</f>
        <v>0.8959459459459459</v>
      </c>
      <c r="BP1811" s="53">
        <f ca="1">IFERROR(_xlfn.XLOOKUP(F1811,Apuração!A:A,Apuração!D:D)/_xlfn.XLOOKUP(F1811,Apuração!A:A,Apuração!B:B),0)</f>
        <v>0.2</v>
      </c>
      <c r="BQ1811" s="53">
        <f ca="1">IF(BK1811&gt;=BO1811,0,_xlfn.XLOOKUP(F1811,Apuração!A:A,Apuração!B:B)*(BO1811 + (1/_xlfn.XLOOKUP(F1811,Apuração!A:A,Apuração!B:B)) - BK1811))</f>
        <v>5.1891891891891886</v>
      </c>
      <c r="BR1811" s="85">
        <f t="shared" ca="1" si="2126"/>
        <v>3575.3513513513508</v>
      </c>
      <c r="BS1811" s="53">
        <f ca="1">IFERROR((_xlfn.XLOOKUP(F1811,Apuração!A:A,Apuração!C:C)+1)/_xlfn.XLOOKUP(F1811,Apuração!A:A,Apuração!B:B),0)</f>
        <v>0.4</v>
      </c>
    </row>
    <row r="1812" spans="1:71" ht="25.95" hidden="1" customHeight="1" x14ac:dyDescent="0.3">
      <c r="A1812" s="44" t="s">
        <v>175</v>
      </c>
      <c r="B1812" s="4" t="s">
        <v>176</v>
      </c>
      <c r="C1812" s="5" t="s">
        <v>214</v>
      </c>
      <c r="D1812" s="5" t="s">
        <v>36</v>
      </c>
      <c r="E1812" s="4" t="str" cm="1">
        <f t="array" ref="E1812">_xlfn.IFS(
F1812 = "A partir de Abril", "Aguardando Execução na Distribuidora",
A1812 = "CAPACITAÇÃO", "Em execução no Corporativo",
TRUE, "Em Execução na Distribuidora"
)</f>
        <v>Em execução no Corporativo</v>
      </c>
      <c r="F1812" s="4" t="str" cm="1">
        <f t="array" ref="F1812">_xlfn.IFS(
AG1812 &lt;&gt; "", "Jan-Dez/26",
AH1812 &lt;&gt; "", "Fev-Dez/26",
AI1812 &lt;&gt; "", "Mar-Dez/26", AJ1812 &lt;&gt; "", "Abr-Dez/26",
TRUE, "A partir de Junho"
)</f>
        <v>Mar-Dez/26</v>
      </c>
      <c r="G1812" s="4" t="s">
        <v>37</v>
      </c>
      <c r="H1812" s="7" t="s">
        <v>38</v>
      </c>
      <c r="I1812" s="21" t="s">
        <v>180</v>
      </c>
      <c r="J1812" s="8" t="str" cm="1">
        <f t="array" aca="1" ref="J1812" ca="1">_xlfn.LET(
  _xlpm.actual_value_month, INDEX(T1812:AE1812, MATCH(DATE(YEAR(TODAY()), MONTH(TODAY()), 1), $T$1:$AE$1, 0)),
  IF(_xlpm.actual_value_month &lt;&gt; "", _xlpm.actual_value_month &amp; " ações mensais", "")
)</f>
        <v/>
      </c>
      <c r="K1812" s="8" t="str" cm="1">
        <f t="array" ref="K1812">_xlfn.LET(
    _xlpm.sum_month, SUM(T1812:AE1812),
    IF(_xlpm.sum_month = 0, "", _xlpm.sum_month &amp; " colaboradores treinados.")
)</f>
        <v/>
      </c>
      <c r="L1812" s="9" t="s">
        <v>220</v>
      </c>
      <c r="M1812" s="13">
        <v>1</v>
      </c>
      <c r="N1812" s="5" t="s">
        <v>51</v>
      </c>
      <c r="O1812" s="5" t="s">
        <v>52</v>
      </c>
      <c r="P1812" s="10" t="s">
        <v>44</v>
      </c>
      <c r="Q1812" s="10"/>
      <c r="R1812" s="11" t="s">
        <v>44</v>
      </c>
      <c r="S1812" s="11" t="s">
        <v>44</v>
      </c>
      <c r="T1812" s="22"/>
      <c r="U1812" s="22"/>
      <c r="V1812" s="22"/>
      <c r="W1812" s="22"/>
      <c r="X1812" s="22"/>
      <c r="Y1812" s="22"/>
      <c r="Z1812" s="22"/>
      <c r="AA1812" s="22"/>
      <c r="AB1812" s="22"/>
      <c r="AC1812" s="22"/>
      <c r="AD1812" s="22"/>
      <c r="AE1812" s="22"/>
      <c r="AG1812" s="71"/>
      <c r="AH1812" s="71"/>
      <c r="AI1812" s="71">
        <v>1763</v>
      </c>
      <c r="AJ1812" s="71">
        <v>1797</v>
      </c>
      <c r="AK1812" s="71"/>
      <c r="AL1812" s="71"/>
      <c r="AM1812" s="71"/>
      <c r="AN1812" s="71"/>
      <c r="AO1812" s="71"/>
      <c r="AP1812" s="71"/>
      <c r="AQ1812" s="71"/>
      <c r="AR1812" s="71"/>
      <c r="AS1812" s="94" t="str" cm="1">
        <f t="array" ref="AS1812">IFERROR(INDEX(T1812:AE1812,1,MATCH(2,1/(T1812:AE1812&lt;&gt;""))),"")</f>
        <v/>
      </c>
      <c r="AT1812" s="95" cm="1">
        <f t="array" ref="AT1812">IFERROR(INDEX(AJ1812:AR1812,1,MATCH(2,1/(AJ1812:AR1812&lt;&gt;""))),"")</f>
        <v>1797</v>
      </c>
      <c r="AU1812" s="97">
        <f>AT1812</f>
        <v>1797</v>
      </c>
      <c r="AW1812" s="83">
        <f>AG1812</f>
        <v>0</v>
      </c>
      <c r="AX1812" s="52">
        <f>AH1812</f>
        <v>0</v>
      </c>
      <c r="AY1812" s="52">
        <f>AI1812</f>
        <v>1763</v>
      </c>
      <c r="AZ1812" s="52">
        <f>AJ1812</f>
        <v>1797</v>
      </c>
      <c r="BA1812" s="52"/>
      <c r="BB1812" s="52"/>
      <c r="BC1812" s="52"/>
      <c r="BD1812" s="52"/>
      <c r="BE1812" s="52"/>
      <c r="BF1812" s="52"/>
      <c r="BG1812" s="52"/>
      <c r="BH1812" s="52"/>
      <c r="BI1812" s="68" cm="1">
        <f t="array" ref="BI1812">IFERROR(INDEX(AW1812:BH1812,1,MATCH(2,1/(AW1812:BH1812&lt;&gt;""))),"")</f>
        <v>1797</v>
      </c>
      <c r="BJ1812" s="68" cm="1">
        <f t="array" ref="BJ1812">IF(BM1812 = "", "",IFERROR(INDEX(AW1812:BH1812,1,MATCH(2,1/(AW1812:BH1812&lt;&gt;""),1)-1),""))</f>
        <v>1763</v>
      </c>
      <c r="BK1812" s="59">
        <f>SUM(AW1812:BH1812)</f>
        <v>3560</v>
      </c>
      <c r="BL1812" s="59" cm="1">
        <f t="array" ref="BL1812">IFERROR(SUM(AW1812:INDEX(AW1812:BH1812, MATCH(2, 1/(AW1812:BH1812&lt;&gt;""), 1) - 1))/_xlfn.XLOOKUP(F1812,Apuração!A:A,Apuração!B:B),0)</f>
        <v>176.3</v>
      </c>
      <c r="BM1812" s="55" cm="1">
        <f t="array" ref="BM1812">IFERROR(
   INDEX($AW$1:$BH$1,
      _xlfn.AGGREGATE(14, 6, COLUMN($AW$1:$BH$1)/(AW1812:BH1812&lt;&gt;""), 2) - COLUMN($AW$1) + 1
   ),
"")</f>
        <v>46082</v>
      </c>
      <c r="BN1812" s="55" cm="1">
        <f t="array" ref="BN1812">IFERROR(INDEX($AW$1:$BH$1,1,MATCH(2,1/(AW1812:BH1812&lt;&gt;""))),"")</f>
        <v>46113</v>
      </c>
      <c r="BO1812" s="53">
        <f ca="1">IFERROR(_xlfn.XLOOKUP(F1812,Apuração!A:A,Apuração!C:C)/_xlfn.XLOOKUP(F1812,Apuração!A:A,Apuração!B:B),0)</f>
        <v>0.3</v>
      </c>
      <c r="BP1812" s="53">
        <f ca="1">IFERROR(_xlfn.XLOOKUP(F1812,Apuração!A:A,Apuração!D:D)/_xlfn.XLOOKUP(F1812,Apuração!A:A,Apuração!B:B),0)</f>
        <v>0.2</v>
      </c>
      <c r="BQ1812" s="53">
        <f ca="1">IF(BK1812&gt;=BO1812,0,_xlfn.XLOOKUP(F1812,Apuração!A:A,Apuração!B:B)*(BO1812 + (1/_xlfn.XLOOKUP(F1812,Apuração!A:A,Apuração!B:B)) - BK1812))</f>
        <v>0</v>
      </c>
      <c r="BR1812" s="85">
        <f ca="1">IF(BQ1812=0,0,BQ1812*Z1812)</f>
        <v>0</v>
      </c>
      <c r="BS1812" s="53">
        <f ca="1">IFERROR((_xlfn.XLOOKUP(F1812,Apuração!A:A,Apuração!C:C)+1)/_xlfn.XLOOKUP(F1812,Apuração!A:A,Apuração!B:B),0)</f>
        <v>0.4</v>
      </c>
    </row>
    <row r="1813" spans="1:71" ht="25.95" hidden="1" customHeight="1" x14ac:dyDescent="0.3">
      <c r="A1813" s="44" t="s">
        <v>175</v>
      </c>
      <c r="B1813" s="4" t="s">
        <v>176</v>
      </c>
      <c r="C1813" s="5" t="s">
        <v>214</v>
      </c>
      <c r="D1813" s="5" t="s">
        <v>210</v>
      </c>
      <c r="E1813" s="4" t="str" cm="1">
        <f t="array" ref="E1813">_xlfn.IFS(
F1813 = "A partir de Abril", "Aguardando Execução na Distribuidora",
A1813 = "CAPACITAÇÃO", "Em execução no Corporativo",
TRUE, "Em Execução na Distribuidora"
)</f>
        <v>Em execução no Corporativo</v>
      </c>
      <c r="F1813" s="4" t="str" cm="1">
        <f t="array" ref="F1813">_xlfn.IFS(
AG1813 &lt;&gt; "", "Jan-Dez/26",
AH1813 &lt;&gt; "", "Fev-Dez/26",
AI1813 &lt;&gt; "", "Mar-Dez/26", AJ1813 &lt;&gt; "", "Abr-Dez/26",
TRUE, "A partir de Junho"
)</f>
        <v>Mar-Dez/26</v>
      </c>
      <c r="G1813" s="4" t="s">
        <v>37</v>
      </c>
      <c r="H1813" s="7" t="s">
        <v>38</v>
      </c>
      <c r="I1813" s="21" t="s">
        <v>180</v>
      </c>
      <c r="J1813" s="8" t="str" cm="1">
        <f t="array" aca="1" ref="J1813" ca="1">_xlfn.LET(
  _xlpm.actual_value_month, INDEX(T1813:AE1813, MATCH(DATE(YEAR(TODAY()), MONTH(TODAY()), 1), $T$1:$AE$1, 0)),
  IF(_xlpm.actual_value_month &lt;&gt; "", _xlpm.actual_value_month &amp; " ações mensais", "")
)</f>
        <v/>
      </c>
      <c r="K1813" s="8" t="str" cm="1">
        <f t="array" ref="K1813">_xlfn.LET(
    _xlpm.sum_month, SUM(T1813:AE1813),
    IF(_xlpm.sum_month = 0, "", _xlpm.sum_month &amp; " colaboradores treinados.")
)</f>
        <v/>
      </c>
      <c r="L1813" s="9" t="s">
        <v>220</v>
      </c>
      <c r="M1813" s="13">
        <v>1</v>
      </c>
      <c r="N1813" s="5" t="s">
        <v>51</v>
      </c>
      <c r="O1813" s="5" t="s">
        <v>52</v>
      </c>
      <c r="P1813" s="10" t="s">
        <v>44</v>
      </c>
      <c r="Q1813" s="10"/>
      <c r="R1813" s="11" t="s">
        <v>44</v>
      </c>
      <c r="S1813" s="11" t="s">
        <v>44</v>
      </c>
      <c r="T1813" s="22"/>
      <c r="U1813" s="22"/>
      <c r="V1813" s="22"/>
      <c r="W1813" s="22"/>
      <c r="X1813" s="22"/>
      <c r="Y1813" s="22"/>
      <c r="Z1813" s="22"/>
      <c r="AA1813" s="22"/>
      <c r="AB1813" s="22"/>
      <c r="AC1813" s="22"/>
      <c r="AD1813" s="22"/>
      <c r="AE1813" s="22"/>
      <c r="AG1813" s="71"/>
      <c r="AH1813" s="71"/>
      <c r="AI1813" s="82">
        <v>105</v>
      </c>
      <c r="AJ1813" s="82">
        <v>105</v>
      </c>
      <c r="AK1813" s="71"/>
      <c r="AL1813" s="71"/>
      <c r="AM1813" s="71"/>
      <c r="AN1813" s="71"/>
      <c r="AO1813" s="71"/>
      <c r="AP1813" s="71"/>
      <c r="AQ1813" s="71"/>
      <c r="AR1813" s="71"/>
      <c r="AS1813" s="94" t="str" cm="1">
        <f t="array" ref="AS1813">IFERROR(INDEX(T1813:AE1813,1,MATCH(2,1/(T1813:AE1813&lt;&gt;""))),"")</f>
        <v/>
      </c>
      <c r="AT1813" s="95" cm="1">
        <f t="array" ref="AT1813">IFERROR(INDEX(AJ1813:AR1813,1,MATCH(2,1/(AJ1813:AR1813&lt;&gt;""))),"")</f>
        <v>105</v>
      </c>
      <c r="AU1813" s="97">
        <f t="shared" ref="AU1813:AU1817" si="2127">AT1813</f>
        <v>105</v>
      </c>
      <c r="AW1813" s="83">
        <f t="shared" ref="AW1813:AW1817" si="2128">AG1813</f>
        <v>0</v>
      </c>
      <c r="AX1813" s="52">
        <f t="shared" ref="AX1813:AX1817" si="2129">AH1813</f>
        <v>0</v>
      </c>
      <c r="AY1813" s="52">
        <f t="shared" ref="AY1813:AY1817" si="2130">AI1813</f>
        <v>105</v>
      </c>
      <c r="AZ1813" s="52">
        <f t="shared" ref="AZ1813:AZ1817" si="2131">AJ1813</f>
        <v>105</v>
      </c>
      <c r="BA1813" s="52"/>
      <c r="BB1813" s="52"/>
      <c r="BC1813" s="52"/>
      <c r="BD1813" s="52"/>
      <c r="BE1813" s="52"/>
      <c r="BF1813" s="52"/>
      <c r="BG1813" s="52"/>
      <c r="BH1813" s="52"/>
      <c r="BI1813" s="68" cm="1">
        <f t="array" ref="BI1813">IFERROR(INDEX(AW1813:BH1813,1,MATCH(2,1/(AW1813:BH1813&lt;&gt;""))),"")</f>
        <v>105</v>
      </c>
      <c r="BJ1813" s="68" cm="1">
        <f t="array" ref="BJ1813">IF(BM1813 = "", "",IFERROR(INDEX(AW1813:BH1813,1,MATCH(2,1/(AW1813:BH1813&lt;&gt;""),1)-1),""))</f>
        <v>105</v>
      </c>
      <c r="BK1813" s="59">
        <f t="shared" ref="BK1813:BK1817" si="2132">SUM(AW1813:BH1813)</f>
        <v>210</v>
      </c>
      <c r="BL1813" s="59" cm="1">
        <f t="array" ref="BL1813">IFERROR(SUM(AW1813:INDEX(AW1813:BH1813, MATCH(2, 1/(AW1813:BH1813&lt;&gt;""), 1) - 1))/_xlfn.XLOOKUP(F1813,Apuração!A:A,Apuração!B:B),0)</f>
        <v>10.5</v>
      </c>
      <c r="BM1813" s="55" cm="1">
        <f t="array" ref="BM1813">IFERROR(
   INDEX($AW$1:$BH$1,
      _xlfn.AGGREGATE(14, 6, COLUMN($AW$1:$BH$1)/(AW1813:BH1813&lt;&gt;""), 2) - COLUMN($AW$1) + 1
   ),
"")</f>
        <v>46082</v>
      </c>
      <c r="BN1813" s="55" cm="1">
        <f t="array" ref="BN1813">IFERROR(INDEX($AW$1:$BH$1,1,MATCH(2,1/(AW1813:BH1813&lt;&gt;""))),"")</f>
        <v>46113</v>
      </c>
      <c r="BO1813" s="53">
        <f ca="1">IFERROR(_xlfn.XLOOKUP(F1813,Apuração!A:A,Apuração!C:C)/_xlfn.XLOOKUP(F1813,Apuração!A:A,Apuração!B:B),0)</f>
        <v>0.3</v>
      </c>
      <c r="BP1813" s="53">
        <f ca="1">IFERROR(_xlfn.XLOOKUP(F1813,Apuração!A:A,Apuração!D:D)/_xlfn.XLOOKUP(F1813,Apuração!A:A,Apuração!B:B),0)</f>
        <v>0.2</v>
      </c>
      <c r="BQ1813" s="53">
        <f ca="1">IF(BK1813&gt;=BO1813,0,_xlfn.XLOOKUP(F1813,Apuração!A:A,Apuração!B:B)*(BO1813 + (1/_xlfn.XLOOKUP(F1813,Apuração!A:A,Apuração!B:B)) - BK1813))</f>
        <v>0</v>
      </c>
      <c r="BR1813" s="85">
        <f t="shared" ref="BR1813:BR1817" ca="1" si="2133">IF(BQ1813=0,0,BQ1813*Z1813)</f>
        <v>0</v>
      </c>
      <c r="BS1813" s="53">
        <f ca="1">IFERROR((_xlfn.XLOOKUP(F1813,Apuração!A:A,Apuração!C:C)+1)/_xlfn.XLOOKUP(F1813,Apuração!A:A,Apuração!B:B),0)</f>
        <v>0.4</v>
      </c>
    </row>
    <row r="1814" spans="1:71" ht="25.95" hidden="1" customHeight="1" x14ac:dyDescent="0.3">
      <c r="A1814" s="44" t="s">
        <v>175</v>
      </c>
      <c r="B1814" s="4" t="s">
        <v>176</v>
      </c>
      <c r="C1814" s="5" t="s">
        <v>214</v>
      </c>
      <c r="D1814" s="5" t="s">
        <v>215</v>
      </c>
      <c r="E1814" s="4" t="str" cm="1">
        <f t="array" ref="E1814">_xlfn.IFS(
F1814 = "A partir de Abril", "Aguardando Execução na Distribuidora",
A1814 = "CAPACITAÇÃO", "Em execução no Corporativo",
TRUE, "Em Execução na Distribuidora"
)</f>
        <v>Em execução no Corporativo</v>
      </c>
      <c r="F1814" s="4" t="str" cm="1">
        <f t="array" ref="F1814">_xlfn.IFS(
AG1814 &lt;&gt; "", "Jan-Dez/26",
AH1814 &lt;&gt; "", "Fev-Dez/26",
AI1814 &lt;&gt; "", "Mar-Dez/26", AJ1814 &lt;&gt; "", "Abr-Dez/26",
TRUE, "A partir de Junho"
)</f>
        <v>Mar-Dez/26</v>
      </c>
      <c r="G1814" s="4" t="s">
        <v>37</v>
      </c>
      <c r="H1814" s="7" t="s">
        <v>38</v>
      </c>
      <c r="I1814" s="21" t="s">
        <v>180</v>
      </c>
      <c r="J1814" s="8" t="str" cm="1">
        <f t="array" aca="1" ref="J1814" ca="1">_xlfn.LET(
  _xlpm.actual_value_month, INDEX(T1814:AE1814, MATCH(DATE(YEAR(TODAY()), MONTH(TODAY()), 1), $T$1:$AE$1, 0)),
  IF(_xlpm.actual_value_month &lt;&gt; "", _xlpm.actual_value_month &amp; " ações mensais", "")
)</f>
        <v/>
      </c>
      <c r="K1814" s="8" t="str" cm="1">
        <f t="array" ref="K1814">_xlfn.LET(
    _xlpm.sum_month, SUM(T1814:AE1814),
    IF(_xlpm.sum_month = 0, "", _xlpm.sum_month &amp; " colaboradores treinados.")
)</f>
        <v/>
      </c>
      <c r="L1814" s="9" t="s">
        <v>220</v>
      </c>
      <c r="M1814" s="13">
        <v>1</v>
      </c>
      <c r="N1814" s="5" t="s">
        <v>51</v>
      </c>
      <c r="O1814" s="5" t="s">
        <v>52</v>
      </c>
      <c r="P1814" s="10" t="s">
        <v>44</v>
      </c>
      <c r="Q1814" s="10"/>
      <c r="R1814" s="11" t="s">
        <v>44</v>
      </c>
      <c r="S1814" s="11" t="s">
        <v>44</v>
      </c>
      <c r="T1814" s="22"/>
      <c r="U1814" s="22"/>
      <c r="V1814" s="22"/>
      <c r="W1814" s="22"/>
      <c r="X1814" s="22"/>
      <c r="Y1814" s="22"/>
      <c r="Z1814" s="22"/>
      <c r="AA1814" s="22"/>
      <c r="AB1814" s="22"/>
      <c r="AC1814" s="22"/>
      <c r="AD1814" s="22"/>
      <c r="AE1814" s="22"/>
      <c r="AG1814" s="71"/>
      <c r="AH1814" s="71"/>
      <c r="AI1814" s="82">
        <v>373</v>
      </c>
      <c r="AJ1814" s="82">
        <v>373</v>
      </c>
      <c r="AK1814" s="71"/>
      <c r="AL1814" s="71"/>
      <c r="AM1814" s="71"/>
      <c r="AN1814" s="71"/>
      <c r="AO1814" s="71"/>
      <c r="AP1814" s="71"/>
      <c r="AQ1814" s="71"/>
      <c r="AR1814" s="71"/>
      <c r="AS1814" s="94" t="str" cm="1">
        <f t="array" ref="AS1814">IFERROR(INDEX(T1814:AE1814,1,MATCH(2,1/(T1814:AE1814&lt;&gt;""))),"")</f>
        <v/>
      </c>
      <c r="AT1814" s="95" cm="1">
        <f t="array" ref="AT1814">IFERROR(INDEX(AJ1814:AR1814,1,MATCH(2,1/(AJ1814:AR1814&lt;&gt;""))),"")</f>
        <v>373</v>
      </c>
      <c r="AU1814" s="97">
        <f t="shared" si="2127"/>
        <v>373</v>
      </c>
      <c r="AW1814" s="83">
        <f t="shared" si="2128"/>
        <v>0</v>
      </c>
      <c r="AX1814" s="52">
        <f t="shared" si="2129"/>
        <v>0</v>
      </c>
      <c r="AY1814" s="52">
        <f t="shared" si="2130"/>
        <v>373</v>
      </c>
      <c r="AZ1814" s="52">
        <f t="shared" si="2131"/>
        <v>373</v>
      </c>
      <c r="BA1814" s="52"/>
      <c r="BB1814" s="52"/>
      <c r="BC1814" s="52"/>
      <c r="BD1814" s="52"/>
      <c r="BE1814" s="52"/>
      <c r="BF1814" s="52"/>
      <c r="BG1814" s="52"/>
      <c r="BH1814" s="52"/>
      <c r="BI1814" s="68" cm="1">
        <f t="array" ref="BI1814">IFERROR(INDEX(AW1814:BH1814,1,MATCH(2,1/(AW1814:BH1814&lt;&gt;""))),"")</f>
        <v>373</v>
      </c>
      <c r="BJ1814" s="68" cm="1">
        <f t="array" ref="BJ1814">IF(BM1814 = "", "",IFERROR(INDEX(AW1814:BH1814,1,MATCH(2,1/(AW1814:BH1814&lt;&gt;""),1)-1),""))</f>
        <v>373</v>
      </c>
      <c r="BK1814" s="59">
        <f t="shared" si="2132"/>
        <v>746</v>
      </c>
      <c r="BL1814" s="59" cm="1">
        <f t="array" ref="BL1814">IFERROR(SUM(AW1814:INDEX(AW1814:BH1814, MATCH(2, 1/(AW1814:BH1814&lt;&gt;""), 1) - 1))/_xlfn.XLOOKUP(F1814,Apuração!A:A,Apuração!B:B),0)</f>
        <v>37.299999999999997</v>
      </c>
      <c r="BM1814" s="55" cm="1">
        <f t="array" ref="BM1814">IFERROR(
   INDEX($AW$1:$BH$1,
      _xlfn.AGGREGATE(14, 6, COLUMN($AW$1:$BH$1)/(AW1814:BH1814&lt;&gt;""), 2) - COLUMN($AW$1) + 1
   ),
"")</f>
        <v>46082</v>
      </c>
      <c r="BN1814" s="55" cm="1">
        <f t="array" ref="BN1814">IFERROR(INDEX($AW$1:$BH$1,1,MATCH(2,1/(AW1814:BH1814&lt;&gt;""))),"")</f>
        <v>46113</v>
      </c>
      <c r="BO1814" s="53">
        <f ca="1">IFERROR(_xlfn.XLOOKUP(F1814,Apuração!A:A,Apuração!C:C)/_xlfn.XLOOKUP(F1814,Apuração!A:A,Apuração!B:B),0)</f>
        <v>0.3</v>
      </c>
      <c r="BP1814" s="53">
        <f ca="1">IFERROR(_xlfn.XLOOKUP(F1814,Apuração!A:A,Apuração!D:D)/_xlfn.XLOOKUP(F1814,Apuração!A:A,Apuração!B:B),0)</f>
        <v>0.2</v>
      </c>
      <c r="BQ1814" s="53">
        <f ca="1">IF(BK1814&gt;=BO1814,0,_xlfn.XLOOKUP(F1814,Apuração!A:A,Apuração!B:B)*(BO1814 + (1/_xlfn.XLOOKUP(F1814,Apuração!A:A,Apuração!B:B)) - BK1814))</f>
        <v>0</v>
      </c>
      <c r="BR1814" s="85">
        <f t="shared" ca="1" si="2133"/>
        <v>0</v>
      </c>
      <c r="BS1814" s="53">
        <f ca="1">IFERROR((_xlfn.XLOOKUP(F1814,Apuração!A:A,Apuração!C:C)+1)/_xlfn.XLOOKUP(F1814,Apuração!A:A,Apuração!B:B),0)</f>
        <v>0.4</v>
      </c>
    </row>
    <row r="1815" spans="1:71" ht="25.95" hidden="1" customHeight="1" x14ac:dyDescent="0.3">
      <c r="A1815" s="44" t="s">
        <v>175</v>
      </c>
      <c r="B1815" s="4" t="s">
        <v>176</v>
      </c>
      <c r="C1815" s="5" t="s">
        <v>214</v>
      </c>
      <c r="D1815" s="5" t="s">
        <v>212</v>
      </c>
      <c r="E1815" s="4" t="str" cm="1">
        <f t="array" ref="E1815">_xlfn.IFS(
F1815 = "A partir de Abril", "Aguardando Execução na Distribuidora",
A1815 = "CAPACITAÇÃO", "Em execução no Corporativo",
TRUE, "Em Execução na Distribuidora"
)</f>
        <v>Em execução no Corporativo</v>
      </c>
      <c r="F1815" s="4" t="str" cm="1">
        <f t="array" ref="F1815">_xlfn.IFS(
AG1815 &lt;&gt; "", "Jan-Dez/26",
AH1815 &lt;&gt; "", "Fev-Dez/26",
AI1815 &lt;&gt; "", "Mar-Dez/26", AJ1815 &lt;&gt; "", "Abr-Dez/26",
TRUE, "A partir de Junho"
)</f>
        <v>Mar-Dez/26</v>
      </c>
      <c r="G1815" s="4" t="s">
        <v>37</v>
      </c>
      <c r="H1815" s="7" t="s">
        <v>38</v>
      </c>
      <c r="I1815" s="21" t="s">
        <v>180</v>
      </c>
      <c r="J1815" s="8" t="str" cm="1">
        <f t="array" aca="1" ref="J1815" ca="1">_xlfn.LET(
  _xlpm.actual_value_month, INDEX(T1815:AE1815, MATCH(DATE(YEAR(TODAY()), MONTH(TODAY()), 1), $T$1:$AE$1, 0)),
  IF(_xlpm.actual_value_month &lt;&gt; "", _xlpm.actual_value_month &amp; " ações mensais", "")
)</f>
        <v/>
      </c>
      <c r="K1815" s="8" t="str" cm="1">
        <f t="array" ref="K1815">_xlfn.LET(
    _xlpm.sum_month, SUM(T1815:AE1815),
    IF(_xlpm.sum_month = 0, "", _xlpm.sum_month &amp; " colaboradores treinados.")
)</f>
        <v/>
      </c>
      <c r="L1815" s="9" t="s">
        <v>220</v>
      </c>
      <c r="M1815" s="13">
        <v>1</v>
      </c>
      <c r="N1815" s="5" t="s">
        <v>51</v>
      </c>
      <c r="O1815" s="5" t="s">
        <v>52</v>
      </c>
      <c r="P1815" s="10" t="s">
        <v>44</v>
      </c>
      <c r="Q1815" s="10"/>
      <c r="R1815" s="11" t="s">
        <v>44</v>
      </c>
      <c r="S1815" s="11" t="s">
        <v>44</v>
      </c>
      <c r="T1815" s="22"/>
      <c r="U1815" s="22"/>
      <c r="V1815" s="22"/>
      <c r="W1815" s="22"/>
      <c r="X1815" s="22"/>
      <c r="Y1815" s="22"/>
      <c r="Z1815" s="22"/>
      <c r="AA1815" s="22"/>
      <c r="AB1815" s="22"/>
      <c r="AC1815" s="22"/>
      <c r="AD1815" s="22"/>
      <c r="AE1815" s="22"/>
      <c r="AG1815" s="71"/>
      <c r="AH1815" s="71"/>
      <c r="AI1815" s="82">
        <v>708</v>
      </c>
      <c r="AJ1815" s="82">
        <v>708</v>
      </c>
      <c r="AK1815" s="71"/>
      <c r="AL1815" s="71"/>
      <c r="AM1815" s="71"/>
      <c r="AN1815" s="71"/>
      <c r="AO1815" s="71"/>
      <c r="AP1815" s="71"/>
      <c r="AQ1815" s="71"/>
      <c r="AR1815" s="71"/>
      <c r="AS1815" s="94" t="str" cm="1">
        <f t="array" ref="AS1815">IFERROR(INDEX(T1815:AE1815,1,MATCH(2,1/(T1815:AE1815&lt;&gt;""))),"")</f>
        <v/>
      </c>
      <c r="AT1815" s="95" cm="1">
        <f t="array" ref="AT1815">IFERROR(INDEX(AJ1815:AR1815,1,MATCH(2,1/(AJ1815:AR1815&lt;&gt;""))),"")</f>
        <v>708</v>
      </c>
      <c r="AU1815" s="97">
        <f t="shared" si="2127"/>
        <v>708</v>
      </c>
      <c r="AW1815" s="83">
        <f t="shared" si="2128"/>
        <v>0</v>
      </c>
      <c r="AX1815" s="52">
        <f t="shared" si="2129"/>
        <v>0</v>
      </c>
      <c r="AY1815" s="52">
        <f t="shared" si="2130"/>
        <v>708</v>
      </c>
      <c r="AZ1815" s="52">
        <f t="shared" si="2131"/>
        <v>708</v>
      </c>
      <c r="BA1815" s="52"/>
      <c r="BB1815" s="52"/>
      <c r="BC1815" s="52"/>
      <c r="BD1815" s="52"/>
      <c r="BE1815" s="52"/>
      <c r="BF1815" s="52"/>
      <c r="BG1815" s="52"/>
      <c r="BH1815" s="52"/>
      <c r="BI1815" s="68" cm="1">
        <f t="array" ref="BI1815">IFERROR(INDEX(AW1815:BH1815,1,MATCH(2,1/(AW1815:BH1815&lt;&gt;""))),"")</f>
        <v>708</v>
      </c>
      <c r="BJ1815" s="68" cm="1">
        <f t="array" ref="BJ1815">IF(BM1815 = "", "",IFERROR(INDEX(AW1815:BH1815,1,MATCH(2,1/(AW1815:BH1815&lt;&gt;""),1)-1),""))</f>
        <v>708</v>
      </c>
      <c r="BK1815" s="59">
        <f t="shared" si="2132"/>
        <v>1416</v>
      </c>
      <c r="BL1815" s="59" cm="1">
        <f t="array" ref="BL1815">IFERROR(SUM(AW1815:INDEX(AW1815:BH1815, MATCH(2, 1/(AW1815:BH1815&lt;&gt;""), 1) - 1))/_xlfn.XLOOKUP(F1815,Apuração!A:A,Apuração!B:B),0)</f>
        <v>70.8</v>
      </c>
      <c r="BM1815" s="55" cm="1">
        <f t="array" ref="BM1815">IFERROR(
   INDEX($AW$1:$BH$1,
      _xlfn.AGGREGATE(14, 6, COLUMN($AW$1:$BH$1)/(AW1815:BH1815&lt;&gt;""), 2) - COLUMN($AW$1) + 1
   ),
"")</f>
        <v>46082</v>
      </c>
      <c r="BN1815" s="55" cm="1">
        <f t="array" ref="BN1815">IFERROR(INDEX($AW$1:$BH$1,1,MATCH(2,1/(AW1815:BH1815&lt;&gt;""))),"")</f>
        <v>46113</v>
      </c>
      <c r="BO1815" s="53">
        <f ca="1">IFERROR(_xlfn.XLOOKUP(F1815,Apuração!A:A,Apuração!C:C)/_xlfn.XLOOKUP(F1815,Apuração!A:A,Apuração!B:B),0)</f>
        <v>0.3</v>
      </c>
      <c r="BP1815" s="53">
        <f ca="1">IFERROR(_xlfn.XLOOKUP(F1815,Apuração!A:A,Apuração!D:D)/_xlfn.XLOOKUP(F1815,Apuração!A:A,Apuração!B:B),0)</f>
        <v>0.2</v>
      </c>
      <c r="BQ1815" s="53">
        <f ca="1">IF(BK1815&gt;=BO1815,0,_xlfn.XLOOKUP(F1815,Apuração!A:A,Apuração!B:B)*(BO1815 + (1/_xlfn.XLOOKUP(F1815,Apuração!A:A,Apuração!B:B)) - BK1815))</f>
        <v>0</v>
      </c>
      <c r="BR1815" s="85">
        <f t="shared" ca="1" si="2133"/>
        <v>0</v>
      </c>
      <c r="BS1815" s="53">
        <f ca="1">IFERROR((_xlfn.XLOOKUP(F1815,Apuração!A:A,Apuração!C:C)+1)/_xlfn.XLOOKUP(F1815,Apuração!A:A,Apuração!B:B),0)</f>
        <v>0.4</v>
      </c>
    </row>
    <row r="1816" spans="1:71" ht="25.95" hidden="1" customHeight="1" x14ac:dyDescent="0.3">
      <c r="A1816" s="44" t="s">
        <v>175</v>
      </c>
      <c r="B1816" s="4" t="s">
        <v>176</v>
      </c>
      <c r="C1816" s="5" t="s">
        <v>214</v>
      </c>
      <c r="D1816" s="5" t="s">
        <v>48</v>
      </c>
      <c r="E1816" s="4" t="str" cm="1">
        <f t="array" ref="E1816">_xlfn.IFS(
F1816 = "A partir de Abril", "Aguardando Execução na Distribuidora",
A1816 = "CAPACITAÇÃO", "Em execução no Corporativo",
TRUE, "Em Execução na Distribuidora"
)</f>
        <v>Em execução no Corporativo</v>
      </c>
      <c r="F1816" s="4" t="str" cm="1">
        <f t="array" ref="F1816">_xlfn.IFS(
AG1816 &lt;&gt; "", "Jan-Dez/26",
AH1816 &lt;&gt; "", "Fev-Dez/26",
AI1816 &lt;&gt; "", "Mar-Dez/26", AJ1816 &lt;&gt; "", "Abr-Dez/26",
TRUE, "A partir de Junho"
)</f>
        <v>Mar-Dez/26</v>
      </c>
      <c r="G1816" s="4" t="s">
        <v>37</v>
      </c>
      <c r="H1816" s="7" t="s">
        <v>38</v>
      </c>
      <c r="I1816" s="21" t="s">
        <v>180</v>
      </c>
      <c r="J1816" s="8" t="str" cm="1">
        <f t="array" aca="1" ref="J1816" ca="1">_xlfn.LET(
  _xlpm.actual_value_month, INDEX(T1816:AE1816, MATCH(DATE(YEAR(TODAY()), MONTH(TODAY()), 1), $T$1:$AE$1, 0)),
  IF(_xlpm.actual_value_month &lt;&gt; "", _xlpm.actual_value_month &amp; " ações mensais", "")
)</f>
        <v/>
      </c>
      <c r="K1816" s="8" t="str" cm="1">
        <f t="array" ref="K1816">_xlfn.LET(
    _xlpm.sum_month, SUM(T1816:AE1816),
    IF(_xlpm.sum_month = 0, "", _xlpm.sum_month &amp; " colaboradores treinados.")
)</f>
        <v/>
      </c>
      <c r="L1816" s="9" t="s">
        <v>220</v>
      </c>
      <c r="M1816" s="13">
        <v>1</v>
      </c>
      <c r="N1816" s="5" t="s">
        <v>51</v>
      </c>
      <c r="O1816" s="5" t="s">
        <v>52</v>
      </c>
      <c r="P1816" s="10" t="s">
        <v>44</v>
      </c>
      <c r="Q1816" s="10"/>
      <c r="R1816" s="11" t="s">
        <v>44</v>
      </c>
      <c r="S1816" s="11" t="s">
        <v>44</v>
      </c>
      <c r="T1816" s="22"/>
      <c r="U1816" s="22"/>
      <c r="V1816" s="22"/>
      <c r="W1816" s="22"/>
      <c r="X1816" s="22"/>
      <c r="Y1816" s="22"/>
      <c r="Z1816" s="22"/>
      <c r="AA1816" s="22"/>
      <c r="AB1816" s="22"/>
      <c r="AC1816" s="22"/>
      <c r="AD1816" s="22"/>
      <c r="AE1816" s="22"/>
      <c r="AG1816" s="71"/>
      <c r="AH1816" s="71"/>
      <c r="AI1816" s="82">
        <v>247</v>
      </c>
      <c r="AJ1816" s="82">
        <v>247</v>
      </c>
      <c r="AK1816" s="71"/>
      <c r="AL1816" s="71"/>
      <c r="AM1816" s="71"/>
      <c r="AN1816" s="71"/>
      <c r="AO1816" s="71"/>
      <c r="AP1816" s="71"/>
      <c r="AQ1816" s="71"/>
      <c r="AR1816" s="71"/>
      <c r="AS1816" s="94" t="str" cm="1">
        <f t="array" ref="AS1816">IFERROR(INDEX(T1816:AE1816,1,MATCH(2,1/(T1816:AE1816&lt;&gt;""))),"")</f>
        <v/>
      </c>
      <c r="AT1816" s="95" cm="1">
        <f t="array" ref="AT1816">IFERROR(INDEX(AJ1816:AR1816,1,MATCH(2,1/(AJ1816:AR1816&lt;&gt;""))),"")</f>
        <v>247</v>
      </c>
      <c r="AU1816" s="97">
        <f t="shared" si="2127"/>
        <v>247</v>
      </c>
      <c r="AW1816" s="83">
        <f t="shared" si="2128"/>
        <v>0</v>
      </c>
      <c r="AX1816" s="52">
        <f t="shared" si="2129"/>
        <v>0</v>
      </c>
      <c r="AY1816" s="52">
        <f t="shared" si="2130"/>
        <v>247</v>
      </c>
      <c r="AZ1816" s="52">
        <f t="shared" si="2131"/>
        <v>247</v>
      </c>
      <c r="BA1816" s="52"/>
      <c r="BB1816" s="52"/>
      <c r="BC1816" s="52"/>
      <c r="BD1816" s="52"/>
      <c r="BE1816" s="52"/>
      <c r="BF1816" s="52"/>
      <c r="BG1816" s="52"/>
      <c r="BH1816" s="52"/>
      <c r="BI1816" s="68" cm="1">
        <f t="array" ref="BI1816">IFERROR(INDEX(AW1816:BH1816,1,MATCH(2,1/(AW1816:BH1816&lt;&gt;""))),"")</f>
        <v>247</v>
      </c>
      <c r="BJ1816" s="68" cm="1">
        <f t="array" ref="BJ1816">IF(BM1816 = "", "",IFERROR(INDEX(AW1816:BH1816,1,MATCH(2,1/(AW1816:BH1816&lt;&gt;""),1)-1),""))</f>
        <v>247</v>
      </c>
      <c r="BK1816" s="59">
        <f t="shared" si="2132"/>
        <v>494</v>
      </c>
      <c r="BL1816" s="59" cm="1">
        <f t="array" ref="BL1816">IFERROR(SUM(AW1816:INDEX(AW1816:BH1816, MATCH(2, 1/(AW1816:BH1816&lt;&gt;""), 1) - 1))/_xlfn.XLOOKUP(F1816,Apuração!A:A,Apuração!B:B),0)</f>
        <v>24.7</v>
      </c>
      <c r="BM1816" s="55" cm="1">
        <f t="array" ref="BM1816">IFERROR(
   INDEX($AW$1:$BH$1,
      _xlfn.AGGREGATE(14, 6, COLUMN($AW$1:$BH$1)/(AW1816:BH1816&lt;&gt;""), 2) - COLUMN($AW$1) + 1
   ),
"")</f>
        <v>46082</v>
      </c>
      <c r="BN1816" s="55" cm="1">
        <f t="array" ref="BN1816">IFERROR(INDEX($AW$1:$BH$1,1,MATCH(2,1/(AW1816:BH1816&lt;&gt;""))),"")</f>
        <v>46113</v>
      </c>
      <c r="BO1816" s="53">
        <f ca="1">IFERROR(_xlfn.XLOOKUP(F1816,Apuração!A:A,Apuração!C:C)/_xlfn.XLOOKUP(F1816,Apuração!A:A,Apuração!B:B),0)</f>
        <v>0.3</v>
      </c>
      <c r="BP1816" s="53">
        <f ca="1">IFERROR(_xlfn.XLOOKUP(F1816,Apuração!A:A,Apuração!D:D)/_xlfn.XLOOKUP(F1816,Apuração!A:A,Apuração!B:B),0)</f>
        <v>0.2</v>
      </c>
      <c r="BQ1816" s="53">
        <f ca="1">IF(BK1816&gt;=BO1816,0,_xlfn.XLOOKUP(F1816,Apuração!A:A,Apuração!B:B)*(BO1816 + (1/_xlfn.XLOOKUP(F1816,Apuração!A:A,Apuração!B:B)) - BK1816))</f>
        <v>0</v>
      </c>
      <c r="BR1816" s="85">
        <f t="shared" ca="1" si="2133"/>
        <v>0</v>
      </c>
      <c r="BS1816" s="53">
        <f ca="1">IFERROR((_xlfn.XLOOKUP(F1816,Apuração!A:A,Apuração!C:C)+1)/_xlfn.XLOOKUP(F1816,Apuração!A:A,Apuração!B:B),0)</f>
        <v>0.4</v>
      </c>
    </row>
    <row r="1817" spans="1:71" ht="25.95" hidden="1" customHeight="1" x14ac:dyDescent="0.3">
      <c r="A1817" s="44" t="s">
        <v>175</v>
      </c>
      <c r="B1817" s="4" t="s">
        <v>176</v>
      </c>
      <c r="C1817" s="5" t="s">
        <v>214</v>
      </c>
      <c r="D1817" s="5" t="s">
        <v>213</v>
      </c>
      <c r="E1817" s="4" t="str" cm="1">
        <f t="array" ref="E1817">_xlfn.IFS(
F1817 = "A partir de Abril", "Aguardando Execução na Distribuidora",
A1817 = "CAPACITAÇÃO", "Em execução no Corporativo",
TRUE, "Em Execução na Distribuidora"
)</f>
        <v>Em execução no Corporativo</v>
      </c>
      <c r="F1817" s="4" t="str" cm="1">
        <f t="array" ref="F1817">_xlfn.IFS(
AG1817 &lt;&gt; "", "Jan-Dez/26",
AH1817 &lt;&gt; "", "Fev-Dez/26",
AI1817 &lt;&gt; "", "Mar-Dez/26", AJ1817 &lt;&gt; "", "Abr-Dez/26",
TRUE, "A partir de Junho"
)</f>
        <v>Mar-Dez/26</v>
      </c>
      <c r="G1817" s="4" t="s">
        <v>37</v>
      </c>
      <c r="H1817" s="7" t="s">
        <v>38</v>
      </c>
      <c r="I1817" s="21" t="s">
        <v>180</v>
      </c>
      <c r="J1817" s="8" t="str" cm="1">
        <f t="array" aca="1" ref="J1817" ca="1">_xlfn.LET(
  _xlpm.actual_value_month, INDEX(T1817:AE1817, MATCH(DATE(YEAR(TODAY()), MONTH(TODAY()), 1), $T$1:$AE$1, 0)),
  IF(_xlpm.actual_value_month &lt;&gt; "", _xlpm.actual_value_month &amp; " ações mensais", "")
)</f>
        <v/>
      </c>
      <c r="K1817" s="8" t="str" cm="1">
        <f t="array" ref="K1817">_xlfn.LET(
    _xlpm.sum_month, SUM(T1817:AE1817),
    IF(_xlpm.sum_month = 0, "", _xlpm.sum_month &amp; " colaboradores treinados.")
)</f>
        <v/>
      </c>
      <c r="L1817" s="9" t="s">
        <v>220</v>
      </c>
      <c r="M1817" s="13">
        <v>1</v>
      </c>
      <c r="N1817" s="5" t="s">
        <v>51</v>
      </c>
      <c r="O1817" s="5" t="s">
        <v>52</v>
      </c>
      <c r="P1817" s="10" t="s">
        <v>44</v>
      </c>
      <c r="Q1817" s="10"/>
      <c r="R1817" s="11" t="s">
        <v>44</v>
      </c>
      <c r="S1817" s="11" t="s">
        <v>44</v>
      </c>
      <c r="T1817" s="22"/>
      <c r="U1817" s="22"/>
      <c r="V1817" s="22"/>
      <c r="W1817" s="22"/>
      <c r="X1817" s="22"/>
      <c r="Y1817" s="22"/>
      <c r="Z1817" s="22"/>
      <c r="AA1817" s="22"/>
      <c r="AB1817" s="22"/>
      <c r="AC1817" s="22"/>
      <c r="AD1817" s="22"/>
      <c r="AE1817" s="22"/>
      <c r="AG1817" s="71"/>
      <c r="AH1817" s="71"/>
      <c r="AI1817" s="82">
        <v>353</v>
      </c>
      <c r="AJ1817" s="82">
        <v>353</v>
      </c>
      <c r="AK1817" s="71"/>
      <c r="AL1817" s="71"/>
      <c r="AM1817" s="71"/>
      <c r="AN1817" s="71"/>
      <c r="AO1817" s="71"/>
      <c r="AP1817" s="71"/>
      <c r="AQ1817" s="71"/>
      <c r="AR1817" s="71"/>
      <c r="AS1817" s="94" t="str" cm="1">
        <f t="array" ref="AS1817">IFERROR(INDEX(T1817:AE1817,1,MATCH(2,1/(T1817:AE1817&lt;&gt;""))),"")</f>
        <v/>
      </c>
      <c r="AT1817" s="95" cm="1">
        <f t="array" ref="AT1817">IFERROR(INDEX(AJ1817:AR1817,1,MATCH(2,1/(AJ1817:AR1817&lt;&gt;""))),"")</f>
        <v>353</v>
      </c>
      <c r="AU1817" s="97">
        <f t="shared" si="2127"/>
        <v>353</v>
      </c>
      <c r="AW1817" s="83">
        <f t="shared" si="2128"/>
        <v>0</v>
      </c>
      <c r="AX1817" s="52">
        <f t="shared" si="2129"/>
        <v>0</v>
      </c>
      <c r="AY1817" s="52">
        <f t="shared" si="2130"/>
        <v>353</v>
      </c>
      <c r="AZ1817" s="52">
        <f t="shared" si="2131"/>
        <v>353</v>
      </c>
      <c r="BA1817" s="52"/>
      <c r="BB1817" s="52"/>
      <c r="BC1817" s="52"/>
      <c r="BD1817" s="52"/>
      <c r="BE1817" s="52"/>
      <c r="BF1817" s="52"/>
      <c r="BG1817" s="52"/>
      <c r="BH1817" s="52"/>
      <c r="BI1817" s="68" cm="1">
        <f t="array" ref="BI1817">IFERROR(INDEX(AW1817:BH1817,1,MATCH(2,1/(AW1817:BH1817&lt;&gt;""))),"")</f>
        <v>353</v>
      </c>
      <c r="BJ1817" s="68" cm="1">
        <f t="array" ref="BJ1817">IF(BM1817 = "", "",IFERROR(INDEX(AW1817:BH1817,1,MATCH(2,1/(AW1817:BH1817&lt;&gt;""),1)-1),""))</f>
        <v>353</v>
      </c>
      <c r="BK1817" s="59">
        <f t="shared" si="2132"/>
        <v>706</v>
      </c>
      <c r="BL1817" s="59" cm="1">
        <f t="array" ref="BL1817">IFERROR(SUM(AW1817:INDEX(AW1817:BH1817, MATCH(2, 1/(AW1817:BH1817&lt;&gt;""), 1) - 1))/_xlfn.XLOOKUP(F1817,Apuração!A:A,Apuração!B:B),0)</f>
        <v>35.299999999999997</v>
      </c>
      <c r="BM1817" s="55" cm="1">
        <f t="array" ref="BM1817">IFERROR(
   INDEX($AW$1:$BH$1,
      _xlfn.AGGREGATE(14, 6, COLUMN($AW$1:$BH$1)/(AW1817:BH1817&lt;&gt;""), 2) - COLUMN($AW$1) + 1
   ),
"")</f>
        <v>46082</v>
      </c>
      <c r="BN1817" s="55" cm="1">
        <f t="array" ref="BN1817">IFERROR(INDEX($AW$1:$BH$1,1,MATCH(2,1/(AW1817:BH1817&lt;&gt;""))),"")</f>
        <v>46113</v>
      </c>
      <c r="BO1817" s="53">
        <f ca="1">IFERROR(_xlfn.XLOOKUP(F1817,Apuração!A:A,Apuração!C:C)/_xlfn.XLOOKUP(F1817,Apuração!A:A,Apuração!B:B),0)</f>
        <v>0.3</v>
      </c>
      <c r="BP1817" s="53">
        <f ca="1">IFERROR(_xlfn.XLOOKUP(F1817,Apuração!A:A,Apuração!D:D)/_xlfn.XLOOKUP(F1817,Apuração!A:A,Apuração!B:B),0)</f>
        <v>0.2</v>
      </c>
      <c r="BQ1817" s="53">
        <f ca="1">IF(BK1817&gt;=BO1817,0,_xlfn.XLOOKUP(F1817,Apuração!A:A,Apuração!B:B)*(BO1817 + (1/_xlfn.XLOOKUP(F1817,Apuração!A:A,Apuração!B:B)) - BK1817))</f>
        <v>0</v>
      </c>
      <c r="BR1817" s="85">
        <f t="shared" ca="1" si="2133"/>
        <v>0</v>
      </c>
      <c r="BS1817" s="53">
        <f ca="1">IFERROR((_xlfn.XLOOKUP(F1817,Apuração!A:A,Apuração!C:C)+1)/_xlfn.XLOOKUP(F1817,Apuração!A:A,Apuração!B:B),0)</f>
        <v>0.4</v>
      </c>
    </row>
    <row r="1818" spans="1:71" ht="25.95" hidden="1" customHeight="1" x14ac:dyDescent="0.3">
      <c r="A1818" s="44" t="s">
        <v>175</v>
      </c>
      <c r="B1818" s="4" t="s">
        <v>176</v>
      </c>
      <c r="C1818" s="5" t="s">
        <v>214</v>
      </c>
      <c r="D1818" s="5" t="s">
        <v>36</v>
      </c>
      <c r="E1818" s="4" t="str" cm="1">
        <f t="array" ref="E1818">_xlfn.IFS(
F1818 = "A partir de Abril", "Aguardando Execução na Distribuidora",
A1818 = "CAPACITAÇÃO", "Em execução no Corporativo",
TRUE, "Em Execução na Distribuidora"
)</f>
        <v>Em execução no Corporativo</v>
      </c>
      <c r="F1818" s="4" t="str" cm="1">
        <f t="array" ref="F1818">_xlfn.IFS(
AG1818 &lt;&gt; "", "Jan-Dez/26",
AH1818 &lt;&gt; "", "Fev-Dez/26",
AI1818 &lt;&gt; "", "Mar-Dez/26", AJ1818 &lt;&gt; "", "Abr-Dez/26",
TRUE, "A partir de Junho"
)</f>
        <v>Mar-Dez/26</v>
      </c>
      <c r="G1818" s="4" t="s">
        <v>37</v>
      </c>
      <c r="H1818" s="7" t="s">
        <v>38</v>
      </c>
      <c r="I1818" s="21" t="s">
        <v>182</v>
      </c>
      <c r="J1818" s="8" t="str" cm="1">
        <f t="array" aca="1" ref="J1818" ca="1">_xlfn.LET(
  _xlpm.actual_value_month, INDEX(T1818:AE1818, MATCH(DATE(YEAR(TODAY()), MONTH(TODAY()), 1), $T$1:$AE$1, 0)),
  IF(_xlpm.actual_value_month &lt;&gt; "", _xlpm.actual_value_month &amp; " ações mensais", "")
)</f>
        <v/>
      </c>
      <c r="K1818" s="8" t="str" cm="1">
        <f t="array" ref="K1818">_xlfn.LET(
    _xlpm.sum_month, SUM(T1818:AE1818),
    IF(_xlpm.sum_month = 0, "", _xlpm.sum_month &amp; " taxa de aprovados")
)</f>
        <v>3560 taxa de aprovados</v>
      </c>
      <c r="L1818" s="4" t="s">
        <v>183</v>
      </c>
      <c r="M1818" s="13">
        <v>1</v>
      </c>
      <c r="N1818" s="5" t="s">
        <v>51</v>
      </c>
      <c r="O1818" s="5" t="s">
        <v>43</v>
      </c>
      <c r="P1818" s="10" t="s">
        <v>44</v>
      </c>
      <c r="Q1818" s="10" t="s">
        <v>44</v>
      </c>
      <c r="R1818" s="11" t="s">
        <v>44</v>
      </c>
      <c r="S1818" s="11" t="s">
        <v>44</v>
      </c>
      <c r="T1818" s="22"/>
      <c r="U1818" s="22"/>
      <c r="V1818" s="22">
        <v>1763</v>
      </c>
      <c r="W1818" s="22">
        <v>1797</v>
      </c>
      <c r="X1818" s="22"/>
      <c r="Y1818" s="22"/>
      <c r="Z1818" s="22"/>
      <c r="AA1818" s="22"/>
      <c r="AB1818" s="22"/>
      <c r="AC1818" s="22"/>
      <c r="AD1818" s="22"/>
      <c r="AE1818" s="22"/>
      <c r="AG1818" s="71"/>
      <c r="AH1818" s="71"/>
      <c r="AI1818" s="71">
        <v>1763</v>
      </c>
      <c r="AJ1818" s="71">
        <v>1797</v>
      </c>
      <c r="AK1818" s="71"/>
      <c r="AL1818" s="71"/>
      <c r="AM1818" s="71"/>
      <c r="AN1818" s="71"/>
      <c r="AO1818" s="71"/>
      <c r="AP1818" s="71"/>
      <c r="AQ1818" s="71"/>
      <c r="AR1818" s="71"/>
      <c r="AS1818" s="94" cm="1">
        <f t="array" ref="AS1818">IFERROR(INDEX(T1818:AE1818,1,MATCH(2,1/(T1818:AE1818&lt;&gt;""))),"")</f>
        <v>1797</v>
      </c>
      <c r="AT1818" s="95" cm="1">
        <f t="array" ref="AT1818">IFERROR(INDEX(AJ1818:AR1818,1,MATCH(2,1/(AJ1818:AR1818&lt;&gt;""))),"")</f>
        <v>1797</v>
      </c>
      <c r="AU1818" s="97">
        <f>AT1818</f>
        <v>1797</v>
      </c>
      <c r="AW1818" s="52">
        <f>IFERROR(IF(T1818="",0,T1818/AG1818),0)</f>
        <v>0</v>
      </c>
      <c r="AX1818" s="52">
        <f>IFERROR(IF(U1818="",0,U1818/AH1818),0)</f>
        <v>0</v>
      </c>
      <c r="AY1818" s="118">
        <f>IFERROR(IF(V1818="",0,V1818/AI1818),0)</f>
        <v>1</v>
      </c>
      <c r="AZ1818" s="118">
        <f>IFERROR(IF(W1818="",0,W1818/AJ1818),0)</f>
        <v>1</v>
      </c>
      <c r="BA1818" s="52"/>
      <c r="BB1818" s="52"/>
      <c r="BC1818" s="52"/>
      <c r="BD1818" s="52"/>
      <c r="BE1818" s="52"/>
      <c r="BF1818" s="52"/>
      <c r="BG1818" s="52"/>
      <c r="BH1818" s="52"/>
      <c r="BI1818" s="65" cm="1">
        <f t="array" ref="BI1818">IFERROR(INDEX(AW1818:BH1818,1,MATCH(2,1/(AW1818:BH1818&lt;&gt;""))),"")</f>
        <v>1</v>
      </c>
      <c r="BJ1818" s="68" cm="1">
        <f t="array" ref="BJ1818">IF(BM1818 = "", "",IFERROR(INDEX(AW1818:BH1818,1,MATCH(2,1/(AW1818:BH1818&lt;&gt;""),1)-1),""))</f>
        <v>1</v>
      </c>
      <c r="BK1818" s="58" cm="1">
        <f t="array" ref="BK1818">IFERROR(INDEX(AW1818:BH1818,1,MATCH(2,1/(AW1818:BH1818&lt;&gt;""))),"")</f>
        <v>1</v>
      </c>
      <c r="BL1818" s="58" cm="1">
        <f t="array" ref="BL1818">IFERROR(INDEX(AW1818:BH1818,1,MATCH(2,1/(AW1818:BH1818&lt;&gt;""),1)-1),"")</f>
        <v>1</v>
      </c>
      <c r="BM1818" s="55" cm="1">
        <f t="array" ref="BM1818">IFERROR(
   INDEX($AW$1:$BH$1,
      _xlfn.AGGREGATE(14, 6, COLUMN($AW$1:$BH$1)/(AW1818:BH1818&lt;&gt;""), 2) - COLUMN($AW$1) + 1
   ),
"")</f>
        <v>46082</v>
      </c>
      <c r="BN1818" s="55" cm="1">
        <f t="array" ref="BN1818">IFERROR(INDEX($AW$1:$BH$1,1,MATCH(2,1/(AW1818:BH1818&lt;&gt;""))),"")</f>
        <v>46113</v>
      </c>
      <c r="BO1818" s="53">
        <f ca="1">IFERROR(_xlfn.XLOOKUP(F1818,Apuração!A:A,Apuração!C:C)/_xlfn.XLOOKUP(F1818,Apuração!A:A,Apuração!B:B),0)</f>
        <v>0.3</v>
      </c>
      <c r="BP1818" s="53">
        <f ca="1">IFERROR(_xlfn.XLOOKUP(F1818,Apuração!A:A,Apuração!D:D)/_xlfn.XLOOKUP(F1818,Apuração!A:A,Apuração!B:B),0)</f>
        <v>0.2</v>
      </c>
      <c r="BQ1818" s="53">
        <f ca="1">IF(BK1818&gt;=BO1818,0,_xlfn.XLOOKUP(F1818,Apuração!A:A,Apuração!B:B)*(BO1818 + (1/_xlfn.XLOOKUP(F1818,Apuração!A:A,Apuração!B:B)) - BK1818))</f>
        <v>0</v>
      </c>
      <c r="BR1818" s="85">
        <f ca="1">IF(BQ1818=0,0,BQ1818*Z1818)</f>
        <v>0</v>
      </c>
      <c r="BS1818" s="53">
        <f ca="1">IFERROR((_xlfn.XLOOKUP(F1818,Apuração!A:A,Apuração!C:C)+1)/_xlfn.XLOOKUP(F1818,Apuração!A:A,Apuração!B:B),0)</f>
        <v>0.4</v>
      </c>
    </row>
    <row r="1819" spans="1:71" ht="25.95" hidden="1" customHeight="1" x14ac:dyDescent="0.3">
      <c r="A1819" s="44" t="s">
        <v>175</v>
      </c>
      <c r="B1819" s="4" t="s">
        <v>176</v>
      </c>
      <c r="C1819" s="5" t="s">
        <v>214</v>
      </c>
      <c r="D1819" s="5" t="s">
        <v>210</v>
      </c>
      <c r="E1819" s="4" t="str" cm="1">
        <f t="array" ref="E1819">_xlfn.IFS(
F1819 = "A partir de Abril", "Aguardando Execução na Distribuidora",
A1819 = "CAPACITAÇÃO", "Em execução no Corporativo",
TRUE, "Em Execução na Distribuidora"
)</f>
        <v>Em execução no Corporativo</v>
      </c>
      <c r="F1819" s="4" t="str" cm="1">
        <f t="array" ref="F1819">_xlfn.IFS(
AG1819 &lt;&gt; "", "Jan-Dez/26",
AH1819 &lt;&gt; "", "Fev-Dez/26",
AI1819 &lt;&gt; "", "Mar-Dez/26", AJ1819 &lt;&gt; "", "Abr-Dez/26",
TRUE, "A partir de Junho"
)</f>
        <v>Mar-Dez/26</v>
      </c>
      <c r="G1819" s="4" t="s">
        <v>37</v>
      </c>
      <c r="H1819" s="7" t="s">
        <v>38</v>
      </c>
      <c r="I1819" s="21" t="s">
        <v>182</v>
      </c>
      <c r="J1819" s="8" t="str" cm="1">
        <f t="array" aca="1" ref="J1819" ca="1">_xlfn.LET(
  _xlpm.actual_value_month, INDEX(T1819:AE1819, MATCH(DATE(YEAR(TODAY()), MONTH(TODAY()), 1), $T$1:$AE$1, 0)),
  IF(_xlpm.actual_value_month &lt;&gt; "", _xlpm.actual_value_month &amp; " ações mensais", "")
)</f>
        <v/>
      </c>
      <c r="K1819" s="8" t="str" cm="1">
        <f t="array" ref="K1819">_xlfn.LET(
    _xlpm.sum_month, SUM(T1819:AE1819),
    IF(_xlpm.sum_month = 0, "", _xlpm.sum_month &amp; " taxa de aprovados")
)</f>
        <v>210 taxa de aprovados</v>
      </c>
      <c r="L1819" s="4" t="s">
        <v>183</v>
      </c>
      <c r="M1819" s="13">
        <v>1</v>
      </c>
      <c r="N1819" s="5" t="s">
        <v>51</v>
      </c>
      <c r="O1819" s="5" t="s">
        <v>43</v>
      </c>
      <c r="P1819" s="10" t="s">
        <v>44</v>
      </c>
      <c r="Q1819" s="10" t="s">
        <v>44</v>
      </c>
      <c r="R1819" s="11" t="s">
        <v>44</v>
      </c>
      <c r="S1819" s="11" t="s">
        <v>44</v>
      </c>
      <c r="T1819" s="22"/>
      <c r="U1819" s="22"/>
      <c r="V1819" s="22">
        <v>105</v>
      </c>
      <c r="W1819" s="22">
        <v>105</v>
      </c>
      <c r="X1819" s="22"/>
      <c r="Y1819" s="22"/>
      <c r="Z1819" s="22"/>
      <c r="AA1819" s="22"/>
      <c r="AB1819" s="22"/>
      <c r="AC1819" s="22"/>
      <c r="AD1819" s="22"/>
      <c r="AE1819" s="22"/>
      <c r="AG1819" s="71"/>
      <c r="AH1819" s="71"/>
      <c r="AI1819" s="82">
        <v>105</v>
      </c>
      <c r="AJ1819" s="82">
        <v>105</v>
      </c>
      <c r="AK1819" s="71"/>
      <c r="AL1819" s="71"/>
      <c r="AM1819" s="71"/>
      <c r="AN1819" s="71"/>
      <c r="AO1819" s="71"/>
      <c r="AP1819" s="71"/>
      <c r="AQ1819" s="71"/>
      <c r="AR1819" s="71"/>
      <c r="AS1819" s="94" cm="1">
        <f t="array" ref="AS1819">IFERROR(INDEX(T1819:AE1819,1,MATCH(2,1/(T1819:AE1819&lt;&gt;""))),"")</f>
        <v>105</v>
      </c>
      <c r="AT1819" s="95" cm="1">
        <f t="array" ref="AT1819">IFERROR(INDEX(AJ1819:AR1819,1,MATCH(2,1/(AJ1819:AR1819&lt;&gt;""))),"")</f>
        <v>105</v>
      </c>
      <c r="AU1819" s="97">
        <f t="shared" ref="AU1819:AU1823" si="2134">AT1819</f>
        <v>105</v>
      </c>
      <c r="AW1819" s="52">
        <f t="shared" ref="AW1819:AW1823" si="2135">IFERROR(IF(T1819="",0,T1819/AG1819),0)</f>
        <v>0</v>
      </c>
      <c r="AX1819" s="52">
        <f t="shared" ref="AX1819:AX1823" si="2136">IFERROR(IF(U1819="",0,U1819/AH1819),0)</f>
        <v>0</v>
      </c>
      <c r="AY1819" s="118">
        <f t="shared" ref="AY1819:AY1823" si="2137">IFERROR(IF(V1819="",0,V1819/AI1819),0)</f>
        <v>1</v>
      </c>
      <c r="AZ1819" s="118">
        <f t="shared" ref="AZ1819:AZ1823" si="2138">IFERROR(IF(W1819="",0,W1819/AJ1819),0)</f>
        <v>1</v>
      </c>
      <c r="BA1819" s="52"/>
      <c r="BB1819" s="52"/>
      <c r="BC1819" s="52"/>
      <c r="BD1819" s="52"/>
      <c r="BE1819" s="52"/>
      <c r="BF1819" s="52"/>
      <c r="BG1819" s="52"/>
      <c r="BH1819" s="52"/>
      <c r="BI1819" s="65" cm="1">
        <f t="array" ref="BI1819">IFERROR(INDEX(AW1819:BH1819,1,MATCH(2,1/(AW1819:BH1819&lt;&gt;""))),"")</f>
        <v>1</v>
      </c>
      <c r="BJ1819" s="68" cm="1">
        <f t="array" ref="BJ1819">IF(BM1819 = "", "",IFERROR(INDEX(AW1819:BH1819,1,MATCH(2,1/(AW1819:BH1819&lt;&gt;""),1)-1),""))</f>
        <v>1</v>
      </c>
      <c r="BK1819" s="58" cm="1">
        <f t="array" ref="BK1819">IFERROR(INDEX(AW1819:BH1819,1,MATCH(2,1/(AW1819:BH1819&lt;&gt;""))),"")</f>
        <v>1</v>
      </c>
      <c r="BL1819" s="58" cm="1">
        <f t="array" ref="BL1819">IFERROR(INDEX(AW1819:BH1819,1,MATCH(2,1/(AW1819:BH1819&lt;&gt;""),1)-1),"")</f>
        <v>1</v>
      </c>
      <c r="BM1819" s="55" cm="1">
        <f t="array" ref="BM1819">IFERROR(
   INDEX($AW$1:$BH$1,
      _xlfn.AGGREGATE(14, 6, COLUMN($AW$1:$BH$1)/(AW1819:BH1819&lt;&gt;""), 2) - COLUMN($AW$1) + 1
   ),
"")</f>
        <v>46082</v>
      </c>
      <c r="BN1819" s="55" cm="1">
        <f t="array" ref="BN1819">IFERROR(INDEX($AW$1:$BH$1,1,MATCH(2,1/(AW1819:BH1819&lt;&gt;""))),"")</f>
        <v>46113</v>
      </c>
      <c r="BO1819" s="53">
        <f ca="1">IFERROR(_xlfn.XLOOKUP(F1819,Apuração!A:A,Apuração!C:C)/_xlfn.XLOOKUP(F1819,Apuração!A:A,Apuração!B:B),0)</f>
        <v>0.3</v>
      </c>
      <c r="BP1819" s="53">
        <f ca="1">IFERROR(_xlfn.XLOOKUP(F1819,Apuração!A:A,Apuração!D:D)/_xlfn.XLOOKUP(F1819,Apuração!A:A,Apuração!B:B),0)</f>
        <v>0.2</v>
      </c>
      <c r="BQ1819" s="53">
        <f ca="1">IF(BK1819&gt;=BO1819,0,_xlfn.XLOOKUP(F1819,Apuração!A:A,Apuração!B:B)*(BO1819 + (1/_xlfn.XLOOKUP(F1819,Apuração!A:A,Apuração!B:B)) - BK1819))</f>
        <v>0</v>
      </c>
      <c r="BR1819" s="85">
        <f t="shared" ref="BR1819:BR1823" ca="1" si="2139">IF(BQ1819=0,0,BQ1819*Z1819)</f>
        <v>0</v>
      </c>
      <c r="BS1819" s="53">
        <f ca="1">IFERROR((_xlfn.XLOOKUP(F1819,Apuração!A:A,Apuração!C:C)+1)/_xlfn.XLOOKUP(F1819,Apuração!A:A,Apuração!B:B),0)</f>
        <v>0.4</v>
      </c>
    </row>
    <row r="1820" spans="1:71" ht="25.95" hidden="1" customHeight="1" x14ac:dyDescent="0.3">
      <c r="A1820" s="44" t="s">
        <v>175</v>
      </c>
      <c r="B1820" s="4" t="s">
        <v>176</v>
      </c>
      <c r="C1820" s="5" t="s">
        <v>214</v>
      </c>
      <c r="D1820" s="5" t="s">
        <v>215</v>
      </c>
      <c r="E1820" s="4" t="str" cm="1">
        <f t="array" ref="E1820">_xlfn.IFS(
F1820 = "A partir de Abril", "Aguardando Execução na Distribuidora",
A1820 = "CAPACITAÇÃO", "Em execução no Corporativo",
TRUE, "Em Execução na Distribuidora"
)</f>
        <v>Em execução no Corporativo</v>
      </c>
      <c r="F1820" s="4" t="str" cm="1">
        <f t="array" ref="F1820">_xlfn.IFS(
AG1820 &lt;&gt; "", "Jan-Dez/26",
AH1820 &lt;&gt; "", "Fev-Dez/26",
AI1820 &lt;&gt; "", "Mar-Dez/26", AJ1820 &lt;&gt; "", "Abr-Dez/26",
TRUE, "A partir de Junho"
)</f>
        <v>Mar-Dez/26</v>
      </c>
      <c r="G1820" s="4" t="s">
        <v>37</v>
      </c>
      <c r="H1820" s="7" t="s">
        <v>38</v>
      </c>
      <c r="I1820" s="21" t="s">
        <v>182</v>
      </c>
      <c r="J1820" s="8" t="str" cm="1">
        <f t="array" aca="1" ref="J1820" ca="1">_xlfn.LET(
  _xlpm.actual_value_month, INDEX(T1820:AE1820, MATCH(DATE(YEAR(TODAY()), MONTH(TODAY()), 1), $T$1:$AE$1, 0)),
  IF(_xlpm.actual_value_month &lt;&gt; "", _xlpm.actual_value_month &amp; " ações mensais", "")
)</f>
        <v/>
      </c>
      <c r="K1820" s="8" t="str" cm="1">
        <f t="array" ref="K1820">_xlfn.LET(
    _xlpm.sum_month, SUM(T1820:AE1820),
    IF(_xlpm.sum_month = 0, "", _xlpm.sum_month &amp; " taxa de aprovados")
)</f>
        <v>746 taxa de aprovados</v>
      </c>
      <c r="L1820" s="4" t="s">
        <v>183</v>
      </c>
      <c r="M1820" s="13">
        <v>1</v>
      </c>
      <c r="N1820" s="5" t="s">
        <v>51</v>
      </c>
      <c r="O1820" s="5" t="s">
        <v>43</v>
      </c>
      <c r="P1820" s="10" t="s">
        <v>44</v>
      </c>
      <c r="Q1820" s="10" t="s">
        <v>44</v>
      </c>
      <c r="R1820" s="11" t="s">
        <v>44</v>
      </c>
      <c r="S1820" s="11" t="s">
        <v>44</v>
      </c>
      <c r="T1820" s="22"/>
      <c r="U1820" s="22"/>
      <c r="V1820" s="22">
        <v>373</v>
      </c>
      <c r="W1820" s="22">
        <v>373</v>
      </c>
      <c r="X1820" s="22"/>
      <c r="Y1820" s="22"/>
      <c r="Z1820" s="22"/>
      <c r="AA1820" s="22"/>
      <c r="AB1820" s="22"/>
      <c r="AC1820" s="22"/>
      <c r="AD1820" s="22"/>
      <c r="AE1820" s="22"/>
      <c r="AG1820" s="71"/>
      <c r="AH1820" s="71"/>
      <c r="AI1820" s="82">
        <v>373</v>
      </c>
      <c r="AJ1820" s="82">
        <v>373</v>
      </c>
      <c r="AK1820" s="71"/>
      <c r="AL1820" s="71"/>
      <c r="AM1820" s="71"/>
      <c r="AN1820" s="71"/>
      <c r="AO1820" s="71"/>
      <c r="AP1820" s="71"/>
      <c r="AQ1820" s="71"/>
      <c r="AR1820" s="71"/>
      <c r="AS1820" s="94" cm="1">
        <f t="array" ref="AS1820">IFERROR(INDEX(T1820:AE1820,1,MATCH(2,1/(T1820:AE1820&lt;&gt;""))),"")</f>
        <v>373</v>
      </c>
      <c r="AT1820" s="95" cm="1">
        <f t="array" ref="AT1820">IFERROR(INDEX(AJ1820:AR1820,1,MATCH(2,1/(AJ1820:AR1820&lt;&gt;""))),"")</f>
        <v>373</v>
      </c>
      <c r="AU1820" s="97">
        <f t="shared" si="2134"/>
        <v>373</v>
      </c>
      <c r="AW1820" s="52">
        <f t="shared" si="2135"/>
        <v>0</v>
      </c>
      <c r="AX1820" s="52">
        <f t="shared" si="2136"/>
        <v>0</v>
      </c>
      <c r="AY1820" s="118">
        <f t="shared" si="2137"/>
        <v>1</v>
      </c>
      <c r="AZ1820" s="118">
        <f t="shared" si="2138"/>
        <v>1</v>
      </c>
      <c r="BA1820" s="52"/>
      <c r="BB1820" s="52"/>
      <c r="BC1820" s="52"/>
      <c r="BD1820" s="52"/>
      <c r="BE1820" s="52"/>
      <c r="BF1820" s="52"/>
      <c r="BG1820" s="52"/>
      <c r="BH1820" s="52"/>
      <c r="BI1820" s="65" cm="1">
        <f t="array" ref="BI1820">IFERROR(INDEX(AW1820:BH1820,1,MATCH(2,1/(AW1820:BH1820&lt;&gt;""))),"")</f>
        <v>1</v>
      </c>
      <c r="BJ1820" s="68" cm="1">
        <f t="array" ref="BJ1820">IF(BM1820 = "", "",IFERROR(INDEX(AW1820:BH1820,1,MATCH(2,1/(AW1820:BH1820&lt;&gt;""),1)-1),""))</f>
        <v>1</v>
      </c>
      <c r="BK1820" s="58" cm="1">
        <f t="array" ref="BK1820">IFERROR(INDEX(AW1820:BH1820,1,MATCH(2,1/(AW1820:BH1820&lt;&gt;""))),"")</f>
        <v>1</v>
      </c>
      <c r="BL1820" s="58" cm="1">
        <f t="array" ref="BL1820">IFERROR(INDEX(AW1820:BH1820,1,MATCH(2,1/(AW1820:BH1820&lt;&gt;""),1)-1),"")</f>
        <v>1</v>
      </c>
      <c r="BM1820" s="55" cm="1">
        <f t="array" ref="BM1820">IFERROR(
   INDEX($AW$1:$BH$1,
      _xlfn.AGGREGATE(14, 6, COLUMN($AW$1:$BH$1)/(AW1820:BH1820&lt;&gt;""), 2) - COLUMN($AW$1) + 1
   ),
"")</f>
        <v>46082</v>
      </c>
      <c r="BN1820" s="55" cm="1">
        <f t="array" ref="BN1820">IFERROR(INDEX($AW$1:$BH$1,1,MATCH(2,1/(AW1820:BH1820&lt;&gt;""))),"")</f>
        <v>46113</v>
      </c>
      <c r="BO1820" s="53">
        <f ca="1">IFERROR(_xlfn.XLOOKUP(F1820,Apuração!A:A,Apuração!C:C)/_xlfn.XLOOKUP(F1820,Apuração!A:A,Apuração!B:B),0)</f>
        <v>0.3</v>
      </c>
      <c r="BP1820" s="53">
        <f ca="1">IFERROR(_xlfn.XLOOKUP(F1820,Apuração!A:A,Apuração!D:D)/_xlfn.XLOOKUP(F1820,Apuração!A:A,Apuração!B:B),0)</f>
        <v>0.2</v>
      </c>
      <c r="BQ1820" s="53">
        <f ca="1">IF(BK1820&gt;=BO1820,0,_xlfn.XLOOKUP(F1820,Apuração!A:A,Apuração!B:B)*(BO1820 + (1/_xlfn.XLOOKUP(F1820,Apuração!A:A,Apuração!B:B)) - BK1820))</f>
        <v>0</v>
      </c>
      <c r="BR1820" s="85">
        <f t="shared" ca="1" si="2139"/>
        <v>0</v>
      </c>
      <c r="BS1820" s="53">
        <f ca="1">IFERROR((_xlfn.XLOOKUP(F1820,Apuração!A:A,Apuração!C:C)+1)/_xlfn.XLOOKUP(F1820,Apuração!A:A,Apuração!B:B),0)</f>
        <v>0.4</v>
      </c>
    </row>
    <row r="1821" spans="1:71" ht="25.95" hidden="1" customHeight="1" x14ac:dyDescent="0.3">
      <c r="A1821" s="44" t="s">
        <v>175</v>
      </c>
      <c r="B1821" s="4" t="s">
        <v>176</v>
      </c>
      <c r="C1821" s="5" t="s">
        <v>214</v>
      </c>
      <c r="D1821" s="5" t="s">
        <v>212</v>
      </c>
      <c r="E1821" s="4" t="str" cm="1">
        <f t="array" ref="E1821">_xlfn.IFS(
F1821 = "A partir de Abril", "Aguardando Execução na Distribuidora",
A1821 = "CAPACITAÇÃO", "Em execução no Corporativo",
TRUE, "Em Execução na Distribuidora"
)</f>
        <v>Em execução no Corporativo</v>
      </c>
      <c r="F1821" s="4" t="str" cm="1">
        <f t="array" ref="F1821">_xlfn.IFS(
AG1821 &lt;&gt; "", "Jan-Dez/26",
AH1821 &lt;&gt; "", "Fev-Dez/26",
AI1821 &lt;&gt; "", "Mar-Dez/26", AJ1821 &lt;&gt; "", "Abr-Dez/26",
TRUE, "A partir de Junho"
)</f>
        <v>Mar-Dez/26</v>
      </c>
      <c r="G1821" s="4" t="s">
        <v>37</v>
      </c>
      <c r="H1821" s="7" t="s">
        <v>38</v>
      </c>
      <c r="I1821" s="21" t="s">
        <v>182</v>
      </c>
      <c r="J1821" s="8" t="str" cm="1">
        <f t="array" aca="1" ref="J1821" ca="1">_xlfn.LET(
  _xlpm.actual_value_month, INDEX(T1821:AE1821, MATCH(DATE(YEAR(TODAY()), MONTH(TODAY()), 1), $T$1:$AE$1, 0)),
  IF(_xlpm.actual_value_month &lt;&gt; "", _xlpm.actual_value_month &amp; " ações mensais", "")
)</f>
        <v/>
      </c>
      <c r="K1821" s="8" t="str" cm="1">
        <f t="array" ref="K1821">_xlfn.LET(
    _xlpm.sum_month, SUM(T1821:AE1821),
    IF(_xlpm.sum_month = 0, "", _xlpm.sum_month &amp; " taxa de aprovados")
)</f>
        <v>1416 taxa de aprovados</v>
      </c>
      <c r="L1821" s="4" t="s">
        <v>183</v>
      </c>
      <c r="M1821" s="13">
        <v>1</v>
      </c>
      <c r="N1821" s="5" t="s">
        <v>51</v>
      </c>
      <c r="O1821" s="5" t="s">
        <v>43</v>
      </c>
      <c r="P1821" s="10" t="s">
        <v>44</v>
      </c>
      <c r="Q1821" s="10" t="s">
        <v>44</v>
      </c>
      <c r="R1821" s="11" t="s">
        <v>44</v>
      </c>
      <c r="S1821" s="11" t="s">
        <v>44</v>
      </c>
      <c r="T1821" s="22"/>
      <c r="U1821" s="22"/>
      <c r="V1821" s="22">
        <v>708</v>
      </c>
      <c r="W1821" s="22">
        <v>708</v>
      </c>
      <c r="X1821" s="22"/>
      <c r="Y1821" s="22"/>
      <c r="Z1821" s="22"/>
      <c r="AA1821" s="22"/>
      <c r="AB1821" s="22"/>
      <c r="AC1821" s="22"/>
      <c r="AD1821" s="22"/>
      <c r="AE1821" s="22"/>
      <c r="AG1821" s="71"/>
      <c r="AH1821" s="71"/>
      <c r="AI1821" s="82">
        <v>708</v>
      </c>
      <c r="AJ1821" s="82">
        <v>708</v>
      </c>
      <c r="AK1821" s="71"/>
      <c r="AL1821" s="71"/>
      <c r="AM1821" s="71"/>
      <c r="AN1821" s="71"/>
      <c r="AO1821" s="71"/>
      <c r="AP1821" s="71"/>
      <c r="AQ1821" s="71"/>
      <c r="AR1821" s="71"/>
      <c r="AS1821" s="94" cm="1">
        <f t="array" ref="AS1821">IFERROR(INDEX(T1821:AE1821,1,MATCH(2,1/(T1821:AE1821&lt;&gt;""))),"")</f>
        <v>708</v>
      </c>
      <c r="AT1821" s="95" cm="1">
        <f t="array" ref="AT1821">IFERROR(INDEX(AJ1821:AR1821,1,MATCH(2,1/(AJ1821:AR1821&lt;&gt;""))),"")</f>
        <v>708</v>
      </c>
      <c r="AU1821" s="97">
        <f t="shared" si="2134"/>
        <v>708</v>
      </c>
      <c r="AW1821" s="52">
        <f t="shared" si="2135"/>
        <v>0</v>
      </c>
      <c r="AX1821" s="52">
        <f t="shared" si="2136"/>
        <v>0</v>
      </c>
      <c r="AY1821" s="118">
        <f t="shared" si="2137"/>
        <v>1</v>
      </c>
      <c r="AZ1821" s="118">
        <f t="shared" si="2138"/>
        <v>1</v>
      </c>
      <c r="BA1821" s="52"/>
      <c r="BB1821" s="52"/>
      <c r="BC1821" s="52"/>
      <c r="BD1821" s="52"/>
      <c r="BE1821" s="52"/>
      <c r="BF1821" s="52"/>
      <c r="BG1821" s="52"/>
      <c r="BH1821" s="52"/>
      <c r="BI1821" s="65" cm="1">
        <f t="array" ref="BI1821">IFERROR(INDEX(AW1821:BH1821,1,MATCH(2,1/(AW1821:BH1821&lt;&gt;""))),"")</f>
        <v>1</v>
      </c>
      <c r="BJ1821" s="68" cm="1">
        <f t="array" ref="BJ1821">IF(BM1821 = "", "",IFERROR(INDEX(AW1821:BH1821,1,MATCH(2,1/(AW1821:BH1821&lt;&gt;""),1)-1),""))</f>
        <v>1</v>
      </c>
      <c r="BK1821" s="58" cm="1">
        <f t="array" ref="BK1821">IFERROR(INDEX(AW1821:BH1821,1,MATCH(2,1/(AW1821:BH1821&lt;&gt;""))),"")</f>
        <v>1</v>
      </c>
      <c r="BL1821" s="58" cm="1">
        <f t="array" ref="BL1821">IFERROR(INDEX(AW1821:BH1821,1,MATCH(2,1/(AW1821:BH1821&lt;&gt;""),1)-1),"")</f>
        <v>1</v>
      </c>
      <c r="BM1821" s="55" cm="1">
        <f t="array" ref="BM1821">IFERROR(
   INDEX($AW$1:$BH$1,
      _xlfn.AGGREGATE(14, 6, COLUMN($AW$1:$BH$1)/(AW1821:BH1821&lt;&gt;""), 2) - COLUMN($AW$1) + 1
   ),
"")</f>
        <v>46082</v>
      </c>
      <c r="BN1821" s="55" cm="1">
        <f t="array" ref="BN1821">IFERROR(INDEX($AW$1:$BH$1,1,MATCH(2,1/(AW1821:BH1821&lt;&gt;""))),"")</f>
        <v>46113</v>
      </c>
      <c r="BO1821" s="53">
        <f ca="1">IFERROR(_xlfn.XLOOKUP(F1821,Apuração!A:A,Apuração!C:C)/_xlfn.XLOOKUP(F1821,Apuração!A:A,Apuração!B:B),0)</f>
        <v>0.3</v>
      </c>
      <c r="BP1821" s="53">
        <f ca="1">IFERROR(_xlfn.XLOOKUP(F1821,Apuração!A:A,Apuração!D:D)/_xlfn.XLOOKUP(F1821,Apuração!A:A,Apuração!B:B),0)</f>
        <v>0.2</v>
      </c>
      <c r="BQ1821" s="53">
        <f ca="1">IF(BK1821&gt;=BO1821,0,_xlfn.XLOOKUP(F1821,Apuração!A:A,Apuração!B:B)*(BO1821 + (1/_xlfn.XLOOKUP(F1821,Apuração!A:A,Apuração!B:B)) - BK1821))</f>
        <v>0</v>
      </c>
      <c r="BR1821" s="85">
        <f t="shared" ca="1" si="2139"/>
        <v>0</v>
      </c>
      <c r="BS1821" s="53">
        <f ca="1">IFERROR((_xlfn.XLOOKUP(F1821,Apuração!A:A,Apuração!C:C)+1)/_xlfn.XLOOKUP(F1821,Apuração!A:A,Apuração!B:B),0)</f>
        <v>0.4</v>
      </c>
    </row>
    <row r="1822" spans="1:71" ht="25.95" hidden="1" customHeight="1" x14ac:dyDescent="0.3">
      <c r="A1822" s="44" t="s">
        <v>175</v>
      </c>
      <c r="B1822" s="4" t="s">
        <v>176</v>
      </c>
      <c r="C1822" s="5" t="s">
        <v>214</v>
      </c>
      <c r="D1822" s="5" t="s">
        <v>48</v>
      </c>
      <c r="E1822" s="4" t="str" cm="1">
        <f t="array" ref="E1822">_xlfn.IFS(
F1822 = "A partir de Abril", "Aguardando Execução na Distribuidora",
A1822 = "CAPACITAÇÃO", "Em execução no Corporativo",
TRUE, "Em Execução na Distribuidora"
)</f>
        <v>Em execução no Corporativo</v>
      </c>
      <c r="F1822" s="4" t="str" cm="1">
        <f t="array" ref="F1822">_xlfn.IFS(
AG1822 &lt;&gt; "", "Jan-Dez/26",
AH1822 &lt;&gt; "", "Fev-Dez/26",
AI1822 &lt;&gt; "", "Mar-Dez/26", AJ1822 &lt;&gt; "", "Abr-Dez/26",
TRUE, "A partir de Junho"
)</f>
        <v>Mar-Dez/26</v>
      </c>
      <c r="G1822" s="4" t="s">
        <v>37</v>
      </c>
      <c r="H1822" s="7" t="s">
        <v>38</v>
      </c>
      <c r="I1822" s="21" t="s">
        <v>182</v>
      </c>
      <c r="J1822" s="8" t="str" cm="1">
        <f t="array" aca="1" ref="J1822" ca="1">_xlfn.LET(
  _xlpm.actual_value_month, INDEX(T1822:AE1822, MATCH(DATE(YEAR(TODAY()), MONTH(TODAY()), 1), $T$1:$AE$1, 0)),
  IF(_xlpm.actual_value_month &lt;&gt; "", _xlpm.actual_value_month &amp; " ações mensais", "")
)</f>
        <v/>
      </c>
      <c r="K1822" s="8" t="str" cm="1">
        <f t="array" ref="K1822">_xlfn.LET(
    _xlpm.sum_month, SUM(T1822:AE1822),
    IF(_xlpm.sum_month = 0, "", _xlpm.sum_month &amp; " taxa de aprovados")
)</f>
        <v>494 taxa de aprovados</v>
      </c>
      <c r="L1822" s="4" t="s">
        <v>183</v>
      </c>
      <c r="M1822" s="13">
        <v>1</v>
      </c>
      <c r="N1822" s="5" t="s">
        <v>51</v>
      </c>
      <c r="O1822" s="5" t="s">
        <v>43</v>
      </c>
      <c r="P1822" s="10" t="s">
        <v>44</v>
      </c>
      <c r="Q1822" s="10" t="s">
        <v>44</v>
      </c>
      <c r="R1822" s="11" t="s">
        <v>44</v>
      </c>
      <c r="S1822" s="11" t="s">
        <v>44</v>
      </c>
      <c r="T1822" s="22"/>
      <c r="U1822" s="22"/>
      <c r="V1822" s="22">
        <v>247</v>
      </c>
      <c r="W1822" s="22">
        <v>247</v>
      </c>
      <c r="X1822" s="22"/>
      <c r="Y1822" s="22"/>
      <c r="Z1822" s="22"/>
      <c r="AA1822" s="22"/>
      <c r="AB1822" s="22"/>
      <c r="AC1822" s="22"/>
      <c r="AD1822" s="22"/>
      <c r="AE1822" s="22"/>
      <c r="AG1822" s="71"/>
      <c r="AH1822" s="71"/>
      <c r="AI1822" s="82">
        <v>247</v>
      </c>
      <c r="AJ1822" s="82">
        <v>247</v>
      </c>
      <c r="AK1822" s="71"/>
      <c r="AL1822" s="71"/>
      <c r="AM1822" s="71"/>
      <c r="AN1822" s="71"/>
      <c r="AO1822" s="71"/>
      <c r="AP1822" s="71"/>
      <c r="AQ1822" s="71"/>
      <c r="AR1822" s="71"/>
      <c r="AS1822" s="94" cm="1">
        <f t="array" ref="AS1822">IFERROR(INDEX(T1822:AE1822,1,MATCH(2,1/(T1822:AE1822&lt;&gt;""))),"")</f>
        <v>247</v>
      </c>
      <c r="AT1822" s="95" cm="1">
        <f t="array" ref="AT1822">IFERROR(INDEX(AJ1822:AR1822,1,MATCH(2,1/(AJ1822:AR1822&lt;&gt;""))),"")</f>
        <v>247</v>
      </c>
      <c r="AU1822" s="97">
        <f t="shared" si="2134"/>
        <v>247</v>
      </c>
      <c r="AW1822" s="52">
        <f t="shared" si="2135"/>
        <v>0</v>
      </c>
      <c r="AX1822" s="52">
        <f t="shared" si="2136"/>
        <v>0</v>
      </c>
      <c r="AY1822" s="118">
        <f t="shared" si="2137"/>
        <v>1</v>
      </c>
      <c r="AZ1822" s="118">
        <f t="shared" si="2138"/>
        <v>1</v>
      </c>
      <c r="BA1822" s="52"/>
      <c r="BB1822" s="52"/>
      <c r="BC1822" s="52"/>
      <c r="BD1822" s="52"/>
      <c r="BE1822" s="52"/>
      <c r="BF1822" s="52"/>
      <c r="BG1822" s="52"/>
      <c r="BH1822" s="52"/>
      <c r="BI1822" s="65" cm="1">
        <f t="array" ref="BI1822">IFERROR(INDEX(AW1822:BH1822,1,MATCH(2,1/(AW1822:BH1822&lt;&gt;""))),"")</f>
        <v>1</v>
      </c>
      <c r="BJ1822" s="68" cm="1">
        <f t="array" ref="BJ1822">IF(BM1822 = "", "",IFERROR(INDEX(AW1822:BH1822,1,MATCH(2,1/(AW1822:BH1822&lt;&gt;""),1)-1),""))</f>
        <v>1</v>
      </c>
      <c r="BK1822" s="58" cm="1">
        <f t="array" ref="BK1822">IFERROR(INDEX(AW1822:BH1822,1,MATCH(2,1/(AW1822:BH1822&lt;&gt;""))),"")</f>
        <v>1</v>
      </c>
      <c r="BL1822" s="58" cm="1">
        <f t="array" ref="BL1822">IFERROR(INDEX(AW1822:BH1822,1,MATCH(2,1/(AW1822:BH1822&lt;&gt;""),1)-1),"")</f>
        <v>1</v>
      </c>
      <c r="BM1822" s="55" cm="1">
        <f t="array" ref="BM1822">IFERROR(
   INDEX($AW$1:$BH$1,
      _xlfn.AGGREGATE(14, 6, COLUMN($AW$1:$BH$1)/(AW1822:BH1822&lt;&gt;""), 2) - COLUMN($AW$1) + 1
   ),
"")</f>
        <v>46082</v>
      </c>
      <c r="BN1822" s="55" cm="1">
        <f t="array" ref="BN1822">IFERROR(INDEX($AW$1:$BH$1,1,MATCH(2,1/(AW1822:BH1822&lt;&gt;""))),"")</f>
        <v>46113</v>
      </c>
      <c r="BO1822" s="53">
        <f ca="1">IFERROR(_xlfn.XLOOKUP(F1822,Apuração!A:A,Apuração!C:C)/_xlfn.XLOOKUP(F1822,Apuração!A:A,Apuração!B:B),0)</f>
        <v>0.3</v>
      </c>
      <c r="BP1822" s="53">
        <f ca="1">IFERROR(_xlfn.XLOOKUP(F1822,Apuração!A:A,Apuração!D:D)/_xlfn.XLOOKUP(F1822,Apuração!A:A,Apuração!B:B),0)</f>
        <v>0.2</v>
      </c>
      <c r="BQ1822" s="53">
        <f ca="1">IF(BK1822&gt;=BO1822,0,_xlfn.XLOOKUP(F1822,Apuração!A:A,Apuração!B:B)*(BO1822 + (1/_xlfn.XLOOKUP(F1822,Apuração!A:A,Apuração!B:B)) - BK1822))</f>
        <v>0</v>
      </c>
      <c r="BR1822" s="85">
        <f t="shared" ca="1" si="2139"/>
        <v>0</v>
      </c>
      <c r="BS1822" s="53">
        <f ca="1">IFERROR((_xlfn.XLOOKUP(F1822,Apuração!A:A,Apuração!C:C)+1)/_xlfn.XLOOKUP(F1822,Apuração!A:A,Apuração!B:B),0)</f>
        <v>0.4</v>
      </c>
    </row>
    <row r="1823" spans="1:71" ht="25.95" hidden="1" customHeight="1" x14ac:dyDescent="0.3">
      <c r="A1823" s="44" t="s">
        <v>175</v>
      </c>
      <c r="B1823" s="4" t="s">
        <v>176</v>
      </c>
      <c r="C1823" s="5" t="s">
        <v>214</v>
      </c>
      <c r="D1823" s="5" t="s">
        <v>213</v>
      </c>
      <c r="E1823" s="4" t="str" cm="1">
        <f t="array" ref="E1823">_xlfn.IFS(
F1823 = "A partir de Abril", "Aguardando Execução na Distribuidora",
A1823 = "CAPACITAÇÃO", "Em execução no Corporativo",
TRUE, "Em Execução na Distribuidora"
)</f>
        <v>Em execução no Corporativo</v>
      </c>
      <c r="F1823" s="4" t="str" cm="1">
        <f t="array" ref="F1823">_xlfn.IFS(
AG1823 &lt;&gt; "", "Jan-Dez/26",
AH1823 &lt;&gt; "", "Fev-Dez/26",
AI1823 &lt;&gt; "", "Mar-Dez/26", AJ1823 &lt;&gt; "", "Abr-Dez/26",
TRUE, "A partir de Junho"
)</f>
        <v>Mar-Dez/26</v>
      </c>
      <c r="G1823" s="4" t="s">
        <v>37</v>
      </c>
      <c r="H1823" s="7" t="s">
        <v>38</v>
      </c>
      <c r="I1823" s="21" t="s">
        <v>182</v>
      </c>
      <c r="J1823" s="8" t="str" cm="1">
        <f t="array" aca="1" ref="J1823" ca="1">_xlfn.LET(
  _xlpm.actual_value_month, INDEX(T1823:AE1823, MATCH(DATE(YEAR(TODAY()), MONTH(TODAY()), 1), $T$1:$AE$1, 0)),
  IF(_xlpm.actual_value_month &lt;&gt; "", _xlpm.actual_value_month &amp; " ações mensais", "")
)</f>
        <v/>
      </c>
      <c r="K1823" s="8" t="str" cm="1">
        <f t="array" ref="K1823">_xlfn.LET(
    _xlpm.sum_month, SUM(T1823:AE1823),
    IF(_xlpm.sum_month = 0, "", _xlpm.sum_month &amp; " taxa de aprovados")
)</f>
        <v>706 taxa de aprovados</v>
      </c>
      <c r="L1823" s="4" t="s">
        <v>183</v>
      </c>
      <c r="M1823" s="13">
        <v>1</v>
      </c>
      <c r="N1823" s="5" t="s">
        <v>51</v>
      </c>
      <c r="O1823" s="5" t="s">
        <v>43</v>
      </c>
      <c r="P1823" s="10" t="s">
        <v>44</v>
      </c>
      <c r="Q1823" s="10" t="s">
        <v>44</v>
      </c>
      <c r="R1823" s="11" t="s">
        <v>44</v>
      </c>
      <c r="S1823" s="11" t="s">
        <v>44</v>
      </c>
      <c r="T1823" s="22"/>
      <c r="U1823" s="22"/>
      <c r="V1823" s="22">
        <v>353</v>
      </c>
      <c r="W1823" s="22">
        <v>353</v>
      </c>
      <c r="X1823" s="22"/>
      <c r="Y1823" s="22"/>
      <c r="Z1823" s="22"/>
      <c r="AA1823" s="22"/>
      <c r="AB1823" s="22"/>
      <c r="AC1823" s="22"/>
      <c r="AD1823" s="22"/>
      <c r="AE1823" s="22"/>
      <c r="AG1823" s="71"/>
      <c r="AH1823" s="71"/>
      <c r="AI1823" s="82">
        <v>353</v>
      </c>
      <c r="AJ1823" s="82">
        <v>353</v>
      </c>
      <c r="AK1823" s="71"/>
      <c r="AL1823" s="71"/>
      <c r="AM1823" s="71"/>
      <c r="AN1823" s="71"/>
      <c r="AO1823" s="71"/>
      <c r="AP1823" s="71"/>
      <c r="AQ1823" s="71"/>
      <c r="AR1823" s="71"/>
      <c r="AS1823" s="94" cm="1">
        <f t="array" ref="AS1823">IFERROR(INDEX(T1823:AE1823,1,MATCH(2,1/(T1823:AE1823&lt;&gt;""))),"")</f>
        <v>353</v>
      </c>
      <c r="AT1823" s="95" cm="1">
        <f t="array" ref="AT1823">IFERROR(INDEX(AJ1823:AR1823,1,MATCH(2,1/(AJ1823:AR1823&lt;&gt;""))),"")</f>
        <v>353</v>
      </c>
      <c r="AU1823" s="97">
        <f t="shared" si="2134"/>
        <v>353</v>
      </c>
      <c r="AW1823" s="52">
        <f t="shared" si="2135"/>
        <v>0</v>
      </c>
      <c r="AX1823" s="52">
        <f t="shared" si="2136"/>
        <v>0</v>
      </c>
      <c r="AY1823" s="118">
        <f t="shared" si="2137"/>
        <v>1</v>
      </c>
      <c r="AZ1823" s="118">
        <f t="shared" si="2138"/>
        <v>1</v>
      </c>
      <c r="BA1823" s="52"/>
      <c r="BB1823" s="52"/>
      <c r="BC1823" s="52"/>
      <c r="BD1823" s="52"/>
      <c r="BE1823" s="52"/>
      <c r="BF1823" s="52"/>
      <c r="BG1823" s="52"/>
      <c r="BH1823" s="52"/>
      <c r="BI1823" s="65" cm="1">
        <f t="array" ref="BI1823">IFERROR(INDEX(AW1823:BH1823,1,MATCH(2,1/(AW1823:BH1823&lt;&gt;""))),"")</f>
        <v>1</v>
      </c>
      <c r="BJ1823" s="68" cm="1">
        <f t="array" ref="BJ1823">IF(BM1823 = "", "",IFERROR(INDEX(AW1823:BH1823,1,MATCH(2,1/(AW1823:BH1823&lt;&gt;""),1)-1),""))</f>
        <v>1</v>
      </c>
      <c r="BK1823" s="58" cm="1">
        <f t="array" ref="BK1823">IFERROR(INDEX(AW1823:BH1823,1,MATCH(2,1/(AW1823:BH1823&lt;&gt;""))),"")</f>
        <v>1</v>
      </c>
      <c r="BL1823" s="58" cm="1">
        <f t="array" ref="BL1823">IFERROR(INDEX(AW1823:BH1823,1,MATCH(2,1/(AW1823:BH1823&lt;&gt;""),1)-1),"")</f>
        <v>1</v>
      </c>
      <c r="BM1823" s="55" cm="1">
        <f t="array" ref="BM1823">IFERROR(
   INDEX($AW$1:$BH$1,
      _xlfn.AGGREGATE(14, 6, COLUMN($AW$1:$BH$1)/(AW1823:BH1823&lt;&gt;""), 2) - COLUMN($AW$1) + 1
   ),
"")</f>
        <v>46082</v>
      </c>
      <c r="BN1823" s="55" cm="1">
        <f t="array" ref="BN1823">IFERROR(INDEX($AW$1:$BH$1,1,MATCH(2,1/(AW1823:BH1823&lt;&gt;""))),"")</f>
        <v>46113</v>
      </c>
      <c r="BO1823" s="53">
        <f ca="1">IFERROR(_xlfn.XLOOKUP(F1823,Apuração!A:A,Apuração!C:C)/_xlfn.XLOOKUP(F1823,Apuração!A:A,Apuração!B:B),0)</f>
        <v>0.3</v>
      </c>
      <c r="BP1823" s="53">
        <f ca="1">IFERROR(_xlfn.XLOOKUP(F1823,Apuração!A:A,Apuração!D:D)/_xlfn.XLOOKUP(F1823,Apuração!A:A,Apuração!B:B),0)</f>
        <v>0.2</v>
      </c>
      <c r="BQ1823" s="53">
        <f ca="1">IF(BK1823&gt;=BO1823,0,_xlfn.XLOOKUP(F1823,Apuração!A:A,Apuração!B:B)*(BO1823 + (1/_xlfn.XLOOKUP(F1823,Apuração!A:A,Apuração!B:B)) - BK1823))</f>
        <v>0</v>
      </c>
      <c r="BR1823" s="85">
        <f t="shared" ca="1" si="2139"/>
        <v>0</v>
      </c>
      <c r="BS1823" s="53">
        <f ca="1">IFERROR((_xlfn.XLOOKUP(F1823,Apuração!A:A,Apuração!C:C)+1)/_xlfn.XLOOKUP(F1823,Apuração!A:A,Apuração!B:B),0)</f>
        <v>0.4</v>
      </c>
    </row>
    <row r="1824" spans="1:71" ht="25.95" hidden="1" customHeight="1" x14ac:dyDescent="0.3">
      <c r="A1824" s="33" t="s">
        <v>175</v>
      </c>
      <c r="B1824" s="4" t="s">
        <v>184</v>
      </c>
      <c r="C1824" s="5" t="s">
        <v>214</v>
      </c>
      <c r="D1824" s="5" t="s">
        <v>36</v>
      </c>
      <c r="E1824" s="4" t="str" cm="1">
        <f t="array" ref="E1824">_xlfn.IFS(
F1824 = "A partir de Abril", "Aguardando Execução na Distribuidora",
A1824 = "CAPACITAÇÃO", "Em execução no Corporativo",
TRUE, "Em Execução na Distribuidora"
)</f>
        <v>Em execução no Corporativo</v>
      </c>
      <c r="F1824" s="4" t="str" cm="1">
        <f t="array" ref="F1824">_xlfn.IFS(
AG1824 &lt;&gt; "", "Jan-Dez/26",
AH1824 &lt;&gt; "", "Fev-Dez/26",
AI1824 &lt;&gt; "", "Mar-Dez/26", AJ1824 &lt;&gt; "", "Abr-Dez/26",
TRUE, "A partir de Junho"
)</f>
        <v>Mar-Dez/26</v>
      </c>
      <c r="G1824" s="4" t="s">
        <v>37</v>
      </c>
      <c r="H1824" s="7" t="s">
        <v>38</v>
      </c>
      <c r="I1824" s="8" t="s">
        <v>177</v>
      </c>
      <c r="J1824" s="8" t="str" cm="1">
        <f t="array" aca="1" ref="J1824" ca="1">_xlfn.LET(
  _xlpm.actual_value_month, INDEX(T1824:AE1824, MATCH(DATE(YEAR(TODAY()), MONTH(TODAY()), 1), $T$1:$AE$1, 0)),
  IF(_xlpm.actual_value_month &lt;&gt; "", _xlpm.actual_value_month &amp; " certificados mensais", "")
)</f>
        <v>4379 certificados mensais</v>
      </c>
      <c r="K1824" s="8" t="str">
        <f t="shared" ref="K1824:K1829" si="2140">_xlfn.LET(
    _xlpm.month, AC1824,
    IF(_xlpm.month = 0, "", _xlpm.month &amp; " meta de certificados anuais")
)</f>
        <v>4612 meta de certificados anuais</v>
      </c>
      <c r="L1824" s="9" t="s">
        <v>185</v>
      </c>
      <c r="M1824" s="13">
        <v>1</v>
      </c>
      <c r="N1824" s="5" t="s">
        <v>42</v>
      </c>
      <c r="O1824" s="5" t="s">
        <v>43</v>
      </c>
      <c r="P1824" s="10" t="s">
        <v>146</v>
      </c>
      <c r="Q1824" s="10" t="s">
        <v>44</v>
      </c>
      <c r="R1824" s="11" t="s">
        <v>179</v>
      </c>
      <c r="S1824" s="11" t="s">
        <v>67</v>
      </c>
      <c r="T1824" s="22"/>
      <c r="U1824" s="22"/>
      <c r="V1824" s="22">
        <v>3945</v>
      </c>
      <c r="W1824" s="22">
        <f>4612*0.92</f>
        <v>4243.04</v>
      </c>
      <c r="X1824" s="22">
        <v>4288</v>
      </c>
      <c r="Y1824" s="22">
        <v>4379</v>
      </c>
      <c r="Z1824" s="22">
        <v>4456</v>
      </c>
      <c r="AA1824" s="22">
        <v>4516</v>
      </c>
      <c r="AB1824" s="22">
        <v>4570</v>
      </c>
      <c r="AC1824" s="22">
        <v>4612</v>
      </c>
      <c r="AD1824" s="22"/>
      <c r="AE1824" s="22"/>
      <c r="AG1824" s="71"/>
      <c r="AH1824" s="71"/>
      <c r="AI1824" s="71">
        <v>4001</v>
      </c>
      <c r="AJ1824" s="71">
        <v>4046</v>
      </c>
      <c r="AK1824" s="71"/>
      <c r="AL1824" s="71"/>
      <c r="AM1824" s="71"/>
      <c r="AN1824" s="71"/>
      <c r="AO1824" s="71"/>
      <c r="AP1824" s="71"/>
      <c r="AQ1824" s="71"/>
      <c r="AR1824" s="71"/>
      <c r="AS1824" s="94" cm="1">
        <f t="array" ref="AS1824">IFERROR(INDEX(T1824:AE1824,1,MATCH(2,1/(T1824:AE1824&lt;&gt;""))),"")</f>
        <v>4612</v>
      </c>
      <c r="AT1824" s="95" cm="1">
        <f t="array" ref="AT1824">IFERROR(INDEX(AJ1824:AR1824,1,MATCH(2,1/(AJ1824:AR1824&lt;&gt;""))),"")</f>
        <v>4046</v>
      </c>
      <c r="AU1824" s="97">
        <f>AT1824</f>
        <v>4046</v>
      </c>
      <c r="AW1824" s="51">
        <f>IFERROR(IF(AG1824="",0,AG1824/$AD1824),0)</f>
        <v>0</v>
      </c>
      <c r="AX1824" s="51">
        <f>IFERROR(IF(AH1824="",0,AH1824/$AD1824),0)</f>
        <v>0</v>
      </c>
      <c r="AY1824" s="51">
        <f>IFERROR(IF(AI1824="",0,AI1824/$AC1824),0)</f>
        <v>0.86751951431049434</v>
      </c>
      <c r="AZ1824" s="51">
        <f>IFERROR(IF(AJ1824="",0,AJ1824/$AC1824),0)</f>
        <v>0.87727666955767558</v>
      </c>
      <c r="BA1824" s="51"/>
      <c r="BB1824" s="51"/>
      <c r="BC1824" s="51"/>
      <c r="BD1824" s="51"/>
      <c r="BE1824" s="51"/>
      <c r="BF1824" s="51"/>
      <c r="BG1824" s="51"/>
      <c r="BH1824" s="51"/>
      <c r="BI1824" s="65" cm="1">
        <f t="array" ref="BI1824">IFERROR(INDEX(AW1824:BH1824,1,MATCH(2,1/(AW1824:BH1824&lt;&gt;""))),"")</f>
        <v>0.87727666955767558</v>
      </c>
      <c r="BJ1824" s="68" cm="1">
        <f t="array" ref="BJ1824">IF(BM1824 = "", "",IFERROR(INDEX(AW1824:BH1824,1,MATCH(2,1/(AW1824:BH1824&lt;&gt;""),1)-1),""))</f>
        <v>0.86751951431049434</v>
      </c>
      <c r="BK1824" s="58" cm="1">
        <f t="array" ref="BK1824">IFERROR(INDEX(AW1824:BH1824,1,MATCH(2,1/(AW1824:BH1824&lt;&gt;""))),"")</f>
        <v>0.87727666955767558</v>
      </c>
      <c r="BL1824" s="58" cm="1">
        <f t="array" ref="BL1824">IFERROR(INDEX(AW1824:BH1824,1,MATCH(2,1/(AW1824:BH1824&lt;&gt;""),1)-1),"")</f>
        <v>0.86751951431049434</v>
      </c>
      <c r="BM1824" s="55" cm="1">
        <f t="array" ref="BM1824">IFERROR(
   INDEX($AW$1:$BH$1,
      _xlfn.AGGREGATE(14, 6, COLUMN($AW$1:$BH$1)/(AW1824:BH1824&lt;&gt;""), 2) - COLUMN($AW$1) + 1
   ),
"")</f>
        <v>46082</v>
      </c>
      <c r="BN1824" s="55" cm="1">
        <f t="array" ref="BN1824">IFERROR(INDEX($AW$1:$BH$1,1,MATCH(2,1/(AW1824:BH1824&lt;&gt;""))),"")</f>
        <v>46113</v>
      </c>
      <c r="BO1824" s="119" cm="1">
        <f t="array" aca="1" ref="BO1824" ca="1">_xlfn.LET(
    _xlpm.mes_num, MONTH(TODAY())-1,
    _xlpm.coluna_ajustada, IF(_xlpm.mes_num=0, 12, _xlpm.mes_num),
    _xlpm.realizado_mes_anterior, INDEX(T1824:AE1824, 1, _xlpm.coluna_ajustada),
    _xlpm.previsto_total, AC1824,
    _xlpm.realizado_mes_anterior / _xlpm.previsto_total
)</f>
        <v>0.92974848222029494</v>
      </c>
      <c r="BP1824" s="53">
        <f ca="1">IFERROR(_xlfn.XLOOKUP(F1824,Apuração!A:A,Apuração!D:D)/_xlfn.XLOOKUP(F1824,Apuração!A:A,Apuração!B:B),0)</f>
        <v>0.2</v>
      </c>
      <c r="BQ1824" s="53">
        <f ca="1">IF(BK1824&gt;=BO1824,0,_xlfn.XLOOKUP(F1824,Apuração!A:A,Apuração!B:B)*(BO1824 + (1/_xlfn.XLOOKUP(F1824,Apuração!A:A,Apuração!B:B)) - BK1824))</f>
        <v>1.5247181266261933</v>
      </c>
      <c r="BR1824" s="85">
        <f ca="1">IF(BQ1824=0,0,BQ1824*Z1824)</f>
        <v>6794.1439722463174</v>
      </c>
      <c r="BS1824" s="53">
        <f ca="1">IFERROR((_xlfn.XLOOKUP(F1824,Apuração!A:A,Apuração!C:C)+1)/_xlfn.XLOOKUP(F1824,Apuração!A:A,Apuração!B:B),0)</f>
        <v>0.4</v>
      </c>
    </row>
    <row r="1825" spans="1:71" ht="25.95" hidden="1" customHeight="1" x14ac:dyDescent="0.3">
      <c r="A1825" s="33" t="s">
        <v>175</v>
      </c>
      <c r="B1825" s="4" t="s">
        <v>184</v>
      </c>
      <c r="C1825" s="5" t="s">
        <v>214</v>
      </c>
      <c r="D1825" s="5" t="s">
        <v>210</v>
      </c>
      <c r="E1825" s="4" t="str" cm="1">
        <f t="array" ref="E1825">_xlfn.IFS(
F1825 = "A partir de Abril", "Aguardando Execução na Distribuidora",
A1825 = "CAPACITAÇÃO", "Em execução no Corporativo",
TRUE, "Em Execução na Distribuidora"
)</f>
        <v>Em execução no Corporativo</v>
      </c>
      <c r="F1825" s="4" t="str" cm="1">
        <f t="array" ref="F1825">_xlfn.IFS(
AG1825 &lt;&gt; "", "Jan-Dez/26",
AH1825 &lt;&gt; "", "Fev-Dez/26",
AI1825 &lt;&gt; "", "Mar-Dez/26", AJ1825 &lt;&gt; "", "Abr-Dez/26",
TRUE, "A partir de Junho"
)</f>
        <v>Mar-Dez/26</v>
      </c>
      <c r="G1825" s="4" t="s">
        <v>37</v>
      </c>
      <c r="H1825" s="7" t="s">
        <v>38</v>
      </c>
      <c r="I1825" s="8" t="s">
        <v>177</v>
      </c>
      <c r="J1825" s="8" t="str" cm="1">
        <f t="array" aca="1" ref="J1825" ca="1">_xlfn.LET(
  _xlpm.actual_value_month, INDEX(T1825:AE1825, MATCH(DATE(YEAR(TODAY()), MONTH(TODAY()), 1), $T$1:$AE$1, 0)),
  IF(_xlpm.actual_value_month &lt;&gt; "", _xlpm.actual_value_month &amp; " certificados mensais", "")
)</f>
        <v>302 certificados mensais</v>
      </c>
      <c r="K1825" s="8" t="str">
        <f t="shared" si="2140"/>
        <v>350 meta de certificados anuais</v>
      </c>
      <c r="L1825" s="9" t="s">
        <v>185</v>
      </c>
      <c r="M1825" s="13">
        <v>1</v>
      </c>
      <c r="N1825" s="5" t="s">
        <v>42</v>
      </c>
      <c r="O1825" s="5" t="s">
        <v>43</v>
      </c>
      <c r="P1825" s="10" t="s">
        <v>146</v>
      </c>
      <c r="Q1825" s="10" t="s">
        <v>44</v>
      </c>
      <c r="R1825" s="11" t="s">
        <v>179</v>
      </c>
      <c r="S1825" s="11" t="s">
        <v>67</v>
      </c>
      <c r="T1825" s="22"/>
      <c r="U1825" s="22"/>
      <c r="V1825" s="143">
        <v>250</v>
      </c>
      <c r="W1825" s="143">
        <v>252</v>
      </c>
      <c r="X1825" s="143">
        <v>277</v>
      </c>
      <c r="Y1825" s="143">
        <v>302</v>
      </c>
      <c r="Z1825" s="143">
        <v>326</v>
      </c>
      <c r="AA1825" s="143">
        <v>350</v>
      </c>
      <c r="AB1825" s="143">
        <v>350</v>
      </c>
      <c r="AC1825" s="143">
        <v>350</v>
      </c>
      <c r="AD1825" s="143">
        <v>350</v>
      </c>
      <c r="AE1825" s="22"/>
      <c r="AG1825" s="71"/>
      <c r="AH1825" s="71"/>
      <c r="AI1825" s="71">
        <v>250</v>
      </c>
      <c r="AJ1825" s="71">
        <v>250</v>
      </c>
      <c r="AK1825" s="71"/>
      <c r="AL1825" s="71"/>
      <c r="AM1825" s="71"/>
      <c r="AN1825" s="71"/>
      <c r="AO1825" s="71"/>
      <c r="AP1825" s="71"/>
      <c r="AQ1825" s="71"/>
      <c r="AR1825" s="71"/>
      <c r="AS1825" s="94" cm="1">
        <f t="array" ref="AS1825">IFERROR(INDEX(T1825:AE1825,1,MATCH(2,1/(T1825:AE1825&lt;&gt;""))),"")</f>
        <v>350</v>
      </c>
      <c r="AT1825" s="95" cm="1">
        <f t="array" ref="AT1825">IFERROR(INDEX(AJ1825:AR1825,1,MATCH(2,1/(AJ1825:AR1825&lt;&gt;""))),"")</f>
        <v>250</v>
      </c>
      <c r="AU1825" s="97">
        <f t="shared" ref="AU1825:AU1829" si="2141">AT1825</f>
        <v>250</v>
      </c>
      <c r="AW1825" s="51">
        <f t="shared" ref="AW1825:AW1829" si="2142">IFERROR(IF(AG1825="",0,AG1825/$AD1825),0)</f>
        <v>0</v>
      </c>
      <c r="AX1825" s="51">
        <f t="shared" ref="AX1825:AX1829" si="2143">IFERROR(IF(AH1825="",0,AH1825/$AD1825),0)</f>
        <v>0</v>
      </c>
      <c r="AY1825" s="51">
        <f t="shared" ref="AY1825:AY1829" si="2144">IFERROR(IF(AI1825="",0,AI1825/$AC1825),0)</f>
        <v>0.7142857142857143</v>
      </c>
      <c r="AZ1825" s="51">
        <f t="shared" ref="AZ1825:AZ1829" si="2145">IFERROR(IF(AJ1825="",0,AJ1825/$AC1825),0)</f>
        <v>0.7142857142857143</v>
      </c>
      <c r="BA1825" s="51"/>
      <c r="BB1825" s="51"/>
      <c r="BC1825" s="51"/>
      <c r="BD1825" s="51"/>
      <c r="BE1825" s="51"/>
      <c r="BF1825" s="51"/>
      <c r="BG1825" s="51"/>
      <c r="BH1825" s="51"/>
      <c r="BI1825" s="65" cm="1">
        <f t="array" ref="BI1825">IFERROR(INDEX(AW1825:BH1825,1,MATCH(2,1/(AW1825:BH1825&lt;&gt;""))),"")</f>
        <v>0.7142857142857143</v>
      </c>
      <c r="BJ1825" s="68" cm="1">
        <f t="array" ref="BJ1825">IF(BM1825 = "", "",IFERROR(INDEX(AW1825:BH1825,1,MATCH(2,1/(AW1825:BH1825&lt;&gt;""),1)-1),""))</f>
        <v>0.7142857142857143</v>
      </c>
      <c r="BK1825" s="58" cm="1">
        <f t="array" ref="BK1825">IFERROR(INDEX(AW1825:BH1825,1,MATCH(2,1/(AW1825:BH1825&lt;&gt;""))),"")</f>
        <v>0.7142857142857143</v>
      </c>
      <c r="BL1825" s="58" cm="1">
        <f t="array" ref="BL1825">IFERROR(INDEX(AW1825:BH1825,1,MATCH(2,1/(AW1825:BH1825&lt;&gt;""),1)-1),"")</f>
        <v>0.7142857142857143</v>
      </c>
      <c r="BM1825" s="55" cm="1">
        <f t="array" ref="BM1825">IFERROR(
   INDEX($AW$1:$BH$1,
      _xlfn.AGGREGATE(14, 6, COLUMN($AW$1:$BH$1)/(AW1825:BH1825&lt;&gt;""), 2) - COLUMN($AW$1) + 1
   ),
"")</f>
        <v>46082</v>
      </c>
      <c r="BN1825" s="55" cm="1">
        <f t="array" ref="BN1825">IFERROR(INDEX($AW$1:$BH$1,1,MATCH(2,1/(AW1825:BH1825&lt;&gt;""))),"")</f>
        <v>46113</v>
      </c>
      <c r="BO1825" s="119" cm="1">
        <f t="array" aca="1" ref="BO1825" ca="1">_xlfn.LET(
    _xlpm.mes_num, MONTH(TODAY())-1,
    _xlpm.coluna_ajustada, IF(_xlpm.mes_num=0, 12, _xlpm.mes_num),
    _xlpm.realizado_mes_anterior, INDEX(T1825:AE1825, 1, _xlpm.coluna_ajustada),
    _xlpm.previsto_total, AC1825,
    _xlpm.realizado_mes_anterior / _xlpm.previsto_total
)</f>
        <v>0.79142857142857148</v>
      </c>
      <c r="BP1825" s="53">
        <f ca="1">IFERROR(_xlfn.XLOOKUP(F1825,Apuração!A:A,Apuração!D:D)/_xlfn.XLOOKUP(F1825,Apuração!A:A,Apuração!B:B),0)</f>
        <v>0.2</v>
      </c>
      <c r="BQ1825" s="53">
        <f ca="1">IF(BK1825&gt;=BO1825,0,_xlfn.XLOOKUP(F1825,Apuração!A:A,Apuração!B:B)*(BO1825 + (1/_xlfn.XLOOKUP(F1825,Apuração!A:A,Apuração!B:B)) - BK1825))</f>
        <v>1.7714285714285716</v>
      </c>
      <c r="BR1825" s="85">
        <f t="shared" ref="BR1825:BR1829" ca="1" si="2146">IF(BQ1825=0,0,BQ1825*Z1825)</f>
        <v>577.48571428571438</v>
      </c>
      <c r="BS1825" s="53">
        <f ca="1">IFERROR((_xlfn.XLOOKUP(F1825,Apuração!A:A,Apuração!C:C)+1)/_xlfn.XLOOKUP(F1825,Apuração!A:A,Apuração!B:B),0)</f>
        <v>0.4</v>
      </c>
    </row>
    <row r="1826" spans="1:71" ht="25.95" hidden="1" customHeight="1" x14ac:dyDescent="0.3">
      <c r="A1826" s="33" t="s">
        <v>175</v>
      </c>
      <c r="B1826" s="4" t="s">
        <v>184</v>
      </c>
      <c r="C1826" s="5" t="s">
        <v>214</v>
      </c>
      <c r="D1826" s="5" t="s">
        <v>215</v>
      </c>
      <c r="E1826" s="4" t="str" cm="1">
        <f t="array" ref="E1826">_xlfn.IFS(
F1826 = "A partir de Abril", "Aguardando Execução na Distribuidora",
A1826 = "CAPACITAÇÃO", "Em execução no Corporativo",
TRUE, "Em Execução na Distribuidora"
)</f>
        <v>Em execução no Corporativo</v>
      </c>
      <c r="F1826" s="4" t="str" cm="1">
        <f t="array" ref="F1826">_xlfn.IFS(
AG1826 &lt;&gt; "", "Jan-Dez/26",
AH1826 &lt;&gt; "", "Fev-Dez/26",
AI1826 &lt;&gt; "", "Mar-Dez/26", AJ1826 &lt;&gt; "", "Abr-Dez/26",
TRUE, "A partir de Junho"
)</f>
        <v>Mar-Dez/26</v>
      </c>
      <c r="G1826" s="4" t="s">
        <v>37</v>
      </c>
      <c r="H1826" s="7" t="s">
        <v>38</v>
      </c>
      <c r="I1826" s="8" t="s">
        <v>177</v>
      </c>
      <c r="J1826" s="8" t="str" cm="1">
        <f t="array" aca="1" ref="J1826" ca="1">_xlfn.LET(
  _xlpm.actual_value_month, INDEX(T1826:AE1826, MATCH(DATE(YEAR(TODAY()), MONTH(TODAY()), 1), $T$1:$AE$1, 0)),
  IF(_xlpm.actual_value_month &lt;&gt; "", _xlpm.actual_value_month &amp; " certificados mensais", "")
)</f>
        <v>1244 certificados mensais</v>
      </c>
      <c r="K1826" s="8" t="str">
        <f t="shared" si="2140"/>
        <v>1253 meta de certificados anuais</v>
      </c>
      <c r="L1826" s="9" t="s">
        <v>185</v>
      </c>
      <c r="M1826" s="13">
        <v>1</v>
      </c>
      <c r="N1826" s="5" t="s">
        <v>42</v>
      </c>
      <c r="O1826" s="5" t="s">
        <v>43</v>
      </c>
      <c r="P1826" s="10" t="s">
        <v>146</v>
      </c>
      <c r="Q1826" s="10" t="s">
        <v>44</v>
      </c>
      <c r="R1826" s="11" t="s">
        <v>179</v>
      </c>
      <c r="S1826" s="11" t="s">
        <v>67</v>
      </c>
      <c r="T1826" s="22"/>
      <c r="U1826" s="22"/>
      <c r="V1826" s="22">
        <v>1149</v>
      </c>
      <c r="W1826" s="22">
        <v>1191</v>
      </c>
      <c r="X1826" s="22">
        <v>1226</v>
      </c>
      <c r="Y1826" s="22">
        <v>1244</v>
      </c>
      <c r="Z1826" s="22">
        <v>1253</v>
      </c>
      <c r="AA1826" s="22">
        <v>1253</v>
      </c>
      <c r="AB1826" s="22">
        <v>1253</v>
      </c>
      <c r="AC1826" s="22">
        <v>1253</v>
      </c>
      <c r="AD1826" s="22">
        <v>1253</v>
      </c>
      <c r="AE1826" s="22"/>
      <c r="AG1826" s="71"/>
      <c r="AH1826" s="71"/>
      <c r="AI1826" s="71">
        <v>1149</v>
      </c>
      <c r="AJ1826" s="71">
        <v>1149</v>
      </c>
      <c r="AK1826" s="71"/>
      <c r="AL1826" s="71"/>
      <c r="AM1826" s="71"/>
      <c r="AN1826" s="71"/>
      <c r="AO1826" s="71"/>
      <c r="AP1826" s="71"/>
      <c r="AQ1826" s="71"/>
      <c r="AR1826" s="71"/>
      <c r="AS1826" s="94" cm="1">
        <f t="array" ref="AS1826">IFERROR(INDEX(T1826:AE1826,1,MATCH(2,1/(T1826:AE1826&lt;&gt;""))),"")</f>
        <v>1253</v>
      </c>
      <c r="AT1826" s="95" cm="1">
        <f t="array" ref="AT1826">IFERROR(INDEX(AJ1826:AR1826,1,MATCH(2,1/(AJ1826:AR1826&lt;&gt;""))),"")</f>
        <v>1149</v>
      </c>
      <c r="AU1826" s="97">
        <f t="shared" si="2141"/>
        <v>1149</v>
      </c>
      <c r="AW1826" s="51">
        <f t="shared" si="2142"/>
        <v>0</v>
      </c>
      <c r="AX1826" s="51">
        <f t="shared" si="2143"/>
        <v>0</v>
      </c>
      <c r="AY1826" s="51">
        <f t="shared" si="2144"/>
        <v>0.91699920191540307</v>
      </c>
      <c r="AZ1826" s="51">
        <f t="shared" si="2145"/>
        <v>0.91699920191540307</v>
      </c>
      <c r="BA1826" s="51"/>
      <c r="BB1826" s="51"/>
      <c r="BC1826" s="51"/>
      <c r="BD1826" s="51"/>
      <c r="BE1826" s="51"/>
      <c r="BF1826" s="51"/>
      <c r="BG1826" s="51"/>
      <c r="BH1826" s="51"/>
      <c r="BI1826" s="65" cm="1">
        <f t="array" ref="BI1826">IFERROR(INDEX(AW1826:BH1826,1,MATCH(2,1/(AW1826:BH1826&lt;&gt;""))),"")</f>
        <v>0.91699920191540307</v>
      </c>
      <c r="BJ1826" s="68" cm="1">
        <f t="array" ref="BJ1826">IF(BM1826 = "", "",IFERROR(INDEX(AW1826:BH1826,1,MATCH(2,1/(AW1826:BH1826&lt;&gt;""),1)-1),""))</f>
        <v>0.91699920191540307</v>
      </c>
      <c r="BK1826" s="58" cm="1">
        <f t="array" ref="BK1826">IFERROR(INDEX(AW1826:BH1826,1,MATCH(2,1/(AW1826:BH1826&lt;&gt;""))),"")</f>
        <v>0.91699920191540307</v>
      </c>
      <c r="BL1826" s="58" cm="1">
        <f t="array" ref="BL1826">IFERROR(INDEX(AW1826:BH1826,1,MATCH(2,1/(AW1826:BH1826&lt;&gt;""),1)-1),"")</f>
        <v>0.91699920191540307</v>
      </c>
      <c r="BM1826" s="55" cm="1">
        <f t="array" ref="BM1826">IFERROR(
   INDEX($AW$1:$BH$1,
      _xlfn.AGGREGATE(14, 6, COLUMN($AW$1:$BH$1)/(AW1826:BH1826&lt;&gt;""), 2) - COLUMN($AW$1) + 1
   ),
"")</f>
        <v>46082</v>
      </c>
      <c r="BN1826" s="55" cm="1">
        <f t="array" ref="BN1826">IFERROR(INDEX($AW$1:$BH$1,1,MATCH(2,1/(AW1826:BH1826&lt;&gt;""))),"")</f>
        <v>46113</v>
      </c>
      <c r="BO1826" s="119" cm="1">
        <f t="array" aca="1" ref="BO1826" ca="1">_xlfn.LET(
    _xlpm.mes_num, MONTH(TODAY())-1,
    _xlpm.coluna_ajustada, IF(_xlpm.mes_num=0, 12, _xlpm.mes_num),
    _xlpm.realizado_mes_anterior, INDEX(T1826:AE1826, 1, _xlpm.coluna_ajustada),
    _xlpm.previsto_total, AC1826,
    _xlpm.realizado_mes_anterior / _xlpm.previsto_total
)</f>
        <v>0.97845171588188351</v>
      </c>
      <c r="BP1826" s="53">
        <f ca="1">IFERROR(_xlfn.XLOOKUP(F1826,Apuração!A:A,Apuração!D:D)/_xlfn.XLOOKUP(F1826,Apuração!A:A,Apuração!B:B),0)</f>
        <v>0.2</v>
      </c>
      <c r="BQ1826" s="53">
        <f ca="1">IF(BK1826&gt;=BO1826,0,_xlfn.XLOOKUP(F1826,Apuração!A:A,Apuração!B:B)*(BO1826 + (1/_xlfn.XLOOKUP(F1826,Apuração!A:A,Apuração!B:B)) - BK1826))</f>
        <v>1.6145251396648053</v>
      </c>
      <c r="BR1826" s="85">
        <f t="shared" ca="1" si="2146"/>
        <v>2023.0000000000009</v>
      </c>
      <c r="BS1826" s="53">
        <f ca="1">IFERROR((_xlfn.XLOOKUP(F1826,Apuração!A:A,Apuração!C:C)+1)/_xlfn.XLOOKUP(F1826,Apuração!A:A,Apuração!B:B),0)</f>
        <v>0.4</v>
      </c>
    </row>
    <row r="1827" spans="1:71" ht="25.95" hidden="1" customHeight="1" x14ac:dyDescent="0.3">
      <c r="A1827" s="33" t="s">
        <v>175</v>
      </c>
      <c r="B1827" s="4" t="s">
        <v>184</v>
      </c>
      <c r="C1827" s="5" t="s">
        <v>214</v>
      </c>
      <c r="D1827" s="5" t="s">
        <v>212</v>
      </c>
      <c r="E1827" s="4" t="str" cm="1">
        <f t="array" ref="E1827">_xlfn.IFS(
F1827 = "A partir de Abril", "Aguardando Execução na Distribuidora",
A1827 = "CAPACITAÇÃO", "Em execução no Corporativo",
TRUE, "Em Execução na Distribuidora"
)</f>
        <v>Em execução no Corporativo</v>
      </c>
      <c r="F1827" s="4" t="str" cm="1">
        <f t="array" ref="F1827">_xlfn.IFS(
AG1827 &lt;&gt; "", "Jan-Dez/26",
AH1827 &lt;&gt; "", "Fev-Dez/26",
AI1827 &lt;&gt; "", "Mar-Dez/26", AJ1827 &lt;&gt; "", "Abr-Dez/26",
TRUE, "A partir de Junho"
)</f>
        <v>Mar-Dez/26</v>
      </c>
      <c r="G1827" s="4" t="s">
        <v>37</v>
      </c>
      <c r="H1827" s="7" t="s">
        <v>38</v>
      </c>
      <c r="I1827" s="8" t="s">
        <v>177</v>
      </c>
      <c r="J1827" s="8" t="str" cm="1">
        <f t="array" aca="1" ref="J1827" ca="1">_xlfn.LET(
  _xlpm.actual_value_month, INDEX(T1827:AE1827, MATCH(DATE(YEAR(TODAY()), MONTH(TODAY()), 1), $T$1:$AE$1, 0)),
  IF(_xlpm.actual_value_month &lt;&gt; "", _xlpm.actual_value_month &amp; " certificados mensais", "")
)</f>
        <v>1376 certificados mensais</v>
      </c>
      <c r="K1827" s="8" t="str">
        <f t="shared" si="2140"/>
        <v>1401 meta de certificados anuais</v>
      </c>
      <c r="L1827" s="9" t="s">
        <v>185</v>
      </c>
      <c r="M1827" s="13">
        <v>1</v>
      </c>
      <c r="N1827" s="5" t="s">
        <v>42</v>
      </c>
      <c r="O1827" s="5" t="s">
        <v>43</v>
      </c>
      <c r="P1827" s="10" t="s">
        <v>146</v>
      </c>
      <c r="Q1827" s="10" t="s">
        <v>44</v>
      </c>
      <c r="R1827" s="11" t="s">
        <v>179</v>
      </c>
      <c r="S1827" s="11" t="s">
        <v>67</v>
      </c>
      <c r="T1827" s="22"/>
      <c r="U1827" s="22"/>
      <c r="V1827" s="22">
        <v>1316</v>
      </c>
      <c r="W1827" s="22">
        <v>1338</v>
      </c>
      <c r="X1827" s="22">
        <v>1360</v>
      </c>
      <c r="Y1827" s="22">
        <v>1376</v>
      </c>
      <c r="Z1827" s="22">
        <v>1389</v>
      </c>
      <c r="AA1827" s="22">
        <v>1395</v>
      </c>
      <c r="AB1827" s="22">
        <v>1401</v>
      </c>
      <c r="AC1827" s="22">
        <v>1401</v>
      </c>
      <c r="AD1827" s="22">
        <v>1401</v>
      </c>
      <c r="AE1827" s="22"/>
      <c r="AG1827" s="71"/>
      <c r="AH1827" s="71"/>
      <c r="AI1827" s="71">
        <v>1327</v>
      </c>
      <c r="AJ1827" s="71">
        <v>1327</v>
      </c>
      <c r="AK1827" s="71"/>
      <c r="AL1827" s="71"/>
      <c r="AM1827" s="71"/>
      <c r="AN1827" s="71"/>
      <c r="AO1827" s="71"/>
      <c r="AP1827" s="71"/>
      <c r="AQ1827" s="71"/>
      <c r="AR1827" s="71"/>
      <c r="AS1827" s="94" cm="1">
        <f t="array" ref="AS1827">IFERROR(INDEX(T1827:AE1827,1,MATCH(2,1/(T1827:AE1827&lt;&gt;""))),"")</f>
        <v>1401</v>
      </c>
      <c r="AT1827" s="95" cm="1">
        <f t="array" ref="AT1827">IFERROR(INDEX(AJ1827:AR1827,1,MATCH(2,1/(AJ1827:AR1827&lt;&gt;""))),"")</f>
        <v>1327</v>
      </c>
      <c r="AU1827" s="97">
        <f t="shared" si="2141"/>
        <v>1327</v>
      </c>
      <c r="AW1827" s="51">
        <f t="shared" si="2142"/>
        <v>0</v>
      </c>
      <c r="AX1827" s="51">
        <f t="shared" si="2143"/>
        <v>0</v>
      </c>
      <c r="AY1827" s="51">
        <f t="shared" si="2144"/>
        <v>0.94718058529621696</v>
      </c>
      <c r="AZ1827" s="51">
        <f t="shared" si="2145"/>
        <v>0.94718058529621696</v>
      </c>
      <c r="BA1827" s="51"/>
      <c r="BB1827" s="51"/>
      <c r="BC1827" s="51"/>
      <c r="BD1827" s="51"/>
      <c r="BE1827" s="51"/>
      <c r="BF1827" s="51"/>
      <c r="BG1827" s="51"/>
      <c r="BH1827" s="51"/>
      <c r="BI1827" s="65" cm="1">
        <f t="array" ref="BI1827">IFERROR(INDEX(AW1827:BH1827,1,MATCH(2,1/(AW1827:BH1827&lt;&gt;""))),"")</f>
        <v>0.94718058529621696</v>
      </c>
      <c r="BJ1827" s="68" cm="1">
        <f t="array" ref="BJ1827">IF(BM1827 = "", "",IFERROR(INDEX(AW1827:BH1827,1,MATCH(2,1/(AW1827:BH1827&lt;&gt;""),1)-1),""))</f>
        <v>0.94718058529621696</v>
      </c>
      <c r="BK1827" s="58" cm="1">
        <f t="array" ref="BK1827">IFERROR(INDEX(AW1827:BH1827,1,MATCH(2,1/(AW1827:BH1827&lt;&gt;""))),"")</f>
        <v>0.94718058529621696</v>
      </c>
      <c r="BL1827" s="58" cm="1">
        <f t="array" ref="BL1827">IFERROR(INDEX(AW1827:BH1827,1,MATCH(2,1/(AW1827:BH1827&lt;&gt;""),1)-1),"")</f>
        <v>0.94718058529621696</v>
      </c>
      <c r="BM1827" s="55" cm="1">
        <f t="array" ref="BM1827">IFERROR(
   INDEX($AW$1:$BH$1,
      _xlfn.AGGREGATE(14, 6, COLUMN($AW$1:$BH$1)/(AW1827:BH1827&lt;&gt;""), 2) - COLUMN($AW$1) + 1
   ),
"")</f>
        <v>46082</v>
      </c>
      <c r="BN1827" s="55" cm="1">
        <f t="array" ref="BN1827">IFERROR(INDEX($AW$1:$BH$1,1,MATCH(2,1/(AW1827:BH1827&lt;&gt;""))),"")</f>
        <v>46113</v>
      </c>
      <c r="BO1827" s="119" cm="1">
        <f t="array" aca="1" ref="BO1827" ca="1">_xlfn.LET(
    _xlpm.mes_num, MONTH(TODAY())-1,
    _xlpm.coluna_ajustada, IF(_xlpm.mes_num=0, 12, _xlpm.mes_num),
    _xlpm.realizado_mes_anterior, INDEX(T1827:AE1827, 1, _xlpm.coluna_ajustada),
    _xlpm.previsto_total, AC1827,
    _xlpm.realizado_mes_anterior / _xlpm.previsto_total
)</f>
        <v>0.97073518915060675</v>
      </c>
      <c r="BP1827" s="53">
        <f ca="1">IFERROR(_xlfn.XLOOKUP(F1827,Apuração!A:A,Apuração!D:D)/_xlfn.XLOOKUP(F1827,Apuração!A:A,Apuração!B:B),0)</f>
        <v>0.2</v>
      </c>
      <c r="BQ1827" s="53">
        <f ca="1">IF(BK1827&gt;=BO1827,0,_xlfn.XLOOKUP(F1827,Apuração!A:A,Apuração!B:B)*(BO1827 + (1/_xlfn.XLOOKUP(F1827,Apuração!A:A,Apuração!B:B)) - BK1827))</f>
        <v>1.2355460385438977</v>
      </c>
      <c r="BR1827" s="85">
        <f t="shared" ca="1" si="2146"/>
        <v>1716.1734475374737</v>
      </c>
      <c r="BS1827" s="53">
        <f ca="1">IFERROR((_xlfn.XLOOKUP(F1827,Apuração!A:A,Apuração!C:C)+1)/_xlfn.XLOOKUP(F1827,Apuração!A:A,Apuração!B:B),0)</f>
        <v>0.4</v>
      </c>
    </row>
    <row r="1828" spans="1:71" ht="25.95" hidden="1" customHeight="1" x14ac:dyDescent="0.3">
      <c r="A1828" s="33" t="s">
        <v>175</v>
      </c>
      <c r="B1828" s="4" t="s">
        <v>184</v>
      </c>
      <c r="C1828" s="5" t="s">
        <v>214</v>
      </c>
      <c r="D1828" s="5" t="s">
        <v>48</v>
      </c>
      <c r="E1828" s="4" t="str" cm="1">
        <f t="array" ref="E1828">_xlfn.IFS(
F1828 = "A partir de Abril", "Aguardando Execução na Distribuidora",
A1828 = "CAPACITAÇÃO", "Em execução no Corporativo",
TRUE, "Em Execução na Distribuidora"
)</f>
        <v>Em execução no Corporativo</v>
      </c>
      <c r="F1828" s="4" t="str" cm="1">
        <f t="array" ref="F1828">_xlfn.IFS(
AG1828 &lt;&gt; "", "Jan-Dez/26",
AH1828 &lt;&gt; "", "Fev-Dez/26",
AI1828 &lt;&gt; "", "Mar-Dez/26", AJ1828 &lt;&gt; "", "Abr-Dez/26",
TRUE, "A partir de Junho"
)</f>
        <v>Mar-Dez/26</v>
      </c>
      <c r="G1828" s="4" t="s">
        <v>37</v>
      </c>
      <c r="H1828" s="7" t="s">
        <v>38</v>
      </c>
      <c r="I1828" s="8" t="s">
        <v>177</v>
      </c>
      <c r="J1828" s="8" t="str" cm="1">
        <f t="array" aca="1" ref="J1828" ca="1">_xlfn.LET(
  _xlpm.actual_value_month, INDEX(T1828:AE1828, MATCH(DATE(YEAR(TODAY()), MONTH(TODAY()), 1), $T$1:$AE$1, 0)),
  IF(_xlpm.actual_value_month &lt;&gt; "", _xlpm.actual_value_month &amp; " certificados mensais", "")
)</f>
        <v>710 certificados mensais</v>
      </c>
      <c r="K1828" s="8" t="str">
        <f t="shared" si="2140"/>
        <v>830 meta de certificados anuais</v>
      </c>
      <c r="L1828" s="9" t="s">
        <v>185</v>
      </c>
      <c r="M1828" s="13">
        <v>1</v>
      </c>
      <c r="N1828" s="5" t="s">
        <v>42</v>
      </c>
      <c r="O1828" s="5" t="s">
        <v>43</v>
      </c>
      <c r="P1828" s="10" t="s">
        <v>146</v>
      </c>
      <c r="Q1828" s="10" t="s">
        <v>44</v>
      </c>
      <c r="R1828" s="11" t="s">
        <v>179</v>
      </c>
      <c r="S1828" s="11" t="s">
        <v>67</v>
      </c>
      <c r="T1828" s="22"/>
      <c r="U1828" s="22"/>
      <c r="V1828" s="143">
        <v>598</v>
      </c>
      <c r="W1828" s="143">
        <v>624</v>
      </c>
      <c r="X1828" s="143">
        <v>668</v>
      </c>
      <c r="Y1828" s="143">
        <v>710</v>
      </c>
      <c r="Z1828" s="143">
        <v>751</v>
      </c>
      <c r="AA1828" s="143">
        <v>791</v>
      </c>
      <c r="AB1828" s="143">
        <v>830</v>
      </c>
      <c r="AC1828" s="143">
        <v>830</v>
      </c>
      <c r="AD1828" s="143">
        <v>830</v>
      </c>
      <c r="AE1828" s="22"/>
      <c r="AG1828" s="71"/>
      <c r="AH1828" s="71"/>
      <c r="AI1828" s="71">
        <v>614</v>
      </c>
      <c r="AJ1828" s="71">
        <v>614</v>
      </c>
      <c r="AK1828" s="71"/>
      <c r="AL1828" s="71"/>
      <c r="AM1828" s="71"/>
      <c r="AN1828" s="71"/>
      <c r="AO1828" s="71"/>
      <c r="AP1828" s="71"/>
      <c r="AQ1828" s="71"/>
      <c r="AR1828" s="71"/>
      <c r="AS1828" s="94" cm="1">
        <f t="array" ref="AS1828">IFERROR(INDEX(T1828:AE1828,1,MATCH(2,1/(T1828:AE1828&lt;&gt;""))),"")</f>
        <v>830</v>
      </c>
      <c r="AT1828" s="95" cm="1">
        <f t="array" ref="AT1828">IFERROR(INDEX(AJ1828:AR1828,1,MATCH(2,1/(AJ1828:AR1828&lt;&gt;""))),"")</f>
        <v>614</v>
      </c>
      <c r="AU1828" s="97">
        <f t="shared" si="2141"/>
        <v>614</v>
      </c>
      <c r="AW1828" s="51">
        <f t="shared" si="2142"/>
        <v>0</v>
      </c>
      <c r="AX1828" s="51">
        <f t="shared" si="2143"/>
        <v>0</v>
      </c>
      <c r="AY1828" s="51">
        <f t="shared" si="2144"/>
        <v>0.73975903614457827</v>
      </c>
      <c r="AZ1828" s="51">
        <f t="shared" si="2145"/>
        <v>0.73975903614457827</v>
      </c>
      <c r="BA1828" s="51"/>
      <c r="BB1828" s="51"/>
      <c r="BC1828" s="51"/>
      <c r="BD1828" s="51"/>
      <c r="BE1828" s="51"/>
      <c r="BF1828" s="51"/>
      <c r="BG1828" s="51"/>
      <c r="BH1828" s="51"/>
      <c r="BI1828" s="65" cm="1">
        <f t="array" ref="BI1828">IFERROR(INDEX(AW1828:BH1828,1,MATCH(2,1/(AW1828:BH1828&lt;&gt;""))),"")</f>
        <v>0.73975903614457827</v>
      </c>
      <c r="BJ1828" s="68" cm="1">
        <f t="array" ref="BJ1828">IF(BM1828 = "", "",IFERROR(INDEX(AW1828:BH1828,1,MATCH(2,1/(AW1828:BH1828&lt;&gt;""),1)-1),""))</f>
        <v>0.73975903614457827</v>
      </c>
      <c r="BK1828" s="58" cm="1">
        <f t="array" ref="BK1828">IFERROR(INDEX(AW1828:BH1828,1,MATCH(2,1/(AW1828:BH1828&lt;&gt;""))),"")</f>
        <v>0.73975903614457827</v>
      </c>
      <c r="BL1828" s="58" cm="1">
        <f t="array" ref="BL1828">IFERROR(INDEX(AW1828:BH1828,1,MATCH(2,1/(AW1828:BH1828&lt;&gt;""),1)-1),"")</f>
        <v>0.73975903614457827</v>
      </c>
      <c r="BM1828" s="55" cm="1">
        <f t="array" ref="BM1828">IFERROR(
   INDEX($AW$1:$BH$1,
      _xlfn.AGGREGATE(14, 6, COLUMN($AW$1:$BH$1)/(AW1828:BH1828&lt;&gt;""), 2) - COLUMN($AW$1) + 1
   ),
"")</f>
        <v>46082</v>
      </c>
      <c r="BN1828" s="55" cm="1">
        <f t="array" ref="BN1828">IFERROR(INDEX($AW$1:$BH$1,1,MATCH(2,1/(AW1828:BH1828&lt;&gt;""))),"")</f>
        <v>46113</v>
      </c>
      <c r="BO1828" s="119" cm="1">
        <f t="array" aca="1" ref="BO1828" ca="1">_xlfn.LET(
    _xlpm.mes_num, MONTH(TODAY())-1,
    _xlpm.coluna_ajustada, IF(_xlpm.mes_num=0, 12, _xlpm.mes_num),
    _xlpm.realizado_mes_anterior, INDEX(T1828:AE1828, 1, _xlpm.coluna_ajustada),
    _xlpm.previsto_total, AC1828,
    _xlpm.realizado_mes_anterior / _xlpm.previsto_total
)</f>
        <v>0.80481927710843371</v>
      </c>
      <c r="BP1828" s="53">
        <f ca="1">IFERROR(_xlfn.XLOOKUP(F1828,Apuração!A:A,Apuração!D:D)/_xlfn.XLOOKUP(F1828,Apuração!A:A,Apuração!B:B),0)</f>
        <v>0.2</v>
      </c>
      <c r="BQ1828" s="53">
        <f ca="1">IF(BK1828&gt;=BO1828,0,_xlfn.XLOOKUP(F1828,Apuração!A:A,Apuração!B:B)*(BO1828 + (1/_xlfn.XLOOKUP(F1828,Apuração!A:A,Apuração!B:B)) - BK1828))</f>
        <v>1.6506024096385541</v>
      </c>
      <c r="BR1828" s="85">
        <f t="shared" ca="1" si="2146"/>
        <v>1239.602409638554</v>
      </c>
      <c r="BS1828" s="53">
        <f ca="1">IFERROR((_xlfn.XLOOKUP(F1828,Apuração!A:A,Apuração!C:C)+1)/_xlfn.XLOOKUP(F1828,Apuração!A:A,Apuração!B:B),0)</f>
        <v>0.4</v>
      </c>
    </row>
    <row r="1829" spans="1:71" ht="25.95" hidden="1" customHeight="1" x14ac:dyDescent="0.3">
      <c r="A1829" s="33" t="s">
        <v>175</v>
      </c>
      <c r="B1829" s="4" t="s">
        <v>184</v>
      </c>
      <c r="C1829" s="5" t="s">
        <v>214</v>
      </c>
      <c r="D1829" s="5" t="s">
        <v>213</v>
      </c>
      <c r="E1829" s="4" t="str" cm="1">
        <f t="array" ref="E1829">_xlfn.IFS(
F1829 = "A partir de Abril", "Aguardando Execução na Distribuidora",
A1829 = "CAPACITAÇÃO", "Em execução no Corporativo",
TRUE, "Em Execução na Distribuidora"
)</f>
        <v>Em execução no Corporativo</v>
      </c>
      <c r="F1829" s="4" t="str" cm="1">
        <f t="array" ref="F1829">_xlfn.IFS(
AG1829 &lt;&gt; "", "Jan-Dez/26",
AH1829 &lt;&gt; "", "Fev-Dez/26",
AI1829 &lt;&gt; "", "Mar-Dez/26", AJ1829 &lt;&gt; "", "Abr-Dez/26",
TRUE, "A partir de Junho"
)</f>
        <v>Mar-Dez/26</v>
      </c>
      <c r="G1829" s="4" t="s">
        <v>37</v>
      </c>
      <c r="H1829" s="7" t="s">
        <v>38</v>
      </c>
      <c r="I1829" s="8" t="s">
        <v>177</v>
      </c>
      <c r="J1829" s="8" t="str" cm="1">
        <f t="array" aca="1" ref="J1829" ca="1">_xlfn.LET(
  _xlpm.actual_value_month, INDEX(T1829:AE1829, MATCH(DATE(YEAR(TODAY()), MONTH(TODAY()), 1), $T$1:$AE$1, 0)),
  IF(_xlpm.actual_value_month &lt;&gt; "", _xlpm.actual_value_month &amp; " certificados mensais", "")
)</f>
        <v>756 certificados mensais</v>
      </c>
      <c r="K1829" s="8" t="str">
        <f t="shared" si="2140"/>
        <v>808 meta de certificados anuais</v>
      </c>
      <c r="L1829" s="9" t="s">
        <v>185</v>
      </c>
      <c r="M1829" s="13">
        <v>1</v>
      </c>
      <c r="N1829" s="5" t="s">
        <v>42</v>
      </c>
      <c r="O1829" s="5" t="s">
        <v>43</v>
      </c>
      <c r="P1829" s="10" t="s">
        <v>146</v>
      </c>
      <c r="Q1829" s="10" t="s">
        <v>44</v>
      </c>
      <c r="R1829" s="11" t="s">
        <v>179</v>
      </c>
      <c r="S1829" s="11" t="s">
        <v>67</v>
      </c>
      <c r="T1829" s="22"/>
      <c r="U1829" s="22"/>
      <c r="V1829" s="143">
        <v>688</v>
      </c>
      <c r="W1829" s="143">
        <v>710</v>
      </c>
      <c r="X1829" s="143">
        <v>733</v>
      </c>
      <c r="Y1829" s="143">
        <v>756</v>
      </c>
      <c r="Z1829" s="143">
        <v>769</v>
      </c>
      <c r="AA1829" s="143">
        <v>782</v>
      </c>
      <c r="AB1829" s="143">
        <v>795</v>
      </c>
      <c r="AC1829" s="143">
        <v>808</v>
      </c>
      <c r="AD1829" s="143">
        <v>808</v>
      </c>
      <c r="AE1829" s="22"/>
      <c r="AG1829" s="71"/>
      <c r="AH1829" s="71"/>
      <c r="AI1829" s="71">
        <v>706</v>
      </c>
      <c r="AJ1829" s="71">
        <v>706</v>
      </c>
      <c r="AK1829" s="71"/>
      <c r="AL1829" s="71"/>
      <c r="AM1829" s="71"/>
      <c r="AN1829" s="71"/>
      <c r="AO1829" s="71"/>
      <c r="AP1829" s="71"/>
      <c r="AQ1829" s="71"/>
      <c r="AR1829" s="71"/>
      <c r="AS1829" s="94" cm="1">
        <f t="array" ref="AS1829">IFERROR(INDEX(T1829:AE1829,1,MATCH(2,1/(T1829:AE1829&lt;&gt;""))),"")</f>
        <v>808</v>
      </c>
      <c r="AT1829" s="95" cm="1">
        <f t="array" ref="AT1829">IFERROR(INDEX(AJ1829:AR1829,1,MATCH(2,1/(AJ1829:AR1829&lt;&gt;""))),"")</f>
        <v>706</v>
      </c>
      <c r="AU1829" s="97">
        <f t="shared" si="2141"/>
        <v>706</v>
      </c>
      <c r="AW1829" s="51">
        <f t="shared" si="2142"/>
        <v>0</v>
      </c>
      <c r="AX1829" s="51">
        <f t="shared" si="2143"/>
        <v>0</v>
      </c>
      <c r="AY1829" s="51">
        <f t="shared" si="2144"/>
        <v>0.87376237623762376</v>
      </c>
      <c r="AZ1829" s="51">
        <f t="shared" si="2145"/>
        <v>0.87376237623762376</v>
      </c>
      <c r="BA1829" s="51"/>
      <c r="BB1829" s="51"/>
      <c r="BC1829" s="51"/>
      <c r="BD1829" s="51"/>
      <c r="BE1829" s="51"/>
      <c r="BF1829" s="51"/>
      <c r="BG1829" s="51"/>
      <c r="BH1829" s="51"/>
      <c r="BI1829" s="65" cm="1">
        <f t="array" ref="BI1829">IFERROR(INDEX(AW1829:BH1829,1,MATCH(2,1/(AW1829:BH1829&lt;&gt;""))),"")</f>
        <v>0.87376237623762376</v>
      </c>
      <c r="BJ1829" s="68" cm="1">
        <f t="array" ref="BJ1829">IF(BM1829 = "", "",IFERROR(INDEX(AW1829:BH1829,1,MATCH(2,1/(AW1829:BH1829&lt;&gt;""),1)-1),""))</f>
        <v>0.87376237623762376</v>
      </c>
      <c r="BK1829" s="58" cm="1">
        <f t="array" ref="BK1829">IFERROR(INDEX(AW1829:BH1829,1,MATCH(2,1/(AW1829:BH1829&lt;&gt;""))),"")</f>
        <v>0.87376237623762376</v>
      </c>
      <c r="BL1829" s="58" cm="1">
        <f t="array" ref="BL1829">IFERROR(INDEX(AW1829:BH1829,1,MATCH(2,1/(AW1829:BH1829&lt;&gt;""),1)-1),"")</f>
        <v>0.87376237623762376</v>
      </c>
      <c r="BM1829" s="55" cm="1">
        <f t="array" ref="BM1829">IFERROR(
   INDEX($AW$1:$BH$1,
      _xlfn.AGGREGATE(14, 6, COLUMN($AW$1:$BH$1)/(AW1829:BH1829&lt;&gt;""), 2) - COLUMN($AW$1) + 1
   ),
"")</f>
        <v>46082</v>
      </c>
      <c r="BN1829" s="55" cm="1">
        <f t="array" ref="BN1829">IFERROR(INDEX($AW$1:$BH$1,1,MATCH(2,1/(AW1829:BH1829&lt;&gt;""))),"")</f>
        <v>46113</v>
      </c>
      <c r="BO1829" s="119" cm="1">
        <f t="array" aca="1" ref="BO1829" ca="1">_xlfn.LET(
    _xlpm.mes_num, MONTH(TODAY())-1,
    _xlpm.coluna_ajustada, IF(_xlpm.mes_num=0, 12, _xlpm.mes_num),
    _xlpm.realizado_mes_anterior, INDEX(T1829:AE1829, 1, _xlpm.coluna_ajustada),
    _xlpm.previsto_total, AC1829,
    _xlpm.realizado_mes_anterior / _xlpm.previsto_total
)</f>
        <v>0.90717821782178221</v>
      </c>
      <c r="BP1829" s="53">
        <f ca="1">IFERROR(_xlfn.XLOOKUP(F1829,Apuração!A:A,Apuração!D:D)/_xlfn.XLOOKUP(F1829,Apuração!A:A,Apuração!B:B),0)</f>
        <v>0.2</v>
      </c>
      <c r="BQ1829" s="53">
        <f ca="1">IF(BK1829&gt;=BO1829,0,_xlfn.XLOOKUP(F1829,Apuração!A:A,Apuração!B:B)*(BO1829 + (1/_xlfn.XLOOKUP(F1829,Apuração!A:A,Apuração!B:B)) - BK1829))</f>
        <v>1.3341584158415853</v>
      </c>
      <c r="BR1829" s="85">
        <f t="shared" ca="1" si="2146"/>
        <v>1025.967821782179</v>
      </c>
      <c r="BS1829" s="53">
        <f ca="1">IFERROR((_xlfn.XLOOKUP(F1829,Apuração!A:A,Apuração!C:C)+1)/_xlfn.XLOOKUP(F1829,Apuração!A:A,Apuração!B:B),0)</f>
        <v>0.4</v>
      </c>
    </row>
    <row r="1830" spans="1:71" ht="25.95" hidden="1" customHeight="1" x14ac:dyDescent="0.3">
      <c r="A1830" s="44" t="s">
        <v>175</v>
      </c>
      <c r="B1830" s="4" t="s">
        <v>184</v>
      </c>
      <c r="C1830" s="5" t="s">
        <v>214</v>
      </c>
      <c r="D1830" s="5" t="s">
        <v>36</v>
      </c>
      <c r="E1830" s="4" t="str" cm="1">
        <f t="array" ref="E1830">_xlfn.IFS(
F1830 = "A partir de Abril", "Aguardando Execução na Distribuidora",
A1830 = "CAPACITAÇÃO", "Em execução no Corporativo",
TRUE, "Em Execução na Distribuidora"
)</f>
        <v>Em execução no Corporativo</v>
      </c>
      <c r="F1830" s="4" t="str" cm="1">
        <f t="array" ref="F1830">_xlfn.IFS(
AG1830 &lt;&gt; "", "Jan-Dez/26",
AH1830 &lt;&gt; "", "Fev-Dez/26",
AI1830 &lt;&gt; "", "Mar-Dez/26", AJ1830 &lt;&gt; "", "Abr-Dez/26",
TRUE, "A partir de Junho"
)</f>
        <v>Mar-Dez/26</v>
      </c>
      <c r="G1830" s="4" t="s">
        <v>37</v>
      </c>
      <c r="H1830" s="7" t="s">
        <v>38</v>
      </c>
      <c r="I1830" s="21" t="s">
        <v>180</v>
      </c>
      <c r="J1830" s="8" t="str" cm="1">
        <f t="array" aca="1" ref="J1830" ca="1">_xlfn.LET(
  _xlpm.actual_value_month, INDEX(T1830:AE1830, MATCH(DATE(YEAR(TODAY()), MONTH(TODAY()), 1), $T$1:$AE$1, 0)),
  IF(_xlpm.actual_value_month &lt;&gt; "", _xlpm.actual_value_month &amp; " ações mensais", "")
)</f>
        <v/>
      </c>
      <c r="K1830" s="8" t="str" cm="1">
        <f t="array" ref="K1830">_xlfn.LET(
    _xlpm.sum_month, SUM(T1830:AE1830),
    IF(_xlpm.sum_month = 0, "", _xlpm.sum_month &amp; " colaboradores treinados.")
)</f>
        <v/>
      </c>
      <c r="L1830" s="9" t="s">
        <v>220</v>
      </c>
      <c r="M1830" s="13">
        <v>1</v>
      </c>
      <c r="N1830" s="5" t="s">
        <v>51</v>
      </c>
      <c r="O1830" s="5" t="s">
        <v>52</v>
      </c>
      <c r="P1830" s="10" t="s">
        <v>146</v>
      </c>
      <c r="Q1830" s="10" t="s">
        <v>44</v>
      </c>
      <c r="R1830" s="11" t="s">
        <v>44</v>
      </c>
      <c r="S1830" s="11" t="s">
        <v>44</v>
      </c>
      <c r="T1830" s="22"/>
      <c r="U1830" s="22"/>
      <c r="V1830" s="22"/>
      <c r="W1830" s="22"/>
      <c r="X1830" s="22"/>
      <c r="Y1830" s="22"/>
      <c r="Z1830" s="22"/>
      <c r="AA1830" s="22"/>
      <c r="AB1830" s="22"/>
      <c r="AC1830" s="22"/>
      <c r="AD1830" s="22"/>
      <c r="AE1830" s="22"/>
      <c r="AG1830" s="71"/>
      <c r="AH1830" s="71"/>
      <c r="AI1830" s="71">
        <v>4001</v>
      </c>
      <c r="AJ1830" s="71">
        <v>4046</v>
      </c>
      <c r="AK1830" s="71"/>
      <c r="AL1830" s="71"/>
      <c r="AM1830" s="71"/>
      <c r="AN1830" s="71"/>
      <c r="AO1830" s="71"/>
      <c r="AP1830" s="71"/>
      <c r="AQ1830" s="71"/>
      <c r="AR1830" s="71"/>
      <c r="AS1830" s="94" t="str" cm="1">
        <f t="array" ref="AS1830">IFERROR(INDEX(T1830:AE1830,1,MATCH(2,1/(T1830:AE1830&lt;&gt;""))),"")</f>
        <v/>
      </c>
      <c r="AT1830" s="95" cm="1">
        <f t="array" ref="AT1830">IFERROR(INDEX(AJ1830:AR1830,1,MATCH(2,1/(AJ1830:AR1830&lt;&gt;""))),"")</f>
        <v>4046</v>
      </c>
      <c r="AU1830" s="97">
        <f>AT1830</f>
        <v>4046</v>
      </c>
      <c r="AW1830" s="83">
        <f>AG1830</f>
        <v>0</v>
      </c>
      <c r="AX1830" s="52">
        <f>AH1830</f>
        <v>0</v>
      </c>
      <c r="AY1830" s="52">
        <f>AI1830</f>
        <v>4001</v>
      </c>
      <c r="AZ1830" s="52">
        <f>AJ1830</f>
        <v>4046</v>
      </c>
      <c r="BA1830" s="52"/>
      <c r="BB1830" s="52"/>
      <c r="BC1830" s="52"/>
      <c r="BD1830" s="52"/>
      <c r="BE1830" s="52"/>
      <c r="BF1830" s="52"/>
      <c r="BG1830" s="52"/>
      <c r="BH1830" s="52"/>
      <c r="BI1830" s="68" cm="1">
        <f t="array" ref="BI1830">IFERROR(INDEX(AW1830:BH1830,1,MATCH(2,1/(AW1830:BH1830&lt;&gt;""))),"")</f>
        <v>4046</v>
      </c>
      <c r="BJ1830" s="68" cm="1">
        <f t="array" ref="BJ1830">IF(BM1830 = "", "",IFERROR(INDEX(AW1830:BH1830,1,MATCH(2,1/(AW1830:BH1830&lt;&gt;""),1)-1),""))</f>
        <v>4001</v>
      </c>
      <c r="BK1830" s="59">
        <f>SUM(AW1830:BH1830)</f>
        <v>8047</v>
      </c>
      <c r="BL1830" s="59" cm="1">
        <f t="array" ref="BL1830">IFERROR(SUM(AW1830:INDEX(AW1830:BH1830, MATCH(2, 1/(AW1830:BH1830&lt;&gt;""), 1) - 1))/_xlfn.XLOOKUP(F1830,Apuração!A:A,Apuração!B:B),0)</f>
        <v>400.1</v>
      </c>
      <c r="BM1830" s="55" cm="1">
        <f t="array" ref="BM1830">IFERROR(
   INDEX($AW$1:$BH$1,
      _xlfn.AGGREGATE(14, 6, COLUMN($AW$1:$BH$1)/(AW1830:BH1830&lt;&gt;""), 2) - COLUMN($AW$1) + 1
   ),
"")</f>
        <v>46082</v>
      </c>
      <c r="BN1830" s="55" cm="1">
        <f t="array" ref="BN1830">IFERROR(INDEX($AW$1:$BH$1,1,MATCH(2,1/(AW1830:BH1830&lt;&gt;""))),"")</f>
        <v>46113</v>
      </c>
      <c r="BO1830" s="53">
        <f ca="1">IFERROR(_xlfn.XLOOKUP(F1830,Apuração!A:A,Apuração!C:C)/_xlfn.XLOOKUP(F1830,Apuração!A:A,Apuração!B:B),0)</f>
        <v>0.3</v>
      </c>
      <c r="BP1830" s="53">
        <f ca="1">IFERROR(_xlfn.XLOOKUP(F1830,Apuração!A:A,Apuração!D:D)/_xlfn.XLOOKUP(F1830,Apuração!A:A,Apuração!B:B),0)</f>
        <v>0.2</v>
      </c>
      <c r="BQ1830" s="53">
        <f ca="1">IF(BK1830&gt;=BO1830,0,_xlfn.XLOOKUP(F1830,Apuração!A:A,Apuração!B:B)*(BO1830 + (1/_xlfn.XLOOKUP(F1830,Apuração!A:A,Apuração!B:B)) - BK1830))</f>
        <v>0</v>
      </c>
      <c r="BR1830" s="85">
        <f ca="1">IF(BQ1830=0,0,BQ1830*Z1830)</f>
        <v>0</v>
      </c>
      <c r="BS1830" s="53">
        <f ca="1">IFERROR((_xlfn.XLOOKUP(F1830,Apuração!A:A,Apuração!C:C)+1)/_xlfn.XLOOKUP(F1830,Apuração!A:A,Apuração!B:B),0)</f>
        <v>0.4</v>
      </c>
    </row>
    <row r="1831" spans="1:71" ht="25.95" hidden="1" customHeight="1" x14ac:dyDescent="0.3">
      <c r="A1831" s="44" t="s">
        <v>175</v>
      </c>
      <c r="B1831" s="4" t="s">
        <v>184</v>
      </c>
      <c r="C1831" s="5" t="s">
        <v>214</v>
      </c>
      <c r="D1831" s="5" t="s">
        <v>210</v>
      </c>
      <c r="E1831" s="4" t="str" cm="1">
        <f t="array" ref="E1831">_xlfn.IFS(
F1831 = "A partir de Abril", "Aguardando Execução na Distribuidora",
A1831 = "CAPACITAÇÃO", "Em execução no Corporativo",
TRUE, "Em Execução na Distribuidora"
)</f>
        <v>Em execução no Corporativo</v>
      </c>
      <c r="F1831" s="4" t="str" cm="1">
        <f t="array" ref="F1831">_xlfn.IFS(
AG1831 &lt;&gt; "", "Jan-Dez/26",
AH1831 &lt;&gt; "", "Fev-Dez/26",
AI1831 &lt;&gt; "", "Mar-Dez/26", AJ1831 &lt;&gt; "", "Abr-Dez/26",
TRUE, "A partir de Junho"
)</f>
        <v>Mar-Dez/26</v>
      </c>
      <c r="G1831" s="4" t="s">
        <v>37</v>
      </c>
      <c r="H1831" s="7" t="s">
        <v>38</v>
      </c>
      <c r="I1831" s="21" t="s">
        <v>180</v>
      </c>
      <c r="J1831" s="8" t="str" cm="1">
        <f t="array" aca="1" ref="J1831" ca="1">_xlfn.LET(
  _xlpm.actual_value_month, INDEX(T1831:AE1831, MATCH(DATE(YEAR(TODAY()), MONTH(TODAY()), 1), $T$1:$AE$1, 0)),
  IF(_xlpm.actual_value_month &lt;&gt; "", _xlpm.actual_value_month &amp; " ações mensais", "")
)</f>
        <v/>
      </c>
      <c r="K1831" s="8" t="str" cm="1">
        <f t="array" ref="K1831">_xlfn.LET(
    _xlpm.sum_month, SUM(T1831:AE1831),
    IF(_xlpm.sum_month = 0, "", _xlpm.sum_month &amp; " colaboradores treinados.")
)</f>
        <v/>
      </c>
      <c r="L1831" s="9" t="s">
        <v>220</v>
      </c>
      <c r="M1831" s="13">
        <v>1</v>
      </c>
      <c r="N1831" s="5" t="s">
        <v>51</v>
      </c>
      <c r="O1831" s="5" t="s">
        <v>52</v>
      </c>
      <c r="P1831" s="10" t="s">
        <v>146</v>
      </c>
      <c r="Q1831" s="10" t="s">
        <v>44</v>
      </c>
      <c r="R1831" s="11" t="s">
        <v>44</v>
      </c>
      <c r="S1831" s="11" t="s">
        <v>44</v>
      </c>
      <c r="T1831" s="22"/>
      <c r="U1831" s="22"/>
      <c r="V1831" s="22"/>
      <c r="W1831" s="22"/>
      <c r="X1831" s="22"/>
      <c r="Y1831" s="22"/>
      <c r="Z1831" s="22"/>
      <c r="AA1831" s="22"/>
      <c r="AB1831" s="22"/>
      <c r="AC1831" s="22"/>
      <c r="AD1831" s="22"/>
      <c r="AE1831" s="22"/>
      <c r="AG1831" s="71"/>
      <c r="AH1831" s="71"/>
      <c r="AI1831" s="71">
        <v>250</v>
      </c>
      <c r="AJ1831" s="71">
        <v>250</v>
      </c>
      <c r="AK1831" s="71"/>
      <c r="AL1831" s="71"/>
      <c r="AM1831" s="71"/>
      <c r="AN1831" s="71"/>
      <c r="AO1831" s="71"/>
      <c r="AP1831" s="71"/>
      <c r="AQ1831" s="71"/>
      <c r="AR1831" s="71"/>
      <c r="AS1831" s="94" t="str" cm="1">
        <f t="array" ref="AS1831">IFERROR(INDEX(T1831:AE1831,1,MATCH(2,1/(T1831:AE1831&lt;&gt;""))),"")</f>
        <v/>
      </c>
      <c r="AT1831" s="95" cm="1">
        <f t="array" ref="AT1831">IFERROR(INDEX(AJ1831:AR1831,1,MATCH(2,1/(AJ1831:AR1831&lt;&gt;""))),"")</f>
        <v>250</v>
      </c>
      <c r="AU1831" s="97">
        <f t="shared" ref="AU1831:AU1835" si="2147">AT1831</f>
        <v>250</v>
      </c>
      <c r="AW1831" s="83">
        <f t="shared" ref="AW1831:AW1835" si="2148">AG1831</f>
        <v>0</v>
      </c>
      <c r="AX1831" s="52">
        <f t="shared" ref="AX1831:AX1835" si="2149">AH1831</f>
        <v>0</v>
      </c>
      <c r="AY1831" s="52">
        <f t="shared" ref="AY1831:AY1835" si="2150">AI1831</f>
        <v>250</v>
      </c>
      <c r="AZ1831" s="52">
        <f t="shared" ref="AZ1831:AZ1835" si="2151">AJ1831</f>
        <v>250</v>
      </c>
      <c r="BA1831" s="52"/>
      <c r="BB1831" s="52"/>
      <c r="BC1831" s="52"/>
      <c r="BD1831" s="52"/>
      <c r="BE1831" s="52"/>
      <c r="BF1831" s="52"/>
      <c r="BG1831" s="52"/>
      <c r="BH1831" s="52"/>
      <c r="BI1831" s="68" cm="1">
        <f t="array" ref="BI1831">IFERROR(INDEX(AW1831:BH1831,1,MATCH(2,1/(AW1831:BH1831&lt;&gt;""))),"")</f>
        <v>250</v>
      </c>
      <c r="BJ1831" s="68" cm="1">
        <f t="array" ref="BJ1831">IF(BM1831 = "", "",IFERROR(INDEX(AW1831:BH1831,1,MATCH(2,1/(AW1831:BH1831&lt;&gt;""),1)-1),""))</f>
        <v>250</v>
      </c>
      <c r="BK1831" s="59">
        <f t="shared" ref="BK1831:BK1835" si="2152">SUM(AW1831:BH1831)</f>
        <v>500</v>
      </c>
      <c r="BL1831" s="59" cm="1">
        <f t="array" ref="BL1831">IFERROR(SUM(AW1831:INDEX(AW1831:BH1831, MATCH(2, 1/(AW1831:BH1831&lt;&gt;""), 1) - 1))/_xlfn.XLOOKUP(F1831,Apuração!A:A,Apuração!B:B),0)</f>
        <v>25</v>
      </c>
      <c r="BM1831" s="55" cm="1">
        <f t="array" ref="BM1831">IFERROR(
   INDEX($AW$1:$BH$1,
      _xlfn.AGGREGATE(14, 6, COLUMN($AW$1:$BH$1)/(AW1831:BH1831&lt;&gt;""), 2) - COLUMN($AW$1) + 1
   ),
"")</f>
        <v>46082</v>
      </c>
      <c r="BN1831" s="55" cm="1">
        <f t="array" ref="BN1831">IFERROR(INDEX($AW$1:$BH$1,1,MATCH(2,1/(AW1831:BH1831&lt;&gt;""))),"")</f>
        <v>46113</v>
      </c>
      <c r="BO1831" s="53">
        <f ca="1">IFERROR(_xlfn.XLOOKUP(F1831,Apuração!A:A,Apuração!C:C)/_xlfn.XLOOKUP(F1831,Apuração!A:A,Apuração!B:B),0)</f>
        <v>0.3</v>
      </c>
      <c r="BP1831" s="53">
        <f ca="1">IFERROR(_xlfn.XLOOKUP(F1831,Apuração!A:A,Apuração!D:D)/_xlfn.XLOOKUP(F1831,Apuração!A:A,Apuração!B:B),0)</f>
        <v>0.2</v>
      </c>
      <c r="BQ1831" s="53">
        <f ca="1">IF(BK1831&gt;=BO1831,0,_xlfn.XLOOKUP(F1831,Apuração!A:A,Apuração!B:B)*(BO1831 + (1/_xlfn.XLOOKUP(F1831,Apuração!A:A,Apuração!B:B)) - BK1831))</f>
        <v>0</v>
      </c>
      <c r="BR1831" s="85">
        <f t="shared" ref="BR1831:BR1835" ca="1" si="2153">IF(BQ1831=0,0,BQ1831*Z1831)</f>
        <v>0</v>
      </c>
      <c r="BS1831" s="53">
        <f ca="1">IFERROR((_xlfn.XLOOKUP(F1831,Apuração!A:A,Apuração!C:C)+1)/_xlfn.XLOOKUP(F1831,Apuração!A:A,Apuração!B:B),0)</f>
        <v>0.4</v>
      </c>
    </row>
    <row r="1832" spans="1:71" ht="25.95" hidden="1" customHeight="1" x14ac:dyDescent="0.3">
      <c r="A1832" s="44" t="s">
        <v>175</v>
      </c>
      <c r="B1832" s="4" t="s">
        <v>184</v>
      </c>
      <c r="C1832" s="5" t="s">
        <v>214</v>
      </c>
      <c r="D1832" s="5" t="s">
        <v>215</v>
      </c>
      <c r="E1832" s="4" t="str" cm="1">
        <f t="array" ref="E1832">_xlfn.IFS(
F1832 = "A partir de Abril", "Aguardando Execução na Distribuidora",
A1832 = "CAPACITAÇÃO", "Em execução no Corporativo",
TRUE, "Em Execução na Distribuidora"
)</f>
        <v>Em execução no Corporativo</v>
      </c>
      <c r="F1832" s="4" t="str" cm="1">
        <f t="array" ref="F1832">_xlfn.IFS(
AG1832 &lt;&gt; "", "Jan-Dez/26",
AH1832 &lt;&gt; "", "Fev-Dez/26",
AI1832 &lt;&gt; "", "Mar-Dez/26", AJ1832 &lt;&gt; "", "Abr-Dez/26",
TRUE, "A partir de Junho"
)</f>
        <v>Mar-Dez/26</v>
      </c>
      <c r="G1832" s="4" t="s">
        <v>37</v>
      </c>
      <c r="H1832" s="7" t="s">
        <v>38</v>
      </c>
      <c r="I1832" s="21" t="s">
        <v>180</v>
      </c>
      <c r="J1832" s="8" t="str" cm="1">
        <f t="array" aca="1" ref="J1832" ca="1">_xlfn.LET(
  _xlpm.actual_value_month, INDEX(T1832:AE1832, MATCH(DATE(YEAR(TODAY()), MONTH(TODAY()), 1), $T$1:$AE$1, 0)),
  IF(_xlpm.actual_value_month &lt;&gt; "", _xlpm.actual_value_month &amp; " ações mensais", "")
)</f>
        <v/>
      </c>
      <c r="K1832" s="8" t="str" cm="1">
        <f t="array" ref="K1832">_xlfn.LET(
    _xlpm.sum_month, SUM(T1832:AE1832),
    IF(_xlpm.sum_month = 0, "", _xlpm.sum_month &amp; " colaboradores treinados.")
)</f>
        <v/>
      </c>
      <c r="L1832" s="9" t="s">
        <v>220</v>
      </c>
      <c r="M1832" s="13">
        <v>1</v>
      </c>
      <c r="N1832" s="5" t="s">
        <v>51</v>
      </c>
      <c r="O1832" s="5" t="s">
        <v>52</v>
      </c>
      <c r="P1832" s="10" t="s">
        <v>146</v>
      </c>
      <c r="Q1832" s="10" t="s">
        <v>44</v>
      </c>
      <c r="R1832" s="11" t="s">
        <v>44</v>
      </c>
      <c r="S1832" s="11" t="s">
        <v>44</v>
      </c>
      <c r="T1832" s="22"/>
      <c r="U1832" s="22"/>
      <c r="V1832" s="22"/>
      <c r="W1832" s="22"/>
      <c r="X1832" s="22"/>
      <c r="Y1832" s="22"/>
      <c r="Z1832" s="22"/>
      <c r="AA1832" s="22"/>
      <c r="AB1832" s="22"/>
      <c r="AC1832" s="22"/>
      <c r="AD1832" s="22"/>
      <c r="AE1832" s="22"/>
      <c r="AG1832" s="71"/>
      <c r="AH1832" s="71"/>
      <c r="AI1832" s="71">
        <v>1149</v>
      </c>
      <c r="AJ1832" s="71">
        <v>1149</v>
      </c>
      <c r="AK1832" s="71"/>
      <c r="AL1832" s="71"/>
      <c r="AM1832" s="71"/>
      <c r="AN1832" s="71"/>
      <c r="AO1832" s="71"/>
      <c r="AP1832" s="71"/>
      <c r="AQ1832" s="71"/>
      <c r="AR1832" s="71"/>
      <c r="AS1832" s="94" t="str" cm="1">
        <f t="array" ref="AS1832">IFERROR(INDEX(T1832:AE1832,1,MATCH(2,1/(T1832:AE1832&lt;&gt;""))),"")</f>
        <v/>
      </c>
      <c r="AT1832" s="95" cm="1">
        <f t="array" ref="AT1832">IFERROR(INDEX(AJ1832:AR1832,1,MATCH(2,1/(AJ1832:AR1832&lt;&gt;""))),"")</f>
        <v>1149</v>
      </c>
      <c r="AU1832" s="97">
        <f t="shared" si="2147"/>
        <v>1149</v>
      </c>
      <c r="AW1832" s="83">
        <f t="shared" si="2148"/>
        <v>0</v>
      </c>
      <c r="AX1832" s="52">
        <f t="shared" si="2149"/>
        <v>0</v>
      </c>
      <c r="AY1832" s="52">
        <f t="shared" si="2150"/>
        <v>1149</v>
      </c>
      <c r="AZ1832" s="52">
        <f t="shared" si="2151"/>
        <v>1149</v>
      </c>
      <c r="BA1832" s="52"/>
      <c r="BB1832" s="52"/>
      <c r="BC1832" s="52"/>
      <c r="BD1832" s="52"/>
      <c r="BE1832" s="52"/>
      <c r="BF1832" s="52"/>
      <c r="BG1832" s="52"/>
      <c r="BH1832" s="52"/>
      <c r="BI1832" s="68" cm="1">
        <f t="array" ref="BI1832">IFERROR(INDEX(AW1832:BH1832,1,MATCH(2,1/(AW1832:BH1832&lt;&gt;""))),"")</f>
        <v>1149</v>
      </c>
      <c r="BJ1832" s="68" cm="1">
        <f t="array" ref="BJ1832">IF(BM1832 = "", "",IFERROR(INDEX(AW1832:BH1832,1,MATCH(2,1/(AW1832:BH1832&lt;&gt;""),1)-1),""))</f>
        <v>1149</v>
      </c>
      <c r="BK1832" s="59">
        <f t="shared" si="2152"/>
        <v>2298</v>
      </c>
      <c r="BL1832" s="59" cm="1">
        <f t="array" ref="BL1832">IFERROR(SUM(AW1832:INDEX(AW1832:BH1832, MATCH(2, 1/(AW1832:BH1832&lt;&gt;""), 1) - 1))/_xlfn.XLOOKUP(F1832,Apuração!A:A,Apuração!B:B),0)</f>
        <v>114.9</v>
      </c>
      <c r="BM1832" s="55" cm="1">
        <f t="array" ref="BM1832">IFERROR(
   INDEX($AW$1:$BH$1,
      _xlfn.AGGREGATE(14, 6, COLUMN($AW$1:$BH$1)/(AW1832:BH1832&lt;&gt;""), 2) - COLUMN($AW$1) + 1
   ),
"")</f>
        <v>46082</v>
      </c>
      <c r="BN1832" s="55" cm="1">
        <f t="array" ref="BN1832">IFERROR(INDEX($AW$1:$BH$1,1,MATCH(2,1/(AW1832:BH1832&lt;&gt;""))),"")</f>
        <v>46113</v>
      </c>
      <c r="BO1832" s="53">
        <f ca="1">IFERROR(_xlfn.XLOOKUP(F1832,Apuração!A:A,Apuração!C:C)/_xlfn.XLOOKUP(F1832,Apuração!A:A,Apuração!B:B),0)</f>
        <v>0.3</v>
      </c>
      <c r="BP1832" s="53">
        <f ca="1">IFERROR(_xlfn.XLOOKUP(F1832,Apuração!A:A,Apuração!D:D)/_xlfn.XLOOKUP(F1832,Apuração!A:A,Apuração!B:B),0)</f>
        <v>0.2</v>
      </c>
      <c r="BQ1832" s="53">
        <f ca="1">IF(BK1832&gt;=BO1832,0,_xlfn.XLOOKUP(F1832,Apuração!A:A,Apuração!B:B)*(BO1832 + (1/_xlfn.XLOOKUP(F1832,Apuração!A:A,Apuração!B:B)) - BK1832))</f>
        <v>0</v>
      </c>
      <c r="BR1832" s="85">
        <f t="shared" ca="1" si="2153"/>
        <v>0</v>
      </c>
      <c r="BS1832" s="53">
        <f ca="1">IFERROR((_xlfn.XLOOKUP(F1832,Apuração!A:A,Apuração!C:C)+1)/_xlfn.XLOOKUP(F1832,Apuração!A:A,Apuração!B:B),0)</f>
        <v>0.4</v>
      </c>
    </row>
    <row r="1833" spans="1:71" ht="25.95" hidden="1" customHeight="1" x14ac:dyDescent="0.3">
      <c r="A1833" s="44" t="s">
        <v>175</v>
      </c>
      <c r="B1833" s="4" t="s">
        <v>184</v>
      </c>
      <c r="C1833" s="5" t="s">
        <v>214</v>
      </c>
      <c r="D1833" s="5" t="s">
        <v>212</v>
      </c>
      <c r="E1833" s="4" t="str" cm="1">
        <f t="array" ref="E1833">_xlfn.IFS(
F1833 = "A partir de Abril", "Aguardando Execução na Distribuidora",
A1833 = "CAPACITAÇÃO", "Em execução no Corporativo",
TRUE, "Em Execução na Distribuidora"
)</f>
        <v>Em execução no Corporativo</v>
      </c>
      <c r="F1833" s="4" t="str" cm="1">
        <f t="array" ref="F1833">_xlfn.IFS(
AG1833 &lt;&gt; "", "Jan-Dez/26",
AH1833 &lt;&gt; "", "Fev-Dez/26",
AI1833 &lt;&gt; "", "Mar-Dez/26", AJ1833 &lt;&gt; "", "Abr-Dez/26",
TRUE, "A partir de Junho"
)</f>
        <v>Mar-Dez/26</v>
      </c>
      <c r="G1833" s="4" t="s">
        <v>37</v>
      </c>
      <c r="H1833" s="7" t="s">
        <v>38</v>
      </c>
      <c r="I1833" s="21" t="s">
        <v>180</v>
      </c>
      <c r="J1833" s="8" t="str" cm="1">
        <f t="array" aca="1" ref="J1833" ca="1">_xlfn.LET(
  _xlpm.actual_value_month, INDEX(T1833:AE1833, MATCH(DATE(YEAR(TODAY()), MONTH(TODAY()), 1), $T$1:$AE$1, 0)),
  IF(_xlpm.actual_value_month &lt;&gt; "", _xlpm.actual_value_month &amp; " ações mensais", "")
)</f>
        <v/>
      </c>
      <c r="K1833" s="8" t="str" cm="1">
        <f t="array" ref="K1833">_xlfn.LET(
    _xlpm.sum_month, SUM(T1833:AE1833),
    IF(_xlpm.sum_month = 0, "", _xlpm.sum_month &amp; " colaboradores treinados.")
)</f>
        <v/>
      </c>
      <c r="L1833" s="9" t="s">
        <v>220</v>
      </c>
      <c r="M1833" s="13">
        <v>1</v>
      </c>
      <c r="N1833" s="5" t="s">
        <v>51</v>
      </c>
      <c r="O1833" s="5" t="s">
        <v>52</v>
      </c>
      <c r="P1833" s="10" t="s">
        <v>146</v>
      </c>
      <c r="Q1833" s="10" t="s">
        <v>44</v>
      </c>
      <c r="R1833" s="11" t="s">
        <v>44</v>
      </c>
      <c r="S1833" s="11" t="s">
        <v>44</v>
      </c>
      <c r="T1833" s="22"/>
      <c r="U1833" s="22"/>
      <c r="V1833" s="22"/>
      <c r="W1833" s="22"/>
      <c r="X1833" s="22"/>
      <c r="Y1833" s="22"/>
      <c r="Z1833" s="22"/>
      <c r="AA1833" s="22"/>
      <c r="AB1833" s="22"/>
      <c r="AC1833" s="22"/>
      <c r="AD1833" s="22"/>
      <c r="AE1833" s="22"/>
      <c r="AG1833" s="71"/>
      <c r="AH1833" s="71"/>
      <c r="AI1833" s="71">
        <v>1327</v>
      </c>
      <c r="AJ1833" s="71">
        <v>1327</v>
      </c>
      <c r="AK1833" s="71"/>
      <c r="AL1833" s="71"/>
      <c r="AM1833" s="71"/>
      <c r="AN1833" s="71"/>
      <c r="AO1833" s="71"/>
      <c r="AP1833" s="71"/>
      <c r="AQ1833" s="71"/>
      <c r="AR1833" s="71"/>
      <c r="AS1833" s="94" t="str" cm="1">
        <f t="array" ref="AS1833">IFERROR(INDEX(T1833:AE1833,1,MATCH(2,1/(T1833:AE1833&lt;&gt;""))),"")</f>
        <v/>
      </c>
      <c r="AT1833" s="95" cm="1">
        <f t="array" ref="AT1833">IFERROR(INDEX(AJ1833:AR1833,1,MATCH(2,1/(AJ1833:AR1833&lt;&gt;""))),"")</f>
        <v>1327</v>
      </c>
      <c r="AU1833" s="97">
        <f t="shared" si="2147"/>
        <v>1327</v>
      </c>
      <c r="AW1833" s="83">
        <f t="shared" si="2148"/>
        <v>0</v>
      </c>
      <c r="AX1833" s="52">
        <f t="shared" si="2149"/>
        <v>0</v>
      </c>
      <c r="AY1833" s="52">
        <f t="shared" si="2150"/>
        <v>1327</v>
      </c>
      <c r="AZ1833" s="52">
        <f t="shared" si="2151"/>
        <v>1327</v>
      </c>
      <c r="BA1833" s="52"/>
      <c r="BB1833" s="52"/>
      <c r="BC1833" s="52"/>
      <c r="BD1833" s="52"/>
      <c r="BE1833" s="52"/>
      <c r="BF1833" s="52"/>
      <c r="BG1833" s="52"/>
      <c r="BH1833" s="52"/>
      <c r="BI1833" s="68" cm="1">
        <f t="array" ref="BI1833">IFERROR(INDEX(AW1833:BH1833,1,MATCH(2,1/(AW1833:BH1833&lt;&gt;""))),"")</f>
        <v>1327</v>
      </c>
      <c r="BJ1833" s="68" cm="1">
        <f t="array" ref="BJ1833">IF(BM1833 = "", "",IFERROR(INDEX(AW1833:BH1833,1,MATCH(2,1/(AW1833:BH1833&lt;&gt;""),1)-1),""))</f>
        <v>1327</v>
      </c>
      <c r="BK1833" s="59">
        <f t="shared" si="2152"/>
        <v>2654</v>
      </c>
      <c r="BL1833" s="59" cm="1">
        <f t="array" ref="BL1833">IFERROR(SUM(AW1833:INDEX(AW1833:BH1833, MATCH(2, 1/(AW1833:BH1833&lt;&gt;""), 1) - 1))/_xlfn.XLOOKUP(F1833,Apuração!A:A,Apuração!B:B),0)</f>
        <v>132.69999999999999</v>
      </c>
      <c r="BM1833" s="55" cm="1">
        <f t="array" ref="BM1833">IFERROR(
   INDEX($AW$1:$BH$1,
      _xlfn.AGGREGATE(14, 6, COLUMN($AW$1:$BH$1)/(AW1833:BH1833&lt;&gt;""), 2) - COLUMN($AW$1) + 1
   ),
"")</f>
        <v>46082</v>
      </c>
      <c r="BN1833" s="55" cm="1">
        <f t="array" ref="BN1833">IFERROR(INDEX($AW$1:$BH$1,1,MATCH(2,1/(AW1833:BH1833&lt;&gt;""))),"")</f>
        <v>46113</v>
      </c>
      <c r="BO1833" s="53">
        <f ca="1">IFERROR(_xlfn.XLOOKUP(F1833,Apuração!A:A,Apuração!C:C)/_xlfn.XLOOKUP(F1833,Apuração!A:A,Apuração!B:B),0)</f>
        <v>0.3</v>
      </c>
      <c r="BP1833" s="53">
        <f ca="1">IFERROR(_xlfn.XLOOKUP(F1833,Apuração!A:A,Apuração!D:D)/_xlfn.XLOOKUP(F1833,Apuração!A:A,Apuração!B:B),0)</f>
        <v>0.2</v>
      </c>
      <c r="BQ1833" s="53">
        <f ca="1">IF(BK1833&gt;=BO1833,0,_xlfn.XLOOKUP(F1833,Apuração!A:A,Apuração!B:B)*(BO1833 + (1/_xlfn.XLOOKUP(F1833,Apuração!A:A,Apuração!B:B)) - BK1833))</f>
        <v>0</v>
      </c>
      <c r="BR1833" s="85">
        <f t="shared" ca="1" si="2153"/>
        <v>0</v>
      </c>
      <c r="BS1833" s="53">
        <f ca="1">IFERROR((_xlfn.XLOOKUP(F1833,Apuração!A:A,Apuração!C:C)+1)/_xlfn.XLOOKUP(F1833,Apuração!A:A,Apuração!B:B),0)</f>
        <v>0.4</v>
      </c>
    </row>
    <row r="1834" spans="1:71" ht="25.95" hidden="1" customHeight="1" x14ac:dyDescent="0.3">
      <c r="A1834" s="44" t="s">
        <v>175</v>
      </c>
      <c r="B1834" s="4" t="s">
        <v>184</v>
      </c>
      <c r="C1834" s="5" t="s">
        <v>214</v>
      </c>
      <c r="D1834" s="5" t="s">
        <v>48</v>
      </c>
      <c r="E1834" s="4" t="str" cm="1">
        <f t="array" ref="E1834">_xlfn.IFS(
F1834 = "A partir de Abril", "Aguardando Execução na Distribuidora",
A1834 = "CAPACITAÇÃO", "Em execução no Corporativo",
TRUE, "Em Execução na Distribuidora"
)</f>
        <v>Em execução no Corporativo</v>
      </c>
      <c r="F1834" s="4" t="str" cm="1">
        <f t="array" ref="F1834">_xlfn.IFS(
AG1834 &lt;&gt; "", "Jan-Dez/26",
AH1834 &lt;&gt; "", "Fev-Dez/26",
AI1834 &lt;&gt; "", "Mar-Dez/26", AJ1834 &lt;&gt; "", "Abr-Dez/26",
TRUE, "A partir de Junho"
)</f>
        <v>Mar-Dez/26</v>
      </c>
      <c r="G1834" s="4" t="s">
        <v>37</v>
      </c>
      <c r="H1834" s="7" t="s">
        <v>38</v>
      </c>
      <c r="I1834" s="21" t="s">
        <v>180</v>
      </c>
      <c r="J1834" s="8" t="str" cm="1">
        <f t="array" aca="1" ref="J1834" ca="1">_xlfn.LET(
  _xlpm.actual_value_month, INDEX(T1834:AE1834, MATCH(DATE(YEAR(TODAY()), MONTH(TODAY()), 1), $T$1:$AE$1, 0)),
  IF(_xlpm.actual_value_month &lt;&gt; "", _xlpm.actual_value_month &amp; " ações mensais", "")
)</f>
        <v/>
      </c>
      <c r="K1834" s="8" t="str" cm="1">
        <f t="array" ref="K1834">_xlfn.LET(
    _xlpm.sum_month, SUM(T1834:AE1834),
    IF(_xlpm.sum_month = 0, "", _xlpm.sum_month &amp; " colaboradores treinados.")
)</f>
        <v/>
      </c>
      <c r="L1834" s="9" t="s">
        <v>220</v>
      </c>
      <c r="M1834" s="13">
        <v>1</v>
      </c>
      <c r="N1834" s="5" t="s">
        <v>51</v>
      </c>
      <c r="O1834" s="5" t="s">
        <v>52</v>
      </c>
      <c r="P1834" s="10" t="s">
        <v>146</v>
      </c>
      <c r="Q1834" s="10" t="s">
        <v>44</v>
      </c>
      <c r="R1834" s="11" t="s">
        <v>44</v>
      </c>
      <c r="S1834" s="11" t="s">
        <v>44</v>
      </c>
      <c r="T1834" s="22"/>
      <c r="U1834" s="22"/>
      <c r="V1834" s="22"/>
      <c r="W1834" s="22"/>
      <c r="X1834" s="22"/>
      <c r="Y1834" s="22"/>
      <c r="Z1834" s="22"/>
      <c r="AA1834" s="22"/>
      <c r="AB1834" s="22"/>
      <c r="AC1834" s="22"/>
      <c r="AD1834" s="22"/>
      <c r="AE1834" s="22"/>
      <c r="AG1834" s="71"/>
      <c r="AH1834" s="71"/>
      <c r="AI1834" s="71">
        <v>614</v>
      </c>
      <c r="AJ1834" s="71">
        <v>614</v>
      </c>
      <c r="AK1834" s="71"/>
      <c r="AL1834" s="71"/>
      <c r="AM1834" s="71"/>
      <c r="AN1834" s="71"/>
      <c r="AO1834" s="71"/>
      <c r="AP1834" s="71"/>
      <c r="AQ1834" s="71"/>
      <c r="AR1834" s="71"/>
      <c r="AS1834" s="94" t="str" cm="1">
        <f t="array" ref="AS1834">IFERROR(INDEX(T1834:AE1834,1,MATCH(2,1/(T1834:AE1834&lt;&gt;""))),"")</f>
        <v/>
      </c>
      <c r="AT1834" s="95" cm="1">
        <f t="array" ref="AT1834">IFERROR(INDEX(AJ1834:AR1834,1,MATCH(2,1/(AJ1834:AR1834&lt;&gt;""))),"")</f>
        <v>614</v>
      </c>
      <c r="AU1834" s="97">
        <f t="shared" si="2147"/>
        <v>614</v>
      </c>
      <c r="AW1834" s="83">
        <f t="shared" si="2148"/>
        <v>0</v>
      </c>
      <c r="AX1834" s="52">
        <f t="shared" si="2149"/>
        <v>0</v>
      </c>
      <c r="AY1834" s="52">
        <f t="shared" si="2150"/>
        <v>614</v>
      </c>
      <c r="AZ1834" s="52">
        <f t="shared" si="2151"/>
        <v>614</v>
      </c>
      <c r="BA1834" s="52"/>
      <c r="BB1834" s="52"/>
      <c r="BC1834" s="52"/>
      <c r="BD1834" s="52"/>
      <c r="BE1834" s="52"/>
      <c r="BF1834" s="52"/>
      <c r="BG1834" s="52"/>
      <c r="BH1834" s="52"/>
      <c r="BI1834" s="68" cm="1">
        <f t="array" ref="BI1834">IFERROR(INDEX(AW1834:BH1834,1,MATCH(2,1/(AW1834:BH1834&lt;&gt;""))),"")</f>
        <v>614</v>
      </c>
      <c r="BJ1834" s="68" cm="1">
        <f t="array" ref="BJ1834">IF(BM1834 = "", "",IFERROR(INDEX(AW1834:BH1834,1,MATCH(2,1/(AW1834:BH1834&lt;&gt;""),1)-1),""))</f>
        <v>614</v>
      </c>
      <c r="BK1834" s="59">
        <f t="shared" si="2152"/>
        <v>1228</v>
      </c>
      <c r="BL1834" s="59" cm="1">
        <f t="array" ref="BL1834">IFERROR(SUM(AW1834:INDEX(AW1834:BH1834, MATCH(2, 1/(AW1834:BH1834&lt;&gt;""), 1) - 1))/_xlfn.XLOOKUP(F1834,Apuração!A:A,Apuração!B:B),0)</f>
        <v>61.4</v>
      </c>
      <c r="BM1834" s="55" cm="1">
        <f t="array" ref="BM1834">IFERROR(
   INDEX($AW$1:$BH$1,
      _xlfn.AGGREGATE(14, 6, COLUMN($AW$1:$BH$1)/(AW1834:BH1834&lt;&gt;""), 2) - COLUMN($AW$1) + 1
   ),
"")</f>
        <v>46082</v>
      </c>
      <c r="BN1834" s="55" cm="1">
        <f t="array" ref="BN1834">IFERROR(INDEX($AW$1:$BH$1,1,MATCH(2,1/(AW1834:BH1834&lt;&gt;""))),"")</f>
        <v>46113</v>
      </c>
      <c r="BO1834" s="53">
        <f ca="1">IFERROR(_xlfn.XLOOKUP(F1834,Apuração!A:A,Apuração!C:C)/_xlfn.XLOOKUP(F1834,Apuração!A:A,Apuração!B:B),0)</f>
        <v>0.3</v>
      </c>
      <c r="BP1834" s="53">
        <f ca="1">IFERROR(_xlfn.XLOOKUP(F1834,Apuração!A:A,Apuração!D:D)/_xlfn.XLOOKUP(F1834,Apuração!A:A,Apuração!B:B),0)</f>
        <v>0.2</v>
      </c>
      <c r="BQ1834" s="53">
        <f ca="1">IF(BK1834&gt;=BO1834,0,_xlfn.XLOOKUP(F1834,Apuração!A:A,Apuração!B:B)*(BO1834 + (1/_xlfn.XLOOKUP(F1834,Apuração!A:A,Apuração!B:B)) - BK1834))</f>
        <v>0</v>
      </c>
      <c r="BR1834" s="85">
        <f t="shared" ca="1" si="2153"/>
        <v>0</v>
      </c>
      <c r="BS1834" s="53">
        <f ca="1">IFERROR((_xlfn.XLOOKUP(F1834,Apuração!A:A,Apuração!C:C)+1)/_xlfn.XLOOKUP(F1834,Apuração!A:A,Apuração!B:B),0)</f>
        <v>0.4</v>
      </c>
    </row>
    <row r="1835" spans="1:71" ht="25.95" hidden="1" customHeight="1" x14ac:dyDescent="0.3">
      <c r="A1835" s="44" t="s">
        <v>175</v>
      </c>
      <c r="B1835" s="4" t="s">
        <v>184</v>
      </c>
      <c r="C1835" s="5" t="s">
        <v>214</v>
      </c>
      <c r="D1835" s="5" t="s">
        <v>213</v>
      </c>
      <c r="E1835" s="4" t="str" cm="1">
        <f t="array" ref="E1835">_xlfn.IFS(
F1835 = "A partir de Abril", "Aguardando Execução na Distribuidora",
A1835 = "CAPACITAÇÃO", "Em execução no Corporativo",
TRUE, "Em Execução na Distribuidora"
)</f>
        <v>Em execução no Corporativo</v>
      </c>
      <c r="F1835" s="4" t="str" cm="1">
        <f t="array" ref="F1835">_xlfn.IFS(
AG1835 &lt;&gt; "", "Jan-Dez/26",
AH1835 &lt;&gt; "", "Fev-Dez/26",
AI1835 &lt;&gt; "", "Mar-Dez/26", AJ1835 &lt;&gt; "", "Abr-Dez/26",
TRUE, "A partir de Junho"
)</f>
        <v>Mar-Dez/26</v>
      </c>
      <c r="G1835" s="4" t="s">
        <v>37</v>
      </c>
      <c r="H1835" s="7" t="s">
        <v>38</v>
      </c>
      <c r="I1835" s="21" t="s">
        <v>180</v>
      </c>
      <c r="J1835" s="8" t="str" cm="1">
        <f t="array" aca="1" ref="J1835" ca="1">_xlfn.LET(
  _xlpm.actual_value_month, INDEX(T1835:AE1835, MATCH(DATE(YEAR(TODAY()), MONTH(TODAY()), 1), $T$1:$AE$1, 0)),
  IF(_xlpm.actual_value_month &lt;&gt; "", _xlpm.actual_value_month &amp; " ações mensais", "")
)</f>
        <v/>
      </c>
      <c r="K1835" s="8" t="str" cm="1">
        <f t="array" ref="K1835">_xlfn.LET(
    _xlpm.sum_month, SUM(T1835:AE1835),
    IF(_xlpm.sum_month = 0, "", _xlpm.sum_month &amp; " colaboradores treinados.")
)</f>
        <v/>
      </c>
      <c r="L1835" s="9" t="s">
        <v>220</v>
      </c>
      <c r="M1835" s="13">
        <v>1</v>
      </c>
      <c r="N1835" s="5" t="s">
        <v>51</v>
      </c>
      <c r="O1835" s="5" t="s">
        <v>52</v>
      </c>
      <c r="P1835" s="10" t="s">
        <v>146</v>
      </c>
      <c r="Q1835" s="10" t="s">
        <v>44</v>
      </c>
      <c r="R1835" s="11" t="s">
        <v>44</v>
      </c>
      <c r="S1835" s="11" t="s">
        <v>44</v>
      </c>
      <c r="T1835" s="22"/>
      <c r="U1835" s="22"/>
      <c r="V1835" s="22"/>
      <c r="W1835" s="22"/>
      <c r="X1835" s="22"/>
      <c r="Y1835" s="22"/>
      <c r="Z1835" s="22"/>
      <c r="AA1835" s="22"/>
      <c r="AB1835" s="22"/>
      <c r="AC1835" s="22"/>
      <c r="AD1835" s="22"/>
      <c r="AE1835" s="22"/>
      <c r="AG1835" s="71"/>
      <c r="AH1835" s="71"/>
      <c r="AI1835" s="71">
        <v>706</v>
      </c>
      <c r="AJ1835" s="71">
        <v>706</v>
      </c>
      <c r="AK1835" s="71"/>
      <c r="AL1835" s="71"/>
      <c r="AM1835" s="71"/>
      <c r="AN1835" s="71"/>
      <c r="AO1835" s="71"/>
      <c r="AP1835" s="71"/>
      <c r="AQ1835" s="71"/>
      <c r="AR1835" s="71"/>
      <c r="AS1835" s="94" t="str" cm="1">
        <f t="array" ref="AS1835">IFERROR(INDEX(T1835:AE1835,1,MATCH(2,1/(T1835:AE1835&lt;&gt;""))),"")</f>
        <v/>
      </c>
      <c r="AT1835" s="95" cm="1">
        <f t="array" ref="AT1835">IFERROR(INDEX(AJ1835:AR1835,1,MATCH(2,1/(AJ1835:AR1835&lt;&gt;""))),"")</f>
        <v>706</v>
      </c>
      <c r="AU1835" s="97">
        <f t="shared" si="2147"/>
        <v>706</v>
      </c>
      <c r="AW1835" s="83">
        <f t="shared" si="2148"/>
        <v>0</v>
      </c>
      <c r="AX1835" s="52">
        <f t="shared" si="2149"/>
        <v>0</v>
      </c>
      <c r="AY1835" s="52">
        <f t="shared" si="2150"/>
        <v>706</v>
      </c>
      <c r="AZ1835" s="52">
        <f t="shared" si="2151"/>
        <v>706</v>
      </c>
      <c r="BA1835" s="52"/>
      <c r="BB1835" s="52"/>
      <c r="BC1835" s="52"/>
      <c r="BD1835" s="52"/>
      <c r="BE1835" s="52"/>
      <c r="BF1835" s="52"/>
      <c r="BG1835" s="52"/>
      <c r="BH1835" s="52"/>
      <c r="BI1835" s="68" cm="1">
        <f t="array" ref="BI1835">IFERROR(INDEX(AW1835:BH1835,1,MATCH(2,1/(AW1835:BH1835&lt;&gt;""))),"")</f>
        <v>706</v>
      </c>
      <c r="BJ1835" s="68" cm="1">
        <f t="array" ref="BJ1835">IF(BM1835 = "", "",IFERROR(INDEX(AW1835:BH1835,1,MATCH(2,1/(AW1835:BH1835&lt;&gt;""),1)-1),""))</f>
        <v>706</v>
      </c>
      <c r="BK1835" s="59">
        <f t="shared" si="2152"/>
        <v>1412</v>
      </c>
      <c r="BL1835" s="59" cm="1">
        <f t="array" ref="BL1835">IFERROR(SUM(AW1835:INDEX(AW1835:BH1835, MATCH(2, 1/(AW1835:BH1835&lt;&gt;""), 1) - 1))/_xlfn.XLOOKUP(F1835,Apuração!A:A,Apuração!B:B),0)</f>
        <v>70.599999999999994</v>
      </c>
      <c r="BM1835" s="55" cm="1">
        <f t="array" ref="BM1835">IFERROR(
   INDEX($AW$1:$BH$1,
      _xlfn.AGGREGATE(14, 6, COLUMN($AW$1:$BH$1)/(AW1835:BH1835&lt;&gt;""), 2) - COLUMN($AW$1) + 1
   ),
"")</f>
        <v>46082</v>
      </c>
      <c r="BN1835" s="55" cm="1">
        <f t="array" ref="BN1835">IFERROR(INDEX($AW$1:$BH$1,1,MATCH(2,1/(AW1835:BH1835&lt;&gt;""))),"")</f>
        <v>46113</v>
      </c>
      <c r="BO1835" s="53">
        <f ca="1">IFERROR(_xlfn.XLOOKUP(F1835,Apuração!A:A,Apuração!C:C)/_xlfn.XLOOKUP(F1835,Apuração!A:A,Apuração!B:B),0)</f>
        <v>0.3</v>
      </c>
      <c r="BP1835" s="53">
        <f ca="1">IFERROR(_xlfn.XLOOKUP(F1835,Apuração!A:A,Apuração!D:D)/_xlfn.XLOOKUP(F1835,Apuração!A:A,Apuração!B:B),0)</f>
        <v>0.2</v>
      </c>
      <c r="BQ1835" s="53">
        <f ca="1">IF(BK1835&gt;=BO1835,0,_xlfn.XLOOKUP(F1835,Apuração!A:A,Apuração!B:B)*(BO1835 + (1/_xlfn.XLOOKUP(F1835,Apuração!A:A,Apuração!B:B)) - BK1835))</f>
        <v>0</v>
      </c>
      <c r="BR1835" s="85">
        <f t="shared" ca="1" si="2153"/>
        <v>0</v>
      </c>
      <c r="BS1835" s="53">
        <f ca="1">IFERROR((_xlfn.XLOOKUP(F1835,Apuração!A:A,Apuração!C:C)+1)/_xlfn.XLOOKUP(F1835,Apuração!A:A,Apuração!B:B),0)</f>
        <v>0.4</v>
      </c>
    </row>
    <row r="1836" spans="1:71" ht="25.95" hidden="1" customHeight="1" x14ac:dyDescent="0.3">
      <c r="A1836" s="44" t="s">
        <v>175</v>
      </c>
      <c r="B1836" s="4" t="s">
        <v>184</v>
      </c>
      <c r="C1836" s="5" t="s">
        <v>214</v>
      </c>
      <c r="D1836" s="5" t="s">
        <v>36</v>
      </c>
      <c r="E1836" s="4" t="str" cm="1">
        <f t="array" ref="E1836">_xlfn.IFS(
F1836 = "A partir de Abril", "Aguardando Execução na Distribuidora",
A1836 = "CAPACITAÇÃO", "Em execução no Corporativo",
TRUE, "Em Execução na Distribuidora"
)</f>
        <v>Em execução no Corporativo</v>
      </c>
      <c r="F1836" s="4" t="str" cm="1">
        <f t="array" ref="F1836">_xlfn.IFS(
AG1836 &lt;&gt; "", "Jan-Dez/26",
AH1836 &lt;&gt; "", "Fev-Dez/26",
AI1836 &lt;&gt; "", "Mar-Dez/26", AJ1836 &lt;&gt; "", "Abr-Dez/26",
TRUE, "A partir de Junho"
)</f>
        <v>Mar-Dez/26</v>
      </c>
      <c r="G1836" s="4" t="s">
        <v>37</v>
      </c>
      <c r="H1836" s="7" t="s">
        <v>38</v>
      </c>
      <c r="I1836" s="21" t="s">
        <v>182</v>
      </c>
      <c r="J1836" s="8" t="str" cm="1">
        <f t="array" aca="1" ref="J1836" ca="1">_xlfn.LET(
  _xlpm.actual_value_month, INDEX(T1836:AE1836, MATCH(DATE(YEAR(TODAY()), MONTH(TODAY()), 1), $T$1:$AE$1, 0)),
  IF(_xlpm.actual_value_month &lt;&gt; "", _xlpm.actual_value_month &amp; " ações mensais", "")
)</f>
        <v/>
      </c>
      <c r="K1836" s="8" t="str" cm="1">
        <f t="array" ref="K1836">_xlfn.LET(
    _xlpm.sum_month, SUM(T1836:AE1836),
    IF(_xlpm.sum_month = 0, "", _xlpm.sum_month &amp; " taxa de aprovados")
)</f>
        <v>8047 taxa de aprovados</v>
      </c>
      <c r="L1836" s="4" t="s">
        <v>186</v>
      </c>
      <c r="M1836" s="13">
        <v>1</v>
      </c>
      <c r="N1836" s="5" t="s">
        <v>51</v>
      </c>
      <c r="O1836" s="5" t="s">
        <v>43</v>
      </c>
      <c r="P1836" s="10" t="s">
        <v>44</v>
      </c>
      <c r="Q1836" s="10" t="s">
        <v>44</v>
      </c>
      <c r="R1836" s="11" t="s">
        <v>44</v>
      </c>
      <c r="S1836" s="11" t="s">
        <v>44</v>
      </c>
      <c r="T1836" s="22"/>
      <c r="U1836" s="22"/>
      <c r="V1836" s="22">
        <v>4001</v>
      </c>
      <c r="W1836" s="22">
        <v>4046</v>
      </c>
      <c r="X1836" s="22"/>
      <c r="Y1836" s="22"/>
      <c r="Z1836" s="22"/>
      <c r="AA1836" s="22"/>
      <c r="AB1836" s="22"/>
      <c r="AC1836" s="22"/>
      <c r="AD1836" s="22"/>
      <c r="AE1836" s="22"/>
      <c r="AG1836" s="71"/>
      <c r="AH1836" s="71"/>
      <c r="AI1836" s="71">
        <v>4001</v>
      </c>
      <c r="AJ1836" s="71">
        <v>4046</v>
      </c>
      <c r="AK1836" s="71"/>
      <c r="AL1836" s="71"/>
      <c r="AM1836" s="71"/>
      <c r="AN1836" s="71"/>
      <c r="AO1836" s="71"/>
      <c r="AP1836" s="71"/>
      <c r="AQ1836" s="71"/>
      <c r="AR1836" s="71"/>
      <c r="AS1836" s="94" cm="1">
        <f t="array" ref="AS1836">IFERROR(INDEX(T1836:AE1836,1,MATCH(2,1/(T1836:AE1836&lt;&gt;""))),"")</f>
        <v>4046</v>
      </c>
      <c r="AT1836" s="95" cm="1">
        <f t="array" ref="AT1836">IFERROR(INDEX(AJ1836:AR1836,1,MATCH(2,1/(AJ1836:AR1836&lt;&gt;""))),"")</f>
        <v>4046</v>
      </c>
      <c r="AU1836" s="97">
        <f>AT1836</f>
        <v>4046</v>
      </c>
      <c r="AW1836" s="52">
        <f>IFERROR(IF(T1836="",0,T1836/AG1836),0)</f>
        <v>0</v>
      </c>
      <c r="AX1836" s="52">
        <f>IFERROR(IF(U1836="",0,U1836/AH1836),0)</f>
        <v>0</v>
      </c>
      <c r="AY1836" s="118">
        <f>IFERROR(IF(V1836="",0,V1836/AI1836),0)</f>
        <v>1</v>
      </c>
      <c r="AZ1836" s="118">
        <f>IFERROR(IF(W1836="",0,W1836/AJ1836),0)</f>
        <v>1</v>
      </c>
      <c r="BA1836" s="52"/>
      <c r="BB1836" s="52"/>
      <c r="BC1836" s="52"/>
      <c r="BD1836" s="52"/>
      <c r="BE1836" s="52"/>
      <c r="BF1836" s="52"/>
      <c r="BG1836" s="52"/>
      <c r="BH1836" s="52"/>
      <c r="BI1836" s="65" cm="1">
        <f t="array" ref="BI1836">IFERROR(INDEX(AW1836:BH1836,1,MATCH(2,1/(AW1836:BH1836&lt;&gt;""))),"")</f>
        <v>1</v>
      </c>
      <c r="BJ1836" s="68" cm="1">
        <f t="array" ref="BJ1836">IF(BM1836 = "", "",IFERROR(INDEX(AW1836:BH1836,1,MATCH(2,1/(AW1836:BH1836&lt;&gt;""),1)-1),""))</f>
        <v>1</v>
      </c>
      <c r="BK1836" s="58" cm="1">
        <f t="array" ref="BK1836">IFERROR(INDEX(AW1836:BH1836,1,MATCH(2,1/(AW1836:BH1836&lt;&gt;""))),"")</f>
        <v>1</v>
      </c>
      <c r="BL1836" s="58" cm="1">
        <f t="array" ref="BL1836">IFERROR(INDEX(AW1836:BH1836,1,MATCH(2,1/(AW1836:BH1836&lt;&gt;""),1)-1),"")</f>
        <v>1</v>
      </c>
      <c r="BM1836" s="55" cm="1">
        <f t="array" ref="BM1836">IFERROR(
   INDEX($AW$1:$BH$1,
      _xlfn.AGGREGATE(14, 6, COLUMN($AW$1:$BH$1)/(AW1836:BH1836&lt;&gt;""), 2) - COLUMN($AW$1) + 1
   ),
"")</f>
        <v>46082</v>
      </c>
      <c r="BN1836" s="55" cm="1">
        <f t="array" ref="BN1836">IFERROR(INDEX($AW$1:$BH$1,1,MATCH(2,1/(AW1836:BH1836&lt;&gt;""))),"")</f>
        <v>46113</v>
      </c>
      <c r="BO1836" s="53">
        <f ca="1">IFERROR(_xlfn.XLOOKUP(F1836,Apuração!A:A,Apuração!C:C)/_xlfn.XLOOKUP(F1836,Apuração!A:A,Apuração!B:B),0)</f>
        <v>0.3</v>
      </c>
      <c r="BP1836" s="53">
        <f ca="1">IFERROR(_xlfn.XLOOKUP(F1836,Apuração!A:A,Apuração!D:D)/_xlfn.XLOOKUP(F1836,Apuração!A:A,Apuração!B:B),0)</f>
        <v>0.2</v>
      </c>
      <c r="BQ1836" s="53">
        <f ca="1">IF(BK1836&gt;=BO1836,0,_xlfn.XLOOKUP(F1836,Apuração!A:A,Apuração!B:B)*(BO1836 + (1/_xlfn.XLOOKUP(F1836,Apuração!A:A,Apuração!B:B)) - BK1836))</f>
        <v>0</v>
      </c>
      <c r="BR1836" s="85">
        <f ca="1">IF(BQ1836=0,0,BQ1836*Z1836)</f>
        <v>0</v>
      </c>
      <c r="BS1836" s="53">
        <f ca="1">IFERROR((_xlfn.XLOOKUP(F1836,Apuração!A:A,Apuração!C:C)+1)/_xlfn.XLOOKUP(F1836,Apuração!A:A,Apuração!B:B),0)</f>
        <v>0.4</v>
      </c>
    </row>
    <row r="1837" spans="1:71" ht="25.95" hidden="1" customHeight="1" x14ac:dyDescent="0.3">
      <c r="A1837" s="44" t="s">
        <v>175</v>
      </c>
      <c r="B1837" s="4" t="s">
        <v>184</v>
      </c>
      <c r="C1837" s="5" t="s">
        <v>214</v>
      </c>
      <c r="D1837" s="5" t="s">
        <v>210</v>
      </c>
      <c r="E1837" s="4" t="str" cm="1">
        <f t="array" ref="E1837">_xlfn.IFS(
F1837 = "A partir de Abril", "Aguardando Execução na Distribuidora",
A1837 = "CAPACITAÇÃO", "Em execução no Corporativo",
TRUE, "Em Execução na Distribuidora"
)</f>
        <v>Em execução no Corporativo</v>
      </c>
      <c r="F1837" s="4" t="str" cm="1">
        <f t="array" ref="F1837">_xlfn.IFS(
AG1837 &lt;&gt; "", "Jan-Dez/26",
AH1837 &lt;&gt; "", "Fev-Dez/26",
AI1837 &lt;&gt; "", "Mar-Dez/26", AJ1837 &lt;&gt; "", "Abr-Dez/26",
TRUE, "A partir de Junho"
)</f>
        <v>Mar-Dez/26</v>
      </c>
      <c r="G1837" s="4" t="s">
        <v>37</v>
      </c>
      <c r="H1837" s="7" t="s">
        <v>38</v>
      </c>
      <c r="I1837" s="21" t="s">
        <v>182</v>
      </c>
      <c r="J1837" s="8" t="str" cm="1">
        <f t="array" aca="1" ref="J1837" ca="1">_xlfn.LET(
  _xlpm.actual_value_month, INDEX(T1837:AE1837, MATCH(DATE(YEAR(TODAY()), MONTH(TODAY()), 1), $T$1:$AE$1, 0)),
  IF(_xlpm.actual_value_month &lt;&gt; "", _xlpm.actual_value_month &amp; " ações mensais", "")
)</f>
        <v/>
      </c>
      <c r="K1837" s="8" t="str" cm="1">
        <f t="array" ref="K1837">_xlfn.LET(
    _xlpm.sum_month, SUM(T1837:AE1837),
    IF(_xlpm.sum_month = 0, "", _xlpm.sum_month &amp; " taxa de aprovados")
)</f>
        <v>500 taxa de aprovados</v>
      </c>
      <c r="L1837" s="4" t="s">
        <v>186</v>
      </c>
      <c r="M1837" s="13">
        <v>1</v>
      </c>
      <c r="N1837" s="5" t="s">
        <v>51</v>
      </c>
      <c r="O1837" s="5" t="s">
        <v>43</v>
      </c>
      <c r="P1837" s="10" t="s">
        <v>44</v>
      </c>
      <c r="Q1837" s="10" t="s">
        <v>44</v>
      </c>
      <c r="R1837" s="11" t="s">
        <v>44</v>
      </c>
      <c r="S1837" s="11" t="s">
        <v>44</v>
      </c>
      <c r="T1837" s="22"/>
      <c r="U1837" s="22"/>
      <c r="V1837" s="22">
        <v>250</v>
      </c>
      <c r="W1837" s="22">
        <v>250</v>
      </c>
      <c r="X1837" s="22"/>
      <c r="Y1837" s="22"/>
      <c r="Z1837" s="22"/>
      <c r="AA1837" s="22"/>
      <c r="AB1837" s="22"/>
      <c r="AC1837" s="22"/>
      <c r="AD1837" s="22"/>
      <c r="AE1837" s="22"/>
      <c r="AG1837" s="71"/>
      <c r="AH1837" s="71"/>
      <c r="AI1837" s="71">
        <v>250</v>
      </c>
      <c r="AJ1837" s="71">
        <v>250</v>
      </c>
      <c r="AK1837" s="71"/>
      <c r="AL1837" s="71"/>
      <c r="AM1837" s="71"/>
      <c r="AN1837" s="71"/>
      <c r="AO1837" s="71"/>
      <c r="AP1837" s="71"/>
      <c r="AQ1837" s="71"/>
      <c r="AR1837" s="71"/>
      <c r="AS1837" s="94" cm="1">
        <f t="array" ref="AS1837">IFERROR(INDEX(T1837:AE1837,1,MATCH(2,1/(T1837:AE1837&lt;&gt;""))),"")</f>
        <v>250</v>
      </c>
      <c r="AT1837" s="95" cm="1">
        <f t="array" ref="AT1837">IFERROR(INDEX(AJ1837:AR1837,1,MATCH(2,1/(AJ1837:AR1837&lt;&gt;""))),"")</f>
        <v>250</v>
      </c>
      <c r="AU1837" s="97">
        <f t="shared" ref="AU1837:AU1841" si="2154">AT1837</f>
        <v>250</v>
      </c>
      <c r="AW1837" s="52">
        <f t="shared" ref="AW1837:AW1841" si="2155">IFERROR(IF(T1837="",0,T1837/AG1837),0)</f>
        <v>0</v>
      </c>
      <c r="AX1837" s="52">
        <f t="shared" ref="AX1837:AX1841" si="2156">IFERROR(IF(U1837="",0,U1837/AH1837),0)</f>
        <v>0</v>
      </c>
      <c r="AY1837" s="118">
        <f t="shared" ref="AY1837:AY1841" si="2157">IFERROR(IF(V1837="",0,V1837/AI1837),0)</f>
        <v>1</v>
      </c>
      <c r="AZ1837" s="118">
        <f t="shared" ref="AZ1837:AZ1841" si="2158">IFERROR(IF(W1837="",0,W1837/AJ1837),0)</f>
        <v>1</v>
      </c>
      <c r="BA1837" s="52"/>
      <c r="BB1837" s="52"/>
      <c r="BC1837" s="52"/>
      <c r="BD1837" s="52"/>
      <c r="BE1837" s="52"/>
      <c r="BF1837" s="52"/>
      <c r="BG1837" s="52"/>
      <c r="BH1837" s="52"/>
      <c r="BI1837" s="65" cm="1">
        <f t="array" ref="BI1837">IFERROR(INDEX(AW1837:BH1837,1,MATCH(2,1/(AW1837:BH1837&lt;&gt;""))),"")</f>
        <v>1</v>
      </c>
      <c r="BJ1837" s="68" cm="1">
        <f t="array" ref="BJ1837">IF(BM1837 = "", "",IFERROR(INDEX(AW1837:BH1837,1,MATCH(2,1/(AW1837:BH1837&lt;&gt;""),1)-1),""))</f>
        <v>1</v>
      </c>
      <c r="BK1837" s="58" cm="1">
        <f t="array" ref="BK1837">IFERROR(INDEX(AW1837:BH1837,1,MATCH(2,1/(AW1837:BH1837&lt;&gt;""))),"")</f>
        <v>1</v>
      </c>
      <c r="BL1837" s="58" cm="1">
        <f t="array" ref="BL1837">IFERROR(INDEX(AW1837:BH1837,1,MATCH(2,1/(AW1837:BH1837&lt;&gt;""),1)-1),"")</f>
        <v>1</v>
      </c>
      <c r="BM1837" s="55" cm="1">
        <f t="array" ref="BM1837">IFERROR(
   INDEX($AW$1:$BH$1,
      _xlfn.AGGREGATE(14, 6, COLUMN($AW$1:$BH$1)/(AW1837:BH1837&lt;&gt;""), 2) - COLUMN($AW$1) + 1
   ),
"")</f>
        <v>46082</v>
      </c>
      <c r="BN1837" s="55" cm="1">
        <f t="array" ref="BN1837">IFERROR(INDEX($AW$1:$BH$1,1,MATCH(2,1/(AW1837:BH1837&lt;&gt;""))),"")</f>
        <v>46113</v>
      </c>
      <c r="BO1837" s="53">
        <f ca="1">IFERROR(_xlfn.XLOOKUP(F1837,Apuração!A:A,Apuração!C:C)/_xlfn.XLOOKUP(F1837,Apuração!A:A,Apuração!B:B),0)</f>
        <v>0.3</v>
      </c>
      <c r="BP1837" s="53">
        <f ca="1">IFERROR(_xlfn.XLOOKUP(F1837,Apuração!A:A,Apuração!D:D)/_xlfn.XLOOKUP(F1837,Apuração!A:A,Apuração!B:B),0)</f>
        <v>0.2</v>
      </c>
      <c r="BQ1837" s="53">
        <f ca="1">IF(BK1837&gt;=BO1837,0,_xlfn.XLOOKUP(F1837,Apuração!A:A,Apuração!B:B)*(BO1837 + (1/_xlfn.XLOOKUP(F1837,Apuração!A:A,Apuração!B:B)) - BK1837))</f>
        <v>0</v>
      </c>
      <c r="BR1837" s="85">
        <f t="shared" ref="BR1837:BR1841" ca="1" si="2159">IF(BQ1837=0,0,BQ1837*Z1837)</f>
        <v>0</v>
      </c>
      <c r="BS1837" s="53">
        <f ca="1">IFERROR((_xlfn.XLOOKUP(F1837,Apuração!A:A,Apuração!C:C)+1)/_xlfn.XLOOKUP(F1837,Apuração!A:A,Apuração!B:B),0)</f>
        <v>0.4</v>
      </c>
    </row>
    <row r="1838" spans="1:71" ht="25.95" hidden="1" customHeight="1" x14ac:dyDescent="0.3">
      <c r="A1838" s="44" t="s">
        <v>175</v>
      </c>
      <c r="B1838" s="4" t="s">
        <v>184</v>
      </c>
      <c r="C1838" s="5" t="s">
        <v>214</v>
      </c>
      <c r="D1838" s="5" t="s">
        <v>215</v>
      </c>
      <c r="E1838" s="4" t="str" cm="1">
        <f t="array" ref="E1838">_xlfn.IFS(
F1838 = "A partir de Abril", "Aguardando Execução na Distribuidora",
A1838 = "CAPACITAÇÃO", "Em execução no Corporativo",
TRUE, "Em Execução na Distribuidora"
)</f>
        <v>Em execução no Corporativo</v>
      </c>
      <c r="F1838" s="4" t="str" cm="1">
        <f t="array" ref="F1838">_xlfn.IFS(
AG1838 &lt;&gt; "", "Jan-Dez/26",
AH1838 &lt;&gt; "", "Fev-Dez/26",
AI1838 &lt;&gt; "", "Mar-Dez/26", AJ1838 &lt;&gt; "", "Abr-Dez/26",
TRUE, "A partir de Junho"
)</f>
        <v>Mar-Dez/26</v>
      </c>
      <c r="G1838" s="4" t="s">
        <v>37</v>
      </c>
      <c r="H1838" s="7" t="s">
        <v>38</v>
      </c>
      <c r="I1838" s="21" t="s">
        <v>182</v>
      </c>
      <c r="J1838" s="8" t="str" cm="1">
        <f t="array" aca="1" ref="J1838" ca="1">_xlfn.LET(
  _xlpm.actual_value_month, INDEX(T1838:AE1838, MATCH(DATE(YEAR(TODAY()), MONTH(TODAY()), 1), $T$1:$AE$1, 0)),
  IF(_xlpm.actual_value_month &lt;&gt; "", _xlpm.actual_value_month &amp; " ações mensais", "")
)</f>
        <v/>
      </c>
      <c r="K1838" s="8" t="str" cm="1">
        <f t="array" ref="K1838">_xlfn.LET(
    _xlpm.sum_month, SUM(T1838:AE1838),
    IF(_xlpm.sum_month = 0, "", _xlpm.sum_month &amp; " taxa de aprovados")
)</f>
        <v>2298 taxa de aprovados</v>
      </c>
      <c r="L1838" s="4" t="s">
        <v>186</v>
      </c>
      <c r="M1838" s="13">
        <v>1</v>
      </c>
      <c r="N1838" s="5" t="s">
        <v>51</v>
      </c>
      <c r="O1838" s="5" t="s">
        <v>43</v>
      </c>
      <c r="P1838" s="10" t="s">
        <v>44</v>
      </c>
      <c r="Q1838" s="10" t="s">
        <v>44</v>
      </c>
      <c r="R1838" s="11" t="s">
        <v>44</v>
      </c>
      <c r="S1838" s="11" t="s">
        <v>44</v>
      </c>
      <c r="T1838" s="22"/>
      <c r="U1838" s="22"/>
      <c r="V1838" s="22">
        <v>1149</v>
      </c>
      <c r="W1838" s="22">
        <v>1149</v>
      </c>
      <c r="X1838" s="22"/>
      <c r="Y1838" s="22"/>
      <c r="Z1838" s="22"/>
      <c r="AA1838" s="22"/>
      <c r="AB1838" s="22"/>
      <c r="AC1838" s="22"/>
      <c r="AD1838" s="22"/>
      <c r="AE1838" s="22"/>
      <c r="AG1838" s="71"/>
      <c r="AH1838" s="71"/>
      <c r="AI1838" s="71">
        <v>1149</v>
      </c>
      <c r="AJ1838" s="71">
        <v>1149</v>
      </c>
      <c r="AK1838" s="71"/>
      <c r="AL1838" s="71"/>
      <c r="AM1838" s="71"/>
      <c r="AN1838" s="71"/>
      <c r="AO1838" s="71"/>
      <c r="AP1838" s="71"/>
      <c r="AQ1838" s="71"/>
      <c r="AR1838" s="71"/>
      <c r="AS1838" s="94" cm="1">
        <f t="array" ref="AS1838">IFERROR(INDEX(T1838:AE1838,1,MATCH(2,1/(T1838:AE1838&lt;&gt;""))),"")</f>
        <v>1149</v>
      </c>
      <c r="AT1838" s="95" cm="1">
        <f t="array" ref="AT1838">IFERROR(INDEX(AJ1838:AR1838,1,MATCH(2,1/(AJ1838:AR1838&lt;&gt;""))),"")</f>
        <v>1149</v>
      </c>
      <c r="AU1838" s="97">
        <f t="shared" si="2154"/>
        <v>1149</v>
      </c>
      <c r="AW1838" s="52">
        <f t="shared" si="2155"/>
        <v>0</v>
      </c>
      <c r="AX1838" s="52">
        <f t="shared" si="2156"/>
        <v>0</v>
      </c>
      <c r="AY1838" s="118">
        <f t="shared" si="2157"/>
        <v>1</v>
      </c>
      <c r="AZ1838" s="118">
        <f t="shared" si="2158"/>
        <v>1</v>
      </c>
      <c r="BA1838" s="52"/>
      <c r="BB1838" s="52"/>
      <c r="BC1838" s="52"/>
      <c r="BD1838" s="52"/>
      <c r="BE1838" s="52"/>
      <c r="BF1838" s="52"/>
      <c r="BG1838" s="52"/>
      <c r="BH1838" s="52"/>
      <c r="BI1838" s="65" cm="1">
        <f t="array" ref="BI1838">IFERROR(INDEX(AW1838:BH1838,1,MATCH(2,1/(AW1838:BH1838&lt;&gt;""))),"")</f>
        <v>1</v>
      </c>
      <c r="BJ1838" s="68" cm="1">
        <f t="array" ref="BJ1838">IF(BM1838 = "", "",IFERROR(INDEX(AW1838:BH1838,1,MATCH(2,1/(AW1838:BH1838&lt;&gt;""),1)-1),""))</f>
        <v>1</v>
      </c>
      <c r="BK1838" s="58" cm="1">
        <f t="array" ref="BK1838">IFERROR(INDEX(AW1838:BH1838,1,MATCH(2,1/(AW1838:BH1838&lt;&gt;""))),"")</f>
        <v>1</v>
      </c>
      <c r="BL1838" s="58" cm="1">
        <f t="array" ref="BL1838">IFERROR(INDEX(AW1838:BH1838,1,MATCH(2,1/(AW1838:BH1838&lt;&gt;""),1)-1),"")</f>
        <v>1</v>
      </c>
      <c r="BM1838" s="55" cm="1">
        <f t="array" ref="BM1838">IFERROR(
   INDEX($AW$1:$BH$1,
      _xlfn.AGGREGATE(14, 6, COLUMN($AW$1:$BH$1)/(AW1838:BH1838&lt;&gt;""), 2) - COLUMN($AW$1) + 1
   ),
"")</f>
        <v>46082</v>
      </c>
      <c r="BN1838" s="55" cm="1">
        <f t="array" ref="BN1838">IFERROR(INDEX($AW$1:$BH$1,1,MATCH(2,1/(AW1838:BH1838&lt;&gt;""))),"")</f>
        <v>46113</v>
      </c>
      <c r="BO1838" s="53">
        <f ca="1">IFERROR(_xlfn.XLOOKUP(F1838,Apuração!A:A,Apuração!C:C)/_xlfn.XLOOKUP(F1838,Apuração!A:A,Apuração!B:B),0)</f>
        <v>0.3</v>
      </c>
      <c r="BP1838" s="53">
        <f ca="1">IFERROR(_xlfn.XLOOKUP(F1838,Apuração!A:A,Apuração!D:D)/_xlfn.XLOOKUP(F1838,Apuração!A:A,Apuração!B:B),0)</f>
        <v>0.2</v>
      </c>
      <c r="BQ1838" s="53">
        <f ca="1">IF(BK1838&gt;=BO1838,0,_xlfn.XLOOKUP(F1838,Apuração!A:A,Apuração!B:B)*(BO1838 + (1/_xlfn.XLOOKUP(F1838,Apuração!A:A,Apuração!B:B)) - BK1838))</f>
        <v>0</v>
      </c>
      <c r="BR1838" s="85">
        <f t="shared" ca="1" si="2159"/>
        <v>0</v>
      </c>
      <c r="BS1838" s="53">
        <f ca="1">IFERROR((_xlfn.XLOOKUP(F1838,Apuração!A:A,Apuração!C:C)+1)/_xlfn.XLOOKUP(F1838,Apuração!A:A,Apuração!B:B),0)</f>
        <v>0.4</v>
      </c>
    </row>
    <row r="1839" spans="1:71" ht="25.95" hidden="1" customHeight="1" x14ac:dyDescent="0.3">
      <c r="A1839" s="44" t="s">
        <v>175</v>
      </c>
      <c r="B1839" s="4" t="s">
        <v>184</v>
      </c>
      <c r="C1839" s="5" t="s">
        <v>214</v>
      </c>
      <c r="D1839" s="5" t="s">
        <v>212</v>
      </c>
      <c r="E1839" s="4" t="str" cm="1">
        <f t="array" ref="E1839">_xlfn.IFS(
F1839 = "A partir de Abril", "Aguardando Execução na Distribuidora",
A1839 = "CAPACITAÇÃO", "Em execução no Corporativo",
TRUE, "Em Execução na Distribuidora"
)</f>
        <v>Em execução no Corporativo</v>
      </c>
      <c r="F1839" s="4" t="str" cm="1">
        <f t="array" ref="F1839">_xlfn.IFS(
AG1839 &lt;&gt; "", "Jan-Dez/26",
AH1839 &lt;&gt; "", "Fev-Dez/26",
AI1839 &lt;&gt; "", "Mar-Dez/26", AJ1839 &lt;&gt; "", "Abr-Dez/26",
TRUE, "A partir de Junho"
)</f>
        <v>Mar-Dez/26</v>
      </c>
      <c r="G1839" s="4" t="s">
        <v>37</v>
      </c>
      <c r="H1839" s="7" t="s">
        <v>38</v>
      </c>
      <c r="I1839" s="21" t="s">
        <v>182</v>
      </c>
      <c r="J1839" s="8" t="str" cm="1">
        <f t="array" aca="1" ref="J1839" ca="1">_xlfn.LET(
  _xlpm.actual_value_month, INDEX(T1839:AE1839, MATCH(DATE(YEAR(TODAY()), MONTH(TODAY()), 1), $T$1:$AE$1, 0)),
  IF(_xlpm.actual_value_month &lt;&gt; "", _xlpm.actual_value_month &amp; " ações mensais", "")
)</f>
        <v/>
      </c>
      <c r="K1839" s="8" t="str" cm="1">
        <f t="array" ref="K1839">_xlfn.LET(
    _xlpm.sum_month, SUM(T1839:AE1839),
    IF(_xlpm.sum_month = 0, "", _xlpm.sum_month &amp; " taxa de aprovados")
)</f>
        <v>2654 taxa de aprovados</v>
      </c>
      <c r="L1839" s="4" t="s">
        <v>186</v>
      </c>
      <c r="M1839" s="13">
        <v>1</v>
      </c>
      <c r="N1839" s="5" t="s">
        <v>51</v>
      </c>
      <c r="O1839" s="5" t="s">
        <v>43</v>
      </c>
      <c r="P1839" s="10" t="s">
        <v>44</v>
      </c>
      <c r="Q1839" s="10" t="s">
        <v>44</v>
      </c>
      <c r="R1839" s="11" t="s">
        <v>44</v>
      </c>
      <c r="S1839" s="11" t="s">
        <v>44</v>
      </c>
      <c r="T1839" s="22"/>
      <c r="U1839" s="22"/>
      <c r="V1839" s="22">
        <v>1327</v>
      </c>
      <c r="W1839" s="22">
        <v>1327</v>
      </c>
      <c r="X1839" s="22"/>
      <c r="Y1839" s="22"/>
      <c r="Z1839" s="22"/>
      <c r="AA1839" s="22"/>
      <c r="AB1839" s="22"/>
      <c r="AC1839" s="22"/>
      <c r="AD1839" s="22"/>
      <c r="AE1839" s="22"/>
      <c r="AG1839" s="71"/>
      <c r="AH1839" s="71"/>
      <c r="AI1839" s="71">
        <v>1327</v>
      </c>
      <c r="AJ1839" s="71">
        <v>1327</v>
      </c>
      <c r="AK1839" s="71"/>
      <c r="AL1839" s="71"/>
      <c r="AM1839" s="71"/>
      <c r="AN1839" s="71"/>
      <c r="AO1839" s="71"/>
      <c r="AP1839" s="71"/>
      <c r="AQ1839" s="71"/>
      <c r="AR1839" s="71"/>
      <c r="AS1839" s="94" cm="1">
        <f t="array" ref="AS1839">IFERROR(INDEX(T1839:AE1839,1,MATCH(2,1/(T1839:AE1839&lt;&gt;""))),"")</f>
        <v>1327</v>
      </c>
      <c r="AT1839" s="95" cm="1">
        <f t="array" ref="AT1839">IFERROR(INDEX(AJ1839:AR1839,1,MATCH(2,1/(AJ1839:AR1839&lt;&gt;""))),"")</f>
        <v>1327</v>
      </c>
      <c r="AU1839" s="97">
        <f t="shared" si="2154"/>
        <v>1327</v>
      </c>
      <c r="AW1839" s="52">
        <f t="shared" si="2155"/>
        <v>0</v>
      </c>
      <c r="AX1839" s="52">
        <f t="shared" si="2156"/>
        <v>0</v>
      </c>
      <c r="AY1839" s="118">
        <f t="shared" si="2157"/>
        <v>1</v>
      </c>
      <c r="AZ1839" s="118">
        <f t="shared" si="2158"/>
        <v>1</v>
      </c>
      <c r="BA1839" s="52"/>
      <c r="BB1839" s="52"/>
      <c r="BC1839" s="52"/>
      <c r="BD1839" s="52"/>
      <c r="BE1839" s="52"/>
      <c r="BF1839" s="52"/>
      <c r="BG1839" s="52"/>
      <c r="BH1839" s="52"/>
      <c r="BI1839" s="65" cm="1">
        <f t="array" ref="BI1839">IFERROR(INDEX(AW1839:BH1839,1,MATCH(2,1/(AW1839:BH1839&lt;&gt;""))),"")</f>
        <v>1</v>
      </c>
      <c r="BJ1839" s="68" cm="1">
        <f t="array" ref="BJ1839">IF(BM1839 = "", "",IFERROR(INDEX(AW1839:BH1839,1,MATCH(2,1/(AW1839:BH1839&lt;&gt;""),1)-1),""))</f>
        <v>1</v>
      </c>
      <c r="BK1839" s="58" cm="1">
        <f t="array" ref="BK1839">IFERROR(INDEX(AW1839:BH1839,1,MATCH(2,1/(AW1839:BH1839&lt;&gt;""))),"")</f>
        <v>1</v>
      </c>
      <c r="BL1839" s="58" cm="1">
        <f t="array" ref="BL1839">IFERROR(INDEX(AW1839:BH1839,1,MATCH(2,1/(AW1839:BH1839&lt;&gt;""),1)-1),"")</f>
        <v>1</v>
      </c>
      <c r="BM1839" s="55" cm="1">
        <f t="array" ref="BM1839">IFERROR(
   INDEX($AW$1:$BH$1,
      _xlfn.AGGREGATE(14, 6, COLUMN($AW$1:$BH$1)/(AW1839:BH1839&lt;&gt;""), 2) - COLUMN($AW$1) + 1
   ),
"")</f>
        <v>46082</v>
      </c>
      <c r="BN1839" s="55" cm="1">
        <f t="array" ref="BN1839">IFERROR(INDEX($AW$1:$BH$1,1,MATCH(2,1/(AW1839:BH1839&lt;&gt;""))),"")</f>
        <v>46113</v>
      </c>
      <c r="BO1839" s="53">
        <f ca="1">IFERROR(_xlfn.XLOOKUP(F1839,Apuração!A:A,Apuração!C:C)/_xlfn.XLOOKUP(F1839,Apuração!A:A,Apuração!B:B),0)</f>
        <v>0.3</v>
      </c>
      <c r="BP1839" s="53">
        <f ca="1">IFERROR(_xlfn.XLOOKUP(F1839,Apuração!A:A,Apuração!D:D)/_xlfn.XLOOKUP(F1839,Apuração!A:A,Apuração!B:B),0)</f>
        <v>0.2</v>
      </c>
      <c r="BQ1839" s="53">
        <f ca="1">IF(BK1839&gt;=BO1839,0,_xlfn.XLOOKUP(F1839,Apuração!A:A,Apuração!B:B)*(BO1839 + (1/_xlfn.XLOOKUP(F1839,Apuração!A:A,Apuração!B:B)) - BK1839))</f>
        <v>0</v>
      </c>
      <c r="BR1839" s="85">
        <f t="shared" ca="1" si="2159"/>
        <v>0</v>
      </c>
      <c r="BS1839" s="53">
        <f ca="1">IFERROR((_xlfn.XLOOKUP(F1839,Apuração!A:A,Apuração!C:C)+1)/_xlfn.XLOOKUP(F1839,Apuração!A:A,Apuração!B:B),0)</f>
        <v>0.4</v>
      </c>
    </row>
    <row r="1840" spans="1:71" ht="25.95" hidden="1" customHeight="1" x14ac:dyDescent="0.3">
      <c r="A1840" s="44" t="s">
        <v>175</v>
      </c>
      <c r="B1840" s="4" t="s">
        <v>184</v>
      </c>
      <c r="C1840" s="5" t="s">
        <v>214</v>
      </c>
      <c r="D1840" s="5" t="s">
        <v>48</v>
      </c>
      <c r="E1840" s="4" t="str" cm="1">
        <f t="array" ref="E1840">_xlfn.IFS(
F1840 = "A partir de Abril", "Aguardando Execução na Distribuidora",
A1840 = "CAPACITAÇÃO", "Em execução no Corporativo",
TRUE, "Em Execução na Distribuidora"
)</f>
        <v>Em execução no Corporativo</v>
      </c>
      <c r="F1840" s="4" t="str" cm="1">
        <f t="array" ref="F1840">_xlfn.IFS(
AG1840 &lt;&gt; "", "Jan-Dez/26",
AH1840 &lt;&gt; "", "Fev-Dez/26",
AI1840 &lt;&gt; "", "Mar-Dez/26", AJ1840 &lt;&gt; "", "Abr-Dez/26",
TRUE, "A partir de Junho"
)</f>
        <v>Mar-Dez/26</v>
      </c>
      <c r="G1840" s="4" t="s">
        <v>37</v>
      </c>
      <c r="H1840" s="7" t="s">
        <v>38</v>
      </c>
      <c r="I1840" s="21" t="s">
        <v>182</v>
      </c>
      <c r="J1840" s="8" t="str" cm="1">
        <f t="array" aca="1" ref="J1840" ca="1">_xlfn.LET(
  _xlpm.actual_value_month, INDEX(T1840:AE1840, MATCH(DATE(YEAR(TODAY()), MONTH(TODAY()), 1), $T$1:$AE$1, 0)),
  IF(_xlpm.actual_value_month &lt;&gt; "", _xlpm.actual_value_month &amp; " ações mensais", "")
)</f>
        <v/>
      </c>
      <c r="K1840" s="8" t="str" cm="1">
        <f t="array" ref="K1840">_xlfn.LET(
    _xlpm.sum_month, SUM(T1840:AE1840),
    IF(_xlpm.sum_month = 0, "", _xlpm.sum_month &amp; " taxa de aprovados")
)</f>
        <v>1228 taxa de aprovados</v>
      </c>
      <c r="L1840" s="4" t="s">
        <v>186</v>
      </c>
      <c r="M1840" s="13">
        <v>1</v>
      </c>
      <c r="N1840" s="5" t="s">
        <v>51</v>
      </c>
      <c r="O1840" s="5" t="s">
        <v>43</v>
      </c>
      <c r="P1840" s="10" t="s">
        <v>44</v>
      </c>
      <c r="Q1840" s="10" t="s">
        <v>44</v>
      </c>
      <c r="R1840" s="11" t="s">
        <v>44</v>
      </c>
      <c r="S1840" s="11" t="s">
        <v>44</v>
      </c>
      <c r="T1840" s="22"/>
      <c r="U1840" s="22"/>
      <c r="V1840" s="22">
        <v>614</v>
      </c>
      <c r="W1840" s="22">
        <v>614</v>
      </c>
      <c r="X1840" s="22"/>
      <c r="Y1840" s="22"/>
      <c r="Z1840" s="22"/>
      <c r="AA1840" s="22"/>
      <c r="AB1840" s="22"/>
      <c r="AC1840" s="22"/>
      <c r="AD1840" s="22"/>
      <c r="AE1840" s="22"/>
      <c r="AG1840" s="71"/>
      <c r="AH1840" s="71"/>
      <c r="AI1840" s="71">
        <v>614</v>
      </c>
      <c r="AJ1840" s="71">
        <v>614</v>
      </c>
      <c r="AK1840" s="71"/>
      <c r="AL1840" s="71"/>
      <c r="AM1840" s="71"/>
      <c r="AN1840" s="71"/>
      <c r="AO1840" s="71"/>
      <c r="AP1840" s="71"/>
      <c r="AQ1840" s="71"/>
      <c r="AR1840" s="71"/>
      <c r="AS1840" s="94" cm="1">
        <f t="array" ref="AS1840">IFERROR(INDEX(T1840:AE1840,1,MATCH(2,1/(T1840:AE1840&lt;&gt;""))),"")</f>
        <v>614</v>
      </c>
      <c r="AT1840" s="95" cm="1">
        <f t="array" ref="AT1840">IFERROR(INDEX(AJ1840:AR1840,1,MATCH(2,1/(AJ1840:AR1840&lt;&gt;""))),"")</f>
        <v>614</v>
      </c>
      <c r="AU1840" s="97">
        <f t="shared" si="2154"/>
        <v>614</v>
      </c>
      <c r="AW1840" s="52">
        <f t="shared" si="2155"/>
        <v>0</v>
      </c>
      <c r="AX1840" s="52">
        <f t="shared" si="2156"/>
        <v>0</v>
      </c>
      <c r="AY1840" s="118">
        <f t="shared" si="2157"/>
        <v>1</v>
      </c>
      <c r="AZ1840" s="118">
        <f t="shared" si="2158"/>
        <v>1</v>
      </c>
      <c r="BA1840" s="52"/>
      <c r="BB1840" s="52"/>
      <c r="BC1840" s="52"/>
      <c r="BD1840" s="52"/>
      <c r="BE1840" s="52"/>
      <c r="BF1840" s="52"/>
      <c r="BG1840" s="52"/>
      <c r="BH1840" s="52"/>
      <c r="BI1840" s="65" cm="1">
        <f t="array" ref="BI1840">IFERROR(INDEX(AW1840:BH1840,1,MATCH(2,1/(AW1840:BH1840&lt;&gt;""))),"")</f>
        <v>1</v>
      </c>
      <c r="BJ1840" s="68" cm="1">
        <f t="array" ref="BJ1840">IF(BM1840 = "", "",IFERROR(INDEX(AW1840:BH1840,1,MATCH(2,1/(AW1840:BH1840&lt;&gt;""),1)-1),""))</f>
        <v>1</v>
      </c>
      <c r="BK1840" s="58" cm="1">
        <f t="array" ref="BK1840">IFERROR(INDEX(AW1840:BH1840,1,MATCH(2,1/(AW1840:BH1840&lt;&gt;""))),"")</f>
        <v>1</v>
      </c>
      <c r="BL1840" s="58" cm="1">
        <f t="array" ref="BL1840">IFERROR(INDEX(AW1840:BH1840,1,MATCH(2,1/(AW1840:BH1840&lt;&gt;""),1)-1),"")</f>
        <v>1</v>
      </c>
      <c r="BM1840" s="55" cm="1">
        <f t="array" ref="BM1840">IFERROR(
   INDEX($AW$1:$BH$1,
      _xlfn.AGGREGATE(14, 6, COLUMN($AW$1:$BH$1)/(AW1840:BH1840&lt;&gt;""), 2) - COLUMN($AW$1) + 1
   ),
"")</f>
        <v>46082</v>
      </c>
      <c r="BN1840" s="55" cm="1">
        <f t="array" ref="BN1840">IFERROR(INDEX($AW$1:$BH$1,1,MATCH(2,1/(AW1840:BH1840&lt;&gt;""))),"")</f>
        <v>46113</v>
      </c>
      <c r="BO1840" s="53">
        <f ca="1">IFERROR(_xlfn.XLOOKUP(F1840,Apuração!A:A,Apuração!C:C)/_xlfn.XLOOKUP(F1840,Apuração!A:A,Apuração!B:B),0)</f>
        <v>0.3</v>
      </c>
      <c r="BP1840" s="53">
        <f ca="1">IFERROR(_xlfn.XLOOKUP(F1840,Apuração!A:A,Apuração!D:D)/_xlfn.XLOOKUP(F1840,Apuração!A:A,Apuração!B:B),0)</f>
        <v>0.2</v>
      </c>
      <c r="BQ1840" s="53">
        <f ca="1">IF(BK1840&gt;=BO1840,0,_xlfn.XLOOKUP(F1840,Apuração!A:A,Apuração!B:B)*(BO1840 + (1/_xlfn.XLOOKUP(F1840,Apuração!A:A,Apuração!B:B)) - BK1840))</f>
        <v>0</v>
      </c>
      <c r="BR1840" s="85">
        <f t="shared" ca="1" si="2159"/>
        <v>0</v>
      </c>
      <c r="BS1840" s="53">
        <f ca="1">IFERROR((_xlfn.XLOOKUP(F1840,Apuração!A:A,Apuração!C:C)+1)/_xlfn.XLOOKUP(F1840,Apuração!A:A,Apuração!B:B),0)</f>
        <v>0.4</v>
      </c>
    </row>
    <row r="1841" spans="1:71" ht="25.95" hidden="1" customHeight="1" x14ac:dyDescent="0.3">
      <c r="A1841" s="44" t="s">
        <v>175</v>
      </c>
      <c r="B1841" s="4" t="s">
        <v>184</v>
      </c>
      <c r="C1841" s="5" t="s">
        <v>214</v>
      </c>
      <c r="D1841" s="5" t="s">
        <v>213</v>
      </c>
      <c r="E1841" s="4" t="str" cm="1">
        <f t="array" ref="E1841">_xlfn.IFS(
F1841 = "A partir de Abril", "Aguardando Execução na Distribuidora",
A1841 = "CAPACITAÇÃO", "Em execução no Corporativo",
TRUE, "Em Execução na Distribuidora"
)</f>
        <v>Em execução no Corporativo</v>
      </c>
      <c r="F1841" s="4" t="str" cm="1">
        <f t="array" ref="F1841">_xlfn.IFS(
AG1841 &lt;&gt; "", "Jan-Dez/26",
AH1841 &lt;&gt; "", "Fev-Dez/26",
AI1841 &lt;&gt; "", "Mar-Dez/26", AJ1841 &lt;&gt; "", "Abr-Dez/26",
TRUE, "A partir de Junho"
)</f>
        <v>Mar-Dez/26</v>
      </c>
      <c r="G1841" s="4" t="s">
        <v>37</v>
      </c>
      <c r="H1841" s="7" t="s">
        <v>38</v>
      </c>
      <c r="I1841" s="21" t="s">
        <v>182</v>
      </c>
      <c r="J1841" s="8" t="str" cm="1">
        <f t="array" aca="1" ref="J1841" ca="1">_xlfn.LET(
  _xlpm.actual_value_month, INDEX(T1841:AE1841, MATCH(DATE(YEAR(TODAY()), MONTH(TODAY()), 1), $T$1:$AE$1, 0)),
  IF(_xlpm.actual_value_month &lt;&gt; "", _xlpm.actual_value_month &amp; " ações mensais", "")
)</f>
        <v/>
      </c>
      <c r="K1841" s="8" t="str" cm="1">
        <f t="array" ref="K1841">_xlfn.LET(
    _xlpm.sum_month, SUM(T1841:AE1841),
    IF(_xlpm.sum_month = 0, "", _xlpm.sum_month &amp; " taxa de aprovados")
)</f>
        <v>1412 taxa de aprovados</v>
      </c>
      <c r="L1841" s="4" t="s">
        <v>186</v>
      </c>
      <c r="M1841" s="13">
        <v>1</v>
      </c>
      <c r="N1841" s="5" t="s">
        <v>51</v>
      </c>
      <c r="O1841" s="5" t="s">
        <v>43</v>
      </c>
      <c r="P1841" s="10" t="s">
        <v>44</v>
      </c>
      <c r="Q1841" s="10" t="s">
        <v>44</v>
      </c>
      <c r="R1841" s="11" t="s">
        <v>44</v>
      </c>
      <c r="S1841" s="11" t="s">
        <v>44</v>
      </c>
      <c r="T1841" s="22"/>
      <c r="U1841" s="22"/>
      <c r="V1841" s="22">
        <v>706</v>
      </c>
      <c r="W1841" s="22">
        <v>706</v>
      </c>
      <c r="X1841" s="22"/>
      <c r="Y1841" s="22"/>
      <c r="Z1841" s="22"/>
      <c r="AA1841" s="22"/>
      <c r="AB1841" s="22"/>
      <c r="AC1841" s="22"/>
      <c r="AD1841" s="22"/>
      <c r="AE1841" s="22"/>
      <c r="AG1841" s="71"/>
      <c r="AH1841" s="71"/>
      <c r="AI1841" s="71">
        <v>706</v>
      </c>
      <c r="AJ1841" s="71">
        <v>706</v>
      </c>
      <c r="AK1841" s="71"/>
      <c r="AL1841" s="71"/>
      <c r="AM1841" s="71"/>
      <c r="AN1841" s="71"/>
      <c r="AO1841" s="71"/>
      <c r="AP1841" s="71"/>
      <c r="AQ1841" s="71"/>
      <c r="AR1841" s="71"/>
      <c r="AS1841" s="94" cm="1">
        <f t="array" ref="AS1841">IFERROR(INDEX(T1841:AE1841,1,MATCH(2,1/(T1841:AE1841&lt;&gt;""))),"")</f>
        <v>706</v>
      </c>
      <c r="AT1841" s="95" cm="1">
        <f t="array" ref="AT1841">IFERROR(INDEX(AJ1841:AR1841,1,MATCH(2,1/(AJ1841:AR1841&lt;&gt;""))),"")</f>
        <v>706</v>
      </c>
      <c r="AU1841" s="97">
        <f t="shared" si="2154"/>
        <v>706</v>
      </c>
      <c r="AW1841" s="52">
        <f t="shared" si="2155"/>
        <v>0</v>
      </c>
      <c r="AX1841" s="52">
        <f t="shared" si="2156"/>
        <v>0</v>
      </c>
      <c r="AY1841" s="118">
        <f t="shared" si="2157"/>
        <v>1</v>
      </c>
      <c r="AZ1841" s="118">
        <f t="shared" si="2158"/>
        <v>1</v>
      </c>
      <c r="BA1841" s="52"/>
      <c r="BB1841" s="52"/>
      <c r="BC1841" s="52"/>
      <c r="BD1841" s="52"/>
      <c r="BE1841" s="52"/>
      <c r="BF1841" s="52"/>
      <c r="BG1841" s="52"/>
      <c r="BH1841" s="52"/>
      <c r="BI1841" s="65" cm="1">
        <f t="array" ref="BI1841">IFERROR(INDEX(AW1841:BH1841,1,MATCH(2,1/(AW1841:BH1841&lt;&gt;""))),"")</f>
        <v>1</v>
      </c>
      <c r="BJ1841" s="68" cm="1">
        <f t="array" ref="BJ1841">IF(BM1841 = "", "",IFERROR(INDEX(AW1841:BH1841,1,MATCH(2,1/(AW1841:BH1841&lt;&gt;""),1)-1),""))</f>
        <v>1</v>
      </c>
      <c r="BK1841" s="58" cm="1">
        <f t="array" ref="BK1841">IFERROR(INDEX(AW1841:BH1841,1,MATCH(2,1/(AW1841:BH1841&lt;&gt;""))),"")</f>
        <v>1</v>
      </c>
      <c r="BL1841" s="58" cm="1">
        <f t="array" ref="BL1841">IFERROR(INDEX(AW1841:BH1841,1,MATCH(2,1/(AW1841:BH1841&lt;&gt;""),1)-1),"")</f>
        <v>1</v>
      </c>
      <c r="BM1841" s="55" cm="1">
        <f t="array" ref="BM1841">IFERROR(
   INDEX($AW$1:$BH$1,
      _xlfn.AGGREGATE(14, 6, COLUMN($AW$1:$BH$1)/(AW1841:BH1841&lt;&gt;""), 2) - COLUMN($AW$1) + 1
   ),
"")</f>
        <v>46082</v>
      </c>
      <c r="BN1841" s="55" cm="1">
        <f t="array" ref="BN1841">IFERROR(INDEX($AW$1:$BH$1,1,MATCH(2,1/(AW1841:BH1841&lt;&gt;""))),"")</f>
        <v>46113</v>
      </c>
      <c r="BO1841" s="53">
        <f ca="1">IFERROR(_xlfn.XLOOKUP(F1841,Apuração!A:A,Apuração!C:C)/_xlfn.XLOOKUP(F1841,Apuração!A:A,Apuração!B:B),0)</f>
        <v>0.3</v>
      </c>
      <c r="BP1841" s="53">
        <f ca="1">IFERROR(_xlfn.XLOOKUP(F1841,Apuração!A:A,Apuração!D:D)/_xlfn.XLOOKUP(F1841,Apuração!A:A,Apuração!B:B),0)</f>
        <v>0.2</v>
      </c>
      <c r="BQ1841" s="53">
        <f ca="1">IF(BK1841&gt;=BO1841,0,_xlfn.XLOOKUP(F1841,Apuração!A:A,Apuração!B:B)*(BO1841 + (1/_xlfn.XLOOKUP(F1841,Apuração!A:A,Apuração!B:B)) - BK1841))</f>
        <v>0</v>
      </c>
      <c r="BR1841" s="85">
        <f t="shared" ca="1" si="2159"/>
        <v>0</v>
      </c>
      <c r="BS1841" s="53">
        <f ca="1">IFERROR((_xlfn.XLOOKUP(F1841,Apuração!A:A,Apuração!C:C)+1)/_xlfn.XLOOKUP(F1841,Apuração!A:A,Apuração!B:B),0)</f>
        <v>0.4</v>
      </c>
    </row>
    <row r="1842" spans="1:71" ht="25.95" hidden="1" customHeight="1" x14ac:dyDescent="0.3">
      <c r="A1842" s="33" t="s">
        <v>175</v>
      </c>
      <c r="B1842" s="4" t="s">
        <v>187</v>
      </c>
      <c r="C1842" s="5" t="s">
        <v>214</v>
      </c>
      <c r="D1842" s="5" t="s">
        <v>36</v>
      </c>
      <c r="E1842" s="4" t="s">
        <v>96</v>
      </c>
      <c r="F1842" s="4" t="str" cm="1">
        <f t="array" ref="F1842">_xlfn.IFS(
AG1842 &lt;&gt; "", "Jan-Dez/26",
AH1842 &lt;&gt; "", "Fev-Dez/26",
AI1842 &lt;&gt; "", "Mar-Dez/26", AJ1842 &lt;&gt; "", "Abr-Dez/26",
TRUE, "A partir de Junho"
)</f>
        <v>A partir de Junho</v>
      </c>
      <c r="G1842" s="4" t="s">
        <v>62</v>
      </c>
      <c r="H1842" s="7" t="s">
        <v>54</v>
      </c>
      <c r="I1842" s="8" t="s">
        <v>188</v>
      </c>
      <c r="J1842" s="8" t="str" cm="1">
        <f t="array" aca="1" ref="J1842" ca="1">_xlfn.LET(
  _xlpm.actual_value_month, INDEX(T1842:AE1842, MATCH(DATE(YEAR(TODAY()), MONTH(TODAY()), 1), $T$1:$AE$1, 0)),
  IF(_xlpm.actual_value_month &lt;&gt; "", _xlpm.actual_value_month &amp; " ações mensais", "")
)</f>
        <v/>
      </c>
      <c r="K1842" s="8" t="str" cm="1">
        <f t="array" ref="K1842">_xlfn.LET(
    _xlpm.sum_month, SUM(T1842:AE1842),
    IF(_xlpm.sum_month = 0, "", _xlpm.sum_month &amp; " taxa de aderência de treinados.")
)</f>
        <v/>
      </c>
      <c r="L1842" s="9" t="s">
        <v>189</v>
      </c>
      <c r="M1842" s="13">
        <v>1</v>
      </c>
      <c r="N1842" s="5" t="s">
        <v>42</v>
      </c>
      <c r="O1842" s="5" t="s">
        <v>43</v>
      </c>
      <c r="P1842" s="10" t="s">
        <v>146</v>
      </c>
      <c r="Q1842" s="10" t="s">
        <v>44</v>
      </c>
      <c r="R1842" s="11" t="s">
        <v>44</v>
      </c>
      <c r="S1842" s="11" t="s">
        <v>44</v>
      </c>
      <c r="T1842" s="22"/>
      <c r="U1842" s="22"/>
      <c r="V1842" s="22"/>
      <c r="W1842" s="22"/>
      <c r="X1842" s="22"/>
      <c r="Y1842" s="22"/>
      <c r="Z1842" s="22"/>
      <c r="AA1842" s="22"/>
      <c r="AB1842" s="22"/>
      <c r="AC1842" s="22"/>
      <c r="AD1842" s="22"/>
      <c r="AE1842" s="22"/>
      <c r="AG1842" s="71"/>
      <c r="AH1842" s="71"/>
      <c r="AI1842" s="71"/>
      <c r="AJ1842" s="71"/>
      <c r="AK1842" s="71"/>
      <c r="AL1842" s="71"/>
      <c r="AM1842" s="71"/>
      <c r="AN1842" s="71"/>
      <c r="AO1842" s="71"/>
      <c r="AP1842" s="71"/>
      <c r="AQ1842" s="71"/>
      <c r="AR1842" s="71"/>
      <c r="AS1842" s="94" t="str" cm="1">
        <f t="array" ref="AS1842">IFERROR(INDEX(T1842:AE1842,1,MATCH(2,1/(T1842:AE1842&lt;&gt;""))),"")</f>
        <v/>
      </c>
      <c r="AT1842" s="95">
        <f>AN1842</f>
        <v>0</v>
      </c>
      <c r="AU1842" s="97">
        <f>AT1842</f>
        <v>0</v>
      </c>
      <c r="AW1842" s="51"/>
      <c r="AX1842" s="51"/>
      <c r="AY1842" s="51"/>
      <c r="AZ1842" s="51"/>
      <c r="BA1842" s="51"/>
      <c r="BB1842" s="51"/>
      <c r="BC1842" s="51"/>
      <c r="BD1842" s="51"/>
      <c r="BE1842" s="51"/>
      <c r="BF1842" s="51"/>
      <c r="BG1842" s="51"/>
      <c r="BH1842" s="51"/>
      <c r="BI1842" s="65" t="str" cm="1">
        <f t="array" ref="BI1842">IFERROR(INDEX(AW1842:BH1842,1,MATCH(2,1/(AW1842:BH1842&lt;&gt;""))),"")</f>
        <v/>
      </c>
      <c r="BJ1842" s="68" t="str" cm="1">
        <f t="array" ref="BJ1842">IF(BM1842 = "", "",IFERROR(INDEX(AW1842:BH1842,1,MATCH(2,1/(AW1842:BH1842&lt;&gt;""),1)-1),""))</f>
        <v/>
      </c>
      <c r="BK1842" s="58" t="str" cm="1">
        <f t="array" ref="BK1842">IFERROR(INDEX(AW1842:BH1842,1,MATCH(2,1/(AW1842:BH1842&lt;&gt;""))),"")</f>
        <v/>
      </c>
      <c r="BL1842" s="58" cm="1">
        <f t="array" aca="1" ref="BL1842" ca="1">IF(SUM(IFERROR(IF(INDEX(AW1842:INDEX(AW1842:BH1842, MATCH(2, 1/(AW1842:BH1842&lt;&gt;""), 1)-1), ROW(INDIRECT("1:" &amp; MATCH(2, 1/(AW1842:BH1842&lt;&gt;""), 1)-1))) &gt;= 115%, 115%, INDEX(AW1842:INDEX(AW1842:BH1842, MATCH(2, 1/(AW1842:BH1842&lt;&gt;""), 1)-1), ROW(INDIRECT("1:" &amp; MATCH(2, 1/(AW1842:BH1842&lt;&gt;""), 1)-1)))), 0))/_xlfn.XLOOKUP(F1842,Apuração!A:A,Apuração!B:B)&gt;=1.15,1.15,SUM(IFERROR(IF(INDEX(AW1842:INDEX(AW1842:BH1842, MATCH(2, 1/(AW1842:BH1842&lt;&gt;""), 1)-1), ROW(INDIRECT("1:" &amp; MATCH(2, 1/(AW1842:BH1842&lt;&gt;""), 1)-1))) &gt;= 115%, 115%, INDEX(AW1842:INDEX(AW1842:BH1842, MATCH(2, 1/(AW1842:BH1842&lt;&gt;""), 1)-1), ROW(INDIRECT("1:" &amp; MATCH(2, 1/(AW1842:BH1842&lt;&gt;""), 1)-1)))), 0))/_xlfn.XLOOKUP(F1842,Apuração!A:A,Apuração!B:B))</f>
        <v>0</v>
      </c>
      <c r="BM1842" s="55" t="str" cm="1">
        <f t="array" ref="BM1842">IFERROR(
   INDEX($AW$1:$BH$1,
      _xlfn.AGGREGATE(14, 6, COLUMN($AW$1:$BH$1)/(AW1842:BH1842&lt;&gt;""), 2) - COLUMN($AW$1) + 1
   ),
"")</f>
        <v/>
      </c>
      <c r="BN1842" s="55" t="str" cm="1">
        <f t="array" ref="BN1842">IFERROR(INDEX($AW$1:$BH$1,1,MATCH(2,1/(AW1842:BH1842&lt;&gt;""))),"")</f>
        <v/>
      </c>
      <c r="BO1842" s="53">
        <f ca="1">IFERROR(_xlfn.XLOOKUP(F1842,Apuração!A:A,Apuração!C:C)/_xlfn.XLOOKUP(F1842,Apuração!A:A,Apuração!B:B),0)</f>
        <v>0</v>
      </c>
      <c r="BP1842" s="53">
        <f ca="1">IFERROR(_xlfn.XLOOKUP(F1842,Apuração!A:A,Apuração!D:D)/_xlfn.XLOOKUP(F1842,Apuração!A:A,Apuração!B:B),0)</f>
        <v>0</v>
      </c>
      <c r="BQ1842" s="53">
        <f ca="1">IF(BK1842&gt;=BO1842,0,_xlfn.XLOOKUP(F1842,Apuração!A:A,Apuração!B:B)*(BO1842 + (1/_xlfn.XLOOKUP(F1842,Apuração!A:A,Apuração!B:B)) - BK1842))</f>
        <v>0</v>
      </c>
      <c r="BR1842" s="85">
        <f ca="1">IF(BQ1842=0,0,BQ1842*Z1842)</f>
        <v>0</v>
      </c>
      <c r="BS1842" s="53">
        <f ca="1">IFERROR((_xlfn.XLOOKUP(F1842,Apuração!A:A,Apuração!C:C)+1)/_xlfn.XLOOKUP(F1842,Apuração!A:A,Apuração!B:B),0)</f>
        <v>0.14285714285714285</v>
      </c>
    </row>
    <row r="1843" spans="1:71" ht="25.95" hidden="1" customHeight="1" x14ac:dyDescent="0.3">
      <c r="A1843" s="33" t="s">
        <v>175</v>
      </c>
      <c r="B1843" s="4" t="s">
        <v>187</v>
      </c>
      <c r="C1843" s="5" t="s">
        <v>214</v>
      </c>
      <c r="D1843" s="5" t="s">
        <v>210</v>
      </c>
      <c r="E1843" s="4" t="s">
        <v>96</v>
      </c>
      <c r="F1843" s="4" t="str" cm="1">
        <f t="array" ref="F1843">_xlfn.IFS(
AG1843 &lt;&gt; "", "Jan-Dez/26",
AH1843 &lt;&gt; "", "Fev-Dez/26",
AI1843 &lt;&gt; "", "Mar-Dez/26", AJ1843 &lt;&gt; "", "Abr-Dez/26",
TRUE, "A partir de Junho"
)</f>
        <v>A partir de Junho</v>
      </c>
      <c r="G1843" s="4" t="s">
        <v>62</v>
      </c>
      <c r="H1843" s="7" t="s">
        <v>54</v>
      </c>
      <c r="I1843" s="8" t="s">
        <v>188</v>
      </c>
      <c r="J1843" s="8" t="str" cm="1">
        <f t="array" aca="1" ref="J1843" ca="1">_xlfn.LET(
  _xlpm.actual_value_month, INDEX(T1843:AE1843, MATCH(DATE(YEAR(TODAY()), MONTH(TODAY()), 1), $T$1:$AE$1, 0)),
  IF(_xlpm.actual_value_month &lt;&gt; "", _xlpm.actual_value_month &amp; " ações mensais", "")
)</f>
        <v/>
      </c>
      <c r="K1843" s="8" t="str" cm="1">
        <f t="array" ref="K1843">_xlfn.LET(
    _xlpm.sum_month, SUM(T1843:AE1843),
    IF(_xlpm.sum_month = 0, "", _xlpm.sum_month &amp; " taxa de aderência de treinados.")
)</f>
        <v/>
      </c>
      <c r="L1843" s="9" t="s">
        <v>189</v>
      </c>
      <c r="M1843" s="13">
        <v>1</v>
      </c>
      <c r="N1843" s="5" t="s">
        <v>42</v>
      </c>
      <c r="O1843" s="5" t="s">
        <v>43</v>
      </c>
      <c r="P1843" s="10" t="s">
        <v>146</v>
      </c>
      <c r="Q1843" s="10" t="s">
        <v>44</v>
      </c>
      <c r="R1843" s="11" t="s">
        <v>44</v>
      </c>
      <c r="S1843" s="11" t="s">
        <v>44</v>
      </c>
      <c r="T1843" s="22"/>
      <c r="U1843" s="22"/>
      <c r="V1843" s="22"/>
      <c r="W1843" s="22"/>
      <c r="X1843" s="22"/>
      <c r="Y1843" s="22"/>
      <c r="Z1843" s="22"/>
      <c r="AA1843" s="22"/>
      <c r="AB1843" s="22"/>
      <c r="AC1843" s="22"/>
      <c r="AD1843" s="22"/>
      <c r="AE1843" s="22"/>
      <c r="AG1843" s="71"/>
      <c r="AH1843" s="71"/>
      <c r="AI1843" s="71"/>
      <c r="AJ1843" s="71"/>
      <c r="AK1843" s="71"/>
      <c r="AL1843" s="71"/>
      <c r="AM1843" s="71"/>
      <c r="AN1843" s="71"/>
      <c r="AO1843" s="71"/>
      <c r="AP1843" s="71"/>
      <c r="AQ1843" s="71"/>
      <c r="AR1843" s="71"/>
      <c r="AS1843" s="94" t="str" cm="1">
        <f t="array" ref="AS1843">IFERROR(INDEX(T1843:AE1843,1,MATCH(2,1/(T1843:AE1843&lt;&gt;""))),"")</f>
        <v/>
      </c>
      <c r="AT1843" s="95">
        <f t="shared" ref="AT1843:AT1847" si="2160">AN1843</f>
        <v>0</v>
      </c>
      <c r="AU1843" s="97">
        <f t="shared" ref="AU1843:AU1847" si="2161">AT1843</f>
        <v>0</v>
      </c>
      <c r="AW1843" s="51"/>
      <c r="AX1843" s="51"/>
      <c r="AY1843" s="51"/>
      <c r="AZ1843" s="51"/>
      <c r="BA1843" s="51"/>
      <c r="BB1843" s="51"/>
      <c r="BC1843" s="51"/>
      <c r="BD1843" s="51"/>
      <c r="BE1843" s="51"/>
      <c r="BF1843" s="51"/>
      <c r="BG1843" s="51"/>
      <c r="BH1843" s="51"/>
      <c r="BI1843" s="65" t="str" cm="1">
        <f t="array" ref="BI1843">IFERROR(INDEX(AW1843:BH1843,1,MATCH(2,1/(AW1843:BH1843&lt;&gt;""))),"")</f>
        <v/>
      </c>
      <c r="BJ1843" s="68" t="str" cm="1">
        <f t="array" ref="BJ1843">IF(BM1843 = "", "",IFERROR(INDEX(AW1843:BH1843,1,MATCH(2,1/(AW1843:BH1843&lt;&gt;""),1)-1),""))</f>
        <v/>
      </c>
      <c r="BK1843" s="58" t="str" cm="1">
        <f t="array" ref="BK1843">IFERROR(INDEX(AW1843:BH1843,1,MATCH(2,1/(AW1843:BH1843&lt;&gt;""))),"")</f>
        <v/>
      </c>
      <c r="BL1843" s="58" cm="1">
        <f t="array" aca="1" ref="BL1843" ca="1">IF(SUM(IFERROR(IF(INDEX(AW1843:INDEX(AW1843:BH1843, MATCH(2, 1/(AW1843:BH1843&lt;&gt;""), 1)-1), ROW(INDIRECT("1:" &amp; MATCH(2, 1/(AW1843:BH1843&lt;&gt;""), 1)-1))) &gt;= 115%, 115%, INDEX(AW1843:INDEX(AW1843:BH1843, MATCH(2, 1/(AW1843:BH1843&lt;&gt;""), 1)-1), ROW(INDIRECT("1:" &amp; MATCH(2, 1/(AW1843:BH1843&lt;&gt;""), 1)-1)))), 0))/_xlfn.XLOOKUP(F1843,Apuração!A:A,Apuração!B:B)&gt;=1.15,1.15,SUM(IFERROR(IF(INDEX(AW1843:INDEX(AW1843:BH1843, MATCH(2, 1/(AW1843:BH1843&lt;&gt;""), 1)-1), ROW(INDIRECT("1:" &amp; MATCH(2, 1/(AW1843:BH1843&lt;&gt;""), 1)-1))) &gt;= 115%, 115%, INDEX(AW1843:INDEX(AW1843:BH1843, MATCH(2, 1/(AW1843:BH1843&lt;&gt;""), 1)-1), ROW(INDIRECT("1:" &amp; MATCH(2, 1/(AW1843:BH1843&lt;&gt;""), 1)-1)))), 0))/_xlfn.XLOOKUP(F1843,Apuração!A:A,Apuração!B:B))</f>
        <v>0</v>
      </c>
      <c r="BM1843" s="55" t="str" cm="1">
        <f t="array" ref="BM1843">IFERROR(
   INDEX($AW$1:$BH$1,
      _xlfn.AGGREGATE(14, 6, COLUMN($AW$1:$BH$1)/(AW1843:BH1843&lt;&gt;""), 2) - COLUMN($AW$1) + 1
   ),
"")</f>
        <v/>
      </c>
      <c r="BN1843" s="55" t="str" cm="1">
        <f t="array" ref="BN1843">IFERROR(INDEX($AW$1:$BH$1,1,MATCH(2,1/(AW1843:BH1843&lt;&gt;""))),"")</f>
        <v/>
      </c>
      <c r="BO1843" s="53">
        <f ca="1">IFERROR(_xlfn.XLOOKUP(F1843,Apuração!A:A,Apuração!C:C)/_xlfn.XLOOKUP(F1843,Apuração!A:A,Apuração!B:B),0)</f>
        <v>0</v>
      </c>
      <c r="BP1843" s="53">
        <f ca="1">IFERROR(_xlfn.XLOOKUP(F1843,Apuração!A:A,Apuração!D:D)/_xlfn.XLOOKUP(F1843,Apuração!A:A,Apuração!B:B),0)</f>
        <v>0</v>
      </c>
      <c r="BQ1843" s="53">
        <f ca="1">IF(BK1843&gt;=BO1843,0,_xlfn.XLOOKUP(F1843,Apuração!A:A,Apuração!B:B)*(BO1843 + (1/_xlfn.XLOOKUP(F1843,Apuração!A:A,Apuração!B:B)) - BK1843))</f>
        <v>0</v>
      </c>
      <c r="BR1843" s="85">
        <f t="shared" ref="BR1843:BR1847" ca="1" si="2162">IF(BQ1843=0,0,BQ1843*Z1843)</f>
        <v>0</v>
      </c>
      <c r="BS1843" s="53">
        <f ca="1">IFERROR((_xlfn.XLOOKUP(F1843,Apuração!A:A,Apuração!C:C)+1)/_xlfn.XLOOKUP(F1843,Apuração!A:A,Apuração!B:B),0)</f>
        <v>0.14285714285714285</v>
      </c>
    </row>
    <row r="1844" spans="1:71" ht="25.95" hidden="1" customHeight="1" x14ac:dyDescent="0.3">
      <c r="A1844" s="33" t="s">
        <v>175</v>
      </c>
      <c r="B1844" s="4" t="s">
        <v>187</v>
      </c>
      <c r="C1844" s="5" t="s">
        <v>214</v>
      </c>
      <c r="D1844" s="5" t="s">
        <v>215</v>
      </c>
      <c r="E1844" s="4" t="s">
        <v>96</v>
      </c>
      <c r="F1844" s="4" t="str" cm="1">
        <f t="array" ref="F1844">_xlfn.IFS(
AG1844 &lt;&gt; "", "Jan-Dez/26",
AH1844 &lt;&gt; "", "Fev-Dez/26",
AI1844 &lt;&gt; "", "Mar-Dez/26", AJ1844 &lt;&gt; "", "Abr-Dez/26",
TRUE, "A partir de Junho"
)</f>
        <v>A partir de Junho</v>
      </c>
      <c r="G1844" s="4" t="s">
        <v>62</v>
      </c>
      <c r="H1844" s="7" t="s">
        <v>54</v>
      </c>
      <c r="I1844" s="8" t="s">
        <v>188</v>
      </c>
      <c r="J1844" s="8" t="str" cm="1">
        <f t="array" aca="1" ref="J1844" ca="1">_xlfn.LET(
  _xlpm.actual_value_month, INDEX(T1844:AE1844, MATCH(DATE(YEAR(TODAY()), MONTH(TODAY()), 1), $T$1:$AE$1, 0)),
  IF(_xlpm.actual_value_month &lt;&gt; "", _xlpm.actual_value_month &amp; " ações mensais", "")
)</f>
        <v/>
      </c>
      <c r="K1844" s="8" t="str" cm="1">
        <f t="array" ref="K1844">_xlfn.LET(
    _xlpm.sum_month, SUM(T1844:AE1844),
    IF(_xlpm.sum_month = 0, "", _xlpm.sum_month &amp; " taxa de aderência de treinados.")
)</f>
        <v/>
      </c>
      <c r="L1844" s="9" t="s">
        <v>189</v>
      </c>
      <c r="M1844" s="13">
        <v>1</v>
      </c>
      <c r="N1844" s="5" t="s">
        <v>42</v>
      </c>
      <c r="O1844" s="5" t="s">
        <v>43</v>
      </c>
      <c r="P1844" s="10" t="s">
        <v>146</v>
      </c>
      <c r="Q1844" s="10" t="s">
        <v>44</v>
      </c>
      <c r="R1844" s="11" t="s">
        <v>44</v>
      </c>
      <c r="S1844" s="11" t="s">
        <v>44</v>
      </c>
      <c r="T1844" s="22"/>
      <c r="U1844" s="22"/>
      <c r="V1844" s="22"/>
      <c r="W1844" s="22"/>
      <c r="X1844" s="22"/>
      <c r="Y1844" s="22"/>
      <c r="Z1844" s="22"/>
      <c r="AA1844" s="22"/>
      <c r="AB1844" s="22"/>
      <c r="AC1844" s="22"/>
      <c r="AD1844" s="22"/>
      <c r="AE1844" s="22"/>
      <c r="AG1844" s="71"/>
      <c r="AH1844" s="71"/>
      <c r="AI1844" s="71"/>
      <c r="AJ1844" s="71"/>
      <c r="AK1844" s="71"/>
      <c r="AL1844" s="71"/>
      <c r="AM1844" s="71"/>
      <c r="AN1844" s="71"/>
      <c r="AO1844" s="71"/>
      <c r="AP1844" s="71"/>
      <c r="AQ1844" s="71"/>
      <c r="AR1844" s="71"/>
      <c r="AS1844" s="94" t="str" cm="1">
        <f t="array" ref="AS1844">IFERROR(INDEX(T1844:AE1844,1,MATCH(2,1/(T1844:AE1844&lt;&gt;""))),"")</f>
        <v/>
      </c>
      <c r="AT1844" s="95">
        <f t="shared" si="2160"/>
        <v>0</v>
      </c>
      <c r="AU1844" s="97">
        <f t="shared" si="2161"/>
        <v>0</v>
      </c>
      <c r="AW1844" s="51"/>
      <c r="AX1844" s="51"/>
      <c r="AY1844" s="51"/>
      <c r="AZ1844" s="51"/>
      <c r="BA1844" s="51"/>
      <c r="BB1844" s="51"/>
      <c r="BC1844" s="51"/>
      <c r="BD1844" s="51"/>
      <c r="BE1844" s="51"/>
      <c r="BF1844" s="51"/>
      <c r="BG1844" s="51"/>
      <c r="BH1844" s="51"/>
      <c r="BI1844" s="65" t="str" cm="1">
        <f t="array" ref="BI1844">IFERROR(INDEX(AW1844:BH1844,1,MATCH(2,1/(AW1844:BH1844&lt;&gt;""))),"")</f>
        <v/>
      </c>
      <c r="BJ1844" s="68" t="str" cm="1">
        <f t="array" ref="BJ1844">IF(BM1844 = "", "",IFERROR(INDEX(AW1844:BH1844,1,MATCH(2,1/(AW1844:BH1844&lt;&gt;""),1)-1),""))</f>
        <v/>
      </c>
      <c r="BK1844" s="58" t="str" cm="1">
        <f t="array" ref="BK1844">IFERROR(INDEX(AW1844:BH1844,1,MATCH(2,1/(AW1844:BH1844&lt;&gt;""))),"")</f>
        <v/>
      </c>
      <c r="BL1844" s="58" cm="1">
        <f t="array" aca="1" ref="BL1844" ca="1">IF(SUM(IFERROR(IF(INDEX(AW1844:INDEX(AW1844:BH1844, MATCH(2, 1/(AW1844:BH1844&lt;&gt;""), 1)-1), ROW(INDIRECT("1:" &amp; MATCH(2, 1/(AW1844:BH1844&lt;&gt;""), 1)-1))) &gt;= 115%, 115%, INDEX(AW1844:INDEX(AW1844:BH1844, MATCH(2, 1/(AW1844:BH1844&lt;&gt;""), 1)-1), ROW(INDIRECT("1:" &amp; MATCH(2, 1/(AW1844:BH1844&lt;&gt;""), 1)-1)))), 0))/_xlfn.XLOOKUP(F1844,Apuração!A:A,Apuração!B:B)&gt;=1.15,1.15,SUM(IFERROR(IF(INDEX(AW1844:INDEX(AW1844:BH1844, MATCH(2, 1/(AW1844:BH1844&lt;&gt;""), 1)-1), ROW(INDIRECT("1:" &amp; MATCH(2, 1/(AW1844:BH1844&lt;&gt;""), 1)-1))) &gt;= 115%, 115%, INDEX(AW1844:INDEX(AW1844:BH1844, MATCH(2, 1/(AW1844:BH1844&lt;&gt;""), 1)-1), ROW(INDIRECT("1:" &amp; MATCH(2, 1/(AW1844:BH1844&lt;&gt;""), 1)-1)))), 0))/_xlfn.XLOOKUP(F1844,Apuração!A:A,Apuração!B:B))</f>
        <v>0</v>
      </c>
      <c r="BM1844" s="55" t="str" cm="1">
        <f t="array" ref="BM1844">IFERROR(
   INDEX($AW$1:$BH$1,
      _xlfn.AGGREGATE(14, 6, COLUMN($AW$1:$BH$1)/(AW1844:BH1844&lt;&gt;""), 2) - COLUMN($AW$1) + 1
   ),
"")</f>
        <v/>
      </c>
      <c r="BN1844" s="55" t="str" cm="1">
        <f t="array" ref="BN1844">IFERROR(INDEX($AW$1:$BH$1,1,MATCH(2,1/(AW1844:BH1844&lt;&gt;""))),"")</f>
        <v/>
      </c>
      <c r="BO1844" s="53">
        <f ca="1">IFERROR(_xlfn.XLOOKUP(F1844,Apuração!A:A,Apuração!C:C)/_xlfn.XLOOKUP(F1844,Apuração!A:A,Apuração!B:B),0)</f>
        <v>0</v>
      </c>
      <c r="BP1844" s="53">
        <f ca="1">IFERROR(_xlfn.XLOOKUP(F1844,Apuração!A:A,Apuração!D:D)/_xlfn.XLOOKUP(F1844,Apuração!A:A,Apuração!B:B),0)</f>
        <v>0</v>
      </c>
      <c r="BQ1844" s="53">
        <f ca="1">IF(BK1844&gt;=BO1844,0,_xlfn.XLOOKUP(F1844,Apuração!A:A,Apuração!B:B)*(BO1844 + (1/_xlfn.XLOOKUP(F1844,Apuração!A:A,Apuração!B:B)) - BK1844))</f>
        <v>0</v>
      </c>
      <c r="BR1844" s="85">
        <f t="shared" ca="1" si="2162"/>
        <v>0</v>
      </c>
      <c r="BS1844" s="53">
        <f ca="1">IFERROR((_xlfn.XLOOKUP(F1844,Apuração!A:A,Apuração!C:C)+1)/_xlfn.XLOOKUP(F1844,Apuração!A:A,Apuração!B:B),0)</f>
        <v>0.14285714285714285</v>
      </c>
    </row>
    <row r="1845" spans="1:71" ht="25.95" hidden="1" customHeight="1" x14ac:dyDescent="0.3">
      <c r="A1845" s="33" t="s">
        <v>175</v>
      </c>
      <c r="B1845" s="4" t="s">
        <v>187</v>
      </c>
      <c r="C1845" s="5" t="s">
        <v>214</v>
      </c>
      <c r="D1845" s="5" t="s">
        <v>212</v>
      </c>
      <c r="E1845" s="4" t="s">
        <v>96</v>
      </c>
      <c r="F1845" s="4" t="str" cm="1">
        <f t="array" ref="F1845">_xlfn.IFS(
AG1845 &lt;&gt; "", "Jan-Dez/26",
AH1845 &lt;&gt; "", "Fev-Dez/26",
AI1845 &lt;&gt; "", "Mar-Dez/26", AJ1845 &lt;&gt; "", "Abr-Dez/26",
TRUE, "A partir de Junho"
)</f>
        <v>A partir de Junho</v>
      </c>
      <c r="G1845" s="4" t="s">
        <v>62</v>
      </c>
      <c r="H1845" s="7" t="s">
        <v>54</v>
      </c>
      <c r="I1845" s="8" t="s">
        <v>188</v>
      </c>
      <c r="J1845" s="8" t="str" cm="1">
        <f t="array" aca="1" ref="J1845" ca="1">_xlfn.LET(
  _xlpm.actual_value_month, INDEX(T1845:AE1845, MATCH(DATE(YEAR(TODAY()), MONTH(TODAY()), 1), $T$1:$AE$1, 0)),
  IF(_xlpm.actual_value_month &lt;&gt; "", _xlpm.actual_value_month &amp; " ações mensais", "")
)</f>
        <v/>
      </c>
      <c r="K1845" s="8" t="str" cm="1">
        <f t="array" ref="K1845">_xlfn.LET(
    _xlpm.sum_month, SUM(T1845:AE1845),
    IF(_xlpm.sum_month = 0, "", _xlpm.sum_month &amp; " taxa de aderência de treinados.")
)</f>
        <v/>
      </c>
      <c r="L1845" s="9" t="s">
        <v>189</v>
      </c>
      <c r="M1845" s="13">
        <v>1</v>
      </c>
      <c r="N1845" s="5" t="s">
        <v>42</v>
      </c>
      <c r="O1845" s="5" t="s">
        <v>43</v>
      </c>
      <c r="P1845" s="10" t="s">
        <v>146</v>
      </c>
      <c r="Q1845" s="10" t="s">
        <v>44</v>
      </c>
      <c r="R1845" s="11" t="s">
        <v>44</v>
      </c>
      <c r="S1845" s="11" t="s">
        <v>44</v>
      </c>
      <c r="T1845" s="22"/>
      <c r="U1845" s="22"/>
      <c r="V1845" s="22"/>
      <c r="W1845" s="22"/>
      <c r="X1845" s="22"/>
      <c r="Y1845" s="22"/>
      <c r="Z1845" s="22"/>
      <c r="AA1845" s="22"/>
      <c r="AB1845" s="22"/>
      <c r="AC1845" s="22"/>
      <c r="AD1845" s="22"/>
      <c r="AE1845" s="22"/>
      <c r="AG1845" s="71"/>
      <c r="AH1845" s="71"/>
      <c r="AI1845" s="71"/>
      <c r="AJ1845" s="71"/>
      <c r="AK1845" s="71"/>
      <c r="AL1845" s="71"/>
      <c r="AM1845" s="71"/>
      <c r="AN1845" s="71"/>
      <c r="AO1845" s="71"/>
      <c r="AP1845" s="71"/>
      <c r="AQ1845" s="71"/>
      <c r="AR1845" s="71"/>
      <c r="AS1845" s="94" t="str" cm="1">
        <f t="array" ref="AS1845">IFERROR(INDEX(T1845:AE1845,1,MATCH(2,1/(T1845:AE1845&lt;&gt;""))),"")</f>
        <v/>
      </c>
      <c r="AT1845" s="95">
        <f t="shared" si="2160"/>
        <v>0</v>
      </c>
      <c r="AU1845" s="97">
        <f t="shared" si="2161"/>
        <v>0</v>
      </c>
      <c r="AW1845" s="51"/>
      <c r="AX1845" s="51"/>
      <c r="AY1845" s="51"/>
      <c r="AZ1845" s="51"/>
      <c r="BA1845" s="51"/>
      <c r="BB1845" s="51"/>
      <c r="BC1845" s="51"/>
      <c r="BD1845" s="51"/>
      <c r="BE1845" s="51"/>
      <c r="BF1845" s="51"/>
      <c r="BG1845" s="51"/>
      <c r="BH1845" s="51"/>
      <c r="BI1845" s="65" t="str" cm="1">
        <f t="array" ref="BI1845">IFERROR(INDEX(AW1845:BH1845,1,MATCH(2,1/(AW1845:BH1845&lt;&gt;""))),"")</f>
        <v/>
      </c>
      <c r="BJ1845" s="68" t="str" cm="1">
        <f t="array" ref="BJ1845">IF(BM1845 = "", "",IFERROR(INDEX(AW1845:BH1845,1,MATCH(2,1/(AW1845:BH1845&lt;&gt;""),1)-1),""))</f>
        <v/>
      </c>
      <c r="BK1845" s="58" t="str" cm="1">
        <f t="array" ref="BK1845">IFERROR(INDEX(AW1845:BH1845,1,MATCH(2,1/(AW1845:BH1845&lt;&gt;""))),"")</f>
        <v/>
      </c>
      <c r="BL1845" s="58" cm="1">
        <f t="array" aca="1" ref="BL1845" ca="1">IF(SUM(IFERROR(IF(INDEX(AW1845:INDEX(AW1845:BH1845, MATCH(2, 1/(AW1845:BH1845&lt;&gt;""), 1)-1), ROW(INDIRECT("1:" &amp; MATCH(2, 1/(AW1845:BH1845&lt;&gt;""), 1)-1))) &gt;= 115%, 115%, INDEX(AW1845:INDEX(AW1845:BH1845, MATCH(2, 1/(AW1845:BH1845&lt;&gt;""), 1)-1), ROW(INDIRECT("1:" &amp; MATCH(2, 1/(AW1845:BH1845&lt;&gt;""), 1)-1)))), 0))/_xlfn.XLOOKUP(F1845,Apuração!A:A,Apuração!B:B)&gt;=1.15,1.15,SUM(IFERROR(IF(INDEX(AW1845:INDEX(AW1845:BH1845, MATCH(2, 1/(AW1845:BH1845&lt;&gt;""), 1)-1), ROW(INDIRECT("1:" &amp; MATCH(2, 1/(AW1845:BH1845&lt;&gt;""), 1)-1))) &gt;= 115%, 115%, INDEX(AW1845:INDEX(AW1845:BH1845, MATCH(2, 1/(AW1845:BH1845&lt;&gt;""), 1)-1), ROW(INDIRECT("1:" &amp; MATCH(2, 1/(AW1845:BH1845&lt;&gt;""), 1)-1)))), 0))/_xlfn.XLOOKUP(F1845,Apuração!A:A,Apuração!B:B))</f>
        <v>0</v>
      </c>
      <c r="BM1845" s="55" t="str" cm="1">
        <f t="array" ref="BM1845">IFERROR(
   INDEX($AW$1:$BH$1,
      _xlfn.AGGREGATE(14, 6, COLUMN($AW$1:$BH$1)/(AW1845:BH1845&lt;&gt;""), 2) - COLUMN($AW$1) + 1
   ),
"")</f>
        <v/>
      </c>
      <c r="BN1845" s="55" t="str" cm="1">
        <f t="array" ref="BN1845">IFERROR(INDEX($AW$1:$BH$1,1,MATCH(2,1/(AW1845:BH1845&lt;&gt;""))),"")</f>
        <v/>
      </c>
      <c r="BO1845" s="53">
        <f ca="1">IFERROR(_xlfn.XLOOKUP(F1845,Apuração!A:A,Apuração!C:C)/_xlfn.XLOOKUP(F1845,Apuração!A:A,Apuração!B:B),0)</f>
        <v>0</v>
      </c>
      <c r="BP1845" s="53">
        <f ca="1">IFERROR(_xlfn.XLOOKUP(F1845,Apuração!A:A,Apuração!D:D)/_xlfn.XLOOKUP(F1845,Apuração!A:A,Apuração!B:B),0)</f>
        <v>0</v>
      </c>
      <c r="BQ1845" s="53">
        <f ca="1">IF(BK1845&gt;=BO1845,0,_xlfn.XLOOKUP(F1845,Apuração!A:A,Apuração!B:B)*(BO1845 + (1/_xlfn.XLOOKUP(F1845,Apuração!A:A,Apuração!B:B)) - BK1845))</f>
        <v>0</v>
      </c>
      <c r="BR1845" s="85">
        <f t="shared" ca="1" si="2162"/>
        <v>0</v>
      </c>
      <c r="BS1845" s="53">
        <f ca="1">IFERROR((_xlfn.XLOOKUP(F1845,Apuração!A:A,Apuração!C:C)+1)/_xlfn.XLOOKUP(F1845,Apuração!A:A,Apuração!B:B),0)</f>
        <v>0.14285714285714285</v>
      </c>
    </row>
    <row r="1846" spans="1:71" ht="25.95" hidden="1" customHeight="1" x14ac:dyDescent="0.3">
      <c r="A1846" s="33" t="s">
        <v>175</v>
      </c>
      <c r="B1846" s="4" t="s">
        <v>187</v>
      </c>
      <c r="C1846" s="5" t="s">
        <v>214</v>
      </c>
      <c r="D1846" s="5" t="s">
        <v>48</v>
      </c>
      <c r="E1846" s="4" t="s">
        <v>96</v>
      </c>
      <c r="F1846" s="4" t="str" cm="1">
        <f t="array" ref="F1846">_xlfn.IFS(
AG1846 &lt;&gt; "", "Jan-Dez/26",
AH1846 &lt;&gt; "", "Fev-Dez/26",
AI1846 &lt;&gt; "", "Mar-Dez/26", AJ1846 &lt;&gt; "", "Abr-Dez/26",
TRUE, "A partir de Junho"
)</f>
        <v>A partir de Junho</v>
      </c>
      <c r="G1846" s="4" t="s">
        <v>62</v>
      </c>
      <c r="H1846" s="7" t="s">
        <v>54</v>
      </c>
      <c r="I1846" s="8" t="s">
        <v>188</v>
      </c>
      <c r="J1846" s="8" t="str" cm="1">
        <f t="array" aca="1" ref="J1846" ca="1">_xlfn.LET(
  _xlpm.actual_value_month, INDEX(T1846:AE1846, MATCH(DATE(YEAR(TODAY()), MONTH(TODAY()), 1), $T$1:$AE$1, 0)),
  IF(_xlpm.actual_value_month &lt;&gt; "", _xlpm.actual_value_month &amp; " ações mensais", "")
)</f>
        <v/>
      </c>
      <c r="K1846" s="8" t="str" cm="1">
        <f t="array" ref="K1846">_xlfn.LET(
    _xlpm.sum_month, SUM(T1846:AE1846),
    IF(_xlpm.sum_month = 0, "", _xlpm.sum_month &amp; " taxa de aderência de treinados.")
)</f>
        <v/>
      </c>
      <c r="L1846" s="9" t="s">
        <v>189</v>
      </c>
      <c r="M1846" s="13">
        <v>1</v>
      </c>
      <c r="N1846" s="5" t="s">
        <v>42</v>
      </c>
      <c r="O1846" s="5" t="s">
        <v>43</v>
      </c>
      <c r="P1846" s="10" t="s">
        <v>146</v>
      </c>
      <c r="Q1846" s="10" t="s">
        <v>44</v>
      </c>
      <c r="R1846" s="11" t="s">
        <v>44</v>
      </c>
      <c r="S1846" s="11" t="s">
        <v>44</v>
      </c>
      <c r="T1846" s="22"/>
      <c r="U1846" s="22"/>
      <c r="V1846" s="22"/>
      <c r="W1846" s="22"/>
      <c r="X1846" s="22"/>
      <c r="Y1846" s="22"/>
      <c r="Z1846" s="22"/>
      <c r="AA1846" s="22"/>
      <c r="AB1846" s="22"/>
      <c r="AC1846" s="22"/>
      <c r="AD1846" s="22"/>
      <c r="AE1846" s="22"/>
      <c r="AG1846" s="71"/>
      <c r="AH1846" s="71"/>
      <c r="AI1846" s="71"/>
      <c r="AJ1846" s="71"/>
      <c r="AK1846" s="71"/>
      <c r="AL1846" s="71"/>
      <c r="AM1846" s="71"/>
      <c r="AN1846" s="71"/>
      <c r="AO1846" s="71"/>
      <c r="AP1846" s="71"/>
      <c r="AQ1846" s="71"/>
      <c r="AR1846" s="71"/>
      <c r="AS1846" s="94" t="str" cm="1">
        <f t="array" ref="AS1846">IFERROR(INDEX(T1846:AE1846,1,MATCH(2,1/(T1846:AE1846&lt;&gt;""))),"")</f>
        <v/>
      </c>
      <c r="AT1846" s="95">
        <f t="shared" si="2160"/>
        <v>0</v>
      </c>
      <c r="AU1846" s="97">
        <f t="shared" si="2161"/>
        <v>0</v>
      </c>
      <c r="AW1846" s="51"/>
      <c r="AX1846" s="51"/>
      <c r="AY1846" s="51"/>
      <c r="AZ1846" s="51"/>
      <c r="BA1846" s="51"/>
      <c r="BB1846" s="51"/>
      <c r="BC1846" s="51"/>
      <c r="BD1846" s="51"/>
      <c r="BE1846" s="51"/>
      <c r="BF1846" s="51"/>
      <c r="BG1846" s="51"/>
      <c r="BH1846" s="51"/>
      <c r="BI1846" s="65" t="str" cm="1">
        <f t="array" ref="BI1846">IFERROR(INDEX(AW1846:BH1846,1,MATCH(2,1/(AW1846:BH1846&lt;&gt;""))),"")</f>
        <v/>
      </c>
      <c r="BJ1846" s="68" t="str" cm="1">
        <f t="array" ref="BJ1846">IF(BM1846 = "", "",IFERROR(INDEX(AW1846:BH1846,1,MATCH(2,1/(AW1846:BH1846&lt;&gt;""),1)-1),""))</f>
        <v/>
      </c>
      <c r="BK1846" s="58" t="str" cm="1">
        <f t="array" ref="BK1846">IFERROR(INDEX(AW1846:BH1846,1,MATCH(2,1/(AW1846:BH1846&lt;&gt;""))),"")</f>
        <v/>
      </c>
      <c r="BL1846" s="58" cm="1">
        <f t="array" aca="1" ref="BL1846" ca="1">IF(SUM(IFERROR(IF(INDEX(AW1846:INDEX(AW1846:BH1846, MATCH(2, 1/(AW1846:BH1846&lt;&gt;""), 1)-1), ROW(INDIRECT("1:" &amp; MATCH(2, 1/(AW1846:BH1846&lt;&gt;""), 1)-1))) &gt;= 115%, 115%, INDEX(AW1846:INDEX(AW1846:BH1846, MATCH(2, 1/(AW1846:BH1846&lt;&gt;""), 1)-1), ROW(INDIRECT("1:" &amp; MATCH(2, 1/(AW1846:BH1846&lt;&gt;""), 1)-1)))), 0))/_xlfn.XLOOKUP(F1846,Apuração!A:A,Apuração!B:B)&gt;=1.15,1.15,SUM(IFERROR(IF(INDEX(AW1846:INDEX(AW1846:BH1846, MATCH(2, 1/(AW1846:BH1846&lt;&gt;""), 1)-1), ROW(INDIRECT("1:" &amp; MATCH(2, 1/(AW1846:BH1846&lt;&gt;""), 1)-1))) &gt;= 115%, 115%, INDEX(AW1846:INDEX(AW1846:BH1846, MATCH(2, 1/(AW1846:BH1846&lt;&gt;""), 1)-1), ROW(INDIRECT("1:" &amp; MATCH(2, 1/(AW1846:BH1846&lt;&gt;""), 1)-1)))), 0))/_xlfn.XLOOKUP(F1846,Apuração!A:A,Apuração!B:B))</f>
        <v>0</v>
      </c>
      <c r="BM1846" s="55" t="str" cm="1">
        <f t="array" ref="BM1846">IFERROR(
   INDEX($AW$1:$BH$1,
      _xlfn.AGGREGATE(14, 6, COLUMN($AW$1:$BH$1)/(AW1846:BH1846&lt;&gt;""), 2) - COLUMN($AW$1) + 1
   ),
"")</f>
        <v/>
      </c>
      <c r="BN1846" s="55" t="str" cm="1">
        <f t="array" ref="BN1846">IFERROR(INDEX($AW$1:$BH$1,1,MATCH(2,1/(AW1846:BH1846&lt;&gt;""))),"")</f>
        <v/>
      </c>
      <c r="BO1846" s="53">
        <f ca="1">IFERROR(_xlfn.XLOOKUP(F1846,Apuração!A:A,Apuração!C:C)/_xlfn.XLOOKUP(F1846,Apuração!A:A,Apuração!B:B),0)</f>
        <v>0</v>
      </c>
      <c r="BP1846" s="53">
        <f ca="1">IFERROR(_xlfn.XLOOKUP(F1846,Apuração!A:A,Apuração!D:D)/_xlfn.XLOOKUP(F1846,Apuração!A:A,Apuração!B:B),0)</f>
        <v>0</v>
      </c>
      <c r="BQ1846" s="53">
        <f ca="1">IF(BK1846&gt;=BO1846,0,_xlfn.XLOOKUP(F1846,Apuração!A:A,Apuração!B:B)*(BO1846 + (1/_xlfn.XLOOKUP(F1846,Apuração!A:A,Apuração!B:B)) - BK1846))</f>
        <v>0</v>
      </c>
      <c r="BR1846" s="85">
        <f t="shared" ca="1" si="2162"/>
        <v>0</v>
      </c>
      <c r="BS1846" s="53">
        <f ca="1">IFERROR((_xlfn.XLOOKUP(F1846,Apuração!A:A,Apuração!C:C)+1)/_xlfn.XLOOKUP(F1846,Apuração!A:A,Apuração!B:B),0)</f>
        <v>0.14285714285714285</v>
      </c>
    </row>
    <row r="1847" spans="1:71" ht="25.95" hidden="1" customHeight="1" x14ac:dyDescent="0.3">
      <c r="A1847" s="33" t="s">
        <v>175</v>
      </c>
      <c r="B1847" s="4" t="s">
        <v>187</v>
      </c>
      <c r="C1847" s="5" t="s">
        <v>214</v>
      </c>
      <c r="D1847" s="5" t="s">
        <v>213</v>
      </c>
      <c r="E1847" s="4" t="s">
        <v>96</v>
      </c>
      <c r="F1847" s="4" t="str" cm="1">
        <f t="array" ref="F1847">_xlfn.IFS(
AG1847 &lt;&gt; "", "Jan-Dez/26",
AH1847 &lt;&gt; "", "Fev-Dez/26",
AI1847 &lt;&gt; "", "Mar-Dez/26", AJ1847 &lt;&gt; "", "Abr-Dez/26",
TRUE, "A partir de Junho"
)</f>
        <v>A partir de Junho</v>
      </c>
      <c r="G1847" s="4" t="s">
        <v>62</v>
      </c>
      <c r="H1847" s="7" t="s">
        <v>54</v>
      </c>
      <c r="I1847" s="8" t="s">
        <v>188</v>
      </c>
      <c r="J1847" s="8" t="str" cm="1">
        <f t="array" aca="1" ref="J1847" ca="1">_xlfn.LET(
  _xlpm.actual_value_month, INDEX(T1847:AE1847, MATCH(DATE(YEAR(TODAY()), MONTH(TODAY()), 1), $T$1:$AE$1, 0)),
  IF(_xlpm.actual_value_month &lt;&gt; "", _xlpm.actual_value_month &amp; " ações mensais", "")
)</f>
        <v/>
      </c>
      <c r="K1847" s="8" t="str" cm="1">
        <f t="array" ref="K1847">_xlfn.LET(
    _xlpm.sum_month, SUM(T1847:AE1847),
    IF(_xlpm.sum_month = 0, "", _xlpm.sum_month &amp; " taxa de aderência de treinados.")
)</f>
        <v/>
      </c>
      <c r="L1847" s="9" t="s">
        <v>189</v>
      </c>
      <c r="M1847" s="13">
        <v>1</v>
      </c>
      <c r="N1847" s="5" t="s">
        <v>42</v>
      </c>
      <c r="O1847" s="5" t="s">
        <v>43</v>
      </c>
      <c r="P1847" s="10" t="s">
        <v>146</v>
      </c>
      <c r="Q1847" s="10" t="s">
        <v>44</v>
      </c>
      <c r="R1847" s="11" t="s">
        <v>44</v>
      </c>
      <c r="S1847" s="11" t="s">
        <v>44</v>
      </c>
      <c r="T1847" s="22"/>
      <c r="U1847" s="22"/>
      <c r="V1847" s="22"/>
      <c r="W1847" s="22"/>
      <c r="X1847" s="22"/>
      <c r="Y1847" s="22"/>
      <c r="Z1847" s="22"/>
      <c r="AA1847" s="22"/>
      <c r="AB1847" s="22"/>
      <c r="AC1847" s="22"/>
      <c r="AD1847" s="22"/>
      <c r="AE1847" s="22"/>
      <c r="AG1847" s="71"/>
      <c r="AH1847" s="71"/>
      <c r="AI1847" s="71"/>
      <c r="AJ1847" s="71"/>
      <c r="AK1847" s="71"/>
      <c r="AL1847" s="71"/>
      <c r="AM1847" s="71"/>
      <c r="AN1847" s="71"/>
      <c r="AO1847" s="71"/>
      <c r="AP1847" s="71"/>
      <c r="AQ1847" s="71"/>
      <c r="AR1847" s="71"/>
      <c r="AS1847" s="94" t="str" cm="1">
        <f t="array" ref="AS1847">IFERROR(INDEX(T1847:AE1847,1,MATCH(2,1/(T1847:AE1847&lt;&gt;""))),"")</f>
        <v/>
      </c>
      <c r="AT1847" s="95">
        <f t="shared" si="2160"/>
        <v>0</v>
      </c>
      <c r="AU1847" s="97">
        <f t="shared" si="2161"/>
        <v>0</v>
      </c>
      <c r="AW1847" s="51"/>
      <c r="AX1847" s="51"/>
      <c r="AY1847" s="51"/>
      <c r="AZ1847" s="51"/>
      <c r="BA1847" s="51"/>
      <c r="BB1847" s="51"/>
      <c r="BC1847" s="51"/>
      <c r="BD1847" s="51"/>
      <c r="BE1847" s="51"/>
      <c r="BF1847" s="51"/>
      <c r="BG1847" s="51"/>
      <c r="BH1847" s="51"/>
      <c r="BI1847" s="65" t="str" cm="1">
        <f t="array" ref="BI1847">IFERROR(INDEX(AW1847:BH1847,1,MATCH(2,1/(AW1847:BH1847&lt;&gt;""))),"")</f>
        <v/>
      </c>
      <c r="BJ1847" s="68" t="str" cm="1">
        <f t="array" ref="BJ1847">IF(BM1847 = "", "",IFERROR(INDEX(AW1847:BH1847,1,MATCH(2,1/(AW1847:BH1847&lt;&gt;""),1)-1),""))</f>
        <v/>
      </c>
      <c r="BK1847" s="58" t="str" cm="1">
        <f t="array" ref="BK1847">IFERROR(INDEX(AW1847:BH1847,1,MATCH(2,1/(AW1847:BH1847&lt;&gt;""))),"")</f>
        <v/>
      </c>
      <c r="BL1847" s="58" cm="1">
        <f t="array" aca="1" ref="BL1847" ca="1">IF(SUM(IFERROR(IF(INDEX(AW1847:INDEX(AW1847:BH1847, MATCH(2, 1/(AW1847:BH1847&lt;&gt;""), 1)-1), ROW(INDIRECT("1:" &amp; MATCH(2, 1/(AW1847:BH1847&lt;&gt;""), 1)-1))) &gt;= 115%, 115%, INDEX(AW1847:INDEX(AW1847:BH1847, MATCH(2, 1/(AW1847:BH1847&lt;&gt;""), 1)-1), ROW(INDIRECT("1:" &amp; MATCH(2, 1/(AW1847:BH1847&lt;&gt;""), 1)-1)))), 0))/_xlfn.XLOOKUP(F1847,Apuração!A:A,Apuração!B:B)&gt;=1.15,1.15,SUM(IFERROR(IF(INDEX(AW1847:INDEX(AW1847:BH1847, MATCH(2, 1/(AW1847:BH1847&lt;&gt;""), 1)-1), ROW(INDIRECT("1:" &amp; MATCH(2, 1/(AW1847:BH1847&lt;&gt;""), 1)-1))) &gt;= 115%, 115%, INDEX(AW1847:INDEX(AW1847:BH1847, MATCH(2, 1/(AW1847:BH1847&lt;&gt;""), 1)-1), ROW(INDIRECT("1:" &amp; MATCH(2, 1/(AW1847:BH1847&lt;&gt;""), 1)-1)))), 0))/_xlfn.XLOOKUP(F1847,Apuração!A:A,Apuração!B:B))</f>
        <v>0</v>
      </c>
      <c r="BM1847" s="55" t="str" cm="1">
        <f t="array" ref="BM1847">IFERROR(
   INDEX($AW$1:$BH$1,
      _xlfn.AGGREGATE(14, 6, COLUMN($AW$1:$BH$1)/(AW1847:BH1847&lt;&gt;""), 2) - COLUMN($AW$1) + 1
   ),
"")</f>
        <v/>
      </c>
      <c r="BN1847" s="55" t="str" cm="1">
        <f t="array" ref="BN1847">IFERROR(INDEX($AW$1:$BH$1,1,MATCH(2,1/(AW1847:BH1847&lt;&gt;""))),"")</f>
        <v/>
      </c>
      <c r="BO1847" s="53">
        <f ca="1">IFERROR(_xlfn.XLOOKUP(F1847,Apuração!A:A,Apuração!C:C)/_xlfn.XLOOKUP(F1847,Apuração!A:A,Apuração!B:B),0)</f>
        <v>0</v>
      </c>
      <c r="BP1847" s="53">
        <f ca="1">IFERROR(_xlfn.XLOOKUP(F1847,Apuração!A:A,Apuração!D:D)/_xlfn.XLOOKUP(F1847,Apuração!A:A,Apuração!B:B),0)</f>
        <v>0</v>
      </c>
      <c r="BQ1847" s="53">
        <f ca="1">IF(BK1847&gt;=BO1847,0,_xlfn.XLOOKUP(F1847,Apuração!A:A,Apuração!B:B)*(BO1847 + (1/_xlfn.XLOOKUP(F1847,Apuração!A:A,Apuração!B:B)) - BK1847))</f>
        <v>0</v>
      </c>
      <c r="BR1847" s="85">
        <f t="shared" ca="1" si="2162"/>
        <v>0</v>
      </c>
      <c r="BS1847" s="53">
        <f ca="1">IFERROR((_xlfn.XLOOKUP(F1847,Apuração!A:A,Apuração!C:C)+1)/_xlfn.XLOOKUP(F1847,Apuração!A:A,Apuração!B:B),0)</f>
        <v>0.14285714285714285</v>
      </c>
    </row>
    <row r="1848" spans="1:71" ht="25.95" hidden="1" customHeight="1" x14ac:dyDescent="0.3">
      <c r="A1848" s="44" t="s">
        <v>175</v>
      </c>
      <c r="B1848" s="4" t="s">
        <v>187</v>
      </c>
      <c r="C1848" s="5" t="s">
        <v>214</v>
      </c>
      <c r="D1848" s="5" t="s">
        <v>36</v>
      </c>
      <c r="E1848" s="4" t="s">
        <v>96</v>
      </c>
      <c r="F1848" s="4" t="str" cm="1">
        <f t="array" ref="F1848">_xlfn.IFS(
AG1848 &lt;&gt; "", "Jan-Dez/26",
AH1848 &lt;&gt; "", "Fev-Dez/26",
AI1848 &lt;&gt; "", "Mar-Dez/26", AJ1848 &lt;&gt; "", "Abr-Dez/26",
TRUE, "A partir de Junho"
)</f>
        <v>A partir de Junho</v>
      </c>
      <c r="G1848" s="4" t="s">
        <v>62</v>
      </c>
      <c r="H1848" s="7" t="s">
        <v>54</v>
      </c>
      <c r="I1848" s="21" t="s">
        <v>190</v>
      </c>
      <c r="J1848" s="8" t="str" cm="1">
        <f t="array" aca="1" ref="J1848" ca="1">_xlfn.LET(
  _xlpm.actual_value_month, INDEX(T1848:AE1848, MATCH(DATE(YEAR(TODAY()), MONTH(TODAY()), 1), $T$1:$AE$1, 0)),
  IF(_xlpm.actual_value_month &lt;&gt; "", _xlpm.actual_value_month &amp; " ações mensais", "")
)</f>
        <v/>
      </c>
      <c r="K1848" s="8" t="str" cm="1">
        <f t="array" ref="K1848">_xlfn.LET(
    _xlpm.sum_month, SUM(T1848:AE1848),
    IF(_xlpm.sum_month = 0, "", _xlpm.sum_month &amp; " treinados não mapeados.")
)</f>
        <v/>
      </c>
      <c r="L1848" s="9" t="s">
        <v>191</v>
      </c>
      <c r="M1848" s="13">
        <v>1</v>
      </c>
      <c r="N1848" s="5" t="s">
        <v>51</v>
      </c>
      <c r="O1848" s="5" t="s">
        <v>52</v>
      </c>
      <c r="P1848" s="10" t="s">
        <v>146</v>
      </c>
      <c r="Q1848" s="10" t="s">
        <v>44</v>
      </c>
      <c r="R1848" s="11" t="s">
        <v>44</v>
      </c>
      <c r="S1848" s="11" t="s">
        <v>44</v>
      </c>
      <c r="T1848" s="22"/>
      <c r="U1848" s="22"/>
      <c r="V1848" s="22"/>
      <c r="W1848" s="22"/>
      <c r="X1848" s="22"/>
      <c r="Y1848" s="22"/>
      <c r="Z1848" s="22"/>
      <c r="AA1848" s="22"/>
      <c r="AB1848" s="22"/>
      <c r="AC1848" s="22"/>
      <c r="AD1848" s="22"/>
      <c r="AE1848" s="22"/>
      <c r="AG1848" s="71"/>
      <c r="AH1848" s="71"/>
      <c r="AI1848" s="71"/>
      <c r="AJ1848" s="71"/>
      <c r="AK1848" s="71"/>
      <c r="AL1848" s="71"/>
      <c r="AM1848" s="71"/>
      <c r="AN1848" s="71"/>
      <c r="AO1848" s="71"/>
      <c r="AP1848" s="71"/>
      <c r="AQ1848" s="71"/>
      <c r="AR1848" s="71"/>
      <c r="AS1848" s="94" t="str" cm="1">
        <f t="array" ref="AS1848">IFERROR(INDEX(T1848:AE1848,1,MATCH(2,1/(T1848:AE1848&lt;&gt;""))),"")</f>
        <v/>
      </c>
      <c r="AT1848" s="95">
        <f>AN1848</f>
        <v>0</v>
      </c>
      <c r="AU1848" s="97">
        <f>AT1848</f>
        <v>0</v>
      </c>
      <c r="AW1848" s="52">
        <f>AG1848</f>
        <v>0</v>
      </c>
      <c r="AX1848" s="52"/>
      <c r="AY1848" s="52"/>
      <c r="AZ1848" s="52"/>
      <c r="BA1848" s="52"/>
      <c r="BB1848" s="52"/>
      <c r="BC1848" s="52"/>
      <c r="BD1848" s="52"/>
      <c r="BE1848" s="52"/>
      <c r="BF1848" s="52"/>
      <c r="BG1848" s="52"/>
      <c r="BH1848" s="52"/>
      <c r="BI1848" s="68" cm="1">
        <f t="array" ref="BI1848">IFERROR(INDEX(AW1848:BH1848,1,MATCH(2,1/(AW1848:BH1848&lt;&gt;""))),"")</f>
        <v>0</v>
      </c>
      <c r="BJ1848" s="68" t="str" cm="1">
        <f t="array" ref="BJ1848">IF(BM1848 = "", "",IFERROR(INDEX(AW1848:BH1848,1,MATCH(2,1/(AW1848:BH1848&lt;&gt;""),1)-1),""))</f>
        <v/>
      </c>
      <c r="BK1848" s="59">
        <f>SUM(AW1848:BH1848)</f>
        <v>0</v>
      </c>
      <c r="BL1848" s="59">
        <f>SUM(AW1848:BE1848)</f>
        <v>0</v>
      </c>
      <c r="BM1848" s="55" t="str" cm="1">
        <f t="array" ref="BM1848">IFERROR(
   INDEX($AW$1:$BH$1,
      _xlfn.AGGREGATE(14, 6, COLUMN($AW$1:$BH$1)/(AW1848:BH1848&lt;&gt;""), 2) - COLUMN($AW$1) + 1
   ),
"")</f>
        <v/>
      </c>
      <c r="BN1848" s="55" cm="1">
        <f t="array" ref="BN1848">IFERROR(INDEX($AW$1:$BH$1,1,MATCH(2,1/(AW1848:BH1848&lt;&gt;""))),"")</f>
        <v>46023</v>
      </c>
      <c r="BO1848" s="53">
        <f ca="1">IFERROR(_xlfn.XLOOKUP(F1848,Apuração!A:A,Apuração!C:C)/_xlfn.XLOOKUP(F1848,Apuração!A:A,Apuração!B:B),0)</f>
        <v>0</v>
      </c>
      <c r="BP1848" s="53">
        <f ca="1">IFERROR(_xlfn.XLOOKUP(F1848,Apuração!A:A,Apuração!D:D)/_xlfn.XLOOKUP(F1848,Apuração!A:A,Apuração!B:B),0)</f>
        <v>0</v>
      </c>
      <c r="BQ1848" s="53">
        <f ca="1">IF(BK1848&gt;=BO1848,0,_xlfn.XLOOKUP(F1848,Apuração!A:A,Apuração!B:B)*(BO1848 + (1/_xlfn.XLOOKUP(F1848,Apuração!A:A,Apuração!B:B)) - BK1848))</f>
        <v>0</v>
      </c>
      <c r="BR1848" s="85">
        <f ca="1">IF(BQ1848=0,0,BQ1848*Z1848)</f>
        <v>0</v>
      </c>
      <c r="BS1848" s="53">
        <f ca="1">IFERROR((_xlfn.XLOOKUP(F1848,Apuração!A:A,Apuração!C:C)+1)/_xlfn.XLOOKUP(F1848,Apuração!A:A,Apuração!B:B),0)</f>
        <v>0.14285714285714285</v>
      </c>
    </row>
    <row r="1849" spans="1:71" ht="25.95" hidden="1" customHeight="1" x14ac:dyDescent="0.3">
      <c r="A1849" s="44" t="s">
        <v>175</v>
      </c>
      <c r="B1849" s="4" t="s">
        <v>187</v>
      </c>
      <c r="C1849" s="5" t="s">
        <v>214</v>
      </c>
      <c r="D1849" s="5" t="s">
        <v>210</v>
      </c>
      <c r="E1849" s="4" t="s">
        <v>96</v>
      </c>
      <c r="F1849" s="4" t="str" cm="1">
        <f t="array" ref="F1849">_xlfn.IFS(
AG1849 &lt;&gt; "", "Jan-Dez/26",
AH1849 &lt;&gt; "", "Fev-Dez/26",
AI1849 &lt;&gt; "", "Mar-Dez/26", AJ1849 &lt;&gt; "", "Abr-Dez/26",
TRUE, "A partir de Junho"
)</f>
        <v>A partir de Junho</v>
      </c>
      <c r="G1849" s="4" t="s">
        <v>62</v>
      </c>
      <c r="H1849" s="7" t="s">
        <v>54</v>
      </c>
      <c r="I1849" s="21" t="s">
        <v>190</v>
      </c>
      <c r="J1849" s="8" t="str" cm="1">
        <f t="array" aca="1" ref="J1849" ca="1">_xlfn.LET(
  _xlpm.actual_value_month, INDEX(T1849:AE1849, MATCH(DATE(YEAR(TODAY()), MONTH(TODAY()), 1), $T$1:$AE$1, 0)),
  IF(_xlpm.actual_value_month &lt;&gt; "", _xlpm.actual_value_month &amp; " ações mensais", "")
)</f>
        <v/>
      </c>
      <c r="K1849" s="8" t="str" cm="1">
        <f t="array" ref="K1849">_xlfn.LET(
    _xlpm.sum_month, SUM(T1849:AE1849),
    IF(_xlpm.sum_month = 0, "", _xlpm.sum_month &amp; " treinados não mapeados.")
)</f>
        <v/>
      </c>
      <c r="L1849" s="9" t="s">
        <v>191</v>
      </c>
      <c r="M1849" s="13">
        <v>1</v>
      </c>
      <c r="N1849" s="5" t="s">
        <v>51</v>
      </c>
      <c r="O1849" s="5" t="s">
        <v>52</v>
      </c>
      <c r="P1849" s="10" t="s">
        <v>146</v>
      </c>
      <c r="Q1849" s="10" t="s">
        <v>44</v>
      </c>
      <c r="R1849" s="11" t="s">
        <v>44</v>
      </c>
      <c r="S1849" s="11" t="s">
        <v>44</v>
      </c>
      <c r="T1849" s="22"/>
      <c r="U1849" s="22"/>
      <c r="V1849" s="22"/>
      <c r="W1849" s="22"/>
      <c r="X1849" s="22"/>
      <c r="Y1849" s="22"/>
      <c r="Z1849" s="22"/>
      <c r="AA1849" s="22"/>
      <c r="AB1849" s="22"/>
      <c r="AC1849" s="22"/>
      <c r="AD1849" s="22"/>
      <c r="AE1849" s="22"/>
      <c r="AG1849" s="71"/>
      <c r="AH1849" s="71"/>
      <c r="AI1849" s="71"/>
      <c r="AJ1849" s="71"/>
      <c r="AK1849" s="71"/>
      <c r="AL1849" s="71"/>
      <c r="AM1849" s="71"/>
      <c r="AN1849" s="71"/>
      <c r="AO1849" s="71"/>
      <c r="AP1849" s="71"/>
      <c r="AQ1849" s="71"/>
      <c r="AR1849" s="71"/>
      <c r="AS1849" s="94" t="str" cm="1">
        <f t="array" ref="AS1849">IFERROR(INDEX(T1849:AE1849,1,MATCH(2,1/(T1849:AE1849&lt;&gt;""))),"")</f>
        <v/>
      </c>
      <c r="AT1849" s="95">
        <f t="shared" ref="AT1849:AT1853" si="2163">AN1849</f>
        <v>0</v>
      </c>
      <c r="AU1849" s="97">
        <f t="shared" ref="AU1849:AU1853" si="2164">AT1849</f>
        <v>0</v>
      </c>
      <c r="AW1849" s="52">
        <f t="shared" ref="AW1849:AW1853" si="2165">AG1849</f>
        <v>0</v>
      </c>
      <c r="AX1849" s="52"/>
      <c r="AY1849" s="52"/>
      <c r="AZ1849" s="52"/>
      <c r="BA1849" s="52"/>
      <c r="BB1849" s="52"/>
      <c r="BC1849" s="52"/>
      <c r="BD1849" s="52"/>
      <c r="BE1849" s="52"/>
      <c r="BF1849" s="52"/>
      <c r="BG1849" s="52"/>
      <c r="BH1849" s="52"/>
      <c r="BI1849" s="68" cm="1">
        <f t="array" ref="BI1849">IFERROR(INDEX(AW1849:BH1849,1,MATCH(2,1/(AW1849:BH1849&lt;&gt;""))),"")</f>
        <v>0</v>
      </c>
      <c r="BJ1849" s="68" t="str" cm="1">
        <f t="array" ref="BJ1849">IF(BM1849 = "", "",IFERROR(INDEX(AW1849:BH1849,1,MATCH(2,1/(AW1849:BH1849&lt;&gt;""),1)-1),""))</f>
        <v/>
      </c>
      <c r="BK1849" s="59">
        <f t="shared" ref="BK1849:BK1853" si="2166">SUM(AW1849:BH1849)</f>
        <v>0</v>
      </c>
      <c r="BL1849" s="59">
        <f t="shared" ref="BL1849:BL1853" si="2167">SUM(AW1849:BE1849)</f>
        <v>0</v>
      </c>
      <c r="BM1849" s="55" t="str" cm="1">
        <f t="array" ref="BM1849">IFERROR(
   INDEX($AW$1:$BH$1,
      _xlfn.AGGREGATE(14, 6, COLUMN($AW$1:$BH$1)/(AW1849:BH1849&lt;&gt;""), 2) - COLUMN($AW$1) + 1
   ),
"")</f>
        <v/>
      </c>
      <c r="BN1849" s="55" cm="1">
        <f t="array" ref="BN1849">IFERROR(INDEX($AW$1:$BH$1,1,MATCH(2,1/(AW1849:BH1849&lt;&gt;""))),"")</f>
        <v>46023</v>
      </c>
      <c r="BO1849" s="53">
        <f ca="1">IFERROR(_xlfn.XLOOKUP(F1849,Apuração!A:A,Apuração!C:C)/_xlfn.XLOOKUP(F1849,Apuração!A:A,Apuração!B:B),0)</f>
        <v>0</v>
      </c>
      <c r="BP1849" s="53">
        <f ca="1">IFERROR(_xlfn.XLOOKUP(F1849,Apuração!A:A,Apuração!D:D)/_xlfn.XLOOKUP(F1849,Apuração!A:A,Apuração!B:B),0)</f>
        <v>0</v>
      </c>
      <c r="BQ1849" s="53">
        <f ca="1">IF(BK1849&gt;=BO1849,0,_xlfn.XLOOKUP(F1849,Apuração!A:A,Apuração!B:B)*(BO1849 + (1/_xlfn.XLOOKUP(F1849,Apuração!A:A,Apuração!B:B)) - BK1849))</f>
        <v>0</v>
      </c>
      <c r="BR1849" s="85">
        <f t="shared" ref="BR1849:BR1853" ca="1" si="2168">IF(BQ1849=0,0,BQ1849*Z1849)</f>
        <v>0</v>
      </c>
      <c r="BS1849" s="53">
        <f ca="1">IFERROR((_xlfn.XLOOKUP(F1849,Apuração!A:A,Apuração!C:C)+1)/_xlfn.XLOOKUP(F1849,Apuração!A:A,Apuração!B:B),0)</f>
        <v>0.14285714285714285</v>
      </c>
    </row>
    <row r="1850" spans="1:71" ht="25.95" hidden="1" customHeight="1" x14ac:dyDescent="0.3">
      <c r="A1850" s="44" t="s">
        <v>175</v>
      </c>
      <c r="B1850" s="4" t="s">
        <v>187</v>
      </c>
      <c r="C1850" s="5" t="s">
        <v>214</v>
      </c>
      <c r="D1850" s="5" t="s">
        <v>215</v>
      </c>
      <c r="E1850" s="4" t="s">
        <v>96</v>
      </c>
      <c r="F1850" s="4" t="str" cm="1">
        <f t="array" ref="F1850">_xlfn.IFS(
AG1850 &lt;&gt; "", "Jan-Dez/26",
AH1850 &lt;&gt; "", "Fev-Dez/26",
AI1850 &lt;&gt; "", "Mar-Dez/26", AJ1850 &lt;&gt; "", "Abr-Dez/26",
TRUE, "A partir de Junho"
)</f>
        <v>A partir de Junho</v>
      </c>
      <c r="G1850" s="4" t="s">
        <v>62</v>
      </c>
      <c r="H1850" s="7" t="s">
        <v>54</v>
      </c>
      <c r="I1850" s="21" t="s">
        <v>190</v>
      </c>
      <c r="J1850" s="8" t="str" cm="1">
        <f t="array" aca="1" ref="J1850" ca="1">_xlfn.LET(
  _xlpm.actual_value_month, INDEX(T1850:AE1850, MATCH(DATE(YEAR(TODAY()), MONTH(TODAY()), 1), $T$1:$AE$1, 0)),
  IF(_xlpm.actual_value_month &lt;&gt; "", _xlpm.actual_value_month &amp; " ações mensais", "")
)</f>
        <v/>
      </c>
      <c r="K1850" s="8" t="str" cm="1">
        <f t="array" ref="K1850">_xlfn.LET(
    _xlpm.sum_month, SUM(T1850:AE1850),
    IF(_xlpm.sum_month = 0, "", _xlpm.sum_month &amp; " treinados não mapeados.")
)</f>
        <v/>
      </c>
      <c r="L1850" s="9" t="s">
        <v>191</v>
      </c>
      <c r="M1850" s="13">
        <v>1</v>
      </c>
      <c r="N1850" s="5" t="s">
        <v>51</v>
      </c>
      <c r="O1850" s="5" t="s">
        <v>52</v>
      </c>
      <c r="P1850" s="10" t="s">
        <v>146</v>
      </c>
      <c r="Q1850" s="10" t="s">
        <v>44</v>
      </c>
      <c r="R1850" s="11" t="s">
        <v>44</v>
      </c>
      <c r="S1850" s="11" t="s">
        <v>44</v>
      </c>
      <c r="T1850" s="22"/>
      <c r="U1850" s="22"/>
      <c r="V1850" s="22"/>
      <c r="W1850" s="22"/>
      <c r="X1850" s="22"/>
      <c r="Y1850" s="22"/>
      <c r="Z1850" s="22"/>
      <c r="AA1850" s="22"/>
      <c r="AB1850" s="22"/>
      <c r="AC1850" s="22"/>
      <c r="AD1850" s="22"/>
      <c r="AE1850" s="22"/>
      <c r="AG1850" s="71"/>
      <c r="AH1850" s="71"/>
      <c r="AI1850" s="71"/>
      <c r="AJ1850" s="71"/>
      <c r="AK1850" s="71"/>
      <c r="AL1850" s="71"/>
      <c r="AM1850" s="71"/>
      <c r="AN1850" s="71"/>
      <c r="AO1850" s="71"/>
      <c r="AP1850" s="71"/>
      <c r="AQ1850" s="71"/>
      <c r="AR1850" s="71"/>
      <c r="AS1850" s="94" t="str" cm="1">
        <f t="array" ref="AS1850">IFERROR(INDEX(T1850:AE1850,1,MATCH(2,1/(T1850:AE1850&lt;&gt;""))),"")</f>
        <v/>
      </c>
      <c r="AT1850" s="95">
        <f t="shared" si="2163"/>
        <v>0</v>
      </c>
      <c r="AU1850" s="97">
        <f t="shared" si="2164"/>
        <v>0</v>
      </c>
      <c r="AW1850" s="52">
        <f t="shared" si="2165"/>
        <v>0</v>
      </c>
      <c r="AX1850" s="52"/>
      <c r="AY1850" s="52"/>
      <c r="AZ1850" s="52"/>
      <c r="BA1850" s="52"/>
      <c r="BB1850" s="52"/>
      <c r="BC1850" s="52"/>
      <c r="BD1850" s="52"/>
      <c r="BE1850" s="52"/>
      <c r="BF1850" s="52"/>
      <c r="BG1850" s="52"/>
      <c r="BH1850" s="52"/>
      <c r="BI1850" s="68" cm="1">
        <f t="array" ref="BI1850">IFERROR(INDEX(AW1850:BH1850,1,MATCH(2,1/(AW1850:BH1850&lt;&gt;""))),"")</f>
        <v>0</v>
      </c>
      <c r="BJ1850" s="68" t="str" cm="1">
        <f t="array" ref="BJ1850">IF(BM1850 = "", "",IFERROR(INDEX(AW1850:BH1850,1,MATCH(2,1/(AW1850:BH1850&lt;&gt;""),1)-1),""))</f>
        <v/>
      </c>
      <c r="BK1850" s="59">
        <f t="shared" si="2166"/>
        <v>0</v>
      </c>
      <c r="BL1850" s="59">
        <f t="shared" si="2167"/>
        <v>0</v>
      </c>
      <c r="BM1850" s="55" t="str" cm="1">
        <f t="array" ref="BM1850">IFERROR(
   INDEX($AW$1:$BH$1,
      _xlfn.AGGREGATE(14, 6, COLUMN($AW$1:$BH$1)/(AW1850:BH1850&lt;&gt;""), 2) - COLUMN($AW$1) + 1
   ),
"")</f>
        <v/>
      </c>
      <c r="BN1850" s="55" cm="1">
        <f t="array" ref="BN1850">IFERROR(INDEX($AW$1:$BH$1,1,MATCH(2,1/(AW1850:BH1850&lt;&gt;""))),"")</f>
        <v>46023</v>
      </c>
      <c r="BO1850" s="53">
        <f ca="1">IFERROR(_xlfn.XLOOKUP(F1850,Apuração!A:A,Apuração!C:C)/_xlfn.XLOOKUP(F1850,Apuração!A:A,Apuração!B:B),0)</f>
        <v>0</v>
      </c>
      <c r="BP1850" s="53">
        <f ca="1">IFERROR(_xlfn.XLOOKUP(F1850,Apuração!A:A,Apuração!D:D)/_xlfn.XLOOKUP(F1850,Apuração!A:A,Apuração!B:B),0)</f>
        <v>0</v>
      </c>
      <c r="BQ1850" s="53">
        <f ca="1">IF(BK1850&gt;=BO1850,0,_xlfn.XLOOKUP(F1850,Apuração!A:A,Apuração!B:B)*(BO1850 + (1/_xlfn.XLOOKUP(F1850,Apuração!A:A,Apuração!B:B)) - BK1850))</f>
        <v>0</v>
      </c>
      <c r="BR1850" s="85">
        <f t="shared" ca="1" si="2168"/>
        <v>0</v>
      </c>
      <c r="BS1850" s="53">
        <f ca="1">IFERROR((_xlfn.XLOOKUP(F1850,Apuração!A:A,Apuração!C:C)+1)/_xlfn.XLOOKUP(F1850,Apuração!A:A,Apuração!B:B),0)</f>
        <v>0.14285714285714285</v>
      </c>
    </row>
    <row r="1851" spans="1:71" ht="25.95" hidden="1" customHeight="1" x14ac:dyDescent="0.3">
      <c r="A1851" s="44" t="s">
        <v>175</v>
      </c>
      <c r="B1851" s="4" t="s">
        <v>187</v>
      </c>
      <c r="C1851" s="5" t="s">
        <v>214</v>
      </c>
      <c r="D1851" s="5" t="s">
        <v>212</v>
      </c>
      <c r="E1851" s="4" t="s">
        <v>96</v>
      </c>
      <c r="F1851" s="4" t="str" cm="1">
        <f t="array" ref="F1851">_xlfn.IFS(
AG1851 &lt;&gt; "", "Jan-Dez/26",
AH1851 &lt;&gt; "", "Fev-Dez/26",
AI1851 &lt;&gt; "", "Mar-Dez/26", AJ1851 &lt;&gt; "", "Abr-Dez/26",
TRUE, "A partir de Junho"
)</f>
        <v>A partir de Junho</v>
      </c>
      <c r="G1851" s="4" t="s">
        <v>62</v>
      </c>
      <c r="H1851" s="7" t="s">
        <v>54</v>
      </c>
      <c r="I1851" s="21" t="s">
        <v>190</v>
      </c>
      <c r="J1851" s="8" t="str" cm="1">
        <f t="array" aca="1" ref="J1851" ca="1">_xlfn.LET(
  _xlpm.actual_value_month, INDEX(T1851:AE1851, MATCH(DATE(YEAR(TODAY()), MONTH(TODAY()), 1), $T$1:$AE$1, 0)),
  IF(_xlpm.actual_value_month &lt;&gt; "", _xlpm.actual_value_month &amp; " ações mensais", "")
)</f>
        <v/>
      </c>
      <c r="K1851" s="8" t="str" cm="1">
        <f t="array" ref="K1851">_xlfn.LET(
    _xlpm.sum_month, SUM(T1851:AE1851),
    IF(_xlpm.sum_month = 0, "", _xlpm.sum_month &amp; " treinados não mapeados.")
)</f>
        <v/>
      </c>
      <c r="L1851" s="9" t="s">
        <v>191</v>
      </c>
      <c r="M1851" s="13">
        <v>1</v>
      </c>
      <c r="N1851" s="5" t="s">
        <v>51</v>
      </c>
      <c r="O1851" s="5" t="s">
        <v>52</v>
      </c>
      <c r="P1851" s="10" t="s">
        <v>146</v>
      </c>
      <c r="Q1851" s="10" t="s">
        <v>44</v>
      </c>
      <c r="R1851" s="11" t="s">
        <v>44</v>
      </c>
      <c r="S1851" s="11" t="s">
        <v>44</v>
      </c>
      <c r="T1851" s="22"/>
      <c r="U1851" s="22"/>
      <c r="V1851" s="22"/>
      <c r="W1851" s="22"/>
      <c r="X1851" s="22"/>
      <c r="Y1851" s="22"/>
      <c r="Z1851" s="22"/>
      <c r="AA1851" s="22"/>
      <c r="AB1851" s="22"/>
      <c r="AC1851" s="22"/>
      <c r="AD1851" s="22"/>
      <c r="AE1851" s="22"/>
      <c r="AG1851" s="71"/>
      <c r="AH1851" s="71"/>
      <c r="AI1851" s="71"/>
      <c r="AJ1851" s="71"/>
      <c r="AK1851" s="71"/>
      <c r="AL1851" s="71"/>
      <c r="AM1851" s="71"/>
      <c r="AN1851" s="71"/>
      <c r="AO1851" s="71"/>
      <c r="AP1851" s="71"/>
      <c r="AQ1851" s="71"/>
      <c r="AR1851" s="71"/>
      <c r="AS1851" s="94" t="str" cm="1">
        <f t="array" ref="AS1851">IFERROR(INDEX(T1851:AE1851,1,MATCH(2,1/(T1851:AE1851&lt;&gt;""))),"")</f>
        <v/>
      </c>
      <c r="AT1851" s="95">
        <f t="shared" si="2163"/>
        <v>0</v>
      </c>
      <c r="AU1851" s="97">
        <f t="shared" si="2164"/>
        <v>0</v>
      </c>
      <c r="AW1851" s="52">
        <f t="shared" si="2165"/>
        <v>0</v>
      </c>
      <c r="AX1851" s="52"/>
      <c r="AY1851" s="52"/>
      <c r="AZ1851" s="52"/>
      <c r="BA1851" s="52"/>
      <c r="BB1851" s="52"/>
      <c r="BC1851" s="52"/>
      <c r="BD1851" s="52"/>
      <c r="BE1851" s="52"/>
      <c r="BF1851" s="52"/>
      <c r="BG1851" s="52"/>
      <c r="BH1851" s="52"/>
      <c r="BI1851" s="68" cm="1">
        <f t="array" ref="BI1851">IFERROR(INDEX(AW1851:BH1851,1,MATCH(2,1/(AW1851:BH1851&lt;&gt;""))),"")</f>
        <v>0</v>
      </c>
      <c r="BJ1851" s="68" t="str" cm="1">
        <f t="array" ref="BJ1851">IF(BM1851 = "", "",IFERROR(INDEX(AW1851:BH1851,1,MATCH(2,1/(AW1851:BH1851&lt;&gt;""),1)-1),""))</f>
        <v/>
      </c>
      <c r="BK1851" s="59">
        <f t="shared" si="2166"/>
        <v>0</v>
      </c>
      <c r="BL1851" s="59">
        <f t="shared" si="2167"/>
        <v>0</v>
      </c>
      <c r="BM1851" s="55" t="str" cm="1">
        <f t="array" ref="BM1851">IFERROR(
   INDEX($AW$1:$BH$1,
      _xlfn.AGGREGATE(14, 6, COLUMN($AW$1:$BH$1)/(AW1851:BH1851&lt;&gt;""), 2) - COLUMN($AW$1) + 1
   ),
"")</f>
        <v/>
      </c>
      <c r="BN1851" s="55" cm="1">
        <f t="array" ref="BN1851">IFERROR(INDEX($AW$1:$BH$1,1,MATCH(2,1/(AW1851:BH1851&lt;&gt;""))),"")</f>
        <v>46023</v>
      </c>
      <c r="BO1851" s="53">
        <f ca="1">IFERROR(_xlfn.XLOOKUP(F1851,Apuração!A:A,Apuração!C:C)/_xlfn.XLOOKUP(F1851,Apuração!A:A,Apuração!B:B),0)</f>
        <v>0</v>
      </c>
      <c r="BP1851" s="53">
        <f ca="1">IFERROR(_xlfn.XLOOKUP(F1851,Apuração!A:A,Apuração!D:D)/_xlfn.XLOOKUP(F1851,Apuração!A:A,Apuração!B:B),0)</f>
        <v>0</v>
      </c>
      <c r="BQ1851" s="53">
        <f ca="1">IF(BK1851&gt;=BO1851,0,_xlfn.XLOOKUP(F1851,Apuração!A:A,Apuração!B:B)*(BO1851 + (1/_xlfn.XLOOKUP(F1851,Apuração!A:A,Apuração!B:B)) - BK1851))</f>
        <v>0</v>
      </c>
      <c r="BR1851" s="85">
        <f t="shared" ca="1" si="2168"/>
        <v>0</v>
      </c>
      <c r="BS1851" s="53">
        <f ca="1">IFERROR((_xlfn.XLOOKUP(F1851,Apuração!A:A,Apuração!C:C)+1)/_xlfn.XLOOKUP(F1851,Apuração!A:A,Apuração!B:B),0)</f>
        <v>0.14285714285714285</v>
      </c>
    </row>
    <row r="1852" spans="1:71" ht="25.95" hidden="1" customHeight="1" x14ac:dyDescent="0.3">
      <c r="A1852" s="44" t="s">
        <v>175</v>
      </c>
      <c r="B1852" s="4" t="s">
        <v>187</v>
      </c>
      <c r="C1852" s="5" t="s">
        <v>214</v>
      </c>
      <c r="D1852" s="5" t="s">
        <v>48</v>
      </c>
      <c r="E1852" s="4" t="s">
        <v>96</v>
      </c>
      <c r="F1852" s="4" t="str" cm="1">
        <f t="array" ref="F1852">_xlfn.IFS(
AG1852 &lt;&gt; "", "Jan-Dez/26",
AH1852 &lt;&gt; "", "Fev-Dez/26",
AI1852 &lt;&gt; "", "Mar-Dez/26", AJ1852 &lt;&gt; "", "Abr-Dez/26",
TRUE, "A partir de Junho"
)</f>
        <v>A partir de Junho</v>
      </c>
      <c r="G1852" s="4" t="s">
        <v>62</v>
      </c>
      <c r="H1852" s="7" t="s">
        <v>54</v>
      </c>
      <c r="I1852" s="21" t="s">
        <v>190</v>
      </c>
      <c r="J1852" s="8" t="str" cm="1">
        <f t="array" aca="1" ref="J1852" ca="1">_xlfn.LET(
  _xlpm.actual_value_month, INDEX(T1852:AE1852, MATCH(DATE(YEAR(TODAY()), MONTH(TODAY()), 1), $T$1:$AE$1, 0)),
  IF(_xlpm.actual_value_month &lt;&gt; "", _xlpm.actual_value_month &amp; " ações mensais", "")
)</f>
        <v/>
      </c>
      <c r="K1852" s="8" t="str" cm="1">
        <f t="array" ref="K1852">_xlfn.LET(
    _xlpm.sum_month, SUM(T1852:AE1852),
    IF(_xlpm.sum_month = 0, "", _xlpm.sum_month &amp; " treinados não mapeados.")
)</f>
        <v/>
      </c>
      <c r="L1852" s="9" t="s">
        <v>191</v>
      </c>
      <c r="M1852" s="13">
        <v>1</v>
      </c>
      <c r="N1852" s="5" t="s">
        <v>51</v>
      </c>
      <c r="O1852" s="5" t="s">
        <v>52</v>
      </c>
      <c r="P1852" s="10" t="s">
        <v>146</v>
      </c>
      <c r="Q1852" s="10" t="s">
        <v>44</v>
      </c>
      <c r="R1852" s="11" t="s">
        <v>44</v>
      </c>
      <c r="S1852" s="11" t="s">
        <v>44</v>
      </c>
      <c r="T1852" s="22"/>
      <c r="U1852" s="22"/>
      <c r="V1852" s="22"/>
      <c r="W1852" s="22"/>
      <c r="X1852" s="22"/>
      <c r="Y1852" s="22"/>
      <c r="Z1852" s="22"/>
      <c r="AA1852" s="22"/>
      <c r="AB1852" s="22"/>
      <c r="AC1852" s="22"/>
      <c r="AD1852" s="22"/>
      <c r="AE1852" s="22"/>
      <c r="AG1852" s="71"/>
      <c r="AH1852" s="71"/>
      <c r="AI1852" s="71"/>
      <c r="AJ1852" s="71"/>
      <c r="AK1852" s="71"/>
      <c r="AL1852" s="71"/>
      <c r="AM1852" s="71"/>
      <c r="AN1852" s="71"/>
      <c r="AO1852" s="71"/>
      <c r="AP1852" s="71"/>
      <c r="AQ1852" s="71"/>
      <c r="AR1852" s="71"/>
      <c r="AS1852" s="94" t="str" cm="1">
        <f t="array" ref="AS1852">IFERROR(INDEX(T1852:AE1852,1,MATCH(2,1/(T1852:AE1852&lt;&gt;""))),"")</f>
        <v/>
      </c>
      <c r="AT1852" s="95">
        <f t="shared" si="2163"/>
        <v>0</v>
      </c>
      <c r="AU1852" s="97">
        <f t="shared" si="2164"/>
        <v>0</v>
      </c>
      <c r="AW1852" s="52">
        <f t="shared" si="2165"/>
        <v>0</v>
      </c>
      <c r="AX1852" s="52"/>
      <c r="AY1852" s="52"/>
      <c r="AZ1852" s="52"/>
      <c r="BA1852" s="52"/>
      <c r="BB1852" s="52"/>
      <c r="BC1852" s="52"/>
      <c r="BD1852" s="52"/>
      <c r="BE1852" s="52"/>
      <c r="BF1852" s="52"/>
      <c r="BG1852" s="52"/>
      <c r="BH1852" s="52"/>
      <c r="BI1852" s="68" cm="1">
        <f t="array" ref="BI1852">IFERROR(INDEX(AW1852:BH1852,1,MATCH(2,1/(AW1852:BH1852&lt;&gt;""))),"")</f>
        <v>0</v>
      </c>
      <c r="BJ1852" s="68" t="str" cm="1">
        <f t="array" ref="BJ1852">IF(BM1852 = "", "",IFERROR(INDEX(AW1852:BH1852,1,MATCH(2,1/(AW1852:BH1852&lt;&gt;""),1)-1),""))</f>
        <v/>
      </c>
      <c r="BK1852" s="59">
        <f t="shared" si="2166"/>
        <v>0</v>
      </c>
      <c r="BL1852" s="59">
        <f t="shared" si="2167"/>
        <v>0</v>
      </c>
      <c r="BM1852" s="55" t="str" cm="1">
        <f t="array" ref="BM1852">IFERROR(
   INDEX($AW$1:$BH$1,
      _xlfn.AGGREGATE(14, 6, COLUMN($AW$1:$BH$1)/(AW1852:BH1852&lt;&gt;""), 2) - COLUMN($AW$1) + 1
   ),
"")</f>
        <v/>
      </c>
      <c r="BN1852" s="55" cm="1">
        <f t="array" ref="BN1852">IFERROR(INDEX($AW$1:$BH$1,1,MATCH(2,1/(AW1852:BH1852&lt;&gt;""))),"")</f>
        <v>46023</v>
      </c>
      <c r="BO1852" s="53">
        <f ca="1">IFERROR(_xlfn.XLOOKUP(F1852,Apuração!A:A,Apuração!C:C)/_xlfn.XLOOKUP(F1852,Apuração!A:A,Apuração!B:B),0)</f>
        <v>0</v>
      </c>
      <c r="BP1852" s="53">
        <f ca="1">IFERROR(_xlfn.XLOOKUP(F1852,Apuração!A:A,Apuração!D:D)/_xlfn.XLOOKUP(F1852,Apuração!A:A,Apuração!B:B),0)</f>
        <v>0</v>
      </c>
      <c r="BQ1852" s="53">
        <f ca="1">IF(BK1852&gt;=BO1852,0,_xlfn.XLOOKUP(F1852,Apuração!A:A,Apuração!B:B)*(BO1852 + (1/_xlfn.XLOOKUP(F1852,Apuração!A:A,Apuração!B:B)) - BK1852))</f>
        <v>0</v>
      </c>
      <c r="BR1852" s="85">
        <f t="shared" ca="1" si="2168"/>
        <v>0</v>
      </c>
      <c r="BS1852" s="53">
        <f ca="1">IFERROR((_xlfn.XLOOKUP(F1852,Apuração!A:A,Apuração!C:C)+1)/_xlfn.XLOOKUP(F1852,Apuração!A:A,Apuração!B:B),0)</f>
        <v>0.14285714285714285</v>
      </c>
    </row>
    <row r="1853" spans="1:71" ht="25.95" hidden="1" customHeight="1" x14ac:dyDescent="0.3">
      <c r="A1853" s="44" t="s">
        <v>175</v>
      </c>
      <c r="B1853" s="4" t="s">
        <v>187</v>
      </c>
      <c r="C1853" s="5" t="s">
        <v>214</v>
      </c>
      <c r="D1853" s="5" t="s">
        <v>213</v>
      </c>
      <c r="E1853" s="4" t="s">
        <v>96</v>
      </c>
      <c r="F1853" s="4" t="str" cm="1">
        <f t="array" ref="F1853">_xlfn.IFS(
AG1853 &lt;&gt; "", "Jan-Dez/26",
AH1853 &lt;&gt; "", "Fev-Dez/26",
AI1853 &lt;&gt; "", "Mar-Dez/26", AJ1853 &lt;&gt; "", "Abr-Dez/26",
TRUE, "A partir de Junho"
)</f>
        <v>A partir de Junho</v>
      </c>
      <c r="G1853" s="4" t="s">
        <v>62</v>
      </c>
      <c r="H1853" s="7" t="s">
        <v>54</v>
      </c>
      <c r="I1853" s="21" t="s">
        <v>190</v>
      </c>
      <c r="J1853" s="8" t="str" cm="1">
        <f t="array" aca="1" ref="J1853" ca="1">_xlfn.LET(
  _xlpm.actual_value_month, INDEX(T1853:AE1853, MATCH(DATE(YEAR(TODAY()), MONTH(TODAY()), 1), $T$1:$AE$1, 0)),
  IF(_xlpm.actual_value_month &lt;&gt; "", _xlpm.actual_value_month &amp; " ações mensais", "")
)</f>
        <v/>
      </c>
      <c r="K1853" s="8" t="str" cm="1">
        <f t="array" ref="K1853">_xlfn.LET(
    _xlpm.sum_month, SUM(T1853:AE1853),
    IF(_xlpm.sum_month = 0, "", _xlpm.sum_month &amp; " treinados não mapeados.")
)</f>
        <v/>
      </c>
      <c r="L1853" s="9" t="s">
        <v>191</v>
      </c>
      <c r="M1853" s="13">
        <v>1</v>
      </c>
      <c r="N1853" s="5" t="s">
        <v>51</v>
      </c>
      <c r="O1853" s="5" t="s">
        <v>52</v>
      </c>
      <c r="P1853" s="10" t="s">
        <v>146</v>
      </c>
      <c r="Q1853" s="10" t="s">
        <v>44</v>
      </c>
      <c r="R1853" s="11" t="s">
        <v>44</v>
      </c>
      <c r="S1853" s="11" t="s">
        <v>44</v>
      </c>
      <c r="T1853" s="22"/>
      <c r="U1853" s="22"/>
      <c r="V1853" s="22"/>
      <c r="W1853" s="22"/>
      <c r="X1853" s="22"/>
      <c r="Y1853" s="22"/>
      <c r="Z1853" s="22"/>
      <c r="AA1853" s="22"/>
      <c r="AB1853" s="22"/>
      <c r="AC1853" s="22"/>
      <c r="AD1853" s="22"/>
      <c r="AE1853" s="22"/>
      <c r="AG1853" s="71"/>
      <c r="AH1853" s="71"/>
      <c r="AI1853" s="71"/>
      <c r="AJ1853" s="71"/>
      <c r="AK1853" s="71"/>
      <c r="AL1853" s="71"/>
      <c r="AM1853" s="71"/>
      <c r="AN1853" s="71"/>
      <c r="AO1853" s="71"/>
      <c r="AP1853" s="71"/>
      <c r="AQ1853" s="71"/>
      <c r="AR1853" s="71"/>
      <c r="AS1853" s="94" t="str" cm="1">
        <f t="array" ref="AS1853">IFERROR(INDEX(T1853:AE1853,1,MATCH(2,1/(T1853:AE1853&lt;&gt;""))),"")</f>
        <v/>
      </c>
      <c r="AT1853" s="95">
        <f t="shared" si="2163"/>
        <v>0</v>
      </c>
      <c r="AU1853" s="97">
        <f t="shared" si="2164"/>
        <v>0</v>
      </c>
      <c r="AW1853" s="52">
        <f t="shared" si="2165"/>
        <v>0</v>
      </c>
      <c r="AX1853" s="52"/>
      <c r="AY1853" s="52"/>
      <c r="AZ1853" s="52"/>
      <c r="BA1853" s="52"/>
      <c r="BB1853" s="52"/>
      <c r="BC1853" s="52"/>
      <c r="BD1853" s="52"/>
      <c r="BE1853" s="52"/>
      <c r="BF1853" s="52"/>
      <c r="BG1853" s="52"/>
      <c r="BH1853" s="52"/>
      <c r="BI1853" s="68" cm="1">
        <f t="array" ref="BI1853">IFERROR(INDEX(AW1853:BH1853,1,MATCH(2,1/(AW1853:BH1853&lt;&gt;""))),"")</f>
        <v>0</v>
      </c>
      <c r="BJ1853" s="68" t="str" cm="1">
        <f t="array" ref="BJ1853">IF(BM1853 = "", "",IFERROR(INDEX(AW1853:BH1853,1,MATCH(2,1/(AW1853:BH1853&lt;&gt;""),1)-1),""))</f>
        <v/>
      </c>
      <c r="BK1853" s="59">
        <f t="shared" si="2166"/>
        <v>0</v>
      </c>
      <c r="BL1853" s="59">
        <f t="shared" si="2167"/>
        <v>0</v>
      </c>
      <c r="BM1853" s="55" t="str" cm="1">
        <f t="array" ref="BM1853">IFERROR(
   INDEX($AW$1:$BH$1,
      _xlfn.AGGREGATE(14, 6, COLUMN($AW$1:$BH$1)/(AW1853:BH1853&lt;&gt;""), 2) - COLUMN($AW$1) + 1
   ),
"")</f>
        <v/>
      </c>
      <c r="BN1853" s="55" cm="1">
        <f t="array" ref="BN1853">IFERROR(INDEX($AW$1:$BH$1,1,MATCH(2,1/(AW1853:BH1853&lt;&gt;""))),"")</f>
        <v>46023</v>
      </c>
      <c r="BO1853" s="53">
        <f ca="1">IFERROR(_xlfn.XLOOKUP(F1853,Apuração!A:A,Apuração!C:C)/_xlfn.XLOOKUP(F1853,Apuração!A:A,Apuração!B:B),0)</f>
        <v>0</v>
      </c>
      <c r="BP1853" s="53">
        <f ca="1">IFERROR(_xlfn.XLOOKUP(F1853,Apuração!A:A,Apuração!D:D)/_xlfn.XLOOKUP(F1853,Apuração!A:A,Apuração!B:B),0)</f>
        <v>0</v>
      </c>
      <c r="BQ1853" s="53">
        <f ca="1">IF(BK1853&gt;=BO1853,0,_xlfn.XLOOKUP(F1853,Apuração!A:A,Apuração!B:B)*(BO1853 + (1/_xlfn.XLOOKUP(F1853,Apuração!A:A,Apuração!B:B)) - BK1853))</f>
        <v>0</v>
      </c>
      <c r="BR1853" s="85">
        <f t="shared" ca="1" si="2168"/>
        <v>0</v>
      </c>
      <c r="BS1853" s="53">
        <f ca="1">IFERROR((_xlfn.XLOOKUP(F1853,Apuração!A:A,Apuração!C:C)+1)/_xlfn.XLOOKUP(F1853,Apuração!A:A,Apuração!B:B),0)</f>
        <v>0.14285714285714285</v>
      </c>
    </row>
    <row r="1854" spans="1:71" ht="25.95" hidden="1" customHeight="1" x14ac:dyDescent="0.3">
      <c r="A1854" s="44" t="s">
        <v>175</v>
      </c>
      <c r="B1854" s="4" t="s">
        <v>187</v>
      </c>
      <c r="C1854" s="5" t="s">
        <v>214</v>
      </c>
      <c r="D1854" s="5" t="s">
        <v>36</v>
      </c>
      <c r="E1854" s="4" t="s">
        <v>96</v>
      </c>
      <c r="F1854" s="4" t="str" cm="1">
        <f t="array" ref="F1854">_xlfn.IFS(
AG1854 &lt;&gt; "", "Jan-Dez/26",
AH1854 &lt;&gt; "", "Fev-Dez/26",
AI1854 &lt;&gt; "", "Mar-Dez/26", AJ1854 &lt;&gt; "", "Abr-Dez/26",
TRUE, "A partir de Junho"
)</f>
        <v>A partir de Junho</v>
      </c>
      <c r="G1854" s="4" t="s">
        <v>62</v>
      </c>
      <c r="H1854" s="7" t="s">
        <v>54</v>
      </c>
      <c r="I1854" s="34" t="s">
        <v>192</v>
      </c>
      <c r="J1854" s="8" t="str" cm="1">
        <f t="array" aca="1" ref="J1854" ca="1">_xlfn.LET(
  _xlpm.actual_value_month, INDEX(T1854:AE1854, MATCH(DATE(YEAR(TODAY()), MONTH(TODAY()), 1), $T$1:$AE$1, 0)),
  IF(_xlpm.actual_value_month &lt;&gt; "", _xlpm.actual_value_month &amp; " ações mensais", "")
)</f>
        <v/>
      </c>
      <c r="K1854" s="34" t="str" cm="1">
        <f t="array" ref="K1854">_xlfn.LET(
    _xlpm.sum_month, SUM(T1854:AE1854),
    IF(_xlpm.sum_month = 0, "", _xlpm.sum_month &amp; " colaboradores treinados.")
)</f>
        <v/>
      </c>
      <c r="L1854" s="4" t="s">
        <v>193</v>
      </c>
      <c r="M1854" s="9"/>
      <c r="N1854" s="5" t="s">
        <v>51</v>
      </c>
      <c r="O1854" s="5" t="s">
        <v>52</v>
      </c>
      <c r="P1854" s="10" t="s">
        <v>44</v>
      </c>
      <c r="Q1854" s="10" t="s">
        <v>44</v>
      </c>
      <c r="R1854" s="11" t="s">
        <v>44</v>
      </c>
      <c r="S1854" s="11" t="s">
        <v>44</v>
      </c>
      <c r="T1854" s="22"/>
      <c r="U1854" s="22"/>
      <c r="V1854" s="22"/>
      <c r="W1854" s="22"/>
      <c r="X1854" s="22"/>
      <c r="Y1854" s="22"/>
      <c r="Z1854" s="22"/>
      <c r="AA1854" s="22"/>
      <c r="AB1854" s="22"/>
      <c r="AC1854" s="22"/>
      <c r="AD1854" s="22"/>
      <c r="AE1854" s="22"/>
      <c r="AG1854" s="71"/>
      <c r="AH1854" s="71"/>
      <c r="AI1854" s="71"/>
      <c r="AJ1854" s="71"/>
      <c r="AK1854" s="71"/>
      <c r="AL1854" s="71"/>
      <c r="AM1854" s="71"/>
      <c r="AN1854" s="71"/>
      <c r="AO1854" s="71"/>
      <c r="AP1854" s="71"/>
      <c r="AQ1854" s="71"/>
      <c r="AR1854" s="71"/>
      <c r="AS1854" s="94" t="str" cm="1">
        <f t="array" ref="AS1854">IFERROR(INDEX(T1854:AE1854,1,MATCH(2,1/(T1854:AE1854&lt;&gt;""))),"")</f>
        <v/>
      </c>
      <c r="AT1854" s="95">
        <f>AN1854</f>
        <v>0</v>
      </c>
      <c r="AU1854" s="97">
        <f>AT1854</f>
        <v>0</v>
      </c>
      <c r="AW1854" s="52">
        <f>AG1854</f>
        <v>0</v>
      </c>
      <c r="AX1854" s="52"/>
      <c r="AY1854" s="52"/>
      <c r="AZ1854" s="52"/>
      <c r="BA1854" s="52"/>
      <c r="BB1854" s="52"/>
      <c r="BC1854" s="52"/>
      <c r="BD1854" s="52"/>
      <c r="BE1854" s="52"/>
      <c r="BF1854" s="52"/>
      <c r="BG1854" s="52"/>
      <c r="BH1854" s="52"/>
      <c r="BI1854" s="68" cm="1">
        <f t="array" ref="BI1854">IFERROR(INDEX(AW1854:BH1854,1,MATCH(2,1/(AW1854:BH1854&lt;&gt;""))),"")</f>
        <v>0</v>
      </c>
      <c r="BJ1854" s="68" t="str" cm="1">
        <f t="array" ref="BJ1854">IF(BM1854 = "", "",IFERROR(INDEX(AW1854:BH1854,1,MATCH(2,1/(AW1854:BH1854&lt;&gt;""),1)-1),""))</f>
        <v/>
      </c>
      <c r="BK1854" s="59">
        <f>SUM(AW1854:BH1854)</f>
        <v>0</v>
      </c>
      <c r="BL1854" s="59">
        <f>SUM(AW1854:BE1854)</f>
        <v>0</v>
      </c>
      <c r="BM1854" s="55" t="str" cm="1">
        <f t="array" ref="BM1854">IFERROR(
   INDEX($AW$1:$BH$1,
      _xlfn.AGGREGATE(14, 6, COLUMN($AW$1:$BH$1)/(AW1854:BH1854&lt;&gt;""), 2) - COLUMN($AW$1) + 1
   ),
"")</f>
        <v/>
      </c>
      <c r="BN1854" s="55" cm="1">
        <f t="array" ref="BN1854">IFERROR(INDEX($AW$1:$BH$1,1,MATCH(2,1/(AW1854:BH1854&lt;&gt;""))),"")</f>
        <v>46023</v>
      </c>
      <c r="BO1854" s="53">
        <f ca="1">IFERROR(_xlfn.XLOOKUP(F1854,Apuração!A:A,Apuração!C:C)/_xlfn.XLOOKUP(F1854,Apuração!A:A,Apuração!B:B),0)</f>
        <v>0</v>
      </c>
      <c r="BP1854" s="53">
        <f ca="1">IFERROR(_xlfn.XLOOKUP(F1854,Apuração!A:A,Apuração!D:D)/_xlfn.XLOOKUP(F1854,Apuração!A:A,Apuração!B:B),0)</f>
        <v>0</v>
      </c>
      <c r="BQ1854" s="53">
        <f ca="1">IF(BK1854&gt;=BO1854,0,_xlfn.XLOOKUP(F1854,Apuração!A:A,Apuração!B:B)*(BO1854 + (1/_xlfn.XLOOKUP(F1854,Apuração!A:A,Apuração!B:B)) - BK1854))</f>
        <v>0</v>
      </c>
      <c r="BR1854" s="85">
        <f ca="1">IF(BQ1854=0,0,BQ1854*Z1854)</f>
        <v>0</v>
      </c>
      <c r="BS1854" s="53">
        <f ca="1">IFERROR((_xlfn.XLOOKUP(F1854,Apuração!A:A,Apuração!C:C)+1)/_xlfn.XLOOKUP(F1854,Apuração!A:A,Apuração!B:B),0)</f>
        <v>0.14285714285714285</v>
      </c>
    </row>
    <row r="1855" spans="1:71" ht="25.95" hidden="1" customHeight="1" x14ac:dyDescent="0.3">
      <c r="A1855" s="44" t="s">
        <v>175</v>
      </c>
      <c r="B1855" s="4" t="s">
        <v>187</v>
      </c>
      <c r="C1855" s="5" t="s">
        <v>214</v>
      </c>
      <c r="D1855" s="5" t="s">
        <v>210</v>
      </c>
      <c r="E1855" s="4" t="s">
        <v>96</v>
      </c>
      <c r="F1855" s="4" t="str" cm="1">
        <f t="array" ref="F1855">_xlfn.IFS(
AG1855 &lt;&gt; "", "Jan-Dez/26",
AH1855 &lt;&gt; "", "Fev-Dez/26",
AI1855 &lt;&gt; "", "Mar-Dez/26", AJ1855 &lt;&gt; "", "Abr-Dez/26",
TRUE, "A partir de Junho"
)</f>
        <v>A partir de Junho</v>
      </c>
      <c r="G1855" s="4" t="s">
        <v>62</v>
      </c>
      <c r="H1855" s="7" t="s">
        <v>54</v>
      </c>
      <c r="I1855" s="34" t="s">
        <v>192</v>
      </c>
      <c r="J1855" s="8" t="str" cm="1">
        <f t="array" aca="1" ref="J1855" ca="1">_xlfn.LET(
  _xlpm.actual_value_month, INDEX(T1855:AE1855, MATCH(DATE(YEAR(TODAY()), MONTH(TODAY()), 1), $T$1:$AE$1, 0)),
  IF(_xlpm.actual_value_month &lt;&gt; "", _xlpm.actual_value_month &amp; " ações mensais", "")
)</f>
        <v/>
      </c>
      <c r="K1855" s="34" t="str" cm="1">
        <f t="array" ref="K1855">_xlfn.LET(
    _xlpm.sum_month, SUM(T1855:AE1855),
    IF(_xlpm.sum_month = 0, "", _xlpm.sum_month &amp; " colaboradores treinados.")
)</f>
        <v/>
      </c>
      <c r="L1855" s="4" t="s">
        <v>193</v>
      </c>
      <c r="M1855" s="9"/>
      <c r="N1855" s="5" t="s">
        <v>51</v>
      </c>
      <c r="O1855" s="5" t="s">
        <v>52</v>
      </c>
      <c r="P1855" s="10" t="s">
        <v>44</v>
      </c>
      <c r="Q1855" s="10" t="s">
        <v>44</v>
      </c>
      <c r="R1855" s="11" t="s">
        <v>44</v>
      </c>
      <c r="S1855" s="11" t="s">
        <v>44</v>
      </c>
      <c r="T1855" s="22"/>
      <c r="U1855" s="22"/>
      <c r="V1855" s="22"/>
      <c r="W1855" s="22"/>
      <c r="X1855" s="22"/>
      <c r="Y1855" s="22"/>
      <c r="Z1855" s="22"/>
      <c r="AA1855" s="22"/>
      <c r="AB1855" s="22"/>
      <c r="AC1855" s="22"/>
      <c r="AD1855" s="22"/>
      <c r="AE1855" s="22"/>
      <c r="AG1855" s="71"/>
      <c r="AH1855" s="71"/>
      <c r="AI1855" s="71"/>
      <c r="AJ1855" s="71"/>
      <c r="AK1855" s="71"/>
      <c r="AL1855" s="71"/>
      <c r="AM1855" s="71"/>
      <c r="AN1855" s="71"/>
      <c r="AO1855" s="71"/>
      <c r="AP1855" s="71"/>
      <c r="AQ1855" s="71"/>
      <c r="AR1855" s="71"/>
      <c r="AS1855" s="94" t="str" cm="1">
        <f t="array" ref="AS1855">IFERROR(INDEX(T1855:AE1855,1,MATCH(2,1/(T1855:AE1855&lt;&gt;""))),"")</f>
        <v/>
      </c>
      <c r="AT1855" s="95">
        <f t="shared" ref="AT1855:AT1859" si="2169">AN1855</f>
        <v>0</v>
      </c>
      <c r="AU1855" s="97">
        <f t="shared" ref="AU1855:AU1859" si="2170">AT1855</f>
        <v>0</v>
      </c>
      <c r="AW1855" s="52">
        <f t="shared" ref="AW1855:AW1859" si="2171">AG1855</f>
        <v>0</v>
      </c>
      <c r="AX1855" s="52"/>
      <c r="AY1855" s="52"/>
      <c r="AZ1855" s="52"/>
      <c r="BA1855" s="52"/>
      <c r="BB1855" s="52"/>
      <c r="BC1855" s="52"/>
      <c r="BD1855" s="52"/>
      <c r="BE1855" s="52"/>
      <c r="BF1855" s="52"/>
      <c r="BG1855" s="52"/>
      <c r="BH1855" s="52"/>
      <c r="BI1855" s="68" cm="1">
        <f t="array" ref="BI1855">IFERROR(INDEX(AW1855:BH1855,1,MATCH(2,1/(AW1855:BH1855&lt;&gt;""))),"")</f>
        <v>0</v>
      </c>
      <c r="BJ1855" s="68" t="str" cm="1">
        <f t="array" ref="BJ1855">IF(BM1855 = "", "",IFERROR(INDEX(AW1855:BH1855,1,MATCH(2,1/(AW1855:BH1855&lt;&gt;""),1)-1),""))</f>
        <v/>
      </c>
      <c r="BK1855" s="59">
        <f t="shared" ref="BK1855:BK1859" si="2172">SUM(AW1855:BH1855)</f>
        <v>0</v>
      </c>
      <c r="BL1855" s="59">
        <f t="shared" ref="BL1855:BL1859" si="2173">SUM(AW1855:BE1855)</f>
        <v>0</v>
      </c>
      <c r="BM1855" s="55" t="str" cm="1">
        <f t="array" ref="BM1855">IFERROR(
   INDEX($AW$1:$BH$1,
      _xlfn.AGGREGATE(14, 6, COLUMN($AW$1:$BH$1)/(AW1855:BH1855&lt;&gt;""), 2) - COLUMN($AW$1) + 1
   ),
"")</f>
        <v/>
      </c>
      <c r="BN1855" s="55" cm="1">
        <f t="array" ref="BN1855">IFERROR(INDEX($AW$1:$BH$1,1,MATCH(2,1/(AW1855:BH1855&lt;&gt;""))),"")</f>
        <v>46023</v>
      </c>
      <c r="BO1855" s="53">
        <f ca="1">IFERROR(_xlfn.XLOOKUP(F1855,Apuração!A:A,Apuração!C:C)/_xlfn.XLOOKUP(F1855,Apuração!A:A,Apuração!B:B),0)</f>
        <v>0</v>
      </c>
      <c r="BP1855" s="53">
        <f ca="1">IFERROR(_xlfn.XLOOKUP(F1855,Apuração!A:A,Apuração!D:D)/_xlfn.XLOOKUP(F1855,Apuração!A:A,Apuração!B:B),0)</f>
        <v>0</v>
      </c>
      <c r="BQ1855" s="53">
        <f ca="1">IF(BK1855&gt;=BO1855,0,_xlfn.XLOOKUP(F1855,Apuração!A:A,Apuração!B:B)*(BO1855 + (1/_xlfn.XLOOKUP(F1855,Apuração!A:A,Apuração!B:B)) - BK1855))</f>
        <v>0</v>
      </c>
      <c r="BR1855" s="85">
        <f t="shared" ref="BR1855:BR1859" ca="1" si="2174">IF(BQ1855=0,0,BQ1855*Z1855)</f>
        <v>0</v>
      </c>
      <c r="BS1855" s="53">
        <f ca="1">IFERROR((_xlfn.XLOOKUP(F1855,Apuração!A:A,Apuração!C:C)+1)/_xlfn.XLOOKUP(F1855,Apuração!A:A,Apuração!B:B),0)</f>
        <v>0.14285714285714285</v>
      </c>
    </row>
    <row r="1856" spans="1:71" ht="25.95" hidden="1" customHeight="1" x14ac:dyDescent="0.3">
      <c r="A1856" s="44" t="s">
        <v>175</v>
      </c>
      <c r="B1856" s="4" t="s">
        <v>187</v>
      </c>
      <c r="C1856" s="5" t="s">
        <v>214</v>
      </c>
      <c r="D1856" s="5" t="s">
        <v>215</v>
      </c>
      <c r="E1856" s="4" t="s">
        <v>96</v>
      </c>
      <c r="F1856" s="4" t="str" cm="1">
        <f t="array" ref="F1856">_xlfn.IFS(
AG1856 &lt;&gt; "", "Jan-Dez/26",
AH1856 &lt;&gt; "", "Fev-Dez/26",
AI1856 &lt;&gt; "", "Mar-Dez/26", AJ1856 &lt;&gt; "", "Abr-Dez/26",
TRUE, "A partir de Junho"
)</f>
        <v>A partir de Junho</v>
      </c>
      <c r="G1856" s="4" t="s">
        <v>62</v>
      </c>
      <c r="H1856" s="7" t="s">
        <v>54</v>
      </c>
      <c r="I1856" s="34" t="s">
        <v>192</v>
      </c>
      <c r="J1856" s="8" t="str" cm="1">
        <f t="array" aca="1" ref="J1856" ca="1">_xlfn.LET(
  _xlpm.actual_value_month, INDEX(T1856:AE1856, MATCH(DATE(YEAR(TODAY()), MONTH(TODAY()), 1), $T$1:$AE$1, 0)),
  IF(_xlpm.actual_value_month &lt;&gt; "", _xlpm.actual_value_month &amp; " ações mensais", "")
)</f>
        <v/>
      </c>
      <c r="K1856" s="34" t="str" cm="1">
        <f t="array" ref="K1856">_xlfn.LET(
    _xlpm.sum_month, SUM(T1856:AE1856),
    IF(_xlpm.sum_month = 0, "", _xlpm.sum_month &amp; " colaboradores treinados.")
)</f>
        <v/>
      </c>
      <c r="L1856" s="4" t="s">
        <v>193</v>
      </c>
      <c r="M1856" s="9"/>
      <c r="N1856" s="5" t="s">
        <v>51</v>
      </c>
      <c r="O1856" s="5" t="s">
        <v>52</v>
      </c>
      <c r="P1856" s="10" t="s">
        <v>44</v>
      </c>
      <c r="Q1856" s="10" t="s">
        <v>44</v>
      </c>
      <c r="R1856" s="11" t="s">
        <v>44</v>
      </c>
      <c r="S1856" s="11" t="s">
        <v>44</v>
      </c>
      <c r="T1856" s="22"/>
      <c r="U1856" s="22"/>
      <c r="V1856" s="22"/>
      <c r="W1856" s="22"/>
      <c r="X1856" s="22"/>
      <c r="Y1856" s="22"/>
      <c r="Z1856" s="22"/>
      <c r="AA1856" s="22"/>
      <c r="AB1856" s="22"/>
      <c r="AC1856" s="22"/>
      <c r="AD1856" s="22"/>
      <c r="AE1856" s="22"/>
      <c r="AG1856" s="71"/>
      <c r="AH1856" s="71"/>
      <c r="AI1856" s="71"/>
      <c r="AJ1856" s="71"/>
      <c r="AK1856" s="71"/>
      <c r="AL1856" s="71"/>
      <c r="AM1856" s="71"/>
      <c r="AN1856" s="71"/>
      <c r="AO1856" s="71"/>
      <c r="AP1856" s="71"/>
      <c r="AQ1856" s="71"/>
      <c r="AR1856" s="71"/>
      <c r="AS1856" s="94" t="str" cm="1">
        <f t="array" ref="AS1856">IFERROR(INDEX(T1856:AE1856,1,MATCH(2,1/(T1856:AE1856&lt;&gt;""))),"")</f>
        <v/>
      </c>
      <c r="AT1856" s="95">
        <f t="shared" si="2169"/>
        <v>0</v>
      </c>
      <c r="AU1856" s="97">
        <f t="shared" si="2170"/>
        <v>0</v>
      </c>
      <c r="AW1856" s="52">
        <f t="shared" si="2171"/>
        <v>0</v>
      </c>
      <c r="AX1856" s="52"/>
      <c r="AY1856" s="52"/>
      <c r="AZ1856" s="52"/>
      <c r="BA1856" s="52"/>
      <c r="BB1856" s="52"/>
      <c r="BC1856" s="52"/>
      <c r="BD1856" s="52"/>
      <c r="BE1856" s="52"/>
      <c r="BF1856" s="52"/>
      <c r="BG1856" s="52"/>
      <c r="BH1856" s="52"/>
      <c r="BI1856" s="68" cm="1">
        <f t="array" ref="BI1856">IFERROR(INDEX(AW1856:BH1856,1,MATCH(2,1/(AW1856:BH1856&lt;&gt;""))),"")</f>
        <v>0</v>
      </c>
      <c r="BJ1856" s="68" t="str" cm="1">
        <f t="array" ref="BJ1856">IF(BM1856 = "", "",IFERROR(INDEX(AW1856:BH1856,1,MATCH(2,1/(AW1856:BH1856&lt;&gt;""),1)-1),""))</f>
        <v/>
      </c>
      <c r="BK1856" s="59">
        <f t="shared" si="2172"/>
        <v>0</v>
      </c>
      <c r="BL1856" s="59">
        <f t="shared" si="2173"/>
        <v>0</v>
      </c>
      <c r="BM1856" s="55" t="str" cm="1">
        <f t="array" ref="BM1856">IFERROR(
   INDEX($AW$1:$BH$1,
      _xlfn.AGGREGATE(14, 6, COLUMN($AW$1:$BH$1)/(AW1856:BH1856&lt;&gt;""), 2) - COLUMN($AW$1) + 1
   ),
"")</f>
        <v/>
      </c>
      <c r="BN1856" s="55" cm="1">
        <f t="array" ref="BN1856">IFERROR(INDEX($AW$1:$BH$1,1,MATCH(2,1/(AW1856:BH1856&lt;&gt;""))),"")</f>
        <v>46023</v>
      </c>
      <c r="BO1856" s="53">
        <f ca="1">IFERROR(_xlfn.XLOOKUP(F1856,Apuração!A:A,Apuração!C:C)/_xlfn.XLOOKUP(F1856,Apuração!A:A,Apuração!B:B),0)</f>
        <v>0</v>
      </c>
      <c r="BP1856" s="53">
        <f ca="1">IFERROR(_xlfn.XLOOKUP(F1856,Apuração!A:A,Apuração!D:D)/_xlfn.XLOOKUP(F1856,Apuração!A:A,Apuração!B:B),0)</f>
        <v>0</v>
      </c>
      <c r="BQ1856" s="53">
        <f ca="1">IF(BK1856&gt;=BO1856,0,_xlfn.XLOOKUP(F1856,Apuração!A:A,Apuração!B:B)*(BO1856 + (1/_xlfn.XLOOKUP(F1856,Apuração!A:A,Apuração!B:B)) - BK1856))</f>
        <v>0</v>
      </c>
      <c r="BR1856" s="85">
        <f t="shared" ca="1" si="2174"/>
        <v>0</v>
      </c>
      <c r="BS1856" s="53">
        <f ca="1">IFERROR((_xlfn.XLOOKUP(F1856,Apuração!A:A,Apuração!C:C)+1)/_xlfn.XLOOKUP(F1856,Apuração!A:A,Apuração!B:B),0)</f>
        <v>0.14285714285714285</v>
      </c>
    </row>
    <row r="1857" spans="1:71" ht="25.95" hidden="1" customHeight="1" x14ac:dyDescent="0.3">
      <c r="A1857" s="44" t="s">
        <v>175</v>
      </c>
      <c r="B1857" s="4" t="s">
        <v>187</v>
      </c>
      <c r="C1857" s="5" t="s">
        <v>214</v>
      </c>
      <c r="D1857" s="5" t="s">
        <v>212</v>
      </c>
      <c r="E1857" s="4" t="s">
        <v>96</v>
      </c>
      <c r="F1857" s="4" t="str" cm="1">
        <f t="array" ref="F1857">_xlfn.IFS(
AG1857 &lt;&gt; "", "Jan-Dez/26",
AH1857 &lt;&gt; "", "Fev-Dez/26",
AI1857 &lt;&gt; "", "Mar-Dez/26", AJ1857 &lt;&gt; "", "Abr-Dez/26",
TRUE, "A partir de Junho"
)</f>
        <v>A partir de Junho</v>
      </c>
      <c r="G1857" s="4" t="s">
        <v>62</v>
      </c>
      <c r="H1857" s="7" t="s">
        <v>54</v>
      </c>
      <c r="I1857" s="34" t="s">
        <v>192</v>
      </c>
      <c r="J1857" s="8" t="str" cm="1">
        <f t="array" aca="1" ref="J1857" ca="1">_xlfn.LET(
  _xlpm.actual_value_month, INDEX(T1857:AE1857, MATCH(DATE(YEAR(TODAY()), MONTH(TODAY()), 1), $T$1:$AE$1, 0)),
  IF(_xlpm.actual_value_month &lt;&gt; "", _xlpm.actual_value_month &amp; " ações mensais", "")
)</f>
        <v/>
      </c>
      <c r="K1857" s="34" t="str" cm="1">
        <f t="array" ref="K1857">_xlfn.LET(
    _xlpm.sum_month, SUM(T1857:AE1857),
    IF(_xlpm.sum_month = 0, "", _xlpm.sum_month &amp; " colaboradores treinados.")
)</f>
        <v/>
      </c>
      <c r="L1857" s="4" t="s">
        <v>193</v>
      </c>
      <c r="M1857" s="9"/>
      <c r="N1857" s="5" t="s">
        <v>51</v>
      </c>
      <c r="O1857" s="5" t="s">
        <v>52</v>
      </c>
      <c r="P1857" s="10" t="s">
        <v>44</v>
      </c>
      <c r="Q1857" s="10" t="s">
        <v>44</v>
      </c>
      <c r="R1857" s="11" t="s">
        <v>44</v>
      </c>
      <c r="S1857" s="11" t="s">
        <v>44</v>
      </c>
      <c r="T1857" s="22"/>
      <c r="U1857" s="22"/>
      <c r="V1857" s="22"/>
      <c r="W1857" s="22"/>
      <c r="X1857" s="22"/>
      <c r="Y1857" s="22"/>
      <c r="Z1857" s="22"/>
      <c r="AA1857" s="22"/>
      <c r="AB1857" s="22"/>
      <c r="AC1857" s="22"/>
      <c r="AD1857" s="22"/>
      <c r="AE1857" s="22"/>
      <c r="AG1857" s="71"/>
      <c r="AH1857" s="71"/>
      <c r="AI1857" s="71"/>
      <c r="AJ1857" s="71"/>
      <c r="AK1857" s="71"/>
      <c r="AL1857" s="71"/>
      <c r="AM1857" s="71"/>
      <c r="AN1857" s="71"/>
      <c r="AO1857" s="71"/>
      <c r="AP1857" s="71"/>
      <c r="AQ1857" s="71"/>
      <c r="AR1857" s="71"/>
      <c r="AS1857" s="94" t="str" cm="1">
        <f t="array" ref="AS1857">IFERROR(INDEX(T1857:AE1857,1,MATCH(2,1/(T1857:AE1857&lt;&gt;""))),"")</f>
        <v/>
      </c>
      <c r="AT1857" s="95">
        <f t="shared" si="2169"/>
        <v>0</v>
      </c>
      <c r="AU1857" s="97">
        <f t="shared" si="2170"/>
        <v>0</v>
      </c>
      <c r="AW1857" s="52">
        <f t="shared" si="2171"/>
        <v>0</v>
      </c>
      <c r="AX1857" s="52"/>
      <c r="AY1857" s="52"/>
      <c r="AZ1857" s="52"/>
      <c r="BA1857" s="52"/>
      <c r="BB1857" s="52"/>
      <c r="BC1857" s="52"/>
      <c r="BD1857" s="52"/>
      <c r="BE1857" s="52"/>
      <c r="BF1857" s="52"/>
      <c r="BG1857" s="52"/>
      <c r="BH1857" s="52"/>
      <c r="BI1857" s="68" cm="1">
        <f t="array" ref="BI1857">IFERROR(INDEX(AW1857:BH1857,1,MATCH(2,1/(AW1857:BH1857&lt;&gt;""))),"")</f>
        <v>0</v>
      </c>
      <c r="BJ1857" s="68" t="str" cm="1">
        <f t="array" ref="BJ1857">IF(BM1857 = "", "",IFERROR(INDEX(AW1857:BH1857,1,MATCH(2,1/(AW1857:BH1857&lt;&gt;""),1)-1),""))</f>
        <v/>
      </c>
      <c r="BK1857" s="59">
        <f t="shared" si="2172"/>
        <v>0</v>
      </c>
      <c r="BL1857" s="59">
        <f t="shared" si="2173"/>
        <v>0</v>
      </c>
      <c r="BM1857" s="55" t="str" cm="1">
        <f t="array" ref="BM1857">IFERROR(
   INDEX($AW$1:$BH$1,
      _xlfn.AGGREGATE(14, 6, COLUMN($AW$1:$BH$1)/(AW1857:BH1857&lt;&gt;""), 2) - COLUMN($AW$1) + 1
   ),
"")</f>
        <v/>
      </c>
      <c r="BN1857" s="55" cm="1">
        <f t="array" ref="BN1857">IFERROR(INDEX($AW$1:$BH$1,1,MATCH(2,1/(AW1857:BH1857&lt;&gt;""))),"")</f>
        <v>46023</v>
      </c>
      <c r="BO1857" s="53">
        <f ca="1">IFERROR(_xlfn.XLOOKUP(F1857,Apuração!A:A,Apuração!C:C)/_xlfn.XLOOKUP(F1857,Apuração!A:A,Apuração!B:B),0)</f>
        <v>0</v>
      </c>
      <c r="BP1857" s="53">
        <f ca="1">IFERROR(_xlfn.XLOOKUP(F1857,Apuração!A:A,Apuração!D:D)/_xlfn.XLOOKUP(F1857,Apuração!A:A,Apuração!B:B),0)</f>
        <v>0</v>
      </c>
      <c r="BQ1857" s="53">
        <f ca="1">IF(BK1857&gt;=BO1857,0,_xlfn.XLOOKUP(F1857,Apuração!A:A,Apuração!B:B)*(BO1857 + (1/_xlfn.XLOOKUP(F1857,Apuração!A:A,Apuração!B:B)) - BK1857))</f>
        <v>0</v>
      </c>
      <c r="BR1857" s="85">
        <f t="shared" ca="1" si="2174"/>
        <v>0</v>
      </c>
      <c r="BS1857" s="53">
        <f ca="1">IFERROR((_xlfn.XLOOKUP(F1857,Apuração!A:A,Apuração!C:C)+1)/_xlfn.XLOOKUP(F1857,Apuração!A:A,Apuração!B:B),0)</f>
        <v>0.14285714285714285</v>
      </c>
    </row>
    <row r="1858" spans="1:71" ht="25.95" hidden="1" customHeight="1" x14ac:dyDescent="0.3">
      <c r="A1858" s="44" t="s">
        <v>175</v>
      </c>
      <c r="B1858" s="4" t="s">
        <v>187</v>
      </c>
      <c r="C1858" s="5" t="s">
        <v>214</v>
      </c>
      <c r="D1858" s="5" t="s">
        <v>48</v>
      </c>
      <c r="E1858" s="4" t="s">
        <v>96</v>
      </c>
      <c r="F1858" s="4" t="str" cm="1">
        <f t="array" ref="F1858">_xlfn.IFS(
AG1858 &lt;&gt; "", "Jan-Dez/26",
AH1858 &lt;&gt; "", "Fev-Dez/26",
AI1858 &lt;&gt; "", "Mar-Dez/26", AJ1858 &lt;&gt; "", "Abr-Dez/26",
TRUE, "A partir de Junho"
)</f>
        <v>A partir de Junho</v>
      </c>
      <c r="G1858" s="4" t="s">
        <v>62</v>
      </c>
      <c r="H1858" s="7" t="s">
        <v>54</v>
      </c>
      <c r="I1858" s="34" t="s">
        <v>192</v>
      </c>
      <c r="J1858" s="8" t="str" cm="1">
        <f t="array" aca="1" ref="J1858" ca="1">_xlfn.LET(
  _xlpm.actual_value_month, INDEX(T1858:AE1858, MATCH(DATE(YEAR(TODAY()), MONTH(TODAY()), 1), $T$1:$AE$1, 0)),
  IF(_xlpm.actual_value_month &lt;&gt; "", _xlpm.actual_value_month &amp; " ações mensais", "")
)</f>
        <v/>
      </c>
      <c r="K1858" s="34" t="str" cm="1">
        <f t="array" ref="K1858">_xlfn.LET(
    _xlpm.sum_month, SUM(T1858:AE1858),
    IF(_xlpm.sum_month = 0, "", _xlpm.sum_month &amp; " colaboradores treinados.")
)</f>
        <v/>
      </c>
      <c r="L1858" s="4" t="s">
        <v>193</v>
      </c>
      <c r="M1858" s="9"/>
      <c r="N1858" s="5" t="s">
        <v>51</v>
      </c>
      <c r="O1858" s="5" t="s">
        <v>52</v>
      </c>
      <c r="P1858" s="10" t="s">
        <v>44</v>
      </c>
      <c r="Q1858" s="10" t="s">
        <v>44</v>
      </c>
      <c r="R1858" s="11" t="s">
        <v>44</v>
      </c>
      <c r="S1858" s="11" t="s">
        <v>44</v>
      </c>
      <c r="T1858" s="22"/>
      <c r="U1858" s="22"/>
      <c r="V1858" s="22"/>
      <c r="W1858" s="22"/>
      <c r="X1858" s="22"/>
      <c r="Y1858" s="22"/>
      <c r="Z1858" s="22"/>
      <c r="AA1858" s="22"/>
      <c r="AB1858" s="22"/>
      <c r="AC1858" s="22"/>
      <c r="AD1858" s="22"/>
      <c r="AE1858" s="22"/>
      <c r="AG1858" s="71"/>
      <c r="AH1858" s="71"/>
      <c r="AI1858" s="71"/>
      <c r="AJ1858" s="71"/>
      <c r="AK1858" s="71"/>
      <c r="AL1858" s="71"/>
      <c r="AM1858" s="71"/>
      <c r="AN1858" s="71"/>
      <c r="AO1858" s="71"/>
      <c r="AP1858" s="71"/>
      <c r="AQ1858" s="71"/>
      <c r="AR1858" s="71"/>
      <c r="AS1858" s="94" t="str" cm="1">
        <f t="array" ref="AS1858">IFERROR(INDEX(T1858:AE1858,1,MATCH(2,1/(T1858:AE1858&lt;&gt;""))),"")</f>
        <v/>
      </c>
      <c r="AT1858" s="95">
        <f t="shared" si="2169"/>
        <v>0</v>
      </c>
      <c r="AU1858" s="97">
        <f t="shared" si="2170"/>
        <v>0</v>
      </c>
      <c r="AW1858" s="52">
        <f t="shared" si="2171"/>
        <v>0</v>
      </c>
      <c r="AX1858" s="52"/>
      <c r="AY1858" s="52"/>
      <c r="AZ1858" s="52"/>
      <c r="BA1858" s="52"/>
      <c r="BB1858" s="52"/>
      <c r="BC1858" s="52"/>
      <c r="BD1858" s="52"/>
      <c r="BE1858" s="52"/>
      <c r="BF1858" s="52"/>
      <c r="BG1858" s="52"/>
      <c r="BH1858" s="52"/>
      <c r="BI1858" s="68" cm="1">
        <f t="array" ref="BI1858">IFERROR(INDEX(AW1858:BH1858,1,MATCH(2,1/(AW1858:BH1858&lt;&gt;""))),"")</f>
        <v>0</v>
      </c>
      <c r="BJ1858" s="68" t="str" cm="1">
        <f t="array" ref="BJ1858">IF(BM1858 = "", "",IFERROR(INDEX(AW1858:BH1858,1,MATCH(2,1/(AW1858:BH1858&lt;&gt;""),1)-1),""))</f>
        <v/>
      </c>
      <c r="BK1858" s="59">
        <f t="shared" si="2172"/>
        <v>0</v>
      </c>
      <c r="BL1858" s="59">
        <f t="shared" si="2173"/>
        <v>0</v>
      </c>
      <c r="BM1858" s="55" t="str" cm="1">
        <f t="array" ref="BM1858">IFERROR(
   INDEX($AW$1:$BH$1,
      _xlfn.AGGREGATE(14, 6, COLUMN($AW$1:$BH$1)/(AW1858:BH1858&lt;&gt;""), 2) - COLUMN($AW$1) + 1
   ),
"")</f>
        <v/>
      </c>
      <c r="BN1858" s="55" cm="1">
        <f t="array" ref="BN1858">IFERROR(INDEX($AW$1:$BH$1,1,MATCH(2,1/(AW1858:BH1858&lt;&gt;""))),"")</f>
        <v>46023</v>
      </c>
      <c r="BO1858" s="53">
        <f ca="1">IFERROR(_xlfn.XLOOKUP(F1858,Apuração!A:A,Apuração!C:C)/_xlfn.XLOOKUP(F1858,Apuração!A:A,Apuração!B:B),0)</f>
        <v>0</v>
      </c>
      <c r="BP1858" s="53">
        <f ca="1">IFERROR(_xlfn.XLOOKUP(F1858,Apuração!A:A,Apuração!D:D)/_xlfn.XLOOKUP(F1858,Apuração!A:A,Apuração!B:B),0)</f>
        <v>0</v>
      </c>
      <c r="BQ1858" s="53">
        <f ca="1">IF(BK1858&gt;=BO1858,0,_xlfn.XLOOKUP(F1858,Apuração!A:A,Apuração!B:B)*(BO1858 + (1/_xlfn.XLOOKUP(F1858,Apuração!A:A,Apuração!B:B)) - BK1858))</f>
        <v>0</v>
      </c>
      <c r="BR1858" s="85">
        <f t="shared" ca="1" si="2174"/>
        <v>0</v>
      </c>
      <c r="BS1858" s="53">
        <f ca="1">IFERROR((_xlfn.XLOOKUP(F1858,Apuração!A:A,Apuração!C:C)+1)/_xlfn.XLOOKUP(F1858,Apuração!A:A,Apuração!B:B),0)</f>
        <v>0.14285714285714285</v>
      </c>
    </row>
    <row r="1859" spans="1:71" ht="25.95" hidden="1" customHeight="1" x14ac:dyDescent="0.3">
      <c r="A1859" s="44" t="s">
        <v>175</v>
      </c>
      <c r="B1859" s="4" t="s">
        <v>187</v>
      </c>
      <c r="C1859" s="5" t="s">
        <v>214</v>
      </c>
      <c r="D1859" s="5" t="s">
        <v>213</v>
      </c>
      <c r="E1859" s="4" t="s">
        <v>96</v>
      </c>
      <c r="F1859" s="4" t="str" cm="1">
        <f t="array" ref="F1859">_xlfn.IFS(
AG1859 &lt;&gt; "", "Jan-Dez/26",
AH1859 &lt;&gt; "", "Fev-Dez/26",
AI1859 &lt;&gt; "", "Mar-Dez/26", AJ1859 &lt;&gt; "", "Abr-Dez/26",
TRUE, "A partir de Junho"
)</f>
        <v>A partir de Junho</v>
      </c>
      <c r="G1859" s="4" t="s">
        <v>62</v>
      </c>
      <c r="H1859" s="7" t="s">
        <v>54</v>
      </c>
      <c r="I1859" s="34" t="s">
        <v>192</v>
      </c>
      <c r="J1859" s="8" t="str" cm="1">
        <f t="array" aca="1" ref="J1859" ca="1">_xlfn.LET(
  _xlpm.actual_value_month, INDEX(T1859:AE1859, MATCH(DATE(YEAR(TODAY()), MONTH(TODAY()), 1), $T$1:$AE$1, 0)),
  IF(_xlpm.actual_value_month &lt;&gt; "", _xlpm.actual_value_month &amp; " ações mensais", "")
)</f>
        <v/>
      </c>
      <c r="K1859" s="34" t="str" cm="1">
        <f t="array" ref="K1859">_xlfn.LET(
    _xlpm.sum_month, SUM(T1859:AE1859),
    IF(_xlpm.sum_month = 0, "", _xlpm.sum_month &amp; " colaboradores treinados.")
)</f>
        <v/>
      </c>
      <c r="L1859" s="4" t="s">
        <v>193</v>
      </c>
      <c r="M1859" s="9"/>
      <c r="N1859" s="5" t="s">
        <v>51</v>
      </c>
      <c r="O1859" s="5" t="s">
        <v>52</v>
      </c>
      <c r="P1859" s="10" t="s">
        <v>44</v>
      </c>
      <c r="Q1859" s="10" t="s">
        <v>44</v>
      </c>
      <c r="R1859" s="11" t="s">
        <v>44</v>
      </c>
      <c r="S1859" s="11" t="s">
        <v>44</v>
      </c>
      <c r="T1859" s="22"/>
      <c r="U1859" s="22"/>
      <c r="V1859" s="22"/>
      <c r="W1859" s="22"/>
      <c r="X1859" s="22"/>
      <c r="Y1859" s="22"/>
      <c r="Z1859" s="22"/>
      <c r="AA1859" s="22"/>
      <c r="AB1859" s="22"/>
      <c r="AC1859" s="22"/>
      <c r="AD1859" s="22"/>
      <c r="AE1859" s="22"/>
      <c r="AG1859" s="71"/>
      <c r="AH1859" s="71"/>
      <c r="AI1859" s="71"/>
      <c r="AJ1859" s="71"/>
      <c r="AK1859" s="71"/>
      <c r="AL1859" s="71"/>
      <c r="AM1859" s="71"/>
      <c r="AN1859" s="71"/>
      <c r="AO1859" s="71"/>
      <c r="AP1859" s="71"/>
      <c r="AQ1859" s="71"/>
      <c r="AR1859" s="71"/>
      <c r="AS1859" s="94" t="str" cm="1">
        <f t="array" ref="AS1859">IFERROR(INDEX(T1859:AE1859,1,MATCH(2,1/(T1859:AE1859&lt;&gt;""))),"")</f>
        <v/>
      </c>
      <c r="AT1859" s="95">
        <f t="shared" si="2169"/>
        <v>0</v>
      </c>
      <c r="AU1859" s="97">
        <f t="shared" si="2170"/>
        <v>0</v>
      </c>
      <c r="AW1859" s="52">
        <f t="shared" si="2171"/>
        <v>0</v>
      </c>
      <c r="AX1859" s="52"/>
      <c r="AY1859" s="52"/>
      <c r="AZ1859" s="52"/>
      <c r="BA1859" s="52"/>
      <c r="BB1859" s="52"/>
      <c r="BC1859" s="52"/>
      <c r="BD1859" s="52"/>
      <c r="BE1859" s="52"/>
      <c r="BF1859" s="52"/>
      <c r="BG1859" s="52"/>
      <c r="BH1859" s="52"/>
      <c r="BI1859" s="68" cm="1">
        <f t="array" ref="BI1859">IFERROR(INDEX(AW1859:BH1859,1,MATCH(2,1/(AW1859:BH1859&lt;&gt;""))),"")</f>
        <v>0</v>
      </c>
      <c r="BJ1859" s="68" t="str" cm="1">
        <f t="array" ref="BJ1859">IF(BM1859 = "", "",IFERROR(INDEX(AW1859:BH1859,1,MATCH(2,1/(AW1859:BH1859&lt;&gt;""),1)-1),""))</f>
        <v/>
      </c>
      <c r="BK1859" s="59">
        <f t="shared" si="2172"/>
        <v>0</v>
      </c>
      <c r="BL1859" s="59">
        <f t="shared" si="2173"/>
        <v>0</v>
      </c>
      <c r="BM1859" s="55" t="str" cm="1">
        <f t="array" ref="BM1859">IFERROR(
   INDEX($AW$1:$BH$1,
      _xlfn.AGGREGATE(14, 6, COLUMN($AW$1:$BH$1)/(AW1859:BH1859&lt;&gt;""), 2) - COLUMN($AW$1) + 1
   ),
"")</f>
        <v/>
      </c>
      <c r="BN1859" s="55" cm="1">
        <f t="array" ref="BN1859">IFERROR(INDEX($AW$1:$BH$1,1,MATCH(2,1/(AW1859:BH1859&lt;&gt;""))),"")</f>
        <v>46023</v>
      </c>
      <c r="BO1859" s="53">
        <f ca="1">IFERROR(_xlfn.XLOOKUP(F1859,Apuração!A:A,Apuração!C:C)/_xlfn.XLOOKUP(F1859,Apuração!A:A,Apuração!B:B),0)</f>
        <v>0</v>
      </c>
      <c r="BP1859" s="53">
        <f ca="1">IFERROR(_xlfn.XLOOKUP(F1859,Apuração!A:A,Apuração!D:D)/_xlfn.XLOOKUP(F1859,Apuração!A:A,Apuração!B:B),0)</f>
        <v>0</v>
      </c>
      <c r="BQ1859" s="53">
        <f ca="1">IF(BK1859&gt;=BO1859,0,_xlfn.XLOOKUP(F1859,Apuração!A:A,Apuração!B:B)*(BO1859 + (1/_xlfn.XLOOKUP(F1859,Apuração!A:A,Apuração!B:B)) - BK1859))</f>
        <v>0</v>
      </c>
      <c r="BR1859" s="85">
        <f t="shared" ca="1" si="2174"/>
        <v>0</v>
      </c>
      <c r="BS1859" s="53">
        <f ca="1">IFERROR((_xlfn.XLOOKUP(F1859,Apuração!A:A,Apuração!C:C)+1)/_xlfn.XLOOKUP(F1859,Apuração!A:A,Apuração!B:B),0)</f>
        <v>0.14285714285714285</v>
      </c>
    </row>
    <row r="1860" spans="1:71" ht="25.95" hidden="1" customHeight="1" x14ac:dyDescent="0.3">
      <c r="A1860" s="33" t="s">
        <v>175</v>
      </c>
      <c r="B1860" s="4" t="s">
        <v>194</v>
      </c>
      <c r="C1860" s="5" t="s">
        <v>214</v>
      </c>
      <c r="D1860" s="5" t="s">
        <v>36</v>
      </c>
      <c r="E1860" s="4" t="s">
        <v>96</v>
      </c>
      <c r="F1860" s="4" t="str" cm="1">
        <f t="array" ref="F1860">_xlfn.IFS(
AG1860 &lt;&gt; "", "Jan-Dez/26",
AH1860 &lt;&gt; "", "Fev-Dez/26",
AI1860 &lt;&gt; "", "Mar-Dez/26", AJ1860 &lt;&gt; "", "Abr-Dez/26",
TRUE, "A partir de Junho"
)</f>
        <v>A partir de Junho</v>
      </c>
      <c r="G1860" s="4" t="s">
        <v>62</v>
      </c>
      <c r="H1860" s="7" t="s">
        <v>38</v>
      </c>
      <c r="I1860" s="8" t="s">
        <v>177</v>
      </c>
      <c r="J1860" s="8" t="str" cm="1">
        <f t="array" aca="1" ref="J1860" ca="1">_xlfn.LET(
  _xlpm.actual_value_month, INDEX(T1860:AE1860, MATCH(DATE(YEAR(TODAY()), MONTH(TODAY()), 1), $T$1:$AE$1, 0)),
  IF(_xlpm.actual_value_month &lt;&gt; "", _xlpm.actual_value_month &amp; " ações mensais", "")
)</f>
        <v/>
      </c>
      <c r="K1860" s="8" t="str" cm="1">
        <f t="array" ref="K1860">_xlfn.LET(
    _xlpm.sum_month, SUM(T1860:AE1860),
    IF(_xlpm.sum_month = 0, "", _xlpm.sum_month &amp; " certificados gerados.")
)</f>
        <v/>
      </c>
      <c r="L1860" s="9" t="s">
        <v>195</v>
      </c>
      <c r="M1860" s="13">
        <v>1</v>
      </c>
      <c r="N1860" s="5" t="s">
        <v>42</v>
      </c>
      <c r="O1860" s="5" t="s">
        <v>43</v>
      </c>
      <c r="P1860" s="10" t="s">
        <v>146</v>
      </c>
      <c r="Q1860" s="10" t="s">
        <v>44</v>
      </c>
      <c r="R1860" s="11" t="s">
        <v>179</v>
      </c>
      <c r="S1860" s="11" t="s">
        <v>67</v>
      </c>
      <c r="T1860" s="22"/>
      <c r="U1860" s="22"/>
      <c r="V1860" s="22"/>
      <c r="W1860" s="22"/>
      <c r="X1860" s="22"/>
      <c r="Y1860" s="22"/>
      <c r="Z1860" s="22"/>
      <c r="AA1860" s="22"/>
      <c r="AB1860" s="22"/>
      <c r="AC1860" s="22"/>
      <c r="AD1860" s="22"/>
      <c r="AE1860" s="22"/>
      <c r="AG1860" s="71"/>
      <c r="AH1860" s="71"/>
      <c r="AI1860" s="71"/>
      <c r="AJ1860" s="71"/>
      <c r="AK1860" s="71"/>
      <c r="AL1860" s="71"/>
      <c r="AM1860" s="71"/>
      <c r="AN1860" s="71"/>
      <c r="AO1860" s="71"/>
      <c r="AP1860" s="71"/>
      <c r="AQ1860" s="71"/>
      <c r="AR1860" s="71"/>
      <c r="AS1860" s="94" t="str" cm="1">
        <f t="array" ref="AS1860">IFERROR(INDEX(T1860:AE1860,1,MATCH(2,1/(T1860:AE1860&lt;&gt;""))),"")</f>
        <v/>
      </c>
      <c r="AT1860" s="95" t="str" cm="1">
        <f t="array" ref="AT1860">IFERROR(INDEX(AJ1860:AR1860,1,MATCH(2,1/(AJ1860:AR1860&lt;&gt;""))),"")</f>
        <v/>
      </c>
      <c r="AU1860" s="97" t="str">
        <f>AT1860</f>
        <v/>
      </c>
      <c r="AW1860" s="51"/>
      <c r="AX1860" s="51"/>
      <c r="AY1860" s="51"/>
      <c r="AZ1860" s="51"/>
      <c r="BA1860" s="51"/>
      <c r="BB1860" s="51"/>
      <c r="BC1860" s="51"/>
      <c r="BD1860" s="51"/>
      <c r="BE1860" s="51"/>
      <c r="BF1860" s="51"/>
      <c r="BG1860" s="51"/>
      <c r="BH1860" s="51"/>
      <c r="BI1860" s="65" t="str" cm="1">
        <f t="array" ref="BI1860">IFERROR(INDEX(AW1860:BH1860,1,MATCH(2,1/(AW1860:BH1860&lt;&gt;""))),"")</f>
        <v/>
      </c>
      <c r="BJ1860" s="68" t="str" cm="1">
        <f t="array" ref="BJ1860">IF(BM1860 = "", "",IFERROR(INDEX(AW1860:BH1860,1,MATCH(2,1/(AW1860:BH1860&lt;&gt;""),1)-1),""))</f>
        <v/>
      </c>
      <c r="BK1860" s="58" t="str" cm="1">
        <f t="array" ref="BK1860">IFERROR(INDEX(AW1860:BH1860,1,MATCH(2,1/(AW1860:BH1860&lt;&gt;""))),"")</f>
        <v/>
      </c>
      <c r="BL1860" s="58" t="str" cm="1">
        <f t="array" ref="BL1860">IFERROR(INDEX(AW1860:BH1860,1,MATCH(2,1/(AW1860:BH1860&lt;&gt;""),1)-1),"")</f>
        <v/>
      </c>
      <c r="BM1860" s="55" t="str" cm="1">
        <f t="array" ref="BM1860">IFERROR(
   INDEX($AW$1:$BH$1,
      _xlfn.AGGREGATE(14, 6, COLUMN($AW$1:$BH$1)/(AW1860:BH1860&lt;&gt;""), 2) - COLUMN($AW$1) + 1
   ),
"")</f>
        <v/>
      </c>
      <c r="BN1860" s="55" t="str" cm="1">
        <f t="array" ref="BN1860">IFERROR(INDEX($AW$1:$BH$1,1,MATCH(2,1/(AW1860:BH1860&lt;&gt;""))),"")</f>
        <v/>
      </c>
      <c r="BO1860" s="53">
        <f ca="1">IFERROR(_xlfn.XLOOKUP(F1860,Apuração!A:A,Apuração!C:C)/_xlfn.XLOOKUP(F1860,Apuração!A:A,Apuração!B:B),0)</f>
        <v>0</v>
      </c>
      <c r="BP1860" s="53">
        <f ca="1">IFERROR(_xlfn.XLOOKUP(F1860,Apuração!A:A,Apuração!D:D)/_xlfn.XLOOKUP(F1860,Apuração!A:A,Apuração!B:B),0)</f>
        <v>0</v>
      </c>
      <c r="BQ1860" s="53">
        <f ca="1">IF(BK1860&gt;=BO1860,0,_xlfn.XLOOKUP(F1860,Apuração!A:A,Apuração!B:B)*(BO1860 + (1/_xlfn.XLOOKUP(F1860,Apuração!A:A,Apuração!B:B)) - BK1860))</f>
        <v>0</v>
      </c>
      <c r="BR1860" s="85">
        <f ca="1">IF(BQ1860=0,0,BQ1860*Z1860)</f>
        <v>0</v>
      </c>
      <c r="BS1860" s="53">
        <f ca="1">IFERROR((_xlfn.XLOOKUP(F1860,Apuração!A:A,Apuração!C:C)+1)/_xlfn.XLOOKUP(F1860,Apuração!A:A,Apuração!B:B),0)</f>
        <v>0.14285714285714285</v>
      </c>
    </row>
    <row r="1861" spans="1:71" ht="25.95" hidden="1" customHeight="1" x14ac:dyDescent="0.3">
      <c r="A1861" s="33" t="s">
        <v>175</v>
      </c>
      <c r="B1861" s="4" t="s">
        <v>194</v>
      </c>
      <c r="C1861" s="5" t="s">
        <v>214</v>
      </c>
      <c r="D1861" s="5" t="s">
        <v>210</v>
      </c>
      <c r="E1861" s="4" t="s">
        <v>96</v>
      </c>
      <c r="F1861" s="4" t="str" cm="1">
        <f t="array" ref="F1861">_xlfn.IFS(
AG1861 &lt;&gt; "", "Jan-Dez/26",
AH1861 &lt;&gt; "", "Fev-Dez/26",
AI1861 &lt;&gt; "", "Mar-Dez/26", AJ1861 &lt;&gt; "", "Abr-Dez/26",
TRUE, "A partir de Junho"
)</f>
        <v>A partir de Junho</v>
      </c>
      <c r="G1861" s="4" t="s">
        <v>62</v>
      </c>
      <c r="H1861" s="7" t="s">
        <v>38</v>
      </c>
      <c r="I1861" s="8" t="s">
        <v>177</v>
      </c>
      <c r="J1861" s="8" t="str" cm="1">
        <f t="array" aca="1" ref="J1861" ca="1">_xlfn.LET(
  _xlpm.actual_value_month, INDEX(T1861:AE1861, MATCH(DATE(YEAR(TODAY()), MONTH(TODAY()), 1), $T$1:$AE$1, 0)),
  IF(_xlpm.actual_value_month &lt;&gt; "", _xlpm.actual_value_month &amp; " ações mensais", "")
)</f>
        <v/>
      </c>
      <c r="K1861" s="8" t="str" cm="1">
        <f t="array" ref="K1861">_xlfn.LET(
    _xlpm.sum_month, SUM(T1861:AE1861),
    IF(_xlpm.sum_month = 0, "", _xlpm.sum_month &amp; " certificados gerados.")
)</f>
        <v/>
      </c>
      <c r="L1861" s="9" t="s">
        <v>195</v>
      </c>
      <c r="M1861" s="13">
        <v>1</v>
      </c>
      <c r="N1861" s="5" t="s">
        <v>42</v>
      </c>
      <c r="O1861" s="5" t="s">
        <v>43</v>
      </c>
      <c r="P1861" s="10" t="s">
        <v>146</v>
      </c>
      <c r="Q1861" s="10" t="s">
        <v>44</v>
      </c>
      <c r="R1861" s="11" t="s">
        <v>179</v>
      </c>
      <c r="S1861" s="11" t="s">
        <v>67</v>
      </c>
      <c r="T1861" s="22"/>
      <c r="U1861" s="22"/>
      <c r="V1861" s="22"/>
      <c r="W1861" s="22"/>
      <c r="X1861" s="22"/>
      <c r="Y1861" s="22"/>
      <c r="Z1861" s="22"/>
      <c r="AA1861" s="22"/>
      <c r="AB1861" s="22"/>
      <c r="AC1861" s="22"/>
      <c r="AD1861" s="22"/>
      <c r="AE1861" s="22"/>
      <c r="AG1861" s="71"/>
      <c r="AH1861" s="71"/>
      <c r="AI1861" s="71"/>
      <c r="AJ1861" s="71"/>
      <c r="AK1861" s="71"/>
      <c r="AL1861" s="71"/>
      <c r="AM1861" s="71"/>
      <c r="AN1861" s="71"/>
      <c r="AO1861" s="71"/>
      <c r="AP1861" s="71"/>
      <c r="AQ1861" s="71"/>
      <c r="AR1861" s="71"/>
      <c r="AS1861" s="94" t="str" cm="1">
        <f t="array" ref="AS1861">IFERROR(INDEX(T1861:AE1861,1,MATCH(2,1/(T1861:AE1861&lt;&gt;""))),"")</f>
        <v/>
      </c>
      <c r="AT1861" s="95" t="str" cm="1">
        <f t="array" ref="AT1861">IFERROR(INDEX(AJ1861:AR1861,1,MATCH(2,1/(AJ1861:AR1861&lt;&gt;""))),"")</f>
        <v/>
      </c>
      <c r="AU1861" s="97" t="str">
        <f t="shared" ref="AU1861:AU1865" si="2175">AT1861</f>
        <v/>
      </c>
      <c r="AW1861" s="51"/>
      <c r="AX1861" s="51"/>
      <c r="AY1861" s="51"/>
      <c r="AZ1861" s="51"/>
      <c r="BA1861" s="51"/>
      <c r="BB1861" s="51"/>
      <c r="BC1861" s="51"/>
      <c r="BD1861" s="51"/>
      <c r="BE1861" s="51"/>
      <c r="BF1861" s="51"/>
      <c r="BG1861" s="51"/>
      <c r="BH1861" s="51"/>
      <c r="BI1861" s="65" t="str" cm="1">
        <f t="array" ref="BI1861">IFERROR(INDEX(AW1861:BH1861,1,MATCH(2,1/(AW1861:BH1861&lt;&gt;""))),"")</f>
        <v/>
      </c>
      <c r="BJ1861" s="68" t="str" cm="1">
        <f t="array" ref="BJ1861">IF(BM1861 = "", "",IFERROR(INDEX(AW1861:BH1861,1,MATCH(2,1/(AW1861:BH1861&lt;&gt;""),1)-1),""))</f>
        <v/>
      </c>
      <c r="BK1861" s="58" t="str" cm="1">
        <f t="array" ref="BK1861">IFERROR(INDEX(AW1861:BH1861,1,MATCH(2,1/(AW1861:BH1861&lt;&gt;""))),"")</f>
        <v/>
      </c>
      <c r="BL1861" s="58" t="str" cm="1">
        <f t="array" ref="BL1861">IFERROR(INDEX(AW1861:BH1861,1,MATCH(2,1/(AW1861:BH1861&lt;&gt;""),1)-1),"")</f>
        <v/>
      </c>
      <c r="BM1861" s="55" t="str" cm="1">
        <f t="array" ref="BM1861">IFERROR(
   INDEX($AW$1:$BH$1,
      _xlfn.AGGREGATE(14, 6, COLUMN($AW$1:$BH$1)/(AW1861:BH1861&lt;&gt;""), 2) - COLUMN($AW$1) + 1
   ),
"")</f>
        <v/>
      </c>
      <c r="BN1861" s="55" t="str" cm="1">
        <f t="array" ref="BN1861">IFERROR(INDEX($AW$1:$BH$1,1,MATCH(2,1/(AW1861:BH1861&lt;&gt;""))),"")</f>
        <v/>
      </c>
      <c r="BO1861" s="53">
        <f ca="1">IFERROR(_xlfn.XLOOKUP(F1861,Apuração!A:A,Apuração!C:C)/_xlfn.XLOOKUP(F1861,Apuração!A:A,Apuração!B:B),0)</f>
        <v>0</v>
      </c>
      <c r="BP1861" s="53">
        <f ca="1">IFERROR(_xlfn.XLOOKUP(F1861,Apuração!A:A,Apuração!D:D)/_xlfn.XLOOKUP(F1861,Apuração!A:A,Apuração!B:B),0)</f>
        <v>0</v>
      </c>
      <c r="BQ1861" s="53">
        <f ca="1">IF(BK1861&gt;=BO1861,0,_xlfn.XLOOKUP(F1861,Apuração!A:A,Apuração!B:B)*(BO1861 + (1/_xlfn.XLOOKUP(F1861,Apuração!A:A,Apuração!B:B)) - BK1861))</f>
        <v>0</v>
      </c>
      <c r="BR1861" s="85">
        <f t="shared" ref="BR1861:BR1865" ca="1" si="2176">IF(BQ1861=0,0,BQ1861*Z1861)</f>
        <v>0</v>
      </c>
      <c r="BS1861" s="53">
        <f ca="1">IFERROR((_xlfn.XLOOKUP(F1861,Apuração!A:A,Apuração!C:C)+1)/_xlfn.XLOOKUP(F1861,Apuração!A:A,Apuração!B:B),0)</f>
        <v>0.14285714285714285</v>
      </c>
    </row>
    <row r="1862" spans="1:71" ht="25.95" hidden="1" customHeight="1" x14ac:dyDescent="0.3">
      <c r="A1862" s="33" t="s">
        <v>175</v>
      </c>
      <c r="B1862" s="4" t="s">
        <v>194</v>
      </c>
      <c r="C1862" s="5" t="s">
        <v>214</v>
      </c>
      <c r="D1862" s="5" t="s">
        <v>215</v>
      </c>
      <c r="E1862" s="4" t="s">
        <v>96</v>
      </c>
      <c r="F1862" s="4" t="str" cm="1">
        <f t="array" ref="F1862">_xlfn.IFS(
AG1862 &lt;&gt; "", "Jan-Dez/26",
AH1862 &lt;&gt; "", "Fev-Dez/26",
AI1862 &lt;&gt; "", "Mar-Dez/26", AJ1862 &lt;&gt; "", "Abr-Dez/26",
TRUE, "A partir de Junho"
)</f>
        <v>A partir de Junho</v>
      </c>
      <c r="G1862" s="4" t="s">
        <v>62</v>
      </c>
      <c r="H1862" s="7" t="s">
        <v>38</v>
      </c>
      <c r="I1862" s="8" t="s">
        <v>177</v>
      </c>
      <c r="J1862" s="8" t="str" cm="1">
        <f t="array" aca="1" ref="J1862" ca="1">_xlfn.LET(
  _xlpm.actual_value_month, INDEX(T1862:AE1862, MATCH(DATE(YEAR(TODAY()), MONTH(TODAY()), 1), $T$1:$AE$1, 0)),
  IF(_xlpm.actual_value_month &lt;&gt; "", _xlpm.actual_value_month &amp; " ações mensais", "")
)</f>
        <v/>
      </c>
      <c r="K1862" s="8" t="str" cm="1">
        <f t="array" ref="K1862">_xlfn.LET(
    _xlpm.sum_month, SUM(T1862:AE1862),
    IF(_xlpm.sum_month = 0, "", _xlpm.sum_month &amp; " certificados gerados.")
)</f>
        <v/>
      </c>
      <c r="L1862" s="9" t="s">
        <v>195</v>
      </c>
      <c r="M1862" s="13">
        <v>1</v>
      </c>
      <c r="N1862" s="5" t="s">
        <v>42</v>
      </c>
      <c r="O1862" s="5" t="s">
        <v>43</v>
      </c>
      <c r="P1862" s="10" t="s">
        <v>146</v>
      </c>
      <c r="Q1862" s="10" t="s">
        <v>44</v>
      </c>
      <c r="R1862" s="11" t="s">
        <v>179</v>
      </c>
      <c r="S1862" s="11" t="s">
        <v>67</v>
      </c>
      <c r="T1862" s="22"/>
      <c r="U1862" s="22"/>
      <c r="V1862" s="22"/>
      <c r="W1862" s="22"/>
      <c r="X1862" s="22"/>
      <c r="Y1862" s="22"/>
      <c r="Z1862" s="22"/>
      <c r="AA1862" s="22"/>
      <c r="AB1862" s="22"/>
      <c r="AC1862" s="22"/>
      <c r="AD1862" s="22"/>
      <c r="AE1862" s="22"/>
      <c r="AG1862" s="71"/>
      <c r="AH1862" s="71"/>
      <c r="AI1862" s="71"/>
      <c r="AJ1862" s="71"/>
      <c r="AK1862" s="71"/>
      <c r="AL1862" s="71"/>
      <c r="AM1862" s="71"/>
      <c r="AN1862" s="71"/>
      <c r="AO1862" s="71"/>
      <c r="AP1862" s="71"/>
      <c r="AQ1862" s="71"/>
      <c r="AR1862" s="71"/>
      <c r="AS1862" s="94" t="str" cm="1">
        <f t="array" ref="AS1862">IFERROR(INDEX(T1862:AE1862,1,MATCH(2,1/(T1862:AE1862&lt;&gt;""))),"")</f>
        <v/>
      </c>
      <c r="AT1862" s="95" t="str" cm="1">
        <f t="array" ref="AT1862">IFERROR(INDEX(AJ1862:AR1862,1,MATCH(2,1/(AJ1862:AR1862&lt;&gt;""))),"")</f>
        <v/>
      </c>
      <c r="AU1862" s="97" t="str">
        <f t="shared" si="2175"/>
        <v/>
      </c>
      <c r="AW1862" s="51"/>
      <c r="AX1862" s="51"/>
      <c r="AY1862" s="51"/>
      <c r="AZ1862" s="51"/>
      <c r="BA1862" s="51"/>
      <c r="BB1862" s="51"/>
      <c r="BC1862" s="51"/>
      <c r="BD1862" s="51"/>
      <c r="BE1862" s="51"/>
      <c r="BF1862" s="51"/>
      <c r="BG1862" s="51"/>
      <c r="BH1862" s="51"/>
      <c r="BI1862" s="65" t="str" cm="1">
        <f t="array" ref="BI1862">IFERROR(INDEX(AW1862:BH1862,1,MATCH(2,1/(AW1862:BH1862&lt;&gt;""))),"")</f>
        <v/>
      </c>
      <c r="BJ1862" s="68" t="str" cm="1">
        <f t="array" ref="BJ1862">IF(BM1862 = "", "",IFERROR(INDEX(AW1862:BH1862,1,MATCH(2,1/(AW1862:BH1862&lt;&gt;""),1)-1),""))</f>
        <v/>
      </c>
      <c r="BK1862" s="58" t="str" cm="1">
        <f t="array" ref="BK1862">IFERROR(INDEX(AW1862:BH1862,1,MATCH(2,1/(AW1862:BH1862&lt;&gt;""))),"")</f>
        <v/>
      </c>
      <c r="BL1862" s="58" t="str" cm="1">
        <f t="array" ref="BL1862">IFERROR(INDEX(AW1862:BH1862,1,MATCH(2,1/(AW1862:BH1862&lt;&gt;""),1)-1),"")</f>
        <v/>
      </c>
      <c r="BM1862" s="55" t="str" cm="1">
        <f t="array" ref="BM1862">IFERROR(
   INDEX($AW$1:$BH$1,
      _xlfn.AGGREGATE(14, 6, COLUMN($AW$1:$BH$1)/(AW1862:BH1862&lt;&gt;""), 2) - COLUMN($AW$1) + 1
   ),
"")</f>
        <v/>
      </c>
      <c r="BN1862" s="55" t="str" cm="1">
        <f t="array" ref="BN1862">IFERROR(INDEX($AW$1:$BH$1,1,MATCH(2,1/(AW1862:BH1862&lt;&gt;""))),"")</f>
        <v/>
      </c>
      <c r="BO1862" s="53">
        <f ca="1">IFERROR(_xlfn.XLOOKUP(F1862,Apuração!A:A,Apuração!C:C)/_xlfn.XLOOKUP(F1862,Apuração!A:A,Apuração!B:B),0)</f>
        <v>0</v>
      </c>
      <c r="BP1862" s="53">
        <f ca="1">IFERROR(_xlfn.XLOOKUP(F1862,Apuração!A:A,Apuração!D:D)/_xlfn.XLOOKUP(F1862,Apuração!A:A,Apuração!B:B),0)</f>
        <v>0</v>
      </c>
      <c r="BQ1862" s="53">
        <f ca="1">IF(BK1862&gt;=BO1862,0,_xlfn.XLOOKUP(F1862,Apuração!A:A,Apuração!B:B)*(BO1862 + (1/_xlfn.XLOOKUP(F1862,Apuração!A:A,Apuração!B:B)) - BK1862))</f>
        <v>0</v>
      </c>
      <c r="BR1862" s="85">
        <f t="shared" ca="1" si="2176"/>
        <v>0</v>
      </c>
      <c r="BS1862" s="53">
        <f ca="1">IFERROR((_xlfn.XLOOKUP(F1862,Apuração!A:A,Apuração!C:C)+1)/_xlfn.XLOOKUP(F1862,Apuração!A:A,Apuração!B:B),0)</f>
        <v>0.14285714285714285</v>
      </c>
    </row>
    <row r="1863" spans="1:71" ht="25.95" hidden="1" customHeight="1" x14ac:dyDescent="0.3">
      <c r="A1863" s="33" t="s">
        <v>175</v>
      </c>
      <c r="B1863" s="4" t="s">
        <v>194</v>
      </c>
      <c r="C1863" s="5" t="s">
        <v>214</v>
      </c>
      <c r="D1863" s="5" t="s">
        <v>212</v>
      </c>
      <c r="E1863" s="4" t="s">
        <v>96</v>
      </c>
      <c r="F1863" s="4" t="str" cm="1">
        <f t="array" ref="F1863">_xlfn.IFS(
AG1863 &lt;&gt; "", "Jan-Dez/26",
AH1863 &lt;&gt; "", "Fev-Dez/26",
AI1863 &lt;&gt; "", "Mar-Dez/26", AJ1863 &lt;&gt; "", "Abr-Dez/26",
TRUE, "A partir de Junho"
)</f>
        <v>A partir de Junho</v>
      </c>
      <c r="G1863" s="4" t="s">
        <v>62</v>
      </c>
      <c r="H1863" s="7" t="s">
        <v>38</v>
      </c>
      <c r="I1863" s="8" t="s">
        <v>177</v>
      </c>
      <c r="J1863" s="8" t="str" cm="1">
        <f t="array" aca="1" ref="J1863" ca="1">_xlfn.LET(
  _xlpm.actual_value_month, INDEX(T1863:AE1863, MATCH(DATE(YEAR(TODAY()), MONTH(TODAY()), 1), $T$1:$AE$1, 0)),
  IF(_xlpm.actual_value_month &lt;&gt; "", _xlpm.actual_value_month &amp; " ações mensais", "")
)</f>
        <v/>
      </c>
      <c r="K1863" s="8" t="str" cm="1">
        <f t="array" ref="K1863">_xlfn.LET(
    _xlpm.sum_month, SUM(T1863:AE1863),
    IF(_xlpm.sum_month = 0, "", _xlpm.sum_month &amp; " certificados gerados.")
)</f>
        <v/>
      </c>
      <c r="L1863" s="9" t="s">
        <v>195</v>
      </c>
      <c r="M1863" s="13">
        <v>1</v>
      </c>
      <c r="N1863" s="5" t="s">
        <v>42</v>
      </c>
      <c r="O1863" s="5" t="s">
        <v>43</v>
      </c>
      <c r="P1863" s="10" t="s">
        <v>146</v>
      </c>
      <c r="Q1863" s="10" t="s">
        <v>44</v>
      </c>
      <c r="R1863" s="11" t="s">
        <v>179</v>
      </c>
      <c r="S1863" s="11" t="s">
        <v>67</v>
      </c>
      <c r="T1863" s="22"/>
      <c r="U1863" s="22"/>
      <c r="V1863" s="22"/>
      <c r="W1863" s="22"/>
      <c r="X1863" s="22"/>
      <c r="Y1863" s="22"/>
      <c r="Z1863" s="22"/>
      <c r="AA1863" s="22"/>
      <c r="AB1863" s="22"/>
      <c r="AC1863" s="22"/>
      <c r="AD1863" s="22"/>
      <c r="AE1863" s="22"/>
      <c r="AG1863" s="71"/>
      <c r="AH1863" s="71"/>
      <c r="AI1863" s="71"/>
      <c r="AJ1863" s="71"/>
      <c r="AK1863" s="71"/>
      <c r="AL1863" s="71"/>
      <c r="AM1863" s="71"/>
      <c r="AN1863" s="71"/>
      <c r="AO1863" s="71"/>
      <c r="AP1863" s="71"/>
      <c r="AQ1863" s="71"/>
      <c r="AR1863" s="71"/>
      <c r="AS1863" s="94" t="str" cm="1">
        <f t="array" ref="AS1863">IFERROR(INDEX(T1863:AE1863,1,MATCH(2,1/(T1863:AE1863&lt;&gt;""))),"")</f>
        <v/>
      </c>
      <c r="AT1863" s="95" t="str" cm="1">
        <f t="array" ref="AT1863">IFERROR(INDEX(AJ1863:AR1863,1,MATCH(2,1/(AJ1863:AR1863&lt;&gt;""))),"")</f>
        <v/>
      </c>
      <c r="AU1863" s="97" t="str">
        <f t="shared" si="2175"/>
        <v/>
      </c>
      <c r="AW1863" s="51"/>
      <c r="AX1863" s="51"/>
      <c r="AY1863" s="51"/>
      <c r="AZ1863" s="51"/>
      <c r="BA1863" s="51"/>
      <c r="BB1863" s="51"/>
      <c r="BC1863" s="51"/>
      <c r="BD1863" s="51"/>
      <c r="BE1863" s="51"/>
      <c r="BF1863" s="51"/>
      <c r="BG1863" s="51"/>
      <c r="BH1863" s="51"/>
      <c r="BI1863" s="65" t="str" cm="1">
        <f t="array" ref="BI1863">IFERROR(INDEX(AW1863:BH1863,1,MATCH(2,1/(AW1863:BH1863&lt;&gt;""))),"")</f>
        <v/>
      </c>
      <c r="BJ1863" s="68" t="str" cm="1">
        <f t="array" ref="BJ1863">IF(BM1863 = "", "",IFERROR(INDEX(AW1863:BH1863,1,MATCH(2,1/(AW1863:BH1863&lt;&gt;""),1)-1),""))</f>
        <v/>
      </c>
      <c r="BK1863" s="58" t="str" cm="1">
        <f t="array" ref="BK1863">IFERROR(INDEX(AW1863:BH1863,1,MATCH(2,1/(AW1863:BH1863&lt;&gt;""))),"")</f>
        <v/>
      </c>
      <c r="BL1863" s="58" t="str" cm="1">
        <f t="array" ref="BL1863">IFERROR(INDEX(AW1863:BH1863,1,MATCH(2,1/(AW1863:BH1863&lt;&gt;""),1)-1),"")</f>
        <v/>
      </c>
      <c r="BM1863" s="55" t="str" cm="1">
        <f t="array" ref="BM1863">IFERROR(
   INDEX($AW$1:$BH$1,
      _xlfn.AGGREGATE(14, 6, COLUMN($AW$1:$BH$1)/(AW1863:BH1863&lt;&gt;""), 2) - COLUMN($AW$1) + 1
   ),
"")</f>
        <v/>
      </c>
      <c r="BN1863" s="55" t="str" cm="1">
        <f t="array" ref="BN1863">IFERROR(INDEX($AW$1:$BH$1,1,MATCH(2,1/(AW1863:BH1863&lt;&gt;""))),"")</f>
        <v/>
      </c>
      <c r="BO1863" s="53">
        <f ca="1">IFERROR(_xlfn.XLOOKUP(F1863,Apuração!A:A,Apuração!C:C)/_xlfn.XLOOKUP(F1863,Apuração!A:A,Apuração!B:B),0)</f>
        <v>0</v>
      </c>
      <c r="BP1863" s="53">
        <f ca="1">IFERROR(_xlfn.XLOOKUP(F1863,Apuração!A:A,Apuração!D:D)/_xlfn.XLOOKUP(F1863,Apuração!A:A,Apuração!B:B),0)</f>
        <v>0</v>
      </c>
      <c r="BQ1863" s="53">
        <f ca="1">IF(BK1863&gt;=BO1863,0,_xlfn.XLOOKUP(F1863,Apuração!A:A,Apuração!B:B)*(BO1863 + (1/_xlfn.XLOOKUP(F1863,Apuração!A:A,Apuração!B:B)) - BK1863))</f>
        <v>0</v>
      </c>
      <c r="BR1863" s="85">
        <f t="shared" ca="1" si="2176"/>
        <v>0</v>
      </c>
      <c r="BS1863" s="53">
        <f ca="1">IFERROR((_xlfn.XLOOKUP(F1863,Apuração!A:A,Apuração!C:C)+1)/_xlfn.XLOOKUP(F1863,Apuração!A:A,Apuração!B:B),0)</f>
        <v>0.14285714285714285</v>
      </c>
    </row>
    <row r="1864" spans="1:71" ht="25.95" hidden="1" customHeight="1" x14ac:dyDescent="0.3">
      <c r="A1864" s="33" t="s">
        <v>175</v>
      </c>
      <c r="B1864" s="4" t="s">
        <v>194</v>
      </c>
      <c r="C1864" s="5" t="s">
        <v>214</v>
      </c>
      <c r="D1864" s="5" t="s">
        <v>48</v>
      </c>
      <c r="E1864" s="4" t="s">
        <v>96</v>
      </c>
      <c r="F1864" s="4" t="str" cm="1">
        <f t="array" ref="F1864">_xlfn.IFS(
AG1864 &lt;&gt; "", "Jan-Dez/26",
AH1864 &lt;&gt; "", "Fev-Dez/26",
AI1864 &lt;&gt; "", "Mar-Dez/26", AJ1864 &lt;&gt; "", "Abr-Dez/26",
TRUE, "A partir de Junho"
)</f>
        <v>A partir de Junho</v>
      </c>
      <c r="G1864" s="4" t="s">
        <v>62</v>
      </c>
      <c r="H1864" s="7" t="s">
        <v>38</v>
      </c>
      <c r="I1864" s="8" t="s">
        <v>177</v>
      </c>
      <c r="J1864" s="8" t="str" cm="1">
        <f t="array" aca="1" ref="J1864" ca="1">_xlfn.LET(
  _xlpm.actual_value_month, INDEX(T1864:AE1864, MATCH(DATE(YEAR(TODAY()), MONTH(TODAY()), 1), $T$1:$AE$1, 0)),
  IF(_xlpm.actual_value_month &lt;&gt; "", _xlpm.actual_value_month &amp; " ações mensais", "")
)</f>
        <v/>
      </c>
      <c r="K1864" s="8" t="str" cm="1">
        <f t="array" ref="K1864">_xlfn.LET(
    _xlpm.sum_month, SUM(T1864:AE1864),
    IF(_xlpm.sum_month = 0, "", _xlpm.sum_month &amp; " certificados gerados.")
)</f>
        <v/>
      </c>
      <c r="L1864" s="9" t="s">
        <v>195</v>
      </c>
      <c r="M1864" s="13">
        <v>1</v>
      </c>
      <c r="N1864" s="5" t="s">
        <v>42</v>
      </c>
      <c r="O1864" s="5" t="s">
        <v>43</v>
      </c>
      <c r="P1864" s="10" t="s">
        <v>146</v>
      </c>
      <c r="Q1864" s="10" t="s">
        <v>44</v>
      </c>
      <c r="R1864" s="11" t="s">
        <v>179</v>
      </c>
      <c r="S1864" s="11" t="s">
        <v>67</v>
      </c>
      <c r="T1864" s="22"/>
      <c r="U1864" s="22"/>
      <c r="V1864" s="22"/>
      <c r="W1864" s="22"/>
      <c r="X1864" s="22"/>
      <c r="Y1864" s="22"/>
      <c r="Z1864" s="22"/>
      <c r="AA1864" s="22"/>
      <c r="AB1864" s="22"/>
      <c r="AC1864" s="22"/>
      <c r="AD1864" s="22"/>
      <c r="AE1864" s="22"/>
      <c r="AG1864" s="71"/>
      <c r="AH1864" s="71"/>
      <c r="AI1864" s="71"/>
      <c r="AJ1864" s="71"/>
      <c r="AK1864" s="71"/>
      <c r="AL1864" s="71"/>
      <c r="AM1864" s="71"/>
      <c r="AN1864" s="71"/>
      <c r="AO1864" s="71"/>
      <c r="AP1864" s="71"/>
      <c r="AQ1864" s="71"/>
      <c r="AR1864" s="71"/>
      <c r="AS1864" s="94" t="str" cm="1">
        <f t="array" ref="AS1864">IFERROR(INDEX(T1864:AE1864,1,MATCH(2,1/(T1864:AE1864&lt;&gt;""))),"")</f>
        <v/>
      </c>
      <c r="AT1864" s="95" t="str" cm="1">
        <f t="array" ref="AT1864">IFERROR(INDEX(AJ1864:AR1864,1,MATCH(2,1/(AJ1864:AR1864&lt;&gt;""))),"")</f>
        <v/>
      </c>
      <c r="AU1864" s="97" t="str">
        <f t="shared" si="2175"/>
        <v/>
      </c>
      <c r="AW1864" s="51"/>
      <c r="AX1864" s="51"/>
      <c r="AY1864" s="51"/>
      <c r="AZ1864" s="51"/>
      <c r="BA1864" s="51"/>
      <c r="BB1864" s="51"/>
      <c r="BC1864" s="51"/>
      <c r="BD1864" s="51"/>
      <c r="BE1864" s="51"/>
      <c r="BF1864" s="51"/>
      <c r="BG1864" s="51"/>
      <c r="BH1864" s="51"/>
      <c r="BI1864" s="65" t="str" cm="1">
        <f t="array" ref="BI1864">IFERROR(INDEX(AW1864:BH1864,1,MATCH(2,1/(AW1864:BH1864&lt;&gt;""))),"")</f>
        <v/>
      </c>
      <c r="BJ1864" s="68" t="str" cm="1">
        <f t="array" ref="BJ1864">IF(BM1864 = "", "",IFERROR(INDEX(AW1864:BH1864,1,MATCH(2,1/(AW1864:BH1864&lt;&gt;""),1)-1),""))</f>
        <v/>
      </c>
      <c r="BK1864" s="58" t="str" cm="1">
        <f t="array" ref="BK1864">IFERROR(INDEX(AW1864:BH1864,1,MATCH(2,1/(AW1864:BH1864&lt;&gt;""))),"")</f>
        <v/>
      </c>
      <c r="BL1864" s="58" t="str" cm="1">
        <f t="array" ref="BL1864">IFERROR(INDEX(AW1864:BH1864,1,MATCH(2,1/(AW1864:BH1864&lt;&gt;""),1)-1),"")</f>
        <v/>
      </c>
      <c r="BM1864" s="55" t="str" cm="1">
        <f t="array" ref="BM1864">IFERROR(
   INDEX($AW$1:$BH$1,
      _xlfn.AGGREGATE(14, 6, COLUMN($AW$1:$BH$1)/(AW1864:BH1864&lt;&gt;""), 2) - COLUMN($AW$1) + 1
   ),
"")</f>
        <v/>
      </c>
      <c r="BN1864" s="55" t="str" cm="1">
        <f t="array" ref="BN1864">IFERROR(INDEX($AW$1:$BH$1,1,MATCH(2,1/(AW1864:BH1864&lt;&gt;""))),"")</f>
        <v/>
      </c>
      <c r="BO1864" s="53">
        <f ca="1">IFERROR(_xlfn.XLOOKUP(F1864,Apuração!A:A,Apuração!C:C)/_xlfn.XLOOKUP(F1864,Apuração!A:A,Apuração!B:B),0)</f>
        <v>0</v>
      </c>
      <c r="BP1864" s="53">
        <f ca="1">IFERROR(_xlfn.XLOOKUP(F1864,Apuração!A:A,Apuração!D:D)/_xlfn.XLOOKUP(F1864,Apuração!A:A,Apuração!B:B),0)</f>
        <v>0</v>
      </c>
      <c r="BQ1864" s="53">
        <f ca="1">IF(BK1864&gt;=BO1864,0,_xlfn.XLOOKUP(F1864,Apuração!A:A,Apuração!B:B)*(BO1864 + (1/_xlfn.XLOOKUP(F1864,Apuração!A:A,Apuração!B:B)) - BK1864))</f>
        <v>0</v>
      </c>
      <c r="BR1864" s="85">
        <f t="shared" ca="1" si="2176"/>
        <v>0</v>
      </c>
      <c r="BS1864" s="53">
        <f ca="1">IFERROR((_xlfn.XLOOKUP(F1864,Apuração!A:A,Apuração!C:C)+1)/_xlfn.XLOOKUP(F1864,Apuração!A:A,Apuração!B:B),0)</f>
        <v>0.14285714285714285</v>
      </c>
    </row>
    <row r="1865" spans="1:71" ht="25.95" hidden="1" customHeight="1" x14ac:dyDescent="0.3">
      <c r="A1865" s="33" t="s">
        <v>175</v>
      </c>
      <c r="B1865" s="4" t="s">
        <v>194</v>
      </c>
      <c r="C1865" s="5" t="s">
        <v>214</v>
      </c>
      <c r="D1865" s="5" t="s">
        <v>213</v>
      </c>
      <c r="E1865" s="4" t="s">
        <v>96</v>
      </c>
      <c r="F1865" s="4" t="str" cm="1">
        <f t="array" ref="F1865">_xlfn.IFS(
AG1865 &lt;&gt; "", "Jan-Dez/26",
AH1865 &lt;&gt; "", "Fev-Dez/26",
AI1865 &lt;&gt; "", "Mar-Dez/26", AJ1865 &lt;&gt; "", "Abr-Dez/26",
TRUE, "A partir de Junho"
)</f>
        <v>A partir de Junho</v>
      </c>
      <c r="G1865" s="4" t="s">
        <v>62</v>
      </c>
      <c r="H1865" s="7" t="s">
        <v>38</v>
      </c>
      <c r="I1865" s="8" t="s">
        <v>177</v>
      </c>
      <c r="J1865" s="8" t="str" cm="1">
        <f t="array" aca="1" ref="J1865" ca="1">_xlfn.LET(
  _xlpm.actual_value_month, INDEX(T1865:AE1865, MATCH(DATE(YEAR(TODAY()), MONTH(TODAY()), 1), $T$1:$AE$1, 0)),
  IF(_xlpm.actual_value_month &lt;&gt; "", _xlpm.actual_value_month &amp; " ações mensais", "")
)</f>
        <v/>
      </c>
      <c r="K1865" s="8" t="str" cm="1">
        <f t="array" ref="K1865">_xlfn.LET(
    _xlpm.sum_month, SUM(T1865:AE1865),
    IF(_xlpm.sum_month = 0, "", _xlpm.sum_month &amp; " certificados gerados.")
)</f>
        <v/>
      </c>
      <c r="L1865" s="9" t="s">
        <v>195</v>
      </c>
      <c r="M1865" s="13">
        <v>1</v>
      </c>
      <c r="N1865" s="5" t="s">
        <v>42</v>
      </c>
      <c r="O1865" s="5" t="s">
        <v>43</v>
      </c>
      <c r="P1865" s="10" t="s">
        <v>146</v>
      </c>
      <c r="Q1865" s="10" t="s">
        <v>44</v>
      </c>
      <c r="R1865" s="11" t="s">
        <v>179</v>
      </c>
      <c r="S1865" s="11" t="s">
        <v>67</v>
      </c>
      <c r="T1865" s="22"/>
      <c r="U1865" s="22"/>
      <c r="V1865" s="22"/>
      <c r="W1865" s="22"/>
      <c r="X1865" s="22"/>
      <c r="Y1865" s="22"/>
      <c r="Z1865" s="22"/>
      <c r="AA1865" s="22"/>
      <c r="AB1865" s="22"/>
      <c r="AC1865" s="22"/>
      <c r="AD1865" s="22"/>
      <c r="AE1865" s="22"/>
      <c r="AG1865" s="71"/>
      <c r="AH1865" s="71"/>
      <c r="AI1865" s="71"/>
      <c r="AJ1865" s="71"/>
      <c r="AK1865" s="71"/>
      <c r="AL1865" s="71"/>
      <c r="AM1865" s="71"/>
      <c r="AN1865" s="71"/>
      <c r="AO1865" s="71"/>
      <c r="AP1865" s="71"/>
      <c r="AQ1865" s="71"/>
      <c r="AR1865" s="71"/>
      <c r="AS1865" s="94" t="str" cm="1">
        <f t="array" ref="AS1865">IFERROR(INDEX(T1865:AE1865,1,MATCH(2,1/(T1865:AE1865&lt;&gt;""))),"")</f>
        <v/>
      </c>
      <c r="AT1865" s="95" t="str" cm="1">
        <f t="array" ref="AT1865">IFERROR(INDEX(AJ1865:AR1865,1,MATCH(2,1/(AJ1865:AR1865&lt;&gt;""))),"")</f>
        <v/>
      </c>
      <c r="AU1865" s="97" t="str">
        <f t="shared" si="2175"/>
        <v/>
      </c>
      <c r="AW1865" s="51"/>
      <c r="AX1865" s="51"/>
      <c r="AY1865" s="51"/>
      <c r="AZ1865" s="51"/>
      <c r="BA1865" s="51"/>
      <c r="BB1865" s="51"/>
      <c r="BC1865" s="51"/>
      <c r="BD1865" s="51"/>
      <c r="BE1865" s="51"/>
      <c r="BF1865" s="51"/>
      <c r="BG1865" s="51"/>
      <c r="BH1865" s="51"/>
      <c r="BI1865" s="65" t="str" cm="1">
        <f t="array" ref="BI1865">IFERROR(INDEX(AW1865:BH1865,1,MATCH(2,1/(AW1865:BH1865&lt;&gt;""))),"")</f>
        <v/>
      </c>
      <c r="BJ1865" s="68" t="str" cm="1">
        <f t="array" ref="BJ1865">IF(BM1865 = "", "",IFERROR(INDEX(AW1865:BH1865,1,MATCH(2,1/(AW1865:BH1865&lt;&gt;""),1)-1),""))</f>
        <v/>
      </c>
      <c r="BK1865" s="58" t="str" cm="1">
        <f t="array" ref="BK1865">IFERROR(INDEX(AW1865:BH1865,1,MATCH(2,1/(AW1865:BH1865&lt;&gt;""))),"")</f>
        <v/>
      </c>
      <c r="BL1865" s="58" t="str" cm="1">
        <f t="array" ref="BL1865">IFERROR(INDEX(AW1865:BH1865,1,MATCH(2,1/(AW1865:BH1865&lt;&gt;""),1)-1),"")</f>
        <v/>
      </c>
      <c r="BM1865" s="55" t="str" cm="1">
        <f t="array" ref="BM1865">IFERROR(
   INDEX($AW$1:$BH$1,
      _xlfn.AGGREGATE(14, 6, COLUMN($AW$1:$BH$1)/(AW1865:BH1865&lt;&gt;""), 2) - COLUMN($AW$1) + 1
   ),
"")</f>
        <v/>
      </c>
      <c r="BN1865" s="55" t="str" cm="1">
        <f t="array" ref="BN1865">IFERROR(INDEX($AW$1:$BH$1,1,MATCH(2,1/(AW1865:BH1865&lt;&gt;""))),"")</f>
        <v/>
      </c>
      <c r="BO1865" s="53">
        <f ca="1">IFERROR(_xlfn.XLOOKUP(F1865,Apuração!A:A,Apuração!C:C)/_xlfn.XLOOKUP(F1865,Apuração!A:A,Apuração!B:B),0)</f>
        <v>0</v>
      </c>
      <c r="BP1865" s="53">
        <f ca="1">IFERROR(_xlfn.XLOOKUP(F1865,Apuração!A:A,Apuração!D:D)/_xlfn.XLOOKUP(F1865,Apuração!A:A,Apuração!B:B),0)</f>
        <v>0</v>
      </c>
      <c r="BQ1865" s="53">
        <f ca="1">IF(BK1865&gt;=BO1865,0,_xlfn.XLOOKUP(F1865,Apuração!A:A,Apuração!B:B)*(BO1865 + (1/_xlfn.XLOOKUP(F1865,Apuração!A:A,Apuração!B:B)) - BK1865))</f>
        <v>0</v>
      </c>
      <c r="BR1865" s="85">
        <f t="shared" ca="1" si="2176"/>
        <v>0</v>
      </c>
      <c r="BS1865" s="53">
        <f ca="1">IFERROR((_xlfn.XLOOKUP(F1865,Apuração!A:A,Apuração!C:C)+1)/_xlfn.XLOOKUP(F1865,Apuração!A:A,Apuração!B:B),0)</f>
        <v>0.14285714285714285</v>
      </c>
    </row>
    <row r="1866" spans="1:71" ht="25.95" hidden="1" customHeight="1" x14ac:dyDescent="0.3">
      <c r="A1866" s="44" t="s">
        <v>175</v>
      </c>
      <c r="B1866" s="4" t="s">
        <v>194</v>
      </c>
      <c r="C1866" s="5" t="s">
        <v>214</v>
      </c>
      <c r="D1866" s="5" t="s">
        <v>36</v>
      </c>
      <c r="E1866" s="4" t="s">
        <v>96</v>
      </c>
      <c r="F1866" s="4" t="str" cm="1">
        <f t="array" ref="F1866">_xlfn.IFS(
AG1866 &lt;&gt; "", "Jan-Dez/26",
AH1866 &lt;&gt; "", "Fev-Dez/26",
AI1866 &lt;&gt; "", "Mar-Dez/26", AJ1866 &lt;&gt; "", "Abr-Dez/26",
TRUE, "A partir de Junho"
)</f>
        <v>A partir de Junho</v>
      </c>
      <c r="G1866" s="4" t="s">
        <v>62</v>
      </c>
      <c r="H1866" s="7" t="s">
        <v>38</v>
      </c>
      <c r="I1866" s="21" t="s">
        <v>180</v>
      </c>
      <c r="J1866" s="8" t="str" cm="1">
        <f t="array" aca="1" ref="J1866" ca="1">_xlfn.LET(
  _xlpm.actual_value_month, INDEX(T1866:AE1866, MATCH(DATE(YEAR(TODAY()), MONTH(TODAY()), 1), $T$1:$AE$1, 0)),
  IF(_xlpm.actual_value_month &lt;&gt; "", _xlpm.actual_value_month &amp; " ações mensais", "")
)</f>
        <v/>
      </c>
      <c r="K1866" s="34" t="str" cm="1">
        <f t="array" ref="K1866">_xlfn.LET(
    _xlpm.sum_month, SUM(T1866:AE1866),
    IF(_xlpm.sum_month = 0, "", _xlpm.sum_month &amp; " colaboradores treinados.")
)</f>
        <v/>
      </c>
      <c r="L1866" s="9" t="s">
        <v>196</v>
      </c>
      <c r="M1866" s="13">
        <v>1</v>
      </c>
      <c r="N1866" s="5" t="s">
        <v>51</v>
      </c>
      <c r="O1866" s="5" t="s">
        <v>52</v>
      </c>
      <c r="P1866" s="10" t="s">
        <v>146</v>
      </c>
      <c r="Q1866" s="10" t="s">
        <v>44</v>
      </c>
      <c r="R1866" s="11" t="s">
        <v>44</v>
      </c>
      <c r="S1866" s="11" t="s">
        <v>44</v>
      </c>
      <c r="T1866" s="22"/>
      <c r="U1866" s="22"/>
      <c r="V1866" s="22"/>
      <c r="W1866" s="22"/>
      <c r="X1866" s="22"/>
      <c r="Y1866" s="22"/>
      <c r="Z1866" s="22"/>
      <c r="AA1866" s="22"/>
      <c r="AB1866" s="22"/>
      <c r="AC1866" s="22"/>
      <c r="AD1866" s="22"/>
      <c r="AE1866" s="22"/>
      <c r="AG1866" s="71"/>
      <c r="AH1866" s="71"/>
      <c r="AI1866" s="71"/>
      <c r="AJ1866" s="71"/>
      <c r="AK1866" s="71"/>
      <c r="AL1866" s="71"/>
      <c r="AM1866" s="71"/>
      <c r="AN1866" s="71"/>
      <c r="AO1866" s="71"/>
      <c r="AP1866" s="71"/>
      <c r="AQ1866" s="71"/>
      <c r="AR1866" s="71"/>
      <c r="AS1866" s="94" t="str" cm="1">
        <f t="array" ref="AS1866">IFERROR(INDEX(T1866:AE1866,1,MATCH(2,1/(T1866:AE1866&lt;&gt;""))),"")</f>
        <v/>
      </c>
      <c r="AT1866" s="95" t="str" cm="1">
        <f t="array" ref="AT1866">IFERROR(INDEX(AJ1866:AR1866,1,MATCH(2,1/(AJ1866:AR1866&lt;&gt;""))),"")</f>
        <v/>
      </c>
      <c r="AU1866" s="97" t="str">
        <f>AT1866</f>
        <v/>
      </c>
      <c r="AW1866" s="52">
        <f>AG1866</f>
        <v>0</v>
      </c>
      <c r="AX1866" s="52"/>
      <c r="AY1866" s="52"/>
      <c r="AZ1866" s="52"/>
      <c r="BA1866" s="52"/>
      <c r="BB1866" s="52"/>
      <c r="BC1866" s="52"/>
      <c r="BD1866" s="52"/>
      <c r="BE1866" s="52"/>
      <c r="BF1866" s="52"/>
      <c r="BG1866" s="52"/>
      <c r="BH1866" s="52"/>
      <c r="BI1866" s="68" cm="1">
        <f t="array" ref="BI1866">IFERROR(INDEX(AW1866:BH1866,1,MATCH(2,1/(AW1866:BH1866&lt;&gt;""))),"")</f>
        <v>0</v>
      </c>
      <c r="BJ1866" s="68" t="str" cm="1">
        <f t="array" ref="BJ1866">IF(BM1866 = "", "",IFERROR(INDEX(AW1866:BH1866,1,MATCH(2,1/(AW1866:BH1866&lt;&gt;""),1)-1),""))</f>
        <v/>
      </c>
      <c r="BK1866" s="59">
        <f>SUM(AW1866:BH1866)</f>
        <v>0</v>
      </c>
      <c r="BL1866" s="59" cm="1">
        <f t="array" ref="BL1866">IFERROR(SUM(AW1866:INDEX(AW1866:BH1866, MATCH(2, 1/(AW1866:BH1866&lt;&gt;""), 1) - 1))/_xlfn.XLOOKUP(F1866,Apuração!A:A,Apuração!B:B),0)</f>
        <v>0</v>
      </c>
      <c r="BM1866" s="55" t="str" cm="1">
        <f t="array" ref="BM1866">IFERROR(
   INDEX($AW$1:$BH$1,
      _xlfn.AGGREGATE(14, 6, COLUMN($AW$1:$BH$1)/(AW1866:BH1866&lt;&gt;""), 2) - COLUMN($AW$1) + 1
   ),
"")</f>
        <v/>
      </c>
      <c r="BN1866" s="55" cm="1">
        <f t="array" ref="BN1866">IFERROR(INDEX($AW$1:$BH$1,1,MATCH(2,1/(AW1866:BH1866&lt;&gt;""))),"")</f>
        <v>46023</v>
      </c>
      <c r="BO1866" s="53">
        <f ca="1">IFERROR(_xlfn.XLOOKUP(F1866,Apuração!A:A,Apuração!C:C)/_xlfn.XLOOKUP(F1866,Apuração!A:A,Apuração!B:B),0)</f>
        <v>0</v>
      </c>
      <c r="BP1866" s="53">
        <f ca="1">IFERROR(_xlfn.XLOOKUP(F1866,Apuração!A:A,Apuração!D:D)/_xlfn.XLOOKUP(F1866,Apuração!A:A,Apuração!B:B),0)</f>
        <v>0</v>
      </c>
      <c r="BQ1866" s="53">
        <f ca="1">IF(BK1866&gt;=BO1866,0,_xlfn.XLOOKUP(F1866,Apuração!A:A,Apuração!B:B)*(BO1866 + (1/_xlfn.XLOOKUP(F1866,Apuração!A:A,Apuração!B:B)) - BK1866))</f>
        <v>0</v>
      </c>
      <c r="BR1866" s="85">
        <f ca="1">IF(BQ1866=0,0,BQ1866*Z1866)</f>
        <v>0</v>
      </c>
      <c r="BS1866" s="53">
        <f ca="1">IFERROR((_xlfn.XLOOKUP(F1866,Apuração!A:A,Apuração!C:C)+1)/_xlfn.XLOOKUP(F1866,Apuração!A:A,Apuração!B:B),0)</f>
        <v>0.14285714285714285</v>
      </c>
    </row>
    <row r="1867" spans="1:71" ht="25.95" hidden="1" customHeight="1" x14ac:dyDescent="0.3">
      <c r="A1867" s="44" t="s">
        <v>175</v>
      </c>
      <c r="B1867" s="4" t="s">
        <v>194</v>
      </c>
      <c r="C1867" s="5" t="s">
        <v>214</v>
      </c>
      <c r="D1867" s="5" t="s">
        <v>210</v>
      </c>
      <c r="E1867" s="4" t="s">
        <v>96</v>
      </c>
      <c r="F1867" s="4" t="str" cm="1">
        <f t="array" ref="F1867">_xlfn.IFS(
AG1867 &lt;&gt; "", "Jan-Dez/26",
AH1867 &lt;&gt; "", "Fev-Dez/26",
AI1867 &lt;&gt; "", "Mar-Dez/26", AJ1867 &lt;&gt; "", "Abr-Dez/26",
TRUE, "A partir de Junho"
)</f>
        <v>A partir de Junho</v>
      </c>
      <c r="G1867" s="4" t="s">
        <v>62</v>
      </c>
      <c r="H1867" s="7" t="s">
        <v>38</v>
      </c>
      <c r="I1867" s="21" t="s">
        <v>180</v>
      </c>
      <c r="J1867" s="8" t="str" cm="1">
        <f t="array" aca="1" ref="J1867" ca="1">_xlfn.LET(
  _xlpm.actual_value_month, INDEX(T1867:AE1867, MATCH(DATE(YEAR(TODAY()), MONTH(TODAY()), 1), $T$1:$AE$1, 0)),
  IF(_xlpm.actual_value_month &lt;&gt; "", _xlpm.actual_value_month &amp; " ações mensais", "")
)</f>
        <v/>
      </c>
      <c r="K1867" s="34" t="str" cm="1">
        <f t="array" ref="K1867">_xlfn.LET(
    _xlpm.sum_month, SUM(T1867:AE1867),
    IF(_xlpm.sum_month = 0, "", _xlpm.sum_month &amp; " colaboradores treinados.")
)</f>
        <v/>
      </c>
      <c r="L1867" s="9" t="s">
        <v>196</v>
      </c>
      <c r="M1867" s="13">
        <v>1</v>
      </c>
      <c r="N1867" s="5" t="s">
        <v>51</v>
      </c>
      <c r="O1867" s="5" t="s">
        <v>52</v>
      </c>
      <c r="P1867" s="10" t="s">
        <v>146</v>
      </c>
      <c r="Q1867" s="10" t="s">
        <v>44</v>
      </c>
      <c r="R1867" s="11" t="s">
        <v>44</v>
      </c>
      <c r="S1867" s="11" t="s">
        <v>44</v>
      </c>
      <c r="T1867" s="22"/>
      <c r="U1867" s="22"/>
      <c r="V1867" s="22"/>
      <c r="W1867" s="22"/>
      <c r="X1867" s="22"/>
      <c r="Y1867" s="22"/>
      <c r="Z1867" s="22"/>
      <c r="AA1867" s="22"/>
      <c r="AB1867" s="22"/>
      <c r="AC1867" s="22"/>
      <c r="AD1867" s="22"/>
      <c r="AE1867" s="22"/>
      <c r="AG1867" s="71"/>
      <c r="AH1867" s="71"/>
      <c r="AI1867" s="71"/>
      <c r="AJ1867" s="71"/>
      <c r="AK1867" s="71"/>
      <c r="AL1867" s="71"/>
      <c r="AM1867" s="71"/>
      <c r="AN1867" s="71"/>
      <c r="AO1867" s="71"/>
      <c r="AP1867" s="71"/>
      <c r="AQ1867" s="71"/>
      <c r="AR1867" s="71"/>
      <c r="AS1867" s="94" t="str" cm="1">
        <f t="array" ref="AS1867">IFERROR(INDEX(T1867:AE1867,1,MATCH(2,1/(T1867:AE1867&lt;&gt;""))),"")</f>
        <v/>
      </c>
      <c r="AT1867" s="95" t="str" cm="1">
        <f t="array" ref="AT1867">IFERROR(INDEX(AJ1867:AR1867,1,MATCH(2,1/(AJ1867:AR1867&lt;&gt;""))),"")</f>
        <v/>
      </c>
      <c r="AU1867" s="97" t="str">
        <f t="shared" ref="AU1867:AU1871" si="2177">AT1867</f>
        <v/>
      </c>
      <c r="AW1867" s="52">
        <f t="shared" ref="AW1867:AW1871" si="2178">AG1867</f>
        <v>0</v>
      </c>
      <c r="AX1867" s="52"/>
      <c r="AY1867" s="52"/>
      <c r="AZ1867" s="52"/>
      <c r="BA1867" s="52"/>
      <c r="BB1867" s="52"/>
      <c r="BC1867" s="52"/>
      <c r="BD1867" s="52"/>
      <c r="BE1867" s="52"/>
      <c r="BF1867" s="52"/>
      <c r="BG1867" s="52"/>
      <c r="BH1867" s="52"/>
      <c r="BI1867" s="68" cm="1">
        <f t="array" ref="BI1867">IFERROR(INDEX(AW1867:BH1867,1,MATCH(2,1/(AW1867:BH1867&lt;&gt;""))),"")</f>
        <v>0</v>
      </c>
      <c r="BJ1867" s="68" t="str" cm="1">
        <f t="array" ref="BJ1867">IF(BM1867 = "", "",IFERROR(INDEX(AW1867:BH1867,1,MATCH(2,1/(AW1867:BH1867&lt;&gt;""),1)-1),""))</f>
        <v/>
      </c>
      <c r="BK1867" s="59">
        <f t="shared" ref="BK1867:BK1871" si="2179">SUM(AW1867:BH1867)</f>
        <v>0</v>
      </c>
      <c r="BL1867" s="59" cm="1">
        <f t="array" ref="BL1867">IFERROR(SUM(AW1867:INDEX(AW1867:BH1867, MATCH(2, 1/(AW1867:BH1867&lt;&gt;""), 1) - 1))/_xlfn.XLOOKUP(F1867,Apuração!A:A,Apuração!B:B),0)</f>
        <v>0</v>
      </c>
      <c r="BM1867" s="55" t="str" cm="1">
        <f t="array" ref="BM1867">IFERROR(
   INDEX($AW$1:$BH$1,
      _xlfn.AGGREGATE(14, 6, COLUMN($AW$1:$BH$1)/(AW1867:BH1867&lt;&gt;""), 2) - COLUMN($AW$1) + 1
   ),
"")</f>
        <v/>
      </c>
      <c r="BN1867" s="55" cm="1">
        <f t="array" ref="BN1867">IFERROR(INDEX($AW$1:$BH$1,1,MATCH(2,1/(AW1867:BH1867&lt;&gt;""))),"")</f>
        <v>46023</v>
      </c>
      <c r="BO1867" s="53">
        <f ca="1">IFERROR(_xlfn.XLOOKUP(F1867,Apuração!A:A,Apuração!C:C)/_xlfn.XLOOKUP(F1867,Apuração!A:A,Apuração!B:B),0)</f>
        <v>0</v>
      </c>
      <c r="BP1867" s="53">
        <f ca="1">IFERROR(_xlfn.XLOOKUP(F1867,Apuração!A:A,Apuração!D:D)/_xlfn.XLOOKUP(F1867,Apuração!A:A,Apuração!B:B),0)</f>
        <v>0</v>
      </c>
      <c r="BQ1867" s="53">
        <f ca="1">IF(BK1867&gt;=BO1867,0,_xlfn.XLOOKUP(F1867,Apuração!A:A,Apuração!B:B)*(BO1867 + (1/_xlfn.XLOOKUP(F1867,Apuração!A:A,Apuração!B:B)) - BK1867))</f>
        <v>0</v>
      </c>
      <c r="BR1867" s="85">
        <f t="shared" ref="BR1867:BR1871" ca="1" si="2180">IF(BQ1867=0,0,BQ1867*Z1867)</f>
        <v>0</v>
      </c>
      <c r="BS1867" s="53">
        <f ca="1">IFERROR((_xlfn.XLOOKUP(F1867,Apuração!A:A,Apuração!C:C)+1)/_xlfn.XLOOKUP(F1867,Apuração!A:A,Apuração!B:B),0)</f>
        <v>0.14285714285714285</v>
      </c>
    </row>
    <row r="1868" spans="1:71" ht="25.95" hidden="1" customHeight="1" x14ac:dyDescent="0.3">
      <c r="A1868" s="44" t="s">
        <v>175</v>
      </c>
      <c r="B1868" s="4" t="s">
        <v>194</v>
      </c>
      <c r="C1868" s="5" t="s">
        <v>214</v>
      </c>
      <c r="D1868" s="5" t="s">
        <v>215</v>
      </c>
      <c r="E1868" s="4" t="s">
        <v>96</v>
      </c>
      <c r="F1868" s="4" t="str" cm="1">
        <f t="array" ref="F1868">_xlfn.IFS(
AG1868 &lt;&gt; "", "Jan-Dez/26",
AH1868 &lt;&gt; "", "Fev-Dez/26",
AI1868 &lt;&gt; "", "Mar-Dez/26", AJ1868 &lt;&gt; "", "Abr-Dez/26",
TRUE, "A partir de Junho"
)</f>
        <v>A partir de Junho</v>
      </c>
      <c r="G1868" s="4" t="s">
        <v>62</v>
      </c>
      <c r="H1868" s="7" t="s">
        <v>38</v>
      </c>
      <c r="I1868" s="21" t="s">
        <v>180</v>
      </c>
      <c r="J1868" s="8" t="str" cm="1">
        <f t="array" aca="1" ref="J1868" ca="1">_xlfn.LET(
  _xlpm.actual_value_month, INDEX(T1868:AE1868, MATCH(DATE(YEAR(TODAY()), MONTH(TODAY()), 1), $T$1:$AE$1, 0)),
  IF(_xlpm.actual_value_month &lt;&gt; "", _xlpm.actual_value_month &amp; " ações mensais", "")
)</f>
        <v/>
      </c>
      <c r="K1868" s="34" t="str" cm="1">
        <f t="array" ref="K1868">_xlfn.LET(
    _xlpm.sum_month, SUM(T1868:AE1868),
    IF(_xlpm.sum_month = 0, "", _xlpm.sum_month &amp; " colaboradores treinados.")
)</f>
        <v/>
      </c>
      <c r="L1868" s="9" t="s">
        <v>196</v>
      </c>
      <c r="M1868" s="13">
        <v>1</v>
      </c>
      <c r="N1868" s="5" t="s">
        <v>51</v>
      </c>
      <c r="O1868" s="5" t="s">
        <v>52</v>
      </c>
      <c r="P1868" s="10" t="s">
        <v>146</v>
      </c>
      <c r="Q1868" s="10" t="s">
        <v>44</v>
      </c>
      <c r="R1868" s="11" t="s">
        <v>44</v>
      </c>
      <c r="S1868" s="11" t="s">
        <v>44</v>
      </c>
      <c r="T1868" s="22"/>
      <c r="U1868" s="22"/>
      <c r="V1868" s="22"/>
      <c r="W1868" s="22"/>
      <c r="X1868" s="22"/>
      <c r="Y1868" s="22"/>
      <c r="Z1868" s="22"/>
      <c r="AA1868" s="22"/>
      <c r="AB1868" s="22"/>
      <c r="AC1868" s="22"/>
      <c r="AD1868" s="22"/>
      <c r="AE1868" s="22"/>
      <c r="AG1868" s="71"/>
      <c r="AH1868" s="71"/>
      <c r="AI1868" s="71"/>
      <c r="AJ1868" s="71"/>
      <c r="AK1868" s="71"/>
      <c r="AL1868" s="71"/>
      <c r="AM1868" s="71"/>
      <c r="AN1868" s="71"/>
      <c r="AO1868" s="71"/>
      <c r="AP1868" s="71"/>
      <c r="AQ1868" s="71"/>
      <c r="AR1868" s="71"/>
      <c r="AS1868" s="94" t="str" cm="1">
        <f t="array" ref="AS1868">IFERROR(INDEX(T1868:AE1868,1,MATCH(2,1/(T1868:AE1868&lt;&gt;""))),"")</f>
        <v/>
      </c>
      <c r="AT1868" s="95" t="str" cm="1">
        <f t="array" ref="AT1868">IFERROR(INDEX(AJ1868:AR1868,1,MATCH(2,1/(AJ1868:AR1868&lt;&gt;""))),"")</f>
        <v/>
      </c>
      <c r="AU1868" s="97" t="str">
        <f t="shared" si="2177"/>
        <v/>
      </c>
      <c r="AW1868" s="52">
        <f t="shared" si="2178"/>
        <v>0</v>
      </c>
      <c r="AX1868" s="52"/>
      <c r="AY1868" s="52"/>
      <c r="AZ1868" s="52"/>
      <c r="BA1868" s="52"/>
      <c r="BB1868" s="52"/>
      <c r="BC1868" s="52"/>
      <c r="BD1868" s="52"/>
      <c r="BE1868" s="52"/>
      <c r="BF1868" s="52"/>
      <c r="BG1868" s="52"/>
      <c r="BH1868" s="52"/>
      <c r="BI1868" s="68" cm="1">
        <f t="array" ref="BI1868">IFERROR(INDEX(AW1868:BH1868,1,MATCH(2,1/(AW1868:BH1868&lt;&gt;""))),"")</f>
        <v>0</v>
      </c>
      <c r="BJ1868" s="68" t="str" cm="1">
        <f t="array" ref="BJ1868">IF(BM1868 = "", "",IFERROR(INDEX(AW1868:BH1868,1,MATCH(2,1/(AW1868:BH1868&lt;&gt;""),1)-1),""))</f>
        <v/>
      </c>
      <c r="BK1868" s="59">
        <f t="shared" si="2179"/>
        <v>0</v>
      </c>
      <c r="BL1868" s="59" cm="1">
        <f t="array" ref="BL1868">IFERROR(SUM(AW1868:INDEX(AW1868:BH1868, MATCH(2, 1/(AW1868:BH1868&lt;&gt;""), 1) - 1))/_xlfn.XLOOKUP(F1868,Apuração!A:A,Apuração!B:B),0)</f>
        <v>0</v>
      </c>
      <c r="BM1868" s="55" t="str" cm="1">
        <f t="array" ref="BM1868">IFERROR(
   INDEX($AW$1:$BH$1,
      _xlfn.AGGREGATE(14, 6, COLUMN($AW$1:$BH$1)/(AW1868:BH1868&lt;&gt;""), 2) - COLUMN($AW$1) + 1
   ),
"")</f>
        <v/>
      </c>
      <c r="BN1868" s="55" cm="1">
        <f t="array" ref="BN1868">IFERROR(INDEX($AW$1:$BH$1,1,MATCH(2,1/(AW1868:BH1868&lt;&gt;""))),"")</f>
        <v>46023</v>
      </c>
      <c r="BO1868" s="53">
        <f ca="1">IFERROR(_xlfn.XLOOKUP(F1868,Apuração!A:A,Apuração!C:C)/_xlfn.XLOOKUP(F1868,Apuração!A:A,Apuração!B:B),0)</f>
        <v>0</v>
      </c>
      <c r="BP1868" s="53">
        <f ca="1">IFERROR(_xlfn.XLOOKUP(F1868,Apuração!A:A,Apuração!D:D)/_xlfn.XLOOKUP(F1868,Apuração!A:A,Apuração!B:B),0)</f>
        <v>0</v>
      </c>
      <c r="BQ1868" s="53">
        <f ca="1">IF(BK1868&gt;=BO1868,0,_xlfn.XLOOKUP(F1868,Apuração!A:A,Apuração!B:B)*(BO1868 + (1/_xlfn.XLOOKUP(F1868,Apuração!A:A,Apuração!B:B)) - BK1868))</f>
        <v>0</v>
      </c>
      <c r="BR1868" s="85">
        <f t="shared" ca="1" si="2180"/>
        <v>0</v>
      </c>
      <c r="BS1868" s="53">
        <f ca="1">IFERROR((_xlfn.XLOOKUP(F1868,Apuração!A:A,Apuração!C:C)+1)/_xlfn.XLOOKUP(F1868,Apuração!A:A,Apuração!B:B),0)</f>
        <v>0.14285714285714285</v>
      </c>
    </row>
    <row r="1869" spans="1:71" ht="25.95" hidden="1" customHeight="1" x14ac:dyDescent="0.3">
      <c r="A1869" s="44" t="s">
        <v>175</v>
      </c>
      <c r="B1869" s="4" t="s">
        <v>194</v>
      </c>
      <c r="C1869" s="5" t="s">
        <v>214</v>
      </c>
      <c r="D1869" s="5" t="s">
        <v>212</v>
      </c>
      <c r="E1869" s="4" t="s">
        <v>96</v>
      </c>
      <c r="F1869" s="4" t="str" cm="1">
        <f t="array" ref="F1869">_xlfn.IFS(
AG1869 &lt;&gt; "", "Jan-Dez/26",
AH1869 &lt;&gt; "", "Fev-Dez/26",
AI1869 &lt;&gt; "", "Mar-Dez/26", AJ1869 &lt;&gt; "", "Abr-Dez/26",
TRUE, "A partir de Junho"
)</f>
        <v>A partir de Junho</v>
      </c>
      <c r="G1869" s="4" t="s">
        <v>62</v>
      </c>
      <c r="H1869" s="7" t="s">
        <v>38</v>
      </c>
      <c r="I1869" s="21" t="s">
        <v>180</v>
      </c>
      <c r="J1869" s="8" t="str" cm="1">
        <f t="array" aca="1" ref="J1869" ca="1">_xlfn.LET(
  _xlpm.actual_value_month, INDEX(T1869:AE1869, MATCH(DATE(YEAR(TODAY()), MONTH(TODAY()), 1), $T$1:$AE$1, 0)),
  IF(_xlpm.actual_value_month &lt;&gt; "", _xlpm.actual_value_month &amp; " ações mensais", "")
)</f>
        <v/>
      </c>
      <c r="K1869" s="34" t="str" cm="1">
        <f t="array" ref="K1869">_xlfn.LET(
    _xlpm.sum_month, SUM(T1869:AE1869),
    IF(_xlpm.sum_month = 0, "", _xlpm.sum_month &amp; " colaboradores treinados.")
)</f>
        <v/>
      </c>
      <c r="L1869" s="9" t="s">
        <v>196</v>
      </c>
      <c r="M1869" s="13">
        <v>1</v>
      </c>
      <c r="N1869" s="5" t="s">
        <v>51</v>
      </c>
      <c r="O1869" s="5" t="s">
        <v>52</v>
      </c>
      <c r="P1869" s="10" t="s">
        <v>146</v>
      </c>
      <c r="Q1869" s="10" t="s">
        <v>44</v>
      </c>
      <c r="R1869" s="11" t="s">
        <v>44</v>
      </c>
      <c r="S1869" s="11" t="s">
        <v>44</v>
      </c>
      <c r="T1869" s="22"/>
      <c r="U1869" s="22"/>
      <c r="V1869" s="22"/>
      <c r="W1869" s="22"/>
      <c r="X1869" s="22"/>
      <c r="Y1869" s="22"/>
      <c r="Z1869" s="22"/>
      <c r="AA1869" s="22"/>
      <c r="AB1869" s="22"/>
      <c r="AC1869" s="22"/>
      <c r="AD1869" s="22"/>
      <c r="AE1869" s="22"/>
      <c r="AG1869" s="71"/>
      <c r="AH1869" s="71"/>
      <c r="AI1869" s="71"/>
      <c r="AJ1869" s="71"/>
      <c r="AK1869" s="71"/>
      <c r="AL1869" s="71"/>
      <c r="AM1869" s="71"/>
      <c r="AN1869" s="71"/>
      <c r="AO1869" s="71"/>
      <c r="AP1869" s="71"/>
      <c r="AQ1869" s="71"/>
      <c r="AR1869" s="71"/>
      <c r="AS1869" s="94" t="str" cm="1">
        <f t="array" ref="AS1869">IFERROR(INDEX(T1869:AE1869,1,MATCH(2,1/(T1869:AE1869&lt;&gt;""))),"")</f>
        <v/>
      </c>
      <c r="AT1869" s="95" t="str" cm="1">
        <f t="array" ref="AT1869">IFERROR(INDEX(AJ1869:AR1869,1,MATCH(2,1/(AJ1869:AR1869&lt;&gt;""))),"")</f>
        <v/>
      </c>
      <c r="AU1869" s="97" t="str">
        <f t="shared" si="2177"/>
        <v/>
      </c>
      <c r="AW1869" s="52">
        <f t="shared" si="2178"/>
        <v>0</v>
      </c>
      <c r="AX1869" s="52"/>
      <c r="AY1869" s="52"/>
      <c r="AZ1869" s="52"/>
      <c r="BA1869" s="52"/>
      <c r="BB1869" s="52"/>
      <c r="BC1869" s="52"/>
      <c r="BD1869" s="52"/>
      <c r="BE1869" s="52"/>
      <c r="BF1869" s="52"/>
      <c r="BG1869" s="52"/>
      <c r="BH1869" s="52"/>
      <c r="BI1869" s="68" cm="1">
        <f t="array" ref="BI1869">IFERROR(INDEX(AW1869:BH1869,1,MATCH(2,1/(AW1869:BH1869&lt;&gt;""))),"")</f>
        <v>0</v>
      </c>
      <c r="BJ1869" s="68" t="str" cm="1">
        <f t="array" ref="BJ1869">IF(BM1869 = "", "",IFERROR(INDEX(AW1869:BH1869,1,MATCH(2,1/(AW1869:BH1869&lt;&gt;""),1)-1),""))</f>
        <v/>
      </c>
      <c r="BK1869" s="59">
        <f t="shared" si="2179"/>
        <v>0</v>
      </c>
      <c r="BL1869" s="59" cm="1">
        <f t="array" ref="BL1869">IFERROR(SUM(AW1869:INDEX(AW1869:BH1869, MATCH(2, 1/(AW1869:BH1869&lt;&gt;""), 1) - 1))/_xlfn.XLOOKUP(F1869,Apuração!A:A,Apuração!B:B),0)</f>
        <v>0</v>
      </c>
      <c r="BM1869" s="55" t="str" cm="1">
        <f t="array" ref="BM1869">IFERROR(
   INDEX($AW$1:$BH$1,
      _xlfn.AGGREGATE(14, 6, COLUMN($AW$1:$BH$1)/(AW1869:BH1869&lt;&gt;""), 2) - COLUMN($AW$1) + 1
   ),
"")</f>
        <v/>
      </c>
      <c r="BN1869" s="55" cm="1">
        <f t="array" ref="BN1869">IFERROR(INDEX($AW$1:$BH$1,1,MATCH(2,1/(AW1869:BH1869&lt;&gt;""))),"")</f>
        <v>46023</v>
      </c>
      <c r="BO1869" s="53">
        <f ca="1">IFERROR(_xlfn.XLOOKUP(F1869,Apuração!A:A,Apuração!C:C)/_xlfn.XLOOKUP(F1869,Apuração!A:A,Apuração!B:B),0)</f>
        <v>0</v>
      </c>
      <c r="BP1869" s="53">
        <f ca="1">IFERROR(_xlfn.XLOOKUP(F1869,Apuração!A:A,Apuração!D:D)/_xlfn.XLOOKUP(F1869,Apuração!A:A,Apuração!B:B),0)</f>
        <v>0</v>
      </c>
      <c r="BQ1869" s="53">
        <f ca="1">IF(BK1869&gt;=BO1869,0,_xlfn.XLOOKUP(F1869,Apuração!A:A,Apuração!B:B)*(BO1869 + (1/_xlfn.XLOOKUP(F1869,Apuração!A:A,Apuração!B:B)) - BK1869))</f>
        <v>0</v>
      </c>
      <c r="BR1869" s="85">
        <f t="shared" ca="1" si="2180"/>
        <v>0</v>
      </c>
      <c r="BS1869" s="53">
        <f ca="1">IFERROR((_xlfn.XLOOKUP(F1869,Apuração!A:A,Apuração!C:C)+1)/_xlfn.XLOOKUP(F1869,Apuração!A:A,Apuração!B:B),0)</f>
        <v>0.14285714285714285</v>
      </c>
    </row>
    <row r="1870" spans="1:71" ht="25.95" hidden="1" customHeight="1" x14ac:dyDescent="0.3">
      <c r="A1870" s="44" t="s">
        <v>175</v>
      </c>
      <c r="B1870" s="4" t="s">
        <v>194</v>
      </c>
      <c r="C1870" s="5" t="s">
        <v>214</v>
      </c>
      <c r="D1870" s="5" t="s">
        <v>48</v>
      </c>
      <c r="E1870" s="4" t="s">
        <v>96</v>
      </c>
      <c r="F1870" s="4" t="str" cm="1">
        <f t="array" ref="F1870">_xlfn.IFS(
AG1870 &lt;&gt; "", "Jan-Dez/26",
AH1870 &lt;&gt; "", "Fev-Dez/26",
AI1870 &lt;&gt; "", "Mar-Dez/26", AJ1870 &lt;&gt; "", "Abr-Dez/26",
TRUE, "A partir de Junho"
)</f>
        <v>A partir de Junho</v>
      </c>
      <c r="G1870" s="4" t="s">
        <v>62</v>
      </c>
      <c r="H1870" s="7" t="s">
        <v>38</v>
      </c>
      <c r="I1870" s="21" t="s">
        <v>180</v>
      </c>
      <c r="J1870" s="8" t="str" cm="1">
        <f t="array" aca="1" ref="J1870" ca="1">_xlfn.LET(
  _xlpm.actual_value_month, INDEX(T1870:AE1870, MATCH(DATE(YEAR(TODAY()), MONTH(TODAY()), 1), $T$1:$AE$1, 0)),
  IF(_xlpm.actual_value_month &lt;&gt; "", _xlpm.actual_value_month &amp; " ações mensais", "")
)</f>
        <v/>
      </c>
      <c r="K1870" s="34" t="str" cm="1">
        <f t="array" ref="K1870">_xlfn.LET(
    _xlpm.sum_month, SUM(T1870:AE1870),
    IF(_xlpm.sum_month = 0, "", _xlpm.sum_month &amp; " colaboradores treinados.")
)</f>
        <v/>
      </c>
      <c r="L1870" s="9" t="s">
        <v>196</v>
      </c>
      <c r="M1870" s="13">
        <v>1</v>
      </c>
      <c r="N1870" s="5" t="s">
        <v>51</v>
      </c>
      <c r="O1870" s="5" t="s">
        <v>52</v>
      </c>
      <c r="P1870" s="10" t="s">
        <v>146</v>
      </c>
      <c r="Q1870" s="10" t="s">
        <v>44</v>
      </c>
      <c r="R1870" s="11" t="s">
        <v>44</v>
      </c>
      <c r="S1870" s="11" t="s">
        <v>44</v>
      </c>
      <c r="T1870" s="22"/>
      <c r="U1870" s="22"/>
      <c r="V1870" s="22"/>
      <c r="W1870" s="22"/>
      <c r="X1870" s="22"/>
      <c r="Y1870" s="22"/>
      <c r="Z1870" s="22"/>
      <c r="AA1870" s="22"/>
      <c r="AB1870" s="22"/>
      <c r="AC1870" s="22"/>
      <c r="AD1870" s="22"/>
      <c r="AE1870" s="22"/>
      <c r="AG1870" s="71"/>
      <c r="AH1870" s="71"/>
      <c r="AI1870" s="71"/>
      <c r="AJ1870" s="71"/>
      <c r="AK1870" s="71"/>
      <c r="AL1870" s="71"/>
      <c r="AM1870" s="71"/>
      <c r="AN1870" s="71"/>
      <c r="AO1870" s="71"/>
      <c r="AP1870" s="71"/>
      <c r="AQ1870" s="71"/>
      <c r="AR1870" s="71"/>
      <c r="AS1870" s="94" t="str" cm="1">
        <f t="array" ref="AS1870">IFERROR(INDEX(T1870:AE1870,1,MATCH(2,1/(T1870:AE1870&lt;&gt;""))),"")</f>
        <v/>
      </c>
      <c r="AT1870" s="95" t="str" cm="1">
        <f t="array" ref="AT1870">IFERROR(INDEX(AJ1870:AR1870,1,MATCH(2,1/(AJ1870:AR1870&lt;&gt;""))),"")</f>
        <v/>
      </c>
      <c r="AU1870" s="97" t="str">
        <f t="shared" si="2177"/>
        <v/>
      </c>
      <c r="AW1870" s="52">
        <f t="shared" si="2178"/>
        <v>0</v>
      </c>
      <c r="AX1870" s="52"/>
      <c r="AY1870" s="52"/>
      <c r="AZ1870" s="52"/>
      <c r="BA1870" s="52"/>
      <c r="BB1870" s="52"/>
      <c r="BC1870" s="52"/>
      <c r="BD1870" s="52"/>
      <c r="BE1870" s="52"/>
      <c r="BF1870" s="52"/>
      <c r="BG1870" s="52"/>
      <c r="BH1870" s="52"/>
      <c r="BI1870" s="68" cm="1">
        <f t="array" ref="BI1870">IFERROR(INDEX(AW1870:BH1870,1,MATCH(2,1/(AW1870:BH1870&lt;&gt;""))),"")</f>
        <v>0</v>
      </c>
      <c r="BJ1870" s="68" t="str" cm="1">
        <f t="array" ref="BJ1870">IF(BM1870 = "", "",IFERROR(INDEX(AW1870:BH1870,1,MATCH(2,1/(AW1870:BH1870&lt;&gt;""),1)-1),""))</f>
        <v/>
      </c>
      <c r="BK1870" s="59">
        <f t="shared" si="2179"/>
        <v>0</v>
      </c>
      <c r="BL1870" s="59" cm="1">
        <f t="array" ref="BL1870">IFERROR(SUM(AW1870:INDEX(AW1870:BH1870, MATCH(2, 1/(AW1870:BH1870&lt;&gt;""), 1) - 1))/_xlfn.XLOOKUP(F1870,Apuração!A:A,Apuração!B:B),0)</f>
        <v>0</v>
      </c>
      <c r="BM1870" s="55" t="str" cm="1">
        <f t="array" ref="BM1870">IFERROR(
   INDEX($AW$1:$BH$1,
      _xlfn.AGGREGATE(14, 6, COLUMN($AW$1:$BH$1)/(AW1870:BH1870&lt;&gt;""), 2) - COLUMN($AW$1) + 1
   ),
"")</f>
        <v/>
      </c>
      <c r="BN1870" s="55" cm="1">
        <f t="array" ref="BN1870">IFERROR(INDEX($AW$1:$BH$1,1,MATCH(2,1/(AW1870:BH1870&lt;&gt;""))),"")</f>
        <v>46023</v>
      </c>
      <c r="BO1870" s="53">
        <f ca="1">IFERROR(_xlfn.XLOOKUP(F1870,Apuração!A:A,Apuração!C:C)/_xlfn.XLOOKUP(F1870,Apuração!A:A,Apuração!B:B),0)</f>
        <v>0</v>
      </c>
      <c r="BP1870" s="53">
        <f ca="1">IFERROR(_xlfn.XLOOKUP(F1870,Apuração!A:A,Apuração!D:D)/_xlfn.XLOOKUP(F1870,Apuração!A:A,Apuração!B:B),0)</f>
        <v>0</v>
      </c>
      <c r="BQ1870" s="53">
        <f ca="1">IF(BK1870&gt;=BO1870,0,_xlfn.XLOOKUP(F1870,Apuração!A:A,Apuração!B:B)*(BO1870 + (1/_xlfn.XLOOKUP(F1870,Apuração!A:A,Apuração!B:B)) - BK1870))</f>
        <v>0</v>
      </c>
      <c r="BR1870" s="85">
        <f t="shared" ca="1" si="2180"/>
        <v>0</v>
      </c>
      <c r="BS1870" s="53">
        <f ca="1">IFERROR((_xlfn.XLOOKUP(F1870,Apuração!A:A,Apuração!C:C)+1)/_xlfn.XLOOKUP(F1870,Apuração!A:A,Apuração!B:B),0)</f>
        <v>0.14285714285714285</v>
      </c>
    </row>
    <row r="1871" spans="1:71" ht="25.95" hidden="1" customHeight="1" x14ac:dyDescent="0.3">
      <c r="A1871" s="44" t="s">
        <v>175</v>
      </c>
      <c r="B1871" s="4" t="s">
        <v>194</v>
      </c>
      <c r="C1871" s="5" t="s">
        <v>214</v>
      </c>
      <c r="D1871" s="5" t="s">
        <v>213</v>
      </c>
      <c r="E1871" s="4" t="s">
        <v>96</v>
      </c>
      <c r="F1871" s="4" t="str" cm="1">
        <f t="array" ref="F1871">_xlfn.IFS(
AG1871 &lt;&gt; "", "Jan-Dez/26",
AH1871 &lt;&gt; "", "Fev-Dez/26",
AI1871 &lt;&gt; "", "Mar-Dez/26", AJ1871 &lt;&gt; "", "Abr-Dez/26",
TRUE, "A partir de Junho"
)</f>
        <v>A partir de Junho</v>
      </c>
      <c r="G1871" s="4" t="s">
        <v>62</v>
      </c>
      <c r="H1871" s="7" t="s">
        <v>38</v>
      </c>
      <c r="I1871" s="21" t="s">
        <v>180</v>
      </c>
      <c r="J1871" s="8" t="str" cm="1">
        <f t="array" aca="1" ref="J1871" ca="1">_xlfn.LET(
  _xlpm.actual_value_month, INDEX(T1871:AE1871, MATCH(DATE(YEAR(TODAY()), MONTH(TODAY()), 1), $T$1:$AE$1, 0)),
  IF(_xlpm.actual_value_month &lt;&gt; "", _xlpm.actual_value_month &amp; " ações mensais", "")
)</f>
        <v/>
      </c>
      <c r="K1871" s="34" t="str" cm="1">
        <f t="array" ref="K1871">_xlfn.LET(
    _xlpm.sum_month, SUM(T1871:AE1871),
    IF(_xlpm.sum_month = 0, "", _xlpm.sum_month &amp; " colaboradores treinados.")
)</f>
        <v/>
      </c>
      <c r="L1871" s="9" t="s">
        <v>196</v>
      </c>
      <c r="M1871" s="13">
        <v>1</v>
      </c>
      <c r="N1871" s="5" t="s">
        <v>51</v>
      </c>
      <c r="O1871" s="5" t="s">
        <v>52</v>
      </c>
      <c r="P1871" s="10" t="s">
        <v>146</v>
      </c>
      <c r="Q1871" s="10" t="s">
        <v>44</v>
      </c>
      <c r="R1871" s="11" t="s">
        <v>44</v>
      </c>
      <c r="S1871" s="11" t="s">
        <v>44</v>
      </c>
      <c r="T1871" s="22"/>
      <c r="U1871" s="22"/>
      <c r="V1871" s="22"/>
      <c r="W1871" s="22"/>
      <c r="X1871" s="22"/>
      <c r="Y1871" s="22"/>
      <c r="Z1871" s="22"/>
      <c r="AA1871" s="22"/>
      <c r="AB1871" s="22"/>
      <c r="AC1871" s="22"/>
      <c r="AD1871" s="22"/>
      <c r="AE1871" s="22"/>
      <c r="AG1871" s="71"/>
      <c r="AH1871" s="71"/>
      <c r="AI1871" s="71"/>
      <c r="AJ1871" s="71"/>
      <c r="AK1871" s="71"/>
      <c r="AL1871" s="71"/>
      <c r="AM1871" s="71"/>
      <c r="AN1871" s="71"/>
      <c r="AO1871" s="71"/>
      <c r="AP1871" s="71"/>
      <c r="AQ1871" s="71"/>
      <c r="AR1871" s="71"/>
      <c r="AS1871" s="94" t="str" cm="1">
        <f t="array" ref="AS1871">IFERROR(INDEX(T1871:AE1871,1,MATCH(2,1/(T1871:AE1871&lt;&gt;""))),"")</f>
        <v/>
      </c>
      <c r="AT1871" s="95" t="str" cm="1">
        <f t="array" ref="AT1871">IFERROR(INDEX(AJ1871:AR1871,1,MATCH(2,1/(AJ1871:AR1871&lt;&gt;""))),"")</f>
        <v/>
      </c>
      <c r="AU1871" s="97" t="str">
        <f t="shared" si="2177"/>
        <v/>
      </c>
      <c r="AW1871" s="52">
        <f t="shared" si="2178"/>
        <v>0</v>
      </c>
      <c r="AX1871" s="52"/>
      <c r="AY1871" s="52"/>
      <c r="AZ1871" s="52"/>
      <c r="BA1871" s="52"/>
      <c r="BB1871" s="52"/>
      <c r="BC1871" s="52"/>
      <c r="BD1871" s="52"/>
      <c r="BE1871" s="52"/>
      <c r="BF1871" s="52"/>
      <c r="BG1871" s="52"/>
      <c r="BH1871" s="52"/>
      <c r="BI1871" s="68" cm="1">
        <f t="array" ref="BI1871">IFERROR(INDEX(AW1871:BH1871,1,MATCH(2,1/(AW1871:BH1871&lt;&gt;""))),"")</f>
        <v>0</v>
      </c>
      <c r="BJ1871" s="68" t="str" cm="1">
        <f t="array" ref="BJ1871">IF(BM1871 = "", "",IFERROR(INDEX(AW1871:BH1871,1,MATCH(2,1/(AW1871:BH1871&lt;&gt;""),1)-1),""))</f>
        <v/>
      </c>
      <c r="BK1871" s="59">
        <f t="shared" si="2179"/>
        <v>0</v>
      </c>
      <c r="BL1871" s="59" cm="1">
        <f t="array" ref="BL1871">IFERROR(SUM(AW1871:INDEX(AW1871:BH1871, MATCH(2, 1/(AW1871:BH1871&lt;&gt;""), 1) - 1))/_xlfn.XLOOKUP(F1871,Apuração!A:A,Apuração!B:B),0)</f>
        <v>0</v>
      </c>
      <c r="BM1871" s="55" t="str" cm="1">
        <f t="array" ref="BM1871">IFERROR(
   INDEX($AW$1:$BH$1,
      _xlfn.AGGREGATE(14, 6, COLUMN($AW$1:$BH$1)/(AW1871:BH1871&lt;&gt;""), 2) - COLUMN($AW$1) + 1
   ),
"")</f>
        <v/>
      </c>
      <c r="BN1871" s="55" cm="1">
        <f t="array" ref="BN1871">IFERROR(INDEX($AW$1:$BH$1,1,MATCH(2,1/(AW1871:BH1871&lt;&gt;""))),"")</f>
        <v>46023</v>
      </c>
      <c r="BO1871" s="53">
        <f ca="1">IFERROR(_xlfn.XLOOKUP(F1871,Apuração!A:A,Apuração!C:C)/_xlfn.XLOOKUP(F1871,Apuração!A:A,Apuração!B:B),0)</f>
        <v>0</v>
      </c>
      <c r="BP1871" s="53">
        <f ca="1">IFERROR(_xlfn.XLOOKUP(F1871,Apuração!A:A,Apuração!D:D)/_xlfn.XLOOKUP(F1871,Apuração!A:A,Apuração!B:B),0)</f>
        <v>0</v>
      </c>
      <c r="BQ1871" s="53">
        <f ca="1">IF(BK1871&gt;=BO1871,0,_xlfn.XLOOKUP(F1871,Apuração!A:A,Apuração!B:B)*(BO1871 + (1/_xlfn.XLOOKUP(F1871,Apuração!A:A,Apuração!B:B)) - BK1871))</f>
        <v>0</v>
      </c>
      <c r="BR1871" s="85">
        <f t="shared" ca="1" si="2180"/>
        <v>0</v>
      </c>
      <c r="BS1871" s="53">
        <f ca="1">IFERROR((_xlfn.XLOOKUP(F1871,Apuração!A:A,Apuração!C:C)+1)/_xlfn.XLOOKUP(F1871,Apuração!A:A,Apuração!B:B),0)</f>
        <v>0.14285714285714285</v>
      </c>
    </row>
    <row r="1872" spans="1:71" ht="25.95" hidden="1" customHeight="1" x14ac:dyDescent="0.3">
      <c r="A1872" s="44" t="s">
        <v>175</v>
      </c>
      <c r="B1872" s="4" t="s">
        <v>194</v>
      </c>
      <c r="C1872" s="5" t="s">
        <v>214</v>
      </c>
      <c r="D1872" s="5" t="s">
        <v>36</v>
      </c>
      <c r="E1872" s="4" t="s">
        <v>96</v>
      </c>
      <c r="F1872" s="4" t="str" cm="1">
        <f t="array" ref="F1872">_xlfn.IFS(
AG1872 &lt;&gt; "", "Jan-Dez/26",
AH1872 &lt;&gt; "", "Fev-Dez/26",
AI1872 &lt;&gt; "", "Mar-Dez/26", AJ1872 &lt;&gt; "", "Abr-Dez/26",
TRUE, "A partir de Junho"
)</f>
        <v>A partir de Junho</v>
      </c>
      <c r="G1872" s="4" t="s">
        <v>62</v>
      </c>
      <c r="H1872" s="7" t="s">
        <v>38</v>
      </c>
      <c r="I1872" s="21" t="s">
        <v>182</v>
      </c>
      <c r="J1872" s="8" t="str" cm="1">
        <f t="array" aca="1" ref="J1872" ca="1">_xlfn.LET(
  _xlpm.actual_value_month, INDEX(T1872:AE1872, MATCH(DATE(YEAR(TODAY()), MONTH(TODAY()), 1), $T$1:$AE$1, 0)),
  IF(_xlpm.actual_value_month &lt;&gt; "", _xlpm.actual_value_month &amp; " ações mensais", "")
)</f>
        <v/>
      </c>
      <c r="K1872" s="8" t="str" cm="1">
        <f t="array" ref="K1872">_xlfn.LET(
    _xlpm.sum_month, SUM(T1872:AE1872),
    IF(_xlpm.sum_month = 0, "", _xlpm.sum_month &amp; " taxa de aprovados")
)</f>
        <v/>
      </c>
      <c r="L1872" s="4" t="s">
        <v>183</v>
      </c>
      <c r="M1872" s="13">
        <v>1</v>
      </c>
      <c r="N1872" s="5" t="s">
        <v>51</v>
      </c>
      <c r="O1872" s="5" t="s">
        <v>43</v>
      </c>
      <c r="P1872" s="10" t="s">
        <v>44</v>
      </c>
      <c r="Q1872" s="10" t="s">
        <v>44</v>
      </c>
      <c r="R1872" s="11" t="s">
        <v>44</v>
      </c>
      <c r="S1872" s="11" t="s">
        <v>44</v>
      </c>
      <c r="T1872" s="22"/>
      <c r="U1872" s="22"/>
      <c r="V1872" s="22"/>
      <c r="W1872" s="22"/>
      <c r="X1872" s="22"/>
      <c r="Y1872" s="22"/>
      <c r="Z1872" s="22"/>
      <c r="AA1872" s="22"/>
      <c r="AB1872" s="22"/>
      <c r="AC1872" s="22"/>
      <c r="AD1872" s="22"/>
      <c r="AE1872" s="22"/>
      <c r="AG1872" s="71"/>
      <c r="AH1872" s="71"/>
      <c r="AI1872" s="71"/>
      <c r="AJ1872" s="71"/>
      <c r="AK1872" s="71"/>
      <c r="AL1872" s="71"/>
      <c r="AM1872" s="71"/>
      <c r="AN1872" s="71"/>
      <c r="AO1872" s="71"/>
      <c r="AP1872" s="71"/>
      <c r="AQ1872" s="71"/>
      <c r="AR1872" s="71"/>
      <c r="AS1872" s="94" t="str" cm="1">
        <f t="array" ref="AS1872">IFERROR(INDEX(T1872:AE1872,1,MATCH(2,1/(T1872:AE1872&lt;&gt;""))),"")</f>
        <v/>
      </c>
      <c r="AT1872" s="95" t="str" cm="1">
        <f t="array" ref="AT1872">IFERROR(INDEX(AJ1872:AR1872,1,MATCH(2,1/(AJ1872:AR1872&lt;&gt;""))),"")</f>
        <v/>
      </c>
      <c r="AU1872" s="97" t="str">
        <f>AT1872</f>
        <v/>
      </c>
      <c r="AW1872" s="51" t="str">
        <f>IFERROR(IF(AG1872="","",AG1872/T1872),0)</f>
        <v/>
      </c>
      <c r="AX1872" s="51"/>
      <c r="AY1872" s="51"/>
      <c r="AZ1872" s="51"/>
      <c r="BA1872" s="51"/>
      <c r="BB1872" s="51"/>
      <c r="BC1872" s="51"/>
      <c r="BD1872" s="51"/>
      <c r="BE1872" s="51"/>
      <c r="BF1872" s="51"/>
      <c r="BG1872" s="51"/>
      <c r="BH1872" s="51"/>
      <c r="BI1872" s="65" t="str" cm="1">
        <f t="array" ref="BI1872">IFERROR(INDEX(AW1872:BH1872,1,MATCH(2,1/(AW1872:BH1872&lt;&gt;""))),"")</f>
        <v/>
      </c>
      <c r="BJ1872" s="68" t="str" cm="1">
        <f t="array" ref="BJ1872">IF(BM1872 = "", "",IFERROR(INDEX(AW1872:BH1872,1,MATCH(2,1/(AW1872:BH1872&lt;&gt;""),1)-1),""))</f>
        <v/>
      </c>
      <c r="BK1872" s="58" t="str" cm="1">
        <f t="array" ref="BK1872">IFERROR(INDEX(AW1872:BH1872,1,MATCH(2,1/(AW1872:BH1872&lt;&gt;""))),"")</f>
        <v/>
      </c>
      <c r="BL1872" s="58" t="str" cm="1">
        <f t="array" ref="BL1872">IFERROR(INDEX(AW1872:BH1872,1,MATCH(2,1/(AW1872:BH1872&lt;&gt;""),1)-1),"")</f>
        <v/>
      </c>
      <c r="BM1872" s="55" t="str" cm="1">
        <f t="array" ref="BM1872">IFERROR(
   INDEX($AW$1:$BH$1,
      _xlfn.AGGREGATE(14, 6, COLUMN($AW$1:$BH$1)/(AW1872:BH1872&lt;&gt;""), 2) - COLUMN($AW$1) + 1
   ),
"")</f>
        <v/>
      </c>
      <c r="BN1872" s="55" t="str" cm="1">
        <f t="array" ref="BN1872">IFERROR(INDEX($AW$1:$BH$1,1,MATCH(2,1/(AW1872:BH1872&lt;&gt;""))),"")</f>
        <v/>
      </c>
      <c r="BO1872" s="53">
        <f ca="1">IFERROR(_xlfn.XLOOKUP(F1872,Apuração!A:A,Apuração!C:C)/_xlfn.XLOOKUP(F1872,Apuração!A:A,Apuração!B:B),0)</f>
        <v>0</v>
      </c>
      <c r="BP1872" s="53">
        <f ca="1">IFERROR(_xlfn.XLOOKUP(F1872,Apuração!A:A,Apuração!D:D)/_xlfn.XLOOKUP(F1872,Apuração!A:A,Apuração!B:B),0)</f>
        <v>0</v>
      </c>
      <c r="BQ1872" s="53">
        <f ca="1">IF(BK1872&gt;=BO1872,0,_xlfn.XLOOKUP(F1872,Apuração!A:A,Apuração!B:B)*(BO1872 + (1/_xlfn.XLOOKUP(F1872,Apuração!A:A,Apuração!B:B)) - BK1872))</f>
        <v>0</v>
      </c>
      <c r="BR1872" s="85">
        <f ca="1">IF(BQ1872=0,0,BQ1872*Z1872)</f>
        <v>0</v>
      </c>
      <c r="BS1872" s="53">
        <f ca="1">IFERROR((_xlfn.XLOOKUP(F1872,Apuração!A:A,Apuração!C:C)+1)/_xlfn.XLOOKUP(F1872,Apuração!A:A,Apuração!B:B),0)</f>
        <v>0.14285714285714285</v>
      </c>
    </row>
    <row r="1873" spans="1:71" ht="25.95" hidden="1" customHeight="1" x14ac:dyDescent="0.3">
      <c r="A1873" s="44" t="s">
        <v>175</v>
      </c>
      <c r="B1873" s="4" t="s">
        <v>194</v>
      </c>
      <c r="C1873" s="5" t="s">
        <v>214</v>
      </c>
      <c r="D1873" s="5" t="s">
        <v>210</v>
      </c>
      <c r="E1873" s="4" t="s">
        <v>96</v>
      </c>
      <c r="F1873" s="4" t="str" cm="1">
        <f t="array" ref="F1873">_xlfn.IFS(
AG1873 &lt;&gt; "", "Jan-Dez/26",
AH1873 &lt;&gt; "", "Fev-Dez/26",
AI1873 &lt;&gt; "", "Mar-Dez/26", AJ1873 &lt;&gt; "", "Abr-Dez/26",
TRUE, "A partir de Junho"
)</f>
        <v>A partir de Junho</v>
      </c>
      <c r="G1873" s="4" t="s">
        <v>62</v>
      </c>
      <c r="H1873" s="7" t="s">
        <v>38</v>
      </c>
      <c r="I1873" s="21" t="s">
        <v>182</v>
      </c>
      <c r="J1873" s="8" t="str" cm="1">
        <f t="array" aca="1" ref="J1873" ca="1">_xlfn.LET(
  _xlpm.actual_value_month, INDEX(T1873:AE1873, MATCH(DATE(YEAR(TODAY()), MONTH(TODAY()), 1), $T$1:$AE$1, 0)),
  IF(_xlpm.actual_value_month &lt;&gt; "", _xlpm.actual_value_month &amp; " ações mensais", "")
)</f>
        <v/>
      </c>
      <c r="K1873" s="8" t="str" cm="1">
        <f t="array" ref="K1873">_xlfn.LET(
    _xlpm.sum_month, SUM(T1873:AE1873),
    IF(_xlpm.sum_month = 0, "", _xlpm.sum_month &amp; " taxa de aprovados")
)</f>
        <v/>
      </c>
      <c r="L1873" s="4" t="s">
        <v>183</v>
      </c>
      <c r="M1873" s="13">
        <v>1</v>
      </c>
      <c r="N1873" s="5" t="s">
        <v>51</v>
      </c>
      <c r="O1873" s="5" t="s">
        <v>43</v>
      </c>
      <c r="P1873" s="10" t="s">
        <v>44</v>
      </c>
      <c r="Q1873" s="10" t="s">
        <v>44</v>
      </c>
      <c r="R1873" s="11" t="s">
        <v>44</v>
      </c>
      <c r="S1873" s="11" t="s">
        <v>44</v>
      </c>
      <c r="T1873" s="22"/>
      <c r="U1873" s="22"/>
      <c r="V1873" s="22"/>
      <c r="W1873" s="22"/>
      <c r="X1873" s="22"/>
      <c r="Y1873" s="22"/>
      <c r="Z1873" s="22"/>
      <c r="AA1873" s="22"/>
      <c r="AB1873" s="22"/>
      <c r="AC1873" s="22"/>
      <c r="AD1873" s="22"/>
      <c r="AE1873" s="22"/>
      <c r="AG1873" s="71"/>
      <c r="AH1873" s="71"/>
      <c r="AI1873" s="71"/>
      <c r="AJ1873" s="71"/>
      <c r="AK1873" s="71"/>
      <c r="AL1873" s="71"/>
      <c r="AM1873" s="71"/>
      <c r="AN1873" s="71"/>
      <c r="AO1873" s="71"/>
      <c r="AP1873" s="71"/>
      <c r="AQ1873" s="71"/>
      <c r="AR1873" s="71"/>
      <c r="AS1873" s="94" t="str" cm="1">
        <f t="array" ref="AS1873">IFERROR(INDEX(T1873:AE1873,1,MATCH(2,1/(T1873:AE1873&lt;&gt;""))),"")</f>
        <v/>
      </c>
      <c r="AT1873" s="95" t="str" cm="1">
        <f t="array" ref="AT1873">IFERROR(INDEX(AJ1873:AR1873,1,MATCH(2,1/(AJ1873:AR1873&lt;&gt;""))),"")</f>
        <v/>
      </c>
      <c r="AU1873" s="97" t="str">
        <f t="shared" ref="AU1873:AU1877" si="2181">AT1873</f>
        <v/>
      </c>
      <c r="AW1873" s="51" t="str">
        <f t="shared" ref="AW1873:AW1877" si="2182">IFERROR(IF(AG1873="","",AG1873/T1873),0)</f>
        <v/>
      </c>
      <c r="AX1873" s="51"/>
      <c r="AY1873" s="51"/>
      <c r="AZ1873" s="51"/>
      <c r="BA1873" s="51"/>
      <c r="BB1873" s="51"/>
      <c r="BC1873" s="51"/>
      <c r="BD1873" s="51"/>
      <c r="BE1873" s="51"/>
      <c r="BF1873" s="51"/>
      <c r="BG1873" s="51"/>
      <c r="BH1873" s="51"/>
      <c r="BI1873" s="65" t="str" cm="1">
        <f t="array" ref="BI1873">IFERROR(INDEX(AW1873:BH1873,1,MATCH(2,1/(AW1873:BH1873&lt;&gt;""))),"")</f>
        <v/>
      </c>
      <c r="BJ1873" s="68" t="str" cm="1">
        <f t="array" ref="BJ1873">IF(BM1873 = "", "",IFERROR(INDEX(AW1873:BH1873,1,MATCH(2,1/(AW1873:BH1873&lt;&gt;""),1)-1),""))</f>
        <v/>
      </c>
      <c r="BK1873" s="58" t="str" cm="1">
        <f t="array" ref="BK1873">IFERROR(INDEX(AW1873:BH1873,1,MATCH(2,1/(AW1873:BH1873&lt;&gt;""))),"")</f>
        <v/>
      </c>
      <c r="BL1873" s="58" t="str" cm="1">
        <f t="array" ref="BL1873">IFERROR(INDEX(AW1873:BH1873,1,MATCH(2,1/(AW1873:BH1873&lt;&gt;""),1)-1),"")</f>
        <v/>
      </c>
      <c r="BM1873" s="55" t="str" cm="1">
        <f t="array" ref="BM1873">IFERROR(
   INDEX($AW$1:$BH$1,
      _xlfn.AGGREGATE(14, 6, COLUMN($AW$1:$BH$1)/(AW1873:BH1873&lt;&gt;""), 2) - COLUMN($AW$1) + 1
   ),
"")</f>
        <v/>
      </c>
      <c r="BN1873" s="55" t="str" cm="1">
        <f t="array" ref="BN1873">IFERROR(INDEX($AW$1:$BH$1,1,MATCH(2,1/(AW1873:BH1873&lt;&gt;""))),"")</f>
        <v/>
      </c>
      <c r="BO1873" s="53">
        <f ca="1">IFERROR(_xlfn.XLOOKUP(F1873,Apuração!A:A,Apuração!C:C)/_xlfn.XLOOKUP(F1873,Apuração!A:A,Apuração!B:B),0)</f>
        <v>0</v>
      </c>
      <c r="BP1873" s="53">
        <f ca="1">IFERROR(_xlfn.XLOOKUP(F1873,Apuração!A:A,Apuração!D:D)/_xlfn.XLOOKUP(F1873,Apuração!A:A,Apuração!B:B),0)</f>
        <v>0</v>
      </c>
      <c r="BQ1873" s="53">
        <f ca="1">IF(BK1873&gt;=BO1873,0,_xlfn.XLOOKUP(F1873,Apuração!A:A,Apuração!B:B)*(BO1873 + (1/_xlfn.XLOOKUP(F1873,Apuração!A:A,Apuração!B:B)) - BK1873))</f>
        <v>0</v>
      </c>
      <c r="BR1873" s="85">
        <f t="shared" ref="BR1873:BR1877" ca="1" si="2183">IF(BQ1873=0,0,BQ1873*Z1873)</f>
        <v>0</v>
      </c>
      <c r="BS1873" s="53">
        <f ca="1">IFERROR((_xlfn.XLOOKUP(F1873,Apuração!A:A,Apuração!C:C)+1)/_xlfn.XLOOKUP(F1873,Apuração!A:A,Apuração!B:B),0)</f>
        <v>0.14285714285714285</v>
      </c>
    </row>
    <row r="1874" spans="1:71" ht="25.95" hidden="1" customHeight="1" x14ac:dyDescent="0.3">
      <c r="A1874" s="44" t="s">
        <v>175</v>
      </c>
      <c r="B1874" s="4" t="s">
        <v>194</v>
      </c>
      <c r="C1874" s="5" t="s">
        <v>214</v>
      </c>
      <c r="D1874" s="5" t="s">
        <v>215</v>
      </c>
      <c r="E1874" s="4" t="s">
        <v>96</v>
      </c>
      <c r="F1874" s="4" t="str" cm="1">
        <f t="array" ref="F1874">_xlfn.IFS(
AG1874 &lt;&gt; "", "Jan-Dez/26",
AH1874 &lt;&gt; "", "Fev-Dez/26",
AI1874 &lt;&gt; "", "Mar-Dez/26", AJ1874 &lt;&gt; "", "Abr-Dez/26",
TRUE, "A partir de Junho"
)</f>
        <v>A partir de Junho</v>
      </c>
      <c r="G1874" s="4" t="s">
        <v>62</v>
      </c>
      <c r="H1874" s="7" t="s">
        <v>38</v>
      </c>
      <c r="I1874" s="21" t="s">
        <v>182</v>
      </c>
      <c r="J1874" s="8" t="str" cm="1">
        <f t="array" aca="1" ref="J1874" ca="1">_xlfn.LET(
  _xlpm.actual_value_month, INDEX(T1874:AE1874, MATCH(DATE(YEAR(TODAY()), MONTH(TODAY()), 1), $T$1:$AE$1, 0)),
  IF(_xlpm.actual_value_month &lt;&gt; "", _xlpm.actual_value_month &amp; " ações mensais", "")
)</f>
        <v/>
      </c>
      <c r="K1874" s="8" t="str" cm="1">
        <f t="array" ref="K1874">_xlfn.LET(
    _xlpm.sum_month, SUM(T1874:AE1874),
    IF(_xlpm.sum_month = 0, "", _xlpm.sum_month &amp; " taxa de aprovados")
)</f>
        <v/>
      </c>
      <c r="L1874" s="4" t="s">
        <v>183</v>
      </c>
      <c r="M1874" s="13">
        <v>1</v>
      </c>
      <c r="N1874" s="5" t="s">
        <v>51</v>
      </c>
      <c r="O1874" s="5" t="s">
        <v>43</v>
      </c>
      <c r="P1874" s="10" t="s">
        <v>44</v>
      </c>
      <c r="Q1874" s="10" t="s">
        <v>44</v>
      </c>
      <c r="R1874" s="11" t="s">
        <v>44</v>
      </c>
      <c r="S1874" s="11" t="s">
        <v>44</v>
      </c>
      <c r="T1874" s="22"/>
      <c r="U1874" s="22"/>
      <c r="V1874" s="22"/>
      <c r="W1874" s="22"/>
      <c r="X1874" s="22"/>
      <c r="Y1874" s="22"/>
      <c r="Z1874" s="22"/>
      <c r="AA1874" s="22"/>
      <c r="AB1874" s="22"/>
      <c r="AC1874" s="22"/>
      <c r="AD1874" s="22"/>
      <c r="AE1874" s="22"/>
      <c r="AG1874" s="71"/>
      <c r="AH1874" s="71"/>
      <c r="AI1874" s="71"/>
      <c r="AJ1874" s="71"/>
      <c r="AK1874" s="71"/>
      <c r="AL1874" s="71"/>
      <c r="AM1874" s="71"/>
      <c r="AN1874" s="71"/>
      <c r="AO1874" s="71"/>
      <c r="AP1874" s="71"/>
      <c r="AQ1874" s="71"/>
      <c r="AR1874" s="71"/>
      <c r="AS1874" s="94" t="str" cm="1">
        <f t="array" ref="AS1874">IFERROR(INDEX(T1874:AE1874,1,MATCH(2,1/(T1874:AE1874&lt;&gt;""))),"")</f>
        <v/>
      </c>
      <c r="AT1874" s="95" t="str" cm="1">
        <f t="array" ref="AT1874">IFERROR(INDEX(AJ1874:AR1874,1,MATCH(2,1/(AJ1874:AR1874&lt;&gt;""))),"")</f>
        <v/>
      </c>
      <c r="AU1874" s="97" t="str">
        <f t="shared" si="2181"/>
        <v/>
      </c>
      <c r="AW1874" s="51" t="str">
        <f t="shared" si="2182"/>
        <v/>
      </c>
      <c r="AX1874" s="51"/>
      <c r="AY1874" s="51"/>
      <c r="AZ1874" s="51"/>
      <c r="BA1874" s="51"/>
      <c r="BB1874" s="51"/>
      <c r="BC1874" s="51"/>
      <c r="BD1874" s="51"/>
      <c r="BE1874" s="51"/>
      <c r="BF1874" s="51"/>
      <c r="BG1874" s="51"/>
      <c r="BH1874" s="51"/>
      <c r="BI1874" s="65" t="str" cm="1">
        <f t="array" ref="BI1874">IFERROR(INDEX(AW1874:BH1874,1,MATCH(2,1/(AW1874:BH1874&lt;&gt;""))),"")</f>
        <v/>
      </c>
      <c r="BJ1874" s="68" t="str" cm="1">
        <f t="array" ref="BJ1874">IF(BM1874 = "", "",IFERROR(INDEX(AW1874:BH1874,1,MATCH(2,1/(AW1874:BH1874&lt;&gt;""),1)-1),""))</f>
        <v/>
      </c>
      <c r="BK1874" s="58" t="str" cm="1">
        <f t="array" ref="BK1874">IFERROR(INDEX(AW1874:BH1874,1,MATCH(2,1/(AW1874:BH1874&lt;&gt;""))),"")</f>
        <v/>
      </c>
      <c r="BL1874" s="58" t="str" cm="1">
        <f t="array" ref="BL1874">IFERROR(INDEX(AW1874:BH1874,1,MATCH(2,1/(AW1874:BH1874&lt;&gt;""),1)-1),"")</f>
        <v/>
      </c>
      <c r="BM1874" s="55" t="str" cm="1">
        <f t="array" ref="BM1874">IFERROR(
   INDEX($AW$1:$BH$1,
      _xlfn.AGGREGATE(14, 6, COLUMN($AW$1:$BH$1)/(AW1874:BH1874&lt;&gt;""), 2) - COLUMN($AW$1) + 1
   ),
"")</f>
        <v/>
      </c>
      <c r="BN1874" s="55" t="str" cm="1">
        <f t="array" ref="BN1874">IFERROR(INDEX($AW$1:$BH$1,1,MATCH(2,1/(AW1874:BH1874&lt;&gt;""))),"")</f>
        <v/>
      </c>
      <c r="BO1874" s="53">
        <f ca="1">IFERROR(_xlfn.XLOOKUP(F1874,Apuração!A:A,Apuração!C:C)/_xlfn.XLOOKUP(F1874,Apuração!A:A,Apuração!B:B),0)</f>
        <v>0</v>
      </c>
      <c r="BP1874" s="53">
        <f ca="1">IFERROR(_xlfn.XLOOKUP(F1874,Apuração!A:A,Apuração!D:D)/_xlfn.XLOOKUP(F1874,Apuração!A:A,Apuração!B:B),0)</f>
        <v>0</v>
      </c>
      <c r="BQ1874" s="53">
        <f ca="1">IF(BK1874&gt;=BO1874,0,_xlfn.XLOOKUP(F1874,Apuração!A:A,Apuração!B:B)*(BO1874 + (1/_xlfn.XLOOKUP(F1874,Apuração!A:A,Apuração!B:B)) - BK1874))</f>
        <v>0</v>
      </c>
      <c r="BR1874" s="85">
        <f t="shared" ca="1" si="2183"/>
        <v>0</v>
      </c>
      <c r="BS1874" s="53">
        <f ca="1">IFERROR((_xlfn.XLOOKUP(F1874,Apuração!A:A,Apuração!C:C)+1)/_xlfn.XLOOKUP(F1874,Apuração!A:A,Apuração!B:B),0)</f>
        <v>0.14285714285714285</v>
      </c>
    </row>
    <row r="1875" spans="1:71" ht="25.95" hidden="1" customHeight="1" x14ac:dyDescent="0.3">
      <c r="A1875" s="44" t="s">
        <v>175</v>
      </c>
      <c r="B1875" s="4" t="s">
        <v>194</v>
      </c>
      <c r="C1875" s="5" t="s">
        <v>214</v>
      </c>
      <c r="D1875" s="5" t="s">
        <v>212</v>
      </c>
      <c r="E1875" s="4" t="s">
        <v>96</v>
      </c>
      <c r="F1875" s="4" t="str" cm="1">
        <f t="array" ref="F1875">_xlfn.IFS(
AG1875 &lt;&gt; "", "Jan-Dez/26",
AH1875 &lt;&gt; "", "Fev-Dez/26",
AI1875 &lt;&gt; "", "Mar-Dez/26", AJ1875 &lt;&gt; "", "Abr-Dez/26",
TRUE, "A partir de Junho"
)</f>
        <v>A partir de Junho</v>
      </c>
      <c r="G1875" s="4" t="s">
        <v>62</v>
      </c>
      <c r="H1875" s="7" t="s">
        <v>38</v>
      </c>
      <c r="I1875" s="21" t="s">
        <v>182</v>
      </c>
      <c r="J1875" s="8" t="str" cm="1">
        <f t="array" aca="1" ref="J1875" ca="1">_xlfn.LET(
  _xlpm.actual_value_month, INDEX(T1875:AE1875, MATCH(DATE(YEAR(TODAY()), MONTH(TODAY()), 1), $T$1:$AE$1, 0)),
  IF(_xlpm.actual_value_month &lt;&gt; "", _xlpm.actual_value_month &amp; " ações mensais", "")
)</f>
        <v/>
      </c>
      <c r="K1875" s="8" t="str" cm="1">
        <f t="array" ref="K1875">_xlfn.LET(
    _xlpm.sum_month, SUM(T1875:AE1875),
    IF(_xlpm.sum_month = 0, "", _xlpm.sum_month &amp; " taxa de aprovados")
)</f>
        <v/>
      </c>
      <c r="L1875" s="4" t="s">
        <v>183</v>
      </c>
      <c r="M1875" s="13">
        <v>1</v>
      </c>
      <c r="N1875" s="5" t="s">
        <v>51</v>
      </c>
      <c r="O1875" s="5" t="s">
        <v>43</v>
      </c>
      <c r="P1875" s="10" t="s">
        <v>44</v>
      </c>
      <c r="Q1875" s="10" t="s">
        <v>44</v>
      </c>
      <c r="R1875" s="11" t="s">
        <v>44</v>
      </c>
      <c r="S1875" s="11" t="s">
        <v>44</v>
      </c>
      <c r="T1875" s="22"/>
      <c r="U1875" s="22"/>
      <c r="V1875" s="22"/>
      <c r="W1875" s="22"/>
      <c r="X1875" s="22"/>
      <c r="Y1875" s="22"/>
      <c r="Z1875" s="22"/>
      <c r="AA1875" s="22"/>
      <c r="AB1875" s="22"/>
      <c r="AC1875" s="22"/>
      <c r="AD1875" s="22"/>
      <c r="AE1875" s="22"/>
      <c r="AG1875" s="71"/>
      <c r="AH1875" s="71"/>
      <c r="AI1875" s="71"/>
      <c r="AJ1875" s="71"/>
      <c r="AK1875" s="71"/>
      <c r="AL1875" s="71"/>
      <c r="AM1875" s="71"/>
      <c r="AN1875" s="71"/>
      <c r="AO1875" s="71"/>
      <c r="AP1875" s="71"/>
      <c r="AQ1875" s="71"/>
      <c r="AR1875" s="71"/>
      <c r="AS1875" s="94" t="str" cm="1">
        <f t="array" ref="AS1875">IFERROR(INDEX(T1875:AE1875,1,MATCH(2,1/(T1875:AE1875&lt;&gt;""))),"")</f>
        <v/>
      </c>
      <c r="AT1875" s="95" t="str" cm="1">
        <f t="array" ref="AT1875">IFERROR(INDEX(AJ1875:AR1875,1,MATCH(2,1/(AJ1875:AR1875&lt;&gt;""))),"")</f>
        <v/>
      </c>
      <c r="AU1875" s="97" t="str">
        <f t="shared" si="2181"/>
        <v/>
      </c>
      <c r="AW1875" s="51" t="str">
        <f t="shared" si="2182"/>
        <v/>
      </c>
      <c r="AX1875" s="51"/>
      <c r="AY1875" s="51"/>
      <c r="AZ1875" s="51"/>
      <c r="BA1875" s="51"/>
      <c r="BB1875" s="51"/>
      <c r="BC1875" s="51"/>
      <c r="BD1875" s="51"/>
      <c r="BE1875" s="51"/>
      <c r="BF1875" s="51"/>
      <c r="BG1875" s="51"/>
      <c r="BH1875" s="51"/>
      <c r="BI1875" s="65" t="str" cm="1">
        <f t="array" ref="BI1875">IFERROR(INDEX(AW1875:BH1875,1,MATCH(2,1/(AW1875:BH1875&lt;&gt;""))),"")</f>
        <v/>
      </c>
      <c r="BJ1875" s="68" t="str" cm="1">
        <f t="array" ref="BJ1875">IF(BM1875 = "", "",IFERROR(INDEX(AW1875:BH1875,1,MATCH(2,1/(AW1875:BH1875&lt;&gt;""),1)-1),""))</f>
        <v/>
      </c>
      <c r="BK1875" s="58" t="str" cm="1">
        <f t="array" ref="BK1875">IFERROR(INDEX(AW1875:BH1875,1,MATCH(2,1/(AW1875:BH1875&lt;&gt;""))),"")</f>
        <v/>
      </c>
      <c r="BL1875" s="58" t="str" cm="1">
        <f t="array" ref="BL1875">IFERROR(INDEX(AW1875:BH1875,1,MATCH(2,1/(AW1875:BH1875&lt;&gt;""),1)-1),"")</f>
        <v/>
      </c>
      <c r="BM1875" s="55" t="str" cm="1">
        <f t="array" ref="BM1875">IFERROR(
   INDEX($AW$1:$BH$1,
      _xlfn.AGGREGATE(14, 6, COLUMN($AW$1:$BH$1)/(AW1875:BH1875&lt;&gt;""), 2) - COLUMN($AW$1) + 1
   ),
"")</f>
        <v/>
      </c>
      <c r="BN1875" s="55" t="str" cm="1">
        <f t="array" ref="BN1875">IFERROR(INDEX($AW$1:$BH$1,1,MATCH(2,1/(AW1875:BH1875&lt;&gt;""))),"")</f>
        <v/>
      </c>
      <c r="BO1875" s="53">
        <f ca="1">IFERROR(_xlfn.XLOOKUP(F1875,Apuração!A:A,Apuração!C:C)/_xlfn.XLOOKUP(F1875,Apuração!A:A,Apuração!B:B),0)</f>
        <v>0</v>
      </c>
      <c r="BP1875" s="53">
        <f ca="1">IFERROR(_xlfn.XLOOKUP(F1875,Apuração!A:A,Apuração!D:D)/_xlfn.XLOOKUP(F1875,Apuração!A:A,Apuração!B:B),0)</f>
        <v>0</v>
      </c>
      <c r="BQ1875" s="53">
        <f ca="1">IF(BK1875&gt;=BO1875,0,_xlfn.XLOOKUP(F1875,Apuração!A:A,Apuração!B:B)*(BO1875 + (1/_xlfn.XLOOKUP(F1875,Apuração!A:A,Apuração!B:B)) - BK1875))</f>
        <v>0</v>
      </c>
      <c r="BR1875" s="85">
        <f t="shared" ca="1" si="2183"/>
        <v>0</v>
      </c>
      <c r="BS1875" s="53">
        <f ca="1">IFERROR((_xlfn.XLOOKUP(F1875,Apuração!A:A,Apuração!C:C)+1)/_xlfn.XLOOKUP(F1875,Apuração!A:A,Apuração!B:B),0)</f>
        <v>0.14285714285714285</v>
      </c>
    </row>
    <row r="1876" spans="1:71" ht="25.95" hidden="1" customHeight="1" x14ac:dyDescent="0.3">
      <c r="A1876" s="44" t="s">
        <v>175</v>
      </c>
      <c r="B1876" s="4" t="s">
        <v>194</v>
      </c>
      <c r="C1876" s="5" t="s">
        <v>214</v>
      </c>
      <c r="D1876" s="5" t="s">
        <v>48</v>
      </c>
      <c r="E1876" s="4" t="s">
        <v>96</v>
      </c>
      <c r="F1876" s="4" t="str" cm="1">
        <f t="array" ref="F1876">_xlfn.IFS(
AG1876 &lt;&gt; "", "Jan-Dez/26",
AH1876 &lt;&gt; "", "Fev-Dez/26",
AI1876 &lt;&gt; "", "Mar-Dez/26", AJ1876 &lt;&gt; "", "Abr-Dez/26",
TRUE, "A partir de Junho"
)</f>
        <v>A partir de Junho</v>
      </c>
      <c r="G1876" s="4" t="s">
        <v>62</v>
      </c>
      <c r="H1876" s="7" t="s">
        <v>38</v>
      </c>
      <c r="I1876" s="21" t="s">
        <v>182</v>
      </c>
      <c r="J1876" s="8" t="str" cm="1">
        <f t="array" aca="1" ref="J1876" ca="1">_xlfn.LET(
  _xlpm.actual_value_month, INDEX(T1876:AE1876, MATCH(DATE(YEAR(TODAY()), MONTH(TODAY()), 1), $T$1:$AE$1, 0)),
  IF(_xlpm.actual_value_month &lt;&gt; "", _xlpm.actual_value_month &amp; " ações mensais", "")
)</f>
        <v/>
      </c>
      <c r="K1876" s="8" t="str" cm="1">
        <f t="array" ref="K1876">_xlfn.LET(
    _xlpm.sum_month, SUM(T1876:AE1876),
    IF(_xlpm.sum_month = 0, "", _xlpm.sum_month &amp; " taxa de aprovados")
)</f>
        <v/>
      </c>
      <c r="L1876" s="4" t="s">
        <v>183</v>
      </c>
      <c r="M1876" s="13">
        <v>1</v>
      </c>
      <c r="N1876" s="5" t="s">
        <v>51</v>
      </c>
      <c r="O1876" s="5" t="s">
        <v>43</v>
      </c>
      <c r="P1876" s="10" t="s">
        <v>44</v>
      </c>
      <c r="Q1876" s="10" t="s">
        <v>44</v>
      </c>
      <c r="R1876" s="11" t="s">
        <v>44</v>
      </c>
      <c r="S1876" s="11" t="s">
        <v>44</v>
      </c>
      <c r="T1876" s="22"/>
      <c r="U1876" s="22"/>
      <c r="V1876" s="22"/>
      <c r="W1876" s="22"/>
      <c r="X1876" s="22"/>
      <c r="Y1876" s="22"/>
      <c r="Z1876" s="22"/>
      <c r="AA1876" s="22"/>
      <c r="AB1876" s="22"/>
      <c r="AC1876" s="22"/>
      <c r="AD1876" s="22"/>
      <c r="AE1876" s="22"/>
      <c r="AG1876" s="71"/>
      <c r="AH1876" s="71"/>
      <c r="AI1876" s="71"/>
      <c r="AJ1876" s="71"/>
      <c r="AK1876" s="71"/>
      <c r="AL1876" s="71"/>
      <c r="AM1876" s="71"/>
      <c r="AN1876" s="71"/>
      <c r="AO1876" s="71"/>
      <c r="AP1876" s="71"/>
      <c r="AQ1876" s="71"/>
      <c r="AR1876" s="71"/>
      <c r="AS1876" s="94" t="str" cm="1">
        <f t="array" ref="AS1876">IFERROR(INDEX(T1876:AE1876,1,MATCH(2,1/(T1876:AE1876&lt;&gt;""))),"")</f>
        <v/>
      </c>
      <c r="AT1876" s="95" t="str" cm="1">
        <f t="array" ref="AT1876">IFERROR(INDEX(AJ1876:AR1876,1,MATCH(2,1/(AJ1876:AR1876&lt;&gt;""))),"")</f>
        <v/>
      </c>
      <c r="AU1876" s="97" t="str">
        <f t="shared" si="2181"/>
        <v/>
      </c>
      <c r="AW1876" s="51" t="str">
        <f t="shared" si="2182"/>
        <v/>
      </c>
      <c r="AX1876" s="51"/>
      <c r="AY1876" s="51"/>
      <c r="AZ1876" s="51"/>
      <c r="BA1876" s="51"/>
      <c r="BB1876" s="51"/>
      <c r="BC1876" s="51"/>
      <c r="BD1876" s="51"/>
      <c r="BE1876" s="51"/>
      <c r="BF1876" s="51"/>
      <c r="BG1876" s="51"/>
      <c r="BH1876" s="51"/>
      <c r="BI1876" s="65" t="str" cm="1">
        <f t="array" ref="BI1876">IFERROR(INDEX(AW1876:BH1876,1,MATCH(2,1/(AW1876:BH1876&lt;&gt;""))),"")</f>
        <v/>
      </c>
      <c r="BJ1876" s="68" t="str" cm="1">
        <f t="array" ref="BJ1876">IF(BM1876 = "", "",IFERROR(INDEX(AW1876:BH1876,1,MATCH(2,1/(AW1876:BH1876&lt;&gt;""),1)-1),""))</f>
        <v/>
      </c>
      <c r="BK1876" s="58" t="str" cm="1">
        <f t="array" ref="BK1876">IFERROR(INDEX(AW1876:BH1876,1,MATCH(2,1/(AW1876:BH1876&lt;&gt;""))),"")</f>
        <v/>
      </c>
      <c r="BL1876" s="58" t="str" cm="1">
        <f t="array" ref="BL1876">IFERROR(INDEX(AW1876:BH1876,1,MATCH(2,1/(AW1876:BH1876&lt;&gt;""),1)-1),"")</f>
        <v/>
      </c>
      <c r="BM1876" s="55" t="str" cm="1">
        <f t="array" ref="BM1876">IFERROR(
   INDEX($AW$1:$BH$1,
      _xlfn.AGGREGATE(14, 6, COLUMN($AW$1:$BH$1)/(AW1876:BH1876&lt;&gt;""), 2) - COLUMN($AW$1) + 1
   ),
"")</f>
        <v/>
      </c>
      <c r="BN1876" s="55" t="str" cm="1">
        <f t="array" ref="BN1876">IFERROR(INDEX($AW$1:$BH$1,1,MATCH(2,1/(AW1876:BH1876&lt;&gt;""))),"")</f>
        <v/>
      </c>
      <c r="BO1876" s="53">
        <f ca="1">IFERROR(_xlfn.XLOOKUP(F1876,Apuração!A:A,Apuração!C:C)/_xlfn.XLOOKUP(F1876,Apuração!A:A,Apuração!B:B),0)</f>
        <v>0</v>
      </c>
      <c r="BP1876" s="53">
        <f ca="1">IFERROR(_xlfn.XLOOKUP(F1876,Apuração!A:A,Apuração!D:D)/_xlfn.XLOOKUP(F1876,Apuração!A:A,Apuração!B:B),0)</f>
        <v>0</v>
      </c>
      <c r="BQ1876" s="53">
        <f ca="1">IF(BK1876&gt;=BO1876,0,_xlfn.XLOOKUP(F1876,Apuração!A:A,Apuração!B:B)*(BO1876 + (1/_xlfn.XLOOKUP(F1876,Apuração!A:A,Apuração!B:B)) - BK1876))</f>
        <v>0</v>
      </c>
      <c r="BR1876" s="85">
        <f t="shared" ca="1" si="2183"/>
        <v>0</v>
      </c>
      <c r="BS1876" s="53">
        <f ca="1">IFERROR((_xlfn.XLOOKUP(F1876,Apuração!A:A,Apuração!C:C)+1)/_xlfn.XLOOKUP(F1876,Apuração!A:A,Apuração!B:B),0)</f>
        <v>0.14285714285714285</v>
      </c>
    </row>
    <row r="1877" spans="1:71" ht="25.95" hidden="1" customHeight="1" x14ac:dyDescent="0.3">
      <c r="A1877" s="44" t="s">
        <v>175</v>
      </c>
      <c r="B1877" s="4" t="s">
        <v>194</v>
      </c>
      <c r="C1877" s="5" t="s">
        <v>214</v>
      </c>
      <c r="D1877" s="5" t="s">
        <v>213</v>
      </c>
      <c r="E1877" s="4" t="s">
        <v>96</v>
      </c>
      <c r="F1877" s="4" t="str" cm="1">
        <f t="array" ref="F1877">_xlfn.IFS(
AG1877 &lt;&gt; "", "Jan-Dez/26",
AH1877 &lt;&gt; "", "Fev-Dez/26",
AI1877 &lt;&gt; "", "Mar-Dez/26", AJ1877 &lt;&gt; "", "Abr-Dez/26",
TRUE, "A partir de Junho"
)</f>
        <v>A partir de Junho</v>
      </c>
      <c r="G1877" s="4" t="s">
        <v>62</v>
      </c>
      <c r="H1877" s="7" t="s">
        <v>38</v>
      </c>
      <c r="I1877" s="21" t="s">
        <v>182</v>
      </c>
      <c r="J1877" s="8" t="str" cm="1">
        <f t="array" aca="1" ref="J1877" ca="1">_xlfn.LET(
  _xlpm.actual_value_month, INDEX(T1877:AE1877, MATCH(DATE(YEAR(TODAY()), MONTH(TODAY()), 1), $T$1:$AE$1, 0)),
  IF(_xlpm.actual_value_month &lt;&gt; "", _xlpm.actual_value_month &amp; " ações mensais", "")
)</f>
        <v/>
      </c>
      <c r="K1877" s="8" t="str" cm="1">
        <f t="array" ref="K1877">_xlfn.LET(
    _xlpm.sum_month, SUM(T1877:AE1877),
    IF(_xlpm.sum_month = 0, "", _xlpm.sum_month &amp; " taxa de aprovados")
)</f>
        <v/>
      </c>
      <c r="L1877" s="4" t="s">
        <v>183</v>
      </c>
      <c r="M1877" s="13">
        <v>1</v>
      </c>
      <c r="N1877" s="5" t="s">
        <v>51</v>
      </c>
      <c r="O1877" s="5" t="s">
        <v>43</v>
      </c>
      <c r="P1877" s="10" t="s">
        <v>44</v>
      </c>
      <c r="Q1877" s="10" t="s">
        <v>44</v>
      </c>
      <c r="R1877" s="11" t="s">
        <v>44</v>
      </c>
      <c r="S1877" s="11" t="s">
        <v>44</v>
      </c>
      <c r="T1877" s="22"/>
      <c r="U1877" s="22"/>
      <c r="V1877" s="22"/>
      <c r="W1877" s="22"/>
      <c r="X1877" s="22"/>
      <c r="Y1877" s="22"/>
      <c r="Z1877" s="22"/>
      <c r="AA1877" s="22"/>
      <c r="AB1877" s="22"/>
      <c r="AC1877" s="22"/>
      <c r="AD1877" s="22"/>
      <c r="AE1877" s="22"/>
      <c r="AG1877" s="71"/>
      <c r="AH1877" s="71"/>
      <c r="AI1877" s="71"/>
      <c r="AJ1877" s="71"/>
      <c r="AK1877" s="71"/>
      <c r="AL1877" s="71"/>
      <c r="AM1877" s="71"/>
      <c r="AN1877" s="71"/>
      <c r="AO1877" s="71"/>
      <c r="AP1877" s="71"/>
      <c r="AQ1877" s="71"/>
      <c r="AR1877" s="71"/>
      <c r="AS1877" s="94" t="str" cm="1">
        <f t="array" ref="AS1877">IFERROR(INDEX(T1877:AE1877,1,MATCH(2,1/(T1877:AE1877&lt;&gt;""))),"")</f>
        <v/>
      </c>
      <c r="AT1877" s="95" t="str" cm="1">
        <f t="array" ref="AT1877">IFERROR(INDEX(AJ1877:AR1877,1,MATCH(2,1/(AJ1877:AR1877&lt;&gt;""))),"")</f>
        <v/>
      </c>
      <c r="AU1877" s="97" t="str">
        <f t="shared" si="2181"/>
        <v/>
      </c>
      <c r="AW1877" s="51" t="str">
        <f t="shared" si="2182"/>
        <v/>
      </c>
      <c r="AX1877" s="51"/>
      <c r="AY1877" s="51"/>
      <c r="AZ1877" s="51"/>
      <c r="BA1877" s="51"/>
      <c r="BB1877" s="51"/>
      <c r="BC1877" s="51"/>
      <c r="BD1877" s="51"/>
      <c r="BE1877" s="51"/>
      <c r="BF1877" s="51"/>
      <c r="BG1877" s="51"/>
      <c r="BH1877" s="51"/>
      <c r="BI1877" s="65" t="str" cm="1">
        <f t="array" ref="BI1877">IFERROR(INDEX(AW1877:BH1877,1,MATCH(2,1/(AW1877:BH1877&lt;&gt;""))),"")</f>
        <v/>
      </c>
      <c r="BJ1877" s="68" t="str" cm="1">
        <f t="array" ref="BJ1877">IF(BM1877 = "", "",IFERROR(INDEX(AW1877:BH1877,1,MATCH(2,1/(AW1877:BH1877&lt;&gt;""),1)-1),""))</f>
        <v/>
      </c>
      <c r="BK1877" s="58" t="str" cm="1">
        <f t="array" ref="BK1877">IFERROR(INDEX(AW1877:BH1877,1,MATCH(2,1/(AW1877:BH1877&lt;&gt;""))),"")</f>
        <v/>
      </c>
      <c r="BL1877" s="58" t="str" cm="1">
        <f t="array" ref="BL1877">IFERROR(INDEX(AW1877:BH1877,1,MATCH(2,1/(AW1877:BH1877&lt;&gt;""),1)-1),"")</f>
        <v/>
      </c>
      <c r="BM1877" s="55" t="str" cm="1">
        <f t="array" ref="BM1877">IFERROR(
   INDEX($AW$1:$BH$1,
      _xlfn.AGGREGATE(14, 6, COLUMN($AW$1:$BH$1)/(AW1877:BH1877&lt;&gt;""), 2) - COLUMN($AW$1) + 1
   ),
"")</f>
        <v/>
      </c>
      <c r="BN1877" s="55" t="str" cm="1">
        <f t="array" ref="BN1877">IFERROR(INDEX($AW$1:$BH$1,1,MATCH(2,1/(AW1877:BH1877&lt;&gt;""))),"")</f>
        <v/>
      </c>
      <c r="BO1877" s="53">
        <f ca="1">IFERROR(_xlfn.XLOOKUP(F1877,Apuração!A:A,Apuração!C:C)/_xlfn.XLOOKUP(F1877,Apuração!A:A,Apuração!B:B),0)</f>
        <v>0</v>
      </c>
      <c r="BP1877" s="53">
        <f ca="1">IFERROR(_xlfn.XLOOKUP(F1877,Apuração!A:A,Apuração!D:D)/_xlfn.XLOOKUP(F1877,Apuração!A:A,Apuração!B:B),0)</f>
        <v>0</v>
      </c>
      <c r="BQ1877" s="53">
        <f ca="1">IF(BK1877&gt;=BO1877,0,_xlfn.XLOOKUP(F1877,Apuração!A:A,Apuração!B:B)*(BO1877 + (1/_xlfn.XLOOKUP(F1877,Apuração!A:A,Apuração!B:B)) - BK1877))</f>
        <v>0</v>
      </c>
      <c r="BR1877" s="85">
        <f t="shared" ca="1" si="2183"/>
        <v>0</v>
      </c>
      <c r="BS1877" s="53">
        <f ca="1">IFERROR((_xlfn.XLOOKUP(F1877,Apuração!A:A,Apuração!C:C)+1)/_xlfn.XLOOKUP(F1877,Apuração!A:A,Apuração!B:B),0)</f>
        <v>0.14285714285714285</v>
      </c>
    </row>
    <row r="1878" spans="1:71" ht="25.95" hidden="1" customHeight="1" x14ac:dyDescent="0.3">
      <c r="A1878" s="33" t="s">
        <v>175</v>
      </c>
      <c r="B1878" s="4" t="s">
        <v>197</v>
      </c>
      <c r="C1878" s="5" t="s">
        <v>214</v>
      </c>
      <c r="D1878" s="5" t="s">
        <v>36</v>
      </c>
      <c r="E1878" s="4" t="s">
        <v>96</v>
      </c>
      <c r="F1878" s="4" t="str" cm="1">
        <f t="array" ref="F1878">_xlfn.IFS(
AG1878 &lt;&gt; "", "Jan-Dez/26",
AH1878 &lt;&gt; "", "Fev-Dez/26",
AI1878 &lt;&gt; "", "Mar-Dez/26", AJ1878 &lt;&gt; "", "Abr-Dez/26",
TRUE, "A partir de Junho"
)</f>
        <v>A partir de Junho</v>
      </c>
      <c r="G1878" s="4" t="s">
        <v>62</v>
      </c>
      <c r="H1878" s="7" t="s">
        <v>38</v>
      </c>
      <c r="I1878" s="8" t="s">
        <v>177</v>
      </c>
      <c r="J1878" s="8" t="str" cm="1">
        <f t="array" aca="1" ref="J1878" ca="1">_xlfn.LET(
  _xlpm.actual_value_month, INDEX(T1878:AE1878, MATCH(DATE(YEAR(TODAY()), MONTH(TODAY()), 1), $T$1:$AE$1, 0)),
  IF(_xlpm.actual_value_month &lt;&gt; "", _xlpm.actual_value_month &amp; " ações mensais", "")
)</f>
        <v/>
      </c>
      <c r="K1878" s="8" t="str" cm="1">
        <f t="array" ref="K1878">_xlfn.LET(
    _xlpm.sum_month, SUM(T1878:AE1878),
    IF(_xlpm.sum_month = 0, "", _xlpm.sum_month &amp; " certificados gerados.")
)</f>
        <v/>
      </c>
      <c r="L1878" s="9" t="s">
        <v>198</v>
      </c>
      <c r="M1878" s="13">
        <v>1</v>
      </c>
      <c r="N1878" s="5" t="s">
        <v>42</v>
      </c>
      <c r="O1878" s="5" t="s">
        <v>43</v>
      </c>
      <c r="P1878" s="10" t="s">
        <v>146</v>
      </c>
      <c r="Q1878" s="10" t="s">
        <v>44</v>
      </c>
      <c r="R1878" s="11" t="s">
        <v>179</v>
      </c>
      <c r="S1878" s="11" t="s">
        <v>67</v>
      </c>
      <c r="T1878" s="22"/>
      <c r="U1878" s="22"/>
      <c r="V1878" s="22"/>
      <c r="W1878" s="22"/>
      <c r="X1878" s="22"/>
      <c r="Y1878" s="22"/>
      <c r="Z1878" s="22"/>
      <c r="AA1878" s="22"/>
      <c r="AB1878" s="22"/>
      <c r="AC1878" s="22"/>
      <c r="AD1878" s="22"/>
      <c r="AE1878" s="22"/>
      <c r="AG1878" s="71"/>
      <c r="AH1878" s="71"/>
      <c r="AI1878" s="71"/>
      <c r="AJ1878" s="71"/>
      <c r="AK1878" s="71"/>
      <c r="AL1878" s="71"/>
      <c r="AM1878" s="71"/>
      <c r="AN1878" s="71"/>
      <c r="AO1878" s="71"/>
      <c r="AP1878" s="71"/>
      <c r="AQ1878" s="71"/>
      <c r="AR1878" s="71"/>
      <c r="AS1878" s="94" t="str" cm="1">
        <f t="array" ref="AS1878">IFERROR(INDEX(T1878:AE1878,1,MATCH(2,1/(T1878:AE1878&lt;&gt;""))),"")</f>
        <v/>
      </c>
      <c r="AT1878" s="95" t="str" cm="1">
        <f t="array" ref="AT1878">IFERROR(INDEX(AJ1878:AR1878,1,MATCH(2,1/(AJ1878:AR1878&lt;&gt;""))),"")</f>
        <v/>
      </c>
      <c r="AU1878" s="97" t="str">
        <f>AT1878</f>
        <v/>
      </c>
      <c r="AW1878" s="51"/>
      <c r="AX1878" s="51"/>
      <c r="AY1878" s="51"/>
      <c r="AZ1878" s="51"/>
      <c r="BA1878" s="51"/>
      <c r="BB1878" s="51"/>
      <c r="BC1878" s="51"/>
      <c r="BD1878" s="51"/>
      <c r="BE1878" s="51"/>
      <c r="BF1878" s="51"/>
      <c r="BG1878" s="51"/>
      <c r="BH1878" s="51"/>
      <c r="BI1878" s="65" t="str" cm="1">
        <f t="array" ref="BI1878">IFERROR(INDEX(AW1878:BH1878,1,MATCH(2,1/(AW1878:BH1878&lt;&gt;""))),"")</f>
        <v/>
      </c>
      <c r="BJ1878" s="68" t="str" cm="1">
        <f t="array" ref="BJ1878">IF(BM1878 = "", "",IFERROR(INDEX(AW1878:BH1878,1,MATCH(2,1/(AW1878:BH1878&lt;&gt;""),1)-1),""))</f>
        <v/>
      </c>
      <c r="BK1878" s="58" t="str" cm="1">
        <f t="array" ref="BK1878">IFERROR(INDEX(AW1878:BH1878,1,MATCH(2,1/(AW1878:BH1878&lt;&gt;""))),"")</f>
        <v/>
      </c>
      <c r="BL1878" s="58" t="str" cm="1">
        <f t="array" ref="BL1878">IFERROR(INDEX(AW1878:BH1878,1,MATCH(2,1/(AW1878:BH1878&lt;&gt;""),1)-1),"")</f>
        <v/>
      </c>
      <c r="BM1878" s="55" t="str" cm="1">
        <f t="array" ref="BM1878">IFERROR(
   INDEX($AW$1:$BH$1,
      _xlfn.AGGREGATE(14, 6, COLUMN($AW$1:$BH$1)/(AW1878:BH1878&lt;&gt;""), 2) - COLUMN($AW$1) + 1
   ),
"")</f>
        <v/>
      </c>
      <c r="BN1878" s="55" t="str" cm="1">
        <f t="array" ref="BN1878">IFERROR(INDEX($AW$1:$BH$1,1,MATCH(2,1/(AW1878:BH1878&lt;&gt;""))),"")</f>
        <v/>
      </c>
      <c r="BO1878" s="53">
        <f ca="1">IFERROR(_xlfn.XLOOKUP(F1878,Apuração!A:A,Apuração!C:C)/_xlfn.XLOOKUP(F1878,Apuração!A:A,Apuração!B:B),0)</f>
        <v>0</v>
      </c>
      <c r="BP1878" s="53">
        <f ca="1">IFERROR(_xlfn.XLOOKUP(F1878,Apuração!A:A,Apuração!D:D)/_xlfn.XLOOKUP(F1878,Apuração!A:A,Apuração!B:B),0)</f>
        <v>0</v>
      </c>
      <c r="BQ1878" s="53">
        <f ca="1">IF(BK1878&gt;=BO1878,0,_xlfn.XLOOKUP(F1878,Apuração!A:A,Apuração!B:B)*(BO1878 + (1/_xlfn.XLOOKUP(F1878,Apuração!A:A,Apuração!B:B)) - BK1878))</f>
        <v>0</v>
      </c>
      <c r="BR1878" s="85">
        <f ca="1">IF(BQ1878=0,0,BQ1878*Z1878)</f>
        <v>0</v>
      </c>
      <c r="BS1878" s="53">
        <f ca="1">IFERROR((_xlfn.XLOOKUP(F1878,Apuração!A:A,Apuração!C:C)+1)/_xlfn.XLOOKUP(F1878,Apuração!A:A,Apuração!B:B),0)</f>
        <v>0.14285714285714285</v>
      </c>
    </row>
    <row r="1879" spans="1:71" ht="25.95" hidden="1" customHeight="1" x14ac:dyDescent="0.3">
      <c r="A1879" s="33" t="s">
        <v>175</v>
      </c>
      <c r="B1879" s="4" t="s">
        <v>197</v>
      </c>
      <c r="C1879" s="5" t="s">
        <v>214</v>
      </c>
      <c r="D1879" s="5" t="s">
        <v>210</v>
      </c>
      <c r="E1879" s="4" t="s">
        <v>96</v>
      </c>
      <c r="F1879" s="4" t="str" cm="1">
        <f t="array" ref="F1879">_xlfn.IFS(
AG1879 &lt;&gt; "", "Jan-Dez/26",
AH1879 &lt;&gt; "", "Fev-Dez/26",
AI1879 &lt;&gt; "", "Mar-Dez/26", AJ1879 &lt;&gt; "", "Abr-Dez/26",
TRUE, "A partir de Junho"
)</f>
        <v>A partir de Junho</v>
      </c>
      <c r="G1879" s="4" t="s">
        <v>62</v>
      </c>
      <c r="H1879" s="7" t="s">
        <v>38</v>
      </c>
      <c r="I1879" s="8" t="s">
        <v>177</v>
      </c>
      <c r="J1879" s="8" t="str" cm="1">
        <f t="array" aca="1" ref="J1879" ca="1">_xlfn.LET(
  _xlpm.actual_value_month, INDEX(T1879:AE1879, MATCH(DATE(YEAR(TODAY()), MONTH(TODAY()), 1), $T$1:$AE$1, 0)),
  IF(_xlpm.actual_value_month &lt;&gt; "", _xlpm.actual_value_month &amp; " ações mensais", "")
)</f>
        <v/>
      </c>
      <c r="K1879" s="8" t="str" cm="1">
        <f t="array" ref="K1879">_xlfn.LET(
    _xlpm.sum_month, SUM(T1879:AE1879),
    IF(_xlpm.sum_month = 0, "", _xlpm.sum_month &amp; " certificados gerados.")
)</f>
        <v/>
      </c>
      <c r="L1879" s="9" t="s">
        <v>198</v>
      </c>
      <c r="M1879" s="13">
        <v>1</v>
      </c>
      <c r="N1879" s="5" t="s">
        <v>42</v>
      </c>
      <c r="O1879" s="5" t="s">
        <v>43</v>
      </c>
      <c r="P1879" s="10" t="s">
        <v>146</v>
      </c>
      <c r="Q1879" s="10" t="s">
        <v>44</v>
      </c>
      <c r="R1879" s="11" t="s">
        <v>179</v>
      </c>
      <c r="S1879" s="11" t="s">
        <v>67</v>
      </c>
      <c r="T1879" s="22"/>
      <c r="U1879" s="22"/>
      <c r="V1879" s="22"/>
      <c r="W1879" s="22"/>
      <c r="X1879" s="22"/>
      <c r="Y1879" s="22"/>
      <c r="Z1879" s="22"/>
      <c r="AA1879" s="22"/>
      <c r="AB1879" s="22"/>
      <c r="AC1879" s="22"/>
      <c r="AD1879" s="22"/>
      <c r="AE1879" s="22"/>
      <c r="AG1879" s="71"/>
      <c r="AH1879" s="71"/>
      <c r="AI1879" s="71"/>
      <c r="AJ1879" s="71"/>
      <c r="AK1879" s="71"/>
      <c r="AL1879" s="71"/>
      <c r="AM1879" s="71"/>
      <c r="AN1879" s="71"/>
      <c r="AO1879" s="71"/>
      <c r="AP1879" s="71"/>
      <c r="AQ1879" s="71"/>
      <c r="AR1879" s="71"/>
      <c r="AS1879" s="94" t="str" cm="1">
        <f t="array" ref="AS1879">IFERROR(INDEX(T1879:AE1879,1,MATCH(2,1/(T1879:AE1879&lt;&gt;""))),"")</f>
        <v/>
      </c>
      <c r="AT1879" s="95" t="str" cm="1">
        <f t="array" ref="AT1879">IFERROR(INDEX(AJ1879:AR1879,1,MATCH(2,1/(AJ1879:AR1879&lt;&gt;""))),"")</f>
        <v/>
      </c>
      <c r="AU1879" s="97" t="str">
        <f t="shared" ref="AU1879:AU1883" si="2184">AT1879</f>
        <v/>
      </c>
      <c r="AW1879" s="51"/>
      <c r="AX1879" s="51"/>
      <c r="AY1879" s="51"/>
      <c r="AZ1879" s="51"/>
      <c r="BA1879" s="51"/>
      <c r="BB1879" s="51"/>
      <c r="BC1879" s="51"/>
      <c r="BD1879" s="51"/>
      <c r="BE1879" s="51"/>
      <c r="BF1879" s="51"/>
      <c r="BG1879" s="51"/>
      <c r="BH1879" s="51"/>
      <c r="BI1879" s="65" t="str" cm="1">
        <f t="array" ref="BI1879">IFERROR(INDEX(AW1879:BH1879,1,MATCH(2,1/(AW1879:BH1879&lt;&gt;""))),"")</f>
        <v/>
      </c>
      <c r="BJ1879" s="68" t="str" cm="1">
        <f t="array" ref="BJ1879">IF(BM1879 = "", "",IFERROR(INDEX(AW1879:BH1879,1,MATCH(2,1/(AW1879:BH1879&lt;&gt;""),1)-1),""))</f>
        <v/>
      </c>
      <c r="BK1879" s="58" t="str" cm="1">
        <f t="array" ref="BK1879">IFERROR(INDEX(AW1879:BH1879,1,MATCH(2,1/(AW1879:BH1879&lt;&gt;""))),"")</f>
        <v/>
      </c>
      <c r="BL1879" s="58" t="str" cm="1">
        <f t="array" ref="BL1879">IFERROR(INDEX(AW1879:BH1879,1,MATCH(2,1/(AW1879:BH1879&lt;&gt;""),1)-1),"")</f>
        <v/>
      </c>
      <c r="BM1879" s="55" t="str" cm="1">
        <f t="array" ref="BM1879">IFERROR(
   INDEX($AW$1:$BH$1,
      _xlfn.AGGREGATE(14, 6, COLUMN($AW$1:$BH$1)/(AW1879:BH1879&lt;&gt;""), 2) - COLUMN($AW$1) + 1
   ),
"")</f>
        <v/>
      </c>
      <c r="BN1879" s="55" t="str" cm="1">
        <f t="array" ref="BN1879">IFERROR(INDEX($AW$1:$BH$1,1,MATCH(2,1/(AW1879:BH1879&lt;&gt;""))),"")</f>
        <v/>
      </c>
      <c r="BO1879" s="53">
        <f ca="1">IFERROR(_xlfn.XLOOKUP(F1879,Apuração!A:A,Apuração!C:C)/_xlfn.XLOOKUP(F1879,Apuração!A:A,Apuração!B:B),0)</f>
        <v>0</v>
      </c>
      <c r="BP1879" s="53">
        <f ca="1">IFERROR(_xlfn.XLOOKUP(F1879,Apuração!A:A,Apuração!D:D)/_xlfn.XLOOKUP(F1879,Apuração!A:A,Apuração!B:B),0)</f>
        <v>0</v>
      </c>
      <c r="BQ1879" s="53">
        <f ca="1">IF(BK1879&gt;=BO1879,0,_xlfn.XLOOKUP(F1879,Apuração!A:A,Apuração!B:B)*(BO1879 + (1/_xlfn.XLOOKUP(F1879,Apuração!A:A,Apuração!B:B)) - BK1879))</f>
        <v>0</v>
      </c>
      <c r="BR1879" s="85">
        <f t="shared" ref="BR1879:BR1883" ca="1" si="2185">IF(BQ1879=0,0,BQ1879*Z1879)</f>
        <v>0</v>
      </c>
      <c r="BS1879" s="53">
        <f ca="1">IFERROR((_xlfn.XLOOKUP(F1879,Apuração!A:A,Apuração!C:C)+1)/_xlfn.XLOOKUP(F1879,Apuração!A:A,Apuração!B:B),0)</f>
        <v>0.14285714285714285</v>
      </c>
    </row>
    <row r="1880" spans="1:71" ht="25.95" hidden="1" customHeight="1" x14ac:dyDescent="0.3">
      <c r="A1880" s="33" t="s">
        <v>175</v>
      </c>
      <c r="B1880" s="4" t="s">
        <v>197</v>
      </c>
      <c r="C1880" s="5" t="s">
        <v>214</v>
      </c>
      <c r="D1880" s="5" t="s">
        <v>215</v>
      </c>
      <c r="E1880" s="4" t="s">
        <v>96</v>
      </c>
      <c r="F1880" s="4" t="str" cm="1">
        <f t="array" ref="F1880">_xlfn.IFS(
AG1880 &lt;&gt; "", "Jan-Dez/26",
AH1880 &lt;&gt; "", "Fev-Dez/26",
AI1880 &lt;&gt; "", "Mar-Dez/26", AJ1880 &lt;&gt; "", "Abr-Dez/26",
TRUE, "A partir de Junho"
)</f>
        <v>A partir de Junho</v>
      </c>
      <c r="G1880" s="4" t="s">
        <v>62</v>
      </c>
      <c r="H1880" s="7" t="s">
        <v>38</v>
      </c>
      <c r="I1880" s="8" t="s">
        <v>177</v>
      </c>
      <c r="J1880" s="8" t="str" cm="1">
        <f t="array" aca="1" ref="J1880" ca="1">_xlfn.LET(
  _xlpm.actual_value_month, INDEX(T1880:AE1880, MATCH(DATE(YEAR(TODAY()), MONTH(TODAY()), 1), $T$1:$AE$1, 0)),
  IF(_xlpm.actual_value_month &lt;&gt; "", _xlpm.actual_value_month &amp; " ações mensais", "")
)</f>
        <v/>
      </c>
      <c r="K1880" s="8" t="str" cm="1">
        <f t="array" ref="K1880">_xlfn.LET(
    _xlpm.sum_month, SUM(T1880:AE1880),
    IF(_xlpm.sum_month = 0, "", _xlpm.sum_month &amp; " certificados gerados.")
)</f>
        <v/>
      </c>
      <c r="L1880" s="9" t="s">
        <v>198</v>
      </c>
      <c r="M1880" s="13">
        <v>1</v>
      </c>
      <c r="N1880" s="5" t="s">
        <v>42</v>
      </c>
      <c r="O1880" s="5" t="s">
        <v>43</v>
      </c>
      <c r="P1880" s="10" t="s">
        <v>146</v>
      </c>
      <c r="Q1880" s="10" t="s">
        <v>44</v>
      </c>
      <c r="R1880" s="11" t="s">
        <v>179</v>
      </c>
      <c r="S1880" s="11" t="s">
        <v>67</v>
      </c>
      <c r="T1880" s="22"/>
      <c r="U1880" s="22"/>
      <c r="V1880" s="22"/>
      <c r="W1880" s="22"/>
      <c r="X1880" s="22"/>
      <c r="Y1880" s="22"/>
      <c r="Z1880" s="22"/>
      <c r="AA1880" s="22"/>
      <c r="AB1880" s="22"/>
      <c r="AC1880" s="22"/>
      <c r="AD1880" s="22"/>
      <c r="AE1880" s="22"/>
      <c r="AG1880" s="71"/>
      <c r="AH1880" s="71"/>
      <c r="AI1880" s="71"/>
      <c r="AJ1880" s="71"/>
      <c r="AK1880" s="71"/>
      <c r="AL1880" s="71"/>
      <c r="AM1880" s="71"/>
      <c r="AN1880" s="71"/>
      <c r="AO1880" s="71"/>
      <c r="AP1880" s="71"/>
      <c r="AQ1880" s="71"/>
      <c r="AR1880" s="71"/>
      <c r="AS1880" s="94" t="str" cm="1">
        <f t="array" ref="AS1880">IFERROR(INDEX(T1880:AE1880,1,MATCH(2,1/(T1880:AE1880&lt;&gt;""))),"")</f>
        <v/>
      </c>
      <c r="AT1880" s="95" t="str" cm="1">
        <f t="array" ref="AT1880">IFERROR(INDEX(AJ1880:AR1880,1,MATCH(2,1/(AJ1880:AR1880&lt;&gt;""))),"")</f>
        <v/>
      </c>
      <c r="AU1880" s="97" t="str">
        <f t="shared" si="2184"/>
        <v/>
      </c>
      <c r="AW1880" s="51"/>
      <c r="AX1880" s="51"/>
      <c r="AY1880" s="51"/>
      <c r="AZ1880" s="51"/>
      <c r="BA1880" s="51"/>
      <c r="BB1880" s="51"/>
      <c r="BC1880" s="51"/>
      <c r="BD1880" s="51"/>
      <c r="BE1880" s="51"/>
      <c r="BF1880" s="51"/>
      <c r="BG1880" s="51"/>
      <c r="BH1880" s="51"/>
      <c r="BI1880" s="65" t="str" cm="1">
        <f t="array" ref="BI1880">IFERROR(INDEX(AW1880:BH1880,1,MATCH(2,1/(AW1880:BH1880&lt;&gt;""))),"")</f>
        <v/>
      </c>
      <c r="BJ1880" s="68" t="str" cm="1">
        <f t="array" ref="BJ1880">IF(BM1880 = "", "",IFERROR(INDEX(AW1880:BH1880,1,MATCH(2,1/(AW1880:BH1880&lt;&gt;""),1)-1),""))</f>
        <v/>
      </c>
      <c r="BK1880" s="58" t="str" cm="1">
        <f t="array" ref="BK1880">IFERROR(INDEX(AW1880:BH1880,1,MATCH(2,1/(AW1880:BH1880&lt;&gt;""))),"")</f>
        <v/>
      </c>
      <c r="BL1880" s="58" t="str" cm="1">
        <f t="array" ref="BL1880">IFERROR(INDEX(AW1880:BH1880,1,MATCH(2,1/(AW1880:BH1880&lt;&gt;""),1)-1),"")</f>
        <v/>
      </c>
      <c r="BM1880" s="55" t="str" cm="1">
        <f t="array" ref="BM1880">IFERROR(
   INDEX($AW$1:$BH$1,
      _xlfn.AGGREGATE(14, 6, COLUMN($AW$1:$BH$1)/(AW1880:BH1880&lt;&gt;""), 2) - COLUMN($AW$1) + 1
   ),
"")</f>
        <v/>
      </c>
      <c r="BN1880" s="55" t="str" cm="1">
        <f t="array" ref="BN1880">IFERROR(INDEX($AW$1:$BH$1,1,MATCH(2,1/(AW1880:BH1880&lt;&gt;""))),"")</f>
        <v/>
      </c>
      <c r="BO1880" s="53">
        <f ca="1">IFERROR(_xlfn.XLOOKUP(F1880,Apuração!A:A,Apuração!C:C)/_xlfn.XLOOKUP(F1880,Apuração!A:A,Apuração!B:B),0)</f>
        <v>0</v>
      </c>
      <c r="BP1880" s="53">
        <f ca="1">IFERROR(_xlfn.XLOOKUP(F1880,Apuração!A:A,Apuração!D:D)/_xlfn.XLOOKUP(F1880,Apuração!A:A,Apuração!B:B),0)</f>
        <v>0</v>
      </c>
      <c r="BQ1880" s="53">
        <f ca="1">IF(BK1880&gt;=BO1880,0,_xlfn.XLOOKUP(F1880,Apuração!A:A,Apuração!B:B)*(BO1880 + (1/_xlfn.XLOOKUP(F1880,Apuração!A:A,Apuração!B:B)) - BK1880))</f>
        <v>0</v>
      </c>
      <c r="BR1880" s="85">
        <f t="shared" ca="1" si="2185"/>
        <v>0</v>
      </c>
      <c r="BS1880" s="53">
        <f ca="1">IFERROR((_xlfn.XLOOKUP(F1880,Apuração!A:A,Apuração!C:C)+1)/_xlfn.XLOOKUP(F1880,Apuração!A:A,Apuração!B:B),0)</f>
        <v>0.14285714285714285</v>
      </c>
    </row>
    <row r="1881" spans="1:71" ht="25.95" hidden="1" customHeight="1" x14ac:dyDescent="0.3">
      <c r="A1881" s="33" t="s">
        <v>175</v>
      </c>
      <c r="B1881" s="4" t="s">
        <v>197</v>
      </c>
      <c r="C1881" s="5" t="s">
        <v>214</v>
      </c>
      <c r="D1881" s="5" t="s">
        <v>212</v>
      </c>
      <c r="E1881" s="4" t="s">
        <v>96</v>
      </c>
      <c r="F1881" s="4" t="str" cm="1">
        <f t="array" ref="F1881">_xlfn.IFS(
AG1881 &lt;&gt; "", "Jan-Dez/26",
AH1881 &lt;&gt; "", "Fev-Dez/26",
AI1881 &lt;&gt; "", "Mar-Dez/26", AJ1881 &lt;&gt; "", "Abr-Dez/26",
TRUE, "A partir de Junho"
)</f>
        <v>A partir de Junho</v>
      </c>
      <c r="G1881" s="4" t="s">
        <v>62</v>
      </c>
      <c r="H1881" s="7" t="s">
        <v>38</v>
      </c>
      <c r="I1881" s="8" t="s">
        <v>177</v>
      </c>
      <c r="J1881" s="8" t="str" cm="1">
        <f t="array" aca="1" ref="J1881" ca="1">_xlfn.LET(
  _xlpm.actual_value_month, INDEX(T1881:AE1881, MATCH(DATE(YEAR(TODAY()), MONTH(TODAY()), 1), $T$1:$AE$1, 0)),
  IF(_xlpm.actual_value_month &lt;&gt; "", _xlpm.actual_value_month &amp; " ações mensais", "")
)</f>
        <v/>
      </c>
      <c r="K1881" s="8" t="str" cm="1">
        <f t="array" ref="K1881">_xlfn.LET(
    _xlpm.sum_month, SUM(T1881:AE1881),
    IF(_xlpm.sum_month = 0, "", _xlpm.sum_month &amp; " certificados gerados.")
)</f>
        <v/>
      </c>
      <c r="L1881" s="9" t="s">
        <v>198</v>
      </c>
      <c r="M1881" s="13">
        <v>1</v>
      </c>
      <c r="N1881" s="5" t="s">
        <v>42</v>
      </c>
      <c r="O1881" s="5" t="s">
        <v>43</v>
      </c>
      <c r="P1881" s="10" t="s">
        <v>146</v>
      </c>
      <c r="Q1881" s="10" t="s">
        <v>44</v>
      </c>
      <c r="R1881" s="11" t="s">
        <v>179</v>
      </c>
      <c r="S1881" s="11" t="s">
        <v>67</v>
      </c>
      <c r="T1881" s="22"/>
      <c r="U1881" s="22"/>
      <c r="V1881" s="22"/>
      <c r="W1881" s="22"/>
      <c r="X1881" s="22"/>
      <c r="Y1881" s="22"/>
      <c r="Z1881" s="22"/>
      <c r="AA1881" s="22"/>
      <c r="AB1881" s="22"/>
      <c r="AC1881" s="22"/>
      <c r="AD1881" s="22"/>
      <c r="AE1881" s="22"/>
      <c r="AG1881" s="71"/>
      <c r="AH1881" s="71"/>
      <c r="AI1881" s="71"/>
      <c r="AJ1881" s="71"/>
      <c r="AK1881" s="71"/>
      <c r="AL1881" s="71"/>
      <c r="AM1881" s="71"/>
      <c r="AN1881" s="71"/>
      <c r="AO1881" s="71"/>
      <c r="AP1881" s="71"/>
      <c r="AQ1881" s="71"/>
      <c r="AR1881" s="71"/>
      <c r="AS1881" s="94" t="str" cm="1">
        <f t="array" ref="AS1881">IFERROR(INDEX(T1881:AE1881,1,MATCH(2,1/(T1881:AE1881&lt;&gt;""))),"")</f>
        <v/>
      </c>
      <c r="AT1881" s="95" t="str" cm="1">
        <f t="array" ref="AT1881">IFERROR(INDEX(AJ1881:AR1881,1,MATCH(2,1/(AJ1881:AR1881&lt;&gt;""))),"")</f>
        <v/>
      </c>
      <c r="AU1881" s="97" t="str">
        <f t="shared" si="2184"/>
        <v/>
      </c>
      <c r="AW1881" s="51"/>
      <c r="AX1881" s="51"/>
      <c r="AY1881" s="51"/>
      <c r="AZ1881" s="51"/>
      <c r="BA1881" s="51"/>
      <c r="BB1881" s="51"/>
      <c r="BC1881" s="51"/>
      <c r="BD1881" s="51"/>
      <c r="BE1881" s="51"/>
      <c r="BF1881" s="51"/>
      <c r="BG1881" s="51"/>
      <c r="BH1881" s="51"/>
      <c r="BI1881" s="65" t="str" cm="1">
        <f t="array" ref="BI1881">IFERROR(INDEX(AW1881:BH1881,1,MATCH(2,1/(AW1881:BH1881&lt;&gt;""))),"")</f>
        <v/>
      </c>
      <c r="BJ1881" s="68" t="str" cm="1">
        <f t="array" ref="BJ1881">IF(BM1881 = "", "",IFERROR(INDEX(AW1881:BH1881,1,MATCH(2,1/(AW1881:BH1881&lt;&gt;""),1)-1),""))</f>
        <v/>
      </c>
      <c r="BK1881" s="58" t="str" cm="1">
        <f t="array" ref="BK1881">IFERROR(INDEX(AW1881:BH1881,1,MATCH(2,1/(AW1881:BH1881&lt;&gt;""))),"")</f>
        <v/>
      </c>
      <c r="BL1881" s="58" t="str" cm="1">
        <f t="array" ref="BL1881">IFERROR(INDEX(AW1881:BH1881,1,MATCH(2,1/(AW1881:BH1881&lt;&gt;""),1)-1),"")</f>
        <v/>
      </c>
      <c r="BM1881" s="55" t="str" cm="1">
        <f t="array" ref="BM1881">IFERROR(
   INDEX($AW$1:$BH$1,
      _xlfn.AGGREGATE(14, 6, COLUMN($AW$1:$BH$1)/(AW1881:BH1881&lt;&gt;""), 2) - COLUMN($AW$1) + 1
   ),
"")</f>
        <v/>
      </c>
      <c r="BN1881" s="55" t="str" cm="1">
        <f t="array" ref="BN1881">IFERROR(INDEX($AW$1:$BH$1,1,MATCH(2,1/(AW1881:BH1881&lt;&gt;""))),"")</f>
        <v/>
      </c>
      <c r="BO1881" s="53">
        <f ca="1">IFERROR(_xlfn.XLOOKUP(F1881,Apuração!A:A,Apuração!C:C)/_xlfn.XLOOKUP(F1881,Apuração!A:A,Apuração!B:B),0)</f>
        <v>0</v>
      </c>
      <c r="BP1881" s="53">
        <f ca="1">IFERROR(_xlfn.XLOOKUP(F1881,Apuração!A:A,Apuração!D:D)/_xlfn.XLOOKUP(F1881,Apuração!A:A,Apuração!B:B),0)</f>
        <v>0</v>
      </c>
      <c r="BQ1881" s="53">
        <f ca="1">IF(BK1881&gt;=BO1881,0,_xlfn.XLOOKUP(F1881,Apuração!A:A,Apuração!B:B)*(BO1881 + (1/_xlfn.XLOOKUP(F1881,Apuração!A:A,Apuração!B:B)) - BK1881))</f>
        <v>0</v>
      </c>
      <c r="BR1881" s="85">
        <f t="shared" ca="1" si="2185"/>
        <v>0</v>
      </c>
      <c r="BS1881" s="53">
        <f ca="1">IFERROR((_xlfn.XLOOKUP(F1881,Apuração!A:A,Apuração!C:C)+1)/_xlfn.XLOOKUP(F1881,Apuração!A:A,Apuração!B:B),0)</f>
        <v>0.14285714285714285</v>
      </c>
    </row>
    <row r="1882" spans="1:71" ht="25.95" hidden="1" customHeight="1" x14ac:dyDescent="0.3">
      <c r="A1882" s="33" t="s">
        <v>175</v>
      </c>
      <c r="B1882" s="4" t="s">
        <v>197</v>
      </c>
      <c r="C1882" s="5" t="s">
        <v>214</v>
      </c>
      <c r="D1882" s="5" t="s">
        <v>48</v>
      </c>
      <c r="E1882" s="4" t="s">
        <v>96</v>
      </c>
      <c r="F1882" s="4" t="str" cm="1">
        <f t="array" ref="F1882">_xlfn.IFS(
AG1882 &lt;&gt; "", "Jan-Dez/26",
AH1882 &lt;&gt; "", "Fev-Dez/26",
AI1882 &lt;&gt; "", "Mar-Dez/26", AJ1882 &lt;&gt; "", "Abr-Dez/26",
TRUE, "A partir de Junho"
)</f>
        <v>A partir de Junho</v>
      </c>
      <c r="G1882" s="4" t="s">
        <v>62</v>
      </c>
      <c r="H1882" s="7" t="s">
        <v>38</v>
      </c>
      <c r="I1882" s="8" t="s">
        <v>177</v>
      </c>
      <c r="J1882" s="8" t="str" cm="1">
        <f t="array" aca="1" ref="J1882" ca="1">_xlfn.LET(
  _xlpm.actual_value_month, INDEX(T1882:AE1882, MATCH(DATE(YEAR(TODAY()), MONTH(TODAY()), 1), $T$1:$AE$1, 0)),
  IF(_xlpm.actual_value_month &lt;&gt; "", _xlpm.actual_value_month &amp; " ações mensais", "")
)</f>
        <v/>
      </c>
      <c r="K1882" s="8" t="str" cm="1">
        <f t="array" ref="K1882">_xlfn.LET(
    _xlpm.sum_month, SUM(T1882:AE1882),
    IF(_xlpm.sum_month = 0, "", _xlpm.sum_month &amp; " certificados gerados.")
)</f>
        <v/>
      </c>
      <c r="L1882" s="9" t="s">
        <v>198</v>
      </c>
      <c r="M1882" s="13">
        <v>1</v>
      </c>
      <c r="N1882" s="5" t="s">
        <v>42</v>
      </c>
      <c r="O1882" s="5" t="s">
        <v>43</v>
      </c>
      <c r="P1882" s="10" t="s">
        <v>146</v>
      </c>
      <c r="Q1882" s="10" t="s">
        <v>44</v>
      </c>
      <c r="R1882" s="11" t="s">
        <v>179</v>
      </c>
      <c r="S1882" s="11" t="s">
        <v>67</v>
      </c>
      <c r="T1882" s="22"/>
      <c r="U1882" s="22"/>
      <c r="V1882" s="22"/>
      <c r="W1882" s="22"/>
      <c r="X1882" s="22"/>
      <c r="Y1882" s="22"/>
      <c r="Z1882" s="22"/>
      <c r="AA1882" s="22"/>
      <c r="AB1882" s="22"/>
      <c r="AC1882" s="22"/>
      <c r="AD1882" s="22"/>
      <c r="AE1882" s="22"/>
      <c r="AG1882" s="71"/>
      <c r="AH1882" s="71"/>
      <c r="AI1882" s="71"/>
      <c r="AJ1882" s="71"/>
      <c r="AK1882" s="71"/>
      <c r="AL1882" s="71"/>
      <c r="AM1882" s="71"/>
      <c r="AN1882" s="71"/>
      <c r="AO1882" s="71"/>
      <c r="AP1882" s="71"/>
      <c r="AQ1882" s="71"/>
      <c r="AR1882" s="71"/>
      <c r="AS1882" s="94" t="str" cm="1">
        <f t="array" ref="AS1882">IFERROR(INDEX(T1882:AE1882,1,MATCH(2,1/(T1882:AE1882&lt;&gt;""))),"")</f>
        <v/>
      </c>
      <c r="AT1882" s="95" t="str" cm="1">
        <f t="array" ref="AT1882">IFERROR(INDEX(AJ1882:AR1882,1,MATCH(2,1/(AJ1882:AR1882&lt;&gt;""))),"")</f>
        <v/>
      </c>
      <c r="AU1882" s="97" t="str">
        <f t="shared" si="2184"/>
        <v/>
      </c>
      <c r="AW1882" s="51"/>
      <c r="AX1882" s="51"/>
      <c r="AY1882" s="51"/>
      <c r="AZ1882" s="51"/>
      <c r="BA1882" s="51"/>
      <c r="BB1882" s="51"/>
      <c r="BC1882" s="51"/>
      <c r="BD1882" s="51"/>
      <c r="BE1882" s="51"/>
      <c r="BF1882" s="51"/>
      <c r="BG1882" s="51"/>
      <c r="BH1882" s="51"/>
      <c r="BI1882" s="65" t="str" cm="1">
        <f t="array" ref="BI1882">IFERROR(INDEX(AW1882:BH1882,1,MATCH(2,1/(AW1882:BH1882&lt;&gt;""))),"")</f>
        <v/>
      </c>
      <c r="BJ1882" s="68" t="str" cm="1">
        <f t="array" ref="BJ1882">IF(BM1882 = "", "",IFERROR(INDEX(AW1882:BH1882,1,MATCH(2,1/(AW1882:BH1882&lt;&gt;""),1)-1),""))</f>
        <v/>
      </c>
      <c r="BK1882" s="58" t="str" cm="1">
        <f t="array" ref="BK1882">IFERROR(INDEX(AW1882:BH1882,1,MATCH(2,1/(AW1882:BH1882&lt;&gt;""))),"")</f>
        <v/>
      </c>
      <c r="BL1882" s="58" t="str" cm="1">
        <f t="array" ref="BL1882">IFERROR(INDEX(AW1882:BH1882,1,MATCH(2,1/(AW1882:BH1882&lt;&gt;""),1)-1),"")</f>
        <v/>
      </c>
      <c r="BM1882" s="55" t="str" cm="1">
        <f t="array" ref="BM1882">IFERROR(
   INDEX($AW$1:$BH$1,
      _xlfn.AGGREGATE(14, 6, COLUMN($AW$1:$BH$1)/(AW1882:BH1882&lt;&gt;""), 2) - COLUMN($AW$1) + 1
   ),
"")</f>
        <v/>
      </c>
      <c r="BN1882" s="55" t="str" cm="1">
        <f t="array" ref="BN1882">IFERROR(INDEX($AW$1:$BH$1,1,MATCH(2,1/(AW1882:BH1882&lt;&gt;""))),"")</f>
        <v/>
      </c>
      <c r="BO1882" s="53">
        <f ca="1">IFERROR(_xlfn.XLOOKUP(F1882,Apuração!A:A,Apuração!C:C)/_xlfn.XLOOKUP(F1882,Apuração!A:A,Apuração!B:B),0)</f>
        <v>0</v>
      </c>
      <c r="BP1882" s="53">
        <f ca="1">IFERROR(_xlfn.XLOOKUP(F1882,Apuração!A:A,Apuração!D:D)/_xlfn.XLOOKUP(F1882,Apuração!A:A,Apuração!B:B),0)</f>
        <v>0</v>
      </c>
      <c r="BQ1882" s="53">
        <f ca="1">IF(BK1882&gt;=BO1882,0,_xlfn.XLOOKUP(F1882,Apuração!A:A,Apuração!B:B)*(BO1882 + (1/_xlfn.XLOOKUP(F1882,Apuração!A:A,Apuração!B:B)) - BK1882))</f>
        <v>0</v>
      </c>
      <c r="BR1882" s="85">
        <f t="shared" ca="1" si="2185"/>
        <v>0</v>
      </c>
      <c r="BS1882" s="53">
        <f ca="1">IFERROR((_xlfn.XLOOKUP(F1882,Apuração!A:A,Apuração!C:C)+1)/_xlfn.XLOOKUP(F1882,Apuração!A:A,Apuração!B:B),0)</f>
        <v>0.14285714285714285</v>
      </c>
    </row>
    <row r="1883" spans="1:71" ht="25.95" hidden="1" customHeight="1" x14ac:dyDescent="0.3">
      <c r="A1883" s="33" t="s">
        <v>175</v>
      </c>
      <c r="B1883" s="4" t="s">
        <v>197</v>
      </c>
      <c r="C1883" s="5" t="s">
        <v>214</v>
      </c>
      <c r="D1883" s="5" t="s">
        <v>213</v>
      </c>
      <c r="E1883" s="4" t="s">
        <v>96</v>
      </c>
      <c r="F1883" s="4" t="str" cm="1">
        <f t="array" ref="F1883">_xlfn.IFS(
AG1883 &lt;&gt; "", "Jan-Dez/26",
AH1883 &lt;&gt; "", "Fev-Dez/26",
AI1883 &lt;&gt; "", "Mar-Dez/26", AJ1883 &lt;&gt; "", "Abr-Dez/26",
TRUE, "A partir de Junho"
)</f>
        <v>A partir de Junho</v>
      </c>
      <c r="G1883" s="4" t="s">
        <v>62</v>
      </c>
      <c r="H1883" s="7" t="s">
        <v>38</v>
      </c>
      <c r="I1883" s="8" t="s">
        <v>177</v>
      </c>
      <c r="J1883" s="8" t="str" cm="1">
        <f t="array" aca="1" ref="J1883" ca="1">_xlfn.LET(
  _xlpm.actual_value_month, INDEX(T1883:AE1883, MATCH(DATE(YEAR(TODAY()), MONTH(TODAY()), 1), $T$1:$AE$1, 0)),
  IF(_xlpm.actual_value_month &lt;&gt; "", _xlpm.actual_value_month &amp; " ações mensais", "")
)</f>
        <v/>
      </c>
      <c r="K1883" s="8" t="str" cm="1">
        <f t="array" ref="K1883">_xlfn.LET(
    _xlpm.sum_month, SUM(T1883:AE1883),
    IF(_xlpm.sum_month = 0, "", _xlpm.sum_month &amp; " certificados gerados.")
)</f>
        <v/>
      </c>
      <c r="L1883" s="9" t="s">
        <v>198</v>
      </c>
      <c r="M1883" s="13">
        <v>1</v>
      </c>
      <c r="N1883" s="5" t="s">
        <v>42</v>
      </c>
      <c r="O1883" s="5" t="s">
        <v>43</v>
      </c>
      <c r="P1883" s="10" t="s">
        <v>146</v>
      </c>
      <c r="Q1883" s="10" t="s">
        <v>44</v>
      </c>
      <c r="R1883" s="11" t="s">
        <v>179</v>
      </c>
      <c r="S1883" s="11" t="s">
        <v>67</v>
      </c>
      <c r="T1883" s="22"/>
      <c r="U1883" s="22"/>
      <c r="V1883" s="22"/>
      <c r="W1883" s="22"/>
      <c r="X1883" s="22"/>
      <c r="Y1883" s="22"/>
      <c r="Z1883" s="22"/>
      <c r="AA1883" s="22"/>
      <c r="AB1883" s="22"/>
      <c r="AC1883" s="22"/>
      <c r="AD1883" s="22"/>
      <c r="AE1883" s="22"/>
      <c r="AG1883" s="71"/>
      <c r="AH1883" s="71"/>
      <c r="AI1883" s="71"/>
      <c r="AJ1883" s="71"/>
      <c r="AK1883" s="71"/>
      <c r="AL1883" s="71"/>
      <c r="AM1883" s="71"/>
      <c r="AN1883" s="71"/>
      <c r="AO1883" s="71"/>
      <c r="AP1883" s="71"/>
      <c r="AQ1883" s="71"/>
      <c r="AR1883" s="71"/>
      <c r="AS1883" s="94" t="str" cm="1">
        <f t="array" ref="AS1883">IFERROR(INDEX(T1883:AE1883,1,MATCH(2,1/(T1883:AE1883&lt;&gt;""))),"")</f>
        <v/>
      </c>
      <c r="AT1883" s="95" t="str" cm="1">
        <f t="array" ref="AT1883">IFERROR(INDEX(AJ1883:AR1883,1,MATCH(2,1/(AJ1883:AR1883&lt;&gt;""))),"")</f>
        <v/>
      </c>
      <c r="AU1883" s="97" t="str">
        <f t="shared" si="2184"/>
        <v/>
      </c>
      <c r="AW1883" s="51"/>
      <c r="AX1883" s="51"/>
      <c r="AY1883" s="51"/>
      <c r="AZ1883" s="51"/>
      <c r="BA1883" s="51"/>
      <c r="BB1883" s="51"/>
      <c r="BC1883" s="51"/>
      <c r="BD1883" s="51"/>
      <c r="BE1883" s="51"/>
      <c r="BF1883" s="51"/>
      <c r="BG1883" s="51"/>
      <c r="BH1883" s="51"/>
      <c r="BI1883" s="65" t="str" cm="1">
        <f t="array" ref="BI1883">IFERROR(INDEX(AW1883:BH1883,1,MATCH(2,1/(AW1883:BH1883&lt;&gt;""))),"")</f>
        <v/>
      </c>
      <c r="BJ1883" s="68" t="str" cm="1">
        <f t="array" ref="BJ1883">IF(BM1883 = "", "",IFERROR(INDEX(AW1883:BH1883,1,MATCH(2,1/(AW1883:BH1883&lt;&gt;""),1)-1),""))</f>
        <v/>
      </c>
      <c r="BK1883" s="58" t="str" cm="1">
        <f t="array" ref="BK1883">IFERROR(INDEX(AW1883:BH1883,1,MATCH(2,1/(AW1883:BH1883&lt;&gt;""))),"")</f>
        <v/>
      </c>
      <c r="BL1883" s="58" t="str" cm="1">
        <f t="array" ref="BL1883">IFERROR(INDEX(AW1883:BH1883,1,MATCH(2,1/(AW1883:BH1883&lt;&gt;""),1)-1),"")</f>
        <v/>
      </c>
      <c r="BM1883" s="55" t="str" cm="1">
        <f t="array" ref="BM1883">IFERROR(
   INDEX($AW$1:$BH$1,
      _xlfn.AGGREGATE(14, 6, COLUMN($AW$1:$BH$1)/(AW1883:BH1883&lt;&gt;""), 2) - COLUMN($AW$1) + 1
   ),
"")</f>
        <v/>
      </c>
      <c r="BN1883" s="55" t="str" cm="1">
        <f t="array" ref="BN1883">IFERROR(INDEX($AW$1:$BH$1,1,MATCH(2,1/(AW1883:BH1883&lt;&gt;""))),"")</f>
        <v/>
      </c>
      <c r="BO1883" s="53">
        <f ca="1">IFERROR(_xlfn.XLOOKUP(F1883,Apuração!A:A,Apuração!C:C)/_xlfn.XLOOKUP(F1883,Apuração!A:A,Apuração!B:B),0)</f>
        <v>0</v>
      </c>
      <c r="BP1883" s="53">
        <f ca="1">IFERROR(_xlfn.XLOOKUP(F1883,Apuração!A:A,Apuração!D:D)/_xlfn.XLOOKUP(F1883,Apuração!A:A,Apuração!B:B),0)</f>
        <v>0</v>
      </c>
      <c r="BQ1883" s="53">
        <f ca="1">IF(BK1883&gt;=BO1883,0,_xlfn.XLOOKUP(F1883,Apuração!A:A,Apuração!B:B)*(BO1883 + (1/_xlfn.XLOOKUP(F1883,Apuração!A:A,Apuração!B:B)) - BK1883))</f>
        <v>0</v>
      </c>
      <c r="BR1883" s="85">
        <f t="shared" ca="1" si="2185"/>
        <v>0</v>
      </c>
      <c r="BS1883" s="53">
        <f ca="1">IFERROR((_xlfn.XLOOKUP(F1883,Apuração!A:A,Apuração!C:C)+1)/_xlfn.XLOOKUP(F1883,Apuração!A:A,Apuração!B:B),0)</f>
        <v>0.14285714285714285</v>
      </c>
    </row>
    <row r="1884" spans="1:71" ht="25.95" hidden="1" customHeight="1" x14ac:dyDescent="0.3">
      <c r="A1884" s="44" t="s">
        <v>175</v>
      </c>
      <c r="B1884" s="4" t="s">
        <v>197</v>
      </c>
      <c r="C1884" s="5" t="s">
        <v>214</v>
      </c>
      <c r="D1884" s="5" t="s">
        <v>36</v>
      </c>
      <c r="E1884" s="4" t="s">
        <v>96</v>
      </c>
      <c r="F1884" s="4" t="str" cm="1">
        <f t="array" ref="F1884">_xlfn.IFS(
AG1884 &lt;&gt; "", "Jan-Dez/26",
AH1884 &lt;&gt; "", "Fev-Dez/26",
AI1884 &lt;&gt; "", "Mar-Dez/26", AJ1884 &lt;&gt; "", "Abr-Dez/26",
TRUE, "A partir de Junho"
)</f>
        <v>A partir de Junho</v>
      </c>
      <c r="G1884" s="4" t="s">
        <v>62</v>
      </c>
      <c r="H1884" s="7" t="s">
        <v>38</v>
      </c>
      <c r="I1884" s="21" t="s">
        <v>180</v>
      </c>
      <c r="J1884" s="8" t="str" cm="1">
        <f t="array" aca="1" ref="J1884" ca="1">_xlfn.LET(
  _xlpm.actual_value_month, INDEX(T1884:AE1884, MATCH(DATE(YEAR(TODAY()), MONTH(TODAY()), 1), $T$1:$AE$1, 0)),
  IF(_xlpm.actual_value_month &lt;&gt; "", _xlpm.actual_value_month &amp; " ações mensais", "")
)</f>
        <v/>
      </c>
      <c r="K1884" s="34" t="str" cm="1">
        <f t="array" ref="K1884">_xlfn.LET(
    _xlpm.sum_month, SUM(T1884:AE1884),
    IF(_xlpm.sum_month = 0, "", _xlpm.sum_month &amp; " colaboradores treinados.")
)</f>
        <v/>
      </c>
      <c r="L1884" s="9" t="s">
        <v>199</v>
      </c>
      <c r="M1884" s="13">
        <v>1</v>
      </c>
      <c r="N1884" s="5" t="s">
        <v>51</v>
      </c>
      <c r="O1884" s="5" t="s">
        <v>52</v>
      </c>
      <c r="P1884" s="10" t="s">
        <v>146</v>
      </c>
      <c r="Q1884" s="10" t="s">
        <v>44</v>
      </c>
      <c r="R1884" s="11" t="s">
        <v>44</v>
      </c>
      <c r="S1884" s="11" t="s">
        <v>44</v>
      </c>
      <c r="T1884" s="22"/>
      <c r="U1884" s="22"/>
      <c r="V1884" s="22"/>
      <c r="W1884" s="22"/>
      <c r="X1884" s="22"/>
      <c r="Y1884" s="22"/>
      <c r="Z1884" s="22"/>
      <c r="AA1884" s="22"/>
      <c r="AB1884" s="22"/>
      <c r="AC1884" s="22"/>
      <c r="AD1884" s="22"/>
      <c r="AE1884" s="22"/>
      <c r="AG1884" s="71"/>
      <c r="AH1884" s="71"/>
      <c r="AI1884" s="71"/>
      <c r="AJ1884" s="71"/>
      <c r="AK1884" s="71"/>
      <c r="AL1884" s="71"/>
      <c r="AM1884" s="71"/>
      <c r="AN1884" s="71"/>
      <c r="AO1884" s="71"/>
      <c r="AP1884" s="71"/>
      <c r="AQ1884" s="71"/>
      <c r="AR1884" s="71"/>
      <c r="AS1884" s="94" t="str" cm="1">
        <f t="array" ref="AS1884">IFERROR(INDEX(T1884:AE1884,1,MATCH(2,1/(T1884:AE1884&lt;&gt;""))),"")</f>
        <v/>
      </c>
      <c r="AT1884" s="95" t="str" cm="1">
        <f t="array" ref="AT1884">IFERROR(INDEX(AJ1884:AR1884,1,MATCH(2,1/(AJ1884:AR1884&lt;&gt;""))),"")</f>
        <v/>
      </c>
      <c r="AU1884" s="97" t="str">
        <f>AT1884</f>
        <v/>
      </c>
      <c r="AW1884" s="52">
        <f>AG1884</f>
        <v>0</v>
      </c>
      <c r="AX1884" s="52"/>
      <c r="AY1884" s="52"/>
      <c r="AZ1884" s="52"/>
      <c r="BA1884" s="52"/>
      <c r="BB1884" s="52"/>
      <c r="BC1884" s="52"/>
      <c r="BD1884" s="52"/>
      <c r="BE1884" s="52"/>
      <c r="BF1884" s="52"/>
      <c r="BG1884" s="52"/>
      <c r="BH1884" s="52"/>
      <c r="BI1884" s="68" cm="1">
        <f t="array" ref="BI1884">IFERROR(INDEX(AW1884:BH1884,1,MATCH(2,1/(AW1884:BH1884&lt;&gt;""))),"")</f>
        <v>0</v>
      </c>
      <c r="BJ1884" s="68" t="str" cm="1">
        <f t="array" ref="BJ1884">IF(BM1884 = "", "",IFERROR(INDEX(AW1884:BH1884,1,MATCH(2,1/(AW1884:BH1884&lt;&gt;""),1)-1),""))</f>
        <v/>
      </c>
      <c r="BK1884" s="59">
        <f>SUM(AW1884:BH1884)</f>
        <v>0</v>
      </c>
      <c r="BL1884" s="59" cm="1">
        <f t="array" ref="BL1884">IFERROR(SUM(AW1884:INDEX(AW1884:BH1884, MATCH(2, 1/(AW1884:BH1884&lt;&gt;""), 1) - 1))/_xlfn.XLOOKUP(F1884,Apuração!A:A,Apuração!B:B),0)</f>
        <v>0</v>
      </c>
      <c r="BM1884" s="55" t="str" cm="1">
        <f t="array" ref="BM1884">IFERROR(
   INDEX($AW$1:$BH$1,
      _xlfn.AGGREGATE(14, 6, COLUMN($AW$1:$BH$1)/(AW1884:BH1884&lt;&gt;""), 2) - COLUMN($AW$1) + 1
   ),
"")</f>
        <v/>
      </c>
      <c r="BN1884" s="55" cm="1">
        <f t="array" ref="BN1884">IFERROR(INDEX($AW$1:$BH$1,1,MATCH(2,1/(AW1884:BH1884&lt;&gt;""))),"")</f>
        <v>46023</v>
      </c>
      <c r="BO1884" s="53">
        <f ca="1">IFERROR(_xlfn.XLOOKUP(F1884,Apuração!A:A,Apuração!C:C)/_xlfn.XLOOKUP(F1884,Apuração!A:A,Apuração!B:B),0)</f>
        <v>0</v>
      </c>
      <c r="BP1884" s="53">
        <f ca="1">IFERROR(_xlfn.XLOOKUP(F1884,Apuração!A:A,Apuração!D:D)/_xlfn.XLOOKUP(F1884,Apuração!A:A,Apuração!B:B),0)</f>
        <v>0</v>
      </c>
      <c r="BQ1884" s="53">
        <f ca="1">IF(BK1884&gt;=BO1884,0,_xlfn.XLOOKUP(F1884,Apuração!A:A,Apuração!B:B)*(BO1884 + (1/_xlfn.XLOOKUP(F1884,Apuração!A:A,Apuração!B:B)) - BK1884))</f>
        <v>0</v>
      </c>
      <c r="BR1884" s="85">
        <f ca="1">IF(BQ1884=0,0,BQ1884*Z1884)</f>
        <v>0</v>
      </c>
      <c r="BS1884" s="53">
        <f ca="1">IFERROR((_xlfn.XLOOKUP(F1884,Apuração!A:A,Apuração!C:C)+1)/_xlfn.XLOOKUP(F1884,Apuração!A:A,Apuração!B:B),0)</f>
        <v>0.14285714285714285</v>
      </c>
    </row>
    <row r="1885" spans="1:71" ht="25.95" hidden="1" customHeight="1" x14ac:dyDescent="0.3">
      <c r="A1885" s="44" t="s">
        <v>175</v>
      </c>
      <c r="B1885" s="4" t="s">
        <v>197</v>
      </c>
      <c r="C1885" s="5" t="s">
        <v>214</v>
      </c>
      <c r="D1885" s="5" t="s">
        <v>210</v>
      </c>
      <c r="E1885" s="4" t="s">
        <v>96</v>
      </c>
      <c r="F1885" s="4" t="str" cm="1">
        <f t="array" ref="F1885">_xlfn.IFS(
AG1885 &lt;&gt; "", "Jan-Dez/26",
AH1885 &lt;&gt; "", "Fev-Dez/26",
AI1885 &lt;&gt; "", "Mar-Dez/26", AJ1885 &lt;&gt; "", "Abr-Dez/26",
TRUE, "A partir de Junho"
)</f>
        <v>A partir de Junho</v>
      </c>
      <c r="G1885" s="4" t="s">
        <v>62</v>
      </c>
      <c r="H1885" s="7" t="s">
        <v>38</v>
      </c>
      <c r="I1885" s="21" t="s">
        <v>180</v>
      </c>
      <c r="J1885" s="8" t="str" cm="1">
        <f t="array" aca="1" ref="J1885" ca="1">_xlfn.LET(
  _xlpm.actual_value_month, INDEX(T1885:AE1885, MATCH(DATE(YEAR(TODAY()), MONTH(TODAY()), 1), $T$1:$AE$1, 0)),
  IF(_xlpm.actual_value_month &lt;&gt; "", _xlpm.actual_value_month &amp; " ações mensais", "")
)</f>
        <v/>
      </c>
      <c r="K1885" s="34" t="str" cm="1">
        <f t="array" ref="K1885">_xlfn.LET(
    _xlpm.sum_month, SUM(T1885:AE1885),
    IF(_xlpm.sum_month = 0, "", _xlpm.sum_month &amp; " colaboradores treinados.")
)</f>
        <v/>
      </c>
      <c r="L1885" s="9" t="s">
        <v>199</v>
      </c>
      <c r="M1885" s="13">
        <v>1</v>
      </c>
      <c r="N1885" s="5" t="s">
        <v>51</v>
      </c>
      <c r="O1885" s="5" t="s">
        <v>52</v>
      </c>
      <c r="P1885" s="10" t="s">
        <v>146</v>
      </c>
      <c r="Q1885" s="10" t="s">
        <v>44</v>
      </c>
      <c r="R1885" s="11" t="s">
        <v>44</v>
      </c>
      <c r="S1885" s="11" t="s">
        <v>44</v>
      </c>
      <c r="T1885" s="22"/>
      <c r="U1885" s="22"/>
      <c r="V1885" s="22"/>
      <c r="W1885" s="22"/>
      <c r="X1885" s="22"/>
      <c r="Y1885" s="22"/>
      <c r="Z1885" s="22"/>
      <c r="AA1885" s="22"/>
      <c r="AB1885" s="22"/>
      <c r="AC1885" s="22"/>
      <c r="AD1885" s="22"/>
      <c r="AE1885" s="22"/>
      <c r="AG1885" s="71"/>
      <c r="AH1885" s="71"/>
      <c r="AI1885" s="71"/>
      <c r="AJ1885" s="71"/>
      <c r="AK1885" s="71"/>
      <c r="AL1885" s="71"/>
      <c r="AM1885" s="71"/>
      <c r="AN1885" s="71"/>
      <c r="AO1885" s="71"/>
      <c r="AP1885" s="71"/>
      <c r="AQ1885" s="71"/>
      <c r="AR1885" s="71"/>
      <c r="AS1885" s="94" t="str" cm="1">
        <f t="array" ref="AS1885">IFERROR(INDEX(T1885:AE1885,1,MATCH(2,1/(T1885:AE1885&lt;&gt;""))),"")</f>
        <v/>
      </c>
      <c r="AT1885" s="95" t="str" cm="1">
        <f t="array" ref="AT1885">IFERROR(INDEX(AJ1885:AR1885,1,MATCH(2,1/(AJ1885:AR1885&lt;&gt;""))),"")</f>
        <v/>
      </c>
      <c r="AU1885" s="97" t="str">
        <f t="shared" ref="AU1885:AU1889" si="2186">AT1885</f>
        <v/>
      </c>
      <c r="AW1885" s="52">
        <f t="shared" ref="AW1885:AW1888" si="2187">AG1885</f>
        <v>0</v>
      </c>
      <c r="AX1885" s="52"/>
      <c r="AY1885" s="52"/>
      <c r="AZ1885" s="52"/>
      <c r="BA1885" s="52"/>
      <c r="BB1885" s="52"/>
      <c r="BC1885" s="52"/>
      <c r="BD1885" s="52"/>
      <c r="BE1885" s="52"/>
      <c r="BF1885" s="52"/>
      <c r="BG1885" s="52"/>
      <c r="BH1885" s="52"/>
      <c r="BI1885" s="68" cm="1">
        <f t="array" ref="BI1885">IFERROR(INDEX(AW1885:BH1885,1,MATCH(2,1/(AW1885:BH1885&lt;&gt;""))),"")</f>
        <v>0</v>
      </c>
      <c r="BJ1885" s="68" t="str" cm="1">
        <f t="array" ref="BJ1885">IF(BM1885 = "", "",IFERROR(INDEX(AW1885:BH1885,1,MATCH(2,1/(AW1885:BH1885&lt;&gt;""),1)-1),""))</f>
        <v/>
      </c>
      <c r="BK1885" s="59">
        <f t="shared" ref="BK1885:BK1888" si="2188">SUM(AW1885:BH1885)</f>
        <v>0</v>
      </c>
      <c r="BL1885" s="59" cm="1">
        <f t="array" ref="BL1885">IFERROR(SUM(AW1885:INDEX(AW1885:BH1885, MATCH(2, 1/(AW1885:BH1885&lt;&gt;""), 1) - 1))/_xlfn.XLOOKUP(F1885,Apuração!A:A,Apuração!B:B),0)</f>
        <v>0</v>
      </c>
      <c r="BM1885" s="55" t="str" cm="1">
        <f t="array" ref="BM1885">IFERROR(
   INDEX($AW$1:$BH$1,
      _xlfn.AGGREGATE(14, 6, COLUMN($AW$1:$BH$1)/(AW1885:BH1885&lt;&gt;""), 2) - COLUMN($AW$1) + 1
   ),
"")</f>
        <v/>
      </c>
      <c r="BN1885" s="55" cm="1">
        <f t="array" ref="BN1885">IFERROR(INDEX($AW$1:$BH$1,1,MATCH(2,1/(AW1885:BH1885&lt;&gt;""))),"")</f>
        <v>46023</v>
      </c>
      <c r="BO1885" s="53">
        <f ca="1">IFERROR(_xlfn.XLOOKUP(F1885,Apuração!A:A,Apuração!C:C)/_xlfn.XLOOKUP(F1885,Apuração!A:A,Apuração!B:B),0)</f>
        <v>0</v>
      </c>
      <c r="BP1885" s="53">
        <f ca="1">IFERROR(_xlfn.XLOOKUP(F1885,Apuração!A:A,Apuração!D:D)/_xlfn.XLOOKUP(F1885,Apuração!A:A,Apuração!B:B),0)</f>
        <v>0</v>
      </c>
      <c r="BQ1885" s="53">
        <f ca="1">IF(BK1885&gt;=BO1885,0,_xlfn.XLOOKUP(F1885,Apuração!A:A,Apuração!B:B)*(BO1885 + (1/_xlfn.XLOOKUP(F1885,Apuração!A:A,Apuração!B:B)) - BK1885))</f>
        <v>0</v>
      </c>
      <c r="BR1885" s="85">
        <f t="shared" ref="BR1885:BR1888" ca="1" si="2189">IF(BQ1885=0,0,BQ1885*Z1885)</f>
        <v>0</v>
      </c>
      <c r="BS1885" s="53">
        <f ca="1">IFERROR((_xlfn.XLOOKUP(F1885,Apuração!A:A,Apuração!C:C)+1)/_xlfn.XLOOKUP(F1885,Apuração!A:A,Apuração!B:B),0)</f>
        <v>0.14285714285714285</v>
      </c>
    </row>
    <row r="1886" spans="1:71" ht="25.95" hidden="1" customHeight="1" x14ac:dyDescent="0.3">
      <c r="A1886" s="44" t="s">
        <v>175</v>
      </c>
      <c r="B1886" s="4" t="s">
        <v>197</v>
      </c>
      <c r="C1886" s="5" t="s">
        <v>214</v>
      </c>
      <c r="D1886" s="5" t="s">
        <v>215</v>
      </c>
      <c r="E1886" s="4" t="s">
        <v>96</v>
      </c>
      <c r="F1886" s="4" t="str" cm="1">
        <f t="array" ref="F1886">_xlfn.IFS(
AG1886 &lt;&gt; "", "Jan-Dez/26",
AH1886 &lt;&gt; "", "Fev-Dez/26",
AI1886 &lt;&gt; "", "Mar-Dez/26", AJ1886 &lt;&gt; "", "Abr-Dez/26",
TRUE, "A partir de Junho"
)</f>
        <v>A partir de Junho</v>
      </c>
      <c r="G1886" s="4" t="s">
        <v>62</v>
      </c>
      <c r="H1886" s="7" t="s">
        <v>38</v>
      </c>
      <c r="I1886" s="21" t="s">
        <v>180</v>
      </c>
      <c r="J1886" s="8" t="str" cm="1">
        <f t="array" aca="1" ref="J1886" ca="1">_xlfn.LET(
  _xlpm.actual_value_month, INDEX(T1886:AE1886, MATCH(DATE(YEAR(TODAY()), MONTH(TODAY()), 1), $T$1:$AE$1, 0)),
  IF(_xlpm.actual_value_month &lt;&gt; "", _xlpm.actual_value_month &amp; " ações mensais", "")
)</f>
        <v/>
      </c>
      <c r="K1886" s="34" t="str" cm="1">
        <f t="array" ref="K1886">_xlfn.LET(
    _xlpm.sum_month, SUM(T1886:AE1886),
    IF(_xlpm.sum_month = 0, "", _xlpm.sum_month &amp; " colaboradores treinados.")
)</f>
        <v/>
      </c>
      <c r="L1886" s="9" t="s">
        <v>199</v>
      </c>
      <c r="M1886" s="13">
        <v>1</v>
      </c>
      <c r="N1886" s="5" t="s">
        <v>51</v>
      </c>
      <c r="O1886" s="5" t="s">
        <v>52</v>
      </c>
      <c r="P1886" s="10" t="s">
        <v>146</v>
      </c>
      <c r="Q1886" s="10" t="s">
        <v>44</v>
      </c>
      <c r="R1886" s="11" t="s">
        <v>44</v>
      </c>
      <c r="S1886" s="11" t="s">
        <v>44</v>
      </c>
      <c r="T1886" s="22"/>
      <c r="U1886" s="22"/>
      <c r="V1886" s="22"/>
      <c r="W1886" s="22"/>
      <c r="X1886" s="22"/>
      <c r="Y1886" s="22"/>
      <c r="Z1886" s="22"/>
      <c r="AA1886" s="22"/>
      <c r="AB1886" s="22"/>
      <c r="AC1886" s="22"/>
      <c r="AD1886" s="22"/>
      <c r="AE1886" s="22"/>
      <c r="AG1886" s="71"/>
      <c r="AH1886" s="71"/>
      <c r="AI1886" s="71"/>
      <c r="AJ1886" s="71"/>
      <c r="AK1886" s="71"/>
      <c r="AL1886" s="71"/>
      <c r="AM1886" s="71"/>
      <c r="AN1886" s="71"/>
      <c r="AO1886" s="71"/>
      <c r="AP1886" s="71"/>
      <c r="AQ1886" s="71"/>
      <c r="AR1886" s="71"/>
      <c r="AS1886" s="94" t="str" cm="1">
        <f t="array" ref="AS1886">IFERROR(INDEX(T1886:AE1886,1,MATCH(2,1/(T1886:AE1886&lt;&gt;""))),"")</f>
        <v/>
      </c>
      <c r="AT1886" s="95" t="str" cm="1">
        <f t="array" ref="AT1886">IFERROR(INDEX(AJ1886:AR1886,1,MATCH(2,1/(AJ1886:AR1886&lt;&gt;""))),"")</f>
        <v/>
      </c>
      <c r="AU1886" s="97" t="str">
        <f t="shared" si="2186"/>
        <v/>
      </c>
      <c r="AW1886" s="52">
        <f t="shared" si="2187"/>
        <v>0</v>
      </c>
      <c r="AX1886" s="52"/>
      <c r="AY1886" s="52"/>
      <c r="AZ1886" s="52"/>
      <c r="BA1886" s="52"/>
      <c r="BB1886" s="52"/>
      <c r="BC1886" s="52"/>
      <c r="BD1886" s="52"/>
      <c r="BE1886" s="52"/>
      <c r="BF1886" s="52"/>
      <c r="BG1886" s="52"/>
      <c r="BH1886" s="52"/>
      <c r="BI1886" s="68" cm="1">
        <f t="array" ref="BI1886">IFERROR(INDEX(AW1886:BH1886,1,MATCH(2,1/(AW1886:BH1886&lt;&gt;""))),"")</f>
        <v>0</v>
      </c>
      <c r="BJ1886" s="68" t="str" cm="1">
        <f t="array" ref="BJ1886">IF(BM1886 = "", "",IFERROR(INDEX(AW1886:BH1886,1,MATCH(2,1/(AW1886:BH1886&lt;&gt;""),1)-1),""))</f>
        <v/>
      </c>
      <c r="BK1886" s="59">
        <f t="shared" si="2188"/>
        <v>0</v>
      </c>
      <c r="BL1886" s="59" cm="1">
        <f t="array" ref="BL1886">IFERROR(SUM(AW1886:INDEX(AW1886:BH1886, MATCH(2, 1/(AW1886:BH1886&lt;&gt;""), 1) - 1))/_xlfn.XLOOKUP(F1886,Apuração!A:A,Apuração!B:B),0)</f>
        <v>0</v>
      </c>
      <c r="BM1886" s="55" t="str" cm="1">
        <f t="array" ref="BM1886">IFERROR(
   INDEX($AW$1:$BH$1,
      _xlfn.AGGREGATE(14, 6, COLUMN($AW$1:$BH$1)/(AW1886:BH1886&lt;&gt;""), 2) - COLUMN($AW$1) + 1
   ),
"")</f>
        <v/>
      </c>
      <c r="BN1886" s="55" cm="1">
        <f t="array" ref="BN1886">IFERROR(INDEX($AW$1:$BH$1,1,MATCH(2,1/(AW1886:BH1886&lt;&gt;""))),"")</f>
        <v>46023</v>
      </c>
      <c r="BO1886" s="53">
        <f ca="1">IFERROR(_xlfn.XLOOKUP(F1886,Apuração!A:A,Apuração!C:C)/_xlfn.XLOOKUP(F1886,Apuração!A:A,Apuração!B:B),0)</f>
        <v>0</v>
      </c>
      <c r="BP1886" s="53">
        <f ca="1">IFERROR(_xlfn.XLOOKUP(F1886,Apuração!A:A,Apuração!D:D)/_xlfn.XLOOKUP(F1886,Apuração!A:A,Apuração!B:B),0)</f>
        <v>0</v>
      </c>
      <c r="BQ1886" s="53">
        <f ca="1">IF(BK1886&gt;=BO1886,0,_xlfn.XLOOKUP(F1886,Apuração!A:A,Apuração!B:B)*(BO1886 + (1/_xlfn.XLOOKUP(F1886,Apuração!A:A,Apuração!B:B)) - BK1886))</f>
        <v>0</v>
      </c>
      <c r="BR1886" s="85">
        <f t="shared" ca="1" si="2189"/>
        <v>0</v>
      </c>
      <c r="BS1886" s="53">
        <f ca="1">IFERROR((_xlfn.XLOOKUP(F1886,Apuração!A:A,Apuração!C:C)+1)/_xlfn.XLOOKUP(F1886,Apuração!A:A,Apuração!B:B),0)</f>
        <v>0.14285714285714285</v>
      </c>
    </row>
    <row r="1887" spans="1:71" ht="25.95" hidden="1" customHeight="1" x14ac:dyDescent="0.3">
      <c r="A1887" s="44" t="s">
        <v>175</v>
      </c>
      <c r="B1887" s="4" t="s">
        <v>197</v>
      </c>
      <c r="C1887" s="5" t="s">
        <v>214</v>
      </c>
      <c r="D1887" s="5" t="s">
        <v>212</v>
      </c>
      <c r="E1887" s="4" t="s">
        <v>96</v>
      </c>
      <c r="F1887" s="4" t="str" cm="1">
        <f t="array" ref="F1887">_xlfn.IFS(
AG1887 &lt;&gt; "", "Jan-Dez/26",
AH1887 &lt;&gt; "", "Fev-Dez/26",
AI1887 &lt;&gt; "", "Mar-Dez/26", AJ1887 &lt;&gt; "", "Abr-Dez/26",
TRUE, "A partir de Junho"
)</f>
        <v>A partir de Junho</v>
      </c>
      <c r="G1887" s="4" t="s">
        <v>62</v>
      </c>
      <c r="H1887" s="7" t="s">
        <v>38</v>
      </c>
      <c r="I1887" s="21" t="s">
        <v>180</v>
      </c>
      <c r="J1887" s="8" t="str" cm="1">
        <f t="array" aca="1" ref="J1887" ca="1">_xlfn.LET(
  _xlpm.actual_value_month, INDEX(T1887:AE1887, MATCH(DATE(YEAR(TODAY()), MONTH(TODAY()), 1), $T$1:$AE$1, 0)),
  IF(_xlpm.actual_value_month &lt;&gt; "", _xlpm.actual_value_month &amp; " ações mensais", "")
)</f>
        <v/>
      </c>
      <c r="K1887" s="34" t="str" cm="1">
        <f t="array" ref="K1887">_xlfn.LET(
    _xlpm.sum_month, SUM(T1887:AE1887),
    IF(_xlpm.sum_month = 0, "", _xlpm.sum_month &amp; " colaboradores treinados.")
)</f>
        <v/>
      </c>
      <c r="L1887" s="9" t="s">
        <v>199</v>
      </c>
      <c r="M1887" s="13">
        <v>1</v>
      </c>
      <c r="N1887" s="5" t="s">
        <v>51</v>
      </c>
      <c r="O1887" s="5" t="s">
        <v>52</v>
      </c>
      <c r="P1887" s="10" t="s">
        <v>146</v>
      </c>
      <c r="Q1887" s="10" t="s">
        <v>44</v>
      </c>
      <c r="R1887" s="11" t="s">
        <v>44</v>
      </c>
      <c r="S1887" s="11" t="s">
        <v>44</v>
      </c>
      <c r="T1887" s="22"/>
      <c r="U1887" s="22"/>
      <c r="V1887" s="22"/>
      <c r="W1887" s="22"/>
      <c r="X1887" s="22"/>
      <c r="Y1887" s="22"/>
      <c r="Z1887" s="22"/>
      <c r="AA1887" s="22"/>
      <c r="AB1887" s="22"/>
      <c r="AC1887" s="22"/>
      <c r="AD1887" s="22"/>
      <c r="AE1887" s="22"/>
      <c r="AG1887" s="71"/>
      <c r="AH1887" s="71"/>
      <c r="AI1887" s="71"/>
      <c r="AJ1887" s="71"/>
      <c r="AK1887" s="71"/>
      <c r="AL1887" s="71"/>
      <c r="AM1887" s="71"/>
      <c r="AN1887" s="71"/>
      <c r="AO1887" s="71"/>
      <c r="AP1887" s="71"/>
      <c r="AQ1887" s="71"/>
      <c r="AR1887" s="71"/>
      <c r="AS1887" s="94" t="str" cm="1">
        <f t="array" ref="AS1887">IFERROR(INDEX(T1887:AE1887,1,MATCH(2,1/(T1887:AE1887&lt;&gt;""))),"")</f>
        <v/>
      </c>
      <c r="AT1887" s="95" t="str" cm="1">
        <f t="array" ref="AT1887">IFERROR(INDEX(AJ1887:AR1887,1,MATCH(2,1/(AJ1887:AR1887&lt;&gt;""))),"")</f>
        <v/>
      </c>
      <c r="AU1887" s="97" t="str">
        <f t="shared" si="2186"/>
        <v/>
      </c>
      <c r="AW1887" s="52">
        <f t="shared" si="2187"/>
        <v>0</v>
      </c>
      <c r="AX1887" s="52"/>
      <c r="AY1887" s="52"/>
      <c r="AZ1887" s="52"/>
      <c r="BA1887" s="52"/>
      <c r="BB1887" s="52"/>
      <c r="BC1887" s="52"/>
      <c r="BD1887" s="52"/>
      <c r="BE1887" s="52"/>
      <c r="BF1887" s="52"/>
      <c r="BG1887" s="52"/>
      <c r="BH1887" s="52"/>
      <c r="BI1887" s="68" cm="1">
        <f t="array" ref="BI1887">IFERROR(INDEX(AW1887:BH1887,1,MATCH(2,1/(AW1887:BH1887&lt;&gt;""))),"")</f>
        <v>0</v>
      </c>
      <c r="BJ1887" s="68" t="str" cm="1">
        <f t="array" ref="BJ1887">IF(BM1887 = "", "",IFERROR(INDEX(AW1887:BH1887,1,MATCH(2,1/(AW1887:BH1887&lt;&gt;""),1)-1),""))</f>
        <v/>
      </c>
      <c r="BK1887" s="59">
        <f t="shared" si="2188"/>
        <v>0</v>
      </c>
      <c r="BL1887" s="59" cm="1">
        <f t="array" ref="BL1887">IFERROR(SUM(AW1887:INDEX(AW1887:BH1887, MATCH(2, 1/(AW1887:BH1887&lt;&gt;""), 1) - 1))/_xlfn.XLOOKUP(F1887,Apuração!A:A,Apuração!B:B),0)</f>
        <v>0</v>
      </c>
      <c r="BM1887" s="55" t="str" cm="1">
        <f t="array" ref="BM1887">IFERROR(
   INDEX($AW$1:$BH$1,
      _xlfn.AGGREGATE(14, 6, COLUMN($AW$1:$BH$1)/(AW1887:BH1887&lt;&gt;""), 2) - COLUMN($AW$1) + 1
   ),
"")</f>
        <v/>
      </c>
      <c r="BN1887" s="55" cm="1">
        <f t="array" ref="BN1887">IFERROR(INDEX($AW$1:$BH$1,1,MATCH(2,1/(AW1887:BH1887&lt;&gt;""))),"")</f>
        <v>46023</v>
      </c>
      <c r="BO1887" s="53">
        <f ca="1">IFERROR(_xlfn.XLOOKUP(F1887,Apuração!A:A,Apuração!C:C)/_xlfn.XLOOKUP(F1887,Apuração!A:A,Apuração!B:B),0)</f>
        <v>0</v>
      </c>
      <c r="BP1887" s="53">
        <f ca="1">IFERROR(_xlfn.XLOOKUP(F1887,Apuração!A:A,Apuração!D:D)/_xlfn.XLOOKUP(F1887,Apuração!A:A,Apuração!B:B),0)</f>
        <v>0</v>
      </c>
      <c r="BQ1887" s="53">
        <f ca="1">IF(BK1887&gt;=BO1887,0,_xlfn.XLOOKUP(F1887,Apuração!A:A,Apuração!B:B)*(BO1887 + (1/_xlfn.XLOOKUP(F1887,Apuração!A:A,Apuração!B:B)) - BK1887))</f>
        <v>0</v>
      </c>
      <c r="BR1887" s="85">
        <f t="shared" ca="1" si="2189"/>
        <v>0</v>
      </c>
      <c r="BS1887" s="53">
        <f ca="1">IFERROR((_xlfn.XLOOKUP(F1887,Apuração!A:A,Apuração!C:C)+1)/_xlfn.XLOOKUP(F1887,Apuração!A:A,Apuração!B:B),0)</f>
        <v>0.14285714285714285</v>
      </c>
    </row>
    <row r="1888" spans="1:71" ht="25.95" hidden="1" customHeight="1" x14ac:dyDescent="0.3">
      <c r="A1888" s="44" t="s">
        <v>175</v>
      </c>
      <c r="B1888" s="4" t="s">
        <v>197</v>
      </c>
      <c r="C1888" s="5" t="s">
        <v>214</v>
      </c>
      <c r="D1888" s="5" t="s">
        <v>48</v>
      </c>
      <c r="E1888" s="4" t="s">
        <v>96</v>
      </c>
      <c r="F1888" s="4" t="str" cm="1">
        <f t="array" ref="F1888">_xlfn.IFS(
AG1888 &lt;&gt; "", "Jan-Dez/26",
AH1888 &lt;&gt; "", "Fev-Dez/26",
AI1888 &lt;&gt; "", "Mar-Dez/26", AJ1888 &lt;&gt; "", "Abr-Dez/26",
TRUE, "A partir de Junho"
)</f>
        <v>A partir de Junho</v>
      </c>
      <c r="G1888" s="4" t="s">
        <v>62</v>
      </c>
      <c r="H1888" s="7" t="s">
        <v>38</v>
      </c>
      <c r="I1888" s="21" t="s">
        <v>180</v>
      </c>
      <c r="J1888" s="8" t="str" cm="1">
        <f t="array" aca="1" ref="J1888" ca="1">_xlfn.LET(
  _xlpm.actual_value_month, INDEX(T1888:AE1888, MATCH(DATE(YEAR(TODAY()), MONTH(TODAY()), 1), $T$1:$AE$1, 0)),
  IF(_xlpm.actual_value_month &lt;&gt; "", _xlpm.actual_value_month &amp; " ações mensais", "")
)</f>
        <v/>
      </c>
      <c r="K1888" s="34" t="str" cm="1">
        <f t="array" ref="K1888">_xlfn.LET(
    _xlpm.sum_month, SUM(T1888:AE1888),
    IF(_xlpm.sum_month = 0, "", _xlpm.sum_month &amp; " colaboradores treinados.")
)</f>
        <v/>
      </c>
      <c r="L1888" s="9" t="s">
        <v>199</v>
      </c>
      <c r="M1888" s="13">
        <v>1</v>
      </c>
      <c r="N1888" s="5" t="s">
        <v>51</v>
      </c>
      <c r="O1888" s="5" t="s">
        <v>52</v>
      </c>
      <c r="P1888" s="10" t="s">
        <v>146</v>
      </c>
      <c r="Q1888" s="10" t="s">
        <v>44</v>
      </c>
      <c r="R1888" s="11" t="s">
        <v>44</v>
      </c>
      <c r="S1888" s="11" t="s">
        <v>44</v>
      </c>
      <c r="T1888" s="22"/>
      <c r="U1888" s="22"/>
      <c r="V1888" s="22"/>
      <c r="W1888" s="22"/>
      <c r="X1888" s="22"/>
      <c r="Y1888" s="22"/>
      <c r="Z1888" s="22"/>
      <c r="AA1888" s="22"/>
      <c r="AB1888" s="22"/>
      <c r="AC1888" s="22"/>
      <c r="AD1888" s="22"/>
      <c r="AE1888" s="22"/>
      <c r="AG1888" s="71"/>
      <c r="AH1888" s="71"/>
      <c r="AI1888" s="71"/>
      <c r="AJ1888" s="71"/>
      <c r="AK1888" s="71"/>
      <c r="AL1888" s="71"/>
      <c r="AM1888" s="71"/>
      <c r="AN1888" s="71"/>
      <c r="AO1888" s="71"/>
      <c r="AP1888" s="71"/>
      <c r="AQ1888" s="71"/>
      <c r="AR1888" s="71"/>
      <c r="AS1888" s="94" t="str" cm="1">
        <f t="array" ref="AS1888">IFERROR(INDEX(T1888:AE1888,1,MATCH(2,1/(T1888:AE1888&lt;&gt;""))),"")</f>
        <v/>
      </c>
      <c r="AT1888" s="95" t="str" cm="1">
        <f t="array" ref="AT1888">IFERROR(INDEX(AJ1888:AR1888,1,MATCH(2,1/(AJ1888:AR1888&lt;&gt;""))),"")</f>
        <v/>
      </c>
      <c r="AU1888" s="97" t="str">
        <f t="shared" si="2186"/>
        <v/>
      </c>
      <c r="AW1888" s="52">
        <f t="shared" si="2187"/>
        <v>0</v>
      </c>
      <c r="AX1888" s="52"/>
      <c r="AY1888" s="52"/>
      <c r="AZ1888" s="52"/>
      <c r="BA1888" s="52"/>
      <c r="BB1888" s="52"/>
      <c r="BC1888" s="52"/>
      <c r="BD1888" s="52"/>
      <c r="BE1888" s="52"/>
      <c r="BF1888" s="52"/>
      <c r="BG1888" s="52"/>
      <c r="BH1888" s="52"/>
      <c r="BI1888" s="68" cm="1">
        <f t="array" ref="BI1888">IFERROR(INDEX(AW1888:BH1888,1,MATCH(2,1/(AW1888:BH1888&lt;&gt;""))),"")</f>
        <v>0</v>
      </c>
      <c r="BJ1888" s="68" t="str" cm="1">
        <f t="array" ref="BJ1888">IF(BM1888 = "", "",IFERROR(INDEX(AW1888:BH1888,1,MATCH(2,1/(AW1888:BH1888&lt;&gt;""),1)-1),""))</f>
        <v/>
      </c>
      <c r="BK1888" s="59">
        <f t="shared" si="2188"/>
        <v>0</v>
      </c>
      <c r="BL1888" s="59" cm="1">
        <f t="array" ref="BL1888">IFERROR(SUM(AW1888:INDEX(AW1888:BH1888, MATCH(2, 1/(AW1888:BH1888&lt;&gt;""), 1) - 1))/_xlfn.XLOOKUP(F1888,Apuração!A:A,Apuração!B:B),0)</f>
        <v>0</v>
      </c>
      <c r="BM1888" s="55" t="str" cm="1">
        <f t="array" ref="BM1888">IFERROR(
   INDEX($AW$1:$BH$1,
      _xlfn.AGGREGATE(14, 6, COLUMN($AW$1:$BH$1)/(AW1888:BH1888&lt;&gt;""), 2) - COLUMN($AW$1) + 1
   ),
"")</f>
        <v/>
      </c>
      <c r="BN1888" s="55" cm="1">
        <f t="array" ref="BN1888">IFERROR(INDEX($AW$1:$BH$1,1,MATCH(2,1/(AW1888:BH1888&lt;&gt;""))),"")</f>
        <v>46023</v>
      </c>
      <c r="BO1888" s="53">
        <f ca="1">IFERROR(_xlfn.XLOOKUP(F1888,Apuração!A:A,Apuração!C:C)/_xlfn.XLOOKUP(F1888,Apuração!A:A,Apuração!B:B),0)</f>
        <v>0</v>
      </c>
      <c r="BP1888" s="53">
        <f ca="1">IFERROR(_xlfn.XLOOKUP(F1888,Apuração!A:A,Apuração!D:D)/_xlfn.XLOOKUP(F1888,Apuração!A:A,Apuração!B:B),0)</f>
        <v>0</v>
      </c>
      <c r="BQ1888" s="53">
        <f ca="1">IF(BK1888&gt;=BO1888,0,_xlfn.XLOOKUP(F1888,Apuração!A:A,Apuração!B:B)*(BO1888 + (1/_xlfn.XLOOKUP(F1888,Apuração!A:A,Apuração!B:B)) - BK1888))</f>
        <v>0</v>
      </c>
      <c r="BR1888" s="85">
        <f t="shared" ca="1" si="2189"/>
        <v>0</v>
      </c>
      <c r="BS1888" s="53">
        <f ca="1">IFERROR((_xlfn.XLOOKUP(F1888,Apuração!A:A,Apuração!C:C)+1)/_xlfn.XLOOKUP(F1888,Apuração!A:A,Apuração!B:B),0)</f>
        <v>0.14285714285714285</v>
      </c>
    </row>
    <row r="1889" spans="1:71" ht="25.95" hidden="1" customHeight="1" x14ac:dyDescent="0.3">
      <c r="A1889" s="44" t="s">
        <v>175</v>
      </c>
      <c r="B1889" s="4" t="s">
        <v>197</v>
      </c>
      <c r="C1889" s="5" t="s">
        <v>214</v>
      </c>
      <c r="D1889" s="5" t="s">
        <v>213</v>
      </c>
      <c r="E1889" s="4" t="s">
        <v>96</v>
      </c>
      <c r="F1889" s="4" t="str" cm="1">
        <f t="array" ref="F1889">_xlfn.IFS(
AG1889 &lt;&gt; "", "Jan-Dez/26",
AH1889 &lt;&gt; "", "Fev-Dez/26",
AI1889 &lt;&gt; "", "Mar-Dez/26", AJ1889 &lt;&gt; "", "Abr-Dez/26",
TRUE, "A partir de Junho"
)</f>
        <v>A partir de Junho</v>
      </c>
      <c r="G1889" s="4" t="s">
        <v>62</v>
      </c>
      <c r="H1889" s="7" t="s">
        <v>38</v>
      </c>
      <c r="I1889" s="21" t="s">
        <v>180</v>
      </c>
      <c r="J1889" s="8" t="str" cm="1">
        <f t="array" aca="1" ref="J1889" ca="1">_xlfn.LET(
  _xlpm.actual_value_month, INDEX(T1889:AE1889, MATCH(DATE(YEAR(TODAY()), MONTH(TODAY()), 1), $T$1:$AE$1, 0)),
  IF(_xlpm.actual_value_month &lt;&gt; "", _xlpm.actual_value_month &amp; " ações mensais", "")
)</f>
        <v/>
      </c>
      <c r="K1889" s="34" t="str" cm="1">
        <f t="array" ref="K1889">_xlfn.LET(
    _xlpm.sum_month, SUM(T1889:AE1889),
    IF(_xlpm.sum_month = 0, "", _xlpm.sum_month &amp; " colaboradores treinados.")
)</f>
        <v/>
      </c>
      <c r="L1889" s="9" t="s">
        <v>199</v>
      </c>
      <c r="M1889" s="13">
        <v>1</v>
      </c>
      <c r="N1889" s="5" t="s">
        <v>51</v>
      </c>
      <c r="O1889" s="5" t="s">
        <v>52</v>
      </c>
      <c r="P1889" s="10" t="s">
        <v>146</v>
      </c>
      <c r="Q1889" s="10" t="s">
        <v>44</v>
      </c>
      <c r="R1889" s="11" t="s">
        <v>44</v>
      </c>
      <c r="S1889" s="11" t="s">
        <v>44</v>
      </c>
      <c r="T1889" s="22"/>
      <c r="U1889" s="22"/>
      <c r="V1889" s="22"/>
      <c r="W1889" s="22"/>
      <c r="X1889" s="22"/>
      <c r="Y1889" s="22"/>
      <c r="Z1889" s="22"/>
      <c r="AA1889" s="22"/>
      <c r="AB1889" s="22"/>
      <c r="AC1889" s="22"/>
      <c r="AD1889" s="22"/>
      <c r="AE1889" s="22"/>
      <c r="AG1889" s="71"/>
      <c r="AH1889" s="71"/>
      <c r="AI1889" s="71"/>
      <c r="AJ1889" s="71"/>
      <c r="AK1889" s="71"/>
      <c r="AL1889" s="71"/>
      <c r="AM1889" s="71"/>
      <c r="AN1889" s="71"/>
      <c r="AO1889" s="71"/>
      <c r="AP1889" s="71"/>
      <c r="AQ1889" s="71"/>
      <c r="AR1889" s="71"/>
      <c r="AS1889" s="94" t="str" cm="1">
        <f t="array" ref="AS1889">IFERROR(INDEX(T1889:AE1889,1,MATCH(2,1/(T1889:AE1889&lt;&gt;""))),"")</f>
        <v/>
      </c>
      <c r="AT1889" s="95" t="str" cm="1">
        <f t="array" ref="AT1889">IFERROR(INDEX(AJ1889:AR1889,1,MATCH(2,1/(AJ1889:AR1889&lt;&gt;""))),"")</f>
        <v/>
      </c>
      <c r="AU1889" s="97" t="str">
        <f t="shared" si="2186"/>
        <v/>
      </c>
      <c r="AW1889" s="52">
        <f t="shared" ref="AW1889" si="2190">AG1889</f>
        <v>0</v>
      </c>
      <c r="AX1889" s="52"/>
      <c r="AY1889" s="52"/>
      <c r="AZ1889" s="52"/>
      <c r="BA1889" s="52"/>
      <c r="BB1889" s="52"/>
      <c r="BC1889" s="52"/>
      <c r="BD1889" s="52"/>
      <c r="BE1889" s="52"/>
      <c r="BF1889" s="52"/>
      <c r="BG1889" s="52"/>
      <c r="BH1889" s="52"/>
      <c r="BI1889" s="68" cm="1">
        <f t="array" ref="BI1889">IFERROR(INDEX(AW1889:BH1889,1,MATCH(2,1/(AW1889:BH1889&lt;&gt;""))),"")</f>
        <v>0</v>
      </c>
      <c r="BJ1889" s="68" t="str" cm="1">
        <f t="array" ref="BJ1889">IF(BM1889 = "", "",IFERROR(INDEX(AW1889:BH1889,1,MATCH(2,1/(AW1889:BH1889&lt;&gt;""),1)-1),""))</f>
        <v/>
      </c>
      <c r="BK1889" s="59">
        <f t="shared" ref="BK1889" si="2191">SUM(AW1889:BH1889)</f>
        <v>0</v>
      </c>
      <c r="BL1889" s="59" cm="1">
        <f t="array" ref="BL1889">IFERROR(SUM(AW1889:INDEX(AW1889:BH1889, MATCH(2, 1/(AW1889:BH1889&lt;&gt;""), 1) - 1))/_xlfn.XLOOKUP(F1889,Apuração!A:A,Apuração!B:B),0)</f>
        <v>0</v>
      </c>
      <c r="BM1889" s="55" t="str" cm="1">
        <f t="array" ref="BM1889">IFERROR(
   INDEX($AW$1:$BH$1,
      _xlfn.AGGREGATE(14, 6, COLUMN($AW$1:$BH$1)/(AW1889:BH1889&lt;&gt;""), 2) - COLUMN($AW$1) + 1
   ),
"")</f>
        <v/>
      </c>
      <c r="BN1889" s="55" cm="1">
        <f t="array" ref="BN1889">IFERROR(INDEX($AW$1:$BH$1,1,MATCH(2,1/(AW1889:BH1889&lt;&gt;""))),"")</f>
        <v>46023</v>
      </c>
      <c r="BO1889" s="53">
        <f ca="1">IFERROR(_xlfn.XLOOKUP(F1889,Apuração!A:A,Apuração!C:C)/_xlfn.XLOOKUP(F1889,Apuração!A:A,Apuração!B:B),0)</f>
        <v>0</v>
      </c>
      <c r="BP1889" s="53">
        <f ca="1">IFERROR(_xlfn.XLOOKUP(F1889,Apuração!A:A,Apuração!D:D)/_xlfn.XLOOKUP(F1889,Apuração!A:A,Apuração!B:B),0)</f>
        <v>0</v>
      </c>
      <c r="BQ1889" s="53">
        <f ca="1">IF(BK1889&gt;=BO1889,0,_xlfn.XLOOKUP(F1889,Apuração!A:A,Apuração!B:B)*(BO1889 + (1/_xlfn.XLOOKUP(F1889,Apuração!A:A,Apuração!B:B)) - BK1889))</f>
        <v>0</v>
      </c>
      <c r="BR1889" s="85">
        <f t="shared" ref="BR1889:BR1890" ca="1" si="2192">IF(BQ1889=0,0,BQ1889*Z1889)</f>
        <v>0</v>
      </c>
      <c r="BS1889" s="53">
        <f ca="1">IFERROR((_xlfn.XLOOKUP(F1889,Apuração!A:A,Apuração!C:C)+1)/_xlfn.XLOOKUP(F1889,Apuração!A:A,Apuração!B:B),0)</f>
        <v>0.14285714285714285</v>
      </c>
    </row>
    <row r="1890" spans="1:71" ht="25.95" hidden="1" customHeight="1" x14ac:dyDescent="0.3">
      <c r="A1890" s="44" t="s">
        <v>175</v>
      </c>
      <c r="B1890" s="4" t="s">
        <v>197</v>
      </c>
      <c r="C1890" s="5" t="s">
        <v>214</v>
      </c>
      <c r="D1890" s="5" t="s">
        <v>36</v>
      </c>
      <c r="E1890" s="4" t="s">
        <v>96</v>
      </c>
      <c r="F1890" s="4" t="str" cm="1">
        <f t="array" ref="F1890">_xlfn.IFS(
AG1890 &lt;&gt; "", "Jan-Dez/26",
AH1890 &lt;&gt; "", "Fev-Dez/26",
AI1890 &lt;&gt; "", "Mar-Dez/26", AJ1890 &lt;&gt; "", "Abr-Dez/26",
TRUE, "A partir de Junho"
)</f>
        <v>A partir de Junho</v>
      </c>
      <c r="G1890" s="4" t="s">
        <v>62</v>
      </c>
      <c r="H1890" s="7" t="s">
        <v>38</v>
      </c>
      <c r="I1890" s="21" t="s">
        <v>182</v>
      </c>
      <c r="J1890" s="8" t="str" cm="1">
        <f t="array" aca="1" ref="J1890" ca="1">_xlfn.LET(
  _xlpm.actual_value_month, INDEX(T1890:AE1890, MATCH(DATE(YEAR(TODAY()), MONTH(TODAY()), 1), $T$1:$AE$1, 0)),
  IF(_xlpm.actual_value_month &lt;&gt; "", _xlpm.actual_value_month &amp; " ações mensais", "")
)</f>
        <v/>
      </c>
      <c r="K1890" s="8" t="str" cm="1">
        <f t="array" ref="K1890">_xlfn.LET(
    _xlpm.sum_month, SUM(T1890:AE1890),
    IF(_xlpm.sum_month = 0, "", _xlpm.sum_month &amp; " taxa de aprovados")
)</f>
        <v/>
      </c>
      <c r="L1890" s="4" t="s">
        <v>183</v>
      </c>
      <c r="M1890" s="13">
        <v>1</v>
      </c>
      <c r="N1890" s="5" t="s">
        <v>51</v>
      </c>
      <c r="O1890" s="5" t="s">
        <v>43</v>
      </c>
      <c r="P1890" s="10" t="s">
        <v>44</v>
      </c>
      <c r="Q1890" s="10" t="s">
        <v>44</v>
      </c>
      <c r="R1890" s="11" t="s">
        <v>44</v>
      </c>
      <c r="S1890" s="11" t="s">
        <v>44</v>
      </c>
      <c r="T1890" s="22"/>
      <c r="U1890" s="22"/>
      <c r="V1890" s="22"/>
      <c r="W1890" s="22"/>
      <c r="X1890" s="22"/>
      <c r="Y1890" s="22"/>
      <c r="Z1890" s="22"/>
      <c r="AA1890" s="22"/>
      <c r="AB1890" s="22"/>
      <c r="AC1890" s="22"/>
      <c r="AD1890" s="22"/>
      <c r="AE1890" s="22"/>
      <c r="AG1890" s="71"/>
      <c r="AH1890" s="71"/>
      <c r="AI1890" s="71"/>
      <c r="AJ1890" s="71"/>
      <c r="AK1890" s="71"/>
      <c r="AL1890" s="71"/>
      <c r="AM1890" s="71"/>
      <c r="AN1890" s="71"/>
      <c r="AO1890" s="71"/>
      <c r="AP1890" s="71"/>
      <c r="AQ1890" s="71"/>
      <c r="AR1890" s="71"/>
      <c r="AS1890" s="94" t="str" cm="1">
        <f t="array" ref="AS1890">IFERROR(INDEX(T1890:AE1890,1,MATCH(2,1/(T1890:AE1890&lt;&gt;""))),"")</f>
        <v/>
      </c>
      <c r="AT1890" s="95" t="str" cm="1">
        <f t="array" ref="AT1890">IFERROR(INDEX(AJ1890:AR1890,1,MATCH(2,1/(AJ1890:AR1890&lt;&gt;""))),"")</f>
        <v/>
      </c>
      <c r="AU1890" s="97" t="str">
        <f t="shared" ref="AU1890:AU1895" si="2193">AT1890</f>
        <v/>
      </c>
      <c r="AW1890" s="51" t="str">
        <f t="shared" ref="AW1890" si="2194">IFERROR(IF(AG1890="","",AG1890/T1890),0)</f>
        <v/>
      </c>
      <c r="AX1890" s="51"/>
      <c r="AY1890" s="51"/>
      <c r="AZ1890" s="51"/>
      <c r="BA1890" s="51"/>
      <c r="BB1890" s="51"/>
      <c r="BC1890" s="51"/>
      <c r="BD1890" s="51"/>
      <c r="BE1890" s="51"/>
      <c r="BF1890" s="51"/>
      <c r="BG1890" s="51"/>
      <c r="BH1890" s="51"/>
      <c r="BI1890" s="65" t="str" cm="1">
        <f t="array" ref="BI1890">IFERROR(INDEX(AW1890:BH1890,1,MATCH(2,1/(AW1890:BH1890&lt;&gt;""))),"")</f>
        <v/>
      </c>
      <c r="BJ1890" s="68" t="str" cm="1">
        <f t="array" ref="BJ1890">IF(BM1890 = "", "",IFERROR(INDEX(AW1890:BH1890,1,MATCH(2,1/(AW1890:BH1890&lt;&gt;""),1)-1),""))</f>
        <v/>
      </c>
      <c r="BK1890" s="58" t="str" cm="1">
        <f t="array" ref="BK1890">IFERROR(INDEX(AW1890:BH1890,1,MATCH(2,1/(AW1890:BH1890&lt;&gt;""))),"")</f>
        <v/>
      </c>
      <c r="BL1890" s="58" t="str" cm="1">
        <f t="array" ref="BL1890">IFERROR(INDEX(AW1890:BH1890,1,MATCH(2,1/(AW1890:BH1890&lt;&gt;""),1)-1),"")</f>
        <v/>
      </c>
      <c r="BM1890" s="55" t="str" cm="1">
        <f t="array" ref="BM1890">IFERROR(
   INDEX($AW$1:$BH$1,
      _xlfn.AGGREGATE(14, 6, COLUMN($AW$1:$BH$1)/(AW1890:BH1890&lt;&gt;""), 2) - COLUMN($AW$1) + 1
   ),
"")</f>
        <v/>
      </c>
      <c r="BN1890" s="55" t="str" cm="1">
        <f t="array" ref="BN1890">IFERROR(INDEX($AW$1:$BH$1,1,MATCH(2,1/(AW1890:BH1890&lt;&gt;""))),"")</f>
        <v/>
      </c>
      <c r="BO1890" s="53">
        <f ca="1">IFERROR(_xlfn.XLOOKUP(F1890,Apuração!A:A,Apuração!C:C)/_xlfn.XLOOKUP(F1890,Apuração!A:A,Apuração!B:B),0)</f>
        <v>0</v>
      </c>
      <c r="BP1890" s="53">
        <f ca="1">IFERROR(_xlfn.XLOOKUP(F1890,Apuração!A:A,Apuração!D:D)/_xlfn.XLOOKUP(F1890,Apuração!A:A,Apuração!B:B),0)</f>
        <v>0</v>
      </c>
      <c r="BQ1890" s="53">
        <f ca="1">IF(BK1890&gt;=BO1890,0,_xlfn.XLOOKUP(F1890,Apuração!A:A,Apuração!B:B)*(BO1890 + (1/_xlfn.XLOOKUP(F1890,Apuração!A:A,Apuração!B:B)) - BK1890))</f>
        <v>0</v>
      </c>
      <c r="BR1890" s="85">
        <f t="shared" ca="1" si="2192"/>
        <v>0</v>
      </c>
      <c r="BS1890" s="53">
        <f ca="1">IFERROR((_xlfn.XLOOKUP(F1890,Apuração!A:A,Apuração!C:C)+1)/_xlfn.XLOOKUP(F1890,Apuração!A:A,Apuração!B:B),0)</f>
        <v>0.14285714285714285</v>
      </c>
    </row>
    <row r="1891" spans="1:71" ht="25.95" hidden="1" customHeight="1" x14ac:dyDescent="0.3">
      <c r="A1891" s="44" t="s">
        <v>175</v>
      </c>
      <c r="B1891" s="4" t="s">
        <v>197</v>
      </c>
      <c r="C1891" s="5" t="s">
        <v>214</v>
      </c>
      <c r="D1891" s="5" t="s">
        <v>210</v>
      </c>
      <c r="E1891" s="4" t="s">
        <v>96</v>
      </c>
      <c r="F1891" s="4" t="str" cm="1">
        <f t="array" ref="F1891">_xlfn.IFS(
AG1891 &lt;&gt; "", "Jan-Dez/26",
AH1891 &lt;&gt; "", "Fev-Dez/26",
AI1891 &lt;&gt; "", "Mar-Dez/26", AJ1891 &lt;&gt; "", "Abr-Dez/26",
TRUE, "A partir de Junho"
)</f>
        <v>A partir de Junho</v>
      </c>
      <c r="G1891" s="4" t="s">
        <v>62</v>
      </c>
      <c r="H1891" s="7" t="s">
        <v>38</v>
      </c>
      <c r="I1891" s="21" t="s">
        <v>182</v>
      </c>
      <c r="J1891" s="8" t="str" cm="1">
        <f t="array" aca="1" ref="J1891" ca="1">_xlfn.LET(
  _xlpm.actual_value_month, INDEX(T1891:AE1891, MATCH(DATE(YEAR(TODAY()), MONTH(TODAY()), 1), $T$1:$AE$1, 0)),
  IF(_xlpm.actual_value_month &lt;&gt; "", _xlpm.actual_value_month &amp; " ações mensais", "")
)</f>
        <v/>
      </c>
      <c r="K1891" s="8" t="str" cm="1">
        <f t="array" ref="K1891">_xlfn.LET(
    _xlpm.sum_month, SUM(T1891:AE1891),
    IF(_xlpm.sum_month = 0, "", _xlpm.sum_month &amp; " taxa de aprovados")
)</f>
        <v/>
      </c>
      <c r="L1891" s="4" t="s">
        <v>183</v>
      </c>
      <c r="M1891" s="13">
        <v>1</v>
      </c>
      <c r="N1891" s="5" t="s">
        <v>51</v>
      </c>
      <c r="O1891" s="5" t="s">
        <v>43</v>
      </c>
      <c r="P1891" s="10" t="s">
        <v>44</v>
      </c>
      <c r="Q1891" s="10" t="s">
        <v>44</v>
      </c>
      <c r="R1891" s="11" t="s">
        <v>44</v>
      </c>
      <c r="S1891" s="11" t="s">
        <v>44</v>
      </c>
      <c r="T1891" s="22"/>
      <c r="U1891" s="22"/>
      <c r="V1891" s="22"/>
      <c r="W1891" s="22"/>
      <c r="X1891" s="22"/>
      <c r="Y1891" s="22"/>
      <c r="Z1891" s="22"/>
      <c r="AA1891" s="22"/>
      <c r="AB1891" s="22"/>
      <c r="AC1891" s="22"/>
      <c r="AD1891" s="22"/>
      <c r="AE1891" s="22"/>
      <c r="AG1891" s="71"/>
      <c r="AH1891" s="71"/>
      <c r="AI1891" s="71"/>
      <c r="AJ1891" s="71"/>
      <c r="AK1891" s="71"/>
      <c r="AL1891" s="71"/>
      <c r="AM1891" s="71"/>
      <c r="AN1891" s="71"/>
      <c r="AO1891" s="71"/>
      <c r="AP1891" s="71"/>
      <c r="AQ1891" s="71"/>
      <c r="AR1891" s="71"/>
      <c r="AS1891" s="94" t="str" cm="1">
        <f t="array" ref="AS1891">IFERROR(INDEX(T1891:AE1891,1,MATCH(2,1/(T1891:AE1891&lt;&gt;""))),"")</f>
        <v/>
      </c>
      <c r="AT1891" s="95" t="str" cm="1">
        <f t="array" ref="AT1891">IFERROR(INDEX(AJ1891:AR1891,1,MATCH(2,1/(AJ1891:AR1891&lt;&gt;""))),"")</f>
        <v/>
      </c>
      <c r="AU1891" s="97" t="str">
        <f t="shared" si="2193"/>
        <v/>
      </c>
      <c r="AW1891" s="51" t="str">
        <f t="shared" ref="AW1891:AW1895" si="2195">IFERROR(IF(AG1891="","",AG1891/T1891),0)</f>
        <v/>
      </c>
      <c r="AX1891" s="51"/>
      <c r="AY1891" s="51"/>
      <c r="AZ1891" s="51"/>
      <c r="BA1891" s="51"/>
      <c r="BB1891" s="51"/>
      <c r="BC1891" s="51"/>
      <c r="BD1891" s="51"/>
      <c r="BE1891" s="51"/>
      <c r="BF1891" s="51"/>
      <c r="BG1891" s="51"/>
      <c r="BH1891" s="51"/>
      <c r="BI1891" s="65" t="str" cm="1">
        <f t="array" ref="BI1891">IFERROR(INDEX(AW1891:BH1891,1,MATCH(2,1/(AW1891:BH1891&lt;&gt;""))),"")</f>
        <v/>
      </c>
      <c r="BJ1891" s="68" t="str" cm="1">
        <f t="array" ref="BJ1891">IF(BM1891 = "", "",IFERROR(INDEX(AW1891:BH1891,1,MATCH(2,1/(AW1891:BH1891&lt;&gt;""),1)-1),""))</f>
        <v/>
      </c>
      <c r="BK1891" s="58" t="str" cm="1">
        <f t="array" ref="BK1891">IFERROR(INDEX(AW1891:BH1891,1,MATCH(2,1/(AW1891:BH1891&lt;&gt;""))),"")</f>
        <v/>
      </c>
      <c r="BL1891" s="58" t="str" cm="1">
        <f t="array" ref="BL1891">IFERROR(INDEX(AW1891:BH1891,1,MATCH(2,1/(AW1891:BH1891&lt;&gt;""),1)-1),"")</f>
        <v/>
      </c>
      <c r="BM1891" s="55" t="str" cm="1">
        <f t="array" ref="BM1891">IFERROR(
   INDEX($AW$1:$BH$1,
      _xlfn.AGGREGATE(14, 6, COLUMN($AW$1:$BH$1)/(AW1891:BH1891&lt;&gt;""), 2) - COLUMN($AW$1) + 1
   ),
"")</f>
        <v/>
      </c>
      <c r="BN1891" s="55" t="str" cm="1">
        <f t="array" ref="BN1891">IFERROR(INDEX($AW$1:$BH$1,1,MATCH(2,1/(AW1891:BH1891&lt;&gt;""))),"")</f>
        <v/>
      </c>
      <c r="BO1891" s="53">
        <f ca="1">IFERROR(_xlfn.XLOOKUP(F1891,Apuração!A:A,Apuração!C:C)/_xlfn.XLOOKUP(F1891,Apuração!A:A,Apuração!B:B),0)</f>
        <v>0</v>
      </c>
      <c r="BP1891" s="53">
        <f ca="1">IFERROR(_xlfn.XLOOKUP(F1891,Apuração!A:A,Apuração!D:D)/_xlfn.XLOOKUP(F1891,Apuração!A:A,Apuração!B:B),0)</f>
        <v>0</v>
      </c>
      <c r="BQ1891" s="53">
        <f ca="1">IF(BK1891&gt;=BO1891,0,_xlfn.XLOOKUP(F1891,Apuração!A:A,Apuração!B:B)*(BO1891 + (1/_xlfn.XLOOKUP(F1891,Apuração!A:A,Apuração!B:B)) - BK1891))</f>
        <v>0</v>
      </c>
      <c r="BR1891" s="85">
        <f t="shared" ref="BR1891:BR1895" ca="1" si="2196">IF(BQ1891=0,0,BQ1891*Z1891)</f>
        <v>0</v>
      </c>
      <c r="BS1891" s="53">
        <f ca="1">IFERROR((_xlfn.XLOOKUP(F1891,Apuração!A:A,Apuração!C:C)+1)/_xlfn.XLOOKUP(F1891,Apuração!A:A,Apuração!B:B),0)</f>
        <v>0.14285714285714285</v>
      </c>
    </row>
    <row r="1892" spans="1:71" ht="25.95" hidden="1" customHeight="1" x14ac:dyDescent="0.3">
      <c r="A1892" s="44" t="s">
        <v>175</v>
      </c>
      <c r="B1892" s="4" t="s">
        <v>197</v>
      </c>
      <c r="C1892" s="5" t="s">
        <v>214</v>
      </c>
      <c r="D1892" s="5" t="s">
        <v>215</v>
      </c>
      <c r="E1892" s="4" t="s">
        <v>96</v>
      </c>
      <c r="F1892" s="4" t="str" cm="1">
        <f t="array" ref="F1892">_xlfn.IFS(
AG1892 &lt;&gt; "", "Jan-Dez/26",
AH1892 &lt;&gt; "", "Fev-Dez/26",
AI1892 &lt;&gt; "", "Mar-Dez/26", AJ1892 &lt;&gt; "", "Abr-Dez/26",
TRUE, "A partir de Junho"
)</f>
        <v>A partir de Junho</v>
      </c>
      <c r="G1892" s="4" t="s">
        <v>62</v>
      </c>
      <c r="H1892" s="7" t="s">
        <v>38</v>
      </c>
      <c r="I1892" s="21" t="s">
        <v>182</v>
      </c>
      <c r="J1892" s="8" t="str" cm="1">
        <f t="array" aca="1" ref="J1892" ca="1">_xlfn.LET(
  _xlpm.actual_value_month, INDEX(T1892:AE1892, MATCH(DATE(YEAR(TODAY()), MONTH(TODAY()), 1), $T$1:$AE$1, 0)),
  IF(_xlpm.actual_value_month &lt;&gt; "", _xlpm.actual_value_month &amp; " ações mensais", "")
)</f>
        <v/>
      </c>
      <c r="K1892" s="8" t="str" cm="1">
        <f t="array" ref="K1892">_xlfn.LET(
    _xlpm.sum_month, SUM(T1892:AE1892),
    IF(_xlpm.sum_month = 0, "", _xlpm.sum_month &amp; " taxa de aprovados")
)</f>
        <v/>
      </c>
      <c r="L1892" s="4" t="s">
        <v>183</v>
      </c>
      <c r="M1892" s="13">
        <v>1</v>
      </c>
      <c r="N1892" s="5" t="s">
        <v>51</v>
      </c>
      <c r="O1892" s="5" t="s">
        <v>43</v>
      </c>
      <c r="P1892" s="10" t="s">
        <v>44</v>
      </c>
      <c r="Q1892" s="10" t="s">
        <v>44</v>
      </c>
      <c r="R1892" s="11" t="s">
        <v>44</v>
      </c>
      <c r="S1892" s="11" t="s">
        <v>44</v>
      </c>
      <c r="T1892" s="22"/>
      <c r="U1892" s="22"/>
      <c r="V1892" s="22"/>
      <c r="W1892" s="22"/>
      <c r="X1892" s="22"/>
      <c r="Y1892" s="22"/>
      <c r="Z1892" s="22"/>
      <c r="AA1892" s="22"/>
      <c r="AB1892" s="22"/>
      <c r="AC1892" s="22"/>
      <c r="AD1892" s="22"/>
      <c r="AE1892" s="22"/>
      <c r="AG1892" s="71"/>
      <c r="AH1892" s="71"/>
      <c r="AI1892" s="71"/>
      <c r="AJ1892" s="71"/>
      <c r="AK1892" s="71"/>
      <c r="AL1892" s="71"/>
      <c r="AM1892" s="71"/>
      <c r="AN1892" s="71"/>
      <c r="AO1892" s="71"/>
      <c r="AP1892" s="71"/>
      <c r="AQ1892" s="71"/>
      <c r="AR1892" s="71"/>
      <c r="AS1892" s="94" t="str" cm="1">
        <f t="array" ref="AS1892">IFERROR(INDEX(T1892:AE1892,1,MATCH(2,1/(T1892:AE1892&lt;&gt;""))),"")</f>
        <v/>
      </c>
      <c r="AT1892" s="95" t="str" cm="1">
        <f t="array" ref="AT1892">IFERROR(INDEX(AJ1892:AR1892,1,MATCH(2,1/(AJ1892:AR1892&lt;&gt;""))),"")</f>
        <v/>
      </c>
      <c r="AU1892" s="97" t="str">
        <f t="shared" si="2193"/>
        <v/>
      </c>
      <c r="AW1892" s="51" t="str">
        <f t="shared" si="2195"/>
        <v/>
      </c>
      <c r="AX1892" s="51"/>
      <c r="AY1892" s="51"/>
      <c r="AZ1892" s="51"/>
      <c r="BA1892" s="51"/>
      <c r="BB1892" s="51"/>
      <c r="BC1892" s="51"/>
      <c r="BD1892" s="51"/>
      <c r="BE1892" s="51"/>
      <c r="BF1892" s="51"/>
      <c r="BG1892" s="51"/>
      <c r="BH1892" s="51"/>
      <c r="BI1892" s="65" t="str" cm="1">
        <f t="array" ref="BI1892">IFERROR(INDEX(AW1892:BH1892,1,MATCH(2,1/(AW1892:BH1892&lt;&gt;""))),"")</f>
        <v/>
      </c>
      <c r="BJ1892" s="68" t="str" cm="1">
        <f t="array" ref="BJ1892">IF(BM1892 = "", "",IFERROR(INDEX(AW1892:BH1892,1,MATCH(2,1/(AW1892:BH1892&lt;&gt;""),1)-1),""))</f>
        <v/>
      </c>
      <c r="BK1892" s="58" t="str" cm="1">
        <f t="array" ref="BK1892">IFERROR(INDEX(AW1892:BH1892,1,MATCH(2,1/(AW1892:BH1892&lt;&gt;""))),"")</f>
        <v/>
      </c>
      <c r="BL1892" s="58" t="str" cm="1">
        <f t="array" ref="BL1892">IFERROR(INDEX(AW1892:BH1892,1,MATCH(2,1/(AW1892:BH1892&lt;&gt;""),1)-1),"")</f>
        <v/>
      </c>
      <c r="BM1892" s="55" t="str" cm="1">
        <f t="array" ref="BM1892">IFERROR(
   INDEX($AW$1:$BH$1,
      _xlfn.AGGREGATE(14, 6, COLUMN($AW$1:$BH$1)/(AW1892:BH1892&lt;&gt;""), 2) - COLUMN($AW$1) + 1
   ),
"")</f>
        <v/>
      </c>
      <c r="BN1892" s="55" t="str" cm="1">
        <f t="array" ref="BN1892">IFERROR(INDEX($AW$1:$BH$1,1,MATCH(2,1/(AW1892:BH1892&lt;&gt;""))),"")</f>
        <v/>
      </c>
      <c r="BO1892" s="53">
        <f ca="1">IFERROR(_xlfn.XLOOKUP(F1892,Apuração!A:A,Apuração!C:C)/_xlfn.XLOOKUP(F1892,Apuração!A:A,Apuração!B:B),0)</f>
        <v>0</v>
      </c>
      <c r="BP1892" s="53">
        <f ca="1">IFERROR(_xlfn.XLOOKUP(F1892,Apuração!A:A,Apuração!D:D)/_xlfn.XLOOKUP(F1892,Apuração!A:A,Apuração!B:B),0)</f>
        <v>0</v>
      </c>
      <c r="BQ1892" s="53">
        <f ca="1">IF(BK1892&gt;=BO1892,0,_xlfn.XLOOKUP(F1892,Apuração!A:A,Apuração!B:B)*(BO1892 + (1/_xlfn.XLOOKUP(F1892,Apuração!A:A,Apuração!B:B)) - BK1892))</f>
        <v>0</v>
      </c>
      <c r="BR1892" s="85">
        <f t="shared" ca="1" si="2196"/>
        <v>0</v>
      </c>
      <c r="BS1892" s="53">
        <f ca="1">IFERROR((_xlfn.XLOOKUP(F1892,Apuração!A:A,Apuração!C:C)+1)/_xlfn.XLOOKUP(F1892,Apuração!A:A,Apuração!B:B),0)</f>
        <v>0.14285714285714285</v>
      </c>
    </row>
    <row r="1893" spans="1:71" ht="25.95" hidden="1" customHeight="1" x14ac:dyDescent="0.3">
      <c r="A1893" s="44" t="s">
        <v>175</v>
      </c>
      <c r="B1893" s="4" t="s">
        <v>197</v>
      </c>
      <c r="C1893" s="5" t="s">
        <v>214</v>
      </c>
      <c r="D1893" s="5" t="s">
        <v>212</v>
      </c>
      <c r="E1893" s="4" t="s">
        <v>96</v>
      </c>
      <c r="F1893" s="4" t="str" cm="1">
        <f t="array" ref="F1893">_xlfn.IFS(
AG1893 &lt;&gt; "", "Jan-Dez/26",
AH1893 &lt;&gt; "", "Fev-Dez/26",
AI1893 &lt;&gt; "", "Mar-Dez/26", AJ1893 &lt;&gt; "", "Abr-Dez/26",
TRUE, "A partir de Junho"
)</f>
        <v>A partir de Junho</v>
      </c>
      <c r="G1893" s="4" t="s">
        <v>62</v>
      </c>
      <c r="H1893" s="7" t="s">
        <v>38</v>
      </c>
      <c r="I1893" s="21" t="s">
        <v>182</v>
      </c>
      <c r="J1893" s="8" t="str" cm="1">
        <f t="array" aca="1" ref="J1893" ca="1">_xlfn.LET(
  _xlpm.actual_value_month, INDEX(T1893:AE1893, MATCH(DATE(YEAR(TODAY()), MONTH(TODAY()), 1), $T$1:$AE$1, 0)),
  IF(_xlpm.actual_value_month &lt;&gt; "", _xlpm.actual_value_month &amp; " ações mensais", "")
)</f>
        <v/>
      </c>
      <c r="K1893" s="8" t="str" cm="1">
        <f t="array" ref="K1893">_xlfn.LET(
    _xlpm.sum_month, SUM(T1893:AE1893),
    IF(_xlpm.sum_month = 0, "", _xlpm.sum_month &amp; " taxa de aprovados")
)</f>
        <v/>
      </c>
      <c r="L1893" s="4" t="s">
        <v>183</v>
      </c>
      <c r="M1893" s="13">
        <v>1</v>
      </c>
      <c r="N1893" s="5" t="s">
        <v>51</v>
      </c>
      <c r="O1893" s="5" t="s">
        <v>43</v>
      </c>
      <c r="P1893" s="10" t="s">
        <v>44</v>
      </c>
      <c r="Q1893" s="10" t="s">
        <v>44</v>
      </c>
      <c r="R1893" s="11" t="s">
        <v>44</v>
      </c>
      <c r="S1893" s="11" t="s">
        <v>44</v>
      </c>
      <c r="T1893" s="22"/>
      <c r="U1893" s="22"/>
      <c r="V1893" s="22"/>
      <c r="W1893" s="22"/>
      <c r="X1893" s="22"/>
      <c r="Y1893" s="22"/>
      <c r="Z1893" s="22"/>
      <c r="AA1893" s="22"/>
      <c r="AB1893" s="22"/>
      <c r="AC1893" s="22"/>
      <c r="AD1893" s="22"/>
      <c r="AE1893" s="22"/>
      <c r="AG1893" s="71"/>
      <c r="AH1893" s="71"/>
      <c r="AI1893" s="71"/>
      <c r="AJ1893" s="71"/>
      <c r="AK1893" s="71"/>
      <c r="AL1893" s="71"/>
      <c r="AM1893" s="71"/>
      <c r="AN1893" s="71"/>
      <c r="AO1893" s="71"/>
      <c r="AP1893" s="71"/>
      <c r="AQ1893" s="71"/>
      <c r="AR1893" s="71"/>
      <c r="AS1893" s="94" t="str" cm="1">
        <f t="array" ref="AS1893">IFERROR(INDEX(T1893:AE1893,1,MATCH(2,1/(T1893:AE1893&lt;&gt;""))),"")</f>
        <v/>
      </c>
      <c r="AT1893" s="95" t="str" cm="1">
        <f t="array" ref="AT1893">IFERROR(INDEX(AJ1893:AR1893,1,MATCH(2,1/(AJ1893:AR1893&lt;&gt;""))),"")</f>
        <v/>
      </c>
      <c r="AU1893" s="97" t="str">
        <f t="shared" si="2193"/>
        <v/>
      </c>
      <c r="AW1893" s="51" t="str">
        <f t="shared" si="2195"/>
        <v/>
      </c>
      <c r="AX1893" s="51"/>
      <c r="AY1893" s="51"/>
      <c r="AZ1893" s="51"/>
      <c r="BA1893" s="51"/>
      <c r="BB1893" s="51"/>
      <c r="BC1893" s="51"/>
      <c r="BD1893" s="51"/>
      <c r="BE1893" s="51"/>
      <c r="BF1893" s="51"/>
      <c r="BG1893" s="51"/>
      <c r="BH1893" s="51"/>
      <c r="BI1893" s="65" t="str" cm="1">
        <f t="array" ref="BI1893">IFERROR(INDEX(AW1893:BH1893,1,MATCH(2,1/(AW1893:BH1893&lt;&gt;""))),"")</f>
        <v/>
      </c>
      <c r="BJ1893" s="68" t="str" cm="1">
        <f t="array" ref="BJ1893">IF(BM1893 = "", "",IFERROR(INDEX(AW1893:BH1893,1,MATCH(2,1/(AW1893:BH1893&lt;&gt;""),1)-1),""))</f>
        <v/>
      </c>
      <c r="BK1893" s="58" t="str" cm="1">
        <f t="array" ref="BK1893">IFERROR(INDEX(AW1893:BH1893,1,MATCH(2,1/(AW1893:BH1893&lt;&gt;""))),"")</f>
        <v/>
      </c>
      <c r="BL1893" s="58" t="str" cm="1">
        <f t="array" ref="BL1893">IFERROR(INDEX(AW1893:BH1893,1,MATCH(2,1/(AW1893:BH1893&lt;&gt;""),1)-1),"")</f>
        <v/>
      </c>
      <c r="BM1893" s="55" t="str" cm="1">
        <f t="array" ref="BM1893">IFERROR(
   INDEX($AW$1:$BH$1,
      _xlfn.AGGREGATE(14, 6, COLUMN($AW$1:$BH$1)/(AW1893:BH1893&lt;&gt;""), 2) - COLUMN($AW$1) + 1
   ),
"")</f>
        <v/>
      </c>
      <c r="BN1893" s="55" t="str" cm="1">
        <f t="array" ref="BN1893">IFERROR(INDEX($AW$1:$BH$1,1,MATCH(2,1/(AW1893:BH1893&lt;&gt;""))),"")</f>
        <v/>
      </c>
      <c r="BO1893" s="53">
        <f ca="1">IFERROR(_xlfn.XLOOKUP(F1893,Apuração!A:A,Apuração!C:C)/_xlfn.XLOOKUP(F1893,Apuração!A:A,Apuração!B:B),0)</f>
        <v>0</v>
      </c>
      <c r="BP1893" s="53">
        <f ca="1">IFERROR(_xlfn.XLOOKUP(F1893,Apuração!A:A,Apuração!D:D)/_xlfn.XLOOKUP(F1893,Apuração!A:A,Apuração!B:B),0)</f>
        <v>0</v>
      </c>
      <c r="BQ1893" s="53">
        <f ca="1">IF(BK1893&gt;=BO1893,0,_xlfn.XLOOKUP(F1893,Apuração!A:A,Apuração!B:B)*(BO1893 + (1/_xlfn.XLOOKUP(F1893,Apuração!A:A,Apuração!B:B)) - BK1893))</f>
        <v>0</v>
      </c>
      <c r="BR1893" s="85">
        <f t="shared" ca="1" si="2196"/>
        <v>0</v>
      </c>
      <c r="BS1893" s="53">
        <f ca="1">IFERROR((_xlfn.XLOOKUP(F1893,Apuração!A:A,Apuração!C:C)+1)/_xlfn.XLOOKUP(F1893,Apuração!A:A,Apuração!B:B),0)</f>
        <v>0.14285714285714285</v>
      </c>
    </row>
    <row r="1894" spans="1:71" ht="25.95" hidden="1" customHeight="1" x14ac:dyDescent="0.3">
      <c r="A1894" s="44" t="s">
        <v>175</v>
      </c>
      <c r="B1894" s="4" t="s">
        <v>197</v>
      </c>
      <c r="C1894" s="5" t="s">
        <v>214</v>
      </c>
      <c r="D1894" s="5" t="s">
        <v>48</v>
      </c>
      <c r="E1894" s="4" t="s">
        <v>96</v>
      </c>
      <c r="F1894" s="4" t="str" cm="1">
        <f t="array" ref="F1894">_xlfn.IFS(
AG1894 &lt;&gt; "", "Jan-Dez/26",
AH1894 &lt;&gt; "", "Fev-Dez/26",
AI1894 &lt;&gt; "", "Mar-Dez/26", AJ1894 &lt;&gt; "", "Abr-Dez/26",
TRUE, "A partir de Junho"
)</f>
        <v>A partir de Junho</v>
      </c>
      <c r="G1894" s="4" t="s">
        <v>62</v>
      </c>
      <c r="H1894" s="7" t="s">
        <v>38</v>
      </c>
      <c r="I1894" s="21" t="s">
        <v>182</v>
      </c>
      <c r="J1894" s="8" t="str" cm="1">
        <f t="array" aca="1" ref="J1894" ca="1">_xlfn.LET(
  _xlpm.actual_value_month, INDEX(T1894:AE1894, MATCH(DATE(YEAR(TODAY()), MONTH(TODAY()), 1), $T$1:$AE$1, 0)),
  IF(_xlpm.actual_value_month &lt;&gt; "", _xlpm.actual_value_month &amp; " ações mensais", "")
)</f>
        <v/>
      </c>
      <c r="K1894" s="8" t="str" cm="1">
        <f t="array" ref="K1894">_xlfn.LET(
    _xlpm.sum_month, SUM(T1894:AE1894),
    IF(_xlpm.sum_month = 0, "", _xlpm.sum_month &amp; " taxa de aprovados")
)</f>
        <v/>
      </c>
      <c r="L1894" s="4" t="s">
        <v>183</v>
      </c>
      <c r="M1894" s="13">
        <v>1</v>
      </c>
      <c r="N1894" s="5" t="s">
        <v>51</v>
      </c>
      <c r="O1894" s="5" t="s">
        <v>43</v>
      </c>
      <c r="P1894" s="10" t="s">
        <v>44</v>
      </c>
      <c r="Q1894" s="10" t="s">
        <v>44</v>
      </c>
      <c r="R1894" s="11" t="s">
        <v>44</v>
      </c>
      <c r="S1894" s="11" t="s">
        <v>44</v>
      </c>
      <c r="T1894" s="22"/>
      <c r="U1894" s="22"/>
      <c r="V1894" s="22"/>
      <c r="W1894" s="22"/>
      <c r="X1894" s="22"/>
      <c r="Y1894" s="22"/>
      <c r="Z1894" s="22"/>
      <c r="AA1894" s="22"/>
      <c r="AB1894" s="22"/>
      <c r="AC1894" s="22"/>
      <c r="AD1894" s="22"/>
      <c r="AE1894" s="22"/>
      <c r="AG1894" s="71"/>
      <c r="AH1894" s="71"/>
      <c r="AI1894" s="71"/>
      <c r="AJ1894" s="71"/>
      <c r="AK1894" s="71"/>
      <c r="AL1894" s="71"/>
      <c r="AM1894" s="71"/>
      <c r="AN1894" s="71"/>
      <c r="AO1894" s="71"/>
      <c r="AP1894" s="71"/>
      <c r="AQ1894" s="71"/>
      <c r="AR1894" s="71"/>
      <c r="AS1894" s="94" t="str" cm="1">
        <f t="array" ref="AS1894">IFERROR(INDEX(T1894:AE1894,1,MATCH(2,1/(T1894:AE1894&lt;&gt;""))),"")</f>
        <v/>
      </c>
      <c r="AT1894" s="95" t="str" cm="1">
        <f t="array" ref="AT1894">IFERROR(INDEX(AJ1894:AR1894,1,MATCH(2,1/(AJ1894:AR1894&lt;&gt;""))),"")</f>
        <v/>
      </c>
      <c r="AU1894" s="97" t="str">
        <f t="shared" si="2193"/>
        <v/>
      </c>
      <c r="AW1894" s="51" t="str">
        <f t="shared" si="2195"/>
        <v/>
      </c>
      <c r="AX1894" s="51"/>
      <c r="AY1894" s="51"/>
      <c r="AZ1894" s="51"/>
      <c r="BA1894" s="51"/>
      <c r="BB1894" s="51"/>
      <c r="BC1894" s="51"/>
      <c r="BD1894" s="51"/>
      <c r="BE1894" s="51"/>
      <c r="BF1894" s="51"/>
      <c r="BG1894" s="51"/>
      <c r="BH1894" s="51"/>
      <c r="BI1894" s="65" t="str" cm="1">
        <f t="array" ref="BI1894">IFERROR(INDEX(AW1894:BH1894,1,MATCH(2,1/(AW1894:BH1894&lt;&gt;""))),"")</f>
        <v/>
      </c>
      <c r="BJ1894" s="68" t="str" cm="1">
        <f t="array" ref="BJ1894">IF(BM1894 = "", "",IFERROR(INDEX(AW1894:BH1894,1,MATCH(2,1/(AW1894:BH1894&lt;&gt;""),1)-1),""))</f>
        <v/>
      </c>
      <c r="BK1894" s="58" t="str" cm="1">
        <f t="array" ref="BK1894">IFERROR(INDEX(AW1894:BH1894,1,MATCH(2,1/(AW1894:BH1894&lt;&gt;""))),"")</f>
        <v/>
      </c>
      <c r="BL1894" s="58" t="str" cm="1">
        <f t="array" ref="BL1894">IFERROR(INDEX(AW1894:BH1894,1,MATCH(2,1/(AW1894:BH1894&lt;&gt;""),1)-1),"")</f>
        <v/>
      </c>
      <c r="BM1894" s="55" t="str" cm="1">
        <f t="array" ref="BM1894">IFERROR(
   INDEX($AW$1:$BH$1,
      _xlfn.AGGREGATE(14, 6, COLUMN($AW$1:$BH$1)/(AW1894:BH1894&lt;&gt;""), 2) - COLUMN($AW$1) + 1
   ),
"")</f>
        <v/>
      </c>
      <c r="BN1894" s="55" t="str" cm="1">
        <f t="array" ref="BN1894">IFERROR(INDEX($AW$1:$BH$1,1,MATCH(2,1/(AW1894:BH1894&lt;&gt;""))),"")</f>
        <v/>
      </c>
      <c r="BO1894" s="53">
        <f ca="1">IFERROR(_xlfn.XLOOKUP(F1894,Apuração!A:A,Apuração!C:C)/_xlfn.XLOOKUP(F1894,Apuração!A:A,Apuração!B:B),0)</f>
        <v>0</v>
      </c>
      <c r="BP1894" s="53">
        <f ca="1">IFERROR(_xlfn.XLOOKUP(F1894,Apuração!A:A,Apuração!D:D)/_xlfn.XLOOKUP(F1894,Apuração!A:A,Apuração!B:B),0)</f>
        <v>0</v>
      </c>
      <c r="BQ1894" s="53">
        <f ca="1">IF(BK1894&gt;=BO1894,0,_xlfn.XLOOKUP(F1894,Apuração!A:A,Apuração!B:B)*(BO1894 + (1/_xlfn.XLOOKUP(F1894,Apuração!A:A,Apuração!B:B)) - BK1894))</f>
        <v>0</v>
      </c>
      <c r="BR1894" s="85">
        <f t="shared" ca="1" si="2196"/>
        <v>0</v>
      </c>
      <c r="BS1894" s="53">
        <f ca="1">IFERROR((_xlfn.XLOOKUP(F1894,Apuração!A:A,Apuração!C:C)+1)/_xlfn.XLOOKUP(F1894,Apuração!A:A,Apuração!B:B),0)</f>
        <v>0.14285714285714285</v>
      </c>
    </row>
    <row r="1895" spans="1:71" ht="25.95" hidden="1" customHeight="1" x14ac:dyDescent="0.3">
      <c r="A1895" s="44" t="s">
        <v>175</v>
      </c>
      <c r="B1895" s="4" t="s">
        <v>197</v>
      </c>
      <c r="C1895" s="5" t="s">
        <v>214</v>
      </c>
      <c r="D1895" s="5" t="s">
        <v>213</v>
      </c>
      <c r="E1895" s="4" t="s">
        <v>96</v>
      </c>
      <c r="F1895" s="4" t="str" cm="1">
        <f t="array" ref="F1895">_xlfn.IFS(
AG1895 &lt;&gt; "", "Jan-Dez/26",
AH1895 &lt;&gt; "", "Fev-Dez/26",
AI1895 &lt;&gt; "", "Mar-Dez/26", AJ1895 &lt;&gt; "", "Abr-Dez/26",
TRUE, "A partir de Junho"
)</f>
        <v>A partir de Junho</v>
      </c>
      <c r="G1895" s="4" t="s">
        <v>62</v>
      </c>
      <c r="H1895" s="7" t="s">
        <v>38</v>
      </c>
      <c r="I1895" s="21" t="s">
        <v>182</v>
      </c>
      <c r="J1895" s="8" t="str" cm="1">
        <f t="array" aca="1" ref="J1895" ca="1">_xlfn.LET(
  _xlpm.actual_value_month, INDEX(T1895:AE1895, MATCH(DATE(YEAR(TODAY()), MONTH(TODAY()), 1), $T$1:$AE$1, 0)),
  IF(_xlpm.actual_value_month &lt;&gt; "", _xlpm.actual_value_month &amp; " ações mensais", "")
)</f>
        <v/>
      </c>
      <c r="K1895" s="8" t="str" cm="1">
        <f t="array" ref="K1895">_xlfn.LET(
    _xlpm.sum_month, SUM(T1895:AE1895),
    IF(_xlpm.sum_month = 0, "", _xlpm.sum_month &amp; " taxa de aprovados")
)</f>
        <v/>
      </c>
      <c r="L1895" s="4" t="s">
        <v>183</v>
      </c>
      <c r="M1895" s="13">
        <v>1</v>
      </c>
      <c r="N1895" s="5" t="s">
        <v>51</v>
      </c>
      <c r="O1895" s="5" t="s">
        <v>43</v>
      </c>
      <c r="P1895" s="10" t="s">
        <v>44</v>
      </c>
      <c r="Q1895" s="10" t="s">
        <v>44</v>
      </c>
      <c r="R1895" s="11" t="s">
        <v>44</v>
      </c>
      <c r="S1895" s="11" t="s">
        <v>44</v>
      </c>
      <c r="T1895" s="22"/>
      <c r="U1895" s="22"/>
      <c r="V1895" s="22"/>
      <c r="W1895" s="22"/>
      <c r="X1895" s="22"/>
      <c r="Y1895" s="22"/>
      <c r="Z1895" s="22"/>
      <c r="AA1895" s="22"/>
      <c r="AB1895" s="22"/>
      <c r="AC1895" s="22"/>
      <c r="AD1895" s="22"/>
      <c r="AE1895" s="22"/>
      <c r="AG1895" s="71"/>
      <c r="AH1895" s="71"/>
      <c r="AI1895" s="71"/>
      <c r="AJ1895" s="71"/>
      <c r="AK1895" s="71"/>
      <c r="AL1895" s="71"/>
      <c r="AM1895" s="71"/>
      <c r="AN1895" s="71"/>
      <c r="AO1895" s="71"/>
      <c r="AP1895" s="71"/>
      <c r="AQ1895" s="71"/>
      <c r="AR1895" s="71"/>
      <c r="AS1895" s="94" t="str" cm="1">
        <f t="array" ref="AS1895">IFERROR(INDEX(T1895:AE1895,1,MATCH(2,1/(T1895:AE1895&lt;&gt;""))),"")</f>
        <v/>
      </c>
      <c r="AT1895" s="95" t="str" cm="1">
        <f t="array" ref="AT1895">IFERROR(INDEX(AJ1895:AR1895,1,MATCH(2,1/(AJ1895:AR1895&lt;&gt;""))),"")</f>
        <v/>
      </c>
      <c r="AU1895" s="97" t="str">
        <f t="shared" si="2193"/>
        <v/>
      </c>
      <c r="AW1895" s="51" t="str">
        <f t="shared" si="2195"/>
        <v/>
      </c>
      <c r="AX1895" s="51"/>
      <c r="AY1895" s="51"/>
      <c r="AZ1895" s="51"/>
      <c r="BA1895" s="51"/>
      <c r="BB1895" s="51"/>
      <c r="BC1895" s="51"/>
      <c r="BD1895" s="51"/>
      <c r="BE1895" s="51"/>
      <c r="BF1895" s="51"/>
      <c r="BG1895" s="51"/>
      <c r="BH1895" s="51"/>
      <c r="BI1895" s="65" t="str" cm="1">
        <f t="array" ref="BI1895">IFERROR(INDEX(AW1895:BH1895,1,MATCH(2,1/(AW1895:BH1895&lt;&gt;""))),"")</f>
        <v/>
      </c>
      <c r="BJ1895" s="68" t="str" cm="1">
        <f t="array" ref="BJ1895">IF(BM1895 = "", "",IFERROR(INDEX(AW1895:BH1895,1,MATCH(2,1/(AW1895:BH1895&lt;&gt;""),1)-1),""))</f>
        <v/>
      </c>
      <c r="BK1895" s="58" t="str" cm="1">
        <f t="array" ref="BK1895">IFERROR(INDEX(AW1895:BH1895,1,MATCH(2,1/(AW1895:BH1895&lt;&gt;""))),"")</f>
        <v/>
      </c>
      <c r="BL1895" s="58" t="str" cm="1">
        <f t="array" ref="BL1895">IFERROR(INDEX(AW1895:BH1895,1,MATCH(2,1/(AW1895:BH1895&lt;&gt;""),1)-1),"")</f>
        <v/>
      </c>
      <c r="BM1895" s="55" t="str" cm="1">
        <f t="array" ref="BM1895">IFERROR(
   INDEX($AW$1:$BH$1,
      _xlfn.AGGREGATE(14, 6, COLUMN($AW$1:$BH$1)/(AW1895:BH1895&lt;&gt;""), 2) - COLUMN($AW$1) + 1
   ),
"")</f>
        <v/>
      </c>
      <c r="BN1895" s="55" t="str" cm="1">
        <f t="array" ref="BN1895">IFERROR(INDEX($AW$1:$BH$1,1,MATCH(2,1/(AW1895:BH1895&lt;&gt;""))),"")</f>
        <v/>
      </c>
      <c r="BO1895" s="53">
        <f ca="1">IFERROR(_xlfn.XLOOKUP(F1895,Apuração!A:A,Apuração!C:C)/_xlfn.XLOOKUP(F1895,Apuração!A:A,Apuração!B:B),0)</f>
        <v>0</v>
      </c>
      <c r="BP1895" s="53">
        <f ca="1">IFERROR(_xlfn.XLOOKUP(F1895,Apuração!A:A,Apuração!D:D)/_xlfn.XLOOKUP(F1895,Apuração!A:A,Apuração!B:B),0)</f>
        <v>0</v>
      </c>
      <c r="BQ1895" s="53">
        <f ca="1">IF(BK1895&gt;=BO1895,0,_xlfn.XLOOKUP(F1895,Apuração!A:A,Apuração!B:B)*(BO1895 + (1/_xlfn.XLOOKUP(F1895,Apuração!A:A,Apuração!B:B)) - BK1895))</f>
        <v>0</v>
      </c>
      <c r="BR1895" s="85">
        <f t="shared" ca="1" si="2196"/>
        <v>0</v>
      </c>
      <c r="BS1895" s="53">
        <f ca="1">IFERROR((_xlfn.XLOOKUP(F1895,Apuração!A:A,Apuração!C:C)+1)/_xlfn.XLOOKUP(F1895,Apuração!A:A,Apuração!B:B),0)</f>
        <v>0.14285714285714285</v>
      </c>
    </row>
    <row r="1896" spans="1:71" ht="25.95" hidden="1" customHeight="1" x14ac:dyDescent="0.3">
      <c r="A1896" s="35" t="s">
        <v>44</v>
      </c>
      <c r="B1896" s="10" t="s">
        <v>44</v>
      </c>
      <c r="C1896" s="5" t="s">
        <v>214</v>
      </c>
      <c r="D1896" s="5" t="s">
        <v>36</v>
      </c>
      <c r="E1896" s="4" t="str" cm="1">
        <f t="array" ref="E1896">_xlfn.IFS(
F1896 = "A partir de Abril", "Aguardando Execução na Distribuidora",
A1896 = "CAPACITAÇÃO", "Em execução no Corporativo",
TRUE, "Em Execução na Distribuidora"
)</f>
        <v>Em Execução na Distribuidora</v>
      </c>
      <c r="F1896" s="4" t="str" cm="1">
        <f t="array" ref="F1896">_xlfn.IFS(
AG1896 &lt;&gt; "", "Jan-Dez/26",
AH1896 &lt;&gt; "", "Fev-Dez/26",
AI1896 &lt;&gt; "", "Mar-Dez/26", AJ1896 &lt;&gt; "", "Abr-Dez/26",
TRUE, "A partir de Junho"
)</f>
        <v>Jan-Dez/26</v>
      </c>
      <c r="G1896" s="10" t="s">
        <v>44</v>
      </c>
      <c r="H1896" s="36" t="s">
        <v>44</v>
      </c>
      <c r="I1896" s="37"/>
      <c r="J1896" s="37"/>
      <c r="K1896" s="37"/>
      <c r="L1896" s="37" t="s">
        <v>200</v>
      </c>
      <c r="M1896" s="37"/>
      <c r="N1896" s="5" t="s">
        <v>42</v>
      </c>
      <c r="O1896" s="5" t="s">
        <v>52</v>
      </c>
      <c r="P1896" s="10" t="s">
        <v>44</v>
      </c>
      <c r="Q1896" s="10" t="s">
        <v>44</v>
      </c>
      <c r="R1896" s="11" t="s">
        <v>44</v>
      </c>
      <c r="S1896" s="11" t="s">
        <v>44</v>
      </c>
      <c r="T1896" s="22"/>
      <c r="U1896" s="22"/>
      <c r="V1896" s="22"/>
      <c r="W1896" s="22"/>
      <c r="X1896" s="22"/>
      <c r="Y1896" s="22"/>
      <c r="Z1896" s="22"/>
      <c r="AA1896" s="22"/>
      <c r="AB1896" s="22"/>
      <c r="AC1896" s="22"/>
      <c r="AD1896" s="22"/>
      <c r="AE1896" s="22"/>
      <c r="AG1896" s="112">
        <v>0</v>
      </c>
      <c r="AH1896" s="112">
        <v>0</v>
      </c>
      <c r="AI1896" s="112">
        <v>0</v>
      </c>
      <c r="AJ1896" s="112">
        <v>1.35</v>
      </c>
      <c r="AK1896" s="112"/>
      <c r="AL1896" s="112"/>
      <c r="AM1896" s="112"/>
      <c r="AN1896" s="112"/>
      <c r="AO1896" s="112"/>
      <c r="AP1896" s="112"/>
      <c r="AQ1896" s="112"/>
      <c r="AR1896" s="112"/>
      <c r="AS1896" s="94"/>
      <c r="AT1896" s="95"/>
      <c r="AU1896" s="97"/>
      <c r="AW1896" s="84">
        <f>AG1896</f>
        <v>0</v>
      </c>
      <c r="AX1896" s="84">
        <f>AH1896</f>
        <v>0</v>
      </c>
      <c r="AY1896" s="84">
        <f>AI1896</f>
        <v>0</v>
      </c>
      <c r="AZ1896" s="84">
        <f>AJ1896</f>
        <v>1.35</v>
      </c>
      <c r="BA1896" s="84"/>
      <c r="BB1896" s="84"/>
      <c r="BC1896" s="84"/>
      <c r="BD1896" s="84"/>
      <c r="BE1896" s="84"/>
      <c r="BF1896" s="84"/>
      <c r="BG1896" s="84"/>
      <c r="BH1896" s="84"/>
      <c r="BI1896" s="68" cm="1">
        <f t="array" ref="BI1896">IFERROR(INDEX(AW1896:BH1896,1,MATCH(2,1/(AW1896:BH1896&lt;&gt;""))),"")</f>
        <v>1.35</v>
      </c>
      <c r="BJ1896" s="68" cm="1">
        <f t="array" ref="BJ1896">IF(BM1896 = "", "",IFERROR(INDEX(AW1896:BH1896,1,MATCH(2,1/(AW1896:BH1896&lt;&gt;""),1)-1),""))</f>
        <v>0</v>
      </c>
      <c r="BK1896" s="57" cm="1">
        <f t="array" ref="BK1896">IFERROR(INDEX(AW1896:BH1896,1,MATCH(2,1/(AW1896:BH1896&lt;&gt;""),1)),"")</f>
        <v>1.35</v>
      </c>
      <c r="BL1896" s="57" cm="1">
        <f t="array" ref="BL1896">IF(BM1896 = "", "",IFERROR(INDEX(AW1896:BH1896,1,MATCH(2,1/(AW1896:BH1896&lt;&gt;""),1)-1),""))</f>
        <v>0</v>
      </c>
      <c r="BM1896" s="55" cm="1">
        <f t="array" ref="BM1896">IFERROR(
   INDEX($AW$1:$BH$1,
      _xlfn.AGGREGATE(14, 6, COLUMN($AW$1:$BH$1)/(AW1896:BH1896&lt;&gt;""), 2) - COLUMN($AW$1) + 1
   ),
"")</f>
        <v>46082</v>
      </c>
      <c r="BN1896" s="55" cm="1">
        <f t="array" ref="BN1896">IFERROR(INDEX($AW$1:$BH$1,1,MATCH(2,1/(AW1896:BH1896&lt;&gt;""))),"")</f>
        <v>46113</v>
      </c>
      <c r="BO1896" s="53">
        <f ca="1">IFERROR(_xlfn.XLOOKUP(F1896,Apuração!A:A,Apuração!C:C)/_xlfn.XLOOKUP(F1896,Apuração!A:A,Apuração!B:B),0)</f>
        <v>0.41666666666666669</v>
      </c>
      <c r="BP1896" s="53">
        <f ca="1">IFERROR(_xlfn.XLOOKUP(F1896,Apuração!A:A,Apuração!D:D)/_xlfn.XLOOKUP(F1896,Apuração!A:A,Apuração!B:B),0)</f>
        <v>0.33333333333333331</v>
      </c>
      <c r="BQ1896" s="53">
        <f ca="1">IF(BK1896&gt;=BO1896,0,_xlfn.XLOOKUP(F1896,Apuração!A:A,Apuração!B:B)*(BO1896 + (1/_xlfn.XLOOKUP(F1896,Apuração!A:A,Apuração!B:B)) - BK1896))</f>
        <v>0</v>
      </c>
      <c r="BR1896" s="85">
        <f ca="1">IF(BQ1896=0,0,BQ1896*Z1896)</f>
        <v>0</v>
      </c>
      <c r="BS1896" s="53">
        <f ca="1">IFERROR((_xlfn.XLOOKUP(F1896,Apuração!A:A,Apuração!C:C)+1)/_xlfn.XLOOKUP(F1896,Apuração!A:A,Apuração!B:B),0)</f>
        <v>0.5</v>
      </c>
    </row>
    <row r="1897" spans="1:71" ht="25.95" hidden="1" customHeight="1" x14ac:dyDescent="0.3">
      <c r="A1897" s="35" t="s">
        <v>44</v>
      </c>
      <c r="B1897" s="10" t="s">
        <v>44</v>
      </c>
      <c r="C1897" s="5" t="s">
        <v>214</v>
      </c>
      <c r="D1897" s="5" t="s">
        <v>210</v>
      </c>
      <c r="E1897" s="4" t="str" cm="1">
        <f t="array" ref="E1897">_xlfn.IFS(
F1897 = "A partir de Abril", "Aguardando Execução na Distribuidora",
A1897 = "CAPACITAÇÃO", "Em execução no Corporativo",
TRUE, "Em Execução na Distribuidora"
)</f>
        <v>Em Execução na Distribuidora</v>
      </c>
      <c r="F1897" s="4" t="str" cm="1">
        <f t="array" ref="F1897">_xlfn.IFS(
AG1897 &lt;&gt; "", "Jan-Dez/26",
AH1897 &lt;&gt; "", "Fev-Dez/26",
AI1897 &lt;&gt; "", "Mar-Dez/26", AJ1897 &lt;&gt; "", "Abr-Dez/26",
TRUE, "A partir de Junho"
)</f>
        <v>A partir de Junho</v>
      </c>
      <c r="G1897" s="10" t="s">
        <v>44</v>
      </c>
      <c r="H1897" s="36" t="s">
        <v>44</v>
      </c>
      <c r="I1897" s="37"/>
      <c r="J1897" s="37"/>
      <c r="K1897" s="37"/>
      <c r="L1897" s="37" t="s">
        <v>200</v>
      </c>
      <c r="M1897" s="37"/>
      <c r="N1897" s="5" t="s">
        <v>42</v>
      </c>
      <c r="O1897" s="5" t="s">
        <v>52</v>
      </c>
      <c r="P1897" s="10" t="s">
        <v>44</v>
      </c>
      <c r="Q1897" s="10" t="s">
        <v>44</v>
      </c>
      <c r="R1897" s="11" t="s">
        <v>44</v>
      </c>
      <c r="S1897" s="11" t="s">
        <v>44</v>
      </c>
      <c r="T1897" s="22"/>
      <c r="U1897" s="22"/>
      <c r="V1897" s="22"/>
      <c r="W1897" s="22"/>
      <c r="X1897" s="22"/>
      <c r="Y1897" s="22"/>
      <c r="Z1897" s="22"/>
      <c r="AA1897" s="22"/>
      <c r="AB1897" s="22"/>
      <c r="AC1897" s="22"/>
      <c r="AD1897" s="22"/>
      <c r="AE1897" s="22"/>
      <c r="AG1897" s="112"/>
      <c r="AH1897" s="112"/>
      <c r="AI1897" s="112"/>
      <c r="AJ1897" s="71"/>
      <c r="AK1897" s="71"/>
      <c r="AL1897" s="71"/>
      <c r="AM1897" s="71"/>
      <c r="AN1897" s="71"/>
      <c r="AO1897" s="71"/>
      <c r="AP1897" s="71"/>
      <c r="AQ1897" s="71"/>
      <c r="AR1897" s="71"/>
      <c r="AS1897" s="94"/>
      <c r="AT1897" s="95"/>
      <c r="AU1897" s="97"/>
      <c r="AW1897" s="84">
        <f t="shared" ref="AW1897:AW1901" si="2197">AG1897</f>
        <v>0</v>
      </c>
      <c r="AX1897" s="84">
        <f t="shared" ref="AX1897:AX1901" si="2198">AH1897</f>
        <v>0</v>
      </c>
      <c r="AY1897" s="84">
        <f t="shared" ref="AY1897:AY1901" si="2199">AI1897</f>
        <v>0</v>
      </c>
      <c r="AZ1897" s="84"/>
      <c r="BA1897" s="84"/>
      <c r="BB1897" s="84"/>
      <c r="BC1897" s="84"/>
      <c r="BD1897" s="84"/>
      <c r="BE1897" s="84"/>
      <c r="BF1897" s="84"/>
      <c r="BG1897" s="84"/>
      <c r="BH1897" s="84"/>
      <c r="BI1897" s="68" cm="1">
        <f t="array" ref="BI1897">IFERROR(INDEX(AW1897:BH1897,1,MATCH(2,1/(AW1897:BH1897&lt;&gt;""))),"")</f>
        <v>0</v>
      </c>
      <c r="BJ1897" s="68" cm="1">
        <f t="array" ref="BJ1897">IF(BM1897 = "", "",IFERROR(INDEX(AW1897:BH1897,1,MATCH(2,1/(AW1897:BH1897&lt;&gt;""),1)-1),""))</f>
        <v>0</v>
      </c>
      <c r="BK1897" s="57" cm="1">
        <f t="array" ref="BK1897">IFERROR(INDEX(AW1897:BH1897,1,MATCH(2,1/(AW1897:BH1897&lt;&gt;""),1)),"")</f>
        <v>0</v>
      </c>
      <c r="BL1897" s="57" cm="1">
        <f t="array" ref="BL1897">IF(BM1897 = "", "",IFERROR(INDEX(AW1897:BH1897,1,MATCH(2,1/(AW1897:BH1897&lt;&gt;""),1)-1),""))</f>
        <v>0</v>
      </c>
      <c r="BM1897" s="55" cm="1">
        <f t="array" ref="BM1897">IFERROR(
   INDEX($AW$1:$BH$1,
      _xlfn.AGGREGATE(14, 6, COLUMN($AW$1:$BH$1)/(AW1897:BH1897&lt;&gt;""), 2) - COLUMN($AW$1) + 1
   ),
"")</f>
        <v>46054</v>
      </c>
      <c r="BN1897" s="55" cm="1">
        <f t="array" ref="BN1897">IFERROR(INDEX($AW$1:$BH$1,1,MATCH(2,1/(AW1897:BH1897&lt;&gt;""))),"")</f>
        <v>46082</v>
      </c>
      <c r="BO1897" s="53">
        <f ca="1">IFERROR(_xlfn.XLOOKUP(F1897,Apuração!A:A,Apuração!C:C)/_xlfn.XLOOKUP(F1897,Apuração!A:A,Apuração!B:B),0)</f>
        <v>0</v>
      </c>
      <c r="BP1897" s="53">
        <f ca="1">IFERROR(_xlfn.XLOOKUP(F1897,Apuração!A:A,Apuração!D:D)/_xlfn.XLOOKUP(F1897,Apuração!A:A,Apuração!B:B),0)</f>
        <v>0</v>
      </c>
      <c r="BQ1897" s="53">
        <f ca="1">IF(BK1897&gt;=BO1897,0,_xlfn.XLOOKUP(F1897,Apuração!A:A,Apuração!B:B)*(BO1897 + (1/_xlfn.XLOOKUP(F1897,Apuração!A:A,Apuração!B:B)) - BK1897))</f>
        <v>0</v>
      </c>
      <c r="BR1897" s="85">
        <f t="shared" ref="BR1897:BR1901" ca="1" si="2200">IF(BQ1897=0,0,BQ1897*Z1897)</f>
        <v>0</v>
      </c>
      <c r="BS1897" s="53">
        <f ca="1">IFERROR((_xlfn.XLOOKUP(F1897,Apuração!A:A,Apuração!C:C)+1)/_xlfn.XLOOKUP(F1897,Apuração!A:A,Apuração!B:B),0)</f>
        <v>0.14285714285714285</v>
      </c>
    </row>
    <row r="1898" spans="1:71" ht="25.95" hidden="1" customHeight="1" x14ac:dyDescent="0.3">
      <c r="A1898" s="35" t="s">
        <v>44</v>
      </c>
      <c r="B1898" s="10" t="s">
        <v>44</v>
      </c>
      <c r="C1898" s="5" t="s">
        <v>214</v>
      </c>
      <c r="D1898" s="5" t="s">
        <v>215</v>
      </c>
      <c r="E1898" s="4" t="str" cm="1">
        <f t="array" ref="E1898">_xlfn.IFS(
F1898 = "A partir de Abril", "Aguardando Execução na Distribuidora",
A1898 = "CAPACITAÇÃO", "Em execução no Corporativo",
TRUE, "Em Execução na Distribuidora"
)</f>
        <v>Em Execução na Distribuidora</v>
      </c>
      <c r="F1898" s="4" t="str" cm="1">
        <f t="array" ref="F1898">_xlfn.IFS(
AG1898 &lt;&gt; "", "Jan-Dez/26",
AH1898 &lt;&gt; "", "Fev-Dez/26",
AI1898 &lt;&gt; "", "Mar-Dez/26", AJ1898 &lt;&gt; "", "Abr-Dez/26",
TRUE, "A partir de Junho"
)</f>
        <v>A partir de Junho</v>
      </c>
      <c r="G1898" s="10" t="s">
        <v>44</v>
      </c>
      <c r="H1898" s="36" t="s">
        <v>44</v>
      </c>
      <c r="I1898" s="37"/>
      <c r="J1898" s="37"/>
      <c r="K1898" s="37"/>
      <c r="L1898" s="37" t="s">
        <v>200</v>
      </c>
      <c r="M1898" s="37"/>
      <c r="N1898" s="5" t="s">
        <v>42</v>
      </c>
      <c r="O1898" s="5" t="s">
        <v>52</v>
      </c>
      <c r="P1898" s="10" t="s">
        <v>44</v>
      </c>
      <c r="Q1898" s="10" t="s">
        <v>44</v>
      </c>
      <c r="R1898" s="11" t="s">
        <v>44</v>
      </c>
      <c r="S1898" s="11" t="s">
        <v>44</v>
      </c>
      <c r="T1898" s="22"/>
      <c r="U1898" s="22"/>
      <c r="V1898" s="22"/>
      <c r="W1898" s="22"/>
      <c r="X1898" s="22"/>
      <c r="Y1898" s="22"/>
      <c r="Z1898" s="22"/>
      <c r="AA1898" s="22"/>
      <c r="AB1898" s="22"/>
      <c r="AC1898" s="22"/>
      <c r="AD1898" s="22"/>
      <c r="AE1898" s="22"/>
      <c r="AG1898" s="112"/>
      <c r="AH1898" s="112"/>
      <c r="AI1898" s="112"/>
      <c r="AJ1898" s="71"/>
      <c r="AK1898" s="71"/>
      <c r="AL1898" s="71"/>
      <c r="AM1898" s="71"/>
      <c r="AN1898" s="71"/>
      <c r="AO1898" s="71"/>
      <c r="AP1898" s="71"/>
      <c r="AQ1898" s="71"/>
      <c r="AR1898" s="71"/>
      <c r="AS1898" s="94"/>
      <c r="AT1898" s="95"/>
      <c r="AU1898" s="97"/>
      <c r="AW1898" s="84">
        <f t="shared" si="2197"/>
        <v>0</v>
      </c>
      <c r="AX1898" s="84">
        <f t="shared" si="2198"/>
        <v>0</v>
      </c>
      <c r="AY1898" s="84">
        <f t="shared" si="2199"/>
        <v>0</v>
      </c>
      <c r="AZ1898" s="84"/>
      <c r="BA1898" s="84"/>
      <c r="BB1898" s="84"/>
      <c r="BC1898" s="84"/>
      <c r="BD1898" s="84"/>
      <c r="BE1898" s="84"/>
      <c r="BF1898" s="84"/>
      <c r="BG1898" s="84"/>
      <c r="BH1898" s="84"/>
      <c r="BI1898" s="68" cm="1">
        <f t="array" ref="BI1898">IFERROR(INDEX(AW1898:BH1898,1,MATCH(2,1/(AW1898:BH1898&lt;&gt;""))),"")</f>
        <v>0</v>
      </c>
      <c r="BJ1898" s="68" cm="1">
        <f t="array" ref="BJ1898">IF(BM1898 = "", "",IFERROR(INDEX(AW1898:BH1898,1,MATCH(2,1/(AW1898:BH1898&lt;&gt;""),1)-1),""))</f>
        <v>0</v>
      </c>
      <c r="BK1898" s="57" cm="1">
        <f t="array" ref="BK1898">IFERROR(INDEX(AW1898:BH1898,1,MATCH(2,1/(AW1898:BH1898&lt;&gt;""),1)),"")</f>
        <v>0</v>
      </c>
      <c r="BL1898" s="57" cm="1">
        <f t="array" ref="BL1898">IF(BM1898 = "", "",IFERROR(INDEX(AW1898:BH1898,1,MATCH(2,1/(AW1898:BH1898&lt;&gt;""),1)-1),""))</f>
        <v>0</v>
      </c>
      <c r="BM1898" s="55" cm="1">
        <f t="array" ref="BM1898">IFERROR(
   INDEX($AW$1:$BH$1,
      _xlfn.AGGREGATE(14, 6, COLUMN($AW$1:$BH$1)/(AW1898:BH1898&lt;&gt;""), 2) - COLUMN($AW$1) + 1
   ),
"")</f>
        <v>46054</v>
      </c>
      <c r="BN1898" s="55" cm="1">
        <f t="array" ref="BN1898">IFERROR(INDEX($AW$1:$BH$1,1,MATCH(2,1/(AW1898:BH1898&lt;&gt;""))),"")</f>
        <v>46082</v>
      </c>
      <c r="BO1898" s="53">
        <f ca="1">IFERROR(_xlfn.XLOOKUP(F1898,Apuração!A:A,Apuração!C:C)/_xlfn.XLOOKUP(F1898,Apuração!A:A,Apuração!B:B),0)</f>
        <v>0</v>
      </c>
      <c r="BP1898" s="53">
        <f ca="1">IFERROR(_xlfn.XLOOKUP(F1898,Apuração!A:A,Apuração!D:D)/_xlfn.XLOOKUP(F1898,Apuração!A:A,Apuração!B:B),0)</f>
        <v>0</v>
      </c>
      <c r="BQ1898" s="53">
        <f ca="1">IF(BK1898&gt;=BO1898,0,_xlfn.XLOOKUP(F1898,Apuração!A:A,Apuração!B:B)*(BO1898 + (1/_xlfn.XLOOKUP(F1898,Apuração!A:A,Apuração!B:B)) - BK1898))</f>
        <v>0</v>
      </c>
      <c r="BR1898" s="85">
        <f t="shared" ca="1" si="2200"/>
        <v>0</v>
      </c>
      <c r="BS1898" s="53">
        <f ca="1">IFERROR((_xlfn.XLOOKUP(F1898,Apuração!A:A,Apuração!C:C)+1)/_xlfn.XLOOKUP(F1898,Apuração!A:A,Apuração!B:B),0)</f>
        <v>0.14285714285714285</v>
      </c>
    </row>
    <row r="1899" spans="1:71" ht="25.95" hidden="1" customHeight="1" x14ac:dyDescent="0.3">
      <c r="A1899" s="35" t="s">
        <v>44</v>
      </c>
      <c r="B1899" s="10" t="s">
        <v>44</v>
      </c>
      <c r="C1899" s="5" t="s">
        <v>214</v>
      </c>
      <c r="D1899" s="5" t="s">
        <v>212</v>
      </c>
      <c r="E1899" s="4" t="str" cm="1">
        <f t="array" ref="E1899">_xlfn.IFS(
F1899 = "A partir de Abril", "Aguardando Execução na Distribuidora",
A1899 = "CAPACITAÇÃO", "Em execução no Corporativo",
TRUE, "Em Execução na Distribuidora"
)</f>
        <v>Em Execução na Distribuidora</v>
      </c>
      <c r="F1899" s="4" t="str" cm="1">
        <f t="array" ref="F1899">_xlfn.IFS(
AG1899 &lt;&gt; "", "Jan-Dez/26",
AH1899 &lt;&gt; "", "Fev-Dez/26",
AI1899 &lt;&gt; "", "Mar-Dez/26", AJ1899 &lt;&gt; "", "Abr-Dez/26",
TRUE, "A partir de Junho"
)</f>
        <v>A partir de Junho</v>
      </c>
      <c r="G1899" s="10" t="s">
        <v>44</v>
      </c>
      <c r="H1899" s="36" t="s">
        <v>44</v>
      </c>
      <c r="I1899" s="37"/>
      <c r="J1899" s="37"/>
      <c r="K1899" s="37"/>
      <c r="L1899" s="37" t="s">
        <v>200</v>
      </c>
      <c r="M1899" s="37"/>
      <c r="N1899" s="5" t="s">
        <v>42</v>
      </c>
      <c r="O1899" s="5" t="s">
        <v>52</v>
      </c>
      <c r="P1899" s="10" t="s">
        <v>44</v>
      </c>
      <c r="Q1899" s="10" t="s">
        <v>44</v>
      </c>
      <c r="R1899" s="11" t="s">
        <v>44</v>
      </c>
      <c r="S1899" s="11" t="s">
        <v>44</v>
      </c>
      <c r="T1899" s="22"/>
      <c r="U1899" s="22"/>
      <c r="V1899" s="22"/>
      <c r="W1899" s="22"/>
      <c r="X1899" s="22"/>
      <c r="Y1899" s="22"/>
      <c r="Z1899" s="22"/>
      <c r="AA1899" s="22"/>
      <c r="AB1899" s="22"/>
      <c r="AC1899" s="22"/>
      <c r="AD1899" s="22"/>
      <c r="AE1899" s="22"/>
      <c r="AG1899" s="112"/>
      <c r="AH1899" s="112"/>
      <c r="AI1899" s="112"/>
      <c r="AJ1899" s="71"/>
      <c r="AK1899" s="71"/>
      <c r="AL1899" s="71"/>
      <c r="AM1899" s="71"/>
      <c r="AN1899" s="71"/>
      <c r="AO1899" s="71"/>
      <c r="AP1899" s="71"/>
      <c r="AQ1899" s="71"/>
      <c r="AR1899" s="71"/>
      <c r="AS1899" s="94"/>
      <c r="AT1899" s="95"/>
      <c r="AU1899" s="97"/>
      <c r="AW1899" s="84">
        <f t="shared" si="2197"/>
        <v>0</v>
      </c>
      <c r="AX1899" s="84">
        <f t="shared" si="2198"/>
        <v>0</v>
      </c>
      <c r="AY1899" s="84">
        <f t="shared" si="2199"/>
        <v>0</v>
      </c>
      <c r="AZ1899" s="84"/>
      <c r="BA1899" s="84"/>
      <c r="BB1899" s="84"/>
      <c r="BC1899" s="84"/>
      <c r="BD1899" s="84"/>
      <c r="BE1899" s="84"/>
      <c r="BF1899" s="84"/>
      <c r="BG1899" s="84"/>
      <c r="BH1899" s="84"/>
      <c r="BI1899" s="68" cm="1">
        <f t="array" ref="BI1899">IFERROR(INDEX(AW1899:BH1899,1,MATCH(2,1/(AW1899:BH1899&lt;&gt;""))),"")</f>
        <v>0</v>
      </c>
      <c r="BJ1899" s="68" cm="1">
        <f t="array" ref="BJ1899">IF(BM1899 = "", "",IFERROR(INDEX(AW1899:BH1899,1,MATCH(2,1/(AW1899:BH1899&lt;&gt;""),1)-1),""))</f>
        <v>0</v>
      </c>
      <c r="BK1899" s="57" cm="1">
        <f t="array" ref="BK1899">IFERROR(INDEX(AW1899:BH1899,1,MATCH(2,1/(AW1899:BH1899&lt;&gt;""),1)),"")</f>
        <v>0</v>
      </c>
      <c r="BL1899" s="57" cm="1">
        <f t="array" ref="BL1899">IF(BM1899 = "", "",IFERROR(INDEX(AW1899:BH1899,1,MATCH(2,1/(AW1899:BH1899&lt;&gt;""),1)-1),""))</f>
        <v>0</v>
      </c>
      <c r="BM1899" s="55" cm="1">
        <f t="array" ref="BM1899">IFERROR(
   INDEX($AW$1:$BH$1,
      _xlfn.AGGREGATE(14, 6, COLUMN($AW$1:$BH$1)/(AW1899:BH1899&lt;&gt;""), 2) - COLUMN($AW$1) + 1
   ),
"")</f>
        <v>46054</v>
      </c>
      <c r="BN1899" s="55" cm="1">
        <f t="array" ref="BN1899">IFERROR(INDEX($AW$1:$BH$1,1,MATCH(2,1/(AW1899:BH1899&lt;&gt;""))),"")</f>
        <v>46082</v>
      </c>
      <c r="BO1899" s="53">
        <f ca="1">IFERROR(_xlfn.XLOOKUP(F1899,Apuração!A:A,Apuração!C:C)/_xlfn.XLOOKUP(F1899,Apuração!A:A,Apuração!B:B),0)</f>
        <v>0</v>
      </c>
      <c r="BP1899" s="53">
        <f ca="1">IFERROR(_xlfn.XLOOKUP(F1899,Apuração!A:A,Apuração!D:D)/_xlfn.XLOOKUP(F1899,Apuração!A:A,Apuração!B:B),0)</f>
        <v>0</v>
      </c>
      <c r="BQ1899" s="53">
        <f ca="1">IF(BK1899&gt;=BO1899,0,_xlfn.XLOOKUP(F1899,Apuração!A:A,Apuração!B:B)*(BO1899 + (1/_xlfn.XLOOKUP(F1899,Apuração!A:A,Apuração!B:B)) - BK1899))</f>
        <v>0</v>
      </c>
      <c r="BR1899" s="85">
        <f t="shared" ca="1" si="2200"/>
        <v>0</v>
      </c>
      <c r="BS1899" s="53">
        <f ca="1">IFERROR((_xlfn.XLOOKUP(F1899,Apuração!A:A,Apuração!C:C)+1)/_xlfn.XLOOKUP(F1899,Apuração!A:A,Apuração!B:B),0)</f>
        <v>0.14285714285714285</v>
      </c>
    </row>
    <row r="1900" spans="1:71" ht="25.95" hidden="1" customHeight="1" x14ac:dyDescent="0.3">
      <c r="A1900" s="35" t="s">
        <v>44</v>
      </c>
      <c r="B1900" s="10" t="s">
        <v>44</v>
      </c>
      <c r="C1900" s="5" t="s">
        <v>214</v>
      </c>
      <c r="D1900" s="5" t="s">
        <v>48</v>
      </c>
      <c r="E1900" s="4" t="str" cm="1">
        <f t="array" ref="E1900">_xlfn.IFS(
F1900 = "A partir de Abril", "Aguardando Execução na Distribuidora",
A1900 = "CAPACITAÇÃO", "Em execução no Corporativo",
TRUE, "Em Execução na Distribuidora"
)</f>
        <v>Em Execução na Distribuidora</v>
      </c>
      <c r="F1900" s="4" t="str" cm="1">
        <f t="array" ref="F1900">_xlfn.IFS(
AG1900 &lt;&gt; "", "Jan-Dez/26",
AH1900 &lt;&gt; "", "Fev-Dez/26",
AI1900 &lt;&gt; "", "Mar-Dez/26", AJ1900 &lt;&gt; "", "Abr-Dez/26",
TRUE, "A partir de Junho"
)</f>
        <v>A partir de Junho</v>
      </c>
      <c r="G1900" s="10" t="s">
        <v>44</v>
      </c>
      <c r="H1900" s="36" t="s">
        <v>44</v>
      </c>
      <c r="I1900" s="37"/>
      <c r="J1900" s="37"/>
      <c r="K1900" s="37"/>
      <c r="L1900" s="37" t="s">
        <v>200</v>
      </c>
      <c r="M1900" s="37"/>
      <c r="N1900" s="5" t="s">
        <v>42</v>
      </c>
      <c r="O1900" s="5" t="s">
        <v>52</v>
      </c>
      <c r="P1900" s="10" t="s">
        <v>44</v>
      </c>
      <c r="Q1900" s="10" t="s">
        <v>44</v>
      </c>
      <c r="R1900" s="11" t="s">
        <v>44</v>
      </c>
      <c r="S1900" s="11" t="s">
        <v>44</v>
      </c>
      <c r="T1900" s="22"/>
      <c r="U1900" s="22"/>
      <c r="V1900" s="22"/>
      <c r="W1900" s="22"/>
      <c r="X1900" s="22"/>
      <c r="Y1900" s="22"/>
      <c r="Z1900" s="22"/>
      <c r="AA1900" s="22"/>
      <c r="AB1900" s="22"/>
      <c r="AC1900" s="22"/>
      <c r="AD1900" s="22"/>
      <c r="AE1900" s="22"/>
      <c r="AG1900" s="112"/>
      <c r="AH1900" s="112"/>
      <c r="AI1900" s="112"/>
      <c r="AJ1900" s="71"/>
      <c r="AK1900" s="71"/>
      <c r="AL1900" s="71"/>
      <c r="AM1900" s="71"/>
      <c r="AN1900" s="71"/>
      <c r="AO1900" s="71"/>
      <c r="AP1900" s="71"/>
      <c r="AQ1900" s="71"/>
      <c r="AR1900" s="71"/>
      <c r="AS1900" s="94"/>
      <c r="AT1900" s="95"/>
      <c r="AU1900" s="97"/>
      <c r="AW1900" s="84">
        <f t="shared" si="2197"/>
        <v>0</v>
      </c>
      <c r="AX1900" s="84">
        <f t="shared" si="2198"/>
        <v>0</v>
      </c>
      <c r="AY1900" s="84">
        <f t="shared" si="2199"/>
        <v>0</v>
      </c>
      <c r="AZ1900" s="84"/>
      <c r="BA1900" s="84"/>
      <c r="BB1900" s="84"/>
      <c r="BC1900" s="84"/>
      <c r="BD1900" s="84"/>
      <c r="BE1900" s="84"/>
      <c r="BF1900" s="84"/>
      <c r="BG1900" s="84"/>
      <c r="BH1900" s="84"/>
      <c r="BI1900" s="68" cm="1">
        <f t="array" ref="BI1900">IFERROR(INDEX(AW1900:BH1900,1,MATCH(2,1/(AW1900:BH1900&lt;&gt;""))),"")</f>
        <v>0</v>
      </c>
      <c r="BJ1900" s="68" cm="1">
        <f t="array" ref="BJ1900">IF(BM1900 = "", "",IFERROR(INDEX(AW1900:BH1900,1,MATCH(2,1/(AW1900:BH1900&lt;&gt;""),1)-1),""))</f>
        <v>0</v>
      </c>
      <c r="BK1900" s="57" cm="1">
        <f t="array" ref="BK1900">IFERROR(INDEX(AW1900:BH1900,1,MATCH(2,1/(AW1900:BH1900&lt;&gt;""),1)),"")</f>
        <v>0</v>
      </c>
      <c r="BL1900" s="57" cm="1">
        <f t="array" ref="BL1900">IF(BM1900 = "", "",IFERROR(INDEX(AW1900:BH1900,1,MATCH(2,1/(AW1900:BH1900&lt;&gt;""),1)-1),""))</f>
        <v>0</v>
      </c>
      <c r="BM1900" s="55" cm="1">
        <f t="array" ref="BM1900">IFERROR(
   INDEX($AW$1:$BH$1,
      _xlfn.AGGREGATE(14, 6, COLUMN($AW$1:$BH$1)/(AW1900:BH1900&lt;&gt;""), 2) - COLUMN($AW$1) + 1
   ),
"")</f>
        <v>46054</v>
      </c>
      <c r="BN1900" s="55" cm="1">
        <f t="array" ref="BN1900">IFERROR(INDEX($AW$1:$BH$1,1,MATCH(2,1/(AW1900:BH1900&lt;&gt;""))),"")</f>
        <v>46082</v>
      </c>
      <c r="BO1900" s="53">
        <f ca="1">IFERROR(_xlfn.XLOOKUP(F1900,Apuração!A:A,Apuração!C:C)/_xlfn.XLOOKUP(F1900,Apuração!A:A,Apuração!B:B),0)</f>
        <v>0</v>
      </c>
      <c r="BP1900" s="53">
        <f ca="1">IFERROR(_xlfn.XLOOKUP(F1900,Apuração!A:A,Apuração!D:D)/_xlfn.XLOOKUP(F1900,Apuração!A:A,Apuração!B:B),0)</f>
        <v>0</v>
      </c>
      <c r="BQ1900" s="53">
        <f ca="1">IF(BK1900&gt;=BO1900,0,_xlfn.XLOOKUP(F1900,Apuração!A:A,Apuração!B:B)*(BO1900 + (1/_xlfn.XLOOKUP(F1900,Apuração!A:A,Apuração!B:B)) - BK1900))</f>
        <v>0</v>
      </c>
      <c r="BR1900" s="85">
        <f t="shared" ca="1" si="2200"/>
        <v>0</v>
      </c>
      <c r="BS1900" s="53">
        <f ca="1">IFERROR((_xlfn.XLOOKUP(F1900,Apuração!A:A,Apuração!C:C)+1)/_xlfn.XLOOKUP(F1900,Apuração!A:A,Apuração!B:B),0)</f>
        <v>0.14285714285714285</v>
      </c>
    </row>
    <row r="1901" spans="1:71" ht="25.95" hidden="1" customHeight="1" x14ac:dyDescent="0.3">
      <c r="A1901" s="35" t="s">
        <v>44</v>
      </c>
      <c r="B1901" s="10" t="s">
        <v>44</v>
      </c>
      <c r="C1901" s="5" t="s">
        <v>214</v>
      </c>
      <c r="D1901" s="5" t="s">
        <v>213</v>
      </c>
      <c r="E1901" s="4" t="str" cm="1">
        <f t="array" ref="E1901">_xlfn.IFS(
F1901 = "A partir de Abril", "Aguardando Execução na Distribuidora",
A1901 = "CAPACITAÇÃO", "Em execução no Corporativo",
TRUE, "Em Execução na Distribuidora"
)</f>
        <v>Em Execução na Distribuidora</v>
      </c>
      <c r="F1901" s="4" t="str" cm="1">
        <f t="array" ref="F1901">_xlfn.IFS(
AG1901 &lt;&gt; "", "Jan-Dez/26",
AH1901 &lt;&gt; "", "Fev-Dez/26",
AI1901 &lt;&gt; "", "Mar-Dez/26", AJ1901 &lt;&gt; "", "Abr-Dez/26",
TRUE, "A partir de Junho"
)</f>
        <v>A partir de Junho</v>
      </c>
      <c r="G1901" s="10" t="s">
        <v>44</v>
      </c>
      <c r="H1901" s="36" t="s">
        <v>44</v>
      </c>
      <c r="I1901" s="37"/>
      <c r="J1901" s="37"/>
      <c r="K1901" s="37"/>
      <c r="L1901" s="37" t="s">
        <v>200</v>
      </c>
      <c r="M1901" s="37"/>
      <c r="N1901" s="5" t="s">
        <v>42</v>
      </c>
      <c r="O1901" s="5" t="s">
        <v>52</v>
      </c>
      <c r="P1901" s="10" t="s">
        <v>44</v>
      </c>
      <c r="Q1901" s="10" t="s">
        <v>44</v>
      </c>
      <c r="R1901" s="11" t="s">
        <v>44</v>
      </c>
      <c r="S1901" s="11" t="s">
        <v>44</v>
      </c>
      <c r="T1901" s="22"/>
      <c r="U1901" s="22"/>
      <c r="V1901" s="22"/>
      <c r="W1901" s="22"/>
      <c r="X1901" s="22"/>
      <c r="Y1901" s="22"/>
      <c r="Z1901" s="22"/>
      <c r="AA1901" s="22"/>
      <c r="AB1901" s="22"/>
      <c r="AC1901" s="22"/>
      <c r="AD1901" s="22"/>
      <c r="AE1901" s="22"/>
      <c r="AG1901" s="112"/>
      <c r="AH1901" s="112"/>
      <c r="AI1901" s="112"/>
      <c r="AJ1901" s="71"/>
      <c r="AK1901" s="71"/>
      <c r="AL1901" s="71"/>
      <c r="AM1901" s="71"/>
      <c r="AN1901" s="71"/>
      <c r="AO1901" s="71"/>
      <c r="AP1901" s="71"/>
      <c r="AQ1901" s="71"/>
      <c r="AR1901" s="71"/>
      <c r="AS1901" s="94"/>
      <c r="AT1901" s="95"/>
      <c r="AU1901" s="97"/>
      <c r="AW1901" s="84">
        <f t="shared" si="2197"/>
        <v>0</v>
      </c>
      <c r="AX1901" s="84">
        <f t="shared" si="2198"/>
        <v>0</v>
      </c>
      <c r="AY1901" s="84">
        <f t="shared" si="2199"/>
        <v>0</v>
      </c>
      <c r="AZ1901" s="84"/>
      <c r="BA1901" s="84"/>
      <c r="BB1901" s="84"/>
      <c r="BC1901" s="84"/>
      <c r="BD1901" s="84"/>
      <c r="BE1901" s="84"/>
      <c r="BF1901" s="84"/>
      <c r="BG1901" s="84"/>
      <c r="BH1901" s="84"/>
      <c r="BI1901" s="68" cm="1">
        <f t="array" ref="BI1901">IFERROR(INDEX(AW1901:BH1901,1,MATCH(2,1/(AW1901:BH1901&lt;&gt;""))),"")</f>
        <v>0</v>
      </c>
      <c r="BJ1901" s="68" cm="1">
        <f t="array" ref="BJ1901">IF(BM1901 = "", "",IFERROR(INDEX(AW1901:BH1901,1,MATCH(2,1/(AW1901:BH1901&lt;&gt;""),1)-1),""))</f>
        <v>0</v>
      </c>
      <c r="BK1901" s="57" cm="1">
        <f t="array" ref="BK1901">IFERROR(INDEX(AW1901:BH1901,1,MATCH(2,1/(AW1901:BH1901&lt;&gt;""),1)),"")</f>
        <v>0</v>
      </c>
      <c r="BL1901" s="57" cm="1">
        <f t="array" ref="BL1901">IF(BM1901 = "", "",IFERROR(INDEX(AW1901:BH1901,1,MATCH(2,1/(AW1901:BH1901&lt;&gt;""),1)-1),""))</f>
        <v>0</v>
      </c>
      <c r="BM1901" s="55" cm="1">
        <f t="array" ref="BM1901">IFERROR(
   INDEX($AW$1:$BH$1,
      _xlfn.AGGREGATE(14, 6, COLUMN($AW$1:$BH$1)/(AW1901:BH1901&lt;&gt;""), 2) - COLUMN($AW$1) + 1
   ),
"")</f>
        <v>46054</v>
      </c>
      <c r="BN1901" s="55" cm="1">
        <f t="array" ref="BN1901">IFERROR(INDEX($AW$1:$BH$1,1,MATCH(2,1/(AW1901:BH1901&lt;&gt;""))),"")</f>
        <v>46082</v>
      </c>
      <c r="BO1901" s="53">
        <f ca="1">IFERROR(_xlfn.XLOOKUP(F1901,Apuração!A:A,Apuração!C:C)/_xlfn.XLOOKUP(F1901,Apuração!A:A,Apuração!B:B),0)</f>
        <v>0</v>
      </c>
      <c r="BP1901" s="53">
        <f ca="1">IFERROR(_xlfn.XLOOKUP(F1901,Apuração!A:A,Apuração!D:D)/_xlfn.XLOOKUP(F1901,Apuração!A:A,Apuração!B:B),0)</f>
        <v>0</v>
      </c>
      <c r="BQ1901" s="53">
        <f ca="1">IF(BK1901&gt;=BO1901,0,_xlfn.XLOOKUP(F1901,Apuração!A:A,Apuração!B:B)*(BO1901 + (1/_xlfn.XLOOKUP(F1901,Apuração!A:A,Apuração!B:B)) - BK1901))</f>
        <v>0</v>
      </c>
      <c r="BR1901" s="85">
        <f t="shared" ca="1" si="2200"/>
        <v>0</v>
      </c>
      <c r="BS1901" s="53">
        <f ca="1">IFERROR((_xlfn.XLOOKUP(F1901,Apuração!A:A,Apuração!C:C)+1)/_xlfn.XLOOKUP(F1901,Apuração!A:A,Apuração!B:B),0)</f>
        <v>0.14285714285714285</v>
      </c>
    </row>
    <row r="1902" spans="1:71" ht="25.95" hidden="1" customHeight="1" x14ac:dyDescent="0.3">
      <c r="A1902" s="35" t="s">
        <v>44</v>
      </c>
      <c r="B1902" s="10" t="s">
        <v>44</v>
      </c>
      <c r="C1902" s="5" t="s">
        <v>214</v>
      </c>
      <c r="D1902" s="5" t="s">
        <v>36</v>
      </c>
      <c r="E1902" s="4" t="str" cm="1">
        <f t="array" ref="E1902">_xlfn.IFS(
F1902 = "A partir de Abril", "Aguardando Execução na Distribuidora",
A1902 = "CAPACITAÇÃO", "Em execução no Corporativo",
TRUE, "Em Execução na Distribuidora"
)</f>
        <v>Em Execução na Distribuidora</v>
      </c>
      <c r="F1902" s="4" t="str" cm="1">
        <f t="array" ref="F1902">_xlfn.IFS(
AG1902 &lt;&gt; "", "Jan-Dez/26",
AH1902 &lt;&gt; "", "Fev-Dez/26",
AI1902 &lt;&gt; "", "Mar-Dez/26", AJ1902 &lt;&gt; "", "Abr-Dez/26",
TRUE, "A partir de Junho"
)</f>
        <v>Jan-Dez/26</v>
      </c>
      <c r="G1902" s="10" t="s">
        <v>44</v>
      </c>
      <c r="H1902" s="36" t="s">
        <v>44</v>
      </c>
      <c r="I1902" s="37"/>
      <c r="J1902" s="37"/>
      <c r="K1902" s="37"/>
      <c r="L1902" s="37" t="s">
        <v>201</v>
      </c>
      <c r="M1902" s="37"/>
      <c r="N1902" s="5" t="s">
        <v>42</v>
      </c>
      <c r="O1902" s="5" t="s">
        <v>52</v>
      </c>
      <c r="P1902" s="10" t="s">
        <v>44</v>
      </c>
      <c r="Q1902" s="10" t="s">
        <v>44</v>
      </c>
      <c r="R1902" s="11" t="s">
        <v>44</v>
      </c>
      <c r="S1902" s="11" t="s">
        <v>44</v>
      </c>
      <c r="T1902" s="22"/>
      <c r="U1902" s="22"/>
      <c r="V1902" s="22"/>
      <c r="W1902" s="22"/>
      <c r="X1902" s="22"/>
      <c r="Y1902" s="22"/>
      <c r="Z1902" s="22"/>
      <c r="AA1902" s="22"/>
      <c r="AB1902" s="22"/>
      <c r="AC1902" s="22"/>
      <c r="AD1902" s="22"/>
      <c r="AE1902" s="22"/>
      <c r="AG1902" s="112">
        <v>0</v>
      </c>
      <c r="AH1902" s="112">
        <v>0</v>
      </c>
      <c r="AI1902" s="112">
        <v>0</v>
      </c>
      <c r="AJ1902" s="112">
        <v>2.69</v>
      </c>
      <c r="AK1902" s="112"/>
      <c r="AL1902" s="112"/>
      <c r="AM1902" s="112"/>
      <c r="AN1902" s="112"/>
      <c r="AO1902" s="112"/>
      <c r="AP1902" s="112"/>
      <c r="AQ1902" s="112"/>
      <c r="AR1902" s="112"/>
      <c r="AS1902" s="94"/>
      <c r="AT1902" s="95"/>
      <c r="AU1902" s="97"/>
      <c r="AW1902" s="84">
        <f>AG1902</f>
        <v>0</v>
      </c>
      <c r="AX1902" s="84">
        <f>AH1902</f>
        <v>0</v>
      </c>
      <c r="AY1902" s="84">
        <f>AI1902</f>
        <v>0</v>
      </c>
      <c r="AZ1902" s="84">
        <f>AJ1902</f>
        <v>2.69</v>
      </c>
      <c r="BA1902" s="84"/>
      <c r="BB1902" s="84"/>
      <c r="BC1902" s="84"/>
      <c r="BD1902" s="84"/>
      <c r="BE1902" s="84"/>
      <c r="BF1902" s="84"/>
      <c r="BG1902" s="84"/>
      <c r="BH1902" s="84"/>
      <c r="BI1902" s="68" cm="1">
        <f t="array" ref="BI1902">IFERROR(INDEX(AW1902:BH1902,1,MATCH(2,1/(AW1902:BH1902&lt;&gt;""))),"")</f>
        <v>2.69</v>
      </c>
      <c r="BJ1902" s="68" cm="1">
        <f t="array" ref="BJ1902">IF(BM1902 = "", "",IFERROR(INDEX(AW1902:BH1902,1,MATCH(2,1/(AW1902:BH1902&lt;&gt;""),1)-1),""))</f>
        <v>0</v>
      </c>
      <c r="BK1902" s="57" cm="1">
        <f t="array" ref="BK1902">IFERROR(INDEX(AW1902:BH1902,1,MATCH(2,1/(AW1902:BH1902&lt;&gt;""),1)),"")</f>
        <v>2.69</v>
      </c>
      <c r="BL1902" s="57" cm="1">
        <f t="array" ref="BL1902">IF(BM1902 = "", "",IFERROR(INDEX(AW1902:BH1902,1,MATCH(2,1/(AW1902:BH1902&lt;&gt;""),1)-1),""))</f>
        <v>0</v>
      </c>
      <c r="BM1902" s="55" cm="1">
        <f t="array" ref="BM1902">IFERROR(
   INDEX($AW$1:$BH$1,
      _xlfn.AGGREGATE(14, 6, COLUMN($AW$1:$BH$1)/(AW1902:BH1902&lt;&gt;""), 2) - COLUMN($AW$1) + 1
   ),
"")</f>
        <v>46082</v>
      </c>
      <c r="BN1902" s="55" cm="1">
        <f t="array" ref="BN1902">IFERROR(INDEX($AW$1:$BH$1,1,MATCH(2,1/(AW1902:BH1902&lt;&gt;""))),"")</f>
        <v>46113</v>
      </c>
      <c r="BO1902" s="53">
        <f ca="1">IFERROR(_xlfn.XLOOKUP(F1902,Apuração!A:A,Apuração!C:C)/_xlfn.XLOOKUP(F1902,Apuração!A:A,Apuração!B:B),0)</f>
        <v>0.41666666666666669</v>
      </c>
      <c r="BP1902" s="53">
        <f ca="1">IFERROR(_xlfn.XLOOKUP(F1902,Apuração!A:A,Apuração!D:D)/_xlfn.XLOOKUP(F1902,Apuração!A:A,Apuração!B:B),0)</f>
        <v>0.33333333333333331</v>
      </c>
      <c r="BQ1902" s="53">
        <f ca="1">IF(BK1902&gt;=BO1902,0,_xlfn.XLOOKUP(F1902,Apuração!A:A,Apuração!B:B)*(BO1902 + (1/_xlfn.XLOOKUP(F1902,Apuração!A:A,Apuração!B:B)) - BK1902))</f>
        <v>0</v>
      </c>
      <c r="BR1902" s="85">
        <f ca="1">IF(BQ1902=0,0,BQ1902*Z1902)</f>
        <v>0</v>
      </c>
      <c r="BS1902" s="53">
        <f ca="1">IFERROR((_xlfn.XLOOKUP(F1902,Apuração!A:A,Apuração!C:C)+1)/_xlfn.XLOOKUP(F1902,Apuração!A:A,Apuração!B:B),0)</f>
        <v>0.5</v>
      </c>
    </row>
    <row r="1903" spans="1:71" ht="25.95" hidden="1" customHeight="1" x14ac:dyDescent="0.3">
      <c r="A1903" s="35" t="s">
        <v>44</v>
      </c>
      <c r="B1903" s="10" t="s">
        <v>44</v>
      </c>
      <c r="C1903" s="5" t="s">
        <v>214</v>
      </c>
      <c r="D1903" s="5" t="s">
        <v>210</v>
      </c>
      <c r="E1903" s="4" t="str" cm="1">
        <f t="array" ref="E1903">_xlfn.IFS(
F1903 = "A partir de Abril", "Aguardando Execução na Distribuidora",
A1903 = "CAPACITAÇÃO", "Em execução no Corporativo",
TRUE, "Em Execução na Distribuidora"
)</f>
        <v>Em Execução na Distribuidora</v>
      </c>
      <c r="F1903" s="4" t="str" cm="1">
        <f t="array" ref="F1903">_xlfn.IFS(
AG1903 &lt;&gt; "", "Jan-Dez/26",
AH1903 &lt;&gt; "", "Fev-Dez/26",
AI1903 &lt;&gt; "", "Mar-Dez/26", AJ1903 &lt;&gt; "", "Abr-Dez/26",
TRUE, "A partir de Junho"
)</f>
        <v>A partir de Junho</v>
      </c>
      <c r="G1903" s="10" t="s">
        <v>44</v>
      </c>
      <c r="H1903" s="36" t="s">
        <v>44</v>
      </c>
      <c r="I1903" s="37"/>
      <c r="J1903" s="37"/>
      <c r="K1903" s="37"/>
      <c r="L1903" s="37" t="s">
        <v>201</v>
      </c>
      <c r="M1903" s="37"/>
      <c r="N1903" s="5" t="s">
        <v>42</v>
      </c>
      <c r="O1903" s="5" t="s">
        <v>52</v>
      </c>
      <c r="P1903" s="10" t="s">
        <v>44</v>
      </c>
      <c r="Q1903" s="10" t="s">
        <v>44</v>
      </c>
      <c r="R1903" s="11" t="s">
        <v>44</v>
      </c>
      <c r="S1903" s="11" t="s">
        <v>44</v>
      </c>
      <c r="T1903" s="22"/>
      <c r="U1903" s="22"/>
      <c r="V1903" s="22"/>
      <c r="W1903" s="22"/>
      <c r="X1903" s="22"/>
      <c r="Y1903" s="22"/>
      <c r="Z1903" s="22"/>
      <c r="AA1903" s="22"/>
      <c r="AB1903" s="22"/>
      <c r="AC1903" s="22"/>
      <c r="AD1903" s="22"/>
      <c r="AE1903" s="22"/>
      <c r="AG1903" s="112"/>
      <c r="AH1903" s="112"/>
      <c r="AI1903" s="112"/>
      <c r="AJ1903" s="71"/>
      <c r="AK1903" s="71"/>
      <c r="AL1903" s="71"/>
      <c r="AM1903" s="71"/>
      <c r="AN1903" s="71"/>
      <c r="AO1903" s="71"/>
      <c r="AP1903" s="71"/>
      <c r="AQ1903" s="71"/>
      <c r="AR1903" s="71"/>
      <c r="AS1903" s="94"/>
      <c r="AT1903" s="95"/>
      <c r="AU1903" s="97"/>
      <c r="AW1903" s="84">
        <f t="shared" ref="AW1903:AW1907" si="2201">AG1903</f>
        <v>0</v>
      </c>
      <c r="AX1903" s="84">
        <f t="shared" ref="AX1903:AX1907" si="2202">AH1903</f>
        <v>0</v>
      </c>
      <c r="AY1903" s="84">
        <f t="shared" ref="AY1903:AY1907" si="2203">AI1903</f>
        <v>0</v>
      </c>
      <c r="AZ1903" s="84"/>
      <c r="BA1903" s="84"/>
      <c r="BB1903" s="84"/>
      <c r="BC1903" s="84"/>
      <c r="BD1903" s="84"/>
      <c r="BE1903" s="84"/>
      <c r="BF1903" s="84"/>
      <c r="BG1903" s="84"/>
      <c r="BH1903" s="84"/>
      <c r="BI1903" s="68" cm="1">
        <f t="array" ref="BI1903">IFERROR(INDEX(AW1903:BH1903,1,MATCH(2,1/(AW1903:BH1903&lt;&gt;""))),"")</f>
        <v>0</v>
      </c>
      <c r="BJ1903" s="68" cm="1">
        <f t="array" ref="BJ1903">IF(BM1903 = "", "",IFERROR(INDEX(AW1903:BH1903,1,MATCH(2,1/(AW1903:BH1903&lt;&gt;""),1)-1),""))</f>
        <v>0</v>
      </c>
      <c r="BK1903" s="57" cm="1">
        <f t="array" ref="BK1903">IFERROR(INDEX(AW1903:BH1903,1,MATCH(2,1/(AW1903:BH1903&lt;&gt;""),1)),"")</f>
        <v>0</v>
      </c>
      <c r="BL1903" s="57" cm="1">
        <f t="array" ref="BL1903">IF(BM1903 = "", "",IFERROR(INDEX(AW1903:BH1903,1,MATCH(2,1/(AW1903:BH1903&lt;&gt;""),1)-1),""))</f>
        <v>0</v>
      </c>
      <c r="BM1903" s="55" cm="1">
        <f t="array" ref="BM1903">IFERROR(
   INDEX($AW$1:$BH$1,
      _xlfn.AGGREGATE(14, 6, COLUMN($AW$1:$BH$1)/(AW1903:BH1903&lt;&gt;""), 2) - COLUMN($AW$1) + 1
   ),
"")</f>
        <v>46054</v>
      </c>
      <c r="BN1903" s="55" cm="1">
        <f t="array" ref="BN1903">IFERROR(INDEX($AW$1:$BH$1,1,MATCH(2,1/(AW1903:BH1903&lt;&gt;""))),"")</f>
        <v>46082</v>
      </c>
      <c r="BO1903" s="53">
        <f ca="1">IFERROR(_xlfn.XLOOKUP(F1903,Apuração!A:A,Apuração!C:C)/_xlfn.XLOOKUP(F1903,Apuração!A:A,Apuração!B:B),0)</f>
        <v>0</v>
      </c>
      <c r="BP1903" s="53">
        <f ca="1">IFERROR(_xlfn.XLOOKUP(F1903,Apuração!A:A,Apuração!D:D)/_xlfn.XLOOKUP(F1903,Apuração!A:A,Apuração!B:B),0)</f>
        <v>0</v>
      </c>
      <c r="BQ1903" s="53">
        <f ca="1">IF(BK1903&gt;=BO1903,0,_xlfn.XLOOKUP(F1903,Apuração!A:A,Apuração!B:B)*(BO1903 + (1/_xlfn.XLOOKUP(F1903,Apuração!A:A,Apuração!B:B)) - BK1903))</f>
        <v>0</v>
      </c>
      <c r="BR1903" s="85">
        <f t="shared" ref="BR1903:BR1907" ca="1" si="2204">IF(BQ1903=0,0,BQ1903*Z1903)</f>
        <v>0</v>
      </c>
      <c r="BS1903" s="53">
        <f ca="1">IFERROR((_xlfn.XLOOKUP(F1903,Apuração!A:A,Apuração!C:C)+1)/_xlfn.XLOOKUP(F1903,Apuração!A:A,Apuração!B:B),0)</f>
        <v>0.14285714285714285</v>
      </c>
    </row>
    <row r="1904" spans="1:71" ht="25.95" hidden="1" customHeight="1" x14ac:dyDescent="0.3">
      <c r="A1904" s="35" t="s">
        <v>44</v>
      </c>
      <c r="B1904" s="10" t="s">
        <v>44</v>
      </c>
      <c r="C1904" s="5" t="s">
        <v>214</v>
      </c>
      <c r="D1904" s="5" t="s">
        <v>215</v>
      </c>
      <c r="E1904" s="4" t="str" cm="1">
        <f t="array" ref="E1904">_xlfn.IFS(
F1904 = "A partir de Abril", "Aguardando Execução na Distribuidora",
A1904 = "CAPACITAÇÃO", "Em execução no Corporativo",
TRUE, "Em Execução na Distribuidora"
)</f>
        <v>Em Execução na Distribuidora</v>
      </c>
      <c r="F1904" s="4" t="str" cm="1">
        <f t="array" ref="F1904">_xlfn.IFS(
AG1904 &lt;&gt; "", "Jan-Dez/26",
AH1904 &lt;&gt; "", "Fev-Dez/26",
AI1904 &lt;&gt; "", "Mar-Dez/26", AJ1904 &lt;&gt; "", "Abr-Dez/26",
TRUE, "A partir de Junho"
)</f>
        <v>A partir de Junho</v>
      </c>
      <c r="G1904" s="10" t="s">
        <v>44</v>
      </c>
      <c r="H1904" s="36" t="s">
        <v>44</v>
      </c>
      <c r="I1904" s="37"/>
      <c r="J1904" s="37"/>
      <c r="K1904" s="37"/>
      <c r="L1904" s="37" t="s">
        <v>201</v>
      </c>
      <c r="M1904" s="37"/>
      <c r="N1904" s="5" t="s">
        <v>42</v>
      </c>
      <c r="O1904" s="5" t="s">
        <v>52</v>
      </c>
      <c r="P1904" s="10" t="s">
        <v>44</v>
      </c>
      <c r="Q1904" s="10" t="s">
        <v>44</v>
      </c>
      <c r="R1904" s="11" t="s">
        <v>44</v>
      </c>
      <c r="S1904" s="11" t="s">
        <v>44</v>
      </c>
      <c r="T1904" s="22"/>
      <c r="U1904" s="22"/>
      <c r="V1904" s="22"/>
      <c r="W1904" s="22"/>
      <c r="X1904" s="22"/>
      <c r="Y1904" s="22"/>
      <c r="Z1904" s="22"/>
      <c r="AA1904" s="22"/>
      <c r="AB1904" s="22"/>
      <c r="AC1904" s="22"/>
      <c r="AD1904" s="22"/>
      <c r="AE1904" s="22"/>
      <c r="AG1904" s="112"/>
      <c r="AH1904" s="112"/>
      <c r="AI1904" s="112"/>
      <c r="AJ1904" s="71"/>
      <c r="AK1904" s="71"/>
      <c r="AL1904" s="71"/>
      <c r="AM1904" s="71"/>
      <c r="AN1904" s="71"/>
      <c r="AO1904" s="71"/>
      <c r="AP1904" s="71"/>
      <c r="AQ1904" s="71"/>
      <c r="AR1904" s="71"/>
      <c r="AS1904" s="94"/>
      <c r="AT1904" s="95"/>
      <c r="AU1904" s="97"/>
      <c r="AW1904" s="84">
        <f t="shared" si="2201"/>
        <v>0</v>
      </c>
      <c r="AX1904" s="84">
        <f t="shared" si="2202"/>
        <v>0</v>
      </c>
      <c r="AY1904" s="84">
        <f t="shared" si="2203"/>
        <v>0</v>
      </c>
      <c r="AZ1904" s="84"/>
      <c r="BA1904" s="84"/>
      <c r="BB1904" s="84"/>
      <c r="BC1904" s="84"/>
      <c r="BD1904" s="84"/>
      <c r="BE1904" s="84"/>
      <c r="BF1904" s="84"/>
      <c r="BG1904" s="84"/>
      <c r="BH1904" s="84"/>
      <c r="BI1904" s="68" cm="1">
        <f t="array" ref="BI1904">IFERROR(INDEX(AW1904:BH1904,1,MATCH(2,1/(AW1904:BH1904&lt;&gt;""))),"")</f>
        <v>0</v>
      </c>
      <c r="BJ1904" s="68" cm="1">
        <f t="array" ref="BJ1904">IF(BM1904 = "", "",IFERROR(INDEX(AW1904:BH1904,1,MATCH(2,1/(AW1904:BH1904&lt;&gt;""),1)-1),""))</f>
        <v>0</v>
      </c>
      <c r="BK1904" s="57" cm="1">
        <f t="array" ref="BK1904">IFERROR(INDEX(AW1904:BH1904,1,MATCH(2,1/(AW1904:BH1904&lt;&gt;""),1)),"")</f>
        <v>0</v>
      </c>
      <c r="BL1904" s="57" cm="1">
        <f t="array" ref="BL1904">IF(BM1904 = "", "",IFERROR(INDEX(AW1904:BH1904,1,MATCH(2,1/(AW1904:BH1904&lt;&gt;""),1)-1),""))</f>
        <v>0</v>
      </c>
      <c r="BM1904" s="55" cm="1">
        <f t="array" ref="BM1904">IFERROR(
   INDEX($AW$1:$BH$1,
      _xlfn.AGGREGATE(14, 6, COLUMN($AW$1:$BH$1)/(AW1904:BH1904&lt;&gt;""), 2) - COLUMN($AW$1) + 1
   ),
"")</f>
        <v>46054</v>
      </c>
      <c r="BN1904" s="55" cm="1">
        <f t="array" ref="BN1904">IFERROR(INDEX($AW$1:$BH$1,1,MATCH(2,1/(AW1904:BH1904&lt;&gt;""))),"")</f>
        <v>46082</v>
      </c>
      <c r="BO1904" s="53">
        <f ca="1">IFERROR(_xlfn.XLOOKUP(F1904,Apuração!A:A,Apuração!C:C)/_xlfn.XLOOKUP(F1904,Apuração!A:A,Apuração!B:B),0)</f>
        <v>0</v>
      </c>
      <c r="BP1904" s="53">
        <f ca="1">IFERROR(_xlfn.XLOOKUP(F1904,Apuração!A:A,Apuração!D:D)/_xlfn.XLOOKUP(F1904,Apuração!A:A,Apuração!B:B),0)</f>
        <v>0</v>
      </c>
      <c r="BQ1904" s="53">
        <f ca="1">IF(BK1904&gt;=BO1904,0,_xlfn.XLOOKUP(F1904,Apuração!A:A,Apuração!B:B)*(BO1904 + (1/_xlfn.XLOOKUP(F1904,Apuração!A:A,Apuração!B:B)) - BK1904))</f>
        <v>0</v>
      </c>
      <c r="BR1904" s="85">
        <f t="shared" ca="1" si="2204"/>
        <v>0</v>
      </c>
      <c r="BS1904" s="53">
        <f ca="1">IFERROR((_xlfn.XLOOKUP(F1904,Apuração!A:A,Apuração!C:C)+1)/_xlfn.XLOOKUP(F1904,Apuração!A:A,Apuração!B:B),0)</f>
        <v>0.14285714285714285</v>
      </c>
    </row>
    <row r="1905" spans="1:71" ht="25.95" hidden="1" customHeight="1" x14ac:dyDescent="0.3">
      <c r="A1905" s="35" t="s">
        <v>44</v>
      </c>
      <c r="B1905" s="10" t="s">
        <v>44</v>
      </c>
      <c r="C1905" s="5" t="s">
        <v>214</v>
      </c>
      <c r="D1905" s="5" t="s">
        <v>212</v>
      </c>
      <c r="E1905" s="4" t="str" cm="1">
        <f t="array" ref="E1905">_xlfn.IFS(
F1905 = "A partir de Abril", "Aguardando Execução na Distribuidora",
A1905 = "CAPACITAÇÃO", "Em execução no Corporativo",
TRUE, "Em Execução na Distribuidora"
)</f>
        <v>Em Execução na Distribuidora</v>
      </c>
      <c r="F1905" s="4" t="str" cm="1">
        <f t="array" ref="F1905">_xlfn.IFS(
AG1905 &lt;&gt; "", "Jan-Dez/26",
AH1905 &lt;&gt; "", "Fev-Dez/26",
AI1905 &lt;&gt; "", "Mar-Dez/26", AJ1905 &lt;&gt; "", "Abr-Dez/26",
TRUE, "A partir de Junho"
)</f>
        <v>A partir de Junho</v>
      </c>
      <c r="G1905" s="10" t="s">
        <v>44</v>
      </c>
      <c r="H1905" s="36" t="s">
        <v>44</v>
      </c>
      <c r="I1905" s="37"/>
      <c r="J1905" s="37"/>
      <c r="K1905" s="37"/>
      <c r="L1905" s="37" t="s">
        <v>201</v>
      </c>
      <c r="M1905" s="37"/>
      <c r="N1905" s="5" t="s">
        <v>42</v>
      </c>
      <c r="O1905" s="5" t="s">
        <v>52</v>
      </c>
      <c r="P1905" s="10" t="s">
        <v>44</v>
      </c>
      <c r="Q1905" s="10" t="s">
        <v>44</v>
      </c>
      <c r="R1905" s="11" t="s">
        <v>44</v>
      </c>
      <c r="S1905" s="11" t="s">
        <v>44</v>
      </c>
      <c r="T1905" s="22"/>
      <c r="U1905" s="22"/>
      <c r="V1905" s="22"/>
      <c r="W1905" s="22"/>
      <c r="X1905" s="22"/>
      <c r="Y1905" s="22"/>
      <c r="Z1905" s="22"/>
      <c r="AA1905" s="22"/>
      <c r="AB1905" s="22"/>
      <c r="AC1905" s="22"/>
      <c r="AD1905" s="22"/>
      <c r="AE1905" s="22"/>
      <c r="AG1905" s="112"/>
      <c r="AH1905" s="112"/>
      <c r="AI1905" s="112"/>
      <c r="AJ1905" s="71"/>
      <c r="AK1905" s="71"/>
      <c r="AL1905" s="71"/>
      <c r="AM1905" s="71"/>
      <c r="AN1905" s="71"/>
      <c r="AO1905" s="71"/>
      <c r="AP1905" s="71"/>
      <c r="AQ1905" s="71"/>
      <c r="AR1905" s="71"/>
      <c r="AS1905" s="94"/>
      <c r="AT1905" s="95"/>
      <c r="AU1905" s="97"/>
      <c r="AW1905" s="84">
        <f t="shared" si="2201"/>
        <v>0</v>
      </c>
      <c r="AX1905" s="84">
        <f t="shared" si="2202"/>
        <v>0</v>
      </c>
      <c r="AY1905" s="84">
        <f t="shared" si="2203"/>
        <v>0</v>
      </c>
      <c r="AZ1905" s="84"/>
      <c r="BA1905" s="84"/>
      <c r="BB1905" s="84"/>
      <c r="BC1905" s="84"/>
      <c r="BD1905" s="84"/>
      <c r="BE1905" s="84"/>
      <c r="BF1905" s="84"/>
      <c r="BG1905" s="84"/>
      <c r="BH1905" s="84"/>
      <c r="BI1905" s="68" cm="1">
        <f t="array" ref="BI1905">IFERROR(INDEX(AW1905:BH1905,1,MATCH(2,1/(AW1905:BH1905&lt;&gt;""))),"")</f>
        <v>0</v>
      </c>
      <c r="BJ1905" s="68" cm="1">
        <f t="array" ref="BJ1905">IF(BM1905 = "", "",IFERROR(INDEX(AW1905:BH1905,1,MATCH(2,1/(AW1905:BH1905&lt;&gt;""),1)-1),""))</f>
        <v>0</v>
      </c>
      <c r="BK1905" s="57" cm="1">
        <f t="array" ref="BK1905">IFERROR(INDEX(AW1905:BH1905,1,MATCH(2,1/(AW1905:BH1905&lt;&gt;""),1)),"")</f>
        <v>0</v>
      </c>
      <c r="BL1905" s="57" cm="1">
        <f t="array" ref="BL1905">IF(BM1905 = "", "",IFERROR(INDEX(AW1905:BH1905,1,MATCH(2,1/(AW1905:BH1905&lt;&gt;""),1)-1),""))</f>
        <v>0</v>
      </c>
      <c r="BM1905" s="55" cm="1">
        <f t="array" ref="BM1905">IFERROR(
   INDEX($AW$1:$BH$1,
      _xlfn.AGGREGATE(14, 6, COLUMN($AW$1:$BH$1)/(AW1905:BH1905&lt;&gt;""), 2) - COLUMN($AW$1) + 1
   ),
"")</f>
        <v>46054</v>
      </c>
      <c r="BN1905" s="55" cm="1">
        <f t="array" ref="BN1905">IFERROR(INDEX($AW$1:$BH$1,1,MATCH(2,1/(AW1905:BH1905&lt;&gt;""))),"")</f>
        <v>46082</v>
      </c>
      <c r="BO1905" s="53">
        <f ca="1">IFERROR(_xlfn.XLOOKUP(F1905,Apuração!A:A,Apuração!C:C)/_xlfn.XLOOKUP(F1905,Apuração!A:A,Apuração!B:B),0)</f>
        <v>0</v>
      </c>
      <c r="BP1905" s="53">
        <f ca="1">IFERROR(_xlfn.XLOOKUP(F1905,Apuração!A:A,Apuração!D:D)/_xlfn.XLOOKUP(F1905,Apuração!A:A,Apuração!B:B),0)</f>
        <v>0</v>
      </c>
      <c r="BQ1905" s="53">
        <f ca="1">IF(BK1905&gt;=BO1905,0,_xlfn.XLOOKUP(F1905,Apuração!A:A,Apuração!B:B)*(BO1905 + (1/_xlfn.XLOOKUP(F1905,Apuração!A:A,Apuração!B:B)) - BK1905))</f>
        <v>0</v>
      </c>
      <c r="BR1905" s="85">
        <f t="shared" ca="1" si="2204"/>
        <v>0</v>
      </c>
      <c r="BS1905" s="53">
        <f ca="1">IFERROR((_xlfn.XLOOKUP(F1905,Apuração!A:A,Apuração!C:C)+1)/_xlfn.XLOOKUP(F1905,Apuração!A:A,Apuração!B:B),0)</f>
        <v>0.14285714285714285</v>
      </c>
    </row>
    <row r="1906" spans="1:71" ht="25.95" hidden="1" customHeight="1" x14ac:dyDescent="0.3">
      <c r="A1906" s="35" t="s">
        <v>44</v>
      </c>
      <c r="B1906" s="10" t="s">
        <v>44</v>
      </c>
      <c r="C1906" s="5" t="s">
        <v>214</v>
      </c>
      <c r="D1906" s="5" t="s">
        <v>48</v>
      </c>
      <c r="E1906" s="4" t="str" cm="1">
        <f t="array" ref="E1906">_xlfn.IFS(
F1906 = "A partir de Abril", "Aguardando Execução na Distribuidora",
A1906 = "CAPACITAÇÃO", "Em execução no Corporativo",
TRUE, "Em Execução na Distribuidora"
)</f>
        <v>Em Execução na Distribuidora</v>
      </c>
      <c r="F1906" s="4" t="str" cm="1">
        <f t="array" ref="F1906">_xlfn.IFS(
AG1906 &lt;&gt; "", "Jan-Dez/26",
AH1906 &lt;&gt; "", "Fev-Dez/26",
AI1906 &lt;&gt; "", "Mar-Dez/26", AJ1906 &lt;&gt; "", "Abr-Dez/26",
TRUE, "A partir de Junho"
)</f>
        <v>A partir de Junho</v>
      </c>
      <c r="G1906" s="10" t="s">
        <v>44</v>
      </c>
      <c r="H1906" s="36" t="s">
        <v>44</v>
      </c>
      <c r="I1906" s="37"/>
      <c r="J1906" s="37"/>
      <c r="K1906" s="37"/>
      <c r="L1906" s="37" t="s">
        <v>201</v>
      </c>
      <c r="M1906" s="37"/>
      <c r="N1906" s="5" t="s">
        <v>42</v>
      </c>
      <c r="O1906" s="5" t="s">
        <v>52</v>
      </c>
      <c r="P1906" s="10" t="s">
        <v>44</v>
      </c>
      <c r="Q1906" s="10" t="s">
        <v>44</v>
      </c>
      <c r="R1906" s="11" t="s">
        <v>44</v>
      </c>
      <c r="S1906" s="11" t="s">
        <v>44</v>
      </c>
      <c r="T1906" s="22"/>
      <c r="U1906" s="22"/>
      <c r="V1906" s="22"/>
      <c r="W1906" s="22"/>
      <c r="X1906" s="22"/>
      <c r="Y1906" s="22"/>
      <c r="Z1906" s="22"/>
      <c r="AA1906" s="22"/>
      <c r="AB1906" s="22"/>
      <c r="AC1906" s="22"/>
      <c r="AD1906" s="22"/>
      <c r="AE1906" s="22"/>
      <c r="AG1906" s="112"/>
      <c r="AH1906" s="112"/>
      <c r="AI1906" s="112"/>
      <c r="AJ1906" s="71"/>
      <c r="AK1906" s="71"/>
      <c r="AL1906" s="71"/>
      <c r="AM1906" s="71"/>
      <c r="AN1906" s="71"/>
      <c r="AO1906" s="71"/>
      <c r="AP1906" s="71"/>
      <c r="AQ1906" s="71"/>
      <c r="AR1906" s="71"/>
      <c r="AS1906" s="94"/>
      <c r="AT1906" s="95"/>
      <c r="AU1906" s="97"/>
      <c r="AW1906" s="84">
        <f t="shared" si="2201"/>
        <v>0</v>
      </c>
      <c r="AX1906" s="84">
        <f t="shared" si="2202"/>
        <v>0</v>
      </c>
      <c r="AY1906" s="84">
        <f t="shared" si="2203"/>
        <v>0</v>
      </c>
      <c r="AZ1906" s="84"/>
      <c r="BA1906" s="84"/>
      <c r="BB1906" s="84"/>
      <c r="BC1906" s="84"/>
      <c r="BD1906" s="84"/>
      <c r="BE1906" s="84"/>
      <c r="BF1906" s="84"/>
      <c r="BG1906" s="84"/>
      <c r="BH1906" s="84"/>
      <c r="BI1906" s="68" cm="1">
        <f t="array" ref="BI1906">IFERROR(INDEX(AW1906:BH1906,1,MATCH(2,1/(AW1906:BH1906&lt;&gt;""))),"")</f>
        <v>0</v>
      </c>
      <c r="BJ1906" s="68" cm="1">
        <f t="array" ref="BJ1906">IF(BM1906 = "", "",IFERROR(INDEX(AW1906:BH1906,1,MATCH(2,1/(AW1906:BH1906&lt;&gt;""),1)-1),""))</f>
        <v>0</v>
      </c>
      <c r="BK1906" s="57" cm="1">
        <f t="array" ref="BK1906">IFERROR(INDEX(AW1906:BH1906,1,MATCH(2,1/(AW1906:BH1906&lt;&gt;""),1)),"")</f>
        <v>0</v>
      </c>
      <c r="BL1906" s="57" cm="1">
        <f t="array" ref="BL1906">IF(BM1906 = "", "",IFERROR(INDEX(AW1906:BH1906,1,MATCH(2,1/(AW1906:BH1906&lt;&gt;""),1)-1),""))</f>
        <v>0</v>
      </c>
      <c r="BM1906" s="55" cm="1">
        <f t="array" ref="BM1906">IFERROR(
   INDEX($AW$1:$BH$1,
      _xlfn.AGGREGATE(14, 6, COLUMN($AW$1:$BH$1)/(AW1906:BH1906&lt;&gt;""), 2) - COLUMN($AW$1) + 1
   ),
"")</f>
        <v>46054</v>
      </c>
      <c r="BN1906" s="55" cm="1">
        <f t="array" ref="BN1906">IFERROR(INDEX($AW$1:$BH$1,1,MATCH(2,1/(AW1906:BH1906&lt;&gt;""))),"")</f>
        <v>46082</v>
      </c>
      <c r="BO1906" s="53">
        <f ca="1">IFERROR(_xlfn.XLOOKUP(F1906,Apuração!A:A,Apuração!C:C)/_xlfn.XLOOKUP(F1906,Apuração!A:A,Apuração!B:B),0)</f>
        <v>0</v>
      </c>
      <c r="BP1906" s="53">
        <f ca="1">IFERROR(_xlfn.XLOOKUP(F1906,Apuração!A:A,Apuração!D:D)/_xlfn.XLOOKUP(F1906,Apuração!A:A,Apuração!B:B),0)</f>
        <v>0</v>
      </c>
      <c r="BQ1906" s="53">
        <f ca="1">IF(BK1906&gt;=BO1906,0,_xlfn.XLOOKUP(F1906,Apuração!A:A,Apuração!B:B)*(BO1906 + (1/_xlfn.XLOOKUP(F1906,Apuração!A:A,Apuração!B:B)) - BK1906))</f>
        <v>0</v>
      </c>
      <c r="BR1906" s="85">
        <f t="shared" ca="1" si="2204"/>
        <v>0</v>
      </c>
      <c r="BS1906" s="53">
        <f ca="1">IFERROR((_xlfn.XLOOKUP(F1906,Apuração!A:A,Apuração!C:C)+1)/_xlfn.XLOOKUP(F1906,Apuração!A:A,Apuração!B:B),0)</f>
        <v>0.14285714285714285</v>
      </c>
    </row>
    <row r="1907" spans="1:71" ht="25.95" hidden="1" customHeight="1" x14ac:dyDescent="0.3">
      <c r="A1907" s="35" t="s">
        <v>44</v>
      </c>
      <c r="B1907" s="10" t="s">
        <v>44</v>
      </c>
      <c r="C1907" s="5" t="s">
        <v>214</v>
      </c>
      <c r="D1907" s="5" t="s">
        <v>213</v>
      </c>
      <c r="E1907" s="4" t="str" cm="1">
        <f t="array" ref="E1907">_xlfn.IFS(
F1907 = "A partir de Abril", "Aguardando Execução na Distribuidora",
A1907 = "CAPACITAÇÃO", "Em execução no Corporativo",
TRUE, "Em Execução na Distribuidora"
)</f>
        <v>Em Execução na Distribuidora</v>
      </c>
      <c r="F1907" s="4" t="str" cm="1">
        <f t="array" ref="F1907">_xlfn.IFS(
AG1907 &lt;&gt; "", "Jan-Dez/26",
AH1907 &lt;&gt; "", "Fev-Dez/26",
AI1907 &lt;&gt; "", "Mar-Dez/26", AJ1907 &lt;&gt; "", "Abr-Dez/26",
TRUE, "A partir de Junho"
)</f>
        <v>A partir de Junho</v>
      </c>
      <c r="G1907" s="10" t="s">
        <v>44</v>
      </c>
      <c r="H1907" s="36" t="s">
        <v>44</v>
      </c>
      <c r="I1907" s="37"/>
      <c r="J1907" s="37"/>
      <c r="K1907" s="37"/>
      <c r="L1907" s="37" t="s">
        <v>201</v>
      </c>
      <c r="M1907" s="37"/>
      <c r="N1907" s="5" t="s">
        <v>42</v>
      </c>
      <c r="O1907" s="5" t="s">
        <v>52</v>
      </c>
      <c r="P1907" s="10" t="s">
        <v>44</v>
      </c>
      <c r="Q1907" s="10" t="s">
        <v>44</v>
      </c>
      <c r="R1907" s="11" t="s">
        <v>44</v>
      </c>
      <c r="S1907" s="11" t="s">
        <v>44</v>
      </c>
      <c r="T1907" s="22"/>
      <c r="U1907" s="22"/>
      <c r="V1907" s="22"/>
      <c r="W1907" s="22"/>
      <c r="X1907" s="22"/>
      <c r="Y1907" s="22"/>
      <c r="Z1907" s="22"/>
      <c r="AA1907" s="22"/>
      <c r="AB1907" s="22"/>
      <c r="AC1907" s="22"/>
      <c r="AD1907" s="22"/>
      <c r="AE1907" s="22"/>
      <c r="AG1907" s="112"/>
      <c r="AH1907" s="112"/>
      <c r="AI1907" s="112"/>
      <c r="AJ1907" s="71"/>
      <c r="AK1907" s="71"/>
      <c r="AL1907" s="71"/>
      <c r="AM1907" s="71"/>
      <c r="AN1907" s="71"/>
      <c r="AO1907" s="71"/>
      <c r="AP1907" s="71"/>
      <c r="AQ1907" s="71"/>
      <c r="AR1907" s="71"/>
      <c r="AS1907" s="94"/>
      <c r="AT1907" s="95"/>
      <c r="AU1907" s="97"/>
      <c r="AW1907" s="84">
        <f t="shared" si="2201"/>
        <v>0</v>
      </c>
      <c r="AX1907" s="84">
        <f t="shared" si="2202"/>
        <v>0</v>
      </c>
      <c r="AY1907" s="84">
        <f t="shared" si="2203"/>
        <v>0</v>
      </c>
      <c r="AZ1907" s="84"/>
      <c r="BA1907" s="84"/>
      <c r="BB1907" s="84"/>
      <c r="BC1907" s="84"/>
      <c r="BD1907" s="84"/>
      <c r="BE1907" s="84"/>
      <c r="BF1907" s="84"/>
      <c r="BG1907" s="84"/>
      <c r="BH1907" s="84"/>
      <c r="BI1907" s="68" cm="1">
        <f t="array" ref="BI1907">IFERROR(INDEX(AW1907:BH1907,1,MATCH(2,1/(AW1907:BH1907&lt;&gt;""))),"")</f>
        <v>0</v>
      </c>
      <c r="BJ1907" s="68" cm="1">
        <f t="array" ref="BJ1907">IF(BM1907 = "", "",IFERROR(INDEX(AW1907:BH1907,1,MATCH(2,1/(AW1907:BH1907&lt;&gt;""),1)-1),""))</f>
        <v>0</v>
      </c>
      <c r="BK1907" s="57" cm="1">
        <f t="array" ref="BK1907">IFERROR(INDEX(AW1907:BH1907,1,MATCH(2,1/(AW1907:BH1907&lt;&gt;""),1)),"")</f>
        <v>0</v>
      </c>
      <c r="BL1907" s="57" cm="1">
        <f t="array" ref="BL1907">IF(BM1907 = "", "",IFERROR(INDEX(AW1907:BH1907,1,MATCH(2,1/(AW1907:BH1907&lt;&gt;""),1)-1),""))</f>
        <v>0</v>
      </c>
      <c r="BM1907" s="55" cm="1">
        <f t="array" ref="BM1907">IFERROR(
   INDEX($AW$1:$BH$1,
      _xlfn.AGGREGATE(14, 6, COLUMN($AW$1:$BH$1)/(AW1907:BH1907&lt;&gt;""), 2) - COLUMN($AW$1) + 1
   ),
"")</f>
        <v>46054</v>
      </c>
      <c r="BN1907" s="55" cm="1">
        <f t="array" ref="BN1907">IFERROR(INDEX($AW$1:$BH$1,1,MATCH(2,1/(AW1907:BH1907&lt;&gt;""))),"")</f>
        <v>46082</v>
      </c>
      <c r="BO1907" s="53">
        <f ca="1">IFERROR(_xlfn.XLOOKUP(F1907,Apuração!A:A,Apuração!C:C)/_xlfn.XLOOKUP(F1907,Apuração!A:A,Apuração!B:B),0)</f>
        <v>0</v>
      </c>
      <c r="BP1907" s="53">
        <f ca="1">IFERROR(_xlfn.XLOOKUP(F1907,Apuração!A:A,Apuração!D:D)/_xlfn.XLOOKUP(F1907,Apuração!A:A,Apuração!B:B),0)</f>
        <v>0</v>
      </c>
      <c r="BQ1907" s="53">
        <f ca="1">IF(BK1907&gt;=BO1907,0,_xlfn.XLOOKUP(F1907,Apuração!A:A,Apuração!B:B)*(BO1907 + (1/_xlfn.XLOOKUP(F1907,Apuração!A:A,Apuração!B:B)) - BK1907))</f>
        <v>0</v>
      </c>
      <c r="BR1907" s="85">
        <f t="shared" ca="1" si="2204"/>
        <v>0</v>
      </c>
      <c r="BS1907" s="53">
        <f ca="1">IFERROR((_xlfn.XLOOKUP(F1907,Apuração!A:A,Apuração!C:C)+1)/_xlfn.XLOOKUP(F1907,Apuração!A:A,Apuração!B:B),0)</f>
        <v>0.14285714285714285</v>
      </c>
    </row>
    <row r="1908" spans="1:71" ht="25.95" hidden="1" customHeight="1" x14ac:dyDescent="0.3">
      <c r="A1908" s="35" t="s">
        <v>44</v>
      </c>
      <c r="B1908" s="10" t="s">
        <v>44</v>
      </c>
      <c r="C1908" s="5" t="s">
        <v>214</v>
      </c>
      <c r="D1908" s="5" t="s">
        <v>36</v>
      </c>
      <c r="E1908" s="4" t="str" cm="1">
        <f t="array" ref="E1908">_xlfn.IFS(
F1908 = "A partir de Abril", "Aguardando Execução na Distribuidora",
A1908 = "CAPACITAÇÃO", "Em execução no Corporativo",
TRUE, "Em Execução na Distribuidora"
)</f>
        <v>Em Execução na Distribuidora</v>
      </c>
      <c r="F1908" s="4" t="str" cm="1">
        <f t="array" ref="F1908">_xlfn.IFS(
AG1908 &lt;&gt; "", "Jan-Dez/26",
AH1908 &lt;&gt; "", "Fev-Dez/26",
AI1908 &lt;&gt; "", "Mar-Dez/26", AJ1908 &lt;&gt; "", "Abr-Dez/26",
TRUE, "A partir de Junho"
)</f>
        <v>Jan-Dez/26</v>
      </c>
      <c r="G1908" s="10" t="s">
        <v>44</v>
      </c>
      <c r="H1908" s="36" t="s">
        <v>44</v>
      </c>
      <c r="I1908" s="37"/>
      <c r="J1908" s="37"/>
      <c r="K1908" s="37"/>
      <c r="L1908" s="37" t="s">
        <v>203</v>
      </c>
      <c r="M1908" s="37"/>
      <c r="N1908" s="5" t="s">
        <v>42</v>
      </c>
      <c r="O1908" s="5" t="s">
        <v>52</v>
      </c>
      <c r="P1908" s="10" t="s">
        <v>44</v>
      </c>
      <c r="Q1908" s="10" t="s">
        <v>44</v>
      </c>
      <c r="R1908" s="11" t="s">
        <v>44</v>
      </c>
      <c r="S1908" s="11" t="s">
        <v>44</v>
      </c>
      <c r="T1908" s="22"/>
      <c r="U1908" s="22"/>
      <c r="V1908" s="22"/>
      <c r="W1908" s="22"/>
      <c r="X1908" s="22"/>
      <c r="Y1908" s="22"/>
      <c r="Z1908" s="22"/>
      <c r="AA1908" s="22"/>
      <c r="AB1908" s="22"/>
      <c r="AC1908" s="22"/>
      <c r="AD1908" s="22"/>
      <c r="AE1908" s="22"/>
      <c r="AG1908" s="112">
        <v>2.1993090749579021</v>
      </c>
      <c r="AH1908" s="112">
        <v>0</v>
      </c>
      <c r="AI1908" s="112">
        <v>1.0377842311775209</v>
      </c>
      <c r="AJ1908" s="112">
        <v>1</v>
      </c>
      <c r="AK1908" s="112"/>
      <c r="AL1908" s="112"/>
      <c r="AM1908" s="112"/>
      <c r="AN1908" s="112"/>
      <c r="AO1908" s="112"/>
      <c r="AP1908" s="112"/>
      <c r="AQ1908" s="112"/>
      <c r="AR1908" s="112"/>
      <c r="AS1908" s="94"/>
      <c r="AT1908" s="95"/>
      <c r="AU1908" s="97"/>
      <c r="AW1908" s="84">
        <f>AG1908</f>
        <v>2.1993090749579021</v>
      </c>
      <c r="AX1908" s="84">
        <f>AH1908</f>
        <v>0</v>
      </c>
      <c r="AY1908" s="84">
        <f>AI1908</f>
        <v>1.0377842311775209</v>
      </c>
      <c r="AZ1908" s="84">
        <f>AJ1908</f>
        <v>1</v>
      </c>
      <c r="BA1908" s="84"/>
      <c r="BB1908" s="84"/>
      <c r="BC1908" s="84"/>
      <c r="BD1908" s="84"/>
      <c r="BE1908" s="84"/>
      <c r="BF1908" s="84"/>
      <c r="BG1908" s="84"/>
      <c r="BH1908" s="84"/>
      <c r="BI1908" s="68" cm="1">
        <f t="array" ref="BI1908">IFERROR(INDEX(AW1908:BH1908,1,MATCH(2,1/(AW1908:BH1908&lt;&gt;""))),"")</f>
        <v>1</v>
      </c>
      <c r="BJ1908" s="68" cm="1">
        <f t="array" ref="BJ1908">IF(BM1908 = "", "",IFERROR(INDEX(AW1908:BH1908,1,MATCH(2,1/(AW1908:BH1908&lt;&gt;""),1)-1),""))</f>
        <v>1.0377842311775209</v>
      </c>
      <c r="BK1908" s="57" cm="1">
        <f t="array" ref="BK1908">IFERROR(INDEX(AW1908:BH1908,1,MATCH(2,1/(AW1908:BH1908&lt;&gt;""),1)),"")</f>
        <v>1</v>
      </c>
      <c r="BL1908" s="57" cm="1">
        <f t="array" ref="BL1908">IF(BM1908 = "", "",IFERROR(INDEX(AW1908:BH1908,1,MATCH(2,1/(AW1908:BH1908&lt;&gt;""),1)-1),""))</f>
        <v>1.0377842311775209</v>
      </c>
      <c r="BM1908" s="55" cm="1">
        <f t="array" ref="BM1908">IFERROR(
   INDEX($AW$1:$BH$1,
      _xlfn.AGGREGATE(14, 6, COLUMN($AW$1:$BH$1)/(AW1908:BH1908&lt;&gt;""), 2) - COLUMN($AW$1) + 1
   ),
"")</f>
        <v>46082</v>
      </c>
      <c r="BN1908" s="55" cm="1">
        <f t="array" ref="BN1908">IFERROR(INDEX($AW$1:$BH$1,1,MATCH(2,1/(AW1908:BH1908&lt;&gt;""))),"")</f>
        <v>46113</v>
      </c>
      <c r="BO1908" s="53">
        <f ca="1">IFERROR(_xlfn.XLOOKUP(F1908,Apuração!A:A,Apuração!C:C)/_xlfn.XLOOKUP(F1908,Apuração!A:A,Apuração!B:B),0)</f>
        <v>0.41666666666666669</v>
      </c>
      <c r="BP1908" s="53">
        <f ca="1">IFERROR(_xlfn.XLOOKUP(F1908,Apuração!A:A,Apuração!D:D)/_xlfn.XLOOKUP(F1908,Apuração!A:A,Apuração!B:B),0)</f>
        <v>0.33333333333333331</v>
      </c>
      <c r="BQ1908" s="53">
        <f ca="1">IF(BK1908&gt;=BO1908,0,_xlfn.XLOOKUP(F1908,Apuração!A:A,Apuração!B:B)*(BO1908 + (1/_xlfn.XLOOKUP(F1908,Apuração!A:A,Apuração!B:B)) - BK1908))</f>
        <v>0</v>
      </c>
      <c r="BR1908" s="85">
        <f ca="1">IF(BQ1908=0,0,BQ1908*Z1908)</f>
        <v>0</v>
      </c>
      <c r="BS1908" s="53">
        <f ca="1">IFERROR((_xlfn.XLOOKUP(F1908,Apuração!A:A,Apuração!C:C)+1)/_xlfn.XLOOKUP(F1908,Apuração!A:A,Apuração!B:B),0)</f>
        <v>0.5</v>
      </c>
    </row>
    <row r="1909" spans="1:71" ht="25.95" hidden="1" customHeight="1" x14ac:dyDescent="0.3">
      <c r="A1909" s="35" t="s">
        <v>44</v>
      </c>
      <c r="B1909" s="10" t="s">
        <v>44</v>
      </c>
      <c r="C1909" s="5" t="s">
        <v>214</v>
      </c>
      <c r="D1909" s="5" t="s">
        <v>210</v>
      </c>
      <c r="E1909" s="4" t="str" cm="1">
        <f t="array" ref="E1909">_xlfn.IFS(
F1909 = "A partir de Abril", "Aguardando Execução na Distribuidora",
A1909 = "CAPACITAÇÃO", "Em execução no Corporativo",
TRUE, "Em Execução na Distribuidora"
)</f>
        <v>Em Execução na Distribuidora</v>
      </c>
      <c r="F1909" s="4" t="str" cm="1">
        <f t="array" ref="F1909">_xlfn.IFS(
AG1909 &lt;&gt; "", "Jan-Dez/26",
AH1909 &lt;&gt; "", "Fev-Dez/26",
AI1909 &lt;&gt; "", "Mar-Dez/26", AJ1909 &lt;&gt; "", "Abr-Dez/26",
TRUE, "A partir de Junho"
)</f>
        <v>A partir de Junho</v>
      </c>
      <c r="G1909" s="10" t="s">
        <v>44</v>
      </c>
      <c r="H1909" s="36" t="s">
        <v>44</v>
      </c>
      <c r="I1909" s="37"/>
      <c r="J1909" s="37"/>
      <c r="K1909" s="37"/>
      <c r="L1909" s="37" t="s">
        <v>203</v>
      </c>
      <c r="M1909" s="37"/>
      <c r="N1909" s="5" t="s">
        <v>42</v>
      </c>
      <c r="O1909" s="5" t="s">
        <v>52</v>
      </c>
      <c r="P1909" s="10" t="s">
        <v>44</v>
      </c>
      <c r="Q1909" s="10" t="s">
        <v>44</v>
      </c>
      <c r="R1909" s="11" t="s">
        <v>44</v>
      </c>
      <c r="S1909" s="11" t="s">
        <v>44</v>
      </c>
      <c r="T1909" s="22"/>
      <c r="U1909" s="22"/>
      <c r="V1909" s="22"/>
      <c r="W1909" s="22"/>
      <c r="X1909" s="22"/>
      <c r="Y1909" s="22"/>
      <c r="Z1909" s="22"/>
      <c r="AA1909" s="22"/>
      <c r="AB1909" s="22"/>
      <c r="AC1909" s="22"/>
      <c r="AD1909" s="22"/>
      <c r="AE1909" s="22"/>
      <c r="AG1909" s="112"/>
      <c r="AH1909" s="112"/>
      <c r="AI1909" s="112"/>
      <c r="AJ1909" s="71"/>
      <c r="AK1909" s="71"/>
      <c r="AL1909" s="71"/>
      <c r="AM1909" s="71"/>
      <c r="AN1909" s="71"/>
      <c r="AO1909" s="71"/>
      <c r="AP1909" s="71"/>
      <c r="AQ1909" s="71"/>
      <c r="AR1909" s="71"/>
      <c r="AS1909" s="94"/>
      <c r="AT1909" s="95"/>
      <c r="AU1909" s="97"/>
      <c r="AW1909" s="84">
        <f t="shared" ref="AW1909:AW1913" si="2205">AG1909</f>
        <v>0</v>
      </c>
      <c r="AX1909" s="84">
        <f t="shared" ref="AX1909:AX1913" si="2206">AH1909</f>
        <v>0</v>
      </c>
      <c r="AY1909" s="84">
        <f t="shared" ref="AY1909:AY1913" si="2207">AI1909</f>
        <v>0</v>
      </c>
      <c r="AZ1909" s="84"/>
      <c r="BA1909" s="84"/>
      <c r="BB1909" s="84"/>
      <c r="BC1909" s="84"/>
      <c r="BD1909" s="84"/>
      <c r="BE1909" s="84"/>
      <c r="BF1909" s="84"/>
      <c r="BG1909" s="84"/>
      <c r="BH1909" s="84"/>
      <c r="BI1909" s="68" cm="1">
        <f t="array" ref="BI1909">IFERROR(INDEX(AW1909:BH1909,1,MATCH(2,1/(AW1909:BH1909&lt;&gt;""))),"")</f>
        <v>0</v>
      </c>
      <c r="BJ1909" s="68" cm="1">
        <f t="array" ref="BJ1909">IF(BM1909 = "", "",IFERROR(INDEX(AW1909:BH1909,1,MATCH(2,1/(AW1909:BH1909&lt;&gt;""),1)-1),""))</f>
        <v>0</v>
      </c>
      <c r="BK1909" s="57" cm="1">
        <f t="array" ref="BK1909">IFERROR(INDEX(AW1909:BH1909,1,MATCH(2,1/(AW1909:BH1909&lt;&gt;""),1)),"")</f>
        <v>0</v>
      </c>
      <c r="BL1909" s="57" cm="1">
        <f t="array" ref="BL1909">IF(BM1909 = "", "",IFERROR(INDEX(AW1909:BH1909,1,MATCH(2,1/(AW1909:BH1909&lt;&gt;""),1)-1),""))</f>
        <v>0</v>
      </c>
      <c r="BM1909" s="55" cm="1">
        <f t="array" ref="BM1909">IFERROR(
   INDEX($AW$1:$BH$1,
      _xlfn.AGGREGATE(14, 6, COLUMN($AW$1:$BH$1)/(AW1909:BH1909&lt;&gt;""), 2) - COLUMN($AW$1) + 1
   ),
"")</f>
        <v>46054</v>
      </c>
      <c r="BN1909" s="55" cm="1">
        <f t="array" ref="BN1909">IFERROR(INDEX($AW$1:$BH$1,1,MATCH(2,1/(AW1909:BH1909&lt;&gt;""))),"")</f>
        <v>46082</v>
      </c>
      <c r="BO1909" s="53">
        <f ca="1">IFERROR(_xlfn.XLOOKUP(F1909,Apuração!A:A,Apuração!C:C)/_xlfn.XLOOKUP(F1909,Apuração!A:A,Apuração!B:B),0)</f>
        <v>0</v>
      </c>
      <c r="BP1909" s="53">
        <f ca="1">IFERROR(_xlfn.XLOOKUP(F1909,Apuração!A:A,Apuração!D:D)/_xlfn.XLOOKUP(F1909,Apuração!A:A,Apuração!B:B),0)</f>
        <v>0</v>
      </c>
      <c r="BQ1909" s="53">
        <f ca="1">IF(BK1909&gt;=BO1909,0,_xlfn.XLOOKUP(F1909,Apuração!A:A,Apuração!B:B)*(BO1909 + (1/_xlfn.XLOOKUP(F1909,Apuração!A:A,Apuração!B:B)) - BK1909))</f>
        <v>0</v>
      </c>
      <c r="BR1909" s="85">
        <f t="shared" ref="BR1909:BR1913" ca="1" si="2208">IF(BQ1909=0,0,BQ1909*Z1909)</f>
        <v>0</v>
      </c>
      <c r="BS1909" s="53">
        <f ca="1">IFERROR((_xlfn.XLOOKUP(F1909,Apuração!A:A,Apuração!C:C)+1)/_xlfn.XLOOKUP(F1909,Apuração!A:A,Apuração!B:B),0)</f>
        <v>0.14285714285714285</v>
      </c>
    </row>
    <row r="1910" spans="1:71" ht="25.95" hidden="1" customHeight="1" x14ac:dyDescent="0.3">
      <c r="A1910" s="35" t="s">
        <v>44</v>
      </c>
      <c r="B1910" s="10" t="s">
        <v>44</v>
      </c>
      <c r="C1910" s="5" t="s">
        <v>214</v>
      </c>
      <c r="D1910" s="5" t="s">
        <v>215</v>
      </c>
      <c r="E1910" s="4" t="str" cm="1">
        <f t="array" ref="E1910">_xlfn.IFS(
F1910 = "A partir de Abril", "Aguardando Execução na Distribuidora",
A1910 = "CAPACITAÇÃO", "Em execução no Corporativo",
TRUE, "Em Execução na Distribuidora"
)</f>
        <v>Em Execução na Distribuidora</v>
      </c>
      <c r="F1910" s="4" t="str" cm="1">
        <f t="array" ref="F1910">_xlfn.IFS(
AG1910 &lt;&gt; "", "Jan-Dez/26",
AH1910 &lt;&gt; "", "Fev-Dez/26",
AI1910 &lt;&gt; "", "Mar-Dez/26", AJ1910 &lt;&gt; "", "Abr-Dez/26",
TRUE, "A partir de Junho"
)</f>
        <v>A partir de Junho</v>
      </c>
      <c r="G1910" s="10" t="s">
        <v>44</v>
      </c>
      <c r="H1910" s="36" t="s">
        <v>44</v>
      </c>
      <c r="I1910" s="37"/>
      <c r="J1910" s="37"/>
      <c r="K1910" s="37"/>
      <c r="L1910" s="37" t="s">
        <v>203</v>
      </c>
      <c r="M1910" s="37"/>
      <c r="N1910" s="5" t="s">
        <v>42</v>
      </c>
      <c r="O1910" s="5" t="s">
        <v>52</v>
      </c>
      <c r="P1910" s="10" t="s">
        <v>44</v>
      </c>
      <c r="Q1910" s="10" t="s">
        <v>44</v>
      </c>
      <c r="R1910" s="11" t="s">
        <v>44</v>
      </c>
      <c r="S1910" s="11" t="s">
        <v>44</v>
      </c>
      <c r="T1910" s="22"/>
      <c r="U1910" s="22"/>
      <c r="V1910" s="22"/>
      <c r="W1910" s="22"/>
      <c r="X1910" s="22"/>
      <c r="Y1910" s="22"/>
      <c r="Z1910" s="22"/>
      <c r="AA1910" s="22"/>
      <c r="AB1910" s="22"/>
      <c r="AC1910" s="22"/>
      <c r="AD1910" s="22"/>
      <c r="AE1910" s="22"/>
      <c r="AG1910" s="112"/>
      <c r="AH1910" s="112"/>
      <c r="AI1910" s="112"/>
      <c r="AJ1910" s="71"/>
      <c r="AK1910" s="71"/>
      <c r="AL1910" s="71"/>
      <c r="AM1910" s="71"/>
      <c r="AN1910" s="71"/>
      <c r="AO1910" s="71"/>
      <c r="AP1910" s="71"/>
      <c r="AQ1910" s="71"/>
      <c r="AR1910" s="71"/>
      <c r="AS1910" s="94"/>
      <c r="AT1910" s="95"/>
      <c r="AU1910" s="97"/>
      <c r="AW1910" s="84">
        <f t="shared" si="2205"/>
        <v>0</v>
      </c>
      <c r="AX1910" s="84">
        <f t="shared" si="2206"/>
        <v>0</v>
      </c>
      <c r="AY1910" s="84">
        <f t="shared" si="2207"/>
        <v>0</v>
      </c>
      <c r="AZ1910" s="84"/>
      <c r="BA1910" s="84"/>
      <c r="BB1910" s="84"/>
      <c r="BC1910" s="84"/>
      <c r="BD1910" s="84"/>
      <c r="BE1910" s="84"/>
      <c r="BF1910" s="84"/>
      <c r="BG1910" s="84"/>
      <c r="BH1910" s="84"/>
      <c r="BI1910" s="68" cm="1">
        <f t="array" ref="BI1910">IFERROR(INDEX(AW1910:BH1910,1,MATCH(2,1/(AW1910:BH1910&lt;&gt;""))),"")</f>
        <v>0</v>
      </c>
      <c r="BJ1910" s="68" cm="1">
        <f t="array" ref="BJ1910">IF(BM1910 = "", "",IFERROR(INDEX(AW1910:BH1910,1,MATCH(2,1/(AW1910:BH1910&lt;&gt;""),1)-1),""))</f>
        <v>0</v>
      </c>
      <c r="BK1910" s="57" cm="1">
        <f t="array" ref="BK1910">IFERROR(INDEX(AW1910:BH1910,1,MATCH(2,1/(AW1910:BH1910&lt;&gt;""),1)),"")</f>
        <v>0</v>
      </c>
      <c r="BL1910" s="57" cm="1">
        <f t="array" ref="BL1910">IF(BM1910 = "", "",IFERROR(INDEX(AW1910:BH1910,1,MATCH(2,1/(AW1910:BH1910&lt;&gt;""),1)-1),""))</f>
        <v>0</v>
      </c>
      <c r="BM1910" s="55" cm="1">
        <f t="array" ref="BM1910">IFERROR(
   INDEX($AW$1:$BH$1,
      _xlfn.AGGREGATE(14, 6, COLUMN($AW$1:$BH$1)/(AW1910:BH1910&lt;&gt;""), 2) - COLUMN($AW$1) + 1
   ),
"")</f>
        <v>46054</v>
      </c>
      <c r="BN1910" s="55" cm="1">
        <f t="array" ref="BN1910">IFERROR(INDEX($AW$1:$BH$1,1,MATCH(2,1/(AW1910:BH1910&lt;&gt;""))),"")</f>
        <v>46082</v>
      </c>
      <c r="BO1910" s="53">
        <f ca="1">IFERROR(_xlfn.XLOOKUP(F1910,Apuração!A:A,Apuração!C:C)/_xlfn.XLOOKUP(F1910,Apuração!A:A,Apuração!B:B),0)</f>
        <v>0</v>
      </c>
      <c r="BP1910" s="53">
        <f ca="1">IFERROR(_xlfn.XLOOKUP(F1910,Apuração!A:A,Apuração!D:D)/_xlfn.XLOOKUP(F1910,Apuração!A:A,Apuração!B:B),0)</f>
        <v>0</v>
      </c>
      <c r="BQ1910" s="53">
        <f ca="1">IF(BK1910&gt;=BO1910,0,_xlfn.XLOOKUP(F1910,Apuração!A:A,Apuração!B:B)*(BO1910 + (1/_xlfn.XLOOKUP(F1910,Apuração!A:A,Apuração!B:B)) - BK1910))</f>
        <v>0</v>
      </c>
      <c r="BR1910" s="85">
        <f t="shared" ca="1" si="2208"/>
        <v>0</v>
      </c>
      <c r="BS1910" s="53">
        <f ca="1">IFERROR((_xlfn.XLOOKUP(F1910,Apuração!A:A,Apuração!C:C)+1)/_xlfn.XLOOKUP(F1910,Apuração!A:A,Apuração!B:B),0)</f>
        <v>0.14285714285714285</v>
      </c>
    </row>
    <row r="1911" spans="1:71" ht="25.95" hidden="1" customHeight="1" x14ac:dyDescent="0.3">
      <c r="A1911" s="35" t="s">
        <v>44</v>
      </c>
      <c r="B1911" s="10" t="s">
        <v>44</v>
      </c>
      <c r="C1911" s="5" t="s">
        <v>214</v>
      </c>
      <c r="D1911" s="5" t="s">
        <v>212</v>
      </c>
      <c r="E1911" s="4" t="str" cm="1">
        <f t="array" ref="E1911">_xlfn.IFS(
F1911 = "A partir de Abril", "Aguardando Execução na Distribuidora",
A1911 = "CAPACITAÇÃO", "Em execução no Corporativo",
TRUE, "Em Execução na Distribuidora"
)</f>
        <v>Em Execução na Distribuidora</v>
      </c>
      <c r="F1911" s="4" t="str" cm="1">
        <f t="array" ref="F1911">_xlfn.IFS(
AG1911 &lt;&gt; "", "Jan-Dez/26",
AH1911 &lt;&gt; "", "Fev-Dez/26",
AI1911 &lt;&gt; "", "Mar-Dez/26", AJ1911 &lt;&gt; "", "Abr-Dez/26",
TRUE, "A partir de Junho"
)</f>
        <v>A partir de Junho</v>
      </c>
      <c r="G1911" s="10" t="s">
        <v>44</v>
      </c>
      <c r="H1911" s="36" t="s">
        <v>44</v>
      </c>
      <c r="I1911" s="37"/>
      <c r="J1911" s="37"/>
      <c r="K1911" s="37"/>
      <c r="L1911" s="37" t="s">
        <v>203</v>
      </c>
      <c r="M1911" s="37"/>
      <c r="N1911" s="5" t="s">
        <v>42</v>
      </c>
      <c r="O1911" s="5" t="s">
        <v>52</v>
      </c>
      <c r="P1911" s="10" t="s">
        <v>44</v>
      </c>
      <c r="Q1911" s="10" t="s">
        <v>44</v>
      </c>
      <c r="R1911" s="11" t="s">
        <v>44</v>
      </c>
      <c r="S1911" s="11" t="s">
        <v>44</v>
      </c>
      <c r="T1911" s="22"/>
      <c r="U1911" s="22"/>
      <c r="V1911" s="22"/>
      <c r="W1911" s="22"/>
      <c r="X1911" s="22"/>
      <c r="Y1911" s="22"/>
      <c r="Z1911" s="22"/>
      <c r="AA1911" s="22"/>
      <c r="AB1911" s="22"/>
      <c r="AC1911" s="22"/>
      <c r="AD1911" s="22"/>
      <c r="AE1911" s="22"/>
      <c r="AG1911" s="112"/>
      <c r="AH1911" s="112"/>
      <c r="AI1911" s="112"/>
      <c r="AJ1911" s="71"/>
      <c r="AK1911" s="71"/>
      <c r="AL1911" s="71"/>
      <c r="AM1911" s="71"/>
      <c r="AN1911" s="71"/>
      <c r="AO1911" s="71"/>
      <c r="AP1911" s="71"/>
      <c r="AQ1911" s="71"/>
      <c r="AR1911" s="71"/>
      <c r="AS1911" s="94"/>
      <c r="AT1911" s="95"/>
      <c r="AU1911" s="97"/>
      <c r="AW1911" s="84">
        <f t="shared" si="2205"/>
        <v>0</v>
      </c>
      <c r="AX1911" s="84">
        <f t="shared" si="2206"/>
        <v>0</v>
      </c>
      <c r="AY1911" s="84">
        <f t="shared" si="2207"/>
        <v>0</v>
      </c>
      <c r="AZ1911" s="84"/>
      <c r="BA1911" s="84"/>
      <c r="BB1911" s="84"/>
      <c r="BC1911" s="84"/>
      <c r="BD1911" s="84"/>
      <c r="BE1911" s="84"/>
      <c r="BF1911" s="84"/>
      <c r="BG1911" s="84"/>
      <c r="BH1911" s="84"/>
      <c r="BI1911" s="68" cm="1">
        <f t="array" ref="BI1911">IFERROR(INDEX(AW1911:BH1911,1,MATCH(2,1/(AW1911:BH1911&lt;&gt;""))),"")</f>
        <v>0</v>
      </c>
      <c r="BJ1911" s="68" cm="1">
        <f t="array" ref="BJ1911">IF(BM1911 = "", "",IFERROR(INDEX(AW1911:BH1911,1,MATCH(2,1/(AW1911:BH1911&lt;&gt;""),1)-1),""))</f>
        <v>0</v>
      </c>
      <c r="BK1911" s="57" cm="1">
        <f t="array" ref="BK1911">IFERROR(INDEX(AW1911:BH1911,1,MATCH(2,1/(AW1911:BH1911&lt;&gt;""),1)),"")</f>
        <v>0</v>
      </c>
      <c r="BL1911" s="57" cm="1">
        <f t="array" ref="BL1911">IF(BM1911 = "", "",IFERROR(INDEX(AW1911:BH1911,1,MATCH(2,1/(AW1911:BH1911&lt;&gt;""),1)-1),""))</f>
        <v>0</v>
      </c>
      <c r="BM1911" s="55" cm="1">
        <f t="array" ref="BM1911">IFERROR(
   INDEX($AW$1:$BH$1,
      _xlfn.AGGREGATE(14, 6, COLUMN($AW$1:$BH$1)/(AW1911:BH1911&lt;&gt;""), 2) - COLUMN($AW$1) + 1
   ),
"")</f>
        <v>46054</v>
      </c>
      <c r="BN1911" s="55" cm="1">
        <f t="array" ref="BN1911">IFERROR(INDEX($AW$1:$BH$1,1,MATCH(2,1/(AW1911:BH1911&lt;&gt;""))),"")</f>
        <v>46082</v>
      </c>
      <c r="BO1911" s="53">
        <f ca="1">IFERROR(_xlfn.XLOOKUP(F1911,Apuração!A:A,Apuração!C:C)/_xlfn.XLOOKUP(F1911,Apuração!A:A,Apuração!B:B),0)</f>
        <v>0</v>
      </c>
      <c r="BP1911" s="53">
        <f ca="1">IFERROR(_xlfn.XLOOKUP(F1911,Apuração!A:A,Apuração!D:D)/_xlfn.XLOOKUP(F1911,Apuração!A:A,Apuração!B:B),0)</f>
        <v>0</v>
      </c>
      <c r="BQ1911" s="53">
        <f ca="1">IF(BK1911&gt;=BO1911,0,_xlfn.XLOOKUP(F1911,Apuração!A:A,Apuração!B:B)*(BO1911 + (1/_xlfn.XLOOKUP(F1911,Apuração!A:A,Apuração!B:B)) - BK1911))</f>
        <v>0</v>
      </c>
      <c r="BR1911" s="85">
        <f t="shared" ca="1" si="2208"/>
        <v>0</v>
      </c>
      <c r="BS1911" s="53">
        <f ca="1">IFERROR((_xlfn.XLOOKUP(F1911,Apuração!A:A,Apuração!C:C)+1)/_xlfn.XLOOKUP(F1911,Apuração!A:A,Apuração!B:B),0)</f>
        <v>0.14285714285714285</v>
      </c>
    </row>
    <row r="1912" spans="1:71" ht="25.95" hidden="1" customHeight="1" x14ac:dyDescent="0.3">
      <c r="A1912" s="35" t="s">
        <v>44</v>
      </c>
      <c r="B1912" s="10" t="s">
        <v>44</v>
      </c>
      <c r="C1912" s="5" t="s">
        <v>214</v>
      </c>
      <c r="D1912" s="5" t="s">
        <v>48</v>
      </c>
      <c r="E1912" s="4" t="str" cm="1">
        <f t="array" ref="E1912">_xlfn.IFS(
F1912 = "A partir de Abril", "Aguardando Execução na Distribuidora",
A1912 = "CAPACITAÇÃO", "Em execução no Corporativo",
TRUE, "Em Execução na Distribuidora"
)</f>
        <v>Em Execução na Distribuidora</v>
      </c>
      <c r="F1912" s="4" t="str" cm="1">
        <f t="array" ref="F1912">_xlfn.IFS(
AG1912 &lt;&gt; "", "Jan-Dez/26",
AH1912 &lt;&gt; "", "Fev-Dez/26",
AI1912 &lt;&gt; "", "Mar-Dez/26", AJ1912 &lt;&gt; "", "Abr-Dez/26",
TRUE, "A partir de Junho"
)</f>
        <v>A partir de Junho</v>
      </c>
      <c r="G1912" s="10" t="s">
        <v>44</v>
      </c>
      <c r="H1912" s="36" t="s">
        <v>44</v>
      </c>
      <c r="I1912" s="37"/>
      <c r="J1912" s="37"/>
      <c r="K1912" s="37"/>
      <c r="L1912" s="37" t="s">
        <v>203</v>
      </c>
      <c r="M1912" s="37"/>
      <c r="N1912" s="5" t="s">
        <v>42</v>
      </c>
      <c r="O1912" s="5" t="s">
        <v>52</v>
      </c>
      <c r="P1912" s="10" t="s">
        <v>44</v>
      </c>
      <c r="Q1912" s="10" t="s">
        <v>44</v>
      </c>
      <c r="R1912" s="11" t="s">
        <v>44</v>
      </c>
      <c r="S1912" s="11" t="s">
        <v>44</v>
      </c>
      <c r="T1912" s="22"/>
      <c r="U1912" s="22"/>
      <c r="V1912" s="22"/>
      <c r="W1912" s="22"/>
      <c r="X1912" s="22"/>
      <c r="Y1912" s="22"/>
      <c r="Z1912" s="22"/>
      <c r="AA1912" s="22"/>
      <c r="AB1912" s="22"/>
      <c r="AC1912" s="22"/>
      <c r="AD1912" s="22"/>
      <c r="AE1912" s="22"/>
      <c r="AG1912" s="112"/>
      <c r="AH1912" s="112"/>
      <c r="AI1912" s="112"/>
      <c r="AJ1912" s="71"/>
      <c r="AK1912" s="71"/>
      <c r="AL1912" s="71"/>
      <c r="AM1912" s="71"/>
      <c r="AN1912" s="71"/>
      <c r="AO1912" s="71"/>
      <c r="AP1912" s="71"/>
      <c r="AQ1912" s="71"/>
      <c r="AR1912" s="71"/>
      <c r="AS1912" s="94"/>
      <c r="AT1912" s="95"/>
      <c r="AU1912" s="97"/>
      <c r="AW1912" s="84">
        <f t="shared" si="2205"/>
        <v>0</v>
      </c>
      <c r="AX1912" s="84">
        <f t="shared" si="2206"/>
        <v>0</v>
      </c>
      <c r="AY1912" s="84">
        <f t="shared" si="2207"/>
        <v>0</v>
      </c>
      <c r="AZ1912" s="84"/>
      <c r="BA1912" s="84"/>
      <c r="BB1912" s="84"/>
      <c r="BC1912" s="84"/>
      <c r="BD1912" s="84"/>
      <c r="BE1912" s="84"/>
      <c r="BF1912" s="84"/>
      <c r="BG1912" s="84"/>
      <c r="BH1912" s="84"/>
      <c r="BI1912" s="68" cm="1">
        <f t="array" ref="BI1912">IFERROR(INDEX(AW1912:BH1912,1,MATCH(2,1/(AW1912:BH1912&lt;&gt;""))),"")</f>
        <v>0</v>
      </c>
      <c r="BJ1912" s="68" cm="1">
        <f t="array" ref="BJ1912">IF(BM1912 = "", "",IFERROR(INDEX(AW1912:BH1912,1,MATCH(2,1/(AW1912:BH1912&lt;&gt;""),1)-1),""))</f>
        <v>0</v>
      </c>
      <c r="BK1912" s="57" cm="1">
        <f t="array" ref="BK1912">IFERROR(INDEX(AW1912:BH1912,1,MATCH(2,1/(AW1912:BH1912&lt;&gt;""),1)),"")</f>
        <v>0</v>
      </c>
      <c r="BL1912" s="57" cm="1">
        <f t="array" ref="BL1912">IF(BM1912 = "", "",IFERROR(INDEX(AW1912:BH1912,1,MATCH(2,1/(AW1912:BH1912&lt;&gt;""),1)-1),""))</f>
        <v>0</v>
      </c>
      <c r="BM1912" s="55" cm="1">
        <f t="array" ref="BM1912">IFERROR(
   INDEX($AW$1:$BH$1,
      _xlfn.AGGREGATE(14, 6, COLUMN($AW$1:$BH$1)/(AW1912:BH1912&lt;&gt;""), 2) - COLUMN($AW$1) + 1
   ),
"")</f>
        <v>46054</v>
      </c>
      <c r="BN1912" s="55" cm="1">
        <f t="array" ref="BN1912">IFERROR(INDEX($AW$1:$BH$1,1,MATCH(2,1/(AW1912:BH1912&lt;&gt;""))),"")</f>
        <v>46082</v>
      </c>
      <c r="BO1912" s="53">
        <f ca="1">IFERROR(_xlfn.XLOOKUP(F1912,Apuração!A:A,Apuração!C:C)/_xlfn.XLOOKUP(F1912,Apuração!A:A,Apuração!B:B),0)</f>
        <v>0</v>
      </c>
      <c r="BP1912" s="53">
        <f ca="1">IFERROR(_xlfn.XLOOKUP(F1912,Apuração!A:A,Apuração!D:D)/_xlfn.XLOOKUP(F1912,Apuração!A:A,Apuração!B:B),0)</f>
        <v>0</v>
      </c>
      <c r="BQ1912" s="53">
        <f ca="1">IF(BK1912&gt;=BO1912,0,_xlfn.XLOOKUP(F1912,Apuração!A:A,Apuração!B:B)*(BO1912 + (1/_xlfn.XLOOKUP(F1912,Apuração!A:A,Apuração!B:B)) - BK1912))</f>
        <v>0</v>
      </c>
      <c r="BR1912" s="85">
        <f t="shared" ca="1" si="2208"/>
        <v>0</v>
      </c>
      <c r="BS1912" s="53">
        <f ca="1">IFERROR((_xlfn.XLOOKUP(F1912,Apuração!A:A,Apuração!C:C)+1)/_xlfn.XLOOKUP(F1912,Apuração!A:A,Apuração!B:B),0)</f>
        <v>0.14285714285714285</v>
      </c>
    </row>
    <row r="1913" spans="1:71" ht="25.95" hidden="1" customHeight="1" x14ac:dyDescent="0.3">
      <c r="A1913" s="35" t="s">
        <v>44</v>
      </c>
      <c r="B1913" s="10" t="s">
        <v>44</v>
      </c>
      <c r="C1913" s="5" t="s">
        <v>214</v>
      </c>
      <c r="D1913" s="5" t="s">
        <v>213</v>
      </c>
      <c r="E1913" s="4" t="str" cm="1">
        <f t="array" ref="E1913">_xlfn.IFS(
F1913 = "A partir de Abril", "Aguardando Execução na Distribuidora",
A1913 = "CAPACITAÇÃO", "Em execução no Corporativo",
TRUE, "Em Execução na Distribuidora"
)</f>
        <v>Em Execução na Distribuidora</v>
      </c>
      <c r="F1913" s="4" t="str" cm="1">
        <f t="array" ref="F1913">_xlfn.IFS(
AG1913 &lt;&gt; "", "Jan-Dez/26",
AH1913 &lt;&gt; "", "Fev-Dez/26",
AI1913 &lt;&gt; "", "Mar-Dez/26", AJ1913 &lt;&gt; "", "Abr-Dez/26",
TRUE, "A partir de Junho"
)</f>
        <v>A partir de Junho</v>
      </c>
      <c r="G1913" s="10" t="s">
        <v>44</v>
      </c>
      <c r="H1913" s="36" t="s">
        <v>44</v>
      </c>
      <c r="I1913" s="37"/>
      <c r="J1913" s="37"/>
      <c r="K1913" s="37"/>
      <c r="L1913" s="37" t="s">
        <v>203</v>
      </c>
      <c r="M1913" s="37"/>
      <c r="N1913" s="5" t="s">
        <v>42</v>
      </c>
      <c r="O1913" s="5" t="s">
        <v>52</v>
      </c>
      <c r="P1913" s="10" t="s">
        <v>44</v>
      </c>
      <c r="Q1913" s="10" t="s">
        <v>44</v>
      </c>
      <c r="R1913" s="11" t="s">
        <v>44</v>
      </c>
      <c r="S1913" s="11" t="s">
        <v>44</v>
      </c>
      <c r="T1913" s="22"/>
      <c r="U1913" s="22"/>
      <c r="V1913" s="22"/>
      <c r="W1913" s="22"/>
      <c r="X1913" s="22"/>
      <c r="Y1913" s="22"/>
      <c r="Z1913" s="22"/>
      <c r="AA1913" s="22"/>
      <c r="AB1913" s="22"/>
      <c r="AC1913" s="22"/>
      <c r="AD1913" s="22"/>
      <c r="AE1913" s="22"/>
      <c r="AG1913" s="112"/>
      <c r="AH1913" s="112"/>
      <c r="AI1913" s="112"/>
      <c r="AJ1913" s="71"/>
      <c r="AK1913" s="71"/>
      <c r="AL1913" s="71"/>
      <c r="AM1913" s="71"/>
      <c r="AN1913" s="71"/>
      <c r="AO1913" s="71"/>
      <c r="AP1913" s="71"/>
      <c r="AQ1913" s="71"/>
      <c r="AR1913" s="71"/>
      <c r="AS1913" s="94"/>
      <c r="AT1913" s="95"/>
      <c r="AU1913" s="97"/>
      <c r="AW1913" s="84">
        <f t="shared" si="2205"/>
        <v>0</v>
      </c>
      <c r="AX1913" s="84">
        <f t="shared" si="2206"/>
        <v>0</v>
      </c>
      <c r="AY1913" s="84">
        <f t="shared" si="2207"/>
        <v>0</v>
      </c>
      <c r="AZ1913" s="84"/>
      <c r="BA1913" s="84"/>
      <c r="BB1913" s="84"/>
      <c r="BC1913" s="84"/>
      <c r="BD1913" s="84"/>
      <c r="BE1913" s="84"/>
      <c r="BF1913" s="84"/>
      <c r="BG1913" s="84"/>
      <c r="BH1913" s="84"/>
      <c r="BI1913" s="68" cm="1">
        <f t="array" ref="BI1913">IFERROR(INDEX(AW1913:BH1913,1,MATCH(2,1/(AW1913:BH1913&lt;&gt;""))),"")</f>
        <v>0</v>
      </c>
      <c r="BJ1913" s="68" cm="1">
        <f t="array" ref="BJ1913">IF(BM1913 = "", "",IFERROR(INDEX(AW1913:BH1913,1,MATCH(2,1/(AW1913:BH1913&lt;&gt;""),1)-1),""))</f>
        <v>0</v>
      </c>
      <c r="BK1913" s="57" cm="1">
        <f t="array" ref="BK1913">IFERROR(INDEX(AW1913:BH1913,1,MATCH(2,1/(AW1913:BH1913&lt;&gt;""),1)),"")</f>
        <v>0</v>
      </c>
      <c r="BL1913" s="57" cm="1">
        <f t="array" ref="BL1913">IF(BM1913 = "", "",IFERROR(INDEX(AW1913:BH1913,1,MATCH(2,1/(AW1913:BH1913&lt;&gt;""),1)-1),""))</f>
        <v>0</v>
      </c>
      <c r="BM1913" s="55" cm="1">
        <f t="array" ref="BM1913">IFERROR(
   INDEX($AW$1:$BH$1,
      _xlfn.AGGREGATE(14, 6, COLUMN($AW$1:$BH$1)/(AW1913:BH1913&lt;&gt;""), 2) - COLUMN($AW$1) + 1
   ),
"")</f>
        <v>46054</v>
      </c>
      <c r="BN1913" s="55" cm="1">
        <f t="array" ref="BN1913">IFERROR(INDEX($AW$1:$BH$1,1,MATCH(2,1/(AW1913:BH1913&lt;&gt;""))),"")</f>
        <v>46082</v>
      </c>
      <c r="BO1913" s="53">
        <f ca="1">IFERROR(_xlfn.XLOOKUP(F1913,Apuração!A:A,Apuração!C:C)/_xlfn.XLOOKUP(F1913,Apuração!A:A,Apuração!B:B),0)</f>
        <v>0</v>
      </c>
      <c r="BP1913" s="53">
        <f ca="1">IFERROR(_xlfn.XLOOKUP(F1913,Apuração!A:A,Apuração!D:D)/_xlfn.XLOOKUP(F1913,Apuração!A:A,Apuração!B:B),0)</f>
        <v>0</v>
      </c>
      <c r="BQ1913" s="53">
        <f ca="1">IF(BK1913&gt;=BO1913,0,_xlfn.XLOOKUP(F1913,Apuração!A:A,Apuração!B:B)*(BO1913 + (1/_xlfn.XLOOKUP(F1913,Apuração!A:A,Apuração!B:B)) - BK1913))</f>
        <v>0</v>
      </c>
      <c r="BR1913" s="85">
        <f t="shared" ca="1" si="2208"/>
        <v>0</v>
      </c>
      <c r="BS1913" s="53">
        <f ca="1">IFERROR((_xlfn.XLOOKUP(F1913,Apuração!A:A,Apuração!C:C)+1)/_xlfn.XLOOKUP(F1913,Apuração!A:A,Apuração!B:B),0)</f>
        <v>0.14285714285714285</v>
      </c>
    </row>
    <row r="1914" spans="1:71" ht="25.95" hidden="1" customHeight="1" x14ac:dyDescent="0.3">
      <c r="A1914" s="35" t="s">
        <v>44</v>
      </c>
      <c r="B1914" s="10" t="s">
        <v>44</v>
      </c>
      <c r="C1914" s="5" t="s">
        <v>214</v>
      </c>
      <c r="D1914" s="5" t="s">
        <v>36</v>
      </c>
      <c r="E1914" s="4" t="str" cm="1">
        <f t="array" ref="E1914">_xlfn.IFS(
F1914 = "A partir de Abril", "Aguardando Execução na Distribuidora",
A1914 = "CAPACITAÇÃO", "Em execução no Corporativo",
TRUE, "Em Execução na Distribuidora"
)</f>
        <v>Em Execução na Distribuidora</v>
      </c>
      <c r="F1914" s="4" t="str" cm="1">
        <f t="array" ref="F1914">_xlfn.IFS(
AG1914 &lt;&gt; "", "Jan-Dez/26",
AH1914 &lt;&gt; "", "Fev-Dez/26",
AI1914 &lt;&gt; "", "Mar-Dez/26", AJ1914 &lt;&gt; "", "Abr-Dez/26",
TRUE, "A partir de Junho"
)</f>
        <v>Jan-Dez/26</v>
      </c>
      <c r="G1914" s="10" t="s">
        <v>44</v>
      </c>
      <c r="H1914" s="36" t="s">
        <v>44</v>
      </c>
      <c r="I1914" s="37"/>
      <c r="J1914" s="37"/>
      <c r="K1914" s="37"/>
      <c r="L1914" s="37" t="s">
        <v>204</v>
      </c>
      <c r="M1914" s="37"/>
      <c r="N1914" s="5" t="s">
        <v>42</v>
      </c>
      <c r="O1914" s="5" t="s">
        <v>52</v>
      </c>
      <c r="P1914" s="10" t="s">
        <v>44</v>
      </c>
      <c r="Q1914" s="10" t="s">
        <v>44</v>
      </c>
      <c r="R1914" s="11" t="s">
        <v>44</v>
      </c>
      <c r="S1914" s="11" t="s">
        <v>44</v>
      </c>
      <c r="T1914" s="22"/>
      <c r="U1914" s="22"/>
      <c r="V1914" s="22"/>
      <c r="W1914" s="22"/>
      <c r="X1914" s="22"/>
      <c r="Y1914" s="22"/>
      <c r="Z1914" s="22"/>
      <c r="AA1914" s="22"/>
      <c r="AB1914" s="22"/>
      <c r="AC1914" s="22"/>
      <c r="AD1914" s="22"/>
      <c r="AE1914" s="22"/>
      <c r="AG1914" s="112">
        <v>0</v>
      </c>
      <c r="AH1914" s="112">
        <v>3.3839189740905171</v>
      </c>
      <c r="AI1914" s="112">
        <v>2.2646324982689716</v>
      </c>
      <c r="AJ1914" s="112">
        <v>0</v>
      </c>
      <c r="AK1914" s="112"/>
      <c r="AL1914" s="112"/>
      <c r="AM1914" s="112"/>
      <c r="AN1914" s="112"/>
      <c r="AO1914" s="112"/>
      <c r="AP1914" s="112"/>
      <c r="AQ1914" s="112"/>
      <c r="AR1914" s="112"/>
      <c r="AS1914" s="94"/>
      <c r="AT1914" s="95"/>
      <c r="AU1914" s="97"/>
      <c r="AW1914" s="84">
        <f>AG1914</f>
        <v>0</v>
      </c>
      <c r="AX1914" s="84">
        <f>AH1914</f>
        <v>3.3839189740905171</v>
      </c>
      <c r="AY1914" s="84">
        <f>AI1914</f>
        <v>2.2646324982689716</v>
      </c>
      <c r="AZ1914" s="84">
        <f>AJ1914</f>
        <v>0</v>
      </c>
      <c r="BA1914" s="84"/>
      <c r="BB1914" s="84"/>
      <c r="BC1914" s="84"/>
      <c r="BD1914" s="84"/>
      <c r="BE1914" s="84"/>
      <c r="BF1914" s="84"/>
      <c r="BG1914" s="84"/>
      <c r="BH1914" s="84"/>
      <c r="BI1914" s="68" cm="1">
        <f t="array" ref="BI1914">IFERROR(INDEX(AW1914:BH1914,1,MATCH(2,1/(AW1914:BH1914&lt;&gt;""))),"")</f>
        <v>0</v>
      </c>
      <c r="BJ1914" s="68" cm="1">
        <f t="array" ref="BJ1914">IF(BM1914 = "", "",IFERROR(INDEX(AW1914:BH1914,1,MATCH(2,1/(AW1914:BH1914&lt;&gt;""),1)-1),""))</f>
        <v>2.2646324982689716</v>
      </c>
      <c r="BK1914" s="57" cm="1">
        <f t="array" ref="BK1914">IFERROR(INDEX(AW1914:BH1914,1,MATCH(2,1/(AW1914:BH1914&lt;&gt;""),1)),"")</f>
        <v>0</v>
      </c>
      <c r="BL1914" s="57" cm="1">
        <f t="array" ref="BL1914">IF(BM1914 = "", "",IFERROR(INDEX(AW1914:BH1914,1,MATCH(2,1/(AW1914:BH1914&lt;&gt;""),1)-1),""))</f>
        <v>2.2646324982689716</v>
      </c>
      <c r="BM1914" s="55" cm="1">
        <f t="array" ref="BM1914">IFERROR(
   INDEX($AW$1:$BH$1,
      _xlfn.AGGREGATE(14, 6, COLUMN($AW$1:$BH$1)/(AW1914:BH1914&lt;&gt;""), 2) - COLUMN($AW$1) + 1
   ),
"")</f>
        <v>46082</v>
      </c>
      <c r="BN1914" s="55" cm="1">
        <f t="array" ref="BN1914">IFERROR(INDEX($AW$1:$BH$1,1,MATCH(2,1/(AW1914:BH1914&lt;&gt;""))),"")</f>
        <v>46113</v>
      </c>
      <c r="BO1914" s="53">
        <f ca="1">IFERROR(_xlfn.XLOOKUP(F1914,Apuração!A:A,Apuração!C:C)/_xlfn.XLOOKUP(F1914,Apuração!A:A,Apuração!B:B),0)</f>
        <v>0.41666666666666669</v>
      </c>
      <c r="BP1914" s="53">
        <f ca="1">IFERROR(_xlfn.XLOOKUP(F1914,Apuração!A:A,Apuração!D:D)/_xlfn.XLOOKUP(F1914,Apuração!A:A,Apuração!B:B),0)</f>
        <v>0.33333333333333331</v>
      </c>
      <c r="BQ1914" s="53">
        <f ca="1">IF(BK1914&gt;=BO1914,0,_xlfn.XLOOKUP(F1914,Apuração!A:A,Apuração!B:B)*(BO1914 + (1/_xlfn.XLOOKUP(F1914,Apuração!A:A,Apuração!B:B)) - BK1914))</f>
        <v>6</v>
      </c>
      <c r="BR1914" s="85">
        <f ca="1">IF(BQ1914=0,0,BQ1914*Z1914)</f>
        <v>0</v>
      </c>
      <c r="BS1914" s="53">
        <f ca="1">IFERROR((_xlfn.XLOOKUP(F1914,Apuração!A:A,Apuração!C:C)+1)/_xlfn.XLOOKUP(F1914,Apuração!A:A,Apuração!B:B),0)</f>
        <v>0.5</v>
      </c>
    </row>
    <row r="1915" spans="1:71" ht="25.95" hidden="1" customHeight="1" x14ac:dyDescent="0.3">
      <c r="A1915" s="35" t="s">
        <v>44</v>
      </c>
      <c r="B1915" s="10" t="s">
        <v>44</v>
      </c>
      <c r="C1915" s="5" t="s">
        <v>214</v>
      </c>
      <c r="D1915" s="5" t="s">
        <v>210</v>
      </c>
      <c r="E1915" s="4" t="str" cm="1">
        <f t="array" ref="E1915">_xlfn.IFS(
F1915 = "A partir de Abril", "Aguardando Execução na Distribuidora",
A1915 = "CAPACITAÇÃO", "Em execução no Corporativo",
TRUE, "Em Execução na Distribuidora"
)</f>
        <v>Em Execução na Distribuidora</v>
      </c>
      <c r="F1915" s="4" t="str" cm="1">
        <f t="array" ref="F1915">_xlfn.IFS(
AG1915 &lt;&gt; "", "Jan-Dez/26",
AH1915 &lt;&gt; "", "Fev-Dez/26",
AI1915 &lt;&gt; "", "Mar-Dez/26", AJ1915 &lt;&gt; "", "Abr-Dez/26",
TRUE, "A partir de Junho"
)</f>
        <v>A partir de Junho</v>
      </c>
      <c r="G1915" s="10" t="s">
        <v>44</v>
      </c>
      <c r="H1915" s="36" t="s">
        <v>44</v>
      </c>
      <c r="I1915" s="37"/>
      <c r="J1915" s="37"/>
      <c r="K1915" s="37"/>
      <c r="L1915" s="37" t="s">
        <v>204</v>
      </c>
      <c r="M1915" s="37"/>
      <c r="N1915" s="5" t="s">
        <v>42</v>
      </c>
      <c r="O1915" s="5" t="s">
        <v>52</v>
      </c>
      <c r="P1915" s="10" t="s">
        <v>44</v>
      </c>
      <c r="Q1915" s="10" t="s">
        <v>44</v>
      </c>
      <c r="R1915" s="11" t="s">
        <v>44</v>
      </c>
      <c r="S1915" s="11" t="s">
        <v>44</v>
      </c>
      <c r="T1915" s="22"/>
      <c r="U1915" s="22"/>
      <c r="V1915" s="22"/>
      <c r="W1915" s="22"/>
      <c r="X1915" s="22"/>
      <c r="Y1915" s="22"/>
      <c r="Z1915" s="22"/>
      <c r="AA1915" s="22"/>
      <c r="AB1915" s="22"/>
      <c r="AC1915" s="22"/>
      <c r="AD1915" s="22"/>
      <c r="AE1915" s="22"/>
      <c r="AG1915" s="112"/>
      <c r="AH1915" s="112"/>
      <c r="AI1915" s="112"/>
      <c r="AJ1915" s="71"/>
      <c r="AK1915" s="71"/>
      <c r="AL1915" s="71"/>
      <c r="AM1915" s="71"/>
      <c r="AN1915" s="71"/>
      <c r="AO1915" s="71"/>
      <c r="AP1915" s="71"/>
      <c r="AQ1915" s="71"/>
      <c r="AR1915" s="71"/>
      <c r="AS1915" s="94"/>
      <c r="AT1915" s="95"/>
      <c r="AU1915" s="97"/>
      <c r="AW1915" s="84">
        <f t="shared" ref="AW1915:AW1919" si="2209">AG1915</f>
        <v>0</v>
      </c>
      <c r="AX1915" s="84">
        <f t="shared" ref="AX1915:AX1919" si="2210">AH1915</f>
        <v>0</v>
      </c>
      <c r="AY1915" s="84">
        <f t="shared" ref="AY1915:AY1919" si="2211">AI1915</f>
        <v>0</v>
      </c>
      <c r="AZ1915" s="84"/>
      <c r="BA1915" s="84"/>
      <c r="BB1915" s="84"/>
      <c r="BC1915" s="84"/>
      <c r="BD1915" s="84"/>
      <c r="BE1915" s="84"/>
      <c r="BF1915" s="84"/>
      <c r="BG1915" s="84"/>
      <c r="BH1915" s="84"/>
      <c r="BI1915" s="68" cm="1">
        <f t="array" ref="BI1915">IFERROR(INDEX(AW1915:BH1915,1,MATCH(2,1/(AW1915:BH1915&lt;&gt;""))),"")</f>
        <v>0</v>
      </c>
      <c r="BJ1915" s="68" cm="1">
        <f t="array" ref="BJ1915">IF(BM1915 = "", "",IFERROR(INDEX(AW1915:BH1915,1,MATCH(2,1/(AW1915:BH1915&lt;&gt;""),1)-1),""))</f>
        <v>0</v>
      </c>
      <c r="BK1915" s="57" cm="1">
        <f t="array" ref="BK1915">IFERROR(INDEX(AW1915:BH1915,1,MATCH(2,1/(AW1915:BH1915&lt;&gt;""),1)),"")</f>
        <v>0</v>
      </c>
      <c r="BL1915" s="57" cm="1">
        <f t="array" ref="BL1915">IF(BM1915 = "", "",IFERROR(INDEX(AW1915:BH1915,1,MATCH(2,1/(AW1915:BH1915&lt;&gt;""),1)-1),""))</f>
        <v>0</v>
      </c>
      <c r="BM1915" s="55" cm="1">
        <f t="array" ref="BM1915">IFERROR(
   INDEX($AW$1:$BH$1,
      _xlfn.AGGREGATE(14, 6, COLUMN($AW$1:$BH$1)/(AW1915:BH1915&lt;&gt;""), 2) - COLUMN($AW$1) + 1
   ),
"")</f>
        <v>46054</v>
      </c>
      <c r="BN1915" s="55" cm="1">
        <f t="array" ref="BN1915">IFERROR(INDEX($AW$1:$BH$1,1,MATCH(2,1/(AW1915:BH1915&lt;&gt;""))),"")</f>
        <v>46082</v>
      </c>
      <c r="BO1915" s="53">
        <f ca="1">IFERROR(_xlfn.XLOOKUP(F1915,Apuração!A:A,Apuração!C:C)/_xlfn.XLOOKUP(F1915,Apuração!A:A,Apuração!B:B),0)</f>
        <v>0</v>
      </c>
      <c r="BP1915" s="53">
        <f ca="1">IFERROR(_xlfn.XLOOKUP(F1915,Apuração!A:A,Apuração!D:D)/_xlfn.XLOOKUP(F1915,Apuração!A:A,Apuração!B:B),0)</f>
        <v>0</v>
      </c>
      <c r="BQ1915" s="53">
        <f ca="1">IF(BK1915&gt;=BO1915,0,_xlfn.XLOOKUP(F1915,Apuração!A:A,Apuração!B:B)*(BO1915 + (1/_xlfn.XLOOKUP(F1915,Apuração!A:A,Apuração!B:B)) - BK1915))</f>
        <v>0</v>
      </c>
      <c r="BR1915" s="85">
        <f t="shared" ref="BR1915:BR1919" ca="1" si="2212">IF(BQ1915=0,0,BQ1915*Z1915)</f>
        <v>0</v>
      </c>
      <c r="BS1915" s="53">
        <f ca="1">IFERROR((_xlfn.XLOOKUP(F1915,Apuração!A:A,Apuração!C:C)+1)/_xlfn.XLOOKUP(F1915,Apuração!A:A,Apuração!B:B),0)</f>
        <v>0.14285714285714285</v>
      </c>
    </row>
    <row r="1916" spans="1:71" ht="25.95" hidden="1" customHeight="1" x14ac:dyDescent="0.3">
      <c r="A1916" s="35" t="s">
        <v>44</v>
      </c>
      <c r="B1916" s="10" t="s">
        <v>44</v>
      </c>
      <c r="C1916" s="5" t="s">
        <v>214</v>
      </c>
      <c r="D1916" s="5" t="s">
        <v>215</v>
      </c>
      <c r="E1916" s="4" t="str" cm="1">
        <f t="array" ref="E1916">_xlfn.IFS(
F1916 = "A partir de Abril", "Aguardando Execução na Distribuidora",
A1916 = "CAPACITAÇÃO", "Em execução no Corporativo",
TRUE, "Em Execução na Distribuidora"
)</f>
        <v>Em Execução na Distribuidora</v>
      </c>
      <c r="F1916" s="4" t="str" cm="1">
        <f t="array" ref="F1916">_xlfn.IFS(
AG1916 &lt;&gt; "", "Jan-Dez/26",
AH1916 &lt;&gt; "", "Fev-Dez/26",
AI1916 &lt;&gt; "", "Mar-Dez/26", AJ1916 &lt;&gt; "", "Abr-Dez/26",
TRUE, "A partir de Junho"
)</f>
        <v>A partir de Junho</v>
      </c>
      <c r="G1916" s="10" t="s">
        <v>44</v>
      </c>
      <c r="H1916" s="36" t="s">
        <v>44</v>
      </c>
      <c r="I1916" s="37"/>
      <c r="J1916" s="37"/>
      <c r="K1916" s="37"/>
      <c r="L1916" s="37" t="s">
        <v>204</v>
      </c>
      <c r="M1916" s="37"/>
      <c r="N1916" s="5" t="s">
        <v>42</v>
      </c>
      <c r="O1916" s="5" t="s">
        <v>52</v>
      </c>
      <c r="P1916" s="10" t="s">
        <v>44</v>
      </c>
      <c r="Q1916" s="10" t="s">
        <v>44</v>
      </c>
      <c r="R1916" s="11" t="s">
        <v>44</v>
      </c>
      <c r="S1916" s="11" t="s">
        <v>44</v>
      </c>
      <c r="T1916" s="22"/>
      <c r="U1916" s="22"/>
      <c r="V1916" s="22"/>
      <c r="W1916" s="22"/>
      <c r="X1916" s="22"/>
      <c r="Y1916" s="22"/>
      <c r="Z1916" s="22"/>
      <c r="AA1916" s="22"/>
      <c r="AB1916" s="22"/>
      <c r="AC1916" s="22"/>
      <c r="AD1916" s="22"/>
      <c r="AE1916" s="22"/>
      <c r="AG1916" s="112"/>
      <c r="AH1916" s="112"/>
      <c r="AI1916" s="112"/>
      <c r="AJ1916" s="71"/>
      <c r="AK1916" s="71"/>
      <c r="AL1916" s="71"/>
      <c r="AM1916" s="71"/>
      <c r="AN1916" s="71"/>
      <c r="AO1916" s="71"/>
      <c r="AP1916" s="71"/>
      <c r="AQ1916" s="71"/>
      <c r="AR1916" s="71"/>
      <c r="AS1916" s="94"/>
      <c r="AT1916" s="95"/>
      <c r="AU1916" s="97"/>
      <c r="AW1916" s="84">
        <f t="shared" si="2209"/>
        <v>0</v>
      </c>
      <c r="AX1916" s="84">
        <f t="shared" si="2210"/>
        <v>0</v>
      </c>
      <c r="AY1916" s="84">
        <f t="shared" si="2211"/>
        <v>0</v>
      </c>
      <c r="AZ1916" s="84"/>
      <c r="BA1916" s="84"/>
      <c r="BB1916" s="84"/>
      <c r="BC1916" s="84"/>
      <c r="BD1916" s="84"/>
      <c r="BE1916" s="84"/>
      <c r="BF1916" s="84"/>
      <c r="BG1916" s="84"/>
      <c r="BH1916" s="84"/>
      <c r="BI1916" s="68" cm="1">
        <f t="array" ref="BI1916">IFERROR(INDEX(AW1916:BH1916,1,MATCH(2,1/(AW1916:BH1916&lt;&gt;""))),"")</f>
        <v>0</v>
      </c>
      <c r="BJ1916" s="68" cm="1">
        <f t="array" ref="BJ1916">IF(BM1916 = "", "",IFERROR(INDEX(AW1916:BH1916,1,MATCH(2,1/(AW1916:BH1916&lt;&gt;""),1)-1),""))</f>
        <v>0</v>
      </c>
      <c r="BK1916" s="57" cm="1">
        <f t="array" ref="BK1916">IFERROR(INDEX(AW1916:BH1916,1,MATCH(2,1/(AW1916:BH1916&lt;&gt;""),1)),"")</f>
        <v>0</v>
      </c>
      <c r="BL1916" s="57" cm="1">
        <f t="array" ref="BL1916">IF(BM1916 = "", "",IFERROR(INDEX(AW1916:BH1916,1,MATCH(2,1/(AW1916:BH1916&lt;&gt;""),1)-1),""))</f>
        <v>0</v>
      </c>
      <c r="BM1916" s="55" cm="1">
        <f t="array" ref="BM1916">IFERROR(
   INDEX($AW$1:$BH$1,
      _xlfn.AGGREGATE(14, 6, COLUMN($AW$1:$BH$1)/(AW1916:BH1916&lt;&gt;""), 2) - COLUMN($AW$1) + 1
   ),
"")</f>
        <v>46054</v>
      </c>
      <c r="BN1916" s="55" cm="1">
        <f t="array" ref="BN1916">IFERROR(INDEX($AW$1:$BH$1,1,MATCH(2,1/(AW1916:BH1916&lt;&gt;""))),"")</f>
        <v>46082</v>
      </c>
      <c r="BO1916" s="53">
        <f ca="1">IFERROR(_xlfn.XLOOKUP(F1916,Apuração!A:A,Apuração!C:C)/_xlfn.XLOOKUP(F1916,Apuração!A:A,Apuração!B:B),0)</f>
        <v>0</v>
      </c>
      <c r="BP1916" s="53">
        <f ca="1">IFERROR(_xlfn.XLOOKUP(F1916,Apuração!A:A,Apuração!D:D)/_xlfn.XLOOKUP(F1916,Apuração!A:A,Apuração!B:B),0)</f>
        <v>0</v>
      </c>
      <c r="BQ1916" s="53">
        <f ca="1">IF(BK1916&gt;=BO1916,0,_xlfn.XLOOKUP(F1916,Apuração!A:A,Apuração!B:B)*(BO1916 + (1/_xlfn.XLOOKUP(F1916,Apuração!A:A,Apuração!B:B)) - BK1916))</f>
        <v>0</v>
      </c>
      <c r="BR1916" s="85">
        <f t="shared" ca="1" si="2212"/>
        <v>0</v>
      </c>
      <c r="BS1916" s="53">
        <f ca="1">IFERROR((_xlfn.XLOOKUP(F1916,Apuração!A:A,Apuração!C:C)+1)/_xlfn.XLOOKUP(F1916,Apuração!A:A,Apuração!B:B),0)</f>
        <v>0.14285714285714285</v>
      </c>
    </row>
    <row r="1917" spans="1:71" ht="25.95" hidden="1" customHeight="1" x14ac:dyDescent="0.3">
      <c r="A1917" s="35" t="s">
        <v>44</v>
      </c>
      <c r="B1917" s="10" t="s">
        <v>44</v>
      </c>
      <c r="C1917" s="5" t="s">
        <v>214</v>
      </c>
      <c r="D1917" s="5" t="s">
        <v>212</v>
      </c>
      <c r="E1917" s="4" t="str" cm="1">
        <f t="array" ref="E1917">_xlfn.IFS(
F1917 = "A partir de Abril", "Aguardando Execução na Distribuidora",
A1917 = "CAPACITAÇÃO", "Em execução no Corporativo",
TRUE, "Em Execução na Distribuidora"
)</f>
        <v>Em Execução na Distribuidora</v>
      </c>
      <c r="F1917" s="4" t="str" cm="1">
        <f t="array" ref="F1917">_xlfn.IFS(
AG1917 &lt;&gt; "", "Jan-Dez/26",
AH1917 &lt;&gt; "", "Fev-Dez/26",
AI1917 &lt;&gt; "", "Mar-Dez/26", AJ1917 &lt;&gt; "", "Abr-Dez/26",
TRUE, "A partir de Junho"
)</f>
        <v>A partir de Junho</v>
      </c>
      <c r="G1917" s="10" t="s">
        <v>44</v>
      </c>
      <c r="H1917" s="36" t="s">
        <v>44</v>
      </c>
      <c r="I1917" s="37"/>
      <c r="J1917" s="37"/>
      <c r="K1917" s="37"/>
      <c r="L1917" s="37" t="s">
        <v>204</v>
      </c>
      <c r="M1917" s="37"/>
      <c r="N1917" s="5" t="s">
        <v>42</v>
      </c>
      <c r="O1917" s="5" t="s">
        <v>52</v>
      </c>
      <c r="P1917" s="10" t="s">
        <v>44</v>
      </c>
      <c r="Q1917" s="10" t="s">
        <v>44</v>
      </c>
      <c r="R1917" s="11" t="s">
        <v>44</v>
      </c>
      <c r="S1917" s="11" t="s">
        <v>44</v>
      </c>
      <c r="T1917" s="22"/>
      <c r="U1917" s="22"/>
      <c r="V1917" s="22"/>
      <c r="W1917" s="22"/>
      <c r="X1917" s="22"/>
      <c r="Y1917" s="22"/>
      <c r="Z1917" s="22"/>
      <c r="AA1917" s="22"/>
      <c r="AB1917" s="22"/>
      <c r="AC1917" s="22"/>
      <c r="AD1917" s="22"/>
      <c r="AE1917" s="22"/>
      <c r="AG1917" s="112"/>
      <c r="AH1917" s="112"/>
      <c r="AI1917" s="112"/>
      <c r="AJ1917" s="71"/>
      <c r="AK1917" s="71"/>
      <c r="AL1917" s="71"/>
      <c r="AM1917" s="71"/>
      <c r="AN1917" s="71"/>
      <c r="AO1917" s="71"/>
      <c r="AP1917" s="71"/>
      <c r="AQ1917" s="71"/>
      <c r="AR1917" s="71"/>
      <c r="AS1917" s="94"/>
      <c r="AT1917" s="95"/>
      <c r="AU1917" s="97"/>
      <c r="AW1917" s="84">
        <f t="shared" si="2209"/>
        <v>0</v>
      </c>
      <c r="AX1917" s="84">
        <f t="shared" si="2210"/>
        <v>0</v>
      </c>
      <c r="AY1917" s="84">
        <f t="shared" si="2211"/>
        <v>0</v>
      </c>
      <c r="AZ1917" s="84"/>
      <c r="BA1917" s="84"/>
      <c r="BB1917" s="84"/>
      <c r="BC1917" s="84"/>
      <c r="BD1917" s="84"/>
      <c r="BE1917" s="84"/>
      <c r="BF1917" s="84"/>
      <c r="BG1917" s="84"/>
      <c r="BH1917" s="84"/>
      <c r="BI1917" s="68" cm="1">
        <f t="array" ref="BI1917">IFERROR(INDEX(AW1917:BH1917,1,MATCH(2,1/(AW1917:BH1917&lt;&gt;""))),"")</f>
        <v>0</v>
      </c>
      <c r="BJ1917" s="68" cm="1">
        <f t="array" ref="BJ1917">IF(BM1917 = "", "",IFERROR(INDEX(AW1917:BH1917,1,MATCH(2,1/(AW1917:BH1917&lt;&gt;""),1)-1),""))</f>
        <v>0</v>
      </c>
      <c r="BK1917" s="57" cm="1">
        <f t="array" ref="BK1917">IFERROR(INDEX(AW1917:BH1917,1,MATCH(2,1/(AW1917:BH1917&lt;&gt;""),1)),"")</f>
        <v>0</v>
      </c>
      <c r="BL1917" s="57" cm="1">
        <f t="array" ref="BL1917">IF(BM1917 = "", "",IFERROR(INDEX(AW1917:BH1917,1,MATCH(2,1/(AW1917:BH1917&lt;&gt;""),1)-1),""))</f>
        <v>0</v>
      </c>
      <c r="BM1917" s="55" cm="1">
        <f t="array" ref="BM1917">IFERROR(
   INDEX($AW$1:$BH$1,
      _xlfn.AGGREGATE(14, 6, COLUMN($AW$1:$BH$1)/(AW1917:BH1917&lt;&gt;""), 2) - COLUMN($AW$1) + 1
   ),
"")</f>
        <v>46054</v>
      </c>
      <c r="BN1917" s="55" cm="1">
        <f t="array" ref="BN1917">IFERROR(INDEX($AW$1:$BH$1,1,MATCH(2,1/(AW1917:BH1917&lt;&gt;""))),"")</f>
        <v>46082</v>
      </c>
      <c r="BO1917" s="53">
        <f ca="1">IFERROR(_xlfn.XLOOKUP(F1917,Apuração!A:A,Apuração!C:C)/_xlfn.XLOOKUP(F1917,Apuração!A:A,Apuração!B:B),0)</f>
        <v>0</v>
      </c>
      <c r="BP1917" s="53">
        <f ca="1">IFERROR(_xlfn.XLOOKUP(F1917,Apuração!A:A,Apuração!D:D)/_xlfn.XLOOKUP(F1917,Apuração!A:A,Apuração!B:B),0)</f>
        <v>0</v>
      </c>
      <c r="BQ1917" s="53">
        <f ca="1">IF(BK1917&gt;=BO1917,0,_xlfn.XLOOKUP(F1917,Apuração!A:A,Apuração!B:B)*(BO1917 + (1/_xlfn.XLOOKUP(F1917,Apuração!A:A,Apuração!B:B)) - BK1917))</f>
        <v>0</v>
      </c>
      <c r="BR1917" s="85">
        <f t="shared" ca="1" si="2212"/>
        <v>0</v>
      </c>
      <c r="BS1917" s="53">
        <f ca="1">IFERROR((_xlfn.XLOOKUP(F1917,Apuração!A:A,Apuração!C:C)+1)/_xlfn.XLOOKUP(F1917,Apuração!A:A,Apuração!B:B),0)</f>
        <v>0.14285714285714285</v>
      </c>
    </row>
    <row r="1918" spans="1:71" ht="25.95" hidden="1" customHeight="1" x14ac:dyDescent="0.3">
      <c r="A1918" s="35" t="s">
        <v>44</v>
      </c>
      <c r="B1918" s="10" t="s">
        <v>44</v>
      </c>
      <c r="C1918" s="5" t="s">
        <v>214</v>
      </c>
      <c r="D1918" s="5" t="s">
        <v>48</v>
      </c>
      <c r="E1918" s="4" t="str" cm="1">
        <f t="array" ref="E1918">_xlfn.IFS(
F1918 = "A partir de Abril", "Aguardando Execução na Distribuidora",
A1918 = "CAPACITAÇÃO", "Em execução no Corporativo",
TRUE, "Em Execução na Distribuidora"
)</f>
        <v>Em Execução na Distribuidora</v>
      </c>
      <c r="F1918" s="4" t="str" cm="1">
        <f t="array" ref="F1918">_xlfn.IFS(
AG1918 &lt;&gt; "", "Jan-Dez/26",
AH1918 &lt;&gt; "", "Fev-Dez/26",
AI1918 &lt;&gt; "", "Mar-Dez/26", AJ1918 &lt;&gt; "", "Abr-Dez/26",
TRUE, "A partir de Junho"
)</f>
        <v>A partir de Junho</v>
      </c>
      <c r="G1918" s="10" t="s">
        <v>44</v>
      </c>
      <c r="H1918" s="36" t="s">
        <v>44</v>
      </c>
      <c r="I1918" s="37"/>
      <c r="J1918" s="37"/>
      <c r="K1918" s="37"/>
      <c r="L1918" s="37" t="s">
        <v>204</v>
      </c>
      <c r="M1918" s="37"/>
      <c r="N1918" s="5" t="s">
        <v>42</v>
      </c>
      <c r="O1918" s="5" t="s">
        <v>52</v>
      </c>
      <c r="P1918" s="10" t="s">
        <v>44</v>
      </c>
      <c r="Q1918" s="10" t="s">
        <v>44</v>
      </c>
      <c r="R1918" s="11" t="s">
        <v>44</v>
      </c>
      <c r="S1918" s="11" t="s">
        <v>44</v>
      </c>
      <c r="T1918" s="22"/>
      <c r="U1918" s="22"/>
      <c r="V1918" s="22"/>
      <c r="W1918" s="22"/>
      <c r="X1918" s="22"/>
      <c r="Y1918" s="22"/>
      <c r="Z1918" s="22"/>
      <c r="AA1918" s="22"/>
      <c r="AB1918" s="22"/>
      <c r="AC1918" s="22"/>
      <c r="AD1918" s="22"/>
      <c r="AE1918" s="22"/>
      <c r="AG1918" s="112"/>
      <c r="AH1918" s="112"/>
      <c r="AI1918" s="112"/>
      <c r="AJ1918" s="71"/>
      <c r="AK1918" s="71"/>
      <c r="AL1918" s="71"/>
      <c r="AM1918" s="71"/>
      <c r="AN1918" s="71"/>
      <c r="AO1918" s="71"/>
      <c r="AP1918" s="71"/>
      <c r="AQ1918" s="71"/>
      <c r="AR1918" s="71"/>
      <c r="AS1918" s="94"/>
      <c r="AT1918" s="95"/>
      <c r="AU1918" s="97"/>
      <c r="AW1918" s="84">
        <f t="shared" si="2209"/>
        <v>0</v>
      </c>
      <c r="AX1918" s="84">
        <f t="shared" si="2210"/>
        <v>0</v>
      </c>
      <c r="AY1918" s="84">
        <f t="shared" si="2211"/>
        <v>0</v>
      </c>
      <c r="AZ1918" s="84"/>
      <c r="BA1918" s="84"/>
      <c r="BB1918" s="84"/>
      <c r="BC1918" s="84"/>
      <c r="BD1918" s="84"/>
      <c r="BE1918" s="84"/>
      <c r="BF1918" s="84"/>
      <c r="BG1918" s="84"/>
      <c r="BH1918" s="84"/>
      <c r="BI1918" s="68" cm="1">
        <f t="array" ref="BI1918">IFERROR(INDEX(AW1918:BH1918,1,MATCH(2,1/(AW1918:BH1918&lt;&gt;""))),"")</f>
        <v>0</v>
      </c>
      <c r="BJ1918" s="68" cm="1">
        <f t="array" ref="BJ1918">IF(BM1918 = "", "",IFERROR(INDEX(AW1918:BH1918,1,MATCH(2,1/(AW1918:BH1918&lt;&gt;""),1)-1),""))</f>
        <v>0</v>
      </c>
      <c r="BK1918" s="57" cm="1">
        <f t="array" ref="BK1918">IFERROR(INDEX(AW1918:BH1918,1,MATCH(2,1/(AW1918:BH1918&lt;&gt;""),1)),"")</f>
        <v>0</v>
      </c>
      <c r="BL1918" s="57" cm="1">
        <f t="array" ref="BL1918">IF(BM1918 = "", "",IFERROR(INDEX(AW1918:BH1918,1,MATCH(2,1/(AW1918:BH1918&lt;&gt;""),1)-1),""))</f>
        <v>0</v>
      </c>
      <c r="BM1918" s="55" cm="1">
        <f t="array" ref="BM1918">IFERROR(
   INDEX($AW$1:$BH$1,
      _xlfn.AGGREGATE(14, 6, COLUMN($AW$1:$BH$1)/(AW1918:BH1918&lt;&gt;""), 2) - COLUMN($AW$1) + 1
   ),
"")</f>
        <v>46054</v>
      </c>
      <c r="BN1918" s="55" cm="1">
        <f t="array" ref="BN1918">IFERROR(INDEX($AW$1:$BH$1,1,MATCH(2,1/(AW1918:BH1918&lt;&gt;""))),"")</f>
        <v>46082</v>
      </c>
      <c r="BO1918" s="53">
        <f ca="1">IFERROR(_xlfn.XLOOKUP(F1918,Apuração!A:A,Apuração!C:C)/_xlfn.XLOOKUP(F1918,Apuração!A:A,Apuração!B:B),0)</f>
        <v>0</v>
      </c>
      <c r="BP1918" s="53">
        <f ca="1">IFERROR(_xlfn.XLOOKUP(F1918,Apuração!A:A,Apuração!D:D)/_xlfn.XLOOKUP(F1918,Apuração!A:A,Apuração!B:B),0)</f>
        <v>0</v>
      </c>
      <c r="BQ1918" s="53">
        <f ca="1">IF(BK1918&gt;=BO1918,0,_xlfn.XLOOKUP(F1918,Apuração!A:A,Apuração!B:B)*(BO1918 + (1/_xlfn.XLOOKUP(F1918,Apuração!A:A,Apuração!B:B)) - BK1918))</f>
        <v>0</v>
      </c>
      <c r="BR1918" s="85">
        <f t="shared" ca="1" si="2212"/>
        <v>0</v>
      </c>
      <c r="BS1918" s="53">
        <f ca="1">IFERROR((_xlfn.XLOOKUP(F1918,Apuração!A:A,Apuração!C:C)+1)/_xlfn.XLOOKUP(F1918,Apuração!A:A,Apuração!B:B),0)</f>
        <v>0.14285714285714285</v>
      </c>
    </row>
    <row r="1919" spans="1:71" ht="25.95" hidden="1" customHeight="1" x14ac:dyDescent="0.3">
      <c r="A1919" s="35" t="s">
        <v>44</v>
      </c>
      <c r="B1919" s="10" t="s">
        <v>44</v>
      </c>
      <c r="C1919" s="5" t="s">
        <v>214</v>
      </c>
      <c r="D1919" s="5" t="s">
        <v>213</v>
      </c>
      <c r="E1919" s="4" t="str" cm="1">
        <f t="array" ref="E1919">_xlfn.IFS(
F1919 = "A partir de Abril", "Aguardando Execução na Distribuidora",
A1919 = "CAPACITAÇÃO", "Em execução no Corporativo",
TRUE, "Em Execução na Distribuidora"
)</f>
        <v>Em Execução na Distribuidora</v>
      </c>
      <c r="F1919" s="4" t="str" cm="1">
        <f t="array" ref="F1919">_xlfn.IFS(
AG1919 &lt;&gt; "", "Jan-Dez/26",
AH1919 &lt;&gt; "", "Fev-Dez/26",
AI1919 &lt;&gt; "", "Mar-Dez/26", AJ1919 &lt;&gt; "", "Abr-Dez/26",
TRUE, "A partir de Junho"
)</f>
        <v>A partir de Junho</v>
      </c>
      <c r="G1919" s="10" t="s">
        <v>44</v>
      </c>
      <c r="H1919" s="36" t="s">
        <v>44</v>
      </c>
      <c r="I1919" s="37"/>
      <c r="J1919" s="37"/>
      <c r="K1919" s="37"/>
      <c r="L1919" s="37" t="s">
        <v>204</v>
      </c>
      <c r="M1919" s="37"/>
      <c r="N1919" s="5" t="s">
        <v>42</v>
      </c>
      <c r="O1919" s="5" t="s">
        <v>52</v>
      </c>
      <c r="P1919" s="10" t="s">
        <v>44</v>
      </c>
      <c r="Q1919" s="10" t="s">
        <v>44</v>
      </c>
      <c r="R1919" s="11" t="s">
        <v>44</v>
      </c>
      <c r="S1919" s="11" t="s">
        <v>44</v>
      </c>
      <c r="T1919" s="22"/>
      <c r="U1919" s="22"/>
      <c r="V1919" s="22"/>
      <c r="W1919" s="22"/>
      <c r="X1919" s="22"/>
      <c r="Y1919" s="22"/>
      <c r="Z1919" s="22"/>
      <c r="AA1919" s="22"/>
      <c r="AB1919" s="22"/>
      <c r="AC1919" s="22"/>
      <c r="AD1919" s="22"/>
      <c r="AE1919" s="22"/>
      <c r="AG1919" s="112"/>
      <c r="AH1919" s="112"/>
      <c r="AI1919" s="112"/>
      <c r="AJ1919" s="71"/>
      <c r="AK1919" s="71"/>
      <c r="AL1919" s="71"/>
      <c r="AM1919" s="71"/>
      <c r="AN1919" s="71"/>
      <c r="AO1919" s="71"/>
      <c r="AP1919" s="71"/>
      <c r="AQ1919" s="71"/>
      <c r="AR1919" s="71"/>
      <c r="AS1919" s="94"/>
      <c r="AT1919" s="95"/>
      <c r="AU1919" s="97"/>
      <c r="AW1919" s="84">
        <f t="shared" si="2209"/>
        <v>0</v>
      </c>
      <c r="AX1919" s="84">
        <f t="shared" si="2210"/>
        <v>0</v>
      </c>
      <c r="AY1919" s="84">
        <f t="shared" si="2211"/>
        <v>0</v>
      </c>
      <c r="AZ1919" s="84"/>
      <c r="BA1919" s="84"/>
      <c r="BB1919" s="84"/>
      <c r="BC1919" s="84"/>
      <c r="BD1919" s="84"/>
      <c r="BE1919" s="84"/>
      <c r="BF1919" s="84"/>
      <c r="BG1919" s="84"/>
      <c r="BH1919" s="84"/>
      <c r="BI1919" s="68" cm="1">
        <f t="array" ref="BI1919">IFERROR(INDEX(AW1919:BH1919,1,MATCH(2,1/(AW1919:BH1919&lt;&gt;""))),"")</f>
        <v>0</v>
      </c>
      <c r="BJ1919" s="68" cm="1">
        <f t="array" ref="BJ1919">IF(BM1919 = "", "",IFERROR(INDEX(AW1919:BH1919,1,MATCH(2,1/(AW1919:BH1919&lt;&gt;""),1)-1),""))</f>
        <v>0</v>
      </c>
      <c r="BK1919" s="57" cm="1">
        <f t="array" ref="BK1919">IFERROR(INDEX(AW1919:BH1919,1,MATCH(2,1/(AW1919:BH1919&lt;&gt;""),1)),"")</f>
        <v>0</v>
      </c>
      <c r="BL1919" s="57" cm="1">
        <f t="array" ref="BL1919">IF(BM1919 = "", "",IFERROR(INDEX(AW1919:BH1919,1,MATCH(2,1/(AW1919:BH1919&lt;&gt;""),1)-1),""))</f>
        <v>0</v>
      </c>
      <c r="BM1919" s="55" cm="1">
        <f t="array" ref="BM1919">IFERROR(
   INDEX($AW$1:$BH$1,
      _xlfn.AGGREGATE(14, 6, COLUMN($AW$1:$BH$1)/(AW1919:BH1919&lt;&gt;""), 2) - COLUMN($AW$1) + 1
   ),
"")</f>
        <v>46054</v>
      </c>
      <c r="BN1919" s="55" cm="1">
        <f t="array" ref="BN1919">IFERROR(INDEX($AW$1:$BH$1,1,MATCH(2,1/(AW1919:BH1919&lt;&gt;""))),"")</f>
        <v>46082</v>
      </c>
      <c r="BO1919" s="53">
        <f ca="1">IFERROR(_xlfn.XLOOKUP(F1919,Apuração!A:A,Apuração!C:C)/_xlfn.XLOOKUP(F1919,Apuração!A:A,Apuração!B:B),0)</f>
        <v>0</v>
      </c>
      <c r="BP1919" s="53">
        <f ca="1">IFERROR(_xlfn.XLOOKUP(F1919,Apuração!A:A,Apuração!D:D)/_xlfn.XLOOKUP(F1919,Apuração!A:A,Apuração!B:B),0)</f>
        <v>0</v>
      </c>
      <c r="BQ1919" s="53">
        <f ca="1">IF(BK1919&gt;=BO1919,0,_xlfn.XLOOKUP(F1919,Apuração!A:A,Apuração!B:B)*(BO1919 + (1/_xlfn.XLOOKUP(F1919,Apuração!A:A,Apuração!B:B)) - BK1919))</f>
        <v>0</v>
      </c>
      <c r="BR1919" s="85">
        <f t="shared" ca="1" si="2212"/>
        <v>0</v>
      </c>
      <c r="BS1919" s="53">
        <f ca="1">IFERROR((_xlfn.XLOOKUP(F1919,Apuração!A:A,Apuração!C:C)+1)/_xlfn.XLOOKUP(F1919,Apuração!A:A,Apuração!B:B),0)</f>
        <v>0.14285714285714285</v>
      </c>
    </row>
    <row r="1920" spans="1:71" ht="25.95" hidden="1" customHeight="1" x14ac:dyDescent="0.3">
      <c r="A1920" s="35" t="s">
        <v>44</v>
      </c>
      <c r="B1920" s="10" t="s">
        <v>44</v>
      </c>
      <c r="C1920" s="5" t="s">
        <v>214</v>
      </c>
      <c r="D1920" s="5" t="s">
        <v>36</v>
      </c>
      <c r="E1920" s="4" t="str" cm="1">
        <f t="array" ref="E1920">_xlfn.IFS(
F1920 = "A partir de Abril", "Aguardando Execução na Distribuidora",
A1920 = "CAPACITAÇÃO", "Em execução no Corporativo",
TRUE, "Em Execução na Distribuidora"
)</f>
        <v>Em Execução na Distribuidora</v>
      </c>
      <c r="F1920" s="4" t="str" cm="1">
        <f t="array" ref="F1920">_xlfn.IFS(
AG1920 &lt;&gt; "", "Jan-Dez/26",
AH1920 &lt;&gt; "", "Fev-Dez/26",
AI1920 &lt;&gt; "", "Mar-Dez/26", AJ1920 &lt;&gt; "", "Abr-Dez/26",
TRUE, "A partir de Junho"
)</f>
        <v>Jan-Dez/26</v>
      </c>
      <c r="G1920" s="10" t="s">
        <v>44</v>
      </c>
      <c r="H1920" s="36" t="s">
        <v>44</v>
      </c>
      <c r="I1920" s="37"/>
      <c r="J1920" s="37"/>
      <c r="K1920" s="37"/>
      <c r="L1920" s="37" t="s">
        <v>206</v>
      </c>
      <c r="M1920" s="37"/>
      <c r="N1920" s="5" t="s">
        <v>42</v>
      </c>
      <c r="O1920" s="5" t="s">
        <v>52</v>
      </c>
      <c r="P1920" s="10" t="s">
        <v>44</v>
      </c>
      <c r="Q1920" s="10" t="s">
        <v>44</v>
      </c>
      <c r="R1920" s="11" t="s">
        <v>44</v>
      </c>
      <c r="S1920" s="11" t="s">
        <v>44</v>
      </c>
      <c r="T1920" s="22"/>
      <c r="U1920" s="22"/>
      <c r="V1920" s="22"/>
      <c r="W1920" s="22"/>
      <c r="X1920" s="22"/>
      <c r="Y1920" s="22"/>
      <c r="Z1920" s="22"/>
      <c r="AA1920" s="22"/>
      <c r="AB1920" s="22"/>
      <c r="AC1920" s="22"/>
      <c r="AD1920" s="22"/>
      <c r="AE1920" s="22"/>
      <c r="AG1920" s="112">
        <v>0</v>
      </c>
      <c r="AH1920" s="112">
        <v>0</v>
      </c>
      <c r="AI1920" s="112">
        <v>0</v>
      </c>
      <c r="AJ1920" s="112">
        <v>0</v>
      </c>
      <c r="AK1920" s="112"/>
      <c r="AL1920" s="112"/>
      <c r="AM1920" s="112"/>
      <c r="AN1920" s="112"/>
      <c r="AO1920" s="112"/>
      <c r="AP1920" s="112"/>
      <c r="AQ1920" s="112"/>
      <c r="AR1920" s="112"/>
      <c r="AS1920" s="94"/>
      <c r="AT1920" s="95"/>
      <c r="AU1920" s="97"/>
      <c r="AW1920" s="84">
        <f>AG1920</f>
        <v>0</v>
      </c>
      <c r="AX1920" s="84">
        <f>AH1920</f>
        <v>0</v>
      </c>
      <c r="AY1920" s="84">
        <f>AI1920</f>
        <v>0</v>
      </c>
      <c r="AZ1920" s="84">
        <f>AJ1920</f>
        <v>0</v>
      </c>
      <c r="BA1920" s="84"/>
      <c r="BB1920" s="84"/>
      <c r="BC1920" s="84"/>
      <c r="BD1920" s="84"/>
      <c r="BE1920" s="84"/>
      <c r="BF1920" s="84"/>
      <c r="BG1920" s="84"/>
      <c r="BH1920" s="84"/>
      <c r="BI1920" s="68" cm="1">
        <f t="array" ref="BI1920">IFERROR(INDEX(AW1920:BH1920,1,MATCH(2,1/(AW1920:BH1920&lt;&gt;""))),"")</f>
        <v>0</v>
      </c>
      <c r="BJ1920" s="68" cm="1">
        <f t="array" ref="BJ1920">IF(BM1920 = "", "",IFERROR(INDEX(AW1920:BH1920,1,MATCH(2,1/(AW1920:BH1920&lt;&gt;""),1)-1),""))</f>
        <v>0</v>
      </c>
      <c r="BK1920" s="57" cm="1">
        <f t="array" ref="BK1920">IFERROR(INDEX(AW1920:BH1920,1,MATCH(2,1/(AW1920:BH1920&lt;&gt;""),1)),"")</f>
        <v>0</v>
      </c>
      <c r="BL1920" s="57" cm="1">
        <f t="array" ref="BL1920">IF(BM1920 = "", "",IFERROR(INDEX(AW1920:BH1920,1,MATCH(2,1/(AW1920:BH1920&lt;&gt;""),1)-1),""))</f>
        <v>0</v>
      </c>
      <c r="BM1920" s="55" cm="1">
        <f t="array" ref="BM1920">IFERROR(
   INDEX($AW$1:$BH$1,
      _xlfn.AGGREGATE(14, 6, COLUMN($AW$1:$BH$1)/(AW1920:BH1920&lt;&gt;""), 2) - COLUMN($AW$1) + 1
   ),
"")</f>
        <v>46082</v>
      </c>
      <c r="BN1920" s="55" cm="1">
        <f t="array" ref="BN1920">IFERROR(INDEX($AW$1:$BH$1,1,MATCH(2,1/(AW1920:BH1920&lt;&gt;""))),"")</f>
        <v>46113</v>
      </c>
      <c r="BO1920" s="53">
        <f ca="1">IFERROR(_xlfn.XLOOKUP(F1920,Apuração!A:A,Apuração!C:C)/_xlfn.XLOOKUP(F1920,Apuração!A:A,Apuração!B:B),0)</f>
        <v>0.41666666666666669</v>
      </c>
      <c r="BP1920" s="53">
        <f ca="1">IFERROR(_xlfn.XLOOKUP(F1920,Apuração!A:A,Apuração!D:D)/_xlfn.XLOOKUP(F1920,Apuração!A:A,Apuração!B:B),0)</f>
        <v>0.33333333333333331</v>
      </c>
      <c r="BQ1920" s="53">
        <f ca="1">IF(BK1920&gt;=BO1920,0,_xlfn.XLOOKUP(F1920,Apuração!A:A,Apuração!B:B)*(BO1920 + (1/_xlfn.XLOOKUP(F1920,Apuração!A:A,Apuração!B:B)) - BK1920))</f>
        <v>6</v>
      </c>
      <c r="BR1920" s="85">
        <f ca="1">IF(BQ1920=0,0,BQ1920*Z1920)</f>
        <v>0</v>
      </c>
      <c r="BS1920" s="53">
        <f ca="1">IFERROR((_xlfn.XLOOKUP(F1920,Apuração!A:A,Apuração!C:C)+1)/_xlfn.XLOOKUP(F1920,Apuração!A:A,Apuração!B:B),0)</f>
        <v>0.5</v>
      </c>
    </row>
    <row r="1921" spans="1:71" ht="25.95" hidden="1" customHeight="1" x14ac:dyDescent="0.3">
      <c r="A1921" s="35" t="s">
        <v>44</v>
      </c>
      <c r="B1921" s="10" t="s">
        <v>44</v>
      </c>
      <c r="C1921" s="5" t="s">
        <v>214</v>
      </c>
      <c r="D1921" s="5" t="s">
        <v>210</v>
      </c>
      <c r="E1921" s="4" t="str" cm="1">
        <f t="array" ref="E1921">_xlfn.IFS(
F1921 = "A partir de Abril", "Aguardando Execução na Distribuidora",
A1921 = "CAPACITAÇÃO", "Em execução no Corporativo",
TRUE, "Em Execução na Distribuidora"
)</f>
        <v>Em Execução na Distribuidora</v>
      </c>
      <c r="F1921" s="4" t="str" cm="1">
        <f t="array" ref="F1921">_xlfn.IFS(
AG1921 &lt;&gt; "", "Jan-Dez/26",
AH1921 &lt;&gt; "", "Fev-Dez/26",
AI1921 &lt;&gt; "", "Mar-Dez/26", AJ1921 &lt;&gt; "", "Abr-Dez/26",
TRUE, "A partir de Junho"
)</f>
        <v>A partir de Junho</v>
      </c>
      <c r="G1921" s="10" t="s">
        <v>44</v>
      </c>
      <c r="H1921" s="36" t="s">
        <v>44</v>
      </c>
      <c r="I1921" s="37"/>
      <c r="J1921" s="37"/>
      <c r="K1921" s="37"/>
      <c r="L1921" s="37" t="s">
        <v>206</v>
      </c>
      <c r="M1921" s="37"/>
      <c r="N1921" s="5" t="s">
        <v>42</v>
      </c>
      <c r="O1921" s="5" t="s">
        <v>52</v>
      </c>
      <c r="P1921" s="10" t="s">
        <v>44</v>
      </c>
      <c r="Q1921" s="10" t="s">
        <v>44</v>
      </c>
      <c r="R1921" s="11" t="s">
        <v>44</v>
      </c>
      <c r="S1921" s="11" t="s">
        <v>44</v>
      </c>
      <c r="T1921" s="22"/>
      <c r="U1921" s="22"/>
      <c r="V1921" s="22"/>
      <c r="W1921" s="22"/>
      <c r="X1921" s="22"/>
      <c r="Y1921" s="22"/>
      <c r="Z1921" s="22"/>
      <c r="AA1921" s="22"/>
      <c r="AB1921" s="22"/>
      <c r="AC1921" s="22"/>
      <c r="AD1921" s="22"/>
      <c r="AE1921" s="22"/>
      <c r="AG1921" s="112"/>
      <c r="AH1921" s="112"/>
      <c r="AI1921" s="112"/>
      <c r="AJ1921" s="71"/>
      <c r="AK1921" s="71"/>
      <c r="AL1921" s="71"/>
      <c r="AM1921" s="71"/>
      <c r="AN1921" s="71"/>
      <c r="AO1921" s="71"/>
      <c r="AP1921" s="71"/>
      <c r="AQ1921" s="71"/>
      <c r="AR1921" s="71"/>
      <c r="AS1921" s="94"/>
      <c r="AT1921" s="95"/>
      <c r="AU1921" s="97"/>
      <c r="AW1921" s="84">
        <f t="shared" ref="AW1921:AW1925" si="2213">AG1921</f>
        <v>0</v>
      </c>
      <c r="AX1921" s="84">
        <f t="shared" ref="AX1921:AX1926" si="2214">AH1921</f>
        <v>0</v>
      </c>
      <c r="AY1921" s="84">
        <f t="shared" ref="AY1921:AY1926" si="2215">AI1921</f>
        <v>0</v>
      </c>
      <c r="AZ1921" s="84"/>
      <c r="BA1921" s="84"/>
      <c r="BB1921" s="84"/>
      <c r="BC1921" s="84"/>
      <c r="BD1921" s="84"/>
      <c r="BE1921" s="84"/>
      <c r="BF1921" s="84"/>
      <c r="BG1921" s="84"/>
      <c r="BH1921" s="84"/>
      <c r="BI1921" s="68" cm="1">
        <f t="array" ref="BI1921">IFERROR(INDEX(AW1921:BH1921,1,MATCH(2,1/(AW1921:BH1921&lt;&gt;""))),"")</f>
        <v>0</v>
      </c>
      <c r="BJ1921" s="68" cm="1">
        <f t="array" ref="BJ1921">IF(BM1921 = "", "",IFERROR(INDEX(AW1921:BH1921,1,MATCH(2,1/(AW1921:BH1921&lt;&gt;""),1)-1),""))</f>
        <v>0</v>
      </c>
      <c r="BK1921" s="57" cm="1">
        <f t="array" ref="BK1921">IFERROR(INDEX(AW1921:BH1921,1,MATCH(2,1/(AW1921:BH1921&lt;&gt;""),1)),"")</f>
        <v>0</v>
      </c>
      <c r="BL1921" s="57" cm="1">
        <f t="array" ref="BL1921">IF(BM1921 = "", "",IFERROR(INDEX(AW1921:BH1921,1,MATCH(2,1/(AW1921:BH1921&lt;&gt;""),1)-1),""))</f>
        <v>0</v>
      </c>
      <c r="BM1921" s="55" cm="1">
        <f t="array" ref="BM1921">IFERROR(
   INDEX($AW$1:$BH$1,
      _xlfn.AGGREGATE(14, 6, COLUMN($AW$1:$BH$1)/(AW1921:BH1921&lt;&gt;""), 2) - COLUMN($AW$1) + 1
   ),
"")</f>
        <v>46054</v>
      </c>
      <c r="BN1921" s="55" cm="1">
        <f t="array" ref="BN1921">IFERROR(INDEX($AW$1:$BH$1,1,MATCH(2,1/(AW1921:BH1921&lt;&gt;""))),"")</f>
        <v>46082</v>
      </c>
      <c r="BO1921" s="53">
        <f ca="1">IFERROR(_xlfn.XLOOKUP(F1921,Apuração!A:A,Apuração!C:C)/_xlfn.XLOOKUP(F1921,Apuração!A:A,Apuração!B:B),0)</f>
        <v>0</v>
      </c>
      <c r="BP1921" s="53">
        <f ca="1">IFERROR(_xlfn.XLOOKUP(F1921,Apuração!A:A,Apuração!D:D)/_xlfn.XLOOKUP(F1921,Apuração!A:A,Apuração!B:B),0)</f>
        <v>0</v>
      </c>
      <c r="BQ1921" s="53">
        <f ca="1">IF(BK1921&gt;=BO1921,0,_xlfn.XLOOKUP(F1921,Apuração!A:A,Apuração!B:B)*(BO1921 + (1/_xlfn.XLOOKUP(F1921,Apuração!A:A,Apuração!B:B)) - BK1921))</f>
        <v>0</v>
      </c>
      <c r="BR1921" s="85">
        <f t="shared" ref="BR1921:BR1925" ca="1" si="2216">IF(BQ1921=0,0,BQ1921*Z1921)</f>
        <v>0</v>
      </c>
      <c r="BS1921" s="53">
        <f ca="1">IFERROR((_xlfn.XLOOKUP(F1921,Apuração!A:A,Apuração!C:C)+1)/_xlfn.XLOOKUP(F1921,Apuração!A:A,Apuração!B:B),0)</f>
        <v>0.14285714285714285</v>
      </c>
    </row>
    <row r="1922" spans="1:71" ht="25.95" hidden="1" customHeight="1" x14ac:dyDescent="0.3">
      <c r="A1922" s="35" t="s">
        <v>44</v>
      </c>
      <c r="B1922" s="10" t="s">
        <v>44</v>
      </c>
      <c r="C1922" s="5" t="s">
        <v>214</v>
      </c>
      <c r="D1922" s="5" t="s">
        <v>215</v>
      </c>
      <c r="E1922" s="4" t="str" cm="1">
        <f t="array" ref="E1922">_xlfn.IFS(
F1922 = "A partir de Abril", "Aguardando Execução na Distribuidora",
A1922 = "CAPACITAÇÃO", "Em execução no Corporativo",
TRUE, "Em Execução na Distribuidora"
)</f>
        <v>Em Execução na Distribuidora</v>
      </c>
      <c r="F1922" s="4" t="str" cm="1">
        <f t="array" ref="F1922">_xlfn.IFS(
AG1922 &lt;&gt; "", "Jan-Dez/26",
AH1922 &lt;&gt; "", "Fev-Dez/26",
AI1922 &lt;&gt; "", "Mar-Dez/26", AJ1922 &lt;&gt; "", "Abr-Dez/26",
TRUE, "A partir de Junho"
)</f>
        <v>A partir de Junho</v>
      </c>
      <c r="G1922" s="10" t="s">
        <v>44</v>
      </c>
      <c r="H1922" s="36" t="s">
        <v>44</v>
      </c>
      <c r="I1922" s="37"/>
      <c r="J1922" s="37"/>
      <c r="K1922" s="37"/>
      <c r="L1922" s="37" t="s">
        <v>206</v>
      </c>
      <c r="M1922" s="37"/>
      <c r="N1922" s="5" t="s">
        <v>42</v>
      </c>
      <c r="O1922" s="5" t="s">
        <v>52</v>
      </c>
      <c r="P1922" s="10" t="s">
        <v>44</v>
      </c>
      <c r="Q1922" s="10" t="s">
        <v>44</v>
      </c>
      <c r="R1922" s="11" t="s">
        <v>44</v>
      </c>
      <c r="S1922" s="11" t="s">
        <v>44</v>
      </c>
      <c r="T1922" s="22"/>
      <c r="U1922" s="22"/>
      <c r="V1922" s="22"/>
      <c r="W1922" s="22"/>
      <c r="X1922" s="22"/>
      <c r="Y1922" s="22"/>
      <c r="Z1922" s="22"/>
      <c r="AA1922" s="22"/>
      <c r="AB1922" s="22"/>
      <c r="AC1922" s="22"/>
      <c r="AD1922" s="22"/>
      <c r="AE1922" s="22"/>
      <c r="AG1922" s="112"/>
      <c r="AH1922" s="112"/>
      <c r="AI1922" s="112"/>
      <c r="AJ1922" s="71"/>
      <c r="AK1922" s="71"/>
      <c r="AL1922" s="71"/>
      <c r="AM1922" s="71"/>
      <c r="AN1922" s="71"/>
      <c r="AO1922" s="71"/>
      <c r="AP1922" s="71"/>
      <c r="AQ1922" s="71"/>
      <c r="AR1922" s="71"/>
      <c r="AS1922" s="94"/>
      <c r="AT1922" s="95"/>
      <c r="AU1922" s="97"/>
      <c r="AW1922" s="84">
        <f t="shared" si="2213"/>
        <v>0</v>
      </c>
      <c r="AX1922" s="84">
        <f t="shared" si="2214"/>
        <v>0</v>
      </c>
      <c r="AY1922" s="84">
        <f t="shared" si="2215"/>
        <v>0</v>
      </c>
      <c r="AZ1922" s="84"/>
      <c r="BA1922" s="84"/>
      <c r="BB1922" s="84"/>
      <c r="BC1922" s="84"/>
      <c r="BD1922" s="84"/>
      <c r="BE1922" s="84"/>
      <c r="BF1922" s="84"/>
      <c r="BG1922" s="84"/>
      <c r="BH1922" s="84"/>
      <c r="BI1922" s="68" cm="1">
        <f t="array" ref="BI1922">IFERROR(INDEX(AW1922:BH1922,1,MATCH(2,1/(AW1922:BH1922&lt;&gt;""))),"")</f>
        <v>0</v>
      </c>
      <c r="BJ1922" s="68" cm="1">
        <f t="array" ref="BJ1922">IF(BM1922 = "", "",IFERROR(INDEX(AW1922:BH1922,1,MATCH(2,1/(AW1922:BH1922&lt;&gt;""),1)-1),""))</f>
        <v>0</v>
      </c>
      <c r="BK1922" s="57" cm="1">
        <f t="array" ref="BK1922">IFERROR(INDEX(AW1922:BH1922,1,MATCH(2,1/(AW1922:BH1922&lt;&gt;""),1)),"")</f>
        <v>0</v>
      </c>
      <c r="BL1922" s="57" cm="1">
        <f t="array" ref="BL1922">IF(BM1922 = "", "",IFERROR(INDEX(AW1922:BH1922,1,MATCH(2,1/(AW1922:BH1922&lt;&gt;""),1)-1),""))</f>
        <v>0</v>
      </c>
      <c r="BM1922" s="55" cm="1">
        <f t="array" ref="BM1922">IFERROR(
   INDEX($AW$1:$BH$1,
      _xlfn.AGGREGATE(14, 6, COLUMN($AW$1:$BH$1)/(AW1922:BH1922&lt;&gt;""), 2) - COLUMN($AW$1) + 1
   ),
"")</f>
        <v>46054</v>
      </c>
      <c r="BN1922" s="55" cm="1">
        <f t="array" ref="BN1922">IFERROR(INDEX($AW$1:$BH$1,1,MATCH(2,1/(AW1922:BH1922&lt;&gt;""))),"")</f>
        <v>46082</v>
      </c>
      <c r="BO1922" s="53">
        <f ca="1">IFERROR(_xlfn.XLOOKUP(F1922,Apuração!A:A,Apuração!C:C)/_xlfn.XLOOKUP(F1922,Apuração!A:A,Apuração!B:B),0)</f>
        <v>0</v>
      </c>
      <c r="BP1922" s="53">
        <f ca="1">IFERROR(_xlfn.XLOOKUP(F1922,Apuração!A:A,Apuração!D:D)/_xlfn.XLOOKUP(F1922,Apuração!A:A,Apuração!B:B),0)</f>
        <v>0</v>
      </c>
      <c r="BQ1922" s="53">
        <f ca="1">IF(BK1922&gt;=BO1922,0,_xlfn.XLOOKUP(F1922,Apuração!A:A,Apuração!B:B)*(BO1922 + (1/_xlfn.XLOOKUP(F1922,Apuração!A:A,Apuração!B:B)) - BK1922))</f>
        <v>0</v>
      </c>
      <c r="BR1922" s="85">
        <f t="shared" ca="1" si="2216"/>
        <v>0</v>
      </c>
      <c r="BS1922" s="53">
        <f ca="1">IFERROR((_xlfn.XLOOKUP(F1922,Apuração!A:A,Apuração!C:C)+1)/_xlfn.XLOOKUP(F1922,Apuração!A:A,Apuração!B:B),0)</f>
        <v>0.14285714285714285</v>
      </c>
    </row>
    <row r="1923" spans="1:71" ht="25.95" hidden="1" customHeight="1" x14ac:dyDescent="0.3">
      <c r="A1923" s="35" t="s">
        <v>44</v>
      </c>
      <c r="B1923" s="10" t="s">
        <v>44</v>
      </c>
      <c r="C1923" s="5" t="s">
        <v>214</v>
      </c>
      <c r="D1923" s="5" t="s">
        <v>212</v>
      </c>
      <c r="E1923" s="4" t="str" cm="1">
        <f t="array" ref="E1923">_xlfn.IFS(
F1923 = "A partir de Abril", "Aguardando Execução na Distribuidora",
A1923 = "CAPACITAÇÃO", "Em execução no Corporativo",
TRUE, "Em Execução na Distribuidora"
)</f>
        <v>Em Execução na Distribuidora</v>
      </c>
      <c r="F1923" s="4" t="str" cm="1">
        <f t="array" ref="F1923">_xlfn.IFS(
AG1923 &lt;&gt; "", "Jan-Dez/26",
AH1923 &lt;&gt; "", "Fev-Dez/26",
AI1923 &lt;&gt; "", "Mar-Dez/26", AJ1923 &lt;&gt; "", "Abr-Dez/26",
TRUE, "A partir de Junho"
)</f>
        <v>A partir de Junho</v>
      </c>
      <c r="G1923" s="10" t="s">
        <v>44</v>
      </c>
      <c r="H1923" s="36" t="s">
        <v>44</v>
      </c>
      <c r="I1923" s="37"/>
      <c r="J1923" s="37"/>
      <c r="K1923" s="37"/>
      <c r="L1923" s="37" t="s">
        <v>206</v>
      </c>
      <c r="M1923" s="37"/>
      <c r="N1923" s="5" t="s">
        <v>42</v>
      </c>
      <c r="O1923" s="5" t="s">
        <v>52</v>
      </c>
      <c r="P1923" s="10" t="s">
        <v>44</v>
      </c>
      <c r="Q1923" s="10" t="s">
        <v>44</v>
      </c>
      <c r="R1923" s="11" t="s">
        <v>44</v>
      </c>
      <c r="S1923" s="11" t="s">
        <v>44</v>
      </c>
      <c r="T1923" s="22"/>
      <c r="U1923" s="22"/>
      <c r="V1923" s="22"/>
      <c r="W1923" s="22"/>
      <c r="X1923" s="22"/>
      <c r="Y1923" s="22"/>
      <c r="Z1923" s="22"/>
      <c r="AA1923" s="22"/>
      <c r="AB1923" s="22"/>
      <c r="AC1923" s="22"/>
      <c r="AD1923" s="22"/>
      <c r="AE1923" s="22"/>
      <c r="AG1923" s="112"/>
      <c r="AH1923" s="112"/>
      <c r="AI1923" s="112"/>
      <c r="AJ1923" s="71"/>
      <c r="AK1923" s="71"/>
      <c r="AL1923" s="71"/>
      <c r="AM1923" s="71"/>
      <c r="AN1923" s="71"/>
      <c r="AO1923" s="71"/>
      <c r="AP1923" s="71"/>
      <c r="AQ1923" s="71"/>
      <c r="AR1923" s="71"/>
      <c r="AS1923" s="94"/>
      <c r="AT1923" s="95"/>
      <c r="AU1923" s="97"/>
      <c r="AW1923" s="84">
        <f t="shared" si="2213"/>
        <v>0</v>
      </c>
      <c r="AX1923" s="84">
        <f t="shared" si="2214"/>
        <v>0</v>
      </c>
      <c r="AY1923" s="84">
        <f t="shared" si="2215"/>
        <v>0</v>
      </c>
      <c r="AZ1923" s="84"/>
      <c r="BA1923" s="84"/>
      <c r="BB1923" s="84"/>
      <c r="BC1923" s="84"/>
      <c r="BD1923" s="84"/>
      <c r="BE1923" s="84"/>
      <c r="BF1923" s="84"/>
      <c r="BG1923" s="84"/>
      <c r="BH1923" s="84"/>
      <c r="BI1923" s="68" cm="1">
        <f t="array" ref="BI1923">IFERROR(INDEX(AW1923:BH1923,1,MATCH(2,1/(AW1923:BH1923&lt;&gt;""))),"")</f>
        <v>0</v>
      </c>
      <c r="BJ1923" s="68" cm="1">
        <f t="array" ref="BJ1923">IF(BM1923 = "", "",IFERROR(INDEX(AW1923:BH1923,1,MATCH(2,1/(AW1923:BH1923&lt;&gt;""),1)-1),""))</f>
        <v>0</v>
      </c>
      <c r="BK1923" s="57" cm="1">
        <f t="array" ref="BK1923">IFERROR(INDEX(AW1923:BH1923,1,MATCH(2,1/(AW1923:BH1923&lt;&gt;""),1)),"")</f>
        <v>0</v>
      </c>
      <c r="BL1923" s="57" cm="1">
        <f t="array" ref="BL1923">IF(BM1923 = "", "",IFERROR(INDEX(AW1923:BH1923,1,MATCH(2,1/(AW1923:BH1923&lt;&gt;""),1)-1),""))</f>
        <v>0</v>
      </c>
      <c r="BM1923" s="55" cm="1">
        <f t="array" ref="BM1923">IFERROR(
   INDEX($AW$1:$BH$1,
      _xlfn.AGGREGATE(14, 6, COLUMN($AW$1:$BH$1)/(AW1923:BH1923&lt;&gt;""), 2) - COLUMN($AW$1) + 1
   ),
"")</f>
        <v>46054</v>
      </c>
      <c r="BN1923" s="55" cm="1">
        <f t="array" ref="BN1923">IFERROR(INDEX($AW$1:$BH$1,1,MATCH(2,1/(AW1923:BH1923&lt;&gt;""))),"")</f>
        <v>46082</v>
      </c>
      <c r="BO1923" s="53">
        <f ca="1">IFERROR(_xlfn.XLOOKUP(F1923,Apuração!A:A,Apuração!C:C)/_xlfn.XLOOKUP(F1923,Apuração!A:A,Apuração!B:B),0)</f>
        <v>0</v>
      </c>
      <c r="BP1923" s="53">
        <f ca="1">IFERROR(_xlfn.XLOOKUP(F1923,Apuração!A:A,Apuração!D:D)/_xlfn.XLOOKUP(F1923,Apuração!A:A,Apuração!B:B),0)</f>
        <v>0</v>
      </c>
      <c r="BQ1923" s="53">
        <f ca="1">IF(BK1923&gt;=BO1923,0,_xlfn.XLOOKUP(F1923,Apuração!A:A,Apuração!B:B)*(BO1923 + (1/_xlfn.XLOOKUP(F1923,Apuração!A:A,Apuração!B:B)) - BK1923))</f>
        <v>0</v>
      </c>
      <c r="BR1923" s="85">
        <f t="shared" ca="1" si="2216"/>
        <v>0</v>
      </c>
      <c r="BS1923" s="53">
        <f ca="1">IFERROR((_xlfn.XLOOKUP(F1923,Apuração!A:A,Apuração!C:C)+1)/_xlfn.XLOOKUP(F1923,Apuração!A:A,Apuração!B:B),0)</f>
        <v>0.14285714285714285</v>
      </c>
    </row>
    <row r="1924" spans="1:71" ht="25.95" hidden="1" customHeight="1" x14ac:dyDescent="0.3">
      <c r="A1924" s="35" t="s">
        <v>44</v>
      </c>
      <c r="B1924" s="10" t="s">
        <v>44</v>
      </c>
      <c r="C1924" s="5" t="s">
        <v>214</v>
      </c>
      <c r="D1924" s="5" t="s">
        <v>48</v>
      </c>
      <c r="E1924" s="4" t="str" cm="1">
        <f t="array" ref="E1924">_xlfn.IFS(
F1924 = "A partir de Abril", "Aguardando Execução na Distribuidora",
A1924 = "CAPACITAÇÃO", "Em execução no Corporativo",
TRUE, "Em Execução na Distribuidora"
)</f>
        <v>Em Execução na Distribuidora</v>
      </c>
      <c r="F1924" s="4" t="str" cm="1">
        <f t="array" ref="F1924">_xlfn.IFS(
AG1924 &lt;&gt; "", "Jan-Dez/26",
AH1924 &lt;&gt; "", "Fev-Dez/26",
AI1924 &lt;&gt; "", "Mar-Dez/26", AJ1924 &lt;&gt; "", "Abr-Dez/26",
TRUE, "A partir de Junho"
)</f>
        <v>A partir de Junho</v>
      </c>
      <c r="G1924" s="10" t="s">
        <v>44</v>
      </c>
      <c r="H1924" s="36" t="s">
        <v>44</v>
      </c>
      <c r="I1924" s="37"/>
      <c r="J1924" s="37"/>
      <c r="K1924" s="37"/>
      <c r="L1924" s="37" t="s">
        <v>206</v>
      </c>
      <c r="M1924" s="37"/>
      <c r="N1924" s="5" t="s">
        <v>42</v>
      </c>
      <c r="O1924" s="5" t="s">
        <v>52</v>
      </c>
      <c r="P1924" s="10" t="s">
        <v>44</v>
      </c>
      <c r="Q1924" s="10" t="s">
        <v>44</v>
      </c>
      <c r="R1924" s="11" t="s">
        <v>44</v>
      </c>
      <c r="S1924" s="11" t="s">
        <v>44</v>
      </c>
      <c r="T1924" s="22"/>
      <c r="U1924" s="22"/>
      <c r="V1924" s="22"/>
      <c r="W1924" s="22"/>
      <c r="X1924" s="22"/>
      <c r="Y1924" s="22"/>
      <c r="Z1924" s="22"/>
      <c r="AA1924" s="22"/>
      <c r="AB1924" s="22"/>
      <c r="AC1924" s="22"/>
      <c r="AD1924" s="22"/>
      <c r="AE1924" s="22"/>
      <c r="AG1924" s="112"/>
      <c r="AH1924" s="112"/>
      <c r="AI1924" s="112"/>
      <c r="AJ1924" s="71"/>
      <c r="AK1924" s="71"/>
      <c r="AL1924" s="71"/>
      <c r="AM1924" s="71"/>
      <c r="AN1924" s="71"/>
      <c r="AO1924" s="71"/>
      <c r="AP1924" s="71"/>
      <c r="AQ1924" s="71"/>
      <c r="AR1924" s="71"/>
      <c r="AS1924" s="94"/>
      <c r="AT1924" s="95"/>
      <c r="AU1924" s="97"/>
      <c r="AW1924" s="84">
        <f t="shared" si="2213"/>
        <v>0</v>
      </c>
      <c r="AX1924" s="84">
        <f t="shared" si="2214"/>
        <v>0</v>
      </c>
      <c r="AY1924" s="84">
        <f t="shared" si="2215"/>
        <v>0</v>
      </c>
      <c r="AZ1924" s="84"/>
      <c r="BA1924" s="84"/>
      <c r="BB1924" s="84"/>
      <c r="BC1924" s="84"/>
      <c r="BD1924" s="84"/>
      <c r="BE1924" s="84"/>
      <c r="BF1924" s="84"/>
      <c r="BG1924" s="84"/>
      <c r="BH1924" s="84"/>
      <c r="BI1924" s="68" cm="1">
        <f t="array" ref="BI1924">IFERROR(INDEX(AW1924:BH1924,1,MATCH(2,1/(AW1924:BH1924&lt;&gt;""))),"")</f>
        <v>0</v>
      </c>
      <c r="BJ1924" s="68" cm="1">
        <f t="array" ref="BJ1924">IF(BM1924 = "", "",IFERROR(INDEX(AW1924:BH1924,1,MATCH(2,1/(AW1924:BH1924&lt;&gt;""),1)-1),""))</f>
        <v>0</v>
      </c>
      <c r="BK1924" s="57" cm="1">
        <f t="array" ref="BK1924">IFERROR(INDEX(AW1924:BH1924,1,MATCH(2,1/(AW1924:BH1924&lt;&gt;""),1)),"")</f>
        <v>0</v>
      </c>
      <c r="BL1924" s="57" cm="1">
        <f t="array" ref="BL1924">IF(BM1924 = "", "",IFERROR(INDEX(AW1924:BH1924,1,MATCH(2,1/(AW1924:BH1924&lt;&gt;""),1)-1),""))</f>
        <v>0</v>
      </c>
      <c r="BM1924" s="55" cm="1">
        <f t="array" ref="BM1924">IFERROR(
   INDEX($AW$1:$BH$1,
      _xlfn.AGGREGATE(14, 6, COLUMN($AW$1:$BH$1)/(AW1924:BH1924&lt;&gt;""), 2) - COLUMN($AW$1) + 1
   ),
"")</f>
        <v>46054</v>
      </c>
      <c r="BN1924" s="55" cm="1">
        <f t="array" ref="BN1924">IFERROR(INDEX($AW$1:$BH$1,1,MATCH(2,1/(AW1924:BH1924&lt;&gt;""))),"")</f>
        <v>46082</v>
      </c>
      <c r="BO1924" s="53">
        <f ca="1">IFERROR(_xlfn.XLOOKUP(F1924,Apuração!A:A,Apuração!C:C)/_xlfn.XLOOKUP(F1924,Apuração!A:A,Apuração!B:B),0)</f>
        <v>0</v>
      </c>
      <c r="BP1924" s="53">
        <f ca="1">IFERROR(_xlfn.XLOOKUP(F1924,Apuração!A:A,Apuração!D:D)/_xlfn.XLOOKUP(F1924,Apuração!A:A,Apuração!B:B),0)</f>
        <v>0</v>
      </c>
      <c r="BQ1924" s="53">
        <f ca="1">IF(BK1924&gt;=BO1924,0,_xlfn.XLOOKUP(F1924,Apuração!A:A,Apuração!B:B)*(BO1924 + (1/_xlfn.XLOOKUP(F1924,Apuração!A:A,Apuração!B:B)) - BK1924))</f>
        <v>0</v>
      </c>
      <c r="BR1924" s="85">
        <f t="shared" ca="1" si="2216"/>
        <v>0</v>
      </c>
      <c r="BS1924" s="53">
        <f ca="1">IFERROR((_xlfn.XLOOKUP(F1924,Apuração!A:A,Apuração!C:C)+1)/_xlfn.XLOOKUP(F1924,Apuração!A:A,Apuração!B:B),0)</f>
        <v>0.14285714285714285</v>
      </c>
    </row>
    <row r="1925" spans="1:71" ht="25.95" hidden="1" customHeight="1" x14ac:dyDescent="0.3">
      <c r="A1925" s="35" t="s">
        <v>44</v>
      </c>
      <c r="B1925" s="10" t="s">
        <v>44</v>
      </c>
      <c r="C1925" s="5" t="s">
        <v>214</v>
      </c>
      <c r="D1925" s="5" t="s">
        <v>213</v>
      </c>
      <c r="E1925" s="4" t="str" cm="1">
        <f t="array" ref="E1925">_xlfn.IFS(
F1925 = "A partir de Abril", "Aguardando Execução na Distribuidora",
A1925 = "CAPACITAÇÃO", "Em execução no Corporativo",
TRUE, "Em Execução na Distribuidora"
)</f>
        <v>Em Execução na Distribuidora</v>
      </c>
      <c r="F1925" s="4" t="str" cm="1">
        <f t="array" ref="F1925">_xlfn.IFS(
AG1925 &lt;&gt; "", "Jan-Dez/26",
AH1925 &lt;&gt; "", "Fev-Dez/26",
AI1925 &lt;&gt; "", "Mar-Dez/26", AJ1925 &lt;&gt; "", "Abr-Dez/26",
TRUE, "A partir de Junho"
)</f>
        <v>A partir de Junho</v>
      </c>
      <c r="G1925" s="10" t="s">
        <v>44</v>
      </c>
      <c r="H1925" s="36" t="s">
        <v>44</v>
      </c>
      <c r="I1925" s="37"/>
      <c r="J1925" s="37"/>
      <c r="K1925" s="37"/>
      <c r="L1925" s="37" t="s">
        <v>206</v>
      </c>
      <c r="M1925" s="37"/>
      <c r="N1925" s="5" t="s">
        <v>42</v>
      </c>
      <c r="O1925" s="5" t="s">
        <v>52</v>
      </c>
      <c r="P1925" s="10" t="s">
        <v>44</v>
      </c>
      <c r="Q1925" s="10" t="s">
        <v>44</v>
      </c>
      <c r="R1925" s="11" t="s">
        <v>44</v>
      </c>
      <c r="S1925" s="11" t="s">
        <v>44</v>
      </c>
      <c r="T1925" s="22"/>
      <c r="U1925" s="22"/>
      <c r="V1925" s="22"/>
      <c r="W1925" s="22"/>
      <c r="X1925" s="22"/>
      <c r="Y1925" s="22"/>
      <c r="Z1925" s="22"/>
      <c r="AA1925" s="22"/>
      <c r="AB1925" s="22"/>
      <c r="AC1925" s="22"/>
      <c r="AD1925" s="22"/>
      <c r="AE1925" s="22"/>
      <c r="AG1925" s="112"/>
      <c r="AH1925" s="112"/>
      <c r="AI1925" s="112"/>
      <c r="AJ1925" s="71"/>
      <c r="AK1925" s="71"/>
      <c r="AL1925" s="71"/>
      <c r="AM1925" s="71"/>
      <c r="AN1925" s="71"/>
      <c r="AO1925" s="71"/>
      <c r="AP1925" s="71"/>
      <c r="AQ1925" s="71"/>
      <c r="AR1925" s="71"/>
      <c r="AS1925" s="94"/>
      <c r="AT1925" s="95"/>
      <c r="AU1925" s="97"/>
      <c r="AW1925" s="84">
        <f t="shared" si="2213"/>
        <v>0</v>
      </c>
      <c r="AX1925" s="84">
        <f t="shared" si="2214"/>
        <v>0</v>
      </c>
      <c r="AY1925" s="84">
        <f t="shared" si="2215"/>
        <v>0</v>
      </c>
      <c r="AZ1925" s="84"/>
      <c r="BA1925" s="84"/>
      <c r="BB1925" s="84"/>
      <c r="BC1925" s="84"/>
      <c r="BD1925" s="84"/>
      <c r="BE1925" s="84"/>
      <c r="BF1925" s="84"/>
      <c r="BG1925" s="84"/>
      <c r="BH1925" s="84"/>
      <c r="BI1925" s="68" cm="1">
        <f t="array" ref="BI1925">IFERROR(INDEX(AW1925:BH1925,1,MATCH(2,1/(AW1925:BH1925&lt;&gt;""))),"")</f>
        <v>0</v>
      </c>
      <c r="BJ1925" s="68" cm="1">
        <f t="array" ref="BJ1925">IF(BM1925 = "", "",IFERROR(INDEX(AW1925:BH1925,1,MATCH(2,1/(AW1925:BH1925&lt;&gt;""),1)-1),""))</f>
        <v>0</v>
      </c>
      <c r="BK1925" s="57" cm="1">
        <f t="array" ref="BK1925">IFERROR(INDEX(AW1925:BH1925,1,MATCH(2,1/(AW1925:BH1925&lt;&gt;""),1)),"")</f>
        <v>0</v>
      </c>
      <c r="BL1925" s="57" cm="1">
        <f t="array" ref="BL1925">IF(BM1925 = "", "",IFERROR(INDEX(AW1925:BH1925,1,MATCH(2,1/(AW1925:BH1925&lt;&gt;""),1)-1),""))</f>
        <v>0</v>
      </c>
      <c r="BM1925" s="55" cm="1">
        <f t="array" ref="BM1925">IFERROR(
   INDEX($AW$1:$BH$1,
      _xlfn.AGGREGATE(14, 6, COLUMN($AW$1:$BH$1)/(AW1925:BH1925&lt;&gt;""), 2) - COLUMN($AW$1) + 1
   ),
"")</f>
        <v>46054</v>
      </c>
      <c r="BN1925" s="55" cm="1">
        <f t="array" ref="BN1925">IFERROR(INDEX($AW$1:$BH$1,1,MATCH(2,1/(AW1925:BH1925&lt;&gt;""))),"")</f>
        <v>46082</v>
      </c>
      <c r="BO1925" s="53">
        <f ca="1">IFERROR(_xlfn.XLOOKUP(F1925,Apuração!A:A,Apuração!C:C)/_xlfn.XLOOKUP(F1925,Apuração!A:A,Apuração!B:B),0)</f>
        <v>0</v>
      </c>
      <c r="BP1925" s="53">
        <f ca="1">IFERROR(_xlfn.XLOOKUP(F1925,Apuração!A:A,Apuração!D:D)/_xlfn.XLOOKUP(F1925,Apuração!A:A,Apuração!B:B),0)</f>
        <v>0</v>
      </c>
      <c r="BQ1925" s="53">
        <f ca="1">IF(BK1925&gt;=BO1925,0,_xlfn.XLOOKUP(F1925,Apuração!A:A,Apuração!B:B)*(BO1925 + (1/_xlfn.XLOOKUP(F1925,Apuração!A:A,Apuração!B:B)) - BK1925))</f>
        <v>0</v>
      </c>
      <c r="BR1925" s="85">
        <f t="shared" ca="1" si="2216"/>
        <v>0</v>
      </c>
      <c r="BS1925" s="53">
        <f ca="1">IFERROR((_xlfn.XLOOKUP(F1925,Apuração!A:A,Apuração!C:C)+1)/_xlfn.XLOOKUP(F1925,Apuração!A:A,Apuração!B:B),0)</f>
        <v>0.14285714285714285</v>
      </c>
    </row>
    <row r="1926" spans="1:71" ht="25.95" hidden="1" customHeight="1" x14ac:dyDescent="0.3">
      <c r="A1926" s="35" t="s">
        <v>44</v>
      </c>
      <c r="B1926" s="10" t="s">
        <v>44</v>
      </c>
      <c r="C1926" s="5" t="s">
        <v>214</v>
      </c>
      <c r="D1926" s="5" t="s">
        <v>36</v>
      </c>
      <c r="E1926" s="4" t="str" cm="1">
        <f t="array" ref="E1926">_xlfn.IFS(
F1926 = "A partir de Abril", "Aguardando Execução na Distribuidora",
A1926 = "CAPACITAÇÃO", "Em execução no Corporativo",
TRUE, "Em Execução na Distribuidora"
)</f>
        <v>Em Execução na Distribuidora</v>
      </c>
      <c r="F1926" s="4" t="str" cm="1">
        <f t="array" ref="F1926">_xlfn.IFS(
AG1926 &lt;&gt; "", "Jan-Dez/26",
AH1926 &lt;&gt; "", "Fev-Dez/26",
AI1926 &lt;&gt; "", "Mar-Dez/26", AJ1926 &lt;&gt; "", "Abr-Dez/26",
TRUE, "A partir de Junho"
)</f>
        <v>A partir de Junho</v>
      </c>
      <c r="G1926" s="10" t="s">
        <v>44</v>
      </c>
      <c r="H1926" s="36" t="s">
        <v>44</v>
      </c>
      <c r="I1926" s="37"/>
      <c r="J1926" s="37"/>
      <c r="K1926" s="37"/>
      <c r="L1926" s="37" t="s">
        <v>207</v>
      </c>
      <c r="M1926" s="37"/>
      <c r="N1926" s="5" t="s">
        <v>42</v>
      </c>
      <c r="O1926" s="5" t="s">
        <v>52</v>
      </c>
      <c r="P1926" s="10" t="s">
        <v>44</v>
      </c>
      <c r="Q1926" s="10" t="s">
        <v>44</v>
      </c>
      <c r="R1926" s="11" t="s">
        <v>44</v>
      </c>
      <c r="S1926" s="11" t="s">
        <v>44</v>
      </c>
      <c r="T1926" s="22"/>
      <c r="U1926" s="22"/>
      <c r="V1926" s="22"/>
      <c r="W1926" s="22"/>
      <c r="X1926" s="22"/>
      <c r="Y1926" s="22"/>
      <c r="Z1926" s="22"/>
      <c r="AA1926" s="22"/>
      <c r="AB1926" s="22"/>
      <c r="AC1926" s="22"/>
      <c r="AD1926" s="22"/>
      <c r="AE1926" s="22"/>
      <c r="AG1926" s="112"/>
      <c r="AH1926" s="112"/>
      <c r="AI1926" s="112"/>
      <c r="AJ1926" s="112"/>
      <c r="AK1926" s="112"/>
      <c r="AL1926" s="112"/>
      <c r="AM1926" s="112"/>
      <c r="AN1926" s="112"/>
      <c r="AO1926" s="112"/>
      <c r="AP1926" s="112"/>
      <c r="AQ1926" s="112"/>
      <c r="AR1926" s="112"/>
      <c r="AS1926" s="94"/>
      <c r="AT1926" s="95"/>
      <c r="AU1926" s="97"/>
      <c r="AW1926" s="84">
        <f>AG1926</f>
        <v>0</v>
      </c>
      <c r="AX1926" s="84">
        <f t="shared" si="2214"/>
        <v>0</v>
      </c>
      <c r="AY1926" s="84">
        <f t="shared" si="2215"/>
        <v>0</v>
      </c>
      <c r="AZ1926" s="84">
        <f t="shared" ref="AZ1926" si="2217">AJ1926</f>
        <v>0</v>
      </c>
      <c r="BA1926" s="84"/>
      <c r="BB1926" s="84"/>
      <c r="BC1926" s="84"/>
      <c r="BD1926" s="84"/>
      <c r="BE1926" s="84"/>
      <c r="BF1926" s="84"/>
      <c r="BG1926" s="84"/>
      <c r="BH1926" s="84"/>
      <c r="BI1926" s="68" cm="1">
        <f t="array" ref="BI1926">IFERROR(INDEX(AW1926:BH1926,1,MATCH(2,1/(AW1926:BH1926&lt;&gt;""))),"")</f>
        <v>0</v>
      </c>
      <c r="BJ1926" s="68" cm="1">
        <f t="array" ref="BJ1926">IF(BM1926 = "", "",IFERROR(INDEX(AW1926:BH1926,1,MATCH(2,1/(AW1926:BH1926&lt;&gt;""),1)-1),""))</f>
        <v>0</v>
      </c>
      <c r="BK1926" s="57" cm="1">
        <f t="array" ref="BK1926">IFERROR(INDEX(AW1926:BH1926,1,MATCH(2,1/(AW1926:BH1926&lt;&gt;""),1)),"")</f>
        <v>0</v>
      </c>
      <c r="BL1926" s="57" cm="1">
        <f t="array" ref="BL1926">IF(BM1926 = "", "",IFERROR(INDEX(AW1926:BH1926,1,MATCH(2,1/(AW1926:BH1926&lt;&gt;""),1)-1),""))</f>
        <v>0</v>
      </c>
      <c r="BM1926" s="55" cm="1">
        <f t="array" ref="BM1926">IFERROR(
   INDEX($AW$1:$BH$1,
      _xlfn.AGGREGATE(14, 6, COLUMN($AW$1:$BH$1)/(AW1926:BH1926&lt;&gt;""), 2) - COLUMN($AW$1) + 1
   ),
"")</f>
        <v>46082</v>
      </c>
      <c r="BN1926" s="55" cm="1">
        <f t="array" ref="BN1926">IFERROR(INDEX($AW$1:$BH$1,1,MATCH(2,1/(AW1926:BH1926&lt;&gt;""))),"")</f>
        <v>46113</v>
      </c>
      <c r="BO1926" s="53">
        <f ca="1">IFERROR(_xlfn.XLOOKUP(F1926,Apuração!A:A,Apuração!C:C)/_xlfn.XLOOKUP(F1926,Apuração!A:A,Apuração!B:B),0)</f>
        <v>0</v>
      </c>
      <c r="BP1926" s="53">
        <f ca="1">IFERROR(_xlfn.XLOOKUP(F1926,Apuração!A:A,Apuração!D:D)/_xlfn.XLOOKUP(F1926,Apuração!A:A,Apuração!B:B),0)</f>
        <v>0</v>
      </c>
      <c r="BQ1926" s="53">
        <f ca="1">IF(BK1926&gt;=BO1926,0,_xlfn.XLOOKUP(F1926,Apuração!A:A,Apuração!B:B)*(BO1926 + (1/_xlfn.XLOOKUP(F1926,Apuração!A:A,Apuração!B:B)) - BK1926))</f>
        <v>0</v>
      </c>
      <c r="BR1926" s="85">
        <f ca="1">IF(BQ1926=0,0,BQ1926*Z1926)</f>
        <v>0</v>
      </c>
      <c r="BS1926" s="53">
        <f ca="1">IFERROR((_xlfn.XLOOKUP(F1926,Apuração!A:A,Apuração!C:C)+1)/_xlfn.XLOOKUP(F1926,Apuração!A:A,Apuração!B:B),0)</f>
        <v>0.14285714285714285</v>
      </c>
    </row>
    <row r="1927" spans="1:71" ht="25.95" hidden="1" customHeight="1" x14ac:dyDescent="0.3">
      <c r="A1927" s="35" t="s">
        <v>44</v>
      </c>
      <c r="B1927" s="10" t="s">
        <v>44</v>
      </c>
      <c r="C1927" s="5" t="s">
        <v>214</v>
      </c>
      <c r="D1927" s="5" t="s">
        <v>210</v>
      </c>
      <c r="E1927" s="4" t="str" cm="1">
        <f t="array" ref="E1927">_xlfn.IFS(
F1927 = "A partir de Abril", "Aguardando Execução na Distribuidora",
A1927 = "CAPACITAÇÃO", "Em execução no Corporativo",
TRUE, "Em Execução na Distribuidora"
)</f>
        <v>Em Execução na Distribuidora</v>
      </c>
      <c r="F1927" s="4" t="str" cm="1">
        <f t="array" ref="F1927">_xlfn.IFS(
AG1927 &lt;&gt; "", "Jan-Dez/26",
AH1927 &lt;&gt; "", "Fev-Dez/26",
AI1927 &lt;&gt; "", "Mar-Dez/26", AJ1927 &lt;&gt; "", "Abr-Dez/26",
TRUE, "A partir de Junho"
)</f>
        <v>A partir de Junho</v>
      </c>
      <c r="G1927" s="10" t="s">
        <v>44</v>
      </c>
      <c r="H1927" s="36" t="s">
        <v>44</v>
      </c>
      <c r="I1927" s="37"/>
      <c r="J1927" s="37"/>
      <c r="K1927" s="37"/>
      <c r="L1927" s="37" t="s">
        <v>207</v>
      </c>
      <c r="M1927" s="37"/>
      <c r="N1927" s="5" t="s">
        <v>42</v>
      </c>
      <c r="O1927" s="5" t="s">
        <v>52</v>
      </c>
      <c r="P1927" s="10" t="s">
        <v>44</v>
      </c>
      <c r="Q1927" s="10" t="s">
        <v>44</v>
      </c>
      <c r="R1927" s="11" t="s">
        <v>44</v>
      </c>
      <c r="S1927" s="11" t="s">
        <v>44</v>
      </c>
      <c r="T1927" s="22"/>
      <c r="U1927" s="22"/>
      <c r="V1927" s="22"/>
      <c r="W1927" s="22"/>
      <c r="X1927" s="22"/>
      <c r="Y1927" s="22"/>
      <c r="Z1927" s="22"/>
      <c r="AA1927" s="22"/>
      <c r="AB1927" s="22"/>
      <c r="AC1927" s="22"/>
      <c r="AD1927" s="22"/>
      <c r="AE1927" s="22"/>
      <c r="AG1927" s="71"/>
      <c r="AH1927" s="71"/>
      <c r="AI1927" s="71"/>
      <c r="AJ1927" s="71"/>
      <c r="AK1927" s="71"/>
      <c r="AL1927" s="71"/>
      <c r="AM1927" s="71"/>
      <c r="AN1927" s="71"/>
      <c r="AO1927" s="71"/>
      <c r="AP1927" s="71"/>
      <c r="AQ1927" s="71"/>
      <c r="AR1927" s="71"/>
      <c r="AS1927" s="94"/>
      <c r="AT1927" s="95"/>
      <c r="AU1927" s="97"/>
      <c r="AW1927" s="84">
        <f t="shared" ref="AW1927:AW1931" si="2218">AG1927</f>
        <v>0</v>
      </c>
      <c r="AX1927" s="84"/>
      <c r="AY1927" s="84"/>
      <c r="AZ1927" s="84"/>
      <c r="BA1927" s="84"/>
      <c r="BB1927" s="84"/>
      <c r="BC1927" s="84"/>
      <c r="BD1927" s="84"/>
      <c r="BE1927" s="84"/>
      <c r="BF1927" s="84"/>
      <c r="BG1927" s="84"/>
      <c r="BH1927" s="84"/>
      <c r="BI1927" s="68" cm="1">
        <f t="array" ref="BI1927">IFERROR(INDEX(AW1927:BH1927,1,MATCH(2,1/(AW1927:BH1927&lt;&gt;""))),"")</f>
        <v>0</v>
      </c>
      <c r="BJ1927" s="68" t="str" cm="1">
        <f t="array" ref="BJ1927">IF(BM1927 = "", "",IFERROR(INDEX(AW1927:BH1927,1,MATCH(2,1/(AW1927:BH1927&lt;&gt;""),1)-1),""))</f>
        <v/>
      </c>
      <c r="BK1927" s="57" cm="1">
        <f t="array" ref="BK1927">IFERROR(INDEX(AW1927:BH1927,1,MATCH(2,1/(AW1927:BH1927&lt;&gt;""),1)),"")</f>
        <v>0</v>
      </c>
      <c r="BL1927" s="57" t="str" cm="1">
        <f t="array" ref="BL1927">IF(BM1927 = "", "",IFERROR(INDEX(AW1927:BH1927,1,MATCH(2,1/(AW1927:BH1927&lt;&gt;""),1)-1),""))</f>
        <v/>
      </c>
      <c r="BM1927" s="55" t="str" cm="1">
        <f t="array" ref="BM1927">IFERROR(
   INDEX($AW$1:$BH$1,
      _xlfn.AGGREGATE(14, 6, COLUMN($AW$1:$BH$1)/(AW1927:BH1927&lt;&gt;""), 2) - COLUMN($AW$1) + 1
   ),
"")</f>
        <v/>
      </c>
      <c r="BN1927" s="55" cm="1">
        <f t="array" ref="BN1927">IFERROR(INDEX($AW$1:$BH$1,1,MATCH(2,1/(AW1927:BH1927&lt;&gt;""))),"")</f>
        <v>46023</v>
      </c>
      <c r="BO1927" s="53">
        <f ca="1">IFERROR(_xlfn.XLOOKUP(F1927,Apuração!A:A,Apuração!C:C)/_xlfn.XLOOKUP(F1927,Apuração!A:A,Apuração!B:B),0)</f>
        <v>0</v>
      </c>
      <c r="BP1927" s="53">
        <f ca="1">IFERROR(_xlfn.XLOOKUP(F1927,Apuração!A:A,Apuração!D:D)/_xlfn.XLOOKUP(F1927,Apuração!A:A,Apuração!B:B),0)</f>
        <v>0</v>
      </c>
      <c r="BQ1927" s="53">
        <f ca="1">IF(BK1927&gt;=BO1927,0,_xlfn.XLOOKUP(F1927,Apuração!A:A,Apuração!B:B)*(BO1927 + (1/_xlfn.XLOOKUP(F1927,Apuração!A:A,Apuração!B:B)) - BK1927))</f>
        <v>0</v>
      </c>
      <c r="BR1927" s="85">
        <f t="shared" ref="BR1927:BR1931" ca="1" si="2219">IF(BQ1927=0,0,BQ1927*Z1927)</f>
        <v>0</v>
      </c>
      <c r="BS1927" s="53">
        <f ca="1">IFERROR((_xlfn.XLOOKUP(F1927,Apuração!A:A,Apuração!C:C)+1)/_xlfn.XLOOKUP(F1927,Apuração!A:A,Apuração!B:B),0)</f>
        <v>0.14285714285714285</v>
      </c>
    </row>
    <row r="1928" spans="1:71" ht="25.95" hidden="1" customHeight="1" x14ac:dyDescent="0.3">
      <c r="A1928" s="35" t="s">
        <v>44</v>
      </c>
      <c r="B1928" s="10" t="s">
        <v>44</v>
      </c>
      <c r="C1928" s="5" t="s">
        <v>214</v>
      </c>
      <c r="D1928" s="5" t="s">
        <v>215</v>
      </c>
      <c r="E1928" s="4" t="str" cm="1">
        <f t="array" ref="E1928">_xlfn.IFS(
F1928 = "A partir de Abril", "Aguardando Execução na Distribuidora",
A1928 = "CAPACITAÇÃO", "Em execução no Corporativo",
TRUE, "Em Execução na Distribuidora"
)</f>
        <v>Em Execução na Distribuidora</v>
      </c>
      <c r="F1928" s="4" t="str" cm="1">
        <f t="array" ref="F1928">_xlfn.IFS(
AG1928 &lt;&gt; "", "Jan-Dez/26",
AH1928 &lt;&gt; "", "Fev-Dez/26",
AI1928 &lt;&gt; "", "Mar-Dez/26", AJ1928 &lt;&gt; "", "Abr-Dez/26",
TRUE, "A partir de Junho"
)</f>
        <v>A partir de Junho</v>
      </c>
      <c r="G1928" s="10" t="s">
        <v>44</v>
      </c>
      <c r="H1928" s="36" t="s">
        <v>44</v>
      </c>
      <c r="I1928" s="37"/>
      <c r="J1928" s="37"/>
      <c r="K1928" s="37"/>
      <c r="L1928" s="37" t="s">
        <v>207</v>
      </c>
      <c r="M1928" s="37"/>
      <c r="N1928" s="5" t="s">
        <v>42</v>
      </c>
      <c r="O1928" s="5" t="s">
        <v>52</v>
      </c>
      <c r="P1928" s="10" t="s">
        <v>44</v>
      </c>
      <c r="Q1928" s="10" t="s">
        <v>44</v>
      </c>
      <c r="R1928" s="11" t="s">
        <v>44</v>
      </c>
      <c r="S1928" s="11" t="s">
        <v>44</v>
      </c>
      <c r="T1928" s="22"/>
      <c r="U1928" s="22"/>
      <c r="V1928" s="22"/>
      <c r="W1928" s="22"/>
      <c r="X1928" s="22"/>
      <c r="Y1928" s="22"/>
      <c r="Z1928" s="22"/>
      <c r="AA1928" s="22"/>
      <c r="AB1928" s="22"/>
      <c r="AC1928" s="22"/>
      <c r="AD1928" s="22"/>
      <c r="AE1928" s="22"/>
      <c r="AG1928" s="71"/>
      <c r="AH1928" s="71"/>
      <c r="AI1928" s="71"/>
      <c r="AJ1928" s="71"/>
      <c r="AK1928" s="71"/>
      <c r="AL1928" s="71"/>
      <c r="AM1928" s="71"/>
      <c r="AN1928" s="71"/>
      <c r="AO1928" s="71"/>
      <c r="AP1928" s="71"/>
      <c r="AQ1928" s="71"/>
      <c r="AR1928" s="71"/>
      <c r="AS1928" s="94"/>
      <c r="AT1928" s="95"/>
      <c r="AU1928" s="97"/>
      <c r="AW1928" s="84">
        <f t="shared" si="2218"/>
        <v>0</v>
      </c>
      <c r="AX1928" s="84"/>
      <c r="AY1928" s="84"/>
      <c r="AZ1928" s="84"/>
      <c r="BA1928" s="84"/>
      <c r="BB1928" s="84"/>
      <c r="BC1928" s="84"/>
      <c r="BD1928" s="84"/>
      <c r="BE1928" s="84"/>
      <c r="BF1928" s="84"/>
      <c r="BG1928" s="84"/>
      <c r="BH1928" s="84"/>
      <c r="BI1928" s="68" cm="1">
        <f t="array" ref="BI1928">IFERROR(INDEX(AW1928:BH1928,1,MATCH(2,1/(AW1928:BH1928&lt;&gt;""))),"")</f>
        <v>0</v>
      </c>
      <c r="BJ1928" s="68" t="str" cm="1">
        <f t="array" ref="BJ1928">IF(BM1928 = "", "",IFERROR(INDEX(AW1928:BH1928,1,MATCH(2,1/(AW1928:BH1928&lt;&gt;""),1)-1),""))</f>
        <v/>
      </c>
      <c r="BK1928" s="57" cm="1">
        <f t="array" ref="BK1928">IFERROR(INDEX(AW1928:BH1928,1,MATCH(2,1/(AW1928:BH1928&lt;&gt;""),1)),"")</f>
        <v>0</v>
      </c>
      <c r="BL1928" s="57" t="str" cm="1">
        <f t="array" ref="BL1928">IF(BM1928 = "", "",IFERROR(INDEX(AW1928:BH1928,1,MATCH(2,1/(AW1928:BH1928&lt;&gt;""),1)-1),""))</f>
        <v/>
      </c>
      <c r="BM1928" s="55" t="str" cm="1">
        <f t="array" ref="BM1928">IFERROR(
   INDEX($AW$1:$BH$1,
      _xlfn.AGGREGATE(14, 6, COLUMN($AW$1:$BH$1)/(AW1928:BH1928&lt;&gt;""), 2) - COLUMN($AW$1) + 1
   ),
"")</f>
        <v/>
      </c>
      <c r="BN1928" s="55" cm="1">
        <f t="array" ref="BN1928">IFERROR(INDEX($AW$1:$BH$1,1,MATCH(2,1/(AW1928:BH1928&lt;&gt;""))),"")</f>
        <v>46023</v>
      </c>
      <c r="BO1928" s="53">
        <f ca="1">IFERROR(_xlfn.XLOOKUP(F1928,Apuração!A:A,Apuração!C:C)/_xlfn.XLOOKUP(F1928,Apuração!A:A,Apuração!B:B),0)</f>
        <v>0</v>
      </c>
      <c r="BP1928" s="53">
        <f ca="1">IFERROR(_xlfn.XLOOKUP(F1928,Apuração!A:A,Apuração!D:D)/_xlfn.XLOOKUP(F1928,Apuração!A:A,Apuração!B:B),0)</f>
        <v>0</v>
      </c>
      <c r="BQ1928" s="53">
        <f ca="1">IF(BK1928&gt;=BO1928,0,_xlfn.XLOOKUP(F1928,Apuração!A:A,Apuração!B:B)*(BO1928 + (1/_xlfn.XLOOKUP(F1928,Apuração!A:A,Apuração!B:B)) - BK1928))</f>
        <v>0</v>
      </c>
      <c r="BR1928" s="85">
        <f t="shared" ca="1" si="2219"/>
        <v>0</v>
      </c>
      <c r="BS1928" s="53">
        <f ca="1">IFERROR((_xlfn.XLOOKUP(F1928,Apuração!A:A,Apuração!C:C)+1)/_xlfn.XLOOKUP(F1928,Apuração!A:A,Apuração!B:B),0)</f>
        <v>0.14285714285714285</v>
      </c>
    </row>
    <row r="1929" spans="1:71" ht="25.95" hidden="1" customHeight="1" x14ac:dyDescent="0.3">
      <c r="A1929" s="35" t="s">
        <v>44</v>
      </c>
      <c r="B1929" s="10" t="s">
        <v>44</v>
      </c>
      <c r="C1929" s="5" t="s">
        <v>214</v>
      </c>
      <c r="D1929" s="5" t="s">
        <v>212</v>
      </c>
      <c r="E1929" s="4" t="str" cm="1">
        <f t="array" ref="E1929">_xlfn.IFS(
F1929 = "A partir de Abril", "Aguardando Execução na Distribuidora",
A1929 = "CAPACITAÇÃO", "Em execução no Corporativo",
TRUE, "Em Execução na Distribuidora"
)</f>
        <v>Em Execução na Distribuidora</v>
      </c>
      <c r="F1929" s="4" t="str" cm="1">
        <f t="array" ref="F1929">_xlfn.IFS(
AG1929 &lt;&gt; "", "Jan-Dez/26",
AH1929 &lt;&gt; "", "Fev-Dez/26",
AI1929 &lt;&gt; "", "Mar-Dez/26", AJ1929 &lt;&gt; "", "Abr-Dez/26",
TRUE, "A partir de Junho"
)</f>
        <v>A partir de Junho</v>
      </c>
      <c r="G1929" s="10" t="s">
        <v>44</v>
      </c>
      <c r="H1929" s="36" t="s">
        <v>44</v>
      </c>
      <c r="I1929" s="37"/>
      <c r="J1929" s="37"/>
      <c r="K1929" s="37"/>
      <c r="L1929" s="37" t="s">
        <v>207</v>
      </c>
      <c r="M1929" s="37"/>
      <c r="N1929" s="5" t="s">
        <v>42</v>
      </c>
      <c r="O1929" s="5" t="s">
        <v>52</v>
      </c>
      <c r="P1929" s="10" t="s">
        <v>44</v>
      </c>
      <c r="Q1929" s="10" t="s">
        <v>44</v>
      </c>
      <c r="R1929" s="11" t="s">
        <v>44</v>
      </c>
      <c r="S1929" s="11" t="s">
        <v>44</v>
      </c>
      <c r="T1929" s="22"/>
      <c r="U1929" s="22"/>
      <c r="V1929" s="22"/>
      <c r="W1929" s="22"/>
      <c r="X1929" s="22"/>
      <c r="Y1929" s="22"/>
      <c r="Z1929" s="22"/>
      <c r="AA1929" s="22"/>
      <c r="AB1929" s="22"/>
      <c r="AC1929" s="22"/>
      <c r="AD1929" s="22"/>
      <c r="AE1929" s="22"/>
      <c r="AG1929" s="71"/>
      <c r="AH1929" s="71"/>
      <c r="AI1929" s="71"/>
      <c r="AJ1929" s="71"/>
      <c r="AK1929" s="71"/>
      <c r="AL1929" s="71"/>
      <c r="AM1929" s="71"/>
      <c r="AN1929" s="71"/>
      <c r="AO1929" s="71"/>
      <c r="AP1929" s="71"/>
      <c r="AQ1929" s="71"/>
      <c r="AR1929" s="71"/>
      <c r="AS1929" s="94"/>
      <c r="AT1929" s="95"/>
      <c r="AU1929" s="97"/>
      <c r="AW1929" s="84">
        <f t="shared" si="2218"/>
        <v>0</v>
      </c>
      <c r="AX1929" s="84"/>
      <c r="AY1929" s="84"/>
      <c r="AZ1929" s="84"/>
      <c r="BA1929" s="84"/>
      <c r="BB1929" s="84"/>
      <c r="BC1929" s="84"/>
      <c r="BD1929" s="84"/>
      <c r="BE1929" s="84"/>
      <c r="BF1929" s="84"/>
      <c r="BG1929" s="84"/>
      <c r="BH1929" s="84"/>
      <c r="BI1929" s="68" cm="1">
        <f t="array" ref="BI1929">IFERROR(INDEX(AW1929:BH1929,1,MATCH(2,1/(AW1929:BH1929&lt;&gt;""))),"")</f>
        <v>0</v>
      </c>
      <c r="BJ1929" s="68" t="str" cm="1">
        <f t="array" ref="BJ1929">IF(BM1929 = "", "",IFERROR(INDEX(AW1929:BH1929,1,MATCH(2,1/(AW1929:BH1929&lt;&gt;""),1)-1),""))</f>
        <v/>
      </c>
      <c r="BK1929" s="57" cm="1">
        <f t="array" ref="BK1929">IFERROR(INDEX(AW1929:BH1929,1,MATCH(2,1/(AW1929:BH1929&lt;&gt;""),1)),"")</f>
        <v>0</v>
      </c>
      <c r="BL1929" s="57" t="str" cm="1">
        <f t="array" ref="BL1929">IF(BM1929 = "", "",IFERROR(INDEX(AW1929:BH1929,1,MATCH(2,1/(AW1929:BH1929&lt;&gt;""),1)-1),""))</f>
        <v/>
      </c>
      <c r="BM1929" s="55" t="str" cm="1">
        <f t="array" ref="BM1929">IFERROR(
   INDEX($AW$1:$BH$1,
      _xlfn.AGGREGATE(14, 6, COLUMN($AW$1:$BH$1)/(AW1929:BH1929&lt;&gt;""), 2) - COLUMN($AW$1) + 1
   ),
"")</f>
        <v/>
      </c>
      <c r="BN1929" s="55" cm="1">
        <f t="array" ref="BN1929">IFERROR(INDEX($AW$1:$BH$1,1,MATCH(2,1/(AW1929:BH1929&lt;&gt;""))),"")</f>
        <v>46023</v>
      </c>
      <c r="BO1929" s="53">
        <f ca="1">IFERROR(_xlfn.XLOOKUP(F1929,Apuração!A:A,Apuração!C:C)/_xlfn.XLOOKUP(F1929,Apuração!A:A,Apuração!B:B),0)</f>
        <v>0</v>
      </c>
      <c r="BP1929" s="53">
        <f ca="1">IFERROR(_xlfn.XLOOKUP(F1929,Apuração!A:A,Apuração!D:D)/_xlfn.XLOOKUP(F1929,Apuração!A:A,Apuração!B:B),0)</f>
        <v>0</v>
      </c>
      <c r="BQ1929" s="53">
        <f ca="1">IF(BK1929&gt;=BO1929,0,_xlfn.XLOOKUP(F1929,Apuração!A:A,Apuração!B:B)*(BO1929 + (1/_xlfn.XLOOKUP(F1929,Apuração!A:A,Apuração!B:B)) - BK1929))</f>
        <v>0</v>
      </c>
      <c r="BR1929" s="85">
        <f t="shared" ca="1" si="2219"/>
        <v>0</v>
      </c>
      <c r="BS1929" s="53">
        <f ca="1">IFERROR((_xlfn.XLOOKUP(F1929,Apuração!A:A,Apuração!C:C)+1)/_xlfn.XLOOKUP(F1929,Apuração!A:A,Apuração!B:B),0)</f>
        <v>0.14285714285714285</v>
      </c>
    </row>
    <row r="1930" spans="1:71" ht="25.95" hidden="1" customHeight="1" x14ac:dyDescent="0.3">
      <c r="A1930" s="35" t="s">
        <v>44</v>
      </c>
      <c r="B1930" s="10" t="s">
        <v>44</v>
      </c>
      <c r="C1930" s="5" t="s">
        <v>214</v>
      </c>
      <c r="D1930" s="5" t="s">
        <v>48</v>
      </c>
      <c r="E1930" s="4" t="str" cm="1">
        <f t="array" ref="E1930">_xlfn.IFS(
F1930 = "A partir de Abril", "Aguardando Execução na Distribuidora",
A1930 = "CAPACITAÇÃO", "Em execução no Corporativo",
TRUE, "Em Execução na Distribuidora"
)</f>
        <v>Em Execução na Distribuidora</v>
      </c>
      <c r="F1930" s="4" t="str" cm="1">
        <f t="array" ref="F1930">_xlfn.IFS(
AG1930 &lt;&gt; "", "Jan-Dez/26",
AH1930 &lt;&gt; "", "Fev-Dez/26",
AI1930 &lt;&gt; "", "Mar-Dez/26", AJ1930 &lt;&gt; "", "Abr-Dez/26",
TRUE, "A partir de Junho"
)</f>
        <v>A partir de Junho</v>
      </c>
      <c r="G1930" s="10" t="s">
        <v>44</v>
      </c>
      <c r="H1930" s="36" t="s">
        <v>44</v>
      </c>
      <c r="I1930" s="37"/>
      <c r="J1930" s="37"/>
      <c r="K1930" s="37"/>
      <c r="L1930" s="37" t="s">
        <v>207</v>
      </c>
      <c r="M1930" s="37"/>
      <c r="N1930" s="5" t="s">
        <v>42</v>
      </c>
      <c r="O1930" s="5" t="s">
        <v>52</v>
      </c>
      <c r="P1930" s="10" t="s">
        <v>44</v>
      </c>
      <c r="Q1930" s="10" t="s">
        <v>44</v>
      </c>
      <c r="R1930" s="11" t="s">
        <v>44</v>
      </c>
      <c r="S1930" s="11" t="s">
        <v>44</v>
      </c>
      <c r="T1930" s="22"/>
      <c r="U1930" s="22"/>
      <c r="V1930" s="22"/>
      <c r="W1930" s="22"/>
      <c r="X1930" s="22"/>
      <c r="Y1930" s="22"/>
      <c r="Z1930" s="22"/>
      <c r="AA1930" s="22"/>
      <c r="AB1930" s="22"/>
      <c r="AC1930" s="22"/>
      <c r="AD1930" s="22"/>
      <c r="AE1930" s="22"/>
      <c r="AG1930" s="71"/>
      <c r="AH1930" s="71"/>
      <c r="AI1930" s="71"/>
      <c r="AJ1930" s="71"/>
      <c r="AK1930" s="71"/>
      <c r="AL1930" s="71"/>
      <c r="AM1930" s="71"/>
      <c r="AN1930" s="71"/>
      <c r="AO1930" s="71"/>
      <c r="AP1930" s="71"/>
      <c r="AQ1930" s="71"/>
      <c r="AR1930" s="71"/>
      <c r="AS1930" s="94"/>
      <c r="AT1930" s="95"/>
      <c r="AU1930" s="97"/>
      <c r="AW1930" s="84">
        <f t="shared" si="2218"/>
        <v>0</v>
      </c>
      <c r="AX1930" s="84"/>
      <c r="AY1930" s="84"/>
      <c r="AZ1930" s="84"/>
      <c r="BA1930" s="84"/>
      <c r="BB1930" s="84"/>
      <c r="BC1930" s="84"/>
      <c r="BD1930" s="84"/>
      <c r="BE1930" s="84"/>
      <c r="BF1930" s="84"/>
      <c r="BG1930" s="84"/>
      <c r="BH1930" s="84"/>
      <c r="BI1930" s="68" cm="1">
        <f t="array" ref="BI1930">IFERROR(INDEX(AW1930:BH1930,1,MATCH(2,1/(AW1930:BH1930&lt;&gt;""))),"")</f>
        <v>0</v>
      </c>
      <c r="BJ1930" s="68" t="str" cm="1">
        <f t="array" ref="BJ1930">IF(BM1930 = "", "",IFERROR(INDEX(AW1930:BH1930,1,MATCH(2,1/(AW1930:BH1930&lt;&gt;""),1)-1),""))</f>
        <v/>
      </c>
      <c r="BK1930" s="57" cm="1">
        <f t="array" ref="BK1930">IFERROR(INDEX(AW1930:BH1930,1,MATCH(2,1/(AW1930:BH1930&lt;&gt;""),1)),"")</f>
        <v>0</v>
      </c>
      <c r="BL1930" s="57" t="str" cm="1">
        <f t="array" ref="BL1930">IF(BM1930 = "", "",IFERROR(INDEX(AW1930:BH1930,1,MATCH(2,1/(AW1930:BH1930&lt;&gt;""),1)-1),""))</f>
        <v/>
      </c>
      <c r="BM1930" s="55" t="str" cm="1">
        <f t="array" ref="BM1930">IFERROR(
   INDEX($AW$1:$BH$1,
      _xlfn.AGGREGATE(14, 6, COLUMN($AW$1:$BH$1)/(AW1930:BH1930&lt;&gt;""), 2) - COLUMN($AW$1) + 1
   ),
"")</f>
        <v/>
      </c>
      <c r="BN1930" s="55" cm="1">
        <f t="array" ref="BN1930">IFERROR(INDEX($AW$1:$BH$1,1,MATCH(2,1/(AW1930:BH1930&lt;&gt;""))),"")</f>
        <v>46023</v>
      </c>
      <c r="BO1930" s="53">
        <f ca="1">IFERROR(_xlfn.XLOOKUP(F1930,Apuração!A:A,Apuração!C:C)/_xlfn.XLOOKUP(F1930,Apuração!A:A,Apuração!B:B),0)</f>
        <v>0</v>
      </c>
      <c r="BP1930" s="53">
        <f ca="1">IFERROR(_xlfn.XLOOKUP(F1930,Apuração!A:A,Apuração!D:D)/_xlfn.XLOOKUP(F1930,Apuração!A:A,Apuração!B:B),0)</f>
        <v>0</v>
      </c>
      <c r="BQ1930" s="53">
        <f ca="1">IF(BK1930&gt;=BO1930,0,_xlfn.XLOOKUP(F1930,Apuração!A:A,Apuração!B:B)*(BO1930 + (1/_xlfn.XLOOKUP(F1930,Apuração!A:A,Apuração!B:B)) - BK1930))</f>
        <v>0</v>
      </c>
      <c r="BR1930" s="85">
        <f t="shared" ca="1" si="2219"/>
        <v>0</v>
      </c>
      <c r="BS1930" s="53">
        <f ca="1">IFERROR((_xlfn.XLOOKUP(F1930,Apuração!A:A,Apuração!C:C)+1)/_xlfn.XLOOKUP(F1930,Apuração!A:A,Apuração!B:B),0)</f>
        <v>0.14285714285714285</v>
      </c>
    </row>
    <row r="1931" spans="1:71" ht="25.95" hidden="1" customHeight="1" x14ac:dyDescent="0.3">
      <c r="A1931" s="35" t="s">
        <v>44</v>
      </c>
      <c r="B1931" s="10" t="s">
        <v>44</v>
      </c>
      <c r="C1931" s="5" t="s">
        <v>214</v>
      </c>
      <c r="D1931" s="5" t="s">
        <v>213</v>
      </c>
      <c r="E1931" s="4" t="str" cm="1">
        <f t="array" ref="E1931">_xlfn.IFS(
F1931 = "A partir de Abril", "Aguardando Execução na Distribuidora",
A1931 = "CAPACITAÇÃO", "Em execução no Corporativo",
TRUE, "Em Execução na Distribuidora"
)</f>
        <v>Em Execução na Distribuidora</v>
      </c>
      <c r="F1931" s="4" t="str" cm="1">
        <f t="array" ref="F1931">_xlfn.IFS(
AG1931 &lt;&gt; "", "Jan-Dez/26",
AH1931 &lt;&gt; "", "Fev-Dez/26",
AI1931 &lt;&gt; "", "Mar-Dez/26", AJ1931 &lt;&gt; "", "Abr-Dez/26",
TRUE, "A partir de Junho"
)</f>
        <v>A partir de Junho</v>
      </c>
      <c r="G1931" s="10" t="s">
        <v>44</v>
      </c>
      <c r="H1931" s="36" t="s">
        <v>44</v>
      </c>
      <c r="I1931" s="37"/>
      <c r="J1931" s="37"/>
      <c r="K1931" s="37"/>
      <c r="L1931" s="37" t="s">
        <v>207</v>
      </c>
      <c r="M1931" s="37"/>
      <c r="N1931" s="5" t="s">
        <v>42</v>
      </c>
      <c r="O1931" s="5" t="s">
        <v>52</v>
      </c>
      <c r="P1931" s="10" t="s">
        <v>44</v>
      </c>
      <c r="Q1931" s="10" t="s">
        <v>44</v>
      </c>
      <c r="R1931" s="11" t="s">
        <v>44</v>
      </c>
      <c r="S1931" s="11" t="s">
        <v>44</v>
      </c>
      <c r="T1931" s="22"/>
      <c r="U1931" s="22"/>
      <c r="V1931" s="22"/>
      <c r="W1931" s="22"/>
      <c r="X1931" s="22"/>
      <c r="Y1931" s="22"/>
      <c r="Z1931" s="22"/>
      <c r="AA1931" s="22"/>
      <c r="AB1931" s="22"/>
      <c r="AC1931" s="22"/>
      <c r="AD1931" s="22"/>
      <c r="AE1931" s="22"/>
      <c r="AG1931" s="71"/>
      <c r="AH1931" s="71"/>
      <c r="AI1931" s="71"/>
      <c r="AJ1931" s="71"/>
      <c r="AK1931" s="71"/>
      <c r="AL1931" s="71"/>
      <c r="AM1931" s="71"/>
      <c r="AN1931" s="71"/>
      <c r="AO1931" s="71"/>
      <c r="AP1931" s="71"/>
      <c r="AQ1931" s="71"/>
      <c r="AR1931" s="71"/>
      <c r="AS1931" s="94"/>
      <c r="AT1931" s="95"/>
      <c r="AU1931" s="97"/>
      <c r="AW1931" s="84">
        <f t="shared" si="2218"/>
        <v>0</v>
      </c>
      <c r="AX1931" s="84"/>
      <c r="AY1931" s="84"/>
      <c r="AZ1931" s="84"/>
      <c r="BA1931" s="84"/>
      <c r="BB1931" s="84"/>
      <c r="BC1931" s="84"/>
      <c r="BD1931" s="84"/>
      <c r="BE1931" s="84"/>
      <c r="BF1931" s="84"/>
      <c r="BG1931" s="84"/>
      <c r="BH1931" s="84"/>
      <c r="BI1931" s="68" cm="1">
        <f t="array" ref="BI1931">IFERROR(INDEX(AW1931:BH1931,1,MATCH(2,1/(AW1931:BH1931&lt;&gt;""))),"")</f>
        <v>0</v>
      </c>
      <c r="BJ1931" s="68" t="str" cm="1">
        <f t="array" ref="BJ1931">IF(BM1931 = "", "",IFERROR(INDEX(AW1931:BH1931,1,MATCH(2,1/(AW1931:BH1931&lt;&gt;""),1)-1),""))</f>
        <v/>
      </c>
      <c r="BK1931" s="57" cm="1">
        <f t="array" ref="BK1931">IFERROR(INDEX(AW1931:BH1931,1,MATCH(2,1/(AW1931:BH1931&lt;&gt;""),1)),"")</f>
        <v>0</v>
      </c>
      <c r="BL1931" s="57" t="str" cm="1">
        <f t="array" ref="BL1931">IF(BM1931 = "", "",IFERROR(INDEX(AW1931:BH1931,1,MATCH(2,1/(AW1931:BH1931&lt;&gt;""),1)-1),""))</f>
        <v/>
      </c>
      <c r="BM1931" s="55" t="str" cm="1">
        <f t="array" ref="BM1931">IFERROR(
   INDEX($AW$1:$BH$1,
      _xlfn.AGGREGATE(14, 6, COLUMN($AW$1:$BH$1)/(AW1931:BH1931&lt;&gt;""), 2) - COLUMN($AW$1) + 1
   ),
"")</f>
        <v/>
      </c>
      <c r="BN1931" s="55" cm="1">
        <f t="array" ref="BN1931">IFERROR(INDEX($AW$1:$BH$1,1,MATCH(2,1/(AW1931:BH1931&lt;&gt;""))),"")</f>
        <v>46023</v>
      </c>
      <c r="BO1931" s="53">
        <f ca="1">IFERROR(_xlfn.XLOOKUP(F1931,Apuração!A:A,Apuração!C:C)/_xlfn.XLOOKUP(F1931,Apuração!A:A,Apuração!B:B),0)</f>
        <v>0</v>
      </c>
      <c r="BP1931" s="53">
        <f ca="1">IFERROR(_xlfn.XLOOKUP(F1931,Apuração!A:A,Apuração!D:D)/_xlfn.XLOOKUP(F1931,Apuração!A:A,Apuração!B:B),0)</f>
        <v>0</v>
      </c>
      <c r="BQ1931" s="53">
        <f ca="1">IF(BK1931&gt;=BO1931,0,_xlfn.XLOOKUP(F1931,Apuração!A:A,Apuração!B:B)*(BO1931 + (1/_xlfn.XLOOKUP(F1931,Apuração!A:A,Apuração!B:B)) - BK1931))</f>
        <v>0</v>
      </c>
      <c r="BR1931" s="85">
        <f t="shared" ca="1" si="2219"/>
        <v>0</v>
      </c>
      <c r="BS1931" s="53">
        <f ca="1">IFERROR((_xlfn.XLOOKUP(F1931,Apuração!A:A,Apuração!C:C)+1)/_xlfn.XLOOKUP(F1931,Apuração!A:A,Apuração!B:B),0)</f>
        <v>0.14285714285714285</v>
      </c>
    </row>
    <row r="1932" spans="1:71" ht="25.95" hidden="1" customHeight="1" x14ac:dyDescent="0.3">
      <c r="A1932" s="35" t="s">
        <v>44</v>
      </c>
      <c r="B1932" s="10" t="s">
        <v>44</v>
      </c>
      <c r="C1932" s="5" t="s">
        <v>214</v>
      </c>
      <c r="D1932" s="5" t="s">
        <v>36</v>
      </c>
      <c r="E1932" s="4" t="str" cm="1">
        <f t="array" ref="E1932">_xlfn.IFS(
F1932 = "A partir de Abril", "Aguardando Execução na Distribuidora",
A1932 = "CAPACITAÇÃO", "Em execução no Corporativo",
TRUE, "Em Execução na Distribuidora"
)</f>
        <v>Em Execução na Distribuidora</v>
      </c>
      <c r="F1932" s="4" t="str" cm="1">
        <f t="array" ref="F1932">_xlfn.IFS(
AG1932 &lt;&gt; "", "Jan-Dez/26",
AH1932 &lt;&gt; "", "Fev-Dez/26",
AI1932 &lt;&gt; "", "Mar-Dez/26", AJ1932 &lt;&gt; "", "Abr-Dez/26",
TRUE, "A partir de Junho"
)</f>
        <v>Jan-Dez/26</v>
      </c>
      <c r="G1932" s="10" t="s">
        <v>44</v>
      </c>
      <c r="H1932" s="36" t="s">
        <v>44</v>
      </c>
      <c r="I1932" s="37"/>
      <c r="J1932" s="37"/>
      <c r="K1932" s="37"/>
      <c r="L1932" s="37" t="s">
        <v>208</v>
      </c>
      <c r="M1932" s="37"/>
      <c r="N1932" s="5" t="s">
        <v>42</v>
      </c>
      <c r="O1932" s="5" t="s">
        <v>52</v>
      </c>
      <c r="P1932" s="10" t="s">
        <v>44</v>
      </c>
      <c r="Q1932" s="10" t="s">
        <v>44</v>
      </c>
      <c r="R1932" s="11" t="s">
        <v>44</v>
      </c>
      <c r="S1932" s="11" t="s">
        <v>44</v>
      </c>
      <c r="T1932" s="22"/>
      <c r="U1932" s="22"/>
      <c r="V1932" s="22"/>
      <c r="W1932" s="22"/>
      <c r="X1932" s="22"/>
      <c r="Y1932" s="22"/>
      <c r="Z1932" s="22"/>
      <c r="AA1932" s="22"/>
      <c r="AB1932" s="22"/>
      <c r="AC1932" s="22"/>
      <c r="AD1932" s="22"/>
      <c r="AE1932" s="22"/>
      <c r="AG1932" s="112">
        <v>2767.5701369767726</v>
      </c>
      <c r="AH1932" s="112">
        <v>1.2790550900368234</v>
      </c>
      <c r="AI1932" s="112">
        <v>880.43322458492889</v>
      </c>
      <c r="AJ1932" s="112">
        <v>648.47</v>
      </c>
      <c r="AK1932" s="112"/>
      <c r="AL1932" s="112"/>
      <c r="AM1932" s="112"/>
      <c r="AN1932" s="112"/>
      <c r="AO1932" s="112"/>
      <c r="AP1932" s="112"/>
      <c r="AQ1932" s="112"/>
      <c r="AR1932" s="112"/>
      <c r="AS1932" s="94"/>
      <c r="AT1932" s="95"/>
      <c r="AU1932" s="97"/>
      <c r="AW1932" s="84">
        <f>AG1932</f>
        <v>2767.5701369767726</v>
      </c>
      <c r="AX1932" s="84">
        <f>AH1932</f>
        <v>1.2790550900368234</v>
      </c>
      <c r="AY1932" s="84">
        <f>AI1932</f>
        <v>880.43322458492889</v>
      </c>
      <c r="AZ1932" s="84">
        <f>AJ1932</f>
        <v>648.47</v>
      </c>
      <c r="BA1932" s="84"/>
      <c r="BB1932" s="84"/>
      <c r="BC1932" s="84"/>
      <c r="BD1932" s="84"/>
      <c r="BE1932" s="84"/>
      <c r="BF1932" s="84"/>
      <c r="BG1932" s="84"/>
      <c r="BH1932" s="84"/>
      <c r="BI1932" s="68" cm="1">
        <f t="array" ref="BI1932">IFERROR(INDEX(AW1932:BH1932,1,MATCH(2,1/(AW1932:BH1932&lt;&gt;""))),"")</f>
        <v>648.47</v>
      </c>
      <c r="BJ1932" s="68" cm="1">
        <f t="array" ref="BJ1932">IF(BM1932 = "", "",IFERROR(INDEX(AW1932:BH1932,1,MATCH(2,1/(AW1932:BH1932&lt;&gt;""),1)-1),""))</f>
        <v>880.43322458492889</v>
      </c>
      <c r="BK1932" s="57" cm="1">
        <f t="array" ref="BK1932">IFERROR(INDEX(AW1932:BH1932,1,MATCH(2,1/(AW1932:BH1932&lt;&gt;""),1)),"")</f>
        <v>648.47</v>
      </c>
      <c r="BL1932" s="57" cm="1">
        <f t="array" ref="BL1932">IF(BM1932 = "", "",IFERROR(INDEX(AW1932:BH1932,1,MATCH(2,1/(AW1932:BH1932&lt;&gt;""),1)-1),""))</f>
        <v>880.43322458492889</v>
      </c>
      <c r="BM1932" s="55" cm="1">
        <f t="array" ref="BM1932">IFERROR(
   INDEX($AW$1:$BH$1,
      _xlfn.AGGREGATE(14, 6, COLUMN($AW$1:$BH$1)/(AW1932:BH1932&lt;&gt;""), 2) - COLUMN($AW$1) + 1
   ),
"")</f>
        <v>46082</v>
      </c>
      <c r="BN1932" s="55" cm="1">
        <f t="array" ref="BN1932">IFERROR(INDEX($AW$1:$BH$1,1,MATCH(2,1/(AW1932:BH1932&lt;&gt;""))),"")</f>
        <v>46113</v>
      </c>
      <c r="BO1932" s="53">
        <f ca="1">IFERROR(_xlfn.XLOOKUP(F1932,Apuração!A:A,Apuração!C:C)/_xlfn.XLOOKUP(F1932,Apuração!A:A,Apuração!B:B),0)</f>
        <v>0.41666666666666669</v>
      </c>
      <c r="BP1932" s="53">
        <f ca="1">IFERROR(_xlfn.XLOOKUP(F1932,Apuração!A:A,Apuração!D:D)/_xlfn.XLOOKUP(F1932,Apuração!A:A,Apuração!B:B),0)</f>
        <v>0.33333333333333331</v>
      </c>
      <c r="BQ1932" s="53">
        <f ca="1">IF(BK1932&gt;=BO1932,0,_xlfn.XLOOKUP(F1932,Apuração!A:A,Apuração!B:B)*(BO1932 + (1/_xlfn.XLOOKUP(F1932,Apuração!A:A,Apuração!B:B)) - BK1932))</f>
        <v>0</v>
      </c>
      <c r="BR1932" s="85">
        <f ca="1">IF(BQ1932=0,0,BQ1932*Z1932)</f>
        <v>0</v>
      </c>
      <c r="BS1932" s="53">
        <f ca="1">IFERROR((_xlfn.XLOOKUP(F1932,Apuração!A:A,Apuração!C:C)+1)/_xlfn.XLOOKUP(F1932,Apuração!A:A,Apuração!B:B),0)</f>
        <v>0.5</v>
      </c>
    </row>
    <row r="1933" spans="1:71" ht="25.95" hidden="1" customHeight="1" x14ac:dyDescent="0.3">
      <c r="A1933" s="3" t="s">
        <v>33</v>
      </c>
      <c r="B1933" s="4" t="s">
        <v>34</v>
      </c>
      <c r="C1933" s="5" t="s">
        <v>216</v>
      </c>
      <c r="D1933" s="5" t="s">
        <v>36</v>
      </c>
      <c r="E1933" s="4" t="s">
        <v>80</v>
      </c>
      <c r="F1933" s="4" t="str" cm="1">
        <f t="array" ref="F1933">_xlfn.IFS(
AG1933 &lt;&gt; "", "Jan-Dez/26",
AH1933 &lt;&gt; "", "Fev-Dez/26",
AI1933 &lt;&gt; "", "Mar-Dez/26", AJ1933 &lt;&gt; "", "Abr-Dez/26",
TRUE, "A partir de Junho"
)</f>
        <v>Jan-Dez/26</v>
      </c>
      <c r="G1933" s="6" t="s">
        <v>37</v>
      </c>
      <c r="H1933" s="7" t="s">
        <v>38</v>
      </c>
      <c r="I1933" s="8" t="s">
        <v>39</v>
      </c>
      <c r="J1933" s="8" t="str" cm="1">
        <f t="array" aca="1" ref="J1933" ca="1">_xlfn.LET(
  _xlpm.actual_value_month, INDEX(T1933:AE1933, MATCH(DATE(YEAR(TODAY()), MONTH(TODAY()), 1), $T$1:$AE$1, 0)),
  IF(_xlpm.actual_value_month &lt;&gt; "",_xlpm.actual_value_month &amp; " soluções mensais", "")
)</f>
        <v>4 soluções mensais</v>
      </c>
      <c r="K1933" s="8" t="str" cm="1">
        <f t="array" ref="K1933">_xlfn.LET(
    _xlpm.sum_month, SUM(T1933:AE1933),
    IF(_xlpm.sum_month = 0, "", _xlpm.sum_month &amp; " soluções implementadas no ano")
)</f>
        <v>43 soluções implementadas no ano</v>
      </c>
      <c r="L1933" s="9" t="s">
        <v>40</v>
      </c>
      <c r="M1933" s="9" t="s">
        <v>41</v>
      </c>
      <c r="N1933" s="5" t="s">
        <v>42</v>
      </c>
      <c r="O1933" s="5" t="s">
        <v>43</v>
      </c>
      <c r="P1933" s="10" t="s">
        <v>44</v>
      </c>
      <c r="Q1933" s="10" t="s">
        <v>44</v>
      </c>
      <c r="R1933" s="11" t="s">
        <v>45</v>
      </c>
      <c r="S1933" s="11" t="s">
        <v>46</v>
      </c>
      <c r="T1933" s="22">
        <v>1</v>
      </c>
      <c r="U1933" s="22">
        <v>3</v>
      </c>
      <c r="V1933" s="22">
        <v>3</v>
      </c>
      <c r="W1933" s="22">
        <v>4</v>
      </c>
      <c r="X1933" s="22">
        <v>4</v>
      </c>
      <c r="Y1933" s="22">
        <v>4</v>
      </c>
      <c r="Z1933" s="22">
        <v>4</v>
      </c>
      <c r="AA1933" s="22">
        <v>4</v>
      </c>
      <c r="AB1933" s="22">
        <v>4</v>
      </c>
      <c r="AC1933" s="22">
        <v>4</v>
      </c>
      <c r="AD1933" s="22">
        <v>4</v>
      </c>
      <c r="AE1933" s="22">
        <v>4</v>
      </c>
      <c r="AG1933" s="71">
        <v>1</v>
      </c>
      <c r="AH1933" s="71">
        <v>3</v>
      </c>
      <c r="AI1933" s="71">
        <v>3</v>
      </c>
      <c r="AJ1933" s="71">
        <v>26</v>
      </c>
      <c r="AK1933" s="71"/>
      <c r="AL1933" s="71"/>
      <c r="AM1933" s="71"/>
      <c r="AN1933" s="71"/>
      <c r="AO1933" s="71"/>
      <c r="AP1933" s="71"/>
      <c r="AQ1933" s="71"/>
      <c r="AR1933" s="71"/>
      <c r="AS1933" s="94">
        <f ca="1">IF(MONTH(TODAY())=3,SUM(T1933:U1933),IF(MONTH(TODAY())=4,SUM(T1933:V1933),IF(MONTH(TODAY())=5,SUM(T1933:W1933),IF(MONTH(TODAY())=6,SUM(T1933:X1933),IF(MONTH(TODAY())=7,SUM(T1933:Y1933),IF(MONTH(TODAY())=8,SUM(T1933:Z1933),IF(MONTH(TODAY())=9,SUM(T1933:AA1933),IF(MONTH(TODAY())=10,SUM(T1933:AB1933),IF(MONTH(TODAY())=11,SUM(T1933:AC1933),IF(MONTH(TODAY())=12,SUM(T1933:AD1933),IF(MONTH(TODAY())=1,SUM(T1933:AE1933),T1933)))))))))))</f>
        <v>15</v>
      </c>
      <c r="AT1933" s="95">
        <f>SUM(IF(AW1933&lt;1.15,AG1933,1.15*T1933),IF(AX1933&lt;1.15,AH1933,1.15*U1933),IF(AY1933&lt;1.15,AI1933,1.15*V1933),IF(AZ1933&lt;1.15,AJ1933,1.15*W1933),IF(BA1933&lt;1.15,AK1933,1.15*X1933),IF(BB1933&lt;1.15,AL1933,1.15*Y1933),IF(BC1933&lt;1.15,AM1933,1.15*Z1933),IF(BD1933&lt;1.15,AN1933,1.15*AA1933),IF(BE1933&lt;1.15,AO1933,1.15*AB1933),IF(BF1933&lt;1.15,AP1933,1.15*AC1933),IF(BG1933&lt;1.15,AQ1933,1.15*AD1933),IF(BH1933&lt;1.15,AR1933,1.15*AE1933))</f>
        <v>11.6</v>
      </c>
      <c r="AU1933" s="97">
        <f>SUM(AG1933:AR1933)</f>
        <v>33</v>
      </c>
      <c r="AW1933" s="51">
        <f>IFERROR(IF(AG1933="",0,AG1933/T1933),0)</f>
        <v>1</v>
      </c>
      <c r="AX1933" s="51">
        <f>IFERROR(IF(AH1933="",0,AH1933/U1933),0)</f>
        <v>1</v>
      </c>
      <c r="AY1933" s="51">
        <f>IFERROR(IF(AI1933="",0,AI1933/V1933),0)</f>
        <v>1</v>
      </c>
      <c r="AZ1933" s="51">
        <f>IFERROR(IF(AJ1933="",0,AJ1933/W1933),0)</f>
        <v>6.5</v>
      </c>
      <c r="BA1933" s="51"/>
      <c r="BB1933" s="51"/>
      <c r="BC1933" s="51"/>
      <c r="BD1933" s="51"/>
      <c r="BE1933" s="51"/>
      <c r="BF1933" s="51"/>
      <c r="BG1933" s="51"/>
      <c r="BH1933" s="51"/>
      <c r="BI1933" s="65" cm="1">
        <f t="array" ref="BI1933">IFERROR(INDEX(AW1933:BH1933,1,MATCH(2,1/(AW1933:BH1933&lt;&gt;""))),"")</f>
        <v>6.5</v>
      </c>
      <c r="BJ1933" s="68" cm="1">
        <f t="array" ref="BJ1933">IF(BM1933 = "", "",IFERROR(INDEX(AW1933:BH1933,1,MATCH(2,1/(AW1933:BH1933&lt;&gt;""),1)-1),""))</f>
        <v>1</v>
      </c>
      <c r="BK1933" s="58">
        <f>IF((IF(AW1933&gt;=115%,115%,AW1933) + IF(AX1933&gt;=115%,115%,AX1933) + IF(AY1933&gt;=115%,115%,AY1933) + (IF(AZ1933&gt;=115%,115%,AZ1933) + IF(BA1933&gt;=115%,115%,BA1933) + IF(BB1933&gt;=115%,115%,BB1933) + IF(BC1933&gt;=115%,115%,BC1933) + IF(BD1933&gt;=115%,115%,BD1933) + IF(BE1933&gt;=115%,115%,BE1933) + IF(BF1933&gt;=115%,115%,BF1933) + IF(BG1933&gt;=115%,115%,BG1933) + IF(BH1933&gt;=115%,115%,BH1933)))/_xlfn.XLOOKUP(F1933,Apuração!A:A,Apuração!B:B)&gt;=1.15,1.15,((IF(AZ1933&gt;=115%,115%,AZ1933) + IF(AX1933&gt;=115%,115%,AX1933) + IF(AY1933&gt;=115%,115%,AY1933) + (IF(AW1933&gt;=115%,115%,AW1933) + IF(BA1933&gt;=115%,115%,BA1933) + IF(BB1933&gt;=115%,115%,BB1933) + IF(BC1933&gt;=115%,115%,BC1933) + IF(BD1933&gt;=115%,115%,BD1933) + IF(BE1933&gt;=115%,115%,BE1933) + IF(BF1933&gt;=115%,115%,BF1933) + IF(BG1933&gt;=115%,115%,BG1933) + IF(BH1933&gt;=115%,115%,BH1933)))/_xlfn.XLOOKUP(F1933,Apuração!A:A,Apuração!B:B)))</f>
        <v>0.34583333333333338</v>
      </c>
      <c r="BL1933" s="58" cm="1">
        <f t="array" aca="1" ref="BL1933" ca="1">IF(SUM(IFERROR(IF(INDEX(AW1933:INDEX(AW1933:BH1933, MATCH(2, 1/(AW1933:BH1933&lt;&gt;""), 1)-1), ROW(INDIRECT("1:" &amp; MATCH(2, 1/(AW1933:BH1933&lt;&gt;""), 1)-1))) &gt;= 115%, 115%, INDEX(AW1933:INDEX(AW1933:BH1933, MATCH(2, 1/(AW1933:BH1933&lt;&gt;""), 1)-1), ROW(INDIRECT("1:" &amp; MATCH(2, 1/(AW1933:BH1933&lt;&gt;""), 1)-1)))), 0))/_xlfn.XLOOKUP(F1933,Apuração!A:A,Apuração!B:B)&gt;=1.15,1.15,SUM(IFERROR(IF(INDEX(AW1933:INDEX(AW1933:BH1933, MATCH(2, 1/(AW1933:BH1933&lt;&gt;""), 1)-1), ROW(INDIRECT("1:" &amp; MATCH(2, 1/(AW1933:BH1933&lt;&gt;""), 1)-1))) &gt;= 115%, 115%, INDEX(AW1933:INDEX(AW1933:BH1933, MATCH(2, 1/(AW1933:BH1933&lt;&gt;""), 1)-1), ROW(INDIRECT("1:" &amp; MATCH(2, 1/(AW1933:BH1933&lt;&gt;""), 1)-1)))), 0))/_xlfn.XLOOKUP(F1933,Apuração!A:A,Apuração!B:B))</f>
        <v>0.25</v>
      </c>
      <c r="BM1933" s="55" cm="1">
        <f t="array" ref="BM1933">IFERROR(
   INDEX($AW$1:$BH$1,
      _xlfn.AGGREGATE(14, 6, COLUMN($AW$1:$BH$1)/(AW1933:BH1933&lt;&gt;""), 2) - COLUMN($AW$1) + 1
   ),
"")</f>
        <v>46082</v>
      </c>
      <c r="BN1933" s="55" cm="1">
        <f t="array" ref="BN1933">IFERROR(INDEX($AW$1:$BH$1,1,MATCH(2,1/(AW1933:BH1933&lt;&gt;""))),"")</f>
        <v>46113</v>
      </c>
      <c r="BO1933" s="53">
        <f ca="1">IFERROR(_xlfn.XLOOKUP(F1933,Apuração!A:A,Apuração!C:C)/_xlfn.XLOOKUP(F1933,Apuração!A:A,Apuração!B:B),0)</f>
        <v>0.41666666666666669</v>
      </c>
      <c r="BP1933" s="53">
        <f ca="1">IFERROR(_xlfn.XLOOKUP(F1933,Apuração!A:A,Apuração!D:D)/_xlfn.XLOOKUP(F1933,Apuração!A:A,Apuração!B:B),0)</f>
        <v>0.33333333333333331</v>
      </c>
      <c r="BQ1933" s="53">
        <f ca="1">IF(BK1933&gt;=BO1933,0,_xlfn.XLOOKUP(F1933,Apuração!A:A,Apuração!B:B)*(BO1933 + (1/_xlfn.XLOOKUP(F1933,Apuração!A:A,Apuração!B:B)) - BK1933))</f>
        <v>1.8499999999999994</v>
      </c>
      <c r="BR1933" s="85">
        <f ca="1">IF(BQ1933=0,0,BQ1933*Z1933)</f>
        <v>7.3999999999999977</v>
      </c>
      <c r="BS1933" s="53">
        <f ca="1">IFERROR((_xlfn.XLOOKUP(F1933,Apuração!A:A,Apuração!C:C)+1)/_xlfn.XLOOKUP(F1933,Apuração!A:A,Apuração!B:B),0)</f>
        <v>0.5</v>
      </c>
    </row>
    <row r="1934" spans="1:71" ht="25.95" hidden="1" customHeight="1" x14ac:dyDescent="0.3">
      <c r="A1934" s="3" t="s">
        <v>33</v>
      </c>
      <c r="B1934" s="4" t="s">
        <v>34</v>
      </c>
      <c r="C1934" s="5" t="s">
        <v>216</v>
      </c>
      <c r="D1934" s="5" t="s">
        <v>217</v>
      </c>
      <c r="E1934" s="4" t="s">
        <v>80</v>
      </c>
      <c r="F1934" s="4" t="str" cm="1">
        <f t="array" ref="F1934">_xlfn.IFS(
AG1934 &lt;&gt; "", "Jan-Dez/26",
AH1934 &lt;&gt; "", "Fev-Dez/26",
AI1934 &lt;&gt; "", "Mar-Dez/26", AJ1934 &lt;&gt; "", "Abr-Dez/26",
TRUE, "A partir de Junho"
)</f>
        <v>Jan-Dez/26</v>
      </c>
      <c r="G1934" s="6" t="s">
        <v>37</v>
      </c>
      <c r="H1934" s="7" t="s">
        <v>38</v>
      </c>
      <c r="I1934" s="8" t="s">
        <v>39</v>
      </c>
      <c r="J1934" s="8" t="str" cm="1">
        <f t="array" aca="1" ref="J1934" ca="1">_xlfn.LET(
  _xlpm.actual_value_month, INDEX(T1934:AE1934, MATCH(DATE(YEAR(TODAY()), MONTH(TODAY()), 1), $T$1:$AE$1, 0)),
  IF(_xlpm.actual_value_month &lt;&gt; "",_xlpm.actual_value_month &amp; " soluções mensais", "")
)</f>
        <v>1 soluções mensais</v>
      </c>
      <c r="K1934" s="8" t="str" cm="1">
        <f t="array" ref="K1934">_xlfn.LET(
    _xlpm.sum_month, SUM(T1934:AE1934),
    IF(_xlpm.sum_month = 0, "", _xlpm.sum_month &amp; " soluções implementadas no ano")
)</f>
        <v>9 soluções implementadas no ano</v>
      </c>
      <c r="L1934" s="9" t="s">
        <v>40</v>
      </c>
      <c r="M1934" s="9" t="s">
        <v>41</v>
      </c>
      <c r="N1934" s="5" t="s">
        <v>42</v>
      </c>
      <c r="O1934" s="5" t="s">
        <v>43</v>
      </c>
      <c r="P1934" s="10" t="s">
        <v>44</v>
      </c>
      <c r="Q1934" s="10" t="s">
        <v>44</v>
      </c>
      <c r="R1934" s="11" t="s">
        <v>45</v>
      </c>
      <c r="S1934" s="11" t="s">
        <v>46</v>
      </c>
      <c r="T1934" s="22">
        <v>0</v>
      </c>
      <c r="U1934" s="22">
        <v>0</v>
      </c>
      <c r="V1934" s="22">
        <v>0</v>
      </c>
      <c r="W1934" s="22">
        <v>1</v>
      </c>
      <c r="X1934" s="22">
        <v>1</v>
      </c>
      <c r="Y1934" s="22">
        <v>1</v>
      </c>
      <c r="Z1934" s="22">
        <v>1</v>
      </c>
      <c r="AA1934" s="22">
        <v>1</v>
      </c>
      <c r="AB1934" s="22">
        <v>1</v>
      </c>
      <c r="AC1934" s="22">
        <v>1</v>
      </c>
      <c r="AD1934" s="22">
        <v>1</v>
      </c>
      <c r="AE1934" s="22">
        <v>1</v>
      </c>
      <c r="AG1934" s="145">
        <v>0</v>
      </c>
      <c r="AH1934" s="149">
        <v>0</v>
      </c>
      <c r="AI1934" s="149">
        <v>0</v>
      </c>
      <c r="AJ1934" s="149">
        <v>6</v>
      </c>
      <c r="AK1934" s="71"/>
      <c r="AL1934" s="71"/>
      <c r="AM1934" s="71"/>
      <c r="AN1934" s="71"/>
      <c r="AO1934" s="71"/>
      <c r="AP1934" s="71"/>
      <c r="AQ1934" s="71"/>
      <c r="AR1934" s="71"/>
      <c r="AS1934" s="94">
        <f t="shared" ref="AS1934:AS1937" ca="1" si="2220">IF(MONTH(TODAY())=3,SUM(T1934:U1934),IF(MONTH(TODAY())=4,SUM(T1934:V1934),IF(MONTH(TODAY())=5,SUM(T1934:W1934),IF(MONTH(TODAY())=6,SUM(T1934:X1934),IF(MONTH(TODAY())=7,SUM(T1934:Y1934),IF(MONTH(TODAY())=8,SUM(T1934:Z1934),IF(MONTH(TODAY())=9,SUM(T1934:AA1934),IF(MONTH(TODAY())=10,SUM(T1934:AB1934),IF(MONTH(TODAY())=11,SUM(T1934:AC1934),IF(MONTH(TODAY())=12,SUM(T1934:AD1934),IF(MONTH(TODAY())=1,SUM(T1934:AE1934),T1934)))))))))))</f>
        <v>2</v>
      </c>
      <c r="AT1934" s="95">
        <f t="shared" ref="AT1934:AT1937" si="2221">SUM(IF(AW1934&lt;1.15,AG1934,1.15*T1934),IF(AX1934&lt;1.15,AH1934,1.15*U1934),IF(AY1934&lt;1.15,AI1934,1.15*V1934),IF(AZ1934&lt;1.15,AJ1934,1.15*W1934),IF(BA1934&lt;1.15,AK1934,1.15*X1934),IF(BB1934&lt;1.15,AL1934,1.15*Y1934),IF(BC1934&lt;1.15,AM1934,1.15*Z1934),IF(BD1934&lt;1.15,AN1934,1.15*AA1934),IF(BE1934&lt;1.15,AO1934,1.15*AB1934),IF(BF1934&lt;1.15,AP1934,1.15*AC1934),IF(BG1934&lt;1.15,AQ1934,1.15*AD1934),IF(BH1934&lt;1.15,AR1934,1.15*AE1934))</f>
        <v>1.1499999999999999</v>
      </c>
      <c r="AU1934" s="97">
        <f t="shared" ref="AU1934:AU1937" si="2222">SUM(AG1934:AR1934)</f>
        <v>6</v>
      </c>
      <c r="AW1934" s="51">
        <f t="shared" ref="AW1934:AW1937" si="2223">IFERROR(IF(AG1934="",0,AG1934/T1934),0)</f>
        <v>0</v>
      </c>
      <c r="AX1934" s="51">
        <f t="shared" ref="AX1934:AX1937" si="2224">IFERROR(IF(AH1934="",0,AH1934/U1934),0)</f>
        <v>0</v>
      </c>
      <c r="AY1934" s="51">
        <f t="shared" ref="AY1934:AY1937" si="2225">IFERROR(IF(AI1934="",0,AI1934/V1934),0)</f>
        <v>0</v>
      </c>
      <c r="AZ1934" s="51">
        <f t="shared" ref="AZ1934:AZ1937" si="2226">IFERROR(IF(AJ1934="",0,AJ1934/W1934),0)</f>
        <v>6</v>
      </c>
      <c r="BA1934" s="51"/>
      <c r="BB1934" s="51"/>
      <c r="BC1934" s="51"/>
      <c r="BD1934" s="51"/>
      <c r="BE1934" s="51"/>
      <c r="BF1934" s="51"/>
      <c r="BG1934" s="51"/>
      <c r="BH1934" s="51"/>
      <c r="BI1934" s="65" cm="1">
        <f t="array" ref="BI1934">IFERROR(INDEX(AW1934:BH1934,1,MATCH(2,1/(AW1934:BH1934&lt;&gt;""))),"")</f>
        <v>6</v>
      </c>
      <c r="BJ1934" s="68" cm="1">
        <f t="array" ref="BJ1934">IF(BM1934 = "", "",IFERROR(INDEX(AW1934:BH1934,1,MATCH(2,1/(AW1934:BH1934&lt;&gt;""),1)-1),""))</f>
        <v>0</v>
      </c>
      <c r="BK1934" s="58">
        <f>IF((IF(AW1934&gt;=115%,115%,AW1934) + IF(AX1934&gt;=115%,115%,AX1934) + IF(AY1934&gt;=115%,115%,AY1934) + (IF(AZ1934&gt;=115%,115%,AZ1934) + IF(BA1934&gt;=115%,115%,BA1934) + IF(BB1934&gt;=115%,115%,BB1934) + IF(BC1934&gt;=115%,115%,BC1934) + IF(BD1934&gt;=115%,115%,BD1934) + IF(BE1934&gt;=115%,115%,BE1934) + IF(BF1934&gt;=115%,115%,BF1934) + IF(BG1934&gt;=115%,115%,BG1934) + IF(BH1934&gt;=115%,115%,BH1934)))/_xlfn.XLOOKUP(F1934,Apuração!A:A,Apuração!B:B)&gt;=1.15,1.15,((IF(AZ1934&gt;=115%,115%,AZ1934) + IF(AX1934&gt;=115%,115%,AX1934) + IF(AY1934&gt;=115%,115%,AY1934) + (IF(AW1934&gt;=115%,115%,AW1934) + IF(BA1934&gt;=115%,115%,BA1934) + IF(BB1934&gt;=115%,115%,BB1934) + IF(BC1934&gt;=115%,115%,BC1934) + IF(BD1934&gt;=115%,115%,BD1934) + IF(BE1934&gt;=115%,115%,BE1934) + IF(BF1934&gt;=115%,115%,BF1934) + IF(BG1934&gt;=115%,115%,BG1934) + IF(BH1934&gt;=115%,115%,BH1934)))/_xlfn.XLOOKUP(F1934,Apuração!A:A,Apuração!B:B)))</f>
        <v>9.5833333333333326E-2</v>
      </c>
      <c r="BL1934" s="58" cm="1">
        <f t="array" aca="1" ref="BL1934" ca="1">IF(SUM(IFERROR(IF(INDEX(AW1934:INDEX(AW1934:BH1934, MATCH(2, 1/(AW1934:BH1934&lt;&gt;""), 1)-1), ROW(INDIRECT("1:" &amp; MATCH(2, 1/(AW1934:BH1934&lt;&gt;""), 1)-1))) &gt;= 115%, 115%, INDEX(AW1934:INDEX(AW1934:BH1934, MATCH(2, 1/(AW1934:BH1934&lt;&gt;""), 1)-1), ROW(INDIRECT("1:" &amp; MATCH(2, 1/(AW1934:BH1934&lt;&gt;""), 1)-1)))), 0))/_xlfn.XLOOKUP(F1934,Apuração!A:A,Apuração!B:B)&gt;=1.15,1.15,SUM(IFERROR(IF(INDEX(AW1934:INDEX(AW1934:BH1934, MATCH(2, 1/(AW1934:BH1934&lt;&gt;""), 1)-1), ROW(INDIRECT("1:" &amp; MATCH(2, 1/(AW1934:BH1934&lt;&gt;""), 1)-1))) &gt;= 115%, 115%, INDEX(AW1934:INDEX(AW1934:BH1934, MATCH(2, 1/(AW1934:BH1934&lt;&gt;""), 1)-1), ROW(INDIRECT("1:" &amp; MATCH(2, 1/(AW1934:BH1934&lt;&gt;""), 1)-1)))), 0))/_xlfn.XLOOKUP(F1934,Apuração!A:A,Apuração!B:B))</f>
        <v>0</v>
      </c>
      <c r="BM1934" s="55" cm="1">
        <f t="array" ref="BM1934">IFERROR(
   INDEX($AW$1:$BH$1,
      _xlfn.AGGREGATE(14, 6, COLUMN($AW$1:$BH$1)/(AW1934:BH1934&lt;&gt;""), 2) - COLUMN($AW$1) + 1
   ),
"")</f>
        <v>46082</v>
      </c>
      <c r="BN1934" s="55" cm="1">
        <f t="array" ref="BN1934">IFERROR(INDEX($AW$1:$BH$1,1,MATCH(2,1/(AW1934:BH1934&lt;&gt;""))),"")</f>
        <v>46113</v>
      </c>
      <c r="BO1934" s="53">
        <f ca="1">IFERROR(_xlfn.XLOOKUP(F1934,Apuração!A:A,Apuração!C:C)/_xlfn.XLOOKUP(F1934,Apuração!A:A,Apuração!B:B),0)</f>
        <v>0.41666666666666669</v>
      </c>
      <c r="BP1934" s="53">
        <f ca="1">IFERROR(_xlfn.XLOOKUP(F1934,Apuração!A:A,Apuração!D:D)/_xlfn.XLOOKUP(F1934,Apuração!A:A,Apuração!B:B),0)</f>
        <v>0.33333333333333331</v>
      </c>
      <c r="BQ1934" s="53">
        <f ca="1">IF(BK1934&gt;=BO1934,0,_xlfn.XLOOKUP(F1934,Apuração!A:A,Apuração!B:B)*(BO1934 + (1/_xlfn.XLOOKUP(F1934,Apuração!A:A,Apuração!B:B)) - BK1934))</f>
        <v>4.8499999999999996</v>
      </c>
      <c r="BR1934" s="85">
        <f t="shared" ref="BR1934:BR1937" ca="1" si="2227">IF(BQ1934=0,0,BQ1934*Z1934)</f>
        <v>4.8499999999999996</v>
      </c>
      <c r="BS1934" s="53">
        <f ca="1">IFERROR((_xlfn.XLOOKUP(F1934,Apuração!A:A,Apuração!C:C)+1)/_xlfn.XLOOKUP(F1934,Apuração!A:A,Apuração!B:B),0)</f>
        <v>0.5</v>
      </c>
    </row>
    <row r="1935" spans="1:71" ht="25.95" hidden="1" customHeight="1" x14ac:dyDescent="0.3">
      <c r="A1935" s="3" t="s">
        <v>33</v>
      </c>
      <c r="B1935" s="4" t="s">
        <v>34</v>
      </c>
      <c r="C1935" s="5" t="s">
        <v>216</v>
      </c>
      <c r="D1935" s="5" t="s">
        <v>103</v>
      </c>
      <c r="E1935" s="4" t="s">
        <v>80</v>
      </c>
      <c r="F1935" s="4" t="str" cm="1">
        <f t="array" ref="F1935">_xlfn.IFS(
AG1935 &lt;&gt; "", "Jan-Dez/26",
AH1935 &lt;&gt; "", "Fev-Dez/26",
AI1935 &lt;&gt; "", "Mar-Dez/26", AJ1935 &lt;&gt; "", "Abr-Dez/26",
TRUE, "A partir de Junho"
)</f>
        <v>Jan-Dez/26</v>
      </c>
      <c r="G1935" s="6" t="s">
        <v>37</v>
      </c>
      <c r="H1935" s="7" t="s">
        <v>38</v>
      </c>
      <c r="I1935" s="8" t="s">
        <v>39</v>
      </c>
      <c r="J1935" s="8" t="str" cm="1">
        <f t="array" aca="1" ref="J1935" ca="1">_xlfn.LET(
  _xlpm.actual_value_month, INDEX(T1935:AE1935, MATCH(DATE(YEAR(TODAY()), MONTH(TODAY()), 1), $T$1:$AE$1, 0)),
  IF(_xlpm.actual_value_month &lt;&gt; "",_xlpm.actual_value_month &amp; " soluções mensais", "")
)</f>
        <v>1 soluções mensais</v>
      </c>
      <c r="K1935" s="8" t="str" cm="1">
        <f t="array" ref="K1935">_xlfn.LET(
    _xlpm.sum_month, SUM(T1935:AE1935),
    IF(_xlpm.sum_month = 0, "", _xlpm.sum_month &amp; " soluções implementadas no ano")
)</f>
        <v>16 soluções implementadas no ano</v>
      </c>
      <c r="L1935" s="9" t="s">
        <v>40</v>
      </c>
      <c r="M1935" s="9" t="s">
        <v>41</v>
      </c>
      <c r="N1935" s="5" t="s">
        <v>42</v>
      </c>
      <c r="O1935" s="5" t="s">
        <v>43</v>
      </c>
      <c r="P1935" s="10" t="s">
        <v>44</v>
      </c>
      <c r="Q1935" s="10" t="s">
        <v>44</v>
      </c>
      <c r="R1935" s="11" t="s">
        <v>45</v>
      </c>
      <c r="S1935" s="11" t="s">
        <v>46</v>
      </c>
      <c r="T1935" s="22">
        <v>1</v>
      </c>
      <c r="U1935" s="22">
        <v>3</v>
      </c>
      <c r="V1935" s="22">
        <v>3</v>
      </c>
      <c r="W1935" s="22">
        <v>1</v>
      </c>
      <c r="X1935" s="22">
        <v>1</v>
      </c>
      <c r="Y1935" s="22">
        <v>1</v>
      </c>
      <c r="Z1935" s="22">
        <v>1</v>
      </c>
      <c r="AA1935" s="22">
        <v>1</v>
      </c>
      <c r="AB1935" s="22">
        <v>1</v>
      </c>
      <c r="AC1935" s="22">
        <v>1</v>
      </c>
      <c r="AD1935" s="22">
        <v>1</v>
      </c>
      <c r="AE1935" s="22">
        <v>1</v>
      </c>
      <c r="AG1935" s="146">
        <v>1</v>
      </c>
      <c r="AH1935" s="150">
        <v>3</v>
      </c>
      <c r="AI1935" s="150">
        <v>3</v>
      </c>
      <c r="AJ1935" s="150">
        <v>10</v>
      </c>
      <c r="AK1935" s="71"/>
      <c r="AL1935" s="71"/>
      <c r="AM1935" s="71"/>
      <c r="AN1935" s="71"/>
      <c r="AO1935" s="71"/>
      <c r="AP1935" s="71"/>
      <c r="AQ1935" s="71"/>
      <c r="AR1935" s="71"/>
      <c r="AS1935" s="94">
        <f t="shared" ca="1" si="2220"/>
        <v>9</v>
      </c>
      <c r="AT1935" s="95">
        <f t="shared" si="2221"/>
        <v>8.15</v>
      </c>
      <c r="AU1935" s="97">
        <f t="shared" si="2222"/>
        <v>17</v>
      </c>
      <c r="AW1935" s="51">
        <f t="shared" si="2223"/>
        <v>1</v>
      </c>
      <c r="AX1935" s="51">
        <f t="shared" si="2224"/>
        <v>1</v>
      </c>
      <c r="AY1935" s="51">
        <f t="shared" si="2225"/>
        <v>1</v>
      </c>
      <c r="AZ1935" s="51">
        <f t="shared" si="2226"/>
        <v>10</v>
      </c>
      <c r="BA1935" s="51"/>
      <c r="BB1935" s="51"/>
      <c r="BC1935" s="51"/>
      <c r="BD1935" s="51"/>
      <c r="BE1935" s="51"/>
      <c r="BF1935" s="51"/>
      <c r="BG1935" s="51"/>
      <c r="BH1935" s="51"/>
      <c r="BI1935" s="65" cm="1">
        <f t="array" ref="BI1935">IFERROR(INDEX(AW1935:BH1935,1,MATCH(2,1/(AW1935:BH1935&lt;&gt;""))),"")</f>
        <v>10</v>
      </c>
      <c r="BJ1935" s="68" cm="1">
        <f t="array" ref="BJ1935">IF(BM1935 = "", "",IFERROR(INDEX(AW1935:BH1935,1,MATCH(2,1/(AW1935:BH1935&lt;&gt;""),1)-1),""))</f>
        <v>1</v>
      </c>
      <c r="BK1935" s="58">
        <f>IF((IF(AW1935&gt;=115%,115%,AW1935) + IF(AX1935&gt;=115%,115%,AX1935) + IF(AY1935&gt;=115%,115%,AY1935) + (IF(AZ1935&gt;=115%,115%,AZ1935) + IF(BA1935&gt;=115%,115%,BA1935) + IF(BB1935&gt;=115%,115%,BB1935) + IF(BC1935&gt;=115%,115%,BC1935) + IF(BD1935&gt;=115%,115%,BD1935) + IF(BE1935&gt;=115%,115%,BE1935) + IF(BF1935&gt;=115%,115%,BF1935) + IF(BG1935&gt;=115%,115%,BG1935) + IF(BH1935&gt;=115%,115%,BH1935)))/_xlfn.XLOOKUP(F1935,Apuração!A:A,Apuração!B:B)&gt;=1.15,1.15,((IF(AZ1935&gt;=115%,115%,AZ1935) + IF(AX1935&gt;=115%,115%,AX1935) + IF(AY1935&gt;=115%,115%,AY1935) + (IF(AW1935&gt;=115%,115%,AW1935) + IF(BA1935&gt;=115%,115%,BA1935) + IF(BB1935&gt;=115%,115%,BB1935) + IF(BC1935&gt;=115%,115%,BC1935) + IF(BD1935&gt;=115%,115%,BD1935) + IF(BE1935&gt;=115%,115%,BE1935) + IF(BF1935&gt;=115%,115%,BF1935) + IF(BG1935&gt;=115%,115%,BG1935) + IF(BH1935&gt;=115%,115%,BH1935)))/_xlfn.XLOOKUP(F1935,Apuração!A:A,Apuração!B:B)))</f>
        <v>0.34583333333333338</v>
      </c>
      <c r="BL1935" s="58" cm="1">
        <f t="array" aca="1" ref="BL1935" ca="1">IF(SUM(IFERROR(IF(INDEX(AW1935:INDEX(AW1935:BH1935, MATCH(2, 1/(AW1935:BH1935&lt;&gt;""), 1)-1), ROW(INDIRECT("1:" &amp; MATCH(2, 1/(AW1935:BH1935&lt;&gt;""), 1)-1))) &gt;= 115%, 115%, INDEX(AW1935:INDEX(AW1935:BH1935, MATCH(2, 1/(AW1935:BH1935&lt;&gt;""), 1)-1), ROW(INDIRECT("1:" &amp; MATCH(2, 1/(AW1935:BH1935&lt;&gt;""), 1)-1)))), 0))/_xlfn.XLOOKUP(F1935,Apuração!A:A,Apuração!B:B)&gt;=1.15,1.15,SUM(IFERROR(IF(INDEX(AW1935:INDEX(AW1935:BH1935, MATCH(2, 1/(AW1935:BH1935&lt;&gt;""), 1)-1), ROW(INDIRECT("1:" &amp; MATCH(2, 1/(AW1935:BH1935&lt;&gt;""), 1)-1))) &gt;= 115%, 115%, INDEX(AW1935:INDEX(AW1935:BH1935, MATCH(2, 1/(AW1935:BH1935&lt;&gt;""), 1)-1), ROW(INDIRECT("1:" &amp; MATCH(2, 1/(AW1935:BH1935&lt;&gt;""), 1)-1)))), 0))/_xlfn.XLOOKUP(F1935,Apuração!A:A,Apuração!B:B))</f>
        <v>0.25</v>
      </c>
      <c r="BM1935" s="55" cm="1">
        <f t="array" ref="BM1935">IFERROR(
   INDEX($AW$1:$BH$1,
      _xlfn.AGGREGATE(14, 6, COLUMN($AW$1:$BH$1)/(AW1935:BH1935&lt;&gt;""), 2) - COLUMN($AW$1) + 1
   ),
"")</f>
        <v>46082</v>
      </c>
      <c r="BN1935" s="55" cm="1">
        <f t="array" ref="BN1935">IFERROR(INDEX($AW$1:$BH$1,1,MATCH(2,1/(AW1935:BH1935&lt;&gt;""))),"")</f>
        <v>46113</v>
      </c>
      <c r="BO1935" s="53">
        <f ca="1">IFERROR(_xlfn.XLOOKUP(F1935,Apuração!A:A,Apuração!C:C)/_xlfn.XLOOKUP(F1935,Apuração!A:A,Apuração!B:B),0)</f>
        <v>0.41666666666666669</v>
      </c>
      <c r="BP1935" s="53">
        <f ca="1">IFERROR(_xlfn.XLOOKUP(F1935,Apuração!A:A,Apuração!D:D)/_xlfn.XLOOKUP(F1935,Apuração!A:A,Apuração!B:B),0)</f>
        <v>0.33333333333333331</v>
      </c>
      <c r="BQ1935" s="53">
        <f ca="1">IF(BK1935&gt;=BO1935,0,_xlfn.XLOOKUP(F1935,Apuração!A:A,Apuração!B:B)*(BO1935 + (1/_xlfn.XLOOKUP(F1935,Apuração!A:A,Apuração!B:B)) - BK1935))</f>
        <v>1.8499999999999994</v>
      </c>
      <c r="BR1935" s="85">
        <f t="shared" ca="1" si="2227"/>
        <v>1.8499999999999994</v>
      </c>
      <c r="BS1935" s="53">
        <f ca="1">IFERROR((_xlfn.XLOOKUP(F1935,Apuração!A:A,Apuração!C:C)+1)/_xlfn.XLOOKUP(F1935,Apuração!A:A,Apuração!B:B),0)</f>
        <v>0.5</v>
      </c>
    </row>
    <row r="1936" spans="1:71" ht="25.95" hidden="1" customHeight="1" x14ac:dyDescent="0.3">
      <c r="A1936" s="3" t="s">
        <v>33</v>
      </c>
      <c r="B1936" s="4" t="s">
        <v>34</v>
      </c>
      <c r="C1936" s="5" t="s">
        <v>216</v>
      </c>
      <c r="D1936" s="5" t="s">
        <v>218</v>
      </c>
      <c r="E1936" s="4" t="s">
        <v>80</v>
      </c>
      <c r="F1936" s="4" t="str" cm="1">
        <f t="array" ref="F1936">_xlfn.IFS(
AG1936 &lt;&gt; "", "Jan-Dez/26",
AH1936 &lt;&gt; "", "Fev-Dez/26",
AI1936 &lt;&gt; "", "Mar-Dez/26", AJ1936 &lt;&gt; "", "Abr-Dez/26",
TRUE, "A partir de Junho"
)</f>
        <v>Jan-Dez/26</v>
      </c>
      <c r="G1936" s="6" t="s">
        <v>37</v>
      </c>
      <c r="H1936" s="7" t="s">
        <v>38</v>
      </c>
      <c r="I1936" s="8" t="s">
        <v>39</v>
      </c>
      <c r="J1936" s="8" t="str" cm="1">
        <f t="array" aca="1" ref="J1936" ca="1">_xlfn.LET(
  _xlpm.actual_value_month, INDEX(T1936:AE1936, MATCH(DATE(YEAR(TODAY()), MONTH(TODAY()), 1), $T$1:$AE$1, 0)),
  IF(_xlpm.actual_value_month &lt;&gt; "",_xlpm.actual_value_month &amp; " soluções mensais", "")
)</f>
        <v>1 soluções mensais</v>
      </c>
      <c r="K1936" s="8" t="str" cm="1">
        <f t="array" ref="K1936">_xlfn.LET(
    _xlpm.sum_month, SUM(T1936:AE1936),
    IF(_xlpm.sum_month = 0, "", _xlpm.sum_month &amp; " soluções implementadas no ano")
)</f>
        <v>9 soluções implementadas no ano</v>
      </c>
      <c r="L1936" s="9" t="s">
        <v>40</v>
      </c>
      <c r="M1936" s="9" t="s">
        <v>41</v>
      </c>
      <c r="N1936" s="5" t="s">
        <v>42</v>
      </c>
      <c r="O1936" s="5" t="s">
        <v>43</v>
      </c>
      <c r="P1936" s="10" t="s">
        <v>44</v>
      </c>
      <c r="Q1936" s="10" t="s">
        <v>44</v>
      </c>
      <c r="R1936" s="11" t="s">
        <v>45</v>
      </c>
      <c r="S1936" s="11" t="s">
        <v>46</v>
      </c>
      <c r="T1936" s="22">
        <v>0</v>
      </c>
      <c r="U1936" s="22">
        <v>0</v>
      </c>
      <c r="V1936" s="22">
        <v>0</v>
      </c>
      <c r="W1936" s="22">
        <v>1</v>
      </c>
      <c r="X1936" s="22">
        <v>1</v>
      </c>
      <c r="Y1936" s="22">
        <v>1</v>
      </c>
      <c r="Z1936" s="22">
        <v>1</v>
      </c>
      <c r="AA1936" s="22">
        <v>1</v>
      </c>
      <c r="AB1936" s="22">
        <v>1</v>
      </c>
      <c r="AC1936" s="22">
        <v>1</v>
      </c>
      <c r="AD1936" s="22">
        <v>1</v>
      </c>
      <c r="AE1936" s="22">
        <v>1</v>
      </c>
      <c r="AG1936" s="146">
        <v>0</v>
      </c>
      <c r="AH1936" s="150">
        <v>0</v>
      </c>
      <c r="AI1936" s="150">
        <v>0</v>
      </c>
      <c r="AJ1936" s="150">
        <v>6</v>
      </c>
      <c r="AK1936" s="71"/>
      <c r="AL1936" s="71"/>
      <c r="AM1936" s="71"/>
      <c r="AN1936" s="71"/>
      <c r="AO1936" s="71"/>
      <c r="AP1936" s="71"/>
      <c r="AQ1936" s="71"/>
      <c r="AR1936" s="71"/>
      <c r="AS1936" s="94">
        <f t="shared" ca="1" si="2220"/>
        <v>2</v>
      </c>
      <c r="AT1936" s="95">
        <f t="shared" si="2221"/>
        <v>1.1499999999999999</v>
      </c>
      <c r="AU1936" s="97">
        <f t="shared" si="2222"/>
        <v>6</v>
      </c>
      <c r="AW1936" s="51">
        <f t="shared" si="2223"/>
        <v>0</v>
      </c>
      <c r="AX1936" s="51">
        <f t="shared" si="2224"/>
        <v>0</v>
      </c>
      <c r="AY1936" s="51">
        <f t="shared" si="2225"/>
        <v>0</v>
      </c>
      <c r="AZ1936" s="51">
        <f t="shared" si="2226"/>
        <v>6</v>
      </c>
      <c r="BA1936" s="51"/>
      <c r="BB1936" s="51"/>
      <c r="BC1936" s="51"/>
      <c r="BD1936" s="51"/>
      <c r="BE1936" s="51"/>
      <c r="BF1936" s="51"/>
      <c r="BG1936" s="51"/>
      <c r="BH1936" s="51"/>
      <c r="BI1936" s="65" cm="1">
        <f t="array" ref="BI1936">IFERROR(INDEX(AW1936:BH1936,1,MATCH(2,1/(AW1936:BH1936&lt;&gt;""))),"")</f>
        <v>6</v>
      </c>
      <c r="BJ1936" s="68" cm="1">
        <f t="array" ref="BJ1936">IF(BM1936 = "", "",IFERROR(INDEX(AW1936:BH1936,1,MATCH(2,1/(AW1936:BH1936&lt;&gt;""),1)-1),""))</f>
        <v>0</v>
      </c>
      <c r="BK1936" s="58">
        <f>IF((IF(AW1936&gt;=115%,115%,AW1936) + IF(AX1936&gt;=115%,115%,AX1936) + IF(AY1936&gt;=115%,115%,AY1936) + (IF(AZ1936&gt;=115%,115%,AZ1936) + IF(BA1936&gt;=115%,115%,BA1936) + IF(BB1936&gt;=115%,115%,BB1936) + IF(BC1936&gt;=115%,115%,BC1936) + IF(BD1936&gt;=115%,115%,BD1936) + IF(BE1936&gt;=115%,115%,BE1936) + IF(BF1936&gt;=115%,115%,BF1936) + IF(BG1936&gt;=115%,115%,BG1936) + IF(BH1936&gt;=115%,115%,BH1936)))/_xlfn.XLOOKUP(F1936,Apuração!A:A,Apuração!B:B)&gt;=1.15,1.15,((IF(AZ1936&gt;=115%,115%,AZ1936) + IF(AX1936&gt;=115%,115%,AX1936) + IF(AY1936&gt;=115%,115%,AY1936) + (IF(AW1936&gt;=115%,115%,AW1936) + IF(BA1936&gt;=115%,115%,BA1936) + IF(BB1936&gt;=115%,115%,BB1936) + IF(BC1936&gt;=115%,115%,BC1936) + IF(BD1936&gt;=115%,115%,BD1936) + IF(BE1936&gt;=115%,115%,BE1936) + IF(BF1936&gt;=115%,115%,BF1936) + IF(BG1936&gt;=115%,115%,BG1936) + IF(BH1936&gt;=115%,115%,BH1936)))/_xlfn.XLOOKUP(F1936,Apuração!A:A,Apuração!B:B)))</f>
        <v>9.5833333333333326E-2</v>
      </c>
      <c r="BL1936" s="58" cm="1">
        <f t="array" aca="1" ref="BL1936" ca="1">IF(SUM(IFERROR(IF(INDEX(AW1936:INDEX(AW1936:BH1936, MATCH(2, 1/(AW1936:BH1936&lt;&gt;""), 1)-1), ROW(INDIRECT("1:" &amp; MATCH(2, 1/(AW1936:BH1936&lt;&gt;""), 1)-1))) &gt;= 115%, 115%, INDEX(AW1936:INDEX(AW1936:BH1936, MATCH(2, 1/(AW1936:BH1936&lt;&gt;""), 1)-1), ROW(INDIRECT("1:" &amp; MATCH(2, 1/(AW1936:BH1936&lt;&gt;""), 1)-1)))), 0))/_xlfn.XLOOKUP(F1936,Apuração!A:A,Apuração!B:B)&gt;=1.15,1.15,SUM(IFERROR(IF(INDEX(AW1936:INDEX(AW1936:BH1936, MATCH(2, 1/(AW1936:BH1936&lt;&gt;""), 1)-1), ROW(INDIRECT("1:" &amp; MATCH(2, 1/(AW1936:BH1936&lt;&gt;""), 1)-1))) &gt;= 115%, 115%, INDEX(AW1936:INDEX(AW1936:BH1936, MATCH(2, 1/(AW1936:BH1936&lt;&gt;""), 1)-1), ROW(INDIRECT("1:" &amp; MATCH(2, 1/(AW1936:BH1936&lt;&gt;""), 1)-1)))), 0))/_xlfn.XLOOKUP(F1936,Apuração!A:A,Apuração!B:B))</f>
        <v>0</v>
      </c>
      <c r="BM1936" s="55" cm="1">
        <f t="array" ref="BM1936">IFERROR(
   INDEX($AW$1:$BH$1,
      _xlfn.AGGREGATE(14, 6, COLUMN($AW$1:$BH$1)/(AW1936:BH1936&lt;&gt;""), 2) - COLUMN($AW$1) + 1
   ),
"")</f>
        <v>46082</v>
      </c>
      <c r="BN1936" s="55" cm="1">
        <f t="array" ref="BN1936">IFERROR(INDEX($AW$1:$BH$1,1,MATCH(2,1/(AW1936:BH1936&lt;&gt;""))),"")</f>
        <v>46113</v>
      </c>
      <c r="BO1936" s="53">
        <f ca="1">IFERROR(_xlfn.XLOOKUP(F1936,Apuração!A:A,Apuração!C:C)/_xlfn.XLOOKUP(F1936,Apuração!A:A,Apuração!B:B),0)</f>
        <v>0.41666666666666669</v>
      </c>
      <c r="BP1936" s="53">
        <f ca="1">IFERROR(_xlfn.XLOOKUP(F1936,Apuração!A:A,Apuração!D:D)/_xlfn.XLOOKUP(F1936,Apuração!A:A,Apuração!B:B),0)</f>
        <v>0.33333333333333331</v>
      </c>
      <c r="BQ1936" s="53">
        <f ca="1">IF(BK1936&gt;=BO1936,0,_xlfn.XLOOKUP(F1936,Apuração!A:A,Apuração!B:B)*(BO1936 + (1/_xlfn.XLOOKUP(F1936,Apuração!A:A,Apuração!B:B)) - BK1936))</f>
        <v>4.8499999999999996</v>
      </c>
      <c r="BR1936" s="85">
        <f t="shared" ca="1" si="2227"/>
        <v>4.8499999999999996</v>
      </c>
      <c r="BS1936" s="53">
        <f ca="1">IFERROR((_xlfn.XLOOKUP(F1936,Apuração!A:A,Apuração!C:C)+1)/_xlfn.XLOOKUP(F1936,Apuração!A:A,Apuração!B:B),0)</f>
        <v>0.5</v>
      </c>
    </row>
    <row r="1937" spans="1:71" ht="25.95" hidden="1" customHeight="1" x14ac:dyDescent="0.3">
      <c r="A1937" s="3" t="s">
        <v>33</v>
      </c>
      <c r="B1937" s="4" t="s">
        <v>34</v>
      </c>
      <c r="C1937" s="5" t="s">
        <v>216</v>
      </c>
      <c r="D1937" s="5" t="s">
        <v>219</v>
      </c>
      <c r="E1937" s="4" t="s">
        <v>80</v>
      </c>
      <c r="F1937" s="4" t="str" cm="1">
        <f t="array" ref="F1937">_xlfn.IFS(
AG1937 &lt;&gt; "", "Jan-Dez/26",
AH1937 &lt;&gt; "", "Fev-Dez/26",
AI1937 &lt;&gt; "", "Mar-Dez/26", AJ1937 &lt;&gt; "", "Abr-Dez/26",
TRUE, "A partir de Junho"
)</f>
        <v>Jan-Dez/26</v>
      </c>
      <c r="G1937" s="6" t="s">
        <v>37</v>
      </c>
      <c r="H1937" s="7" t="s">
        <v>38</v>
      </c>
      <c r="I1937" s="8" t="s">
        <v>39</v>
      </c>
      <c r="J1937" s="8" t="str" cm="1">
        <f t="array" aca="1" ref="J1937" ca="1">_xlfn.LET(
  _xlpm.actual_value_month, INDEX(T1937:AE1937, MATCH(DATE(YEAR(TODAY()), MONTH(TODAY()), 1), $T$1:$AE$1, 0)),
  IF(_xlpm.actual_value_month &lt;&gt; "",_xlpm.actual_value_month &amp; " soluções mensais", "")
)</f>
        <v>1 soluções mensais</v>
      </c>
      <c r="K1937" s="8" t="str" cm="1">
        <f t="array" ref="K1937">_xlfn.LET(
    _xlpm.sum_month, SUM(T1937:AE1937),
    IF(_xlpm.sum_month = 0, "", _xlpm.sum_month &amp; " soluções implementadas no ano")
)</f>
        <v>9 soluções implementadas no ano</v>
      </c>
      <c r="L1937" s="9" t="s">
        <v>40</v>
      </c>
      <c r="M1937" s="9" t="s">
        <v>41</v>
      </c>
      <c r="N1937" s="5" t="s">
        <v>42</v>
      </c>
      <c r="O1937" s="5" t="s">
        <v>43</v>
      </c>
      <c r="P1937" s="10" t="s">
        <v>44</v>
      </c>
      <c r="Q1937" s="10" t="s">
        <v>44</v>
      </c>
      <c r="R1937" s="11" t="s">
        <v>45</v>
      </c>
      <c r="S1937" s="11" t="s">
        <v>46</v>
      </c>
      <c r="T1937" s="22">
        <v>0</v>
      </c>
      <c r="U1937" s="22">
        <v>0</v>
      </c>
      <c r="V1937" s="22">
        <v>0</v>
      </c>
      <c r="W1937" s="22">
        <v>1</v>
      </c>
      <c r="X1937" s="22">
        <v>1</v>
      </c>
      <c r="Y1937" s="22">
        <v>1</v>
      </c>
      <c r="Z1937" s="22">
        <v>1</v>
      </c>
      <c r="AA1937" s="22">
        <v>1</v>
      </c>
      <c r="AB1937" s="22">
        <v>1</v>
      </c>
      <c r="AC1937" s="22">
        <v>1</v>
      </c>
      <c r="AD1937" s="22">
        <v>1</v>
      </c>
      <c r="AE1937" s="22">
        <v>1</v>
      </c>
      <c r="AG1937" s="146">
        <v>0</v>
      </c>
      <c r="AH1937" s="150">
        <v>0</v>
      </c>
      <c r="AI1937" s="150">
        <v>0</v>
      </c>
      <c r="AJ1937" s="150">
        <v>4</v>
      </c>
      <c r="AK1937" s="71"/>
      <c r="AL1937" s="71"/>
      <c r="AM1937" s="71"/>
      <c r="AN1937" s="71"/>
      <c r="AO1937" s="71"/>
      <c r="AP1937" s="71"/>
      <c r="AQ1937" s="71"/>
      <c r="AR1937" s="71"/>
      <c r="AS1937" s="94">
        <f t="shared" ca="1" si="2220"/>
        <v>2</v>
      </c>
      <c r="AT1937" s="95">
        <f t="shared" si="2221"/>
        <v>1.1499999999999999</v>
      </c>
      <c r="AU1937" s="97">
        <f t="shared" si="2222"/>
        <v>4</v>
      </c>
      <c r="AW1937" s="51">
        <f t="shared" si="2223"/>
        <v>0</v>
      </c>
      <c r="AX1937" s="51">
        <f t="shared" si="2224"/>
        <v>0</v>
      </c>
      <c r="AY1937" s="51">
        <f t="shared" si="2225"/>
        <v>0</v>
      </c>
      <c r="AZ1937" s="51">
        <f t="shared" si="2226"/>
        <v>4</v>
      </c>
      <c r="BA1937" s="51"/>
      <c r="BB1937" s="51"/>
      <c r="BC1937" s="51"/>
      <c r="BD1937" s="51"/>
      <c r="BE1937" s="51"/>
      <c r="BF1937" s="51"/>
      <c r="BG1937" s="51"/>
      <c r="BH1937" s="51"/>
      <c r="BI1937" s="65" cm="1">
        <f t="array" ref="BI1937">IFERROR(INDEX(AW1937:BH1937,1,MATCH(2,1/(AW1937:BH1937&lt;&gt;""))),"")</f>
        <v>4</v>
      </c>
      <c r="BJ1937" s="68" cm="1">
        <f t="array" ref="BJ1937">IF(BM1937 = "", "",IFERROR(INDEX(AW1937:BH1937,1,MATCH(2,1/(AW1937:BH1937&lt;&gt;""),1)-1),""))</f>
        <v>0</v>
      </c>
      <c r="BK1937" s="58">
        <f>IF((IF(AW1937&gt;=115%,115%,AW1937) + IF(AX1937&gt;=115%,115%,AX1937) + IF(AY1937&gt;=115%,115%,AY1937) + (IF(AZ1937&gt;=115%,115%,AZ1937) + IF(BA1937&gt;=115%,115%,BA1937) + IF(BB1937&gt;=115%,115%,BB1937) + IF(BC1937&gt;=115%,115%,BC1937) + IF(BD1937&gt;=115%,115%,BD1937) + IF(BE1937&gt;=115%,115%,BE1937) + IF(BF1937&gt;=115%,115%,BF1937) + IF(BG1937&gt;=115%,115%,BG1937) + IF(BH1937&gt;=115%,115%,BH1937)))/_xlfn.XLOOKUP(F1937,Apuração!A:A,Apuração!B:B)&gt;=1.15,1.15,((IF(AZ1937&gt;=115%,115%,AZ1937) + IF(AX1937&gt;=115%,115%,AX1937) + IF(AY1937&gt;=115%,115%,AY1937) + (IF(AW1937&gt;=115%,115%,AW1937) + IF(BA1937&gt;=115%,115%,BA1937) + IF(BB1937&gt;=115%,115%,BB1937) + IF(BC1937&gt;=115%,115%,BC1937) + IF(BD1937&gt;=115%,115%,BD1937) + IF(BE1937&gt;=115%,115%,BE1937) + IF(BF1937&gt;=115%,115%,BF1937) + IF(BG1937&gt;=115%,115%,BG1937) + IF(BH1937&gt;=115%,115%,BH1937)))/_xlfn.XLOOKUP(F1937,Apuração!A:A,Apuração!B:B)))</f>
        <v>9.5833333333333326E-2</v>
      </c>
      <c r="BL1937" s="58" cm="1">
        <f t="array" aca="1" ref="BL1937" ca="1">IF(SUM(IFERROR(IF(INDEX(AW1937:INDEX(AW1937:BH1937, MATCH(2, 1/(AW1937:BH1937&lt;&gt;""), 1)-1), ROW(INDIRECT("1:" &amp; MATCH(2, 1/(AW1937:BH1937&lt;&gt;""), 1)-1))) &gt;= 115%, 115%, INDEX(AW1937:INDEX(AW1937:BH1937, MATCH(2, 1/(AW1937:BH1937&lt;&gt;""), 1)-1), ROW(INDIRECT("1:" &amp; MATCH(2, 1/(AW1937:BH1937&lt;&gt;""), 1)-1)))), 0))/_xlfn.XLOOKUP(F1937,Apuração!A:A,Apuração!B:B)&gt;=1.15,1.15,SUM(IFERROR(IF(INDEX(AW1937:INDEX(AW1937:BH1937, MATCH(2, 1/(AW1937:BH1937&lt;&gt;""), 1)-1), ROW(INDIRECT("1:" &amp; MATCH(2, 1/(AW1937:BH1937&lt;&gt;""), 1)-1))) &gt;= 115%, 115%, INDEX(AW1937:INDEX(AW1937:BH1937, MATCH(2, 1/(AW1937:BH1937&lt;&gt;""), 1)-1), ROW(INDIRECT("1:" &amp; MATCH(2, 1/(AW1937:BH1937&lt;&gt;""), 1)-1)))), 0))/_xlfn.XLOOKUP(F1937,Apuração!A:A,Apuração!B:B))</f>
        <v>0</v>
      </c>
      <c r="BM1937" s="55" cm="1">
        <f t="array" ref="BM1937">IFERROR(
   INDEX($AW$1:$BH$1,
      _xlfn.AGGREGATE(14, 6, COLUMN($AW$1:$BH$1)/(AW1937:BH1937&lt;&gt;""), 2) - COLUMN($AW$1) + 1
   ),
"")</f>
        <v>46082</v>
      </c>
      <c r="BN1937" s="55" cm="1">
        <f t="array" ref="BN1937">IFERROR(INDEX($AW$1:$BH$1,1,MATCH(2,1/(AW1937:BH1937&lt;&gt;""))),"")</f>
        <v>46113</v>
      </c>
      <c r="BO1937" s="53">
        <f ca="1">IFERROR(_xlfn.XLOOKUP(F1937,Apuração!A:A,Apuração!C:C)/_xlfn.XLOOKUP(F1937,Apuração!A:A,Apuração!B:B),0)</f>
        <v>0.41666666666666669</v>
      </c>
      <c r="BP1937" s="53">
        <f ca="1">IFERROR(_xlfn.XLOOKUP(F1937,Apuração!A:A,Apuração!D:D)/_xlfn.XLOOKUP(F1937,Apuração!A:A,Apuração!B:B),0)</f>
        <v>0.33333333333333331</v>
      </c>
      <c r="BQ1937" s="53">
        <f ca="1">IF(BK1937&gt;=BO1937,0,_xlfn.XLOOKUP(F1937,Apuração!A:A,Apuração!B:B)*(BO1937 + (1/_xlfn.XLOOKUP(F1937,Apuração!A:A,Apuração!B:B)) - BK1937))</f>
        <v>4.8499999999999996</v>
      </c>
      <c r="BR1937" s="85">
        <f t="shared" ca="1" si="2227"/>
        <v>4.8499999999999996</v>
      </c>
      <c r="BS1937" s="53">
        <f ca="1">IFERROR((_xlfn.XLOOKUP(F1937,Apuração!A:A,Apuração!C:C)+1)/_xlfn.XLOOKUP(F1937,Apuração!A:A,Apuração!B:B),0)</f>
        <v>0.5</v>
      </c>
    </row>
    <row r="1938" spans="1:71" ht="25.95" hidden="1" customHeight="1" x14ac:dyDescent="0.3">
      <c r="A1938" s="39" t="s">
        <v>33</v>
      </c>
      <c r="B1938" s="4" t="s">
        <v>34</v>
      </c>
      <c r="C1938" s="5" t="s">
        <v>216</v>
      </c>
      <c r="D1938" s="5" t="s">
        <v>36</v>
      </c>
      <c r="E1938" s="4" t="s">
        <v>80</v>
      </c>
      <c r="F1938" s="4" t="str" cm="1">
        <f t="array" ref="F1938">_xlfn.IFS(
AG1938 &lt;&gt; "", "Jan-Dez/26",
AH1938 &lt;&gt; "", "Fev-Dez/26",
AI1938 &lt;&gt; "", "Mar-Dez/26", AJ1938 &lt;&gt; "", "Abr-Dez/26",
TRUE, "A partir de Junho"
)</f>
        <v>Jan-Dez/26</v>
      </c>
      <c r="G1938" s="6" t="s">
        <v>37</v>
      </c>
      <c r="H1938" s="7" t="s">
        <v>38</v>
      </c>
      <c r="I1938" s="9" t="s">
        <v>49</v>
      </c>
      <c r="J1938" s="8" t="str" cm="1">
        <f t="array" aca="1" ref="J1938" ca="1">_xlfn.LET(
  _xlpm.actual_value_month, INDEX(T1938:AE1938, MATCH(DATE(YEAR(TODAY()), MONTH(TODAY()), 1), $T$1:$AE$1, 0)),
  IF(_xlpm.actual_value_month &lt;&gt; "",_xlpm.actual_value_month &amp; " ações mensais", "")
)</f>
        <v/>
      </c>
      <c r="K1938" s="8" t="str" cm="1">
        <f t="array" ref="K1938">_xlfn.LET(
    _xlpm.sum_month, SUM(T1938:AE1938),
    IF(_xlpm.sum_month = 0, "", _xlpm.sum_month &amp; " soluções implementadas no ano")
)</f>
        <v/>
      </c>
      <c r="L1938" s="9" t="s">
        <v>50</v>
      </c>
      <c r="M1938" s="9"/>
      <c r="N1938" s="5" t="s">
        <v>51</v>
      </c>
      <c r="O1938" s="5" t="s">
        <v>52</v>
      </c>
      <c r="P1938" s="10" t="s">
        <v>44</v>
      </c>
      <c r="Q1938" s="10" t="s">
        <v>44</v>
      </c>
      <c r="R1938" s="10" t="s">
        <v>44</v>
      </c>
      <c r="S1938" s="10" t="s">
        <v>44</v>
      </c>
      <c r="T1938" s="22"/>
      <c r="U1938" s="22"/>
      <c r="V1938" s="22"/>
      <c r="W1938" s="22"/>
      <c r="X1938" s="22"/>
      <c r="Y1938" s="22"/>
      <c r="Z1938" s="22"/>
      <c r="AA1938" s="22"/>
      <c r="AB1938" s="22"/>
      <c r="AC1938" s="22"/>
      <c r="AD1938" s="22"/>
      <c r="AE1938" s="22"/>
      <c r="AG1938" s="71">
        <v>0</v>
      </c>
      <c r="AH1938" s="71">
        <v>1376</v>
      </c>
      <c r="AI1938" s="71">
        <v>209</v>
      </c>
      <c r="AJ1938" s="71">
        <v>35385</v>
      </c>
      <c r="AK1938" s="71"/>
      <c r="AL1938" s="71"/>
      <c r="AM1938" s="71"/>
      <c r="AN1938" s="71"/>
      <c r="AO1938" s="71"/>
      <c r="AP1938" s="71"/>
      <c r="AQ1938" s="71"/>
      <c r="AR1938" s="71"/>
      <c r="AS1938" s="94">
        <f ca="1">IF(MONTH(TODAY())=3,SUM(T1938:U1938),IF(MONTH(TODAY())=4,SUM(T1938:V1938),IF(MONTH(TODAY())=5,SUM(T1938:W1938),IF(MONTH(TODAY())=6,SUM(T1938:X1938),IF(MONTH(TODAY())=7,SUM(T1938:Y1938),IF(MONTH(TODAY())=8,SUM(T1938:Z1938),IF(MONTH(TODAY())=9,SUM(T1938:AA1938),IF(MONTH(TODAY())=10,SUM(T1938:AB1938),IF(MONTH(TODAY())=11,SUM(T1938:AC1938),IF(MONTH(TODAY())=12,SUM(T1938:AD1938),IF(MONTH(TODAY())=1,SUM(T1938:AE1938),T1938)))))))))))</f>
        <v>0</v>
      </c>
      <c r="AT1938" s="95">
        <f>SUM(AG1938:AR1938)</f>
        <v>36970</v>
      </c>
      <c r="AU1938" s="97">
        <f>SUM(AG1938:AR1938)</f>
        <v>36970</v>
      </c>
      <c r="AW1938" s="83">
        <f>AG1938</f>
        <v>0</v>
      </c>
      <c r="AX1938" s="83">
        <f>AH1938</f>
        <v>1376</v>
      </c>
      <c r="AY1938" s="83">
        <f>AI1938</f>
        <v>209</v>
      </c>
      <c r="AZ1938" s="83">
        <f>AJ1938</f>
        <v>35385</v>
      </c>
      <c r="BA1938" s="52"/>
      <c r="BB1938" s="52"/>
      <c r="BC1938" s="52"/>
      <c r="BD1938" s="52"/>
      <c r="BE1938" s="52"/>
      <c r="BF1938" s="52"/>
      <c r="BG1938" s="52"/>
      <c r="BH1938" s="52"/>
      <c r="BI1938" s="68" cm="1">
        <f t="array" ref="BI1938">IFERROR(INDEX(AW1938:BH1938,1,MATCH(2,1/(AW1938:BH1938&lt;&gt;""))),"")</f>
        <v>35385</v>
      </c>
      <c r="BJ1938" s="68" cm="1">
        <f t="array" ref="BJ1938">IF(BM1938 = "", "",IFERROR(INDEX(AW1938:BH1938,1,MATCH(2,1/(AW1938:BH1938&lt;&gt;""),1)-1),""))</f>
        <v>209</v>
      </c>
      <c r="BK1938" s="59">
        <f>SUM(AW1938:BH1938)</f>
        <v>36970</v>
      </c>
      <c r="BL1938" s="59" cm="1">
        <f t="array" ref="BL1938">IFERROR(SUM(AW1938:INDEX(AW1938:BH1938, MATCH(2, 1/(AW1938:BH1938&lt;&gt;""), 1) - 1))/_xlfn.XLOOKUP(F1938,Apuração!A:A,Apuração!B:B),0)</f>
        <v>132.08333333333334</v>
      </c>
      <c r="BM1938" s="55" cm="1">
        <f t="array" ref="BM1938">IFERROR(
   INDEX($AW$1:$BH$1,
      _xlfn.AGGREGATE(14, 6, COLUMN($AW$1:$BH$1)/(AW1938:BH1938&lt;&gt;""), 2) - COLUMN($AW$1) + 1
   ),
"")</f>
        <v>46082</v>
      </c>
      <c r="BN1938" s="55" cm="1">
        <f t="array" ref="BN1938">IFERROR(INDEX($AW$1:$BH$1,1,MATCH(2,1/(AW1938:BH1938&lt;&gt;""))),"")</f>
        <v>46113</v>
      </c>
      <c r="BO1938" s="53">
        <f ca="1">IFERROR(_xlfn.XLOOKUP(F1938,Apuração!A:A,Apuração!C:C)/_xlfn.XLOOKUP(F1938,Apuração!A:A,Apuração!B:B),0)</f>
        <v>0.41666666666666669</v>
      </c>
      <c r="BP1938" s="53">
        <f ca="1">IFERROR(_xlfn.XLOOKUP(F1938,Apuração!A:A,Apuração!D:D)/_xlfn.XLOOKUP(F1938,Apuração!A:A,Apuração!B:B),0)</f>
        <v>0.33333333333333331</v>
      </c>
      <c r="BQ1938" s="53">
        <f ca="1">IF(BK1938&gt;=BO1938,0,_xlfn.XLOOKUP(F1938,Apuração!A:A,Apuração!B:B)*(BO1938 + (1/_xlfn.XLOOKUP(F1938,Apuração!A:A,Apuração!B:B)) - BK1938))</f>
        <v>0</v>
      </c>
      <c r="BR1938" s="85">
        <f ca="1">IF(BQ1938=0,0,BQ1938*Z1938)</f>
        <v>0</v>
      </c>
      <c r="BS1938" s="53">
        <f ca="1">IFERROR((_xlfn.XLOOKUP(F1938,Apuração!A:A,Apuração!C:C)+1)/_xlfn.XLOOKUP(F1938,Apuração!A:A,Apuração!B:B),0)</f>
        <v>0.5</v>
      </c>
    </row>
    <row r="1939" spans="1:71" ht="25.95" hidden="1" customHeight="1" x14ac:dyDescent="0.3">
      <c r="A1939" s="39" t="s">
        <v>33</v>
      </c>
      <c r="B1939" s="4" t="s">
        <v>34</v>
      </c>
      <c r="C1939" s="5" t="s">
        <v>216</v>
      </c>
      <c r="D1939" s="5" t="s">
        <v>217</v>
      </c>
      <c r="E1939" s="4" t="s">
        <v>80</v>
      </c>
      <c r="F1939" s="4" t="str" cm="1">
        <f t="array" ref="F1939">_xlfn.IFS(
AG1939 &lt;&gt; "", "Jan-Dez/26",
AH1939 &lt;&gt; "", "Fev-Dez/26",
AI1939 &lt;&gt; "", "Mar-Dez/26", AJ1939 &lt;&gt; "", "Abr-Dez/26",
TRUE, "A partir de Junho"
)</f>
        <v>Jan-Dez/26</v>
      </c>
      <c r="G1939" s="6" t="s">
        <v>37</v>
      </c>
      <c r="H1939" s="7" t="s">
        <v>38</v>
      </c>
      <c r="I1939" s="9" t="s">
        <v>49</v>
      </c>
      <c r="J1939" s="8" t="str" cm="1">
        <f t="array" aca="1" ref="J1939" ca="1">_xlfn.LET(
  _xlpm.actual_value_month, INDEX(T1939:AE1939, MATCH(DATE(YEAR(TODAY()), MONTH(TODAY()), 1), $T$1:$AE$1, 0)),
  IF(_xlpm.actual_value_month &lt;&gt; "",_xlpm.actual_value_month &amp; " ações mensais", "")
)</f>
        <v/>
      </c>
      <c r="K1939" s="8" t="str" cm="1">
        <f t="array" ref="K1939">_xlfn.LET(
    _xlpm.sum_month, SUM(T1939:AE1939),
    IF(_xlpm.sum_month = 0, "", _xlpm.sum_month &amp; " soluções implementadas no ano")
)</f>
        <v/>
      </c>
      <c r="L1939" s="9" t="s">
        <v>50</v>
      </c>
      <c r="M1939" s="9"/>
      <c r="N1939" s="5" t="s">
        <v>51</v>
      </c>
      <c r="O1939" s="5" t="s">
        <v>52</v>
      </c>
      <c r="P1939" s="10" t="s">
        <v>44</v>
      </c>
      <c r="Q1939" s="10" t="s">
        <v>44</v>
      </c>
      <c r="R1939" s="10" t="s">
        <v>44</v>
      </c>
      <c r="S1939" s="10" t="s">
        <v>44</v>
      </c>
      <c r="T1939" s="22"/>
      <c r="U1939" s="22"/>
      <c r="V1939" s="22"/>
      <c r="W1939" s="22"/>
      <c r="X1939" s="22"/>
      <c r="Y1939" s="22"/>
      <c r="Z1939" s="22"/>
      <c r="AA1939" s="22"/>
      <c r="AB1939" s="22"/>
      <c r="AC1939" s="22"/>
      <c r="AD1939" s="22"/>
      <c r="AE1939" s="22"/>
      <c r="AG1939" s="145">
        <v>0</v>
      </c>
      <c r="AH1939" s="149">
        <v>0</v>
      </c>
      <c r="AI1939" s="149">
        <v>0</v>
      </c>
      <c r="AJ1939" s="153">
        <v>4530</v>
      </c>
      <c r="AK1939" s="71"/>
      <c r="AL1939" s="71"/>
      <c r="AM1939" s="71"/>
      <c r="AN1939" s="71"/>
      <c r="AO1939" s="71"/>
      <c r="AP1939" s="71"/>
      <c r="AQ1939" s="71"/>
      <c r="AR1939" s="71"/>
      <c r="AS1939" s="94">
        <f t="shared" ref="AS1939:AS1942" ca="1" si="2228">IF(MONTH(TODAY())=3,SUM(T1939:U1939),IF(MONTH(TODAY())=4,SUM(T1939:V1939),IF(MONTH(TODAY())=5,SUM(T1939:W1939),IF(MONTH(TODAY())=6,SUM(T1939:X1939),IF(MONTH(TODAY())=7,SUM(T1939:Y1939),IF(MONTH(TODAY())=8,SUM(T1939:Z1939),IF(MONTH(TODAY())=9,SUM(T1939:AA1939),IF(MONTH(TODAY())=10,SUM(T1939:AB1939),IF(MONTH(TODAY())=11,SUM(T1939:AC1939),IF(MONTH(TODAY())=12,SUM(T1939:AD1939),IF(MONTH(TODAY())=1,SUM(T1939:AE1939),T1939)))))))))))</f>
        <v>0</v>
      </c>
      <c r="AT1939" s="95">
        <f t="shared" ref="AT1939:AT1942" si="2229">SUM(AG1939:AR1939)</f>
        <v>4530</v>
      </c>
      <c r="AU1939" s="97">
        <f t="shared" ref="AU1939:AU1942" si="2230">SUM(AG1939:AR1939)</f>
        <v>4530</v>
      </c>
      <c r="AW1939" s="83">
        <f t="shared" ref="AW1939:AW1942" si="2231">AG1939</f>
        <v>0</v>
      </c>
      <c r="AX1939" s="83">
        <f t="shared" ref="AX1939:AX1942" si="2232">AH1939</f>
        <v>0</v>
      </c>
      <c r="AY1939" s="83">
        <f t="shared" ref="AY1939:AY1942" si="2233">AI1939</f>
        <v>0</v>
      </c>
      <c r="AZ1939" s="83">
        <f t="shared" ref="AZ1939:AZ1942" si="2234">AJ1939</f>
        <v>4530</v>
      </c>
      <c r="BA1939" s="52"/>
      <c r="BB1939" s="52"/>
      <c r="BC1939" s="52"/>
      <c r="BD1939" s="52"/>
      <c r="BE1939" s="52"/>
      <c r="BF1939" s="52"/>
      <c r="BG1939" s="52"/>
      <c r="BH1939" s="52"/>
      <c r="BI1939" s="68" cm="1">
        <f t="array" ref="BI1939">IFERROR(INDEX(AW1939:BH1939,1,MATCH(2,1/(AW1939:BH1939&lt;&gt;""))),"")</f>
        <v>4530</v>
      </c>
      <c r="BJ1939" s="68" cm="1">
        <f t="array" ref="BJ1939">IF(BM1939 = "", "",IFERROR(INDEX(AW1939:BH1939,1,MATCH(2,1/(AW1939:BH1939&lt;&gt;""),1)-1),""))</f>
        <v>0</v>
      </c>
      <c r="BK1939" s="59">
        <f t="shared" ref="BK1939:BK1942" si="2235">SUM(AW1939:BH1939)</f>
        <v>4530</v>
      </c>
      <c r="BL1939" s="59" cm="1">
        <f t="array" ref="BL1939">IFERROR(SUM(AW1939:INDEX(AW1939:BH1939, MATCH(2, 1/(AW1939:BH1939&lt;&gt;""), 1) - 1))/_xlfn.XLOOKUP(F1939,Apuração!A:A,Apuração!B:B),0)</f>
        <v>0</v>
      </c>
      <c r="BM1939" s="55" cm="1">
        <f t="array" ref="BM1939">IFERROR(
   INDEX($AW$1:$BH$1,
      _xlfn.AGGREGATE(14, 6, COLUMN($AW$1:$BH$1)/(AW1939:BH1939&lt;&gt;""), 2) - COLUMN($AW$1) + 1
   ),
"")</f>
        <v>46082</v>
      </c>
      <c r="BN1939" s="55" cm="1">
        <f t="array" ref="BN1939">IFERROR(INDEX($AW$1:$BH$1,1,MATCH(2,1/(AW1939:BH1939&lt;&gt;""))),"")</f>
        <v>46113</v>
      </c>
      <c r="BO1939" s="53">
        <f ca="1">IFERROR(_xlfn.XLOOKUP(F1939,Apuração!A:A,Apuração!C:C)/_xlfn.XLOOKUP(F1939,Apuração!A:A,Apuração!B:B),0)</f>
        <v>0.41666666666666669</v>
      </c>
      <c r="BP1939" s="53">
        <f ca="1">IFERROR(_xlfn.XLOOKUP(F1939,Apuração!A:A,Apuração!D:D)/_xlfn.XLOOKUP(F1939,Apuração!A:A,Apuração!B:B),0)</f>
        <v>0.33333333333333331</v>
      </c>
      <c r="BQ1939" s="53">
        <f ca="1">IF(BK1939&gt;=BO1939,0,_xlfn.XLOOKUP(F1939,Apuração!A:A,Apuração!B:B)*(BO1939 + (1/_xlfn.XLOOKUP(F1939,Apuração!A:A,Apuração!B:B)) - BK1939))</f>
        <v>0</v>
      </c>
      <c r="BR1939" s="85">
        <f t="shared" ref="BR1939:BR1942" ca="1" si="2236">IF(BQ1939=0,0,BQ1939*Z1939)</f>
        <v>0</v>
      </c>
      <c r="BS1939" s="53">
        <f ca="1">IFERROR((_xlfn.XLOOKUP(F1939,Apuração!A:A,Apuração!C:C)+1)/_xlfn.XLOOKUP(F1939,Apuração!A:A,Apuração!B:B),0)</f>
        <v>0.5</v>
      </c>
    </row>
    <row r="1940" spans="1:71" ht="25.95" hidden="1" customHeight="1" x14ac:dyDescent="0.3">
      <c r="A1940" s="39" t="s">
        <v>33</v>
      </c>
      <c r="B1940" s="4" t="s">
        <v>34</v>
      </c>
      <c r="C1940" s="5" t="s">
        <v>216</v>
      </c>
      <c r="D1940" s="5" t="s">
        <v>103</v>
      </c>
      <c r="E1940" s="4" t="s">
        <v>80</v>
      </c>
      <c r="F1940" s="4" t="str" cm="1">
        <f t="array" ref="F1940">_xlfn.IFS(
AG1940 &lt;&gt; "", "Jan-Dez/26",
AH1940 &lt;&gt; "", "Fev-Dez/26",
AI1940 &lt;&gt; "", "Mar-Dez/26", AJ1940 &lt;&gt; "", "Abr-Dez/26",
TRUE, "A partir de Junho"
)</f>
        <v>Jan-Dez/26</v>
      </c>
      <c r="G1940" s="6" t="s">
        <v>37</v>
      </c>
      <c r="H1940" s="7" t="s">
        <v>38</v>
      </c>
      <c r="I1940" s="9" t="s">
        <v>49</v>
      </c>
      <c r="J1940" s="8" t="str" cm="1">
        <f t="array" aca="1" ref="J1940" ca="1">_xlfn.LET(
  _xlpm.actual_value_month, INDEX(T1940:AE1940, MATCH(DATE(YEAR(TODAY()), MONTH(TODAY()), 1), $T$1:$AE$1, 0)),
  IF(_xlpm.actual_value_month &lt;&gt; "",_xlpm.actual_value_month &amp; " ações mensais", "")
)</f>
        <v/>
      </c>
      <c r="K1940" s="8" t="str" cm="1">
        <f t="array" ref="K1940">_xlfn.LET(
    _xlpm.sum_month, SUM(T1940:AE1940),
    IF(_xlpm.sum_month = 0, "", _xlpm.sum_month &amp; " soluções implementadas no ano")
)</f>
        <v/>
      </c>
      <c r="L1940" s="9" t="s">
        <v>50</v>
      </c>
      <c r="M1940" s="9"/>
      <c r="N1940" s="5" t="s">
        <v>51</v>
      </c>
      <c r="O1940" s="5" t="s">
        <v>52</v>
      </c>
      <c r="P1940" s="10" t="s">
        <v>44</v>
      </c>
      <c r="Q1940" s="10" t="s">
        <v>44</v>
      </c>
      <c r="R1940" s="10" t="s">
        <v>44</v>
      </c>
      <c r="S1940" s="10" t="s">
        <v>44</v>
      </c>
      <c r="T1940" s="22"/>
      <c r="U1940" s="22"/>
      <c r="V1940" s="22"/>
      <c r="W1940" s="22"/>
      <c r="X1940" s="22"/>
      <c r="Y1940" s="22"/>
      <c r="Z1940" s="22"/>
      <c r="AA1940" s="22"/>
      <c r="AB1940" s="22"/>
      <c r="AC1940" s="22"/>
      <c r="AD1940" s="22"/>
      <c r="AE1940" s="22"/>
      <c r="AG1940" s="146">
        <v>0</v>
      </c>
      <c r="AH1940" s="155">
        <v>1376</v>
      </c>
      <c r="AI1940" s="150">
        <v>209</v>
      </c>
      <c r="AJ1940" s="155">
        <v>6145</v>
      </c>
      <c r="AK1940" s="71"/>
      <c r="AL1940" s="71"/>
      <c r="AM1940" s="71"/>
      <c r="AN1940" s="71"/>
      <c r="AO1940" s="71"/>
      <c r="AP1940" s="71"/>
      <c r="AQ1940" s="71"/>
      <c r="AR1940" s="71"/>
      <c r="AS1940" s="94">
        <f t="shared" ca="1" si="2228"/>
        <v>0</v>
      </c>
      <c r="AT1940" s="95">
        <f t="shared" si="2229"/>
        <v>7730</v>
      </c>
      <c r="AU1940" s="97">
        <f t="shared" si="2230"/>
        <v>7730</v>
      </c>
      <c r="AW1940" s="83">
        <f t="shared" si="2231"/>
        <v>0</v>
      </c>
      <c r="AX1940" s="83">
        <f t="shared" si="2232"/>
        <v>1376</v>
      </c>
      <c r="AY1940" s="83">
        <f t="shared" si="2233"/>
        <v>209</v>
      </c>
      <c r="AZ1940" s="83">
        <f t="shared" si="2234"/>
        <v>6145</v>
      </c>
      <c r="BA1940" s="52"/>
      <c r="BB1940" s="52"/>
      <c r="BC1940" s="52"/>
      <c r="BD1940" s="52"/>
      <c r="BE1940" s="52"/>
      <c r="BF1940" s="52"/>
      <c r="BG1940" s="52"/>
      <c r="BH1940" s="52"/>
      <c r="BI1940" s="68" cm="1">
        <f t="array" ref="BI1940">IFERROR(INDEX(AW1940:BH1940,1,MATCH(2,1/(AW1940:BH1940&lt;&gt;""))),"")</f>
        <v>6145</v>
      </c>
      <c r="BJ1940" s="68" cm="1">
        <f t="array" ref="BJ1940">IF(BM1940 = "", "",IFERROR(INDEX(AW1940:BH1940,1,MATCH(2,1/(AW1940:BH1940&lt;&gt;""),1)-1),""))</f>
        <v>209</v>
      </c>
      <c r="BK1940" s="59">
        <f t="shared" si="2235"/>
        <v>7730</v>
      </c>
      <c r="BL1940" s="59" cm="1">
        <f t="array" ref="BL1940">IFERROR(SUM(AW1940:INDEX(AW1940:BH1940, MATCH(2, 1/(AW1940:BH1940&lt;&gt;""), 1) - 1))/_xlfn.XLOOKUP(F1940,Apuração!A:A,Apuração!B:B),0)</f>
        <v>132.08333333333334</v>
      </c>
      <c r="BM1940" s="55" cm="1">
        <f t="array" ref="BM1940">IFERROR(
   INDEX($AW$1:$BH$1,
      _xlfn.AGGREGATE(14, 6, COLUMN($AW$1:$BH$1)/(AW1940:BH1940&lt;&gt;""), 2) - COLUMN($AW$1) + 1
   ),
"")</f>
        <v>46082</v>
      </c>
      <c r="BN1940" s="55" cm="1">
        <f t="array" ref="BN1940">IFERROR(INDEX($AW$1:$BH$1,1,MATCH(2,1/(AW1940:BH1940&lt;&gt;""))),"")</f>
        <v>46113</v>
      </c>
      <c r="BO1940" s="53">
        <f ca="1">IFERROR(_xlfn.XLOOKUP(F1940,Apuração!A:A,Apuração!C:C)/_xlfn.XLOOKUP(F1940,Apuração!A:A,Apuração!B:B),0)</f>
        <v>0.41666666666666669</v>
      </c>
      <c r="BP1940" s="53">
        <f ca="1">IFERROR(_xlfn.XLOOKUP(F1940,Apuração!A:A,Apuração!D:D)/_xlfn.XLOOKUP(F1940,Apuração!A:A,Apuração!B:B),0)</f>
        <v>0.33333333333333331</v>
      </c>
      <c r="BQ1940" s="53">
        <f ca="1">IF(BK1940&gt;=BO1940,0,_xlfn.XLOOKUP(F1940,Apuração!A:A,Apuração!B:B)*(BO1940 + (1/_xlfn.XLOOKUP(F1940,Apuração!A:A,Apuração!B:B)) - BK1940))</f>
        <v>0</v>
      </c>
      <c r="BR1940" s="85">
        <f t="shared" ca="1" si="2236"/>
        <v>0</v>
      </c>
      <c r="BS1940" s="53">
        <f ca="1">IFERROR((_xlfn.XLOOKUP(F1940,Apuração!A:A,Apuração!C:C)+1)/_xlfn.XLOOKUP(F1940,Apuração!A:A,Apuração!B:B),0)</f>
        <v>0.5</v>
      </c>
    </row>
    <row r="1941" spans="1:71" ht="25.95" hidden="1" customHeight="1" x14ac:dyDescent="0.3">
      <c r="A1941" s="39" t="s">
        <v>33</v>
      </c>
      <c r="B1941" s="4" t="s">
        <v>34</v>
      </c>
      <c r="C1941" s="5" t="s">
        <v>216</v>
      </c>
      <c r="D1941" s="5" t="s">
        <v>218</v>
      </c>
      <c r="E1941" s="4" t="s">
        <v>80</v>
      </c>
      <c r="F1941" s="4" t="str" cm="1">
        <f t="array" ref="F1941">_xlfn.IFS(
AG1941 &lt;&gt; "", "Jan-Dez/26",
AH1941 &lt;&gt; "", "Fev-Dez/26",
AI1941 &lt;&gt; "", "Mar-Dez/26", AJ1941 &lt;&gt; "", "Abr-Dez/26",
TRUE, "A partir de Junho"
)</f>
        <v>Jan-Dez/26</v>
      </c>
      <c r="G1941" s="6" t="s">
        <v>37</v>
      </c>
      <c r="H1941" s="7" t="s">
        <v>38</v>
      </c>
      <c r="I1941" s="9" t="s">
        <v>49</v>
      </c>
      <c r="J1941" s="8" t="str" cm="1">
        <f t="array" aca="1" ref="J1941" ca="1">_xlfn.LET(
  _xlpm.actual_value_month, INDEX(T1941:AE1941, MATCH(DATE(YEAR(TODAY()), MONTH(TODAY()), 1), $T$1:$AE$1, 0)),
  IF(_xlpm.actual_value_month &lt;&gt; "",_xlpm.actual_value_month &amp; " ações mensais", "")
)</f>
        <v/>
      </c>
      <c r="K1941" s="8" t="str" cm="1">
        <f t="array" ref="K1941">_xlfn.LET(
    _xlpm.sum_month, SUM(T1941:AE1941),
    IF(_xlpm.sum_month = 0, "", _xlpm.sum_month &amp; " soluções implementadas no ano")
)</f>
        <v/>
      </c>
      <c r="L1941" s="9" t="s">
        <v>50</v>
      </c>
      <c r="M1941" s="9"/>
      <c r="N1941" s="5" t="s">
        <v>51</v>
      </c>
      <c r="O1941" s="5" t="s">
        <v>52</v>
      </c>
      <c r="P1941" s="10" t="s">
        <v>44</v>
      </c>
      <c r="Q1941" s="10" t="s">
        <v>44</v>
      </c>
      <c r="R1941" s="10" t="s">
        <v>44</v>
      </c>
      <c r="S1941" s="10" t="s">
        <v>44</v>
      </c>
      <c r="T1941" s="22"/>
      <c r="U1941" s="22"/>
      <c r="V1941" s="22"/>
      <c r="W1941" s="22"/>
      <c r="X1941" s="22"/>
      <c r="Y1941" s="22"/>
      <c r="Z1941" s="22"/>
      <c r="AA1941" s="22"/>
      <c r="AB1941" s="22"/>
      <c r="AC1941" s="22"/>
      <c r="AD1941" s="22"/>
      <c r="AE1941" s="22"/>
      <c r="AG1941" s="146">
        <v>0</v>
      </c>
      <c r="AH1941" s="150">
        <v>0</v>
      </c>
      <c r="AI1941" s="150">
        <v>0</v>
      </c>
      <c r="AJ1941" s="155">
        <v>9282</v>
      </c>
      <c r="AK1941" s="71"/>
      <c r="AL1941" s="71"/>
      <c r="AM1941" s="71"/>
      <c r="AN1941" s="71"/>
      <c r="AO1941" s="71"/>
      <c r="AP1941" s="71"/>
      <c r="AQ1941" s="71"/>
      <c r="AR1941" s="71"/>
      <c r="AS1941" s="94">
        <f t="shared" ca="1" si="2228"/>
        <v>0</v>
      </c>
      <c r="AT1941" s="95">
        <f t="shared" si="2229"/>
        <v>9282</v>
      </c>
      <c r="AU1941" s="97">
        <f t="shared" si="2230"/>
        <v>9282</v>
      </c>
      <c r="AW1941" s="83">
        <f t="shared" si="2231"/>
        <v>0</v>
      </c>
      <c r="AX1941" s="83">
        <f t="shared" si="2232"/>
        <v>0</v>
      </c>
      <c r="AY1941" s="83">
        <f t="shared" si="2233"/>
        <v>0</v>
      </c>
      <c r="AZ1941" s="83">
        <f t="shared" si="2234"/>
        <v>9282</v>
      </c>
      <c r="BA1941" s="52"/>
      <c r="BB1941" s="52"/>
      <c r="BC1941" s="52"/>
      <c r="BD1941" s="52"/>
      <c r="BE1941" s="52"/>
      <c r="BF1941" s="52"/>
      <c r="BG1941" s="52"/>
      <c r="BH1941" s="52"/>
      <c r="BI1941" s="68" cm="1">
        <f t="array" ref="BI1941">IFERROR(INDEX(AW1941:BH1941,1,MATCH(2,1/(AW1941:BH1941&lt;&gt;""))),"")</f>
        <v>9282</v>
      </c>
      <c r="BJ1941" s="68" cm="1">
        <f t="array" ref="BJ1941">IF(BM1941 = "", "",IFERROR(INDEX(AW1941:BH1941,1,MATCH(2,1/(AW1941:BH1941&lt;&gt;""),1)-1),""))</f>
        <v>0</v>
      </c>
      <c r="BK1941" s="59">
        <f t="shared" si="2235"/>
        <v>9282</v>
      </c>
      <c r="BL1941" s="59" cm="1">
        <f t="array" ref="BL1941">IFERROR(SUM(AW1941:INDEX(AW1941:BH1941, MATCH(2, 1/(AW1941:BH1941&lt;&gt;""), 1) - 1))/_xlfn.XLOOKUP(F1941,Apuração!A:A,Apuração!B:B),0)</f>
        <v>0</v>
      </c>
      <c r="BM1941" s="55" cm="1">
        <f t="array" ref="BM1941">IFERROR(
   INDEX($AW$1:$BH$1,
      _xlfn.AGGREGATE(14, 6, COLUMN($AW$1:$BH$1)/(AW1941:BH1941&lt;&gt;""), 2) - COLUMN($AW$1) + 1
   ),
"")</f>
        <v>46082</v>
      </c>
      <c r="BN1941" s="55" cm="1">
        <f t="array" ref="BN1941">IFERROR(INDEX($AW$1:$BH$1,1,MATCH(2,1/(AW1941:BH1941&lt;&gt;""))),"")</f>
        <v>46113</v>
      </c>
      <c r="BO1941" s="53">
        <f ca="1">IFERROR(_xlfn.XLOOKUP(F1941,Apuração!A:A,Apuração!C:C)/_xlfn.XLOOKUP(F1941,Apuração!A:A,Apuração!B:B),0)</f>
        <v>0.41666666666666669</v>
      </c>
      <c r="BP1941" s="53">
        <f ca="1">IFERROR(_xlfn.XLOOKUP(F1941,Apuração!A:A,Apuração!D:D)/_xlfn.XLOOKUP(F1941,Apuração!A:A,Apuração!B:B),0)</f>
        <v>0.33333333333333331</v>
      </c>
      <c r="BQ1941" s="53">
        <f ca="1">IF(BK1941&gt;=BO1941,0,_xlfn.XLOOKUP(F1941,Apuração!A:A,Apuração!B:B)*(BO1941 + (1/_xlfn.XLOOKUP(F1941,Apuração!A:A,Apuração!B:B)) - BK1941))</f>
        <v>0</v>
      </c>
      <c r="BR1941" s="85">
        <f t="shared" ca="1" si="2236"/>
        <v>0</v>
      </c>
      <c r="BS1941" s="53">
        <f ca="1">IFERROR((_xlfn.XLOOKUP(F1941,Apuração!A:A,Apuração!C:C)+1)/_xlfn.XLOOKUP(F1941,Apuração!A:A,Apuração!B:B),0)</f>
        <v>0.5</v>
      </c>
    </row>
    <row r="1942" spans="1:71" ht="25.95" hidden="1" customHeight="1" x14ac:dyDescent="0.3">
      <c r="A1942" s="39" t="s">
        <v>33</v>
      </c>
      <c r="B1942" s="4" t="s">
        <v>34</v>
      </c>
      <c r="C1942" s="5" t="s">
        <v>216</v>
      </c>
      <c r="D1942" s="5" t="s">
        <v>219</v>
      </c>
      <c r="E1942" s="4" t="s">
        <v>80</v>
      </c>
      <c r="F1942" s="4" t="str" cm="1">
        <f t="array" ref="F1942">_xlfn.IFS(
AG1942 &lt;&gt; "", "Jan-Dez/26",
AH1942 &lt;&gt; "", "Fev-Dez/26",
AI1942 &lt;&gt; "", "Mar-Dez/26", AJ1942 &lt;&gt; "", "Abr-Dez/26",
TRUE, "A partir de Junho"
)</f>
        <v>Jan-Dez/26</v>
      </c>
      <c r="G1942" s="6" t="s">
        <v>37</v>
      </c>
      <c r="H1942" s="7" t="s">
        <v>38</v>
      </c>
      <c r="I1942" s="9" t="s">
        <v>49</v>
      </c>
      <c r="J1942" s="8" t="str" cm="1">
        <f t="array" aca="1" ref="J1942" ca="1">_xlfn.LET(
  _xlpm.actual_value_month, INDEX(T1942:AE1942, MATCH(DATE(YEAR(TODAY()), MONTH(TODAY()), 1), $T$1:$AE$1, 0)),
  IF(_xlpm.actual_value_month &lt;&gt; "",_xlpm.actual_value_month &amp; " ações mensais", "")
)</f>
        <v/>
      </c>
      <c r="K1942" s="8" t="str" cm="1">
        <f t="array" ref="K1942">_xlfn.LET(
    _xlpm.sum_month, SUM(T1942:AE1942),
    IF(_xlpm.sum_month = 0, "", _xlpm.sum_month &amp; " soluções implementadas no ano")
)</f>
        <v/>
      </c>
      <c r="L1942" s="9" t="s">
        <v>50</v>
      </c>
      <c r="M1942" s="9"/>
      <c r="N1942" s="5" t="s">
        <v>51</v>
      </c>
      <c r="O1942" s="5" t="s">
        <v>52</v>
      </c>
      <c r="P1942" s="10" t="s">
        <v>44</v>
      </c>
      <c r="Q1942" s="10" t="s">
        <v>44</v>
      </c>
      <c r="R1942" s="10" t="s">
        <v>44</v>
      </c>
      <c r="S1942" s="10" t="s">
        <v>44</v>
      </c>
      <c r="T1942" s="22"/>
      <c r="U1942" s="22"/>
      <c r="V1942" s="22"/>
      <c r="W1942" s="22"/>
      <c r="X1942" s="22"/>
      <c r="Y1942" s="22"/>
      <c r="Z1942" s="22"/>
      <c r="AA1942" s="22"/>
      <c r="AB1942" s="22"/>
      <c r="AC1942" s="22"/>
      <c r="AD1942" s="22"/>
      <c r="AE1942" s="22"/>
      <c r="AG1942" s="146">
        <v>0</v>
      </c>
      <c r="AH1942" s="150">
        <v>0</v>
      </c>
      <c r="AI1942" s="150">
        <v>0</v>
      </c>
      <c r="AJ1942" s="155">
        <v>15428</v>
      </c>
      <c r="AK1942" s="71"/>
      <c r="AL1942" s="71"/>
      <c r="AM1942" s="71"/>
      <c r="AN1942" s="71"/>
      <c r="AO1942" s="71"/>
      <c r="AP1942" s="71"/>
      <c r="AQ1942" s="71"/>
      <c r="AR1942" s="71"/>
      <c r="AS1942" s="94">
        <f t="shared" ca="1" si="2228"/>
        <v>0</v>
      </c>
      <c r="AT1942" s="95">
        <f t="shared" si="2229"/>
        <v>15428</v>
      </c>
      <c r="AU1942" s="97">
        <f t="shared" si="2230"/>
        <v>15428</v>
      </c>
      <c r="AW1942" s="83">
        <f t="shared" si="2231"/>
        <v>0</v>
      </c>
      <c r="AX1942" s="83">
        <f t="shared" si="2232"/>
        <v>0</v>
      </c>
      <c r="AY1942" s="83">
        <f t="shared" si="2233"/>
        <v>0</v>
      </c>
      <c r="AZ1942" s="83">
        <f t="shared" si="2234"/>
        <v>15428</v>
      </c>
      <c r="BA1942" s="52"/>
      <c r="BB1942" s="52"/>
      <c r="BC1942" s="52"/>
      <c r="BD1942" s="52"/>
      <c r="BE1942" s="52"/>
      <c r="BF1942" s="52"/>
      <c r="BG1942" s="52"/>
      <c r="BH1942" s="52"/>
      <c r="BI1942" s="68" cm="1">
        <f t="array" ref="BI1942">IFERROR(INDEX(AW1942:BH1942,1,MATCH(2,1/(AW1942:BH1942&lt;&gt;""))),"")</f>
        <v>15428</v>
      </c>
      <c r="BJ1942" s="68" cm="1">
        <f t="array" ref="BJ1942">IF(BM1942 = "", "",IFERROR(INDEX(AW1942:BH1942,1,MATCH(2,1/(AW1942:BH1942&lt;&gt;""),1)-1),""))</f>
        <v>0</v>
      </c>
      <c r="BK1942" s="59">
        <f t="shared" si="2235"/>
        <v>15428</v>
      </c>
      <c r="BL1942" s="59" cm="1">
        <f t="array" ref="BL1942">IFERROR(SUM(AW1942:INDEX(AW1942:BH1942, MATCH(2, 1/(AW1942:BH1942&lt;&gt;""), 1) - 1))/_xlfn.XLOOKUP(F1942,Apuração!A:A,Apuração!B:B),0)</f>
        <v>0</v>
      </c>
      <c r="BM1942" s="55" cm="1">
        <f t="array" ref="BM1942">IFERROR(
   INDEX($AW$1:$BH$1,
      _xlfn.AGGREGATE(14, 6, COLUMN($AW$1:$BH$1)/(AW1942:BH1942&lt;&gt;""), 2) - COLUMN($AW$1) + 1
   ),
"")</f>
        <v>46082</v>
      </c>
      <c r="BN1942" s="55" cm="1">
        <f t="array" ref="BN1942">IFERROR(INDEX($AW$1:$BH$1,1,MATCH(2,1/(AW1942:BH1942&lt;&gt;""))),"")</f>
        <v>46113</v>
      </c>
      <c r="BO1942" s="53">
        <f ca="1">IFERROR(_xlfn.XLOOKUP(F1942,Apuração!A:A,Apuração!C:C)/_xlfn.XLOOKUP(F1942,Apuração!A:A,Apuração!B:B),0)</f>
        <v>0.41666666666666669</v>
      </c>
      <c r="BP1942" s="53">
        <f ca="1">IFERROR(_xlfn.XLOOKUP(F1942,Apuração!A:A,Apuração!D:D)/_xlfn.XLOOKUP(F1942,Apuração!A:A,Apuração!B:B),0)</f>
        <v>0.33333333333333331</v>
      </c>
      <c r="BQ1942" s="53">
        <f ca="1">IF(BK1942&gt;=BO1942,0,_xlfn.XLOOKUP(F1942,Apuração!A:A,Apuração!B:B)*(BO1942 + (1/_xlfn.XLOOKUP(F1942,Apuração!A:A,Apuração!B:B)) - BK1942))</f>
        <v>0</v>
      </c>
      <c r="BR1942" s="85">
        <f t="shared" ca="1" si="2236"/>
        <v>0</v>
      </c>
      <c r="BS1942" s="53">
        <f ca="1">IFERROR((_xlfn.XLOOKUP(F1942,Apuração!A:A,Apuração!C:C)+1)/_xlfn.XLOOKUP(F1942,Apuração!A:A,Apuração!B:B),0)</f>
        <v>0.5</v>
      </c>
    </row>
    <row r="1943" spans="1:71" ht="25.95" hidden="1" customHeight="1" x14ac:dyDescent="0.3">
      <c r="A1943" s="3" t="s">
        <v>33</v>
      </c>
      <c r="B1943" s="4" t="s">
        <v>53</v>
      </c>
      <c r="C1943" s="5" t="s">
        <v>216</v>
      </c>
      <c r="D1943" s="5" t="s">
        <v>36</v>
      </c>
      <c r="E1943" s="4" t="s">
        <v>61</v>
      </c>
      <c r="F1943" s="4" t="str" cm="1">
        <f t="array" ref="F1943">_xlfn.IFS(
AG1943 &lt;&gt; "", "Jan-Dez/26",
AH1943 &lt;&gt; "", "Fev-Dez/26",
AI1943 &lt;&gt; "", "Mar-Dez/26", AJ1943 &lt;&gt; "", "Abr-Dez/26",
TRUE, "A partir de Junho"
)</f>
        <v>A partir de Junho</v>
      </c>
      <c r="G1943" s="4" t="s">
        <v>62</v>
      </c>
      <c r="H1943" s="7" t="s">
        <v>110</v>
      </c>
      <c r="I1943" s="8" t="s">
        <v>55</v>
      </c>
      <c r="J1943" s="8" t="str" cm="1">
        <f t="array" aca="1" ref="J1943" ca="1">_xlfn.LET(
  _xlpm.actual_value_month, INDEX(T1943:AE1943, MATCH(DATE(YEAR(TODAY()), MONTH(TODAY()), 1), $T$1:$AE$1, 0)),
  IF(_xlpm.actual_value_month &lt;&gt; "",_xlpm.actual_value_month &amp; " eventos mensais", "")
)</f>
        <v>4 eventos mensais</v>
      </c>
      <c r="K1943" s="14" t="str" cm="1">
        <f t="array" ref="K1943">_xlfn.LET(
    _xlpm.sum_month, SUM(T1943:AE1943),
    IF(_xlpm.sum_month = 0, "", _xlpm.sum_month &amp; "  eventos no ano")
)</f>
        <v>36  eventos no ano</v>
      </c>
      <c r="L1943" s="9" t="s">
        <v>56</v>
      </c>
      <c r="M1943" s="13" t="s">
        <v>57</v>
      </c>
      <c r="N1943" s="5" t="s">
        <v>42</v>
      </c>
      <c r="O1943" s="5" t="s">
        <v>43</v>
      </c>
      <c r="P1943" s="10" t="s">
        <v>58</v>
      </c>
      <c r="Q1943" s="10" t="s">
        <v>44</v>
      </c>
      <c r="R1943" s="11" t="s">
        <v>45</v>
      </c>
      <c r="S1943" s="11" t="s">
        <v>46</v>
      </c>
      <c r="T1943" s="22"/>
      <c r="U1943" s="22"/>
      <c r="V1943" s="22"/>
      <c r="W1943" s="22">
        <v>4</v>
      </c>
      <c r="X1943" s="22">
        <v>4</v>
      </c>
      <c r="Y1943" s="22">
        <v>4</v>
      </c>
      <c r="Z1943" s="22">
        <v>4</v>
      </c>
      <c r="AA1943" s="22">
        <v>4</v>
      </c>
      <c r="AB1943" s="22">
        <v>4</v>
      </c>
      <c r="AC1943" s="22">
        <v>4</v>
      </c>
      <c r="AD1943" s="22">
        <v>4</v>
      </c>
      <c r="AE1943" s="22">
        <v>4</v>
      </c>
      <c r="AG1943" s="71"/>
      <c r="AH1943" s="71"/>
      <c r="AI1943" s="71"/>
      <c r="AJ1943" s="71"/>
      <c r="AK1943" s="71"/>
      <c r="AL1943" s="71"/>
      <c r="AM1943" s="71"/>
      <c r="AN1943" s="71"/>
      <c r="AO1943" s="71"/>
      <c r="AP1943" s="71"/>
      <c r="AQ1943" s="71"/>
      <c r="AR1943" s="71"/>
      <c r="AS1943" s="94">
        <f ca="1">IF(MONTH(TODAY())=3,SUM(T1943:U1943),IF(MONTH(TODAY())=4,SUM(T1943:V1943),IF(MONTH(TODAY())=5,SUM(T1943:W1943),IF(MONTH(TODAY())=6,SUM(T1943:X1943),IF(MONTH(TODAY())=7,SUM(T1943:Y1943),IF(MONTH(TODAY())=8,SUM(T1943:Z1943),IF(MONTH(TODAY())=9,SUM(T1943:AA1943),IF(MONTH(TODAY())=10,SUM(T1943:AB1943),IF(MONTH(TODAY())=11,SUM(T1943:AC1943),IF(MONTH(TODAY())=12,SUM(T1943:AD1943),IF(MONTH(TODAY())=1,SUM(T1943:AE1943),T1943)))))))))))</f>
        <v>8</v>
      </c>
      <c r="AT1943" s="95">
        <f>SUM(IF(AW1943&lt;1.15,AG1943,1.15*T1943),IF(AX1943&lt;1.15,AH1943,1.15*U1943),IF(AY1943&lt;1.15,AI1943,1.15*V1943),IF(AZ1943&lt;1.15,AJ1943,1.15*W1943),IF(BA1943&lt;1.15,AK1943,1.15*X1943),IF(BB1943&lt;1.15,AL1943,1.15*Y1943),IF(BC1943&lt;1.15,AM1943,1.15*Z1943),IF(BD1943&lt;1.15,AN1943,1.15*AA1943),IF(BE1943&lt;1.15,AO1943,1.15*AB1943),IF(BF1943&lt;1.15,AP1943,1.15*AC1943),IF(BG1943&lt;1.15,AQ1943,1.15*AD1943),IF(BH1943&lt;1.15,AR1943,1.15*AE1943))</f>
        <v>0</v>
      </c>
      <c r="AU1943" s="97">
        <f>SUM(AG1943:AR1943)</f>
        <v>0</v>
      </c>
      <c r="AW1943" s="51">
        <f>IFERROR(IF(AG1943="",0,AG1943/T1943),0)</f>
        <v>0</v>
      </c>
      <c r="AX1943" s="51">
        <f>IFERROR(IF(AH1943="",0,AH1943/U1943),0)</f>
        <v>0</v>
      </c>
      <c r="AY1943" s="51">
        <f>IFERROR(IF(AI1943="",0,AI1943/V1943),0)</f>
        <v>0</v>
      </c>
      <c r="AZ1943" s="51">
        <f>IFERROR(IF(AJ1943="",0,AJ1943/W1943),0)</f>
        <v>0</v>
      </c>
      <c r="BA1943" s="51"/>
      <c r="BB1943" s="51"/>
      <c r="BC1943" s="51"/>
      <c r="BD1943" s="51"/>
      <c r="BE1943" s="51"/>
      <c r="BF1943" s="51"/>
      <c r="BG1943" s="51"/>
      <c r="BH1943" s="51"/>
      <c r="BI1943" s="65" cm="1">
        <f t="array" ref="BI1943">IFERROR(INDEX(AW1943:BH1943,1,MATCH(2,1/(AW1943:BH1943&lt;&gt;""))),"")</f>
        <v>0</v>
      </c>
      <c r="BJ1943" s="68" cm="1">
        <f t="array" ref="BJ1943">IF(BM1943 = "", "",IFERROR(INDEX(AW1943:BH1943,1,MATCH(2,1/(AW1943:BH1943&lt;&gt;""),1)-1),""))</f>
        <v>0</v>
      </c>
      <c r="BK1943" s="58">
        <f>IF((IF(AW1943&gt;=115%,115%,AW1943) + IF(AX1943&gt;=115%,115%,AX1943) + IF(AY1943&gt;=115%,115%,AY1943) + (IF(AZ1943&gt;=115%,115%,AZ1943) + IF(BA1943&gt;=115%,115%,BA1943) + IF(BB1943&gt;=115%,115%,BB1943) + IF(BC1943&gt;=115%,115%,BC1943) + IF(BD1943&gt;=115%,115%,BD1943) + IF(BE1943&gt;=115%,115%,BE1943) + IF(BF1943&gt;=115%,115%,BF1943) + IF(BG1943&gt;=115%,115%,BG1943) + IF(BH1943&gt;=115%,115%,BH1943)))/_xlfn.XLOOKUP(F1943,Apuração!A:A,Apuração!B:B)&gt;=1.15,1.15,((IF(AZ1943&gt;=115%,115%,AZ1943) + IF(AX1943&gt;=115%,115%,AX1943) + IF(AY1943&gt;=115%,115%,AY1943) + (IF(AW1943&gt;=115%,115%,AW1943) + IF(BA1943&gt;=115%,115%,BA1943) + IF(BB1943&gt;=115%,115%,BB1943) + IF(BC1943&gt;=115%,115%,BC1943) + IF(BD1943&gt;=115%,115%,BD1943) + IF(BE1943&gt;=115%,115%,BE1943) + IF(BF1943&gt;=115%,115%,BF1943) + IF(BG1943&gt;=115%,115%,BG1943) + IF(BH1943&gt;=115%,115%,BH1943)))/_xlfn.XLOOKUP(F1943,Apuração!A:A,Apuração!B:B)))</f>
        <v>0</v>
      </c>
      <c r="BL1943" s="58" cm="1">
        <f t="array" aca="1" ref="BL1943" ca="1">IF(SUM(IFERROR(IF(INDEX(AW1943:INDEX(AW1943:BH1943, MATCH(2, 1/(AW1943:BH1943&lt;&gt;""), 1)-1), ROW(INDIRECT("1:" &amp; MATCH(2, 1/(AW1943:BH1943&lt;&gt;""), 1)-1))) &gt;= 115%, 115%, INDEX(AW1943:INDEX(AW1943:BH1943, MATCH(2, 1/(AW1943:BH1943&lt;&gt;""), 1)-1), ROW(INDIRECT("1:" &amp; MATCH(2, 1/(AW1943:BH1943&lt;&gt;""), 1)-1)))), 0))/_xlfn.XLOOKUP(F1943,Apuração!A:A,Apuração!B:B)&gt;=1.15,1.15,SUM(IFERROR(IF(INDEX(AW1943:INDEX(AW1943:BH1943, MATCH(2, 1/(AW1943:BH1943&lt;&gt;""), 1)-1), ROW(INDIRECT("1:" &amp; MATCH(2, 1/(AW1943:BH1943&lt;&gt;""), 1)-1))) &gt;= 115%, 115%, INDEX(AW1943:INDEX(AW1943:BH1943, MATCH(2, 1/(AW1943:BH1943&lt;&gt;""), 1)-1), ROW(INDIRECT("1:" &amp; MATCH(2, 1/(AW1943:BH1943&lt;&gt;""), 1)-1)))), 0))/_xlfn.XLOOKUP(F1943,Apuração!A:A,Apuração!B:B))</f>
        <v>0</v>
      </c>
      <c r="BM1943" s="55" cm="1">
        <f t="array" ref="BM1943">IFERROR(
   INDEX($AW$1:$BH$1,
      _xlfn.AGGREGATE(14, 6, COLUMN($AW$1:$BH$1)/(AW1943:BH1943&lt;&gt;""), 2) - COLUMN($AW$1) + 1
   ),
"")</f>
        <v>46082</v>
      </c>
      <c r="BN1943" s="55" cm="1">
        <f t="array" ref="BN1943">IFERROR(INDEX($AW$1:$BH$1,1,MATCH(2,1/(AW1943:BH1943&lt;&gt;""))),"")</f>
        <v>46113</v>
      </c>
      <c r="BO1943" s="53">
        <f ca="1">IFERROR(_xlfn.XLOOKUP(F1943,Apuração!A:A,Apuração!C:C)/_xlfn.XLOOKUP(F1943,Apuração!A:A,Apuração!B:B),0)</f>
        <v>0</v>
      </c>
      <c r="BP1943" s="53">
        <f ca="1">IFERROR(_xlfn.XLOOKUP(F1943,Apuração!A:A,Apuração!D:D)/_xlfn.XLOOKUP(F1943,Apuração!A:A,Apuração!B:B),0)</f>
        <v>0</v>
      </c>
      <c r="BQ1943" s="53">
        <f ca="1">IF(BK1943&gt;=BO1943,0,_xlfn.XLOOKUP(F1943,Apuração!A:A,Apuração!B:B)*(BO1943 + (1/_xlfn.XLOOKUP(F1943,Apuração!A:A,Apuração!B:B)) - BK1943))</f>
        <v>0</v>
      </c>
      <c r="BR1943" s="85">
        <f ca="1">IF(BQ1943=0,0,BQ1943*Z1943)</f>
        <v>0</v>
      </c>
      <c r="BS1943" s="53">
        <f ca="1">IFERROR((_xlfn.XLOOKUP(F1943,Apuração!A:A,Apuração!C:C)+1)/_xlfn.XLOOKUP(F1943,Apuração!A:A,Apuração!B:B),0)</f>
        <v>0.14285714285714285</v>
      </c>
    </row>
    <row r="1944" spans="1:71" ht="25.95" hidden="1" customHeight="1" x14ac:dyDescent="0.3">
      <c r="A1944" s="3" t="s">
        <v>33</v>
      </c>
      <c r="B1944" s="4" t="s">
        <v>53</v>
      </c>
      <c r="C1944" s="5" t="s">
        <v>216</v>
      </c>
      <c r="D1944" s="5" t="s">
        <v>217</v>
      </c>
      <c r="E1944" s="4" t="s">
        <v>61</v>
      </c>
      <c r="F1944" s="4" t="str" cm="1">
        <f t="array" ref="F1944">_xlfn.IFS(
AG1944 &lt;&gt; "", "Jan-Dez/26",
AH1944 &lt;&gt; "", "Fev-Dez/26",
AI1944 &lt;&gt; "", "Mar-Dez/26", AJ1944 &lt;&gt; "", "Abr-Dez/26",
TRUE, "A partir de Junho"
)</f>
        <v>A partir de Junho</v>
      </c>
      <c r="G1944" s="4" t="s">
        <v>62</v>
      </c>
      <c r="H1944" s="7" t="s">
        <v>110</v>
      </c>
      <c r="I1944" s="8" t="s">
        <v>55</v>
      </c>
      <c r="J1944" s="8" t="str" cm="1">
        <f t="array" aca="1" ref="J1944" ca="1">_xlfn.LET(
  _xlpm.actual_value_month, INDEX(T1944:AE1944, MATCH(DATE(YEAR(TODAY()), MONTH(TODAY()), 1), $T$1:$AE$1, 0)),
  IF(_xlpm.actual_value_month &lt;&gt; "",_xlpm.actual_value_month &amp; " eventos mensais", "")
)</f>
        <v>1 eventos mensais</v>
      </c>
      <c r="K1944" s="14" t="str" cm="1">
        <f t="array" ref="K1944">_xlfn.LET(
    _xlpm.sum_month, SUM(T1944:AE1944),
    IF(_xlpm.sum_month = 0, "", _xlpm.sum_month &amp; "  eventos no ano")
)</f>
        <v>9  eventos no ano</v>
      </c>
      <c r="L1944" s="9" t="s">
        <v>56</v>
      </c>
      <c r="M1944" s="13" t="s">
        <v>57</v>
      </c>
      <c r="N1944" s="5" t="s">
        <v>42</v>
      </c>
      <c r="O1944" s="5" t="s">
        <v>43</v>
      </c>
      <c r="P1944" s="10" t="s">
        <v>58</v>
      </c>
      <c r="Q1944" s="10" t="s">
        <v>44</v>
      </c>
      <c r="R1944" s="11" t="s">
        <v>45</v>
      </c>
      <c r="S1944" s="11" t="s">
        <v>46</v>
      </c>
      <c r="T1944" s="22"/>
      <c r="U1944" s="22"/>
      <c r="V1944" s="22"/>
      <c r="W1944" s="152">
        <v>1</v>
      </c>
      <c r="X1944" s="152">
        <v>1</v>
      </c>
      <c r="Y1944" s="152">
        <v>1</v>
      </c>
      <c r="Z1944" s="152">
        <v>1</v>
      </c>
      <c r="AA1944" s="152">
        <v>1</v>
      </c>
      <c r="AB1944" s="152">
        <v>1</v>
      </c>
      <c r="AC1944" s="152">
        <v>1</v>
      </c>
      <c r="AD1944" s="152">
        <v>1</v>
      </c>
      <c r="AE1944" s="152">
        <v>1</v>
      </c>
      <c r="AG1944" s="71"/>
      <c r="AH1944" s="71"/>
      <c r="AI1944" s="71"/>
      <c r="AJ1944" s="71"/>
      <c r="AK1944" s="71"/>
      <c r="AL1944" s="71"/>
      <c r="AM1944" s="71"/>
      <c r="AN1944" s="71"/>
      <c r="AO1944" s="71"/>
      <c r="AP1944" s="71"/>
      <c r="AQ1944" s="71"/>
      <c r="AR1944" s="71"/>
      <c r="AS1944" s="94">
        <f t="shared" ref="AS1944:AS1947" ca="1" si="2237">IF(MONTH(TODAY())=3,SUM(T1944:U1944),IF(MONTH(TODAY())=4,SUM(T1944:V1944),IF(MONTH(TODAY())=5,SUM(T1944:W1944),IF(MONTH(TODAY())=6,SUM(T1944:X1944),IF(MONTH(TODAY())=7,SUM(T1944:Y1944),IF(MONTH(TODAY())=8,SUM(T1944:Z1944),IF(MONTH(TODAY())=9,SUM(T1944:AA1944),IF(MONTH(TODAY())=10,SUM(T1944:AB1944),IF(MONTH(TODAY())=11,SUM(T1944:AC1944),IF(MONTH(TODAY())=12,SUM(T1944:AD1944),IF(MONTH(TODAY())=1,SUM(T1944:AE1944),T1944)))))))))))</f>
        <v>2</v>
      </c>
      <c r="AT1944" s="95">
        <f t="shared" ref="AT1944:AT1947" si="2238">SUM(IF(AW1944&lt;1.15,AG1944,1.15*T1944),IF(AX1944&lt;1.15,AH1944,1.15*U1944),IF(AY1944&lt;1.15,AI1944,1.15*V1944),IF(AZ1944&lt;1.15,AJ1944,1.15*W1944),IF(BA1944&lt;1.15,AK1944,1.15*X1944),IF(BB1944&lt;1.15,AL1944,1.15*Y1944),IF(BC1944&lt;1.15,AM1944,1.15*Z1944),IF(BD1944&lt;1.15,AN1944,1.15*AA1944),IF(BE1944&lt;1.15,AO1944,1.15*AB1944),IF(BF1944&lt;1.15,AP1944,1.15*AC1944),IF(BG1944&lt;1.15,AQ1944,1.15*AD1944),IF(BH1944&lt;1.15,AR1944,1.15*AE1944))</f>
        <v>0</v>
      </c>
      <c r="AU1944" s="97">
        <f t="shared" ref="AU1944:AU1947" si="2239">SUM(AG1944:AR1944)</f>
        <v>0</v>
      </c>
      <c r="AW1944" s="51">
        <f t="shared" ref="AW1944:AW1947" si="2240">IFERROR(IF(AG1944="",0,AG1944/T1944),0)</f>
        <v>0</v>
      </c>
      <c r="AX1944" s="51">
        <f t="shared" ref="AX1944:AX1947" si="2241">IFERROR(IF(AH1944="",0,AH1944/U1944),0)</f>
        <v>0</v>
      </c>
      <c r="AY1944" s="51">
        <f t="shared" ref="AY1944:AY1947" si="2242">IFERROR(IF(AI1944="",0,AI1944/V1944),0)</f>
        <v>0</v>
      </c>
      <c r="AZ1944" s="51">
        <f t="shared" ref="AZ1944:AZ1947" si="2243">IFERROR(IF(AJ1944="",0,AJ1944/W1944),0)</f>
        <v>0</v>
      </c>
      <c r="BA1944" s="51"/>
      <c r="BB1944" s="51"/>
      <c r="BC1944" s="51"/>
      <c r="BD1944" s="51"/>
      <c r="BE1944" s="51"/>
      <c r="BF1944" s="51"/>
      <c r="BG1944" s="51"/>
      <c r="BH1944" s="51"/>
      <c r="BI1944" s="65" cm="1">
        <f t="array" ref="BI1944">IFERROR(INDEX(AW1944:BH1944,1,MATCH(2,1/(AW1944:BH1944&lt;&gt;""))),"")</f>
        <v>0</v>
      </c>
      <c r="BJ1944" s="68" cm="1">
        <f t="array" ref="BJ1944">IF(BM1944 = "", "",IFERROR(INDEX(AW1944:BH1944,1,MATCH(2,1/(AW1944:BH1944&lt;&gt;""),1)-1),""))</f>
        <v>0</v>
      </c>
      <c r="BK1944" s="58">
        <f>IF((IF(AW1944&gt;=115%,115%,AW1944) + IF(AX1944&gt;=115%,115%,AX1944) + IF(AY1944&gt;=115%,115%,AY1944) + (IF(AZ1944&gt;=115%,115%,AZ1944) + IF(BA1944&gt;=115%,115%,BA1944) + IF(BB1944&gt;=115%,115%,BB1944) + IF(BC1944&gt;=115%,115%,BC1944) + IF(BD1944&gt;=115%,115%,BD1944) + IF(BE1944&gt;=115%,115%,BE1944) + IF(BF1944&gt;=115%,115%,BF1944) + IF(BG1944&gt;=115%,115%,BG1944) + IF(BH1944&gt;=115%,115%,BH1944)))/_xlfn.XLOOKUP(F1944,Apuração!A:A,Apuração!B:B)&gt;=1.15,1.15,((IF(AZ1944&gt;=115%,115%,AZ1944) + IF(AX1944&gt;=115%,115%,AX1944) + IF(AY1944&gt;=115%,115%,AY1944) + (IF(AW1944&gt;=115%,115%,AW1944) + IF(BA1944&gt;=115%,115%,BA1944) + IF(BB1944&gt;=115%,115%,BB1944) + IF(BC1944&gt;=115%,115%,BC1944) + IF(BD1944&gt;=115%,115%,BD1944) + IF(BE1944&gt;=115%,115%,BE1944) + IF(BF1944&gt;=115%,115%,BF1944) + IF(BG1944&gt;=115%,115%,BG1944) + IF(BH1944&gt;=115%,115%,BH1944)))/_xlfn.XLOOKUP(F1944,Apuração!A:A,Apuração!B:B)))</f>
        <v>0</v>
      </c>
      <c r="BL1944" s="58" cm="1">
        <f t="array" aca="1" ref="BL1944" ca="1">IF(SUM(IFERROR(IF(INDEX(AW1944:INDEX(AW1944:BH1944, MATCH(2, 1/(AW1944:BH1944&lt;&gt;""), 1)-1), ROW(INDIRECT("1:" &amp; MATCH(2, 1/(AW1944:BH1944&lt;&gt;""), 1)-1))) &gt;= 115%, 115%, INDEX(AW1944:INDEX(AW1944:BH1944, MATCH(2, 1/(AW1944:BH1944&lt;&gt;""), 1)-1), ROW(INDIRECT("1:" &amp; MATCH(2, 1/(AW1944:BH1944&lt;&gt;""), 1)-1)))), 0))/_xlfn.XLOOKUP(F1944,Apuração!A:A,Apuração!B:B)&gt;=1.15,1.15,SUM(IFERROR(IF(INDEX(AW1944:INDEX(AW1944:BH1944, MATCH(2, 1/(AW1944:BH1944&lt;&gt;""), 1)-1), ROW(INDIRECT("1:" &amp; MATCH(2, 1/(AW1944:BH1944&lt;&gt;""), 1)-1))) &gt;= 115%, 115%, INDEX(AW1944:INDEX(AW1944:BH1944, MATCH(2, 1/(AW1944:BH1944&lt;&gt;""), 1)-1), ROW(INDIRECT("1:" &amp; MATCH(2, 1/(AW1944:BH1944&lt;&gt;""), 1)-1)))), 0))/_xlfn.XLOOKUP(F1944,Apuração!A:A,Apuração!B:B))</f>
        <v>0</v>
      </c>
      <c r="BM1944" s="55" cm="1">
        <f t="array" ref="BM1944">IFERROR(
   INDEX($AW$1:$BH$1,
      _xlfn.AGGREGATE(14, 6, COLUMN($AW$1:$BH$1)/(AW1944:BH1944&lt;&gt;""), 2) - COLUMN($AW$1) + 1
   ),
"")</f>
        <v>46082</v>
      </c>
      <c r="BN1944" s="55" cm="1">
        <f t="array" ref="BN1944">IFERROR(INDEX($AW$1:$BH$1,1,MATCH(2,1/(AW1944:BH1944&lt;&gt;""))),"")</f>
        <v>46113</v>
      </c>
      <c r="BO1944" s="53">
        <f ca="1">IFERROR(_xlfn.XLOOKUP(F1944,Apuração!A:A,Apuração!C:C)/_xlfn.XLOOKUP(F1944,Apuração!A:A,Apuração!B:B),0)</f>
        <v>0</v>
      </c>
      <c r="BP1944" s="53">
        <f ca="1">IFERROR(_xlfn.XLOOKUP(F1944,Apuração!A:A,Apuração!D:D)/_xlfn.XLOOKUP(F1944,Apuração!A:A,Apuração!B:B),0)</f>
        <v>0</v>
      </c>
      <c r="BQ1944" s="53">
        <f ca="1">IF(BK1944&gt;=BO1944,0,_xlfn.XLOOKUP(F1944,Apuração!A:A,Apuração!B:B)*(BO1944 + (1/_xlfn.XLOOKUP(F1944,Apuração!A:A,Apuração!B:B)) - BK1944))</f>
        <v>0</v>
      </c>
      <c r="BR1944" s="85">
        <f t="shared" ref="BR1944:BR1947" ca="1" si="2244">IF(BQ1944=0,0,BQ1944*Z1944)</f>
        <v>0</v>
      </c>
      <c r="BS1944" s="53">
        <f ca="1">IFERROR((_xlfn.XLOOKUP(F1944,Apuração!A:A,Apuração!C:C)+1)/_xlfn.XLOOKUP(F1944,Apuração!A:A,Apuração!B:B),0)</f>
        <v>0.14285714285714285</v>
      </c>
    </row>
    <row r="1945" spans="1:71" ht="25.95" hidden="1" customHeight="1" x14ac:dyDescent="0.3">
      <c r="A1945" s="3" t="s">
        <v>33</v>
      </c>
      <c r="B1945" s="4" t="s">
        <v>53</v>
      </c>
      <c r="C1945" s="5" t="s">
        <v>216</v>
      </c>
      <c r="D1945" s="5" t="s">
        <v>103</v>
      </c>
      <c r="E1945" s="4" t="s">
        <v>61</v>
      </c>
      <c r="F1945" s="4" t="str" cm="1">
        <f t="array" ref="F1945">_xlfn.IFS(
AG1945 &lt;&gt; "", "Jan-Dez/26",
AH1945 &lt;&gt; "", "Fev-Dez/26",
AI1945 &lt;&gt; "", "Mar-Dez/26", AJ1945 &lt;&gt; "", "Abr-Dez/26",
TRUE, "A partir de Junho"
)</f>
        <v>A partir de Junho</v>
      </c>
      <c r="G1945" s="4" t="s">
        <v>62</v>
      </c>
      <c r="H1945" s="7" t="s">
        <v>110</v>
      </c>
      <c r="I1945" s="8" t="s">
        <v>55</v>
      </c>
      <c r="J1945" s="8" t="str" cm="1">
        <f t="array" aca="1" ref="J1945" ca="1">_xlfn.LET(
  _xlpm.actual_value_month, INDEX(T1945:AE1945, MATCH(DATE(YEAR(TODAY()), MONTH(TODAY()), 1), $T$1:$AE$1, 0)),
  IF(_xlpm.actual_value_month &lt;&gt; "",_xlpm.actual_value_month &amp; " eventos mensais", "")
)</f>
        <v>1 eventos mensais</v>
      </c>
      <c r="K1945" s="14" t="str" cm="1">
        <f t="array" ref="K1945">_xlfn.LET(
    _xlpm.sum_month, SUM(T1945:AE1945),
    IF(_xlpm.sum_month = 0, "", _xlpm.sum_month &amp; "  eventos no ano")
)</f>
        <v>9  eventos no ano</v>
      </c>
      <c r="L1945" s="9" t="s">
        <v>56</v>
      </c>
      <c r="M1945" s="13" t="s">
        <v>57</v>
      </c>
      <c r="N1945" s="5" t="s">
        <v>42</v>
      </c>
      <c r="O1945" s="5" t="s">
        <v>43</v>
      </c>
      <c r="P1945" s="10" t="s">
        <v>58</v>
      </c>
      <c r="Q1945" s="10" t="s">
        <v>44</v>
      </c>
      <c r="R1945" s="11" t="s">
        <v>45</v>
      </c>
      <c r="S1945" s="11" t="s">
        <v>46</v>
      </c>
      <c r="T1945" s="22"/>
      <c r="U1945" s="22"/>
      <c r="V1945" s="22"/>
      <c r="W1945" s="152">
        <v>1</v>
      </c>
      <c r="X1945" s="152">
        <v>1</v>
      </c>
      <c r="Y1945" s="152">
        <v>1</v>
      </c>
      <c r="Z1945" s="152">
        <v>1</v>
      </c>
      <c r="AA1945" s="152">
        <v>1</v>
      </c>
      <c r="AB1945" s="152">
        <v>1</v>
      </c>
      <c r="AC1945" s="152">
        <v>1</v>
      </c>
      <c r="AD1945" s="152">
        <v>1</v>
      </c>
      <c r="AE1945" s="152">
        <v>1</v>
      </c>
      <c r="AG1945" s="71"/>
      <c r="AH1945" s="71"/>
      <c r="AI1945" s="71"/>
      <c r="AJ1945" s="71"/>
      <c r="AK1945" s="71"/>
      <c r="AL1945" s="71"/>
      <c r="AM1945" s="71"/>
      <c r="AN1945" s="71"/>
      <c r="AO1945" s="71"/>
      <c r="AP1945" s="71"/>
      <c r="AQ1945" s="71"/>
      <c r="AR1945" s="71"/>
      <c r="AS1945" s="94">
        <f t="shared" ca="1" si="2237"/>
        <v>2</v>
      </c>
      <c r="AT1945" s="95">
        <f t="shared" si="2238"/>
        <v>0</v>
      </c>
      <c r="AU1945" s="97">
        <f t="shared" si="2239"/>
        <v>0</v>
      </c>
      <c r="AW1945" s="51">
        <f t="shared" si="2240"/>
        <v>0</v>
      </c>
      <c r="AX1945" s="51">
        <f t="shared" si="2241"/>
        <v>0</v>
      </c>
      <c r="AY1945" s="51">
        <f t="shared" si="2242"/>
        <v>0</v>
      </c>
      <c r="AZ1945" s="51">
        <f t="shared" si="2243"/>
        <v>0</v>
      </c>
      <c r="BA1945" s="51"/>
      <c r="BB1945" s="51"/>
      <c r="BC1945" s="51"/>
      <c r="BD1945" s="51"/>
      <c r="BE1945" s="51"/>
      <c r="BF1945" s="51"/>
      <c r="BG1945" s="51"/>
      <c r="BH1945" s="51"/>
      <c r="BI1945" s="65" cm="1">
        <f t="array" ref="BI1945">IFERROR(INDEX(AW1945:BH1945,1,MATCH(2,1/(AW1945:BH1945&lt;&gt;""))),"")</f>
        <v>0</v>
      </c>
      <c r="BJ1945" s="68" cm="1">
        <f t="array" ref="BJ1945">IF(BM1945 = "", "",IFERROR(INDEX(AW1945:BH1945,1,MATCH(2,1/(AW1945:BH1945&lt;&gt;""),1)-1),""))</f>
        <v>0</v>
      </c>
      <c r="BK1945" s="58">
        <f>IF((IF(AW1945&gt;=115%,115%,AW1945) + IF(AX1945&gt;=115%,115%,AX1945) + IF(AY1945&gt;=115%,115%,AY1945) + (IF(AZ1945&gt;=115%,115%,AZ1945) + IF(BA1945&gt;=115%,115%,BA1945) + IF(BB1945&gt;=115%,115%,BB1945) + IF(BC1945&gt;=115%,115%,BC1945) + IF(BD1945&gt;=115%,115%,BD1945) + IF(BE1945&gt;=115%,115%,BE1945) + IF(BF1945&gt;=115%,115%,BF1945) + IF(BG1945&gt;=115%,115%,BG1945) + IF(BH1945&gt;=115%,115%,BH1945)))/_xlfn.XLOOKUP(F1945,Apuração!A:A,Apuração!B:B)&gt;=1.15,1.15,((IF(AZ1945&gt;=115%,115%,AZ1945) + IF(AX1945&gt;=115%,115%,AX1945) + IF(AY1945&gt;=115%,115%,AY1945) + (IF(AW1945&gt;=115%,115%,AW1945) + IF(BA1945&gt;=115%,115%,BA1945) + IF(BB1945&gt;=115%,115%,BB1945) + IF(BC1945&gt;=115%,115%,BC1945) + IF(BD1945&gt;=115%,115%,BD1945) + IF(BE1945&gt;=115%,115%,BE1945) + IF(BF1945&gt;=115%,115%,BF1945) + IF(BG1945&gt;=115%,115%,BG1945) + IF(BH1945&gt;=115%,115%,BH1945)))/_xlfn.XLOOKUP(F1945,Apuração!A:A,Apuração!B:B)))</f>
        <v>0</v>
      </c>
      <c r="BL1945" s="58" cm="1">
        <f t="array" aca="1" ref="BL1945" ca="1">IF(SUM(IFERROR(IF(INDEX(AW1945:INDEX(AW1945:BH1945, MATCH(2, 1/(AW1945:BH1945&lt;&gt;""), 1)-1), ROW(INDIRECT("1:" &amp; MATCH(2, 1/(AW1945:BH1945&lt;&gt;""), 1)-1))) &gt;= 115%, 115%, INDEX(AW1945:INDEX(AW1945:BH1945, MATCH(2, 1/(AW1945:BH1945&lt;&gt;""), 1)-1), ROW(INDIRECT("1:" &amp; MATCH(2, 1/(AW1945:BH1945&lt;&gt;""), 1)-1)))), 0))/_xlfn.XLOOKUP(F1945,Apuração!A:A,Apuração!B:B)&gt;=1.15,1.15,SUM(IFERROR(IF(INDEX(AW1945:INDEX(AW1945:BH1945, MATCH(2, 1/(AW1945:BH1945&lt;&gt;""), 1)-1), ROW(INDIRECT("1:" &amp; MATCH(2, 1/(AW1945:BH1945&lt;&gt;""), 1)-1))) &gt;= 115%, 115%, INDEX(AW1945:INDEX(AW1945:BH1945, MATCH(2, 1/(AW1945:BH1945&lt;&gt;""), 1)-1), ROW(INDIRECT("1:" &amp; MATCH(2, 1/(AW1945:BH1945&lt;&gt;""), 1)-1)))), 0))/_xlfn.XLOOKUP(F1945,Apuração!A:A,Apuração!B:B))</f>
        <v>0</v>
      </c>
      <c r="BM1945" s="55" cm="1">
        <f t="array" ref="BM1945">IFERROR(
   INDEX($AW$1:$BH$1,
      _xlfn.AGGREGATE(14, 6, COLUMN($AW$1:$BH$1)/(AW1945:BH1945&lt;&gt;""), 2) - COLUMN($AW$1) + 1
   ),
"")</f>
        <v>46082</v>
      </c>
      <c r="BN1945" s="55" cm="1">
        <f t="array" ref="BN1945">IFERROR(INDEX($AW$1:$BH$1,1,MATCH(2,1/(AW1945:BH1945&lt;&gt;""))),"")</f>
        <v>46113</v>
      </c>
      <c r="BO1945" s="53">
        <f ca="1">IFERROR(_xlfn.XLOOKUP(F1945,Apuração!A:A,Apuração!C:C)/_xlfn.XLOOKUP(F1945,Apuração!A:A,Apuração!B:B),0)</f>
        <v>0</v>
      </c>
      <c r="BP1945" s="53">
        <f ca="1">IFERROR(_xlfn.XLOOKUP(F1945,Apuração!A:A,Apuração!D:D)/_xlfn.XLOOKUP(F1945,Apuração!A:A,Apuração!B:B),0)</f>
        <v>0</v>
      </c>
      <c r="BQ1945" s="53">
        <f ca="1">IF(BK1945&gt;=BO1945,0,_xlfn.XLOOKUP(F1945,Apuração!A:A,Apuração!B:B)*(BO1945 + (1/_xlfn.XLOOKUP(F1945,Apuração!A:A,Apuração!B:B)) - BK1945))</f>
        <v>0</v>
      </c>
      <c r="BR1945" s="85">
        <f t="shared" ca="1" si="2244"/>
        <v>0</v>
      </c>
      <c r="BS1945" s="53">
        <f ca="1">IFERROR((_xlfn.XLOOKUP(F1945,Apuração!A:A,Apuração!C:C)+1)/_xlfn.XLOOKUP(F1945,Apuração!A:A,Apuração!B:B),0)</f>
        <v>0.14285714285714285</v>
      </c>
    </row>
    <row r="1946" spans="1:71" ht="25.95" hidden="1" customHeight="1" x14ac:dyDescent="0.3">
      <c r="A1946" s="3" t="s">
        <v>33</v>
      </c>
      <c r="B1946" s="4" t="s">
        <v>53</v>
      </c>
      <c r="C1946" s="5" t="s">
        <v>216</v>
      </c>
      <c r="D1946" s="5" t="s">
        <v>218</v>
      </c>
      <c r="E1946" s="4" t="s">
        <v>61</v>
      </c>
      <c r="F1946" s="4" t="str" cm="1">
        <f t="array" ref="F1946">_xlfn.IFS(
AG1946 &lt;&gt; "", "Jan-Dez/26",
AH1946 &lt;&gt; "", "Fev-Dez/26",
AI1946 &lt;&gt; "", "Mar-Dez/26", AJ1946 &lt;&gt; "", "Abr-Dez/26",
TRUE, "A partir de Junho"
)</f>
        <v>A partir de Junho</v>
      </c>
      <c r="G1946" s="4" t="s">
        <v>62</v>
      </c>
      <c r="H1946" s="7" t="s">
        <v>110</v>
      </c>
      <c r="I1946" s="8" t="s">
        <v>55</v>
      </c>
      <c r="J1946" s="8" t="str" cm="1">
        <f t="array" aca="1" ref="J1946" ca="1">_xlfn.LET(
  _xlpm.actual_value_month, INDEX(T1946:AE1946, MATCH(DATE(YEAR(TODAY()), MONTH(TODAY()), 1), $T$1:$AE$1, 0)),
  IF(_xlpm.actual_value_month &lt;&gt; "",_xlpm.actual_value_month &amp; " eventos mensais", "")
)</f>
        <v>1 eventos mensais</v>
      </c>
      <c r="K1946" s="14" t="str" cm="1">
        <f t="array" ref="K1946">_xlfn.LET(
    _xlpm.sum_month, SUM(T1946:AE1946),
    IF(_xlpm.sum_month = 0, "", _xlpm.sum_month &amp; "  eventos no ano")
)</f>
        <v>9  eventos no ano</v>
      </c>
      <c r="L1946" s="9" t="s">
        <v>56</v>
      </c>
      <c r="M1946" s="13" t="s">
        <v>57</v>
      </c>
      <c r="N1946" s="5" t="s">
        <v>42</v>
      </c>
      <c r="O1946" s="5" t="s">
        <v>43</v>
      </c>
      <c r="P1946" s="10" t="s">
        <v>58</v>
      </c>
      <c r="Q1946" s="10" t="s">
        <v>44</v>
      </c>
      <c r="R1946" s="11" t="s">
        <v>45</v>
      </c>
      <c r="S1946" s="11" t="s">
        <v>46</v>
      </c>
      <c r="T1946" s="22"/>
      <c r="U1946" s="22"/>
      <c r="V1946" s="22"/>
      <c r="W1946" s="152">
        <v>1</v>
      </c>
      <c r="X1946" s="152">
        <v>1</v>
      </c>
      <c r="Y1946" s="152">
        <v>1</v>
      </c>
      <c r="Z1946" s="152">
        <v>1</v>
      </c>
      <c r="AA1946" s="152">
        <v>1</v>
      </c>
      <c r="AB1946" s="152">
        <v>1</v>
      </c>
      <c r="AC1946" s="152">
        <v>1</v>
      </c>
      <c r="AD1946" s="152">
        <v>1</v>
      </c>
      <c r="AE1946" s="152">
        <v>1</v>
      </c>
      <c r="AG1946" s="71"/>
      <c r="AH1946" s="71"/>
      <c r="AI1946" s="71"/>
      <c r="AJ1946" s="71"/>
      <c r="AK1946" s="71"/>
      <c r="AL1946" s="71"/>
      <c r="AM1946" s="71"/>
      <c r="AN1946" s="71"/>
      <c r="AO1946" s="71"/>
      <c r="AP1946" s="71"/>
      <c r="AQ1946" s="71"/>
      <c r="AR1946" s="71"/>
      <c r="AS1946" s="94">
        <f t="shared" ca="1" si="2237"/>
        <v>2</v>
      </c>
      <c r="AT1946" s="95">
        <f t="shared" si="2238"/>
        <v>0</v>
      </c>
      <c r="AU1946" s="97">
        <f t="shared" si="2239"/>
        <v>0</v>
      </c>
      <c r="AW1946" s="51">
        <f t="shared" si="2240"/>
        <v>0</v>
      </c>
      <c r="AX1946" s="51">
        <f t="shared" si="2241"/>
        <v>0</v>
      </c>
      <c r="AY1946" s="51">
        <f t="shared" si="2242"/>
        <v>0</v>
      </c>
      <c r="AZ1946" s="51">
        <f t="shared" si="2243"/>
        <v>0</v>
      </c>
      <c r="BA1946" s="51"/>
      <c r="BB1946" s="51"/>
      <c r="BC1946" s="51"/>
      <c r="BD1946" s="51"/>
      <c r="BE1946" s="51"/>
      <c r="BF1946" s="51"/>
      <c r="BG1946" s="51"/>
      <c r="BH1946" s="51"/>
      <c r="BI1946" s="65" cm="1">
        <f t="array" ref="BI1946">IFERROR(INDEX(AW1946:BH1946,1,MATCH(2,1/(AW1946:BH1946&lt;&gt;""))),"")</f>
        <v>0</v>
      </c>
      <c r="BJ1946" s="68" cm="1">
        <f t="array" ref="BJ1946">IF(BM1946 = "", "",IFERROR(INDEX(AW1946:BH1946,1,MATCH(2,1/(AW1946:BH1946&lt;&gt;""),1)-1),""))</f>
        <v>0</v>
      </c>
      <c r="BK1946" s="58">
        <f>IF((IF(AW1946&gt;=115%,115%,AW1946) + IF(AX1946&gt;=115%,115%,AX1946) + IF(AY1946&gt;=115%,115%,AY1946) + (IF(AZ1946&gt;=115%,115%,AZ1946) + IF(BA1946&gt;=115%,115%,BA1946) + IF(BB1946&gt;=115%,115%,BB1946) + IF(BC1946&gt;=115%,115%,BC1946) + IF(BD1946&gt;=115%,115%,BD1946) + IF(BE1946&gt;=115%,115%,BE1946) + IF(BF1946&gt;=115%,115%,BF1946) + IF(BG1946&gt;=115%,115%,BG1946) + IF(BH1946&gt;=115%,115%,BH1946)))/_xlfn.XLOOKUP(F1946,Apuração!A:A,Apuração!B:B)&gt;=1.15,1.15,((IF(AZ1946&gt;=115%,115%,AZ1946) + IF(AX1946&gt;=115%,115%,AX1946) + IF(AY1946&gt;=115%,115%,AY1946) + (IF(AW1946&gt;=115%,115%,AW1946) + IF(BA1946&gt;=115%,115%,BA1946) + IF(BB1946&gt;=115%,115%,BB1946) + IF(BC1946&gt;=115%,115%,BC1946) + IF(BD1946&gt;=115%,115%,BD1946) + IF(BE1946&gt;=115%,115%,BE1946) + IF(BF1946&gt;=115%,115%,BF1946) + IF(BG1946&gt;=115%,115%,BG1946) + IF(BH1946&gt;=115%,115%,BH1946)))/_xlfn.XLOOKUP(F1946,Apuração!A:A,Apuração!B:B)))</f>
        <v>0</v>
      </c>
      <c r="BL1946" s="58" cm="1">
        <f t="array" aca="1" ref="BL1946" ca="1">IF(SUM(IFERROR(IF(INDEX(AW1946:INDEX(AW1946:BH1946, MATCH(2, 1/(AW1946:BH1946&lt;&gt;""), 1)-1), ROW(INDIRECT("1:" &amp; MATCH(2, 1/(AW1946:BH1946&lt;&gt;""), 1)-1))) &gt;= 115%, 115%, INDEX(AW1946:INDEX(AW1946:BH1946, MATCH(2, 1/(AW1946:BH1946&lt;&gt;""), 1)-1), ROW(INDIRECT("1:" &amp; MATCH(2, 1/(AW1946:BH1946&lt;&gt;""), 1)-1)))), 0))/_xlfn.XLOOKUP(F1946,Apuração!A:A,Apuração!B:B)&gt;=1.15,1.15,SUM(IFERROR(IF(INDEX(AW1946:INDEX(AW1946:BH1946, MATCH(2, 1/(AW1946:BH1946&lt;&gt;""), 1)-1), ROW(INDIRECT("1:" &amp; MATCH(2, 1/(AW1946:BH1946&lt;&gt;""), 1)-1))) &gt;= 115%, 115%, INDEX(AW1946:INDEX(AW1946:BH1946, MATCH(2, 1/(AW1946:BH1946&lt;&gt;""), 1)-1), ROW(INDIRECT("1:" &amp; MATCH(2, 1/(AW1946:BH1946&lt;&gt;""), 1)-1)))), 0))/_xlfn.XLOOKUP(F1946,Apuração!A:A,Apuração!B:B))</f>
        <v>0</v>
      </c>
      <c r="BM1946" s="55" cm="1">
        <f t="array" ref="BM1946">IFERROR(
   INDEX($AW$1:$BH$1,
      _xlfn.AGGREGATE(14, 6, COLUMN($AW$1:$BH$1)/(AW1946:BH1946&lt;&gt;""), 2) - COLUMN($AW$1) + 1
   ),
"")</f>
        <v>46082</v>
      </c>
      <c r="BN1946" s="55" cm="1">
        <f t="array" ref="BN1946">IFERROR(INDEX($AW$1:$BH$1,1,MATCH(2,1/(AW1946:BH1946&lt;&gt;""))),"")</f>
        <v>46113</v>
      </c>
      <c r="BO1946" s="53">
        <f ca="1">IFERROR(_xlfn.XLOOKUP(F1946,Apuração!A:A,Apuração!C:C)/_xlfn.XLOOKUP(F1946,Apuração!A:A,Apuração!B:B),0)</f>
        <v>0</v>
      </c>
      <c r="BP1946" s="53">
        <f ca="1">IFERROR(_xlfn.XLOOKUP(F1946,Apuração!A:A,Apuração!D:D)/_xlfn.XLOOKUP(F1946,Apuração!A:A,Apuração!B:B),0)</f>
        <v>0</v>
      </c>
      <c r="BQ1946" s="53">
        <f ca="1">IF(BK1946&gt;=BO1946,0,_xlfn.XLOOKUP(F1946,Apuração!A:A,Apuração!B:B)*(BO1946 + (1/_xlfn.XLOOKUP(F1946,Apuração!A:A,Apuração!B:B)) - BK1946))</f>
        <v>0</v>
      </c>
      <c r="BR1946" s="85">
        <f t="shared" ca="1" si="2244"/>
        <v>0</v>
      </c>
      <c r="BS1946" s="53">
        <f ca="1">IFERROR((_xlfn.XLOOKUP(F1946,Apuração!A:A,Apuração!C:C)+1)/_xlfn.XLOOKUP(F1946,Apuração!A:A,Apuração!B:B),0)</f>
        <v>0.14285714285714285</v>
      </c>
    </row>
    <row r="1947" spans="1:71" ht="25.95" hidden="1" customHeight="1" x14ac:dyDescent="0.3">
      <c r="A1947" s="3" t="s">
        <v>33</v>
      </c>
      <c r="B1947" s="4" t="s">
        <v>53</v>
      </c>
      <c r="C1947" s="5" t="s">
        <v>216</v>
      </c>
      <c r="D1947" s="5" t="s">
        <v>219</v>
      </c>
      <c r="E1947" s="4" t="s">
        <v>61</v>
      </c>
      <c r="F1947" s="4" t="str" cm="1">
        <f t="array" ref="F1947">_xlfn.IFS(
AG1947 &lt;&gt; "", "Jan-Dez/26",
AH1947 &lt;&gt; "", "Fev-Dez/26",
AI1947 &lt;&gt; "", "Mar-Dez/26", AJ1947 &lt;&gt; "", "Abr-Dez/26",
TRUE, "A partir de Junho"
)</f>
        <v>A partir de Junho</v>
      </c>
      <c r="G1947" s="4" t="s">
        <v>62</v>
      </c>
      <c r="H1947" s="7" t="s">
        <v>110</v>
      </c>
      <c r="I1947" s="8" t="s">
        <v>55</v>
      </c>
      <c r="J1947" s="8" t="str" cm="1">
        <f t="array" aca="1" ref="J1947" ca="1">_xlfn.LET(
  _xlpm.actual_value_month, INDEX(T1947:AE1947, MATCH(DATE(YEAR(TODAY()), MONTH(TODAY()), 1), $T$1:$AE$1, 0)),
  IF(_xlpm.actual_value_month &lt;&gt; "",_xlpm.actual_value_month &amp; " eventos mensais", "")
)</f>
        <v>1 eventos mensais</v>
      </c>
      <c r="K1947" s="14" t="str" cm="1">
        <f t="array" ref="K1947">_xlfn.LET(
    _xlpm.sum_month, SUM(T1947:AE1947),
    IF(_xlpm.sum_month = 0, "", _xlpm.sum_month &amp; "  eventos no ano")
)</f>
        <v>9  eventos no ano</v>
      </c>
      <c r="L1947" s="9" t="s">
        <v>56</v>
      </c>
      <c r="M1947" s="13" t="s">
        <v>57</v>
      </c>
      <c r="N1947" s="5" t="s">
        <v>42</v>
      </c>
      <c r="O1947" s="5" t="s">
        <v>43</v>
      </c>
      <c r="P1947" s="10" t="s">
        <v>58</v>
      </c>
      <c r="Q1947" s="10" t="s">
        <v>44</v>
      </c>
      <c r="R1947" s="11" t="s">
        <v>45</v>
      </c>
      <c r="S1947" s="11" t="s">
        <v>46</v>
      </c>
      <c r="T1947" s="22"/>
      <c r="U1947" s="22"/>
      <c r="V1947" s="22"/>
      <c r="W1947" s="152">
        <v>1</v>
      </c>
      <c r="X1947" s="152">
        <v>1</v>
      </c>
      <c r="Y1947" s="152">
        <v>1</v>
      </c>
      <c r="Z1947" s="152">
        <v>1</v>
      </c>
      <c r="AA1947" s="152">
        <v>1</v>
      </c>
      <c r="AB1947" s="152">
        <v>1</v>
      </c>
      <c r="AC1947" s="152">
        <v>1</v>
      </c>
      <c r="AD1947" s="152">
        <v>1</v>
      </c>
      <c r="AE1947" s="152">
        <v>1</v>
      </c>
      <c r="AG1947" s="71"/>
      <c r="AH1947" s="71"/>
      <c r="AI1947" s="71"/>
      <c r="AJ1947" s="71"/>
      <c r="AK1947" s="71"/>
      <c r="AL1947" s="71"/>
      <c r="AM1947" s="71"/>
      <c r="AN1947" s="71"/>
      <c r="AO1947" s="71"/>
      <c r="AP1947" s="71"/>
      <c r="AQ1947" s="71"/>
      <c r="AR1947" s="71"/>
      <c r="AS1947" s="94">
        <f t="shared" ca="1" si="2237"/>
        <v>2</v>
      </c>
      <c r="AT1947" s="95">
        <f t="shared" si="2238"/>
        <v>0</v>
      </c>
      <c r="AU1947" s="97">
        <f t="shared" si="2239"/>
        <v>0</v>
      </c>
      <c r="AW1947" s="51">
        <f t="shared" si="2240"/>
        <v>0</v>
      </c>
      <c r="AX1947" s="51">
        <f t="shared" si="2241"/>
        <v>0</v>
      </c>
      <c r="AY1947" s="51">
        <f t="shared" si="2242"/>
        <v>0</v>
      </c>
      <c r="AZ1947" s="51">
        <f t="shared" si="2243"/>
        <v>0</v>
      </c>
      <c r="BA1947" s="51"/>
      <c r="BB1947" s="51"/>
      <c r="BC1947" s="51"/>
      <c r="BD1947" s="51"/>
      <c r="BE1947" s="51"/>
      <c r="BF1947" s="51"/>
      <c r="BG1947" s="51"/>
      <c r="BH1947" s="51"/>
      <c r="BI1947" s="65" cm="1">
        <f t="array" ref="BI1947">IFERROR(INDEX(AW1947:BH1947,1,MATCH(2,1/(AW1947:BH1947&lt;&gt;""))),"")</f>
        <v>0</v>
      </c>
      <c r="BJ1947" s="68" cm="1">
        <f t="array" ref="BJ1947">IF(BM1947 = "", "",IFERROR(INDEX(AW1947:BH1947,1,MATCH(2,1/(AW1947:BH1947&lt;&gt;""),1)-1),""))</f>
        <v>0</v>
      </c>
      <c r="BK1947" s="58">
        <f>IF((IF(AW1947&gt;=115%,115%,AW1947) + IF(AX1947&gt;=115%,115%,AX1947) + IF(AY1947&gt;=115%,115%,AY1947) + (IF(AZ1947&gt;=115%,115%,AZ1947) + IF(BA1947&gt;=115%,115%,BA1947) + IF(BB1947&gt;=115%,115%,BB1947) + IF(BC1947&gt;=115%,115%,BC1947) + IF(BD1947&gt;=115%,115%,BD1947) + IF(BE1947&gt;=115%,115%,BE1947) + IF(BF1947&gt;=115%,115%,BF1947) + IF(BG1947&gt;=115%,115%,BG1947) + IF(BH1947&gt;=115%,115%,BH1947)))/_xlfn.XLOOKUP(F1947,Apuração!A:A,Apuração!B:B)&gt;=1.15,1.15,((IF(AZ1947&gt;=115%,115%,AZ1947) + IF(AX1947&gt;=115%,115%,AX1947) + IF(AY1947&gt;=115%,115%,AY1947) + (IF(AW1947&gt;=115%,115%,AW1947) + IF(BA1947&gt;=115%,115%,BA1947) + IF(BB1947&gt;=115%,115%,BB1947) + IF(BC1947&gt;=115%,115%,BC1947) + IF(BD1947&gt;=115%,115%,BD1947) + IF(BE1947&gt;=115%,115%,BE1947) + IF(BF1947&gt;=115%,115%,BF1947) + IF(BG1947&gt;=115%,115%,BG1947) + IF(BH1947&gt;=115%,115%,BH1947)))/_xlfn.XLOOKUP(F1947,Apuração!A:A,Apuração!B:B)))</f>
        <v>0</v>
      </c>
      <c r="BL1947" s="58" cm="1">
        <f t="array" aca="1" ref="BL1947" ca="1">IF(SUM(IFERROR(IF(INDEX(AW1947:INDEX(AW1947:BH1947, MATCH(2, 1/(AW1947:BH1947&lt;&gt;""), 1)-1), ROW(INDIRECT("1:" &amp; MATCH(2, 1/(AW1947:BH1947&lt;&gt;""), 1)-1))) &gt;= 115%, 115%, INDEX(AW1947:INDEX(AW1947:BH1947, MATCH(2, 1/(AW1947:BH1947&lt;&gt;""), 1)-1), ROW(INDIRECT("1:" &amp; MATCH(2, 1/(AW1947:BH1947&lt;&gt;""), 1)-1)))), 0))/_xlfn.XLOOKUP(F1947,Apuração!A:A,Apuração!B:B)&gt;=1.15,1.15,SUM(IFERROR(IF(INDEX(AW1947:INDEX(AW1947:BH1947, MATCH(2, 1/(AW1947:BH1947&lt;&gt;""), 1)-1), ROW(INDIRECT("1:" &amp; MATCH(2, 1/(AW1947:BH1947&lt;&gt;""), 1)-1))) &gt;= 115%, 115%, INDEX(AW1947:INDEX(AW1947:BH1947, MATCH(2, 1/(AW1947:BH1947&lt;&gt;""), 1)-1), ROW(INDIRECT("1:" &amp; MATCH(2, 1/(AW1947:BH1947&lt;&gt;""), 1)-1)))), 0))/_xlfn.XLOOKUP(F1947,Apuração!A:A,Apuração!B:B))</f>
        <v>0</v>
      </c>
      <c r="BM1947" s="55" cm="1">
        <f t="array" ref="BM1947">IFERROR(
   INDEX($AW$1:$BH$1,
      _xlfn.AGGREGATE(14, 6, COLUMN($AW$1:$BH$1)/(AW1947:BH1947&lt;&gt;""), 2) - COLUMN($AW$1) + 1
   ),
"")</f>
        <v>46082</v>
      </c>
      <c r="BN1947" s="55" cm="1">
        <f t="array" ref="BN1947">IFERROR(INDEX($AW$1:$BH$1,1,MATCH(2,1/(AW1947:BH1947&lt;&gt;""))),"")</f>
        <v>46113</v>
      </c>
      <c r="BO1947" s="53">
        <f ca="1">IFERROR(_xlfn.XLOOKUP(F1947,Apuração!A:A,Apuração!C:C)/_xlfn.XLOOKUP(F1947,Apuração!A:A,Apuração!B:B),0)</f>
        <v>0</v>
      </c>
      <c r="BP1947" s="53">
        <f ca="1">IFERROR(_xlfn.XLOOKUP(F1947,Apuração!A:A,Apuração!D:D)/_xlfn.XLOOKUP(F1947,Apuração!A:A,Apuração!B:B),0)</f>
        <v>0</v>
      </c>
      <c r="BQ1947" s="53">
        <f ca="1">IF(BK1947&gt;=BO1947,0,_xlfn.XLOOKUP(F1947,Apuração!A:A,Apuração!B:B)*(BO1947 + (1/_xlfn.XLOOKUP(F1947,Apuração!A:A,Apuração!B:B)) - BK1947))</f>
        <v>0</v>
      </c>
      <c r="BR1947" s="85">
        <f t="shared" ca="1" si="2244"/>
        <v>0</v>
      </c>
      <c r="BS1947" s="53">
        <f ca="1">IFERROR((_xlfn.XLOOKUP(F1947,Apuração!A:A,Apuração!C:C)+1)/_xlfn.XLOOKUP(F1947,Apuração!A:A,Apuração!B:B),0)</f>
        <v>0.14285714285714285</v>
      </c>
    </row>
    <row r="1948" spans="1:71" ht="25.95" hidden="1" customHeight="1" x14ac:dyDescent="0.3">
      <c r="A1948" s="39" t="s">
        <v>33</v>
      </c>
      <c r="B1948" s="4" t="s">
        <v>53</v>
      </c>
      <c r="C1948" s="5" t="s">
        <v>216</v>
      </c>
      <c r="D1948" s="5" t="s">
        <v>36</v>
      </c>
      <c r="E1948" s="4" t="s">
        <v>61</v>
      </c>
      <c r="F1948" s="4" t="str" cm="1">
        <f t="array" ref="F1948">_xlfn.IFS(
AG1948 &lt;&gt; "", "Jan-Dez/26",
AH1948 &lt;&gt; "", "Fev-Dez/26",
AI1948 &lt;&gt; "", "Mar-Dez/26", AJ1948 &lt;&gt; "", "Abr-Dez/26",
TRUE, "A partir de Junho"
)</f>
        <v>A partir de Junho</v>
      </c>
      <c r="G1948" s="4" t="s">
        <v>62</v>
      </c>
      <c r="H1948" s="7" t="s">
        <v>110</v>
      </c>
      <c r="I1948" s="8" t="s">
        <v>59</v>
      </c>
      <c r="J1948" s="8" t="str" cm="1">
        <f t="array" aca="1" ref="J1948" ca="1">_xlfn.LET(
  _xlpm.actual_value_month, INDEX(T1948:AE1948, MATCH(DATE(YEAR(TODAY()), MONTH(TODAY()), 1), $T$1:$AE$1, 0)),
  IF(_xlpm.actual_value_month &lt;&gt; "",_xlpm.actual_value_month &amp; " ações mensais", "")
)</f>
        <v/>
      </c>
      <c r="K1948" s="12" t="str" cm="1">
        <f t="array" ref="K1948">_xlfn.LET(
    _xlpm.sum_month, SUM(T1948:AE1948),
    IF(_xlpm.sum_month = 0, "", _xlpm.sum_month &amp; " pessoas impactadas no ano")
)</f>
        <v/>
      </c>
      <c r="L1948" s="9" t="s">
        <v>59</v>
      </c>
      <c r="M1948" s="13">
        <v>1</v>
      </c>
      <c r="N1948" s="5" t="s">
        <v>51</v>
      </c>
      <c r="O1948" s="5" t="s">
        <v>52</v>
      </c>
      <c r="P1948" s="10" t="s">
        <v>44</v>
      </c>
      <c r="Q1948" s="10" t="s">
        <v>44</v>
      </c>
      <c r="R1948" s="11" t="s">
        <v>44</v>
      </c>
      <c r="S1948" s="11" t="s">
        <v>44</v>
      </c>
      <c r="T1948" s="22"/>
      <c r="U1948" s="22"/>
      <c r="V1948" s="22"/>
      <c r="W1948" s="22"/>
      <c r="X1948" s="22"/>
      <c r="Y1948" s="22"/>
      <c r="Z1948" s="22"/>
      <c r="AA1948" s="22"/>
      <c r="AB1948" s="22"/>
      <c r="AC1948" s="22"/>
      <c r="AD1948" s="22"/>
      <c r="AE1948" s="22"/>
      <c r="AG1948" s="71"/>
      <c r="AH1948" s="71"/>
      <c r="AI1948" s="71"/>
      <c r="AJ1948" s="71"/>
      <c r="AK1948" s="71"/>
      <c r="AL1948" s="71"/>
      <c r="AM1948" s="71"/>
      <c r="AN1948" s="71"/>
      <c r="AO1948" s="71"/>
      <c r="AP1948" s="71"/>
      <c r="AQ1948" s="71"/>
      <c r="AR1948" s="71"/>
      <c r="AS1948" s="94">
        <f ca="1">IF(MONTH(TODAY())=3,SUM(T1948:U1948),IF(MONTH(TODAY())=4,SUM(T1948:V1948),IF(MONTH(TODAY())=5,SUM(T1948:W1948),IF(MONTH(TODAY())=6,SUM(T1948:X1948),IF(MONTH(TODAY())=7,SUM(T1948:Y1948),IF(MONTH(TODAY())=8,SUM(T1948:Z1948),IF(MONTH(TODAY())=9,SUM(T1948:AA1948),IF(MONTH(TODAY())=10,SUM(T1948:AB1948),IF(MONTH(TODAY())=11,SUM(T1948:AC1948),IF(MONTH(TODAY())=12,SUM(T1948:AD1948),IF(MONTH(TODAY())=1,SUM(T1948:AE1948),T1948)))))))))))</f>
        <v>0</v>
      </c>
      <c r="AT1948" s="95">
        <f>SUM(AG1948:AR1948)</f>
        <v>0</v>
      </c>
      <c r="AU1948" s="97">
        <f>SUM(AG1948:AR1948)</f>
        <v>0</v>
      </c>
      <c r="AW1948" s="83">
        <f>AG1948</f>
        <v>0</v>
      </c>
      <c r="AX1948" s="83">
        <f>AH1948</f>
        <v>0</v>
      </c>
      <c r="AY1948" s="83">
        <f>AI1948</f>
        <v>0</v>
      </c>
      <c r="AZ1948" s="83">
        <f>AJ1948</f>
        <v>0</v>
      </c>
      <c r="BA1948" s="52"/>
      <c r="BB1948" s="52"/>
      <c r="BC1948" s="52"/>
      <c r="BD1948" s="52"/>
      <c r="BE1948" s="52"/>
      <c r="BF1948" s="52"/>
      <c r="BG1948" s="52"/>
      <c r="BH1948" s="52"/>
      <c r="BI1948" s="68" cm="1">
        <f t="array" ref="BI1948">IFERROR(INDEX(AW1948:BH1948,1,MATCH(2,1/(AW1948:BH1948&lt;&gt;""))),"")</f>
        <v>0</v>
      </c>
      <c r="BJ1948" s="68" cm="1">
        <f t="array" ref="BJ1948">IF(BM1948 = "", "",IFERROR(INDEX(AW1948:BH1948,1,MATCH(2,1/(AW1948:BH1948&lt;&gt;""),1)-1),""))</f>
        <v>0</v>
      </c>
      <c r="BK1948" s="59">
        <f>SUM(AW1948:BH1948)</f>
        <v>0</v>
      </c>
      <c r="BL1948" s="59" cm="1">
        <f t="array" ref="BL1948">IFERROR(SUM(AW1948:INDEX(AW1948:BH1948, MATCH(2, 1/(AW1948:BH1948&lt;&gt;""), 1) - 1))/_xlfn.XLOOKUP(F1948,Apuração!A:A,Apuração!B:B),0)</f>
        <v>0</v>
      </c>
      <c r="BM1948" s="55" cm="1">
        <f t="array" ref="BM1948">IFERROR(
   INDEX($AW$1:$BH$1,
      _xlfn.AGGREGATE(14, 6, COLUMN($AW$1:$BH$1)/(AW1948:BH1948&lt;&gt;""), 2) - COLUMN($AW$1) + 1
   ),
"")</f>
        <v>46082</v>
      </c>
      <c r="BN1948" s="55" cm="1">
        <f t="array" ref="BN1948">IFERROR(INDEX($AW$1:$BH$1,1,MATCH(2,1/(AW1948:BH1948&lt;&gt;""))),"")</f>
        <v>46113</v>
      </c>
      <c r="BO1948" s="53">
        <f ca="1">IFERROR(_xlfn.XLOOKUP(F1948,Apuração!A:A,Apuração!C:C)/_xlfn.XLOOKUP(F1948,Apuração!A:A,Apuração!B:B),0)</f>
        <v>0</v>
      </c>
      <c r="BP1948" s="53">
        <f ca="1">IFERROR(_xlfn.XLOOKUP(F1948,Apuração!A:A,Apuração!D:D)/_xlfn.XLOOKUP(F1948,Apuração!A:A,Apuração!B:B),0)</f>
        <v>0</v>
      </c>
      <c r="BQ1948" s="53">
        <f ca="1">IF(BK1948&gt;=BO1948,0,_xlfn.XLOOKUP(F1948,Apuração!A:A,Apuração!B:B)*(BO1948 + (1/_xlfn.XLOOKUP(F1948,Apuração!A:A,Apuração!B:B)) - BK1948))</f>
        <v>0</v>
      </c>
      <c r="BR1948" s="85">
        <f ca="1">IF(BQ1948=0,0,BQ1948*Z1948)</f>
        <v>0</v>
      </c>
      <c r="BS1948" s="53">
        <f ca="1">IFERROR((_xlfn.XLOOKUP(F1948,Apuração!A:A,Apuração!C:C)+1)/_xlfn.XLOOKUP(F1948,Apuração!A:A,Apuração!B:B),0)</f>
        <v>0.14285714285714285</v>
      </c>
    </row>
    <row r="1949" spans="1:71" ht="25.95" hidden="1" customHeight="1" x14ac:dyDescent="0.3">
      <c r="A1949" s="39" t="s">
        <v>33</v>
      </c>
      <c r="B1949" s="4" t="s">
        <v>53</v>
      </c>
      <c r="C1949" s="5" t="s">
        <v>216</v>
      </c>
      <c r="D1949" s="5" t="s">
        <v>217</v>
      </c>
      <c r="E1949" s="4" t="s">
        <v>61</v>
      </c>
      <c r="F1949" s="4" t="str" cm="1">
        <f t="array" ref="F1949">_xlfn.IFS(
AG1949 &lt;&gt; "", "Jan-Dez/26",
AH1949 &lt;&gt; "", "Fev-Dez/26",
AI1949 &lt;&gt; "", "Mar-Dez/26", AJ1949 &lt;&gt; "", "Abr-Dez/26",
TRUE, "A partir de Junho"
)</f>
        <v>A partir de Junho</v>
      </c>
      <c r="G1949" s="4" t="s">
        <v>62</v>
      </c>
      <c r="H1949" s="7" t="s">
        <v>110</v>
      </c>
      <c r="I1949" s="8" t="s">
        <v>59</v>
      </c>
      <c r="J1949" s="8" t="str" cm="1">
        <f t="array" aca="1" ref="J1949" ca="1">_xlfn.LET(
  _xlpm.actual_value_month, INDEX(T1949:AE1949, MATCH(DATE(YEAR(TODAY()), MONTH(TODAY()), 1), $T$1:$AE$1, 0)),
  IF(_xlpm.actual_value_month &lt;&gt; "",_xlpm.actual_value_month &amp; " ações mensais", "")
)</f>
        <v/>
      </c>
      <c r="K1949" s="12" t="str" cm="1">
        <f t="array" ref="K1949">_xlfn.LET(
    _xlpm.sum_month, SUM(T1949:AE1949),
    IF(_xlpm.sum_month = 0, "", _xlpm.sum_month &amp; " pessoas impactadas no ano")
)</f>
        <v/>
      </c>
      <c r="L1949" s="9" t="s">
        <v>59</v>
      </c>
      <c r="M1949" s="13">
        <v>1</v>
      </c>
      <c r="N1949" s="5" t="s">
        <v>51</v>
      </c>
      <c r="O1949" s="5" t="s">
        <v>52</v>
      </c>
      <c r="P1949" s="10" t="s">
        <v>44</v>
      </c>
      <c r="Q1949" s="10" t="s">
        <v>44</v>
      </c>
      <c r="R1949" s="11" t="s">
        <v>44</v>
      </c>
      <c r="S1949" s="11" t="s">
        <v>44</v>
      </c>
      <c r="T1949" s="22"/>
      <c r="U1949" s="22"/>
      <c r="V1949" s="22"/>
      <c r="W1949" s="22"/>
      <c r="X1949" s="22"/>
      <c r="Y1949" s="22"/>
      <c r="Z1949" s="22"/>
      <c r="AA1949" s="22"/>
      <c r="AB1949" s="22"/>
      <c r="AC1949" s="22"/>
      <c r="AD1949" s="22"/>
      <c r="AE1949" s="22"/>
      <c r="AG1949" s="71"/>
      <c r="AH1949" s="71"/>
      <c r="AI1949" s="71"/>
      <c r="AJ1949" s="71"/>
      <c r="AK1949" s="71"/>
      <c r="AL1949" s="71"/>
      <c r="AM1949" s="71"/>
      <c r="AN1949" s="71"/>
      <c r="AO1949" s="71"/>
      <c r="AP1949" s="71"/>
      <c r="AQ1949" s="71"/>
      <c r="AR1949" s="71"/>
      <c r="AS1949" s="94">
        <f t="shared" ref="AS1949:AS1952" ca="1" si="2245">IF(MONTH(TODAY())=3,SUM(T1949:U1949),IF(MONTH(TODAY())=4,SUM(T1949:V1949),IF(MONTH(TODAY())=5,SUM(T1949:W1949),IF(MONTH(TODAY())=6,SUM(T1949:X1949),IF(MONTH(TODAY())=7,SUM(T1949:Y1949),IF(MONTH(TODAY())=8,SUM(T1949:Z1949),IF(MONTH(TODAY())=9,SUM(T1949:AA1949),IF(MONTH(TODAY())=10,SUM(T1949:AB1949),IF(MONTH(TODAY())=11,SUM(T1949:AC1949),IF(MONTH(TODAY())=12,SUM(T1949:AD1949),IF(MONTH(TODAY())=1,SUM(T1949:AE1949),T1949)))))))))))</f>
        <v>0</v>
      </c>
      <c r="AT1949" s="95">
        <f t="shared" ref="AT1949:AT1952" si="2246">SUM(AG1949:AR1949)</f>
        <v>0</v>
      </c>
      <c r="AU1949" s="97">
        <f t="shared" ref="AU1949:AU1952" si="2247">SUM(AG1949:AR1949)</f>
        <v>0</v>
      </c>
      <c r="AW1949" s="83">
        <f t="shared" ref="AW1949:AW1952" si="2248">AG1949</f>
        <v>0</v>
      </c>
      <c r="AX1949" s="83">
        <f t="shared" ref="AX1949:AX1952" si="2249">AH1949</f>
        <v>0</v>
      </c>
      <c r="AY1949" s="83">
        <f t="shared" ref="AY1949:AY1952" si="2250">AI1949</f>
        <v>0</v>
      </c>
      <c r="AZ1949" s="83">
        <f t="shared" ref="AZ1949:AZ1952" si="2251">AJ1949</f>
        <v>0</v>
      </c>
      <c r="BA1949" s="52"/>
      <c r="BB1949" s="52"/>
      <c r="BC1949" s="52"/>
      <c r="BD1949" s="52"/>
      <c r="BE1949" s="52"/>
      <c r="BF1949" s="52"/>
      <c r="BG1949" s="52"/>
      <c r="BH1949" s="52"/>
      <c r="BI1949" s="68" cm="1">
        <f t="array" ref="BI1949">IFERROR(INDEX(AW1949:BH1949,1,MATCH(2,1/(AW1949:BH1949&lt;&gt;""))),"")</f>
        <v>0</v>
      </c>
      <c r="BJ1949" s="68" cm="1">
        <f t="array" ref="BJ1949">IF(BM1949 = "", "",IFERROR(INDEX(AW1949:BH1949,1,MATCH(2,1/(AW1949:BH1949&lt;&gt;""),1)-1),""))</f>
        <v>0</v>
      </c>
      <c r="BK1949" s="59">
        <f t="shared" ref="BK1949:BK1952" si="2252">SUM(AW1949:BH1949)</f>
        <v>0</v>
      </c>
      <c r="BL1949" s="59" cm="1">
        <f t="array" ref="BL1949">IFERROR(SUM(AW1949:INDEX(AW1949:BH1949, MATCH(2, 1/(AW1949:BH1949&lt;&gt;""), 1) - 1))/_xlfn.XLOOKUP(F1949,Apuração!A:A,Apuração!B:B),0)</f>
        <v>0</v>
      </c>
      <c r="BM1949" s="55" cm="1">
        <f t="array" ref="BM1949">IFERROR(
   INDEX($AW$1:$BH$1,
      _xlfn.AGGREGATE(14, 6, COLUMN($AW$1:$BH$1)/(AW1949:BH1949&lt;&gt;""), 2) - COLUMN($AW$1) + 1
   ),
"")</f>
        <v>46082</v>
      </c>
      <c r="BN1949" s="55" cm="1">
        <f t="array" ref="BN1949">IFERROR(INDEX($AW$1:$BH$1,1,MATCH(2,1/(AW1949:BH1949&lt;&gt;""))),"")</f>
        <v>46113</v>
      </c>
      <c r="BO1949" s="53">
        <f ca="1">IFERROR(_xlfn.XLOOKUP(F1949,Apuração!A:A,Apuração!C:C)/_xlfn.XLOOKUP(F1949,Apuração!A:A,Apuração!B:B),0)</f>
        <v>0</v>
      </c>
      <c r="BP1949" s="53">
        <f ca="1">IFERROR(_xlfn.XLOOKUP(F1949,Apuração!A:A,Apuração!D:D)/_xlfn.XLOOKUP(F1949,Apuração!A:A,Apuração!B:B),0)</f>
        <v>0</v>
      </c>
      <c r="BQ1949" s="53">
        <f ca="1">IF(BK1949&gt;=BO1949,0,_xlfn.XLOOKUP(F1949,Apuração!A:A,Apuração!B:B)*(BO1949 + (1/_xlfn.XLOOKUP(F1949,Apuração!A:A,Apuração!B:B)) - BK1949))</f>
        <v>0</v>
      </c>
      <c r="BR1949" s="85">
        <f t="shared" ref="BR1949:BR1952" ca="1" si="2253">IF(BQ1949=0,0,BQ1949*Z1949)</f>
        <v>0</v>
      </c>
      <c r="BS1949" s="53">
        <f ca="1">IFERROR((_xlfn.XLOOKUP(F1949,Apuração!A:A,Apuração!C:C)+1)/_xlfn.XLOOKUP(F1949,Apuração!A:A,Apuração!B:B),0)</f>
        <v>0.14285714285714285</v>
      </c>
    </row>
    <row r="1950" spans="1:71" ht="25.95" hidden="1" customHeight="1" x14ac:dyDescent="0.3">
      <c r="A1950" s="39" t="s">
        <v>33</v>
      </c>
      <c r="B1950" s="4" t="s">
        <v>53</v>
      </c>
      <c r="C1950" s="5" t="s">
        <v>216</v>
      </c>
      <c r="D1950" s="5" t="s">
        <v>103</v>
      </c>
      <c r="E1950" s="4" t="s">
        <v>61</v>
      </c>
      <c r="F1950" s="4" t="str" cm="1">
        <f t="array" ref="F1950">_xlfn.IFS(
AG1950 &lt;&gt; "", "Jan-Dez/26",
AH1950 &lt;&gt; "", "Fev-Dez/26",
AI1950 &lt;&gt; "", "Mar-Dez/26", AJ1950 &lt;&gt; "", "Abr-Dez/26",
TRUE, "A partir de Junho"
)</f>
        <v>A partir de Junho</v>
      </c>
      <c r="G1950" s="4" t="s">
        <v>62</v>
      </c>
      <c r="H1950" s="7" t="s">
        <v>110</v>
      </c>
      <c r="I1950" s="8" t="s">
        <v>59</v>
      </c>
      <c r="J1950" s="8" t="str" cm="1">
        <f t="array" aca="1" ref="J1950" ca="1">_xlfn.LET(
  _xlpm.actual_value_month, INDEX(T1950:AE1950, MATCH(DATE(YEAR(TODAY()), MONTH(TODAY()), 1), $T$1:$AE$1, 0)),
  IF(_xlpm.actual_value_month &lt;&gt; "",_xlpm.actual_value_month &amp; " ações mensais", "")
)</f>
        <v/>
      </c>
      <c r="K1950" s="12" t="str" cm="1">
        <f t="array" ref="K1950">_xlfn.LET(
    _xlpm.sum_month, SUM(T1950:AE1950),
    IF(_xlpm.sum_month = 0, "", _xlpm.sum_month &amp; " pessoas impactadas no ano")
)</f>
        <v/>
      </c>
      <c r="L1950" s="9" t="s">
        <v>59</v>
      </c>
      <c r="M1950" s="13">
        <v>1</v>
      </c>
      <c r="N1950" s="5" t="s">
        <v>51</v>
      </c>
      <c r="O1950" s="5" t="s">
        <v>52</v>
      </c>
      <c r="P1950" s="10" t="s">
        <v>44</v>
      </c>
      <c r="Q1950" s="10" t="s">
        <v>44</v>
      </c>
      <c r="R1950" s="11" t="s">
        <v>44</v>
      </c>
      <c r="S1950" s="11" t="s">
        <v>44</v>
      </c>
      <c r="T1950" s="22"/>
      <c r="U1950" s="22"/>
      <c r="V1950" s="22"/>
      <c r="W1950" s="22"/>
      <c r="X1950" s="22"/>
      <c r="Y1950" s="22"/>
      <c r="Z1950" s="22"/>
      <c r="AA1950" s="22"/>
      <c r="AB1950" s="22"/>
      <c r="AC1950" s="22"/>
      <c r="AD1950" s="22"/>
      <c r="AE1950" s="22"/>
      <c r="AG1950" s="71"/>
      <c r="AH1950" s="71"/>
      <c r="AI1950" s="71"/>
      <c r="AJ1950" s="71"/>
      <c r="AK1950" s="71"/>
      <c r="AL1950" s="71"/>
      <c r="AM1950" s="71"/>
      <c r="AN1950" s="71"/>
      <c r="AO1950" s="71"/>
      <c r="AP1950" s="71"/>
      <c r="AQ1950" s="71"/>
      <c r="AR1950" s="71"/>
      <c r="AS1950" s="94">
        <f t="shared" ca="1" si="2245"/>
        <v>0</v>
      </c>
      <c r="AT1950" s="95">
        <f t="shared" si="2246"/>
        <v>0</v>
      </c>
      <c r="AU1950" s="97">
        <f t="shared" si="2247"/>
        <v>0</v>
      </c>
      <c r="AW1950" s="83">
        <f t="shared" si="2248"/>
        <v>0</v>
      </c>
      <c r="AX1950" s="83">
        <f t="shared" si="2249"/>
        <v>0</v>
      </c>
      <c r="AY1950" s="83">
        <f t="shared" si="2250"/>
        <v>0</v>
      </c>
      <c r="AZ1950" s="83">
        <f t="shared" si="2251"/>
        <v>0</v>
      </c>
      <c r="BA1950" s="52"/>
      <c r="BB1950" s="52"/>
      <c r="BC1950" s="52"/>
      <c r="BD1950" s="52"/>
      <c r="BE1950" s="52"/>
      <c r="BF1950" s="52"/>
      <c r="BG1950" s="52"/>
      <c r="BH1950" s="52"/>
      <c r="BI1950" s="68" cm="1">
        <f t="array" ref="BI1950">IFERROR(INDEX(AW1950:BH1950,1,MATCH(2,1/(AW1950:BH1950&lt;&gt;""))),"")</f>
        <v>0</v>
      </c>
      <c r="BJ1950" s="68" cm="1">
        <f t="array" ref="BJ1950">IF(BM1950 = "", "",IFERROR(INDEX(AW1950:BH1950,1,MATCH(2,1/(AW1950:BH1950&lt;&gt;""),1)-1),""))</f>
        <v>0</v>
      </c>
      <c r="BK1950" s="59">
        <f t="shared" si="2252"/>
        <v>0</v>
      </c>
      <c r="BL1950" s="59" cm="1">
        <f t="array" ref="BL1950">IFERROR(SUM(AW1950:INDEX(AW1950:BH1950, MATCH(2, 1/(AW1950:BH1950&lt;&gt;""), 1) - 1))/_xlfn.XLOOKUP(F1950,Apuração!A:A,Apuração!B:B),0)</f>
        <v>0</v>
      </c>
      <c r="BM1950" s="55" cm="1">
        <f t="array" ref="BM1950">IFERROR(
   INDEX($AW$1:$BH$1,
      _xlfn.AGGREGATE(14, 6, COLUMN($AW$1:$BH$1)/(AW1950:BH1950&lt;&gt;""), 2) - COLUMN($AW$1) + 1
   ),
"")</f>
        <v>46082</v>
      </c>
      <c r="BN1950" s="55" cm="1">
        <f t="array" ref="BN1950">IFERROR(INDEX($AW$1:$BH$1,1,MATCH(2,1/(AW1950:BH1950&lt;&gt;""))),"")</f>
        <v>46113</v>
      </c>
      <c r="BO1950" s="53">
        <f ca="1">IFERROR(_xlfn.XLOOKUP(F1950,Apuração!A:A,Apuração!C:C)/_xlfn.XLOOKUP(F1950,Apuração!A:A,Apuração!B:B),0)</f>
        <v>0</v>
      </c>
      <c r="BP1950" s="53">
        <f ca="1">IFERROR(_xlfn.XLOOKUP(F1950,Apuração!A:A,Apuração!D:D)/_xlfn.XLOOKUP(F1950,Apuração!A:A,Apuração!B:B),0)</f>
        <v>0</v>
      </c>
      <c r="BQ1950" s="53">
        <f ca="1">IF(BK1950&gt;=BO1950,0,_xlfn.XLOOKUP(F1950,Apuração!A:A,Apuração!B:B)*(BO1950 + (1/_xlfn.XLOOKUP(F1950,Apuração!A:A,Apuração!B:B)) - BK1950))</f>
        <v>0</v>
      </c>
      <c r="BR1950" s="85">
        <f t="shared" ca="1" si="2253"/>
        <v>0</v>
      </c>
      <c r="BS1950" s="53">
        <f ca="1">IFERROR((_xlfn.XLOOKUP(F1950,Apuração!A:A,Apuração!C:C)+1)/_xlfn.XLOOKUP(F1950,Apuração!A:A,Apuração!B:B),0)</f>
        <v>0.14285714285714285</v>
      </c>
    </row>
    <row r="1951" spans="1:71" ht="25.95" hidden="1" customHeight="1" x14ac:dyDescent="0.3">
      <c r="A1951" s="39" t="s">
        <v>33</v>
      </c>
      <c r="B1951" s="4" t="s">
        <v>53</v>
      </c>
      <c r="C1951" s="5" t="s">
        <v>216</v>
      </c>
      <c r="D1951" s="5" t="s">
        <v>218</v>
      </c>
      <c r="E1951" s="4" t="s">
        <v>61</v>
      </c>
      <c r="F1951" s="4" t="str" cm="1">
        <f t="array" ref="F1951">_xlfn.IFS(
AG1951 &lt;&gt; "", "Jan-Dez/26",
AH1951 &lt;&gt; "", "Fev-Dez/26",
AI1951 &lt;&gt; "", "Mar-Dez/26", AJ1951 &lt;&gt; "", "Abr-Dez/26",
TRUE, "A partir de Junho"
)</f>
        <v>A partir de Junho</v>
      </c>
      <c r="G1951" s="4" t="s">
        <v>62</v>
      </c>
      <c r="H1951" s="7" t="s">
        <v>110</v>
      </c>
      <c r="I1951" s="8" t="s">
        <v>59</v>
      </c>
      <c r="J1951" s="8" t="str" cm="1">
        <f t="array" aca="1" ref="J1951" ca="1">_xlfn.LET(
  _xlpm.actual_value_month, INDEX(T1951:AE1951, MATCH(DATE(YEAR(TODAY()), MONTH(TODAY()), 1), $T$1:$AE$1, 0)),
  IF(_xlpm.actual_value_month &lt;&gt; "",_xlpm.actual_value_month &amp; " ações mensais", "")
)</f>
        <v/>
      </c>
      <c r="K1951" s="12" t="str" cm="1">
        <f t="array" ref="K1951">_xlfn.LET(
    _xlpm.sum_month, SUM(T1951:AE1951),
    IF(_xlpm.sum_month = 0, "", _xlpm.sum_month &amp; " pessoas impactadas no ano")
)</f>
        <v/>
      </c>
      <c r="L1951" s="9" t="s">
        <v>59</v>
      </c>
      <c r="M1951" s="13">
        <v>1</v>
      </c>
      <c r="N1951" s="5" t="s">
        <v>51</v>
      </c>
      <c r="O1951" s="5" t="s">
        <v>52</v>
      </c>
      <c r="P1951" s="10" t="s">
        <v>44</v>
      </c>
      <c r="Q1951" s="10" t="s">
        <v>44</v>
      </c>
      <c r="R1951" s="11" t="s">
        <v>44</v>
      </c>
      <c r="S1951" s="11" t="s">
        <v>44</v>
      </c>
      <c r="T1951" s="22"/>
      <c r="U1951" s="22"/>
      <c r="V1951" s="22"/>
      <c r="W1951" s="22"/>
      <c r="X1951" s="22"/>
      <c r="Y1951" s="22"/>
      <c r="Z1951" s="22"/>
      <c r="AA1951" s="22"/>
      <c r="AB1951" s="22"/>
      <c r="AC1951" s="22"/>
      <c r="AD1951" s="22"/>
      <c r="AE1951" s="22"/>
      <c r="AG1951" s="71"/>
      <c r="AH1951" s="71"/>
      <c r="AI1951" s="71"/>
      <c r="AJ1951" s="71"/>
      <c r="AK1951" s="71"/>
      <c r="AL1951" s="71"/>
      <c r="AM1951" s="71"/>
      <c r="AN1951" s="71"/>
      <c r="AO1951" s="71"/>
      <c r="AP1951" s="71"/>
      <c r="AQ1951" s="71"/>
      <c r="AR1951" s="71"/>
      <c r="AS1951" s="94">
        <f t="shared" ca="1" si="2245"/>
        <v>0</v>
      </c>
      <c r="AT1951" s="95">
        <f t="shared" si="2246"/>
        <v>0</v>
      </c>
      <c r="AU1951" s="97">
        <f t="shared" si="2247"/>
        <v>0</v>
      </c>
      <c r="AW1951" s="83">
        <f t="shared" si="2248"/>
        <v>0</v>
      </c>
      <c r="AX1951" s="83">
        <f t="shared" si="2249"/>
        <v>0</v>
      </c>
      <c r="AY1951" s="83">
        <f t="shared" si="2250"/>
        <v>0</v>
      </c>
      <c r="AZ1951" s="83">
        <f t="shared" si="2251"/>
        <v>0</v>
      </c>
      <c r="BA1951" s="52"/>
      <c r="BB1951" s="52"/>
      <c r="BC1951" s="52"/>
      <c r="BD1951" s="52"/>
      <c r="BE1951" s="52"/>
      <c r="BF1951" s="52"/>
      <c r="BG1951" s="52"/>
      <c r="BH1951" s="52"/>
      <c r="BI1951" s="68" cm="1">
        <f t="array" ref="BI1951">IFERROR(INDEX(AW1951:BH1951,1,MATCH(2,1/(AW1951:BH1951&lt;&gt;""))),"")</f>
        <v>0</v>
      </c>
      <c r="BJ1951" s="68" cm="1">
        <f t="array" ref="BJ1951">IF(BM1951 = "", "",IFERROR(INDEX(AW1951:BH1951,1,MATCH(2,1/(AW1951:BH1951&lt;&gt;""),1)-1),""))</f>
        <v>0</v>
      </c>
      <c r="BK1951" s="59">
        <f t="shared" si="2252"/>
        <v>0</v>
      </c>
      <c r="BL1951" s="59" cm="1">
        <f t="array" ref="BL1951">IFERROR(SUM(AW1951:INDEX(AW1951:BH1951, MATCH(2, 1/(AW1951:BH1951&lt;&gt;""), 1) - 1))/_xlfn.XLOOKUP(F1951,Apuração!A:A,Apuração!B:B),0)</f>
        <v>0</v>
      </c>
      <c r="BM1951" s="55" cm="1">
        <f t="array" ref="BM1951">IFERROR(
   INDEX($AW$1:$BH$1,
      _xlfn.AGGREGATE(14, 6, COLUMN($AW$1:$BH$1)/(AW1951:BH1951&lt;&gt;""), 2) - COLUMN($AW$1) + 1
   ),
"")</f>
        <v>46082</v>
      </c>
      <c r="BN1951" s="55" cm="1">
        <f t="array" ref="BN1951">IFERROR(INDEX($AW$1:$BH$1,1,MATCH(2,1/(AW1951:BH1951&lt;&gt;""))),"")</f>
        <v>46113</v>
      </c>
      <c r="BO1951" s="53">
        <f ca="1">IFERROR(_xlfn.XLOOKUP(F1951,Apuração!A:A,Apuração!C:C)/_xlfn.XLOOKUP(F1951,Apuração!A:A,Apuração!B:B),0)</f>
        <v>0</v>
      </c>
      <c r="BP1951" s="53">
        <f ca="1">IFERROR(_xlfn.XLOOKUP(F1951,Apuração!A:A,Apuração!D:D)/_xlfn.XLOOKUP(F1951,Apuração!A:A,Apuração!B:B),0)</f>
        <v>0</v>
      </c>
      <c r="BQ1951" s="53">
        <f ca="1">IF(BK1951&gt;=BO1951,0,_xlfn.XLOOKUP(F1951,Apuração!A:A,Apuração!B:B)*(BO1951 + (1/_xlfn.XLOOKUP(F1951,Apuração!A:A,Apuração!B:B)) - BK1951))</f>
        <v>0</v>
      </c>
      <c r="BR1951" s="85">
        <f t="shared" ca="1" si="2253"/>
        <v>0</v>
      </c>
      <c r="BS1951" s="53">
        <f ca="1">IFERROR((_xlfn.XLOOKUP(F1951,Apuração!A:A,Apuração!C:C)+1)/_xlfn.XLOOKUP(F1951,Apuração!A:A,Apuração!B:B),0)</f>
        <v>0.14285714285714285</v>
      </c>
    </row>
    <row r="1952" spans="1:71" ht="25.95" hidden="1" customHeight="1" x14ac:dyDescent="0.3">
      <c r="A1952" s="39" t="s">
        <v>33</v>
      </c>
      <c r="B1952" s="4" t="s">
        <v>53</v>
      </c>
      <c r="C1952" s="5" t="s">
        <v>216</v>
      </c>
      <c r="D1952" s="5" t="s">
        <v>219</v>
      </c>
      <c r="E1952" s="4" t="s">
        <v>61</v>
      </c>
      <c r="F1952" s="4" t="str" cm="1">
        <f t="array" ref="F1952">_xlfn.IFS(
AG1952 &lt;&gt; "", "Jan-Dez/26",
AH1952 &lt;&gt; "", "Fev-Dez/26",
AI1952 &lt;&gt; "", "Mar-Dez/26", AJ1952 &lt;&gt; "", "Abr-Dez/26",
TRUE, "A partir de Junho"
)</f>
        <v>A partir de Junho</v>
      </c>
      <c r="G1952" s="4" t="s">
        <v>62</v>
      </c>
      <c r="H1952" s="7" t="s">
        <v>110</v>
      </c>
      <c r="I1952" s="8" t="s">
        <v>59</v>
      </c>
      <c r="J1952" s="8" t="str" cm="1">
        <f t="array" aca="1" ref="J1952" ca="1">_xlfn.LET(
  _xlpm.actual_value_month, INDEX(T1952:AE1952, MATCH(DATE(YEAR(TODAY()), MONTH(TODAY()), 1), $T$1:$AE$1, 0)),
  IF(_xlpm.actual_value_month &lt;&gt; "",_xlpm.actual_value_month &amp; " ações mensais", "")
)</f>
        <v/>
      </c>
      <c r="K1952" s="12" t="str" cm="1">
        <f t="array" ref="K1952">_xlfn.LET(
    _xlpm.sum_month, SUM(T1952:AE1952),
    IF(_xlpm.sum_month = 0, "", _xlpm.sum_month &amp; " pessoas impactadas no ano")
)</f>
        <v/>
      </c>
      <c r="L1952" s="9" t="s">
        <v>59</v>
      </c>
      <c r="M1952" s="13">
        <v>1</v>
      </c>
      <c r="N1952" s="5" t="s">
        <v>51</v>
      </c>
      <c r="O1952" s="5" t="s">
        <v>52</v>
      </c>
      <c r="P1952" s="10" t="s">
        <v>44</v>
      </c>
      <c r="Q1952" s="10" t="s">
        <v>44</v>
      </c>
      <c r="R1952" s="11" t="s">
        <v>44</v>
      </c>
      <c r="S1952" s="11" t="s">
        <v>44</v>
      </c>
      <c r="T1952" s="22"/>
      <c r="U1952" s="22"/>
      <c r="V1952" s="22"/>
      <c r="W1952" s="22"/>
      <c r="X1952" s="22"/>
      <c r="Y1952" s="22"/>
      <c r="Z1952" s="22"/>
      <c r="AA1952" s="22"/>
      <c r="AB1952" s="22"/>
      <c r="AC1952" s="22"/>
      <c r="AD1952" s="22"/>
      <c r="AE1952" s="22"/>
      <c r="AG1952" s="71"/>
      <c r="AH1952" s="71"/>
      <c r="AI1952" s="71"/>
      <c r="AJ1952" s="71"/>
      <c r="AK1952" s="71"/>
      <c r="AL1952" s="71"/>
      <c r="AM1952" s="71"/>
      <c r="AN1952" s="71"/>
      <c r="AO1952" s="71"/>
      <c r="AP1952" s="71"/>
      <c r="AQ1952" s="71"/>
      <c r="AR1952" s="71"/>
      <c r="AS1952" s="94">
        <f t="shared" ca="1" si="2245"/>
        <v>0</v>
      </c>
      <c r="AT1952" s="95">
        <f t="shared" si="2246"/>
        <v>0</v>
      </c>
      <c r="AU1952" s="97">
        <f t="shared" si="2247"/>
        <v>0</v>
      </c>
      <c r="AW1952" s="83">
        <f t="shared" si="2248"/>
        <v>0</v>
      </c>
      <c r="AX1952" s="83">
        <f t="shared" si="2249"/>
        <v>0</v>
      </c>
      <c r="AY1952" s="83">
        <f t="shared" si="2250"/>
        <v>0</v>
      </c>
      <c r="AZ1952" s="83">
        <f t="shared" si="2251"/>
        <v>0</v>
      </c>
      <c r="BA1952" s="52"/>
      <c r="BB1952" s="52"/>
      <c r="BC1952" s="52"/>
      <c r="BD1952" s="52"/>
      <c r="BE1952" s="52"/>
      <c r="BF1952" s="52"/>
      <c r="BG1952" s="52"/>
      <c r="BH1952" s="52"/>
      <c r="BI1952" s="68" cm="1">
        <f t="array" ref="BI1952">IFERROR(INDEX(AW1952:BH1952,1,MATCH(2,1/(AW1952:BH1952&lt;&gt;""))),"")</f>
        <v>0</v>
      </c>
      <c r="BJ1952" s="68" cm="1">
        <f t="array" ref="BJ1952">IF(BM1952 = "", "",IFERROR(INDEX(AW1952:BH1952,1,MATCH(2,1/(AW1952:BH1952&lt;&gt;""),1)-1),""))</f>
        <v>0</v>
      </c>
      <c r="BK1952" s="59">
        <f t="shared" si="2252"/>
        <v>0</v>
      </c>
      <c r="BL1952" s="59" cm="1">
        <f t="array" ref="BL1952">IFERROR(SUM(AW1952:INDEX(AW1952:BH1952, MATCH(2, 1/(AW1952:BH1952&lt;&gt;""), 1) - 1))/_xlfn.XLOOKUP(F1952,Apuração!A:A,Apuração!B:B),0)</f>
        <v>0</v>
      </c>
      <c r="BM1952" s="55" cm="1">
        <f t="array" ref="BM1952">IFERROR(
   INDEX($AW$1:$BH$1,
      _xlfn.AGGREGATE(14, 6, COLUMN($AW$1:$BH$1)/(AW1952:BH1952&lt;&gt;""), 2) - COLUMN($AW$1) + 1
   ),
"")</f>
        <v>46082</v>
      </c>
      <c r="BN1952" s="55" cm="1">
        <f t="array" ref="BN1952">IFERROR(INDEX($AW$1:$BH$1,1,MATCH(2,1/(AW1952:BH1952&lt;&gt;""))),"")</f>
        <v>46113</v>
      </c>
      <c r="BO1952" s="53">
        <f ca="1">IFERROR(_xlfn.XLOOKUP(F1952,Apuração!A:A,Apuração!C:C)/_xlfn.XLOOKUP(F1952,Apuração!A:A,Apuração!B:B),0)</f>
        <v>0</v>
      </c>
      <c r="BP1952" s="53">
        <f ca="1">IFERROR(_xlfn.XLOOKUP(F1952,Apuração!A:A,Apuração!D:D)/_xlfn.XLOOKUP(F1952,Apuração!A:A,Apuração!B:B),0)</f>
        <v>0</v>
      </c>
      <c r="BQ1952" s="53">
        <f ca="1">IF(BK1952&gt;=BO1952,0,_xlfn.XLOOKUP(F1952,Apuração!A:A,Apuração!B:B)*(BO1952 + (1/_xlfn.XLOOKUP(F1952,Apuração!A:A,Apuração!B:B)) - BK1952))</f>
        <v>0</v>
      </c>
      <c r="BR1952" s="85">
        <f t="shared" ca="1" si="2253"/>
        <v>0</v>
      </c>
      <c r="BS1952" s="53">
        <f ca="1">IFERROR((_xlfn.XLOOKUP(F1952,Apuração!A:A,Apuração!C:C)+1)/_xlfn.XLOOKUP(F1952,Apuração!A:A,Apuração!B:B),0)</f>
        <v>0.14285714285714285</v>
      </c>
    </row>
    <row r="1953" spans="1:71" ht="25.95" hidden="1" customHeight="1" x14ac:dyDescent="0.3">
      <c r="A1953" s="3" t="s">
        <v>33</v>
      </c>
      <c r="B1953" s="4" t="s">
        <v>60</v>
      </c>
      <c r="C1953" s="5" t="s">
        <v>216</v>
      </c>
      <c r="D1953" s="5" t="s">
        <v>36</v>
      </c>
      <c r="E1953" s="4" t="s">
        <v>61</v>
      </c>
      <c r="F1953" s="4" t="str" cm="1">
        <f t="array" ref="F1953">_xlfn.IFS(
AG1953 &lt;&gt; "", "Jan-Dez/26",
AH1953 &lt;&gt; "", "Fev-Dez/26",
AI1953 &lt;&gt; "", "Mar-Dez/26", AJ1953 &lt;&gt; "", "Abr-Dez/26",
TRUE, "A partir de Junho"
)</f>
        <v>A partir de Junho</v>
      </c>
      <c r="G1953" s="16" t="s">
        <v>62</v>
      </c>
      <c r="H1953" s="7" t="s">
        <v>38</v>
      </c>
      <c r="I1953" s="8" t="s">
        <v>63</v>
      </c>
      <c r="J1953" s="8" t="str" cm="1">
        <f t="array" aca="1" ref="J1953" ca="1">_xlfn.LET(
  _xlpm.actual_value_month, INDEX(T1953:AE1953, MATCH(DATE(YEAR(TODAY()), MONTH(TODAY()), 1), $T$1:$AE$1, 0)),
  IF(_xlpm.actual_value_month &lt;&gt; "",_xlpm.actual_value_month &amp; " ações mensais", "")
)</f>
        <v/>
      </c>
      <c r="K1953" s="17" t="str" cm="1">
        <f t="array" ref="K1953">_xlfn.LET(
    _xlpm.sum_month, SUM(T1953:AE1953),
    IF(_xlpm.sum_month = 0, "", _xlpm.sum_month &amp; " eventos realizados")
)</f>
        <v/>
      </c>
      <c r="L1953" s="9" t="s">
        <v>64</v>
      </c>
      <c r="M1953" s="13" t="s">
        <v>65</v>
      </c>
      <c r="N1953" s="5" t="s">
        <v>42</v>
      </c>
      <c r="O1953" s="5" t="s">
        <v>43</v>
      </c>
      <c r="P1953" s="10" t="s">
        <v>44</v>
      </c>
      <c r="Q1953" s="10" t="s">
        <v>44</v>
      </c>
      <c r="R1953" s="11" t="s">
        <v>66</v>
      </c>
      <c r="S1953" s="11" t="s">
        <v>67</v>
      </c>
      <c r="T1953" s="22"/>
      <c r="U1953" s="22"/>
      <c r="V1953" s="22"/>
      <c r="W1953" s="22"/>
      <c r="X1953" s="22"/>
      <c r="Y1953" s="22"/>
      <c r="Z1953" s="22"/>
      <c r="AA1953" s="22"/>
      <c r="AB1953" s="22"/>
      <c r="AC1953" s="22"/>
      <c r="AD1953" s="22"/>
      <c r="AE1953" s="22"/>
      <c r="AG1953" s="71"/>
      <c r="AH1953" s="71"/>
      <c r="AI1953" s="71"/>
      <c r="AJ1953" s="71"/>
      <c r="AK1953" s="71"/>
      <c r="AL1953" s="71"/>
      <c r="AM1953" s="71"/>
      <c r="AN1953" s="71"/>
      <c r="AO1953" s="71"/>
      <c r="AP1953" s="71"/>
      <c r="AQ1953" s="71"/>
      <c r="AR1953" s="71"/>
      <c r="AS1953" s="94">
        <f ca="1">IF(MONTH(TODAY())=3,SUM(T1953:U1953),IF(MONTH(TODAY())=4,SUM(T1953:V1953),IF(MONTH(TODAY())=5,SUM(T1953:W1953),IF(MONTH(TODAY())=6,SUM(T1953:X1953),IF(MONTH(TODAY())=7,SUM(T1953:Y1953),IF(MONTH(TODAY())=8,SUM(T1953:Z1953),IF(MONTH(TODAY())=9,SUM(T1953:AA1953),IF(MONTH(TODAY())=10,SUM(T1953:AB1953),IF(MONTH(TODAY())=11,SUM(T1953:AC1953),IF(MONTH(TODAY())=12,SUM(T1953:AD1953),IF(MONTH(TODAY())=1,SUM(T1953:AE1953),T1953)))))))))))</f>
        <v>0</v>
      </c>
      <c r="AT1953" s="95">
        <f>SUM(IF(AW1953&lt;1.15,AG1953,1.15*T1953),IF(AX1953&lt;1.15,AH1953,1.15*U1953),IF(AY1953&lt;1.15,AI1953,1.15*V1953),IF(AZ1953&lt;1.15,AJ1953,1.15*W1953),IF(BA1953&lt;1.15,AK1953,1.15*X1953),IF(BB1953&lt;1.15,AL1953,1.15*Y1953),IF(BC1953&lt;1.15,AM1953,1.15*Z1953),IF(BD1953&lt;1.15,AN1953,1.15*AA1953),IF(BE1953&lt;1.15,AO1953,1.15*AB1953),IF(BF1953&lt;1.15,AP1953,1.15*AC1953),IF(BG1953&lt;1.15,AQ1953,1.15*AD1953),IF(BH1953&lt;1.15,AR1953,1.15*AE1953))</f>
        <v>0</v>
      </c>
      <c r="AU1953" s="97">
        <f>SUM(AG1953:AR1953)</f>
        <v>0</v>
      </c>
      <c r="AW1953" s="51">
        <f>IFERROR(IF(AG1953="",0,AG1953/T1953),0)</f>
        <v>0</v>
      </c>
      <c r="AX1953" s="51">
        <f>IFERROR(IF(AH1953="",0,AH1953/U1953),0)</f>
        <v>0</v>
      </c>
      <c r="AY1953" s="51">
        <f>IFERROR(IF(AI1953="",0,AI1953/V1953),0)</f>
        <v>0</v>
      </c>
      <c r="AZ1953" s="51">
        <f>IFERROR(IF(AJ1953="",0,AJ1953/W1953),0)</f>
        <v>0</v>
      </c>
      <c r="BA1953" s="51"/>
      <c r="BB1953" s="51"/>
      <c r="BC1953" s="51"/>
      <c r="BD1953" s="51"/>
      <c r="BE1953" s="51"/>
      <c r="BF1953" s="51"/>
      <c r="BG1953" s="51"/>
      <c r="BH1953" s="51"/>
      <c r="BI1953" s="65" cm="1">
        <f t="array" ref="BI1953">IFERROR(INDEX(AW1953:BH1953,1,MATCH(2,1/(AW1953:BH1953&lt;&gt;""))),"")</f>
        <v>0</v>
      </c>
      <c r="BJ1953" s="68" cm="1">
        <f t="array" ref="BJ1953">IF(BM1953 = "", "",IFERROR(INDEX(AW1953:BH1953,1,MATCH(2,1/(AW1953:BH1953&lt;&gt;""),1)-1),""))</f>
        <v>0</v>
      </c>
      <c r="BK1953" s="58">
        <f>IF((IF(AW1953&gt;=115%,115%,AW1953) + IF(AX1953&gt;=115%,115%,AX1953) + IF(AY1953&gt;=115%,115%,AY1953) + (IF(AZ1953&gt;=115%,115%,AZ1953) + IF(BA1953&gt;=115%,115%,BA1953) + IF(BB1953&gt;=115%,115%,BB1953) + IF(BC1953&gt;=115%,115%,BC1953) + IF(BD1953&gt;=115%,115%,BD1953) + IF(BE1953&gt;=115%,115%,BE1953) + IF(BF1953&gt;=115%,115%,BF1953) + IF(BG1953&gt;=115%,115%,BG1953) + IF(BH1953&gt;=115%,115%,BH1953)))/_xlfn.XLOOKUP(F1953,Apuração!A:A,Apuração!B:B)&gt;=1.15,1.15,((IF(AZ1953&gt;=115%,115%,AZ1953) + IF(AX1953&gt;=115%,115%,AX1953) + IF(AY1953&gt;=115%,115%,AY1953) + (IF(AW1953&gt;=115%,115%,AW1953) + IF(BA1953&gt;=115%,115%,BA1953) + IF(BB1953&gt;=115%,115%,BB1953) + IF(BC1953&gt;=115%,115%,BC1953) + IF(BD1953&gt;=115%,115%,BD1953) + IF(BE1953&gt;=115%,115%,BE1953) + IF(BF1953&gt;=115%,115%,BF1953) + IF(BG1953&gt;=115%,115%,BG1953) + IF(BH1953&gt;=115%,115%,BH1953)))/_xlfn.XLOOKUP(F1953,Apuração!A:A,Apuração!B:B)))</f>
        <v>0</v>
      </c>
      <c r="BL1953" s="58" cm="1">
        <f t="array" aca="1" ref="BL1953" ca="1">IF(SUM(IFERROR(IF(INDEX(AW1953:INDEX(AW1953:BH1953, MATCH(2, 1/(AW1953:BH1953&lt;&gt;""), 1)-1), ROW(INDIRECT("1:" &amp; MATCH(2, 1/(AW1953:BH1953&lt;&gt;""), 1)-1))) &gt;= 115%, 115%, INDEX(AW1953:INDEX(AW1953:BH1953, MATCH(2, 1/(AW1953:BH1953&lt;&gt;""), 1)-1), ROW(INDIRECT("1:" &amp; MATCH(2, 1/(AW1953:BH1953&lt;&gt;""), 1)-1)))), 0))/_xlfn.XLOOKUP(F1953,Apuração!A:A,Apuração!B:B)&gt;=1.15,1.15,SUM(IFERROR(IF(INDEX(AW1953:INDEX(AW1953:BH1953, MATCH(2, 1/(AW1953:BH1953&lt;&gt;""), 1)-1), ROW(INDIRECT("1:" &amp; MATCH(2, 1/(AW1953:BH1953&lt;&gt;""), 1)-1))) &gt;= 115%, 115%, INDEX(AW1953:INDEX(AW1953:BH1953, MATCH(2, 1/(AW1953:BH1953&lt;&gt;""), 1)-1), ROW(INDIRECT("1:" &amp; MATCH(2, 1/(AW1953:BH1953&lt;&gt;""), 1)-1)))), 0))/_xlfn.XLOOKUP(F1953,Apuração!A:A,Apuração!B:B))</f>
        <v>0</v>
      </c>
      <c r="BM1953" s="55" cm="1">
        <f t="array" ref="BM1953">IFERROR(
   INDEX($AW$1:$BH$1,
      _xlfn.AGGREGATE(14, 6, COLUMN($AW$1:$BH$1)/(AW1953:BH1953&lt;&gt;""), 2) - COLUMN($AW$1) + 1
   ),
"")</f>
        <v>46082</v>
      </c>
      <c r="BN1953" s="55" cm="1">
        <f t="array" ref="BN1953">IFERROR(INDEX($AW$1:$BH$1,1,MATCH(2,1/(AW1953:BH1953&lt;&gt;""))),"")</f>
        <v>46113</v>
      </c>
      <c r="BO1953" s="53">
        <f ca="1">IFERROR(_xlfn.XLOOKUP(F1953,Apuração!A:A,Apuração!C:C)/_xlfn.XLOOKUP(F1953,Apuração!A:A,Apuração!B:B),0)</f>
        <v>0</v>
      </c>
      <c r="BP1953" s="53">
        <f ca="1">IFERROR(_xlfn.XLOOKUP(F1953,Apuração!A:A,Apuração!D:D)/_xlfn.XLOOKUP(F1953,Apuração!A:A,Apuração!B:B),0)</f>
        <v>0</v>
      </c>
      <c r="BQ1953" s="53">
        <f ca="1">IF(BK1953&gt;=BO1953,0,_xlfn.XLOOKUP(F1953,Apuração!A:A,Apuração!B:B)*(BO1953 + (1/_xlfn.XLOOKUP(F1953,Apuração!A:A,Apuração!B:B)) - BK1953))</f>
        <v>0</v>
      </c>
      <c r="BR1953" s="85">
        <f ca="1">IF(BQ1953=0,0,BQ1953*Z1953)</f>
        <v>0</v>
      </c>
      <c r="BS1953" s="53">
        <f ca="1">IFERROR((_xlfn.XLOOKUP(F1953,Apuração!A:A,Apuração!C:C)+1)/_xlfn.XLOOKUP(F1953,Apuração!A:A,Apuração!B:B),0)</f>
        <v>0.14285714285714285</v>
      </c>
    </row>
    <row r="1954" spans="1:71" ht="25.95" hidden="1" customHeight="1" x14ac:dyDescent="0.3">
      <c r="A1954" s="3" t="s">
        <v>33</v>
      </c>
      <c r="B1954" s="4" t="s">
        <v>60</v>
      </c>
      <c r="C1954" s="5" t="s">
        <v>216</v>
      </c>
      <c r="D1954" s="5" t="s">
        <v>217</v>
      </c>
      <c r="E1954" s="4" t="s">
        <v>61</v>
      </c>
      <c r="F1954" s="4" t="str" cm="1">
        <f t="array" ref="F1954">_xlfn.IFS(
AG1954 &lt;&gt; "", "Jan-Dez/26",
AH1954 &lt;&gt; "", "Fev-Dez/26",
AI1954 &lt;&gt; "", "Mar-Dez/26", AJ1954 &lt;&gt; "", "Abr-Dez/26",
TRUE, "A partir de Junho"
)</f>
        <v>A partir de Junho</v>
      </c>
      <c r="G1954" s="16" t="s">
        <v>62</v>
      </c>
      <c r="H1954" s="7" t="s">
        <v>38</v>
      </c>
      <c r="I1954" s="8" t="s">
        <v>63</v>
      </c>
      <c r="J1954" s="8" t="str" cm="1">
        <f t="array" aca="1" ref="J1954" ca="1">_xlfn.LET(
  _xlpm.actual_value_month, INDEX(T1954:AE1954, MATCH(DATE(YEAR(TODAY()), MONTH(TODAY()), 1), $T$1:$AE$1, 0)),
  IF(_xlpm.actual_value_month &lt;&gt; "",_xlpm.actual_value_month &amp; " ações mensais", "")
)</f>
        <v/>
      </c>
      <c r="K1954" s="17" t="str" cm="1">
        <f t="array" ref="K1954">_xlfn.LET(
    _xlpm.sum_month, SUM(T1954:AE1954),
    IF(_xlpm.sum_month = 0, "", _xlpm.sum_month &amp; " eventos realizados")
)</f>
        <v/>
      </c>
      <c r="L1954" s="9" t="s">
        <v>64</v>
      </c>
      <c r="M1954" s="13" t="s">
        <v>65</v>
      </c>
      <c r="N1954" s="5" t="s">
        <v>42</v>
      </c>
      <c r="O1954" s="5" t="s">
        <v>43</v>
      </c>
      <c r="P1954" s="10" t="s">
        <v>44</v>
      </c>
      <c r="Q1954" s="10" t="s">
        <v>44</v>
      </c>
      <c r="R1954" s="11" t="s">
        <v>66</v>
      </c>
      <c r="S1954" s="11" t="s">
        <v>67</v>
      </c>
      <c r="T1954" s="22"/>
      <c r="U1954" s="22"/>
      <c r="V1954" s="22"/>
      <c r="W1954" s="22"/>
      <c r="X1954" s="22"/>
      <c r="Y1954" s="22"/>
      <c r="Z1954" s="22"/>
      <c r="AA1954" s="22"/>
      <c r="AB1954" s="22"/>
      <c r="AC1954" s="22"/>
      <c r="AD1954" s="22"/>
      <c r="AE1954" s="22"/>
      <c r="AG1954" s="71"/>
      <c r="AH1954" s="71"/>
      <c r="AI1954" s="71"/>
      <c r="AJ1954" s="71"/>
      <c r="AK1954" s="71"/>
      <c r="AL1954" s="71"/>
      <c r="AM1954" s="71"/>
      <c r="AN1954" s="71"/>
      <c r="AO1954" s="71"/>
      <c r="AP1954" s="71"/>
      <c r="AQ1954" s="71"/>
      <c r="AR1954" s="71"/>
      <c r="AS1954" s="94">
        <f t="shared" ref="AS1954:AS1957" ca="1" si="2254">IF(MONTH(TODAY())=3,SUM(T1954:U1954),IF(MONTH(TODAY())=4,SUM(T1954:V1954),IF(MONTH(TODAY())=5,SUM(T1954:W1954),IF(MONTH(TODAY())=6,SUM(T1954:X1954),IF(MONTH(TODAY())=7,SUM(T1954:Y1954),IF(MONTH(TODAY())=8,SUM(T1954:Z1954),IF(MONTH(TODAY())=9,SUM(T1954:AA1954),IF(MONTH(TODAY())=10,SUM(T1954:AB1954),IF(MONTH(TODAY())=11,SUM(T1954:AC1954),IF(MONTH(TODAY())=12,SUM(T1954:AD1954),IF(MONTH(TODAY())=1,SUM(T1954:AE1954),T1954)))))))))))</f>
        <v>0</v>
      </c>
      <c r="AT1954" s="95">
        <f t="shared" ref="AT1954:AT1957" si="2255">SUM(IF(AW1954&lt;1.15,AG1954,1.15*T1954),IF(AX1954&lt;1.15,AH1954,1.15*U1954),IF(AY1954&lt;1.15,AI1954,1.15*V1954),IF(AZ1954&lt;1.15,AJ1954,1.15*W1954),IF(BA1954&lt;1.15,AK1954,1.15*X1954),IF(BB1954&lt;1.15,AL1954,1.15*Y1954),IF(BC1954&lt;1.15,AM1954,1.15*Z1954),IF(BD1954&lt;1.15,AN1954,1.15*AA1954),IF(BE1954&lt;1.15,AO1954,1.15*AB1954),IF(BF1954&lt;1.15,AP1954,1.15*AC1954),IF(BG1954&lt;1.15,AQ1954,1.15*AD1954),IF(BH1954&lt;1.15,AR1954,1.15*AE1954))</f>
        <v>0</v>
      </c>
      <c r="AU1954" s="97">
        <f t="shared" ref="AU1954:AU1957" si="2256">SUM(AG1954:AR1954)</f>
        <v>0</v>
      </c>
      <c r="AW1954" s="51">
        <f t="shared" ref="AW1954:AW1957" si="2257">IFERROR(IF(AG1954="",0,AG1954/T1954),0)</f>
        <v>0</v>
      </c>
      <c r="AX1954" s="51">
        <f t="shared" ref="AX1954:AX1957" si="2258">IFERROR(IF(AH1954="",0,AH1954/U1954),0)</f>
        <v>0</v>
      </c>
      <c r="AY1954" s="51">
        <f t="shared" ref="AY1954:AY1957" si="2259">IFERROR(IF(AI1954="",0,AI1954/V1954),0)</f>
        <v>0</v>
      </c>
      <c r="AZ1954" s="51">
        <f t="shared" ref="AZ1954:AZ1957" si="2260">IFERROR(IF(AJ1954="",0,AJ1954/W1954),0)</f>
        <v>0</v>
      </c>
      <c r="BA1954" s="51"/>
      <c r="BB1954" s="51"/>
      <c r="BC1954" s="51"/>
      <c r="BD1954" s="51"/>
      <c r="BE1954" s="51"/>
      <c r="BF1954" s="51"/>
      <c r="BG1954" s="51"/>
      <c r="BH1954" s="51"/>
      <c r="BI1954" s="65" cm="1">
        <f t="array" ref="BI1954">IFERROR(INDEX(AW1954:BH1954,1,MATCH(2,1/(AW1954:BH1954&lt;&gt;""))),"")</f>
        <v>0</v>
      </c>
      <c r="BJ1954" s="68" cm="1">
        <f t="array" ref="BJ1954">IF(BM1954 = "", "",IFERROR(INDEX(AW1954:BH1954,1,MATCH(2,1/(AW1954:BH1954&lt;&gt;""),1)-1),""))</f>
        <v>0</v>
      </c>
      <c r="BK1954" s="58">
        <f>IF((IF(AW1954&gt;=115%,115%,AW1954) + IF(AX1954&gt;=115%,115%,AX1954) + IF(AY1954&gt;=115%,115%,AY1954) + (IF(AZ1954&gt;=115%,115%,AZ1954) + IF(BA1954&gt;=115%,115%,BA1954) + IF(BB1954&gt;=115%,115%,BB1954) + IF(BC1954&gt;=115%,115%,BC1954) + IF(BD1954&gt;=115%,115%,BD1954) + IF(BE1954&gt;=115%,115%,BE1954) + IF(BF1954&gt;=115%,115%,BF1954) + IF(BG1954&gt;=115%,115%,BG1954) + IF(BH1954&gt;=115%,115%,BH1954)))/_xlfn.XLOOKUP(F1954,Apuração!A:A,Apuração!B:B)&gt;=1.15,1.15,((IF(AZ1954&gt;=115%,115%,AZ1954) + IF(AX1954&gt;=115%,115%,AX1954) + IF(AY1954&gt;=115%,115%,AY1954) + (IF(AW1954&gt;=115%,115%,AW1954) + IF(BA1954&gt;=115%,115%,BA1954) + IF(BB1954&gt;=115%,115%,BB1954) + IF(BC1954&gt;=115%,115%,BC1954) + IF(BD1954&gt;=115%,115%,BD1954) + IF(BE1954&gt;=115%,115%,BE1954) + IF(BF1954&gt;=115%,115%,BF1954) + IF(BG1954&gt;=115%,115%,BG1954) + IF(BH1954&gt;=115%,115%,BH1954)))/_xlfn.XLOOKUP(F1954,Apuração!A:A,Apuração!B:B)))</f>
        <v>0</v>
      </c>
      <c r="BL1954" s="58" cm="1">
        <f t="array" aca="1" ref="BL1954" ca="1">IF(SUM(IFERROR(IF(INDEX(AW1954:INDEX(AW1954:BH1954, MATCH(2, 1/(AW1954:BH1954&lt;&gt;""), 1)-1), ROW(INDIRECT("1:" &amp; MATCH(2, 1/(AW1954:BH1954&lt;&gt;""), 1)-1))) &gt;= 115%, 115%, INDEX(AW1954:INDEX(AW1954:BH1954, MATCH(2, 1/(AW1954:BH1954&lt;&gt;""), 1)-1), ROW(INDIRECT("1:" &amp; MATCH(2, 1/(AW1954:BH1954&lt;&gt;""), 1)-1)))), 0))/_xlfn.XLOOKUP(F1954,Apuração!A:A,Apuração!B:B)&gt;=1.15,1.15,SUM(IFERROR(IF(INDEX(AW1954:INDEX(AW1954:BH1954, MATCH(2, 1/(AW1954:BH1954&lt;&gt;""), 1)-1), ROW(INDIRECT("1:" &amp; MATCH(2, 1/(AW1954:BH1954&lt;&gt;""), 1)-1))) &gt;= 115%, 115%, INDEX(AW1954:INDEX(AW1954:BH1954, MATCH(2, 1/(AW1954:BH1954&lt;&gt;""), 1)-1), ROW(INDIRECT("1:" &amp; MATCH(2, 1/(AW1954:BH1954&lt;&gt;""), 1)-1)))), 0))/_xlfn.XLOOKUP(F1954,Apuração!A:A,Apuração!B:B))</f>
        <v>0</v>
      </c>
      <c r="BM1954" s="55" cm="1">
        <f t="array" ref="BM1954">IFERROR(
   INDEX($AW$1:$BH$1,
      _xlfn.AGGREGATE(14, 6, COLUMN($AW$1:$BH$1)/(AW1954:BH1954&lt;&gt;""), 2) - COLUMN($AW$1) + 1
   ),
"")</f>
        <v>46082</v>
      </c>
      <c r="BN1954" s="55" cm="1">
        <f t="array" ref="BN1954">IFERROR(INDEX($AW$1:$BH$1,1,MATCH(2,1/(AW1954:BH1954&lt;&gt;""))),"")</f>
        <v>46113</v>
      </c>
      <c r="BO1954" s="53">
        <f ca="1">IFERROR(_xlfn.XLOOKUP(F1954,Apuração!A:A,Apuração!C:C)/_xlfn.XLOOKUP(F1954,Apuração!A:A,Apuração!B:B),0)</f>
        <v>0</v>
      </c>
      <c r="BP1954" s="53">
        <f ca="1">IFERROR(_xlfn.XLOOKUP(F1954,Apuração!A:A,Apuração!D:D)/_xlfn.XLOOKUP(F1954,Apuração!A:A,Apuração!B:B),0)</f>
        <v>0</v>
      </c>
      <c r="BQ1954" s="53">
        <f ca="1">IF(BK1954&gt;=BO1954,0,_xlfn.XLOOKUP(F1954,Apuração!A:A,Apuração!B:B)*(BO1954 + (1/_xlfn.XLOOKUP(F1954,Apuração!A:A,Apuração!B:B)) - BK1954))</f>
        <v>0</v>
      </c>
      <c r="BR1954" s="85">
        <f t="shared" ref="BR1954:BR1957" ca="1" si="2261">IF(BQ1954=0,0,BQ1954*Z1954)</f>
        <v>0</v>
      </c>
      <c r="BS1954" s="53">
        <f ca="1">IFERROR((_xlfn.XLOOKUP(F1954,Apuração!A:A,Apuração!C:C)+1)/_xlfn.XLOOKUP(F1954,Apuração!A:A,Apuração!B:B),0)</f>
        <v>0.14285714285714285</v>
      </c>
    </row>
    <row r="1955" spans="1:71" ht="25.95" hidden="1" customHeight="1" x14ac:dyDescent="0.3">
      <c r="A1955" s="3" t="s">
        <v>33</v>
      </c>
      <c r="B1955" s="4" t="s">
        <v>60</v>
      </c>
      <c r="C1955" s="5" t="s">
        <v>216</v>
      </c>
      <c r="D1955" s="5" t="s">
        <v>103</v>
      </c>
      <c r="E1955" s="4" t="s">
        <v>61</v>
      </c>
      <c r="F1955" s="4" t="str" cm="1">
        <f t="array" ref="F1955">_xlfn.IFS(
AG1955 &lt;&gt; "", "Jan-Dez/26",
AH1955 &lt;&gt; "", "Fev-Dez/26",
AI1955 &lt;&gt; "", "Mar-Dez/26", AJ1955 &lt;&gt; "", "Abr-Dez/26",
TRUE, "A partir de Junho"
)</f>
        <v>A partir de Junho</v>
      </c>
      <c r="G1955" s="16" t="s">
        <v>62</v>
      </c>
      <c r="H1955" s="7" t="s">
        <v>38</v>
      </c>
      <c r="I1955" s="8" t="s">
        <v>63</v>
      </c>
      <c r="J1955" s="8" t="str" cm="1">
        <f t="array" aca="1" ref="J1955" ca="1">_xlfn.LET(
  _xlpm.actual_value_month, INDEX(T1955:AE1955, MATCH(DATE(YEAR(TODAY()), MONTH(TODAY()), 1), $T$1:$AE$1, 0)),
  IF(_xlpm.actual_value_month &lt;&gt; "",_xlpm.actual_value_month &amp; " ações mensais", "")
)</f>
        <v/>
      </c>
      <c r="K1955" s="17" t="str" cm="1">
        <f t="array" ref="K1955">_xlfn.LET(
    _xlpm.sum_month, SUM(T1955:AE1955),
    IF(_xlpm.sum_month = 0, "", _xlpm.sum_month &amp; " eventos realizados")
)</f>
        <v/>
      </c>
      <c r="L1955" s="9" t="s">
        <v>64</v>
      </c>
      <c r="M1955" s="13" t="s">
        <v>65</v>
      </c>
      <c r="N1955" s="5" t="s">
        <v>42</v>
      </c>
      <c r="O1955" s="5" t="s">
        <v>43</v>
      </c>
      <c r="P1955" s="10" t="s">
        <v>44</v>
      </c>
      <c r="Q1955" s="10" t="s">
        <v>44</v>
      </c>
      <c r="R1955" s="11" t="s">
        <v>66</v>
      </c>
      <c r="S1955" s="11" t="s">
        <v>67</v>
      </c>
      <c r="T1955" s="22"/>
      <c r="U1955" s="22"/>
      <c r="V1955" s="22"/>
      <c r="W1955" s="22"/>
      <c r="X1955" s="22"/>
      <c r="Y1955" s="22"/>
      <c r="Z1955" s="22"/>
      <c r="AA1955" s="22"/>
      <c r="AB1955" s="22"/>
      <c r="AC1955" s="22"/>
      <c r="AD1955" s="22"/>
      <c r="AE1955" s="22"/>
      <c r="AG1955" s="71"/>
      <c r="AH1955" s="71"/>
      <c r="AI1955" s="71"/>
      <c r="AJ1955" s="71"/>
      <c r="AK1955" s="71"/>
      <c r="AL1955" s="71"/>
      <c r="AM1955" s="71"/>
      <c r="AN1955" s="71"/>
      <c r="AO1955" s="71"/>
      <c r="AP1955" s="71"/>
      <c r="AQ1955" s="71"/>
      <c r="AR1955" s="71"/>
      <c r="AS1955" s="94">
        <f t="shared" ca="1" si="2254"/>
        <v>0</v>
      </c>
      <c r="AT1955" s="95">
        <f t="shared" si="2255"/>
        <v>0</v>
      </c>
      <c r="AU1955" s="97">
        <f t="shared" si="2256"/>
        <v>0</v>
      </c>
      <c r="AW1955" s="51">
        <f t="shared" si="2257"/>
        <v>0</v>
      </c>
      <c r="AX1955" s="51">
        <f t="shared" si="2258"/>
        <v>0</v>
      </c>
      <c r="AY1955" s="51">
        <f t="shared" si="2259"/>
        <v>0</v>
      </c>
      <c r="AZ1955" s="51">
        <f t="shared" si="2260"/>
        <v>0</v>
      </c>
      <c r="BA1955" s="51"/>
      <c r="BB1955" s="51"/>
      <c r="BC1955" s="51"/>
      <c r="BD1955" s="51"/>
      <c r="BE1955" s="51"/>
      <c r="BF1955" s="51"/>
      <c r="BG1955" s="51"/>
      <c r="BH1955" s="51"/>
      <c r="BI1955" s="65" cm="1">
        <f t="array" ref="BI1955">IFERROR(INDEX(AW1955:BH1955,1,MATCH(2,1/(AW1955:BH1955&lt;&gt;""))),"")</f>
        <v>0</v>
      </c>
      <c r="BJ1955" s="68" cm="1">
        <f t="array" ref="BJ1955">IF(BM1955 = "", "",IFERROR(INDEX(AW1955:BH1955,1,MATCH(2,1/(AW1955:BH1955&lt;&gt;""),1)-1),""))</f>
        <v>0</v>
      </c>
      <c r="BK1955" s="58">
        <f>IF((IF(AW1955&gt;=115%,115%,AW1955) + IF(AX1955&gt;=115%,115%,AX1955) + IF(AY1955&gt;=115%,115%,AY1955) + (IF(AZ1955&gt;=115%,115%,AZ1955) + IF(BA1955&gt;=115%,115%,BA1955) + IF(BB1955&gt;=115%,115%,BB1955) + IF(BC1955&gt;=115%,115%,BC1955) + IF(BD1955&gt;=115%,115%,BD1955) + IF(BE1955&gt;=115%,115%,BE1955) + IF(BF1955&gt;=115%,115%,BF1955) + IF(BG1955&gt;=115%,115%,BG1955) + IF(BH1955&gt;=115%,115%,BH1955)))/_xlfn.XLOOKUP(F1955,Apuração!A:A,Apuração!B:B)&gt;=1.15,1.15,((IF(AZ1955&gt;=115%,115%,AZ1955) + IF(AX1955&gt;=115%,115%,AX1955) + IF(AY1955&gt;=115%,115%,AY1955) + (IF(AW1955&gt;=115%,115%,AW1955) + IF(BA1955&gt;=115%,115%,BA1955) + IF(BB1955&gt;=115%,115%,BB1955) + IF(BC1955&gt;=115%,115%,BC1955) + IF(BD1955&gt;=115%,115%,BD1955) + IF(BE1955&gt;=115%,115%,BE1955) + IF(BF1955&gt;=115%,115%,BF1955) + IF(BG1955&gt;=115%,115%,BG1955) + IF(BH1955&gt;=115%,115%,BH1955)))/_xlfn.XLOOKUP(F1955,Apuração!A:A,Apuração!B:B)))</f>
        <v>0</v>
      </c>
      <c r="BL1955" s="58" cm="1">
        <f t="array" aca="1" ref="BL1955" ca="1">IF(SUM(IFERROR(IF(INDEX(AW1955:INDEX(AW1955:BH1955, MATCH(2, 1/(AW1955:BH1955&lt;&gt;""), 1)-1), ROW(INDIRECT("1:" &amp; MATCH(2, 1/(AW1955:BH1955&lt;&gt;""), 1)-1))) &gt;= 115%, 115%, INDEX(AW1955:INDEX(AW1955:BH1955, MATCH(2, 1/(AW1955:BH1955&lt;&gt;""), 1)-1), ROW(INDIRECT("1:" &amp; MATCH(2, 1/(AW1955:BH1955&lt;&gt;""), 1)-1)))), 0))/_xlfn.XLOOKUP(F1955,Apuração!A:A,Apuração!B:B)&gt;=1.15,1.15,SUM(IFERROR(IF(INDEX(AW1955:INDEX(AW1955:BH1955, MATCH(2, 1/(AW1955:BH1955&lt;&gt;""), 1)-1), ROW(INDIRECT("1:" &amp; MATCH(2, 1/(AW1955:BH1955&lt;&gt;""), 1)-1))) &gt;= 115%, 115%, INDEX(AW1955:INDEX(AW1955:BH1955, MATCH(2, 1/(AW1955:BH1955&lt;&gt;""), 1)-1), ROW(INDIRECT("1:" &amp; MATCH(2, 1/(AW1955:BH1955&lt;&gt;""), 1)-1)))), 0))/_xlfn.XLOOKUP(F1955,Apuração!A:A,Apuração!B:B))</f>
        <v>0</v>
      </c>
      <c r="BM1955" s="55" cm="1">
        <f t="array" ref="BM1955">IFERROR(
   INDEX($AW$1:$BH$1,
      _xlfn.AGGREGATE(14, 6, COLUMN($AW$1:$BH$1)/(AW1955:BH1955&lt;&gt;""), 2) - COLUMN($AW$1) + 1
   ),
"")</f>
        <v>46082</v>
      </c>
      <c r="BN1955" s="55" cm="1">
        <f t="array" ref="BN1955">IFERROR(INDEX($AW$1:$BH$1,1,MATCH(2,1/(AW1955:BH1955&lt;&gt;""))),"")</f>
        <v>46113</v>
      </c>
      <c r="BO1955" s="53">
        <f ca="1">IFERROR(_xlfn.XLOOKUP(F1955,Apuração!A:A,Apuração!C:C)/_xlfn.XLOOKUP(F1955,Apuração!A:A,Apuração!B:B),0)</f>
        <v>0</v>
      </c>
      <c r="BP1955" s="53">
        <f ca="1">IFERROR(_xlfn.XLOOKUP(F1955,Apuração!A:A,Apuração!D:D)/_xlfn.XLOOKUP(F1955,Apuração!A:A,Apuração!B:B),0)</f>
        <v>0</v>
      </c>
      <c r="BQ1955" s="53">
        <f ca="1">IF(BK1955&gt;=BO1955,0,_xlfn.XLOOKUP(F1955,Apuração!A:A,Apuração!B:B)*(BO1955 + (1/_xlfn.XLOOKUP(F1955,Apuração!A:A,Apuração!B:B)) - BK1955))</f>
        <v>0</v>
      </c>
      <c r="BR1955" s="85">
        <f t="shared" ca="1" si="2261"/>
        <v>0</v>
      </c>
      <c r="BS1955" s="53">
        <f ca="1">IFERROR((_xlfn.XLOOKUP(F1955,Apuração!A:A,Apuração!C:C)+1)/_xlfn.XLOOKUP(F1955,Apuração!A:A,Apuração!B:B),0)</f>
        <v>0.14285714285714285</v>
      </c>
    </row>
    <row r="1956" spans="1:71" ht="25.95" hidden="1" customHeight="1" x14ac:dyDescent="0.3">
      <c r="A1956" s="3" t="s">
        <v>33</v>
      </c>
      <c r="B1956" s="4" t="s">
        <v>60</v>
      </c>
      <c r="C1956" s="5" t="s">
        <v>216</v>
      </c>
      <c r="D1956" s="5" t="s">
        <v>218</v>
      </c>
      <c r="E1956" s="4" t="s">
        <v>61</v>
      </c>
      <c r="F1956" s="4" t="str" cm="1">
        <f t="array" ref="F1956">_xlfn.IFS(
AG1956 &lt;&gt; "", "Jan-Dez/26",
AH1956 &lt;&gt; "", "Fev-Dez/26",
AI1956 &lt;&gt; "", "Mar-Dez/26", AJ1956 &lt;&gt; "", "Abr-Dez/26",
TRUE, "A partir de Junho"
)</f>
        <v>A partir de Junho</v>
      </c>
      <c r="G1956" s="16" t="s">
        <v>62</v>
      </c>
      <c r="H1956" s="7" t="s">
        <v>38</v>
      </c>
      <c r="I1956" s="8" t="s">
        <v>63</v>
      </c>
      <c r="J1956" s="8" t="str" cm="1">
        <f t="array" aca="1" ref="J1956" ca="1">_xlfn.LET(
  _xlpm.actual_value_month, INDEX(T1956:AE1956, MATCH(DATE(YEAR(TODAY()), MONTH(TODAY()), 1), $T$1:$AE$1, 0)),
  IF(_xlpm.actual_value_month &lt;&gt; "",_xlpm.actual_value_month &amp; " ações mensais", "")
)</f>
        <v/>
      </c>
      <c r="K1956" s="17" t="str" cm="1">
        <f t="array" ref="K1956">_xlfn.LET(
    _xlpm.sum_month, SUM(T1956:AE1956),
    IF(_xlpm.sum_month = 0, "", _xlpm.sum_month &amp; " eventos realizados")
)</f>
        <v/>
      </c>
      <c r="L1956" s="9" t="s">
        <v>64</v>
      </c>
      <c r="M1956" s="13" t="s">
        <v>65</v>
      </c>
      <c r="N1956" s="5" t="s">
        <v>42</v>
      </c>
      <c r="O1956" s="5" t="s">
        <v>43</v>
      </c>
      <c r="P1956" s="10" t="s">
        <v>44</v>
      </c>
      <c r="Q1956" s="10" t="s">
        <v>44</v>
      </c>
      <c r="R1956" s="11" t="s">
        <v>66</v>
      </c>
      <c r="S1956" s="11" t="s">
        <v>67</v>
      </c>
      <c r="T1956" s="22"/>
      <c r="U1956" s="22"/>
      <c r="V1956" s="22"/>
      <c r="W1956" s="22"/>
      <c r="X1956" s="22"/>
      <c r="Y1956" s="22"/>
      <c r="Z1956" s="22"/>
      <c r="AA1956" s="22"/>
      <c r="AB1956" s="22"/>
      <c r="AC1956" s="22"/>
      <c r="AD1956" s="22"/>
      <c r="AE1956" s="22"/>
      <c r="AG1956" s="71"/>
      <c r="AH1956" s="71"/>
      <c r="AI1956" s="71"/>
      <c r="AJ1956" s="71"/>
      <c r="AK1956" s="71"/>
      <c r="AL1956" s="71"/>
      <c r="AM1956" s="71"/>
      <c r="AN1956" s="71"/>
      <c r="AO1956" s="71"/>
      <c r="AP1956" s="71"/>
      <c r="AQ1956" s="71"/>
      <c r="AR1956" s="71"/>
      <c r="AS1956" s="94">
        <f t="shared" ca="1" si="2254"/>
        <v>0</v>
      </c>
      <c r="AT1956" s="95">
        <f t="shared" si="2255"/>
        <v>0</v>
      </c>
      <c r="AU1956" s="97">
        <f t="shared" si="2256"/>
        <v>0</v>
      </c>
      <c r="AW1956" s="51">
        <f t="shared" si="2257"/>
        <v>0</v>
      </c>
      <c r="AX1956" s="51">
        <f t="shared" si="2258"/>
        <v>0</v>
      </c>
      <c r="AY1956" s="51">
        <f t="shared" si="2259"/>
        <v>0</v>
      </c>
      <c r="AZ1956" s="51">
        <f t="shared" si="2260"/>
        <v>0</v>
      </c>
      <c r="BA1956" s="51"/>
      <c r="BB1956" s="51"/>
      <c r="BC1956" s="51"/>
      <c r="BD1956" s="51"/>
      <c r="BE1956" s="51"/>
      <c r="BF1956" s="51"/>
      <c r="BG1956" s="51"/>
      <c r="BH1956" s="51"/>
      <c r="BI1956" s="65" cm="1">
        <f t="array" ref="BI1956">IFERROR(INDEX(AW1956:BH1956,1,MATCH(2,1/(AW1956:BH1956&lt;&gt;""))),"")</f>
        <v>0</v>
      </c>
      <c r="BJ1956" s="68" cm="1">
        <f t="array" ref="BJ1956">IF(BM1956 = "", "",IFERROR(INDEX(AW1956:BH1956,1,MATCH(2,1/(AW1956:BH1956&lt;&gt;""),1)-1),""))</f>
        <v>0</v>
      </c>
      <c r="BK1956" s="58">
        <f>IF((IF(AW1956&gt;=115%,115%,AW1956) + IF(AX1956&gt;=115%,115%,AX1956) + IF(AY1956&gt;=115%,115%,AY1956) + (IF(AZ1956&gt;=115%,115%,AZ1956) + IF(BA1956&gt;=115%,115%,BA1956) + IF(BB1956&gt;=115%,115%,BB1956) + IF(BC1956&gt;=115%,115%,BC1956) + IF(BD1956&gt;=115%,115%,BD1956) + IF(BE1956&gt;=115%,115%,BE1956) + IF(BF1956&gt;=115%,115%,BF1956) + IF(BG1956&gt;=115%,115%,BG1956) + IF(BH1956&gt;=115%,115%,BH1956)))/_xlfn.XLOOKUP(F1956,Apuração!A:A,Apuração!B:B)&gt;=1.15,1.15,((IF(AZ1956&gt;=115%,115%,AZ1956) + IF(AX1956&gt;=115%,115%,AX1956) + IF(AY1956&gt;=115%,115%,AY1956) + (IF(AW1956&gt;=115%,115%,AW1956) + IF(BA1956&gt;=115%,115%,BA1956) + IF(BB1956&gt;=115%,115%,BB1956) + IF(BC1956&gt;=115%,115%,BC1956) + IF(BD1956&gt;=115%,115%,BD1956) + IF(BE1956&gt;=115%,115%,BE1956) + IF(BF1956&gt;=115%,115%,BF1956) + IF(BG1956&gt;=115%,115%,BG1956) + IF(BH1956&gt;=115%,115%,BH1956)))/_xlfn.XLOOKUP(F1956,Apuração!A:A,Apuração!B:B)))</f>
        <v>0</v>
      </c>
      <c r="BL1956" s="58" cm="1">
        <f t="array" aca="1" ref="BL1956" ca="1">IF(SUM(IFERROR(IF(INDEX(AW1956:INDEX(AW1956:BH1956, MATCH(2, 1/(AW1956:BH1956&lt;&gt;""), 1)-1), ROW(INDIRECT("1:" &amp; MATCH(2, 1/(AW1956:BH1956&lt;&gt;""), 1)-1))) &gt;= 115%, 115%, INDEX(AW1956:INDEX(AW1956:BH1956, MATCH(2, 1/(AW1956:BH1956&lt;&gt;""), 1)-1), ROW(INDIRECT("1:" &amp; MATCH(2, 1/(AW1956:BH1956&lt;&gt;""), 1)-1)))), 0))/_xlfn.XLOOKUP(F1956,Apuração!A:A,Apuração!B:B)&gt;=1.15,1.15,SUM(IFERROR(IF(INDEX(AW1956:INDEX(AW1956:BH1956, MATCH(2, 1/(AW1956:BH1956&lt;&gt;""), 1)-1), ROW(INDIRECT("1:" &amp; MATCH(2, 1/(AW1956:BH1956&lt;&gt;""), 1)-1))) &gt;= 115%, 115%, INDEX(AW1956:INDEX(AW1956:BH1956, MATCH(2, 1/(AW1956:BH1956&lt;&gt;""), 1)-1), ROW(INDIRECT("1:" &amp; MATCH(2, 1/(AW1956:BH1956&lt;&gt;""), 1)-1)))), 0))/_xlfn.XLOOKUP(F1956,Apuração!A:A,Apuração!B:B))</f>
        <v>0</v>
      </c>
      <c r="BM1956" s="55" cm="1">
        <f t="array" ref="BM1956">IFERROR(
   INDEX($AW$1:$BH$1,
      _xlfn.AGGREGATE(14, 6, COLUMN($AW$1:$BH$1)/(AW1956:BH1956&lt;&gt;""), 2) - COLUMN($AW$1) + 1
   ),
"")</f>
        <v>46082</v>
      </c>
      <c r="BN1956" s="55" cm="1">
        <f t="array" ref="BN1956">IFERROR(INDEX($AW$1:$BH$1,1,MATCH(2,1/(AW1956:BH1956&lt;&gt;""))),"")</f>
        <v>46113</v>
      </c>
      <c r="BO1956" s="53">
        <f ca="1">IFERROR(_xlfn.XLOOKUP(F1956,Apuração!A:A,Apuração!C:C)/_xlfn.XLOOKUP(F1956,Apuração!A:A,Apuração!B:B),0)</f>
        <v>0</v>
      </c>
      <c r="BP1956" s="53">
        <f ca="1">IFERROR(_xlfn.XLOOKUP(F1956,Apuração!A:A,Apuração!D:D)/_xlfn.XLOOKUP(F1956,Apuração!A:A,Apuração!B:B),0)</f>
        <v>0</v>
      </c>
      <c r="BQ1956" s="53">
        <f ca="1">IF(BK1956&gt;=BO1956,0,_xlfn.XLOOKUP(F1956,Apuração!A:A,Apuração!B:B)*(BO1956 + (1/_xlfn.XLOOKUP(F1956,Apuração!A:A,Apuração!B:B)) - BK1956))</f>
        <v>0</v>
      </c>
      <c r="BR1956" s="85">
        <f t="shared" ca="1" si="2261"/>
        <v>0</v>
      </c>
      <c r="BS1956" s="53">
        <f ca="1">IFERROR((_xlfn.XLOOKUP(F1956,Apuração!A:A,Apuração!C:C)+1)/_xlfn.XLOOKUP(F1956,Apuração!A:A,Apuração!B:B),0)</f>
        <v>0.14285714285714285</v>
      </c>
    </row>
    <row r="1957" spans="1:71" ht="25.95" hidden="1" customHeight="1" x14ac:dyDescent="0.3">
      <c r="A1957" s="3" t="s">
        <v>33</v>
      </c>
      <c r="B1957" s="4" t="s">
        <v>60</v>
      </c>
      <c r="C1957" s="5" t="s">
        <v>216</v>
      </c>
      <c r="D1957" s="5" t="s">
        <v>219</v>
      </c>
      <c r="E1957" s="4" t="s">
        <v>61</v>
      </c>
      <c r="F1957" s="4" t="str" cm="1">
        <f t="array" ref="F1957">_xlfn.IFS(
AG1957 &lt;&gt; "", "Jan-Dez/26",
AH1957 &lt;&gt; "", "Fev-Dez/26",
AI1957 &lt;&gt; "", "Mar-Dez/26", AJ1957 &lt;&gt; "", "Abr-Dez/26",
TRUE, "A partir de Junho"
)</f>
        <v>A partir de Junho</v>
      </c>
      <c r="G1957" s="16" t="s">
        <v>62</v>
      </c>
      <c r="H1957" s="7" t="s">
        <v>38</v>
      </c>
      <c r="I1957" s="8" t="s">
        <v>63</v>
      </c>
      <c r="J1957" s="8" t="str" cm="1">
        <f t="array" aca="1" ref="J1957" ca="1">_xlfn.LET(
  _xlpm.actual_value_month, INDEX(T1957:AE1957, MATCH(DATE(YEAR(TODAY()), MONTH(TODAY()), 1), $T$1:$AE$1, 0)),
  IF(_xlpm.actual_value_month &lt;&gt; "",_xlpm.actual_value_month &amp; " ações mensais", "")
)</f>
        <v/>
      </c>
      <c r="K1957" s="17" t="str" cm="1">
        <f t="array" ref="K1957">_xlfn.LET(
    _xlpm.sum_month, SUM(T1957:AE1957),
    IF(_xlpm.sum_month = 0, "", _xlpm.sum_month &amp; " eventos realizados")
)</f>
        <v/>
      </c>
      <c r="L1957" s="9" t="s">
        <v>64</v>
      </c>
      <c r="M1957" s="13" t="s">
        <v>65</v>
      </c>
      <c r="N1957" s="5" t="s">
        <v>42</v>
      </c>
      <c r="O1957" s="5" t="s">
        <v>43</v>
      </c>
      <c r="P1957" s="10" t="s">
        <v>44</v>
      </c>
      <c r="Q1957" s="10" t="s">
        <v>44</v>
      </c>
      <c r="R1957" s="11" t="s">
        <v>66</v>
      </c>
      <c r="S1957" s="11" t="s">
        <v>67</v>
      </c>
      <c r="T1957" s="22"/>
      <c r="U1957" s="22"/>
      <c r="V1957" s="22"/>
      <c r="W1957" s="22"/>
      <c r="X1957" s="22"/>
      <c r="Y1957" s="22"/>
      <c r="Z1957" s="22"/>
      <c r="AA1957" s="22"/>
      <c r="AB1957" s="22"/>
      <c r="AC1957" s="22"/>
      <c r="AD1957" s="22"/>
      <c r="AE1957" s="22"/>
      <c r="AG1957" s="71"/>
      <c r="AH1957" s="71"/>
      <c r="AI1957" s="71"/>
      <c r="AJ1957" s="71"/>
      <c r="AK1957" s="71"/>
      <c r="AL1957" s="71"/>
      <c r="AM1957" s="71"/>
      <c r="AN1957" s="71"/>
      <c r="AO1957" s="71"/>
      <c r="AP1957" s="71"/>
      <c r="AQ1957" s="71"/>
      <c r="AR1957" s="71"/>
      <c r="AS1957" s="94">
        <f t="shared" ca="1" si="2254"/>
        <v>0</v>
      </c>
      <c r="AT1957" s="95">
        <f t="shared" si="2255"/>
        <v>0</v>
      </c>
      <c r="AU1957" s="97">
        <f t="shared" si="2256"/>
        <v>0</v>
      </c>
      <c r="AW1957" s="51">
        <f t="shared" si="2257"/>
        <v>0</v>
      </c>
      <c r="AX1957" s="51">
        <f t="shared" si="2258"/>
        <v>0</v>
      </c>
      <c r="AY1957" s="51">
        <f t="shared" si="2259"/>
        <v>0</v>
      </c>
      <c r="AZ1957" s="51">
        <f t="shared" si="2260"/>
        <v>0</v>
      </c>
      <c r="BA1957" s="51"/>
      <c r="BB1957" s="51"/>
      <c r="BC1957" s="51"/>
      <c r="BD1957" s="51"/>
      <c r="BE1957" s="51"/>
      <c r="BF1957" s="51"/>
      <c r="BG1957" s="51"/>
      <c r="BH1957" s="51"/>
      <c r="BI1957" s="65" cm="1">
        <f t="array" ref="BI1957">IFERROR(INDEX(AW1957:BH1957,1,MATCH(2,1/(AW1957:BH1957&lt;&gt;""))),"")</f>
        <v>0</v>
      </c>
      <c r="BJ1957" s="68" cm="1">
        <f t="array" ref="BJ1957">IF(BM1957 = "", "",IFERROR(INDEX(AW1957:BH1957,1,MATCH(2,1/(AW1957:BH1957&lt;&gt;""),1)-1),""))</f>
        <v>0</v>
      </c>
      <c r="BK1957" s="58">
        <f>IF((IF(AW1957&gt;=115%,115%,AW1957) + IF(AX1957&gt;=115%,115%,AX1957) + IF(AY1957&gt;=115%,115%,AY1957) + (IF(AZ1957&gt;=115%,115%,AZ1957) + IF(BA1957&gt;=115%,115%,BA1957) + IF(BB1957&gt;=115%,115%,BB1957) + IF(BC1957&gt;=115%,115%,BC1957) + IF(BD1957&gt;=115%,115%,BD1957) + IF(BE1957&gt;=115%,115%,BE1957) + IF(BF1957&gt;=115%,115%,BF1957) + IF(BG1957&gt;=115%,115%,BG1957) + IF(BH1957&gt;=115%,115%,BH1957)))/_xlfn.XLOOKUP(F1957,Apuração!A:A,Apuração!B:B)&gt;=1.15,1.15,((IF(AZ1957&gt;=115%,115%,AZ1957) + IF(AX1957&gt;=115%,115%,AX1957) + IF(AY1957&gt;=115%,115%,AY1957) + (IF(AW1957&gt;=115%,115%,AW1957) + IF(BA1957&gt;=115%,115%,BA1957) + IF(BB1957&gt;=115%,115%,BB1957) + IF(BC1957&gt;=115%,115%,BC1957) + IF(BD1957&gt;=115%,115%,BD1957) + IF(BE1957&gt;=115%,115%,BE1957) + IF(BF1957&gt;=115%,115%,BF1957) + IF(BG1957&gt;=115%,115%,BG1957) + IF(BH1957&gt;=115%,115%,BH1957)))/_xlfn.XLOOKUP(F1957,Apuração!A:A,Apuração!B:B)))</f>
        <v>0</v>
      </c>
      <c r="BL1957" s="58" cm="1">
        <f t="array" aca="1" ref="BL1957" ca="1">IF(SUM(IFERROR(IF(INDEX(AW1957:INDEX(AW1957:BH1957, MATCH(2, 1/(AW1957:BH1957&lt;&gt;""), 1)-1), ROW(INDIRECT("1:" &amp; MATCH(2, 1/(AW1957:BH1957&lt;&gt;""), 1)-1))) &gt;= 115%, 115%, INDEX(AW1957:INDEX(AW1957:BH1957, MATCH(2, 1/(AW1957:BH1957&lt;&gt;""), 1)-1), ROW(INDIRECT("1:" &amp; MATCH(2, 1/(AW1957:BH1957&lt;&gt;""), 1)-1)))), 0))/_xlfn.XLOOKUP(F1957,Apuração!A:A,Apuração!B:B)&gt;=1.15,1.15,SUM(IFERROR(IF(INDEX(AW1957:INDEX(AW1957:BH1957, MATCH(2, 1/(AW1957:BH1957&lt;&gt;""), 1)-1), ROW(INDIRECT("1:" &amp; MATCH(2, 1/(AW1957:BH1957&lt;&gt;""), 1)-1))) &gt;= 115%, 115%, INDEX(AW1957:INDEX(AW1957:BH1957, MATCH(2, 1/(AW1957:BH1957&lt;&gt;""), 1)-1), ROW(INDIRECT("1:" &amp; MATCH(2, 1/(AW1957:BH1957&lt;&gt;""), 1)-1)))), 0))/_xlfn.XLOOKUP(F1957,Apuração!A:A,Apuração!B:B))</f>
        <v>0</v>
      </c>
      <c r="BM1957" s="55" cm="1">
        <f t="array" ref="BM1957">IFERROR(
   INDEX($AW$1:$BH$1,
      _xlfn.AGGREGATE(14, 6, COLUMN($AW$1:$BH$1)/(AW1957:BH1957&lt;&gt;""), 2) - COLUMN($AW$1) + 1
   ),
"")</f>
        <v>46082</v>
      </c>
      <c r="BN1957" s="55" cm="1">
        <f t="array" ref="BN1957">IFERROR(INDEX($AW$1:$BH$1,1,MATCH(2,1/(AW1957:BH1957&lt;&gt;""))),"")</f>
        <v>46113</v>
      </c>
      <c r="BO1957" s="53">
        <f ca="1">IFERROR(_xlfn.XLOOKUP(F1957,Apuração!A:A,Apuração!C:C)/_xlfn.XLOOKUP(F1957,Apuração!A:A,Apuração!B:B),0)</f>
        <v>0</v>
      </c>
      <c r="BP1957" s="53">
        <f ca="1">IFERROR(_xlfn.XLOOKUP(F1957,Apuração!A:A,Apuração!D:D)/_xlfn.XLOOKUP(F1957,Apuração!A:A,Apuração!B:B),0)</f>
        <v>0</v>
      </c>
      <c r="BQ1957" s="53">
        <f ca="1">IF(BK1957&gt;=BO1957,0,_xlfn.XLOOKUP(F1957,Apuração!A:A,Apuração!B:B)*(BO1957 + (1/_xlfn.XLOOKUP(F1957,Apuração!A:A,Apuração!B:B)) - BK1957))</f>
        <v>0</v>
      </c>
      <c r="BR1957" s="85">
        <f t="shared" ca="1" si="2261"/>
        <v>0</v>
      </c>
      <c r="BS1957" s="53">
        <f ca="1">IFERROR((_xlfn.XLOOKUP(F1957,Apuração!A:A,Apuração!C:C)+1)/_xlfn.XLOOKUP(F1957,Apuração!A:A,Apuração!B:B),0)</f>
        <v>0.14285714285714285</v>
      </c>
    </row>
    <row r="1958" spans="1:71" ht="25.95" hidden="1" customHeight="1" x14ac:dyDescent="0.3">
      <c r="A1958" s="39" t="s">
        <v>33</v>
      </c>
      <c r="B1958" s="4" t="s">
        <v>60</v>
      </c>
      <c r="C1958" s="5" t="s">
        <v>216</v>
      </c>
      <c r="D1958" s="5" t="s">
        <v>36</v>
      </c>
      <c r="E1958" s="4" t="s">
        <v>61</v>
      </c>
      <c r="F1958" s="4" t="str" cm="1">
        <f t="array" ref="F1958">_xlfn.IFS(
AG1958 &lt;&gt; "", "Jan-Dez/26",
AH1958 &lt;&gt; "", "Fev-Dez/26",
AI1958 &lt;&gt; "", "Mar-Dez/26", AJ1958 &lt;&gt; "", "Abr-Dez/26",
TRUE, "A partir de Junho"
)</f>
        <v>A partir de Junho</v>
      </c>
      <c r="G1958" s="122" t="s">
        <v>62</v>
      </c>
      <c r="H1958" s="7" t="s">
        <v>38</v>
      </c>
      <c r="I1958" s="8" t="s">
        <v>68</v>
      </c>
      <c r="J1958" s="8" t="str" cm="1">
        <f t="array" aca="1" ref="J1958" ca="1">_xlfn.LET(
  _xlpm.actual_value_month, INDEX(T1958:AE1958, MATCH(DATE(YEAR(TODAY()), MONTH(TODAY()), 1), $T$1:$AE$1, 0)),
  IF(_xlpm.actual_value_month &lt;&gt; "",_xlpm.actual_value_month &amp; " ações mensais", "")
)</f>
        <v/>
      </c>
      <c r="K1958" s="18" t="str" cm="1">
        <f t="array" ref="K1958">_xlfn.LET(
    _xlpm.sum_month, SUM(T1958:AE1958),
    IF(_xlpm.sum_month = 0, "", _xlpm.sum_month &amp; " notificações.")
)</f>
        <v/>
      </c>
      <c r="L1958" s="4" t="s">
        <v>69</v>
      </c>
      <c r="M1958" s="19">
        <v>1</v>
      </c>
      <c r="N1958" s="5" t="s">
        <v>51</v>
      </c>
      <c r="O1958" s="5" t="s">
        <v>43</v>
      </c>
      <c r="P1958" s="10" t="s">
        <v>44</v>
      </c>
      <c r="Q1958" s="10" t="s">
        <v>44</v>
      </c>
      <c r="R1958" s="11" t="s">
        <v>44</v>
      </c>
      <c r="S1958" s="11" t="s">
        <v>44</v>
      </c>
      <c r="T1958" s="22"/>
      <c r="U1958" s="22"/>
      <c r="V1958" s="22"/>
      <c r="W1958" s="22"/>
      <c r="X1958" s="22"/>
      <c r="Y1958" s="22"/>
      <c r="Z1958" s="22"/>
      <c r="AA1958" s="22"/>
      <c r="AB1958" s="22"/>
      <c r="AC1958" s="22"/>
      <c r="AD1958" s="22"/>
      <c r="AE1958" s="22"/>
      <c r="AG1958" s="71"/>
      <c r="AH1958" s="71"/>
      <c r="AI1958" s="71"/>
      <c r="AJ1958" s="71"/>
      <c r="AK1958" s="71"/>
      <c r="AL1958" s="71"/>
      <c r="AM1958" s="71"/>
      <c r="AN1958" s="71"/>
      <c r="AO1958" s="71"/>
      <c r="AP1958" s="71"/>
      <c r="AQ1958" s="71"/>
      <c r="AR1958" s="71"/>
      <c r="AS1958" s="94">
        <f ca="1">IF(MONTH(TODAY())=3,SUM(T1958:U1958),IF(MONTH(TODAY())=4,SUM(T1958:V1958),IF(MONTH(TODAY())=5,SUM(T1958:W1958),IF(MONTH(TODAY())=6,SUM(T1958:X1958),IF(MONTH(TODAY())=7,SUM(T1958:Y1958),IF(MONTH(TODAY())=8,SUM(T1958:Z1958),IF(MONTH(TODAY())=9,SUM(T1958:AA1958),IF(MONTH(TODAY())=10,SUM(T1958:AB1958),IF(MONTH(TODAY())=11,SUM(T1958:AC1958),IF(MONTH(TODAY())=12,SUM(T1958:AD1958),IF(MONTH(TODAY())=1,SUM(T1958:AE1958),T1958)))))))))))</f>
        <v>0</v>
      </c>
      <c r="AT1958" s="95">
        <f>SUM(AG1958:AR1958)</f>
        <v>0</v>
      </c>
      <c r="AU1958" s="97">
        <f>SUM(AG1958:AR1958)</f>
        <v>0</v>
      </c>
      <c r="AW1958" s="83">
        <f>AG1958</f>
        <v>0</v>
      </c>
      <c r="AX1958" s="83">
        <f>AH1958</f>
        <v>0</v>
      </c>
      <c r="AY1958" s="83">
        <f>AI1958</f>
        <v>0</v>
      </c>
      <c r="AZ1958" s="83">
        <f>AJ1958</f>
        <v>0</v>
      </c>
      <c r="BA1958" s="52"/>
      <c r="BB1958" s="52"/>
      <c r="BC1958" s="52"/>
      <c r="BD1958" s="52"/>
      <c r="BE1958" s="52"/>
      <c r="BF1958" s="52"/>
      <c r="BG1958" s="52"/>
      <c r="BH1958" s="52"/>
      <c r="BI1958" s="68" cm="1">
        <f t="array" ref="BI1958">IFERROR(INDEX(AW1958:BH1958,1,MATCH(2,1/(AW1958:BH1958&lt;&gt;""))),"")</f>
        <v>0</v>
      </c>
      <c r="BJ1958" s="68" cm="1">
        <f t="array" ref="BJ1958">IF(BM1958 = "", "",IFERROR(INDEX(AW1958:BH1958,1,MATCH(2,1/(AW1958:BH1958&lt;&gt;""),1)-1),""))</f>
        <v>0</v>
      </c>
      <c r="BK1958" s="59">
        <f>IF((IF(AW1958&gt;=150%,150%,AW1958) + IF(AX1958&gt;=150%,150%,AX1958) + IF(AY1958&gt;=150%,150%,AY1958) + (IF(AW1958&gt;=150%,150%,AW1958) + IF(BA1958&gt;=150%,150%,BA1958) + IF(BB1958&gt;=150%,150%,BB1958) + IF(BC1958&gt;=150%,150%,BC1958) + IF(BD1958&gt;=150%,150%,BD1958) + IF(BE1958&gt;=150%,150%,BE1958) + IF(BF1958&gt;=150%,150%,BF1958) + IF(BG1958&gt;=150%,150%,BG1958) + IF(BH1958&gt;=150%,150%,BH1958)))/_xlfn.XLOOKUP(F1958,Apuração!A:A,Apuração!B:B)&gt;=1.15,1.15,((IF(AW1958&gt;=150%,150%,AW1958) + IF(AX1958&gt;=150%,150%,AX1958) + IF(AY1958&gt;=150%,150%,AY1958) + (IF(AW1958&gt;=150%,150%,AW1958) + IF(BA1958&gt;=150%,150%,BA1958) + IF(BB1958&gt;=150%,150%,BB1958) + IF(BC1958&gt;=150%,150%,BC1958) + IF(BD1958&gt;=150%,150%,BD1958) + IF(BE1958&gt;=150%,150%,BE1958) + IF(BF1958&gt;=150%,150%,BF1958) + IF(BG1958&gt;=150%,150%,BG1958) + IF(BH1958&gt;=150%,150%,BH1958)))/_xlfn.XLOOKUP(F1958,Apuração!A:A,Apuração!B:B)))</f>
        <v>0</v>
      </c>
      <c r="BL1958" s="59" cm="1">
        <f t="array" aca="1" ref="BL1958" ca="1">IF(SUM(IFERROR(IF(INDEX(AW1958:INDEX(AW1958:BH1958, MATCH(2, 1/(AW1958:BH1958&lt;&gt;""), 1)-1), ROW(INDIRECT("1:" &amp; MATCH(2, 1/(AW1958:BH1958&lt;&gt;""), 1)-1))) &gt;= 150%, 150%, INDEX(AW1958:INDEX(AW1958:BH1958, MATCH(2, 1/(AW1958:BH1958&lt;&gt;""), 1)-1), ROW(INDIRECT("1:" &amp; MATCH(2, 1/(AW1958:BH1958&lt;&gt;""), 1)-1)))), 0))/_xlfn.XLOOKUP(F1958,Apuração!A:A,Apuração!B:B)&gt;=1.15,1.15,SUM(IFERROR(IF(INDEX(AW1958:INDEX(AW1958:BH1958, MATCH(2, 1/(AW1958:BH1958&lt;&gt;""), 1)-1), ROW(INDIRECT("1:" &amp; MATCH(2, 1/(AW1958:BH1958&lt;&gt;""), 1)-1))) &gt;= 150%, 150%, INDEX(AW1958:INDEX(AW1958:BH1958, MATCH(2, 1/(AW1958:BH1958&lt;&gt;""), 1)-1), ROW(INDIRECT("1:" &amp; MATCH(2, 1/(AW1958:BH1958&lt;&gt;""), 1)-1)))), 0))/_xlfn.XLOOKUP(F1958,Apuração!A:A,Apuração!B:B))</f>
        <v>0</v>
      </c>
      <c r="BM1958" s="55" cm="1">
        <f t="array" ref="BM1958">IFERROR(
   INDEX($AW$1:$BH$1,
      _xlfn.AGGREGATE(14, 6, COLUMN($AW$1:$BH$1)/(AW1958:BH1958&lt;&gt;""), 2) - COLUMN($AW$1) + 1
   ),
"")</f>
        <v>46082</v>
      </c>
      <c r="BN1958" s="55" cm="1">
        <f t="array" ref="BN1958">IFERROR(INDEX($AW$1:$BH$1,1,MATCH(2,1/(AW1958:BH1958&lt;&gt;""))),"")</f>
        <v>46113</v>
      </c>
      <c r="BO1958" s="53">
        <f ca="1">IFERROR(_xlfn.XLOOKUP(F1958,Apuração!A:A,Apuração!C:C)/_xlfn.XLOOKUP(F1958,Apuração!A:A,Apuração!B:B),0)</f>
        <v>0</v>
      </c>
      <c r="BP1958" s="53">
        <f ca="1">IFERROR(_xlfn.XLOOKUP(F1958,Apuração!A:A,Apuração!D:D)/_xlfn.XLOOKUP(F1958,Apuração!A:A,Apuração!B:B),0)</f>
        <v>0</v>
      </c>
      <c r="BQ1958" s="53">
        <f ca="1">IF(BK1958&gt;=BO1958,0,_xlfn.XLOOKUP(F1958,Apuração!A:A,Apuração!B:B)*(BO1958 + (1/_xlfn.XLOOKUP(F1958,Apuração!A:A,Apuração!B:B)) - BK1958))</f>
        <v>0</v>
      </c>
      <c r="BR1958" s="85">
        <f ca="1">IF(BQ1958=0,0,BQ1958*Z1958)</f>
        <v>0</v>
      </c>
      <c r="BS1958" s="53">
        <f ca="1">IFERROR((_xlfn.XLOOKUP(F1958,Apuração!A:A,Apuração!C:C)+1)/_xlfn.XLOOKUP(F1958,Apuração!A:A,Apuração!B:B),0)</f>
        <v>0.14285714285714285</v>
      </c>
    </row>
    <row r="1959" spans="1:71" ht="25.95" hidden="1" customHeight="1" x14ac:dyDescent="0.3">
      <c r="A1959" s="39" t="s">
        <v>33</v>
      </c>
      <c r="B1959" s="4" t="s">
        <v>60</v>
      </c>
      <c r="C1959" s="5" t="s">
        <v>216</v>
      </c>
      <c r="D1959" s="5" t="s">
        <v>217</v>
      </c>
      <c r="E1959" s="4" t="s">
        <v>61</v>
      </c>
      <c r="F1959" s="4" t="str" cm="1">
        <f t="array" ref="F1959">_xlfn.IFS(
AG1959 &lt;&gt; "", "Jan-Dez/26",
AH1959 &lt;&gt; "", "Fev-Dez/26",
AI1959 &lt;&gt; "", "Mar-Dez/26", AJ1959 &lt;&gt; "", "Abr-Dez/26",
TRUE, "A partir de Junho"
)</f>
        <v>A partir de Junho</v>
      </c>
      <c r="G1959" s="122" t="s">
        <v>62</v>
      </c>
      <c r="H1959" s="7" t="s">
        <v>38</v>
      </c>
      <c r="I1959" s="8" t="s">
        <v>68</v>
      </c>
      <c r="J1959" s="8" t="str" cm="1">
        <f t="array" aca="1" ref="J1959" ca="1">_xlfn.LET(
  _xlpm.actual_value_month, INDEX(T1959:AE1959, MATCH(DATE(YEAR(TODAY()), MONTH(TODAY()), 1), $T$1:$AE$1, 0)),
  IF(_xlpm.actual_value_month &lt;&gt; "",_xlpm.actual_value_month &amp; " ações mensais", "")
)</f>
        <v/>
      </c>
      <c r="K1959" s="18" t="str" cm="1">
        <f t="array" ref="K1959">_xlfn.LET(
    _xlpm.sum_month, SUM(T1959:AE1959),
    IF(_xlpm.sum_month = 0, "", _xlpm.sum_month &amp; " notificações.")
)</f>
        <v/>
      </c>
      <c r="L1959" s="4" t="s">
        <v>69</v>
      </c>
      <c r="M1959" s="19">
        <v>1</v>
      </c>
      <c r="N1959" s="5" t="s">
        <v>51</v>
      </c>
      <c r="O1959" s="5" t="s">
        <v>43</v>
      </c>
      <c r="P1959" s="10" t="s">
        <v>44</v>
      </c>
      <c r="Q1959" s="10" t="s">
        <v>44</v>
      </c>
      <c r="R1959" s="11" t="s">
        <v>44</v>
      </c>
      <c r="S1959" s="11" t="s">
        <v>44</v>
      </c>
      <c r="T1959" s="22"/>
      <c r="U1959" s="22"/>
      <c r="V1959" s="22"/>
      <c r="W1959" s="22"/>
      <c r="X1959" s="22"/>
      <c r="Y1959" s="22"/>
      <c r="Z1959" s="22"/>
      <c r="AA1959" s="22"/>
      <c r="AB1959" s="22"/>
      <c r="AC1959" s="22"/>
      <c r="AD1959" s="22"/>
      <c r="AE1959" s="22"/>
      <c r="AG1959" s="71"/>
      <c r="AH1959" s="71"/>
      <c r="AI1959" s="71"/>
      <c r="AJ1959" s="71"/>
      <c r="AK1959" s="71"/>
      <c r="AL1959" s="71"/>
      <c r="AM1959" s="71"/>
      <c r="AN1959" s="71"/>
      <c r="AO1959" s="71"/>
      <c r="AP1959" s="71"/>
      <c r="AQ1959" s="71"/>
      <c r="AR1959" s="71"/>
      <c r="AS1959" s="94">
        <f t="shared" ref="AS1959:AS1962" ca="1" si="2262">IF(MONTH(TODAY())=3,SUM(T1959:U1959),IF(MONTH(TODAY())=4,SUM(T1959:V1959),IF(MONTH(TODAY())=5,SUM(T1959:W1959),IF(MONTH(TODAY())=6,SUM(T1959:X1959),IF(MONTH(TODAY())=7,SUM(T1959:Y1959),IF(MONTH(TODAY())=8,SUM(T1959:Z1959),IF(MONTH(TODAY())=9,SUM(T1959:AA1959),IF(MONTH(TODAY())=10,SUM(T1959:AB1959),IF(MONTH(TODAY())=11,SUM(T1959:AC1959),IF(MONTH(TODAY())=12,SUM(T1959:AD1959),IF(MONTH(TODAY())=1,SUM(T1959:AE1959),T1959)))))))))))</f>
        <v>0</v>
      </c>
      <c r="AT1959" s="95">
        <f t="shared" ref="AT1959:AT1962" si="2263">SUM(AG1959:AR1959)</f>
        <v>0</v>
      </c>
      <c r="AU1959" s="97">
        <f t="shared" ref="AU1959:AU1962" si="2264">SUM(AG1959:AR1959)</f>
        <v>0</v>
      </c>
      <c r="AW1959" s="83">
        <f t="shared" ref="AW1959:AW1962" si="2265">AG1959</f>
        <v>0</v>
      </c>
      <c r="AX1959" s="83">
        <f t="shared" ref="AX1959:AX1962" si="2266">AH1959</f>
        <v>0</v>
      </c>
      <c r="AY1959" s="83">
        <f t="shared" ref="AY1959:AY1962" si="2267">AI1959</f>
        <v>0</v>
      </c>
      <c r="AZ1959" s="83">
        <f t="shared" ref="AZ1959:AZ1962" si="2268">AJ1959</f>
        <v>0</v>
      </c>
      <c r="BA1959" s="52"/>
      <c r="BB1959" s="52"/>
      <c r="BC1959" s="52"/>
      <c r="BD1959" s="52"/>
      <c r="BE1959" s="52"/>
      <c r="BF1959" s="52"/>
      <c r="BG1959" s="52"/>
      <c r="BH1959" s="52"/>
      <c r="BI1959" s="68" cm="1">
        <f t="array" ref="BI1959">IFERROR(INDEX(AW1959:BH1959,1,MATCH(2,1/(AW1959:BH1959&lt;&gt;""))),"")</f>
        <v>0</v>
      </c>
      <c r="BJ1959" s="68" cm="1">
        <f t="array" ref="BJ1959">IF(BM1959 = "", "",IFERROR(INDEX(AW1959:BH1959,1,MATCH(2,1/(AW1959:BH1959&lt;&gt;""),1)-1),""))</f>
        <v>0</v>
      </c>
      <c r="BK1959" s="59">
        <f>IF((IF(AW1959&gt;=150%,150%,AW1959) + IF(AX1959&gt;=150%,150%,AX1959) + IF(AY1959&gt;=150%,150%,AY1959) + (IF(AW1959&gt;=150%,150%,AW1959) + IF(BA1959&gt;=150%,150%,BA1959) + IF(BB1959&gt;=150%,150%,BB1959) + IF(BC1959&gt;=150%,150%,BC1959) + IF(BD1959&gt;=150%,150%,BD1959) + IF(BE1959&gt;=150%,150%,BE1959) + IF(BF1959&gt;=150%,150%,BF1959) + IF(BG1959&gt;=150%,150%,BG1959) + IF(BH1959&gt;=150%,150%,BH1959)))/_xlfn.XLOOKUP(F1959,Apuração!A:A,Apuração!B:B)&gt;=1.15,1.15,((IF(AW1959&gt;=150%,150%,AW1959) + IF(AX1959&gt;=150%,150%,AX1959) + IF(AY1959&gt;=150%,150%,AY1959) + (IF(AW1959&gt;=150%,150%,AW1959) + IF(BA1959&gt;=150%,150%,BA1959) + IF(BB1959&gt;=150%,150%,BB1959) + IF(BC1959&gt;=150%,150%,BC1959) + IF(BD1959&gt;=150%,150%,BD1959) + IF(BE1959&gt;=150%,150%,BE1959) + IF(BF1959&gt;=150%,150%,BF1959) + IF(BG1959&gt;=150%,150%,BG1959) + IF(BH1959&gt;=150%,150%,BH1959)))/_xlfn.XLOOKUP(F1959,Apuração!A:A,Apuração!B:B)))</f>
        <v>0</v>
      </c>
      <c r="BL1959" s="59" cm="1">
        <f t="array" aca="1" ref="BL1959" ca="1">IF(SUM(IFERROR(IF(INDEX(AW1959:INDEX(AW1959:BH1959, MATCH(2, 1/(AW1959:BH1959&lt;&gt;""), 1)-1), ROW(INDIRECT("1:" &amp; MATCH(2, 1/(AW1959:BH1959&lt;&gt;""), 1)-1))) &gt;= 150%, 150%, INDEX(AW1959:INDEX(AW1959:BH1959, MATCH(2, 1/(AW1959:BH1959&lt;&gt;""), 1)-1), ROW(INDIRECT("1:" &amp; MATCH(2, 1/(AW1959:BH1959&lt;&gt;""), 1)-1)))), 0))/_xlfn.XLOOKUP(F1959,Apuração!A:A,Apuração!B:B)&gt;=1.15,1.15,SUM(IFERROR(IF(INDEX(AW1959:INDEX(AW1959:BH1959, MATCH(2, 1/(AW1959:BH1959&lt;&gt;""), 1)-1), ROW(INDIRECT("1:" &amp; MATCH(2, 1/(AW1959:BH1959&lt;&gt;""), 1)-1))) &gt;= 150%, 150%, INDEX(AW1959:INDEX(AW1959:BH1959, MATCH(2, 1/(AW1959:BH1959&lt;&gt;""), 1)-1), ROW(INDIRECT("1:" &amp; MATCH(2, 1/(AW1959:BH1959&lt;&gt;""), 1)-1)))), 0))/_xlfn.XLOOKUP(F1959,Apuração!A:A,Apuração!B:B))</f>
        <v>0</v>
      </c>
      <c r="BM1959" s="55" cm="1">
        <f t="array" ref="BM1959">IFERROR(
   INDEX($AW$1:$BH$1,
      _xlfn.AGGREGATE(14, 6, COLUMN($AW$1:$BH$1)/(AW1959:BH1959&lt;&gt;""), 2) - COLUMN($AW$1) + 1
   ),
"")</f>
        <v>46082</v>
      </c>
      <c r="BN1959" s="55" cm="1">
        <f t="array" ref="BN1959">IFERROR(INDEX($AW$1:$BH$1,1,MATCH(2,1/(AW1959:BH1959&lt;&gt;""))),"")</f>
        <v>46113</v>
      </c>
      <c r="BO1959" s="53">
        <f ca="1">IFERROR(_xlfn.XLOOKUP(F1959,Apuração!A:A,Apuração!C:C)/_xlfn.XLOOKUP(F1959,Apuração!A:A,Apuração!B:B),0)</f>
        <v>0</v>
      </c>
      <c r="BP1959" s="53">
        <f ca="1">IFERROR(_xlfn.XLOOKUP(F1959,Apuração!A:A,Apuração!D:D)/_xlfn.XLOOKUP(F1959,Apuração!A:A,Apuração!B:B),0)</f>
        <v>0</v>
      </c>
      <c r="BQ1959" s="53">
        <f ca="1">IF(BK1959&gt;=BO1959,0,_xlfn.XLOOKUP(F1959,Apuração!A:A,Apuração!B:B)*(BO1959 + (1/_xlfn.XLOOKUP(F1959,Apuração!A:A,Apuração!B:B)) - BK1959))</f>
        <v>0</v>
      </c>
      <c r="BR1959" s="85">
        <f t="shared" ref="BR1959:BR1962" ca="1" si="2269">IF(BQ1959=0,0,BQ1959*Z1959)</f>
        <v>0</v>
      </c>
      <c r="BS1959" s="53">
        <f ca="1">IFERROR((_xlfn.XLOOKUP(F1959,Apuração!A:A,Apuração!C:C)+1)/_xlfn.XLOOKUP(F1959,Apuração!A:A,Apuração!B:B),0)</f>
        <v>0.14285714285714285</v>
      </c>
    </row>
    <row r="1960" spans="1:71" ht="25.95" hidden="1" customHeight="1" x14ac:dyDescent="0.3">
      <c r="A1960" s="39" t="s">
        <v>33</v>
      </c>
      <c r="B1960" s="4" t="s">
        <v>60</v>
      </c>
      <c r="C1960" s="5" t="s">
        <v>216</v>
      </c>
      <c r="D1960" s="5" t="s">
        <v>103</v>
      </c>
      <c r="E1960" s="4" t="s">
        <v>61</v>
      </c>
      <c r="F1960" s="4" t="str" cm="1">
        <f t="array" ref="F1960">_xlfn.IFS(
AG1960 &lt;&gt; "", "Jan-Dez/26",
AH1960 &lt;&gt; "", "Fev-Dez/26",
AI1960 &lt;&gt; "", "Mar-Dez/26", AJ1960 &lt;&gt; "", "Abr-Dez/26",
TRUE, "A partir de Junho"
)</f>
        <v>A partir de Junho</v>
      </c>
      <c r="G1960" s="122" t="s">
        <v>62</v>
      </c>
      <c r="H1960" s="7" t="s">
        <v>38</v>
      </c>
      <c r="I1960" s="8" t="s">
        <v>68</v>
      </c>
      <c r="J1960" s="8" t="str" cm="1">
        <f t="array" aca="1" ref="J1960" ca="1">_xlfn.LET(
  _xlpm.actual_value_month, INDEX(T1960:AE1960, MATCH(DATE(YEAR(TODAY()), MONTH(TODAY()), 1), $T$1:$AE$1, 0)),
  IF(_xlpm.actual_value_month &lt;&gt; "",_xlpm.actual_value_month &amp; " ações mensais", "")
)</f>
        <v/>
      </c>
      <c r="K1960" s="18" t="str" cm="1">
        <f t="array" ref="K1960">_xlfn.LET(
    _xlpm.sum_month, SUM(T1960:AE1960),
    IF(_xlpm.sum_month = 0, "", _xlpm.sum_month &amp; " notificações.")
)</f>
        <v/>
      </c>
      <c r="L1960" s="4" t="s">
        <v>69</v>
      </c>
      <c r="M1960" s="19">
        <v>1</v>
      </c>
      <c r="N1960" s="5" t="s">
        <v>51</v>
      </c>
      <c r="O1960" s="5" t="s">
        <v>43</v>
      </c>
      <c r="P1960" s="10" t="s">
        <v>44</v>
      </c>
      <c r="Q1960" s="10" t="s">
        <v>44</v>
      </c>
      <c r="R1960" s="11" t="s">
        <v>44</v>
      </c>
      <c r="S1960" s="11" t="s">
        <v>44</v>
      </c>
      <c r="T1960" s="22"/>
      <c r="U1960" s="22"/>
      <c r="V1960" s="22"/>
      <c r="W1960" s="22"/>
      <c r="X1960" s="22"/>
      <c r="Y1960" s="22"/>
      <c r="Z1960" s="22"/>
      <c r="AA1960" s="22"/>
      <c r="AB1960" s="22"/>
      <c r="AC1960" s="22"/>
      <c r="AD1960" s="22"/>
      <c r="AE1960" s="22"/>
      <c r="AG1960" s="71"/>
      <c r="AH1960" s="71"/>
      <c r="AI1960" s="71"/>
      <c r="AJ1960" s="71"/>
      <c r="AK1960" s="71"/>
      <c r="AL1960" s="71"/>
      <c r="AM1960" s="71"/>
      <c r="AN1960" s="71"/>
      <c r="AO1960" s="71"/>
      <c r="AP1960" s="71"/>
      <c r="AQ1960" s="71"/>
      <c r="AR1960" s="71"/>
      <c r="AS1960" s="94">
        <f t="shared" ca="1" si="2262"/>
        <v>0</v>
      </c>
      <c r="AT1960" s="95">
        <f t="shared" si="2263"/>
        <v>0</v>
      </c>
      <c r="AU1960" s="97">
        <f t="shared" si="2264"/>
        <v>0</v>
      </c>
      <c r="AW1960" s="83">
        <f t="shared" si="2265"/>
        <v>0</v>
      </c>
      <c r="AX1960" s="83">
        <f t="shared" si="2266"/>
        <v>0</v>
      </c>
      <c r="AY1960" s="83">
        <f t="shared" si="2267"/>
        <v>0</v>
      </c>
      <c r="AZ1960" s="83">
        <f t="shared" si="2268"/>
        <v>0</v>
      </c>
      <c r="BA1960" s="52"/>
      <c r="BB1960" s="52"/>
      <c r="BC1960" s="52"/>
      <c r="BD1960" s="52"/>
      <c r="BE1960" s="52"/>
      <c r="BF1960" s="52"/>
      <c r="BG1960" s="52"/>
      <c r="BH1960" s="52"/>
      <c r="BI1960" s="68" cm="1">
        <f t="array" ref="BI1960">IFERROR(INDEX(AW1960:BH1960,1,MATCH(2,1/(AW1960:BH1960&lt;&gt;""))),"")</f>
        <v>0</v>
      </c>
      <c r="BJ1960" s="68" cm="1">
        <f t="array" ref="BJ1960">IF(BM1960 = "", "",IFERROR(INDEX(AW1960:BH1960,1,MATCH(2,1/(AW1960:BH1960&lt;&gt;""),1)-1),""))</f>
        <v>0</v>
      </c>
      <c r="BK1960" s="59">
        <f>IF((IF(AW1960&gt;=150%,150%,AW1960) + IF(AX1960&gt;=150%,150%,AX1960) + IF(AY1960&gt;=150%,150%,AY1960) + (IF(AW1960&gt;=150%,150%,AW1960) + IF(BA1960&gt;=150%,150%,BA1960) + IF(BB1960&gt;=150%,150%,BB1960) + IF(BC1960&gt;=150%,150%,BC1960) + IF(BD1960&gt;=150%,150%,BD1960) + IF(BE1960&gt;=150%,150%,BE1960) + IF(BF1960&gt;=150%,150%,BF1960) + IF(BG1960&gt;=150%,150%,BG1960) + IF(BH1960&gt;=150%,150%,BH1960)))/_xlfn.XLOOKUP(F1960,Apuração!A:A,Apuração!B:B)&gt;=1.15,1.15,((IF(AW1960&gt;=150%,150%,AW1960) + IF(AX1960&gt;=150%,150%,AX1960) + IF(AY1960&gt;=150%,150%,AY1960) + (IF(AW1960&gt;=150%,150%,AW1960) + IF(BA1960&gt;=150%,150%,BA1960) + IF(BB1960&gt;=150%,150%,BB1960) + IF(BC1960&gt;=150%,150%,BC1960) + IF(BD1960&gt;=150%,150%,BD1960) + IF(BE1960&gt;=150%,150%,BE1960) + IF(BF1960&gt;=150%,150%,BF1960) + IF(BG1960&gt;=150%,150%,BG1960) + IF(BH1960&gt;=150%,150%,BH1960)))/_xlfn.XLOOKUP(F1960,Apuração!A:A,Apuração!B:B)))</f>
        <v>0</v>
      </c>
      <c r="BL1960" s="59" cm="1">
        <f t="array" aca="1" ref="BL1960" ca="1">IF(SUM(IFERROR(IF(INDEX(AW1960:INDEX(AW1960:BH1960, MATCH(2, 1/(AW1960:BH1960&lt;&gt;""), 1)-1), ROW(INDIRECT("1:" &amp; MATCH(2, 1/(AW1960:BH1960&lt;&gt;""), 1)-1))) &gt;= 150%, 150%, INDEX(AW1960:INDEX(AW1960:BH1960, MATCH(2, 1/(AW1960:BH1960&lt;&gt;""), 1)-1), ROW(INDIRECT("1:" &amp; MATCH(2, 1/(AW1960:BH1960&lt;&gt;""), 1)-1)))), 0))/_xlfn.XLOOKUP(F1960,Apuração!A:A,Apuração!B:B)&gt;=1.15,1.15,SUM(IFERROR(IF(INDEX(AW1960:INDEX(AW1960:BH1960, MATCH(2, 1/(AW1960:BH1960&lt;&gt;""), 1)-1), ROW(INDIRECT("1:" &amp; MATCH(2, 1/(AW1960:BH1960&lt;&gt;""), 1)-1))) &gt;= 150%, 150%, INDEX(AW1960:INDEX(AW1960:BH1960, MATCH(2, 1/(AW1960:BH1960&lt;&gt;""), 1)-1), ROW(INDIRECT("1:" &amp; MATCH(2, 1/(AW1960:BH1960&lt;&gt;""), 1)-1)))), 0))/_xlfn.XLOOKUP(F1960,Apuração!A:A,Apuração!B:B))</f>
        <v>0</v>
      </c>
      <c r="BM1960" s="55" cm="1">
        <f t="array" ref="BM1960">IFERROR(
   INDEX($AW$1:$BH$1,
      _xlfn.AGGREGATE(14, 6, COLUMN($AW$1:$BH$1)/(AW1960:BH1960&lt;&gt;""), 2) - COLUMN($AW$1) + 1
   ),
"")</f>
        <v>46082</v>
      </c>
      <c r="BN1960" s="55" cm="1">
        <f t="array" ref="BN1960">IFERROR(INDEX($AW$1:$BH$1,1,MATCH(2,1/(AW1960:BH1960&lt;&gt;""))),"")</f>
        <v>46113</v>
      </c>
      <c r="BO1960" s="53">
        <f ca="1">IFERROR(_xlfn.XLOOKUP(F1960,Apuração!A:A,Apuração!C:C)/_xlfn.XLOOKUP(F1960,Apuração!A:A,Apuração!B:B),0)</f>
        <v>0</v>
      </c>
      <c r="BP1960" s="53">
        <f ca="1">IFERROR(_xlfn.XLOOKUP(F1960,Apuração!A:A,Apuração!D:D)/_xlfn.XLOOKUP(F1960,Apuração!A:A,Apuração!B:B),0)</f>
        <v>0</v>
      </c>
      <c r="BQ1960" s="53">
        <f ca="1">IF(BK1960&gt;=BO1960,0,_xlfn.XLOOKUP(F1960,Apuração!A:A,Apuração!B:B)*(BO1960 + (1/_xlfn.XLOOKUP(F1960,Apuração!A:A,Apuração!B:B)) - BK1960))</f>
        <v>0</v>
      </c>
      <c r="BR1960" s="85">
        <f t="shared" ca="1" si="2269"/>
        <v>0</v>
      </c>
      <c r="BS1960" s="53">
        <f ca="1">IFERROR((_xlfn.XLOOKUP(F1960,Apuração!A:A,Apuração!C:C)+1)/_xlfn.XLOOKUP(F1960,Apuração!A:A,Apuração!B:B),0)</f>
        <v>0.14285714285714285</v>
      </c>
    </row>
    <row r="1961" spans="1:71" ht="25.95" hidden="1" customHeight="1" x14ac:dyDescent="0.3">
      <c r="A1961" s="39" t="s">
        <v>33</v>
      </c>
      <c r="B1961" s="4" t="s">
        <v>60</v>
      </c>
      <c r="C1961" s="5" t="s">
        <v>216</v>
      </c>
      <c r="D1961" s="5" t="s">
        <v>218</v>
      </c>
      <c r="E1961" s="4" t="s">
        <v>61</v>
      </c>
      <c r="F1961" s="4" t="str" cm="1">
        <f t="array" ref="F1961">_xlfn.IFS(
AG1961 &lt;&gt; "", "Jan-Dez/26",
AH1961 &lt;&gt; "", "Fev-Dez/26",
AI1961 &lt;&gt; "", "Mar-Dez/26", AJ1961 &lt;&gt; "", "Abr-Dez/26",
TRUE, "A partir de Junho"
)</f>
        <v>A partir de Junho</v>
      </c>
      <c r="G1961" s="122" t="s">
        <v>62</v>
      </c>
      <c r="H1961" s="7" t="s">
        <v>38</v>
      </c>
      <c r="I1961" s="8" t="s">
        <v>68</v>
      </c>
      <c r="J1961" s="8" t="str" cm="1">
        <f t="array" aca="1" ref="J1961" ca="1">_xlfn.LET(
  _xlpm.actual_value_month, INDEX(T1961:AE1961, MATCH(DATE(YEAR(TODAY()), MONTH(TODAY()), 1), $T$1:$AE$1, 0)),
  IF(_xlpm.actual_value_month &lt;&gt; "",_xlpm.actual_value_month &amp; " ações mensais", "")
)</f>
        <v/>
      </c>
      <c r="K1961" s="18" t="str" cm="1">
        <f t="array" ref="K1961">_xlfn.LET(
    _xlpm.sum_month, SUM(T1961:AE1961),
    IF(_xlpm.sum_month = 0, "", _xlpm.sum_month &amp; " notificações.")
)</f>
        <v/>
      </c>
      <c r="L1961" s="4" t="s">
        <v>69</v>
      </c>
      <c r="M1961" s="19">
        <v>1</v>
      </c>
      <c r="N1961" s="5" t="s">
        <v>51</v>
      </c>
      <c r="O1961" s="5" t="s">
        <v>43</v>
      </c>
      <c r="P1961" s="10" t="s">
        <v>44</v>
      </c>
      <c r="Q1961" s="10" t="s">
        <v>44</v>
      </c>
      <c r="R1961" s="11" t="s">
        <v>44</v>
      </c>
      <c r="S1961" s="11" t="s">
        <v>44</v>
      </c>
      <c r="T1961" s="22"/>
      <c r="U1961" s="22"/>
      <c r="V1961" s="22"/>
      <c r="W1961" s="22"/>
      <c r="X1961" s="22"/>
      <c r="Y1961" s="22"/>
      <c r="Z1961" s="22"/>
      <c r="AA1961" s="22"/>
      <c r="AB1961" s="22"/>
      <c r="AC1961" s="22"/>
      <c r="AD1961" s="22"/>
      <c r="AE1961" s="22"/>
      <c r="AG1961" s="71"/>
      <c r="AH1961" s="71"/>
      <c r="AI1961" s="71"/>
      <c r="AJ1961" s="71"/>
      <c r="AK1961" s="71"/>
      <c r="AL1961" s="71"/>
      <c r="AM1961" s="71"/>
      <c r="AN1961" s="71"/>
      <c r="AO1961" s="71"/>
      <c r="AP1961" s="71"/>
      <c r="AQ1961" s="71"/>
      <c r="AR1961" s="71"/>
      <c r="AS1961" s="94">
        <f t="shared" ca="1" si="2262"/>
        <v>0</v>
      </c>
      <c r="AT1961" s="95">
        <f t="shared" si="2263"/>
        <v>0</v>
      </c>
      <c r="AU1961" s="97">
        <f t="shared" si="2264"/>
        <v>0</v>
      </c>
      <c r="AW1961" s="83">
        <f t="shared" si="2265"/>
        <v>0</v>
      </c>
      <c r="AX1961" s="83">
        <f t="shared" si="2266"/>
        <v>0</v>
      </c>
      <c r="AY1961" s="83">
        <f t="shared" si="2267"/>
        <v>0</v>
      </c>
      <c r="AZ1961" s="83">
        <f t="shared" si="2268"/>
        <v>0</v>
      </c>
      <c r="BA1961" s="52"/>
      <c r="BB1961" s="52"/>
      <c r="BC1961" s="52"/>
      <c r="BD1961" s="52"/>
      <c r="BE1961" s="52"/>
      <c r="BF1961" s="52"/>
      <c r="BG1961" s="52"/>
      <c r="BH1961" s="52"/>
      <c r="BI1961" s="68" cm="1">
        <f t="array" ref="BI1961">IFERROR(INDEX(AW1961:BH1961,1,MATCH(2,1/(AW1961:BH1961&lt;&gt;""))),"")</f>
        <v>0</v>
      </c>
      <c r="BJ1961" s="68" cm="1">
        <f t="array" ref="BJ1961">IF(BM1961 = "", "",IFERROR(INDEX(AW1961:BH1961,1,MATCH(2,1/(AW1961:BH1961&lt;&gt;""),1)-1),""))</f>
        <v>0</v>
      </c>
      <c r="BK1961" s="59">
        <f>IF((IF(AW1961&gt;=150%,150%,AW1961) + IF(AX1961&gt;=150%,150%,AX1961) + IF(AY1961&gt;=150%,150%,AY1961) + (IF(AW1961&gt;=150%,150%,AW1961) + IF(BA1961&gt;=150%,150%,BA1961) + IF(BB1961&gt;=150%,150%,BB1961) + IF(BC1961&gt;=150%,150%,BC1961) + IF(BD1961&gt;=150%,150%,BD1961) + IF(BE1961&gt;=150%,150%,BE1961) + IF(BF1961&gt;=150%,150%,BF1961) + IF(BG1961&gt;=150%,150%,BG1961) + IF(BH1961&gt;=150%,150%,BH1961)))/_xlfn.XLOOKUP(F1961,Apuração!A:A,Apuração!B:B)&gt;=1.15,1.15,((IF(AW1961&gt;=150%,150%,AW1961) + IF(AX1961&gt;=150%,150%,AX1961) + IF(AY1961&gt;=150%,150%,AY1961) + (IF(AW1961&gt;=150%,150%,AW1961) + IF(BA1961&gt;=150%,150%,BA1961) + IF(BB1961&gt;=150%,150%,BB1961) + IF(BC1961&gt;=150%,150%,BC1961) + IF(BD1961&gt;=150%,150%,BD1961) + IF(BE1961&gt;=150%,150%,BE1961) + IF(BF1961&gt;=150%,150%,BF1961) + IF(BG1961&gt;=150%,150%,BG1961) + IF(BH1961&gt;=150%,150%,BH1961)))/_xlfn.XLOOKUP(F1961,Apuração!A:A,Apuração!B:B)))</f>
        <v>0</v>
      </c>
      <c r="BL1961" s="59" cm="1">
        <f t="array" aca="1" ref="BL1961" ca="1">IF(SUM(IFERROR(IF(INDEX(AW1961:INDEX(AW1961:BH1961, MATCH(2, 1/(AW1961:BH1961&lt;&gt;""), 1)-1), ROW(INDIRECT("1:" &amp; MATCH(2, 1/(AW1961:BH1961&lt;&gt;""), 1)-1))) &gt;= 150%, 150%, INDEX(AW1961:INDEX(AW1961:BH1961, MATCH(2, 1/(AW1961:BH1961&lt;&gt;""), 1)-1), ROW(INDIRECT("1:" &amp; MATCH(2, 1/(AW1961:BH1961&lt;&gt;""), 1)-1)))), 0))/_xlfn.XLOOKUP(F1961,Apuração!A:A,Apuração!B:B)&gt;=1.15,1.15,SUM(IFERROR(IF(INDEX(AW1961:INDEX(AW1961:BH1961, MATCH(2, 1/(AW1961:BH1961&lt;&gt;""), 1)-1), ROW(INDIRECT("1:" &amp; MATCH(2, 1/(AW1961:BH1961&lt;&gt;""), 1)-1))) &gt;= 150%, 150%, INDEX(AW1961:INDEX(AW1961:BH1961, MATCH(2, 1/(AW1961:BH1961&lt;&gt;""), 1)-1), ROW(INDIRECT("1:" &amp; MATCH(2, 1/(AW1961:BH1961&lt;&gt;""), 1)-1)))), 0))/_xlfn.XLOOKUP(F1961,Apuração!A:A,Apuração!B:B))</f>
        <v>0</v>
      </c>
      <c r="BM1961" s="55" cm="1">
        <f t="array" ref="BM1961">IFERROR(
   INDEX($AW$1:$BH$1,
      _xlfn.AGGREGATE(14, 6, COLUMN($AW$1:$BH$1)/(AW1961:BH1961&lt;&gt;""), 2) - COLUMN($AW$1) + 1
   ),
"")</f>
        <v>46082</v>
      </c>
      <c r="BN1961" s="55" cm="1">
        <f t="array" ref="BN1961">IFERROR(INDEX($AW$1:$BH$1,1,MATCH(2,1/(AW1961:BH1961&lt;&gt;""))),"")</f>
        <v>46113</v>
      </c>
      <c r="BO1961" s="53">
        <f ca="1">IFERROR(_xlfn.XLOOKUP(F1961,Apuração!A:A,Apuração!C:C)/_xlfn.XLOOKUP(F1961,Apuração!A:A,Apuração!B:B),0)</f>
        <v>0</v>
      </c>
      <c r="BP1961" s="53">
        <f ca="1">IFERROR(_xlfn.XLOOKUP(F1961,Apuração!A:A,Apuração!D:D)/_xlfn.XLOOKUP(F1961,Apuração!A:A,Apuração!B:B),0)</f>
        <v>0</v>
      </c>
      <c r="BQ1961" s="53">
        <f ca="1">IF(BK1961&gt;=BO1961,0,_xlfn.XLOOKUP(F1961,Apuração!A:A,Apuração!B:B)*(BO1961 + (1/_xlfn.XLOOKUP(F1961,Apuração!A:A,Apuração!B:B)) - BK1961))</f>
        <v>0</v>
      </c>
      <c r="BR1961" s="85">
        <f t="shared" ca="1" si="2269"/>
        <v>0</v>
      </c>
      <c r="BS1961" s="53">
        <f ca="1">IFERROR((_xlfn.XLOOKUP(F1961,Apuração!A:A,Apuração!C:C)+1)/_xlfn.XLOOKUP(F1961,Apuração!A:A,Apuração!B:B),0)</f>
        <v>0.14285714285714285</v>
      </c>
    </row>
    <row r="1962" spans="1:71" ht="25.95" hidden="1" customHeight="1" x14ac:dyDescent="0.3">
      <c r="A1962" s="39" t="s">
        <v>33</v>
      </c>
      <c r="B1962" s="4" t="s">
        <v>60</v>
      </c>
      <c r="C1962" s="5" t="s">
        <v>216</v>
      </c>
      <c r="D1962" s="5" t="s">
        <v>219</v>
      </c>
      <c r="E1962" s="4" t="s">
        <v>61</v>
      </c>
      <c r="F1962" s="4" t="str" cm="1">
        <f t="array" ref="F1962">_xlfn.IFS(
AG1962 &lt;&gt; "", "Jan-Dez/26",
AH1962 &lt;&gt; "", "Fev-Dez/26",
AI1962 &lt;&gt; "", "Mar-Dez/26", AJ1962 &lt;&gt; "", "Abr-Dez/26",
TRUE, "A partir de Junho"
)</f>
        <v>A partir de Junho</v>
      </c>
      <c r="G1962" s="122" t="s">
        <v>62</v>
      </c>
      <c r="H1962" s="7" t="s">
        <v>38</v>
      </c>
      <c r="I1962" s="8" t="s">
        <v>68</v>
      </c>
      <c r="J1962" s="8" t="str" cm="1">
        <f t="array" aca="1" ref="J1962" ca="1">_xlfn.LET(
  _xlpm.actual_value_month, INDEX(T1962:AE1962, MATCH(DATE(YEAR(TODAY()), MONTH(TODAY()), 1), $T$1:$AE$1, 0)),
  IF(_xlpm.actual_value_month &lt;&gt; "",_xlpm.actual_value_month &amp; " ações mensais", "")
)</f>
        <v/>
      </c>
      <c r="K1962" s="18" t="str" cm="1">
        <f t="array" ref="K1962">_xlfn.LET(
    _xlpm.sum_month, SUM(T1962:AE1962),
    IF(_xlpm.sum_month = 0, "", _xlpm.sum_month &amp; " notificações.")
)</f>
        <v/>
      </c>
      <c r="L1962" s="4" t="s">
        <v>69</v>
      </c>
      <c r="M1962" s="19">
        <v>1</v>
      </c>
      <c r="N1962" s="5" t="s">
        <v>51</v>
      </c>
      <c r="O1962" s="5" t="s">
        <v>43</v>
      </c>
      <c r="P1962" s="10" t="s">
        <v>44</v>
      </c>
      <c r="Q1962" s="10" t="s">
        <v>44</v>
      </c>
      <c r="R1962" s="11" t="s">
        <v>44</v>
      </c>
      <c r="S1962" s="11" t="s">
        <v>44</v>
      </c>
      <c r="T1962" s="22"/>
      <c r="U1962" s="22"/>
      <c r="V1962" s="22"/>
      <c r="W1962" s="22"/>
      <c r="X1962" s="22"/>
      <c r="Y1962" s="22"/>
      <c r="Z1962" s="22"/>
      <c r="AA1962" s="22"/>
      <c r="AB1962" s="22"/>
      <c r="AC1962" s="22"/>
      <c r="AD1962" s="22"/>
      <c r="AE1962" s="22"/>
      <c r="AG1962" s="71"/>
      <c r="AH1962" s="71"/>
      <c r="AI1962" s="71"/>
      <c r="AJ1962" s="71"/>
      <c r="AK1962" s="71"/>
      <c r="AL1962" s="71"/>
      <c r="AM1962" s="71"/>
      <c r="AN1962" s="71"/>
      <c r="AO1962" s="71"/>
      <c r="AP1962" s="71"/>
      <c r="AQ1962" s="71"/>
      <c r="AR1962" s="71"/>
      <c r="AS1962" s="94">
        <f t="shared" ca="1" si="2262"/>
        <v>0</v>
      </c>
      <c r="AT1962" s="95">
        <f t="shared" si="2263"/>
        <v>0</v>
      </c>
      <c r="AU1962" s="97">
        <f t="shared" si="2264"/>
        <v>0</v>
      </c>
      <c r="AW1962" s="83">
        <f t="shared" si="2265"/>
        <v>0</v>
      </c>
      <c r="AX1962" s="83">
        <f t="shared" si="2266"/>
        <v>0</v>
      </c>
      <c r="AY1962" s="83">
        <f t="shared" si="2267"/>
        <v>0</v>
      </c>
      <c r="AZ1962" s="83">
        <f t="shared" si="2268"/>
        <v>0</v>
      </c>
      <c r="BA1962" s="52"/>
      <c r="BB1962" s="52"/>
      <c r="BC1962" s="52"/>
      <c r="BD1962" s="52"/>
      <c r="BE1962" s="52"/>
      <c r="BF1962" s="52"/>
      <c r="BG1962" s="52"/>
      <c r="BH1962" s="52"/>
      <c r="BI1962" s="68" cm="1">
        <f t="array" ref="BI1962">IFERROR(INDEX(AW1962:BH1962,1,MATCH(2,1/(AW1962:BH1962&lt;&gt;""))),"")</f>
        <v>0</v>
      </c>
      <c r="BJ1962" s="68" cm="1">
        <f t="array" ref="BJ1962">IF(BM1962 = "", "",IFERROR(INDEX(AW1962:BH1962,1,MATCH(2,1/(AW1962:BH1962&lt;&gt;""),1)-1),""))</f>
        <v>0</v>
      </c>
      <c r="BK1962" s="59">
        <f>IF((IF(AW1962&gt;=150%,150%,AW1962) + IF(AX1962&gt;=150%,150%,AX1962) + IF(AY1962&gt;=150%,150%,AY1962) + (IF(AW1962&gt;=150%,150%,AW1962) + IF(BA1962&gt;=150%,150%,BA1962) + IF(BB1962&gt;=150%,150%,BB1962) + IF(BC1962&gt;=150%,150%,BC1962) + IF(BD1962&gt;=150%,150%,BD1962) + IF(BE1962&gt;=150%,150%,BE1962) + IF(BF1962&gt;=150%,150%,BF1962) + IF(BG1962&gt;=150%,150%,BG1962) + IF(BH1962&gt;=150%,150%,BH1962)))/_xlfn.XLOOKUP(F1962,Apuração!A:A,Apuração!B:B)&gt;=1.15,1.15,((IF(AW1962&gt;=150%,150%,AW1962) + IF(AX1962&gt;=150%,150%,AX1962) + IF(AY1962&gt;=150%,150%,AY1962) + (IF(AW1962&gt;=150%,150%,AW1962) + IF(BA1962&gt;=150%,150%,BA1962) + IF(BB1962&gt;=150%,150%,BB1962) + IF(BC1962&gt;=150%,150%,BC1962) + IF(BD1962&gt;=150%,150%,BD1962) + IF(BE1962&gt;=150%,150%,BE1962) + IF(BF1962&gt;=150%,150%,BF1962) + IF(BG1962&gt;=150%,150%,BG1962) + IF(BH1962&gt;=150%,150%,BH1962)))/_xlfn.XLOOKUP(F1962,Apuração!A:A,Apuração!B:B)))</f>
        <v>0</v>
      </c>
      <c r="BL1962" s="59" cm="1">
        <f t="array" aca="1" ref="BL1962" ca="1">IF(SUM(IFERROR(IF(INDEX(AW1962:INDEX(AW1962:BH1962, MATCH(2, 1/(AW1962:BH1962&lt;&gt;""), 1)-1), ROW(INDIRECT("1:" &amp; MATCH(2, 1/(AW1962:BH1962&lt;&gt;""), 1)-1))) &gt;= 150%, 150%, INDEX(AW1962:INDEX(AW1962:BH1962, MATCH(2, 1/(AW1962:BH1962&lt;&gt;""), 1)-1), ROW(INDIRECT("1:" &amp; MATCH(2, 1/(AW1962:BH1962&lt;&gt;""), 1)-1)))), 0))/_xlfn.XLOOKUP(F1962,Apuração!A:A,Apuração!B:B)&gt;=1.15,1.15,SUM(IFERROR(IF(INDEX(AW1962:INDEX(AW1962:BH1962, MATCH(2, 1/(AW1962:BH1962&lt;&gt;""), 1)-1), ROW(INDIRECT("1:" &amp; MATCH(2, 1/(AW1962:BH1962&lt;&gt;""), 1)-1))) &gt;= 150%, 150%, INDEX(AW1962:INDEX(AW1962:BH1962, MATCH(2, 1/(AW1962:BH1962&lt;&gt;""), 1)-1), ROW(INDIRECT("1:" &amp; MATCH(2, 1/(AW1962:BH1962&lt;&gt;""), 1)-1)))), 0))/_xlfn.XLOOKUP(F1962,Apuração!A:A,Apuração!B:B))</f>
        <v>0</v>
      </c>
      <c r="BM1962" s="55" cm="1">
        <f t="array" ref="BM1962">IFERROR(
   INDEX($AW$1:$BH$1,
      _xlfn.AGGREGATE(14, 6, COLUMN($AW$1:$BH$1)/(AW1962:BH1962&lt;&gt;""), 2) - COLUMN($AW$1) + 1
   ),
"")</f>
        <v>46082</v>
      </c>
      <c r="BN1962" s="55" cm="1">
        <f t="array" ref="BN1962">IFERROR(INDEX($AW$1:$BH$1,1,MATCH(2,1/(AW1962:BH1962&lt;&gt;""))),"")</f>
        <v>46113</v>
      </c>
      <c r="BO1962" s="53">
        <f ca="1">IFERROR(_xlfn.XLOOKUP(F1962,Apuração!A:A,Apuração!C:C)/_xlfn.XLOOKUP(F1962,Apuração!A:A,Apuração!B:B),0)</f>
        <v>0</v>
      </c>
      <c r="BP1962" s="53">
        <f ca="1">IFERROR(_xlfn.XLOOKUP(F1962,Apuração!A:A,Apuração!D:D)/_xlfn.XLOOKUP(F1962,Apuração!A:A,Apuração!B:B),0)</f>
        <v>0</v>
      </c>
      <c r="BQ1962" s="53">
        <f ca="1">IF(BK1962&gt;=BO1962,0,_xlfn.XLOOKUP(F1962,Apuração!A:A,Apuração!B:B)*(BO1962 + (1/_xlfn.XLOOKUP(F1962,Apuração!A:A,Apuração!B:B)) - BK1962))</f>
        <v>0</v>
      </c>
      <c r="BR1962" s="85">
        <f t="shared" ca="1" si="2269"/>
        <v>0</v>
      </c>
      <c r="BS1962" s="53">
        <f ca="1">IFERROR((_xlfn.XLOOKUP(F1962,Apuração!A:A,Apuração!C:C)+1)/_xlfn.XLOOKUP(F1962,Apuração!A:A,Apuração!B:B),0)</f>
        <v>0.14285714285714285</v>
      </c>
    </row>
    <row r="1963" spans="1:71" ht="25.95" hidden="1" customHeight="1" x14ac:dyDescent="0.3">
      <c r="A1963" s="3" t="s">
        <v>33</v>
      </c>
      <c r="B1963" s="4" t="s">
        <v>70</v>
      </c>
      <c r="C1963" s="5" t="s">
        <v>216</v>
      </c>
      <c r="D1963" s="5" t="s">
        <v>36</v>
      </c>
      <c r="E1963" s="4" t="str" cm="1">
        <f t="array" ref="E1963">_xlfn.IFS(
F1963 = "A partir de Abril", "Aguardando Execução na Distribuidora",
A1963 = "CAPACITAÇÃO", "Em execução no Corporativo",
TRUE, "Em Execução na Distribuidora"
)</f>
        <v>Em Execução na Distribuidora</v>
      </c>
      <c r="F1963" s="4" t="str" cm="1">
        <f t="array" ref="F1963">_xlfn.IFS(
AG1963 &lt;&gt; "", "Jan-Dez/26",
AH1963 &lt;&gt; "", "Fev-Dez/26",
AI1963 &lt;&gt; "", "Mar-Dez/26", AJ1963 &lt;&gt; "", "Abr-Dez/26",
TRUE, "A partir de Junho"
)</f>
        <v>Jan-Dez/26</v>
      </c>
      <c r="G1963" s="4" t="s">
        <v>37</v>
      </c>
      <c r="H1963" s="7" t="s">
        <v>54</v>
      </c>
      <c r="I1963" s="8" t="s">
        <v>55</v>
      </c>
      <c r="J1963" s="8" t="str" cm="1">
        <f t="array" aca="1" ref="J1963" ca="1">_xlfn.LET(
  _xlpm.actual_value_month, INDEX(T1963:AE1963, MATCH(DATE(YEAR(TODAY()), MONTH(TODAY()), 1), $T$1:$AE$1, 0)),
  IF(_xlpm.actual_value_month &lt;&gt; "",_xlpm.actual_value_month &amp; " eventos mensais", "")
)</f>
        <v>4 eventos mensais</v>
      </c>
      <c r="K1963" s="14" t="str" cm="1">
        <f t="array" ref="K1963">_xlfn.LET(
    _xlpm.sum_month, SUM(T1963:AE1963),
    IF(_xlpm.sum_month = 0, "", _xlpm.sum_month &amp; "  eventos no ano")
)</f>
        <v>41  eventos no ano</v>
      </c>
      <c r="L1963" s="9" t="s">
        <v>56</v>
      </c>
      <c r="M1963" s="13" t="s">
        <v>71</v>
      </c>
      <c r="N1963" s="5" t="s">
        <v>42</v>
      </c>
      <c r="O1963" s="5" t="s">
        <v>43</v>
      </c>
      <c r="P1963" s="10" t="s">
        <v>58</v>
      </c>
      <c r="Q1963" s="10" t="s">
        <v>72</v>
      </c>
      <c r="R1963" s="11" t="s">
        <v>45</v>
      </c>
      <c r="S1963" s="11" t="s">
        <v>46</v>
      </c>
      <c r="T1963" s="22">
        <v>1</v>
      </c>
      <c r="U1963" s="22">
        <v>2</v>
      </c>
      <c r="V1963" s="22">
        <v>2</v>
      </c>
      <c r="W1963" s="22">
        <v>4</v>
      </c>
      <c r="X1963" s="22">
        <v>4</v>
      </c>
      <c r="Y1963" s="22">
        <v>4</v>
      </c>
      <c r="Z1963" s="22">
        <v>4</v>
      </c>
      <c r="AA1963" s="22">
        <v>4</v>
      </c>
      <c r="AB1963" s="22">
        <v>4</v>
      </c>
      <c r="AC1963" s="22">
        <v>4</v>
      </c>
      <c r="AD1963" s="22">
        <v>4</v>
      </c>
      <c r="AE1963" s="22">
        <v>4</v>
      </c>
      <c r="AG1963" s="71">
        <v>1</v>
      </c>
      <c r="AH1963" s="71">
        <v>2</v>
      </c>
      <c r="AI1963" s="71">
        <v>2</v>
      </c>
      <c r="AJ1963" s="71">
        <v>0</v>
      </c>
      <c r="AK1963" s="71"/>
      <c r="AL1963" s="71"/>
      <c r="AM1963" s="71"/>
      <c r="AN1963" s="71"/>
      <c r="AO1963" s="71"/>
      <c r="AP1963" s="71"/>
      <c r="AQ1963" s="71"/>
      <c r="AR1963" s="71"/>
      <c r="AS1963" s="94">
        <f ca="1">IF(MONTH(TODAY())=3,SUM(T1963:U1963),IF(MONTH(TODAY())=4,SUM(T1963:V1963),IF(MONTH(TODAY())=5,SUM(T1963:W1963),IF(MONTH(TODAY())=6,SUM(T1963:X1963),IF(MONTH(TODAY())=7,SUM(T1963:Y1963),IF(MONTH(TODAY())=8,SUM(T1963:Z1963),IF(MONTH(TODAY())=9,SUM(T1963:AA1963),IF(MONTH(TODAY())=10,SUM(T1963:AB1963),IF(MONTH(TODAY())=11,SUM(T1963:AC1963),IF(MONTH(TODAY())=12,SUM(T1963:AD1963),IF(MONTH(TODAY())=1,SUM(T1963:AE1963),T1963)))))))))))</f>
        <v>13</v>
      </c>
      <c r="AT1963" s="95">
        <f>SUM(IF(AW1963&lt;1.15,AG1963,1.15*T1963),IF(AX1963&lt;1.15,AH1963,1.15*U1963),IF(AY1963&lt;1.15,AI1963,1.15*V1963),IF(AZ1963&lt;1.15,AJ1963,1.15*W1963),IF(BA1963&lt;1.15,AK1963,1.15*X1963),IF(BB1963&lt;1.15,AL1963,1.15*Y1963),IF(BC1963&lt;1.15,AM1963,1.15*Z1963),IF(BD1963&lt;1.15,AN1963,1.15*AA1963),IF(BE1963&lt;1.15,AO1963,1.15*AB1963),IF(BF1963&lt;1.15,AP1963,1.15*AC1963),IF(BG1963&lt;1.15,AQ1963,1.15*AD1963),IF(BH1963&lt;1.15,AR1963,1.15*AE1963))</f>
        <v>5</v>
      </c>
      <c r="AU1963" s="97">
        <f>SUM(AG1963:AR1963)</f>
        <v>5</v>
      </c>
      <c r="AW1963" s="51">
        <f>IFERROR(IF(AG1963="",0,AG1963/T1963),0)</f>
        <v>1</v>
      </c>
      <c r="AX1963" s="51">
        <f>IFERROR(IF(AH1963="",0,AH1963/U1963),0)</f>
        <v>1</v>
      </c>
      <c r="AY1963" s="51">
        <f>IFERROR(IF(AI1963="",0,AI1963/V1963),0)</f>
        <v>1</v>
      </c>
      <c r="AZ1963" s="51">
        <f>IFERROR(IF(AJ1963="",0,AJ1963/W1963),0)</f>
        <v>0</v>
      </c>
      <c r="BA1963" s="51"/>
      <c r="BB1963" s="51"/>
      <c r="BC1963" s="51"/>
      <c r="BD1963" s="51"/>
      <c r="BE1963" s="51"/>
      <c r="BF1963" s="51"/>
      <c r="BG1963" s="51"/>
      <c r="BH1963" s="51"/>
      <c r="BI1963" s="65" cm="1">
        <f t="array" ref="BI1963">IFERROR(INDEX(AW1963:BH1963,1,MATCH(2,1/(AW1963:BH1963&lt;&gt;""))),"")</f>
        <v>0</v>
      </c>
      <c r="BJ1963" s="68" cm="1">
        <f t="array" ref="BJ1963">IF(BM1963 = "", "",IFERROR(INDEX(AW1963:BH1963,1,MATCH(2,1/(AW1963:BH1963&lt;&gt;""),1)-1),""))</f>
        <v>1</v>
      </c>
      <c r="BK1963" s="58">
        <f>IF((IF(AW1963&gt;=115%,115%,AW1963) + IF(AX1963&gt;=115%,115%,AX1963) + IF(AY1963&gt;=115%,115%,AY1963) + (IF(AZ1963&gt;=115%,115%,AZ1963) + IF(BA1963&gt;=115%,115%,BA1963) + IF(BB1963&gt;=115%,115%,BB1963) + IF(BC1963&gt;=115%,115%,BC1963) + IF(BD1963&gt;=115%,115%,BD1963) + IF(BE1963&gt;=115%,115%,BE1963) + IF(BF1963&gt;=115%,115%,BF1963) + IF(BG1963&gt;=115%,115%,BG1963) + IF(BH1963&gt;=115%,115%,BH1963)))/_xlfn.XLOOKUP(F1963,Apuração!A:A,Apuração!B:B)&gt;=1.15,1.15,((IF(AZ1963&gt;=115%,115%,AZ1963) + IF(AX1963&gt;=115%,115%,AX1963) + IF(AY1963&gt;=115%,115%,AY1963) + (IF(AW1963&gt;=115%,115%,AW1963) + IF(BA1963&gt;=115%,115%,BA1963) + IF(BB1963&gt;=115%,115%,BB1963) + IF(BC1963&gt;=115%,115%,BC1963) + IF(BD1963&gt;=115%,115%,BD1963) + IF(BE1963&gt;=115%,115%,BE1963) + IF(BF1963&gt;=115%,115%,BF1963) + IF(BG1963&gt;=115%,115%,BG1963) + IF(BH1963&gt;=115%,115%,BH1963)))/_xlfn.XLOOKUP(F1963,Apuração!A:A,Apuração!B:B)))</f>
        <v>0.25</v>
      </c>
      <c r="BL1963" s="58" cm="1">
        <f t="array" aca="1" ref="BL1963" ca="1">IF(SUM(IFERROR(IF(INDEX(AW1963:INDEX(AW1963:BH1963, MATCH(2, 1/(AW1963:BH1963&lt;&gt;""), 1)-1), ROW(INDIRECT("1:" &amp; MATCH(2, 1/(AW1963:BH1963&lt;&gt;""), 1)-1))) &gt;= 115%, 115%, INDEX(AW1963:INDEX(AW1963:BH1963, MATCH(2, 1/(AW1963:BH1963&lt;&gt;""), 1)-1), ROW(INDIRECT("1:" &amp; MATCH(2, 1/(AW1963:BH1963&lt;&gt;""), 1)-1)))), 0))/_xlfn.XLOOKUP(F1963,Apuração!A:A,Apuração!B:B)&gt;=1.15,1.15,SUM(IFERROR(IF(INDEX(AW1963:INDEX(AW1963:BH1963, MATCH(2, 1/(AW1963:BH1963&lt;&gt;""), 1)-1), ROW(INDIRECT("1:" &amp; MATCH(2, 1/(AW1963:BH1963&lt;&gt;""), 1)-1))) &gt;= 115%, 115%, INDEX(AW1963:INDEX(AW1963:BH1963, MATCH(2, 1/(AW1963:BH1963&lt;&gt;""), 1)-1), ROW(INDIRECT("1:" &amp; MATCH(2, 1/(AW1963:BH1963&lt;&gt;""), 1)-1)))), 0))/_xlfn.XLOOKUP(F1963,Apuração!A:A,Apuração!B:B))</f>
        <v>0.25</v>
      </c>
      <c r="BM1963" s="55" cm="1">
        <f t="array" ref="BM1963">IFERROR(
   INDEX($AW$1:$BH$1,
      _xlfn.AGGREGATE(14, 6, COLUMN($AW$1:$BH$1)/(AW1963:BH1963&lt;&gt;""), 2) - COLUMN($AW$1) + 1
   ),
"")</f>
        <v>46082</v>
      </c>
      <c r="BN1963" s="55" cm="1">
        <f t="array" ref="BN1963">IFERROR(INDEX($AW$1:$BH$1,1,MATCH(2,1/(AW1963:BH1963&lt;&gt;""))),"")</f>
        <v>46113</v>
      </c>
      <c r="BO1963" s="53">
        <f ca="1">IFERROR(_xlfn.XLOOKUP(F1963,Apuração!A:A,Apuração!C:C)/_xlfn.XLOOKUP(F1963,Apuração!A:A,Apuração!B:B),0)</f>
        <v>0.41666666666666669</v>
      </c>
      <c r="BP1963" s="53">
        <f ca="1">IFERROR(_xlfn.XLOOKUP(F1963,Apuração!A:A,Apuração!D:D)/_xlfn.XLOOKUP(F1963,Apuração!A:A,Apuração!B:B),0)</f>
        <v>0.33333333333333331</v>
      </c>
      <c r="BQ1963" s="53">
        <f ca="1">IF(BK1963&gt;=BO1963,0,_xlfn.XLOOKUP(F1963,Apuração!A:A,Apuração!B:B)*(BO1963 + (1/_xlfn.XLOOKUP(F1963,Apuração!A:A,Apuração!B:B)) - BK1963))</f>
        <v>3</v>
      </c>
      <c r="BR1963" s="85">
        <f ca="1">IF(BQ1963=0,0,BQ1963*Z1963)</f>
        <v>12</v>
      </c>
      <c r="BS1963" s="53">
        <f ca="1">IFERROR((_xlfn.XLOOKUP(F1963,Apuração!A:A,Apuração!C:C)+1)/_xlfn.XLOOKUP(F1963,Apuração!A:A,Apuração!B:B),0)</f>
        <v>0.5</v>
      </c>
    </row>
    <row r="1964" spans="1:71" ht="25.95" hidden="1" customHeight="1" x14ac:dyDescent="0.3">
      <c r="A1964" s="3" t="s">
        <v>33</v>
      </c>
      <c r="B1964" s="4" t="s">
        <v>70</v>
      </c>
      <c r="C1964" s="5" t="s">
        <v>216</v>
      </c>
      <c r="D1964" s="5" t="s">
        <v>217</v>
      </c>
      <c r="E1964" s="4" t="str" cm="1">
        <f t="array" ref="E1964">_xlfn.IFS(
F1964 = "A partir de Abril", "Aguardando Execução na Distribuidora",
A1964 = "CAPACITAÇÃO", "Em execução no Corporativo",
TRUE, "Em Execução na Distribuidora"
)</f>
        <v>Em Execução na Distribuidora</v>
      </c>
      <c r="F1964" s="4" t="str" cm="1">
        <f t="array" ref="F1964">_xlfn.IFS(
AG1964 &lt;&gt; "", "Jan-Dez/26",
AH1964 &lt;&gt; "", "Fev-Dez/26",
AI1964 &lt;&gt; "", "Mar-Dez/26", AJ1964 &lt;&gt; "", "Abr-Dez/26",
TRUE, "A partir de Junho"
)</f>
        <v>Jan-Dez/26</v>
      </c>
      <c r="G1964" s="4" t="s">
        <v>37</v>
      </c>
      <c r="H1964" s="7" t="s">
        <v>54</v>
      </c>
      <c r="I1964" s="8" t="s">
        <v>55</v>
      </c>
      <c r="J1964" s="8" t="str" cm="1">
        <f t="array" aca="1" ref="J1964" ca="1">_xlfn.LET(
  _xlpm.actual_value_month, INDEX(T1964:AE1964, MATCH(DATE(YEAR(TODAY()), MONTH(TODAY()), 1), $T$1:$AE$1, 0)),
  IF(_xlpm.actual_value_month &lt;&gt; "",_xlpm.actual_value_month &amp; " eventos mensais", "")
)</f>
        <v>1 eventos mensais</v>
      </c>
      <c r="K1964" s="14" t="str" cm="1">
        <f t="array" ref="K1964">_xlfn.LET(
    _xlpm.sum_month, SUM(T1964:AE1964),
    IF(_xlpm.sum_month = 0, "", _xlpm.sum_month &amp; "  eventos no ano")
)</f>
        <v>9  eventos no ano</v>
      </c>
      <c r="L1964" s="9" t="s">
        <v>56</v>
      </c>
      <c r="M1964" s="13" t="s">
        <v>71</v>
      </c>
      <c r="N1964" s="5" t="s">
        <v>42</v>
      </c>
      <c r="O1964" s="5" t="s">
        <v>43</v>
      </c>
      <c r="P1964" s="10" t="s">
        <v>58</v>
      </c>
      <c r="Q1964" s="10" t="s">
        <v>72</v>
      </c>
      <c r="R1964" s="11" t="s">
        <v>45</v>
      </c>
      <c r="S1964" s="11" t="s">
        <v>46</v>
      </c>
      <c r="T1964" s="143"/>
      <c r="U1964" s="143"/>
      <c r="V1964" s="143"/>
      <c r="W1964" s="143">
        <v>1</v>
      </c>
      <c r="X1964" s="143">
        <v>1</v>
      </c>
      <c r="Y1964" s="143">
        <v>1</v>
      </c>
      <c r="Z1964" s="143">
        <v>1</v>
      </c>
      <c r="AA1964" s="143">
        <v>1</v>
      </c>
      <c r="AB1964" s="143">
        <v>1</v>
      </c>
      <c r="AC1964" s="143">
        <v>1</v>
      </c>
      <c r="AD1964" s="143">
        <v>1</v>
      </c>
      <c r="AE1964" s="143">
        <v>1</v>
      </c>
      <c r="AG1964" s="145">
        <v>0</v>
      </c>
      <c r="AH1964" s="149">
        <v>0</v>
      </c>
      <c r="AI1964" s="149">
        <v>0</v>
      </c>
      <c r="AJ1964" s="149">
        <v>0</v>
      </c>
      <c r="AK1964" s="71"/>
      <c r="AL1964" s="71"/>
      <c r="AM1964" s="71"/>
      <c r="AN1964" s="71"/>
      <c r="AO1964" s="71"/>
      <c r="AP1964" s="71"/>
      <c r="AQ1964" s="71"/>
      <c r="AR1964" s="71"/>
      <c r="AS1964" s="94">
        <f t="shared" ref="AS1964:AS1967" ca="1" si="2270">IF(MONTH(TODAY())=3,SUM(T1964:U1964),IF(MONTH(TODAY())=4,SUM(T1964:V1964),IF(MONTH(TODAY())=5,SUM(T1964:W1964),IF(MONTH(TODAY())=6,SUM(T1964:X1964),IF(MONTH(TODAY())=7,SUM(T1964:Y1964),IF(MONTH(TODAY())=8,SUM(T1964:Z1964),IF(MONTH(TODAY())=9,SUM(T1964:AA1964),IF(MONTH(TODAY())=10,SUM(T1964:AB1964),IF(MONTH(TODAY())=11,SUM(T1964:AC1964),IF(MONTH(TODAY())=12,SUM(T1964:AD1964),IF(MONTH(TODAY())=1,SUM(T1964:AE1964),T1964)))))))))))</f>
        <v>2</v>
      </c>
      <c r="AT1964" s="95">
        <f t="shared" ref="AT1964:AT1967" si="2271">SUM(IF(AW1964&lt;1.15,AG1964,1.15*T1964),IF(AX1964&lt;1.15,AH1964,1.15*U1964),IF(AY1964&lt;1.15,AI1964,1.15*V1964),IF(AZ1964&lt;1.15,AJ1964,1.15*W1964),IF(BA1964&lt;1.15,AK1964,1.15*X1964),IF(BB1964&lt;1.15,AL1964,1.15*Y1964),IF(BC1964&lt;1.15,AM1964,1.15*Z1964),IF(BD1964&lt;1.15,AN1964,1.15*AA1964),IF(BE1964&lt;1.15,AO1964,1.15*AB1964),IF(BF1964&lt;1.15,AP1964,1.15*AC1964),IF(BG1964&lt;1.15,AQ1964,1.15*AD1964),IF(BH1964&lt;1.15,AR1964,1.15*AE1964))</f>
        <v>0</v>
      </c>
      <c r="AU1964" s="97">
        <f t="shared" ref="AU1964:AU1967" si="2272">SUM(AG1964:AR1964)</f>
        <v>0</v>
      </c>
      <c r="AW1964" s="51">
        <f t="shared" ref="AW1964:AW1967" si="2273">IFERROR(IF(AG1964="",0,AG1964/T1964),0)</f>
        <v>0</v>
      </c>
      <c r="AX1964" s="51">
        <f t="shared" ref="AX1964:AX1967" si="2274">IFERROR(IF(AH1964="",0,AH1964/U1964),0)</f>
        <v>0</v>
      </c>
      <c r="AY1964" s="51">
        <f t="shared" ref="AY1964:AY1967" si="2275">IFERROR(IF(AI1964="",0,AI1964/V1964),0)</f>
        <v>0</v>
      </c>
      <c r="AZ1964" s="51">
        <f t="shared" ref="AZ1964:AZ1967" si="2276">IFERROR(IF(AJ1964="",0,AJ1964/W1964),0)</f>
        <v>0</v>
      </c>
      <c r="BA1964" s="51"/>
      <c r="BB1964" s="51"/>
      <c r="BC1964" s="51"/>
      <c r="BD1964" s="51"/>
      <c r="BE1964" s="51"/>
      <c r="BF1964" s="51"/>
      <c r="BG1964" s="51"/>
      <c r="BH1964" s="51"/>
      <c r="BI1964" s="65" cm="1">
        <f t="array" ref="BI1964">IFERROR(INDEX(AW1964:BH1964,1,MATCH(2,1/(AW1964:BH1964&lt;&gt;""))),"")</f>
        <v>0</v>
      </c>
      <c r="BJ1964" s="68" cm="1">
        <f t="array" ref="BJ1964">IF(BM1964 = "", "",IFERROR(INDEX(AW1964:BH1964,1,MATCH(2,1/(AW1964:BH1964&lt;&gt;""),1)-1),""))</f>
        <v>0</v>
      </c>
      <c r="BK1964" s="58">
        <f>IF((IF(AW1964&gt;=115%,115%,AW1964) + IF(AX1964&gt;=115%,115%,AX1964) + IF(AY1964&gt;=115%,115%,AY1964) + (IF(AZ1964&gt;=115%,115%,AZ1964) + IF(BA1964&gt;=115%,115%,BA1964) + IF(BB1964&gt;=115%,115%,BB1964) + IF(BC1964&gt;=115%,115%,BC1964) + IF(BD1964&gt;=115%,115%,BD1964) + IF(BE1964&gt;=115%,115%,BE1964) + IF(BF1964&gt;=115%,115%,BF1964) + IF(BG1964&gt;=115%,115%,BG1964) + IF(BH1964&gt;=115%,115%,BH1964)))/_xlfn.XLOOKUP(F1964,Apuração!A:A,Apuração!B:B)&gt;=1.15,1.15,((IF(AZ1964&gt;=115%,115%,AZ1964) + IF(AX1964&gt;=115%,115%,AX1964) + IF(AY1964&gt;=115%,115%,AY1964) + (IF(AW1964&gt;=115%,115%,AW1964) + IF(BA1964&gt;=115%,115%,BA1964) + IF(BB1964&gt;=115%,115%,BB1964) + IF(BC1964&gt;=115%,115%,BC1964) + IF(BD1964&gt;=115%,115%,BD1964) + IF(BE1964&gt;=115%,115%,BE1964) + IF(BF1964&gt;=115%,115%,BF1964) + IF(BG1964&gt;=115%,115%,BG1964) + IF(BH1964&gt;=115%,115%,BH1964)))/_xlfn.XLOOKUP(F1964,Apuração!A:A,Apuração!B:B)))</f>
        <v>0</v>
      </c>
      <c r="BL1964" s="58" cm="1">
        <f t="array" aca="1" ref="BL1964" ca="1">IF(SUM(IFERROR(IF(INDEX(AW1964:INDEX(AW1964:BH1964, MATCH(2, 1/(AW1964:BH1964&lt;&gt;""), 1)-1), ROW(INDIRECT("1:" &amp; MATCH(2, 1/(AW1964:BH1964&lt;&gt;""), 1)-1))) &gt;= 115%, 115%, INDEX(AW1964:INDEX(AW1964:BH1964, MATCH(2, 1/(AW1964:BH1964&lt;&gt;""), 1)-1), ROW(INDIRECT("1:" &amp; MATCH(2, 1/(AW1964:BH1964&lt;&gt;""), 1)-1)))), 0))/_xlfn.XLOOKUP(F1964,Apuração!A:A,Apuração!B:B)&gt;=1.15,1.15,SUM(IFERROR(IF(INDEX(AW1964:INDEX(AW1964:BH1964, MATCH(2, 1/(AW1964:BH1964&lt;&gt;""), 1)-1), ROW(INDIRECT("1:" &amp; MATCH(2, 1/(AW1964:BH1964&lt;&gt;""), 1)-1))) &gt;= 115%, 115%, INDEX(AW1964:INDEX(AW1964:BH1964, MATCH(2, 1/(AW1964:BH1964&lt;&gt;""), 1)-1), ROW(INDIRECT("1:" &amp; MATCH(2, 1/(AW1964:BH1964&lt;&gt;""), 1)-1)))), 0))/_xlfn.XLOOKUP(F1964,Apuração!A:A,Apuração!B:B))</f>
        <v>0</v>
      </c>
      <c r="BM1964" s="55" cm="1">
        <f t="array" ref="BM1964">IFERROR(
   INDEX($AW$1:$BH$1,
      _xlfn.AGGREGATE(14, 6, COLUMN($AW$1:$BH$1)/(AW1964:BH1964&lt;&gt;""), 2) - COLUMN($AW$1) + 1
   ),
"")</f>
        <v>46082</v>
      </c>
      <c r="BN1964" s="55" cm="1">
        <f t="array" ref="BN1964">IFERROR(INDEX($AW$1:$BH$1,1,MATCH(2,1/(AW1964:BH1964&lt;&gt;""))),"")</f>
        <v>46113</v>
      </c>
      <c r="BO1964" s="53">
        <f ca="1">IFERROR(_xlfn.XLOOKUP(F1964,Apuração!A:A,Apuração!C:C)/_xlfn.XLOOKUP(F1964,Apuração!A:A,Apuração!B:B),0)</f>
        <v>0.41666666666666669</v>
      </c>
      <c r="BP1964" s="53">
        <f ca="1">IFERROR(_xlfn.XLOOKUP(F1964,Apuração!A:A,Apuração!D:D)/_xlfn.XLOOKUP(F1964,Apuração!A:A,Apuração!B:B),0)</f>
        <v>0.33333333333333331</v>
      </c>
      <c r="BQ1964" s="53">
        <f ca="1">IF(BK1964&gt;=BO1964,0,_xlfn.XLOOKUP(F1964,Apuração!A:A,Apuração!B:B)*(BO1964 + (1/_xlfn.XLOOKUP(F1964,Apuração!A:A,Apuração!B:B)) - BK1964))</f>
        <v>6</v>
      </c>
      <c r="BR1964" s="85">
        <f t="shared" ref="BR1964:BR1967" ca="1" si="2277">IF(BQ1964=0,0,BQ1964*Z1964)</f>
        <v>6</v>
      </c>
      <c r="BS1964" s="53">
        <f ca="1">IFERROR((_xlfn.XLOOKUP(F1964,Apuração!A:A,Apuração!C:C)+1)/_xlfn.XLOOKUP(F1964,Apuração!A:A,Apuração!B:B),0)</f>
        <v>0.5</v>
      </c>
    </row>
    <row r="1965" spans="1:71" ht="25.95" hidden="1" customHeight="1" x14ac:dyDescent="0.3">
      <c r="A1965" s="3" t="s">
        <v>33</v>
      </c>
      <c r="B1965" s="4" t="s">
        <v>70</v>
      </c>
      <c r="C1965" s="5" t="s">
        <v>216</v>
      </c>
      <c r="D1965" s="5" t="s">
        <v>103</v>
      </c>
      <c r="E1965" s="4" t="str" cm="1">
        <f t="array" ref="E1965">_xlfn.IFS(
F1965 = "A partir de Abril", "Aguardando Execução na Distribuidora",
A1965 = "CAPACITAÇÃO", "Em execução no Corporativo",
TRUE, "Em Execução na Distribuidora"
)</f>
        <v>Em Execução na Distribuidora</v>
      </c>
      <c r="F1965" s="4" t="str" cm="1">
        <f t="array" ref="F1965">_xlfn.IFS(
AG1965 &lt;&gt; "", "Jan-Dez/26",
AH1965 &lt;&gt; "", "Fev-Dez/26",
AI1965 &lt;&gt; "", "Mar-Dez/26", AJ1965 &lt;&gt; "", "Abr-Dez/26",
TRUE, "A partir de Junho"
)</f>
        <v>Jan-Dez/26</v>
      </c>
      <c r="G1965" s="4" t="s">
        <v>37</v>
      </c>
      <c r="H1965" s="7" t="s">
        <v>54</v>
      </c>
      <c r="I1965" s="8" t="s">
        <v>55</v>
      </c>
      <c r="J1965" s="8" t="str" cm="1">
        <f t="array" aca="1" ref="J1965" ca="1">_xlfn.LET(
  _xlpm.actual_value_month, INDEX(T1965:AE1965, MATCH(DATE(YEAR(TODAY()), MONTH(TODAY()), 1), $T$1:$AE$1, 0)),
  IF(_xlpm.actual_value_month &lt;&gt; "",_xlpm.actual_value_month &amp; " eventos mensais", "")
)</f>
        <v>1 eventos mensais</v>
      </c>
      <c r="K1965" s="14" t="str" cm="1">
        <f t="array" ref="K1965">_xlfn.LET(
    _xlpm.sum_month, SUM(T1965:AE1965),
    IF(_xlpm.sum_month = 0, "", _xlpm.sum_month &amp; "  eventos no ano")
)</f>
        <v>14  eventos no ano</v>
      </c>
      <c r="L1965" s="9" t="s">
        <v>56</v>
      </c>
      <c r="M1965" s="13" t="s">
        <v>71</v>
      </c>
      <c r="N1965" s="5" t="s">
        <v>42</v>
      </c>
      <c r="O1965" s="5" t="s">
        <v>43</v>
      </c>
      <c r="P1965" s="10" t="s">
        <v>58</v>
      </c>
      <c r="Q1965" s="10" t="s">
        <v>72</v>
      </c>
      <c r="R1965" s="11" t="s">
        <v>45</v>
      </c>
      <c r="S1965" s="11" t="s">
        <v>46</v>
      </c>
      <c r="T1965" s="143">
        <v>1</v>
      </c>
      <c r="U1965" s="143">
        <v>2</v>
      </c>
      <c r="V1965" s="143">
        <v>2</v>
      </c>
      <c r="W1965" s="143">
        <v>1</v>
      </c>
      <c r="X1965" s="143">
        <v>1</v>
      </c>
      <c r="Y1965" s="143">
        <v>1</v>
      </c>
      <c r="Z1965" s="143">
        <v>1</v>
      </c>
      <c r="AA1965" s="143">
        <v>1</v>
      </c>
      <c r="AB1965" s="143">
        <v>1</v>
      </c>
      <c r="AC1965" s="143">
        <v>1</v>
      </c>
      <c r="AD1965" s="143">
        <v>1</v>
      </c>
      <c r="AE1965" s="143">
        <v>1</v>
      </c>
      <c r="AG1965" s="146">
        <v>1</v>
      </c>
      <c r="AH1965" s="150">
        <v>2</v>
      </c>
      <c r="AI1965" s="150">
        <v>2</v>
      </c>
      <c r="AJ1965" s="150">
        <v>0</v>
      </c>
      <c r="AK1965" s="71"/>
      <c r="AL1965" s="71"/>
      <c r="AM1965" s="71"/>
      <c r="AN1965" s="71"/>
      <c r="AO1965" s="71"/>
      <c r="AP1965" s="71"/>
      <c r="AQ1965" s="71"/>
      <c r="AR1965" s="71"/>
      <c r="AS1965" s="94">
        <f t="shared" ca="1" si="2270"/>
        <v>7</v>
      </c>
      <c r="AT1965" s="95">
        <f t="shared" si="2271"/>
        <v>5</v>
      </c>
      <c r="AU1965" s="97">
        <f t="shared" si="2272"/>
        <v>5</v>
      </c>
      <c r="AW1965" s="51">
        <f t="shared" si="2273"/>
        <v>1</v>
      </c>
      <c r="AX1965" s="51">
        <f t="shared" si="2274"/>
        <v>1</v>
      </c>
      <c r="AY1965" s="51">
        <f t="shared" si="2275"/>
        <v>1</v>
      </c>
      <c r="AZ1965" s="51">
        <f t="shared" si="2276"/>
        <v>0</v>
      </c>
      <c r="BA1965" s="51"/>
      <c r="BB1965" s="51"/>
      <c r="BC1965" s="51"/>
      <c r="BD1965" s="51"/>
      <c r="BE1965" s="51"/>
      <c r="BF1965" s="51"/>
      <c r="BG1965" s="51"/>
      <c r="BH1965" s="51"/>
      <c r="BI1965" s="65" cm="1">
        <f t="array" ref="BI1965">IFERROR(INDEX(AW1965:BH1965,1,MATCH(2,1/(AW1965:BH1965&lt;&gt;""))),"")</f>
        <v>0</v>
      </c>
      <c r="BJ1965" s="68" cm="1">
        <f t="array" ref="BJ1965">IF(BM1965 = "", "",IFERROR(INDEX(AW1965:BH1965,1,MATCH(2,1/(AW1965:BH1965&lt;&gt;""),1)-1),""))</f>
        <v>1</v>
      </c>
      <c r="BK1965" s="58">
        <f>IF((IF(AW1965&gt;=115%,115%,AW1965) + IF(AX1965&gt;=115%,115%,AX1965) + IF(AY1965&gt;=115%,115%,AY1965) + (IF(AZ1965&gt;=115%,115%,AZ1965) + IF(BA1965&gt;=115%,115%,BA1965) + IF(BB1965&gt;=115%,115%,BB1965) + IF(BC1965&gt;=115%,115%,BC1965) + IF(BD1965&gt;=115%,115%,BD1965) + IF(BE1965&gt;=115%,115%,BE1965) + IF(BF1965&gt;=115%,115%,BF1965) + IF(BG1965&gt;=115%,115%,BG1965) + IF(BH1965&gt;=115%,115%,BH1965)))/_xlfn.XLOOKUP(F1965,Apuração!A:A,Apuração!B:B)&gt;=1.15,1.15,((IF(AZ1965&gt;=115%,115%,AZ1965) + IF(AX1965&gt;=115%,115%,AX1965) + IF(AY1965&gt;=115%,115%,AY1965) + (IF(AW1965&gt;=115%,115%,AW1965) + IF(BA1965&gt;=115%,115%,BA1965) + IF(BB1965&gt;=115%,115%,BB1965) + IF(BC1965&gt;=115%,115%,BC1965) + IF(BD1965&gt;=115%,115%,BD1965) + IF(BE1965&gt;=115%,115%,BE1965) + IF(BF1965&gt;=115%,115%,BF1965) + IF(BG1965&gt;=115%,115%,BG1965) + IF(BH1965&gt;=115%,115%,BH1965)))/_xlfn.XLOOKUP(F1965,Apuração!A:A,Apuração!B:B)))</f>
        <v>0.25</v>
      </c>
      <c r="BL1965" s="58" cm="1">
        <f t="array" aca="1" ref="BL1965" ca="1">IF(SUM(IFERROR(IF(INDEX(AW1965:INDEX(AW1965:BH1965, MATCH(2, 1/(AW1965:BH1965&lt;&gt;""), 1)-1), ROW(INDIRECT("1:" &amp; MATCH(2, 1/(AW1965:BH1965&lt;&gt;""), 1)-1))) &gt;= 115%, 115%, INDEX(AW1965:INDEX(AW1965:BH1965, MATCH(2, 1/(AW1965:BH1965&lt;&gt;""), 1)-1), ROW(INDIRECT("1:" &amp; MATCH(2, 1/(AW1965:BH1965&lt;&gt;""), 1)-1)))), 0))/_xlfn.XLOOKUP(F1965,Apuração!A:A,Apuração!B:B)&gt;=1.15,1.15,SUM(IFERROR(IF(INDEX(AW1965:INDEX(AW1965:BH1965, MATCH(2, 1/(AW1965:BH1965&lt;&gt;""), 1)-1), ROW(INDIRECT("1:" &amp; MATCH(2, 1/(AW1965:BH1965&lt;&gt;""), 1)-1))) &gt;= 115%, 115%, INDEX(AW1965:INDEX(AW1965:BH1965, MATCH(2, 1/(AW1965:BH1965&lt;&gt;""), 1)-1), ROW(INDIRECT("1:" &amp; MATCH(2, 1/(AW1965:BH1965&lt;&gt;""), 1)-1)))), 0))/_xlfn.XLOOKUP(F1965,Apuração!A:A,Apuração!B:B))</f>
        <v>0.25</v>
      </c>
      <c r="BM1965" s="55" cm="1">
        <f t="array" ref="BM1965">IFERROR(
   INDEX($AW$1:$BH$1,
      _xlfn.AGGREGATE(14, 6, COLUMN($AW$1:$BH$1)/(AW1965:BH1965&lt;&gt;""), 2) - COLUMN($AW$1) + 1
   ),
"")</f>
        <v>46082</v>
      </c>
      <c r="BN1965" s="55" cm="1">
        <f t="array" ref="BN1965">IFERROR(INDEX($AW$1:$BH$1,1,MATCH(2,1/(AW1965:BH1965&lt;&gt;""))),"")</f>
        <v>46113</v>
      </c>
      <c r="BO1965" s="53">
        <f ca="1">IFERROR(_xlfn.XLOOKUP(F1965,Apuração!A:A,Apuração!C:C)/_xlfn.XLOOKUP(F1965,Apuração!A:A,Apuração!B:B),0)</f>
        <v>0.41666666666666669</v>
      </c>
      <c r="BP1965" s="53">
        <f ca="1">IFERROR(_xlfn.XLOOKUP(F1965,Apuração!A:A,Apuração!D:D)/_xlfn.XLOOKUP(F1965,Apuração!A:A,Apuração!B:B),0)</f>
        <v>0.33333333333333331</v>
      </c>
      <c r="BQ1965" s="53">
        <f ca="1">IF(BK1965&gt;=BO1965,0,_xlfn.XLOOKUP(F1965,Apuração!A:A,Apuração!B:B)*(BO1965 + (1/_xlfn.XLOOKUP(F1965,Apuração!A:A,Apuração!B:B)) - BK1965))</f>
        <v>3</v>
      </c>
      <c r="BR1965" s="85">
        <f t="shared" ca="1" si="2277"/>
        <v>3</v>
      </c>
      <c r="BS1965" s="53">
        <f ca="1">IFERROR((_xlfn.XLOOKUP(F1965,Apuração!A:A,Apuração!C:C)+1)/_xlfn.XLOOKUP(F1965,Apuração!A:A,Apuração!B:B),0)</f>
        <v>0.5</v>
      </c>
    </row>
    <row r="1966" spans="1:71" ht="25.95" hidden="1" customHeight="1" x14ac:dyDescent="0.3">
      <c r="A1966" s="3" t="s">
        <v>33</v>
      </c>
      <c r="B1966" s="4" t="s">
        <v>70</v>
      </c>
      <c r="C1966" s="5" t="s">
        <v>216</v>
      </c>
      <c r="D1966" s="5" t="s">
        <v>218</v>
      </c>
      <c r="E1966" s="4" t="str" cm="1">
        <f t="array" ref="E1966">_xlfn.IFS(
F1966 = "A partir de Abril", "Aguardando Execução na Distribuidora",
A1966 = "CAPACITAÇÃO", "Em execução no Corporativo",
TRUE, "Em Execução na Distribuidora"
)</f>
        <v>Em Execução na Distribuidora</v>
      </c>
      <c r="F1966" s="4" t="str" cm="1">
        <f t="array" ref="F1966">_xlfn.IFS(
AG1966 &lt;&gt; "", "Jan-Dez/26",
AH1966 &lt;&gt; "", "Fev-Dez/26",
AI1966 &lt;&gt; "", "Mar-Dez/26", AJ1966 &lt;&gt; "", "Abr-Dez/26",
TRUE, "A partir de Junho"
)</f>
        <v>Jan-Dez/26</v>
      </c>
      <c r="G1966" s="4" t="s">
        <v>37</v>
      </c>
      <c r="H1966" s="7" t="s">
        <v>54</v>
      </c>
      <c r="I1966" s="8" t="s">
        <v>55</v>
      </c>
      <c r="J1966" s="8" t="str" cm="1">
        <f t="array" aca="1" ref="J1966" ca="1">_xlfn.LET(
  _xlpm.actual_value_month, INDEX(T1966:AE1966, MATCH(DATE(YEAR(TODAY()), MONTH(TODAY()), 1), $T$1:$AE$1, 0)),
  IF(_xlpm.actual_value_month &lt;&gt; "",_xlpm.actual_value_month &amp; " eventos mensais", "")
)</f>
        <v>1 eventos mensais</v>
      </c>
      <c r="K1966" s="14" t="str" cm="1">
        <f t="array" ref="K1966">_xlfn.LET(
    _xlpm.sum_month, SUM(T1966:AE1966),
    IF(_xlpm.sum_month = 0, "", _xlpm.sum_month &amp; "  eventos no ano")
)</f>
        <v>9  eventos no ano</v>
      </c>
      <c r="L1966" s="9" t="s">
        <v>56</v>
      </c>
      <c r="M1966" s="13" t="s">
        <v>71</v>
      </c>
      <c r="N1966" s="5" t="s">
        <v>42</v>
      </c>
      <c r="O1966" s="5" t="s">
        <v>43</v>
      </c>
      <c r="P1966" s="10" t="s">
        <v>58</v>
      </c>
      <c r="Q1966" s="10" t="s">
        <v>72</v>
      </c>
      <c r="R1966" s="11" t="s">
        <v>45</v>
      </c>
      <c r="S1966" s="11" t="s">
        <v>46</v>
      </c>
      <c r="T1966" s="143"/>
      <c r="U1966" s="143"/>
      <c r="V1966" s="143"/>
      <c r="W1966" s="143">
        <v>1</v>
      </c>
      <c r="X1966" s="143">
        <v>1</v>
      </c>
      <c r="Y1966" s="143">
        <v>1</v>
      </c>
      <c r="Z1966" s="143">
        <v>1</v>
      </c>
      <c r="AA1966" s="143">
        <v>1</v>
      </c>
      <c r="AB1966" s="143">
        <v>1</v>
      </c>
      <c r="AC1966" s="143">
        <v>1</v>
      </c>
      <c r="AD1966" s="143">
        <v>1</v>
      </c>
      <c r="AE1966" s="143">
        <v>1</v>
      </c>
      <c r="AG1966" s="146">
        <v>0</v>
      </c>
      <c r="AH1966" s="150">
        <v>0</v>
      </c>
      <c r="AI1966" s="150">
        <v>0</v>
      </c>
      <c r="AJ1966" s="150">
        <v>0</v>
      </c>
      <c r="AK1966" s="71"/>
      <c r="AL1966" s="71"/>
      <c r="AM1966" s="71"/>
      <c r="AN1966" s="71"/>
      <c r="AO1966" s="71"/>
      <c r="AP1966" s="71"/>
      <c r="AQ1966" s="71"/>
      <c r="AR1966" s="71"/>
      <c r="AS1966" s="94">
        <f t="shared" ca="1" si="2270"/>
        <v>2</v>
      </c>
      <c r="AT1966" s="95">
        <f t="shared" si="2271"/>
        <v>0</v>
      </c>
      <c r="AU1966" s="97">
        <f t="shared" si="2272"/>
        <v>0</v>
      </c>
      <c r="AW1966" s="51">
        <f t="shared" si="2273"/>
        <v>0</v>
      </c>
      <c r="AX1966" s="51">
        <f t="shared" si="2274"/>
        <v>0</v>
      </c>
      <c r="AY1966" s="51">
        <f t="shared" si="2275"/>
        <v>0</v>
      </c>
      <c r="AZ1966" s="51">
        <f t="shared" si="2276"/>
        <v>0</v>
      </c>
      <c r="BA1966" s="51"/>
      <c r="BB1966" s="51"/>
      <c r="BC1966" s="51"/>
      <c r="BD1966" s="51"/>
      <c r="BE1966" s="51"/>
      <c r="BF1966" s="51"/>
      <c r="BG1966" s="51"/>
      <c r="BH1966" s="51"/>
      <c r="BI1966" s="65" cm="1">
        <f t="array" ref="BI1966">IFERROR(INDEX(AW1966:BH1966,1,MATCH(2,1/(AW1966:BH1966&lt;&gt;""))),"")</f>
        <v>0</v>
      </c>
      <c r="BJ1966" s="68" cm="1">
        <f t="array" ref="BJ1966">IF(BM1966 = "", "",IFERROR(INDEX(AW1966:BH1966,1,MATCH(2,1/(AW1966:BH1966&lt;&gt;""),1)-1),""))</f>
        <v>0</v>
      </c>
      <c r="BK1966" s="58">
        <f>IF((IF(AW1966&gt;=115%,115%,AW1966) + IF(AX1966&gt;=115%,115%,AX1966) + IF(AY1966&gt;=115%,115%,AY1966) + (IF(AZ1966&gt;=115%,115%,AZ1966) + IF(BA1966&gt;=115%,115%,BA1966) + IF(BB1966&gt;=115%,115%,BB1966) + IF(BC1966&gt;=115%,115%,BC1966) + IF(BD1966&gt;=115%,115%,BD1966) + IF(BE1966&gt;=115%,115%,BE1966) + IF(BF1966&gt;=115%,115%,BF1966) + IF(BG1966&gt;=115%,115%,BG1966) + IF(BH1966&gt;=115%,115%,BH1966)))/_xlfn.XLOOKUP(F1966,Apuração!A:A,Apuração!B:B)&gt;=1.15,1.15,((IF(AZ1966&gt;=115%,115%,AZ1966) + IF(AX1966&gt;=115%,115%,AX1966) + IF(AY1966&gt;=115%,115%,AY1966) + (IF(AW1966&gt;=115%,115%,AW1966) + IF(BA1966&gt;=115%,115%,BA1966) + IF(BB1966&gt;=115%,115%,BB1966) + IF(BC1966&gt;=115%,115%,BC1966) + IF(BD1966&gt;=115%,115%,BD1966) + IF(BE1966&gt;=115%,115%,BE1966) + IF(BF1966&gt;=115%,115%,BF1966) + IF(BG1966&gt;=115%,115%,BG1966) + IF(BH1966&gt;=115%,115%,BH1966)))/_xlfn.XLOOKUP(F1966,Apuração!A:A,Apuração!B:B)))</f>
        <v>0</v>
      </c>
      <c r="BL1966" s="58" cm="1">
        <f t="array" aca="1" ref="BL1966" ca="1">IF(SUM(IFERROR(IF(INDEX(AW1966:INDEX(AW1966:BH1966, MATCH(2, 1/(AW1966:BH1966&lt;&gt;""), 1)-1), ROW(INDIRECT("1:" &amp; MATCH(2, 1/(AW1966:BH1966&lt;&gt;""), 1)-1))) &gt;= 115%, 115%, INDEX(AW1966:INDEX(AW1966:BH1966, MATCH(2, 1/(AW1966:BH1966&lt;&gt;""), 1)-1), ROW(INDIRECT("1:" &amp; MATCH(2, 1/(AW1966:BH1966&lt;&gt;""), 1)-1)))), 0))/_xlfn.XLOOKUP(F1966,Apuração!A:A,Apuração!B:B)&gt;=1.15,1.15,SUM(IFERROR(IF(INDEX(AW1966:INDEX(AW1966:BH1966, MATCH(2, 1/(AW1966:BH1966&lt;&gt;""), 1)-1), ROW(INDIRECT("1:" &amp; MATCH(2, 1/(AW1966:BH1966&lt;&gt;""), 1)-1))) &gt;= 115%, 115%, INDEX(AW1966:INDEX(AW1966:BH1966, MATCH(2, 1/(AW1966:BH1966&lt;&gt;""), 1)-1), ROW(INDIRECT("1:" &amp; MATCH(2, 1/(AW1966:BH1966&lt;&gt;""), 1)-1)))), 0))/_xlfn.XLOOKUP(F1966,Apuração!A:A,Apuração!B:B))</f>
        <v>0</v>
      </c>
      <c r="BM1966" s="55" cm="1">
        <f t="array" ref="BM1966">IFERROR(
   INDEX($AW$1:$BH$1,
      _xlfn.AGGREGATE(14, 6, COLUMN($AW$1:$BH$1)/(AW1966:BH1966&lt;&gt;""), 2) - COLUMN($AW$1) + 1
   ),
"")</f>
        <v>46082</v>
      </c>
      <c r="BN1966" s="55" cm="1">
        <f t="array" ref="BN1966">IFERROR(INDEX($AW$1:$BH$1,1,MATCH(2,1/(AW1966:BH1966&lt;&gt;""))),"")</f>
        <v>46113</v>
      </c>
      <c r="BO1966" s="53">
        <f ca="1">IFERROR(_xlfn.XLOOKUP(F1966,Apuração!A:A,Apuração!C:C)/_xlfn.XLOOKUP(F1966,Apuração!A:A,Apuração!B:B),0)</f>
        <v>0.41666666666666669</v>
      </c>
      <c r="BP1966" s="53">
        <f ca="1">IFERROR(_xlfn.XLOOKUP(F1966,Apuração!A:A,Apuração!D:D)/_xlfn.XLOOKUP(F1966,Apuração!A:A,Apuração!B:B),0)</f>
        <v>0.33333333333333331</v>
      </c>
      <c r="BQ1966" s="53">
        <f ca="1">IF(BK1966&gt;=BO1966,0,_xlfn.XLOOKUP(F1966,Apuração!A:A,Apuração!B:B)*(BO1966 + (1/_xlfn.XLOOKUP(F1966,Apuração!A:A,Apuração!B:B)) - BK1966))</f>
        <v>6</v>
      </c>
      <c r="BR1966" s="85">
        <f t="shared" ca="1" si="2277"/>
        <v>6</v>
      </c>
      <c r="BS1966" s="53">
        <f ca="1">IFERROR((_xlfn.XLOOKUP(F1966,Apuração!A:A,Apuração!C:C)+1)/_xlfn.XLOOKUP(F1966,Apuração!A:A,Apuração!B:B),0)</f>
        <v>0.5</v>
      </c>
    </row>
    <row r="1967" spans="1:71" ht="25.95" hidden="1" customHeight="1" x14ac:dyDescent="0.3">
      <c r="A1967" s="3" t="s">
        <v>33</v>
      </c>
      <c r="B1967" s="4" t="s">
        <v>70</v>
      </c>
      <c r="C1967" s="5" t="s">
        <v>216</v>
      </c>
      <c r="D1967" s="5" t="s">
        <v>219</v>
      </c>
      <c r="E1967" s="4" t="str" cm="1">
        <f t="array" ref="E1967">_xlfn.IFS(
F1967 = "A partir de Abril", "Aguardando Execução na Distribuidora",
A1967 = "CAPACITAÇÃO", "Em execução no Corporativo",
TRUE, "Em Execução na Distribuidora"
)</f>
        <v>Em Execução na Distribuidora</v>
      </c>
      <c r="F1967" s="4" t="str" cm="1">
        <f t="array" ref="F1967">_xlfn.IFS(
AG1967 &lt;&gt; "", "Jan-Dez/26",
AH1967 &lt;&gt; "", "Fev-Dez/26",
AI1967 &lt;&gt; "", "Mar-Dez/26", AJ1967 &lt;&gt; "", "Abr-Dez/26",
TRUE, "A partir de Junho"
)</f>
        <v>Jan-Dez/26</v>
      </c>
      <c r="G1967" s="4" t="s">
        <v>37</v>
      </c>
      <c r="H1967" s="7" t="s">
        <v>54</v>
      </c>
      <c r="I1967" s="8" t="s">
        <v>55</v>
      </c>
      <c r="J1967" s="8" t="str" cm="1">
        <f t="array" aca="1" ref="J1967" ca="1">_xlfn.LET(
  _xlpm.actual_value_month, INDEX(T1967:AE1967, MATCH(DATE(YEAR(TODAY()), MONTH(TODAY()), 1), $T$1:$AE$1, 0)),
  IF(_xlpm.actual_value_month &lt;&gt; "",_xlpm.actual_value_month &amp; " eventos mensais", "")
)</f>
        <v>1 eventos mensais</v>
      </c>
      <c r="K1967" s="14" t="str" cm="1">
        <f t="array" ref="K1967">_xlfn.LET(
    _xlpm.sum_month, SUM(T1967:AE1967),
    IF(_xlpm.sum_month = 0, "", _xlpm.sum_month &amp; "  eventos no ano")
)</f>
        <v>9  eventos no ano</v>
      </c>
      <c r="L1967" s="9" t="s">
        <v>56</v>
      </c>
      <c r="M1967" s="13" t="s">
        <v>71</v>
      </c>
      <c r="N1967" s="5" t="s">
        <v>42</v>
      </c>
      <c r="O1967" s="5" t="s">
        <v>43</v>
      </c>
      <c r="P1967" s="10" t="s">
        <v>58</v>
      </c>
      <c r="Q1967" s="10" t="s">
        <v>72</v>
      </c>
      <c r="R1967" s="11" t="s">
        <v>45</v>
      </c>
      <c r="S1967" s="11" t="s">
        <v>46</v>
      </c>
      <c r="T1967" s="143"/>
      <c r="U1967" s="143"/>
      <c r="V1967" s="143"/>
      <c r="W1967" s="143">
        <v>1</v>
      </c>
      <c r="X1967" s="143">
        <v>1</v>
      </c>
      <c r="Y1967" s="143">
        <v>1</v>
      </c>
      <c r="Z1967" s="143">
        <v>1</v>
      </c>
      <c r="AA1967" s="143">
        <v>1</v>
      </c>
      <c r="AB1967" s="143">
        <v>1</v>
      </c>
      <c r="AC1967" s="143">
        <v>1</v>
      </c>
      <c r="AD1967" s="143">
        <v>1</v>
      </c>
      <c r="AE1967" s="143">
        <v>1</v>
      </c>
      <c r="AG1967" s="146">
        <v>0</v>
      </c>
      <c r="AH1967" s="150">
        <v>0</v>
      </c>
      <c r="AI1967" s="150">
        <v>0</v>
      </c>
      <c r="AJ1967" s="150">
        <v>0</v>
      </c>
      <c r="AK1967" s="71"/>
      <c r="AL1967" s="71"/>
      <c r="AM1967" s="71"/>
      <c r="AN1967" s="71"/>
      <c r="AO1967" s="71"/>
      <c r="AP1967" s="71"/>
      <c r="AQ1967" s="71"/>
      <c r="AR1967" s="71"/>
      <c r="AS1967" s="94">
        <f t="shared" ca="1" si="2270"/>
        <v>2</v>
      </c>
      <c r="AT1967" s="95">
        <f t="shared" si="2271"/>
        <v>0</v>
      </c>
      <c r="AU1967" s="97">
        <f t="shared" si="2272"/>
        <v>0</v>
      </c>
      <c r="AW1967" s="51">
        <f t="shared" si="2273"/>
        <v>0</v>
      </c>
      <c r="AX1967" s="51">
        <f t="shared" si="2274"/>
        <v>0</v>
      </c>
      <c r="AY1967" s="51">
        <f t="shared" si="2275"/>
        <v>0</v>
      </c>
      <c r="AZ1967" s="51">
        <f t="shared" si="2276"/>
        <v>0</v>
      </c>
      <c r="BA1967" s="51"/>
      <c r="BB1967" s="51"/>
      <c r="BC1967" s="51"/>
      <c r="BD1967" s="51"/>
      <c r="BE1967" s="51"/>
      <c r="BF1967" s="51"/>
      <c r="BG1967" s="51"/>
      <c r="BH1967" s="51"/>
      <c r="BI1967" s="65" cm="1">
        <f t="array" ref="BI1967">IFERROR(INDEX(AW1967:BH1967,1,MATCH(2,1/(AW1967:BH1967&lt;&gt;""))),"")</f>
        <v>0</v>
      </c>
      <c r="BJ1967" s="68" cm="1">
        <f t="array" ref="BJ1967">IF(BM1967 = "", "",IFERROR(INDEX(AW1967:BH1967,1,MATCH(2,1/(AW1967:BH1967&lt;&gt;""),1)-1),""))</f>
        <v>0</v>
      </c>
      <c r="BK1967" s="58">
        <f>IF((IF(AW1967&gt;=115%,115%,AW1967) + IF(AX1967&gt;=115%,115%,AX1967) + IF(AY1967&gt;=115%,115%,AY1967) + (IF(AZ1967&gt;=115%,115%,AZ1967) + IF(BA1967&gt;=115%,115%,BA1967) + IF(BB1967&gt;=115%,115%,BB1967) + IF(BC1967&gt;=115%,115%,BC1967) + IF(BD1967&gt;=115%,115%,BD1967) + IF(BE1967&gt;=115%,115%,BE1967) + IF(BF1967&gt;=115%,115%,BF1967) + IF(BG1967&gt;=115%,115%,BG1967) + IF(BH1967&gt;=115%,115%,BH1967)))/_xlfn.XLOOKUP(F1967,Apuração!A:A,Apuração!B:B)&gt;=1.15,1.15,((IF(AZ1967&gt;=115%,115%,AZ1967) + IF(AX1967&gt;=115%,115%,AX1967) + IF(AY1967&gt;=115%,115%,AY1967) + (IF(AW1967&gt;=115%,115%,AW1967) + IF(BA1967&gt;=115%,115%,BA1967) + IF(BB1967&gt;=115%,115%,BB1967) + IF(BC1967&gt;=115%,115%,BC1967) + IF(BD1967&gt;=115%,115%,BD1967) + IF(BE1967&gt;=115%,115%,BE1967) + IF(BF1967&gt;=115%,115%,BF1967) + IF(BG1967&gt;=115%,115%,BG1967) + IF(BH1967&gt;=115%,115%,BH1967)))/_xlfn.XLOOKUP(F1967,Apuração!A:A,Apuração!B:B)))</f>
        <v>0</v>
      </c>
      <c r="BL1967" s="58" cm="1">
        <f t="array" aca="1" ref="BL1967" ca="1">IF(SUM(IFERROR(IF(INDEX(AW1967:INDEX(AW1967:BH1967, MATCH(2, 1/(AW1967:BH1967&lt;&gt;""), 1)-1), ROW(INDIRECT("1:" &amp; MATCH(2, 1/(AW1967:BH1967&lt;&gt;""), 1)-1))) &gt;= 115%, 115%, INDEX(AW1967:INDEX(AW1967:BH1967, MATCH(2, 1/(AW1967:BH1967&lt;&gt;""), 1)-1), ROW(INDIRECT("1:" &amp; MATCH(2, 1/(AW1967:BH1967&lt;&gt;""), 1)-1)))), 0))/_xlfn.XLOOKUP(F1967,Apuração!A:A,Apuração!B:B)&gt;=1.15,1.15,SUM(IFERROR(IF(INDEX(AW1967:INDEX(AW1967:BH1967, MATCH(2, 1/(AW1967:BH1967&lt;&gt;""), 1)-1), ROW(INDIRECT("1:" &amp; MATCH(2, 1/(AW1967:BH1967&lt;&gt;""), 1)-1))) &gt;= 115%, 115%, INDEX(AW1967:INDEX(AW1967:BH1967, MATCH(2, 1/(AW1967:BH1967&lt;&gt;""), 1)-1), ROW(INDIRECT("1:" &amp; MATCH(2, 1/(AW1967:BH1967&lt;&gt;""), 1)-1)))), 0))/_xlfn.XLOOKUP(F1967,Apuração!A:A,Apuração!B:B))</f>
        <v>0</v>
      </c>
      <c r="BM1967" s="55" cm="1">
        <f t="array" ref="BM1967">IFERROR(
   INDEX($AW$1:$BH$1,
      _xlfn.AGGREGATE(14, 6, COLUMN($AW$1:$BH$1)/(AW1967:BH1967&lt;&gt;""), 2) - COLUMN($AW$1) + 1
   ),
"")</f>
        <v>46082</v>
      </c>
      <c r="BN1967" s="55" cm="1">
        <f t="array" ref="BN1967">IFERROR(INDEX($AW$1:$BH$1,1,MATCH(2,1/(AW1967:BH1967&lt;&gt;""))),"")</f>
        <v>46113</v>
      </c>
      <c r="BO1967" s="53">
        <f ca="1">IFERROR(_xlfn.XLOOKUP(F1967,Apuração!A:A,Apuração!C:C)/_xlfn.XLOOKUP(F1967,Apuração!A:A,Apuração!B:B),0)</f>
        <v>0.41666666666666669</v>
      </c>
      <c r="BP1967" s="53">
        <f ca="1">IFERROR(_xlfn.XLOOKUP(F1967,Apuração!A:A,Apuração!D:D)/_xlfn.XLOOKUP(F1967,Apuração!A:A,Apuração!B:B),0)</f>
        <v>0.33333333333333331</v>
      </c>
      <c r="BQ1967" s="53">
        <f ca="1">IF(BK1967&gt;=BO1967,0,_xlfn.XLOOKUP(F1967,Apuração!A:A,Apuração!B:B)*(BO1967 + (1/_xlfn.XLOOKUP(F1967,Apuração!A:A,Apuração!B:B)) - BK1967))</f>
        <v>6</v>
      </c>
      <c r="BR1967" s="85">
        <f t="shared" ca="1" si="2277"/>
        <v>6</v>
      </c>
      <c r="BS1967" s="53">
        <f ca="1">IFERROR((_xlfn.XLOOKUP(F1967,Apuração!A:A,Apuração!C:C)+1)/_xlfn.XLOOKUP(F1967,Apuração!A:A,Apuração!B:B),0)</f>
        <v>0.5</v>
      </c>
    </row>
    <row r="1968" spans="1:71" ht="25.95" hidden="1" customHeight="1" x14ac:dyDescent="0.3">
      <c r="A1968" s="39" t="s">
        <v>33</v>
      </c>
      <c r="B1968" s="4" t="s">
        <v>70</v>
      </c>
      <c r="C1968" s="5" t="s">
        <v>216</v>
      </c>
      <c r="D1968" s="5" t="s">
        <v>36</v>
      </c>
      <c r="E1968" s="4" t="str" cm="1">
        <f t="array" ref="E1968">_xlfn.IFS(
F1968 = "A partir de Abril", "Aguardando Execução na Distribuidora",
A1968 = "CAPACITAÇÃO", "Em execução no Corporativo",
TRUE, "Em Execução na Distribuidora"
)</f>
        <v>Em Execução na Distribuidora</v>
      </c>
      <c r="F1968" s="4" t="str" cm="1">
        <f t="array" ref="F1968">_xlfn.IFS(
AG1968 &lt;&gt; "", "Jan-Dez/26",
AH1968 &lt;&gt; "", "Fev-Dez/26",
AI1968 &lt;&gt; "", "Mar-Dez/26", AJ1968 &lt;&gt; "", "Abr-Dez/26",
TRUE, "A partir de Junho"
)</f>
        <v>Jan-Dez/26</v>
      </c>
      <c r="G1968" s="4" t="s">
        <v>37</v>
      </c>
      <c r="H1968" s="7" t="s">
        <v>54</v>
      </c>
      <c r="I1968" s="8" t="s">
        <v>59</v>
      </c>
      <c r="J1968" s="8" t="str" cm="1">
        <f t="array" aca="1" ref="J1968" ca="1">_xlfn.LET(
  _xlpm.actual_value_month, INDEX(T1968:AE1968, MATCH(DATE(YEAR(TODAY()), MONTH(TODAY()), 1), $T$1:$AE$1, 0)),
  IF(_xlpm.actual_value_month &lt;&gt; "",_xlpm.actual_value_month &amp; " ações mensais", "")
)</f>
        <v/>
      </c>
      <c r="K1968" s="14" t="str" cm="1">
        <f t="array" ref="K1968">_xlfn.LET(
    _xlpm.sum_month, SUM(T1968:AE1968),
    IF(_xlpm.sum_month = 0, "", _xlpm.sum_month &amp; " pessoas impactadas no ano.")
)</f>
        <v/>
      </c>
      <c r="L1968" s="9" t="s">
        <v>59</v>
      </c>
      <c r="M1968" s="13">
        <v>1</v>
      </c>
      <c r="N1968" s="5" t="s">
        <v>51</v>
      </c>
      <c r="O1968" s="5" t="s">
        <v>52</v>
      </c>
      <c r="P1968" s="10" t="s">
        <v>44</v>
      </c>
      <c r="Q1968" s="10" t="s">
        <v>44</v>
      </c>
      <c r="R1968" s="11" t="s">
        <v>44</v>
      </c>
      <c r="S1968" s="11" t="s">
        <v>44</v>
      </c>
      <c r="T1968" s="22"/>
      <c r="U1968" s="22"/>
      <c r="V1968" s="22"/>
      <c r="W1968" s="22"/>
      <c r="X1968" s="22"/>
      <c r="Y1968" s="22"/>
      <c r="Z1968" s="22"/>
      <c r="AA1968" s="22"/>
      <c r="AB1968" s="22"/>
      <c r="AC1968" s="22"/>
      <c r="AD1968" s="22"/>
      <c r="AE1968" s="22"/>
      <c r="AG1968" s="71">
        <v>53</v>
      </c>
      <c r="AH1968" s="71">
        <v>57</v>
      </c>
      <c r="AI1968" s="71">
        <v>58</v>
      </c>
      <c r="AJ1968" s="71">
        <v>0</v>
      </c>
      <c r="AK1968" s="71"/>
      <c r="AL1968" s="71"/>
      <c r="AM1968" s="71"/>
      <c r="AN1968" s="71"/>
      <c r="AO1968" s="71"/>
      <c r="AP1968" s="71"/>
      <c r="AQ1968" s="71"/>
      <c r="AR1968" s="71"/>
      <c r="AS1968" s="94">
        <f ca="1">IF(MONTH(TODAY())=3,SUM(T1968:U1968),IF(MONTH(TODAY())=4,SUM(T1968:V1968),IF(MONTH(TODAY())=5,SUM(T1968:W1968),IF(MONTH(TODAY())=6,SUM(T1968:X1968),IF(MONTH(TODAY())=7,SUM(T1968:Y1968),IF(MONTH(TODAY())=8,SUM(T1968:Z1968),IF(MONTH(TODAY())=9,SUM(T1968:AA1968),IF(MONTH(TODAY())=10,SUM(T1968:AB1968),IF(MONTH(TODAY())=11,SUM(T1968:AC1968),IF(MONTH(TODAY())=12,SUM(T1968:AD1968),IF(MONTH(TODAY())=1,SUM(T1968:AE1968),T1968)))))))))))</f>
        <v>0</v>
      </c>
      <c r="AT1968" s="95">
        <f>SUM(AG1968:AR1968)</f>
        <v>168</v>
      </c>
      <c r="AU1968" s="97">
        <f>SUM(AG1968:AR1968)</f>
        <v>168</v>
      </c>
      <c r="AW1968" s="83">
        <f>AG1968</f>
        <v>53</v>
      </c>
      <c r="AX1968" s="83">
        <f>AH1968</f>
        <v>57</v>
      </c>
      <c r="AY1968" s="83">
        <f>AI1968</f>
        <v>58</v>
      </c>
      <c r="AZ1968" s="83">
        <f>AJ1968</f>
        <v>0</v>
      </c>
      <c r="BA1968" s="52"/>
      <c r="BB1968" s="52"/>
      <c r="BC1968" s="52"/>
      <c r="BD1968" s="52"/>
      <c r="BE1968" s="52"/>
      <c r="BF1968" s="52"/>
      <c r="BG1968" s="52"/>
      <c r="BH1968" s="52"/>
      <c r="BI1968" s="68" cm="1">
        <f t="array" ref="BI1968">IFERROR(INDEX(AW1968:BH1968,1,MATCH(2,1/(AW1968:BH1968&lt;&gt;""))),"")</f>
        <v>0</v>
      </c>
      <c r="BJ1968" s="68" cm="1">
        <f t="array" ref="BJ1968">IF(BM1968 = "", "",IFERROR(INDEX(AW1968:BH1968,1,MATCH(2,1/(AW1968:BH1968&lt;&gt;""),1)-1),""))</f>
        <v>58</v>
      </c>
      <c r="BK1968" s="59">
        <f>SUM(AW1968:BH1968)</f>
        <v>168</v>
      </c>
      <c r="BL1968" s="59" cm="1">
        <f t="array" ref="BL1968">IFERROR(SUM(AW1968:INDEX(AW1968:BH1968, MATCH(2, 1/(AW1968:BH1968&lt;&gt;""), 1) - 1))/_xlfn.XLOOKUP(F1968,Apuração!A:A,Apuração!B:B),0)</f>
        <v>14</v>
      </c>
      <c r="BM1968" s="55" cm="1">
        <f t="array" ref="BM1968">IFERROR(
   INDEX($AW$1:$BH$1,
      _xlfn.AGGREGATE(14, 6, COLUMN($AW$1:$BH$1)/(AW1968:BH1968&lt;&gt;""), 2) - COLUMN($AW$1) + 1
   ),
"")</f>
        <v>46082</v>
      </c>
      <c r="BN1968" s="55" cm="1">
        <f t="array" ref="BN1968">IFERROR(INDEX($AW$1:$BH$1,1,MATCH(2,1/(AW1968:BH1968&lt;&gt;""))),"")</f>
        <v>46113</v>
      </c>
      <c r="BO1968" s="53">
        <f ca="1">IFERROR(_xlfn.XLOOKUP(F1968,Apuração!A:A,Apuração!C:C)/_xlfn.XLOOKUP(F1968,Apuração!A:A,Apuração!B:B),0)</f>
        <v>0.41666666666666669</v>
      </c>
      <c r="BP1968" s="53">
        <f ca="1">IFERROR(_xlfn.XLOOKUP(F1968,Apuração!A:A,Apuração!D:D)/_xlfn.XLOOKUP(F1968,Apuração!A:A,Apuração!B:B),0)</f>
        <v>0.33333333333333331</v>
      </c>
      <c r="BQ1968" s="53">
        <f ca="1">IF(BK1968&gt;=BO1968,0,_xlfn.XLOOKUP(F1968,Apuração!A:A,Apuração!B:B)*(BO1968 + (1/_xlfn.XLOOKUP(F1968,Apuração!A:A,Apuração!B:B)) - BK1968))</f>
        <v>0</v>
      </c>
      <c r="BR1968" s="85">
        <f ca="1">IF(BQ1968=0,0,BQ1968*Z1968)</f>
        <v>0</v>
      </c>
      <c r="BS1968" s="53">
        <f ca="1">IFERROR((_xlfn.XLOOKUP(F1968,Apuração!A:A,Apuração!C:C)+1)/_xlfn.XLOOKUP(F1968,Apuração!A:A,Apuração!B:B),0)</f>
        <v>0.5</v>
      </c>
    </row>
    <row r="1969" spans="1:71" ht="25.95" hidden="1" customHeight="1" x14ac:dyDescent="0.3">
      <c r="A1969" s="39" t="s">
        <v>33</v>
      </c>
      <c r="B1969" s="4" t="s">
        <v>70</v>
      </c>
      <c r="C1969" s="5" t="s">
        <v>216</v>
      </c>
      <c r="D1969" s="5" t="s">
        <v>217</v>
      </c>
      <c r="E1969" s="4" t="str" cm="1">
        <f t="array" ref="E1969">_xlfn.IFS(
F1969 = "A partir de Abril", "Aguardando Execução na Distribuidora",
A1969 = "CAPACITAÇÃO", "Em execução no Corporativo",
TRUE, "Em Execução na Distribuidora"
)</f>
        <v>Em Execução na Distribuidora</v>
      </c>
      <c r="F1969" s="4" t="str" cm="1">
        <f t="array" ref="F1969">_xlfn.IFS(
AG1969 &lt;&gt; "", "Jan-Dez/26",
AH1969 &lt;&gt; "", "Fev-Dez/26",
AI1969 &lt;&gt; "", "Mar-Dez/26", AJ1969 &lt;&gt; "", "Abr-Dez/26",
TRUE, "A partir de Junho"
)</f>
        <v>Jan-Dez/26</v>
      </c>
      <c r="G1969" s="4" t="s">
        <v>37</v>
      </c>
      <c r="H1969" s="7" t="s">
        <v>54</v>
      </c>
      <c r="I1969" s="8" t="s">
        <v>59</v>
      </c>
      <c r="J1969" s="8" t="str" cm="1">
        <f t="array" aca="1" ref="J1969" ca="1">_xlfn.LET(
  _xlpm.actual_value_month, INDEX(T1969:AE1969, MATCH(DATE(YEAR(TODAY()), MONTH(TODAY()), 1), $T$1:$AE$1, 0)),
  IF(_xlpm.actual_value_month &lt;&gt; "",_xlpm.actual_value_month &amp; " ações mensais", "")
)</f>
        <v/>
      </c>
      <c r="K1969" s="14" t="str" cm="1">
        <f t="array" ref="K1969">_xlfn.LET(
    _xlpm.sum_month, SUM(T1969:AE1969),
    IF(_xlpm.sum_month = 0, "", _xlpm.sum_month &amp; " pessoas impactadas no ano.")
)</f>
        <v/>
      </c>
      <c r="L1969" s="9" t="s">
        <v>59</v>
      </c>
      <c r="M1969" s="13">
        <v>1</v>
      </c>
      <c r="N1969" s="5" t="s">
        <v>51</v>
      </c>
      <c r="O1969" s="5" t="s">
        <v>52</v>
      </c>
      <c r="P1969" s="10" t="s">
        <v>44</v>
      </c>
      <c r="Q1969" s="10" t="s">
        <v>44</v>
      </c>
      <c r="R1969" s="11" t="s">
        <v>44</v>
      </c>
      <c r="S1969" s="11" t="s">
        <v>44</v>
      </c>
      <c r="T1969" s="22"/>
      <c r="U1969" s="22"/>
      <c r="V1969" s="22"/>
      <c r="W1969" s="22"/>
      <c r="X1969" s="22"/>
      <c r="Y1969" s="22"/>
      <c r="Z1969" s="22"/>
      <c r="AA1969" s="22"/>
      <c r="AB1969" s="22"/>
      <c r="AC1969" s="22"/>
      <c r="AD1969" s="22"/>
      <c r="AE1969" s="22"/>
      <c r="AG1969" s="145">
        <v>0</v>
      </c>
      <c r="AH1969" s="149">
        <v>0</v>
      </c>
      <c r="AI1969" s="149">
        <v>0</v>
      </c>
      <c r="AJ1969" s="149">
        <v>0</v>
      </c>
      <c r="AK1969" s="71"/>
      <c r="AL1969" s="71"/>
      <c r="AM1969" s="71"/>
      <c r="AN1969" s="71"/>
      <c r="AO1969" s="71"/>
      <c r="AP1969" s="71"/>
      <c r="AQ1969" s="71"/>
      <c r="AR1969" s="71"/>
      <c r="AS1969" s="94">
        <f t="shared" ref="AS1969:AS1972" ca="1" si="2278">IF(MONTH(TODAY())=3,SUM(T1969:U1969),IF(MONTH(TODAY())=4,SUM(T1969:V1969),IF(MONTH(TODAY())=5,SUM(T1969:W1969),IF(MONTH(TODAY())=6,SUM(T1969:X1969),IF(MONTH(TODAY())=7,SUM(T1969:Y1969),IF(MONTH(TODAY())=8,SUM(T1969:Z1969),IF(MONTH(TODAY())=9,SUM(T1969:AA1969),IF(MONTH(TODAY())=10,SUM(T1969:AB1969),IF(MONTH(TODAY())=11,SUM(T1969:AC1969),IF(MONTH(TODAY())=12,SUM(T1969:AD1969),IF(MONTH(TODAY())=1,SUM(T1969:AE1969),T1969)))))))))))</f>
        <v>0</v>
      </c>
      <c r="AT1969" s="95">
        <f t="shared" ref="AT1969:AT1972" si="2279">SUM(AG1969:AR1969)</f>
        <v>0</v>
      </c>
      <c r="AU1969" s="97">
        <f t="shared" ref="AU1969:AU1972" si="2280">SUM(AG1969:AR1969)</f>
        <v>0</v>
      </c>
      <c r="AW1969" s="83">
        <f t="shared" ref="AW1969:AW1972" si="2281">AG1969</f>
        <v>0</v>
      </c>
      <c r="AX1969" s="83">
        <f t="shared" ref="AX1969:AX1972" si="2282">AH1969</f>
        <v>0</v>
      </c>
      <c r="AY1969" s="83">
        <f t="shared" ref="AY1969:AY1972" si="2283">AI1969</f>
        <v>0</v>
      </c>
      <c r="AZ1969" s="83">
        <f t="shared" ref="AZ1969:AZ1972" si="2284">AJ1969</f>
        <v>0</v>
      </c>
      <c r="BA1969" s="52"/>
      <c r="BB1969" s="52"/>
      <c r="BC1969" s="52"/>
      <c r="BD1969" s="52"/>
      <c r="BE1969" s="52"/>
      <c r="BF1969" s="52"/>
      <c r="BG1969" s="52"/>
      <c r="BH1969" s="52"/>
      <c r="BI1969" s="68" cm="1">
        <f t="array" ref="BI1969">IFERROR(INDEX(AW1969:BH1969,1,MATCH(2,1/(AW1969:BH1969&lt;&gt;""))),"")</f>
        <v>0</v>
      </c>
      <c r="BJ1969" s="68" cm="1">
        <f t="array" ref="BJ1969">IF(BM1969 = "", "",IFERROR(INDEX(AW1969:BH1969,1,MATCH(2,1/(AW1969:BH1969&lt;&gt;""),1)-1),""))</f>
        <v>0</v>
      </c>
      <c r="BK1969" s="59">
        <f t="shared" ref="BK1969:BK1972" si="2285">SUM(AW1969:BH1969)</f>
        <v>0</v>
      </c>
      <c r="BL1969" s="59" cm="1">
        <f t="array" ref="BL1969">IFERROR(SUM(AW1969:INDEX(AW1969:BH1969, MATCH(2, 1/(AW1969:BH1969&lt;&gt;""), 1) - 1))/_xlfn.XLOOKUP(F1969,Apuração!A:A,Apuração!B:B),0)</f>
        <v>0</v>
      </c>
      <c r="BM1969" s="55" cm="1">
        <f t="array" ref="BM1969">IFERROR(
   INDEX($AW$1:$BH$1,
      _xlfn.AGGREGATE(14, 6, COLUMN($AW$1:$BH$1)/(AW1969:BH1969&lt;&gt;""), 2) - COLUMN($AW$1) + 1
   ),
"")</f>
        <v>46082</v>
      </c>
      <c r="BN1969" s="55" cm="1">
        <f t="array" ref="BN1969">IFERROR(INDEX($AW$1:$BH$1,1,MATCH(2,1/(AW1969:BH1969&lt;&gt;""))),"")</f>
        <v>46113</v>
      </c>
      <c r="BO1969" s="53">
        <f ca="1">IFERROR(_xlfn.XLOOKUP(F1969,Apuração!A:A,Apuração!C:C)/_xlfn.XLOOKUP(F1969,Apuração!A:A,Apuração!B:B),0)</f>
        <v>0.41666666666666669</v>
      </c>
      <c r="BP1969" s="53">
        <f ca="1">IFERROR(_xlfn.XLOOKUP(F1969,Apuração!A:A,Apuração!D:D)/_xlfn.XLOOKUP(F1969,Apuração!A:A,Apuração!B:B),0)</f>
        <v>0.33333333333333331</v>
      </c>
      <c r="BQ1969" s="53">
        <f ca="1">IF(BK1969&gt;=BO1969,0,_xlfn.XLOOKUP(F1969,Apuração!A:A,Apuração!B:B)*(BO1969 + (1/_xlfn.XLOOKUP(F1969,Apuração!A:A,Apuração!B:B)) - BK1969))</f>
        <v>6</v>
      </c>
      <c r="BR1969" s="85">
        <f t="shared" ref="BR1969:BR1972" ca="1" si="2286">IF(BQ1969=0,0,BQ1969*Z1969)</f>
        <v>0</v>
      </c>
      <c r="BS1969" s="53">
        <f ca="1">IFERROR((_xlfn.XLOOKUP(F1969,Apuração!A:A,Apuração!C:C)+1)/_xlfn.XLOOKUP(F1969,Apuração!A:A,Apuração!B:B),0)</f>
        <v>0.5</v>
      </c>
    </row>
    <row r="1970" spans="1:71" ht="25.95" hidden="1" customHeight="1" x14ac:dyDescent="0.3">
      <c r="A1970" s="39" t="s">
        <v>33</v>
      </c>
      <c r="B1970" s="4" t="s">
        <v>70</v>
      </c>
      <c r="C1970" s="5" t="s">
        <v>216</v>
      </c>
      <c r="D1970" s="5" t="s">
        <v>103</v>
      </c>
      <c r="E1970" s="4" t="str" cm="1">
        <f t="array" ref="E1970">_xlfn.IFS(
F1970 = "A partir de Abril", "Aguardando Execução na Distribuidora",
A1970 = "CAPACITAÇÃO", "Em execução no Corporativo",
TRUE, "Em Execução na Distribuidora"
)</f>
        <v>Em Execução na Distribuidora</v>
      </c>
      <c r="F1970" s="4" t="str" cm="1">
        <f t="array" ref="F1970">_xlfn.IFS(
AG1970 &lt;&gt; "", "Jan-Dez/26",
AH1970 &lt;&gt; "", "Fev-Dez/26",
AI1970 &lt;&gt; "", "Mar-Dez/26", AJ1970 &lt;&gt; "", "Abr-Dez/26",
TRUE, "A partir de Junho"
)</f>
        <v>Jan-Dez/26</v>
      </c>
      <c r="G1970" s="4" t="s">
        <v>37</v>
      </c>
      <c r="H1970" s="7" t="s">
        <v>54</v>
      </c>
      <c r="I1970" s="8" t="s">
        <v>59</v>
      </c>
      <c r="J1970" s="8" t="str" cm="1">
        <f t="array" aca="1" ref="J1970" ca="1">_xlfn.LET(
  _xlpm.actual_value_month, INDEX(T1970:AE1970, MATCH(DATE(YEAR(TODAY()), MONTH(TODAY()), 1), $T$1:$AE$1, 0)),
  IF(_xlpm.actual_value_month &lt;&gt; "",_xlpm.actual_value_month &amp; " ações mensais", "")
)</f>
        <v/>
      </c>
      <c r="K1970" s="14" t="str" cm="1">
        <f t="array" ref="K1970">_xlfn.LET(
    _xlpm.sum_month, SUM(T1970:AE1970),
    IF(_xlpm.sum_month = 0, "", _xlpm.sum_month &amp; " pessoas impactadas no ano.")
)</f>
        <v/>
      </c>
      <c r="L1970" s="9" t="s">
        <v>59</v>
      </c>
      <c r="M1970" s="13">
        <v>1</v>
      </c>
      <c r="N1970" s="5" t="s">
        <v>51</v>
      </c>
      <c r="O1970" s="5" t="s">
        <v>52</v>
      </c>
      <c r="P1970" s="10" t="s">
        <v>44</v>
      </c>
      <c r="Q1970" s="10" t="s">
        <v>44</v>
      </c>
      <c r="R1970" s="11" t="s">
        <v>44</v>
      </c>
      <c r="S1970" s="11" t="s">
        <v>44</v>
      </c>
      <c r="T1970" s="22"/>
      <c r="U1970" s="22"/>
      <c r="V1970" s="22"/>
      <c r="W1970" s="22"/>
      <c r="X1970" s="22"/>
      <c r="Y1970" s="22"/>
      <c r="Z1970" s="22"/>
      <c r="AA1970" s="22"/>
      <c r="AB1970" s="22"/>
      <c r="AC1970" s="22"/>
      <c r="AD1970" s="22"/>
      <c r="AE1970" s="22"/>
      <c r="AG1970" s="146">
        <v>53</v>
      </c>
      <c r="AH1970" s="150">
        <v>57</v>
      </c>
      <c r="AI1970" s="150">
        <v>58</v>
      </c>
      <c r="AJ1970" s="150">
        <v>0</v>
      </c>
      <c r="AK1970" s="71"/>
      <c r="AL1970" s="71"/>
      <c r="AM1970" s="71"/>
      <c r="AN1970" s="71"/>
      <c r="AO1970" s="71"/>
      <c r="AP1970" s="71"/>
      <c r="AQ1970" s="71"/>
      <c r="AR1970" s="71"/>
      <c r="AS1970" s="94">
        <f t="shared" ca="1" si="2278"/>
        <v>0</v>
      </c>
      <c r="AT1970" s="95">
        <f t="shared" si="2279"/>
        <v>168</v>
      </c>
      <c r="AU1970" s="97">
        <f t="shared" si="2280"/>
        <v>168</v>
      </c>
      <c r="AW1970" s="83">
        <f t="shared" si="2281"/>
        <v>53</v>
      </c>
      <c r="AX1970" s="83">
        <f t="shared" si="2282"/>
        <v>57</v>
      </c>
      <c r="AY1970" s="83">
        <f t="shared" si="2283"/>
        <v>58</v>
      </c>
      <c r="AZ1970" s="83">
        <f t="shared" si="2284"/>
        <v>0</v>
      </c>
      <c r="BA1970" s="52"/>
      <c r="BB1970" s="52"/>
      <c r="BC1970" s="52"/>
      <c r="BD1970" s="52"/>
      <c r="BE1970" s="52"/>
      <c r="BF1970" s="52"/>
      <c r="BG1970" s="52"/>
      <c r="BH1970" s="52"/>
      <c r="BI1970" s="68" cm="1">
        <f t="array" ref="BI1970">IFERROR(INDEX(AW1970:BH1970,1,MATCH(2,1/(AW1970:BH1970&lt;&gt;""))),"")</f>
        <v>0</v>
      </c>
      <c r="BJ1970" s="68" cm="1">
        <f t="array" ref="BJ1970">IF(BM1970 = "", "",IFERROR(INDEX(AW1970:BH1970,1,MATCH(2,1/(AW1970:BH1970&lt;&gt;""),1)-1),""))</f>
        <v>58</v>
      </c>
      <c r="BK1970" s="59">
        <f t="shared" si="2285"/>
        <v>168</v>
      </c>
      <c r="BL1970" s="59" cm="1">
        <f t="array" ref="BL1970">IFERROR(SUM(AW1970:INDEX(AW1970:BH1970, MATCH(2, 1/(AW1970:BH1970&lt;&gt;""), 1) - 1))/_xlfn.XLOOKUP(F1970,Apuração!A:A,Apuração!B:B),0)</f>
        <v>14</v>
      </c>
      <c r="BM1970" s="55" cm="1">
        <f t="array" ref="BM1970">IFERROR(
   INDEX($AW$1:$BH$1,
      _xlfn.AGGREGATE(14, 6, COLUMN($AW$1:$BH$1)/(AW1970:BH1970&lt;&gt;""), 2) - COLUMN($AW$1) + 1
   ),
"")</f>
        <v>46082</v>
      </c>
      <c r="BN1970" s="55" cm="1">
        <f t="array" ref="BN1970">IFERROR(INDEX($AW$1:$BH$1,1,MATCH(2,1/(AW1970:BH1970&lt;&gt;""))),"")</f>
        <v>46113</v>
      </c>
      <c r="BO1970" s="53">
        <f ca="1">IFERROR(_xlfn.XLOOKUP(F1970,Apuração!A:A,Apuração!C:C)/_xlfn.XLOOKUP(F1970,Apuração!A:A,Apuração!B:B),0)</f>
        <v>0.41666666666666669</v>
      </c>
      <c r="BP1970" s="53">
        <f ca="1">IFERROR(_xlfn.XLOOKUP(F1970,Apuração!A:A,Apuração!D:D)/_xlfn.XLOOKUP(F1970,Apuração!A:A,Apuração!B:B),0)</f>
        <v>0.33333333333333331</v>
      </c>
      <c r="BQ1970" s="53">
        <f ca="1">IF(BK1970&gt;=BO1970,0,_xlfn.XLOOKUP(F1970,Apuração!A:A,Apuração!B:B)*(BO1970 + (1/_xlfn.XLOOKUP(F1970,Apuração!A:A,Apuração!B:B)) - BK1970))</f>
        <v>0</v>
      </c>
      <c r="BR1970" s="85">
        <f t="shared" ca="1" si="2286"/>
        <v>0</v>
      </c>
      <c r="BS1970" s="53">
        <f ca="1">IFERROR((_xlfn.XLOOKUP(F1970,Apuração!A:A,Apuração!C:C)+1)/_xlfn.XLOOKUP(F1970,Apuração!A:A,Apuração!B:B),0)</f>
        <v>0.5</v>
      </c>
    </row>
    <row r="1971" spans="1:71" ht="25.95" hidden="1" customHeight="1" x14ac:dyDescent="0.3">
      <c r="A1971" s="39" t="s">
        <v>33</v>
      </c>
      <c r="B1971" s="4" t="s">
        <v>70</v>
      </c>
      <c r="C1971" s="5" t="s">
        <v>216</v>
      </c>
      <c r="D1971" s="5" t="s">
        <v>218</v>
      </c>
      <c r="E1971" s="4" t="str" cm="1">
        <f t="array" ref="E1971">_xlfn.IFS(
F1971 = "A partir de Abril", "Aguardando Execução na Distribuidora",
A1971 = "CAPACITAÇÃO", "Em execução no Corporativo",
TRUE, "Em Execução na Distribuidora"
)</f>
        <v>Em Execução na Distribuidora</v>
      </c>
      <c r="F1971" s="4" t="str" cm="1">
        <f t="array" ref="F1971">_xlfn.IFS(
AG1971 &lt;&gt; "", "Jan-Dez/26",
AH1971 &lt;&gt; "", "Fev-Dez/26",
AI1971 &lt;&gt; "", "Mar-Dez/26", AJ1971 &lt;&gt; "", "Abr-Dez/26",
TRUE, "A partir de Junho"
)</f>
        <v>Jan-Dez/26</v>
      </c>
      <c r="G1971" s="4" t="s">
        <v>37</v>
      </c>
      <c r="H1971" s="7" t="s">
        <v>54</v>
      </c>
      <c r="I1971" s="8" t="s">
        <v>59</v>
      </c>
      <c r="J1971" s="8" t="str" cm="1">
        <f t="array" aca="1" ref="J1971" ca="1">_xlfn.LET(
  _xlpm.actual_value_month, INDEX(T1971:AE1971, MATCH(DATE(YEAR(TODAY()), MONTH(TODAY()), 1), $T$1:$AE$1, 0)),
  IF(_xlpm.actual_value_month &lt;&gt; "",_xlpm.actual_value_month &amp; " ações mensais", "")
)</f>
        <v/>
      </c>
      <c r="K1971" s="14" t="str" cm="1">
        <f t="array" ref="K1971">_xlfn.LET(
    _xlpm.sum_month, SUM(T1971:AE1971),
    IF(_xlpm.sum_month = 0, "", _xlpm.sum_month &amp; " pessoas impactadas no ano.")
)</f>
        <v/>
      </c>
      <c r="L1971" s="9" t="s">
        <v>59</v>
      </c>
      <c r="M1971" s="13">
        <v>1</v>
      </c>
      <c r="N1971" s="5" t="s">
        <v>51</v>
      </c>
      <c r="O1971" s="5" t="s">
        <v>52</v>
      </c>
      <c r="P1971" s="10" t="s">
        <v>44</v>
      </c>
      <c r="Q1971" s="10" t="s">
        <v>44</v>
      </c>
      <c r="R1971" s="11" t="s">
        <v>44</v>
      </c>
      <c r="S1971" s="11" t="s">
        <v>44</v>
      </c>
      <c r="T1971" s="22"/>
      <c r="U1971" s="22"/>
      <c r="V1971" s="22"/>
      <c r="W1971" s="22"/>
      <c r="X1971" s="22"/>
      <c r="Y1971" s="22"/>
      <c r="Z1971" s="22"/>
      <c r="AA1971" s="22"/>
      <c r="AB1971" s="22"/>
      <c r="AC1971" s="22"/>
      <c r="AD1971" s="22"/>
      <c r="AE1971" s="22"/>
      <c r="AG1971" s="146">
        <v>0</v>
      </c>
      <c r="AH1971" s="150">
        <v>0</v>
      </c>
      <c r="AI1971" s="150">
        <v>0</v>
      </c>
      <c r="AJ1971" s="150">
        <v>0</v>
      </c>
      <c r="AK1971" s="71"/>
      <c r="AL1971" s="71"/>
      <c r="AM1971" s="71"/>
      <c r="AN1971" s="71"/>
      <c r="AO1971" s="71"/>
      <c r="AP1971" s="71"/>
      <c r="AQ1971" s="71"/>
      <c r="AR1971" s="71"/>
      <c r="AS1971" s="94">
        <f t="shared" ca="1" si="2278"/>
        <v>0</v>
      </c>
      <c r="AT1971" s="95">
        <f t="shared" si="2279"/>
        <v>0</v>
      </c>
      <c r="AU1971" s="97">
        <f t="shared" si="2280"/>
        <v>0</v>
      </c>
      <c r="AW1971" s="83">
        <f t="shared" si="2281"/>
        <v>0</v>
      </c>
      <c r="AX1971" s="83">
        <f t="shared" si="2282"/>
        <v>0</v>
      </c>
      <c r="AY1971" s="83">
        <f t="shared" si="2283"/>
        <v>0</v>
      </c>
      <c r="AZ1971" s="83">
        <f t="shared" si="2284"/>
        <v>0</v>
      </c>
      <c r="BA1971" s="52"/>
      <c r="BB1971" s="52"/>
      <c r="BC1971" s="52"/>
      <c r="BD1971" s="52"/>
      <c r="BE1971" s="52"/>
      <c r="BF1971" s="52"/>
      <c r="BG1971" s="52"/>
      <c r="BH1971" s="52"/>
      <c r="BI1971" s="68" cm="1">
        <f t="array" ref="BI1971">IFERROR(INDEX(AW1971:BH1971,1,MATCH(2,1/(AW1971:BH1971&lt;&gt;""))),"")</f>
        <v>0</v>
      </c>
      <c r="BJ1971" s="68" cm="1">
        <f t="array" ref="BJ1971">IF(BM1971 = "", "",IFERROR(INDEX(AW1971:BH1971,1,MATCH(2,1/(AW1971:BH1971&lt;&gt;""),1)-1),""))</f>
        <v>0</v>
      </c>
      <c r="BK1971" s="59">
        <f t="shared" si="2285"/>
        <v>0</v>
      </c>
      <c r="BL1971" s="59" cm="1">
        <f t="array" ref="BL1971">IFERROR(SUM(AW1971:INDEX(AW1971:BH1971, MATCH(2, 1/(AW1971:BH1971&lt;&gt;""), 1) - 1))/_xlfn.XLOOKUP(F1971,Apuração!A:A,Apuração!B:B),0)</f>
        <v>0</v>
      </c>
      <c r="BM1971" s="55" cm="1">
        <f t="array" ref="BM1971">IFERROR(
   INDEX($AW$1:$BH$1,
      _xlfn.AGGREGATE(14, 6, COLUMN($AW$1:$BH$1)/(AW1971:BH1971&lt;&gt;""), 2) - COLUMN($AW$1) + 1
   ),
"")</f>
        <v>46082</v>
      </c>
      <c r="BN1971" s="55" cm="1">
        <f t="array" ref="BN1971">IFERROR(INDEX($AW$1:$BH$1,1,MATCH(2,1/(AW1971:BH1971&lt;&gt;""))),"")</f>
        <v>46113</v>
      </c>
      <c r="BO1971" s="53">
        <f ca="1">IFERROR(_xlfn.XLOOKUP(F1971,Apuração!A:A,Apuração!C:C)/_xlfn.XLOOKUP(F1971,Apuração!A:A,Apuração!B:B),0)</f>
        <v>0.41666666666666669</v>
      </c>
      <c r="BP1971" s="53">
        <f ca="1">IFERROR(_xlfn.XLOOKUP(F1971,Apuração!A:A,Apuração!D:D)/_xlfn.XLOOKUP(F1971,Apuração!A:A,Apuração!B:B),0)</f>
        <v>0.33333333333333331</v>
      </c>
      <c r="BQ1971" s="53">
        <f ca="1">IF(BK1971&gt;=BO1971,0,_xlfn.XLOOKUP(F1971,Apuração!A:A,Apuração!B:B)*(BO1971 + (1/_xlfn.XLOOKUP(F1971,Apuração!A:A,Apuração!B:B)) - BK1971))</f>
        <v>6</v>
      </c>
      <c r="BR1971" s="85">
        <f t="shared" ca="1" si="2286"/>
        <v>0</v>
      </c>
      <c r="BS1971" s="53">
        <f ca="1">IFERROR((_xlfn.XLOOKUP(F1971,Apuração!A:A,Apuração!C:C)+1)/_xlfn.XLOOKUP(F1971,Apuração!A:A,Apuração!B:B),0)</f>
        <v>0.5</v>
      </c>
    </row>
    <row r="1972" spans="1:71" ht="25.95" hidden="1" customHeight="1" x14ac:dyDescent="0.3">
      <c r="A1972" s="39" t="s">
        <v>33</v>
      </c>
      <c r="B1972" s="4" t="s">
        <v>70</v>
      </c>
      <c r="C1972" s="5" t="s">
        <v>216</v>
      </c>
      <c r="D1972" s="5" t="s">
        <v>219</v>
      </c>
      <c r="E1972" s="4" t="str" cm="1">
        <f t="array" ref="E1972">_xlfn.IFS(
F1972 = "A partir de Abril", "Aguardando Execução na Distribuidora",
A1972 = "CAPACITAÇÃO", "Em execução no Corporativo",
TRUE, "Em Execução na Distribuidora"
)</f>
        <v>Em Execução na Distribuidora</v>
      </c>
      <c r="F1972" s="4" t="str" cm="1">
        <f t="array" ref="F1972">_xlfn.IFS(
AG1972 &lt;&gt; "", "Jan-Dez/26",
AH1972 &lt;&gt; "", "Fev-Dez/26",
AI1972 &lt;&gt; "", "Mar-Dez/26", AJ1972 &lt;&gt; "", "Abr-Dez/26",
TRUE, "A partir de Junho"
)</f>
        <v>Jan-Dez/26</v>
      </c>
      <c r="G1972" s="4" t="s">
        <v>37</v>
      </c>
      <c r="H1972" s="7" t="s">
        <v>54</v>
      </c>
      <c r="I1972" s="8" t="s">
        <v>59</v>
      </c>
      <c r="J1972" s="8" t="str" cm="1">
        <f t="array" aca="1" ref="J1972" ca="1">_xlfn.LET(
  _xlpm.actual_value_month, INDEX(T1972:AE1972, MATCH(DATE(YEAR(TODAY()), MONTH(TODAY()), 1), $T$1:$AE$1, 0)),
  IF(_xlpm.actual_value_month &lt;&gt; "",_xlpm.actual_value_month &amp; " ações mensais", "")
)</f>
        <v/>
      </c>
      <c r="K1972" s="14" t="str" cm="1">
        <f t="array" ref="K1972">_xlfn.LET(
    _xlpm.sum_month, SUM(T1972:AE1972),
    IF(_xlpm.sum_month = 0, "", _xlpm.sum_month &amp; " pessoas impactadas no ano.")
)</f>
        <v/>
      </c>
      <c r="L1972" s="9" t="s">
        <v>59</v>
      </c>
      <c r="M1972" s="13">
        <v>1</v>
      </c>
      <c r="N1972" s="5" t="s">
        <v>51</v>
      </c>
      <c r="O1972" s="5" t="s">
        <v>52</v>
      </c>
      <c r="P1972" s="10" t="s">
        <v>44</v>
      </c>
      <c r="Q1972" s="10" t="s">
        <v>44</v>
      </c>
      <c r="R1972" s="11" t="s">
        <v>44</v>
      </c>
      <c r="S1972" s="11" t="s">
        <v>44</v>
      </c>
      <c r="T1972" s="22"/>
      <c r="U1972" s="22"/>
      <c r="V1972" s="22"/>
      <c r="W1972" s="22"/>
      <c r="X1972" s="22"/>
      <c r="Y1972" s="22"/>
      <c r="Z1972" s="22"/>
      <c r="AA1972" s="22"/>
      <c r="AB1972" s="22"/>
      <c r="AC1972" s="22"/>
      <c r="AD1972" s="22"/>
      <c r="AE1972" s="22"/>
      <c r="AG1972" s="146">
        <v>0</v>
      </c>
      <c r="AH1972" s="150">
        <v>0</v>
      </c>
      <c r="AI1972" s="150">
        <v>0</v>
      </c>
      <c r="AJ1972" s="150">
        <v>0</v>
      </c>
      <c r="AK1972" s="71"/>
      <c r="AL1972" s="71"/>
      <c r="AM1972" s="71"/>
      <c r="AN1972" s="71"/>
      <c r="AO1972" s="71"/>
      <c r="AP1972" s="71"/>
      <c r="AQ1972" s="71"/>
      <c r="AR1972" s="71"/>
      <c r="AS1972" s="94">
        <f t="shared" ca="1" si="2278"/>
        <v>0</v>
      </c>
      <c r="AT1972" s="95">
        <f t="shared" si="2279"/>
        <v>0</v>
      </c>
      <c r="AU1972" s="97">
        <f t="shared" si="2280"/>
        <v>0</v>
      </c>
      <c r="AW1972" s="83">
        <f t="shared" si="2281"/>
        <v>0</v>
      </c>
      <c r="AX1972" s="83">
        <f t="shared" si="2282"/>
        <v>0</v>
      </c>
      <c r="AY1972" s="83">
        <f t="shared" si="2283"/>
        <v>0</v>
      </c>
      <c r="AZ1972" s="83">
        <f t="shared" si="2284"/>
        <v>0</v>
      </c>
      <c r="BA1972" s="52"/>
      <c r="BB1972" s="52"/>
      <c r="BC1972" s="52"/>
      <c r="BD1972" s="52"/>
      <c r="BE1972" s="52"/>
      <c r="BF1972" s="52"/>
      <c r="BG1972" s="52"/>
      <c r="BH1972" s="52"/>
      <c r="BI1972" s="68" cm="1">
        <f t="array" ref="BI1972">IFERROR(INDEX(AW1972:BH1972,1,MATCH(2,1/(AW1972:BH1972&lt;&gt;""))),"")</f>
        <v>0</v>
      </c>
      <c r="BJ1972" s="68" cm="1">
        <f t="array" ref="BJ1972">IF(BM1972 = "", "",IFERROR(INDEX(AW1972:BH1972,1,MATCH(2,1/(AW1972:BH1972&lt;&gt;""),1)-1),""))</f>
        <v>0</v>
      </c>
      <c r="BK1972" s="59">
        <f t="shared" si="2285"/>
        <v>0</v>
      </c>
      <c r="BL1972" s="59" cm="1">
        <f t="array" ref="BL1972">IFERROR(SUM(AW1972:INDEX(AW1972:BH1972, MATCH(2, 1/(AW1972:BH1972&lt;&gt;""), 1) - 1))/_xlfn.XLOOKUP(F1972,Apuração!A:A,Apuração!B:B),0)</f>
        <v>0</v>
      </c>
      <c r="BM1972" s="55" cm="1">
        <f t="array" ref="BM1972">IFERROR(
   INDEX($AW$1:$BH$1,
      _xlfn.AGGREGATE(14, 6, COLUMN($AW$1:$BH$1)/(AW1972:BH1972&lt;&gt;""), 2) - COLUMN($AW$1) + 1
   ),
"")</f>
        <v>46082</v>
      </c>
      <c r="BN1972" s="55" cm="1">
        <f t="array" ref="BN1972">IFERROR(INDEX($AW$1:$BH$1,1,MATCH(2,1/(AW1972:BH1972&lt;&gt;""))),"")</f>
        <v>46113</v>
      </c>
      <c r="BO1972" s="53">
        <f ca="1">IFERROR(_xlfn.XLOOKUP(F1972,Apuração!A:A,Apuração!C:C)/_xlfn.XLOOKUP(F1972,Apuração!A:A,Apuração!B:B),0)</f>
        <v>0.41666666666666669</v>
      </c>
      <c r="BP1972" s="53">
        <f ca="1">IFERROR(_xlfn.XLOOKUP(F1972,Apuração!A:A,Apuração!D:D)/_xlfn.XLOOKUP(F1972,Apuração!A:A,Apuração!B:B),0)</f>
        <v>0.33333333333333331</v>
      </c>
      <c r="BQ1972" s="53">
        <f ca="1">IF(BK1972&gt;=BO1972,0,_xlfn.XLOOKUP(F1972,Apuração!A:A,Apuração!B:B)*(BO1972 + (1/_xlfn.XLOOKUP(F1972,Apuração!A:A,Apuração!B:B)) - BK1972))</f>
        <v>6</v>
      </c>
      <c r="BR1972" s="85">
        <f t="shared" ca="1" si="2286"/>
        <v>0</v>
      </c>
      <c r="BS1972" s="53">
        <f ca="1">IFERROR((_xlfn.XLOOKUP(F1972,Apuração!A:A,Apuração!C:C)+1)/_xlfn.XLOOKUP(F1972,Apuração!A:A,Apuração!B:B),0)</f>
        <v>0.5</v>
      </c>
    </row>
    <row r="1973" spans="1:71" ht="25.95" hidden="1" customHeight="1" x14ac:dyDescent="0.3">
      <c r="A1973" s="3" t="s">
        <v>33</v>
      </c>
      <c r="B1973" s="4" t="s">
        <v>73</v>
      </c>
      <c r="C1973" s="5" t="s">
        <v>216</v>
      </c>
      <c r="D1973" s="5" t="s">
        <v>36</v>
      </c>
      <c r="E1973" s="4" t="str" cm="1">
        <f t="array" ref="E1973">_xlfn.IFS(
F1973 = "A partir de Abril", "Aguardando Execução na Distribuidora",
A1973 = "CAPACITAÇÃO", "Em execução no Corporativo",
TRUE, "Em Execução na Distribuidora"
)</f>
        <v>Em Execução na Distribuidora</v>
      </c>
      <c r="F1973" s="4" t="str" cm="1">
        <f t="array" ref="F1973">_xlfn.IFS(
AG1973 &lt;&gt; "", "Jan-Dez/26",
AH1973 &lt;&gt; "", "Fev-Dez/26",
AI1973 &lt;&gt; "", "Mar-Dez/26", AJ1973 &lt;&gt; "", "Abr-Dez/26",
TRUE, "A partir de Junho"
)</f>
        <v>Fev-Dez/26</v>
      </c>
      <c r="G1973" s="4" t="s">
        <v>37</v>
      </c>
      <c r="H1973" s="7" t="s">
        <v>54</v>
      </c>
      <c r="I1973" s="8" t="s">
        <v>55</v>
      </c>
      <c r="J1973" s="8" t="str" cm="1">
        <f t="array" aca="1" ref="J1973" ca="1">_xlfn.LET(
  _xlpm.actual_value_month, INDEX(T1973:AE1973, MATCH(DATE(YEAR(TODAY()), MONTH(TODAY()), 1), $T$1:$AE$1, 0)),
  IF(_xlpm.actual_value_month &lt;&gt; "",_xlpm.actual_value_month &amp; " eventos mensais", "")
)</f>
        <v>8 eventos mensais</v>
      </c>
      <c r="K1973" s="14" t="str" cm="1">
        <f t="array" ref="K1973">_xlfn.LET(
    _xlpm.sum_month, SUM(T1973:AE1973),
    IF(_xlpm.sum_month = 0, "", _xlpm.sum_month &amp; "  eventos no ano")
)</f>
        <v>77  eventos no ano</v>
      </c>
      <c r="L1973" s="9" t="s">
        <v>64</v>
      </c>
      <c r="M1973" s="13" t="s">
        <v>74</v>
      </c>
      <c r="N1973" s="5" t="s">
        <v>42</v>
      </c>
      <c r="O1973" s="5" t="s">
        <v>43</v>
      </c>
      <c r="P1973" s="10" t="s">
        <v>44</v>
      </c>
      <c r="Q1973" s="10" t="s">
        <v>75</v>
      </c>
      <c r="R1973" s="11" t="s">
        <v>44</v>
      </c>
      <c r="S1973" s="11" t="s">
        <v>44</v>
      </c>
      <c r="T1973" s="22"/>
      <c r="U1973" s="22">
        <v>1</v>
      </c>
      <c r="V1973" s="22">
        <v>4</v>
      </c>
      <c r="W1973" s="22">
        <v>8</v>
      </c>
      <c r="X1973" s="22">
        <v>8</v>
      </c>
      <c r="Y1973" s="22">
        <v>8</v>
      </c>
      <c r="Z1973" s="22">
        <v>8</v>
      </c>
      <c r="AA1973" s="22">
        <v>8</v>
      </c>
      <c r="AB1973" s="22">
        <v>8</v>
      </c>
      <c r="AC1973" s="22">
        <v>8</v>
      </c>
      <c r="AD1973" s="22">
        <v>8</v>
      </c>
      <c r="AE1973" s="22">
        <v>8</v>
      </c>
      <c r="AG1973" s="71"/>
      <c r="AH1973" s="71">
        <v>1</v>
      </c>
      <c r="AI1973" s="71">
        <v>4</v>
      </c>
      <c r="AJ1973" s="71">
        <v>11</v>
      </c>
      <c r="AK1973" s="71"/>
      <c r="AL1973" s="71"/>
      <c r="AM1973" s="71"/>
      <c r="AN1973" s="71"/>
      <c r="AO1973" s="71"/>
      <c r="AP1973" s="71"/>
      <c r="AQ1973" s="71"/>
      <c r="AR1973" s="71"/>
      <c r="AS1973" s="94">
        <f ca="1">IF(MONTH(TODAY())=3,SUM(T1973:U1973),IF(MONTH(TODAY())=4,SUM(T1973:V1973),IF(MONTH(TODAY())=5,SUM(T1973:W1973),IF(MONTH(TODAY())=6,SUM(T1973:X1973),IF(MONTH(TODAY())=7,SUM(T1973:Y1973),IF(MONTH(TODAY())=8,SUM(T1973:Z1973),IF(MONTH(TODAY())=9,SUM(T1973:AA1973),IF(MONTH(TODAY())=10,SUM(T1973:AB1973),IF(MONTH(TODAY())=11,SUM(T1973:AC1973),IF(MONTH(TODAY())=12,SUM(T1973:AD1973),IF(MONTH(TODAY())=1,SUM(T1973:AE1973),T1973)))))))))))</f>
        <v>21</v>
      </c>
      <c r="AT1973" s="95">
        <f>SUM(IF(AW1973&lt;1.15,AG1973,1.15*T1973),IF(AX1973&lt;1.15,AH1973,1.15*U1973),IF(AY1973&lt;1.15,AI1973,1.15*V1973),IF(AZ1973&lt;1.15,AJ1973,1.15*W1973),IF(BA1973&lt;1.15,AK1973,1.15*X1973),IF(BB1973&lt;1.15,AL1973,1.15*Y1973),IF(BC1973&lt;1.15,AM1973,1.15*Z1973),IF(BD1973&lt;1.15,AN1973,1.15*AA1973),IF(BE1973&lt;1.15,AO1973,1.15*AB1973),IF(BF1973&lt;1.15,AP1973,1.15*AC1973),IF(BG1973&lt;1.15,AQ1973,1.15*AD1973),IF(BH1973&lt;1.15,AR1973,1.15*AE1973))</f>
        <v>14.2</v>
      </c>
      <c r="AU1973" s="97">
        <f>SUM(AG1973:AR1973)</f>
        <v>16</v>
      </c>
      <c r="AW1973" s="51">
        <f>IFERROR(IF(AG1973="",0,AG1973/T1973),0)</f>
        <v>0</v>
      </c>
      <c r="AX1973" s="51">
        <f>IFERROR(IF(AH1973="",0,AH1973/U1973),0)</f>
        <v>1</v>
      </c>
      <c r="AY1973" s="51">
        <f>IFERROR(IF(AI1973="",0,AI1973/V1973),0)</f>
        <v>1</v>
      </c>
      <c r="AZ1973" s="51">
        <f>IFERROR(IF(AJ1973="",0,AJ1973/W1973),0)</f>
        <v>1.375</v>
      </c>
      <c r="BA1973" s="51"/>
      <c r="BB1973" s="51"/>
      <c r="BC1973" s="51"/>
      <c r="BD1973" s="51"/>
      <c r="BE1973" s="51"/>
      <c r="BF1973" s="51"/>
      <c r="BG1973" s="51"/>
      <c r="BH1973" s="51"/>
      <c r="BI1973" s="65" cm="1">
        <f t="array" ref="BI1973">IFERROR(INDEX(AW1973:BH1973,1,MATCH(2,1/(AW1973:BH1973&lt;&gt;""))),"")</f>
        <v>1.375</v>
      </c>
      <c r="BJ1973" s="68" cm="1">
        <f t="array" ref="BJ1973">IF(BM1973 = "", "",IFERROR(INDEX(AW1973:BH1973,1,MATCH(2,1/(AW1973:BH1973&lt;&gt;""),1)-1),""))</f>
        <v>1</v>
      </c>
      <c r="BK1973" s="58">
        <f>IF((IF(AW1973&gt;=115%,115%,AW1973) + IF(AX1973&gt;=115%,115%,AX1973) + IF(AY1973&gt;=115%,115%,AY1973) + (IF(AZ1973&gt;=115%,115%,AZ1973) + IF(BA1973&gt;=115%,115%,BA1973) + IF(BB1973&gt;=115%,115%,BB1973) + IF(BC1973&gt;=115%,115%,BC1973) + IF(BD1973&gt;=115%,115%,BD1973) + IF(BE1973&gt;=115%,115%,BE1973) + IF(BF1973&gt;=115%,115%,BF1973) + IF(BG1973&gt;=115%,115%,BG1973) + IF(BH1973&gt;=115%,115%,BH1973)))/_xlfn.XLOOKUP(F1973,Apuração!A:A,Apuração!B:B)&gt;=1.15,1.15,((IF(AZ1973&gt;=115%,115%,AZ1973) + IF(AX1973&gt;=115%,115%,AX1973) + IF(AY1973&gt;=115%,115%,AY1973) + (IF(AW1973&gt;=115%,115%,AW1973) + IF(BA1973&gt;=115%,115%,BA1973) + IF(BB1973&gt;=115%,115%,BB1973) + IF(BC1973&gt;=115%,115%,BC1973) + IF(BD1973&gt;=115%,115%,BD1973) + IF(BE1973&gt;=115%,115%,BE1973) + IF(BF1973&gt;=115%,115%,BF1973) + IF(BG1973&gt;=115%,115%,BG1973) + IF(BH1973&gt;=115%,115%,BH1973)))/_xlfn.XLOOKUP(F1973,Apuração!A:A,Apuração!B:B)))</f>
        <v>0.28636363636363638</v>
      </c>
      <c r="BL1973" s="58" cm="1">
        <f t="array" aca="1" ref="BL1973" ca="1">IF(SUM(IFERROR(IF(INDEX(AW1973:INDEX(AW1973:BH1973, MATCH(2, 1/(AW1973:BH1973&lt;&gt;""), 1)-1), ROW(INDIRECT("1:" &amp; MATCH(2, 1/(AW1973:BH1973&lt;&gt;""), 1)-1))) &gt;= 115%, 115%, INDEX(AW1973:INDEX(AW1973:BH1973, MATCH(2, 1/(AW1973:BH1973&lt;&gt;""), 1)-1), ROW(INDIRECT("1:" &amp; MATCH(2, 1/(AW1973:BH1973&lt;&gt;""), 1)-1)))), 0))/_xlfn.XLOOKUP(F1973,Apuração!A:A,Apuração!B:B)&gt;=1.15,1.15,SUM(IFERROR(IF(INDEX(AW1973:INDEX(AW1973:BH1973, MATCH(2, 1/(AW1973:BH1973&lt;&gt;""), 1)-1), ROW(INDIRECT("1:" &amp; MATCH(2, 1/(AW1973:BH1973&lt;&gt;""), 1)-1))) &gt;= 115%, 115%, INDEX(AW1973:INDEX(AW1973:BH1973, MATCH(2, 1/(AW1973:BH1973&lt;&gt;""), 1)-1), ROW(INDIRECT("1:" &amp; MATCH(2, 1/(AW1973:BH1973&lt;&gt;""), 1)-1)))), 0))/_xlfn.XLOOKUP(F1973,Apuração!A:A,Apuração!B:B))</f>
        <v>0.18181818181818182</v>
      </c>
      <c r="BM1973" s="55" cm="1">
        <f t="array" ref="BM1973">IFERROR(
   INDEX($AW$1:$BH$1,
      _xlfn.AGGREGATE(14, 6, COLUMN($AW$1:$BH$1)/(AW1973:BH1973&lt;&gt;""), 2) - COLUMN($AW$1) + 1
   ),
"")</f>
        <v>46082</v>
      </c>
      <c r="BN1973" s="55" cm="1">
        <f t="array" ref="BN1973">IFERROR(INDEX($AW$1:$BH$1,1,MATCH(2,1/(AW1973:BH1973&lt;&gt;""))),"")</f>
        <v>46113</v>
      </c>
      <c r="BO1973" s="53">
        <f ca="1">IFERROR(_xlfn.XLOOKUP(F1973,Apuração!A:A,Apuração!C:C)/_xlfn.XLOOKUP(F1973,Apuração!A:A,Apuração!B:B),0)</f>
        <v>0.36363636363636365</v>
      </c>
      <c r="BP1973" s="53">
        <f ca="1">IFERROR(_xlfn.XLOOKUP(F1973,Apuração!A:A,Apuração!D:D)/_xlfn.XLOOKUP(F1973,Apuração!A:A,Apuração!B:B),0)</f>
        <v>0.27272727272727271</v>
      </c>
      <c r="BQ1973" s="53">
        <f ca="1">IF(BK1973&gt;=BO1973,0,_xlfn.XLOOKUP(F1973,Apuração!A:A,Apuração!B:B)*(BO1973 + (1/_xlfn.XLOOKUP(F1973,Apuração!A:A,Apuração!B:B)) - BK1973))</f>
        <v>1.8500000000000003</v>
      </c>
      <c r="BR1973" s="85">
        <f ca="1">IF(BQ1973=0,0,BQ1973*Z1973)</f>
        <v>14.800000000000002</v>
      </c>
      <c r="BS1973" s="53">
        <f ca="1">IFERROR((_xlfn.XLOOKUP(F1973,Apuração!A:A,Apuração!C:C)+1)/_xlfn.XLOOKUP(F1973,Apuração!A:A,Apuração!B:B),0)</f>
        <v>0.45454545454545453</v>
      </c>
    </row>
    <row r="1974" spans="1:71" ht="25.95" hidden="1" customHeight="1" x14ac:dyDescent="0.3">
      <c r="A1974" s="3" t="s">
        <v>33</v>
      </c>
      <c r="B1974" s="4" t="s">
        <v>73</v>
      </c>
      <c r="C1974" s="5" t="s">
        <v>216</v>
      </c>
      <c r="D1974" s="5" t="s">
        <v>217</v>
      </c>
      <c r="E1974" s="4" t="str" cm="1">
        <f t="array" ref="E1974">_xlfn.IFS(
F1974 = "A partir de Abril", "Aguardando Execução na Distribuidora",
A1974 = "CAPACITAÇÃO", "Em execução no Corporativo",
TRUE, "Em Execução na Distribuidora"
)</f>
        <v>Em Execução na Distribuidora</v>
      </c>
      <c r="F1974" s="4" t="str" cm="1">
        <f t="array" ref="F1974">_xlfn.IFS(
AG1974 &lt;&gt; "", "Jan-Dez/26",
AH1974 &lt;&gt; "", "Fev-Dez/26",
AI1974 &lt;&gt; "", "Mar-Dez/26", AJ1974 &lt;&gt; "", "Abr-Dez/26",
TRUE, "A partir de Junho"
)</f>
        <v>Fev-Dez/26</v>
      </c>
      <c r="G1974" s="4" t="s">
        <v>37</v>
      </c>
      <c r="H1974" s="7" t="s">
        <v>54</v>
      </c>
      <c r="I1974" s="8" t="s">
        <v>55</v>
      </c>
      <c r="J1974" s="8" t="str" cm="1">
        <f t="array" aca="1" ref="J1974" ca="1">_xlfn.LET(
  _xlpm.actual_value_month, INDEX(T1974:AE1974, MATCH(DATE(YEAR(TODAY()), MONTH(TODAY()), 1), $T$1:$AE$1, 0)),
  IF(_xlpm.actual_value_month &lt;&gt; "",_xlpm.actual_value_month &amp; " eventos mensais", "")
)</f>
        <v>2 eventos mensais</v>
      </c>
      <c r="K1974" s="14" t="str" cm="1">
        <f t="array" ref="K1974">_xlfn.LET(
    _xlpm.sum_month, SUM(T1974:AE1974),
    IF(_xlpm.sum_month = 0, "", _xlpm.sum_month &amp; "  eventos no ano")
)</f>
        <v>18  eventos no ano</v>
      </c>
      <c r="L1974" s="9" t="s">
        <v>64</v>
      </c>
      <c r="M1974" s="13" t="s">
        <v>74</v>
      </c>
      <c r="N1974" s="5" t="s">
        <v>42</v>
      </c>
      <c r="O1974" s="5" t="s">
        <v>43</v>
      </c>
      <c r="P1974" s="10" t="s">
        <v>44</v>
      </c>
      <c r="Q1974" s="10" t="s">
        <v>75</v>
      </c>
      <c r="R1974" s="11" t="s">
        <v>44</v>
      </c>
      <c r="S1974" s="11" t="s">
        <v>44</v>
      </c>
      <c r="T1974" s="143"/>
      <c r="U1974" s="143"/>
      <c r="V1974" s="143"/>
      <c r="W1974" s="143">
        <v>2</v>
      </c>
      <c r="X1974" s="143">
        <v>2</v>
      </c>
      <c r="Y1974" s="143">
        <v>2</v>
      </c>
      <c r="Z1974" s="143">
        <v>2</v>
      </c>
      <c r="AA1974" s="143">
        <v>2</v>
      </c>
      <c r="AB1974" s="143">
        <v>2</v>
      </c>
      <c r="AC1974" s="143">
        <v>2</v>
      </c>
      <c r="AD1974" s="143">
        <v>2</v>
      </c>
      <c r="AE1974" s="143">
        <v>2</v>
      </c>
      <c r="AG1974" s="71"/>
      <c r="AH1974" s="145">
        <v>0</v>
      </c>
      <c r="AI1974" s="145">
        <v>0</v>
      </c>
      <c r="AJ1974" s="145">
        <v>1</v>
      </c>
      <c r="AK1974" s="71"/>
      <c r="AL1974" s="71"/>
      <c r="AM1974" s="71"/>
      <c r="AN1974" s="71"/>
      <c r="AO1974" s="71"/>
      <c r="AP1974" s="71"/>
      <c r="AQ1974" s="71"/>
      <c r="AR1974" s="71"/>
      <c r="AS1974" s="94">
        <f t="shared" ref="AS1974:AS1977" ca="1" si="2287">IF(MONTH(TODAY())=3,SUM(T1974:U1974),IF(MONTH(TODAY())=4,SUM(T1974:V1974),IF(MONTH(TODAY())=5,SUM(T1974:W1974),IF(MONTH(TODAY())=6,SUM(T1974:X1974),IF(MONTH(TODAY())=7,SUM(T1974:Y1974),IF(MONTH(TODAY())=8,SUM(T1974:Z1974),IF(MONTH(TODAY())=9,SUM(T1974:AA1974),IF(MONTH(TODAY())=10,SUM(T1974:AB1974),IF(MONTH(TODAY())=11,SUM(T1974:AC1974),IF(MONTH(TODAY())=12,SUM(T1974:AD1974),IF(MONTH(TODAY())=1,SUM(T1974:AE1974),T1974)))))))))))</f>
        <v>4</v>
      </c>
      <c r="AT1974" s="95">
        <f t="shared" ref="AT1974:AT1977" si="2288">SUM(IF(AW1974&lt;1.15,AG1974,1.15*T1974),IF(AX1974&lt;1.15,AH1974,1.15*U1974),IF(AY1974&lt;1.15,AI1974,1.15*V1974),IF(AZ1974&lt;1.15,AJ1974,1.15*W1974),IF(BA1974&lt;1.15,AK1974,1.15*X1974),IF(BB1974&lt;1.15,AL1974,1.15*Y1974),IF(BC1974&lt;1.15,AM1974,1.15*Z1974),IF(BD1974&lt;1.15,AN1974,1.15*AA1974),IF(BE1974&lt;1.15,AO1974,1.15*AB1974),IF(BF1974&lt;1.15,AP1974,1.15*AC1974),IF(BG1974&lt;1.15,AQ1974,1.15*AD1974),IF(BH1974&lt;1.15,AR1974,1.15*AE1974))</f>
        <v>1</v>
      </c>
      <c r="AU1974" s="97">
        <f t="shared" ref="AU1974:AU1977" si="2289">SUM(AG1974:AR1974)</f>
        <v>1</v>
      </c>
      <c r="AW1974" s="51">
        <f t="shared" ref="AW1974:AW1977" si="2290">IFERROR(IF(AG1974="",0,AG1974/T1974),0)</f>
        <v>0</v>
      </c>
      <c r="AX1974" s="51">
        <f t="shared" ref="AX1974:AX1977" si="2291">IFERROR(IF(AH1974="",0,AH1974/U1974),0)</f>
        <v>0</v>
      </c>
      <c r="AY1974" s="51">
        <f t="shared" ref="AY1974:AY1977" si="2292">IFERROR(IF(AI1974="",0,AI1974/V1974),0)</f>
        <v>0</v>
      </c>
      <c r="AZ1974" s="51">
        <f t="shared" ref="AZ1974:AZ1977" si="2293">IFERROR(IF(AJ1974="",0,AJ1974/W1974),0)</f>
        <v>0.5</v>
      </c>
      <c r="BA1974" s="51"/>
      <c r="BB1974" s="51"/>
      <c r="BC1974" s="51"/>
      <c r="BD1974" s="51"/>
      <c r="BE1974" s="51"/>
      <c r="BF1974" s="51"/>
      <c r="BG1974" s="51"/>
      <c r="BH1974" s="51"/>
      <c r="BI1974" s="65" cm="1">
        <f t="array" ref="BI1974">IFERROR(INDEX(AW1974:BH1974,1,MATCH(2,1/(AW1974:BH1974&lt;&gt;""))),"")</f>
        <v>0.5</v>
      </c>
      <c r="BJ1974" s="68" cm="1">
        <f t="array" ref="BJ1974">IF(BM1974 = "", "",IFERROR(INDEX(AW1974:BH1974,1,MATCH(2,1/(AW1974:BH1974&lt;&gt;""),1)-1),""))</f>
        <v>0</v>
      </c>
      <c r="BK1974" s="58">
        <f>IF((IF(AW1974&gt;=115%,115%,AW1974) + IF(AX1974&gt;=115%,115%,AX1974) + IF(AY1974&gt;=115%,115%,AY1974) + (IF(AZ1974&gt;=115%,115%,AZ1974) + IF(BA1974&gt;=115%,115%,BA1974) + IF(BB1974&gt;=115%,115%,BB1974) + IF(BC1974&gt;=115%,115%,BC1974) + IF(BD1974&gt;=115%,115%,BD1974) + IF(BE1974&gt;=115%,115%,BE1974) + IF(BF1974&gt;=115%,115%,BF1974) + IF(BG1974&gt;=115%,115%,BG1974) + IF(BH1974&gt;=115%,115%,BH1974)))/_xlfn.XLOOKUP(F1974,Apuração!A:A,Apuração!B:B)&gt;=1.15,1.15,((IF(AZ1974&gt;=115%,115%,AZ1974) + IF(AX1974&gt;=115%,115%,AX1974) + IF(AY1974&gt;=115%,115%,AY1974) + (IF(AW1974&gt;=115%,115%,AW1974) + IF(BA1974&gt;=115%,115%,BA1974) + IF(BB1974&gt;=115%,115%,BB1974) + IF(BC1974&gt;=115%,115%,BC1974) + IF(BD1974&gt;=115%,115%,BD1974) + IF(BE1974&gt;=115%,115%,BE1974) + IF(BF1974&gt;=115%,115%,BF1974) + IF(BG1974&gt;=115%,115%,BG1974) + IF(BH1974&gt;=115%,115%,BH1974)))/_xlfn.XLOOKUP(F1974,Apuração!A:A,Apuração!B:B)))</f>
        <v>4.5454545454545456E-2</v>
      </c>
      <c r="BL1974" s="58" cm="1">
        <f t="array" aca="1" ref="BL1974" ca="1">IF(SUM(IFERROR(IF(INDEX(AW1974:INDEX(AW1974:BH1974, MATCH(2, 1/(AW1974:BH1974&lt;&gt;""), 1)-1), ROW(INDIRECT("1:" &amp; MATCH(2, 1/(AW1974:BH1974&lt;&gt;""), 1)-1))) &gt;= 115%, 115%, INDEX(AW1974:INDEX(AW1974:BH1974, MATCH(2, 1/(AW1974:BH1974&lt;&gt;""), 1)-1), ROW(INDIRECT("1:" &amp; MATCH(2, 1/(AW1974:BH1974&lt;&gt;""), 1)-1)))), 0))/_xlfn.XLOOKUP(F1974,Apuração!A:A,Apuração!B:B)&gt;=1.15,1.15,SUM(IFERROR(IF(INDEX(AW1974:INDEX(AW1974:BH1974, MATCH(2, 1/(AW1974:BH1974&lt;&gt;""), 1)-1), ROW(INDIRECT("1:" &amp; MATCH(2, 1/(AW1974:BH1974&lt;&gt;""), 1)-1))) &gt;= 115%, 115%, INDEX(AW1974:INDEX(AW1974:BH1974, MATCH(2, 1/(AW1974:BH1974&lt;&gt;""), 1)-1), ROW(INDIRECT("1:" &amp; MATCH(2, 1/(AW1974:BH1974&lt;&gt;""), 1)-1)))), 0))/_xlfn.XLOOKUP(F1974,Apuração!A:A,Apuração!B:B))</f>
        <v>0</v>
      </c>
      <c r="BM1974" s="55" cm="1">
        <f t="array" ref="BM1974">IFERROR(
   INDEX($AW$1:$BH$1,
      _xlfn.AGGREGATE(14, 6, COLUMN($AW$1:$BH$1)/(AW1974:BH1974&lt;&gt;""), 2) - COLUMN($AW$1) + 1
   ),
"")</f>
        <v>46082</v>
      </c>
      <c r="BN1974" s="55" cm="1">
        <f t="array" ref="BN1974">IFERROR(INDEX($AW$1:$BH$1,1,MATCH(2,1/(AW1974:BH1974&lt;&gt;""))),"")</f>
        <v>46113</v>
      </c>
      <c r="BO1974" s="53">
        <f ca="1">IFERROR(_xlfn.XLOOKUP(F1974,Apuração!A:A,Apuração!C:C)/_xlfn.XLOOKUP(F1974,Apuração!A:A,Apuração!B:B),0)</f>
        <v>0.36363636363636365</v>
      </c>
      <c r="BP1974" s="53">
        <f ca="1">IFERROR(_xlfn.XLOOKUP(F1974,Apuração!A:A,Apuração!D:D)/_xlfn.XLOOKUP(F1974,Apuração!A:A,Apuração!B:B),0)</f>
        <v>0.27272727272727271</v>
      </c>
      <c r="BQ1974" s="53">
        <f ca="1">IF(BK1974&gt;=BO1974,0,_xlfn.XLOOKUP(F1974,Apuração!A:A,Apuração!B:B)*(BO1974 + (1/_xlfn.XLOOKUP(F1974,Apuração!A:A,Apuração!B:B)) - BK1974))</f>
        <v>4.5</v>
      </c>
      <c r="BR1974" s="85">
        <f t="shared" ref="BR1974:BR1977" ca="1" si="2294">IF(BQ1974=0,0,BQ1974*Z1974)</f>
        <v>9</v>
      </c>
      <c r="BS1974" s="53">
        <f ca="1">IFERROR((_xlfn.XLOOKUP(F1974,Apuração!A:A,Apuração!C:C)+1)/_xlfn.XLOOKUP(F1974,Apuração!A:A,Apuração!B:B),0)</f>
        <v>0.45454545454545453</v>
      </c>
    </row>
    <row r="1975" spans="1:71" ht="25.95" hidden="1" customHeight="1" x14ac:dyDescent="0.3">
      <c r="A1975" s="3" t="s">
        <v>33</v>
      </c>
      <c r="B1975" s="4" t="s">
        <v>73</v>
      </c>
      <c r="C1975" s="5" t="s">
        <v>216</v>
      </c>
      <c r="D1975" s="5" t="s">
        <v>103</v>
      </c>
      <c r="E1975" s="4" t="str" cm="1">
        <f t="array" ref="E1975">_xlfn.IFS(
F1975 = "A partir de Abril", "Aguardando Execução na Distribuidora",
A1975 = "CAPACITAÇÃO", "Em execução no Corporativo",
TRUE, "Em Execução na Distribuidora"
)</f>
        <v>Em Execução na Distribuidora</v>
      </c>
      <c r="F1975" s="4" t="str" cm="1">
        <f t="array" ref="F1975">_xlfn.IFS(
AG1975 &lt;&gt; "", "Jan-Dez/26",
AH1975 &lt;&gt; "", "Fev-Dez/26",
AI1975 &lt;&gt; "", "Mar-Dez/26", AJ1975 &lt;&gt; "", "Abr-Dez/26",
TRUE, "A partir de Junho"
)</f>
        <v>Fev-Dez/26</v>
      </c>
      <c r="G1975" s="4" t="s">
        <v>37</v>
      </c>
      <c r="H1975" s="7" t="s">
        <v>54</v>
      </c>
      <c r="I1975" s="8" t="s">
        <v>55</v>
      </c>
      <c r="J1975" s="8" t="str" cm="1">
        <f t="array" aca="1" ref="J1975" ca="1">_xlfn.LET(
  _xlpm.actual_value_month, INDEX(T1975:AE1975, MATCH(DATE(YEAR(TODAY()), MONTH(TODAY()), 1), $T$1:$AE$1, 0)),
  IF(_xlpm.actual_value_month &lt;&gt; "",_xlpm.actual_value_month &amp; " eventos mensais", "")
)</f>
        <v>2 eventos mensais</v>
      </c>
      <c r="K1975" s="14" t="str" cm="1">
        <f t="array" ref="K1975">_xlfn.LET(
    _xlpm.sum_month, SUM(T1975:AE1975),
    IF(_xlpm.sum_month = 0, "", _xlpm.sum_month &amp; "  eventos no ano")
)</f>
        <v>21  eventos no ano</v>
      </c>
      <c r="L1975" s="9" t="s">
        <v>64</v>
      </c>
      <c r="M1975" s="13" t="s">
        <v>74</v>
      </c>
      <c r="N1975" s="5" t="s">
        <v>42</v>
      </c>
      <c r="O1975" s="5" t="s">
        <v>43</v>
      </c>
      <c r="P1975" s="10" t="s">
        <v>44</v>
      </c>
      <c r="Q1975" s="10" t="s">
        <v>75</v>
      </c>
      <c r="R1975" s="11" t="s">
        <v>44</v>
      </c>
      <c r="S1975" s="11" t="s">
        <v>44</v>
      </c>
      <c r="T1975" s="143"/>
      <c r="U1975" s="143"/>
      <c r="V1975" s="143">
        <v>3</v>
      </c>
      <c r="W1975" s="143">
        <v>2</v>
      </c>
      <c r="X1975" s="143">
        <v>2</v>
      </c>
      <c r="Y1975" s="143">
        <v>2</v>
      </c>
      <c r="Z1975" s="143">
        <v>2</v>
      </c>
      <c r="AA1975" s="143">
        <v>2</v>
      </c>
      <c r="AB1975" s="143">
        <v>2</v>
      </c>
      <c r="AC1975" s="143">
        <v>2</v>
      </c>
      <c r="AD1975" s="143">
        <v>2</v>
      </c>
      <c r="AE1975" s="143">
        <v>2</v>
      </c>
      <c r="AG1975" s="71"/>
      <c r="AH1975" s="146">
        <v>0</v>
      </c>
      <c r="AI1975" s="146">
        <v>3</v>
      </c>
      <c r="AJ1975" s="146">
        <v>6</v>
      </c>
      <c r="AK1975" s="71"/>
      <c r="AL1975" s="71"/>
      <c r="AM1975" s="71"/>
      <c r="AN1975" s="71"/>
      <c r="AO1975" s="71"/>
      <c r="AP1975" s="71"/>
      <c r="AQ1975" s="71"/>
      <c r="AR1975" s="71"/>
      <c r="AS1975" s="94">
        <f t="shared" ca="1" si="2287"/>
        <v>7</v>
      </c>
      <c r="AT1975" s="95">
        <f t="shared" si="2288"/>
        <v>5.3</v>
      </c>
      <c r="AU1975" s="97">
        <f t="shared" si="2289"/>
        <v>9</v>
      </c>
      <c r="AW1975" s="51">
        <f t="shared" si="2290"/>
        <v>0</v>
      </c>
      <c r="AX1975" s="51">
        <f t="shared" si="2291"/>
        <v>0</v>
      </c>
      <c r="AY1975" s="51">
        <f t="shared" si="2292"/>
        <v>1</v>
      </c>
      <c r="AZ1975" s="51">
        <f t="shared" si="2293"/>
        <v>3</v>
      </c>
      <c r="BA1975" s="51"/>
      <c r="BB1975" s="51"/>
      <c r="BC1975" s="51"/>
      <c r="BD1975" s="51"/>
      <c r="BE1975" s="51"/>
      <c r="BF1975" s="51"/>
      <c r="BG1975" s="51"/>
      <c r="BH1975" s="51"/>
      <c r="BI1975" s="65" cm="1">
        <f t="array" ref="BI1975">IFERROR(INDEX(AW1975:BH1975,1,MATCH(2,1/(AW1975:BH1975&lt;&gt;""))),"")</f>
        <v>3</v>
      </c>
      <c r="BJ1975" s="68" cm="1">
        <f t="array" ref="BJ1975">IF(BM1975 = "", "",IFERROR(INDEX(AW1975:BH1975,1,MATCH(2,1/(AW1975:BH1975&lt;&gt;""),1)-1),""))</f>
        <v>1</v>
      </c>
      <c r="BK1975" s="58">
        <f>IF((IF(AW1975&gt;=115%,115%,AW1975) + IF(AX1975&gt;=115%,115%,AX1975) + IF(AY1975&gt;=115%,115%,AY1975) + (IF(AZ1975&gt;=115%,115%,AZ1975) + IF(BA1975&gt;=115%,115%,BA1975) + IF(BB1975&gt;=115%,115%,BB1975) + IF(BC1975&gt;=115%,115%,BC1975) + IF(BD1975&gt;=115%,115%,BD1975) + IF(BE1975&gt;=115%,115%,BE1975) + IF(BF1975&gt;=115%,115%,BF1975) + IF(BG1975&gt;=115%,115%,BG1975) + IF(BH1975&gt;=115%,115%,BH1975)))/_xlfn.XLOOKUP(F1975,Apuração!A:A,Apuração!B:B)&gt;=1.15,1.15,((IF(AZ1975&gt;=115%,115%,AZ1975) + IF(AX1975&gt;=115%,115%,AX1975) + IF(AY1975&gt;=115%,115%,AY1975) + (IF(AW1975&gt;=115%,115%,AW1975) + IF(BA1975&gt;=115%,115%,BA1975) + IF(BB1975&gt;=115%,115%,BB1975) + IF(BC1975&gt;=115%,115%,BC1975) + IF(BD1975&gt;=115%,115%,BD1975) + IF(BE1975&gt;=115%,115%,BE1975) + IF(BF1975&gt;=115%,115%,BF1975) + IF(BG1975&gt;=115%,115%,BG1975) + IF(BH1975&gt;=115%,115%,BH1975)))/_xlfn.XLOOKUP(F1975,Apuração!A:A,Apuração!B:B)))</f>
        <v>0.19545454545454544</v>
      </c>
      <c r="BL1975" s="58" cm="1">
        <f t="array" aca="1" ref="BL1975" ca="1">IF(SUM(IFERROR(IF(INDEX(AW1975:INDEX(AW1975:BH1975, MATCH(2, 1/(AW1975:BH1975&lt;&gt;""), 1)-1), ROW(INDIRECT("1:" &amp; MATCH(2, 1/(AW1975:BH1975&lt;&gt;""), 1)-1))) &gt;= 115%, 115%, INDEX(AW1975:INDEX(AW1975:BH1975, MATCH(2, 1/(AW1975:BH1975&lt;&gt;""), 1)-1), ROW(INDIRECT("1:" &amp; MATCH(2, 1/(AW1975:BH1975&lt;&gt;""), 1)-1)))), 0))/_xlfn.XLOOKUP(F1975,Apuração!A:A,Apuração!B:B)&gt;=1.15,1.15,SUM(IFERROR(IF(INDEX(AW1975:INDEX(AW1975:BH1975, MATCH(2, 1/(AW1975:BH1975&lt;&gt;""), 1)-1), ROW(INDIRECT("1:" &amp; MATCH(2, 1/(AW1975:BH1975&lt;&gt;""), 1)-1))) &gt;= 115%, 115%, INDEX(AW1975:INDEX(AW1975:BH1975, MATCH(2, 1/(AW1975:BH1975&lt;&gt;""), 1)-1), ROW(INDIRECT("1:" &amp; MATCH(2, 1/(AW1975:BH1975&lt;&gt;""), 1)-1)))), 0))/_xlfn.XLOOKUP(F1975,Apuração!A:A,Apuração!B:B))</f>
        <v>9.0909090909090912E-2</v>
      </c>
      <c r="BM1975" s="55" cm="1">
        <f t="array" ref="BM1975">IFERROR(
   INDEX($AW$1:$BH$1,
      _xlfn.AGGREGATE(14, 6, COLUMN($AW$1:$BH$1)/(AW1975:BH1975&lt;&gt;""), 2) - COLUMN($AW$1) + 1
   ),
"")</f>
        <v>46082</v>
      </c>
      <c r="BN1975" s="55" cm="1">
        <f t="array" ref="BN1975">IFERROR(INDEX($AW$1:$BH$1,1,MATCH(2,1/(AW1975:BH1975&lt;&gt;""))),"")</f>
        <v>46113</v>
      </c>
      <c r="BO1975" s="53">
        <f ca="1">IFERROR(_xlfn.XLOOKUP(F1975,Apuração!A:A,Apuração!C:C)/_xlfn.XLOOKUP(F1975,Apuração!A:A,Apuração!B:B),0)</f>
        <v>0.36363636363636365</v>
      </c>
      <c r="BP1975" s="53">
        <f ca="1">IFERROR(_xlfn.XLOOKUP(F1975,Apuração!A:A,Apuração!D:D)/_xlfn.XLOOKUP(F1975,Apuração!A:A,Apuração!B:B),0)</f>
        <v>0.27272727272727271</v>
      </c>
      <c r="BQ1975" s="53">
        <f ca="1">IF(BK1975&gt;=BO1975,0,_xlfn.XLOOKUP(F1975,Apuração!A:A,Apuração!B:B)*(BO1975 + (1/_xlfn.XLOOKUP(F1975,Apuração!A:A,Apuração!B:B)) - BK1975))</f>
        <v>2.8500000000000005</v>
      </c>
      <c r="BR1975" s="85">
        <f t="shared" ca="1" si="2294"/>
        <v>5.7000000000000011</v>
      </c>
      <c r="BS1975" s="53">
        <f ca="1">IFERROR((_xlfn.XLOOKUP(F1975,Apuração!A:A,Apuração!C:C)+1)/_xlfn.XLOOKUP(F1975,Apuração!A:A,Apuração!B:B),0)</f>
        <v>0.45454545454545453</v>
      </c>
    </row>
    <row r="1976" spans="1:71" ht="25.95" hidden="1" customHeight="1" x14ac:dyDescent="0.3">
      <c r="A1976" s="3" t="s">
        <v>33</v>
      </c>
      <c r="B1976" s="4" t="s">
        <v>73</v>
      </c>
      <c r="C1976" s="5" t="s">
        <v>216</v>
      </c>
      <c r="D1976" s="5" t="s">
        <v>218</v>
      </c>
      <c r="E1976" s="4" t="str" cm="1">
        <f t="array" ref="E1976">_xlfn.IFS(
F1976 = "A partir de Abril", "Aguardando Execução na Distribuidora",
A1976 = "CAPACITAÇÃO", "Em execução no Corporativo",
TRUE, "Em Execução na Distribuidora"
)</f>
        <v>Em Execução na Distribuidora</v>
      </c>
      <c r="F1976" s="4" t="str" cm="1">
        <f t="array" ref="F1976">_xlfn.IFS(
AG1976 &lt;&gt; "", "Jan-Dez/26",
AH1976 &lt;&gt; "", "Fev-Dez/26",
AI1976 &lt;&gt; "", "Mar-Dez/26", AJ1976 &lt;&gt; "", "Abr-Dez/26",
TRUE, "A partir de Junho"
)</f>
        <v>Fev-Dez/26</v>
      </c>
      <c r="G1976" s="4" t="s">
        <v>37</v>
      </c>
      <c r="H1976" s="7" t="s">
        <v>54</v>
      </c>
      <c r="I1976" s="8" t="s">
        <v>55</v>
      </c>
      <c r="J1976" s="8" t="str" cm="1">
        <f t="array" aca="1" ref="J1976" ca="1">_xlfn.LET(
  _xlpm.actual_value_month, INDEX(T1976:AE1976, MATCH(DATE(YEAR(TODAY()), MONTH(TODAY()), 1), $T$1:$AE$1, 0)),
  IF(_xlpm.actual_value_month &lt;&gt; "",_xlpm.actual_value_month &amp; " eventos mensais", "")
)</f>
        <v>2 eventos mensais</v>
      </c>
      <c r="K1976" s="14" t="str" cm="1">
        <f t="array" ref="K1976">_xlfn.LET(
    _xlpm.sum_month, SUM(T1976:AE1976),
    IF(_xlpm.sum_month = 0, "", _xlpm.sum_month &amp; "  eventos no ano")
)</f>
        <v>20  eventos no ano</v>
      </c>
      <c r="L1976" s="9" t="s">
        <v>64</v>
      </c>
      <c r="M1976" s="13" t="s">
        <v>74</v>
      </c>
      <c r="N1976" s="5" t="s">
        <v>42</v>
      </c>
      <c r="O1976" s="5" t="s">
        <v>43</v>
      </c>
      <c r="P1976" s="10" t="s">
        <v>44</v>
      </c>
      <c r="Q1976" s="10" t="s">
        <v>75</v>
      </c>
      <c r="R1976" s="11" t="s">
        <v>44</v>
      </c>
      <c r="S1976" s="11" t="s">
        <v>44</v>
      </c>
      <c r="T1976" s="143"/>
      <c r="U1976" s="143">
        <v>1</v>
      </c>
      <c r="V1976" s="143">
        <v>1</v>
      </c>
      <c r="W1976" s="143">
        <v>2</v>
      </c>
      <c r="X1976" s="143">
        <v>2</v>
      </c>
      <c r="Y1976" s="143">
        <v>2</v>
      </c>
      <c r="Z1976" s="143">
        <v>2</v>
      </c>
      <c r="AA1976" s="143">
        <v>2</v>
      </c>
      <c r="AB1976" s="143">
        <v>2</v>
      </c>
      <c r="AC1976" s="143">
        <v>2</v>
      </c>
      <c r="AD1976" s="143">
        <v>2</v>
      </c>
      <c r="AE1976" s="143">
        <v>2</v>
      </c>
      <c r="AG1976" s="71"/>
      <c r="AH1976" s="146">
        <v>1</v>
      </c>
      <c r="AI1976" s="146">
        <v>1</v>
      </c>
      <c r="AJ1976" s="146">
        <v>3</v>
      </c>
      <c r="AK1976" s="71"/>
      <c r="AL1976" s="71"/>
      <c r="AM1976" s="71"/>
      <c r="AN1976" s="71"/>
      <c r="AO1976" s="71"/>
      <c r="AP1976" s="71"/>
      <c r="AQ1976" s="71"/>
      <c r="AR1976" s="71"/>
      <c r="AS1976" s="94">
        <f t="shared" ca="1" si="2287"/>
        <v>6</v>
      </c>
      <c r="AT1976" s="95">
        <f t="shared" si="2288"/>
        <v>4.3</v>
      </c>
      <c r="AU1976" s="97">
        <f t="shared" si="2289"/>
        <v>5</v>
      </c>
      <c r="AW1976" s="51">
        <f t="shared" si="2290"/>
        <v>0</v>
      </c>
      <c r="AX1976" s="51">
        <f t="shared" si="2291"/>
        <v>1</v>
      </c>
      <c r="AY1976" s="51">
        <f t="shared" si="2292"/>
        <v>1</v>
      </c>
      <c r="AZ1976" s="51">
        <f t="shared" si="2293"/>
        <v>1.5</v>
      </c>
      <c r="BA1976" s="51"/>
      <c r="BB1976" s="51"/>
      <c r="BC1976" s="51"/>
      <c r="BD1976" s="51"/>
      <c r="BE1976" s="51"/>
      <c r="BF1976" s="51"/>
      <c r="BG1976" s="51"/>
      <c r="BH1976" s="51"/>
      <c r="BI1976" s="65" cm="1">
        <f t="array" ref="BI1976">IFERROR(INDEX(AW1976:BH1976,1,MATCH(2,1/(AW1976:BH1976&lt;&gt;""))),"")</f>
        <v>1.5</v>
      </c>
      <c r="BJ1976" s="68" cm="1">
        <f t="array" ref="BJ1976">IF(BM1976 = "", "",IFERROR(INDEX(AW1976:BH1976,1,MATCH(2,1/(AW1976:BH1976&lt;&gt;""),1)-1),""))</f>
        <v>1</v>
      </c>
      <c r="BK1976" s="58">
        <f>IF((IF(AW1976&gt;=115%,115%,AW1976) + IF(AX1976&gt;=115%,115%,AX1976) + IF(AY1976&gt;=115%,115%,AY1976) + (IF(AZ1976&gt;=115%,115%,AZ1976) + IF(BA1976&gt;=115%,115%,BA1976) + IF(BB1976&gt;=115%,115%,BB1976) + IF(BC1976&gt;=115%,115%,BC1976) + IF(BD1976&gt;=115%,115%,BD1976) + IF(BE1976&gt;=115%,115%,BE1976) + IF(BF1976&gt;=115%,115%,BF1976) + IF(BG1976&gt;=115%,115%,BG1976) + IF(BH1976&gt;=115%,115%,BH1976)))/_xlfn.XLOOKUP(F1976,Apuração!A:A,Apuração!B:B)&gt;=1.15,1.15,((IF(AZ1976&gt;=115%,115%,AZ1976) + IF(AX1976&gt;=115%,115%,AX1976) + IF(AY1976&gt;=115%,115%,AY1976) + (IF(AW1976&gt;=115%,115%,AW1976) + IF(BA1976&gt;=115%,115%,BA1976) + IF(BB1976&gt;=115%,115%,BB1976) + IF(BC1976&gt;=115%,115%,BC1976) + IF(BD1976&gt;=115%,115%,BD1976) + IF(BE1976&gt;=115%,115%,BE1976) + IF(BF1976&gt;=115%,115%,BF1976) + IF(BG1976&gt;=115%,115%,BG1976) + IF(BH1976&gt;=115%,115%,BH1976)))/_xlfn.XLOOKUP(F1976,Apuração!A:A,Apuração!B:B)))</f>
        <v>0.28636363636363638</v>
      </c>
      <c r="BL1976" s="58" cm="1">
        <f t="array" aca="1" ref="BL1976" ca="1">IF(SUM(IFERROR(IF(INDEX(AW1976:INDEX(AW1976:BH1976, MATCH(2, 1/(AW1976:BH1976&lt;&gt;""), 1)-1), ROW(INDIRECT("1:" &amp; MATCH(2, 1/(AW1976:BH1976&lt;&gt;""), 1)-1))) &gt;= 115%, 115%, INDEX(AW1976:INDEX(AW1976:BH1976, MATCH(2, 1/(AW1976:BH1976&lt;&gt;""), 1)-1), ROW(INDIRECT("1:" &amp; MATCH(2, 1/(AW1976:BH1976&lt;&gt;""), 1)-1)))), 0))/_xlfn.XLOOKUP(F1976,Apuração!A:A,Apuração!B:B)&gt;=1.15,1.15,SUM(IFERROR(IF(INDEX(AW1976:INDEX(AW1976:BH1976, MATCH(2, 1/(AW1976:BH1976&lt;&gt;""), 1)-1), ROW(INDIRECT("1:" &amp; MATCH(2, 1/(AW1976:BH1976&lt;&gt;""), 1)-1))) &gt;= 115%, 115%, INDEX(AW1976:INDEX(AW1976:BH1976, MATCH(2, 1/(AW1976:BH1976&lt;&gt;""), 1)-1), ROW(INDIRECT("1:" &amp; MATCH(2, 1/(AW1976:BH1976&lt;&gt;""), 1)-1)))), 0))/_xlfn.XLOOKUP(F1976,Apuração!A:A,Apuração!B:B))</f>
        <v>0.18181818181818182</v>
      </c>
      <c r="BM1976" s="55" cm="1">
        <f t="array" ref="BM1976">IFERROR(
   INDEX($AW$1:$BH$1,
      _xlfn.AGGREGATE(14, 6, COLUMN($AW$1:$BH$1)/(AW1976:BH1976&lt;&gt;""), 2) - COLUMN($AW$1) + 1
   ),
"")</f>
        <v>46082</v>
      </c>
      <c r="BN1976" s="55" cm="1">
        <f t="array" ref="BN1976">IFERROR(INDEX($AW$1:$BH$1,1,MATCH(2,1/(AW1976:BH1976&lt;&gt;""))),"")</f>
        <v>46113</v>
      </c>
      <c r="BO1976" s="53">
        <f ca="1">IFERROR(_xlfn.XLOOKUP(F1976,Apuração!A:A,Apuração!C:C)/_xlfn.XLOOKUP(F1976,Apuração!A:A,Apuração!B:B),0)</f>
        <v>0.36363636363636365</v>
      </c>
      <c r="BP1976" s="53">
        <f ca="1">IFERROR(_xlfn.XLOOKUP(F1976,Apuração!A:A,Apuração!D:D)/_xlfn.XLOOKUP(F1976,Apuração!A:A,Apuração!B:B),0)</f>
        <v>0.27272727272727271</v>
      </c>
      <c r="BQ1976" s="53">
        <f ca="1">IF(BK1976&gt;=BO1976,0,_xlfn.XLOOKUP(F1976,Apuração!A:A,Apuração!B:B)*(BO1976 + (1/_xlfn.XLOOKUP(F1976,Apuração!A:A,Apuração!B:B)) - BK1976))</f>
        <v>1.8500000000000003</v>
      </c>
      <c r="BR1976" s="85">
        <f t="shared" ca="1" si="2294"/>
        <v>3.7000000000000006</v>
      </c>
      <c r="BS1976" s="53">
        <f ca="1">IFERROR((_xlfn.XLOOKUP(F1976,Apuração!A:A,Apuração!C:C)+1)/_xlfn.XLOOKUP(F1976,Apuração!A:A,Apuração!B:B),0)</f>
        <v>0.45454545454545453</v>
      </c>
    </row>
    <row r="1977" spans="1:71" ht="25.95" hidden="1" customHeight="1" x14ac:dyDescent="0.3">
      <c r="A1977" s="3" t="s">
        <v>33</v>
      </c>
      <c r="B1977" s="4" t="s">
        <v>73</v>
      </c>
      <c r="C1977" s="5" t="s">
        <v>216</v>
      </c>
      <c r="D1977" s="5" t="s">
        <v>219</v>
      </c>
      <c r="E1977" s="4" t="str" cm="1">
        <f t="array" ref="E1977">_xlfn.IFS(
F1977 = "A partir de Abril", "Aguardando Execução na Distribuidora",
A1977 = "CAPACITAÇÃO", "Em execução no Corporativo",
TRUE, "Em Execução na Distribuidora"
)</f>
        <v>Em Execução na Distribuidora</v>
      </c>
      <c r="F1977" s="4" t="str" cm="1">
        <f t="array" ref="F1977">_xlfn.IFS(
AG1977 &lt;&gt; "", "Jan-Dez/26",
AH1977 &lt;&gt; "", "Fev-Dez/26",
AI1977 &lt;&gt; "", "Mar-Dez/26", AJ1977 &lt;&gt; "", "Abr-Dez/26",
TRUE, "A partir de Junho"
)</f>
        <v>Fev-Dez/26</v>
      </c>
      <c r="G1977" s="4" t="s">
        <v>37</v>
      </c>
      <c r="H1977" s="7" t="s">
        <v>54</v>
      </c>
      <c r="I1977" s="8" t="s">
        <v>55</v>
      </c>
      <c r="J1977" s="8" t="str" cm="1">
        <f t="array" aca="1" ref="J1977" ca="1">_xlfn.LET(
  _xlpm.actual_value_month, INDEX(T1977:AE1977, MATCH(DATE(YEAR(TODAY()), MONTH(TODAY()), 1), $T$1:$AE$1, 0)),
  IF(_xlpm.actual_value_month &lt;&gt; "",_xlpm.actual_value_month &amp; " eventos mensais", "")
)</f>
        <v>2 eventos mensais</v>
      </c>
      <c r="K1977" s="14" t="str" cm="1">
        <f t="array" ref="K1977">_xlfn.LET(
    _xlpm.sum_month, SUM(T1977:AE1977),
    IF(_xlpm.sum_month = 0, "", _xlpm.sum_month &amp; "  eventos no ano")
)</f>
        <v>18  eventos no ano</v>
      </c>
      <c r="L1977" s="9" t="s">
        <v>64</v>
      </c>
      <c r="M1977" s="13" t="s">
        <v>74</v>
      </c>
      <c r="N1977" s="5" t="s">
        <v>42</v>
      </c>
      <c r="O1977" s="5" t="s">
        <v>43</v>
      </c>
      <c r="P1977" s="10" t="s">
        <v>44</v>
      </c>
      <c r="Q1977" s="10" t="s">
        <v>75</v>
      </c>
      <c r="R1977" s="11" t="s">
        <v>44</v>
      </c>
      <c r="S1977" s="11" t="s">
        <v>44</v>
      </c>
      <c r="T1977" s="143"/>
      <c r="U1977" s="143"/>
      <c r="V1977" s="143"/>
      <c r="W1977" s="143">
        <v>2</v>
      </c>
      <c r="X1977" s="143">
        <v>2</v>
      </c>
      <c r="Y1977" s="143">
        <v>2</v>
      </c>
      <c r="Z1977" s="143">
        <v>2</v>
      </c>
      <c r="AA1977" s="143">
        <v>2</v>
      </c>
      <c r="AB1977" s="143">
        <v>2</v>
      </c>
      <c r="AC1977" s="143">
        <v>2</v>
      </c>
      <c r="AD1977" s="143">
        <v>2</v>
      </c>
      <c r="AE1977" s="143">
        <v>2</v>
      </c>
      <c r="AG1977" s="71"/>
      <c r="AH1977" s="146">
        <v>0</v>
      </c>
      <c r="AI1977" s="146">
        <v>0</v>
      </c>
      <c r="AJ1977" s="146">
        <v>1</v>
      </c>
      <c r="AK1977" s="71"/>
      <c r="AL1977" s="71"/>
      <c r="AM1977" s="71"/>
      <c r="AN1977" s="71"/>
      <c r="AO1977" s="71"/>
      <c r="AP1977" s="71"/>
      <c r="AQ1977" s="71"/>
      <c r="AR1977" s="71"/>
      <c r="AS1977" s="94">
        <f t="shared" ca="1" si="2287"/>
        <v>4</v>
      </c>
      <c r="AT1977" s="95">
        <f t="shared" si="2288"/>
        <v>1</v>
      </c>
      <c r="AU1977" s="97">
        <f t="shared" si="2289"/>
        <v>1</v>
      </c>
      <c r="AW1977" s="51">
        <f t="shared" si="2290"/>
        <v>0</v>
      </c>
      <c r="AX1977" s="51">
        <f t="shared" si="2291"/>
        <v>0</v>
      </c>
      <c r="AY1977" s="51">
        <f t="shared" si="2292"/>
        <v>0</v>
      </c>
      <c r="AZ1977" s="51">
        <f t="shared" si="2293"/>
        <v>0.5</v>
      </c>
      <c r="BA1977" s="51"/>
      <c r="BB1977" s="51"/>
      <c r="BC1977" s="51"/>
      <c r="BD1977" s="51"/>
      <c r="BE1977" s="51"/>
      <c r="BF1977" s="51"/>
      <c r="BG1977" s="51"/>
      <c r="BH1977" s="51"/>
      <c r="BI1977" s="65" cm="1">
        <f t="array" ref="BI1977">IFERROR(INDEX(AW1977:BH1977,1,MATCH(2,1/(AW1977:BH1977&lt;&gt;""))),"")</f>
        <v>0.5</v>
      </c>
      <c r="BJ1977" s="68" cm="1">
        <f t="array" ref="BJ1977">IF(BM1977 = "", "",IFERROR(INDEX(AW1977:BH1977,1,MATCH(2,1/(AW1977:BH1977&lt;&gt;""),1)-1),""))</f>
        <v>0</v>
      </c>
      <c r="BK1977" s="58">
        <f>IF((IF(AW1977&gt;=115%,115%,AW1977) + IF(AX1977&gt;=115%,115%,AX1977) + IF(AY1977&gt;=115%,115%,AY1977) + (IF(AZ1977&gt;=115%,115%,AZ1977) + IF(BA1977&gt;=115%,115%,BA1977) + IF(BB1977&gt;=115%,115%,BB1977) + IF(BC1977&gt;=115%,115%,BC1977) + IF(BD1977&gt;=115%,115%,BD1977) + IF(BE1977&gt;=115%,115%,BE1977) + IF(BF1977&gt;=115%,115%,BF1977) + IF(BG1977&gt;=115%,115%,BG1977) + IF(BH1977&gt;=115%,115%,BH1977)))/_xlfn.XLOOKUP(F1977,Apuração!A:A,Apuração!B:B)&gt;=1.15,1.15,((IF(AZ1977&gt;=115%,115%,AZ1977) + IF(AX1977&gt;=115%,115%,AX1977) + IF(AY1977&gt;=115%,115%,AY1977) + (IF(AW1977&gt;=115%,115%,AW1977) + IF(BA1977&gt;=115%,115%,BA1977) + IF(BB1977&gt;=115%,115%,BB1977) + IF(BC1977&gt;=115%,115%,BC1977) + IF(BD1977&gt;=115%,115%,BD1977) + IF(BE1977&gt;=115%,115%,BE1977) + IF(BF1977&gt;=115%,115%,BF1977) + IF(BG1977&gt;=115%,115%,BG1977) + IF(BH1977&gt;=115%,115%,BH1977)))/_xlfn.XLOOKUP(F1977,Apuração!A:A,Apuração!B:B)))</f>
        <v>4.5454545454545456E-2</v>
      </c>
      <c r="BL1977" s="58" cm="1">
        <f t="array" aca="1" ref="BL1977" ca="1">IF(SUM(IFERROR(IF(INDEX(AW1977:INDEX(AW1977:BH1977, MATCH(2, 1/(AW1977:BH1977&lt;&gt;""), 1)-1), ROW(INDIRECT("1:" &amp; MATCH(2, 1/(AW1977:BH1977&lt;&gt;""), 1)-1))) &gt;= 115%, 115%, INDEX(AW1977:INDEX(AW1977:BH1977, MATCH(2, 1/(AW1977:BH1977&lt;&gt;""), 1)-1), ROW(INDIRECT("1:" &amp; MATCH(2, 1/(AW1977:BH1977&lt;&gt;""), 1)-1)))), 0))/_xlfn.XLOOKUP(F1977,Apuração!A:A,Apuração!B:B)&gt;=1.15,1.15,SUM(IFERROR(IF(INDEX(AW1977:INDEX(AW1977:BH1977, MATCH(2, 1/(AW1977:BH1977&lt;&gt;""), 1)-1), ROW(INDIRECT("1:" &amp; MATCH(2, 1/(AW1977:BH1977&lt;&gt;""), 1)-1))) &gt;= 115%, 115%, INDEX(AW1977:INDEX(AW1977:BH1977, MATCH(2, 1/(AW1977:BH1977&lt;&gt;""), 1)-1), ROW(INDIRECT("1:" &amp; MATCH(2, 1/(AW1977:BH1977&lt;&gt;""), 1)-1)))), 0))/_xlfn.XLOOKUP(F1977,Apuração!A:A,Apuração!B:B))</f>
        <v>0</v>
      </c>
      <c r="BM1977" s="55" cm="1">
        <f t="array" ref="BM1977">IFERROR(
   INDEX($AW$1:$BH$1,
      _xlfn.AGGREGATE(14, 6, COLUMN($AW$1:$BH$1)/(AW1977:BH1977&lt;&gt;""), 2) - COLUMN($AW$1) + 1
   ),
"")</f>
        <v>46082</v>
      </c>
      <c r="BN1977" s="55" cm="1">
        <f t="array" ref="BN1977">IFERROR(INDEX($AW$1:$BH$1,1,MATCH(2,1/(AW1977:BH1977&lt;&gt;""))),"")</f>
        <v>46113</v>
      </c>
      <c r="BO1977" s="53">
        <f ca="1">IFERROR(_xlfn.XLOOKUP(F1977,Apuração!A:A,Apuração!C:C)/_xlfn.XLOOKUP(F1977,Apuração!A:A,Apuração!B:B),0)</f>
        <v>0.36363636363636365</v>
      </c>
      <c r="BP1977" s="53">
        <f ca="1">IFERROR(_xlfn.XLOOKUP(F1977,Apuração!A:A,Apuração!D:D)/_xlfn.XLOOKUP(F1977,Apuração!A:A,Apuração!B:B),0)</f>
        <v>0.27272727272727271</v>
      </c>
      <c r="BQ1977" s="53">
        <f ca="1">IF(BK1977&gt;=BO1977,0,_xlfn.XLOOKUP(F1977,Apuração!A:A,Apuração!B:B)*(BO1977 + (1/_xlfn.XLOOKUP(F1977,Apuração!A:A,Apuração!B:B)) - BK1977))</f>
        <v>4.5</v>
      </c>
      <c r="BR1977" s="85">
        <f t="shared" ca="1" si="2294"/>
        <v>9</v>
      </c>
      <c r="BS1977" s="53">
        <f ca="1">IFERROR((_xlfn.XLOOKUP(F1977,Apuração!A:A,Apuração!C:C)+1)/_xlfn.XLOOKUP(F1977,Apuração!A:A,Apuração!B:B),0)</f>
        <v>0.45454545454545453</v>
      </c>
    </row>
    <row r="1978" spans="1:71" ht="25.95" hidden="1" customHeight="1" x14ac:dyDescent="0.3">
      <c r="A1978" s="39" t="s">
        <v>33</v>
      </c>
      <c r="B1978" s="4" t="s">
        <v>73</v>
      </c>
      <c r="C1978" s="5" t="s">
        <v>216</v>
      </c>
      <c r="D1978" s="5" t="s">
        <v>36</v>
      </c>
      <c r="E1978" s="4" t="str" cm="1">
        <f t="array" ref="E1978">_xlfn.IFS(
F1978 = "A partir de Abril", "Aguardando Execução na Distribuidora",
A1978 = "CAPACITAÇÃO", "Em execução no Corporativo",
TRUE, "Em Execução na Distribuidora"
)</f>
        <v>Em Execução na Distribuidora</v>
      </c>
      <c r="F1978" s="4" t="str" cm="1">
        <f t="array" ref="F1978">_xlfn.IFS(
AG1978 &lt;&gt; "", "Jan-Dez/26",
AH1978 &lt;&gt; "", "Fev-Dez/26",
AI1978 &lt;&gt; "", "Mar-Dez/26", AJ1978 &lt;&gt; "", "Abr-Dez/26",
TRUE, "A partir de Junho"
)</f>
        <v>Fev-Dez/26</v>
      </c>
      <c r="G1978" s="4" t="s">
        <v>37</v>
      </c>
      <c r="H1978" s="7" t="s">
        <v>54</v>
      </c>
      <c r="I1978" s="9" t="s">
        <v>76</v>
      </c>
      <c r="J1978" s="8" t="str" cm="1">
        <f t="array" aca="1" ref="J1978" ca="1">_xlfn.LET(
  _xlpm.actual_value_month, INDEX(T1978:AE1978, MATCH(DATE(YEAR(TODAY()), MONTH(TODAY()), 1), $T$1:$AE$1, 0)),
  IF(_xlpm.actual_value_month &lt;&gt; "",_xlpm.actual_value_month &amp; " ações mensais", "")
)</f>
        <v/>
      </c>
      <c r="K1978" s="14" t="str" cm="1">
        <f t="array" ref="K1978">_xlfn.LET(
    _xlpm.sum_month, SUM(T1978:AE1978),
    IF(_xlpm.sum_month = 0, "", _xlpm.sum_month &amp; " pessoas impactadas no ano.")
)</f>
        <v/>
      </c>
      <c r="L1978" s="9" t="s">
        <v>76</v>
      </c>
      <c r="M1978" s="13">
        <v>1</v>
      </c>
      <c r="N1978" s="5" t="s">
        <v>51</v>
      </c>
      <c r="O1978" s="5" t="s">
        <v>52</v>
      </c>
      <c r="P1978" s="10" t="s">
        <v>44</v>
      </c>
      <c r="Q1978" s="10" t="s">
        <v>44</v>
      </c>
      <c r="R1978" s="11" t="s">
        <v>44</v>
      </c>
      <c r="S1978" s="11" t="s">
        <v>44</v>
      </c>
      <c r="T1978" s="22"/>
      <c r="U1978" s="22"/>
      <c r="V1978" s="22"/>
      <c r="W1978" s="22"/>
      <c r="X1978" s="22"/>
      <c r="Y1978" s="22"/>
      <c r="Z1978" s="22"/>
      <c r="AA1978" s="22"/>
      <c r="AB1978" s="22"/>
      <c r="AC1978" s="22"/>
      <c r="AD1978" s="22"/>
      <c r="AE1978" s="22"/>
      <c r="AG1978" s="71"/>
      <c r="AH1978" s="71">
        <v>52</v>
      </c>
      <c r="AI1978" s="71">
        <v>229</v>
      </c>
      <c r="AJ1978" s="71">
        <v>682</v>
      </c>
      <c r="AK1978" s="71"/>
      <c r="AL1978" s="71"/>
      <c r="AM1978" s="71"/>
      <c r="AN1978" s="71"/>
      <c r="AO1978" s="71"/>
      <c r="AP1978" s="71"/>
      <c r="AQ1978" s="71"/>
      <c r="AR1978" s="71"/>
      <c r="AS1978" s="94">
        <f ca="1">IF(MONTH(TODAY())=3,SUM(T1978:U1978),IF(MONTH(TODAY())=4,SUM(T1978:V1978),IF(MONTH(TODAY())=5,SUM(T1978:W1978),IF(MONTH(TODAY())=6,SUM(T1978:X1978),IF(MONTH(TODAY())=7,SUM(T1978:Y1978),IF(MONTH(TODAY())=8,SUM(T1978:Z1978),IF(MONTH(TODAY())=9,SUM(T1978:AA1978),IF(MONTH(TODAY())=10,SUM(T1978:AB1978),IF(MONTH(TODAY())=11,SUM(T1978:AC1978),IF(MONTH(TODAY())=12,SUM(T1978:AD1978),IF(MONTH(TODAY())=1,SUM(T1978:AE1978),T1978)))))))))))</f>
        <v>0</v>
      </c>
      <c r="AT1978" s="95">
        <f>SUM(AG1978:AR1978)</f>
        <v>963</v>
      </c>
      <c r="AU1978" s="97">
        <f>SUM(AG1978:AR1978)</f>
        <v>963</v>
      </c>
      <c r="AW1978" s="83">
        <f>AG1978</f>
        <v>0</v>
      </c>
      <c r="AX1978" s="83">
        <f>AH1978</f>
        <v>52</v>
      </c>
      <c r="AY1978" s="83">
        <f>AI1978</f>
        <v>229</v>
      </c>
      <c r="AZ1978" s="83">
        <f>AJ1978</f>
        <v>682</v>
      </c>
      <c r="BA1978" s="52"/>
      <c r="BB1978" s="52"/>
      <c r="BC1978" s="52"/>
      <c r="BD1978" s="52"/>
      <c r="BE1978" s="52"/>
      <c r="BF1978" s="52"/>
      <c r="BG1978" s="52"/>
      <c r="BH1978" s="52"/>
      <c r="BI1978" s="68" cm="1">
        <f t="array" ref="BI1978">IFERROR(INDEX(AW1978:BH1978,1,MATCH(2,1/(AW1978:BH1978&lt;&gt;""))),"")</f>
        <v>682</v>
      </c>
      <c r="BJ1978" s="68" cm="1">
        <f t="array" ref="BJ1978">IF(BM1978 = "", "",IFERROR(INDEX(AW1978:BH1978,1,MATCH(2,1/(AW1978:BH1978&lt;&gt;""),1)-1),""))</f>
        <v>229</v>
      </c>
      <c r="BK1978" s="59">
        <f>SUM(AW1978:BH1978)</f>
        <v>963</v>
      </c>
      <c r="BL1978" s="59" cm="1">
        <f t="array" ref="BL1978">IFERROR(SUM(AW1978:INDEX(AW1978:BH1978, MATCH(2, 1/(AW1978:BH1978&lt;&gt;""), 1) - 1))/_xlfn.XLOOKUP(F1978,Apuração!A:A,Apuração!B:B),0)</f>
        <v>25.545454545454547</v>
      </c>
      <c r="BM1978" s="55" cm="1">
        <f t="array" ref="BM1978">IFERROR(
   INDEX($AW$1:$BH$1,
      _xlfn.AGGREGATE(14, 6, COLUMN($AW$1:$BH$1)/(AW1978:BH1978&lt;&gt;""), 2) - COLUMN($AW$1) + 1
   ),
"")</f>
        <v>46082</v>
      </c>
      <c r="BN1978" s="55" cm="1">
        <f t="array" ref="BN1978">IFERROR(INDEX($AW$1:$BH$1,1,MATCH(2,1/(AW1978:BH1978&lt;&gt;""))),"")</f>
        <v>46113</v>
      </c>
      <c r="BO1978" s="53">
        <f ca="1">IFERROR(_xlfn.XLOOKUP(F1978,Apuração!A:A,Apuração!C:C)/_xlfn.XLOOKUP(F1978,Apuração!A:A,Apuração!B:B),0)</f>
        <v>0.36363636363636365</v>
      </c>
      <c r="BP1978" s="53">
        <f ca="1">IFERROR(_xlfn.XLOOKUP(F1978,Apuração!A:A,Apuração!D:D)/_xlfn.XLOOKUP(F1978,Apuração!A:A,Apuração!B:B),0)</f>
        <v>0.27272727272727271</v>
      </c>
      <c r="BQ1978" s="53">
        <f ca="1">IF(BK1978&gt;=BO1978,0,_xlfn.XLOOKUP(F1978,Apuração!A:A,Apuração!B:B)*(BO1978 + (1/_xlfn.XLOOKUP(F1978,Apuração!A:A,Apuração!B:B)) - BK1978))</f>
        <v>0</v>
      </c>
      <c r="BR1978" s="85">
        <f ca="1">IF(BQ1978=0,0,BQ1978*Z1978)</f>
        <v>0</v>
      </c>
      <c r="BS1978" s="53">
        <f ca="1">IFERROR((_xlfn.XLOOKUP(F1978,Apuração!A:A,Apuração!C:C)+1)/_xlfn.XLOOKUP(F1978,Apuração!A:A,Apuração!B:B),0)</f>
        <v>0.45454545454545453</v>
      </c>
    </row>
    <row r="1979" spans="1:71" ht="25.95" hidden="1" customHeight="1" x14ac:dyDescent="0.3">
      <c r="A1979" s="39" t="s">
        <v>33</v>
      </c>
      <c r="B1979" s="4" t="s">
        <v>73</v>
      </c>
      <c r="C1979" s="5" t="s">
        <v>216</v>
      </c>
      <c r="D1979" s="5" t="s">
        <v>217</v>
      </c>
      <c r="E1979" s="4" t="str" cm="1">
        <f t="array" ref="E1979">_xlfn.IFS(
F1979 = "A partir de Abril", "Aguardando Execução na Distribuidora",
A1979 = "CAPACITAÇÃO", "Em execução no Corporativo",
TRUE, "Em Execução na Distribuidora"
)</f>
        <v>Em Execução na Distribuidora</v>
      </c>
      <c r="F1979" s="4" t="str" cm="1">
        <f t="array" ref="F1979">_xlfn.IFS(
AG1979 &lt;&gt; "", "Jan-Dez/26",
AH1979 &lt;&gt; "", "Fev-Dez/26",
AI1979 &lt;&gt; "", "Mar-Dez/26", AJ1979 &lt;&gt; "", "Abr-Dez/26",
TRUE, "A partir de Junho"
)</f>
        <v>Fev-Dez/26</v>
      </c>
      <c r="G1979" s="4" t="s">
        <v>37</v>
      </c>
      <c r="H1979" s="7" t="s">
        <v>54</v>
      </c>
      <c r="I1979" s="9" t="s">
        <v>76</v>
      </c>
      <c r="J1979" s="8" t="str" cm="1">
        <f t="array" aca="1" ref="J1979" ca="1">_xlfn.LET(
  _xlpm.actual_value_month, INDEX(T1979:AE1979, MATCH(DATE(YEAR(TODAY()), MONTH(TODAY()), 1), $T$1:$AE$1, 0)),
  IF(_xlpm.actual_value_month &lt;&gt; "",_xlpm.actual_value_month &amp; " ações mensais", "")
)</f>
        <v/>
      </c>
      <c r="K1979" s="14" t="str" cm="1">
        <f t="array" ref="K1979">_xlfn.LET(
    _xlpm.sum_month, SUM(T1979:AE1979),
    IF(_xlpm.sum_month = 0, "", _xlpm.sum_month &amp; " pessoas impactadas no ano.")
)</f>
        <v/>
      </c>
      <c r="L1979" s="9" t="s">
        <v>76</v>
      </c>
      <c r="M1979" s="13">
        <v>1</v>
      </c>
      <c r="N1979" s="5" t="s">
        <v>51</v>
      </c>
      <c r="O1979" s="5" t="s">
        <v>52</v>
      </c>
      <c r="P1979" s="10" t="s">
        <v>44</v>
      </c>
      <c r="Q1979" s="10" t="s">
        <v>44</v>
      </c>
      <c r="R1979" s="11" t="s">
        <v>44</v>
      </c>
      <c r="S1979" s="11" t="s">
        <v>44</v>
      </c>
      <c r="T1979" s="22"/>
      <c r="U1979" s="22"/>
      <c r="V1979" s="22"/>
      <c r="W1979" s="22"/>
      <c r="X1979" s="22"/>
      <c r="Y1979" s="22"/>
      <c r="Z1979" s="22"/>
      <c r="AA1979" s="22"/>
      <c r="AB1979" s="22"/>
      <c r="AC1979" s="22"/>
      <c r="AD1979" s="22"/>
      <c r="AE1979" s="22"/>
      <c r="AG1979" s="82"/>
      <c r="AH1979" s="145">
        <v>0</v>
      </c>
      <c r="AI1979" s="149">
        <v>0</v>
      </c>
      <c r="AJ1979" s="149">
        <v>141</v>
      </c>
      <c r="AK1979" s="71"/>
      <c r="AL1979" s="71"/>
      <c r="AM1979" s="71"/>
      <c r="AN1979" s="71"/>
      <c r="AO1979" s="71"/>
      <c r="AP1979" s="71"/>
      <c r="AQ1979" s="71"/>
      <c r="AR1979" s="71"/>
      <c r="AS1979" s="94">
        <f t="shared" ref="AS1979:AS1982" ca="1" si="2295">IF(MONTH(TODAY())=3,SUM(T1979:U1979),IF(MONTH(TODAY())=4,SUM(T1979:V1979),IF(MONTH(TODAY())=5,SUM(T1979:W1979),IF(MONTH(TODAY())=6,SUM(T1979:X1979),IF(MONTH(TODAY())=7,SUM(T1979:Y1979),IF(MONTH(TODAY())=8,SUM(T1979:Z1979),IF(MONTH(TODAY())=9,SUM(T1979:AA1979),IF(MONTH(TODAY())=10,SUM(T1979:AB1979),IF(MONTH(TODAY())=11,SUM(T1979:AC1979),IF(MONTH(TODAY())=12,SUM(T1979:AD1979),IF(MONTH(TODAY())=1,SUM(T1979:AE1979),T1979)))))))))))</f>
        <v>0</v>
      </c>
      <c r="AT1979" s="95">
        <f t="shared" ref="AT1979:AT1982" si="2296">SUM(AG1979:AR1979)</f>
        <v>141</v>
      </c>
      <c r="AU1979" s="97">
        <f t="shared" ref="AU1979:AU1982" si="2297">SUM(AG1979:AR1979)</f>
        <v>141</v>
      </c>
      <c r="AW1979" s="83">
        <f t="shared" ref="AW1979:AW1982" si="2298">AG1979</f>
        <v>0</v>
      </c>
      <c r="AX1979" s="83">
        <f t="shared" ref="AX1979:AX1982" si="2299">AH1979</f>
        <v>0</v>
      </c>
      <c r="AY1979" s="83">
        <f t="shared" ref="AY1979:AY1982" si="2300">AI1979</f>
        <v>0</v>
      </c>
      <c r="AZ1979" s="83">
        <f t="shared" ref="AZ1979:AZ1982" si="2301">AJ1979</f>
        <v>141</v>
      </c>
      <c r="BA1979" s="52"/>
      <c r="BB1979" s="52"/>
      <c r="BC1979" s="52"/>
      <c r="BD1979" s="52"/>
      <c r="BE1979" s="52"/>
      <c r="BF1979" s="52"/>
      <c r="BG1979" s="52"/>
      <c r="BH1979" s="52"/>
      <c r="BI1979" s="68" cm="1">
        <f t="array" ref="BI1979">IFERROR(INDEX(AW1979:BH1979,1,MATCH(2,1/(AW1979:BH1979&lt;&gt;""))),"")</f>
        <v>141</v>
      </c>
      <c r="BJ1979" s="68" cm="1">
        <f t="array" ref="BJ1979">IF(BM1979 = "", "",IFERROR(INDEX(AW1979:BH1979,1,MATCH(2,1/(AW1979:BH1979&lt;&gt;""),1)-1),""))</f>
        <v>0</v>
      </c>
      <c r="BK1979" s="59">
        <f t="shared" ref="BK1979:BK1982" si="2302">SUM(AW1979:BH1979)</f>
        <v>141</v>
      </c>
      <c r="BL1979" s="59" cm="1">
        <f t="array" ref="BL1979">IFERROR(SUM(AW1979:INDEX(AW1979:BH1979, MATCH(2, 1/(AW1979:BH1979&lt;&gt;""), 1) - 1))/_xlfn.XLOOKUP(F1979,Apuração!A:A,Apuração!B:B),0)</f>
        <v>0</v>
      </c>
      <c r="BM1979" s="55" cm="1">
        <f t="array" ref="BM1979">IFERROR(
   INDEX($AW$1:$BH$1,
      _xlfn.AGGREGATE(14, 6, COLUMN($AW$1:$BH$1)/(AW1979:BH1979&lt;&gt;""), 2) - COLUMN($AW$1) + 1
   ),
"")</f>
        <v>46082</v>
      </c>
      <c r="BN1979" s="55" cm="1">
        <f t="array" ref="BN1979">IFERROR(INDEX($AW$1:$BH$1,1,MATCH(2,1/(AW1979:BH1979&lt;&gt;""))),"")</f>
        <v>46113</v>
      </c>
      <c r="BO1979" s="53">
        <f ca="1">IFERROR(_xlfn.XLOOKUP(F1979,Apuração!A:A,Apuração!C:C)/_xlfn.XLOOKUP(F1979,Apuração!A:A,Apuração!B:B),0)</f>
        <v>0.36363636363636365</v>
      </c>
      <c r="BP1979" s="53">
        <f ca="1">IFERROR(_xlfn.XLOOKUP(F1979,Apuração!A:A,Apuração!D:D)/_xlfn.XLOOKUP(F1979,Apuração!A:A,Apuração!B:B),0)</f>
        <v>0.27272727272727271</v>
      </c>
      <c r="BQ1979" s="53">
        <f ca="1">IF(BK1979&gt;=BO1979,0,_xlfn.XLOOKUP(F1979,Apuração!A:A,Apuração!B:B)*(BO1979 + (1/_xlfn.XLOOKUP(F1979,Apuração!A:A,Apuração!B:B)) - BK1979))</f>
        <v>0</v>
      </c>
      <c r="BR1979" s="85">
        <f t="shared" ref="BR1979:BR1982" ca="1" si="2303">IF(BQ1979=0,0,BQ1979*Z1979)</f>
        <v>0</v>
      </c>
      <c r="BS1979" s="53">
        <f ca="1">IFERROR((_xlfn.XLOOKUP(F1979,Apuração!A:A,Apuração!C:C)+1)/_xlfn.XLOOKUP(F1979,Apuração!A:A,Apuração!B:B),0)</f>
        <v>0.45454545454545453</v>
      </c>
    </row>
    <row r="1980" spans="1:71" ht="25.95" hidden="1" customHeight="1" x14ac:dyDescent="0.3">
      <c r="A1980" s="39" t="s">
        <v>33</v>
      </c>
      <c r="B1980" s="4" t="s">
        <v>73</v>
      </c>
      <c r="C1980" s="5" t="s">
        <v>216</v>
      </c>
      <c r="D1980" s="5" t="s">
        <v>103</v>
      </c>
      <c r="E1980" s="4" t="str" cm="1">
        <f t="array" ref="E1980">_xlfn.IFS(
F1980 = "A partir de Abril", "Aguardando Execução na Distribuidora",
A1980 = "CAPACITAÇÃO", "Em execução no Corporativo",
TRUE, "Em Execução na Distribuidora"
)</f>
        <v>Em Execução na Distribuidora</v>
      </c>
      <c r="F1980" s="4" t="str" cm="1">
        <f t="array" ref="F1980">_xlfn.IFS(
AG1980 &lt;&gt; "", "Jan-Dez/26",
AH1980 &lt;&gt; "", "Fev-Dez/26",
AI1980 &lt;&gt; "", "Mar-Dez/26", AJ1980 &lt;&gt; "", "Abr-Dez/26",
TRUE, "A partir de Junho"
)</f>
        <v>Fev-Dez/26</v>
      </c>
      <c r="G1980" s="4" t="s">
        <v>37</v>
      </c>
      <c r="H1980" s="7" t="s">
        <v>54</v>
      </c>
      <c r="I1980" s="9" t="s">
        <v>76</v>
      </c>
      <c r="J1980" s="8" t="str" cm="1">
        <f t="array" aca="1" ref="J1980" ca="1">_xlfn.LET(
  _xlpm.actual_value_month, INDEX(T1980:AE1980, MATCH(DATE(YEAR(TODAY()), MONTH(TODAY()), 1), $T$1:$AE$1, 0)),
  IF(_xlpm.actual_value_month &lt;&gt; "",_xlpm.actual_value_month &amp; " ações mensais", "")
)</f>
        <v/>
      </c>
      <c r="K1980" s="14" t="str" cm="1">
        <f t="array" ref="K1980">_xlfn.LET(
    _xlpm.sum_month, SUM(T1980:AE1980),
    IF(_xlpm.sum_month = 0, "", _xlpm.sum_month &amp; " pessoas impactadas no ano.")
)</f>
        <v/>
      </c>
      <c r="L1980" s="9" t="s">
        <v>76</v>
      </c>
      <c r="M1980" s="13">
        <v>1</v>
      </c>
      <c r="N1980" s="5" t="s">
        <v>51</v>
      </c>
      <c r="O1980" s="5" t="s">
        <v>52</v>
      </c>
      <c r="P1980" s="10" t="s">
        <v>44</v>
      </c>
      <c r="Q1980" s="10" t="s">
        <v>44</v>
      </c>
      <c r="R1980" s="11" t="s">
        <v>44</v>
      </c>
      <c r="S1980" s="11" t="s">
        <v>44</v>
      </c>
      <c r="T1980" s="22"/>
      <c r="U1980" s="22"/>
      <c r="V1980" s="22"/>
      <c r="W1980" s="22"/>
      <c r="X1980" s="22"/>
      <c r="Y1980" s="22"/>
      <c r="Z1980" s="22"/>
      <c r="AA1980" s="22"/>
      <c r="AB1980" s="22"/>
      <c r="AC1980" s="22"/>
      <c r="AD1980" s="22"/>
      <c r="AE1980" s="22"/>
      <c r="AG1980" s="82"/>
      <c r="AH1980" s="146">
        <v>0</v>
      </c>
      <c r="AI1980" s="150">
        <v>162</v>
      </c>
      <c r="AJ1980" s="150">
        <v>242</v>
      </c>
      <c r="AK1980" s="71"/>
      <c r="AL1980" s="71"/>
      <c r="AM1980" s="71"/>
      <c r="AN1980" s="71"/>
      <c r="AO1980" s="71"/>
      <c r="AP1980" s="71"/>
      <c r="AQ1980" s="71"/>
      <c r="AR1980" s="71"/>
      <c r="AS1980" s="94">
        <f t="shared" ca="1" si="2295"/>
        <v>0</v>
      </c>
      <c r="AT1980" s="95">
        <f t="shared" si="2296"/>
        <v>404</v>
      </c>
      <c r="AU1980" s="97">
        <f t="shared" si="2297"/>
        <v>404</v>
      </c>
      <c r="AW1980" s="83">
        <f t="shared" si="2298"/>
        <v>0</v>
      </c>
      <c r="AX1980" s="83">
        <f t="shared" si="2299"/>
        <v>0</v>
      </c>
      <c r="AY1980" s="83">
        <f t="shared" si="2300"/>
        <v>162</v>
      </c>
      <c r="AZ1980" s="83">
        <f t="shared" si="2301"/>
        <v>242</v>
      </c>
      <c r="BA1980" s="52"/>
      <c r="BB1980" s="52"/>
      <c r="BC1980" s="52"/>
      <c r="BD1980" s="52"/>
      <c r="BE1980" s="52"/>
      <c r="BF1980" s="52"/>
      <c r="BG1980" s="52"/>
      <c r="BH1980" s="52"/>
      <c r="BI1980" s="68" cm="1">
        <f t="array" ref="BI1980">IFERROR(INDEX(AW1980:BH1980,1,MATCH(2,1/(AW1980:BH1980&lt;&gt;""))),"")</f>
        <v>242</v>
      </c>
      <c r="BJ1980" s="68" cm="1">
        <f t="array" ref="BJ1980">IF(BM1980 = "", "",IFERROR(INDEX(AW1980:BH1980,1,MATCH(2,1/(AW1980:BH1980&lt;&gt;""),1)-1),""))</f>
        <v>162</v>
      </c>
      <c r="BK1980" s="59">
        <f t="shared" si="2302"/>
        <v>404</v>
      </c>
      <c r="BL1980" s="59" cm="1">
        <f t="array" ref="BL1980">IFERROR(SUM(AW1980:INDEX(AW1980:BH1980, MATCH(2, 1/(AW1980:BH1980&lt;&gt;""), 1) - 1))/_xlfn.XLOOKUP(F1980,Apuração!A:A,Apuração!B:B),0)</f>
        <v>14.727272727272727</v>
      </c>
      <c r="BM1980" s="55" cm="1">
        <f t="array" ref="BM1980">IFERROR(
   INDEX($AW$1:$BH$1,
      _xlfn.AGGREGATE(14, 6, COLUMN($AW$1:$BH$1)/(AW1980:BH1980&lt;&gt;""), 2) - COLUMN($AW$1) + 1
   ),
"")</f>
        <v>46082</v>
      </c>
      <c r="BN1980" s="55" cm="1">
        <f t="array" ref="BN1980">IFERROR(INDEX($AW$1:$BH$1,1,MATCH(2,1/(AW1980:BH1980&lt;&gt;""))),"")</f>
        <v>46113</v>
      </c>
      <c r="BO1980" s="53">
        <f ca="1">IFERROR(_xlfn.XLOOKUP(F1980,Apuração!A:A,Apuração!C:C)/_xlfn.XLOOKUP(F1980,Apuração!A:A,Apuração!B:B),0)</f>
        <v>0.36363636363636365</v>
      </c>
      <c r="BP1980" s="53">
        <f ca="1">IFERROR(_xlfn.XLOOKUP(F1980,Apuração!A:A,Apuração!D:D)/_xlfn.XLOOKUP(F1980,Apuração!A:A,Apuração!B:B),0)</f>
        <v>0.27272727272727271</v>
      </c>
      <c r="BQ1980" s="53">
        <f ca="1">IF(BK1980&gt;=BO1980,0,_xlfn.XLOOKUP(F1980,Apuração!A:A,Apuração!B:B)*(BO1980 + (1/_xlfn.XLOOKUP(F1980,Apuração!A:A,Apuração!B:B)) - BK1980))</f>
        <v>0</v>
      </c>
      <c r="BR1980" s="85">
        <f t="shared" ca="1" si="2303"/>
        <v>0</v>
      </c>
      <c r="BS1980" s="53">
        <f ca="1">IFERROR((_xlfn.XLOOKUP(F1980,Apuração!A:A,Apuração!C:C)+1)/_xlfn.XLOOKUP(F1980,Apuração!A:A,Apuração!B:B),0)</f>
        <v>0.45454545454545453</v>
      </c>
    </row>
    <row r="1981" spans="1:71" ht="25.95" hidden="1" customHeight="1" x14ac:dyDescent="0.3">
      <c r="A1981" s="39" t="s">
        <v>33</v>
      </c>
      <c r="B1981" s="4" t="s">
        <v>73</v>
      </c>
      <c r="C1981" s="5" t="s">
        <v>216</v>
      </c>
      <c r="D1981" s="5" t="s">
        <v>218</v>
      </c>
      <c r="E1981" s="4" t="str" cm="1">
        <f t="array" ref="E1981">_xlfn.IFS(
F1981 = "A partir de Abril", "Aguardando Execução na Distribuidora",
A1981 = "CAPACITAÇÃO", "Em execução no Corporativo",
TRUE, "Em Execução na Distribuidora"
)</f>
        <v>Em Execução na Distribuidora</v>
      </c>
      <c r="F1981" s="4" t="str" cm="1">
        <f t="array" ref="F1981">_xlfn.IFS(
AG1981 &lt;&gt; "", "Jan-Dez/26",
AH1981 &lt;&gt; "", "Fev-Dez/26",
AI1981 &lt;&gt; "", "Mar-Dez/26", AJ1981 &lt;&gt; "", "Abr-Dez/26",
TRUE, "A partir de Junho"
)</f>
        <v>Fev-Dez/26</v>
      </c>
      <c r="G1981" s="4" t="s">
        <v>37</v>
      </c>
      <c r="H1981" s="7" t="s">
        <v>54</v>
      </c>
      <c r="I1981" s="9" t="s">
        <v>76</v>
      </c>
      <c r="J1981" s="8" t="str" cm="1">
        <f t="array" aca="1" ref="J1981" ca="1">_xlfn.LET(
  _xlpm.actual_value_month, INDEX(T1981:AE1981, MATCH(DATE(YEAR(TODAY()), MONTH(TODAY()), 1), $T$1:$AE$1, 0)),
  IF(_xlpm.actual_value_month &lt;&gt; "",_xlpm.actual_value_month &amp; " ações mensais", "")
)</f>
        <v/>
      </c>
      <c r="K1981" s="14" t="str" cm="1">
        <f t="array" ref="K1981">_xlfn.LET(
    _xlpm.sum_month, SUM(T1981:AE1981),
    IF(_xlpm.sum_month = 0, "", _xlpm.sum_month &amp; " pessoas impactadas no ano.")
)</f>
        <v/>
      </c>
      <c r="L1981" s="9" t="s">
        <v>76</v>
      </c>
      <c r="M1981" s="13">
        <v>1</v>
      </c>
      <c r="N1981" s="5" t="s">
        <v>51</v>
      </c>
      <c r="O1981" s="5" t="s">
        <v>52</v>
      </c>
      <c r="P1981" s="10" t="s">
        <v>44</v>
      </c>
      <c r="Q1981" s="10" t="s">
        <v>44</v>
      </c>
      <c r="R1981" s="11" t="s">
        <v>44</v>
      </c>
      <c r="S1981" s="11" t="s">
        <v>44</v>
      </c>
      <c r="T1981" s="22"/>
      <c r="U1981" s="22"/>
      <c r="V1981" s="22"/>
      <c r="W1981" s="22"/>
      <c r="X1981" s="22"/>
      <c r="Y1981" s="22"/>
      <c r="Z1981" s="22"/>
      <c r="AA1981" s="22"/>
      <c r="AB1981" s="22"/>
      <c r="AC1981" s="22"/>
      <c r="AD1981" s="22"/>
      <c r="AE1981" s="22"/>
      <c r="AG1981" s="82"/>
      <c r="AH1981" s="146">
        <v>52</v>
      </c>
      <c r="AI1981" s="150">
        <v>67</v>
      </c>
      <c r="AJ1981" s="150">
        <v>156</v>
      </c>
      <c r="AK1981" s="71"/>
      <c r="AL1981" s="71"/>
      <c r="AM1981" s="71"/>
      <c r="AN1981" s="71"/>
      <c r="AO1981" s="71"/>
      <c r="AP1981" s="71"/>
      <c r="AQ1981" s="71"/>
      <c r="AR1981" s="71"/>
      <c r="AS1981" s="94">
        <f t="shared" ca="1" si="2295"/>
        <v>0</v>
      </c>
      <c r="AT1981" s="95">
        <f t="shared" si="2296"/>
        <v>275</v>
      </c>
      <c r="AU1981" s="97">
        <f t="shared" si="2297"/>
        <v>275</v>
      </c>
      <c r="AW1981" s="83">
        <f t="shared" si="2298"/>
        <v>0</v>
      </c>
      <c r="AX1981" s="83">
        <f t="shared" si="2299"/>
        <v>52</v>
      </c>
      <c r="AY1981" s="83">
        <f t="shared" si="2300"/>
        <v>67</v>
      </c>
      <c r="AZ1981" s="83">
        <f t="shared" si="2301"/>
        <v>156</v>
      </c>
      <c r="BA1981" s="52"/>
      <c r="BB1981" s="52"/>
      <c r="BC1981" s="52"/>
      <c r="BD1981" s="52"/>
      <c r="BE1981" s="52"/>
      <c r="BF1981" s="52"/>
      <c r="BG1981" s="52"/>
      <c r="BH1981" s="52"/>
      <c r="BI1981" s="68" cm="1">
        <f t="array" ref="BI1981">IFERROR(INDEX(AW1981:BH1981,1,MATCH(2,1/(AW1981:BH1981&lt;&gt;""))),"")</f>
        <v>156</v>
      </c>
      <c r="BJ1981" s="68" cm="1">
        <f t="array" ref="BJ1981">IF(BM1981 = "", "",IFERROR(INDEX(AW1981:BH1981,1,MATCH(2,1/(AW1981:BH1981&lt;&gt;""),1)-1),""))</f>
        <v>67</v>
      </c>
      <c r="BK1981" s="59">
        <f t="shared" si="2302"/>
        <v>275</v>
      </c>
      <c r="BL1981" s="59" cm="1">
        <f t="array" ref="BL1981">IFERROR(SUM(AW1981:INDEX(AW1981:BH1981, MATCH(2, 1/(AW1981:BH1981&lt;&gt;""), 1) - 1))/_xlfn.XLOOKUP(F1981,Apuração!A:A,Apuração!B:B),0)</f>
        <v>10.818181818181818</v>
      </c>
      <c r="BM1981" s="55" cm="1">
        <f t="array" ref="BM1981">IFERROR(
   INDEX($AW$1:$BH$1,
      _xlfn.AGGREGATE(14, 6, COLUMN($AW$1:$BH$1)/(AW1981:BH1981&lt;&gt;""), 2) - COLUMN($AW$1) + 1
   ),
"")</f>
        <v>46082</v>
      </c>
      <c r="BN1981" s="55" cm="1">
        <f t="array" ref="BN1981">IFERROR(INDEX($AW$1:$BH$1,1,MATCH(2,1/(AW1981:BH1981&lt;&gt;""))),"")</f>
        <v>46113</v>
      </c>
      <c r="BO1981" s="53">
        <f ca="1">IFERROR(_xlfn.XLOOKUP(F1981,Apuração!A:A,Apuração!C:C)/_xlfn.XLOOKUP(F1981,Apuração!A:A,Apuração!B:B),0)</f>
        <v>0.36363636363636365</v>
      </c>
      <c r="BP1981" s="53">
        <f ca="1">IFERROR(_xlfn.XLOOKUP(F1981,Apuração!A:A,Apuração!D:D)/_xlfn.XLOOKUP(F1981,Apuração!A:A,Apuração!B:B),0)</f>
        <v>0.27272727272727271</v>
      </c>
      <c r="BQ1981" s="53">
        <f ca="1">IF(BK1981&gt;=BO1981,0,_xlfn.XLOOKUP(F1981,Apuração!A:A,Apuração!B:B)*(BO1981 + (1/_xlfn.XLOOKUP(F1981,Apuração!A:A,Apuração!B:B)) - BK1981))</f>
        <v>0</v>
      </c>
      <c r="BR1981" s="85">
        <f t="shared" ca="1" si="2303"/>
        <v>0</v>
      </c>
      <c r="BS1981" s="53">
        <f ca="1">IFERROR((_xlfn.XLOOKUP(F1981,Apuração!A:A,Apuração!C:C)+1)/_xlfn.XLOOKUP(F1981,Apuração!A:A,Apuração!B:B),0)</f>
        <v>0.45454545454545453</v>
      </c>
    </row>
    <row r="1982" spans="1:71" ht="25.95" hidden="1" customHeight="1" x14ac:dyDescent="0.3">
      <c r="A1982" s="39" t="s">
        <v>33</v>
      </c>
      <c r="B1982" s="4" t="s">
        <v>73</v>
      </c>
      <c r="C1982" s="5" t="s">
        <v>216</v>
      </c>
      <c r="D1982" s="5" t="s">
        <v>219</v>
      </c>
      <c r="E1982" s="4" t="str" cm="1">
        <f t="array" ref="E1982">_xlfn.IFS(
F1982 = "A partir de Abril", "Aguardando Execução na Distribuidora",
A1982 = "CAPACITAÇÃO", "Em execução no Corporativo",
TRUE, "Em Execução na Distribuidora"
)</f>
        <v>Em Execução na Distribuidora</v>
      </c>
      <c r="F1982" s="4" t="str" cm="1">
        <f t="array" ref="F1982">_xlfn.IFS(
AG1982 &lt;&gt; "", "Jan-Dez/26",
AH1982 &lt;&gt; "", "Fev-Dez/26",
AI1982 &lt;&gt; "", "Mar-Dez/26", AJ1982 &lt;&gt; "", "Abr-Dez/26",
TRUE, "A partir de Junho"
)</f>
        <v>Fev-Dez/26</v>
      </c>
      <c r="G1982" s="4" t="s">
        <v>37</v>
      </c>
      <c r="H1982" s="7" t="s">
        <v>54</v>
      </c>
      <c r="I1982" s="9" t="s">
        <v>76</v>
      </c>
      <c r="J1982" s="8" t="str" cm="1">
        <f t="array" aca="1" ref="J1982" ca="1">_xlfn.LET(
  _xlpm.actual_value_month, INDEX(T1982:AE1982, MATCH(DATE(YEAR(TODAY()), MONTH(TODAY()), 1), $T$1:$AE$1, 0)),
  IF(_xlpm.actual_value_month &lt;&gt; "",_xlpm.actual_value_month &amp; " ações mensais", "")
)</f>
        <v/>
      </c>
      <c r="K1982" s="14" t="str" cm="1">
        <f t="array" ref="K1982">_xlfn.LET(
    _xlpm.sum_month, SUM(T1982:AE1982),
    IF(_xlpm.sum_month = 0, "", _xlpm.sum_month &amp; " pessoas impactadas no ano.")
)</f>
        <v/>
      </c>
      <c r="L1982" s="9" t="s">
        <v>76</v>
      </c>
      <c r="M1982" s="13">
        <v>1</v>
      </c>
      <c r="N1982" s="5" t="s">
        <v>51</v>
      </c>
      <c r="O1982" s="5" t="s">
        <v>52</v>
      </c>
      <c r="P1982" s="10" t="s">
        <v>44</v>
      </c>
      <c r="Q1982" s="10" t="s">
        <v>44</v>
      </c>
      <c r="R1982" s="11" t="s">
        <v>44</v>
      </c>
      <c r="S1982" s="11" t="s">
        <v>44</v>
      </c>
      <c r="T1982" s="22"/>
      <c r="U1982" s="22"/>
      <c r="V1982" s="22"/>
      <c r="W1982" s="22"/>
      <c r="X1982" s="22"/>
      <c r="Y1982" s="22"/>
      <c r="Z1982" s="22"/>
      <c r="AA1982" s="22"/>
      <c r="AB1982" s="22"/>
      <c r="AC1982" s="22"/>
      <c r="AD1982" s="22"/>
      <c r="AE1982" s="22"/>
      <c r="AG1982" s="82"/>
      <c r="AH1982" s="146">
        <v>0</v>
      </c>
      <c r="AI1982" s="150">
        <v>0</v>
      </c>
      <c r="AJ1982" s="150">
        <v>143</v>
      </c>
      <c r="AK1982" s="71"/>
      <c r="AL1982" s="71"/>
      <c r="AM1982" s="71"/>
      <c r="AN1982" s="71"/>
      <c r="AO1982" s="71"/>
      <c r="AP1982" s="71"/>
      <c r="AQ1982" s="71"/>
      <c r="AR1982" s="71"/>
      <c r="AS1982" s="94">
        <f t="shared" ca="1" si="2295"/>
        <v>0</v>
      </c>
      <c r="AT1982" s="95">
        <f t="shared" si="2296"/>
        <v>143</v>
      </c>
      <c r="AU1982" s="97">
        <f t="shared" si="2297"/>
        <v>143</v>
      </c>
      <c r="AW1982" s="83">
        <f t="shared" si="2298"/>
        <v>0</v>
      </c>
      <c r="AX1982" s="83">
        <f t="shared" si="2299"/>
        <v>0</v>
      </c>
      <c r="AY1982" s="83">
        <f t="shared" si="2300"/>
        <v>0</v>
      </c>
      <c r="AZ1982" s="83">
        <f t="shared" si="2301"/>
        <v>143</v>
      </c>
      <c r="BA1982" s="52"/>
      <c r="BB1982" s="52"/>
      <c r="BC1982" s="52"/>
      <c r="BD1982" s="52"/>
      <c r="BE1982" s="52"/>
      <c r="BF1982" s="52"/>
      <c r="BG1982" s="52"/>
      <c r="BH1982" s="52"/>
      <c r="BI1982" s="68" cm="1">
        <f t="array" ref="BI1982">IFERROR(INDEX(AW1982:BH1982,1,MATCH(2,1/(AW1982:BH1982&lt;&gt;""))),"")</f>
        <v>143</v>
      </c>
      <c r="BJ1982" s="68" cm="1">
        <f t="array" ref="BJ1982">IF(BM1982 = "", "",IFERROR(INDEX(AW1982:BH1982,1,MATCH(2,1/(AW1982:BH1982&lt;&gt;""),1)-1),""))</f>
        <v>0</v>
      </c>
      <c r="BK1982" s="59">
        <f t="shared" si="2302"/>
        <v>143</v>
      </c>
      <c r="BL1982" s="59" cm="1">
        <f t="array" ref="BL1982">IFERROR(SUM(AW1982:INDEX(AW1982:BH1982, MATCH(2, 1/(AW1982:BH1982&lt;&gt;""), 1) - 1))/_xlfn.XLOOKUP(F1982,Apuração!A:A,Apuração!B:B),0)</f>
        <v>0</v>
      </c>
      <c r="BM1982" s="55" cm="1">
        <f t="array" ref="BM1982">IFERROR(
   INDEX($AW$1:$BH$1,
      _xlfn.AGGREGATE(14, 6, COLUMN($AW$1:$BH$1)/(AW1982:BH1982&lt;&gt;""), 2) - COLUMN($AW$1) + 1
   ),
"")</f>
        <v>46082</v>
      </c>
      <c r="BN1982" s="55" cm="1">
        <f t="array" ref="BN1982">IFERROR(INDEX($AW$1:$BH$1,1,MATCH(2,1/(AW1982:BH1982&lt;&gt;""))),"")</f>
        <v>46113</v>
      </c>
      <c r="BO1982" s="53">
        <f ca="1">IFERROR(_xlfn.XLOOKUP(F1982,Apuração!A:A,Apuração!C:C)/_xlfn.XLOOKUP(F1982,Apuração!A:A,Apuração!B:B),0)</f>
        <v>0.36363636363636365</v>
      </c>
      <c r="BP1982" s="53">
        <f ca="1">IFERROR(_xlfn.XLOOKUP(F1982,Apuração!A:A,Apuração!D:D)/_xlfn.XLOOKUP(F1982,Apuração!A:A,Apuração!B:B),0)</f>
        <v>0.27272727272727271</v>
      </c>
      <c r="BQ1982" s="53">
        <f ca="1">IF(BK1982&gt;=BO1982,0,_xlfn.XLOOKUP(F1982,Apuração!A:A,Apuração!B:B)*(BO1982 + (1/_xlfn.XLOOKUP(F1982,Apuração!A:A,Apuração!B:B)) - BK1982))</f>
        <v>0</v>
      </c>
      <c r="BR1982" s="85">
        <f t="shared" ca="1" si="2303"/>
        <v>0</v>
      </c>
      <c r="BS1982" s="53">
        <f ca="1">IFERROR((_xlfn.XLOOKUP(F1982,Apuração!A:A,Apuração!C:C)+1)/_xlfn.XLOOKUP(F1982,Apuração!A:A,Apuração!B:B),0)</f>
        <v>0.45454545454545453</v>
      </c>
    </row>
    <row r="1983" spans="1:71" ht="25.95" hidden="1" customHeight="1" x14ac:dyDescent="0.3">
      <c r="A1983" s="3" t="s">
        <v>33</v>
      </c>
      <c r="B1983" s="4" t="s">
        <v>77</v>
      </c>
      <c r="C1983" s="5" t="s">
        <v>216</v>
      </c>
      <c r="D1983" s="5" t="s">
        <v>36</v>
      </c>
      <c r="E1983" s="4" t="str" cm="1">
        <f t="array" ref="E1983">_xlfn.IFS(
F1983 = "A partir de Abril", "Aguardando Execução na Distribuidora",
A1983 = "CAPACITAÇÃO", "Em execução no Corporativo",
TRUE, "Em Execução na Distribuidora"
)</f>
        <v>Em Execução na Distribuidora</v>
      </c>
      <c r="F1983" s="4" t="str" cm="1">
        <f t="array" ref="F1983">_xlfn.IFS(
AG1983 &lt;&gt; "", "Jan-Dez/26",
AH1983 &lt;&gt; "", "Fev-Dez/26",
AI1983 &lt;&gt; "", "Mar-Dez/26", AJ1983 &lt;&gt; "", "Abr-Dez/26",
TRUE, "A partir de Junho"
)</f>
        <v>Jan-Dez/26</v>
      </c>
      <c r="G1983" s="4" t="s">
        <v>37</v>
      </c>
      <c r="H1983" s="7" t="s">
        <v>110</v>
      </c>
      <c r="I1983" s="8" t="s">
        <v>78</v>
      </c>
      <c r="J1983" s="8" t="str" cm="1">
        <f t="array" aca="1" ref="J1983" ca="1">_xlfn.LET(
  _xlpm.actual_value_month, INDEX(T1983:AE1983, MATCH(DATE(YEAR(TODAY()), MONTH(TODAY()), 1), $T$1:$AE$1, 0)),
  IF(_xlpm.actual_value_month &lt;&gt; "",_xlpm.actual_value_month &amp; " eventos mensais", "")
)</f>
        <v>16 eventos mensais</v>
      </c>
      <c r="K1983" s="8" t="str" cm="1">
        <f t="array" ref="K1983">_xlfn.LET(
    _xlpm.sum_month, SUM(T1983:AE1983),
    IF(_xlpm.sum_month = 0, "", _xlpm.sum_month &amp; " eventos no ano.")
)</f>
        <v>184 eventos no ano.</v>
      </c>
      <c r="L1983" s="9" t="s">
        <v>56</v>
      </c>
      <c r="M1983" s="13" t="s">
        <v>79</v>
      </c>
      <c r="N1983" s="5" t="s">
        <v>42</v>
      </c>
      <c r="O1983" s="5" t="s">
        <v>43</v>
      </c>
      <c r="P1983" s="10" t="s">
        <v>44</v>
      </c>
      <c r="Q1983" s="10" t="s">
        <v>44</v>
      </c>
      <c r="R1983" s="11" t="s">
        <v>44</v>
      </c>
      <c r="S1983" s="11" t="s">
        <v>44</v>
      </c>
      <c r="T1983" s="22">
        <v>12</v>
      </c>
      <c r="U1983" s="22">
        <v>18</v>
      </c>
      <c r="V1983" s="22">
        <v>10</v>
      </c>
      <c r="W1983" s="22">
        <v>16</v>
      </c>
      <c r="X1983" s="22">
        <v>16</v>
      </c>
      <c r="Y1983" s="22">
        <v>16</v>
      </c>
      <c r="Z1983" s="22">
        <v>16</v>
      </c>
      <c r="AA1983" s="22">
        <v>16</v>
      </c>
      <c r="AB1983" s="22">
        <v>16</v>
      </c>
      <c r="AC1983" s="22">
        <v>16</v>
      </c>
      <c r="AD1983" s="22">
        <v>16</v>
      </c>
      <c r="AE1983" s="22">
        <v>16</v>
      </c>
      <c r="AG1983" s="71">
        <v>12</v>
      </c>
      <c r="AH1983" s="71">
        <v>18</v>
      </c>
      <c r="AI1983" s="71">
        <v>10</v>
      </c>
      <c r="AJ1983" s="71">
        <v>83</v>
      </c>
      <c r="AK1983" s="71"/>
      <c r="AL1983" s="71"/>
      <c r="AM1983" s="71"/>
      <c r="AN1983" s="71"/>
      <c r="AO1983" s="71"/>
      <c r="AP1983" s="71"/>
      <c r="AQ1983" s="71"/>
      <c r="AR1983" s="71"/>
      <c r="AS1983" s="94">
        <f ca="1">IF(MONTH(TODAY())=3,SUM(T1983:U1983),IF(MONTH(TODAY())=4,SUM(T1983:V1983),IF(MONTH(TODAY())=5,SUM(T1983:W1983),IF(MONTH(TODAY())=6,SUM(T1983:X1983),IF(MONTH(TODAY())=7,SUM(T1983:Y1983),IF(MONTH(TODAY())=8,SUM(T1983:Z1983),IF(MONTH(TODAY())=9,SUM(T1983:AA1983),IF(MONTH(TODAY())=10,SUM(T1983:AB1983),IF(MONTH(TODAY())=11,SUM(T1983:AC1983),IF(MONTH(TODAY())=12,SUM(T1983:AD1983),IF(MONTH(TODAY())=1,SUM(T1983:AE1983),T1983)))))))))))</f>
        <v>72</v>
      </c>
      <c r="AT1983" s="95">
        <f>SUM(IF(AW1983&lt;1.15,AG1983,1.15*T1983),IF(AX1983&lt;1.15,AH1983,1.15*U1983),IF(AY1983&lt;1.15,AI1983,1.15*V1983),IF(AZ1983&lt;1.15,AJ1983,1.15*W1983),IF(BA1983&lt;1.15,AK1983,1.15*X1983),IF(BB1983&lt;1.15,AL1983,1.15*Y1983),IF(BC1983&lt;1.15,AM1983,1.15*Z1983),IF(BD1983&lt;1.15,AN1983,1.15*AA1983),IF(BE1983&lt;1.15,AO1983,1.15*AB1983),IF(BF1983&lt;1.15,AP1983,1.15*AC1983),IF(BG1983&lt;1.15,AQ1983,1.15*AD1983),IF(BH1983&lt;1.15,AR1983,1.15*AE1983))</f>
        <v>58.4</v>
      </c>
      <c r="AU1983" s="97">
        <f>SUM(AG1983:AR1983)</f>
        <v>123</v>
      </c>
      <c r="AW1983" s="51">
        <f>IFERROR(IF(AG1983="",0,AG1983/T1983),0)</f>
        <v>1</v>
      </c>
      <c r="AX1983" s="51">
        <f>IFERROR(IF(AH1983="",0,AH1983/U1983),0)</f>
        <v>1</v>
      </c>
      <c r="AY1983" s="51">
        <f>IFERROR(IF(AI1983="",0,AI1983/V1983),0)</f>
        <v>1</v>
      </c>
      <c r="AZ1983" s="51">
        <f>IFERROR(IF(AJ1983="",0,AJ1983/W1983),0)</f>
        <v>5.1875</v>
      </c>
      <c r="BA1983" s="51"/>
      <c r="BB1983" s="51"/>
      <c r="BC1983" s="51"/>
      <c r="BD1983" s="51"/>
      <c r="BE1983" s="51"/>
      <c r="BF1983" s="51"/>
      <c r="BG1983" s="51"/>
      <c r="BH1983" s="51"/>
      <c r="BI1983" s="65" cm="1">
        <f t="array" ref="BI1983">IFERROR(INDEX(AW1983:BH1983,1,MATCH(2,1/(AW1983:BH1983&lt;&gt;""))),"")</f>
        <v>5.1875</v>
      </c>
      <c r="BJ1983" s="68" cm="1">
        <f t="array" ref="BJ1983">IF(BM1983 = "", "",IFERROR(INDEX(AW1983:BH1983,1,MATCH(2,1/(AW1983:BH1983&lt;&gt;""),1)-1),""))</f>
        <v>1</v>
      </c>
      <c r="BK1983" s="58">
        <f>IF((IF(AW1983&gt;=115%,115%,AW1983) + IF(AX1983&gt;=115%,115%,AX1983) + IF(AY1983&gt;=115%,115%,AY1983) + (IF(AZ1983&gt;=115%,115%,AZ1983) + IF(BA1983&gt;=115%,115%,BA1983) + IF(BB1983&gt;=115%,115%,BB1983) + IF(BC1983&gt;=115%,115%,BC1983) + IF(BD1983&gt;=115%,115%,BD1983) + IF(BE1983&gt;=115%,115%,BE1983) + IF(BF1983&gt;=115%,115%,BF1983) + IF(BG1983&gt;=115%,115%,BG1983) + IF(BH1983&gt;=115%,115%,BH1983)))/_xlfn.XLOOKUP(F1983,Apuração!A:A,Apuração!B:B)&gt;=1.15,1.15,((IF(AZ1983&gt;=115%,115%,AZ1983) + IF(AX1983&gt;=115%,115%,AX1983) + IF(AY1983&gt;=115%,115%,AY1983) + (IF(AW1983&gt;=115%,115%,AW1983) + IF(BA1983&gt;=115%,115%,BA1983) + IF(BB1983&gt;=115%,115%,BB1983) + IF(BC1983&gt;=115%,115%,BC1983) + IF(BD1983&gt;=115%,115%,BD1983) + IF(BE1983&gt;=115%,115%,BE1983) + IF(BF1983&gt;=115%,115%,BF1983) + IF(BG1983&gt;=115%,115%,BG1983) + IF(BH1983&gt;=115%,115%,BH1983)))/_xlfn.XLOOKUP(F1983,Apuração!A:A,Apuração!B:B)))</f>
        <v>0.34583333333333338</v>
      </c>
      <c r="BL1983" s="58" cm="1">
        <f t="array" aca="1" ref="BL1983" ca="1">IF(SUM(IFERROR(IF(INDEX(AW1983:INDEX(AW1983:BH1983, MATCH(2, 1/(AW1983:BH1983&lt;&gt;""), 1)-1), ROW(INDIRECT("1:" &amp; MATCH(2, 1/(AW1983:BH1983&lt;&gt;""), 1)-1))) &gt;= 115%, 115%, INDEX(AW1983:INDEX(AW1983:BH1983, MATCH(2, 1/(AW1983:BH1983&lt;&gt;""), 1)-1), ROW(INDIRECT("1:" &amp; MATCH(2, 1/(AW1983:BH1983&lt;&gt;""), 1)-1)))), 0))/_xlfn.XLOOKUP(F1983,Apuração!A:A,Apuração!B:B)&gt;=1.15,1.15,SUM(IFERROR(IF(INDEX(AW1983:INDEX(AW1983:BH1983, MATCH(2, 1/(AW1983:BH1983&lt;&gt;""), 1)-1), ROW(INDIRECT("1:" &amp; MATCH(2, 1/(AW1983:BH1983&lt;&gt;""), 1)-1))) &gt;= 115%, 115%, INDEX(AW1983:INDEX(AW1983:BH1983, MATCH(2, 1/(AW1983:BH1983&lt;&gt;""), 1)-1), ROW(INDIRECT("1:" &amp; MATCH(2, 1/(AW1983:BH1983&lt;&gt;""), 1)-1)))), 0))/_xlfn.XLOOKUP(F1983,Apuração!A:A,Apuração!B:B))</f>
        <v>0.25</v>
      </c>
      <c r="BM1983" s="55" cm="1">
        <f t="array" ref="BM1983">IFERROR(
   INDEX($AW$1:$BH$1,
      _xlfn.AGGREGATE(14, 6, COLUMN($AW$1:$BH$1)/(AW1983:BH1983&lt;&gt;""), 2) - COLUMN($AW$1) + 1
   ),
"")</f>
        <v>46082</v>
      </c>
      <c r="BN1983" s="55" cm="1">
        <f t="array" ref="BN1983">IFERROR(INDEX($AW$1:$BH$1,1,MATCH(2,1/(AW1983:BH1983&lt;&gt;""))),"")</f>
        <v>46113</v>
      </c>
      <c r="BO1983" s="53">
        <f ca="1">IFERROR(_xlfn.XLOOKUP(F1983,Apuração!A:A,Apuração!C:C)/_xlfn.XLOOKUP(F1983,Apuração!A:A,Apuração!B:B),0)</f>
        <v>0.41666666666666669</v>
      </c>
      <c r="BP1983" s="53">
        <f ca="1">IFERROR(_xlfn.XLOOKUP(F1983,Apuração!A:A,Apuração!D:D)/_xlfn.XLOOKUP(F1983,Apuração!A:A,Apuração!B:B),0)</f>
        <v>0.33333333333333331</v>
      </c>
      <c r="BQ1983" s="53">
        <f ca="1">IF(BK1983&gt;=BO1983,0,_xlfn.XLOOKUP(F1983,Apuração!A:A,Apuração!B:B)*(BO1983 + (1/_xlfn.XLOOKUP(F1983,Apuração!A:A,Apuração!B:B)) - BK1983))</f>
        <v>1.8499999999999994</v>
      </c>
      <c r="BR1983" s="85">
        <f ca="1">IF(BQ1983=0,0,BQ1983*Z1983)</f>
        <v>29.599999999999991</v>
      </c>
      <c r="BS1983" s="53">
        <f ca="1">IFERROR((_xlfn.XLOOKUP(F1983,Apuração!A:A,Apuração!C:C)+1)/_xlfn.XLOOKUP(F1983,Apuração!A:A,Apuração!B:B),0)</f>
        <v>0.5</v>
      </c>
    </row>
    <row r="1984" spans="1:71" ht="25.95" hidden="1" customHeight="1" x14ac:dyDescent="0.3">
      <c r="A1984" s="3" t="s">
        <v>33</v>
      </c>
      <c r="B1984" s="4" t="s">
        <v>77</v>
      </c>
      <c r="C1984" s="5" t="s">
        <v>216</v>
      </c>
      <c r="D1984" s="5" t="s">
        <v>217</v>
      </c>
      <c r="E1984" s="4" t="str" cm="1">
        <f t="array" ref="E1984">_xlfn.IFS(
F1984 = "A partir de Abril", "Aguardando Execução na Distribuidora",
A1984 = "CAPACITAÇÃO", "Em execução no Corporativo",
TRUE, "Em Execução na Distribuidora"
)</f>
        <v>Em Execução na Distribuidora</v>
      </c>
      <c r="F1984" s="4" t="str" cm="1">
        <f t="array" ref="F1984">_xlfn.IFS(
AG1984 &lt;&gt; "", "Jan-Dez/26",
AH1984 &lt;&gt; "", "Fev-Dez/26",
AI1984 &lt;&gt; "", "Mar-Dez/26", AJ1984 &lt;&gt; "", "Abr-Dez/26",
TRUE, "A partir de Junho"
)</f>
        <v>Jan-Dez/26</v>
      </c>
      <c r="G1984" s="4" t="s">
        <v>37</v>
      </c>
      <c r="H1984" s="7" t="s">
        <v>110</v>
      </c>
      <c r="I1984" s="8" t="s">
        <v>78</v>
      </c>
      <c r="J1984" s="8" t="str" cm="1">
        <f t="array" aca="1" ref="J1984" ca="1">_xlfn.LET(
  _xlpm.actual_value_month, INDEX(T1984:AE1984, MATCH(DATE(YEAR(TODAY()), MONTH(TODAY()), 1), $T$1:$AE$1, 0)),
  IF(_xlpm.actual_value_month &lt;&gt; "",_xlpm.actual_value_month &amp; " eventos mensais", "")
)</f>
        <v>4 eventos mensais</v>
      </c>
      <c r="K1984" s="8" t="str" cm="1">
        <f t="array" ref="K1984">_xlfn.LET(
    _xlpm.sum_month, SUM(T1984:AE1984),
    IF(_xlpm.sum_month = 0, "", _xlpm.sum_month &amp; " eventos no ano.")
)</f>
        <v>42 eventos no ano.</v>
      </c>
      <c r="L1984" s="9" t="s">
        <v>56</v>
      </c>
      <c r="M1984" s="13" t="s">
        <v>79</v>
      </c>
      <c r="N1984" s="5" t="s">
        <v>42</v>
      </c>
      <c r="O1984" s="5" t="s">
        <v>43</v>
      </c>
      <c r="P1984" s="10" t="s">
        <v>44</v>
      </c>
      <c r="Q1984" s="10" t="s">
        <v>44</v>
      </c>
      <c r="R1984" s="11" t="s">
        <v>44</v>
      </c>
      <c r="S1984" s="11" t="s">
        <v>44</v>
      </c>
      <c r="T1984" s="143"/>
      <c r="U1984" s="143">
        <v>1</v>
      </c>
      <c r="V1984" s="143">
        <v>5</v>
      </c>
      <c r="W1984" s="143">
        <v>4</v>
      </c>
      <c r="X1984" s="143">
        <v>4</v>
      </c>
      <c r="Y1984" s="143">
        <v>4</v>
      </c>
      <c r="Z1984" s="143">
        <v>4</v>
      </c>
      <c r="AA1984" s="143">
        <v>4</v>
      </c>
      <c r="AB1984" s="143">
        <v>4</v>
      </c>
      <c r="AC1984" s="143">
        <v>4</v>
      </c>
      <c r="AD1984" s="143">
        <v>4</v>
      </c>
      <c r="AE1984" s="143">
        <v>4</v>
      </c>
      <c r="AG1984" s="145">
        <v>0</v>
      </c>
      <c r="AH1984" s="149">
        <v>1</v>
      </c>
      <c r="AI1984" s="149">
        <v>5</v>
      </c>
      <c r="AJ1984" s="149">
        <v>27</v>
      </c>
      <c r="AK1984" s="71"/>
      <c r="AL1984" s="71"/>
      <c r="AM1984" s="71"/>
      <c r="AN1984" s="71"/>
      <c r="AO1984" s="71"/>
      <c r="AP1984" s="71"/>
      <c r="AQ1984" s="71"/>
      <c r="AR1984" s="71"/>
      <c r="AS1984" s="94">
        <f t="shared" ref="AS1984:AS1987" ca="1" si="2304">IF(MONTH(TODAY())=3,SUM(T1984:U1984),IF(MONTH(TODAY())=4,SUM(T1984:V1984),IF(MONTH(TODAY())=5,SUM(T1984:W1984),IF(MONTH(TODAY())=6,SUM(T1984:X1984),IF(MONTH(TODAY())=7,SUM(T1984:Y1984),IF(MONTH(TODAY())=8,SUM(T1984:Z1984),IF(MONTH(TODAY())=9,SUM(T1984:AA1984),IF(MONTH(TODAY())=10,SUM(T1984:AB1984),IF(MONTH(TODAY())=11,SUM(T1984:AC1984),IF(MONTH(TODAY())=12,SUM(T1984:AD1984),IF(MONTH(TODAY())=1,SUM(T1984:AE1984),T1984)))))))))))</f>
        <v>14</v>
      </c>
      <c r="AT1984" s="95">
        <f t="shared" ref="AT1984:AT1987" si="2305">SUM(IF(AW1984&lt;1.15,AG1984,1.15*T1984),IF(AX1984&lt;1.15,AH1984,1.15*U1984),IF(AY1984&lt;1.15,AI1984,1.15*V1984),IF(AZ1984&lt;1.15,AJ1984,1.15*W1984),IF(BA1984&lt;1.15,AK1984,1.15*X1984),IF(BB1984&lt;1.15,AL1984,1.15*Y1984),IF(BC1984&lt;1.15,AM1984,1.15*Z1984),IF(BD1984&lt;1.15,AN1984,1.15*AA1984),IF(BE1984&lt;1.15,AO1984,1.15*AB1984),IF(BF1984&lt;1.15,AP1984,1.15*AC1984),IF(BG1984&lt;1.15,AQ1984,1.15*AD1984),IF(BH1984&lt;1.15,AR1984,1.15*AE1984))</f>
        <v>10.6</v>
      </c>
      <c r="AU1984" s="97">
        <f t="shared" ref="AU1984:AU1987" si="2306">SUM(AG1984:AR1984)</f>
        <v>33</v>
      </c>
      <c r="AW1984" s="51">
        <f t="shared" ref="AW1984:AW1987" si="2307">IFERROR(IF(AG1984="",0,AG1984/T1984),0)</f>
        <v>0</v>
      </c>
      <c r="AX1984" s="51">
        <f t="shared" ref="AX1984:AX1987" si="2308">IFERROR(IF(AH1984="",0,AH1984/U1984),0)</f>
        <v>1</v>
      </c>
      <c r="AY1984" s="51">
        <f t="shared" ref="AY1984:AY1987" si="2309">IFERROR(IF(AI1984="",0,AI1984/V1984),0)</f>
        <v>1</v>
      </c>
      <c r="AZ1984" s="51">
        <f t="shared" ref="AZ1984:AZ1987" si="2310">IFERROR(IF(AJ1984="",0,AJ1984/W1984),0)</f>
        <v>6.75</v>
      </c>
      <c r="BA1984" s="51"/>
      <c r="BB1984" s="51"/>
      <c r="BC1984" s="51"/>
      <c r="BD1984" s="51"/>
      <c r="BE1984" s="51"/>
      <c r="BF1984" s="51"/>
      <c r="BG1984" s="51"/>
      <c r="BH1984" s="51"/>
      <c r="BI1984" s="65" cm="1">
        <f t="array" ref="BI1984">IFERROR(INDEX(AW1984:BH1984,1,MATCH(2,1/(AW1984:BH1984&lt;&gt;""))),"")</f>
        <v>6.75</v>
      </c>
      <c r="BJ1984" s="68" cm="1">
        <f t="array" ref="BJ1984">IF(BM1984 = "", "",IFERROR(INDEX(AW1984:BH1984,1,MATCH(2,1/(AW1984:BH1984&lt;&gt;""),1)-1),""))</f>
        <v>1</v>
      </c>
      <c r="BK1984" s="58">
        <f>IF((IF(AW1984&gt;=115%,115%,AW1984) + IF(AX1984&gt;=115%,115%,AX1984) + IF(AY1984&gt;=115%,115%,AY1984) + (IF(AZ1984&gt;=115%,115%,AZ1984) + IF(BA1984&gt;=115%,115%,BA1984) + IF(BB1984&gt;=115%,115%,BB1984) + IF(BC1984&gt;=115%,115%,BC1984) + IF(BD1984&gt;=115%,115%,BD1984) + IF(BE1984&gt;=115%,115%,BE1984) + IF(BF1984&gt;=115%,115%,BF1984) + IF(BG1984&gt;=115%,115%,BG1984) + IF(BH1984&gt;=115%,115%,BH1984)))/_xlfn.XLOOKUP(F1984,Apuração!A:A,Apuração!B:B)&gt;=1.15,1.15,((IF(AZ1984&gt;=115%,115%,AZ1984) + IF(AX1984&gt;=115%,115%,AX1984) + IF(AY1984&gt;=115%,115%,AY1984) + (IF(AW1984&gt;=115%,115%,AW1984) + IF(BA1984&gt;=115%,115%,BA1984) + IF(BB1984&gt;=115%,115%,BB1984) + IF(BC1984&gt;=115%,115%,BC1984) + IF(BD1984&gt;=115%,115%,BD1984) + IF(BE1984&gt;=115%,115%,BE1984) + IF(BF1984&gt;=115%,115%,BF1984) + IF(BG1984&gt;=115%,115%,BG1984) + IF(BH1984&gt;=115%,115%,BH1984)))/_xlfn.XLOOKUP(F1984,Apuração!A:A,Apuração!B:B)))</f>
        <v>0.26250000000000001</v>
      </c>
      <c r="BL1984" s="58" cm="1">
        <f t="array" aca="1" ref="BL1984" ca="1">IF(SUM(IFERROR(IF(INDEX(AW1984:INDEX(AW1984:BH1984, MATCH(2, 1/(AW1984:BH1984&lt;&gt;""), 1)-1), ROW(INDIRECT("1:" &amp; MATCH(2, 1/(AW1984:BH1984&lt;&gt;""), 1)-1))) &gt;= 115%, 115%, INDEX(AW1984:INDEX(AW1984:BH1984, MATCH(2, 1/(AW1984:BH1984&lt;&gt;""), 1)-1), ROW(INDIRECT("1:" &amp; MATCH(2, 1/(AW1984:BH1984&lt;&gt;""), 1)-1)))), 0))/_xlfn.XLOOKUP(F1984,Apuração!A:A,Apuração!B:B)&gt;=1.15,1.15,SUM(IFERROR(IF(INDEX(AW1984:INDEX(AW1984:BH1984, MATCH(2, 1/(AW1984:BH1984&lt;&gt;""), 1)-1), ROW(INDIRECT("1:" &amp; MATCH(2, 1/(AW1984:BH1984&lt;&gt;""), 1)-1))) &gt;= 115%, 115%, INDEX(AW1984:INDEX(AW1984:BH1984, MATCH(2, 1/(AW1984:BH1984&lt;&gt;""), 1)-1), ROW(INDIRECT("1:" &amp; MATCH(2, 1/(AW1984:BH1984&lt;&gt;""), 1)-1)))), 0))/_xlfn.XLOOKUP(F1984,Apuração!A:A,Apuração!B:B))</f>
        <v>0.16666666666666666</v>
      </c>
      <c r="BM1984" s="55" cm="1">
        <f t="array" ref="BM1984">IFERROR(
   INDEX($AW$1:$BH$1,
      _xlfn.AGGREGATE(14, 6, COLUMN($AW$1:$BH$1)/(AW1984:BH1984&lt;&gt;""), 2) - COLUMN($AW$1) + 1
   ),
"")</f>
        <v>46082</v>
      </c>
      <c r="BN1984" s="55" cm="1">
        <f t="array" ref="BN1984">IFERROR(INDEX($AW$1:$BH$1,1,MATCH(2,1/(AW1984:BH1984&lt;&gt;""))),"")</f>
        <v>46113</v>
      </c>
      <c r="BO1984" s="53">
        <f ca="1">IFERROR(_xlfn.XLOOKUP(F1984,Apuração!A:A,Apuração!C:C)/_xlfn.XLOOKUP(F1984,Apuração!A:A,Apuração!B:B),0)</f>
        <v>0.41666666666666669</v>
      </c>
      <c r="BP1984" s="53">
        <f ca="1">IFERROR(_xlfn.XLOOKUP(F1984,Apuração!A:A,Apuração!D:D)/_xlfn.XLOOKUP(F1984,Apuração!A:A,Apuração!B:B),0)</f>
        <v>0.33333333333333331</v>
      </c>
      <c r="BQ1984" s="53">
        <f ca="1">IF(BK1984&gt;=BO1984,0,_xlfn.XLOOKUP(F1984,Apuração!A:A,Apuração!B:B)*(BO1984 + (1/_xlfn.XLOOKUP(F1984,Apuração!A:A,Apuração!B:B)) - BK1984))</f>
        <v>2.8499999999999996</v>
      </c>
      <c r="BR1984" s="85">
        <f t="shared" ref="BR1984:BR1987" ca="1" si="2311">IF(BQ1984=0,0,BQ1984*Z1984)</f>
        <v>11.399999999999999</v>
      </c>
      <c r="BS1984" s="53">
        <f ca="1">IFERROR((_xlfn.XLOOKUP(F1984,Apuração!A:A,Apuração!C:C)+1)/_xlfn.XLOOKUP(F1984,Apuração!A:A,Apuração!B:B),0)</f>
        <v>0.5</v>
      </c>
    </row>
    <row r="1985" spans="1:71" ht="25.95" hidden="1" customHeight="1" x14ac:dyDescent="0.3">
      <c r="A1985" s="3" t="s">
        <v>33</v>
      </c>
      <c r="B1985" s="4" t="s">
        <v>77</v>
      </c>
      <c r="C1985" s="5" t="s">
        <v>216</v>
      </c>
      <c r="D1985" s="5" t="s">
        <v>103</v>
      </c>
      <c r="E1985" s="4" t="str" cm="1">
        <f t="array" ref="E1985">_xlfn.IFS(
F1985 = "A partir de Abril", "Aguardando Execução na Distribuidora",
A1985 = "CAPACITAÇÃO", "Em execução no Corporativo",
TRUE, "Em Execução na Distribuidora"
)</f>
        <v>Em Execução na Distribuidora</v>
      </c>
      <c r="F1985" s="4" t="str" cm="1">
        <f t="array" ref="F1985">_xlfn.IFS(
AG1985 &lt;&gt; "", "Jan-Dez/26",
AH1985 &lt;&gt; "", "Fev-Dez/26",
AI1985 &lt;&gt; "", "Mar-Dez/26", AJ1985 &lt;&gt; "", "Abr-Dez/26",
TRUE, "A partir de Junho"
)</f>
        <v>Jan-Dez/26</v>
      </c>
      <c r="G1985" s="4" t="s">
        <v>37</v>
      </c>
      <c r="H1985" s="7" t="s">
        <v>110</v>
      </c>
      <c r="I1985" s="8" t="s">
        <v>78</v>
      </c>
      <c r="J1985" s="8" t="str" cm="1">
        <f t="array" aca="1" ref="J1985" ca="1">_xlfn.LET(
  _xlpm.actual_value_month, INDEX(T1985:AE1985, MATCH(DATE(YEAR(TODAY()), MONTH(TODAY()), 1), $T$1:$AE$1, 0)),
  IF(_xlpm.actual_value_month &lt;&gt; "",_xlpm.actual_value_month &amp; " eventos mensais", "")
)</f>
        <v>4 eventos mensais</v>
      </c>
      <c r="K1985" s="8" t="str" cm="1">
        <f t="array" ref="K1985">_xlfn.LET(
    _xlpm.sum_month, SUM(T1985:AE1985),
    IF(_xlpm.sum_month = 0, "", _xlpm.sum_month &amp; " eventos no ano.")
)</f>
        <v>54 eventos no ano.</v>
      </c>
      <c r="L1985" s="9" t="s">
        <v>56</v>
      </c>
      <c r="M1985" s="13" t="s">
        <v>79</v>
      </c>
      <c r="N1985" s="5" t="s">
        <v>42</v>
      </c>
      <c r="O1985" s="5" t="s">
        <v>43</v>
      </c>
      <c r="P1985" s="10" t="s">
        <v>44</v>
      </c>
      <c r="Q1985" s="10" t="s">
        <v>44</v>
      </c>
      <c r="R1985" s="11" t="s">
        <v>44</v>
      </c>
      <c r="S1985" s="11" t="s">
        <v>44</v>
      </c>
      <c r="T1985" s="143">
        <v>7</v>
      </c>
      <c r="U1985" s="143">
        <v>10</v>
      </c>
      <c r="V1985" s="143">
        <v>1</v>
      </c>
      <c r="W1985" s="143">
        <v>4</v>
      </c>
      <c r="X1985" s="143">
        <v>4</v>
      </c>
      <c r="Y1985" s="143">
        <v>4</v>
      </c>
      <c r="Z1985" s="143">
        <v>4</v>
      </c>
      <c r="AA1985" s="143">
        <v>4</v>
      </c>
      <c r="AB1985" s="143">
        <v>4</v>
      </c>
      <c r="AC1985" s="143">
        <v>4</v>
      </c>
      <c r="AD1985" s="143">
        <v>4</v>
      </c>
      <c r="AE1985" s="143">
        <v>4</v>
      </c>
      <c r="AG1985" s="146">
        <v>7</v>
      </c>
      <c r="AH1985" s="150">
        <v>10</v>
      </c>
      <c r="AI1985" s="150">
        <v>1</v>
      </c>
      <c r="AJ1985" s="150">
        <v>18</v>
      </c>
      <c r="AK1985" s="71"/>
      <c r="AL1985" s="71"/>
      <c r="AM1985" s="71"/>
      <c r="AN1985" s="71"/>
      <c r="AO1985" s="71"/>
      <c r="AP1985" s="71"/>
      <c r="AQ1985" s="71"/>
      <c r="AR1985" s="71"/>
      <c r="AS1985" s="94">
        <f t="shared" ca="1" si="2304"/>
        <v>26</v>
      </c>
      <c r="AT1985" s="95">
        <f t="shared" si="2305"/>
        <v>22.6</v>
      </c>
      <c r="AU1985" s="97">
        <f t="shared" si="2306"/>
        <v>36</v>
      </c>
      <c r="AW1985" s="51">
        <f t="shared" si="2307"/>
        <v>1</v>
      </c>
      <c r="AX1985" s="51">
        <f t="shared" si="2308"/>
        <v>1</v>
      </c>
      <c r="AY1985" s="51">
        <f t="shared" si="2309"/>
        <v>1</v>
      </c>
      <c r="AZ1985" s="51">
        <f t="shared" si="2310"/>
        <v>4.5</v>
      </c>
      <c r="BA1985" s="51"/>
      <c r="BB1985" s="51"/>
      <c r="BC1985" s="51"/>
      <c r="BD1985" s="51"/>
      <c r="BE1985" s="51"/>
      <c r="BF1985" s="51"/>
      <c r="BG1985" s="51"/>
      <c r="BH1985" s="51"/>
      <c r="BI1985" s="65" cm="1">
        <f t="array" ref="BI1985">IFERROR(INDEX(AW1985:BH1985,1,MATCH(2,1/(AW1985:BH1985&lt;&gt;""))),"")</f>
        <v>4.5</v>
      </c>
      <c r="BJ1985" s="68" cm="1">
        <f t="array" ref="BJ1985">IF(BM1985 = "", "",IFERROR(INDEX(AW1985:BH1985,1,MATCH(2,1/(AW1985:BH1985&lt;&gt;""),1)-1),""))</f>
        <v>1</v>
      </c>
      <c r="BK1985" s="58">
        <f>IF((IF(AW1985&gt;=115%,115%,AW1985) + IF(AX1985&gt;=115%,115%,AX1985) + IF(AY1985&gt;=115%,115%,AY1985) + (IF(AZ1985&gt;=115%,115%,AZ1985) + IF(BA1985&gt;=115%,115%,BA1985) + IF(BB1985&gt;=115%,115%,BB1985) + IF(BC1985&gt;=115%,115%,BC1985) + IF(BD1985&gt;=115%,115%,BD1985) + IF(BE1985&gt;=115%,115%,BE1985) + IF(BF1985&gt;=115%,115%,BF1985) + IF(BG1985&gt;=115%,115%,BG1985) + IF(BH1985&gt;=115%,115%,BH1985)))/_xlfn.XLOOKUP(F1985,Apuração!A:A,Apuração!B:B)&gt;=1.15,1.15,((IF(AZ1985&gt;=115%,115%,AZ1985) + IF(AX1985&gt;=115%,115%,AX1985) + IF(AY1985&gt;=115%,115%,AY1985) + (IF(AW1985&gt;=115%,115%,AW1985) + IF(BA1985&gt;=115%,115%,BA1985) + IF(BB1985&gt;=115%,115%,BB1985) + IF(BC1985&gt;=115%,115%,BC1985) + IF(BD1985&gt;=115%,115%,BD1985) + IF(BE1985&gt;=115%,115%,BE1985) + IF(BF1985&gt;=115%,115%,BF1985) + IF(BG1985&gt;=115%,115%,BG1985) + IF(BH1985&gt;=115%,115%,BH1985)))/_xlfn.XLOOKUP(F1985,Apuração!A:A,Apuração!B:B)))</f>
        <v>0.34583333333333338</v>
      </c>
      <c r="BL1985" s="58" cm="1">
        <f t="array" aca="1" ref="BL1985" ca="1">IF(SUM(IFERROR(IF(INDEX(AW1985:INDEX(AW1985:BH1985, MATCH(2, 1/(AW1985:BH1985&lt;&gt;""), 1)-1), ROW(INDIRECT("1:" &amp; MATCH(2, 1/(AW1985:BH1985&lt;&gt;""), 1)-1))) &gt;= 115%, 115%, INDEX(AW1985:INDEX(AW1985:BH1985, MATCH(2, 1/(AW1985:BH1985&lt;&gt;""), 1)-1), ROW(INDIRECT("1:" &amp; MATCH(2, 1/(AW1985:BH1985&lt;&gt;""), 1)-1)))), 0))/_xlfn.XLOOKUP(F1985,Apuração!A:A,Apuração!B:B)&gt;=1.15,1.15,SUM(IFERROR(IF(INDEX(AW1985:INDEX(AW1985:BH1985, MATCH(2, 1/(AW1985:BH1985&lt;&gt;""), 1)-1), ROW(INDIRECT("1:" &amp; MATCH(2, 1/(AW1985:BH1985&lt;&gt;""), 1)-1))) &gt;= 115%, 115%, INDEX(AW1985:INDEX(AW1985:BH1985, MATCH(2, 1/(AW1985:BH1985&lt;&gt;""), 1)-1), ROW(INDIRECT("1:" &amp; MATCH(2, 1/(AW1985:BH1985&lt;&gt;""), 1)-1)))), 0))/_xlfn.XLOOKUP(F1985,Apuração!A:A,Apuração!B:B))</f>
        <v>0.25</v>
      </c>
      <c r="BM1985" s="55" cm="1">
        <f t="array" ref="BM1985">IFERROR(
   INDEX($AW$1:$BH$1,
      _xlfn.AGGREGATE(14, 6, COLUMN($AW$1:$BH$1)/(AW1985:BH1985&lt;&gt;""), 2) - COLUMN($AW$1) + 1
   ),
"")</f>
        <v>46082</v>
      </c>
      <c r="BN1985" s="55" cm="1">
        <f t="array" ref="BN1985">IFERROR(INDEX($AW$1:$BH$1,1,MATCH(2,1/(AW1985:BH1985&lt;&gt;""))),"")</f>
        <v>46113</v>
      </c>
      <c r="BO1985" s="53">
        <f ca="1">IFERROR(_xlfn.XLOOKUP(F1985,Apuração!A:A,Apuração!C:C)/_xlfn.XLOOKUP(F1985,Apuração!A:A,Apuração!B:B),0)</f>
        <v>0.41666666666666669</v>
      </c>
      <c r="BP1985" s="53">
        <f ca="1">IFERROR(_xlfn.XLOOKUP(F1985,Apuração!A:A,Apuração!D:D)/_xlfn.XLOOKUP(F1985,Apuração!A:A,Apuração!B:B),0)</f>
        <v>0.33333333333333331</v>
      </c>
      <c r="BQ1985" s="53">
        <f ca="1">IF(BK1985&gt;=BO1985,0,_xlfn.XLOOKUP(F1985,Apuração!A:A,Apuração!B:B)*(BO1985 + (1/_xlfn.XLOOKUP(F1985,Apuração!A:A,Apuração!B:B)) - BK1985))</f>
        <v>1.8499999999999994</v>
      </c>
      <c r="BR1985" s="85">
        <f t="shared" ca="1" si="2311"/>
        <v>7.3999999999999977</v>
      </c>
      <c r="BS1985" s="53">
        <f ca="1">IFERROR((_xlfn.XLOOKUP(F1985,Apuração!A:A,Apuração!C:C)+1)/_xlfn.XLOOKUP(F1985,Apuração!A:A,Apuração!B:B),0)</f>
        <v>0.5</v>
      </c>
    </row>
    <row r="1986" spans="1:71" ht="25.95" hidden="1" customHeight="1" x14ac:dyDescent="0.3">
      <c r="A1986" s="3" t="s">
        <v>33</v>
      </c>
      <c r="B1986" s="4" t="s">
        <v>77</v>
      </c>
      <c r="C1986" s="5" t="s">
        <v>216</v>
      </c>
      <c r="D1986" s="5" t="s">
        <v>218</v>
      </c>
      <c r="E1986" s="4" t="str" cm="1">
        <f t="array" ref="E1986">_xlfn.IFS(
F1986 = "A partir de Abril", "Aguardando Execução na Distribuidora",
A1986 = "CAPACITAÇÃO", "Em execução no Corporativo",
TRUE, "Em Execução na Distribuidora"
)</f>
        <v>Em Execução na Distribuidora</v>
      </c>
      <c r="F1986" s="4" t="str" cm="1">
        <f t="array" ref="F1986">_xlfn.IFS(
AG1986 &lt;&gt; "", "Jan-Dez/26",
AH1986 &lt;&gt; "", "Fev-Dez/26",
AI1986 &lt;&gt; "", "Mar-Dez/26", AJ1986 &lt;&gt; "", "Abr-Dez/26",
TRUE, "A partir de Junho"
)</f>
        <v>Jan-Dez/26</v>
      </c>
      <c r="G1986" s="4" t="s">
        <v>37</v>
      </c>
      <c r="H1986" s="7" t="s">
        <v>110</v>
      </c>
      <c r="I1986" s="8" t="s">
        <v>78</v>
      </c>
      <c r="J1986" s="8" t="str" cm="1">
        <f t="array" aca="1" ref="J1986" ca="1">_xlfn.LET(
  _xlpm.actual_value_month, INDEX(T1986:AE1986, MATCH(DATE(YEAR(TODAY()), MONTH(TODAY()), 1), $T$1:$AE$1, 0)),
  IF(_xlpm.actual_value_month &lt;&gt; "",_xlpm.actual_value_month &amp; " eventos mensais", "")
)</f>
        <v>4 eventos mensais</v>
      </c>
      <c r="K1986" s="8" t="str" cm="1">
        <f t="array" ref="K1986">_xlfn.LET(
    _xlpm.sum_month, SUM(T1986:AE1986),
    IF(_xlpm.sum_month = 0, "", _xlpm.sum_month &amp; " eventos no ano.")
)</f>
        <v>46 eventos no ano.</v>
      </c>
      <c r="L1986" s="9" t="s">
        <v>56</v>
      </c>
      <c r="M1986" s="13" t="s">
        <v>79</v>
      </c>
      <c r="N1986" s="5" t="s">
        <v>42</v>
      </c>
      <c r="O1986" s="5" t="s">
        <v>43</v>
      </c>
      <c r="P1986" s="10" t="s">
        <v>44</v>
      </c>
      <c r="Q1986" s="10" t="s">
        <v>44</v>
      </c>
      <c r="R1986" s="11" t="s">
        <v>44</v>
      </c>
      <c r="S1986" s="11" t="s">
        <v>44</v>
      </c>
      <c r="T1986" s="143">
        <v>3</v>
      </c>
      <c r="U1986" s="143">
        <v>5</v>
      </c>
      <c r="V1986" s="143">
        <v>2</v>
      </c>
      <c r="W1986" s="143">
        <v>4</v>
      </c>
      <c r="X1986" s="143">
        <v>4</v>
      </c>
      <c r="Y1986" s="143">
        <v>4</v>
      </c>
      <c r="Z1986" s="143">
        <v>4</v>
      </c>
      <c r="AA1986" s="143">
        <v>4</v>
      </c>
      <c r="AB1986" s="143">
        <v>4</v>
      </c>
      <c r="AC1986" s="143">
        <v>4</v>
      </c>
      <c r="AD1986" s="143">
        <v>4</v>
      </c>
      <c r="AE1986" s="143">
        <v>4</v>
      </c>
      <c r="AG1986" s="146">
        <v>3</v>
      </c>
      <c r="AH1986" s="150">
        <v>5</v>
      </c>
      <c r="AI1986" s="150">
        <v>2</v>
      </c>
      <c r="AJ1986" s="150">
        <v>12</v>
      </c>
      <c r="AK1986" s="71"/>
      <c r="AL1986" s="71"/>
      <c r="AM1986" s="71"/>
      <c r="AN1986" s="71"/>
      <c r="AO1986" s="71"/>
      <c r="AP1986" s="71"/>
      <c r="AQ1986" s="71"/>
      <c r="AR1986" s="71"/>
      <c r="AS1986" s="94">
        <f t="shared" ca="1" si="2304"/>
        <v>18</v>
      </c>
      <c r="AT1986" s="95">
        <f t="shared" si="2305"/>
        <v>14.6</v>
      </c>
      <c r="AU1986" s="97">
        <f t="shared" si="2306"/>
        <v>22</v>
      </c>
      <c r="AW1986" s="51">
        <f t="shared" si="2307"/>
        <v>1</v>
      </c>
      <c r="AX1986" s="51">
        <f t="shared" si="2308"/>
        <v>1</v>
      </c>
      <c r="AY1986" s="51">
        <f t="shared" si="2309"/>
        <v>1</v>
      </c>
      <c r="AZ1986" s="51">
        <f t="shared" si="2310"/>
        <v>3</v>
      </c>
      <c r="BA1986" s="51"/>
      <c r="BB1986" s="51"/>
      <c r="BC1986" s="51"/>
      <c r="BD1986" s="51"/>
      <c r="BE1986" s="51"/>
      <c r="BF1986" s="51"/>
      <c r="BG1986" s="51"/>
      <c r="BH1986" s="51"/>
      <c r="BI1986" s="65" cm="1">
        <f t="array" ref="BI1986">IFERROR(INDEX(AW1986:BH1986,1,MATCH(2,1/(AW1986:BH1986&lt;&gt;""))),"")</f>
        <v>3</v>
      </c>
      <c r="BJ1986" s="68" cm="1">
        <f t="array" ref="BJ1986">IF(BM1986 = "", "",IFERROR(INDEX(AW1986:BH1986,1,MATCH(2,1/(AW1986:BH1986&lt;&gt;""),1)-1),""))</f>
        <v>1</v>
      </c>
      <c r="BK1986" s="58">
        <f>IF((IF(AW1986&gt;=115%,115%,AW1986) + IF(AX1986&gt;=115%,115%,AX1986) + IF(AY1986&gt;=115%,115%,AY1986) + (IF(AZ1986&gt;=115%,115%,AZ1986) + IF(BA1986&gt;=115%,115%,BA1986) + IF(BB1986&gt;=115%,115%,BB1986) + IF(BC1986&gt;=115%,115%,BC1986) + IF(BD1986&gt;=115%,115%,BD1986) + IF(BE1986&gt;=115%,115%,BE1986) + IF(BF1986&gt;=115%,115%,BF1986) + IF(BG1986&gt;=115%,115%,BG1986) + IF(BH1986&gt;=115%,115%,BH1986)))/_xlfn.XLOOKUP(F1986,Apuração!A:A,Apuração!B:B)&gt;=1.15,1.15,((IF(AZ1986&gt;=115%,115%,AZ1986) + IF(AX1986&gt;=115%,115%,AX1986) + IF(AY1986&gt;=115%,115%,AY1986) + (IF(AW1986&gt;=115%,115%,AW1986) + IF(BA1986&gt;=115%,115%,BA1986) + IF(BB1986&gt;=115%,115%,BB1986) + IF(BC1986&gt;=115%,115%,BC1986) + IF(BD1986&gt;=115%,115%,BD1986) + IF(BE1986&gt;=115%,115%,BE1986) + IF(BF1986&gt;=115%,115%,BF1986) + IF(BG1986&gt;=115%,115%,BG1986) + IF(BH1986&gt;=115%,115%,BH1986)))/_xlfn.XLOOKUP(F1986,Apuração!A:A,Apuração!B:B)))</f>
        <v>0.34583333333333338</v>
      </c>
      <c r="BL1986" s="58" cm="1">
        <f t="array" aca="1" ref="BL1986" ca="1">IF(SUM(IFERROR(IF(INDEX(AW1986:INDEX(AW1986:BH1986, MATCH(2, 1/(AW1986:BH1986&lt;&gt;""), 1)-1), ROW(INDIRECT("1:" &amp; MATCH(2, 1/(AW1986:BH1986&lt;&gt;""), 1)-1))) &gt;= 115%, 115%, INDEX(AW1986:INDEX(AW1986:BH1986, MATCH(2, 1/(AW1986:BH1986&lt;&gt;""), 1)-1), ROW(INDIRECT("1:" &amp; MATCH(2, 1/(AW1986:BH1986&lt;&gt;""), 1)-1)))), 0))/_xlfn.XLOOKUP(F1986,Apuração!A:A,Apuração!B:B)&gt;=1.15,1.15,SUM(IFERROR(IF(INDEX(AW1986:INDEX(AW1986:BH1986, MATCH(2, 1/(AW1986:BH1986&lt;&gt;""), 1)-1), ROW(INDIRECT("1:" &amp; MATCH(2, 1/(AW1986:BH1986&lt;&gt;""), 1)-1))) &gt;= 115%, 115%, INDEX(AW1986:INDEX(AW1986:BH1986, MATCH(2, 1/(AW1986:BH1986&lt;&gt;""), 1)-1), ROW(INDIRECT("1:" &amp; MATCH(2, 1/(AW1986:BH1986&lt;&gt;""), 1)-1)))), 0))/_xlfn.XLOOKUP(F1986,Apuração!A:A,Apuração!B:B))</f>
        <v>0.25</v>
      </c>
      <c r="BM1986" s="55" cm="1">
        <f t="array" ref="BM1986">IFERROR(
   INDEX($AW$1:$BH$1,
      _xlfn.AGGREGATE(14, 6, COLUMN($AW$1:$BH$1)/(AW1986:BH1986&lt;&gt;""), 2) - COLUMN($AW$1) + 1
   ),
"")</f>
        <v>46082</v>
      </c>
      <c r="BN1986" s="55" cm="1">
        <f t="array" ref="BN1986">IFERROR(INDEX($AW$1:$BH$1,1,MATCH(2,1/(AW1986:BH1986&lt;&gt;""))),"")</f>
        <v>46113</v>
      </c>
      <c r="BO1986" s="53">
        <f ca="1">IFERROR(_xlfn.XLOOKUP(F1986,Apuração!A:A,Apuração!C:C)/_xlfn.XLOOKUP(F1986,Apuração!A:A,Apuração!B:B),0)</f>
        <v>0.41666666666666669</v>
      </c>
      <c r="BP1986" s="53">
        <f ca="1">IFERROR(_xlfn.XLOOKUP(F1986,Apuração!A:A,Apuração!D:D)/_xlfn.XLOOKUP(F1986,Apuração!A:A,Apuração!B:B),0)</f>
        <v>0.33333333333333331</v>
      </c>
      <c r="BQ1986" s="53">
        <f ca="1">IF(BK1986&gt;=BO1986,0,_xlfn.XLOOKUP(F1986,Apuração!A:A,Apuração!B:B)*(BO1986 + (1/_xlfn.XLOOKUP(F1986,Apuração!A:A,Apuração!B:B)) - BK1986))</f>
        <v>1.8499999999999994</v>
      </c>
      <c r="BR1986" s="85">
        <f t="shared" ca="1" si="2311"/>
        <v>7.3999999999999977</v>
      </c>
      <c r="BS1986" s="53">
        <f ca="1">IFERROR((_xlfn.XLOOKUP(F1986,Apuração!A:A,Apuração!C:C)+1)/_xlfn.XLOOKUP(F1986,Apuração!A:A,Apuração!B:B),0)</f>
        <v>0.5</v>
      </c>
    </row>
    <row r="1987" spans="1:71" ht="25.95" hidden="1" customHeight="1" x14ac:dyDescent="0.3">
      <c r="A1987" s="3" t="s">
        <v>33</v>
      </c>
      <c r="B1987" s="4" t="s">
        <v>77</v>
      </c>
      <c r="C1987" s="5" t="s">
        <v>216</v>
      </c>
      <c r="D1987" s="5" t="s">
        <v>219</v>
      </c>
      <c r="E1987" s="4" t="str" cm="1">
        <f t="array" ref="E1987">_xlfn.IFS(
F1987 = "A partir de Abril", "Aguardando Execução na Distribuidora",
A1987 = "CAPACITAÇÃO", "Em execução no Corporativo",
TRUE, "Em Execução na Distribuidora"
)</f>
        <v>Em Execução na Distribuidora</v>
      </c>
      <c r="F1987" s="4" t="str" cm="1">
        <f t="array" ref="F1987">_xlfn.IFS(
AG1987 &lt;&gt; "", "Jan-Dez/26",
AH1987 &lt;&gt; "", "Fev-Dez/26",
AI1987 &lt;&gt; "", "Mar-Dez/26", AJ1987 &lt;&gt; "", "Abr-Dez/26",
TRUE, "A partir de Junho"
)</f>
        <v>Jan-Dez/26</v>
      </c>
      <c r="G1987" s="4" t="s">
        <v>37</v>
      </c>
      <c r="H1987" s="7" t="s">
        <v>110</v>
      </c>
      <c r="I1987" s="8" t="s">
        <v>78</v>
      </c>
      <c r="J1987" s="8" t="str" cm="1">
        <f t="array" aca="1" ref="J1987" ca="1">_xlfn.LET(
  _xlpm.actual_value_month, INDEX(T1987:AE1987, MATCH(DATE(YEAR(TODAY()), MONTH(TODAY()), 1), $T$1:$AE$1, 0)),
  IF(_xlpm.actual_value_month &lt;&gt; "",_xlpm.actual_value_month &amp; " eventos mensais", "")
)</f>
        <v>4 eventos mensais</v>
      </c>
      <c r="K1987" s="8" t="str" cm="1">
        <f t="array" ref="K1987">_xlfn.LET(
    _xlpm.sum_month, SUM(T1987:AE1987),
    IF(_xlpm.sum_month = 0, "", _xlpm.sum_month &amp; " eventos no ano.")
)</f>
        <v>42 eventos no ano.</v>
      </c>
      <c r="L1987" s="9" t="s">
        <v>56</v>
      </c>
      <c r="M1987" s="13" t="s">
        <v>79</v>
      </c>
      <c r="N1987" s="5" t="s">
        <v>42</v>
      </c>
      <c r="O1987" s="5" t="s">
        <v>43</v>
      </c>
      <c r="P1987" s="10" t="s">
        <v>44</v>
      </c>
      <c r="Q1987" s="10" t="s">
        <v>44</v>
      </c>
      <c r="R1987" s="11" t="s">
        <v>44</v>
      </c>
      <c r="S1987" s="11" t="s">
        <v>44</v>
      </c>
      <c r="T1987" s="143">
        <v>2</v>
      </c>
      <c r="U1987" s="143">
        <v>2</v>
      </c>
      <c r="V1987" s="143">
        <v>2</v>
      </c>
      <c r="W1987" s="143">
        <v>4</v>
      </c>
      <c r="X1987" s="143">
        <v>4</v>
      </c>
      <c r="Y1987" s="143">
        <v>4</v>
      </c>
      <c r="Z1987" s="143">
        <v>4</v>
      </c>
      <c r="AA1987" s="143">
        <v>4</v>
      </c>
      <c r="AB1987" s="143">
        <v>4</v>
      </c>
      <c r="AC1987" s="143">
        <v>4</v>
      </c>
      <c r="AD1987" s="143">
        <v>4</v>
      </c>
      <c r="AE1987" s="143">
        <v>4</v>
      </c>
      <c r="AG1987" s="146">
        <v>2</v>
      </c>
      <c r="AH1987" s="150">
        <v>2</v>
      </c>
      <c r="AI1987" s="150">
        <v>2</v>
      </c>
      <c r="AJ1987" s="150">
        <v>26</v>
      </c>
      <c r="AK1987" s="71"/>
      <c r="AL1987" s="71"/>
      <c r="AM1987" s="71"/>
      <c r="AN1987" s="71"/>
      <c r="AO1987" s="71"/>
      <c r="AP1987" s="71"/>
      <c r="AQ1987" s="71"/>
      <c r="AR1987" s="71"/>
      <c r="AS1987" s="94">
        <f t="shared" ca="1" si="2304"/>
        <v>14</v>
      </c>
      <c r="AT1987" s="95">
        <f t="shared" si="2305"/>
        <v>10.6</v>
      </c>
      <c r="AU1987" s="97">
        <f t="shared" si="2306"/>
        <v>32</v>
      </c>
      <c r="AW1987" s="51">
        <f t="shared" si="2307"/>
        <v>1</v>
      </c>
      <c r="AX1987" s="51">
        <f t="shared" si="2308"/>
        <v>1</v>
      </c>
      <c r="AY1987" s="51">
        <f t="shared" si="2309"/>
        <v>1</v>
      </c>
      <c r="AZ1987" s="51">
        <f t="shared" si="2310"/>
        <v>6.5</v>
      </c>
      <c r="BA1987" s="51"/>
      <c r="BB1987" s="51"/>
      <c r="BC1987" s="51"/>
      <c r="BD1987" s="51"/>
      <c r="BE1987" s="51"/>
      <c r="BF1987" s="51"/>
      <c r="BG1987" s="51"/>
      <c r="BH1987" s="51"/>
      <c r="BI1987" s="65" cm="1">
        <f t="array" ref="BI1987">IFERROR(INDEX(AW1987:BH1987,1,MATCH(2,1/(AW1987:BH1987&lt;&gt;""))),"")</f>
        <v>6.5</v>
      </c>
      <c r="BJ1987" s="68" cm="1">
        <f t="array" ref="BJ1987">IF(BM1987 = "", "",IFERROR(INDEX(AW1987:BH1987,1,MATCH(2,1/(AW1987:BH1987&lt;&gt;""),1)-1),""))</f>
        <v>1</v>
      </c>
      <c r="BK1987" s="58">
        <f>IF((IF(AW1987&gt;=115%,115%,AW1987) + IF(AX1987&gt;=115%,115%,AX1987) + IF(AY1987&gt;=115%,115%,AY1987) + (IF(AZ1987&gt;=115%,115%,AZ1987) + IF(BA1987&gt;=115%,115%,BA1987) + IF(BB1987&gt;=115%,115%,BB1987) + IF(BC1987&gt;=115%,115%,BC1987) + IF(BD1987&gt;=115%,115%,BD1987) + IF(BE1987&gt;=115%,115%,BE1987) + IF(BF1987&gt;=115%,115%,BF1987) + IF(BG1987&gt;=115%,115%,BG1987) + IF(BH1987&gt;=115%,115%,BH1987)))/_xlfn.XLOOKUP(F1987,Apuração!A:A,Apuração!B:B)&gt;=1.15,1.15,((IF(AZ1987&gt;=115%,115%,AZ1987) + IF(AX1987&gt;=115%,115%,AX1987) + IF(AY1987&gt;=115%,115%,AY1987) + (IF(AW1987&gt;=115%,115%,AW1987) + IF(BA1987&gt;=115%,115%,BA1987) + IF(BB1987&gt;=115%,115%,BB1987) + IF(BC1987&gt;=115%,115%,BC1987) + IF(BD1987&gt;=115%,115%,BD1987) + IF(BE1987&gt;=115%,115%,BE1987) + IF(BF1987&gt;=115%,115%,BF1987) + IF(BG1987&gt;=115%,115%,BG1987) + IF(BH1987&gt;=115%,115%,BH1987)))/_xlfn.XLOOKUP(F1987,Apuração!A:A,Apuração!B:B)))</f>
        <v>0.34583333333333338</v>
      </c>
      <c r="BL1987" s="58" cm="1">
        <f t="array" aca="1" ref="BL1987" ca="1">IF(SUM(IFERROR(IF(INDEX(AW1987:INDEX(AW1987:BH1987, MATCH(2, 1/(AW1987:BH1987&lt;&gt;""), 1)-1), ROW(INDIRECT("1:" &amp; MATCH(2, 1/(AW1987:BH1987&lt;&gt;""), 1)-1))) &gt;= 115%, 115%, INDEX(AW1987:INDEX(AW1987:BH1987, MATCH(2, 1/(AW1987:BH1987&lt;&gt;""), 1)-1), ROW(INDIRECT("1:" &amp; MATCH(2, 1/(AW1987:BH1987&lt;&gt;""), 1)-1)))), 0))/_xlfn.XLOOKUP(F1987,Apuração!A:A,Apuração!B:B)&gt;=1.15,1.15,SUM(IFERROR(IF(INDEX(AW1987:INDEX(AW1987:BH1987, MATCH(2, 1/(AW1987:BH1987&lt;&gt;""), 1)-1), ROW(INDIRECT("1:" &amp; MATCH(2, 1/(AW1987:BH1987&lt;&gt;""), 1)-1))) &gt;= 115%, 115%, INDEX(AW1987:INDEX(AW1987:BH1987, MATCH(2, 1/(AW1987:BH1987&lt;&gt;""), 1)-1), ROW(INDIRECT("1:" &amp; MATCH(2, 1/(AW1987:BH1987&lt;&gt;""), 1)-1)))), 0))/_xlfn.XLOOKUP(F1987,Apuração!A:A,Apuração!B:B))</f>
        <v>0.25</v>
      </c>
      <c r="BM1987" s="55" cm="1">
        <f t="array" ref="BM1987">IFERROR(
   INDEX($AW$1:$BH$1,
      _xlfn.AGGREGATE(14, 6, COLUMN($AW$1:$BH$1)/(AW1987:BH1987&lt;&gt;""), 2) - COLUMN($AW$1) + 1
   ),
"")</f>
        <v>46082</v>
      </c>
      <c r="BN1987" s="55" cm="1">
        <f t="array" ref="BN1987">IFERROR(INDEX($AW$1:$BH$1,1,MATCH(2,1/(AW1987:BH1987&lt;&gt;""))),"")</f>
        <v>46113</v>
      </c>
      <c r="BO1987" s="53">
        <f ca="1">IFERROR(_xlfn.XLOOKUP(F1987,Apuração!A:A,Apuração!C:C)/_xlfn.XLOOKUP(F1987,Apuração!A:A,Apuração!B:B),0)</f>
        <v>0.41666666666666669</v>
      </c>
      <c r="BP1987" s="53">
        <f ca="1">IFERROR(_xlfn.XLOOKUP(F1987,Apuração!A:A,Apuração!D:D)/_xlfn.XLOOKUP(F1987,Apuração!A:A,Apuração!B:B),0)</f>
        <v>0.33333333333333331</v>
      </c>
      <c r="BQ1987" s="53">
        <f ca="1">IF(BK1987&gt;=BO1987,0,_xlfn.XLOOKUP(F1987,Apuração!A:A,Apuração!B:B)*(BO1987 + (1/_xlfn.XLOOKUP(F1987,Apuração!A:A,Apuração!B:B)) - BK1987))</f>
        <v>1.8499999999999994</v>
      </c>
      <c r="BR1987" s="85">
        <f t="shared" ca="1" si="2311"/>
        <v>7.3999999999999977</v>
      </c>
      <c r="BS1987" s="53">
        <f ca="1">IFERROR((_xlfn.XLOOKUP(F1987,Apuração!A:A,Apuração!C:C)+1)/_xlfn.XLOOKUP(F1987,Apuração!A:A,Apuração!B:B),0)</f>
        <v>0.5</v>
      </c>
    </row>
    <row r="1988" spans="1:71" ht="25.95" hidden="1" customHeight="1" x14ac:dyDescent="0.3">
      <c r="A1988" s="39" t="s">
        <v>33</v>
      </c>
      <c r="B1988" s="4" t="s">
        <v>77</v>
      </c>
      <c r="C1988" s="5" t="s">
        <v>216</v>
      </c>
      <c r="D1988" s="5" t="s">
        <v>36</v>
      </c>
      <c r="E1988" s="4" t="str" cm="1">
        <f t="array" ref="E1988">_xlfn.IFS(
F1988 = "A partir de Abril", "Aguardando Execução na Distribuidora",
A1988 = "CAPACITAÇÃO", "Em execução no Corporativo",
TRUE, "Em Execução na Distribuidora"
)</f>
        <v>Em Execução na Distribuidora</v>
      </c>
      <c r="F1988" s="4" t="str" cm="1">
        <f t="array" ref="F1988">_xlfn.IFS(
AG1988 &lt;&gt; "", "Jan-Dez/26",
AH1988 &lt;&gt; "", "Fev-Dez/26",
AI1988 &lt;&gt; "", "Mar-Dez/26", AJ1988 &lt;&gt; "", "Abr-Dez/26",
TRUE, "A partir de Junho"
)</f>
        <v>Jan-Dez/26</v>
      </c>
      <c r="G1988" s="4" t="s">
        <v>37</v>
      </c>
      <c r="H1988" s="7" t="s">
        <v>110</v>
      </c>
      <c r="I1988" s="9" t="s">
        <v>76</v>
      </c>
      <c r="J1988" s="8" t="str" cm="1">
        <f t="array" aca="1" ref="J1988" ca="1">_xlfn.LET(
  _xlpm.actual_value_month, INDEX(T1988:AE1988, MATCH(DATE(YEAR(TODAY()), MONTH(TODAY()), 1), $T$1:$AE$1, 0)),
  IF(_xlpm.actual_value_month &lt;&gt; "",_xlpm.actual_value_month &amp; " ações mensais", "")
)</f>
        <v/>
      </c>
      <c r="K1988" s="8" t="str" cm="1">
        <f t="array" ref="K1988">_xlfn.LET(
    _xlpm.sum_month, SUM(T1988:AE1988),
    IF(_xlpm.sum_month = 0, "", _xlpm.sum_month &amp; " pessoas impactadas no ano.")
)</f>
        <v/>
      </c>
      <c r="L1988" s="9" t="s">
        <v>76</v>
      </c>
      <c r="M1988" s="19">
        <v>1</v>
      </c>
      <c r="N1988" s="5" t="s">
        <v>51</v>
      </c>
      <c r="O1988" s="5" t="s">
        <v>52</v>
      </c>
      <c r="P1988" s="10" t="s">
        <v>44</v>
      </c>
      <c r="Q1988" s="10" t="s">
        <v>44</v>
      </c>
      <c r="R1988" s="11" t="s">
        <v>44</v>
      </c>
      <c r="S1988" s="11" t="s">
        <v>44</v>
      </c>
      <c r="T1988" s="22"/>
      <c r="U1988" s="22"/>
      <c r="V1988" s="22"/>
      <c r="W1988" s="22"/>
      <c r="X1988" s="22"/>
      <c r="Y1988" s="22"/>
      <c r="Z1988" s="22"/>
      <c r="AA1988" s="22"/>
      <c r="AB1988" s="22"/>
      <c r="AC1988" s="22"/>
      <c r="AD1988" s="22"/>
      <c r="AE1988" s="22"/>
      <c r="AG1988" s="71">
        <v>1713</v>
      </c>
      <c r="AH1988" s="71">
        <v>2772</v>
      </c>
      <c r="AI1988" s="71">
        <v>838</v>
      </c>
      <c r="AJ1988" s="71">
        <v>10014</v>
      </c>
      <c r="AK1988" s="71"/>
      <c r="AL1988" s="71"/>
      <c r="AM1988" s="71"/>
      <c r="AN1988" s="71"/>
      <c r="AO1988" s="71"/>
      <c r="AP1988" s="71"/>
      <c r="AQ1988" s="71"/>
      <c r="AR1988" s="71"/>
      <c r="AS1988" s="94">
        <f ca="1">IF(MONTH(TODAY())=3,SUM(T1988:U1988),IF(MONTH(TODAY())=4,SUM(T1988:V1988),IF(MONTH(TODAY())=5,SUM(T1988:W1988),IF(MONTH(TODAY())=6,SUM(T1988:X1988),IF(MONTH(TODAY())=7,SUM(T1988:Y1988),IF(MONTH(TODAY())=8,SUM(T1988:Z1988),IF(MONTH(TODAY())=9,SUM(T1988:AA1988),IF(MONTH(TODAY())=10,SUM(T1988:AB1988),IF(MONTH(TODAY())=11,SUM(T1988:AC1988),IF(MONTH(TODAY())=12,SUM(T1988:AD1988),IF(MONTH(TODAY())=1,SUM(T1988:AE1988),T1988)))))))))))</f>
        <v>0</v>
      </c>
      <c r="AT1988" s="95">
        <f>SUM(AG1988:AR1988)</f>
        <v>15337</v>
      </c>
      <c r="AU1988" s="97">
        <f>SUM(AG1988:AR1988)</f>
        <v>15337</v>
      </c>
      <c r="AW1988" s="83">
        <f>AG1988</f>
        <v>1713</v>
      </c>
      <c r="AX1988" s="83">
        <f>AH1988</f>
        <v>2772</v>
      </c>
      <c r="AY1988" s="83">
        <f>AI1988</f>
        <v>838</v>
      </c>
      <c r="AZ1988" s="83">
        <f>AJ1988</f>
        <v>10014</v>
      </c>
      <c r="BA1988" s="83"/>
      <c r="BB1988" s="83"/>
      <c r="BC1988" s="83"/>
      <c r="BD1988" s="83"/>
      <c r="BE1988" s="83"/>
      <c r="BF1988" s="83"/>
      <c r="BG1988" s="83"/>
      <c r="BH1988" s="83"/>
      <c r="BI1988" s="68" cm="1">
        <f t="array" ref="BI1988">IFERROR(INDEX(AW1988:BH1988,1,MATCH(2,1/(AW1988:BH1988&lt;&gt;""))),"")</f>
        <v>10014</v>
      </c>
      <c r="BJ1988" s="68" cm="1">
        <f t="array" ref="BJ1988">IF(BM1988 = "", "",IFERROR(INDEX(AW1988:BH1988,1,MATCH(2,1/(AW1988:BH1988&lt;&gt;""),1)-1),""))</f>
        <v>838</v>
      </c>
      <c r="BK1988" s="59">
        <f>SUM(AW1988:BH1988)</f>
        <v>15337</v>
      </c>
      <c r="BL1988" s="59" cm="1">
        <f t="array" ref="BL1988">IFERROR(SUM(AW1988:INDEX(AW1988:BH1988, MATCH(2, 1/(AW1988:BH1988&lt;&gt;""), 1) - 1))/_xlfn.XLOOKUP(F1988,Apuração!A:A,Apuração!B:B),0)</f>
        <v>443.58333333333331</v>
      </c>
      <c r="BM1988" s="55" cm="1">
        <f t="array" ref="BM1988">IFERROR(
   INDEX($AW$1:$BH$1,
      _xlfn.AGGREGATE(14, 6, COLUMN($AW$1:$BH$1)/(AW1988:BH1988&lt;&gt;""), 2) - COLUMN($AW$1) + 1
   ),
"")</f>
        <v>46082</v>
      </c>
      <c r="BN1988" s="55" cm="1">
        <f t="array" ref="BN1988">IFERROR(INDEX($AW$1:$BH$1,1,MATCH(2,1/(AW1988:BH1988&lt;&gt;""))),"")</f>
        <v>46113</v>
      </c>
      <c r="BO1988" s="53">
        <f ca="1">IFERROR(_xlfn.XLOOKUP(F1988,Apuração!A:A,Apuração!C:C)/_xlfn.XLOOKUP(F1988,Apuração!A:A,Apuração!B:B),0)</f>
        <v>0.41666666666666669</v>
      </c>
      <c r="BP1988" s="53">
        <f ca="1">IFERROR(_xlfn.XLOOKUP(F1988,Apuração!A:A,Apuração!D:D)/_xlfn.XLOOKUP(F1988,Apuração!A:A,Apuração!B:B),0)</f>
        <v>0.33333333333333331</v>
      </c>
      <c r="BQ1988" s="53">
        <f ca="1">IF(BK1988&gt;=BO1988,0,_xlfn.XLOOKUP(F1988,Apuração!A:A,Apuração!B:B)*(BO1988 + (1/_xlfn.XLOOKUP(F1988,Apuração!A:A,Apuração!B:B)) - BK1988))</f>
        <v>0</v>
      </c>
      <c r="BR1988" s="85">
        <f ca="1">IF(BQ1988=0,0,BQ1988*Z1988)</f>
        <v>0</v>
      </c>
      <c r="BS1988" s="53">
        <f ca="1">IFERROR((_xlfn.XLOOKUP(F1988,Apuração!A:A,Apuração!C:C)+1)/_xlfn.XLOOKUP(F1988,Apuração!A:A,Apuração!B:B),0)</f>
        <v>0.5</v>
      </c>
    </row>
    <row r="1989" spans="1:71" ht="25.95" hidden="1" customHeight="1" x14ac:dyDescent="0.3">
      <c r="A1989" s="39" t="s">
        <v>33</v>
      </c>
      <c r="B1989" s="4" t="s">
        <v>77</v>
      </c>
      <c r="C1989" s="5" t="s">
        <v>216</v>
      </c>
      <c r="D1989" s="5" t="s">
        <v>217</v>
      </c>
      <c r="E1989" s="4" t="str" cm="1">
        <f t="array" ref="E1989">_xlfn.IFS(
F1989 = "A partir de Abril", "Aguardando Execução na Distribuidora",
A1989 = "CAPACITAÇÃO", "Em execução no Corporativo",
TRUE, "Em Execução na Distribuidora"
)</f>
        <v>Em Execução na Distribuidora</v>
      </c>
      <c r="F1989" s="4" t="str" cm="1">
        <f t="array" ref="F1989">_xlfn.IFS(
AG1989 &lt;&gt; "", "Jan-Dez/26",
AH1989 &lt;&gt; "", "Fev-Dez/26",
AI1989 &lt;&gt; "", "Mar-Dez/26", AJ1989 &lt;&gt; "", "Abr-Dez/26",
TRUE, "A partir de Junho"
)</f>
        <v>Jan-Dez/26</v>
      </c>
      <c r="G1989" s="4" t="s">
        <v>37</v>
      </c>
      <c r="H1989" s="7" t="s">
        <v>110</v>
      </c>
      <c r="I1989" s="9" t="s">
        <v>76</v>
      </c>
      <c r="J1989" s="8" t="str" cm="1">
        <f t="array" aca="1" ref="J1989" ca="1">_xlfn.LET(
  _xlpm.actual_value_month, INDEX(T1989:AE1989, MATCH(DATE(YEAR(TODAY()), MONTH(TODAY()), 1), $T$1:$AE$1, 0)),
  IF(_xlpm.actual_value_month &lt;&gt; "",_xlpm.actual_value_month &amp; " ações mensais", "")
)</f>
        <v/>
      </c>
      <c r="K1989" s="8" t="str" cm="1">
        <f t="array" ref="K1989">_xlfn.LET(
    _xlpm.sum_month, SUM(T1989:AE1989),
    IF(_xlpm.sum_month = 0, "", _xlpm.sum_month &amp; " pessoas impactadas no ano.")
)</f>
        <v/>
      </c>
      <c r="L1989" s="9" t="s">
        <v>76</v>
      </c>
      <c r="M1989" s="19">
        <v>1</v>
      </c>
      <c r="N1989" s="5" t="s">
        <v>51</v>
      </c>
      <c r="O1989" s="5" t="s">
        <v>52</v>
      </c>
      <c r="P1989" s="10" t="s">
        <v>44</v>
      </c>
      <c r="Q1989" s="10" t="s">
        <v>44</v>
      </c>
      <c r="R1989" s="11" t="s">
        <v>44</v>
      </c>
      <c r="S1989" s="11" t="s">
        <v>44</v>
      </c>
      <c r="T1989" s="22"/>
      <c r="U1989" s="22"/>
      <c r="V1989" s="22"/>
      <c r="W1989" s="22"/>
      <c r="X1989" s="22"/>
      <c r="Y1989" s="22"/>
      <c r="Z1989" s="22"/>
      <c r="AA1989" s="22"/>
      <c r="AB1989" s="22"/>
      <c r="AC1989" s="22"/>
      <c r="AD1989" s="22"/>
      <c r="AE1989" s="22"/>
      <c r="AG1989" s="145">
        <v>0</v>
      </c>
      <c r="AH1989" s="149">
        <v>72</v>
      </c>
      <c r="AI1989" s="149">
        <v>354</v>
      </c>
      <c r="AJ1989" s="153">
        <v>1917</v>
      </c>
      <c r="AK1989" s="71"/>
      <c r="AL1989" s="71"/>
      <c r="AM1989" s="71"/>
      <c r="AN1989" s="71"/>
      <c r="AO1989" s="71"/>
      <c r="AP1989" s="71"/>
      <c r="AQ1989" s="71"/>
      <c r="AR1989" s="71"/>
      <c r="AS1989" s="94">
        <f t="shared" ref="AS1989:AS1992" ca="1" si="2312">IF(MONTH(TODAY())=3,SUM(T1989:U1989),IF(MONTH(TODAY())=4,SUM(T1989:V1989),IF(MONTH(TODAY())=5,SUM(T1989:W1989),IF(MONTH(TODAY())=6,SUM(T1989:X1989),IF(MONTH(TODAY())=7,SUM(T1989:Y1989),IF(MONTH(TODAY())=8,SUM(T1989:Z1989),IF(MONTH(TODAY())=9,SUM(T1989:AA1989),IF(MONTH(TODAY())=10,SUM(T1989:AB1989),IF(MONTH(TODAY())=11,SUM(T1989:AC1989),IF(MONTH(TODAY())=12,SUM(T1989:AD1989),IF(MONTH(TODAY())=1,SUM(T1989:AE1989),T1989)))))))))))</f>
        <v>0</v>
      </c>
      <c r="AT1989" s="95">
        <f t="shared" ref="AT1989:AT1992" si="2313">SUM(AG1989:AR1989)</f>
        <v>2343</v>
      </c>
      <c r="AU1989" s="97">
        <f t="shared" ref="AU1989:AU1992" si="2314">SUM(AG1989:AR1989)</f>
        <v>2343</v>
      </c>
      <c r="AW1989" s="83">
        <f t="shared" ref="AW1989:AW1992" si="2315">AG1989</f>
        <v>0</v>
      </c>
      <c r="AX1989" s="83">
        <f t="shared" ref="AX1989:AX1992" si="2316">AH1989</f>
        <v>72</v>
      </c>
      <c r="AY1989" s="83">
        <f t="shared" ref="AY1989:AY1992" si="2317">AI1989</f>
        <v>354</v>
      </c>
      <c r="AZ1989" s="83">
        <f t="shared" ref="AZ1989:AZ1992" si="2318">AJ1989</f>
        <v>1917</v>
      </c>
      <c r="BA1989" s="83"/>
      <c r="BB1989" s="83"/>
      <c r="BC1989" s="83"/>
      <c r="BD1989" s="83"/>
      <c r="BE1989" s="83"/>
      <c r="BF1989" s="83"/>
      <c r="BG1989" s="83"/>
      <c r="BH1989" s="83"/>
      <c r="BI1989" s="68" cm="1">
        <f t="array" ref="BI1989">IFERROR(INDEX(AW1989:BH1989,1,MATCH(2,1/(AW1989:BH1989&lt;&gt;""))),"")</f>
        <v>1917</v>
      </c>
      <c r="BJ1989" s="68" cm="1">
        <f t="array" ref="BJ1989">IF(BM1989 = "", "",IFERROR(INDEX(AW1989:BH1989,1,MATCH(2,1/(AW1989:BH1989&lt;&gt;""),1)-1),""))</f>
        <v>354</v>
      </c>
      <c r="BK1989" s="59">
        <f t="shared" ref="BK1989:BK1992" si="2319">SUM(AW1989:BH1989)</f>
        <v>2343</v>
      </c>
      <c r="BL1989" s="59" cm="1">
        <f t="array" ref="BL1989">IFERROR(SUM(AW1989:INDEX(AW1989:BH1989, MATCH(2, 1/(AW1989:BH1989&lt;&gt;""), 1) - 1))/_xlfn.XLOOKUP(F1989,Apuração!A:A,Apuração!B:B),0)</f>
        <v>35.5</v>
      </c>
      <c r="BM1989" s="55" cm="1">
        <f t="array" ref="BM1989">IFERROR(
   INDEX($AW$1:$BH$1,
      _xlfn.AGGREGATE(14, 6, COLUMN($AW$1:$BH$1)/(AW1989:BH1989&lt;&gt;""), 2) - COLUMN($AW$1) + 1
   ),
"")</f>
        <v>46082</v>
      </c>
      <c r="BN1989" s="55" cm="1">
        <f t="array" ref="BN1989">IFERROR(INDEX($AW$1:$BH$1,1,MATCH(2,1/(AW1989:BH1989&lt;&gt;""))),"")</f>
        <v>46113</v>
      </c>
      <c r="BO1989" s="53">
        <f ca="1">IFERROR(_xlfn.XLOOKUP(F1989,Apuração!A:A,Apuração!C:C)/_xlfn.XLOOKUP(F1989,Apuração!A:A,Apuração!B:B),0)</f>
        <v>0.41666666666666669</v>
      </c>
      <c r="BP1989" s="53">
        <f ca="1">IFERROR(_xlfn.XLOOKUP(F1989,Apuração!A:A,Apuração!D:D)/_xlfn.XLOOKUP(F1989,Apuração!A:A,Apuração!B:B),0)</f>
        <v>0.33333333333333331</v>
      </c>
      <c r="BQ1989" s="53">
        <f ca="1">IF(BK1989&gt;=BO1989,0,_xlfn.XLOOKUP(F1989,Apuração!A:A,Apuração!B:B)*(BO1989 + (1/_xlfn.XLOOKUP(F1989,Apuração!A:A,Apuração!B:B)) - BK1989))</f>
        <v>0</v>
      </c>
      <c r="BR1989" s="85">
        <f t="shared" ref="BR1989:BR1992" ca="1" si="2320">IF(BQ1989=0,0,BQ1989*Z1989)</f>
        <v>0</v>
      </c>
      <c r="BS1989" s="53">
        <f ca="1">IFERROR((_xlfn.XLOOKUP(F1989,Apuração!A:A,Apuração!C:C)+1)/_xlfn.XLOOKUP(F1989,Apuração!A:A,Apuração!B:B),0)</f>
        <v>0.5</v>
      </c>
    </row>
    <row r="1990" spans="1:71" ht="25.95" hidden="1" customHeight="1" x14ac:dyDescent="0.3">
      <c r="A1990" s="39" t="s">
        <v>33</v>
      </c>
      <c r="B1990" s="4" t="s">
        <v>77</v>
      </c>
      <c r="C1990" s="5" t="s">
        <v>216</v>
      </c>
      <c r="D1990" s="5" t="s">
        <v>103</v>
      </c>
      <c r="E1990" s="4" t="str" cm="1">
        <f t="array" ref="E1990">_xlfn.IFS(
F1990 = "A partir de Abril", "Aguardando Execução na Distribuidora",
A1990 = "CAPACITAÇÃO", "Em execução no Corporativo",
TRUE, "Em Execução na Distribuidora"
)</f>
        <v>Em Execução na Distribuidora</v>
      </c>
      <c r="F1990" s="4" t="str" cm="1">
        <f t="array" ref="F1990">_xlfn.IFS(
AG1990 &lt;&gt; "", "Jan-Dez/26",
AH1990 &lt;&gt; "", "Fev-Dez/26",
AI1990 &lt;&gt; "", "Mar-Dez/26", AJ1990 &lt;&gt; "", "Abr-Dez/26",
TRUE, "A partir de Junho"
)</f>
        <v>Jan-Dez/26</v>
      </c>
      <c r="G1990" s="4" t="s">
        <v>37</v>
      </c>
      <c r="H1990" s="7" t="s">
        <v>110</v>
      </c>
      <c r="I1990" s="9" t="s">
        <v>76</v>
      </c>
      <c r="J1990" s="8" t="str" cm="1">
        <f t="array" aca="1" ref="J1990" ca="1">_xlfn.LET(
  _xlpm.actual_value_month, INDEX(T1990:AE1990, MATCH(DATE(YEAR(TODAY()), MONTH(TODAY()), 1), $T$1:$AE$1, 0)),
  IF(_xlpm.actual_value_month &lt;&gt; "",_xlpm.actual_value_month &amp; " ações mensais", "")
)</f>
        <v/>
      </c>
      <c r="K1990" s="8" t="str" cm="1">
        <f t="array" ref="K1990">_xlfn.LET(
    _xlpm.sum_month, SUM(T1990:AE1990),
    IF(_xlpm.sum_month = 0, "", _xlpm.sum_month &amp; " pessoas impactadas no ano.")
)</f>
        <v/>
      </c>
      <c r="L1990" s="9" t="s">
        <v>76</v>
      </c>
      <c r="M1990" s="19">
        <v>1</v>
      </c>
      <c r="N1990" s="5" t="s">
        <v>51</v>
      </c>
      <c r="O1990" s="5" t="s">
        <v>52</v>
      </c>
      <c r="P1990" s="10" t="s">
        <v>44</v>
      </c>
      <c r="Q1990" s="10" t="s">
        <v>44</v>
      </c>
      <c r="R1990" s="11" t="s">
        <v>44</v>
      </c>
      <c r="S1990" s="11" t="s">
        <v>44</v>
      </c>
      <c r="T1990" s="22"/>
      <c r="U1990" s="22"/>
      <c r="V1990" s="22"/>
      <c r="W1990" s="22"/>
      <c r="X1990" s="22"/>
      <c r="Y1990" s="22"/>
      <c r="Z1990" s="22"/>
      <c r="AA1990" s="22"/>
      <c r="AB1990" s="22"/>
      <c r="AC1990" s="22"/>
      <c r="AD1990" s="22"/>
      <c r="AE1990" s="22"/>
      <c r="AG1990" s="146">
        <v>752</v>
      </c>
      <c r="AH1990" s="155">
        <v>2265</v>
      </c>
      <c r="AI1990" s="150">
        <v>165</v>
      </c>
      <c r="AJ1990" s="155">
        <v>3182</v>
      </c>
      <c r="AK1990" s="71"/>
      <c r="AL1990" s="71"/>
      <c r="AM1990" s="71"/>
      <c r="AN1990" s="71"/>
      <c r="AO1990" s="71"/>
      <c r="AP1990" s="71"/>
      <c r="AQ1990" s="71"/>
      <c r="AR1990" s="71"/>
      <c r="AS1990" s="94">
        <f t="shared" ca="1" si="2312"/>
        <v>0</v>
      </c>
      <c r="AT1990" s="95">
        <f t="shared" si="2313"/>
        <v>6364</v>
      </c>
      <c r="AU1990" s="97">
        <f t="shared" si="2314"/>
        <v>6364</v>
      </c>
      <c r="AW1990" s="83">
        <f t="shared" si="2315"/>
        <v>752</v>
      </c>
      <c r="AX1990" s="83">
        <f t="shared" si="2316"/>
        <v>2265</v>
      </c>
      <c r="AY1990" s="83">
        <f t="shared" si="2317"/>
        <v>165</v>
      </c>
      <c r="AZ1990" s="83">
        <f t="shared" si="2318"/>
        <v>3182</v>
      </c>
      <c r="BA1990" s="83"/>
      <c r="BB1990" s="83"/>
      <c r="BC1990" s="83"/>
      <c r="BD1990" s="83"/>
      <c r="BE1990" s="83"/>
      <c r="BF1990" s="83"/>
      <c r="BG1990" s="83"/>
      <c r="BH1990" s="83"/>
      <c r="BI1990" s="68" cm="1">
        <f t="array" ref="BI1990">IFERROR(INDEX(AW1990:BH1990,1,MATCH(2,1/(AW1990:BH1990&lt;&gt;""))),"")</f>
        <v>3182</v>
      </c>
      <c r="BJ1990" s="68" cm="1">
        <f t="array" ref="BJ1990">IF(BM1990 = "", "",IFERROR(INDEX(AW1990:BH1990,1,MATCH(2,1/(AW1990:BH1990&lt;&gt;""),1)-1),""))</f>
        <v>165</v>
      </c>
      <c r="BK1990" s="59">
        <f t="shared" si="2319"/>
        <v>6364</v>
      </c>
      <c r="BL1990" s="59" cm="1">
        <f t="array" ref="BL1990">IFERROR(SUM(AW1990:INDEX(AW1990:BH1990, MATCH(2, 1/(AW1990:BH1990&lt;&gt;""), 1) - 1))/_xlfn.XLOOKUP(F1990,Apuração!A:A,Apuração!B:B),0)</f>
        <v>265.16666666666669</v>
      </c>
      <c r="BM1990" s="55" cm="1">
        <f t="array" ref="BM1990">IFERROR(
   INDEX($AW$1:$BH$1,
      _xlfn.AGGREGATE(14, 6, COLUMN($AW$1:$BH$1)/(AW1990:BH1990&lt;&gt;""), 2) - COLUMN($AW$1) + 1
   ),
"")</f>
        <v>46082</v>
      </c>
      <c r="BN1990" s="55" cm="1">
        <f t="array" ref="BN1990">IFERROR(INDEX($AW$1:$BH$1,1,MATCH(2,1/(AW1990:BH1990&lt;&gt;""))),"")</f>
        <v>46113</v>
      </c>
      <c r="BO1990" s="53">
        <f ca="1">IFERROR(_xlfn.XLOOKUP(F1990,Apuração!A:A,Apuração!C:C)/_xlfn.XLOOKUP(F1990,Apuração!A:A,Apuração!B:B),0)</f>
        <v>0.41666666666666669</v>
      </c>
      <c r="BP1990" s="53">
        <f ca="1">IFERROR(_xlfn.XLOOKUP(F1990,Apuração!A:A,Apuração!D:D)/_xlfn.XLOOKUP(F1990,Apuração!A:A,Apuração!B:B),0)</f>
        <v>0.33333333333333331</v>
      </c>
      <c r="BQ1990" s="53">
        <f ca="1">IF(BK1990&gt;=BO1990,0,_xlfn.XLOOKUP(F1990,Apuração!A:A,Apuração!B:B)*(BO1990 + (1/_xlfn.XLOOKUP(F1990,Apuração!A:A,Apuração!B:B)) - BK1990))</f>
        <v>0</v>
      </c>
      <c r="BR1990" s="85">
        <f t="shared" ca="1" si="2320"/>
        <v>0</v>
      </c>
      <c r="BS1990" s="53">
        <f ca="1">IFERROR((_xlfn.XLOOKUP(F1990,Apuração!A:A,Apuração!C:C)+1)/_xlfn.XLOOKUP(F1990,Apuração!A:A,Apuração!B:B),0)</f>
        <v>0.5</v>
      </c>
    </row>
    <row r="1991" spans="1:71" ht="25.95" hidden="1" customHeight="1" x14ac:dyDescent="0.3">
      <c r="A1991" s="39" t="s">
        <v>33</v>
      </c>
      <c r="B1991" s="4" t="s">
        <v>77</v>
      </c>
      <c r="C1991" s="5" t="s">
        <v>216</v>
      </c>
      <c r="D1991" s="5" t="s">
        <v>218</v>
      </c>
      <c r="E1991" s="4" t="str" cm="1">
        <f t="array" ref="E1991">_xlfn.IFS(
F1991 = "A partir de Abril", "Aguardando Execução na Distribuidora",
A1991 = "CAPACITAÇÃO", "Em execução no Corporativo",
TRUE, "Em Execução na Distribuidora"
)</f>
        <v>Em Execução na Distribuidora</v>
      </c>
      <c r="F1991" s="4" t="str" cm="1">
        <f t="array" ref="F1991">_xlfn.IFS(
AG1991 &lt;&gt; "", "Jan-Dez/26",
AH1991 &lt;&gt; "", "Fev-Dez/26",
AI1991 &lt;&gt; "", "Mar-Dez/26", AJ1991 &lt;&gt; "", "Abr-Dez/26",
TRUE, "A partir de Junho"
)</f>
        <v>Jan-Dez/26</v>
      </c>
      <c r="G1991" s="4" t="s">
        <v>37</v>
      </c>
      <c r="H1991" s="7" t="s">
        <v>110</v>
      </c>
      <c r="I1991" s="9" t="s">
        <v>76</v>
      </c>
      <c r="J1991" s="8" t="str" cm="1">
        <f t="array" aca="1" ref="J1991" ca="1">_xlfn.LET(
  _xlpm.actual_value_month, INDEX(T1991:AE1991, MATCH(DATE(YEAR(TODAY()), MONTH(TODAY()), 1), $T$1:$AE$1, 0)),
  IF(_xlpm.actual_value_month &lt;&gt; "",_xlpm.actual_value_month &amp; " ações mensais", "")
)</f>
        <v/>
      </c>
      <c r="K1991" s="8" t="str" cm="1">
        <f t="array" ref="K1991">_xlfn.LET(
    _xlpm.sum_month, SUM(T1991:AE1991),
    IF(_xlpm.sum_month = 0, "", _xlpm.sum_month &amp; " pessoas impactadas no ano.")
)</f>
        <v/>
      </c>
      <c r="L1991" s="9" t="s">
        <v>76</v>
      </c>
      <c r="M1991" s="19">
        <v>1</v>
      </c>
      <c r="N1991" s="5" t="s">
        <v>51</v>
      </c>
      <c r="O1991" s="5" t="s">
        <v>52</v>
      </c>
      <c r="P1991" s="10" t="s">
        <v>44</v>
      </c>
      <c r="Q1991" s="10" t="s">
        <v>44</v>
      </c>
      <c r="R1991" s="11" t="s">
        <v>44</v>
      </c>
      <c r="S1991" s="11" t="s">
        <v>44</v>
      </c>
      <c r="T1991" s="22"/>
      <c r="U1991" s="22"/>
      <c r="V1991" s="22"/>
      <c r="W1991" s="22"/>
      <c r="X1991" s="22"/>
      <c r="Y1991" s="22"/>
      <c r="Z1991" s="22"/>
      <c r="AA1991" s="22"/>
      <c r="AB1991" s="22"/>
      <c r="AC1991" s="22"/>
      <c r="AD1991" s="22"/>
      <c r="AE1991" s="22"/>
      <c r="AG1991" s="146">
        <v>265</v>
      </c>
      <c r="AH1991" s="150">
        <v>337</v>
      </c>
      <c r="AI1991" s="150">
        <v>201</v>
      </c>
      <c r="AJ1991" s="150">
        <v>963</v>
      </c>
      <c r="AK1991" s="71"/>
      <c r="AL1991" s="71"/>
      <c r="AM1991" s="71"/>
      <c r="AN1991" s="71"/>
      <c r="AO1991" s="71"/>
      <c r="AP1991" s="71"/>
      <c r="AQ1991" s="71"/>
      <c r="AR1991" s="71"/>
      <c r="AS1991" s="94">
        <f t="shared" ca="1" si="2312"/>
        <v>0</v>
      </c>
      <c r="AT1991" s="95">
        <f t="shared" si="2313"/>
        <v>1766</v>
      </c>
      <c r="AU1991" s="97">
        <f t="shared" si="2314"/>
        <v>1766</v>
      </c>
      <c r="AW1991" s="83">
        <f t="shared" si="2315"/>
        <v>265</v>
      </c>
      <c r="AX1991" s="83">
        <f t="shared" si="2316"/>
        <v>337</v>
      </c>
      <c r="AY1991" s="83">
        <f t="shared" si="2317"/>
        <v>201</v>
      </c>
      <c r="AZ1991" s="83">
        <f t="shared" si="2318"/>
        <v>963</v>
      </c>
      <c r="BA1991" s="83"/>
      <c r="BB1991" s="83"/>
      <c r="BC1991" s="83"/>
      <c r="BD1991" s="83"/>
      <c r="BE1991" s="83"/>
      <c r="BF1991" s="83"/>
      <c r="BG1991" s="83"/>
      <c r="BH1991" s="83"/>
      <c r="BI1991" s="68" cm="1">
        <f t="array" ref="BI1991">IFERROR(INDEX(AW1991:BH1991,1,MATCH(2,1/(AW1991:BH1991&lt;&gt;""))),"")</f>
        <v>963</v>
      </c>
      <c r="BJ1991" s="68" cm="1">
        <f t="array" ref="BJ1991">IF(BM1991 = "", "",IFERROR(INDEX(AW1991:BH1991,1,MATCH(2,1/(AW1991:BH1991&lt;&gt;""),1)-1),""))</f>
        <v>201</v>
      </c>
      <c r="BK1991" s="59">
        <f t="shared" si="2319"/>
        <v>1766</v>
      </c>
      <c r="BL1991" s="59" cm="1">
        <f t="array" ref="BL1991">IFERROR(SUM(AW1991:INDEX(AW1991:BH1991, MATCH(2, 1/(AW1991:BH1991&lt;&gt;""), 1) - 1))/_xlfn.XLOOKUP(F1991,Apuração!A:A,Apuração!B:B),0)</f>
        <v>66.916666666666671</v>
      </c>
      <c r="BM1991" s="55" cm="1">
        <f t="array" ref="BM1991">IFERROR(
   INDEX($AW$1:$BH$1,
      _xlfn.AGGREGATE(14, 6, COLUMN($AW$1:$BH$1)/(AW1991:BH1991&lt;&gt;""), 2) - COLUMN($AW$1) + 1
   ),
"")</f>
        <v>46082</v>
      </c>
      <c r="BN1991" s="55" cm="1">
        <f t="array" ref="BN1991">IFERROR(INDEX($AW$1:$BH$1,1,MATCH(2,1/(AW1991:BH1991&lt;&gt;""))),"")</f>
        <v>46113</v>
      </c>
      <c r="BO1991" s="53">
        <f ca="1">IFERROR(_xlfn.XLOOKUP(F1991,Apuração!A:A,Apuração!C:C)/_xlfn.XLOOKUP(F1991,Apuração!A:A,Apuração!B:B),0)</f>
        <v>0.41666666666666669</v>
      </c>
      <c r="BP1991" s="53">
        <f ca="1">IFERROR(_xlfn.XLOOKUP(F1991,Apuração!A:A,Apuração!D:D)/_xlfn.XLOOKUP(F1991,Apuração!A:A,Apuração!B:B),0)</f>
        <v>0.33333333333333331</v>
      </c>
      <c r="BQ1991" s="53">
        <f ca="1">IF(BK1991&gt;=BO1991,0,_xlfn.XLOOKUP(F1991,Apuração!A:A,Apuração!B:B)*(BO1991 + (1/_xlfn.XLOOKUP(F1991,Apuração!A:A,Apuração!B:B)) - BK1991))</f>
        <v>0</v>
      </c>
      <c r="BR1991" s="85">
        <f t="shared" ca="1" si="2320"/>
        <v>0</v>
      </c>
      <c r="BS1991" s="53">
        <f ca="1">IFERROR((_xlfn.XLOOKUP(F1991,Apuração!A:A,Apuração!C:C)+1)/_xlfn.XLOOKUP(F1991,Apuração!A:A,Apuração!B:B),0)</f>
        <v>0.5</v>
      </c>
    </row>
    <row r="1992" spans="1:71" ht="25.95" hidden="1" customHeight="1" x14ac:dyDescent="0.3">
      <c r="A1992" s="39" t="s">
        <v>33</v>
      </c>
      <c r="B1992" s="4" t="s">
        <v>77</v>
      </c>
      <c r="C1992" s="5" t="s">
        <v>216</v>
      </c>
      <c r="D1992" s="5" t="s">
        <v>219</v>
      </c>
      <c r="E1992" s="4" t="str" cm="1">
        <f t="array" ref="E1992">_xlfn.IFS(
F1992 = "A partir de Abril", "Aguardando Execução na Distribuidora",
A1992 = "CAPACITAÇÃO", "Em execução no Corporativo",
TRUE, "Em Execução na Distribuidora"
)</f>
        <v>Em Execução na Distribuidora</v>
      </c>
      <c r="F1992" s="4" t="str" cm="1">
        <f t="array" ref="F1992">_xlfn.IFS(
AG1992 &lt;&gt; "", "Jan-Dez/26",
AH1992 &lt;&gt; "", "Fev-Dez/26",
AI1992 &lt;&gt; "", "Mar-Dez/26", AJ1992 &lt;&gt; "", "Abr-Dez/26",
TRUE, "A partir de Junho"
)</f>
        <v>Jan-Dez/26</v>
      </c>
      <c r="G1992" s="4" t="s">
        <v>37</v>
      </c>
      <c r="H1992" s="7" t="s">
        <v>110</v>
      </c>
      <c r="I1992" s="9" t="s">
        <v>76</v>
      </c>
      <c r="J1992" s="8" t="str" cm="1">
        <f t="array" aca="1" ref="J1992" ca="1">_xlfn.LET(
  _xlpm.actual_value_month, INDEX(T1992:AE1992, MATCH(DATE(YEAR(TODAY()), MONTH(TODAY()), 1), $T$1:$AE$1, 0)),
  IF(_xlpm.actual_value_month &lt;&gt; "",_xlpm.actual_value_month &amp; " ações mensais", "")
)</f>
        <v/>
      </c>
      <c r="K1992" s="8" t="str" cm="1">
        <f t="array" ref="K1992">_xlfn.LET(
    _xlpm.sum_month, SUM(T1992:AE1992),
    IF(_xlpm.sum_month = 0, "", _xlpm.sum_month &amp; " pessoas impactadas no ano.")
)</f>
        <v/>
      </c>
      <c r="L1992" s="9" t="s">
        <v>76</v>
      </c>
      <c r="M1992" s="19">
        <v>1</v>
      </c>
      <c r="N1992" s="5" t="s">
        <v>51</v>
      </c>
      <c r="O1992" s="5" t="s">
        <v>52</v>
      </c>
      <c r="P1992" s="10" t="s">
        <v>44</v>
      </c>
      <c r="Q1992" s="10" t="s">
        <v>44</v>
      </c>
      <c r="R1992" s="11" t="s">
        <v>44</v>
      </c>
      <c r="S1992" s="11" t="s">
        <v>44</v>
      </c>
      <c r="T1992" s="22"/>
      <c r="U1992" s="22"/>
      <c r="V1992" s="22"/>
      <c r="W1992" s="22"/>
      <c r="X1992" s="22"/>
      <c r="Y1992" s="22"/>
      <c r="Z1992" s="22"/>
      <c r="AA1992" s="22"/>
      <c r="AB1992" s="22"/>
      <c r="AC1992" s="22"/>
      <c r="AD1992" s="22"/>
      <c r="AE1992" s="22"/>
      <c r="AG1992" s="146">
        <v>696</v>
      </c>
      <c r="AH1992" s="150">
        <v>98</v>
      </c>
      <c r="AI1992" s="150">
        <v>118</v>
      </c>
      <c r="AJ1992" s="155">
        <v>3952</v>
      </c>
      <c r="AK1992" s="71"/>
      <c r="AL1992" s="71"/>
      <c r="AM1992" s="71"/>
      <c r="AN1992" s="71"/>
      <c r="AO1992" s="71"/>
      <c r="AP1992" s="71"/>
      <c r="AQ1992" s="71"/>
      <c r="AR1992" s="71"/>
      <c r="AS1992" s="94">
        <f t="shared" ca="1" si="2312"/>
        <v>0</v>
      </c>
      <c r="AT1992" s="95">
        <f t="shared" si="2313"/>
        <v>4864</v>
      </c>
      <c r="AU1992" s="97">
        <f t="shared" si="2314"/>
        <v>4864</v>
      </c>
      <c r="AW1992" s="83">
        <f t="shared" si="2315"/>
        <v>696</v>
      </c>
      <c r="AX1992" s="83">
        <f t="shared" si="2316"/>
        <v>98</v>
      </c>
      <c r="AY1992" s="83">
        <f t="shared" si="2317"/>
        <v>118</v>
      </c>
      <c r="AZ1992" s="83">
        <f t="shared" si="2318"/>
        <v>3952</v>
      </c>
      <c r="BA1992" s="83"/>
      <c r="BB1992" s="83"/>
      <c r="BC1992" s="83"/>
      <c r="BD1992" s="83"/>
      <c r="BE1992" s="83"/>
      <c r="BF1992" s="83"/>
      <c r="BG1992" s="83"/>
      <c r="BH1992" s="83"/>
      <c r="BI1992" s="68" cm="1">
        <f t="array" ref="BI1992">IFERROR(INDEX(AW1992:BH1992,1,MATCH(2,1/(AW1992:BH1992&lt;&gt;""))),"")</f>
        <v>3952</v>
      </c>
      <c r="BJ1992" s="68" cm="1">
        <f t="array" ref="BJ1992">IF(BM1992 = "", "",IFERROR(INDEX(AW1992:BH1992,1,MATCH(2,1/(AW1992:BH1992&lt;&gt;""),1)-1),""))</f>
        <v>118</v>
      </c>
      <c r="BK1992" s="59">
        <f t="shared" si="2319"/>
        <v>4864</v>
      </c>
      <c r="BL1992" s="59" cm="1">
        <f t="array" ref="BL1992">IFERROR(SUM(AW1992:INDEX(AW1992:BH1992, MATCH(2, 1/(AW1992:BH1992&lt;&gt;""), 1) - 1))/_xlfn.XLOOKUP(F1992,Apuração!A:A,Apuração!B:B),0)</f>
        <v>76</v>
      </c>
      <c r="BM1992" s="55" cm="1">
        <f t="array" ref="BM1992">IFERROR(
   INDEX($AW$1:$BH$1,
      _xlfn.AGGREGATE(14, 6, COLUMN($AW$1:$BH$1)/(AW1992:BH1992&lt;&gt;""), 2) - COLUMN($AW$1) + 1
   ),
"")</f>
        <v>46082</v>
      </c>
      <c r="BN1992" s="55" cm="1">
        <f t="array" ref="BN1992">IFERROR(INDEX($AW$1:$BH$1,1,MATCH(2,1/(AW1992:BH1992&lt;&gt;""))),"")</f>
        <v>46113</v>
      </c>
      <c r="BO1992" s="53">
        <f ca="1">IFERROR(_xlfn.XLOOKUP(F1992,Apuração!A:A,Apuração!C:C)/_xlfn.XLOOKUP(F1992,Apuração!A:A,Apuração!B:B),0)</f>
        <v>0.41666666666666669</v>
      </c>
      <c r="BP1992" s="53">
        <f ca="1">IFERROR(_xlfn.XLOOKUP(F1992,Apuração!A:A,Apuração!D:D)/_xlfn.XLOOKUP(F1992,Apuração!A:A,Apuração!B:B),0)</f>
        <v>0.33333333333333331</v>
      </c>
      <c r="BQ1992" s="53">
        <f ca="1">IF(BK1992&gt;=BO1992,0,_xlfn.XLOOKUP(F1992,Apuração!A:A,Apuração!B:B)*(BO1992 + (1/_xlfn.XLOOKUP(F1992,Apuração!A:A,Apuração!B:B)) - BK1992))</f>
        <v>0</v>
      </c>
      <c r="BR1992" s="85">
        <f t="shared" ca="1" si="2320"/>
        <v>0</v>
      </c>
      <c r="BS1992" s="53">
        <f ca="1">IFERROR((_xlfn.XLOOKUP(F1992,Apuração!A:A,Apuração!C:C)+1)/_xlfn.XLOOKUP(F1992,Apuração!A:A,Apuração!B:B),0)</f>
        <v>0.5</v>
      </c>
    </row>
    <row r="1993" spans="1:71" ht="25.95" hidden="1" customHeight="1" x14ac:dyDescent="0.3">
      <c r="A1993" s="3" t="s">
        <v>33</v>
      </c>
      <c r="B1993" s="4" t="s">
        <v>81</v>
      </c>
      <c r="C1993" s="5" t="s">
        <v>216</v>
      </c>
      <c r="D1993" s="5" t="s">
        <v>36</v>
      </c>
      <c r="E1993" s="4" t="str" cm="1">
        <f t="array" ref="E1993">_xlfn.IFS(
F1993 = "A partir de Abril", "Aguardando Execução na Distribuidora",
A1993 = "CAPACITAÇÃO", "Em execução no Corporativo",
TRUE, "Em Execução na Distribuidora"
)</f>
        <v>Em Execução na Distribuidora</v>
      </c>
      <c r="F1993" s="4" t="str" cm="1">
        <f t="array" ref="F1993">_xlfn.IFS(
AG1993 &lt;&gt; "", "Jan-Dez/26",
AH1993 &lt;&gt; "", "Fev-Dez/26",
AI1993 &lt;&gt; "", "Mar-Dez/26", AJ1993 &lt;&gt; "", "Abr-Dez/26",
TRUE, "A partir de Junho"
)</f>
        <v>Mar-Dez/26</v>
      </c>
      <c r="G1993" s="4" t="s">
        <v>37</v>
      </c>
      <c r="H1993" s="7" t="s">
        <v>54</v>
      </c>
      <c r="I1993" s="8" t="s">
        <v>55</v>
      </c>
      <c r="J1993" s="8" t="str" cm="1">
        <f t="array" aca="1" ref="J1993" ca="1">_xlfn.LET(
  _xlpm.actual_value_month, INDEX(T1993:AE1993, MATCH(DATE(YEAR(TODAY()), MONTH(TODAY()), 1), $T$1:$AE$1, 0)),
  IF(_xlpm.actual_value_month &lt;&gt; "",_xlpm.actual_value_month &amp; " eventos mensais", "")
)</f>
        <v>8 eventos mensais</v>
      </c>
      <c r="K1993" s="8" t="str" cm="1">
        <f t="array" ref="K1993">_xlfn.LET(
    _xlpm.sum_month, SUM(T1993:AE1993),
    IF(_xlpm.sum_month = 0, "", _xlpm.sum_month &amp; "  eventos no ano")
)</f>
        <v>73  eventos no ano</v>
      </c>
      <c r="L1993" s="9" t="s">
        <v>82</v>
      </c>
      <c r="M1993" s="13" t="s">
        <v>83</v>
      </c>
      <c r="N1993" s="5" t="s">
        <v>42</v>
      </c>
      <c r="O1993" s="5" t="s">
        <v>43</v>
      </c>
      <c r="P1993" s="10" t="s">
        <v>44</v>
      </c>
      <c r="Q1993" s="10" t="s">
        <v>44</v>
      </c>
      <c r="R1993" s="11" t="s">
        <v>44</v>
      </c>
      <c r="S1993" s="11" t="s">
        <v>44</v>
      </c>
      <c r="T1993" s="22"/>
      <c r="U1993" s="22"/>
      <c r="V1993" s="22">
        <v>1</v>
      </c>
      <c r="W1993" s="22">
        <v>8</v>
      </c>
      <c r="X1993" s="22">
        <v>8</v>
      </c>
      <c r="Y1993" s="22">
        <v>8</v>
      </c>
      <c r="Z1993" s="22">
        <v>8</v>
      </c>
      <c r="AA1993" s="22">
        <v>8</v>
      </c>
      <c r="AB1993" s="22">
        <v>8</v>
      </c>
      <c r="AC1993" s="22">
        <v>8</v>
      </c>
      <c r="AD1993" s="22">
        <v>8</v>
      </c>
      <c r="AE1993" s="22">
        <v>8</v>
      </c>
      <c r="AG1993" s="71"/>
      <c r="AH1993" s="71"/>
      <c r="AI1993" s="71">
        <v>1</v>
      </c>
      <c r="AJ1993" s="71">
        <v>0</v>
      </c>
      <c r="AK1993" s="71"/>
      <c r="AL1993" s="71"/>
      <c r="AM1993" s="71"/>
      <c r="AN1993" s="71"/>
      <c r="AO1993" s="71"/>
      <c r="AP1993" s="71"/>
      <c r="AQ1993" s="71"/>
      <c r="AR1993" s="71"/>
      <c r="AS1993" s="94">
        <f ca="1">IF(MONTH(TODAY())=3,SUM(T1993:U1993),IF(MONTH(TODAY())=4,SUM(T1993:V1993),IF(MONTH(TODAY())=5,SUM(T1993:W1993),IF(MONTH(TODAY())=6,SUM(T1993:X1993),IF(MONTH(TODAY())=7,SUM(T1993:Y1993),IF(MONTH(TODAY())=8,SUM(T1993:Z1993),IF(MONTH(TODAY())=9,SUM(T1993:AA1993),IF(MONTH(TODAY())=10,SUM(T1993:AB1993),IF(MONTH(TODAY())=11,SUM(T1993:AC1993),IF(MONTH(TODAY())=12,SUM(T1993:AD1993),IF(MONTH(TODAY())=1,SUM(T1993:AE1993),T1993)))))))))))</f>
        <v>17</v>
      </c>
      <c r="AT1993" s="95">
        <f>SUM(IF(AW1993&lt;1.15,AG1993,1.15*T1993),IF(AX1993&lt;1.15,AH1993,1.15*U1993),IF(AY1993&lt;1.15,AI1993,1.15*V1993),IF(AZ1993&lt;1.15,AJ1993,1.15*W1993),IF(BA1993&lt;1.15,AK1993,1.15*X1993),IF(BB1993&lt;1.15,AL1993,1.15*Y1993),IF(BC1993&lt;1.15,AM1993,1.15*Z1993),IF(BD1993&lt;1.15,AN1993,1.15*AA1993),IF(BE1993&lt;1.15,AO1993,1.15*AB1993),IF(BF1993&lt;1.15,AP1993,1.15*AC1993),IF(BG1993&lt;1.15,AQ1993,1.15*AD1993),IF(BH1993&lt;1.15,AR1993,1.15*AE1993))</f>
        <v>1</v>
      </c>
      <c r="AU1993" s="97">
        <f>SUM(AG1993:AR1993)</f>
        <v>1</v>
      </c>
      <c r="AW1993" s="51">
        <f>IFERROR(IF(AG1993="",0,AG1993/T1993),0)</f>
        <v>0</v>
      </c>
      <c r="AX1993" s="51">
        <f>IFERROR(IF(AH1993="",0,AH1993/U1993),0)</f>
        <v>0</v>
      </c>
      <c r="AY1993" s="51">
        <f>IFERROR(IF(AI1993="",0,AI1993/V1993),0)</f>
        <v>1</v>
      </c>
      <c r="AZ1993" s="51">
        <f>IFERROR(IF(AJ1993="",0,AJ1993/W1993),0)</f>
        <v>0</v>
      </c>
      <c r="BA1993" s="51"/>
      <c r="BB1993" s="51"/>
      <c r="BC1993" s="51"/>
      <c r="BD1993" s="51"/>
      <c r="BE1993" s="51"/>
      <c r="BF1993" s="51"/>
      <c r="BG1993" s="51"/>
      <c r="BH1993" s="51"/>
      <c r="BI1993" s="65" cm="1">
        <f t="array" ref="BI1993">IFERROR(INDEX(AW1993:BH1993,1,MATCH(2,1/(AW1993:BH1993&lt;&gt;""))),"")</f>
        <v>0</v>
      </c>
      <c r="BJ1993" s="68" cm="1">
        <f t="array" ref="BJ1993">IF(BM1993 = "", "",IFERROR(INDEX(AW1993:BH1993,1,MATCH(2,1/(AW1993:BH1993&lt;&gt;""),1)-1),""))</f>
        <v>1</v>
      </c>
      <c r="BK1993" s="58">
        <f>IF((IF(AW1993&gt;=115%,115%,AW1993) + IF(AX1993&gt;=115%,115%,AX1993) + IF(AY1993&gt;=115%,115%,AY1993) + (IF(AZ1993&gt;=115%,115%,AZ1993) + IF(BA1993&gt;=115%,115%,BA1993) + IF(BB1993&gt;=115%,115%,BB1993) + IF(BC1993&gt;=115%,115%,BC1993) + IF(BD1993&gt;=115%,115%,BD1993) + IF(BE1993&gt;=115%,115%,BE1993) + IF(BF1993&gt;=115%,115%,BF1993) + IF(BG1993&gt;=115%,115%,BG1993) + IF(BH1993&gt;=115%,115%,BH1993)))/_xlfn.XLOOKUP(F1993,Apuração!A:A,Apuração!B:B)&gt;=1.15,1.15,((IF(AZ1993&gt;=115%,115%,AZ1993) + IF(AX1993&gt;=115%,115%,AX1993) + IF(AY1993&gt;=115%,115%,AY1993) + (IF(AW1993&gt;=115%,115%,AW1993) + IF(BA1993&gt;=115%,115%,BA1993) + IF(BB1993&gt;=115%,115%,BB1993) + IF(BC1993&gt;=115%,115%,BC1993) + IF(BD1993&gt;=115%,115%,BD1993) + IF(BE1993&gt;=115%,115%,BE1993) + IF(BF1993&gt;=115%,115%,BF1993) + IF(BG1993&gt;=115%,115%,BG1993) + IF(BH1993&gt;=115%,115%,BH1993)))/_xlfn.XLOOKUP(F1993,Apuração!A:A,Apuração!B:B)))</f>
        <v>0.1</v>
      </c>
      <c r="BL1993" s="58" cm="1">
        <f t="array" aca="1" ref="BL1993" ca="1">IF(SUM(IFERROR(IF(INDEX(AW1993:INDEX(AW1993:BH1993, MATCH(2, 1/(AW1993:BH1993&lt;&gt;""), 1)-1), ROW(INDIRECT("1:" &amp; MATCH(2, 1/(AW1993:BH1993&lt;&gt;""), 1)-1))) &gt;= 115%, 115%, INDEX(AW1993:INDEX(AW1993:BH1993, MATCH(2, 1/(AW1993:BH1993&lt;&gt;""), 1)-1), ROW(INDIRECT("1:" &amp; MATCH(2, 1/(AW1993:BH1993&lt;&gt;""), 1)-1)))), 0))/_xlfn.XLOOKUP(F1993,Apuração!A:A,Apuração!B:B)&gt;=1.15,1.15,SUM(IFERROR(IF(INDEX(AW1993:INDEX(AW1993:BH1993, MATCH(2, 1/(AW1993:BH1993&lt;&gt;""), 1)-1), ROW(INDIRECT("1:" &amp; MATCH(2, 1/(AW1993:BH1993&lt;&gt;""), 1)-1))) &gt;= 115%, 115%, INDEX(AW1993:INDEX(AW1993:BH1993, MATCH(2, 1/(AW1993:BH1993&lt;&gt;""), 1)-1), ROW(INDIRECT("1:" &amp; MATCH(2, 1/(AW1993:BH1993&lt;&gt;""), 1)-1)))), 0))/_xlfn.XLOOKUP(F1993,Apuração!A:A,Apuração!B:B))</f>
        <v>0.1</v>
      </c>
      <c r="BM1993" s="55" cm="1">
        <f t="array" ref="BM1993">IFERROR(
   INDEX($AW$1:$BH$1,
      _xlfn.AGGREGATE(14, 6, COLUMN($AW$1:$BH$1)/(AW1993:BH1993&lt;&gt;""), 2) - COLUMN($AW$1) + 1
   ),
"")</f>
        <v>46082</v>
      </c>
      <c r="BN1993" s="55" cm="1">
        <f t="array" ref="BN1993">IFERROR(INDEX($AW$1:$BH$1,1,MATCH(2,1/(AW1993:BH1993&lt;&gt;""))),"")</f>
        <v>46113</v>
      </c>
      <c r="BO1993" s="53">
        <f ca="1">IFERROR(_xlfn.XLOOKUP(F1993,Apuração!A:A,Apuração!C:C)/_xlfn.XLOOKUP(F1993,Apuração!A:A,Apuração!B:B),0)</f>
        <v>0.3</v>
      </c>
      <c r="BP1993" s="53">
        <f ca="1">IFERROR(_xlfn.XLOOKUP(F1993,Apuração!A:A,Apuração!D:D)/_xlfn.XLOOKUP(F1993,Apuração!A:A,Apuração!B:B),0)</f>
        <v>0.2</v>
      </c>
      <c r="BQ1993" s="53">
        <f ca="1">IF(BK1993&gt;=BO1993,0,_xlfn.XLOOKUP(F1993,Apuração!A:A,Apuração!B:B)*(BO1993 + (1/_xlfn.XLOOKUP(F1993,Apuração!A:A,Apuração!B:B)) - BK1993))</f>
        <v>3.0000000000000004</v>
      </c>
      <c r="BR1993" s="85">
        <f ca="1">IF(BQ1993=0,0,BQ1993*Z1993)</f>
        <v>24.000000000000004</v>
      </c>
      <c r="BS1993" s="53">
        <f ca="1">IFERROR((_xlfn.XLOOKUP(F1993,Apuração!A:A,Apuração!C:C)+1)/_xlfn.XLOOKUP(F1993,Apuração!A:A,Apuração!B:B),0)</f>
        <v>0.4</v>
      </c>
    </row>
    <row r="1994" spans="1:71" ht="25.95" hidden="1" customHeight="1" x14ac:dyDescent="0.3">
      <c r="A1994" s="3" t="s">
        <v>33</v>
      </c>
      <c r="B1994" s="4" t="s">
        <v>81</v>
      </c>
      <c r="C1994" s="5" t="s">
        <v>216</v>
      </c>
      <c r="D1994" s="5" t="s">
        <v>217</v>
      </c>
      <c r="E1994" s="4" t="str" cm="1">
        <f t="array" ref="E1994">_xlfn.IFS(
F1994 = "A partir de Abril", "Aguardando Execução na Distribuidora",
A1994 = "CAPACITAÇÃO", "Em execução no Corporativo",
TRUE, "Em Execução na Distribuidora"
)</f>
        <v>Em Execução na Distribuidora</v>
      </c>
      <c r="F1994" s="4" t="str" cm="1">
        <f t="array" ref="F1994">_xlfn.IFS(
AG1994 &lt;&gt; "", "Jan-Dez/26",
AH1994 &lt;&gt; "", "Fev-Dez/26",
AI1994 &lt;&gt; "", "Mar-Dez/26", AJ1994 &lt;&gt; "", "Abr-Dez/26",
TRUE, "A partir de Junho"
)</f>
        <v>A partir de Junho</v>
      </c>
      <c r="G1994" s="4" t="s">
        <v>37</v>
      </c>
      <c r="H1994" s="7" t="s">
        <v>54</v>
      </c>
      <c r="I1994" s="8" t="s">
        <v>55</v>
      </c>
      <c r="J1994" s="8" t="str" cm="1">
        <f t="array" aca="1" ref="J1994" ca="1">_xlfn.LET(
  _xlpm.actual_value_month, INDEX(T1994:AE1994, MATCH(DATE(YEAR(TODAY()), MONTH(TODAY()), 1), $T$1:$AE$1, 0)),
  IF(_xlpm.actual_value_month &lt;&gt; "",_xlpm.actual_value_month &amp; " eventos mensais", "")
)</f>
        <v>2 eventos mensais</v>
      </c>
      <c r="K1994" s="8" t="str" cm="1">
        <f t="array" ref="K1994">_xlfn.LET(
    _xlpm.sum_month, SUM(T1994:AE1994),
    IF(_xlpm.sum_month = 0, "", _xlpm.sum_month &amp; "  eventos no ano")
)</f>
        <v>18  eventos no ano</v>
      </c>
      <c r="L1994" s="9" t="s">
        <v>82</v>
      </c>
      <c r="M1994" s="13" t="s">
        <v>83</v>
      </c>
      <c r="N1994" s="5" t="s">
        <v>42</v>
      </c>
      <c r="O1994" s="5" t="s">
        <v>43</v>
      </c>
      <c r="P1994" s="10" t="s">
        <v>44</v>
      </c>
      <c r="Q1994" s="10" t="s">
        <v>44</v>
      </c>
      <c r="R1994" s="11" t="s">
        <v>44</v>
      </c>
      <c r="S1994" s="11" t="s">
        <v>44</v>
      </c>
      <c r="T1994" s="143"/>
      <c r="U1994" s="143"/>
      <c r="V1994" s="143"/>
      <c r="W1994" s="143">
        <v>2</v>
      </c>
      <c r="X1994" s="143">
        <v>2</v>
      </c>
      <c r="Y1994" s="143">
        <v>2</v>
      </c>
      <c r="Z1994" s="143">
        <v>2</v>
      </c>
      <c r="AA1994" s="143">
        <v>2</v>
      </c>
      <c r="AB1994" s="143">
        <v>2</v>
      </c>
      <c r="AC1994" s="143">
        <v>2</v>
      </c>
      <c r="AD1994" s="143">
        <v>2</v>
      </c>
      <c r="AE1994" s="143">
        <v>2</v>
      </c>
      <c r="AG1994" s="82"/>
      <c r="AH1994" s="82"/>
      <c r="AI1994" s="82"/>
      <c r="AJ1994" s="82"/>
      <c r="AK1994" s="71"/>
      <c r="AL1994" s="71"/>
      <c r="AM1994" s="71"/>
      <c r="AN1994" s="71"/>
      <c r="AO1994" s="71"/>
      <c r="AP1994" s="71"/>
      <c r="AQ1994" s="71"/>
      <c r="AR1994" s="71"/>
      <c r="AS1994" s="94">
        <f t="shared" ref="AS1994:AS1997" ca="1" si="2321">IF(MONTH(TODAY())=3,SUM(T1994:U1994),IF(MONTH(TODAY())=4,SUM(T1994:V1994),IF(MONTH(TODAY())=5,SUM(T1994:W1994),IF(MONTH(TODAY())=6,SUM(T1994:X1994),IF(MONTH(TODAY())=7,SUM(T1994:Y1994),IF(MONTH(TODAY())=8,SUM(T1994:Z1994),IF(MONTH(TODAY())=9,SUM(T1994:AA1994),IF(MONTH(TODAY())=10,SUM(T1994:AB1994),IF(MONTH(TODAY())=11,SUM(T1994:AC1994),IF(MONTH(TODAY())=12,SUM(T1994:AD1994),IF(MONTH(TODAY())=1,SUM(T1994:AE1994),T1994)))))))))))</f>
        <v>4</v>
      </c>
      <c r="AT1994" s="95">
        <f t="shared" ref="AT1994:AT1997" si="2322">SUM(IF(AW1994&lt;1.15,AG1994,1.15*T1994),IF(AX1994&lt;1.15,AH1994,1.15*U1994),IF(AY1994&lt;1.15,AI1994,1.15*V1994),IF(AZ1994&lt;1.15,AJ1994,1.15*W1994),IF(BA1994&lt;1.15,AK1994,1.15*X1994),IF(BB1994&lt;1.15,AL1994,1.15*Y1994),IF(BC1994&lt;1.15,AM1994,1.15*Z1994),IF(BD1994&lt;1.15,AN1994,1.15*AA1994),IF(BE1994&lt;1.15,AO1994,1.15*AB1994),IF(BF1994&lt;1.15,AP1994,1.15*AC1994),IF(BG1994&lt;1.15,AQ1994,1.15*AD1994),IF(BH1994&lt;1.15,AR1994,1.15*AE1994))</f>
        <v>0</v>
      </c>
      <c r="AU1994" s="97">
        <f t="shared" ref="AU1994:AU1997" si="2323">SUM(AG1994:AR1994)</f>
        <v>0</v>
      </c>
      <c r="AW1994" s="51">
        <f t="shared" ref="AW1994:AW1997" si="2324">IFERROR(IF(AG1994="",0,AG1994/T1994),0)</f>
        <v>0</v>
      </c>
      <c r="AX1994" s="51">
        <f t="shared" ref="AX1994:AX1997" si="2325">IFERROR(IF(AH1994="",0,AH1994/U1994),0)</f>
        <v>0</v>
      </c>
      <c r="AY1994" s="51">
        <f t="shared" ref="AY1994:AY1997" si="2326">IFERROR(IF(AI1994="",0,AI1994/V1994),0)</f>
        <v>0</v>
      </c>
      <c r="AZ1994" s="51">
        <f t="shared" ref="AZ1994:AZ1997" si="2327">IFERROR(IF(AJ1994="",0,AJ1994/W1994),0)</f>
        <v>0</v>
      </c>
      <c r="BA1994" s="51"/>
      <c r="BB1994" s="51"/>
      <c r="BC1994" s="51"/>
      <c r="BD1994" s="51"/>
      <c r="BE1994" s="51"/>
      <c r="BF1994" s="51"/>
      <c r="BG1994" s="51"/>
      <c r="BH1994" s="51"/>
      <c r="BI1994" s="65" cm="1">
        <f t="array" ref="BI1994">IFERROR(INDEX(AW1994:BH1994,1,MATCH(2,1/(AW1994:BH1994&lt;&gt;""))),"")</f>
        <v>0</v>
      </c>
      <c r="BJ1994" s="68" cm="1">
        <f t="array" ref="BJ1994">IF(BM1994 = "", "",IFERROR(INDEX(AW1994:BH1994,1,MATCH(2,1/(AW1994:BH1994&lt;&gt;""),1)-1),""))</f>
        <v>0</v>
      </c>
      <c r="BK1994" s="58">
        <f>IF((IF(AW1994&gt;=115%,115%,AW1994) + IF(AX1994&gt;=115%,115%,AX1994) + IF(AY1994&gt;=115%,115%,AY1994) + (IF(AZ1994&gt;=115%,115%,AZ1994) + IF(BA1994&gt;=115%,115%,BA1994) + IF(BB1994&gt;=115%,115%,BB1994) + IF(BC1994&gt;=115%,115%,BC1994) + IF(BD1994&gt;=115%,115%,BD1994) + IF(BE1994&gt;=115%,115%,BE1994) + IF(BF1994&gt;=115%,115%,BF1994) + IF(BG1994&gt;=115%,115%,BG1994) + IF(BH1994&gt;=115%,115%,BH1994)))/_xlfn.XLOOKUP(F1994,Apuração!A:A,Apuração!B:B)&gt;=1.15,1.15,((IF(AZ1994&gt;=115%,115%,AZ1994) + IF(AX1994&gt;=115%,115%,AX1994) + IF(AY1994&gt;=115%,115%,AY1994) + (IF(AW1994&gt;=115%,115%,AW1994) + IF(BA1994&gt;=115%,115%,BA1994) + IF(BB1994&gt;=115%,115%,BB1994) + IF(BC1994&gt;=115%,115%,BC1994) + IF(BD1994&gt;=115%,115%,BD1994) + IF(BE1994&gt;=115%,115%,BE1994) + IF(BF1994&gt;=115%,115%,BF1994) + IF(BG1994&gt;=115%,115%,BG1994) + IF(BH1994&gt;=115%,115%,BH1994)))/_xlfn.XLOOKUP(F1994,Apuração!A:A,Apuração!B:B)))</f>
        <v>0</v>
      </c>
      <c r="BL1994" s="58" cm="1">
        <f t="array" aca="1" ref="BL1994" ca="1">IF(SUM(IFERROR(IF(INDEX(AW1994:INDEX(AW1994:BH1994, MATCH(2, 1/(AW1994:BH1994&lt;&gt;""), 1)-1), ROW(INDIRECT("1:" &amp; MATCH(2, 1/(AW1994:BH1994&lt;&gt;""), 1)-1))) &gt;= 115%, 115%, INDEX(AW1994:INDEX(AW1994:BH1994, MATCH(2, 1/(AW1994:BH1994&lt;&gt;""), 1)-1), ROW(INDIRECT("1:" &amp; MATCH(2, 1/(AW1994:BH1994&lt;&gt;""), 1)-1)))), 0))/_xlfn.XLOOKUP(F1994,Apuração!A:A,Apuração!B:B)&gt;=1.15,1.15,SUM(IFERROR(IF(INDEX(AW1994:INDEX(AW1994:BH1994, MATCH(2, 1/(AW1994:BH1994&lt;&gt;""), 1)-1), ROW(INDIRECT("1:" &amp; MATCH(2, 1/(AW1994:BH1994&lt;&gt;""), 1)-1))) &gt;= 115%, 115%, INDEX(AW1994:INDEX(AW1994:BH1994, MATCH(2, 1/(AW1994:BH1994&lt;&gt;""), 1)-1), ROW(INDIRECT("1:" &amp; MATCH(2, 1/(AW1994:BH1994&lt;&gt;""), 1)-1)))), 0))/_xlfn.XLOOKUP(F1994,Apuração!A:A,Apuração!B:B))</f>
        <v>0</v>
      </c>
      <c r="BM1994" s="55" cm="1">
        <f t="array" ref="BM1994">IFERROR(
   INDEX($AW$1:$BH$1,
      _xlfn.AGGREGATE(14, 6, COLUMN($AW$1:$BH$1)/(AW1994:BH1994&lt;&gt;""), 2) - COLUMN($AW$1) + 1
   ),
"")</f>
        <v>46082</v>
      </c>
      <c r="BN1994" s="55" cm="1">
        <f t="array" ref="BN1994">IFERROR(INDEX($AW$1:$BH$1,1,MATCH(2,1/(AW1994:BH1994&lt;&gt;""))),"")</f>
        <v>46113</v>
      </c>
      <c r="BO1994" s="53">
        <f ca="1">IFERROR(_xlfn.XLOOKUP(F1994,Apuração!A:A,Apuração!C:C)/_xlfn.XLOOKUP(F1994,Apuração!A:A,Apuração!B:B),0)</f>
        <v>0</v>
      </c>
      <c r="BP1994" s="53">
        <f ca="1">IFERROR(_xlfn.XLOOKUP(F1994,Apuração!A:A,Apuração!D:D)/_xlfn.XLOOKUP(F1994,Apuração!A:A,Apuração!B:B),0)</f>
        <v>0</v>
      </c>
      <c r="BQ1994" s="53">
        <f ca="1">IF(BK1994&gt;=BO1994,0,_xlfn.XLOOKUP(F1994,Apuração!A:A,Apuração!B:B)*(BO1994 + (1/_xlfn.XLOOKUP(F1994,Apuração!A:A,Apuração!B:B)) - BK1994))</f>
        <v>0</v>
      </c>
      <c r="BR1994" s="85">
        <f t="shared" ref="BR1994:BR1997" ca="1" si="2328">IF(BQ1994=0,0,BQ1994*Z1994)</f>
        <v>0</v>
      </c>
      <c r="BS1994" s="53">
        <f ca="1">IFERROR((_xlfn.XLOOKUP(F1994,Apuração!A:A,Apuração!C:C)+1)/_xlfn.XLOOKUP(F1994,Apuração!A:A,Apuração!B:B),0)</f>
        <v>0.14285714285714285</v>
      </c>
    </row>
    <row r="1995" spans="1:71" ht="25.95" hidden="1" customHeight="1" x14ac:dyDescent="0.3">
      <c r="A1995" s="3" t="s">
        <v>33</v>
      </c>
      <c r="B1995" s="4" t="s">
        <v>81</v>
      </c>
      <c r="C1995" s="5" t="s">
        <v>216</v>
      </c>
      <c r="D1995" s="5" t="s">
        <v>103</v>
      </c>
      <c r="E1995" s="4" t="str" cm="1">
        <f t="array" ref="E1995">_xlfn.IFS(
F1995 = "A partir de Abril", "Aguardando Execução na Distribuidora",
A1995 = "CAPACITAÇÃO", "Em execução no Corporativo",
TRUE, "Em Execução na Distribuidora"
)</f>
        <v>Em Execução na Distribuidora</v>
      </c>
      <c r="F1995" s="4" t="str" cm="1">
        <f t="array" ref="F1995">_xlfn.IFS(
AG1995 &lt;&gt; "", "Jan-Dez/26",
AH1995 &lt;&gt; "", "Fev-Dez/26",
AI1995 &lt;&gt; "", "Mar-Dez/26", AJ1995 &lt;&gt; "", "Abr-Dez/26",
TRUE, "A partir de Junho"
)</f>
        <v>A partir de Junho</v>
      </c>
      <c r="G1995" s="4" t="s">
        <v>37</v>
      </c>
      <c r="H1995" s="7" t="s">
        <v>54</v>
      </c>
      <c r="I1995" s="8" t="s">
        <v>55</v>
      </c>
      <c r="J1995" s="8" t="str" cm="1">
        <f t="array" aca="1" ref="J1995" ca="1">_xlfn.LET(
  _xlpm.actual_value_month, INDEX(T1995:AE1995, MATCH(DATE(YEAR(TODAY()), MONTH(TODAY()), 1), $T$1:$AE$1, 0)),
  IF(_xlpm.actual_value_month &lt;&gt; "",_xlpm.actual_value_month &amp; " eventos mensais", "")
)</f>
        <v>2 eventos mensais</v>
      </c>
      <c r="K1995" s="8" t="str" cm="1">
        <f t="array" ref="K1995">_xlfn.LET(
    _xlpm.sum_month, SUM(T1995:AE1995),
    IF(_xlpm.sum_month = 0, "", _xlpm.sum_month &amp; "  eventos no ano")
)</f>
        <v>18  eventos no ano</v>
      </c>
      <c r="L1995" s="9" t="s">
        <v>82</v>
      </c>
      <c r="M1995" s="13" t="s">
        <v>83</v>
      </c>
      <c r="N1995" s="5" t="s">
        <v>42</v>
      </c>
      <c r="O1995" s="5" t="s">
        <v>43</v>
      </c>
      <c r="P1995" s="10" t="s">
        <v>44</v>
      </c>
      <c r="Q1995" s="10" t="s">
        <v>44</v>
      </c>
      <c r="R1995" s="11" t="s">
        <v>44</v>
      </c>
      <c r="S1995" s="11" t="s">
        <v>44</v>
      </c>
      <c r="T1995" s="143"/>
      <c r="U1995" s="143"/>
      <c r="V1995" s="143"/>
      <c r="W1995" s="143">
        <v>2</v>
      </c>
      <c r="X1995" s="143">
        <v>2</v>
      </c>
      <c r="Y1995" s="143">
        <v>2</v>
      </c>
      <c r="Z1995" s="143">
        <v>2</v>
      </c>
      <c r="AA1995" s="143">
        <v>2</v>
      </c>
      <c r="AB1995" s="143">
        <v>2</v>
      </c>
      <c r="AC1995" s="143">
        <v>2</v>
      </c>
      <c r="AD1995" s="143">
        <v>2</v>
      </c>
      <c r="AE1995" s="143">
        <v>2</v>
      </c>
      <c r="AG1995" s="82"/>
      <c r="AH1995" s="82"/>
      <c r="AI1995" s="82"/>
      <c r="AJ1995" s="82"/>
      <c r="AK1995" s="71"/>
      <c r="AL1995" s="71"/>
      <c r="AM1995" s="71"/>
      <c r="AN1995" s="71"/>
      <c r="AO1995" s="71"/>
      <c r="AP1995" s="71"/>
      <c r="AQ1995" s="71"/>
      <c r="AR1995" s="71"/>
      <c r="AS1995" s="94">
        <f t="shared" ca="1" si="2321"/>
        <v>4</v>
      </c>
      <c r="AT1995" s="95">
        <f t="shared" si="2322"/>
        <v>0</v>
      </c>
      <c r="AU1995" s="97">
        <f t="shared" si="2323"/>
        <v>0</v>
      </c>
      <c r="AW1995" s="51">
        <f t="shared" si="2324"/>
        <v>0</v>
      </c>
      <c r="AX1995" s="51">
        <f t="shared" si="2325"/>
        <v>0</v>
      </c>
      <c r="AY1995" s="51">
        <f t="shared" si="2326"/>
        <v>0</v>
      </c>
      <c r="AZ1995" s="51">
        <f t="shared" si="2327"/>
        <v>0</v>
      </c>
      <c r="BA1995" s="51"/>
      <c r="BB1995" s="51"/>
      <c r="BC1995" s="51"/>
      <c r="BD1995" s="51"/>
      <c r="BE1995" s="51"/>
      <c r="BF1995" s="51"/>
      <c r="BG1995" s="51"/>
      <c r="BH1995" s="51"/>
      <c r="BI1995" s="65" cm="1">
        <f t="array" ref="BI1995">IFERROR(INDEX(AW1995:BH1995,1,MATCH(2,1/(AW1995:BH1995&lt;&gt;""))),"")</f>
        <v>0</v>
      </c>
      <c r="BJ1995" s="68" cm="1">
        <f t="array" ref="BJ1995">IF(BM1995 = "", "",IFERROR(INDEX(AW1995:BH1995,1,MATCH(2,1/(AW1995:BH1995&lt;&gt;""),1)-1),""))</f>
        <v>0</v>
      </c>
      <c r="BK1995" s="58">
        <f>IF((IF(AW1995&gt;=115%,115%,AW1995) + IF(AX1995&gt;=115%,115%,AX1995) + IF(AY1995&gt;=115%,115%,AY1995) + (IF(AZ1995&gt;=115%,115%,AZ1995) + IF(BA1995&gt;=115%,115%,BA1995) + IF(BB1995&gt;=115%,115%,BB1995) + IF(BC1995&gt;=115%,115%,BC1995) + IF(BD1995&gt;=115%,115%,BD1995) + IF(BE1995&gt;=115%,115%,BE1995) + IF(BF1995&gt;=115%,115%,BF1995) + IF(BG1995&gt;=115%,115%,BG1995) + IF(BH1995&gt;=115%,115%,BH1995)))/_xlfn.XLOOKUP(F1995,Apuração!A:A,Apuração!B:B)&gt;=1.15,1.15,((IF(AZ1995&gt;=115%,115%,AZ1995) + IF(AX1995&gt;=115%,115%,AX1995) + IF(AY1995&gt;=115%,115%,AY1995) + (IF(AW1995&gt;=115%,115%,AW1995) + IF(BA1995&gt;=115%,115%,BA1995) + IF(BB1995&gt;=115%,115%,BB1995) + IF(BC1995&gt;=115%,115%,BC1995) + IF(BD1995&gt;=115%,115%,BD1995) + IF(BE1995&gt;=115%,115%,BE1995) + IF(BF1995&gt;=115%,115%,BF1995) + IF(BG1995&gt;=115%,115%,BG1995) + IF(BH1995&gt;=115%,115%,BH1995)))/_xlfn.XLOOKUP(F1995,Apuração!A:A,Apuração!B:B)))</f>
        <v>0</v>
      </c>
      <c r="BL1995" s="58" cm="1">
        <f t="array" aca="1" ref="BL1995" ca="1">IF(SUM(IFERROR(IF(INDEX(AW1995:INDEX(AW1995:BH1995, MATCH(2, 1/(AW1995:BH1995&lt;&gt;""), 1)-1), ROW(INDIRECT("1:" &amp; MATCH(2, 1/(AW1995:BH1995&lt;&gt;""), 1)-1))) &gt;= 115%, 115%, INDEX(AW1995:INDEX(AW1995:BH1995, MATCH(2, 1/(AW1995:BH1995&lt;&gt;""), 1)-1), ROW(INDIRECT("1:" &amp; MATCH(2, 1/(AW1995:BH1995&lt;&gt;""), 1)-1)))), 0))/_xlfn.XLOOKUP(F1995,Apuração!A:A,Apuração!B:B)&gt;=1.15,1.15,SUM(IFERROR(IF(INDEX(AW1995:INDEX(AW1995:BH1995, MATCH(2, 1/(AW1995:BH1995&lt;&gt;""), 1)-1), ROW(INDIRECT("1:" &amp; MATCH(2, 1/(AW1995:BH1995&lt;&gt;""), 1)-1))) &gt;= 115%, 115%, INDEX(AW1995:INDEX(AW1995:BH1995, MATCH(2, 1/(AW1995:BH1995&lt;&gt;""), 1)-1), ROW(INDIRECT("1:" &amp; MATCH(2, 1/(AW1995:BH1995&lt;&gt;""), 1)-1)))), 0))/_xlfn.XLOOKUP(F1995,Apuração!A:A,Apuração!B:B))</f>
        <v>0</v>
      </c>
      <c r="BM1995" s="55" cm="1">
        <f t="array" ref="BM1995">IFERROR(
   INDEX($AW$1:$BH$1,
      _xlfn.AGGREGATE(14, 6, COLUMN($AW$1:$BH$1)/(AW1995:BH1995&lt;&gt;""), 2) - COLUMN($AW$1) + 1
   ),
"")</f>
        <v>46082</v>
      </c>
      <c r="BN1995" s="55" cm="1">
        <f t="array" ref="BN1995">IFERROR(INDEX($AW$1:$BH$1,1,MATCH(2,1/(AW1995:BH1995&lt;&gt;""))),"")</f>
        <v>46113</v>
      </c>
      <c r="BO1995" s="53">
        <f ca="1">IFERROR(_xlfn.XLOOKUP(F1995,Apuração!A:A,Apuração!C:C)/_xlfn.XLOOKUP(F1995,Apuração!A:A,Apuração!B:B),0)</f>
        <v>0</v>
      </c>
      <c r="BP1995" s="53">
        <f ca="1">IFERROR(_xlfn.XLOOKUP(F1995,Apuração!A:A,Apuração!D:D)/_xlfn.XLOOKUP(F1995,Apuração!A:A,Apuração!B:B),0)</f>
        <v>0</v>
      </c>
      <c r="BQ1995" s="53">
        <f ca="1">IF(BK1995&gt;=BO1995,0,_xlfn.XLOOKUP(F1995,Apuração!A:A,Apuração!B:B)*(BO1995 + (1/_xlfn.XLOOKUP(F1995,Apuração!A:A,Apuração!B:B)) - BK1995))</f>
        <v>0</v>
      </c>
      <c r="BR1995" s="85">
        <f t="shared" ca="1" si="2328"/>
        <v>0</v>
      </c>
      <c r="BS1995" s="53">
        <f ca="1">IFERROR((_xlfn.XLOOKUP(F1995,Apuração!A:A,Apuração!C:C)+1)/_xlfn.XLOOKUP(F1995,Apuração!A:A,Apuração!B:B),0)</f>
        <v>0.14285714285714285</v>
      </c>
    </row>
    <row r="1996" spans="1:71" ht="25.95" hidden="1" customHeight="1" x14ac:dyDescent="0.3">
      <c r="A1996" s="3" t="s">
        <v>33</v>
      </c>
      <c r="B1996" s="4" t="s">
        <v>81</v>
      </c>
      <c r="C1996" s="5" t="s">
        <v>216</v>
      </c>
      <c r="D1996" s="5" t="s">
        <v>218</v>
      </c>
      <c r="E1996" s="4" t="str" cm="1">
        <f t="array" ref="E1996">_xlfn.IFS(
F1996 = "A partir de Abril", "Aguardando Execução na Distribuidora",
A1996 = "CAPACITAÇÃO", "Em execução no Corporativo",
TRUE, "Em Execução na Distribuidora"
)</f>
        <v>Em Execução na Distribuidora</v>
      </c>
      <c r="F1996" s="4" t="str" cm="1">
        <f t="array" ref="F1996">_xlfn.IFS(
AG1996 &lt;&gt; "", "Jan-Dez/26",
AH1996 &lt;&gt; "", "Fev-Dez/26",
AI1996 &lt;&gt; "", "Mar-Dez/26", AJ1996 &lt;&gt; "", "Abr-Dez/26",
TRUE, "A partir de Junho"
)</f>
        <v>Mar-Dez/26</v>
      </c>
      <c r="G1996" s="4" t="s">
        <v>37</v>
      </c>
      <c r="H1996" s="7" t="s">
        <v>54</v>
      </c>
      <c r="I1996" s="8" t="s">
        <v>55</v>
      </c>
      <c r="J1996" s="8" t="str" cm="1">
        <f t="array" aca="1" ref="J1996" ca="1">_xlfn.LET(
  _xlpm.actual_value_month, INDEX(T1996:AE1996, MATCH(DATE(YEAR(TODAY()), MONTH(TODAY()), 1), $T$1:$AE$1, 0)),
  IF(_xlpm.actual_value_month &lt;&gt; "",_xlpm.actual_value_month &amp; " eventos mensais", "")
)</f>
        <v>2 eventos mensais</v>
      </c>
      <c r="K1996" s="8" t="str" cm="1">
        <f t="array" ref="K1996">_xlfn.LET(
    _xlpm.sum_month, SUM(T1996:AE1996),
    IF(_xlpm.sum_month = 0, "", _xlpm.sum_month &amp; "  eventos no ano")
)</f>
        <v>19  eventos no ano</v>
      </c>
      <c r="L1996" s="9" t="s">
        <v>82</v>
      </c>
      <c r="M1996" s="13" t="s">
        <v>83</v>
      </c>
      <c r="N1996" s="5" t="s">
        <v>42</v>
      </c>
      <c r="O1996" s="5" t="s">
        <v>43</v>
      </c>
      <c r="P1996" s="10" t="s">
        <v>44</v>
      </c>
      <c r="Q1996" s="10" t="s">
        <v>44</v>
      </c>
      <c r="R1996" s="11" t="s">
        <v>44</v>
      </c>
      <c r="S1996" s="11" t="s">
        <v>44</v>
      </c>
      <c r="T1996" s="143"/>
      <c r="U1996" s="143"/>
      <c r="V1996" s="143">
        <v>1</v>
      </c>
      <c r="W1996" s="143">
        <v>2</v>
      </c>
      <c r="X1996" s="143">
        <v>2</v>
      </c>
      <c r="Y1996" s="143">
        <v>2</v>
      </c>
      <c r="Z1996" s="143">
        <v>2</v>
      </c>
      <c r="AA1996" s="143">
        <v>2</v>
      </c>
      <c r="AB1996" s="143">
        <v>2</v>
      </c>
      <c r="AC1996" s="143">
        <v>2</v>
      </c>
      <c r="AD1996" s="143">
        <v>2</v>
      </c>
      <c r="AE1996" s="143">
        <v>2</v>
      </c>
      <c r="AG1996" s="82"/>
      <c r="AH1996" s="82"/>
      <c r="AI1996" s="82">
        <v>1</v>
      </c>
      <c r="AJ1996" s="82"/>
      <c r="AK1996" s="71"/>
      <c r="AL1996" s="71"/>
      <c r="AM1996" s="71"/>
      <c r="AN1996" s="71"/>
      <c r="AO1996" s="71"/>
      <c r="AP1996" s="71"/>
      <c r="AQ1996" s="71"/>
      <c r="AR1996" s="71"/>
      <c r="AS1996" s="94">
        <f t="shared" ca="1" si="2321"/>
        <v>5</v>
      </c>
      <c r="AT1996" s="95">
        <f t="shared" si="2322"/>
        <v>1</v>
      </c>
      <c r="AU1996" s="97">
        <f t="shared" si="2323"/>
        <v>1</v>
      </c>
      <c r="AW1996" s="51">
        <f t="shared" si="2324"/>
        <v>0</v>
      </c>
      <c r="AX1996" s="51">
        <f t="shared" si="2325"/>
        <v>0</v>
      </c>
      <c r="AY1996" s="51">
        <f t="shared" si="2326"/>
        <v>1</v>
      </c>
      <c r="AZ1996" s="51">
        <f t="shared" si="2327"/>
        <v>0</v>
      </c>
      <c r="BA1996" s="51"/>
      <c r="BB1996" s="51"/>
      <c r="BC1996" s="51"/>
      <c r="BD1996" s="51"/>
      <c r="BE1996" s="51"/>
      <c r="BF1996" s="51"/>
      <c r="BG1996" s="51"/>
      <c r="BH1996" s="51"/>
      <c r="BI1996" s="65" cm="1">
        <f t="array" ref="BI1996">IFERROR(INDEX(AW1996:BH1996,1,MATCH(2,1/(AW1996:BH1996&lt;&gt;""))),"")</f>
        <v>0</v>
      </c>
      <c r="BJ1996" s="68" cm="1">
        <f t="array" ref="BJ1996">IF(BM1996 = "", "",IFERROR(INDEX(AW1996:BH1996,1,MATCH(2,1/(AW1996:BH1996&lt;&gt;""),1)-1),""))</f>
        <v>1</v>
      </c>
      <c r="BK1996" s="58">
        <f>IF((IF(AW1996&gt;=115%,115%,AW1996) + IF(AX1996&gt;=115%,115%,AX1996) + IF(AY1996&gt;=115%,115%,AY1996) + (IF(AZ1996&gt;=115%,115%,AZ1996) + IF(BA1996&gt;=115%,115%,BA1996) + IF(BB1996&gt;=115%,115%,BB1996) + IF(BC1996&gt;=115%,115%,BC1996) + IF(BD1996&gt;=115%,115%,BD1996) + IF(BE1996&gt;=115%,115%,BE1996) + IF(BF1996&gt;=115%,115%,BF1996) + IF(BG1996&gt;=115%,115%,BG1996) + IF(BH1996&gt;=115%,115%,BH1996)))/_xlfn.XLOOKUP(F1996,Apuração!A:A,Apuração!B:B)&gt;=1.15,1.15,((IF(AZ1996&gt;=115%,115%,AZ1996) + IF(AX1996&gt;=115%,115%,AX1996) + IF(AY1996&gt;=115%,115%,AY1996) + (IF(AW1996&gt;=115%,115%,AW1996) + IF(BA1996&gt;=115%,115%,BA1996) + IF(BB1996&gt;=115%,115%,BB1996) + IF(BC1996&gt;=115%,115%,BC1996) + IF(BD1996&gt;=115%,115%,BD1996) + IF(BE1996&gt;=115%,115%,BE1996) + IF(BF1996&gt;=115%,115%,BF1996) + IF(BG1996&gt;=115%,115%,BG1996) + IF(BH1996&gt;=115%,115%,BH1996)))/_xlfn.XLOOKUP(F1996,Apuração!A:A,Apuração!B:B)))</f>
        <v>0.1</v>
      </c>
      <c r="BL1996" s="58" cm="1">
        <f t="array" aca="1" ref="BL1996" ca="1">IF(SUM(IFERROR(IF(INDEX(AW1996:INDEX(AW1996:BH1996, MATCH(2, 1/(AW1996:BH1996&lt;&gt;""), 1)-1), ROW(INDIRECT("1:" &amp; MATCH(2, 1/(AW1996:BH1996&lt;&gt;""), 1)-1))) &gt;= 115%, 115%, INDEX(AW1996:INDEX(AW1996:BH1996, MATCH(2, 1/(AW1996:BH1996&lt;&gt;""), 1)-1), ROW(INDIRECT("1:" &amp; MATCH(2, 1/(AW1996:BH1996&lt;&gt;""), 1)-1)))), 0))/_xlfn.XLOOKUP(F1996,Apuração!A:A,Apuração!B:B)&gt;=1.15,1.15,SUM(IFERROR(IF(INDEX(AW1996:INDEX(AW1996:BH1996, MATCH(2, 1/(AW1996:BH1996&lt;&gt;""), 1)-1), ROW(INDIRECT("1:" &amp; MATCH(2, 1/(AW1996:BH1996&lt;&gt;""), 1)-1))) &gt;= 115%, 115%, INDEX(AW1996:INDEX(AW1996:BH1996, MATCH(2, 1/(AW1996:BH1996&lt;&gt;""), 1)-1), ROW(INDIRECT("1:" &amp; MATCH(2, 1/(AW1996:BH1996&lt;&gt;""), 1)-1)))), 0))/_xlfn.XLOOKUP(F1996,Apuração!A:A,Apuração!B:B))</f>
        <v>0.1</v>
      </c>
      <c r="BM1996" s="55" cm="1">
        <f t="array" ref="BM1996">IFERROR(
   INDEX($AW$1:$BH$1,
      _xlfn.AGGREGATE(14, 6, COLUMN($AW$1:$BH$1)/(AW1996:BH1996&lt;&gt;""), 2) - COLUMN($AW$1) + 1
   ),
"")</f>
        <v>46082</v>
      </c>
      <c r="BN1996" s="55" cm="1">
        <f t="array" ref="BN1996">IFERROR(INDEX($AW$1:$BH$1,1,MATCH(2,1/(AW1996:BH1996&lt;&gt;""))),"")</f>
        <v>46113</v>
      </c>
      <c r="BO1996" s="53">
        <f ca="1">IFERROR(_xlfn.XLOOKUP(F1996,Apuração!A:A,Apuração!C:C)/_xlfn.XLOOKUP(F1996,Apuração!A:A,Apuração!B:B),0)</f>
        <v>0.3</v>
      </c>
      <c r="BP1996" s="53">
        <f ca="1">IFERROR(_xlfn.XLOOKUP(F1996,Apuração!A:A,Apuração!D:D)/_xlfn.XLOOKUP(F1996,Apuração!A:A,Apuração!B:B),0)</f>
        <v>0.2</v>
      </c>
      <c r="BQ1996" s="53">
        <f ca="1">IF(BK1996&gt;=BO1996,0,_xlfn.XLOOKUP(F1996,Apuração!A:A,Apuração!B:B)*(BO1996 + (1/_xlfn.XLOOKUP(F1996,Apuração!A:A,Apuração!B:B)) - BK1996))</f>
        <v>3.0000000000000004</v>
      </c>
      <c r="BR1996" s="85">
        <f t="shared" ca="1" si="2328"/>
        <v>6.0000000000000009</v>
      </c>
      <c r="BS1996" s="53">
        <f ca="1">IFERROR((_xlfn.XLOOKUP(F1996,Apuração!A:A,Apuração!C:C)+1)/_xlfn.XLOOKUP(F1996,Apuração!A:A,Apuração!B:B),0)</f>
        <v>0.4</v>
      </c>
    </row>
    <row r="1997" spans="1:71" ht="25.95" hidden="1" customHeight="1" x14ac:dyDescent="0.3">
      <c r="A1997" s="3" t="s">
        <v>33</v>
      </c>
      <c r="B1997" s="4" t="s">
        <v>81</v>
      </c>
      <c r="C1997" s="5" t="s">
        <v>216</v>
      </c>
      <c r="D1997" s="5" t="s">
        <v>219</v>
      </c>
      <c r="E1997" s="4" t="str" cm="1">
        <f t="array" ref="E1997">_xlfn.IFS(
F1997 = "A partir de Abril", "Aguardando Execução na Distribuidora",
A1997 = "CAPACITAÇÃO", "Em execução no Corporativo",
TRUE, "Em Execução na Distribuidora"
)</f>
        <v>Em Execução na Distribuidora</v>
      </c>
      <c r="F1997" s="4" t="str" cm="1">
        <f t="array" ref="F1997">_xlfn.IFS(
AG1997 &lt;&gt; "", "Jan-Dez/26",
AH1997 &lt;&gt; "", "Fev-Dez/26",
AI1997 &lt;&gt; "", "Mar-Dez/26", AJ1997 &lt;&gt; "", "Abr-Dez/26",
TRUE, "A partir de Junho"
)</f>
        <v>A partir de Junho</v>
      </c>
      <c r="G1997" s="4" t="s">
        <v>37</v>
      </c>
      <c r="H1997" s="7" t="s">
        <v>54</v>
      </c>
      <c r="I1997" s="8" t="s">
        <v>55</v>
      </c>
      <c r="J1997" s="8" t="str" cm="1">
        <f t="array" aca="1" ref="J1997" ca="1">_xlfn.LET(
  _xlpm.actual_value_month, INDEX(T1997:AE1997, MATCH(DATE(YEAR(TODAY()), MONTH(TODAY()), 1), $T$1:$AE$1, 0)),
  IF(_xlpm.actual_value_month &lt;&gt; "",_xlpm.actual_value_month &amp; " eventos mensais", "")
)</f>
        <v>2 eventos mensais</v>
      </c>
      <c r="K1997" s="8" t="str" cm="1">
        <f t="array" ref="K1997">_xlfn.LET(
    _xlpm.sum_month, SUM(T1997:AE1997),
    IF(_xlpm.sum_month = 0, "", _xlpm.sum_month &amp; "  eventos no ano")
)</f>
        <v>18  eventos no ano</v>
      </c>
      <c r="L1997" s="9" t="s">
        <v>82</v>
      </c>
      <c r="M1997" s="13" t="s">
        <v>83</v>
      </c>
      <c r="N1997" s="5" t="s">
        <v>42</v>
      </c>
      <c r="O1997" s="5" t="s">
        <v>43</v>
      </c>
      <c r="P1997" s="10" t="s">
        <v>44</v>
      </c>
      <c r="Q1997" s="10" t="s">
        <v>44</v>
      </c>
      <c r="R1997" s="11" t="s">
        <v>44</v>
      </c>
      <c r="S1997" s="11" t="s">
        <v>44</v>
      </c>
      <c r="T1997" s="143"/>
      <c r="U1997" s="143"/>
      <c r="V1997" s="143"/>
      <c r="W1997" s="143">
        <v>2</v>
      </c>
      <c r="X1997" s="143">
        <v>2</v>
      </c>
      <c r="Y1997" s="143">
        <v>2</v>
      </c>
      <c r="Z1997" s="143">
        <v>2</v>
      </c>
      <c r="AA1997" s="143">
        <v>2</v>
      </c>
      <c r="AB1997" s="143">
        <v>2</v>
      </c>
      <c r="AC1997" s="143">
        <v>2</v>
      </c>
      <c r="AD1997" s="143">
        <v>2</v>
      </c>
      <c r="AE1997" s="143">
        <v>2</v>
      </c>
      <c r="AG1997" s="82"/>
      <c r="AH1997" s="82"/>
      <c r="AI1997" s="82"/>
      <c r="AJ1997" s="82"/>
      <c r="AK1997" s="71"/>
      <c r="AL1997" s="71"/>
      <c r="AM1997" s="71"/>
      <c r="AN1997" s="71"/>
      <c r="AO1997" s="71"/>
      <c r="AP1997" s="71"/>
      <c r="AQ1997" s="71"/>
      <c r="AR1997" s="71"/>
      <c r="AS1997" s="94">
        <f t="shared" ca="1" si="2321"/>
        <v>4</v>
      </c>
      <c r="AT1997" s="95">
        <f t="shared" si="2322"/>
        <v>0</v>
      </c>
      <c r="AU1997" s="97">
        <f t="shared" si="2323"/>
        <v>0</v>
      </c>
      <c r="AW1997" s="51">
        <f t="shared" si="2324"/>
        <v>0</v>
      </c>
      <c r="AX1997" s="51">
        <f t="shared" si="2325"/>
        <v>0</v>
      </c>
      <c r="AY1997" s="51">
        <f t="shared" si="2326"/>
        <v>0</v>
      </c>
      <c r="AZ1997" s="51">
        <f t="shared" si="2327"/>
        <v>0</v>
      </c>
      <c r="BA1997" s="51"/>
      <c r="BB1997" s="51"/>
      <c r="BC1997" s="51"/>
      <c r="BD1997" s="51"/>
      <c r="BE1997" s="51"/>
      <c r="BF1997" s="51"/>
      <c r="BG1997" s="51"/>
      <c r="BH1997" s="51"/>
      <c r="BI1997" s="65" cm="1">
        <f t="array" ref="BI1997">IFERROR(INDEX(AW1997:BH1997,1,MATCH(2,1/(AW1997:BH1997&lt;&gt;""))),"")</f>
        <v>0</v>
      </c>
      <c r="BJ1997" s="68" cm="1">
        <f t="array" ref="BJ1997">IF(BM1997 = "", "",IFERROR(INDEX(AW1997:BH1997,1,MATCH(2,1/(AW1997:BH1997&lt;&gt;""),1)-1),""))</f>
        <v>0</v>
      </c>
      <c r="BK1997" s="58">
        <f>IF((IF(AW1997&gt;=115%,115%,AW1997) + IF(AX1997&gt;=115%,115%,AX1997) + IF(AY1997&gt;=115%,115%,AY1997) + (IF(AZ1997&gt;=115%,115%,AZ1997) + IF(BA1997&gt;=115%,115%,BA1997) + IF(BB1997&gt;=115%,115%,BB1997) + IF(BC1997&gt;=115%,115%,BC1997) + IF(BD1997&gt;=115%,115%,BD1997) + IF(BE1997&gt;=115%,115%,BE1997) + IF(BF1997&gt;=115%,115%,BF1997) + IF(BG1997&gt;=115%,115%,BG1997) + IF(BH1997&gt;=115%,115%,BH1997)))/_xlfn.XLOOKUP(F1997,Apuração!A:A,Apuração!B:B)&gt;=1.15,1.15,((IF(AZ1997&gt;=115%,115%,AZ1997) + IF(AX1997&gt;=115%,115%,AX1997) + IF(AY1997&gt;=115%,115%,AY1997) + (IF(AW1997&gt;=115%,115%,AW1997) + IF(BA1997&gt;=115%,115%,BA1997) + IF(BB1997&gt;=115%,115%,BB1997) + IF(BC1997&gt;=115%,115%,BC1997) + IF(BD1997&gt;=115%,115%,BD1997) + IF(BE1997&gt;=115%,115%,BE1997) + IF(BF1997&gt;=115%,115%,BF1997) + IF(BG1997&gt;=115%,115%,BG1997) + IF(BH1997&gt;=115%,115%,BH1997)))/_xlfn.XLOOKUP(F1997,Apuração!A:A,Apuração!B:B)))</f>
        <v>0</v>
      </c>
      <c r="BL1997" s="58" cm="1">
        <f t="array" aca="1" ref="BL1997" ca="1">IF(SUM(IFERROR(IF(INDEX(AW1997:INDEX(AW1997:BH1997, MATCH(2, 1/(AW1997:BH1997&lt;&gt;""), 1)-1), ROW(INDIRECT("1:" &amp; MATCH(2, 1/(AW1997:BH1997&lt;&gt;""), 1)-1))) &gt;= 115%, 115%, INDEX(AW1997:INDEX(AW1997:BH1997, MATCH(2, 1/(AW1997:BH1997&lt;&gt;""), 1)-1), ROW(INDIRECT("1:" &amp; MATCH(2, 1/(AW1997:BH1997&lt;&gt;""), 1)-1)))), 0))/_xlfn.XLOOKUP(F1997,Apuração!A:A,Apuração!B:B)&gt;=1.15,1.15,SUM(IFERROR(IF(INDEX(AW1997:INDEX(AW1997:BH1997, MATCH(2, 1/(AW1997:BH1997&lt;&gt;""), 1)-1), ROW(INDIRECT("1:" &amp; MATCH(2, 1/(AW1997:BH1997&lt;&gt;""), 1)-1))) &gt;= 115%, 115%, INDEX(AW1997:INDEX(AW1997:BH1997, MATCH(2, 1/(AW1997:BH1997&lt;&gt;""), 1)-1), ROW(INDIRECT("1:" &amp; MATCH(2, 1/(AW1997:BH1997&lt;&gt;""), 1)-1)))), 0))/_xlfn.XLOOKUP(F1997,Apuração!A:A,Apuração!B:B))</f>
        <v>0</v>
      </c>
      <c r="BM1997" s="55" cm="1">
        <f t="array" ref="BM1997">IFERROR(
   INDEX($AW$1:$BH$1,
      _xlfn.AGGREGATE(14, 6, COLUMN($AW$1:$BH$1)/(AW1997:BH1997&lt;&gt;""), 2) - COLUMN($AW$1) + 1
   ),
"")</f>
        <v>46082</v>
      </c>
      <c r="BN1997" s="55" cm="1">
        <f t="array" ref="BN1997">IFERROR(INDEX($AW$1:$BH$1,1,MATCH(2,1/(AW1997:BH1997&lt;&gt;""))),"")</f>
        <v>46113</v>
      </c>
      <c r="BO1997" s="53">
        <f ca="1">IFERROR(_xlfn.XLOOKUP(F1997,Apuração!A:A,Apuração!C:C)/_xlfn.XLOOKUP(F1997,Apuração!A:A,Apuração!B:B),0)</f>
        <v>0</v>
      </c>
      <c r="BP1997" s="53">
        <f ca="1">IFERROR(_xlfn.XLOOKUP(F1997,Apuração!A:A,Apuração!D:D)/_xlfn.XLOOKUP(F1997,Apuração!A:A,Apuração!B:B),0)</f>
        <v>0</v>
      </c>
      <c r="BQ1997" s="53">
        <f ca="1">IF(BK1997&gt;=BO1997,0,_xlfn.XLOOKUP(F1997,Apuração!A:A,Apuração!B:B)*(BO1997 + (1/_xlfn.XLOOKUP(F1997,Apuração!A:A,Apuração!B:B)) - BK1997))</f>
        <v>0</v>
      </c>
      <c r="BR1997" s="85">
        <f t="shared" ca="1" si="2328"/>
        <v>0</v>
      </c>
      <c r="BS1997" s="53">
        <f ca="1">IFERROR((_xlfn.XLOOKUP(F1997,Apuração!A:A,Apuração!C:C)+1)/_xlfn.XLOOKUP(F1997,Apuração!A:A,Apuração!B:B),0)</f>
        <v>0.14285714285714285</v>
      </c>
    </row>
    <row r="1998" spans="1:71" ht="25.95" hidden="1" customHeight="1" x14ac:dyDescent="0.3">
      <c r="A1998" s="39" t="s">
        <v>33</v>
      </c>
      <c r="B1998" s="4" t="s">
        <v>81</v>
      </c>
      <c r="C1998" s="5" t="s">
        <v>216</v>
      </c>
      <c r="D1998" s="5" t="s">
        <v>36</v>
      </c>
      <c r="E1998" s="4" t="str" cm="1">
        <f t="array" ref="E1998">_xlfn.IFS(
F1998 = "A partir de Abril", "Aguardando Execução na Distribuidora",
A1998 = "CAPACITAÇÃO", "Em execução no Corporativo",
TRUE, "Em Execução na Distribuidora"
)</f>
        <v>Em Execução na Distribuidora</v>
      </c>
      <c r="F1998" s="4" t="str" cm="1">
        <f t="array" ref="F1998">_xlfn.IFS(
AG1998 &lt;&gt; "", "Jan-Dez/26",
AH1998 &lt;&gt; "", "Fev-Dez/26",
AI1998 &lt;&gt; "", "Mar-Dez/26", AJ1998 &lt;&gt; "", "Abr-Dez/26",
TRUE, "A partir de Junho"
)</f>
        <v>Mar-Dez/26</v>
      </c>
      <c r="G1998" s="4" t="s">
        <v>37</v>
      </c>
      <c r="H1998" s="7" t="s">
        <v>54</v>
      </c>
      <c r="I1998" s="9" t="s">
        <v>76</v>
      </c>
      <c r="J1998" s="8" t="str" cm="1">
        <f t="array" aca="1" ref="J1998" ca="1">_xlfn.LET(
  _xlpm.actual_value_month, INDEX(T1998:AE1998, MATCH(DATE(YEAR(TODAY()), MONTH(TODAY()), 1), $T$1:$AE$1, 0)),
  IF(_xlpm.actual_value_month &lt;&gt; "",_xlpm.actual_value_month &amp; " ações mensais", "")
)</f>
        <v/>
      </c>
      <c r="K1998" s="8" t="str" cm="1">
        <f t="array" ref="K1998">_xlfn.LET(
    _xlpm.sum_month, SUM(T1998:AE1998),
    IF(_xlpm.sum_month = 0, "", _xlpm.sum_month &amp; " público impactado no ano.")
)</f>
        <v/>
      </c>
      <c r="L1998" s="9" t="s">
        <v>76</v>
      </c>
      <c r="M1998" s="13">
        <v>1</v>
      </c>
      <c r="N1998" s="5" t="s">
        <v>51</v>
      </c>
      <c r="O1998" s="5" t="s">
        <v>52</v>
      </c>
      <c r="P1998" s="10" t="s">
        <v>44</v>
      </c>
      <c r="Q1998" s="10" t="s">
        <v>44</v>
      </c>
      <c r="R1998" s="11" t="s">
        <v>44</v>
      </c>
      <c r="S1998" s="11" t="s">
        <v>44</v>
      </c>
      <c r="T1998" s="22"/>
      <c r="U1998" s="22"/>
      <c r="V1998" s="22"/>
      <c r="W1998" s="22"/>
      <c r="X1998" s="22"/>
      <c r="Y1998" s="22"/>
      <c r="Z1998" s="22"/>
      <c r="AA1998" s="22"/>
      <c r="AB1998" s="22"/>
      <c r="AC1998" s="22"/>
      <c r="AD1998" s="22"/>
      <c r="AE1998" s="22"/>
      <c r="AG1998" s="71"/>
      <c r="AH1998" s="71"/>
      <c r="AI1998" s="71">
        <v>4</v>
      </c>
      <c r="AJ1998" s="71">
        <v>0</v>
      </c>
      <c r="AK1998" s="71"/>
      <c r="AL1998" s="71"/>
      <c r="AM1998" s="71"/>
      <c r="AN1998" s="71"/>
      <c r="AO1998" s="71"/>
      <c r="AP1998" s="71"/>
      <c r="AQ1998" s="71"/>
      <c r="AR1998" s="71"/>
      <c r="AS1998" s="94">
        <f ca="1">IF(MONTH(TODAY())=3,SUM(T1998:U1998),IF(MONTH(TODAY())=4,SUM(T1998:V1998),IF(MONTH(TODAY())=5,SUM(T1998:W1998),IF(MONTH(TODAY())=6,SUM(T1998:X1998),IF(MONTH(TODAY())=7,SUM(T1998:Y1998),IF(MONTH(TODAY())=8,SUM(T1998:Z1998),IF(MONTH(TODAY())=9,SUM(T1998:AA1998),IF(MONTH(TODAY())=10,SUM(T1998:AB1998),IF(MONTH(TODAY())=11,SUM(T1998:AC1998),IF(MONTH(TODAY())=12,SUM(T1998:AD1998),IF(MONTH(TODAY())=1,SUM(T1998:AE1998),T1998)))))))))))</f>
        <v>0</v>
      </c>
      <c r="AT1998" s="95">
        <f>SUM(AG1998:AR1998)</f>
        <v>4</v>
      </c>
      <c r="AU1998" s="97">
        <f>SUM(AG1998:AR1998)</f>
        <v>4</v>
      </c>
      <c r="AW1998" s="83">
        <f>AG1998</f>
        <v>0</v>
      </c>
      <c r="AX1998" s="83">
        <f>AH1998</f>
        <v>0</v>
      </c>
      <c r="AY1998" s="83">
        <f>AI1998</f>
        <v>4</v>
      </c>
      <c r="AZ1998" s="83">
        <f>AJ1998</f>
        <v>0</v>
      </c>
      <c r="BA1998" s="52"/>
      <c r="BB1998" s="52"/>
      <c r="BC1998" s="52"/>
      <c r="BD1998" s="52"/>
      <c r="BE1998" s="52"/>
      <c r="BF1998" s="52"/>
      <c r="BG1998" s="52"/>
      <c r="BH1998" s="52"/>
      <c r="BI1998" s="68" cm="1">
        <f t="array" ref="BI1998">IFERROR(INDEX(AW1998:BH1998,1,MATCH(2,1/(AW1998:BH1998&lt;&gt;""))),"")</f>
        <v>0</v>
      </c>
      <c r="BJ1998" s="68" cm="1">
        <f t="array" ref="BJ1998">IF(BM1998 = "", "",IFERROR(INDEX(AW1998:BH1998,1,MATCH(2,1/(AW1998:BH1998&lt;&gt;""),1)-1),""))</f>
        <v>4</v>
      </c>
      <c r="BK1998" s="59">
        <f>SUM(AW1998:BH1998)</f>
        <v>4</v>
      </c>
      <c r="BL1998" s="59" cm="1">
        <f t="array" ref="BL1998">IFERROR(SUM(AW1998:INDEX(AW1998:BH1998, MATCH(2, 1/(AW1998:BH1998&lt;&gt;""), 1) - 1))/_xlfn.XLOOKUP(F1998,Apuração!A:A,Apuração!B:B),0)</f>
        <v>0.4</v>
      </c>
      <c r="BM1998" s="55" cm="1">
        <f t="array" ref="BM1998">IFERROR(
   INDEX($AW$1:$BH$1,
      _xlfn.AGGREGATE(14, 6, COLUMN($AW$1:$BH$1)/(AW1998:BH1998&lt;&gt;""), 2) - COLUMN($AW$1) + 1
   ),
"")</f>
        <v>46082</v>
      </c>
      <c r="BN1998" s="55" cm="1">
        <f t="array" ref="BN1998">IFERROR(INDEX($AW$1:$BH$1,1,MATCH(2,1/(AW1998:BH1998&lt;&gt;""))),"")</f>
        <v>46113</v>
      </c>
      <c r="BO1998" s="53">
        <f ca="1">IFERROR(_xlfn.XLOOKUP(F1998,Apuração!A:A,Apuração!C:C)/_xlfn.XLOOKUP(F1998,Apuração!A:A,Apuração!B:B),0)</f>
        <v>0.3</v>
      </c>
      <c r="BP1998" s="53">
        <f ca="1">IFERROR(_xlfn.XLOOKUP(F1998,Apuração!A:A,Apuração!D:D)/_xlfn.XLOOKUP(F1998,Apuração!A:A,Apuração!B:B),0)</f>
        <v>0.2</v>
      </c>
      <c r="BQ1998" s="53">
        <f ca="1">IF(BK1998&gt;=BO1998,0,_xlfn.XLOOKUP(F1998,Apuração!A:A,Apuração!B:B)*(BO1998 + (1/_xlfn.XLOOKUP(F1998,Apuração!A:A,Apuração!B:B)) - BK1998))</f>
        <v>0</v>
      </c>
      <c r="BR1998" s="85">
        <f ca="1">IF(BQ1998=0,0,BQ1998*Z1998)</f>
        <v>0</v>
      </c>
      <c r="BS1998" s="53">
        <f ca="1">IFERROR((_xlfn.XLOOKUP(F1998,Apuração!A:A,Apuração!C:C)+1)/_xlfn.XLOOKUP(F1998,Apuração!A:A,Apuração!B:B),0)</f>
        <v>0.4</v>
      </c>
    </row>
    <row r="1999" spans="1:71" ht="25.95" hidden="1" customHeight="1" x14ac:dyDescent="0.3">
      <c r="A1999" s="39" t="s">
        <v>33</v>
      </c>
      <c r="B1999" s="4" t="s">
        <v>81</v>
      </c>
      <c r="C1999" s="5" t="s">
        <v>216</v>
      </c>
      <c r="D1999" s="5" t="s">
        <v>217</v>
      </c>
      <c r="E1999" s="4" t="str" cm="1">
        <f t="array" ref="E1999">_xlfn.IFS(
F1999 = "A partir de Abril", "Aguardando Execução na Distribuidora",
A1999 = "CAPACITAÇÃO", "Em execução no Corporativo",
TRUE, "Em Execução na Distribuidora"
)</f>
        <v>Em Execução na Distribuidora</v>
      </c>
      <c r="F1999" s="4" t="str" cm="1">
        <f t="array" ref="F1999">_xlfn.IFS(
AG1999 &lt;&gt; "", "Jan-Dez/26",
AH1999 &lt;&gt; "", "Fev-Dez/26",
AI1999 &lt;&gt; "", "Mar-Dez/26", AJ1999 &lt;&gt; "", "Abr-Dez/26",
TRUE, "A partir de Junho"
)</f>
        <v>A partir de Junho</v>
      </c>
      <c r="G1999" s="4" t="s">
        <v>37</v>
      </c>
      <c r="H1999" s="7" t="s">
        <v>54</v>
      </c>
      <c r="I1999" s="9" t="s">
        <v>76</v>
      </c>
      <c r="J1999" s="8" t="str" cm="1">
        <f t="array" aca="1" ref="J1999" ca="1">_xlfn.LET(
  _xlpm.actual_value_month, INDEX(T1999:AE1999, MATCH(DATE(YEAR(TODAY()), MONTH(TODAY()), 1), $T$1:$AE$1, 0)),
  IF(_xlpm.actual_value_month &lt;&gt; "",_xlpm.actual_value_month &amp; " ações mensais", "")
)</f>
        <v/>
      </c>
      <c r="K1999" s="8" t="str" cm="1">
        <f t="array" ref="K1999">_xlfn.LET(
    _xlpm.sum_month, SUM(T1999:AE1999),
    IF(_xlpm.sum_month = 0, "", _xlpm.sum_month &amp; " público impactado no ano.")
)</f>
        <v/>
      </c>
      <c r="L1999" s="9" t="s">
        <v>76</v>
      </c>
      <c r="M1999" s="13">
        <v>1</v>
      </c>
      <c r="N1999" s="5" t="s">
        <v>51</v>
      </c>
      <c r="O1999" s="5" t="s">
        <v>52</v>
      </c>
      <c r="P1999" s="10" t="s">
        <v>44</v>
      </c>
      <c r="Q1999" s="10" t="s">
        <v>44</v>
      </c>
      <c r="R1999" s="11" t="s">
        <v>44</v>
      </c>
      <c r="S1999" s="11" t="s">
        <v>44</v>
      </c>
      <c r="T1999" s="22"/>
      <c r="U1999" s="22"/>
      <c r="V1999" s="22"/>
      <c r="W1999" s="22"/>
      <c r="X1999" s="22"/>
      <c r="Y1999" s="22"/>
      <c r="Z1999" s="22"/>
      <c r="AA1999" s="22"/>
      <c r="AB1999" s="22"/>
      <c r="AC1999" s="22"/>
      <c r="AD1999" s="22"/>
      <c r="AE1999" s="22"/>
      <c r="AG1999" s="82"/>
      <c r="AH1999" s="82"/>
      <c r="AI1999" s="82"/>
      <c r="AJ1999" s="82"/>
      <c r="AK1999" s="71"/>
      <c r="AL1999" s="71"/>
      <c r="AM1999" s="71"/>
      <c r="AN1999" s="71"/>
      <c r="AO1999" s="71"/>
      <c r="AP1999" s="71"/>
      <c r="AQ1999" s="71"/>
      <c r="AR1999" s="71"/>
      <c r="AS1999" s="94">
        <f t="shared" ref="AS1999:AS2002" ca="1" si="2329">IF(MONTH(TODAY())=3,SUM(T1999:U1999),IF(MONTH(TODAY())=4,SUM(T1999:V1999),IF(MONTH(TODAY())=5,SUM(T1999:W1999),IF(MONTH(TODAY())=6,SUM(T1999:X1999),IF(MONTH(TODAY())=7,SUM(T1999:Y1999),IF(MONTH(TODAY())=8,SUM(T1999:Z1999),IF(MONTH(TODAY())=9,SUM(T1999:AA1999),IF(MONTH(TODAY())=10,SUM(T1999:AB1999),IF(MONTH(TODAY())=11,SUM(T1999:AC1999),IF(MONTH(TODAY())=12,SUM(T1999:AD1999),IF(MONTH(TODAY())=1,SUM(T1999:AE1999),T1999)))))))))))</f>
        <v>0</v>
      </c>
      <c r="AT1999" s="95">
        <f t="shared" ref="AT1999:AT2002" si="2330">SUM(AG1999:AR1999)</f>
        <v>0</v>
      </c>
      <c r="AU1999" s="97">
        <f t="shared" ref="AU1999:AU2002" si="2331">SUM(AG1999:AR1999)</f>
        <v>0</v>
      </c>
      <c r="AW1999" s="83">
        <f t="shared" ref="AW1999:AW2002" si="2332">AG1999</f>
        <v>0</v>
      </c>
      <c r="AX1999" s="83">
        <f t="shared" ref="AX1999:AX2002" si="2333">AH1999</f>
        <v>0</v>
      </c>
      <c r="AY1999" s="83">
        <f t="shared" ref="AY1999:AY2002" si="2334">AI1999</f>
        <v>0</v>
      </c>
      <c r="AZ1999" s="83">
        <f t="shared" ref="AZ1999:AZ2002" si="2335">AJ1999</f>
        <v>0</v>
      </c>
      <c r="BA1999" s="52"/>
      <c r="BB1999" s="52"/>
      <c r="BC1999" s="52"/>
      <c r="BD1999" s="52"/>
      <c r="BE1999" s="52"/>
      <c r="BF1999" s="52"/>
      <c r="BG1999" s="52"/>
      <c r="BH1999" s="52"/>
      <c r="BI1999" s="68" cm="1">
        <f t="array" ref="BI1999">IFERROR(INDEX(AW1999:BH1999,1,MATCH(2,1/(AW1999:BH1999&lt;&gt;""))),"")</f>
        <v>0</v>
      </c>
      <c r="BJ1999" s="68" cm="1">
        <f t="array" ref="BJ1999">IF(BM1999 = "", "",IFERROR(INDEX(AW1999:BH1999,1,MATCH(2,1/(AW1999:BH1999&lt;&gt;""),1)-1),""))</f>
        <v>0</v>
      </c>
      <c r="BK1999" s="59">
        <f t="shared" ref="BK1999:BK2002" si="2336">SUM(AW1999:BH1999)</f>
        <v>0</v>
      </c>
      <c r="BL1999" s="59" cm="1">
        <f t="array" ref="BL1999">IFERROR(SUM(AW1999:INDEX(AW1999:BH1999, MATCH(2, 1/(AW1999:BH1999&lt;&gt;""), 1) - 1))/_xlfn.XLOOKUP(F1999,Apuração!A:A,Apuração!B:B),0)</f>
        <v>0</v>
      </c>
      <c r="BM1999" s="55" cm="1">
        <f t="array" ref="BM1999">IFERROR(
   INDEX($AW$1:$BH$1,
      _xlfn.AGGREGATE(14, 6, COLUMN($AW$1:$BH$1)/(AW1999:BH1999&lt;&gt;""), 2) - COLUMN($AW$1) + 1
   ),
"")</f>
        <v>46082</v>
      </c>
      <c r="BN1999" s="55" cm="1">
        <f t="array" ref="BN1999">IFERROR(INDEX($AW$1:$BH$1,1,MATCH(2,1/(AW1999:BH1999&lt;&gt;""))),"")</f>
        <v>46113</v>
      </c>
      <c r="BO1999" s="53">
        <f ca="1">IFERROR(_xlfn.XLOOKUP(F1999,Apuração!A:A,Apuração!C:C)/_xlfn.XLOOKUP(F1999,Apuração!A:A,Apuração!B:B),0)</f>
        <v>0</v>
      </c>
      <c r="BP1999" s="53">
        <f ca="1">IFERROR(_xlfn.XLOOKUP(F1999,Apuração!A:A,Apuração!D:D)/_xlfn.XLOOKUP(F1999,Apuração!A:A,Apuração!B:B),0)</f>
        <v>0</v>
      </c>
      <c r="BQ1999" s="53">
        <f ca="1">IF(BK1999&gt;=BO1999,0,_xlfn.XLOOKUP(F1999,Apuração!A:A,Apuração!B:B)*(BO1999 + (1/_xlfn.XLOOKUP(F1999,Apuração!A:A,Apuração!B:B)) - BK1999))</f>
        <v>0</v>
      </c>
      <c r="BR1999" s="85">
        <f t="shared" ref="BR1999:BR2002" ca="1" si="2337">IF(BQ1999=0,0,BQ1999*Z1999)</f>
        <v>0</v>
      </c>
      <c r="BS1999" s="53">
        <f ca="1">IFERROR((_xlfn.XLOOKUP(F1999,Apuração!A:A,Apuração!C:C)+1)/_xlfn.XLOOKUP(F1999,Apuração!A:A,Apuração!B:B),0)</f>
        <v>0.14285714285714285</v>
      </c>
    </row>
    <row r="2000" spans="1:71" ht="25.95" hidden="1" customHeight="1" x14ac:dyDescent="0.3">
      <c r="A2000" s="39" t="s">
        <v>33</v>
      </c>
      <c r="B2000" s="4" t="s">
        <v>81</v>
      </c>
      <c r="C2000" s="5" t="s">
        <v>216</v>
      </c>
      <c r="D2000" s="5" t="s">
        <v>103</v>
      </c>
      <c r="E2000" s="4" t="str" cm="1">
        <f t="array" ref="E2000">_xlfn.IFS(
F2000 = "A partir de Abril", "Aguardando Execução na Distribuidora",
A2000 = "CAPACITAÇÃO", "Em execução no Corporativo",
TRUE, "Em Execução na Distribuidora"
)</f>
        <v>Em Execução na Distribuidora</v>
      </c>
      <c r="F2000" s="4" t="str" cm="1">
        <f t="array" ref="F2000">_xlfn.IFS(
AG2000 &lt;&gt; "", "Jan-Dez/26",
AH2000 &lt;&gt; "", "Fev-Dez/26",
AI2000 &lt;&gt; "", "Mar-Dez/26", AJ2000 &lt;&gt; "", "Abr-Dez/26",
TRUE, "A partir de Junho"
)</f>
        <v>A partir de Junho</v>
      </c>
      <c r="G2000" s="4" t="s">
        <v>37</v>
      </c>
      <c r="H2000" s="7" t="s">
        <v>54</v>
      </c>
      <c r="I2000" s="9" t="s">
        <v>76</v>
      </c>
      <c r="J2000" s="8" t="str" cm="1">
        <f t="array" aca="1" ref="J2000" ca="1">_xlfn.LET(
  _xlpm.actual_value_month, INDEX(T2000:AE2000, MATCH(DATE(YEAR(TODAY()), MONTH(TODAY()), 1), $T$1:$AE$1, 0)),
  IF(_xlpm.actual_value_month &lt;&gt; "",_xlpm.actual_value_month &amp; " ações mensais", "")
)</f>
        <v/>
      </c>
      <c r="K2000" s="8" t="str" cm="1">
        <f t="array" ref="K2000">_xlfn.LET(
    _xlpm.sum_month, SUM(T2000:AE2000),
    IF(_xlpm.sum_month = 0, "", _xlpm.sum_month &amp; " público impactado no ano.")
)</f>
        <v/>
      </c>
      <c r="L2000" s="9" t="s">
        <v>76</v>
      </c>
      <c r="M2000" s="13">
        <v>1</v>
      </c>
      <c r="N2000" s="5" t="s">
        <v>51</v>
      </c>
      <c r="O2000" s="5" t="s">
        <v>52</v>
      </c>
      <c r="P2000" s="10" t="s">
        <v>44</v>
      </c>
      <c r="Q2000" s="10" t="s">
        <v>44</v>
      </c>
      <c r="R2000" s="11" t="s">
        <v>44</v>
      </c>
      <c r="S2000" s="11" t="s">
        <v>44</v>
      </c>
      <c r="T2000" s="22"/>
      <c r="U2000" s="22"/>
      <c r="V2000" s="22"/>
      <c r="W2000" s="22"/>
      <c r="X2000" s="22"/>
      <c r="Y2000" s="22"/>
      <c r="Z2000" s="22"/>
      <c r="AA2000" s="22"/>
      <c r="AB2000" s="22"/>
      <c r="AC2000" s="22"/>
      <c r="AD2000" s="22"/>
      <c r="AE2000" s="22"/>
      <c r="AG2000" s="82"/>
      <c r="AH2000" s="82"/>
      <c r="AI2000" s="82"/>
      <c r="AJ2000" s="82"/>
      <c r="AK2000" s="71"/>
      <c r="AL2000" s="71"/>
      <c r="AM2000" s="71"/>
      <c r="AN2000" s="71"/>
      <c r="AO2000" s="71"/>
      <c r="AP2000" s="71"/>
      <c r="AQ2000" s="71"/>
      <c r="AR2000" s="71"/>
      <c r="AS2000" s="94">
        <f t="shared" ca="1" si="2329"/>
        <v>0</v>
      </c>
      <c r="AT2000" s="95">
        <f t="shared" si="2330"/>
        <v>0</v>
      </c>
      <c r="AU2000" s="97">
        <f t="shared" si="2331"/>
        <v>0</v>
      </c>
      <c r="AW2000" s="83">
        <f t="shared" si="2332"/>
        <v>0</v>
      </c>
      <c r="AX2000" s="83">
        <f t="shared" si="2333"/>
        <v>0</v>
      </c>
      <c r="AY2000" s="83">
        <f t="shared" si="2334"/>
        <v>0</v>
      </c>
      <c r="AZ2000" s="83">
        <f t="shared" si="2335"/>
        <v>0</v>
      </c>
      <c r="BA2000" s="52"/>
      <c r="BB2000" s="52"/>
      <c r="BC2000" s="52"/>
      <c r="BD2000" s="52"/>
      <c r="BE2000" s="52"/>
      <c r="BF2000" s="52"/>
      <c r="BG2000" s="52"/>
      <c r="BH2000" s="52"/>
      <c r="BI2000" s="68" cm="1">
        <f t="array" ref="BI2000">IFERROR(INDEX(AW2000:BH2000,1,MATCH(2,1/(AW2000:BH2000&lt;&gt;""))),"")</f>
        <v>0</v>
      </c>
      <c r="BJ2000" s="68" cm="1">
        <f t="array" ref="BJ2000">IF(BM2000 = "", "",IFERROR(INDEX(AW2000:BH2000,1,MATCH(2,1/(AW2000:BH2000&lt;&gt;""),1)-1),""))</f>
        <v>0</v>
      </c>
      <c r="BK2000" s="59">
        <f t="shared" si="2336"/>
        <v>0</v>
      </c>
      <c r="BL2000" s="59" cm="1">
        <f t="array" ref="BL2000">IFERROR(SUM(AW2000:INDEX(AW2000:BH2000, MATCH(2, 1/(AW2000:BH2000&lt;&gt;""), 1) - 1))/_xlfn.XLOOKUP(F2000,Apuração!A:A,Apuração!B:B),0)</f>
        <v>0</v>
      </c>
      <c r="BM2000" s="55" cm="1">
        <f t="array" ref="BM2000">IFERROR(
   INDEX($AW$1:$BH$1,
      _xlfn.AGGREGATE(14, 6, COLUMN($AW$1:$BH$1)/(AW2000:BH2000&lt;&gt;""), 2) - COLUMN($AW$1) + 1
   ),
"")</f>
        <v>46082</v>
      </c>
      <c r="BN2000" s="55" cm="1">
        <f t="array" ref="BN2000">IFERROR(INDEX($AW$1:$BH$1,1,MATCH(2,1/(AW2000:BH2000&lt;&gt;""))),"")</f>
        <v>46113</v>
      </c>
      <c r="BO2000" s="53">
        <f ca="1">IFERROR(_xlfn.XLOOKUP(F2000,Apuração!A:A,Apuração!C:C)/_xlfn.XLOOKUP(F2000,Apuração!A:A,Apuração!B:B),0)</f>
        <v>0</v>
      </c>
      <c r="BP2000" s="53">
        <f ca="1">IFERROR(_xlfn.XLOOKUP(F2000,Apuração!A:A,Apuração!D:D)/_xlfn.XLOOKUP(F2000,Apuração!A:A,Apuração!B:B),0)</f>
        <v>0</v>
      </c>
      <c r="BQ2000" s="53">
        <f ca="1">IF(BK2000&gt;=BO2000,0,_xlfn.XLOOKUP(F2000,Apuração!A:A,Apuração!B:B)*(BO2000 + (1/_xlfn.XLOOKUP(F2000,Apuração!A:A,Apuração!B:B)) - BK2000))</f>
        <v>0</v>
      </c>
      <c r="BR2000" s="85">
        <f t="shared" ca="1" si="2337"/>
        <v>0</v>
      </c>
      <c r="BS2000" s="53">
        <f ca="1">IFERROR((_xlfn.XLOOKUP(F2000,Apuração!A:A,Apuração!C:C)+1)/_xlfn.XLOOKUP(F2000,Apuração!A:A,Apuração!B:B),0)</f>
        <v>0.14285714285714285</v>
      </c>
    </row>
    <row r="2001" spans="1:71" ht="25.95" hidden="1" customHeight="1" x14ac:dyDescent="0.3">
      <c r="A2001" s="39" t="s">
        <v>33</v>
      </c>
      <c r="B2001" s="4" t="s">
        <v>81</v>
      </c>
      <c r="C2001" s="5" t="s">
        <v>216</v>
      </c>
      <c r="D2001" s="5" t="s">
        <v>218</v>
      </c>
      <c r="E2001" s="4" t="str" cm="1">
        <f t="array" ref="E2001">_xlfn.IFS(
F2001 = "A partir de Abril", "Aguardando Execução na Distribuidora",
A2001 = "CAPACITAÇÃO", "Em execução no Corporativo",
TRUE, "Em Execução na Distribuidora"
)</f>
        <v>Em Execução na Distribuidora</v>
      </c>
      <c r="F2001" s="4" t="str" cm="1">
        <f t="array" ref="F2001">_xlfn.IFS(
AG2001 &lt;&gt; "", "Jan-Dez/26",
AH2001 &lt;&gt; "", "Fev-Dez/26",
AI2001 &lt;&gt; "", "Mar-Dez/26", AJ2001 &lt;&gt; "", "Abr-Dez/26",
TRUE, "A partir de Junho"
)</f>
        <v>Mar-Dez/26</v>
      </c>
      <c r="G2001" s="4" t="s">
        <v>37</v>
      </c>
      <c r="H2001" s="7" t="s">
        <v>54</v>
      </c>
      <c r="I2001" s="9" t="s">
        <v>76</v>
      </c>
      <c r="J2001" s="8" t="str" cm="1">
        <f t="array" aca="1" ref="J2001" ca="1">_xlfn.LET(
  _xlpm.actual_value_month, INDEX(T2001:AE2001, MATCH(DATE(YEAR(TODAY()), MONTH(TODAY()), 1), $T$1:$AE$1, 0)),
  IF(_xlpm.actual_value_month &lt;&gt; "",_xlpm.actual_value_month &amp; " ações mensais", "")
)</f>
        <v/>
      </c>
      <c r="K2001" s="8" t="str" cm="1">
        <f t="array" ref="K2001">_xlfn.LET(
    _xlpm.sum_month, SUM(T2001:AE2001),
    IF(_xlpm.sum_month = 0, "", _xlpm.sum_month &amp; " público impactado no ano.")
)</f>
        <v/>
      </c>
      <c r="L2001" s="9" t="s">
        <v>76</v>
      </c>
      <c r="M2001" s="13">
        <v>1</v>
      </c>
      <c r="N2001" s="5" t="s">
        <v>51</v>
      </c>
      <c r="O2001" s="5" t="s">
        <v>52</v>
      </c>
      <c r="P2001" s="10" t="s">
        <v>44</v>
      </c>
      <c r="Q2001" s="10" t="s">
        <v>44</v>
      </c>
      <c r="R2001" s="11" t="s">
        <v>44</v>
      </c>
      <c r="S2001" s="11" t="s">
        <v>44</v>
      </c>
      <c r="T2001" s="22"/>
      <c r="U2001" s="22"/>
      <c r="V2001" s="22"/>
      <c r="W2001" s="22"/>
      <c r="X2001" s="22"/>
      <c r="Y2001" s="22"/>
      <c r="Z2001" s="22"/>
      <c r="AA2001" s="22"/>
      <c r="AB2001" s="22"/>
      <c r="AC2001" s="22"/>
      <c r="AD2001" s="22"/>
      <c r="AE2001" s="22"/>
      <c r="AG2001" s="82"/>
      <c r="AH2001" s="82"/>
      <c r="AI2001" s="82">
        <v>4</v>
      </c>
      <c r="AJ2001" s="82"/>
      <c r="AK2001" s="71"/>
      <c r="AL2001" s="71"/>
      <c r="AM2001" s="71"/>
      <c r="AN2001" s="71"/>
      <c r="AO2001" s="71"/>
      <c r="AP2001" s="71"/>
      <c r="AQ2001" s="71"/>
      <c r="AR2001" s="71"/>
      <c r="AS2001" s="94">
        <f t="shared" ca="1" si="2329"/>
        <v>0</v>
      </c>
      <c r="AT2001" s="95">
        <f t="shared" si="2330"/>
        <v>4</v>
      </c>
      <c r="AU2001" s="97">
        <f t="shared" si="2331"/>
        <v>4</v>
      </c>
      <c r="AW2001" s="83">
        <f t="shared" si="2332"/>
        <v>0</v>
      </c>
      <c r="AX2001" s="83">
        <f t="shared" si="2333"/>
        <v>0</v>
      </c>
      <c r="AY2001" s="83">
        <f t="shared" si="2334"/>
        <v>4</v>
      </c>
      <c r="AZ2001" s="83">
        <f t="shared" si="2335"/>
        <v>0</v>
      </c>
      <c r="BA2001" s="52"/>
      <c r="BB2001" s="52"/>
      <c r="BC2001" s="52"/>
      <c r="BD2001" s="52"/>
      <c r="BE2001" s="52"/>
      <c r="BF2001" s="52"/>
      <c r="BG2001" s="52"/>
      <c r="BH2001" s="52"/>
      <c r="BI2001" s="68" cm="1">
        <f t="array" ref="BI2001">IFERROR(INDEX(AW2001:BH2001,1,MATCH(2,1/(AW2001:BH2001&lt;&gt;""))),"")</f>
        <v>0</v>
      </c>
      <c r="BJ2001" s="68" cm="1">
        <f t="array" ref="BJ2001">IF(BM2001 = "", "",IFERROR(INDEX(AW2001:BH2001,1,MATCH(2,1/(AW2001:BH2001&lt;&gt;""),1)-1),""))</f>
        <v>4</v>
      </c>
      <c r="BK2001" s="59">
        <f t="shared" si="2336"/>
        <v>4</v>
      </c>
      <c r="BL2001" s="59" cm="1">
        <f t="array" ref="BL2001">IFERROR(SUM(AW2001:INDEX(AW2001:BH2001, MATCH(2, 1/(AW2001:BH2001&lt;&gt;""), 1) - 1))/_xlfn.XLOOKUP(F2001,Apuração!A:A,Apuração!B:B),0)</f>
        <v>0.4</v>
      </c>
      <c r="BM2001" s="55" cm="1">
        <f t="array" ref="BM2001">IFERROR(
   INDEX($AW$1:$BH$1,
      _xlfn.AGGREGATE(14, 6, COLUMN($AW$1:$BH$1)/(AW2001:BH2001&lt;&gt;""), 2) - COLUMN($AW$1) + 1
   ),
"")</f>
        <v>46082</v>
      </c>
      <c r="BN2001" s="55" cm="1">
        <f t="array" ref="BN2001">IFERROR(INDEX($AW$1:$BH$1,1,MATCH(2,1/(AW2001:BH2001&lt;&gt;""))),"")</f>
        <v>46113</v>
      </c>
      <c r="BO2001" s="53">
        <f ca="1">IFERROR(_xlfn.XLOOKUP(F2001,Apuração!A:A,Apuração!C:C)/_xlfn.XLOOKUP(F2001,Apuração!A:A,Apuração!B:B),0)</f>
        <v>0.3</v>
      </c>
      <c r="BP2001" s="53">
        <f ca="1">IFERROR(_xlfn.XLOOKUP(F2001,Apuração!A:A,Apuração!D:D)/_xlfn.XLOOKUP(F2001,Apuração!A:A,Apuração!B:B),0)</f>
        <v>0.2</v>
      </c>
      <c r="BQ2001" s="53">
        <f ca="1">IF(BK2001&gt;=BO2001,0,_xlfn.XLOOKUP(F2001,Apuração!A:A,Apuração!B:B)*(BO2001 + (1/_xlfn.XLOOKUP(F2001,Apuração!A:A,Apuração!B:B)) - BK2001))</f>
        <v>0</v>
      </c>
      <c r="BR2001" s="85">
        <f t="shared" ca="1" si="2337"/>
        <v>0</v>
      </c>
      <c r="BS2001" s="53">
        <f ca="1">IFERROR((_xlfn.XLOOKUP(F2001,Apuração!A:A,Apuração!C:C)+1)/_xlfn.XLOOKUP(F2001,Apuração!A:A,Apuração!B:B),0)</f>
        <v>0.4</v>
      </c>
    </row>
    <row r="2002" spans="1:71" ht="25.95" hidden="1" customHeight="1" x14ac:dyDescent="0.3">
      <c r="A2002" s="39" t="s">
        <v>33</v>
      </c>
      <c r="B2002" s="4" t="s">
        <v>81</v>
      </c>
      <c r="C2002" s="5" t="s">
        <v>216</v>
      </c>
      <c r="D2002" s="5" t="s">
        <v>219</v>
      </c>
      <c r="E2002" s="4" t="str" cm="1">
        <f t="array" ref="E2002">_xlfn.IFS(
F2002 = "A partir de Abril", "Aguardando Execução na Distribuidora",
A2002 = "CAPACITAÇÃO", "Em execução no Corporativo",
TRUE, "Em Execução na Distribuidora"
)</f>
        <v>Em Execução na Distribuidora</v>
      </c>
      <c r="F2002" s="4" t="str" cm="1">
        <f t="array" ref="F2002">_xlfn.IFS(
AG2002 &lt;&gt; "", "Jan-Dez/26",
AH2002 &lt;&gt; "", "Fev-Dez/26",
AI2002 &lt;&gt; "", "Mar-Dez/26", AJ2002 &lt;&gt; "", "Abr-Dez/26",
TRUE, "A partir de Junho"
)</f>
        <v>A partir de Junho</v>
      </c>
      <c r="G2002" s="4" t="s">
        <v>37</v>
      </c>
      <c r="H2002" s="7" t="s">
        <v>54</v>
      </c>
      <c r="I2002" s="9" t="s">
        <v>76</v>
      </c>
      <c r="J2002" s="8" t="str" cm="1">
        <f t="array" aca="1" ref="J2002" ca="1">_xlfn.LET(
  _xlpm.actual_value_month, INDEX(T2002:AE2002, MATCH(DATE(YEAR(TODAY()), MONTH(TODAY()), 1), $T$1:$AE$1, 0)),
  IF(_xlpm.actual_value_month &lt;&gt; "",_xlpm.actual_value_month &amp; " ações mensais", "")
)</f>
        <v/>
      </c>
      <c r="K2002" s="8" t="str" cm="1">
        <f t="array" ref="K2002">_xlfn.LET(
    _xlpm.sum_month, SUM(T2002:AE2002),
    IF(_xlpm.sum_month = 0, "", _xlpm.sum_month &amp; " público impactado no ano.")
)</f>
        <v/>
      </c>
      <c r="L2002" s="9" t="s">
        <v>76</v>
      </c>
      <c r="M2002" s="13">
        <v>1</v>
      </c>
      <c r="N2002" s="5" t="s">
        <v>51</v>
      </c>
      <c r="O2002" s="5" t="s">
        <v>52</v>
      </c>
      <c r="P2002" s="10" t="s">
        <v>44</v>
      </c>
      <c r="Q2002" s="10" t="s">
        <v>44</v>
      </c>
      <c r="R2002" s="11" t="s">
        <v>44</v>
      </c>
      <c r="S2002" s="11" t="s">
        <v>44</v>
      </c>
      <c r="T2002" s="22"/>
      <c r="U2002" s="22"/>
      <c r="V2002" s="22"/>
      <c r="W2002" s="22"/>
      <c r="X2002" s="22"/>
      <c r="Y2002" s="22"/>
      <c r="Z2002" s="22"/>
      <c r="AA2002" s="22"/>
      <c r="AB2002" s="22"/>
      <c r="AC2002" s="22"/>
      <c r="AD2002" s="22"/>
      <c r="AE2002" s="22"/>
      <c r="AG2002" s="82"/>
      <c r="AH2002" s="82"/>
      <c r="AI2002" s="82"/>
      <c r="AJ2002" s="82"/>
      <c r="AK2002" s="71"/>
      <c r="AL2002" s="71"/>
      <c r="AM2002" s="71"/>
      <c r="AN2002" s="71"/>
      <c r="AO2002" s="71"/>
      <c r="AP2002" s="71"/>
      <c r="AQ2002" s="71"/>
      <c r="AR2002" s="71"/>
      <c r="AS2002" s="94">
        <f t="shared" ca="1" si="2329"/>
        <v>0</v>
      </c>
      <c r="AT2002" s="95">
        <f t="shared" si="2330"/>
        <v>0</v>
      </c>
      <c r="AU2002" s="97">
        <f t="shared" si="2331"/>
        <v>0</v>
      </c>
      <c r="AW2002" s="83">
        <f t="shared" si="2332"/>
        <v>0</v>
      </c>
      <c r="AX2002" s="83">
        <f t="shared" si="2333"/>
        <v>0</v>
      </c>
      <c r="AY2002" s="83">
        <f t="shared" si="2334"/>
        <v>0</v>
      </c>
      <c r="AZ2002" s="83">
        <f t="shared" si="2335"/>
        <v>0</v>
      </c>
      <c r="BA2002" s="52"/>
      <c r="BB2002" s="52"/>
      <c r="BC2002" s="52"/>
      <c r="BD2002" s="52"/>
      <c r="BE2002" s="52"/>
      <c r="BF2002" s="52"/>
      <c r="BG2002" s="52"/>
      <c r="BH2002" s="52"/>
      <c r="BI2002" s="68" cm="1">
        <f t="array" ref="BI2002">IFERROR(INDEX(AW2002:BH2002,1,MATCH(2,1/(AW2002:BH2002&lt;&gt;""))),"")</f>
        <v>0</v>
      </c>
      <c r="BJ2002" s="68" cm="1">
        <f t="array" ref="BJ2002">IF(BM2002 = "", "",IFERROR(INDEX(AW2002:BH2002,1,MATCH(2,1/(AW2002:BH2002&lt;&gt;""),1)-1),""))</f>
        <v>0</v>
      </c>
      <c r="BK2002" s="59">
        <f t="shared" si="2336"/>
        <v>0</v>
      </c>
      <c r="BL2002" s="59" cm="1">
        <f t="array" ref="BL2002">IFERROR(SUM(AW2002:INDEX(AW2002:BH2002, MATCH(2, 1/(AW2002:BH2002&lt;&gt;""), 1) - 1))/_xlfn.XLOOKUP(F2002,Apuração!A:A,Apuração!B:B),0)</f>
        <v>0</v>
      </c>
      <c r="BM2002" s="55" cm="1">
        <f t="array" ref="BM2002">IFERROR(
   INDEX($AW$1:$BH$1,
      _xlfn.AGGREGATE(14, 6, COLUMN($AW$1:$BH$1)/(AW2002:BH2002&lt;&gt;""), 2) - COLUMN($AW$1) + 1
   ),
"")</f>
        <v>46082</v>
      </c>
      <c r="BN2002" s="55" cm="1">
        <f t="array" ref="BN2002">IFERROR(INDEX($AW$1:$BH$1,1,MATCH(2,1/(AW2002:BH2002&lt;&gt;""))),"")</f>
        <v>46113</v>
      </c>
      <c r="BO2002" s="53">
        <f ca="1">IFERROR(_xlfn.XLOOKUP(F2002,Apuração!A:A,Apuração!C:C)/_xlfn.XLOOKUP(F2002,Apuração!A:A,Apuração!B:B),0)</f>
        <v>0</v>
      </c>
      <c r="BP2002" s="53">
        <f ca="1">IFERROR(_xlfn.XLOOKUP(F2002,Apuração!A:A,Apuração!D:D)/_xlfn.XLOOKUP(F2002,Apuração!A:A,Apuração!B:B),0)</f>
        <v>0</v>
      </c>
      <c r="BQ2002" s="53">
        <f ca="1">IF(BK2002&gt;=BO2002,0,_xlfn.XLOOKUP(F2002,Apuração!A:A,Apuração!B:B)*(BO2002 + (1/_xlfn.XLOOKUP(F2002,Apuração!A:A,Apuração!B:B)) - BK2002))</f>
        <v>0</v>
      </c>
      <c r="BR2002" s="85">
        <f t="shared" ca="1" si="2337"/>
        <v>0</v>
      </c>
      <c r="BS2002" s="53">
        <f ca="1">IFERROR((_xlfn.XLOOKUP(F2002,Apuração!A:A,Apuração!C:C)+1)/_xlfn.XLOOKUP(F2002,Apuração!A:A,Apuração!B:B),0)</f>
        <v>0.14285714285714285</v>
      </c>
    </row>
    <row r="2003" spans="1:71" ht="25.95" hidden="1" customHeight="1" x14ac:dyDescent="0.3">
      <c r="A2003" s="3" t="s">
        <v>33</v>
      </c>
      <c r="B2003" s="4" t="s">
        <v>84</v>
      </c>
      <c r="C2003" s="5" t="s">
        <v>216</v>
      </c>
      <c r="D2003" s="5" t="s">
        <v>36</v>
      </c>
      <c r="E2003" s="4" t="s">
        <v>96</v>
      </c>
      <c r="F2003" s="4" t="str" cm="1">
        <f t="array" ref="F2003">_xlfn.IFS(
AG2003 &lt;&gt; "", "Jan-Dez/26",
AH2003 &lt;&gt; "", "Fev-Dez/26",
AI2003 &lt;&gt; "", "Mar-Dez/26", AJ2003 &lt;&gt; "", "Abr-Dez/26",
TRUE, "A partir de Junho"
)</f>
        <v>A partir de Junho</v>
      </c>
      <c r="G2003" s="4" t="s">
        <v>62</v>
      </c>
      <c r="H2003" s="7" t="s">
        <v>38</v>
      </c>
      <c r="I2003" s="8" t="s">
        <v>55</v>
      </c>
      <c r="J2003" s="8" t="str" cm="1">
        <f t="array" aca="1" ref="J2003" ca="1">_xlfn.LET(
  _xlpm.actual_value_month, INDEX(T2003:AE2003, MATCH(DATE(YEAR(TODAY()), MONTH(TODAY()), 1), $T$1:$AE$1, 0)),
  IF(_xlpm.actual_value_month &lt;&gt; "",_xlpm.actual_value_month &amp; " ações mensais", "")
)</f>
        <v>4 ações mensais</v>
      </c>
      <c r="K2003" s="14" t="str" cm="1">
        <f t="array" ref="K2003">_xlfn.LET(
    _xlpm.sum_month, SUM(T2003:AE2003),
    IF(_xlpm.sum_month = 0, "", _xlpm.sum_month &amp; " eventos realizados")
)</f>
        <v>36 eventos realizados</v>
      </c>
      <c r="L2003" s="9" t="s">
        <v>56</v>
      </c>
      <c r="M2003" s="13" t="s">
        <v>86</v>
      </c>
      <c r="N2003" s="5" t="s">
        <v>42</v>
      </c>
      <c r="O2003" s="5" t="s">
        <v>43</v>
      </c>
      <c r="P2003" s="10" t="s">
        <v>44</v>
      </c>
      <c r="Q2003" s="10" t="s">
        <v>44</v>
      </c>
      <c r="R2003" s="11" t="s">
        <v>44</v>
      </c>
      <c r="S2003" s="11" t="s">
        <v>44</v>
      </c>
      <c r="T2003" s="22"/>
      <c r="U2003" s="22"/>
      <c r="V2003" s="22"/>
      <c r="W2003" s="22">
        <v>4</v>
      </c>
      <c r="X2003" s="22">
        <v>4</v>
      </c>
      <c r="Y2003" s="22">
        <v>4</v>
      </c>
      <c r="Z2003" s="22">
        <v>4</v>
      </c>
      <c r="AA2003" s="22">
        <v>4</v>
      </c>
      <c r="AB2003" s="22">
        <v>4</v>
      </c>
      <c r="AC2003" s="22">
        <v>4</v>
      </c>
      <c r="AD2003" s="22">
        <v>4</v>
      </c>
      <c r="AE2003" s="22">
        <v>4</v>
      </c>
      <c r="AG2003" s="71"/>
      <c r="AH2003" s="71"/>
      <c r="AI2003" s="71"/>
      <c r="AJ2003" s="71"/>
      <c r="AK2003" s="71"/>
      <c r="AL2003" s="71"/>
      <c r="AM2003" s="71"/>
      <c r="AN2003" s="71"/>
      <c r="AO2003" s="71"/>
      <c r="AP2003" s="71"/>
      <c r="AQ2003" s="71"/>
      <c r="AR2003" s="71"/>
      <c r="AS2003" s="94">
        <f ca="1">IF(MONTH(TODAY())=3,SUM(T2003:U2003),IF(MONTH(TODAY())=4,SUM(T2003:V2003),IF(MONTH(TODAY())=5,SUM(T2003:W2003),IF(MONTH(TODAY())=6,SUM(T2003:X2003),IF(MONTH(TODAY())=7,SUM(T2003:Y2003),IF(MONTH(TODAY())=8,SUM(T2003:Z2003),IF(MONTH(TODAY())=9,SUM(T2003:AA2003),IF(MONTH(TODAY())=10,SUM(T2003:AB2003),IF(MONTH(TODAY())=11,SUM(T2003:AC2003),IF(MONTH(TODAY())=12,SUM(T2003:AD2003),IF(MONTH(TODAY())=1,SUM(T2003:AE2003),T2003)))))))))))</f>
        <v>8</v>
      </c>
      <c r="AT2003" s="95">
        <f>SUM(IF(AW2003&lt;1.15,AG2003,1.15*T2003),IF(AX2003&lt;1.15,AH2003,1.15*U2003),IF(AY2003&lt;1.15,AI2003,1.15*V2003),IF(AZ2003&lt;1.15,AJ2003,1.15*W2003),IF(BA2003&lt;1.15,AK2003,1.15*X2003),IF(BB2003&lt;1.15,AL2003,1.15*Y2003),IF(BC2003&lt;1.15,AM2003,1.15*Z2003),IF(BD2003&lt;1.15,AN2003,1.15*AA2003),IF(BE2003&lt;1.15,AO2003,1.15*AB2003),IF(BF2003&lt;1.15,AP2003,1.15*AC2003),IF(BG2003&lt;1.15,AQ2003,1.15*AD2003),IF(BH2003&lt;1.15,AR2003,1.15*AE2003))</f>
        <v>0</v>
      </c>
      <c r="AU2003" s="97">
        <f>SUM(AG2003:AR2003)</f>
        <v>0</v>
      </c>
      <c r="AW2003" s="51">
        <f>IFERROR(IF(AG2003="",0,AG2003/T2003),0)</f>
        <v>0</v>
      </c>
      <c r="AX2003" s="51">
        <f>IFERROR(IF(AH2003="",0,AH2003/U2003),0)</f>
        <v>0</v>
      </c>
      <c r="AY2003" s="51">
        <f>IFERROR(IF(AI2003="",0,AI2003/V2003),0)</f>
        <v>0</v>
      </c>
      <c r="AZ2003" s="51">
        <f>IFERROR(IF(AJ2003="",0,AJ2003/W2003),0)</f>
        <v>0</v>
      </c>
      <c r="BA2003" s="51"/>
      <c r="BB2003" s="51"/>
      <c r="BC2003" s="51"/>
      <c r="BD2003" s="51"/>
      <c r="BE2003" s="51"/>
      <c r="BF2003" s="51"/>
      <c r="BG2003" s="51"/>
      <c r="BH2003" s="51"/>
      <c r="BI2003" s="65" cm="1">
        <f t="array" ref="BI2003">IFERROR(INDEX(AW2003:BH2003,1,MATCH(2,1/(AW2003:BH2003&lt;&gt;""))),"")</f>
        <v>0</v>
      </c>
      <c r="BJ2003" s="68" cm="1">
        <f t="array" ref="BJ2003">IF(BM2003 = "", "",IFERROR(INDEX(AW2003:BH2003,1,MATCH(2,1/(AW2003:BH2003&lt;&gt;""),1)-1),""))</f>
        <v>0</v>
      </c>
      <c r="BK2003" s="58">
        <f>IF((IF(AW2003&gt;=115%,115%,AW2003) + IF(AX2003&gt;=115%,115%,AX2003) + IF(AY2003&gt;=115%,115%,AY2003) + (IF(AZ2003&gt;=115%,115%,AZ2003) + IF(BA2003&gt;=115%,115%,BA2003) + IF(BB2003&gt;=115%,115%,BB2003) + IF(BC2003&gt;=115%,115%,BC2003) + IF(BD2003&gt;=115%,115%,BD2003) + IF(BE2003&gt;=115%,115%,BE2003) + IF(BF2003&gt;=115%,115%,BF2003) + IF(BG2003&gt;=115%,115%,BG2003) + IF(BH2003&gt;=115%,115%,BH2003)))/_xlfn.XLOOKUP(F2003,Apuração!A:A,Apuração!B:B)&gt;=1.15,1.15,((IF(AZ2003&gt;=115%,115%,AZ2003) + IF(AX2003&gt;=115%,115%,AX2003) + IF(AY2003&gt;=115%,115%,AY2003) + (IF(AW2003&gt;=115%,115%,AW2003) + IF(BA2003&gt;=115%,115%,BA2003) + IF(BB2003&gt;=115%,115%,BB2003) + IF(BC2003&gt;=115%,115%,BC2003) + IF(BD2003&gt;=115%,115%,BD2003) + IF(BE2003&gt;=115%,115%,BE2003) + IF(BF2003&gt;=115%,115%,BF2003) + IF(BG2003&gt;=115%,115%,BG2003) + IF(BH2003&gt;=115%,115%,BH2003)))/_xlfn.XLOOKUP(F2003,Apuração!A:A,Apuração!B:B)))</f>
        <v>0</v>
      </c>
      <c r="BL2003" s="58" cm="1">
        <f t="array" aca="1" ref="BL2003" ca="1">IF(SUM(IFERROR(IF(INDEX(AW2003:INDEX(AW2003:BH2003, MATCH(2, 1/(AW2003:BH2003&lt;&gt;""), 1)-1), ROW(INDIRECT("1:" &amp; MATCH(2, 1/(AW2003:BH2003&lt;&gt;""), 1)-1))) &gt;= 115%, 115%, INDEX(AW2003:INDEX(AW2003:BH2003, MATCH(2, 1/(AW2003:BH2003&lt;&gt;""), 1)-1), ROW(INDIRECT("1:" &amp; MATCH(2, 1/(AW2003:BH2003&lt;&gt;""), 1)-1)))), 0))/_xlfn.XLOOKUP(F2003,Apuração!A:A,Apuração!B:B)&gt;=1.15,1.15,SUM(IFERROR(IF(INDEX(AW2003:INDEX(AW2003:BH2003, MATCH(2, 1/(AW2003:BH2003&lt;&gt;""), 1)-1), ROW(INDIRECT("1:" &amp; MATCH(2, 1/(AW2003:BH2003&lt;&gt;""), 1)-1))) &gt;= 115%, 115%, INDEX(AW2003:INDEX(AW2003:BH2003, MATCH(2, 1/(AW2003:BH2003&lt;&gt;""), 1)-1), ROW(INDIRECT("1:" &amp; MATCH(2, 1/(AW2003:BH2003&lt;&gt;""), 1)-1)))), 0))/_xlfn.XLOOKUP(F2003,Apuração!A:A,Apuração!B:B))</f>
        <v>0</v>
      </c>
      <c r="BM2003" s="55" cm="1">
        <f t="array" ref="BM2003">IFERROR(
   INDEX($AW$1:$BH$1,
      _xlfn.AGGREGATE(14, 6, COLUMN($AW$1:$BH$1)/(AW2003:BH2003&lt;&gt;""), 2) - COLUMN($AW$1) + 1
   ),
"")</f>
        <v>46082</v>
      </c>
      <c r="BN2003" s="55" cm="1">
        <f t="array" ref="BN2003">IFERROR(INDEX($AW$1:$BH$1,1,MATCH(2,1/(AW2003:BH2003&lt;&gt;""))),"")</f>
        <v>46113</v>
      </c>
      <c r="BO2003" s="53">
        <f ca="1">IFERROR(_xlfn.XLOOKUP(F2003,Apuração!A:A,Apuração!C:C)/_xlfn.XLOOKUP(F2003,Apuração!A:A,Apuração!B:B),0)</f>
        <v>0</v>
      </c>
      <c r="BP2003" s="53">
        <f ca="1">IFERROR(_xlfn.XLOOKUP(F2003,Apuração!A:A,Apuração!D:D)/_xlfn.XLOOKUP(F2003,Apuração!A:A,Apuração!B:B),0)</f>
        <v>0</v>
      </c>
      <c r="BQ2003" s="53">
        <f ca="1">IF(BK2003&gt;=BO2003,0,_xlfn.XLOOKUP(F2003,Apuração!A:A,Apuração!B:B)*(BO2003 + (1/_xlfn.XLOOKUP(F2003,Apuração!A:A,Apuração!B:B)) - BK2003))</f>
        <v>0</v>
      </c>
      <c r="BR2003" s="85">
        <f ca="1">IF(BQ2003=0,0,BQ2003*Z2003)</f>
        <v>0</v>
      </c>
      <c r="BS2003" s="53">
        <f ca="1">IFERROR((_xlfn.XLOOKUP(F2003,Apuração!A:A,Apuração!C:C)+1)/_xlfn.XLOOKUP(F2003,Apuração!A:A,Apuração!B:B),0)</f>
        <v>0.14285714285714285</v>
      </c>
    </row>
    <row r="2004" spans="1:71" ht="25.95" hidden="1" customHeight="1" x14ac:dyDescent="0.3">
      <c r="A2004" s="3" t="s">
        <v>33</v>
      </c>
      <c r="B2004" s="4" t="s">
        <v>84</v>
      </c>
      <c r="C2004" s="5" t="s">
        <v>216</v>
      </c>
      <c r="D2004" s="5" t="s">
        <v>217</v>
      </c>
      <c r="E2004" s="4" t="s">
        <v>96</v>
      </c>
      <c r="F2004" s="4" t="str" cm="1">
        <f t="array" ref="F2004">_xlfn.IFS(
AG2004 &lt;&gt; "", "Jan-Dez/26",
AH2004 &lt;&gt; "", "Fev-Dez/26",
AI2004 &lt;&gt; "", "Mar-Dez/26", AJ2004 &lt;&gt; "", "Abr-Dez/26",
TRUE, "A partir de Junho"
)</f>
        <v>A partir de Junho</v>
      </c>
      <c r="G2004" s="4" t="s">
        <v>62</v>
      </c>
      <c r="H2004" s="7" t="s">
        <v>38</v>
      </c>
      <c r="I2004" s="8" t="s">
        <v>55</v>
      </c>
      <c r="J2004" s="8" t="str" cm="1">
        <f t="array" aca="1" ref="J2004" ca="1">_xlfn.LET(
  _xlpm.actual_value_month, INDEX(T2004:AE2004, MATCH(DATE(YEAR(TODAY()), MONTH(TODAY()), 1), $T$1:$AE$1, 0)),
  IF(_xlpm.actual_value_month &lt;&gt; "",_xlpm.actual_value_month &amp; " ações mensais", "")
)</f>
        <v>1 ações mensais</v>
      </c>
      <c r="K2004" s="14" t="str" cm="1">
        <f t="array" ref="K2004">_xlfn.LET(
    _xlpm.sum_month, SUM(T2004:AE2004),
    IF(_xlpm.sum_month = 0, "", _xlpm.sum_month &amp; " eventos realizados")
)</f>
        <v>9 eventos realizados</v>
      </c>
      <c r="L2004" s="9" t="s">
        <v>56</v>
      </c>
      <c r="M2004" s="13" t="s">
        <v>86</v>
      </c>
      <c r="N2004" s="5" t="s">
        <v>42</v>
      </c>
      <c r="O2004" s="5" t="s">
        <v>43</v>
      </c>
      <c r="P2004" s="10" t="s">
        <v>44</v>
      </c>
      <c r="Q2004" s="10" t="s">
        <v>44</v>
      </c>
      <c r="R2004" s="11" t="s">
        <v>44</v>
      </c>
      <c r="S2004" s="11" t="s">
        <v>44</v>
      </c>
      <c r="T2004" s="22"/>
      <c r="U2004" s="22"/>
      <c r="V2004" s="22"/>
      <c r="W2004" s="143">
        <v>1</v>
      </c>
      <c r="X2004" s="143">
        <v>1</v>
      </c>
      <c r="Y2004" s="143">
        <v>1</v>
      </c>
      <c r="Z2004" s="143">
        <v>1</v>
      </c>
      <c r="AA2004" s="143">
        <v>1</v>
      </c>
      <c r="AB2004" s="143">
        <v>1</v>
      </c>
      <c r="AC2004" s="143">
        <v>1</v>
      </c>
      <c r="AD2004" s="143">
        <v>1</v>
      </c>
      <c r="AE2004" s="143">
        <v>1</v>
      </c>
      <c r="AG2004" s="71"/>
      <c r="AH2004" s="71"/>
      <c r="AI2004" s="71"/>
      <c r="AJ2004" s="71"/>
      <c r="AK2004" s="71"/>
      <c r="AL2004" s="71"/>
      <c r="AM2004" s="71"/>
      <c r="AN2004" s="71"/>
      <c r="AO2004" s="71"/>
      <c r="AP2004" s="71"/>
      <c r="AQ2004" s="71"/>
      <c r="AR2004" s="71"/>
      <c r="AS2004" s="94">
        <f t="shared" ref="AS2004:AS2007" ca="1" si="2338">IF(MONTH(TODAY())=3,SUM(T2004:U2004),IF(MONTH(TODAY())=4,SUM(T2004:V2004),IF(MONTH(TODAY())=5,SUM(T2004:W2004),IF(MONTH(TODAY())=6,SUM(T2004:X2004),IF(MONTH(TODAY())=7,SUM(T2004:Y2004),IF(MONTH(TODAY())=8,SUM(T2004:Z2004),IF(MONTH(TODAY())=9,SUM(T2004:AA2004),IF(MONTH(TODAY())=10,SUM(T2004:AB2004),IF(MONTH(TODAY())=11,SUM(T2004:AC2004),IF(MONTH(TODAY())=12,SUM(T2004:AD2004),IF(MONTH(TODAY())=1,SUM(T2004:AE2004),T2004)))))))))))</f>
        <v>2</v>
      </c>
      <c r="AT2004" s="95">
        <f t="shared" ref="AT2004:AT2007" si="2339">SUM(IF(AW2004&lt;1.15,AG2004,1.15*T2004),IF(AX2004&lt;1.15,AH2004,1.15*U2004),IF(AY2004&lt;1.15,AI2004,1.15*V2004),IF(AZ2004&lt;1.15,AJ2004,1.15*W2004),IF(BA2004&lt;1.15,AK2004,1.15*X2004),IF(BB2004&lt;1.15,AL2004,1.15*Y2004),IF(BC2004&lt;1.15,AM2004,1.15*Z2004),IF(BD2004&lt;1.15,AN2004,1.15*AA2004),IF(BE2004&lt;1.15,AO2004,1.15*AB2004),IF(BF2004&lt;1.15,AP2004,1.15*AC2004),IF(BG2004&lt;1.15,AQ2004,1.15*AD2004),IF(BH2004&lt;1.15,AR2004,1.15*AE2004))</f>
        <v>0</v>
      </c>
      <c r="AU2004" s="97">
        <f t="shared" ref="AU2004:AU2007" si="2340">SUM(AG2004:AR2004)</f>
        <v>0</v>
      </c>
      <c r="AW2004" s="51">
        <f t="shared" ref="AW2004:AW2007" si="2341">IFERROR(IF(AG2004="",0,AG2004/T2004),0)</f>
        <v>0</v>
      </c>
      <c r="AX2004" s="51">
        <f t="shared" ref="AX2004:AX2007" si="2342">IFERROR(IF(AH2004="",0,AH2004/U2004),0)</f>
        <v>0</v>
      </c>
      <c r="AY2004" s="51">
        <f t="shared" ref="AY2004:AY2007" si="2343">IFERROR(IF(AI2004="",0,AI2004/V2004),0)</f>
        <v>0</v>
      </c>
      <c r="AZ2004" s="51">
        <f t="shared" ref="AZ2004:AZ2007" si="2344">IFERROR(IF(AJ2004="",0,AJ2004/W2004),0)</f>
        <v>0</v>
      </c>
      <c r="BA2004" s="51"/>
      <c r="BB2004" s="51"/>
      <c r="BC2004" s="51"/>
      <c r="BD2004" s="51"/>
      <c r="BE2004" s="51"/>
      <c r="BF2004" s="51"/>
      <c r="BG2004" s="51"/>
      <c r="BH2004" s="51"/>
      <c r="BI2004" s="65" cm="1">
        <f t="array" ref="BI2004">IFERROR(INDEX(AW2004:BH2004,1,MATCH(2,1/(AW2004:BH2004&lt;&gt;""))),"")</f>
        <v>0</v>
      </c>
      <c r="BJ2004" s="68" cm="1">
        <f t="array" ref="BJ2004">IF(BM2004 = "", "",IFERROR(INDEX(AW2004:BH2004,1,MATCH(2,1/(AW2004:BH2004&lt;&gt;""),1)-1),""))</f>
        <v>0</v>
      </c>
      <c r="BK2004" s="58">
        <f>IF((IF(AW2004&gt;=115%,115%,AW2004) + IF(AX2004&gt;=115%,115%,AX2004) + IF(AY2004&gt;=115%,115%,AY2004) + (IF(AZ2004&gt;=115%,115%,AZ2004) + IF(BA2004&gt;=115%,115%,BA2004) + IF(BB2004&gt;=115%,115%,BB2004) + IF(BC2004&gt;=115%,115%,BC2004) + IF(BD2004&gt;=115%,115%,BD2004) + IF(BE2004&gt;=115%,115%,BE2004) + IF(BF2004&gt;=115%,115%,BF2004) + IF(BG2004&gt;=115%,115%,BG2004) + IF(BH2004&gt;=115%,115%,BH2004)))/_xlfn.XLOOKUP(F2004,Apuração!A:A,Apuração!B:B)&gt;=1.15,1.15,((IF(AZ2004&gt;=115%,115%,AZ2004) + IF(AX2004&gt;=115%,115%,AX2004) + IF(AY2004&gt;=115%,115%,AY2004) + (IF(AW2004&gt;=115%,115%,AW2004) + IF(BA2004&gt;=115%,115%,BA2004) + IF(BB2004&gt;=115%,115%,BB2004) + IF(BC2004&gt;=115%,115%,BC2004) + IF(BD2004&gt;=115%,115%,BD2004) + IF(BE2004&gt;=115%,115%,BE2004) + IF(BF2004&gt;=115%,115%,BF2004) + IF(BG2004&gt;=115%,115%,BG2004) + IF(BH2004&gt;=115%,115%,BH2004)))/_xlfn.XLOOKUP(F2004,Apuração!A:A,Apuração!B:B)))</f>
        <v>0</v>
      </c>
      <c r="BL2004" s="58" cm="1">
        <f t="array" aca="1" ref="BL2004" ca="1">IF(SUM(IFERROR(IF(INDEX(AW2004:INDEX(AW2004:BH2004, MATCH(2, 1/(AW2004:BH2004&lt;&gt;""), 1)-1), ROW(INDIRECT("1:" &amp; MATCH(2, 1/(AW2004:BH2004&lt;&gt;""), 1)-1))) &gt;= 115%, 115%, INDEX(AW2004:INDEX(AW2004:BH2004, MATCH(2, 1/(AW2004:BH2004&lt;&gt;""), 1)-1), ROW(INDIRECT("1:" &amp; MATCH(2, 1/(AW2004:BH2004&lt;&gt;""), 1)-1)))), 0))/_xlfn.XLOOKUP(F2004,Apuração!A:A,Apuração!B:B)&gt;=1.15,1.15,SUM(IFERROR(IF(INDEX(AW2004:INDEX(AW2004:BH2004, MATCH(2, 1/(AW2004:BH2004&lt;&gt;""), 1)-1), ROW(INDIRECT("1:" &amp; MATCH(2, 1/(AW2004:BH2004&lt;&gt;""), 1)-1))) &gt;= 115%, 115%, INDEX(AW2004:INDEX(AW2004:BH2004, MATCH(2, 1/(AW2004:BH2004&lt;&gt;""), 1)-1), ROW(INDIRECT("1:" &amp; MATCH(2, 1/(AW2004:BH2004&lt;&gt;""), 1)-1)))), 0))/_xlfn.XLOOKUP(F2004,Apuração!A:A,Apuração!B:B))</f>
        <v>0</v>
      </c>
      <c r="BM2004" s="55" cm="1">
        <f t="array" ref="BM2004">IFERROR(
   INDEX($AW$1:$BH$1,
      _xlfn.AGGREGATE(14, 6, COLUMN($AW$1:$BH$1)/(AW2004:BH2004&lt;&gt;""), 2) - COLUMN($AW$1) + 1
   ),
"")</f>
        <v>46082</v>
      </c>
      <c r="BN2004" s="55" cm="1">
        <f t="array" ref="BN2004">IFERROR(INDEX($AW$1:$BH$1,1,MATCH(2,1/(AW2004:BH2004&lt;&gt;""))),"")</f>
        <v>46113</v>
      </c>
      <c r="BO2004" s="53">
        <f ca="1">IFERROR(_xlfn.XLOOKUP(F2004,Apuração!A:A,Apuração!C:C)/_xlfn.XLOOKUP(F2004,Apuração!A:A,Apuração!B:B),0)</f>
        <v>0</v>
      </c>
      <c r="BP2004" s="53">
        <f ca="1">IFERROR(_xlfn.XLOOKUP(F2004,Apuração!A:A,Apuração!D:D)/_xlfn.XLOOKUP(F2004,Apuração!A:A,Apuração!B:B),0)</f>
        <v>0</v>
      </c>
      <c r="BQ2004" s="53">
        <f ca="1">IF(BK2004&gt;=BO2004,0,_xlfn.XLOOKUP(F2004,Apuração!A:A,Apuração!B:B)*(BO2004 + (1/_xlfn.XLOOKUP(F2004,Apuração!A:A,Apuração!B:B)) - BK2004))</f>
        <v>0</v>
      </c>
      <c r="BR2004" s="85">
        <f t="shared" ref="BR2004:BR2007" ca="1" si="2345">IF(BQ2004=0,0,BQ2004*Z2004)</f>
        <v>0</v>
      </c>
      <c r="BS2004" s="53">
        <f ca="1">IFERROR((_xlfn.XLOOKUP(F2004,Apuração!A:A,Apuração!C:C)+1)/_xlfn.XLOOKUP(F2004,Apuração!A:A,Apuração!B:B),0)</f>
        <v>0.14285714285714285</v>
      </c>
    </row>
    <row r="2005" spans="1:71" ht="25.95" hidden="1" customHeight="1" x14ac:dyDescent="0.3">
      <c r="A2005" s="3" t="s">
        <v>33</v>
      </c>
      <c r="B2005" s="4" t="s">
        <v>84</v>
      </c>
      <c r="C2005" s="5" t="s">
        <v>216</v>
      </c>
      <c r="D2005" s="5" t="s">
        <v>103</v>
      </c>
      <c r="E2005" s="4" t="s">
        <v>96</v>
      </c>
      <c r="F2005" s="4" t="str" cm="1">
        <f t="array" ref="F2005">_xlfn.IFS(
AG2005 &lt;&gt; "", "Jan-Dez/26",
AH2005 &lt;&gt; "", "Fev-Dez/26",
AI2005 &lt;&gt; "", "Mar-Dez/26", AJ2005 &lt;&gt; "", "Abr-Dez/26",
TRUE, "A partir de Junho"
)</f>
        <v>A partir de Junho</v>
      </c>
      <c r="G2005" s="4" t="s">
        <v>62</v>
      </c>
      <c r="H2005" s="7" t="s">
        <v>38</v>
      </c>
      <c r="I2005" s="8" t="s">
        <v>55</v>
      </c>
      <c r="J2005" s="8" t="str" cm="1">
        <f t="array" aca="1" ref="J2005" ca="1">_xlfn.LET(
  _xlpm.actual_value_month, INDEX(T2005:AE2005, MATCH(DATE(YEAR(TODAY()), MONTH(TODAY()), 1), $T$1:$AE$1, 0)),
  IF(_xlpm.actual_value_month &lt;&gt; "",_xlpm.actual_value_month &amp; " ações mensais", "")
)</f>
        <v>1 ações mensais</v>
      </c>
      <c r="K2005" s="14" t="str" cm="1">
        <f t="array" ref="K2005">_xlfn.LET(
    _xlpm.sum_month, SUM(T2005:AE2005),
    IF(_xlpm.sum_month = 0, "", _xlpm.sum_month &amp; " eventos realizados")
)</f>
        <v>9 eventos realizados</v>
      </c>
      <c r="L2005" s="9" t="s">
        <v>56</v>
      </c>
      <c r="M2005" s="13" t="s">
        <v>86</v>
      </c>
      <c r="N2005" s="5" t="s">
        <v>42</v>
      </c>
      <c r="O2005" s="5" t="s">
        <v>43</v>
      </c>
      <c r="P2005" s="10" t="s">
        <v>44</v>
      </c>
      <c r="Q2005" s="10" t="s">
        <v>44</v>
      </c>
      <c r="R2005" s="11" t="s">
        <v>44</v>
      </c>
      <c r="S2005" s="11" t="s">
        <v>44</v>
      </c>
      <c r="T2005" s="22"/>
      <c r="U2005" s="22"/>
      <c r="V2005" s="22"/>
      <c r="W2005" s="143">
        <v>1</v>
      </c>
      <c r="X2005" s="143">
        <v>1</v>
      </c>
      <c r="Y2005" s="143">
        <v>1</v>
      </c>
      <c r="Z2005" s="143">
        <v>1</v>
      </c>
      <c r="AA2005" s="143">
        <v>1</v>
      </c>
      <c r="AB2005" s="143">
        <v>1</v>
      </c>
      <c r="AC2005" s="143">
        <v>1</v>
      </c>
      <c r="AD2005" s="143">
        <v>1</v>
      </c>
      <c r="AE2005" s="143">
        <v>1</v>
      </c>
      <c r="AG2005" s="71"/>
      <c r="AH2005" s="71"/>
      <c r="AI2005" s="71"/>
      <c r="AJ2005" s="71"/>
      <c r="AK2005" s="71"/>
      <c r="AL2005" s="71"/>
      <c r="AM2005" s="71"/>
      <c r="AN2005" s="71"/>
      <c r="AO2005" s="71"/>
      <c r="AP2005" s="71"/>
      <c r="AQ2005" s="71"/>
      <c r="AR2005" s="71"/>
      <c r="AS2005" s="94">
        <f t="shared" ca="1" si="2338"/>
        <v>2</v>
      </c>
      <c r="AT2005" s="95">
        <f t="shared" si="2339"/>
        <v>0</v>
      </c>
      <c r="AU2005" s="97">
        <f t="shared" si="2340"/>
        <v>0</v>
      </c>
      <c r="AW2005" s="51">
        <f t="shared" si="2341"/>
        <v>0</v>
      </c>
      <c r="AX2005" s="51">
        <f t="shared" si="2342"/>
        <v>0</v>
      </c>
      <c r="AY2005" s="51">
        <f t="shared" si="2343"/>
        <v>0</v>
      </c>
      <c r="AZ2005" s="51">
        <f t="shared" si="2344"/>
        <v>0</v>
      </c>
      <c r="BA2005" s="51"/>
      <c r="BB2005" s="51"/>
      <c r="BC2005" s="51"/>
      <c r="BD2005" s="51"/>
      <c r="BE2005" s="51"/>
      <c r="BF2005" s="51"/>
      <c r="BG2005" s="51"/>
      <c r="BH2005" s="51"/>
      <c r="BI2005" s="65" cm="1">
        <f t="array" ref="BI2005">IFERROR(INDEX(AW2005:BH2005,1,MATCH(2,1/(AW2005:BH2005&lt;&gt;""))),"")</f>
        <v>0</v>
      </c>
      <c r="BJ2005" s="68" cm="1">
        <f t="array" ref="BJ2005">IF(BM2005 = "", "",IFERROR(INDEX(AW2005:BH2005,1,MATCH(2,1/(AW2005:BH2005&lt;&gt;""),1)-1),""))</f>
        <v>0</v>
      </c>
      <c r="BK2005" s="58">
        <f>IF((IF(AW2005&gt;=115%,115%,AW2005) + IF(AX2005&gt;=115%,115%,AX2005) + IF(AY2005&gt;=115%,115%,AY2005) + (IF(AZ2005&gt;=115%,115%,AZ2005) + IF(BA2005&gt;=115%,115%,BA2005) + IF(BB2005&gt;=115%,115%,BB2005) + IF(BC2005&gt;=115%,115%,BC2005) + IF(BD2005&gt;=115%,115%,BD2005) + IF(BE2005&gt;=115%,115%,BE2005) + IF(BF2005&gt;=115%,115%,BF2005) + IF(BG2005&gt;=115%,115%,BG2005) + IF(BH2005&gt;=115%,115%,BH2005)))/_xlfn.XLOOKUP(F2005,Apuração!A:A,Apuração!B:B)&gt;=1.15,1.15,((IF(AZ2005&gt;=115%,115%,AZ2005) + IF(AX2005&gt;=115%,115%,AX2005) + IF(AY2005&gt;=115%,115%,AY2005) + (IF(AW2005&gt;=115%,115%,AW2005) + IF(BA2005&gt;=115%,115%,BA2005) + IF(BB2005&gt;=115%,115%,BB2005) + IF(BC2005&gt;=115%,115%,BC2005) + IF(BD2005&gt;=115%,115%,BD2005) + IF(BE2005&gt;=115%,115%,BE2005) + IF(BF2005&gt;=115%,115%,BF2005) + IF(BG2005&gt;=115%,115%,BG2005) + IF(BH2005&gt;=115%,115%,BH2005)))/_xlfn.XLOOKUP(F2005,Apuração!A:A,Apuração!B:B)))</f>
        <v>0</v>
      </c>
      <c r="BL2005" s="58" cm="1">
        <f t="array" aca="1" ref="BL2005" ca="1">IF(SUM(IFERROR(IF(INDEX(AW2005:INDEX(AW2005:BH2005, MATCH(2, 1/(AW2005:BH2005&lt;&gt;""), 1)-1), ROW(INDIRECT("1:" &amp; MATCH(2, 1/(AW2005:BH2005&lt;&gt;""), 1)-1))) &gt;= 115%, 115%, INDEX(AW2005:INDEX(AW2005:BH2005, MATCH(2, 1/(AW2005:BH2005&lt;&gt;""), 1)-1), ROW(INDIRECT("1:" &amp; MATCH(2, 1/(AW2005:BH2005&lt;&gt;""), 1)-1)))), 0))/_xlfn.XLOOKUP(F2005,Apuração!A:A,Apuração!B:B)&gt;=1.15,1.15,SUM(IFERROR(IF(INDEX(AW2005:INDEX(AW2005:BH2005, MATCH(2, 1/(AW2005:BH2005&lt;&gt;""), 1)-1), ROW(INDIRECT("1:" &amp; MATCH(2, 1/(AW2005:BH2005&lt;&gt;""), 1)-1))) &gt;= 115%, 115%, INDEX(AW2005:INDEX(AW2005:BH2005, MATCH(2, 1/(AW2005:BH2005&lt;&gt;""), 1)-1), ROW(INDIRECT("1:" &amp; MATCH(2, 1/(AW2005:BH2005&lt;&gt;""), 1)-1)))), 0))/_xlfn.XLOOKUP(F2005,Apuração!A:A,Apuração!B:B))</f>
        <v>0</v>
      </c>
      <c r="BM2005" s="55" cm="1">
        <f t="array" ref="BM2005">IFERROR(
   INDEX($AW$1:$BH$1,
      _xlfn.AGGREGATE(14, 6, COLUMN($AW$1:$BH$1)/(AW2005:BH2005&lt;&gt;""), 2) - COLUMN($AW$1) + 1
   ),
"")</f>
        <v>46082</v>
      </c>
      <c r="BN2005" s="55" cm="1">
        <f t="array" ref="BN2005">IFERROR(INDEX($AW$1:$BH$1,1,MATCH(2,1/(AW2005:BH2005&lt;&gt;""))),"")</f>
        <v>46113</v>
      </c>
      <c r="BO2005" s="53">
        <f ca="1">IFERROR(_xlfn.XLOOKUP(F2005,Apuração!A:A,Apuração!C:C)/_xlfn.XLOOKUP(F2005,Apuração!A:A,Apuração!B:B),0)</f>
        <v>0</v>
      </c>
      <c r="BP2005" s="53">
        <f ca="1">IFERROR(_xlfn.XLOOKUP(F2005,Apuração!A:A,Apuração!D:D)/_xlfn.XLOOKUP(F2005,Apuração!A:A,Apuração!B:B),0)</f>
        <v>0</v>
      </c>
      <c r="BQ2005" s="53">
        <f ca="1">IF(BK2005&gt;=BO2005,0,_xlfn.XLOOKUP(F2005,Apuração!A:A,Apuração!B:B)*(BO2005 + (1/_xlfn.XLOOKUP(F2005,Apuração!A:A,Apuração!B:B)) - BK2005))</f>
        <v>0</v>
      </c>
      <c r="BR2005" s="85">
        <f t="shared" ca="1" si="2345"/>
        <v>0</v>
      </c>
      <c r="BS2005" s="53">
        <f ca="1">IFERROR((_xlfn.XLOOKUP(F2005,Apuração!A:A,Apuração!C:C)+1)/_xlfn.XLOOKUP(F2005,Apuração!A:A,Apuração!B:B),0)</f>
        <v>0.14285714285714285</v>
      </c>
    </row>
    <row r="2006" spans="1:71" ht="25.95" hidden="1" customHeight="1" x14ac:dyDescent="0.3">
      <c r="A2006" s="3" t="s">
        <v>33</v>
      </c>
      <c r="B2006" s="4" t="s">
        <v>84</v>
      </c>
      <c r="C2006" s="5" t="s">
        <v>216</v>
      </c>
      <c r="D2006" s="5" t="s">
        <v>218</v>
      </c>
      <c r="E2006" s="4" t="s">
        <v>96</v>
      </c>
      <c r="F2006" s="4" t="str" cm="1">
        <f t="array" ref="F2006">_xlfn.IFS(
AG2006 &lt;&gt; "", "Jan-Dez/26",
AH2006 &lt;&gt; "", "Fev-Dez/26",
AI2006 &lt;&gt; "", "Mar-Dez/26", AJ2006 &lt;&gt; "", "Abr-Dez/26",
TRUE, "A partir de Junho"
)</f>
        <v>A partir de Junho</v>
      </c>
      <c r="G2006" s="4" t="s">
        <v>62</v>
      </c>
      <c r="H2006" s="7" t="s">
        <v>38</v>
      </c>
      <c r="I2006" s="8" t="s">
        <v>55</v>
      </c>
      <c r="J2006" s="8" t="str" cm="1">
        <f t="array" aca="1" ref="J2006" ca="1">_xlfn.LET(
  _xlpm.actual_value_month, INDEX(T2006:AE2006, MATCH(DATE(YEAR(TODAY()), MONTH(TODAY()), 1), $T$1:$AE$1, 0)),
  IF(_xlpm.actual_value_month &lt;&gt; "",_xlpm.actual_value_month &amp; " ações mensais", "")
)</f>
        <v>1 ações mensais</v>
      </c>
      <c r="K2006" s="14" t="str" cm="1">
        <f t="array" ref="K2006">_xlfn.LET(
    _xlpm.sum_month, SUM(T2006:AE2006),
    IF(_xlpm.sum_month = 0, "", _xlpm.sum_month &amp; " eventos realizados")
)</f>
        <v>9 eventos realizados</v>
      </c>
      <c r="L2006" s="9" t="s">
        <v>56</v>
      </c>
      <c r="M2006" s="13" t="s">
        <v>86</v>
      </c>
      <c r="N2006" s="5" t="s">
        <v>42</v>
      </c>
      <c r="O2006" s="5" t="s">
        <v>43</v>
      </c>
      <c r="P2006" s="10" t="s">
        <v>44</v>
      </c>
      <c r="Q2006" s="10" t="s">
        <v>44</v>
      </c>
      <c r="R2006" s="11" t="s">
        <v>44</v>
      </c>
      <c r="S2006" s="11" t="s">
        <v>44</v>
      </c>
      <c r="T2006" s="22"/>
      <c r="U2006" s="22"/>
      <c r="V2006" s="22"/>
      <c r="W2006" s="143">
        <v>1</v>
      </c>
      <c r="X2006" s="143">
        <v>1</v>
      </c>
      <c r="Y2006" s="143">
        <v>1</v>
      </c>
      <c r="Z2006" s="143">
        <v>1</v>
      </c>
      <c r="AA2006" s="143">
        <v>1</v>
      </c>
      <c r="AB2006" s="143">
        <v>1</v>
      </c>
      <c r="AC2006" s="143">
        <v>1</v>
      </c>
      <c r="AD2006" s="143">
        <v>1</v>
      </c>
      <c r="AE2006" s="143">
        <v>1</v>
      </c>
      <c r="AG2006" s="71"/>
      <c r="AH2006" s="71"/>
      <c r="AI2006" s="71"/>
      <c r="AJ2006" s="71"/>
      <c r="AK2006" s="71"/>
      <c r="AL2006" s="71"/>
      <c r="AM2006" s="71"/>
      <c r="AN2006" s="71"/>
      <c r="AO2006" s="71"/>
      <c r="AP2006" s="71"/>
      <c r="AQ2006" s="71"/>
      <c r="AR2006" s="71"/>
      <c r="AS2006" s="94">
        <f t="shared" ca="1" si="2338"/>
        <v>2</v>
      </c>
      <c r="AT2006" s="95">
        <f t="shared" si="2339"/>
        <v>0</v>
      </c>
      <c r="AU2006" s="97">
        <f t="shared" si="2340"/>
        <v>0</v>
      </c>
      <c r="AW2006" s="51">
        <f t="shared" si="2341"/>
        <v>0</v>
      </c>
      <c r="AX2006" s="51">
        <f t="shared" si="2342"/>
        <v>0</v>
      </c>
      <c r="AY2006" s="51">
        <f t="shared" si="2343"/>
        <v>0</v>
      </c>
      <c r="AZ2006" s="51">
        <f t="shared" si="2344"/>
        <v>0</v>
      </c>
      <c r="BA2006" s="51"/>
      <c r="BB2006" s="51"/>
      <c r="BC2006" s="51"/>
      <c r="BD2006" s="51"/>
      <c r="BE2006" s="51"/>
      <c r="BF2006" s="51"/>
      <c r="BG2006" s="51"/>
      <c r="BH2006" s="51"/>
      <c r="BI2006" s="65" cm="1">
        <f t="array" ref="BI2006">IFERROR(INDEX(AW2006:BH2006,1,MATCH(2,1/(AW2006:BH2006&lt;&gt;""))),"")</f>
        <v>0</v>
      </c>
      <c r="BJ2006" s="68" cm="1">
        <f t="array" ref="BJ2006">IF(BM2006 = "", "",IFERROR(INDEX(AW2006:BH2006,1,MATCH(2,1/(AW2006:BH2006&lt;&gt;""),1)-1),""))</f>
        <v>0</v>
      </c>
      <c r="BK2006" s="58">
        <f>IF((IF(AW2006&gt;=115%,115%,AW2006) + IF(AX2006&gt;=115%,115%,AX2006) + IF(AY2006&gt;=115%,115%,AY2006) + (IF(AZ2006&gt;=115%,115%,AZ2006) + IF(BA2006&gt;=115%,115%,BA2006) + IF(BB2006&gt;=115%,115%,BB2006) + IF(BC2006&gt;=115%,115%,BC2006) + IF(BD2006&gt;=115%,115%,BD2006) + IF(BE2006&gt;=115%,115%,BE2006) + IF(BF2006&gt;=115%,115%,BF2006) + IF(BG2006&gt;=115%,115%,BG2006) + IF(BH2006&gt;=115%,115%,BH2006)))/_xlfn.XLOOKUP(F2006,Apuração!A:A,Apuração!B:B)&gt;=1.15,1.15,((IF(AZ2006&gt;=115%,115%,AZ2006) + IF(AX2006&gt;=115%,115%,AX2006) + IF(AY2006&gt;=115%,115%,AY2006) + (IF(AW2006&gt;=115%,115%,AW2006) + IF(BA2006&gt;=115%,115%,BA2006) + IF(BB2006&gt;=115%,115%,BB2006) + IF(BC2006&gt;=115%,115%,BC2006) + IF(BD2006&gt;=115%,115%,BD2006) + IF(BE2006&gt;=115%,115%,BE2006) + IF(BF2006&gt;=115%,115%,BF2006) + IF(BG2006&gt;=115%,115%,BG2006) + IF(BH2006&gt;=115%,115%,BH2006)))/_xlfn.XLOOKUP(F2006,Apuração!A:A,Apuração!B:B)))</f>
        <v>0</v>
      </c>
      <c r="BL2006" s="58" cm="1">
        <f t="array" aca="1" ref="BL2006" ca="1">IF(SUM(IFERROR(IF(INDEX(AW2006:INDEX(AW2006:BH2006, MATCH(2, 1/(AW2006:BH2006&lt;&gt;""), 1)-1), ROW(INDIRECT("1:" &amp; MATCH(2, 1/(AW2006:BH2006&lt;&gt;""), 1)-1))) &gt;= 115%, 115%, INDEX(AW2006:INDEX(AW2006:BH2006, MATCH(2, 1/(AW2006:BH2006&lt;&gt;""), 1)-1), ROW(INDIRECT("1:" &amp; MATCH(2, 1/(AW2006:BH2006&lt;&gt;""), 1)-1)))), 0))/_xlfn.XLOOKUP(F2006,Apuração!A:A,Apuração!B:B)&gt;=1.15,1.15,SUM(IFERROR(IF(INDEX(AW2006:INDEX(AW2006:BH2006, MATCH(2, 1/(AW2006:BH2006&lt;&gt;""), 1)-1), ROW(INDIRECT("1:" &amp; MATCH(2, 1/(AW2006:BH2006&lt;&gt;""), 1)-1))) &gt;= 115%, 115%, INDEX(AW2006:INDEX(AW2006:BH2006, MATCH(2, 1/(AW2006:BH2006&lt;&gt;""), 1)-1), ROW(INDIRECT("1:" &amp; MATCH(2, 1/(AW2006:BH2006&lt;&gt;""), 1)-1)))), 0))/_xlfn.XLOOKUP(F2006,Apuração!A:A,Apuração!B:B))</f>
        <v>0</v>
      </c>
      <c r="BM2006" s="55" cm="1">
        <f t="array" ref="BM2006">IFERROR(
   INDEX($AW$1:$BH$1,
      _xlfn.AGGREGATE(14, 6, COLUMN($AW$1:$BH$1)/(AW2006:BH2006&lt;&gt;""), 2) - COLUMN($AW$1) + 1
   ),
"")</f>
        <v>46082</v>
      </c>
      <c r="BN2006" s="55" cm="1">
        <f t="array" ref="BN2006">IFERROR(INDEX($AW$1:$BH$1,1,MATCH(2,1/(AW2006:BH2006&lt;&gt;""))),"")</f>
        <v>46113</v>
      </c>
      <c r="BO2006" s="53">
        <f ca="1">IFERROR(_xlfn.XLOOKUP(F2006,Apuração!A:A,Apuração!C:C)/_xlfn.XLOOKUP(F2006,Apuração!A:A,Apuração!B:B),0)</f>
        <v>0</v>
      </c>
      <c r="BP2006" s="53">
        <f ca="1">IFERROR(_xlfn.XLOOKUP(F2006,Apuração!A:A,Apuração!D:D)/_xlfn.XLOOKUP(F2006,Apuração!A:A,Apuração!B:B),0)</f>
        <v>0</v>
      </c>
      <c r="BQ2006" s="53">
        <f ca="1">IF(BK2006&gt;=BO2006,0,_xlfn.XLOOKUP(F2006,Apuração!A:A,Apuração!B:B)*(BO2006 + (1/_xlfn.XLOOKUP(F2006,Apuração!A:A,Apuração!B:B)) - BK2006))</f>
        <v>0</v>
      </c>
      <c r="BR2006" s="85">
        <f t="shared" ca="1" si="2345"/>
        <v>0</v>
      </c>
      <c r="BS2006" s="53">
        <f ca="1">IFERROR((_xlfn.XLOOKUP(F2006,Apuração!A:A,Apuração!C:C)+1)/_xlfn.XLOOKUP(F2006,Apuração!A:A,Apuração!B:B),0)</f>
        <v>0.14285714285714285</v>
      </c>
    </row>
    <row r="2007" spans="1:71" ht="25.95" hidden="1" customHeight="1" x14ac:dyDescent="0.3">
      <c r="A2007" s="3" t="s">
        <v>33</v>
      </c>
      <c r="B2007" s="4" t="s">
        <v>84</v>
      </c>
      <c r="C2007" s="5" t="s">
        <v>216</v>
      </c>
      <c r="D2007" s="5" t="s">
        <v>219</v>
      </c>
      <c r="E2007" s="4" t="s">
        <v>96</v>
      </c>
      <c r="F2007" s="4" t="str" cm="1">
        <f t="array" ref="F2007">_xlfn.IFS(
AG2007 &lt;&gt; "", "Jan-Dez/26",
AH2007 &lt;&gt; "", "Fev-Dez/26",
AI2007 &lt;&gt; "", "Mar-Dez/26", AJ2007 &lt;&gt; "", "Abr-Dez/26",
TRUE, "A partir de Junho"
)</f>
        <v>A partir de Junho</v>
      </c>
      <c r="G2007" s="4" t="s">
        <v>62</v>
      </c>
      <c r="H2007" s="7" t="s">
        <v>38</v>
      </c>
      <c r="I2007" s="8" t="s">
        <v>55</v>
      </c>
      <c r="J2007" s="8" t="str" cm="1">
        <f t="array" aca="1" ref="J2007" ca="1">_xlfn.LET(
  _xlpm.actual_value_month, INDEX(T2007:AE2007, MATCH(DATE(YEAR(TODAY()), MONTH(TODAY()), 1), $T$1:$AE$1, 0)),
  IF(_xlpm.actual_value_month &lt;&gt; "",_xlpm.actual_value_month &amp; " ações mensais", "")
)</f>
        <v>1 ações mensais</v>
      </c>
      <c r="K2007" s="14" t="str" cm="1">
        <f t="array" ref="K2007">_xlfn.LET(
    _xlpm.sum_month, SUM(T2007:AE2007),
    IF(_xlpm.sum_month = 0, "", _xlpm.sum_month &amp; " eventos realizados")
)</f>
        <v>9 eventos realizados</v>
      </c>
      <c r="L2007" s="9" t="s">
        <v>56</v>
      </c>
      <c r="M2007" s="13" t="s">
        <v>86</v>
      </c>
      <c r="N2007" s="5" t="s">
        <v>42</v>
      </c>
      <c r="O2007" s="5" t="s">
        <v>43</v>
      </c>
      <c r="P2007" s="10" t="s">
        <v>44</v>
      </c>
      <c r="Q2007" s="10" t="s">
        <v>44</v>
      </c>
      <c r="R2007" s="11" t="s">
        <v>44</v>
      </c>
      <c r="S2007" s="11" t="s">
        <v>44</v>
      </c>
      <c r="T2007" s="22"/>
      <c r="U2007" s="22"/>
      <c r="V2007" s="22"/>
      <c r="W2007" s="143">
        <v>1</v>
      </c>
      <c r="X2007" s="143">
        <v>1</v>
      </c>
      <c r="Y2007" s="143">
        <v>1</v>
      </c>
      <c r="Z2007" s="143">
        <v>1</v>
      </c>
      <c r="AA2007" s="143">
        <v>1</v>
      </c>
      <c r="AB2007" s="143">
        <v>1</v>
      </c>
      <c r="AC2007" s="143">
        <v>1</v>
      </c>
      <c r="AD2007" s="143">
        <v>1</v>
      </c>
      <c r="AE2007" s="143">
        <v>1</v>
      </c>
      <c r="AG2007" s="71"/>
      <c r="AH2007" s="71"/>
      <c r="AI2007" s="71"/>
      <c r="AJ2007" s="71"/>
      <c r="AK2007" s="71"/>
      <c r="AL2007" s="71"/>
      <c r="AM2007" s="71"/>
      <c r="AN2007" s="71"/>
      <c r="AO2007" s="71"/>
      <c r="AP2007" s="71"/>
      <c r="AQ2007" s="71"/>
      <c r="AR2007" s="71"/>
      <c r="AS2007" s="94">
        <f t="shared" ca="1" si="2338"/>
        <v>2</v>
      </c>
      <c r="AT2007" s="95">
        <f t="shared" si="2339"/>
        <v>0</v>
      </c>
      <c r="AU2007" s="97">
        <f t="shared" si="2340"/>
        <v>0</v>
      </c>
      <c r="AW2007" s="51">
        <f t="shared" si="2341"/>
        <v>0</v>
      </c>
      <c r="AX2007" s="51">
        <f t="shared" si="2342"/>
        <v>0</v>
      </c>
      <c r="AY2007" s="51">
        <f t="shared" si="2343"/>
        <v>0</v>
      </c>
      <c r="AZ2007" s="51">
        <f t="shared" si="2344"/>
        <v>0</v>
      </c>
      <c r="BA2007" s="51"/>
      <c r="BB2007" s="51"/>
      <c r="BC2007" s="51"/>
      <c r="BD2007" s="51"/>
      <c r="BE2007" s="51"/>
      <c r="BF2007" s="51"/>
      <c r="BG2007" s="51"/>
      <c r="BH2007" s="51"/>
      <c r="BI2007" s="65" cm="1">
        <f t="array" ref="BI2007">IFERROR(INDEX(AW2007:BH2007,1,MATCH(2,1/(AW2007:BH2007&lt;&gt;""))),"")</f>
        <v>0</v>
      </c>
      <c r="BJ2007" s="68" cm="1">
        <f t="array" ref="BJ2007">IF(BM2007 = "", "",IFERROR(INDEX(AW2007:BH2007,1,MATCH(2,1/(AW2007:BH2007&lt;&gt;""),1)-1),""))</f>
        <v>0</v>
      </c>
      <c r="BK2007" s="58">
        <f>IF((IF(AW2007&gt;=115%,115%,AW2007) + IF(AX2007&gt;=115%,115%,AX2007) + IF(AY2007&gt;=115%,115%,AY2007) + (IF(AZ2007&gt;=115%,115%,AZ2007) + IF(BA2007&gt;=115%,115%,BA2007) + IF(BB2007&gt;=115%,115%,BB2007) + IF(BC2007&gt;=115%,115%,BC2007) + IF(BD2007&gt;=115%,115%,BD2007) + IF(BE2007&gt;=115%,115%,BE2007) + IF(BF2007&gt;=115%,115%,BF2007) + IF(BG2007&gt;=115%,115%,BG2007) + IF(BH2007&gt;=115%,115%,BH2007)))/_xlfn.XLOOKUP(F2007,Apuração!A:A,Apuração!B:B)&gt;=1.15,1.15,((IF(AZ2007&gt;=115%,115%,AZ2007) + IF(AX2007&gt;=115%,115%,AX2007) + IF(AY2007&gt;=115%,115%,AY2007) + (IF(AW2007&gt;=115%,115%,AW2007) + IF(BA2007&gt;=115%,115%,BA2007) + IF(BB2007&gt;=115%,115%,BB2007) + IF(BC2007&gt;=115%,115%,BC2007) + IF(BD2007&gt;=115%,115%,BD2007) + IF(BE2007&gt;=115%,115%,BE2007) + IF(BF2007&gt;=115%,115%,BF2007) + IF(BG2007&gt;=115%,115%,BG2007) + IF(BH2007&gt;=115%,115%,BH2007)))/_xlfn.XLOOKUP(F2007,Apuração!A:A,Apuração!B:B)))</f>
        <v>0</v>
      </c>
      <c r="BL2007" s="58" cm="1">
        <f t="array" aca="1" ref="BL2007" ca="1">IF(SUM(IFERROR(IF(INDEX(AW2007:INDEX(AW2007:BH2007, MATCH(2, 1/(AW2007:BH2007&lt;&gt;""), 1)-1), ROW(INDIRECT("1:" &amp; MATCH(2, 1/(AW2007:BH2007&lt;&gt;""), 1)-1))) &gt;= 115%, 115%, INDEX(AW2007:INDEX(AW2007:BH2007, MATCH(2, 1/(AW2007:BH2007&lt;&gt;""), 1)-1), ROW(INDIRECT("1:" &amp; MATCH(2, 1/(AW2007:BH2007&lt;&gt;""), 1)-1)))), 0))/_xlfn.XLOOKUP(F2007,Apuração!A:A,Apuração!B:B)&gt;=1.15,1.15,SUM(IFERROR(IF(INDEX(AW2007:INDEX(AW2007:BH2007, MATCH(2, 1/(AW2007:BH2007&lt;&gt;""), 1)-1), ROW(INDIRECT("1:" &amp; MATCH(2, 1/(AW2007:BH2007&lt;&gt;""), 1)-1))) &gt;= 115%, 115%, INDEX(AW2007:INDEX(AW2007:BH2007, MATCH(2, 1/(AW2007:BH2007&lt;&gt;""), 1)-1), ROW(INDIRECT("1:" &amp; MATCH(2, 1/(AW2007:BH2007&lt;&gt;""), 1)-1)))), 0))/_xlfn.XLOOKUP(F2007,Apuração!A:A,Apuração!B:B))</f>
        <v>0</v>
      </c>
      <c r="BM2007" s="55" cm="1">
        <f t="array" ref="BM2007">IFERROR(
   INDEX($AW$1:$BH$1,
      _xlfn.AGGREGATE(14, 6, COLUMN($AW$1:$BH$1)/(AW2007:BH2007&lt;&gt;""), 2) - COLUMN($AW$1) + 1
   ),
"")</f>
        <v>46082</v>
      </c>
      <c r="BN2007" s="55" cm="1">
        <f t="array" ref="BN2007">IFERROR(INDEX($AW$1:$BH$1,1,MATCH(2,1/(AW2007:BH2007&lt;&gt;""))),"")</f>
        <v>46113</v>
      </c>
      <c r="BO2007" s="53">
        <f ca="1">IFERROR(_xlfn.XLOOKUP(F2007,Apuração!A:A,Apuração!C:C)/_xlfn.XLOOKUP(F2007,Apuração!A:A,Apuração!B:B),0)</f>
        <v>0</v>
      </c>
      <c r="BP2007" s="53">
        <f ca="1">IFERROR(_xlfn.XLOOKUP(F2007,Apuração!A:A,Apuração!D:D)/_xlfn.XLOOKUP(F2007,Apuração!A:A,Apuração!B:B),0)</f>
        <v>0</v>
      </c>
      <c r="BQ2007" s="53">
        <f ca="1">IF(BK2007&gt;=BO2007,0,_xlfn.XLOOKUP(F2007,Apuração!A:A,Apuração!B:B)*(BO2007 + (1/_xlfn.XLOOKUP(F2007,Apuração!A:A,Apuração!B:B)) - BK2007))</f>
        <v>0</v>
      </c>
      <c r="BR2007" s="85">
        <f t="shared" ca="1" si="2345"/>
        <v>0</v>
      </c>
      <c r="BS2007" s="53">
        <f ca="1">IFERROR((_xlfn.XLOOKUP(F2007,Apuração!A:A,Apuração!C:C)+1)/_xlfn.XLOOKUP(F2007,Apuração!A:A,Apuração!B:B),0)</f>
        <v>0.14285714285714285</v>
      </c>
    </row>
    <row r="2008" spans="1:71" ht="25.95" hidden="1" customHeight="1" x14ac:dyDescent="0.3">
      <c r="A2008" s="39" t="s">
        <v>33</v>
      </c>
      <c r="B2008" s="4" t="s">
        <v>84</v>
      </c>
      <c r="C2008" s="5" t="s">
        <v>216</v>
      </c>
      <c r="D2008" s="5" t="s">
        <v>36</v>
      </c>
      <c r="E2008" s="4" t="s">
        <v>96</v>
      </c>
      <c r="F2008" s="4" t="str" cm="1">
        <f t="array" ref="F2008">_xlfn.IFS(
AG2008 &lt;&gt; "", "Jan-Dez/26",
AH2008 &lt;&gt; "", "Fev-Dez/26",
AI2008 &lt;&gt; "", "Mar-Dez/26", AJ2008 &lt;&gt; "", "Abr-Dez/26",
TRUE, "A partir de Junho"
)</f>
        <v>A partir de Junho</v>
      </c>
      <c r="G2008" s="4" t="s">
        <v>62</v>
      </c>
      <c r="H2008" s="7" t="s">
        <v>38</v>
      </c>
      <c r="I2008" s="9" t="s">
        <v>76</v>
      </c>
      <c r="J2008" s="8" t="str" cm="1">
        <f t="array" aca="1" ref="J2008" ca="1">_xlfn.LET(
  _xlpm.actual_value_month, INDEX(T2008:AE2008, MATCH(DATE(YEAR(TODAY()), MONTH(TODAY()), 1), $T$1:$AE$1, 0)),
  IF(_xlpm.actual_value_month &lt;&gt; "",_xlpm.actual_value_month &amp; " ações mensais", "")
)</f>
        <v/>
      </c>
      <c r="K2008" s="14" t="str" cm="1">
        <f t="array" ref="K2008">_xlfn.LET(
    _xlpm.sum_month, SUM(T2008:AE2008),
    IF(_xlpm.sum_month = 0, "", _xlpm.sum_month &amp; " público impactado no ano.")
)</f>
        <v/>
      </c>
      <c r="L2008" s="9" t="s">
        <v>76</v>
      </c>
      <c r="M2008" s="13">
        <v>1</v>
      </c>
      <c r="N2008" s="5" t="s">
        <v>51</v>
      </c>
      <c r="O2008" s="5" t="s">
        <v>52</v>
      </c>
      <c r="P2008" s="10" t="s">
        <v>44</v>
      </c>
      <c r="Q2008" s="10" t="s">
        <v>44</v>
      </c>
      <c r="R2008" s="11" t="s">
        <v>44</v>
      </c>
      <c r="S2008" s="11" t="s">
        <v>44</v>
      </c>
      <c r="T2008" s="22"/>
      <c r="U2008" s="22"/>
      <c r="V2008" s="22"/>
      <c r="W2008" s="22"/>
      <c r="X2008" s="22"/>
      <c r="Y2008" s="22"/>
      <c r="Z2008" s="22"/>
      <c r="AA2008" s="22"/>
      <c r="AB2008" s="22"/>
      <c r="AC2008" s="22"/>
      <c r="AD2008" s="22"/>
      <c r="AE2008" s="22"/>
      <c r="AG2008" s="71"/>
      <c r="AH2008" s="71"/>
      <c r="AI2008" s="71"/>
      <c r="AJ2008" s="71"/>
      <c r="AK2008" s="71"/>
      <c r="AL2008" s="71"/>
      <c r="AM2008" s="71"/>
      <c r="AN2008" s="71"/>
      <c r="AO2008" s="71"/>
      <c r="AP2008" s="71"/>
      <c r="AQ2008" s="71"/>
      <c r="AR2008" s="71"/>
      <c r="AS2008" s="94">
        <f ca="1">IF(MONTH(TODAY())=3,SUM(T2008:U2008),IF(MONTH(TODAY())=4,SUM(T2008:V2008),IF(MONTH(TODAY())=5,SUM(T2008:W2008),IF(MONTH(TODAY())=6,SUM(T2008:X2008),IF(MONTH(TODAY())=7,SUM(T2008:Y2008),IF(MONTH(TODAY())=8,SUM(T2008:Z2008),IF(MONTH(TODAY())=9,SUM(T2008:AA2008),IF(MONTH(TODAY())=10,SUM(T2008:AB2008),IF(MONTH(TODAY())=11,SUM(T2008:AC2008),IF(MONTH(TODAY())=12,SUM(T2008:AD2008),IF(MONTH(TODAY())=1,SUM(T2008:AE2008),T2008)))))))))))</f>
        <v>0</v>
      </c>
      <c r="AT2008" s="95">
        <f>SUM(AG2008:AR2008)</f>
        <v>0</v>
      </c>
      <c r="AU2008" s="97">
        <f>SUM(AG2008:AR2008)</f>
        <v>0</v>
      </c>
      <c r="AW2008" s="83">
        <f>AG2008</f>
        <v>0</v>
      </c>
      <c r="AX2008" s="83">
        <f>AH2008</f>
        <v>0</v>
      </c>
      <c r="AY2008" s="83">
        <f>AI2008</f>
        <v>0</v>
      </c>
      <c r="AZ2008" s="83">
        <f>AJ2008</f>
        <v>0</v>
      </c>
      <c r="BA2008" s="52"/>
      <c r="BB2008" s="52"/>
      <c r="BC2008" s="52"/>
      <c r="BD2008" s="52"/>
      <c r="BE2008" s="52"/>
      <c r="BF2008" s="52"/>
      <c r="BG2008" s="52"/>
      <c r="BH2008" s="52"/>
      <c r="BI2008" s="68" cm="1">
        <f t="array" ref="BI2008">IFERROR(INDEX(AW2008:BH2008,1,MATCH(2,1/(AW2008:BH2008&lt;&gt;""))),"")</f>
        <v>0</v>
      </c>
      <c r="BJ2008" s="68" cm="1">
        <f t="array" ref="BJ2008">IF(BM2008 = "", "",IFERROR(INDEX(AW2008:BH2008,1,MATCH(2,1/(AW2008:BH2008&lt;&gt;""),1)-1),""))</f>
        <v>0</v>
      </c>
      <c r="BK2008" s="59">
        <f>SUM(AW2008:BH2008)</f>
        <v>0</v>
      </c>
      <c r="BL2008" s="59" cm="1">
        <f t="array" ref="BL2008">IFERROR(SUM(AW2008:INDEX(AW2008:BH2008, MATCH(2, 1/(AW2008:BH2008&lt;&gt;""), 1) - 1))/_xlfn.XLOOKUP(F2008,Apuração!A:A,Apuração!B:B),0)</f>
        <v>0</v>
      </c>
      <c r="BM2008" s="55" cm="1">
        <f t="array" ref="BM2008">IFERROR(
   INDEX($AW$1:$BH$1,
      _xlfn.AGGREGATE(14, 6, COLUMN($AW$1:$BH$1)/(AW2008:BH2008&lt;&gt;""), 2) - COLUMN($AW$1) + 1
   ),
"")</f>
        <v>46082</v>
      </c>
      <c r="BN2008" s="55" cm="1">
        <f t="array" ref="BN2008">IFERROR(INDEX($AW$1:$BH$1,1,MATCH(2,1/(AW2008:BH2008&lt;&gt;""))),"")</f>
        <v>46113</v>
      </c>
      <c r="BO2008" s="53">
        <f ca="1">IFERROR(_xlfn.XLOOKUP(F2008,Apuração!A:A,Apuração!C:C)/_xlfn.XLOOKUP(F2008,Apuração!A:A,Apuração!B:B),0)</f>
        <v>0</v>
      </c>
      <c r="BP2008" s="53">
        <f ca="1">IFERROR(_xlfn.XLOOKUP(F2008,Apuração!A:A,Apuração!D:D)/_xlfn.XLOOKUP(F2008,Apuração!A:A,Apuração!B:B),0)</f>
        <v>0</v>
      </c>
      <c r="BQ2008" s="53">
        <f ca="1">IF(BK2008&gt;=BO2008,0,_xlfn.XLOOKUP(F2008,Apuração!A:A,Apuração!B:B)*(BO2008 + (1/_xlfn.XLOOKUP(F2008,Apuração!A:A,Apuração!B:B)) - BK2008))</f>
        <v>0</v>
      </c>
      <c r="BR2008" s="85">
        <f ca="1">IF(BQ2008=0,0,BQ2008*Z2008)</f>
        <v>0</v>
      </c>
      <c r="BS2008" s="53">
        <f ca="1">IFERROR((_xlfn.XLOOKUP(F2008,Apuração!A:A,Apuração!C:C)+1)/_xlfn.XLOOKUP(F2008,Apuração!A:A,Apuração!B:B),0)</f>
        <v>0.14285714285714285</v>
      </c>
    </row>
    <row r="2009" spans="1:71" ht="25.95" hidden="1" customHeight="1" x14ac:dyDescent="0.3">
      <c r="A2009" s="39" t="s">
        <v>33</v>
      </c>
      <c r="B2009" s="4" t="s">
        <v>84</v>
      </c>
      <c r="C2009" s="5" t="s">
        <v>216</v>
      </c>
      <c r="D2009" s="5" t="s">
        <v>217</v>
      </c>
      <c r="E2009" s="4" t="s">
        <v>96</v>
      </c>
      <c r="F2009" s="4" t="str" cm="1">
        <f t="array" ref="F2009">_xlfn.IFS(
AG2009 &lt;&gt; "", "Jan-Dez/26",
AH2009 &lt;&gt; "", "Fev-Dez/26",
AI2009 &lt;&gt; "", "Mar-Dez/26", AJ2009 &lt;&gt; "", "Abr-Dez/26",
TRUE, "A partir de Junho"
)</f>
        <v>A partir de Junho</v>
      </c>
      <c r="G2009" s="4" t="s">
        <v>62</v>
      </c>
      <c r="H2009" s="7" t="s">
        <v>38</v>
      </c>
      <c r="I2009" s="9" t="s">
        <v>76</v>
      </c>
      <c r="J2009" s="8" t="str" cm="1">
        <f t="array" aca="1" ref="J2009" ca="1">_xlfn.LET(
  _xlpm.actual_value_month, INDEX(T2009:AE2009, MATCH(DATE(YEAR(TODAY()), MONTH(TODAY()), 1), $T$1:$AE$1, 0)),
  IF(_xlpm.actual_value_month &lt;&gt; "",_xlpm.actual_value_month &amp; " ações mensais", "")
)</f>
        <v/>
      </c>
      <c r="K2009" s="14" t="str" cm="1">
        <f t="array" ref="K2009">_xlfn.LET(
    _xlpm.sum_month, SUM(T2009:AE2009),
    IF(_xlpm.sum_month = 0, "", _xlpm.sum_month &amp; " público impactado no ano.")
)</f>
        <v/>
      </c>
      <c r="L2009" s="9" t="s">
        <v>76</v>
      </c>
      <c r="M2009" s="13">
        <v>1</v>
      </c>
      <c r="N2009" s="5" t="s">
        <v>51</v>
      </c>
      <c r="O2009" s="5" t="s">
        <v>52</v>
      </c>
      <c r="P2009" s="10" t="s">
        <v>44</v>
      </c>
      <c r="Q2009" s="10" t="s">
        <v>44</v>
      </c>
      <c r="R2009" s="11" t="s">
        <v>44</v>
      </c>
      <c r="S2009" s="11" t="s">
        <v>44</v>
      </c>
      <c r="T2009" s="22"/>
      <c r="U2009" s="22"/>
      <c r="V2009" s="22"/>
      <c r="W2009" s="22"/>
      <c r="X2009" s="22"/>
      <c r="Y2009" s="22"/>
      <c r="Z2009" s="22"/>
      <c r="AA2009" s="22"/>
      <c r="AB2009" s="22"/>
      <c r="AC2009" s="22"/>
      <c r="AD2009" s="22"/>
      <c r="AE2009" s="22"/>
      <c r="AG2009" s="71"/>
      <c r="AH2009" s="71"/>
      <c r="AI2009" s="71"/>
      <c r="AJ2009" s="71"/>
      <c r="AK2009" s="71"/>
      <c r="AL2009" s="71"/>
      <c r="AM2009" s="71"/>
      <c r="AN2009" s="71"/>
      <c r="AO2009" s="71"/>
      <c r="AP2009" s="71"/>
      <c r="AQ2009" s="71"/>
      <c r="AR2009" s="71"/>
      <c r="AS2009" s="94">
        <f t="shared" ref="AS2009:AS2012" ca="1" si="2346">IF(MONTH(TODAY())=3,SUM(T2009:U2009),IF(MONTH(TODAY())=4,SUM(T2009:V2009),IF(MONTH(TODAY())=5,SUM(T2009:W2009),IF(MONTH(TODAY())=6,SUM(T2009:X2009),IF(MONTH(TODAY())=7,SUM(T2009:Y2009),IF(MONTH(TODAY())=8,SUM(T2009:Z2009),IF(MONTH(TODAY())=9,SUM(T2009:AA2009),IF(MONTH(TODAY())=10,SUM(T2009:AB2009),IF(MONTH(TODAY())=11,SUM(T2009:AC2009),IF(MONTH(TODAY())=12,SUM(T2009:AD2009),IF(MONTH(TODAY())=1,SUM(T2009:AE2009),T2009)))))))))))</f>
        <v>0</v>
      </c>
      <c r="AT2009" s="95">
        <f t="shared" ref="AT2009:AT2012" si="2347">SUM(AG2009:AR2009)</f>
        <v>0</v>
      </c>
      <c r="AU2009" s="97">
        <f t="shared" ref="AU2009:AU2012" si="2348">SUM(AG2009:AR2009)</f>
        <v>0</v>
      </c>
      <c r="AW2009" s="83">
        <f t="shared" ref="AW2009:AW2012" si="2349">AG2009</f>
        <v>0</v>
      </c>
      <c r="AX2009" s="83">
        <f t="shared" ref="AX2009:AX2012" si="2350">AH2009</f>
        <v>0</v>
      </c>
      <c r="AY2009" s="83">
        <f t="shared" ref="AY2009:AY2012" si="2351">AI2009</f>
        <v>0</v>
      </c>
      <c r="AZ2009" s="83">
        <f t="shared" ref="AZ2009:AZ2012" si="2352">AJ2009</f>
        <v>0</v>
      </c>
      <c r="BA2009" s="52"/>
      <c r="BB2009" s="52"/>
      <c r="BC2009" s="52"/>
      <c r="BD2009" s="52"/>
      <c r="BE2009" s="52"/>
      <c r="BF2009" s="52"/>
      <c r="BG2009" s="52"/>
      <c r="BH2009" s="52"/>
      <c r="BI2009" s="68" cm="1">
        <f t="array" ref="BI2009">IFERROR(INDEX(AW2009:BH2009,1,MATCH(2,1/(AW2009:BH2009&lt;&gt;""))),"")</f>
        <v>0</v>
      </c>
      <c r="BJ2009" s="68" cm="1">
        <f t="array" ref="BJ2009">IF(BM2009 = "", "",IFERROR(INDEX(AW2009:BH2009,1,MATCH(2,1/(AW2009:BH2009&lt;&gt;""),1)-1),""))</f>
        <v>0</v>
      </c>
      <c r="BK2009" s="59">
        <f t="shared" ref="BK2009:BK2012" si="2353">SUM(AW2009:BH2009)</f>
        <v>0</v>
      </c>
      <c r="BL2009" s="59" cm="1">
        <f t="array" ref="BL2009">IFERROR(SUM(AW2009:INDEX(AW2009:BH2009, MATCH(2, 1/(AW2009:BH2009&lt;&gt;""), 1) - 1))/_xlfn.XLOOKUP(F2009,Apuração!A:A,Apuração!B:B),0)</f>
        <v>0</v>
      </c>
      <c r="BM2009" s="55" cm="1">
        <f t="array" ref="BM2009">IFERROR(
   INDEX($AW$1:$BH$1,
      _xlfn.AGGREGATE(14, 6, COLUMN($AW$1:$BH$1)/(AW2009:BH2009&lt;&gt;""), 2) - COLUMN($AW$1) + 1
   ),
"")</f>
        <v>46082</v>
      </c>
      <c r="BN2009" s="55" cm="1">
        <f t="array" ref="BN2009">IFERROR(INDEX($AW$1:$BH$1,1,MATCH(2,1/(AW2009:BH2009&lt;&gt;""))),"")</f>
        <v>46113</v>
      </c>
      <c r="BO2009" s="53">
        <f ca="1">IFERROR(_xlfn.XLOOKUP(F2009,Apuração!A:A,Apuração!C:C)/_xlfn.XLOOKUP(F2009,Apuração!A:A,Apuração!B:B),0)</f>
        <v>0</v>
      </c>
      <c r="BP2009" s="53">
        <f ca="1">IFERROR(_xlfn.XLOOKUP(F2009,Apuração!A:A,Apuração!D:D)/_xlfn.XLOOKUP(F2009,Apuração!A:A,Apuração!B:B),0)</f>
        <v>0</v>
      </c>
      <c r="BQ2009" s="53">
        <f ca="1">IF(BK2009&gt;=BO2009,0,_xlfn.XLOOKUP(F2009,Apuração!A:A,Apuração!B:B)*(BO2009 + (1/_xlfn.XLOOKUP(F2009,Apuração!A:A,Apuração!B:B)) - BK2009))</f>
        <v>0</v>
      </c>
      <c r="BR2009" s="85">
        <f t="shared" ref="BR2009:BR2012" ca="1" si="2354">IF(BQ2009=0,0,BQ2009*Z2009)</f>
        <v>0</v>
      </c>
      <c r="BS2009" s="53">
        <f ca="1">IFERROR((_xlfn.XLOOKUP(F2009,Apuração!A:A,Apuração!C:C)+1)/_xlfn.XLOOKUP(F2009,Apuração!A:A,Apuração!B:B),0)</f>
        <v>0.14285714285714285</v>
      </c>
    </row>
    <row r="2010" spans="1:71" ht="25.95" hidden="1" customHeight="1" x14ac:dyDescent="0.3">
      <c r="A2010" s="39" t="s">
        <v>33</v>
      </c>
      <c r="B2010" s="4" t="s">
        <v>84</v>
      </c>
      <c r="C2010" s="5" t="s">
        <v>216</v>
      </c>
      <c r="D2010" s="5" t="s">
        <v>103</v>
      </c>
      <c r="E2010" s="4" t="s">
        <v>96</v>
      </c>
      <c r="F2010" s="4" t="str" cm="1">
        <f t="array" ref="F2010">_xlfn.IFS(
AG2010 &lt;&gt; "", "Jan-Dez/26",
AH2010 &lt;&gt; "", "Fev-Dez/26",
AI2010 &lt;&gt; "", "Mar-Dez/26", AJ2010 &lt;&gt; "", "Abr-Dez/26",
TRUE, "A partir de Junho"
)</f>
        <v>A partir de Junho</v>
      </c>
      <c r="G2010" s="4" t="s">
        <v>62</v>
      </c>
      <c r="H2010" s="7" t="s">
        <v>38</v>
      </c>
      <c r="I2010" s="9" t="s">
        <v>76</v>
      </c>
      <c r="J2010" s="8" t="str" cm="1">
        <f t="array" aca="1" ref="J2010" ca="1">_xlfn.LET(
  _xlpm.actual_value_month, INDEX(T2010:AE2010, MATCH(DATE(YEAR(TODAY()), MONTH(TODAY()), 1), $T$1:$AE$1, 0)),
  IF(_xlpm.actual_value_month &lt;&gt; "",_xlpm.actual_value_month &amp; " ações mensais", "")
)</f>
        <v/>
      </c>
      <c r="K2010" s="14" t="str" cm="1">
        <f t="array" ref="K2010">_xlfn.LET(
    _xlpm.sum_month, SUM(T2010:AE2010),
    IF(_xlpm.sum_month = 0, "", _xlpm.sum_month &amp; " público impactado no ano.")
)</f>
        <v/>
      </c>
      <c r="L2010" s="9" t="s">
        <v>76</v>
      </c>
      <c r="M2010" s="13">
        <v>1</v>
      </c>
      <c r="N2010" s="5" t="s">
        <v>51</v>
      </c>
      <c r="O2010" s="5" t="s">
        <v>52</v>
      </c>
      <c r="P2010" s="10" t="s">
        <v>44</v>
      </c>
      <c r="Q2010" s="10" t="s">
        <v>44</v>
      </c>
      <c r="R2010" s="11" t="s">
        <v>44</v>
      </c>
      <c r="S2010" s="11" t="s">
        <v>44</v>
      </c>
      <c r="T2010" s="22"/>
      <c r="U2010" s="22"/>
      <c r="V2010" s="22"/>
      <c r="W2010" s="22"/>
      <c r="X2010" s="22"/>
      <c r="Y2010" s="22"/>
      <c r="Z2010" s="22"/>
      <c r="AA2010" s="22"/>
      <c r="AB2010" s="22"/>
      <c r="AC2010" s="22"/>
      <c r="AD2010" s="22"/>
      <c r="AE2010" s="22"/>
      <c r="AG2010" s="71"/>
      <c r="AH2010" s="71"/>
      <c r="AI2010" s="71"/>
      <c r="AJ2010" s="71"/>
      <c r="AK2010" s="71"/>
      <c r="AL2010" s="71"/>
      <c r="AM2010" s="71"/>
      <c r="AN2010" s="71"/>
      <c r="AO2010" s="71"/>
      <c r="AP2010" s="71"/>
      <c r="AQ2010" s="71"/>
      <c r="AR2010" s="71"/>
      <c r="AS2010" s="94">
        <f t="shared" ca="1" si="2346"/>
        <v>0</v>
      </c>
      <c r="AT2010" s="95">
        <f t="shared" si="2347"/>
        <v>0</v>
      </c>
      <c r="AU2010" s="97">
        <f t="shared" si="2348"/>
        <v>0</v>
      </c>
      <c r="AW2010" s="83">
        <f t="shared" si="2349"/>
        <v>0</v>
      </c>
      <c r="AX2010" s="83">
        <f t="shared" si="2350"/>
        <v>0</v>
      </c>
      <c r="AY2010" s="83">
        <f t="shared" si="2351"/>
        <v>0</v>
      </c>
      <c r="AZ2010" s="83">
        <f t="shared" si="2352"/>
        <v>0</v>
      </c>
      <c r="BA2010" s="52"/>
      <c r="BB2010" s="52"/>
      <c r="BC2010" s="52"/>
      <c r="BD2010" s="52"/>
      <c r="BE2010" s="52"/>
      <c r="BF2010" s="52"/>
      <c r="BG2010" s="52"/>
      <c r="BH2010" s="52"/>
      <c r="BI2010" s="68" cm="1">
        <f t="array" ref="BI2010">IFERROR(INDEX(AW2010:BH2010,1,MATCH(2,1/(AW2010:BH2010&lt;&gt;""))),"")</f>
        <v>0</v>
      </c>
      <c r="BJ2010" s="68" cm="1">
        <f t="array" ref="BJ2010">IF(BM2010 = "", "",IFERROR(INDEX(AW2010:BH2010,1,MATCH(2,1/(AW2010:BH2010&lt;&gt;""),1)-1),""))</f>
        <v>0</v>
      </c>
      <c r="BK2010" s="59">
        <f t="shared" si="2353"/>
        <v>0</v>
      </c>
      <c r="BL2010" s="59" cm="1">
        <f t="array" ref="BL2010">IFERROR(SUM(AW2010:INDEX(AW2010:BH2010, MATCH(2, 1/(AW2010:BH2010&lt;&gt;""), 1) - 1))/_xlfn.XLOOKUP(F2010,Apuração!A:A,Apuração!B:B),0)</f>
        <v>0</v>
      </c>
      <c r="BM2010" s="55" cm="1">
        <f t="array" ref="BM2010">IFERROR(
   INDEX($AW$1:$BH$1,
      _xlfn.AGGREGATE(14, 6, COLUMN($AW$1:$BH$1)/(AW2010:BH2010&lt;&gt;""), 2) - COLUMN($AW$1) + 1
   ),
"")</f>
        <v>46082</v>
      </c>
      <c r="BN2010" s="55" cm="1">
        <f t="array" ref="BN2010">IFERROR(INDEX($AW$1:$BH$1,1,MATCH(2,1/(AW2010:BH2010&lt;&gt;""))),"")</f>
        <v>46113</v>
      </c>
      <c r="BO2010" s="53">
        <f ca="1">IFERROR(_xlfn.XLOOKUP(F2010,Apuração!A:A,Apuração!C:C)/_xlfn.XLOOKUP(F2010,Apuração!A:A,Apuração!B:B),0)</f>
        <v>0</v>
      </c>
      <c r="BP2010" s="53">
        <f ca="1">IFERROR(_xlfn.XLOOKUP(F2010,Apuração!A:A,Apuração!D:D)/_xlfn.XLOOKUP(F2010,Apuração!A:A,Apuração!B:B),0)</f>
        <v>0</v>
      </c>
      <c r="BQ2010" s="53">
        <f ca="1">IF(BK2010&gt;=BO2010,0,_xlfn.XLOOKUP(F2010,Apuração!A:A,Apuração!B:B)*(BO2010 + (1/_xlfn.XLOOKUP(F2010,Apuração!A:A,Apuração!B:B)) - BK2010))</f>
        <v>0</v>
      </c>
      <c r="BR2010" s="85">
        <f t="shared" ca="1" si="2354"/>
        <v>0</v>
      </c>
      <c r="BS2010" s="53">
        <f ca="1">IFERROR((_xlfn.XLOOKUP(F2010,Apuração!A:A,Apuração!C:C)+1)/_xlfn.XLOOKUP(F2010,Apuração!A:A,Apuração!B:B),0)</f>
        <v>0.14285714285714285</v>
      </c>
    </row>
    <row r="2011" spans="1:71" ht="25.95" hidden="1" customHeight="1" x14ac:dyDescent="0.3">
      <c r="A2011" s="39" t="s">
        <v>33</v>
      </c>
      <c r="B2011" s="4" t="s">
        <v>84</v>
      </c>
      <c r="C2011" s="5" t="s">
        <v>216</v>
      </c>
      <c r="D2011" s="5" t="s">
        <v>218</v>
      </c>
      <c r="E2011" s="4" t="s">
        <v>96</v>
      </c>
      <c r="F2011" s="4" t="str" cm="1">
        <f t="array" ref="F2011">_xlfn.IFS(
AG2011 &lt;&gt; "", "Jan-Dez/26",
AH2011 &lt;&gt; "", "Fev-Dez/26",
AI2011 &lt;&gt; "", "Mar-Dez/26", AJ2011 &lt;&gt; "", "Abr-Dez/26",
TRUE, "A partir de Junho"
)</f>
        <v>A partir de Junho</v>
      </c>
      <c r="G2011" s="4" t="s">
        <v>62</v>
      </c>
      <c r="H2011" s="7" t="s">
        <v>38</v>
      </c>
      <c r="I2011" s="9" t="s">
        <v>76</v>
      </c>
      <c r="J2011" s="8" t="str" cm="1">
        <f t="array" aca="1" ref="J2011" ca="1">_xlfn.LET(
  _xlpm.actual_value_month, INDEX(T2011:AE2011, MATCH(DATE(YEAR(TODAY()), MONTH(TODAY()), 1), $T$1:$AE$1, 0)),
  IF(_xlpm.actual_value_month &lt;&gt; "",_xlpm.actual_value_month &amp; " ações mensais", "")
)</f>
        <v/>
      </c>
      <c r="K2011" s="14" t="str" cm="1">
        <f t="array" ref="K2011">_xlfn.LET(
    _xlpm.sum_month, SUM(T2011:AE2011),
    IF(_xlpm.sum_month = 0, "", _xlpm.sum_month &amp; " público impactado no ano.")
)</f>
        <v/>
      </c>
      <c r="L2011" s="9" t="s">
        <v>76</v>
      </c>
      <c r="M2011" s="13">
        <v>1</v>
      </c>
      <c r="N2011" s="5" t="s">
        <v>51</v>
      </c>
      <c r="O2011" s="5" t="s">
        <v>52</v>
      </c>
      <c r="P2011" s="10" t="s">
        <v>44</v>
      </c>
      <c r="Q2011" s="10" t="s">
        <v>44</v>
      </c>
      <c r="R2011" s="11" t="s">
        <v>44</v>
      </c>
      <c r="S2011" s="11" t="s">
        <v>44</v>
      </c>
      <c r="T2011" s="22"/>
      <c r="U2011" s="22"/>
      <c r="V2011" s="22"/>
      <c r="W2011" s="22"/>
      <c r="X2011" s="22"/>
      <c r="Y2011" s="22"/>
      <c r="Z2011" s="22"/>
      <c r="AA2011" s="22"/>
      <c r="AB2011" s="22"/>
      <c r="AC2011" s="22"/>
      <c r="AD2011" s="22"/>
      <c r="AE2011" s="22"/>
      <c r="AG2011" s="71"/>
      <c r="AH2011" s="71"/>
      <c r="AI2011" s="71"/>
      <c r="AJ2011" s="71"/>
      <c r="AK2011" s="71"/>
      <c r="AL2011" s="71"/>
      <c r="AM2011" s="71"/>
      <c r="AN2011" s="71"/>
      <c r="AO2011" s="71"/>
      <c r="AP2011" s="71"/>
      <c r="AQ2011" s="71"/>
      <c r="AR2011" s="71"/>
      <c r="AS2011" s="94">
        <f t="shared" ca="1" si="2346"/>
        <v>0</v>
      </c>
      <c r="AT2011" s="95">
        <f t="shared" si="2347"/>
        <v>0</v>
      </c>
      <c r="AU2011" s="97">
        <f t="shared" si="2348"/>
        <v>0</v>
      </c>
      <c r="AW2011" s="83">
        <f t="shared" si="2349"/>
        <v>0</v>
      </c>
      <c r="AX2011" s="83">
        <f t="shared" si="2350"/>
        <v>0</v>
      </c>
      <c r="AY2011" s="83">
        <f t="shared" si="2351"/>
        <v>0</v>
      </c>
      <c r="AZ2011" s="83">
        <f t="shared" si="2352"/>
        <v>0</v>
      </c>
      <c r="BA2011" s="52"/>
      <c r="BB2011" s="52"/>
      <c r="BC2011" s="52"/>
      <c r="BD2011" s="52"/>
      <c r="BE2011" s="52"/>
      <c r="BF2011" s="52"/>
      <c r="BG2011" s="52"/>
      <c r="BH2011" s="52"/>
      <c r="BI2011" s="68" cm="1">
        <f t="array" ref="BI2011">IFERROR(INDEX(AW2011:BH2011,1,MATCH(2,1/(AW2011:BH2011&lt;&gt;""))),"")</f>
        <v>0</v>
      </c>
      <c r="BJ2011" s="68" cm="1">
        <f t="array" ref="BJ2011">IF(BM2011 = "", "",IFERROR(INDEX(AW2011:BH2011,1,MATCH(2,1/(AW2011:BH2011&lt;&gt;""),1)-1),""))</f>
        <v>0</v>
      </c>
      <c r="BK2011" s="59">
        <f t="shared" si="2353"/>
        <v>0</v>
      </c>
      <c r="BL2011" s="59" cm="1">
        <f t="array" ref="BL2011">IFERROR(SUM(AW2011:INDEX(AW2011:BH2011, MATCH(2, 1/(AW2011:BH2011&lt;&gt;""), 1) - 1))/_xlfn.XLOOKUP(F2011,Apuração!A:A,Apuração!B:B),0)</f>
        <v>0</v>
      </c>
      <c r="BM2011" s="55" cm="1">
        <f t="array" ref="BM2011">IFERROR(
   INDEX($AW$1:$BH$1,
      _xlfn.AGGREGATE(14, 6, COLUMN($AW$1:$BH$1)/(AW2011:BH2011&lt;&gt;""), 2) - COLUMN($AW$1) + 1
   ),
"")</f>
        <v>46082</v>
      </c>
      <c r="BN2011" s="55" cm="1">
        <f t="array" ref="BN2011">IFERROR(INDEX($AW$1:$BH$1,1,MATCH(2,1/(AW2011:BH2011&lt;&gt;""))),"")</f>
        <v>46113</v>
      </c>
      <c r="BO2011" s="53">
        <f ca="1">IFERROR(_xlfn.XLOOKUP(F2011,Apuração!A:A,Apuração!C:C)/_xlfn.XLOOKUP(F2011,Apuração!A:A,Apuração!B:B),0)</f>
        <v>0</v>
      </c>
      <c r="BP2011" s="53">
        <f ca="1">IFERROR(_xlfn.XLOOKUP(F2011,Apuração!A:A,Apuração!D:D)/_xlfn.XLOOKUP(F2011,Apuração!A:A,Apuração!B:B),0)</f>
        <v>0</v>
      </c>
      <c r="BQ2011" s="53">
        <f ca="1">IF(BK2011&gt;=BO2011,0,_xlfn.XLOOKUP(F2011,Apuração!A:A,Apuração!B:B)*(BO2011 + (1/_xlfn.XLOOKUP(F2011,Apuração!A:A,Apuração!B:B)) - BK2011))</f>
        <v>0</v>
      </c>
      <c r="BR2011" s="85">
        <f t="shared" ca="1" si="2354"/>
        <v>0</v>
      </c>
      <c r="BS2011" s="53">
        <f ca="1">IFERROR((_xlfn.XLOOKUP(F2011,Apuração!A:A,Apuração!C:C)+1)/_xlfn.XLOOKUP(F2011,Apuração!A:A,Apuração!B:B),0)</f>
        <v>0.14285714285714285</v>
      </c>
    </row>
    <row r="2012" spans="1:71" ht="25.95" hidden="1" customHeight="1" x14ac:dyDescent="0.3">
      <c r="A2012" s="39" t="s">
        <v>33</v>
      </c>
      <c r="B2012" s="4" t="s">
        <v>84</v>
      </c>
      <c r="C2012" s="5" t="s">
        <v>216</v>
      </c>
      <c r="D2012" s="5" t="s">
        <v>219</v>
      </c>
      <c r="E2012" s="4" t="s">
        <v>96</v>
      </c>
      <c r="F2012" s="4" t="str" cm="1">
        <f t="array" ref="F2012">_xlfn.IFS(
AG2012 &lt;&gt; "", "Jan-Dez/26",
AH2012 &lt;&gt; "", "Fev-Dez/26",
AI2012 &lt;&gt; "", "Mar-Dez/26", AJ2012 &lt;&gt; "", "Abr-Dez/26",
TRUE, "A partir de Junho"
)</f>
        <v>A partir de Junho</v>
      </c>
      <c r="G2012" s="4" t="s">
        <v>62</v>
      </c>
      <c r="H2012" s="7" t="s">
        <v>38</v>
      </c>
      <c r="I2012" s="9" t="s">
        <v>76</v>
      </c>
      <c r="J2012" s="8" t="str" cm="1">
        <f t="array" aca="1" ref="J2012" ca="1">_xlfn.LET(
  _xlpm.actual_value_month, INDEX(T2012:AE2012, MATCH(DATE(YEAR(TODAY()), MONTH(TODAY()), 1), $T$1:$AE$1, 0)),
  IF(_xlpm.actual_value_month &lt;&gt; "",_xlpm.actual_value_month &amp; " ações mensais", "")
)</f>
        <v/>
      </c>
      <c r="K2012" s="14" t="str" cm="1">
        <f t="array" ref="K2012">_xlfn.LET(
    _xlpm.sum_month, SUM(T2012:AE2012),
    IF(_xlpm.sum_month = 0, "", _xlpm.sum_month &amp; " público impactado no ano.")
)</f>
        <v/>
      </c>
      <c r="L2012" s="9" t="s">
        <v>76</v>
      </c>
      <c r="M2012" s="13">
        <v>1</v>
      </c>
      <c r="N2012" s="5" t="s">
        <v>51</v>
      </c>
      <c r="O2012" s="5" t="s">
        <v>52</v>
      </c>
      <c r="P2012" s="10" t="s">
        <v>44</v>
      </c>
      <c r="Q2012" s="10" t="s">
        <v>44</v>
      </c>
      <c r="R2012" s="11" t="s">
        <v>44</v>
      </c>
      <c r="S2012" s="11" t="s">
        <v>44</v>
      </c>
      <c r="T2012" s="22"/>
      <c r="U2012" s="22"/>
      <c r="V2012" s="22"/>
      <c r="W2012" s="22"/>
      <c r="X2012" s="22"/>
      <c r="Y2012" s="22"/>
      <c r="Z2012" s="22"/>
      <c r="AA2012" s="22"/>
      <c r="AB2012" s="22"/>
      <c r="AC2012" s="22"/>
      <c r="AD2012" s="22"/>
      <c r="AE2012" s="22"/>
      <c r="AG2012" s="71"/>
      <c r="AH2012" s="71"/>
      <c r="AI2012" s="71"/>
      <c r="AJ2012" s="71"/>
      <c r="AK2012" s="71"/>
      <c r="AL2012" s="71"/>
      <c r="AM2012" s="71"/>
      <c r="AN2012" s="71"/>
      <c r="AO2012" s="71"/>
      <c r="AP2012" s="71"/>
      <c r="AQ2012" s="71"/>
      <c r="AR2012" s="71"/>
      <c r="AS2012" s="94">
        <f t="shared" ca="1" si="2346"/>
        <v>0</v>
      </c>
      <c r="AT2012" s="95">
        <f t="shared" si="2347"/>
        <v>0</v>
      </c>
      <c r="AU2012" s="97">
        <f t="shared" si="2348"/>
        <v>0</v>
      </c>
      <c r="AW2012" s="83">
        <f t="shared" si="2349"/>
        <v>0</v>
      </c>
      <c r="AX2012" s="83">
        <f t="shared" si="2350"/>
        <v>0</v>
      </c>
      <c r="AY2012" s="83">
        <f t="shared" si="2351"/>
        <v>0</v>
      </c>
      <c r="AZ2012" s="83">
        <f t="shared" si="2352"/>
        <v>0</v>
      </c>
      <c r="BA2012" s="52"/>
      <c r="BB2012" s="52"/>
      <c r="BC2012" s="52"/>
      <c r="BD2012" s="52"/>
      <c r="BE2012" s="52"/>
      <c r="BF2012" s="52"/>
      <c r="BG2012" s="52"/>
      <c r="BH2012" s="52"/>
      <c r="BI2012" s="68" cm="1">
        <f t="array" ref="BI2012">IFERROR(INDEX(AW2012:BH2012,1,MATCH(2,1/(AW2012:BH2012&lt;&gt;""))),"")</f>
        <v>0</v>
      </c>
      <c r="BJ2012" s="68" cm="1">
        <f t="array" ref="BJ2012">IF(BM2012 = "", "",IFERROR(INDEX(AW2012:BH2012,1,MATCH(2,1/(AW2012:BH2012&lt;&gt;""),1)-1),""))</f>
        <v>0</v>
      </c>
      <c r="BK2012" s="59">
        <f t="shared" si="2353"/>
        <v>0</v>
      </c>
      <c r="BL2012" s="59" cm="1">
        <f t="array" ref="BL2012">IFERROR(SUM(AW2012:INDEX(AW2012:BH2012, MATCH(2, 1/(AW2012:BH2012&lt;&gt;""), 1) - 1))/_xlfn.XLOOKUP(F2012,Apuração!A:A,Apuração!B:B),0)</f>
        <v>0</v>
      </c>
      <c r="BM2012" s="55" cm="1">
        <f t="array" ref="BM2012">IFERROR(
   INDEX($AW$1:$BH$1,
      _xlfn.AGGREGATE(14, 6, COLUMN($AW$1:$BH$1)/(AW2012:BH2012&lt;&gt;""), 2) - COLUMN($AW$1) + 1
   ),
"")</f>
        <v>46082</v>
      </c>
      <c r="BN2012" s="55" cm="1">
        <f t="array" ref="BN2012">IFERROR(INDEX($AW$1:$BH$1,1,MATCH(2,1/(AW2012:BH2012&lt;&gt;""))),"")</f>
        <v>46113</v>
      </c>
      <c r="BO2012" s="53">
        <f ca="1">IFERROR(_xlfn.XLOOKUP(F2012,Apuração!A:A,Apuração!C:C)/_xlfn.XLOOKUP(F2012,Apuração!A:A,Apuração!B:B),0)</f>
        <v>0</v>
      </c>
      <c r="BP2012" s="53">
        <f ca="1">IFERROR(_xlfn.XLOOKUP(F2012,Apuração!A:A,Apuração!D:D)/_xlfn.XLOOKUP(F2012,Apuração!A:A,Apuração!B:B),0)</f>
        <v>0</v>
      </c>
      <c r="BQ2012" s="53">
        <f ca="1">IF(BK2012&gt;=BO2012,0,_xlfn.XLOOKUP(F2012,Apuração!A:A,Apuração!B:B)*(BO2012 + (1/_xlfn.XLOOKUP(F2012,Apuração!A:A,Apuração!B:B)) - BK2012))</f>
        <v>0</v>
      </c>
      <c r="BR2012" s="85">
        <f t="shared" ca="1" si="2354"/>
        <v>0</v>
      </c>
      <c r="BS2012" s="53">
        <f ca="1">IFERROR((_xlfn.XLOOKUP(F2012,Apuração!A:A,Apuração!C:C)+1)/_xlfn.XLOOKUP(F2012,Apuração!A:A,Apuração!B:B),0)</f>
        <v>0.14285714285714285</v>
      </c>
    </row>
    <row r="2013" spans="1:71" ht="25.95" hidden="1" customHeight="1" x14ac:dyDescent="0.3">
      <c r="A2013" s="40" t="s">
        <v>87</v>
      </c>
      <c r="B2013" s="4" t="s">
        <v>222</v>
      </c>
      <c r="C2013" s="5" t="s">
        <v>216</v>
      </c>
      <c r="D2013" s="5" t="s">
        <v>217</v>
      </c>
      <c r="E2013" s="4" t="str" cm="1">
        <f t="array" ref="E2013">_xlfn.IFS(
F2013 = "A partir de Abril", "Aguardando Execução na Distribuidora",
A2013 = "CAPACITAÇÃO", "Em execução no Corporativo",
TRUE, "Em Execução na Distribuidora"
)</f>
        <v>Em Execução na Distribuidora</v>
      </c>
      <c r="F2013" s="4" t="str" cm="1">
        <f t="array" ref="F2013">_xlfn.IFS(
AG2013 &lt;&gt; "", "Jan-Dez/26",
AH2013 &lt;&gt; "", "Fev-Dez/26",
AI2013 &lt;&gt; "", "Mar-Dez/26", AJ2013 &lt;&gt; "", "Abr-Dez/26",
TRUE, "A partir de Junho"
)</f>
        <v>Jan-Dez/26</v>
      </c>
      <c r="G2013" s="7" t="s">
        <v>37</v>
      </c>
      <c r="H2013" s="7" t="s">
        <v>110</v>
      </c>
      <c r="I2013" s="8" t="s">
        <v>148</v>
      </c>
      <c r="J2013" s="21" t="str" cm="1">
        <f t="array" aca="1" ref="J2013" ca="1">_xlfn.LET(
  _xlpm.actual_value_month, INDEX(T2013:AE2013, MATCH(DATE(YEAR(TODAY()), MONTH(TODAY()), 1), $T$1:$AE$1, 0)),
  IF(_xlpm.actual_value_month &lt;&gt; "",_xlpm.actual_value_month &amp; " ações mensais", "")
)</f>
        <v/>
      </c>
      <c r="K2013" s="8" t="str" cm="1">
        <f t="array" ref="K2013">_xlfn.LET(
    _xlpm.sum_month, SUM(T2013:AE2013),
    IF(_xlpm.sum_month = 0, "", _xlpm.sum_month &amp; " NC's no ano")
)</f>
        <v/>
      </c>
      <c r="L2013" s="9" t="s">
        <v>149</v>
      </c>
      <c r="M2013" s="4"/>
      <c r="N2013" s="5" t="s">
        <v>51</v>
      </c>
      <c r="O2013" s="5" t="s">
        <v>52</v>
      </c>
      <c r="P2013" s="10" t="s">
        <v>44</v>
      </c>
      <c r="Q2013" s="10" t="s">
        <v>44</v>
      </c>
      <c r="R2013" s="11" t="s">
        <v>44</v>
      </c>
      <c r="S2013" s="11" t="s">
        <v>44</v>
      </c>
      <c r="T2013" s="22"/>
      <c r="U2013" s="22"/>
      <c r="V2013" s="22"/>
      <c r="W2013" s="22"/>
      <c r="X2013" s="22"/>
      <c r="Y2013" s="22"/>
      <c r="Z2013" s="22"/>
      <c r="AA2013" s="22"/>
      <c r="AB2013" s="22"/>
      <c r="AC2013" s="22"/>
      <c r="AD2013" s="22"/>
      <c r="AE2013" s="22"/>
      <c r="AG2013" s="145">
        <v>0</v>
      </c>
      <c r="AH2013" s="149">
        <v>3</v>
      </c>
      <c r="AI2013" s="149">
        <v>2</v>
      </c>
      <c r="AJ2013" s="82">
        <v>6</v>
      </c>
      <c r="AK2013" s="71"/>
      <c r="AL2013" s="71"/>
      <c r="AM2013" s="71"/>
      <c r="AN2013" s="71"/>
      <c r="AO2013" s="71"/>
      <c r="AP2013" s="71"/>
      <c r="AQ2013" s="71"/>
      <c r="AR2013" s="71"/>
      <c r="AS2013" s="94">
        <f t="shared" ref="AS2013:AS2016" ca="1" si="2355">IF(MONTH(TODAY())=3,SUM(T2013:U2013),IF(MONTH(TODAY())=4,SUM(T2013:V2013),IF(MONTH(TODAY())=5,SUM(T2013:W2013),IF(MONTH(TODAY())=6,SUM(T2013:X2013),IF(MONTH(TODAY())=7,SUM(T2013:Y2013),IF(MONTH(TODAY())=8,SUM(T2013:Z2013),IF(MONTH(TODAY())=9,SUM(T2013:AA2013),IF(MONTH(TODAY())=10,SUM(T2013:AB2013),IF(MONTH(TODAY())=11,SUM(T2013:AC2013),IF(MONTH(TODAY())=12,SUM(T2013:AD2013),IF(MONTH(TODAY())=1,SUM(T2013:AE2013),T2013)))))))))))</f>
        <v>0</v>
      </c>
      <c r="AT2013" s="95">
        <f t="shared" ref="AT2013:AT2016" si="2356">SUM(AG2013:AR2013)</f>
        <v>11</v>
      </c>
      <c r="AU2013" s="97">
        <f t="shared" ref="AU2013:AU2016" si="2357">SUM(AG2013:AR2013)</f>
        <v>11</v>
      </c>
      <c r="AW2013" s="83">
        <f t="shared" ref="AW2013:AW2016" si="2358">AG2013</f>
        <v>0</v>
      </c>
      <c r="AX2013" s="83">
        <f t="shared" ref="AX2013:AX2016" si="2359">AH2013</f>
        <v>3</v>
      </c>
      <c r="AY2013" s="83">
        <f t="shared" ref="AY2013:AY2016" si="2360">AI2013</f>
        <v>2</v>
      </c>
      <c r="AZ2013" s="83">
        <f t="shared" ref="AZ2013:AZ2016" si="2361">AJ2013</f>
        <v>6</v>
      </c>
      <c r="BA2013" s="52"/>
      <c r="BB2013" s="52"/>
      <c r="BC2013" s="52"/>
      <c r="BD2013" s="52"/>
      <c r="BE2013" s="52"/>
      <c r="BF2013" s="52"/>
      <c r="BG2013" s="52"/>
      <c r="BH2013" s="52"/>
      <c r="BI2013" s="68" cm="1">
        <f t="array" ref="BI2013">IFERROR(INDEX(AW2013:BH2013,1,MATCH(2,1/(AW2013:BH2013&lt;&gt;""))),"")</f>
        <v>6</v>
      </c>
      <c r="BJ2013" s="68" cm="1">
        <f t="array" ref="BJ2013">IF(BM2013 = "", "",IFERROR(INDEX(AW2013:BH2013,1,MATCH(2,1/(AW2013:BH2013&lt;&gt;""),1)-1),""))</f>
        <v>2</v>
      </c>
      <c r="BK2013" s="59">
        <f t="shared" ref="BK2013:BK2016" si="2362">SUM(AW2013:BH2013)</f>
        <v>11</v>
      </c>
      <c r="BL2013" s="59" cm="1">
        <f t="array" ref="BL2013">IFERROR(SUM(AW2013:INDEX(AW2013:BH2013, MATCH(2, 1/(AW2013:BH2013&lt;&gt;""), 1) - 1))/_xlfn.XLOOKUP(F2013,Apuração!A:A,Apuração!B:B),0)</f>
        <v>0.41666666666666669</v>
      </c>
      <c r="BM2013" s="55" cm="1">
        <f t="array" ref="BM2013">IFERROR(
   INDEX($AW$1:$BH$1,
      _xlfn.AGGREGATE(14, 6, COLUMN($AW$1:$BH$1)/(AW2013:BH2013&lt;&gt;""), 2) - COLUMN($AW$1) + 1
   ),
"")</f>
        <v>46082</v>
      </c>
      <c r="BN2013" s="55" cm="1">
        <f t="array" ref="BN2013">IFERROR(INDEX($AW$1:$BH$1,1,MATCH(2,1/(AW2013:BH2013&lt;&gt;""))),"")</f>
        <v>46113</v>
      </c>
      <c r="BO2013" s="53">
        <f ca="1">IFERROR(_xlfn.XLOOKUP(F2013,Apuração!A:A,Apuração!C:C)/_xlfn.XLOOKUP(F2013,Apuração!A:A,Apuração!B:B),0)</f>
        <v>0.41666666666666669</v>
      </c>
      <c r="BP2013" s="53">
        <f ca="1">IFERROR(_xlfn.XLOOKUP(F2013,Apuração!A:A,Apuração!D:D)/_xlfn.XLOOKUP(F2013,Apuração!A:A,Apuração!B:B),0)</f>
        <v>0.33333333333333331</v>
      </c>
      <c r="BQ2013" s="53">
        <f ca="1">IF(BK2013&gt;=BO2013,0,_xlfn.XLOOKUP(F2013,Apuração!A:A,Apuração!B:B)*(BO2013 + (1/_xlfn.XLOOKUP(F2013,Apuração!A:A,Apuração!B:B)) - BK2013))</f>
        <v>0</v>
      </c>
      <c r="BR2013" s="85">
        <f t="shared" ref="BR2013:BR2016" ca="1" si="2363">IF(BQ2013=0,0,BQ2013*Z2013)</f>
        <v>0</v>
      </c>
      <c r="BS2013" s="53">
        <f ca="1">IFERROR((_xlfn.XLOOKUP(F2013,Apuração!A:A,Apuração!C:C)+1)/_xlfn.XLOOKUP(F2013,Apuração!A:A,Apuração!B:B),0)</f>
        <v>0.5</v>
      </c>
    </row>
    <row r="2014" spans="1:71" ht="25.95" hidden="1" customHeight="1" x14ac:dyDescent="0.3">
      <c r="A2014" s="40" t="s">
        <v>87</v>
      </c>
      <c r="B2014" s="4" t="s">
        <v>222</v>
      </c>
      <c r="C2014" s="5" t="s">
        <v>216</v>
      </c>
      <c r="D2014" s="5" t="s">
        <v>103</v>
      </c>
      <c r="E2014" s="4" t="str" cm="1">
        <f t="array" ref="E2014">_xlfn.IFS(
F2014 = "A partir de Abril", "Aguardando Execução na Distribuidora",
A2014 = "CAPACITAÇÃO", "Em execução no Corporativo",
TRUE, "Em Execução na Distribuidora"
)</f>
        <v>Em Execução na Distribuidora</v>
      </c>
      <c r="F2014" s="4" t="str" cm="1">
        <f t="array" ref="F2014">_xlfn.IFS(
AG2014 &lt;&gt; "", "Jan-Dez/26",
AH2014 &lt;&gt; "", "Fev-Dez/26",
AI2014 &lt;&gt; "", "Mar-Dez/26", AJ2014 &lt;&gt; "", "Abr-Dez/26",
TRUE, "A partir de Junho"
)</f>
        <v>Jan-Dez/26</v>
      </c>
      <c r="G2014" s="7" t="s">
        <v>37</v>
      </c>
      <c r="H2014" s="7" t="s">
        <v>110</v>
      </c>
      <c r="I2014" s="8" t="s">
        <v>148</v>
      </c>
      <c r="J2014" s="21" t="str" cm="1">
        <f t="array" aca="1" ref="J2014" ca="1">_xlfn.LET(
  _xlpm.actual_value_month, INDEX(T2014:AE2014, MATCH(DATE(YEAR(TODAY()), MONTH(TODAY()), 1), $T$1:$AE$1, 0)),
  IF(_xlpm.actual_value_month &lt;&gt; "",_xlpm.actual_value_month &amp; " ações mensais", "")
)</f>
        <v/>
      </c>
      <c r="K2014" s="8" t="str" cm="1">
        <f t="array" ref="K2014">_xlfn.LET(
    _xlpm.sum_month, SUM(T2014:AE2014),
    IF(_xlpm.sum_month = 0, "", _xlpm.sum_month &amp; " NC's no ano")
)</f>
        <v/>
      </c>
      <c r="L2014" s="9" t="s">
        <v>149</v>
      </c>
      <c r="M2014" s="4"/>
      <c r="N2014" s="5" t="s">
        <v>51</v>
      </c>
      <c r="O2014" s="5" t="s">
        <v>52</v>
      </c>
      <c r="P2014" s="10" t="s">
        <v>44</v>
      </c>
      <c r="Q2014" s="10" t="s">
        <v>44</v>
      </c>
      <c r="R2014" s="11" t="s">
        <v>44</v>
      </c>
      <c r="S2014" s="11" t="s">
        <v>44</v>
      </c>
      <c r="T2014" s="22"/>
      <c r="U2014" s="22"/>
      <c r="V2014" s="22"/>
      <c r="W2014" s="22"/>
      <c r="X2014" s="22"/>
      <c r="Y2014" s="22"/>
      <c r="Z2014" s="22"/>
      <c r="AA2014" s="22"/>
      <c r="AB2014" s="22"/>
      <c r="AC2014" s="22"/>
      <c r="AD2014" s="22"/>
      <c r="AE2014" s="22"/>
      <c r="AG2014" s="146">
        <v>1</v>
      </c>
      <c r="AH2014" s="150">
        <v>1</v>
      </c>
      <c r="AI2014" s="150">
        <v>0</v>
      </c>
      <c r="AJ2014" s="82">
        <v>1</v>
      </c>
      <c r="AK2014" s="71"/>
      <c r="AL2014" s="71"/>
      <c r="AM2014" s="71"/>
      <c r="AN2014" s="71"/>
      <c r="AO2014" s="71"/>
      <c r="AP2014" s="71"/>
      <c r="AQ2014" s="71"/>
      <c r="AR2014" s="71"/>
      <c r="AS2014" s="94">
        <f t="shared" ca="1" si="2355"/>
        <v>0</v>
      </c>
      <c r="AT2014" s="95">
        <f t="shared" si="2356"/>
        <v>3</v>
      </c>
      <c r="AU2014" s="97">
        <f t="shared" si="2357"/>
        <v>3</v>
      </c>
      <c r="AW2014" s="83">
        <f t="shared" si="2358"/>
        <v>1</v>
      </c>
      <c r="AX2014" s="83">
        <f t="shared" si="2359"/>
        <v>1</v>
      </c>
      <c r="AY2014" s="83">
        <f t="shared" si="2360"/>
        <v>0</v>
      </c>
      <c r="AZ2014" s="83">
        <f t="shared" si="2361"/>
        <v>1</v>
      </c>
      <c r="BA2014" s="52"/>
      <c r="BB2014" s="52"/>
      <c r="BC2014" s="52"/>
      <c r="BD2014" s="52"/>
      <c r="BE2014" s="52"/>
      <c r="BF2014" s="52"/>
      <c r="BG2014" s="52"/>
      <c r="BH2014" s="52"/>
      <c r="BI2014" s="68" cm="1">
        <f t="array" ref="BI2014">IFERROR(INDEX(AW2014:BH2014,1,MATCH(2,1/(AW2014:BH2014&lt;&gt;""))),"")</f>
        <v>1</v>
      </c>
      <c r="BJ2014" s="68" cm="1">
        <f t="array" ref="BJ2014">IF(BM2014 = "", "",IFERROR(INDEX(AW2014:BH2014,1,MATCH(2,1/(AW2014:BH2014&lt;&gt;""),1)-1),""))</f>
        <v>0</v>
      </c>
      <c r="BK2014" s="59">
        <f t="shared" si="2362"/>
        <v>3</v>
      </c>
      <c r="BL2014" s="59" cm="1">
        <f t="array" ref="BL2014">IFERROR(SUM(AW2014:INDEX(AW2014:BH2014, MATCH(2, 1/(AW2014:BH2014&lt;&gt;""), 1) - 1))/_xlfn.XLOOKUP(F2014,Apuração!A:A,Apuração!B:B),0)</f>
        <v>0.16666666666666666</v>
      </c>
      <c r="BM2014" s="55" cm="1">
        <f t="array" ref="BM2014">IFERROR(
   INDEX($AW$1:$BH$1,
      _xlfn.AGGREGATE(14, 6, COLUMN($AW$1:$BH$1)/(AW2014:BH2014&lt;&gt;""), 2) - COLUMN($AW$1) + 1
   ),
"")</f>
        <v>46082</v>
      </c>
      <c r="BN2014" s="55" cm="1">
        <f t="array" ref="BN2014">IFERROR(INDEX($AW$1:$BH$1,1,MATCH(2,1/(AW2014:BH2014&lt;&gt;""))),"")</f>
        <v>46113</v>
      </c>
      <c r="BO2014" s="53">
        <f ca="1">IFERROR(_xlfn.XLOOKUP(F2014,Apuração!A:A,Apuração!C:C)/_xlfn.XLOOKUP(F2014,Apuração!A:A,Apuração!B:B),0)</f>
        <v>0.41666666666666669</v>
      </c>
      <c r="BP2014" s="53">
        <f ca="1">IFERROR(_xlfn.XLOOKUP(F2014,Apuração!A:A,Apuração!D:D)/_xlfn.XLOOKUP(F2014,Apuração!A:A,Apuração!B:B),0)</f>
        <v>0.33333333333333331</v>
      </c>
      <c r="BQ2014" s="53">
        <f ca="1">IF(BK2014&gt;=BO2014,0,_xlfn.XLOOKUP(F2014,Apuração!A:A,Apuração!B:B)*(BO2014 + (1/_xlfn.XLOOKUP(F2014,Apuração!A:A,Apuração!B:B)) - BK2014))</f>
        <v>0</v>
      </c>
      <c r="BR2014" s="85">
        <f t="shared" ca="1" si="2363"/>
        <v>0</v>
      </c>
      <c r="BS2014" s="53">
        <f ca="1">IFERROR((_xlfn.XLOOKUP(F2014,Apuração!A:A,Apuração!C:C)+1)/_xlfn.XLOOKUP(F2014,Apuração!A:A,Apuração!B:B),0)</f>
        <v>0.5</v>
      </c>
    </row>
    <row r="2015" spans="1:71" ht="25.95" hidden="1" customHeight="1" x14ac:dyDescent="0.3">
      <c r="A2015" s="40" t="s">
        <v>87</v>
      </c>
      <c r="B2015" s="4" t="s">
        <v>222</v>
      </c>
      <c r="C2015" s="5" t="s">
        <v>216</v>
      </c>
      <c r="D2015" s="5" t="s">
        <v>218</v>
      </c>
      <c r="E2015" s="4" t="str" cm="1">
        <f t="array" ref="E2015">_xlfn.IFS(
F2015 = "A partir de Abril", "Aguardando Execução na Distribuidora",
A2015 = "CAPACITAÇÃO", "Em execução no Corporativo",
TRUE, "Em Execução na Distribuidora"
)</f>
        <v>Em Execução na Distribuidora</v>
      </c>
      <c r="F2015" s="4" t="str" cm="1">
        <f t="array" ref="F2015">_xlfn.IFS(
AG2015 &lt;&gt; "", "Jan-Dez/26",
AH2015 &lt;&gt; "", "Fev-Dez/26",
AI2015 &lt;&gt; "", "Mar-Dez/26", AJ2015 &lt;&gt; "", "Abr-Dez/26",
TRUE, "A partir de Junho"
)</f>
        <v>Jan-Dez/26</v>
      </c>
      <c r="G2015" s="7" t="s">
        <v>37</v>
      </c>
      <c r="H2015" s="7" t="s">
        <v>110</v>
      </c>
      <c r="I2015" s="8" t="s">
        <v>148</v>
      </c>
      <c r="J2015" s="21" t="str" cm="1">
        <f t="array" aca="1" ref="J2015" ca="1">_xlfn.LET(
  _xlpm.actual_value_month, INDEX(T2015:AE2015, MATCH(DATE(YEAR(TODAY()), MONTH(TODAY()), 1), $T$1:$AE$1, 0)),
  IF(_xlpm.actual_value_month &lt;&gt; "",_xlpm.actual_value_month &amp; " ações mensais", "")
)</f>
        <v/>
      </c>
      <c r="K2015" s="8" t="str" cm="1">
        <f t="array" ref="K2015">_xlfn.LET(
    _xlpm.sum_month, SUM(T2015:AE2015),
    IF(_xlpm.sum_month = 0, "", _xlpm.sum_month &amp; " NC's no ano")
)</f>
        <v/>
      </c>
      <c r="L2015" s="9" t="s">
        <v>149</v>
      </c>
      <c r="M2015" s="4"/>
      <c r="N2015" s="5" t="s">
        <v>51</v>
      </c>
      <c r="O2015" s="5" t="s">
        <v>52</v>
      </c>
      <c r="P2015" s="10" t="s">
        <v>44</v>
      </c>
      <c r="Q2015" s="10" t="s">
        <v>44</v>
      </c>
      <c r="R2015" s="11" t="s">
        <v>44</v>
      </c>
      <c r="S2015" s="11" t="s">
        <v>44</v>
      </c>
      <c r="T2015" s="22"/>
      <c r="U2015" s="22"/>
      <c r="V2015" s="22"/>
      <c r="W2015" s="22"/>
      <c r="X2015" s="22"/>
      <c r="Y2015" s="22"/>
      <c r="Z2015" s="22"/>
      <c r="AA2015" s="22"/>
      <c r="AB2015" s="22"/>
      <c r="AC2015" s="22"/>
      <c r="AD2015" s="22"/>
      <c r="AE2015" s="22"/>
      <c r="AG2015" s="146">
        <v>1</v>
      </c>
      <c r="AH2015" s="150">
        <v>1</v>
      </c>
      <c r="AI2015" s="150">
        <v>3</v>
      </c>
      <c r="AJ2015" s="82">
        <v>10</v>
      </c>
      <c r="AK2015" s="71"/>
      <c r="AL2015" s="71"/>
      <c r="AM2015" s="71"/>
      <c r="AN2015" s="71"/>
      <c r="AO2015" s="71"/>
      <c r="AP2015" s="71"/>
      <c r="AQ2015" s="71"/>
      <c r="AR2015" s="71"/>
      <c r="AS2015" s="94">
        <f t="shared" ca="1" si="2355"/>
        <v>0</v>
      </c>
      <c r="AT2015" s="95">
        <f t="shared" si="2356"/>
        <v>15</v>
      </c>
      <c r="AU2015" s="97">
        <f t="shared" si="2357"/>
        <v>15</v>
      </c>
      <c r="AW2015" s="83">
        <f t="shared" si="2358"/>
        <v>1</v>
      </c>
      <c r="AX2015" s="83">
        <f t="shared" si="2359"/>
        <v>1</v>
      </c>
      <c r="AY2015" s="83">
        <f t="shared" si="2360"/>
        <v>3</v>
      </c>
      <c r="AZ2015" s="83">
        <f t="shared" si="2361"/>
        <v>10</v>
      </c>
      <c r="BA2015" s="52"/>
      <c r="BB2015" s="52"/>
      <c r="BC2015" s="52"/>
      <c r="BD2015" s="52"/>
      <c r="BE2015" s="52"/>
      <c r="BF2015" s="52"/>
      <c r="BG2015" s="52"/>
      <c r="BH2015" s="52"/>
      <c r="BI2015" s="68" cm="1">
        <f t="array" ref="BI2015">IFERROR(INDEX(AW2015:BH2015,1,MATCH(2,1/(AW2015:BH2015&lt;&gt;""))),"")</f>
        <v>10</v>
      </c>
      <c r="BJ2015" s="68" cm="1">
        <f t="array" ref="BJ2015">IF(BM2015 = "", "",IFERROR(INDEX(AW2015:BH2015,1,MATCH(2,1/(AW2015:BH2015&lt;&gt;""),1)-1),""))</f>
        <v>3</v>
      </c>
      <c r="BK2015" s="59">
        <f t="shared" si="2362"/>
        <v>15</v>
      </c>
      <c r="BL2015" s="59" cm="1">
        <f t="array" ref="BL2015">IFERROR(SUM(AW2015:INDEX(AW2015:BH2015, MATCH(2, 1/(AW2015:BH2015&lt;&gt;""), 1) - 1))/_xlfn.XLOOKUP(F2015,Apuração!A:A,Apuração!B:B),0)</f>
        <v>0.41666666666666669</v>
      </c>
      <c r="BM2015" s="55" cm="1">
        <f t="array" ref="BM2015">IFERROR(
   INDEX($AW$1:$BH$1,
      _xlfn.AGGREGATE(14, 6, COLUMN($AW$1:$BH$1)/(AW2015:BH2015&lt;&gt;""), 2) - COLUMN($AW$1) + 1
   ),
"")</f>
        <v>46082</v>
      </c>
      <c r="BN2015" s="55" cm="1">
        <f t="array" ref="BN2015">IFERROR(INDEX($AW$1:$BH$1,1,MATCH(2,1/(AW2015:BH2015&lt;&gt;""))),"")</f>
        <v>46113</v>
      </c>
      <c r="BO2015" s="53">
        <f ca="1">IFERROR(_xlfn.XLOOKUP(F2015,Apuração!A:A,Apuração!C:C)/_xlfn.XLOOKUP(F2015,Apuração!A:A,Apuração!B:B),0)</f>
        <v>0.41666666666666669</v>
      </c>
      <c r="BP2015" s="53">
        <f ca="1">IFERROR(_xlfn.XLOOKUP(F2015,Apuração!A:A,Apuração!D:D)/_xlfn.XLOOKUP(F2015,Apuração!A:A,Apuração!B:B),0)</f>
        <v>0.33333333333333331</v>
      </c>
      <c r="BQ2015" s="53">
        <f ca="1">IF(BK2015&gt;=BO2015,0,_xlfn.XLOOKUP(F2015,Apuração!A:A,Apuração!B:B)*(BO2015 + (1/_xlfn.XLOOKUP(F2015,Apuração!A:A,Apuração!B:B)) - BK2015))</f>
        <v>0</v>
      </c>
      <c r="BR2015" s="85">
        <f t="shared" ca="1" si="2363"/>
        <v>0</v>
      </c>
      <c r="BS2015" s="53">
        <f ca="1">IFERROR((_xlfn.XLOOKUP(F2015,Apuração!A:A,Apuração!C:C)+1)/_xlfn.XLOOKUP(F2015,Apuração!A:A,Apuração!B:B),0)</f>
        <v>0.5</v>
      </c>
    </row>
    <row r="2016" spans="1:71" ht="25.95" hidden="1" customHeight="1" x14ac:dyDescent="0.3">
      <c r="A2016" s="40" t="s">
        <v>87</v>
      </c>
      <c r="B2016" s="4" t="s">
        <v>222</v>
      </c>
      <c r="C2016" s="5" t="s">
        <v>216</v>
      </c>
      <c r="D2016" s="5" t="s">
        <v>219</v>
      </c>
      <c r="E2016" s="4" t="str" cm="1">
        <f t="array" ref="E2016">_xlfn.IFS(
F2016 = "A partir de Abril", "Aguardando Execução na Distribuidora",
A2016 = "CAPACITAÇÃO", "Em execução no Corporativo",
TRUE, "Em Execução na Distribuidora"
)</f>
        <v>Em Execução na Distribuidora</v>
      </c>
      <c r="F2016" s="4" t="str" cm="1">
        <f t="array" ref="F2016">_xlfn.IFS(
AG2016 &lt;&gt; "", "Jan-Dez/26",
AH2016 &lt;&gt; "", "Fev-Dez/26",
AI2016 &lt;&gt; "", "Mar-Dez/26", AJ2016 &lt;&gt; "", "Abr-Dez/26",
TRUE, "A partir de Junho"
)</f>
        <v>Jan-Dez/26</v>
      </c>
      <c r="G2016" s="7" t="s">
        <v>37</v>
      </c>
      <c r="H2016" s="7" t="s">
        <v>110</v>
      </c>
      <c r="I2016" s="8" t="s">
        <v>148</v>
      </c>
      <c r="J2016" s="21" t="str" cm="1">
        <f t="array" aca="1" ref="J2016" ca="1">_xlfn.LET(
  _xlpm.actual_value_month, INDEX(T2016:AE2016, MATCH(DATE(YEAR(TODAY()), MONTH(TODAY()), 1), $T$1:$AE$1, 0)),
  IF(_xlpm.actual_value_month &lt;&gt; "",_xlpm.actual_value_month &amp; " ações mensais", "")
)</f>
        <v/>
      </c>
      <c r="K2016" s="8" t="str" cm="1">
        <f t="array" ref="K2016">_xlfn.LET(
    _xlpm.sum_month, SUM(T2016:AE2016),
    IF(_xlpm.sum_month = 0, "", _xlpm.sum_month &amp; " NC's no ano")
)</f>
        <v/>
      </c>
      <c r="L2016" s="9" t="s">
        <v>149</v>
      </c>
      <c r="M2016" s="4"/>
      <c r="N2016" s="5" t="s">
        <v>51</v>
      </c>
      <c r="O2016" s="5" t="s">
        <v>52</v>
      </c>
      <c r="P2016" s="10" t="s">
        <v>44</v>
      </c>
      <c r="Q2016" s="10" t="s">
        <v>44</v>
      </c>
      <c r="R2016" s="11" t="s">
        <v>44</v>
      </c>
      <c r="S2016" s="11" t="s">
        <v>44</v>
      </c>
      <c r="T2016" s="22"/>
      <c r="U2016" s="22"/>
      <c r="V2016" s="22"/>
      <c r="W2016" s="22"/>
      <c r="X2016" s="22"/>
      <c r="Y2016" s="22"/>
      <c r="Z2016" s="22"/>
      <c r="AA2016" s="22"/>
      <c r="AB2016" s="22"/>
      <c r="AC2016" s="22"/>
      <c r="AD2016" s="22"/>
      <c r="AE2016" s="22"/>
      <c r="AG2016" s="146">
        <v>3</v>
      </c>
      <c r="AH2016" s="150">
        <v>0</v>
      </c>
      <c r="AI2016" s="150">
        <v>0</v>
      </c>
      <c r="AJ2016" s="82">
        <v>3</v>
      </c>
      <c r="AK2016" s="71"/>
      <c r="AL2016" s="71"/>
      <c r="AM2016" s="71"/>
      <c r="AN2016" s="71"/>
      <c r="AO2016" s="71"/>
      <c r="AP2016" s="71"/>
      <c r="AQ2016" s="71"/>
      <c r="AR2016" s="71"/>
      <c r="AS2016" s="94">
        <f t="shared" ca="1" si="2355"/>
        <v>0</v>
      </c>
      <c r="AT2016" s="95">
        <f t="shared" si="2356"/>
        <v>6</v>
      </c>
      <c r="AU2016" s="97">
        <f t="shared" si="2357"/>
        <v>6</v>
      </c>
      <c r="AW2016" s="83">
        <f t="shared" si="2358"/>
        <v>3</v>
      </c>
      <c r="AX2016" s="83">
        <f t="shared" si="2359"/>
        <v>0</v>
      </c>
      <c r="AY2016" s="83">
        <f t="shared" si="2360"/>
        <v>0</v>
      </c>
      <c r="AZ2016" s="83">
        <f t="shared" si="2361"/>
        <v>3</v>
      </c>
      <c r="BA2016" s="52"/>
      <c r="BB2016" s="52"/>
      <c r="BC2016" s="52"/>
      <c r="BD2016" s="52"/>
      <c r="BE2016" s="52"/>
      <c r="BF2016" s="52"/>
      <c r="BG2016" s="52"/>
      <c r="BH2016" s="52"/>
      <c r="BI2016" s="68" cm="1">
        <f t="array" ref="BI2016">IFERROR(INDEX(AW2016:BH2016,1,MATCH(2,1/(AW2016:BH2016&lt;&gt;""))),"")</f>
        <v>3</v>
      </c>
      <c r="BJ2016" s="68" cm="1">
        <f t="array" ref="BJ2016">IF(BM2016 = "", "",IFERROR(INDEX(AW2016:BH2016,1,MATCH(2,1/(AW2016:BH2016&lt;&gt;""),1)-1),""))</f>
        <v>0</v>
      </c>
      <c r="BK2016" s="59">
        <f t="shared" si="2362"/>
        <v>6</v>
      </c>
      <c r="BL2016" s="59" cm="1">
        <f t="array" ref="BL2016">IFERROR(SUM(AW2016:INDEX(AW2016:BH2016, MATCH(2, 1/(AW2016:BH2016&lt;&gt;""), 1) - 1))/_xlfn.XLOOKUP(F2016,Apuração!A:A,Apuração!B:B),0)</f>
        <v>0.25</v>
      </c>
      <c r="BM2016" s="55" cm="1">
        <f t="array" ref="BM2016">IFERROR(
   INDEX($AW$1:$BH$1,
      _xlfn.AGGREGATE(14, 6, COLUMN($AW$1:$BH$1)/(AW2016:BH2016&lt;&gt;""), 2) - COLUMN($AW$1) + 1
   ),
"")</f>
        <v>46082</v>
      </c>
      <c r="BN2016" s="55" cm="1">
        <f t="array" ref="BN2016">IFERROR(INDEX($AW$1:$BH$1,1,MATCH(2,1/(AW2016:BH2016&lt;&gt;""))),"")</f>
        <v>46113</v>
      </c>
      <c r="BO2016" s="53">
        <f ca="1">IFERROR(_xlfn.XLOOKUP(F2016,Apuração!A:A,Apuração!C:C)/_xlfn.XLOOKUP(F2016,Apuração!A:A,Apuração!B:B),0)</f>
        <v>0.41666666666666669</v>
      </c>
      <c r="BP2016" s="53">
        <f ca="1">IFERROR(_xlfn.XLOOKUP(F2016,Apuração!A:A,Apuração!D:D)/_xlfn.XLOOKUP(F2016,Apuração!A:A,Apuração!B:B),0)</f>
        <v>0.33333333333333331</v>
      </c>
      <c r="BQ2016" s="53">
        <f ca="1">IF(BK2016&gt;=BO2016,0,_xlfn.XLOOKUP(F2016,Apuração!A:A,Apuração!B:B)*(BO2016 + (1/_xlfn.XLOOKUP(F2016,Apuração!A:A,Apuração!B:B)) - BK2016))</f>
        <v>0</v>
      </c>
      <c r="BR2016" s="85">
        <f t="shared" ca="1" si="2363"/>
        <v>0</v>
      </c>
      <c r="BS2016" s="53">
        <f ca="1">IFERROR((_xlfn.XLOOKUP(F2016,Apuração!A:A,Apuração!C:C)+1)/_xlfn.XLOOKUP(F2016,Apuração!A:A,Apuração!B:B),0)</f>
        <v>0.5</v>
      </c>
    </row>
    <row r="2017" spans="1:71" ht="25.95" hidden="1" customHeight="1" x14ac:dyDescent="0.3">
      <c r="A2017" s="20" t="s">
        <v>87</v>
      </c>
      <c r="B2017" s="4" t="s">
        <v>229</v>
      </c>
      <c r="C2017" s="5" t="s">
        <v>216</v>
      </c>
      <c r="D2017" s="5" t="s">
        <v>36</v>
      </c>
      <c r="E2017" s="4" t="str" cm="1">
        <f t="array" ref="E2017">_xlfn.IFS(
F2017 = "A partir de Abril", "Aguardando Execução na Distribuidora",
A2017 = "CAPACITAÇÃO", "Em execução no Corporativo",
TRUE, "Em Execução na Distribuidora"
)</f>
        <v>Em Execução na Distribuidora</v>
      </c>
      <c r="F2017" s="4" t="str" cm="1">
        <f t="array" ref="F2017">_xlfn.IFS(
AG2017 &lt;&gt; "", "Jan-Dez/26",
AH2017 &lt;&gt; "", "Fev-Dez/26",
AI2017 &lt;&gt; "", "Mar-Dez/26", AJ2017 &lt;&gt; "", "Abr-Dez/26",
TRUE, "A partir de Junho"
)</f>
        <v>Jan-Dez/26</v>
      </c>
      <c r="G2017" s="7" t="s">
        <v>37</v>
      </c>
      <c r="H2017" s="7" t="s">
        <v>38</v>
      </c>
      <c r="I2017" s="8" t="s">
        <v>223</v>
      </c>
      <c r="J2017" s="21" t="str" cm="1">
        <f t="array" aca="1" ref="J2017" ca="1">_xlfn.LET(
  _xlpm.actual_value_month, INDEX(T2017:AE2017, MATCH(DATE(YEAR(TODAY()), MONTH(TODAY()), 1), $T$1:$AE$1, 0)),
  IF(_xlpm.actual_value_month &lt;&gt; "",_xlpm.actual_value_month &amp; " inspeções mensais", "")
)</f>
        <v>23 inspeções mensais</v>
      </c>
      <c r="K2017" s="8" t="str" cm="1">
        <f t="array" ref="K2017">_xlfn.LET(
    _xlpm.sum_month, SUM(T2017:AE2017),
    IF(_xlpm.sum_month = 0, "", _xlpm.sum_month &amp; " inspeções realizadas no ano")
)</f>
        <v>293 inspeções realizadas no ano</v>
      </c>
      <c r="L2017" s="4" t="s">
        <v>230</v>
      </c>
      <c r="M2017" s="19" t="s">
        <v>231</v>
      </c>
      <c r="N2017" s="5" t="s">
        <v>42</v>
      </c>
      <c r="O2017" s="5" t="s">
        <v>43</v>
      </c>
      <c r="P2017" s="10" t="s">
        <v>44</v>
      </c>
      <c r="Q2017" s="10" t="s">
        <v>72</v>
      </c>
      <c r="R2017" s="11" t="s">
        <v>225</v>
      </c>
      <c r="S2017" s="11" t="s">
        <v>44</v>
      </c>
      <c r="T2017" s="22">
        <v>25</v>
      </c>
      <c r="U2017" s="22">
        <v>30</v>
      </c>
      <c r="V2017" s="22">
        <v>31</v>
      </c>
      <c r="W2017" s="22">
        <v>23</v>
      </c>
      <c r="X2017" s="22">
        <v>23</v>
      </c>
      <c r="Y2017" s="22">
        <v>23</v>
      </c>
      <c r="Z2017" s="22">
        <v>23</v>
      </c>
      <c r="AA2017" s="22">
        <v>23</v>
      </c>
      <c r="AB2017" s="22">
        <v>23</v>
      </c>
      <c r="AC2017" s="22">
        <v>23</v>
      </c>
      <c r="AD2017" s="22">
        <v>23</v>
      </c>
      <c r="AE2017" s="22">
        <v>23</v>
      </c>
      <c r="AG2017" s="71">
        <v>25</v>
      </c>
      <c r="AH2017" s="71">
        <v>30</v>
      </c>
      <c r="AI2017" s="71">
        <v>31</v>
      </c>
      <c r="AJ2017" s="71">
        <v>24</v>
      </c>
      <c r="AK2017" s="71"/>
      <c r="AL2017" s="71"/>
      <c r="AM2017" s="71"/>
      <c r="AN2017" s="71"/>
      <c r="AO2017" s="71"/>
      <c r="AP2017" s="71"/>
      <c r="AQ2017" s="71"/>
      <c r="AR2017" s="71"/>
      <c r="AS2017" s="94">
        <f ca="1">IF(MONTH(TODAY())=3,SUM(T2017:U2017),IF(MONTH(TODAY())=4,SUM(T2017:V2017),IF(MONTH(TODAY())=5,SUM(T2017:W2017),IF(MONTH(TODAY())=6,SUM(T2017:X2017),IF(MONTH(TODAY())=7,SUM(T2017:Y2017),IF(MONTH(TODAY())=8,SUM(T2017:Z2017),IF(MONTH(TODAY())=9,SUM(T2017:AA2017),IF(MONTH(TODAY())=10,SUM(T2017:AB2017),IF(MONTH(TODAY())=11,SUM(T2017:AC2017),IF(MONTH(TODAY())=12,SUM(T2017:AD2017),IF(MONTH(TODAY())=1,SUM(T2017:AE2017),T2017)))))))))))</f>
        <v>132</v>
      </c>
      <c r="AT2017" s="95">
        <f>SUM(IF(AW2017&lt;1.15,AG2017,1.15*T2017),IF(AX2017&lt;1.15,AH2017,1.15*U2017),IF(AY2017&lt;1.15,AI2017,1.15*V2017),IF(AZ2017&lt;1.15,AJ2017,1.15*W2017),IF(BA2017&lt;1.15,AK2017,1.15*X2017),IF(BB2017&lt;1.15,AL2017,1.15*Y2017),IF(BC2017&lt;1.15,AM2017,1.15*Z2017),IF(BD2017&lt;1.15,AN2017,1.15*AA2017),IF(BE2017&lt;1.15,AO2017,1.15*AB2017),IF(BF2017&lt;1.15,AP2017,1.15*AC2017),IF(BG2017&lt;1.15,AQ2017,1.15*AD2017),IF(BH2017&lt;1.15,AR2017,1.15*AE2017))</f>
        <v>110</v>
      </c>
      <c r="AU2017" s="97">
        <f>SUM(AG2017:AR2017)</f>
        <v>110</v>
      </c>
      <c r="AW2017" s="51">
        <f>IFERROR(IF(AG2017="",0,AG2017/T2017),0)</f>
        <v>1</v>
      </c>
      <c r="AX2017" s="51">
        <f>IFERROR(IF(AH2017="",0,AH2017/U2017),0)</f>
        <v>1</v>
      </c>
      <c r="AY2017" s="51">
        <f>IFERROR(IF(AI2017="",0,AI2017/V2017),0)</f>
        <v>1</v>
      </c>
      <c r="AZ2017" s="51">
        <f>IFERROR(IF(AJ2017="",0,AJ2017/W2017),0)</f>
        <v>1.0434782608695652</v>
      </c>
      <c r="BA2017" s="51"/>
      <c r="BB2017" s="51"/>
      <c r="BC2017" s="51"/>
      <c r="BD2017" s="51"/>
      <c r="BE2017" s="51"/>
      <c r="BF2017" s="51"/>
      <c r="BG2017" s="51"/>
      <c r="BH2017" s="51"/>
      <c r="BI2017" s="65" cm="1">
        <f t="array" ref="BI2017">IFERROR(INDEX(AW2017:BH2017,1,MATCH(2,1/(AW2017:BH2017&lt;&gt;""))),"")</f>
        <v>1.0434782608695652</v>
      </c>
      <c r="BJ2017" s="68" cm="1">
        <f t="array" ref="BJ2017">IF(BM2017 = "", "",IFERROR(INDEX(AW2017:BH2017,1,MATCH(2,1/(AW2017:BH2017&lt;&gt;""),1)-1),""))</f>
        <v>1</v>
      </c>
      <c r="BK2017" s="58">
        <f>IF((IF(AW2017&gt;=115%,115%,AW2017) + IF(AX2017&gt;=115%,115%,AX2017) + IF(AY2017&gt;=115%,115%,AY2017) + (IF(AZ2017&gt;=115%,115%,AZ2017) + IF(BA2017&gt;=220%,220%,BA2017) + IF(BB2017&gt;=115%,115%,BB2017) + IF(BC2017&gt;=115%,115%,BC2017) + IF(BD2017&gt;=115%,115%,BD2017) + IF(BE2017&gt;=115%,115%,BE2017) + IF(BF2017&gt;=115%,115%,BF2017) + IF(BG2017&gt;=115%,115%,BG2017) + IF(BH2017&gt;=115%,115%,BH2017)))/_xlfn.XLOOKUP(F2017,Apuração!A:A,Apuração!B:B)&gt;=1.15,1.15,((IF(AZ2017&gt;=115%,115%,AZ2017) + IF(AX2017&gt;=115%,115%,AX2017) + IF(AY2017&gt;=115%,115%,AY2017) + (IF(AW2017&gt;=115%,115%,AW2017) + IF(BA2017&gt;=220%,220%,BA2017) + IF(BB2017&gt;=115%,115%,BB2017) + IF(BC2017&gt;=115%,115%,BC2017) + IF(BD2017&gt;=115%,115%,BD2017) + IF(BE2017&gt;=115%,115%,BE2017) + IF(BF2017&gt;=115%,115%,BF2017) + IF(BG2017&gt;=115%,115%,BG2017) + IF(BH2017&gt;=115%,115%,BH2017)))/_xlfn.XLOOKUP(F2017,Apuração!A:A,Apuração!B:B)))</f>
        <v>0.33695652173913043</v>
      </c>
      <c r="BL2017" s="58" cm="1">
        <f t="array" aca="1" ref="BL2017" ca="1">IF(SUM(IFERROR(IF(INDEX(AW2017:INDEX(AW2017:BH2017, MATCH(2, 1/(AW2017:BH2017&lt;&gt;""), 1)-1), ROW(INDIRECT("1:" &amp; MATCH(2, 1/(AW2017:BH2017&lt;&gt;""), 1)-1))) &gt;= 115%, 115%, INDEX(AW2017:INDEX(AW2017:BH2017, MATCH(2, 1/(AW2017:BH2017&lt;&gt;""), 1)-1), ROW(INDIRECT("1:" &amp; MATCH(2, 1/(AW2017:BH2017&lt;&gt;""), 1)-1)))), 0))/_xlfn.XLOOKUP(F2017,Apuração!A:A,Apuração!B:B)&gt;=1.15,1.15,SUM(IFERROR(IF(INDEX(AW2017:INDEX(AW2017:BH2017, MATCH(2, 1/(AW2017:BH2017&lt;&gt;""), 1)-1), ROW(INDIRECT("1:" &amp; MATCH(2, 1/(AW2017:BH2017&lt;&gt;""), 1)-1))) &gt;= 115%, 115%, INDEX(AW2017:INDEX(AW2017:BH2017, MATCH(2, 1/(AW2017:BH2017&lt;&gt;""), 1)-1), ROW(INDIRECT("1:" &amp; MATCH(2, 1/(AW2017:BH2017&lt;&gt;""), 1)-1)))), 0))/_xlfn.XLOOKUP(F2017,Apuração!A:A,Apuração!B:B))</f>
        <v>0.25</v>
      </c>
      <c r="BM2017" s="55" cm="1">
        <f t="array" ref="BM2017">IFERROR(
   INDEX($AW$1:$BH$1,
      _xlfn.AGGREGATE(14, 6, COLUMN($AW$1:$BH$1)/(AW2017:BH2017&lt;&gt;""), 2) - COLUMN($AW$1) + 1
   ),
"")</f>
        <v>46082</v>
      </c>
      <c r="BN2017" s="55" cm="1">
        <f t="array" ref="BN2017">IFERROR(INDEX($AW$1:$BH$1,1,MATCH(2,1/(AW2017:BH2017&lt;&gt;""))),"")</f>
        <v>46113</v>
      </c>
      <c r="BO2017" s="53">
        <f ca="1">IFERROR(_xlfn.XLOOKUP(F2017,Apuração!A:A,Apuração!C:C)/_xlfn.XLOOKUP(F2017,Apuração!A:A,Apuração!B:B),0)</f>
        <v>0.41666666666666669</v>
      </c>
      <c r="BP2017" s="53">
        <f ca="1">IFERROR(_xlfn.XLOOKUP(F2017,Apuração!A:A,Apuração!D:D)/_xlfn.XLOOKUP(F2017,Apuração!A:A,Apuração!B:B),0)</f>
        <v>0.33333333333333331</v>
      </c>
      <c r="BQ2017" s="53">
        <f ca="1">IF(BK2017&gt;=BO2017,0,_xlfn.XLOOKUP(F2017,Apuração!A:A,Apuração!B:B)*(BO2017 + (1/_xlfn.XLOOKUP(F2017,Apuração!A:A,Apuração!B:B)) - BK2017))</f>
        <v>1.9565217391304348</v>
      </c>
      <c r="BR2017" s="85">
        <f ca="1">IF(BQ2017=0,0,BQ2017*Z2017)</f>
        <v>45</v>
      </c>
      <c r="BS2017" s="53">
        <f ca="1">IFERROR((_xlfn.XLOOKUP(F2017,Apuração!A:A,Apuração!C:C)+1)/_xlfn.XLOOKUP(F2017,Apuração!A:A,Apuração!B:B),0)</f>
        <v>0.5</v>
      </c>
    </row>
    <row r="2018" spans="1:71" ht="25.95" hidden="1" customHeight="1" x14ac:dyDescent="0.3">
      <c r="A2018" s="20" t="s">
        <v>87</v>
      </c>
      <c r="B2018" s="4" t="s">
        <v>229</v>
      </c>
      <c r="C2018" s="5" t="s">
        <v>216</v>
      </c>
      <c r="D2018" s="5" t="s">
        <v>217</v>
      </c>
      <c r="E2018" s="4" t="str" cm="1">
        <f t="array" ref="E2018">_xlfn.IFS(
F2018 = "A partir de Abril", "Aguardando Execução na Distribuidora",
A2018 = "CAPACITAÇÃO", "Em execução no Corporativo",
TRUE, "Em Execução na Distribuidora"
)</f>
        <v>Em Execução na Distribuidora</v>
      </c>
      <c r="F2018" s="4" t="str" cm="1">
        <f t="array" ref="F2018">_xlfn.IFS(
AG2018 &lt;&gt; "", "Jan-Dez/26",
AH2018 &lt;&gt; "", "Fev-Dez/26",
AI2018 &lt;&gt; "", "Mar-Dez/26", AJ2018 &lt;&gt; "", "Abr-Dez/26",
TRUE, "A partir de Junho"
)</f>
        <v>Jan-Dez/26</v>
      </c>
      <c r="G2018" s="7" t="s">
        <v>37</v>
      </c>
      <c r="H2018" s="7" t="s">
        <v>38</v>
      </c>
      <c r="I2018" s="8" t="s">
        <v>223</v>
      </c>
      <c r="J2018" s="21" t="str" cm="1">
        <f t="array" aca="1" ref="J2018" ca="1">_xlfn.LET(
  _xlpm.actual_value_month, INDEX(T2018:AE2018, MATCH(DATE(YEAR(TODAY()), MONTH(TODAY()), 1), $T$1:$AE$1, 0)),
  IF(_xlpm.actual_value_month &lt;&gt; "",_xlpm.actual_value_month &amp; " inspeções mensais", "")
)</f>
        <v>4 inspeções mensais</v>
      </c>
      <c r="K2018" s="8" t="str" cm="1">
        <f t="array" ref="K2018">_xlfn.LET(
    _xlpm.sum_month, SUM(T2018:AE2018),
    IF(_xlpm.sum_month = 0, "", _xlpm.sum_month &amp; " inspeções realizadas no ano")
)</f>
        <v>53 inspeções realizadas no ano</v>
      </c>
      <c r="L2018" s="4" t="s">
        <v>230</v>
      </c>
      <c r="M2018" s="19" t="s">
        <v>231</v>
      </c>
      <c r="N2018" s="5" t="s">
        <v>42</v>
      </c>
      <c r="O2018" s="5" t="s">
        <v>43</v>
      </c>
      <c r="P2018" s="10" t="s">
        <v>44</v>
      </c>
      <c r="Q2018" s="10" t="s">
        <v>72</v>
      </c>
      <c r="R2018" s="11" t="s">
        <v>225</v>
      </c>
      <c r="S2018" s="11" t="s">
        <v>44</v>
      </c>
      <c r="T2018" s="143">
        <v>6</v>
      </c>
      <c r="U2018" s="143">
        <v>3</v>
      </c>
      <c r="V2018" s="143">
        <v>8</v>
      </c>
      <c r="W2018" s="143">
        <v>4</v>
      </c>
      <c r="X2018" s="143">
        <v>4</v>
      </c>
      <c r="Y2018" s="143">
        <v>4</v>
      </c>
      <c r="Z2018" s="143">
        <v>4</v>
      </c>
      <c r="AA2018" s="143">
        <v>4</v>
      </c>
      <c r="AB2018" s="143">
        <v>4</v>
      </c>
      <c r="AC2018" s="143">
        <v>4</v>
      </c>
      <c r="AD2018" s="143">
        <v>4</v>
      </c>
      <c r="AE2018" s="143">
        <v>4</v>
      </c>
      <c r="AG2018" s="82">
        <v>6</v>
      </c>
      <c r="AH2018" s="82">
        <v>3</v>
      </c>
      <c r="AI2018" s="82">
        <v>8</v>
      </c>
      <c r="AJ2018" s="82">
        <v>7</v>
      </c>
      <c r="AK2018" s="71"/>
      <c r="AL2018" s="71"/>
      <c r="AM2018" s="71"/>
      <c r="AN2018" s="71"/>
      <c r="AO2018" s="71"/>
      <c r="AP2018" s="71"/>
      <c r="AQ2018" s="71"/>
      <c r="AR2018" s="71"/>
      <c r="AS2018" s="94">
        <f t="shared" ref="AS2018:AS2021" ca="1" si="2364">IF(MONTH(TODAY())=3,SUM(T2018:U2018),IF(MONTH(TODAY())=4,SUM(T2018:V2018),IF(MONTH(TODAY())=5,SUM(T2018:W2018),IF(MONTH(TODAY())=6,SUM(T2018:X2018),IF(MONTH(TODAY())=7,SUM(T2018:Y2018),IF(MONTH(TODAY())=8,SUM(T2018:Z2018),IF(MONTH(TODAY())=9,SUM(T2018:AA2018),IF(MONTH(TODAY())=10,SUM(T2018:AB2018),IF(MONTH(TODAY())=11,SUM(T2018:AC2018),IF(MONTH(TODAY())=12,SUM(T2018:AD2018),IF(MONTH(TODAY())=1,SUM(T2018:AE2018),T2018)))))))))))</f>
        <v>25</v>
      </c>
      <c r="AT2018" s="95">
        <f t="shared" ref="AT2018:AT2021" si="2365">SUM(IF(AW2018&lt;1.15,AG2018,1.15*T2018),IF(AX2018&lt;1.15,AH2018,1.15*U2018),IF(AY2018&lt;1.15,AI2018,1.15*V2018),IF(AZ2018&lt;1.15,AJ2018,1.15*W2018),IF(BA2018&lt;1.15,AK2018,1.15*X2018),IF(BB2018&lt;1.15,AL2018,1.15*Y2018),IF(BC2018&lt;1.15,AM2018,1.15*Z2018),IF(BD2018&lt;1.15,AN2018,1.15*AA2018),IF(BE2018&lt;1.15,AO2018,1.15*AB2018),IF(BF2018&lt;1.15,AP2018,1.15*AC2018),IF(BG2018&lt;1.15,AQ2018,1.15*AD2018),IF(BH2018&lt;1.15,AR2018,1.15*AE2018))</f>
        <v>21.6</v>
      </c>
      <c r="AU2018" s="97">
        <f t="shared" ref="AU2018:AU2021" si="2366">SUM(AG2018:AR2018)</f>
        <v>24</v>
      </c>
      <c r="AW2018" s="51">
        <f t="shared" ref="AW2018:AW2021" si="2367">IFERROR(IF(AG2018="",0,AG2018/T2018),0)</f>
        <v>1</v>
      </c>
      <c r="AX2018" s="51">
        <f t="shared" ref="AX2018:AX2021" si="2368">IFERROR(IF(AH2018="",0,AH2018/U2018),0)</f>
        <v>1</v>
      </c>
      <c r="AY2018" s="51">
        <f t="shared" ref="AY2018:AY2021" si="2369">IFERROR(IF(AI2018="",0,AI2018/V2018),0)</f>
        <v>1</v>
      </c>
      <c r="AZ2018" s="51">
        <f t="shared" ref="AZ2018:AZ2021" si="2370">IFERROR(IF(AJ2018="",0,AJ2018/W2018),0)</f>
        <v>1.75</v>
      </c>
      <c r="BA2018" s="51"/>
      <c r="BB2018" s="51"/>
      <c r="BC2018" s="51"/>
      <c r="BD2018" s="51"/>
      <c r="BE2018" s="51"/>
      <c r="BF2018" s="51"/>
      <c r="BG2018" s="51"/>
      <c r="BH2018" s="51"/>
      <c r="BI2018" s="65" cm="1">
        <f t="array" ref="BI2018">IFERROR(INDEX(AW2018:BH2018,1,MATCH(2,1/(AW2018:BH2018&lt;&gt;""))),"")</f>
        <v>1.75</v>
      </c>
      <c r="BJ2018" s="68" cm="1">
        <f t="array" ref="BJ2018">IF(BM2018 = "", "",IFERROR(INDEX(AW2018:BH2018,1,MATCH(2,1/(AW2018:BH2018&lt;&gt;""),1)-1),""))</f>
        <v>1</v>
      </c>
      <c r="BK2018" s="58">
        <f>IF((IF(AW2018&gt;=115%,115%,AW2018) + IF(AX2018&gt;=115%,115%,AX2018) + IF(AY2018&gt;=115%,115%,AY2018) + (IF(AZ2018&gt;=115%,115%,AZ2018) + IF(BA2018&gt;=220%,220%,BA2018) + IF(BB2018&gt;=115%,115%,BB2018) + IF(BC2018&gt;=115%,115%,BC2018) + IF(BD2018&gt;=115%,115%,BD2018) + IF(BE2018&gt;=115%,115%,BE2018) + IF(BF2018&gt;=115%,115%,BF2018) + IF(BG2018&gt;=115%,115%,BG2018) + IF(BH2018&gt;=115%,115%,BH2018)))/_xlfn.XLOOKUP(F2018,Apuração!A:A,Apuração!B:B)&gt;=1.15,1.15,((IF(AZ2018&gt;=115%,115%,AZ2018) + IF(AX2018&gt;=115%,115%,AX2018) + IF(AY2018&gt;=115%,115%,AY2018) + (IF(AW2018&gt;=115%,115%,AW2018) + IF(BA2018&gt;=220%,220%,BA2018) + IF(BB2018&gt;=115%,115%,BB2018) + IF(BC2018&gt;=115%,115%,BC2018) + IF(BD2018&gt;=115%,115%,BD2018) + IF(BE2018&gt;=115%,115%,BE2018) + IF(BF2018&gt;=115%,115%,BF2018) + IF(BG2018&gt;=115%,115%,BG2018) + IF(BH2018&gt;=115%,115%,BH2018)))/_xlfn.XLOOKUP(F2018,Apuração!A:A,Apuração!B:B)))</f>
        <v>0.34583333333333338</v>
      </c>
      <c r="BL2018" s="58" cm="1">
        <f t="array" aca="1" ref="BL2018" ca="1">IF(SUM(IFERROR(IF(INDEX(AW2018:INDEX(AW2018:BH2018, MATCH(2, 1/(AW2018:BH2018&lt;&gt;""), 1)-1), ROW(INDIRECT("1:" &amp; MATCH(2, 1/(AW2018:BH2018&lt;&gt;""), 1)-1))) &gt;= 115%, 115%, INDEX(AW2018:INDEX(AW2018:BH2018, MATCH(2, 1/(AW2018:BH2018&lt;&gt;""), 1)-1), ROW(INDIRECT("1:" &amp; MATCH(2, 1/(AW2018:BH2018&lt;&gt;""), 1)-1)))), 0))/_xlfn.XLOOKUP(F2018,Apuração!A:A,Apuração!B:B)&gt;=1.15,1.15,SUM(IFERROR(IF(INDEX(AW2018:INDEX(AW2018:BH2018, MATCH(2, 1/(AW2018:BH2018&lt;&gt;""), 1)-1), ROW(INDIRECT("1:" &amp; MATCH(2, 1/(AW2018:BH2018&lt;&gt;""), 1)-1))) &gt;= 115%, 115%, INDEX(AW2018:INDEX(AW2018:BH2018, MATCH(2, 1/(AW2018:BH2018&lt;&gt;""), 1)-1), ROW(INDIRECT("1:" &amp; MATCH(2, 1/(AW2018:BH2018&lt;&gt;""), 1)-1)))), 0))/_xlfn.XLOOKUP(F2018,Apuração!A:A,Apuração!B:B))</f>
        <v>0.25</v>
      </c>
      <c r="BM2018" s="55" cm="1">
        <f t="array" ref="BM2018">IFERROR(
   INDEX($AW$1:$BH$1,
      _xlfn.AGGREGATE(14, 6, COLUMN($AW$1:$BH$1)/(AW2018:BH2018&lt;&gt;""), 2) - COLUMN($AW$1) + 1
   ),
"")</f>
        <v>46082</v>
      </c>
      <c r="BN2018" s="55" cm="1">
        <f t="array" ref="BN2018">IFERROR(INDEX($AW$1:$BH$1,1,MATCH(2,1/(AW2018:BH2018&lt;&gt;""))),"")</f>
        <v>46113</v>
      </c>
      <c r="BO2018" s="53">
        <f ca="1">IFERROR(_xlfn.XLOOKUP(F2018,Apuração!A:A,Apuração!C:C)/_xlfn.XLOOKUP(F2018,Apuração!A:A,Apuração!B:B),0)</f>
        <v>0.41666666666666669</v>
      </c>
      <c r="BP2018" s="53">
        <f ca="1">IFERROR(_xlfn.XLOOKUP(F2018,Apuração!A:A,Apuração!D:D)/_xlfn.XLOOKUP(F2018,Apuração!A:A,Apuração!B:B),0)</f>
        <v>0.33333333333333331</v>
      </c>
      <c r="BQ2018" s="53">
        <f ca="1">IF(BK2018&gt;=BO2018,0,_xlfn.XLOOKUP(F2018,Apuração!A:A,Apuração!B:B)*(BO2018 + (1/_xlfn.XLOOKUP(F2018,Apuração!A:A,Apuração!B:B)) - BK2018))</f>
        <v>1.8499999999999994</v>
      </c>
      <c r="BR2018" s="85">
        <f t="shared" ref="BR2018:BR2021" ca="1" si="2371">IF(BQ2018=0,0,BQ2018*Z2018)</f>
        <v>7.3999999999999977</v>
      </c>
      <c r="BS2018" s="53">
        <f ca="1">IFERROR((_xlfn.XLOOKUP(F2018,Apuração!A:A,Apuração!C:C)+1)/_xlfn.XLOOKUP(F2018,Apuração!A:A,Apuração!B:B),0)</f>
        <v>0.5</v>
      </c>
    </row>
    <row r="2019" spans="1:71" ht="25.95" hidden="1" customHeight="1" x14ac:dyDescent="0.3">
      <c r="A2019" s="20" t="s">
        <v>87</v>
      </c>
      <c r="B2019" s="4" t="s">
        <v>229</v>
      </c>
      <c r="C2019" s="5" t="s">
        <v>216</v>
      </c>
      <c r="D2019" s="5" t="s">
        <v>103</v>
      </c>
      <c r="E2019" s="4" t="str" cm="1">
        <f t="array" ref="E2019">_xlfn.IFS(
F2019 = "A partir de Abril", "Aguardando Execução na Distribuidora",
A2019 = "CAPACITAÇÃO", "Em execução no Corporativo",
TRUE, "Em Execução na Distribuidora"
)</f>
        <v>Em Execução na Distribuidora</v>
      </c>
      <c r="F2019" s="4" t="str" cm="1">
        <f t="array" ref="F2019">_xlfn.IFS(
AG2019 &lt;&gt; "", "Jan-Dez/26",
AH2019 &lt;&gt; "", "Fev-Dez/26",
AI2019 &lt;&gt; "", "Mar-Dez/26", AJ2019 &lt;&gt; "", "Abr-Dez/26",
TRUE, "A partir de Junho"
)</f>
        <v>Jan-Dez/26</v>
      </c>
      <c r="G2019" s="7" t="s">
        <v>37</v>
      </c>
      <c r="H2019" s="7" t="s">
        <v>38</v>
      </c>
      <c r="I2019" s="8" t="s">
        <v>223</v>
      </c>
      <c r="J2019" s="21" t="str" cm="1">
        <f t="array" aca="1" ref="J2019" ca="1">_xlfn.LET(
  _xlpm.actual_value_month, INDEX(T2019:AE2019, MATCH(DATE(YEAR(TODAY()), MONTH(TODAY()), 1), $T$1:$AE$1, 0)),
  IF(_xlpm.actual_value_month &lt;&gt; "",_xlpm.actual_value_month &amp; " inspeções mensais", "")
)</f>
        <v>11 inspeções mensais</v>
      </c>
      <c r="K2019" s="8" t="str" cm="1">
        <f t="array" ref="K2019">_xlfn.LET(
    _xlpm.sum_month, SUM(T2019:AE2019),
    IF(_xlpm.sum_month = 0, "", _xlpm.sum_month &amp; " inspeções realizadas no ano")
)</f>
        <v>142 inspeções realizadas no ano</v>
      </c>
      <c r="L2019" s="4" t="s">
        <v>230</v>
      </c>
      <c r="M2019" s="19" t="s">
        <v>231</v>
      </c>
      <c r="N2019" s="5" t="s">
        <v>42</v>
      </c>
      <c r="O2019" s="5" t="s">
        <v>43</v>
      </c>
      <c r="P2019" s="10" t="s">
        <v>44</v>
      </c>
      <c r="Q2019" s="10" t="s">
        <v>72</v>
      </c>
      <c r="R2019" s="11" t="s">
        <v>225</v>
      </c>
      <c r="S2019" s="11" t="s">
        <v>44</v>
      </c>
      <c r="T2019" s="143">
        <v>12</v>
      </c>
      <c r="U2019" s="143">
        <v>15</v>
      </c>
      <c r="V2019" s="143">
        <v>16</v>
      </c>
      <c r="W2019" s="143">
        <v>11</v>
      </c>
      <c r="X2019" s="143">
        <v>11</v>
      </c>
      <c r="Y2019" s="143">
        <v>11</v>
      </c>
      <c r="Z2019" s="143">
        <v>11</v>
      </c>
      <c r="AA2019" s="143">
        <v>11</v>
      </c>
      <c r="AB2019" s="143">
        <v>11</v>
      </c>
      <c r="AC2019" s="143">
        <v>11</v>
      </c>
      <c r="AD2019" s="143">
        <v>11</v>
      </c>
      <c r="AE2019" s="143">
        <v>11</v>
      </c>
      <c r="AG2019" s="82">
        <v>12</v>
      </c>
      <c r="AH2019" s="82">
        <v>15</v>
      </c>
      <c r="AI2019" s="82">
        <v>16</v>
      </c>
      <c r="AJ2019" s="82">
        <v>9</v>
      </c>
      <c r="AK2019" s="71"/>
      <c r="AL2019" s="71"/>
      <c r="AM2019" s="71"/>
      <c r="AN2019" s="71"/>
      <c r="AO2019" s="71"/>
      <c r="AP2019" s="71"/>
      <c r="AQ2019" s="71"/>
      <c r="AR2019" s="71"/>
      <c r="AS2019" s="94">
        <f t="shared" ca="1" si="2364"/>
        <v>65</v>
      </c>
      <c r="AT2019" s="95">
        <f t="shared" si="2365"/>
        <v>52</v>
      </c>
      <c r="AU2019" s="97">
        <f t="shared" si="2366"/>
        <v>52</v>
      </c>
      <c r="AW2019" s="51">
        <f t="shared" si="2367"/>
        <v>1</v>
      </c>
      <c r="AX2019" s="51">
        <f t="shared" si="2368"/>
        <v>1</v>
      </c>
      <c r="AY2019" s="51">
        <f t="shared" si="2369"/>
        <v>1</v>
      </c>
      <c r="AZ2019" s="51">
        <f t="shared" si="2370"/>
        <v>0.81818181818181823</v>
      </c>
      <c r="BA2019" s="51"/>
      <c r="BB2019" s="51"/>
      <c r="BC2019" s="51"/>
      <c r="BD2019" s="51"/>
      <c r="BE2019" s="51"/>
      <c r="BF2019" s="51"/>
      <c r="BG2019" s="51"/>
      <c r="BH2019" s="51"/>
      <c r="BI2019" s="65" cm="1">
        <f t="array" ref="BI2019">IFERROR(INDEX(AW2019:BH2019,1,MATCH(2,1/(AW2019:BH2019&lt;&gt;""))),"")</f>
        <v>0.81818181818181823</v>
      </c>
      <c r="BJ2019" s="68" cm="1">
        <f t="array" ref="BJ2019">IF(BM2019 = "", "",IFERROR(INDEX(AW2019:BH2019,1,MATCH(2,1/(AW2019:BH2019&lt;&gt;""),1)-1),""))</f>
        <v>1</v>
      </c>
      <c r="BK2019" s="58">
        <f>IF((IF(AW2019&gt;=115%,115%,AW2019) + IF(AX2019&gt;=115%,115%,AX2019) + IF(AY2019&gt;=115%,115%,AY2019) + (IF(AZ2019&gt;=115%,115%,AZ2019) + IF(BA2019&gt;=220%,220%,BA2019) + IF(BB2019&gt;=115%,115%,BB2019) + IF(BC2019&gt;=115%,115%,BC2019) + IF(BD2019&gt;=115%,115%,BD2019) + IF(BE2019&gt;=115%,115%,BE2019) + IF(BF2019&gt;=115%,115%,BF2019) + IF(BG2019&gt;=115%,115%,BG2019) + IF(BH2019&gt;=115%,115%,BH2019)))/_xlfn.XLOOKUP(F2019,Apuração!A:A,Apuração!B:B)&gt;=1.15,1.15,((IF(AZ2019&gt;=115%,115%,AZ2019) + IF(AX2019&gt;=115%,115%,AX2019) + IF(AY2019&gt;=115%,115%,AY2019) + (IF(AW2019&gt;=115%,115%,AW2019) + IF(BA2019&gt;=220%,220%,BA2019) + IF(BB2019&gt;=115%,115%,BB2019) + IF(BC2019&gt;=115%,115%,BC2019) + IF(BD2019&gt;=115%,115%,BD2019) + IF(BE2019&gt;=115%,115%,BE2019) + IF(BF2019&gt;=115%,115%,BF2019) + IF(BG2019&gt;=115%,115%,BG2019) + IF(BH2019&gt;=115%,115%,BH2019)))/_xlfn.XLOOKUP(F2019,Apuração!A:A,Apuração!B:B)))</f>
        <v>0.31818181818181818</v>
      </c>
      <c r="BL2019" s="58" cm="1">
        <f t="array" aca="1" ref="BL2019" ca="1">IF(SUM(IFERROR(IF(INDEX(AW2019:INDEX(AW2019:BH2019, MATCH(2, 1/(AW2019:BH2019&lt;&gt;""), 1)-1), ROW(INDIRECT("1:" &amp; MATCH(2, 1/(AW2019:BH2019&lt;&gt;""), 1)-1))) &gt;= 115%, 115%, INDEX(AW2019:INDEX(AW2019:BH2019, MATCH(2, 1/(AW2019:BH2019&lt;&gt;""), 1)-1), ROW(INDIRECT("1:" &amp; MATCH(2, 1/(AW2019:BH2019&lt;&gt;""), 1)-1)))), 0))/_xlfn.XLOOKUP(F2019,Apuração!A:A,Apuração!B:B)&gt;=1.15,1.15,SUM(IFERROR(IF(INDEX(AW2019:INDEX(AW2019:BH2019, MATCH(2, 1/(AW2019:BH2019&lt;&gt;""), 1)-1), ROW(INDIRECT("1:" &amp; MATCH(2, 1/(AW2019:BH2019&lt;&gt;""), 1)-1))) &gt;= 115%, 115%, INDEX(AW2019:INDEX(AW2019:BH2019, MATCH(2, 1/(AW2019:BH2019&lt;&gt;""), 1)-1), ROW(INDIRECT("1:" &amp; MATCH(2, 1/(AW2019:BH2019&lt;&gt;""), 1)-1)))), 0))/_xlfn.XLOOKUP(F2019,Apuração!A:A,Apuração!B:B))</f>
        <v>0.25</v>
      </c>
      <c r="BM2019" s="55" cm="1">
        <f t="array" ref="BM2019">IFERROR(
   INDEX($AW$1:$BH$1,
      _xlfn.AGGREGATE(14, 6, COLUMN($AW$1:$BH$1)/(AW2019:BH2019&lt;&gt;""), 2) - COLUMN($AW$1) + 1
   ),
"")</f>
        <v>46082</v>
      </c>
      <c r="BN2019" s="55" cm="1">
        <f t="array" ref="BN2019">IFERROR(INDEX($AW$1:$BH$1,1,MATCH(2,1/(AW2019:BH2019&lt;&gt;""))),"")</f>
        <v>46113</v>
      </c>
      <c r="BO2019" s="53">
        <f ca="1">IFERROR(_xlfn.XLOOKUP(F2019,Apuração!A:A,Apuração!C:C)/_xlfn.XLOOKUP(F2019,Apuração!A:A,Apuração!B:B),0)</f>
        <v>0.41666666666666669</v>
      </c>
      <c r="BP2019" s="53">
        <f ca="1">IFERROR(_xlfn.XLOOKUP(F2019,Apuração!A:A,Apuração!D:D)/_xlfn.XLOOKUP(F2019,Apuração!A:A,Apuração!B:B),0)</f>
        <v>0.33333333333333331</v>
      </c>
      <c r="BQ2019" s="53">
        <f ca="1">IF(BK2019&gt;=BO2019,0,_xlfn.XLOOKUP(F2019,Apuração!A:A,Apuração!B:B)*(BO2019 + (1/_xlfn.XLOOKUP(F2019,Apuração!A:A,Apuração!B:B)) - BK2019))</f>
        <v>2.1818181818181817</v>
      </c>
      <c r="BR2019" s="85">
        <f t="shared" ca="1" si="2371"/>
        <v>24</v>
      </c>
      <c r="BS2019" s="53">
        <f ca="1">IFERROR((_xlfn.XLOOKUP(F2019,Apuração!A:A,Apuração!C:C)+1)/_xlfn.XLOOKUP(F2019,Apuração!A:A,Apuração!B:B),0)</f>
        <v>0.5</v>
      </c>
    </row>
    <row r="2020" spans="1:71" ht="25.95" hidden="1" customHeight="1" x14ac:dyDescent="0.3">
      <c r="A2020" s="20" t="s">
        <v>87</v>
      </c>
      <c r="B2020" s="4" t="s">
        <v>229</v>
      </c>
      <c r="C2020" s="5" t="s">
        <v>216</v>
      </c>
      <c r="D2020" s="5" t="s">
        <v>218</v>
      </c>
      <c r="E2020" s="4" t="str" cm="1">
        <f t="array" ref="E2020">_xlfn.IFS(
F2020 = "A partir de Abril", "Aguardando Execução na Distribuidora",
A2020 = "CAPACITAÇÃO", "Em execução no Corporativo",
TRUE, "Em Execução na Distribuidora"
)</f>
        <v>Em Execução na Distribuidora</v>
      </c>
      <c r="F2020" s="4" t="str" cm="1">
        <f t="array" ref="F2020">_xlfn.IFS(
AG2020 &lt;&gt; "", "Jan-Dez/26",
AH2020 &lt;&gt; "", "Fev-Dez/26",
AI2020 &lt;&gt; "", "Mar-Dez/26", AJ2020 &lt;&gt; "", "Abr-Dez/26",
TRUE, "A partir de Junho"
)</f>
        <v>Jan-Dez/26</v>
      </c>
      <c r="G2020" s="7" t="s">
        <v>37</v>
      </c>
      <c r="H2020" s="7" t="s">
        <v>38</v>
      </c>
      <c r="I2020" s="8" t="s">
        <v>223</v>
      </c>
      <c r="J2020" s="21" t="str" cm="1">
        <f t="array" aca="1" ref="J2020" ca="1">_xlfn.LET(
  _xlpm.actual_value_month, INDEX(T2020:AE2020, MATCH(DATE(YEAR(TODAY()), MONTH(TODAY()), 1), $T$1:$AE$1, 0)),
  IF(_xlpm.actual_value_month &lt;&gt; "",_xlpm.actual_value_month &amp; " inspeções mensais", "")
)</f>
        <v>4 inspeções mensais</v>
      </c>
      <c r="K2020" s="8" t="str" cm="1">
        <f t="array" ref="K2020">_xlfn.LET(
    _xlpm.sum_month, SUM(T2020:AE2020),
    IF(_xlpm.sum_month = 0, "", _xlpm.sum_month &amp; " inspeções realizadas no ano")
)</f>
        <v>49 inspeções realizadas no ano</v>
      </c>
      <c r="L2020" s="4" t="s">
        <v>230</v>
      </c>
      <c r="M2020" s="19" t="s">
        <v>231</v>
      </c>
      <c r="N2020" s="5" t="s">
        <v>42</v>
      </c>
      <c r="O2020" s="5" t="s">
        <v>43</v>
      </c>
      <c r="P2020" s="10" t="s">
        <v>44</v>
      </c>
      <c r="Q2020" s="10" t="s">
        <v>72</v>
      </c>
      <c r="R2020" s="11" t="s">
        <v>225</v>
      </c>
      <c r="S2020" s="11" t="s">
        <v>44</v>
      </c>
      <c r="T2020" s="143">
        <v>2</v>
      </c>
      <c r="U2020" s="143">
        <v>7</v>
      </c>
      <c r="V2020" s="143">
        <v>4</v>
      </c>
      <c r="W2020" s="143">
        <v>4</v>
      </c>
      <c r="X2020" s="143">
        <v>4</v>
      </c>
      <c r="Y2020" s="143">
        <v>4</v>
      </c>
      <c r="Z2020" s="143">
        <v>4</v>
      </c>
      <c r="AA2020" s="143">
        <v>4</v>
      </c>
      <c r="AB2020" s="143">
        <v>4</v>
      </c>
      <c r="AC2020" s="143">
        <v>4</v>
      </c>
      <c r="AD2020" s="143">
        <v>4</v>
      </c>
      <c r="AE2020" s="143">
        <v>4</v>
      </c>
      <c r="AG2020" s="82">
        <v>2</v>
      </c>
      <c r="AH2020" s="82">
        <v>7</v>
      </c>
      <c r="AI2020" s="82">
        <v>4</v>
      </c>
      <c r="AJ2020" s="82">
        <v>3</v>
      </c>
      <c r="AK2020" s="71"/>
      <c r="AL2020" s="71"/>
      <c r="AM2020" s="71"/>
      <c r="AN2020" s="71"/>
      <c r="AO2020" s="71"/>
      <c r="AP2020" s="71"/>
      <c r="AQ2020" s="71"/>
      <c r="AR2020" s="71"/>
      <c r="AS2020" s="94">
        <f t="shared" ca="1" si="2364"/>
        <v>21</v>
      </c>
      <c r="AT2020" s="95">
        <f t="shared" si="2365"/>
        <v>16</v>
      </c>
      <c r="AU2020" s="97">
        <f t="shared" si="2366"/>
        <v>16</v>
      </c>
      <c r="AW2020" s="51">
        <f t="shared" si="2367"/>
        <v>1</v>
      </c>
      <c r="AX2020" s="51">
        <f t="shared" si="2368"/>
        <v>1</v>
      </c>
      <c r="AY2020" s="51">
        <f t="shared" si="2369"/>
        <v>1</v>
      </c>
      <c r="AZ2020" s="51">
        <f t="shared" si="2370"/>
        <v>0.75</v>
      </c>
      <c r="BA2020" s="51"/>
      <c r="BB2020" s="51"/>
      <c r="BC2020" s="51"/>
      <c r="BD2020" s="51"/>
      <c r="BE2020" s="51"/>
      <c r="BF2020" s="51"/>
      <c r="BG2020" s="51"/>
      <c r="BH2020" s="51"/>
      <c r="BI2020" s="65" cm="1">
        <f t="array" ref="BI2020">IFERROR(INDEX(AW2020:BH2020,1,MATCH(2,1/(AW2020:BH2020&lt;&gt;""))),"")</f>
        <v>0.75</v>
      </c>
      <c r="BJ2020" s="68" cm="1">
        <f t="array" ref="BJ2020">IF(BM2020 = "", "",IFERROR(INDEX(AW2020:BH2020,1,MATCH(2,1/(AW2020:BH2020&lt;&gt;""),1)-1),""))</f>
        <v>1</v>
      </c>
      <c r="BK2020" s="58">
        <f>IF((IF(AW2020&gt;=115%,115%,AW2020) + IF(AX2020&gt;=115%,115%,AX2020) + IF(AY2020&gt;=115%,115%,AY2020) + (IF(AZ2020&gt;=115%,115%,AZ2020) + IF(BA2020&gt;=220%,220%,BA2020) + IF(BB2020&gt;=115%,115%,BB2020) + IF(BC2020&gt;=115%,115%,BC2020) + IF(BD2020&gt;=115%,115%,BD2020) + IF(BE2020&gt;=115%,115%,BE2020) + IF(BF2020&gt;=115%,115%,BF2020) + IF(BG2020&gt;=115%,115%,BG2020) + IF(BH2020&gt;=115%,115%,BH2020)))/_xlfn.XLOOKUP(F2020,Apuração!A:A,Apuração!B:B)&gt;=1.15,1.15,((IF(AZ2020&gt;=115%,115%,AZ2020) + IF(AX2020&gt;=115%,115%,AX2020) + IF(AY2020&gt;=115%,115%,AY2020) + (IF(AW2020&gt;=115%,115%,AW2020) + IF(BA2020&gt;=220%,220%,BA2020) + IF(BB2020&gt;=115%,115%,BB2020) + IF(BC2020&gt;=115%,115%,BC2020) + IF(BD2020&gt;=115%,115%,BD2020) + IF(BE2020&gt;=115%,115%,BE2020) + IF(BF2020&gt;=115%,115%,BF2020) + IF(BG2020&gt;=115%,115%,BG2020) + IF(BH2020&gt;=115%,115%,BH2020)))/_xlfn.XLOOKUP(F2020,Apuração!A:A,Apuração!B:B)))</f>
        <v>0.3125</v>
      </c>
      <c r="BL2020" s="58" cm="1">
        <f t="array" aca="1" ref="BL2020" ca="1">IF(SUM(IFERROR(IF(INDEX(AW2020:INDEX(AW2020:BH2020, MATCH(2, 1/(AW2020:BH2020&lt;&gt;""), 1)-1), ROW(INDIRECT("1:" &amp; MATCH(2, 1/(AW2020:BH2020&lt;&gt;""), 1)-1))) &gt;= 115%, 115%, INDEX(AW2020:INDEX(AW2020:BH2020, MATCH(2, 1/(AW2020:BH2020&lt;&gt;""), 1)-1), ROW(INDIRECT("1:" &amp; MATCH(2, 1/(AW2020:BH2020&lt;&gt;""), 1)-1)))), 0))/_xlfn.XLOOKUP(F2020,Apuração!A:A,Apuração!B:B)&gt;=1.15,1.15,SUM(IFERROR(IF(INDEX(AW2020:INDEX(AW2020:BH2020, MATCH(2, 1/(AW2020:BH2020&lt;&gt;""), 1)-1), ROW(INDIRECT("1:" &amp; MATCH(2, 1/(AW2020:BH2020&lt;&gt;""), 1)-1))) &gt;= 115%, 115%, INDEX(AW2020:INDEX(AW2020:BH2020, MATCH(2, 1/(AW2020:BH2020&lt;&gt;""), 1)-1), ROW(INDIRECT("1:" &amp; MATCH(2, 1/(AW2020:BH2020&lt;&gt;""), 1)-1)))), 0))/_xlfn.XLOOKUP(F2020,Apuração!A:A,Apuração!B:B))</f>
        <v>0.25</v>
      </c>
      <c r="BM2020" s="55" cm="1">
        <f t="array" ref="BM2020">IFERROR(
   INDEX($AW$1:$BH$1,
      _xlfn.AGGREGATE(14, 6, COLUMN($AW$1:$BH$1)/(AW2020:BH2020&lt;&gt;""), 2) - COLUMN($AW$1) + 1
   ),
"")</f>
        <v>46082</v>
      </c>
      <c r="BN2020" s="55" cm="1">
        <f t="array" ref="BN2020">IFERROR(INDEX($AW$1:$BH$1,1,MATCH(2,1/(AW2020:BH2020&lt;&gt;""))),"")</f>
        <v>46113</v>
      </c>
      <c r="BO2020" s="53">
        <f ca="1">IFERROR(_xlfn.XLOOKUP(F2020,Apuração!A:A,Apuração!C:C)/_xlfn.XLOOKUP(F2020,Apuração!A:A,Apuração!B:B),0)</f>
        <v>0.41666666666666669</v>
      </c>
      <c r="BP2020" s="53">
        <f ca="1">IFERROR(_xlfn.XLOOKUP(F2020,Apuração!A:A,Apuração!D:D)/_xlfn.XLOOKUP(F2020,Apuração!A:A,Apuração!B:B),0)</f>
        <v>0.33333333333333331</v>
      </c>
      <c r="BQ2020" s="53">
        <f ca="1">IF(BK2020&gt;=BO2020,0,_xlfn.XLOOKUP(F2020,Apuração!A:A,Apuração!B:B)*(BO2020 + (1/_xlfn.XLOOKUP(F2020,Apuração!A:A,Apuração!B:B)) - BK2020))</f>
        <v>2.25</v>
      </c>
      <c r="BR2020" s="85">
        <f t="shared" ca="1" si="2371"/>
        <v>9</v>
      </c>
      <c r="BS2020" s="53">
        <f ca="1">IFERROR((_xlfn.XLOOKUP(F2020,Apuração!A:A,Apuração!C:C)+1)/_xlfn.XLOOKUP(F2020,Apuração!A:A,Apuração!B:B),0)</f>
        <v>0.5</v>
      </c>
    </row>
    <row r="2021" spans="1:71" ht="25.95" hidden="1" customHeight="1" x14ac:dyDescent="0.3">
      <c r="A2021" s="20" t="s">
        <v>87</v>
      </c>
      <c r="B2021" s="4" t="s">
        <v>229</v>
      </c>
      <c r="C2021" s="5" t="s">
        <v>216</v>
      </c>
      <c r="D2021" s="5" t="s">
        <v>219</v>
      </c>
      <c r="E2021" s="4" t="str" cm="1">
        <f t="array" ref="E2021">_xlfn.IFS(
F2021 = "A partir de Abril", "Aguardando Execução na Distribuidora",
A2021 = "CAPACITAÇÃO", "Em execução no Corporativo",
TRUE, "Em Execução na Distribuidora"
)</f>
        <v>Em Execução na Distribuidora</v>
      </c>
      <c r="F2021" s="4" t="str" cm="1">
        <f t="array" ref="F2021">_xlfn.IFS(
AG2021 &lt;&gt; "", "Jan-Dez/26",
AH2021 &lt;&gt; "", "Fev-Dez/26",
AI2021 &lt;&gt; "", "Mar-Dez/26", AJ2021 &lt;&gt; "", "Abr-Dez/26",
TRUE, "A partir de Junho"
)</f>
        <v>Jan-Dez/26</v>
      </c>
      <c r="G2021" s="7" t="s">
        <v>37</v>
      </c>
      <c r="H2021" s="7" t="s">
        <v>38</v>
      </c>
      <c r="I2021" s="8" t="s">
        <v>223</v>
      </c>
      <c r="J2021" s="21" t="str" cm="1">
        <f t="array" aca="1" ref="J2021" ca="1">_xlfn.LET(
  _xlpm.actual_value_month, INDEX(T2021:AE2021, MATCH(DATE(YEAR(TODAY()), MONTH(TODAY()), 1), $T$1:$AE$1, 0)),
  IF(_xlpm.actual_value_month &lt;&gt; "",_xlpm.actual_value_month &amp; " inspeções mensais", "")
)</f>
        <v>4 inspeções mensais</v>
      </c>
      <c r="K2021" s="8" t="str" cm="1">
        <f t="array" ref="K2021">_xlfn.LET(
    _xlpm.sum_month, SUM(T2021:AE2021),
    IF(_xlpm.sum_month = 0, "", _xlpm.sum_month &amp; " inspeções realizadas no ano")
)</f>
        <v>49 inspeções realizadas no ano</v>
      </c>
      <c r="L2021" s="4" t="s">
        <v>230</v>
      </c>
      <c r="M2021" s="19" t="s">
        <v>231</v>
      </c>
      <c r="N2021" s="5" t="s">
        <v>42</v>
      </c>
      <c r="O2021" s="5" t="s">
        <v>43</v>
      </c>
      <c r="P2021" s="10" t="s">
        <v>44</v>
      </c>
      <c r="Q2021" s="10" t="s">
        <v>72</v>
      </c>
      <c r="R2021" s="11" t="s">
        <v>225</v>
      </c>
      <c r="S2021" s="11" t="s">
        <v>44</v>
      </c>
      <c r="T2021" s="143">
        <v>5</v>
      </c>
      <c r="U2021" s="143">
        <v>5</v>
      </c>
      <c r="V2021" s="143">
        <v>3</v>
      </c>
      <c r="W2021" s="143">
        <v>4</v>
      </c>
      <c r="X2021" s="143">
        <v>4</v>
      </c>
      <c r="Y2021" s="143">
        <v>4</v>
      </c>
      <c r="Z2021" s="143">
        <v>4</v>
      </c>
      <c r="AA2021" s="143">
        <v>4</v>
      </c>
      <c r="AB2021" s="143">
        <v>4</v>
      </c>
      <c r="AC2021" s="143">
        <v>4</v>
      </c>
      <c r="AD2021" s="143">
        <v>4</v>
      </c>
      <c r="AE2021" s="143">
        <v>4</v>
      </c>
      <c r="AG2021" s="82">
        <v>5</v>
      </c>
      <c r="AH2021" s="82">
        <v>5</v>
      </c>
      <c r="AI2021" s="82">
        <v>3</v>
      </c>
      <c r="AJ2021" s="82">
        <v>5</v>
      </c>
      <c r="AK2021" s="71"/>
      <c r="AL2021" s="71"/>
      <c r="AM2021" s="71"/>
      <c r="AN2021" s="71"/>
      <c r="AO2021" s="71"/>
      <c r="AP2021" s="71"/>
      <c r="AQ2021" s="71"/>
      <c r="AR2021" s="71"/>
      <c r="AS2021" s="94">
        <f t="shared" ca="1" si="2364"/>
        <v>21</v>
      </c>
      <c r="AT2021" s="95">
        <f t="shared" si="2365"/>
        <v>17.600000000000001</v>
      </c>
      <c r="AU2021" s="97">
        <f t="shared" si="2366"/>
        <v>18</v>
      </c>
      <c r="AW2021" s="51">
        <f t="shared" si="2367"/>
        <v>1</v>
      </c>
      <c r="AX2021" s="51">
        <f t="shared" si="2368"/>
        <v>1</v>
      </c>
      <c r="AY2021" s="51">
        <f t="shared" si="2369"/>
        <v>1</v>
      </c>
      <c r="AZ2021" s="51">
        <f t="shared" si="2370"/>
        <v>1.25</v>
      </c>
      <c r="BA2021" s="51"/>
      <c r="BB2021" s="51"/>
      <c r="BC2021" s="51"/>
      <c r="BD2021" s="51"/>
      <c r="BE2021" s="51"/>
      <c r="BF2021" s="51"/>
      <c r="BG2021" s="51"/>
      <c r="BH2021" s="51"/>
      <c r="BI2021" s="65" cm="1">
        <f t="array" ref="BI2021">IFERROR(INDEX(AW2021:BH2021,1,MATCH(2,1/(AW2021:BH2021&lt;&gt;""))),"")</f>
        <v>1.25</v>
      </c>
      <c r="BJ2021" s="68" cm="1">
        <f t="array" ref="BJ2021">IF(BM2021 = "", "",IFERROR(INDEX(AW2021:BH2021,1,MATCH(2,1/(AW2021:BH2021&lt;&gt;""),1)-1),""))</f>
        <v>1</v>
      </c>
      <c r="BK2021" s="58">
        <f>IF((IF(AW2021&gt;=115%,115%,AW2021) + IF(AX2021&gt;=115%,115%,AX2021) + IF(AY2021&gt;=115%,115%,AY2021) + (IF(AZ2021&gt;=115%,115%,AZ2021) + IF(BA2021&gt;=220%,220%,BA2021) + IF(BB2021&gt;=115%,115%,BB2021) + IF(BC2021&gt;=115%,115%,BC2021) + IF(BD2021&gt;=115%,115%,BD2021) + IF(BE2021&gt;=115%,115%,BE2021) + IF(BF2021&gt;=115%,115%,BF2021) + IF(BG2021&gt;=115%,115%,BG2021) + IF(BH2021&gt;=115%,115%,BH2021)))/_xlfn.XLOOKUP(F2021,Apuração!A:A,Apuração!B:B)&gt;=1.15,1.15,((IF(AZ2021&gt;=115%,115%,AZ2021) + IF(AX2021&gt;=115%,115%,AX2021) + IF(AY2021&gt;=115%,115%,AY2021) + (IF(AW2021&gt;=115%,115%,AW2021) + IF(BA2021&gt;=220%,220%,BA2021) + IF(BB2021&gt;=115%,115%,BB2021) + IF(BC2021&gt;=115%,115%,BC2021) + IF(BD2021&gt;=115%,115%,BD2021) + IF(BE2021&gt;=115%,115%,BE2021) + IF(BF2021&gt;=115%,115%,BF2021) + IF(BG2021&gt;=115%,115%,BG2021) + IF(BH2021&gt;=115%,115%,BH2021)))/_xlfn.XLOOKUP(F2021,Apuração!A:A,Apuração!B:B)))</f>
        <v>0.34583333333333338</v>
      </c>
      <c r="BL2021" s="58" cm="1">
        <f t="array" aca="1" ref="BL2021" ca="1">IF(SUM(IFERROR(IF(INDEX(AW2021:INDEX(AW2021:BH2021, MATCH(2, 1/(AW2021:BH2021&lt;&gt;""), 1)-1), ROW(INDIRECT("1:" &amp; MATCH(2, 1/(AW2021:BH2021&lt;&gt;""), 1)-1))) &gt;= 115%, 115%, INDEX(AW2021:INDEX(AW2021:BH2021, MATCH(2, 1/(AW2021:BH2021&lt;&gt;""), 1)-1), ROW(INDIRECT("1:" &amp; MATCH(2, 1/(AW2021:BH2021&lt;&gt;""), 1)-1)))), 0))/_xlfn.XLOOKUP(F2021,Apuração!A:A,Apuração!B:B)&gt;=1.15,1.15,SUM(IFERROR(IF(INDEX(AW2021:INDEX(AW2021:BH2021, MATCH(2, 1/(AW2021:BH2021&lt;&gt;""), 1)-1), ROW(INDIRECT("1:" &amp; MATCH(2, 1/(AW2021:BH2021&lt;&gt;""), 1)-1))) &gt;= 115%, 115%, INDEX(AW2021:INDEX(AW2021:BH2021, MATCH(2, 1/(AW2021:BH2021&lt;&gt;""), 1)-1), ROW(INDIRECT("1:" &amp; MATCH(2, 1/(AW2021:BH2021&lt;&gt;""), 1)-1)))), 0))/_xlfn.XLOOKUP(F2021,Apuração!A:A,Apuração!B:B))</f>
        <v>0.25</v>
      </c>
      <c r="BM2021" s="55" cm="1">
        <f t="array" ref="BM2021">IFERROR(
   INDEX($AW$1:$BH$1,
      _xlfn.AGGREGATE(14, 6, COLUMN($AW$1:$BH$1)/(AW2021:BH2021&lt;&gt;""), 2) - COLUMN($AW$1) + 1
   ),
"")</f>
        <v>46082</v>
      </c>
      <c r="BN2021" s="55" cm="1">
        <f t="array" ref="BN2021">IFERROR(INDEX($AW$1:$BH$1,1,MATCH(2,1/(AW2021:BH2021&lt;&gt;""))),"")</f>
        <v>46113</v>
      </c>
      <c r="BO2021" s="53">
        <f ca="1">IFERROR(_xlfn.XLOOKUP(F2021,Apuração!A:A,Apuração!C:C)/_xlfn.XLOOKUP(F2021,Apuração!A:A,Apuração!B:B),0)</f>
        <v>0.41666666666666669</v>
      </c>
      <c r="BP2021" s="53">
        <f ca="1">IFERROR(_xlfn.XLOOKUP(F2021,Apuração!A:A,Apuração!D:D)/_xlfn.XLOOKUP(F2021,Apuração!A:A,Apuração!B:B),0)</f>
        <v>0.33333333333333331</v>
      </c>
      <c r="BQ2021" s="53">
        <f ca="1">IF(BK2021&gt;=BO2021,0,_xlfn.XLOOKUP(F2021,Apuração!A:A,Apuração!B:B)*(BO2021 + (1/_xlfn.XLOOKUP(F2021,Apuração!A:A,Apuração!B:B)) - BK2021))</f>
        <v>1.8499999999999994</v>
      </c>
      <c r="BR2021" s="85">
        <f t="shared" ca="1" si="2371"/>
        <v>7.3999999999999977</v>
      </c>
      <c r="BS2021" s="53">
        <f ca="1">IFERROR((_xlfn.XLOOKUP(F2021,Apuração!A:A,Apuração!C:C)+1)/_xlfn.XLOOKUP(F2021,Apuração!A:A,Apuração!B:B),0)</f>
        <v>0.5</v>
      </c>
    </row>
    <row r="2022" spans="1:71" ht="25.95" hidden="1" customHeight="1" x14ac:dyDescent="0.3">
      <c r="A2022" s="40" t="s">
        <v>87</v>
      </c>
      <c r="B2022" s="4" t="s">
        <v>229</v>
      </c>
      <c r="C2022" s="5" t="s">
        <v>216</v>
      </c>
      <c r="D2022" s="5" t="s">
        <v>36</v>
      </c>
      <c r="E2022" s="4" t="str" cm="1">
        <f t="array" ref="E2022">_xlfn.IFS(
F2022 = "A partir de Abril", "Aguardando Execução na Distribuidora",
A2022 = "CAPACITAÇÃO", "Em execução no Corporativo",
TRUE, "Em Execução na Distribuidora"
)</f>
        <v>Em Execução na Distribuidora</v>
      </c>
      <c r="F2022" s="4" t="str" cm="1">
        <f t="array" ref="F2022">_xlfn.IFS(
AG2022 &lt;&gt; "", "Jan-Dez/26",
AH2022 &lt;&gt; "", "Fev-Dez/26",
AI2022 &lt;&gt; "", "Mar-Dez/26", AJ2022 &lt;&gt; "", "Abr-Dez/26",
TRUE, "A partir de Junho"
)</f>
        <v>Fev-Dez/26</v>
      </c>
      <c r="G2022" s="7" t="s">
        <v>37</v>
      </c>
      <c r="H2022" s="7" t="s">
        <v>38</v>
      </c>
      <c r="I2022" s="8" t="s">
        <v>148</v>
      </c>
      <c r="J2022" s="21" t="str" cm="1">
        <f t="array" aca="1" ref="J2022" ca="1">_xlfn.LET(
  _xlpm.actual_value_month, INDEX(T2022:AE2022, MATCH(DATE(YEAR(TODAY()), MONTH(TODAY()), 1), $T$1:$AE$1, 0)),
  IF(_xlpm.actual_value_month &lt;&gt; "",_xlpm.actual_value_month &amp; " ações mensais", "")
)</f>
        <v/>
      </c>
      <c r="K2022" s="8" t="str" cm="1">
        <f t="array" ref="K2022">_xlfn.LET(
    _xlpm.sum_month, SUM(T2022:AE2022),
    IF(_xlpm.sum_month = 0, "", _xlpm.sum_month &amp; " NC's no ano")
)</f>
        <v/>
      </c>
      <c r="L2022" s="9" t="s">
        <v>149</v>
      </c>
      <c r="M2022" s="4"/>
      <c r="N2022" s="5" t="s">
        <v>51</v>
      </c>
      <c r="O2022" s="5" t="s">
        <v>52</v>
      </c>
      <c r="P2022" s="10" t="s">
        <v>44</v>
      </c>
      <c r="Q2022" s="10" t="s">
        <v>44</v>
      </c>
      <c r="R2022" s="11" t="s">
        <v>44</v>
      </c>
      <c r="S2022" s="11" t="s">
        <v>44</v>
      </c>
      <c r="T2022" s="22"/>
      <c r="U2022" s="22"/>
      <c r="V2022" s="22"/>
      <c r="W2022" s="22"/>
      <c r="X2022" s="22"/>
      <c r="Y2022" s="22"/>
      <c r="Z2022" s="22"/>
      <c r="AA2022" s="22"/>
      <c r="AB2022" s="22"/>
      <c r="AC2022" s="22"/>
      <c r="AD2022" s="22"/>
      <c r="AE2022" s="22"/>
      <c r="AG2022" s="71"/>
      <c r="AH2022" s="71">
        <v>1</v>
      </c>
      <c r="AI2022" s="71">
        <v>1</v>
      </c>
      <c r="AJ2022" s="71">
        <v>3</v>
      </c>
      <c r="AK2022" s="71"/>
      <c r="AL2022" s="71"/>
      <c r="AM2022" s="71"/>
      <c r="AN2022" s="71"/>
      <c r="AO2022" s="71"/>
      <c r="AP2022" s="71"/>
      <c r="AQ2022" s="71"/>
      <c r="AR2022" s="71"/>
      <c r="AS2022" s="94">
        <f t="shared" ref="AS2022:AS2038" ca="1" si="2372">IF(MONTH(TODAY())=3,SUM(T2022:U2022),IF(MONTH(TODAY())=4,SUM(T2022:V2022),IF(MONTH(TODAY())=5,SUM(T2022:W2022),IF(MONTH(TODAY())=6,SUM(T2022:X2022),IF(MONTH(TODAY())=7,SUM(T2022:Y2022),IF(MONTH(TODAY())=8,SUM(T2022:Z2022),IF(MONTH(TODAY())=9,SUM(T2022:AA2022),IF(MONTH(TODAY())=10,SUM(T2022:AB2022),IF(MONTH(TODAY())=11,SUM(T2022:AC2022),IF(MONTH(TODAY())=12,SUM(T2022:AD2022),IF(MONTH(TODAY())=1,SUM(T2022:AE2022),T2022)))))))))))</f>
        <v>0</v>
      </c>
      <c r="AT2022" s="95">
        <f>SUM(AG2022:AR2022)</f>
        <v>5</v>
      </c>
      <c r="AU2022" s="97">
        <f t="shared" ref="AU2022:AU2038" si="2373">SUM(AG2022:AR2022)</f>
        <v>5</v>
      </c>
      <c r="AW2022" s="83">
        <f>AG2022</f>
        <v>0</v>
      </c>
      <c r="AX2022" s="83">
        <f>AH2022</f>
        <v>1</v>
      </c>
      <c r="AY2022" s="83">
        <f>AI2022</f>
        <v>1</v>
      </c>
      <c r="AZ2022" s="83">
        <f>AJ2022</f>
        <v>3</v>
      </c>
      <c r="BA2022" s="52"/>
      <c r="BB2022" s="52"/>
      <c r="BC2022" s="52"/>
      <c r="BD2022" s="52"/>
      <c r="BE2022" s="52"/>
      <c r="BF2022" s="52"/>
      <c r="BG2022" s="52"/>
      <c r="BH2022" s="52"/>
      <c r="BI2022" s="68" cm="1">
        <f t="array" ref="BI2022">IFERROR(INDEX(AW2022:BH2022,1,MATCH(2,1/(AW2022:BH2022&lt;&gt;""))),"")</f>
        <v>3</v>
      </c>
      <c r="BJ2022" s="68" cm="1">
        <f t="array" ref="BJ2022">IF(BM2022 = "", "",IFERROR(INDEX(AW2022:BH2022,1,MATCH(2,1/(AW2022:BH2022&lt;&gt;""),1)-1),""))</f>
        <v>1</v>
      </c>
      <c r="BK2022" s="59">
        <f>SUM(AW2022:BH2022)</f>
        <v>5</v>
      </c>
      <c r="BL2022" s="59" cm="1">
        <f t="array" ref="BL2022">IFERROR(SUM(AW2022:INDEX(AW2022:BH2022, MATCH(2, 1/(AW2022:BH2022&lt;&gt;""), 1) - 1))/_xlfn.XLOOKUP(F2022,Apuração!A:A,Apuração!B:B),0)</f>
        <v>0.18181818181818182</v>
      </c>
      <c r="BM2022" s="55" cm="1">
        <f t="array" ref="BM2022">IFERROR(
   INDEX($AW$1:$BH$1,
      _xlfn.AGGREGATE(14, 6, COLUMN($AW$1:$BH$1)/(AW2022:BH2022&lt;&gt;""), 2) - COLUMN($AW$1) + 1
   ),
"")</f>
        <v>46082</v>
      </c>
      <c r="BN2022" s="55" cm="1">
        <f t="array" ref="BN2022">IFERROR(INDEX($AW$1:$BH$1,1,MATCH(2,1/(AW2022:BH2022&lt;&gt;""))),"")</f>
        <v>46113</v>
      </c>
      <c r="BO2022" s="53">
        <f ca="1">IFERROR(_xlfn.XLOOKUP(F2022,Apuração!A:A,Apuração!C:C)/_xlfn.XLOOKUP(F2022,Apuração!A:A,Apuração!B:B),0)</f>
        <v>0.36363636363636365</v>
      </c>
      <c r="BP2022" s="53">
        <f ca="1">IFERROR(_xlfn.XLOOKUP(F2022,Apuração!A:A,Apuração!D:D)/_xlfn.XLOOKUP(F2022,Apuração!A:A,Apuração!B:B),0)</f>
        <v>0.27272727272727271</v>
      </c>
      <c r="BQ2022" s="53">
        <f ca="1">IF(BK2022&gt;=BO2022,0,_xlfn.XLOOKUP(F2022,Apuração!A:A,Apuração!B:B)*(BO2022 + (1/_xlfn.XLOOKUP(F2022,Apuração!A:A,Apuração!B:B)) - BK2022))</f>
        <v>0</v>
      </c>
      <c r="BR2022" s="85">
        <f t="shared" ref="BR2022:BR2038" ca="1" si="2374">IF(BQ2022=0,0,BQ2022*Z2022)</f>
        <v>0</v>
      </c>
      <c r="BS2022" s="53">
        <f ca="1">IFERROR((_xlfn.XLOOKUP(F2022,Apuração!A:A,Apuração!C:C)+1)/_xlfn.XLOOKUP(F2022,Apuração!A:A,Apuração!B:B),0)</f>
        <v>0.45454545454545453</v>
      </c>
    </row>
    <row r="2023" spans="1:71" ht="27.6" hidden="1" customHeight="1" x14ac:dyDescent="0.3">
      <c r="A2023" s="40" t="s">
        <v>87</v>
      </c>
      <c r="B2023" s="4" t="s">
        <v>222</v>
      </c>
      <c r="C2023" s="5" t="s">
        <v>221</v>
      </c>
      <c r="D2023" s="5" t="s">
        <v>212</v>
      </c>
      <c r="E2023" s="4" t="str" cm="1">
        <f t="array" ref="E2023">_xlfn.IFS(
F2023 = "A partir de Abril", "Aguardando Execução na Distribuidora",
A2023 = "CAPACITAÇÃO", "Em execução no Corporativo",
TRUE, "Em Execução na Distribuidora"
)</f>
        <v>Em Execução na Distribuidora</v>
      </c>
      <c r="F2023" s="4" t="str" cm="1">
        <f t="array" ref="F2023">_xlfn.IFS(
AG2023 &lt;&gt; "", "Jan-Dez/26",
AH2023 &lt;&gt; "", "Fev-Dez/26",
AI2023 &lt;&gt; "", "Mar-Dez/26", AJ2023 &lt;&gt; "", "Abr-Dez/26",
TRUE, "A partir de Junho"
)</f>
        <v>Jan-Dez/26</v>
      </c>
      <c r="G2023" s="7" t="s">
        <v>37</v>
      </c>
      <c r="H2023" s="7" t="s">
        <v>38</v>
      </c>
      <c r="I2023" s="8" t="s">
        <v>148</v>
      </c>
      <c r="J2023" s="21" t="str" cm="1">
        <f t="array" aca="1" ref="J2023" ca="1">_xlfn.LET(
  _xlpm.actual_value_month, INDEX(T2023:AE2023, MATCH(DATE(YEAR(TODAY()), MONTH(TODAY()), 1), $T$1:$AE$1, 0)),
  IF(_xlpm.actual_value_month &lt;&gt; "",_xlpm.actual_value_month &amp; " ações mensais", "")
)</f>
        <v/>
      </c>
      <c r="K2023" s="8" t="str" cm="1">
        <f t="array" ref="K2023">_xlfn.LET(
    _xlpm.sum_month, SUM(T2023:AE2023),
    IF(_xlpm.sum_month = 0, "", _xlpm.sum_month &amp; " NC's no ano")
)</f>
        <v/>
      </c>
      <c r="L2023" s="9" t="s">
        <v>149</v>
      </c>
      <c r="M2023" s="4"/>
      <c r="N2023" s="5" t="s">
        <v>51</v>
      </c>
      <c r="O2023" s="5" t="s">
        <v>52</v>
      </c>
      <c r="P2023" s="10" t="s">
        <v>44</v>
      </c>
      <c r="Q2023" s="10" t="s">
        <v>44</v>
      </c>
      <c r="R2023" s="11" t="s">
        <v>44</v>
      </c>
      <c r="S2023" s="11" t="s">
        <v>44</v>
      </c>
      <c r="T2023" s="22"/>
      <c r="U2023" s="22"/>
      <c r="V2023" s="22"/>
      <c r="W2023" s="22"/>
      <c r="X2023" s="22"/>
      <c r="Y2023" s="22"/>
      <c r="Z2023" s="22"/>
      <c r="AA2023" s="22"/>
      <c r="AB2023" s="22"/>
      <c r="AC2023" s="22"/>
      <c r="AD2023" s="22"/>
      <c r="AE2023" s="22"/>
      <c r="AG2023" s="82">
        <v>0</v>
      </c>
      <c r="AH2023" s="82">
        <v>0</v>
      </c>
      <c r="AI2023" s="82">
        <v>0</v>
      </c>
      <c r="AJ2023" s="82">
        <v>353</v>
      </c>
      <c r="AK2023" s="71">
        <v>0</v>
      </c>
      <c r="AL2023" s="71"/>
      <c r="AM2023" s="71"/>
      <c r="AN2023" s="71"/>
      <c r="AO2023" s="71"/>
      <c r="AP2023" s="71"/>
      <c r="AQ2023" s="71"/>
      <c r="AR2023" s="71"/>
      <c r="AS2023" s="94">
        <f t="shared" ca="1" si="2372"/>
        <v>0</v>
      </c>
      <c r="AT2023" s="95">
        <f t="shared" ref="AT2023:AT2024" si="2375">SUM(AG2023:AR2023)</f>
        <v>353</v>
      </c>
      <c r="AU2023" s="97">
        <f t="shared" si="2373"/>
        <v>353</v>
      </c>
      <c r="AW2023" s="83">
        <f t="shared" ref="AW2023:AW2024" si="2376">AG2023</f>
        <v>0</v>
      </c>
      <c r="AX2023" s="83">
        <f t="shared" ref="AX2023:AX2024" si="2377">AH2023</f>
        <v>0</v>
      </c>
      <c r="AY2023" s="83">
        <f t="shared" ref="AY2023:AY2024" si="2378">AI2023</f>
        <v>0</v>
      </c>
      <c r="AZ2023" s="83">
        <f t="shared" ref="AZ2023:BA2024" si="2379">AJ2023</f>
        <v>353</v>
      </c>
      <c r="BA2023" s="83">
        <f t="shared" si="2379"/>
        <v>0</v>
      </c>
      <c r="BB2023" s="52"/>
      <c r="BC2023" s="52"/>
      <c r="BD2023" s="52"/>
      <c r="BE2023" s="52"/>
      <c r="BF2023" s="52"/>
      <c r="BG2023" s="52"/>
      <c r="BH2023" s="52"/>
      <c r="BI2023" s="68" cm="1">
        <f t="array" ref="BI2023">IFERROR(INDEX(AW2023:BH2023,1,MATCH(2,1/(AW2023:BH2023&lt;&gt;""))),"")</f>
        <v>0</v>
      </c>
      <c r="BJ2023" s="68" cm="1">
        <f t="array" ref="BJ2023">IF(BM2023 = "", "",IFERROR(INDEX(AW2023:BH2023,1,MATCH(2,1/(AW2023:BH2023&lt;&gt;""),1)-1),""))</f>
        <v>353</v>
      </c>
      <c r="BK2023" s="59">
        <f t="shared" ref="BK2023:BK2024" si="2380">SUM(AW2023:BH2023)</f>
        <v>353</v>
      </c>
      <c r="BL2023" s="59" cm="1">
        <f t="array" ref="BL2023">IFERROR(SUM(AW2023:INDEX(AW2023:BH2023, MATCH(2, 1/(AW2023:BH2023&lt;&gt;""), 1) - 1))/_xlfn.XLOOKUP(F2023,Apuração!A:A,Apuração!B:B),0)</f>
        <v>29.416666666666668</v>
      </c>
      <c r="BM2023" s="55" cm="1">
        <f t="array" ref="BM2023">IFERROR(
   INDEX($AW$1:$BH$1,
      _xlfn.AGGREGATE(14, 6, COLUMN($AW$1:$BH$1)/(AW2023:BH2023&lt;&gt;""), 2) - COLUMN($AW$1) + 1
   ),
"")</f>
        <v>46113</v>
      </c>
      <c r="BN2023" s="55" cm="1">
        <f t="array" ref="BN2023">IFERROR(INDEX($AW$1:$BH$1,1,MATCH(2,1/(AW2023:BH2023&lt;&gt;""))),"")</f>
        <v>46143</v>
      </c>
      <c r="BO2023" s="53">
        <f ca="1">IFERROR(_xlfn.XLOOKUP(F2023,Apuração!A:A,Apuração!C:C)/_xlfn.XLOOKUP(F2023,Apuração!A:A,Apuração!B:B),0)</f>
        <v>0.41666666666666669</v>
      </c>
      <c r="BP2023" s="53">
        <f ca="1">IFERROR(_xlfn.XLOOKUP(F2023,Apuração!A:A,Apuração!D:D)/_xlfn.XLOOKUP(F2023,Apuração!A:A,Apuração!B:B),0)</f>
        <v>0.33333333333333331</v>
      </c>
      <c r="BQ2023" s="53">
        <f ca="1">IF(BK2023&gt;=BO2023,0,_xlfn.XLOOKUP(F2023,Apuração!A:A,Apuração!B:B)*(BO2023 + (1/_xlfn.XLOOKUP(F2023,Apuração!A:A,Apuração!B:B)) - BK2023))</f>
        <v>0</v>
      </c>
      <c r="BR2023" s="85">
        <f t="shared" ca="1" si="2374"/>
        <v>0</v>
      </c>
      <c r="BS2023" s="53">
        <f ca="1">IFERROR((_xlfn.XLOOKUP(F2023,Apuração!A:A,Apuração!C:C)+1)/_xlfn.XLOOKUP(F2023,Apuração!A:A,Apuração!B:B),0)</f>
        <v>0.5</v>
      </c>
    </row>
    <row r="2024" spans="1:71" ht="27.6" hidden="1" customHeight="1" x14ac:dyDescent="0.3">
      <c r="A2024" s="40" t="s">
        <v>87</v>
      </c>
      <c r="B2024" s="4" t="s">
        <v>222</v>
      </c>
      <c r="C2024" s="5" t="s">
        <v>221</v>
      </c>
      <c r="D2024" s="5" t="s">
        <v>213</v>
      </c>
      <c r="E2024" s="4" t="str" cm="1">
        <f t="array" ref="E2024">_xlfn.IFS(
F2024 = "A partir de Abril", "Aguardando Execução na Distribuidora",
A2024 = "CAPACITAÇÃO", "Em execução no Corporativo",
TRUE, "Em Execução na Distribuidora"
)</f>
        <v>Em Execução na Distribuidora</v>
      </c>
      <c r="F2024" s="4" t="str" cm="1">
        <f t="array" ref="F2024">_xlfn.IFS(
AG2024 &lt;&gt; "", "Jan-Dez/26",
AH2024 &lt;&gt; "", "Fev-Dez/26",
AI2024 &lt;&gt; "", "Mar-Dez/26", AJ2024 &lt;&gt; "", "Abr-Dez/26",
TRUE, "A partir de Junho"
)</f>
        <v>Jan-Dez/26</v>
      </c>
      <c r="G2024" s="7" t="s">
        <v>37</v>
      </c>
      <c r="H2024" s="7" t="s">
        <v>38</v>
      </c>
      <c r="I2024" s="8" t="s">
        <v>148</v>
      </c>
      <c r="J2024" s="21" t="str" cm="1">
        <f t="array" aca="1" ref="J2024" ca="1">_xlfn.LET(
  _xlpm.actual_value_month, INDEX(T2024:AE2024, MATCH(DATE(YEAR(TODAY()), MONTH(TODAY()), 1), $T$1:$AE$1, 0)),
  IF(_xlpm.actual_value_month &lt;&gt; "",_xlpm.actual_value_month &amp; " ações mensais", "")
)</f>
        <v/>
      </c>
      <c r="K2024" s="8" t="str" cm="1">
        <f t="array" ref="K2024">_xlfn.LET(
    _xlpm.sum_month, SUM(T2024:AE2024),
    IF(_xlpm.sum_month = 0, "", _xlpm.sum_month &amp; " NC's no ano")
)</f>
        <v/>
      </c>
      <c r="L2024" s="9" t="s">
        <v>149</v>
      </c>
      <c r="M2024" s="4"/>
      <c r="N2024" s="5" t="s">
        <v>51</v>
      </c>
      <c r="O2024" s="5" t="s">
        <v>52</v>
      </c>
      <c r="P2024" s="10" t="s">
        <v>44</v>
      </c>
      <c r="Q2024" s="10" t="s">
        <v>44</v>
      </c>
      <c r="R2024" s="11" t="s">
        <v>44</v>
      </c>
      <c r="S2024" s="11" t="s">
        <v>44</v>
      </c>
      <c r="T2024" s="22"/>
      <c r="U2024" s="22"/>
      <c r="V2024" s="22"/>
      <c r="W2024" s="22"/>
      <c r="X2024" s="22"/>
      <c r="Y2024" s="22"/>
      <c r="Z2024" s="22"/>
      <c r="AA2024" s="22"/>
      <c r="AB2024" s="22"/>
      <c r="AC2024" s="22"/>
      <c r="AD2024" s="22"/>
      <c r="AE2024" s="22"/>
      <c r="AG2024" s="82">
        <v>0</v>
      </c>
      <c r="AH2024" s="82">
        <v>0</v>
      </c>
      <c r="AI2024" s="82">
        <v>0</v>
      </c>
      <c r="AJ2024" s="82">
        <v>394</v>
      </c>
      <c r="AK2024" s="71">
        <v>0</v>
      </c>
      <c r="AL2024" s="71"/>
      <c r="AM2024" s="71"/>
      <c r="AN2024" s="71"/>
      <c r="AO2024" s="71"/>
      <c r="AP2024" s="71"/>
      <c r="AQ2024" s="71"/>
      <c r="AR2024" s="71"/>
      <c r="AS2024" s="94">
        <f t="shared" ca="1" si="2372"/>
        <v>0</v>
      </c>
      <c r="AT2024" s="95">
        <f t="shared" si="2375"/>
        <v>394</v>
      </c>
      <c r="AU2024" s="97">
        <f t="shared" si="2373"/>
        <v>394</v>
      </c>
      <c r="AW2024" s="83">
        <f t="shared" si="2376"/>
        <v>0</v>
      </c>
      <c r="AX2024" s="83">
        <f t="shared" si="2377"/>
        <v>0</v>
      </c>
      <c r="AY2024" s="83">
        <f t="shared" si="2378"/>
        <v>0</v>
      </c>
      <c r="AZ2024" s="83">
        <f t="shared" si="2379"/>
        <v>394</v>
      </c>
      <c r="BA2024" s="83">
        <f t="shared" si="2379"/>
        <v>0</v>
      </c>
      <c r="BB2024" s="52"/>
      <c r="BC2024" s="52"/>
      <c r="BD2024" s="52"/>
      <c r="BE2024" s="52"/>
      <c r="BF2024" s="52"/>
      <c r="BG2024" s="52"/>
      <c r="BH2024" s="52"/>
      <c r="BI2024" s="68" cm="1">
        <f t="array" ref="BI2024">IFERROR(INDEX(AW2024:BH2024,1,MATCH(2,1/(AW2024:BH2024&lt;&gt;""))),"")</f>
        <v>0</v>
      </c>
      <c r="BJ2024" s="68" cm="1">
        <f t="array" ref="BJ2024">IF(BM2024 = "", "",IFERROR(INDEX(AW2024:BH2024,1,MATCH(2,1/(AW2024:BH2024&lt;&gt;""),1)-1),""))</f>
        <v>394</v>
      </c>
      <c r="BK2024" s="59">
        <f t="shared" si="2380"/>
        <v>394</v>
      </c>
      <c r="BL2024" s="59" cm="1">
        <f t="array" ref="BL2024">IFERROR(SUM(AW2024:INDEX(AW2024:BH2024, MATCH(2, 1/(AW2024:BH2024&lt;&gt;""), 1) - 1))/_xlfn.XLOOKUP(F2024,Apuração!A:A,Apuração!B:B),0)</f>
        <v>32.833333333333336</v>
      </c>
      <c r="BM2024" s="55" cm="1">
        <f t="array" ref="BM2024">IFERROR(
   INDEX($AW$1:$BH$1,
      _xlfn.AGGREGATE(14, 6, COLUMN($AW$1:$BH$1)/(AW2024:BH2024&lt;&gt;""), 2) - COLUMN($AW$1) + 1
   ),
"")</f>
        <v>46113</v>
      </c>
      <c r="BN2024" s="55" cm="1">
        <f t="array" ref="BN2024">IFERROR(INDEX($AW$1:$BH$1,1,MATCH(2,1/(AW2024:BH2024&lt;&gt;""))),"")</f>
        <v>46143</v>
      </c>
      <c r="BO2024" s="53">
        <f ca="1">IFERROR(_xlfn.XLOOKUP(F2024,Apuração!A:A,Apuração!C:C)/_xlfn.XLOOKUP(F2024,Apuração!A:A,Apuração!B:B),0)</f>
        <v>0.41666666666666669</v>
      </c>
      <c r="BP2024" s="53">
        <f ca="1">IFERROR(_xlfn.XLOOKUP(F2024,Apuração!A:A,Apuração!D:D)/_xlfn.XLOOKUP(F2024,Apuração!A:A,Apuração!B:B),0)</f>
        <v>0.33333333333333331</v>
      </c>
      <c r="BQ2024" s="53">
        <f ca="1">IF(BK2024&gt;=BO2024,0,_xlfn.XLOOKUP(F2024,Apuração!A:A,Apuração!B:B)*(BO2024 + (1/_xlfn.XLOOKUP(F2024,Apuração!A:A,Apuração!B:B)) - BK2024))</f>
        <v>0</v>
      </c>
      <c r="BR2024" s="85">
        <f t="shared" ca="1" si="2374"/>
        <v>0</v>
      </c>
      <c r="BS2024" s="53">
        <f ca="1">IFERROR((_xlfn.XLOOKUP(F2024,Apuração!A:A,Apuração!C:C)+1)/_xlfn.XLOOKUP(F2024,Apuração!A:A,Apuração!B:B),0)</f>
        <v>0.5</v>
      </c>
    </row>
    <row r="2025" spans="1:71" ht="25.95" hidden="1" customHeight="1" x14ac:dyDescent="0.3">
      <c r="A2025" s="20" t="s">
        <v>87</v>
      </c>
      <c r="B2025" s="4" t="s">
        <v>229</v>
      </c>
      <c r="C2025" s="5" t="s">
        <v>221</v>
      </c>
      <c r="D2025" s="5" t="s">
        <v>36</v>
      </c>
      <c r="E2025" s="4" t="str" cm="1">
        <f t="array" ref="E2025">_xlfn.IFS(
F2025 = "A partir de Abril", "Aguardando Execução na Distribuidora",
A2025 = "CAPACITAÇÃO", "Em execução no Corporativo",
TRUE, "Em Execução na Distribuidora"
)</f>
        <v>Em Execução na Distribuidora</v>
      </c>
      <c r="F2025" s="4" t="str" cm="1">
        <f t="array" ref="F2025">_xlfn.IFS(
AG2025 &lt;&gt; "", "Jan-Dez/26",
AH2025 &lt;&gt; "", "Fev-Dez/26",
AI2025 &lt;&gt; "", "Mar-Dez/26", AJ2025 &lt;&gt; "", "Abr-Dez/26",
TRUE, "A partir de Junho"
)</f>
        <v>Jan-Dez/26</v>
      </c>
      <c r="G2025" s="7" t="s">
        <v>37</v>
      </c>
      <c r="H2025" s="7" t="s">
        <v>110</v>
      </c>
      <c r="I2025" s="8" t="s">
        <v>223</v>
      </c>
      <c r="J2025" s="21" t="str" cm="1">
        <f t="array" aca="1" ref="J2025" ca="1">_xlfn.LET(
  _xlpm.actual_value_month, INDEX(T2025:AE2025, MATCH(DATE(YEAR(TODAY()), MONTH(TODAY()), 1), $T$1:$AE$1, 0)),
  IF(_xlpm.actual_value_month &lt;&gt; "",_xlpm.actual_value_month &amp; " inspeções mensais", "")
)</f>
        <v>16 inspeções mensais</v>
      </c>
      <c r="K2025" s="8" t="str" cm="1">
        <f t="array" ref="K2025">_xlfn.LET(
    _xlpm.sum_month, SUM(T2025:AE2025),
    IF(_xlpm.sum_month = 0, "", _xlpm.sum_month &amp; " inspeções realizadas no ano")
)</f>
        <v>187 inspeções realizadas no ano</v>
      </c>
      <c r="L2025" s="4" t="s">
        <v>230</v>
      </c>
      <c r="M2025" s="19" t="s">
        <v>231</v>
      </c>
      <c r="N2025" s="5" t="s">
        <v>42</v>
      </c>
      <c r="O2025" s="5" t="s">
        <v>43</v>
      </c>
      <c r="P2025" s="10" t="s">
        <v>44</v>
      </c>
      <c r="Q2025" s="10" t="s">
        <v>72</v>
      </c>
      <c r="R2025" s="11" t="s">
        <v>225</v>
      </c>
      <c r="S2025" s="11" t="s">
        <v>44</v>
      </c>
      <c r="T2025" s="22">
        <v>12</v>
      </c>
      <c r="U2025" s="22">
        <v>18</v>
      </c>
      <c r="V2025" s="22">
        <v>13</v>
      </c>
      <c r="W2025" s="22">
        <v>16</v>
      </c>
      <c r="X2025" s="22">
        <v>16</v>
      </c>
      <c r="Y2025" s="22">
        <v>16</v>
      </c>
      <c r="Z2025" s="22">
        <v>16</v>
      </c>
      <c r="AA2025" s="22">
        <v>16</v>
      </c>
      <c r="AB2025" s="22">
        <v>16</v>
      </c>
      <c r="AC2025" s="22">
        <v>16</v>
      </c>
      <c r="AD2025" s="22">
        <v>16</v>
      </c>
      <c r="AE2025" s="22">
        <v>16</v>
      </c>
      <c r="AG2025" s="71">
        <v>12</v>
      </c>
      <c r="AH2025" s="71">
        <v>18</v>
      </c>
      <c r="AI2025" s="71">
        <v>13</v>
      </c>
      <c r="AJ2025" s="71">
        <v>16</v>
      </c>
      <c r="AK2025" s="71">
        <v>54</v>
      </c>
      <c r="AL2025" s="71"/>
      <c r="AM2025" s="71"/>
      <c r="AN2025" s="71"/>
      <c r="AO2025" s="71"/>
      <c r="AP2025" s="71"/>
      <c r="AQ2025" s="71"/>
      <c r="AR2025" s="71"/>
      <c r="AS2025" s="94">
        <f t="shared" ca="1" si="2372"/>
        <v>75</v>
      </c>
      <c r="AT2025" s="95">
        <f>SUM(IF(AW2025&lt;1.15,AG2025,1.15*T2025),IF(AX2025&lt;1.15,AH2025,1.15*U2025),IF(AY2025&lt;1.15,AI2025,1.15*V2025),IF(AZ2025&lt;1.15,AJ2025,1.15*W2025),IF(BA2025&lt;1.15,AK2025,1.15*X2025),IF(BB2025&lt;1.15,AL2025,1.15*Y2025),IF(BC2025&lt;1.15,AM2025,1.15*Z2025),IF(BD2025&lt;1.15,AN2025,1.15*AA2025),IF(BE2025&lt;1.15,AO2025,1.15*AB2025),IF(BF2025&lt;1.15,AP2025,1.15*AC2025),IF(BG2025&lt;1.15,AQ2025,1.15*AD2025),IF(BH2025&lt;1.15,AR2025,1.15*AE2025))</f>
        <v>77.400000000000006</v>
      </c>
      <c r="AU2025" s="97">
        <f t="shared" si="2373"/>
        <v>113</v>
      </c>
      <c r="AW2025" s="51">
        <f>IFERROR(IF(AG2025="",0,AG2025/T2025),0)</f>
        <v>1</v>
      </c>
      <c r="AX2025" s="51">
        <f>IFERROR(IF(AH2025="",0,AH2025/U2025),0)</f>
        <v>1</v>
      </c>
      <c r="AY2025" s="51">
        <f>IFERROR(IF(AI2025="",0,AI2025/V2025),0)</f>
        <v>1</v>
      </c>
      <c r="AZ2025" s="51">
        <f>IFERROR(IF(AJ2025="",0,AJ2025/W2025),0)</f>
        <v>1</v>
      </c>
      <c r="BA2025" s="51">
        <f t="shared" ref="BA2025:BA2027" si="2381">IFERROR(IF(AK2025="",0,AK2025/X2025),0)</f>
        <v>3.375</v>
      </c>
      <c r="BB2025" s="51"/>
      <c r="BC2025" s="51"/>
      <c r="BD2025" s="51"/>
      <c r="BE2025" s="51"/>
      <c r="BF2025" s="51"/>
      <c r="BG2025" s="51"/>
      <c r="BH2025" s="51"/>
      <c r="BI2025" s="65" cm="1">
        <f t="array" ref="BI2025">IFERROR(INDEX(AW2025:BH2025,1,MATCH(2,1/(AW2025:BH2025&lt;&gt;""))),"")</f>
        <v>3.375</v>
      </c>
      <c r="BJ2025" s="68" cm="1">
        <f t="array" ref="BJ2025">IF(BM2025 = "", "",IFERROR(INDEX(AW2025:BH2025,1,MATCH(2,1/(AW2025:BH2025&lt;&gt;""),1)-1),""))</f>
        <v>1</v>
      </c>
      <c r="BK2025" s="58">
        <f>IF((IF(AW2025&gt;=115%,115%,AW2025) + IF(AX2025&gt;=115%,115%,AX2025) + IF(AY2025&gt;=115%,115%,AY2025) + (IF(AZ2025&gt;=115%,115%,AZ2025) + IF(BA2025&gt;=115%,115%,BA2025) + IF(BB2025&gt;=115%,115%,BB2025) + IF(BC2025&gt;=115%,115%,BC2025) + IF(BD2025&gt;=115%,115%,BD2025) + IF(BE2025&gt;=115%,115%,BE2025) + IF(BF2025&gt;=115%,115%,BF2025) + IF(BG2025&gt;=132%,132%,BG2025) + IF(BH2025&gt;=157%,157%,BH2025)))/_xlfn.XLOOKUP(F2025,Apuração!A:A,Apuração!B:B)&gt;=1.15,1.15,((IF(AZ2025&gt;=115%,115%,AZ2025) + IF(AX2025&gt;=115%,115%,AX2025) + IF(AY2025&gt;=115%,115%,AY2025) + (IF(AW2025&gt;=115%,115%,AW2025) + IF(BA2025&gt;=115%,115%,BA2025) + IF(BB2025&gt;=115%,115%,BB2025) + IF(BC2025&gt;=115%,115%,BC2025) + IF(BD2025&gt;=115%,115%,BD2025) + IF(BE2025&gt;=115%,115%,BE2025) + IF(BF2025&gt;=115%,115%,BF2025) + IF(BG2025&gt;=132%,132%,BG2025) + IF(BH2025&gt;=157%,157%,BH2025)))/_xlfn.XLOOKUP(F2025,Apuração!A:A,Apuração!B:B)))</f>
        <v>0.4291666666666667</v>
      </c>
      <c r="BL2025" s="58" cm="1">
        <f t="array" aca="1" ref="BL2025" ca="1">IF(SUM(IFERROR(IF(INDEX(AW2025:INDEX(AW2025:BH2025, MATCH(2, 1/(AW2025:BH2025&lt;&gt;""), 1)-1), ROW(INDIRECT("1:" &amp; MATCH(2, 1/(AW2025:BH2025&lt;&gt;""), 1)-1))) &gt;= 115%, 115%, INDEX(AW2025:INDEX(AW2025:BH2025, MATCH(2, 1/(AW2025:BH2025&lt;&gt;""), 1)-1), ROW(INDIRECT("1:" &amp; MATCH(2, 1/(AW2025:BH2025&lt;&gt;""), 1)-1)))), 0))/_xlfn.XLOOKUP(F2025,Apuração!A:A,Apuração!B:B)&gt;=1.15,1.15,SUM(IFERROR(IF(INDEX(AW2025:INDEX(AW2025:BH2025, MATCH(2, 1/(AW2025:BH2025&lt;&gt;""), 1)-1), ROW(INDIRECT("1:" &amp; MATCH(2, 1/(AW2025:BH2025&lt;&gt;""), 1)-1))) &gt;= 115%, 115%, INDEX(AW2025:INDEX(AW2025:BH2025, MATCH(2, 1/(AW2025:BH2025&lt;&gt;""), 1)-1), ROW(INDIRECT("1:" &amp; MATCH(2, 1/(AW2025:BH2025&lt;&gt;""), 1)-1)))), 0))/_xlfn.XLOOKUP(F2025,Apuração!A:A,Apuração!B:B))</f>
        <v>0.33333333333333331</v>
      </c>
      <c r="BM2025" s="55" cm="1">
        <f t="array" ref="BM2025">IFERROR(
   INDEX($AW$1:$BH$1,
      _xlfn.AGGREGATE(14, 6, COLUMN($AW$1:$BH$1)/(AW2025:BH2025&lt;&gt;""), 2) - COLUMN($AW$1) + 1
   ),
"")</f>
        <v>46113</v>
      </c>
      <c r="BN2025" s="55" cm="1">
        <f t="array" ref="BN2025">IFERROR(INDEX($AW$1:$BH$1,1,MATCH(2,1/(AW2025:BH2025&lt;&gt;""))),"")</f>
        <v>46143</v>
      </c>
      <c r="BO2025" s="53">
        <f ca="1">IFERROR(_xlfn.XLOOKUP(F2025,Apuração!A:A,Apuração!C:C)/_xlfn.XLOOKUP(F2025,Apuração!A:A,Apuração!B:B),0)</f>
        <v>0.41666666666666669</v>
      </c>
      <c r="BP2025" s="53">
        <f ca="1">IFERROR(_xlfn.XLOOKUP(F2025,Apuração!A:A,Apuração!D:D)/_xlfn.XLOOKUP(F2025,Apuração!A:A,Apuração!B:B),0)</f>
        <v>0.33333333333333331</v>
      </c>
      <c r="BQ2025" s="53">
        <f ca="1">IF(BK2025&gt;=BO2025,0,_xlfn.XLOOKUP(F2025,Apuração!A:A,Apuração!B:B)*(BO2025 + (1/_xlfn.XLOOKUP(F2025,Apuração!A:A,Apuração!B:B)) - BK2025))</f>
        <v>0</v>
      </c>
      <c r="BR2025" s="85">
        <f t="shared" ca="1" si="2374"/>
        <v>0</v>
      </c>
      <c r="BS2025" s="53">
        <f ca="1">IFERROR((_xlfn.XLOOKUP(F2025,Apuração!A:A,Apuração!C:C)+1)/_xlfn.XLOOKUP(F2025,Apuração!A:A,Apuração!B:B),0)</f>
        <v>0.5</v>
      </c>
    </row>
    <row r="2026" spans="1:71" ht="25.95" hidden="1" customHeight="1" x14ac:dyDescent="0.3">
      <c r="A2026" s="20" t="s">
        <v>87</v>
      </c>
      <c r="B2026" s="4" t="s">
        <v>229</v>
      </c>
      <c r="C2026" s="5" t="s">
        <v>221</v>
      </c>
      <c r="D2026" s="5" t="s">
        <v>212</v>
      </c>
      <c r="E2026" s="4" t="str" cm="1">
        <f t="array" ref="E2026">_xlfn.IFS(
F2026 = "A partir de Abril", "Aguardando Execução na Distribuidora",
A2026 = "CAPACITAÇÃO", "Em execução no Corporativo",
TRUE, "Em Execução na Distribuidora"
)</f>
        <v>Em Execução na Distribuidora</v>
      </c>
      <c r="F2026" s="4" t="str" cm="1">
        <f t="array" ref="F2026">_xlfn.IFS(
AG2026 &lt;&gt; "", "Jan-Dez/26",
AH2026 &lt;&gt; "", "Fev-Dez/26",
AI2026 &lt;&gt; "", "Mar-Dez/26", AJ2026 &lt;&gt; "", "Abr-Dez/26",
TRUE, "A partir de Junho"
)</f>
        <v>Jan-Dez/26</v>
      </c>
      <c r="G2026" s="7" t="s">
        <v>37</v>
      </c>
      <c r="H2026" s="7" t="s">
        <v>110</v>
      </c>
      <c r="I2026" s="8" t="s">
        <v>223</v>
      </c>
      <c r="J2026" s="21" t="str" cm="1">
        <f t="array" aca="1" ref="J2026" ca="1">_xlfn.LET(
  _xlpm.actual_value_month, INDEX(T2026:AE2026, MATCH(DATE(YEAR(TODAY()), MONTH(TODAY()), 1), $T$1:$AE$1, 0)),
  IF(_xlpm.actual_value_month &lt;&gt; "",_xlpm.actual_value_month &amp; " inspeções mensais", "")
)</f>
        <v>8 inspeções mensais</v>
      </c>
      <c r="K2026" s="8" t="str" cm="1">
        <f t="array" ref="K2026">_xlfn.LET(
    _xlpm.sum_month, SUM(T2026:AE2026),
    IF(_xlpm.sum_month = 0, "", _xlpm.sum_month &amp; " inspeções realizadas no ano")
)</f>
        <v>89 inspeções realizadas no ano</v>
      </c>
      <c r="L2026" s="4" t="s">
        <v>230</v>
      </c>
      <c r="M2026" s="19" t="s">
        <v>231</v>
      </c>
      <c r="N2026" s="5" t="s">
        <v>42</v>
      </c>
      <c r="O2026" s="5" t="s">
        <v>43</v>
      </c>
      <c r="P2026" s="10" t="s">
        <v>44</v>
      </c>
      <c r="Q2026" s="10" t="s">
        <v>72</v>
      </c>
      <c r="R2026" s="11" t="s">
        <v>225</v>
      </c>
      <c r="S2026" s="11" t="s">
        <v>44</v>
      </c>
      <c r="T2026" s="156">
        <v>5</v>
      </c>
      <c r="U2026" s="157">
        <v>9</v>
      </c>
      <c r="V2026" s="157">
        <v>3</v>
      </c>
      <c r="W2026" s="143">
        <v>8</v>
      </c>
      <c r="X2026" s="143">
        <v>8</v>
      </c>
      <c r="Y2026" s="143">
        <v>8</v>
      </c>
      <c r="Z2026" s="143">
        <v>8</v>
      </c>
      <c r="AA2026" s="143">
        <v>8</v>
      </c>
      <c r="AB2026" s="143">
        <v>8</v>
      </c>
      <c r="AC2026" s="143">
        <v>8</v>
      </c>
      <c r="AD2026" s="143">
        <v>8</v>
      </c>
      <c r="AE2026" s="143">
        <v>8</v>
      </c>
      <c r="AG2026" s="82">
        <v>5</v>
      </c>
      <c r="AH2026" s="82">
        <v>9</v>
      </c>
      <c r="AI2026" s="82">
        <v>3</v>
      </c>
      <c r="AJ2026" s="82">
        <v>8</v>
      </c>
      <c r="AK2026" s="71">
        <v>19</v>
      </c>
      <c r="AL2026" s="71"/>
      <c r="AM2026" s="71"/>
      <c r="AN2026" s="71"/>
      <c r="AO2026" s="71"/>
      <c r="AP2026" s="71"/>
      <c r="AQ2026" s="71"/>
      <c r="AR2026" s="71"/>
      <c r="AS2026" s="94">
        <f t="shared" ref="AS2026:AS2027" ca="1" si="2382">IF(MONTH(TODAY())=3,SUM(T2026:U2026),IF(MONTH(TODAY())=4,SUM(T2026:V2026),IF(MONTH(TODAY())=5,SUM(T2026:W2026),IF(MONTH(TODAY())=6,SUM(T2026:X2026),IF(MONTH(TODAY())=7,SUM(T2026:Y2026),IF(MONTH(TODAY())=8,SUM(T2026:Z2026),IF(MONTH(TODAY())=9,SUM(T2026:AA2026),IF(MONTH(TODAY())=10,SUM(T2026:AB2026),IF(MONTH(TODAY())=11,SUM(T2026:AC2026),IF(MONTH(TODAY())=12,SUM(T2026:AD2026),IF(MONTH(TODAY())=1,SUM(T2026:AE2026),T2026)))))))))))</f>
        <v>33</v>
      </c>
      <c r="AT2026" s="95">
        <f t="shared" ref="AT2026:AT2027" si="2383">SUM(IF(AW2026&lt;1.15,AG2026,1.15*T2026),IF(AX2026&lt;1.15,AH2026,1.15*U2026),IF(AY2026&lt;1.15,AI2026,1.15*V2026),IF(AZ2026&lt;1.15,AJ2026,1.15*W2026),IF(BA2026&lt;1.15,AK2026,1.15*X2026),IF(BB2026&lt;1.15,AL2026,1.15*Y2026),IF(BC2026&lt;1.15,AM2026,1.15*Z2026),IF(BD2026&lt;1.15,AN2026,1.15*AA2026),IF(BE2026&lt;1.15,AO2026,1.15*AB2026),IF(BF2026&lt;1.15,AP2026,1.15*AC2026),IF(BG2026&lt;1.15,AQ2026,1.15*AD2026),IF(BH2026&lt;1.15,AR2026,1.15*AE2026))</f>
        <v>34.200000000000003</v>
      </c>
      <c r="AU2026" s="97">
        <f t="shared" ref="AU2026:AU2027" si="2384">SUM(AG2026:AR2026)</f>
        <v>44</v>
      </c>
      <c r="AW2026" s="51">
        <f t="shared" ref="AW2026:AW2027" si="2385">IFERROR(IF(AG2026="",0,AG2026/T2026),0)</f>
        <v>1</v>
      </c>
      <c r="AX2026" s="51">
        <f t="shared" ref="AX2026:AX2027" si="2386">IFERROR(IF(AH2026="",0,AH2026/U2026),0)</f>
        <v>1</v>
      </c>
      <c r="AY2026" s="51">
        <f t="shared" ref="AY2026:AY2027" si="2387">IFERROR(IF(AI2026="",0,AI2026/V2026),0)</f>
        <v>1</v>
      </c>
      <c r="AZ2026" s="51">
        <f t="shared" ref="AZ2026:AZ2027" si="2388">IFERROR(IF(AJ2026="",0,AJ2026/W2026),0)</f>
        <v>1</v>
      </c>
      <c r="BA2026" s="51">
        <f t="shared" si="2381"/>
        <v>2.375</v>
      </c>
      <c r="BB2026" s="51"/>
      <c r="BC2026" s="51"/>
      <c r="BD2026" s="51"/>
      <c r="BE2026" s="51"/>
      <c r="BF2026" s="51"/>
      <c r="BG2026" s="51"/>
      <c r="BH2026" s="51"/>
      <c r="BI2026" s="65" cm="1">
        <f t="array" ref="BI2026">IFERROR(INDEX(AW2026:BH2026,1,MATCH(2,1/(AW2026:BH2026&lt;&gt;""))),"")</f>
        <v>2.375</v>
      </c>
      <c r="BJ2026" s="68" cm="1">
        <f t="array" ref="BJ2026">IF(BM2026 = "", "",IFERROR(INDEX(AW2026:BH2026,1,MATCH(2,1/(AW2026:BH2026&lt;&gt;""),1)-1),""))</f>
        <v>1</v>
      </c>
      <c r="BK2026" s="58">
        <f>IF((IF(AW2026&gt;=115%,115%,AW2026) + IF(AX2026&gt;=115%,115%,AX2026) + IF(AY2026&gt;=115%,115%,AY2026) + (IF(AZ2026&gt;=115%,115%,AZ2026) + IF(BA2026&gt;=115%,115%,BA2026) + IF(BB2026&gt;=115%,115%,BB2026) + IF(BC2026&gt;=115%,115%,BC2026) + IF(BD2026&gt;=115%,115%,BD2026) + IF(BE2026&gt;=115%,115%,BE2026) + IF(BF2026&gt;=115%,115%,BF2026) + IF(BG2026&gt;=132%,132%,BG2026) + IF(BH2026&gt;=157%,157%,BH2026)))/_xlfn.XLOOKUP(F2026,Apuração!A:A,Apuração!B:B)&gt;=1.15,1.15,((IF(AZ2026&gt;=115%,115%,AZ2026) + IF(AX2026&gt;=115%,115%,AX2026) + IF(AY2026&gt;=115%,115%,AY2026) + (IF(AW2026&gt;=115%,115%,AW2026) + IF(BA2026&gt;=115%,115%,BA2026) + IF(BB2026&gt;=115%,115%,BB2026) + IF(BC2026&gt;=115%,115%,BC2026) + IF(BD2026&gt;=115%,115%,BD2026) + IF(BE2026&gt;=115%,115%,BE2026) + IF(BF2026&gt;=115%,115%,BF2026) + IF(BG2026&gt;=132%,132%,BG2026) + IF(BH2026&gt;=157%,157%,BH2026)))/_xlfn.XLOOKUP(F2026,Apuração!A:A,Apuração!B:B)))</f>
        <v>0.4291666666666667</v>
      </c>
      <c r="BL2026" s="58" cm="1">
        <f t="array" aca="1" ref="BL2026" ca="1">IF(SUM(IFERROR(IF(INDEX(AW2026:INDEX(AW2026:BH2026, MATCH(2, 1/(AW2026:BH2026&lt;&gt;""), 1)-1), ROW(INDIRECT("1:" &amp; MATCH(2, 1/(AW2026:BH2026&lt;&gt;""), 1)-1))) &gt;= 115%, 115%, INDEX(AW2026:INDEX(AW2026:BH2026, MATCH(2, 1/(AW2026:BH2026&lt;&gt;""), 1)-1), ROW(INDIRECT("1:" &amp; MATCH(2, 1/(AW2026:BH2026&lt;&gt;""), 1)-1)))), 0))/_xlfn.XLOOKUP(F2026,Apuração!A:A,Apuração!B:B)&gt;=1.15,1.15,SUM(IFERROR(IF(INDEX(AW2026:INDEX(AW2026:BH2026, MATCH(2, 1/(AW2026:BH2026&lt;&gt;""), 1)-1), ROW(INDIRECT("1:" &amp; MATCH(2, 1/(AW2026:BH2026&lt;&gt;""), 1)-1))) &gt;= 115%, 115%, INDEX(AW2026:INDEX(AW2026:BH2026, MATCH(2, 1/(AW2026:BH2026&lt;&gt;""), 1)-1), ROW(INDIRECT("1:" &amp; MATCH(2, 1/(AW2026:BH2026&lt;&gt;""), 1)-1)))), 0))/_xlfn.XLOOKUP(F2026,Apuração!A:A,Apuração!B:B))</f>
        <v>0.33333333333333331</v>
      </c>
      <c r="BM2026" s="55" cm="1">
        <f t="array" ref="BM2026">IFERROR(
   INDEX($AW$1:$BH$1,
      _xlfn.AGGREGATE(14, 6, COLUMN($AW$1:$BH$1)/(AW2026:BH2026&lt;&gt;""), 2) - COLUMN($AW$1) + 1
   ),
"")</f>
        <v>46113</v>
      </c>
      <c r="BN2026" s="55" cm="1">
        <f t="array" ref="BN2026">IFERROR(INDEX($AW$1:$BH$1,1,MATCH(2,1/(AW2026:BH2026&lt;&gt;""))),"")</f>
        <v>46143</v>
      </c>
      <c r="BO2026" s="53">
        <f ca="1">IFERROR(_xlfn.XLOOKUP(F2026,Apuração!A:A,Apuração!C:C)/_xlfn.XLOOKUP(F2026,Apuração!A:A,Apuração!B:B),0)</f>
        <v>0.41666666666666669</v>
      </c>
      <c r="BP2026" s="53">
        <f ca="1">IFERROR(_xlfn.XLOOKUP(F2026,Apuração!A:A,Apuração!D:D)/_xlfn.XLOOKUP(F2026,Apuração!A:A,Apuração!B:B),0)</f>
        <v>0.33333333333333331</v>
      </c>
      <c r="BQ2026" s="53">
        <f ca="1">IF(BK2026&gt;=BO2026,0,_xlfn.XLOOKUP(F2026,Apuração!A:A,Apuração!B:B)*(BO2026 + (1/_xlfn.XLOOKUP(F2026,Apuração!A:A,Apuração!B:B)) - BK2026))</f>
        <v>0</v>
      </c>
      <c r="BR2026" s="85">
        <f t="shared" ref="BR2026:BR2027" ca="1" si="2389">IF(BQ2026=0,0,BQ2026*Z2026)</f>
        <v>0</v>
      </c>
      <c r="BS2026" s="53">
        <f ca="1">IFERROR((_xlfn.XLOOKUP(F2026,Apuração!A:A,Apuração!C:C)+1)/_xlfn.XLOOKUP(F2026,Apuração!A:A,Apuração!B:B),0)</f>
        <v>0.5</v>
      </c>
    </row>
    <row r="2027" spans="1:71" ht="25.95" hidden="1" customHeight="1" x14ac:dyDescent="0.3">
      <c r="A2027" s="20" t="s">
        <v>87</v>
      </c>
      <c r="B2027" s="4" t="s">
        <v>229</v>
      </c>
      <c r="C2027" s="5" t="s">
        <v>221</v>
      </c>
      <c r="D2027" s="5" t="s">
        <v>213</v>
      </c>
      <c r="E2027" s="4" t="str" cm="1">
        <f t="array" ref="E2027">_xlfn.IFS(
F2027 = "A partir de Abril", "Aguardando Execução na Distribuidora",
A2027 = "CAPACITAÇÃO", "Em execução no Corporativo",
TRUE, "Em Execução na Distribuidora"
)</f>
        <v>Em Execução na Distribuidora</v>
      </c>
      <c r="F2027" s="4" t="str" cm="1">
        <f t="array" ref="F2027">_xlfn.IFS(
AG2027 &lt;&gt; "", "Jan-Dez/26",
AH2027 &lt;&gt; "", "Fev-Dez/26",
AI2027 &lt;&gt; "", "Mar-Dez/26", AJ2027 &lt;&gt; "", "Abr-Dez/26",
TRUE, "A partir de Junho"
)</f>
        <v>Jan-Dez/26</v>
      </c>
      <c r="G2027" s="7" t="s">
        <v>37</v>
      </c>
      <c r="H2027" s="7" t="s">
        <v>110</v>
      </c>
      <c r="I2027" s="8" t="s">
        <v>223</v>
      </c>
      <c r="J2027" s="21" t="str" cm="1">
        <f t="array" aca="1" ref="J2027" ca="1">_xlfn.LET(
  _xlpm.actual_value_month, INDEX(T2027:AE2027, MATCH(DATE(YEAR(TODAY()), MONTH(TODAY()), 1), $T$1:$AE$1, 0)),
  IF(_xlpm.actual_value_month &lt;&gt; "",_xlpm.actual_value_month &amp; " inspeções mensais", "")
)</f>
        <v>8 inspeções mensais</v>
      </c>
      <c r="K2027" s="8" t="str" cm="1">
        <f t="array" ref="K2027">_xlfn.LET(
    _xlpm.sum_month, SUM(T2027:AE2027),
    IF(_xlpm.sum_month = 0, "", _xlpm.sum_month &amp; " inspeções realizadas no ano")
)</f>
        <v>98 inspeções realizadas no ano</v>
      </c>
      <c r="L2027" s="4" t="s">
        <v>230</v>
      </c>
      <c r="M2027" s="19" t="s">
        <v>231</v>
      </c>
      <c r="N2027" s="5" t="s">
        <v>42</v>
      </c>
      <c r="O2027" s="5" t="s">
        <v>43</v>
      </c>
      <c r="P2027" s="10" t="s">
        <v>44</v>
      </c>
      <c r="Q2027" s="10" t="s">
        <v>72</v>
      </c>
      <c r="R2027" s="11" t="s">
        <v>225</v>
      </c>
      <c r="S2027" s="11" t="s">
        <v>44</v>
      </c>
      <c r="T2027" s="158">
        <v>7</v>
      </c>
      <c r="U2027" s="159">
        <v>9</v>
      </c>
      <c r="V2027" s="159">
        <v>10</v>
      </c>
      <c r="W2027" s="143">
        <v>8</v>
      </c>
      <c r="X2027" s="143">
        <v>8</v>
      </c>
      <c r="Y2027" s="143">
        <v>8</v>
      </c>
      <c r="Z2027" s="143">
        <v>8</v>
      </c>
      <c r="AA2027" s="143">
        <v>8</v>
      </c>
      <c r="AB2027" s="143">
        <v>8</v>
      </c>
      <c r="AC2027" s="143">
        <v>8</v>
      </c>
      <c r="AD2027" s="143">
        <v>8</v>
      </c>
      <c r="AE2027" s="143">
        <v>8</v>
      </c>
      <c r="AG2027" s="82">
        <v>7</v>
      </c>
      <c r="AH2027" s="82">
        <v>9</v>
      </c>
      <c r="AI2027" s="82">
        <v>10</v>
      </c>
      <c r="AJ2027" s="82">
        <v>8</v>
      </c>
      <c r="AK2027" s="71">
        <v>35</v>
      </c>
      <c r="AL2027" s="71"/>
      <c r="AM2027" s="71"/>
      <c r="AN2027" s="71"/>
      <c r="AO2027" s="71"/>
      <c r="AP2027" s="71"/>
      <c r="AQ2027" s="71"/>
      <c r="AR2027" s="71"/>
      <c r="AS2027" s="94">
        <f t="shared" ca="1" si="2382"/>
        <v>42</v>
      </c>
      <c r="AT2027" s="95">
        <f t="shared" si="2383"/>
        <v>43.2</v>
      </c>
      <c r="AU2027" s="97">
        <f t="shared" si="2384"/>
        <v>69</v>
      </c>
      <c r="AW2027" s="51">
        <f t="shared" si="2385"/>
        <v>1</v>
      </c>
      <c r="AX2027" s="51">
        <f t="shared" si="2386"/>
        <v>1</v>
      </c>
      <c r="AY2027" s="51">
        <f t="shared" si="2387"/>
        <v>1</v>
      </c>
      <c r="AZ2027" s="51">
        <f t="shared" si="2388"/>
        <v>1</v>
      </c>
      <c r="BA2027" s="51">
        <f t="shared" si="2381"/>
        <v>4.375</v>
      </c>
      <c r="BB2027" s="51"/>
      <c r="BC2027" s="51"/>
      <c r="BD2027" s="51"/>
      <c r="BE2027" s="51"/>
      <c r="BF2027" s="51"/>
      <c r="BG2027" s="51"/>
      <c r="BH2027" s="51"/>
      <c r="BI2027" s="65" cm="1">
        <f t="array" ref="BI2027">IFERROR(INDEX(AW2027:BH2027,1,MATCH(2,1/(AW2027:BH2027&lt;&gt;""))),"")</f>
        <v>4.375</v>
      </c>
      <c r="BJ2027" s="68" cm="1">
        <f t="array" ref="BJ2027">IF(BM2027 = "", "",IFERROR(INDEX(AW2027:BH2027,1,MATCH(2,1/(AW2027:BH2027&lt;&gt;""),1)-1),""))</f>
        <v>1</v>
      </c>
      <c r="BK2027" s="58">
        <f>IF((IF(AW2027&gt;=115%,115%,AW2027) + IF(AX2027&gt;=115%,115%,AX2027) + IF(AY2027&gt;=115%,115%,AY2027) + (IF(AZ2027&gt;=115%,115%,AZ2027) + IF(BA2027&gt;=115%,115%,BA2027) + IF(BB2027&gt;=115%,115%,BB2027) + IF(BC2027&gt;=115%,115%,BC2027) + IF(BD2027&gt;=115%,115%,BD2027) + IF(BE2027&gt;=115%,115%,BE2027) + IF(BF2027&gt;=115%,115%,BF2027) + IF(BG2027&gt;=132%,132%,BG2027) + IF(BH2027&gt;=157%,157%,BH2027)))/_xlfn.XLOOKUP(F2027,Apuração!A:A,Apuração!B:B)&gt;=1.15,1.15,((IF(AZ2027&gt;=115%,115%,AZ2027) + IF(AX2027&gt;=115%,115%,AX2027) + IF(AY2027&gt;=115%,115%,AY2027) + (IF(AW2027&gt;=115%,115%,AW2027) + IF(BA2027&gt;=115%,115%,BA2027) + IF(BB2027&gt;=115%,115%,BB2027) + IF(BC2027&gt;=115%,115%,BC2027) + IF(BD2027&gt;=115%,115%,BD2027) + IF(BE2027&gt;=115%,115%,BE2027) + IF(BF2027&gt;=115%,115%,BF2027) + IF(BG2027&gt;=132%,132%,BG2027) + IF(BH2027&gt;=157%,157%,BH2027)))/_xlfn.XLOOKUP(F2027,Apuração!A:A,Apuração!B:B)))</f>
        <v>0.4291666666666667</v>
      </c>
      <c r="BL2027" s="58" cm="1">
        <f t="array" aca="1" ref="BL2027" ca="1">IF(SUM(IFERROR(IF(INDEX(AW2027:INDEX(AW2027:BH2027, MATCH(2, 1/(AW2027:BH2027&lt;&gt;""), 1)-1), ROW(INDIRECT("1:" &amp; MATCH(2, 1/(AW2027:BH2027&lt;&gt;""), 1)-1))) &gt;= 115%, 115%, INDEX(AW2027:INDEX(AW2027:BH2027, MATCH(2, 1/(AW2027:BH2027&lt;&gt;""), 1)-1), ROW(INDIRECT("1:" &amp; MATCH(2, 1/(AW2027:BH2027&lt;&gt;""), 1)-1)))), 0))/_xlfn.XLOOKUP(F2027,Apuração!A:A,Apuração!B:B)&gt;=1.15,1.15,SUM(IFERROR(IF(INDEX(AW2027:INDEX(AW2027:BH2027, MATCH(2, 1/(AW2027:BH2027&lt;&gt;""), 1)-1), ROW(INDIRECT("1:" &amp; MATCH(2, 1/(AW2027:BH2027&lt;&gt;""), 1)-1))) &gt;= 115%, 115%, INDEX(AW2027:INDEX(AW2027:BH2027, MATCH(2, 1/(AW2027:BH2027&lt;&gt;""), 1)-1), ROW(INDIRECT("1:" &amp; MATCH(2, 1/(AW2027:BH2027&lt;&gt;""), 1)-1)))), 0))/_xlfn.XLOOKUP(F2027,Apuração!A:A,Apuração!B:B))</f>
        <v>0.33333333333333331</v>
      </c>
      <c r="BM2027" s="55" cm="1">
        <f t="array" ref="BM2027">IFERROR(
   INDEX($AW$1:$BH$1,
      _xlfn.AGGREGATE(14, 6, COLUMN($AW$1:$BH$1)/(AW2027:BH2027&lt;&gt;""), 2) - COLUMN($AW$1) + 1
   ),
"")</f>
        <v>46113</v>
      </c>
      <c r="BN2027" s="55" cm="1">
        <f t="array" ref="BN2027">IFERROR(INDEX($AW$1:$BH$1,1,MATCH(2,1/(AW2027:BH2027&lt;&gt;""))),"")</f>
        <v>46143</v>
      </c>
      <c r="BO2027" s="53">
        <f ca="1">IFERROR(_xlfn.XLOOKUP(F2027,Apuração!A:A,Apuração!C:C)/_xlfn.XLOOKUP(F2027,Apuração!A:A,Apuração!B:B),0)</f>
        <v>0.41666666666666669</v>
      </c>
      <c r="BP2027" s="53">
        <f ca="1">IFERROR(_xlfn.XLOOKUP(F2027,Apuração!A:A,Apuração!D:D)/_xlfn.XLOOKUP(F2027,Apuração!A:A,Apuração!B:B),0)</f>
        <v>0.33333333333333331</v>
      </c>
      <c r="BQ2027" s="53">
        <f ca="1">IF(BK2027&gt;=BO2027,0,_xlfn.XLOOKUP(F2027,Apuração!A:A,Apuração!B:B)*(BO2027 + (1/_xlfn.XLOOKUP(F2027,Apuração!A:A,Apuração!B:B)) - BK2027))</f>
        <v>0</v>
      </c>
      <c r="BR2027" s="85">
        <f t="shared" ca="1" si="2389"/>
        <v>0</v>
      </c>
      <c r="BS2027" s="53">
        <f ca="1">IFERROR((_xlfn.XLOOKUP(F2027,Apuração!A:A,Apuração!C:C)+1)/_xlfn.XLOOKUP(F2027,Apuração!A:A,Apuração!B:B),0)</f>
        <v>0.5</v>
      </c>
    </row>
    <row r="2028" spans="1:71" ht="25.95" hidden="1" customHeight="1" x14ac:dyDescent="0.3">
      <c r="A2028" s="40" t="s">
        <v>87</v>
      </c>
      <c r="B2028" s="4" t="s">
        <v>229</v>
      </c>
      <c r="C2028" s="5" t="s">
        <v>221</v>
      </c>
      <c r="D2028" s="5" t="s">
        <v>36</v>
      </c>
      <c r="E2028" s="4" t="str" cm="1">
        <f t="array" ref="E2028">_xlfn.IFS(
F2028 = "A partir de Abril", "Aguardando Execução na Distribuidora",
A2028 = "CAPACITAÇÃO", "Em execução no Corporativo",
TRUE, "Em Execução na Distribuidora"
)</f>
        <v>Em Execução na Distribuidora</v>
      </c>
      <c r="F2028" s="4" t="str" cm="1">
        <f t="array" ref="F2028">_xlfn.IFS(
AG2028 &lt;&gt; "", "Jan-Dez/26",
AH2028 &lt;&gt; "", "Fev-Dez/26",
AI2028 &lt;&gt; "", "Mar-Dez/26", AJ2028 &lt;&gt; "", "Abr-Dez/26",
TRUE, "A partir de Junho"
)</f>
        <v>Jan-Dez/26</v>
      </c>
      <c r="G2028" s="7" t="s">
        <v>37</v>
      </c>
      <c r="H2028" s="7" t="s">
        <v>110</v>
      </c>
      <c r="I2028" s="8" t="s">
        <v>148</v>
      </c>
      <c r="J2028" s="21" t="str" cm="1">
        <f t="array" aca="1" ref="J2028" ca="1">_xlfn.LET(
  _xlpm.actual_value_month, INDEX(T2028:AE2028, MATCH(DATE(YEAR(TODAY()), MONTH(TODAY()), 1), $T$1:$AE$1, 0)),
  IF(_xlpm.actual_value_month &lt;&gt; "",_xlpm.actual_value_month &amp; " ações mensais", "")
)</f>
        <v/>
      </c>
      <c r="K2028" s="8" t="str" cm="1">
        <f t="array" ref="K2028">_xlfn.LET(
    _xlpm.sum_month, SUM(T2028:AE2028),
    IF(_xlpm.sum_month = 0, "", _xlpm.sum_month &amp; " NC's no ano")
)</f>
        <v/>
      </c>
      <c r="L2028" s="9" t="s">
        <v>149</v>
      </c>
      <c r="M2028" s="4"/>
      <c r="N2028" s="5" t="s">
        <v>51</v>
      </c>
      <c r="O2028" s="5" t="s">
        <v>52</v>
      </c>
      <c r="P2028" s="10" t="s">
        <v>44</v>
      </c>
      <c r="Q2028" s="10" t="s">
        <v>44</v>
      </c>
      <c r="R2028" s="11" t="s">
        <v>44</v>
      </c>
      <c r="S2028" s="11" t="s">
        <v>44</v>
      </c>
      <c r="T2028" s="22"/>
      <c r="U2028" s="22"/>
      <c r="V2028" s="22"/>
      <c r="W2028" s="22"/>
      <c r="X2028" s="22"/>
      <c r="Y2028" s="22"/>
      <c r="Z2028" s="22"/>
      <c r="AA2028" s="22"/>
      <c r="AB2028" s="22"/>
      <c r="AC2028" s="22"/>
      <c r="AD2028" s="22"/>
      <c r="AE2028" s="22"/>
      <c r="AG2028" s="71">
        <v>0</v>
      </c>
      <c r="AH2028" s="71">
        <v>0</v>
      </c>
      <c r="AI2028" s="71">
        <v>0</v>
      </c>
      <c r="AJ2028" s="71">
        <v>48</v>
      </c>
      <c r="AK2028" s="71">
        <v>0</v>
      </c>
      <c r="AL2028" s="71"/>
      <c r="AM2028" s="71"/>
      <c r="AN2028" s="71"/>
      <c r="AO2028" s="71"/>
      <c r="AP2028" s="71"/>
      <c r="AQ2028" s="71"/>
      <c r="AR2028" s="71"/>
      <c r="AS2028" s="94">
        <f t="shared" ca="1" si="2372"/>
        <v>0</v>
      </c>
      <c r="AT2028" s="95">
        <f>SUM(AG2028:AR2028)</f>
        <v>48</v>
      </c>
      <c r="AU2028" s="97">
        <f t="shared" si="2373"/>
        <v>48</v>
      </c>
      <c r="AW2028" s="83">
        <f t="shared" ref="AW2028:BA2030" si="2390">AG2028</f>
        <v>0</v>
      </c>
      <c r="AX2028" s="83">
        <f t="shared" si="2390"/>
        <v>0</v>
      </c>
      <c r="AY2028" s="83">
        <f t="shared" si="2390"/>
        <v>0</v>
      </c>
      <c r="AZ2028" s="83">
        <f t="shared" si="2390"/>
        <v>48</v>
      </c>
      <c r="BA2028" s="83">
        <f t="shared" si="2390"/>
        <v>0</v>
      </c>
      <c r="BB2028" s="52"/>
      <c r="BC2028" s="52"/>
      <c r="BD2028" s="52"/>
      <c r="BE2028" s="52"/>
      <c r="BF2028" s="52"/>
      <c r="BG2028" s="52"/>
      <c r="BH2028" s="52"/>
      <c r="BI2028" s="68" cm="1">
        <f t="array" ref="BI2028">IFERROR(INDEX(AW2028:BH2028,1,MATCH(2,1/(AW2028:BH2028&lt;&gt;""))),"")</f>
        <v>0</v>
      </c>
      <c r="BJ2028" s="68" cm="1">
        <f t="array" ref="BJ2028">IF(BM2028 = "", "",IFERROR(INDEX(AW2028:BH2028,1,MATCH(2,1/(AW2028:BH2028&lt;&gt;""),1)-1),""))</f>
        <v>48</v>
      </c>
      <c r="BK2028" s="59">
        <f>SUM(AW2028:BH2028)</f>
        <v>48</v>
      </c>
      <c r="BL2028" s="59" cm="1">
        <f t="array" ref="BL2028">IFERROR(SUM(AW2028:INDEX(AW2028:BH2028, MATCH(2, 1/(AW2028:BH2028&lt;&gt;""), 1) - 1))/_xlfn.XLOOKUP(F2028,Apuração!A:A,Apuração!B:B),0)</f>
        <v>4</v>
      </c>
      <c r="BM2028" s="55" cm="1">
        <f t="array" ref="BM2028">IFERROR(
   INDEX($AW$1:$BH$1,
      _xlfn.AGGREGATE(14, 6, COLUMN($AW$1:$BH$1)/(AW2028:BH2028&lt;&gt;""), 2) - COLUMN($AW$1) + 1
   ),
"")</f>
        <v>46113</v>
      </c>
      <c r="BN2028" s="55" cm="1">
        <f t="array" ref="BN2028">IFERROR(INDEX($AW$1:$BH$1,1,MATCH(2,1/(AW2028:BH2028&lt;&gt;""))),"")</f>
        <v>46143</v>
      </c>
      <c r="BO2028" s="53">
        <f ca="1">IFERROR(_xlfn.XLOOKUP(F2028,Apuração!A:A,Apuração!C:C)/_xlfn.XLOOKUP(F2028,Apuração!A:A,Apuração!B:B),0)</f>
        <v>0.41666666666666669</v>
      </c>
      <c r="BP2028" s="53">
        <f ca="1">IFERROR(_xlfn.XLOOKUP(F2028,Apuração!A:A,Apuração!D:D)/_xlfn.XLOOKUP(F2028,Apuração!A:A,Apuração!B:B),0)</f>
        <v>0.33333333333333331</v>
      </c>
      <c r="BQ2028" s="53">
        <f ca="1">IF(BK2028&gt;=BO2028,0,_xlfn.XLOOKUP(F2028,Apuração!A:A,Apuração!B:B)*(BO2028 + (1/_xlfn.XLOOKUP(F2028,Apuração!A:A,Apuração!B:B)) - BK2028))</f>
        <v>0</v>
      </c>
      <c r="BR2028" s="85">
        <f t="shared" ca="1" si="2374"/>
        <v>0</v>
      </c>
      <c r="BS2028" s="53">
        <f ca="1">IFERROR((_xlfn.XLOOKUP(F2028,Apuração!A:A,Apuração!C:C)+1)/_xlfn.XLOOKUP(F2028,Apuração!A:A,Apuração!B:B),0)</f>
        <v>0.5</v>
      </c>
    </row>
    <row r="2029" spans="1:71" ht="25.95" hidden="1" customHeight="1" x14ac:dyDescent="0.3">
      <c r="A2029" s="40" t="s">
        <v>87</v>
      </c>
      <c r="B2029" s="4" t="s">
        <v>229</v>
      </c>
      <c r="C2029" s="5" t="s">
        <v>35</v>
      </c>
      <c r="D2029" s="5" t="s">
        <v>47</v>
      </c>
      <c r="E2029" s="4" t="str" cm="1">
        <f t="array" ref="E2029">_xlfn.IFS(
F2029 = "A partir de Abril", "Aguardando Execução na Distribuidora",
A2029 = "CAPACITAÇÃO", "Em execução no Corporativo",
TRUE, "Em Execução na Distribuidora"
)</f>
        <v>Em Execução na Distribuidora</v>
      </c>
      <c r="F2029" s="4" t="str" cm="1">
        <f t="array" ref="F2029">_xlfn.IFS(
AG2029 &lt;&gt; "", "Jan-Dez/26",
AH2029 &lt;&gt; "", "Fev-Dez/26",
AI2029 &lt;&gt; "", "Mar-Dez/26", AJ2029 &lt;&gt; "", "Abr-Dez/26",
TRUE, "A partir de Junho"
)</f>
        <v>Jan-Dez/26</v>
      </c>
      <c r="G2029" s="7" t="s">
        <v>37</v>
      </c>
      <c r="H2029" s="7" t="s">
        <v>110</v>
      </c>
      <c r="I2029" s="8" t="s">
        <v>148</v>
      </c>
      <c r="J2029" s="21" t="str" cm="1">
        <f t="array" aca="1" ref="J2029" ca="1">_xlfn.LET(
  _xlpm.actual_value_month, INDEX(T2029:AE2029, MATCH(DATE(YEAR(TODAY()), MONTH(TODAY()), 1), $T$1:$AE$1, 0)),
  IF(_xlpm.actual_value_month &lt;&gt; "",_xlpm.actual_value_month &amp; " ações mensais", "")
)</f>
        <v/>
      </c>
      <c r="K2029" s="8" t="str" cm="1">
        <f t="array" ref="K2029">_xlfn.LET(
    _xlpm.sum_month, SUM(T2029:AE2029),
    IF(_xlpm.sum_month = 0, "", _xlpm.sum_month &amp; " NC's no ano")
)</f>
        <v/>
      </c>
      <c r="L2029" s="9" t="s">
        <v>149</v>
      </c>
      <c r="M2029" s="4"/>
      <c r="N2029" s="5" t="s">
        <v>51</v>
      </c>
      <c r="O2029" s="5" t="s">
        <v>52</v>
      </c>
      <c r="P2029" s="10" t="s">
        <v>44</v>
      </c>
      <c r="Q2029" s="10" t="s">
        <v>44</v>
      </c>
      <c r="R2029" s="11" t="s">
        <v>44</v>
      </c>
      <c r="S2029" s="11" t="s">
        <v>44</v>
      </c>
      <c r="T2029" s="22"/>
      <c r="U2029" s="22"/>
      <c r="V2029" s="22"/>
      <c r="W2029" s="22"/>
      <c r="X2029" s="22"/>
      <c r="Y2029" s="22"/>
      <c r="Z2029" s="22"/>
      <c r="AA2029" s="22"/>
      <c r="AB2029" s="22"/>
      <c r="AC2029" s="22"/>
      <c r="AD2029" s="22"/>
      <c r="AE2029" s="22"/>
      <c r="AG2029" s="82">
        <v>0</v>
      </c>
      <c r="AH2029" s="82">
        <v>0</v>
      </c>
      <c r="AI2029" s="82">
        <v>1</v>
      </c>
      <c r="AJ2029" s="82">
        <v>2</v>
      </c>
      <c r="AK2029" s="71">
        <v>0</v>
      </c>
      <c r="AL2029" s="71"/>
      <c r="AM2029" s="71"/>
      <c r="AN2029" s="71"/>
      <c r="AO2029" s="71"/>
      <c r="AP2029" s="71"/>
      <c r="AQ2029" s="71"/>
      <c r="AR2029" s="71"/>
      <c r="AS2029" s="94">
        <f t="shared" ca="1" si="2372"/>
        <v>0</v>
      </c>
      <c r="AT2029" s="95">
        <f>SUM(AG2029:AR2029)</f>
        <v>3</v>
      </c>
      <c r="AU2029" s="97">
        <f t="shared" si="2373"/>
        <v>3</v>
      </c>
      <c r="AW2029" s="83">
        <f t="shared" si="2390"/>
        <v>0</v>
      </c>
      <c r="AX2029" s="83">
        <f t="shared" si="2390"/>
        <v>0</v>
      </c>
      <c r="AY2029" s="83">
        <f t="shared" si="2390"/>
        <v>1</v>
      </c>
      <c r="AZ2029" s="83">
        <f t="shared" si="2390"/>
        <v>2</v>
      </c>
      <c r="BA2029" s="83">
        <f t="shared" si="2390"/>
        <v>0</v>
      </c>
      <c r="BB2029" s="52"/>
      <c r="BC2029" s="52"/>
      <c r="BD2029" s="52"/>
      <c r="BE2029" s="52"/>
      <c r="BF2029" s="52"/>
      <c r="BG2029" s="52"/>
      <c r="BH2029" s="52"/>
      <c r="BI2029" s="68" cm="1">
        <f t="array" ref="BI2029">IFERROR(INDEX(AW2029:BH2029,1,MATCH(2,1/(AW2029:BH2029&lt;&gt;""))),"")</f>
        <v>0</v>
      </c>
      <c r="BJ2029" s="68" cm="1">
        <f t="array" ref="BJ2029">IF(BM2029 = "", "",IFERROR(INDEX(AW2029:BH2029,1,MATCH(2,1/(AW2029:BH2029&lt;&gt;""),1)-1),""))</f>
        <v>2</v>
      </c>
      <c r="BK2029" s="59">
        <f>SUM(AW2029:BH2029)</f>
        <v>3</v>
      </c>
      <c r="BL2029" s="59" cm="1">
        <f t="array" ref="BL2029">IFERROR(SUM(AW2029:INDEX(AW2029:BH2029, MATCH(2, 1/(AW2029:BH2029&lt;&gt;""), 1) - 1))/_xlfn.XLOOKUP(F2029,Apuração!A:A,Apuração!B:B),0)</f>
        <v>0.25</v>
      </c>
      <c r="BM2029" s="55" cm="1">
        <f t="array" ref="BM2029">IFERROR(
   INDEX($AW$1:$BH$1,
      _xlfn.AGGREGATE(14, 6, COLUMN($AW$1:$BH$1)/(AW2029:BH2029&lt;&gt;""), 2) - COLUMN($AW$1) + 1
   ),
"")</f>
        <v>46113</v>
      </c>
      <c r="BN2029" s="55" cm="1">
        <f t="array" ref="BN2029">IFERROR(INDEX($AW$1:$BH$1,1,MATCH(2,1/(AW2029:BH2029&lt;&gt;""))),"")</f>
        <v>46143</v>
      </c>
      <c r="BO2029" s="53">
        <f ca="1">IFERROR(_xlfn.XLOOKUP(F2029,Apuração!A:A,Apuração!C:C)/_xlfn.XLOOKUP(F2029,Apuração!A:A,Apuração!B:B),0)</f>
        <v>0.41666666666666669</v>
      </c>
      <c r="BP2029" s="53">
        <f ca="1">IFERROR(_xlfn.XLOOKUP(F2029,Apuração!A:A,Apuração!D:D)/_xlfn.XLOOKUP(F2029,Apuração!A:A,Apuração!B:B),0)</f>
        <v>0.33333333333333331</v>
      </c>
      <c r="BQ2029" s="53">
        <f ca="1">IF(BK2029&gt;=BO2029,0,_xlfn.XLOOKUP(F2029,Apuração!A:A,Apuração!B:B)*(BO2029 + (1/_xlfn.XLOOKUP(F2029,Apuração!A:A,Apuração!B:B)) - BK2029))</f>
        <v>0</v>
      </c>
      <c r="BR2029" s="85">
        <f t="shared" ca="1" si="2374"/>
        <v>0</v>
      </c>
      <c r="BS2029" s="53">
        <f ca="1">IFERROR((_xlfn.XLOOKUP(F2029,Apuração!A:A,Apuração!C:C)+1)/_xlfn.XLOOKUP(F2029,Apuração!A:A,Apuração!B:B),0)</f>
        <v>0.5</v>
      </c>
    </row>
    <row r="2030" spans="1:71" ht="25.95" hidden="1" customHeight="1" x14ac:dyDescent="0.3">
      <c r="A2030" s="40" t="s">
        <v>87</v>
      </c>
      <c r="B2030" s="4" t="s">
        <v>229</v>
      </c>
      <c r="C2030" s="5" t="s">
        <v>35</v>
      </c>
      <c r="D2030" s="5" t="s">
        <v>48</v>
      </c>
      <c r="E2030" s="4" t="str" cm="1">
        <f t="array" ref="E2030">_xlfn.IFS(
F2030 = "A partir de Abril", "Aguardando Execução na Distribuidora",
A2030 = "CAPACITAÇÃO", "Em execução no Corporativo",
TRUE, "Em Execução na Distribuidora"
)</f>
        <v>Em Execução na Distribuidora</v>
      </c>
      <c r="F2030" s="4" t="str" cm="1">
        <f t="array" ref="F2030">_xlfn.IFS(
AG2030 &lt;&gt; "", "Jan-Dez/26",
AH2030 &lt;&gt; "", "Fev-Dez/26",
AI2030 &lt;&gt; "", "Mar-Dez/26", AJ2030 &lt;&gt; "", "Abr-Dez/26",
TRUE, "A partir de Junho"
)</f>
        <v>Jan-Dez/26</v>
      </c>
      <c r="G2030" s="7" t="s">
        <v>37</v>
      </c>
      <c r="H2030" s="7" t="s">
        <v>110</v>
      </c>
      <c r="I2030" s="8" t="s">
        <v>148</v>
      </c>
      <c r="J2030" s="21" t="str" cm="1">
        <f t="array" aca="1" ref="J2030" ca="1">_xlfn.LET(
  _xlpm.actual_value_month, INDEX(T2030:AE2030, MATCH(DATE(YEAR(TODAY()), MONTH(TODAY()), 1), $T$1:$AE$1, 0)),
  IF(_xlpm.actual_value_month &lt;&gt; "",_xlpm.actual_value_month &amp; " ações mensais", "")
)</f>
        <v/>
      </c>
      <c r="K2030" s="8" t="str" cm="1">
        <f t="array" ref="K2030">_xlfn.LET(
    _xlpm.sum_month, SUM(T2030:AE2030),
    IF(_xlpm.sum_month = 0, "", _xlpm.sum_month &amp; " NC's no ano")
)</f>
        <v/>
      </c>
      <c r="L2030" s="9" t="s">
        <v>149</v>
      </c>
      <c r="M2030" s="4"/>
      <c r="N2030" s="5" t="s">
        <v>51</v>
      </c>
      <c r="O2030" s="5" t="s">
        <v>52</v>
      </c>
      <c r="P2030" s="10" t="s">
        <v>44</v>
      </c>
      <c r="Q2030" s="10" t="s">
        <v>44</v>
      </c>
      <c r="R2030" s="11" t="s">
        <v>44</v>
      </c>
      <c r="S2030" s="11" t="s">
        <v>44</v>
      </c>
      <c r="T2030" s="22"/>
      <c r="U2030" s="22"/>
      <c r="V2030" s="22"/>
      <c r="W2030" s="22"/>
      <c r="X2030" s="22"/>
      <c r="Y2030" s="22"/>
      <c r="Z2030" s="22"/>
      <c r="AA2030" s="22"/>
      <c r="AB2030" s="22"/>
      <c r="AC2030" s="22"/>
      <c r="AD2030" s="22"/>
      <c r="AE2030" s="22"/>
      <c r="AG2030" s="82">
        <v>5</v>
      </c>
      <c r="AH2030" s="82">
        <v>2</v>
      </c>
      <c r="AI2030" s="82">
        <v>2</v>
      </c>
      <c r="AJ2030" s="82">
        <v>2</v>
      </c>
      <c r="AK2030" s="71">
        <v>3</v>
      </c>
      <c r="AL2030" s="71"/>
      <c r="AM2030" s="71"/>
      <c r="AN2030" s="71"/>
      <c r="AO2030" s="71"/>
      <c r="AP2030" s="71"/>
      <c r="AQ2030" s="71"/>
      <c r="AR2030" s="71"/>
      <c r="AS2030" s="94">
        <f t="shared" ca="1" si="2372"/>
        <v>0</v>
      </c>
      <c r="AT2030" s="95">
        <f>SUM(AG2030:AR2030)</f>
        <v>14</v>
      </c>
      <c r="AU2030" s="97">
        <f t="shared" si="2373"/>
        <v>14</v>
      </c>
      <c r="AW2030" s="83">
        <f t="shared" si="2390"/>
        <v>5</v>
      </c>
      <c r="AX2030" s="83">
        <f t="shared" si="2390"/>
        <v>2</v>
      </c>
      <c r="AY2030" s="83">
        <f t="shared" si="2390"/>
        <v>2</v>
      </c>
      <c r="AZ2030" s="83">
        <f t="shared" si="2390"/>
        <v>2</v>
      </c>
      <c r="BA2030" s="83">
        <f t="shared" si="2390"/>
        <v>3</v>
      </c>
      <c r="BB2030" s="52"/>
      <c r="BC2030" s="52"/>
      <c r="BD2030" s="52"/>
      <c r="BE2030" s="52"/>
      <c r="BF2030" s="52"/>
      <c r="BG2030" s="52"/>
      <c r="BH2030" s="52"/>
      <c r="BI2030" s="68" cm="1">
        <f t="array" ref="BI2030">IFERROR(INDEX(AW2030:BH2030,1,MATCH(2,1/(AW2030:BH2030&lt;&gt;""))),"")</f>
        <v>3</v>
      </c>
      <c r="BJ2030" s="68" cm="1">
        <f t="array" ref="BJ2030">IF(BM2030 = "", "",IFERROR(INDEX(AW2030:BH2030,1,MATCH(2,1/(AW2030:BH2030&lt;&gt;""),1)-1),""))</f>
        <v>2</v>
      </c>
      <c r="BK2030" s="59">
        <f>SUM(AW2030:BH2030)</f>
        <v>14</v>
      </c>
      <c r="BL2030" s="59" cm="1">
        <f t="array" ref="BL2030">IFERROR(SUM(AW2030:INDEX(AW2030:BH2030, MATCH(2, 1/(AW2030:BH2030&lt;&gt;""), 1) - 1))/_xlfn.XLOOKUP(F2030,Apuração!A:A,Apuração!B:B),0)</f>
        <v>0.91666666666666663</v>
      </c>
      <c r="BM2030" s="55" cm="1">
        <f t="array" ref="BM2030">IFERROR(
   INDEX($AW$1:$BH$1,
      _xlfn.AGGREGATE(14, 6, COLUMN($AW$1:$BH$1)/(AW2030:BH2030&lt;&gt;""), 2) - COLUMN($AW$1) + 1
   ),
"")</f>
        <v>46113</v>
      </c>
      <c r="BN2030" s="55" cm="1">
        <f t="array" ref="BN2030">IFERROR(INDEX($AW$1:$BH$1,1,MATCH(2,1/(AW2030:BH2030&lt;&gt;""))),"")</f>
        <v>46143</v>
      </c>
      <c r="BO2030" s="53">
        <f ca="1">IFERROR(_xlfn.XLOOKUP(F2030,Apuração!A:A,Apuração!C:C)/_xlfn.XLOOKUP(F2030,Apuração!A:A,Apuração!B:B),0)</f>
        <v>0.41666666666666669</v>
      </c>
      <c r="BP2030" s="53">
        <f ca="1">IFERROR(_xlfn.XLOOKUP(F2030,Apuração!A:A,Apuração!D:D)/_xlfn.XLOOKUP(F2030,Apuração!A:A,Apuração!B:B),0)</f>
        <v>0.33333333333333331</v>
      </c>
      <c r="BQ2030" s="53">
        <f ca="1">IF(BK2030&gt;=BO2030,0,_xlfn.XLOOKUP(F2030,Apuração!A:A,Apuração!B:B)*(BO2030 + (1/_xlfn.XLOOKUP(F2030,Apuração!A:A,Apuração!B:B)) - BK2030))</f>
        <v>0</v>
      </c>
      <c r="BR2030" s="85">
        <f t="shared" ca="1" si="2374"/>
        <v>0</v>
      </c>
      <c r="BS2030" s="53">
        <f ca="1">IFERROR((_xlfn.XLOOKUP(F2030,Apuração!A:A,Apuração!C:C)+1)/_xlfn.XLOOKUP(F2030,Apuração!A:A,Apuração!B:B),0)</f>
        <v>0.5</v>
      </c>
    </row>
    <row r="2031" spans="1:71" ht="25.95" hidden="1" customHeight="1" x14ac:dyDescent="0.3">
      <c r="A2031" s="20" t="s">
        <v>87</v>
      </c>
      <c r="B2031" s="4" t="s">
        <v>232</v>
      </c>
      <c r="C2031" s="5" t="s">
        <v>35</v>
      </c>
      <c r="D2031" s="5" t="s">
        <v>36</v>
      </c>
      <c r="E2031" s="4" t="str" cm="1">
        <f t="array" ref="E2031">_xlfn.IFS(
F2031 = "A partir de Abril", "Aguardando Execução na Distribuidora",
A2031 = "CAPACITAÇÃO", "Em execução no Corporativo",
TRUE, "Em Execução na Distribuidora"
)</f>
        <v>Em Execução na Distribuidora</v>
      </c>
      <c r="F2031" s="4" t="str" cm="1">
        <f t="array" ref="F2031">_xlfn.IFS(
AG2031 &lt;&gt; "", "Jan-Dez/26",
AH2031 &lt;&gt; "", "Fev-Dez/26",
AI2031 &lt;&gt; "", "Mar-Dez/26", AJ2031 &lt;&gt; "", "Abr-Dez/26",
TRUE, "A partir de Junho"
)</f>
        <v>Jan-Dez/26</v>
      </c>
      <c r="G2031" s="7" t="s">
        <v>37</v>
      </c>
      <c r="H2031" s="7" t="s">
        <v>110</v>
      </c>
      <c r="I2031" s="21" t="s">
        <v>233</v>
      </c>
      <c r="J2031" s="21" t="str" cm="1">
        <f t="array" aca="1" ref="J2031" ca="1">_xlfn.LET(
  _xlpm.actual_value_month, INDEX(T2031:AE2031, MATCH(DATE(YEAR(TODAY()), MONTH(TODAY()), 1), $T$1:$AE$1, 0)),
  IF(_xlpm.actual_value_month &lt;&gt; "",_xlpm.actual_value_month &amp; " equipes mensais", "")
)</f>
        <v>119 equipes mensais</v>
      </c>
      <c r="K2031" s="8" t="str" cm="1">
        <f t="array" ref="K2031">_xlfn.LET(
    _xlpm.sum_month, SUM(T2031:AE2031),
    IF(_xlpm.sum_month = 0, "", _xlpm.sum_month &amp; " equipes alcançadas no ano")
)</f>
        <v>1098 equipes alcançadas no ano</v>
      </c>
      <c r="L2031" s="4" t="s">
        <v>234</v>
      </c>
      <c r="M2031" s="19" t="s">
        <v>235</v>
      </c>
      <c r="N2031" s="5" t="s">
        <v>42</v>
      </c>
      <c r="O2031" s="5" t="s">
        <v>43</v>
      </c>
      <c r="P2031" s="10" t="s">
        <v>44</v>
      </c>
      <c r="Q2031" s="10" t="s">
        <v>44</v>
      </c>
      <c r="R2031" s="11" t="s">
        <v>147</v>
      </c>
      <c r="S2031" s="11" t="s">
        <v>162</v>
      </c>
      <c r="T2031" s="22">
        <v>12</v>
      </c>
      <c r="U2031" s="22">
        <v>10</v>
      </c>
      <c r="V2031" s="22">
        <v>5</v>
      </c>
      <c r="W2031" s="22">
        <v>119</v>
      </c>
      <c r="X2031" s="22">
        <v>119</v>
      </c>
      <c r="Y2031" s="22">
        <v>119</v>
      </c>
      <c r="Z2031" s="22">
        <v>119</v>
      </c>
      <c r="AA2031" s="22">
        <v>119</v>
      </c>
      <c r="AB2031" s="22">
        <v>119</v>
      </c>
      <c r="AC2031" s="22">
        <v>119</v>
      </c>
      <c r="AD2031" s="22">
        <v>119</v>
      </c>
      <c r="AE2031" s="22">
        <v>119</v>
      </c>
      <c r="AG2031" s="71">
        <v>12</v>
      </c>
      <c r="AH2031" s="71">
        <v>10</v>
      </c>
      <c r="AI2031" s="71">
        <v>5</v>
      </c>
      <c r="AJ2031" s="71">
        <v>13</v>
      </c>
      <c r="AK2031" s="71">
        <v>23</v>
      </c>
      <c r="AL2031" s="71"/>
      <c r="AM2031" s="71"/>
      <c r="AN2031" s="71"/>
      <c r="AO2031" s="71"/>
      <c r="AP2031" s="71"/>
      <c r="AQ2031" s="71"/>
      <c r="AR2031" s="71"/>
      <c r="AS2031" s="94">
        <f t="shared" ca="1" si="2372"/>
        <v>265</v>
      </c>
      <c r="AT2031" s="95">
        <f>SUM(IF(AW2031&lt;1.15,AG2031,1.15*T2031),IF(AX2031&lt;1.15,AH2031,1.15*U2031),IF(AY2031&lt;1.15,AI2031,1.15*V2031),IF(AZ2031&lt;1.15,AJ2031,1.15*W2031),IF(BA2031&lt;1.15,AK2031,1.15*X2031),IF(BB2031&lt;1.15,AL2031,1.15*Y2031),IF(BC2031&lt;1.15,AM2031,1.15*Z2031),IF(BD2031&lt;1.15,AN2031,1.15*AA2031),IF(BE2031&lt;1.15,AO2031,1.15*AB2031),IF(BF2031&lt;1.15,AP2031,1.15*AC2031),IF(BG2031&lt;1.15,AQ2031,1.15*AD2031),IF(BH2031&lt;1.15,AR2031,1.15*AE2031))</f>
        <v>63</v>
      </c>
      <c r="AU2031" s="97">
        <f t="shared" si="2373"/>
        <v>63</v>
      </c>
      <c r="AW2031" s="51">
        <f t="shared" ref="AW2031:BA2033" si="2391">IFERROR(IF(AG2031="",0,AG2031/T2031),0)</f>
        <v>1</v>
      </c>
      <c r="AX2031" s="51">
        <f t="shared" si="2391"/>
        <v>1</v>
      </c>
      <c r="AY2031" s="51">
        <f t="shared" si="2391"/>
        <v>1</v>
      </c>
      <c r="AZ2031" s="51">
        <f t="shared" si="2391"/>
        <v>0.1092436974789916</v>
      </c>
      <c r="BA2031" s="51">
        <f t="shared" si="2391"/>
        <v>0.19327731092436976</v>
      </c>
      <c r="BB2031" s="51"/>
      <c r="BC2031" s="51"/>
      <c r="BD2031" s="51"/>
      <c r="BE2031" s="51"/>
      <c r="BF2031" s="51"/>
      <c r="BG2031" s="51"/>
      <c r="BH2031" s="51"/>
      <c r="BI2031" s="65" cm="1">
        <f t="array" ref="BI2031">IFERROR(INDEX(AW2031:BH2031,1,MATCH(2,1/(AW2031:BH2031&lt;&gt;""))),"")</f>
        <v>0.19327731092436976</v>
      </c>
      <c r="BJ2031" s="68" cm="1">
        <f t="array" ref="BJ2031">IF(BM2031 = "", "",IFERROR(INDEX(AW2031:BH2031,1,MATCH(2,1/(AW2031:BH2031&lt;&gt;""),1)-1),""))</f>
        <v>0.1092436974789916</v>
      </c>
      <c r="BK2031" s="58">
        <f>IF((IF(AW2031&gt;=115%,115%,AW2031) + IF(AX2031&gt;=200%,200%,AX2031) + IF(AY2031&gt;=130%,130%,AY2031) + (IF(AZ2031&gt;=115%,115%,AZ2031) + IF(BA2031&gt;=115%,115%,BA2031) + IF(BB2031&gt;=115%,115%,BB2031) + IF(BC2031&gt;=115%,115%,BC2031) + IF(BD2031&gt;=115%,115%,BD2031) + IF(BE2031&gt;=121%,121%,BE2031) + IF(BF2031&gt;=115%,115%,BF2031) + IF(BG2031&gt;=115%,115%,BG2031) + IF(BH2031&gt;=115%,115%,BH2031)))/_xlfn.XLOOKUP(F2031,Apuração!A:A,Apuração!B:B)&gt;=1.15,1.15,((IF(AZ2031&gt;=115%,115%,AZ2031) + IF(AX2031&gt;=200%,200%,AX2031) + IF(AY2031&gt;=130%,130%,AY2031) + (IF(AW2031&gt;=115%,115%,AW2031) + IF(BA2031&gt;=115%,115%,BA2031) + IF(BB2031&gt;=115%,115%,BB2031) + IF(BC2031&gt;=115%,115%,BC2031) + IF(BD2031&gt;=115%,115%,BD2031) + IF(BE2031&gt;=121%,121%,BE2031) + IF(BF2031&gt;=115%,115%,BF2031) + IF(BG2031&gt;=115%,115%,BG2031) + IF(BH2031&gt;=115%,115%,BH2031)))/_xlfn.XLOOKUP(F2031,Apuração!A:A,Apuração!B:B)))</f>
        <v>0.27521008403361341</v>
      </c>
      <c r="BL2031" s="58" cm="1">
        <f t="array" aca="1" ref="BL2031" ca="1">IF(SUM(IFERROR(IF(INDEX(AW2031:INDEX(AW2031:BH2031, MATCH(2, 1/(AW2031:BH2031&lt;&gt;""), 1)-1), ROW(INDIRECT("1:" &amp; MATCH(2, 1/(AW2031:BH2031&lt;&gt;""), 1)-1))) &gt;= 115%, 115%, INDEX(AW2031:INDEX(AW2031:BH2031, MATCH(2, 1/(AW2031:BH2031&lt;&gt;""), 1)-1), ROW(INDIRECT("1:" &amp; MATCH(2, 1/(AW2031:BH2031&lt;&gt;""), 1)-1)))), 0))/_xlfn.XLOOKUP(F2031,Apuração!A:A,Apuração!B:B)&gt;=1.15,1.15,SUM(IFERROR(IF(INDEX(AW2031:INDEX(AW2031:BH2031, MATCH(2, 1/(AW2031:BH2031&lt;&gt;""), 1)-1), ROW(INDIRECT("1:" &amp; MATCH(2, 1/(AW2031:BH2031&lt;&gt;""), 1)-1))) &gt;= 115%, 115%, INDEX(AW2031:INDEX(AW2031:BH2031, MATCH(2, 1/(AW2031:BH2031&lt;&gt;""), 1)-1), ROW(INDIRECT("1:" &amp; MATCH(2, 1/(AW2031:BH2031&lt;&gt;""), 1)-1)))), 0))/_xlfn.XLOOKUP(F2031,Apuração!A:A,Apuração!B:B))</f>
        <v>0.25910364145658266</v>
      </c>
      <c r="BM2031" s="55" cm="1">
        <f t="array" ref="BM2031">IFERROR(
   INDEX($AW$1:$BH$1,
      _xlfn.AGGREGATE(14, 6, COLUMN($AW$1:$BH$1)/(AW2031:BH2031&lt;&gt;""), 2) - COLUMN($AW$1) + 1
   ),
"")</f>
        <v>46113</v>
      </c>
      <c r="BN2031" s="55" cm="1">
        <f t="array" ref="BN2031">IFERROR(INDEX($AW$1:$BH$1,1,MATCH(2,1/(AW2031:BH2031&lt;&gt;""))),"")</f>
        <v>46143</v>
      </c>
      <c r="BO2031" s="53">
        <f ca="1">IFERROR(_xlfn.XLOOKUP(F2031,Apuração!A:A,Apuração!C:C)/_xlfn.XLOOKUP(F2031,Apuração!A:A,Apuração!B:B),0)</f>
        <v>0.41666666666666669</v>
      </c>
      <c r="BP2031" s="53">
        <f ca="1">IFERROR(_xlfn.XLOOKUP(F2031,Apuração!A:A,Apuração!D:D)/_xlfn.XLOOKUP(F2031,Apuração!A:A,Apuração!B:B),0)</f>
        <v>0.33333333333333331</v>
      </c>
      <c r="BQ2031" s="53">
        <f ca="1">IF(BK2031&gt;=BO2031,0,_xlfn.XLOOKUP(F2031,Apuração!A:A,Apuração!B:B)*(BO2031 + (1/_xlfn.XLOOKUP(F2031,Apuração!A:A,Apuração!B:B)) - BK2031))</f>
        <v>2.6974789915966388</v>
      </c>
      <c r="BR2031" s="85">
        <f t="shared" ca="1" si="2374"/>
        <v>321</v>
      </c>
      <c r="BS2031" s="53">
        <f ca="1">IFERROR((_xlfn.XLOOKUP(F2031,Apuração!A:A,Apuração!C:C)+1)/_xlfn.XLOOKUP(F2031,Apuração!A:A,Apuração!B:B),0)</f>
        <v>0.5</v>
      </c>
    </row>
    <row r="2032" spans="1:71" ht="25.95" hidden="1" customHeight="1" x14ac:dyDescent="0.3">
      <c r="A2032" s="20" t="s">
        <v>87</v>
      </c>
      <c r="B2032" s="4" t="s">
        <v>232</v>
      </c>
      <c r="C2032" s="5" t="s">
        <v>35</v>
      </c>
      <c r="D2032" s="5" t="s">
        <v>47</v>
      </c>
      <c r="E2032" s="4" t="str" cm="1">
        <f t="array" ref="E2032">_xlfn.IFS(
F2032 = "A partir de Abril", "Aguardando Execução na Distribuidora",
A2032 = "CAPACITAÇÃO", "Em execução no Corporativo",
TRUE, "Em Execução na Distribuidora"
)</f>
        <v>Em Execução na Distribuidora</v>
      </c>
      <c r="F2032" s="4" t="str" cm="1">
        <f t="array" ref="F2032">_xlfn.IFS(
AG2032 &lt;&gt; "", "Jan-Dez/26",
AH2032 &lt;&gt; "", "Fev-Dez/26",
AI2032 &lt;&gt; "", "Mar-Dez/26", AJ2032 &lt;&gt; "", "Abr-Dez/26",
TRUE, "A partir de Junho"
)</f>
        <v>Jan-Dez/26</v>
      </c>
      <c r="G2032" s="7" t="s">
        <v>37</v>
      </c>
      <c r="H2032" s="7" t="s">
        <v>110</v>
      </c>
      <c r="I2032" s="21" t="s">
        <v>233</v>
      </c>
      <c r="J2032" s="21" t="str" cm="1">
        <f t="array" aca="1" ref="J2032" ca="1">_xlfn.LET(
  _xlpm.actual_value_month, INDEX(T2032:AE2032, MATCH(DATE(YEAR(TODAY()), MONTH(TODAY()), 1), $T$1:$AE$1, 0)),
  IF(_xlpm.actual_value_month &lt;&gt; "",_xlpm.actual_value_month &amp; " equipes mensais", "")
)</f>
        <v>60 equipes mensais</v>
      </c>
      <c r="K2032" s="8" t="str" cm="1">
        <f t="array" ref="K2032">_xlfn.LET(
    _xlpm.sum_month, SUM(T2032:AE2032),
    IF(_xlpm.sum_month = 0, "", _xlpm.sum_month &amp; " equipes alcançadas no ano")
)</f>
        <v>564 equipes alcançadas no ano</v>
      </c>
      <c r="L2032" s="4" t="s">
        <v>234</v>
      </c>
      <c r="M2032" s="19" t="s">
        <v>235</v>
      </c>
      <c r="N2032" s="5" t="s">
        <v>42</v>
      </c>
      <c r="O2032" s="5" t="s">
        <v>43</v>
      </c>
      <c r="P2032" s="10" t="s">
        <v>44</v>
      </c>
      <c r="Q2032" s="10" t="s">
        <v>44</v>
      </c>
      <c r="R2032" s="11" t="s">
        <v>147</v>
      </c>
      <c r="S2032" s="11" t="s">
        <v>162</v>
      </c>
      <c r="T2032" s="143">
        <v>11</v>
      </c>
      <c r="U2032" s="143">
        <v>9</v>
      </c>
      <c r="V2032" s="143">
        <v>4</v>
      </c>
      <c r="W2032" s="143">
        <v>60</v>
      </c>
      <c r="X2032" s="143">
        <v>60</v>
      </c>
      <c r="Y2032" s="143">
        <v>60</v>
      </c>
      <c r="Z2032" s="143">
        <v>60</v>
      </c>
      <c r="AA2032" s="143">
        <v>60</v>
      </c>
      <c r="AB2032" s="143">
        <v>60</v>
      </c>
      <c r="AC2032" s="143">
        <v>60</v>
      </c>
      <c r="AD2032" s="143">
        <v>60</v>
      </c>
      <c r="AE2032" s="143">
        <v>60</v>
      </c>
      <c r="AG2032" s="82">
        <v>11</v>
      </c>
      <c r="AH2032" s="82">
        <v>9</v>
      </c>
      <c r="AI2032" s="82">
        <v>4</v>
      </c>
      <c r="AJ2032" s="82">
        <v>13</v>
      </c>
      <c r="AK2032" s="71">
        <v>18</v>
      </c>
      <c r="AL2032" s="71"/>
      <c r="AM2032" s="71"/>
      <c r="AN2032" s="71"/>
      <c r="AO2032" s="71"/>
      <c r="AP2032" s="71"/>
      <c r="AQ2032" s="71"/>
      <c r="AR2032" s="71"/>
      <c r="AS2032" s="94">
        <f t="shared" ca="1" si="2372"/>
        <v>144</v>
      </c>
      <c r="AT2032" s="95">
        <f>SUM(IF(AW2032&lt;1.15,AG2032,1.15*T2032),IF(AX2032&lt;1.15,AH2032,1.15*U2032),IF(AY2032&lt;1.15,AI2032,1.15*V2032),IF(AZ2032&lt;1.15,AJ2032,1.15*W2032),IF(BA2032&lt;1.15,AK2032,1.15*X2032),IF(BB2032&lt;1.15,AL2032,1.15*Y2032),IF(BC2032&lt;1.15,AM2032,1.15*Z2032),IF(BD2032&lt;1.15,AN2032,1.15*AA2032),IF(BE2032&lt;1.15,AO2032,1.15*AB2032),IF(BF2032&lt;1.15,AP2032,1.15*AC2032),IF(BG2032&lt;1.15,AQ2032,1.15*AD2032),IF(BH2032&lt;1.15,AR2032,1.15*AE2032))</f>
        <v>55</v>
      </c>
      <c r="AU2032" s="97">
        <f t="shared" si="2373"/>
        <v>55</v>
      </c>
      <c r="AW2032" s="51">
        <f t="shared" si="2391"/>
        <v>1</v>
      </c>
      <c r="AX2032" s="51">
        <f t="shared" si="2391"/>
        <v>1</v>
      </c>
      <c r="AY2032" s="51">
        <f t="shared" si="2391"/>
        <v>1</v>
      </c>
      <c r="AZ2032" s="51">
        <f t="shared" si="2391"/>
        <v>0.21666666666666667</v>
      </c>
      <c r="BA2032" s="51">
        <f t="shared" si="2391"/>
        <v>0.3</v>
      </c>
      <c r="BB2032" s="51"/>
      <c r="BC2032" s="51"/>
      <c r="BD2032" s="51"/>
      <c r="BE2032" s="51"/>
      <c r="BF2032" s="51"/>
      <c r="BG2032" s="51"/>
      <c r="BH2032" s="51"/>
      <c r="BI2032" s="65" cm="1">
        <f t="array" ref="BI2032">IFERROR(INDEX(AW2032:BH2032,1,MATCH(2,1/(AW2032:BH2032&lt;&gt;""))),"")</f>
        <v>0.3</v>
      </c>
      <c r="BJ2032" s="68" cm="1">
        <f t="array" ref="BJ2032">IF(BM2032 = "", "",IFERROR(INDEX(AW2032:BH2032,1,MATCH(2,1/(AW2032:BH2032&lt;&gt;""),1)-1),""))</f>
        <v>0.21666666666666667</v>
      </c>
      <c r="BK2032" s="58">
        <f>IF((IF(AW2032&gt;=115%,115%,AW2032) + IF(AX2032&gt;=200%,200%,AX2032) + IF(AY2032&gt;=130%,130%,AY2032) + (IF(AZ2032&gt;=115%,115%,AZ2032) + IF(BA2032&gt;=115%,115%,BA2032) + IF(BB2032&gt;=115%,115%,BB2032) + IF(BC2032&gt;=115%,115%,BC2032) + IF(BD2032&gt;=115%,115%,BD2032) + IF(BE2032&gt;=121%,121%,BE2032) + IF(BF2032&gt;=115%,115%,BF2032) + IF(BG2032&gt;=115%,115%,BG2032) + IF(BH2032&gt;=115%,115%,BH2032)))/_xlfn.XLOOKUP(F2032,Apuração!A:A,Apuração!B:B)&gt;=1.15,1.15,((IF(AZ2032&gt;=115%,115%,AZ2032) + IF(AX2032&gt;=200%,200%,AX2032) + IF(AY2032&gt;=130%,130%,AY2032) + (IF(AW2032&gt;=115%,115%,AW2032) + IF(BA2032&gt;=115%,115%,BA2032) + IF(BB2032&gt;=115%,115%,BB2032) + IF(BC2032&gt;=115%,115%,BC2032) + IF(BD2032&gt;=115%,115%,BD2032) + IF(BE2032&gt;=121%,121%,BE2032) + IF(BF2032&gt;=115%,115%,BF2032) + IF(BG2032&gt;=115%,115%,BG2032) + IF(BH2032&gt;=115%,115%,BH2032)))/_xlfn.XLOOKUP(F2032,Apuração!A:A,Apuração!B:B)))</f>
        <v>0.29305555555555557</v>
      </c>
      <c r="BL2032" s="58" cm="1">
        <f t="array" aca="1" ref="BL2032" ca="1">IF(SUM(IFERROR(IF(INDEX(AW2032:INDEX(AW2032:BH2032, MATCH(2, 1/(AW2032:BH2032&lt;&gt;""), 1)-1), ROW(INDIRECT("1:" &amp; MATCH(2, 1/(AW2032:BH2032&lt;&gt;""), 1)-1))) &gt;= 115%, 115%, INDEX(AW2032:INDEX(AW2032:BH2032, MATCH(2, 1/(AW2032:BH2032&lt;&gt;""), 1)-1), ROW(INDIRECT("1:" &amp; MATCH(2, 1/(AW2032:BH2032&lt;&gt;""), 1)-1)))), 0))/_xlfn.XLOOKUP(F2032,Apuração!A:A,Apuração!B:B)&gt;=1.15,1.15,SUM(IFERROR(IF(INDEX(AW2032:INDEX(AW2032:BH2032, MATCH(2, 1/(AW2032:BH2032&lt;&gt;""), 1)-1), ROW(INDIRECT("1:" &amp; MATCH(2, 1/(AW2032:BH2032&lt;&gt;""), 1)-1))) &gt;= 115%, 115%, INDEX(AW2032:INDEX(AW2032:BH2032, MATCH(2, 1/(AW2032:BH2032&lt;&gt;""), 1)-1), ROW(INDIRECT("1:" &amp; MATCH(2, 1/(AW2032:BH2032&lt;&gt;""), 1)-1)))), 0))/_xlfn.XLOOKUP(F2032,Apuração!A:A,Apuração!B:B))</f>
        <v>0.26805555555555555</v>
      </c>
      <c r="BM2032" s="55" cm="1">
        <f t="array" ref="BM2032">IFERROR(
   INDEX($AW$1:$BH$1,
      _xlfn.AGGREGATE(14, 6, COLUMN($AW$1:$BH$1)/(AW2032:BH2032&lt;&gt;""), 2) - COLUMN($AW$1) + 1
   ),
"")</f>
        <v>46113</v>
      </c>
      <c r="BN2032" s="55" cm="1">
        <f t="array" ref="BN2032">IFERROR(INDEX($AW$1:$BH$1,1,MATCH(2,1/(AW2032:BH2032&lt;&gt;""))),"")</f>
        <v>46143</v>
      </c>
      <c r="BO2032" s="53">
        <f ca="1">IFERROR(_xlfn.XLOOKUP(F2032,Apuração!A:A,Apuração!C:C)/_xlfn.XLOOKUP(F2032,Apuração!A:A,Apuração!B:B),0)</f>
        <v>0.41666666666666669</v>
      </c>
      <c r="BP2032" s="53">
        <f ca="1">IFERROR(_xlfn.XLOOKUP(F2032,Apuração!A:A,Apuração!D:D)/_xlfn.XLOOKUP(F2032,Apuração!A:A,Apuração!B:B),0)</f>
        <v>0.33333333333333331</v>
      </c>
      <c r="BQ2032" s="53">
        <f ca="1">IF(BK2032&gt;=BO2032,0,_xlfn.XLOOKUP(F2032,Apuração!A:A,Apuração!B:B)*(BO2032 + (1/_xlfn.XLOOKUP(F2032,Apuração!A:A,Apuração!B:B)) - BK2032))</f>
        <v>2.4833333333333334</v>
      </c>
      <c r="BR2032" s="85">
        <f t="shared" ca="1" si="2374"/>
        <v>149</v>
      </c>
      <c r="BS2032" s="53">
        <f ca="1">IFERROR((_xlfn.XLOOKUP(F2032,Apuração!A:A,Apuração!C:C)+1)/_xlfn.XLOOKUP(F2032,Apuração!A:A,Apuração!B:B),0)</f>
        <v>0.5</v>
      </c>
    </row>
    <row r="2033" spans="1:71" ht="25.95" hidden="1" customHeight="1" x14ac:dyDescent="0.3">
      <c r="A2033" s="20" t="s">
        <v>87</v>
      </c>
      <c r="B2033" s="4" t="s">
        <v>232</v>
      </c>
      <c r="C2033" s="5" t="s">
        <v>35</v>
      </c>
      <c r="D2033" s="5" t="s">
        <v>48</v>
      </c>
      <c r="E2033" s="4" t="str" cm="1">
        <f t="array" ref="E2033">_xlfn.IFS(
F2033 = "A partir de Abril", "Aguardando Execução na Distribuidora",
A2033 = "CAPACITAÇÃO", "Em execução no Corporativo",
TRUE, "Em Execução na Distribuidora"
)</f>
        <v>Em Execução na Distribuidora</v>
      </c>
      <c r="F2033" s="4" t="str" cm="1">
        <f t="array" ref="F2033">_xlfn.IFS(
AG2033 &lt;&gt; "", "Jan-Dez/26",
AH2033 &lt;&gt; "", "Fev-Dez/26",
AI2033 &lt;&gt; "", "Mar-Dez/26", AJ2033 &lt;&gt; "", "Abr-Dez/26",
TRUE, "A partir de Junho"
)</f>
        <v>Jan-Dez/26</v>
      </c>
      <c r="G2033" s="7" t="s">
        <v>37</v>
      </c>
      <c r="H2033" s="7" t="s">
        <v>110</v>
      </c>
      <c r="I2033" s="21" t="s">
        <v>233</v>
      </c>
      <c r="J2033" s="21" t="str" cm="1">
        <f t="array" aca="1" ref="J2033" ca="1">_xlfn.LET(
  _xlpm.actual_value_month, INDEX(T2033:AE2033, MATCH(DATE(YEAR(TODAY()), MONTH(TODAY()), 1), $T$1:$AE$1, 0)),
  IF(_xlpm.actual_value_month &lt;&gt; "",_xlpm.actual_value_month &amp; " equipes mensais", "")
)</f>
        <v>59 equipes mensais</v>
      </c>
      <c r="K2033" s="8" t="str" cm="1">
        <f t="array" ref="K2033">_xlfn.LET(
    _xlpm.sum_month, SUM(T2033:AE2033),
    IF(_xlpm.sum_month = 0, "", _xlpm.sum_month &amp; " equipes alcançadas no ano")
)</f>
        <v>534 equipes alcançadas no ano</v>
      </c>
      <c r="L2033" s="4" t="s">
        <v>234</v>
      </c>
      <c r="M2033" s="19" t="s">
        <v>235</v>
      </c>
      <c r="N2033" s="5" t="s">
        <v>42</v>
      </c>
      <c r="O2033" s="5" t="s">
        <v>43</v>
      </c>
      <c r="P2033" s="10" t="s">
        <v>44</v>
      </c>
      <c r="Q2033" s="10" t="s">
        <v>44</v>
      </c>
      <c r="R2033" s="11" t="s">
        <v>147</v>
      </c>
      <c r="S2033" s="11" t="s">
        <v>162</v>
      </c>
      <c r="T2033" s="143">
        <v>1</v>
      </c>
      <c r="U2033" s="143">
        <v>1</v>
      </c>
      <c r="V2033" s="143">
        <v>1</v>
      </c>
      <c r="W2033" s="143">
        <v>59</v>
      </c>
      <c r="X2033" s="143">
        <v>59</v>
      </c>
      <c r="Y2033" s="143">
        <v>59</v>
      </c>
      <c r="Z2033" s="143">
        <v>59</v>
      </c>
      <c r="AA2033" s="143">
        <v>59</v>
      </c>
      <c r="AB2033" s="143">
        <v>59</v>
      </c>
      <c r="AC2033" s="143">
        <v>59</v>
      </c>
      <c r="AD2033" s="143">
        <v>59</v>
      </c>
      <c r="AE2033" s="143">
        <v>59</v>
      </c>
      <c r="AG2033" s="82">
        <v>1</v>
      </c>
      <c r="AH2033" s="82">
        <v>1</v>
      </c>
      <c r="AI2033" s="82">
        <v>1</v>
      </c>
      <c r="AJ2033" s="82">
        <v>0</v>
      </c>
      <c r="AK2033" s="71">
        <v>5</v>
      </c>
      <c r="AL2033" s="71"/>
      <c r="AM2033" s="71"/>
      <c r="AN2033" s="71"/>
      <c r="AO2033" s="71"/>
      <c r="AP2033" s="71"/>
      <c r="AQ2033" s="71"/>
      <c r="AR2033" s="71"/>
      <c r="AS2033" s="94">
        <f t="shared" ca="1" si="2372"/>
        <v>121</v>
      </c>
      <c r="AT2033" s="95">
        <f>SUM(IF(AW2033&lt;1.15,AG2033,1.15*T2033),IF(AX2033&lt;1.15,AH2033,1.15*U2033),IF(AY2033&lt;1.15,AI2033,1.15*V2033),IF(AZ2033&lt;1.15,AJ2033,1.15*W2033),IF(BA2033&lt;1.15,AK2033,1.15*X2033),IF(BB2033&lt;1.15,AL2033,1.15*Y2033),IF(BC2033&lt;1.15,AM2033,1.15*Z2033),IF(BD2033&lt;1.15,AN2033,1.15*AA2033),IF(BE2033&lt;1.15,AO2033,1.15*AB2033),IF(BF2033&lt;1.15,AP2033,1.15*AC2033),IF(BG2033&lt;1.15,AQ2033,1.15*AD2033),IF(BH2033&lt;1.15,AR2033,1.15*AE2033))</f>
        <v>8</v>
      </c>
      <c r="AU2033" s="97">
        <f t="shared" si="2373"/>
        <v>8</v>
      </c>
      <c r="AW2033" s="51">
        <f t="shared" si="2391"/>
        <v>1</v>
      </c>
      <c r="AX2033" s="51">
        <f t="shared" si="2391"/>
        <v>1</v>
      </c>
      <c r="AY2033" s="51">
        <f t="shared" si="2391"/>
        <v>1</v>
      </c>
      <c r="AZ2033" s="51">
        <f t="shared" si="2391"/>
        <v>0</v>
      </c>
      <c r="BA2033" s="51">
        <f t="shared" si="2391"/>
        <v>8.4745762711864403E-2</v>
      </c>
      <c r="BB2033" s="51"/>
      <c r="BC2033" s="51"/>
      <c r="BD2033" s="51"/>
      <c r="BE2033" s="51"/>
      <c r="BF2033" s="51"/>
      <c r="BG2033" s="51"/>
      <c r="BH2033" s="51"/>
      <c r="BI2033" s="65" cm="1">
        <f t="array" ref="BI2033">IFERROR(INDEX(AW2033:BH2033,1,MATCH(2,1/(AW2033:BH2033&lt;&gt;""))),"")</f>
        <v>8.4745762711864403E-2</v>
      </c>
      <c r="BJ2033" s="68" cm="1">
        <f t="array" ref="BJ2033">IF(BM2033 = "", "",IFERROR(INDEX(AW2033:BH2033,1,MATCH(2,1/(AW2033:BH2033&lt;&gt;""),1)-1),""))</f>
        <v>0</v>
      </c>
      <c r="BK2033" s="58">
        <f>IF((IF(AW2033&gt;=115%,115%,AW2033) + IF(AX2033&gt;=200%,200%,AX2033) + IF(AY2033&gt;=130%,130%,AY2033) + (IF(AZ2033&gt;=115%,115%,AZ2033) + IF(BA2033&gt;=115%,115%,BA2033) + IF(BB2033&gt;=115%,115%,BB2033) + IF(BC2033&gt;=115%,115%,BC2033) + IF(BD2033&gt;=115%,115%,BD2033) + IF(BE2033&gt;=121%,121%,BE2033) + IF(BF2033&gt;=115%,115%,BF2033) + IF(BG2033&gt;=115%,115%,BG2033) + IF(BH2033&gt;=115%,115%,BH2033)))/_xlfn.XLOOKUP(F2033,Apuração!A:A,Apuração!B:B)&gt;=1.15,1.15,((IF(AZ2033&gt;=115%,115%,AZ2033) + IF(AX2033&gt;=200%,200%,AX2033) + IF(AY2033&gt;=130%,130%,AY2033) + (IF(AW2033&gt;=115%,115%,AW2033) + IF(BA2033&gt;=115%,115%,BA2033) + IF(BB2033&gt;=115%,115%,BB2033) + IF(BC2033&gt;=115%,115%,BC2033) + IF(BD2033&gt;=115%,115%,BD2033) + IF(BE2033&gt;=121%,121%,BE2033) + IF(BF2033&gt;=115%,115%,BF2033) + IF(BG2033&gt;=115%,115%,BG2033) + IF(BH2033&gt;=115%,115%,BH2033)))/_xlfn.XLOOKUP(F2033,Apuração!A:A,Apuração!B:B)))</f>
        <v>0.25706214689265533</v>
      </c>
      <c r="BL2033" s="58" cm="1">
        <f t="array" aca="1" ref="BL2033" ca="1">IF(SUM(IFERROR(IF(INDEX(AW2033:INDEX(AW2033:BH2033, MATCH(2, 1/(AW2033:BH2033&lt;&gt;""), 1)-1), ROW(INDIRECT("1:" &amp; MATCH(2, 1/(AW2033:BH2033&lt;&gt;""), 1)-1))) &gt;= 115%, 115%, INDEX(AW2033:INDEX(AW2033:BH2033, MATCH(2, 1/(AW2033:BH2033&lt;&gt;""), 1)-1), ROW(INDIRECT("1:" &amp; MATCH(2, 1/(AW2033:BH2033&lt;&gt;""), 1)-1)))), 0))/_xlfn.XLOOKUP(F2033,Apuração!A:A,Apuração!B:B)&gt;=1.15,1.15,SUM(IFERROR(IF(INDEX(AW2033:INDEX(AW2033:BH2033, MATCH(2, 1/(AW2033:BH2033&lt;&gt;""), 1)-1), ROW(INDIRECT("1:" &amp; MATCH(2, 1/(AW2033:BH2033&lt;&gt;""), 1)-1))) &gt;= 115%, 115%, INDEX(AW2033:INDEX(AW2033:BH2033, MATCH(2, 1/(AW2033:BH2033&lt;&gt;""), 1)-1), ROW(INDIRECT("1:" &amp; MATCH(2, 1/(AW2033:BH2033&lt;&gt;""), 1)-1)))), 0))/_xlfn.XLOOKUP(F2033,Apuração!A:A,Apuração!B:B))</f>
        <v>0.25</v>
      </c>
      <c r="BM2033" s="55" cm="1">
        <f t="array" ref="BM2033">IFERROR(
   INDEX($AW$1:$BH$1,
      _xlfn.AGGREGATE(14, 6, COLUMN($AW$1:$BH$1)/(AW2033:BH2033&lt;&gt;""), 2) - COLUMN($AW$1) + 1
   ),
"")</f>
        <v>46113</v>
      </c>
      <c r="BN2033" s="55" cm="1">
        <f t="array" ref="BN2033">IFERROR(INDEX($AW$1:$BH$1,1,MATCH(2,1/(AW2033:BH2033&lt;&gt;""))),"")</f>
        <v>46143</v>
      </c>
      <c r="BO2033" s="53">
        <f ca="1">IFERROR(_xlfn.XLOOKUP(F2033,Apuração!A:A,Apuração!C:C)/_xlfn.XLOOKUP(F2033,Apuração!A:A,Apuração!B:B),0)</f>
        <v>0.41666666666666669</v>
      </c>
      <c r="BP2033" s="53">
        <f ca="1">IFERROR(_xlfn.XLOOKUP(F2033,Apuração!A:A,Apuração!D:D)/_xlfn.XLOOKUP(F2033,Apuração!A:A,Apuração!B:B),0)</f>
        <v>0.33333333333333331</v>
      </c>
      <c r="BQ2033" s="53">
        <f ca="1">IF(BK2033&gt;=BO2033,0,_xlfn.XLOOKUP(F2033,Apuração!A:A,Apuração!B:B)*(BO2033 + (1/_xlfn.XLOOKUP(F2033,Apuração!A:A,Apuração!B:B)) - BK2033))</f>
        <v>2.9152542372881358</v>
      </c>
      <c r="BR2033" s="85">
        <f t="shared" ca="1" si="2374"/>
        <v>172</v>
      </c>
      <c r="BS2033" s="53">
        <f ca="1">IFERROR((_xlfn.XLOOKUP(F2033,Apuração!A:A,Apuração!C:C)+1)/_xlfn.XLOOKUP(F2033,Apuração!A:A,Apuração!B:B),0)</f>
        <v>0.5</v>
      </c>
    </row>
    <row r="2034" spans="1:71" ht="25.95" hidden="1" customHeight="1" x14ac:dyDescent="0.3">
      <c r="A2034" s="40" t="s">
        <v>87</v>
      </c>
      <c r="B2034" s="4" t="s">
        <v>232</v>
      </c>
      <c r="C2034" s="5" t="s">
        <v>35</v>
      </c>
      <c r="D2034" s="5" t="s">
        <v>36</v>
      </c>
      <c r="E2034" s="4" t="str" cm="1">
        <f t="array" ref="E2034">_xlfn.IFS(
F2034 = "A partir de Abril", "Aguardando Execução na Distribuidora",
A2034 = "CAPACITAÇÃO", "Em execução no Corporativo",
TRUE, "Em Execução na Distribuidora"
)</f>
        <v>Em Execução na Distribuidora</v>
      </c>
      <c r="F2034" s="4" t="str" cm="1">
        <f t="array" ref="F2034">_xlfn.IFS(
AG2034 &lt;&gt; "", "Jan-Dez/26",
AH2034 &lt;&gt; "", "Fev-Dez/26",
AI2034 &lt;&gt; "", "Mar-Dez/26", AJ2034 &lt;&gt; "", "Abr-Dez/26",
TRUE, "A partir de Junho"
)</f>
        <v>Jan-Dez/26</v>
      </c>
      <c r="G2034" s="7" t="s">
        <v>37</v>
      </c>
      <c r="H2034" s="7" t="s">
        <v>110</v>
      </c>
      <c r="I2034" s="9" t="s">
        <v>76</v>
      </c>
      <c r="J2034" s="21" t="str" cm="1">
        <f t="array" aca="1" ref="J2034" ca="1">_xlfn.LET(
  _xlpm.actual_value_month, INDEX(T2034:AE2034, MATCH(DATE(YEAR(TODAY()), MONTH(TODAY()), 1), $T$1:$AE$1, 0)),
  IF(_xlpm.actual_value_month &lt;&gt; "",_xlpm.actual_value_month &amp; " ações mensais", "")
)</f>
        <v/>
      </c>
      <c r="K2034" s="8" t="str" cm="1">
        <f t="array" ref="K2034">_xlfn.LET(
    _xlpm.sum_month, SUM(T2034:AE2034),
    IF(_xlpm.sum_month = 0, "", _xlpm.sum_month &amp; " equipes alcançadas no ano")
)</f>
        <v/>
      </c>
      <c r="L2034" s="4" t="s">
        <v>141</v>
      </c>
      <c r="M2034" s="19">
        <v>1</v>
      </c>
      <c r="N2034" s="5" t="s">
        <v>51</v>
      </c>
      <c r="O2034" s="5" t="s">
        <v>52</v>
      </c>
      <c r="P2034" s="10" t="s">
        <v>44</v>
      </c>
      <c r="Q2034" s="10" t="s">
        <v>44</v>
      </c>
      <c r="R2034" s="10" t="s">
        <v>44</v>
      </c>
      <c r="S2034" s="10" t="s">
        <v>44</v>
      </c>
      <c r="T2034" s="22"/>
      <c r="U2034" s="22"/>
      <c r="V2034" s="22"/>
      <c r="W2034" s="22"/>
      <c r="X2034" s="22"/>
      <c r="Y2034" s="22"/>
      <c r="Z2034" s="22"/>
      <c r="AA2034" s="22"/>
      <c r="AB2034" s="22"/>
      <c r="AC2034" s="22"/>
      <c r="AD2034" s="22"/>
      <c r="AE2034" s="22"/>
      <c r="AG2034" s="71">
        <v>12</v>
      </c>
      <c r="AH2034" s="71">
        <v>10</v>
      </c>
      <c r="AI2034" s="71">
        <v>5</v>
      </c>
      <c r="AJ2034" s="71">
        <v>13</v>
      </c>
      <c r="AK2034" s="71">
        <v>23</v>
      </c>
      <c r="AL2034" s="71"/>
      <c r="AM2034" s="71"/>
      <c r="AN2034" s="71"/>
      <c r="AO2034" s="71"/>
      <c r="AP2034" s="71"/>
      <c r="AQ2034" s="71"/>
      <c r="AR2034" s="71"/>
      <c r="AS2034" s="94">
        <f t="shared" ca="1" si="2372"/>
        <v>0</v>
      </c>
      <c r="AT2034" s="95">
        <f>SUM(AG2034:AR2034)</f>
        <v>63</v>
      </c>
      <c r="AU2034" s="97">
        <f t="shared" si="2373"/>
        <v>63</v>
      </c>
      <c r="AW2034" s="83">
        <f t="shared" ref="AW2034:BA2036" si="2392">AG2034</f>
        <v>12</v>
      </c>
      <c r="AX2034" s="83">
        <f t="shared" si="2392"/>
        <v>10</v>
      </c>
      <c r="AY2034" s="83">
        <f t="shared" si="2392"/>
        <v>5</v>
      </c>
      <c r="AZ2034" s="83">
        <f t="shared" si="2392"/>
        <v>13</v>
      </c>
      <c r="BA2034" s="83">
        <f t="shared" si="2392"/>
        <v>23</v>
      </c>
      <c r="BB2034" s="52"/>
      <c r="BC2034" s="52"/>
      <c r="BD2034" s="52"/>
      <c r="BE2034" s="52"/>
      <c r="BF2034" s="52"/>
      <c r="BG2034" s="52"/>
      <c r="BH2034" s="52"/>
      <c r="BI2034" s="68" cm="1">
        <f t="array" ref="BI2034">IFERROR(INDEX(AW2034:BH2034,1,MATCH(2,1/(AW2034:BH2034&lt;&gt;""))),"")</f>
        <v>23</v>
      </c>
      <c r="BJ2034" s="68" cm="1">
        <f t="array" ref="BJ2034">IF(BM2034 = "", "",IFERROR(INDEX(AW2034:BH2034,1,MATCH(2,1/(AW2034:BH2034&lt;&gt;""),1)-1),""))</f>
        <v>13</v>
      </c>
      <c r="BK2034" s="59">
        <f>SUM(AW2034:BH2034)</f>
        <v>63</v>
      </c>
      <c r="BL2034" s="59" cm="1">
        <f t="array" ref="BL2034">IFERROR(SUM(AW2034:INDEX(AW2034:BH2034, MATCH(2, 1/(AW2034:BH2034&lt;&gt;""), 1) - 1))/_xlfn.XLOOKUP(F2034,Apuração!A:A,Apuração!B:B),0)</f>
        <v>3.3333333333333335</v>
      </c>
      <c r="BM2034" s="55" cm="1">
        <f t="array" ref="BM2034">IFERROR(
   INDEX($AW$1:$BH$1,
      _xlfn.AGGREGATE(14, 6, COLUMN($AW$1:$BH$1)/(AW2034:BH2034&lt;&gt;""), 2) - COLUMN($AW$1) + 1
   ),
"")</f>
        <v>46113</v>
      </c>
      <c r="BN2034" s="55" cm="1">
        <f t="array" ref="BN2034">IFERROR(INDEX($AW$1:$BH$1,1,MATCH(2,1/(AW2034:BH2034&lt;&gt;""))),"")</f>
        <v>46143</v>
      </c>
      <c r="BO2034" s="53">
        <f ca="1">IFERROR(_xlfn.XLOOKUP(F2034,Apuração!A:A,Apuração!C:C)/_xlfn.XLOOKUP(F2034,Apuração!A:A,Apuração!B:B),0)</f>
        <v>0.41666666666666669</v>
      </c>
      <c r="BP2034" s="53">
        <f ca="1">IFERROR(_xlfn.XLOOKUP(F2034,Apuração!A:A,Apuração!D:D)/_xlfn.XLOOKUP(F2034,Apuração!A:A,Apuração!B:B),0)</f>
        <v>0.33333333333333331</v>
      </c>
      <c r="BQ2034" s="53">
        <f ca="1">IF(BK2034&gt;=BO2034,0,_xlfn.XLOOKUP(F2034,Apuração!A:A,Apuração!B:B)*(BO2034 + (1/_xlfn.XLOOKUP(F2034,Apuração!A:A,Apuração!B:B)) - BK2034))</f>
        <v>0</v>
      </c>
      <c r="BR2034" s="85">
        <f t="shared" ca="1" si="2374"/>
        <v>0</v>
      </c>
      <c r="BS2034" s="53">
        <f ca="1">IFERROR((_xlfn.XLOOKUP(F2034,Apuração!A:A,Apuração!C:C)+1)/_xlfn.XLOOKUP(F2034,Apuração!A:A,Apuração!B:B),0)</f>
        <v>0.5</v>
      </c>
    </row>
    <row r="2035" spans="1:71" ht="25.95" hidden="1" customHeight="1" x14ac:dyDescent="0.3">
      <c r="A2035" s="40" t="s">
        <v>87</v>
      </c>
      <c r="B2035" s="4" t="s">
        <v>232</v>
      </c>
      <c r="C2035" s="5" t="s">
        <v>35</v>
      </c>
      <c r="D2035" s="5" t="s">
        <v>47</v>
      </c>
      <c r="E2035" s="4" t="str" cm="1">
        <f t="array" ref="E2035">_xlfn.IFS(
F2035 = "A partir de Abril", "Aguardando Execução na Distribuidora",
A2035 = "CAPACITAÇÃO", "Em execução no Corporativo",
TRUE, "Em Execução na Distribuidora"
)</f>
        <v>Em Execução na Distribuidora</v>
      </c>
      <c r="F2035" s="4" t="str" cm="1">
        <f t="array" ref="F2035">_xlfn.IFS(
AG2035 &lt;&gt; "", "Jan-Dez/26",
AH2035 &lt;&gt; "", "Fev-Dez/26",
AI2035 &lt;&gt; "", "Mar-Dez/26", AJ2035 &lt;&gt; "", "Abr-Dez/26",
TRUE, "A partir de Junho"
)</f>
        <v>Jan-Dez/26</v>
      </c>
      <c r="G2035" s="7" t="s">
        <v>37</v>
      </c>
      <c r="H2035" s="7" t="s">
        <v>110</v>
      </c>
      <c r="I2035" s="9" t="s">
        <v>76</v>
      </c>
      <c r="J2035" s="21" t="str" cm="1">
        <f t="array" aca="1" ref="J2035" ca="1">_xlfn.LET(
  _xlpm.actual_value_month, INDEX(T2035:AE2035, MATCH(DATE(YEAR(TODAY()), MONTH(TODAY()), 1), $T$1:$AE$1, 0)),
  IF(_xlpm.actual_value_month &lt;&gt; "",_xlpm.actual_value_month &amp; " ações mensais", "")
)</f>
        <v/>
      </c>
      <c r="K2035" s="8" t="str" cm="1">
        <f t="array" ref="K2035">_xlfn.LET(
    _xlpm.sum_month, SUM(T2035:AE2035),
    IF(_xlpm.sum_month = 0, "", _xlpm.sum_month &amp; " equipes alcançadas no ano")
)</f>
        <v/>
      </c>
      <c r="L2035" s="4" t="s">
        <v>141</v>
      </c>
      <c r="M2035" s="19">
        <v>1</v>
      </c>
      <c r="N2035" s="5" t="s">
        <v>51</v>
      </c>
      <c r="O2035" s="5" t="s">
        <v>52</v>
      </c>
      <c r="P2035" s="10" t="s">
        <v>44</v>
      </c>
      <c r="Q2035" s="10" t="s">
        <v>44</v>
      </c>
      <c r="R2035" s="10" t="s">
        <v>44</v>
      </c>
      <c r="S2035" s="10" t="s">
        <v>44</v>
      </c>
      <c r="T2035" s="22"/>
      <c r="U2035" s="22"/>
      <c r="V2035" s="22"/>
      <c r="W2035" s="22"/>
      <c r="X2035" s="22"/>
      <c r="Y2035" s="22"/>
      <c r="Z2035" s="22"/>
      <c r="AA2035" s="22"/>
      <c r="AB2035" s="22"/>
      <c r="AC2035" s="22"/>
      <c r="AD2035" s="22"/>
      <c r="AE2035" s="22"/>
      <c r="AG2035" s="82">
        <v>11</v>
      </c>
      <c r="AH2035" s="82">
        <v>9</v>
      </c>
      <c r="AI2035" s="82">
        <v>4</v>
      </c>
      <c r="AJ2035" s="82">
        <v>13</v>
      </c>
      <c r="AK2035" s="71">
        <v>18</v>
      </c>
      <c r="AL2035" s="71"/>
      <c r="AM2035" s="71"/>
      <c r="AN2035" s="71"/>
      <c r="AO2035" s="71"/>
      <c r="AP2035" s="71"/>
      <c r="AQ2035" s="71"/>
      <c r="AR2035" s="71"/>
      <c r="AS2035" s="94">
        <f t="shared" ca="1" si="2372"/>
        <v>0</v>
      </c>
      <c r="AT2035" s="95">
        <f>SUM(AG2035:AR2035)</f>
        <v>55</v>
      </c>
      <c r="AU2035" s="97">
        <f t="shared" si="2373"/>
        <v>55</v>
      </c>
      <c r="AW2035" s="83">
        <f t="shared" si="2392"/>
        <v>11</v>
      </c>
      <c r="AX2035" s="83">
        <f t="shared" si="2392"/>
        <v>9</v>
      </c>
      <c r="AY2035" s="83">
        <f t="shared" si="2392"/>
        <v>4</v>
      </c>
      <c r="AZ2035" s="83">
        <f t="shared" si="2392"/>
        <v>13</v>
      </c>
      <c r="BA2035" s="83">
        <f t="shared" si="2392"/>
        <v>18</v>
      </c>
      <c r="BB2035" s="52"/>
      <c r="BC2035" s="52"/>
      <c r="BD2035" s="52"/>
      <c r="BE2035" s="52"/>
      <c r="BF2035" s="52"/>
      <c r="BG2035" s="52"/>
      <c r="BH2035" s="52"/>
      <c r="BI2035" s="68" cm="1">
        <f t="array" ref="BI2035">IFERROR(INDEX(AW2035:BH2035,1,MATCH(2,1/(AW2035:BH2035&lt;&gt;""))),"")</f>
        <v>18</v>
      </c>
      <c r="BJ2035" s="68" cm="1">
        <f t="array" ref="BJ2035">IF(BM2035 = "", "",IFERROR(INDEX(AW2035:BH2035,1,MATCH(2,1/(AW2035:BH2035&lt;&gt;""),1)-1),""))</f>
        <v>13</v>
      </c>
      <c r="BK2035" s="59">
        <f>SUM(AW2035:BH2035)</f>
        <v>55</v>
      </c>
      <c r="BL2035" s="59" cm="1">
        <f t="array" ref="BL2035">IFERROR(SUM(AW2035:INDEX(AW2035:BH2035, MATCH(2, 1/(AW2035:BH2035&lt;&gt;""), 1) - 1))/_xlfn.XLOOKUP(F2035,Apuração!A:A,Apuração!B:B),0)</f>
        <v>3.0833333333333335</v>
      </c>
      <c r="BM2035" s="55" cm="1">
        <f t="array" ref="BM2035">IFERROR(
   INDEX($AW$1:$BH$1,
      _xlfn.AGGREGATE(14, 6, COLUMN($AW$1:$BH$1)/(AW2035:BH2035&lt;&gt;""), 2) - COLUMN($AW$1) + 1
   ),
"")</f>
        <v>46113</v>
      </c>
      <c r="BN2035" s="55" cm="1">
        <f t="array" ref="BN2035">IFERROR(INDEX($AW$1:$BH$1,1,MATCH(2,1/(AW2035:BH2035&lt;&gt;""))),"")</f>
        <v>46143</v>
      </c>
      <c r="BO2035" s="53">
        <f ca="1">IFERROR(_xlfn.XLOOKUP(F2035,Apuração!A:A,Apuração!C:C)/_xlfn.XLOOKUP(F2035,Apuração!A:A,Apuração!B:B),0)</f>
        <v>0.41666666666666669</v>
      </c>
      <c r="BP2035" s="53">
        <f ca="1">IFERROR(_xlfn.XLOOKUP(F2035,Apuração!A:A,Apuração!D:D)/_xlfn.XLOOKUP(F2035,Apuração!A:A,Apuração!B:B),0)</f>
        <v>0.33333333333333331</v>
      </c>
      <c r="BQ2035" s="53">
        <f ca="1">IF(BK2035&gt;=BO2035,0,_xlfn.XLOOKUP(F2035,Apuração!A:A,Apuração!B:B)*(BO2035 + (1/_xlfn.XLOOKUP(F2035,Apuração!A:A,Apuração!B:B)) - BK2035))</f>
        <v>0</v>
      </c>
      <c r="BR2035" s="85">
        <f t="shared" ca="1" si="2374"/>
        <v>0</v>
      </c>
      <c r="BS2035" s="53">
        <f ca="1">IFERROR((_xlfn.XLOOKUP(F2035,Apuração!A:A,Apuração!C:C)+1)/_xlfn.XLOOKUP(F2035,Apuração!A:A,Apuração!B:B),0)</f>
        <v>0.5</v>
      </c>
    </row>
    <row r="2036" spans="1:71" ht="25.95" hidden="1" customHeight="1" x14ac:dyDescent="0.3">
      <c r="A2036" s="40" t="s">
        <v>87</v>
      </c>
      <c r="B2036" s="4" t="s">
        <v>232</v>
      </c>
      <c r="C2036" s="5" t="s">
        <v>35</v>
      </c>
      <c r="D2036" s="5" t="s">
        <v>48</v>
      </c>
      <c r="E2036" s="4" t="str" cm="1">
        <f t="array" ref="E2036">_xlfn.IFS(
F2036 = "A partir de Abril", "Aguardando Execução na Distribuidora",
A2036 = "CAPACITAÇÃO", "Em execução no Corporativo",
TRUE, "Em Execução na Distribuidora"
)</f>
        <v>Em Execução na Distribuidora</v>
      </c>
      <c r="F2036" s="4" t="str" cm="1">
        <f t="array" ref="F2036">_xlfn.IFS(
AG2036 &lt;&gt; "", "Jan-Dez/26",
AH2036 &lt;&gt; "", "Fev-Dez/26",
AI2036 &lt;&gt; "", "Mar-Dez/26", AJ2036 &lt;&gt; "", "Abr-Dez/26",
TRUE, "A partir de Junho"
)</f>
        <v>Jan-Dez/26</v>
      </c>
      <c r="G2036" s="7" t="s">
        <v>37</v>
      </c>
      <c r="H2036" s="7" t="s">
        <v>110</v>
      </c>
      <c r="I2036" s="9" t="s">
        <v>76</v>
      </c>
      <c r="J2036" s="21" t="str" cm="1">
        <f t="array" aca="1" ref="J2036" ca="1">_xlfn.LET(
  _xlpm.actual_value_month, INDEX(T2036:AE2036, MATCH(DATE(YEAR(TODAY()), MONTH(TODAY()), 1), $T$1:$AE$1, 0)),
  IF(_xlpm.actual_value_month &lt;&gt; "",_xlpm.actual_value_month &amp; " ações mensais", "")
)</f>
        <v/>
      </c>
      <c r="K2036" s="8" t="str" cm="1">
        <f t="array" ref="K2036">_xlfn.LET(
    _xlpm.sum_month, SUM(T2036:AE2036),
    IF(_xlpm.sum_month = 0, "", _xlpm.sum_month &amp; " equipes alcançadas no ano")
)</f>
        <v/>
      </c>
      <c r="L2036" s="4" t="s">
        <v>141</v>
      </c>
      <c r="M2036" s="19">
        <v>1</v>
      </c>
      <c r="N2036" s="5" t="s">
        <v>51</v>
      </c>
      <c r="O2036" s="5" t="s">
        <v>52</v>
      </c>
      <c r="P2036" s="10" t="s">
        <v>44</v>
      </c>
      <c r="Q2036" s="10" t="s">
        <v>44</v>
      </c>
      <c r="R2036" s="10" t="s">
        <v>44</v>
      </c>
      <c r="S2036" s="10" t="s">
        <v>44</v>
      </c>
      <c r="T2036" s="22"/>
      <c r="U2036" s="22"/>
      <c r="V2036" s="22"/>
      <c r="W2036" s="22"/>
      <c r="X2036" s="22"/>
      <c r="Y2036" s="22"/>
      <c r="Z2036" s="22"/>
      <c r="AA2036" s="22"/>
      <c r="AB2036" s="22"/>
      <c r="AC2036" s="22"/>
      <c r="AD2036" s="22"/>
      <c r="AE2036" s="22"/>
      <c r="AG2036" s="82">
        <v>1</v>
      </c>
      <c r="AH2036" s="82">
        <v>1</v>
      </c>
      <c r="AI2036" s="82">
        <v>1</v>
      </c>
      <c r="AJ2036" s="82">
        <v>0</v>
      </c>
      <c r="AK2036" s="71">
        <v>5</v>
      </c>
      <c r="AL2036" s="71"/>
      <c r="AM2036" s="71"/>
      <c r="AN2036" s="71"/>
      <c r="AO2036" s="71"/>
      <c r="AP2036" s="71"/>
      <c r="AQ2036" s="71"/>
      <c r="AR2036" s="71"/>
      <c r="AS2036" s="94">
        <f t="shared" ca="1" si="2372"/>
        <v>0</v>
      </c>
      <c r="AT2036" s="95">
        <f>SUM(AG2036:AR2036)</f>
        <v>8</v>
      </c>
      <c r="AU2036" s="97">
        <f t="shared" si="2373"/>
        <v>8</v>
      </c>
      <c r="AW2036" s="83">
        <f t="shared" si="2392"/>
        <v>1</v>
      </c>
      <c r="AX2036" s="83">
        <f t="shared" si="2392"/>
        <v>1</v>
      </c>
      <c r="AY2036" s="83">
        <f t="shared" si="2392"/>
        <v>1</v>
      </c>
      <c r="AZ2036" s="83">
        <f t="shared" si="2392"/>
        <v>0</v>
      </c>
      <c r="BA2036" s="83">
        <f t="shared" si="2392"/>
        <v>5</v>
      </c>
      <c r="BB2036" s="52"/>
      <c r="BC2036" s="52"/>
      <c r="BD2036" s="52"/>
      <c r="BE2036" s="52"/>
      <c r="BF2036" s="52"/>
      <c r="BG2036" s="52"/>
      <c r="BH2036" s="52"/>
      <c r="BI2036" s="68" cm="1">
        <f t="array" ref="BI2036">IFERROR(INDEX(AW2036:BH2036,1,MATCH(2,1/(AW2036:BH2036&lt;&gt;""))),"")</f>
        <v>5</v>
      </c>
      <c r="BJ2036" s="68" cm="1">
        <f t="array" ref="BJ2036">IF(BM2036 = "", "",IFERROR(INDEX(AW2036:BH2036,1,MATCH(2,1/(AW2036:BH2036&lt;&gt;""),1)-1),""))</f>
        <v>0</v>
      </c>
      <c r="BK2036" s="59">
        <f>SUM(AW2036:BH2036)</f>
        <v>8</v>
      </c>
      <c r="BL2036" s="59" cm="1">
        <f t="array" ref="BL2036">IFERROR(SUM(AW2036:INDEX(AW2036:BH2036, MATCH(2, 1/(AW2036:BH2036&lt;&gt;""), 1) - 1))/_xlfn.XLOOKUP(F2036,Apuração!A:A,Apuração!B:B),0)</f>
        <v>0.25</v>
      </c>
      <c r="BM2036" s="55" cm="1">
        <f t="array" ref="BM2036">IFERROR(
   INDEX($AW$1:$BH$1,
      _xlfn.AGGREGATE(14, 6, COLUMN($AW$1:$BH$1)/(AW2036:BH2036&lt;&gt;""), 2) - COLUMN($AW$1) + 1
   ),
"")</f>
        <v>46113</v>
      </c>
      <c r="BN2036" s="55" cm="1">
        <f t="array" ref="BN2036">IFERROR(INDEX($AW$1:$BH$1,1,MATCH(2,1/(AW2036:BH2036&lt;&gt;""))),"")</f>
        <v>46143</v>
      </c>
      <c r="BO2036" s="53">
        <f ca="1">IFERROR(_xlfn.XLOOKUP(F2036,Apuração!A:A,Apuração!C:C)/_xlfn.XLOOKUP(F2036,Apuração!A:A,Apuração!B:B),0)</f>
        <v>0.41666666666666669</v>
      </c>
      <c r="BP2036" s="53">
        <f ca="1">IFERROR(_xlfn.XLOOKUP(F2036,Apuração!A:A,Apuração!D:D)/_xlfn.XLOOKUP(F2036,Apuração!A:A,Apuração!B:B),0)</f>
        <v>0.33333333333333331</v>
      </c>
      <c r="BQ2036" s="53">
        <f ca="1">IF(BK2036&gt;=BO2036,0,_xlfn.XLOOKUP(F2036,Apuração!A:A,Apuração!B:B)*(BO2036 + (1/_xlfn.XLOOKUP(F2036,Apuração!A:A,Apuração!B:B)) - BK2036))</f>
        <v>0</v>
      </c>
      <c r="BR2036" s="85">
        <f t="shared" ca="1" si="2374"/>
        <v>0</v>
      </c>
      <c r="BS2036" s="53">
        <f ca="1">IFERROR((_xlfn.XLOOKUP(F2036,Apuração!A:A,Apuração!C:C)+1)/_xlfn.XLOOKUP(F2036,Apuração!A:A,Apuração!B:B),0)</f>
        <v>0.5</v>
      </c>
    </row>
    <row r="2037" spans="1:71" ht="25.95" hidden="1" customHeight="1" x14ac:dyDescent="0.3">
      <c r="A2037" s="20" t="s">
        <v>87</v>
      </c>
      <c r="B2037" s="4" t="s">
        <v>232</v>
      </c>
      <c r="C2037" s="5" t="s">
        <v>95</v>
      </c>
      <c r="D2037" s="5" t="s">
        <v>36</v>
      </c>
      <c r="E2037" s="4" t="str" cm="1">
        <f t="array" ref="E2037">_xlfn.IFS(
F2037 = "A partir de Abril", "Aguardando Execução na Distribuidora",
A2037 = "CAPACITAÇÃO", "Em execução no Corporativo",
TRUE, "Em Execução na Distribuidora"
)</f>
        <v>Em Execução na Distribuidora</v>
      </c>
      <c r="F2037" s="4" t="str" cm="1">
        <f t="array" ref="F2037">_xlfn.IFS(
AG2037 &lt;&gt; "", "Jan-Dez/26",
AH2037 &lt;&gt; "", "Fev-Dez/26",
AI2037 &lt;&gt; "", "Mar-Dez/26", AJ2037 &lt;&gt; "", "Abr-Dez/26",
TRUE, "A partir de Junho"
)</f>
        <v>Jan-Dez/26</v>
      </c>
      <c r="G2037" s="7" t="s">
        <v>37</v>
      </c>
      <c r="H2037" s="7" t="s">
        <v>110</v>
      </c>
      <c r="I2037" s="21" t="s">
        <v>233</v>
      </c>
      <c r="J2037" s="21" t="str" cm="1">
        <f t="array" aca="1" ref="J2037" ca="1">_xlfn.LET(
  _xlpm.actual_value_month, INDEX(T2037:AE2037, MATCH(DATE(YEAR(TODAY()), MONTH(TODAY()), 1), $T$1:$AE$1, 0)),
  IF(_xlpm.actual_value_month &lt;&gt; "",_xlpm.actual_value_month &amp; " equipes mensais", "")
)</f>
        <v>40 equipes mensais</v>
      </c>
      <c r="K2037" s="8" t="str" cm="1">
        <f t="array" ref="K2037">_xlfn.LET(
    _xlpm.sum_month, SUM(T2037:AE2037),
    IF(_xlpm.sum_month = 0, "", _xlpm.sum_month &amp; " equipes alcançadas no ano")
)</f>
        <v>493 equipes alcançadas no ano</v>
      </c>
      <c r="L2037" s="4" t="s">
        <v>234</v>
      </c>
      <c r="M2037" s="19" t="s">
        <v>235</v>
      </c>
      <c r="N2037" s="5" t="s">
        <v>42</v>
      </c>
      <c r="O2037" s="5" t="s">
        <v>43</v>
      </c>
      <c r="P2037" s="10" t="s">
        <v>44</v>
      </c>
      <c r="Q2037" s="10" t="s">
        <v>44</v>
      </c>
      <c r="R2037" s="11" t="s">
        <v>147</v>
      </c>
      <c r="S2037" s="11" t="s">
        <v>162</v>
      </c>
      <c r="T2037" s="22">
        <v>49</v>
      </c>
      <c r="U2037" s="22">
        <v>43</v>
      </c>
      <c r="V2037" s="22">
        <v>41</v>
      </c>
      <c r="W2037" s="22">
        <v>40</v>
      </c>
      <c r="X2037" s="22">
        <v>40</v>
      </c>
      <c r="Y2037" s="22">
        <v>40</v>
      </c>
      <c r="Z2037" s="22">
        <v>40</v>
      </c>
      <c r="AA2037" s="22">
        <v>40</v>
      </c>
      <c r="AB2037" s="22">
        <v>40</v>
      </c>
      <c r="AC2037" s="22">
        <v>40</v>
      </c>
      <c r="AD2037" s="22">
        <v>40</v>
      </c>
      <c r="AE2037" s="22">
        <v>40</v>
      </c>
      <c r="AG2037" s="71">
        <v>49</v>
      </c>
      <c r="AH2037" s="71">
        <v>43</v>
      </c>
      <c r="AI2037" s="71">
        <v>41</v>
      </c>
      <c r="AJ2037" s="71">
        <v>37</v>
      </c>
      <c r="AK2037" s="71">
        <v>44</v>
      </c>
      <c r="AL2037" s="71"/>
      <c r="AM2037" s="71"/>
      <c r="AN2037" s="71"/>
      <c r="AO2037" s="71"/>
      <c r="AP2037" s="71"/>
      <c r="AQ2037" s="71"/>
      <c r="AR2037" s="71"/>
      <c r="AS2037" s="94">
        <f t="shared" ca="1" si="2372"/>
        <v>213</v>
      </c>
      <c r="AT2037" s="95">
        <f>SUM(IF(AW2037&lt;1.15,AG2037,1.15*T2037),IF(AX2037&lt;1.15,AH2037,1.15*U2037),IF(AY2037&lt;1.15,AI2037,1.15*V2037),IF(AZ2037&lt;1.15,AJ2037,1.15*W2037),IF(BA2037&lt;1.15,AK2037,1.15*X2037),IF(BB2037&lt;1.15,AL2037,1.15*Y2037),IF(BC2037&lt;1.15,AM2037,1.15*Z2037),IF(BD2037&lt;1.15,AN2037,1.15*AA2037),IF(BE2037&lt;1.15,AO2037,1.15*AB2037),IF(BF2037&lt;1.15,AP2037,1.15*AC2037),IF(BG2037&lt;1.15,AQ2037,1.15*AD2037),IF(BH2037&lt;1.15,AR2037,1.15*AE2037))</f>
        <v>214</v>
      </c>
      <c r="AU2037" s="97">
        <f t="shared" si="2373"/>
        <v>214</v>
      </c>
      <c r="AW2037" s="51">
        <f>IFERROR(IF(AG2037="",0,AG2037/T2037),0)</f>
        <v>1</v>
      </c>
      <c r="AX2037" s="51">
        <f>IFERROR(IF(AH2037="",0,AH2037/U2037),0)</f>
        <v>1</v>
      </c>
      <c r="AY2037" s="51">
        <f>IFERROR(IF(AI2037="",0,AI2037/V2037),0)</f>
        <v>1</v>
      </c>
      <c r="AZ2037" s="51">
        <f>IFERROR(IF(AJ2037="",0,AJ2037/W2037),0)</f>
        <v>0.92500000000000004</v>
      </c>
      <c r="BA2037" s="51">
        <f>IFERROR(IF(AK2037="",0,AK2037/X2037),0)</f>
        <v>1.1000000000000001</v>
      </c>
      <c r="BB2037" s="51"/>
      <c r="BC2037" s="51"/>
      <c r="BD2037" s="51"/>
      <c r="BE2037" s="51"/>
      <c r="BF2037" s="51"/>
      <c r="BG2037" s="51"/>
      <c r="BH2037" s="51"/>
      <c r="BI2037" s="65" cm="1">
        <f t="array" ref="BI2037">IFERROR(INDEX(AW2037:BH2037,1,MATCH(2,1/(AW2037:BH2037&lt;&gt;""))),"")</f>
        <v>1.1000000000000001</v>
      </c>
      <c r="BJ2037" s="68" cm="1">
        <f t="array" ref="BJ2037">IF(BM2037 = "", "",IFERROR(INDEX(AW2037:BH2037,1,MATCH(2,1/(AW2037:BH2037&lt;&gt;""),1)-1),""))</f>
        <v>0.92500000000000004</v>
      </c>
      <c r="BK2037" s="58">
        <f>IF((IF(AW2037&gt;=115%,115%,AW2037) + IF(AX2037&gt;=115%,115%,AX2037) + IF(AY2037&gt;=115%,115%,AY2037) + (IF(AZ2037&gt;=115%,115%,AZ2037) + IF(BA2037&gt;=115%,115%,BA2037) + IF(BB2037&gt;=115%,115%,BB2037) + IF(BC2037&gt;=115%,115%,BC2037) + IF(BD2037&gt;=115%,115%,BD2037) + IF(BE2037&gt;=115%,115%,BE2037) + IF(BF2037&gt;=115%,115%,BF2037) + IF(BG2037&gt;=115%,115%,BG2037) + IF(BH2037&gt;=115%,115%,BH2037)))/_xlfn.XLOOKUP(F2037,Apuração!A:A,Apuração!B:B)&gt;=1.15,1.15,((IF(AZ2037&gt;=115%,115%,AZ2037) + IF(AX2037&gt;=115%,115%,AX2037) + IF(AY2037&gt;=115%,115%,AY2037) + (IF(AW2037&gt;=115%,115%,AW2037) + IF(BA2037&gt;=115%,115%,BA2037) + IF(BB2037&gt;=115%,115%,BB2037) + IF(BC2037&gt;=115%,115%,BC2037) + IF(BD2037&gt;=115%,115%,BD2037) + IF(BE2037&gt;=115%,115%,BE2037) + IF(BF2037&gt;=115%,115%,BF2037) + IF(BG2037&gt;=115%,115%,BG2037) + IF(BH2037&gt;=115%,115%,BH2037)))/_xlfn.XLOOKUP(F2037,Apuração!A:A,Apuração!B:B)))</f>
        <v>0.41875000000000001</v>
      </c>
      <c r="BL2037" s="58" cm="1">
        <f t="array" aca="1" ref="BL2037" ca="1">IF(SUM(IFERROR(IF(INDEX(AW2037:INDEX(AW2037:BH2037, MATCH(2, 1/(AW2037:BH2037&lt;&gt;""), 1)-1), ROW(INDIRECT("1:" &amp; MATCH(2, 1/(AW2037:BH2037&lt;&gt;""), 1)-1))) &gt;= 115%, 115%, INDEX(AW2037:INDEX(AW2037:BH2037, MATCH(2, 1/(AW2037:BH2037&lt;&gt;""), 1)-1), ROW(INDIRECT("1:" &amp; MATCH(2, 1/(AW2037:BH2037&lt;&gt;""), 1)-1)))), 0))/_xlfn.XLOOKUP(F2037,Apuração!A:A,Apuração!B:B)&gt;=1.15,1.15,SUM(IFERROR(IF(INDEX(AW2037:INDEX(AW2037:BH2037, MATCH(2, 1/(AW2037:BH2037&lt;&gt;""), 1)-1), ROW(INDIRECT("1:" &amp; MATCH(2, 1/(AW2037:BH2037&lt;&gt;""), 1)-1))) &gt;= 115%, 115%, INDEX(AW2037:INDEX(AW2037:BH2037, MATCH(2, 1/(AW2037:BH2037&lt;&gt;""), 1)-1), ROW(INDIRECT("1:" &amp; MATCH(2, 1/(AW2037:BH2037&lt;&gt;""), 1)-1)))), 0))/_xlfn.XLOOKUP(F2037,Apuração!A:A,Apuração!B:B))</f>
        <v>0.32708333333333334</v>
      </c>
      <c r="BM2037" s="55" cm="1">
        <f t="array" ref="BM2037">IFERROR(
   INDEX($AW$1:$BH$1,
      _xlfn.AGGREGATE(14, 6, COLUMN($AW$1:$BH$1)/(AW2037:BH2037&lt;&gt;""), 2) - COLUMN($AW$1) + 1
   ),
"")</f>
        <v>46113</v>
      </c>
      <c r="BN2037" s="55" cm="1">
        <f t="array" ref="BN2037">IFERROR(INDEX($AW$1:$BH$1,1,MATCH(2,1/(AW2037:BH2037&lt;&gt;""))),"")</f>
        <v>46143</v>
      </c>
      <c r="BO2037" s="53">
        <f ca="1">IFERROR(_xlfn.XLOOKUP(F2037,Apuração!A:A,Apuração!C:C)/_xlfn.XLOOKUP(F2037,Apuração!A:A,Apuração!B:B),0)</f>
        <v>0.41666666666666669</v>
      </c>
      <c r="BP2037" s="53">
        <f ca="1">IFERROR(_xlfn.XLOOKUP(F2037,Apuração!A:A,Apuração!D:D)/_xlfn.XLOOKUP(F2037,Apuração!A:A,Apuração!B:B),0)</f>
        <v>0.33333333333333331</v>
      </c>
      <c r="BQ2037" s="53">
        <f ca="1">IF(BK2037&gt;=BO2037,0,_xlfn.XLOOKUP(F2037,Apuração!A:A,Apuração!B:B)*(BO2037 + (1/_xlfn.XLOOKUP(F2037,Apuração!A:A,Apuração!B:B)) - BK2037))</f>
        <v>0</v>
      </c>
      <c r="BR2037" s="85">
        <f t="shared" ca="1" si="2374"/>
        <v>0</v>
      </c>
      <c r="BS2037" s="53">
        <f ca="1">IFERROR((_xlfn.XLOOKUP(F2037,Apuração!A:A,Apuração!C:C)+1)/_xlfn.XLOOKUP(F2037,Apuração!A:A,Apuração!B:B),0)</f>
        <v>0.5</v>
      </c>
    </row>
    <row r="2038" spans="1:71" ht="25.95" hidden="1" customHeight="1" x14ac:dyDescent="0.3">
      <c r="A2038" s="40" t="s">
        <v>87</v>
      </c>
      <c r="B2038" s="4" t="s">
        <v>232</v>
      </c>
      <c r="C2038" s="5" t="s">
        <v>95</v>
      </c>
      <c r="D2038" s="5" t="s">
        <v>36</v>
      </c>
      <c r="E2038" s="4" t="str" cm="1">
        <f t="array" ref="E2038">_xlfn.IFS(
F2038 = "A partir de Abril", "Aguardando Execução na Distribuidora",
A2038 = "CAPACITAÇÃO", "Em execução no Corporativo",
TRUE, "Em Execução na Distribuidora"
)</f>
        <v>Em Execução na Distribuidora</v>
      </c>
      <c r="F2038" s="4" t="str" cm="1">
        <f t="array" ref="F2038">_xlfn.IFS(
AG2038 &lt;&gt; "", "Jan-Dez/26",
AH2038 &lt;&gt; "", "Fev-Dez/26",
AI2038 &lt;&gt; "", "Mar-Dez/26", AJ2038 &lt;&gt; "", "Abr-Dez/26",
TRUE, "A partir de Junho"
)</f>
        <v>Jan-Dez/26</v>
      </c>
      <c r="G2038" s="7" t="s">
        <v>37</v>
      </c>
      <c r="H2038" s="7" t="s">
        <v>110</v>
      </c>
      <c r="I2038" s="9" t="s">
        <v>76</v>
      </c>
      <c r="J2038" s="21" t="str" cm="1">
        <f t="array" aca="1" ref="J2038" ca="1">_xlfn.LET(
  _xlpm.actual_value_month, INDEX(T2038:AE2038, MATCH(DATE(YEAR(TODAY()), MONTH(TODAY()), 1), $T$1:$AE$1, 0)),
  IF(_xlpm.actual_value_month &lt;&gt; "",_xlpm.actual_value_month &amp; " ações mensais", "")
)</f>
        <v/>
      </c>
      <c r="K2038" s="8" t="str" cm="1">
        <f t="array" ref="K2038">_xlfn.LET(
    _xlpm.sum_month, SUM(T2038:AE2038),
    IF(_xlpm.sum_month = 0, "", _xlpm.sum_month &amp; " equipes alcançadas no ano")
)</f>
        <v/>
      </c>
      <c r="L2038" s="4" t="s">
        <v>141</v>
      </c>
      <c r="M2038" s="19">
        <v>1</v>
      </c>
      <c r="N2038" s="5" t="s">
        <v>51</v>
      </c>
      <c r="O2038" s="5" t="s">
        <v>52</v>
      </c>
      <c r="P2038" s="10" t="s">
        <v>44</v>
      </c>
      <c r="Q2038" s="10" t="s">
        <v>44</v>
      </c>
      <c r="R2038" s="10" t="s">
        <v>44</v>
      </c>
      <c r="S2038" s="10" t="s">
        <v>44</v>
      </c>
      <c r="T2038" s="22"/>
      <c r="U2038" s="22"/>
      <c r="V2038" s="22"/>
      <c r="W2038" s="22"/>
      <c r="X2038" s="22"/>
      <c r="Y2038" s="22"/>
      <c r="Z2038" s="22"/>
      <c r="AA2038" s="22"/>
      <c r="AB2038" s="22"/>
      <c r="AC2038" s="22"/>
      <c r="AD2038" s="22"/>
      <c r="AE2038" s="22"/>
      <c r="AG2038" s="71">
        <v>49</v>
      </c>
      <c r="AH2038" s="71">
        <v>43</v>
      </c>
      <c r="AI2038" s="71">
        <v>41</v>
      </c>
      <c r="AJ2038" s="71">
        <v>37</v>
      </c>
      <c r="AK2038" s="71">
        <v>44</v>
      </c>
      <c r="AL2038" s="71"/>
      <c r="AM2038" s="71"/>
      <c r="AN2038" s="71"/>
      <c r="AO2038" s="71"/>
      <c r="AP2038" s="71"/>
      <c r="AQ2038" s="71"/>
      <c r="AR2038" s="71"/>
      <c r="AS2038" s="94">
        <f t="shared" ca="1" si="2372"/>
        <v>0</v>
      </c>
      <c r="AT2038" s="95">
        <f>SUM(AG2038:AR2038)</f>
        <v>214</v>
      </c>
      <c r="AU2038" s="97">
        <f t="shared" si="2373"/>
        <v>214</v>
      </c>
      <c r="AW2038" s="83">
        <f>AG2038</f>
        <v>49</v>
      </c>
      <c r="AX2038" s="83">
        <f>AH2038</f>
        <v>43</v>
      </c>
      <c r="AY2038" s="83">
        <f>AI2038</f>
        <v>41</v>
      </c>
      <c r="AZ2038" s="83">
        <f>AJ2038</f>
        <v>37</v>
      </c>
      <c r="BA2038" s="83">
        <f>AK2038</f>
        <v>44</v>
      </c>
      <c r="BB2038" s="52"/>
      <c r="BC2038" s="52"/>
      <c r="BD2038" s="52"/>
      <c r="BE2038" s="52"/>
      <c r="BF2038" s="52"/>
      <c r="BG2038" s="52"/>
      <c r="BH2038" s="52"/>
      <c r="BI2038" s="68" cm="1">
        <f t="array" ref="BI2038">IFERROR(INDEX(AW2038:BH2038,1,MATCH(2,1/(AW2038:BH2038&lt;&gt;""))),"")</f>
        <v>44</v>
      </c>
      <c r="BJ2038" s="68" cm="1">
        <f t="array" ref="BJ2038">IF(BM2038 = "", "",IFERROR(INDEX(AW2038:BH2038,1,MATCH(2,1/(AW2038:BH2038&lt;&gt;""),1)-1),""))</f>
        <v>37</v>
      </c>
      <c r="BK2038" s="59">
        <f>SUM(AW2038:BH2038)</f>
        <v>214</v>
      </c>
      <c r="BL2038" s="59" cm="1">
        <f t="array" ref="BL2038">IFERROR(SUM(AW2038:INDEX(AW2038:BH2038, MATCH(2, 1/(AW2038:BH2038&lt;&gt;""), 1) - 1))/_xlfn.XLOOKUP(F2038,Apuração!A:A,Apuração!B:B),0)</f>
        <v>14.166666666666666</v>
      </c>
      <c r="BM2038" s="55" cm="1">
        <f t="array" ref="BM2038">IFERROR(
   INDEX($AW$1:$BH$1,
      _xlfn.AGGREGATE(14, 6, COLUMN($AW$1:$BH$1)/(AW2038:BH2038&lt;&gt;""), 2) - COLUMN($AW$1) + 1
   ),
"")</f>
        <v>46113</v>
      </c>
      <c r="BN2038" s="55" cm="1">
        <f t="array" ref="BN2038">IFERROR(INDEX($AW$1:$BH$1,1,MATCH(2,1/(AW2038:BH2038&lt;&gt;""))),"")</f>
        <v>46143</v>
      </c>
      <c r="BO2038" s="53">
        <f ca="1">IFERROR(_xlfn.XLOOKUP(F2038,Apuração!A:A,Apuração!C:C)/_xlfn.XLOOKUP(F2038,Apuração!A:A,Apuração!B:B),0)</f>
        <v>0.41666666666666669</v>
      </c>
      <c r="BP2038" s="53">
        <f ca="1">IFERROR(_xlfn.XLOOKUP(F2038,Apuração!A:A,Apuração!D:D)/_xlfn.XLOOKUP(F2038,Apuração!A:A,Apuração!B:B),0)</f>
        <v>0.33333333333333331</v>
      </c>
      <c r="BQ2038" s="53">
        <f ca="1">IF(BK2038&gt;=BO2038,0,_xlfn.XLOOKUP(F2038,Apuração!A:A,Apuração!B:B)*(BO2038 + (1/_xlfn.XLOOKUP(F2038,Apuração!A:A,Apuração!B:B)) - BK2038))</f>
        <v>0</v>
      </c>
      <c r="BR2038" s="85">
        <f t="shared" ca="1" si="2374"/>
        <v>0</v>
      </c>
      <c r="BS2038" s="53">
        <f ca="1">IFERROR((_xlfn.XLOOKUP(F2038,Apuração!A:A,Apuração!C:C)+1)/_xlfn.XLOOKUP(F2038,Apuração!A:A,Apuração!B:B),0)</f>
        <v>0.5</v>
      </c>
    </row>
    <row r="2039" spans="1:71" ht="25.95" hidden="1" customHeight="1" x14ac:dyDescent="0.3">
      <c r="A2039" s="40" t="s">
        <v>87</v>
      </c>
      <c r="B2039" s="4" t="s">
        <v>229</v>
      </c>
      <c r="C2039" s="5" t="s">
        <v>97</v>
      </c>
      <c r="D2039" s="5" t="s">
        <v>98</v>
      </c>
      <c r="E2039" s="4" t="str" cm="1">
        <f t="array" ref="E2039">_xlfn.IFS(
F2039 = "A partir de Abril", "Aguardando Execução na Distribuidora",
A2039 = "CAPACITAÇÃO", "Em execução no Corporativo",
TRUE, "Em Execução na Distribuidora"
)</f>
        <v>Em Execução na Distribuidora</v>
      </c>
      <c r="F2039" s="4" t="str" cm="1">
        <f t="array" ref="F2039">_xlfn.IFS(
AG2039 &lt;&gt; "", "Jan-Dez/26",
AH2039 &lt;&gt; "", "Fev-Dez/26",
AI2039 &lt;&gt; "", "Mar-Dez/26", AJ2039 &lt;&gt; "", "Abr-Dez/26",
TRUE, "A partir de Junho"
)</f>
        <v>Jan-Dez/26</v>
      </c>
      <c r="G2039" s="7" t="s">
        <v>37</v>
      </c>
      <c r="H2039" s="7" t="s">
        <v>38</v>
      </c>
      <c r="I2039" s="8" t="s">
        <v>148</v>
      </c>
      <c r="J2039" s="21" t="str" cm="1">
        <f t="array" aca="1" ref="J2039" ca="1">_xlfn.LET(
  _xlpm.actual_value_month, INDEX(T2039:AE2039, MATCH(DATE(YEAR(TODAY()), MONTH(TODAY()), 1), $T$1:$AE$1, 0)),
  IF(_xlpm.actual_value_month &lt;&gt; "",_xlpm.actual_value_month &amp; " ações mensais", "")
)</f>
        <v/>
      </c>
      <c r="K2039" s="8" t="str" cm="1">
        <f t="array" ref="K2039">_xlfn.LET(
    _xlpm.sum_month, SUM(T2039:AE2039),
    IF(_xlpm.sum_month = 0, "", _xlpm.sum_month &amp; " NC's no ano")
)</f>
        <v/>
      </c>
      <c r="L2039" s="9" t="s">
        <v>149</v>
      </c>
      <c r="M2039" s="4"/>
      <c r="N2039" s="5" t="s">
        <v>51</v>
      </c>
      <c r="O2039" s="5" t="s">
        <v>52</v>
      </c>
      <c r="P2039" s="10" t="s">
        <v>44</v>
      </c>
      <c r="Q2039" s="10" t="s">
        <v>44</v>
      </c>
      <c r="R2039" s="11" t="s">
        <v>44</v>
      </c>
      <c r="S2039" s="11" t="s">
        <v>44</v>
      </c>
      <c r="T2039" s="22"/>
      <c r="U2039" s="22"/>
      <c r="V2039" s="22"/>
      <c r="W2039" s="22"/>
      <c r="X2039" s="22"/>
      <c r="Y2039" s="22"/>
      <c r="Z2039" s="22"/>
      <c r="AA2039" s="22"/>
      <c r="AB2039" s="22"/>
      <c r="AC2039" s="22"/>
      <c r="AD2039" s="22"/>
      <c r="AE2039" s="22"/>
      <c r="AG2039" s="71">
        <v>0</v>
      </c>
      <c r="AH2039" s="71">
        <v>0</v>
      </c>
      <c r="AI2039" s="71">
        <v>0</v>
      </c>
      <c r="AJ2039" s="71">
        <v>0</v>
      </c>
      <c r="AK2039" s="71">
        <v>0</v>
      </c>
      <c r="AL2039" s="71"/>
      <c r="AM2039" s="71"/>
      <c r="AN2039" s="71"/>
      <c r="AO2039" s="71"/>
      <c r="AP2039" s="71"/>
      <c r="AQ2039" s="71"/>
      <c r="AR2039" s="71"/>
      <c r="AS2039" s="94">
        <f t="shared" ref="AS2039:AS2048" ca="1" si="2393">IF(MONTH(TODAY())=3,SUM(T2039:U2039),IF(MONTH(TODAY())=4,SUM(T2039:V2039),IF(MONTH(TODAY())=5,SUM(T2039:W2039),IF(MONTH(TODAY())=6,SUM(T2039:X2039),IF(MONTH(TODAY())=7,SUM(T2039:Y2039),IF(MONTH(TODAY())=8,SUM(T2039:Z2039),IF(MONTH(TODAY())=9,SUM(T2039:AA2039),IF(MONTH(TODAY())=10,SUM(T2039:AB2039),IF(MONTH(TODAY())=11,SUM(T2039:AC2039),IF(MONTH(TODAY())=12,SUM(T2039:AD2039),IF(MONTH(TODAY())=1,SUM(T2039:AE2039),T2039)))))))))))</f>
        <v>0</v>
      </c>
      <c r="AT2039" s="95">
        <f t="shared" ref="AT2039:AT2048" si="2394">SUM(AG2039:AR2039)</f>
        <v>0</v>
      </c>
      <c r="AU2039" s="97">
        <f t="shared" ref="AU2039:AU2048" si="2395">SUM(AG2039:AR2039)</f>
        <v>0</v>
      </c>
      <c r="AW2039" s="83">
        <f t="shared" ref="AW2039:AW2048" si="2396">AG2039</f>
        <v>0</v>
      </c>
      <c r="AX2039" s="83">
        <f t="shared" ref="AX2039:AX2048" si="2397">AH2039</f>
        <v>0</v>
      </c>
      <c r="AY2039" s="83">
        <f t="shared" ref="AY2039:AY2048" si="2398">AI2039</f>
        <v>0</v>
      </c>
      <c r="AZ2039" s="83">
        <f t="shared" ref="AZ2039:AZ2048" si="2399">AJ2039</f>
        <v>0</v>
      </c>
      <c r="BA2039" s="83">
        <f>AK2039</f>
        <v>0</v>
      </c>
      <c r="BB2039" s="52"/>
      <c r="BC2039" s="52"/>
      <c r="BD2039" s="52"/>
      <c r="BE2039" s="52"/>
      <c r="BF2039" s="52"/>
      <c r="BG2039" s="52"/>
      <c r="BH2039" s="52"/>
      <c r="BI2039" s="68" cm="1">
        <f t="array" ref="BI2039">IFERROR(INDEX(AW2039:BH2039,1,MATCH(2,1/(AW2039:BH2039&lt;&gt;""))),"")</f>
        <v>0</v>
      </c>
      <c r="BJ2039" s="68" cm="1">
        <f t="array" ref="BJ2039">IF(BM2039 = "", "",IFERROR(INDEX(AW2039:BH2039,1,MATCH(2,1/(AW2039:BH2039&lt;&gt;""),1)-1),""))</f>
        <v>0</v>
      </c>
      <c r="BK2039" s="59">
        <f t="shared" ref="BK2039:BK2048" si="2400">SUM(AW2039:BH2039)</f>
        <v>0</v>
      </c>
      <c r="BL2039" s="86" cm="1">
        <f t="array" ref="BL2039">IFERROR(SUM(AW2039:INDEX(AW2039:BH2039, MATCH(2, 1/(AW2039:BH2039&lt;&gt;""), 1) - 1))/_xlfn.XLOOKUP(F2039,Apuração!A:A,Apuração!B:B),0)</f>
        <v>0</v>
      </c>
      <c r="BM2039" s="55" cm="1">
        <f t="array" ref="BM2039">IFERROR(
   INDEX($AW$1:$BH$1,
      _xlfn.AGGREGATE(14, 6, COLUMN($AW$1:$BH$1)/(AW2039:BH2039&lt;&gt;""), 2) - COLUMN($AW$1) + 1
   ),
"")</f>
        <v>46113</v>
      </c>
      <c r="BN2039" s="55" cm="1">
        <f t="array" ref="BN2039">IFERROR(INDEX($AW$1:$BH$1,1,MATCH(2,1/(AW2039:BH2039&lt;&gt;""))),"")</f>
        <v>46143</v>
      </c>
      <c r="BO2039" s="53">
        <f ca="1">IFERROR(_xlfn.XLOOKUP(F2039,Apuração!A:A,Apuração!C:C)/_xlfn.XLOOKUP(F2039,Apuração!A:A,Apuração!B:B),0)</f>
        <v>0.41666666666666669</v>
      </c>
      <c r="BP2039" s="53">
        <f ca="1">IFERROR(_xlfn.XLOOKUP(F2039,Apuração!A:A,Apuração!D:D)/_xlfn.XLOOKUP(F2039,Apuração!A:A,Apuração!B:B),0)</f>
        <v>0.33333333333333331</v>
      </c>
      <c r="BQ2039" s="53">
        <f ca="1">IF(BK2039&gt;=BO2039,0,_xlfn.XLOOKUP(F2039,Apuração!A:A,Apuração!B:B)*(BO2039 + (1/_xlfn.XLOOKUP(F2039,Apuração!A:A,Apuração!B:B)) - BK2039))</f>
        <v>6</v>
      </c>
      <c r="BR2039" s="85">
        <f t="shared" ref="BR2039:BR2048" ca="1" si="2401">IF(BQ2039=0,0,BQ2039*Z2039)</f>
        <v>0</v>
      </c>
      <c r="BS2039" s="53">
        <f ca="1">IFERROR((_xlfn.XLOOKUP(F2039,Apuração!A:A,Apuração!C:C)+1)/_xlfn.XLOOKUP(F2039,Apuração!A:A,Apuração!B:B),0)</f>
        <v>0.5</v>
      </c>
    </row>
    <row r="2040" spans="1:71" ht="25.95" hidden="1" customHeight="1" x14ac:dyDescent="0.3">
      <c r="A2040" s="40" t="s">
        <v>87</v>
      </c>
      <c r="B2040" s="4" t="s">
        <v>229</v>
      </c>
      <c r="C2040" s="5" t="s">
        <v>97</v>
      </c>
      <c r="D2040" s="5" t="s">
        <v>99</v>
      </c>
      <c r="E2040" s="4" t="str" cm="1">
        <f t="array" ref="E2040">_xlfn.IFS(
F2040 = "A partir de Abril", "Aguardando Execução na Distribuidora",
A2040 = "CAPACITAÇÃO", "Em execução no Corporativo",
TRUE, "Em Execução na Distribuidora"
)</f>
        <v>Em Execução na Distribuidora</v>
      </c>
      <c r="F2040" s="4" t="str" cm="1">
        <f t="array" ref="F2040">_xlfn.IFS(
AG2040 &lt;&gt; "", "Jan-Dez/26",
AH2040 &lt;&gt; "", "Fev-Dez/26",
AI2040 &lt;&gt; "", "Mar-Dez/26", AJ2040 &lt;&gt; "", "Abr-Dez/26",
TRUE, "A partir de Junho"
)</f>
        <v>Jan-Dez/26</v>
      </c>
      <c r="G2040" s="7" t="s">
        <v>37</v>
      </c>
      <c r="H2040" s="7" t="s">
        <v>38</v>
      </c>
      <c r="I2040" s="8" t="s">
        <v>148</v>
      </c>
      <c r="J2040" s="21" t="str" cm="1">
        <f t="array" aca="1" ref="J2040" ca="1">_xlfn.LET(
  _xlpm.actual_value_month, INDEX(T2040:AE2040, MATCH(DATE(YEAR(TODAY()), MONTH(TODAY()), 1), $T$1:$AE$1, 0)),
  IF(_xlpm.actual_value_month &lt;&gt; "",_xlpm.actual_value_month &amp; " ações mensais", "")
)</f>
        <v/>
      </c>
      <c r="K2040" s="8" t="str" cm="1">
        <f t="array" ref="K2040">_xlfn.LET(
    _xlpm.sum_month, SUM(T2040:AE2040),
    IF(_xlpm.sum_month = 0, "", _xlpm.sum_month &amp; " NC's no ano")
)</f>
        <v/>
      </c>
      <c r="L2040" s="9" t="s">
        <v>149</v>
      </c>
      <c r="M2040" s="4"/>
      <c r="N2040" s="5" t="s">
        <v>51</v>
      </c>
      <c r="O2040" s="5" t="s">
        <v>52</v>
      </c>
      <c r="P2040" s="10" t="s">
        <v>44</v>
      </c>
      <c r="Q2040" s="10" t="s">
        <v>44</v>
      </c>
      <c r="R2040" s="11" t="s">
        <v>44</v>
      </c>
      <c r="S2040" s="11" t="s">
        <v>44</v>
      </c>
      <c r="T2040" s="22"/>
      <c r="U2040" s="22"/>
      <c r="V2040" s="22"/>
      <c r="W2040" s="22"/>
      <c r="X2040" s="22"/>
      <c r="Y2040" s="22"/>
      <c r="Z2040" s="22"/>
      <c r="AA2040" s="22"/>
      <c r="AB2040" s="22"/>
      <c r="AC2040" s="22"/>
      <c r="AD2040" s="22"/>
      <c r="AE2040" s="22"/>
      <c r="AG2040" s="71">
        <v>0</v>
      </c>
      <c r="AH2040" s="71">
        <v>0</v>
      </c>
      <c r="AI2040" s="71">
        <v>0</v>
      </c>
      <c r="AJ2040" s="71">
        <v>0</v>
      </c>
      <c r="AK2040" s="71">
        <v>0</v>
      </c>
      <c r="AL2040" s="71"/>
      <c r="AM2040" s="71"/>
      <c r="AN2040" s="71"/>
      <c r="AO2040" s="71"/>
      <c r="AP2040" s="71"/>
      <c r="AQ2040" s="71"/>
      <c r="AR2040" s="71"/>
      <c r="AS2040" s="94">
        <f t="shared" ca="1" si="2393"/>
        <v>0</v>
      </c>
      <c r="AT2040" s="95">
        <f t="shared" si="2394"/>
        <v>0</v>
      </c>
      <c r="AU2040" s="97">
        <f t="shared" si="2395"/>
        <v>0</v>
      </c>
      <c r="AW2040" s="83">
        <f t="shared" si="2396"/>
        <v>0</v>
      </c>
      <c r="AX2040" s="83">
        <f t="shared" si="2397"/>
        <v>0</v>
      </c>
      <c r="AY2040" s="83">
        <f t="shared" si="2398"/>
        <v>0</v>
      </c>
      <c r="AZ2040" s="83">
        <f t="shared" si="2399"/>
        <v>0</v>
      </c>
      <c r="BA2040" s="83">
        <f t="shared" ref="BA2040:BA2048" si="2402">AK2040</f>
        <v>0</v>
      </c>
      <c r="BB2040" s="52"/>
      <c r="BC2040" s="52"/>
      <c r="BD2040" s="52"/>
      <c r="BE2040" s="52"/>
      <c r="BF2040" s="52"/>
      <c r="BG2040" s="52"/>
      <c r="BH2040" s="52"/>
      <c r="BI2040" s="68" cm="1">
        <f t="array" ref="BI2040">IFERROR(INDEX(AW2040:BH2040,1,MATCH(2,1/(AW2040:BH2040&lt;&gt;""))),"")</f>
        <v>0</v>
      </c>
      <c r="BJ2040" s="68" cm="1">
        <f t="array" ref="BJ2040">IF(BM2040 = "", "",IFERROR(INDEX(AW2040:BH2040,1,MATCH(2,1/(AW2040:BH2040&lt;&gt;""),1)-1),""))</f>
        <v>0</v>
      </c>
      <c r="BK2040" s="59">
        <f t="shared" si="2400"/>
        <v>0</v>
      </c>
      <c r="BL2040" s="86" cm="1">
        <f t="array" ref="BL2040">IFERROR(SUM(AW2040:INDEX(AW2040:BH2040, MATCH(2, 1/(AW2040:BH2040&lt;&gt;""), 1) - 1))/_xlfn.XLOOKUP(F2040,Apuração!A:A,Apuração!B:B),0)</f>
        <v>0</v>
      </c>
      <c r="BM2040" s="55" cm="1">
        <f t="array" ref="BM2040">IFERROR(
   INDEX($AW$1:$BH$1,
      _xlfn.AGGREGATE(14, 6, COLUMN($AW$1:$BH$1)/(AW2040:BH2040&lt;&gt;""), 2) - COLUMN($AW$1) + 1
   ),
"")</f>
        <v>46113</v>
      </c>
      <c r="BN2040" s="55" cm="1">
        <f t="array" ref="BN2040">IFERROR(INDEX($AW$1:$BH$1,1,MATCH(2,1/(AW2040:BH2040&lt;&gt;""))),"")</f>
        <v>46143</v>
      </c>
      <c r="BO2040" s="53">
        <f ca="1">IFERROR(_xlfn.XLOOKUP(F2040,Apuração!A:A,Apuração!C:C)/_xlfn.XLOOKUP(F2040,Apuração!A:A,Apuração!B:B),0)</f>
        <v>0.41666666666666669</v>
      </c>
      <c r="BP2040" s="53">
        <f ca="1">IFERROR(_xlfn.XLOOKUP(F2040,Apuração!A:A,Apuração!D:D)/_xlfn.XLOOKUP(F2040,Apuração!A:A,Apuração!B:B),0)</f>
        <v>0.33333333333333331</v>
      </c>
      <c r="BQ2040" s="53">
        <f ca="1">IF(BK2040&gt;=BO2040,0,_xlfn.XLOOKUP(F2040,Apuração!A:A,Apuração!B:B)*(BO2040 + (1/_xlfn.XLOOKUP(F2040,Apuração!A:A,Apuração!B:B)) - BK2040))</f>
        <v>6</v>
      </c>
      <c r="BR2040" s="85">
        <f t="shared" ca="1" si="2401"/>
        <v>0</v>
      </c>
      <c r="BS2040" s="53">
        <f ca="1">IFERROR((_xlfn.XLOOKUP(F2040,Apuração!A:A,Apuração!C:C)+1)/_xlfn.XLOOKUP(F2040,Apuração!A:A,Apuração!B:B),0)</f>
        <v>0.5</v>
      </c>
    </row>
    <row r="2041" spans="1:71" ht="25.95" hidden="1" customHeight="1" x14ac:dyDescent="0.3">
      <c r="A2041" s="40" t="s">
        <v>87</v>
      </c>
      <c r="B2041" s="4" t="s">
        <v>229</v>
      </c>
      <c r="C2041" s="5" t="s">
        <v>97</v>
      </c>
      <c r="D2041" s="5" t="s">
        <v>100</v>
      </c>
      <c r="E2041" s="4" t="str" cm="1">
        <f t="array" ref="E2041">_xlfn.IFS(
F2041 = "A partir de Abril", "Aguardando Execução na Distribuidora",
A2041 = "CAPACITAÇÃO", "Em execução no Corporativo",
TRUE, "Em Execução na Distribuidora"
)</f>
        <v>Em Execução na Distribuidora</v>
      </c>
      <c r="F2041" s="4" t="str" cm="1">
        <f t="array" ref="F2041">_xlfn.IFS(
AG2041 &lt;&gt; "", "Jan-Dez/26",
AH2041 &lt;&gt; "", "Fev-Dez/26",
AI2041 &lt;&gt; "", "Mar-Dez/26", AJ2041 &lt;&gt; "", "Abr-Dez/26",
TRUE, "A partir de Junho"
)</f>
        <v>Jan-Dez/26</v>
      </c>
      <c r="G2041" s="7" t="s">
        <v>37</v>
      </c>
      <c r="H2041" s="7" t="s">
        <v>38</v>
      </c>
      <c r="I2041" s="8" t="s">
        <v>148</v>
      </c>
      <c r="J2041" s="21" t="str" cm="1">
        <f t="array" aca="1" ref="J2041" ca="1">_xlfn.LET(
  _xlpm.actual_value_month, INDEX(T2041:AE2041, MATCH(DATE(YEAR(TODAY()), MONTH(TODAY()), 1), $T$1:$AE$1, 0)),
  IF(_xlpm.actual_value_month &lt;&gt; "",_xlpm.actual_value_month &amp; " ações mensais", "")
)</f>
        <v/>
      </c>
      <c r="K2041" s="8" t="str" cm="1">
        <f t="array" ref="K2041">_xlfn.LET(
    _xlpm.sum_month, SUM(T2041:AE2041),
    IF(_xlpm.sum_month = 0, "", _xlpm.sum_month &amp; " NC's no ano")
)</f>
        <v/>
      </c>
      <c r="L2041" s="9" t="s">
        <v>149</v>
      </c>
      <c r="M2041" s="4"/>
      <c r="N2041" s="5" t="s">
        <v>51</v>
      </c>
      <c r="O2041" s="5" t="s">
        <v>52</v>
      </c>
      <c r="P2041" s="10" t="s">
        <v>44</v>
      </c>
      <c r="Q2041" s="10" t="s">
        <v>44</v>
      </c>
      <c r="R2041" s="11" t="s">
        <v>44</v>
      </c>
      <c r="S2041" s="11" t="s">
        <v>44</v>
      </c>
      <c r="T2041" s="22"/>
      <c r="U2041" s="22"/>
      <c r="V2041" s="22"/>
      <c r="W2041" s="22"/>
      <c r="X2041" s="22"/>
      <c r="Y2041" s="22"/>
      <c r="Z2041" s="22"/>
      <c r="AA2041" s="22"/>
      <c r="AB2041" s="22"/>
      <c r="AC2041" s="22"/>
      <c r="AD2041" s="22"/>
      <c r="AE2041" s="22"/>
      <c r="AG2041" s="71">
        <v>0</v>
      </c>
      <c r="AH2041" s="71">
        <v>0</v>
      </c>
      <c r="AI2041" s="71">
        <v>0</v>
      </c>
      <c r="AJ2041" s="71">
        <v>1</v>
      </c>
      <c r="AK2041" s="71">
        <v>0</v>
      </c>
      <c r="AL2041" s="71"/>
      <c r="AM2041" s="71"/>
      <c r="AN2041" s="71"/>
      <c r="AO2041" s="71"/>
      <c r="AP2041" s="71"/>
      <c r="AQ2041" s="71"/>
      <c r="AR2041" s="71"/>
      <c r="AS2041" s="94">
        <f t="shared" ca="1" si="2393"/>
        <v>0</v>
      </c>
      <c r="AT2041" s="95">
        <f t="shared" si="2394"/>
        <v>1</v>
      </c>
      <c r="AU2041" s="97">
        <f t="shared" si="2395"/>
        <v>1</v>
      </c>
      <c r="AW2041" s="83">
        <f t="shared" si="2396"/>
        <v>0</v>
      </c>
      <c r="AX2041" s="83">
        <f t="shared" si="2397"/>
        <v>0</v>
      </c>
      <c r="AY2041" s="83">
        <f t="shared" si="2398"/>
        <v>0</v>
      </c>
      <c r="AZ2041" s="83">
        <f t="shared" si="2399"/>
        <v>1</v>
      </c>
      <c r="BA2041" s="83">
        <f t="shared" si="2402"/>
        <v>0</v>
      </c>
      <c r="BB2041" s="52"/>
      <c r="BC2041" s="52"/>
      <c r="BD2041" s="52"/>
      <c r="BE2041" s="52"/>
      <c r="BF2041" s="52"/>
      <c r="BG2041" s="52"/>
      <c r="BH2041" s="52"/>
      <c r="BI2041" s="68" cm="1">
        <f t="array" ref="BI2041">IFERROR(INDEX(AW2041:BH2041,1,MATCH(2,1/(AW2041:BH2041&lt;&gt;""))),"")</f>
        <v>0</v>
      </c>
      <c r="BJ2041" s="68" cm="1">
        <f t="array" ref="BJ2041">IF(BM2041 = "", "",IFERROR(INDEX(AW2041:BH2041,1,MATCH(2,1/(AW2041:BH2041&lt;&gt;""),1)-1),""))</f>
        <v>1</v>
      </c>
      <c r="BK2041" s="59">
        <f t="shared" si="2400"/>
        <v>1</v>
      </c>
      <c r="BL2041" s="86" cm="1">
        <f t="array" ref="BL2041">IFERROR(SUM(AW2041:INDEX(AW2041:BH2041, MATCH(2, 1/(AW2041:BH2041&lt;&gt;""), 1) - 1))/_xlfn.XLOOKUP(F2041,Apuração!A:A,Apuração!B:B),0)</f>
        <v>8.3333333333333329E-2</v>
      </c>
      <c r="BM2041" s="55" cm="1">
        <f t="array" ref="BM2041">IFERROR(
   INDEX($AW$1:$BH$1,
      _xlfn.AGGREGATE(14, 6, COLUMN($AW$1:$BH$1)/(AW2041:BH2041&lt;&gt;""), 2) - COLUMN($AW$1) + 1
   ),
"")</f>
        <v>46113</v>
      </c>
      <c r="BN2041" s="55" cm="1">
        <f t="array" ref="BN2041">IFERROR(INDEX($AW$1:$BH$1,1,MATCH(2,1/(AW2041:BH2041&lt;&gt;""))),"")</f>
        <v>46143</v>
      </c>
      <c r="BO2041" s="53">
        <f ca="1">IFERROR(_xlfn.XLOOKUP(F2041,Apuração!A:A,Apuração!C:C)/_xlfn.XLOOKUP(F2041,Apuração!A:A,Apuração!B:B),0)</f>
        <v>0.41666666666666669</v>
      </c>
      <c r="BP2041" s="53">
        <f ca="1">IFERROR(_xlfn.XLOOKUP(F2041,Apuração!A:A,Apuração!D:D)/_xlfn.XLOOKUP(F2041,Apuração!A:A,Apuração!B:B),0)</f>
        <v>0.33333333333333331</v>
      </c>
      <c r="BQ2041" s="53">
        <f ca="1">IF(BK2041&gt;=BO2041,0,_xlfn.XLOOKUP(F2041,Apuração!A:A,Apuração!B:B)*(BO2041 + (1/_xlfn.XLOOKUP(F2041,Apuração!A:A,Apuração!B:B)) - BK2041))</f>
        <v>0</v>
      </c>
      <c r="BR2041" s="85">
        <f t="shared" ca="1" si="2401"/>
        <v>0</v>
      </c>
      <c r="BS2041" s="53">
        <f ca="1">IFERROR((_xlfn.XLOOKUP(F2041,Apuração!A:A,Apuração!C:C)+1)/_xlfn.XLOOKUP(F2041,Apuração!A:A,Apuração!B:B),0)</f>
        <v>0.5</v>
      </c>
    </row>
    <row r="2042" spans="1:71" ht="25.95" hidden="1" customHeight="1" x14ac:dyDescent="0.3">
      <c r="A2042" s="40" t="s">
        <v>87</v>
      </c>
      <c r="B2042" s="4" t="s">
        <v>229</v>
      </c>
      <c r="C2042" s="5" t="s">
        <v>97</v>
      </c>
      <c r="D2042" s="5" t="s">
        <v>101</v>
      </c>
      <c r="E2042" s="4" t="str" cm="1">
        <f t="array" ref="E2042">_xlfn.IFS(
F2042 = "A partir de Abril", "Aguardando Execução na Distribuidora",
A2042 = "CAPACITAÇÃO", "Em execução no Corporativo",
TRUE, "Em Execução na Distribuidora"
)</f>
        <v>Em Execução na Distribuidora</v>
      </c>
      <c r="F2042" s="4" t="str" cm="1">
        <f t="array" ref="F2042">_xlfn.IFS(
AG2042 &lt;&gt; "", "Jan-Dez/26",
AH2042 &lt;&gt; "", "Fev-Dez/26",
AI2042 &lt;&gt; "", "Mar-Dez/26", AJ2042 &lt;&gt; "", "Abr-Dez/26",
TRUE, "A partir de Junho"
)</f>
        <v>Jan-Dez/26</v>
      </c>
      <c r="G2042" s="7" t="s">
        <v>37</v>
      </c>
      <c r="H2042" s="7" t="s">
        <v>38</v>
      </c>
      <c r="I2042" s="8" t="s">
        <v>148</v>
      </c>
      <c r="J2042" s="21" t="str" cm="1">
        <f t="array" aca="1" ref="J2042" ca="1">_xlfn.LET(
  _xlpm.actual_value_month, INDEX(T2042:AE2042, MATCH(DATE(YEAR(TODAY()), MONTH(TODAY()), 1), $T$1:$AE$1, 0)),
  IF(_xlpm.actual_value_month &lt;&gt; "",_xlpm.actual_value_month &amp; " ações mensais", "")
)</f>
        <v/>
      </c>
      <c r="K2042" s="8" t="str" cm="1">
        <f t="array" ref="K2042">_xlfn.LET(
    _xlpm.sum_month, SUM(T2042:AE2042),
    IF(_xlpm.sum_month = 0, "", _xlpm.sum_month &amp; " NC's no ano")
)</f>
        <v/>
      </c>
      <c r="L2042" s="9" t="s">
        <v>149</v>
      </c>
      <c r="M2042" s="4"/>
      <c r="N2042" s="5" t="s">
        <v>51</v>
      </c>
      <c r="O2042" s="5" t="s">
        <v>52</v>
      </c>
      <c r="P2042" s="10" t="s">
        <v>44</v>
      </c>
      <c r="Q2042" s="10" t="s">
        <v>44</v>
      </c>
      <c r="R2042" s="11" t="s">
        <v>44</v>
      </c>
      <c r="S2042" s="11" t="s">
        <v>44</v>
      </c>
      <c r="T2042" s="22"/>
      <c r="U2042" s="22"/>
      <c r="V2042" s="22"/>
      <c r="W2042" s="22"/>
      <c r="X2042" s="22"/>
      <c r="Y2042" s="22"/>
      <c r="Z2042" s="22"/>
      <c r="AA2042" s="22"/>
      <c r="AB2042" s="22"/>
      <c r="AC2042" s="22"/>
      <c r="AD2042" s="22"/>
      <c r="AE2042" s="22"/>
      <c r="AG2042" s="71">
        <v>0</v>
      </c>
      <c r="AH2042" s="71">
        <v>0</v>
      </c>
      <c r="AI2042" s="71">
        <v>0</v>
      </c>
      <c r="AJ2042" s="71">
        <v>0</v>
      </c>
      <c r="AK2042" s="71">
        <v>0</v>
      </c>
      <c r="AL2042" s="71"/>
      <c r="AM2042" s="71"/>
      <c r="AN2042" s="71"/>
      <c r="AO2042" s="71"/>
      <c r="AP2042" s="71"/>
      <c r="AQ2042" s="71"/>
      <c r="AR2042" s="71"/>
      <c r="AS2042" s="94">
        <f t="shared" ca="1" si="2393"/>
        <v>0</v>
      </c>
      <c r="AT2042" s="95">
        <f t="shared" si="2394"/>
        <v>0</v>
      </c>
      <c r="AU2042" s="97">
        <f t="shared" si="2395"/>
        <v>0</v>
      </c>
      <c r="AW2042" s="83">
        <f t="shared" si="2396"/>
        <v>0</v>
      </c>
      <c r="AX2042" s="83">
        <f t="shared" si="2397"/>
        <v>0</v>
      </c>
      <c r="AY2042" s="83">
        <f t="shared" si="2398"/>
        <v>0</v>
      </c>
      <c r="AZ2042" s="83">
        <f t="shared" si="2399"/>
        <v>0</v>
      </c>
      <c r="BA2042" s="83">
        <f t="shared" si="2402"/>
        <v>0</v>
      </c>
      <c r="BB2042" s="52"/>
      <c r="BC2042" s="52"/>
      <c r="BD2042" s="52"/>
      <c r="BE2042" s="52"/>
      <c r="BF2042" s="52"/>
      <c r="BG2042" s="52"/>
      <c r="BH2042" s="52"/>
      <c r="BI2042" s="68" cm="1">
        <f t="array" ref="BI2042">IFERROR(INDEX(AW2042:BH2042,1,MATCH(2,1/(AW2042:BH2042&lt;&gt;""))),"")</f>
        <v>0</v>
      </c>
      <c r="BJ2042" s="68" cm="1">
        <f t="array" ref="BJ2042">IF(BM2042 = "", "",IFERROR(INDEX(AW2042:BH2042,1,MATCH(2,1/(AW2042:BH2042&lt;&gt;""),1)-1),""))</f>
        <v>0</v>
      </c>
      <c r="BK2042" s="59">
        <f t="shared" si="2400"/>
        <v>0</v>
      </c>
      <c r="BL2042" s="86" cm="1">
        <f t="array" ref="BL2042">IFERROR(SUM(AW2042:INDEX(AW2042:BH2042, MATCH(2, 1/(AW2042:BH2042&lt;&gt;""), 1) - 1))/_xlfn.XLOOKUP(F2042,Apuração!A:A,Apuração!B:B),0)</f>
        <v>0</v>
      </c>
      <c r="BM2042" s="55" cm="1">
        <f t="array" ref="BM2042">IFERROR(
   INDEX($AW$1:$BH$1,
      _xlfn.AGGREGATE(14, 6, COLUMN($AW$1:$BH$1)/(AW2042:BH2042&lt;&gt;""), 2) - COLUMN($AW$1) + 1
   ),
"")</f>
        <v>46113</v>
      </c>
      <c r="BN2042" s="55" cm="1">
        <f t="array" ref="BN2042">IFERROR(INDEX($AW$1:$BH$1,1,MATCH(2,1/(AW2042:BH2042&lt;&gt;""))),"")</f>
        <v>46143</v>
      </c>
      <c r="BO2042" s="53">
        <f ca="1">IFERROR(_xlfn.XLOOKUP(F2042,Apuração!A:A,Apuração!C:C)/_xlfn.XLOOKUP(F2042,Apuração!A:A,Apuração!B:B),0)</f>
        <v>0.41666666666666669</v>
      </c>
      <c r="BP2042" s="53">
        <f ca="1">IFERROR(_xlfn.XLOOKUP(F2042,Apuração!A:A,Apuração!D:D)/_xlfn.XLOOKUP(F2042,Apuração!A:A,Apuração!B:B),0)</f>
        <v>0.33333333333333331</v>
      </c>
      <c r="BQ2042" s="53">
        <f ca="1">IF(BK2042&gt;=BO2042,0,_xlfn.XLOOKUP(F2042,Apuração!A:A,Apuração!B:B)*(BO2042 + (1/_xlfn.XLOOKUP(F2042,Apuração!A:A,Apuração!B:B)) - BK2042))</f>
        <v>6</v>
      </c>
      <c r="BR2042" s="85">
        <f t="shared" ca="1" si="2401"/>
        <v>0</v>
      </c>
      <c r="BS2042" s="53">
        <f ca="1">IFERROR((_xlfn.XLOOKUP(F2042,Apuração!A:A,Apuração!C:C)+1)/_xlfn.XLOOKUP(F2042,Apuração!A:A,Apuração!B:B),0)</f>
        <v>0.5</v>
      </c>
    </row>
    <row r="2043" spans="1:71" ht="25.95" hidden="1" customHeight="1" x14ac:dyDescent="0.3">
      <c r="A2043" s="40" t="s">
        <v>87</v>
      </c>
      <c r="B2043" s="4" t="s">
        <v>229</v>
      </c>
      <c r="C2043" s="5" t="s">
        <v>97</v>
      </c>
      <c r="D2043" s="5" t="s">
        <v>102</v>
      </c>
      <c r="E2043" s="4" t="str" cm="1">
        <f t="array" ref="E2043">_xlfn.IFS(
F2043 = "A partir de Abril", "Aguardando Execução na Distribuidora",
A2043 = "CAPACITAÇÃO", "Em execução no Corporativo",
TRUE, "Em Execução na Distribuidora"
)</f>
        <v>Em Execução na Distribuidora</v>
      </c>
      <c r="F2043" s="4" t="str" cm="1">
        <f t="array" ref="F2043">_xlfn.IFS(
AG2043 &lt;&gt; "", "Jan-Dez/26",
AH2043 &lt;&gt; "", "Fev-Dez/26",
AI2043 &lt;&gt; "", "Mar-Dez/26", AJ2043 &lt;&gt; "", "Abr-Dez/26",
TRUE, "A partir de Junho"
)</f>
        <v>Jan-Dez/26</v>
      </c>
      <c r="G2043" s="7" t="s">
        <v>37</v>
      </c>
      <c r="H2043" s="7" t="s">
        <v>38</v>
      </c>
      <c r="I2043" s="8" t="s">
        <v>148</v>
      </c>
      <c r="J2043" s="21" t="str" cm="1">
        <f t="array" aca="1" ref="J2043" ca="1">_xlfn.LET(
  _xlpm.actual_value_month, INDEX(T2043:AE2043, MATCH(DATE(YEAR(TODAY()), MONTH(TODAY()), 1), $T$1:$AE$1, 0)),
  IF(_xlpm.actual_value_month &lt;&gt; "",_xlpm.actual_value_month &amp; " ações mensais", "")
)</f>
        <v/>
      </c>
      <c r="K2043" s="8" t="str" cm="1">
        <f t="array" ref="K2043">_xlfn.LET(
    _xlpm.sum_month, SUM(T2043:AE2043),
    IF(_xlpm.sum_month = 0, "", _xlpm.sum_month &amp; " NC's no ano")
)</f>
        <v/>
      </c>
      <c r="L2043" s="9" t="s">
        <v>149</v>
      </c>
      <c r="M2043" s="4"/>
      <c r="N2043" s="5" t="s">
        <v>51</v>
      </c>
      <c r="O2043" s="5" t="s">
        <v>52</v>
      </c>
      <c r="P2043" s="10" t="s">
        <v>44</v>
      </c>
      <c r="Q2043" s="10" t="s">
        <v>44</v>
      </c>
      <c r="R2043" s="11" t="s">
        <v>44</v>
      </c>
      <c r="S2043" s="11" t="s">
        <v>44</v>
      </c>
      <c r="T2043" s="22"/>
      <c r="U2043" s="22"/>
      <c r="V2043" s="22"/>
      <c r="W2043" s="22"/>
      <c r="X2043" s="22"/>
      <c r="Y2043" s="22"/>
      <c r="Z2043" s="22"/>
      <c r="AA2043" s="22"/>
      <c r="AB2043" s="22"/>
      <c r="AC2043" s="22"/>
      <c r="AD2043" s="22"/>
      <c r="AE2043" s="22"/>
      <c r="AG2043" s="71">
        <v>0</v>
      </c>
      <c r="AH2043" s="71">
        <v>0</v>
      </c>
      <c r="AI2043" s="71">
        <v>0</v>
      </c>
      <c r="AJ2043" s="71">
        <v>0</v>
      </c>
      <c r="AK2043" s="71">
        <v>0</v>
      </c>
      <c r="AL2043" s="71"/>
      <c r="AM2043" s="71"/>
      <c r="AN2043" s="71"/>
      <c r="AO2043" s="71"/>
      <c r="AP2043" s="71"/>
      <c r="AQ2043" s="71"/>
      <c r="AR2043" s="71"/>
      <c r="AS2043" s="94">
        <f t="shared" ca="1" si="2393"/>
        <v>0</v>
      </c>
      <c r="AT2043" s="95">
        <f t="shared" si="2394"/>
        <v>0</v>
      </c>
      <c r="AU2043" s="97">
        <f t="shared" si="2395"/>
        <v>0</v>
      </c>
      <c r="AW2043" s="83">
        <f t="shared" si="2396"/>
        <v>0</v>
      </c>
      <c r="AX2043" s="83">
        <f t="shared" si="2397"/>
        <v>0</v>
      </c>
      <c r="AY2043" s="83">
        <f t="shared" si="2398"/>
        <v>0</v>
      </c>
      <c r="AZ2043" s="83">
        <f t="shared" si="2399"/>
        <v>0</v>
      </c>
      <c r="BA2043" s="83">
        <f t="shared" si="2402"/>
        <v>0</v>
      </c>
      <c r="BB2043" s="52"/>
      <c r="BC2043" s="52"/>
      <c r="BD2043" s="52"/>
      <c r="BE2043" s="52"/>
      <c r="BF2043" s="52"/>
      <c r="BG2043" s="52"/>
      <c r="BH2043" s="52"/>
      <c r="BI2043" s="68" cm="1">
        <f t="array" ref="BI2043">IFERROR(INDEX(AW2043:BH2043,1,MATCH(2,1/(AW2043:BH2043&lt;&gt;""))),"")</f>
        <v>0</v>
      </c>
      <c r="BJ2043" s="68" cm="1">
        <f t="array" ref="BJ2043">IF(BM2043 = "", "",IFERROR(INDEX(AW2043:BH2043,1,MATCH(2,1/(AW2043:BH2043&lt;&gt;""),1)-1),""))</f>
        <v>0</v>
      </c>
      <c r="BK2043" s="59">
        <f t="shared" si="2400"/>
        <v>0</v>
      </c>
      <c r="BL2043" s="86" cm="1">
        <f t="array" ref="BL2043">IFERROR(SUM(AW2043:INDEX(AW2043:BH2043, MATCH(2, 1/(AW2043:BH2043&lt;&gt;""), 1) - 1))/_xlfn.XLOOKUP(F2043,Apuração!A:A,Apuração!B:B),0)</f>
        <v>0</v>
      </c>
      <c r="BM2043" s="55" cm="1">
        <f t="array" ref="BM2043">IFERROR(
   INDEX($AW$1:$BH$1,
      _xlfn.AGGREGATE(14, 6, COLUMN($AW$1:$BH$1)/(AW2043:BH2043&lt;&gt;""), 2) - COLUMN($AW$1) + 1
   ),
"")</f>
        <v>46113</v>
      </c>
      <c r="BN2043" s="55" cm="1">
        <f t="array" ref="BN2043">IFERROR(INDEX($AW$1:$BH$1,1,MATCH(2,1/(AW2043:BH2043&lt;&gt;""))),"")</f>
        <v>46143</v>
      </c>
      <c r="BO2043" s="53">
        <f ca="1">IFERROR(_xlfn.XLOOKUP(F2043,Apuração!A:A,Apuração!C:C)/_xlfn.XLOOKUP(F2043,Apuração!A:A,Apuração!B:B),0)</f>
        <v>0.41666666666666669</v>
      </c>
      <c r="BP2043" s="53">
        <f ca="1">IFERROR(_xlfn.XLOOKUP(F2043,Apuração!A:A,Apuração!D:D)/_xlfn.XLOOKUP(F2043,Apuração!A:A,Apuração!B:B),0)</f>
        <v>0.33333333333333331</v>
      </c>
      <c r="BQ2043" s="53">
        <f ca="1">IF(BK2043&gt;=BO2043,0,_xlfn.XLOOKUP(F2043,Apuração!A:A,Apuração!B:B)*(BO2043 + (1/_xlfn.XLOOKUP(F2043,Apuração!A:A,Apuração!B:B)) - BK2043))</f>
        <v>6</v>
      </c>
      <c r="BR2043" s="85">
        <f t="shared" ca="1" si="2401"/>
        <v>0</v>
      </c>
      <c r="BS2043" s="53">
        <f ca="1">IFERROR((_xlfn.XLOOKUP(F2043,Apuração!A:A,Apuração!C:C)+1)/_xlfn.XLOOKUP(F2043,Apuração!A:A,Apuração!B:B),0)</f>
        <v>0.5</v>
      </c>
    </row>
    <row r="2044" spans="1:71" ht="25.95" hidden="1" customHeight="1" x14ac:dyDescent="0.3">
      <c r="A2044" s="40" t="s">
        <v>87</v>
      </c>
      <c r="B2044" s="4" t="s">
        <v>229</v>
      </c>
      <c r="C2044" s="5" t="s">
        <v>97</v>
      </c>
      <c r="D2044" s="5" t="s">
        <v>103</v>
      </c>
      <c r="E2044" s="4" t="str" cm="1">
        <f t="array" ref="E2044">_xlfn.IFS(
F2044 = "A partir de Abril", "Aguardando Execução na Distribuidora",
A2044 = "CAPACITAÇÃO", "Em execução no Corporativo",
TRUE, "Em Execução na Distribuidora"
)</f>
        <v>Em Execução na Distribuidora</v>
      </c>
      <c r="F2044" s="4" t="str" cm="1">
        <f t="array" ref="F2044">_xlfn.IFS(
AG2044 &lt;&gt; "", "Jan-Dez/26",
AH2044 &lt;&gt; "", "Fev-Dez/26",
AI2044 &lt;&gt; "", "Mar-Dez/26", AJ2044 &lt;&gt; "", "Abr-Dez/26",
TRUE, "A partir de Junho"
)</f>
        <v>Jan-Dez/26</v>
      </c>
      <c r="G2044" s="7" t="s">
        <v>37</v>
      </c>
      <c r="H2044" s="7" t="s">
        <v>38</v>
      </c>
      <c r="I2044" s="8" t="s">
        <v>148</v>
      </c>
      <c r="J2044" s="21" t="str" cm="1">
        <f t="array" aca="1" ref="J2044" ca="1">_xlfn.LET(
  _xlpm.actual_value_month, INDEX(T2044:AE2044, MATCH(DATE(YEAR(TODAY()), MONTH(TODAY()), 1), $T$1:$AE$1, 0)),
  IF(_xlpm.actual_value_month &lt;&gt; "",_xlpm.actual_value_month &amp; " ações mensais", "")
)</f>
        <v/>
      </c>
      <c r="K2044" s="8" t="str" cm="1">
        <f t="array" ref="K2044">_xlfn.LET(
    _xlpm.sum_month, SUM(T2044:AE2044),
    IF(_xlpm.sum_month = 0, "", _xlpm.sum_month &amp; " NC's no ano")
)</f>
        <v/>
      </c>
      <c r="L2044" s="9" t="s">
        <v>149</v>
      </c>
      <c r="M2044" s="4"/>
      <c r="N2044" s="5" t="s">
        <v>51</v>
      </c>
      <c r="O2044" s="5" t="s">
        <v>52</v>
      </c>
      <c r="P2044" s="10" t="s">
        <v>44</v>
      </c>
      <c r="Q2044" s="10" t="s">
        <v>44</v>
      </c>
      <c r="R2044" s="11" t="s">
        <v>44</v>
      </c>
      <c r="S2044" s="11" t="s">
        <v>44</v>
      </c>
      <c r="T2044" s="22"/>
      <c r="U2044" s="22"/>
      <c r="V2044" s="22"/>
      <c r="W2044" s="22"/>
      <c r="X2044" s="22"/>
      <c r="Y2044" s="22"/>
      <c r="Z2044" s="22"/>
      <c r="AA2044" s="22"/>
      <c r="AB2044" s="22"/>
      <c r="AC2044" s="22"/>
      <c r="AD2044" s="22"/>
      <c r="AE2044" s="22"/>
      <c r="AG2044" s="71">
        <v>0</v>
      </c>
      <c r="AH2044" s="71">
        <v>0</v>
      </c>
      <c r="AI2044" s="71">
        <v>0</v>
      </c>
      <c r="AJ2044" s="71">
        <v>0</v>
      </c>
      <c r="AK2044" s="71">
        <v>0</v>
      </c>
      <c r="AL2044" s="71"/>
      <c r="AM2044" s="71"/>
      <c r="AN2044" s="71"/>
      <c r="AO2044" s="71"/>
      <c r="AP2044" s="71"/>
      <c r="AQ2044" s="71"/>
      <c r="AR2044" s="71"/>
      <c r="AS2044" s="94">
        <f t="shared" ca="1" si="2393"/>
        <v>0</v>
      </c>
      <c r="AT2044" s="95">
        <f t="shared" si="2394"/>
        <v>0</v>
      </c>
      <c r="AU2044" s="97">
        <f t="shared" si="2395"/>
        <v>0</v>
      </c>
      <c r="AW2044" s="83">
        <f t="shared" si="2396"/>
        <v>0</v>
      </c>
      <c r="AX2044" s="83">
        <f t="shared" si="2397"/>
        <v>0</v>
      </c>
      <c r="AY2044" s="83">
        <f t="shared" si="2398"/>
        <v>0</v>
      </c>
      <c r="AZ2044" s="83">
        <f t="shared" si="2399"/>
        <v>0</v>
      </c>
      <c r="BA2044" s="83">
        <f t="shared" si="2402"/>
        <v>0</v>
      </c>
      <c r="BB2044" s="52"/>
      <c r="BC2044" s="52"/>
      <c r="BD2044" s="52"/>
      <c r="BE2044" s="52"/>
      <c r="BF2044" s="52"/>
      <c r="BG2044" s="52"/>
      <c r="BH2044" s="52"/>
      <c r="BI2044" s="68" cm="1">
        <f t="array" ref="BI2044">IFERROR(INDEX(AW2044:BH2044,1,MATCH(2,1/(AW2044:BH2044&lt;&gt;""))),"")</f>
        <v>0</v>
      </c>
      <c r="BJ2044" s="68" cm="1">
        <f t="array" ref="BJ2044">IF(BM2044 = "", "",IFERROR(INDEX(AW2044:BH2044,1,MATCH(2,1/(AW2044:BH2044&lt;&gt;""),1)-1),""))</f>
        <v>0</v>
      </c>
      <c r="BK2044" s="59">
        <f t="shared" si="2400"/>
        <v>0</v>
      </c>
      <c r="BL2044" s="86" cm="1">
        <f t="array" ref="BL2044">IFERROR(SUM(AW2044:INDEX(AW2044:BH2044, MATCH(2, 1/(AW2044:BH2044&lt;&gt;""), 1) - 1))/_xlfn.XLOOKUP(F2044,Apuração!A:A,Apuração!B:B),0)</f>
        <v>0</v>
      </c>
      <c r="BM2044" s="55" cm="1">
        <f t="array" ref="BM2044">IFERROR(
   INDEX($AW$1:$BH$1,
      _xlfn.AGGREGATE(14, 6, COLUMN($AW$1:$BH$1)/(AW2044:BH2044&lt;&gt;""), 2) - COLUMN($AW$1) + 1
   ),
"")</f>
        <v>46113</v>
      </c>
      <c r="BN2044" s="55" cm="1">
        <f t="array" ref="BN2044">IFERROR(INDEX($AW$1:$BH$1,1,MATCH(2,1/(AW2044:BH2044&lt;&gt;""))),"")</f>
        <v>46143</v>
      </c>
      <c r="BO2044" s="53">
        <f ca="1">IFERROR(_xlfn.XLOOKUP(F2044,Apuração!A:A,Apuração!C:C)/_xlfn.XLOOKUP(F2044,Apuração!A:A,Apuração!B:B),0)</f>
        <v>0.41666666666666669</v>
      </c>
      <c r="BP2044" s="53">
        <f ca="1">IFERROR(_xlfn.XLOOKUP(F2044,Apuração!A:A,Apuração!D:D)/_xlfn.XLOOKUP(F2044,Apuração!A:A,Apuração!B:B),0)</f>
        <v>0.33333333333333331</v>
      </c>
      <c r="BQ2044" s="53">
        <f ca="1">IF(BK2044&gt;=BO2044,0,_xlfn.XLOOKUP(F2044,Apuração!A:A,Apuração!B:B)*(BO2044 + (1/_xlfn.XLOOKUP(F2044,Apuração!A:A,Apuração!B:B)) - BK2044))</f>
        <v>6</v>
      </c>
      <c r="BR2044" s="85">
        <f t="shared" ca="1" si="2401"/>
        <v>0</v>
      </c>
      <c r="BS2044" s="53">
        <f ca="1">IFERROR((_xlfn.XLOOKUP(F2044,Apuração!A:A,Apuração!C:C)+1)/_xlfn.XLOOKUP(F2044,Apuração!A:A,Apuração!B:B),0)</f>
        <v>0.5</v>
      </c>
    </row>
    <row r="2045" spans="1:71" ht="25.95" hidden="1" customHeight="1" x14ac:dyDescent="0.3">
      <c r="A2045" s="40" t="s">
        <v>87</v>
      </c>
      <c r="B2045" s="4" t="s">
        <v>229</v>
      </c>
      <c r="C2045" s="5" t="s">
        <v>97</v>
      </c>
      <c r="D2045" s="5" t="s">
        <v>104</v>
      </c>
      <c r="E2045" s="4" t="str" cm="1">
        <f t="array" ref="E2045">_xlfn.IFS(
F2045 = "A partir de Abril", "Aguardando Execução na Distribuidora",
A2045 = "CAPACITAÇÃO", "Em execução no Corporativo",
TRUE, "Em Execução na Distribuidora"
)</f>
        <v>Em Execução na Distribuidora</v>
      </c>
      <c r="F2045" s="4" t="str" cm="1">
        <f t="array" ref="F2045">_xlfn.IFS(
AG2045 &lt;&gt; "", "Jan-Dez/26",
AH2045 &lt;&gt; "", "Fev-Dez/26",
AI2045 &lt;&gt; "", "Mar-Dez/26", AJ2045 &lt;&gt; "", "Abr-Dez/26",
TRUE, "A partir de Junho"
)</f>
        <v>Jan-Dez/26</v>
      </c>
      <c r="G2045" s="7" t="s">
        <v>37</v>
      </c>
      <c r="H2045" s="7" t="s">
        <v>38</v>
      </c>
      <c r="I2045" s="8" t="s">
        <v>148</v>
      </c>
      <c r="J2045" s="21" t="str" cm="1">
        <f t="array" aca="1" ref="J2045" ca="1">_xlfn.LET(
  _xlpm.actual_value_month, INDEX(T2045:AE2045, MATCH(DATE(YEAR(TODAY()), MONTH(TODAY()), 1), $T$1:$AE$1, 0)),
  IF(_xlpm.actual_value_month &lt;&gt; "",_xlpm.actual_value_month &amp; " ações mensais", "")
)</f>
        <v/>
      </c>
      <c r="K2045" s="8" t="str" cm="1">
        <f t="array" ref="K2045">_xlfn.LET(
    _xlpm.sum_month, SUM(T2045:AE2045),
    IF(_xlpm.sum_month = 0, "", _xlpm.sum_month &amp; " NC's no ano")
)</f>
        <v/>
      </c>
      <c r="L2045" s="9" t="s">
        <v>149</v>
      </c>
      <c r="M2045" s="4"/>
      <c r="N2045" s="5" t="s">
        <v>51</v>
      </c>
      <c r="O2045" s="5" t="s">
        <v>52</v>
      </c>
      <c r="P2045" s="10" t="s">
        <v>44</v>
      </c>
      <c r="Q2045" s="10" t="s">
        <v>44</v>
      </c>
      <c r="R2045" s="11" t="s">
        <v>44</v>
      </c>
      <c r="S2045" s="11" t="s">
        <v>44</v>
      </c>
      <c r="T2045" s="22"/>
      <c r="U2045" s="22"/>
      <c r="V2045" s="22"/>
      <c r="W2045" s="22"/>
      <c r="X2045" s="22"/>
      <c r="Y2045" s="22"/>
      <c r="Z2045" s="22"/>
      <c r="AA2045" s="22"/>
      <c r="AB2045" s="22"/>
      <c r="AC2045" s="22"/>
      <c r="AD2045" s="22"/>
      <c r="AE2045" s="22"/>
      <c r="AG2045" s="71">
        <v>0</v>
      </c>
      <c r="AH2045" s="71">
        <v>0</v>
      </c>
      <c r="AI2045" s="71">
        <v>0</v>
      </c>
      <c r="AJ2045" s="71">
        <v>0</v>
      </c>
      <c r="AK2045" s="71">
        <v>0</v>
      </c>
      <c r="AL2045" s="71"/>
      <c r="AM2045" s="71"/>
      <c r="AN2045" s="71"/>
      <c r="AO2045" s="71"/>
      <c r="AP2045" s="71"/>
      <c r="AQ2045" s="71"/>
      <c r="AR2045" s="71"/>
      <c r="AS2045" s="94">
        <f t="shared" ca="1" si="2393"/>
        <v>0</v>
      </c>
      <c r="AT2045" s="95">
        <f t="shared" si="2394"/>
        <v>0</v>
      </c>
      <c r="AU2045" s="97">
        <f t="shared" si="2395"/>
        <v>0</v>
      </c>
      <c r="AW2045" s="83">
        <f t="shared" si="2396"/>
        <v>0</v>
      </c>
      <c r="AX2045" s="83">
        <f t="shared" si="2397"/>
        <v>0</v>
      </c>
      <c r="AY2045" s="83">
        <f t="shared" si="2398"/>
        <v>0</v>
      </c>
      <c r="AZ2045" s="83">
        <f t="shared" si="2399"/>
        <v>0</v>
      </c>
      <c r="BA2045" s="83">
        <f t="shared" si="2402"/>
        <v>0</v>
      </c>
      <c r="BB2045" s="52"/>
      <c r="BC2045" s="52"/>
      <c r="BD2045" s="52"/>
      <c r="BE2045" s="52"/>
      <c r="BF2045" s="52"/>
      <c r="BG2045" s="52"/>
      <c r="BH2045" s="52"/>
      <c r="BI2045" s="68" cm="1">
        <f t="array" ref="BI2045">IFERROR(INDEX(AW2045:BH2045,1,MATCH(2,1/(AW2045:BH2045&lt;&gt;""))),"")</f>
        <v>0</v>
      </c>
      <c r="BJ2045" s="68" cm="1">
        <f t="array" ref="BJ2045">IF(BM2045 = "", "",IFERROR(INDEX(AW2045:BH2045,1,MATCH(2,1/(AW2045:BH2045&lt;&gt;""),1)-1),""))</f>
        <v>0</v>
      </c>
      <c r="BK2045" s="59">
        <f t="shared" si="2400"/>
        <v>0</v>
      </c>
      <c r="BL2045" s="86" cm="1">
        <f t="array" ref="BL2045">IFERROR(SUM(AW2045:INDEX(AW2045:BH2045, MATCH(2, 1/(AW2045:BH2045&lt;&gt;""), 1) - 1))/_xlfn.XLOOKUP(F2045,Apuração!A:A,Apuração!B:B),0)</f>
        <v>0</v>
      </c>
      <c r="BM2045" s="55" cm="1">
        <f t="array" ref="BM2045">IFERROR(
   INDEX($AW$1:$BH$1,
      _xlfn.AGGREGATE(14, 6, COLUMN($AW$1:$BH$1)/(AW2045:BH2045&lt;&gt;""), 2) - COLUMN($AW$1) + 1
   ),
"")</f>
        <v>46113</v>
      </c>
      <c r="BN2045" s="55" cm="1">
        <f t="array" ref="BN2045">IFERROR(INDEX($AW$1:$BH$1,1,MATCH(2,1/(AW2045:BH2045&lt;&gt;""))),"")</f>
        <v>46143</v>
      </c>
      <c r="BO2045" s="53">
        <f ca="1">IFERROR(_xlfn.XLOOKUP(F2045,Apuração!A:A,Apuração!C:C)/_xlfn.XLOOKUP(F2045,Apuração!A:A,Apuração!B:B),0)</f>
        <v>0.41666666666666669</v>
      </c>
      <c r="BP2045" s="53">
        <f ca="1">IFERROR(_xlfn.XLOOKUP(F2045,Apuração!A:A,Apuração!D:D)/_xlfn.XLOOKUP(F2045,Apuração!A:A,Apuração!B:B),0)</f>
        <v>0.33333333333333331</v>
      </c>
      <c r="BQ2045" s="53">
        <f ca="1">IF(BK2045&gt;=BO2045,0,_xlfn.XLOOKUP(F2045,Apuração!A:A,Apuração!B:B)*(BO2045 + (1/_xlfn.XLOOKUP(F2045,Apuração!A:A,Apuração!B:B)) - BK2045))</f>
        <v>6</v>
      </c>
      <c r="BR2045" s="85">
        <f t="shared" ca="1" si="2401"/>
        <v>0</v>
      </c>
      <c r="BS2045" s="53">
        <f ca="1">IFERROR((_xlfn.XLOOKUP(F2045,Apuração!A:A,Apuração!C:C)+1)/_xlfn.XLOOKUP(F2045,Apuração!A:A,Apuração!B:B),0)</f>
        <v>0.5</v>
      </c>
    </row>
    <row r="2046" spans="1:71" ht="25.95" hidden="1" customHeight="1" x14ac:dyDescent="0.3">
      <c r="A2046" s="40" t="s">
        <v>87</v>
      </c>
      <c r="B2046" s="4" t="s">
        <v>229</v>
      </c>
      <c r="C2046" s="5" t="s">
        <v>97</v>
      </c>
      <c r="D2046" s="5" t="s">
        <v>105</v>
      </c>
      <c r="E2046" s="4" t="str" cm="1">
        <f t="array" ref="E2046">_xlfn.IFS(
F2046 = "A partir de Abril", "Aguardando Execução na Distribuidora",
A2046 = "CAPACITAÇÃO", "Em execução no Corporativo",
TRUE, "Em Execução na Distribuidora"
)</f>
        <v>Em Execução na Distribuidora</v>
      </c>
      <c r="F2046" s="4" t="str" cm="1">
        <f t="array" ref="F2046">_xlfn.IFS(
AG2046 &lt;&gt; "", "Jan-Dez/26",
AH2046 &lt;&gt; "", "Fev-Dez/26",
AI2046 &lt;&gt; "", "Mar-Dez/26", AJ2046 &lt;&gt; "", "Abr-Dez/26",
TRUE, "A partir de Junho"
)</f>
        <v>Jan-Dez/26</v>
      </c>
      <c r="G2046" s="7" t="s">
        <v>37</v>
      </c>
      <c r="H2046" s="7" t="s">
        <v>38</v>
      </c>
      <c r="I2046" s="8" t="s">
        <v>148</v>
      </c>
      <c r="J2046" s="21" t="str" cm="1">
        <f t="array" aca="1" ref="J2046" ca="1">_xlfn.LET(
  _xlpm.actual_value_month, INDEX(T2046:AE2046, MATCH(DATE(YEAR(TODAY()), MONTH(TODAY()), 1), $T$1:$AE$1, 0)),
  IF(_xlpm.actual_value_month &lt;&gt; "",_xlpm.actual_value_month &amp; " ações mensais", "")
)</f>
        <v/>
      </c>
      <c r="K2046" s="8" t="str" cm="1">
        <f t="array" ref="K2046">_xlfn.LET(
    _xlpm.sum_month, SUM(T2046:AE2046),
    IF(_xlpm.sum_month = 0, "", _xlpm.sum_month &amp; " NC's no ano")
)</f>
        <v/>
      </c>
      <c r="L2046" s="9" t="s">
        <v>149</v>
      </c>
      <c r="M2046" s="4"/>
      <c r="N2046" s="5" t="s">
        <v>51</v>
      </c>
      <c r="O2046" s="5" t="s">
        <v>52</v>
      </c>
      <c r="P2046" s="10" t="s">
        <v>44</v>
      </c>
      <c r="Q2046" s="10" t="s">
        <v>44</v>
      </c>
      <c r="R2046" s="11" t="s">
        <v>44</v>
      </c>
      <c r="S2046" s="11" t="s">
        <v>44</v>
      </c>
      <c r="T2046" s="22"/>
      <c r="U2046" s="22"/>
      <c r="V2046" s="22"/>
      <c r="W2046" s="22"/>
      <c r="X2046" s="22"/>
      <c r="Y2046" s="22"/>
      <c r="Z2046" s="22"/>
      <c r="AA2046" s="22"/>
      <c r="AB2046" s="22"/>
      <c r="AC2046" s="22"/>
      <c r="AD2046" s="22"/>
      <c r="AE2046" s="22"/>
      <c r="AG2046" s="71">
        <v>0</v>
      </c>
      <c r="AH2046" s="71">
        <v>0</v>
      </c>
      <c r="AI2046" s="71">
        <v>0</v>
      </c>
      <c r="AJ2046" s="71">
        <v>0</v>
      </c>
      <c r="AK2046" s="71">
        <v>0</v>
      </c>
      <c r="AL2046" s="71"/>
      <c r="AM2046" s="71"/>
      <c r="AN2046" s="71"/>
      <c r="AO2046" s="71"/>
      <c r="AP2046" s="71"/>
      <c r="AQ2046" s="71"/>
      <c r="AR2046" s="71"/>
      <c r="AS2046" s="94">
        <f t="shared" ca="1" si="2393"/>
        <v>0</v>
      </c>
      <c r="AT2046" s="95">
        <f t="shared" si="2394"/>
        <v>0</v>
      </c>
      <c r="AU2046" s="97">
        <f t="shared" si="2395"/>
        <v>0</v>
      </c>
      <c r="AW2046" s="83">
        <f t="shared" si="2396"/>
        <v>0</v>
      </c>
      <c r="AX2046" s="83">
        <f t="shared" si="2397"/>
        <v>0</v>
      </c>
      <c r="AY2046" s="83">
        <f t="shared" si="2398"/>
        <v>0</v>
      </c>
      <c r="AZ2046" s="83">
        <f t="shared" si="2399"/>
        <v>0</v>
      </c>
      <c r="BA2046" s="83">
        <f t="shared" si="2402"/>
        <v>0</v>
      </c>
      <c r="BB2046" s="52"/>
      <c r="BC2046" s="52"/>
      <c r="BD2046" s="52"/>
      <c r="BE2046" s="52"/>
      <c r="BF2046" s="52"/>
      <c r="BG2046" s="52"/>
      <c r="BH2046" s="52"/>
      <c r="BI2046" s="68" cm="1">
        <f t="array" ref="BI2046">IFERROR(INDEX(AW2046:BH2046,1,MATCH(2,1/(AW2046:BH2046&lt;&gt;""))),"")</f>
        <v>0</v>
      </c>
      <c r="BJ2046" s="68" cm="1">
        <f t="array" ref="BJ2046">IF(BM2046 = "", "",IFERROR(INDEX(AW2046:BH2046,1,MATCH(2,1/(AW2046:BH2046&lt;&gt;""),1)-1),""))</f>
        <v>0</v>
      </c>
      <c r="BK2046" s="59">
        <f t="shared" si="2400"/>
        <v>0</v>
      </c>
      <c r="BL2046" s="86" cm="1">
        <f t="array" ref="BL2046">IFERROR(SUM(AW2046:INDEX(AW2046:BH2046, MATCH(2, 1/(AW2046:BH2046&lt;&gt;""), 1) - 1))/_xlfn.XLOOKUP(F2046,Apuração!A:A,Apuração!B:B),0)</f>
        <v>0</v>
      </c>
      <c r="BM2046" s="55" cm="1">
        <f t="array" ref="BM2046">IFERROR(
   INDEX($AW$1:$BH$1,
      _xlfn.AGGREGATE(14, 6, COLUMN($AW$1:$BH$1)/(AW2046:BH2046&lt;&gt;""), 2) - COLUMN($AW$1) + 1
   ),
"")</f>
        <v>46113</v>
      </c>
      <c r="BN2046" s="55" cm="1">
        <f t="array" ref="BN2046">IFERROR(INDEX($AW$1:$BH$1,1,MATCH(2,1/(AW2046:BH2046&lt;&gt;""))),"")</f>
        <v>46143</v>
      </c>
      <c r="BO2046" s="53">
        <f ca="1">IFERROR(_xlfn.XLOOKUP(F2046,Apuração!A:A,Apuração!C:C)/_xlfn.XLOOKUP(F2046,Apuração!A:A,Apuração!B:B),0)</f>
        <v>0.41666666666666669</v>
      </c>
      <c r="BP2046" s="53">
        <f ca="1">IFERROR(_xlfn.XLOOKUP(F2046,Apuração!A:A,Apuração!D:D)/_xlfn.XLOOKUP(F2046,Apuração!A:A,Apuração!B:B),0)</f>
        <v>0.33333333333333331</v>
      </c>
      <c r="BQ2046" s="53">
        <f ca="1">IF(BK2046&gt;=BO2046,0,_xlfn.XLOOKUP(F2046,Apuração!A:A,Apuração!B:B)*(BO2046 + (1/_xlfn.XLOOKUP(F2046,Apuração!A:A,Apuração!B:B)) - BK2046))</f>
        <v>6</v>
      </c>
      <c r="BR2046" s="85">
        <f t="shared" ca="1" si="2401"/>
        <v>0</v>
      </c>
      <c r="BS2046" s="53">
        <f ca="1">IFERROR((_xlfn.XLOOKUP(F2046,Apuração!A:A,Apuração!C:C)+1)/_xlfn.XLOOKUP(F2046,Apuração!A:A,Apuração!B:B),0)</f>
        <v>0.5</v>
      </c>
    </row>
    <row r="2047" spans="1:71" ht="25.95" hidden="1" customHeight="1" x14ac:dyDescent="0.3">
      <c r="A2047" s="40" t="s">
        <v>87</v>
      </c>
      <c r="B2047" s="4" t="s">
        <v>229</v>
      </c>
      <c r="C2047" s="5" t="s">
        <v>97</v>
      </c>
      <c r="D2047" s="5" t="s">
        <v>106</v>
      </c>
      <c r="E2047" s="4" t="str" cm="1">
        <f t="array" ref="E2047">_xlfn.IFS(
F2047 = "A partir de Abril", "Aguardando Execução na Distribuidora",
A2047 = "CAPACITAÇÃO", "Em execução no Corporativo",
TRUE, "Em Execução na Distribuidora"
)</f>
        <v>Em Execução na Distribuidora</v>
      </c>
      <c r="F2047" s="4" t="str" cm="1">
        <f t="array" ref="F2047">_xlfn.IFS(
AG2047 &lt;&gt; "", "Jan-Dez/26",
AH2047 &lt;&gt; "", "Fev-Dez/26",
AI2047 &lt;&gt; "", "Mar-Dez/26", AJ2047 &lt;&gt; "", "Abr-Dez/26",
TRUE, "A partir de Junho"
)</f>
        <v>Jan-Dez/26</v>
      </c>
      <c r="G2047" s="7" t="s">
        <v>37</v>
      </c>
      <c r="H2047" s="7" t="s">
        <v>38</v>
      </c>
      <c r="I2047" s="8" t="s">
        <v>148</v>
      </c>
      <c r="J2047" s="21" t="str" cm="1">
        <f t="array" aca="1" ref="J2047" ca="1">_xlfn.LET(
  _xlpm.actual_value_month, INDEX(T2047:AE2047, MATCH(DATE(YEAR(TODAY()), MONTH(TODAY()), 1), $T$1:$AE$1, 0)),
  IF(_xlpm.actual_value_month &lt;&gt; "",_xlpm.actual_value_month &amp; " ações mensais", "")
)</f>
        <v/>
      </c>
      <c r="K2047" s="8" t="str" cm="1">
        <f t="array" ref="K2047">_xlfn.LET(
    _xlpm.sum_month, SUM(T2047:AE2047),
    IF(_xlpm.sum_month = 0, "", _xlpm.sum_month &amp; " NC's no ano")
)</f>
        <v/>
      </c>
      <c r="L2047" s="9" t="s">
        <v>149</v>
      </c>
      <c r="M2047" s="4"/>
      <c r="N2047" s="5" t="s">
        <v>51</v>
      </c>
      <c r="O2047" s="5" t="s">
        <v>52</v>
      </c>
      <c r="P2047" s="10" t="s">
        <v>44</v>
      </c>
      <c r="Q2047" s="10" t="s">
        <v>44</v>
      </c>
      <c r="R2047" s="11" t="s">
        <v>44</v>
      </c>
      <c r="S2047" s="11" t="s">
        <v>44</v>
      </c>
      <c r="T2047" s="22"/>
      <c r="U2047" s="22"/>
      <c r="V2047" s="22"/>
      <c r="W2047" s="22"/>
      <c r="X2047" s="22"/>
      <c r="Y2047" s="22"/>
      <c r="Z2047" s="22"/>
      <c r="AA2047" s="22"/>
      <c r="AB2047" s="22"/>
      <c r="AC2047" s="22"/>
      <c r="AD2047" s="22"/>
      <c r="AE2047" s="22"/>
      <c r="AG2047" s="71">
        <v>0</v>
      </c>
      <c r="AH2047" s="71">
        <v>1</v>
      </c>
      <c r="AI2047" s="71">
        <v>0</v>
      </c>
      <c r="AJ2047" s="71">
        <v>0</v>
      </c>
      <c r="AK2047" s="71">
        <v>0</v>
      </c>
      <c r="AL2047" s="71"/>
      <c r="AM2047" s="71"/>
      <c r="AN2047" s="71"/>
      <c r="AO2047" s="71"/>
      <c r="AP2047" s="71"/>
      <c r="AQ2047" s="71"/>
      <c r="AR2047" s="71"/>
      <c r="AS2047" s="94">
        <f t="shared" ca="1" si="2393"/>
        <v>0</v>
      </c>
      <c r="AT2047" s="95">
        <f t="shared" si="2394"/>
        <v>1</v>
      </c>
      <c r="AU2047" s="97">
        <f t="shared" si="2395"/>
        <v>1</v>
      </c>
      <c r="AW2047" s="83">
        <f t="shared" si="2396"/>
        <v>0</v>
      </c>
      <c r="AX2047" s="83">
        <f t="shared" si="2397"/>
        <v>1</v>
      </c>
      <c r="AY2047" s="83">
        <f t="shared" si="2398"/>
        <v>0</v>
      </c>
      <c r="AZ2047" s="83">
        <f t="shared" si="2399"/>
        <v>0</v>
      </c>
      <c r="BA2047" s="83">
        <f t="shared" si="2402"/>
        <v>0</v>
      </c>
      <c r="BB2047" s="52"/>
      <c r="BC2047" s="52"/>
      <c r="BD2047" s="52"/>
      <c r="BE2047" s="52"/>
      <c r="BF2047" s="52"/>
      <c r="BG2047" s="52"/>
      <c r="BH2047" s="52"/>
      <c r="BI2047" s="68" cm="1">
        <f t="array" ref="BI2047">IFERROR(INDEX(AW2047:BH2047,1,MATCH(2,1/(AW2047:BH2047&lt;&gt;""))),"")</f>
        <v>0</v>
      </c>
      <c r="BJ2047" s="68" cm="1">
        <f t="array" ref="BJ2047">IF(BM2047 = "", "",IFERROR(INDEX(AW2047:BH2047,1,MATCH(2,1/(AW2047:BH2047&lt;&gt;""),1)-1),""))</f>
        <v>0</v>
      </c>
      <c r="BK2047" s="59">
        <f t="shared" si="2400"/>
        <v>1</v>
      </c>
      <c r="BL2047" s="86" cm="1">
        <f t="array" ref="BL2047">IFERROR(SUM(AW2047:INDEX(AW2047:BH2047, MATCH(2, 1/(AW2047:BH2047&lt;&gt;""), 1) - 1))/_xlfn.XLOOKUP(F2047,Apuração!A:A,Apuração!B:B),0)</f>
        <v>8.3333333333333329E-2</v>
      </c>
      <c r="BM2047" s="55" cm="1">
        <f t="array" ref="BM2047">IFERROR(
   INDEX($AW$1:$BH$1,
      _xlfn.AGGREGATE(14, 6, COLUMN($AW$1:$BH$1)/(AW2047:BH2047&lt;&gt;""), 2) - COLUMN($AW$1) + 1
   ),
"")</f>
        <v>46113</v>
      </c>
      <c r="BN2047" s="55" cm="1">
        <f t="array" ref="BN2047">IFERROR(INDEX($AW$1:$BH$1,1,MATCH(2,1/(AW2047:BH2047&lt;&gt;""))),"")</f>
        <v>46143</v>
      </c>
      <c r="BO2047" s="53">
        <f ca="1">IFERROR(_xlfn.XLOOKUP(F2047,Apuração!A:A,Apuração!C:C)/_xlfn.XLOOKUP(F2047,Apuração!A:A,Apuração!B:B),0)</f>
        <v>0.41666666666666669</v>
      </c>
      <c r="BP2047" s="53">
        <f ca="1">IFERROR(_xlfn.XLOOKUP(F2047,Apuração!A:A,Apuração!D:D)/_xlfn.XLOOKUP(F2047,Apuração!A:A,Apuração!B:B),0)</f>
        <v>0.33333333333333331</v>
      </c>
      <c r="BQ2047" s="53">
        <f ca="1">IF(BK2047&gt;=BO2047,0,_xlfn.XLOOKUP(F2047,Apuração!A:A,Apuração!B:B)*(BO2047 + (1/_xlfn.XLOOKUP(F2047,Apuração!A:A,Apuração!B:B)) - BK2047))</f>
        <v>0</v>
      </c>
      <c r="BR2047" s="85">
        <f t="shared" ca="1" si="2401"/>
        <v>0</v>
      </c>
      <c r="BS2047" s="53">
        <f ca="1">IFERROR((_xlfn.XLOOKUP(F2047,Apuração!A:A,Apuração!C:C)+1)/_xlfn.XLOOKUP(F2047,Apuração!A:A,Apuração!B:B),0)</f>
        <v>0.5</v>
      </c>
    </row>
    <row r="2048" spans="1:71" ht="25.95" hidden="1" customHeight="1" x14ac:dyDescent="0.3">
      <c r="A2048" s="40" t="s">
        <v>87</v>
      </c>
      <c r="B2048" s="4" t="s">
        <v>229</v>
      </c>
      <c r="C2048" s="5" t="s">
        <v>97</v>
      </c>
      <c r="D2048" s="5" t="s">
        <v>107</v>
      </c>
      <c r="E2048" s="4" t="str" cm="1">
        <f t="array" ref="E2048">_xlfn.IFS(
F2048 = "A partir de Abril", "Aguardando Execução na Distribuidora",
A2048 = "CAPACITAÇÃO", "Em execução no Corporativo",
TRUE, "Em Execução na Distribuidora"
)</f>
        <v>Em Execução na Distribuidora</v>
      </c>
      <c r="F2048" s="4" t="str" cm="1">
        <f t="array" ref="F2048">_xlfn.IFS(
AG2048 &lt;&gt; "", "Jan-Dez/26",
AH2048 &lt;&gt; "", "Fev-Dez/26",
AI2048 &lt;&gt; "", "Mar-Dez/26", AJ2048 &lt;&gt; "", "Abr-Dez/26",
TRUE, "A partir de Junho"
)</f>
        <v>Jan-Dez/26</v>
      </c>
      <c r="G2048" s="7" t="s">
        <v>37</v>
      </c>
      <c r="H2048" s="7" t="s">
        <v>38</v>
      </c>
      <c r="I2048" s="8" t="s">
        <v>148</v>
      </c>
      <c r="J2048" s="21" t="str" cm="1">
        <f t="array" aca="1" ref="J2048" ca="1">_xlfn.LET(
  _xlpm.actual_value_month, INDEX(T2048:AE2048, MATCH(DATE(YEAR(TODAY()), MONTH(TODAY()), 1), $T$1:$AE$1, 0)),
  IF(_xlpm.actual_value_month &lt;&gt; "",_xlpm.actual_value_month &amp; " ações mensais", "")
)</f>
        <v/>
      </c>
      <c r="K2048" s="8" t="str" cm="1">
        <f t="array" ref="K2048">_xlfn.LET(
    _xlpm.sum_month, SUM(T2048:AE2048),
    IF(_xlpm.sum_month = 0, "", _xlpm.sum_month &amp; " NC's no ano")
)</f>
        <v/>
      </c>
      <c r="L2048" s="9" t="s">
        <v>149</v>
      </c>
      <c r="M2048" s="4"/>
      <c r="N2048" s="5" t="s">
        <v>51</v>
      </c>
      <c r="O2048" s="5" t="s">
        <v>52</v>
      </c>
      <c r="P2048" s="10" t="s">
        <v>44</v>
      </c>
      <c r="Q2048" s="10" t="s">
        <v>44</v>
      </c>
      <c r="R2048" s="11" t="s">
        <v>44</v>
      </c>
      <c r="S2048" s="11" t="s">
        <v>44</v>
      </c>
      <c r="T2048" s="22"/>
      <c r="U2048" s="22"/>
      <c r="V2048" s="22"/>
      <c r="W2048" s="22"/>
      <c r="X2048" s="22"/>
      <c r="Y2048" s="22"/>
      <c r="Z2048" s="22"/>
      <c r="AA2048" s="22"/>
      <c r="AB2048" s="22"/>
      <c r="AC2048" s="22"/>
      <c r="AD2048" s="22"/>
      <c r="AE2048" s="22"/>
      <c r="AG2048" s="71">
        <v>0</v>
      </c>
      <c r="AH2048" s="71">
        <v>0</v>
      </c>
      <c r="AI2048" s="71">
        <v>0</v>
      </c>
      <c r="AJ2048" s="71">
        <v>0</v>
      </c>
      <c r="AK2048" s="71">
        <v>0</v>
      </c>
      <c r="AL2048" s="71"/>
      <c r="AM2048" s="71"/>
      <c r="AN2048" s="71"/>
      <c r="AO2048" s="71"/>
      <c r="AP2048" s="71"/>
      <c r="AQ2048" s="71"/>
      <c r="AR2048" s="71"/>
      <c r="AS2048" s="94">
        <f t="shared" ca="1" si="2393"/>
        <v>0</v>
      </c>
      <c r="AT2048" s="95">
        <f t="shared" si="2394"/>
        <v>0</v>
      </c>
      <c r="AU2048" s="97">
        <f t="shared" si="2395"/>
        <v>0</v>
      </c>
      <c r="AW2048" s="83">
        <f t="shared" si="2396"/>
        <v>0</v>
      </c>
      <c r="AX2048" s="83">
        <f t="shared" si="2397"/>
        <v>0</v>
      </c>
      <c r="AY2048" s="83">
        <f t="shared" si="2398"/>
        <v>0</v>
      </c>
      <c r="AZ2048" s="83">
        <f t="shared" si="2399"/>
        <v>0</v>
      </c>
      <c r="BA2048" s="83">
        <f t="shared" si="2402"/>
        <v>0</v>
      </c>
      <c r="BB2048" s="52"/>
      <c r="BC2048" s="52"/>
      <c r="BD2048" s="52"/>
      <c r="BE2048" s="52"/>
      <c r="BF2048" s="52"/>
      <c r="BG2048" s="52"/>
      <c r="BH2048" s="52"/>
      <c r="BI2048" s="68" cm="1">
        <f t="array" ref="BI2048">IFERROR(INDEX(AW2048:BH2048,1,MATCH(2,1/(AW2048:BH2048&lt;&gt;""))),"")</f>
        <v>0</v>
      </c>
      <c r="BJ2048" s="68" cm="1">
        <f t="array" ref="BJ2048">IF(BM2048 = "", "",IFERROR(INDEX(AW2048:BH2048,1,MATCH(2,1/(AW2048:BH2048&lt;&gt;""),1)-1),""))</f>
        <v>0</v>
      </c>
      <c r="BK2048" s="59">
        <f t="shared" si="2400"/>
        <v>0</v>
      </c>
      <c r="BL2048" s="86" cm="1">
        <f t="array" ref="BL2048">IFERROR(SUM(AW2048:INDEX(AW2048:BH2048, MATCH(2, 1/(AW2048:BH2048&lt;&gt;""), 1) - 1))/_xlfn.XLOOKUP(F2048,Apuração!A:A,Apuração!B:B),0)</f>
        <v>0</v>
      </c>
      <c r="BM2048" s="55" cm="1">
        <f t="array" ref="BM2048">IFERROR(
   INDEX($AW$1:$BH$1,
      _xlfn.AGGREGATE(14, 6, COLUMN($AW$1:$BH$1)/(AW2048:BH2048&lt;&gt;""), 2) - COLUMN($AW$1) + 1
   ),
"")</f>
        <v>46113</v>
      </c>
      <c r="BN2048" s="55" cm="1">
        <f t="array" ref="BN2048">IFERROR(INDEX($AW$1:$BH$1,1,MATCH(2,1/(AW2048:BH2048&lt;&gt;""))),"")</f>
        <v>46143</v>
      </c>
      <c r="BO2048" s="53">
        <f ca="1">IFERROR(_xlfn.XLOOKUP(F2048,Apuração!A:A,Apuração!C:C)/_xlfn.XLOOKUP(F2048,Apuração!A:A,Apuração!B:B),0)</f>
        <v>0.41666666666666669</v>
      </c>
      <c r="BP2048" s="53">
        <f ca="1">IFERROR(_xlfn.XLOOKUP(F2048,Apuração!A:A,Apuração!D:D)/_xlfn.XLOOKUP(F2048,Apuração!A:A,Apuração!B:B),0)</f>
        <v>0.33333333333333331</v>
      </c>
      <c r="BQ2048" s="53">
        <f ca="1">IF(BK2048&gt;=BO2048,0,_xlfn.XLOOKUP(F2048,Apuração!A:A,Apuração!B:B)*(BO2048 + (1/_xlfn.XLOOKUP(F2048,Apuração!A:A,Apuração!B:B)) - BK2048))</f>
        <v>6</v>
      </c>
      <c r="BR2048" s="85">
        <f t="shared" ca="1" si="2401"/>
        <v>0</v>
      </c>
      <c r="BS2048" s="53">
        <f ca="1">IFERROR((_xlfn.XLOOKUP(F2048,Apuração!A:A,Apuração!C:C)+1)/_xlfn.XLOOKUP(F2048,Apuração!A:A,Apuração!B:B),0)</f>
        <v>0.5</v>
      </c>
    </row>
    <row r="2049" spans="1:71" ht="25.95" hidden="1" customHeight="1" x14ac:dyDescent="0.3">
      <c r="A2049" s="20" t="s">
        <v>87</v>
      </c>
      <c r="B2049" s="4" t="s">
        <v>232</v>
      </c>
      <c r="C2049" s="5" t="s">
        <v>97</v>
      </c>
      <c r="D2049" s="5" t="s">
        <v>36</v>
      </c>
      <c r="E2049" s="4" t="str" cm="1">
        <f t="array" ref="E2049">_xlfn.IFS(
F2049 = "A partir de Abril", "Aguardando Execução na Distribuidora",
A2049 = "CAPACITAÇÃO", "Em execução no Corporativo",
TRUE, "Em Execução na Distribuidora"
)</f>
        <v>Em Execução na Distribuidora</v>
      </c>
      <c r="F2049" s="4" t="str" cm="1">
        <f t="array" ref="F2049">_xlfn.IFS(
AG2049 &lt;&gt; "", "Jan-Dez/26",
AH2049 &lt;&gt; "", "Fev-Dez/26",
AI2049 &lt;&gt; "", "Mar-Dez/26", AJ2049 &lt;&gt; "", "Abr-Dez/26",
TRUE, "A partir de Junho"
)</f>
        <v>Jan-Dez/26</v>
      </c>
      <c r="G2049" s="7" t="s">
        <v>37</v>
      </c>
      <c r="H2049" s="7" t="s">
        <v>110</v>
      </c>
      <c r="I2049" s="21" t="s">
        <v>233</v>
      </c>
      <c r="J2049" s="21" t="str" cm="1">
        <f t="array" aca="1" ref="J2049" ca="1">_xlfn.LET(
  _xlpm.actual_value_month, INDEX(T2049:AE2049, MATCH(DATE(YEAR(TODAY()), MONTH(TODAY()), 1), $T$1:$AE$1, 0)),
  IF(_xlpm.actual_value_month &lt;&gt; "",_xlpm.actual_value_month &amp; " equipes mensais", "")
)</f>
        <v>172 equipes mensais</v>
      </c>
      <c r="K2049" s="8" t="str" cm="1">
        <f t="array" ref="K2049">_xlfn.LET(
    _xlpm.sum_month, SUM(T2049:AE2049),
    IF(_xlpm.sum_month = 0, "", _xlpm.sum_month &amp; " equipes alcançadas no ano")
)</f>
        <v>1728 equipes alcançadas no ano</v>
      </c>
      <c r="L2049" s="4" t="s">
        <v>234</v>
      </c>
      <c r="M2049" s="19" t="s">
        <v>235</v>
      </c>
      <c r="N2049" s="5" t="s">
        <v>42</v>
      </c>
      <c r="O2049" s="5" t="s">
        <v>43</v>
      </c>
      <c r="P2049" s="10" t="s">
        <v>44</v>
      </c>
      <c r="Q2049" s="10" t="s">
        <v>44</v>
      </c>
      <c r="R2049" s="11" t="s">
        <v>147</v>
      </c>
      <c r="S2049" s="11" t="s">
        <v>162</v>
      </c>
      <c r="T2049" s="22">
        <v>69</v>
      </c>
      <c r="U2049" s="22">
        <v>65</v>
      </c>
      <c r="V2049" s="22">
        <v>46</v>
      </c>
      <c r="W2049" s="22">
        <v>172</v>
      </c>
      <c r="X2049" s="22">
        <v>172</v>
      </c>
      <c r="Y2049" s="22">
        <v>172</v>
      </c>
      <c r="Z2049" s="22">
        <v>172</v>
      </c>
      <c r="AA2049" s="22">
        <v>172</v>
      </c>
      <c r="AB2049" s="22">
        <v>172</v>
      </c>
      <c r="AC2049" s="22">
        <v>172</v>
      </c>
      <c r="AD2049" s="22">
        <v>172</v>
      </c>
      <c r="AE2049" s="22">
        <v>172</v>
      </c>
      <c r="AG2049" s="71">
        <v>69</v>
      </c>
      <c r="AH2049" s="71">
        <v>65</v>
      </c>
      <c r="AI2049" s="71">
        <v>46</v>
      </c>
      <c r="AJ2049" s="71">
        <v>80</v>
      </c>
      <c r="AK2049" s="71">
        <v>57</v>
      </c>
      <c r="AL2049" s="71"/>
      <c r="AM2049" s="71"/>
      <c r="AN2049" s="71"/>
      <c r="AO2049" s="71"/>
      <c r="AP2049" s="71"/>
      <c r="AQ2049" s="71"/>
      <c r="AR2049" s="71"/>
      <c r="AS2049" s="94">
        <f ca="1">IF(MONTH(TODAY())=3,SUM(T2049:U2049),IF(MONTH(TODAY())=4,SUM(T2049:V2049),IF(MONTH(TODAY())=5,SUM(T2049:W2049),IF(MONTH(TODAY())=6,SUM(T2049:X2049),IF(MONTH(TODAY())=7,SUM(T2049:Y2049),IF(MONTH(TODAY())=8,SUM(T2049:Z2049),IF(MONTH(TODAY())=9,SUM(T2049:AA2049),IF(MONTH(TODAY())=10,SUM(T2049:AB2049),IF(MONTH(TODAY())=11,SUM(T2049:AC2049),IF(MONTH(TODAY())=12,SUM(T2049:AD2049),IF(MONTH(TODAY())=1,SUM(T2049:AE2049),T2049)))))))))))</f>
        <v>524</v>
      </c>
      <c r="AT2049" s="95">
        <f>SUM(IF(AW2049&lt;1.15,AG2049,1.15*T2049),IF(AX2049&lt;1.15,AH2049,1.15*U2049),IF(AY2049&lt;1.15,AI2049,1.15*V2049),IF(AZ2049&lt;1.15,AJ2049,1.15*W2049),IF(BA2049&lt;1.15,AK2049,1.15*X2049),IF(BB2049&lt;1.15,AL2049,1.15*Y2049),IF(BC2049&lt;1.15,AM2049,1.15*Z2049),IF(BD2049&lt;1.15,AN2049,1.15*AA2049),IF(BE2049&lt;1.15,AO2049,1.15*AB2049),IF(BF2049&lt;1.15,AP2049,1.15*AC2049),IF(BG2049&lt;1.15,AQ2049,1.15*AD2049),IF(BH2049&lt;1.15,AR2049,1.15*AE2049))</f>
        <v>317</v>
      </c>
      <c r="AU2049" s="97">
        <f>SUM(AG2049:AR2049)</f>
        <v>317</v>
      </c>
      <c r="AW2049" s="51">
        <f>IFERROR(IF(AG2049="",0,AG2049/T2049),0)</f>
        <v>1</v>
      </c>
      <c r="AX2049" s="51">
        <f>IFERROR(IF(AH2049="",0,AH2049/U2049),0)</f>
        <v>1</v>
      </c>
      <c r="AY2049" s="51">
        <f>IFERROR(IF(AI2049="",0,AI2049/V2049),0)</f>
        <v>1</v>
      </c>
      <c r="AZ2049" s="51">
        <f>IFERROR(IF(AJ2049="",0,AJ2049/W2049),0)</f>
        <v>0.46511627906976744</v>
      </c>
      <c r="BA2049" s="51">
        <f>IFERROR(IF(AK2049="",0,AK2049/X2049),0)</f>
        <v>0.33139534883720928</v>
      </c>
      <c r="BB2049" s="51"/>
      <c r="BC2049" s="51"/>
      <c r="BD2049" s="51"/>
      <c r="BE2049" s="51"/>
      <c r="BF2049" s="51"/>
      <c r="BG2049" s="51"/>
      <c r="BH2049" s="51"/>
      <c r="BI2049" s="65" cm="1">
        <f t="array" ref="BI2049">IFERROR(INDEX(AW2049:BH2049,1,MATCH(2,1/(AW2049:BH2049&lt;&gt;""))),"")</f>
        <v>0.33139534883720928</v>
      </c>
      <c r="BJ2049" s="68" cm="1">
        <f t="array" ref="BJ2049">IF(BM2049 = "", "",IFERROR(INDEX(AW2049:BH2049,1,MATCH(2,1/(AW2049:BH2049&lt;&gt;""),1)-1),""))</f>
        <v>0.46511627906976744</v>
      </c>
      <c r="BK2049" s="58">
        <f>IF((IF(AW2049&gt;=115%,115%,AW2049) + IF(AX2049&gt;=115%,115%,AX2049) + IF(AY2049&gt;=115%,115%,AY2049) + (IF(AZ2049&gt;=115%,115%,AZ2049) + IF(BA2049&gt;=200%,200%,BA2049) + IF(BB2049&gt;=130%,130%,BB2049) + IF(BC2049&gt;=187%,187%,BC2049) + IF(BD2049&gt;=115%,115%,BD2049) + IF(BE2049&gt;=115%,115%,BE2049) + IF(BF2049&gt;=115%,115%,BF2049) + IF(BG2049&gt;=115%,115%,BG2049) + IF(BH2049&gt;=115%,115%,BH2049)))/_xlfn.XLOOKUP(F2049,Apuração!A:A,Apuração!B:B)&gt;=1.15,1.15,((IF(AZ2049&gt;=115%,115%,AZ2049) + IF(AX2049&gt;=115%,115%,AX2049) + IF(AY2049&gt;=115%,115%,AY2049) + (IF(AW2049&gt;=115%,115%,AW2049) + IF(BA2049&gt;=200%,200%,BA2049) + IF(BB2049&gt;=130%,130%,BB2049) + IF(BC2049&gt;=187%,187%,BC2049) + IF(BD2049&gt;=115%,115%,BD2049) + IF(BE2049&gt;=115%,115%,BE2049) + IF(BF2049&gt;=115%,115%,BF2049) + IF(BG2049&gt;=115%,115%,BG2049) + IF(BH2049&gt;=115%,115%,BH2049)))/_xlfn.XLOOKUP(F2049,Apuração!A:A,Apuração!B:B)))</f>
        <v>0.31637596899224807</v>
      </c>
      <c r="BL2049" s="58" cm="1">
        <f t="array" aca="1" ref="BL2049" ca="1">IF(SUM(IFERROR(IF(INDEX(AW2049:INDEX(AW2049:BH2049, MATCH(2, 1/(AW2049:BH2049&lt;&gt;""), 1)-1), ROW(INDIRECT("1:" &amp; MATCH(2, 1/(AW2049:BH2049&lt;&gt;""), 1)-1))) &gt;= 115%, 115%, INDEX(AW2049:INDEX(AW2049:BH2049, MATCH(2, 1/(AW2049:BH2049&lt;&gt;""), 1)-1), ROW(INDIRECT("1:" &amp; MATCH(2, 1/(AW2049:BH2049&lt;&gt;""), 1)-1)))), 0))/_xlfn.XLOOKUP(F2049,Apuração!A:A,Apuração!B:B)&gt;=1.15,1.15,SUM(IFERROR(IF(INDEX(AW2049:INDEX(AW2049:BH2049, MATCH(2, 1/(AW2049:BH2049&lt;&gt;""), 1)-1), ROW(INDIRECT("1:" &amp; MATCH(2, 1/(AW2049:BH2049&lt;&gt;""), 1)-1))) &gt;= 115%, 115%, INDEX(AW2049:INDEX(AW2049:BH2049, MATCH(2, 1/(AW2049:BH2049&lt;&gt;""), 1)-1), ROW(INDIRECT("1:" &amp; MATCH(2, 1/(AW2049:BH2049&lt;&gt;""), 1)-1)))), 0))/_xlfn.XLOOKUP(F2049,Apuração!A:A,Apuração!B:B))</f>
        <v>0.28875968992248063</v>
      </c>
      <c r="BM2049" s="55" cm="1">
        <f t="array" ref="BM2049">IFERROR(
   INDEX($AW$1:$BH$1,
      _xlfn.AGGREGATE(14, 6, COLUMN($AW$1:$BH$1)/(AW2049:BH2049&lt;&gt;""), 2) - COLUMN($AW$1) + 1
   ),
"")</f>
        <v>46113</v>
      </c>
      <c r="BN2049" s="55" cm="1">
        <f t="array" ref="BN2049">IFERROR(INDEX($AW$1:$BH$1,1,MATCH(2,1/(AW2049:BH2049&lt;&gt;""))),"")</f>
        <v>46143</v>
      </c>
      <c r="BO2049" s="53">
        <f ca="1">IFERROR(_xlfn.XLOOKUP(F2049,Apuração!A:A,Apuração!C:C)/_xlfn.XLOOKUP(F2049,Apuração!A:A,Apuração!B:B),0)</f>
        <v>0.41666666666666669</v>
      </c>
      <c r="BP2049" s="53">
        <f ca="1">IFERROR(_xlfn.XLOOKUP(F2049,Apuração!A:A,Apuração!D:D)/_xlfn.XLOOKUP(F2049,Apuração!A:A,Apuração!B:B),0)</f>
        <v>0.33333333333333331</v>
      </c>
      <c r="BQ2049" s="53">
        <f ca="1">IF(BK2049&gt;=BO2049,0,_xlfn.XLOOKUP(F2049,Apuração!A:A,Apuração!B:B)*(BO2049 + (1/_xlfn.XLOOKUP(F2049,Apuração!A:A,Apuração!B:B)) - BK2049))</f>
        <v>2.2034883720930232</v>
      </c>
      <c r="BR2049" s="85">
        <f ca="1">IF(BQ2049=0,0,BQ2049*Z2049)</f>
        <v>379</v>
      </c>
      <c r="BS2049" s="53">
        <f ca="1">IFERROR((_xlfn.XLOOKUP(F2049,Apuração!A:A,Apuração!C:C)+1)/_xlfn.XLOOKUP(F2049,Apuração!A:A,Apuração!B:B),0)</f>
        <v>0.5</v>
      </c>
    </row>
    <row r="2050" spans="1:71" ht="25.95" hidden="1" customHeight="1" x14ac:dyDescent="0.3">
      <c r="A2050" s="70" t="s">
        <v>108</v>
      </c>
      <c r="B2050" s="4" t="s">
        <v>109</v>
      </c>
      <c r="C2050" s="5" t="s">
        <v>216</v>
      </c>
      <c r="D2050" s="5" t="s">
        <v>36</v>
      </c>
      <c r="E2050" s="4" t="str" cm="1">
        <f t="array" ref="E2050">_xlfn.IFS(
F2050 = "A partir de Abril", "Aguardando Execução na Distribuidora",
A2050 = "CAPACITAÇÃO", "Em execução no Corporativo",
TRUE, "Em Execução na Distribuidora"
)</f>
        <v>Em Execução na Distribuidora</v>
      </c>
      <c r="F2050" s="4" t="str" cm="1">
        <f t="array" ref="F2050">_xlfn.IFS(
AG2050 &lt;&gt; "", "Jan-Dez/26",
AH2050 &lt;&gt; "", "Fev-Dez/26",
AI2050 &lt;&gt; "", "Mar-Dez/26", AJ2050 &lt;&gt; "", "Abr-Dez/26",
TRUE, "A partir de Junho"
)</f>
        <v>Abr-Dez/26</v>
      </c>
      <c r="G2050" s="4" t="s">
        <v>37</v>
      </c>
      <c r="H2050" s="7" t="s">
        <v>110</v>
      </c>
      <c r="I2050" s="8"/>
      <c r="J2050" s="8" t="str" cm="1">
        <f t="array" aca="1" ref="J2050" ca="1">_xlfn.LET(
  _xlpm.actual_value_month, INDEX(T2050:AE2050, MATCH(DATE(YEAR(TODAY()), MONTH(TODAY()), 1), $T$1:$AE$1, 0)),
  IF(_xlpm.actual_value_month &lt;&gt; "",_xlpm.actual_value_month &amp; " ações mensais", "")
)</f>
        <v/>
      </c>
      <c r="K2050" s="8" t="str" cm="1">
        <f t="array" ref="K2050">_xlfn.LET(
    _xlpm.sum_month, SUM(T2050:AE2050),
    IF(_xlpm.sum_month = 0, "", _xlpm.sum_month &amp; " veículos com telemetria no ano")
)</f>
        <v/>
      </c>
      <c r="L2050" s="9" t="s">
        <v>111</v>
      </c>
      <c r="M2050" s="13">
        <v>1</v>
      </c>
      <c r="N2050" s="5" t="s">
        <v>51</v>
      </c>
      <c r="O2050" s="5" t="s">
        <v>52</v>
      </c>
      <c r="P2050" s="10" t="s">
        <v>44</v>
      </c>
      <c r="Q2050" s="10" t="s">
        <v>44</v>
      </c>
      <c r="R2050" s="11" t="s">
        <v>44</v>
      </c>
      <c r="S2050" s="11" t="s">
        <v>44</v>
      </c>
      <c r="T2050" s="22"/>
      <c r="U2050" s="22"/>
      <c r="V2050" s="22"/>
      <c r="W2050" s="22"/>
      <c r="X2050" s="22"/>
      <c r="Y2050" s="22"/>
      <c r="Z2050" s="22"/>
      <c r="AA2050" s="22"/>
      <c r="AB2050" s="22"/>
      <c r="AC2050" s="22"/>
      <c r="AD2050" s="22"/>
      <c r="AE2050" s="22"/>
      <c r="AG2050" s="71"/>
      <c r="AH2050" s="71"/>
      <c r="AI2050" s="71"/>
      <c r="AJ2050" s="71">
        <v>130</v>
      </c>
      <c r="AK2050" s="71">
        <v>130</v>
      </c>
      <c r="AL2050" s="71"/>
      <c r="AM2050" s="71"/>
      <c r="AN2050" s="71"/>
      <c r="AO2050" s="71"/>
      <c r="AP2050" s="71"/>
      <c r="AQ2050" s="71"/>
      <c r="AR2050" s="71"/>
      <c r="AS2050" s="94">
        <v>0</v>
      </c>
      <c r="AT2050" s="95">
        <v>0</v>
      </c>
      <c r="AU2050" s="97">
        <v>0</v>
      </c>
      <c r="AW2050" s="83">
        <f>AG2050</f>
        <v>0</v>
      </c>
      <c r="AX2050" s="83">
        <f>AH2050</f>
        <v>0</v>
      </c>
      <c r="AY2050" s="83">
        <f>AI2050</f>
        <v>0</v>
      </c>
      <c r="AZ2050" s="83">
        <f>AJ2050</f>
        <v>130</v>
      </c>
      <c r="BA2050" s="83">
        <f t="shared" ref="BA2050:BA2064" si="2403">AK2050</f>
        <v>130</v>
      </c>
      <c r="BB2050" s="52"/>
      <c r="BC2050" s="52"/>
      <c r="BD2050" s="52"/>
      <c r="BE2050" s="52"/>
      <c r="BF2050" s="52"/>
      <c r="BG2050" s="52"/>
      <c r="BH2050" s="52"/>
      <c r="BI2050" s="68">
        <v>0</v>
      </c>
      <c r="BJ2050" s="68">
        <v>0</v>
      </c>
      <c r="BK2050" s="59">
        <v>0</v>
      </c>
      <c r="BL2050" s="59">
        <v>0</v>
      </c>
      <c r="BM2050" s="55">
        <v>46054</v>
      </c>
      <c r="BN2050" s="55">
        <v>46082</v>
      </c>
      <c r="BO2050" s="53">
        <v>0</v>
      </c>
      <c r="BP2050" s="53">
        <v>0</v>
      </c>
      <c r="BQ2050" s="53">
        <v>0</v>
      </c>
      <c r="BR2050" s="85">
        <v>0</v>
      </c>
      <c r="BS2050" s="53">
        <v>0.1111111111111111</v>
      </c>
    </row>
    <row r="2051" spans="1:71" ht="25.95" hidden="1" customHeight="1" x14ac:dyDescent="0.3">
      <c r="A2051" s="70" t="s">
        <v>108</v>
      </c>
      <c r="B2051" s="4" t="s">
        <v>109</v>
      </c>
      <c r="C2051" s="5" t="s">
        <v>216</v>
      </c>
      <c r="D2051" s="5" t="s">
        <v>217</v>
      </c>
      <c r="E2051" s="4" t="s">
        <v>61</v>
      </c>
      <c r="F2051" s="4" t="str" cm="1">
        <f t="array" ref="F2051">_xlfn.IFS(
AG2051 &lt;&gt; "", "Jan-Dez/26",
AH2051 &lt;&gt; "", "Fev-Dez/26",
AI2051 &lt;&gt; "", "Mar-Dez/26", AJ2051 &lt;&gt; "", "Abr-Dez/26",
TRUE, "A partir de Junho"
)</f>
        <v>Abr-Dez/26</v>
      </c>
      <c r="G2051" s="4" t="s">
        <v>37</v>
      </c>
      <c r="H2051" s="7" t="s">
        <v>110</v>
      </c>
      <c r="I2051" s="8"/>
      <c r="J2051" s="8" t="str" cm="1">
        <f t="array" aca="1" ref="J2051" ca="1">_xlfn.LET(
  _xlpm.actual_value_month, INDEX(T2051:AE2051, MATCH(DATE(YEAR(TODAY()), MONTH(TODAY()), 1), $T$1:$AE$1, 0)),
  IF(_xlpm.actual_value_month &lt;&gt; "",_xlpm.actual_value_month &amp; " ações mensais", "")
)</f>
        <v/>
      </c>
      <c r="K2051" s="8" t="str" cm="1">
        <f t="array" ref="K2051">_xlfn.LET(
    _xlpm.sum_month, SUM(T2051:AE2051),
    IF(_xlpm.sum_month = 0, "", _xlpm.sum_month &amp; " veículos com telemetria no ano")
)</f>
        <v/>
      </c>
      <c r="L2051" s="9" t="s">
        <v>111</v>
      </c>
      <c r="M2051" s="13">
        <v>1</v>
      </c>
      <c r="N2051" s="5" t="s">
        <v>51</v>
      </c>
      <c r="O2051" s="5" t="s">
        <v>52</v>
      </c>
      <c r="P2051" s="10" t="s">
        <v>44</v>
      </c>
      <c r="Q2051" s="10" t="s">
        <v>44</v>
      </c>
      <c r="R2051" s="11" t="s">
        <v>44</v>
      </c>
      <c r="S2051" s="11" t="s">
        <v>44</v>
      </c>
      <c r="T2051" s="22"/>
      <c r="U2051" s="22"/>
      <c r="V2051" s="22"/>
      <c r="W2051" s="22"/>
      <c r="X2051" s="22"/>
      <c r="Y2051" s="22"/>
      <c r="Z2051" s="22"/>
      <c r="AA2051" s="22"/>
      <c r="AB2051" s="22"/>
      <c r="AC2051" s="22"/>
      <c r="AD2051" s="22"/>
      <c r="AE2051" s="22"/>
      <c r="AG2051" s="71"/>
      <c r="AH2051" s="71"/>
      <c r="AI2051" s="71"/>
      <c r="AJ2051" s="82">
        <v>34</v>
      </c>
      <c r="AK2051" s="71">
        <v>34</v>
      </c>
      <c r="AL2051" s="71"/>
      <c r="AM2051" s="71"/>
      <c r="AN2051" s="71"/>
      <c r="AO2051" s="71"/>
      <c r="AP2051" s="71"/>
      <c r="AQ2051" s="71"/>
      <c r="AR2051" s="71"/>
      <c r="AS2051" s="94">
        <v>0</v>
      </c>
      <c r="AT2051" s="95">
        <v>0</v>
      </c>
      <c r="AU2051" s="97">
        <v>0</v>
      </c>
      <c r="AW2051" s="83">
        <f t="shared" ref="AW2051:AW2054" si="2404">AG2051</f>
        <v>0</v>
      </c>
      <c r="AX2051" s="83">
        <f t="shared" ref="AX2051:AX2054" si="2405">AH2051</f>
        <v>0</v>
      </c>
      <c r="AY2051" s="83">
        <f t="shared" ref="AY2051:AY2054" si="2406">AI2051</f>
        <v>0</v>
      </c>
      <c r="AZ2051" s="83">
        <f t="shared" ref="AZ2051:AZ2054" si="2407">AJ2051</f>
        <v>34</v>
      </c>
      <c r="BA2051" s="83">
        <f t="shared" si="2403"/>
        <v>34</v>
      </c>
      <c r="BB2051" s="52"/>
      <c r="BC2051" s="52"/>
      <c r="BD2051" s="52"/>
      <c r="BE2051" s="52"/>
      <c r="BF2051" s="52"/>
      <c r="BG2051" s="52"/>
      <c r="BH2051" s="52"/>
      <c r="BI2051" s="68">
        <v>0</v>
      </c>
      <c r="BJ2051" s="68">
        <v>0</v>
      </c>
      <c r="BK2051" s="59">
        <v>0</v>
      </c>
      <c r="BL2051" s="59">
        <v>0</v>
      </c>
      <c r="BM2051" s="55">
        <v>46054</v>
      </c>
      <c r="BN2051" s="55">
        <v>46082</v>
      </c>
      <c r="BO2051" s="53">
        <v>0</v>
      </c>
      <c r="BP2051" s="53">
        <v>0</v>
      </c>
      <c r="BQ2051" s="53">
        <v>0</v>
      </c>
      <c r="BR2051" s="85">
        <v>0</v>
      </c>
      <c r="BS2051" s="53">
        <v>0.1111111111111111</v>
      </c>
    </row>
    <row r="2052" spans="1:71" ht="25.95" hidden="1" customHeight="1" x14ac:dyDescent="0.3">
      <c r="A2052" s="70" t="s">
        <v>108</v>
      </c>
      <c r="B2052" s="4" t="s">
        <v>109</v>
      </c>
      <c r="C2052" s="5" t="s">
        <v>216</v>
      </c>
      <c r="D2052" s="5" t="s">
        <v>103</v>
      </c>
      <c r="E2052" s="4" t="s">
        <v>61</v>
      </c>
      <c r="F2052" s="4" t="str" cm="1">
        <f t="array" ref="F2052">_xlfn.IFS(
AG2052 &lt;&gt; "", "Jan-Dez/26",
AH2052 &lt;&gt; "", "Fev-Dez/26",
AI2052 &lt;&gt; "", "Mar-Dez/26", AJ2052 &lt;&gt; "", "Abr-Dez/26",
TRUE, "A partir de Junho"
)</f>
        <v>Abr-Dez/26</v>
      </c>
      <c r="G2052" s="4" t="s">
        <v>37</v>
      </c>
      <c r="H2052" s="7" t="s">
        <v>110</v>
      </c>
      <c r="I2052" s="8"/>
      <c r="J2052" s="8" t="str" cm="1">
        <f t="array" aca="1" ref="J2052" ca="1">_xlfn.LET(
  _xlpm.actual_value_month, INDEX(T2052:AE2052, MATCH(DATE(YEAR(TODAY()), MONTH(TODAY()), 1), $T$1:$AE$1, 0)),
  IF(_xlpm.actual_value_month &lt;&gt; "",_xlpm.actual_value_month &amp; " ações mensais", "")
)</f>
        <v/>
      </c>
      <c r="K2052" s="8" t="str" cm="1">
        <f t="array" ref="K2052">_xlfn.LET(
    _xlpm.sum_month, SUM(T2052:AE2052),
    IF(_xlpm.sum_month = 0, "", _xlpm.sum_month &amp; " veículos com telemetria no ano")
)</f>
        <v/>
      </c>
      <c r="L2052" s="9" t="s">
        <v>111</v>
      </c>
      <c r="M2052" s="13">
        <v>1</v>
      </c>
      <c r="N2052" s="5" t="s">
        <v>51</v>
      </c>
      <c r="O2052" s="5" t="s">
        <v>52</v>
      </c>
      <c r="P2052" s="10" t="s">
        <v>44</v>
      </c>
      <c r="Q2052" s="10" t="s">
        <v>44</v>
      </c>
      <c r="R2052" s="11" t="s">
        <v>44</v>
      </c>
      <c r="S2052" s="11" t="s">
        <v>44</v>
      </c>
      <c r="T2052" s="22"/>
      <c r="U2052" s="22"/>
      <c r="V2052" s="22"/>
      <c r="W2052" s="22"/>
      <c r="X2052" s="22"/>
      <c r="Y2052" s="22"/>
      <c r="Z2052" s="22"/>
      <c r="AA2052" s="22"/>
      <c r="AB2052" s="22"/>
      <c r="AC2052" s="22"/>
      <c r="AD2052" s="22"/>
      <c r="AE2052" s="22"/>
      <c r="AG2052" s="71"/>
      <c r="AH2052" s="71"/>
      <c r="AI2052" s="71"/>
      <c r="AJ2052" s="82">
        <v>60</v>
      </c>
      <c r="AK2052" s="71">
        <v>60</v>
      </c>
      <c r="AL2052" s="71"/>
      <c r="AM2052" s="71"/>
      <c r="AN2052" s="71"/>
      <c r="AO2052" s="71"/>
      <c r="AP2052" s="71"/>
      <c r="AQ2052" s="71"/>
      <c r="AR2052" s="71"/>
      <c r="AS2052" s="94">
        <v>0</v>
      </c>
      <c r="AT2052" s="95">
        <v>0</v>
      </c>
      <c r="AU2052" s="97">
        <v>0</v>
      </c>
      <c r="AW2052" s="83">
        <f t="shared" si="2404"/>
        <v>0</v>
      </c>
      <c r="AX2052" s="83">
        <f t="shared" si="2405"/>
        <v>0</v>
      </c>
      <c r="AY2052" s="83">
        <f t="shared" si="2406"/>
        <v>0</v>
      </c>
      <c r="AZ2052" s="83">
        <f t="shared" si="2407"/>
        <v>60</v>
      </c>
      <c r="BA2052" s="83">
        <f t="shared" si="2403"/>
        <v>60</v>
      </c>
      <c r="BB2052" s="52"/>
      <c r="BC2052" s="52"/>
      <c r="BD2052" s="52"/>
      <c r="BE2052" s="52"/>
      <c r="BF2052" s="52"/>
      <c r="BG2052" s="52"/>
      <c r="BH2052" s="52"/>
      <c r="BI2052" s="68">
        <v>0</v>
      </c>
      <c r="BJ2052" s="68">
        <v>0</v>
      </c>
      <c r="BK2052" s="59">
        <v>0</v>
      </c>
      <c r="BL2052" s="59">
        <v>0</v>
      </c>
      <c r="BM2052" s="55">
        <v>46054</v>
      </c>
      <c r="BN2052" s="55">
        <v>46082</v>
      </c>
      <c r="BO2052" s="53">
        <v>0</v>
      </c>
      <c r="BP2052" s="53">
        <v>0</v>
      </c>
      <c r="BQ2052" s="53">
        <v>0</v>
      </c>
      <c r="BR2052" s="85">
        <v>0</v>
      </c>
      <c r="BS2052" s="53">
        <v>0.1111111111111111</v>
      </c>
    </row>
    <row r="2053" spans="1:71" ht="25.95" hidden="1" customHeight="1" x14ac:dyDescent="0.3">
      <c r="A2053" s="70" t="s">
        <v>108</v>
      </c>
      <c r="B2053" s="4" t="s">
        <v>109</v>
      </c>
      <c r="C2053" s="5" t="s">
        <v>216</v>
      </c>
      <c r="D2053" s="5" t="s">
        <v>218</v>
      </c>
      <c r="E2053" s="4" t="s">
        <v>61</v>
      </c>
      <c r="F2053" s="4" t="str" cm="1">
        <f t="array" ref="F2053">_xlfn.IFS(
AG2053 &lt;&gt; "", "Jan-Dez/26",
AH2053 &lt;&gt; "", "Fev-Dez/26",
AI2053 &lt;&gt; "", "Mar-Dez/26", AJ2053 &lt;&gt; "", "Abr-Dez/26",
TRUE, "A partir de Junho"
)</f>
        <v>Abr-Dez/26</v>
      </c>
      <c r="G2053" s="4" t="s">
        <v>37</v>
      </c>
      <c r="H2053" s="7" t="s">
        <v>110</v>
      </c>
      <c r="I2053" s="8"/>
      <c r="J2053" s="8" t="str" cm="1">
        <f t="array" aca="1" ref="J2053" ca="1">_xlfn.LET(
  _xlpm.actual_value_month, INDEX(T2053:AE2053, MATCH(DATE(YEAR(TODAY()), MONTH(TODAY()), 1), $T$1:$AE$1, 0)),
  IF(_xlpm.actual_value_month &lt;&gt; "",_xlpm.actual_value_month &amp; " ações mensais", "")
)</f>
        <v/>
      </c>
      <c r="K2053" s="8" t="str" cm="1">
        <f t="array" ref="K2053">_xlfn.LET(
    _xlpm.sum_month, SUM(T2053:AE2053),
    IF(_xlpm.sum_month = 0, "", _xlpm.sum_month &amp; " veículos com telemetria no ano")
)</f>
        <v/>
      </c>
      <c r="L2053" s="9" t="s">
        <v>111</v>
      </c>
      <c r="M2053" s="13">
        <v>1</v>
      </c>
      <c r="N2053" s="5" t="s">
        <v>51</v>
      </c>
      <c r="O2053" s="5" t="s">
        <v>52</v>
      </c>
      <c r="P2053" s="10" t="s">
        <v>44</v>
      </c>
      <c r="Q2053" s="10" t="s">
        <v>44</v>
      </c>
      <c r="R2053" s="11" t="s">
        <v>44</v>
      </c>
      <c r="S2053" s="11" t="s">
        <v>44</v>
      </c>
      <c r="T2053" s="22"/>
      <c r="U2053" s="22"/>
      <c r="V2053" s="22"/>
      <c r="W2053" s="22"/>
      <c r="X2053" s="22"/>
      <c r="Y2053" s="22"/>
      <c r="Z2053" s="22"/>
      <c r="AA2053" s="22"/>
      <c r="AB2053" s="22"/>
      <c r="AC2053" s="22"/>
      <c r="AD2053" s="22"/>
      <c r="AE2053" s="22"/>
      <c r="AG2053" s="71"/>
      <c r="AH2053" s="71"/>
      <c r="AI2053" s="71"/>
      <c r="AJ2053" s="82">
        <v>21</v>
      </c>
      <c r="AK2053" s="71">
        <v>21</v>
      </c>
      <c r="AL2053" s="71"/>
      <c r="AM2053" s="71"/>
      <c r="AN2053" s="71"/>
      <c r="AO2053" s="71"/>
      <c r="AP2053" s="71"/>
      <c r="AQ2053" s="71"/>
      <c r="AR2053" s="71"/>
      <c r="AS2053" s="94">
        <v>0</v>
      </c>
      <c r="AT2053" s="95">
        <v>0</v>
      </c>
      <c r="AU2053" s="97">
        <v>0</v>
      </c>
      <c r="AW2053" s="83">
        <f t="shared" si="2404"/>
        <v>0</v>
      </c>
      <c r="AX2053" s="83">
        <f t="shared" si="2405"/>
        <v>0</v>
      </c>
      <c r="AY2053" s="83">
        <f t="shared" si="2406"/>
        <v>0</v>
      </c>
      <c r="AZ2053" s="83">
        <f t="shared" si="2407"/>
        <v>21</v>
      </c>
      <c r="BA2053" s="83">
        <f t="shared" si="2403"/>
        <v>21</v>
      </c>
      <c r="BB2053" s="52"/>
      <c r="BC2053" s="52"/>
      <c r="BD2053" s="52"/>
      <c r="BE2053" s="52"/>
      <c r="BF2053" s="52"/>
      <c r="BG2053" s="52"/>
      <c r="BH2053" s="52"/>
      <c r="BI2053" s="68">
        <v>0</v>
      </c>
      <c r="BJ2053" s="68">
        <v>0</v>
      </c>
      <c r="BK2053" s="59">
        <v>0</v>
      </c>
      <c r="BL2053" s="59">
        <v>0</v>
      </c>
      <c r="BM2053" s="55">
        <v>46054</v>
      </c>
      <c r="BN2053" s="55">
        <v>46082</v>
      </c>
      <c r="BO2053" s="53">
        <v>0</v>
      </c>
      <c r="BP2053" s="53">
        <v>0</v>
      </c>
      <c r="BQ2053" s="53">
        <v>0</v>
      </c>
      <c r="BR2053" s="85">
        <v>0</v>
      </c>
      <c r="BS2053" s="53">
        <v>0.1111111111111111</v>
      </c>
    </row>
    <row r="2054" spans="1:71" ht="25.95" hidden="1" customHeight="1" x14ac:dyDescent="0.3">
      <c r="A2054" s="70" t="s">
        <v>108</v>
      </c>
      <c r="B2054" s="4" t="s">
        <v>109</v>
      </c>
      <c r="C2054" s="5" t="s">
        <v>216</v>
      </c>
      <c r="D2054" s="5" t="s">
        <v>219</v>
      </c>
      <c r="E2054" s="4" t="s">
        <v>61</v>
      </c>
      <c r="F2054" s="4" t="str" cm="1">
        <f t="array" ref="F2054">_xlfn.IFS(
AG2054 &lt;&gt; "", "Jan-Dez/26",
AH2054 &lt;&gt; "", "Fev-Dez/26",
AI2054 &lt;&gt; "", "Mar-Dez/26", AJ2054 &lt;&gt; "", "Abr-Dez/26",
TRUE, "A partir de Junho"
)</f>
        <v>Abr-Dez/26</v>
      </c>
      <c r="G2054" s="4" t="s">
        <v>37</v>
      </c>
      <c r="H2054" s="7" t="s">
        <v>110</v>
      </c>
      <c r="I2054" s="8"/>
      <c r="J2054" s="8" t="str" cm="1">
        <f t="array" aca="1" ref="J2054" ca="1">_xlfn.LET(
  _xlpm.actual_value_month, INDEX(T2054:AE2054, MATCH(DATE(YEAR(TODAY()), MONTH(TODAY()), 1), $T$1:$AE$1, 0)),
  IF(_xlpm.actual_value_month &lt;&gt; "",_xlpm.actual_value_month &amp; " ações mensais", "")
)</f>
        <v/>
      </c>
      <c r="K2054" s="8" t="str" cm="1">
        <f t="array" ref="K2054">_xlfn.LET(
    _xlpm.sum_month, SUM(T2054:AE2054),
    IF(_xlpm.sum_month = 0, "", _xlpm.sum_month &amp; " veículos com telemetria no ano")
)</f>
        <v/>
      </c>
      <c r="L2054" s="9" t="s">
        <v>111</v>
      </c>
      <c r="M2054" s="13">
        <v>1</v>
      </c>
      <c r="N2054" s="5" t="s">
        <v>51</v>
      </c>
      <c r="O2054" s="5" t="s">
        <v>52</v>
      </c>
      <c r="P2054" s="10" t="s">
        <v>44</v>
      </c>
      <c r="Q2054" s="10" t="s">
        <v>44</v>
      </c>
      <c r="R2054" s="11" t="s">
        <v>44</v>
      </c>
      <c r="S2054" s="11" t="s">
        <v>44</v>
      </c>
      <c r="T2054" s="22"/>
      <c r="U2054" s="22"/>
      <c r="V2054" s="22"/>
      <c r="W2054" s="22"/>
      <c r="X2054" s="22"/>
      <c r="Y2054" s="22"/>
      <c r="Z2054" s="22"/>
      <c r="AA2054" s="22"/>
      <c r="AB2054" s="22"/>
      <c r="AC2054" s="22"/>
      <c r="AD2054" s="22"/>
      <c r="AE2054" s="22"/>
      <c r="AG2054" s="71"/>
      <c r="AH2054" s="71"/>
      <c r="AI2054" s="71"/>
      <c r="AJ2054" s="82">
        <v>15</v>
      </c>
      <c r="AK2054" s="71">
        <v>15</v>
      </c>
      <c r="AL2054" s="71"/>
      <c r="AM2054" s="71"/>
      <c r="AN2054" s="71"/>
      <c r="AO2054" s="71"/>
      <c r="AP2054" s="71"/>
      <c r="AQ2054" s="71"/>
      <c r="AR2054" s="71"/>
      <c r="AS2054" s="94">
        <v>0</v>
      </c>
      <c r="AT2054" s="95">
        <v>0</v>
      </c>
      <c r="AU2054" s="97">
        <v>0</v>
      </c>
      <c r="AW2054" s="83">
        <f t="shared" si="2404"/>
        <v>0</v>
      </c>
      <c r="AX2054" s="83">
        <f t="shared" si="2405"/>
        <v>0</v>
      </c>
      <c r="AY2054" s="83">
        <f t="shared" si="2406"/>
        <v>0</v>
      </c>
      <c r="AZ2054" s="83">
        <f t="shared" si="2407"/>
        <v>15</v>
      </c>
      <c r="BA2054" s="83">
        <f t="shared" si="2403"/>
        <v>15</v>
      </c>
      <c r="BB2054" s="52"/>
      <c r="BC2054" s="52"/>
      <c r="BD2054" s="52"/>
      <c r="BE2054" s="52"/>
      <c r="BF2054" s="52"/>
      <c r="BG2054" s="52"/>
      <c r="BH2054" s="52"/>
      <c r="BI2054" s="68">
        <v>0</v>
      </c>
      <c r="BJ2054" s="68">
        <v>0</v>
      </c>
      <c r="BK2054" s="59">
        <v>0</v>
      </c>
      <c r="BL2054" s="59">
        <v>0</v>
      </c>
      <c r="BM2054" s="55">
        <v>46054</v>
      </c>
      <c r="BN2054" s="55">
        <v>46082</v>
      </c>
      <c r="BO2054" s="53">
        <v>0</v>
      </c>
      <c r="BP2054" s="53">
        <v>0</v>
      </c>
      <c r="BQ2054" s="53">
        <v>0</v>
      </c>
      <c r="BR2054" s="85">
        <v>0</v>
      </c>
      <c r="BS2054" s="53">
        <v>0.1111111111111111</v>
      </c>
    </row>
    <row r="2055" spans="1:71" ht="25.95" hidden="1" customHeight="1" x14ac:dyDescent="0.3">
      <c r="A2055" s="70" t="s">
        <v>108</v>
      </c>
      <c r="B2055" s="4" t="s">
        <v>109</v>
      </c>
      <c r="C2055" s="5" t="s">
        <v>216</v>
      </c>
      <c r="D2055" s="5" t="s">
        <v>36</v>
      </c>
      <c r="E2055" s="4" t="str" cm="1">
        <f t="array" ref="E2055">_xlfn.IFS(
F2055 = "A partir de Abril", "Aguardando Execução na Distribuidora",
A2055 = "CAPACITAÇÃO", "Em execução no Corporativo",
TRUE, "Em Execução na Distribuidora"
)</f>
        <v>Em Execução na Distribuidora</v>
      </c>
      <c r="F2055" s="4" t="str" cm="1">
        <f t="array" ref="F2055">_xlfn.IFS(
AG2055 &lt;&gt; "", "Jan-Dez/26",
AH2055 &lt;&gt; "", "Fev-Dez/26",
AI2055 &lt;&gt; "", "Mar-Dez/26", AJ2055 &lt;&gt; "", "Abr-Dez/26",
TRUE, "A partir de Junho"
)</f>
        <v>A partir de Junho</v>
      </c>
      <c r="G2055" s="4" t="s">
        <v>62</v>
      </c>
      <c r="H2055" s="7" t="s">
        <v>110</v>
      </c>
      <c r="I2055" s="8"/>
      <c r="J2055" s="8" t="str" cm="1">
        <f t="array" aca="1" ref="J2055" ca="1">_xlfn.LET(
  _xlpm.actual_value_month, INDEX(T2055:AE2055, MATCH(DATE(YEAR(TODAY()), MONTH(TODAY()), 1), $T$1:$AE$1, 0)),
  IF(_xlpm.actual_value_month &lt;&gt; "",_xlpm.actual_value_month &amp; " ações mensais", "")
)</f>
        <v/>
      </c>
      <c r="K2055" s="8" t="str" cm="1">
        <f t="array" ref="K2055">_xlfn.LET(
    _xlpm.sum_month, SUM(T2055:AE2055),
    IF(_xlpm.sum_month = 0, "", _xlpm.sum_month &amp; " telemetria implementada no ano")
)</f>
        <v/>
      </c>
      <c r="L2055" s="9" t="s">
        <v>112</v>
      </c>
      <c r="M2055" s="13">
        <v>1</v>
      </c>
      <c r="N2055" s="5" t="s">
        <v>51</v>
      </c>
      <c r="O2055" s="5" t="s">
        <v>43</v>
      </c>
      <c r="P2055" s="10" t="s">
        <v>44</v>
      </c>
      <c r="Q2055" s="10" t="s">
        <v>44</v>
      </c>
      <c r="R2055" s="11" t="s">
        <v>44</v>
      </c>
      <c r="S2055" s="11" t="s">
        <v>44</v>
      </c>
      <c r="T2055" s="22"/>
      <c r="U2055" s="22"/>
      <c r="V2055" s="22"/>
      <c r="W2055" s="22"/>
      <c r="X2055" s="22"/>
      <c r="Y2055" s="22"/>
      <c r="Z2055" s="22"/>
      <c r="AA2055" s="22"/>
      <c r="AB2055" s="22"/>
      <c r="AC2055" s="22"/>
      <c r="AD2055" s="22"/>
      <c r="AE2055" s="22"/>
      <c r="AG2055" s="71"/>
      <c r="AH2055" s="71"/>
      <c r="AI2055" s="71"/>
      <c r="AJ2055" s="71"/>
      <c r="AK2055" s="71"/>
      <c r="AL2055" s="71"/>
      <c r="AM2055" s="71"/>
      <c r="AN2055" s="71"/>
      <c r="AO2055" s="71"/>
      <c r="AP2055" s="71"/>
      <c r="AQ2055" s="71"/>
      <c r="AR2055" s="71"/>
      <c r="AS2055" s="94">
        <v>0</v>
      </c>
      <c r="AT2055" s="95">
        <v>0</v>
      </c>
      <c r="AU2055" s="97">
        <v>0</v>
      </c>
      <c r="AW2055" s="83">
        <f>AG2055</f>
        <v>0</v>
      </c>
      <c r="AX2055" s="83">
        <f>AH2055</f>
        <v>0</v>
      </c>
      <c r="AY2055" s="83">
        <f>AI2055</f>
        <v>0</v>
      </c>
      <c r="AZ2055" s="83">
        <f>AJ2055</f>
        <v>0</v>
      </c>
      <c r="BA2055" s="83">
        <f t="shared" si="2403"/>
        <v>0</v>
      </c>
      <c r="BB2055" s="52"/>
      <c r="BC2055" s="52"/>
      <c r="BD2055" s="52"/>
      <c r="BE2055" s="52"/>
      <c r="BF2055" s="52"/>
      <c r="BG2055" s="52"/>
      <c r="BH2055" s="52"/>
      <c r="BI2055" s="68">
        <v>0</v>
      </c>
      <c r="BJ2055" s="68">
        <v>0</v>
      </c>
      <c r="BK2055" s="59">
        <v>0</v>
      </c>
      <c r="BL2055" s="59">
        <v>0</v>
      </c>
      <c r="BM2055" s="55">
        <v>46054</v>
      </c>
      <c r="BN2055" s="55">
        <v>46082</v>
      </c>
      <c r="BO2055" s="53">
        <v>0</v>
      </c>
      <c r="BP2055" s="53">
        <v>0</v>
      </c>
      <c r="BQ2055" s="53">
        <v>0</v>
      </c>
      <c r="BR2055" s="85">
        <v>0</v>
      </c>
      <c r="BS2055" s="53">
        <v>0.1111111111111111</v>
      </c>
    </row>
    <row r="2056" spans="1:71" ht="25.95" hidden="1" customHeight="1" x14ac:dyDescent="0.3">
      <c r="A2056" s="70" t="s">
        <v>108</v>
      </c>
      <c r="B2056" s="4" t="s">
        <v>109</v>
      </c>
      <c r="C2056" s="5" t="s">
        <v>216</v>
      </c>
      <c r="D2056" s="5" t="s">
        <v>217</v>
      </c>
      <c r="E2056" s="4" t="s">
        <v>61</v>
      </c>
      <c r="F2056" s="4" t="str" cm="1">
        <f t="array" ref="F2056">_xlfn.IFS(
AG2056 &lt;&gt; "", "Jan-Dez/26",
AH2056 &lt;&gt; "", "Fev-Dez/26",
AI2056 &lt;&gt; "", "Mar-Dez/26", AJ2056 &lt;&gt; "", "Abr-Dez/26",
TRUE, "A partir de Junho"
)</f>
        <v>A partir de Junho</v>
      </c>
      <c r="G2056" s="4" t="s">
        <v>62</v>
      </c>
      <c r="H2056" s="7" t="s">
        <v>110</v>
      </c>
      <c r="I2056" s="8"/>
      <c r="J2056" s="8" t="str" cm="1">
        <f t="array" aca="1" ref="J2056" ca="1">_xlfn.LET(
  _xlpm.actual_value_month, INDEX(T2056:AE2056, MATCH(DATE(YEAR(TODAY()), MONTH(TODAY()), 1), $T$1:$AE$1, 0)),
  IF(_xlpm.actual_value_month &lt;&gt; "",_xlpm.actual_value_month &amp; " ações mensais", "")
)</f>
        <v/>
      </c>
      <c r="K2056" s="8" t="str" cm="1">
        <f t="array" ref="K2056">_xlfn.LET(
    _xlpm.sum_month, SUM(T2056:AE2056),
    IF(_xlpm.sum_month = 0, "", _xlpm.sum_month &amp; " telemetria implementada no ano")
)</f>
        <v/>
      </c>
      <c r="L2056" s="9" t="s">
        <v>112</v>
      </c>
      <c r="M2056" s="13">
        <v>1</v>
      </c>
      <c r="N2056" s="5" t="s">
        <v>51</v>
      </c>
      <c r="O2056" s="5" t="s">
        <v>43</v>
      </c>
      <c r="P2056" s="10" t="s">
        <v>44</v>
      </c>
      <c r="Q2056" s="10" t="s">
        <v>44</v>
      </c>
      <c r="R2056" s="11" t="s">
        <v>44</v>
      </c>
      <c r="S2056" s="11" t="s">
        <v>44</v>
      </c>
      <c r="T2056" s="22"/>
      <c r="U2056" s="22"/>
      <c r="V2056" s="22"/>
      <c r="W2056" s="22"/>
      <c r="X2056" s="22"/>
      <c r="Y2056" s="22"/>
      <c r="Z2056" s="22"/>
      <c r="AA2056" s="22"/>
      <c r="AB2056" s="22"/>
      <c r="AC2056" s="22"/>
      <c r="AD2056" s="22"/>
      <c r="AE2056" s="22"/>
      <c r="AG2056" s="71"/>
      <c r="AH2056" s="71"/>
      <c r="AI2056" s="71"/>
      <c r="AJ2056" s="82"/>
      <c r="AK2056" s="71"/>
      <c r="AL2056" s="71"/>
      <c r="AM2056" s="71"/>
      <c r="AN2056" s="71"/>
      <c r="AO2056" s="71"/>
      <c r="AP2056" s="71"/>
      <c r="AQ2056" s="71"/>
      <c r="AR2056" s="71"/>
      <c r="AS2056" s="94">
        <v>0</v>
      </c>
      <c r="AT2056" s="95">
        <v>0</v>
      </c>
      <c r="AU2056" s="97">
        <v>0</v>
      </c>
      <c r="AW2056" s="83">
        <f t="shared" ref="AW2056:AW2059" si="2408">AG2056</f>
        <v>0</v>
      </c>
      <c r="AX2056" s="83">
        <f t="shared" ref="AX2056:AX2059" si="2409">AH2056</f>
        <v>0</v>
      </c>
      <c r="AY2056" s="83">
        <f t="shared" ref="AY2056:AY2059" si="2410">AI2056</f>
        <v>0</v>
      </c>
      <c r="AZ2056" s="83">
        <f t="shared" ref="AZ2056:AZ2059" si="2411">AJ2056</f>
        <v>0</v>
      </c>
      <c r="BA2056" s="83">
        <f t="shared" si="2403"/>
        <v>0</v>
      </c>
      <c r="BB2056" s="52"/>
      <c r="BC2056" s="52"/>
      <c r="BD2056" s="52"/>
      <c r="BE2056" s="52"/>
      <c r="BF2056" s="52"/>
      <c r="BG2056" s="52"/>
      <c r="BH2056" s="52"/>
      <c r="BI2056" s="68">
        <v>0</v>
      </c>
      <c r="BJ2056" s="68">
        <v>0</v>
      </c>
      <c r="BK2056" s="59">
        <v>0</v>
      </c>
      <c r="BL2056" s="59">
        <v>0</v>
      </c>
      <c r="BM2056" s="55">
        <v>46054</v>
      </c>
      <c r="BN2056" s="55">
        <v>46082</v>
      </c>
      <c r="BO2056" s="53">
        <v>0</v>
      </c>
      <c r="BP2056" s="53">
        <v>0</v>
      </c>
      <c r="BQ2056" s="53">
        <v>0</v>
      </c>
      <c r="BR2056" s="85">
        <v>0</v>
      </c>
      <c r="BS2056" s="53">
        <v>0.1111111111111111</v>
      </c>
    </row>
    <row r="2057" spans="1:71" ht="25.95" hidden="1" customHeight="1" x14ac:dyDescent="0.3">
      <c r="A2057" s="70" t="s">
        <v>108</v>
      </c>
      <c r="B2057" s="4" t="s">
        <v>109</v>
      </c>
      <c r="C2057" s="5" t="s">
        <v>216</v>
      </c>
      <c r="D2057" s="5" t="s">
        <v>103</v>
      </c>
      <c r="E2057" s="4" t="s">
        <v>61</v>
      </c>
      <c r="F2057" s="4" t="str" cm="1">
        <f t="array" ref="F2057">_xlfn.IFS(
AG2057 &lt;&gt; "", "Jan-Dez/26",
AH2057 &lt;&gt; "", "Fev-Dez/26",
AI2057 &lt;&gt; "", "Mar-Dez/26", AJ2057 &lt;&gt; "", "Abr-Dez/26",
TRUE, "A partir de Junho"
)</f>
        <v>A partir de Junho</v>
      </c>
      <c r="G2057" s="4" t="s">
        <v>62</v>
      </c>
      <c r="H2057" s="7" t="s">
        <v>110</v>
      </c>
      <c r="I2057" s="8"/>
      <c r="J2057" s="8" t="str" cm="1">
        <f t="array" aca="1" ref="J2057" ca="1">_xlfn.LET(
  _xlpm.actual_value_month, INDEX(T2057:AE2057, MATCH(DATE(YEAR(TODAY()), MONTH(TODAY()), 1), $T$1:$AE$1, 0)),
  IF(_xlpm.actual_value_month &lt;&gt; "",_xlpm.actual_value_month &amp; " ações mensais", "")
)</f>
        <v/>
      </c>
      <c r="K2057" s="8" t="str" cm="1">
        <f t="array" ref="K2057">_xlfn.LET(
    _xlpm.sum_month, SUM(T2057:AE2057),
    IF(_xlpm.sum_month = 0, "", _xlpm.sum_month &amp; " telemetria implementada no ano")
)</f>
        <v/>
      </c>
      <c r="L2057" s="9" t="s">
        <v>112</v>
      </c>
      <c r="M2057" s="13">
        <v>1</v>
      </c>
      <c r="N2057" s="5" t="s">
        <v>51</v>
      </c>
      <c r="O2057" s="5" t="s">
        <v>43</v>
      </c>
      <c r="P2057" s="10" t="s">
        <v>44</v>
      </c>
      <c r="Q2057" s="10" t="s">
        <v>44</v>
      </c>
      <c r="R2057" s="11" t="s">
        <v>44</v>
      </c>
      <c r="S2057" s="11" t="s">
        <v>44</v>
      </c>
      <c r="T2057" s="22"/>
      <c r="U2057" s="22"/>
      <c r="V2057" s="22"/>
      <c r="W2057" s="22"/>
      <c r="X2057" s="22"/>
      <c r="Y2057" s="22"/>
      <c r="Z2057" s="22"/>
      <c r="AA2057" s="22"/>
      <c r="AB2057" s="22"/>
      <c r="AC2057" s="22"/>
      <c r="AD2057" s="22"/>
      <c r="AE2057" s="22"/>
      <c r="AG2057" s="71"/>
      <c r="AH2057" s="71"/>
      <c r="AI2057" s="71"/>
      <c r="AJ2057" s="82"/>
      <c r="AK2057" s="71"/>
      <c r="AL2057" s="71"/>
      <c r="AM2057" s="71"/>
      <c r="AN2057" s="71"/>
      <c r="AO2057" s="71"/>
      <c r="AP2057" s="71"/>
      <c r="AQ2057" s="71"/>
      <c r="AR2057" s="71"/>
      <c r="AS2057" s="94">
        <v>0</v>
      </c>
      <c r="AT2057" s="95">
        <v>0</v>
      </c>
      <c r="AU2057" s="97">
        <v>0</v>
      </c>
      <c r="AW2057" s="83">
        <f t="shared" si="2408"/>
        <v>0</v>
      </c>
      <c r="AX2057" s="83">
        <f t="shared" si="2409"/>
        <v>0</v>
      </c>
      <c r="AY2057" s="83">
        <f t="shared" si="2410"/>
        <v>0</v>
      </c>
      <c r="AZ2057" s="83">
        <f t="shared" si="2411"/>
        <v>0</v>
      </c>
      <c r="BA2057" s="83">
        <f t="shared" si="2403"/>
        <v>0</v>
      </c>
      <c r="BB2057" s="52"/>
      <c r="BC2057" s="52"/>
      <c r="BD2057" s="52"/>
      <c r="BE2057" s="52"/>
      <c r="BF2057" s="52"/>
      <c r="BG2057" s="52"/>
      <c r="BH2057" s="52"/>
      <c r="BI2057" s="68">
        <v>0</v>
      </c>
      <c r="BJ2057" s="68">
        <v>0</v>
      </c>
      <c r="BK2057" s="59">
        <v>0</v>
      </c>
      <c r="BL2057" s="59">
        <v>0</v>
      </c>
      <c r="BM2057" s="55">
        <v>46054</v>
      </c>
      <c r="BN2057" s="55">
        <v>46082</v>
      </c>
      <c r="BO2057" s="53">
        <v>0</v>
      </c>
      <c r="BP2057" s="53">
        <v>0</v>
      </c>
      <c r="BQ2057" s="53">
        <v>0</v>
      </c>
      <c r="BR2057" s="85">
        <v>0</v>
      </c>
      <c r="BS2057" s="53">
        <v>0.1111111111111111</v>
      </c>
    </row>
    <row r="2058" spans="1:71" ht="25.95" hidden="1" customHeight="1" x14ac:dyDescent="0.3">
      <c r="A2058" s="70" t="s">
        <v>108</v>
      </c>
      <c r="B2058" s="4" t="s">
        <v>109</v>
      </c>
      <c r="C2058" s="5" t="s">
        <v>216</v>
      </c>
      <c r="D2058" s="5" t="s">
        <v>218</v>
      </c>
      <c r="E2058" s="4" t="s">
        <v>61</v>
      </c>
      <c r="F2058" s="4" t="str" cm="1">
        <f t="array" ref="F2058">_xlfn.IFS(
AG2058 &lt;&gt; "", "Jan-Dez/26",
AH2058 &lt;&gt; "", "Fev-Dez/26",
AI2058 &lt;&gt; "", "Mar-Dez/26", AJ2058 &lt;&gt; "", "Abr-Dez/26",
TRUE, "A partir de Junho"
)</f>
        <v>A partir de Junho</v>
      </c>
      <c r="G2058" s="4" t="s">
        <v>62</v>
      </c>
      <c r="H2058" s="7" t="s">
        <v>110</v>
      </c>
      <c r="I2058" s="8"/>
      <c r="J2058" s="8" t="str" cm="1">
        <f t="array" aca="1" ref="J2058" ca="1">_xlfn.LET(
  _xlpm.actual_value_month, INDEX(T2058:AE2058, MATCH(DATE(YEAR(TODAY()), MONTH(TODAY()), 1), $T$1:$AE$1, 0)),
  IF(_xlpm.actual_value_month &lt;&gt; "",_xlpm.actual_value_month &amp; " ações mensais", "")
)</f>
        <v/>
      </c>
      <c r="K2058" s="8" t="str" cm="1">
        <f t="array" ref="K2058">_xlfn.LET(
    _xlpm.sum_month, SUM(T2058:AE2058),
    IF(_xlpm.sum_month = 0, "", _xlpm.sum_month &amp; " telemetria implementada no ano")
)</f>
        <v/>
      </c>
      <c r="L2058" s="9" t="s">
        <v>112</v>
      </c>
      <c r="M2058" s="13">
        <v>1</v>
      </c>
      <c r="N2058" s="5" t="s">
        <v>51</v>
      </c>
      <c r="O2058" s="5" t="s">
        <v>43</v>
      </c>
      <c r="P2058" s="10" t="s">
        <v>44</v>
      </c>
      <c r="Q2058" s="10" t="s">
        <v>44</v>
      </c>
      <c r="R2058" s="11" t="s">
        <v>44</v>
      </c>
      <c r="S2058" s="11" t="s">
        <v>44</v>
      </c>
      <c r="T2058" s="22"/>
      <c r="U2058" s="22"/>
      <c r="V2058" s="22"/>
      <c r="W2058" s="22"/>
      <c r="X2058" s="22"/>
      <c r="Y2058" s="22"/>
      <c r="Z2058" s="22"/>
      <c r="AA2058" s="22"/>
      <c r="AB2058" s="22"/>
      <c r="AC2058" s="22"/>
      <c r="AD2058" s="22"/>
      <c r="AE2058" s="22"/>
      <c r="AG2058" s="71"/>
      <c r="AH2058" s="71"/>
      <c r="AI2058" s="71"/>
      <c r="AJ2058" s="82"/>
      <c r="AK2058" s="71"/>
      <c r="AL2058" s="71"/>
      <c r="AM2058" s="71"/>
      <c r="AN2058" s="71"/>
      <c r="AO2058" s="71"/>
      <c r="AP2058" s="71"/>
      <c r="AQ2058" s="71"/>
      <c r="AR2058" s="71"/>
      <c r="AS2058" s="94">
        <v>0</v>
      </c>
      <c r="AT2058" s="95">
        <v>0</v>
      </c>
      <c r="AU2058" s="97">
        <v>0</v>
      </c>
      <c r="AW2058" s="83">
        <f t="shared" si="2408"/>
        <v>0</v>
      </c>
      <c r="AX2058" s="83">
        <f t="shared" si="2409"/>
        <v>0</v>
      </c>
      <c r="AY2058" s="83">
        <f t="shared" si="2410"/>
        <v>0</v>
      </c>
      <c r="AZ2058" s="83">
        <f t="shared" si="2411"/>
        <v>0</v>
      </c>
      <c r="BA2058" s="83">
        <f t="shared" si="2403"/>
        <v>0</v>
      </c>
      <c r="BB2058" s="52"/>
      <c r="BC2058" s="52"/>
      <c r="BD2058" s="52"/>
      <c r="BE2058" s="52"/>
      <c r="BF2058" s="52"/>
      <c r="BG2058" s="52"/>
      <c r="BH2058" s="52"/>
      <c r="BI2058" s="68">
        <v>0</v>
      </c>
      <c r="BJ2058" s="68">
        <v>0</v>
      </c>
      <c r="BK2058" s="59">
        <v>0</v>
      </c>
      <c r="BL2058" s="59">
        <v>0</v>
      </c>
      <c r="BM2058" s="55">
        <v>46054</v>
      </c>
      <c r="BN2058" s="55">
        <v>46082</v>
      </c>
      <c r="BO2058" s="53">
        <v>0</v>
      </c>
      <c r="BP2058" s="53">
        <v>0</v>
      </c>
      <c r="BQ2058" s="53">
        <v>0</v>
      </c>
      <c r="BR2058" s="85">
        <v>0</v>
      </c>
      <c r="BS2058" s="53">
        <v>0.1111111111111111</v>
      </c>
    </row>
    <row r="2059" spans="1:71" ht="25.95" hidden="1" customHeight="1" x14ac:dyDescent="0.3">
      <c r="A2059" s="70" t="s">
        <v>108</v>
      </c>
      <c r="B2059" s="4" t="s">
        <v>109</v>
      </c>
      <c r="C2059" s="5" t="s">
        <v>216</v>
      </c>
      <c r="D2059" s="5" t="s">
        <v>219</v>
      </c>
      <c r="E2059" s="4" t="s">
        <v>61</v>
      </c>
      <c r="F2059" s="4" t="str" cm="1">
        <f t="array" ref="F2059">_xlfn.IFS(
AG2059 &lt;&gt; "", "Jan-Dez/26",
AH2059 &lt;&gt; "", "Fev-Dez/26",
AI2059 &lt;&gt; "", "Mar-Dez/26", AJ2059 &lt;&gt; "", "Abr-Dez/26",
TRUE, "A partir de Junho"
)</f>
        <v>A partir de Junho</v>
      </c>
      <c r="G2059" s="4" t="s">
        <v>62</v>
      </c>
      <c r="H2059" s="7" t="s">
        <v>110</v>
      </c>
      <c r="I2059" s="8"/>
      <c r="J2059" s="8" t="str" cm="1">
        <f t="array" aca="1" ref="J2059" ca="1">_xlfn.LET(
  _xlpm.actual_value_month, INDEX(T2059:AE2059, MATCH(DATE(YEAR(TODAY()), MONTH(TODAY()), 1), $T$1:$AE$1, 0)),
  IF(_xlpm.actual_value_month &lt;&gt; "",_xlpm.actual_value_month &amp; " ações mensais", "")
)</f>
        <v/>
      </c>
      <c r="K2059" s="8" t="str" cm="1">
        <f t="array" ref="K2059">_xlfn.LET(
    _xlpm.sum_month, SUM(T2059:AE2059),
    IF(_xlpm.sum_month = 0, "", _xlpm.sum_month &amp; " telemetria implementada no ano")
)</f>
        <v/>
      </c>
      <c r="L2059" s="9" t="s">
        <v>112</v>
      </c>
      <c r="M2059" s="13">
        <v>1</v>
      </c>
      <c r="N2059" s="5" t="s">
        <v>51</v>
      </c>
      <c r="O2059" s="5" t="s">
        <v>43</v>
      </c>
      <c r="P2059" s="10" t="s">
        <v>44</v>
      </c>
      <c r="Q2059" s="10" t="s">
        <v>44</v>
      </c>
      <c r="R2059" s="11" t="s">
        <v>44</v>
      </c>
      <c r="S2059" s="11" t="s">
        <v>44</v>
      </c>
      <c r="T2059" s="22"/>
      <c r="U2059" s="22"/>
      <c r="V2059" s="22"/>
      <c r="W2059" s="22"/>
      <c r="X2059" s="22"/>
      <c r="Y2059" s="22"/>
      <c r="Z2059" s="22"/>
      <c r="AA2059" s="22"/>
      <c r="AB2059" s="22"/>
      <c r="AC2059" s="22"/>
      <c r="AD2059" s="22"/>
      <c r="AE2059" s="22"/>
      <c r="AG2059" s="71"/>
      <c r="AH2059" s="71"/>
      <c r="AI2059" s="71"/>
      <c r="AJ2059" s="82"/>
      <c r="AK2059" s="71"/>
      <c r="AL2059" s="71"/>
      <c r="AM2059" s="71"/>
      <c r="AN2059" s="71"/>
      <c r="AO2059" s="71"/>
      <c r="AP2059" s="71"/>
      <c r="AQ2059" s="71"/>
      <c r="AR2059" s="71"/>
      <c r="AS2059" s="94">
        <v>0</v>
      </c>
      <c r="AT2059" s="95">
        <v>0</v>
      </c>
      <c r="AU2059" s="97">
        <v>0</v>
      </c>
      <c r="AW2059" s="83">
        <f t="shared" si="2408"/>
        <v>0</v>
      </c>
      <c r="AX2059" s="83">
        <f t="shared" si="2409"/>
        <v>0</v>
      </c>
      <c r="AY2059" s="83">
        <f t="shared" si="2410"/>
        <v>0</v>
      </c>
      <c r="AZ2059" s="83">
        <f t="shared" si="2411"/>
        <v>0</v>
      </c>
      <c r="BA2059" s="83">
        <f t="shared" si="2403"/>
        <v>0</v>
      </c>
      <c r="BB2059" s="52"/>
      <c r="BC2059" s="52"/>
      <c r="BD2059" s="52"/>
      <c r="BE2059" s="52"/>
      <c r="BF2059" s="52"/>
      <c r="BG2059" s="52"/>
      <c r="BH2059" s="52"/>
      <c r="BI2059" s="68">
        <v>0</v>
      </c>
      <c r="BJ2059" s="68">
        <v>0</v>
      </c>
      <c r="BK2059" s="59">
        <v>0</v>
      </c>
      <c r="BL2059" s="59">
        <v>0</v>
      </c>
      <c r="BM2059" s="55">
        <v>46054</v>
      </c>
      <c r="BN2059" s="55">
        <v>46082</v>
      </c>
      <c r="BO2059" s="53">
        <v>0</v>
      </c>
      <c r="BP2059" s="53">
        <v>0</v>
      </c>
      <c r="BQ2059" s="53">
        <v>0</v>
      </c>
      <c r="BR2059" s="85">
        <v>0</v>
      </c>
      <c r="BS2059" s="53">
        <v>0.1111111111111111</v>
      </c>
    </row>
    <row r="2060" spans="1:71" ht="25.95" hidden="1" customHeight="1" x14ac:dyDescent="0.3">
      <c r="A2060" s="70" t="s">
        <v>108</v>
      </c>
      <c r="B2060" s="4" t="s">
        <v>109</v>
      </c>
      <c r="C2060" s="5" t="s">
        <v>216</v>
      </c>
      <c r="D2060" s="5" t="s">
        <v>36</v>
      </c>
      <c r="E2060" s="4" t="str" cm="1">
        <f t="array" ref="E2060">_xlfn.IFS(
F2060 = "A partir de Abril", "Aguardando Execução na Distribuidora",
A2060 = "CAPACITAÇÃO", "Em execução no Corporativo",
TRUE, "Em Execução na Distribuidora"
)</f>
        <v>Em Execução na Distribuidora</v>
      </c>
      <c r="F2060" s="4" t="str" cm="1">
        <f t="array" ref="F2060">_xlfn.IFS(
AG2060 &lt;&gt; "", "Jan-Dez/26",
AH2060 &lt;&gt; "", "Fev-Dez/26",
AI2060 &lt;&gt; "", "Mar-Dez/26", AJ2060 &lt;&gt; "", "Abr-Dez/26",
TRUE, "A partir de Junho"
)</f>
        <v>Jan-Dez/26</v>
      </c>
      <c r="G2060" s="4" t="s">
        <v>37</v>
      </c>
      <c r="H2060" s="7" t="s">
        <v>38</v>
      </c>
      <c r="I2060" s="8" t="s">
        <v>113</v>
      </c>
      <c r="J2060" s="8" t="str" cm="1">
        <f t="array" aca="1" ref="J2060" ca="1">_xlfn.LET(
  _xlpm.actual_value_month, INDEX(T2060:AE2060, MATCH(DATE(YEAR(TODAY()), MONTH(TODAY()), 1), $T$1:$AE$1, 0)),
  IF(_xlpm.actual_value_month &lt;&gt; "",_xlpm.actual_value_month &amp; " ações mensais", "")
)</f>
        <v/>
      </c>
      <c r="K2060" s="8" t="str" cm="1">
        <f t="array" ref="K2060">_xlfn.LET(
    _xlpm.sum_month, SUM(T2060:AE2060),
    IF(_xlpm.sum_month = 0, "", _xlpm.sum_month &amp; " empresas com a prática de controle de telemetria no ano")
)</f>
        <v/>
      </c>
      <c r="L2060" s="9" t="s">
        <v>114</v>
      </c>
      <c r="M2060" s="13">
        <v>1</v>
      </c>
      <c r="N2060" s="5" t="s">
        <v>51</v>
      </c>
      <c r="O2060" s="5" t="s">
        <v>52</v>
      </c>
      <c r="P2060" s="10" t="s">
        <v>44</v>
      </c>
      <c r="Q2060" s="10" t="s">
        <v>44</v>
      </c>
      <c r="R2060" s="11" t="s">
        <v>44</v>
      </c>
      <c r="S2060" s="11" t="s">
        <v>44</v>
      </c>
      <c r="T2060" s="22"/>
      <c r="U2060" s="22"/>
      <c r="V2060" s="22"/>
      <c r="W2060" s="22"/>
      <c r="X2060" s="22"/>
      <c r="Y2060" s="22"/>
      <c r="Z2060" s="22"/>
      <c r="AA2060" s="22"/>
      <c r="AB2060" s="22"/>
      <c r="AC2060" s="22"/>
      <c r="AD2060" s="22"/>
      <c r="AE2060" s="22"/>
      <c r="AG2060" s="71">
        <v>0</v>
      </c>
      <c r="AH2060" s="71">
        <v>0</v>
      </c>
      <c r="AI2060" s="71">
        <v>0</v>
      </c>
      <c r="AJ2060" s="71">
        <v>1</v>
      </c>
      <c r="AK2060" s="71">
        <v>1</v>
      </c>
      <c r="AL2060" s="71"/>
      <c r="AM2060" s="71"/>
      <c r="AN2060" s="71"/>
      <c r="AO2060" s="71"/>
      <c r="AP2060" s="71"/>
      <c r="AQ2060" s="71"/>
      <c r="AR2060" s="71"/>
      <c r="AS2060" s="94">
        <f ca="1">IF(MONTH(TODAY())=3,SUM(T2060:U2060),IF(MONTH(TODAY())=4,SUM(T2060:V2060),IF(MONTH(TODAY())=5,SUM(T2060:W2060),IF(MONTH(TODAY())=6,SUM(T2060:X2060),IF(MONTH(TODAY())=7,SUM(T2060:Y2060),IF(MONTH(TODAY())=8,SUM(T2060:Z2060),IF(MONTH(TODAY())=9,SUM(T2060:AA2060),IF(MONTH(TODAY())=10,SUM(T2060:AB2060),IF(MONTH(TODAY())=11,SUM(T2060:AC2060),IF(MONTH(TODAY())=12,SUM(T2060:AD2060),IF(MONTH(TODAY())=1,SUM(T2060:AE2060),T2060)))))))))))</f>
        <v>0</v>
      </c>
      <c r="AT2060" s="95">
        <f>SUM(AG2060:AR2060)</f>
        <v>2</v>
      </c>
      <c r="AU2060" s="97">
        <f>SUM(AG2060:AR2060)</f>
        <v>2</v>
      </c>
      <c r="AW2060" s="83">
        <f>AG2060</f>
        <v>0</v>
      </c>
      <c r="AX2060" s="83">
        <f>AH2060</f>
        <v>0</v>
      </c>
      <c r="AY2060" s="83">
        <f>AI2060</f>
        <v>0</v>
      </c>
      <c r="AZ2060" s="83">
        <f>AJ2060</f>
        <v>1</v>
      </c>
      <c r="BA2060" s="83">
        <f t="shared" si="2403"/>
        <v>1</v>
      </c>
      <c r="BB2060" s="52"/>
      <c r="BC2060" s="52"/>
      <c r="BD2060" s="52"/>
      <c r="BE2060" s="52"/>
      <c r="BF2060" s="52"/>
      <c r="BG2060" s="52"/>
      <c r="BH2060" s="52"/>
      <c r="BI2060" s="68" cm="1">
        <f t="array" ref="BI2060">IFERROR(INDEX(AW2060:BH2060,1,MATCH(2,1/(AW2060:BH2060&lt;&gt;""))),"")</f>
        <v>1</v>
      </c>
      <c r="BJ2060" s="68" cm="1">
        <f t="array" ref="BJ2060">IF(BM2060 = "", "",IFERROR(INDEX(AW2060:BH2060,1,MATCH(2,1/(AW2060:BH2060&lt;&gt;""),1)-1),""))</f>
        <v>1</v>
      </c>
      <c r="BK2060" s="59">
        <f>SUM(AW2060:BH2060)</f>
        <v>2</v>
      </c>
      <c r="BL2060" s="59" cm="1">
        <f t="array" ref="BL2060">IFERROR(SUM(AW2060:INDEX(AW2060:BH2060, MATCH(2, 1/(AW2060:BH2060&lt;&gt;""), 1) - 1)),0)</f>
        <v>1</v>
      </c>
      <c r="BM2060" s="55" cm="1">
        <f t="array" ref="BM2060">IFERROR(
   INDEX($AW$1:$BH$1,
      _xlfn.AGGREGATE(14, 6, COLUMN($AW$1:$BH$1)/(AW2060:BH2060&lt;&gt;""), 2) - COLUMN($AW$1) + 1
   ),
"")</f>
        <v>46113</v>
      </c>
      <c r="BN2060" s="55" cm="1">
        <f t="array" ref="BN2060">IFERROR(INDEX($AW$1:$BH$1,1,MATCH(2,1/(AW2060:BH2060&lt;&gt;""))),"")</f>
        <v>46143</v>
      </c>
      <c r="BO2060" s="53">
        <f ca="1">IFERROR(_xlfn.XLOOKUP(F2060,Apuração!A:A,Apuração!C:C)/_xlfn.XLOOKUP(F2060,Apuração!A:A,Apuração!B:B),0)</f>
        <v>0.41666666666666669</v>
      </c>
      <c r="BP2060" s="53">
        <f ca="1">IFERROR(_xlfn.XLOOKUP(F2060,Apuração!A:A,Apuração!D:D)/_xlfn.XLOOKUP(F2060,Apuração!A:A,Apuração!B:B),0)</f>
        <v>0.33333333333333331</v>
      </c>
      <c r="BQ2060" s="53">
        <f ca="1">IF(BK2060&gt;=BO2060,0,_xlfn.XLOOKUP(F2060,Apuração!A:A,Apuração!B:B)*(BO2060 + (1/_xlfn.XLOOKUP(F2060,Apuração!A:A,Apuração!B:B)) - BK2060))</f>
        <v>0</v>
      </c>
      <c r="BR2060" s="85">
        <f ca="1">IF(BQ2060=0,0,BQ2060*Z2060)</f>
        <v>0</v>
      </c>
      <c r="BS2060" s="53">
        <f ca="1">IFERROR((_xlfn.XLOOKUP(F2060,Apuração!A:A,Apuração!C:C)+1)/_xlfn.XLOOKUP(F2060,Apuração!A:A,Apuração!B:B),0)</f>
        <v>0.5</v>
      </c>
    </row>
    <row r="2061" spans="1:71" ht="25.95" hidden="1" customHeight="1" x14ac:dyDescent="0.3">
      <c r="A2061" s="70" t="s">
        <v>108</v>
      </c>
      <c r="B2061" s="4" t="s">
        <v>109</v>
      </c>
      <c r="C2061" s="5" t="s">
        <v>216</v>
      </c>
      <c r="D2061" s="5" t="s">
        <v>217</v>
      </c>
      <c r="E2061" s="4" t="str" cm="1">
        <f t="array" ref="E2061">_xlfn.IFS(
F2061 = "A partir de Abril", "Aguardando Execução na Distribuidora",
A2061 = "CAPACITAÇÃO", "Em execução no Corporativo",
TRUE, "Em Execução na Distribuidora"
)</f>
        <v>Em Execução na Distribuidora</v>
      </c>
      <c r="F2061" s="4" t="str" cm="1">
        <f t="array" ref="F2061">_xlfn.IFS(
AG2061 &lt;&gt; "", "Jan-Dez/26",
AH2061 &lt;&gt; "", "Fev-Dez/26",
AI2061 &lt;&gt; "", "Mar-Dez/26", AJ2061 &lt;&gt; "", "Abr-Dez/26",
TRUE, "A partir de Junho"
)</f>
        <v>Abr-Dez/26</v>
      </c>
      <c r="G2061" s="4" t="s">
        <v>37</v>
      </c>
      <c r="H2061" s="7" t="s">
        <v>38</v>
      </c>
      <c r="I2061" s="8" t="s">
        <v>113</v>
      </c>
      <c r="J2061" s="8" t="str" cm="1">
        <f t="array" aca="1" ref="J2061" ca="1">_xlfn.LET(
  _xlpm.actual_value_month, INDEX(T2061:AE2061, MATCH(DATE(YEAR(TODAY()), MONTH(TODAY()), 1), $T$1:$AE$1, 0)),
  IF(_xlpm.actual_value_month &lt;&gt; "",_xlpm.actual_value_month &amp; " ações mensais", "")
)</f>
        <v/>
      </c>
      <c r="K2061" s="8" t="str" cm="1">
        <f t="array" ref="K2061">_xlfn.LET(
    _xlpm.sum_month, SUM(T2061:AE2061),
    IF(_xlpm.sum_month = 0, "", _xlpm.sum_month &amp; " empresas com a prática de controle de telemetria no ano")
)</f>
        <v/>
      </c>
      <c r="L2061" s="9" t="s">
        <v>114</v>
      </c>
      <c r="M2061" s="13">
        <v>1</v>
      </c>
      <c r="N2061" s="5" t="s">
        <v>51</v>
      </c>
      <c r="O2061" s="5" t="s">
        <v>52</v>
      </c>
      <c r="P2061" s="10" t="s">
        <v>44</v>
      </c>
      <c r="Q2061" s="10" t="s">
        <v>44</v>
      </c>
      <c r="R2061" s="11" t="s">
        <v>44</v>
      </c>
      <c r="S2061" s="11" t="s">
        <v>44</v>
      </c>
      <c r="T2061" s="22"/>
      <c r="U2061" s="22"/>
      <c r="V2061" s="22"/>
      <c r="W2061" s="22"/>
      <c r="X2061" s="22"/>
      <c r="Y2061" s="22"/>
      <c r="Z2061" s="22"/>
      <c r="AA2061" s="22"/>
      <c r="AB2061" s="22"/>
      <c r="AC2061" s="22"/>
      <c r="AD2061" s="22"/>
      <c r="AE2061" s="22"/>
      <c r="AG2061" s="71"/>
      <c r="AH2061" s="71"/>
      <c r="AI2061" s="71"/>
      <c r="AJ2061" s="82">
        <v>1</v>
      </c>
      <c r="AK2061" s="71">
        <v>1</v>
      </c>
      <c r="AL2061" s="71"/>
      <c r="AM2061" s="71"/>
      <c r="AN2061" s="71"/>
      <c r="AO2061" s="71"/>
      <c r="AP2061" s="71"/>
      <c r="AQ2061" s="71"/>
      <c r="AR2061" s="71"/>
      <c r="AS2061" s="94">
        <f t="shared" ref="AS2061:AS2064" ca="1" si="2412">IF(MONTH(TODAY())=3,SUM(T2061:U2061),IF(MONTH(TODAY())=4,SUM(T2061:V2061),IF(MONTH(TODAY())=5,SUM(T2061:W2061),IF(MONTH(TODAY())=6,SUM(T2061:X2061),IF(MONTH(TODAY())=7,SUM(T2061:Y2061),IF(MONTH(TODAY())=8,SUM(T2061:Z2061),IF(MONTH(TODAY())=9,SUM(T2061:AA2061),IF(MONTH(TODAY())=10,SUM(T2061:AB2061),IF(MONTH(TODAY())=11,SUM(T2061:AC2061),IF(MONTH(TODAY())=12,SUM(T2061:AD2061),IF(MONTH(TODAY())=1,SUM(T2061:AE2061),T2061)))))))))))</f>
        <v>0</v>
      </c>
      <c r="AT2061" s="95">
        <f t="shared" ref="AT2061:AT2064" si="2413">SUM(AG2061:AR2061)</f>
        <v>2</v>
      </c>
      <c r="AU2061" s="97">
        <f t="shared" ref="AU2061:AU2064" si="2414">SUM(AG2061:AR2061)</f>
        <v>2</v>
      </c>
      <c r="AW2061" s="83">
        <f t="shared" ref="AW2061:AW2064" si="2415">AG2061</f>
        <v>0</v>
      </c>
      <c r="AX2061" s="83">
        <f t="shared" ref="AX2061:AX2064" si="2416">AH2061</f>
        <v>0</v>
      </c>
      <c r="AY2061" s="83">
        <f t="shared" ref="AY2061:AY2064" si="2417">AI2061</f>
        <v>0</v>
      </c>
      <c r="AZ2061" s="83">
        <f t="shared" ref="AZ2061:AZ2064" si="2418">AJ2061</f>
        <v>1</v>
      </c>
      <c r="BA2061" s="83">
        <f t="shared" si="2403"/>
        <v>1</v>
      </c>
      <c r="BB2061" s="52"/>
      <c r="BC2061" s="52"/>
      <c r="BD2061" s="52"/>
      <c r="BE2061" s="52"/>
      <c r="BF2061" s="52"/>
      <c r="BG2061" s="52"/>
      <c r="BH2061" s="52"/>
      <c r="BI2061" s="68" cm="1">
        <f t="array" ref="BI2061">IFERROR(INDEX(AW2061:BH2061,1,MATCH(2,1/(AW2061:BH2061&lt;&gt;""))),"")</f>
        <v>1</v>
      </c>
      <c r="BJ2061" s="68" cm="1">
        <f t="array" ref="BJ2061">IF(BM2061 = "", "",IFERROR(INDEX(AW2061:BH2061,1,MATCH(2,1/(AW2061:BH2061&lt;&gt;""),1)-1),""))</f>
        <v>1</v>
      </c>
      <c r="BK2061" s="59">
        <f t="shared" ref="BK2061:BK2064" si="2419">SUM(AW2061:BH2061)</f>
        <v>2</v>
      </c>
      <c r="BL2061" s="59" cm="1">
        <f t="array" ref="BL2061">IFERROR(SUM(AW2061:INDEX(AW2061:BH2061, MATCH(2, 1/(AW2061:BH2061&lt;&gt;""), 1) - 1)),0)</f>
        <v>1</v>
      </c>
      <c r="BM2061" s="55" cm="1">
        <f t="array" ref="BM2061">IFERROR(
   INDEX($AW$1:$BH$1,
      _xlfn.AGGREGATE(14, 6, COLUMN($AW$1:$BH$1)/(AW2061:BH2061&lt;&gt;""), 2) - COLUMN($AW$1) + 1
   ),
"")</f>
        <v>46113</v>
      </c>
      <c r="BN2061" s="55" cm="1">
        <f t="array" ref="BN2061">IFERROR(INDEX($AW$1:$BH$1,1,MATCH(2,1/(AW2061:BH2061&lt;&gt;""))),"")</f>
        <v>46143</v>
      </c>
      <c r="BO2061" s="53">
        <f ca="1">IFERROR(_xlfn.XLOOKUP(F2061,Apuração!A:A,Apuração!C:C)/_xlfn.XLOOKUP(F2061,Apuração!A:A,Apuração!B:B),0)</f>
        <v>0.22222222222222221</v>
      </c>
      <c r="BP2061" s="53">
        <f ca="1">IFERROR(_xlfn.XLOOKUP(F2061,Apuração!A:A,Apuração!D:D)/_xlfn.XLOOKUP(F2061,Apuração!A:A,Apuração!B:B),0)</f>
        <v>0.1111111111111111</v>
      </c>
      <c r="BQ2061" s="53">
        <f ca="1">IF(BK2061&gt;=BO2061,0,_xlfn.XLOOKUP(F2061,Apuração!A:A,Apuração!B:B)*(BO2061 + (1/_xlfn.XLOOKUP(F2061,Apuração!A:A,Apuração!B:B)) - BK2061))</f>
        <v>0</v>
      </c>
      <c r="BR2061" s="85">
        <f t="shared" ref="BR2061:BR2064" ca="1" si="2420">IF(BQ2061=0,0,BQ2061*Z2061)</f>
        <v>0</v>
      </c>
      <c r="BS2061" s="53">
        <f ca="1">IFERROR((_xlfn.XLOOKUP(F2061,Apuração!A:A,Apuração!C:C)+1)/_xlfn.XLOOKUP(F2061,Apuração!A:A,Apuração!B:B),0)</f>
        <v>0.33333333333333331</v>
      </c>
    </row>
    <row r="2062" spans="1:71" ht="25.95" hidden="1" customHeight="1" x14ac:dyDescent="0.3">
      <c r="A2062" s="70" t="s">
        <v>108</v>
      </c>
      <c r="B2062" s="4" t="s">
        <v>109</v>
      </c>
      <c r="C2062" s="5" t="s">
        <v>216</v>
      </c>
      <c r="D2062" s="5" t="s">
        <v>103</v>
      </c>
      <c r="E2062" s="4" t="str" cm="1">
        <f t="array" ref="E2062">_xlfn.IFS(
F2062 = "A partir de Abril", "Aguardando Execução na Distribuidora",
A2062 = "CAPACITAÇÃO", "Em execução no Corporativo",
TRUE, "Em Execução na Distribuidora"
)</f>
        <v>Em Execução na Distribuidora</v>
      </c>
      <c r="F2062" s="4" t="str" cm="1">
        <f t="array" ref="F2062">_xlfn.IFS(
AG2062 &lt;&gt; "", "Jan-Dez/26",
AH2062 &lt;&gt; "", "Fev-Dez/26",
AI2062 &lt;&gt; "", "Mar-Dez/26", AJ2062 &lt;&gt; "", "Abr-Dez/26",
TRUE, "A partir de Junho"
)</f>
        <v>Abr-Dez/26</v>
      </c>
      <c r="G2062" s="4" t="s">
        <v>37</v>
      </c>
      <c r="H2062" s="7" t="s">
        <v>38</v>
      </c>
      <c r="I2062" s="8" t="s">
        <v>113</v>
      </c>
      <c r="J2062" s="8" t="str" cm="1">
        <f t="array" aca="1" ref="J2062" ca="1">_xlfn.LET(
  _xlpm.actual_value_month, INDEX(T2062:AE2062, MATCH(DATE(YEAR(TODAY()), MONTH(TODAY()), 1), $T$1:$AE$1, 0)),
  IF(_xlpm.actual_value_month &lt;&gt; "",_xlpm.actual_value_month &amp; " ações mensais", "")
)</f>
        <v/>
      </c>
      <c r="K2062" s="8" t="str" cm="1">
        <f t="array" ref="K2062">_xlfn.LET(
    _xlpm.sum_month, SUM(T2062:AE2062),
    IF(_xlpm.sum_month = 0, "", _xlpm.sum_month &amp; " empresas com a prática de controle de telemetria no ano")
)</f>
        <v/>
      </c>
      <c r="L2062" s="9" t="s">
        <v>114</v>
      </c>
      <c r="M2062" s="13">
        <v>1</v>
      </c>
      <c r="N2062" s="5" t="s">
        <v>51</v>
      </c>
      <c r="O2062" s="5" t="s">
        <v>52</v>
      </c>
      <c r="P2062" s="10" t="s">
        <v>44</v>
      </c>
      <c r="Q2062" s="10" t="s">
        <v>44</v>
      </c>
      <c r="R2062" s="11" t="s">
        <v>44</v>
      </c>
      <c r="S2062" s="11" t="s">
        <v>44</v>
      </c>
      <c r="T2062" s="22"/>
      <c r="U2062" s="22"/>
      <c r="V2062" s="22"/>
      <c r="W2062" s="22"/>
      <c r="X2062" s="22"/>
      <c r="Y2062" s="22"/>
      <c r="Z2062" s="22"/>
      <c r="AA2062" s="22"/>
      <c r="AB2062" s="22"/>
      <c r="AC2062" s="22"/>
      <c r="AD2062" s="22"/>
      <c r="AE2062" s="22"/>
      <c r="AG2062" s="71"/>
      <c r="AH2062" s="71"/>
      <c r="AI2062" s="71"/>
      <c r="AJ2062" s="82">
        <v>1</v>
      </c>
      <c r="AK2062" s="71">
        <v>1</v>
      </c>
      <c r="AL2062" s="71"/>
      <c r="AM2062" s="71"/>
      <c r="AN2062" s="71"/>
      <c r="AO2062" s="71"/>
      <c r="AP2062" s="71"/>
      <c r="AQ2062" s="71"/>
      <c r="AR2062" s="71"/>
      <c r="AS2062" s="94">
        <f t="shared" ca="1" si="2412"/>
        <v>0</v>
      </c>
      <c r="AT2062" s="95">
        <f t="shared" si="2413"/>
        <v>2</v>
      </c>
      <c r="AU2062" s="97">
        <f t="shared" si="2414"/>
        <v>2</v>
      </c>
      <c r="AW2062" s="83">
        <f t="shared" si="2415"/>
        <v>0</v>
      </c>
      <c r="AX2062" s="83">
        <f t="shared" si="2416"/>
        <v>0</v>
      </c>
      <c r="AY2062" s="83">
        <f t="shared" si="2417"/>
        <v>0</v>
      </c>
      <c r="AZ2062" s="83">
        <f t="shared" si="2418"/>
        <v>1</v>
      </c>
      <c r="BA2062" s="83">
        <f t="shared" si="2403"/>
        <v>1</v>
      </c>
      <c r="BB2062" s="52"/>
      <c r="BC2062" s="52"/>
      <c r="BD2062" s="52"/>
      <c r="BE2062" s="52"/>
      <c r="BF2062" s="52"/>
      <c r="BG2062" s="52"/>
      <c r="BH2062" s="52"/>
      <c r="BI2062" s="68" cm="1">
        <f t="array" ref="BI2062">IFERROR(INDEX(AW2062:BH2062,1,MATCH(2,1/(AW2062:BH2062&lt;&gt;""))),"")</f>
        <v>1</v>
      </c>
      <c r="BJ2062" s="68" cm="1">
        <f t="array" ref="BJ2062">IF(BM2062 = "", "",IFERROR(INDEX(AW2062:BH2062,1,MATCH(2,1/(AW2062:BH2062&lt;&gt;""),1)-1),""))</f>
        <v>1</v>
      </c>
      <c r="BK2062" s="59">
        <f t="shared" si="2419"/>
        <v>2</v>
      </c>
      <c r="BL2062" s="59" cm="1">
        <f t="array" ref="BL2062">IFERROR(SUM(AW2062:INDEX(AW2062:BH2062, MATCH(2, 1/(AW2062:BH2062&lt;&gt;""), 1) - 1)),0)</f>
        <v>1</v>
      </c>
      <c r="BM2062" s="55" cm="1">
        <f t="array" ref="BM2062">IFERROR(
   INDEX($AW$1:$BH$1,
      _xlfn.AGGREGATE(14, 6, COLUMN($AW$1:$BH$1)/(AW2062:BH2062&lt;&gt;""), 2) - COLUMN($AW$1) + 1
   ),
"")</f>
        <v>46113</v>
      </c>
      <c r="BN2062" s="55" cm="1">
        <f t="array" ref="BN2062">IFERROR(INDEX($AW$1:$BH$1,1,MATCH(2,1/(AW2062:BH2062&lt;&gt;""))),"")</f>
        <v>46143</v>
      </c>
      <c r="BO2062" s="53">
        <f ca="1">IFERROR(_xlfn.XLOOKUP(F2062,Apuração!A:A,Apuração!C:C)/_xlfn.XLOOKUP(F2062,Apuração!A:A,Apuração!B:B),0)</f>
        <v>0.22222222222222221</v>
      </c>
      <c r="BP2062" s="53">
        <f ca="1">IFERROR(_xlfn.XLOOKUP(F2062,Apuração!A:A,Apuração!D:D)/_xlfn.XLOOKUP(F2062,Apuração!A:A,Apuração!B:B),0)</f>
        <v>0.1111111111111111</v>
      </c>
      <c r="BQ2062" s="53">
        <f ca="1">IF(BK2062&gt;=BO2062,0,_xlfn.XLOOKUP(F2062,Apuração!A:A,Apuração!B:B)*(BO2062 + (1/_xlfn.XLOOKUP(F2062,Apuração!A:A,Apuração!B:B)) - BK2062))</f>
        <v>0</v>
      </c>
      <c r="BR2062" s="85">
        <f t="shared" ca="1" si="2420"/>
        <v>0</v>
      </c>
      <c r="BS2062" s="53">
        <f ca="1">IFERROR((_xlfn.XLOOKUP(F2062,Apuração!A:A,Apuração!C:C)+1)/_xlfn.XLOOKUP(F2062,Apuração!A:A,Apuração!B:B),0)</f>
        <v>0.33333333333333331</v>
      </c>
    </row>
    <row r="2063" spans="1:71" ht="25.95" hidden="1" customHeight="1" x14ac:dyDescent="0.3">
      <c r="A2063" s="70" t="s">
        <v>108</v>
      </c>
      <c r="B2063" s="4" t="s">
        <v>109</v>
      </c>
      <c r="C2063" s="5" t="s">
        <v>216</v>
      </c>
      <c r="D2063" s="5" t="s">
        <v>218</v>
      </c>
      <c r="E2063" s="4" t="str" cm="1">
        <f t="array" ref="E2063">_xlfn.IFS(
F2063 = "A partir de Abril", "Aguardando Execução na Distribuidora",
A2063 = "CAPACITAÇÃO", "Em execução no Corporativo",
TRUE, "Em Execução na Distribuidora"
)</f>
        <v>Em Execução na Distribuidora</v>
      </c>
      <c r="F2063" s="4" t="str" cm="1">
        <f t="array" ref="F2063">_xlfn.IFS(
AG2063 &lt;&gt; "", "Jan-Dez/26",
AH2063 &lt;&gt; "", "Fev-Dez/26",
AI2063 &lt;&gt; "", "Mar-Dez/26", AJ2063 &lt;&gt; "", "Abr-Dez/26",
TRUE, "A partir de Junho"
)</f>
        <v>Abr-Dez/26</v>
      </c>
      <c r="G2063" s="4" t="s">
        <v>37</v>
      </c>
      <c r="H2063" s="7" t="s">
        <v>38</v>
      </c>
      <c r="I2063" s="8" t="s">
        <v>113</v>
      </c>
      <c r="J2063" s="8" t="str" cm="1">
        <f t="array" aca="1" ref="J2063" ca="1">_xlfn.LET(
  _xlpm.actual_value_month, INDEX(T2063:AE2063, MATCH(DATE(YEAR(TODAY()), MONTH(TODAY()), 1), $T$1:$AE$1, 0)),
  IF(_xlpm.actual_value_month &lt;&gt; "",_xlpm.actual_value_month &amp; " ações mensais", "")
)</f>
        <v/>
      </c>
      <c r="K2063" s="8" t="str" cm="1">
        <f t="array" ref="K2063">_xlfn.LET(
    _xlpm.sum_month, SUM(T2063:AE2063),
    IF(_xlpm.sum_month = 0, "", _xlpm.sum_month &amp; " empresas com a prática de controle de telemetria no ano")
)</f>
        <v/>
      </c>
      <c r="L2063" s="9" t="s">
        <v>114</v>
      </c>
      <c r="M2063" s="13">
        <v>1</v>
      </c>
      <c r="N2063" s="5" t="s">
        <v>51</v>
      </c>
      <c r="O2063" s="5" t="s">
        <v>52</v>
      </c>
      <c r="P2063" s="10" t="s">
        <v>44</v>
      </c>
      <c r="Q2063" s="10" t="s">
        <v>44</v>
      </c>
      <c r="R2063" s="11" t="s">
        <v>44</v>
      </c>
      <c r="S2063" s="11" t="s">
        <v>44</v>
      </c>
      <c r="T2063" s="22"/>
      <c r="U2063" s="22"/>
      <c r="V2063" s="22"/>
      <c r="W2063" s="22"/>
      <c r="X2063" s="22"/>
      <c r="Y2063" s="22"/>
      <c r="Z2063" s="22"/>
      <c r="AA2063" s="22"/>
      <c r="AB2063" s="22"/>
      <c r="AC2063" s="22"/>
      <c r="AD2063" s="22"/>
      <c r="AE2063" s="22"/>
      <c r="AG2063" s="71"/>
      <c r="AH2063" s="71"/>
      <c r="AI2063" s="71"/>
      <c r="AJ2063" s="82">
        <v>1</v>
      </c>
      <c r="AK2063" s="71">
        <v>1</v>
      </c>
      <c r="AL2063" s="71"/>
      <c r="AM2063" s="71"/>
      <c r="AN2063" s="71"/>
      <c r="AO2063" s="71"/>
      <c r="AP2063" s="71"/>
      <c r="AQ2063" s="71"/>
      <c r="AR2063" s="71"/>
      <c r="AS2063" s="94">
        <f t="shared" ca="1" si="2412"/>
        <v>0</v>
      </c>
      <c r="AT2063" s="95">
        <f t="shared" si="2413"/>
        <v>2</v>
      </c>
      <c r="AU2063" s="97">
        <f t="shared" si="2414"/>
        <v>2</v>
      </c>
      <c r="AW2063" s="83">
        <f t="shared" si="2415"/>
        <v>0</v>
      </c>
      <c r="AX2063" s="83">
        <f t="shared" si="2416"/>
        <v>0</v>
      </c>
      <c r="AY2063" s="83">
        <f t="shared" si="2417"/>
        <v>0</v>
      </c>
      <c r="AZ2063" s="83">
        <f t="shared" si="2418"/>
        <v>1</v>
      </c>
      <c r="BA2063" s="83">
        <f t="shared" si="2403"/>
        <v>1</v>
      </c>
      <c r="BB2063" s="52"/>
      <c r="BC2063" s="52"/>
      <c r="BD2063" s="52"/>
      <c r="BE2063" s="52"/>
      <c r="BF2063" s="52"/>
      <c r="BG2063" s="52"/>
      <c r="BH2063" s="52"/>
      <c r="BI2063" s="68" cm="1">
        <f t="array" ref="BI2063">IFERROR(INDEX(AW2063:BH2063,1,MATCH(2,1/(AW2063:BH2063&lt;&gt;""))),"")</f>
        <v>1</v>
      </c>
      <c r="BJ2063" s="68" cm="1">
        <f t="array" ref="BJ2063">IF(BM2063 = "", "",IFERROR(INDEX(AW2063:BH2063,1,MATCH(2,1/(AW2063:BH2063&lt;&gt;""),1)-1),""))</f>
        <v>1</v>
      </c>
      <c r="BK2063" s="59">
        <f t="shared" si="2419"/>
        <v>2</v>
      </c>
      <c r="BL2063" s="59" cm="1">
        <f t="array" ref="BL2063">IFERROR(SUM(AW2063:INDEX(AW2063:BH2063, MATCH(2, 1/(AW2063:BH2063&lt;&gt;""), 1) - 1)),0)</f>
        <v>1</v>
      </c>
      <c r="BM2063" s="55" cm="1">
        <f t="array" ref="BM2063">IFERROR(
   INDEX($AW$1:$BH$1,
      _xlfn.AGGREGATE(14, 6, COLUMN($AW$1:$BH$1)/(AW2063:BH2063&lt;&gt;""), 2) - COLUMN($AW$1) + 1
   ),
"")</f>
        <v>46113</v>
      </c>
      <c r="BN2063" s="55" cm="1">
        <f t="array" ref="BN2063">IFERROR(INDEX($AW$1:$BH$1,1,MATCH(2,1/(AW2063:BH2063&lt;&gt;""))),"")</f>
        <v>46143</v>
      </c>
      <c r="BO2063" s="53">
        <f ca="1">IFERROR(_xlfn.XLOOKUP(F2063,Apuração!A:A,Apuração!C:C)/_xlfn.XLOOKUP(F2063,Apuração!A:A,Apuração!B:B),0)</f>
        <v>0.22222222222222221</v>
      </c>
      <c r="BP2063" s="53">
        <f ca="1">IFERROR(_xlfn.XLOOKUP(F2063,Apuração!A:A,Apuração!D:D)/_xlfn.XLOOKUP(F2063,Apuração!A:A,Apuração!B:B),0)</f>
        <v>0.1111111111111111</v>
      </c>
      <c r="BQ2063" s="53">
        <f ca="1">IF(BK2063&gt;=BO2063,0,_xlfn.XLOOKUP(F2063,Apuração!A:A,Apuração!B:B)*(BO2063 + (1/_xlfn.XLOOKUP(F2063,Apuração!A:A,Apuração!B:B)) - BK2063))</f>
        <v>0</v>
      </c>
      <c r="BR2063" s="85">
        <f t="shared" ca="1" si="2420"/>
        <v>0</v>
      </c>
      <c r="BS2063" s="53">
        <f ca="1">IFERROR((_xlfn.XLOOKUP(F2063,Apuração!A:A,Apuração!C:C)+1)/_xlfn.XLOOKUP(F2063,Apuração!A:A,Apuração!B:B),0)</f>
        <v>0.33333333333333331</v>
      </c>
    </row>
    <row r="2064" spans="1:71" ht="25.95" hidden="1" customHeight="1" x14ac:dyDescent="0.3">
      <c r="A2064" s="70" t="s">
        <v>108</v>
      </c>
      <c r="B2064" s="4" t="s">
        <v>109</v>
      </c>
      <c r="C2064" s="5" t="s">
        <v>216</v>
      </c>
      <c r="D2064" s="5" t="s">
        <v>219</v>
      </c>
      <c r="E2064" s="4" t="str" cm="1">
        <f t="array" ref="E2064">_xlfn.IFS(
F2064 = "A partir de Abril", "Aguardando Execução na Distribuidora",
A2064 = "CAPACITAÇÃO", "Em execução no Corporativo",
TRUE, "Em Execução na Distribuidora"
)</f>
        <v>Em Execução na Distribuidora</v>
      </c>
      <c r="F2064" s="4" t="str" cm="1">
        <f t="array" ref="F2064">_xlfn.IFS(
AG2064 &lt;&gt; "", "Jan-Dez/26",
AH2064 &lt;&gt; "", "Fev-Dez/26",
AI2064 &lt;&gt; "", "Mar-Dez/26", AJ2064 &lt;&gt; "", "Abr-Dez/26",
TRUE, "A partir de Junho"
)</f>
        <v>Abr-Dez/26</v>
      </c>
      <c r="G2064" s="4" t="s">
        <v>37</v>
      </c>
      <c r="H2064" s="7" t="s">
        <v>38</v>
      </c>
      <c r="I2064" s="8" t="s">
        <v>113</v>
      </c>
      <c r="J2064" s="8" t="str" cm="1">
        <f t="array" aca="1" ref="J2064" ca="1">_xlfn.LET(
  _xlpm.actual_value_month, INDEX(T2064:AE2064, MATCH(DATE(YEAR(TODAY()), MONTH(TODAY()), 1), $T$1:$AE$1, 0)),
  IF(_xlpm.actual_value_month &lt;&gt; "",_xlpm.actual_value_month &amp; " ações mensais", "")
)</f>
        <v/>
      </c>
      <c r="K2064" s="8" t="str" cm="1">
        <f t="array" ref="K2064">_xlfn.LET(
    _xlpm.sum_month, SUM(T2064:AE2064),
    IF(_xlpm.sum_month = 0, "", _xlpm.sum_month &amp; " empresas com a prática de controle de telemetria no ano")
)</f>
        <v/>
      </c>
      <c r="L2064" s="9" t="s">
        <v>114</v>
      </c>
      <c r="M2064" s="13">
        <v>1</v>
      </c>
      <c r="N2064" s="5" t="s">
        <v>51</v>
      </c>
      <c r="O2064" s="5" t="s">
        <v>52</v>
      </c>
      <c r="P2064" s="10" t="s">
        <v>44</v>
      </c>
      <c r="Q2064" s="10" t="s">
        <v>44</v>
      </c>
      <c r="R2064" s="11" t="s">
        <v>44</v>
      </c>
      <c r="S2064" s="11" t="s">
        <v>44</v>
      </c>
      <c r="T2064" s="22"/>
      <c r="U2064" s="22"/>
      <c r="V2064" s="22"/>
      <c r="W2064" s="22"/>
      <c r="X2064" s="22"/>
      <c r="Y2064" s="22"/>
      <c r="Z2064" s="22"/>
      <c r="AA2064" s="22"/>
      <c r="AB2064" s="22"/>
      <c r="AC2064" s="22"/>
      <c r="AD2064" s="22"/>
      <c r="AE2064" s="22"/>
      <c r="AG2064" s="71"/>
      <c r="AH2064" s="71"/>
      <c r="AI2064" s="71"/>
      <c r="AJ2064" s="82">
        <v>1</v>
      </c>
      <c r="AK2064" s="71">
        <v>1</v>
      </c>
      <c r="AL2064" s="71"/>
      <c r="AM2064" s="71"/>
      <c r="AN2064" s="71"/>
      <c r="AO2064" s="71"/>
      <c r="AP2064" s="71"/>
      <c r="AQ2064" s="71"/>
      <c r="AR2064" s="71"/>
      <c r="AS2064" s="94">
        <f t="shared" ca="1" si="2412"/>
        <v>0</v>
      </c>
      <c r="AT2064" s="95">
        <f t="shared" si="2413"/>
        <v>2</v>
      </c>
      <c r="AU2064" s="97">
        <f t="shared" si="2414"/>
        <v>2</v>
      </c>
      <c r="AW2064" s="83">
        <f t="shared" si="2415"/>
        <v>0</v>
      </c>
      <c r="AX2064" s="83">
        <f t="shared" si="2416"/>
        <v>0</v>
      </c>
      <c r="AY2064" s="83">
        <f t="shared" si="2417"/>
        <v>0</v>
      </c>
      <c r="AZ2064" s="83">
        <f t="shared" si="2418"/>
        <v>1</v>
      </c>
      <c r="BA2064" s="83">
        <f t="shared" si="2403"/>
        <v>1</v>
      </c>
      <c r="BB2064" s="52"/>
      <c r="BC2064" s="52"/>
      <c r="BD2064" s="52"/>
      <c r="BE2064" s="52"/>
      <c r="BF2064" s="52"/>
      <c r="BG2064" s="52"/>
      <c r="BH2064" s="52"/>
      <c r="BI2064" s="68" cm="1">
        <f t="array" ref="BI2064">IFERROR(INDEX(AW2064:BH2064,1,MATCH(2,1/(AW2064:BH2064&lt;&gt;""))),"")</f>
        <v>1</v>
      </c>
      <c r="BJ2064" s="68" cm="1">
        <f t="array" ref="BJ2064">IF(BM2064 = "", "",IFERROR(INDEX(AW2064:BH2064,1,MATCH(2,1/(AW2064:BH2064&lt;&gt;""),1)-1),""))</f>
        <v>1</v>
      </c>
      <c r="BK2064" s="59">
        <f t="shared" si="2419"/>
        <v>2</v>
      </c>
      <c r="BL2064" s="59" cm="1">
        <f t="array" ref="BL2064">IFERROR(SUM(AW2064:INDEX(AW2064:BH2064, MATCH(2, 1/(AW2064:BH2064&lt;&gt;""), 1) - 1)),0)</f>
        <v>1</v>
      </c>
      <c r="BM2064" s="55" cm="1">
        <f t="array" ref="BM2064">IFERROR(
   INDEX($AW$1:$BH$1,
      _xlfn.AGGREGATE(14, 6, COLUMN($AW$1:$BH$1)/(AW2064:BH2064&lt;&gt;""), 2) - COLUMN($AW$1) + 1
   ),
"")</f>
        <v>46113</v>
      </c>
      <c r="BN2064" s="55" cm="1">
        <f t="array" ref="BN2064">IFERROR(INDEX($AW$1:$BH$1,1,MATCH(2,1/(AW2064:BH2064&lt;&gt;""))),"")</f>
        <v>46143</v>
      </c>
      <c r="BO2064" s="53">
        <f ca="1">IFERROR(_xlfn.XLOOKUP(F2064,Apuração!A:A,Apuração!C:C)/_xlfn.XLOOKUP(F2064,Apuração!A:A,Apuração!B:B),0)</f>
        <v>0.22222222222222221</v>
      </c>
      <c r="BP2064" s="53">
        <f ca="1">IFERROR(_xlfn.XLOOKUP(F2064,Apuração!A:A,Apuração!D:D)/_xlfn.XLOOKUP(F2064,Apuração!A:A,Apuração!B:B),0)</f>
        <v>0.1111111111111111</v>
      </c>
      <c r="BQ2064" s="53">
        <f ca="1">IF(BK2064&gt;=BO2064,0,_xlfn.XLOOKUP(F2064,Apuração!A:A,Apuração!B:B)*(BO2064 + (1/_xlfn.XLOOKUP(F2064,Apuração!A:A,Apuração!B:B)) - BK2064))</f>
        <v>0</v>
      </c>
      <c r="BR2064" s="85">
        <f t="shared" ca="1" si="2420"/>
        <v>0</v>
      </c>
      <c r="BS2064" s="53">
        <f ca="1">IFERROR((_xlfn.XLOOKUP(F2064,Apuração!A:A,Apuração!C:C)+1)/_xlfn.XLOOKUP(F2064,Apuração!A:A,Apuração!B:B),0)</f>
        <v>0.33333333333333331</v>
      </c>
    </row>
    <row r="2065" spans="1:71" ht="25.95" hidden="1" customHeight="1" x14ac:dyDescent="0.3">
      <c r="A2065" s="41" t="s">
        <v>108</v>
      </c>
      <c r="B2065" s="4" t="s">
        <v>109</v>
      </c>
      <c r="C2065" s="5" t="s">
        <v>216</v>
      </c>
      <c r="D2065" s="5" t="s">
        <v>36</v>
      </c>
      <c r="E2065" s="4" t="str" cm="1">
        <f t="array" ref="E2065">_xlfn.IFS(
F2065 = "A partir de Abril", "Aguardando Execução na Distribuidora",
A2065 = "CAPACITAÇÃO", "Em execução no Corporativo",
TRUE, "Em Execução na Distribuidora"
)</f>
        <v>Em Execução na Distribuidora</v>
      </c>
      <c r="F2065" s="4" t="str" cm="1">
        <f t="array" ref="F2065">_xlfn.IFS(
AG2065 &lt;&gt; "", "Jan-Dez/26",
AH2065 &lt;&gt; "", "Fev-Dez/26",
AI2065 &lt;&gt; "", "Mar-Dez/26", AJ2065 &lt;&gt; "", "Abr-Dez/26",
TRUE, "A partir de Junho"
)</f>
        <v>Jan-Dez/26</v>
      </c>
      <c r="G2065" s="4" t="s">
        <v>37</v>
      </c>
      <c r="H2065" s="7" t="s">
        <v>38</v>
      </c>
      <c r="I2065" s="4" t="s">
        <v>115</v>
      </c>
      <c r="J2065" s="8" t="str" cm="1">
        <f t="array" aca="1" ref="J2065" ca="1">_xlfn.LET(
  _xlpm.actual_value_month, INDEX(T2065:AE2065, MATCH(DATE(YEAR(TODAY()), MONTH(TODAY()), 1), $T$1:$AE$1, 0)),
  IF(_xlpm.actual_value_month &lt;&gt; "",_xlpm.actual_value_month &amp; " redução de notificações mensais", "")
)</f>
        <v>100 redução de notificações mensais</v>
      </c>
      <c r="K2065" s="8" t="str" cm="1">
        <f t="array" ref="K2065">_xlfn.LET(
    _xlpm.sum_month, SUM(T2065:AE2065),
    IF(_xlpm.sum_month = 0, "", _xlpm.sum_month &amp; " taxa de redução das notificações de excesso de velocidade no ano")
)</f>
        <v>1196 taxa de redução das notificações de excesso de velocidade no ano</v>
      </c>
      <c r="L2065" s="4" t="s">
        <v>116</v>
      </c>
      <c r="M2065" s="13">
        <v>1</v>
      </c>
      <c r="N2065" s="45" t="s">
        <v>42</v>
      </c>
      <c r="O2065" s="5" t="s">
        <v>43</v>
      </c>
      <c r="P2065" s="10" t="s">
        <v>44</v>
      </c>
      <c r="Q2065" s="10" t="s">
        <v>44</v>
      </c>
      <c r="R2065" s="11" t="s">
        <v>44</v>
      </c>
      <c r="S2065" s="11" t="s">
        <v>44</v>
      </c>
      <c r="T2065" s="22">
        <v>52</v>
      </c>
      <c r="U2065" s="22">
        <v>52</v>
      </c>
      <c r="V2065" s="22">
        <v>192</v>
      </c>
      <c r="W2065" s="22">
        <v>100</v>
      </c>
      <c r="X2065" s="22">
        <v>100</v>
      </c>
      <c r="Y2065" s="22">
        <v>100</v>
      </c>
      <c r="Z2065" s="22">
        <v>100</v>
      </c>
      <c r="AA2065" s="22">
        <v>100</v>
      </c>
      <c r="AB2065" s="22">
        <v>100</v>
      </c>
      <c r="AC2065" s="22">
        <v>100</v>
      </c>
      <c r="AD2065" s="22">
        <v>100</v>
      </c>
      <c r="AE2065" s="22">
        <v>100</v>
      </c>
      <c r="AG2065" s="71">
        <v>52</v>
      </c>
      <c r="AH2065" s="71">
        <v>52</v>
      </c>
      <c r="AI2065" s="71">
        <v>192</v>
      </c>
      <c r="AJ2065" s="71">
        <v>270</v>
      </c>
      <c r="AK2065" s="71">
        <v>279</v>
      </c>
      <c r="AL2065" s="71"/>
      <c r="AM2065" s="71"/>
      <c r="AN2065" s="71"/>
      <c r="AO2065" s="71"/>
      <c r="AP2065" s="71"/>
      <c r="AQ2065" s="71"/>
      <c r="AR2065" s="71"/>
      <c r="AS2065" s="94">
        <f ca="1">IF(MONTH(TODAY())=3,SUM(T2065:U2065),IF(MONTH(TODAY())=4,SUM(T2065:V2065),IF(MONTH(TODAY())=5,SUM(T2065:W2065),IF(MONTH(TODAY())=6,SUM(T2065:X2065),IF(MONTH(TODAY())=7,SUM(T2065:Y2065),IF(MONTH(TODAY())=8,SUM(T2065:Z2065),IF(MONTH(TODAY())=9,SUM(T2065:AA2065),IF(MONTH(TODAY())=10,SUM(T2065:AB2065),IF(MONTH(TODAY())=11,SUM(T2065:AC2065),IF(MONTH(TODAY())=12,SUM(T2065:AD2065),IF(MONTH(TODAY())=1,SUM(T2065:AE2065),T2065)))))))))))</f>
        <v>496</v>
      </c>
      <c r="AT2065" s="95">
        <f>SUM(IF(AW2065&lt;1.15,AG2065,1.15*T2065),IF(AX2065&lt;1.15,AH2065,1.15*U2065),IF(AY2065&lt;1.15,AI2065,1.15*V2065),IF(AZ2065&lt;1.15,AJ2065,1.15*W2065),IF(BA2065&lt;1.15,AK2065,1.15*X2065),IF(BB2065&lt;1.15,AL2065,1.15*Y2065),IF(BC2065&lt;1.15,AM2065,1.15*Z2065),IF(BD2065&lt;1.15,AN2065,1.15*AA2065),IF(BE2065&lt;1.15,AO2065,1.15*AB2065),IF(BF2065&lt;1.15,AP2065,1.15*AC2065),IF(BG2065&lt;1.15,AQ2065,1.15*AD2065),IF(BH2065&lt;1.15,AR2065,1.15*AE2065))</f>
        <v>845</v>
      </c>
      <c r="AU2065" s="97">
        <f>SUM(AG2065:AR2065)</f>
        <v>845</v>
      </c>
      <c r="AW2065" s="51">
        <f>IF(ISBLANK(AG2065),0,IF(1+((AG2065-T2065)/T2065)&gt;=1, 1-((AG2065-T2065)/AG2065),
IF(1+((AG2065-T2065)/T2065)&lt;=0,1.15,IF(1+((AG2065-T2065)/T2065)&lt;=0.33,1.1,
IF(1+((AG2065-T2065)/T2065)&lt;=0.66,1.05,
IF(AG2065&lt;=T2065,1))))))</f>
        <v>1</v>
      </c>
      <c r="AX2065" s="51">
        <f>IF(ISBLANK(AH2065),0,IF(1+((AH2065-U2065)/U2065)&gt;=1, 1-((AH2065-U2065)/AH2065),
IF(1+((AH2065-U2065)/U2065)&lt;=0,1.15,IF(1+((AH2065-U2065)/U2065)&lt;=0.33,1.1,
IF(1+((AH2065-U2065)/U2065)&lt;=0.66,1.05,
IF(AH2065&lt;=U2065,1))))))</f>
        <v>1</v>
      </c>
      <c r="AY2065" s="51">
        <f>IF(ISBLANK(AI2065),0,IF(1+((AI2065-V2065)/V2065)&gt;=1, 1-((AI2065-V2065)/AI2065),
IF(1+((AI2065-V2065)/V2065)&lt;=0,1.15,IF(1+((AI2065-V2065)/V2065)&lt;=0.33,1.1,
IF(1+((AI2065-V2065)/V2065)&lt;=0.66,1.05,
IF(AI2065&lt;=V2065,1))))))</f>
        <v>1</v>
      </c>
      <c r="AZ2065" s="51">
        <f>IF(ISBLANK(AJ2065),0,IF(1+((AJ2065-W2065)/W2065)&gt;=1, 1-((AJ2065-W2065)/AJ2065),
IF(1+((AJ2065-W2065)/W2065)&lt;=0,1.15,IF(1+((AJ2065-W2065)/W2065)&lt;=0.33,1.1,
IF(1+((AJ2065-W2065)/W2065)&lt;=0.66,1.05,
IF(AJ2065&lt;=W2065,1))))))</f>
        <v>0.37037037037037035</v>
      </c>
      <c r="BA2065" s="51">
        <f t="shared" ref="BA2065:BA2069" si="2421">IF(ISBLANK(AK2065),0,IF(1+((AK2065-X2065)/X2065)&gt;=1, 1-((AK2065-X2065)/AK2065),
IF(1+((AK2065-X2065)/X2065)&lt;=0,1.15,IF(1+((AK2065-X2065)/X2065)&lt;=0.33,1.1,
IF(1+((AK2065-X2065)/X2065)&lt;=0.66,1.05,
IF(AK2065&lt;=X2065,1))))))</f>
        <v>0.35842293906810041</v>
      </c>
      <c r="BB2065" s="51"/>
      <c r="BC2065" s="51"/>
      <c r="BD2065" s="51"/>
      <c r="BE2065" s="51"/>
      <c r="BF2065" s="51"/>
      <c r="BG2065" s="51"/>
      <c r="BH2065" s="51"/>
      <c r="BI2065" s="80" cm="1">
        <f t="array" ref="BI2065">IFERROR(INDEX(AW2065:BH2065,1,MATCH(2,1/(AW2065:BH2065&lt;&gt;""))),"")</f>
        <v>0.35842293906810041</v>
      </c>
      <c r="BJ2065" s="68" cm="1">
        <f t="array" ref="BJ2065">IF(BM2065 = "", "",IFERROR(INDEX(AW2065:BH2065,1,MATCH(2,1/(AW2065:BH2065&lt;&gt;""),1)-1),""))</f>
        <v>0.37037037037037035</v>
      </c>
      <c r="BK2065" s="58">
        <f>IF((IF(AW2065&gt;=115%,115%,AW2065) + IF(AX2065&gt;=115%,115%,AX2065) + IF(AY2065&gt;=115%,115%,AY2065) + (IF(AZ2065&gt;=115%,115%,AZ2065) + IF(BA2065&gt;=115%,115%,BA2065) + IF(BB2065&gt;=115%,115%,BB2065) + IF(BC2065&gt;=115%,115%,BC2065) + IF(BD2065&gt;=115%,115%,BD2065) + IF(BE2065&gt;=115%,115%,BE2065) + IF(BF2065&gt;=115%,115%,BF2065) + IF(BG2065&gt;=115%,115%,BG2065) + IF(BH2065&gt;=115%,115%,BH2065)))/_xlfn.XLOOKUP(F2065,Apuração!A:A,Apuração!B:B)&gt;=1.15,1.15,((IF(AZ2065&gt;=115%,115%,AZ2065) + IF(AX2065&gt;=115%,115%,AX2065) + IF(AY2065&gt;=115%,115%,AY2065) + (IF(AW2065&gt;=115%,115%,AW2065) + IF(BA2065&gt;=115%,115%,BA2065) + IF(BB2065&gt;=115%,115%,BB2065) + IF(BC2065&gt;=115%,115%,BC2065) + IF(BD2065&gt;=115%,115%,BD2065) + IF(BE2065&gt;=115%,115%,BE2065) + IF(BF2065&gt;=115%,115%,BF2065) + IF(BG2065&gt;=115%,115%,BG2065) + IF(BH2065&gt;=115%,115%,BH2065)))/_xlfn.XLOOKUP(F2065,Apuração!A:A,Apuração!B:B)))</f>
        <v>0.31073277578653924</v>
      </c>
      <c r="BL2065" s="58" cm="1">
        <f t="array" aca="1" ref="BL2065" ca="1">IF(SUM(IFERROR(IF(INDEX(AW2065:INDEX(AW2065:BH2065, MATCH(2, 1/(AW2065:BH2065&lt;&gt;""), 1)-1), ROW(INDIRECT("1:" &amp; MATCH(2, 1/(AW2065:BH2065&lt;&gt;""), 1)-1))) &gt;= 115%, 115%, INDEX(AW2065:INDEX(AW2065:BH2065, MATCH(2, 1/(AW2065:BH2065&lt;&gt;""), 1)-1), ROW(INDIRECT("1:" &amp; MATCH(2, 1/(AW2065:BH2065&lt;&gt;""), 1)-1)))), 0))/_xlfn.XLOOKUP(F2065,Apuração!A:A,Apuração!B:B)&gt;=1.15,1.15,SUM(IFERROR(IF(INDEX(AW2065:INDEX(AW2065:BH2065, MATCH(2, 1/(AW2065:BH2065&lt;&gt;""), 1)-1), ROW(INDIRECT("1:" &amp; MATCH(2, 1/(AW2065:BH2065&lt;&gt;""), 1)-1))) &gt;= 115%, 115%, INDEX(AW2065:INDEX(AW2065:BH2065, MATCH(2, 1/(AW2065:BH2065&lt;&gt;""), 1)-1), ROW(INDIRECT("1:" &amp; MATCH(2, 1/(AW2065:BH2065&lt;&gt;""), 1)-1)))), 0))/_xlfn.XLOOKUP(F2065,Apuração!A:A,Apuração!B:B))</f>
        <v>0.28086419753086417</v>
      </c>
      <c r="BM2065" s="55" cm="1">
        <f t="array" ref="BM2065">IFERROR(
   INDEX($AW$1:$BH$1,
      _xlfn.AGGREGATE(14, 6, COLUMN($AW$1:$BH$1)/(AW2065:BH2065&lt;&gt;""), 2) - COLUMN($AW$1) + 1
   ),
"")</f>
        <v>46113</v>
      </c>
      <c r="BN2065" s="55" cm="1">
        <f t="array" ref="BN2065">IFERROR(INDEX($AW$1:$BH$1,1,MATCH(2,1/(AW2065:BH2065&lt;&gt;""))),"")</f>
        <v>46143</v>
      </c>
      <c r="BO2065" s="53">
        <f ca="1">IFERROR(_xlfn.XLOOKUP(F2065,Apuração!A:A,Apuração!C:C)/_xlfn.XLOOKUP(F2065,Apuração!A:A,Apuração!B:B),0)</f>
        <v>0.41666666666666669</v>
      </c>
      <c r="BP2065" s="53">
        <f ca="1">IFERROR(_xlfn.XLOOKUP(F2065,Apuração!A:A,Apuração!D:D)/_xlfn.XLOOKUP(F2065,Apuração!A:A,Apuração!B:B),0)</f>
        <v>0.33333333333333331</v>
      </c>
      <c r="BQ2065" s="53">
        <f ca="1">IF(BK2065&gt;=BO2065,0,_xlfn.XLOOKUP(F2065,Apuração!A:A,Apuração!B:B)*(BO2065 + (1/_xlfn.XLOOKUP(F2065,Apuração!A:A,Apuração!B:B)) - BK2065))</f>
        <v>2.2712066905615291</v>
      </c>
      <c r="BR2065" s="85">
        <f ca="1">IF(BQ2065=0,0,BQ2065*Z2065)</f>
        <v>227.12066905615291</v>
      </c>
      <c r="BS2065" s="53">
        <f ca="1">IFERROR((_xlfn.XLOOKUP(F2065,Apuração!A:A,Apuração!C:C)+1)/_xlfn.XLOOKUP(F2065,Apuração!A:A,Apuração!B:B),0)</f>
        <v>0.5</v>
      </c>
    </row>
    <row r="2066" spans="1:71" ht="25.95" hidden="1" customHeight="1" x14ac:dyDescent="0.3">
      <c r="A2066" s="41" t="s">
        <v>108</v>
      </c>
      <c r="B2066" s="4" t="s">
        <v>109</v>
      </c>
      <c r="C2066" s="5" t="s">
        <v>216</v>
      </c>
      <c r="D2066" s="5" t="s">
        <v>217</v>
      </c>
      <c r="E2066" s="4" t="str" cm="1">
        <f t="array" ref="E2066">_xlfn.IFS(
F2066 = "A partir de Abril", "Aguardando Execução na Distribuidora",
A2066 = "CAPACITAÇÃO", "Em execução no Corporativo",
TRUE, "Em Execução na Distribuidora"
)</f>
        <v>Em Execução na Distribuidora</v>
      </c>
      <c r="F2066" s="4" t="str" cm="1">
        <f t="array" ref="F2066">_xlfn.IFS(
AG2066 &lt;&gt; "", "Jan-Dez/26",
AH2066 &lt;&gt; "", "Fev-Dez/26",
AI2066 &lt;&gt; "", "Mar-Dez/26", AJ2066 &lt;&gt; "", "Abr-Dez/26",
TRUE, "A partir de Junho"
)</f>
        <v>Jan-Dez/26</v>
      </c>
      <c r="G2066" s="4" t="s">
        <v>37</v>
      </c>
      <c r="H2066" s="7" t="s">
        <v>38</v>
      </c>
      <c r="I2066" s="4" t="s">
        <v>115</v>
      </c>
      <c r="J2066" s="8" t="str" cm="1">
        <f t="array" aca="1" ref="J2066" ca="1">_xlfn.LET(
  _xlpm.actual_value_month, INDEX(T2066:AE2066, MATCH(DATE(YEAR(TODAY()), MONTH(TODAY()), 1), $T$1:$AE$1, 0)),
  IF(_xlpm.actual_value_month &lt;&gt; "",_xlpm.actual_value_month &amp; " redução de notificações mensais", "")
)</f>
        <v>20 redução de notificações mensais</v>
      </c>
      <c r="K2066" s="8" t="str" cm="1">
        <f t="array" ref="K2066">_xlfn.LET(
    _xlpm.sum_month, SUM(T2066:AE2066),
    IF(_xlpm.sum_month = 0, "", _xlpm.sum_month &amp; " taxa de redução das notificações de excesso de velocidade no ano")
)</f>
        <v>223 taxa de redução das notificações de excesso de velocidade no ano</v>
      </c>
      <c r="L2066" s="4" t="s">
        <v>116</v>
      </c>
      <c r="M2066" s="13">
        <v>1</v>
      </c>
      <c r="N2066" s="45" t="s">
        <v>42</v>
      </c>
      <c r="O2066" s="5" t="s">
        <v>43</v>
      </c>
      <c r="P2066" s="10" t="s">
        <v>44</v>
      </c>
      <c r="Q2066" s="10" t="s">
        <v>44</v>
      </c>
      <c r="R2066" s="11" t="s">
        <v>44</v>
      </c>
      <c r="S2066" s="11" t="s">
        <v>44</v>
      </c>
      <c r="T2066" s="143">
        <v>7</v>
      </c>
      <c r="U2066" s="143">
        <v>22</v>
      </c>
      <c r="V2066" s="143">
        <v>14</v>
      </c>
      <c r="W2066" s="143">
        <v>20</v>
      </c>
      <c r="X2066" s="143">
        <v>20</v>
      </c>
      <c r="Y2066" s="143">
        <v>20</v>
      </c>
      <c r="Z2066" s="143">
        <v>20</v>
      </c>
      <c r="AA2066" s="143">
        <v>20</v>
      </c>
      <c r="AB2066" s="143">
        <v>20</v>
      </c>
      <c r="AC2066" s="143">
        <v>20</v>
      </c>
      <c r="AD2066" s="143">
        <v>20</v>
      </c>
      <c r="AE2066" s="143">
        <v>20</v>
      </c>
      <c r="AG2066" s="82">
        <v>7</v>
      </c>
      <c r="AH2066" s="82">
        <v>22</v>
      </c>
      <c r="AI2066" s="82">
        <v>14</v>
      </c>
      <c r="AJ2066" s="82">
        <v>21</v>
      </c>
      <c r="AK2066" s="71">
        <v>86</v>
      </c>
      <c r="AL2066" s="71"/>
      <c r="AM2066" s="71"/>
      <c r="AN2066" s="71"/>
      <c r="AO2066" s="71"/>
      <c r="AP2066" s="71"/>
      <c r="AQ2066" s="71"/>
      <c r="AR2066" s="71"/>
      <c r="AS2066" s="94">
        <f t="shared" ref="AS2066:AS2069" ca="1" si="2422">IF(MONTH(TODAY())=3,SUM(T2066:U2066),IF(MONTH(TODAY())=4,SUM(T2066:V2066),IF(MONTH(TODAY())=5,SUM(T2066:W2066),IF(MONTH(TODAY())=6,SUM(T2066:X2066),IF(MONTH(TODAY())=7,SUM(T2066:Y2066),IF(MONTH(TODAY())=8,SUM(T2066:Z2066),IF(MONTH(TODAY())=9,SUM(T2066:AA2066),IF(MONTH(TODAY())=10,SUM(T2066:AB2066),IF(MONTH(TODAY())=11,SUM(T2066:AC2066),IF(MONTH(TODAY())=12,SUM(T2066:AD2066),IF(MONTH(TODAY())=1,SUM(T2066:AE2066),T2066)))))))))))</f>
        <v>83</v>
      </c>
      <c r="AT2066" s="95">
        <f t="shared" ref="AT2066:AT2069" si="2423">SUM(IF(AW2066&lt;1.15,AG2066,1.15*T2066),IF(AX2066&lt;1.15,AH2066,1.15*U2066),IF(AY2066&lt;1.15,AI2066,1.15*V2066),IF(AZ2066&lt;1.15,AJ2066,1.15*W2066),IF(BA2066&lt;1.15,AK2066,1.15*X2066),IF(BB2066&lt;1.15,AL2066,1.15*Y2066),IF(BC2066&lt;1.15,AM2066,1.15*Z2066),IF(BD2066&lt;1.15,AN2066,1.15*AA2066),IF(BE2066&lt;1.15,AO2066,1.15*AB2066),IF(BF2066&lt;1.15,AP2066,1.15*AC2066),IF(BG2066&lt;1.15,AQ2066,1.15*AD2066),IF(BH2066&lt;1.15,AR2066,1.15*AE2066))</f>
        <v>150</v>
      </c>
      <c r="AU2066" s="97">
        <f t="shared" ref="AU2066:AU2069" si="2424">SUM(AG2066:AR2066)</f>
        <v>150</v>
      </c>
      <c r="AW2066" s="51">
        <f t="shared" ref="AW2066:AW2069" si="2425">IF(ISBLANK(AG2066),0,IF(1+((AG2066-T2066)/T2066)&gt;=1, 1-((AG2066-T2066)/AG2066),
IF(1+((AG2066-T2066)/T2066)&lt;=0,1.15,IF(1+((AG2066-T2066)/T2066)&lt;=0.33,1.1,
IF(1+((AG2066-T2066)/T2066)&lt;=0.66,1.05,
IF(AG2066&lt;=T2066,1))))))</f>
        <v>1</v>
      </c>
      <c r="AX2066" s="51">
        <f t="shared" ref="AX2066:AX2069" si="2426">IF(ISBLANK(AH2066),0,IF(1+((AH2066-U2066)/U2066)&gt;=1, 1-((AH2066-U2066)/AH2066),
IF(1+((AH2066-U2066)/U2066)&lt;=0,1.15,IF(1+((AH2066-U2066)/U2066)&lt;=0.33,1.1,
IF(1+((AH2066-U2066)/U2066)&lt;=0.66,1.05,
IF(AH2066&lt;=U2066,1))))))</f>
        <v>1</v>
      </c>
      <c r="AY2066" s="51">
        <f t="shared" ref="AY2066:AY2069" si="2427">IF(ISBLANK(AI2066),0,IF(1+((AI2066-V2066)/V2066)&gt;=1, 1-((AI2066-V2066)/AI2066),
IF(1+((AI2066-V2066)/V2066)&lt;=0,1.15,IF(1+((AI2066-V2066)/V2066)&lt;=0.33,1.1,
IF(1+((AI2066-V2066)/V2066)&lt;=0.66,1.05,
IF(AI2066&lt;=V2066,1))))))</f>
        <v>1</v>
      </c>
      <c r="AZ2066" s="51">
        <f t="shared" ref="AZ2066:AZ2069" si="2428">IF(ISBLANK(AJ2066),0,IF(1+((AJ2066-W2066)/W2066)&gt;=1, 1-((AJ2066-W2066)/AJ2066),
IF(1+((AJ2066-W2066)/W2066)&lt;=0,1.15,IF(1+((AJ2066-W2066)/W2066)&lt;=0.33,1.1,
IF(1+((AJ2066-W2066)/W2066)&lt;=0.66,1.05,
IF(AJ2066&lt;=W2066,1))))))</f>
        <v>0.95238095238095233</v>
      </c>
      <c r="BA2066" s="51">
        <f t="shared" si="2421"/>
        <v>0.23255813953488369</v>
      </c>
      <c r="BB2066" s="51"/>
      <c r="BC2066" s="51"/>
      <c r="BD2066" s="51"/>
      <c r="BE2066" s="51"/>
      <c r="BF2066" s="51"/>
      <c r="BG2066" s="51"/>
      <c r="BH2066" s="51"/>
      <c r="BI2066" s="80" cm="1">
        <f t="array" ref="BI2066">IFERROR(INDEX(AW2066:BH2066,1,MATCH(2,1/(AW2066:BH2066&lt;&gt;""))),"")</f>
        <v>0.23255813953488369</v>
      </c>
      <c r="BJ2066" s="68" cm="1">
        <f t="array" ref="BJ2066">IF(BM2066 = "", "",IFERROR(INDEX(AW2066:BH2066,1,MATCH(2,1/(AW2066:BH2066&lt;&gt;""),1)-1),""))</f>
        <v>0.95238095238095233</v>
      </c>
      <c r="BK2066" s="58">
        <f>IF((IF(AW2066&gt;=115%,115%,AW2066) + IF(AX2066&gt;=115%,115%,AX2066) + IF(AY2066&gt;=115%,115%,AY2066) + (IF(AZ2066&gt;=115%,115%,AZ2066) + IF(BA2066&gt;=115%,115%,BA2066) + IF(BB2066&gt;=115%,115%,BB2066) + IF(BC2066&gt;=115%,115%,BC2066) + IF(BD2066&gt;=115%,115%,BD2066) + IF(BE2066&gt;=115%,115%,BE2066) + IF(BF2066&gt;=115%,115%,BF2066) + IF(BG2066&gt;=115%,115%,BG2066) + IF(BH2066&gt;=115%,115%,BH2066)))/_xlfn.XLOOKUP(F2066,Apuração!A:A,Apuração!B:B)&gt;=1.15,1.15,((IF(AZ2066&gt;=115%,115%,AZ2066) + IF(AX2066&gt;=115%,115%,AX2066) + IF(AY2066&gt;=115%,115%,AY2066) + (IF(AW2066&gt;=115%,115%,AW2066) + IF(BA2066&gt;=115%,115%,BA2066) + IF(BB2066&gt;=115%,115%,BB2066) + IF(BC2066&gt;=115%,115%,BC2066) + IF(BD2066&gt;=115%,115%,BD2066) + IF(BE2066&gt;=115%,115%,BE2066) + IF(BF2066&gt;=115%,115%,BF2066) + IF(BG2066&gt;=115%,115%,BG2066) + IF(BH2066&gt;=115%,115%,BH2066)))/_xlfn.XLOOKUP(F2066,Apuração!A:A,Apuração!B:B)))</f>
        <v>0.34874492432631971</v>
      </c>
      <c r="BL2066" s="58" cm="1">
        <f t="array" aca="1" ref="BL2066" ca="1">IF(SUM(IFERROR(IF(INDEX(AW2066:INDEX(AW2066:BH2066, MATCH(2, 1/(AW2066:BH2066&lt;&gt;""), 1)-1), ROW(INDIRECT("1:" &amp; MATCH(2, 1/(AW2066:BH2066&lt;&gt;""), 1)-1))) &gt;= 115%, 115%, INDEX(AW2066:INDEX(AW2066:BH2066, MATCH(2, 1/(AW2066:BH2066&lt;&gt;""), 1)-1), ROW(INDIRECT("1:" &amp; MATCH(2, 1/(AW2066:BH2066&lt;&gt;""), 1)-1)))), 0))/_xlfn.XLOOKUP(F2066,Apuração!A:A,Apuração!B:B)&gt;=1.15,1.15,SUM(IFERROR(IF(INDEX(AW2066:INDEX(AW2066:BH2066, MATCH(2, 1/(AW2066:BH2066&lt;&gt;""), 1)-1), ROW(INDIRECT("1:" &amp; MATCH(2, 1/(AW2066:BH2066&lt;&gt;""), 1)-1))) &gt;= 115%, 115%, INDEX(AW2066:INDEX(AW2066:BH2066, MATCH(2, 1/(AW2066:BH2066&lt;&gt;""), 1)-1), ROW(INDIRECT("1:" &amp; MATCH(2, 1/(AW2066:BH2066&lt;&gt;""), 1)-1)))), 0))/_xlfn.XLOOKUP(F2066,Apuração!A:A,Apuração!B:B))</f>
        <v>0.32936507936507936</v>
      </c>
      <c r="BM2066" s="55" cm="1">
        <f t="array" ref="BM2066">IFERROR(
   INDEX($AW$1:$BH$1,
      _xlfn.AGGREGATE(14, 6, COLUMN($AW$1:$BH$1)/(AW2066:BH2066&lt;&gt;""), 2) - COLUMN($AW$1) + 1
   ),
"")</f>
        <v>46113</v>
      </c>
      <c r="BN2066" s="55" cm="1">
        <f t="array" ref="BN2066">IFERROR(INDEX($AW$1:$BH$1,1,MATCH(2,1/(AW2066:BH2066&lt;&gt;""))),"")</f>
        <v>46143</v>
      </c>
      <c r="BO2066" s="53">
        <f ca="1">IFERROR(_xlfn.XLOOKUP(F2066,Apuração!A:A,Apuração!C:C)/_xlfn.XLOOKUP(F2066,Apuração!A:A,Apuração!B:B),0)</f>
        <v>0.41666666666666669</v>
      </c>
      <c r="BP2066" s="53">
        <f ca="1">IFERROR(_xlfn.XLOOKUP(F2066,Apuração!A:A,Apuração!D:D)/_xlfn.XLOOKUP(F2066,Apuração!A:A,Apuração!B:B),0)</f>
        <v>0.33333333333333331</v>
      </c>
      <c r="BQ2066" s="53">
        <f ca="1">IF(BK2066&gt;=BO2066,0,_xlfn.XLOOKUP(F2066,Apuração!A:A,Apuração!B:B)*(BO2066 + (1/_xlfn.XLOOKUP(F2066,Apuração!A:A,Apuração!B:B)) - BK2066))</f>
        <v>1.8150609080841635</v>
      </c>
      <c r="BR2066" s="85">
        <f t="shared" ref="BR2066:BR2069" ca="1" si="2429">IF(BQ2066=0,0,BQ2066*Z2066)</f>
        <v>36.301218161683273</v>
      </c>
      <c r="BS2066" s="53">
        <f ca="1">IFERROR((_xlfn.XLOOKUP(F2066,Apuração!A:A,Apuração!C:C)+1)/_xlfn.XLOOKUP(F2066,Apuração!A:A,Apuração!B:B),0)</f>
        <v>0.5</v>
      </c>
    </row>
    <row r="2067" spans="1:71" ht="25.95" hidden="1" customHeight="1" x14ac:dyDescent="0.3">
      <c r="A2067" s="41" t="s">
        <v>108</v>
      </c>
      <c r="B2067" s="4" t="s">
        <v>109</v>
      </c>
      <c r="C2067" s="5" t="s">
        <v>216</v>
      </c>
      <c r="D2067" s="5" t="s">
        <v>103</v>
      </c>
      <c r="E2067" s="4" t="str" cm="1">
        <f t="array" ref="E2067">_xlfn.IFS(
F2067 = "A partir de Abril", "Aguardando Execução na Distribuidora",
A2067 = "CAPACITAÇÃO", "Em execução no Corporativo",
TRUE, "Em Execução na Distribuidora"
)</f>
        <v>Em Execução na Distribuidora</v>
      </c>
      <c r="F2067" s="4" t="str" cm="1">
        <f t="array" ref="F2067">_xlfn.IFS(
AG2067 &lt;&gt; "", "Jan-Dez/26",
AH2067 &lt;&gt; "", "Fev-Dez/26",
AI2067 &lt;&gt; "", "Mar-Dez/26", AJ2067 &lt;&gt; "", "Abr-Dez/26",
TRUE, "A partir de Junho"
)</f>
        <v>Jan-Dez/26</v>
      </c>
      <c r="G2067" s="4" t="s">
        <v>37</v>
      </c>
      <c r="H2067" s="7" t="s">
        <v>38</v>
      </c>
      <c r="I2067" s="4" t="s">
        <v>115</v>
      </c>
      <c r="J2067" s="8" t="str" cm="1">
        <f t="array" aca="1" ref="J2067" ca="1">_xlfn.LET(
  _xlpm.actual_value_month, INDEX(T2067:AE2067, MATCH(DATE(YEAR(TODAY()), MONTH(TODAY()), 1), $T$1:$AE$1, 0)),
  IF(_xlpm.actual_value_month &lt;&gt; "",_xlpm.actual_value_month &amp; " redução de notificações mensais", "")
)</f>
        <v>20 redução de notificações mensais</v>
      </c>
      <c r="K2067" s="8" t="str" cm="1">
        <f t="array" ref="K2067">_xlfn.LET(
    _xlpm.sum_month, SUM(T2067:AE2067),
    IF(_xlpm.sum_month = 0, "", _xlpm.sum_month &amp; " taxa de redução das notificações de excesso de velocidade no ano")
)</f>
        <v>371 taxa de redução das notificações de excesso de velocidade no ano</v>
      </c>
      <c r="L2067" s="4" t="s">
        <v>116</v>
      </c>
      <c r="M2067" s="13">
        <v>1</v>
      </c>
      <c r="N2067" s="45" t="s">
        <v>42</v>
      </c>
      <c r="O2067" s="5" t="s">
        <v>43</v>
      </c>
      <c r="P2067" s="10" t="s">
        <v>44</v>
      </c>
      <c r="Q2067" s="10" t="s">
        <v>44</v>
      </c>
      <c r="R2067" s="11" t="s">
        <v>44</v>
      </c>
      <c r="S2067" s="11" t="s">
        <v>44</v>
      </c>
      <c r="T2067" s="143">
        <v>31</v>
      </c>
      <c r="U2067" s="143">
        <v>19</v>
      </c>
      <c r="V2067" s="143">
        <v>141</v>
      </c>
      <c r="W2067" s="143">
        <v>20</v>
      </c>
      <c r="X2067" s="143">
        <v>20</v>
      </c>
      <c r="Y2067" s="143">
        <v>20</v>
      </c>
      <c r="Z2067" s="143">
        <v>20</v>
      </c>
      <c r="AA2067" s="143">
        <v>20</v>
      </c>
      <c r="AB2067" s="143">
        <v>20</v>
      </c>
      <c r="AC2067" s="143">
        <v>20</v>
      </c>
      <c r="AD2067" s="143">
        <v>20</v>
      </c>
      <c r="AE2067" s="143">
        <v>20</v>
      </c>
      <c r="AG2067" s="82">
        <v>31</v>
      </c>
      <c r="AH2067" s="82">
        <v>19</v>
      </c>
      <c r="AI2067" s="82">
        <v>141</v>
      </c>
      <c r="AJ2067" s="82">
        <v>233</v>
      </c>
      <c r="AK2067" s="71">
        <v>99</v>
      </c>
      <c r="AL2067" s="71"/>
      <c r="AM2067" s="71"/>
      <c r="AN2067" s="71"/>
      <c r="AO2067" s="71"/>
      <c r="AP2067" s="71"/>
      <c r="AQ2067" s="71"/>
      <c r="AR2067" s="71"/>
      <c r="AS2067" s="94">
        <f t="shared" ca="1" si="2422"/>
        <v>231</v>
      </c>
      <c r="AT2067" s="95">
        <f t="shared" si="2423"/>
        <v>523</v>
      </c>
      <c r="AU2067" s="97">
        <f t="shared" si="2424"/>
        <v>523</v>
      </c>
      <c r="AW2067" s="51">
        <f t="shared" si="2425"/>
        <v>1</v>
      </c>
      <c r="AX2067" s="51">
        <f t="shared" si="2426"/>
        <v>1</v>
      </c>
      <c r="AY2067" s="51">
        <f t="shared" si="2427"/>
        <v>1</v>
      </c>
      <c r="AZ2067" s="51">
        <f t="shared" si="2428"/>
        <v>8.5836909871244593E-2</v>
      </c>
      <c r="BA2067" s="51">
        <f t="shared" si="2421"/>
        <v>0.20202020202020199</v>
      </c>
      <c r="BB2067" s="51"/>
      <c r="BC2067" s="51"/>
      <c r="BD2067" s="51"/>
      <c r="BE2067" s="51"/>
      <c r="BF2067" s="51"/>
      <c r="BG2067" s="51"/>
      <c r="BH2067" s="51"/>
      <c r="BI2067" s="80" cm="1">
        <f t="array" ref="BI2067">IFERROR(INDEX(AW2067:BH2067,1,MATCH(2,1/(AW2067:BH2067&lt;&gt;""))),"")</f>
        <v>0.20202020202020199</v>
      </c>
      <c r="BJ2067" s="68" cm="1">
        <f t="array" ref="BJ2067">IF(BM2067 = "", "",IFERROR(INDEX(AW2067:BH2067,1,MATCH(2,1/(AW2067:BH2067&lt;&gt;""),1)-1),""))</f>
        <v>8.5836909871244593E-2</v>
      </c>
      <c r="BK2067" s="58">
        <f>IF((IF(AW2067&gt;=115%,115%,AW2067) + IF(AX2067&gt;=115%,115%,AX2067) + IF(AY2067&gt;=115%,115%,AY2067) + (IF(AZ2067&gt;=115%,115%,AZ2067) + IF(BA2067&gt;=115%,115%,BA2067) + IF(BB2067&gt;=115%,115%,BB2067) + IF(BC2067&gt;=115%,115%,BC2067) + IF(BD2067&gt;=115%,115%,BD2067) + IF(BE2067&gt;=115%,115%,BE2067) + IF(BF2067&gt;=115%,115%,BF2067) + IF(BG2067&gt;=115%,115%,BG2067) + IF(BH2067&gt;=115%,115%,BH2067)))/_xlfn.XLOOKUP(F2067,Apuração!A:A,Apuração!B:B)&gt;=1.15,1.15,((IF(AZ2067&gt;=115%,115%,AZ2067) + IF(AX2067&gt;=115%,115%,AX2067) + IF(AY2067&gt;=115%,115%,AY2067) + (IF(AW2067&gt;=115%,115%,AW2067) + IF(BA2067&gt;=115%,115%,BA2067) + IF(BB2067&gt;=115%,115%,BB2067) + IF(BC2067&gt;=115%,115%,BC2067) + IF(BD2067&gt;=115%,115%,BD2067) + IF(BE2067&gt;=115%,115%,BE2067) + IF(BF2067&gt;=115%,115%,BF2067) + IF(BG2067&gt;=115%,115%,BG2067) + IF(BH2067&gt;=115%,115%,BH2067)))/_xlfn.XLOOKUP(F2067,Apuração!A:A,Apuração!B:B)))</f>
        <v>0.27398809265762053</v>
      </c>
      <c r="BL2067" s="58" cm="1">
        <f t="array" aca="1" ref="BL2067" ca="1">IF(SUM(IFERROR(IF(INDEX(AW2067:INDEX(AW2067:BH2067, MATCH(2, 1/(AW2067:BH2067&lt;&gt;""), 1)-1), ROW(INDIRECT("1:" &amp; MATCH(2, 1/(AW2067:BH2067&lt;&gt;""), 1)-1))) &gt;= 115%, 115%, INDEX(AW2067:INDEX(AW2067:BH2067, MATCH(2, 1/(AW2067:BH2067&lt;&gt;""), 1)-1), ROW(INDIRECT("1:" &amp; MATCH(2, 1/(AW2067:BH2067&lt;&gt;""), 1)-1)))), 0))/_xlfn.XLOOKUP(F2067,Apuração!A:A,Apuração!B:B)&gt;=1.15,1.15,SUM(IFERROR(IF(INDEX(AW2067:INDEX(AW2067:BH2067, MATCH(2, 1/(AW2067:BH2067&lt;&gt;""), 1)-1), ROW(INDIRECT("1:" &amp; MATCH(2, 1/(AW2067:BH2067&lt;&gt;""), 1)-1))) &gt;= 115%, 115%, INDEX(AW2067:INDEX(AW2067:BH2067, MATCH(2, 1/(AW2067:BH2067&lt;&gt;""), 1)-1), ROW(INDIRECT("1:" &amp; MATCH(2, 1/(AW2067:BH2067&lt;&gt;""), 1)-1)))), 0))/_xlfn.XLOOKUP(F2067,Apuração!A:A,Apuração!B:B))</f>
        <v>0.25715307582260372</v>
      </c>
      <c r="BM2067" s="55" cm="1">
        <f t="array" ref="BM2067">IFERROR(
   INDEX($AW$1:$BH$1,
      _xlfn.AGGREGATE(14, 6, COLUMN($AW$1:$BH$1)/(AW2067:BH2067&lt;&gt;""), 2) - COLUMN($AW$1) + 1
   ),
"")</f>
        <v>46113</v>
      </c>
      <c r="BN2067" s="55" cm="1">
        <f t="array" ref="BN2067">IFERROR(INDEX($AW$1:$BH$1,1,MATCH(2,1/(AW2067:BH2067&lt;&gt;""))),"")</f>
        <v>46143</v>
      </c>
      <c r="BO2067" s="53">
        <f ca="1">IFERROR(_xlfn.XLOOKUP(F2067,Apuração!A:A,Apuração!C:C)/_xlfn.XLOOKUP(F2067,Apuração!A:A,Apuração!B:B),0)</f>
        <v>0.41666666666666669</v>
      </c>
      <c r="BP2067" s="53">
        <f ca="1">IFERROR(_xlfn.XLOOKUP(F2067,Apuração!A:A,Apuração!D:D)/_xlfn.XLOOKUP(F2067,Apuração!A:A,Apuração!B:B),0)</f>
        <v>0.33333333333333331</v>
      </c>
      <c r="BQ2067" s="53">
        <f ca="1">IF(BK2067&gt;=BO2067,0,_xlfn.XLOOKUP(F2067,Apuração!A:A,Apuração!B:B)*(BO2067 + (1/_xlfn.XLOOKUP(F2067,Apuração!A:A,Apuração!B:B)) - BK2067))</f>
        <v>2.7121428881085539</v>
      </c>
      <c r="BR2067" s="85">
        <f t="shared" ca="1" si="2429"/>
        <v>54.242857762171077</v>
      </c>
      <c r="BS2067" s="53">
        <f ca="1">IFERROR((_xlfn.XLOOKUP(F2067,Apuração!A:A,Apuração!C:C)+1)/_xlfn.XLOOKUP(F2067,Apuração!A:A,Apuração!B:B),0)</f>
        <v>0.5</v>
      </c>
    </row>
    <row r="2068" spans="1:71" ht="25.95" hidden="1" customHeight="1" x14ac:dyDescent="0.3">
      <c r="A2068" s="41" t="s">
        <v>108</v>
      </c>
      <c r="B2068" s="4" t="s">
        <v>109</v>
      </c>
      <c r="C2068" s="5" t="s">
        <v>216</v>
      </c>
      <c r="D2068" s="5" t="s">
        <v>218</v>
      </c>
      <c r="E2068" s="4" t="str" cm="1">
        <f t="array" ref="E2068">_xlfn.IFS(
F2068 = "A partir de Abril", "Aguardando Execução na Distribuidora",
A2068 = "CAPACITAÇÃO", "Em execução no Corporativo",
TRUE, "Em Execução na Distribuidora"
)</f>
        <v>Em Execução na Distribuidora</v>
      </c>
      <c r="F2068" s="4" t="str" cm="1">
        <f t="array" ref="F2068">_xlfn.IFS(
AG2068 &lt;&gt; "", "Jan-Dez/26",
AH2068 &lt;&gt; "", "Fev-Dez/26",
AI2068 &lt;&gt; "", "Mar-Dez/26", AJ2068 &lt;&gt; "", "Abr-Dez/26",
TRUE, "A partir de Junho"
)</f>
        <v>Jan-Dez/26</v>
      </c>
      <c r="G2068" s="4" t="s">
        <v>37</v>
      </c>
      <c r="H2068" s="7" t="s">
        <v>38</v>
      </c>
      <c r="I2068" s="4" t="s">
        <v>115</v>
      </c>
      <c r="J2068" s="8" t="str" cm="1">
        <f t="array" aca="1" ref="J2068" ca="1">_xlfn.LET(
  _xlpm.actual_value_month, INDEX(T2068:AE2068, MATCH(DATE(YEAR(TODAY()), MONTH(TODAY()), 1), $T$1:$AE$1, 0)),
  IF(_xlpm.actual_value_month &lt;&gt; "",_xlpm.actual_value_month &amp; " redução de notificações mensais", "")
)</f>
        <v>20 redução de notificações mensais</v>
      </c>
      <c r="K2068" s="8" t="str" cm="1">
        <f t="array" ref="K2068">_xlfn.LET(
    _xlpm.sum_month, SUM(T2068:AE2068),
    IF(_xlpm.sum_month = 0, "", _xlpm.sum_month &amp; " taxa de redução das notificações de excesso de velocidade no ano")
)</f>
        <v>199 taxa de redução das notificações de excesso de velocidade no ano</v>
      </c>
      <c r="L2068" s="4" t="s">
        <v>116</v>
      </c>
      <c r="M2068" s="13">
        <v>1</v>
      </c>
      <c r="N2068" s="45" t="s">
        <v>42</v>
      </c>
      <c r="O2068" s="5" t="s">
        <v>43</v>
      </c>
      <c r="P2068" s="10" t="s">
        <v>44</v>
      </c>
      <c r="Q2068" s="10" t="s">
        <v>44</v>
      </c>
      <c r="R2068" s="11" t="s">
        <v>44</v>
      </c>
      <c r="S2068" s="11" t="s">
        <v>44</v>
      </c>
      <c r="T2068" s="143">
        <v>4</v>
      </c>
      <c r="U2068" s="143">
        <v>7</v>
      </c>
      <c r="V2068" s="143">
        <v>8</v>
      </c>
      <c r="W2068" s="143">
        <v>20</v>
      </c>
      <c r="X2068" s="143">
        <v>20</v>
      </c>
      <c r="Y2068" s="143">
        <v>20</v>
      </c>
      <c r="Z2068" s="143">
        <v>20</v>
      </c>
      <c r="AA2068" s="143">
        <v>20</v>
      </c>
      <c r="AB2068" s="143">
        <v>20</v>
      </c>
      <c r="AC2068" s="143">
        <v>20</v>
      </c>
      <c r="AD2068" s="143">
        <v>20</v>
      </c>
      <c r="AE2068" s="143">
        <v>20</v>
      </c>
      <c r="AG2068" s="82">
        <v>4</v>
      </c>
      <c r="AH2068" s="82">
        <v>7</v>
      </c>
      <c r="AI2068" s="82">
        <v>8</v>
      </c>
      <c r="AJ2068" s="82">
        <v>3</v>
      </c>
      <c r="AK2068" s="71">
        <v>67</v>
      </c>
      <c r="AL2068" s="71"/>
      <c r="AM2068" s="71"/>
      <c r="AN2068" s="71"/>
      <c r="AO2068" s="71"/>
      <c r="AP2068" s="71"/>
      <c r="AQ2068" s="71"/>
      <c r="AR2068" s="71"/>
      <c r="AS2068" s="94">
        <f t="shared" ca="1" si="2422"/>
        <v>59</v>
      </c>
      <c r="AT2068" s="95">
        <f t="shared" si="2423"/>
        <v>89</v>
      </c>
      <c r="AU2068" s="97">
        <f t="shared" si="2424"/>
        <v>89</v>
      </c>
      <c r="AW2068" s="51">
        <f t="shared" si="2425"/>
        <v>1</v>
      </c>
      <c r="AX2068" s="51">
        <f t="shared" si="2426"/>
        <v>1</v>
      </c>
      <c r="AY2068" s="51">
        <f t="shared" si="2427"/>
        <v>1</v>
      </c>
      <c r="AZ2068" s="51">
        <f t="shared" si="2428"/>
        <v>1.1000000000000001</v>
      </c>
      <c r="BA2068" s="51">
        <f t="shared" si="2421"/>
        <v>0.29850746268656714</v>
      </c>
      <c r="BB2068" s="51"/>
      <c r="BC2068" s="51"/>
      <c r="BD2068" s="51"/>
      <c r="BE2068" s="51"/>
      <c r="BF2068" s="51"/>
      <c r="BG2068" s="51"/>
      <c r="BH2068" s="51"/>
      <c r="BI2068" s="80" cm="1">
        <f t="array" ref="BI2068">IFERROR(INDEX(AW2068:BH2068,1,MATCH(2,1/(AW2068:BH2068&lt;&gt;""))),"")</f>
        <v>0.29850746268656714</v>
      </c>
      <c r="BJ2068" s="68" cm="1">
        <f t="array" ref="BJ2068">IF(BM2068 = "", "",IFERROR(INDEX(AW2068:BH2068,1,MATCH(2,1/(AW2068:BH2068&lt;&gt;""),1)-1),""))</f>
        <v>1.1000000000000001</v>
      </c>
      <c r="BK2068" s="58">
        <f>IF((IF(AW2068&gt;=115%,115%,AW2068) + IF(AX2068&gt;=115%,115%,AX2068) + IF(AY2068&gt;=115%,115%,AY2068) + (IF(AZ2068&gt;=115%,115%,AZ2068) + IF(BA2068&gt;=115%,115%,BA2068) + IF(BB2068&gt;=115%,115%,BB2068) + IF(BC2068&gt;=115%,115%,BC2068) + IF(BD2068&gt;=115%,115%,BD2068) + IF(BE2068&gt;=115%,115%,BE2068) + IF(BF2068&gt;=115%,115%,BF2068) + IF(BG2068&gt;=115%,115%,BG2068) + IF(BH2068&gt;=115%,115%,BH2068)))/_xlfn.XLOOKUP(F2068,Apuração!A:A,Apuração!B:B)&gt;=1.15,1.15,((IF(AZ2068&gt;=115%,115%,AZ2068) + IF(AX2068&gt;=115%,115%,AX2068) + IF(AY2068&gt;=115%,115%,AY2068) + (IF(AW2068&gt;=115%,115%,AW2068) + IF(BA2068&gt;=115%,115%,BA2068) + IF(BB2068&gt;=115%,115%,BB2068) + IF(BC2068&gt;=115%,115%,BC2068) + IF(BD2068&gt;=115%,115%,BD2068) + IF(BE2068&gt;=115%,115%,BE2068) + IF(BF2068&gt;=115%,115%,BF2068) + IF(BG2068&gt;=115%,115%,BG2068) + IF(BH2068&gt;=115%,115%,BH2068)))/_xlfn.XLOOKUP(F2068,Apuração!A:A,Apuração!B:B)))</f>
        <v>0.36654228855721388</v>
      </c>
      <c r="BL2068" s="58" cm="1">
        <f t="array" aca="1" ref="BL2068" ca="1">IF(SUM(IFERROR(IF(INDEX(AW2068:INDEX(AW2068:BH2068, MATCH(2, 1/(AW2068:BH2068&lt;&gt;""), 1)-1), ROW(INDIRECT("1:" &amp; MATCH(2, 1/(AW2068:BH2068&lt;&gt;""), 1)-1))) &gt;= 115%, 115%, INDEX(AW2068:INDEX(AW2068:BH2068, MATCH(2, 1/(AW2068:BH2068&lt;&gt;""), 1)-1), ROW(INDIRECT("1:" &amp; MATCH(2, 1/(AW2068:BH2068&lt;&gt;""), 1)-1)))), 0))/_xlfn.XLOOKUP(F2068,Apuração!A:A,Apuração!B:B)&gt;=1.15,1.15,SUM(IFERROR(IF(INDEX(AW2068:INDEX(AW2068:BH2068, MATCH(2, 1/(AW2068:BH2068&lt;&gt;""), 1)-1), ROW(INDIRECT("1:" &amp; MATCH(2, 1/(AW2068:BH2068&lt;&gt;""), 1)-1))) &gt;= 115%, 115%, INDEX(AW2068:INDEX(AW2068:BH2068, MATCH(2, 1/(AW2068:BH2068&lt;&gt;""), 1)-1), ROW(INDIRECT("1:" &amp; MATCH(2, 1/(AW2068:BH2068&lt;&gt;""), 1)-1)))), 0))/_xlfn.XLOOKUP(F2068,Apuração!A:A,Apuração!B:B))</f>
        <v>0.34166666666666662</v>
      </c>
      <c r="BM2068" s="55" cm="1">
        <f t="array" ref="BM2068">IFERROR(
   INDEX($AW$1:$BH$1,
      _xlfn.AGGREGATE(14, 6, COLUMN($AW$1:$BH$1)/(AW2068:BH2068&lt;&gt;""), 2) - COLUMN($AW$1) + 1
   ),
"")</f>
        <v>46113</v>
      </c>
      <c r="BN2068" s="55" cm="1">
        <f t="array" ref="BN2068">IFERROR(INDEX($AW$1:$BH$1,1,MATCH(2,1/(AW2068:BH2068&lt;&gt;""))),"")</f>
        <v>46143</v>
      </c>
      <c r="BO2068" s="53">
        <f ca="1">IFERROR(_xlfn.XLOOKUP(F2068,Apuração!A:A,Apuração!C:C)/_xlfn.XLOOKUP(F2068,Apuração!A:A,Apuração!B:B),0)</f>
        <v>0.41666666666666669</v>
      </c>
      <c r="BP2068" s="53">
        <f ca="1">IFERROR(_xlfn.XLOOKUP(F2068,Apuração!A:A,Apuração!D:D)/_xlfn.XLOOKUP(F2068,Apuração!A:A,Apuração!B:B),0)</f>
        <v>0.33333333333333331</v>
      </c>
      <c r="BQ2068" s="53">
        <f ca="1">IF(BK2068&gt;=BO2068,0,_xlfn.XLOOKUP(F2068,Apuração!A:A,Apuração!B:B)*(BO2068 + (1/_xlfn.XLOOKUP(F2068,Apuração!A:A,Apuração!B:B)) - BK2068))</f>
        <v>1.6014925373134334</v>
      </c>
      <c r="BR2068" s="85">
        <f t="shared" ca="1" si="2429"/>
        <v>32.029850746268671</v>
      </c>
      <c r="BS2068" s="53">
        <f ca="1">IFERROR((_xlfn.XLOOKUP(F2068,Apuração!A:A,Apuração!C:C)+1)/_xlfn.XLOOKUP(F2068,Apuração!A:A,Apuração!B:B),0)</f>
        <v>0.5</v>
      </c>
    </row>
    <row r="2069" spans="1:71" ht="25.95" hidden="1" customHeight="1" x14ac:dyDescent="0.3">
      <c r="A2069" s="41" t="s">
        <v>108</v>
      </c>
      <c r="B2069" s="4" t="s">
        <v>109</v>
      </c>
      <c r="C2069" s="5" t="s">
        <v>216</v>
      </c>
      <c r="D2069" s="5" t="s">
        <v>219</v>
      </c>
      <c r="E2069" s="4" t="str" cm="1">
        <f t="array" ref="E2069">_xlfn.IFS(
F2069 = "A partir de Abril", "Aguardando Execução na Distribuidora",
A2069 = "CAPACITAÇÃO", "Em execução no Corporativo",
TRUE, "Em Execução na Distribuidora"
)</f>
        <v>Em Execução na Distribuidora</v>
      </c>
      <c r="F2069" s="4" t="str" cm="1">
        <f t="array" ref="F2069">_xlfn.IFS(
AG2069 &lt;&gt; "", "Jan-Dez/26",
AH2069 &lt;&gt; "", "Fev-Dez/26",
AI2069 &lt;&gt; "", "Mar-Dez/26", AJ2069 &lt;&gt; "", "Abr-Dez/26",
TRUE, "A partir de Junho"
)</f>
        <v>Jan-Dez/26</v>
      </c>
      <c r="G2069" s="4" t="s">
        <v>37</v>
      </c>
      <c r="H2069" s="7" t="s">
        <v>38</v>
      </c>
      <c r="I2069" s="4" t="s">
        <v>115</v>
      </c>
      <c r="J2069" s="8" t="str" cm="1">
        <f t="array" aca="1" ref="J2069" ca="1">_xlfn.LET(
  _xlpm.actual_value_month, INDEX(T2069:AE2069, MATCH(DATE(YEAR(TODAY()), MONTH(TODAY()), 1), $T$1:$AE$1, 0)),
  IF(_xlpm.actual_value_month &lt;&gt; "",_xlpm.actual_value_month &amp; " redução de notificações mensais", "")
)</f>
        <v>20 redução de notificações mensais</v>
      </c>
      <c r="K2069" s="8" t="str" cm="1">
        <f t="array" ref="K2069">_xlfn.LET(
    _xlpm.sum_month, SUM(T2069:AE2069),
    IF(_xlpm.sum_month = 0, "", _xlpm.sum_month &amp; " taxa de redução das notificações de excesso de velocidade no ano")
)</f>
        <v>223 taxa de redução das notificações de excesso de velocidade no ano</v>
      </c>
      <c r="L2069" s="4" t="s">
        <v>116</v>
      </c>
      <c r="M2069" s="13">
        <v>1</v>
      </c>
      <c r="N2069" s="45" t="s">
        <v>42</v>
      </c>
      <c r="O2069" s="5" t="s">
        <v>43</v>
      </c>
      <c r="P2069" s="10" t="s">
        <v>44</v>
      </c>
      <c r="Q2069" s="10" t="s">
        <v>44</v>
      </c>
      <c r="R2069" s="11" t="s">
        <v>44</v>
      </c>
      <c r="S2069" s="11" t="s">
        <v>44</v>
      </c>
      <c r="T2069" s="143">
        <v>10</v>
      </c>
      <c r="U2069" s="143">
        <v>4</v>
      </c>
      <c r="V2069" s="143">
        <v>29</v>
      </c>
      <c r="W2069" s="143">
        <v>20</v>
      </c>
      <c r="X2069" s="143">
        <v>20</v>
      </c>
      <c r="Y2069" s="143">
        <v>20</v>
      </c>
      <c r="Z2069" s="143">
        <v>20</v>
      </c>
      <c r="AA2069" s="143">
        <v>20</v>
      </c>
      <c r="AB2069" s="143">
        <v>20</v>
      </c>
      <c r="AC2069" s="143">
        <v>20</v>
      </c>
      <c r="AD2069" s="143">
        <v>20</v>
      </c>
      <c r="AE2069" s="143">
        <v>20</v>
      </c>
      <c r="AG2069" s="82">
        <v>10</v>
      </c>
      <c r="AH2069" s="82">
        <v>4</v>
      </c>
      <c r="AI2069" s="82">
        <v>29</v>
      </c>
      <c r="AJ2069" s="82">
        <v>13</v>
      </c>
      <c r="AK2069" s="71">
        <v>27</v>
      </c>
      <c r="AL2069" s="71"/>
      <c r="AM2069" s="71"/>
      <c r="AN2069" s="71"/>
      <c r="AO2069" s="71"/>
      <c r="AP2069" s="71"/>
      <c r="AQ2069" s="71"/>
      <c r="AR2069" s="71"/>
      <c r="AS2069" s="94">
        <f t="shared" ca="1" si="2422"/>
        <v>83</v>
      </c>
      <c r="AT2069" s="95">
        <f t="shared" si="2423"/>
        <v>83</v>
      </c>
      <c r="AU2069" s="97">
        <f t="shared" si="2424"/>
        <v>83</v>
      </c>
      <c r="AW2069" s="51">
        <f t="shared" si="2425"/>
        <v>1</v>
      </c>
      <c r="AX2069" s="51">
        <f t="shared" si="2426"/>
        <v>1</v>
      </c>
      <c r="AY2069" s="51">
        <f t="shared" si="2427"/>
        <v>1</v>
      </c>
      <c r="AZ2069" s="51">
        <f t="shared" si="2428"/>
        <v>1.05</v>
      </c>
      <c r="BA2069" s="51">
        <f t="shared" si="2421"/>
        <v>0.7407407407407407</v>
      </c>
      <c r="BB2069" s="51"/>
      <c r="BC2069" s="51"/>
      <c r="BD2069" s="51"/>
      <c r="BE2069" s="51"/>
      <c r="BF2069" s="51"/>
      <c r="BG2069" s="51"/>
      <c r="BH2069" s="51"/>
      <c r="BI2069" s="80" cm="1">
        <f t="array" ref="BI2069">IFERROR(INDEX(AW2069:BH2069,1,MATCH(2,1/(AW2069:BH2069&lt;&gt;""))),"")</f>
        <v>0.7407407407407407</v>
      </c>
      <c r="BJ2069" s="68" cm="1">
        <f t="array" ref="BJ2069">IF(BM2069 = "", "",IFERROR(INDEX(AW2069:BH2069,1,MATCH(2,1/(AW2069:BH2069&lt;&gt;""),1)-1),""))</f>
        <v>1.05</v>
      </c>
      <c r="BK2069" s="58">
        <f>IF((IF(AW2069&gt;=115%,115%,AW2069) + IF(AX2069&gt;=115%,115%,AX2069) + IF(AY2069&gt;=115%,115%,AY2069) + (IF(AZ2069&gt;=115%,115%,AZ2069) + IF(BA2069&gt;=115%,115%,BA2069) + IF(BB2069&gt;=115%,115%,BB2069) + IF(BC2069&gt;=115%,115%,BC2069) + IF(BD2069&gt;=115%,115%,BD2069) + IF(BE2069&gt;=115%,115%,BE2069) + IF(BF2069&gt;=115%,115%,BF2069) + IF(BG2069&gt;=115%,115%,BG2069) + IF(BH2069&gt;=115%,115%,BH2069)))/_xlfn.XLOOKUP(F2069,Apuração!A:A,Apuração!B:B)&gt;=1.15,1.15,((IF(AZ2069&gt;=115%,115%,AZ2069) + IF(AX2069&gt;=115%,115%,AX2069) + IF(AY2069&gt;=115%,115%,AY2069) + (IF(AW2069&gt;=115%,115%,AW2069) + IF(BA2069&gt;=115%,115%,BA2069) + IF(BB2069&gt;=115%,115%,BB2069) + IF(BC2069&gt;=115%,115%,BC2069) + IF(BD2069&gt;=115%,115%,BD2069) + IF(BE2069&gt;=115%,115%,BE2069) + IF(BF2069&gt;=115%,115%,BF2069) + IF(BG2069&gt;=115%,115%,BG2069) + IF(BH2069&gt;=115%,115%,BH2069)))/_xlfn.XLOOKUP(F2069,Apuração!A:A,Apuração!B:B)))</f>
        <v>0.39922839506172836</v>
      </c>
      <c r="BL2069" s="58" cm="1">
        <f t="array" aca="1" ref="BL2069" ca="1">IF(SUM(IFERROR(IF(INDEX(AW2069:INDEX(AW2069:BH2069, MATCH(2, 1/(AW2069:BH2069&lt;&gt;""), 1)-1), ROW(INDIRECT("1:" &amp; MATCH(2, 1/(AW2069:BH2069&lt;&gt;""), 1)-1))) &gt;= 115%, 115%, INDEX(AW2069:INDEX(AW2069:BH2069, MATCH(2, 1/(AW2069:BH2069&lt;&gt;""), 1)-1), ROW(INDIRECT("1:" &amp; MATCH(2, 1/(AW2069:BH2069&lt;&gt;""), 1)-1)))), 0))/_xlfn.XLOOKUP(F2069,Apuração!A:A,Apuração!B:B)&gt;=1.15,1.15,SUM(IFERROR(IF(INDEX(AW2069:INDEX(AW2069:BH2069, MATCH(2, 1/(AW2069:BH2069&lt;&gt;""), 1)-1), ROW(INDIRECT("1:" &amp; MATCH(2, 1/(AW2069:BH2069&lt;&gt;""), 1)-1))) &gt;= 115%, 115%, INDEX(AW2069:INDEX(AW2069:BH2069, MATCH(2, 1/(AW2069:BH2069&lt;&gt;""), 1)-1), ROW(INDIRECT("1:" &amp; MATCH(2, 1/(AW2069:BH2069&lt;&gt;""), 1)-1)))), 0))/_xlfn.XLOOKUP(F2069,Apuração!A:A,Apuração!B:B))</f>
        <v>0.33749999999999997</v>
      </c>
      <c r="BM2069" s="55" cm="1">
        <f t="array" ref="BM2069">IFERROR(
   INDEX($AW$1:$BH$1,
      _xlfn.AGGREGATE(14, 6, COLUMN($AW$1:$BH$1)/(AW2069:BH2069&lt;&gt;""), 2) - COLUMN($AW$1) + 1
   ),
"")</f>
        <v>46113</v>
      </c>
      <c r="BN2069" s="55" cm="1">
        <f t="array" ref="BN2069">IFERROR(INDEX($AW$1:$BH$1,1,MATCH(2,1/(AW2069:BH2069&lt;&gt;""))),"")</f>
        <v>46143</v>
      </c>
      <c r="BO2069" s="53">
        <f ca="1">IFERROR(_xlfn.XLOOKUP(F2069,Apuração!A:A,Apuração!C:C)/_xlfn.XLOOKUP(F2069,Apuração!A:A,Apuração!B:B),0)</f>
        <v>0.41666666666666669</v>
      </c>
      <c r="BP2069" s="53">
        <f ca="1">IFERROR(_xlfn.XLOOKUP(F2069,Apuração!A:A,Apuração!D:D)/_xlfn.XLOOKUP(F2069,Apuração!A:A,Apuração!B:B),0)</f>
        <v>0.33333333333333331</v>
      </c>
      <c r="BQ2069" s="53">
        <f ca="1">IF(BK2069&gt;=BO2069,0,_xlfn.XLOOKUP(F2069,Apuração!A:A,Apuração!B:B)*(BO2069 + (1/_xlfn.XLOOKUP(F2069,Apuração!A:A,Apuração!B:B)) - BK2069))</f>
        <v>1.2092592592592597</v>
      </c>
      <c r="BR2069" s="85">
        <f t="shared" ca="1" si="2429"/>
        <v>24.185185185185194</v>
      </c>
      <c r="BS2069" s="53">
        <f ca="1">IFERROR((_xlfn.XLOOKUP(F2069,Apuração!A:A,Apuração!C:C)+1)/_xlfn.XLOOKUP(F2069,Apuração!A:A,Apuração!B:B),0)</f>
        <v>0.5</v>
      </c>
    </row>
    <row r="2070" spans="1:71" ht="25.95" hidden="1" customHeight="1" x14ac:dyDescent="0.3">
      <c r="A2070" s="70" t="s">
        <v>108</v>
      </c>
      <c r="B2070" s="4" t="s">
        <v>117</v>
      </c>
      <c r="C2070" s="5" t="s">
        <v>216</v>
      </c>
      <c r="D2070" s="5" t="s">
        <v>36</v>
      </c>
      <c r="E2070" s="4" t="s">
        <v>118</v>
      </c>
      <c r="F2070" s="4" t="str" cm="1">
        <f t="array" ref="F2070">_xlfn.IFS(
AG2070 &lt;&gt; "", "Jan-Dez/26",
AH2070 &lt;&gt; "", "Fev-Dez/26",
AI2070 &lt;&gt; "", "Mar-Dez/26", AJ2070 &lt;&gt; "", "Abr-Dez/26",
TRUE, "A partir de Junho"
)</f>
        <v>Jan-Dez/26</v>
      </c>
      <c r="G2070" s="4" t="s">
        <v>37</v>
      </c>
      <c r="H2070" s="7" t="s">
        <v>38</v>
      </c>
      <c r="I2070" s="4" t="s">
        <v>119</v>
      </c>
      <c r="J2070" s="8" t="str" cm="1">
        <f t="array" aca="1" ref="J2070" ca="1">_xlfn.LET(
  _xlpm.actual_value_month, INDEX(T2070:AE2070, MATCH(DATE(YEAR(TODAY()), MONTH(TODAY()), 1), $T$1:$AE$1, 0)),
  IF(_xlpm.actual_value_month &lt;&gt; "",_xlpm.actual_value_month &amp; " ações mensais", "")
)</f>
        <v/>
      </c>
      <c r="K2070" s="8" t="str" cm="1">
        <f t="array" ref="K2070">_xlfn.LET(
    _xlpm.sum_month, SUM(T2070:AE2070),
    IF(_xlpm.sum_month = 0, "", _xlpm.sum_month &amp; " NC's no ano")
)</f>
        <v/>
      </c>
      <c r="L2070" s="4" t="s">
        <v>120</v>
      </c>
      <c r="M2070" s="19"/>
      <c r="N2070" s="5" t="s">
        <v>51</v>
      </c>
      <c r="O2070" s="5"/>
      <c r="P2070" s="10"/>
      <c r="Q2070" s="10"/>
      <c r="R2070" s="11"/>
      <c r="S2070" s="11"/>
      <c r="T2070" s="22"/>
      <c r="U2070" s="22"/>
      <c r="V2070" s="22"/>
      <c r="W2070" s="22"/>
      <c r="X2070" s="22"/>
      <c r="Y2070" s="22"/>
      <c r="Z2070" s="22"/>
      <c r="AA2070" s="22"/>
      <c r="AB2070" s="22"/>
      <c r="AC2070" s="22"/>
      <c r="AD2070" s="22"/>
      <c r="AE2070" s="22"/>
      <c r="AF2070" s="81"/>
      <c r="AG2070" s="71">
        <v>1177</v>
      </c>
      <c r="AH2070" s="71">
        <v>1549</v>
      </c>
      <c r="AI2070" s="71">
        <v>1216</v>
      </c>
      <c r="AJ2070" s="71"/>
      <c r="AK2070" s="71"/>
      <c r="AL2070" s="71"/>
      <c r="AM2070" s="71"/>
      <c r="AN2070" s="71"/>
      <c r="AO2070" s="71"/>
      <c r="AP2070" s="71"/>
      <c r="AQ2070" s="71"/>
      <c r="AR2070" s="71"/>
      <c r="AS2070" s="94"/>
      <c r="AT2070" s="95"/>
      <c r="AU2070" s="97"/>
      <c r="AV2070" s="81"/>
      <c r="AW2070" s="83">
        <f>AG2070</f>
        <v>1177</v>
      </c>
      <c r="AX2070" s="83">
        <f>AH2070</f>
        <v>1549</v>
      </c>
      <c r="AY2070" s="83">
        <f>AI2070</f>
        <v>1216</v>
      </c>
      <c r="AZ2070" s="83">
        <f>AJ2070</f>
        <v>0</v>
      </c>
      <c r="BA2070" s="83"/>
      <c r="BB2070" s="83"/>
      <c r="BC2070" s="83"/>
      <c r="BD2070" s="83"/>
      <c r="BE2070" s="83"/>
      <c r="BF2070" s="83"/>
      <c r="BG2070" s="83"/>
      <c r="BH2070" s="83"/>
      <c r="BI2070" s="65"/>
      <c r="BJ2070" s="68"/>
      <c r="BK2070" s="59">
        <f>SUM(AW2070:BH2070)</f>
        <v>3942</v>
      </c>
      <c r="BL2070" s="59" cm="1">
        <f t="array" ref="BL2070">IFERROR(SUM(AW2070:INDEX(AW2070:BH2070, MATCH(2, 1/(AW2070:BH2070&lt;&gt;""), 1) - 1))/_xlfn.XLOOKUP(F2070,Apuração!A:A,Apuração!B:B),0)</f>
        <v>328.5</v>
      </c>
      <c r="BM2070" s="55"/>
      <c r="BN2070" s="55"/>
      <c r="BO2070" s="53">
        <f ca="1">IFERROR(_xlfn.XLOOKUP(F2070,Apuração!A:A,Apuração!C:C)/_xlfn.XLOOKUP(F2070,Apuração!A:A,Apuração!B:B),0)</f>
        <v>0.41666666666666669</v>
      </c>
      <c r="BP2070" s="53">
        <f ca="1">IFERROR(_xlfn.XLOOKUP(F2070,Apuração!A:A,Apuração!D:D)/_xlfn.XLOOKUP(F2070,Apuração!A:A,Apuração!B:B),0)</f>
        <v>0.33333333333333331</v>
      </c>
      <c r="BQ2070" s="53">
        <f ca="1">IF(BK2070&gt;=BO2070,0,_xlfn.XLOOKUP(F2070,Apuração!A:A,Apuração!B:B)*(BO2070 + (1/_xlfn.XLOOKUP(F2070,Apuração!A:A,Apuração!B:B)) - BK2070))</f>
        <v>0</v>
      </c>
      <c r="BR2070" s="85">
        <f ca="1">IF(BQ2070=0,0,BQ2070*Z2070)</f>
        <v>0</v>
      </c>
      <c r="BS2070" s="53">
        <f ca="1">IFERROR((_xlfn.XLOOKUP(F2070,Apuração!A:A,Apuração!C:C)+1)/_xlfn.XLOOKUP(F2070,Apuração!A:A,Apuração!B:B),0)</f>
        <v>0.5</v>
      </c>
    </row>
    <row r="2071" spans="1:71" ht="25.95" hidden="1" customHeight="1" x14ac:dyDescent="0.3">
      <c r="A2071" s="70" t="s">
        <v>108</v>
      </c>
      <c r="B2071" s="4" t="s">
        <v>117</v>
      </c>
      <c r="C2071" s="5" t="s">
        <v>216</v>
      </c>
      <c r="D2071" s="5" t="s">
        <v>217</v>
      </c>
      <c r="E2071" s="4" t="s">
        <v>118</v>
      </c>
      <c r="F2071" s="4" t="str" cm="1">
        <f t="array" ref="F2071">_xlfn.IFS(
AG2071 &lt;&gt; "", "Jan-Dez/26",
AH2071 &lt;&gt; "", "Fev-Dez/26",
AI2071 &lt;&gt; "", "Mar-Dez/26", AJ2071 &lt;&gt; "", "Abr-Dez/26",
TRUE, "A partir de Junho"
)</f>
        <v>A partir de Junho</v>
      </c>
      <c r="G2071" s="4" t="s">
        <v>37</v>
      </c>
      <c r="H2071" s="7" t="s">
        <v>38</v>
      </c>
      <c r="I2071" s="4" t="s">
        <v>119</v>
      </c>
      <c r="J2071" s="8" t="str" cm="1">
        <f t="array" aca="1" ref="J2071" ca="1">_xlfn.LET(
  _xlpm.actual_value_month, INDEX(T2071:AE2071, MATCH(DATE(YEAR(TODAY()), MONTH(TODAY()), 1), $T$1:$AE$1, 0)),
  IF(_xlpm.actual_value_month &lt;&gt; "",_xlpm.actual_value_month &amp; " ações mensais", "")
)</f>
        <v/>
      </c>
      <c r="K2071" s="8" t="str" cm="1">
        <f t="array" ref="K2071">_xlfn.LET(
    _xlpm.sum_month, SUM(T2071:AE2071),
    IF(_xlpm.sum_month = 0, "", _xlpm.sum_month &amp; " NC's no ano")
)</f>
        <v/>
      </c>
      <c r="L2071" s="4" t="s">
        <v>120</v>
      </c>
      <c r="M2071" s="19"/>
      <c r="N2071" s="5" t="s">
        <v>51</v>
      </c>
      <c r="O2071" s="5"/>
      <c r="P2071" s="10"/>
      <c r="Q2071" s="10"/>
      <c r="R2071" s="11"/>
      <c r="S2071" s="11"/>
      <c r="T2071" s="22"/>
      <c r="U2071" s="22"/>
      <c r="V2071" s="22"/>
      <c r="W2071" s="22"/>
      <c r="X2071" s="22"/>
      <c r="Y2071" s="22"/>
      <c r="Z2071" s="22"/>
      <c r="AA2071" s="22"/>
      <c r="AB2071" s="22"/>
      <c r="AC2071" s="22"/>
      <c r="AD2071" s="22"/>
      <c r="AE2071" s="22"/>
      <c r="AF2071" s="81"/>
      <c r="AG2071" s="71"/>
      <c r="AH2071" s="71"/>
      <c r="AI2071" s="71"/>
      <c r="AJ2071" s="71"/>
      <c r="AK2071" s="71"/>
      <c r="AL2071" s="71"/>
      <c r="AM2071" s="71"/>
      <c r="AN2071" s="71"/>
      <c r="AO2071" s="71"/>
      <c r="AP2071" s="71"/>
      <c r="AQ2071" s="71"/>
      <c r="AR2071" s="71"/>
      <c r="AS2071" s="94"/>
      <c r="AT2071" s="95"/>
      <c r="AU2071" s="97"/>
      <c r="AV2071" s="81"/>
      <c r="AW2071" s="83">
        <f t="shared" ref="AW2071:AW2074" si="2430">AG2071</f>
        <v>0</v>
      </c>
      <c r="AX2071" s="83">
        <f t="shared" ref="AX2071:AX2074" si="2431">AH2071</f>
        <v>0</v>
      </c>
      <c r="AY2071" s="83">
        <f t="shared" ref="AY2071:AY2074" si="2432">AI2071</f>
        <v>0</v>
      </c>
      <c r="AZ2071" s="83">
        <f t="shared" ref="AZ2071:AZ2074" si="2433">AJ2071</f>
        <v>0</v>
      </c>
      <c r="BA2071" s="83"/>
      <c r="BB2071" s="83"/>
      <c r="BC2071" s="83"/>
      <c r="BD2071" s="83"/>
      <c r="BE2071" s="83"/>
      <c r="BF2071" s="83"/>
      <c r="BG2071" s="83"/>
      <c r="BH2071" s="83"/>
      <c r="BI2071" s="65"/>
      <c r="BJ2071" s="68"/>
      <c r="BK2071" s="59">
        <f t="shared" ref="BK2071:BK2074" si="2434">SUM(AW2071:BH2071)</f>
        <v>0</v>
      </c>
      <c r="BL2071" s="59" cm="1">
        <f t="array" ref="BL2071">IFERROR(SUM(AW2071:INDEX(AW2071:BH2071, MATCH(2, 1/(AW2071:BH2071&lt;&gt;""), 1) - 1))/_xlfn.XLOOKUP(F2071,Apuração!A:A,Apuração!B:B),0)</f>
        <v>0</v>
      </c>
      <c r="BM2071" s="55"/>
      <c r="BN2071" s="55"/>
      <c r="BO2071" s="53">
        <f ca="1">IFERROR(_xlfn.XLOOKUP(F2071,Apuração!A:A,Apuração!C:C)/_xlfn.XLOOKUP(F2071,Apuração!A:A,Apuração!B:B),0)</f>
        <v>0</v>
      </c>
      <c r="BP2071" s="53">
        <f ca="1">IFERROR(_xlfn.XLOOKUP(F2071,Apuração!A:A,Apuração!D:D)/_xlfn.XLOOKUP(F2071,Apuração!A:A,Apuração!B:B),0)</f>
        <v>0</v>
      </c>
      <c r="BQ2071" s="53">
        <f ca="1">IF(BK2071&gt;=BO2071,0,_xlfn.XLOOKUP(F2071,Apuração!A:A,Apuração!B:B)*(BO2071 + (1/_xlfn.XLOOKUP(F2071,Apuração!A:A,Apuração!B:B)) - BK2071))</f>
        <v>0</v>
      </c>
      <c r="BR2071" s="85">
        <f t="shared" ref="BR2071:BR2074" ca="1" si="2435">IF(BQ2071=0,0,BQ2071*Z2071)</f>
        <v>0</v>
      </c>
      <c r="BS2071" s="53">
        <f ca="1">IFERROR((_xlfn.XLOOKUP(F2071,Apuração!A:A,Apuração!C:C)+1)/_xlfn.XLOOKUP(F2071,Apuração!A:A,Apuração!B:B),0)</f>
        <v>0.14285714285714285</v>
      </c>
    </row>
    <row r="2072" spans="1:71" ht="25.95" hidden="1" customHeight="1" x14ac:dyDescent="0.3">
      <c r="A2072" s="70" t="s">
        <v>108</v>
      </c>
      <c r="B2072" s="4" t="s">
        <v>117</v>
      </c>
      <c r="C2072" s="5" t="s">
        <v>216</v>
      </c>
      <c r="D2072" s="5" t="s">
        <v>103</v>
      </c>
      <c r="E2072" s="4" t="s">
        <v>118</v>
      </c>
      <c r="F2072" s="4" t="str" cm="1">
        <f t="array" ref="F2072">_xlfn.IFS(
AG2072 &lt;&gt; "", "Jan-Dez/26",
AH2072 &lt;&gt; "", "Fev-Dez/26",
AI2072 &lt;&gt; "", "Mar-Dez/26", AJ2072 &lt;&gt; "", "Abr-Dez/26",
TRUE, "A partir de Junho"
)</f>
        <v>A partir de Junho</v>
      </c>
      <c r="G2072" s="4" t="s">
        <v>37</v>
      </c>
      <c r="H2072" s="7" t="s">
        <v>38</v>
      </c>
      <c r="I2072" s="4" t="s">
        <v>119</v>
      </c>
      <c r="J2072" s="8" t="str" cm="1">
        <f t="array" aca="1" ref="J2072" ca="1">_xlfn.LET(
  _xlpm.actual_value_month, INDEX(T2072:AE2072, MATCH(DATE(YEAR(TODAY()), MONTH(TODAY()), 1), $T$1:$AE$1, 0)),
  IF(_xlpm.actual_value_month &lt;&gt; "",_xlpm.actual_value_month &amp; " ações mensais", "")
)</f>
        <v/>
      </c>
      <c r="K2072" s="8" t="str" cm="1">
        <f t="array" ref="K2072">_xlfn.LET(
    _xlpm.sum_month, SUM(T2072:AE2072),
    IF(_xlpm.sum_month = 0, "", _xlpm.sum_month &amp; " NC's no ano")
)</f>
        <v/>
      </c>
      <c r="L2072" s="4" t="s">
        <v>120</v>
      </c>
      <c r="M2072" s="19"/>
      <c r="N2072" s="5" t="s">
        <v>51</v>
      </c>
      <c r="O2072" s="5"/>
      <c r="P2072" s="10"/>
      <c r="Q2072" s="10"/>
      <c r="R2072" s="11"/>
      <c r="S2072" s="11"/>
      <c r="T2072" s="22"/>
      <c r="U2072" s="22"/>
      <c r="V2072" s="22"/>
      <c r="W2072" s="22"/>
      <c r="X2072" s="22"/>
      <c r="Y2072" s="22"/>
      <c r="Z2072" s="22"/>
      <c r="AA2072" s="22"/>
      <c r="AB2072" s="22"/>
      <c r="AC2072" s="22"/>
      <c r="AD2072" s="22"/>
      <c r="AE2072" s="22"/>
      <c r="AF2072" s="81"/>
      <c r="AG2072" s="71"/>
      <c r="AH2072" s="71"/>
      <c r="AI2072" s="71"/>
      <c r="AJ2072" s="71"/>
      <c r="AK2072" s="71"/>
      <c r="AL2072" s="71"/>
      <c r="AM2072" s="71"/>
      <c r="AN2072" s="71"/>
      <c r="AO2072" s="71"/>
      <c r="AP2072" s="71"/>
      <c r="AQ2072" s="71"/>
      <c r="AR2072" s="71"/>
      <c r="AS2072" s="94"/>
      <c r="AT2072" s="95"/>
      <c r="AU2072" s="97"/>
      <c r="AV2072" s="81"/>
      <c r="AW2072" s="83">
        <f t="shared" si="2430"/>
        <v>0</v>
      </c>
      <c r="AX2072" s="83">
        <f t="shared" si="2431"/>
        <v>0</v>
      </c>
      <c r="AY2072" s="83">
        <f t="shared" si="2432"/>
        <v>0</v>
      </c>
      <c r="AZ2072" s="83">
        <f t="shared" si="2433"/>
        <v>0</v>
      </c>
      <c r="BA2072" s="83"/>
      <c r="BB2072" s="83"/>
      <c r="BC2072" s="83"/>
      <c r="BD2072" s="83"/>
      <c r="BE2072" s="83"/>
      <c r="BF2072" s="83"/>
      <c r="BG2072" s="83"/>
      <c r="BH2072" s="83"/>
      <c r="BI2072" s="65"/>
      <c r="BJ2072" s="68"/>
      <c r="BK2072" s="59">
        <f t="shared" si="2434"/>
        <v>0</v>
      </c>
      <c r="BL2072" s="59" cm="1">
        <f t="array" ref="BL2072">IFERROR(SUM(AW2072:INDEX(AW2072:BH2072, MATCH(2, 1/(AW2072:BH2072&lt;&gt;""), 1) - 1))/_xlfn.XLOOKUP(F2072,Apuração!A:A,Apuração!B:B),0)</f>
        <v>0</v>
      </c>
      <c r="BM2072" s="55"/>
      <c r="BN2072" s="55"/>
      <c r="BO2072" s="53">
        <f ca="1">IFERROR(_xlfn.XLOOKUP(F2072,Apuração!A:A,Apuração!C:C)/_xlfn.XLOOKUP(F2072,Apuração!A:A,Apuração!B:B),0)</f>
        <v>0</v>
      </c>
      <c r="BP2072" s="53">
        <f ca="1">IFERROR(_xlfn.XLOOKUP(F2072,Apuração!A:A,Apuração!D:D)/_xlfn.XLOOKUP(F2072,Apuração!A:A,Apuração!B:B),0)</f>
        <v>0</v>
      </c>
      <c r="BQ2072" s="53">
        <f ca="1">IF(BK2072&gt;=BO2072,0,_xlfn.XLOOKUP(F2072,Apuração!A:A,Apuração!B:B)*(BO2072 + (1/_xlfn.XLOOKUP(F2072,Apuração!A:A,Apuração!B:B)) - BK2072))</f>
        <v>0</v>
      </c>
      <c r="BR2072" s="85">
        <f t="shared" ca="1" si="2435"/>
        <v>0</v>
      </c>
      <c r="BS2072" s="53">
        <f ca="1">IFERROR((_xlfn.XLOOKUP(F2072,Apuração!A:A,Apuração!C:C)+1)/_xlfn.XLOOKUP(F2072,Apuração!A:A,Apuração!B:B),0)</f>
        <v>0.14285714285714285</v>
      </c>
    </row>
    <row r="2073" spans="1:71" ht="25.95" hidden="1" customHeight="1" x14ac:dyDescent="0.3">
      <c r="A2073" s="70" t="s">
        <v>108</v>
      </c>
      <c r="B2073" s="4" t="s">
        <v>117</v>
      </c>
      <c r="C2073" s="5" t="s">
        <v>216</v>
      </c>
      <c r="D2073" s="5" t="s">
        <v>218</v>
      </c>
      <c r="E2073" s="4" t="s">
        <v>118</v>
      </c>
      <c r="F2073" s="4" t="str" cm="1">
        <f t="array" ref="F2073">_xlfn.IFS(
AG2073 &lt;&gt; "", "Jan-Dez/26",
AH2073 &lt;&gt; "", "Fev-Dez/26",
AI2073 &lt;&gt; "", "Mar-Dez/26", AJ2073 &lt;&gt; "", "Abr-Dez/26",
TRUE, "A partir de Junho"
)</f>
        <v>A partir de Junho</v>
      </c>
      <c r="G2073" s="4" t="s">
        <v>37</v>
      </c>
      <c r="H2073" s="7" t="s">
        <v>38</v>
      </c>
      <c r="I2073" s="4" t="s">
        <v>119</v>
      </c>
      <c r="J2073" s="8" t="str" cm="1">
        <f t="array" aca="1" ref="J2073" ca="1">_xlfn.LET(
  _xlpm.actual_value_month, INDEX(T2073:AE2073, MATCH(DATE(YEAR(TODAY()), MONTH(TODAY()), 1), $T$1:$AE$1, 0)),
  IF(_xlpm.actual_value_month &lt;&gt; "",_xlpm.actual_value_month &amp; " ações mensais", "")
)</f>
        <v/>
      </c>
      <c r="K2073" s="8" t="str" cm="1">
        <f t="array" ref="K2073">_xlfn.LET(
    _xlpm.sum_month, SUM(T2073:AE2073),
    IF(_xlpm.sum_month = 0, "", _xlpm.sum_month &amp; " NC's no ano")
)</f>
        <v/>
      </c>
      <c r="L2073" s="4" t="s">
        <v>120</v>
      </c>
      <c r="M2073" s="19"/>
      <c r="N2073" s="5" t="s">
        <v>51</v>
      </c>
      <c r="O2073" s="5"/>
      <c r="P2073" s="10"/>
      <c r="Q2073" s="10"/>
      <c r="R2073" s="11"/>
      <c r="S2073" s="11"/>
      <c r="T2073" s="22"/>
      <c r="U2073" s="22"/>
      <c r="V2073" s="22"/>
      <c r="W2073" s="22"/>
      <c r="X2073" s="22"/>
      <c r="Y2073" s="22"/>
      <c r="Z2073" s="22"/>
      <c r="AA2073" s="22"/>
      <c r="AB2073" s="22"/>
      <c r="AC2073" s="22"/>
      <c r="AD2073" s="22"/>
      <c r="AE2073" s="22"/>
      <c r="AF2073" s="81"/>
      <c r="AG2073" s="71"/>
      <c r="AH2073" s="71"/>
      <c r="AI2073" s="71"/>
      <c r="AJ2073" s="71"/>
      <c r="AK2073" s="71"/>
      <c r="AL2073" s="71"/>
      <c r="AM2073" s="71"/>
      <c r="AN2073" s="71"/>
      <c r="AO2073" s="71"/>
      <c r="AP2073" s="71"/>
      <c r="AQ2073" s="71"/>
      <c r="AR2073" s="71"/>
      <c r="AS2073" s="94"/>
      <c r="AT2073" s="95"/>
      <c r="AU2073" s="97"/>
      <c r="AV2073" s="81"/>
      <c r="AW2073" s="83">
        <f t="shared" si="2430"/>
        <v>0</v>
      </c>
      <c r="AX2073" s="83">
        <f t="shared" si="2431"/>
        <v>0</v>
      </c>
      <c r="AY2073" s="83">
        <f t="shared" si="2432"/>
        <v>0</v>
      </c>
      <c r="AZ2073" s="83">
        <f t="shared" si="2433"/>
        <v>0</v>
      </c>
      <c r="BA2073" s="83"/>
      <c r="BB2073" s="83"/>
      <c r="BC2073" s="83"/>
      <c r="BD2073" s="83"/>
      <c r="BE2073" s="83"/>
      <c r="BF2073" s="83"/>
      <c r="BG2073" s="83"/>
      <c r="BH2073" s="83"/>
      <c r="BI2073" s="65"/>
      <c r="BJ2073" s="68"/>
      <c r="BK2073" s="59">
        <f t="shared" si="2434"/>
        <v>0</v>
      </c>
      <c r="BL2073" s="59" cm="1">
        <f t="array" ref="BL2073">IFERROR(SUM(AW2073:INDEX(AW2073:BH2073, MATCH(2, 1/(AW2073:BH2073&lt;&gt;""), 1) - 1))/_xlfn.XLOOKUP(F2073,Apuração!A:A,Apuração!B:B),0)</f>
        <v>0</v>
      </c>
      <c r="BM2073" s="55"/>
      <c r="BN2073" s="55"/>
      <c r="BO2073" s="53">
        <f ca="1">IFERROR(_xlfn.XLOOKUP(F2073,Apuração!A:A,Apuração!C:C)/_xlfn.XLOOKUP(F2073,Apuração!A:A,Apuração!B:B),0)</f>
        <v>0</v>
      </c>
      <c r="BP2073" s="53">
        <f ca="1">IFERROR(_xlfn.XLOOKUP(F2073,Apuração!A:A,Apuração!D:D)/_xlfn.XLOOKUP(F2073,Apuração!A:A,Apuração!B:B),0)</f>
        <v>0</v>
      </c>
      <c r="BQ2073" s="53">
        <f ca="1">IF(BK2073&gt;=BO2073,0,_xlfn.XLOOKUP(F2073,Apuração!A:A,Apuração!B:B)*(BO2073 + (1/_xlfn.XLOOKUP(F2073,Apuração!A:A,Apuração!B:B)) - BK2073))</f>
        <v>0</v>
      </c>
      <c r="BR2073" s="85">
        <f t="shared" ca="1" si="2435"/>
        <v>0</v>
      </c>
      <c r="BS2073" s="53">
        <f ca="1">IFERROR((_xlfn.XLOOKUP(F2073,Apuração!A:A,Apuração!C:C)+1)/_xlfn.XLOOKUP(F2073,Apuração!A:A,Apuração!B:B),0)</f>
        <v>0.14285714285714285</v>
      </c>
    </row>
    <row r="2074" spans="1:71" ht="25.95" hidden="1" customHeight="1" x14ac:dyDescent="0.3">
      <c r="A2074" s="70" t="s">
        <v>108</v>
      </c>
      <c r="B2074" s="4" t="s">
        <v>117</v>
      </c>
      <c r="C2074" s="5" t="s">
        <v>216</v>
      </c>
      <c r="D2074" s="5" t="s">
        <v>219</v>
      </c>
      <c r="E2074" s="4" t="s">
        <v>118</v>
      </c>
      <c r="F2074" s="4" t="str" cm="1">
        <f t="array" ref="F2074">_xlfn.IFS(
AG2074 &lt;&gt; "", "Jan-Dez/26",
AH2074 &lt;&gt; "", "Fev-Dez/26",
AI2074 &lt;&gt; "", "Mar-Dez/26", AJ2074 &lt;&gt; "", "Abr-Dez/26",
TRUE, "A partir de Junho"
)</f>
        <v>A partir de Junho</v>
      </c>
      <c r="G2074" s="4" t="s">
        <v>37</v>
      </c>
      <c r="H2074" s="7" t="s">
        <v>38</v>
      </c>
      <c r="I2074" s="4" t="s">
        <v>119</v>
      </c>
      <c r="J2074" s="8" t="str" cm="1">
        <f t="array" aca="1" ref="J2074" ca="1">_xlfn.LET(
  _xlpm.actual_value_month, INDEX(T2074:AE2074, MATCH(DATE(YEAR(TODAY()), MONTH(TODAY()), 1), $T$1:$AE$1, 0)),
  IF(_xlpm.actual_value_month &lt;&gt; "",_xlpm.actual_value_month &amp; " ações mensais", "")
)</f>
        <v/>
      </c>
      <c r="K2074" s="8" t="str" cm="1">
        <f t="array" ref="K2074">_xlfn.LET(
    _xlpm.sum_month, SUM(T2074:AE2074),
    IF(_xlpm.sum_month = 0, "", _xlpm.sum_month &amp; " NC's no ano")
)</f>
        <v/>
      </c>
      <c r="L2074" s="4" t="s">
        <v>120</v>
      </c>
      <c r="M2074" s="19"/>
      <c r="N2074" s="5" t="s">
        <v>51</v>
      </c>
      <c r="O2074" s="5"/>
      <c r="P2074" s="10"/>
      <c r="Q2074" s="10"/>
      <c r="R2074" s="11"/>
      <c r="S2074" s="11"/>
      <c r="T2074" s="22"/>
      <c r="U2074" s="22"/>
      <c r="V2074" s="22"/>
      <c r="W2074" s="22"/>
      <c r="X2074" s="22"/>
      <c r="Y2074" s="22"/>
      <c r="Z2074" s="22"/>
      <c r="AA2074" s="22"/>
      <c r="AB2074" s="22"/>
      <c r="AC2074" s="22"/>
      <c r="AD2074" s="22"/>
      <c r="AE2074" s="22"/>
      <c r="AF2074" s="81"/>
      <c r="AG2074" s="71"/>
      <c r="AH2074" s="71"/>
      <c r="AI2074" s="71"/>
      <c r="AJ2074" s="71"/>
      <c r="AK2074" s="71"/>
      <c r="AL2074" s="71"/>
      <c r="AM2074" s="71"/>
      <c r="AN2074" s="71"/>
      <c r="AO2074" s="71"/>
      <c r="AP2074" s="71"/>
      <c r="AQ2074" s="71"/>
      <c r="AR2074" s="71"/>
      <c r="AS2074" s="94"/>
      <c r="AT2074" s="95"/>
      <c r="AU2074" s="97"/>
      <c r="AV2074" s="81"/>
      <c r="AW2074" s="83">
        <f t="shared" si="2430"/>
        <v>0</v>
      </c>
      <c r="AX2074" s="83">
        <f t="shared" si="2431"/>
        <v>0</v>
      </c>
      <c r="AY2074" s="83">
        <f t="shared" si="2432"/>
        <v>0</v>
      </c>
      <c r="AZ2074" s="83">
        <f t="shared" si="2433"/>
        <v>0</v>
      </c>
      <c r="BA2074" s="83"/>
      <c r="BB2074" s="83"/>
      <c r="BC2074" s="83"/>
      <c r="BD2074" s="83"/>
      <c r="BE2074" s="83"/>
      <c r="BF2074" s="83"/>
      <c r="BG2074" s="83"/>
      <c r="BH2074" s="83"/>
      <c r="BI2074" s="65"/>
      <c r="BJ2074" s="68"/>
      <c r="BK2074" s="59">
        <f t="shared" si="2434"/>
        <v>0</v>
      </c>
      <c r="BL2074" s="59" cm="1">
        <f t="array" ref="BL2074">IFERROR(SUM(AW2074:INDEX(AW2074:BH2074, MATCH(2, 1/(AW2074:BH2074&lt;&gt;""), 1) - 1))/_xlfn.XLOOKUP(F2074,Apuração!A:A,Apuração!B:B),0)</f>
        <v>0</v>
      </c>
      <c r="BM2074" s="55"/>
      <c r="BN2074" s="55"/>
      <c r="BO2074" s="53">
        <f ca="1">IFERROR(_xlfn.XLOOKUP(F2074,Apuração!A:A,Apuração!C:C)/_xlfn.XLOOKUP(F2074,Apuração!A:A,Apuração!B:B),0)</f>
        <v>0</v>
      </c>
      <c r="BP2074" s="53">
        <f ca="1">IFERROR(_xlfn.XLOOKUP(F2074,Apuração!A:A,Apuração!D:D)/_xlfn.XLOOKUP(F2074,Apuração!A:A,Apuração!B:B),0)</f>
        <v>0</v>
      </c>
      <c r="BQ2074" s="53">
        <f ca="1">IF(BK2074&gt;=BO2074,0,_xlfn.XLOOKUP(F2074,Apuração!A:A,Apuração!B:B)*(BO2074 + (1/_xlfn.XLOOKUP(F2074,Apuração!A:A,Apuração!B:B)) - BK2074))</f>
        <v>0</v>
      </c>
      <c r="BR2074" s="85">
        <f t="shared" ca="1" si="2435"/>
        <v>0</v>
      </c>
      <c r="BS2074" s="53">
        <f ca="1">IFERROR((_xlfn.XLOOKUP(F2074,Apuração!A:A,Apuração!C:C)+1)/_xlfn.XLOOKUP(F2074,Apuração!A:A,Apuração!B:B),0)</f>
        <v>0.14285714285714285</v>
      </c>
    </row>
    <row r="2075" spans="1:71" ht="25.95" hidden="1" customHeight="1" x14ac:dyDescent="0.3">
      <c r="A2075" s="70" t="s">
        <v>108</v>
      </c>
      <c r="B2075" s="4" t="s">
        <v>117</v>
      </c>
      <c r="C2075" s="5" t="s">
        <v>216</v>
      </c>
      <c r="D2075" s="5" t="s">
        <v>36</v>
      </c>
      <c r="E2075" s="4" t="s">
        <v>118</v>
      </c>
      <c r="F2075" s="4" t="str" cm="1">
        <f t="array" ref="F2075">_xlfn.IFS(
AG2075 &lt;&gt; "", "Jan-Dez/26",
AH2075 &lt;&gt; "", "Fev-Dez/26",
AI2075 &lt;&gt; "", "Mar-Dez/26", AJ2075 &lt;&gt; "", "Abr-Dez/26",
TRUE, "A partir de Junho"
)</f>
        <v>Jan-Dez/26</v>
      </c>
      <c r="G2075" s="4" t="s">
        <v>37</v>
      </c>
      <c r="H2075" s="7" t="s">
        <v>38</v>
      </c>
      <c r="I2075" s="4" t="s">
        <v>121</v>
      </c>
      <c r="J2075" s="8" t="str" cm="1">
        <f t="array" aca="1" ref="J2075" ca="1">_xlfn.LET(
  _xlpm.actual_value_month, INDEX(T2075:AE2075, MATCH(DATE(YEAR(TODAY()), MONTH(TODAY()), 1), $T$1:$AE$1, 0)),
  IF(_xlpm.actual_value_month &lt;&gt; "",_xlpm.actual_value_month &amp; " ações mensais", "")
)</f>
        <v/>
      </c>
      <c r="K2075" s="8" t="str" cm="1">
        <f t="array" ref="K2075">_xlfn.LET(
    _xlpm.sum_month, SUM(T2075:AE2075),
    IF(_xlpm.sum_month = 0, "", _xlpm.sum_month &amp; " empresas monitoradas no ano")
)</f>
        <v/>
      </c>
      <c r="L2075" s="4" t="s">
        <v>122</v>
      </c>
      <c r="M2075" s="19"/>
      <c r="N2075" s="5" t="s">
        <v>51</v>
      </c>
      <c r="O2075" s="5"/>
      <c r="P2075" s="10"/>
      <c r="Q2075" s="10"/>
      <c r="R2075" s="11"/>
      <c r="S2075" s="11"/>
      <c r="T2075" s="22"/>
      <c r="U2075" s="22"/>
      <c r="V2075" s="22"/>
      <c r="W2075" s="22"/>
      <c r="X2075" s="22"/>
      <c r="Y2075" s="22"/>
      <c r="Z2075" s="22"/>
      <c r="AA2075" s="22"/>
      <c r="AB2075" s="22"/>
      <c r="AC2075" s="22"/>
      <c r="AD2075" s="22"/>
      <c r="AE2075" s="22"/>
      <c r="AF2075" s="81"/>
      <c r="AG2075" s="71">
        <v>24</v>
      </c>
      <c r="AH2075" s="71">
        <v>25</v>
      </c>
      <c r="AI2075" s="71">
        <v>26</v>
      </c>
      <c r="AJ2075" s="71"/>
      <c r="AK2075" s="71"/>
      <c r="AL2075" s="71"/>
      <c r="AM2075" s="71"/>
      <c r="AN2075" s="71"/>
      <c r="AO2075" s="71"/>
      <c r="AP2075" s="71"/>
      <c r="AQ2075" s="71"/>
      <c r="AR2075" s="71"/>
      <c r="AS2075" s="94"/>
      <c r="AT2075" s="95"/>
      <c r="AU2075" s="97"/>
      <c r="AV2075" s="81"/>
      <c r="AW2075" s="83">
        <f>AG2075</f>
        <v>24</v>
      </c>
      <c r="AX2075" s="83">
        <f>AH2075</f>
        <v>25</v>
      </c>
      <c r="AY2075" s="83">
        <f>AI2075</f>
        <v>26</v>
      </c>
      <c r="AZ2075" s="83">
        <f>AJ2075</f>
        <v>0</v>
      </c>
      <c r="BA2075" s="83"/>
      <c r="BB2075" s="83"/>
      <c r="BC2075" s="83"/>
      <c r="BD2075" s="83"/>
      <c r="BE2075" s="83"/>
      <c r="BF2075" s="83"/>
      <c r="BG2075" s="83"/>
      <c r="BH2075" s="83"/>
      <c r="BI2075" s="65"/>
      <c r="BJ2075" s="68"/>
      <c r="BK2075" s="59">
        <f>SUM(AW2075:BH2075)</f>
        <v>75</v>
      </c>
      <c r="BL2075" s="59" cm="1">
        <f t="array" ref="BL2075">IFERROR(SUM(AW2075:INDEX(AW2075:BH2075, MATCH(2, 1/(AW2075:BH2075&lt;&gt;""), 1) - 1))/_xlfn.XLOOKUP(F2075,Apuração!A:A,Apuração!B:B),0)</f>
        <v>6.25</v>
      </c>
      <c r="BM2075" s="55"/>
      <c r="BN2075" s="55"/>
      <c r="BO2075" s="53">
        <f ca="1">IFERROR(_xlfn.XLOOKUP(F2075,Apuração!A:A,Apuração!C:C)/_xlfn.XLOOKUP(F2075,Apuração!A:A,Apuração!B:B),0)</f>
        <v>0.41666666666666669</v>
      </c>
      <c r="BP2075" s="53">
        <f ca="1">IFERROR(_xlfn.XLOOKUP(F2075,Apuração!A:A,Apuração!D:D)/_xlfn.XLOOKUP(F2075,Apuração!A:A,Apuração!B:B),0)</f>
        <v>0.33333333333333331</v>
      </c>
      <c r="BQ2075" s="53">
        <f ca="1">IF(BK2075&gt;=BO2075,0,_xlfn.XLOOKUP(F2075,Apuração!A:A,Apuração!B:B)*(BO2075 + (1/_xlfn.XLOOKUP(F2075,Apuração!A:A,Apuração!B:B)) - BK2075))</f>
        <v>0</v>
      </c>
      <c r="BR2075" s="85">
        <f ca="1">IF(BQ2075=0,0,BQ2075*Z2075)</f>
        <v>0</v>
      </c>
      <c r="BS2075" s="53">
        <f ca="1">IFERROR((_xlfn.XLOOKUP(F2075,Apuração!A:A,Apuração!C:C)+1)/_xlfn.XLOOKUP(F2075,Apuração!A:A,Apuração!B:B),0)</f>
        <v>0.5</v>
      </c>
    </row>
    <row r="2076" spans="1:71" ht="25.95" hidden="1" customHeight="1" x14ac:dyDescent="0.3">
      <c r="A2076" s="70" t="s">
        <v>108</v>
      </c>
      <c r="B2076" s="4" t="s">
        <v>117</v>
      </c>
      <c r="C2076" s="5" t="s">
        <v>216</v>
      </c>
      <c r="D2076" s="5" t="s">
        <v>217</v>
      </c>
      <c r="E2076" s="4" t="s">
        <v>118</v>
      </c>
      <c r="F2076" s="4" t="str" cm="1">
        <f t="array" ref="F2076">_xlfn.IFS(
AG2076 &lt;&gt; "", "Jan-Dez/26",
AH2076 &lt;&gt; "", "Fev-Dez/26",
AI2076 &lt;&gt; "", "Mar-Dez/26", AJ2076 &lt;&gt; "", "Abr-Dez/26",
TRUE, "A partir de Junho"
)</f>
        <v>A partir de Junho</v>
      </c>
      <c r="G2076" s="4" t="s">
        <v>37</v>
      </c>
      <c r="H2076" s="7" t="s">
        <v>38</v>
      </c>
      <c r="I2076" s="4" t="s">
        <v>121</v>
      </c>
      <c r="J2076" s="8" t="str" cm="1">
        <f t="array" aca="1" ref="J2076" ca="1">_xlfn.LET(
  _xlpm.actual_value_month, INDEX(T2076:AE2076, MATCH(DATE(YEAR(TODAY()), MONTH(TODAY()), 1), $T$1:$AE$1, 0)),
  IF(_xlpm.actual_value_month &lt;&gt; "",_xlpm.actual_value_month &amp; " ações mensais", "")
)</f>
        <v/>
      </c>
      <c r="K2076" s="8" t="str" cm="1">
        <f t="array" ref="K2076">_xlfn.LET(
    _xlpm.sum_month, SUM(T2076:AE2076),
    IF(_xlpm.sum_month = 0, "", _xlpm.sum_month &amp; " empresas monitoradas no ano")
)</f>
        <v/>
      </c>
      <c r="L2076" s="4" t="s">
        <v>122</v>
      </c>
      <c r="M2076" s="19"/>
      <c r="N2076" s="5" t="s">
        <v>51</v>
      </c>
      <c r="O2076" s="5"/>
      <c r="P2076" s="10"/>
      <c r="Q2076" s="10"/>
      <c r="R2076" s="11"/>
      <c r="S2076" s="11"/>
      <c r="T2076" s="22"/>
      <c r="U2076" s="22"/>
      <c r="V2076" s="22"/>
      <c r="W2076" s="22"/>
      <c r="X2076" s="22"/>
      <c r="Y2076" s="22"/>
      <c r="Z2076" s="22"/>
      <c r="AA2076" s="22"/>
      <c r="AB2076" s="22"/>
      <c r="AC2076" s="22"/>
      <c r="AD2076" s="22"/>
      <c r="AE2076" s="22"/>
      <c r="AF2076" s="81"/>
      <c r="AG2076" s="71"/>
      <c r="AH2076" s="71"/>
      <c r="AI2076" s="71"/>
      <c r="AJ2076" s="71"/>
      <c r="AK2076" s="71"/>
      <c r="AL2076" s="71"/>
      <c r="AM2076" s="71"/>
      <c r="AN2076" s="71"/>
      <c r="AO2076" s="71"/>
      <c r="AP2076" s="71"/>
      <c r="AQ2076" s="71"/>
      <c r="AR2076" s="71"/>
      <c r="AS2076" s="94"/>
      <c r="AT2076" s="95"/>
      <c r="AU2076" s="97"/>
      <c r="AV2076" s="81"/>
      <c r="AW2076" s="83">
        <f t="shared" ref="AW2076:AW2079" si="2436">AG2076</f>
        <v>0</v>
      </c>
      <c r="AX2076" s="83">
        <f t="shared" ref="AX2076:AX2079" si="2437">AH2076</f>
        <v>0</v>
      </c>
      <c r="AY2076" s="83">
        <f t="shared" ref="AY2076:AY2079" si="2438">AI2076</f>
        <v>0</v>
      </c>
      <c r="AZ2076" s="83">
        <f t="shared" ref="AZ2076:AZ2079" si="2439">AJ2076</f>
        <v>0</v>
      </c>
      <c r="BA2076" s="83"/>
      <c r="BB2076" s="83"/>
      <c r="BC2076" s="83"/>
      <c r="BD2076" s="83"/>
      <c r="BE2076" s="83"/>
      <c r="BF2076" s="83"/>
      <c r="BG2076" s="83"/>
      <c r="BH2076" s="83"/>
      <c r="BI2076" s="65"/>
      <c r="BJ2076" s="68"/>
      <c r="BK2076" s="59">
        <f t="shared" ref="BK2076:BK2079" si="2440">SUM(AW2076:BH2076)</f>
        <v>0</v>
      </c>
      <c r="BL2076" s="59" cm="1">
        <f t="array" ref="BL2076">IFERROR(SUM(AW2076:INDEX(AW2076:BH2076, MATCH(2, 1/(AW2076:BH2076&lt;&gt;""), 1) - 1))/_xlfn.XLOOKUP(F2076,Apuração!A:A,Apuração!B:B),0)</f>
        <v>0</v>
      </c>
      <c r="BM2076" s="55"/>
      <c r="BN2076" s="55"/>
      <c r="BO2076" s="53">
        <f ca="1">IFERROR(_xlfn.XLOOKUP(F2076,Apuração!A:A,Apuração!C:C)/_xlfn.XLOOKUP(F2076,Apuração!A:A,Apuração!B:B),0)</f>
        <v>0</v>
      </c>
      <c r="BP2076" s="53">
        <f ca="1">IFERROR(_xlfn.XLOOKUP(F2076,Apuração!A:A,Apuração!D:D)/_xlfn.XLOOKUP(F2076,Apuração!A:A,Apuração!B:B),0)</f>
        <v>0</v>
      </c>
      <c r="BQ2076" s="53">
        <f ca="1">IF(BK2076&gt;=BO2076,0,_xlfn.XLOOKUP(F2076,Apuração!A:A,Apuração!B:B)*(BO2076 + (1/_xlfn.XLOOKUP(F2076,Apuração!A:A,Apuração!B:B)) - BK2076))</f>
        <v>0</v>
      </c>
      <c r="BR2076" s="85">
        <f t="shared" ref="BR2076:BR2079" ca="1" si="2441">IF(BQ2076=0,0,BQ2076*Z2076)</f>
        <v>0</v>
      </c>
      <c r="BS2076" s="53">
        <f ca="1">IFERROR((_xlfn.XLOOKUP(F2076,Apuração!A:A,Apuração!C:C)+1)/_xlfn.XLOOKUP(F2076,Apuração!A:A,Apuração!B:B),0)</f>
        <v>0.14285714285714285</v>
      </c>
    </row>
    <row r="2077" spans="1:71" ht="25.95" hidden="1" customHeight="1" x14ac:dyDescent="0.3">
      <c r="A2077" s="70" t="s">
        <v>108</v>
      </c>
      <c r="B2077" s="4" t="s">
        <v>117</v>
      </c>
      <c r="C2077" s="5" t="s">
        <v>216</v>
      </c>
      <c r="D2077" s="5" t="s">
        <v>103</v>
      </c>
      <c r="E2077" s="4" t="s">
        <v>118</v>
      </c>
      <c r="F2077" s="4" t="str" cm="1">
        <f t="array" ref="F2077">_xlfn.IFS(
AG2077 &lt;&gt; "", "Jan-Dez/26",
AH2077 &lt;&gt; "", "Fev-Dez/26",
AI2077 &lt;&gt; "", "Mar-Dez/26", AJ2077 &lt;&gt; "", "Abr-Dez/26",
TRUE, "A partir de Junho"
)</f>
        <v>A partir de Junho</v>
      </c>
      <c r="G2077" s="4" t="s">
        <v>37</v>
      </c>
      <c r="H2077" s="7" t="s">
        <v>38</v>
      </c>
      <c r="I2077" s="4" t="s">
        <v>121</v>
      </c>
      <c r="J2077" s="8" t="str" cm="1">
        <f t="array" aca="1" ref="J2077" ca="1">_xlfn.LET(
  _xlpm.actual_value_month, INDEX(T2077:AE2077, MATCH(DATE(YEAR(TODAY()), MONTH(TODAY()), 1), $T$1:$AE$1, 0)),
  IF(_xlpm.actual_value_month &lt;&gt; "",_xlpm.actual_value_month &amp; " ações mensais", "")
)</f>
        <v/>
      </c>
      <c r="K2077" s="8" t="str" cm="1">
        <f t="array" ref="K2077">_xlfn.LET(
    _xlpm.sum_month, SUM(T2077:AE2077),
    IF(_xlpm.sum_month = 0, "", _xlpm.sum_month &amp; " empresas monitoradas no ano")
)</f>
        <v/>
      </c>
      <c r="L2077" s="4" t="s">
        <v>122</v>
      </c>
      <c r="M2077" s="19"/>
      <c r="N2077" s="5" t="s">
        <v>51</v>
      </c>
      <c r="O2077" s="5"/>
      <c r="P2077" s="10"/>
      <c r="Q2077" s="10"/>
      <c r="R2077" s="11"/>
      <c r="S2077" s="11"/>
      <c r="T2077" s="22"/>
      <c r="U2077" s="22"/>
      <c r="V2077" s="22"/>
      <c r="W2077" s="22"/>
      <c r="X2077" s="22"/>
      <c r="Y2077" s="22"/>
      <c r="Z2077" s="22"/>
      <c r="AA2077" s="22"/>
      <c r="AB2077" s="22"/>
      <c r="AC2077" s="22"/>
      <c r="AD2077" s="22"/>
      <c r="AE2077" s="22"/>
      <c r="AF2077" s="81"/>
      <c r="AG2077" s="71"/>
      <c r="AH2077" s="71"/>
      <c r="AI2077" s="71"/>
      <c r="AJ2077" s="71"/>
      <c r="AK2077" s="71"/>
      <c r="AL2077" s="71"/>
      <c r="AM2077" s="71"/>
      <c r="AN2077" s="71"/>
      <c r="AO2077" s="71"/>
      <c r="AP2077" s="71"/>
      <c r="AQ2077" s="71"/>
      <c r="AR2077" s="71"/>
      <c r="AS2077" s="94"/>
      <c r="AT2077" s="95"/>
      <c r="AU2077" s="97"/>
      <c r="AV2077" s="81"/>
      <c r="AW2077" s="83">
        <f t="shared" si="2436"/>
        <v>0</v>
      </c>
      <c r="AX2077" s="83">
        <f t="shared" si="2437"/>
        <v>0</v>
      </c>
      <c r="AY2077" s="83">
        <f t="shared" si="2438"/>
        <v>0</v>
      </c>
      <c r="AZ2077" s="83">
        <f t="shared" si="2439"/>
        <v>0</v>
      </c>
      <c r="BA2077" s="83"/>
      <c r="BB2077" s="83"/>
      <c r="BC2077" s="83"/>
      <c r="BD2077" s="83"/>
      <c r="BE2077" s="83"/>
      <c r="BF2077" s="83"/>
      <c r="BG2077" s="83"/>
      <c r="BH2077" s="83"/>
      <c r="BI2077" s="65"/>
      <c r="BJ2077" s="68"/>
      <c r="BK2077" s="59">
        <f t="shared" si="2440"/>
        <v>0</v>
      </c>
      <c r="BL2077" s="59" cm="1">
        <f t="array" ref="BL2077">IFERROR(SUM(AW2077:INDEX(AW2077:BH2077, MATCH(2, 1/(AW2077:BH2077&lt;&gt;""), 1) - 1))/_xlfn.XLOOKUP(F2077,Apuração!A:A,Apuração!B:B),0)</f>
        <v>0</v>
      </c>
      <c r="BM2077" s="55"/>
      <c r="BN2077" s="55"/>
      <c r="BO2077" s="53">
        <f ca="1">IFERROR(_xlfn.XLOOKUP(F2077,Apuração!A:A,Apuração!C:C)/_xlfn.XLOOKUP(F2077,Apuração!A:A,Apuração!B:B),0)</f>
        <v>0</v>
      </c>
      <c r="BP2077" s="53">
        <f ca="1">IFERROR(_xlfn.XLOOKUP(F2077,Apuração!A:A,Apuração!D:D)/_xlfn.XLOOKUP(F2077,Apuração!A:A,Apuração!B:B),0)</f>
        <v>0</v>
      </c>
      <c r="BQ2077" s="53">
        <f ca="1">IF(BK2077&gt;=BO2077,0,_xlfn.XLOOKUP(F2077,Apuração!A:A,Apuração!B:B)*(BO2077 + (1/_xlfn.XLOOKUP(F2077,Apuração!A:A,Apuração!B:B)) - BK2077))</f>
        <v>0</v>
      </c>
      <c r="BR2077" s="85">
        <f t="shared" ca="1" si="2441"/>
        <v>0</v>
      </c>
      <c r="BS2077" s="53">
        <f ca="1">IFERROR((_xlfn.XLOOKUP(F2077,Apuração!A:A,Apuração!C:C)+1)/_xlfn.XLOOKUP(F2077,Apuração!A:A,Apuração!B:B),0)</f>
        <v>0.14285714285714285</v>
      </c>
    </row>
    <row r="2078" spans="1:71" ht="25.95" hidden="1" customHeight="1" x14ac:dyDescent="0.3">
      <c r="A2078" s="70" t="s">
        <v>108</v>
      </c>
      <c r="B2078" s="4" t="s">
        <v>117</v>
      </c>
      <c r="C2078" s="5" t="s">
        <v>216</v>
      </c>
      <c r="D2078" s="5" t="s">
        <v>218</v>
      </c>
      <c r="E2078" s="4" t="s">
        <v>118</v>
      </c>
      <c r="F2078" s="4" t="str" cm="1">
        <f t="array" ref="F2078">_xlfn.IFS(
AG2078 &lt;&gt; "", "Jan-Dez/26",
AH2078 &lt;&gt; "", "Fev-Dez/26",
AI2078 &lt;&gt; "", "Mar-Dez/26", AJ2078 &lt;&gt; "", "Abr-Dez/26",
TRUE, "A partir de Junho"
)</f>
        <v>A partir de Junho</v>
      </c>
      <c r="G2078" s="4" t="s">
        <v>37</v>
      </c>
      <c r="H2078" s="7" t="s">
        <v>38</v>
      </c>
      <c r="I2078" s="4" t="s">
        <v>121</v>
      </c>
      <c r="J2078" s="8" t="str" cm="1">
        <f t="array" aca="1" ref="J2078" ca="1">_xlfn.LET(
  _xlpm.actual_value_month, INDEX(T2078:AE2078, MATCH(DATE(YEAR(TODAY()), MONTH(TODAY()), 1), $T$1:$AE$1, 0)),
  IF(_xlpm.actual_value_month &lt;&gt; "",_xlpm.actual_value_month &amp; " ações mensais", "")
)</f>
        <v/>
      </c>
      <c r="K2078" s="8" t="str" cm="1">
        <f t="array" ref="K2078">_xlfn.LET(
    _xlpm.sum_month, SUM(T2078:AE2078),
    IF(_xlpm.sum_month = 0, "", _xlpm.sum_month &amp; " empresas monitoradas no ano")
)</f>
        <v/>
      </c>
      <c r="L2078" s="4" t="s">
        <v>122</v>
      </c>
      <c r="M2078" s="19"/>
      <c r="N2078" s="5" t="s">
        <v>51</v>
      </c>
      <c r="O2078" s="5"/>
      <c r="P2078" s="10"/>
      <c r="Q2078" s="10"/>
      <c r="R2078" s="11"/>
      <c r="S2078" s="11"/>
      <c r="T2078" s="22"/>
      <c r="U2078" s="22"/>
      <c r="V2078" s="22"/>
      <c r="W2078" s="22"/>
      <c r="X2078" s="22"/>
      <c r="Y2078" s="22"/>
      <c r="Z2078" s="22"/>
      <c r="AA2078" s="22"/>
      <c r="AB2078" s="22"/>
      <c r="AC2078" s="22"/>
      <c r="AD2078" s="22"/>
      <c r="AE2078" s="22"/>
      <c r="AF2078" s="81"/>
      <c r="AG2078" s="71"/>
      <c r="AH2078" s="71"/>
      <c r="AI2078" s="71"/>
      <c r="AJ2078" s="71"/>
      <c r="AK2078" s="71"/>
      <c r="AL2078" s="71"/>
      <c r="AM2078" s="71"/>
      <c r="AN2078" s="71"/>
      <c r="AO2078" s="71"/>
      <c r="AP2078" s="71"/>
      <c r="AQ2078" s="71"/>
      <c r="AR2078" s="71"/>
      <c r="AS2078" s="94"/>
      <c r="AT2078" s="95"/>
      <c r="AU2078" s="97"/>
      <c r="AV2078" s="81"/>
      <c r="AW2078" s="83">
        <f t="shared" si="2436"/>
        <v>0</v>
      </c>
      <c r="AX2078" s="83">
        <f t="shared" si="2437"/>
        <v>0</v>
      </c>
      <c r="AY2078" s="83">
        <f t="shared" si="2438"/>
        <v>0</v>
      </c>
      <c r="AZ2078" s="83">
        <f t="shared" si="2439"/>
        <v>0</v>
      </c>
      <c r="BA2078" s="83"/>
      <c r="BB2078" s="83"/>
      <c r="BC2078" s="83"/>
      <c r="BD2078" s="83"/>
      <c r="BE2078" s="83"/>
      <c r="BF2078" s="83"/>
      <c r="BG2078" s="83"/>
      <c r="BH2078" s="83"/>
      <c r="BI2078" s="65"/>
      <c r="BJ2078" s="68"/>
      <c r="BK2078" s="59">
        <f t="shared" si="2440"/>
        <v>0</v>
      </c>
      <c r="BL2078" s="59" cm="1">
        <f t="array" ref="BL2078">IFERROR(SUM(AW2078:INDEX(AW2078:BH2078, MATCH(2, 1/(AW2078:BH2078&lt;&gt;""), 1) - 1))/_xlfn.XLOOKUP(F2078,Apuração!A:A,Apuração!B:B),0)</f>
        <v>0</v>
      </c>
      <c r="BM2078" s="55"/>
      <c r="BN2078" s="55"/>
      <c r="BO2078" s="53">
        <f ca="1">IFERROR(_xlfn.XLOOKUP(F2078,Apuração!A:A,Apuração!C:C)/_xlfn.XLOOKUP(F2078,Apuração!A:A,Apuração!B:B),0)</f>
        <v>0</v>
      </c>
      <c r="BP2078" s="53">
        <f ca="1">IFERROR(_xlfn.XLOOKUP(F2078,Apuração!A:A,Apuração!D:D)/_xlfn.XLOOKUP(F2078,Apuração!A:A,Apuração!B:B),0)</f>
        <v>0</v>
      </c>
      <c r="BQ2078" s="53">
        <f ca="1">IF(BK2078&gt;=BO2078,0,_xlfn.XLOOKUP(F2078,Apuração!A:A,Apuração!B:B)*(BO2078 + (1/_xlfn.XLOOKUP(F2078,Apuração!A:A,Apuração!B:B)) - BK2078))</f>
        <v>0</v>
      </c>
      <c r="BR2078" s="85">
        <f t="shared" ca="1" si="2441"/>
        <v>0</v>
      </c>
      <c r="BS2078" s="53">
        <f ca="1">IFERROR((_xlfn.XLOOKUP(F2078,Apuração!A:A,Apuração!C:C)+1)/_xlfn.XLOOKUP(F2078,Apuração!A:A,Apuração!B:B),0)</f>
        <v>0.14285714285714285</v>
      </c>
    </row>
    <row r="2079" spans="1:71" ht="25.95" hidden="1" customHeight="1" x14ac:dyDescent="0.3">
      <c r="A2079" s="70" t="s">
        <v>108</v>
      </c>
      <c r="B2079" s="4" t="s">
        <v>117</v>
      </c>
      <c r="C2079" s="5" t="s">
        <v>216</v>
      </c>
      <c r="D2079" s="5" t="s">
        <v>219</v>
      </c>
      <c r="E2079" s="4" t="s">
        <v>118</v>
      </c>
      <c r="F2079" s="4" t="str" cm="1">
        <f t="array" ref="F2079">_xlfn.IFS(
AG2079 &lt;&gt; "", "Jan-Dez/26",
AH2079 &lt;&gt; "", "Fev-Dez/26",
AI2079 &lt;&gt; "", "Mar-Dez/26", AJ2079 &lt;&gt; "", "Abr-Dez/26",
TRUE, "A partir de Junho"
)</f>
        <v>A partir de Junho</v>
      </c>
      <c r="G2079" s="4" t="s">
        <v>37</v>
      </c>
      <c r="H2079" s="7" t="s">
        <v>38</v>
      </c>
      <c r="I2079" s="4" t="s">
        <v>121</v>
      </c>
      <c r="J2079" s="8" t="str" cm="1">
        <f t="array" aca="1" ref="J2079" ca="1">_xlfn.LET(
  _xlpm.actual_value_month, INDEX(T2079:AE2079, MATCH(DATE(YEAR(TODAY()), MONTH(TODAY()), 1), $T$1:$AE$1, 0)),
  IF(_xlpm.actual_value_month &lt;&gt; "",_xlpm.actual_value_month &amp; " ações mensais", "")
)</f>
        <v/>
      </c>
      <c r="K2079" s="8" t="str" cm="1">
        <f t="array" ref="K2079">_xlfn.LET(
    _xlpm.sum_month, SUM(T2079:AE2079),
    IF(_xlpm.sum_month = 0, "", _xlpm.sum_month &amp; " empresas monitoradas no ano")
)</f>
        <v/>
      </c>
      <c r="L2079" s="4" t="s">
        <v>122</v>
      </c>
      <c r="M2079" s="19"/>
      <c r="N2079" s="5" t="s">
        <v>51</v>
      </c>
      <c r="O2079" s="5"/>
      <c r="P2079" s="10"/>
      <c r="Q2079" s="10"/>
      <c r="R2079" s="11"/>
      <c r="S2079" s="11"/>
      <c r="T2079" s="22"/>
      <c r="U2079" s="22"/>
      <c r="V2079" s="22"/>
      <c r="W2079" s="22"/>
      <c r="X2079" s="22"/>
      <c r="Y2079" s="22"/>
      <c r="Z2079" s="22"/>
      <c r="AA2079" s="22"/>
      <c r="AB2079" s="22"/>
      <c r="AC2079" s="22"/>
      <c r="AD2079" s="22"/>
      <c r="AE2079" s="22"/>
      <c r="AF2079" s="81"/>
      <c r="AG2079" s="71"/>
      <c r="AH2079" s="71"/>
      <c r="AI2079" s="71"/>
      <c r="AJ2079" s="71"/>
      <c r="AK2079" s="71"/>
      <c r="AL2079" s="71"/>
      <c r="AM2079" s="71"/>
      <c r="AN2079" s="71"/>
      <c r="AO2079" s="71"/>
      <c r="AP2079" s="71"/>
      <c r="AQ2079" s="71"/>
      <c r="AR2079" s="71"/>
      <c r="AS2079" s="94"/>
      <c r="AT2079" s="95"/>
      <c r="AU2079" s="97"/>
      <c r="AV2079" s="81"/>
      <c r="AW2079" s="83">
        <f t="shared" si="2436"/>
        <v>0</v>
      </c>
      <c r="AX2079" s="83">
        <f t="shared" si="2437"/>
        <v>0</v>
      </c>
      <c r="AY2079" s="83">
        <f t="shared" si="2438"/>
        <v>0</v>
      </c>
      <c r="AZ2079" s="83">
        <f t="shared" si="2439"/>
        <v>0</v>
      </c>
      <c r="BA2079" s="83"/>
      <c r="BB2079" s="83"/>
      <c r="BC2079" s="83"/>
      <c r="BD2079" s="83"/>
      <c r="BE2079" s="83"/>
      <c r="BF2079" s="83"/>
      <c r="BG2079" s="83"/>
      <c r="BH2079" s="83"/>
      <c r="BI2079" s="65"/>
      <c r="BJ2079" s="68"/>
      <c r="BK2079" s="59">
        <f t="shared" si="2440"/>
        <v>0</v>
      </c>
      <c r="BL2079" s="59" cm="1">
        <f t="array" ref="BL2079">IFERROR(SUM(AW2079:INDEX(AW2079:BH2079, MATCH(2, 1/(AW2079:BH2079&lt;&gt;""), 1) - 1))/_xlfn.XLOOKUP(F2079,Apuração!A:A,Apuração!B:B),0)</f>
        <v>0</v>
      </c>
      <c r="BM2079" s="55"/>
      <c r="BN2079" s="55"/>
      <c r="BO2079" s="53">
        <f ca="1">IFERROR(_xlfn.XLOOKUP(F2079,Apuração!A:A,Apuração!C:C)/_xlfn.XLOOKUP(F2079,Apuração!A:A,Apuração!B:B),0)</f>
        <v>0</v>
      </c>
      <c r="BP2079" s="53">
        <f ca="1">IFERROR(_xlfn.XLOOKUP(F2079,Apuração!A:A,Apuração!D:D)/_xlfn.XLOOKUP(F2079,Apuração!A:A,Apuração!B:B),0)</f>
        <v>0</v>
      </c>
      <c r="BQ2079" s="53">
        <f ca="1">IF(BK2079&gt;=BO2079,0,_xlfn.XLOOKUP(F2079,Apuração!A:A,Apuração!B:B)*(BO2079 + (1/_xlfn.XLOOKUP(F2079,Apuração!A:A,Apuração!B:B)) - BK2079))</f>
        <v>0</v>
      </c>
      <c r="BR2079" s="85">
        <f t="shared" ca="1" si="2441"/>
        <v>0</v>
      </c>
      <c r="BS2079" s="53">
        <f ca="1">IFERROR((_xlfn.XLOOKUP(F2079,Apuração!A:A,Apuração!C:C)+1)/_xlfn.XLOOKUP(F2079,Apuração!A:A,Apuração!B:B),0)</f>
        <v>0.14285714285714285</v>
      </c>
    </row>
    <row r="2080" spans="1:71" ht="25.95" hidden="1" customHeight="1" x14ac:dyDescent="0.3">
      <c r="A2080" s="41" t="s">
        <v>108</v>
      </c>
      <c r="B2080" s="4" t="s">
        <v>123</v>
      </c>
      <c r="C2080" s="5" t="s">
        <v>216</v>
      </c>
      <c r="D2080" s="5" t="s">
        <v>36</v>
      </c>
      <c r="E2080" s="4" t="s">
        <v>61</v>
      </c>
      <c r="F2080" s="4" t="str" cm="1">
        <f t="array" ref="F2080">_xlfn.IFS(
AG2080 &lt;&gt; "", "Jan-Dez/26",
AH2080 &lt;&gt; "", "Fev-Dez/26",
AI2080 &lt;&gt; "", "Mar-Dez/26", AJ2080 &lt;&gt; "", "Abr-Dez/26",
TRUE, "A partir de Junho"
)</f>
        <v>A partir de Junho</v>
      </c>
      <c r="G2080" s="4" t="s">
        <v>62</v>
      </c>
      <c r="H2080" s="7" t="s">
        <v>38</v>
      </c>
      <c r="I2080" s="28" t="s">
        <v>124</v>
      </c>
      <c r="J2080" s="8" t="str" cm="1">
        <f t="array" aca="1" ref="J2080" ca="1">_xlfn.LET(
  _xlpm.actual_value_month, INDEX(T2080:AE2080, MATCH(DATE(YEAR(TODAY()), MONTH(TODAY()), 1), $T$1:$AE$1, 0)),
  IF(_xlpm.actual_value_month &lt;&gt; "",_xlpm.actual_value_month &amp; " ações mensais", "")
)</f>
        <v/>
      </c>
      <c r="K2080" s="8" t="str" cm="1">
        <f t="array" ref="K2080">_xlfn.LET(
    _xlpm.sum_month, SUM(T2080:AE2080),
    IF(_xlpm.sum_month = 0, "", _xlpm.sum_month &amp; " atividades no ano")
)</f>
        <v/>
      </c>
      <c r="L2080" s="4" t="s">
        <v>125</v>
      </c>
      <c r="M2080" s="19"/>
      <c r="N2080" s="5" t="s">
        <v>42</v>
      </c>
      <c r="O2080" s="5"/>
      <c r="P2080" s="10"/>
      <c r="Q2080" s="10"/>
      <c r="R2080" s="11"/>
      <c r="S2080" s="11"/>
      <c r="T2080" s="22"/>
      <c r="U2080" s="22"/>
      <c r="V2080" s="22"/>
      <c r="W2080" s="22"/>
      <c r="X2080" s="22"/>
      <c r="Y2080" s="22"/>
      <c r="Z2080" s="22"/>
      <c r="AA2080" s="22"/>
      <c r="AB2080" s="22"/>
      <c r="AC2080" s="22"/>
      <c r="AD2080" s="22"/>
      <c r="AE2080" s="22"/>
      <c r="AF2080" s="81"/>
      <c r="AG2080" s="71"/>
      <c r="AH2080" s="71"/>
      <c r="AI2080" s="71"/>
      <c r="AJ2080" s="71"/>
      <c r="AK2080" s="71"/>
      <c r="AL2080" s="71"/>
      <c r="AM2080" s="71"/>
      <c r="AN2080" s="71"/>
      <c r="AO2080" s="71"/>
      <c r="AP2080" s="71"/>
      <c r="AQ2080" s="71"/>
      <c r="AR2080" s="71"/>
      <c r="AS2080" s="94"/>
      <c r="AT2080" s="95"/>
      <c r="AU2080" s="97"/>
      <c r="AV2080" s="81"/>
      <c r="AW2080" s="51">
        <f>IFERROR(IF(AG2080="",0,AG2080/T2080),0)</f>
        <v>0</v>
      </c>
      <c r="AX2080" s="51">
        <f>IFERROR(IF(AH2080="",0,AH2080/U2080),0)</f>
        <v>0</v>
      </c>
      <c r="AY2080" s="51">
        <f>IFERROR(IF(AI2080="",0,AI2080/V2080),0)</f>
        <v>0</v>
      </c>
      <c r="AZ2080" s="51">
        <f>IFERROR(IF(AJ2080="",0,AJ2080/W2080),0)</f>
        <v>0</v>
      </c>
      <c r="BA2080" s="51"/>
      <c r="BB2080" s="51"/>
      <c r="BC2080" s="51"/>
      <c r="BD2080" s="51"/>
      <c r="BE2080" s="51"/>
      <c r="BF2080" s="51"/>
      <c r="BG2080" s="51"/>
      <c r="BH2080" s="51"/>
      <c r="BI2080" s="65"/>
      <c r="BJ2080" s="68"/>
      <c r="BK2080" s="58">
        <f>IF((IF(AW2080&gt;=115%,115%,AW2080) + IF(AX2080&gt;=115%,115%,AX2080) + IF(AY2080&gt;=115%,115%,AY2080) + (IF(AZ2080&gt;=115%,115%,AZ2080) + IF(BA2080&gt;=115%,115%,BA2080) + IF(BB2080&gt;=115%,115%,BB2080) + IF(BC2080&gt;=115%,115%,BC2080) + IF(BD2080&gt;=115%,115%,BD2080) + IF(BE2080&gt;=115%,115%,BE2080) + IF(BF2080&gt;=115%,115%,BF2080) + IF(BG2080&gt;=115%,115%,BG2080) + IF(BH2080&gt;=115%,115%,BH2080)))/_xlfn.XLOOKUP(F2080,Apuração!A:A,Apuração!B:B)&gt;=1.15,1.15,((IF(AZ2080&gt;=115%,115%,AZ2080) + IF(AX2080&gt;=115%,115%,AX2080) + IF(AY2080&gt;=115%,115%,AY2080) + (IF(AW2080&gt;=115%,115%,AW2080) + IF(BA2080&gt;=115%,115%,BA2080) + IF(BB2080&gt;=115%,115%,BB2080) + IF(BC2080&gt;=115%,115%,BC2080) + IF(BD2080&gt;=115%,115%,BD2080) + IF(BE2080&gt;=115%,115%,BE2080) + IF(BF2080&gt;=115%,115%,BF2080) + IF(BG2080&gt;=115%,115%,BG2080) + IF(BH2080&gt;=115%,115%,BH2080)))/_xlfn.XLOOKUP(F2080,Apuração!A:A,Apuração!B:B)))</f>
        <v>0</v>
      </c>
      <c r="BL2080" s="58" cm="1">
        <f t="array" aca="1" ref="BL2080" ca="1">IF(SUM(IFERROR(IF(INDEX(AW2080:INDEX(AW2080:BH2080, MATCH(2, 1/(AW2080:BH2080&lt;&gt;""), 1)-1), ROW(INDIRECT("1:" &amp; MATCH(2, 1/(AW2080:BH2080&lt;&gt;""), 1)-1))) &gt;= 115%, 115%, INDEX(AW2080:INDEX(AW2080:BH2080, MATCH(2, 1/(AW2080:BH2080&lt;&gt;""), 1)-1), ROW(INDIRECT("1:" &amp; MATCH(2, 1/(AW2080:BH2080&lt;&gt;""), 1)-1)))), 0))/_xlfn.XLOOKUP(F2080,Apuração!A:A,Apuração!B:B)&gt;=1.15,1.15,SUM(IFERROR(IF(INDEX(AW2080:INDEX(AW2080:BH2080, MATCH(2, 1/(AW2080:BH2080&lt;&gt;""), 1)-1), ROW(INDIRECT("1:" &amp; MATCH(2, 1/(AW2080:BH2080&lt;&gt;""), 1)-1))) &gt;= 115%, 115%, INDEX(AW2080:INDEX(AW2080:BH2080, MATCH(2, 1/(AW2080:BH2080&lt;&gt;""), 1)-1), ROW(INDIRECT("1:" &amp; MATCH(2, 1/(AW2080:BH2080&lt;&gt;""), 1)-1)))), 0))/_xlfn.XLOOKUP(F2080,Apuração!A:A,Apuração!B:B))</f>
        <v>0</v>
      </c>
      <c r="BM2080" s="55"/>
      <c r="BN2080" s="55"/>
      <c r="BO2080" s="53">
        <f ca="1">IFERROR(_xlfn.XLOOKUP(F2080,Apuração!A:A,Apuração!C:C)/_xlfn.XLOOKUP(F2080,Apuração!A:A,Apuração!B:B),0)</f>
        <v>0</v>
      </c>
      <c r="BP2080" s="53">
        <f ca="1">IFERROR(_xlfn.XLOOKUP(F2080,Apuração!A:A,Apuração!D:D)/_xlfn.XLOOKUP(F2080,Apuração!A:A,Apuração!B:B),0)</f>
        <v>0</v>
      </c>
      <c r="BQ2080" s="53">
        <f ca="1">IF(BK2080&gt;=BO2080,0,_xlfn.XLOOKUP(F2080,Apuração!A:A,Apuração!B:B)*(BO2080 + (1/_xlfn.XLOOKUP(F2080,Apuração!A:A,Apuração!B:B)) - BK2080))</f>
        <v>0</v>
      </c>
      <c r="BR2080" s="85">
        <f ca="1">IF(BQ2080=0,0,BQ2080*Z2080)</f>
        <v>0</v>
      </c>
      <c r="BS2080" s="53">
        <f ca="1">IFERROR((_xlfn.XLOOKUP(F2080,Apuração!A:A,Apuração!C:C)+1)/_xlfn.XLOOKUP(F2080,Apuração!A:A,Apuração!B:B),0)</f>
        <v>0.14285714285714285</v>
      </c>
    </row>
    <row r="2081" spans="1:71" ht="25.95" hidden="1" customHeight="1" x14ac:dyDescent="0.3">
      <c r="A2081" s="41" t="s">
        <v>108</v>
      </c>
      <c r="B2081" s="4" t="s">
        <v>123</v>
      </c>
      <c r="C2081" s="5" t="s">
        <v>216</v>
      </c>
      <c r="D2081" s="5" t="s">
        <v>217</v>
      </c>
      <c r="E2081" s="4" t="s">
        <v>61</v>
      </c>
      <c r="F2081" s="4" t="str" cm="1">
        <f t="array" ref="F2081">_xlfn.IFS(
AG2081 &lt;&gt; "", "Jan-Dez/26",
AH2081 &lt;&gt; "", "Fev-Dez/26",
AI2081 &lt;&gt; "", "Mar-Dez/26", AJ2081 &lt;&gt; "", "Abr-Dez/26",
TRUE, "A partir de Junho"
)</f>
        <v>A partir de Junho</v>
      </c>
      <c r="G2081" s="4" t="s">
        <v>62</v>
      </c>
      <c r="H2081" s="7" t="s">
        <v>38</v>
      </c>
      <c r="I2081" s="28" t="s">
        <v>124</v>
      </c>
      <c r="J2081" s="8" t="str" cm="1">
        <f t="array" aca="1" ref="J2081" ca="1">_xlfn.LET(
  _xlpm.actual_value_month, INDEX(T2081:AE2081, MATCH(DATE(YEAR(TODAY()), MONTH(TODAY()), 1), $T$1:$AE$1, 0)),
  IF(_xlpm.actual_value_month &lt;&gt; "",_xlpm.actual_value_month &amp; " ações mensais", "")
)</f>
        <v/>
      </c>
      <c r="K2081" s="8" t="str" cm="1">
        <f t="array" ref="K2081">_xlfn.LET(
    _xlpm.sum_month, SUM(T2081:AE2081),
    IF(_xlpm.sum_month = 0, "", _xlpm.sum_month &amp; " atividades no ano")
)</f>
        <v/>
      </c>
      <c r="L2081" s="4" t="s">
        <v>125</v>
      </c>
      <c r="M2081" s="19"/>
      <c r="N2081" s="5" t="s">
        <v>42</v>
      </c>
      <c r="O2081" s="5"/>
      <c r="P2081" s="10"/>
      <c r="Q2081" s="10"/>
      <c r="R2081" s="11"/>
      <c r="S2081" s="11"/>
      <c r="T2081" s="22"/>
      <c r="U2081" s="22"/>
      <c r="V2081" s="22"/>
      <c r="W2081" s="22"/>
      <c r="X2081" s="22"/>
      <c r="Y2081" s="22"/>
      <c r="Z2081" s="22"/>
      <c r="AA2081" s="22"/>
      <c r="AB2081" s="22"/>
      <c r="AC2081" s="22"/>
      <c r="AD2081" s="22"/>
      <c r="AE2081" s="22"/>
      <c r="AF2081" s="81"/>
      <c r="AG2081" s="71"/>
      <c r="AH2081" s="71"/>
      <c r="AI2081" s="71"/>
      <c r="AJ2081" s="71"/>
      <c r="AK2081" s="71"/>
      <c r="AL2081" s="71"/>
      <c r="AM2081" s="71"/>
      <c r="AN2081" s="71"/>
      <c r="AO2081" s="71"/>
      <c r="AP2081" s="71"/>
      <c r="AQ2081" s="71"/>
      <c r="AR2081" s="71"/>
      <c r="AS2081" s="94"/>
      <c r="AT2081" s="95"/>
      <c r="AU2081" s="97"/>
      <c r="AV2081" s="81"/>
      <c r="AW2081" s="51">
        <f t="shared" ref="AW2081:AW2084" si="2442">IFERROR(IF(AG2081="",0,AG2081/T2081),0)</f>
        <v>0</v>
      </c>
      <c r="AX2081" s="51">
        <f t="shared" ref="AX2081:AX2084" si="2443">IFERROR(IF(AH2081="",0,AH2081/U2081),0)</f>
        <v>0</v>
      </c>
      <c r="AY2081" s="51">
        <f t="shared" ref="AY2081:AY2084" si="2444">IFERROR(IF(AI2081="",0,AI2081/V2081),0)</f>
        <v>0</v>
      </c>
      <c r="AZ2081" s="51">
        <f t="shared" ref="AZ2081:AZ2084" si="2445">IFERROR(IF(AJ2081="",0,AJ2081/W2081),0)</f>
        <v>0</v>
      </c>
      <c r="BA2081" s="51"/>
      <c r="BB2081" s="51"/>
      <c r="BC2081" s="51"/>
      <c r="BD2081" s="51"/>
      <c r="BE2081" s="51"/>
      <c r="BF2081" s="51"/>
      <c r="BG2081" s="51"/>
      <c r="BH2081" s="51"/>
      <c r="BI2081" s="65"/>
      <c r="BJ2081" s="68"/>
      <c r="BK2081" s="58">
        <f>IF((IF(AW2081&gt;=115%,115%,AW2081) + IF(AX2081&gt;=115%,115%,AX2081) + IF(AY2081&gt;=115%,115%,AY2081) + (IF(AZ2081&gt;=115%,115%,AZ2081) + IF(BA2081&gt;=115%,115%,BA2081) + IF(BB2081&gt;=115%,115%,BB2081) + IF(BC2081&gt;=115%,115%,BC2081) + IF(BD2081&gt;=115%,115%,BD2081) + IF(BE2081&gt;=115%,115%,BE2081) + IF(BF2081&gt;=115%,115%,BF2081) + IF(BG2081&gt;=115%,115%,BG2081) + IF(BH2081&gt;=115%,115%,BH2081)))/_xlfn.XLOOKUP(F2081,Apuração!A:A,Apuração!B:B)&gt;=1.15,1.15,((IF(AZ2081&gt;=115%,115%,AZ2081) + IF(AX2081&gt;=115%,115%,AX2081) + IF(AY2081&gt;=115%,115%,AY2081) + (IF(AW2081&gt;=115%,115%,AW2081) + IF(BA2081&gt;=115%,115%,BA2081) + IF(BB2081&gt;=115%,115%,BB2081) + IF(BC2081&gt;=115%,115%,BC2081) + IF(BD2081&gt;=115%,115%,BD2081) + IF(BE2081&gt;=115%,115%,BE2081) + IF(BF2081&gt;=115%,115%,BF2081) + IF(BG2081&gt;=115%,115%,BG2081) + IF(BH2081&gt;=115%,115%,BH2081)))/_xlfn.XLOOKUP(F2081,Apuração!A:A,Apuração!B:B)))</f>
        <v>0</v>
      </c>
      <c r="BL2081" s="58" cm="1">
        <f t="array" aca="1" ref="BL2081" ca="1">IF(SUM(IFERROR(IF(INDEX(AW2081:INDEX(AW2081:BH2081, MATCH(2, 1/(AW2081:BH2081&lt;&gt;""), 1)-1), ROW(INDIRECT("1:" &amp; MATCH(2, 1/(AW2081:BH2081&lt;&gt;""), 1)-1))) &gt;= 115%, 115%, INDEX(AW2081:INDEX(AW2081:BH2081, MATCH(2, 1/(AW2081:BH2081&lt;&gt;""), 1)-1), ROW(INDIRECT("1:" &amp; MATCH(2, 1/(AW2081:BH2081&lt;&gt;""), 1)-1)))), 0))/_xlfn.XLOOKUP(F2081,Apuração!A:A,Apuração!B:B)&gt;=1.15,1.15,SUM(IFERROR(IF(INDEX(AW2081:INDEX(AW2081:BH2081, MATCH(2, 1/(AW2081:BH2081&lt;&gt;""), 1)-1), ROW(INDIRECT("1:" &amp; MATCH(2, 1/(AW2081:BH2081&lt;&gt;""), 1)-1))) &gt;= 115%, 115%, INDEX(AW2081:INDEX(AW2081:BH2081, MATCH(2, 1/(AW2081:BH2081&lt;&gt;""), 1)-1), ROW(INDIRECT("1:" &amp; MATCH(2, 1/(AW2081:BH2081&lt;&gt;""), 1)-1)))), 0))/_xlfn.XLOOKUP(F2081,Apuração!A:A,Apuração!B:B))</f>
        <v>0</v>
      </c>
      <c r="BM2081" s="55"/>
      <c r="BN2081" s="55"/>
      <c r="BO2081" s="53">
        <f ca="1">IFERROR(_xlfn.XLOOKUP(F2081,Apuração!A:A,Apuração!C:C)/_xlfn.XLOOKUP(F2081,Apuração!A:A,Apuração!B:B),0)</f>
        <v>0</v>
      </c>
      <c r="BP2081" s="53">
        <f ca="1">IFERROR(_xlfn.XLOOKUP(F2081,Apuração!A:A,Apuração!D:D)/_xlfn.XLOOKUP(F2081,Apuração!A:A,Apuração!B:B),0)</f>
        <v>0</v>
      </c>
      <c r="BQ2081" s="53">
        <f ca="1">IF(BK2081&gt;=BO2081,0,_xlfn.XLOOKUP(F2081,Apuração!A:A,Apuração!B:B)*(BO2081 + (1/_xlfn.XLOOKUP(F2081,Apuração!A:A,Apuração!B:B)) - BK2081))</f>
        <v>0</v>
      </c>
      <c r="BR2081" s="85">
        <f t="shared" ref="BR2081:BR2084" ca="1" si="2446">IF(BQ2081=0,0,BQ2081*Z2081)</f>
        <v>0</v>
      </c>
      <c r="BS2081" s="53">
        <f ca="1">IFERROR((_xlfn.XLOOKUP(F2081,Apuração!A:A,Apuração!C:C)+1)/_xlfn.XLOOKUP(F2081,Apuração!A:A,Apuração!B:B),0)</f>
        <v>0.14285714285714285</v>
      </c>
    </row>
    <row r="2082" spans="1:71" ht="25.95" hidden="1" customHeight="1" x14ac:dyDescent="0.3">
      <c r="A2082" s="41" t="s">
        <v>108</v>
      </c>
      <c r="B2082" s="4" t="s">
        <v>123</v>
      </c>
      <c r="C2082" s="5" t="s">
        <v>216</v>
      </c>
      <c r="D2082" s="5" t="s">
        <v>103</v>
      </c>
      <c r="E2082" s="4" t="s">
        <v>61</v>
      </c>
      <c r="F2082" s="4" t="str" cm="1">
        <f t="array" ref="F2082">_xlfn.IFS(
AG2082 &lt;&gt; "", "Jan-Dez/26",
AH2082 &lt;&gt; "", "Fev-Dez/26",
AI2082 &lt;&gt; "", "Mar-Dez/26", AJ2082 &lt;&gt; "", "Abr-Dez/26",
TRUE, "A partir de Junho"
)</f>
        <v>A partir de Junho</v>
      </c>
      <c r="G2082" s="4" t="s">
        <v>62</v>
      </c>
      <c r="H2082" s="7" t="s">
        <v>38</v>
      </c>
      <c r="I2082" s="28" t="s">
        <v>124</v>
      </c>
      <c r="J2082" s="8" t="str" cm="1">
        <f t="array" aca="1" ref="J2082" ca="1">_xlfn.LET(
  _xlpm.actual_value_month, INDEX(T2082:AE2082, MATCH(DATE(YEAR(TODAY()), MONTH(TODAY()), 1), $T$1:$AE$1, 0)),
  IF(_xlpm.actual_value_month &lt;&gt; "",_xlpm.actual_value_month &amp; " ações mensais", "")
)</f>
        <v/>
      </c>
      <c r="K2082" s="8" t="str" cm="1">
        <f t="array" ref="K2082">_xlfn.LET(
    _xlpm.sum_month, SUM(T2082:AE2082),
    IF(_xlpm.sum_month = 0, "", _xlpm.sum_month &amp; " atividades no ano")
)</f>
        <v/>
      </c>
      <c r="L2082" s="4" t="s">
        <v>125</v>
      </c>
      <c r="M2082" s="19"/>
      <c r="N2082" s="5" t="s">
        <v>42</v>
      </c>
      <c r="O2082" s="5"/>
      <c r="P2082" s="10"/>
      <c r="Q2082" s="10"/>
      <c r="R2082" s="11"/>
      <c r="S2082" s="11"/>
      <c r="T2082" s="22"/>
      <c r="U2082" s="22"/>
      <c r="V2082" s="22"/>
      <c r="W2082" s="22"/>
      <c r="X2082" s="22"/>
      <c r="Y2082" s="22"/>
      <c r="Z2082" s="22"/>
      <c r="AA2082" s="22"/>
      <c r="AB2082" s="22"/>
      <c r="AC2082" s="22"/>
      <c r="AD2082" s="22"/>
      <c r="AE2082" s="22"/>
      <c r="AF2082" s="81"/>
      <c r="AG2082" s="71"/>
      <c r="AH2082" s="71"/>
      <c r="AI2082" s="71"/>
      <c r="AJ2082" s="71"/>
      <c r="AK2082" s="71"/>
      <c r="AL2082" s="71"/>
      <c r="AM2082" s="71"/>
      <c r="AN2082" s="71"/>
      <c r="AO2082" s="71"/>
      <c r="AP2082" s="71"/>
      <c r="AQ2082" s="71"/>
      <c r="AR2082" s="71"/>
      <c r="AS2082" s="94"/>
      <c r="AT2082" s="95"/>
      <c r="AU2082" s="97"/>
      <c r="AV2082" s="81"/>
      <c r="AW2082" s="51">
        <f t="shared" si="2442"/>
        <v>0</v>
      </c>
      <c r="AX2082" s="51">
        <f t="shared" si="2443"/>
        <v>0</v>
      </c>
      <c r="AY2082" s="51">
        <f t="shared" si="2444"/>
        <v>0</v>
      </c>
      <c r="AZ2082" s="51">
        <f t="shared" si="2445"/>
        <v>0</v>
      </c>
      <c r="BA2082" s="51"/>
      <c r="BB2082" s="51"/>
      <c r="BC2082" s="51"/>
      <c r="BD2082" s="51"/>
      <c r="BE2082" s="51"/>
      <c r="BF2082" s="51"/>
      <c r="BG2082" s="51"/>
      <c r="BH2082" s="51"/>
      <c r="BI2082" s="65"/>
      <c r="BJ2082" s="68"/>
      <c r="BK2082" s="58">
        <f>IF((IF(AW2082&gt;=115%,115%,AW2082) + IF(AX2082&gt;=115%,115%,AX2082) + IF(AY2082&gt;=115%,115%,AY2082) + (IF(AZ2082&gt;=115%,115%,AZ2082) + IF(BA2082&gt;=115%,115%,BA2082) + IF(BB2082&gt;=115%,115%,BB2082) + IF(BC2082&gt;=115%,115%,BC2082) + IF(BD2082&gt;=115%,115%,BD2082) + IF(BE2082&gt;=115%,115%,BE2082) + IF(BF2082&gt;=115%,115%,BF2082) + IF(BG2082&gt;=115%,115%,BG2082) + IF(BH2082&gt;=115%,115%,BH2082)))/_xlfn.XLOOKUP(F2082,Apuração!A:A,Apuração!B:B)&gt;=1.15,1.15,((IF(AZ2082&gt;=115%,115%,AZ2082) + IF(AX2082&gt;=115%,115%,AX2082) + IF(AY2082&gt;=115%,115%,AY2082) + (IF(AW2082&gt;=115%,115%,AW2082) + IF(BA2082&gt;=115%,115%,BA2082) + IF(BB2082&gt;=115%,115%,BB2082) + IF(BC2082&gt;=115%,115%,BC2082) + IF(BD2082&gt;=115%,115%,BD2082) + IF(BE2082&gt;=115%,115%,BE2082) + IF(BF2082&gt;=115%,115%,BF2082) + IF(BG2082&gt;=115%,115%,BG2082) + IF(BH2082&gt;=115%,115%,BH2082)))/_xlfn.XLOOKUP(F2082,Apuração!A:A,Apuração!B:B)))</f>
        <v>0</v>
      </c>
      <c r="BL2082" s="58" cm="1">
        <f t="array" aca="1" ref="BL2082" ca="1">IF(SUM(IFERROR(IF(INDEX(AW2082:INDEX(AW2082:BH2082, MATCH(2, 1/(AW2082:BH2082&lt;&gt;""), 1)-1), ROW(INDIRECT("1:" &amp; MATCH(2, 1/(AW2082:BH2082&lt;&gt;""), 1)-1))) &gt;= 115%, 115%, INDEX(AW2082:INDEX(AW2082:BH2082, MATCH(2, 1/(AW2082:BH2082&lt;&gt;""), 1)-1), ROW(INDIRECT("1:" &amp; MATCH(2, 1/(AW2082:BH2082&lt;&gt;""), 1)-1)))), 0))/_xlfn.XLOOKUP(F2082,Apuração!A:A,Apuração!B:B)&gt;=1.15,1.15,SUM(IFERROR(IF(INDEX(AW2082:INDEX(AW2082:BH2082, MATCH(2, 1/(AW2082:BH2082&lt;&gt;""), 1)-1), ROW(INDIRECT("1:" &amp; MATCH(2, 1/(AW2082:BH2082&lt;&gt;""), 1)-1))) &gt;= 115%, 115%, INDEX(AW2082:INDEX(AW2082:BH2082, MATCH(2, 1/(AW2082:BH2082&lt;&gt;""), 1)-1), ROW(INDIRECT("1:" &amp; MATCH(2, 1/(AW2082:BH2082&lt;&gt;""), 1)-1)))), 0))/_xlfn.XLOOKUP(F2082,Apuração!A:A,Apuração!B:B))</f>
        <v>0</v>
      </c>
      <c r="BM2082" s="55"/>
      <c r="BN2082" s="55"/>
      <c r="BO2082" s="53">
        <f ca="1">IFERROR(_xlfn.XLOOKUP(F2082,Apuração!A:A,Apuração!C:C)/_xlfn.XLOOKUP(F2082,Apuração!A:A,Apuração!B:B),0)</f>
        <v>0</v>
      </c>
      <c r="BP2082" s="53">
        <f ca="1">IFERROR(_xlfn.XLOOKUP(F2082,Apuração!A:A,Apuração!D:D)/_xlfn.XLOOKUP(F2082,Apuração!A:A,Apuração!B:B),0)</f>
        <v>0</v>
      </c>
      <c r="BQ2082" s="53">
        <f ca="1">IF(BK2082&gt;=BO2082,0,_xlfn.XLOOKUP(F2082,Apuração!A:A,Apuração!B:B)*(BO2082 + (1/_xlfn.XLOOKUP(F2082,Apuração!A:A,Apuração!B:B)) - BK2082))</f>
        <v>0</v>
      </c>
      <c r="BR2082" s="85">
        <f t="shared" ca="1" si="2446"/>
        <v>0</v>
      </c>
      <c r="BS2082" s="53">
        <f ca="1">IFERROR((_xlfn.XLOOKUP(F2082,Apuração!A:A,Apuração!C:C)+1)/_xlfn.XLOOKUP(F2082,Apuração!A:A,Apuração!B:B),0)</f>
        <v>0.14285714285714285</v>
      </c>
    </row>
    <row r="2083" spans="1:71" ht="25.95" hidden="1" customHeight="1" x14ac:dyDescent="0.3">
      <c r="A2083" s="41" t="s">
        <v>108</v>
      </c>
      <c r="B2083" s="4" t="s">
        <v>123</v>
      </c>
      <c r="C2083" s="5" t="s">
        <v>216</v>
      </c>
      <c r="D2083" s="5" t="s">
        <v>218</v>
      </c>
      <c r="E2083" s="4" t="s">
        <v>61</v>
      </c>
      <c r="F2083" s="4" t="str" cm="1">
        <f t="array" ref="F2083">_xlfn.IFS(
AG2083 &lt;&gt; "", "Jan-Dez/26",
AH2083 &lt;&gt; "", "Fev-Dez/26",
AI2083 &lt;&gt; "", "Mar-Dez/26", AJ2083 &lt;&gt; "", "Abr-Dez/26",
TRUE, "A partir de Junho"
)</f>
        <v>A partir de Junho</v>
      </c>
      <c r="G2083" s="4" t="s">
        <v>62</v>
      </c>
      <c r="H2083" s="7" t="s">
        <v>38</v>
      </c>
      <c r="I2083" s="28" t="s">
        <v>124</v>
      </c>
      <c r="J2083" s="8" t="str" cm="1">
        <f t="array" aca="1" ref="J2083" ca="1">_xlfn.LET(
  _xlpm.actual_value_month, INDEX(T2083:AE2083, MATCH(DATE(YEAR(TODAY()), MONTH(TODAY()), 1), $T$1:$AE$1, 0)),
  IF(_xlpm.actual_value_month &lt;&gt; "",_xlpm.actual_value_month &amp; " ações mensais", "")
)</f>
        <v/>
      </c>
      <c r="K2083" s="8" t="str" cm="1">
        <f t="array" ref="K2083">_xlfn.LET(
    _xlpm.sum_month, SUM(T2083:AE2083),
    IF(_xlpm.sum_month = 0, "", _xlpm.sum_month &amp; " atividades no ano")
)</f>
        <v/>
      </c>
      <c r="L2083" s="4" t="s">
        <v>125</v>
      </c>
      <c r="M2083" s="19"/>
      <c r="N2083" s="5" t="s">
        <v>42</v>
      </c>
      <c r="O2083" s="5"/>
      <c r="P2083" s="10"/>
      <c r="Q2083" s="10"/>
      <c r="R2083" s="11"/>
      <c r="S2083" s="11"/>
      <c r="T2083" s="22"/>
      <c r="U2083" s="22"/>
      <c r="V2083" s="22"/>
      <c r="W2083" s="22"/>
      <c r="X2083" s="22"/>
      <c r="Y2083" s="22"/>
      <c r="Z2083" s="22"/>
      <c r="AA2083" s="22"/>
      <c r="AB2083" s="22"/>
      <c r="AC2083" s="22"/>
      <c r="AD2083" s="22"/>
      <c r="AE2083" s="22"/>
      <c r="AF2083" s="81"/>
      <c r="AG2083" s="71"/>
      <c r="AH2083" s="71"/>
      <c r="AI2083" s="71"/>
      <c r="AJ2083" s="71"/>
      <c r="AK2083" s="71"/>
      <c r="AL2083" s="71"/>
      <c r="AM2083" s="71"/>
      <c r="AN2083" s="71"/>
      <c r="AO2083" s="71"/>
      <c r="AP2083" s="71"/>
      <c r="AQ2083" s="71"/>
      <c r="AR2083" s="71"/>
      <c r="AS2083" s="94"/>
      <c r="AT2083" s="95"/>
      <c r="AU2083" s="97"/>
      <c r="AV2083" s="81"/>
      <c r="AW2083" s="51">
        <f t="shared" si="2442"/>
        <v>0</v>
      </c>
      <c r="AX2083" s="51">
        <f t="shared" si="2443"/>
        <v>0</v>
      </c>
      <c r="AY2083" s="51">
        <f t="shared" si="2444"/>
        <v>0</v>
      </c>
      <c r="AZ2083" s="51">
        <f t="shared" si="2445"/>
        <v>0</v>
      </c>
      <c r="BA2083" s="51"/>
      <c r="BB2083" s="51"/>
      <c r="BC2083" s="51"/>
      <c r="BD2083" s="51"/>
      <c r="BE2083" s="51"/>
      <c r="BF2083" s="51"/>
      <c r="BG2083" s="51"/>
      <c r="BH2083" s="51"/>
      <c r="BI2083" s="65"/>
      <c r="BJ2083" s="68"/>
      <c r="BK2083" s="58">
        <f>IF((IF(AW2083&gt;=115%,115%,AW2083) + IF(AX2083&gt;=115%,115%,AX2083) + IF(AY2083&gt;=115%,115%,AY2083) + (IF(AZ2083&gt;=115%,115%,AZ2083) + IF(BA2083&gt;=115%,115%,BA2083) + IF(BB2083&gt;=115%,115%,BB2083) + IF(BC2083&gt;=115%,115%,BC2083) + IF(BD2083&gt;=115%,115%,BD2083) + IF(BE2083&gt;=115%,115%,BE2083) + IF(BF2083&gt;=115%,115%,BF2083) + IF(BG2083&gt;=115%,115%,BG2083) + IF(BH2083&gt;=115%,115%,BH2083)))/_xlfn.XLOOKUP(F2083,Apuração!A:A,Apuração!B:B)&gt;=1.15,1.15,((IF(AZ2083&gt;=115%,115%,AZ2083) + IF(AX2083&gt;=115%,115%,AX2083) + IF(AY2083&gt;=115%,115%,AY2083) + (IF(AW2083&gt;=115%,115%,AW2083) + IF(BA2083&gt;=115%,115%,BA2083) + IF(BB2083&gt;=115%,115%,BB2083) + IF(BC2083&gt;=115%,115%,BC2083) + IF(BD2083&gt;=115%,115%,BD2083) + IF(BE2083&gt;=115%,115%,BE2083) + IF(BF2083&gt;=115%,115%,BF2083) + IF(BG2083&gt;=115%,115%,BG2083) + IF(BH2083&gt;=115%,115%,BH2083)))/_xlfn.XLOOKUP(F2083,Apuração!A:A,Apuração!B:B)))</f>
        <v>0</v>
      </c>
      <c r="BL2083" s="58" cm="1">
        <f t="array" aca="1" ref="BL2083" ca="1">IF(SUM(IFERROR(IF(INDEX(AW2083:INDEX(AW2083:BH2083, MATCH(2, 1/(AW2083:BH2083&lt;&gt;""), 1)-1), ROW(INDIRECT("1:" &amp; MATCH(2, 1/(AW2083:BH2083&lt;&gt;""), 1)-1))) &gt;= 115%, 115%, INDEX(AW2083:INDEX(AW2083:BH2083, MATCH(2, 1/(AW2083:BH2083&lt;&gt;""), 1)-1), ROW(INDIRECT("1:" &amp; MATCH(2, 1/(AW2083:BH2083&lt;&gt;""), 1)-1)))), 0))/_xlfn.XLOOKUP(F2083,Apuração!A:A,Apuração!B:B)&gt;=1.15,1.15,SUM(IFERROR(IF(INDEX(AW2083:INDEX(AW2083:BH2083, MATCH(2, 1/(AW2083:BH2083&lt;&gt;""), 1)-1), ROW(INDIRECT("1:" &amp; MATCH(2, 1/(AW2083:BH2083&lt;&gt;""), 1)-1))) &gt;= 115%, 115%, INDEX(AW2083:INDEX(AW2083:BH2083, MATCH(2, 1/(AW2083:BH2083&lt;&gt;""), 1)-1), ROW(INDIRECT("1:" &amp; MATCH(2, 1/(AW2083:BH2083&lt;&gt;""), 1)-1)))), 0))/_xlfn.XLOOKUP(F2083,Apuração!A:A,Apuração!B:B))</f>
        <v>0</v>
      </c>
      <c r="BM2083" s="55"/>
      <c r="BN2083" s="55"/>
      <c r="BO2083" s="53">
        <f ca="1">IFERROR(_xlfn.XLOOKUP(F2083,Apuração!A:A,Apuração!C:C)/_xlfn.XLOOKUP(F2083,Apuração!A:A,Apuração!B:B),0)</f>
        <v>0</v>
      </c>
      <c r="BP2083" s="53">
        <f ca="1">IFERROR(_xlfn.XLOOKUP(F2083,Apuração!A:A,Apuração!D:D)/_xlfn.XLOOKUP(F2083,Apuração!A:A,Apuração!B:B),0)</f>
        <v>0</v>
      </c>
      <c r="BQ2083" s="53">
        <f ca="1">IF(BK2083&gt;=BO2083,0,_xlfn.XLOOKUP(F2083,Apuração!A:A,Apuração!B:B)*(BO2083 + (1/_xlfn.XLOOKUP(F2083,Apuração!A:A,Apuração!B:B)) - BK2083))</f>
        <v>0</v>
      </c>
      <c r="BR2083" s="85">
        <f t="shared" ca="1" si="2446"/>
        <v>0</v>
      </c>
      <c r="BS2083" s="53">
        <f ca="1">IFERROR((_xlfn.XLOOKUP(F2083,Apuração!A:A,Apuração!C:C)+1)/_xlfn.XLOOKUP(F2083,Apuração!A:A,Apuração!B:B),0)</f>
        <v>0.14285714285714285</v>
      </c>
    </row>
    <row r="2084" spans="1:71" ht="25.95" hidden="1" customHeight="1" x14ac:dyDescent="0.3">
      <c r="A2084" s="41" t="s">
        <v>108</v>
      </c>
      <c r="B2084" s="4" t="s">
        <v>123</v>
      </c>
      <c r="C2084" s="5" t="s">
        <v>216</v>
      </c>
      <c r="D2084" s="5" t="s">
        <v>219</v>
      </c>
      <c r="E2084" s="4" t="s">
        <v>61</v>
      </c>
      <c r="F2084" s="4" t="str" cm="1">
        <f t="array" ref="F2084">_xlfn.IFS(
AG2084 &lt;&gt; "", "Jan-Dez/26",
AH2084 &lt;&gt; "", "Fev-Dez/26",
AI2084 &lt;&gt; "", "Mar-Dez/26", AJ2084 &lt;&gt; "", "Abr-Dez/26",
TRUE, "A partir de Junho"
)</f>
        <v>A partir de Junho</v>
      </c>
      <c r="G2084" s="4" t="s">
        <v>62</v>
      </c>
      <c r="H2084" s="7" t="s">
        <v>38</v>
      </c>
      <c r="I2084" s="28" t="s">
        <v>124</v>
      </c>
      <c r="J2084" s="8" t="str" cm="1">
        <f t="array" aca="1" ref="J2084" ca="1">_xlfn.LET(
  _xlpm.actual_value_month, INDEX(T2084:AE2084, MATCH(DATE(YEAR(TODAY()), MONTH(TODAY()), 1), $T$1:$AE$1, 0)),
  IF(_xlpm.actual_value_month &lt;&gt; "",_xlpm.actual_value_month &amp; " ações mensais", "")
)</f>
        <v/>
      </c>
      <c r="K2084" s="8" t="str" cm="1">
        <f t="array" ref="K2084">_xlfn.LET(
    _xlpm.sum_month, SUM(T2084:AE2084),
    IF(_xlpm.sum_month = 0, "", _xlpm.sum_month &amp; " atividades no ano")
)</f>
        <v/>
      </c>
      <c r="L2084" s="4" t="s">
        <v>125</v>
      </c>
      <c r="M2084" s="19"/>
      <c r="N2084" s="5" t="s">
        <v>42</v>
      </c>
      <c r="O2084" s="5"/>
      <c r="P2084" s="10"/>
      <c r="Q2084" s="10"/>
      <c r="R2084" s="11"/>
      <c r="S2084" s="11"/>
      <c r="T2084" s="22"/>
      <c r="U2084" s="22"/>
      <c r="V2084" s="22"/>
      <c r="W2084" s="22"/>
      <c r="X2084" s="22"/>
      <c r="Y2084" s="22"/>
      <c r="Z2084" s="22"/>
      <c r="AA2084" s="22"/>
      <c r="AB2084" s="22"/>
      <c r="AC2084" s="22"/>
      <c r="AD2084" s="22"/>
      <c r="AE2084" s="22"/>
      <c r="AF2084" s="81"/>
      <c r="AG2084" s="71"/>
      <c r="AH2084" s="71"/>
      <c r="AI2084" s="71"/>
      <c r="AJ2084" s="71"/>
      <c r="AK2084" s="71"/>
      <c r="AL2084" s="71"/>
      <c r="AM2084" s="71"/>
      <c r="AN2084" s="71"/>
      <c r="AO2084" s="71"/>
      <c r="AP2084" s="71"/>
      <c r="AQ2084" s="71"/>
      <c r="AR2084" s="71"/>
      <c r="AS2084" s="94"/>
      <c r="AT2084" s="95"/>
      <c r="AU2084" s="97"/>
      <c r="AV2084" s="81"/>
      <c r="AW2084" s="51">
        <f t="shared" si="2442"/>
        <v>0</v>
      </c>
      <c r="AX2084" s="51">
        <f t="shared" si="2443"/>
        <v>0</v>
      </c>
      <c r="AY2084" s="51">
        <f t="shared" si="2444"/>
        <v>0</v>
      </c>
      <c r="AZ2084" s="51">
        <f t="shared" si="2445"/>
        <v>0</v>
      </c>
      <c r="BA2084" s="51"/>
      <c r="BB2084" s="51"/>
      <c r="BC2084" s="51"/>
      <c r="BD2084" s="51"/>
      <c r="BE2084" s="51"/>
      <c r="BF2084" s="51"/>
      <c r="BG2084" s="51"/>
      <c r="BH2084" s="51"/>
      <c r="BI2084" s="65"/>
      <c r="BJ2084" s="68"/>
      <c r="BK2084" s="58">
        <f>IF((IF(AW2084&gt;=115%,115%,AW2084) + IF(AX2084&gt;=115%,115%,AX2084) + IF(AY2084&gt;=115%,115%,AY2084) + (IF(AZ2084&gt;=115%,115%,AZ2084) + IF(BA2084&gt;=115%,115%,BA2084) + IF(BB2084&gt;=115%,115%,BB2084) + IF(BC2084&gt;=115%,115%,BC2084) + IF(BD2084&gt;=115%,115%,BD2084) + IF(BE2084&gt;=115%,115%,BE2084) + IF(BF2084&gt;=115%,115%,BF2084) + IF(BG2084&gt;=115%,115%,BG2084) + IF(BH2084&gt;=115%,115%,BH2084)))/_xlfn.XLOOKUP(F2084,Apuração!A:A,Apuração!B:B)&gt;=1.15,1.15,((IF(AZ2084&gt;=115%,115%,AZ2084) + IF(AX2084&gt;=115%,115%,AX2084) + IF(AY2084&gt;=115%,115%,AY2084) + (IF(AW2084&gt;=115%,115%,AW2084) + IF(BA2084&gt;=115%,115%,BA2084) + IF(BB2084&gt;=115%,115%,BB2084) + IF(BC2084&gt;=115%,115%,BC2084) + IF(BD2084&gt;=115%,115%,BD2084) + IF(BE2084&gt;=115%,115%,BE2084) + IF(BF2084&gt;=115%,115%,BF2084) + IF(BG2084&gt;=115%,115%,BG2084) + IF(BH2084&gt;=115%,115%,BH2084)))/_xlfn.XLOOKUP(F2084,Apuração!A:A,Apuração!B:B)))</f>
        <v>0</v>
      </c>
      <c r="BL2084" s="58" cm="1">
        <f t="array" aca="1" ref="BL2084" ca="1">IF(SUM(IFERROR(IF(INDEX(AW2084:INDEX(AW2084:BH2084, MATCH(2, 1/(AW2084:BH2084&lt;&gt;""), 1)-1), ROW(INDIRECT("1:" &amp; MATCH(2, 1/(AW2084:BH2084&lt;&gt;""), 1)-1))) &gt;= 115%, 115%, INDEX(AW2084:INDEX(AW2084:BH2084, MATCH(2, 1/(AW2084:BH2084&lt;&gt;""), 1)-1), ROW(INDIRECT("1:" &amp; MATCH(2, 1/(AW2084:BH2084&lt;&gt;""), 1)-1)))), 0))/_xlfn.XLOOKUP(F2084,Apuração!A:A,Apuração!B:B)&gt;=1.15,1.15,SUM(IFERROR(IF(INDEX(AW2084:INDEX(AW2084:BH2084, MATCH(2, 1/(AW2084:BH2084&lt;&gt;""), 1)-1), ROW(INDIRECT("1:" &amp; MATCH(2, 1/(AW2084:BH2084&lt;&gt;""), 1)-1))) &gt;= 115%, 115%, INDEX(AW2084:INDEX(AW2084:BH2084, MATCH(2, 1/(AW2084:BH2084&lt;&gt;""), 1)-1), ROW(INDIRECT("1:" &amp; MATCH(2, 1/(AW2084:BH2084&lt;&gt;""), 1)-1)))), 0))/_xlfn.XLOOKUP(F2084,Apuração!A:A,Apuração!B:B))</f>
        <v>0</v>
      </c>
      <c r="BM2084" s="55"/>
      <c r="BN2084" s="55"/>
      <c r="BO2084" s="53">
        <f ca="1">IFERROR(_xlfn.XLOOKUP(F2084,Apuração!A:A,Apuração!C:C)/_xlfn.XLOOKUP(F2084,Apuração!A:A,Apuração!B:B),0)</f>
        <v>0</v>
      </c>
      <c r="BP2084" s="53">
        <f ca="1">IFERROR(_xlfn.XLOOKUP(F2084,Apuração!A:A,Apuração!D:D)/_xlfn.XLOOKUP(F2084,Apuração!A:A,Apuração!B:B),0)</f>
        <v>0</v>
      </c>
      <c r="BQ2084" s="53">
        <f ca="1">IF(BK2084&gt;=BO2084,0,_xlfn.XLOOKUP(F2084,Apuração!A:A,Apuração!B:B)*(BO2084 + (1/_xlfn.XLOOKUP(F2084,Apuração!A:A,Apuração!B:B)) - BK2084))</f>
        <v>0</v>
      </c>
      <c r="BR2084" s="85">
        <f t="shared" ca="1" si="2446"/>
        <v>0</v>
      </c>
      <c r="BS2084" s="53">
        <f ca="1">IFERROR((_xlfn.XLOOKUP(F2084,Apuração!A:A,Apuração!C:C)+1)/_xlfn.XLOOKUP(F2084,Apuração!A:A,Apuração!B:B),0)</f>
        <v>0.14285714285714285</v>
      </c>
    </row>
    <row r="2085" spans="1:71" ht="25.95" hidden="1" customHeight="1" x14ac:dyDescent="0.3">
      <c r="A2085" s="70" t="s">
        <v>108</v>
      </c>
      <c r="B2085" s="4" t="s">
        <v>123</v>
      </c>
      <c r="C2085" s="5" t="s">
        <v>216</v>
      </c>
      <c r="D2085" s="5" t="s">
        <v>36</v>
      </c>
      <c r="E2085" s="4" t="s">
        <v>61</v>
      </c>
      <c r="F2085" s="4" t="str" cm="1">
        <f t="array" ref="F2085">_xlfn.IFS(
AG2085 &lt;&gt; "", "Jan-Dez/26",
AH2085 &lt;&gt; "", "Fev-Dez/26",
AI2085 &lt;&gt; "", "Mar-Dez/26", AJ2085 &lt;&gt; "", "Abr-Dez/26",
TRUE, "A partir de Junho"
)</f>
        <v>A partir de Junho</v>
      </c>
      <c r="G2085" s="4" t="s">
        <v>62</v>
      </c>
      <c r="H2085" s="7" t="s">
        <v>38</v>
      </c>
      <c r="I2085" s="4" t="s">
        <v>121</v>
      </c>
      <c r="J2085" s="8" t="str" cm="1">
        <f t="array" aca="1" ref="J2085" ca="1">_xlfn.LET(
  _xlpm.actual_value_month, INDEX(T2085:AE2085, MATCH(DATE(YEAR(TODAY()), MONTH(TODAY()), 1), $T$1:$AE$1, 0)),
  IF(_xlpm.actual_value_month &lt;&gt; "",_xlpm.actual_value_month &amp; " ações mensais", "")
)</f>
        <v/>
      </c>
      <c r="K2085" s="8" t="str" cm="1">
        <f t="array" ref="K2085">_xlfn.LET(
    _xlpm.sum_month, SUM(T2085:AE2085),
    IF(_xlpm.sum_month = 0, "", _xlpm.sum_month &amp; " empresas monitoradas no ano")
)</f>
        <v/>
      </c>
      <c r="L2085" s="4" t="s">
        <v>126</v>
      </c>
      <c r="M2085" s="19"/>
      <c r="N2085" s="5" t="s">
        <v>51</v>
      </c>
      <c r="O2085" s="5"/>
      <c r="P2085" s="10"/>
      <c r="Q2085" s="10"/>
      <c r="R2085" s="11"/>
      <c r="S2085" s="11"/>
      <c r="T2085" s="22"/>
      <c r="U2085" s="22"/>
      <c r="V2085" s="22"/>
      <c r="W2085" s="22"/>
      <c r="X2085" s="22"/>
      <c r="Y2085" s="22"/>
      <c r="Z2085" s="22"/>
      <c r="AA2085" s="22"/>
      <c r="AB2085" s="22"/>
      <c r="AC2085" s="22"/>
      <c r="AD2085" s="22"/>
      <c r="AE2085" s="22"/>
      <c r="AF2085" s="81"/>
      <c r="AG2085" s="71"/>
      <c r="AH2085" s="71"/>
      <c r="AI2085" s="71"/>
      <c r="AJ2085" s="71"/>
      <c r="AK2085" s="71"/>
      <c r="AL2085" s="71"/>
      <c r="AM2085" s="71"/>
      <c r="AN2085" s="71"/>
      <c r="AO2085" s="71"/>
      <c r="AP2085" s="71"/>
      <c r="AQ2085" s="71"/>
      <c r="AR2085" s="71"/>
      <c r="AS2085" s="94"/>
      <c r="AT2085" s="95"/>
      <c r="AU2085" s="97"/>
      <c r="AV2085" s="81"/>
      <c r="AW2085" s="83">
        <f>AG2085</f>
        <v>0</v>
      </c>
      <c r="AX2085" s="83">
        <f>AH2085</f>
        <v>0</v>
      </c>
      <c r="AY2085" s="83">
        <f>AI2085</f>
        <v>0</v>
      </c>
      <c r="AZ2085" s="83">
        <f>AJ2085</f>
        <v>0</v>
      </c>
      <c r="BA2085" s="52"/>
      <c r="BB2085" s="52"/>
      <c r="BC2085" s="52"/>
      <c r="BD2085" s="52"/>
      <c r="BE2085" s="52"/>
      <c r="BF2085" s="52"/>
      <c r="BG2085" s="52"/>
      <c r="BH2085" s="52"/>
      <c r="BI2085" s="65"/>
      <c r="BJ2085" s="68"/>
      <c r="BK2085" s="59">
        <f>SUM(AW2085:BH2085)</f>
        <v>0</v>
      </c>
      <c r="BL2085" s="59" cm="1">
        <f t="array" ref="BL2085">IFERROR(SUM(AW2085:INDEX(AW2085:BH2085, MATCH(2, 1/(AW2085:BH2085&lt;&gt;""), 1) - 1))/_xlfn.XLOOKUP(F2085,Apuração!A:A,Apuração!B:B),0)</f>
        <v>0</v>
      </c>
      <c r="BM2085" s="55"/>
      <c r="BN2085" s="55"/>
      <c r="BO2085" s="53">
        <f ca="1">IFERROR(_xlfn.XLOOKUP(F2085,Apuração!A:A,Apuração!C:C)/_xlfn.XLOOKUP(F2085,Apuração!A:A,Apuração!B:B),0)</f>
        <v>0</v>
      </c>
      <c r="BP2085" s="53">
        <f ca="1">IFERROR(_xlfn.XLOOKUP(F2085,Apuração!A:A,Apuração!D:D)/_xlfn.XLOOKUP(F2085,Apuração!A:A,Apuração!B:B),0)</f>
        <v>0</v>
      </c>
      <c r="BQ2085" s="53">
        <f ca="1">IF(BK2085&gt;=BO2085,0,_xlfn.XLOOKUP(F2085,Apuração!A:A,Apuração!B:B)*(BO2085 + (1/_xlfn.XLOOKUP(F2085,Apuração!A:A,Apuração!B:B)) - BK2085))</f>
        <v>0</v>
      </c>
      <c r="BR2085" s="85">
        <f ca="1">IF(BQ2085=0,0,BQ2085*Z2085)</f>
        <v>0</v>
      </c>
      <c r="BS2085" s="53">
        <f ca="1">IFERROR((_xlfn.XLOOKUP(F2085,Apuração!A:A,Apuração!C:C)+1)/_xlfn.XLOOKUP(F2085,Apuração!A:A,Apuração!B:B),0)</f>
        <v>0.14285714285714285</v>
      </c>
    </row>
    <row r="2086" spans="1:71" ht="25.95" hidden="1" customHeight="1" x14ac:dyDescent="0.3">
      <c r="A2086" s="70" t="s">
        <v>108</v>
      </c>
      <c r="B2086" s="4" t="s">
        <v>123</v>
      </c>
      <c r="C2086" s="5" t="s">
        <v>216</v>
      </c>
      <c r="D2086" s="5" t="s">
        <v>217</v>
      </c>
      <c r="E2086" s="4" t="s">
        <v>61</v>
      </c>
      <c r="F2086" s="4" t="str" cm="1">
        <f t="array" ref="F2086">_xlfn.IFS(
AG2086 &lt;&gt; "", "Jan-Dez/26",
AH2086 &lt;&gt; "", "Fev-Dez/26",
AI2086 &lt;&gt; "", "Mar-Dez/26", AJ2086 &lt;&gt; "", "Abr-Dez/26",
TRUE, "A partir de Junho"
)</f>
        <v>A partir de Junho</v>
      </c>
      <c r="G2086" s="4" t="s">
        <v>62</v>
      </c>
      <c r="H2086" s="7" t="s">
        <v>38</v>
      </c>
      <c r="I2086" s="4" t="s">
        <v>121</v>
      </c>
      <c r="J2086" s="8" t="str" cm="1">
        <f t="array" aca="1" ref="J2086" ca="1">_xlfn.LET(
  _xlpm.actual_value_month, INDEX(T2086:AE2086, MATCH(DATE(YEAR(TODAY()), MONTH(TODAY()), 1), $T$1:$AE$1, 0)),
  IF(_xlpm.actual_value_month &lt;&gt; "",_xlpm.actual_value_month &amp; " ações mensais", "")
)</f>
        <v/>
      </c>
      <c r="K2086" s="8" t="str" cm="1">
        <f t="array" ref="K2086">_xlfn.LET(
    _xlpm.sum_month, SUM(T2086:AE2086),
    IF(_xlpm.sum_month = 0, "", _xlpm.sum_month &amp; " empresas monitoradas no ano")
)</f>
        <v/>
      </c>
      <c r="L2086" s="4" t="s">
        <v>126</v>
      </c>
      <c r="M2086" s="19"/>
      <c r="N2086" s="5" t="s">
        <v>51</v>
      </c>
      <c r="O2086" s="5"/>
      <c r="P2086" s="10"/>
      <c r="Q2086" s="10"/>
      <c r="R2086" s="11"/>
      <c r="S2086" s="11"/>
      <c r="T2086" s="22"/>
      <c r="U2086" s="22"/>
      <c r="V2086" s="22"/>
      <c r="W2086" s="22"/>
      <c r="X2086" s="22"/>
      <c r="Y2086" s="22"/>
      <c r="Z2086" s="22"/>
      <c r="AA2086" s="22"/>
      <c r="AB2086" s="22"/>
      <c r="AC2086" s="22"/>
      <c r="AD2086" s="22"/>
      <c r="AE2086" s="22"/>
      <c r="AF2086" s="81"/>
      <c r="AG2086" s="71"/>
      <c r="AH2086" s="71"/>
      <c r="AI2086" s="71"/>
      <c r="AJ2086" s="71"/>
      <c r="AK2086" s="71"/>
      <c r="AL2086" s="71"/>
      <c r="AM2086" s="71"/>
      <c r="AN2086" s="71"/>
      <c r="AO2086" s="71"/>
      <c r="AP2086" s="71"/>
      <c r="AQ2086" s="71"/>
      <c r="AR2086" s="71"/>
      <c r="AS2086" s="94"/>
      <c r="AT2086" s="95"/>
      <c r="AU2086" s="97"/>
      <c r="AV2086" s="81"/>
      <c r="AW2086" s="83">
        <f t="shared" ref="AW2086:AW2089" si="2447">AG2086</f>
        <v>0</v>
      </c>
      <c r="AX2086" s="83">
        <f t="shared" ref="AX2086:AX2089" si="2448">AH2086</f>
        <v>0</v>
      </c>
      <c r="AY2086" s="83">
        <f t="shared" ref="AY2086:AY2089" si="2449">AI2086</f>
        <v>0</v>
      </c>
      <c r="AZ2086" s="83">
        <f t="shared" ref="AZ2086:AZ2089" si="2450">AJ2086</f>
        <v>0</v>
      </c>
      <c r="BA2086" s="52"/>
      <c r="BB2086" s="52"/>
      <c r="BC2086" s="52"/>
      <c r="BD2086" s="52"/>
      <c r="BE2086" s="52"/>
      <c r="BF2086" s="52"/>
      <c r="BG2086" s="52"/>
      <c r="BH2086" s="52"/>
      <c r="BI2086" s="65"/>
      <c r="BJ2086" s="68"/>
      <c r="BK2086" s="59">
        <f t="shared" ref="BK2086:BK2089" si="2451">SUM(AW2086:BH2086)</f>
        <v>0</v>
      </c>
      <c r="BL2086" s="59" cm="1">
        <f t="array" ref="BL2086">IFERROR(SUM(AW2086:INDEX(AW2086:BH2086, MATCH(2, 1/(AW2086:BH2086&lt;&gt;""), 1) - 1))/_xlfn.XLOOKUP(F2086,Apuração!A:A,Apuração!B:B),0)</f>
        <v>0</v>
      </c>
      <c r="BM2086" s="55"/>
      <c r="BN2086" s="55"/>
      <c r="BO2086" s="53">
        <f ca="1">IFERROR(_xlfn.XLOOKUP(F2086,Apuração!A:A,Apuração!C:C)/_xlfn.XLOOKUP(F2086,Apuração!A:A,Apuração!B:B),0)</f>
        <v>0</v>
      </c>
      <c r="BP2086" s="53">
        <f ca="1">IFERROR(_xlfn.XLOOKUP(F2086,Apuração!A:A,Apuração!D:D)/_xlfn.XLOOKUP(F2086,Apuração!A:A,Apuração!B:B),0)</f>
        <v>0</v>
      </c>
      <c r="BQ2086" s="53">
        <f ca="1">IF(BK2086&gt;=BO2086,0,_xlfn.XLOOKUP(F2086,Apuração!A:A,Apuração!B:B)*(BO2086 + (1/_xlfn.XLOOKUP(F2086,Apuração!A:A,Apuração!B:B)) - BK2086))</f>
        <v>0</v>
      </c>
      <c r="BR2086" s="85">
        <f t="shared" ref="BR2086:BR2089" ca="1" si="2452">IF(BQ2086=0,0,BQ2086*Z2086)</f>
        <v>0</v>
      </c>
      <c r="BS2086" s="53">
        <f ca="1">IFERROR((_xlfn.XLOOKUP(F2086,Apuração!A:A,Apuração!C:C)+1)/_xlfn.XLOOKUP(F2086,Apuração!A:A,Apuração!B:B),0)</f>
        <v>0.14285714285714285</v>
      </c>
    </row>
    <row r="2087" spans="1:71" ht="25.95" hidden="1" customHeight="1" x14ac:dyDescent="0.3">
      <c r="A2087" s="70" t="s">
        <v>108</v>
      </c>
      <c r="B2087" s="4" t="s">
        <v>123</v>
      </c>
      <c r="C2087" s="5" t="s">
        <v>216</v>
      </c>
      <c r="D2087" s="5" t="s">
        <v>103</v>
      </c>
      <c r="E2087" s="4" t="s">
        <v>61</v>
      </c>
      <c r="F2087" s="4" t="str" cm="1">
        <f t="array" ref="F2087">_xlfn.IFS(
AG2087 &lt;&gt; "", "Jan-Dez/26",
AH2087 &lt;&gt; "", "Fev-Dez/26",
AI2087 &lt;&gt; "", "Mar-Dez/26", AJ2087 &lt;&gt; "", "Abr-Dez/26",
TRUE, "A partir de Junho"
)</f>
        <v>A partir de Junho</v>
      </c>
      <c r="G2087" s="4" t="s">
        <v>62</v>
      </c>
      <c r="H2087" s="7" t="s">
        <v>38</v>
      </c>
      <c r="I2087" s="4" t="s">
        <v>121</v>
      </c>
      <c r="J2087" s="8" t="str" cm="1">
        <f t="array" aca="1" ref="J2087" ca="1">_xlfn.LET(
  _xlpm.actual_value_month, INDEX(T2087:AE2087, MATCH(DATE(YEAR(TODAY()), MONTH(TODAY()), 1), $T$1:$AE$1, 0)),
  IF(_xlpm.actual_value_month &lt;&gt; "",_xlpm.actual_value_month &amp; " ações mensais", "")
)</f>
        <v/>
      </c>
      <c r="K2087" s="8" t="str" cm="1">
        <f t="array" ref="K2087">_xlfn.LET(
    _xlpm.sum_month, SUM(T2087:AE2087),
    IF(_xlpm.sum_month = 0, "", _xlpm.sum_month &amp; " empresas monitoradas no ano")
)</f>
        <v/>
      </c>
      <c r="L2087" s="4" t="s">
        <v>126</v>
      </c>
      <c r="M2087" s="19"/>
      <c r="N2087" s="5" t="s">
        <v>51</v>
      </c>
      <c r="O2087" s="5"/>
      <c r="P2087" s="10"/>
      <c r="Q2087" s="10"/>
      <c r="R2087" s="11"/>
      <c r="S2087" s="11"/>
      <c r="T2087" s="22"/>
      <c r="U2087" s="22"/>
      <c r="V2087" s="22"/>
      <c r="W2087" s="22"/>
      <c r="X2087" s="22"/>
      <c r="Y2087" s="22"/>
      <c r="Z2087" s="22"/>
      <c r="AA2087" s="22"/>
      <c r="AB2087" s="22"/>
      <c r="AC2087" s="22"/>
      <c r="AD2087" s="22"/>
      <c r="AE2087" s="22"/>
      <c r="AF2087" s="81"/>
      <c r="AG2087" s="71"/>
      <c r="AH2087" s="71"/>
      <c r="AI2087" s="71"/>
      <c r="AJ2087" s="71"/>
      <c r="AK2087" s="71"/>
      <c r="AL2087" s="71"/>
      <c r="AM2087" s="71"/>
      <c r="AN2087" s="71"/>
      <c r="AO2087" s="71"/>
      <c r="AP2087" s="71"/>
      <c r="AQ2087" s="71"/>
      <c r="AR2087" s="71"/>
      <c r="AS2087" s="94"/>
      <c r="AT2087" s="95"/>
      <c r="AU2087" s="97"/>
      <c r="AV2087" s="81"/>
      <c r="AW2087" s="83">
        <f t="shared" si="2447"/>
        <v>0</v>
      </c>
      <c r="AX2087" s="83">
        <f t="shared" si="2448"/>
        <v>0</v>
      </c>
      <c r="AY2087" s="83">
        <f t="shared" si="2449"/>
        <v>0</v>
      </c>
      <c r="AZ2087" s="83">
        <f t="shared" si="2450"/>
        <v>0</v>
      </c>
      <c r="BA2087" s="52"/>
      <c r="BB2087" s="52"/>
      <c r="BC2087" s="52"/>
      <c r="BD2087" s="52"/>
      <c r="BE2087" s="52"/>
      <c r="BF2087" s="52"/>
      <c r="BG2087" s="52"/>
      <c r="BH2087" s="52"/>
      <c r="BI2087" s="65"/>
      <c r="BJ2087" s="68"/>
      <c r="BK2087" s="59">
        <f t="shared" si="2451"/>
        <v>0</v>
      </c>
      <c r="BL2087" s="59" cm="1">
        <f t="array" ref="BL2087">IFERROR(SUM(AW2087:INDEX(AW2087:BH2087, MATCH(2, 1/(AW2087:BH2087&lt;&gt;""), 1) - 1))/_xlfn.XLOOKUP(F2087,Apuração!A:A,Apuração!B:B),0)</f>
        <v>0</v>
      </c>
      <c r="BM2087" s="55"/>
      <c r="BN2087" s="55"/>
      <c r="BO2087" s="53">
        <f ca="1">IFERROR(_xlfn.XLOOKUP(F2087,Apuração!A:A,Apuração!C:C)/_xlfn.XLOOKUP(F2087,Apuração!A:A,Apuração!B:B),0)</f>
        <v>0</v>
      </c>
      <c r="BP2087" s="53">
        <f ca="1">IFERROR(_xlfn.XLOOKUP(F2087,Apuração!A:A,Apuração!D:D)/_xlfn.XLOOKUP(F2087,Apuração!A:A,Apuração!B:B),0)</f>
        <v>0</v>
      </c>
      <c r="BQ2087" s="53">
        <f ca="1">IF(BK2087&gt;=BO2087,0,_xlfn.XLOOKUP(F2087,Apuração!A:A,Apuração!B:B)*(BO2087 + (1/_xlfn.XLOOKUP(F2087,Apuração!A:A,Apuração!B:B)) - BK2087))</f>
        <v>0</v>
      </c>
      <c r="BR2087" s="85">
        <f t="shared" ca="1" si="2452"/>
        <v>0</v>
      </c>
      <c r="BS2087" s="53">
        <f ca="1">IFERROR((_xlfn.XLOOKUP(F2087,Apuração!A:A,Apuração!C:C)+1)/_xlfn.XLOOKUP(F2087,Apuração!A:A,Apuração!B:B),0)</f>
        <v>0.14285714285714285</v>
      </c>
    </row>
    <row r="2088" spans="1:71" ht="25.95" hidden="1" customHeight="1" x14ac:dyDescent="0.3">
      <c r="A2088" s="70" t="s">
        <v>108</v>
      </c>
      <c r="B2088" s="4" t="s">
        <v>123</v>
      </c>
      <c r="C2088" s="5" t="s">
        <v>216</v>
      </c>
      <c r="D2088" s="5" t="s">
        <v>218</v>
      </c>
      <c r="E2088" s="4" t="s">
        <v>61</v>
      </c>
      <c r="F2088" s="4" t="str" cm="1">
        <f t="array" ref="F2088">_xlfn.IFS(
AG2088 &lt;&gt; "", "Jan-Dez/26",
AH2088 &lt;&gt; "", "Fev-Dez/26",
AI2088 &lt;&gt; "", "Mar-Dez/26", AJ2088 &lt;&gt; "", "Abr-Dez/26",
TRUE, "A partir de Junho"
)</f>
        <v>A partir de Junho</v>
      </c>
      <c r="G2088" s="4" t="s">
        <v>62</v>
      </c>
      <c r="H2088" s="7" t="s">
        <v>38</v>
      </c>
      <c r="I2088" s="4" t="s">
        <v>121</v>
      </c>
      <c r="J2088" s="8" t="str" cm="1">
        <f t="array" aca="1" ref="J2088" ca="1">_xlfn.LET(
  _xlpm.actual_value_month, INDEX(T2088:AE2088, MATCH(DATE(YEAR(TODAY()), MONTH(TODAY()), 1), $T$1:$AE$1, 0)),
  IF(_xlpm.actual_value_month &lt;&gt; "",_xlpm.actual_value_month &amp; " ações mensais", "")
)</f>
        <v/>
      </c>
      <c r="K2088" s="8" t="str" cm="1">
        <f t="array" ref="K2088">_xlfn.LET(
    _xlpm.sum_month, SUM(T2088:AE2088),
    IF(_xlpm.sum_month = 0, "", _xlpm.sum_month &amp; " empresas monitoradas no ano")
)</f>
        <v/>
      </c>
      <c r="L2088" s="4" t="s">
        <v>126</v>
      </c>
      <c r="M2088" s="19"/>
      <c r="N2088" s="5" t="s">
        <v>51</v>
      </c>
      <c r="O2088" s="5"/>
      <c r="P2088" s="10"/>
      <c r="Q2088" s="10"/>
      <c r="R2088" s="11"/>
      <c r="S2088" s="11"/>
      <c r="T2088" s="22"/>
      <c r="U2088" s="22"/>
      <c r="V2088" s="22"/>
      <c r="W2088" s="22"/>
      <c r="X2088" s="22"/>
      <c r="Y2088" s="22"/>
      <c r="Z2088" s="22"/>
      <c r="AA2088" s="22"/>
      <c r="AB2088" s="22"/>
      <c r="AC2088" s="22"/>
      <c r="AD2088" s="22"/>
      <c r="AE2088" s="22"/>
      <c r="AF2088" s="81"/>
      <c r="AG2088" s="71"/>
      <c r="AH2088" s="71"/>
      <c r="AI2088" s="71"/>
      <c r="AJ2088" s="71"/>
      <c r="AK2088" s="71"/>
      <c r="AL2088" s="71"/>
      <c r="AM2088" s="71"/>
      <c r="AN2088" s="71"/>
      <c r="AO2088" s="71"/>
      <c r="AP2088" s="71"/>
      <c r="AQ2088" s="71"/>
      <c r="AR2088" s="71"/>
      <c r="AS2088" s="94"/>
      <c r="AT2088" s="95"/>
      <c r="AU2088" s="97"/>
      <c r="AV2088" s="81"/>
      <c r="AW2088" s="83">
        <f t="shared" si="2447"/>
        <v>0</v>
      </c>
      <c r="AX2088" s="83">
        <f t="shared" si="2448"/>
        <v>0</v>
      </c>
      <c r="AY2088" s="83">
        <f t="shared" si="2449"/>
        <v>0</v>
      </c>
      <c r="AZ2088" s="83">
        <f t="shared" si="2450"/>
        <v>0</v>
      </c>
      <c r="BA2088" s="52"/>
      <c r="BB2088" s="52"/>
      <c r="BC2088" s="52"/>
      <c r="BD2088" s="52"/>
      <c r="BE2088" s="52"/>
      <c r="BF2088" s="52"/>
      <c r="BG2088" s="52"/>
      <c r="BH2088" s="52"/>
      <c r="BI2088" s="65"/>
      <c r="BJ2088" s="68"/>
      <c r="BK2088" s="59">
        <f t="shared" si="2451"/>
        <v>0</v>
      </c>
      <c r="BL2088" s="59" cm="1">
        <f t="array" ref="BL2088">IFERROR(SUM(AW2088:INDEX(AW2088:BH2088, MATCH(2, 1/(AW2088:BH2088&lt;&gt;""), 1) - 1))/_xlfn.XLOOKUP(F2088,Apuração!A:A,Apuração!B:B),0)</f>
        <v>0</v>
      </c>
      <c r="BM2088" s="55"/>
      <c r="BN2088" s="55"/>
      <c r="BO2088" s="53">
        <f ca="1">IFERROR(_xlfn.XLOOKUP(F2088,Apuração!A:A,Apuração!C:C)/_xlfn.XLOOKUP(F2088,Apuração!A:A,Apuração!B:B),0)</f>
        <v>0</v>
      </c>
      <c r="BP2088" s="53">
        <f ca="1">IFERROR(_xlfn.XLOOKUP(F2088,Apuração!A:A,Apuração!D:D)/_xlfn.XLOOKUP(F2088,Apuração!A:A,Apuração!B:B),0)</f>
        <v>0</v>
      </c>
      <c r="BQ2088" s="53">
        <f ca="1">IF(BK2088&gt;=BO2088,0,_xlfn.XLOOKUP(F2088,Apuração!A:A,Apuração!B:B)*(BO2088 + (1/_xlfn.XLOOKUP(F2088,Apuração!A:A,Apuração!B:B)) - BK2088))</f>
        <v>0</v>
      </c>
      <c r="BR2088" s="85">
        <f t="shared" ca="1" si="2452"/>
        <v>0</v>
      </c>
      <c r="BS2088" s="53">
        <f ca="1">IFERROR((_xlfn.XLOOKUP(F2088,Apuração!A:A,Apuração!C:C)+1)/_xlfn.XLOOKUP(F2088,Apuração!A:A,Apuração!B:B),0)</f>
        <v>0.14285714285714285</v>
      </c>
    </row>
    <row r="2089" spans="1:71" ht="25.95" hidden="1" customHeight="1" x14ac:dyDescent="0.3">
      <c r="A2089" s="70" t="s">
        <v>108</v>
      </c>
      <c r="B2089" s="4" t="s">
        <v>123</v>
      </c>
      <c r="C2089" s="5" t="s">
        <v>216</v>
      </c>
      <c r="D2089" s="5" t="s">
        <v>219</v>
      </c>
      <c r="E2089" s="4" t="s">
        <v>61</v>
      </c>
      <c r="F2089" s="4" t="str" cm="1">
        <f t="array" ref="F2089">_xlfn.IFS(
AG2089 &lt;&gt; "", "Jan-Dez/26",
AH2089 &lt;&gt; "", "Fev-Dez/26",
AI2089 &lt;&gt; "", "Mar-Dez/26", AJ2089 &lt;&gt; "", "Abr-Dez/26",
TRUE, "A partir de Junho"
)</f>
        <v>A partir de Junho</v>
      </c>
      <c r="G2089" s="4" t="s">
        <v>62</v>
      </c>
      <c r="H2089" s="7" t="s">
        <v>38</v>
      </c>
      <c r="I2089" s="4" t="s">
        <v>121</v>
      </c>
      <c r="J2089" s="8" t="str" cm="1">
        <f t="array" aca="1" ref="J2089" ca="1">_xlfn.LET(
  _xlpm.actual_value_month, INDEX(T2089:AE2089, MATCH(DATE(YEAR(TODAY()), MONTH(TODAY()), 1), $T$1:$AE$1, 0)),
  IF(_xlpm.actual_value_month &lt;&gt; "",_xlpm.actual_value_month &amp; " ações mensais", "")
)</f>
        <v/>
      </c>
      <c r="K2089" s="8" t="str" cm="1">
        <f t="array" ref="K2089">_xlfn.LET(
    _xlpm.sum_month, SUM(T2089:AE2089),
    IF(_xlpm.sum_month = 0, "", _xlpm.sum_month &amp; " empresas monitoradas no ano")
)</f>
        <v/>
      </c>
      <c r="L2089" s="4" t="s">
        <v>126</v>
      </c>
      <c r="M2089" s="19"/>
      <c r="N2089" s="5" t="s">
        <v>51</v>
      </c>
      <c r="O2089" s="5"/>
      <c r="P2089" s="10"/>
      <c r="Q2089" s="10"/>
      <c r="R2089" s="11"/>
      <c r="S2089" s="11"/>
      <c r="T2089" s="22"/>
      <c r="U2089" s="22"/>
      <c r="V2089" s="22"/>
      <c r="W2089" s="22"/>
      <c r="X2089" s="22"/>
      <c r="Y2089" s="22"/>
      <c r="Z2089" s="22"/>
      <c r="AA2089" s="22"/>
      <c r="AB2089" s="22"/>
      <c r="AC2089" s="22"/>
      <c r="AD2089" s="22"/>
      <c r="AE2089" s="22"/>
      <c r="AF2089" s="81"/>
      <c r="AG2089" s="71"/>
      <c r="AH2089" s="71"/>
      <c r="AI2089" s="71"/>
      <c r="AJ2089" s="71"/>
      <c r="AK2089" s="71"/>
      <c r="AL2089" s="71"/>
      <c r="AM2089" s="71"/>
      <c r="AN2089" s="71"/>
      <c r="AO2089" s="71"/>
      <c r="AP2089" s="71"/>
      <c r="AQ2089" s="71"/>
      <c r="AR2089" s="71"/>
      <c r="AS2089" s="94"/>
      <c r="AT2089" s="95"/>
      <c r="AU2089" s="97"/>
      <c r="AV2089" s="81"/>
      <c r="AW2089" s="83">
        <f t="shared" si="2447"/>
        <v>0</v>
      </c>
      <c r="AX2089" s="83">
        <f t="shared" si="2448"/>
        <v>0</v>
      </c>
      <c r="AY2089" s="83">
        <f t="shared" si="2449"/>
        <v>0</v>
      </c>
      <c r="AZ2089" s="83">
        <f t="shared" si="2450"/>
        <v>0</v>
      </c>
      <c r="BA2089" s="52"/>
      <c r="BB2089" s="52"/>
      <c r="BC2089" s="52"/>
      <c r="BD2089" s="52"/>
      <c r="BE2089" s="52"/>
      <c r="BF2089" s="52"/>
      <c r="BG2089" s="52"/>
      <c r="BH2089" s="52"/>
      <c r="BI2089" s="65"/>
      <c r="BJ2089" s="68"/>
      <c r="BK2089" s="59">
        <f t="shared" si="2451"/>
        <v>0</v>
      </c>
      <c r="BL2089" s="59" cm="1">
        <f t="array" ref="BL2089">IFERROR(SUM(AW2089:INDEX(AW2089:BH2089, MATCH(2, 1/(AW2089:BH2089&lt;&gt;""), 1) - 1))/_xlfn.XLOOKUP(F2089,Apuração!A:A,Apuração!B:B),0)</f>
        <v>0</v>
      </c>
      <c r="BM2089" s="55"/>
      <c r="BN2089" s="55"/>
      <c r="BO2089" s="53">
        <f ca="1">IFERROR(_xlfn.XLOOKUP(F2089,Apuração!A:A,Apuração!C:C)/_xlfn.XLOOKUP(F2089,Apuração!A:A,Apuração!B:B),0)</f>
        <v>0</v>
      </c>
      <c r="BP2089" s="53">
        <f ca="1">IFERROR(_xlfn.XLOOKUP(F2089,Apuração!A:A,Apuração!D:D)/_xlfn.XLOOKUP(F2089,Apuração!A:A,Apuração!B:B),0)</f>
        <v>0</v>
      </c>
      <c r="BQ2089" s="53">
        <f ca="1">IF(BK2089&gt;=BO2089,0,_xlfn.XLOOKUP(F2089,Apuração!A:A,Apuração!B:B)*(BO2089 + (1/_xlfn.XLOOKUP(F2089,Apuração!A:A,Apuração!B:B)) - BK2089))</f>
        <v>0</v>
      </c>
      <c r="BR2089" s="85">
        <f t="shared" ca="1" si="2452"/>
        <v>0</v>
      </c>
      <c r="BS2089" s="53">
        <f ca="1">IFERROR((_xlfn.XLOOKUP(F2089,Apuração!A:A,Apuração!C:C)+1)/_xlfn.XLOOKUP(F2089,Apuração!A:A,Apuração!B:B),0)</f>
        <v>0.14285714285714285</v>
      </c>
    </row>
    <row r="2090" spans="1:71" ht="25.95" hidden="1" customHeight="1" x14ac:dyDescent="0.3">
      <c r="A2090" s="70" t="s">
        <v>108</v>
      </c>
      <c r="B2090" s="4" t="s">
        <v>123</v>
      </c>
      <c r="C2090" s="5" t="s">
        <v>216</v>
      </c>
      <c r="D2090" s="5" t="s">
        <v>36</v>
      </c>
      <c r="E2090" s="4" t="s">
        <v>61</v>
      </c>
      <c r="F2090" s="4" t="str" cm="1">
        <f t="array" ref="F2090">_xlfn.IFS(
AG2090 &lt;&gt; "", "Jan-Dez/26",
AH2090 &lt;&gt; "", "Fev-Dez/26",
AI2090 &lt;&gt; "", "Mar-Dez/26", AJ2090 &lt;&gt; "", "Abr-Dez/26",
TRUE, "A partir de Junho"
)</f>
        <v>A partir de Junho</v>
      </c>
      <c r="G2090" s="4" t="s">
        <v>62</v>
      </c>
      <c r="H2090" s="7" t="s">
        <v>38</v>
      </c>
      <c r="I2090" s="28" t="s">
        <v>127</v>
      </c>
      <c r="J2090" s="8" t="str" cm="1">
        <f t="array" aca="1" ref="J2090" ca="1">_xlfn.LET(
  _xlpm.actual_value_month, INDEX(T2090:AE2090, MATCH(DATE(YEAR(TODAY()), MONTH(TODAY()), 1), $T$1:$AE$1, 0)),
  IF(_xlpm.actual_value_month &lt;&gt; "",_xlpm.actual_value_month &amp; " ações mensais", "")
)</f>
        <v/>
      </c>
      <c r="K2090" s="8" t="str" cm="1">
        <f t="array" ref="K2090">_xlfn.LET(
    _xlpm.sum_month, SUM(T2090:AE2090),
    IF(_xlpm.sum_month = 0, "", _xlpm.sum_month &amp; " ações no ano")
)</f>
        <v/>
      </c>
      <c r="L2090" s="4" t="s">
        <v>128</v>
      </c>
      <c r="M2090" s="19"/>
      <c r="N2090" s="5" t="s">
        <v>51</v>
      </c>
      <c r="O2090" s="5"/>
      <c r="P2090" s="10"/>
      <c r="Q2090" s="10"/>
      <c r="R2090" s="11"/>
      <c r="S2090" s="11"/>
      <c r="T2090" s="22"/>
      <c r="U2090" s="22"/>
      <c r="V2090" s="22"/>
      <c r="W2090" s="22"/>
      <c r="X2090" s="22"/>
      <c r="Y2090" s="22"/>
      <c r="Z2090" s="22"/>
      <c r="AA2090" s="22"/>
      <c r="AB2090" s="22"/>
      <c r="AC2090" s="22"/>
      <c r="AD2090" s="22"/>
      <c r="AE2090" s="22"/>
      <c r="AF2090" s="81"/>
      <c r="AG2090" s="71"/>
      <c r="AH2090" s="71"/>
      <c r="AI2090" s="71"/>
      <c r="AJ2090" s="71"/>
      <c r="AK2090" s="71"/>
      <c r="AL2090" s="71"/>
      <c r="AM2090" s="71"/>
      <c r="AN2090" s="71"/>
      <c r="AO2090" s="71"/>
      <c r="AP2090" s="71"/>
      <c r="AQ2090" s="71"/>
      <c r="AR2090" s="71"/>
      <c r="AS2090" s="94"/>
      <c r="AT2090" s="95"/>
      <c r="AU2090" s="97"/>
      <c r="AV2090" s="81"/>
      <c r="AW2090" s="83">
        <f>AG2090</f>
        <v>0</v>
      </c>
      <c r="AX2090" s="83">
        <f>AH2090</f>
        <v>0</v>
      </c>
      <c r="AY2090" s="83">
        <f>AI2090</f>
        <v>0</v>
      </c>
      <c r="AZ2090" s="83">
        <f>AJ2090</f>
        <v>0</v>
      </c>
      <c r="BA2090" s="52"/>
      <c r="BB2090" s="52"/>
      <c r="BC2090" s="52"/>
      <c r="BD2090" s="52"/>
      <c r="BE2090" s="52"/>
      <c r="BF2090" s="52"/>
      <c r="BG2090" s="52"/>
      <c r="BH2090" s="52"/>
      <c r="BI2090" s="65"/>
      <c r="BJ2090" s="68"/>
      <c r="BK2090" s="59">
        <f>SUM(AW2090:BH2090)</f>
        <v>0</v>
      </c>
      <c r="BL2090" s="59" cm="1">
        <f t="array" ref="BL2090">IFERROR(SUM(AW2090:INDEX(AW2090:BH2090, MATCH(2, 1/(AW2090:BH2090&lt;&gt;""), 1) - 1))/_xlfn.XLOOKUP(F2090,Apuração!A:A,Apuração!B:B),0)</f>
        <v>0</v>
      </c>
      <c r="BM2090" s="55"/>
      <c r="BN2090" s="55"/>
      <c r="BO2090" s="53">
        <f ca="1">IFERROR(_xlfn.XLOOKUP(F2090,Apuração!A:A,Apuração!C:C)/_xlfn.XLOOKUP(F2090,Apuração!A:A,Apuração!B:B),0)</f>
        <v>0</v>
      </c>
      <c r="BP2090" s="53">
        <f ca="1">IFERROR(_xlfn.XLOOKUP(F2090,Apuração!A:A,Apuração!D:D)/_xlfn.XLOOKUP(F2090,Apuração!A:A,Apuração!B:B),0)</f>
        <v>0</v>
      </c>
      <c r="BQ2090" s="53">
        <f ca="1">IF(BK2090&gt;=BO2090,0,_xlfn.XLOOKUP(F2090,Apuração!A:A,Apuração!B:B)*(BO2090 + (1/_xlfn.XLOOKUP(F2090,Apuração!A:A,Apuração!B:B)) - BK2090))</f>
        <v>0</v>
      </c>
      <c r="BR2090" s="85">
        <f ca="1">IF(BQ2090=0,0,BQ2090*Z2090)</f>
        <v>0</v>
      </c>
      <c r="BS2090" s="53">
        <f ca="1">IFERROR((_xlfn.XLOOKUP(F2090,Apuração!A:A,Apuração!C:C)+1)/_xlfn.XLOOKUP(F2090,Apuração!A:A,Apuração!B:B),0)</f>
        <v>0.14285714285714285</v>
      </c>
    </row>
    <row r="2091" spans="1:71" ht="25.95" hidden="1" customHeight="1" x14ac:dyDescent="0.3">
      <c r="A2091" s="70" t="s">
        <v>108</v>
      </c>
      <c r="B2091" s="4" t="s">
        <v>123</v>
      </c>
      <c r="C2091" s="5" t="s">
        <v>216</v>
      </c>
      <c r="D2091" s="5" t="s">
        <v>217</v>
      </c>
      <c r="E2091" s="4" t="s">
        <v>61</v>
      </c>
      <c r="F2091" s="4" t="str" cm="1">
        <f t="array" ref="F2091">_xlfn.IFS(
AG2091 &lt;&gt; "", "Jan-Dez/26",
AH2091 &lt;&gt; "", "Fev-Dez/26",
AI2091 &lt;&gt; "", "Mar-Dez/26", AJ2091 &lt;&gt; "", "Abr-Dez/26",
TRUE, "A partir de Junho"
)</f>
        <v>A partir de Junho</v>
      </c>
      <c r="G2091" s="4" t="s">
        <v>62</v>
      </c>
      <c r="H2091" s="7" t="s">
        <v>38</v>
      </c>
      <c r="I2091" s="28" t="s">
        <v>127</v>
      </c>
      <c r="J2091" s="8" t="str" cm="1">
        <f t="array" aca="1" ref="J2091" ca="1">_xlfn.LET(
  _xlpm.actual_value_month, INDEX(T2091:AE2091, MATCH(DATE(YEAR(TODAY()), MONTH(TODAY()), 1), $T$1:$AE$1, 0)),
  IF(_xlpm.actual_value_month &lt;&gt; "",_xlpm.actual_value_month &amp; " ações mensais", "")
)</f>
        <v/>
      </c>
      <c r="K2091" s="8" t="str" cm="1">
        <f t="array" ref="K2091">_xlfn.LET(
    _xlpm.sum_month, SUM(T2091:AE2091),
    IF(_xlpm.sum_month = 0, "", _xlpm.sum_month &amp; " ações no ano")
)</f>
        <v/>
      </c>
      <c r="L2091" s="4" t="s">
        <v>128</v>
      </c>
      <c r="M2091" s="19"/>
      <c r="N2091" s="5" t="s">
        <v>51</v>
      </c>
      <c r="O2091" s="5"/>
      <c r="P2091" s="10"/>
      <c r="Q2091" s="10"/>
      <c r="R2091" s="11"/>
      <c r="S2091" s="11"/>
      <c r="T2091" s="22"/>
      <c r="U2091" s="22"/>
      <c r="V2091" s="22"/>
      <c r="W2091" s="22"/>
      <c r="X2091" s="22"/>
      <c r="Y2091" s="22"/>
      <c r="Z2091" s="22"/>
      <c r="AA2091" s="22"/>
      <c r="AB2091" s="22"/>
      <c r="AC2091" s="22"/>
      <c r="AD2091" s="22"/>
      <c r="AE2091" s="22"/>
      <c r="AF2091" s="81"/>
      <c r="AG2091" s="71"/>
      <c r="AH2091" s="71"/>
      <c r="AI2091" s="71"/>
      <c r="AJ2091" s="71"/>
      <c r="AK2091" s="71"/>
      <c r="AL2091" s="71"/>
      <c r="AM2091" s="71"/>
      <c r="AN2091" s="71"/>
      <c r="AO2091" s="71"/>
      <c r="AP2091" s="71"/>
      <c r="AQ2091" s="71"/>
      <c r="AR2091" s="71"/>
      <c r="AS2091" s="94"/>
      <c r="AT2091" s="95"/>
      <c r="AU2091" s="97"/>
      <c r="AV2091" s="81"/>
      <c r="AW2091" s="83">
        <f t="shared" ref="AW2091:AW2094" si="2453">AG2091</f>
        <v>0</v>
      </c>
      <c r="AX2091" s="83">
        <f t="shared" ref="AX2091:AX2094" si="2454">AH2091</f>
        <v>0</v>
      </c>
      <c r="AY2091" s="83">
        <f t="shared" ref="AY2091:AY2094" si="2455">AI2091</f>
        <v>0</v>
      </c>
      <c r="AZ2091" s="83">
        <f t="shared" ref="AZ2091:AZ2094" si="2456">AJ2091</f>
        <v>0</v>
      </c>
      <c r="BA2091" s="52"/>
      <c r="BB2091" s="52"/>
      <c r="BC2091" s="52"/>
      <c r="BD2091" s="52"/>
      <c r="BE2091" s="52"/>
      <c r="BF2091" s="52"/>
      <c r="BG2091" s="52"/>
      <c r="BH2091" s="52"/>
      <c r="BI2091" s="65"/>
      <c r="BJ2091" s="68"/>
      <c r="BK2091" s="59">
        <f t="shared" ref="BK2091:BK2094" si="2457">SUM(AW2091:BH2091)</f>
        <v>0</v>
      </c>
      <c r="BL2091" s="59" cm="1">
        <f t="array" ref="BL2091">IFERROR(SUM(AW2091:INDEX(AW2091:BH2091, MATCH(2, 1/(AW2091:BH2091&lt;&gt;""), 1) - 1))/_xlfn.XLOOKUP(F2091,Apuração!A:A,Apuração!B:B),0)</f>
        <v>0</v>
      </c>
      <c r="BM2091" s="55"/>
      <c r="BN2091" s="55"/>
      <c r="BO2091" s="53">
        <f ca="1">IFERROR(_xlfn.XLOOKUP(F2091,Apuração!A:A,Apuração!C:C)/_xlfn.XLOOKUP(F2091,Apuração!A:A,Apuração!B:B),0)</f>
        <v>0</v>
      </c>
      <c r="BP2091" s="53">
        <f ca="1">IFERROR(_xlfn.XLOOKUP(F2091,Apuração!A:A,Apuração!D:D)/_xlfn.XLOOKUP(F2091,Apuração!A:A,Apuração!B:B),0)</f>
        <v>0</v>
      </c>
      <c r="BQ2091" s="53">
        <f ca="1">IF(BK2091&gt;=BO2091,0,_xlfn.XLOOKUP(F2091,Apuração!A:A,Apuração!B:B)*(BO2091 + (1/_xlfn.XLOOKUP(F2091,Apuração!A:A,Apuração!B:B)) - BK2091))</f>
        <v>0</v>
      </c>
      <c r="BR2091" s="85">
        <f t="shared" ref="BR2091:BR2094" ca="1" si="2458">IF(BQ2091=0,0,BQ2091*Z2091)</f>
        <v>0</v>
      </c>
      <c r="BS2091" s="53">
        <f ca="1">IFERROR((_xlfn.XLOOKUP(F2091,Apuração!A:A,Apuração!C:C)+1)/_xlfn.XLOOKUP(F2091,Apuração!A:A,Apuração!B:B),0)</f>
        <v>0.14285714285714285</v>
      </c>
    </row>
    <row r="2092" spans="1:71" ht="25.95" hidden="1" customHeight="1" x14ac:dyDescent="0.3">
      <c r="A2092" s="70" t="s">
        <v>108</v>
      </c>
      <c r="B2092" s="4" t="s">
        <v>123</v>
      </c>
      <c r="C2092" s="5" t="s">
        <v>216</v>
      </c>
      <c r="D2092" s="5" t="s">
        <v>103</v>
      </c>
      <c r="E2092" s="4" t="s">
        <v>61</v>
      </c>
      <c r="F2092" s="4" t="str" cm="1">
        <f t="array" ref="F2092">_xlfn.IFS(
AG2092 &lt;&gt; "", "Jan-Dez/26",
AH2092 &lt;&gt; "", "Fev-Dez/26",
AI2092 &lt;&gt; "", "Mar-Dez/26", AJ2092 &lt;&gt; "", "Abr-Dez/26",
TRUE, "A partir de Junho"
)</f>
        <v>A partir de Junho</v>
      </c>
      <c r="G2092" s="4" t="s">
        <v>62</v>
      </c>
      <c r="H2092" s="7" t="s">
        <v>38</v>
      </c>
      <c r="I2092" s="28" t="s">
        <v>127</v>
      </c>
      <c r="J2092" s="8" t="str" cm="1">
        <f t="array" aca="1" ref="J2092" ca="1">_xlfn.LET(
  _xlpm.actual_value_month, INDEX(T2092:AE2092, MATCH(DATE(YEAR(TODAY()), MONTH(TODAY()), 1), $T$1:$AE$1, 0)),
  IF(_xlpm.actual_value_month &lt;&gt; "",_xlpm.actual_value_month &amp; " ações mensais", "")
)</f>
        <v/>
      </c>
      <c r="K2092" s="8" t="str" cm="1">
        <f t="array" ref="K2092">_xlfn.LET(
    _xlpm.sum_month, SUM(T2092:AE2092),
    IF(_xlpm.sum_month = 0, "", _xlpm.sum_month &amp; " ações no ano")
)</f>
        <v/>
      </c>
      <c r="L2092" s="4" t="s">
        <v>128</v>
      </c>
      <c r="M2092" s="19"/>
      <c r="N2092" s="5" t="s">
        <v>51</v>
      </c>
      <c r="O2092" s="5"/>
      <c r="P2092" s="10"/>
      <c r="Q2092" s="10"/>
      <c r="R2092" s="11"/>
      <c r="S2092" s="11"/>
      <c r="T2092" s="22"/>
      <c r="U2092" s="22"/>
      <c r="V2092" s="22"/>
      <c r="W2092" s="22"/>
      <c r="X2092" s="22"/>
      <c r="Y2092" s="22"/>
      <c r="Z2092" s="22"/>
      <c r="AA2092" s="22"/>
      <c r="AB2092" s="22"/>
      <c r="AC2092" s="22"/>
      <c r="AD2092" s="22"/>
      <c r="AE2092" s="22"/>
      <c r="AF2092" s="81"/>
      <c r="AG2092" s="71"/>
      <c r="AH2092" s="71"/>
      <c r="AI2092" s="71"/>
      <c r="AJ2092" s="71"/>
      <c r="AK2092" s="71"/>
      <c r="AL2092" s="71"/>
      <c r="AM2092" s="71"/>
      <c r="AN2092" s="71"/>
      <c r="AO2092" s="71"/>
      <c r="AP2092" s="71"/>
      <c r="AQ2092" s="71"/>
      <c r="AR2092" s="71"/>
      <c r="AS2092" s="94"/>
      <c r="AT2092" s="95"/>
      <c r="AU2092" s="97"/>
      <c r="AV2092" s="81"/>
      <c r="AW2092" s="83">
        <f t="shared" si="2453"/>
        <v>0</v>
      </c>
      <c r="AX2092" s="83">
        <f t="shared" si="2454"/>
        <v>0</v>
      </c>
      <c r="AY2092" s="83">
        <f t="shared" si="2455"/>
        <v>0</v>
      </c>
      <c r="AZ2092" s="83">
        <f t="shared" si="2456"/>
        <v>0</v>
      </c>
      <c r="BA2092" s="52"/>
      <c r="BB2092" s="52"/>
      <c r="BC2092" s="52"/>
      <c r="BD2092" s="52"/>
      <c r="BE2092" s="52"/>
      <c r="BF2092" s="52"/>
      <c r="BG2092" s="52"/>
      <c r="BH2092" s="52"/>
      <c r="BI2092" s="65"/>
      <c r="BJ2092" s="68"/>
      <c r="BK2092" s="59">
        <f t="shared" si="2457"/>
        <v>0</v>
      </c>
      <c r="BL2092" s="59" cm="1">
        <f t="array" ref="BL2092">IFERROR(SUM(AW2092:INDEX(AW2092:BH2092, MATCH(2, 1/(AW2092:BH2092&lt;&gt;""), 1) - 1))/_xlfn.XLOOKUP(F2092,Apuração!A:A,Apuração!B:B),0)</f>
        <v>0</v>
      </c>
      <c r="BM2092" s="55"/>
      <c r="BN2092" s="55"/>
      <c r="BO2092" s="53">
        <f ca="1">IFERROR(_xlfn.XLOOKUP(F2092,Apuração!A:A,Apuração!C:C)/_xlfn.XLOOKUP(F2092,Apuração!A:A,Apuração!B:B),0)</f>
        <v>0</v>
      </c>
      <c r="BP2092" s="53">
        <f ca="1">IFERROR(_xlfn.XLOOKUP(F2092,Apuração!A:A,Apuração!D:D)/_xlfn.XLOOKUP(F2092,Apuração!A:A,Apuração!B:B),0)</f>
        <v>0</v>
      </c>
      <c r="BQ2092" s="53">
        <f ca="1">IF(BK2092&gt;=BO2092,0,_xlfn.XLOOKUP(F2092,Apuração!A:A,Apuração!B:B)*(BO2092 + (1/_xlfn.XLOOKUP(F2092,Apuração!A:A,Apuração!B:B)) - BK2092))</f>
        <v>0</v>
      </c>
      <c r="BR2092" s="85">
        <f t="shared" ca="1" si="2458"/>
        <v>0</v>
      </c>
      <c r="BS2092" s="53">
        <f ca="1">IFERROR((_xlfn.XLOOKUP(F2092,Apuração!A:A,Apuração!C:C)+1)/_xlfn.XLOOKUP(F2092,Apuração!A:A,Apuração!B:B),0)</f>
        <v>0.14285714285714285</v>
      </c>
    </row>
    <row r="2093" spans="1:71" ht="25.95" hidden="1" customHeight="1" x14ac:dyDescent="0.3">
      <c r="A2093" s="70" t="s">
        <v>108</v>
      </c>
      <c r="B2093" s="4" t="s">
        <v>123</v>
      </c>
      <c r="C2093" s="5" t="s">
        <v>216</v>
      </c>
      <c r="D2093" s="5" t="s">
        <v>218</v>
      </c>
      <c r="E2093" s="4" t="s">
        <v>61</v>
      </c>
      <c r="F2093" s="4" t="str" cm="1">
        <f t="array" ref="F2093">_xlfn.IFS(
AG2093 &lt;&gt; "", "Jan-Dez/26",
AH2093 &lt;&gt; "", "Fev-Dez/26",
AI2093 &lt;&gt; "", "Mar-Dez/26", AJ2093 &lt;&gt; "", "Abr-Dez/26",
TRUE, "A partir de Junho"
)</f>
        <v>A partir de Junho</v>
      </c>
      <c r="G2093" s="4" t="s">
        <v>62</v>
      </c>
      <c r="H2093" s="7" t="s">
        <v>38</v>
      </c>
      <c r="I2093" s="28" t="s">
        <v>127</v>
      </c>
      <c r="J2093" s="8" t="str" cm="1">
        <f t="array" aca="1" ref="J2093" ca="1">_xlfn.LET(
  _xlpm.actual_value_month, INDEX(T2093:AE2093, MATCH(DATE(YEAR(TODAY()), MONTH(TODAY()), 1), $T$1:$AE$1, 0)),
  IF(_xlpm.actual_value_month &lt;&gt; "",_xlpm.actual_value_month &amp; " ações mensais", "")
)</f>
        <v/>
      </c>
      <c r="K2093" s="8" t="str" cm="1">
        <f t="array" ref="K2093">_xlfn.LET(
    _xlpm.sum_month, SUM(T2093:AE2093),
    IF(_xlpm.sum_month = 0, "", _xlpm.sum_month &amp; " ações no ano")
)</f>
        <v/>
      </c>
      <c r="L2093" s="4" t="s">
        <v>128</v>
      </c>
      <c r="M2093" s="19"/>
      <c r="N2093" s="5" t="s">
        <v>51</v>
      </c>
      <c r="O2093" s="5"/>
      <c r="P2093" s="10"/>
      <c r="Q2093" s="10"/>
      <c r="R2093" s="11"/>
      <c r="S2093" s="11"/>
      <c r="T2093" s="22"/>
      <c r="U2093" s="22"/>
      <c r="V2093" s="22"/>
      <c r="W2093" s="22"/>
      <c r="X2093" s="22"/>
      <c r="Y2093" s="22"/>
      <c r="Z2093" s="22"/>
      <c r="AA2093" s="22"/>
      <c r="AB2093" s="22"/>
      <c r="AC2093" s="22"/>
      <c r="AD2093" s="22"/>
      <c r="AE2093" s="22"/>
      <c r="AF2093" s="81"/>
      <c r="AG2093" s="71"/>
      <c r="AH2093" s="71"/>
      <c r="AI2093" s="71"/>
      <c r="AJ2093" s="71"/>
      <c r="AK2093" s="71"/>
      <c r="AL2093" s="71"/>
      <c r="AM2093" s="71"/>
      <c r="AN2093" s="71"/>
      <c r="AO2093" s="71"/>
      <c r="AP2093" s="71"/>
      <c r="AQ2093" s="71"/>
      <c r="AR2093" s="71"/>
      <c r="AS2093" s="94"/>
      <c r="AT2093" s="95"/>
      <c r="AU2093" s="97"/>
      <c r="AV2093" s="81"/>
      <c r="AW2093" s="83">
        <f t="shared" si="2453"/>
        <v>0</v>
      </c>
      <c r="AX2093" s="83">
        <f t="shared" si="2454"/>
        <v>0</v>
      </c>
      <c r="AY2093" s="83">
        <f t="shared" si="2455"/>
        <v>0</v>
      </c>
      <c r="AZ2093" s="83">
        <f t="shared" si="2456"/>
        <v>0</v>
      </c>
      <c r="BA2093" s="52"/>
      <c r="BB2093" s="52"/>
      <c r="BC2093" s="52"/>
      <c r="BD2093" s="52"/>
      <c r="BE2093" s="52"/>
      <c r="BF2093" s="52"/>
      <c r="BG2093" s="52"/>
      <c r="BH2093" s="52"/>
      <c r="BI2093" s="65"/>
      <c r="BJ2093" s="68"/>
      <c r="BK2093" s="59">
        <f t="shared" si="2457"/>
        <v>0</v>
      </c>
      <c r="BL2093" s="59" cm="1">
        <f t="array" ref="BL2093">IFERROR(SUM(AW2093:INDEX(AW2093:BH2093, MATCH(2, 1/(AW2093:BH2093&lt;&gt;""), 1) - 1))/_xlfn.XLOOKUP(F2093,Apuração!A:A,Apuração!B:B),0)</f>
        <v>0</v>
      </c>
      <c r="BM2093" s="55"/>
      <c r="BN2093" s="55"/>
      <c r="BO2093" s="53">
        <f ca="1">IFERROR(_xlfn.XLOOKUP(F2093,Apuração!A:A,Apuração!C:C)/_xlfn.XLOOKUP(F2093,Apuração!A:A,Apuração!B:B),0)</f>
        <v>0</v>
      </c>
      <c r="BP2093" s="53">
        <f ca="1">IFERROR(_xlfn.XLOOKUP(F2093,Apuração!A:A,Apuração!D:D)/_xlfn.XLOOKUP(F2093,Apuração!A:A,Apuração!B:B),0)</f>
        <v>0</v>
      </c>
      <c r="BQ2093" s="53">
        <f ca="1">IF(BK2093&gt;=BO2093,0,_xlfn.XLOOKUP(F2093,Apuração!A:A,Apuração!B:B)*(BO2093 + (1/_xlfn.XLOOKUP(F2093,Apuração!A:A,Apuração!B:B)) - BK2093))</f>
        <v>0</v>
      </c>
      <c r="BR2093" s="85">
        <f t="shared" ca="1" si="2458"/>
        <v>0</v>
      </c>
      <c r="BS2093" s="53">
        <f ca="1">IFERROR((_xlfn.XLOOKUP(F2093,Apuração!A:A,Apuração!C:C)+1)/_xlfn.XLOOKUP(F2093,Apuração!A:A,Apuração!B:B),0)</f>
        <v>0.14285714285714285</v>
      </c>
    </row>
    <row r="2094" spans="1:71" ht="25.95" hidden="1" customHeight="1" x14ac:dyDescent="0.3">
      <c r="A2094" s="70" t="s">
        <v>108</v>
      </c>
      <c r="B2094" s="4" t="s">
        <v>123</v>
      </c>
      <c r="C2094" s="5" t="s">
        <v>216</v>
      </c>
      <c r="D2094" s="5" t="s">
        <v>219</v>
      </c>
      <c r="E2094" s="4" t="s">
        <v>61</v>
      </c>
      <c r="F2094" s="4" t="str" cm="1">
        <f t="array" ref="F2094">_xlfn.IFS(
AG2094 &lt;&gt; "", "Jan-Dez/26",
AH2094 &lt;&gt; "", "Fev-Dez/26",
AI2094 &lt;&gt; "", "Mar-Dez/26", AJ2094 &lt;&gt; "", "Abr-Dez/26",
TRUE, "A partir de Junho"
)</f>
        <v>A partir de Junho</v>
      </c>
      <c r="G2094" s="4" t="s">
        <v>62</v>
      </c>
      <c r="H2094" s="7" t="s">
        <v>38</v>
      </c>
      <c r="I2094" s="28" t="s">
        <v>127</v>
      </c>
      <c r="J2094" s="8" t="str" cm="1">
        <f t="array" aca="1" ref="J2094" ca="1">_xlfn.LET(
  _xlpm.actual_value_month, INDEX(T2094:AE2094, MATCH(DATE(YEAR(TODAY()), MONTH(TODAY()), 1), $T$1:$AE$1, 0)),
  IF(_xlpm.actual_value_month &lt;&gt; "",_xlpm.actual_value_month &amp; " ações mensais", "")
)</f>
        <v/>
      </c>
      <c r="K2094" s="8" t="str" cm="1">
        <f t="array" ref="K2094">_xlfn.LET(
    _xlpm.sum_month, SUM(T2094:AE2094),
    IF(_xlpm.sum_month = 0, "", _xlpm.sum_month &amp; " ações no ano")
)</f>
        <v/>
      </c>
      <c r="L2094" s="4" t="s">
        <v>128</v>
      </c>
      <c r="M2094" s="19"/>
      <c r="N2094" s="5" t="s">
        <v>51</v>
      </c>
      <c r="O2094" s="5"/>
      <c r="P2094" s="10"/>
      <c r="Q2094" s="10"/>
      <c r="R2094" s="11"/>
      <c r="S2094" s="11"/>
      <c r="T2094" s="22"/>
      <c r="U2094" s="22"/>
      <c r="V2094" s="22"/>
      <c r="W2094" s="22"/>
      <c r="X2094" s="22"/>
      <c r="Y2094" s="22"/>
      <c r="Z2094" s="22"/>
      <c r="AA2094" s="22"/>
      <c r="AB2094" s="22"/>
      <c r="AC2094" s="22"/>
      <c r="AD2094" s="22"/>
      <c r="AE2094" s="22"/>
      <c r="AF2094" s="81"/>
      <c r="AG2094" s="71"/>
      <c r="AH2094" s="71"/>
      <c r="AI2094" s="71"/>
      <c r="AJ2094" s="71"/>
      <c r="AK2094" s="71"/>
      <c r="AL2094" s="71"/>
      <c r="AM2094" s="71"/>
      <c r="AN2094" s="71"/>
      <c r="AO2094" s="71"/>
      <c r="AP2094" s="71"/>
      <c r="AQ2094" s="71"/>
      <c r="AR2094" s="71"/>
      <c r="AS2094" s="94"/>
      <c r="AT2094" s="95"/>
      <c r="AU2094" s="97"/>
      <c r="AV2094" s="81"/>
      <c r="AW2094" s="83">
        <f t="shared" si="2453"/>
        <v>0</v>
      </c>
      <c r="AX2094" s="83">
        <f t="shared" si="2454"/>
        <v>0</v>
      </c>
      <c r="AY2094" s="83">
        <f t="shared" si="2455"/>
        <v>0</v>
      </c>
      <c r="AZ2094" s="83">
        <f t="shared" si="2456"/>
        <v>0</v>
      </c>
      <c r="BA2094" s="52"/>
      <c r="BB2094" s="52"/>
      <c r="BC2094" s="52"/>
      <c r="BD2094" s="52"/>
      <c r="BE2094" s="52"/>
      <c r="BF2094" s="52"/>
      <c r="BG2094" s="52"/>
      <c r="BH2094" s="52"/>
      <c r="BI2094" s="65"/>
      <c r="BJ2094" s="68"/>
      <c r="BK2094" s="59">
        <f t="shared" si="2457"/>
        <v>0</v>
      </c>
      <c r="BL2094" s="59" cm="1">
        <f t="array" ref="BL2094">IFERROR(SUM(AW2094:INDEX(AW2094:BH2094, MATCH(2, 1/(AW2094:BH2094&lt;&gt;""), 1) - 1))/_xlfn.XLOOKUP(F2094,Apuração!A:A,Apuração!B:B),0)</f>
        <v>0</v>
      </c>
      <c r="BM2094" s="55"/>
      <c r="BN2094" s="55"/>
      <c r="BO2094" s="53">
        <f ca="1">IFERROR(_xlfn.XLOOKUP(F2094,Apuração!A:A,Apuração!C:C)/_xlfn.XLOOKUP(F2094,Apuração!A:A,Apuração!B:B),0)</f>
        <v>0</v>
      </c>
      <c r="BP2094" s="53">
        <f ca="1">IFERROR(_xlfn.XLOOKUP(F2094,Apuração!A:A,Apuração!D:D)/_xlfn.XLOOKUP(F2094,Apuração!A:A,Apuração!B:B),0)</f>
        <v>0</v>
      </c>
      <c r="BQ2094" s="53">
        <f ca="1">IF(BK2094&gt;=BO2094,0,_xlfn.XLOOKUP(F2094,Apuração!A:A,Apuração!B:B)*(BO2094 + (1/_xlfn.XLOOKUP(F2094,Apuração!A:A,Apuração!B:B)) - BK2094))</f>
        <v>0</v>
      </c>
      <c r="BR2094" s="85">
        <f t="shared" ca="1" si="2458"/>
        <v>0</v>
      </c>
      <c r="BS2094" s="53">
        <f ca="1">IFERROR((_xlfn.XLOOKUP(F2094,Apuração!A:A,Apuração!C:C)+1)/_xlfn.XLOOKUP(F2094,Apuração!A:A,Apuração!B:B),0)</f>
        <v>0.14285714285714285</v>
      </c>
    </row>
    <row r="2095" spans="1:71" ht="25.95" hidden="1" customHeight="1" x14ac:dyDescent="0.3">
      <c r="A2095" s="41" t="s">
        <v>108</v>
      </c>
      <c r="B2095" s="4" t="s">
        <v>129</v>
      </c>
      <c r="C2095" s="5" t="s">
        <v>216</v>
      </c>
      <c r="D2095" s="5" t="s">
        <v>36</v>
      </c>
      <c r="E2095" s="4" t="s">
        <v>61</v>
      </c>
      <c r="F2095" s="4" t="str" cm="1">
        <f t="array" ref="F2095">_xlfn.IFS(
AG2095 &lt;&gt; "", "Jan-Dez/26",
AH2095 &lt;&gt; "", "Fev-Dez/26",
AI2095 &lt;&gt; "", "Mar-Dez/26", AJ2095 &lt;&gt; "", "Abr-Dez/26",
TRUE, "A partir de Junho"
)</f>
        <v>A partir de Junho</v>
      </c>
      <c r="G2095" s="4" t="s">
        <v>62</v>
      </c>
      <c r="H2095" s="7" t="s">
        <v>38</v>
      </c>
      <c r="I2095" s="4" t="s">
        <v>130</v>
      </c>
      <c r="J2095" s="8" t="str" cm="1">
        <f t="array" aca="1" ref="J2095" ca="1">_xlfn.LET(
  _xlpm.actual_value_month, INDEX(T2095:AE2095, MATCH(DATE(YEAR(TODAY()), MONTH(TODAY()), 1), $T$1:$AE$1, 0)),
  IF(_xlpm.actual_value_month &lt;&gt; "",_xlpm.actual_value_month &amp; " ações mensais", "")
)</f>
        <v/>
      </c>
      <c r="K2095" s="8" t="str" cm="1">
        <f t="array" ref="K2095">_xlfn.LET(
    _xlpm.sum_month, SUM(T2095:AE2095),
    IF(_xlpm.sum_month = 0, "", _xlpm.sum_month &amp; " treinamento de motociclistas no ano")
)</f>
        <v/>
      </c>
      <c r="L2095" s="4" t="s">
        <v>131</v>
      </c>
      <c r="M2095" s="19"/>
      <c r="N2095" s="5" t="s">
        <v>42</v>
      </c>
      <c r="O2095" s="5"/>
      <c r="P2095" s="10"/>
      <c r="Q2095" s="10"/>
      <c r="R2095" s="11"/>
      <c r="S2095" s="11"/>
      <c r="T2095" s="22"/>
      <c r="U2095" s="22"/>
      <c r="V2095" s="22"/>
      <c r="W2095" s="22"/>
      <c r="X2095" s="22"/>
      <c r="Y2095" s="22"/>
      <c r="Z2095" s="22"/>
      <c r="AA2095" s="22"/>
      <c r="AB2095" s="22"/>
      <c r="AC2095" s="22"/>
      <c r="AD2095" s="22"/>
      <c r="AE2095" s="22"/>
      <c r="AF2095" s="81"/>
      <c r="AG2095" s="71"/>
      <c r="AH2095" s="71"/>
      <c r="AI2095" s="71"/>
      <c r="AJ2095" s="71"/>
      <c r="AK2095" s="71"/>
      <c r="AL2095" s="71"/>
      <c r="AM2095" s="71"/>
      <c r="AN2095" s="71"/>
      <c r="AO2095" s="71"/>
      <c r="AP2095" s="71"/>
      <c r="AQ2095" s="71"/>
      <c r="AR2095" s="71"/>
      <c r="AS2095" s="94"/>
      <c r="AT2095" s="95"/>
      <c r="AU2095" s="97"/>
      <c r="AV2095" s="81"/>
      <c r="AW2095" s="51">
        <f>IFERROR(IF(AG2095="",0,AG2095/T2095),0)</f>
        <v>0</v>
      </c>
      <c r="AX2095" s="51">
        <f>IFERROR(IF(AH2095="",0,AH2095/U2095),0)</f>
        <v>0</v>
      </c>
      <c r="AY2095" s="51">
        <f>IFERROR(IF(AI2095="",0,AI2095/V2095),0)</f>
        <v>0</v>
      </c>
      <c r="AZ2095" s="51">
        <f>IFERROR(IF(AJ2095="",0,AJ2095/W2095),0)</f>
        <v>0</v>
      </c>
      <c r="BA2095" s="51"/>
      <c r="BB2095" s="51"/>
      <c r="BC2095" s="51"/>
      <c r="BD2095" s="51"/>
      <c r="BE2095" s="51"/>
      <c r="BF2095" s="51"/>
      <c r="BG2095" s="51"/>
      <c r="BH2095" s="51"/>
      <c r="BI2095" s="65"/>
      <c r="BJ2095" s="68"/>
      <c r="BK2095" s="58">
        <f>IF((IF(AW2095&gt;=115%,115%,AW2095) + IF(AX2095&gt;=115%,115%,AX2095) + IF(AY2095&gt;=115%,115%,AY2095) + (IF(AZ2095&gt;=115%,115%,AZ2095) + IF(BA2095&gt;=115%,115%,BA2095) + IF(BB2095&gt;=115%,115%,BB2095) + IF(BC2095&gt;=115%,115%,BC2095) + IF(BD2095&gt;=115%,115%,BD2095) + IF(BE2095&gt;=115%,115%,BE2095) + IF(BF2095&gt;=115%,115%,BF2095) + IF(BG2095&gt;=115%,115%,BG2095) + IF(BH2095&gt;=115%,115%,BH2095)))/_xlfn.XLOOKUP(F2095,Apuração!A:A,Apuração!B:B)&gt;=1.15,1.15,((IF(AZ2095&gt;=115%,115%,AZ2095) + IF(AX2095&gt;=115%,115%,AX2095) + IF(AY2095&gt;=115%,115%,AY2095) + (IF(AW2095&gt;=115%,115%,AW2095) + IF(BA2095&gt;=115%,115%,BA2095) + IF(BB2095&gt;=115%,115%,BB2095) + IF(BC2095&gt;=115%,115%,BC2095) + IF(BD2095&gt;=115%,115%,BD2095) + IF(BE2095&gt;=115%,115%,BE2095) + IF(BF2095&gt;=115%,115%,BF2095) + IF(BG2095&gt;=115%,115%,BG2095) + IF(BH2095&gt;=115%,115%,BH2095)))/_xlfn.XLOOKUP(F2095,Apuração!A:A,Apuração!B:B)))</f>
        <v>0</v>
      </c>
      <c r="BL2095" s="58" cm="1">
        <f t="array" aca="1" ref="BL2095" ca="1">IF(SUM(IFERROR(IF(INDEX(AW2095:INDEX(AW2095:BH2095, MATCH(2, 1/(AW2095:BH2095&lt;&gt;""), 1)-1), ROW(INDIRECT("1:" &amp; MATCH(2, 1/(AW2095:BH2095&lt;&gt;""), 1)-1))) &gt;= 115%, 115%, INDEX(AW2095:INDEX(AW2095:BH2095, MATCH(2, 1/(AW2095:BH2095&lt;&gt;""), 1)-1), ROW(INDIRECT("1:" &amp; MATCH(2, 1/(AW2095:BH2095&lt;&gt;""), 1)-1)))), 0))/_xlfn.XLOOKUP(F2095,Apuração!A:A,Apuração!B:B)&gt;=1.15,1.15,SUM(IFERROR(IF(INDEX(AW2095:INDEX(AW2095:BH2095, MATCH(2, 1/(AW2095:BH2095&lt;&gt;""), 1)-1), ROW(INDIRECT("1:" &amp; MATCH(2, 1/(AW2095:BH2095&lt;&gt;""), 1)-1))) &gt;= 115%, 115%, INDEX(AW2095:INDEX(AW2095:BH2095, MATCH(2, 1/(AW2095:BH2095&lt;&gt;""), 1)-1), ROW(INDIRECT("1:" &amp; MATCH(2, 1/(AW2095:BH2095&lt;&gt;""), 1)-1)))), 0))/_xlfn.XLOOKUP(F2095,Apuração!A:A,Apuração!B:B))</f>
        <v>0</v>
      </c>
      <c r="BM2095" s="55"/>
      <c r="BN2095" s="55"/>
      <c r="BO2095" s="53">
        <f ca="1">IFERROR(_xlfn.XLOOKUP(F2095,Apuração!A:A,Apuração!C:C)/_xlfn.XLOOKUP(F2095,Apuração!A:A,Apuração!B:B),0)</f>
        <v>0</v>
      </c>
      <c r="BP2095" s="53">
        <f ca="1">IFERROR(_xlfn.XLOOKUP(F2095,Apuração!A:A,Apuração!D:D)/_xlfn.XLOOKUP(F2095,Apuração!A:A,Apuração!B:B),0)</f>
        <v>0</v>
      </c>
      <c r="BQ2095" s="53">
        <f ca="1">IF(BK2095&gt;=BO2095,0,_xlfn.XLOOKUP(F2095,Apuração!A:A,Apuração!B:B)*(BO2095 + (1/_xlfn.XLOOKUP(F2095,Apuração!A:A,Apuração!B:B)) - BK2095))</f>
        <v>0</v>
      </c>
      <c r="BR2095" s="85">
        <f ca="1">IF(BQ2095=0,0,BQ2095*Z2095)</f>
        <v>0</v>
      </c>
      <c r="BS2095" s="53">
        <f ca="1">IFERROR((_xlfn.XLOOKUP(F2095,Apuração!A:A,Apuração!C:C)+1)/_xlfn.XLOOKUP(F2095,Apuração!A:A,Apuração!B:B),0)</f>
        <v>0.14285714285714285</v>
      </c>
    </row>
    <row r="2096" spans="1:71" ht="25.95" hidden="1" customHeight="1" x14ac:dyDescent="0.3">
      <c r="A2096" s="41" t="s">
        <v>108</v>
      </c>
      <c r="B2096" s="4" t="s">
        <v>129</v>
      </c>
      <c r="C2096" s="5" t="s">
        <v>216</v>
      </c>
      <c r="D2096" s="5" t="s">
        <v>217</v>
      </c>
      <c r="E2096" s="4" t="s">
        <v>61</v>
      </c>
      <c r="F2096" s="4" t="str" cm="1">
        <f t="array" ref="F2096">_xlfn.IFS(
AG2096 &lt;&gt; "", "Jan-Dez/26",
AH2096 &lt;&gt; "", "Fev-Dez/26",
AI2096 &lt;&gt; "", "Mar-Dez/26", AJ2096 &lt;&gt; "", "Abr-Dez/26",
TRUE, "A partir de Junho"
)</f>
        <v>A partir de Junho</v>
      </c>
      <c r="G2096" s="4" t="s">
        <v>62</v>
      </c>
      <c r="H2096" s="7" t="s">
        <v>38</v>
      </c>
      <c r="I2096" s="4" t="s">
        <v>130</v>
      </c>
      <c r="J2096" s="8" t="str" cm="1">
        <f t="array" aca="1" ref="J2096" ca="1">_xlfn.LET(
  _xlpm.actual_value_month, INDEX(T2096:AE2096, MATCH(DATE(YEAR(TODAY()), MONTH(TODAY()), 1), $T$1:$AE$1, 0)),
  IF(_xlpm.actual_value_month &lt;&gt; "",_xlpm.actual_value_month &amp; " ações mensais", "")
)</f>
        <v/>
      </c>
      <c r="K2096" s="8" t="str" cm="1">
        <f t="array" ref="K2096">_xlfn.LET(
    _xlpm.sum_month, SUM(T2096:AE2096),
    IF(_xlpm.sum_month = 0, "", _xlpm.sum_month &amp; " treinamento de motociclistas no ano")
)</f>
        <v/>
      </c>
      <c r="L2096" s="4" t="s">
        <v>131</v>
      </c>
      <c r="M2096" s="19"/>
      <c r="N2096" s="5" t="s">
        <v>42</v>
      </c>
      <c r="O2096" s="5"/>
      <c r="P2096" s="10"/>
      <c r="Q2096" s="10"/>
      <c r="R2096" s="11"/>
      <c r="S2096" s="11"/>
      <c r="T2096" s="22"/>
      <c r="U2096" s="22"/>
      <c r="V2096" s="22"/>
      <c r="W2096" s="22"/>
      <c r="X2096" s="22"/>
      <c r="Y2096" s="22"/>
      <c r="Z2096" s="22"/>
      <c r="AA2096" s="22"/>
      <c r="AB2096" s="22"/>
      <c r="AC2096" s="22"/>
      <c r="AD2096" s="22"/>
      <c r="AE2096" s="22"/>
      <c r="AF2096" s="81"/>
      <c r="AG2096" s="71"/>
      <c r="AH2096" s="71"/>
      <c r="AI2096" s="71"/>
      <c r="AJ2096" s="71"/>
      <c r="AK2096" s="71"/>
      <c r="AL2096" s="71"/>
      <c r="AM2096" s="71"/>
      <c r="AN2096" s="71"/>
      <c r="AO2096" s="71"/>
      <c r="AP2096" s="71"/>
      <c r="AQ2096" s="71"/>
      <c r="AR2096" s="71"/>
      <c r="AS2096" s="94"/>
      <c r="AT2096" s="95"/>
      <c r="AU2096" s="97"/>
      <c r="AV2096" s="81"/>
      <c r="AW2096" s="51">
        <f t="shared" ref="AW2096:AW2099" si="2459">IFERROR(IF(AG2096="",0,AG2096/T2096),0)</f>
        <v>0</v>
      </c>
      <c r="AX2096" s="51">
        <f t="shared" ref="AX2096:AX2099" si="2460">IFERROR(IF(AH2096="",0,AH2096/U2096),0)</f>
        <v>0</v>
      </c>
      <c r="AY2096" s="51">
        <f t="shared" ref="AY2096:AY2099" si="2461">IFERROR(IF(AI2096="",0,AI2096/V2096),0)</f>
        <v>0</v>
      </c>
      <c r="AZ2096" s="51">
        <f t="shared" ref="AZ2096:AZ2099" si="2462">IFERROR(IF(AJ2096="",0,AJ2096/W2096),0)</f>
        <v>0</v>
      </c>
      <c r="BA2096" s="51"/>
      <c r="BB2096" s="51"/>
      <c r="BC2096" s="51"/>
      <c r="BD2096" s="51"/>
      <c r="BE2096" s="51"/>
      <c r="BF2096" s="51"/>
      <c r="BG2096" s="51"/>
      <c r="BH2096" s="51"/>
      <c r="BI2096" s="65"/>
      <c r="BJ2096" s="68"/>
      <c r="BK2096" s="58">
        <f>IF((IF(AW2096&gt;=115%,115%,AW2096) + IF(AX2096&gt;=115%,115%,AX2096) + IF(AY2096&gt;=115%,115%,AY2096) + (IF(AZ2096&gt;=115%,115%,AZ2096) + IF(BA2096&gt;=115%,115%,BA2096) + IF(BB2096&gt;=115%,115%,BB2096) + IF(BC2096&gt;=115%,115%,BC2096) + IF(BD2096&gt;=115%,115%,BD2096) + IF(BE2096&gt;=115%,115%,BE2096) + IF(BF2096&gt;=115%,115%,BF2096) + IF(BG2096&gt;=115%,115%,BG2096) + IF(BH2096&gt;=115%,115%,BH2096)))/_xlfn.XLOOKUP(F2096,Apuração!A:A,Apuração!B:B)&gt;=1.15,1.15,((IF(AZ2096&gt;=115%,115%,AZ2096) + IF(AX2096&gt;=115%,115%,AX2096) + IF(AY2096&gt;=115%,115%,AY2096) + (IF(AW2096&gt;=115%,115%,AW2096) + IF(BA2096&gt;=115%,115%,BA2096) + IF(BB2096&gt;=115%,115%,BB2096) + IF(BC2096&gt;=115%,115%,BC2096) + IF(BD2096&gt;=115%,115%,BD2096) + IF(BE2096&gt;=115%,115%,BE2096) + IF(BF2096&gt;=115%,115%,BF2096) + IF(BG2096&gt;=115%,115%,BG2096) + IF(BH2096&gt;=115%,115%,BH2096)))/_xlfn.XLOOKUP(F2096,Apuração!A:A,Apuração!B:B)))</f>
        <v>0</v>
      </c>
      <c r="BL2096" s="58" cm="1">
        <f t="array" aca="1" ref="BL2096" ca="1">IF(SUM(IFERROR(IF(INDEX(AW2096:INDEX(AW2096:BH2096, MATCH(2, 1/(AW2096:BH2096&lt;&gt;""), 1)-1), ROW(INDIRECT("1:" &amp; MATCH(2, 1/(AW2096:BH2096&lt;&gt;""), 1)-1))) &gt;= 115%, 115%, INDEX(AW2096:INDEX(AW2096:BH2096, MATCH(2, 1/(AW2096:BH2096&lt;&gt;""), 1)-1), ROW(INDIRECT("1:" &amp; MATCH(2, 1/(AW2096:BH2096&lt;&gt;""), 1)-1)))), 0))/_xlfn.XLOOKUP(F2096,Apuração!A:A,Apuração!B:B)&gt;=1.15,1.15,SUM(IFERROR(IF(INDEX(AW2096:INDEX(AW2096:BH2096, MATCH(2, 1/(AW2096:BH2096&lt;&gt;""), 1)-1), ROW(INDIRECT("1:" &amp; MATCH(2, 1/(AW2096:BH2096&lt;&gt;""), 1)-1))) &gt;= 115%, 115%, INDEX(AW2096:INDEX(AW2096:BH2096, MATCH(2, 1/(AW2096:BH2096&lt;&gt;""), 1)-1), ROW(INDIRECT("1:" &amp; MATCH(2, 1/(AW2096:BH2096&lt;&gt;""), 1)-1)))), 0))/_xlfn.XLOOKUP(F2096,Apuração!A:A,Apuração!B:B))</f>
        <v>0</v>
      </c>
      <c r="BM2096" s="55"/>
      <c r="BN2096" s="55"/>
      <c r="BO2096" s="53">
        <f ca="1">IFERROR(_xlfn.XLOOKUP(F2096,Apuração!A:A,Apuração!C:C)/_xlfn.XLOOKUP(F2096,Apuração!A:A,Apuração!B:B),0)</f>
        <v>0</v>
      </c>
      <c r="BP2096" s="53">
        <f ca="1">IFERROR(_xlfn.XLOOKUP(F2096,Apuração!A:A,Apuração!D:D)/_xlfn.XLOOKUP(F2096,Apuração!A:A,Apuração!B:B),0)</f>
        <v>0</v>
      </c>
      <c r="BQ2096" s="53">
        <f ca="1">IF(BK2096&gt;=BO2096,0,_xlfn.XLOOKUP(F2096,Apuração!A:A,Apuração!B:B)*(BO2096 + (1/_xlfn.XLOOKUP(F2096,Apuração!A:A,Apuração!B:B)) - BK2096))</f>
        <v>0</v>
      </c>
      <c r="BR2096" s="85">
        <f t="shared" ref="BR2096:BR2099" ca="1" si="2463">IF(BQ2096=0,0,BQ2096*Z2096)</f>
        <v>0</v>
      </c>
      <c r="BS2096" s="53">
        <f ca="1">IFERROR((_xlfn.XLOOKUP(F2096,Apuração!A:A,Apuração!C:C)+1)/_xlfn.XLOOKUP(F2096,Apuração!A:A,Apuração!B:B),0)</f>
        <v>0.14285714285714285</v>
      </c>
    </row>
    <row r="2097" spans="1:71" ht="25.95" hidden="1" customHeight="1" x14ac:dyDescent="0.3">
      <c r="A2097" s="41" t="s">
        <v>108</v>
      </c>
      <c r="B2097" s="4" t="s">
        <v>129</v>
      </c>
      <c r="C2097" s="5" t="s">
        <v>216</v>
      </c>
      <c r="D2097" s="5" t="s">
        <v>103</v>
      </c>
      <c r="E2097" s="4" t="s">
        <v>61</v>
      </c>
      <c r="F2097" s="4" t="str" cm="1">
        <f t="array" ref="F2097">_xlfn.IFS(
AG2097 &lt;&gt; "", "Jan-Dez/26",
AH2097 &lt;&gt; "", "Fev-Dez/26",
AI2097 &lt;&gt; "", "Mar-Dez/26", AJ2097 &lt;&gt; "", "Abr-Dez/26",
TRUE, "A partir de Junho"
)</f>
        <v>A partir de Junho</v>
      </c>
      <c r="G2097" s="4" t="s">
        <v>62</v>
      </c>
      <c r="H2097" s="7" t="s">
        <v>38</v>
      </c>
      <c r="I2097" s="4" t="s">
        <v>130</v>
      </c>
      <c r="J2097" s="8" t="str" cm="1">
        <f t="array" aca="1" ref="J2097" ca="1">_xlfn.LET(
  _xlpm.actual_value_month, INDEX(T2097:AE2097, MATCH(DATE(YEAR(TODAY()), MONTH(TODAY()), 1), $T$1:$AE$1, 0)),
  IF(_xlpm.actual_value_month &lt;&gt; "",_xlpm.actual_value_month &amp; " ações mensais", "")
)</f>
        <v/>
      </c>
      <c r="K2097" s="8" t="str" cm="1">
        <f t="array" ref="K2097">_xlfn.LET(
    _xlpm.sum_month, SUM(T2097:AE2097),
    IF(_xlpm.sum_month = 0, "", _xlpm.sum_month &amp; " treinamento de motociclistas no ano")
)</f>
        <v/>
      </c>
      <c r="L2097" s="4" t="s">
        <v>131</v>
      </c>
      <c r="M2097" s="19"/>
      <c r="N2097" s="5" t="s">
        <v>42</v>
      </c>
      <c r="O2097" s="5"/>
      <c r="P2097" s="10"/>
      <c r="Q2097" s="10"/>
      <c r="R2097" s="11"/>
      <c r="S2097" s="11"/>
      <c r="T2097" s="22"/>
      <c r="U2097" s="22"/>
      <c r="V2097" s="22"/>
      <c r="W2097" s="22"/>
      <c r="X2097" s="22"/>
      <c r="Y2097" s="22"/>
      <c r="Z2097" s="22"/>
      <c r="AA2097" s="22"/>
      <c r="AB2097" s="22"/>
      <c r="AC2097" s="22"/>
      <c r="AD2097" s="22"/>
      <c r="AE2097" s="22"/>
      <c r="AF2097" s="81"/>
      <c r="AG2097" s="71"/>
      <c r="AH2097" s="71"/>
      <c r="AI2097" s="71"/>
      <c r="AJ2097" s="71"/>
      <c r="AK2097" s="71"/>
      <c r="AL2097" s="71"/>
      <c r="AM2097" s="71"/>
      <c r="AN2097" s="71"/>
      <c r="AO2097" s="71"/>
      <c r="AP2097" s="71"/>
      <c r="AQ2097" s="71"/>
      <c r="AR2097" s="71"/>
      <c r="AS2097" s="94"/>
      <c r="AT2097" s="95"/>
      <c r="AU2097" s="97"/>
      <c r="AV2097" s="81"/>
      <c r="AW2097" s="51">
        <f t="shared" si="2459"/>
        <v>0</v>
      </c>
      <c r="AX2097" s="51">
        <f t="shared" si="2460"/>
        <v>0</v>
      </c>
      <c r="AY2097" s="51">
        <f t="shared" si="2461"/>
        <v>0</v>
      </c>
      <c r="AZ2097" s="51">
        <f t="shared" si="2462"/>
        <v>0</v>
      </c>
      <c r="BA2097" s="51"/>
      <c r="BB2097" s="51"/>
      <c r="BC2097" s="51"/>
      <c r="BD2097" s="51"/>
      <c r="BE2097" s="51"/>
      <c r="BF2097" s="51"/>
      <c r="BG2097" s="51"/>
      <c r="BH2097" s="51"/>
      <c r="BI2097" s="65"/>
      <c r="BJ2097" s="68"/>
      <c r="BK2097" s="58">
        <f>IF((IF(AW2097&gt;=115%,115%,AW2097) + IF(AX2097&gt;=115%,115%,AX2097) + IF(AY2097&gt;=115%,115%,AY2097) + (IF(AZ2097&gt;=115%,115%,AZ2097) + IF(BA2097&gt;=115%,115%,BA2097) + IF(BB2097&gt;=115%,115%,BB2097) + IF(BC2097&gt;=115%,115%,BC2097) + IF(BD2097&gt;=115%,115%,BD2097) + IF(BE2097&gt;=115%,115%,BE2097) + IF(BF2097&gt;=115%,115%,BF2097) + IF(BG2097&gt;=115%,115%,BG2097) + IF(BH2097&gt;=115%,115%,BH2097)))/_xlfn.XLOOKUP(F2097,Apuração!A:A,Apuração!B:B)&gt;=1.15,1.15,((IF(AZ2097&gt;=115%,115%,AZ2097) + IF(AX2097&gt;=115%,115%,AX2097) + IF(AY2097&gt;=115%,115%,AY2097) + (IF(AW2097&gt;=115%,115%,AW2097) + IF(BA2097&gt;=115%,115%,BA2097) + IF(BB2097&gt;=115%,115%,BB2097) + IF(BC2097&gt;=115%,115%,BC2097) + IF(BD2097&gt;=115%,115%,BD2097) + IF(BE2097&gt;=115%,115%,BE2097) + IF(BF2097&gt;=115%,115%,BF2097) + IF(BG2097&gt;=115%,115%,BG2097) + IF(BH2097&gt;=115%,115%,BH2097)))/_xlfn.XLOOKUP(F2097,Apuração!A:A,Apuração!B:B)))</f>
        <v>0</v>
      </c>
      <c r="BL2097" s="58" cm="1">
        <f t="array" aca="1" ref="BL2097" ca="1">IF(SUM(IFERROR(IF(INDEX(AW2097:INDEX(AW2097:BH2097, MATCH(2, 1/(AW2097:BH2097&lt;&gt;""), 1)-1), ROW(INDIRECT("1:" &amp; MATCH(2, 1/(AW2097:BH2097&lt;&gt;""), 1)-1))) &gt;= 115%, 115%, INDEX(AW2097:INDEX(AW2097:BH2097, MATCH(2, 1/(AW2097:BH2097&lt;&gt;""), 1)-1), ROW(INDIRECT("1:" &amp; MATCH(2, 1/(AW2097:BH2097&lt;&gt;""), 1)-1)))), 0))/_xlfn.XLOOKUP(F2097,Apuração!A:A,Apuração!B:B)&gt;=1.15,1.15,SUM(IFERROR(IF(INDEX(AW2097:INDEX(AW2097:BH2097, MATCH(2, 1/(AW2097:BH2097&lt;&gt;""), 1)-1), ROW(INDIRECT("1:" &amp; MATCH(2, 1/(AW2097:BH2097&lt;&gt;""), 1)-1))) &gt;= 115%, 115%, INDEX(AW2097:INDEX(AW2097:BH2097, MATCH(2, 1/(AW2097:BH2097&lt;&gt;""), 1)-1), ROW(INDIRECT("1:" &amp; MATCH(2, 1/(AW2097:BH2097&lt;&gt;""), 1)-1)))), 0))/_xlfn.XLOOKUP(F2097,Apuração!A:A,Apuração!B:B))</f>
        <v>0</v>
      </c>
      <c r="BM2097" s="55"/>
      <c r="BN2097" s="55"/>
      <c r="BO2097" s="53">
        <f ca="1">IFERROR(_xlfn.XLOOKUP(F2097,Apuração!A:A,Apuração!C:C)/_xlfn.XLOOKUP(F2097,Apuração!A:A,Apuração!B:B),0)</f>
        <v>0</v>
      </c>
      <c r="BP2097" s="53">
        <f ca="1">IFERROR(_xlfn.XLOOKUP(F2097,Apuração!A:A,Apuração!D:D)/_xlfn.XLOOKUP(F2097,Apuração!A:A,Apuração!B:B),0)</f>
        <v>0</v>
      </c>
      <c r="BQ2097" s="53">
        <f ca="1">IF(BK2097&gt;=BO2097,0,_xlfn.XLOOKUP(F2097,Apuração!A:A,Apuração!B:B)*(BO2097 + (1/_xlfn.XLOOKUP(F2097,Apuração!A:A,Apuração!B:B)) - BK2097))</f>
        <v>0</v>
      </c>
      <c r="BR2097" s="85">
        <f t="shared" ca="1" si="2463"/>
        <v>0</v>
      </c>
      <c r="BS2097" s="53">
        <f ca="1">IFERROR((_xlfn.XLOOKUP(F2097,Apuração!A:A,Apuração!C:C)+1)/_xlfn.XLOOKUP(F2097,Apuração!A:A,Apuração!B:B),0)</f>
        <v>0.14285714285714285</v>
      </c>
    </row>
    <row r="2098" spans="1:71" ht="25.95" hidden="1" customHeight="1" x14ac:dyDescent="0.3">
      <c r="A2098" s="41" t="s">
        <v>108</v>
      </c>
      <c r="B2098" s="4" t="s">
        <v>129</v>
      </c>
      <c r="C2098" s="5" t="s">
        <v>216</v>
      </c>
      <c r="D2098" s="5" t="s">
        <v>218</v>
      </c>
      <c r="E2098" s="4" t="s">
        <v>61</v>
      </c>
      <c r="F2098" s="4" t="str" cm="1">
        <f t="array" ref="F2098">_xlfn.IFS(
AG2098 &lt;&gt; "", "Jan-Dez/26",
AH2098 &lt;&gt; "", "Fev-Dez/26",
AI2098 &lt;&gt; "", "Mar-Dez/26", AJ2098 &lt;&gt; "", "Abr-Dez/26",
TRUE, "A partir de Junho"
)</f>
        <v>A partir de Junho</v>
      </c>
      <c r="G2098" s="4" t="s">
        <v>62</v>
      </c>
      <c r="H2098" s="7" t="s">
        <v>38</v>
      </c>
      <c r="I2098" s="4" t="s">
        <v>130</v>
      </c>
      <c r="J2098" s="8" t="str" cm="1">
        <f t="array" aca="1" ref="J2098" ca="1">_xlfn.LET(
  _xlpm.actual_value_month, INDEX(T2098:AE2098, MATCH(DATE(YEAR(TODAY()), MONTH(TODAY()), 1), $T$1:$AE$1, 0)),
  IF(_xlpm.actual_value_month &lt;&gt; "",_xlpm.actual_value_month &amp; " ações mensais", "")
)</f>
        <v/>
      </c>
      <c r="K2098" s="8" t="str" cm="1">
        <f t="array" ref="K2098">_xlfn.LET(
    _xlpm.sum_month, SUM(T2098:AE2098),
    IF(_xlpm.sum_month = 0, "", _xlpm.sum_month &amp; " treinamento de motociclistas no ano")
)</f>
        <v/>
      </c>
      <c r="L2098" s="4" t="s">
        <v>131</v>
      </c>
      <c r="M2098" s="19"/>
      <c r="N2098" s="5" t="s">
        <v>42</v>
      </c>
      <c r="O2098" s="5"/>
      <c r="P2098" s="10"/>
      <c r="Q2098" s="10"/>
      <c r="R2098" s="11"/>
      <c r="S2098" s="11"/>
      <c r="T2098" s="22"/>
      <c r="U2098" s="22"/>
      <c r="V2098" s="22"/>
      <c r="W2098" s="22"/>
      <c r="X2098" s="22"/>
      <c r="Y2098" s="22"/>
      <c r="Z2098" s="22"/>
      <c r="AA2098" s="22"/>
      <c r="AB2098" s="22"/>
      <c r="AC2098" s="22"/>
      <c r="AD2098" s="22"/>
      <c r="AE2098" s="22"/>
      <c r="AF2098" s="81"/>
      <c r="AG2098" s="71"/>
      <c r="AH2098" s="71"/>
      <c r="AI2098" s="71"/>
      <c r="AJ2098" s="71"/>
      <c r="AK2098" s="71"/>
      <c r="AL2098" s="71"/>
      <c r="AM2098" s="71"/>
      <c r="AN2098" s="71"/>
      <c r="AO2098" s="71"/>
      <c r="AP2098" s="71"/>
      <c r="AQ2098" s="71"/>
      <c r="AR2098" s="71"/>
      <c r="AS2098" s="94"/>
      <c r="AT2098" s="95"/>
      <c r="AU2098" s="97"/>
      <c r="AV2098" s="81"/>
      <c r="AW2098" s="51">
        <f t="shared" si="2459"/>
        <v>0</v>
      </c>
      <c r="AX2098" s="51">
        <f t="shared" si="2460"/>
        <v>0</v>
      </c>
      <c r="AY2098" s="51">
        <f t="shared" si="2461"/>
        <v>0</v>
      </c>
      <c r="AZ2098" s="51">
        <f t="shared" si="2462"/>
        <v>0</v>
      </c>
      <c r="BA2098" s="51"/>
      <c r="BB2098" s="51"/>
      <c r="BC2098" s="51"/>
      <c r="BD2098" s="51"/>
      <c r="BE2098" s="51"/>
      <c r="BF2098" s="51"/>
      <c r="BG2098" s="51"/>
      <c r="BH2098" s="51"/>
      <c r="BI2098" s="65"/>
      <c r="BJ2098" s="68"/>
      <c r="BK2098" s="58">
        <f>IF((IF(AW2098&gt;=115%,115%,AW2098) + IF(AX2098&gt;=115%,115%,AX2098) + IF(AY2098&gt;=115%,115%,AY2098) + (IF(AZ2098&gt;=115%,115%,AZ2098) + IF(BA2098&gt;=115%,115%,BA2098) + IF(BB2098&gt;=115%,115%,BB2098) + IF(BC2098&gt;=115%,115%,BC2098) + IF(BD2098&gt;=115%,115%,BD2098) + IF(BE2098&gt;=115%,115%,BE2098) + IF(BF2098&gt;=115%,115%,BF2098) + IF(BG2098&gt;=115%,115%,BG2098) + IF(BH2098&gt;=115%,115%,BH2098)))/_xlfn.XLOOKUP(F2098,Apuração!A:A,Apuração!B:B)&gt;=1.15,1.15,((IF(AZ2098&gt;=115%,115%,AZ2098) + IF(AX2098&gt;=115%,115%,AX2098) + IF(AY2098&gt;=115%,115%,AY2098) + (IF(AW2098&gt;=115%,115%,AW2098) + IF(BA2098&gt;=115%,115%,BA2098) + IF(BB2098&gt;=115%,115%,BB2098) + IF(BC2098&gt;=115%,115%,BC2098) + IF(BD2098&gt;=115%,115%,BD2098) + IF(BE2098&gt;=115%,115%,BE2098) + IF(BF2098&gt;=115%,115%,BF2098) + IF(BG2098&gt;=115%,115%,BG2098) + IF(BH2098&gt;=115%,115%,BH2098)))/_xlfn.XLOOKUP(F2098,Apuração!A:A,Apuração!B:B)))</f>
        <v>0</v>
      </c>
      <c r="BL2098" s="58" cm="1">
        <f t="array" aca="1" ref="BL2098" ca="1">IF(SUM(IFERROR(IF(INDEX(AW2098:INDEX(AW2098:BH2098, MATCH(2, 1/(AW2098:BH2098&lt;&gt;""), 1)-1), ROW(INDIRECT("1:" &amp; MATCH(2, 1/(AW2098:BH2098&lt;&gt;""), 1)-1))) &gt;= 115%, 115%, INDEX(AW2098:INDEX(AW2098:BH2098, MATCH(2, 1/(AW2098:BH2098&lt;&gt;""), 1)-1), ROW(INDIRECT("1:" &amp; MATCH(2, 1/(AW2098:BH2098&lt;&gt;""), 1)-1)))), 0))/_xlfn.XLOOKUP(F2098,Apuração!A:A,Apuração!B:B)&gt;=1.15,1.15,SUM(IFERROR(IF(INDEX(AW2098:INDEX(AW2098:BH2098, MATCH(2, 1/(AW2098:BH2098&lt;&gt;""), 1)-1), ROW(INDIRECT("1:" &amp; MATCH(2, 1/(AW2098:BH2098&lt;&gt;""), 1)-1))) &gt;= 115%, 115%, INDEX(AW2098:INDEX(AW2098:BH2098, MATCH(2, 1/(AW2098:BH2098&lt;&gt;""), 1)-1), ROW(INDIRECT("1:" &amp; MATCH(2, 1/(AW2098:BH2098&lt;&gt;""), 1)-1)))), 0))/_xlfn.XLOOKUP(F2098,Apuração!A:A,Apuração!B:B))</f>
        <v>0</v>
      </c>
      <c r="BM2098" s="55"/>
      <c r="BN2098" s="55"/>
      <c r="BO2098" s="53">
        <f ca="1">IFERROR(_xlfn.XLOOKUP(F2098,Apuração!A:A,Apuração!C:C)/_xlfn.XLOOKUP(F2098,Apuração!A:A,Apuração!B:B),0)</f>
        <v>0</v>
      </c>
      <c r="BP2098" s="53">
        <f ca="1">IFERROR(_xlfn.XLOOKUP(F2098,Apuração!A:A,Apuração!D:D)/_xlfn.XLOOKUP(F2098,Apuração!A:A,Apuração!B:B),0)</f>
        <v>0</v>
      </c>
      <c r="BQ2098" s="53">
        <f ca="1">IF(BK2098&gt;=BO2098,0,_xlfn.XLOOKUP(F2098,Apuração!A:A,Apuração!B:B)*(BO2098 + (1/_xlfn.XLOOKUP(F2098,Apuração!A:A,Apuração!B:B)) - BK2098))</f>
        <v>0</v>
      </c>
      <c r="BR2098" s="85">
        <f t="shared" ca="1" si="2463"/>
        <v>0</v>
      </c>
      <c r="BS2098" s="53">
        <f ca="1">IFERROR((_xlfn.XLOOKUP(F2098,Apuração!A:A,Apuração!C:C)+1)/_xlfn.XLOOKUP(F2098,Apuração!A:A,Apuração!B:B),0)</f>
        <v>0.14285714285714285</v>
      </c>
    </row>
    <row r="2099" spans="1:71" ht="25.95" hidden="1" customHeight="1" x14ac:dyDescent="0.3">
      <c r="A2099" s="41" t="s">
        <v>108</v>
      </c>
      <c r="B2099" s="4" t="s">
        <v>129</v>
      </c>
      <c r="C2099" s="5" t="s">
        <v>216</v>
      </c>
      <c r="D2099" s="5" t="s">
        <v>219</v>
      </c>
      <c r="E2099" s="4" t="s">
        <v>61</v>
      </c>
      <c r="F2099" s="4" t="str" cm="1">
        <f t="array" ref="F2099">_xlfn.IFS(
AG2099 &lt;&gt; "", "Jan-Dez/26",
AH2099 &lt;&gt; "", "Fev-Dez/26",
AI2099 &lt;&gt; "", "Mar-Dez/26", AJ2099 &lt;&gt; "", "Abr-Dez/26",
TRUE, "A partir de Junho"
)</f>
        <v>A partir de Junho</v>
      </c>
      <c r="G2099" s="4" t="s">
        <v>62</v>
      </c>
      <c r="H2099" s="7" t="s">
        <v>38</v>
      </c>
      <c r="I2099" s="4" t="s">
        <v>130</v>
      </c>
      <c r="J2099" s="8" t="str" cm="1">
        <f t="array" aca="1" ref="J2099" ca="1">_xlfn.LET(
  _xlpm.actual_value_month, INDEX(T2099:AE2099, MATCH(DATE(YEAR(TODAY()), MONTH(TODAY()), 1), $T$1:$AE$1, 0)),
  IF(_xlpm.actual_value_month &lt;&gt; "",_xlpm.actual_value_month &amp; " ações mensais", "")
)</f>
        <v/>
      </c>
      <c r="K2099" s="8" t="str" cm="1">
        <f t="array" ref="K2099">_xlfn.LET(
    _xlpm.sum_month, SUM(T2099:AE2099),
    IF(_xlpm.sum_month = 0, "", _xlpm.sum_month &amp; " treinamento de motociclistas no ano")
)</f>
        <v/>
      </c>
      <c r="L2099" s="4" t="s">
        <v>131</v>
      </c>
      <c r="M2099" s="19"/>
      <c r="N2099" s="5" t="s">
        <v>42</v>
      </c>
      <c r="O2099" s="5"/>
      <c r="P2099" s="10"/>
      <c r="Q2099" s="10"/>
      <c r="R2099" s="11"/>
      <c r="S2099" s="11"/>
      <c r="T2099" s="22"/>
      <c r="U2099" s="22"/>
      <c r="V2099" s="22"/>
      <c r="W2099" s="22"/>
      <c r="X2099" s="22"/>
      <c r="Y2099" s="22"/>
      <c r="Z2099" s="22"/>
      <c r="AA2099" s="22"/>
      <c r="AB2099" s="22"/>
      <c r="AC2099" s="22"/>
      <c r="AD2099" s="22"/>
      <c r="AE2099" s="22"/>
      <c r="AF2099" s="81"/>
      <c r="AG2099" s="71"/>
      <c r="AH2099" s="71"/>
      <c r="AI2099" s="71"/>
      <c r="AJ2099" s="71"/>
      <c r="AK2099" s="71"/>
      <c r="AL2099" s="71"/>
      <c r="AM2099" s="71"/>
      <c r="AN2099" s="71"/>
      <c r="AO2099" s="71"/>
      <c r="AP2099" s="71"/>
      <c r="AQ2099" s="71"/>
      <c r="AR2099" s="71"/>
      <c r="AS2099" s="94"/>
      <c r="AT2099" s="95"/>
      <c r="AU2099" s="97"/>
      <c r="AV2099" s="81"/>
      <c r="AW2099" s="51">
        <f t="shared" si="2459"/>
        <v>0</v>
      </c>
      <c r="AX2099" s="51">
        <f t="shared" si="2460"/>
        <v>0</v>
      </c>
      <c r="AY2099" s="51">
        <f t="shared" si="2461"/>
        <v>0</v>
      </c>
      <c r="AZ2099" s="51">
        <f t="shared" si="2462"/>
        <v>0</v>
      </c>
      <c r="BA2099" s="51"/>
      <c r="BB2099" s="51"/>
      <c r="BC2099" s="51"/>
      <c r="BD2099" s="51"/>
      <c r="BE2099" s="51"/>
      <c r="BF2099" s="51"/>
      <c r="BG2099" s="51"/>
      <c r="BH2099" s="51"/>
      <c r="BI2099" s="65"/>
      <c r="BJ2099" s="68"/>
      <c r="BK2099" s="58">
        <f>IF((IF(AW2099&gt;=115%,115%,AW2099) + IF(AX2099&gt;=115%,115%,AX2099) + IF(AY2099&gt;=115%,115%,AY2099) + (IF(AZ2099&gt;=115%,115%,AZ2099) + IF(BA2099&gt;=115%,115%,BA2099) + IF(BB2099&gt;=115%,115%,BB2099) + IF(BC2099&gt;=115%,115%,BC2099) + IF(BD2099&gt;=115%,115%,BD2099) + IF(BE2099&gt;=115%,115%,BE2099) + IF(BF2099&gt;=115%,115%,BF2099) + IF(BG2099&gt;=115%,115%,BG2099) + IF(BH2099&gt;=115%,115%,BH2099)))/_xlfn.XLOOKUP(F2099,Apuração!A:A,Apuração!B:B)&gt;=1.15,1.15,((IF(AZ2099&gt;=115%,115%,AZ2099) + IF(AX2099&gt;=115%,115%,AX2099) + IF(AY2099&gt;=115%,115%,AY2099) + (IF(AW2099&gt;=115%,115%,AW2099) + IF(BA2099&gt;=115%,115%,BA2099) + IF(BB2099&gt;=115%,115%,BB2099) + IF(BC2099&gt;=115%,115%,BC2099) + IF(BD2099&gt;=115%,115%,BD2099) + IF(BE2099&gt;=115%,115%,BE2099) + IF(BF2099&gt;=115%,115%,BF2099) + IF(BG2099&gt;=115%,115%,BG2099) + IF(BH2099&gt;=115%,115%,BH2099)))/_xlfn.XLOOKUP(F2099,Apuração!A:A,Apuração!B:B)))</f>
        <v>0</v>
      </c>
      <c r="BL2099" s="58" cm="1">
        <f t="array" aca="1" ref="BL2099" ca="1">IF(SUM(IFERROR(IF(INDEX(AW2099:INDEX(AW2099:BH2099, MATCH(2, 1/(AW2099:BH2099&lt;&gt;""), 1)-1), ROW(INDIRECT("1:" &amp; MATCH(2, 1/(AW2099:BH2099&lt;&gt;""), 1)-1))) &gt;= 115%, 115%, INDEX(AW2099:INDEX(AW2099:BH2099, MATCH(2, 1/(AW2099:BH2099&lt;&gt;""), 1)-1), ROW(INDIRECT("1:" &amp; MATCH(2, 1/(AW2099:BH2099&lt;&gt;""), 1)-1)))), 0))/_xlfn.XLOOKUP(F2099,Apuração!A:A,Apuração!B:B)&gt;=1.15,1.15,SUM(IFERROR(IF(INDEX(AW2099:INDEX(AW2099:BH2099, MATCH(2, 1/(AW2099:BH2099&lt;&gt;""), 1)-1), ROW(INDIRECT("1:" &amp; MATCH(2, 1/(AW2099:BH2099&lt;&gt;""), 1)-1))) &gt;= 115%, 115%, INDEX(AW2099:INDEX(AW2099:BH2099, MATCH(2, 1/(AW2099:BH2099&lt;&gt;""), 1)-1), ROW(INDIRECT("1:" &amp; MATCH(2, 1/(AW2099:BH2099&lt;&gt;""), 1)-1)))), 0))/_xlfn.XLOOKUP(F2099,Apuração!A:A,Apuração!B:B))</f>
        <v>0</v>
      </c>
      <c r="BM2099" s="55"/>
      <c r="BN2099" s="55"/>
      <c r="BO2099" s="53">
        <f ca="1">IFERROR(_xlfn.XLOOKUP(F2099,Apuração!A:A,Apuração!C:C)/_xlfn.XLOOKUP(F2099,Apuração!A:A,Apuração!B:B),0)</f>
        <v>0</v>
      </c>
      <c r="BP2099" s="53">
        <f ca="1">IFERROR(_xlfn.XLOOKUP(F2099,Apuração!A:A,Apuração!D:D)/_xlfn.XLOOKUP(F2099,Apuração!A:A,Apuração!B:B),0)</f>
        <v>0</v>
      </c>
      <c r="BQ2099" s="53">
        <f ca="1">IF(BK2099&gt;=BO2099,0,_xlfn.XLOOKUP(F2099,Apuração!A:A,Apuração!B:B)*(BO2099 + (1/_xlfn.XLOOKUP(F2099,Apuração!A:A,Apuração!B:B)) - BK2099))</f>
        <v>0</v>
      </c>
      <c r="BR2099" s="85">
        <f t="shared" ca="1" si="2463"/>
        <v>0</v>
      </c>
      <c r="BS2099" s="53">
        <f ca="1">IFERROR((_xlfn.XLOOKUP(F2099,Apuração!A:A,Apuração!C:C)+1)/_xlfn.XLOOKUP(F2099,Apuração!A:A,Apuração!B:B),0)</f>
        <v>0.14285714285714285</v>
      </c>
    </row>
    <row r="2100" spans="1:71" ht="25.95" hidden="1" customHeight="1" x14ac:dyDescent="0.3">
      <c r="A2100" s="70" t="s">
        <v>108</v>
      </c>
      <c r="B2100" s="4" t="s">
        <v>129</v>
      </c>
      <c r="C2100" s="5" t="s">
        <v>216</v>
      </c>
      <c r="D2100" s="5" t="s">
        <v>36</v>
      </c>
      <c r="E2100" s="4" t="s">
        <v>61</v>
      </c>
      <c r="F2100" s="4" t="str" cm="1">
        <f t="array" ref="F2100">_xlfn.IFS(
AG2100 &lt;&gt; "", "Jan-Dez/26",
AH2100 &lt;&gt; "", "Fev-Dez/26",
AI2100 &lt;&gt; "", "Mar-Dez/26", AJ2100 &lt;&gt; "", "Abr-Dez/26",
TRUE, "A partir de Junho"
)</f>
        <v>A partir de Junho</v>
      </c>
      <c r="G2100" s="4" t="s">
        <v>62</v>
      </c>
      <c r="H2100" s="7" t="s">
        <v>38</v>
      </c>
      <c r="I2100" s="28" t="s">
        <v>132</v>
      </c>
      <c r="J2100" s="8" t="str" cm="1">
        <f t="array" aca="1" ref="J2100" ca="1">_xlfn.LET(
  _xlpm.actual_value_month, INDEX(T2100:AE2100, MATCH(DATE(YEAR(TODAY()), MONTH(TODAY()), 1), $T$1:$AE$1, 0)),
  IF(_xlpm.actual_value_month &lt;&gt; "",_xlpm.actual_value_month &amp; " ações mensais", "")
)</f>
        <v/>
      </c>
      <c r="K2100" s="8" t="str" cm="1">
        <f t="array" ref="K2100">_xlfn.LET(
    _xlpm.sum_month, SUM(T2100:AE2100),
    IF(_xlpm.sum_month = 0, "", _xlpm.sum_month &amp; "  notificações de excesso de velocidade no ano")
)</f>
        <v/>
      </c>
      <c r="L2100" s="4" t="s">
        <v>133</v>
      </c>
      <c r="M2100" s="19"/>
      <c r="N2100" s="5" t="s">
        <v>51</v>
      </c>
      <c r="O2100" s="5"/>
      <c r="P2100" s="10"/>
      <c r="Q2100" s="10"/>
      <c r="R2100" s="11"/>
      <c r="S2100" s="11"/>
      <c r="T2100" s="22"/>
      <c r="U2100" s="22"/>
      <c r="V2100" s="22"/>
      <c r="W2100" s="22"/>
      <c r="X2100" s="22"/>
      <c r="Y2100" s="22"/>
      <c r="Z2100" s="22"/>
      <c r="AA2100" s="22"/>
      <c r="AB2100" s="22"/>
      <c r="AC2100" s="22"/>
      <c r="AD2100" s="22"/>
      <c r="AE2100" s="22"/>
      <c r="AF2100" s="81"/>
      <c r="AG2100" s="71"/>
      <c r="AH2100" s="71"/>
      <c r="AI2100" s="71"/>
      <c r="AJ2100" s="71"/>
      <c r="AK2100" s="71"/>
      <c r="AL2100" s="71"/>
      <c r="AM2100" s="71"/>
      <c r="AN2100" s="71"/>
      <c r="AO2100" s="71"/>
      <c r="AP2100" s="71"/>
      <c r="AQ2100" s="71"/>
      <c r="AR2100" s="71"/>
      <c r="AS2100" s="94"/>
      <c r="AT2100" s="95"/>
      <c r="AU2100" s="97"/>
      <c r="AV2100" s="81"/>
      <c r="AW2100" s="83">
        <f>AG2100</f>
        <v>0</v>
      </c>
      <c r="AX2100" s="83">
        <f>AH2100</f>
        <v>0</v>
      </c>
      <c r="AY2100" s="83">
        <f>AI2100</f>
        <v>0</v>
      </c>
      <c r="AZ2100" s="83">
        <f>AJ2100</f>
        <v>0</v>
      </c>
      <c r="BA2100" s="52"/>
      <c r="BB2100" s="52"/>
      <c r="BC2100" s="52"/>
      <c r="BD2100" s="52"/>
      <c r="BE2100" s="52"/>
      <c r="BF2100" s="52"/>
      <c r="BG2100" s="52"/>
      <c r="BH2100" s="52"/>
      <c r="BI2100" s="65"/>
      <c r="BJ2100" s="68"/>
      <c r="BK2100" s="59">
        <f>SUM(AW2100:BH2100)</f>
        <v>0</v>
      </c>
      <c r="BL2100" s="59" cm="1">
        <f t="array" ref="BL2100">IFERROR(SUM(AW2100:INDEX(AW2100:BH2100, MATCH(2, 1/(AW2100:BH2100&lt;&gt;""), 1) - 1))/_xlfn.XLOOKUP(F2100,Apuração!A:A,Apuração!B:B),0)</f>
        <v>0</v>
      </c>
      <c r="BM2100" s="55"/>
      <c r="BN2100" s="55"/>
      <c r="BO2100" s="53">
        <f ca="1">IFERROR(_xlfn.XLOOKUP(F2100,Apuração!A:A,Apuração!C:C)/_xlfn.XLOOKUP(F2100,Apuração!A:A,Apuração!B:B),0)</f>
        <v>0</v>
      </c>
      <c r="BP2100" s="53">
        <f ca="1">IFERROR(_xlfn.XLOOKUP(F2100,Apuração!A:A,Apuração!D:D)/_xlfn.XLOOKUP(F2100,Apuração!A:A,Apuração!B:B),0)</f>
        <v>0</v>
      </c>
      <c r="BQ2100" s="53">
        <f ca="1">IF(BK2100&gt;=BO2100,0,_xlfn.XLOOKUP(F2100,Apuração!A:A,Apuração!B:B)*(BO2100 + (1/_xlfn.XLOOKUP(F2100,Apuração!A:A,Apuração!B:B)) - BK2100))</f>
        <v>0</v>
      </c>
      <c r="BR2100" s="85">
        <f ca="1">IF(BQ2100=0,0,BQ2100*Z2100)</f>
        <v>0</v>
      </c>
      <c r="BS2100" s="53">
        <f ca="1">IFERROR((_xlfn.XLOOKUP(F2100,Apuração!A:A,Apuração!C:C)+1)/_xlfn.XLOOKUP(F2100,Apuração!A:A,Apuração!B:B),0)</f>
        <v>0.14285714285714285</v>
      </c>
    </row>
    <row r="2101" spans="1:71" ht="25.95" hidden="1" customHeight="1" x14ac:dyDescent="0.3">
      <c r="A2101" s="70" t="s">
        <v>108</v>
      </c>
      <c r="B2101" s="4" t="s">
        <v>129</v>
      </c>
      <c r="C2101" s="5" t="s">
        <v>216</v>
      </c>
      <c r="D2101" s="5" t="s">
        <v>217</v>
      </c>
      <c r="E2101" s="4" t="s">
        <v>61</v>
      </c>
      <c r="F2101" s="4" t="str" cm="1">
        <f t="array" ref="F2101">_xlfn.IFS(
AG2101 &lt;&gt; "", "Jan-Dez/26",
AH2101 &lt;&gt; "", "Fev-Dez/26",
AI2101 &lt;&gt; "", "Mar-Dez/26", AJ2101 &lt;&gt; "", "Abr-Dez/26",
TRUE, "A partir de Junho"
)</f>
        <v>A partir de Junho</v>
      </c>
      <c r="G2101" s="4" t="s">
        <v>62</v>
      </c>
      <c r="H2101" s="7" t="s">
        <v>38</v>
      </c>
      <c r="I2101" s="28" t="s">
        <v>132</v>
      </c>
      <c r="J2101" s="8" t="str" cm="1">
        <f t="array" aca="1" ref="J2101" ca="1">_xlfn.LET(
  _xlpm.actual_value_month, INDEX(T2101:AE2101, MATCH(DATE(YEAR(TODAY()), MONTH(TODAY()), 1), $T$1:$AE$1, 0)),
  IF(_xlpm.actual_value_month &lt;&gt; "",_xlpm.actual_value_month &amp; " ações mensais", "")
)</f>
        <v/>
      </c>
      <c r="K2101" s="8" t="str" cm="1">
        <f t="array" ref="K2101">_xlfn.LET(
    _xlpm.sum_month, SUM(T2101:AE2101),
    IF(_xlpm.sum_month = 0, "", _xlpm.sum_month &amp; "  notificações de excesso de velocidade no ano")
)</f>
        <v/>
      </c>
      <c r="L2101" s="4" t="s">
        <v>133</v>
      </c>
      <c r="M2101" s="19"/>
      <c r="N2101" s="5" t="s">
        <v>51</v>
      </c>
      <c r="O2101" s="5"/>
      <c r="P2101" s="10"/>
      <c r="Q2101" s="10"/>
      <c r="R2101" s="11"/>
      <c r="S2101" s="11"/>
      <c r="T2101" s="22"/>
      <c r="U2101" s="22"/>
      <c r="V2101" s="22"/>
      <c r="W2101" s="22"/>
      <c r="X2101" s="22"/>
      <c r="Y2101" s="22"/>
      <c r="Z2101" s="22"/>
      <c r="AA2101" s="22"/>
      <c r="AB2101" s="22"/>
      <c r="AC2101" s="22"/>
      <c r="AD2101" s="22"/>
      <c r="AE2101" s="22"/>
      <c r="AF2101" s="81"/>
      <c r="AG2101" s="71"/>
      <c r="AH2101" s="71"/>
      <c r="AI2101" s="71"/>
      <c r="AJ2101" s="71"/>
      <c r="AK2101" s="71"/>
      <c r="AL2101" s="71"/>
      <c r="AM2101" s="71"/>
      <c r="AN2101" s="71"/>
      <c r="AO2101" s="71"/>
      <c r="AP2101" s="71"/>
      <c r="AQ2101" s="71"/>
      <c r="AR2101" s="71"/>
      <c r="AS2101" s="94"/>
      <c r="AT2101" s="95"/>
      <c r="AU2101" s="97"/>
      <c r="AV2101" s="81"/>
      <c r="AW2101" s="83">
        <f t="shared" ref="AW2101:AW2104" si="2464">AG2101</f>
        <v>0</v>
      </c>
      <c r="AX2101" s="83">
        <f t="shared" ref="AX2101:AX2104" si="2465">AH2101</f>
        <v>0</v>
      </c>
      <c r="AY2101" s="83">
        <f t="shared" ref="AY2101:AY2104" si="2466">AI2101</f>
        <v>0</v>
      </c>
      <c r="AZ2101" s="83">
        <f t="shared" ref="AZ2101:AZ2104" si="2467">AJ2101</f>
        <v>0</v>
      </c>
      <c r="BA2101" s="52"/>
      <c r="BB2101" s="52"/>
      <c r="BC2101" s="52"/>
      <c r="BD2101" s="52"/>
      <c r="BE2101" s="52"/>
      <c r="BF2101" s="52"/>
      <c r="BG2101" s="52"/>
      <c r="BH2101" s="52"/>
      <c r="BI2101" s="65"/>
      <c r="BJ2101" s="68"/>
      <c r="BK2101" s="59">
        <f t="shared" ref="BK2101:BK2104" si="2468">SUM(AW2101:BH2101)</f>
        <v>0</v>
      </c>
      <c r="BL2101" s="59" cm="1">
        <f t="array" ref="BL2101">IFERROR(SUM(AW2101:INDEX(AW2101:BH2101, MATCH(2, 1/(AW2101:BH2101&lt;&gt;""), 1) - 1))/_xlfn.XLOOKUP(F2101,Apuração!A:A,Apuração!B:B),0)</f>
        <v>0</v>
      </c>
      <c r="BM2101" s="55"/>
      <c r="BN2101" s="55"/>
      <c r="BO2101" s="53">
        <f ca="1">IFERROR(_xlfn.XLOOKUP(F2101,Apuração!A:A,Apuração!C:C)/_xlfn.XLOOKUP(F2101,Apuração!A:A,Apuração!B:B),0)</f>
        <v>0</v>
      </c>
      <c r="BP2101" s="53">
        <f ca="1">IFERROR(_xlfn.XLOOKUP(F2101,Apuração!A:A,Apuração!D:D)/_xlfn.XLOOKUP(F2101,Apuração!A:A,Apuração!B:B),0)</f>
        <v>0</v>
      </c>
      <c r="BQ2101" s="53">
        <f ca="1">IF(BK2101&gt;=BO2101,0,_xlfn.XLOOKUP(F2101,Apuração!A:A,Apuração!B:B)*(BO2101 + (1/_xlfn.XLOOKUP(F2101,Apuração!A:A,Apuração!B:B)) - BK2101))</f>
        <v>0</v>
      </c>
      <c r="BR2101" s="85">
        <f t="shared" ref="BR2101:BR2104" ca="1" si="2469">IF(BQ2101=0,0,BQ2101*Z2101)</f>
        <v>0</v>
      </c>
      <c r="BS2101" s="53">
        <f ca="1">IFERROR((_xlfn.XLOOKUP(F2101,Apuração!A:A,Apuração!C:C)+1)/_xlfn.XLOOKUP(F2101,Apuração!A:A,Apuração!B:B),0)</f>
        <v>0.14285714285714285</v>
      </c>
    </row>
    <row r="2102" spans="1:71" ht="25.95" hidden="1" customHeight="1" x14ac:dyDescent="0.3">
      <c r="A2102" s="70" t="s">
        <v>108</v>
      </c>
      <c r="B2102" s="4" t="s">
        <v>129</v>
      </c>
      <c r="C2102" s="5" t="s">
        <v>216</v>
      </c>
      <c r="D2102" s="5" t="s">
        <v>103</v>
      </c>
      <c r="E2102" s="4" t="s">
        <v>61</v>
      </c>
      <c r="F2102" s="4" t="str" cm="1">
        <f t="array" ref="F2102">_xlfn.IFS(
AG2102 &lt;&gt; "", "Jan-Dez/26",
AH2102 &lt;&gt; "", "Fev-Dez/26",
AI2102 &lt;&gt; "", "Mar-Dez/26", AJ2102 &lt;&gt; "", "Abr-Dez/26",
TRUE, "A partir de Junho"
)</f>
        <v>A partir de Junho</v>
      </c>
      <c r="G2102" s="4" t="s">
        <v>62</v>
      </c>
      <c r="H2102" s="7" t="s">
        <v>38</v>
      </c>
      <c r="I2102" s="28" t="s">
        <v>132</v>
      </c>
      <c r="J2102" s="8" t="str" cm="1">
        <f t="array" aca="1" ref="J2102" ca="1">_xlfn.LET(
  _xlpm.actual_value_month, INDEX(T2102:AE2102, MATCH(DATE(YEAR(TODAY()), MONTH(TODAY()), 1), $T$1:$AE$1, 0)),
  IF(_xlpm.actual_value_month &lt;&gt; "",_xlpm.actual_value_month &amp; " ações mensais", "")
)</f>
        <v/>
      </c>
      <c r="K2102" s="8" t="str" cm="1">
        <f t="array" ref="K2102">_xlfn.LET(
    _xlpm.sum_month, SUM(T2102:AE2102),
    IF(_xlpm.sum_month = 0, "", _xlpm.sum_month &amp; "  notificações de excesso de velocidade no ano")
)</f>
        <v/>
      </c>
      <c r="L2102" s="4" t="s">
        <v>133</v>
      </c>
      <c r="M2102" s="19"/>
      <c r="N2102" s="5" t="s">
        <v>51</v>
      </c>
      <c r="O2102" s="5"/>
      <c r="P2102" s="10"/>
      <c r="Q2102" s="10"/>
      <c r="R2102" s="11"/>
      <c r="S2102" s="11"/>
      <c r="T2102" s="22"/>
      <c r="U2102" s="22"/>
      <c r="V2102" s="22"/>
      <c r="W2102" s="22"/>
      <c r="X2102" s="22"/>
      <c r="Y2102" s="22"/>
      <c r="Z2102" s="22"/>
      <c r="AA2102" s="22"/>
      <c r="AB2102" s="22"/>
      <c r="AC2102" s="22"/>
      <c r="AD2102" s="22"/>
      <c r="AE2102" s="22"/>
      <c r="AF2102" s="81"/>
      <c r="AG2102" s="71"/>
      <c r="AH2102" s="71"/>
      <c r="AI2102" s="71"/>
      <c r="AJ2102" s="71"/>
      <c r="AK2102" s="71"/>
      <c r="AL2102" s="71"/>
      <c r="AM2102" s="71"/>
      <c r="AN2102" s="71"/>
      <c r="AO2102" s="71"/>
      <c r="AP2102" s="71"/>
      <c r="AQ2102" s="71"/>
      <c r="AR2102" s="71"/>
      <c r="AS2102" s="94"/>
      <c r="AT2102" s="95"/>
      <c r="AU2102" s="97"/>
      <c r="AV2102" s="81"/>
      <c r="AW2102" s="83">
        <f t="shared" si="2464"/>
        <v>0</v>
      </c>
      <c r="AX2102" s="83">
        <f t="shared" si="2465"/>
        <v>0</v>
      </c>
      <c r="AY2102" s="83">
        <f t="shared" si="2466"/>
        <v>0</v>
      </c>
      <c r="AZ2102" s="83">
        <f t="shared" si="2467"/>
        <v>0</v>
      </c>
      <c r="BA2102" s="52"/>
      <c r="BB2102" s="52"/>
      <c r="BC2102" s="52"/>
      <c r="BD2102" s="52"/>
      <c r="BE2102" s="52"/>
      <c r="BF2102" s="52"/>
      <c r="BG2102" s="52"/>
      <c r="BH2102" s="52"/>
      <c r="BI2102" s="65"/>
      <c r="BJ2102" s="68"/>
      <c r="BK2102" s="59">
        <f t="shared" si="2468"/>
        <v>0</v>
      </c>
      <c r="BL2102" s="59" cm="1">
        <f t="array" ref="BL2102">IFERROR(SUM(AW2102:INDEX(AW2102:BH2102, MATCH(2, 1/(AW2102:BH2102&lt;&gt;""), 1) - 1))/_xlfn.XLOOKUP(F2102,Apuração!A:A,Apuração!B:B),0)</f>
        <v>0</v>
      </c>
      <c r="BM2102" s="55"/>
      <c r="BN2102" s="55"/>
      <c r="BO2102" s="53">
        <f ca="1">IFERROR(_xlfn.XLOOKUP(F2102,Apuração!A:A,Apuração!C:C)/_xlfn.XLOOKUP(F2102,Apuração!A:A,Apuração!B:B),0)</f>
        <v>0</v>
      </c>
      <c r="BP2102" s="53">
        <f ca="1">IFERROR(_xlfn.XLOOKUP(F2102,Apuração!A:A,Apuração!D:D)/_xlfn.XLOOKUP(F2102,Apuração!A:A,Apuração!B:B),0)</f>
        <v>0</v>
      </c>
      <c r="BQ2102" s="53">
        <f ca="1">IF(BK2102&gt;=BO2102,0,_xlfn.XLOOKUP(F2102,Apuração!A:A,Apuração!B:B)*(BO2102 + (1/_xlfn.XLOOKUP(F2102,Apuração!A:A,Apuração!B:B)) - BK2102))</f>
        <v>0</v>
      </c>
      <c r="BR2102" s="85">
        <f t="shared" ca="1" si="2469"/>
        <v>0</v>
      </c>
      <c r="BS2102" s="53">
        <f ca="1">IFERROR((_xlfn.XLOOKUP(F2102,Apuração!A:A,Apuração!C:C)+1)/_xlfn.XLOOKUP(F2102,Apuração!A:A,Apuração!B:B),0)</f>
        <v>0.14285714285714285</v>
      </c>
    </row>
    <row r="2103" spans="1:71" ht="25.95" hidden="1" customHeight="1" x14ac:dyDescent="0.3">
      <c r="A2103" s="70" t="s">
        <v>108</v>
      </c>
      <c r="B2103" s="4" t="s">
        <v>129</v>
      </c>
      <c r="C2103" s="5" t="s">
        <v>216</v>
      </c>
      <c r="D2103" s="5" t="s">
        <v>218</v>
      </c>
      <c r="E2103" s="4" t="s">
        <v>61</v>
      </c>
      <c r="F2103" s="4" t="str" cm="1">
        <f t="array" ref="F2103">_xlfn.IFS(
AG2103 &lt;&gt; "", "Jan-Dez/26",
AH2103 &lt;&gt; "", "Fev-Dez/26",
AI2103 &lt;&gt; "", "Mar-Dez/26", AJ2103 &lt;&gt; "", "Abr-Dez/26",
TRUE, "A partir de Junho"
)</f>
        <v>A partir de Junho</v>
      </c>
      <c r="G2103" s="4" t="s">
        <v>62</v>
      </c>
      <c r="H2103" s="7" t="s">
        <v>38</v>
      </c>
      <c r="I2103" s="28" t="s">
        <v>132</v>
      </c>
      <c r="J2103" s="8" t="str" cm="1">
        <f t="array" aca="1" ref="J2103" ca="1">_xlfn.LET(
  _xlpm.actual_value_month, INDEX(T2103:AE2103, MATCH(DATE(YEAR(TODAY()), MONTH(TODAY()), 1), $T$1:$AE$1, 0)),
  IF(_xlpm.actual_value_month &lt;&gt; "",_xlpm.actual_value_month &amp; " ações mensais", "")
)</f>
        <v/>
      </c>
      <c r="K2103" s="8" t="str" cm="1">
        <f t="array" ref="K2103">_xlfn.LET(
    _xlpm.sum_month, SUM(T2103:AE2103),
    IF(_xlpm.sum_month = 0, "", _xlpm.sum_month &amp; "  notificações de excesso de velocidade no ano")
)</f>
        <v/>
      </c>
      <c r="L2103" s="4" t="s">
        <v>133</v>
      </c>
      <c r="M2103" s="19"/>
      <c r="N2103" s="5" t="s">
        <v>51</v>
      </c>
      <c r="O2103" s="5"/>
      <c r="P2103" s="10"/>
      <c r="Q2103" s="10"/>
      <c r="R2103" s="11"/>
      <c r="S2103" s="11"/>
      <c r="T2103" s="22"/>
      <c r="U2103" s="22"/>
      <c r="V2103" s="22"/>
      <c r="W2103" s="22"/>
      <c r="X2103" s="22"/>
      <c r="Y2103" s="22"/>
      <c r="Z2103" s="22"/>
      <c r="AA2103" s="22"/>
      <c r="AB2103" s="22"/>
      <c r="AC2103" s="22"/>
      <c r="AD2103" s="22"/>
      <c r="AE2103" s="22"/>
      <c r="AF2103" s="81"/>
      <c r="AG2103" s="71"/>
      <c r="AH2103" s="71"/>
      <c r="AI2103" s="71"/>
      <c r="AJ2103" s="71"/>
      <c r="AK2103" s="71"/>
      <c r="AL2103" s="71"/>
      <c r="AM2103" s="71"/>
      <c r="AN2103" s="71"/>
      <c r="AO2103" s="71"/>
      <c r="AP2103" s="71"/>
      <c r="AQ2103" s="71"/>
      <c r="AR2103" s="71"/>
      <c r="AS2103" s="94"/>
      <c r="AT2103" s="95"/>
      <c r="AU2103" s="97"/>
      <c r="AV2103" s="81"/>
      <c r="AW2103" s="83">
        <f t="shared" si="2464"/>
        <v>0</v>
      </c>
      <c r="AX2103" s="83">
        <f t="shared" si="2465"/>
        <v>0</v>
      </c>
      <c r="AY2103" s="83">
        <f t="shared" si="2466"/>
        <v>0</v>
      </c>
      <c r="AZ2103" s="83">
        <f t="shared" si="2467"/>
        <v>0</v>
      </c>
      <c r="BA2103" s="52"/>
      <c r="BB2103" s="52"/>
      <c r="BC2103" s="52"/>
      <c r="BD2103" s="52"/>
      <c r="BE2103" s="52"/>
      <c r="BF2103" s="52"/>
      <c r="BG2103" s="52"/>
      <c r="BH2103" s="52"/>
      <c r="BI2103" s="65"/>
      <c r="BJ2103" s="68"/>
      <c r="BK2103" s="59">
        <f t="shared" si="2468"/>
        <v>0</v>
      </c>
      <c r="BL2103" s="59" cm="1">
        <f t="array" ref="BL2103">IFERROR(SUM(AW2103:INDEX(AW2103:BH2103, MATCH(2, 1/(AW2103:BH2103&lt;&gt;""), 1) - 1))/_xlfn.XLOOKUP(F2103,Apuração!A:A,Apuração!B:B),0)</f>
        <v>0</v>
      </c>
      <c r="BM2103" s="55"/>
      <c r="BN2103" s="55"/>
      <c r="BO2103" s="53">
        <f ca="1">IFERROR(_xlfn.XLOOKUP(F2103,Apuração!A:A,Apuração!C:C)/_xlfn.XLOOKUP(F2103,Apuração!A:A,Apuração!B:B),0)</f>
        <v>0</v>
      </c>
      <c r="BP2103" s="53">
        <f ca="1">IFERROR(_xlfn.XLOOKUP(F2103,Apuração!A:A,Apuração!D:D)/_xlfn.XLOOKUP(F2103,Apuração!A:A,Apuração!B:B),0)</f>
        <v>0</v>
      </c>
      <c r="BQ2103" s="53">
        <f ca="1">IF(BK2103&gt;=BO2103,0,_xlfn.XLOOKUP(F2103,Apuração!A:A,Apuração!B:B)*(BO2103 + (1/_xlfn.XLOOKUP(F2103,Apuração!A:A,Apuração!B:B)) - BK2103))</f>
        <v>0</v>
      </c>
      <c r="BR2103" s="85">
        <f t="shared" ca="1" si="2469"/>
        <v>0</v>
      </c>
      <c r="BS2103" s="53">
        <f ca="1">IFERROR((_xlfn.XLOOKUP(F2103,Apuração!A:A,Apuração!C:C)+1)/_xlfn.XLOOKUP(F2103,Apuração!A:A,Apuração!B:B),0)</f>
        <v>0.14285714285714285</v>
      </c>
    </row>
    <row r="2104" spans="1:71" ht="25.95" hidden="1" customHeight="1" x14ac:dyDescent="0.3">
      <c r="A2104" s="70" t="s">
        <v>108</v>
      </c>
      <c r="B2104" s="4" t="s">
        <v>129</v>
      </c>
      <c r="C2104" s="5" t="s">
        <v>216</v>
      </c>
      <c r="D2104" s="5" t="s">
        <v>219</v>
      </c>
      <c r="E2104" s="4" t="s">
        <v>61</v>
      </c>
      <c r="F2104" s="4" t="str" cm="1">
        <f t="array" ref="F2104">_xlfn.IFS(
AG2104 &lt;&gt; "", "Jan-Dez/26",
AH2104 &lt;&gt; "", "Fev-Dez/26",
AI2104 &lt;&gt; "", "Mar-Dez/26", AJ2104 &lt;&gt; "", "Abr-Dez/26",
TRUE, "A partir de Junho"
)</f>
        <v>A partir de Junho</v>
      </c>
      <c r="G2104" s="4" t="s">
        <v>62</v>
      </c>
      <c r="H2104" s="7" t="s">
        <v>38</v>
      </c>
      <c r="I2104" s="28" t="s">
        <v>132</v>
      </c>
      <c r="J2104" s="8" t="str" cm="1">
        <f t="array" aca="1" ref="J2104" ca="1">_xlfn.LET(
  _xlpm.actual_value_month, INDEX(T2104:AE2104, MATCH(DATE(YEAR(TODAY()), MONTH(TODAY()), 1), $T$1:$AE$1, 0)),
  IF(_xlpm.actual_value_month &lt;&gt; "",_xlpm.actual_value_month &amp; " ações mensais", "")
)</f>
        <v/>
      </c>
      <c r="K2104" s="8" t="str" cm="1">
        <f t="array" ref="K2104">_xlfn.LET(
    _xlpm.sum_month, SUM(T2104:AE2104),
    IF(_xlpm.sum_month = 0, "", _xlpm.sum_month &amp; "  notificações de excesso de velocidade no ano")
)</f>
        <v/>
      </c>
      <c r="L2104" s="4" t="s">
        <v>133</v>
      </c>
      <c r="M2104" s="19"/>
      <c r="N2104" s="5" t="s">
        <v>51</v>
      </c>
      <c r="O2104" s="5"/>
      <c r="P2104" s="10"/>
      <c r="Q2104" s="10"/>
      <c r="R2104" s="11"/>
      <c r="S2104" s="11"/>
      <c r="T2104" s="22"/>
      <c r="U2104" s="22"/>
      <c r="V2104" s="22"/>
      <c r="W2104" s="22"/>
      <c r="X2104" s="22"/>
      <c r="Y2104" s="22"/>
      <c r="Z2104" s="22"/>
      <c r="AA2104" s="22"/>
      <c r="AB2104" s="22"/>
      <c r="AC2104" s="22"/>
      <c r="AD2104" s="22"/>
      <c r="AE2104" s="22"/>
      <c r="AF2104" s="81"/>
      <c r="AG2104" s="71"/>
      <c r="AH2104" s="71"/>
      <c r="AI2104" s="71"/>
      <c r="AJ2104" s="71"/>
      <c r="AK2104" s="71"/>
      <c r="AL2104" s="71"/>
      <c r="AM2104" s="71"/>
      <c r="AN2104" s="71"/>
      <c r="AO2104" s="71"/>
      <c r="AP2104" s="71"/>
      <c r="AQ2104" s="71"/>
      <c r="AR2104" s="71"/>
      <c r="AS2104" s="94"/>
      <c r="AT2104" s="95"/>
      <c r="AU2104" s="97"/>
      <c r="AV2104" s="81"/>
      <c r="AW2104" s="83">
        <f t="shared" si="2464"/>
        <v>0</v>
      </c>
      <c r="AX2104" s="83">
        <f t="shared" si="2465"/>
        <v>0</v>
      </c>
      <c r="AY2104" s="83">
        <f t="shared" si="2466"/>
        <v>0</v>
      </c>
      <c r="AZ2104" s="83">
        <f t="shared" si="2467"/>
        <v>0</v>
      </c>
      <c r="BA2104" s="52"/>
      <c r="BB2104" s="52"/>
      <c r="BC2104" s="52"/>
      <c r="BD2104" s="52"/>
      <c r="BE2104" s="52"/>
      <c r="BF2104" s="52"/>
      <c r="BG2104" s="52"/>
      <c r="BH2104" s="52"/>
      <c r="BI2104" s="65"/>
      <c r="BJ2104" s="68"/>
      <c r="BK2104" s="59">
        <f t="shared" si="2468"/>
        <v>0</v>
      </c>
      <c r="BL2104" s="59" cm="1">
        <f t="array" ref="BL2104">IFERROR(SUM(AW2104:INDEX(AW2104:BH2104, MATCH(2, 1/(AW2104:BH2104&lt;&gt;""), 1) - 1))/_xlfn.XLOOKUP(F2104,Apuração!A:A,Apuração!B:B),0)</f>
        <v>0</v>
      </c>
      <c r="BM2104" s="55"/>
      <c r="BN2104" s="55"/>
      <c r="BO2104" s="53">
        <f ca="1">IFERROR(_xlfn.XLOOKUP(F2104,Apuração!A:A,Apuração!C:C)/_xlfn.XLOOKUP(F2104,Apuração!A:A,Apuração!B:B),0)</f>
        <v>0</v>
      </c>
      <c r="BP2104" s="53">
        <f ca="1">IFERROR(_xlfn.XLOOKUP(F2104,Apuração!A:A,Apuração!D:D)/_xlfn.XLOOKUP(F2104,Apuração!A:A,Apuração!B:B),0)</f>
        <v>0</v>
      </c>
      <c r="BQ2104" s="53">
        <f ca="1">IF(BK2104&gt;=BO2104,0,_xlfn.XLOOKUP(F2104,Apuração!A:A,Apuração!B:B)*(BO2104 + (1/_xlfn.XLOOKUP(F2104,Apuração!A:A,Apuração!B:B)) - BK2104))</f>
        <v>0</v>
      </c>
      <c r="BR2104" s="85">
        <f t="shared" ca="1" si="2469"/>
        <v>0</v>
      </c>
      <c r="BS2104" s="53">
        <f ca="1">IFERROR((_xlfn.XLOOKUP(F2104,Apuração!A:A,Apuração!C:C)+1)/_xlfn.XLOOKUP(F2104,Apuração!A:A,Apuração!B:B),0)</f>
        <v>0.14285714285714285</v>
      </c>
    </row>
    <row r="2105" spans="1:71" ht="25.95" hidden="1" customHeight="1" x14ac:dyDescent="0.3">
      <c r="A2105" s="23" t="s">
        <v>134</v>
      </c>
      <c r="B2105" s="4" t="s">
        <v>135</v>
      </c>
      <c r="C2105" s="5" t="s">
        <v>216</v>
      </c>
      <c r="D2105" s="5" t="s">
        <v>36</v>
      </c>
      <c r="E2105" s="4" t="s">
        <v>61</v>
      </c>
      <c r="F2105" s="4" t="str" cm="1">
        <f t="array" ref="F2105">_xlfn.IFS(
AG2105 &lt;&gt; "", "Jan-Dez/26",
AH2105 &lt;&gt; "", "Fev-Dez/26",
AI2105 &lt;&gt; "", "Mar-Dez/26", AJ2105 &lt;&gt; "", "Abr-Dez/26",
TRUE, "A partir de Junho"
)</f>
        <v>A partir de Junho</v>
      </c>
      <c r="G2105" s="4" t="s">
        <v>62</v>
      </c>
      <c r="H2105" s="7" t="s">
        <v>38</v>
      </c>
      <c r="I2105" s="8" t="s">
        <v>136</v>
      </c>
      <c r="J2105" s="8" t="str" cm="1">
        <f t="array" aca="1" ref="J2105" ca="1">_xlfn.LET(
  _xlpm.actual_value_month, INDEX(T2105:AE2105, MATCH(DATE(YEAR(TODAY()), MONTH(TODAY()), 1), $T$1:$AE$1, 0)),
  IF(_xlpm.actual_value_month &lt;&gt; "",_xlpm.actual_value_month &amp; " equipes mensais", "")
)</f>
        <v>314 equipes mensais</v>
      </c>
      <c r="K2105" s="8" t="str" cm="1">
        <f t="array" ref="K2105">_xlfn.LET(
    _xlpm.sum_month, SUM(T2105:AE2105),
    IF(_xlpm.sum_month = 0, "", _xlpm.sum_month &amp; " alcançadas no ano")
)</f>
        <v>2512 alcançadas no ano</v>
      </c>
      <c r="L2105" s="9" t="s">
        <v>137</v>
      </c>
      <c r="M2105" s="24" t="s">
        <v>138</v>
      </c>
      <c r="N2105" s="5" t="s">
        <v>42</v>
      </c>
      <c r="O2105" s="5" t="s">
        <v>43</v>
      </c>
      <c r="P2105" s="10" t="s">
        <v>44</v>
      </c>
      <c r="Q2105" s="10" t="s">
        <v>44</v>
      </c>
      <c r="R2105" s="11" t="s">
        <v>66</v>
      </c>
      <c r="S2105" s="11" t="s">
        <v>67</v>
      </c>
      <c r="T2105" s="22"/>
      <c r="U2105" s="22"/>
      <c r="V2105" s="22"/>
      <c r="W2105" s="22"/>
      <c r="X2105" s="22">
        <v>314</v>
      </c>
      <c r="Y2105" s="22">
        <v>314</v>
      </c>
      <c r="Z2105" s="22">
        <v>314</v>
      </c>
      <c r="AA2105" s="22">
        <v>314</v>
      </c>
      <c r="AB2105" s="22">
        <v>314</v>
      </c>
      <c r="AC2105" s="22">
        <v>314</v>
      </c>
      <c r="AD2105" s="22">
        <v>314</v>
      </c>
      <c r="AE2105" s="22">
        <v>314</v>
      </c>
      <c r="AG2105" s="71"/>
      <c r="AH2105" s="71"/>
      <c r="AI2105" s="71"/>
      <c r="AJ2105" s="71"/>
      <c r="AK2105" s="71"/>
      <c r="AL2105" s="71"/>
      <c r="AM2105" s="71"/>
      <c r="AN2105" s="71"/>
      <c r="AO2105" s="71"/>
      <c r="AP2105" s="71"/>
      <c r="AQ2105" s="71"/>
      <c r="AR2105" s="71"/>
      <c r="AS2105" s="94">
        <f ca="1">IF(MONTH(TODAY())=3,SUM(T2105:U2105),IF(MONTH(TODAY())=4,SUM(T2105:V2105),IF(MONTH(TODAY())=5,SUM(T2105:W2105),IF(MONTH(TODAY())=6,SUM(T2105:X2105),IF(MONTH(TODAY())=7,SUM(T2105:Y2105),IF(MONTH(TODAY())=8,SUM(T2105:Z2105),IF(MONTH(TODAY())=9,SUM(T2105:AA2105),IF(MONTH(TODAY())=10,SUM(T2105:AB2105),IF(MONTH(TODAY())=11,SUM(T2105:AC2105),IF(MONTH(TODAY())=12,SUM(T2105:AD2105),IF(MONTH(TODAY())=1,SUM(T2105:AE2105),T2105)))))))))))</f>
        <v>314</v>
      </c>
      <c r="AT2105" s="95">
        <f>SUM(IF(AW2105&lt;1.15,AG2105,1.15*T2105),IF(AX2105&lt;1.15,AH2105,1.15*U2105),IF(AY2105&lt;1.15,AI2105,1.15*V2105),IF(AZ2105&lt;1.15,AJ2105,1.15*W2105),IF(BA2105&lt;1.15,AK2105,1.15*X2105),IF(BB2105&lt;1.15,AL2105,1.15*Y2105),IF(BC2105&lt;1.15,AM2105,1.15*Z2105),IF(BD2105&lt;1.15,AN2105,1.15*AA2105),IF(BE2105&lt;1.15,AO2105,1.15*AB2105),IF(BF2105&lt;1.15,AP2105,1.15*AC2105),IF(BG2105&lt;1.15,AQ2105,1.15*AD2105),IF(BH2105&lt;1.15,AR2105,1.15*AE2105))</f>
        <v>0</v>
      </c>
      <c r="AU2105" s="97">
        <f>SUM(AG2105:AR2105)</f>
        <v>0</v>
      </c>
      <c r="AW2105" s="51">
        <f>IFERROR(IF(AG2105="",0,AG2105/T2105),0)</f>
        <v>0</v>
      </c>
      <c r="AX2105" s="51">
        <f>IFERROR(IF(AH2105="",0,AH2105/U2105),0)</f>
        <v>0</v>
      </c>
      <c r="AY2105" s="51">
        <f>IFERROR(IF(AI2105="",0,AI2105/V2105),0)</f>
        <v>0</v>
      </c>
      <c r="AZ2105" s="51">
        <f>IFERROR(IF(AJ2105="",0,AJ2105/W2105),0)</f>
        <v>0</v>
      </c>
      <c r="BA2105" s="51"/>
      <c r="BB2105" s="51"/>
      <c r="BC2105" s="51"/>
      <c r="BD2105" s="51"/>
      <c r="BE2105" s="51"/>
      <c r="BF2105" s="51"/>
      <c r="BG2105" s="51"/>
      <c r="BH2105" s="51"/>
      <c r="BI2105" s="65" cm="1">
        <f t="array" ref="BI2105">IFERROR(INDEX(AW2105:BH2105,1,MATCH(2,1/(AW2105:BH2105&lt;&gt;""))),"")</f>
        <v>0</v>
      </c>
      <c r="BJ2105" s="68" cm="1">
        <f t="array" ref="BJ2105">IF(BM2105 = "", "",IFERROR(INDEX(AW2105:BH2105,1,MATCH(2,1/(AW2105:BH2105&lt;&gt;""),1)-1),""))</f>
        <v>0</v>
      </c>
      <c r="BK2105" s="58">
        <f>IF((IF(AW2105&gt;=115%,115%,AW2105) + IF(AX2105&gt;=115%,115%,AX2105) + IF(AY2105&gt;=115%,115%,AY2105) + (IF(AZ2105&gt;=115%,115%,AZ2105) + IF(BA2105&gt;=200%,200%,BA2105) + IF(BB2105&gt;=200%,200%,BB2105) + IF(BC2105&gt;=161%,161%,BC2105) + IF(BD2105&gt;=115%,115%,BD2105) + IF(BE2105&gt;=115%,115%,BE2105) + IF(BF2105&gt;=115%,115%,BF2105) + IF(BG2105&gt;=115%,115%,BG2105) + IF(BH2105&gt;=115%,115%,BH2105)))/_xlfn.XLOOKUP(F2105,Apuração!A:A,Apuração!B:B)&gt;=1.15,1.15,((IF(AZ2105&gt;=115%,115%,AZ2105) + IF(AX2105&gt;=115%,115%,AX2105) + IF(AY2105&gt;=115%,115%,AY2105) + (IF(AW2105&gt;=115%,115%,AW2105) + IF(BA2105&gt;=200%,200%,BA2105) + IF(BB2105&gt;=200%,200%,BB2105) + IF(BC2105&gt;=161%,161%,BC2105) + IF(BD2105&gt;=115%,115%,BD2105) + IF(BE2105&gt;=115%,115%,BE2105) + IF(BF2105&gt;=115%,115%,BF2105) + IF(BG2105&gt;=115%,115%,BG2105) + IF(BH2105&gt;=115%,115%,BH2105)))/_xlfn.XLOOKUP(F2105,Apuração!A:A,Apuração!B:B)))</f>
        <v>0</v>
      </c>
      <c r="BL2105" s="58" cm="1">
        <f t="array" aca="1" ref="BL2105" ca="1">IF(SUM(IFERROR(IF(INDEX(AW2105:INDEX(AW2105:BH2105, MATCH(2, 1/(AW2105:BH2105&lt;&gt;""), 1)-1), ROW(INDIRECT("1:" &amp; MATCH(2, 1/(AW2105:BH2105&lt;&gt;""), 1)-1))) &gt;= 115%, 115%, INDEX(AW2105:INDEX(AW2105:BH2105, MATCH(2, 1/(AW2105:BH2105&lt;&gt;""), 1)-1), ROW(INDIRECT("1:" &amp; MATCH(2, 1/(AW2105:BH2105&lt;&gt;""), 1)-1)))), 0))/_xlfn.XLOOKUP(F2105,Apuração!A:A,Apuração!B:B)&gt;=1.15,1.15,SUM(IFERROR(IF(INDEX(AW2105:INDEX(AW2105:BH2105, MATCH(2, 1/(AW2105:BH2105&lt;&gt;""), 1)-1), ROW(INDIRECT("1:" &amp; MATCH(2, 1/(AW2105:BH2105&lt;&gt;""), 1)-1))) &gt;= 115%, 115%, INDEX(AW2105:INDEX(AW2105:BH2105, MATCH(2, 1/(AW2105:BH2105&lt;&gt;""), 1)-1), ROW(INDIRECT("1:" &amp; MATCH(2, 1/(AW2105:BH2105&lt;&gt;""), 1)-1)))), 0))/_xlfn.XLOOKUP(F2105,Apuração!A:A,Apuração!B:B))</f>
        <v>0</v>
      </c>
      <c r="BM2105" s="55" cm="1">
        <f t="array" ref="BM2105">IFERROR(
   INDEX($AW$1:$BH$1,
      _xlfn.AGGREGATE(14, 6, COLUMN($AW$1:$BH$1)/(AW2105:BH2105&lt;&gt;""), 2) - COLUMN($AW$1) + 1
   ),
"")</f>
        <v>46082</v>
      </c>
      <c r="BN2105" s="55" cm="1">
        <f t="array" ref="BN2105">IFERROR(INDEX($AW$1:$BH$1,1,MATCH(2,1/(AW2105:BH2105&lt;&gt;""))),"")</f>
        <v>46113</v>
      </c>
      <c r="BO2105" s="53">
        <f ca="1">IFERROR(_xlfn.XLOOKUP(F2105,Apuração!A:A,Apuração!C:C)/_xlfn.XLOOKUP(F2105,Apuração!A:A,Apuração!B:B),0)</f>
        <v>0</v>
      </c>
      <c r="BP2105" s="53">
        <f ca="1">IFERROR(_xlfn.XLOOKUP(F2105,Apuração!A:A,Apuração!D:D)/_xlfn.XLOOKUP(F2105,Apuração!A:A,Apuração!B:B),0)</f>
        <v>0</v>
      </c>
      <c r="BQ2105" s="53">
        <f ca="1">IF(BK2105&gt;=BO2105,0,_xlfn.XLOOKUP(F2105,Apuração!A:A,Apuração!B:B)*(BO2105 + (1/_xlfn.XLOOKUP(F2105,Apuração!A:A,Apuração!B:B)) - BK2105))</f>
        <v>0</v>
      </c>
      <c r="BR2105" s="85">
        <f ca="1">IF(BQ2105=0,0,BQ2105*Z2105)</f>
        <v>0</v>
      </c>
      <c r="BS2105" s="53">
        <f ca="1">IFERROR((_xlfn.XLOOKUP(F2105,Apuração!A:A,Apuração!C:C)+1)/_xlfn.XLOOKUP(F2105,Apuração!A:A,Apuração!B:B),0)</f>
        <v>0.14285714285714285</v>
      </c>
    </row>
    <row r="2106" spans="1:71" ht="25.95" hidden="1" customHeight="1" x14ac:dyDescent="0.3">
      <c r="A2106" s="23" t="s">
        <v>134</v>
      </c>
      <c r="B2106" s="4" t="s">
        <v>135</v>
      </c>
      <c r="C2106" s="5" t="s">
        <v>216</v>
      </c>
      <c r="D2106" s="5" t="s">
        <v>217</v>
      </c>
      <c r="E2106" s="4" t="s">
        <v>61</v>
      </c>
      <c r="F2106" s="4" t="str" cm="1">
        <f t="array" ref="F2106">_xlfn.IFS(
AG2106 &lt;&gt; "", "Jan-Dez/26",
AH2106 &lt;&gt; "", "Fev-Dez/26",
AI2106 &lt;&gt; "", "Mar-Dez/26", AJ2106 &lt;&gt; "", "Abr-Dez/26",
TRUE, "A partir de Junho"
)</f>
        <v>A partir de Junho</v>
      </c>
      <c r="G2106" s="4" t="s">
        <v>62</v>
      </c>
      <c r="H2106" s="7" t="s">
        <v>38</v>
      </c>
      <c r="I2106" s="8" t="s">
        <v>136</v>
      </c>
      <c r="J2106" s="8" t="str" cm="1">
        <f t="array" aca="1" ref="J2106" ca="1">_xlfn.LET(
  _xlpm.actual_value_month, INDEX(T2106:AE2106, MATCH(DATE(YEAR(TODAY()), MONTH(TODAY()), 1), $T$1:$AE$1, 0)),
  IF(_xlpm.actual_value_month &lt;&gt; "",_xlpm.actual_value_month &amp; " equipes mensais", "")
)</f>
        <v>123 equipes mensais</v>
      </c>
      <c r="K2106" s="8" t="str" cm="1">
        <f t="array" ref="K2106">_xlfn.LET(
    _xlpm.sum_month, SUM(T2106:AE2106),
    IF(_xlpm.sum_month = 0, "", _xlpm.sum_month &amp; " alcançadas no ano")
)</f>
        <v>1107 alcançadas no ano</v>
      </c>
      <c r="L2106" s="9" t="s">
        <v>137</v>
      </c>
      <c r="M2106" s="24" t="s">
        <v>138</v>
      </c>
      <c r="N2106" s="5" t="s">
        <v>42</v>
      </c>
      <c r="O2106" s="5" t="s">
        <v>43</v>
      </c>
      <c r="P2106" s="10" t="s">
        <v>44</v>
      </c>
      <c r="Q2106" s="10" t="s">
        <v>44</v>
      </c>
      <c r="R2106" s="11" t="s">
        <v>66</v>
      </c>
      <c r="S2106" s="11" t="s">
        <v>67</v>
      </c>
      <c r="T2106" s="22"/>
      <c r="U2106" s="22"/>
      <c r="V2106" s="22"/>
      <c r="W2106" s="143">
        <v>123</v>
      </c>
      <c r="X2106" s="143">
        <v>123</v>
      </c>
      <c r="Y2106" s="143">
        <v>123</v>
      </c>
      <c r="Z2106" s="143">
        <v>123</v>
      </c>
      <c r="AA2106" s="143">
        <v>123</v>
      </c>
      <c r="AB2106" s="143">
        <v>123</v>
      </c>
      <c r="AC2106" s="143">
        <v>123</v>
      </c>
      <c r="AD2106" s="143">
        <v>123</v>
      </c>
      <c r="AE2106" s="143">
        <v>123</v>
      </c>
      <c r="AG2106" s="71"/>
      <c r="AH2106" s="71"/>
      <c r="AI2106" s="71"/>
      <c r="AJ2106" s="71"/>
      <c r="AK2106" s="71"/>
      <c r="AL2106" s="71"/>
      <c r="AM2106" s="71"/>
      <c r="AN2106" s="71"/>
      <c r="AO2106" s="71"/>
      <c r="AP2106" s="71"/>
      <c r="AQ2106" s="71"/>
      <c r="AR2106" s="71"/>
      <c r="AS2106" s="94">
        <f t="shared" ref="AS2106:AS2109" ca="1" si="2470">IF(MONTH(TODAY())=3,SUM(T2106:U2106),IF(MONTH(TODAY())=4,SUM(T2106:V2106),IF(MONTH(TODAY())=5,SUM(T2106:W2106),IF(MONTH(TODAY())=6,SUM(T2106:X2106),IF(MONTH(TODAY())=7,SUM(T2106:Y2106),IF(MONTH(TODAY())=8,SUM(T2106:Z2106),IF(MONTH(TODAY())=9,SUM(T2106:AA2106),IF(MONTH(TODAY())=10,SUM(T2106:AB2106),IF(MONTH(TODAY())=11,SUM(T2106:AC2106),IF(MONTH(TODAY())=12,SUM(T2106:AD2106),IF(MONTH(TODAY())=1,SUM(T2106:AE2106),T2106)))))))))))</f>
        <v>246</v>
      </c>
      <c r="AT2106" s="95">
        <f t="shared" ref="AT2106:AT2109" si="2471">SUM(IF(AW2106&lt;1.15,AG2106,1.15*T2106),IF(AX2106&lt;1.15,AH2106,1.15*U2106),IF(AY2106&lt;1.15,AI2106,1.15*V2106),IF(AZ2106&lt;1.15,AJ2106,1.15*W2106),IF(BA2106&lt;1.15,AK2106,1.15*X2106),IF(BB2106&lt;1.15,AL2106,1.15*Y2106),IF(BC2106&lt;1.15,AM2106,1.15*Z2106),IF(BD2106&lt;1.15,AN2106,1.15*AA2106),IF(BE2106&lt;1.15,AO2106,1.15*AB2106),IF(BF2106&lt;1.15,AP2106,1.15*AC2106),IF(BG2106&lt;1.15,AQ2106,1.15*AD2106),IF(BH2106&lt;1.15,AR2106,1.15*AE2106))</f>
        <v>0</v>
      </c>
      <c r="AU2106" s="97">
        <f t="shared" ref="AU2106:AU2109" si="2472">SUM(AG2106:AR2106)</f>
        <v>0</v>
      </c>
      <c r="AW2106" s="51">
        <f t="shared" ref="AW2106:AW2109" si="2473">IFERROR(IF(AG2106="",0,AG2106/T2106),0)</f>
        <v>0</v>
      </c>
      <c r="AX2106" s="51">
        <f t="shared" ref="AX2106:AX2109" si="2474">IFERROR(IF(AH2106="",0,AH2106/U2106),0)</f>
        <v>0</v>
      </c>
      <c r="AY2106" s="51">
        <f t="shared" ref="AY2106:AY2109" si="2475">IFERROR(IF(AI2106="",0,AI2106/V2106),0)</f>
        <v>0</v>
      </c>
      <c r="AZ2106" s="51">
        <f t="shared" ref="AZ2106:AZ2109" si="2476">IFERROR(IF(AJ2106="",0,AJ2106/W2106),0)</f>
        <v>0</v>
      </c>
      <c r="BA2106" s="51"/>
      <c r="BB2106" s="51"/>
      <c r="BC2106" s="51"/>
      <c r="BD2106" s="51"/>
      <c r="BE2106" s="51"/>
      <c r="BF2106" s="51"/>
      <c r="BG2106" s="51"/>
      <c r="BH2106" s="51"/>
      <c r="BI2106" s="65" cm="1">
        <f t="array" ref="BI2106">IFERROR(INDEX(AW2106:BH2106,1,MATCH(2,1/(AW2106:BH2106&lt;&gt;""))),"")</f>
        <v>0</v>
      </c>
      <c r="BJ2106" s="68" cm="1">
        <f t="array" ref="BJ2106">IF(BM2106 = "", "",IFERROR(INDEX(AW2106:BH2106,1,MATCH(2,1/(AW2106:BH2106&lt;&gt;""),1)-1),""))</f>
        <v>0</v>
      </c>
      <c r="BK2106" s="58">
        <f>IF((IF(AW2106&gt;=115%,115%,AW2106) + IF(AX2106&gt;=115%,115%,AX2106) + IF(AY2106&gt;=115%,115%,AY2106) + (IF(AZ2106&gt;=115%,115%,AZ2106) + IF(BA2106&gt;=200%,200%,BA2106) + IF(BB2106&gt;=200%,200%,BB2106) + IF(BC2106&gt;=161%,161%,BC2106) + IF(BD2106&gt;=115%,115%,BD2106) + IF(BE2106&gt;=115%,115%,BE2106) + IF(BF2106&gt;=115%,115%,BF2106) + IF(BG2106&gt;=115%,115%,BG2106) + IF(BH2106&gt;=115%,115%,BH2106)))/_xlfn.XLOOKUP(F2106,Apuração!A:A,Apuração!B:B)&gt;=1.15,1.15,((IF(AZ2106&gt;=115%,115%,AZ2106) + IF(AX2106&gt;=115%,115%,AX2106) + IF(AY2106&gt;=115%,115%,AY2106) + (IF(AW2106&gt;=115%,115%,AW2106) + IF(BA2106&gt;=200%,200%,BA2106) + IF(BB2106&gt;=200%,200%,BB2106) + IF(BC2106&gt;=161%,161%,BC2106) + IF(BD2106&gt;=115%,115%,BD2106) + IF(BE2106&gt;=115%,115%,BE2106) + IF(BF2106&gt;=115%,115%,BF2106) + IF(BG2106&gt;=115%,115%,BG2106) + IF(BH2106&gt;=115%,115%,BH2106)))/_xlfn.XLOOKUP(F2106,Apuração!A:A,Apuração!B:B)))</f>
        <v>0</v>
      </c>
      <c r="BL2106" s="58" cm="1">
        <f t="array" aca="1" ref="BL2106" ca="1">IF(SUM(IFERROR(IF(INDEX(AW2106:INDEX(AW2106:BH2106, MATCH(2, 1/(AW2106:BH2106&lt;&gt;""), 1)-1), ROW(INDIRECT("1:" &amp; MATCH(2, 1/(AW2106:BH2106&lt;&gt;""), 1)-1))) &gt;= 115%, 115%, INDEX(AW2106:INDEX(AW2106:BH2106, MATCH(2, 1/(AW2106:BH2106&lt;&gt;""), 1)-1), ROW(INDIRECT("1:" &amp; MATCH(2, 1/(AW2106:BH2106&lt;&gt;""), 1)-1)))), 0))/_xlfn.XLOOKUP(F2106,Apuração!A:A,Apuração!B:B)&gt;=1.15,1.15,SUM(IFERROR(IF(INDEX(AW2106:INDEX(AW2106:BH2106, MATCH(2, 1/(AW2106:BH2106&lt;&gt;""), 1)-1), ROW(INDIRECT("1:" &amp; MATCH(2, 1/(AW2106:BH2106&lt;&gt;""), 1)-1))) &gt;= 115%, 115%, INDEX(AW2106:INDEX(AW2106:BH2106, MATCH(2, 1/(AW2106:BH2106&lt;&gt;""), 1)-1), ROW(INDIRECT("1:" &amp; MATCH(2, 1/(AW2106:BH2106&lt;&gt;""), 1)-1)))), 0))/_xlfn.XLOOKUP(F2106,Apuração!A:A,Apuração!B:B))</f>
        <v>0</v>
      </c>
      <c r="BM2106" s="55" cm="1">
        <f t="array" ref="BM2106">IFERROR(
   INDEX($AW$1:$BH$1,
      _xlfn.AGGREGATE(14, 6, COLUMN($AW$1:$BH$1)/(AW2106:BH2106&lt;&gt;""), 2) - COLUMN($AW$1) + 1
   ),
"")</f>
        <v>46082</v>
      </c>
      <c r="BN2106" s="55" cm="1">
        <f t="array" ref="BN2106">IFERROR(INDEX($AW$1:$BH$1,1,MATCH(2,1/(AW2106:BH2106&lt;&gt;""))),"")</f>
        <v>46113</v>
      </c>
      <c r="BO2106" s="53">
        <f ca="1">IFERROR(_xlfn.XLOOKUP(F2106,Apuração!A:A,Apuração!C:C)/_xlfn.XLOOKUP(F2106,Apuração!A:A,Apuração!B:B),0)</f>
        <v>0</v>
      </c>
      <c r="BP2106" s="53">
        <f ca="1">IFERROR(_xlfn.XLOOKUP(F2106,Apuração!A:A,Apuração!D:D)/_xlfn.XLOOKUP(F2106,Apuração!A:A,Apuração!B:B),0)</f>
        <v>0</v>
      </c>
      <c r="BQ2106" s="53">
        <f ca="1">IF(BK2106&gt;=BO2106,0,_xlfn.XLOOKUP(F2106,Apuração!A:A,Apuração!B:B)*(BO2106 + (1/_xlfn.XLOOKUP(F2106,Apuração!A:A,Apuração!B:B)) - BK2106))</f>
        <v>0</v>
      </c>
      <c r="BR2106" s="85">
        <f t="shared" ref="BR2106:BR2109" ca="1" si="2477">IF(BQ2106=0,0,BQ2106*Z2106)</f>
        <v>0</v>
      </c>
      <c r="BS2106" s="53">
        <f ca="1">IFERROR((_xlfn.XLOOKUP(F2106,Apuração!A:A,Apuração!C:C)+1)/_xlfn.XLOOKUP(F2106,Apuração!A:A,Apuração!B:B),0)</f>
        <v>0.14285714285714285</v>
      </c>
    </row>
    <row r="2107" spans="1:71" ht="25.95" hidden="1" customHeight="1" x14ac:dyDescent="0.3">
      <c r="A2107" s="23" t="s">
        <v>134</v>
      </c>
      <c r="B2107" s="4" t="s">
        <v>135</v>
      </c>
      <c r="C2107" s="5" t="s">
        <v>216</v>
      </c>
      <c r="D2107" s="5" t="s">
        <v>103</v>
      </c>
      <c r="E2107" s="4" t="s">
        <v>61</v>
      </c>
      <c r="F2107" s="4" t="str" cm="1">
        <f t="array" ref="F2107">_xlfn.IFS(
AG2107 &lt;&gt; "", "Jan-Dez/26",
AH2107 &lt;&gt; "", "Fev-Dez/26",
AI2107 &lt;&gt; "", "Mar-Dez/26", AJ2107 &lt;&gt; "", "Abr-Dez/26",
TRUE, "A partir de Junho"
)</f>
        <v>A partir de Junho</v>
      </c>
      <c r="G2107" s="4" t="s">
        <v>62</v>
      </c>
      <c r="H2107" s="7" t="s">
        <v>38</v>
      </c>
      <c r="I2107" s="8" t="s">
        <v>136</v>
      </c>
      <c r="J2107" s="8" t="str" cm="1">
        <f t="array" aca="1" ref="J2107" ca="1">_xlfn.LET(
  _xlpm.actual_value_month, INDEX(T2107:AE2107, MATCH(DATE(YEAR(TODAY()), MONTH(TODAY()), 1), $T$1:$AE$1, 0)),
  IF(_xlpm.actual_value_month &lt;&gt; "",_xlpm.actual_value_month &amp; " equipes mensais", "")
)</f>
        <v>129 equipes mensais</v>
      </c>
      <c r="K2107" s="8" t="str" cm="1">
        <f t="array" ref="K2107">_xlfn.LET(
    _xlpm.sum_month, SUM(T2107:AE2107),
    IF(_xlpm.sum_month = 0, "", _xlpm.sum_month &amp; " alcançadas no ano")
)</f>
        <v>1161 alcançadas no ano</v>
      </c>
      <c r="L2107" s="9" t="s">
        <v>137</v>
      </c>
      <c r="M2107" s="24" t="s">
        <v>138</v>
      </c>
      <c r="N2107" s="5" t="s">
        <v>42</v>
      </c>
      <c r="O2107" s="5" t="s">
        <v>43</v>
      </c>
      <c r="P2107" s="10" t="s">
        <v>44</v>
      </c>
      <c r="Q2107" s="10" t="s">
        <v>44</v>
      </c>
      <c r="R2107" s="11" t="s">
        <v>66</v>
      </c>
      <c r="S2107" s="11" t="s">
        <v>67</v>
      </c>
      <c r="T2107" s="22"/>
      <c r="U2107" s="22"/>
      <c r="V2107" s="22"/>
      <c r="W2107" s="143">
        <v>129</v>
      </c>
      <c r="X2107" s="143">
        <v>129</v>
      </c>
      <c r="Y2107" s="143">
        <v>129</v>
      </c>
      <c r="Z2107" s="143">
        <v>129</v>
      </c>
      <c r="AA2107" s="143">
        <v>129</v>
      </c>
      <c r="AB2107" s="143">
        <v>129</v>
      </c>
      <c r="AC2107" s="143">
        <v>129</v>
      </c>
      <c r="AD2107" s="143">
        <v>129</v>
      </c>
      <c r="AE2107" s="143">
        <v>129</v>
      </c>
      <c r="AG2107" s="71"/>
      <c r="AH2107" s="71"/>
      <c r="AI2107" s="71"/>
      <c r="AJ2107" s="71"/>
      <c r="AK2107" s="71"/>
      <c r="AL2107" s="71"/>
      <c r="AM2107" s="71"/>
      <c r="AN2107" s="71"/>
      <c r="AO2107" s="71"/>
      <c r="AP2107" s="71"/>
      <c r="AQ2107" s="71"/>
      <c r="AR2107" s="71"/>
      <c r="AS2107" s="94">
        <f t="shared" ca="1" si="2470"/>
        <v>258</v>
      </c>
      <c r="AT2107" s="95">
        <f t="shared" si="2471"/>
        <v>0</v>
      </c>
      <c r="AU2107" s="97">
        <f t="shared" si="2472"/>
        <v>0</v>
      </c>
      <c r="AW2107" s="51">
        <f t="shared" si="2473"/>
        <v>0</v>
      </c>
      <c r="AX2107" s="51">
        <f t="shared" si="2474"/>
        <v>0</v>
      </c>
      <c r="AY2107" s="51">
        <f t="shared" si="2475"/>
        <v>0</v>
      </c>
      <c r="AZ2107" s="51">
        <f t="shared" si="2476"/>
        <v>0</v>
      </c>
      <c r="BA2107" s="51"/>
      <c r="BB2107" s="51"/>
      <c r="BC2107" s="51"/>
      <c r="BD2107" s="51"/>
      <c r="BE2107" s="51"/>
      <c r="BF2107" s="51"/>
      <c r="BG2107" s="51"/>
      <c r="BH2107" s="51"/>
      <c r="BI2107" s="65" cm="1">
        <f t="array" ref="BI2107">IFERROR(INDEX(AW2107:BH2107,1,MATCH(2,1/(AW2107:BH2107&lt;&gt;""))),"")</f>
        <v>0</v>
      </c>
      <c r="BJ2107" s="68" cm="1">
        <f t="array" ref="BJ2107">IF(BM2107 = "", "",IFERROR(INDEX(AW2107:BH2107,1,MATCH(2,1/(AW2107:BH2107&lt;&gt;""),1)-1),""))</f>
        <v>0</v>
      </c>
      <c r="BK2107" s="58">
        <f>IF((IF(AW2107&gt;=115%,115%,AW2107) + IF(AX2107&gt;=115%,115%,AX2107) + IF(AY2107&gt;=115%,115%,AY2107) + (IF(AZ2107&gt;=115%,115%,AZ2107) + IF(BA2107&gt;=200%,200%,BA2107) + IF(BB2107&gt;=200%,200%,BB2107) + IF(BC2107&gt;=161%,161%,BC2107) + IF(BD2107&gt;=115%,115%,BD2107) + IF(BE2107&gt;=115%,115%,BE2107) + IF(BF2107&gt;=115%,115%,BF2107) + IF(BG2107&gt;=115%,115%,BG2107) + IF(BH2107&gt;=115%,115%,BH2107)))/_xlfn.XLOOKUP(F2107,Apuração!A:A,Apuração!B:B)&gt;=1.15,1.15,((IF(AZ2107&gt;=115%,115%,AZ2107) + IF(AX2107&gt;=115%,115%,AX2107) + IF(AY2107&gt;=115%,115%,AY2107) + (IF(AW2107&gt;=115%,115%,AW2107) + IF(BA2107&gt;=200%,200%,BA2107) + IF(BB2107&gt;=200%,200%,BB2107) + IF(BC2107&gt;=161%,161%,BC2107) + IF(BD2107&gt;=115%,115%,BD2107) + IF(BE2107&gt;=115%,115%,BE2107) + IF(BF2107&gt;=115%,115%,BF2107) + IF(BG2107&gt;=115%,115%,BG2107) + IF(BH2107&gt;=115%,115%,BH2107)))/_xlfn.XLOOKUP(F2107,Apuração!A:A,Apuração!B:B)))</f>
        <v>0</v>
      </c>
      <c r="BL2107" s="58" cm="1">
        <f t="array" aca="1" ref="BL2107" ca="1">IF(SUM(IFERROR(IF(INDEX(AW2107:INDEX(AW2107:BH2107, MATCH(2, 1/(AW2107:BH2107&lt;&gt;""), 1)-1), ROW(INDIRECT("1:" &amp; MATCH(2, 1/(AW2107:BH2107&lt;&gt;""), 1)-1))) &gt;= 115%, 115%, INDEX(AW2107:INDEX(AW2107:BH2107, MATCH(2, 1/(AW2107:BH2107&lt;&gt;""), 1)-1), ROW(INDIRECT("1:" &amp; MATCH(2, 1/(AW2107:BH2107&lt;&gt;""), 1)-1)))), 0))/_xlfn.XLOOKUP(F2107,Apuração!A:A,Apuração!B:B)&gt;=1.15,1.15,SUM(IFERROR(IF(INDEX(AW2107:INDEX(AW2107:BH2107, MATCH(2, 1/(AW2107:BH2107&lt;&gt;""), 1)-1), ROW(INDIRECT("1:" &amp; MATCH(2, 1/(AW2107:BH2107&lt;&gt;""), 1)-1))) &gt;= 115%, 115%, INDEX(AW2107:INDEX(AW2107:BH2107, MATCH(2, 1/(AW2107:BH2107&lt;&gt;""), 1)-1), ROW(INDIRECT("1:" &amp; MATCH(2, 1/(AW2107:BH2107&lt;&gt;""), 1)-1)))), 0))/_xlfn.XLOOKUP(F2107,Apuração!A:A,Apuração!B:B))</f>
        <v>0</v>
      </c>
      <c r="BM2107" s="55" cm="1">
        <f t="array" ref="BM2107">IFERROR(
   INDEX($AW$1:$BH$1,
      _xlfn.AGGREGATE(14, 6, COLUMN($AW$1:$BH$1)/(AW2107:BH2107&lt;&gt;""), 2) - COLUMN($AW$1) + 1
   ),
"")</f>
        <v>46082</v>
      </c>
      <c r="BN2107" s="55" cm="1">
        <f t="array" ref="BN2107">IFERROR(INDEX($AW$1:$BH$1,1,MATCH(2,1/(AW2107:BH2107&lt;&gt;""))),"")</f>
        <v>46113</v>
      </c>
      <c r="BO2107" s="53">
        <f ca="1">IFERROR(_xlfn.XLOOKUP(F2107,Apuração!A:A,Apuração!C:C)/_xlfn.XLOOKUP(F2107,Apuração!A:A,Apuração!B:B),0)</f>
        <v>0</v>
      </c>
      <c r="BP2107" s="53">
        <f ca="1">IFERROR(_xlfn.XLOOKUP(F2107,Apuração!A:A,Apuração!D:D)/_xlfn.XLOOKUP(F2107,Apuração!A:A,Apuração!B:B),0)</f>
        <v>0</v>
      </c>
      <c r="BQ2107" s="53">
        <f ca="1">IF(BK2107&gt;=BO2107,0,_xlfn.XLOOKUP(F2107,Apuração!A:A,Apuração!B:B)*(BO2107 + (1/_xlfn.XLOOKUP(F2107,Apuração!A:A,Apuração!B:B)) - BK2107))</f>
        <v>0</v>
      </c>
      <c r="BR2107" s="85">
        <f t="shared" ca="1" si="2477"/>
        <v>0</v>
      </c>
      <c r="BS2107" s="53">
        <f ca="1">IFERROR((_xlfn.XLOOKUP(F2107,Apuração!A:A,Apuração!C:C)+1)/_xlfn.XLOOKUP(F2107,Apuração!A:A,Apuração!B:B),0)</f>
        <v>0.14285714285714285</v>
      </c>
    </row>
    <row r="2108" spans="1:71" ht="25.95" hidden="1" customHeight="1" x14ac:dyDescent="0.3">
      <c r="A2108" s="23" t="s">
        <v>134</v>
      </c>
      <c r="B2108" s="4" t="s">
        <v>135</v>
      </c>
      <c r="C2108" s="5" t="s">
        <v>216</v>
      </c>
      <c r="D2108" s="5" t="s">
        <v>218</v>
      </c>
      <c r="E2108" s="4" t="s">
        <v>61</v>
      </c>
      <c r="F2108" s="4" t="str" cm="1">
        <f t="array" ref="F2108">_xlfn.IFS(
AG2108 &lt;&gt; "", "Jan-Dez/26",
AH2108 &lt;&gt; "", "Fev-Dez/26",
AI2108 &lt;&gt; "", "Mar-Dez/26", AJ2108 &lt;&gt; "", "Abr-Dez/26",
TRUE, "A partir de Junho"
)</f>
        <v>A partir de Junho</v>
      </c>
      <c r="G2108" s="4" t="s">
        <v>62</v>
      </c>
      <c r="H2108" s="7" t="s">
        <v>38</v>
      </c>
      <c r="I2108" s="8" t="s">
        <v>136</v>
      </c>
      <c r="J2108" s="8" t="str" cm="1">
        <f t="array" aca="1" ref="J2108" ca="1">_xlfn.LET(
  _xlpm.actual_value_month, INDEX(T2108:AE2108, MATCH(DATE(YEAR(TODAY()), MONTH(TODAY()), 1), $T$1:$AE$1, 0)),
  IF(_xlpm.actual_value_month &lt;&gt; "",_xlpm.actual_value_month &amp; " equipes mensais", "")
)</f>
        <v>271 equipes mensais</v>
      </c>
      <c r="K2108" s="8" t="str" cm="1">
        <f t="array" ref="K2108">_xlfn.LET(
    _xlpm.sum_month, SUM(T2108:AE2108),
    IF(_xlpm.sum_month = 0, "", _xlpm.sum_month &amp; " alcançadas no ano")
)</f>
        <v>2439 alcançadas no ano</v>
      </c>
      <c r="L2108" s="9" t="s">
        <v>137</v>
      </c>
      <c r="M2108" s="24" t="s">
        <v>138</v>
      </c>
      <c r="N2108" s="5" t="s">
        <v>42</v>
      </c>
      <c r="O2108" s="5" t="s">
        <v>43</v>
      </c>
      <c r="P2108" s="10" t="s">
        <v>44</v>
      </c>
      <c r="Q2108" s="10" t="s">
        <v>44</v>
      </c>
      <c r="R2108" s="11" t="s">
        <v>66</v>
      </c>
      <c r="S2108" s="11" t="s">
        <v>67</v>
      </c>
      <c r="T2108" s="22"/>
      <c r="U2108" s="22"/>
      <c r="V2108" s="22"/>
      <c r="W2108" s="143">
        <v>271</v>
      </c>
      <c r="X2108" s="143">
        <v>271</v>
      </c>
      <c r="Y2108" s="143">
        <v>271</v>
      </c>
      <c r="Z2108" s="143">
        <v>271</v>
      </c>
      <c r="AA2108" s="143">
        <v>271</v>
      </c>
      <c r="AB2108" s="143">
        <v>271</v>
      </c>
      <c r="AC2108" s="143">
        <v>271</v>
      </c>
      <c r="AD2108" s="143">
        <v>271</v>
      </c>
      <c r="AE2108" s="143">
        <v>271</v>
      </c>
      <c r="AG2108" s="71"/>
      <c r="AH2108" s="71"/>
      <c r="AI2108" s="71"/>
      <c r="AJ2108" s="71"/>
      <c r="AK2108" s="71"/>
      <c r="AL2108" s="71"/>
      <c r="AM2108" s="71"/>
      <c r="AN2108" s="71"/>
      <c r="AO2108" s="71"/>
      <c r="AP2108" s="71"/>
      <c r="AQ2108" s="71"/>
      <c r="AR2108" s="71"/>
      <c r="AS2108" s="94">
        <f t="shared" ca="1" si="2470"/>
        <v>542</v>
      </c>
      <c r="AT2108" s="95">
        <f t="shared" si="2471"/>
        <v>0</v>
      </c>
      <c r="AU2108" s="97">
        <f t="shared" si="2472"/>
        <v>0</v>
      </c>
      <c r="AW2108" s="51">
        <f t="shared" si="2473"/>
        <v>0</v>
      </c>
      <c r="AX2108" s="51">
        <f t="shared" si="2474"/>
        <v>0</v>
      </c>
      <c r="AY2108" s="51">
        <f t="shared" si="2475"/>
        <v>0</v>
      </c>
      <c r="AZ2108" s="51">
        <f t="shared" si="2476"/>
        <v>0</v>
      </c>
      <c r="BA2108" s="51"/>
      <c r="BB2108" s="51"/>
      <c r="BC2108" s="51"/>
      <c r="BD2108" s="51"/>
      <c r="BE2108" s="51"/>
      <c r="BF2108" s="51"/>
      <c r="BG2108" s="51"/>
      <c r="BH2108" s="51"/>
      <c r="BI2108" s="65" cm="1">
        <f t="array" ref="BI2108">IFERROR(INDEX(AW2108:BH2108,1,MATCH(2,1/(AW2108:BH2108&lt;&gt;""))),"")</f>
        <v>0</v>
      </c>
      <c r="BJ2108" s="68" cm="1">
        <f t="array" ref="BJ2108">IF(BM2108 = "", "",IFERROR(INDEX(AW2108:BH2108,1,MATCH(2,1/(AW2108:BH2108&lt;&gt;""),1)-1),""))</f>
        <v>0</v>
      </c>
      <c r="BK2108" s="58">
        <f>IF((IF(AW2108&gt;=115%,115%,AW2108) + IF(AX2108&gt;=115%,115%,AX2108) + IF(AY2108&gt;=115%,115%,AY2108) + (IF(AZ2108&gt;=115%,115%,AZ2108) + IF(BA2108&gt;=200%,200%,BA2108) + IF(BB2108&gt;=200%,200%,BB2108) + IF(BC2108&gt;=161%,161%,BC2108) + IF(BD2108&gt;=115%,115%,BD2108) + IF(BE2108&gt;=115%,115%,BE2108) + IF(BF2108&gt;=115%,115%,BF2108) + IF(BG2108&gt;=115%,115%,BG2108) + IF(BH2108&gt;=115%,115%,BH2108)))/_xlfn.XLOOKUP(F2108,Apuração!A:A,Apuração!B:B)&gt;=1.15,1.15,((IF(AZ2108&gt;=115%,115%,AZ2108) + IF(AX2108&gt;=115%,115%,AX2108) + IF(AY2108&gt;=115%,115%,AY2108) + (IF(AW2108&gt;=115%,115%,AW2108) + IF(BA2108&gt;=200%,200%,BA2108) + IF(BB2108&gt;=200%,200%,BB2108) + IF(BC2108&gt;=161%,161%,BC2108) + IF(BD2108&gt;=115%,115%,BD2108) + IF(BE2108&gt;=115%,115%,BE2108) + IF(BF2108&gt;=115%,115%,BF2108) + IF(BG2108&gt;=115%,115%,BG2108) + IF(BH2108&gt;=115%,115%,BH2108)))/_xlfn.XLOOKUP(F2108,Apuração!A:A,Apuração!B:B)))</f>
        <v>0</v>
      </c>
      <c r="BL2108" s="58" cm="1">
        <f t="array" aca="1" ref="BL2108" ca="1">IF(SUM(IFERROR(IF(INDEX(AW2108:INDEX(AW2108:BH2108, MATCH(2, 1/(AW2108:BH2108&lt;&gt;""), 1)-1), ROW(INDIRECT("1:" &amp; MATCH(2, 1/(AW2108:BH2108&lt;&gt;""), 1)-1))) &gt;= 115%, 115%, INDEX(AW2108:INDEX(AW2108:BH2108, MATCH(2, 1/(AW2108:BH2108&lt;&gt;""), 1)-1), ROW(INDIRECT("1:" &amp; MATCH(2, 1/(AW2108:BH2108&lt;&gt;""), 1)-1)))), 0))/_xlfn.XLOOKUP(F2108,Apuração!A:A,Apuração!B:B)&gt;=1.15,1.15,SUM(IFERROR(IF(INDEX(AW2108:INDEX(AW2108:BH2108, MATCH(2, 1/(AW2108:BH2108&lt;&gt;""), 1)-1), ROW(INDIRECT("1:" &amp; MATCH(2, 1/(AW2108:BH2108&lt;&gt;""), 1)-1))) &gt;= 115%, 115%, INDEX(AW2108:INDEX(AW2108:BH2108, MATCH(2, 1/(AW2108:BH2108&lt;&gt;""), 1)-1), ROW(INDIRECT("1:" &amp; MATCH(2, 1/(AW2108:BH2108&lt;&gt;""), 1)-1)))), 0))/_xlfn.XLOOKUP(F2108,Apuração!A:A,Apuração!B:B))</f>
        <v>0</v>
      </c>
      <c r="BM2108" s="55" cm="1">
        <f t="array" ref="BM2108">IFERROR(
   INDEX($AW$1:$BH$1,
      _xlfn.AGGREGATE(14, 6, COLUMN($AW$1:$BH$1)/(AW2108:BH2108&lt;&gt;""), 2) - COLUMN($AW$1) + 1
   ),
"")</f>
        <v>46082</v>
      </c>
      <c r="BN2108" s="55" cm="1">
        <f t="array" ref="BN2108">IFERROR(INDEX($AW$1:$BH$1,1,MATCH(2,1/(AW2108:BH2108&lt;&gt;""))),"")</f>
        <v>46113</v>
      </c>
      <c r="BO2108" s="53">
        <f ca="1">IFERROR(_xlfn.XLOOKUP(F2108,Apuração!A:A,Apuração!C:C)/_xlfn.XLOOKUP(F2108,Apuração!A:A,Apuração!B:B),0)</f>
        <v>0</v>
      </c>
      <c r="BP2108" s="53">
        <f ca="1">IFERROR(_xlfn.XLOOKUP(F2108,Apuração!A:A,Apuração!D:D)/_xlfn.XLOOKUP(F2108,Apuração!A:A,Apuração!B:B),0)</f>
        <v>0</v>
      </c>
      <c r="BQ2108" s="53">
        <f ca="1">IF(BK2108&gt;=BO2108,0,_xlfn.XLOOKUP(F2108,Apuração!A:A,Apuração!B:B)*(BO2108 + (1/_xlfn.XLOOKUP(F2108,Apuração!A:A,Apuração!B:B)) - BK2108))</f>
        <v>0</v>
      </c>
      <c r="BR2108" s="85">
        <f t="shared" ca="1" si="2477"/>
        <v>0</v>
      </c>
      <c r="BS2108" s="53">
        <f ca="1">IFERROR((_xlfn.XLOOKUP(F2108,Apuração!A:A,Apuração!C:C)+1)/_xlfn.XLOOKUP(F2108,Apuração!A:A,Apuração!B:B),0)</f>
        <v>0.14285714285714285</v>
      </c>
    </row>
    <row r="2109" spans="1:71" ht="25.95" hidden="1" customHeight="1" x14ac:dyDescent="0.3">
      <c r="A2109" s="23" t="s">
        <v>134</v>
      </c>
      <c r="B2109" s="4" t="s">
        <v>135</v>
      </c>
      <c r="C2109" s="5" t="s">
        <v>216</v>
      </c>
      <c r="D2109" s="5" t="s">
        <v>219</v>
      </c>
      <c r="E2109" s="4" t="s">
        <v>61</v>
      </c>
      <c r="F2109" s="4" t="str" cm="1">
        <f t="array" ref="F2109">_xlfn.IFS(
AG2109 &lt;&gt; "", "Jan-Dez/26",
AH2109 &lt;&gt; "", "Fev-Dez/26",
AI2109 &lt;&gt; "", "Mar-Dez/26", AJ2109 &lt;&gt; "", "Abr-Dez/26",
TRUE, "A partir de Junho"
)</f>
        <v>A partir de Junho</v>
      </c>
      <c r="G2109" s="4" t="s">
        <v>62</v>
      </c>
      <c r="H2109" s="7" t="s">
        <v>38</v>
      </c>
      <c r="I2109" s="8" t="s">
        <v>136</v>
      </c>
      <c r="J2109" s="8" t="str" cm="1">
        <f t="array" aca="1" ref="J2109" ca="1">_xlfn.LET(
  _xlpm.actual_value_month, INDEX(T2109:AE2109, MATCH(DATE(YEAR(TODAY()), MONTH(TODAY()), 1), $T$1:$AE$1, 0)),
  IF(_xlpm.actual_value_month &lt;&gt; "",_xlpm.actual_value_month &amp; " equipes mensais", "")
)</f>
        <v>105 equipes mensais</v>
      </c>
      <c r="K2109" s="8" t="str" cm="1">
        <f t="array" ref="K2109">_xlfn.LET(
    _xlpm.sum_month, SUM(T2109:AE2109),
    IF(_xlpm.sum_month = 0, "", _xlpm.sum_month &amp; " alcançadas no ano")
)</f>
        <v>945 alcançadas no ano</v>
      </c>
      <c r="L2109" s="9" t="s">
        <v>137</v>
      </c>
      <c r="M2109" s="24" t="s">
        <v>138</v>
      </c>
      <c r="N2109" s="5" t="s">
        <v>42</v>
      </c>
      <c r="O2109" s="5" t="s">
        <v>43</v>
      </c>
      <c r="P2109" s="10" t="s">
        <v>44</v>
      </c>
      <c r="Q2109" s="10" t="s">
        <v>44</v>
      </c>
      <c r="R2109" s="11" t="s">
        <v>66</v>
      </c>
      <c r="S2109" s="11" t="s">
        <v>67</v>
      </c>
      <c r="T2109" s="22"/>
      <c r="U2109" s="22"/>
      <c r="V2109" s="22"/>
      <c r="W2109" s="143">
        <v>105</v>
      </c>
      <c r="X2109" s="143">
        <v>105</v>
      </c>
      <c r="Y2109" s="143">
        <v>105</v>
      </c>
      <c r="Z2109" s="143">
        <v>105</v>
      </c>
      <c r="AA2109" s="143">
        <v>105</v>
      </c>
      <c r="AB2109" s="143">
        <v>105</v>
      </c>
      <c r="AC2109" s="143">
        <v>105</v>
      </c>
      <c r="AD2109" s="143">
        <v>105</v>
      </c>
      <c r="AE2109" s="143">
        <v>105</v>
      </c>
      <c r="AG2109" s="71"/>
      <c r="AH2109" s="71"/>
      <c r="AI2109" s="71"/>
      <c r="AJ2109" s="71"/>
      <c r="AK2109" s="71"/>
      <c r="AL2109" s="71"/>
      <c r="AM2109" s="71"/>
      <c r="AN2109" s="71"/>
      <c r="AO2109" s="71"/>
      <c r="AP2109" s="71"/>
      <c r="AQ2109" s="71"/>
      <c r="AR2109" s="71"/>
      <c r="AS2109" s="94">
        <f t="shared" ca="1" si="2470"/>
        <v>210</v>
      </c>
      <c r="AT2109" s="95">
        <f t="shared" si="2471"/>
        <v>0</v>
      </c>
      <c r="AU2109" s="97">
        <f t="shared" si="2472"/>
        <v>0</v>
      </c>
      <c r="AW2109" s="51">
        <f t="shared" si="2473"/>
        <v>0</v>
      </c>
      <c r="AX2109" s="51">
        <f t="shared" si="2474"/>
        <v>0</v>
      </c>
      <c r="AY2109" s="51">
        <f t="shared" si="2475"/>
        <v>0</v>
      </c>
      <c r="AZ2109" s="51">
        <f t="shared" si="2476"/>
        <v>0</v>
      </c>
      <c r="BA2109" s="51"/>
      <c r="BB2109" s="51"/>
      <c r="BC2109" s="51"/>
      <c r="BD2109" s="51"/>
      <c r="BE2109" s="51"/>
      <c r="BF2109" s="51"/>
      <c r="BG2109" s="51"/>
      <c r="BH2109" s="51"/>
      <c r="BI2109" s="65" cm="1">
        <f t="array" ref="BI2109">IFERROR(INDEX(AW2109:BH2109,1,MATCH(2,1/(AW2109:BH2109&lt;&gt;""))),"")</f>
        <v>0</v>
      </c>
      <c r="BJ2109" s="68" cm="1">
        <f t="array" ref="BJ2109">IF(BM2109 = "", "",IFERROR(INDEX(AW2109:BH2109,1,MATCH(2,1/(AW2109:BH2109&lt;&gt;""),1)-1),""))</f>
        <v>0</v>
      </c>
      <c r="BK2109" s="58">
        <f>IF((IF(AW2109&gt;=115%,115%,AW2109) + IF(AX2109&gt;=115%,115%,AX2109) + IF(AY2109&gt;=115%,115%,AY2109) + (IF(AZ2109&gt;=115%,115%,AZ2109) + IF(BA2109&gt;=200%,200%,BA2109) + IF(BB2109&gt;=200%,200%,BB2109) + IF(BC2109&gt;=161%,161%,BC2109) + IF(BD2109&gt;=115%,115%,BD2109) + IF(BE2109&gt;=115%,115%,BE2109) + IF(BF2109&gt;=115%,115%,BF2109) + IF(BG2109&gt;=115%,115%,BG2109) + IF(BH2109&gt;=115%,115%,BH2109)))/_xlfn.XLOOKUP(F2109,Apuração!A:A,Apuração!B:B)&gt;=1.15,1.15,((IF(AZ2109&gt;=115%,115%,AZ2109) + IF(AX2109&gt;=115%,115%,AX2109) + IF(AY2109&gt;=115%,115%,AY2109) + (IF(AW2109&gt;=115%,115%,AW2109) + IF(BA2109&gt;=200%,200%,BA2109) + IF(BB2109&gt;=200%,200%,BB2109) + IF(BC2109&gt;=161%,161%,BC2109) + IF(BD2109&gt;=115%,115%,BD2109) + IF(BE2109&gt;=115%,115%,BE2109) + IF(BF2109&gt;=115%,115%,BF2109) + IF(BG2109&gt;=115%,115%,BG2109) + IF(BH2109&gt;=115%,115%,BH2109)))/_xlfn.XLOOKUP(F2109,Apuração!A:A,Apuração!B:B)))</f>
        <v>0</v>
      </c>
      <c r="BL2109" s="58" cm="1">
        <f t="array" aca="1" ref="BL2109" ca="1">IF(SUM(IFERROR(IF(INDEX(AW2109:INDEX(AW2109:BH2109, MATCH(2, 1/(AW2109:BH2109&lt;&gt;""), 1)-1), ROW(INDIRECT("1:" &amp; MATCH(2, 1/(AW2109:BH2109&lt;&gt;""), 1)-1))) &gt;= 115%, 115%, INDEX(AW2109:INDEX(AW2109:BH2109, MATCH(2, 1/(AW2109:BH2109&lt;&gt;""), 1)-1), ROW(INDIRECT("1:" &amp; MATCH(2, 1/(AW2109:BH2109&lt;&gt;""), 1)-1)))), 0))/_xlfn.XLOOKUP(F2109,Apuração!A:A,Apuração!B:B)&gt;=1.15,1.15,SUM(IFERROR(IF(INDEX(AW2109:INDEX(AW2109:BH2109, MATCH(2, 1/(AW2109:BH2109&lt;&gt;""), 1)-1), ROW(INDIRECT("1:" &amp; MATCH(2, 1/(AW2109:BH2109&lt;&gt;""), 1)-1))) &gt;= 115%, 115%, INDEX(AW2109:INDEX(AW2109:BH2109, MATCH(2, 1/(AW2109:BH2109&lt;&gt;""), 1)-1), ROW(INDIRECT("1:" &amp; MATCH(2, 1/(AW2109:BH2109&lt;&gt;""), 1)-1)))), 0))/_xlfn.XLOOKUP(F2109,Apuração!A:A,Apuração!B:B))</f>
        <v>0</v>
      </c>
      <c r="BM2109" s="55" cm="1">
        <f t="array" ref="BM2109">IFERROR(
   INDEX($AW$1:$BH$1,
      _xlfn.AGGREGATE(14, 6, COLUMN($AW$1:$BH$1)/(AW2109:BH2109&lt;&gt;""), 2) - COLUMN($AW$1) + 1
   ),
"")</f>
        <v>46082</v>
      </c>
      <c r="BN2109" s="55" cm="1">
        <f t="array" ref="BN2109">IFERROR(INDEX($AW$1:$BH$1,1,MATCH(2,1/(AW2109:BH2109&lt;&gt;""))),"")</f>
        <v>46113</v>
      </c>
      <c r="BO2109" s="53">
        <f ca="1">IFERROR(_xlfn.XLOOKUP(F2109,Apuração!A:A,Apuração!C:C)/_xlfn.XLOOKUP(F2109,Apuração!A:A,Apuração!B:B),0)</f>
        <v>0</v>
      </c>
      <c r="BP2109" s="53">
        <f ca="1">IFERROR(_xlfn.XLOOKUP(F2109,Apuração!A:A,Apuração!D:D)/_xlfn.XLOOKUP(F2109,Apuração!A:A,Apuração!B:B),0)</f>
        <v>0</v>
      </c>
      <c r="BQ2109" s="53">
        <f ca="1">IF(BK2109&gt;=BO2109,0,_xlfn.XLOOKUP(F2109,Apuração!A:A,Apuração!B:B)*(BO2109 + (1/_xlfn.XLOOKUP(F2109,Apuração!A:A,Apuração!B:B)) - BK2109))</f>
        <v>0</v>
      </c>
      <c r="BR2109" s="85">
        <f t="shared" ca="1" si="2477"/>
        <v>0</v>
      </c>
      <c r="BS2109" s="53">
        <f ca="1">IFERROR((_xlfn.XLOOKUP(F2109,Apuração!A:A,Apuração!C:C)+1)/_xlfn.XLOOKUP(F2109,Apuração!A:A,Apuração!B:B),0)</f>
        <v>0.14285714285714285</v>
      </c>
    </row>
    <row r="2110" spans="1:71" ht="25.95" hidden="1" customHeight="1" x14ac:dyDescent="0.3">
      <c r="A2110" s="42" t="s">
        <v>134</v>
      </c>
      <c r="B2110" s="4" t="s">
        <v>135</v>
      </c>
      <c r="C2110" s="5" t="s">
        <v>216</v>
      </c>
      <c r="D2110" s="5" t="s">
        <v>36</v>
      </c>
      <c r="E2110" s="4" t="s">
        <v>61</v>
      </c>
      <c r="F2110" s="4" t="str" cm="1">
        <f t="array" ref="F2110">_xlfn.IFS(
AG2110 &lt;&gt; "", "Jan-Dez/26",
AH2110 &lt;&gt; "", "Fev-Dez/26",
AI2110 &lt;&gt; "", "Mar-Dez/26", AJ2110 &lt;&gt; "", "Abr-Dez/26",
TRUE, "A partir de Junho"
)</f>
        <v>A partir de Junho</v>
      </c>
      <c r="G2110" s="4" t="s">
        <v>62</v>
      </c>
      <c r="H2110" s="7" t="s">
        <v>38</v>
      </c>
      <c r="I2110" s="8" t="s">
        <v>139</v>
      </c>
      <c r="J2110" s="8" t="str" cm="1">
        <f t="array" aca="1" ref="J2110" ca="1">_xlfn.LET(
  _xlpm.actual_value_month, INDEX(T2110:AE2110, MATCH(DATE(YEAR(TODAY()), MONTH(TODAY()), 1), $T$1:$AE$1, 0)),
  IF(_xlpm.actual_value_month &lt;&gt; "",_xlpm.actual_value_month &amp; " ações mensais", "")
)</f>
        <v/>
      </c>
      <c r="K2110" s="8" t="str" cm="1">
        <f t="array" ref="K2110">_xlfn.LET(
    _xlpm.sum_month, SUM(T2110:AE2110),
    IF(_xlpm.sum_month = 0, "", _xlpm.sum_month &amp; " mensagens a serem enviadas no ano")
)</f>
        <v/>
      </c>
      <c r="L2110" s="4" t="s">
        <v>140</v>
      </c>
      <c r="M2110" s="24">
        <v>1</v>
      </c>
      <c r="N2110" s="5" t="s">
        <v>51</v>
      </c>
      <c r="O2110" s="5" t="s">
        <v>52</v>
      </c>
      <c r="P2110" s="10" t="s">
        <v>44</v>
      </c>
      <c r="Q2110" s="10" t="s">
        <v>44</v>
      </c>
      <c r="R2110" s="11" t="s">
        <v>44</v>
      </c>
      <c r="S2110" s="11" t="s">
        <v>44</v>
      </c>
      <c r="T2110" s="22"/>
      <c r="U2110" s="22"/>
      <c r="V2110" s="22"/>
      <c r="W2110" s="22"/>
      <c r="X2110" s="22"/>
      <c r="Y2110" s="22"/>
      <c r="Z2110" s="22"/>
      <c r="AA2110" s="22"/>
      <c r="AB2110" s="22"/>
      <c r="AC2110" s="22"/>
      <c r="AD2110" s="22"/>
      <c r="AE2110" s="22"/>
      <c r="AG2110" s="71"/>
      <c r="AH2110" s="71"/>
      <c r="AI2110" s="71"/>
      <c r="AJ2110" s="71"/>
      <c r="AK2110" s="71"/>
      <c r="AL2110" s="71"/>
      <c r="AM2110" s="71"/>
      <c r="AN2110" s="71"/>
      <c r="AO2110" s="71"/>
      <c r="AP2110" s="71"/>
      <c r="AQ2110" s="71"/>
      <c r="AR2110" s="71"/>
      <c r="AS2110" s="94">
        <f ca="1">IF(MONTH(TODAY())=3,SUM(T2110:U2110),IF(MONTH(TODAY())=4,SUM(T2110:V2110),IF(MONTH(TODAY())=5,SUM(T2110:W2110),IF(MONTH(TODAY())=6,SUM(T2110:X2110),IF(MONTH(TODAY())=7,SUM(T2110:Y2110),IF(MONTH(TODAY())=8,SUM(T2110:Z2110),IF(MONTH(TODAY())=9,SUM(T2110:AA2110),IF(MONTH(TODAY())=10,SUM(T2110:AB2110),IF(MONTH(TODAY())=11,SUM(T2110:AC2110),IF(MONTH(TODAY())=12,SUM(T2110:AD2110),IF(MONTH(TODAY())=1,SUM(T2110:AE2110),T2110)))))))))))</f>
        <v>0</v>
      </c>
      <c r="AT2110" s="95">
        <f>SUM(AG2110:AR2110)</f>
        <v>0</v>
      </c>
      <c r="AU2110" s="97">
        <f>SUM(AG2110:AR2110)</f>
        <v>0</v>
      </c>
      <c r="AW2110" s="83">
        <f>AG2110</f>
        <v>0</v>
      </c>
      <c r="AX2110" s="83">
        <f>AH2110</f>
        <v>0</v>
      </c>
      <c r="AY2110" s="83">
        <f>AI2110</f>
        <v>0</v>
      </c>
      <c r="AZ2110" s="83">
        <f>AJ2110</f>
        <v>0</v>
      </c>
      <c r="BA2110" s="52"/>
      <c r="BB2110" s="52"/>
      <c r="BC2110" s="52"/>
      <c r="BD2110" s="52"/>
      <c r="BE2110" s="52"/>
      <c r="BF2110" s="52"/>
      <c r="BG2110" s="52"/>
      <c r="BH2110" s="52"/>
      <c r="BI2110" s="68" cm="1">
        <f t="array" ref="BI2110">IFERROR(INDEX(AW2110:BH2110,1,MATCH(2,1/(AW2110:BH2110&lt;&gt;""))),"")</f>
        <v>0</v>
      </c>
      <c r="BJ2110" s="68" cm="1">
        <f t="array" ref="BJ2110">IF(BM2110 = "", "",IFERROR(INDEX(AW2110:BH2110,1,MATCH(2,1/(AW2110:BH2110&lt;&gt;""),1)-1),""))</f>
        <v>0</v>
      </c>
      <c r="BK2110" s="59">
        <f>SUM(AW2110:BH2110)</f>
        <v>0</v>
      </c>
      <c r="BL2110" s="59" cm="1">
        <f t="array" ref="BL2110">IFERROR(SUM(AW2110:INDEX(AW2110:BH2110, MATCH(2, 1/(AW2110:BH2110&lt;&gt;""), 1) - 1))/_xlfn.XLOOKUP(F2110,Apuração!A:A,Apuração!B:B),0)</f>
        <v>0</v>
      </c>
      <c r="BM2110" s="55" cm="1">
        <f t="array" ref="BM2110">IFERROR(
   INDEX($AW$1:$BH$1,
      _xlfn.AGGREGATE(14, 6, COLUMN($AW$1:$BH$1)/(AW2110:BH2110&lt;&gt;""), 2) - COLUMN($AW$1) + 1
   ),
"")</f>
        <v>46082</v>
      </c>
      <c r="BN2110" s="55" cm="1">
        <f t="array" ref="BN2110">IFERROR(INDEX($AW$1:$BH$1,1,MATCH(2,1/(AW2110:BH2110&lt;&gt;""))),"")</f>
        <v>46113</v>
      </c>
      <c r="BO2110" s="53">
        <f ca="1">IFERROR(_xlfn.XLOOKUP(F2110,Apuração!A:A,Apuração!C:C)/_xlfn.XLOOKUP(F2110,Apuração!A:A,Apuração!B:B),0)</f>
        <v>0</v>
      </c>
      <c r="BP2110" s="53">
        <f ca="1">IFERROR(_xlfn.XLOOKUP(F2110,Apuração!A:A,Apuração!D:D)/_xlfn.XLOOKUP(F2110,Apuração!A:A,Apuração!B:B),0)</f>
        <v>0</v>
      </c>
      <c r="BQ2110" s="53">
        <f ca="1">IF(BK2110&gt;=BO2110,0,_xlfn.XLOOKUP(F2110,Apuração!A:A,Apuração!B:B)*(BO2110 + (1/_xlfn.XLOOKUP(F2110,Apuração!A:A,Apuração!B:B)) - BK2110))</f>
        <v>0</v>
      </c>
      <c r="BR2110" s="85">
        <f ca="1">IF(BQ2110=0,0,BQ2110*Z2110)</f>
        <v>0</v>
      </c>
      <c r="BS2110" s="53">
        <f ca="1">IFERROR((_xlfn.XLOOKUP(F2110,Apuração!A:A,Apuração!C:C)+1)/_xlfn.XLOOKUP(F2110,Apuração!A:A,Apuração!B:B),0)</f>
        <v>0.14285714285714285</v>
      </c>
    </row>
    <row r="2111" spans="1:71" ht="25.95" hidden="1" customHeight="1" x14ac:dyDescent="0.3">
      <c r="A2111" s="42" t="s">
        <v>134</v>
      </c>
      <c r="B2111" s="4" t="s">
        <v>135</v>
      </c>
      <c r="C2111" s="5" t="s">
        <v>216</v>
      </c>
      <c r="D2111" s="5" t="s">
        <v>217</v>
      </c>
      <c r="E2111" s="4" t="s">
        <v>61</v>
      </c>
      <c r="F2111" s="4" t="str" cm="1">
        <f t="array" ref="F2111">_xlfn.IFS(
AG2111 &lt;&gt; "", "Jan-Dez/26",
AH2111 &lt;&gt; "", "Fev-Dez/26",
AI2111 &lt;&gt; "", "Mar-Dez/26", AJ2111 &lt;&gt; "", "Abr-Dez/26",
TRUE, "A partir de Junho"
)</f>
        <v>A partir de Junho</v>
      </c>
      <c r="G2111" s="4" t="s">
        <v>62</v>
      </c>
      <c r="H2111" s="7" t="s">
        <v>38</v>
      </c>
      <c r="I2111" s="8" t="s">
        <v>139</v>
      </c>
      <c r="J2111" s="8" t="str" cm="1">
        <f t="array" aca="1" ref="J2111" ca="1">_xlfn.LET(
  _xlpm.actual_value_month, INDEX(T2111:AE2111, MATCH(DATE(YEAR(TODAY()), MONTH(TODAY()), 1), $T$1:$AE$1, 0)),
  IF(_xlpm.actual_value_month &lt;&gt; "",_xlpm.actual_value_month &amp; " ações mensais", "")
)</f>
        <v/>
      </c>
      <c r="K2111" s="8" t="str" cm="1">
        <f t="array" ref="K2111">_xlfn.LET(
    _xlpm.sum_month, SUM(T2111:AE2111),
    IF(_xlpm.sum_month = 0, "", _xlpm.sum_month &amp; " mensagens a serem enviadas no ano")
)</f>
        <v/>
      </c>
      <c r="L2111" s="4" t="s">
        <v>140</v>
      </c>
      <c r="M2111" s="24">
        <v>1</v>
      </c>
      <c r="N2111" s="5" t="s">
        <v>51</v>
      </c>
      <c r="O2111" s="5" t="s">
        <v>52</v>
      </c>
      <c r="P2111" s="10" t="s">
        <v>44</v>
      </c>
      <c r="Q2111" s="10" t="s">
        <v>44</v>
      </c>
      <c r="R2111" s="11" t="s">
        <v>44</v>
      </c>
      <c r="S2111" s="11" t="s">
        <v>44</v>
      </c>
      <c r="T2111" s="22"/>
      <c r="U2111" s="22"/>
      <c r="V2111" s="22"/>
      <c r="W2111" s="22"/>
      <c r="X2111" s="22"/>
      <c r="Y2111" s="22"/>
      <c r="Z2111" s="22"/>
      <c r="AA2111" s="22"/>
      <c r="AB2111" s="22"/>
      <c r="AC2111" s="22"/>
      <c r="AD2111" s="22"/>
      <c r="AE2111" s="22"/>
      <c r="AG2111" s="71"/>
      <c r="AH2111" s="71"/>
      <c r="AI2111" s="71"/>
      <c r="AJ2111" s="71"/>
      <c r="AK2111" s="71"/>
      <c r="AL2111" s="71"/>
      <c r="AM2111" s="71"/>
      <c r="AN2111" s="71"/>
      <c r="AO2111" s="71"/>
      <c r="AP2111" s="71"/>
      <c r="AQ2111" s="71"/>
      <c r="AR2111" s="71"/>
      <c r="AS2111" s="94">
        <f t="shared" ref="AS2111:AS2114" ca="1" si="2478">IF(MONTH(TODAY())=3,SUM(T2111:U2111),IF(MONTH(TODAY())=4,SUM(T2111:V2111),IF(MONTH(TODAY())=5,SUM(T2111:W2111),IF(MONTH(TODAY())=6,SUM(T2111:X2111),IF(MONTH(TODAY())=7,SUM(T2111:Y2111),IF(MONTH(TODAY())=8,SUM(T2111:Z2111),IF(MONTH(TODAY())=9,SUM(T2111:AA2111),IF(MONTH(TODAY())=10,SUM(T2111:AB2111),IF(MONTH(TODAY())=11,SUM(T2111:AC2111),IF(MONTH(TODAY())=12,SUM(T2111:AD2111),IF(MONTH(TODAY())=1,SUM(T2111:AE2111),T2111)))))))))))</f>
        <v>0</v>
      </c>
      <c r="AT2111" s="95">
        <f t="shared" ref="AT2111:AT2114" si="2479">SUM(AG2111:AR2111)</f>
        <v>0</v>
      </c>
      <c r="AU2111" s="97">
        <f t="shared" ref="AU2111:AU2114" si="2480">SUM(AG2111:AR2111)</f>
        <v>0</v>
      </c>
      <c r="AW2111" s="83">
        <f t="shared" ref="AW2111:AW2114" si="2481">AG2111</f>
        <v>0</v>
      </c>
      <c r="AX2111" s="83">
        <f t="shared" ref="AX2111:AX2114" si="2482">AH2111</f>
        <v>0</v>
      </c>
      <c r="AY2111" s="83">
        <f t="shared" ref="AY2111:AY2114" si="2483">AI2111</f>
        <v>0</v>
      </c>
      <c r="AZ2111" s="83">
        <f t="shared" ref="AZ2111:AZ2114" si="2484">AJ2111</f>
        <v>0</v>
      </c>
      <c r="BA2111" s="52"/>
      <c r="BB2111" s="52"/>
      <c r="BC2111" s="52"/>
      <c r="BD2111" s="52"/>
      <c r="BE2111" s="52"/>
      <c r="BF2111" s="52"/>
      <c r="BG2111" s="52"/>
      <c r="BH2111" s="52"/>
      <c r="BI2111" s="68" cm="1">
        <f t="array" ref="BI2111">IFERROR(INDEX(AW2111:BH2111,1,MATCH(2,1/(AW2111:BH2111&lt;&gt;""))),"")</f>
        <v>0</v>
      </c>
      <c r="BJ2111" s="68" cm="1">
        <f t="array" ref="BJ2111">IF(BM2111 = "", "",IFERROR(INDEX(AW2111:BH2111,1,MATCH(2,1/(AW2111:BH2111&lt;&gt;""),1)-1),""))</f>
        <v>0</v>
      </c>
      <c r="BK2111" s="59">
        <f t="shared" ref="BK2111:BK2114" si="2485">SUM(AW2111:BH2111)</f>
        <v>0</v>
      </c>
      <c r="BL2111" s="59" cm="1">
        <f t="array" ref="BL2111">IFERROR(SUM(AW2111:INDEX(AW2111:BH2111, MATCH(2, 1/(AW2111:BH2111&lt;&gt;""), 1) - 1))/_xlfn.XLOOKUP(F2111,Apuração!A:A,Apuração!B:B),0)</f>
        <v>0</v>
      </c>
      <c r="BM2111" s="55" cm="1">
        <f t="array" ref="BM2111">IFERROR(
   INDEX($AW$1:$BH$1,
      _xlfn.AGGREGATE(14, 6, COLUMN($AW$1:$BH$1)/(AW2111:BH2111&lt;&gt;""), 2) - COLUMN($AW$1) + 1
   ),
"")</f>
        <v>46082</v>
      </c>
      <c r="BN2111" s="55" cm="1">
        <f t="array" ref="BN2111">IFERROR(INDEX($AW$1:$BH$1,1,MATCH(2,1/(AW2111:BH2111&lt;&gt;""))),"")</f>
        <v>46113</v>
      </c>
      <c r="BO2111" s="53">
        <f ca="1">IFERROR(_xlfn.XLOOKUP(F2111,Apuração!A:A,Apuração!C:C)/_xlfn.XLOOKUP(F2111,Apuração!A:A,Apuração!B:B),0)</f>
        <v>0</v>
      </c>
      <c r="BP2111" s="53">
        <f ca="1">IFERROR(_xlfn.XLOOKUP(F2111,Apuração!A:A,Apuração!D:D)/_xlfn.XLOOKUP(F2111,Apuração!A:A,Apuração!B:B),0)</f>
        <v>0</v>
      </c>
      <c r="BQ2111" s="53">
        <f ca="1">IF(BK2111&gt;=BO2111,0,_xlfn.XLOOKUP(F2111,Apuração!A:A,Apuração!B:B)*(BO2111 + (1/_xlfn.XLOOKUP(F2111,Apuração!A:A,Apuração!B:B)) - BK2111))</f>
        <v>0</v>
      </c>
      <c r="BR2111" s="85">
        <f t="shared" ref="BR2111:BR2114" ca="1" si="2486">IF(BQ2111=0,0,BQ2111*Z2111)</f>
        <v>0</v>
      </c>
      <c r="BS2111" s="53">
        <f ca="1">IFERROR((_xlfn.XLOOKUP(F2111,Apuração!A:A,Apuração!C:C)+1)/_xlfn.XLOOKUP(F2111,Apuração!A:A,Apuração!B:B),0)</f>
        <v>0.14285714285714285</v>
      </c>
    </row>
    <row r="2112" spans="1:71" ht="25.95" hidden="1" customHeight="1" x14ac:dyDescent="0.3">
      <c r="A2112" s="42" t="s">
        <v>134</v>
      </c>
      <c r="B2112" s="4" t="s">
        <v>135</v>
      </c>
      <c r="C2112" s="5" t="s">
        <v>216</v>
      </c>
      <c r="D2112" s="5" t="s">
        <v>103</v>
      </c>
      <c r="E2112" s="4" t="s">
        <v>61</v>
      </c>
      <c r="F2112" s="4" t="str" cm="1">
        <f t="array" ref="F2112">_xlfn.IFS(
AG2112 &lt;&gt; "", "Jan-Dez/26",
AH2112 &lt;&gt; "", "Fev-Dez/26",
AI2112 &lt;&gt; "", "Mar-Dez/26", AJ2112 &lt;&gt; "", "Abr-Dez/26",
TRUE, "A partir de Junho"
)</f>
        <v>A partir de Junho</v>
      </c>
      <c r="G2112" s="4" t="s">
        <v>62</v>
      </c>
      <c r="H2112" s="7" t="s">
        <v>38</v>
      </c>
      <c r="I2112" s="8" t="s">
        <v>139</v>
      </c>
      <c r="J2112" s="8" t="str" cm="1">
        <f t="array" aca="1" ref="J2112" ca="1">_xlfn.LET(
  _xlpm.actual_value_month, INDEX(T2112:AE2112, MATCH(DATE(YEAR(TODAY()), MONTH(TODAY()), 1), $T$1:$AE$1, 0)),
  IF(_xlpm.actual_value_month &lt;&gt; "",_xlpm.actual_value_month &amp; " ações mensais", "")
)</f>
        <v/>
      </c>
      <c r="K2112" s="8" t="str" cm="1">
        <f t="array" ref="K2112">_xlfn.LET(
    _xlpm.sum_month, SUM(T2112:AE2112),
    IF(_xlpm.sum_month = 0, "", _xlpm.sum_month &amp; " mensagens a serem enviadas no ano")
)</f>
        <v/>
      </c>
      <c r="L2112" s="4" t="s">
        <v>140</v>
      </c>
      <c r="M2112" s="24">
        <v>1</v>
      </c>
      <c r="N2112" s="5" t="s">
        <v>51</v>
      </c>
      <c r="O2112" s="5" t="s">
        <v>52</v>
      </c>
      <c r="P2112" s="10" t="s">
        <v>44</v>
      </c>
      <c r="Q2112" s="10" t="s">
        <v>44</v>
      </c>
      <c r="R2112" s="11" t="s">
        <v>44</v>
      </c>
      <c r="S2112" s="11" t="s">
        <v>44</v>
      </c>
      <c r="T2112" s="22"/>
      <c r="U2112" s="22"/>
      <c r="V2112" s="22"/>
      <c r="W2112" s="22"/>
      <c r="X2112" s="22"/>
      <c r="Y2112" s="22"/>
      <c r="Z2112" s="22"/>
      <c r="AA2112" s="22"/>
      <c r="AB2112" s="22"/>
      <c r="AC2112" s="22"/>
      <c r="AD2112" s="22"/>
      <c r="AE2112" s="22"/>
      <c r="AG2112" s="71"/>
      <c r="AH2112" s="71"/>
      <c r="AI2112" s="71"/>
      <c r="AJ2112" s="71"/>
      <c r="AK2112" s="71"/>
      <c r="AL2112" s="71"/>
      <c r="AM2112" s="71"/>
      <c r="AN2112" s="71"/>
      <c r="AO2112" s="71"/>
      <c r="AP2112" s="71"/>
      <c r="AQ2112" s="71"/>
      <c r="AR2112" s="71"/>
      <c r="AS2112" s="94">
        <f t="shared" ca="1" si="2478"/>
        <v>0</v>
      </c>
      <c r="AT2112" s="95">
        <f t="shared" si="2479"/>
        <v>0</v>
      </c>
      <c r="AU2112" s="97">
        <f t="shared" si="2480"/>
        <v>0</v>
      </c>
      <c r="AW2112" s="83">
        <f t="shared" si="2481"/>
        <v>0</v>
      </c>
      <c r="AX2112" s="83">
        <f t="shared" si="2482"/>
        <v>0</v>
      </c>
      <c r="AY2112" s="83">
        <f t="shared" si="2483"/>
        <v>0</v>
      </c>
      <c r="AZ2112" s="83">
        <f t="shared" si="2484"/>
        <v>0</v>
      </c>
      <c r="BA2112" s="52"/>
      <c r="BB2112" s="52"/>
      <c r="BC2112" s="52"/>
      <c r="BD2112" s="52"/>
      <c r="BE2112" s="52"/>
      <c r="BF2112" s="52"/>
      <c r="BG2112" s="52"/>
      <c r="BH2112" s="52"/>
      <c r="BI2112" s="68" cm="1">
        <f t="array" ref="BI2112">IFERROR(INDEX(AW2112:BH2112,1,MATCH(2,1/(AW2112:BH2112&lt;&gt;""))),"")</f>
        <v>0</v>
      </c>
      <c r="BJ2112" s="68" cm="1">
        <f t="array" ref="BJ2112">IF(BM2112 = "", "",IFERROR(INDEX(AW2112:BH2112,1,MATCH(2,1/(AW2112:BH2112&lt;&gt;""),1)-1),""))</f>
        <v>0</v>
      </c>
      <c r="BK2112" s="59">
        <f t="shared" si="2485"/>
        <v>0</v>
      </c>
      <c r="BL2112" s="59" cm="1">
        <f t="array" ref="BL2112">IFERROR(SUM(AW2112:INDEX(AW2112:BH2112, MATCH(2, 1/(AW2112:BH2112&lt;&gt;""), 1) - 1))/_xlfn.XLOOKUP(F2112,Apuração!A:A,Apuração!B:B),0)</f>
        <v>0</v>
      </c>
      <c r="BM2112" s="55" cm="1">
        <f t="array" ref="BM2112">IFERROR(
   INDEX($AW$1:$BH$1,
      _xlfn.AGGREGATE(14, 6, COLUMN($AW$1:$BH$1)/(AW2112:BH2112&lt;&gt;""), 2) - COLUMN($AW$1) + 1
   ),
"")</f>
        <v>46082</v>
      </c>
      <c r="BN2112" s="55" cm="1">
        <f t="array" ref="BN2112">IFERROR(INDEX($AW$1:$BH$1,1,MATCH(2,1/(AW2112:BH2112&lt;&gt;""))),"")</f>
        <v>46113</v>
      </c>
      <c r="BO2112" s="53">
        <f ca="1">IFERROR(_xlfn.XLOOKUP(F2112,Apuração!A:A,Apuração!C:C)/_xlfn.XLOOKUP(F2112,Apuração!A:A,Apuração!B:B),0)</f>
        <v>0</v>
      </c>
      <c r="BP2112" s="53">
        <f ca="1">IFERROR(_xlfn.XLOOKUP(F2112,Apuração!A:A,Apuração!D:D)/_xlfn.XLOOKUP(F2112,Apuração!A:A,Apuração!B:B),0)</f>
        <v>0</v>
      </c>
      <c r="BQ2112" s="53">
        <f ca="1">IF(BK2112&gt;=BO2112,0,_xlfn.XLOOKUP(F2112,Apuração!A:A,Apuração!B:B)*(BO2112 + (1/_xlfn.XLOOKUP(F2112,Apuração!A:A,Apuração!B:B)) - BK2112))</f>
        <v>0</v>
      </c>
      <c r="BR2112" s="85">
        <f t="shared" ca="1" si="2486"/>
        <v>0</v>
      </c>
      <c r="BS2112" s="53">
        <f ca="1">IFERROR((_xlfn.XLOOKUP(F2112,Apuração!A:A,Apuração!C:C)+1)/_xlfn.XLOOKUP(F2112,Apuração!A:A,Apuração!B:B),0)</f>
        <v>0.14285714285714285</v>
      </c>
    </row>
    <row r="2113" spans="1:71" ht="25.95" hidden="1" customHeight="1" x14ac:dyDescent="0.3">
      <c r="A2113" s="42" t="s">
        <v>134</v>
      </c>
      <c r="B2113" s="4" t="s">
        <v>135</v>
      </c>
      <c r="C2113" s="5" t="s">
        <v>216</v>
      </c>
      <c r="D2113" s="5" t="s">
        <v>218</v>
      </c>
      <c r="E2113" s="4" t="s">
        <v>61</v>
      </c>
      <c r="F2113" s="4" t="str" cm="1">
        <f t="array" ref="F2113">_xlfn.IFS(
AG2113 &lt;&gt; "", "Jan-Dez/26",
AH2113 &lt;&gt; "", "Fev-Dez/26",
AI2113 &lt;&gt; "", "Mar-Dez/26", AJ2113 &lt;&gt; "", "Abr-Dez/26",
TRUE, "A partir de Junho"
)</f>
        <v>A partir de Junho</v>
      </c>
      <c r="G2113" s="4" t="s">
        <v>62</v>
      </c>
      <c r="H2113" s="7" t="s">
        <v>38</v>
      </c>
      <c r="I2113" s="8" t="s">
        <v>139</v>
      </c>
      <c r="J2113" s="8" t="str" cm="1">
        <f t="array" aca="1" ref="J2113" ca="1">_xlfn.LET(
  _xlpm.actual_value_month, INDEX(T2113:AE2113, MATCH(DATE(YEAR(TODAY()), MONTH(TODAY()), 1), $T$1:$AE$1, 0)),
  IF(_xlpm.actual_value_month &lt;&gt; "",_xlpm.actual_value_month &amp; " ações mensais", "")
)</f>
        <v/>
      </c>
      <c r="K2113" s="8" t="str" cm="1">
        <f t="array" ref="K2113">_xlfn.LET(
    _xlpm.sum_month, SUM(T2113:AE2113),
    IF(_xlpm.sum_month = 0, "", _xlpm.sum_month &amp; " mensagens a serem enviadas no ano")
)</f>
        <v/>
      </c>
      <c r="L2113" s="4" t="s">
        <v>140</v>
      </c>
      <c r="M2113" s="24">
        <v>1</v>
      </c>
      <c r="N2113" s="5" t="s">
        <v>51</v>
      </c>
      <c r="O2113" s="5" t="s">
        <v>52</v>
      </c>
      <c r="P2113" s="10" t="s">
        <v>44</v>
      </c>
      <c r="Q2113" s="10" t="s">
        <v>44</v>
      </c>
      <c r="R2113" s="11" t="s">
        <v>44</v>
      </c>
      <c r="S2113" s="11" t="s">
        <v>44</v>
      </c>
      <c r="T2113" s="22"/>
      <c r="U2113" s="22"/>
      <c r="V2113" s="22"/>
      <c r="W2113" s="22"/>
      <c r="X2113" s="22"/>
      <c r="Y2113" s="22"/>
      <c r="Z2113" s="22"/>
      <c r="AA2113" s="22"/>
      <c r="AB2113" s="22"/>
      <c r="AC2113" s="22"/>
      <c r="AD2113" s="22"/>
      <c r="AE2113" s="22"/>
      <c r="AG2113" s="71"/>
      <c r="AH2113" s="71"/>
      <c r="AI2113" s="71"/>
      <c r="AJ2113" s="71"/>
      <c r="AK2113" s="71"/>
      <c r="AL2113" s="71"/>
      <c r="AM2113" s="71"/>
      <c r="AN2113" s="71"/>
      <c r="AO2113" s="71"/>
      <c r="AP2113" s="71"/>
      <c r="AQ2113" s="71"/>
      <c r="AR2113" s="71"/>
      <c r="AS2113" s="94">
        <f t="shared" ca="1" si="2478"/>
        <v>0</v>
      </c>
      <c r="AT2113" s="95">
        <f t="shared" si="2479"/>
        <v>0</v>
      </c>
      <c r="AU2113" s="97">
        <f t="shared" si="2480"/>
        <v>0</v>
      </c>
      <c r="AW2113" s="83">
        <f t="shared" si="2481"/>
        <v>0</v>
      </c>
      <c r="AX2113" s="83">
        <f t="shared" si="2482"/>
        <v>0</v>
      </c>
      <c r="AY2113" s="83">
        <f t="shared" si="2483"/>
        <v>0</v>
      </c>
      <c r="AZ2113" s="83">
        <f t="shared" si="2484"/>
        <v>0</v>
      </c>
      <c r="BA2113" s="52"/>
      <c r="BB2113" s="52"/>
      <c r="BC2113" s="52"/>
      <c r="BD2113" s="52"/>
      <c r="BE2113" s="52"/>
      <c r="BF2113" s="52"/>
      <c r="BG2113" s="52"/>
      <c r="BH2113" s="52"/>
      <c r="BI2113" s="68" cm="1">
        <f t="array" ref="BI2113">IFERROR(INDEX(AW2113:BH2113,1,MATCH(2,1/(AW2113:BH2113&lt;&gt;""))),"")</f>
        <v>0</v>
      </c>
      <c r="BJ2113" s="68" cm="1">
        <f t="array" ref="BJ2113">IF(BM2113 = "", "",IFERROR(INDEX(AW2113:BH2113,1,MATCH(2,1/(AW2113:BH2113&lt;&gt;""),1)-1),""))</f>
        <v>0</v>
      </c>
      <c r="BK2113" s="59">
        <f t="shared" si="2485"/>
        <v>0</v>
      </c>
      <c r="BL2113" s="59" cm="1">
        <f t="array" ref="BL2113">IFERROR(SUM(AW2113:INDEX(AW2113:BH2113, MATCH(2, 1/(AW2113:BH2113&lt;&gt;""), 1) - 1))/_xlfn.XLOOKUP(F2113,Apuração!A:A,Apuração!B:B),0)</f>
        <v>0</v>
      </c>
      <c r="BM2113" s="55" cm="1">
        <f t="array" ref="BM2113">IFERROR(
   INDEX($AW$1:$BH$1,
      _xlfn.AGGREGATE(14, 6, COLUMN($AW$1:$BH$1)/(AW2113:BH2113&lt;&gt;""), 2) - COLUMN($AW$1) + 1
   ),
"")</f>
        <v>46082</v>
      </c>
      <c r="BN2113" s="55" cm="1">
        <f t="array" ref="BN2113">IFERROR(INDEX($AW$1:$BH$1,1,MATCH(2,1/(AW2113:BH2113&lt;&gt;""))),"")</f>
        <v>46113</v>
      </c>
      <c r="BO2113" s="53">
        <f ca="1">IFERROR(_xlfn.XLOOKUP(F2113,Apuração!A:A,Apuração!C:C)/_xlfn.XLOOKUP(F2113,Apuração!A:A,Apuração!B:B),0)</f>
        <v>0</v>
      </c>
      <c r="BP2113" s="53">
        <f ca="1">IFERROR(_xlfn.XLOOKUP(F2113,Apuração!A:A,Apuração!D:D)/_xlfn.XLOOKUP(F2113,Apuração!A:A,Apuração!B:B),0)</f>
        <v>0</v>
      </c>
      <c r="BQ2113" s="53">
        <f ca="1">IF(BK2113&gt;=BO2113,0,_xlfn.XLOOKUP(F2113,Apuração!A:A,Apuração!B:B)*(BO2113 + (1/_xlfn.XLOOKUP(F2113,Apuração!A:A,Apuração!B:B)) - BK2113))</f>
        <v>0</v>
      </c>
      <c r="BR2113" s="85">
        <f t="shared" ca="1" si="2486"/>
        <v>0</v>
      </c>
      <c r="BS2113" s="53">
        <f ca="1">IFERROR((_xlfn.XLOOKUP(F2113,Apuração!A:A,Apuração!C:C)+1)/_xlfn.XLOOKUP(F2113,Apuração!A:A,Apuração!B:B),0)</f>
        <v>0.14285714285714285</v>
      </c>
    </row>
    <row r="2114" spans="1:71" ht="25.95" hidden="1" customHeight="1" x14ac:dyDescent="0.3">
      <c r="A2114" s="42" t="s">
        <v>134</v>
      </c>
      <c r="B2114" s="4" t="s">
        <v>135</v>
      </c>
      <c r="C2114" s="5" t="s">
        <v>216</v>
      </c>
      <c r="D2114" s="5" t="s">
        <v>219</v>
      </c>
      <c r="E2114" s="4" t="s">
        <v>61</v>
      </c>
      <c r="F2114" s="4" t="str" cm="1">
        <f t="array" ref="F2114">_xlfn.IFS(
AG2114 &lt;&gt; "", "Jan-Dez/26",
AH2114 &lt;&gt; "", "Fev-Dez/26",
AI2114 &lt;&gt; "", "Mar-Dez/26", AJ2114 &lt;&gt; "", "Abr-Dez/26",
TRUE, "A partir de Junho"
)</f>
        <v>A partir de Junho</v>
      </c>
      <c r="G2114" s="4" t="s">
        <v>62</v>
      </c>
      <c r="H2114" s="7" t="s">
        <v>38</v>
      </c>
      <c r="I2114" s="8" t="s">
        <v>139</v>
      </c>
      <c r="J2114" s="8" t="str" cm="1">
        <f t="array" aca="1" ref="J2114" ca="1">_xlfn.LET(
  _xlpm.actual_value_month, INDEX(T2114:AE2114, MATCH(DATE(YEAR(TODAY()), MONTH(TODAY()), 1), $T$1:$AE$1, 0)),
  IF(_xlpm.actual_value_month &lt;&gt; "",_xlpm.actual_value_month &amp; " ações mensais", "")
)</f>
        <v/>
      </c>
      <c r="K2114" s="8" t="str" cm="1">
        <f t="array" ref="K2114">_xlfn.LET(
    _xlpm.sum_month, SUM(T2114:AE2114),
    IF(_xlpm.sum_month = 0, "", _xlpm.sum_month &amp; " mensagens a serem enviadas no ano")
)</f>
        <v/>
      </c>
      <c r="L2114" s="4" t="s">
        <v>140</v>
      </c>
      <c r="M2114" s="24">
        <v>1</v>
      </c>
      <c r="N2114" s="5" t="s">
        <v>51</v>
      </c>
      <c r="O2114" s="5" t="s">
        <v>52</v>
      </c>
      <c r="P2114" s="10" t="s">
        <v>44</v>
      </c>
      <c r="Q2114" s="10" t="s">
        <v>44</v>
      </c>
      <c r="R2114" s="11" t="s">
        <v>44</v>
      </c>
      <c r="S2114" s="11" t="s">
        <v>44</v>
      </c>
      <c r="T2114" s="22"/>
      <c r="U2114" s="22"/>
      <c r="V2114" s="22"/>
      <c r="W2114" s="22"/>
      <c r="X2114" s="22"/>
      <c r="Y2114" s="22"/>
      <c r="Z2114" s="22"/>
      <c r="AA2114" s="22"/>
      <c r="AB2114" s="22"/>
      <c r="AC2114" s="22"/>
      <c r="AD2114" s="22"/>
      <c r="AE2114" s="22"/>
      <c r="AG2114" s="71"/>
      <c r="AH2114" s="71"/>
      <c r="AI2114" s="71"/>
      <c r="AJ2114" s="71"/>
      <c r="AK2114" s="71"/>
      <c r="AL2114" s="71"/>
      <c r="AM2114" s="71"/>
      <c r="AN2114" s="71"/>
      <c r="AO2114" s="71"/>
      <c r="AP2114" s="71"/>
      <c r="AQ2114" s="71"/>
      <c r="AR2114" s="71"/>
      <c r="AS2114" s="94">
        <f t="shared" ca="1" si="2478"/>
        <v>0</v>
      </c>
      <c r="AT2114" s="95">
        <f t="shared" si="2479"/>
        <v>0</v>
      </c>
      <c r="AU2114" s="97">
        <f t="shared" si="2480"/>
        <v>0</v>
      </c>
      <c r="AW2114" s="83">
        <f t="shared" si="2481"/>
        <v>0</v>
      </c>
      <c r="AX2114" s="83">
        <f t="shared" si="2482"/>
        <v>0</v>
      </c>
      <c r="AY2114" s="83">
        <f t="shared" si="2483"/>
        <v>0</v>
      </c>
      <c r="AZ2114" s="83">
        <f t="shared" si="2484"/>
        <v>0</v>
      </c>
      <c r="BA2114" s="52"/>
      <c r="BB2114" s="52"/>
      <c r="BC2114" s="52"/>
      <c r="BD2114" s="52"/>
      <c r="BE2114" s="52"/>
      <c r="BF2114" s="52"/>
      <c r="BG2114" s="52"/>
      <c r="BH2114" s="52"/>
      <c r="BI2114" s="68" cm="1">
        <f t="array" ref="BI2114">IFERROR(INDEX(AW2114:BH2114,1,MATCH(2,1/(AW2114:BH2114&lt;&gt;""))),"")</f>
        <v>0</v>
      </c>
      <c r="BJ2114" s="68" cm="1">
        <f t="array" ref="BJ2114">IF(BM2114 = "", "",IFERROR(INDEX(AW2114:BH2114,1,MATCH(2,1/(AW2114:BH2114&lt;&gt;""),1)-1),""))</f>
        <v>0</v>
      </c>
      <c r="BK2114" s="59">
        <f t="shared" si="2485"/>
        <v>0</v>
      </c>
      <c r="BL2114" s="59" cm="1">
        <f t="array" ref="BL2114">IFERROR(SUM(AW2114:INDEX(AW2114:BH2114, MATCH(2, 1/(AW2114:BH2114&lt;&gt;""), 1) - 1))/_xlfn.XLOOKUP(F2114,Apuração!A:A,Apuração!B:B),0)</f>
        <v>0</v>
      </c>
      <c r="BM2114" s="55" cm="1">
        <f t="array" ref="BM2114">IFERROR(
   INDEX($AW$1:$BH$1,
      _xlfn.AGGREGATE(14, 6, COLUMN($AW$1:$BH$1)/(AW2114:BH2114&lt;&gt;""), 2) - COLUMN($AW$1) + 1
   ),
"")</f>
        <v>46082</v>
      </c>
      <c r="BN2114" s="55" cm="1">
        <f t="array" ref="BN2114">IFERROR(INDEX($AW$1:$BH$1,1,MATCH(2,1/(AW2114:BH2114&lt;&gt;""))),"")</f>
        <v>46113</v>
      </c>
      <c r="BO2114" s="53">
        <f ca="1">IFERROR(_xlfn.XLOOKUP(F2114,Apuração!A:A,Apuração!C:C)/_xlfn.XLOOKUP(F2114,Apuração!A:A,Apuração!B:B),0)</f>
        <v>0</v>
      </c>
      <c r="BP2114" s="53">
        <f ca="1">IFERROR(_xlfn.XLOOKUP(F2114,Apuração!A:A,Apuração!D:D)/_xlfn.XLOOKUP(F2114,Apuração!A:A,Apuração!B:B),0)</f>
        <v>0</v>
      </c>
      <c r="BQ2114" s="53">
        <f ca="1">IF(BK2114&gt;=BO2114,0,_xlfn.XLOOKUP(F2114,Apuração!A:A,Apuração!B:B)*(BO2114 + (1/_xlfn.XLOOKUP(F2114,Apuração!A:A,Apuração!B:B)) - BK2114))</f>
        <v>0</v>
      </c>
      <c r="BR2114" s="85">
        <f t="shared" ca="1" si="2486"/>
        <v>0</v>
      </c>
      <c r="BS2114" s="53">
        <f ca="1">IFERROR((_xlfn.XLOOKUP(F2114,Apuração!A:A,Apuração!C:C)+1)/_xlfn.XLOOKUP(F2114,Apuração!A:A,Apuração!B:B),0)</f>
        <v>0.14285714285714285</v>
      </c>
    </row>
    <row r="2115" spans="1:71" ht="25.95" hidden="1" customHeight="1" x14ac:dyDescent="0.3">
      <c r="A2115" s="42" t="s">
        <v>134</v>
      </c>
      <c r="B2115" s="4" t="s">
        <v>135</v>
      </c>
      <c r="C2115" s="5" t="s">
        <v>216</v>
      </c>
      <c r="D2115" s="5" t="s">
        <v>36</v>
      </c>
      <c r="E2115" s="4" t="s">
        <v>61</v>
      </c>
      <c r="F2115" s="4" t="str" cm="1">
        <f t="array" ref="F2115">_xlfn.IFS(
AG2115 &lt;&gt; "", "Jan-Dez/26",
AH2115 &lt;&gt; "", "Fev-Dez/26",
AI2115 &lt;&gt; "", "Mar-Dez/26", AJ2115 &lt;&gt; "", "Abr-Dez/26",
TRUE, "A partir de Junho"
)</f>
        <v>A partir de Junho</v>
      </c>
      <c r="G2115" s="4" t="s">
        <v>62</v>
      </c>
      <c r="H2115" s="7" t="s">
        <v>38</v>
      </c>
      <c r="I2115" s="9" t="s">
        <v>76</v>
      </c>
      <c r="J2115" s="8" t="str" cm="1">
        <f t="array" aca="1" ref="J2115" ca="1">_xlfn.LET(
  _xlpm.actual_value_month, INDEX(T2115:AE2115, MATCH(DATE(YEAR(TODAY()), MONTH(TODAY()), 1), $T$1:$AE$1, 0)),
  IF(_xlpm.actual_value_month &lt;&gt; "",_xlpm.actual_value_month &amp; " ações mensais", "")
)</f>
        <v/>
      </c>
      <c r="K2115" s="8" t="str" cm="1">
        <f t="array" ref="K2115">_xlfn.LET(
    _xlpm.sum_month, SUM(T2115:AE2115),
    IF(_xlpm.sum_month = 0, "", _xlpm.sum_month &amp; " alcançadas no ano")
)</f>
        <v/>
      </c>
      <c r="L2115" s="9" t="s">
        <v>141</v>
      </c>
      <c r="M2115" s="24">
        <v>1</v>
      </c>
      <c r="N2115" s="5" t="s">
        <v>51</v>
      </c>
      <c r="O2115" s="5" t="s">
        <v>52</v>
      </c>
      <c r="P2115" s="10" t="s">
        <v>44</v>
      </c>
      <c r="Q2115" s="10" t="s">
        <v>44</v>
      </c>
      <c r="R2115" s="10" t="s">
        <v>44</v>
      </c>
      <c r="S2115" s="10" t="s">
        <v>44</v>
      </c>
      <c r="T2115" s="22"/>
      <c r="U2115" s="22"/>
      <c r="V2115" s="22"/>
      <c r="W2115" s="22"/>
      <c r="X2115" s="22"/>
      <c r="Y2115" s="22"/>
      <c r="Z2115" s="22"/>
      <c r="AA2115" s="22"/>
      <c r="AB2115" s="22"/>
      <c r="AC2115" s="22"/>
      <c r="AD2115" s="22"/>
      <c r="AE2115" s="22"/>
      <c r="AG2115" s="71"/>
      <c r="AH2115" s="71"/>
      <c r="AI2115" s="71"/>
      <c r="AJ2115" s="71"/>
      <c r="AK2115" s="71"/>
      <c r="AL2115" s="71"/>
      <c r="AM2115" s="71"/>
      <c r="AN2115" s="71"/>
      <c r="AO2115" s="71"/>
      <c r="AP2115" s="71"/>
      <c r="AQ2115" s="71"/>
      <c r="AR2115" s="71"/>
      <c r="AS2115" s="94">
        <f ca="1">IF(MONTH(TODAY())=3,SUM(T2115:U2115),IF(MONTH(TODAY())=4,SUM(T2115:V2115),IF(MONTH(TODAY())=5,SUM(T2115:W2115),IF(MONTH(TODAY())=6,SUM(T2115:X2115),IF(MONTH(TODAY())=7,SUM(T2115:Y2115),IF(MONTH(TODAY())=8,SUM(T2115:Z2115),IF(MONTH(TODAY())=9,SUM(T2115:AA2115),IF(MONTH(TODAY())=10,SUM(T2115:AB2115),IF(MONTH(TODAY())=11,SUM(T2115:AC2115),IF(MONTH(TODAY())=12,SUM(T2115:AD2115),IF(MONTH(TODAY())=1,SUM(T2115:AE2115),T2115)))))))))))</f>
        <v>0</v>
      </c>
      <c r="AT2115" s="95">
        <f>SUM(AG2115:AR2115)</f>
        <v>0</v>
      </c>
      <c r="AU2115" s="97">
        <f>SUM(AG2115:AR2115)</f>
        <v>0</v>
      </c>
      <c r="AW2115" s="83">
        <f>AG2115</f>
        <v>0</v>
      </c>
      <c r="AX2115" s="83">
        <f>AH2115</f>
        <v>0</v>
      </c>
      <c r="AY2115" s="83">
        <f>AI2115</f>
        <v>0</v>
      </c>
      <c r="AZ2115" s="83">
        <f>AJ2115</f>
        <v>0</v>
      </c>
      <c r="BA2115" s="52"/>
      <c r="BB2115" s="52"/>
      <c r="BC2115" s="52"/>
      <c r="BD2115" s="52"/>
      <c r="BE2115" s="52"/>
      <c r="BF2115" s="52"/>
      <c r="BG2115" s="52"/>
      <c r="BH2115" s="52"/>
      <c r="BI2115" s="68" cm="1">
        <f t="array" ref="BI2115">IFERROR(INDEX(AW2115:BH2115,1,MATCH(2,1/(AW2115:BH2115&lt;&gt;""))),"")</f>
        <v>0</v>
      </c>
      <c r="BJ2115" s="68" cm="1">
        <f t="array" ref="BJ2115">IF(BM2115 = "", "",IFERROR(INDEX(AW2115:BH2115,1,MATCH(2,1/(AW2115:BH2115&lt;&gt;""),1)-1),""))</f>
        <v>0</v>
      </c>
      <c r="BK2115" s="59">
        <f>SUM(AW2115:BH2115)</f>
        <v>0</v>
      </c>
      <c r="BL2115" s="59" cm="1">
        <f t="array" ref="BL2115">IFERROR(SUM(AW2115:INDEX(AW2115:BH2115, MATCH(2, 1/(AW2115:BH2115&lt;&gt;""), 1) - 1))/_xlfn.XLOOKUP(F2115,Apuração!A:A,Apuração!B:B),0)</f>
        <v>0</v>
      </c>
      <c r="BM2115" s="55" cm="1">
        <f t="array" ref="BM2115">IFERROR(
   INDEX($AW$1:$BH$1,
      _xlfn.AGGREGATE(14, 6, COLUMN($AW$1:$BH$1)/(AW2115:BH2115&lt;&gt;""), 2) - COLUMN($AW$1) + 1
   ),
"")</f>
        <v>46082</v>
      </c>
      <c r="BN2115" s="55" cm="1">
        <f t="array" ref="BN2115">IFERROR(INDEX($AW$1:$BH$1,1,MATCH(2,1/(AW2115:BH2115&lt;&gt;""))),"")</f>
        <v>46113</v>
      </c>
      <c r="BO2115" s="53">
        <f ca="1">IFERROR(_xlfn.XLOOKUP(F2115,Apuração!A:A,Apuração!C:C)/_xlfn.XLOOKUP(F2115,Apuração!A:A,Apuração!B:B),0)</f>
        <v>0</v>
      </c>
      <c r="BP2115" s="53">
        <f ca="1">IFERROR(_xlfn.XLOOKUP(F2115,Apuração!A:A,Apuração!D:D)/_xlfn.XLOOKUP(F2115,Apuração!A:A,Apuração!B:B),0)</f>
        <v>0</v>
      </c>
      <c r="BQ2115" s="53">
        <f ca="1">IF(BK2115&gt;=BO2115,0,_xlfn.XLOOKUP(F2115,Apuração!A:A,Apuração!B:B)*(BO2115 + (1/_xlfn.XLOOKUP(F2115,Apuração!A:A,Apuração!B:B)) - BK2115))</f>
        <v>0</v>
      </c>
      <c r="BR2115" s="85">
        <f ca="1">IF(BQ2115=0,0,BQ2115*Z2115)</f>
        <v>0</v>
      </c>
      <c r="BS2115" s="53">
        <f ca="1">IFERROR((_xlfn.XLOOKUP(F2115,Apuração!A:A,Apuração!C:C)+1)/_xlfn.XLOOKUP(F2115,Apuração!A:A,Apuração!B:B),0)</f>
        <v>0.14285714285714285</v>
      </c>
    </row>
    <row r="2116" spans="1:71" ht="25.95" hidden="1" customHeight="1" x14ac:dyDescent="0.3">
      <c r="A2116" s="42" t="s">
        <v>134</v>
      </c>
      <c r="B2116" s="4" t="s">
        <v>135</v>
      </c>
      <c r="C2116" s="5" t="s">
        <v>216</v>
      </c>
      <c r="D2116" s="5" t="s">
        <v>217</v>
      </c>
      <c r="E2116" s="4" t="s">
        <v>61</v>
      </c>
      <c r="F2116" s="4" t="str" cm="1">
        <f t="array" ref="F2116">_xlfn.IFS(
AG2116 &lt;&gt; "", "Jan-Dez/26",
AH2116 &lt;&gt; "", "Fev-Dez/26",
AI2116 &lt;&gt; "", "Mar-Dez/26", AJ2116 &lt;&gt; "", "Abr-Dez/26",
TRUE, "A partir de Junho"
)</f>
        <v>A partir de Junho</v>
      </c>
      <c r="G2116" s="4" t="s">
        <v>62</v>
      </c>
      <c r="H2116" s="7" t="s">
        <v>38</v>
      </c>
      <c r="I2116" s="9" t="s">
        <v>76</v>
      </c>
      <c r="J2116" s="8" t="str" cm="1">
        <f t="array" aca="1" ref="J2116" ca="1">_xlfn.LET(
  _xlpm.actual_value_month, INDEX(T2116:AE2116, MATCH(DATE(YEAR(TODAY()), MONTH(TODAY()), 1), $T$1:$AE$1, 0)),
  IF(_xlpm.actual_value_month &lt;&gt; "",_xlpm.actual_value_month &amp; " ações mensais", "")
)</f>
        <v/>
      </c>
      <c r="K2116" s="8" t="str" cm="1">
        <f t="array" ref="K2116">_xlfn.LET(
    _xlpm.sum_month, SUM(T2116:AE2116),
    IF(_xlpm.sum_month = 0, "", _xlpm.sum_month &amp; " alcançadas no ano")
)</f>
        <v/>
      </c>
      <c r="L2116" s="9" t="s">
        <v>141</v>
      </c>
      <c r="M2116" s="24">
        <v>1</v>
      </c>
      <c r="N2116" s="5" t="s">
        <v>51</v>
      </c>
      <c r="O2116" s="5" t="s">
        <v>52</v>
      </c>
      <c r="P2116" s="10" t="s">
        <v>44</v>
      </c>
      <c r="Q2116" s="10" t="s">
        <v>44</v>
      </c>
      <c r="R2116" s="10" t="s">
        <v>44</v>
      </c>
      <c r="S2116" s="10" t="s">
        <v>44</v>
      </c>
      <c r="T2116" s="22"/>
      <c r="U2116" s="22"/>
      <c r="V2116" s="22"/>
      <c r="W2116" s="22"/>
      <c r="X2116" s="22"/>
      <c r="Y2116" s="22"/>
      <c r="Z2116" s="22"/>
      <c r="AA2116" s="22"/>
      <c r="AB2116" s="22"/>
      <c r="AC2116" s="22"/>
      <c r="AD2116" s="22"/>
      <c r="AE2116" s="22"/>
      <c r="AG2116" s="71"/>
      <c r="AH2116" s="71"/>
      <c r="AI2116" s="71"/>
      <c r="AJ2116" s="71"/>
      <c r="AK2116" s="71"/>
      <c r="AL2116" s="71"/>
      <c r="AM2116" s="71"/>
      <c r="AN2116" s="71"/>
      <c r="AO2116" s="71"/>
      <c r="AP2116" s="71"/>
      <c r="AQ2116" s="71"/>
      <c r="AR2116" s="71"/>
      <c r="AS2116" s="94">
        <f t="shared" ref="AS2116:AS2119" ca="1" si="2487">IF(MONTH(TODAY())=3,SUM(T2116:U2116),IF(MONTH(TODAY())=4,SUM(T2116:V2116),IF(MONTH(TODAY())=5,SUM(T2116:W2116),IF(MONTH(TODAY())=6,SUM(T2116:X2116),IF(MONTH(TODAY())=7,SUM(T2116:Y2116),IF(MONTH(TODAY())=8,SUM(T2116:Z2116),IF(MONTH(TODAY())=9,SUM(T2116:AA2116),IF(MONTH(TODAY())=10,SUM(T2116:AB2116),IF(MONTH(TODAY())=11,SUM(T2116:AC2116),IF(MONTH(TODAY())=12,SUM(T2116:AD2116),IF(MONTH(TODAY())=1,SUM(T2116:AE2116),T2116)))))))))))</f>
        <v>0</v>
      </c>
      <c r="AT2116" s="95">
        <f t="shared" ref="AT2116:AT2119" si="2488">SUM(AG2116:AR2116)</f>
        <v>0</v>
      </c>
      <c r="AU2116" s="97">
        <f t="shared" ref="AU2116:AU2119" si="2489">SUM(AG2116:AR2116)</f>
        <v>0</v>
      </c>
      <c r="AW2116" s="83">
        <f t="shared" ref="AW2116:AW2119" si="2490">AG2116</f>
        <v>0</v>
      </c>
      <c r="AX2116" s="83">
        <f t="shared" ref="AX2116:AX2119" si="2491">AH2116</f>
        <v>0</v>
      </c>
      <c r="AY2116" s="83">
        <f t="shared" ref="AY2116:AY2119" si="2492">AI2116</f>
        <v>0</v>
      </c>
      <c r="AZ2116" s="83">
        <f t="shared" ref="AZ2116:AZ2119" si="2493">AJ2116</f>
        <v>0</v>
      </c>
      <c r="BA2116" s="52"/>
      <c r="BB2116" s="52"/>
      <c r="BC2116" s="52"/>
      <c r="BD2116" s="52"/>
      <c r="BE2116" s="52"/>
      <c r="BF2116" s="52"/>
      <c r="BG2116" s="52"/>
      <c r="BH2116" s="52"/>
      <c r="BI2116" s="68" cm="1">
        <f t="array" ref="BI2116">IFERROR(INDEX(AW2116:BH2116,1,MATCH(2,1/(AW2116:BH2116&lt;&gt;""))),"")</f>
        <v>0</v>
      </c>
      <c r="BJ2116" s="68" cm="1">
        <f t="array" ref="BJ2116">IF(BM2116 = "", "",IFERROR(INDEX(AW2116:BH2116,1,MATCH(2,1/(AW2116:BH2116&lt;&gt;""),1)-1),""))</f>
        <v>0</v>
      </c>
      <c r="BK2116" s="59">
        <f t="shared" ref="BK2116:BK2119" si="2494">SUM(AW2116:BH2116)</f>
        <v>0</v>
      </c>
      <c r="BL2116" s="59" cm="1">
        <f t="array" ref="BL2116">IFERROR(SUM(AW2116:INDEX(AW2116:BH2116, MATCH(2, 1/(AW2116:BH2116&lt;&gt;""), 1) - 1))/_xlfn.XLOOKUP(F2116,Apuração!A:A,Apuração!B:B),0)</f>
        <v>0</v>
      </c>
      <c r="BM2116" s="55" cm="1">
        <f t="array" ref="BM2116">IFERROR(
   INDEX($AW$1:$BH$1,
      _xlfn.AGGREGATE(14, 6, COLUMN($AW$1:$BH$1)/(AW2116:BH2116&lt;&gt;""), 2) - COLUMN($AW$1) + 1
   ),
"")</f>
        <v>46082</v>
      </c>
      <c r="BN2116" s="55" cm="1">
        <f t="array" ref="BN2116">IFERROR(INDEX($AW$1:$BH$1,1,MATCH(2,1/(AW2116:BH2116&lt;&gt;""))),"")</f>
        <v>46113</v>
      </c>
      <c r="BO2116" s="53">
        <f ca="1">IFERROR(_xlfn.XLOOKUP(F2116,Apuração!A:A,Apuração!C:C)/_xlfn.XLOOKUP(F2116,Apuração!A:A,Apuração!B:B),0)</f>
        <v>0</v>
      </c>
      <c r="BP2116" s="53">
        <f ca="1">IFERROR(_xlfn.XLOOKUP(F2116,Apuração!A:A,Apuração!D:D)/_xlfn.XLOOKUP(F2116,Apuração!A:A,Apuração!B:B),0)</f>
        <v>0</v>
      </c>
      <c r="BQ2116" s="53">
        <f ca="1">IF(BK2116&gt;=BO2116,0,_xlfn.XLOOKUP(F2116,Apuração!A:A,Apuração!B:B)*(BO2116 + (1/_xlfn.XLOOKUP(F2116,Apuração!A:A,Apuração!B:B)) - BK2116))</f>
        <v>0</v>
      </c>
      <c r="BR2116" s="85">
        <f t="shared" ref="BR2116:BR2119" ca="1" si="2495">IF(BQ2116=0,0,BQ2116*Z2116)</f>
        <v>0</v>
      </c>
      <c r="BS2116" s="53">
        <f ca="1">IFERROR((_xlfn.XLOOKUP(F2116,Apuração!A:A,Apuração!C:C)+1)/_xlfn.XLOOKUP(F2116,Apuração!A:A,Apuração!B:B),0)</f>
        <v>0.14285714285714285</v>
      </c>
    </row>
    <row r="2117" spans="1:71" ht="25.95" hidden="1" customHeight="1" x14ac:dyDescent="0.3">
      <c r="A2117" s="42" t="s">
        <v>134</v>
      </c>
      <c r="B2117" s="4" t="s">
        <v>135</v>
      </c>
      <c r="C2117" s="5" t="s">
        <v>216</v>
      </c>
      <c r="D2117" s="5" t="s">
        <v>103</v>
      </c>
      <c r="E2117" s="4" t="s">
        <v>61</v>
      </c>
      <c r="F2117" s="4" t="str" cm="1">
        <f t="array" ref="F2117">_xlfn.IFS(
AG2117 &lt;&gt; "", "Jan-Dez/26",
AH2117 &lt;&gt; "", "Fev-Dez/26",
AI2117 &lt;&gt; "", "Mar-Dez/26", AJ2117 &lt;&gt; "", "Abr-Dez/26",
TRUE, "A partir de Junho"
)</f>
        <v>A partir de Junho</v>
      </c>
      <c r="G2117" s="4" t="s">
        <v>62</v>
      </c>
      <c r="H2117" s="7" t="s">
        <v>38</v>
      </c>
      <c r="I2117" s="9" t="s">
        <v>76</v>
      </c>
      <c r="J2117" s="8" t="str" cm="1">
        <f t="array" aca="1" ref="J2117" ca="1">_xlfn.LET(
  _xlpm.actual_value_month, INDEX(T2117:AE2117, MATCH(DATE(YEAR(TODAY()), MONTH(TODAY()), 1), $T$1:$AE$1, 0)),
  IF(_xlpm.actual_value_month &lt;&gt; "",_xlpm.actual_value_month &amp; " ações mensais", "")
)</f>
        <v/>
      </c>
      <c r="K2117" s="8" t="str" cm="1">
        <f t="array" ref="K2117">_xlfn.LET(
    _xlpm.sum_month, SUM(T2117:AE2117),
    IF(_xlpm.sum_month = 0, "", _xlpm.sum_month &amp; " alcançadas no ano")
)</f>
        <v/>
      </c>
      <c r="L2117" s="9" t="s">
        <v>141</v>
      </c>
      <c r="M2117" s="24">
        <v>1</v>
      </c>
      <c r="N2117" s="5" t="s">
        <v>51</v>
      </c>
      <c r="O2117" s="5" t="s">
        <v>52</v>
      </c>
      <c r="P2117" s="10" t="s">
        <v>44</v>
      </c>
      <c r="Q2117" s="10" t="s">
        <v>44</v>
      </c>
      <c r="R2117" s="10" t="s">
        <v>44</v>
      </c>
      <c r="S2117" s="10" t="s">
        <v>44</v>
      </c>
      <c r="T2117" s="22"/>
      <c r="U2117" s="22"/>
      <c r="V2117" s="22"/>
      <c r="W2117" s="22"/>
      <c r="X2117" s="22"/>
      <c r="Y2117" s="22"/>
      <c r="Z2117" s="22"/>
      <c r="AA2117" s="22"/>
      <c r="AB2117" s="22"/>
      <c r="AC2117" s="22"/>
      <c r="AD2117" s="22"/>
      <c r="AE2117" s="22"/>
      <c r="AG2117" s="71"/>
      <c r="AH2117" s="71"/>
      <c r="AI2117" s="71"/>
      <c r="AJ2117" s="71"/>
      <c r="AK2117" s="71"/>
      <c r="AL2117" s="71"/>
      <c r="AM2117" s="71"/>
      <c r="AN2117" s="71"/>
      <c r="AO2117" s="71"/>
      <c r="AP2117" s="71"/>
      <c r="AQ2117" s="71"/>
      <c r="AR2117" s="71"/>
      <c r="AS2117" s="94">
        <f t="shared" ca="1" si="2487"/>
        <v>0</v>
      </c>
      <c r="AT2117" s="95">
        <f t="shared" si="2488"/>
        <v>0</v>
      </c>
      <c r="AU2117" s="97">
        <f t="shared" si="2489"/>
        <v>0</v>
      </c>
      <c r="AW2117" s="83">
        <f t="shared" si="2490"/>
        <v>0</v>
      </c>
      <c r="AX2117" s="83">
        <f t="shared" si="2491"/>
        <v>0</v>
      </c>
      <c r="AY2117" s="83">
        <f t="shared" si="2492"/>
        <v>0</v>
      </c>
      <c r="AZ2117" s="83">
        <f t="shared" si="2493"/>
        <v>0</v>
      </c>
      <c r="BA2117" s="52"/>
      <c r="BB2117" s="52"/>
      <c r="BC2117" s="52"/>
      <c r="BD2117" s="52"/>
      <c r="BE2117" s="52"/>
      <c r="BF2117" s="52"/>
      <c r="BG2117" s="52"/>
      <c r="BH2117" s="52"/>
      <c r="BI2117" s="68" cm="1">
        <f t="array" ref="BI2117">IFERROR(INDEX(AW2117:BH2117,1,MATCH(2,1/(AW2117:BH2117&lt;&gt;""))),"")</f>
        <v>0</v>
      </c>
      <c r="BJ2117" s="68" cm="1">
        <f t="array" ref="BJ2117">IF(BM2117 = "", "",IFERROR(INDEX(AW2117:BH2117,1,MATCH(2,1/(AW2117:BH2117&lt;&gt;""),1)-1),""))</f>
        <v>0</v>
      </c>
      <c r="BK2117" s="59">
        <f t="shared" si="2494"/>
        <v>0</v>
      </c>
      <c r="BL2117" s="59" cm="1">
        <f t="array" ref="BL2117">IFERROR(SUM(AW2117:INDEX(AW2117:BH2117, MATCH(2, 1/(AW2117:BH2117&lt;&gt;""), 1) - 1))/_xlfn.XLOOKUP(F2117,Apuração!A:A,Apuração!B:B),0)</f>
        <v>0</v>
      </c>
      <c r="BM2117" s="55" cm="1">
        <f t="array" ref="BM2117">IFERROR(
   INDEX($AW$1:$BH$1,
      _xlfn.AGGREGATE(14, 6, COLUMN($AW$1:$BH$1)/(AW2117:BH2117&lt;&gt;""), 2) - COLUMN($AW$1) + 1
   ),
"")</f>
        <v>46082</v>
      </c>
      <c r="BN2117" s="55" cm="1">
        <f t="array" ref="BN2117">IFERROR(INDEX($AW$1:$BH$1,1,MATCH(2,1/(AW2117:BH2117&lt;&gt;""))),"")</f>
        <v>46113</v>
      </c>
      <c r="BO2117" s="53">
        <f ca="1">IFERROR(_xlfn.XLOOKUP(F2117,Apuração!A:A,Apuração!C:C)/_xlfn.XLOOKUP(F2117,Apuração!A:A,Apuração!B:B),0)</f>
        <v>0</v>
      </c>
      <c r="BP2117" s="53">
        <f ca="1">IFERROR(_xlfn.XLOOKUP(F2117,Apuração!A:A,Apuração!D:D)/_xlfn.XLOOKUP(F2117,Apuração!A:A,Apuração!B:B),0)</f>
        <v>0</v>
      </c>
      <c r="BQ2117" s="53">
        <f ca="1">IF(BK2117&gt;=BO2117,0,_xlfn.XLOOKUP(F2117,Apuração!A:A,Apuração!B:B)*(BO2117 + (1/_xlfn.XLOOKUP(F2117,Apuração!A:A,Apuração!B:B)) - BK2117))</f>
        <v>0</v>
      </c>
      <c r="BR2117" s="85">
        <f t="shared" ca="1" si="2495"/>
        <v>0</v>
      </c>
      <c r="BS2117" s="53">
        <f ca="1">IFERROR((_xlfn.XLOOKUP(F2117,Apuração!A:A,Apuração!C:C)+1)/_xlfn.XLOOKUP(F2117,Apuração!A:A,Apuração!B:B),0)</f>
        <v>0.14285714285714285</v>
      </c>
    </row>
    <row r="2118" spans="1:71" ht="25.95" hidden="1" customHeight="1" x14ac:dyDescent="0.3">
      <c r="A2118" s="42" t="s">
        <v>134</v>
      </c>
      <c r="B2118" s="4" t="s">
        <v>135</v>
      </c>
      <c r="C2118" s="5" t="s">
        <v>216</v>
      </c>
      <c r="D2118" s="5" t="s">
        <v>218</v>
      </c>
      <c r="E2118" s="4" t="s">
        <v>61</v>
      </c>
      <c r="F2118" s="4" t="str" cm="1">
        <f t="array" ref="F2118">_xlfn.IFS(
AG2118 &lt;&gt; "", "Jan-Dez/26",
AH2118 &lt;&gt; "", "Fev-Dez/26",
AI2118 &lt;&gt; "", "Mar-Dez/26", AJ2118 &lt;&gt; "", "Abr-Dez/26",
TRUE, "A partir de Junho"
)</f>
        <v>A partir de Junho</v>
      </c>
      <c r="G2118" s="4" t="s">
        <v>62</v>
      </c>
      <c r="H2118" s="7" t="s">
        <v>38</v>
      </c>
      <c r="I2118" s="9" t="s">
        <v>76</v>
      </c>
      <c r="J2118" s="8" t="str" cm="1">
        <f t="array" aca="1" ref="J2118" ca="1">_xlfn.LET(
  _xlpm.actual_value_month, INDEX(T2118:AE2118, MATCH(DATE(YEAR(TODAY()), MONTH(TODAY()), 1), $T$1:$AE$1, 0)),
  IF(_xlpm.actual_value_month &lt;&gt; "",_xlpm.actual_value_month &amp; " ações mensais", "")
)</f>
        <v/>
      </c>
      <c r="K2118" s="8" t="str" cm="1">
        <f t="array" ref="K2118">_xlfn.LET(
    _xlpm.sum_month, SUM(T2118:AE2118),
    IF(_xlpm.sum_month = 0, "", _xlpm.sum_month &amp; " alcançadas no ano")
)</f>
        <v/>
      </c>
      <c r="L2118" s="9" t="s">
        <v>141</v>
      </c>
      <c r="M2118" s="24">
        <v>1</v>
      </c>
      <c r="N2118" s="5" t="s">
        <v>51</v>
      </c>
      <c r="O2118" s="5" t="s">
        <v>52</v>
      </c>
      <c r="P2118" s="10" t="s">
        <v>44</v>
      </c>
      <c r="Q2118" s="10" t="s">
        <v>44</v>
      </c>
      <c r="R2118" s="10" t="s">
        <v>44</v>
      </c>
      <c r="S2118" s="10" t="s">
        <v>44</v>
      </c>
      <c r="T2118" s="22"/>
      <c r="U2118" s="22"/>
      <c r="V2118" s="22"/>
      <c r="W2118" s="22"/>
      <c r="X2118" s="22"/>
      <c r="Y2118" s="22"/>
      <c r="Z2118" s="22"/>
      <c r="AA2118" s="22"/>
      <c r="AB2118" s="22"/>
      <c r="AC2118" s="22"/>
      <c r="AD2118" s="22"/>
      <c r="AE2118" s="22"/>
      <c r="AG2118" s="71"/>
      <c r="AH2118" s="71"/>
      <c r="AI2118" s="71"/>
      <c r="AJ2118" s="71"/>
      <c r="AK2118" s="71"/>
      <c r="AL2118" s="71"/>
      <c r="AM2118" s="71"/>
      <c r="AN2118" s="71"/>
      <c r="AO2118" s="71"/>
      <c r="AP2118" s="71"/>
      <c r="AQ2118" s="71"/>
      <c r="AR2118" s="71"/>
      <c r="AS2118" s="94">
        <f t="shared" ca="1" si="2487"/>
        <v>0</v>
      </c>
      <c r="AT2118" s="95">
        <f t="shared" si="2488"/>
        <v>0</v>
      </c>
      <c r="AU2118" s="97">
        <f t="shared" si="2489"/>
        <v>0</v>
      </c>
      <c r="AW2118" s="83">
        <f t="shared" si="2490"/>
        <v>0</v>
      </c>
      <c r="AX2118" s="83">
        <f t="shared" si="2491"/>
        <v>0</v>
      </c>
      <c r="AY2118" s="83">
        <f t="shared" si="2492"/>
        <v>0</v>
      </c>
      <c r="AZ2118" s="83">
        <f t="shared" si="2493"/>
        <v>0</v>
      </c>
      <c r="BA2118" s="52"/>
      <c r="BB2118" s="52"/>
      <c r="BC2118" s="52"/>
      <c r="BD2118" s="52"/>
      <c r="BE2118" s="52"/>
      <c r="BF2118" s="52"/>
      <c r="BG2118" s="52"/>
      <c r="BH2118" s="52"/>
      <c r="BI2118" s="68" cm="1">
        <f t="array" ref="BI2118">IFERROR(INDEX(AW2118:BH2118,1,MATCH(2,1/(AW2118:BH2118&lt;&gt;""))),"")</f>
        <v>0</v>
      </c>
      <c r="BJ2118" s="68" cm="1">
        <f t="array" ref="BJ2118">IF(BM2118 = "", "",IFERROR(INDEX(AW2118:BH2118,1,MATCH(2,1/(AW2118:BH2118&lt;&gt;""),1)-1),""))</f>
        <v>0</v>
      </c>
      <c r="BK2118" s="59">
        <f t="shared" si="2494"/>
        <v>0</v>
      </c>
      <c r="BL2118" s="59" cm="1">
        <f t="array" ref="BL2118">IFERROR(SUM(AW2118:INDEX(AW2118:BH2118, MATCH(2, 1/(AW2118:BH2118&lt;&gt;""), 1) - 1))/_xlfn.XLOOKUP(F2118,Apuração!A:A,Apuração!B:B),0)</f>
        <v>0</v>
      </c>
      <c r="BM2118" s="55" cm="1">
        <f t="array" ref="BM2118">IFERROR(
   INDEX($AW$1:$BH$1,
      _xlfn.AGGREGATE(14, 6, COLUMN($AW$1:$BH$1)/(AW2118:BH2118&lt;&gt;""), 2) - COLUMN($AW$1) + 1
   ),
"")</f>
        <v>46082</v>
      </c>
      <c r="BN2118" s="55" cm="1">
        <f t="array" ref="BN2118">IFERROR(INDEX($AW$1:$BH$1,1,MATCH(2,1/(AW2118:BH2118&lt;&gt;""))),"")</f>
        <v>46113</v>
      </c>
      <c r="BO2118" s="53">
        <f ca="1">IFERROR(_xlfn.XLOOKUP(F2118,Apuração!A:A,Apuração!C:C)/_xlfn.XLOOKUP(F2118,Apuração!A:A,Apuração!B:B),0)</f>
        <v>0</v>
      </c>
      <c r="BP2118" s="53">
        <f ca="1">IFERROR(_xlfn.XLOOKUP(F2118,Apuração!A:A,Apuração!D:D)/_xlfn.XLOOKUP(F2118,Apuração!A:A,Apuração!B:B),0)</f>
        <v>0</v>
      </c>
      <c r="BQ2118" s="53">
        <f ca="1">IF(BK2118&gt;=BO2118,0,_xlfn.XLOOKUP(F2118,Apuração!A:A,Apuração!B:B)*(BO2118 + (1/_xlfn.XLOOKUP(F2118,Apuração!A:A,Apuração!B:B)) - BK2118))</f>
        <v>0</v>
      </c>
      <c r="BR2118" s="85">
        <f t="shared" ca="1" si="2495"/>
        <v>0</v>
      </c>
      <c r="BS2118" s="53">
        <f ca="1">IFERROR((_xlfn.XLOOKUP(F2118,Apuração!A:A,Apuração!C:C)+1)/_xlfn.XLOOKUP(F2118,Apuração!A:A,Apuração!B:B),0)</f>
        <v>0.14285714285714285</v>
      </c>
    </row>
    <row r="2119" spans="1:71" ht="25.95" hidden="1" customHeight="1" x14ac:dyDescent="0.3">
      <c r="A2119" s="42" t="s">
        <v>134</v>
      </c>
      <c r="B2119" s="4" t="s">
        <v>135</v>
      </c>
      <c r="C2119" s="5" t="s">
        <v>216</v>
      </c>
      <c r="D2119" s="5" t="s">
        <v>219</v>
      </c>
      <c r="E2119" s="4" t="s">
        <v>61</v>
      </c>
      <c r="F2119" s="4" t="str" cm="1">
        <f t="array" ref="F2119">_xlfn.IFS(
AG2119 &lt;&gt; "", "Jan-Dez/26",
AH2119 &lt;&gt; "", "Fev-Dez/26",
AI2119 &lt;&gt; "", "Mar-Dez/26", AJ2119 &lt;&gt; "", "Abr-Dez/26",
TRUE, "A partir de Junho"
)</f>
        <v>A partir de Junho</v>
      </c>
      <c r="G2119" s="4" t="s">
        <v>62</v>
      </c>
      <c r="H2119" s="7" t="s">
        <v>38</v>
      </c>
      <c r="I2119" s="9" t="s">
        <v>76</v>
      </c>
      <c r="J2119" s="8" t="str" cm="1">
        <f t="array" aca="1" ref="J2119" ca="1">_xlfn.LET(
  _xlpm.actual_value_month, INDEX(T2119:AE2119, MATCH(DATE(YEAR(TODAY()), MONTH(TODAY()), 1), $T$1:$AE$1, 0)),
  IF(_xlpm.actual_value_month &lt;&gt; "",_xlpm.actual_value_month &amp; " ações mensais", "")
)</f>
        <v/>
      </c>
      <c r="K2119" s="8" t="str" cm="1">
        <f t="array" ref="K2119">_xlfn.LET(
    _xlpm.sum_month, SUM(T2119:AE2119),
    IF(_xlpm.sum_month = 0, "", _xlpm.sum_month &amp; " alcançadas no ano")
)</f>
        <v/>
      </c>
      <c r="L2119" s="9" t="s">
        <v>141</v>
      </c>
      <c r="M2119" s="24">
        <v>1</v>
      </c>
      <c r="N2119" s="5" t="s">
        <v>51</v>
      </c>
      <c r="O2119" s="5" t="s">
        <v>52</v>
      </c>
      <c r="P2119" s="10" t="s">
        <v>44</v>
      </c>
      <c r="Q2119" s="10" t="s">
        <v>44</v>
      </c>
      <c r="R2119" s="10" t="s">
        <v>44</v>
      </c>
      <c r="S2119" s="10" t="s">
        <v>44</v>
      </c>
      <c r="T2119" s="22"/>
      <c r="U2119" s="22"/>
      <c r="V2119" s="22"/>
      <c r="W2119" s="22"/>
      <c r="X2119" s="22"/>
      <c r="Y2119" s="22"/>
      <c r="Z2119" s="22"/>
      <c r="AA2119" s="22"/>
      <c r="AB2119" s="22"/>
      <c r="AC2119" s="22"/>
      <c r="AD2119" s="22"/>
      <c r="AE2119" s="22"/>
      <c r="AG2119" s="71"/>
      <c r="AH2119" s="71"/>
      <c r="AI2119" s="71"/>
      <c r="AJ2119" s="71"/>
      <c r="AK2119" s="71"/>
      <c r="AL2119" s="71"/>
      <c r="AM2119" s="71"/>
      <c r="AN2119" s="71"/>
      <c r="AO2119" s="71"/>
      <c r="AP2119" s="71"/>
      <c r="AQ2119" s="71"/>
      <c r="AR2119" s="71"/>
      <c r="AS2119" s="94">
        <f t="shared" ca="1" si="2487"/>
        <v>0</v>
      </c>
      <c r="AT2119" s="95">
        <f t="shared" si="2488"/>
        <v>0</v>
      </c>
      <c r="AU2119" s="97">
        <f t="shared" si="2489"/>
        <v>0</v>
      </c>
      <c r="AW2119" s="83">
        <f t="shared" si="2490"/>
        <v>0</v>
      </c>
      <c r="AX2119" s="83">
        <f t="shared" si="2491"/>
        <v>0</v>
      </c>
      <c r="AY2119" s="83">
        <f t="shared" si="2492"/>
        <v>0</v>
      </c>
      <c r="AZ2119" s="83">
        <f t="shared" si="2493"/>
        <v>0</v>
      </c>
      <c r="BA2119" s="52"/>
      <c r="BB2119" s="52"/>
      <c r="BC2119" s="52"/>
      <c r="BD2119" s="52"/>
      <c r="BE2119" s="52"/>
      <c r="BF2119" s="52"/>
      <c r="BG2119" s="52"/>
      <c r="BH2119" s="52"/>
      <c r="BI2119" s="68" cm="1">
        <f t="array" ref="BI2119">IFERROR(INDEX(AW2119:BH2119,1,MATCH(2,1/(AW2119:BH2119&lt;&gt;""))),"")</f>
        <v>0</v>
      </c>
      <c r="BJ2119" s="68" cm="1">
        <f t="array" ref="BJ2119">IF(BM2119 = "", "",IFERROR(INDEX(AW2119:BH2119,1,MATCH(2,1/(AW2119:BH2119&lt;&gt;""),1)-1),""))</f>
        <v>0</v>
      </c>
      <c r="BK2119" s="59">
        <f t="shared" si="2494"/>
        <v>0</v>
      </c>
      <c r="BL2119" s="59" cm="1">
        <f t="array" ref="BL2119">IFERROR(SUM(AW2119:INDEX(AW2119:BH2119, MATCH(2, 1/(AW2119:BH2119&lt;&gt;""), 1) - 1))/_xlfn.XLOOKUP(F2119,Apuração!A:A,Apuração!B:B),0)</f>
        <v>0</v>
      </c>
      <c r="BM2119" s="55" cm="1">
        <f t="array" ref="BM2119">IFERROR(
   INDEX($AW$1:$BH$1,
      _xlfn.AGGREGATE(14, 6, COLUMN($AW$1:$BH$1)/(AW2119:BH2119&lt;&gt;""), 2) - COLUMN($AW$1) + 1
   ),
"")</f>
        <v>46082</v>
      </c>
      <c r="BN2119" s="55" cm="1">
        <f t="array" ref="BN2119">IFERROR(INDEX($AW$1:$BH$1,1,MATCH(2,1/(AW2119:BH2119&lt;&gt;""))),"")</f>
        <v>46113</v>
      </c>
      <c r="BO2119" s="53">
        <f ca="1">IFERROR(_xlfn.XLOOKUP(F2119,Apuração!A:A,Apuração!C:C)/_xlfn.XLOOKUP(F2119,Apuração!A:A,Apuração!B:B),0)</f>
        <v>0</v>
      </c>
      <c r="BP2119" s="53">
        <f ca="1">IFERROR(_xlfn.XLOOKUP(F2119,Apuração!A:A,Apuração!D:D)/_xlfn.XLOOKUP(F2119,Apuração!A:A,Apuração!B:B),0)</f>
        <v>0</v>
      </c>
      <c r="BQ2119" s="53">
        <f ca="1">IF(BK2119&gt;=BO2119,0,_xlfn.XLOOKUP(F2119,Apuração!A:A,Apuração!B:B)*(BO2119 + (1/_xlfn.XLOOKUP(F2119,Apuração!A:A,Apuração!B:B)) - BK2119))</f>
        <v>0</v>
      </c>
      <c r="BR2119" s="85">
        <f t="shared" ca="1" si="2495"/>
        <v>0</v>
      </c>
      <c r="BS2119" s="53">
        <f ca="1">IFERROR((_xlfn.XLOOKUP(F2119,Apuração!A:A,Apuração!C:C)+1)/_xlfn.XLOOKUP(F2119,Apuração!A:A,Apuração!B:B),0)</f>
        <v>0.14285714285714285</v>
      </c>
    </row>
    <row r="2120" spans="1:71" ht="25.95" hidden="1" customHeight="1" x14ac:dyDescent="0.3">
      <c r="A2120" s="23" t="s">
        <v>134</v>
      </c>
      <c r="B2120" s="4" t="s">
        <v>142</v>
      </c>
      <c r="C2120" s="5" t="s">
        <v>216</v>
      </c>
      <c r="D2120" s="5" t="s">
        <v>36</v>
      </c>
      <c r="E2120" s="4" t="str" cm="1">
        <f t="array" ref="E2120">_xlfn.IFS(
F2120 = "A partir de Abril", "Aguardando Execução na Distribuidora",
A2120 = "CAPACITAÇÃO", "Em execução no Corporativo",
TRUE, "Em Execução na Distribuidora"
)</f>
        <v>Em Execução na Distribuidora</v>
      </c>
      <c r="F2120" s="4" t="str" cm="1">
        <f t="array" ref="F2120">_xlfn.IFS(
AG2120 &lt;&gt; "", "Jan-Dez/26",
AH2120 &lt;&gt; "", "Fev-Dez/26",
AI2120 &lt;&gt; "", "Mar-Dez/26", AJ2120 &lt;&gt; "", "Abr-Dez/26",
TRUE, "A partir de Junho"
)</f>
        <v>Jan-Dez/26</v>
      </c>
      <c r="G2120" s="4" t="s">
        <v>37</v>
      </c>
      <c r="H2120" s="7" t="s">
        <v>38</v>
      </c>
      <c r="I2120" s="8" t="s">
        <v>143</v>
      </c>
      <c r="J2120" s="8" t="str" cm="1">
        <f t="array" aca="1" ref="J2120" ca="1">_xlfn.LET(
  _xlpm.actual_value_month, INDEX(T2120:AE2120, MATCH(DATE(YEAR(TODAY()), MONTH(TODAY()), 1), $T$1:$AE$1, 0)),
  IF(_xlpm.actual_value_month &lt;&gt; "",_xlpm.actual_value_month &amp; " equipes mensais", "")
)</f>
        <v>100 equipes mensais</v>
      </c>
      <c r="K2120" s="8" t="str" cm="1">
        <f t="array" ref="K2120">_xlfn.LET(
    _xlpm.sum_month, SUM(T2120:AE2120),
    IF(_xlpm.sum_month = 0, "", _xlpm.sum_month &amp; " equipes inspencionadas no ano")
)</f>
        <v>4727 equipes inspencionadas no ano</v>
      </c>
      <c r="L2120" s="4" t="s">
        <v>144</v>
      </c>
      <c r="M2120" s="24" t="s">
        <v>145</v>
      </c>
      <c r="N2120" s="5" t="s">
        <v>42</v>
      </c>
      <c r="O2120" s="5" t="s">
        <v>43</v>
      </c>
      <c r="P2120" s="10" t="s">
        <v>146</v>
      </c>
      <c r="Q2120" s="10" t="s">
        <v>44</v>
      </c>
      <c r="R2120" s="11" t="s">
        <v>147</v>
      </c>
      <c r="S2120" s="11" t="s">
        <v>44</v>
      </c>
      <c r="T2120" s="22">
        <v>1390</v>
      </c>
      <c r="U2120" s="22">
        <v>1266</v>
      </c>
      <c r="V2120" s="22">
        <v>1171</v>
      </c>
      <c r="W2120" s="22">
        <v>100</v>
      </c>
      <c r="X2120" s="22">
        <v>100</v>
      </c>
      <c r="Y2120" s="22">
        <v>100</v>
      </c>
      <c r="Z2120" s="22">
        <v>100</v>
      </c>
      <c r="AA2120" s="22">
        <v>100</v>
      </c>
      <c r="AB2120" s="22">
        <v>100</v>
      </c>
      <c r="AC2120" s="22">
        <v>100</v>
      </c>
      <c r="AD2120" s="22">
        <v>100</v>
      </c>
      <c r="AE2120" s="22">
        <v>100</v>
      </c>
      <c r="AG2120" s="71">
        <v>1390</v>
      </c>
      <c r="AH2120" s="71">
        <v>1266</v>
      </c>
      <c r="AI2120" s="71">
        <v>1171</v>
      </c>
      <c r="AJ2120" s="71">
        <v>1557</v>
      </c>
      <c r="AK2120" s="71"/>
      <c r="AL2120" s="71"/>
      <c r="AM2120" s="71"/>
      <c r="AN2120" s="71"/>
      <c r="AO2120" s="71"/>
      <c r="AP2120" s="71"/>
      <c r="AQ2120" s="71"/>
      <c r="AR2120" s="71"/>
      <c r="AS2120" s="94">
        <f ca="1">IF(MONTH(TODAY())=3,SUM(T2120:U2120),IF(MONTH(TODAY())=4,SUM(T2120:V2120),IF(MONTH(TODAY())=5,SUM(T2120:W2120),IF(MONTH(TODAY())=6,SUM(T2120:X2120),IF(MONTH(TODAY())=7,SUM(T2120:Y2120),IF(MONTH(TODAY())=8,SUM(T2120:Z2120),IF(MONTH(TODAY())=9,SUM(T2120:AA2120),IF(MONTH(TODAY())=10,SUM(T2120:AB2120),IF(MONTH(TODAY())=11,SUM(T2120:AC2120),IF(MONTH(TODAY())=12,SUM(T2120:AD2120),IF(MONTH(TODAY())=1,SUM(T2120:AE2120),T2120)))))))))))</f>
        <v>4027</v>
      </c>
      <c r="AT2120" s="95">
        <f>SUM(IF(AW2120&lt;1.15,AG2120,1.15*T2120),IF(AX2120&lt;1.15,AH2120,1.15*U2120),IF(AY2120&lt;1.15,AI2120,1.15*V2120),IF(AZ2120&lt;1.15,AJ2120,1.15*W2120),IF(BA2120&lt;1.15,AK2120,1.15*X2120),IF(BB2120&lt;1.15,AL2120,1.15*Y2120),IF(BC2120&lt;1.15,AM2120,1.15*Z2120),IF(BD2120&lt;1.15,AN2120,1.15*AA2120),IF(BE2120&lt;1.15,AO2120,1.15*AB2120),IF(BF2120&lt;1.15,AP2120,1.15*AC2120),IF(BG2120&lt;1.15,AQ2120,1.15*AD2120),IF(BH2120&lt;1.15,AR2120,1.15*AE2120))</f>
        <v>3942</v>
      </c>
      <c r="AU2120" s="97">
        <f>SUM(AG2120:AR2120)</f>
        <v>5384</v>
      </c>
      <c r="AW2120" s="51">
        <f>IFERROR(IF(AG2120="",0,AG2120/T2120),0)</f>
        <v>1</v>
      </c>
      <c r="AX2120" s="51">
        <f>IFERROR(IF(AH2120="",0,AH2120/U2120),0)</f>
        <v>1</v>
      </c>
      <c r="AY2120" s="51">
        <f>IFERROR(IF(AI2120="",0,AI2120/V2120),0)</f>
        <v>1</v>
      </c>
      <c r="AZ2120" s="51">
        <f>IFERROR(IF(AJ2120="",0,AJ2120/W2120),0)</f>
        <v>15.57</v>
      </c>
      <c r="BA2120" s="51"/>
      <c r="BB2120" s="51"/>
      <c r="BC2120" s="51"/>
      <c r="BD2120" s="51"/>
      <c r="BE2120" s="51"/>
      <c r="BF2120" s="51"/>
      <c r="BG2120" s="51"/>
      <c r="BH2120" s="51"/>
      <c r="BI2120" s="65" cm="1">
        <f t="array" ref="BI2120">IFERROR(INDEX(AW2120:BH2120,1,MATCH(2,1/(AW2120:BH2120&lt;&gt;""))),"")</f>
        <v>15.57</v>
      </c>
      <c r="BJ2120" s="68" cm="1">
        <f t="array" ref="BJ2120">IF(BM2120 = "", "",IFERROR(INDEX(AW2120:BH2120,1,MATCH(2,1/(AW2120:BH2120&lt;&gt;""),1)-1),""))</f>
        <v>1</v>
      </c>
      <c r="BK2120" s="58">
        <f>IF((IF(AW2120&gt;=115%,115%,AW2120) + IF(AX2120&gt;=115%,115%,AX2120) + IF(AY2120&gt;=115%,115%,AY2120) + (IF(AZ2120&gt;=115%,115%,AZ2120) + IF(BA2120&gt;=130%,130%,BA2120) + IF(BB2120&gt;=115%,115%,BB2120) + IF(BC2120&gt;=115%,115%,BC2120) + IF(BD2120&gt;=115%,115%,BD2120) + IF(BE2120&gt;=115%,115%,BE2120) + IF(BF2120&gt;=115%,115%,BF2120) + IF(BG2120&gt;=115%,115%,BG2120) + IF(BH2120&gt;=115%,115%,BH2120)))/_xlfn.XLOOKUP(F2120,Apuração!A:A,Apuração!B:B)&gt;=1.15,1.15,((IF(AZ2120&gt;=115%,115%,AZ2120) + IF(AX2120&gt;=115%,115%,AX2120) + IF(AY2120&gt;=115%,115%,AY2120) + (IF(AW2120&gt;=115%,115%,AW2120) + IF(BA2120&gt;=130%,130%,BA2120) + IF(BB2120&gt;=115%,115%,BB2120) + IF(BC2120&gt;=115%,115%,BC2120) + IF(BD2120&gt;=115%,115%,BD2120) + IF(BE2120&gt;=115%,115%,BE2120) + IF(BF2120&gt;=115%,115%,BF2120) + IF(BG2120&gt;=115%,115%,BG2120) + IF(BH2120&gt;=115%,115%,BH2120)))/_xlfn.XLOOKUP(F2120,Apuração!A:A,Apuração!B:B)))</f>
        <v>0.34583333333333338</v>
      </c>
      <c r="BL2120" s="58" cm="1">
        <f t="array" aca="1" ref="BL2120" ca="1">IF(SUM(IFERROR(IF(INDEX(AW2120:INDEX(AW2120:BH2120, MATCH(2, 1/(AW2120:BH2120&lt;&gt;""), 1)-1), ROW(INDIRECT("1:" &amp; MATCH(2, 1/(AW2120:BH2120&lt;&gt;""), 1)-1))) &gt;= 115%, 115%, INDEX(AW2120:INDEX(AW2120:BH2120, MATCH(2, 1/(AW2120:BH2120&lt;&gt;""), 1)-1), ROW(INDIRECT("1:" &amp; MATCH(2, 1/(AW2120:BH2120&lt;&gt;""), 1)-1)))), 0))/_xlfn.XLOOKUP(F2120,Apuração!A:A,Apuração!B:B)&gt;=1.15,1.15,SUM(IFERROR(IF(INDEX(AW2120:INDEX(AW2120:BH2120, MATCH(2, 1/(AW2120:BH2120&lt;&gt;""), 1)-1), ROW(INDIRECT("1:" &amp; MATCH(2, 1/(AW2120:BH2120&lt;&gt;""), 1)-1))) &gt;= 115%, 115%, INDEX(AW2120:INDEX(AW2120:BH2120, MATCH(2, 1/(AW2120:BH2120&lt;&gt;""), 1)-1), ROW(INDIRECT("1:" &amp; MATCH(2, 1/(AW2120:BH2120&lt;&gt;""), 1)-1)))), 0))/_xlfn.XLOOKUP(F2120,Apuração!A:A,Apuração!B:B))</f>
        <v>0.25</v>
      </c>
      <c r="BM2120" s="55" cm="1">
        <f t="array" ref="BM2120">IFERROR(
   INDEX($AW$1:$BH$1,
      _xlfn.AGGREGATE(14, 6, COLUMN($AW$1:$BH$1)/(AW2120:BH2120&lt;&gt;""), 2) - COLUMN($AW$1) + 1
   ),
"")</f>
        <v>46082</v>
      </c>
      <c r="BN2120" s="55" cm="1">
        <f t="array" ref="BN2120">IFERROR(INDEX($AW$1:$BH$1,1,MATCH(2,1/(AW2120:BH2120&lt;&gt;""))),"")</f>
        <v>46113</v>
      </c>
      <c r="BO2120" s="53">
        <f ca="1">IFERROR(_xlfn.XLOOKUP(F2120,Apuração!A:A,Apuração!C:C)/_xlfn.XLOOKUP(F2120,Apuração!A:A,Apuração!B:B),0)</f>
        <v>0.41666666666666669</v>
      </c>
      <c r="BP2120" s="53">
        <f ca="1">IFERROR(_xlfn.XLOOKUP(F2120,Apuração!A:A,Apuração!D:D)/_xlfn.XLOOKUP(F2120,Apuração!A:A,Apuração!B:B),0)</f>
        <v>0.33333333333333331</v>
      </c>
      <c r="BQ2120" s="53">
        <f ca="1">IF(BK2120&gt;=BO2120,0,_xlfn.XLOOKUP(F2120,Apuração!A:A,Apuração!B:B)*(BO2120 + (1/_xlfn.XLOOKUP(F2120,Apuração!A:A,Apuração!B:B)) - BK2120))</f>
        <v>1.8499999999999994</v>
      </c>
      <c r="BR2120" s="85">
        <f ca="1">IF(BQ2120=0,0,BQ2120*Z2120)</f>
        <v>184.99999999999994</v>
      </c>
      <c r="BS2120" s="53">
        <f ca="1">IFERROR((_xlfn.XLOOKUP(F2120,Apuração!A:A,Apuração!C:C)+1)/_xlfn.XLOOKUP(F2120,Apuração!A:A,Apuração!B:B),0)</f>
        <v>0.5</v>
      </c>
    </row>
    <row r="2121" spans="1:71" ht="25.95" hidden="1" customHeight="1" x14ac:dyDescent="0.3">
      <c r="A2121" s="23" t="s">
        <v>134</v>
      </c>
      <c r="B2121" s="4" t="s">
        <v>142</v>
      </c>
      <c r="C2121" s="5" t="s">
        <v>216</v>
      </c>
      <c r="D2121" s="5" t="s">
        <v>217</v>
      </c>
      <c r="E2121" s="4" t="str" cm="1">
        <f t="array" ref="E2121">_xlfn.IFS(
F2121 = "A partir de Abril", "Aguardando Execução na Distribuidora",
A2121 = "CAPACITAÇÃO", "Em execução no Corporativo",
TRUE, "Em Execução na Distribuidora"
)</f>
        <v>Em Execução na Distribuidora</v>
      </c>
      <c r="F2121" s="4" t="str" cm="1">
        <f t="array" ref="F2121">_xlfn.IFS(
AG2121 &lt;&gt; "", "Jan-Dez/26",
AH2121 &lt;&gt; "", "Fev-Dez/26",
AI2121 &lt;&gt; "", "Mar-Dez/26", AJ2121 &lt;&gt; "", "Abr-Dez/26",
TRUE, "A partir de Junho"
)</f>
        <v>Abr-Dez/26</v>
      </c>
      <c r="G2121" s="4" t="s">
        <v>37</v>
      </c>
      <c r="H2121" s="7" t="s">
        <v>38</v>
      </c>
      <c r="I2121" s="8" t="s">
        <v>143</v>
      </c>
      <c r="J2121" s="8" t="str" cm="1">
        <f t="array" aca="1" ref="J2121" ca="1">_xlfn.LET(
  _xlpm.actual_value_month, INDEX(T2121:AE2121, MATCH(DATE(YEAR(TODAY()), MONTH(TODAY()), 1), $T$1:$AE$1, 0)),
  IF(_xlpm.actual_value_month &lt;&gt; "",_xlpm.actual_value_month &amp; " equipes mensais", "")
)</f>
        <v>123 equipes mensais</v>
      </c>
      <c r="K2121" s="8" t="str" cm="1">
        <f t="array" ref="K2121">_xlfn.LET(
    _xlpm.sum_month, SUM(T2121:AE2121),
    IF(_xlpm.sum_month = 0, "", _xlpm.sum_month &amp; " equipes inspencionadas no ano")
)</f>
        <v>1107 equipes inspencionadas no ano</v>
      </c>
      <c r="L2121" s="4" t="s">
        <v>144</v>
      </c>
      <c r="M2121" s="24" t="s">
        <v>145</v>
      </c>
      <c r="N2121" s="5" t="s">
        <v>42</v>
      </c>
      <c r="O2121" s="5" t="s">
        <v>43</v>
      </c>
      <c r="P2121" s="10" t="s">
        <v>146</v>
      </c>
      <c r="Q2121" s="10" t="s">
        <v>44</v>
      </c>
      <c r="R2121" s="11" t="s">
        <v>147</v>
      </c>
      <c r="S2121" s="11" t="s">
        <v>44</v>
      </c>
      <c r="T2121" s="22"/>
      <c r="U2121" s="22"/>
      <c r="V2121" s="22"/>
      <c r="W2121" s="143">
        <v>123</v>
      </c>
      <c r="X2121" s="143">
        <v>123</v>
      </c>
      <c r="Y2121" s="143">
        <v>123</v>
      </c>
      <c r="Z2121" s="143">
        <v>123</v>
      </c>
      <c r="AA2121" s="143">
        <v>123</v>
      </c>
      <c r="AB2121" s="143">
        <v>123</v>
      </c>
      <c r="AC2121" s="143">
        <v>123</v>
      </c>
      <c r="AD2121" s="143">
        <v>123</v>
      </c>
      <c r="AE2121" s="143">
        <v>123</v>
      </c>
      <c r="AG2121" s="71"/>
      <c r="AH2121" s="71"/>
      <c r="AI2121" s="71"/>
      <c r="AJ2121" s="145">
        <v>447</v>
      </c>
      <c r="AK2121" s="71"/>
      <c r="AL2121" s="71"/>
      <c r="AM2121" s="71"/>
      <c r="AN2121" s="71"/>
      <c r="AO2121" s="71"/>
      <c r="AP2121" s="71"/>
      <c r="AQ2121" s="71"/>
      <c r="AR2121" s="71"/>
      <c r="AS2121" s="94">
        <f t="shared" ref="AS2121:AS2124" ca="1" si="2496">IF(MONTH(TODAY())=3,SUM(T2121:U2121),IF(MONTH(TODAY())=4,SUM(T2121:V2121),IF(MONTH(TODAY())=5,SUM(T2121:W2121),IF(MONTH(TODAY())=6,SUM(T2121:X2121),IF(MONTH(TODAY())=7,SUM(T2121:Y2121),IF(MONTH(TODAY())=8,SUM(T2121:Z2121),IF(MONTH(TODAY())=9,SUM(T2121:AA2121),IF(MONTH(TODAY())=10,SUM(T2121:AB2121),IF(MONTH(TODAY())=11,SUM(T2121:AC2121),IF(MONTH(TODAY())=12,SUM(T2121:AD2121),IF(MONTH(TODAY())=1,SUM(T2121:AE2121),T2121)))))))))))</f>
        <v>246</v>
      </c>
      <c r="AT2121" s="95">
        <f t="shared" ref="AT2121:AT2124" si="2497">SUM(IF(AW2121&lt;1.15,AG2121,1.15*T2121),IF(AX2121&lt;1.15,AH2121,1.15*U2121),IF(AY2121&lt;1.15,AI2121,1.15*V2121),IF(AZ2121&lt;1.15,AJ2121,1.15*W2121),IF(BA2121&lt;1.15,AK2121,1.15*X2121),IF(BB2121&lt;1.15,AL2121,1.15*Y2121),IF(BC2121&lt;1.15,AM2121,1.15*Z2121),IF(BD2121&lt;1.15,AN2121,1.15*AA2121),IF(BE2121&lt;1.15,AO2121,1.15*AB2121),IF(BF2121&lt;1.15,AP2121,1.15*AC2121),IF(BG2121&lt;1.15,AQ2121,1.15*AD2121),IF(BH2121&lt;1.15,AR2121,1.15*AE2121))</f>
        <v>141.44999999999999</v>
      </c>
      <c r="AU2121" s="97">
        <f t="shared" ref="AU2121:AU2124" si="2498">SUM(AG2121:AR2121)</f>
        <v>447</v>
      </c>
      <c r="AW2121" s="51">
        <f t="shared" ref="AW2121:AW2124" si="2499">IFERROR(IF(AG2121="",0,AG2121/T2121),0)</f>
        <v>0</v>
      </c>
      <c r="AX2121" s="51">
        <f t="shared" ref="AX2121:AX2124" si="2500">IFERROR(IF(AH2121="",0,AH2121/U2121),0)</f>
        <v>0</v>
      </c>
      <c r="AY2121" s="51">
        <f t="shared" ref="AY2121:AY2124" si="2501">IFERROR(IF(AI2121="",0,AI2121/V2121),0)</f>
        <v>0</v>
      </c>
      <c r="AZ2121" s="51">
        <f t="shared" ref="AZ2121:AZ2124" si="2502">IFERROR(IF(AJ2121="",0,AJ2121/W2121),0)</f>
        <v>3.6341463414634148</v>
      </c>
      <c r="BA2121" s="51"/>
      <c r="BB2121" s="51"/>
      <c r="BC2121" s="51"/>
      <c r="BD2121" s="51"/>
      <c r="BE2121" s="51"/>
      <c r="BF2121" s="51"/>
      <c r="BG2121" s="51"/>
      <c r="BH2121" s="51"/>
      <c r="BI2121" s="65" cm="1">
        <f t="array" ref="BI2121">IFERROR(INDEX(AW2121:BH2121,1,MATCH(2,1/(AW2121:BH2121&lt;&gt;""))),"")</f>
        <v>3.6341463414634148</v>
      </c>
      <c r="BJ2121" s="68" cm="1">
        <f t="array" ref="BJ2121">IF(BM2121 = "", "",IFERROR(INDEX(AW2121:BH2121,1,MATCH(2,1/(AW2121:BH2121&lt;&gt;""),1)-1),""))</f>
        <v>0</v>
      </c>
      <c r="BK2121" s="58">
        <f>IF((IF(AW2121&gt;=115%,115%,AW2121) + IF(AX2121&gt;=115%,115%,AX2121) + IF(AY2121&gt;=115%,115%,AY2121) + (IF(AZ2121&gt;=115%,115%,AZ2121) + IF(BA2121&gt;=130%,130%,BA2121) + IF(BB2121&gt;=115%,115%,BB2121) + IF(BC2121&gt;=115%,115%,BC2121) + IF(BD2121&gt;=115%,115%,BD2121) + IF(BE2121&gt;=115%,115%,BE2121) + IF(BF2121&gt;=115%,115%,BF2121) + IF(BG2121&gt;=115%,115%,BG2121) + IF(BH2121&gt;=115%,115%,BH2121)))/_xlfn.XLOOKUP(F2121,Apuração!A:A,Apuração!B:B)&gt;=1.15,1.15,((IF(AZ2121&gt;=115%,115%,AZ2121) + IF(AX2121&gt;=115%,115%,AX2121) + IF(AY2121&gt;=115%,115%,AY2121) + (IF(AW2121&gt;=115%,115%,AW2121) + IF(BA2121&gt;=130%,130%,BA2121) + IF(BB2121&gt;=115%,115%,BB2121) + IF(BC2121&gt;=115%,115%,BC2121) + IF(BD2121&gt;=115%,115%,BD2121) + IF(BE2121&gt;=115%,115%,BE2121) + IF(BF2121&gt;=115%,115%,BF2121) + IF(BG2121&gt;=115%,115%,BG2121) + IF(BH2121&gt;=115%,115%,BH2121)))/_xlfn.XLOOKUP(F2121,Apuração!A:A,Apuração!B:B)))</f>
        <v>0.12777777777777777</v>
      </c>
      <c r="BL2121" s="58" cm="1">
        <f t="array" aca="1" ref="BL2121" ca="1">IF(SUM(IFERROR(IF(INDEX(AW2121:INDEX(AW2121:BH2121, MATCH(2, 1/(AW2121:BH2121&lt;&gt;""), 1)-1), ROW(INDIRECT("1:" &amp; MATCH(2, 1/(AW2121:BH2121&lt;&gt;""), 1)-1))) &gt;= 115%, 115%, INDEX(AW2121:INDEX(AW2121:BH2121, MATCH(2, 1/(AW2121:BH2121&lt;&gt;""), 1)-1), ROW(INDIRECT("1:" &amp; MATCH(2, 1/(AW2121:BH2121&lt;&gt;""), 1)-1)))), 0))/_xlfn.XLOOKUP(F2121,Apuração!A:A,Apuração!B:B)&gt;=1.15,1.15,SUM(IFERROR(IF(INDEX(AW2121:INDEX(AW2121:BH2121, MATCH(2, 1/(AW2121:BH2121&lt;&gt;""), 1)-1), ROW(INDIRECT("1:" &amp; MATCH(2, 1/(AW2121:BH2121&lt;&gt;""), 1)-1))) &gt;= 115%, 115%, INDEX(AW2121:INDEX(AW2121:BH2121, MATCH(2, 1/(AW2121:BH2121&lt;&gt;""), 1)-1), ROW(INDIRECT("1:" &amp; MATCH(2, 1/(AW2121:BH2121&lt;&gt;""), 1)-1)))), 0))/_xlfn.XLOOKUP(F2121,Apuração!A:A,Apuração!B:B))</f>
        <v>0</v>
      </c>
      <c r="BM2121" s="55" cm="1">
        <f t="array" ref="BM2121">IFERROR(
   INDEX($AW$1:$BH$1,
      _xlfn.AGGREGATE(14, 6, COLUMN($AW$1:$BH$1)/(AW2121:BH2121&lt;&gt;""), 2) - COLUMN($AW$1) + 1
   ),
"")</f>
        <v>46082</v>
      </c>
      <c r="BN2121" s="55" cm="1">
        <f t="array" ref="BN2121">IFERROR(INDEX($AW$1:$BH$1,1,MATCH(2,1/(AW2121:BH2121&lt;&gt;""))),"")</f>
        <v>46113</v>
      </c>
      <c r="BO2121" s="53">
        <f ca="1">IFERROR(_xlfn.XLOOKUP(F2121,Apuração!A:A,Apuração!C:C)/_xlfn.XLOOKUP(F2121,Apuração!A:A,Apuração!B:B),0)</f>
        <v>0.22222222222222221</v>
      </c>
      <c r="BP2121" s="53">
        <f ca="1">IFERROR(_xlfn.XLOOKUP(F2121,Apuração!A:A,Apuração!D:D)/_xlfn.XLOOKUP(F2121,Apuração!A:A,Apuração!B:B),0)</f>
        <v>0.1111111111111111</v>
      </c>
      <c r="BQ2121" s="53">
        <f ca="1">IF(BK2121&gt;=BO2121,0,_xlfn.XLOOKUP(F2121,Apuração!A:A,Apuração!B:B)*(BO2121 + (1/_xlfn.XLOOKUP(F2121,Apuração!A:A,Apuração!B:B)) - BK2121))</f>
        <v>1.8499999999999999</v>
      </c>
      <c r="BR2121" s="85">
        <f t="shared" ref="BR2121:BR2124" ca="1" si="2503">IF(BQ2121=0,0,BQ2121*Z2121)</f>
        <v>227.54999999999998</v>
      </c>
      <c r="BS2121" s="53">
        <f ca="1">IFERROR((_xlfn.XLOOKUP(F2121,Apuração!A:A,Apuração!C:C)+1)/_xlfn.XLOOKUP(F2121,Apuração!A:A,Apuração!B:B),0)</f>
        <v>0.33333333333333331</v>
      </c>
    </row>
    <row r="2122" spans="1:71" ht="25.95" hidden="1" customHeight="1" x14ac:dyDescent="0.3">
      <c r="A2122" s="23" t="s">
        <v>134</v>
      </c>
      <c r="B2122" s="4" t="s">
        <v>142</v>
      </c>
      <c r="C2122" s="5" t="s">
        <v>216</v>
      </c>
      <c r="D2122" s="5" t="s">
        <v>103</v>
      </c>
      <c r="E2122" s="4" t="str" cm="1">
        <f t="array" ref="E2122">_xlfn.IFS(
F2122 = "A partir de Abril", "Aguardando Execução na Distribuidora",
A2122 = "CAPACITAÇÃO", "Em execução no Corporativo",
TRUE, "Em Execução na Distribuidora"
)</f>
        <v>Em Execução na Distribuidora</v>
      </c>
      <c r="F2122" s="4" t="str" cm="1">
        <f t="array" ref="F2122">_xlfn.IFS(
AG2122 &lt;&gt; "", "Jan-Dez/26",
AH2122 &lt;&gt; "", "Fev-Dez/26",
AI2122 &lt;&gt; "", "Mar-Dez/26", AJ2122 &lt;&gt; "", "Abr-Dez/26",
TRUE, "A partir de Junho"
)</f>
        <v>Abr-Dez/26</v>
      </c>
      <c r="G2122" s="4" t="s">
        <v>37</v>
      </c>
      <c r="H2122" s="7" t="s">
        <v>38</v>
      </c>
      <c r="I2122" s="8" t="s">
        <v>143</v>
      </c>
      <c r="J2122" s="8" t="str" cm="1">
        <f t="array" aca="1" ref="J2122" ca="1">_xlfn.LET(
  _xlpm.actual_value_month, INDEX(T2122:AE2122, MATCH(DATE(YEAR(TODAY()), MONTH(TODAY()), 1), $T$1:$AE$1, 0)),
  IF(_xlpm.actual_value_month &lt;&gt; "",_xlpm.actual_value_month &amp; " equipes mensais", "")
)</f>
        <v>129 equipes mensais</v>
      </c>
      <c r="K2122" s="8" t="str" cm="1">
        <f t="array" ref="K2122">_xlfn.LET(
    _xlpm.sum_month, SUM(T2122:AE2122),
    IF(_xlpm.sum_month = 0, "", _xlpm.sum_month &amp; " equipes inspencionadas no ano")
)</f>
        <v>1161 equipes inspencionadas no ano</v>
      </c>
      <c r="L2122" s="4" t="s">
        <v>144</v>
      </c>
      <c r="M2122" s="24" t="s">
        <v>145</v>
      </c>
      <c r="N2122" s="5" t="s">
        <v>42</v>
      </c>
      <c r="O2122" s="5" t="s">
        <v>43</v>
      </c>
      <c r="P2122" s="10" t="s">
        <v>146</v>
      </c>
      <c r="Q2122" s="10" t="s">
        <v>44</v>
      </c>
      <c r="R2122" s="11" t="s">
        <v>147</v>
      </c>
      <c r="S2122" s="11" t="s">
        <v>44</v>
      </c>
      <c r="T2122" s="22"/>
      <c r="U2122" s="22"/>
      <c r="V2122" s="22"/>
      <c r="W2122" s="143">
        <v>129</v>
      </c>
      <c r="X2122" s="143">
        <v>129</v>
      </c>
      <c r="Y2122" s="143">
        <v>129</v>
      </c>
      <c r="Z2122" s="143">
        <v>129</v>
      </c>
      <c r="AA2122" s="143">
        <v>129</v>
      </c>
      <c r="AB2122" s="143">
        <v>129</v>
      </c>
      <c r="AC2122" s="143">
        <v>129</v>
      </c>
      <c r="AD2122" s="143">
        <v>129</v>
      </c>
      <c r="AE2122" s="143">
        <v>129</v>
      </c>
      <c r="AG2122" s="71"/>
      <c r="AH2122" s="71"/>
      <c r="AI2122" s="71"/>
      <c r="AJ2122" s="146">
        <v>580</v>
      </c>
      <c r="AK2122" s="71"/>
      <c r="AL2122" s="71"/>
      <c r="AM2122" s="71"/>
      <c r="AN2122" s="71"/>
      <c r="AO2122" s="71"/>
      <c r="AP2122" s="71"/>
      <c r="AQ2122" s="71"/>
      <c r="AR2122" s="71"/>
      <c r="AS2122" s="94">
        <f t="shared" ca="1" si="2496"/>
        <v>258</v>
      </c>
      <c r="AT2122" s="95">
        <f t="shared" si="2497"/>
        <v>148.35</v>
      </c>
      <c r="AU2122" s="97">
        <f t="shared" si="2498"/>
        <v>580</v>
      </c>
      <c r="AW2122" s="51">
        <f t="shared" si="2499"/>
        <v>0</v>
      </c>
      <c r="AX2122" s="51">
        <f t="shared" si="2500"/>
        <v>0</v>
      </c>
      <c r="AY2122" s="51">
        <f t="shared" si="2501"/>
        <v>0</v>
      </c>
      <c r="AZ2122" s="51">
        <f t="shared" si="2502"/>
        <v>4.4961240310077519</v>
      </c>
      <c r="BA2122" s="51"/>
      <c r="BB2122" s="51"/>
      <c r="BC2122" s="51"/>
      <c r="BD2122" s="51"/>
      <c r="BE2122" s="51"/>
      <c r="BF2122" s="51"/>
      <c r="BG2122" s="51"/>
      <c r="BH2122" s="51"/>
      <c r="BI2122" s="65" cm="1">
        <f t="array" ref="BI2122">IFERROR(INDEX(AW2122:BH2122,1,MATCH(2,1/(AW2122:BH2122&lt;&gt;""))),"")</f>
        <v>4.4961240310077519</v>
      </c>
      <c r="BJ2122" s="68" cm="1">
        <f t="array" ref="BJ2122">IF(BM2122 = "", "",IFERROR(INDEX(AW2122:BH2122,1,MATCH(2,1/(AW2122:BH2122&lt;&gt;""),1)-1),""))</f>
        <v>0</v>
      </c>
      <c r="BK2122" s="58">
        <f>IF((IF(AW2122&gt;=115%,115%,AW2122) + IF(AX2122&gt;=115%,115%,AX2122) + IF(AY2122&gt;=115%,115%,AY2122) + (IF(AZ2122&gt;=115%,115%,AZ2122) + IF(BA2122&gt;=130%,130%,BA2122) + IF(BB2122&gt;=115%,115%,BB2122) + IF(BC2122&gt;=115%,115%,BC2122) + IF(BD2122&gt;=115%,115%,BD2122) + IF(BE2122&gt;=115%,115%,BE2122) + IF(BF2122&gt;=115%,115%,BF2122) + IF(BG2122&gt;=115%,115%,BG2122) + IF(BH2122&gt;=115%,115%,BH2122)))/_xlfn.XLOOKUP(F2122,Apuração!A:A,Apuração!B:B)&gt;=1.15,1.15,((IF(AZ2122&gt;=115%,115%,AZ2122) + IF(AX2122&gt;=115%,115%,AX2122) + IF(AY2122&gt;=115%,115%,AY2122) + (IF(AW2122&gt;=115%,115%,AW2122) + IF(BA2122&gt;=130%,130%,BA2122) + IF(BB2122&gt;=115%,115%,BB2122) + IF(BC2122&gt;=115%,115%,BC2122) + IF(BD2122&gt;=115%,115%,BD2122) + IF(BE2122&gt;=115%,115%,BE2122) + IF(BF2122&gt;=115%,115%,BF2122) + IF(BG2122&gt;=115%,115%,BG2122) + IF(BH2122&gt;=115%,115%,BH2122)))/_xlfn.XLOOKUP(F2122,Apuração!A:A,Apuração!B:B)))</f>
        <v>0.12777777777777777</v>
      </c>
      <c r="BL2122" s="58" cm="1">
        <f t="array" aca="1" ref="BL2122" ca="1">IF(SUM(IFERROR(IF(INDEX(AW2122:INDEX(AW2122:BH2122, MATCH(2, 1/(AW2122:BH2122&lt;&gt;""), 1)-1), ROW(INDIRECT("1:" &amp; MATCH(2, 1/(AW2122:BH2122&lt;&gt;""), 1)-1))) &gt;= 115%, 115%, INDEX(AW2122:INDEX(AW2122:BH2122, MATCH(2, 1/(AW2122:BH2122&lt;&gt;""), 1)-1), ROW(INDIRECT("1:" &amp; MATCH(2, 1/(AW2122:BH2122&lt;&gt;""), 1)-1)))), 0))/_xlfn.XLOOKUP(F2122,Apuração!A:A,Apuração!B:B)&gt;=1.15,1.15,SUM(IFERROR(IF(INDEX(AW2122:INDEX(AW2122:BH2122, MATCH(2, 1/(AW2122:BH2122&lt;&gt;""), 1)-1), ROW(INDIRECT("1:" &amp; MATCH(2, 1/(AW2122:BH2122&lt;&gt;""), 1)-1))) &gt;= 115%, 115%, INDEX(AW2122:INDEX(AW2122:BH2122, MATCH(2, 1/(AW2122:BH2122&lt;&gt;""), 1)-1), ROW(INDIRECT("1:" &amp; MATCH(2, 1/(AW2122:BH2122&lt;&gt;""), 1)-1)))), 0))/_xlfn.XLOOKUP(F2122,Apuração!A:A,Apuração!B:B))</f>
        <v>0</v>
      </c>
      <c r="BM2122" s="55" cm="1">
        <f t="array" ref="BM2122">IFERROR(
   INDEX($AW$1:$BH$1,
      _xlfn.AGGREGATE(14, 6, COLUMN($AW$1:$BH$1)/(AW2122:BH2122&lt;&gt;""), 2) - COLUMN($AW$1) + 1
   ),
"")</f>
        <v>46082</v>
      </c>
      <c r="BN2122" s="55" cm="1">
        <f t="array" ref="BN2122">IFERROR(INDEX($AW$1:$BH$1,1,MATCH(2,1/(AW2122:BH2122&lt;&gt;""))),"")</f>
        <v>46113</v>
      </c>
      <c r="BO2122" s="53">
        <f ca="1">IFERROR(_xlfn.XLOOKUP(F2122,Apuração!A:A,Apuração!C:C)/_xlfn.XLOOKUP(F2122,Apuração!A:A,Apuração!B:B),0)</f>
        <v>0.22222222222222221</v>
      </c>
      <c r="BP2122" s="53">
        <f ca="1">IFERROR(_xlfn.XLOOKUP(F2122,Apuração!A:A,Apuração!D:D)/_xlfn.XLOOKUP(F2122,Apuração!A:A,Apuração!B:B),0)</f>
        <v>0.1111111111111111</v>
      </c>
      <c r="BQ2122" s="53">
        <f ca="1">IF(BK2122&gt;=BO2122,0,_xlfn.XLOOKUP(F2122,Apuração!A:A,Apuração!B:B)*(BO2122 + (1/_xlfn.XLOOKUP(F2122,Apuração!A:A,Apuração!B:B)) - BK2122))</f>
        <v>1.8499999999999999</v>
      </c>
      <c r="BR2122" s="85">
        <f t="shared" ca="1" si="2503"/>
        <v>238.64999999999998</v>
      </c>
      <c r="BS2122" s="53">
        <f ca="1">IFERROR((_xlfn.XLOOKUP(F2122,Apuração!A:A,Apuração!C:C)+1)/_xlfn.XLOOKUP(F2122,Apuração!A:A,Apuração!B:B),0)</f>
        <v>0.33333333333333331</v>
      </c>
    </row>
    <row r="2123" spans="1:71" ht="25.95" hidden="1" customHeight="1" x14ac:dyDescent="0.3">
      <c r="A2123" s="23" t="s">
        <v>134</v>
      </c>
      <c r="B2123" s="4" t="s">
        <v>142</v>
      </c>
      <c r="C2123" s="5" t="s">
        <v>216</v>
      </c>
      <c r="D2123" s="5" t="s">
        <v>218</v>
      </c>
      <c r="E2123" s="4" t="str" cm="1">
        <f t="array" ref="E2123">_xlfn.IFS(
F2123 = "A partir de Abril", "Aguardando Execução na Distribuidora",
A2123 = "CAPACITAÇÃO", "Em execução no Corporativo",
TRUE, "Em Execução na Distribuidora"
)</f>
        <v>Em Execução na Distribuidora</v>
      </c>
      <c r="F2123" s="4" t="str" cm="1">
        <f t="array" ref="F2123">_xlfn.IFS(
AG2123 &lt;&gt; "", "Jan-Dez/26",
AH2123 &lt;&gt; "", "Fev-Dez/26",
AI2123 &lt;&gt; "", "Mar-Dez/26", AJ2123 &lt;&gt; "", "Abr-Dez/26",
TRUE, "A partir de Junho"
)</f>
        <v>Abr-Dez/26</v>
      </c>
      <c r="G2123" s="4" t="s">
        <v>37</v>
      </c>
      <c r="H2123" s="7" t="s">
        <v>38</v>
      </c>
      <c r="I2123" s="8" t="s">
        <v>143</v>
      </c>
      <c r="J2123" s="8" t="str" cm="1">
        <f t="array" aca="1" ref="J2123" ca="1">_xlfn.LET(
  _xlpm.actual_value_month, INDEX(T2123:AE2123, MATCH(DATE(YEAR(TODAY()), MONTH(TODAY()), 1), $T$1:$AE$1, 0)),
  IF(_xlpm.actual_value_month &lt;&gt; "",_xlpm.actual_value_month &amp; " equipes mensais", "")
)</f>
        <v>271 equipes mensais</v>
      </c>
      <c r="K2123" s="8" t="str" cm="1">
        <f t="array" ref="K2123">_xlfn.LET(
    _xlpm.sum_month, SUM(T2123:AE2123),
    IF(_xlpm.sum_month = 0, "", _xlpm.sum_month &amp; " equipes inspencionadas no ano")
)</f>
        <v>2439 equipes inspencionadas no ano</v>
      </c>
      <c r="L2123" s="4" t="s">
        <v>144</v>
      </c>
      <c r="M2123" s="24" t="s">
        <v>145</v>
      </c>
      <c r="N2123" s="5" t="s">
        <v>42</v>
      </c>
      <c r="O2123" s="5" t="s">
        <v>43</v>
      </c>
      <c r="P2123" s="10" t="s">
        <v>146</v>
      </c>
      <c r="Q2123" s="10" t="s">
        <v>44</v>
      </c>
      <c r="R2123" s="11" t="s">
        <v>147</v>
      </c>
      <c r="S2123" s="11" t="s">
        <v>44</v>
      </c>
      <c r="T2123" s="22"/>
      <c r="U2123" s="22"/>
      <c r="V2123" s="22"/>
      <c r="W2123" s="143">
        <v>271</v>
      </c>
      <c r="X2123" s="143">
        <v>271</v>
      </c>
      <c r="Y2123" s="143">
        <v>271</v>
      </c>
      <c r="Z2123" s="143">
        <v>271</v>
      </c>
      <c r="AA2123" s="143">
        <v>271</v>
      </c>
      <c r="AB2123" s="143">
        <v>271</v>
      </c>
      <c r="AC2123" s="143">
        <v>271</v>
      </c>
      <c r="AD2123" s="143">
        <v>271</v>
      </c>
      <c r="AE2123" s="143">
        <v>271</v>
      </c>
      <c r="AG2123" s="71"/>
      <c r="AH2123" s="71"/>
      <c r="AI2123" s="71"/>
      <c r="AJ2123" s="146">
        <v>261</v>
      </c>
      <c r="AK2123" s="71"/>
      <c r="AL2123" s="71"/>
      <c r="AM2123" s="71"/>
      <c r="AN2123" s="71"/>
      <c r="AO2123" s="71"/>
      <c r="AP2123" s="71"/>
      <c r="AQ2123" s="71"/>
      <c r="AR2123" s="71"/>
      <c r="AS2123" s="94">
        <f t="shared" ca="1" si="2496"/>
        <v>542</v>
      </c>
      <c r="AT2123" s="95">
        <f t="shared" si="2497"/>
        <v>261</v>
      </c>
      <c r="AU2123" s="97">
        <f t="shared" si="2498"/>
        <v>261</v>
      </c>
      <c r="AW2123" s="51">
        <f t="shared" si="2499"/>
        <v>0</v>
      </c>
      <c r="AX2123" s="51">
        <f t="shared" si="2500"/>
        <v>0</v>
      </c>
      <c r="AY2123" s="51">
        <f t="shared" si="2501"/>
        <v>0</v>
      </c>
      <c r="AZ2123" s="51">
        <f t="shared" si="2502"/>
        <v>0.96309963099630991</v>
      </c>
      <c r="BA2123" s="51"/>
      <c r="BB2123" s="51"/>
      <c r="BC2123" s="51"/>
      <c r="BD2123" s="51"/>
      <c r="BE2123" s="51"/>
      <c r="BF2123" s="51"/>
      <c r="BG2123" s="51"/>
      <c r="BH2123" s="51"/>
      <c r="BI2123" s="65" cm="1">
        <f t="array" ref="BI2123">IFERROR(INDEX(AW2123:BH2123,1,MATCH(2,1/(AW2123:BH2123&lt;&gt;""))),"")</f>
        <v>0.96309963099630991</v>
      </c>
      <c r="BJ2123" s="68" cm="1">
        <f t="array" ref="BJ2123">IF(BM2123 = "", "",IFERROR(INDEX(AW2123:BH2123,1,MATCH(2,1/(AW2123:BH2123&lt;&gt;""),1)-1),""))</f>
        <v>0</v>
      </c>
      <c r="BK2123" s="58">
        <f>IF((IF(AW2123&gt;=115%,115%,AW2123) + IF(AX2123&gt;=115%,115%,AX2123) + IF(AY2123&gt;=115%,115%,AY2123) + (IF(AZ2123&gt;=115%,115%,AZ2123) + IF(BA2123&gt;=130%,130%,BA2123) + IF(BB2123&gt;=115%,115%,BB2123) + IF(BC2123&gt;=115%,115%,BC2123) + IF(BD2123&gt;=115%,115%,BD2123) + IF(BE2123&gt;=115%,115%,BE2123) + IF(BF2123&gt;=115%,115%,BF2123) + IF(BG2123&gt;=115%,115%,BG2123) + IF(BH2123&gt;=115%,115%,BH2123)))/_xlfn.XLOOKUP(F2123,Apuração!A:A,Apuração!B:B)&gt;=1.15,1.15,((IF(AZ2123&gt;=115%,115%,AZ2123) + IF(AX2123&gt;=115%,115%,AX2123) + IF(AY2123&gt;=115%,115%,AY2123) + (IF(AW2123&gt;=115%,115%,AW2123) + IF(BA2123&gt;=130%,130%,BA2123) + IF(BB2123&gt;=115%,115%,BB2123) + IF(BC2123&gt;=115%,115%,BC2123) + IF(BD2123&gt;=115%,115%,BD2123) + IF(BE2123&gt;=115%,115%,BE2123) + IF(BF2123&gt;=115%,115%,BF2123) + IF(BG2123&gt;=115%,115%,BG2123) + IF(BH2123&gt;=115%,115%,BH2123)))/_xlfn.XLOOKUP(F2123,Apuração!A:A,Apuração!B:B)))</f>
        <v>0.1070110701107011</v>
      </c>
      <c r="BL2123" s="58" cm="1">
        <f t="array" aca="1" ref="BL2123" ca="1">IF(SUM(IFERROR(IF(INDEX(AW2123:INDEX(AW2123:BH2123, MATCH(2, 1/(AW2123:BH2123&lt;&gt;""), 1)-1), ROW(INDIRECT("1:" &amp; MATCH(2, 1/(AW2123:BH2123&lt;&gt;""), 1)-1))) &gt;= 115%, 115%, INDEX(AW2123:INDEX(AW2123:BH2123, MATCH(2, 1/(AW2123:BH2123&lt;&gt;""), 1)-1), ROW(INDIRECT("1:" &amp; MATCH(2, 1/(AW2123:BH2123&lt;&gt;""), 1)-1)))), 0))/_xlfn.XLOOKUP(F2123,Apuração!A:A,Apuração!B:B)&gt;=1.15,1.15,SUM(IFERROR(IF(INDEX(AW2123:INDEX(AW2123:BH2123, MATCH(2, 1/(AW2123:BH2123&lt;&gt;""), 1)-1), ROW(INDIRECT("1:" &amp; MATCH(2, 1/(AW2123:BH2123&lt;&gt;""), 1)-1))) &gt;= 115%, 115%, INDEX(AW2123:INDEX(AW2123:BH2123, MATCH(2, 1/(AW2123:BH2123&lt;&gt;""), 1)-1), ROW(INDIRECT("1:" &amp; MATCH(2, 1/(AW2123:BH2123&lt;&gt;""), 1)-1)))), 0))/_xlfn.XLOOKUP(F2123,Apuração!A:A,Apuração!B:B))</f>
        <v>0</v>
      </c>
      <c r="BM2123" s="55" cm="1">
        <f t="array" ref="BM2123">IFERROR(
   INDEX($AW$1:$BH$1,
      _xlfn.AGGREGATE(14, 6, COLUMN($AW$1:$BH$1)/(AW2123:BH2123&lt;&gt;""), 2) - COLUMN($AW$1) + 1
   ),
"")</f>
        <v>46082</v>
      </c>
      <c r="BN2123" s="55" cm="1">
        <f t="array" ref="BN2123">IFERROR(INDEX($AW$1:$BH$1,1,MATCH(2,1/(AW2123:BH2123&lt;&gt;""))),"")</f>
        <v>46113</v>
      </c>
      <c r="BO2123" s="53">
        <f ca="1">IFERROR(_xlfn.XLOOKUP(F2123,Apuração!A:A,Apuração!C:C)/_xlfn.XLOOKUP(F2123,Apuração!A:A,Apuração!B:B),0)</f>
        <v>0.22222222222222221</v>
      </c>
      <c r="BP2123" s="53">
        <f ca="1">IFERROR(_xlfn.XLOOKUP(F2123,Apuração!A:A,Apuração!D:D)/_xlfn.XLOOKUP(F2123,Apuração!A:A,Apuração!B:B),0)</f>
        <v>0.1111111111111111</v>
      </c>
      <c r="BQ2123" s="53">
        <f ca="1">IF(BK2123&gt;=BO2123,0,_xlfn.XLOOKUP(F2123,Apuração!A:A,Apuração!B:B)*(BO2123 + (1/_xlfn.XLOOKUP(F2123,Apuração!A:A,Apuração!B:B)) - BK2123))</f>
        <v>2.03690036900369</v>
      </c>
      <c r="BR2123" s="85">
        <f t="shared" ca="1" si="2503"/>
        <v>552</v>
      </c>
      <c r="BS2123" s="53">
        <f ca="1">IFERROR((_xlfn.XLOOKUP(F2123,Apuração!A:A,Apuração!C:C)+1)/_xlfn.XLOOKUP(F2123,Apuração!A:A,Apuração!B:B),0)</f>
        <v>0.33333333333333331</v>
      </c>
    </row>
    <row r="2124" spans="1:71" ht="25.95" hidden="1" customHeight="1" x14ac:dyDescent="0.3">
      <c r="A2124" s="23" t="s">
        <v>134</v>
      </c>
      <c r="B2124" s="4" t="s">
        <v>142</v>
      </c>
      <c r="C2124" s="5" t="s">
        <v>216</v>
      </c>
      <c r="D2124" s="5" t="s">
        <v>219</v>
      </c>
      <c r="E2124" s="4" t="str" cm="1">
        <f t="array" ref="E2124">_xlfn.IFS(
F2124 = "A partir de Abril", "Aguardando Execução na Distribuidora",
A2124 = "CAPACITAÇÃO", "Em execução no Corporativo",
TRUE, "Em Execução na Distribuidora"
)</f>
        <v>Em Execução na Distribuidora</v>
      </c>
      <c r="F2124" s="4" t="str" cm="1">
        <f t="array" ref="F2124">_xlfn.IFS(
AG2124 &lt;&gt; "", "Jan-Dez/26",
AH2124 &lt;&gt; "", "Fev-Dez/26",
AI2124 &lt;&gt; "", "Mar-Dez/26", AJ2124 &lt;&gt; "", "Abr-Dez/26",
TRUE, "A partir de Junho"
)</f>
        <v>Abr-Dez/26</v>
      </c>
      <c r="G2124" s="4" t="s">
        <v>37</v>
      </c>
      <c r="H2124" s="7" t="s">
        <v>38</v>
      </c>
      <c r="I2124" s="8" t="s">
        <v>143</v>
      </c>
      <c r="J2124" s="8" t="str" cm="1">
        <f t="array" aca="1" ref="J2124" ca="1">_xlfn.LET(
  _xlpm.actual_value_month, INDEX(T2124:AE2124, MATCH(DATE(YEAR(TODAY()), MONTH(TODAY()), 1), $T$1:$AE$1, 0)),
  IF(_xlpm.actual_value_month &lt;&gt; "",_xlpm.actual_value_month &amp; " equipes mensais", "")
)</f>
        <v>105 equipes mensais</v>
      </c>
      <c r="K2124" s="8" t="str" cm="1">
        <f t="array" ref="K2124">_xlfn.LET(
    _xlpm.sum_month, SUM(T2124:AE2124),
    IF(_xlpm.sum_month = 0, "", _xlpm.sum_month &amp; " equipes inspencionadas no ano")
)</f>
        <v>945 equipes inspencionadas no ano</v>
      </c>
      <c r="L2124" s="4" t="s">
        <v>144</v>
      </c>
      <c r="M2124" s="24" t="s">
        <v>145</v>
      </c>
      <c r="N2124" s="5" t="s">
        <v>42</v>
      </c>
      <c r="O2124" s="5" t="s">
        <v>43</v>
      </c>
      <c r="P2124" s="10" t="s">
        <v>146</v>
      </c>
      <c r="Q2124" s="10" t="s">
        <v>44</v>
      </c>
      <c r="R2124" s="11" t="s">
        <v>147</v>
      </c>
      <c r="S2124" s="11" t="s">
        <v>44</v>
      </c>
      <c r="T2124" s="22"/>
      <c r="U2124" s="22"/>
      <c r="V2124" s="22"/>
      <c r="W2124" s="143">
        <v>105</v>
      </c>
      <c r="X2124" s="143">
        <v>105</v>
      </c>
      <c r="Y2124" s="143">
        <v>105</v>
      </c>
      <c r="Z2124" s="143">
        <v>105</v>
      </c>
      <c r="AA2124" s="143">
        <v>105</v>
      </c>
      <c r="AB2124" s="143">
        <v>105</v>
      </c>
      <c r="AC2124" s="143">
        <v>105</v>
      </c>
      <c r="AD2124" s="143">
        <v>105</v>
      </c>
      <c r="AE2124" s="143">
        <v>105</v>
      </c>
      <c r="AG2124" s="71"/>
      <c r="AH2124" s="71"/>
      <c r="AI2124" s="71"/>
      <c r="AJ2124" s="146">
        <v>269</v>
      </c>
      <c r="AK2124" s="71"/>
      <c r="AL2124" s="71"/>
      <c r="AM2124" s="71"/>
      <c r="AN2124" s="71"/>
      <c r="AO2124" s="71"/>
      <c r="AP2124" s="71"/>
      <c r="AQ2124" s="71"/>
      <c r="AR2124" s="71"/>
      <c r="AS2124" s="94">
        <f t="shared" ca="1" si="2496"/>
        <v>210</v>
      </c>
      <c r="AT2124" s="95">
        <f t="shared" si="2497"/>
        <v>120.74999999999999</v>
      </c>
      <c r="AU2124" s="97">
        <f t="shared" si="2498"/>
        <v>269</v>
      </c>
      <c r="AW2124" s="51">
        <f t="shared" si="2499"/>
        <v>0</v>
      </c>
      <c r="AX2124" s="51">
        <f t="shared" si="2500"/>
        <v>0</v>
      </c>
      <c r="AY2124" s="51">
        <f t="shared" si="2501"/>
        <v>0</v>
      </c>
      <c r="AZ2124" s="51">
        <f t="shared" si="2502"/>
        <v>2.5619047619047617</v>
      </c>
      <c r="BA2124" s="51"/>
      <c r="BB2124" s="51"/>
      <c r="BC2124" s="51"/>
      <c r="BD2124" s="51"/>
      <c r="BE2124" s="51"/>
      <c r="BF2124" s="51"/>
      <c r="BG2124" s="51"/>
      <c r="BH2124" s="51"/>
      <c r="BI2124" s="65" cm="1">
        <f t="array" ref="BI2124">IFERROR(INDEX(AW2124:BH2124,1,MATCH(2,1/(AW2124:BH2124&lt;&gt;""))),"")</f>
        <v>2.5619047619047617</v>
      </c>
      <c r="BJ2124" s="68" cm="1">
        <f t="array" ref="BJ2124">IF(BM2124 = "", "",IFERROR(INDEX(AW2124:BH2124,1,MATCH(2,1/(AW2124:BH2124&lt;&gt;""),1)-1),""))</f>
        <v>0</v>
      </c>
      <c r="BK2124" s="58">
        <f>IF((IF(AW2124&gt;=115%,115%,AW2124) + IF(AX2124&gt;=115%,115%,AX2124) + IF(AY2124&gt;=115%,115%,AY2124) + (IF(AZ2124&gt;=115%,115%,AZ2124) + IF(BA2124&gt;=130%,130%,BA2124) + IF(BB2124&gt;=115%,115%,BB2124) + IF(BC2124&gt;=115%,115%,BC2124) + IF(BD2124&gt;=115%,115%,BD2124) + IF(BE2124&gt;=115%,115%,BE2124) + IF(BF2124&gt;=115%,115%,BF2124) + IF(BG2124&gt;=115%,115%,BG2124) + IF(BH2124&gt;=115%,115%,BH2124)))/_xlfn.XLOOKUP(F2124,Apuração!A:A,Apuração!B:B)&gt;=1.15,1.15,((IF(AZ2124&gt;=115%,115%,AZ2124) + IF(AX2124&gt;=115%,115%,AX2124) + IF(AY2124&gt;=115%,115%,AY2124) + (IF(AW2124&gt;=115%,115%,AW2124) + IF(BA2124&gt;=130%,130%,BA2124) + IF(BB2124&gt;=115%,115%,BB2124) + IF(BC2124&gt;=115%,115%,BC2124) + IF(BD2124&gt;=115%,115%,BD2124) + IF(BE2124&gt;=115%,115%,BE2124) + IF(BF2124&gt;=115%,115%,BF2124) + IF(BG2124&gt;=115%,115%,BG2124) + IF(BH2124&gt;=115%,115%,BH2124)))/_xlfn.XLOOKUP(F2124,Apuração!A:A,Apuração!B:B)))</f>
        <v>0.12777777777777777</v>
      </c>
      <c r="BL2124" s="58" cm="1">
        <f t="array" aca="1" ref="BL2124" ca="1">IF(SUM(IFERROR(IF(INDEX(AW2124:INDEX(AW2124:BH2124, MATCH(2, 1/(AW2124:BH2124&lt;&gt;""), 1)-1), ROW(INDIRECT("1:" &amp; MATCH(2, 1/(AW2124:BH2124&lt;&gt;""), 1)-1))) &gt;= 115%, 115%, INDEX(AW2124:INDEX(AW2124:BH2124, MATCH(2, 1/(AW2124:BH2124&lt;&gt;""), 1)-1), ROW(INDIRECT("1:" &amp; MATCH(2, 1/(AW2124:BH2124&lt;&gt;""), 1)-1)))), 0))/_xlfn.XLOOKUP(F2124,Apuração!A:A,Apuração!B:B)&gt;=1.15,1.15,SUM(IFERROR(IF(INDEX(AW2124:INDEX(AW2124:BH2124, MATCH(2, 1/(AW2124:BH2124&lt;&gt;""), 1)-1), ROW(INDIRECT("1:" &amp; MATCH(2, 1/(AW2124:BH2124&lt;&gt;""), 1)-1))) &gt;= 115%, 115%, INDEX(AW2124:INDEX(AW2124:BH2124, MATCH(2, 1/(AW2124:BH2124&lt;&gt;""), 1)-1), ROW(INDIRECT("1:" &amp; MATCH(2, 1/(AW2124:BH2124&lt;&gt;""), 1)-1)))), 0))/_xlfn.XLOOKUP(F2124,Apuração!A:A,Apuração!B:B))</f>
        <v>0</v>
      </c>
      <c r="BM2124" s="55" cm="1">
        <f t="array" ref="BM2124">IFERROR(
   INDEX($AW$1:$BH$1,
      _xlfn.AGGREGATE(14, 6, COLUMN($AW$1:$BH$1)/(AW2124:BH2124&lt;&gt;""), 2) - COLUMN($AW$1) + 1
   ),
"")</f>
        <v>46082</v>
      </c>
      <c r="BN2124" s="55" cm="1">
        <f t="array" ref="BN2124">IFERROR(INDEX($AW$1:$BH$1,1,MATCH(2,1/(AW2124:BH2124&lt;&gt;""))),"")</f>
        <v>46113</v>
      </c>
      <c r="BO2124" s="53">
        <f ca="1">IFERROR(_xlfn.XLOOKUP(F2124,Apuração!A:A,Apuração!C:C)/_xlfn.XLOOKUP(F2124,Apuração!A:A,Apuração!B:B),0)</f>
        <v>0.22222222222222221</v>
      </c>
      <c r="BP2124" s="53">
        <f ca="1">IFERROR(_xlfn.XLOOKUP(F2124,Apuração!A:A,Apuração!D:D)/_xlfn.XLOOKUP(F2124,Apuração!A:A,Apuração!B:B),0)</f>
        <v>0.1111111111111111</v>
      </c>
      <c r="BQ2124" s="53">
        <f ca="1">IF(BK2124&gt;=BO2124,0,_xlfn.XLOOKUP(F2124,Apuração!A:A,Apuração!B:B)*(BO2124 + (1/_xlfn.XLOOKUP(F2124,Apuração!A:A,Apuração!B:B)) - BK2124))</f>
        <v>1.8499999999999999</v>
      </c>
      <c r="BR2124" s="85">
        <f t="shared" ca="1" si="2503"/>
        <v>194.25</v>
      </c>
      <c r="BS2124" s="53">
        <f ca="1">IFERROR((_xlfn.XLOOKUP(F2124,Apuração!A:A,Apuração!C:C)+1)/_xlfn.XLOOKUP(F2124,Apuração!A:A,Apuração!B:B),0)</f>
        <v>0.33333333333333331</v>
      </c>
    </row>
    <row r="2125" spans="1:71" ht="25.95" hidden="1" customHeight="1" x14ac:dyDescent="0.3">
      <c r="A2125" s="42" t="s">
        <v>134</v>
      </c>
      <c r="B2125" s="4" t="s">
        <v>142</v>
      </c>
      <c r="C2125" s="5" t="s">
        <v>216</v>
      </c>
      <c r="D2125" s="5" t="s">
        <v>36</v>
      </c>
      <c r="E2125" s="4" t="str" cm="1">
        <f t="array" ref="E2125">_xlfn.IFS(
F2125 = "A partir de Abril", "Aguardando Execução na Distribuidora",
A2125 = "CAPACITAÇÃO", "Em execução no Corporativo",
TRUE, "Em Execução na Distribuidora"
)</f>
        <v>Em Execução na Distribuidora</v>
      </c>
      <c r="F2125" s="4" t="str" cm="1">
        <f t="array" ref="F2125">_xlfn.IFS(
AG2125 &lt;&gt; "", "Jan-Dez/26",
AH2125 &lt;&gt; "", "Fev-Dez/26",
AI2125 &lt;&gt; "", "Mar-Dez/26", AJ2125 &lt;&gt; "", "Abr-Dez/26",
TRUE, "A partir de Junho"
)</f>
        <v>Jan-Dez/26</v>
      </c>
      <c r="G2125" s="4" t="s">
        <v>37</v>
      </c>
      <c r="H2125" s="7" t="s">
        <v>38</v>
      </c>
      <c r="I2125" s="8" t="s">
        <v>148</v>
      </c>
      <c r="J2125" s="8" t="str" cm="1">
        <f t="array" aca="1" ref="J2125" ca="1">_xlfn.LET(
  _xlpm.actual_value_month, INDEX(T2125:AE2125, MATCH(DATE(YEAR(TODAY()), MONTH(TODAY()), 1), $T$1:$AE$1, 0)),
  IF(_xlpm.actual_value_month &lt;&gt; "",_xlpm.actual_value_month &amp; " ações mensais", "")
)</f>
        <v/>
      </c>
      <c r="K2125" s="8" t="str" cm="1">
        <f t="array" ref="K2125">_xlfn.LET(
    _xlpm.sum_month, SUM(T2125:AE2125),
    IF(_xlpm.sum_month = 0, "", _xlpm.sum_month &amp; " NC's no ano")
)</f>
        <v/>
      </c>
      <c r="L2125" s="9" t="s">
        <v>149</v>
      </c>
      <c r="M2125" s="24">
        <v>1</v>
      </c>
      <c r="N2125" s="5" t="s">
        <v>51</v>
      </c>
      <c r="O2125" s="5" t="s">
        <v>52</v>
      </c>
      <c r="P2125" s="10" t="s">
        <v>44</v>
      </c>
      <c r="Q2125" s="10" t="s">
        <v>44</v>
      </c>
      <c r="R2125" s="11" t="s">
        <v>44</v>
      </c>
      <c r="S2125" s="11" t="s">
        <v>44</v>
      </c>
      <c r="T2125" s="22"/>
      <c r="U2125" s="22"/>
      <c r="V2125" s="22"/>
      <c r="W2125" s="22"/>
      <c r="X2125" s="22"/>
      <c r="Y2125" s="22"/>
      <c r="Z2125" s="22"/>
      <c r="AA2125" s="22"/>
      <c r="AB2125" s="22"/>
      <c r="AC2125" s="22"/>
      <c r="AD2125" s="22"/>
      <c r="AE2125" s="22"/>
      <c r="AG2125" s="71">
        <v>161</v>
      </c>
      <c r="AH2125" s="71">
        <v>134</v>
      </c>
      <c r="AI2125" s="71">
        <v>118</v>
      </c>
      <c r="AJ2125" s="71">
        <v>178</v>
      </c>
      <c r="AK2125" s="71"/>
      <c r="AL2125" s="71"/>
      <c r="AM2125" s="71"/>
      <c r="AN2125" s="71"/>
      <c r="AO2125" s="71"/>
      <c r="AP2125" s="71"/>
      <c r="AQ2125" s="71"/>
      <c r="AR2125" s="71"/>
      <c r="AS2125" s="94">
        <f ca="1">IF(MONTH(TODAY())=3,SUM(T2125:U2125),IF(MONTH(TODAY())=4,SUM(T2125:V2125),IF(MONTH(TODAY())=5,SUM(T2125:W2125),IF(MONTH(TODAY())=6,SUM(T2125:X2125),IF(MONTH(TODAY())=7,SUM(T2125:Y2125),IF(MONTH(TODAY())=8,SUM(T2125:Z2125),IF(MONTH(TODAY())=9,SUM(T2125:AA2125),IF(MONTH(TODAY())=10,SUM(T2125:AB2125),IF(MONTH(TODAY())=11,SUM(T2125:AC2125),IF(MONTH(TODAY())=12,SUM(T2125:AD2125),IF(MONTH(TODAY())=1,SUM(T2125:AE2125),T2125)))))))))))</f>
        <v>0</v>
      </c>
      <c r="AT2125" s="95">
        <f>SUM(AG2125:AR2125)</f>
        <v>591</v>
      </c>
      <c r="AU2125" s="97">
        <f>SUM(AG2125:AR2125)</f>
        <v>591</v>
      </c>
      <c r="AW2125" s="83">
        <f>AG2125</f>
        <v>161</v>
      </c>
      <c r="AX2125" s="83">
        <f>AH2125</f>
        <v>134</v>
      </c>
      <c r="AY2125" s="83">
        <f>AI2125</f>
        <v>118</v>
      </c>
      <c r="AZ2125" s="83">
        <f>AJ2125</f>
        <v>178</v>
      </c>
      <c r="BA2125" s="52"/>
      <c r="BB2125" s="52"/>
      <c r="BC2125" s="52"/>
      <c r="BD2125" s="52"/>
      <c r="BE2125" s="52"/>
      <c r="BF2125" s="52"/>
      <c r="BG2125" s="52"/>
      <c r="BH2125" s="52"/>
      <c r="BI2125" s="68" cm="1">
        <f t="array" ref="BI2125">IFERROR(INDEX(AW2125:BH2125,1,MATCH(2,1/(AW2125:BH2125&lt;&gt;""))),"")</f>
        <v>178</v>
      </c>
      <c r="BJ2125" s="68" cm="1">
        <f t="array" ref="BJ2125">IF(BM2125 = "", "",IFERROR(INDEX(AW2125:BH2125,1,MATCH(2,1/(AW2125:BH2125&lt;&gt;""),1)-1),""))</f>
        <v>118</v>
      </c>
      <c r="BK2125" s="59">
        <f>SUM(AW2125:BH2125)</f>
        <v>591</v>
      </c>
      <c r="BL2125" s="59" cm="1">
        <f t="array" ref="BL2125">IFERROR(SUM(AW2125:INDEX(AW2125:BH2125, MATCH(2, 1/(AW2125:BH2125&lt;&gt;""), 1) - 1))/_xlfn.XLOOKUP(F2125,Apuração!A:A,Apuração!B:B),0)</f>
        <v>34.416666666666664</v>
      </c>
      <c r="BM2125" s="55" cm="1">
        <f t="array" ref="BM2125">IFERROR(
   INDEX($AW$1:$BH$1,
      _xlfn.AGGREGATE(14, 6, COLUMN($AW$1:$BH$1)/(AW2125:BH2125&lt;&gt;""), 2) - COLUMN($AW$1) + 1
   ),
"")</f>
        <v>46082</v>
      </c>
      <c r="BN2125" s="55" cm="1">
        <f t="array" ref="BN2125">IFERROR(INDEX($AW$1:$BH$1,1,MATCH(2,1/(AW2125:BH2125&lt;&gt;""))),"")</f>
        <v>46113</v>
      </c>
      <c r="BO2125" s="53">
        <f ca="1">IFERROR(_xlfn.XLOOKUP(F2125,Apuração!A:A,Apuração!C:C)/_xlfn.XLOOKUP(F2125,Apuração!A:A,Apuração!B:B),0)</f>
        <v>0.41666666666666669</v>
      </c>
      <c r="BP2125" s="53">
        <f ca="1">IFERROR(_xlfn.XLOOKUP(F2125,Apuração!A:A,Apuração!D:D)/_xlfn.XLOOKUP(F2125,Apuração!A:A,Apuração!B:B),0)</f>
        <v>0.33333333333333331</v>
      </c>
      <c r="BQ2125" s="53">
        <f ca="1">IF(BK2125&gt;=BO2125,0,_xlfn.XLOOKUP(F2125,Apuração!A:A,Apuração!B:B)*(BO2125 + (1/_xlfn.XLOOKUP(F2125,Apuração!A:A,Apuração!B:B)) - BK2125))</f>
        <v>0</v>
      </c>
      <c r="BR2125" s="85">
        <f ca="1">IF(BQ2125=0,0,BQ2125*Z2125)</f>
        <v>0</v>
      </c>
      <c r="BS2125" s="53">
        <f ca="1">IFERROR((_xlfn.XLOOKUP(F2125,Apuração!A:A,Apuração!C:C)+1)/_xlfn.XLOOKUP(F2125,Apuração!A:A,Apuração!B:B),0)</f>
        <v>0.5</v>
      </c>
    </row>
    <row r="2126" spans="1:71" ht="25.95" hidden="1" customHeight="1" x14ac:dyDescent="0.3">
      <c r="A2126" s="42" t="s">
        <v>134</v>
      </c>
      <c r="B2126" s="4" t="s">
        <v>142</v>
      </c>
      <c r="C2126" s="5" t="s">
        <v>216</v>
      </c>
      <c r="D2126" s="5" t="s">
        <v>217</v>
      </c>
      <c r="E2126" s="4" t="str" cm="1">
        <f t="array" ref="E2126">_xlfn.IFS(
F2126 = "A partir de Abril", "Aguardando Execução na Distribuidora",
A2126 = "CAPACITAÇÃO", "Em execução no Corporativo",
TRUE, "Em Execução na Distribuidora"
)</f>
        <v>Em Execução na Distribuidora</v>
      </c>
      <c r="F2126" s="4" t="str" cm="1">
        <f t="array" ref="F2126">_xlfn.IFS(
AG2126 &lt;&gt; "", "Jan-Dez/26",
AH2126 &lt;&gt; "", "Fev-Dez/26",
AI2126 &lt;&gt; "", "Mar-Dez/26", AJ2126 &lt;&gt; "", "Abr-Dez/26",
TRUE, "A partir de Junho"
)</f>
        <v>Abr-Dez/26</v>
      </c>
      <c r="G2126" s="4" t="s">
        <v>37</v>
      </c>
      <c r="H2126" s="7" t="s">
        <v>38</v>
      </c>
      <c r="I2126" s="8" t="s">
        <v>148</v>
      </c>
      <c r="J2126" s="8" t="str" cm="1">
        <f t="array" aca="1" ref="J2126" ca="1">_xlfn.LET(
  _xlpm.actual_value_month, INDEX(T2126:AE2126, MATCH(DATE(YEAR(TODAY()), MONTH(TODAY()), 1), $T$1:$AE$1, 0)),
  IF(_xlpm.actual_value_month &lt;&gt; "",_xlpm.actual_value_month &amp; " ações mensais", "")
)</f>
        <v/>
      </c>
      <c r="K2126" s="8" t="str" cm="1">
        <f t="array" ref="K2126">_xlfn.LET(
    _xlpm.sum_month, SUM(T2126:AE2126),
    IF(_xlpm.sum_month = 0, "", _xlpm.sum_month &amp; " NC's no ano")
)</f>
        <v/>
      </c>
      <c r="L2126" s="9" t="s">
        <v>149</v>
      </c>
      <c r="M2126" s="24">
        <v>1</v>
      </c>
      <c r="N2126" s="5" t="s">
        <v>51</v>
      </c>
      <c r="O2126" s="5" t="s">
        <v>52</v>
      </c>
      <c r="P2126" s="10" t="s">
        <v>44</v>
      </c>
      <c r="Q2126" s="10" t="s">
        <v>44</v>
      </c>
      <c r="R2126" s="11" t="s">
        <v>44</v>
      </c>
      <c r="S2126" s="11" t="s">
        <v>44</v>
      </c>
      <c r="T2126" s="22"/>
      <c r="U2126" s="22"/>
      <c r="V2126" s="22"/>
      <c r="W2126" s="22"/>
      <c r="X2126" s="22"/>
      <c r="Y2126" s="22"/>
      <c r="Z2126" s="22"/>
      <c r="AA2126" s="22"/>
      <c r="AB2126" s="22"/>
      <c r="AC2126" s="22"/>
      <c r="AD2126" s="22"/>
      <c r="AE2126" s="22"/>
      <c r="AG2126" s="71"/>
      <c r="AH2126" s="71"/>
      <c r="AI2126" s="71"/>
      <c r="AJ2126" s="146">
        <v>61</v>
      </c>
      <c r="AK2126" s="71"/>
      <c r="AL2126" s="71"/>
      <c r="AM2126" s="71"/>
      <c r="AN2126" s="71"/>
      <c r="AO2126" s="71"/>
      <c r="AP2126" s="71"/>
      <c r="AQ2126" s="71"/>
      <c r="AR2126" s="71"/>
      <c r="AS2126" s="94">
        <f t="shared" ref="AS2126:AS2129" ca="1" si="2504">IF(MONTH(TODAY())=3,SUM(T2126:U2126),IF(MONTH(TODAY())=4,SUM(T2126:V2126),IF(MONTH(TODAY())=5,SUM(T2126:W2126),IF(MONTH(TODAY())=6,SUM(T2126:X2126),IF(MONTH(TODAY())=7,SUM(T2126:Y2126),IF(MONTH(TODAY())=8,SUM(T2126:Z2126),IF(MONTH(TODAY())=9,SUM(T2126:AA2126),IF(MONTH(TODAY())=10,SUM(T2126:AB2126),IF(MONTH(TODAY())=11,SUM(T2126:AC2126),IF(MONTH(TODAY())=12,SUM(T2126:AD2126),IF(MONTH(TODAY())=1,SUM(T2126:AE2126),T2126)))))))))))</f>
        <v>0</v>
      </c>
      <c r="AT2126" s="95">
        <f t="shared" ref="AT2126:AT2129" si="2505">SUM(AG2126:AR2126)</f>
        <v>61</v>
      </c>
      <c r="AU2126" s="97">
        <f t="shared" ref="AU2126:AU2129" si="2506">SUM(AG2126:AR2126)</f>
        <v>61</v>
      </c>
      <c r="AW2126" s="83">
        <f t="shared" ref="AW2126:AW2129" si="2507">AG2126</f>
        <v>0</v>
      </c>
      <c r="AX2126" s="83">
        <f t="shared" ref="AX2126:AX2129" si="2508">AH2126</f>
        <v>0</v>
      </c>
      <c r="AY2126" s="83">
        <f t="shared" ref="AY2126:AY2129" si="2509">AI2126</f>
        <v>0</v>
      </c>
      <c r="AZ2126" s="83">
        <f t="shared" ref="AZ2126:AZ2129" si="2510">AJ2126</f>
        <v>61</v>
      </c>
      <c r="BA2126" s="52"/>
      <c r="BB2126" s="52"/>
      <c r="BC2126" s="52"/>
      <c r="BD2126" s="52"/>
      <c r="BE2126" s="52"/>
      <c r="BF2126" s="52"/>
      <c r="BG2126" s="52"/>
      <c r="BH2126" s="52"/>
      <c r="BI2126" s="68" cm="1">
        <f t="array" ref="BI2126">IFERROR(INDEX(AW2126:BH2126,1,MATCH(2,1/(AW2126:BH2126&lt;&gt;""))),"")</f>
        <v>61</v>
      </c>
      <c r="BJ2126" s="68" cm="1">
        <f t="array" ref="BJ2126">IF(BM2126 = "", "",IFERROR(INDEX(AW2126:BH2126,1,MATCH(2,1/(AW2126:BH2126&lt;&gt;""),1)-1),""))</f>
        <v>0</v>
      </c>
      <c r="BK2126" s="59">
        <f t="shared" ref="BK2126:BK2129" si="2511">SUM(AW2126:BH2126)</f>
        <v>61</v>
      </c>
      <c r="BL2126" s="59" cm="1">
        <f t="array" ref="BL2126">IFERROR(SUM(AW2126:INDEX(AW2126:BH2126, MATCH(2, 1/(AW2126:BH2126&lt;&gt;""), 1) - 1))/_xlfn.XLOOKUP(F2126,Apuração!A:A,Apuração!B:B),0)</f>
        <v>0</v>
      </c>
      <c r="BM2126" s="55" cm="1">
        <f t="array" ref="BM2126">IFERROR(
   INDEX($AW$1:$BH$1,
      _xlfn.AGGREGATE(14, 6, COLUMN($AW$1:$BH$1)/(AW2126:BH2126&lt;&gt;""), 2) - COLUMN($AW$1) + 1
   ),
"")</f>
        <v>46082</v>
      </c>
      <c r="BN2126" s="55" cm="1">
        <f t="array" ref="BN2126">IFERROR(INDEX($AW$1:$BH$1,1,MATCH(2,1/(AW2126:BH2126&lt;&gt;""))),"")</f>
        <v>46113</v>
      </c>
      <c r="BO2126" s="53">
        <f ca="1">IFERROR(_xlfn.XLOOKUP(F2126,Apuração!A:A,Apuração!C:C)/_xlfn.XLOOKUP(F2126,Apuração!A:A,Apuração!B:B),0)</f>
        <v>0.22222222222222221</v>
      </c>
      <c r="BP2126" s="53">
        <f ca="1">IFERROR(_xlfn.XLOOKUP(F2126,Apuração!A:A,Apuração!D:D)/_xlfn.XLOOKUP(F2126,Apuração!A:A,Apuração!B:B),0)</f>
        <v>0.1111111111111111</v>
      </c>
      <c r="BQ2126" s="53">
        <f ca="1">IF(BK2126&gt;=BO2126,0,_xlfn.XLOOKUP(F2126,Apuração!A:A,Apuração!B:B)*(BO2126 + (1/_xlfn.XLOOKUP(F2126,Apuração!A:A,Apuração!B:B)) - BK2126))</f>
        <v>0</v>
      </c>
      <c r="BR2126" s="85">
        <f t="shared" ref="BR2126:BR2129" ca="1" si="2512">IF(BQ2126=0,0,BQ2126*Z2126)</f>
        <v>0</v>
      </c>
      <c r="BS2126" s="53">
        <f ca="1">IFERROR((_xlfn.XLOOKUP(F2126,Apuração!A:A,Apuração!C:C)+1)/_xlfn.XLOOKUP(F2126,Apuração!A:A,Apuração!B:B),0)</f>
        <v>0.33333333333333331</v>
      </c>
    </row>
    <row r="2127" spans="1:71" ht="25.95" hidden="1" customHeight="1" x14ac:dyDescent="0.3">
      <c r="A2127" s="42" t="s">
        <v>134</v>
      </c>
      <c r="B2127" s="4" t="s">
        <v>142</v>
      </c>
      <c r="C2127" s="5" t="s">
        <v>216</v>
      </c>
      <c r="D2127" s="5" t="s">
        <v>103</v>
      </c>
      <c r="E2127" s="4" t="str" cm="1">
        <f t="array" ref="E2127">_xlfn.IFS(
F2127 = "A partir de Abril", "Aguardando Execução na Distribuidora",
A2127 = "CAPACITAÇÃO", "Em execução no Corporativo",
TRUE, "Em Execução na Distribuidora"
)</f>
        <v>Em Execução na Distribuidora</v>
      </c>
      <c r="F2127" s="4" t="str" cm="1">
        <f t="array" ref="F2127">_xlfn.IFS(
AG2127 &lt;&gt; "", "Jan-Dez/26",
AH2127 &lt;&gt; "", "Fev-Dez/26",
AI2127 &lt;&gt; "", "Mar-Dez/26", AJ2127 &lt;&gt; "", "Abr-Dez/26",
TRUE, "A partir de Junho"
)</f>
        <v>Abr-Dez/26</v>
      </c>
      <c r="G2127" s="4" t="s">
        <v>37</v>
      </c>
      <c r="H2127" s="7" t="s">
        <v>38</v>
      </c>
      <c r="I2127" s="8" t="s">
        <v>148</v>
      </c>
      <c r="J2127" s="8" t="str" cm="1">
        <f t="array" aca="1" ref="J2127" ca="1">_xlfn.LET(
  _xlpm.actual_value_month, INDEX(T2127:AE2127, MATCH(DATE(YEAR(TODAY()), MONTH(TODAY()), 1), $T$1:$AE$1, 0)),
  IF(_xlpm.actual_value_month &lt;&gt; "",_xlpm.actual_value_month &amp; " ações mensais", "")
)</f>
        <v/>
      </c>
      <c r="K2127" s="8" t="str" cm="1">
        <f t="array" ref="K2127">_xlfn.LET(
    _xlpm.sum_month, SUM(T2127:AE2127),
    IF(_xlpm.sum_month = 0, "", _xlpm.sum_month &amp; " NC's no ano")
)</f>
        <v/>
      </c>
      <c r="L2127" s="9" t="s">
        <v>149</v>
      </c>
      <c r="M2127" s="24">
        <v>1</v>
      </c>
      <c r="N2127" s="5" t="s">
        <v>51</v>
      </c>
      <c r="O2127" s="5" t="s">
        <v>52</v>
      </c>
      <c r="P2127" s="10" t="s">
        <v>44</v>
      </c>
      <c r="Q2127" s="10" t="s">
        <v>44</v>
      </c>
      <c r="R2127" s="11" t="s">
        <v>44</v>
      </c>
      <c r="S2127" s="11" t="s">
        <v>44</v>
      </c>
      <c r="T2127" s="22"/>
      <c r="U2127" s="22"/>
      <c r="V2127" s="22"/>
      <c r="W2127" s="22"/>
      <c r="X2127" s="22"/>
      <c r="Y2127" s="22"/>
      <c r="Z2127" s="22"/>
      <c r="AA2127" s="22"/>
      <c r="AB2127" s="22"/>
      <c r="AC2127" s="22"/>
      <c r="AD2127" s="22"/>
      <c r="AE2127" s="22"/>
      <c r="AG2127" s="71"/>
      <c r="AH2127" s="71"/>
      <c r="AI2127" s="71"/>
      <c r="AJ2127" s="146">
        <v>46</v>
      </c>
      <c r="AK2127" s="71"/>
      <c r="AL2127" s="71"/>
      <c r="AM2127" s="71"/>
      <c r="AN2127" s="71"/>
      <c r="AO2127" s="71"/>
      <c r="AP2127" s="71"/>
      <c r="AQ2127" s="71"/>
      <c r="AR2127" s="71"/>
      <c r="AS2127" s="94">
        <f t="shared" ca="1" si="2504"/>
        <v>0</v>
      </c>
      <c r="AT2127" s="95">
        <f t="shared" si="2505"/>
        <v>46</v>
      </c>
      <c r="AU2127" s="97">
        <f t="shared" si="2506"/>
        <v>46</v>
      </c>
      <c r="AW2127" s="83">
        <f t="shared" si="2507"/>
        <v>0</v>
      </c>
      <c r="AX2127" s="83">
        <f t="shared" si="2508"/>
        <v>0</v>
      </c>
      <c r="AY2127" s="83">
        <f t="shared" si="2509"/>
        <v>0</v>
      </c>
      <c r="AZ2127" s="83">
        <f t="shared" si="2510"/>
        <v>46</v>
      </c>
      <c r="BA2127" s="52"/>
      <c r="BB2127" s="52"/>
      <c r="BC2127" s="52"/>
      <c r="BD2127" s="52"/>
      <c r="BE2127" s="52"/>
      <c r="BF2127" s="52"/>
      <c r="BG2127" s="52"/>
      <c r="BH2127" s="52"/>
      <c r="BI2127" s="68" cm="1">
        <f t="array" ref="BI2127">IFERROR(INDEX(AW2127:BH2127,1,MATCH(2,1/(AW2127:BH2127&lt;&gt;""))),"")</f>
        <v>46</v>
      </c>
      <c r="BJ2127" s="68" cm="1">
        <f t="array" ref="BJ2127">IF(BM2127 = "", "",IFERROR(INDEX(AW2127:BH2127,1,MATCH(2,1/(AW2127:BH2127&lt;&gt;""),1)-1),""))</f>
        <v>0</v>
      </c>
      <c r="BK2127" s="59">
        <f t="shared" si="2511"/>
        <v>46</v>
      </c>
      <c r="BL2127" s="59" cm="1">
        <f t="array" ref="BL2127">IFERROR(SUM(AW2127:INDEX(AW2127:BH2127, MATCH(2, 1/(AW2127:BH2127&lt;&gt;""), 1) - 1))/_xlfn.XLOOKUP(F2127,Apuração!A:A,Apuração!B:B),0)</f>
        <v>0</v>
      </c>
      <c r="BM2127" s="55" cm="1">
        <f t="array" ref="BM2127">IFERROR(
   INDEX($AW$1:$BH$1,
      _xlfn.AGGREGATE(14, 6, COLUMN($AW$1:$BH$1)/(AW2127:BH2127&lt;&gt;""), 2) - COLUMN($AW$1) + 1
   ),
"")</f>
        <v>46082</v>
      </c>
      <c r="BN2127" s="55" cm="1">
        <f t="array" ref="BN2127">IFERROR(INDEX($AW$1:$BH$1,1,MATCH(2,1/(AW2127:BH2127&lt;&gt;""))),"")</f>
        <v>46113</v>
      </c>
      <c r="BO2127" s="53">
        <f ca="1">IFERROR(_xlfn.XLOOKUP(F2127,Apuração!A:A,Apuração!C:C)/_xlfn.XLOOKUP(F2127,Apuração!A:A,Apuração!B:B),0)</f>
        <v>0.22222222222222221</v>
      </c>
      <c r="BP2127" s="53">
        <f ca="1">IFERROR(_xlfn.XLOOKUP(F2127,Apuração!A:A,Apuração!D:D)/_xlfn.XLOOKUP(F2127,Apuração!A:A,Apuração!B:B),0)</f>
        <v>0.1111111111111111</v>
      </c>
      <c r="BQ2127" s="53">
        <f ca="1">IF(BK2127&gt;=BO2127,0,_xlfn.XLOOKUP(F2127,Apuração!A:A,Apuração!B:B)*(BO2127 + (1/_xlfn.XLOOKUP(F2127,Apuração!A:A,Apuração!B:B)) - BK2127))</f>
        <v>0</v>
      </c>
      <c r="BR2127" s="85">
        <f t="shared" ca="1" si="2512"/>
        <v>0</v>
      </c>
      <c r="BS2127" s="53">
        <f ca="1">IFERROR((_xlfn.XLOOKUP(F2127,Apuração!A:A,Apuração!C:C)+1)/_xlfn.XLOOKUP(F2127,Apuração!A:A,Apuração!B:B),0)</f>
        <v>0.33333333333333331</v>
      </c>
    </row>
    <row r="2128" spans="1:71" ht="25.95" hidden="1" customHeight="1" x14ac:dyDescent="0.3">
      <c r="A2128" s="42" t="s">
        <v>134</v>
      </c>
      <c r="B2128" s="4" t="s">
        <v>142</v>
      </c>
      <c r="C2128" s="5" t="s">
        <v>216</v>
      </c>
      <c r="D2128" s="5" t="s">
        <v>218</v>
      </c>
      <c r="E2128" s="4" t="str" cm="1">
        <f t="array" ref="E2128">_xlfn.IFS(
F2128 = "A partir de Abril", "Aguardando Execução na Distribuidora",
A2128 = "CAPACITAÇÃO", "Em execução no Corporativo",
TRUE, "Em Execução na Distribuidora"
)</f>
        <v>Em Execução na Distribuidora</v>
      </c>
      <c r="F2128" s="4" t="str" cm="1">
        <f t="array" ref="F2128">_xlfn.IFS(
AG2128 &lt;&gt; "", "Jan-Dez/26",
AH2128 &lt;&gt; "", "Fev-Dez/26",
AI2128 &lt;&gt; "", "Mar-Dez/26", AJ2128 &lt;&gt; "", "Abr-Dez/26",
TRUE, "A partir de Junho"
)</f>
        <v>Abr-Dez/26</v>
      </c>
      <c r="G2128" s="4" t="s">
        <v>37</v>
      </c>
      <c r="H2128" s="7" t="s">
        <v>38</v>
      </c>
      <c r="I2128" s="8" t="s">
        <v>148</v>
      </c>
      <c r="J2128" s="8" t="str" cm="1">
        <f t="array" aca="1" ref="J2128" ca="1">_xlfn.LET(
  _xlpm.actual_value_month, INDEX(T2128:AE2128, MATCH(DATE(YEAR(TODAY()), MONTH(TODAY()), 1), $T$1:$AE$1, 0)),
  IF(_xlpm.actual_value_month &lt;&gt; "",_xlpm.actual_value_month &amp; " ações mensais", "")
)</f>
        <v/>
      </c>
      <c r="K2128" s="8" t="str" cm="1">
        <f t="array" ref="K2128">_xlfn.LET(
    _xlpm.sum_month, SUM(T2128:AE2128),
    IF(_xlpm.sum_month = 0, "", _xlpm.sum_month &amp; " NC's no ano")
)</f>
        <v/>
      </c>
      <c r="L2128" s="9" t="s">
        <v>149</v>
      </c>
      <c r="M2128" s="24">
        <v>1</v>
      </c>
      <c r="N2128" s="5" t="s">
        <v>51</v>
      </c>
      <c r="O2128" s="5" t="s">
        <v>52</v>
      </c>
      <c r="P2128" s="10" t="s">
        <v>44</v>
      </c>
      <c r="Q2128" s="10" t="s">
        <v>44</v>
      </c>
      <c r="R2128" s="11" t="s">
        <v>44</v>
      </c>
      <c r="S2128" s="11" t="s">
        <v>44</v>
      </c>
      <c r="T2128" s="22"/>
      <c r="U2128" s="22"/>
      <c r="V2128" s="22"/>
      <c r="W2128" s="22"/>
      <c r="X2128" s="22"/>
      <c r="Y2128" s="22"/>
      <c r="Z2128" s="22"/>
      <c r="AA2128" s="22"/>
      <c r="AB2128" s="22"/>
      <c r="AC2128" s="22"/>
      <c r="AD2128" s="22"/>
      <c r="AE2128" s="22"/>
      <c r="AG2128" s="71"/>
      <c r="AH2128" s="71"/>
      <c r="AI2128" s="71"/>
      <c r="AJ2128" s="146">
        <v>30</v>
      </c>
      <c r="AK2128" s="71"/>
      <c r="AL2128" s="71"/>
      <c r="AM2128" s="71"/>
      <c r="AN2128" s="71"/>
      <c r="AO2128" s="71"/>
      <c r="AP2128" s="71"/>
      <c r="AQ2128" s="71"/>
      <c r="AR2128" s="71"/>
      <c r="AS2128" s="94">
        <f t="shared" ca="1" si="2504"/>
        <v>0</v>
      </c>
      <c r="AT2128" s="95">
        <f t="shared" si="2505"/>
        <v>30</v>
      </c>
      <c r="AU2128" s="97">
        <f t="shared" si="2506"/>
        <v>30</v>
      </c>
      <c r="AW2128" s="83">
        <f t="shared" si="2507"/>
        <v>0</v>
      </c>
      <c r="AX2128" s="83">
        <f t="shared" si="2508"/>
        <v>0</v>
      </c>
      <c r="AY2128" s="83">
        <f t="shared" si="2509"/>
        <v>0</v>
      </c>
      <c r="AZ2128" s="83">
        <f t="shared" si="2510"/>
        <v>30</v>
      </c>
      <c r="BA2128" s="52"/>
      <c r="BB2128" s="52"/>
      <c r="BC2128" s="52"/>
      <c r="BD2128" s="52"/>
      <c r="BE2128" s="52"/>
      <c r="BF2128" s="52"/>
      <c r="BG2128" s="52"/>
      <c r="BH2128" s="52"/>
      <c r="BI2128" s="68" cm="1">
        <f t="array" ref="BI2128">IFERROR(INDEX(AW2128:BH2128,1,MATCH(2,1/(AW2128:BH2128&lt;&gt;""))),"")</f>
        <v>30</v>
      </c>
      <c r="BJ2128" s="68" cm="1">
        <f t="array" ref="BJ2128">IF(BM2128 = "", "",IFERROR(INDEX(AW2128:BH2128,1,MATCH(2,1/(AW2128:BH2128&lt;&gt;""),1)-1),""))</f>
        <v>0</v>
      </c>
      <c r="BK2128" s="59">
        <f t="shared" si="2511"/>
        <v>30</v>
      </c>
      <c r="BL2128" s="59" cm="1">
        <f t="array" ref="BL2128">IFERROR(SUM(AW2128:INDEX(AW2128:BH2128, MATCH(2, 1/(AW2128:BH2128&lt;&gt;""), 1) - 1))/_xlfn.XLOOKUP(F2128,Apuração!A:A,Apuração!B:B),0)</f>
        <v>0</v>
      </c>
      <c r="BM2128" s="55" cm="1">
        <f t="array" ref="BM2128">IFERROR(
   INDEX($AW$1:$BH$1,
      _xlfn.AGGREGATE(14, 6, COLUMN($AW$1:$BH$1)/(AW2128:BH2128&lt;&gt;""), 2) - COLUMN($AW$1) + 1
   ),
"")</f>
        <v>46082</v>
      </c>
      <c r="BN2128" s="55" cm="1">
        <f t="array" ref="BN2128">IFERROR(INDEX($AW$1:$BH$1,1,MATCH(2,1/(AW2128:BH2128&lt;&gt;""))),"")</f>
        <v>46113</v>
      </c>
      <c r="BO2128" s="53">
        <f ca="1">IFERROR(_xlfn.XLOOKUP(F2128,Apuração!A:A,Apuração!C:C)/_xlfn.XLOOKUP(F2128,Apuração!A:A,Apuração!B:B),0)</f>
        <v>0.22222222222222221</v>
      </c>
      <c r="BP2128" s="53">
        <f ca="1">IFERROR(_xlfn.XLOOKUP(F2128,Apuração!A:A,Apuração!D:D)/_xlfn.XLOOKUP(F2128,Apuração!A:A,Apuração!B:B),0)</f>
        <v>0.1111111111111111</v>
      </c>
      <c r="BQ2128" s="53">
        <f ca="1">IF(BK2128&gt;=BO2128,0,_xlfn.XLOOKUP(F2128,Apuração!A:A,Apuração!B:B)*(BO2128 + (1/_xlfn.XLOOKUP(F2128,Apuração!A:A,Apuração!B:B)) - BK2128))</f>
        <v>0</v>
      </c>
      <c r="BR2128" s="85">
        <f t="shared" ca="1" si="2512"/>
        <v>0</v>
      </c>
      <c r="BS2128" s="53">
        <f ca="1">IFERROR((_xlfn.XLOOKUP(F2128,Apuração!A:A,Apuração!C:C)+1)/_xlfn.XLOOKUP(F2128,Apuração!A:A,Apuração!B:B),0)</f>
        <v>0.33333333333333331</v>
      </c>
    </row>
    <row r="2129" spans="1:71" ht="25.95" hidden="1" customHeight="1" x14ac:dyDescent="0.3">
      <c r="A2129" s="42" t="s">
        <v>134</v>
      </c>
      <c r="B2129" s="4" t="s">
        <v>142</v>
      </c>
      <c r="C2129" s="5" t="s">
        <v>216</v>
      </c>
      <c r="D2129" s="5" t="s">
        <v>219</v>
      </c>
      <c r="E2129" s="4" t="str" cm="1">
        <f t="array" ref="E2129">_xlfn.IFS(
F2129 = "A partir de Abril", "Aguardando Execução na Distribuidora",
A2129 = "CAPACITAÇÃO", "Em execução no Corporativo",
TRUE, "Em Execução na Distribuidora"
)</f>
        <v>Em Execução na Distribuidora</v>
      </c>
      <c r="F2129" s="4" t="str" cm="1">
        <f t="array" ref="F2129">_xlfn.IFS(
AG2129 &lt;&gt; "", "Jan-Dez/26",
AH2129 &lt;&gt; "", "Fev-Dez/26",
AI2129 &lt;&gt; "", "Mar-Dez/26", AJ2129 &lt;&gt; "", "Abr-Dez/26",
TRUE, "A partir de Junho"
)</f>
        <v>Abr-Dez/26</v>
      </c>
      <c r="G2129" s="4" t="s">
        <v>37</v>
      </c>
      <c r="H2129" s="7" t="s">
        <v>38</v>
      </c>
      <c r="I2129" s="8" t="s">
        <v>148</v>
      </c>
      <c r="J2129" s="8" t="str" cm="1">
        <f t="array" aca="1" ref="J2129" ca="1">_xlfn.LET(
  _xlpm.actual_value_month, INDEX(T2129:AE2129, MATCH(DATE(YEAR(TODAY()), MONTH(TODAY()), 1), $T$1:$AE$1, 0)),
  IF(_xlpm.actual_value_month &lt;&gt; "",_xlpm.actual_value_month &amp; " ações mensais", "")
)</f>
        <v/>
      </c>
      <c r="K2129" s="8" t="str" cm="1">
        <f t="array" ref="K2129">_xlfn.LET(
    _xlpm.sum_month, SUM(T2129:AE2129),
    IF(_xlpm.sum_month = 0, "", _xlpm.sum_month &amp; " NC's no ano")
)</f>
        <v/>
      </c>
      <c r="L2129" s="9" t="s">
        <v>149</v>
      </c>
      <c r="M2129" s="24">
        <v>1</v>
      </c>
      <c r="N2129" s="5" t="s">
        <v>51</v>
      </c>
      <c r="O2129" s="5" t="s">
        <v>52</v>
      </c>
      <c r="P2129" s="10" t="s">
        <v>44</v>
      </c>
      <c r="Q2129" s="10" t="s">
        <v>44</v>
      </c>
      <c r="R2129" s="11" t="s">
        <v>44</v>
      </c>
      <c r="S2129" s="11" t="s">
        <v>44</v>
      </c>
      <c r="T2129" s="22"/>
      <c r="U2129" s="22"/>
      <c r="V2129" s="22"/>
      <c r="W2129" s="22"/>
      <c r="X2129" s="22"/>
      <c r="Y2129" s="22"/>
      <c r="Z2129" s="22"/>
      <c r="AA2129" s="22"/>
      <c r="AB2129" s="22"/>
      <c r="AC2129" s="22"/>
      <c r="AD2129" s="22"/>
      <c r="AE2129" s="22"/>
      <c r="AG2129" s="71"/>
      <c r="AH2129" s="71"/>
      <c r="AI2129" s="71"/>
      <c r="AJ2129" s="146">
        <v>41</v>
      </c>
      <c r="AK2129" s="71"/>
      <c r="AL2129" s="71"/>
      <c r="AM2129" s="71"/>
      <c r="AN2129" s="71"/>
      <c r="AO2129" s="71"/>
      <c r="AP2129" s="71"/>
      <c r="AQ2129" s="71"/>
      <c r="AR2129" s="71"/>
      <c r="AS2129" s="94">
        <f t="shared" ca="1" si="2504"/>
        <v>0</v>
      </c>
      <c r="AT2129" s="95">
        <f t="shared" si="2505"/>
        <v>41</v>
      </c>
      <c r="AU2129" s="97">
        <f t="shared" si="2506"/>
        <v>41</v>
      </c>
      <c r="AW2129" s="83">
        <f t="shared" si="2507"/>
        <v>0</v>
      </c>
      <c r="AX2129" s="83">
        <f t="shared" si="2508"/>
        <v>0</v>
      </c>
      <c r="AY2129" s="83">
        <f t="shared" si="2509"/>
        <v>0</v>
      </c>
      <c r="AZ2129" s="83">
        <f t="shared" si="2510"/>
        <v>41</v>
      </c>
      <c r="BA2129" s="52"/>
      <c r="BB2129" s="52"/>
      <c r="BC2129" s="52"/>
      <c r="BD2129" s="52"/>
      <c r="BE2129" s="52"/>
      <c r="BF2129" s="52"/>
      <c r="BG2129" s="52"/>
      <c r="BH2129" s="52"/>
      <c r="BI2129" s="68" cm="1">
        <f t="array" ref="BI2129">IFERROR(INDEX(AW2129:BH2129,1,MATCH(2,1/(AW2129:BH2129&lt;&gt;""))),"")</f>
        <v>41</v>
      </c>
      <c r="BJ2129" s="68" cm="1">
        <f t="array" ref="BJ2129">IF(BM2129 = "", "",IFERROR(INDEX(AW2129:BH2129,1,MATCH(2,1/(AW2129:BH2129&lt;&gt;""),1)-1),""))</f>
        <v>0</v>
      </c>
      <c r="BK2129" s="59">
        <f t="shared" si="2511"/>
        <v>41</v>
      </c>
      <c r="BL2129" s="59" cm="1">
        <f t="array" ref="BL2129">IFERROR(SUM(AW2129:INDEX(AW2129:BH2129, MATCH(2, 1/(AW2129:BH2129&lt;&gt;""), 1) - 1))/_xlfn.XLOOKUP(F2129,Apuração!A:A,Apuração!B:B),0)</f>
        <v>0</v>
      </c>
      <c r="BM2129" s="55" cm="1">
        <f t="array" ref="BM2129">IFERROR(
   INDEX($AW$1:$BH$1,
      _xlfn.AGGREGATE(14, 6, COLUMN($AW$1:$BH$1)/(AW2129:BH2129&lt;&gt;""), 2) - COLUMN($AW$1) + 1
   ),
"")</f>
        <v>46082</v>
      </c>
      <c r="BN2129" s="55" cm="1">
        <f t="array" ref="BN2129">IFERROR(INDEX($AW$1:$BH$1,1,MATCH(2,1/(AW2129:BH2129&lt;&gt;""))),"")</f>
        <v>46113</v>
      </c>
      <c r="BO2129" s="53">
        <f ca="1">IFERROR(_xlfn.XLOOKUP(F2129,Apuração!A:A,Apuração!C:C)/_xlfn.XLOOKUP(F2129,Apuração!A:A,Apuração!B:B),0)</f>
        <v>0.22222222222222221</v>
      </c>
      <c r="BP2129" s="53">
        <f ca="1">IFERROR(_xlfn.XLOOKUP(F2129,Apuração!A:A,Apuração!D:D)/_xlfn.XLOOKUP(F2129,Apuração!A:A,Apuração!B:B),0)</f>
        <v>0.1111111111111111</v>
      </c>
      <c r="BQ2129" s="53">
        <f ca="1">IF(BK2129&gt;=BO2129,0,_xlfn.XLOOKUP(F2129,Apuração!A:A,Apuração!B:B)*(BO2129 + (1/_xlfn.XLOOKUP(F2129,Apuração!A:A,Apuração!B:B)) - BK2129))</f>
        <v>0</v>
      </c>
      <c r="BR2129" s="85">
        <f t="shared" ca="1" si="2512"/>
        <v>0</v>
      </c>
      <c r="BS2129" s="53">
        <f ca="1">IFERROR((_xlfn.XLOOKUP(F2129,Apuração!A:A,Apuração!C:C)+1)/_xlfn.XLOOKUP(F2129,Apuração!A:A,Apuração!B:B),0)</f>
        <v>0.33333333333333331</v>
      </c>
    </row>
    <row r="2130" spans="1:71" ht="25.95" hidden="1" customHeight="1" x14ac:dyDescent="0.3">
      <c r="A2130" s="25" t="s">
        <v>134</v>
      </c>
      <c r="B2130" s="15" t="s">
        <v>150</v>
      </c>
      <c r="C2130" s="5" t="s">
        <v>216</v>
      </c>
      <c r="D2130" s="5" t="s">
        <v>36</v>
      </c>
      <c r="E2130" s="4" t="str" cm="1">
        <f t="array" ref="E2130">_xlfn.IFS(
F2130 = "A partir de Abril", "Aguardando Execução na Distribuidora",
A2130 = "CAPACITAÇÃO", "Em execução no Corporativo",
TRUE, "Em Execução na Distribuidora"
)</f>
        <v>Em Execução na Distribuidora</v>
      </c>
      <c r="F2130" s="4" t="str" cm="1">
        <f t="array" ref="F2130">_xlfn.IFS(
AG2130 &lt;&gt; "", "Jan-Dez/26",
AH2130 &lt;&gt; "", "Fev-Dez/26",
AI2130 &lt;&gt; "", "Mar-Dez/26", AJ2130 &lt;&gt; "", "Abr-Dez/26",
TRUE, "A partir de Junho"
)</f>
        <v>Jan-Dez/26</v>
      </c>
      <c r="G2130" s="15" t="s">
        <v>37</v>
      </c>
      <c r="H2130" s="7" t="s">
        <v>38</v>
      </c>
      <c r="I2130" s="28" t="s">
        <v>124</v>
      </c>
      <c r="J2130" s="8" t="str" cm="1">
        <f t="array" aca="1" ref="J2130" ca="1">_xlfn.LET(
  _xlpm.actual_value_month, INDEX(T2130:AE2130, MATCH(DATE(YEAR(TODAY()), MONTH(TODAY()), 1), $T$1:$AE$1, 0)),
  IF(_xlpm.actual_value_month &lt;&gt; "",_xlpm.actual_value_month &amp; " reuniões mensais", "")
)</f>
        <v>400 reuniões mensais</v>
      </c>
      <c r="K2130" s="8" t="str" cm="1">
        <f t="array" ref="K2130">_xlfn.LET(
    _xlpm.sum_month, SUM(T2130:AE2130),
    IF(_xlpm.sum_month = 0, "", _xlpm.sum_month &amp; " atividades no ano")
)</f>
        <v>3980 atividades no ano</v>
      </c>
      <c r="L2130" s="29" t="s">
        <v>125</v>
      </c>
      <c r="M2130" s="30" t="s">
        <v>151</v>
      </c>
      <c r="N2130" s="66" t="s">
        <v>42</v>
      </c>
      <c r="O2130" s="111" t="s">
        <v>52</v>
      </c>
      <c r="P2130" s="31" t="s">
        <v>44</v>
      </c>
      <c r="Q2130" s="31" t="s">
        <v>72</v>
      </c>
      <c r="R2130" s="32" t="s">
        <v>44</v>
      </c>
      <c r="S2130" s="32" t="s">
        <v>44</v>
      </c>
      <c r="T2130" s="22">
        <v>159</v>
      </c>
      <c r="U2130" s="22">
        <v>119</v>
      </c>
      <c r="V2130" s="22">
        <v>102</v>
      </c>
      <c r="W2130" s="22">
        <v>400</v>
      </c>
      <c r="X2130" s="22">
        <v>400</v>
      </c>
      <c r="Y2130" s="22">
        <v>400</v>
      </c>
      <c r="Z2130" s="22">
        <v>400</v>
      </c>
      <c r="AA2130" s="22">
        <v>400</v>
      </c>
      <c r="AB2130" s="22">
        <v>400</v>
      </c>
      <c r="AC2130" s="22">
        <v>400</v>
      </c>
      <c r="AD2130" s="22">
        <v>400</v>
      </c>
      <c r="AE2130" s="22">
        <v>400</v>
      </c>
      <c r="AG2130" s="71">
        <v>159</v>
      </c>
      <c r="AH2130" s="71">
        <v>119</v>
      </c>
      <c r="AI2130" s="71">
        <v>102</v>
      </c>
      <c r="AJ2130" s="71">
        <v>313</v>
      </c>
      <c r="AK2130" s="71"/>
      <c r="AL2130" s="71"/>
      <c r="AM2130" s="71"/>
      <c r="AN2130" s="71"/>
      <c r="AO2130" s="71"/>
      <c r="AP2130" s="71"/>
      <c r="AQ2130" s="71"/>
      <c r="AR2130" s="71"/>
      <c r="AS2130" s="94">
        <f ca="1">IF(MONTH(TODAY())=3,SUM(T2130:U2130),IF(MONTH(TODAY())=4,SUM(T2130:V2130),IF(MONTH(TODAY())=5,SUM(T2130:W2130),IF(MONTH(TODAY())=6,SUM(T2130:X2130),IF(MONTH(TODAY())=7,SUM(T2130:Y2130),IF(MONTH(TODAY())=8,SUM(T2130:Z2130),IF(MONTH(TODAY())=9,SUM(T2130:AA2130),IF(MONTH(TODAY())=10,SUM(T2130:AB2130),IF(MONTH(TODAY())=11,SUM(T2130:AC2130),IF(MONTH(TODAY())=12,SUM(T2130:AD2130),IF(MONTH(TODAY())=1,SUM(T2130:AE2130),T2130)))))))))))</f>
        <v>1180</v>
      </c>
      <c r="AT2130" s="95">
        <f>SUM(IF(AW2130&lt;1.15,AG2130,1.15*T2130),IF(AX2130&lt;1.15,AH2130,1.15*U2130),IF(AY2130&lt;1.15,AI2130,1.15*V2130),IF(AZ2130&lt;1.15,AJ2130,1.15*W2130),IF(BA2130&lt;1.15,AK2130,1.15*X2130),IF(BB2130&lt;1.15,AL2130,1.15*Y2130),IF(BC2130&lt;1.15,AM2130,1.15*Z2130),IF(BD2130&lt;1.15,AN2130,1.15*AA2130),IF(BE2130&lt;1.15,AO2130,1.15*AB2130),IF(BF2130&lt;1.15,AP2130,1.15*AC2130),IF(BG2130&lt;1.15,AQ2130,1.15*AD2130),IF(BH2130&lt;1.15,AR2130,1.15*AE2130))</f>
        <v>693</v>
      </c>
      <c r="AU2130" s="97">
        <f>SUM(AG2130:AR2130)</f>
        <v>693</v>
      </c>
      <c r="AW2130" s="51">
        <f>IFERROR(IF(AG2130="",0,AG2130/T2130),0)</f>
        <v>1</v>
      </c>
      <c r="AX2130" s="51">
        <f>IFERROR(IF(AH2130="",0,AH2130/U2130),0)</f>
        <v>1</v>
      </c>
      <c r="AY2130" s="51">
        <f>IFERROR(IF(AI2130="",0,AI2130/V2130),0)</f>
        <v>1</v>
      </c>
      <c r="AZ2130" s="51">
        <f>IFERROR(IF(AJ2130="",0,AJ2130/W2130),0)</f>
        <v>0.78249999999999997</v>
      </c>
      <c r="BA2130" s="51"/>
      <c r="BB2130" s="51"/>
      <c r="BC2130" s="51"/>
      <c r="BD2130" s="51"/>
      <c r="BE2130" s="51"/>
      <c r="BF2130" s="51"/>
      <c r="BG2130" s="51"/>
      <c r="BH2130" s="51"/>
      <c r="BI2130" s="65" cm="1">
        <f t="array" ref="BI2130">IFERROR(INDEX(AW2130:BH2130,1,MATCH(2,1/(AW2130:BH2130&lt;&gt;""))),"")</f>
        <v>0.78249999999999997</v>
      </c>
      <c r="BJ2130" s="68" cm="1">
        <f t="array" ref="BJ2130">IF(BM2130 = "", "",IFERROR(INDEX(AW2130:BH2130,1,MATCH(2,1/(AW2130:BH2130&lt;&gt;""),1)-1),""))</f>
        <v>1</v>
      </c>
      <c r="BK2130" s="58">
        <f>IF((IF(AW2130&gt;=115%,115%,AW2130) + IF(AX2130&gt;=115%,115%,AX2130) + IF(AY2130&gt;=115%,115%,AY2130) + (IF(AZ2130&gt;=115%,115%,AZ2130) + IF(BA2130&gt;=115%,115%,BA2130) + IF(BB2130&gt;=115%,115%,BB2130) + IF(BC2130&gt;=115%,115%,BC2130) + IF(BD2130&gt;=115%,115%,BD2130) + IF(BE2130&gt;=115%,115%,BE2130) + IF(BF2130&gt;=115%,115%,BF2130) + IF(BG2130&gt;=115%,115%,BG2130) + IF(BH2130&gt;=115%,115%,BH2130)))/_xlfn.XLOOKUP(F2130,Apuração!A:A,Apuração!B:B)&gt;=1.15,1.15,((IF(AZ2130&gt;=115%,115%,AZ2130) + IF(AX2130&gt;=115%,115%,AX2130) + IF(AY2130&gt;=115%,115%,AY2130) + (IF(AW2130&gt;=115%,115%,AW2130) + IF(BA2130&gt;=115%,115%,BA2130) + IF(BB2130&gt;=115%,115%,BB2130) + IF(BC2130&gt;=115%,115%,BC2130) + IF(BD2130&gt;=115%,115%,BD2130) + IF(BE2130&gt;=115%,115%,BE2130) + IF(BF2130&gt;=115%,115%,BF2130) + IF(BG2130&gt;=115%,115%,BG2130) + IF(BH2130&gt;=115%,115%,BH2130)))/_xlfn.XLOOKUP(F2130,Apuração!A:A,Apuração!B:B)))</f>
        <v>0.31520833333333331</v>
      </c>
      <c r="BL2130" s="58" cm="1">
        <f t="array" aca="1" ref="BL2130" ca="1">IF(SUM(IFERROR(IF(INDEX(AW2130:INDEX(AW2130:BH2130, MATCH(2, 1/(AW2130:BH2130&lt;&gt;""), 1)-1), ROW(INDIRECT("1:" &amp; MATCH(2, 1/(AW2130:BH2130&lt;&gt;""), 1)-1))) &gt;= 115%, 115%, INDEX(AW2130:INDEX(AW2130:BH2130, MATCH(2, 1/(AW2130:BH2130&lt;&gt;""), 1)-1), ROW(INDIRECT("1:" &amp; MATCH(2, 1/(AW2130:BH2130&lt;&gt;""), 1)-1)))), 0))/_xlfn.XLOOKUP(F2130,Apuração!A:A,Apuração!B:B)&gt;=1.15,1.15,SUM(IFERROR(IF(INDEX(AW2130:INDEX(AW2130:BH2130, MATCH(2, 1/(AW2130:BH2130&lt;&gt;""), 1)-1), ROW(INDIRECT("1:" &amp; MATCH(2, 1/(AW2130:BH2130&lt;&gt;""), 1)-1))) &gt;= 115%, 115%, INDEX(AW2130:INDEX(AW2130:BH2130, MATCH(2, 1/(AW2130:BH2130&lt;&gt;""), 1)-1), ROW(INDIRECT("1:" &amp; MATCH(2, 1/(AW2130:BH2130&lt;&gt;""), 1)-1)))), 0))/_xlfn.XLOOKUP(F2130,Apuração!A:A,Apuração!B:B))</f>
        <v>0.25</v>
      </c>
      <c r="BM2130" s="55" cm="1">
        <f t="array" ref="BM2130">IFERROR(
   INDEX($AW$1:$BH$1,
      _xlfn.AGGREGATE(14, 6, COLUMN($AW$1:$BH$1)/(AW2130:BH2130&lt;&gt;""), 2) - COLUMN($AW$1) + 1
   ),
"")</f>
        <v>46082</v>
      </c>
      <c r="BN2130" s="55" cm="1">
        <f t="array" ref="BN2130">IFERROR(INDEX($AW$1:$BH$1,1,MATCH(2,1/(AW2130:BH2130&lt;&gt;""))),"")</f>
        <v>46113</v>
      </c>
      <c r="BO2130" s="53">
        <f ca="1">IFERROR(_xlfn.XLOOKUP(F2130,Apuração!A:A,Apuração!C:C)/_xlfn.XLOOKUP(F2130,Apuração!A:A,Apuração!B:B),0)</f>
        <v>0.41666666666666669</v>
      </c>
      <c r="BP2130" s="53">
        <f ca="1">IFERROR(_xlfn.XLOOKUP(F2130,Apuração!A:A,Apuração!D:D)/_xlfn.XLOOKUP(F2130,Apuração!A:A,Apuração!B:B),0)</f>
        <v>0.33333333333333331</v>
      </c>
      <c r="BQ2130" s="53">
        <f ca="1">IF(BK2130&gt;=BO2130,0,_xlfn.XLOOKUP(F2130,Apuração!A:A,Apuração!B:B)*(BO2130 + (1/_xlfn.XLOOKUP(F2130,Apuração!A:A,Apuração!B:B)) - BK2130))</f>
        <v>2.2175000000000002</v>
      </c>
      <c r="BR2130" s="85">
        <f ca="1">IF(BQ2130=0,0,BQ2130*Z2130)</f>
        <v>887.00000000000011</v>
      </c>
      <c r="BS2130" s="53">
        <f ca="1">IFERROR((_xlfn.XLOOKUP(F2130,Apuração!A:A,Apuração!C:C)+1)/_xlfn.XLOOKUP(F2130,Apuração!A:A,Apuração!B:B),0)</f>
        <v>0.5</v>
      </c>
    </row>
    <row r="2131" spans="1:71" ht="25.95" hidden="1" customHeight="1" x14ac:dyDescent="0.3">
      <c r="A2131" s="25" t="s">
        <v>134</v>
      </c>
      <c r="B2131" s="15" t="s">
        <v>150</v>
      </c>
      <c r="C2131" s="5" t="s">
        <v>216</v>
      </c>
      <c r="D2131" s="5" t="s">
        <v>217</v>
      </c>
      <c r="E2131" s="4" t="str" cm="1">
        <f t="array" ref="E2131">_xlfn.IFS(
F2131 = "A partir de Abril", "Aguardando Execução na Distribuidora",
A2131 = "CAPACITAÇÃO", "Em execução no Corporativo",
TRUE, "Em Execução na Distribuidora"
)</f>
        <v>Em Execução na Distribuidora</v>
      </c>
      <c r="F2131" s="4" t="str" cm="1">
        <f t="array" ref="F2131">_xlfn.IFS(
AG2131 &lt;&gt; "", "Jan-Dez/26",
AH2131 &lt;&gt; "", "Fev-Dez/26",
AI2131 &lt;&gt; "", "Mar-Dez/26", AJ2131 &lt;&gt; "", "Abr-Dez/26",
TRUE, "A partir de Junho"
)</f>
        <v>Abr-Dez/26</v>
      </c>
      <c r="G2131" s="15" t="s">
        <v>37</v>
      </c>
      <c r="H2131" s="7" t="s">
        <v>38</v>
      </c>
      <c r="I2131" s="28" t="s">
        <v>124</v>
      </c>
      <c r="J2131" s="8" t="str" cm="1">
        <f t="array" aca="1" ref="J2131" ca="1">_xlfn.LET(
  _xlpm.actual_value_month, INDEX(T2131:AE2131, MATCH(DATE(YEAR(TODAY()), MONTH(TODAY()), 1), $T$1:$AE$1, 0)),
  IF(_xlpm.actual_value_month &lt;&gt; "",_xlpm.actual_value_month &amp; " reuniões mensais", "")
)</f>
        <v>100 reuniões mensais</v>
      </c>
      <c r="K2131" s="8" t="str" cm="1">
        <f t="array" ref="K2131">_xlfn.LET(
    _xlpm.sum_month, SUM(T2131:AE2131),
    IF(_xlpm.sum_month = 0, "", _xlpm.sum_month &amp; " atividades no ano")
)</f>
        <v>900 atividades no ano</v>
      </c>
      <c r="L2131" s="29" t="s">
        <v>125</v>
      </c>
      <c r="M2131" s="30" t="s">
        <v>151</v>
      </c>
      <c r="N2131" s="66" t="s">
        <v>42</v>
      </c>
      <c r="O2131" s="111" t="s">
        <v>52</v>
      </c>
      <c r="P2131" s="31" t="s">
        <v>44</v>
      </c>
      <c r="Q2131" s="31" t="s">
        <v>72</v>
      </c>
      <c r="R2131" s="32" t="s">
        <v>44</v>
      </c>
      <c r="S2131" s="32" t="s">
        <v>44</v>
      </c>
      <c r="T2131" s="22"/>
      <c r="U2131" s="22"/>
      <c r="V2131" s="22"/>
      <c r="W2131" s="156">
        <v>100</v>
      </c>
      <c r="X2131" s="157">
        <v>100</v>
      </c>
      <c r="Y2131" s="157">
        <v>100</v>
      </c>
      <c r="Z2131" s="157">
        <v>100</v>
      </c>
      <c r="AA2131" s="157">
        <v>100</v>
      </c>
      <c r="AB2131" s="157">
        <v>100</v>
      </c>
      <c r="AC2131" s="157">
        <v>100</v>
      </c>
      <c r="AD2131" s="157">
        <v>100</v>
      </c>
      <c r="AE2131" s="157">
        <v>100</v>
      </c>
      <c r="AG2131" s="71"/>
      <c r="AH2131" s="71"/>
      <c r="AI2131" s="71"/>
      <c r="AJ2131" s="145">
        <v>100</v>
      </c>
      <c r="AK2131" s="71"/>
      <c r="AL2131" s="71"/>
      <c r="AM2131" s="71"/>
      <c r="AN2131" s="71"/>
      <c r="AO2131" s="71"/>
      <c r="AP2131" s="71"/>
      <c r="AQ2131" s="71"/>
      <c r="AR2131" s="71"/>
      <c r="AS2131" s="94">
        <f t="shared" ref="AS2131:AS2134" ca="1" si="2513">IF(MONTH(TODAY())=3,SUM(T2131:U2131),IF(MONTH(TODAY())=4,SUM(T2131:V2131),IF(MONTH(TODAY())=5,SUM(T2131:W2131),IF(MONTH(TODAY())=6,SUM(T2131:X2131),IF(MONTH(TODAY())=7,SUM(T2131:Y2131),IF(MONTH(TODAY())=8,SUM(T2131:Z2131),IF(MONTH(TODAY())=9,SUM(T2131:AA2131),IF(MONTH(TODAY())=10,SUM(T2131:AB2131),IF(MONTH(TODAY())=11,SUM(T2131:AC2131),IF(MONTH(TODAY())=12,SUM(T2131:AD2131),IF(MONTH(TODAY())=1,SUM(T2131:AE2131),T2131)))))))))))</f>
        <v>200</v>
      </c>
      <c r="AT2131" s="95">
        <f t="shared" ref="AT2131:AT2134" si="2514">SUM(IF(AW2131&lt;1.15,AG2131,1.15*T2131),IF(AX2131&lt;1.15,AH2131,1.15*U2131),IF(AY2131&lt;1.15,AI2131,1.15*V2131),IF(AZ2131&lt;1.15,AJ2131,1.15*W2131),IF(BA2131&lt;1.15,AK2131,1.15*X2131),IF(BB2131&lt;1.15,AL2131,1.15*Y2131),IF(BC2131&lt;1.15,AM2131,1.15*Z2131),IF(BD2131&lt;1.15,AN2131,1.15*AA2131),IF(BE2131&lt;1.15,AO2131,1.15*AB2131),IF(BF2131&lt;1.15,AP2131,1.15*AC2131),IF(BG2131&lt;1.15,AQ2131,1.15*AD2131),IF(BH2131&lt;1.15,AR2131,1.15*AE2131))</f>
        <v>100</v>
      </c>
      <c r="AU2131" s="97">
        <f t="shared" ref="AU2131:AU2134" si="2515">SUM(AG2131:AR2131)</f>
        <v>100</v>
      </c>
      <c r="AW2131" s="51">
        <f t="shared" ref="AW2131:AW2134" si="2516">IFERROR(IF(AG2131="",0,AG2131/T2131),0)</f>
        <v>0</v>
      </c>
      <c r="AX2131" s="51">
        <f t="shared" ref="AX2131:AX2134" si="2517">IFERROR(IF(AH2131="",0,AH2131/U2131),0)</f>
        <v>0</v>
      </c>
      <c r="AY2131" s="51">
        <f t="shared" ref="AY2131:AY2134" si="2518">IFERROR(IF(AI2131="",0,AI2131/V2131),0)</f>
        <v>0</v>
      </c>
      <c r="AZ2131" s="51">
        <f t="shared" ref="AZ2131:AZ2134" si="2519">IFERROR(IF(AJ2131="",0,AJ2131/W2131),0)</f>
        <v>1</v>
      </c>
      <c r="BA2131" s="51"/>
      <c r="BB2131" s="51"/>
      <c r="BC2131" s="51"/>
      <c r="BD2131" s="51"/>
      <c r="BE2131" s="51"/>
      <c r="BF2131" s="51"/>
      <c r="BG2131" s="51"/>
      <c r="BH2131" s="51"/>
      <c r="BI2131" s="65" cm="1">
        <f t="array" ref="BI2131">IFERROR(INDEX(AW2131:BH2131,1,MATCH(2,1/(AW2131:BH2131&lt;&gt;""))),"")</f>
        <v>1</v>
      </c>
      <c r="BJ2131" s="68" cm="1">
        <f t="array" ref="BJ2131">IF(BM2131 = "", "",IFERROR(INDEX(AW2131:BH2131,1,MATCH(2,1/(AW2131:BH2131&lt;&gt;""),1)-1),""))</f>
        <v>0</v>
      </c>
      <c r="BK2131" s="58">
        <f>IF((IF(AW2131&gt;=115%,115%,AW2131) + IF(AX2131&gt;=115%,115%,AX2131) + IF(AY2131&gt;=115%,115%,AY2131) + (IF(AZ2131&gt;=115%,115%,AZ2131) + IF(BA2131&gt;=115%,115%,BA2131) + IF(BB2131&gt;=115%,115%,BB2131) + IF(BC2131&gt;=115%,115%,BC2131) + IF(BD2131&gt;=115%,115%,BD2131) + IF(BE2131&gt;=115%,115%,BE2131) + IF(BF2131&gt;=115%,115%,BF2131) + IF(BG2131&gt;=115%,115%,BG2131) + IF(BH2131&gt;=115%,115%,BH2131)))/_xlfn.XLOOKUP(F2131,Apuração!A:A,Apuração!B:B)&gt;=1.15,1.15,((IF(AZ2131&gt;=115%,115%,AZ2131) + IF(AX2131&gt;=115%,115%,AX2131) + IF(AY2131&gt;=115%,115%,AY2131) + (IF(AW2131&gt;=115%,115%,AW2131) + IF(BA2131&gt;=115%,115%,BA2131) + IF(BB2131&gt;=115%,115%,BB2131) + IF(BC2131&gt;=115%,115%,BC2131) + IF(BD2131&gt;=115%,115%,BD2131) + IF(BE2131&gt;=115%,115%,BE2131) + IF(BF2131&gt;=115%,115%,BF2131) + IF(BG2131&gt;=115%,115%,BG2131) + IF(BH2131&gt;=115%,115%,BH2131)))/_xlfn.XLOOKUP(F2131,Apuração!A:A,Apuração!B:B)))</f>
        <v>0.1111111111111111</v>
      </c>
      <c r="BL2131" s="58" cm="1">
        <f t="array" aca="1" ref="BL2131" ca="1">IF(SUM(IFERROR(IF(INDEX(AW2131:INDEX(AW2131:BH2131, MATCH(2, 1/(AW2131:BH2131&lt;&gt;""), 1)-1), ROW(INDIRECT("1:" &amp; MATCH(2, 1/(AW2131:BH2131&lt;&gt;""), 1)-1))) &gt;= 115%, 115%, INDEX(AW2131:INDEX(AW2131:BH2131, MATCH(2, 1/(AW2131:BH2131&lt;&gt;""), 1)-1), ROW(INDIRECT("1:" &amp; MATCH(2, 1/(AW2131:BH2131&lt;&gt;""), 1)-1)))), 0))/_xlfn.XLOOKUP(F2131,Apuração!A:A,Apuração!B:B)&gt;=1.15,1.15,SUM(IFERROR(IF(INDEX(AW2131:INDEX(AW2131:BH2131, MATCH(2, 1/(AW2131:BH2131&lt;&gt;""), 1)-1), ROW(INDIRECT("1:" &amp; MATCH(2, 1/(AW2131:BH2131&lt;&gt;""), 1)-1))) &gt;= 115%, 115%, INDEX(AW2131:INDEX(AW2131:BH2131, MATCH(2, 1/(AW2131:BH2131&lt;&gt;""), 1)-1), ROW(INDIRECT("1:" &amp; MATCH(2, 1/(AW2131:BH2131&lt;&gt;""), 1)-1)))), 0))/_xlfn.XLOOKUP(F2131,Apuração!A:A,Apuração!B:B))</f>
        <v>0</v>
      </c>
      <c r="BM2131" s="55" cm="1">
        <f t="array" ref="BM2131">IFERROR(
   INDEX($AW$1:$BH$1,
      _xlfn.AGGREGATE(14, 6, COLUMN($AW$1:$BH$1)/(AW2131:BH2131&lt;&gt;""), 2) - COLUMN($AW$1) + 1
   ),
"")</f>
        <v>46082</v>
      </c>
      <c r="BN2131" s="55" cm="1">
        <f t="array" ref="BN2131">IFERROR(INDEX($AW$1:$BH$1,1,MATCH(2,1/(AW2131:BH2131&lt;&gt;""))),"")</f>
        <v>46113</v>
      </c>
      <c r="BO2131" s="53">
        <f ca="1">IFERROR(_xlfn.XLOOKUP(F2131,Apuração!A:A,Apuração!C:C)/_xlfn.XLOOKUP(F2131,Apuração!A:A,Apuração!B:B),0)</f>
        <v>0.22222222222222221</v>
      </c>
      <c r="BP2131" s="53">
        <f ca="1">IFERROR(_xlfn.XLOOKUP(F2131,Apuração!A:A,Apuração!D:D)/_xlfn.XLOOKUP(F2131,Apuração!A:A,Apuração!B:B),0)</f>
        <v>0.1111111111111111</v>
      </c>
      <c r="BQ2131" s="53">
        <f ca="1">IF(BK2131&gt;=BO2131,0,_xlfn.XLOOKUP(F2131,Apuração!A:A,Apuração!B:B)*(BO2131 + (1/_xlfn.XLOOKUP(F2131,Apuração!A:A,Apuração!B:B)) - BK2131))</f>
        <v>2</v>
      </c>
      <c r="BR2131" s="85">
        <f t="shared" ref="BR2131:BR2134" ca="1" si="2520">IF(BQ2131=0,0,BQ2131*Z2131)</f>
        <v>200</v>
      </c>
      <c r="BS2131" s="53">
        <f ca="1">IFERROR((_xlfn.XLOOKUP(F2131,Apuração!A:A,Apuração!C:C)+1)/_xlfn.XLOOKUP(F2131,Apuração!A:A,Apuração!B:B),0)</f>
        <v>0.33333333333333331</v>
      </c>
    </row>
    <row r="2132" spans="1:71" ht="25.95" hidden="1" customHeight="1" x14ac:dyDescent="0.3">
      <c r="A2132" s="25" t="s">
        <v>134</v>
      </c>
      <c r="B2132" s="15" t="s">
        <v>150</v>
      </c>
      <c r="C2132" s="5" t="s">
        <v>216</v>
      </c>
      <c r="D2132" s="5" t="s">
        <v>103</v>
      </c>
      <c r="E2132" s="4" t="str" cm="1">
        <f t="array" ref="E2132">_xlfn.IFS(
F2132 = "A partir de Abril", "Aguardando Execução na Distribuidora",
A2132 = "CAPACITAÇÃO", "Em execução no Corporativo",
TRUE, "Em Execução na Distribuidora"
)</f>
        <v>Em Execução na Distribuidora</v>
      </c>
      <c r="F2132" s="4" t="str" cm="1">
        <f t="array" ref="F2132">_xlfn.IFS(
AG2132 &lt;&gt; "", "Jan-Dez/26",
AH2132 &lt;&gt; "", "Fev-Dez/26",
AI2132 &lt;&gt; "", "Mar-Dez/26", AJ2132 &lt;&gt; "", "Abr-Dez/26",
TRUE, "A partir de Junho"
)</f>
        <v>Abr-Dez/26</v>
      </c>
      <c r="G2132" s="15" t="s">
        <v>37</v>
      </c>
      <c r="H2132" s="7" t="s">
        <v>38</v>
      </c>
      <c r="I2132" s="28" t="s">
        <v>124</v>
      </c>
      <c r="J2132" s="8" t="str" cm="1">
        <f t="array" aca="1" ref="J2132" ca="1">_xlfn.LET(
  _xlpm.actual_value_month, INDEX(T2132:AE2132, MATCH(DATE(YEAR(TODAY()), MONTH(TODAY()), 1), $T$1:$AE$1, 0)),
  IF(_xlpm.actual_value_month &lt;&gt; "",_xlpm.actual_value_month &amp; " reuniões mensais", "")
)</f>
        <v>100 reuniões mensais</v>
      </c>
      <c r="K2132" s="8" t="str" cm="1">
        <f t="array" ref="K2132">_xlfn.LET(
    _xlpm.sum_month, SUM(T2132:AE2132),
    IF(_xlpm.sum_month = 0, "", _xlpm.sum_month &amp; " atividades no ano")
)</f>
        <v>900 atividades no ano</v>
      </c>
      <c r="L2132" s="29" t="s">
        <v>125</v>
      </c>
      <c r="M2132" s="30" t="s">
        <v>151</v>
      </c>
      <c r="N2132" s="66" t="s">
        <v>42</v>
      </c>
      <c r="O2132" s="111" t="s">
        <v>52</v>
      </c>
      <c r="P2132" s="31" t="s">
        <v>44</v>
      </c>
      <c r="Q2132" s="31" t="s">
        <v>72</v>
      </c>
      <c r="R2132" s="32" t="s">
        <v>44</v>
      </c>
      <c r="S2132" s="32" t="s">
        <v>44</v>
      </c>
      <c r="T2132" s="22"/>
      <c r="U2132" s="22"/>
      <c r="V2132" s="22"/>
      <c r="W2132" s="158">
        <v>100</v>
      </c>
      <c r="X2132" s="159">
        <v>100</v>
      </c>
      <c r="Y2132" s="159">
        <v>100</v>
      </c>
      <c r="Z2132" s="159">
        <v>100</v>
      </c>
      <c r="AA2132" s="159">
        <v>100</v>
      </c>
      <c r="AB2132" s="159">
        <v>100</v>
      </c>
      <c r="AC2132" s="159">
        <v>100</v>
      </c>
      <c r="AD2132" s="159">
        <v>100</v>
      </c>
      <c r="AE2132" s="159">
        <v>100</v>
      </c>
      <c r="AG2132" s="71"/>
      <c r="AH2132" s="71"/>
      <c r="AI2132" s="71"/>
      <c r="AJ2132" s="146">
        <v>100</v>
      </c>
      <c r="AK2132" s="71"/>
      <c r="AL2132" s="71"/>
      <c r="AM2132" s="71"/>
      <c r="AN2132" s="71"/>
      <c r="AO2132" s="71"/>
      <c r="AP2132" s="71"/>
      <c r="AQ2132" s="71"/>
      <c r="AR2132" s="71"/>
      <c r="AS2132" s="94">
        <f t="shared" ca="1" si="2513"/>
        <v>200</v>
      </c>
      <c r="AT2132" s="95">
        <f t="shared" si="2514"/>
        <v>100</v>
      </c>
      <c r="AU2132" s="97">
        <f t="shared" si="2515"/>
        <v>100</v>
      </c>
      <c r="AW2132" s="51">
        <f t="shared" si="2516"/>
        <v>0</v>
      </c>
      <c r="AX2132" s="51">
        <f t="shared" si="2517"/>
        <v>0</v>
      </c>
      <c r="AY2132" s="51">
        <f t="shared" si="2518"/>
        <v>0</v>
      </c>
      <c r="AZ2132" s="51">
        <f t="shared" si="2519"/>
        <v>1</v>
      </c>
      <c r="BA2132" s="51"/>
      <c r="BB2132" s="51"/>
      <c r="BC2132" s="51"/>
      <c r="BD2132" s="51"/>
      <c r="BE2132" s="51"/>
      <c r="BF2132" s="51"/>
      <c r="BG2132" s="51"/>
      <c r="BH2132" s="51"/>
      <c r="BI2132" s="65" cm="1">
        <f t="array" ref="BI2132">IFERROR(INDEX(AW2132:BH2132,1,MATCH(2,1/(AW2132:BH2132&lt;&gt;""))),"")</f>
        <v>1</v>
      </c>
      <c r="BJ2132" s="68" cm="1">
        <f t="array" ref="BJ2132">IF(BM2132 = "", "",IFERROR(INDEX(AW2132:BH2132,1,MATCH(2,1/(AW2132:BH2132&lt;&gt;""),1)-1),""))</f>
        <v>0</v>
      </c>
      <c r="BK2132" s="58">
        <f>IF((IF(AW2132&gt;=115%,115%,AW2132) + IF(AX2132&gt;=115%,115%,AX2132) + IF(AY2132&gt;=115%,115%,AY2132) + (IF(AZ2132&gt;=115%,115%,AZ2132) + IF(BA2132&gt;=115%,115%,BA2132) + IF(BB2132&gt;=115%,115%,BB2132) + IF(BC2132&gt;=115%,115%,BC2132) + IF(BD2132&gt;=115%,115%,BD2132) + IF(BE2132&gt;=115%,115%,BE2132) + IF(BF2132&gt;=115%,115%,BF2132) + IF(BG2132&gt;=115%,115%,BG2132) + IF(BH2132&gt;=115%,115%,BH2132)))/_xlfn.XLOOKUP(F2132,Apuração!A:A,Apuração!B:B)&gt;=1.15,1.15,((IF(AZ2132&gt;=115%,115%,AZ2132) + IF(AX2132&gt;=115%,115%,AX2132) + IF(AY2132&gt;=115%,115%,AY2132) + (IF(AW2132&gt;=115%,115%,AW2132) + IF(BA2132&gt;=115%,115%,BA2132) + IF(BB2132&gt;=115%,115%,BB2132) + IF(BC2132&gt;=115%,115%,BC2132) + IF(BD2132&gt;=115%,115%,BD2132) + IF(BE2132&gt;=115%,115%,BE2132) + IF(BF2132&gt;=115%,115%,BF2132) + IF(BG2132&gt;=115%,115%,BG2132) + IF(BH2132&gt;=115%,115%,BH2132)))/_xlfn.XLOOKUP(F2132,Apuração!A:A,Apuração!B:B)))</f>
        <v>0.1111111111111111</v>
      </c>
      <c r="BL2132" s="58" cm="1">
        <f t="array" aca="1" ref="BL2132" ca="1">IF(SUM(IFERROR(IF(INDEX(AW2132:INDEX(AW2132:BH2132, MATCH(2, 1/(AW2132:BH2132&lt;&gt;""), 1)-1), ROW(INDIRECT("1:" &amp; MATCH(2, 1/(AW2132:BH2132&lt;&gt;""), 1)-1))) &gt;= 115%, 115%, INDEX(AW2132:INDEX(AW2132:BH2132, MATCH(2, 1/(AW2132:BH2132&lt;&gt;""), 1)-1), ROW(INDIRECT("1:" &amp; MATCH(2, 1/(AW2132:BH2132&lt;&gt;""), 1)-1)))), 0))/_xlfn.XLOOKUP(F2132,Apuração!A:A,Apuração!B:B)&gt;=1.15,1.15,SUM(IFERROR(IF(INDEX(AW2132:INDEX(AW2132:BH2132, MATCH(2, 1/(AW2132:BH2132&lt;&gt;""), 1)-1), ROW(INDIRECT("1:" &amp; MATCH(2, 1/(AW2132:BH2132&lt;&gt;""), 1)-1))) &gt;= 115%, 115%, INDEX(AW2132:INDEX(AW2132:BH2132, MATCH(2, 1/(AW2132:BH2132&lt;&gt;""), 1)-1), ROW(INDIRECT("1:" &amp; MATCH(2, 1/(AW2132:BH2132&lt;&gt;""), 1)-1)))), 0))/_xlfn.XLOOKUP(F2132,Apuração!A:A,Apuração!B:B))</f>
        <v>0</v>
      </c>
      <c r="BM2132" s="55" cm="1">
        <f t="array" ref="BM2132">IFERROR(
   INDEX($AW$1:$BH$1,
      _xlfn.AGGREGATE(14, 6, COLUMN($AW$1:$BH$1)/(AW2132:BH2132&lt;&gt;""), 2) - COLUMN($AW$1) + 1
   ),
"")</f>
        <v>46082</v>
      </c>
      <c r="BN2132" s="55" cm="1">
        <f t="array" ref="BN2132">IFERROR(INDEX($AW$1:$BH$1,1,MATCH(2,1/(AW2132:BH2132&lt;&gt;""))),"")</f>
        <v>46113</v>
      </c>
      <c r="BO2132" s="53">
        <f ca="1">IFERROR(_xlfn.XLOOKUP(F2132,Apuração!A:A,Apuração!C:C)/_xlfn.XLOOKUP(F2132,Apuração!A:A,Apuração!B:B),0)</f>
        <v>0.22222222222222221</v>
      </c>
      <c r="BP2132" s="53">
        <f ca="1">IFERROR(_xlfn.XLOOKUP(F2132,Apuração!A:A,Apuração!D:D)/_xlfn.XLOOKUP(F2132,Apuração!A:A,Apuração!B:B),0)</f>
        <v>0.1111111111111111</v>
      </c>
      <c r="BQ2132" s="53">
        <f ca="1">IF(BK2132&gt;=BO2132,0,_xlfn.XLOOKUP(F2132,Apuração!A:A,Apuração!B:B)*(BO2132 + (1/_xlfn.XLOOKUP(F2132,Apuração!A:A,Apuração!B:B)) - BK2132))</f>
        <v>2</v>
      </c>
      <c r="BR2132" s="85">
        <f t="shared" ca="1" si="2520"/>
        <v>200</v>
      </c>
      <c r="BS2132" s="53">
        <f ca="1">IFERROR((_xlfn.XLOOKUP(F2132,Apuração!A:A,Apuração!C:C)+1)/_xlfn.XLOOKUP(F2132,Apuração!A:A,Apuração!B:B),0)</f>
        <v>0.33333333333333331</v>
      </c>
    </row>
    <row r="2133" spans="1:71" ht="25.95" hidden="1" customHeight="1" x14ac:dyDescent="0.3">
      <c r="A2133" s="25" t="s">
        <v>134</v>
      </c>
      <c r="B2133" s="15" t="s">
        <v>150</v>
      </c>
      <c r="C2133" s="5" t="s">
        <v>216</v>
      </c>
      <c r="D2133" s="5" t="s">
        <v>218</v>
      </c>
      <c r="E2133" s="4" t="str" cm="1">
        <f t="array" ref="E2133">_xlfn.IFS(
F2133 = "A partir de Abril", "Aguardando Execução na Distribuidora",
A2133 = "CAPACITAÇÃO", "Em execução no Corporativo",
TRUE, "Em Execução na Distribuidora"
)</f>
        <v>Em Execução na Distribuidora</v>
      </c>
      <c r="F2133" s="4" t="str" cm="1">
        <f t="array" ref="F2133">_xlfn.IFS(
AG2133 &lt;&gt; "", "Jan-Dez/26",
AH2133 &lt;&gt; "", "Fev-Dez/26",
AI2133 &lt;&gt; "", "Mar-Dez/26", AJ2133 &lt;&gt; "", "Abr-Dez/26",
TRUE, "A partir de Junho"
)</f>
        <v>Abr-Dez/26</v>
      </c>
      <c r="G2133" s="15" t="s">
        <v>37</v>
      </c>
      <c r="H2133" s="7" t="s">
        <v>38</v>
      </c>
      <c r="I2133" s="28" t="s">
        <v>124</v>
      </c>
      <c r="J2133" s="8" t="str" cm="1">
        <f t="array" aca="1" ref="J2133" ca="1">_xlfn.LET(
  _xlpm.actual_value_month, INDEX(T2133:AE2133, MATCH(DATE(YEAR(TODAY()), MONTH(TODAY()), 1), $T$1:$AE$1, 0)),
  IF(_xlpm.actual_value_month &lt;&gt; "",_xlpm.actual_value_month &amp; " reuniões mensais", "")
)</f>
        <v>100 reuniões mensais</v>
      </c>
      <c r="K2133" s="8" t="str" cm="1">
        <f t="array" ref="K2133">_xlfn.LET(
    _xlpm.sum_month, SUM(T2133:AE2133),
    IF(_xlpm.sum_month = 0, "", _xlpm.sum_month &amp; " atividades no ano")
)</f>
        <v>900 atividades no ano</v>
      </c>
      <c r="L2133" s="29" t="s">
        <v>125</v>
      </c>
      <c r="M2133" s="30" t="s">
        <v>151</v>
      </c>
      <c r="N2133" s="66" t="s">
        <v>42</v>
      </c>
      <c r="O2133" s="111" t="s">
        <v>52</v>
      </c>
      <c r="P2133" s="31" t="s">
        <v>44</v>
      </c>
      <c r="Q2133" s="31" t="s">
        <v>72</v>
      </c>
      <c r="R2133" s="32" t="s">
        <v>44</v>
      </c>
      <c r="S2133" s="32" t="s">
        <v>44</v>
      </c>
      <c r="T2133" s="22"/>
      <c r="U2133" s="22"/>
      <c r="V2133" s="22"/>
      <c r="W2133" s="158">
        <v>100</v>
      </c>
      <c r="X2133" s="159">
        <v>100</v>
      </c>
      <c r="Y2133" s="159">
        <v>100</v>
      </c>
      <c r="Z2133" s="159">
        <v>100</v>
      </c>
      <c r="AA2133" s="159">
        <v>100</v>
      </c>
      <c r="AB2133" s="159">
        <v>100</v>
      </c>
      <c r="AC2133" s="159">
        <v>100</v>
      </c>
      <c r="AD2133" s="159">
        <v>100</v>
      </c>
      <c r="AE2133" s="159">
        <v>100</v>
      </c>
      <c r="AG2133" s="71"/>
      <c r="AH2133" s="71"/>
      <c r="AI2133" s="71"/>
      <c r="AJ2133" s="146">
        <v>25</v>
      </c>
      <c r="AK2133" s="71"/>
      <c r="AL2133" s="71"/>
      <c r="AM2133" s="71"/>
      <c r="AN2133" s="71"/>
      <c r="AO2133" s="71"/>
      <c r="AP2133" s="71"/>
      <c r="AQ2133" s="71"/>
      <c r="AR2133" s="71"/>
      <c r="AS2133" s="94">
        <f t="shared" ca="1" si="2513"/>
        <v>200</v>
      </c>
      <c r="AT2133" s="95">
        <f t="shared" si="2514"/>
        <v>25</v>
      </c>
      <c r="AU2133" s="97">
        <f t="shared" si="2515"/>
        <v>25</v>
      </c>
      <c r="AW2133" s="51">
        <f t="shared" si="2516"/>
        <v>0</v>
      </c>
      <c r="AX2133" s="51">
        <f t="shared" si="2517"/>
        <v>0</v>
      </c>
      <c r="AY2133" s="51">
        <f t="shared" si="2518"/>
        <v>0</v>
      </c>
      <c r="AZ2133" s="51">
        <f t="shared" si="2519"/>
        <v>0.25</v>
      </c>
      <c r="BA2133" s="51"/>
      <c r="BB2133" s="51"/>
      <c r="BC2133" s="51"/>
      <c r="BD2133" s="51"/>
      <c r="BE2133" s="51"/>
      <c r="BF2133" s="51"/>
      <c r="BG2133" s="51"/>
      <c r="BH2133" s="51"/>
      <c r="BI2133" s="65" cm="1">
        <f t="array" ref="BI2133">IFERROR(INDEX(AW2133:BH2133,1,MATCH(2,1/(AW2133:BH2133&lt;&gt;""))),"")</f>
        <v>0.25</v>
      </c>
      <c r="BJ2133" s="68" cm="1">
        <f t="array" ref="BJ2133">IF(BM2133 = "", "",IFERROR(INDEX(AW2133:BH2133,1,MATCH(2,1/(AW2133:BH2133&lt;&gt;""),1)-1),""))</f>
        <v>0</v>
      </c>
      <c r="BK2133" s="58">
        <f>IF((IF(AW2133&gt;=115%,115%,AW2133) + IF(AX2133&gt;=115%,115%,AX2133) + IF(AY2133&gt;=115%,115%,AY2133) + (IF(AZ2133&gt;=115%,115%,AZ2133) + IF(BA2133&gt;=115%,115%,BA2133) + IF(BB2133&gt;=115%,115%,BB2133) + IF(BC2133&gt;=115%,115%,BC2133) + IF(BD2133&gt;=115%,115%,BD2133) + IF(BE2133&gt;=115%,115%,BE2133) + IF(BF2133&gt;=115%,115%,BF2133) + IF(BG2133&gt;=115%,115%,BG2133) + IF(BH2133&gt;=115%,115%,BH2133)))/_xlfn.XLOOKUP(F2133,Apuração!A:A,Apuração!B:B)&gt;=1.15,1.15,((IF(AZ2133&gt;=115%,115%,AZ2133) + IF(AX2133&gt;=115%,115%,AX2133) + IF(AY2133&gt;=115%,115%,AY2133) + (IF(AW2133&gt;=115%,115%,AW2133) + IF(BA2133&gt;=115%,115%,BA2133) + IF(BB2133&gt;=115%,115%,BB2133) + IF(BC2133&gt;=115%,115%,BC2133) + IF(BD2133&gt;=115%,115%,BD2133) + IF(BE2133&gt;=115%,115%,BE2133) + IF(BF2133&gt;=115%,115%,BF2133) + IF(BG2133&gt;=115%,115%,BG2133) + IF(BH2133&gt;=115%,115%,BH2133)))/_xlfn.XLOOKUP(F2133,Apuração!A:A,Apuração!B:B)))</f>
        <v>2.7777777777777776E-2</v>
      </c>
      <c r="BL2133" s="58" cm="1">
        <f t="array" aca="1" ref="BL2133" ca="1">IF(SUM(IFERROR(IF(INDEX(AW2133:INDEX(AW2133:BH2133, MATCH(2, 1/(AW2133:BH2133&lt;&gt;""), 1)-1), ROW(INDIRECT("1:" &amp; MATCH(2, 1/(AW2133:BH2133&lt;&gt;""), 1)-1))) &gt;= 115%, 115%, INDEX(AW2133:INDEX(AW2133:BH2133, MATCH(2, 1/(AW2133:BH2133&lt;&gt;""), 1)-1), ROW(INDIRECT("1:" &amp; MATCH(2, 1/(AW2133:BH2133&lt;&gt;""), 1)-1)))), 0))/_xlfn.XLOOKUP(F2133,Apuração!A:A,Apuração!B:B)&gt;=1.15,1.15,SUM(IFERROR(IF(INDEX(AW2133:INDEX(AW2133:BH2133, MATCH(2, 1/(AW2133:BH2133&lt;&gt;""), 1)-1), ROW(INDIRECT("1:" &amp; MATCH(2, 1/(AW2133:BH2133&lt;&gt;""), 1)-1))) &gt;= 115%, 115%, INDEX(AW2133:INDEX(AW2133:BH2133, MATCH(2, 1/(AW2133:BH2133&lt;&gt;""), 1)-1), ROW(INDIRECT("1:" &amp; MATCH(2, 1/(AW2133:BH2133&lt;&gt;""), 1)-1)))), 0))/_xlfn.XLOOKUP(F2133,Apuração!A:A,Apuração!B:B))</f>
        <v>0</v>
      </c>
      <c r="BM2133" s="55" cm="1">
        <f t="array" ref="BM2133">IFERROR(
   INDEX($AW$1:$BH$1,
      _xlfn.AGGREGATE(14, 6, COLUMN($AW$1:$BH$1)/(AW2133:BH2133&lt;&gt;""), 2) - COLUMN($AW$1) + 1
   ),
"")</f>
        <v>46082</v>
      </c>
      <c r="BN2133" s="55" cm="1">
        <f t="array" ref="BN2133">IFERROR(INDEX($AW$1:$BH$1,1,MATCH(2,1/(AW2133:BH2133&lt;&gt;""))),"")</f>
        <v>46113</v>
      </c>
      <c r="BO2133" s="53">
        <f ca="1">IFERROR(_xlfn.XLOOKUP(F2133,Apuração!A:A,Apuração!C:C)/_xlfn.XLOOKUP(F2133,Apuração!A:A,Apuração!B:B),0)</f>
        <v>0.22222222222222221</v>
      </c>
      <c r="BP2133" s="53">
        <f ca="1">IFERROR(_xlfn.XLOOKUP(F2133,Apuração!A:A,Apuração!D:D)/_xlfn.XLOOKUP(F2133,Apuração!A:A,Apuração!B:B),0)</f>
        <v>0.1111111111111111</v>
      </c>
      <c r="BQ2133" s="53">
        <f ca="1">IF(BK2133&gt;=BO2133,0,_xlfn.XLOOKUP(F2133,Apuração!A:A,Apuração!B:B)*(BO2133 + (1/_xlfn.XLOOKUP(F2133,Apuração!A:A,Apuração!B:B)) - BK2133))</f>
        <v>2.7499999999999996</v>
      </c>
      <c r="BR2133" s="85">
        <f t="shared" ca="1" si="2520"/>
        <v>274.99999999999994</v>
      </c>
      <c r="BS2133" s="53">
        <f ca="1">IFERROR((_xlfn.XLOOKUP(F2133,Apuração!A:A,Apuração!C:C)+1)/_xlfn.XLOOKUP(F2133,Apuração!A:A,Apuração!B:B),0)</f>
        <v>0.33333333333333331</v>
      </c>
    </row>
    <row r="2134" spans="1:71" ht="25.95" hidden="1" customHeight="1" x14ac:dyDescent="0.3">
      <c r="A2134" s="25" t="s">
        <v>134</v>
      </c>
      <c r="B2134" s="15" t="s">
        <v>150</v>
      </c>
      <c r="C2134" s="5" t="s">
        <v>216</v>
      </c>
      <c r="D2134" s="5" t="s">
        <v>219</v>
      </c>
      <c r="E2134" s="4" t="str" cm="1">
        <f t="array" ref="E2134">_xlfn.IFS(
F2134 = "A partir de Abril", "Aguardando Execução na Distribuidora",
A2134 = "CAPACITAÇÃO", "Em execução no Corporativo",
TRUE, "Em Execução na Distribuidora"
)</f>
        <v>Em Execução na Distribuidora</v>
      </c>
      <c r="F2134" s="4" t="str" cm="1">
        <f t="array" ref="F2134">_xlfn.IFS(
AG2134 &lt;&gt; "", "Jan-Dez/26",
AH2134 &lt;&gt; "", "Fev-Dez/26",
AI2134 &lt;&gt; "", "Mar-Dez/26", AJ2134 &lt;&gt; "", "Abr-Dez/26",
TRUE, "A partir de Junho"
)</f>
        <v>Abr-Dez/26</v>
      </c>
      <c r="G2134" s="15" t="s">
        <v>37</v>
      </c>
      <c r="H2134" s="7" t="s">
        <v>38</v>
      </c>
      <c r="I2134" s="28" t="s">
        <v>124</v>
      </c>
      <c r="J2134" s="8" t="str" cm="1">
        <f t="array" aca="1" ref="J2134" ca="1">_xlfn.LET(
  _xlpm.actual_value_month, INDEX(T2134:AE2134, MATCH(DATE(YEAR(TODAY()), MONTH(TODAY()), 1), $T$1:$AE$1, 0)),
  IF(_xlpm.actual_value_month &lt;&gt; "",_xlpm.actual_value_month &amp; " reuniões mensais", "")
)</f>
        <v>100 reuniões mensais</v>
      </c>
      <c r="K2134" s="8" t="str" cm="1">
        <f t="array" ref="K2134">_xlfn.LET(
    _xlpm.sum_month, SUM(T2134:AE2134),
    IF(_xlpm.sum_month = 0, "", _xlpm.sum_month &amp; " atividades no ano")
)</f>
        <v>900 atividades no ano</v>
      </c>
      <c r="L2134" s="29" t="s">
        <v>125</v>
      </c>
      <c r="M2134" s="30" t="s">
        <v>151</v>
      </c>
      <c r="N2134" s="66" t="s">
        <v>42</v>
      </c>
      <c r="O2134" s="111" t="s">
        <v>52</v>
      </c>
      <c r="P2134" s="31" t="s">
        <v>44</v>
      </c>
      <c r="Q2134" s="31" t="s">
        <v>72</v>
      </c>
      <c r="R2134" s="32" t="s">
        <v>44</v>
      </c>
      <c r="S2134" s="32" t="s">
        <v>44</v>
      </c>
      <c r="T2134" s="22"/>
      <c r="U2134" s="22"/>
      <c r="V2134" s="22"/>
      <c r="W2134" s="158">
        <v>100</v>
      </c>
      <c r="X2134" s="159">
        <v>100</v>
      </c>
      <c r="Y2134" s="159">
        <v>100</v>
      </c>
      <c r="Z2134" s="159">
        <v>100</v>
      </c>
      <c r="AA2134" s="159">
        <v>100</v>
      </c>
      <c r="AB2134" s="159">
        <v>100</v>
      </c>
      <c r="AC2134" s="159">
        <v>100</v>
      </c>
      <c r="AD2134" s="159">
        <v>100</v>
      </c>
      <c r="AE2134" s="159">
        <v>100</v>
      </c>
      <c r="AG2134" s="71"/>
      <c r="AH2134" s="71"/>
      <c r="AI2134" s="71"/>
      <c r="AJ2134" s="146">
        <v>88</v>
      </c>
      <c r="AK2134" s="71"/>
      <c r="AL2134" s="71"/>
      <c r="AM2134" s="71"/>
      <c r="AN2134" s="71"/>
      <c r="AO2134" s="71"/>
      <c r="AP2134" s="71"/>
      <c r="AQ2134" s="71"/>
      <c r="AR2134" s="71"/>
      <c r="AS2134" s="94">
        <f t="shared" ca="1" si="2513"/>
        <v>200</v>
      </c>
      <c r="AT2134" s="95">
        <f t="shared" si="2514"/>
        <v>88</v>
      </c>
      <c r="AU2134" s="97">
        <f t="shared" si="2515"/>
        <v>88</v>
      </c>
      <c r="AW2134" s="51">
        <f t="shared" si="2516"/>
        <v>0</v>
      </c>
      <c r="AX2134" s="51">
        <f t="shared" si="2517"/>
        <v>0</v>
      </c>
      <c r="AY2134" s="51">
        <f t="shared" si="2518"/>
        <v>0</v>
      </c>
      <c r="AZ2134" s="51">
        <f t="shared" si="2519"/>
        <v>0.88</v>
      </c>
      <c r="BA2134" s="51"/>
      <c r="BB2134" s="51"/>
      <c r="BC2134" s="51"/>
      <c r="BD2134" s="51"/>
      <c r="BE2134" s="51"/>
      <c r="BF2134" s="51"/>
      <c r="BG2134" s="51"/>
      <c r="BH2134" s="51"/>
      <c r="BI2134" s="65" cm="1">
        <f t="array" ref="BI2134">IFERROR(INDEX(AW2134:BH2134,1,MATCH(2,1/(AW2134:BH2134&lt;&gt;""))),"")</f>
        <v>0.88</v>
      </c>
      <c r="BJ2134" s="68" cm="1">
        <f t="array" ref="BJ2134">IF(BM2134 = "", "",IFERROR(INDEX(AW2134:BH2134,1,MATCH(2,1/(AW2134:BH2134&lt;&gt;""),1)-1),""))</f>
        <v>0</v>
      </c>
      <c r="BK2134" s="58">
        <f>IF((IF(AW2134&gt;=115%,115%,AW2134) + IF(AX2134&gt;=115%,115%,AX2134) + IF(AY2134&gt;=115%,115%,AY2134) + (IF(AZ2134&gt;=115%,115%,AZ2134) + IF(BA2134&gt;=115%,115%,BA2134) + IF(BB2134&gt;=115%,115%,BB2134) + IF(BC2134&gt;=115%,115%,BC2134) + IF(BD2134&gt;=115%,115%,BD2134) + IF(BE2134&gt;=115%,115%,BE2134) + IF(BF2134&gt;=115%,115%,BF2134) + IF(BG2134&gt;=115%,115%,BG2134) + IF(BH2134&gt;=115%,115%,BH2134)))/_xlfn.XLOOKUP(F2134,Apuração!A:A,Apuração!B:B)&gt;=1.15,1.15,((IF(AZ2134&gt;=115%,115%,AZ2134) + IF(AX2134&gt;=115%,115%,AX2134) + IF(AY2134&gt;=115%,115%,AY2134) + (IF(AW2134&gt;=115%,115%,AW2134) + IF(BA2134&gt;=115%,115%,BA2134) + IF(BB2134&gt;=115%,115%,BB2134) + IF(BC2134&gt;=115%,115%,BC2134) + IF(BD2134&gt;=115%,115%,BD2134) + IF(BE2134&gt;=115%,115%,BE2134) + IF(BF2134&gt;=115%,115%,BF2134) + IF(BG2134&gt;=115%,115%,BG2134) + IF(BH2134&gt;=115%,115%,BH2134)))/_xlfn.XLOOKUP(F2134,Apuração!A:A,Apuração!B:B)))</f>
        <v>9.7777777777777783E-2</v>
      </c>
      <c r="BL2134" s="58" cm="1">
        <f t="array" aca="1" ref="BL2134" ca="1">IF(SUM(IFERROR(IF(INDEX(AW2134:INDEX(AW2134:BH2134, MATCH(2, 1/(AW2134:BH2134&lt;&gt;""), 1)-1), ROW(INDIRECT("1:" &amp; MATCH(2, 1/(AW2134:BH2134&lt;&gt;""), 1)-1))) &gt;= 115%, 115%, INDEX(AW2134:INDEX(AW2134:BH2134, MATCH(2, 1/(AW2134:BH2134&lt;&gt;""), 1)-1), ROW(INDIRECT("1:" &amp; MATCH(2, 1/(AW2134:BH2134&lt;&gt;""), 1)-1)))), 0))/_xlfn.XLOOKUP(F2134,Apuração!A:A,Apuração!B:B)&gt;=1.15,1.15,SUM(IFERROR(IF(INDEX(AW2134:INDEX(AW2134:BH2134, MATCH(2, 1/(AW2134:BH2134&lt;&gt;""), 1)-1), ROW(INDIRECT("1:" &amp; MATCH(2, 1/(AW2134:BH2134&lt;&gt;""), 1)-1))) &gt;= 115%, 115%, INDEX(AW2134:INDEX(AW2134:BH2134, MATCH(2, 1/(AW2134:BH2134&lt;&gt;""), 1)-1), ROW(INDIRECT("1:" &amp; MATCH(2, 1/(AW2134:BH2134&lt;&gt;""), 1)-1)))), 0))/_xlfn.XLOOKUP(F2134,Apuração!A:A,Apuração!B:B))</f>
        <v>0</v>
      </c>
      <c r="BM2134" s="55" cm="1">
        <f t="array" ref="BM2134">IFERROR(
   INDEX($AW$1:$BH$1,
      _xlfn.AGGREGATE(14, 6, COLUMN($AW$1:$BH$1)/(AW2134:BH2134&lt;&gt;""), 2) - COLUMN($AW$1) + 1
   ),
"")</f>
        <v>46082</v>
      </c>
      <c r="BN2134" s="55" cm="1">
        <f t="array" ref="BN2134">IFERROR(INDEX($AW$1:$BH$1,1,MATCH(2,1/(AW2134:BH2134&lt;&gt;""))),"")</f>
        <v>46113</v>
      </c>
      <c r="BO2134" s="53">
        <f ca="1">IFERROR(_xlfn.XLOOKUP(F2134,Apuração!A:A,Apuração!C:C)/_xlfn.XLOOKUP(F2134,Apuração!A:A,Apuração!B:B),0)</f>
        <v>0.22222222222222221</v>
      </c>
      <c r="BP2134" s="53">
        <f ca="1">IFERROR(_xlfn.XLOOKUP(F2134,Apuração!A:A,Apuração!D:D)/_xlfn.XLOOKUP(F2134,Apuração!A:A,Apuração!B:B),0)</f>
        <v>0.1111111111111111</v>
      </c>
      <c r="BQ2134" s="53">
        <f ca="1">IF(BK2134&gt;=BO2134,0,_xlfn.XLOOKUP(F2134,Apuração!A:A,Apuração!B:B)*(BO2134 + (1/_xlfn.XLOOKUP(F2134,Apuração!A:A,Apuração!B:B)) - BK2134))</f>
        <v>2.1199999999999997</v>
      </c>
      <c r="BR2134" s="85">
        <f t="shared" ca="1" si="2520"/>
        <v>211.99999999999997</v>
      </c>
      <c r="BS2134" s="53">
        <f ca="1">IFERROR((_xlfn.XLOOKUP(F2134,Apuração!A:A,Apuração!C:C)+1)/_xlfn.XLOOKUP(F2134,Apuração!A:A,Apuração!B:B),0)</f>
        <v>0.33333333333333331</v>
      </c>
    </row>
    <row r="2135" spans="1:71" ht="25.95" hidden="1" customHeight="1" x14ac:dyDescent="0.3">
      <c r="A2135" s="23" t="s">
        <v>134</v>
      </c>
      <c r="B2135" s="4" t="s">
        <v>150</v>
      </c>
      <c r="C2135" s="5" t="s">
        <v>216</v>
      </c>
      <c r="D2135" s="5" t="s">
        <v>36</v>
      </c>
      <c r="E2135" s="4" t="str" cm="1">
        <f t="array" ref="E2135">_xlfn.IFS(
F2135 = "A partir de Abril", "Aguardando Execução na Distribuidora",
A2135 = "CAPACITAÇÃO", "Em execução no Corporativo",
TRUE, "Em Execução na Distribuidora"
)</f>
        <v>Em Execução na Distribuidora</v>
      </c>
      <c r="F2135" s="4" t="str" cm="1">
        <f t="array" ref="F2135">_xlfn.IFS(
AG2135 &lt;&gt; "", "Jan-Dez/26",
AH2135 &lt;&gt; "", "Fev-Dez/26",
AI2135 &lt;&gt; "", "Mar-Dez/26", AJ2135 &lt;&gt; "", "Abr-Dez/26",
TRUE, "A partir de Junho"
)</f>
        <v>Jan-Dez/26</v>
      </c>
      <c r="G2135" s="4" t="s">
        <v>37</v>
      </c>
      <c r="H2135" s="7" t="s">
        <v>38</v>
      </c>
      <c r="I2135" s="8" t="s">
        <v>152</v>
      </c>
      <c r="J2135" s="8" t="str" cm="1">
        <f t="array" aca="1" ref="J2135" ca="1">_xlfn.LET(
  _xlpm.actual_value_month, INDEX(T2135:AE2135, MATCH(DATE(YEAR(TODAY()), MONTH(TODAY()), 1), $T$1:$AE$1, 0)),
  IF(_xlpm.actual_value_month &lt;&gt; "",_xlpm.actual_value_month &amp; " ações mensais", "")
)</f>
        <v/>
      </c>
      <c r="K2135" s="8" t="str" cm="1">
        <f t="array" ref="K2135">_xlfn.LET(
    _xlpm.sum_month, SUM(T2135:AE2135),
    IF(_xlpm.sum_month = 0, "", _xlpm.sum_month &amp; " reuniões ordinárias no ano")
)</f>
        <v/>
      </c>
      <c r="L2135" s="9" t="s">
        <v>153</v>
      </c>
      <c r="M2135" s="24">
        <v>1</v>
      </c>
      <c r="N2135" s="67" t="s">
        <v>51</v>
      </c>
      <c r="O2135" s="5" t="s">
        <v>52</v>
      </c>
      <c r="P2135" s="10" t="s">
        <v>44</v>
      </c>
      <c r="Q2135" s="10" t="s">
        <v>72</v>
      </c>
      <c r="R2135" s="11" t="s">
        <v>44</v>
      </c>
      <c r="S2135" s="11" t="s">
        <v>44</v>
      </c>
      <c r="T2135" s="22"/>
      <c r="U2135" s="22"/>
      <c r="V2135" s="22"/>
      <c r="W2135" s="22"/>
      <c r="X2135" s="22"/>
      <c r="Y2135" s="22"/>
      <c r="Z2135" s="22"/>
      <c r="AA2135" s="22"/>
      <c r="AB2135" s="22"/>
      <c r="AC2135" s="22"/>
      <c r="AD2135" s="22"/>
      <c r="AE2135" s="22"/>
      <c r="AG2135" s="71">
        <v>1</v>
      </c>
      <c r="AH2135" s="71">
        <v>1</v>
      </c>
      <c r="AI2135" s="71">
        <v>1</v>
      </c>
      <c r="AJ2135" s="71">
        <v>4</v>
      </c>
      <c r="AK2135" s="71"/>
      <c r="AL2135" s="71"/>
      <c r="AM2135" s="71"/>
      <c r="AN2135" s="71"/>
      <c r="AO2135" s="71"/>
      <c r="AP2135" s="71"/>
      <c r="AQ2135" s="71"/>
      <c r="AR2135" s="71"/>
      <c r="AS2135" s="94">
        <f ca="1">IF(MONTH(TODAY())=3,SUM(T2135:U2135),IF(MONTH(TODAY())=4,SUM(T2135:V2135),IF(MONTH(TODAY())=5,SUM(T2135:W2135),IF(MONTH(TODAY())=6,SUM(T2135:X2135),IF(MONTH(TODAY())=7,SUM(T2135:Y2135),IF(MONTH(TODAY())=8,SUM(T2135:Z2135),IF(MONTH(TODAY())=9,SUM(T2135:AA2135),IF(MONTH(TODAY())=10,SUM(T2135:AB2135),IF(MONTH(TODAY())=11,SUM(T2135:AC2135),IF(MONTH(TODAY())=12,SUM(T2135:AD2135),IF(MONTH(TODAY())=1,SUM(T2135:AE2135),T2135)))))))))))</f>
        <v>0</v>
      </c>
      <c r="AT2135" s="95">
        <f>SUM(AG2135:AR2135)</f>
        <v>7</v>
      </c>
      <c r="AU2135" s="97">
        <f>SUM(AG2135:AR2135)</f>
        <v>7</v>
      </c>
      <c r="AW2135" s="83">
        <f>AG2135</f>
        <v>1</v>
      </c>
      <c r="AX2135" s="83">
        <f>AH2135</f>
        <v>1</v>
      </c>
      <c r="AY2135" s="83">
        <f>AI2135</f>
        <v>1</v>
      </c>
      <c r="AZ2135" s="83">
        <f>AJ2135</f>
        <v>4</v>
      </c>
      <c r="BA2135" s="52"/>
      <c r="BB2135" s="52"/>
      <c r="BC2135" s="52"/>
      <c r="BD2135" s="52"/>
      <c r="BE2135" s="52"/>
      <c r="BF2135" s="52"/>
      <c r="BG2135" s="52"/>
      <c r="BH2135" s="52"/>
      <c r="BI2135" s="68" cm="1">
        <f t="array" ref="BI2135">IFERROR(INDEX(AW2135:BH2135,1,MATCH(2,1/(AW2135:BH2135&lt;&gt;""))),"")</f>
        <v>4</v>
      </c>
      <c r="BJ2135" s="68" cm="1">
        <f t="array" ref="BJ2135">IF(BM2135 = "", "",IFERROR(INDEX(AW2135:BH2135,1,MATCH(2,1/(AW2135:BH2135&lt;&gt;""),1)-1),""))</f>
        <v>1</v>
      </c>
      <c r="BK2135" s="59">
        <f>IF((IF(AW2135&gt;=150%,150%,AW2135) + IF(AX2135&gt;=150%,150%,AX2135) + IF(AY2135&gt;=150%,150%,AY2135) + (IF(AW2135&gt;=150%,150%,AW2135) + IF(BA2135&gt;=150%,150%,BA2135) + IF(BB2135&gt;=150%,150%,BB2135) + IF(BC2135&gt;=150%,150%,BC2135) + IF(BD2135&gt;=150%,150%,BD2135) + IF(BE2135&gt;=150%,150%,BE2135) + IF(BF2135&gt;=150%,150%,BF2135) + IF(BG2135&gt;=150%,150%,BG2135) + IF(BH2135&gt;=150%,150%,BH2135)))/_xlfn.XLOOKUP(F2135,Apuração!A:A,Apuração!B:B)&gt;=1.15,1.15,((IF(AW2135&gt;=150%,150%,AW2135) + IF(AX2135&gt;=150%,150%,AX2135) + IF(AY2135&gt;=150%,150%,AY2135) + (IF(AW2135&gt;=150%,150%,AW2135) + IF(BA2135&gt;=150%,150%,BA2135) + IF(BB2135&gt;=150%,150%,BB2135) + IF(BC2135&gt;=150%,150%,BC2135) + IF(BD2135&gt;=150%,150%,BD2135) + IF(BE2135&gt;=150%,150%,BE2135) + IF(BF2135&gt;=150%,150%,BF2135) + IF(BG2135&gt;=150%,150%,BG2135) + IF(BH2135&gt;=150%,150%,BH2135)))/_xlfn.XLOOKUP(F2135,Apuração!A:A,Apuração!B:B)))</f>
        <v>0.33333333333333331</v>
      </c>
      <c r="BL2135" s="59" cm="1">
        <f t="array" aca="1" ref="BL2135" ca="1">IF(SUM(IFERROR(IF(INDEX(AW2135:INDEX(AW2135:BH2135, MATCH(2, 1/(AW2135:BH2135&lt;&gt;""), 1)-1), ROW(INDIRECT("1:" &amp; MATCH(2, 1/(AW2135:BH2135&lt;&gt;""), 1)-1))) &gt;= 150%, 150%, INDEX(AW2135:INDEX(AW2135:BH2135, MATCH(2, 1/(AW2135:BH2135&lt;&gt;""), 1)-1), ROW(INDIRECT("1:" &amp; MATCH(2, 1/(AW2135:BH2135&lt;&gt;""), 1)-1)))), 0))/_xlfn.XLOOKUP(F2135,Apuração!A:A,Apuração!B:B)&gt;=1.15,1.15,SUM(IFERROR(IF(INDEX(AW2135:INDEX(AW2135:BH2135, MATCH(2, 1/(AW2135:BH2135&lt;&gt;""), 1)-1), ROW(INDIRECT("1:" &amp; MATCH(2, 1/(AW2135:BH2135&lt;&gt;""), 1)-1))) &gt;= 150%, 150%, INDEX(AW2135:INDEX(AW2135:BH2135, MATCH(2, 1/(AW2135:BH2135&lt;&gt;""), 1)-1), ROW(INDIRECT("1:" &amp; MATCH(2, 1/(AW2135:BH2135&lt;&gt;""), 1)-1)))), 0))/_xlfn.XLOOKUP(F2135,Apuração!A:A,Apuração!B:B))</f>
        <v>0.25</v>
      </c>
      <c r="BM2135" s="55" cm="1">
        <f t="array" ref="BM2135">IFERROR(
   INDEX($AW$1:$BH$1,
      _xlfn.AGGREGATE(14, 6, COLUMN($AW$1:$BH$1)/(AW2135:BH2135&lt;&gt;""), 2) - COLUMN($AW$1) + 1
   ),
"")</f>
        <v>46082</v>
      </c>
      <c r="BN2135" s="55" cm="1">
        <f t="array" ref="BN2135">IFERROR(INDEX($AW$1:$BH$1,1,MATCH(2,1/(AW2135:BH2135&lt;&gt;""))),"")</f>
        <v>46113</v>
      </c>
      <c r="BO2135" s="53">
        <f ca="1">IFERROR(_xlfn.XLOOKUP(F2135,Apuração!A:A,Apuração!C:C)/_xlfn.XLOOKUP(F2135,Apuração!A:A,Apuração!B:B),0)</f>
        <v>0.41666666666666669</v>
      </c>
      <c r="BP2135" s="53">
        <f ca="1">IFERROR(_xlfn.XLOOKUP(F2135,Apuração!A:A,Apuração!D:D)/_xlfn.XLOOKUP(F2135,Apuração!A:A,Apuração!B:B),0)</f>
        <v>0.33333333333333331</v>
      </c>
      <c r="BQ2135" s="53">
        <f ca="1">IF(BK2135&gt;=BO2135,0,_xlfn.XLOOKUP(F2135,Apuração!A:A,Apuração!B:B)*(BO2135 + (1/_xlfn.XLOOKUP(F2135,Apuração!A:A,Apuração!B:B)) - BK2135))</f>
        <v>2</v>
      </c>
      <c r="BR2135" s="85">
        <f ca="1">IF(BQ2135=0,0,BQ2135*Z2135)</f>
        <v>0</v>
      </c>
      <c r="BS2135" s="53">
        <f ca="1">IFERROR((_xlfn.XLOOKUP(F2135,Apuração!A:A,Apuração!C:C)+1)/_xlfn.XLOOKUP(F2135,Apuração!A:A,Apuração!B:B),0)</f>
        <v>0.5</v>
      </c>
    </row>
    <row r="2136" spans="1:71" ht="25.95" hidden="1" customHeight="1" x14ac:dyDescent="0.3">
      <c r="A2136" s="23" t="s">
        <v>134</v>
      </c>
      <c r="B2136" s="4" t="s">
        <v>150</v>
      </c>
      <c r="C2136" s="5" t="s">
        <v>216</v>
      </c>
      <c r="D2136" s="5" t="s">
        <v>217</v>
      </c>
      <c r="E2136" s="4" t="str" cm="1">
        <f t="array" ref="E2136">_xlfn.IFS(
F2136 = "A partir de Abril", "Aguardando Execução na Distribuidora",
A2136 = "CAPACITAÇÃO", "Em execução no Corporativo",
TRUE, "Em Execução na Distribuidora"
)</f>
        <v>Em Execução na Distribuidora</v>
      </c>
      <c r="F2136" s="4" t="str" cm="1">
        <f t="array" ref="F2136">_xlfn.IFS(
AG2136 &lt;&gt; "", "Jan-Dez/26",
AH2136 &lt;&gt; "", "Fev-Dez/26",
AI2136 &lt;&gt; "", "Mar-Dez/26", AJ2136 &lt;&gt; "", "Abr-Dez/26",
TRUE, "A partir de Junho"
)</f>
        <v>Abr-Dez/26</v>
      </c>
      <c r="G2136" s="4" t="s">
        <v>37</v>
      </c>
      <c r="H2136" s="7" t="s">
        <v>38</v>
      </c>
      <c r="I2136" s="8" t="s">
        <v>152</v>
      </c>
      <c r="J2136" s="8" t="str" cm="1">
        <f t="array" aca="1" ref="J2136" ca="1">_xlfn.LET(
  _xlpm.actual_value_month, INDEX(T2136:AE2136, MATCH(DATE(YEAR(TODAY()), MONTH(TODAY()), 1), $T$1:$AE$1, 0)),
  IF(_xlpm.actual_value_month &lt;&gt; "",_xlpm.actual_value_month &amp; " ações mensais", "")
)</f>
        <v/>
      </c>
      <c r="K2136" s="8" t="str" cm="1">
        <f t="array" ref="K2136">_xlfn.LET(
    _xlpm.sum_month, SUM(T2136:AE2136),
    IF(_xlpm.sum_month = 0, "", _xlpm.sum_month &amp; " reuniões ordinárias no ano")
)</f>
        <v/>
      </c>
      <c r="L2136" s="9" t="s">
        <v>153</v>
      </c>
      <c r="M2136" s="24">
        <v>1</v>
      </c>
      <c r="N2136" s="67" t="s">
        <v>51</v>
      </c>
      <c r="O2136" s="5" t="s">
        <v>52</v>
      </c>
      <c r="P2136" s="10" t="s">
        <v>44</v>
      </c>
      <c r="Q2136" s="10" t="s">
        <v>72</v>
      </c>
      <c r="R2136" s="11" t="s">
        <v>44</v>
      </c>
      <c r="S2136" s="11" t="s">
        <v>44</v>
      </c>
      <c r="T2136" s="22"/>
      <c r="U2136" s="22"/>
      <c r="V2136" s="22"/>
      <c r="W2136" s="22"/>
      <c r="X2136" s="22"/>
      <c r="Y2136" s="22"/>
      <c r="Z2136" s="22"/>
      <c r="AA2136" s="22"/>
      <c r="AB2136" s="22"/>
      <c r="AC2136" s="22"/>
      <c r="AD2136" s="22"/>
      <c r="AE2136" s="22"/>
      <c r="AG2136" s="71"/>
      <c r="AH2136" s="71"/>
      <c r="AI2136" s="71"/>
      <c r="AJ2136" s="146">
        <v>1</v>
      </c>
      <c r="AK2136" s="71"/>
      <c r="AL2136" s="71"/>
      <c r="AM2136" s="71"/>
      <c r="AN2136" s="71"/>
      <c r="AO2136" s="71"/>
      <c r="AP2136" s="71"/>
      <c r="AQ2136" s="71"/>
      <c r="AR2136" s="71"/>
      <c r="AS2136" s="94">
        <f t="shared" ref="AS2136:AS2139" ca="1" si="2521">IF(MONTH(TODAY())=3,SUM(T2136:U2136),IF(MONTH(TODAY())=4,SUM(T2136:V2136),IF(MONTH(TODAY())=5,SUM(T2136:W2136),IF(MONTH(TODAY())=6,SUM(T2136:X2136),IF(MONTH(TODAY())=7,SUM(T2136:Y2136),IF(MONTH(TODAY())=8,SUM(T2136:Z2136),IF(MONTH(TODAY())=9,SUM(T2136:AA2136),IF(MONTH(TODAY())=10,SUM(T2136:AB2136),IF(MONTH(TODAY())=11,SUM(T2136:AC2136),IF(MONTH(TODAY())=12,SUM(T2136:AD2136),IF(MONTH(TODAY())=1,SUM(T2136:AE2136),T2136)))))))))))</f>
        <v>0</v>
      </c>
      <c r="AT2136" s="95">
        <f t="shared" ref="AT2136:AT2139" si="2522">SUM(AG2136:AR2136)</f>
        <v>1</v>
      </c>
      <c r="AU2136" s="97">
        <f t="shared" ref="AU2136:AU2139" si="2523">SUM(AG2136:AR2136)</f>
        <v>1</v>
      </c>
      <c r="AW2136" s="83">
        <f t="shared" ref="AW2136:AW2139" si="2524">AG2136</f>
        <v>0</v>
      </c>
      <c r="AX2136" s="83">
        <f t="shared" ref="AX2136:AX2139" si="2525">AH2136</f>
        <v>0</v>
      </c>
      <c r="AY2136" s="83">
        <f t="shared" ref="AY2136:AY2139" si="2526">AI2136</f>
        <v>0</v>
      </c>
      <c r="AZ2136" s="83">
        <f t="shared" ref="AZ2136:AZ2139" si="2527">AJ2136</f>
        <v>1</v>
      </c>
      <c r="BA2136" s="52"/>
      <c r="BB2136" s="52"/>
      <c r="BC2136" s="52"/>
      <c r="BD2136" s="52"/>
      <c r="BE2136" s="52"/>
      <c r="BF2136" s="52"/>
      <c r="BG2136" s="52"/>
      <c r="BH2136" s="52"/>
      <c r="BI2136" s="68" cm="1">
        <f t="array" ref="BI2136">IFERROR(INDEX(AW2136:BH2136,1,MATCH(2,1/(AW2136:BH2136&lt;&gt;""))),"")</f>
        <v>1</v>
      </c>
      <c r="BJ2136" s="68" cm="1">
        <f t="array" ref="BJ2136">IF(BM2136 = "", "",IFERROR(INDEX(AW2136:BH2136,1,MATCH(2,1/(AW2136:BH2136&lt;&gt;""),1)-1),""))</f>
        <v>0</v>
      </c>
      <c r="BK2136" s="59">
        <f>IF((IF(AW2136&gt;=150%,150%,AW2136) + IF(AX2136&gt;=150%,150%,AX2136) + IF(AY2136&gt;=150%,150%,AY2136) + (IF(AW2136&gt;=150%,150%,AW2136) + IF(BA2136&gt;=150%,150%,BA2136) + IF(BB2136&gt;=150%,150%,BB2136) + IF(BC2136&gt;=150%,150%,BC2136) + IF(BD2136&gt;=150%,150%,BD2136) + IF(BE2136&gt;=150%,150%,BE2136) + IF(BF2136&gt;=150%,150%,BF2136) + IF(BG2136&gt;=150%,150%,BG2136) + IF(BH2136&gt;=150%,150%,BH2136)))/_xlfn.XLOOKUP(F2136,Apuração!A:A,Apuração!B:B)&gt;=1.15,1.15,((IF(AW2136&gt;=150%,150%,AW2136) + IF(AX2136&gt;=150%,150%,AX2136) + IF(AY2136&gt;=150%,150%,AY2136) + (IF(AW2136&gt;=150%,150%,AW2136) + IF(BA2136&gt;=150%,150%,BA2136) + IF(BB2136&gt;=150%,150%,BB2136) + IF(BC2136&gt;=150%,150%,BC2136) + IF(BD2136&gt;=150%,150%,BD2136) + IF(BE2136&gt;=150%,150%,BE2136) + IF(BF2136&gt;=150%,150%,BF2136) + IF(BG2136&gt;=150%,150%,BG2136) + IF(BH2136&gt;=150%,150%,BH2136)))/_xlfn.XLOOKUP(F2136,Apuração!A:A,Apuração!B:B)))</f>
        <v>0</v>
      </c>
      <c r="BL2136" s="59" cm="1">
        <f t="array" aca="1" ref="BL2136" ca="1">IF(SUM(IFERROR(IF(INDEX(AW2136:INDEX(AW2136:BH2136, MATCH(2, 1/(AW2136:BH2136&lt;&gt;""), 1)-1), ROW(INDIRECT("1:" &amp; MATCH(2, 1/(AW2136:BH2136&lt;&gt;""), 1)-1))) &gt;= 150%, 150%, INDEX(AW2136:INDEX(AW2136:BH2136, MATCH(2, 1/(AW2136:BH2136&lt;&gt;""), 1)-1), ROW(INDIRECT("1:" &amp; MATCH(2, 1/(AW2136:BH2136&lt;&gt;""), 1)-1)))), 0))/_xlfn.XLOOKUP(F2136,Apuração!A:A,Apuração!B:B)&gt;=1.15,1.15,SUM(IFERROR(IF(INDEX(AW2136:INDEX(AW2136:BH2136, MATCH(2, 1/(AW2136:BH2136&lt;&gt;""), 1)-1), ROW(INDIRECT("1:" &amp; MATCH(2, 1/(AW2136:BH2136&lt;&gt;""), 1)-1))) &gt;= 150%, 150%, INDEX(AW2136:INDEX(AW2136:BH2136, MATCH(2, 1/(AW2136:BH2136&lt;&gt;""), 1)-1), ROW(INDIRECT("1:" &amp; MATCH(2, 1/(AW2136:BH2136&lt;&gt;""), 1)-1)))), 0))/_xlfn.XLOOKUP(F2136,Apuração!A:A,Apuração!B:B))</f>
        <v>0</v>
      </c>
      <c r="BM2136" s="55" cm="1">
        <f t="array" ref="BM2136">IFERROR(
   INDEX($AW$1:$BH$1,
      _xlfn.AGGREGATE(14, 6, COLUMN($AW$1:$BH$1)/(AW2136:BH2136&lt;&gt;""), 2) - COLUMN($AW$1) + 1
   ),
"")</f>
        <v>46082</v>
      </c>
      <c r="BN2136" s="55" cm="1">
        <f t="array" ref="BN2136">IFERROR(INDEX($AW$1:$BH$1,1,MATCH(2,1/(AW2136:BH2136&lt;&gt;""))),"")</f>
        <v>46113</v>
      </c>
      <c r="BO2136" s="53">
        <f ca="1">IFERROR(_xlfn.XLOOKUP(F2136,Apuração!A:A,Apuração!C:C)/_xlfn.XLOOKUP(F2136,Apuração!A:A,Apuração!B:B),0)</f>
        <v>0.22222222222222221</v>
      </c>
      <c r="BP2136" s="53">
        <f ca="1">IFERROR(_xlfn.XLOOKUP(F2136,Apuração!A:A,Apuração!D:D)/_xlfn.XLOOKUP(F2136,Apuração!A:A,Apuração!B:B),0)</f>
        <v>0.1111111111111111</v>
      </c>
      <c r="BQ2136" s="53">
        <f ca="1">IF(BK2136&gt;=BO2136,0,_xlfn.XLOOKUP(F2136,Apuração!A:A,Apuração!B:B)*(BO2136 + (1/_xlfn.XLOOKUP(F2136,Apuração!A:A,Apuração!B:B)) - BK2136))</f>
        <v>3</v>
      </c>
      <c r="BR2136" s="85">
        <f t="shared" ref="BR2136:BR2139" ca="1" si="2528">IF(BQ2136=0,0,BQ2136*Z2136)</f>
        <v>0</v>
      </c>
      <c r="BS2136" s="53">
        <f ca="1">IFERROR((_xlfn.XLOOKUP(F2136,Apuração!A:A,Apuração!C:C)+1)/_xlfn.XLOOKUP(F2136,Apuração!A:A,Apuração!B:B),0)</f>
        <v>0.33333333333333331</v>
      </c>
    </row>
    <row r="2137" spans="1:71" ht="25.95" hidden="1" customHeight="1" x14ac:dyDescent="0.3">
      <c r="A2137" s="23" t="s">
        <v>134</v>
      </c>
      <c r="B2137" s="4" t="s">
        <v>150</v>
      </c>
      <c r="C2137" s="5" t="s">
        <v>216</v>
      </c>
      <c r="D2137" s="5" t="s">
        <v>103</v>
      </c>
      <c r="E2137" s="4" t="str" cm="1">
        <f t="array" ref="E2137">_xlfn.IFS(
F2137 = "A partir de Abril", "Aguardando Execução na Distribuidora",
A2137 = "CAPACITAÇÃO", "Em execução no Corporativo",
TRUE, "Em Execução na Distribuidora"
)</f>
        <v>Em Execução na Distribuidora</v>
      </c>
      <c r="F2137" s="4" t="str" cm="1">
        <f t="array" ref="F2137">_xlfn.IFS(
AG2137 &lt;&gt; "", "Jan-Dez/26",
AH2137 &lt;&gt; "", "Fev-Dez/26",
AI2137 &lt;&gt; "", "Mar-Dez/26", AJ2137 &lt;&gt; "", "Abr-Dez/26",
TRUE, "A partir de Junho"
)</f>
        <v>Abr-Dez/26</v>
      </c>
      <c r="G2137" s="4" t="s">
        <v>37</v>
      </c>
      <c r="H2137" s="7" t="s">
        <v>38</v>
      </c>
      <c r="I2137" s="8" t="s">
        <v>152</v>
      </c>
      <c r="J2137" s="8" t="str" cm="1">
        <f t="array" aca="1" ref="J2137" ca="1">_xlfn.LET(
  _xlpm.actual_value_month, INDEX(T2137:AE2137, MATCH(DATE(YEAR(TODAY()), MONTH(TODAY()), 1), $T$1:$AE$1, 0)),
  IF(_xlpm.actual_value_month &lt;&gt; "",_xlpm.actual_value_month &amp; " ações mensais", "")
)</f>
        <v/>
      </c>
      <c r="K2137" s="8" t="str" cm="1">
        <f t="array" ref="K2137">_xlfn.LET(
    _xlpm.sum_month, SUM(T2137:AE2137),
    IF(_xlpm.sum_month = 0, "", _xlpm.sum_month &amp; " reuniões ordinárias no ano")
)</f>
        <v/>
      </c>
      <c r="L2137" s="9" t="s">
        <v>153</v>
      </c>
      <c r="M2137" s="24">
        <v>1</v>
      </c>
      <c r="N2137" s="67" t="s">
        <v>51</v>
      </c>
      <c r="O2137" s="5" t="s">
        <v>52</v>
      </c>
      <c r="P2137" s="10" t="s">
        <v>44</v>
      </c>
      <c r="Q2137" s="10" t="s">
        <v>72</v>
      </c>
      <c r="R2137" s="11" t="s">
        <v>44</v>
      </c>
      <c r="S2137" s="11" t="s">
        <v>44</v>
      </c>
      <c r="T2137" s="22"/>
      <c r="U2137" s="22"/>
      <c r="V2137" s="22"/>
      <c r="W2137" s="22"/>
      <c r="X2137" s="22"/>
      <c r="Y2137" s="22"/>
      <c r="Z2137" s="22"/>
      <c r="AA2137" s="22"/>
      <c r="AB2137" s="22"/>
      <c r="AC2137" s="22"/>
      <c r="AD2137" s="22"/>
      <c r="AE2137" s="22"/>
      <c r="AG2137" s="71"/>
      <c r="AH2137" s="71"/>
      <c r="AI2137" s="71"/>
      <c r="AJ2137" s="146">
        <v>1</v>
      </c>
      <c r="AK2137" s="71"/>
      <c r="AL2137" s="71"/>
      <c r="AM2137" s="71"/>
      <c r="AN2137" s="71"/>
      <c r="AO2137" s="71"/>
      <c r="AP2137" s="71"/>
      <c r="AQ2137" s="71"/>
      <c r="AR2137" s="71"/>
      <c r="AS2137" s="94">
        <f t="shared" ca="1" si="2521"/>
        <v>0</v>
      </c>
      <c r="AT2137" s="95">
        <f t="shared" si="2522"/>
        <v>1</v>
      </c>
      <c r="AU2137" s="97">
        <f t="shared" si="2523"/>
        <v>1</v>
      </c>
      <c r="AW2137" s="83">
        <f t="shared" si="2524"/>
        <v>0</v>
      </c>
      <c r="AX2137" s="83">
        <f t="shared" si="2525"/>
        <v>0</v>
      </c>
      <c r="AY2137" s="83">
        <f t="shared" si="2526"/>
        <v>0</v>
      </c>
      <c r="AZ2137" s="83">
        <f t="shared" si="2527"/>
        <v>1</v>
      </c>
      <c r="BA2137" s="52"/>
      <c r="BB2137" s="52"/>
      <c r="BC2137" s="52"/>
      <c r="BD2137" s="52"/>
      <c r="BE2137" s="52"/>
      <c r="BF2137" s="52"/>
      <c r="BG2137" s="52"/>
      <c r="BH2137" s="52"/>
      <c r="BI2137" s="68" cm="1">
        <f t="array" ref="BI2137">IFERROR(INDEX(AW2137:BH2137,1,MATCH(2,1/(AW2137:BH2137&lt;&gt;""))),"")</f>
        <v>1</v>
      </c>
      <c r="BJ2137" s="68" cm="1">
        <f t="array" ref="BJ2137">IF(BM2137 = "", "",IFERROR(INDEX(AW2137:BH2137,1,MATCH(2,1/(AW2137:BH2137&lt;&gt;""),1)-1),""))</f>
        <v>0</v>
      </c>
      <c r="BK2137" s="59">
        <f>IF((IF(AW2137&gt;=150%,150%,AW2137) + IF(AX2137&gt;=150%,150%,AX2137) + IF(AY2137&gt;=150%,150%,AY2137) + (IF(AW2137&gt;=150%,150%,AW2137) + IF(BA2137&gt;=150%,150%,BA2137) + IF(BB2137&gt;=150%,150%,BB2137) + IF(BC2137&gt;=150%,150%,BC2137) + IF(BD2137&gt;=150%,150%,BD2137) + IF(BE2137&gt;=150%,150%,BE2137) + IF(BF2137&gt;=150%,150%,BF2137) + IF(BG2137&gt;=150%,150%,BG2137) + IF(BH2137&gt;=150%,150%,BH2137)))/_xlfn.XLOOKUP(F2137,Apuração!A:A,Apuração!B:B)&gt;=1.15,1.15,((IF(AW2137&gt;=150%,150%,AW2137) + IF(AX2137&gt;=150%,150%,AX2137) + IF(AY2137&gt;=150%,150%,AY2137) + (IF(AW2137&gt;=150%,150%,AW2137) + IF(BA2137&gt;=150%,150%,BA2137) + IF(BB2137&gt;=150%,150%,BB2137) + IF(BC2137&gt;=150%,150%,BC2137) + IF(BD2137&gt;=150%,150%,BD2137) + IF(BE2137&gt;=150%,150%,BE2137) + IF(BF2137&gt;=150%,150%,BF2137) + IF(BG2137&gt;=150%,150%,BG2137) + IF(BH2137&gt;=150%,150%,BH2137)))/_xlfn.XLOOKUP(F2137,Apuração!A:A,Apuração!B:B)))</f>
        <v>0</v>
      </c>
      <c r="BL2137" s="59" cm="1">
        <f t="array" aca="1" ref="BL2137" ca="1">IF(SUM(IFERROR(IF(INDEX(AW2137:INDEX(AW2137:BH2137, MATCH(2, 1/(AW2137:BH2137&lt;&gt;""), 1)-1), ROW(INDIRECT("1:" &amp; MATCH(2, 1/(AW2137:BH2137&lt;&gt;""), 1)-1))) &gt;= 150%, 150%, INDEX(AW2137:INDEX(AW2137:BH2137, MATCH(2, 1/(AW2137:BH2137&lt;&gt;""), 1)-1), ROW(INDIRECT("1:" &amp; MATCH(2, 1/(AW2137:BH2137&lt;&gt;""), 1)-1)))), 0))/_xlfn.XLOOKUP(F2137,Apuração!A:A,Apuração!B:B)&gt;=1.15,1.15,SUM(IFERROR(IF(INDEX(AW2137:INDEX(AW2137:BH2137, MATCH(2, 1/(AW2137:BH2137&lt;&gt;""), 1)-1), ROW(INDIRECT("1:" &amp; MATCH(2, 1/(AW2137:BH2137&lt;&gt;""), 1)-1))) &gt;= 150%, 150%, INDEX(AW2137:INDEX(AW2137:BH2137, MATCH(2, 1/(AW2137:BH2137&lt;&gt;""), 1)-1), ROW(INDIRECT("1:" &amp; MATCH(2, 1/(AW2137:BH2137&lt;&gt;""), 1)-1)))), 0))/_xlfn.XLOOKUP(F2137,Apuração!A:A,Apuração!B:B))</f>
        <v>0</v>
      </c>
      <c r="BM2137" s="55" cm="1">
        <f t="array" ref="BM2137">IFERROR(
   INDEX($AW$1:$BH$1,
      _xlfn.AGGREGATE(14, 6, COLUMN($AW$1:$BH$1)/(AW2137:BH2137&lt;&gt;""), 2) - COLUMN($AW$1) + 1
   ),
"")</f>
        <v>46082</v>
      </c>
      <c r="BN2137" s="55" cm="1">
        <f t="array" ref="BN2137">IFERROR(INDEX($AW$1:$BH$1,1,MATCH(2,1/(AW2137:BH2137&lt;&gt;""))),"")</f>
        <v>46113</v>
      </c>
      <c r="BO2137" s="53">
        <f ca="1">IFERROR(_xlfn.XLOOKUP(F2137,Apuração!A:A,Apuração!C:C)/_xlfn.XLOOKUP(F2137,Apuração!A:A,Apuração!B:B),0)</f>
        <v>0.22222222222222221</v>
      </c>
      <c r="BP2137" s="53">
        <f ca="1">IFERROR(_xlfn.XLOOKUP(F2137,Apuração!A:A,Apuração!D:D)/_xlfn.XLOOKUP(F2137,Apuração!A:A,Apuração!B:B),0)</f>
        <v>0.1111111111111111</v>
      </c>
      <c r="BQ2137" s="53">
        <f ca="1">IF(BK2137&gt;=BO2137,0,_xlfn.XLOOKUP(F2137,Apuração!A:A,Apuração!B:B)*(BO2137 + (1/_xlfn.XLOOKUP(F2137,Apuração!A:A,Apuração!B:B)) - BK2137))</f>
        <v>3</v>
      </c>
      <c r="BR2137" s="85">
        <f t="shared" ca="1" si="2528"/>
        <v>0</v>
      </c>
      <c r="BS2137" s="53">
        <f ca="1">IFERROR((_xlfn.XLOOKUP(F2137,Apuração!A:A,Apuração!C:C)+1)/_xlfn.XLOOKUP(F2137,Apuração!A:A,Apuração!B:B),0)</f>
        <v>0.33333333333333331</v>
      </c>
    </row>
    <row r="2138" spans="1:71" ht="25.95" hidden="1" customHeight="1" x14ac:dyDescent="0.3">
      <c r="A2138" s="23" t="s">
        <v>134</v>
      </c>
      <c r="B2138" s="4" t="s">
        <v>150</v>
      </c>
      <c r="C2138" s="5" t="s">
        <v>216</v>
      </c>
      <c r="D2138" s="5" t="s">
        <v>218</v>
      </c>
      <c r="E2138" s="4" t="str" cm="1">
        <f t="array" ref="E2138">_xlfn.IFS(
F2138 = "A partir de Abril", "Aguardando Execução na Distribuidora",
A2138 = "CAPACITAÇÃO", "Em execução no Corporativo",
TRUE, "Em Execução na Distribuidora"
)</f>
        <v>Em Execução na Distribuidora</v>
      </c>
      <c r="F2138" s="4" t="str" cm="1">
        <f t="array" ref="F2138">_xlfn.IFS(
AG2138 &lt;&gt; "", "Jan-Dez/26",
AH2138 &lt;&gt; "", "Fev-Dez/26",
AI2138 &lt;&gt; "", "Mar-Dez/26", AJ2138 &lt;&gt; "", "Abr-Dez/26",
TRUE, "A partir de Junho"
)</f>
        <v>Abr-Dez/26</v>
      </c>
      <c r="G2138" s="4" t="s">
        <v>37</v>
      </c>
      <c r="H2138" s="7" t="s">
        <v>38</v>
      </c>
      <c r="I2138" s="8" t="s">
        <v>152</v>
      </c>
      <c r="J2138" s="8" t="str" cm="1">
        <f t="array" aca="1" ref="J2138" ca="1">_xlfn.LET(
  _xlpm.actual_value_month, INDEX(T2138:AE2138, MATCH(DATE(YEAR(TODAY()), MONTH(TODAY()), 1), $T$1:$AE$1, 0)),
  IF(_xlpm.actual_value_month &lt;&gt; "",_xlpm.actual_value_month &amp; " ações mensais", "")
)</f>
        <v/>
      </c>
      <c r="K2138" s="8" t="str" cm="1">
        <f t="array" ref="K2138">_xlfn.LET(
    _xlpm.sum_month, SUM(T2138:AE2138),
    IF(_xlpm.sum_month = 0, "", _xlpm.sum_month &amp; " reuniões ordinárias no ano")
)</f>
        <v/>
      </c>
      <c r="L2138" s="9" t="s">
        <v>153</v>
      </c>
      <c r="M2138" s="24">
        <v>1</v>
      </c>
      <c r="N2138" s="67" t="s">
        <v>51</v>
      </c>
      <c r="O2138" s="5" t="s">
        <v>52</v>
      </c>
      <c r="P2138" s="10" t="s">
        <v>44</v>
      </c>
      <c r="Q2138" s="10" t="s">
        <v>72</v>
      </c>
      <c r="R2138" s="11" t="s">
        <v>44</v>
      </c>
      <c r="S2138" s="11" t="s">
        <v>44</v>
      </c>
      <c r="T2138" s="22"/>
      <c r="U2138" s="22"/>
      <c r="V2138" s="22"/>
      <c r="W2138" s="22"/>
      <c r="X2138" s="22"/>
      <c r="Y2138" s="22"/>
      <c r="Z2138" s="22"/>
      <c r="AA2138" s="22"/>
      <c r="AB2138" s="22"/>
      <c r="AC2138" s="22"/>
      <c r="AD2138" s="22"/>
      <c r="AE2138" s="22"/>
      <c r="AG2138" s="71"/>
      <c r="AH2138" s="71"/>
      <c r="AI2138" s="71"/>
      <c r="AJ2138" s="146">
        <v>1</v>
      </c>
      <c r="AK2138" s="71"/>
      <c r="AL2138" s="71"/>
      <c r="AM2138" s="71"/>
      <c r="AN2138" s="71"/>
      <c r="AO2138" s="71"/>
      <c r="AP2138" s="71"/>
      <c r="AQ2138" s="71"/>
      <c r="AR2138" s="71"/>
      <c r="AS2138" s="94">
        <f t="shared" ca="1" si="2521"/>
        <v>0</v>
      </c>
      <c r="AT2138" s="95">
        <f t="shared" si="2522"/>
        <v>1</v>
      </c>
      <c r="AU2138" s="97">
        <f t="shared" si="2523"/>
        <v>1</v>
      </c>
      <c r="AW2138" s="83">
        <f t="shared" si="2524"/>
        <v>0</v>
      </c>
      <c r="AX2138" s="83">
        <f t="shared" si="2525"/>
        <v>0</v>
      </c>
      <c r="AY2138" s="83">
        <f t="shared" si="2526"/>
        <v>0</v>
      </c>
      <c r="AZ2138" s="83">
        <f t="shared" si="2527"/>
        <v>1</v>
      </c>
      <c r="BA2138" s="52"/>
      <c r="BB2138" s="52"/>
      <c r="BC2138" s="52"/>
      <c r="BD2138" s="52"/>
      <c r="BE2138" s="52"/>
      <c r="BF2138" s="52"/>
      <c r="BG2138" s="52"/>
      <c r="BH2138" s="52"/>
      <c r="BI2138" s="68" cm="1">
        <f t="array" ref="BI2138">IFERROR(INDEX(AW2138:BH2138,1,MATCH(2,1/(AW2138:BH2138&lt;&gt;""))),"")</f>
        <v>1</v>
      </c>
      <c r="BJ2138" s="68" cm="1">
        <f t="array" ref="BJ2138">IF(BM2138 = "", "",IFERROR(INDEX(AW2138:BH2138,1,MATCH(2,1/(AW2138:BH2138&lt;&gt;""),1)-1),""))</f>
        <v>0</v>
      </c>
      <c r="BK2138" s="59">
        <f>IF((IF(AW2138&gt;=150%,150%,AW2138) + IF(AX2138&gt;=150%,150%,AX2138) + IF(AY2138&gt;=150%,150%,AY2138) + (IF(AW2138&gt;=150%,150%,AW2138) + IF(BA2138&gt;=150%,150%,BA2138) + IF(BB2138&gt;=150%,150%,BB2138) + IF(BC2138&gt;=150%,150%,BC2138) + IF(BD2138&gt;=150%,150%,BD2138) + IF(BE2138&gt;=150%,150%,BE2138) + IF(BF2138&gt;=150%,150%,BF2138) + IF(BG2138&gt;=150%,150%,BG2138) + IF(BH2138&gt;=150%,150%,BH2138)))/_xlfn.XLOOKUP(F2138,Apuração!A:A,Apuração!B:B)&gt;=1.15,1.15,((IF(AW2138&gt;=150%,150%,AW2138) + IF(AX2138&gt;=150%,150%,AX2138) + IF(AY2138&gt;=150%,150%,AY2138) + (IF(AW2138&gt;=150%,150%,AW2138) + IF(BA2138&gt;=150%,150%,BA2138) + IF(BB2138&gt;=150%,150%,BB2138) + IF(BC2138&gt;=150%,150%,BC2138) + IF(BD2138&gt;=150%,150%,BD2138) + IF(BE2138&gt;=150%,150%,BE2138) + IF(BF2138&gt;=150%,150%,BF2138) + IF(BG2138&gt;=150%,150%,BG2138) + IF(BH2138&gt;=150%,150%,BH2138)))/_xlfn.XLOOKUP(F2138,Apuração!A:A,Apuração!B:B)))</f>
        <v>0</v>
      </c>
      <c r="BL2138" s="59" cm="1">
        <f t="array" aca="1" ref="BL2138" ca="1">IF(SUM(IFERROR(IF(INDEX(AW2138:INDEX(AW2138:BH2138, MATCH(2, 1/(AW2138:BH2138&lt;&gt;""), 1)-1), ROW(INDIRECT("1:" &amp; MATCH(2, 1/(AW2138:BH2138&lt;&gt;""), 1)-1))) &gt;= 150%, 150%, INDEX(AW2138:INDEX(AW2138:BH2138, MATCH(2, 1/(AW2138:BH2138&lt;&gt;""), 1)-1), ROW(INDIRECT("1:" &amp; MATCH(2, 1/(AW2138:BH2138&lt;&gt;""), 1)-1)))), 0))/_xlfn.XLOOKUP(F2138,Apuração!A:A,Apuração!B:B)&gt;=1.15,1.15,SUM(IFERROR(IF(INDEX(AW2138:INDEX(AW2138:BH2138, MATCH(2, 1/(AW2138:BH2138&lt;&gt;""), 1)-1), ROW(INDIRECT("1:" &amp; MATCH(2, 1/(AW2138:BH2138&lt;&gt;""), 1)-1))) &gt;= 150%, 150%, INDEX(AW2138:INDEX(AW2138:BH2138, MATCH(2, 1/(AW2138:BH2138&lt;&gt;""), 1)-1), ROW(INDIRECT("1:" &amp; MATCH(2, 1/(AW2138:BH2138&lt;&gt;""), 1)-1)))), 0))/_xlfn.XLOOKUP(F2138,Apuração!A:A,Apuração!B:B))</f>
        <v>0</v>
      </c>
      <c r="BM2138" s="55" cm="1">
        <f t="array" ref="BM2138">IFERROR(
   INDEX($AW$1:$BH$1,
      _xlfn.AGGREGATE(14, 6, COLUMN($AW$1:$BH$1)/(AW2138:BH2138&lt;&gt;""), 2) - COLUMN($AW$1) + 1
   ),
"")</f>
        <v>46082</v>
      </c>
      <c r="BN2138" s="55" cm="1">
        <f t="array" ref="BN2138">IFERROR(INDEX($AW$1:$BH$1,1,MATCH(2,1/(AW2138:BH2138&lt;&gt;""))),"")</f>
        <v>46113</v>
      </c>
      <c r="BO2138" s="53">
        <f ca="1">IFERROR(_xlfn.XLOOKUP(F2138,Apuração!A:A,Apuração!C:C)/_xlfn.XLOOKUP(F2138,Apuração!A:A,Apuração!B:B),0)</f>
        <v>0.22222222222222221</v>
      </c>
      <c r="BP2138" s="53">
        <f ca="1">IFERROR(_xlfn.XLOOKUP(F2138,Apuração!A:A,Apuração!D:D)/_xlfn.XLOOKUP(F2138,Apuração!A:A,Apuração!B:B),0)</f>
        <v>0.1111111111111111</v>
      </c>
      <c r="BQ2138" s="53">
        <f ca="1">IF(BK2138&gt;=BO2138,0,_xlfn.XLOOKUP(F2138,Apuração!A:A,Apuração!B:B)*(BO2138 + (1/_xlfn.XLOOKUP(F2138,Apuração!A:A,Apuração!B:B)) - BK2138))</f>
        <v>3</v>
      </c>
      <c r="BR2138" s="85">
        <f t="shared" ca="1" si="2528"/>
        <v>0</v>
      </c>
      <c r="BS2138" s="53">
        <f ca="1">IFERROR((_xlfn.XLOOKUP(F2138,Apuração!A:A,Apuração!C:C)+1)/_xlfn.XLOOKUP(F2138,Apuração!A:A,Apuração!B:B),0)</f>
        <v>0.33333333333333331</v>
      </c>
    </row>
    <row r="2139" spans="1:71" ht="25.95" hidden="1" customHeight="1" x14ac:dyDescent="0.3">
      <c r="A2139" s="23" t="s">
        <v>134</v>
      </c>
      <c r="B2139" s="4" t="s">
        <v>150</v>
      </c>
      <c r="C2139" s="5" t="s">
        <v>216</v>
      </c>
      <c r="D2139" s="5" t="s">
        <v>219</v>
      </c>
      <c r="E2139" s="4" t="str" cm="1">
        <f t="array" ref="E2139">_xlfn.IFS(
F2139 = "A partir de Abril", "Aguardando Execução na Distribuidora",
A2139 = "CAPACITAÇÃO", "Em execução no Corporativo",
TRUE, "Em Execução na Distribuidora"
)</f>
        <v>Em Execução na Distribuidora</v>
      </c>
      <c r="F2139" s="4" t="str" cm="1">
        <f t="array" ref="F2139">_xlfn.IFS(
AG2139 &lt;&gt; "", "Jan-Dez/26",
AH2139 &lt;&gt; "", "Fev-Dez/26",
AI2139 &lt;&gt; "", "Mar-Dez/26", AJ2139 &lt;&gt; "", "Abr-Dez/26",
TRUE, "A partir de Junho"
)</f>
        <v>Abr-Dez/26</v>
      </c>
      <c r="G2139" s="4" t="s">
        <v>37</v>
      </c>
      <c r="H2139" s="7" t="s">
        <v>38</v>
      </c>
      <c r="I2139" s="8" t="s">
        <v>152</v>
      </c>
      <c r="J2139" s="8" t="str" cm="1">
        <f t="array" aca="1" ref="J2139" ca="1">_xlfn.LET(
  _xlpm.actual_value_month, INDEX(T2139:AE2139, MATCH(DATE(YEAR(TODAY()), MONTH(TODAY()), 1), $T$1:$AE$1, 0)),
  IF(_xlpm.actual_value_month &lt;&gt; "",_xlpm.actual_value_month &amp; " ações mensais", "")
)</f>
        <v/>
      </c>
      <c r="K2139" s="8" t="str" cm="1">
        <f t="array" ref="K2139">_xlfn.LET(
    _xlpm.sum_month, SUM(T2139:AE2139),
    IF(_xlpm.sum_month = 0, "", _xlpm.sum_month &amp; " reuniões ordinárias no ano")
)</f>
        <v/>
      </c>
      <c r="L2139" s="9" t="s">
        <v>153</v>
      </c>
      <c r="M2139" s="24">
        <v>1</v>
      </c>
      <c r="N2139" s="67" t="s">
        <v>51</v>
      </c>
      <c r="O2139" s="5" t="s">
        <v>52</v>
      </c>
      <c r="P2139" s="10" t="s">
        <v>44</v>
      </c>
      <c r="Q2139" s="10" t="s">
        <v>72</v>
      </c>
      <c r="R2139" s="11" t="s">
        <v>44</v>
      </c>
      <c r="S2139" s="11" t="s">
        <v>44</v>
      </c>
      <c r="T2139" s="22"/>
      <c r="U2139" s="22"/>
      <c r="V2139" s="22"/>
      <c r="W2139" s="22"/>
      <c r="X2139" s="22"/>
      <c r="Y2139" s="22"/>
      <c r="Z2139" s="22"/>
      <c r="AA2139" s="22"/>
      <c r="AB2139" s="22"/>
      <c r="AC2139" s="22"/>
      <c r="AD2139" s="22"/>
      <c r="AE2139" s="22"/>
      <c r="AG2139" s="71"/>
      <c r="AH2139" s="71"/>
      <c r="AI2139" s="71"/>
      <c r="AJ2139" s="146">
        <v>1</v>
      </c>
      <c r="AK2139" s="71"/>
      <c r="AL2139" s="71"/>
      <c r="AM2139" s="71"/>
      <c r="AN2139" s="71"/>
      <c r="AO2139" s="71"/>
      <c r="AP2139" s="71"/>
      <c r="AQ2139" s="71"/>
      <c r="AR2139" s="71"/>
      <c r="AS2139" s="94">
        <f t="shared" ca="1" si="2521"/>
        <v>0</v>
      </c>
      <c r="AT2139" s="95">
        <f t="shared" si="2522"/>
        <v>1</v>
      </c>
      <c r="AU2139" s="97">
        <f t="shared" si="2523"/>
        <v>1</v>
      </c>
      <c r="AW2139" s="83">
        <f t="shared" si="2524"/>
        <v>0</v>
      </c>
      <c r="AX2139" s="83">
        <f t="shared" si="2525"/>
        <v>0</v>
      </c>
      <c r="AY2139" s="83">
        <f t="shared" si="2526"/>
        <v>0</v>
      </c>
      <c r="AZ2139" s="83">
        <f t="shared" si="2527"/>
        <v>1</v>
      </c>
      <c r="BA2139" s="52"/>
      <c r="BB2139" s="52"/>
      <c r="BC2139" s="52"/>
      <c r="BD2139" s="52"/>
      <c r="BE2139" s="52"/>
      <c r="BF2139" s="52"/>
      <c r="BG2139" s="52"/>
      <c r="BH2139" s="52"/>
      <c r="BI2139" s="68" cm="1">
        <f t="array" ref="BI2139">IFERROR(INDEX(AW2139:BH2139,1,MATCH(2,1/(AW2139:BH2139&lt;&gt;""))),"")</f>
        <v>1</v>
      </c>
      <c r="BJ2139" s="68" cm="1">
        <f t="array" ref="BJ2139">IF(BM2139 = "", "",IFERROR(INDEX(AW2139:BH2139,1,MATCH(2,1/(AW2139:BH2139&lt;&gt;""),1)-1),""))</f>
        <v>0</v>
      </c>
      <c r="BK2139" s="59">
        <f>IF((IF(AW2139&gt;=150%,150%,AW2139) + IF(AX2139&gt;=150%,150%,AX2139) + IF(AY2139&gt;=150%,150%,AY2139) + (IF(AW2139&gt;=150%,150%,AW2139) + IF(BA2139&gt;=150%,150%,BA2139) + IF(BB2139&gt;=150%,150%,BB2139) + IF(BC2139&gt;=150%,150%,BC2139) + IF(BD2139&gt;=150%,150%,BD2139) + IF(BE2139&gt;=150%,150%,BE2139) + IF(BF2139&gt;=150%,150%,BF2139) + IF(BG2139&gt;=150%,150%,BG2139) + IF(BH2139&gt;=150%,150%,BH2139)))/_xlfn.XLOOKUP(F2139,Apuração!A:A,Apuração!B:B)&gt;=1.15,1.15,((IF(AW2139&gt;=150%,150%,AW2139) + IF(AX2139&gt;=150%,150%,AX2139) + IF(AY2139&gt;=150%,150%,AY2139) + (IF(AW2139&gt;=150%,150%,AW2139) + IF(BA2139&gt;=150%,150%,BA2139) + IF(BB2139&gt;=150%,150%,BB2139) + IF(BC2139&gt;=150%,150%,BC2139) + IF(BD2139&gt;=150%,150%,BD2139) + IF(BE2139&gt;=150%,150%,BE2139) + IF(BF2139&gt;=150%,150%,BF2139) + IF(BG2139&gt;=150%,150%,BG2139) + IF(BH2139&gt;=150%,150%,BH2139)))/_xlfn.XLOOKUP(F2139,Apuração!A:A,Apuração!B:B)))</f>
        <v>0</v>
      </c>
      <c r="BL2139" s="59" cm="1">
        <f t="array" aca="1" ref="BL2139" ca="1">IF(SUM(IFERROR(IF(INDEX(AW2139:INDEX(AW2139:BH2139, MATCH(2, 1/(AW2139:BH2139&lt;&gt;""), 1)-1), ROW(INDIRECT("1:" &amp; MATCH(2, 1/(AW2139:BH2139&lt;&gt;""), 1)-1))) &gt;= 150%, 150%, INDEX(AW2139:INDEX(AW2139:BH2139, MATCH(2, 1/(AW2139:BH2139&lt;&gt;""), 1)-1), ROW(INDIRECT("1:" &amp; MATCH(2, 1/(AW2139:BH2139&lt;&gt;""), 1)-1)))), 0))/_xlfn.XLOOKUP(F2139,Apuração!A:A,Apuração!B:B)&gt;=1.15,1.15,SUM(IFERROR(IF(INDEX(AW2139:INDEX(AW2139:BH2139, MATCH(2, 1/(AW2139:BH2139&lt;&gt;""), 1)-1), ROW(INDIRECT("1:" &amp; MATCH(2, 1/(AW2139:BH2139&lt;&gt;""), 1)-1))) &gt;= 150%, 150%, INDEX(AW2139:INDEX(AW2139:BH2139, MATCH(2, 1/(AW2139:BH2139&lt;&gt;""), 1)-1), ROW(INDIRECT("1:" &amp; MATCH(2, 1/(AW2139:BH2139&lt;&gt;""), 1)-1)))), 0))/_xlfn.XLOOKUP(F2139,Apuração!A:A,Apuração!B:B))</f>
        <v>0</v>
      </c>
      <c r="BM2139" s="55" cm="1">
        <f t="array" ref="BM2139">IFERROR(
   INDEX($AW$1:$BH$1,
      _xlfn.AGGREGATE(14, 6, COLUMN($AW$1:$BH$1)/(AW2139:BH2139&lt;&gt;""), 2) - COLUMN($AW$1) + 1
   ),
"")</f>
        <v>46082</v>
      </c>
      <c r="BN2139" s="55" cm="1">
        <f t="array" ref="BN2139">IFERROR(INDEX($AW$1:$BH$1,1,MATCH(2,1/(AW2139:BH2139&lt;&gt;""))),"")</f>
        <v>46113</v>
      </c>
      <c r="BO2139" s="53">
        <f ca="1">IFERROR(_xlfn.XLOOKUP(F2139,Apuração!A:A,Apuração!C:C)/_xlfn.XLOOKUP(F2139,Apuração!A:A,Apuração!B:B),0)</f>
        <v>0.22222222222222221</v>
      </c>
      <c r="BP2139" s="53">
        <f ca="1">IFERROR(_xlfn.XLOOKUP(F2139,Apuração!A:A,Apuração!D:D)/_xlfn.XLOOKUP(F2139,Apuração!A:A,Apuração!B:B),0)</f>
        <v>0.1111111111111111</v>
      </c>
      <c r="BQ2139" s="53">
        <f ca="1">IF(BK2139&gt;=BO2139,0,_xlfn.XLOOKUP(F2139,Apuração!A:A,Apuração!B:B)*(BO2139 + (1/_xlfn.XLOOKUP(F2139,Apuração!A:A,Apuração!B:B)) - BK2139))</f>
        <v>3</v>
      </c>
      <c r="BR2139" s="85">
        <f t="shared" ca="1" si="2528"/>
        <v>0</v>
      </c>
      <c r="BS2139" s="53">
        <f ca="1">IFERROR((_xlfn.XLOOKUP(F2139,Apuração!A:A,Apuração!C:C)+1)/_xlfn.XLOOKUP(F2139,Apuração!A:A,Apuração!B:B),0)</f>
        <v>0.33333333333333331</v>
      </c>
    </row>
    <row r="2140" spans="1:71" ht="25.95" hidden="1" customHeight="1" x14ac:dyDescent="0.3">
      <c r="A2140" s="23" t="s">
        <v>134</v>
      </c>
      <c r="B2140" s="4" t="s">
        <v>150</v>
      </c>
      <c r="C2140" s="5" t="s">
        <v>216</v>
      </c>
      <c r="D2140" s="5" t="s">
        <v>36</v>
      </c>
      <c r="E2140" s="4" t="str" cm="1">
        <f t="array" ref="E2140">_xlfn.IFS(
F2140 = "A partir de Abril", "Aguardando Execução na Distribuidora",
A2140 = "CAPACITAÇÃO", "Em execução no Corporativo",
TRUE, "Em Execução na Distribuidora"
)</f>
        <v>Em Execução na Distribuidora</v>
      </c>
      <c r="F2140" s="4" t="str" cm="1">
        <f t="array" ref="F2140">_xlfn.IFS(
AG2140 &lt;&gt; "", "Jan-Dez/26",
AH2140 &lt;&gt; "", "Fev-Dez/26",
AI2140 &lt;&gt; "", "Mar-Dez/26", AJ2140 &lt;&gt; "", "Abr-Dez/26",
TRUE, "A partir de Junho"
)</f>
        <v>Jan-Dez/26</v>
      </c>
      <c r="G2140" s="4" t="s">
        <v>37</v>
      </c>
      <c r="H2140" s="7" t="s">
        <v>38</v>
      </c>
      <c r="I2140" s="8" t="s">
        <v>154</v>
      </c>
      <c r="J2140" s="8" t="str" cm="1">
        <f t="array" aca="1" ref="J2140" ca="1">_xlfn.LET(
  _xlpm.actual_value_month, INDEX(T2140:AE2140, MATCH(DATE(YEAR(TODAY()), MONTH(TODAY()), 1), $T$1:$AE$1, 0)),
  IF(_xlpm.actual_value_month &lt;&gt; "",_xlpm.actual_value_month &amp; " ações mensais", "")
)</f>
        <v/>
      </c>
      <c r="K2140" s="8" t="str" cm="1">
        <f t="array" ref="K2140">_xlfn.LET(
    _xlpm.sum_month, SUM(T2140:AE2140),
    IF(_xlpm.sum_month = 0, "", _xlpm.sum_month &amp; " presença de representantes no ano")
)</f>
        <v/>
      </c>
      <c r="L2140" s="9" t="s">
        <v>155</v>
      </c>
      <c r="M2140" s="24">
        <v>1</v>
      </c>
      <c r="N2140" s="67" t="s">
        <v>51</v>
      </c>
      <c r="O2140" s="111" t="s">
        <v>43</v>
      </c>
      <c r="P2140" s="10" t="s">
        <v>44</v>
      </c>
      <c r="Q2140" s="10" t="s">
        <v>72</v>
      </c>
      <c r="R2140" s="11" t="s">
        <v>44</v>
      </c>
      <c r="S2140" s="11" t="s">
        <v>44</v>
      </c>
      <c r="T2140" s="22"/>
      <c r="U2140" s="22"/>
      <c r="V2140" s="22"/>
      <c r="W2140" s="22"/>
      <c r="X2140" s="22"/>
      <c r="Y2140" s="22"/>
      <c r="Z2140" s="22"/>
      <c r="AA2140" s="22"/>
      <c r="AB2140" s="22"/>
      <c r="AC2140" s="22"/>
      <c r="AD2140" s="22"/>
      <c r="AE2140" s="22"/>
      <c r="AG2140" s="71">
        <v>24</v>
      </c>
      <c r="AH2140" s="71">
        <v>24</v>
      </c>
      <c r="AI2140" s="71">
        <v>24</v>
      </c>
      <c r="AJ2140" s="71">
        <v>26</v>
      </c>
      <c r="AK2140" s="71"/>
      <c r="AL2140" s="71"/>
      <c r="AM2140" s="71"/>
      <c r="AN2140" s="71"/>
      <c r="AO2140" s="71"/>
      <c r="AP2140" s="71"/>
      <c r="AQ2140" s="71"/>
      <c r="AR2140" s="71"/>
      <c r="AS2140" s="94">
        <f ca="1">IF(MONTH(TODAY())=3,SUM(T2140:U2140),IF(MONTH(TODAY())=4,SUM(T2140:V2140),IF(MONTH(TODAY())=5,SUM(T2140:W2140),IF(MONTH(TODAY())=6,SUM(T2140:X2140),IF(MONTH(TODAY())=7,SUM(T2140:Y2140),IF(MONTH(TODAY())=8,SUM(T2140:Z2140),IF(MONTH(TODAY())=9,SUM(T2140:AA2140),IF(MONTH(TODAY())=10,SUM(T2140:AB2140),IF(MONTH(TODAY())=11,SUM(T2140:AC2140),IF(MONTH(TODAY())=12,SUM(T2140:AD2140),IF(MONTH(TODAY())=1,SUM(T2140:AE2140),T2140)))))))))))</f>
        <v>0</v>
      </c>
      <c r="AT2140" s="95">
        <f>SUM(AG2140:AR2140)</f>
        <v>98</v>
      </c>
      <c r="AU2140" s="97">
        <f>SUM(AG2140:AR2140)</f>
        <v>98</v>
      </c>
      <c r="AW2140" s="83">
        <f>AG2140</f>
        <v>24</v>
      </c>
      <c r="AX2140" s="83">
        <f>AH2140</f>
        <v>24</v>
      </c>
      <c r="AY2140" s="83">
        <f>AI2140</f>
        <v>24</v>
      </c>
      <c r="AZ2140" s="83">
        <f>AJ2140</f>
        <v>26</v>
      </c>
      <c r="BA2140" s="52"/>
      <c r="BB2140" s="52"/>
      <c r="BC2140" s="52"/>
      <c r="BD2140" s="52"/>
      <c r="BE2140" s="52"/>
      <c r="BF2140" s="52"/>
      <c r="BG2140" s="52"/>
      <c r="BH2140" s="52"/>
      <c r="BI2140" s="68" cm="1">
        <f t="array" ref="BI2140">IFERROR(INDEX(AW2140:BH2140,1,MATCH(2,1/(AW2140:BH2140&lt;&gt;""))),"")</f>
        <v>26</v>
      </c>
      <c r="BJ2140" s="68" cm="1">
        <f t="array" ref="BJ2140">IF(BM2140 = "", "",IFERROR(INDEX(AW2140:BH2140,1,MATCH(2,1/(AW2140:BH2140&lt;&gt;""),1)-1),""))</f>
        <v>24</v>
      </c>
      <c r="BK2140" s="59">
        <f>IF((IF(AW2140&gt;=150%,150%,AW2140) + IF(AX2140&gt;=150%,150%,AX2140) + IF(AY2140&gt;=150%,150%,AY2140) + (IF(AW2140&gt;=150%,150%,AW2140) + IF(BA2140&gt;=150%,150%,BA2140) + IF(BB2140&gt;=150%,150%,BB2140) + IF(BC2140&gt;=150%,150%,BC2140) + IF(BD2140&gt;=150%,150%,BD2140) + IF(BE2140&gt;=150%,150%,BE2140) + IF(BF2140&gt;=150%,150%,BF2140) + IF(BG2140&gt;=150%,150%,BG2140) + IF(BH2140&gt;=150%,150%,BH2140)))/_xlfn.XLOOKUP(F2140,Apuração!A:A,Apuração!B:B)&gt;=1.15,1.15,((IF(AW2140&gt;=150%,150%,AW2140) + IF(AX2140&gt;=150%,150%,AX2140) + IF(AY2140&gt;=150%,150%,AY2140) + (IF(AW2140&gt;=150%,150%,AW2140) + IF(BA2140&gt;=150%,150%,BA2140) + IF(BB2140&gt;=150%,150%,BB2140) + IF(BC2140&gt;=150%,150%,BC2140) + IF(BD2140&gt;=150%,150%,BD2140) + IF(BE2140&gt;=150%,150%,BE2140) + IF(BF2140&gt;=150%,150%,BF2140) + IF(BG2140&gt;=150%,150%,BG2140) + IF(BH2140&gt;=150%,150%,BH2140)))/_xlfn.XLOOKUP(F2140,Apuração!A:A,Apuração!B:B)))</f>
        <v>0.5</v>
      </c>
      <c r="BL2140" s="59" cm="1">
        <f t="array" aca="1" ref="BL2140" ca="1">IF(SUM(IFERROR(IF(INDEX(AW2140:INDEX(AW2140:BH2140, MATCH(2, 1/(AW2140:BH2140&lt;&gt;""), 1)-1), ROW(INDIRECT("1:" &amp; MATCH(2, 1/(AW2140:BH2140&lt;&gt;""), 1)-1))) &gt;= 150%, 150%, INDEX(AW2140:INDEX(AW2140:BH2140, MATCH(2, 1/(AW2140:BH2140&lt;&gt;""), 1)-1), ROW(INDIRECT("1:" &amp; MATCH(2, 1/(AW2140:BH2140&lt;&gt;""), 1)-1)))), 0))/_xlfn.XLOOKUP(F2140,Apuração!A:A,Apuração!B:B)&gt;=1.15,1.15,SUM(IFERROR(IF(INDEX(AW2140:INDEX(AW2140:BH2140, MATCH(2, 1/(AW2140:BH2140&lt;&gt;""), 1)-1), ROW(INDIRECT("1:" &amp; MATCH(2, 1/(AW2140:BH2140&lt;&gt;""), 1)-1))) &gt;= 150%, 150%, INDEX(AW2140:INDEX(AW2140:BH2140, MATCH(2, 1/(AW2140:BH2140&lt;&gt;""), 1)-1), ROW(INDIRECT("1:" &amp; MATCH(2, 1/(AW2140:BH2140&lt;&gt;""), 1)-1)))), 0))/_xlfn.XLOOKUP(F2140,Apuração!A:A,Apuração!B:B))</f>
        <v>0.375</v>
      </c>
      <c r="BM2140" s="55" cm="1">
        <f t="array" ref="BM2140">IFERROR(
   INDEX($AW$1:$BH$1,
      _xlfn.AGGREGATE(14, 6, COLUMN($AW$1:$BH$1)/(AW2140:BH2140&lt;&gt;""), 2) - COLUMN($AW$1) + 1
   ),
"")</f>
        <v>46082</v>
      </c>
      <c r="BN2140" s="55" cm="1">
        <f t="array" ref="BN2140">IFERROR(INDEX($AW$1:$BH$1,1,MATCH(2,1/(AW2140:BH2140&lt;&gt;""))),"")</f>
        <v>46113</v>
      </c>
      <c r="BO2140" s="53">
        <f ca="1">IFERROR(_xlfn.XLOOKUP(F2140,Apuração!A:A,Apuração!C:C)/_xlfn.XLOOKUP(F2140,Apuração!A:A,Apuração!B:B),0)</f>
        <v>0.41666666666666669</v>
      </c>
      <c r="BP2140" s="53">
        <f ca="1">IFERROR(_xlfn.XLOOKUP(F2140,Apuração!A:A,Apuração!D:D)/_xlfn.XLOOKUP(F2140,Apuração!A:A,Apuração!B:B),0)</f>
        <v>0.33333333333333331</v>
      </c>
      <c r="BQ2140" s="53">
        <f ca="1">IF(BK2140&gt;=BO2140,0,_xlfn.XLOOKUP(F2140,Apuração!A:A,Apuração!B:B)*(BO2140 + (1/_xlfn.XLOOKUP(F2140,Apuração!A:A,Apuração!B:B)) - BK2140))</f>
        <v>0</v>
      </c>
      <c r="BR2140" s="85">
        <f ca="1">IF(BQ2140=0,0,BQ2140*Z2140)</f>
        <v>0</v>
      </c>
      <c r="BS2140" s="53">
        <f ca="1">IFERROR((_xlfn.XLOOKUP(F2140,Apuração!A:A,Apuração!C:C)+1)/_xlfn.XLOOKUP(F2140,Apuração!A:A,Apuração!B:B),0)</f>
        <v>0.5</v>
      </c>
    </row>
    <row r="2141" spans="1:71" ht="25.95" hidden="1" customHeight="1" x14ac:dyDescent="0.3">
      <c r="A2141" s="23" t="s">
        <v>134</v>
      </c>
      <c r="B2141" s="4" t="s">
        <v>150</v>
      </c>
      <c r="C2141" s="5" t="s">
        <v>216</v>
      </c>
      <c r="D2141" s="5" t="s">
        <v>217</v>
      </c>
      <c r="E2141" s="4" t="str" cm="1">
        <f t="array" ref="E2141">_xlfn.IFS(
F2141 = "A partir de Abril", "Aguardando Execução na Distribuidora",
A2141 = "CAPACITAÇÃO", "Em execução no Corporativo",
TRUE, "Em Execução na Distribuidora"
)</f>
        <v>Em Execução na Distribuidora</v>
      </c>
      <c r="F2141" s="4" t="str" cm="1">
        <f t="array" ref="F2141">_xlfn.IFS(
AG2141 &lt;&gt; "", "Jan-Dez/26",
AH2141 &lt;&gt; "", "Fev-Dez/26",
AI2141 &lt;&gt; "", "Mar-Dez/26", AJ2141 &lt;&gt; "", "Abr-Dez/26",
TRUE, "A partir de Junho"
)</f>
        <v>Abr-Dez/26</v>
      </c>
      <c r="G2141" s="4" t="s">
        <v>37</v>
      </c>
      <c r="H2141" s="7" t="s">
        <v>38</v>
      </c>
      <c r="I2141" s="8" t="s">
        <v>154</v>
      </c>
      <c r="J2141" s="8" t="str" cm="1">
        <f t="array" aca="1" ref="J2141" ca="1">_xlfn.LET(
  _xlpm.actual_value_month, INDEX(T2141:AE2141, MATCH(DATE(YEAR(TODAY()), MONTH(TODAY()), 1), $T$1:$AE$1, 0)),
  IF(_xlpm.actual_value_month &lt;&gt; "",_xlpm.actual_value_month &amp; " ações mensais", "")
)</f>
        <v/>
      </c>
      <c r="K2141" s="8" t="str" cm="1">
        <f t="array" ref="K2141">_xlfn.LET(
    _xlpm.sum_month, SUM(T2141:AE2141),
    IF(_xlpm.sum_month = 0, "", _xlpm.sum_month &amp; " presença de representantes no ano")
)</f>
        <v/>
      </c>
      <c r="L2141" s="9" t="s">
        <v>155</v>
      </c>
      <c r="M2141" s="24">
        <v>1</v>
      </c>
      <c r="N2141" s="67" t="s">
        <v>51</v>
      </c>
      <c r="O2141" s="111" t="s">
        <v>43</v>
      </c>
      <c r="P2141" s="10" t="s">
        <v>44</v>
      </c>
      <c r="Q2141" s="10" t="s">
        <v>72</v>
      </c>
      <c r="R2141" s="11" t="s">
        <v>44</v>
      </c>
      <c r="S2141" s="11" t="s">
        <v>44</v>
      </c>
      <c r="T2141" s="22"/>
      <c r="U2141" s="22"/>
      <c r="V2141" s="22"/>
      <c r="W2141" s="22"/>
      <c r="X2141" s="22"/>
      <c r="Y2141" s="22"/>
      <c r="Z2141" s="22"/>
      <c r="AA2141" s="22"/>
      <c r="AB2141" s="22"/>
      <c r="AC2141" s="22"/>
      <c r="AD2141" s="22"/>
      <c r="AE2141" s="22"/>
      <c r="AG2141" s="71"/>
      <c r="AH2141" s="71"/>
      <c r="AI2141" s="71"/>
      <c r="AJ2141" s="146">
        <v>1</v>
      </c>
      <c r="AK2141" s="71"/>
      <c r="AL2141" s="71"/>
      <c r="AM2141" s="71"/>
      <c r="AN2141" s="71"/>
      <c r="AO2141" s="71"/>
      <c r="AP2141" s="71"/>
      <c r="AQ2141" s="71"/>
      <c r="AR2141" s="71"/>
      <c r="AS2141" s="94">
        <f t="shared" ref="AS2141:AS2144" ca="1" si="2529">IF(MONTH(TODAY())=3,SUM(T2141:U2141),IF(MONTH(TODAY())=4,SUM(T2141:V2141),IF(MONTH(TODAY())=5,SUM(T2141:W2141),IF(MONTH(TODAY())=6,SUM(T2141:X2141),IF(MONTH(TODAY())=7,SUM(T2141:Y2141),IF(MONTH(TODAY())=8,SUM(T2141:Z2141),IF(MONTH(TODAY())=9,SUM(T2141:AA2141),IF(MONTH(TODAY())=10,SUM(T2141:AB2141),IF(MONTH(TODAY())=11,SUM(T2141:AC2141),IF(MONTH(TODAY())=12,SUM(T2141:AD2141),IF(MONTH(TODAY())=1,SUM(T2141:AE2141),T2141)))))))))))</f>
        <v>0</v>
      </c>
      <c r="AT2141" s="95">
        <f t="shared" ref="AT2141:AT2144" si="2530">SUM(AG2141:AR2141)</f>
        <v>1</v>
      </c>
      <c r="AU2141" s="97">
        <f t="shared" ref="AU2141:AU2144" si="2531">SUM(AG2141:AR2141)</f>
        <v>1</v>
      </c>
      <c r="AW2141" s="83">
        <f t="shared" ref="AW2141:AW2144" si="2532">AG2141</f>
        <v>0</v>
      </c>
      <c r="AX2141" s="83">
        <f t="shared" ref="AX2141:AX2144" si="2533">AH2141</f>
        <v>0</v>
      </c>
      <c r="AY2141" s="83">
        <f t="shared" ref="AY2141:AY2144" si="2534">AI2141</f>
        <v>0</v>
      </c>
      <c r="AZ2141" s="83">
        <f t="shared" ref="AZ2141:AZ2144" si="2535">AJ2141</f>
        <v>1</v>
      </c>
      <c r="BA2141" s="52"/>
      <c r="BB2141" s="52"/>
      <c r="BC2141" s="52"/>
      <c r="BD2141" s="52"/>
      <c r="BE2141" s="52"/>
      <c r="BF2141" s="52"/>
      <c r="BG2141" s="52"/>
      <c r="BH2141" s="52"/>
      <c r="BI2141" s="68" cm="1">
        <f t="array" ref="BI2141">IFERROR(INDEX(AW2141:BH2141,1,MATCH(2,1/(AW2141:BH2141&lt;&gt;""))),"")</f>
        <v>1</v>
      </c>
      <c r="BJ2141" s="68" cm="1">
        <f t="array" ref="BJ2141">IF(BM2141 = "", "",IFERROR(INDEX(AW2141:BH2141,1,MATCH(2,1/(AW2141:BH2141&lt;&gt;""),1)-1),""))</f>
        <v>0</v>
      </c>
      <c r="BK2141" s="59">
        <f>IF((IF(AW2141&gt;=150%,150%,AW2141) + IF(AX2141&gt;=150%,150%,AX2141) + IF(AY2141&gt;=150%,150%,AY2141) + (IF(AW2141&gt;=150%,150%,AW2141) + IF(BA2141&gt;=150%,150%,BA2141) + IF(BB2141&gt;=150%,150%,BB2141) + IF(BC2141&gt;=150%,150%,BC2141) + IF(BD2141&gt;=150%,150%,BD2141) + IF(BE2141&gt;=150%,150%,BE2141) + IF(BF2141&gt;=150%,150%,BF2141) + IF(BG2141&gt;=150%,150%,BG2141) + IF(BH2141&gt;=150%,150%,BH2141)))/_xlfn.XLOOKUP(F2141,Apuração!A:A,Apuração!B:B)&gt;=1.15,1.15,((IF(AW2141&gt;=150%,150%,AW2141) + IF(AX2141&gt;=150%,150%,AX2141) + IF(AY2141&gt;=150%,150%,AY2141) + (IF(AW2141&gt;=150%,150%,AW2141) + IF(BA2141&gt;=150%,150%,BA2141) + IF(BB2141&gt;=150%,150%,BB2141) + IF(BC2141&gt;=150%,150%,BC2141) + IF(BD2141&gt;=150%,150%,BD2141) + IF(BE2141&gt;=150%,150%,BE2141) + IF(BF2141&gt;=150%,150%,BF2141) + IF(BG2141&gt;=150%,150%,BG2141) + IF(BH2141&gt;=150%,150%,BH2141)))/_xlfn.XLOOKUP(F2141,Apuração!A:A,Apuração!B:B)))</f>
        <v>0</v>
      </c>
      <c r="BL2141" s="59" cm="1">
        <f t="array" aca="1" ref="BL2141" ca="1">IF(SUM(IFERROR(IF(INDEX(AW2141:INDEX(AW2141:BH2141, MATCH(2, 1/(AW2141:BH2141&lt;&gt;""), 1)-1), ROW(INDIRECT("1:" &amp; MATCH(2, 1/(AW2141:BH2141&lt;&gt;""), 1)-1))) &gt;= 150%, 150%, INDEX(AW2141:INDEX(AW2141:BH2141, MATCH(2, 1/(AW2141:BH2141&lt;&gt;""), 1)-1), ROW(INDIRECT("1:" &amp; MATCH(2, 1/(AW2141:BH2141&lt;&gt;""), 1)-1)))), 0))/_xlfn.XLOOKUP(F2141,Apuração!A:A,Apuração!B:B)&gt;=1.15,1.15,SUM(IFERROR(IF(INDEX(AW2141:INDEX(AW2141:BH2141, MATCH(2, 1/(AW2141:BH2141&lt;&gt;""), 1)-1), ROW(INDIRECT("1:" &amp; MATCH(2, 1/(AW2141:BH2141&lt;&gt;""), 1)-1))) &gt;= 150%, 150%, INDEX(AW2141:INDEX(AW2141:BH2141, MATCH(2, 1/(AW2141:BH2141&lt;&gt;""), 1)-1), ROW(INDIRECT("1:" &amp; MATCH(2, 1/(AW2141:BH2141&lt;&gt;""), 1)-1)))), 0))/_xlfn.XLOOKUP(F2141,Apuração!A:A,Apuração!B:B))</f>
        <v>0</v>
      </c>
      <c r="BM2141" s="55" cm="1">
        <f t="array" ref="BM2141">IFERROR(
   INDEX($AW$1:$BH$1,
      _xlfn.AGGREGATE(14, 6, COLUMN($AW$1:$BH$1)/(AW2141:BH2141&lt;&gt;""), 2) - COLUMN($AW$1) + 1
   ),
"")</f>
        <v>46082</v>
      </c>
      <c r="BN2141" s="55" cm="1">
        <f t="array" ref="BN2141">IFERROR(INDEX($AW$1:$BH$1,1,MATCH(2,1/(AW2141:BH2141&lt;&gt;""))),"")</f>
        <v>46113</v>
      </c>
      <c r="BO2141" s="53">
        <f ca="1">IFERROR(_xlfn.XLOOKUP(F2141,Apuração!A:A,Apuração!C:C)/_xlfn.XLOOKUP(F2141,Apuração!A:A,Apuração!B:B),0)</f>
        <v>0.22222222222222221</v>
      </c>
      <c r="BP2141" s="53">
        <f ca="1">IFERROR(_xlfn.XLOOKUP(F2141,Apuração!A:A,Apuração!D:D)/_xlfn.XLOOKUP(F2141,Apuração!A:A,Apuração!B:B),0)</f>
        <v>0.1111111111111111</v>
      </c>
      <c r="BQ2141" s="53">
        <f ca="1">IF(BK2141&gt;=BO2141,0,_xlfn.XLOOKUP(F2141,Apuração!A:A,Apuração!B:B)*(BO2141 + (1/_xlfn.XLOOKUP(F2141,Apuração!A:A,Apuração!B:B)) - BK2141))</f>
        <v>3</v>
      </c>
      <c r="BR2141" s="85">
        <f t="shared" ref="BR2141:BR2144" ca="1" si="2536">IF(BQ2141=0,0,BQ2141*Z2141)</f>
        <v>0</v>
      </c>
      <c r="BS2141" s="53">
        <f ca="1">IFERROR((_xlfn.XLOOKUP(F2141,Apuração!A:A,Apuração!C:C)+1)/_xlfn.XLOOKUP(F2141,Apuração!A:A,Apuração!B:B),0)</f>
        <v>0.33333333333333331</v>
      </c>
    </row>
    <row r="2142" spans="1:71" ht="25.95" hidden="1" customHeight="1" x14ac:dyDescent="0.3">
      <c r="A2142" s="23" t="s">
        <v>134</v>
      </c>
      <c r="B2142" s="4" t="s">
        <v>150</v>
      </c>
      <c r="C2142" s="5" t="s">
        <v>216</v>
      </c>
      <c r="D2142" s="5" t="s">
        <v>103</v>
      </c>
      <c r="E2142" s="4" t="str" cm="1">
        <f t="array" ref="E2142">_xlfn.IFS(
F2142 = "A partir de Abril", "Aguardando Execução na Distribuidora",
A2142 = "CAPACITAÇÃO", "Em execução no Corporativo",
TRUE, "Em Execução na Distribuidora"
)</f>
        <v>Em Execução na Distribuidora</v>
      </c>
      <c r="F2142" s="4" t="str" cm="1">
        <f t="array" ref="F2142">_xlfn.IFS(
AG2142 &lt;&gt; "", "Jan-Dez/26",
AH2142 &lt;&gt; "", "Fev-Dez/26",
AI2142 &lt;&gt; "", "Mar-Dez/26", AJ2142 &lt;&gt; "", "Abr-Dez/26",
TRUE, "A partir de Junho"
)</f>
        <v>Abr-Dez/26</v>
      </c>
      <c r="G2142" s="4" t="s">
        <v>37</v>
      </c>
      <c r="H2142" s="7" t="s">
        <v>38</v>
      </c>
      <c r="I2142" s="8" t="s">
        <v>154</v>
      </c>
      <c r="J2142" s="8" t="str" cm="1">
        <f t="array" aca="1" ref="J2142" ca="1">_xlfn.LET(
  _xlpm.actual_value_month, INDEX(T2142:AE2142, MATCH(DATE(YEAR(TODAY()), MONTH(TODAY()), 1), $T$1:$AE$1, 0)),
  IF(_xlpm.actual_value_month &lt;&gt; "",_xlpm.actual_value_month &amp; " ações mensais", "")
)</f>
        <v/>
      </c>
      <c r="K2142" s="8" t="str" cm="1">
        <f t="array" ref="K2142">_xlfn.LET(
    _xlpm.sum_month, SUM(T2142:AE2142),
    IF(_xlpm.sum_month = 0, "", _xlpm.sum_month &amp; " presença de representantes no ano")
)</f>
        <v/>
      </c>
      <c r="L2142" s="9" t="s">
        <v>155</v>
      </c>
      <c r="M2142" s="24">
        <v>1</v>
      </c>
      <c r="N2142" s="67" t="s">
        <v>51</v>
      </c>
      <c r="O2142" s="111" t="s">
        <v>43</v>
      </c>
      <c r="P2142" s="10" t="s">
        <v>44</v>
      </c>
      <c r="Q2142" s="10" t="s">
        <v>72</v>
      </c>
      <c r="R2142" s="11" t="s">
        <v>44</v>
      </c>
      <c r="S2142" s="11" t="s">
        <v>44</v>
      </c>
      <c r="T2142" s="22"/>
      <c r="U2142" s="22"/>
      <c r="V2142" s="22"/>
      <c r="W2142" s="22"/>
      <c r="X2142" s="22"/>
      <c r="Y2142" s="22"/>
      <c r="Z2142" s="22"/>
      <c r="AA2142" s="22"/>
      <c r="AB2142" s="22"/>
      <c r="AC2142" s="22"/>
      <c r="AD2142" s="22"/>
      <c r="AE2142" s="22"/>
      <c r="AG2142" s="71"/>
      <c r="AH2142" s="71"/>
      <c r="AI2142" s="71"/>
      <c r="AJ2142" s="146">
        <v>18</v>
      </c>
      <c r="AK2142" s="71"/>
      <c r="AL2142" s="71"/>
      <c r="AM2142" s="71"/>
      <c r="AN2142" s="71"/>
      <c r="AO2142" s="71"/>
      <c r="AP2142" s="71"/>
      <c r="AQ2142" s="71"/>
      <c r="AR2142" s="71"/>
      <c r="AS2142" s="94">
        <f t="shared" ca="1" si="2529"/>
        <v>0</v>
      </c>
      <c r="AT2142" s="95">
        <f t="shared" si="2530"/>
        <v>18</v>
      </c>
      <c r="AU2142" s="97">
        <f t="shared" si="2531"/>
        <v>18</v>
      </c>
      <c r="AW2142" s="83">
        <f t="shared" si="2532"/>
        <v>0</v>
      </c>
      <c r="AX2142" s="83">
        <f t="shared" si="2533"/>
        <v>0</v>
      </c>
      <c r="AY2142" s="83">
        <f t="shared" si="2534"/>
        <v>0</v>
      </c>
      <c r="AZ2142" s="83">
        <f t="shared" si="2535"/>
        <v>18</v>
      </c>
      <c r="BA2142" s="52"/>
      <c r="BB2142" s="52"/>
      <c r="BC2142" s="52"/>
      <c r="BD2142" s="52"/>
      <c r="BE2142" s="52"/>
      <c r="BF2142" s="52"/>
      <c r="BG2142" s="52"/>
      <c r="BH2142" s="52"/>
      <c r="BI2142" s="68" cm="1">
        <f t="array" ref="BI2142">IFERROR(INDEX(AW2142:BH2142,1,MATCH(2,1/(AW2142:BH2142&lt;&gt;""))),"")</f>
        <v>18</v>
      </c>
      <c r="BJ2142" s="68" cm="1">
        <f t="array" ref="BJ2142">IF(BM2142 = "", "",IFERROR(INDEX(AW2142:BH2142,1,MATCH(2,1/(AW2142:BH2142&lt;&gt;""),1)-1),""))</f>
        <v>0</v>
      </c>
      <c r="BK2142" s="59">
        <f>IF((IF(AW2142&gt;=150%,150%,AW2142) + IF(AX2142&gt;=150%,150%,AX2142) + IF(AY2142&gt;=150%,150%,AY2142) + (IF(AW2142&gt;=150%,150%,AW2142) + IF(BA2142&gt;=150%,150%,BA2142) + IF(BB2142&gt;=150%,150%,BB2142) + IF(BC2142&gt;=150%,150%,BC2142) + IF(BD2142&gt;=150%,150%,BD2142) + IF(BE2142&gt;=150%,150%,BE2142) + IF(BF2142&gt;=150%,150%,BF2142) + IF(BG2142&gt;=150%,150%,BG2142) + IF(BH2142&gt;=150%,150%,BH2142)))/_xlfn.XLOOKUP(F2142,Apuração!A:A,Apuração!B:B)&gt;=1.15,1.15,((IF(AW2142&gt;=150%,150%,AW2142) + IF(AX2142&gt;=150%,150%,AX2142) + IF(AY2142&gt;=150%,150%,AY2142) + (IF(AW2142&gt;=150%,150%,AW2142) + IF(BA2142&gt;=150%,150%,BA2142) + IF(BB2142&gt;=150%,150%,BB2142) + IF(BC2142&gt;=150%,150%,BC2142) + IF(BD2142&gt;=150%,150%,BD2142) + IF(BE2142&gt;=150%,150%,BE2142) + IF(BF2142&gt;=150%,150%,BF2142) + IF(BG2142&gt;=150%,150%,BG2142) + IF(BH2142&gt;=150%,150%,BH2142)))/_xlfn.XLOOKUP(F2142,Apuração!A:A,Apuração!B:B)))</f>
        <v>0</v>
      </c>
      <c r="BL2142" s="59" cm="1">
        <f t="array" aca="1" ref="BL2142" ca="1">IF(SUM(IFERROR(IF(INDEX(AW2142:INDEX(AW2142:BH2142, MATCH(2, 1/(AW2142:BH2142&lt;&gt;""), 1)-1), ROW(INDIRECT("1:" &amp; MATCH(2, 1/(AW2142:BH2142&lt;&gt;""), 1)-1))) &gt;= 150%, 150%, INDEX(AW2142:INDEX(AW2142:BH2142, MATCH(2, 1/(AW2142:BH2142&lt;&gt;""), 1)-1), ROW(INDIRECT("1:" &amp; MATCH(2, 1/(AW2142:BH2142&lt;&gt;""), 1)-1)))), 0))/_xlfn.XLOOKUP(F2142,Apuração!A:A,Apuração!B:B)&gt;=1.15,1.15,SUM(IFERROR(IF(INDEX(AW2142:INDEX(AW2142:BH2142, MATCH(2, 1/(AW2142:BH2142&lt;&gt;""), 1)-1), ROW(INDIRECT("1:" &amp; MATCH(2, 1/(AW2142:BH2142&lt;&gt;""), 1)-1))) &gt;= 150%, 150%, INDEX(AW2142:INDEX(AW2142:BH2142, MATCH(2, 1/(AW2142:BH2142&lt;&gt;""), 1)-1), ROW(INDIRECT("1:" &amp; MATCH(2, 1/(AW2142:BH2142&lt;&gt;""), 1)-1)))), 0))/_xlfn.XLOOKUP(F2142,Apuração!A:A,Apuração!B:B))</f>
        <v>0</v>
      </c>
      <c r="BM2142" s="55" cm="1">
        <f t="array" ref="BM2142">IFERROR(
   INDEX($AW$1:$BH$1,
      _xlfn.AGGREGATE(14, 6, COLUMN($AW$1:$BH$1)/(AW2142:BH2142&lt;&gt;""), 2) - COLUMN($AW$1) + 1
   ),
"")</f>
        <v>46082</v>
      </c>
      <c r="BN2142" s="55" cm="1">
        <f t="array" ref="BN2142">IFERROR(INDEX($AW$1:$BH$1,1,MATCH(2,1/(AW2142:BH2142&lt;&gt;""))),"")</f>
        <v>46113</v>
      </c>
      <c r="BO2142" s="53">
        <f ca="1">IFERROR(_xlfn.XLOOKUP(F2142,Apuração!A:A,Apuração!C:C)/_xlfn.XLOOKUP(F2142,Apuração!A:A,Apuração!B:B),0)</f>
        <v>0.22222222222222221</v>
      </c>
      <c r="BP2142" s="53">
        <f ca="1">IFERROR(_xlfn.XLOOKUP(F2142,Apuração!A:A,Apuração!D:D)/_xlfn.XLOOKUP(F2142,Apuração!A:A,Apuração!B:B),0)</f>
        <v>0.1111111111111111</v>
      </c>
      <c r="BQ2142" s="53">
        <f ca="1">IF(BK2142&gt;=BO2142,0,_xlfn.XLOOKUP(F2142,Apuração!A:A,Apuração!B:B)*(BO2142 + (1/_xlfn.XLOOKUP(F2142,Apuração!A:A,Apuração!B:B)) - BK2142))</f>
        <v>3</v>
      </c>
      <c r="BR2142" s="85">
        <f t="shared" ca="1" si="2536"/>
        <v>0</v>
      </c>
      <c r="BS2142" s="53">
        <f ca="1">IFERROR((_xlfn.XLOOKUP(F2142,Apuração!A:A,Apuração!C:C)+1)/_xlfn.XLOOKUP(F2142,Apuração!A:A,Apuração!B:B),0)</f>
        <v>0.33333333333333331</v>
      </c>
    </row>
    <row r="2143" spans="1:71" ht="25.95" hidden="1" customHeight="1" x14ac:dyDescent="0.3">
      <c r="A2143" s="23" t="s">
        <v>134</v>
      </c>
      <c r="B2143" s="4" t="s">
        <v>150</v>
      </c>
      <c r="C2143" s="5" t="s">
        <v>216</v>
      </c>
      <c r="D2143" s="5" t="s">
        <v>218</v>
      </c>
      <c r="E2143" s="4" t="str" cm="1">
        <f t="array" ref="E2143">_xlfn.IFS(
F2143 = "A partir de Abril", "Aguardando Execução na Distribuidora",
A2143 = "CAPACITAÇÃO", "Em execução no Corporativo",
TRUE, "Em Execução na Distribuidora"
)</f>
        <v>Em Execução na Distribuidora</v>
      </c>
      <c r="F2143" s="4" t="str" cm="1">
        <f t="array" ref="F2143">_xlfn.IFS(
AG2143 &lt;&gt; "", "Jan-Dez/26",
AH2143 &lt;&gt; "", "Fev-Dez/26",
AI2143 &lt;&gt; "", "Mar-Dez/26", AJ2143 &lt;&gt; "", "Abr-Dez/26",
TRUE, "A partir de Junho"
)</f>
        <v>Abr-Dez/26</v>
      </c>
      <c r="G2143" s="4" t="s">
        <v>37</v>
      </c>
      <c r="H2143" s="7" t="s">
        <v>38</v>
      </c>
      <c r="I2143" s="8" t="s">
        <v>154</v>
      </c>
      <c r="J2143" s="8" t="str" cm="1">
        <f t="array" aca="1" ref="J2143" ca="1">_xlfn.LET(
  _xlpm.actual_value_month, INDEX(T2143:AE2143, MATCH(DATE(YEAR(TODAY()), MONTH(TODAY()), 1), $T$1:$AE$1, 0)),
  IF(_xlpm.actual_value_month &lt;&gt; "",_xlpm.actual_value_month &amp; " ações mensais", "")
)</f>
        <v/>
      </c>
      <c r="K2143" s="8" t="str" cm="1">
        <f t="array" ref="K2143">_xlfn.LET(
    _xlpm.sum_month, SUM(T2143:AE2143),
    IF(_xlpm.sum_month = 0, "", _xlpm.sum_month &amp; " presença de representantes no ano")
)</f>
        <v/>
      </c>
      <c r="L2143" s="9" t="s">
        <v>155</v>
      </c>
      <c r="M2143" s="24">
        <v>1</v>
      </c>
      <c r="N2143" s="67" t="s">
        <v>51</v>
      </c>
      <c r="O2143" s="111" t="s">
        <v>43</v>
      </c>
      <c r="P2143" s="10" t="s">
        <v>44</v>
      </c>
      <c r="Q2143" s="10" t="s">
        <v>72</v>
      </c>
      <c r="R2143" s="11" t="s">
        <v>44</v>
      </c>
      <c r="S2143" s="11" t="s">
        <v>44</v>
      </c>
      <c r="T2143" s="22"/>
      <c r="U2143" s="22"/>
      <c r="V2143" s="22"/>
      <c r="W2143" s="22"/>
      <c r="X2143" s="22"/>
      <c r="Y2143" s="22"/>
      <c r="Z2143" s="22"/>
      <c r="AA2143" s="22"/>
      <c r="AB2143" s="22"/>
      <c r="AC2143" s="22"/>
      <c r="AD2143" s="22"/>
      <c r="AE2143" s="22"/>
      <c r="AG2143" s="71"/>
      <c r="AH2143" s="71"/>
      <c r="AI2143" s="71"/>
      <c r="AJ2143" s="146">
        <v>4</v>
      </c>
      <c r="AK2143" s="71"/>
      <c r="AL2143" s="71"/>
      <c r="AM2143" s="71"/>
      <c r="AN2143" s="71"/>
      <c r="AO2143" s="71"/>
      <c r="AP2143" s="71"/>
      <c r="AQ2143" s="71"/>
      <c r="AR2143" s="71"/>
      <c r="AS2143" s="94">
        <f t="shared" ca="1" si="2529"/>
        <v>0</v>
      </c>
      <c r="AT2143" s="95">
        <f t="shared" si="2530"/>
        <v>4</v>
      </c>
      <c r="AU2143" s="97">
        <f t="shared" si="2531"/>
        <v>4</v>
      </c>
      <c r="AW2143" s="83">
        <f t="shared" si="2532"/>
        <v>0</v>
      </c>
      <c r="AX2143" s="83">
        <f t="shared" si="2533"/>
        <v>0</v>
      </c>
      <c r="AY2143" s="83">
        <f t="shared" si="2534"/>
        <v>0</v>
      </c>
      <c r="AZ2143" s="83">
        <f t="shared" si="2535"/>
        <v>4</v>
      </c>
      <c r="BA2143" s="52"/>
      <c r="BB2143" s="52"/>
      <c r="BC2143" s="52"/>
      <c r="BD2143" s="52"/>
      <c r="BE2143" s="52"/>
      <c r="BF2143" s="52"/>
      <c r="BG2143" s="52"/>
      <c r="BH2143" s="52"/>
      <c r="BI2143" s="68" cm="1">
        <f t="array" ref="BI2143">IFERROR(INDEX(AW2143:BH2143,1,MATCH(2,1/(AW2143:BH2143&lt;&gt;""))),"")</f>
        <v>4</v>
      </c>
      <c r="BJ2143" s="68" cm="1">
        <f t="array" ref="BJ2143">IF(BM2143 = "", "",IFERROR(INDEX(AW2143:BH2143,1,MATCH(2,1/(AW2143:BH2143&lt;&gt;""),1)-1),""))</f>
        <v>0</v>
      </c>
      <c r="BK2143" s="59">
        <f>IF((IF(AW2143&gt;=150%,150%,AW2143) + IF(AX2143&gt;=150%,150%,AX2143) + IF(AY2143&gt;=150%,150%,AY2143) + (IF(AW2143&gt;=150%,150%,AW2143) + IF(BA2143&gt;=150%,150%,BA2143) + IF(BB2143&gt;=150%,150%,BB2143) + IF(BC2143&gt;=150%,150%,BC2143) + IF(BD2143&gt;=150%,150%,BD2143) + IF(BE2143&gt;=150%,150%,BE2143) + IF(BF2143&gt;=150%,150%,BF2143) + IF(BG2143&gt;=150%,150%,BG2143) + IF(BH2143&gt;=150%,150%,BH2143)))/_xlfn.XLOOKUP(F2143,Apuração!A:A,Apuração!B:B)&gt;=1.15,1.15,((IF(AW2143&gt;=150%,150%,AW2143) + IF(AX2143&gt;=150%,150%,AX2143) + IF(AY2143&gt;=150%,150%,AY2143) + (IF(AW2143&gt;=150%,150%,AW2143) + IF(BA2143&gt;=150%,150%,BA2143) + IF(BB2143&gt;=150%,150%,BB2143) + IF(BC2143&gt;=150%,150%,BC2143) + IF(BD2143&gt;=150%,150%,BD2143) + IF(BE2143&gt;=150%,150%,BE2143) + IF(BF2143&gt;=150%,150%,BF2143) + IF(BG2143&gt;=150%,150%,BG2143) + IF(BH2143&gt;=150%,150%,BH2143)))/_xlfn.XLOOKUP(F2143,Apuração!A:A,Apuração!B:B)))</f>
        <v>0</v>
      </c>
      <c r="BL2143" s="59" cm="1">
        <f t="array" aca="1" ref="BL2143" ca="1">IF(SUM(IFERROR(IF(INDEX(AW2143:INDEX(AW2143:BH2143, MATCH(2, 1/(AW2143:BH2143&lt;&gt;""), 1)-1), ROW(INDIRECT("1:" &amp; MATCH(2, 1/(AW2143:BH2143&lt;&gt;""), 1)-1))) &gt;= 150%, 150%, INDEX(AW2143:INDEX(AW2143:BH2143, MATCH(2, 1/(AW2143:BH2143&lt;&gt;""), 1)-1), ROW(INDIRECT("1:" &amp; MATCH(2, 1/(AW2143:BH2143&lt;&gt;""), 1)-1)))), 0))/_xlfn.XLOOKUP(F2143,Apuração!A:A,Apuração!B:B)&gt;=1.15,1.15,SUM(IFERROR(IF(INDEX(AW2143:INDEX(AW2143:BH2143, MATCH(2, 1/(AW2143:BH2143&lt;&gt;""), 1)-1), ROW(INDIRECT("1:" &amp; MATCH(2, 1/(AW2143:BH2143&lt;&gt;""), 1)-1))) &gt;= 150%, 150%, INDEX(AW2143:INDEX(AW2143:BH2143, MATCH(2, 1/(AW2143:BH2143&lt;&gt;""), 1)-1), ROW(INDIRECT("1:" &amp; MATCH(2, 1/(AW2143:BH2143&lt;&gt;""), 1)-1)))), 0))/_xlfn.XLOOKUP(F2143,Apuração!A:A,Apuração!B:B))</f>
        <v>0</v>
      </c>
      <c r="BM2143" s="55" cm="1">
        <f t="array" ref="BM2143">IFERROR(
   INDEX($AW$1:$BH$1,
      _xlfn.AGGREGATE(14, 6, COLUMN($AW$1:$BH$1)/(AW2143:BH2143&lt;&gt;""), 2) - COLUMN($AW$1) + 1
   ),
"")</f>
        <v>46082</v>
      </c>
      <c r="BN2143" s="55" cm="1">
        <f t="array" ref="BN2143">IFERROR(INDEX($AW$1:$BH$1,1,MATCH(2,1/(AW2143:BH2143&lt;&gt;""))),"")</f>
        <v>46113</v>
      </c>
      <c r="BO2143" s="53">
        <f ca="1">IFERROR(_xlfn.XLOOKUP(F2143,Apuração!A:A,Apuração!C:C)/_xlfn.XLOOKUP(F2143,Apuração!A:A,Apuração!B:B),0)</f>
        <v>0.22222222222222221</v>
      </c>
      <c r="BP2143" s="53">
        <f ca="1">IFERROR(_xlfn.XLOOKUP(F2143,Apuração!A:A,Apuração!D:D)/_xlfn.XLOOKUP(F2143,Apuração!A:A,Apuração!B:B),0)</f>
        <v>0.1111111111111111</v>
      </c>
      <c r="BQ2143" s="53">
        <f ca="1">IF(BK2143&gt;=BO2143,0,_xlfn.XLOOKUP(F2143,Apuração!A:A,Apuração!B:B)*(BO2143 + (1/_xlfn.XLOOKUP(F2143,Apuração!A:A,Apuração!B:B)) - BK2143))</f>
        <v>3</v>
      </c>
      <c r="BR2143" s="85">
        <f t="shared" ca="1" si="2536"/>
        <v>0</v>
      </c>
      <c r="BS2143" s="53">
        <f ca="1">IFERROR((_xlfn.XLOOKUP(F2143,Apuração!A:A,Apuração!C:C)+1)/_xlfn.XLOOKUP(F2143,Apuração!A:A,Apuração!B:B),0)</f>
        <v>0.33333333333333331</v>
      </c>
    </row>
    <row r="2144" spans="1:71" ht="25.95" hidden="1" customHeight="1" x14ac:dyDescent="0.3">
      <c r="A2144" s="23" t="s">
        <v>134</v>
      </c>
      <c r="B2144" s="4" t="s">
        <v>150</v>
      </c>
      <c r="C2144" s="5" t="s">
        <v>216</v>
      </c>
      <c r="D2144" s="5" t="s">
        <v>219</v>
      </c>
      <c r="E2144" s="4" t="str" cm="1">
        <f t="array" ref="E2144">_xlfn.IFS(
F2144 = "A partir de Abril", "Aguardando Execução na Distribuidora",
A2144 = "CAPACITAÇÃO", "Em execução no Corporativo",
TRUE, "Em Execução na Distribuidora"
)</f>
        <v>Em Execução na Distribuidora</v>
      </c>
      <c r="F2144" s="4" t="str" cm="1">
        <f t="array" ref="F2144">_xlfn.IFS(
AG2144 &lt;&gt; "", "Jan-Dez/26",
AH2144 &lt;&gt; "", "Fev-Dez/26",
AI2144 &lt;&gt; "", "Mar-Dez/26", AJ2144 &lt;&gt; "", "Abr-Dez/26",
TRUE, "A partir de Junho"
)</f>
        <v>Abr-Dez/26</v>
      </c>
      <c r="G2144" s="4" t="s">
        <v>37</v>
      </c>
      <c r="H2144" s="7" t="s">
        <v>38</v>
      </c>
      <c r="I2144" s="8" t="s">
        <v>154</v>
      </c>
      <c r="J2144" s="8" t="str" cm="1">
        <f t="array" aca="1" ref="J2144" ca="1">_xlfn.LET(
  _xlpm.actual_value_month, INDEX(T2144:AE2144, MATCH(DATE(YEAR(TODAY()), MONTH(TODAY()), 1), $T$1:$AE$1, 0)),
  IF(_xlpm.actual_value_month &lt;&gt; "",_xlpm.actual_value_month &amp; " ações mensais", "")
)</f>
        <v/>
      </c>
      <c r="K2144" s="8" t="str" cm="1">
        <f t="array" ref="K2144">_xlfn.LET(
    _xlpm.sum_month, SUM(T2144:AE2144),
    IF(_xlpm.sum_month = 0, "", _xlpm.sum_month &amp; " presença de representantes no ano")
)</f>
        <v/>
      </c>
      <c r="L2144" s="9" t="s">
        <v>155</v>
      </c>
      <c r="M2144" s="24">
        <v>1</v>
      </c>
      <c r="N2144" s="67" t="s">
        <v>51</v>
      </c>
      <c r="O2144" s="111" t="s">
        <v>43</v>
      </c>
      <c r="P2144" s="10" t="s">
        <v>44</v>
      </c>
      <c r="Q2144" s="10" t="s">
        <v>72</v>
      </c>
      <c r="R2144" s="11" t="s">
        <v>44</v>
      </c>
      <c r="S2144" s="11" t="s">
        <v>44</v>
      </c>
      <c r="T2144" s="22"/>
      <c r="U2144" s="22"/>
      <c r="V2144" s="22"/>
      <c r="W2144" s="22"/>
      <c r="X2144" s="22"/>
      <c r="Y2144" s="22"/>
      <c r="Z2144" s="22"/>
      <c r="AA2144" s="22"/>
      <c r="AB2144" s="22"/>
      <c r="AC2144" s="22"/>
      <c r="AD2144" s="22"/>
      <c r="AE2144" s="22"/>
      <c r="AG2144" s="71"/>
      <c r="AH2144" s="71"/>
      <c r="AI2144" s="71"/>
      <c r="AJ2144" s="146">
        <v>3</v>
      </c>
      <c r="AK2144" s="71"/>
      <c r="AL2144" s="71"/>
      <c r="AM2144" s="71"/>
      <c r="AN2144" s="71"/>
      <c r="AO2144" s="71"/>
      <c r="AP2144" s="71"/>
      <c r="AQ2144" s="71"/>
      <c r="AR2144" s="71"/>
      <c r="AS2144" s="94">
        <f t="shared" ca="1" si="2529"/>
        <v>0</v>
      </c>
      <c r="AT2144" s="95">
        <f t="shared" si="2530"/>
        <v>3</v>
      </c>
      <c r="AU2144" s="97">
        <f t="shared" si="2531"/>
        <v>3</v>
      </c>
      <c r="AW2144" s="83">
        <f t="shared" si="2532"/>
        <v>0</v>
      </c>
      <c r="AX2144" s="83">
        <f t="shared" si="2533"/>
        <v>0</v>
      </c>
      <c r="AY2144" s="83">
        <f t="shared" si="2534"/>
        <v>0</v>
      </c>
      <c r="AZ2144" s="83">
        <f t="shared" si="2535"/>
        <v>3</v>
      </c>
      <c r="BA2144" s="52"/>
      <c r="BB2144" s="52"/>
      <c r="BC2144" s="52"/>
      <c r="BD2144" s="52"/>
      <c r="BE2144" s="52"/>
      <c r="BF2144" s="52"/>
      <c r="BG2144" s="52"/>
      <c r="BH2144" s="52"/>
      <c r="BI2144" s="68" cm="1">
        <f t="array" ref="BI2144">IFERROR(INDEX(AW2144:BH2144,1,MATCH(2,1/(AW2144:BH2144&lt;&gt;""))),"")</f>
        <v>3</v>
      </c>
      <c r="BJ2144" s="68" cm="1">
        <f t="array" ref="BJ2144">IF(BM2144 = "", "",IFERROR(INDEX(AW2144:BH2144,1,MATCH(2,1/(AW2144:BH2144&lt;&gt;""),1)-1),""))</f>
        <v>0</v>
      </c>
      <c r="BK2144" s="59">
        <f>IF((IF(AW2144&gt;=150%,150%,AW2144) + IF(AX2144&gt;=150%,150%,AX2144) + IF(AY2144&gt;=150%,150%,AY2144) + (IF(AW2144&gt;=150%,150%,AW2144) + IF(BA2144&gt;=150%,150%,BA2144) + IF(BB2144&gt;=150%,150%,BB2144) + IF(BC2144&gt;=150%,150%,BC2144) + IF(BD2144&gt;=150%,150%,BD2144) + IF(BE2144&gt;=150%,150%,BE2144) + IF(BF2144&gt;=150%,150%,BF2144) + IF(BG2144&gt;=150%,150%,BG2144) + IF(BH2144&gt;=150%,150%,BH2144)))/_xlfn.XLOOKUP(F2144,Apuração!A:A,Apuração!B:B)&gt;=1.15,1.15,((IF(AW2144&gt;=150%,150%,AW2144) + IF(AX2144&gt;=150%,150%,AX2144) + IF(AY2144&gt;=150%,150%,AY2144) + (IF(AW2144&gt;=150%,150%,AW2144) + IF(BA2144&gt;=150%,150%,BA2144) + IF(BB2144&gt;=150%,150%,BB2144) + IF(BC2144&gt;=150%,150%,BC2144) + IF(BD2144&gt;=150%,150%,BD2144) + IF(BE2144&gt;=150%,150%,BE2144) + IF(BF2144&gt;=150%,150%,BF2144) + IF(BG2144&gt;=150%,150%,BG2144) + IF(BH2144&gt;=150%,150%,BH2144)))/_xlfn.XLOOKUP(F2144,Apuração!A:A,Apuração!B:B)))</f>
        <v>0</v>
      </c>
      <c r="BL2144" s="59" cm="1">
        <f t="array" aca="1" ref="BL2144" ca="1">IF(SUM(IFERROR(IF(INDEX(AW2144:INDEX(AW2144:BH2144, MATCH(2, 1/(AW2144:BH2144&lt;&gt;""), 1)-1), ROW(INDIRECT("1:" &amp; MATCH(2, 1/(AW2144:BH2144&lt;&gt;""), 1)-1))) &gt;= 150%, 150%, INDEX(AW2144:INDEX(AW2144:BH2144, MATCH(2, 1/(AW2144:BH2144&lt;&gt;""), 1)-1), ROW(INDIRECT("1:" &amp; MATCH(2, 1/(AW2144:BH2144&lt;&gt;""), 1)-1)))), 0))/_xlfn.XLOOKUP(F2144,Apuração!A:A,Apuração!B:B)&gt;=1.15,1.15,SUM(IFERROR(IF(INDEX(AW2144:INDEX(AW2144:BH2144, MATCH(2, 1/(AW2144:BH2144&lt;&gt;""), 1)-1), ROW(INDIRECT("1:" &amp; MATCH(2, 1/(AW2144:BH2144&lt;&gt;""), 1)-1))) &gt;= 150%, 150%, INDEX(AW2144:INDEX(AW2144:BH2144, MATCH(2, 1/(AW2144:BH2144&lt;&gt;""), 1)-1), ROW(INDIRECT("1:" &amp; MATCH(2, 1/(AW2144:BH2144&lt;&gt;""), 1)-1)))), 0))/_xlfn.XLOOKUP(F2144,Apuração!A:A,Apuração!B:B))</f>
        <v>0</v>
      </c>
      <c r="BM2144" s="55" cm="1">
        <f t="array" ref="BM2144">IFERROR(
   INDEX($AW$1:$BH$1,
      _xlfn.AGGREGATE(14, 6, COLUMN($AW$1:$BH$1)/(AW2144:BH2144&lt;&gt;""), 2) - COLUMN($AW$1) + 1
   ),
"")</f>
        <v>46082</v>
      </c>
      <c r="BN2144" s="55" cm="1">
        <f t="array" ref="BN2144">IFERROR(INDEX($AW$1:$BH$1,1,MATCH(2,1/(AW2144:BH2144&lt;&gt;""))),"")</f>
        <v>46113</v>
      </c>
      <c r="BO2144" s="53">
        <f ca="1">IFERROR(_xlfn.XLOOKUP(F2144,Apuração!A:A,Apuração!C:C)/_xlfn.XLOOKUP(F2144,Apuração!A:A,Apuração!B:B),0)</f>
        <v>0.22222222222222221</v>
      </c>
      <c r="BP2144" s="53">
        <f ca="1">IFERROR(_xlfn.XLOOKUP(F2144,Apuração!A:A,Apuração!D:D)/_xlfn.XLOOKUP(F2144,Apuração!A:A,Apuração!B:B),0)</f>
        <v>0.1111111111111111</v>
      </c>
      <c r="BQ2144" s="53">
        <f ca="1">IF(BK2144&gt;=BO2144,0,_xlfn.XLOOKUP(F2144,Apuração!A:A,Apuração!B:B)*(BO2144 + (1/_xlfn.XLOOKUP(F2144,Apuração!A:A,Apuração!B:B)) - BK2144))</f>
        <v>3</v>
      </c>
      <c r="BR2144" s="85">
        <f t="shared" ca="1" si="2536"/>
        <v>0</v>
      </c>
      <c r="BS2144" s="53">
        <f ca="1">IFERROR((_xlfn.XLOOKUP(F2144,Apuração!A:A,Apuração!C:C)+1)/_xlfn.XLOOKUP(F2144,Apuração!A:A,Apuração!B:B),0)</f>
        <v>0.33333333333333331</v>
      </c>
    </row>
    <row r="2145" spans="1:71" ht="25.95" hidden="1" customHeight="1" x14ac:dyDescent="0.3">
      <c r="A2145" s="43" t="s">
        <v>134</v>
      </c>
      <c r="B2145" s="15" t="s">
        <v>150</v>
      </c>
      <c r="C2145" s="5" t="s">
        <v>216</v>
      </c>
      <c r="D2145" s="5" t="s">
        <v>36</v>
      </c>
      <c r="E2145" s="4" t="str" cm="1">
        <f t="array" ref="E2145">_xlfn.IFS(
F2145 = "A partir de Abril", "Aguardando Execução na Distribuidora",
A2145 = "CAPACITAÇÃO", "Em execução no Corporativo",
TRUE, "Em Execução na Distribuidora"
)</f>
        <v>Em Execução na Distribuidora</v>
      </c>
      <c r="F2145" s="4" t="str" cm="1">
        <f t="array" ref="F2145">_xlfn.IFS(
AG2145 &lt;&gt; "", "Jan-Dez/26",
AH2145 &lt;&gt; "", "Fev-Dez/26",
AI2145 &lt;&gt; "", "Mar-Dez/26", AJ2145 &lt;&gt; "", "Abr-Dez/26",
TRUE, "A partir de Junho"
)</f>
        <v>Jan-Dez/26</v>
      </c>
      <c r="G2145" s="15" t="s">
        <v>37</v>
      </c>
      <c r="H2145" s="7" t="s">
        <v>38</v>
      </c>
      <c r="I2145" s="28" t="s">
        <v>156</v>
      </c>
      <c r="J2145" s="8" t="str" cm="1">
        <f t="array" aca="1" ref="J2145" ca="1">_xlfn.LET(
  _xlpm.actual_value_month, INDEX(T2145:AE2145, MATCH(DATE(YEAR(TODAY()), MONTH(TODAY()), 1), $T$1:$AE$1, 0)),
  IF(_xlpm.actual_value_month &lt;&gt; "",_xlpm.actual_value_month &amp; " ações mensais", "")
)</f>
        <v/>
      </c>
      <c r="K2145" s="8" t="str" cm="1">
        <f t="array" ref="K2145">_xlfn.LET(
    _xlpm.sum_month, SUM(T2145:AE2145),
    IF(_xlpm.sum_month = 0, "", _xlpm.sum_month &amp; " atividades no ano")
)</f>
        <v/>
      </c>
      <c r="L2145" s="15" t="s">
        <v>157</v>
      </c>
      <c r="M2145" s="30">
        <v>1</v>
      </c>
      <c r="N2145" s="67" t="s">
        <v>51</v>
      </c>
      <c r="O2145" s="26" t="s">
        <v>52</v>
      </c>
      <c r="P2145" s="31" t="s">
        <v>44</v>
      </c>
      <c r="Q2145" s="31" t="s">
        <v>44</v>
      </c>
      <c r="R2145" s="32" t="s">
        <v>44</v>
      </c>
      <c r="S2145" s="32" t="s">
        <v>44</v>
      </c>
      <c r="T2145" s="22"/>
      <c r="U2145" s="22"/>
      <c r="V2145" s="22"/>
      <c r="W2145" s="22"/>
      <c r="X2145" s="22"/>
      <c r="Y2145" s="22"/>
      <c r="Z2145" s="22"/>
      <c r="AA2145" s="22"/>
      <c r="AB2145" s="22"/>
      <c r="AC2145" s="22"/>
      <c r="AD2145" s="22"/>
      <c r="AE2145" s="22"/>
      <c r="AG2145" s="71">
        <v>3</v>
      </c>
      <c r="AH2145" s="71">
        <v>6</v>
      </c>
      <c r="AI2145" s="71">
        <v>3</v>
      </c>
      <c r="AJ2145" s="71">
        <v>122</v>
      </c>
      <c r="AK2145" s="71"/>
      <c r="AL2145" s="71"/>
      <c r="AM2145" s="71"/>
      <c r="AN2145" s="71"/>
      <c r="AO2145" s="71"/>
      <c r="AP2145" s="71"/>
      <c r="AQ2145" s="71"/>
      <c r="AR2145" s="71"/>
      <c r="AS2145" s="94">
        <f ca="1">IF(MONTH(TODAY())=3,SUM(T2145:U2145),IF(MONTH(TODAY())=4,SUM(T2145:V2145),IF(MONTH(TODAY())=5,SUM(T2145:W2145),IF(MONTH(TODAY())=6,SUM(T2145:X2145),IF(MONTH(TODAY())=7,SUM(T2145:Y2145),IF(MONTH(TODAY())=8,SUM(T2145:Z2145),IF(MONTH(TODAY())=9,SUM(T2145:AA2145),IF(MONTH(TODAY())=10,SUM(T2145:AB2145),IF(MONTH(TODAY())=11,SUM(T2145:AC2145),IF(MONTH(TODAY())=12,SUM(T2145:AD2145),IF(MONTH(TODAY())=1,SUM(T2145:AE2145),T2145)))))))))))</f>
        <v>0</v>
      </c>
      <c r="AT2145" s="95">
        <f>SUM(AG2145:AR2145)</f>
        <v>134</v>
      </c>
      <c r="AU2145" s="97">
        <f>SUM(AG2145:AR2145)</f>
        <v>134</v>
      </c>
      <c r="AW2145" s="83">
        <f>AG2145</f>
        <v>3</v>
      </c>
      <c r="AX2145" s="83">
        <f>AH2145</f>
        <v>6</v>
      </c>
      <c r="AY2145" s="83">
        <f>AI2145</f>
        <v>3</v>
      </c>
      <c r="AZ2145" s="83">
        <f>AJ2145</f>
        <v>122</v>
      </c>
      <c r="BA2145" s="52"/>
      <c r="BB2145" s="52"/>
      <c r="BC2145" s="52"/>
      <c r="BD2145" s="52"/>
      <c r="BE2145" s="52"/>
      <c r="BF2145" s="52"/>
      <c r="BG2145" s="52"/>
      <c r="BH2145" s="52"/>
      <c r="BI2145" s="68" cm="1">
        <f t="array" ref="BI2145">IFERROR(INDEX(AW2145:BH2145,1,MATCH(2,1/(AW2145:BH2145&lt;&gt;""))),"")</f>
        <v>122</v>
      </c>
      <c r="BJ2145" s="68" cm="1">
        <f t="array" ref="BJ2145">IF(BM2145 = "", "",IFERROR(INDEX(AW2145:BH2145,1,MATCH(2,1/(AW2145:BH2145&lt;&gt;""),1)-1),""))</f>
        <v>3</v>
      </c>
      <c r="BK2145" s="59">
        <f>SUM(AW2145:BH2145)</f>
        <v>134</v>
      </c>
      <c r="BL2145" s="59" cm="1">
        <f t="array" ref="BL2145">IFERROR(SUM(AW2145:INDEX(AW2145:BH2145, MATCH(2, 1/(AW2145:BH2145&lt;&gt;""), 1) - 1))/_xlfn.XLOOKUP(F2145,Apuração!A:A,Apuração!B:B),0)</f>
        <v>1</v>
      </c>
      <c r="BM2145" s="55" cm="1">
        <f t="array" ref="BM2145">IFERROR(
   INDEX($AW$1:$BH$1,
      _xlfn.AGGREGATE(14, 6, COLUMN($AW$1:$BH$1)/(AW2145:BH2145&lt;&gt;""), 2) - COLUMN($AW$1) + 1
   ),
"")</f>
        <v>46082</v>
      </c>
      <c r="BN2145" s="55" cm="1">
        <f t="array" ref="BN2145">IFERROR(INDEX($AW$1:$BH$1,1,MATCH(2,1/(AW2145:BH2145&lt;&gt;""))),"")</f>
        <v>46113</v>
      </c>
      <c r="BO2145" s="53">
        <f ca="1">IFERROR(_xlfn.XLOOKUP(F2145,Apuração!A:A,Apuração!C:C)/_xlfn.XLOOKUP(F2145,Apuração!A:A,Apuração!B:B),0)</f>
        <v>0.41666666666666669</v>
      </c>
      <c r="BP2145" s="53">
        <f ca="1">IFERROR(_xlfn.XLOOKUP(F2145,Apuração!A:A,Apuração!D:D)/_xlfn.XLOOKUP(F2145,Apuração!A:A,Apuração!B:B),0)</f>
        <v>0.33333333333333331</v>
      </c>
      <c r="BQ2145" s="53">
        <f ca="1">IF(BK2145&gt;=BO2145,0,_xlfn.XLOOKUP(F2145,Apuração!A:A,Apuração!B:B)*(BO2145 + (1/_xlfn.XLOOKUP(F2145,Apuração!A:A,Apuração!B:B)) - BK2145))</f>
        <v>0</v>
      </c>
      <c r="BR2145" s="85">
        <f ca="1">IF(BQ2145=0,0,BQ2145*Z2145)</f>
        <v>0</v>
      </c>
      <c r="BS2145" s="53">
        <f ca="1">IFERROR((_xlfn.XLOOKUP(F2145,Apuração!A:A,Apuração!C:C)+1)/_xlfn.XLOOKUP(F2145,Apuração!A:A,Apuração!B:B),0)</f>
        <v>0.5</v>
      </c>
    </row>
    <row r="2146" spans="1:71" ht="25.95" hidden="1" customHeight="1" x14ac:dyDescent="0.3">
      <c r="A2146" s="43" t="s">
        <v>134</v>
      </c>
      <c r="B2146" s="15" t="s">
        <v>150</v>
      </c>
      <c r="C2146" s="5" t="s">
        <v>216</v>
      </c>
      <c r="D2146" s="5" t="s">
        <v>217</v>
      </c>
      <c r="E2146" s="4" t="str" cm="1">
        <f t="array" ref="E2146">_xlfn.IFS(
F2146 = "A partir de Abril", "Aguardando Execução na Distribuidora",
A2146 = "CAPACITAÇÃO", "Em execução no Corporativo",
TRUE, "Em Execução na Distribuidora"
)</f>
        <v>Em Execução na Distribuidora</v>
      </c>
      <c r="F2146" s="4" t="str" cm="1">
        <f t="array" ref="F2146">_xlfn.IFS(
AG2146 &lt;&gt; "", "Jan-Dez/26",
AH2146 &lt;&gt; "", "Fev-Dez/26",
AI2146 &lt;&gt; "", "Mar-Dez/26", AJ2146 &lt;&gt; "", "Abr-Dez/26",
TRUE, "A partir de Junho"
)</f>
        <v>Abr-Dez/26</v>
      </c>
      <c r="G2146" s="15" t="s">
        <v>37</v>
      </c>
      <c r="H2146" s="7" t="s">
        <v>38</v>
      </c>
      <c r="I2146" s="28" t="s">
        <v>156</v>
      </c>
      <c r="J2146" s="8" t="str" cm="1">
        <f t="array" aca="1" ref="J2146" ca="1">_xlfn.LET(
  _xlpm.actual_value_month, INDEX(T2146:AE2146, MATCH(DATE(YEAR(TODAY()), MONTH(TODAY()), 1), $T$1:$AE$1, 0)),
  IF(_xlpm.actual_value_month &lt;&gt; "",_xlpm.actual_value_month &amp; " ações mensais", "")
)</f>
        <v/>
      </c>
      <c r="K2146" s="8" t="str" cm="1">
        <f t="array" ref="K2146">_xlfn.LET(
    _xlpm.sum_month, SUM(T2146:AE2146),
    IF(_xlpm.sum_month = 0, "", _xlpm.sum_month &amp; " atividades no ano")
)</f>
        <v/>
      </c>
      <c r="L2146" s="15" t="s">
        <v>157</v>
      </c>
      <c r="M2146" s="30">
        <v>1</v>
      </c>
      <c r="N2146" s="67" t="s">
        <v>51</v>
      </c>
      <c r="O2146" s="26" t="s">
        <v>52</v>
      </c>
      <c r="P2146" s="31" t="s">
        <v>44</v>
      </c>
      <c r="Q2146" s="31" t="s">
        <v>44</v>
      </c>
      <c r="R2146" s="32" t="s">
        <v>44</v>
      </c>
      <c r="S2146" s="32" t="s">
        <v>44</v>
      </c>
      <c r="T2146" s="22"/>
      <c r="U2146" s="22"/>
      <c r="V2146" s="22"/>
      <c r="W2146" s="22"/>
      <c r="X2146" s="22"/>
      <c r="Y2146" s="22"/>
      <c r="Z2146" s="22"/>
      <c r="AA2146" s="22"/>
      <c r="AB2146" s="22"/>
      <c r="AC2146" s="22"/>
      <c r="AD2146" s="22"/>
      <c r="AE2146" s="22"/>
      <c r="AG2146" s="71"/>
      <c r="AH2146" s="71"/>
      <c r="AI2146" s="71"/>
      <c r="AJ2146" s="146">
        <v>46</v>
      </c>
      <c r="AK2146" s="71"/>
      <c r="AL2146" s="71"/>
      <c r="AM2146" s="71"/>
      <c r="AN2146" s="71"/>
      <c r="AO2146" s="71"/>
      <c r="AP2146" s="71"/>
      <c r="AQ2146" s="71"/>
      <c r="AR2146" s="71"/>
      <c r="AS2146" s="94">
        <f t="shared" ref="AS2146:AS2149" ca="1" si="2537">IF(MONTH(TODAY())=3,SUM(T2146:U2146),IF(MONTH(TODAY())=4,SUM(T2146:V2146),IF(MONTH(TODAY())=5,SUM(T2146:W2146),IF(MONTH(TODAY())=6,SUM(T2146:X2146),IF(MONTH(TODAY())=7,SUM(T2146:Y2146),IF(MONTH(TODAY())=8,SUM(T2146:Z2146),IF(MONTH(TODAY())=9,SUM(T2146:AA2146),IF(MONTH(TODAY())=10,SUM(T2146:AB2146),IF(MONTH(TODAY())=11,SUM(T2146:AC2146),IF(MONTH(TODAY())=12,SUM(T2146:AD2146),IF(MONTH(TODAY())=1,SUM(T2146:AE2146),T2146)))))))))))</f>
        <v>0</v>
      </c>
      <c r="AT2146" s="95">
        <f t="shared" ref="AT2146:AT2149" si="2538">SUM(AG2146:AR2146)</f>
        <v>46</v>
      </c>
      <c r="AU2146" s="97">
        <f t="shared" ref="AU2146:AU2149" si="2539">SUM(AG2146:AR2146)</f>
        <v>46</v>
      </c>
      <c r="AW2146" s="83">
        <f t="shared" ref="AW2146:AW2149" si="2540">AG2146</f>
        <v>0</v>
      </c>
      <c r="AX2146" s="83">
        <f t="shared" ref="AX2146:AX2149" si="2541">AH2146</f>
        <v>0</v>
      </c>
      <c r="AY2146" s="83">
        <f t="shared" ref="AY2146:AY2149" si="2542">AI2146</f>
        <v>0</v>
      </c>
      <c r="AZ2146" s="83">
        <f t="shared" ref="AZ2146:AZ2149" si="2543">AJ2146</f>
        <v>46</v>
      </c>
      <c r="BA2146" s="52"/>
      <c r="BB2146" s="52"/>
      <c r="BC2146" s="52"/>
      <c r="BD2146" s="52"/>
      <c r="BE2146" s="52"/>
      <c r="BF2146" s="52"/>
      <c r="BG2146" s="52"/>
      <c r="BH2146" s="52"/>
      <c r="BI2146" s="68" cm="1">
        <f t="array" ref="BI2146">IFERROR(INDEX(AW2146:BH2146,1,MATCH(2,1/(AW2146:BH2146&lt;&gt;""))),"")</f>
        <v>46</v>
      </c>
      <c r="BJ2146" s="68" cm="1">
        <f t="array" ref="BJ2146">IF(BM2146 = "", "",IFERROR(INDEX(AW2146:BH2146,1,MATCH(2,1/(AW2146:BH2146&lt;&gt;""),1)-1),""))</f>
        <v>0</v>
      </c>
      <c r="BK2146" s="59">
        <f t="shared" ref="BK2146:BK2149" si="2544">SUM(AW2146:BH2146)</f>
        <v>46</v>
      </c>
      <c r="BL2146" s="59" cm="1">
        <f t="array" ref="BL2146">IFERROR(SUM(AW2146:INDEX(AW2146:BH2146, MATCH(2, 1/(AW2146:BH2146&lt;&gt;""), 1) - 1))/_xlfn.XLOOKUP(F2146,Apuração!A:A,Apuração!B:B),0)</f>
        <v>0</v>
      </c>
      <c r="BM2146" s="55" cm="1">
        <f t="array" ref="BM2146">IFERROR(
   INDEX($AW$1:$BH$1,
      _xlfn.AGGREGATE(14, 6, COLUMN($AW$1:$BH$1)/(AW2146:BH2146&lt;&gt;""), 2) - COLUMN($AW$1) + 1
   ),
"")</f>
        <v>46082</v>
      </c>
      <c r="BN2146" s="55" cm="1">
        <f t="array" ref="BN2146">IFERROR(INDEX($AW$1:$BH$1,1,MATCH(2,1/(AW2146:BH2146&lt;&gt;""))),"")</f>
        <v>46113</v>
      </c>
      <c r="BO2146" s="53">
        <f ca="1">IFERROR(_xlfn.XLOOKUP(F2146,Apuração!A:A,Apuração!C:C)/_xlfn.XLOOKUP(F2146,Apuração!A:A,Apuração!B:B),0)</f>
        <v>0.22222222222222221</v>
      </c>
      <c r="BP2146" s="53">
        <f ca="1">IFERROR(_xlfn.XLOOKUP(F2146,Apuração!A:A,Apuração!D:D)/_xlfn.XLOOKUP(F2146,Apuração!A:A,Apuração!B:B),0)</f>
        <v>0.1111111111111111</v>
      </c>
      <c r="BQ2146" s="53">
        <f ca="1">IF(BK2146&gt;=BO2146,0,_xlfn.XLOOKUP(F2146,Apuração!A:A,Apuração!B:B)*(BO2146 + (1/_xlfn.XLOOKUP(F2146,Apuração!A:A,Apuração!B:B)) - BK2146))</f>
        <v>0</v>
      </c>
      <c r="BR2146" s="85">
        <f t="shared" ref="BR2146:BR2149" ca="1" si="2545">IF(BQ2146=0,0,BQ2146*Z2146)</f>
        <v>0</v>
      </c>
      <c r="BS2146" s="53">
        <f ca="1">IFERROR((_xlfn.XLOOKUP(F2146,Apuração!A:A,Apuração!C:C)+1)/_xlfn.XLOOKUP(F2146,Apuração!A:A,Apuração!B:B),0)</f>
        <v>0.33333333333333331</v>
      </c>
    </row>
    <row r="2147" spans="1:71" ht="25.95" hidden="1" customHeight="1" x14ac:dyDescent="0.3">
      <c r="A2147" s="43" t="s">
        <v>134</v>
      </c>
      <c r="B2147" s="15" t="s">
        <v>150</v>
      </c>
      <c r="C2147" s="5" t="s">
        <v>216</v>
      </c>
      <c r="D2147" s="5" t="s">
        <v>103</v>
      </c>
      <c r="E2147" s="4" t="str" cm="1">
        <f t="array" ref="E2147">_xlfn.IFS(
F2147 = "A partir de Abril", "Aguardando Execução na Distribuidora",
A2147 = "CAPACITAÇÃO", "Em execução no Corporativo",
TRUE, "Em Execução na Distribuidora"
)</f>
        <v>Em Execução na Distribuidora</v>
      </c>
      <c r="F2147" s="4" t="str" cm="1">
        <f t="array" ref="F2147">_xlfn.IFS(
AG2147 &lt;&gt; "", "Jan-Dez/26",
AH2147 &lt;&gt; "", "Fev-Dez/26",
AI2147 &lt;&gt; "", "Mar-Dez/26", AJ2147 &lt;&gt; "", "Abr-Dez/26",
TRUE, "A partir de Junho"
)</f>
        <v>Abr-Dez/26</v>
      </c>
      <c r="G2147" s="15" t="s">
        <v>37</v>
      </c>
      <c r="H2147" s="7" t="s">
        <v>38</v>
      </c>
      <c r="I2147" s="28" t="s">
        <v>156</v>
      </c>
      <c r="J2147" s="8" t="str" cm="1">
        <f t="array" aca="1" ref="J2147" ca="1">_xlfn.LET(
  _xlpm.actual_value_month, INDEX(T2147:AE2147, MATCH(DATE(YEAR(TODAY()), MONTH(TODAY()), 1), $T$1:$AE$1, 0)),
  IF(_xlpm.actual_value_month &lt;&gt; "",_xlpm.actual_value_month &amp; " ações mensais", "")
)</f>
        <v/>
      </c>
      <c r="K2147" s="8" t="str" cm="1">
        <f t="array" ref="K2147">_xlfn.LET(
    _xlpm.sum_month, SUM(T2147:AE2147),
    IF(_xlpm.sum_month = 0, "", _xlpm.sum_month &amp; " atividades no ano")
)</f>
        <v/>
      </c>
      <c r="L2147" s="15" t="s">
        <v>157</v>
      </c>
      <c r="M2147" s="30">
        <v>1</v>
      </c>
      <c r="N2147" s="67" t="s">
        <v>51</v>
      </c>
      <c r="O2147" s="26" t="s">
        <v>52</v>
      </c>
      <c r="P2147" s="31" t="s">
        <v>44</v>
      </c>
      <c r="Q2147" s="31" t="s">
        <v>44</v>
      </c>
      <c r="R2147" s="32" t="s">
        <v>44</v>
      </c>
      <c r="S2147" s="32" t="s">
        <v>44</v>
      </c>
      <c r="T2147" s="22"/>
      <c r="U2147" s="22"/>
      <c r="V2147" s="22"/>
      <c r="W2147" s="22"/>
      <c r="X2147" s="22"/>
      <c r="Y2147" s="22"/>
      <c r="Z2147" s="22"/>
      <c r="AA2147" s="22"/>
      <c r="AB2147" s="22"/>
      <c r="AC2147" s="22"/>
      <c r="AD2147" s="22"/>
      <c r="AE2147" s="22"/>
      <c r="AG2147" s="71"/>
      <c r="AH2147" s="71"/>
      <c r="AI2147" s="71"/>
      <c r="AJ2147" s="146">
        <v>54</v>
      </c>
      <c r="AK2147" s="71"/>
      <c r="AL2147" s="71"/>
      <c r="AM2147" s="71"/>
      <c r="AN2147" s="71"/>
      <c r="AO2147" s="71"/>
      <c r="AP2147" s="71"/>
      <c r="AQ2147" s="71"/>
      <c r="AR2147" s="71"/>
      <c r="AS2147" s="94">
        <f t="shared" ca="1" si="2537"/>
        <v>0</v>
      </c>
      <c r="AT2147" s="95">
        <f t="shared" si="2538"/>
        <v>54</v>
      </c>
      <c r="AU2147" s="97">
        <f t="shared" si="2539"/>
        <v>54</v>
      </c>
      <c r="AW2147" s="83">
        <f t="shared" si="2540"/>
        <v>0</v>
      </c>
      <c r="AX2147" s="83">
        <f t="shared" si="2541"/>
        <v>0</v>
      </c>
      <c r="AY2147" s="83">
        <f t="shared" si="2542"/>
        <v>0</v>
      </c>
      <c r="AZ2147" s="83">
        <f t="shared" si="2543"/>
        <v>54</v>
      </c>
      <c r="BA2147" s="52"/>
      <c r="BB2147" s="52"/>
      <c r="BC2147" s="52"/>
      <c r="BD2147" s="52"/>
      <c r="BE2147" s="52"/>
      <c r="BF2147" s="52"/>
      <c r="BG2147" s="52"/>
      <c r="BH2147" s="52"/>
      <c r="BI2147" s="68" cm="1">
        <f t="array" ref="BI2147">IFERROR(INDEX(AW2147:BH2147,1,MATCH(2,1/(AW2147:BH2147&lt;&gt;""))),"")</f>
        <v>54</v>
      </c>
      <c r="BJ2147" s="68" cm="1">
        <f t="array" ref="BJ2147">IF(BM2147 = "", "",IFERROR(INDEX(AW2147:BH2147,1,MATCH(2,1/(AW2147:BH2147&lt;&gt;""),1)-1),""))</f>
        <v>0</v>
      </c>
      <c r="BK2147" s="59">
        <f t="shared" si="2544"/>
        <v>54</v>
      </c>
      <c r="BL2147" s="59" cm="1">
        <f t="array" ref="BL2147">IFERROR(SUM(AW2147:INDEX(AW2147:BH2147, MATCH(2, 1/(AW2147:BH2147&lt;&gt;""), 1) - 1))/_xlfn.XLOOKUP(F2147,Apuração!A:A,Apuração!B:B),0)</f>
        <v>0</v>
      </c>
      <c r="BM2147" s="55" cm="1">
        <f t="array" ref="BM2147">IFERROR(
   INDEX($AW$1:$BH$1,
      _xlfn.AGGREGATE(14, 6, COLUMN($AW$1:$BH$1)/(AW2147:BH2147&lt;&gt;""), 2) - COLUMN($AW$1) + 1
   ),
"")</f>
        <v>46082</v>
      </c>
      <c r="BN2147" s="55" cm="1">
        <f t="array" ref="BN2147">IFERROR(INDEX($AW$1:$BH$1,1,MATCH(2,1/(AW2147:BH2147&lt;&gt;""))),"")</f>
        <v>46113</v>
      </c>
      <c r="BO2147" s="53">
        <f ca="1">IFERROR(_xlfn.XLOOKUP(F2147,Apuração!A:A,Apuração!C:C)/_xlfn.XLOOKUP(F2147,Apuração!A:A,Apuração!B:B),0)</f>
        <v>0.22222222222222221</v>
      </c>
      <c r="BP2147" s="53">
        <f ca="1">IFERROR(_xlfn.XLOOKUP(F2147,Apuração!A:A,Apuração!D:D)/_xlfn.XLOOKUP(F2147,Apuração!A:A,Apuração!B:B),0)</f>
        <v>0.1111111111111111</v>
      </c>
      <c r="BQ2147" s="53">
        <f ca="1">IF(BK2147&gt;=BO2147,0,_xlfn.XLOOKUP(F2147,Apuração!A:A,Apuração!B:B)*(BO2147 + (1/_xlfn.XLOOKUP(F2147,Apuração!A:A,Apuração!B:B)) - BK2147))</f>
        <v>0</v>
      </c>
      <c r="BR2147" s="85">
        <f t="shared" ca="1" si="2545"/>
        <v>0</v>
      </c>
      <c r="BS2147" s="53">
        <f ca="1">IFERROR((_xlfn.XLOOKUP(F2147,Apuração!A:A,Apuração!C:C)+1)/_xlfn.XLOOKUP(F2147,Apuração!A:A,Apuração!B:B),0)</f>
        <v>0.33333333333333331</v>
      </c>
    </row>
    <row r="2148" spans="1:71" ht="25.95" hidden="1" customHeight="1" x14ac:dyDescent="0.3">
      <c r="A2148" s="43" t="s">
        <v>134</v>
      </c>
      <c r="B2148" s="15" t="s">
        <v>150</v>
      </c>
      <c r="C2148" s="5" t="s">
        <v>216</v>
      </c>
      <c r="D2148" s="5" t="s">
        <v>218</v>
      </c>
      <c r="E2148" s="4" t="str" cm="1">
        <f t="array" ref="E2148">_xlfn.IFS(
F2148 = "A partir de Abril", "Aguardando Execução na Distribuidora",
A2148 = "CAPACITAÇÃO", "Em execução no Corporativo",
TRUE, "Em Execução na Distribuidora"
)</f>
        <v>Em Execução na Distribuidora</v>
      </c>
      <c r="F2148" s="4" t="str" cm="1">
        <f t="array" ref="F2148">_xlfn.IFS(
AG2148 &lt;&gt; "", "Jan-Dez/26",
AH2148 &lt;&gt; "", "Fev-Dez/26",
AI2148 &lt;&gt; "", "Mar-Dez/26", AJ2148 &lt;&gt; "", "Abr-Dez/26",
TRUE, "A partir de Junho"
)</f>
        <v>Abr-Dez/26</v>
      </c>
      <c r="G2148" s="15" t="s">
        <v>37</v>
      </c>
      <c r="H2148" s="7" t="s">
        <v>38</v>
      </c>
      <c r="I2148" s="28" t="s">
        <v>156</v>
      </c>
      <c r="J2148" s="8" t="str" cm="1">
        <f t="array" aca="1" ref="J2148" ca="1">_xlfn.LET(
  _xlpm.actual_value_month, INDEX(T2148:AE2148, MATCH(DATE(YEAR(TODAY()), MONTH(TODAY()), 1), $T$1:$AE$1, 0)),
  IF(_xlpm.actual_value_month &lt;&gt; "",_xlpm.actual_value_month &amp; " ações mensais", "")
)</f>
        <v/>
      </c>
      <c r="K2148" s="8" t="str" cm="1">
        <f t="array" ref="K2148">_xlfn.LET(
    _xlpm.sum_month, SUM(T2148:AE2148),
    IF(_xlpm.sum_month = 0, "", _xlpm.sum_month &amp; " atividades no ano")
)</f>
        <v/>
      </c>
      <c r="L2148" s="15" t="s">
        <v>157</v>
      </c>
      <c r="M2148" s="30">
        <v>1</v>
      </c>
      <c r="N2148" s="67" t="s">
        <v>51</v>
      </c>
      <c r="O2148" s="26" t="s">
        <v>52</v>
      </c>
      <c r="P2148" s="31" t="s">
        <v>44</v>
      </c>
      <c r="Q2148" s="31" t="s">
        <v>44</v>
      </c>
      <c r="R2148" s="32" t="s">
        <v>44</v>
      </c>
      <c r="S2148" s="32" t="s">
        <v>44</v>
      </c>
      <c r="T2148" s="22"/>
      <c r="U2148" s="22"/>
      <c r="V2148" s="22"/>
      <c r="W2148" s="22"/>
      <c r="X2148" s="22"/>
      <c r="Y2148" s="22"/>
      <c r="Z2148" s="22"/>
      <c r="AA2148" s="22"/>
      <c r="AB2148" s="22"/>
      <c r="AC2148" s="22"/>
      <c r="AD2148" s="22"/>
      <c r="AE2148" s="22"/>
      <c r="AG2148" s="71"/>
      <c r="AH2148" s="71"/>
      <c r="AI2148" s="71"/>
      <c r="AJ2148" s="146">
        <v>6</v>
      </c>
      <c r="AK2148" s="71"/>
      <c r="AL2148" s="71"/>
      <c r="AM2148" s="71"/>
      <c r="AN2148" s="71"/>
      <c r="AO2148" s="71"/>
      <c r="AP2148" s="71"/>
      <c r="AQ2148" s="71"/>
      <c r="AR2148" s="71"/>
      <c r="AS2148" s="94">
        <f t="shared" ca="1" si="2537"/>
        <v>0</v>
      </c>
      <c r="AT2148" s="95">
        <f t="shared" si="2538"/>
        <v>6</v>
      </c>
      <c r="AU2148" s="97">
        <f t="shared" si="2539"/>
        <v>6</v>
      </c>
      <c r="AW2148" s="83">
        <f t="shared" si="2540"/>
        <v>0</v>
      </c>
      <c r="AX2148" s="83">
        <f t="shared" si="2541"/>
        <v>0</v>
      </c>
      <c r="AY2148" s="83">
        <f t="shared" si="2542"/>
        <v>0</v>
      </c>
      <c r="AZ2148" s="83">
        <f t="shared" si="2543"/>
        <v>6</v>
      </c>
      <c r="BA2148" s="52"/>
      <c r="BB2148" s="52"/>
      <c r="BC2148" s="52"/>
      <c r="BD2148" s="52"/>
      <c r="BE2148" s="52"/>
      <c r="BF2148" s="52"/>
      <c r="BG2148" s="52"/>
      <c r="BH2148" s="52"/>
      <c r="BI2148" s="68" cm="1">
        <f t="array" ref="BI2148">IFERROR(INDEX(AW2148:BH2148,1,MATCH(2,1/(AW2148:BH2148&lt;&gt;""))),"")</f>
        <v>6</v>
      </c>
      <c r="BJ2148" s="68" cm="1">
        <f t="array" ref="BJ2148">IF(BM2148 = "", "",IFERROR(INDEX(AW2148:BH2148,1,MATCH(2,1/(AW2148:BH2148&lt;&gt;""),1)-1),""))</f>
        <v>0</v>
      </c>
      <c r="BK2148" s="59">
        <f t="shared" si="2544"/>
        <v>6</v>
      </c>
      <c r="BL2148" s="59" cm="1">
        <f t="array" ref="BL2148">IFERROR(SUM(AW2148:INDEX(AW2148:BH2148, MATCH(2, 1/(AW2148:BH2148&lt;&gt;""), 1) - 1))/_xlfn.XLOOKUP(F2148,Apuração!A:A,Apuração!B:B),0)</f>
        <v>0</v>
      </c>
      <c r="BM2148" s="55" cm="1">
        <f t="array" ref="BM2148">IFERROR(
   INDEX($AW$1:$BH$1,
      _xlfn.AGGREGATE(14, 6, COLUMN($AW$1:$BH$1)/(AW2148:BH2148&lt;&gt;""), 2) - COLUMN($AW$1) + 1
   ),
"")</f>
        <v>46082</v>
      </c>
      <c r="BN2148" s="55" cm="1">
        <f t="array" ref="BN2148">IFERROR(INDEX($AW$1:$BH$1,1,MATCH(2,1/(AW2148:BH2148&lt;&gt;""))),"")</f>
        <v>46113</v>
      </c>
      <c r="BO2148" s="53">
        <f ca="1">IFERROR(_xlfn.XLOOKUP(F2148,Apuração!A:A,Apuração!C:C)/_xlfn.XLOOKUP(F2148,Apuração!A:A,Apuração!B:B),0)</f>
        <v>0.22222222222222221</v>
      </c>
      <c r="BP2148" s="53">
        <f ca="1">IFERROR(_xlfn.XLOOKUP(F2148,Apuração!A:A,Apuração!D:D)/_xlfn.XLOOKUP(F2148,Apuração!A:A,Apuração!B:B),0)</f>
        <v>0.1111111111111111</v>
      </c>
      <c r="BQ2148" s="53">
        <f ca="1">IF(BK2148&gt;=BO2148,0,_xlfn.XLOOKUP(F2148,Apuração!A:A,Apuração!B:B)*(BO2148 + (1/_xlfn.XLOOKUP(F2148,Apuração!A:A,Apuração!B:B)) - BK2148))</f>
        <v>0</v>
      </c>
      <c r="BR2148" s="85">
        <f t="shared" ca="1" si="2545"/>
        <v>0</v>
      </c>
      <c r="BS2148" s="53">
        <f ca="1">IFERROR((_xlfn.XLOOKUP(F2148,Apuração!A:A,Apuração!C:C)+1)/_xlfn.XLOOKUP(F2148,Apuração!A:A,Apuração!B:B),0)</f>
        <v>0.33333333333333331</v>
      </c>
    </row>
    <row r="2149" spans="1:71" ht="25.95" hidden="1" customHeight="1" x14ac:dyDescent="0.3">
      <c r="A2149" s="43" t="s">
        <v>134</v>
      </c>
      <c r="B2149" s="15" t="s">
        <v>150</v>
      </c>
      <c r="C2149" s="5" t="s">
        <v>216</v>
      </c>
      <c r="D2149" s="5" t="s">
        <v>219</v>
      </c>
      <c r="E2149" s="4" t="str" cm="1">
        <f t="array" ref="E2149">_xlfn.IFS(
F2149 = "A partir de Abril", "Aguardando Execução na Distribuidora",
A2149 = "CAPACITAÇÃO", "Em execução no Corporativo",
TRUE, "Em Execução na Distribuidora"
)</f>
        <v>Em Execução na Distribuidora</v>
      </c>
      <c r="F2149" s="4" t="str" cm="1">
        <f t="array" ref="F2149">_xlfn.IFS(
AG2149 &lt;&gt; "", "Jan-Dez/26",
AH2149 &lt;&gt; "", "Fev-Dez/26",
AI2149 &lt;&gt; "", "Mar-Dez/26", AJ2149 &lt;&gt; "", "Abr-Dez/26",
TRUE, "A partir de Junho"
)</f>
        <v>Abr-Dez/26</v>
      </c>
      <c r="G2149" s="15" t="s">
        <v>37</v>
      </c>
      <c r="H2149" s="7" t="s">
        <v>38</v>
      </c>
      <c r="I2149" s="28" t="s">
        <v>156</v>
      </c>
      <c r="J2149" s="8" t="str" cm="1">
        <f t="array" aca="1" ref="J2149" ca="1">_xlfn.LET(
  _xlpm.actual_value_month, INDEX(T2149:AE2149, MATCH(DATE(YEAR(TODAY()), MONTH(TODAY()), 1), $T$1:$AE$1, 0)),
  IF(_xlpm.actual_value_month &lt;&gt; "",_xlpm.actual_value_month &amp; " ações mensais", "")
)</f>
        <v/>
      </c>
      <c r="K2149" s="8" t="str" cm="1">
        <f t="array" ref="K2149">_xlfn.LET(
    _xlpm.sum_month, SUM(T2149:AE2149),
    IF(_xlpm.sum_month = 0, "", _xlpm.sum_month &amp; " atividades no ano")
)</f>
        <v/>
      </c>
      <c r="L2149" s="15" t="s">
        <v>157</v>
      </c>
      <c r="M2149" s="30">
        <v>1</v>
      </c>
      <c r="N2149" s="67" t="s">
        <v>51</v>
      </c>
      <c r="O2149" s="26" t="s">
        <v>52</v>
      </c>
      <c r="P2149" s="31" t="s">
        <v>44</v>
      </c>
      <c r="Q2149" s="31" t="s">
        <v>44</v>
      </c>
      <c r="R2149" s="32" t="s">
        <v>44</v>
      </c>
      <c r="S2149" s="32" t="s">
        <v>44</v>
      </c>
      <c r="T2149" s="22"/>
      <c r="U2149" s="22"/>
      <c r="V2149" s="22"/>
      <c r="W2149" s="22"/>
      <c r="X2149" s="22"/>
      <c r="Y2149" s="22"/>
      <c r="Z2149" s="22"/>
      <c r="AA2149" s="22"/>
      <c r="AB2149" s="22"/>
      <c r="AC2149" s="22"/>
      <c r="AD2149" s="22"/>
      <c r="AE2149" s="22"/>
      <c r="AG2149" s="71"/>
      <c r="AH2149" s="71"/>
      <c r="AI2149" s="71"/>
      <c r="AJ2149" s="146">
        <v>16</v>
      </c>
      <c r="AK2149" s="71"/>
      <c r="AL2149" s="71"/>
      <c r="AM2149" s="71"/>
      <c r="AN2149" s="71"/>
      <c r="AO2149" s="71"/>
      <c r="AP2149" s="71"/>
      <c r="AQ2149" s="71"/>
      <c r="AR2149" s="71"/>
      <c r="AS2149" s="94">
        <f t="shared" ca="1" si="2537"/>
        <v>0</v>
      </c>
      <c r="AT2149" s="95">
        <f t="shared" si="2538"/>
        <v>16</v>
      </c>
      <c r="AU2149" s="97">
        <f t="shared" si="2539"/>
        <v>16</v>
      </c>
      <c r="AW2149" s="83">
        <f t="shared" si="2540"/>
        <v>0</v>
      </c>
      <c r="AX2149" s="83">
        <f t="shared" si="2541"/>
        <v>0</v>
      </c>
      <c r="AY2149" s="83">
        <f t="shared" si="2542"/>
        <v>0</v>
      </c>
      <c r="AZ2149" s="83">
        <f t="shared" si="2543"/>
        <v>16</v>
      </c>
      <c r="BA2149" s="52"/>
      <c r="BB2149" s="52"/>
      <c r="BC2149" s="52"/>
      <c r="BD2149" s="52"/>
      <c r="BE2149" s="52"/>
      <c r="BF2149" s="52"/>
      <c r="BG2149" s="52"/>
      <c r="BH2149" s="52"/>
      <c r="BI2149" s="68" cm="1">
        <f t="array" ref="BI2149">IFERROR(INDEX(AW2149:BH2149,1,MATCH(2,1/(AW2149:BH2149&lt;&gt;""))),"")</f>
        <v>16</v>
      </c>
      <c r="BJ2149" s="68" cm="1">
        <f t="array" ref="BJ2149">IF(BM2149 = "", "",IFERROR(INDEX(AW2149:BH2149,1,MATCH(2,1/(AW2149:BH2149&lt;&gt;""),1)-1),""))</f>
        <v>0</v>
      </c>
      <c r="BK2149" s="59">
        <f t="shared" si="2544"/>
        <v>16</v>
      </c>
      <c r="BL2149" s="59" cm="1">
        <f t="array" ref="BL2149">IFERROR(SUM(AW2149:INDEX(AW2149:BH2149, MATCH(2, 1/(AW2149:BH2149&lt;&gt;""), 1) - 1))/_xlfn.XLOOKUP(F2149,Apuração!A:A,Apuração!B:B),0)</f>
        <v>0</v>
      </c>
      <c r="BM2149" s="55" cm="1">
        <f t="array" ref="BM2149">IFERROR(
   INDEX($AW$1:$BH$1,
      _xlfn.AGGREGATE(14, 6, COLUMN($AW$1:$BH$1)/(AW2149:BH2149&lt;&gt;""), 2) - COLUMN($AW$1) + 1
   ),
"")</f>
        <v>46082</v>
      </c>
      <c r="BN2149" s="55" cm="1">
        <f t="array" ref="BN2149">IFERROR(INDEX($AW$1:$BH$1,1,MATCH(2,1/(AW2149:BH2149&lt;&gt;""))),"")</f>
        <v>46113</v>
      </c>
      <c r="BO2149" s="53">
        <f ca="1">IFERROR(_xlfn.XLOOKUP(F2149,Apuração!A:A,Apuração!C:C)/_xlfn.XLOOKUP(F2149,Apuração!A:A,Apuração!B:B),0)</f>
        <v>0.22222222222222221</v>
      </c>
      <c r="BP2149" s="53">
        <f ca="1">IFERROR(_xlfn.XLOOKUP(F2149,Apuração!A:A,Apuração!D:D)/_xlfn.XLOOKUP(F2149,Apuração!A:A,Apuração!B:B),0)</f>
        <v>0.1111111111111111</v>
      </c>
      <c r="BQ2149" s="53">
        <f ca="1">IF(BK2149&gt;=BO2149,0,_xlfn.XLOOKUP(F2149,Apuração!A:A,Apuração!B:B)*(BO2149 + (1/_xlfn.XLOOKUP(F2149,Apuração!A:A,Apuração!B:B)) - BK2149))</f>
        <v>0</v>
      </c>
      <c r="BR2149" s="85">
        <f t="shared" ca="1" si="2545"/>
        <v>0</v>
      </c>
      <c r="BS2149" s="53">
        <f ca="1">IFERROR((_xlfn.XLOOKUP(F2149,Apuração!A:A,Apuração!C:C)+1)/_xlfn.XLOOKUP(F2149,Apuração!A:A,Apuração!B:B),0)</f>
        <v>0.33333333333333331</v>
      </c>
    </row>
    <row r="2150" spans="1:71" ht="25.95" hidden="1" customHeight="1" x14ac:dyDescent="0.3">
      <c r="A2150" s="38" t="s">
        <v>134</v>
      </c>
      <c r="B2150" s="4" t="s">
        <v>158</v>
      </c>
      <c r="C2150" s="5" t="s">
        <v>216</v>
      </c>
      <c r="D2150" s="5" t="s">
        <v>36</v>
      </c>
      <c r="E2150" s="4" t="str" cm="1">
        <f t="array" ref="E2150">_xlfn.IFS(
F2150 = "A partir de Abril", "Aguardando Execução na Distribuidora",
A2150 = "CAPACITAÇÃO", "Em execução no Corporativo",
TRUE, "Em Execução na Distribuidora"
)</f>
        <v>Em Execução na Distribuidora</v>
      </c>
      <c r="F2150" s="4" t="str" cm="1">
        <f t="array" ref="F2150">_xlfn.IFS(
AG2150 &lt;&gt; "", "Jan-Dez/26",
AH2150 &lt;&gt; "", "Fev-Dez/26",
AI2150 &lt;&gt; "", "Mar-Dez/26", AJ2150 &lt;&gt; "", "Abr-Dez/26",
TRUE, "A partir de Junho"
)</f>
        <v>Jan-Dez/26</v>
      </c>
      <c r="G2150" s="4" t="s">
        <v>37</v>
      </c>
      <c r="H2150" s="7" t="s">
        <v>54</v>
      </c>
      <c r="I2150" s="8" t="s">
        <v>159</v>
      </c>
      <c r="J2150" s="8" t="str" cm="1">
        <f t="array" aca="1" ref="J2150" ca="1">_xlfn.LET(
  _xlpm.actual_value_month, INDEX(T2150:AE2150, MATCH(DATE(YEAR(TODAY()), MONTH(TODAY()), 1), $T$1:$AE$1, 0)),
  IF(_xlpm.actual_value_month &lt;&gt; "",_xlpm.actual_value_month &amp; " colaboradores participantes mensais", "")
)</f>
        <v>1643 colaboradores participantes mensais</v>
      </c>
      <c r="K2150" s="8" t="str" cm="1">
        <f t="array" ref="K2150">_xlfn.LET(
    _xlpm.sum_month, SUM(T2150:AE2150),
    IF(_xlpm.sum_month = 0, "", _xlpm.sum_month &amp; " participações de colaboradores no ano")
)</f>
        <v>26853 participações de colaboradores no ano</v>
      </c>
      <c r="L2150" s="9" t="s">
        <v>160</v>
      </c>
      <c r="M2150" s="24" t="s">
        <v>161</v>
      </c>
      <c r="N2150" s="5" t="s">
        <v>42</v>
      </c>
      <c r="O2150" s="5" t="s">
        <v>43</v>
      </c>
      <c r="P2150" s="10" t="s">
        <v>44</v>
      </c>
      <c r="Q2150" s="10" t="s">
        <v>44</v>
      </c>
      <c r="R2150" s="11" t="s">
        <v>147</v>
      </c>
      <c r="S2150" s="11" t="s">
        <v>162</v>
      </c>
      <c r="T2150" s="22">
        <v>4085</v>
      </c>
      <c r="U2150" s="22">
        <v>3569</v>
      </c>
      <c r="V2150" s="22">
        <v>4412</v>
      </c>
      <c r="W2150" s="22">
        <v>1643</v>
      </c>
      <c r="X2150" s="22">
        <v>1643</v>
      </c>
      <c r="Y2150" s="22">
        <v>1643</v>
      </c>
      <c r="Z2150" s="22">
        <v>1643</v>
      </c>
      <c r="AA2150" s="22">
        <v>1643</v>
      </c>
      <c r="AB2150" s="22">
        <v>1643</v>
      </c>
      <c r="AC2150" s="22">
        <v>1643</v>
      </c>
      <c r="AD2150" s="22">
        <v>1643</v>
      </c>
      <c r="AE2150" s="22">
        <v>1643</v>
      </c>
      <c r="AG2150" s="71">
        <v>4085</v>
      </c>
      <c r="AH2150" s="71">
        <v>3569</v>
      </c>
      <c r="AI2150" s="71">
        <v>4412</v>
      </c>
      <c r="AJ2150" s="71">
        <v>4860</v>
      </c>
      <c r="AK2150" s="71"/>
      <c r="AL2150" s="71"/>
      <c r="AM2150" s="71"/>
      <c r="AN2150" s="71"/>
      <c r="AO2150" s="71"/>
      <c r="AP2150" s="71"/>
      <c r="AQ2150" s="71"/>
      <c r="AR2150" s="71"/>
      <c r="AS2150" s="94">
        <f ca="1">IF(MONTH(TODAY())=3,SUM(T2150:U2150),IF(MONTH(TODAY())=4,SUM(T2150:V2150),IF(MONTH(TODAY())=5,SUM(T2150:W2150),IF(MONTH(TODAY())=6,SUM(T2150:X2150),IF(MONTH(TODAY())=7,SUM(T2150:Y2150),IF(MONTH(TODAY())=8,SUM(T2150:Z2150),IF(MONTH(TODAY())=9,SUM(T2150:AA2150),IF(MONTH(TODAY())=10,SUM(T2150:AB2150),IF(MONTH(TODAY())=11,SUM(T2150:AC2150),IF(MONTH(TODAY())=12,SUM(T2150:AD2150),IF(MONTH(TODAY())=1,SUM(T2150:AE2150),T2150)))))))))))</f>
        <v>15352</v>
      </c>
      <c r="AT2150" s="95">
        <f>SUM(IF(AW2150&lt;1.15,AG2150,1.15*T2150),IF(AX2150&lt;1.15,AH2150,1.15*U2150),IF(AY2150&lt;1.15,AI2150,1.15*V2150),IF(AZ2150&lt;1.15,AJ2150,1.15*W2150),IF(BA2150&lt;1.15,AK2150,1.15*X2150),IF(BB2150&lt;1.15,AL2150,1.15*Y2150),IF(BC2150&lt;1.15,AM2150,1.15*Z2150),IF(BD2150&lt;1.15,AN2150,1.15*AA2150),IF(BE2150&lt;1.15,AO2150,1.15*AB2150),IF(BF2150&lt;1.15,AP2150,1.15*AC2150),IF(BG2150&lt;1.15,AQ2150,1.15*AD2150),IF(BH2150&lt;1.15,AR2150,1.15*AE2150))</f>
        <v>13955.45</v>
      </c>
      <c r="AU2150" s="97">
        <f>SUM(AG2150:AR2150)</f>
        <v>16926</v>
      </c>
      <c r="AW2150" s="51">
        <f>IFERROR(IF(AG2150="",0,AG2150/T2150),0)</f>
        <v>1</v>
      </c>
      <c r="AX2150" s="51">
        <f>IFERROR(IF(AH2150="",0,AH2150/U2150),0)</f>
        <v>1</v>
      </c>
      <c r="AY2150" s="51">
        <f>IFERROR(IF(AI2150="",0,AI2150/V2150),0)</f>
        <v>1</v>
      </c>
      <c r="AZ2150" s="51">
        <f>IFERROR(IF(AJ2150="",0,AJ2150/W2150),0)</f>
        <v>2.9580036518563602</v>
      </c>
      <c r="BA2150" s="51"/>
      <c r="BB2150" s="51"/>
      <c r="BC2150" s="51"/>
      <c r="BD2150" s="51"/>
      <c r="BE2150" s="51"/>
      <c r="BF2150" s="51"/>
      <c r="BG2150" s="51"/>
      <c r="BH2150" s="51"/>
      <c r="BI2150" s="65" cm="1">
        <f t="array" ref="BI2150">IFERROR(INDEX(AW2150:BH2150,1,MATCH(2,1/(AW2150:BH2150&lt;&gt;""))),"")</f>
        <v>2.9580036518563602</v>
      </c>
      <c r="BJ2150" s="68" cm="1">
        <f t="array" ref="BJ2150">IF(BM2150 = "", "",IFERROR(INDEX(AW2150:BH2150,1,MATCH(2,1/(AW2150:BH2150&lt;&gt;""),1)-1),""))</f>
        <v>1</v>
      </c>
      <c r="BK2150" s="58">
        <f>IF((IF(AW2150&gt;=115%,115%,AW2150) + IF(AX2150&gt;=115%,115%,AX2150) + IF(AY2150&gt;=115%,115%,AY2150) + (IF(AZ2150&gt;=115%,115%,AZ2150) + IF(BA2150&gt;=115%,115%,BA2150) + IF(BB2150&gt;=115%,115%,BB2150) + IF(BC2150&gt;=115%,115%,BC2150) + IF(BD2150&gt;=115%,115%,BD2150) + IF(BE2150&gt;=115%,115%,BE2150) + IF(BF2150&gt;=115%,115%,BF2150) + IF(BG2150&gt;=115%,115%,BG2150) + IF(BH2150&gt;=115%,115%,BH2150)))/_xlfn.XLOOKUP(F2150,Apuração!A:A,Apuração!B:B)&gt;=1.15,1.15,((IF(AZ2150&gt;=115%,115%,AZ2150) + IF(AX2150&gt;=115%,115%,AX2150) + IF(AY2150&gt;=115%,115%,AY2150) + (IF(AW2150&gt;=115%,115%,AW2150) + IF(BA2150&gt;=115%,115%,BA2150) + IF(BB2150&gt;=115%,115%,BB2150) + IF(BC2150&gt;=115%,115%,BC2150) + IF(BD2150&gt;=115%,115%,BD2150) + IF(BE2150&gt;=115%,115%,BE2150) + IF(BF2150&gt;=115%,115%,BF2150) + IF(BG2150&gt;=115%,115%,BG2150) + IF(BH2150&gt;=115%,115%,BH2150)))/_xlfn.XLOOKUP(F2150,Apuração!A:A,Apuração!B:B)))</f>
        <v>0.34583333333333338</v>
      </c>
      <c r="BL2150" s="58" cm="1">
        <f t="array" aca="1" ref="BL2150" ca="1">IF(SUM(IFERROR(IF(INDEX(AW2150:INDEX(AW2150:BH2150, MATCH(2, 1/(AW2150:BH2150&lt;&gt;""), 1)-1), ROW(INDIRECT("1:" &amp; MATCH(2, 1/(AW2150:BH2150&lt;&gt;""), 1)-1))) &gt;= 115%, 115%, INDEX(AW2150:INDEX(AW2150:BH2150, MATCH(2, 1/(AW2150:BH2150&lt;&gt;""), 1)-1), ROW(INDIRECT("1:" &amp; MATCH(2, 1/(AW2150:BH2150&lt;&gt;""), 1)-1)))), 0))/_xlfn.XLOOKUP(F2150,Apuração!A:A,Apuração!B:B)&gt;=1.15,1.15,SUM(IFERROR(IF(INDEX(AW2150:INDEX(AW2150:BH2150, MATCH(2, 1/(AW2150:BH2150&lt;&gt;""), 1)-1), ROW(INDIRECT("1:" &amp; MATCH(2, 1/(AW2150:BH2150&lt;&gt;""), 1)-1))) &gt;= 115%, 115%, INDEX(AW2150:INDEX(AW2150:BH2150, MATCH(2, 1/(AW2150:BH2150&lt;&gt;""), 1)-1), ROW(INDIRECT("1:" &amp; MATCH(2, 1/(AW2150:BH2150&lt;&gt;""), 1)-1)))), 0))/_xlfn.XLOOKUP(F2150,Apuração!A:A,Apuração!B:B))</f>
        <v>0.25</v>
      </c>
      <c r="BM2150" s="55" cm="1">
        <f t="array" ref="BM2150">IFERROR(
   INDEX($AW$1:$BH$1,
      _xlfn.AGGREGATE(14, 6, COLUMN($AW$1:$BH$1)/(AW2150:BH2150&lt;&gt;""), 2) - COLUMN($AW$1) + 1
   ),
"")</f>
        <v>46082</v>
      </c>
      <c r="BN2150" s="55" cm="1">
        <f t="array" ref="BN2150">IFERROR(INDEX($AW$1:$BH$1,1,MATCH(2,1/(AW2150:BH2150&lt;&gt;""))),"")</f>
        <v>46113</v>
      </c>
      <c r="BO2150" s="53">
        <f ca="1">IFERROR(_xlfn.XLOOKUP(F2150,Apuração!A:A,Apuração!C:C)/_xlfn.XLOOKUP(F2150,Apuração!A:A,Apuração!B:B),0)</f>
        <v>0.41666666666666669</v>
      </c>
      <c r="BP2150" s="53">
        <f ca="1">IFERROR(_xlfn.XLOOKUP(F2150,Apuração!A:A,Apuração!D:D)/_xlfn.XLOOKUP(F2150,Apuração!A:A,Apuração!B:B),0)</f>
        <v>0.33333333333333331</v>
      </c>
      <c r="BQ2150" s="53">
        <f ca="1">IF(BK2150&gt;=BO2150,0,_xlfn.XLOOKUP(F2150,Apuração!A:A,Apuração!B:B)*(BO2150 + (1/_xlfn.XLOOKUP(F2150,Apuração!A:A,Apuração!B:B)) - BK2150))</f>
        <v>1.8499999999999994</v>
      </c>
      <c r="BR2150" s="85">
        <f ca="1">IF(BQ2150=0,0,BQ2150*Z2150)</f>
        <v>3039.5499999999993</v>
      </c>
      <c r="BS2150" s="53">
        <f ca="1">IFERROR((_xlfn.XLOOKUP(F2150,Apuração!A:A,Apuração!C:C)+1)/_xlfn.XLOOKUP(F2150,Apuração!A:A,Apuração!B:B),0)</f>
        <v>0.5</v>
      </c>
    </row>
    <row r="2151" spans="1:71" ht="25.95" hidden="1" customHeight="1" x14ac:dyDescent="0.3">
      <c r="A2151" s="38" t="s">
        <v>134</v>
      </c>
      <c r="B2151" s="4" t="s">
        <v>158</v>
      </c>
      <c r="C2151" s="5" t="s">
        <v>216</v>
      </c>
      <c r="D2151" s="5" t="s">
        <v>217</v>
      </c>
      <c r="E2151" s="4" t="str" cm="1">
        <f t="array" ref="E2151">_xlfn.IFS(
F2151 = "A partir de Abril", "Aguardando Execução na Distribuidora",
A2151 = "CAPACITAÇÃO", "Em execução no Corporativo",
TRUE, "Em Execução na Distribuidora"
)</f>
        <v>Em Execução na Distribuidora</v>
      </c>
      <c r="F2151" s="4" t="str" cm="1">
        <f t="array" ref="F2151">_xlfn.IFS(
AG2151 &lt;&gt; "", "Jan-Dez/26",
AH2151 &lt;&gt; "", "Fev-Dez/26",
AI2151 &lt;&gt; "", "Mar-Dez/26", AJ2151 &lt;&gt; "", "Abr-Dez/26",
TRUE, "A partir de Junho"
)</f>
        <v>Abr-Dez/26</v>
      </c>
      <c r="G2151" s="4" t="s">
        <v>37</v>
      </c>
      <c r="H2151" s="7" t="s">
        <v>54</v>
      </c>
      <c r="I2151" s="8" t="s">
        <v>159</v>
      </c>
      <c r="J2151" s="8" t="str" cm="1">
        <f t="array" aca="1" ref="J2151" ca="1">_xlfn.LET(
  _xlpm.actual_value_month, INDEX(T2151:AE2151, MATCH(DATE(YEAR(TODAY()), MONTH(TODAY()), 1), $T$1:$AE$1, 0)),
  IF(_xlpm.actual_value_month &lt;&gt; "",_xlpm.actual_value_month &amp; " colaboradores participantes mensais", "")
)</f>
        <v>357 colaboradores participantes mensais</v>
      </c>
      <c r="K2151" s="8" t="str" cm="1">
        <f t="array" ref="K2151">_xlfn.LET(
    _xlpm.sum_month, SUM(T2151:AE2151),
    IF(_xlpm.sum_month = 0, "", _xlpm.sum_month &amp; " participações de colaboradores no ano")
)</f>
        <v>3213 participações de colaboradores no ano</v>
      </c>
      <c r="L2151" s="9" t="s">
        <v>160</v>
      </c>
      <c r="M2151" s="24" t="s">
        <v>161</v>
      </c>
      <c r="N2151" s="5" t="s">
        <v>42</v>
      </c>
      <c r="O2151" s="5" t="s">
        <v>43</v>
      </c>
      <c r="P2151" s="10" t="s">
        <v>44</v>
      </c>
      <c r="Q2151" s="10" t="s">
        <v>44</v>
      </c>
      <c r="R2151" s="11" t="s">
        <v>147</v>
      </c>
      <c r="S2151" s="11" t="s">
        <v>162</v>
      </c>
      <c r="T2151" s="22"/>
      <c r="U2151" s="22"/>
      <c r="V2151" s="22"/>
      <c r="W2151" s="143">
        <v>357</v>
      </c>
      <c r="X2151" s="143">
        <v>357</v>
      </c>
      <c r="Y2151" s="143">
        <v>357</v>
      </c>
      <c r="Z2151" s="143">
        <v>357</v>
      </c>
      <c r="AA2151" s="143">
        <v>357</v>
      </c>
      <c r="AB2151" s="143">
        <v>357</v>
      </c>
      <c r="AC2151" s="143">
        <v>357</v>
      </c>
      <c r="AD2151" s="143">
        <v>357</v>
      </c>
      <c r="AE2151" s="143">
        <v>357</v>
      </c>
      <c r="AG2151" s="71"/>
      <c r="AH2151" s="71"/>
      <c r="AI2151" s="71"/>
      <c r="AJ2151" s="71">
        <v>1073</v>
      </c>
      <c r="AK2151" s="71"/>
      <c r="AL2151" s="71"/>
      <c r="AM2151" s="71"/>
      <c r="AN2151" s="71"/>
      <c r="AO2151" s="71"/>
      <c r="AP2151" s="71"/>
      <c r="AQ2151" s="71"/>
      <c r="AR2151" s="71"/>
      <c r="AS2151" s="94">
        <f t="shared" ref="AS2151:AS2154" ca="1" si="2546">IF(MONTH(TODAY())=3,SUM(T2151:U2151),IF(MONTH(TODAY())=4,SUM(T2151:V2151),IF(MONTH(TODAY())=5,SUM(T2151:W2151),IF(MONTH(TODAY())=6,SUM(T2151:X2151),IF(MONTH(TODAY())=7,SUM(T2151:Y2151),IF(MONTH(TODAY())=8,SUM(T2151:Z2151),IF(MONTH(TODAY())=9,SUM(T2151:AA2151),IF(MONTH(TODAY())=10,SUM(T2151:AB2151),IF(MONTH(TODAY())=11,SUM(T2151:AC2151),IF(MONTH(TODAY())=12,SUM(T2151:AD2151),IF(MONTH(TODAY())=1,SUM(T2151:AE2151),T2151)))))))))))</f>
        <v>714</v>
      </c>
      <c r="AT2151" s="95">
        <f>SUM(IF(AW2151&lt;1.15,AG2151,1.15*T2151),IF(AX2151&lt;1.15,AH2151,1.15*U2151),IF(AY2151&lt;1.15,AI2151,1.15*V2151),IF(AZ2151&lt;1.15,AJ2151,1.15*W2151),IF(BA2151&lt;1.15,AK2151,1.15*X2151),IF(BB2151&lt;1.15,AL2151,1.15*Y2151),IF(BC2151&lt;1.15,AM2151,1.15*Z2151),IF(BD2151&lt;1.15,AN2151,1.15*AA2151),IF(BE2151&lt;1.15,AO2151,1.15*AB2151),IF(BF2151&lt;1.15,AP2151,1.15*AC2151),IF(BG2151&lt;1.15,AQ2151,1.15*AD2151),IF(BH2151&lt;1.15,AR2151,1.15*AE2151))</f>
        <v>410.54999999999995</v>
      </c>
      <c r="AU2151" s="97">
        <f t="shared" ref="AU2151:AU2154" si="2547">SUM(AG2151:AR2151)</f>
        <v>1073</v>
      </c>
      <c r="AW2151" s="51">
        <f t="shared" ref="AW2151:AW2154" si="2548">IFERROR(IF(AG2151="",0,AG2151/T2151),0)</f>
        <v>0</v>
      </c>
      <c r="AX2151" s="51">
        <f t="shared" ref="AX2151:AX2154" si="2549">IFERROR(IF(AH2151="",0,AH2151/U2151),0)</f>
        <v>0</v>
      </c>
      <c r="AY2151" s="51">
        <f t="shared" ref="AY2151:AY2154" si="2550">IFERROR(IF(AI2151="",0,AI2151/V2151),0)</f>
        <v>0</v>
      </c>
      <c r="AZ2151" s="51">
        <f>IFERROR(IF(AJ2151="",0,AJ2151/W2151),0)</f>
        <v>3.0056022408963585</v>
      </c>
      <c r="BA2151" s="51"/>
      <c r="BB2151" s="51"/>
      <c r="BC2151" s="51"/>
      <c r="BD2151" s="51"/>
      <c r="BE2151" s="51"/>
      <c r="BF2151" s="51"/>
      <c r="BG2151" s="51"/>
      <c r="BH2151" s="51"/>
      <c r="BI2151" s="65" cm="1">
        <f t="array" ref="BI2151">IFERROR(INDEX(AW2151:BH2151,1,MATCH(2,1/(AW2151:BH2151&lt;&gt;""))),"")</f>
        <v>3.0056022408963585</v>
      </c>
      <c r="BJ2151" s="68" cm="1">
        <f t="array" ref="BJ2151">IF(BM2151 = "", "",IFERROR(INDEX(AW2151:BH2151,1,MATCH(2,1/(AW2151:BH2151&lt;&gt;""),1)-1),""))</f>
        <v>0</v>
      </c>
      <c r="BK2151" s="58">
        <f>IF((IF(AW2151&gt;=115%,115%,AW2151) + IF(AX2151&gt;=115%,115%,AX2151) + IF(AY2151&gt;=115%,115%,AY2151) + (IF(AZ2151&gt;=115%,115%,AZ2151) + IF(BA2151&gt;=115%,115%,BA2151) + IF(BB2151&gt;=115%,115%,BB2151) + IF(BC2151&gt;=115%,115%,BC2151) + IF(BD2151&gt;=115%,115%,BD2151) + IF(BE2151&gt;=115%,115%,BE2151) + IF(BF2151&gt;=115%,115%,BF2151) + IF(BG2151&gt;=115%,115%,BG2151) + IF(BH2151&gt;=115%,115%,BH2151)))/_xlfn.XLOOKUP(F2151,Apuração!A:A,Apuração!B:B)&gt;=1.15,1.15,((IF(AZ2151&gt;=115%,115%,AZ2151) + IF(AX2151&gt;=115%,115%,AX2151) + IF(AY2151&gt;=115%,115%,AY2151) + (IF(AW2151&gt;=115%,115%,AW2151) + IF(BA2151&gt;=115%,115%,BA2151) + IF(BB2151&gt;=115%,115%,BB2151) + IF(BC2151&gt;=115%,115%,BC2151) + IF(BD2151&gt;=115%,115%,BD2151) + IF(BE2151&gt;=115%,115%,BE2151) + IF(BF2151&gt;=115%,115%,BF2151) + IF(BG2151&gt;=115%,115%,BG2151) + IF(BH2151&gt;=115%,115%,BH2151)))/_xlfn.XLOOKUP(F2151,Apuração!A:A,Apuração!B:B)))</f>
        <v>0.12777777777777777</v>
      </c>
      <c r="BL2151" s="58" cm="1">
        <f t="array" aca="1" ref="BL2151" ca="1">IF(SUM(IFERROR(IF(INDEX(AW2151:INDEX(AW2151:BH2151, MATCH(2, 1/(AW2151:BH2151&lt;&gt;""), 1)-1), ROW(INDIRECT("1:" &amp; MATCH(2, 1/(AW2151:BH2151&lt;&gt;""), 1)-1))) &gt;= 115%, 115%, INDEX(AW2151:INDEX(AW2151:BH2151, MATCH(2, 1/(AW2151:BH2151&lt;&gt;""), 1)-1), ROW(INDIRECT("1:" &amp; MATCH(2, 1/(AW2151:BH2151&lt;&gt;""), 1)-1)))), 0))/_xlfn.XLOOKUP(F2151,Apuração!A:A,Apuração!B:B)&gt;=1.15,1.15,SUM(IFERROR(IF(INDEX(AW2151:INDEX(AW2151:BH2151, MATCH(2, 1/(AW2151:BH2151&lt;&gt;""), 1)-1), ROW(INDIRECT("1:" &amp; MATCH(2, 1/(AW2151:BH2151&lt;&gt;""), 1)-1))) &gt;= 115%, 115%, INDEX(AW2151:INDEX(AW2151:BH2151, MATCH(2, 1/(AW2151:BH2151&lt;&gt;""), 1)-1), ROW(INDIRECT("1:" &amp; MATCH(2, 1/(AW2151:BH2151&lt;&gt;""), 1)-1)))), 0))/_xlfn.XLOOKUP(F2151,Apuração!A:A,Apuração!B:B))</f>
        <v>0</v>
      </c>
      <c r="BM2151" s="55" cm="1">
        <f t="array" ref="BM2151">IFERROR(
   INDEX($AW$1:$BH$1,
      _xlfn.AGGREGATE(14, 6, COLUMN($AW$1:$BH$1)/(AW2151:BH2151&lt;&gt;""), 2) - COLUMN($AW$1) + 1
   ),
"")</f>
        <v>46082</v>
      </c>
      <c r="BN2151" s="55" cm="1">
        <f t="array" ref="BN2151">IFERROR(INDEX($AW$1:$BH$1,1,MATCH(2,1/(AW2151:BH2151&lt;&gt;""))),"")</f>
        <v>46113</v>
      </c>
      <c r="BO2151" s="53">
        <f ca="1">IFERROR(_xlfn.XLOOKUP(F2151,Apuração!A:A,Apuração!C:C)/_xlfn.XLOOKUP(F2151,Apuração!A:A,Apuração!B:B),0)</f>
        <v>0.22222222222222221</v>
      </c>
      <c r="BP2151" s="53">
        <f ca="1">IFERROR(_xlfn.XLOOKUP(F2151,Apuração!A:A,Apuração!D:D)/_xlfn.XLOOKUP(F2151,Apuração!A:A,Apuração!B:B),0)</f>
        <v>0.1111111111111111</v>
      </c>
      <c r="BQ2151" s="53">
        <f ca="1">IF(BK2151&gt;=BO2151,0,_xlfn.XLOOKUP(F2151,Apuração!A:A,Apuração!B:B)*(BO2151 + (1/_xlfn.XLOOKUP(F2151,Apuração!A:A,Apuração!B:B)) - BK2151))</f>
        <v>1.8499999999999999</v>
      </c>
      <c r="BR2151" s="85">
        <f t="shared" ref="BR2151:BR2154" ca="1" si="2551">IF(BQ2151=0,0,BQ2151*Z2151)</f>
        <v>660.44999999999993</v>
      </c>
      <c r="BS2151" s="53">
        <f ca="1">IFERROR((_xlfn.XLOOKUP(F2151,Apuração!A:A,Apuração!C:C)+1)/_xlfn.XLOOKUP(F2151,Apuração!A:A,Apuração!B:B),0)</f>
        <v>0.33333333333333331</v>
      </c>
    </row>
    <row r="2152" spans="1:71" ht="25.95" hidden="1" customHeight="1" x14ac:dyDescent="0.3">
      <c r="A2152" s="38" t="s">
        <v>134</v>
      </c>
      <c r="B2152" s="4" t="s">
        <v>158</v>
      </c>
      <c r="C2152" s="5" t="s">
        <v>216</v>
      </c>
      <c r="D2152" s="5" t="s">
        <v>103</v>
      </c>
      <c r="E2152" s="4" t="str" cm="1">
        <f t="array" ref="E2152">_xlfn.IFS(
F2152 = "A partir de Abril", "Aguardando Execução na Distribuidora",
A2152 = "CAPACITAÇÃO", "Em execução no Corporativo",
TRUE, "Em Execução na Distribuidora"
)</f>
        <v>Em Execução na Distribuidora</v>
      </c>
      <c r="F2152" s="4" t="str" cm="1">
        <f t="array" ref="F2152">_xlfn.IFS(
AG2152 &lt;&gt; "", "Jan-Dez/26",
AH2152 &lt;&gt; "", "Fev-Dez/26",
AI2152 &lt;&gt; "", "Mar-Dez/26", AJ2152 &lt;&gt; "", "Abr-Dez/26",
TRUE, "A partir de Junho"
)</f>
        <v>Abr-Dez/26</v>
      </c>
      <c r="G2152" s="4" t="s">
        <v>37</v>
      </c>
      <c r="H2152" s="7" t="s">
        <v>54</v>
      </c>
      <c r="I2152" s="8" t="s">
        <v>159</v>
      </c>
      <c r="J2152" s="8" t="str" cm="1">
        <f t="array" aca="1" ref="J2152" ca="1">_xlfn.LET(
  _xlpm.actual_value_month, INDEX(T2152:AE2152, MATCH(DATE(YEAR(TODAY()), MONTH(TODAY()), 1), $T$1:$AE$1, 0)),
  IF(_xlpm.actual_value_month &lt;&gt; "",_xlpm.actual_value_month &amp; " colaboradores participantes mensais", "")
)</f>
        <v>318 colaboradores participantes mensais</v>
      </c>
      <c r="K2152" s="8" t="str" cm="1">
        <f t="array" ref="K2152">_xlfn.LET(
    _xlpm.sum_month, SUM(T2152:AE2152),
    IF(_xlpm.sum_month = 0, "", _xlpm.sum_month &amp; " participações de colaboradores no ano")
)</f>
        <v>2862 participações de colaboradores no ano</v>
      </c>
      <c r="L2152" s="9" t="s">
        <v>160</v>
      </c>
      <c r="M2152" s="24" t="s">
        <v>161</v>
      </c>
      <c r="N2152" s="5" t="s">
        <v>42</v>
      </c>
      <c r="O2152" s="5" t="s">
        <v>43</v>
      </c>
      <c r="P2152" s="10" t="s">
        <v>44</v>
      </c>
      <c r="Q2152" s="10" t="s">
        <v>44</v>
      </c>
      <c r="R2152" s="11" t="s">
        <v>147</v>
      </c>
      <c r="S2152" s="11" t="s">
        <v>162</v>
      </c>
      <c r="T2152" s="22"/>
      <c r="U2152" s="22"/>
      <c r="V2152" s="22"/>
      <c r="W2152" s="143">
        <v>318</v>
      </c>
      <c r="X2152" s="143">
        <v>318</v>
      </c>
      <c r="Y2152" s="143">
        <v>318</v>
      </c>
      <c r="Z2152" s="143">
        <v>318</v>
      </c>
      <c r="AA2152" s="143">
        <v>318</v>
      </c>
      <c r="AB2152" s="143">
        <v>318</v>
      </c>
      <c r="AC2152" s="143">
        <v>318</v>
      </c>
      <c r="AD2152" s="143">
        <v>318</v>
      </c>
      <c r="AE2152" s="143">
        <v>318</v>
      </c>
      <c r="AG2152" s="71"/>
      <c r="AH2152" s="71"/>
      <c r="AI2152" s="71"/>
      <c r="AJ2152" s="71">
        <v>1793</v>
      </c>
      <c r="AK2152" s="71"/>
      <c r="AL2152" s="71"/>
      <c r="AM2152" s="71"/>
      <c r="AN2152" s="71"/>
      <c r="AO2152" s="71"/>
      <c r="AP2152" s="71"/>
      <c r="AQ2152" s="71"/>
      <c r="AR2152" s="71"/>
      <c r="AS2152" s="94">
        <f t="shared" ca="1" si="2546"/>
        <v>636</v>
      </c>
      <c r="AT2152" s="95">
        <f>SUM(IF(AW2152&lt;1.15,AG2152,1.15*T2152),IF(AX2152&lt;1.15,AH2152,1.15*U2152),IF(AY2152&lt;1.15,AI2152,1.15*V2152),IF(AZ2152&lt;1.15,AJ2152,1.15*W2152),IF(BA2152&lt;1.15,AK2152,1.15*X2152),IF(BB2152&lt;1.15,AL2152,1.15*Y2152),IF(BC2152&lt;1.15,AM2152,1.15*Z2152),IF(BD2152&lt;1.15,AN2152,1.15*AA2152),IF(BE2152&lt;1.15,AO2152,1.15*AB2152),IF(BF2152&lt;1.15,AP2152,1.15*AC2152),IF(BG2152&lt;1.15,AQ2152,1.15*AD2152),IF(BH2152&lt;1.15,AR2152,1.15*AE2152))</f>
        <v>365.7</v>
      </c>
      <c r="AU2152" s="97">
        <f t="shared" si="2547"/>
        <v>1793</v>
      </c>
      <c r="AW2152" s="51">
        <f t="shared" si="2548"/>
        <v>0</v>
      </c>
      <c r="AX2152" s="51">
        <f t="shared" si="2549"/>
        <v>0</v>
      </c>
      <c r="AY2152" s="51">
        <f t="shared" si="2550"/>
        <v>0</v>
      </c>
      <c r="AZ2152" s="51">
        <f>IFERROR(IF(AJ2152="",0,AJ2152/W2152),0)</f>
        <v>5.6383647798742142</v>
      </c>
      <c r="BA2152" s="51"/>
      <c r="BB2152" s="51"/>
      <c r="BC2152" s="51"/>
      <c r="BD2152" s="51"/>
      <c r="BE2152" s="51"/>
      <c r="BF2152" s="51"/>
      <c r="BG2152" s="51"/>
      <c r="BH2152" s="51"/>
      <c r="BI2152" s="65" cm="1">
        <f t="array" ref="BI2152">IFERROR(INDEX(AW2152:BH2152,1,MATCH(2,1/(AW2152:BH2152&lt;&gt;""))),"")</f>
        <v>5.6383647798742142</v>
      </c>
      <c r="BJ2152" s="68" cm="1">
        <f t="array" ref="BJ2152">IF(BM2152 = "", "",IFERROR(INDEX(AW2152:BH2152,1,MATCH(2,1/(AW2152:BH2152&lt;&gt;""),1)-1),""))</f>
        <v>0</v>
      </c>
      <c r="BK2152" s="58">
        <f>IF((IF(AW2152&gt;=115%,115%,AW2152) + IF(AX2152&gt;=115%,115%,AX2152) + IF(AY2152&gt;=115%,115%,AY2152) + (IF(AZ2152&gt;=115%,115%,AZ2152) + IF(BA2152&gt;=115%,115%,BA2152) + IF(BB2152&gt;=115%,115%,BB2152) + IF(BC2152&gt;=115%,115%,BC2152) + IF(BD2152&gt;=115%,115%,BD2152) + IF(BE2152&gt;=115%,115%,BE2152) + IF(BF2152&gt;=115%,115%,BF2152) + IF(BG2152&gt;=115%,115%,BG2152) + IF(BH2152&gt;=115%,115%,BH2152)))/_xlfn.XLOOKUP(F2152,Apuração!A:A,Apuração!B:B)&gt;=1.15,1.15,((IF(AZ2152&gt;=115%,115%,AZ2152) + IF(AX2152&gt;=115%,115%,AX2152) + IF(AY2152&gt;=115%,115%,AY2152) + (IF(AW2152&gt;=115%,115%,AW2152) + IF(BA2152&gt;=115%,115%,BA2152) + IF(BB2152&gt;=115%,115%,BB2152) + IF(BC2152&gt;=115%,115%,BC2152) + IF(BD2152&gt;=115%,115%,BD2152) + IF(BE2152&gt;=115%,115%,BE2152) + IF(BF2152&gt;=115%,115%,BF2152) + IF(BG2152&gt;=115%,115%,BG2152) + IF(BH2152&gt;=115%,115%,BH2152)))/_xlfn.XLOOKUP(F2152,Apuração!A:A,Apuração!B:B)))</f>
        <v>0.12777777777777777</v>
      </c>
      <c r="BL2152" s="58" cm="1">
        <f t="array" aca="1" ref="BL2152" ca="1">IF(SUM(IFERROR(IF(INDEX(AW2152:INDEX(AW2152:BH2152, MATCH(2, 1/(AW2152:BH2152&lt;&gt;""), 1)-1), ROW(INDIRECT("1:" &amp; MATCH(2, 1/(AW2152:BH2152&lt;&gt;""), 1)-1))) &gt;= 115%, 115%, INDEX(AW2152:INDEX(AW2152:BH2152, MATCH(2, 1/(AW2152:BH2152&lt;&gt;""), 1)-1), ROW(INDIRECT("1:" &amp; MATCH(2, 1/(AW2152:BH2152&lt;&gt;""), 1)-1)))), 0))/_xlfn.XLOOKUP(F2152,Apuração!A:A,Apuração!B:B)&gt;=1.15,1.15,SUM(IFERROR(IF(INDEX(AW2152:INDEX(AW2152:BH2152, MATCH(2, 1/(AW2152:BH2152&lt;&gt;""), 1)-1), ROW(INDIRECT("1:" &amp; MATCH(2, 1/(AW2152:BH2152&lt;&gt;""), 1)-1))) &gt;= 115%, 115%, INDEX(AW2152:INDEX(AW2152:BH2152, MATCH(2, 1/(AW2152:BH2152&lt;&gt;""), 1)-1), ROW(INDIRECT("1:" &amp; MATCH(2, 1/(AW2152:BH2152&lt;&gt;""), 1)-1)))), 0))/_xlfn.XLOOKUP(F2152,Apuração!A:A,Apuração!B:B))</f>
        <v>0</v>
      </c>
      <c r="BM2152" s="55" cm="1">
        <f t="array" ref="BM2152">IFERROR(
   INDEX($AW$1:$BH$1,
      _xlfn.AGGREGATE(14, 6, COLUMN($AW$1:$BH$1)/(AW2152:BH2152&lt;&gt;""), 2) - COLUMN($AW$1) + 1
   ),
"")</f>
        <v>46082</v>
      </c>
      <c r="BN2152" s="55" cm="1">
        <f t="array" ref="BN2152">IFERROR(INDEX($AW$1:$BH$1,1,MATCH(2,1/(AW2152:BH2152&lt;&gt;""))),"")</f>
        <v>46113</v>
      </c>
      <c r="BO2152" s="53">
        <f ca="1">IFERROR(_xlfn.XLOOKUP(F2152,Apuração!A:A,Apuração!C:C)/_xlfn.XLOOKUP(F2152,Apuração!A:A,Apuração!B:B),0)</f>
        <v>0.22222222222222221</v>
      </c>
      <c r="BP2152" s="53">
        <f ca="1">IFERROR(_xlfn.XLOOKUP(F2152,Apuração!A:A,Apuração!D:D)/_xlfn.XLOOKUP(F2152,Apuração!A:A,Apuração!B:B),0)</f>
        <v>0.1111111111111111</v>
      </c>
      <c r="BQ2152" s="53">
        <f ca="1">IF(BK2152&gt;=BO2152,0,_xlfn.XLOOKUP(F2152,Apuração!A:A,Apuração!B:B)*(BO2152 + (1/_xlfn.XLOOKUP(F2152,Apuração!A:A,Apuração!B:B)) - BK2152))</f>
        <v>1.8499999999999999</v>
      </c>
      <c r="BR2152" s="85">
        <f t="shared" ca="1" si="2551"/>
        <v>588.29999999999995</v>
      </c>
      <c r="BS2152" s="53">
        <f ca="1">IFERROR((_xlfn.XLOOKUP(F2152,Apuração!A:A,Apuração!C:C)+1)/_xlfn.XLOOKUP(F2152,Apuração!A:A,Apuração!B:B),0)</f>
        <v>0.33333333333333331</v>
      </c>
    </row>
    <row r="2153" spans="1:71" ht="25.95" hidden="1" customHeight="1" x14ac:dyDescent="0.3">
      <c r="A2153" s="38" t="s">
        <v>134</v>
      </c>
      <c r="B2153" s="4" t="s">
        <v>158</v>
      </c>
      <c r="C2153" s="5" t="s">
        <v>216</v>
      </c>
      <c r="D2153" s="5" t="s">
        <v>218</v>
      </c>
      <c r="E2153" s="4" t="str" cm="1">
        <f t="array" ref="E2153">_xlfn.IFS(
F2153 = "A partir de Abril", "Aguardando Execução na Distribuidora",
A2153 = "CAPACITAÇÃO", "Em execução no Corporativo",
TRUE, "Em Execução na Distribuidora"
)</f>
        <v>Em Execução na Distribuidora</v>
      </c>
      <c r="F2153" s="4" t="str" cm="1">
        <f t="array" ref="F2153">_xlfn.IFS(
AG2153 &lt;&gt; "", "Jan-Dez/26",
AH2153 &lt;&gt; "", "Fev-Dez/26",
AI2153 &lt;&gt; "", "Mar-Dez/26", AJ2153 &lt;&gt; "", "Abr-Dez/26",
TRUE, "A partir de Junho"
)</f>
        <v>Abr-Dez/26</v>
      </c>
      <c r="G2153" s="4" t="s">
        <v>37</v>
      </c>
      <c r="H2153" s="7" t="s">
        <v>54</v>
      </c>
      <c r="I2153" s="8" t="s">
        <v>159</v>
      </c>
      <c r="J2153" s="8" t="str" cm="1">
        <f t="array" aca="1" ref="J2153" ca="1">_xlfn.LET(
  _xlpm.actual_value_month, INDEX(T2153:AE2153, MATCH(DATE(YEAR(TODAY()), MONTH(TODAY()), 1), $T$1:$AE$1, 0)),
  IF(_xlpm.actual_value_month &lt;&gt; "",_xlpm.actual_value_month &amp; " colaboradores participantes mensais", "")
)</f>
        <v>682 colaboradores participantes mensais</v>
      </c>
      <c r="K2153" s="8" t="str" cm="1">
        <f t="array" ref="K2153">_xlfn.LET(
    _xlpm.sum_month, SUM(T2153:AE2153),
    IF(_xlpm.sum_month = 0, "", _xlpm.sum_month &amp; " participações de colaboradores no ano")
)</f>
        <v>6138 participações de colaboradores no ano</v>
      </c>
      <c r="L2153" s="9" t="s">
        <v>160</v>
      </c>
      <c r="M2153" s="24" t="s">
        <v>161</v>
      </c>
      <c r="N2153" s="5" t="s">
        <v>42</v>
      </c>
      <c r="O2153" s="5" t="s">
        <v>43</v>
      </c>
      <c r="P2153" s="10" t="s">
        <v>44</v>
      </c>
      <c r="Q2153" s="10" t="s">
        <v>44</v>
      </c>
      <c r="R2153" s="11" t="s">
        <v>147</v>
      </c>
      <c r="S2153" s="11" t="s">
        <v>162</v>
      </c>
      <c r="T2153" s="22"/>
      <c r="U2153" s="22"/>
      <c r="V2153" s="22"/>
      <c r="W2153" s="143">
        <v>682</v>
      </c>
      <c r="X2153" s="143">
        <v>682</v>
      </c>
      <c r="Y2153" s="143">
        <v>682</v>
      </c>
      <c r="Z2153" s="143">
        <v>682</v>
      </c>
      <c r="AA2153" s="143">
        <v>682</v>
      </c>
      <c r="AB2153" s="143">
        <v>682</v>
      </c>
      <c r="AC2153" s="143">
        <v>682</v>
      </c>
      <c r="AD2153" s="143">
        <v>682</v>
      </c>
      <c r="AE2153" s="143">
        <v>682</v>
      </c>
      <c r="AG2153" s="71"/>
      <c r="AH2153" s="71"/>
      <c r="AI2153" s="71"/>
      <c r="AJ2153" s="71">
        <v>1143</v>
      </c>
      <c r="AK2153" s="71"/>
      <c r="AL2153" s="71"/>
      <c r="AM2153" s="71"/>
      <c r="AN2153" s="71"/>
      <c r="AO2153" s="71"/>
      <c r="AP2153" s="71"/>
      <c r="AQ2153" s="71"/>
      <c r="AR2153" s="71"/>
      <c r="AS2153" s="94">
        <f t="shared" ca="1" si="2546"/>
        <v>1364</v>
      </c>
      <c r="AT2153" s="95">
        <f t="shared" ref="AT2153:AT2154" si="2552">SUM(IF(AW2153&lt;1.15,AG2153,1.15*T2153),IF(AX2153&lt;1.15,AH2153,1.15*U2153),IF(AY2153&lt;1.15,AI2153,1.15*V2153),IF(AZ2153&lt;1.15,AJ2153,1.15*W2153),IF(BA2153&lt;1.15,AK2153,1.15*X2153),IF(BB2153&lt;1.15,AL2153,1.15*Y2153),IF(BC2153&lt;1.15,AM2153,1.15*Z2153),IF(BD2153&lt;1.15,AN2153,1.15*AA2153),IF(BE2153&lt;1.15,AO2153,1.15*AB2153),IF(BF2153&lt;1.15,AP2153,1.15*AC2153),IF(BG2153&lt;1.15,AQ2153,1.15*AD2153),IF(BH2153&lt;1.15,AR2153,1.15*AE2153))</f>
        <v>784.3</v>
      </c>
      <c r="AU2153" s="97">
        <f t="shared" si="2547"/>
        <v>1143</v>
      </c>
      <c r="AW2153" s="51">
        <f t="shared" si="2548"/>
        <v>0</v>
      </c>
      <c r="AX2153" s="51">
        <f t="shared" si="2549"/>
        <v>0</v>
      </c>
      <c r="AY2153" s="51">
        <f t="shared" si="2550"/>
        <v>0</v>
      </c>
      <c r="AZ2153" s="51">
        <f t="shared" ref="AZ2153:AZ2154" si="2553">IFERROR(IF(AJ2153="",0,AJ2153/W2153),0)</f>
        <v>1.6759530791788857</v>
      </c>
      <c r="BA2153" s="51"/>
      <c r="BB2153" s="51"/>
      <c r="BC2153" s="51"/>
      <c r="BD2153" s="51"/>
      <c r="BE2153" s="51"/>
      <c r="BF2153" s="51"/>
      <c r="BG2153" s="51"/>
      <c r="BH2153" s="51"/>
      <c r="BI2153" s="65" cm="1">
        <f t="array" ref="BI2153">IFERROR(INDEX(AW2153:BH2153,1,MATCH(2,1/(AW2153:BH2153&lt;&gt;""))),"")</f>
        <v>1.6759530791788857</v>
      </c>
      <c r="BJ2153" s="68" cm="1">
        <f t="array" ref="BJ2153">IF(BM2153 = "", "",IFERROR(INDEX(AW2153:BH2153,1,MATCH(2,1/(AW2153:BH2153&lt;&gt;""),1)-1),""))</f>
        <v>0</v>
      </c>
      <c r="BK2153" s="58">
        <f>IF((IF(AW2153&gt;=115%,115%,AW2153) + IF(AX2153&gt;=115%,115%,AX2153) + IF(AY2153&gt;=115%,115%,AY2153) + (IF(AZ2153&gt;=115%,115%,AZ2153) + IF(BA2153&gt;=115%,115%,BA2153) + IF(BB2153&gt;=115%,115%,BB2153) + IF(BC2153&gt;=115%,115%,BC2153) + IF(BD2153&gt;=115%,115%,BD2153) + IF(BE2153&gt;=115%,115%,BE2153) + IF(BF2153&gt;=115%,115%,BF2153) + IF(BG2153&gt;=115%,115%,BG2153) + IF(BH2153&gt;=115%,115%,BH2153)))/_xlfn.XLOOKUP(F2153,Apuração!A:A,Apuração!B:B)&gt;=1.15,1.15,((IF(AZ2153&gt;=115%,115%,AZ2153) + IF(AX2153&gt;=115%,115%,AX2153) + IF(AY2153&gt;=115%,115%,AY2153) + (IF(AW2153&gt;=115%,115%,AW2153) + IF(BA2153&gt;=115%,115%,BA2153) + IF(BB2153&gt;=115%,115%,BB2153) + IF(BC2153&gt;=115%,115%,BC2153) + IF(BD2153&gt;=115%,115%,BD2153) + IF(BE2153&gt;=115%,115%,BE2153) + IF(BF2153&gt;=115%,115%,BF2153) + IF(BG2153&gt;=115%,115%,BG2153) + IF(BH2153&gt;=115%,115%,BH2153)))/_xlfn.XLOOKUP(F2153,Apuração!A:A,Apuração!B:B)))</f>
        <v>0.12777777777777777</v>
      </c>
      <c r="BL2153" s="58" cm="1">
        <f t="array" aca="1" ref="BL2153" ca="1">IF(SUM(IFERROR(IF(INDEX(AW2153:INDEX(AW2153:BH2153, MATCH(2, 1/(AW2153:BH2153&lt;&gt;""), 1)-1), ROW(INDIRECT("1:" &amp; MATCH(2, 1/(AW2153:BH2153&lt;&gt;""), 1)-1))) &gt;= 115%, 115%, INDEX(AW2153:INDEX(AW2153:BH2153, MATCH(2, 1/(AW2153:BH2153&lt;&gt;""), 1)-1), ROW(INDIRECT("1:" &amp; MATCH(2, 1/(AW2153:BH2153&lt;&gt;""), 1)-1)))), 0))/_xlfn.XLOOKUP(F2153,Apuração!A:A,Apuração!B:B)&gt;=1.15,1.15,SUM(IFERROR(IF(INDEX(AW2153:INDEX(AW2153:BH2153, MATCH(2, 1/(AW2153:BH2153&lt;&gt;""), 1)-1), ROW(INDIRECT("1:" &amp; MATCH(2, 1/(AW2153:BH2153&lt;&gt;""), 1)-1))) &gt;= 115%, 115%, INDEX(AW2153:INDEX(AW2153:BH2153, MATCH(2, 1/(AW2153:BH2153&lt;&gt;""), 1)-1), ROW(INDIRECT("1:" &amp; MATCH(2, 1/(AW2153:BH2153&lt;&gt;""), 1)-1)))), 0))/_xlfn.XLOOKUP(F2153,Apuração!A:A,Apuração!B:B))</f>
        <v>0</v>
      </c>
      <c r="BM2153" s="55" cm="1">
        <f t="array" ref="BM2153">IFERROR(
   INDEX($AW$1:$BH$1,
      _xlfn.AGGREGATE(14, 6, COLUMN($AW$1:$BH$1)/(AW2153:BH2153&lt;&gt;""), 2) - COLUMN($AW$1) + 1
   ),
"")</f>
        <v>46082</v>
      </c>
      <c r="BN2153" s="55" cm="1">
        <f t="array" ref="BN2153">IFERROR(INDEX($AW$1:$BH$1,1,MATCH(2,1/(AW2153:BH2153&lt;&gt;""))),"")</f>
        <v>46113</v>
      </c>
      <c r="BO2153" s="53">
        <f ca="1">IFERROR(_xlfn.XLOOKUP(F2153,Apuração!A:A,Apuração!C:C)/_xlfn.XLOOKUP(F2153,Apuração!A:A,Apuração!B:B),0)</f>
        <v>0.22222222222222221</v>
      </c>
      <c r="BP2153" s="53">
        <f ca="1">IFERROR(_xlfn.XLOOKUP(F2153,Apuração!A:A,Apuração!D:D)/_xlfn.XLOOKUP(F2153,Apuração!A:A,Apuração!B:B),0)</f>
        <v>0.1111111111111111</v>
      </c>
      <c r="BQ2153" s="53">
        <f ca="1">IF(BK2153&gt;=BO2153,0,_xlfn.XLOOKUP(F2153,Apuração!A:A,Apuração!B:B)*(BO2153 + (1/_xlfn.XLOOKUP(F2153,Apuração!A:A,Apuração!B:B)) - BK2153))</f>
        <v>1.8499999999999999</v>
      </c>
      <c r="BR2153" s="85">
        <f t="shared" ca="1" si="2551"/>
        <v>1261.6999999999998</v>
      </c>
      <c r="BS2153" s="53">
        <f ca="1">IFERROR((_xlfn.XLOOKUP(F2153,Apuração!A:A,Apuração!C:C)+1)/_xlfn.XLOOKUP(F2153,Apuração!A:A,Apuração!B:B),0)</f>
        <v>0.33333333333333331</v>
      </c>
    </row>
    <row r="2154" spans="1:71" ht="25.95" hidden="1" customHeight="1" x14ac:dyDescent="0.3">
      <c r="A2154" s="38" t="s">
        <v>134</v>
      </c>
      <c r="B2154" s="4" t="s">
        <v>158</v>
      </c>
      <c r="C2154" s="5" t="s">
        <v>216</v>
      </c>
      <c r="D2154" s="5" t="s">
        <v>219</v>
      </c>
      <c r="E2154" s="4" t="str" cm="1">
        <f t="array" ref="E2154">_xlfn.IFS(
F2154 = "A partir de Abril", "Aguardando Execução na Distribuidora",
A2154 = "CAPACITAÇÃO", "Em execução no Corporativo",
TRUE, "Em Execução na Distribuidora"
)</f>
        <v>Em Execução na Distribuidora</v>
      </c>
      <c r="F2154" s="4" t="str" cm="1">
        <f t="array" ref="F2154">_xlfn.IFS(
AG2154 &lt;&gt; "", "Jan-Dez/26",
AH2154 &lt;&gt; "", "Fev-Dez/26",
AI2154 &lt;&gt; "", "Mar-Dez/26", AJ2154 &lt;&gt; "", "Abr-Dez/26",
TRUE, "A partir de Junho"
)</f>
        <v>Abr-Dez/26</v>
      </c>
      <c r="G2154" s="4" t="s">
        <v>37</v>
      </c>
      <c r="H2154" s="7" t="s">
        <v>54</v>
      </c>
      <c r="I2154" s="8" t="s">
        <v>159</v>
      </c>
      <c r="J2154" s="8" t="str" cm="1">
        <f t="array" aca="1" ref="J2154" ca="1">_xlfn.LET(
  _xlpm.actual_value_month, INDEX(T2154:AE2154, MATCH(DATE(YEAR(TODAY()), MONTH(TODAY()), 1), $T$1:$AE$1, 0)),
  IF(_xlpm.actual_value_month &lt;&gt; "",_xlpm.actual_value_month &amp; " colaboradores participantes mensais", "")
)</f>
        <v>286 colaboradores participantes mensais</v>
      </c>
      <c r="K2154" s="8" t="str" cm="1">
        <f t="array" ref="K2154">_xlfn.LET(
    _xlpm.sum_month, SUM(T2154:AE2154),
    IF(_xlpm.sum_month = 0, "", _xlpm.sum_month &amp; " participações de colaboradores no ano")
)</f>
        <v>2574 participações de colaboradores no ano</v>
      </c>
      <c r="L2154" s="9" t="s">
        <v>160</v>
      </c>
      <c r="M2154" s="24" t="s">
        <v>161</v>
      </c>
      <c r="N2154" s="5" t="s">
        <v>42</v>
      </c>
      <c r="O2154" s="5" t="s">
        <v>43</v>
      </c>
      <c r="P2154" s="10" t="s">
        <v>44</v>
      </c>
      <c r="Q2154" s="10" t="s">
        <v>44</v>
      </c>
      <c r="R2154" s="11" t="s">
        <v>147</v>
      </c>
      <c r="S2154" s="11" t="s">
        <v>162</v>
      </c>
      <c r="T2154" s="22"/>
      <c r="U2154" s="22"/>
      <c r="V2154" s="22"/>
      <c r="W2154" s="143">
        <v>286</v>
      </c>
      <c r="X2154" s="143">
        <v>286</v>
      </c>
      <c r="Y2154" s="143">
        <v>286</v>
      </c>
      <c r="Z2154" s="143">
        <v>286</v>
      </c>
      <c r="AA2154" s="143">
        <v>286</v>
      </c>
      <c r="AB2154" s="143">
        <v>286</v>
      </c>
      <c r="AC2154" s="143">
        <v>286</v>
      </c>
      <c r="AD2154" s="143">
        <v>286</v>
      </c>
      <c r="AE2154" s="143">
        <v>286</v>
      </c>
      <c r="AG2154" s="71"/>
      <c r="AH2154" s="71"/>
      <c r="AI2154" s="71"/>
      <c r="AJ2154" s="71">
        <v>851</v>
      </c>
      <c r="AK2154" s="71"/>
      <c r="AL2154" s="71"/>
      <c r="AM2154" s="71"/>
      <c r="AN2154" s="71"/>
      <c r="AO2154" s="71"/>
      <c r="AP2154" s="71"/>
      <c r="AQ2154" s="71"/>
      <c r="AR2154" s="71"/>
      <c r="AS2154" s="94">
        <f t="shared" ca="1" si="2546"/>
        <v>572</v>
      </c>
      <c r="AT2154" s="95">
        <f t="shared" si="2552"/>
        <v>328.9</v>
      </c>
      <c r="AU2154" s="97">
        <f t="shared" si="2547"/>
        <v>851</v>
      </c>
      <c r="AW2154" s="51">
        <f t="shared" si="2548"/>
        <v>0</v>
      </c>
      <c r="AX2154" s="51">
        <f t="shared" si="2549"/>
        <v>0</v>
      </c>
      <c r="AY2154" s="51">
        <f t="shared" si="2550"/>
        <v>0</v>
      </c>
      <c r="AZ2154" s="51">
        <f t="shared" si="2553"/>
        <v>2.9755244755244754</v>
      </c>
      <c r="BA2154" s="51"/>
      <c r="BB2154" s="51"/>
      <c r="BC2154" s="51"/>
      <c r="BD2154" s="51"/>
      <c r="BE2154" s="51"/>
      <c r="BF2154" s="51"/>
      <c r="BG2154" s="51"/>
      <c r="BH2154" s="51"/>
      <c r="BI2154" s="65" cm="1">
        <f t="array" ref="BI2154">IFERROR(INDEX(AW2154:BH2154,1,MATCH(2,1/(AW2154:BH2154&lt;&gt;""))),"")</f>
        <v>2.9755244755244754</v>
      </c>
      <c r="BJ2154" s="68" cm="1">
        <f t="array" ref="BJ2154">IF(BM2154 = "", "",IFERROR(INDEX(AW2154:BH2154,1,MATCH(2,1/(AW2154:BH2154&lt;&gt;""),1)-1),""))</f>
        <v>0</v>
      </c>
      <c r="BK2154" s="58">
        <f>IF((IF(AW2154&gt;=115%,115%,AW2154) + IF(AX2154&gt;=115%,115%,AX2154) + IF(AY2154&gt;=115%,115%,AY2154) + (IF(AZ2154&gt;=115%,115%,AZ2154) + IF(BA2154&gt;=115%,115%,BA2154) + IF(BB2154&gt;=115%,115%,BB2154) + IF(BC2154&gt;=115%,115%,BC2154) + IF(BD2154&gt;=115%,115%,BD2154) + IF(BE2154&gt;=115%,115%,BE2154) + IF(BF2154&gt;=115%,115%,BF2154) + IF(BG2154&gt;=115%,115%,BG2154) + IF(BH2154&gt;=115%,115%,BH2154)))/_xlfn.XLOOKUP(F2154,Apuração!A:A,Apuração!B:B)&gt;=1.15,1.15,((IF(AZ2154&gt;=115%,115%,AZ2154) + IF(AX2154&gt;=115%,115%,AX2154) + IF(AY2154&gt;=115%,115%,AY2154) + (IF(AW2154&gt;=115%,115%,AW2154) + IF(BA2154&gt;=115%,115%,BA2154) + IF(BB2154&gt;=115%,115%,BB2154) + IF(BC2154&gt;=115%,115%,BC2154) + IF(BD2154&gt;=115%,115%,BD2154) + IF(BE2154&gt;=115%,115%,BE2154) + IF(BF2154&gt;=115%,115%,BF2154) + IF(BG2154&gt;=115%,115%,BG2154) + IF(BH2154&gt;=115%,115%,BH2154)))/_xlfn.XLOOKUP(F2154,Apuração!A:A,Apuração!B:B)))</f>
        <v>0.12777777777777777</v>
      </c>
      <c r="BL2154" s="58" cm="1">
        <f t="array" aca="1" ref="BL2154" ca="1">IF(SUM(IFERROR(IF(INDEX(AW2154:INDEX(AW2154:BH2154, MATCH(2, 1/(AW2154:BH2154&lt;&gt;""), 1)-1), ROW(INDIRECT("1:" &amp; MATCH(2, 1/(AW2154:BH2154&lt;&gt;""), 1)-1))) &gt;= 115%, 115%, INDEX(AW2154:INDEX(AW2154:BH2154, MATCH(2, 1/(AW2154:BH2154&lt;&gt;""), 1)-1), ROW(INDIRECT("1:" &amp; MATCH(2, 1/(AW2154:BH2154&lt;&gt;""), 1)-1)))), 0))/_xlfn.XLOOKUP(F2154,Apuração!A:A,Apuração!B:B)&gt;=1.15,1.15,SUM(IFERROR(IF(INDEX(AW2154:INDEX(AW2154:BH2154, MATCH(2, 1/(AW2154:BH2154&lt;&gt;""), 1)-1), ROW(INDIRECT("1:" &amp; MATCH(2, 1/(AW2154:BH2154&lt;&gt;""), 1)-1))) &gt;= 115%, 115%, INDEX(AW2154:INDEX(AW2154:BH2154, MATCH(2, 1/(AW2154:BH2154&lt;&gt;""), 1)-1), ROW(INDIRECT("1:" &amp; MATCH(2, 1/(AW2154:BH2154&lt;&gt;""), 1)-1)))), 0))/_xlfn.XLOOKUP(F2154,Apuração!A:A,Apuração!B:B))</f>
        <v>0</v>
      </c>
      <c r="BM2154" s="55" cm="1">
        <f t="array" ref="BM2154">IFERROR(
   INDEX($AW$1:$BH$1,
      _xlfn.AGGREGATE(14, 6, COLUMN($AW$1:$BH$1)/(AW2154:BH2154&lt;&gt;""), 2) - COLUMN($AW$1) + 1
   ),
"")</f>
        <v>46082</v>
      </c>
      <c r="BN2154" s="55" cm="1">
        <f t="array" ref="BN2154">IFERROR(INDEX($AW$1:$BH$1,1,MATCH(2,1/(AW2154:BH2154&lt;&gt;""))),"")</f>
        <v>46113</v>
      </c>
      <c r="BO2154" s="53">
        <f ca="1">IFERROR(_xlfn.XLOOKUP(F2154,Apuração!A:A,Apuração!C:C)/_xlfn.XLOOKUP(F2154,Apuração!A:A,Apuração!B:B),0)</f>
        <v>0.22222222222222221</v>
      </c>
      <c r="BP2154" s="53">
        <f ca="1">IFERROR(_xlfn.XLOOKUP(F2154,Apuração!A:A,Apuração!D:D)/_xlfn.XLOOKUP(F2154,Apuração!A:A,Apuração!B:B),0)</f>
        <v>0.1111111111111111</v>
      </c>
      <c r="BQ2154" s="53">
        <f ca="1">IF(BK2154&gt;=BO2154,0,_xlfn.XLOOKUP(F2154,Apuração!A:A,Apuração!B:B)*(BO2154 + (1/_xlfn.XLOOKUP(F2154,Apuração!A:A,Apuração!B:B)) - BK2154))</f>
        <v>1.8499999999999999</v>
      </c>
      <c r="BR2154" s="85">
        <f t="shared" ca="1" si="2551"/>
        <v>529.09999999999991</v>
      </c>
      <c r="BS2154" s="53">
        <f ca="1">IFERROR((_xlfn.XLOOKUP(F2154,Apuração!A:A,Apuração!C:C)+1)/_xlfn.XLOOKUP(F2154,Apuração!A:A,Apuração!B:B),0)</f>
        <v>0.33333333333333331</v>
      </c>
    </row>
    <row r="2155" spans="1:71" ht="25.95" hidden="1" customHeight="1" x14ac:dyDescent="0.3">
      <c r="A2155" s="42" t="s">
        <v>134</v>
      </c>
      <c r="B2155" s="4" t="s">
        <v>158</v>
      </c>
      <c r="C2155" s="5" t="s">
        <v>216</v>
      </c>
      <c r="D2155" s="5" t="s">
        <v>36</v>
      </c>
      <c r="E2155" s="4" t="str" cm="1">
        <f t="array" ref="E2155">_xlfn.IFS(
F2155 = "A partir de Abril", "Aguardando Execução na Distribuidora",
A2155 = "CAPACITAÇÃO", "Em execução no Corporativo",
TRUE, "Em Execução na Distribuidora"
)</f>
        <v>Em Execução na Distribuidora</v>
      </c>
      <c r="F2155" s="4" t="str" cm="1">
        <f t="array" ref="F2155">_xlfn.IFS(
AG2155 &lt;&gt; "", "Jan-Dez/26",
AH2155 &lt;&gt; "", "Fev-Dez/26",
AI2155 &lt;&gt; "", "Mar-Dez/26", AJ2155 &lt;&gt; "", "Abr-Dez/26",
TRUE, "A partir de Junho"
)</f>
        <v>Jan-Dez/26</v>
      </c>
      <c r="G2155" s="4" t="s">
        <v>37</v>
      </c>
      <c r="H2155" s="7" t="s">
        <v>54</v>
      </c>
      <c r="I2155" s="8" t="s">
        <v>163</v>
      </c>
      <c r="J2155" s="8" t="str" cm="1">
        <f t="array" aca="1" ref="J2155" ca="1">_xlfn.LET(
  _xlpm.actual_value_month, INDEX(T2155:AE2155, MATCH(DATE(YEAR(TODAY()), MONTH(TODAY()), 1), $T$1:$AE$1, 0)),
  IF(_xlpm.actual_value_month &lt;&gt; "",_xlpm.actual_value_month &amp; " ações mensais", "")
)</f>
        <v/>
      </c>
      <c r="K2155" s="8" t="str" cm="1">
        <f t="array" ref="K2155">_xlfn.LET(
    _xlpm.sum_month, SUM(T2155:AE2155),
    IF(_xlpm.sum_month = 0, "", _xlpm.sum_month &amp; " DSS no ano")
)</f>
        <v>794 DSS no ano</v>
      </c>
      <c r="L2155" s="9" t="s">
        <v>164</v>
      </c>
      <c r="M2155" s="24">
        <v>1</v>
      </c>
      <c r="N2155" s="5" t="s">
        <v>51</v>
      </c>
      <c r="O2155" s="111" t="s">
        <v>52</v>
      </c>
      <c r="P2155" s="10" t="s">
        <v>146</v>
      </c>
      <c r="Q2155" s="10" t="s">
        <v>72</v>
      </c>
      <c r="R2155" s="11" t="s">
        <v>147</v>
      </c>
      <c r="S2155" s="11" t="s">
        <v>162</v>
      </c>
      <c r="T2155" s="22">
        <v>284</v>
      </c>
      <c r="U2155" s="22">
        <v>271</v>
      </c>
      <c r="V2155" s="22">
        <v>239</v>
      </c>
      <c r="W2155" s="22"/>
      <c r="X2155" s="22"/>
      <c r="Y2155" s="22"/>
      <c r="Z2155" s="22"/>
      <c r="AA2155" s="22"/>
      <c r="AB2155" s="22"/>
      <c r="AC2155" s="22"/>
      <c r="AD2155" s="22"/>
      <c r="AE2155" s="22"/>
      <c r="AG2155" s="71">
        <v>284</v>
      </c>
      <c r="AH2155" s="71">
        <v>271</v>
      </c>
      <c r="AI2155" s="71">
        <v>239</v>
      </c>
      <c r="AJ2155" s="71">
        <v>863</v>
      </c>
      <c r="AK2155" s="71"/>
      <c r="AL2155" s="71"/>
      <c r="AM2155" s="71"/>
      <c r="AN2155" s="71"/>
      <c r="AO2155" s="71"/>
      <c r="AP2155" s="71"/>
      <c r="AQ2155" s="71"/>
      <c r="AR2155" s="71"/>
      <c r="AS2155" s="94">
        <f ca="1">IF(MONTH(TODAY())=3,SUM(T2155:U2155),IF(MONTH(TODAY())=4,SUM(T2155:V2155),IF(MONTH(TODAY())=5,SUM(T2155:W2155),IF(MONTH(TODAY())=6,SUM(T2155:X2155),IF(MONTH(TODAY())=7,SUM(T2155:Y2155),IF(MONTH(TODAY())=8,SUM(T2155:Z2155),IF(MONTH(TODAY())=9,SUM(T2155:AA2155),IF(MONTH(TODAY())=10,SUM(T2155:AB2155),IF(MONTH(TODAY())=11,SUM(T2155:AC2155),IF(MONTH(TODAY())=12,SUM(T2155:AD2155),IF(MONTH(TODAY())=1,SUM(T2155:AE2155),T2155)))))))))))</f>
        <v>794</v>
      </c>
      <c r="AT2155" s="95">
        <f>SUM(IF(AW2155&lt;1.15,AG2155,1.15*T2155),IF(AX2155&lt;1.15,AH2155,1.15*U2155),IF(AY2155&lt;1.15,AI2155,1.15*V2155),IF(AZ2155&lt;1.15,AJ2155,1.15*W2155),IF(BA2155&lt;1.15,AK2155,1.15*X2155),IF(BB2155&lt;1.15,AL2155,1.15*Y2155),IF(BC2155&lt;1.15,AM2155,1.15*Z2155),IF(BD2155&lt;1.15,AN2155,1.15*AA2155),IF(BE2155&lt;1.15,AO2155,1.15*AB2155),IF(BF2155&lt;1.15,AP2155,1.15*AC2155),IF(BG2155&lt;1.15,AQ2155,1.15*AD2155),IF(BH2155&lt;1.15,AR2155,1.15*AE2155))</f>
        <v>913.09999999999991</v>
      </c>
      <c r="AU2155" s="97">
        <f>SUM(AG2155:AR2155)</f>
        <v>1657</v>
      </c>
      <c r="AW2155" s="83">
        <f>AG2155</f>
        <v>284</v>
      </c>
      <c r="AX2155" s="83">
        <f>AH2155</f>
        <v>271</v>
      </c>
      <c r="AY2155" s="83">
        <f>AI2155</f>
        <v>239</v>
      </c>
      <c r="AZ2155" s="83">
        <f>AJ2155</f>
        <v>863</v>
      </c>
      <c r="BA2155" s="52"/>
      <c r="BB2155" s="52"/>
      <c r="BC2155" s="52"/>
      <c r="BD2155" s="52"/>
      <c r="BE2155" s="52"/>
      <c r="BF2155" s="52"/>
      <c r="BG2155" s="52"/>
      <c r="BH2155" s="52"/>
      <c r="BI2155" s="65" cm="1">
        <f t="array" ref="BI2155">IFERROR(INDEX(AW2155:BH2155,1,MATCH(2,1/(AW2155:BH2155&lt;&gt;""))),"")</f>
        <v>863</v>
      </c>
      <c r="BJ2155" s="68" cm="1">
        <f t="array" ref="BJ2155">IF(BM2155 = "", "",IFERROR(INDEX(AW2155:BH2155,1,MATCH(2,1/(AW2155:BH2155&lt;&gt;""),1)-1),""))</f>
        <v>239</v>
      </c>
      <c r="BK2155" s="58">
        <f>IF((IF(AW2155&gt;=115%,115%,AW2155) + IF(AX2155&gt;=115%,115%,AX2155) + IF(AY2155&gt;=115%,115%,AY2155) + (IF(AZ2155&gt;=115%,115%,AZ2155) + IF(BA2155&gt;=115%,115%,BA2155) + IF(BB2155&gt;=115%,115%,BB2155) + IF(BC2155&gt;=115%,115%,BC2155) + IF(BD2155&gt;=115%,115%,BD2155) + IF(BE2155&gt;=115%,115%,BE2155) + IF(BF2155&gt;=115%,115%,BF2155) + IF(BG2155&gt;=115%,115%,BG2155) + IF(BH2155&gt;=115%,115%,BH2155)))/_xlfn.XLOOKUP(F2155,Apuração!A:A,Apuração!B:B)&gt;=1.15,1.15,((IF(AZ2155&gt;=115%,115%,AZ2155) + IF(AX2155&gt;=115%,115%,AX2155) + IF(AY2155&gt;=115%,115%,AY2155) + (IF(AW2155&gt;=115%,115%,AW2155) + IF(BA2155&gt;=115%,115%,BA2155) + IF(BB2155&gt;=115%,115%,BB2155) + IF(BC2155&gt;=115%,115%,BC2155) + IF(BD2155&gt;=115%,115%,BD2155) + IF(BE2155&gt;=115%,115%,BE2155) + IF(BF2155&gt;=115%,115%,BF2155) + IF(BG2155&gt;=115%,115%,BG2155) + IF(BH2155&gt;=115%,115%,BH2155)))/_xlfn.XLOOKUP(F2155,Apuração!A:A,Apuração!B:B)))</f>
        <v>0.3833333333333333</v>
      </c>
      <c r="BL2155" s="58" cm="1">
        <f t="array" aca="1" ref="BL2155" ca="1">IF(SUM(IFERROR(IF(INDEX(AW2155:INDEX(AW2155:BH2155, MATCH(2, 1/(AW2155:BH2155&lt;&gt;""), 1)-1), ROW(INDIRECT("1:" &amp; MATCH(2, 1/(AW2155:BH2155&lt;&gt;""), 1)-1))) &gt;= 115%, 115%, INDEX(AW2155:INDEX(AW2155:BH2155, MATCH(2, 1/(AW2155:BH2155&lt;&gt;""), 1)-1), ROW(INDIRECT("1:" &amp; MATCH(2, 1/(AW2155:BH2155&lt;&gt;""), 1)-1)))), 0))/_xlfn.XLOOKUP(F2155,Apuração!A:A,Apuração!B:B)&gt;=1.15,1.15,SUM(IFERROR(IF(INDEX(AW2155:INDEX(AW2155:BH2155, MATCH(2, 1/(AW2155:BH2155&lt;&gt;""), 1)-1), ROW(INDIRECT("1:" &amp; MATCH(2, 1/(AW2155:BH2155&lt;&gt;""), 1)-1))) &gt;= 115%, 115%, INDEX(AW2155:INDEX(AW2155:BH2155, MATCH(2, 1/(AW2155:BH2155&lt;&gt;""), 1)-1), ROW(INDIRECT("1:" &amp; MATCH(2, 1/(AW2155:BH2155&lt;&gt;""), 1)-1)))), 0))/_xlfn.XLOOKUP(F2155,Apuração!A:A,Apuração!B:B))</f>
        <v>0.28749999999999998</v>
      </c>
      <c r="BM2155" s="55" cm="1">
        <f t="array" ref="BM2155">IFERROR(
   INDEX($AW$1:$BH$1,
      _xlfn.AGGREGATE(14, 6, COLUMN($AW$1:$BH$1)/(AW2155:BH2155&lt;&gt;""), 2) - COLUMN($AW$1) + 1
   ),
"")</f>
        <v>46082</v>
      </c>
      <c r="BN2155" s="55" cm="1">
        <f t="array" ref="BN2155">IFERROR(INDEX($AW$1:$BH$1,1,MATCH(2,1/(AW2155:BH2155&lt;&gt;""))),"")</f>
        <v>46113</v>
      </c>
      <c r="BO2155" s="53">
        <f ca="1">IFERROR(_xlfn.XLOOKUP(F2155,Apuração!A:A,Apuração!C:C)/_xlfn.XLOOKUP(F2155,Apuração!A:A,Apuração!B:B),0)</f>
        <v>0.41666666666666669</v>
      </c>
      <c r="BP2155" s="53">
        <f ca="1">IFERROR(_xlfn.XLOOKUP(F2155,Apuração!A:A,Apuração!D:D)/_xlfn.XLOOKUP(F2155,Apuração!A:A,Apuração!B:B),0)</f>
        <v>0.33333333333333331</v>
      </c>
      <c r="BQ2155" s="53">
        <f ca="1">IF(BK2155&gt;=BO2155,0,_xlfn.XLOOKUP(F2155,Apuração!A:A,Apuração!B:B)*(BO2155 + (1/_xlfn.XLOOKUP(F2155,Apuração!A:A,Apuração!B:B)) - BK2155))</f>
        <v>1.4000000000000004</v>
      </c>
      <c r="BR2155" s="85">
        <f ca="1">IF(BQ2155=0,0,BQ2155*Z2155)</f>
        <v>0</v>
      </c>
      <c r="BS2155" s="53">
        <f ca="1">IFERROR((_xlfn.XLOOKUP(F2155,Apuração!A:A,Apuração!C:C)+1)/_xlfn.XLOOKUP(F2155,Apuração!A:A,Apuração!B:B),0)</f>
        <v>0.5</v>
      </c>
    </row>
    <row r="2156" spans="1:71" ht="25.95" hidden="1" customHeight="1" x14ac:dyDescent="0.3">
      <c r="A2156" s="42" t="s">
        <v>134</v>
      </c>
      <c r="B2156" s="4" t="s">
        <v>158</v>
      </c>
      <c r="C2156" s="5" t="s">
        <v>216</v>
      </c>
      <c r="D2156" s="5" t="s">
        <v>217</v>
      </c>
      <c r="E2156" s="4" t="str" cm="1">
        <f t="array" ref="E2156">_xlfn.IFS(
F2156 = "A partir de Abril", "Aguardando Execução na Distribuidora",
A2156 = "CAPACITAÇÃO", "Em execução no Corporativo",
TRUE, "Em Execução na Distribuidora"
)</f>
        <v>Em Execução na Distribuidora</v>
      </c>
      <c r="F2156" s="4" t="str" cm="1">
        <f t="array" ref="F2156">_xlfn.IFS(
AG2156 &lt;&gt; "", "Jan-Dez/26",
AH2156 &lt;&gt; "", "Fev-Dez/26",
AI2156 &lt;&gt; "", "Mar-Dez/26", AJ2156 &lt;&gt; "", "Abr-Dez/26",
TRUE, "A partir de Junho"
)</f>
        <v>Abr-Dez/26</v>
      </c>
      <c r="G2156" s="4" t="s">
        <v>37</v>
      </c>
      <c r="H2156" s="7" t="s">
        <v>54</v>
      </c>
      <c r="I2156" s="8" t="s">
        <v>163</v>
      </c>
      <c r="J2156" s="8" t="str" cm="1">
        <f t="array" aca="1" ref="J2156" ca="1">_xlfn.LET(
  _xlpm.actual_value_month, INDEX(T2156:AE2156, MATCH(DATE(YEAR(TODAY()), MONTH(TODAY()), 1), $T$1:$AE$1, 0)),
  IF(_xlpm.actual_value_month &lt;&gt; "",_xlpm.actual_value_month &amp; " ações mensais", "")
)</f>
        <v/>
      </c>
      <c r="K2156" s="8" t="str" cm="1">
        <f t="array" ref="K2156">_xlfn.LET(
    _xlpm.sum_month, SUM(T2156:AE2156),
    IF(_xlpm.sum_month = 0, "", _xlpm.sum_month &amp; " DSS no ano")
)</f>
        <v/>
      </c>
      <c r="L2156" s="9" t="s">
        <v>164</v>
      </c>
      <c r="M2156" s="24">
        <v>1</v>
      </c>
      <c r="N2156" s="5" t="s">
        <v>51</v>
      </c>
      <c r="O2156" s="111" t="s">
        <v>52</v>
      </c>
      <c r="P2156" s="10" t="s">
        <v>146</v>
      </c>
      <c r="Q2156" s="10" t="s">
        <v>72</v>
      </c>
      <c r="R2156" s="11" t="s">
        <v>147</v>
      </c>
      <c r="S2156" s="11" t="s">
        <v>162</v>
      </c>
      <c r="T2156" s="22"/>
      <c r="U2156" s="22"/>
      <c r="V2156" s="22"/>
      <c r="W2156" s="22"/>
      <c r="X2156" s="22"/>
      <c r="Y2156" s="22"/>
      <c r="Z2156" s="22"/>
      <c r="AA2156" s="22"/>
      <c r="AB2156" s="22"/>
      <c r="AC2156" s="22"/>
      <c r="AD2156" s="22"/>
      <c r="AE2156" s="22"/>
      <c r="AG2156" s="71"/>
      <c r="AH2156" s="71"/>
      <c r="AI2156" s="71"/>
      <c r="AJ2156" s="146">
        <v>233</v>
      </c>
      <c r="AK2156" s="71"/>
      <c r="AL2156" s="71"/>
      <c r="AM2156" s="71"/>
      <c r="AN2156" s="71"/>
      <c r="AO2156" s="71"/>
      <c r="AP2156" s="71"/>
      <c r="AQ2156" s="71"/>
      <c r="AR2156" s="71"/>
      <c r="AS2156" s="94">
        <f t="shared" ref="AS2156:AS2159" ca="1" si="2554">IF(MONTH(TODAY())=3,SUM(T2156:U2156),IF(MONTH(TODAY())=4,SUM(T2156:V2156),IF(MONTH(TODAY())=5,SUM(T2156:W2156),IF(MONTH(TODAY())=6,SUM(T2156:X2156),IF(MONTH(TODAY())=7,SUM(T2156:Y2156),IF(MONTH(TODAY())=8,SUM(T2156:Z2156),IF(MONTH(TODAY())=9,SUM(T2156:AA2156),IF(MONTH(TODAY())=10,SUM(T2156:AB2156),IF(MONTH(TODAY())=11,SUM(T2156:AC2156),IF(MONTH(TODAY())=12,SUM(T2156:AD2156),IF(MONTH(TODAY())=1,SUM(T2156:AE2156),T2156)))))))))))</f>
        <v>0</v>
      </c>
      <c r="AT2156" s="95">
        <f t="shared" ref="AT2156:AT2159" si="2555">SUM(IF(AW2156&lt;1.15,AG2156,1.15*T2156),IF(AX2156&lt;1.15,AH2156,1.15*U2156),IF(AY2156&lt;1.15,AI2156,1.15*V2156),IF(AZ2156&lt;1.15,AJ2156,1.15*W2156),IF(BA2156&lt;1.15,AK2156,1.15*X2156),IF(BB2156&lt;1.15,AL2156,1.15*Y2156),IF(BC2156&lt;1.15,AM2156,1.15*Z2156),IF(BD2156&lt;1.15,AN2156,1.15*AA2156),IF(BE2156&lt;1.15,AO2156,1.15*AB2156),IF(BF2156&lt;1.15,AP2156,1.15*AC2156),IF(BG2156&lt;1.15,AQ2156,1.15*AD2156),IF(BH2156&lt;1.15,AR2156,1.15*AE2156))</f>
        <v>0</v>
      </c>
      <c r="AU2156" s="97">
        <f t="shared" ref="AU2156:AU2159" si="2556">SUM(AG2156:AR2156)</f>
        <v>233</v>
      </c>
      <c r="AW2156" s="83">
        <f t="shared" ref="AW2156:AW2159" si="2557">AG2156</f>
        <v>0</v>
      </c>
      <c r="AX2156" s="83">
        <f t="shared" ref="AX2156:AX2159" si="2558">AH2156</f>
        <v>0</v>
      </c>
      <c r="AY2156" s="83">
        <f t="shared" ref="AY2156:AY2159" si="2559">AI2156</f>
        <v>0</v>
      </c>
      <c r="AZ2156" s="83">
        <f t="shared" ref="AZ2156:AZ2159" si="2560">AJ2156</f>
        <v>233</v>
      </c>
      <c r="BA2156" s="52"/>
      <c r="BB2156" s="52"/>
      <c r="BC2156" s="52"/>
      <c r="BD2156" s="52"/>
      <c r="BE2156" s="52"/>
      <c r="BF2156" s="52"/>
      <c r="BG2156" s="52"/>
      <c r="BH2156" s="52"/>
      <c r="BI2156" s="65" cm="1">
        <f t="array" ref="BI2156">IFERROR(INDEX(AW2156:BH2156,1,MATCH(2,1/(AW2156:BH2156&lt;&gt;""))),"")</f>
        <v>233</v>
      </c>
      <c r="BJ2156" s="68" cm="1">
        <f t="array" ref="BJ2156">IF(BM2156 = "", "",IFERROR(INDEX(AW2156:BH2156,1,MATCH(2,1/(AW2156:BH2156&lt;&gt;""),1)-1),""))</f>
        <v>0</v>
      </c>
      <c r="BK2156" s="58">
        <f>IF((IF(AW2156&gt;=115%,115%,AW2156) + IF(AX2156&gt;=115%,115%,AX2156) + IF(AY2156&gt;=115%,115%,AY2156) + (IF(AZ2156&gt;=115%,115%,AZ2156) + IF(BA2156&gt;=115%,115%,BA2156) + IF(BB2156&gt;=115%,115%,BB2156) + IF(BC2156&gt;=115%,115%,BC2156) + IF(BD2156&gt;=115%,115%,BD2156) + IF(BE2156&gt;=115%,115%,BE2156) + IF(BF2156&gt;=115%,115%,BF2156) + IF(BG2156&gt;=115%,115%,BG2156) + IF(BH2156&gt;=115%,115%,BH2156)))/_xlfn.XLOOKUP(F2156,Apuração!A:A,Apuração!B:B)&gt;=1.15,1.15,((IF(AZ2156&gt;=115%,115%,AZ2156) + IF(AX2156&gt;=115%,115%,AX2156) + IF(AY2156&gt;=115%,115%,AY2156) + (IF(AW2156&gt;=115%,115%,AW2156) + IF(BA2156&gt;=115%,115%,BA2156) + IF(BB2156&gt;=115%,115%,BB2156) + IF(BC2156&gt;=115%,115%,BC2156) + IF(BD2156&gt;=115%,115%,BD2156) + IF(BE2156&gt;=115%,115%,BE2156) + IF(BF2156&gt;=115%,115%,BF2156) + IF(BG2156&gt;=115%,115%,BG2156) + IF(BH2156&gt;=115%,115%,BH2156)))/_xlfn.XLOOKUP(F2156,Apuração!A:A,Apuração!B:B)))</f>
        <v>0.12777777777777777</v>
      </c>
      <c r="BL2156" s="58" cm="1">
        <f t="array" aca="1" ref="BL2156" ca="1">IF(SUM(IFERROR(IF(INDEX(AW2156:INDEX(AW2156:BH2156, MATCH(2, 1/(AW2156:BH2156&lt;&gt;""), 1)-1), ROW(INDIRECT("1:" &amp; MATCH(2, 1/(AW2156:BH2156&lt;&gt;""), 1)-1))) &gt;= 115%, 115%, INDEX(AW2156:INDEX(AW2156:BH2156, MATCH(2, 1/(AW2156:BH2156&lt;&gt;""), 1)-1), ROW(INDIRECT("1:" &amp; MATCH(2, 1/(AW2156:BH2156&lt;&gt;""), 1)-1)))), 0))/_xlfn.XLOOKUP(F2156,Apuração!A:A,Apuração!B:B)&gt;=1.15,1.15,SUM(IFERROR(IF(INDEX(AW2156:INDEX(AW2156:BH2156, MATCH(2, 1/(AW2156:BH2156&lt;&gt;""), 1)-1), ROW(INDIRECT("1:" &amp; MATCH(2, 1/(AW2156:BH2156&lt;&gt;""), 1)-1))) &gt;= 115%, 115%, INDEX(AW2156:INDEX(AW2156:BH2156, MATCH(2, 1/(AW2156:BH2156&lt;&gt;""), 1)-1), ROW(INDIRECT("1:" &amp; MATCH(2, 1/(AW2156:BH2156&lt;&gt;""), 1)-1)))), 0))/_xlfn.XLOOKUP(F2156,Apuração!A:A,Apuração!B:B))</f>
        <v>0</v>
      </c>
      <c r="BM2156" s="55" cm="1">
        <f t="array" ref="BM2156">IFERROR(
   INDEX($AW$1:$BH$1,
      _xlfn.AGGREGATE(14, 6, COLUMN($AW$1:$BH$1)/(AW2156:BH2156&lt;&gt;""), 2) - COLUMN($AW$1) + 1
   ),
"")</f>
        <v>46082</v>
      </c>
      <c r="BN2156" s="55" cm="1">
        <f t="array" ref="BN2156">IFERROR(INDEX($AW$1:$BH$1,1,MATCH(2,1/(AW2156:BH2156&lt;&gt;""))),"")</f>
        <v>46113</v>
      </c>
      <c r="BO2156" s="53">
        <f ca="1">IFERROR(_xlfn.XLOOKUP(F2156,Apuração!A:A,Apuração!C:C)/_xlfn.XLOOKUP(F2156,Apuração!A:A,Apuração!B:B),0)</f>
        <v>0.22222222222222221</v>
      </c>
      <c r="BP2156" s="53">
        <f ca="1">IFERROR(_xlfn.XLOOKUP(F2156,Apuração!A:A,Apuração!D:D)/_xlfn.XLOOKUP(F2156,Apuração!A:A,Apuração!B:B),0)</f>
        <v>0.1111111111111111</v>
      </c>
      <c r="BQ2156" s="53">
        <f ca="1">IF(BK2156&gt;=BO2156,0,_xlfn.XLOOKUP(F2156,Apuração!A:A,Apuração!B:B)*(BO2156 + (1/_xlfn.XLOOKUP(F2156,Apuração!A:A,Apuração!B:B)) - BK2156))</f>
        <v>1.8499999999999999</v>
      </c>
      <c r="BR2156" s="85">
        <f t="shared" ref="BR2156:BR2159" ca="1" si="2561">IF(BQ2156=0,0,BQ2156*Z2156)</f>
        <v>0</v>
      </c>
      <c r="BS2156" s="53">
        <f ca="1">IFERROR((_xlfn.XLOOKUP(F2156,Apuração!A:A,Apuração!C:C)+1)/_xlfn.XLOOKUP(F2156,Apuração!A:A,Apuração!B:B),0)</f>
        <v>0.33333333333333331</v>
      </c>
    </row>
    <row r="2157" spans="1:71" ht="25.95" hidden="1" customHeight="1" x14ac:dyDescent="0.3">
      <c r="A2157" s="42" t="s">
        <v>134</v>
      </c>
      <c r="B2157" s="4" t="s">
        <v>158</v>
      </c>
      <c r="C2157" s="5" t="s">
        <v>216</v>
      </c>
      <c r="D2157" s="5" t="s">
        <v>103</v>
      </c>
      <c r="E2157" s="4" t="str" cm="1">
        <f t="array" ref="E2157">_xlfn.IFS(
F2157 = "A partir de Abril", "Aguardando Execução na Distribuidora",
A2157 = "CAPACITAÇÃO", "Em execução no Corporativo",
TRUE, "Em Execução na Distribuidora"
)</f>
        <v>Em Execução na Distribuidora</v>
      </c>
      <c r="F2157" s="4" t="str" cm="1">
        <f t="array" ref="F2157">_xlfn.IFS(
AG2157 &lt;&gt; "", "Jan-Dez/26",
AH2157 &lt;&gt; "", "Fev-Dez/26",
AI2157 &lt;&gt; "", "Mar-Dez/26", AJ2157 &lt;&gt; "", "Abr-Dez/26",
TRUE, "A partir de Junho"
)</f>
        <v>Abr-Dez/26</v>
      </c>
      <c r="G2157" s="4" t="s">
        <v>37</v>
      </c>
      <c r="H2157" s="7" t="s">
        <v>54</v>
      </c>
      <c r="I2157" s="8" t="s">
        <v>163</v>
      </c>
      <c r="J2157" s="8" t="str" cm="1">
        <f t="array" aca="1" ref="J2157" ca="1">_xlfn.LET(
  _xlpm.actual_value_month, INDEX(T2157:AE2157, MATCH(DATE(YEAR(TODAY()), MONTH(TODAY()), 1), $T$1:$AE$1, 0)),
  IF(_xlpm.actual_value_month &lt;&gt; "",_xlpm.actual_value_month &amp; " ações mensais", "")
)</f>
        <v/>
      </c>
      <c r="K2157" s="8" t="str" cm="1">
        <f t="array" ref="K2157">_xlfn.LET(
    _xlpm.sum_month, SUM(T2157:AE2157),
    IF(_xlpm.sum_month = 0, "", _xlpm.sum_month &amp; " DSS no ano")
)</f>
        <v/>
      </c>
      <c r="L2157" s="9" t="s">
        <v>164</v>
      </c>
      <c r="M2157" s="24">
        <v>1</v>
      </c>
      <c r="N2157" s="5" t="s">
        <v>51</v>
      </c>
      <c r="O2157" s="111" t="s">
        <v>52</v>
      </c>
      <c r="P2157" s="10" t="s">
        <v>146</v>
      </c>
      <c r="Q2157" s="10" t="s">
        <v>72</v>
      </c>
      <c r="R2157" s="11" t="s">
        <v>147</v>
      </c>
      <c r="S2157" s="11" t="s">
        <v>162</v>
      </c>
      <c r="T2157" s="22"/>
      <c r="U2157" s="22"/>
      <c r="V2157" s="22"/>
      <c r="W2157" s="22"/>
      <c r="X2157" s="22"/>
      <c r="Y2157" s="22"/>
      <c r="Z2157" s="22"/>
      <c r="AA2157" s="22"/>
      <c r="AB2157" s="22"/>
      <c r="AC2157" s="22"/>
      <c r="AD2157" s="22"/>
      <c r="AE2157" s="22"/>
      <c r="AG2157" s="71"/>
      <c r="AH2157" s="71"/>
      <c r="AI2157" s="71"/>
      <c r="AJ2157" s="146">
        <v>293</v>
      </c>
      <c r="AK2157" s="71"/>
      <c r="AL2157" s="71"/>
      <c r="AM2157" s="71"/>
      <c r="AN2157" s="71"/>
      <c r="AO2157" s="71"/>
      <c r="AP2157" s="71"/>
      <c r="AQ2157" s="71"/>
      <c r="AR2157" s="71"/>
      <c r="AS2157" s="94">
        <f t="shared" ca="1" si="2554"/>
        <v>0</v>
      </c>
      <c r="AT2157" s="95">
        <f t="shared" si="2555"/>
        <v>0</v>
      </c>
      <c r="AU2157" s="97">
        <f t="shared" si="2556"/>
        <v>293</v>
      </c>
      <c r="AW2157" s="83">
        <f t="shared" si="2557"/>
        <v>0</v>
      </c>
      <c r="AX2157" s="83">
        <f t="shared" si="2558"/>
        <v>0</v>
      </c>
      <c r="AY2157" s="83">
        <f t="shared" si="2559"/>
        <v>0</v>
      </c>
      <c r="AZ2157" s="83">
        <f t="shared" si="2560"/>
        <v>293</v>
      </c>
      <c r="BA2157" s="52"/>
      <c r="BB2157" s="52"/>
      <c r="BC2157" s="52"/>
      <c r="BD2157" s="52"/>
      <c r="BE2157" s="52"/>
      <c r="BF2157" s="52"/>
      <c r="BG2157" s="52"/>
      <c r="BH2157" s="52"/>
      <c r="BI2157" s="65" cm="1">
        <f t="array" ref="BI2157">IFERROR(INDEX(AW2157:BH2157,1,MATCH(2,1/(AW2157:BH2157&lt;&gt;""))),"")</f>
        <v>293</v>
      </c>
      <c r="BJ2157" s="68" cm="1">
        <f t="array" ref="BJ2157">IF(BM2157 = "", "",IFERROR(INDEX(AW2157:BH2157,1,MATCH(2,1/(AW2157:BH2157&lt;&gt;""),1)-1),""))</f>
        <v>0</v>
      </c>
      <c r="BK2157" s="58">
        <f>IF((IF(AW2157&gt;=115%,115%,AW2157) + IF(AX2157&gt;=115%,115%,AX2157) + IF(AY2157&gt;=115%,115%,AY2157) + (IF(AZ2157&gt;=115%,115%,AZ2157) + IF(BA2157&gt;=115%,115%,BA2157) + IF(BB2157&gt;=115%,115%,BB2157) + IF(BC2157&gt;=115%,115%,BC2157) + IF(BD2157&gt;=115%,115%,BD2157) + IF(BE2157&gt;=115%,115%,BE2157) + IF(BF2157&gt;=115%,115%,BF2157) + IF(BG2157&gt;=115%,115%,BG2157) + IF(BH2157&gt;=115%,115%,BH2157)))/_xlfn.XLOOKUP(F2157,Apuração!A:A,Apuração!B:B)&gt;=1.15,1.15,((IF(AZ2157&gt;=115%,115%,AZ2157) + IF(AX2157&gt;=115%,115%,AX2157) + IF(AY2157&gt;=115%,115%,AY2157) + (IF(AW2157&gt;=115%,115%,AW2157) + IF(BA2157&gt;=115%,115%,BA2157) + IF(BB2157&gt;=115%,115%,BB2157) + IF(BC2157&gt;=115%,115%,BC2157) + IF(BD2157&gt;=115%,115%,BD2157) + IF(BE2157&gt;=115%,115%,BE2157) + IF(BF2157&gt;=115%,115%,BF2157) + IF(BG2157&gt;=115%,115%,BG2157) + IF(BH2157&gt;=115%,115%,BH2157)))/_xlfn.XLOOKUP(F2157,Apuração!A:A,Apuração!B:B)))</f>
        <v>0.12777777777777777</v>
      </c>
      <c r="BL2157" s="58" cm="1">
        <f t="array" aca="1" ref="BL2157" ca="1">IF(SUM(IFERROR(IF(INDEX(AW2157:INDEX(AW2157:BH2157, MATCH(2, 1/(AW2157:BH2157&lt;&gt;""), 1)-1), ROW(INDIRECT("1:" &amp; MATCH(2, 1/(AW2157:BH2157&lt;&gt;""), 1)-1))) &gt;= 115%, 115%, INDEX(AW2157:INDEX(AW2157:BH2157, MATCH(2, 1/(AW2157:BH2157&lt;&gt;""), 1)-1), ROW(INDIRECT("1:" &amp; MATCH(2, 1/(AW2157:BH2157&lt;&gt;""), 1)-1)))), 0))/_xlfn.XLOOKUP(F2157,Apuração!A:A,Apuração!B:B)&gt;=1.15,1.15,SUM(IFERROR(IF(INDEX(AW2157:INDEX(AW2157:BH2157, MATCH(2, 1/(AW2157:BH2157&lt;&gt;""), 1)-1), ROW(INDIRECT("1:" &amp; MATCH(2, 1/(AW2157:BH2157&lt;&gt;""), 1)-1))) &gt;= 115%, 115%, INDEX(AW2157:INDEX(AW2157:BH2157, MATCH(2, 1/(AW2157:BH2157&lt;&gt;""), 1)-1), ROW(INDIRECT("1:" &amp; MATCH(2, 1/(AW2157:BH2157&lt;&gt;""), 1)-1)))), 0))/_xlfn.XLOOKUP(F2157,Apuração!A:A,Apuração!B:B))</f>
        <v>0</v>
      </c>
      <c r="BM2157" s="55" cm="1">
        <f t="array" ref="BM2157">IFERROR(
   INDEX($AW$1:$BH$1,
      _xlfn.AGGREGATE(14, 6, COLUMN($AW$1:$BH$1)/(AW2157:BH2157&lt;&gt;""), 2) - COLUMN($AW$1) + 1
   ),
"")</f>
        <v>46082</v>
      </c>
      <c r="BN2157" s="55" cm="1">
        <f t="array" ref="BN2157">IFERROR(INDEX($AW$1:$BH$1,1,MATCH(2,1/(AW2157:BH2157&lt;&gt;""))),"")</f>
        <v>46113</v>
      </c>
      <c r="BO2157" s="53">
        <f ca="1">IFERROR(_xlfn.XLOOKUP(F2157,Apuração!A:A,Apuração!C:C)/_xlfn.XLOOKUP(F2157,Apuração!A:A,Apuração!B:B),0)</f>
        <v>0.22222222222222221</v>
      </c>
      <c r="BP2157" s="53">
        <f ca="1">IFERROR(_xlfn.XLOOKUP(F2157,Apuração!A:A,Apuração!D:D)/_xlfn.XLOOKUP(F2157,Apuração!A:A,Apuração!B:B),0)</f>
        <v>0.1111111111111111</v>
      </c>
      <c r="BQ2157" s="53">
        <f ca="1">IF(BK2157&gt;=BO2157,0,_xlfn.XLOOKUP(F2157,Apuração!A:A,Apuração!B:B)*(BO2157 + (1/_xlfn.XLOOKUP(F2157,Apuração!A:A,Apuração!B:B)) - BK2157))</f>
        <v>1.8499999999999999</v>
      </c>
      <c r="BR2157" s="85">
        <f t="shared" ca="1" si="2561"/>
        <v>0</v>
      </c>
      <c r="BS2157" s="53">
        <f ca="1">IFERROR((_xlfn.XLOOKUP(F2157,Apuração!A:A,Apuração!C:C)+1)/_xlfn.XLOOKUP(F2157,Apuração!A:A,Apuração!B:B),0)</f>
        <v>0.33333333333333331</v>
      </c>
    </row>
    <row r="2158" spans="1:71" ht="25.95" hidden="1" customHeight="1" x14ac:dyDescent="0.3">
      <c r="A2158" s="42" t="s">
        <v>134</v>
      </c>
      <c r="B2158" s="4" t="s">
        <v>158</v>
      </c>
      <c r="C2158" s="5" t="s">
        <v>216</v>
      </c>
      <c r="D2158" s="5" t="s">
        <v>218</v>
      </c>
      <c r="E2158" s="4" t="str" cm="1">
        <f t="array" ref="E2158">_xlfn.IFS(
F2158 = "A partir de Abril", "Aguardando Execução na Distribuidora",
A2158 = "CAPACITAÇÃO", "Em execução no Corporativo",
TRUE, "Em Execução na Distribuidora"
)</f>
        <v>Em Execução na Distribuidora</v>
      </c>
      <c r="F2158" s="4" t="str" cm="1">
        <f t="array" ref="F2158">_xlfn.IFS(
AG2158 &lt;&gt; "", "Jan-Dez/26",
AH2158 &lt;&gt; "", "Fev-Dez/26",
AI2158 &lt;&gt; "", "Mar-Dez/26", AJ2158 &lt;&gt; "", "Abr-Dez/26",
TRUE, "A partir de Junho"
)</f>
        <v>Abr-Dez/26</v>
      </c>
      <c r="G2158" s="4" t="s">
        <v>37</v>
      </c>
      <c r="H2158" s="7" t="s">
        <v>54</v>
      </c>
      <c r="I2158" s="8" t="s">
        <v>163</v>
      </c>
      <c r="J2158" s="8" t="str" cm="1">
        <f t="array" aca="1" ref="J2158" ca="1">_xlfn.LET(
  _xlpm.actual_value_month, INDEX(T2158:AE2158, MATCH(DATE(YEAR(TODAY()), MONTH(TODAY()), 1), $T$1:$AE$1, 0)),
  IF(_xlpm.actual_value_month &lt;&gt; "",_xlpm.actual_value_month &amp; " ações mensais", "")
)</f>
        <v/>
      </c>
      <c r="K2158" s="8" t="str" cm="1">
        <f t="array" ref="K2158">_xlfn.LET(
    _xlpm.sum_month, SUM(T2158:AE2158),
    IF(_xlpm.sum_month = 0, "", _xlpm.sum_month &amp; " DSS no ano")
)</f>
        <v/>
      </c>
      <c r="L2158" s="9" t="s">
        <v>164</v>
      </c>
      <c r="M2158" s="24">
        <v>1</v>
      </c>
      <c r="N2158" s="5" t="s">
        <v>51</v>
      </c>
      <c r="O2158" s="111" t="s">
        <v>52</v>
      </c>
      <c r="P2158" s="10" t="s">
        <v>146</v>
      </c>
      <c r="Q2158" s="10" t="s">
        <v>72</v>
      </c>
      <c r="R2158" s="11" t="s">
        <v>147</v>
      </c>
      <c r="S2158" s="11" t="s">
        <v>162</v>
      </c>
      <c r="T2158" s="22"/>
      <c r="U2158" s="22"/>
      <c r="V2158" s="22"/>
      <c r="W2158" s="22"/>
      <c r="X2158" s="22"/>
      <c r="Y2158" s="22"/>
      <c r="Z2158" s="22"/>
      <c r="AA2158" s="22"/>
      <c r="AB2158" s="22"/>
      <c r="AC2158" s="22"/>
      <c r="AD2158" s="22"/>
      <c r="AE2158" s="22"/>
      <c r="AG2158" s="71"/>
      <c r="AH2158" s="71"/>
      <c r="AI2158" s="71"/>
      <c r="AJ2158" s="146">
        <v>151</v>
      </c>
      <c r="AK2158" s="71"/>
      <c r="AL2158" s="71"/>
      <c r="AM2158" s="71"/>
      <c r="AN2158" s="71"/>
      <c r="AO2158" s="71"/>
      <c r="AP2158" s="71"/>
      <c r="AQ2158" s="71"/>
      <c r="AR2158" s="71"/>
      <c r="AS2158" s="94">
        <f t="shared" ca="1" si="2554"/>
        <v>0</v>
      </c>
      <c r="AT2158" s="95">
        <f t="shared" si="2555"/>
        <v>0</v>
      </c>
      <c r="AU2158" s="97">
        <f t="shared" si="2556"/>
        <v>151</v>
      </c>
      <c r="AW2158" s="83">
        <f t="shared" si="2557"/>
        <v>0</v>
      </c>
      <c r="AX2158" s="83">
        <f t="shared" si="2558"/>
        <v>0</v>
      </c>
      <c r="AY2158" s="83">
        <f t="shared" si="2559"/>
        <v>0</v>
      </c>
      <c r="AZ2158" s="83">
        <f t="shared" si="2560"/>
        <v>151</v>
      </c>
      <c r="BA2158" s="52"/>
      <c r="BB2158" s="52"/>
      <c r="BC2158" s="52"/>
      <c r="BD2158" s="52"/>
      <c r="BE2158" s="52"/>
      <c r="BF2158" s="52"/>
      <c r="BG2158" s="52"/>
      <c r="BH2158" s="52"/>
      <c r="BI2158" s="65" cm="1">
        <f t="array" ref="BI2158">IFERROR(INDEX(AW2158:BH2158,1,MATCH(2,1/(AW2158:BH2158&lt;&gt;""))),"")</f>
        <v>151</v>
      </c>
      <c r="BJ2158" s="68" cm="1">
        <f t="array" ref="BJ2158">IF(BM2158 = "", "",IFERROR(INDEX(AW2158:BH2158,1,MATCH(2,1/(AW2158:BH2158&lt;&gt;""),1)-1),""))</f>
        <v>0</v>
      </c>
      <c r="BK2158" s="58">
        <f>IF((IF(AW2158&gt;=115%,115%,AW2158) + IF(AX2158&gt;=115%,115%,AX2158) + IF(AY2158&gt;=115%,115%,AY2158) + (IF(AZ2158&gt;=115%,115%,AZ2158) + IF(BA2158&gt;=115%,115%,BA2158) + IF(BB2158&gt;=115%,115%,BB2158) + IF(BC2158&gt;=115%,115%,BC2158) + IF(BD2158&gt;=115%,115%,BD2158) + IF(BE2158&gt;=115%,115%,BE2158) + IF(BF2158&gt;=115%,115%,BF2158) + IF(BG2158&gt;=115%,115%,BG2158) + IF(BH2158&gt;=115%,115%,BH2158)))/_xlfn.XLOOKUP(F2158,Apuração!A:A,Apuração!B:B)&gt;=1.15,1.15,((IF(AZ2158&gt;=115%,115%,AZ2158) + IF(AX2158&gt;=115%,115%,AX2158) + IF(AY2158&gt;=115%,115%,AY2158) + (IF(AW2158&gt;=115%,115%,AW2158) + IF(BA2158&gt;=115%,115%,BA2158) + IF(BB2158&gt;=115%,115%,BB2158) + IF(BC2158&gt;=115%,115%,BC2158) + IF(BD2158&gt;=115%,115%,BD2158) + IF(BE2158&gt;=115%,115%,BE2158) + IF(BF2158&gt;=115%,115%,BF2158) + IF(BG2158&gt;=115%,115%,BG2158) + IF(BH2158&gt;=115%,115%,BH2158)))/_xlfn.XLOOKUP(F2158,Apuração!A:A,Apuração!B:B)))</f>
        <v>0.12777777777777777</v>
      </c>
      <c r="BL2158" s="58" cm="1">
        <f t="array" aca="1" ref="BL2158" ca="1">IF(SUM(IFERROR(IF(INDEX(AW2158:INDEX(AW2158:BH2158, MATCH(2, 1/(AW2158:BH2158&lt;&gt;""), 1)-1), ROW(INDIRECT("1:" &amp; MATCH(2, 1/(AW2158:BH2158&lt;&gt;""), 1)-1))) &gt;= 115%, 115%, INDEX(AW2158:INDEX(AW2158:BH2158, MATCH(2, 1/(AW2158:BH2158&lt;&gt;""), 1)-1), ROW(INDIRECT("1:" &amp; MATCH(2, 1/(AW2158:BH2158&lt;&gt;""), 1)-1)))), 0))/_xlfn.XLOOKUP(F2158,Apuração!A:A,Apuração!B:B)&gt;=1.15,1.15,SUM(IFERROR(IF(INDEX(AW2158:INDEX(AW2158:BH2158, MATCH(2, 1/(AW2158:BH2158&lt;&gt;""), 1)-1), ROW(INDIRECT("1:" &amp; MATCH(2, 1/(AW2158:BH2158&lt;&gt;""), 1)-1))) &gt;= 115%, 115%, INDEX(AW2158:INDEX(AW2158:BH2158, MATCH(2, 1/(AW2158:BH2158&lt;&gt;""), 1)-1), ROW(INDIRECT("1:" &amp; MATCH(2, 1/(AW2158:BH2158&lt;&gt;""), 1)-1)))), 0))/_xlfn.XLOOKUP(F2158,Apuração!A:A,Apuração!B:B))</f>
        <v>0</v>
      </c>
      <c r="BM2158" s="55" cm="1">
        <f t="array" ref="BM2158">IFERROR(
   INDEX($AW$1:$BH$1,
      _xlfn.AGGREGATE(14, 6, COLUMN($AW$1:$BH$1)/(AW2158:BH2158&lt;&gt;""), 2) - COLUMN($AW$1) + 1
   ),
"")</f>
        <v>46082</v>
      </c>
      <c r="BN2158" s="55" cm="1">
        <f t="array" ref="BN2158">IFERROR(INDEX($AW$1:$BH$1,1,MATCH(2,1/(AW2158:BH2158&lt;&gt;""))),"")</f>
        <v>46113</v>
      </c>
      <c r="BO2158" s="53">
        <f ca="1">IFERROR(_xlfn.XLOOKUP(F2158,Apuração!A:A,Apuração!C:C)/_xlfn.XLOOKUP(F2158,Apuração!A:A,Apuração!B:B),0)</f>
        <v>0.22222222222222221</v>
      </c>
      <c r="BP2158" s="53">
        <f ca="1">IFERROR(_xlfn.XLOOKUP(F2158,Apuração!A:A,Apuração!D:D)/_xlfn.XLOOKUP(F2158,Apuração!A:A,Apuração!B:B),0)</f>
        <v>0.1111111111111111</v>
      </c>
      <c r="BQ2158" s="53">
        <f ca="1">IF(BK2158&gt;=BO2158,0,_xlfn.XLOOKUP(F2158,Apuração!A:A,Apuração!B:B)*(BO2158 + (1/_xlfn.XLOOKUP(F2158,Apuração!A:A,Apuração!B:B)) - BK2158))</f>
        <v>1.8499999999999999</v>
      </c>
      <c r="BR2158" s="85">
        <f t="shared" ca="1" si="2561"/>
        <v>0</v>
      </c>
      <c r="BS2158" s="53">
        <f ca="1">IFERROR((_xlfn.XLOOKUP(F2158,Apuração!A:A,Apuração!C:C)+1)/_xlfn.XLOOKUP(F2158,Apuração!A:A,Apuração!B:B),0)</f>
        <v>0.33333333333333331</v>
      </c>
    </row>
    <row r="2159" spans="1:71" ht="25.95" hidden="1" customHeight="1" x14ac:dyDescent="0.3">
      <c r="A2159" s="42" t="s">
        <v>134</v>
      </c>
      <c r="B2159" s="4" t="s">
        <v>158</v>
      </c>
      <c r="C2159" s="5" t="s">
        <v>216</v>
      </c>
      <c r="D2159" s="5" t="s">
        <v>219</v>
      </c>
      <c r="E2159" s="4" t="str" cm="1">
        <f t="array" ref="E2159">_xlfn.IFS(
F2159 = "A partir de Abril", "Aguardando Execução na Distribuidora",
A2159 = "CAPACITAÇÃO", "Em execução no Corporativo",
TRUE, "Em Execução na Distribuidora"
)</f>
        <v>Em Execução na Distribuidora</v>
      </c>
      <c r="F2159" s="4" t="str" cm="1">
        <f t="array" ref="F2159">_xlfn.IFS(
AG2159 &lt;&gt; "", "Jan-Dez/26",
AH2159 &lt;&gt; "", "Fev-Dez/26",
AI2159 &lt;&gt; "", "Mar-Dez/26", AJ2159 &lt;&gt; "", "Abr-Dez/26",
TRUE, "A partir de Junho"
)</f>
        <v>Abr-Dez/26</v>
      </c>
      <c r="G2159" s="4" t="s">
        <v>37</v>
      </c>
      <c r="H2159" s="7" t="s">
        <v>54</v>
      </c>
      <c r="I2159" s="8" t="s">
        <v>163</v>
      </c>
      <c r="J2159" s="8" t="str" cm="1">
        <f t="array" aca="1" ref="J2159" ca="1">_xlfn.LET(
  _xlpm.actual_value_month, INDEX(T2159:AE2159, MATCH(DATE(YEAR(TODAY()), MONTH(TODAY()), 1), $T$1:$AE$1, 0)),
  IF(_xlpm.actual_value_month &lt;&gt; "",_xlpm.actual_value_month &amp; " ações mensais", "")
)</f>
        <v/>
      </c>
      <c r="K2159" s="8" t="str" cm="1">
        <f t="array" ref="K2159">_xlfn.LET(
    _xlpm.sum_month, SUM(T2159:AE2159),
    IF(_xlpm.sum_month = 0, "", _xlpm.sum_month &amp; " DSS no ano")
)</f>
        <v/>
      </c>
      <c r="L2159" s="9" t="s">
        <v>164</v>
      </c>
      <c r="M2159" s="24">
        <v>1</v>
      </c>
      <c r="N2159" s="5" t="s">
        <v>51</v>
      </c>
      <c r="O2159" s="111" t="s">
        <v>52</v>
      </c>
      <c r="P2159" s="10" t="s">
        <v>146</v>
      </c>
      <c r="Q2159" s="10" t="s">
        <v>72</v>
      </c>
      <c r="R2159" s="11" t="s">
        <v>147</v>
      </c>
      <c r="S2159" s="11" t="s">
        <v>162</v>
      </c>
      <c r="T2159" s="22"/>
      <c r="U2159" s="22"/>
      <c r="V2159" s="22"/>
      <c r="W2159" s="22"/>
      <c r="X2159" s="22"/>
      <c r="Y2159" s="22"/>
      <c r="Z2159" s="22"/>
      <c r="AA2159" s="22"/>
      <c r="AB2159" s="22"/>
      <c r="AC2159" s="22"/>
      <c r="AD2159" s="22"/>
      <c r="AE2159" s="22"/>
      <c r="AG2159" s="71"/>
      <c r="AH2159" s="71"/>
      <c r="AI2159" s="71"/>
      <c r="AJ2159" s="146">
        <v>186</v>
      </c>
      <c r="AK2159" s="71"/>
      <c r="AL2159" s="71"/>
      <c r="AM2159" s="71"/>
      <c r="AN2159" s="71"/>
      <c r="AO2159" s="71"/>
      <c r="AP2159" s="71"/>
      <c r="AQ2159" s="71"/>
      <c r="AR2159" s="71"/>
      <c r="AS2159" s="94">
        <f t="shared" ca="1" si="2554"/>
        <v>0</v>
      </c>
      <c r="AT2159" s="95">
        <f t="shared" si="2555"/>
        <v>0</v>
      </c>
      <c r="AU2159" s="97">
        <f t="shared" si="2556"/>
        <v>186</v>
      </c>
      <c r="AW2159" s="83">
        <f t="shared" si="2557"/>
        <v>0</v>
      </c>
      <c r="AX2159" s="83">
        <f t="shared" si="2558"/>
        <v>0</v>
      </c>
      <c r="AY2159" s="83">
        <f t="shared" si="2559"/>
        <v>0</v>
      </c>
      <c r="AZ2159" s="83">
        <f t="shared" si="2560"/>
        <v>186</v>
      </c>
      <c r="BA2159" s="52"/>
      <c r="BB2159" s="52"/>
      <c r="BC2159" s="52"/>
      <c r="BD2159" s="52"/>
      <c r="BE2159" s="52"/>
      <c r="BF2159" s="52"/>
      <c r="BG2159" s="52"/>
      <c r="BH2159" s="52"/>
      <c r="BI2159" s="65" cm="1">
        <f t="array" ref="BI2159">IFERROR(INDEX(AW2159:BH2159,1,MATCH(2,1/(AW2159:BH2159&lt;&gt;""))),"")</f>
        <v>186</v>
      </c>
      <c r="BJ2159" s="68" cm="1">
        <f t="array" ref="BJ2159">IF(BM2159 = "", "",IFERROR(INDEX(AW2159:BH2159,1,MATCH(2,1/(AW2159:BH2159&lt;&gt;""),1)-1),""))</f>
        <v>0</v>
      </c>
      <c r="BK2159" s="58">
        <f>IF((IF(AW2159&gt;=115%,115%,AW2159) + IF(AX2159&gt;=115%,115%,AX2159) + IF(AY2159&gt;=115%,115%,AY2159) + (IF(AZ2159&gt;=115%,115%,AZ2159) + IF(BA2159&gt;=115%,115%,BA2159) + IF(BB2159&gt;=115%,115%,BB2159) + IF(BC2159&gt;=115%,115%,BC2159) + IF(BD2159&gt;=115%,115%,BD2159) + IF(BE2159&gt;=115%,115%,BE2159) + IF(BF2159&gt;=115%,115%,BF2159) + IF(BG2159&gt;=115%,115%,BG2159) + IF(BH2159&gt;=115%,115%,BH2159)))/_xlfn.XLOOKUP(F2159,Apuração!A:A,Apuração!B:B)&gt;=1.15,1.15,((IF(AZ2159&gt;=115%,115%,AZ2159) + IF(AX2159&gt;=115%,115%,AX2159) + IF(AY2159&gt;=115%,115%,AY2159) + (IF(AW2159&gt;=115%,115%,AW2159) + IF(BA2159&gt;=115%,115%,BA2159) + IF(BB2159&gt;=115%,115%,BB2159) + IF(BC2159&gt;=115%,115%,BC2159) + IF(BD2159&gt;=115%,115%,BD2159) + IF(BE2159&gt;=115%,115%,BE2159) + IF(BF2159&gt;=115%,115%,BF2159) + IF(BG2159&gt;=115%,115%,BG2159) + IF(BH2159&gt;=115%,115%,BH2159)))/_xlfn.XLOOKUP(F2159,Apuração!A:A,Apuração!B:B)))</f>
        <v>0.12777777777777777</v>
      </c>
      <c r="BL2159" s="58" cm="1">
        <f t="array" aca="1" ref="BL2159" ca="1">IF(SUM(IFERROR(IF(INDEX(AW2159:INDEX(AW2159:BH2159, MATCH(2, 1/(AW2159:BH2159&lt;&gt;""), 1)-1), ROW(INDIRECT("1:" &amp; MATCH(2, 1/(AW2159:BH2159&lt;&gt;""), 1)-1))) &gt;= 115%, 115%, INDEX(AW2159:INDEX(AW2159:BH2159, MATCH(2, 1/(AW2159:BH2159&lt;&gt;""), 1)-1), ROW(INDIRECT("1:" &amp; MATCH(2, 1/(AW2159:BH2159&lt;&gt;""), 1)-1)))), 0))/_xlfn.XLOOKUP(F2159,Apuração!A:A,Apuração!B:B)&gt;=1.15,1.15,SUM(IFERROR(IF(INDEX(AW2159:INDEX(AW2159:BH2159, MATCH(2, 1/(AW2159:BH2159&lt;&gt;""), 1)-1), ROW(INDIRECT("1:" &amp; MATCH(2, 1/(AW2159:BH2159&lt;&gt;""), 1)-1))) &gt;= 115%, 115%, INDEX(AW2159:INDEX(AW2159:BH2159, MATCH(2, 1/(AW2159:BH2159&lt;&gt;""), 1)-1), ROW(INDIRECT("1:" &amp; MATCH(2, 1/(AW2159:BH2159&lt;&gt;""), 1)-1)))), 0))/_xlfn.XLOOKUP(F2159,Apuração!A:A,Apuração!B:B))</f>
        <v>0</v>
      </c>
      <c r="BM2159" s="55" cm="1">
        <f t="array" ref="BM2159">IFERROR(
   INDEX($AW$1:$BH$1,
      _xlfn.AGGREGATE(14, 6, COLUMN($AW$1:$BH$1)/(AW2159:BH2159&lt;&gt;""), 2) - COLUMN($AW$1) + 1
   ),
"")</f>
        <v>46082</v>
      </c>
      <c r="BN2159" s="55" cm="1">
        <f t="array" ref="BN2159">IFERROR(INDEX($AW$1:$BH$1,1,MATCH(2,1/(AW2159:BH2159&lt;&gt;""))),"")</f>
        <v>46113</v>
      </c>
      <c r="BO2159" s="53">
        <f ca="1">IFERROR(_xlfn.XLOOKUP(F2159,Apuração!A:A,Apuração!C:C)/_xlfn.XLOOKUP(F2159,Apuração!A:A,Apuração!B:B),0)</f>
        <v>0.22222222222222221</v>
      </c>
      <c r="BP2159" s="53">
        <f ca="1">IFERROR(_xlfn.XLOOKUP(F2159,Apuração!A:A,Apuração!D:D)/_xlfn.XLOOKUP(F2159,Apuração!A:A,Apuração!B:B),0)</f>
        <v>0.1111111111111111</v>
      </c>
      <c r="BQ2159" s="53">
        <f ca="1">IF(BK2159&gt;=BO2159,0,_xlfn.XLOOKUP(F2159,Apuração!A:A,Apuração!B:B)*(BO2159 + (1/_xlfn.XLOOKUP(F2159,Apuração!A:A,Apuração!B:B)) - BK2159))</f>
        <v>1.8499999999999999</v>
      </c>
      <c r="BR2159" s="85">
        <f t="shared" ca="1" si="2561"/>
        <v>0</v>
      </c>
      <c r="BS2159" s="53">
        <f ca="1">IFERROR((_xlfn.XLOOKUP(F2159,Apuração!A:A,Apuração!C:C)+1)/_xlfn.XLOOKUP(F2159,Apuração!A:A,Apuração!B:B),0)</f>
        <v>0.33333333333333331</v>
      </c>
    </row>
    <row r="2160" spans="1:71" ht="25.95" hidden="1" customHeight="1" x14ac:dyDescent="0.3">
      <c r="A2160" s="42" t="s">
        <v>134</v>
      </c>
      <c r="B2160" s="4" t="s">
        <v>158</v>
      </c>
      <c r="C2160" s="5" t="s">
        <v>216</v>
      </c>
      <c r="D2160" s="5" t="s">
        <v>36</v>
      </c>
      <c r="E2160" s="4" t="str" cm="1">
        <f t="array" ref="E2160">_xlfn.IFS(
F2160 = "A partir de Abril", "Aguardando Execução na Distribuidora",
A2160 = "CAPACITAÇÃO", "Em execução no Corporativo",
TRUE, "Em Execução na Distribuidora"
)</f>
        <v>Em Execução na Distribuidora</v>
      </c>
      <c r="F2160" s="4" t="str" cm="1">
        <f t="array" ref="F2160">_xlfn.IFS(
AG2160 &lt;&gt; "", "Jan-Dez/26",
AH2160 &lt;&gt; "", "Fev-Dez/26",
AI2160 &lt;&gt; "", "Mar-Dez/26", AJ2160 &lt;&gt; "", "Abr-Dez/26",
TRUE, "A partir de Junho"
)</f>
        <v>Jan-Dez/26</v>
      </c>
      <c r="G2160" s="4" t="s">
        <v>62</v>
      </c>
      <c r="H2160" s="7" t="s">
        <v>54</v>
      </c>
      <c r="I2160" s="8" t="s">
        <v>165</v>
      </c>
      <c r="J2160" s="8" t="str" cm="1">
        <f t="array" aca="1" ref="J2160" ca="1">_xlfn.LET(
  _xlpm.actual_value_month, INDEX(T2160:AE2160, MATCH(DATE(YEAR(TODAY()), MONTH(TODAY()), 1), $T$1:$AE$1, 0)),
  IF(_xlpm.actual_value_month &lt;&gt; "",_xlpm.actual_value_month &amp; " ações mensais", "")
)</f>
        <v/>
      </c>
      <c r="K2160" s="8" t="str" cm="1">
        <f t="array" ref="K2160">_xlfn.LET(
    _xlpm.sum_month, SUM(T2160:AE2160),
    IF(_xlpm.sum_month = 0, "", _xlpm.sum_month &amp; " participações de líderes nas agendas semanais")
)</f>
        <v>285 participações de líderes nas agendas semanais</v>
      </c>
      <c r="L2160" s="4" t="s">
        <v>166</v>
      </c>
      <c r="M2160" s="24">
        <v>1</v>
      </c>
      <c r="N2160" s="5" t="s">
        <v>51</v>
      </c>
      <c r="O2160" s="111" t="s">
        <v>43</v>
      </c>
      <c r="P2160" s="10" t="s">
        <v>44</v>
      </c>
      <c r="Q2160" s="10" t="s">
        <v>44</v>
      </c>
      <c r="R2160" s="11" t="s">
        <v>44</v>
      </c>
      <c r="S2160" s="11" t="s">
        <v>44</v>
      </c>
      <c r="T2160" s="22">
        <v>104</v>
      </c>
      <c r="U2160" s="22">
        <v>85</v>
      </c>
      <c r="V2160" s="22">
        <v>96</v>
      </c>
      <c r="W2160" s="22"/>
      <c r="X2160" s="22"/>
      <c r="Y2160" s="22"/>
      <c r="Z2160" s="22"/>
      <c r="AA2160" s="22"/>
      <c r="AB2160" s="22"/>
      <c r="AC2160" s="22"/>
      <c r="AD2160" s="22"/>
      <c r="AE2160" s="22"/>
      <c r="AG2160" s="71">
        <v>104</v>
      </c>
      <c r="AH2160" s="71">
        <v>85</v>
      </c>
      <c r="AI2160" s="71">
        <v>96</v>
      </c>
      <c r="AJ2160" s="71">
        <v>863</v>
      </c>
      <c r="AK2160" s="71"/>
      <c r="AL2160" s="71"/>
      <c r="AM2160" s="71"/>
      <c r="AN2160" s="71"/>
      <c r="AO2160" s="71"/>
      <c r="AP2160" s="71"/>
      <c r="AQ2160" s="71"/>
      <c r="AR2160" s="71"/>
      <c r="AS2160" s="94">
        <f ca="1">IF(MONTH(TODAY())=3,SUM(T2160:U2160),IF(MONTH(TODAY())=4,SUM(T2160:V2160),IF(MONTH(TODAY())=5,SUM(T2160:W2160),IF(MONTH(TODAY())=6,SUM(T2160:X2160),IF(MONTH(TODAY())=7,SUM(T2160:Y2160),IF(MONTH(TODAY())=8,SUM(T2160:Z2160),IF(MONTH(TODAY())=9,SUM(T2160:AA2160),IF(MONTH(TODAY())=10,SUM(T2160:AB2160),IF(MONTH(TODAY())=11,SUM(T2160:AC2160),IF(MONTH(TODAY())=12,SUM(T2160:AD2160),IF(MONTH(TODAY())=1,SUM(T2160:AE2160),T2160)))))))))))</f>
        <v>285</v>
      </c>
      <c r="AT2160" s="95">
        <f>SUM(AG2160:AR2160)</f>
        <v>1148</v>
      </c>
      <c r="AU2160" s="97">
        <f>SUM(AG2160:AR2160)</f>
        <v>1148</v>
      </c>
      <c r="AW2160" s="83">
        <f>AG2160</f>
        <v>104</v>
      </c>
      <c r="AX2160" s="83">
        <f>AH2160</f>
        <v>85</v>
      </c>
      <c r="AY2160" s="83">
        <f>AI2160</f>
        <v>96</v>
      </c>
      <c r="AZ2160" s="83">
        <f>AJ2160</f>
        <v>863</v>
      </c>
      <c r="BA2160" s="52"/>
      <c r="BB2160" s="52"/>
      <c r="BC2160" s="52"/>
      <c r="BD2160" s="52"/>
      <c r="BE2160" s="52"/>
      <c r="BF2160" s="52"/>
      <c r="BG2160" s="52"/>
      <c r="BH2160" s="52"/>
      <c r="BI2160" s="68" cm="1">
        <f t="array" ref="BI2160">IFERROR(INDEX(AW2160:BH2160,1,MATCH(2,1/(AW2160:BH2160&lt;&gt;""))),"")</f>
        <v>863</v>
      </c>
      <c r="BJ2160" s="68" cm="1">
        <f t="array" ref="BJ2160">IF(BM2160 = "", "",IFERROR(INDEX(AW2160:BH2160,1,MATCH(2,1/(AW2160:BH2160&lt;&gt;""),1)-1),""))</f>
        <v>96</v>
      </c>
      <c r="BK2160" s="59">
        <f>IF((IF(AW2160&gt;=150%,150%,AW2160) + IF(AX2160&gt;=150%,150%,AX2160) + IF(AY2160&gt;=150%,150%,AY2160) + (IF(AW2160&gt;=150%,150%,AW2160) + IF(BA2160&gt;=150%,150%,BA2160) + IF(BB2160&gt;=150%,150%,BB2160) + IF(BC2160&gt;=150%,150%,BC2160) + IF(BD2160&gt;=150%,150%,BD2160) + IF(BE2160&gt;=150%,150%,BE2160) + IF(BF2160&gt;=150%,150%,BF2160) + IF(BG2160&gt;=150%,150%,BG2160) + IF(BH2160&gt;=150%,150%,BH2160)))/_xlfn.XLOOKUP(F2160,Apuração!A:A,Apuração!B:B)&gt;=1.15,1.15,((IF(AW2160&gt;=150%,150%,AW2160) + IF(AX2160&gt;=150%,150%,AX2160) + IF(AY2160&gt;=150%,150%,AY2160) + (IF(AW2160&gt;=150%,150%,AW2160) + IF(BA2160&gt;=150%,150%,BA2160) + IF(BB2160&gt;=150%,150%,BB2160) + IF(BC2160&gt;=150%,150%,BC2160) + IF(BD2160&gt;=150%,150%,BD2160) + IF(BE2160&gt;=150%,150%,BE2160) + IF(BF2160&gt;=150%,150%,BF2160) + IF(BG2160&gt;=150%,150%,BG2160) + IF(BH2160&gt;=150%,150%,BH2160)))/_xlfn.XLOOKUP(F2160,Apuração!A:A,Apuração!B:B)))</f>
        <v>0.5</v>
      </c>
      <c r="BL2160" s="59" cm="1">
        <f t="array" aca="1" ref="BL2160" ca="1">IF(SUM(IFERROR(IF(INDEX(AW2160:INDEX(AW2160:BH2160, MATCH(2, 1/(AW2160:BH2160&lt;&gt;""), 1)-1), ROW(INDIRECT("1:" &amp; MATCH(2, 1/(AW2160:BH2160&lt;&gt;""), 1)-1))) &gt;= 150%, 150%, INDEX(AW2160:INDEX(AW2160:BH2160, MATCH(2, 1/(AW2160:BH2160&lt;&gt;""), 1)-1), ROW(INDIRECT("1:" &amp; MATCH(2, 1/(AW2160:BH2160&lt;&gt;""), 1)-1)))), 0))/_xlfn.XLOOKUP(F2160,Apuração!A:A,Apuração!B:B)&gt;=1.15,1.15,SUM(IFERROR(IF(INDEX(AW2160:INDEX(AW2160:BH2160, MATCH(2, 1/(AW2160:BH2160&lt;&gt;""), 1)-1), ROW(INDIRECT("1:" &amp; MATCH(2, 1/(AW2160:BH2160&lt;&gt;""), 1)-1))) &gt;= 150%, 150%, INDEX(AW2160:INDEX(AW2160:BH2160, MATCH(2, 1/(AW2160:BH2160&lt;&gt;""), 1)-1), ROW(INDIRECT("1:" &amp; MATCH(2, 1/(AW2160:BH2160&lt;&gt;""), 1)-1)))), 0))/_xlfn.XLOOKUP(F2160,Apuração!A:A,Apuração!B:B))</f>
        <v>0.375</v>
      </c>
      <c r="BM2160" s="55" cm="1">
        <f t="array" ref="BM2160">IFERROR(
   INDEX($AW$1:$BH$1,
      _xlfn.AGGREGATE(14, 6, COLUMN($AW$1:$BH$1)/(AW2160:BH2160&lt;&gt;""), 2) - COLUMN($AW$1) + 1
   ),
"")</f>
        <v>46082</v>
      </c>
      <c r="BN2160" s="55" cm="1">
        <f t="array" ref="BN2160">IFERROR(INDEX($AW$1:$BH$1,1,MATCH(2,1/(AW2160:BH2160&lt;&gt;""))),"")</f>
        <v>46113</v>
      </c>
      <c r="BO2160" s="53">
        <f ca="1">IFERROR(_xlfn.XLOOKUP(F2160,Apuração!A:A,Apuração!C:C)/_xlfn.XLOOKUP(F2160,Apuração!A:A,Apuração!B:B),0)</f>
        <v>0.41666666666666669</v>
      </c>
      <c r="BP2160" s="53">
        <f ca="1">IFERROR(_xlfn.XLOOKUP(F2160,Apuração!A:A,Apuração!D:D)/_xlfn.XLOOKUP(F2160,Apuração!A:A,Apuração!B:B),0)</f>
        <v>0.33333333333333331</v>
      </c>
      <c r="BQ2160" s="53">
        <f ca="1">IF(BK2160&gt;=BO2160,0,_xlfn.XLOOKUP(F2160,Apuração!A:A,Apuração!B:B)*(BO2160 + (1/_xlfn.XLOOKUP(F2160,Apuração!A:A,Apuração!B:B)) - BK2160))</f>
        <v>0</v>
      </c>
      <c r="BR2160" s="85">
        <f ca="1">IF(BQ2160=0,0,BQ2160*Z2160)</f>
        <v>0</v>
      </c>
      <c r="BS2160" s="53">
        <f ca="1">IFERROR((_xlfn.XLOOKUP(F2160,Apuração!A:A,Apuração!C:C)+1)/_xlfn.XLOOKUP(F2160,Apuração!A:A,Apuração!B:B),0)</f>
        <v>0.5</v>
      </c>
    </row>
    <row r="2161" spans="1:71" ht="25.95" hidden="1" customHeight="1" x14ac:dyDescent="0.3">
      <c r="A2161" s="42" t="s">
        <v>134</v>
      </c>
      <c r="B2161" s="4" t="s">
        <v>158</v>
      </c>
      <c r="C2161" s="5" t="s">
        <v>216</v>
      </c>
      <c r="D2161" s="5" t="s">
        <v>217</v>
      </c>
      <c r="E2161" s="4" t="str" cm="1">
        <f t="array" ref="E2161">_xlfn.IFS(
F2161 = "A partir de Abril", "Aguardando Execução na Distribuidora",
A2161 = "CAPACITAÇÃO", "Em execução no Corporativo",
TRUE, "Em Execução na Distribuidora"
)</f>
        <v>Em Execução na Distribuidora</v>
      </c>
      <c r="F2161" s="4" t="str" cm="1">
        <f t="array" ref="F2161">_xlfn.IFS(
AG2161 &lt;&gt; "", "Jan-Dez/26",
AH2161 &lt;&gt; "", "Fev-Dez/26",
AI2161 &lt;&gt; "", "Mar-Dez/26", AJ2161 &lt;&gt; "", "Abr-Dez/26",
TRUE, "A partir de Junho"
)</f>
        <v>Abr-Dez/26</v>
      </c>
      <c r="G2161" s="4" t="s">
        <v>62</v>
      </c>
      <c r="H2161" s="7" t="s">
        <v>54</v>
      </c>
      <c r="I2161" s="8" t="s">
        <v>165</v>
      </c>
      <c r="J2161" s="8" t="str" cm="1">
        <f t="array" aca="1" ref="J2161" ca="1">_xlfn.LET(
  _xlpm.actual_value_month, INDEX(T2161:AE2161, MATCH(DATE(YEAR(TODAY()), MONTH(TODAY()), 1), $T$1:$AE$1, 0)),
  IF(_xlpm.actual_value_month &lt;&gt; "",_xlpm.actual_value_month &amp; " ações mensais", "")
)</f>
        <v/>
      </c>
      <c r="K2161" s="8" t="str" cm="1">
        <f t="array" ref="K2161">_xlfn.LET(
    _xlpm.sum_month, SUM(T2161:AE2161),
    IF(_xlpm.sum_month = 0, "", _xlpm.sum_month &amp; " participações de líderes nas agendas semanais")
)</f>
        <v/>
      </c>
      <c r="L2161" s="4" t="s">
        <v>166</v>
      </c>
      <c r="M2161" s="24">
        <v>1</v>
      </c>
      <c r="N2161" s="5" t="s">
        <v>51</v>
      </c>
      <c r="O2161" s="111" t="s">
        <v>43</v>
      </c>
      <c r="P2161" s="10" t="s">
        <v>44</v>
      </c>
      <c r="Q2161" s="10" t="s">
        <v>44</v>
      </c>
      <c r="R2161" s="11" t="s">
        <v>44</v>
      </c>
      <c r="S2161" s="11" t="s">
        <v>44</v>
      </c>
      <c r="T2161" s="22"/>
      <c r="U2161" s="22"/>
      <c r="V2161" s="22"/>
      <c r="W2161" s="22"/>
      <c r="X2161" s="22"/>
      <c r="Y2161" s="22"/>
      <c r="Z2161" s="22"/>
      <c r="AA2161" s="22"/>
      <c r="AB2161" s="22"/>
      <c r="AC2161" s="22"/>
      <c r="AD2161" s="22"/>
      <c r="AE2161" s="22"/>
      <c r="AG2161" s="71"/>
      <c r="AH2161" s="71"/>
      <c r="AI2161" s="71"/>
      <c r="AJ2161" s="146">
        <v>233</v>
      </c>
      <c r="AK2161" s="71"/>
      <c r="AL2161" s="71"/>
      <c r="AM2161" s="71"/>
      <c r="AN2161" s="71"/>
      <c r="AO2161" s="71"/>
      <c r="AP2161" s="71"/>
      <c r="AQ2161" s="71"/>
      <c r="AR2161" s="71"/>
      <c r="AS2161" s="94">
        <f t="shared" ref="AS2161:AS2164" ca="1" si="2562">IF(MONTH(TODAY())=3,SUM(T2161:U2161),IF(MONTH(TODAY())=4,SUM(T2161:V2161),IF(MONTH(TODAY())=5,SUM(T2161:W2161),IF(MONTH(TODAY())=6,SUM(T2161:X2161),IF(MONTH(TODAY())=7,SUM(T2161:Y2161),IF(MONTH(TODAY())=8,SUM(T2161:Z2161),IF(MONTH(TODAY())=9,SUM(T2161:AA2161),IF(MONTH(TODAY())=10,SUM(T2161:AB2161),IF(MONTH(TODAY())=11,SUM(T2161:AC2161),IF(MONTH(TODAY())=12,SUM(T2161:AD2161),IF(MONTH(TODAY())=1,SUM(T2161:AE2161),T2161)))))))))))</f>
        <v>0</v>
      </c>
      <c r="AT2161" s="95">
        <f t="shared" ref="AT2161:AT2164" si="2563">SUM(AG2161:AR2161)</f>
        <v>233</v>
      </c>
      <c r="AU2161" s="97">
        <f t="shared" ref="AU2161:AU2164" si="2564">SUM(AG2161:AR2161)</f>
        <v>233</v>
      </c>
      <c r="AW2161" s="83">
        <f t="shared" ref="AW2161:AW2164" si="2565">AG2161</f>
        <v>0</v>
      </c>
      <c r="AX2161" s="83">
        <f t="shared" ref="AX2161:AX2164" si="2566">AH2161</f>
        <v>0</v>
      </c>
      <c r="AY2161" s="83">
        <f t="shared" ref="AY2161:AY2164" si="2567">AI2161</f>
        <v>0</v>
      </c>
      <c r="AZ2161" s="83">
        <f t="shared" ref="AZ2161:AZ2164" si="2568">AJ2161</f>
        <v>233</v>
      </c>
      <c r="BA2161" s="52"/>
      <c r="BB2161" s="52"/>
      <c r="BC2161" s="52"/>
      <c r="BD2161" s="52"/>
      <c r="BE2161" s="52"/>
      <c r="BF2161" s="52"/>
      <c r="BG2161" s="52"/>
      <c r="BH2161" s="52"/>
      <c r="BI2161" s="68" cm="1">
        <f t="array" ref="BI2161">IFERROR(INDEX(AW2161:BH2161,1,MATCH(2,1/(AW2161:BH2161&lt;&gt;""))),"")</f>
        <v>233</v>
      </c>
      <c r="BJ2161" s="68" cm="1">
        <f t="array" ref="BJ2161">IF(BM2161 = "", "",IFERROR(INDEX(AW2161:BH2161,1,MATCH(2,1/(AW2161:BH2161&lt;&gt;""),1)-1),""))</f>
        <v>0</v>
      </c>
      <c r="BK2161" s="59">
        <f>IF((IF(AW2161&gt;=150%,150%,AW2161) + IF(AX2161&gt;=150%,150%,AX2161) + IF(AY2161&gt;=150%,150%,AY2161) + (IF(AW2161&gt;=150%,150%,AW2161) + IF(BA2161&gt;=150%,150%,BA2161) + IF(BB2161&gt;=150%,150%,BB2161) + IF(BC2161&gt;=150%,150%,BC2161) + IF(BD2161&gt;=150%,150%,BD2161) + IF(BE2161&gt;=150%,150%,BE2161) + IF(BF2161&gt;=150%,150%,BF2161) + IF(BG2161&gt;=150%,150%,BG2161) + IF(BH2161&gt;=150%,150%,BH2161)))/_xlfn.XLOOKUP(F2161,Apuração!A:A,Apuração!B:B)&gt;=1.15,1.15,((IF(AW2161&gt;=150%,150%,AW2161) + IF(AX2161&gt;=150%,150%,AX2161) + IF(AY2161&gt;=150%,150%,AY2161) + (IF(AW2161&gt;=150%,150%,AW2161) + IF(BA2161&gt;=150%,150%,BA2161) + IF(BB2161&gt;=150%,150%,BB2161) + IF(BC2161&gt;=150%,150%,BC2161) + IF(BD2161&gt;=150%,150%,BD2161) + IF(BE2161&gt;=150%,150%,BE2161) + IF(BF2161&gt;=150%,150%,BF2161) + IF(BG2161&gt;=150%,150%,BG2161) + IF(BH2161&gt;=150%,150%,BH2161)))/_xlfn.XLOOKUP(F2161,Apuração!A:A,Apuração!B:B)))</f>
        <v>0</v>
      </c>
      <c r="BL2161" s="59" cm="1">
        <f t="array" aca="1" ref="BL2161" ca="1">IF(SUM(IFERROR(IF(INDEX(AW2161:INDEX(AW2161:BH2161, MATCH(2, 1/(AW2161:BH2161&lt;&gt;""), 1)-1), ROW(INDIRECT("1:" &amp; MATCH(2, 1/(AW2161:BH2161&lt;&gt;""), 1)-1))) &gt;= 150%, 150%, INDEX(AW2161:INDEX(AW2161:BH2161, MATCH(2, 1/(AW2161:BH2161&lt;&gt;""), 1)-1), ROW(INDIRECT("1:" &amp; MATCH(2, 1/(AW2161:BH2161&lt;&gt;""), 1)-1)))), 0))/_xlfn.XLOOKUP(F2161,Apuração!A:A,Apuração!B:B)&gt;=1.15,1.15,SUM(IFERROR(IF(INDEX(AW2161:INDEX(AW2161:BH2161, MATCH(2, 1/(AW2161:BH2161&lt;&gt;""), 1)-1), ROW(INDIRECT("1:" &amp; MATCH(2, 1/(AW2161:BH2161&lt;&gt;""), 1)-1))) &gt;= 150%, 150%, INDEX(AW2161:INDEX(AW2161:BH2161, MATCH(2, 1/(AW2161:BH2161&lt;&gt;""), 1)-1), ROW(INDIRECT("1:" &amp; MATCH(2, 1/(AW2161:BH2161&lt;&gt;""), 1)-1)))), 0))/_xlfn.XLOOKUP(F2161,Apuração!A:A,Apuração!B:B))</f>
        <v>0</v>
      </c>
      <c r="BM2161" s="55" cm="1">
        <f t="array" ref="BM2161">IFERROR(
   INDEX($AW$1:$BH$1,
      _xlfn.AGGREGATE(14, 6, COLUMN($AW$1:$BH$1)/(AW2161:BH2161&lt;&gt;""), 2) - COLUMN($AW$1) + 1
   ),
"")</f>
        <v>46082</v>
      </c>
      <c r="BN2161" s="55" cm="1">
        <f t="array" ref="BN2161">IFERROR(INDEX($AW$1:$BH$1,1,MATCH(2,1/(AW2161:BH2161&lt;&gt;""))),"")</f>
        <v>46113</v>
      </c>
      <c r="BO2161" s="53">
        <f ca="1">IFERROR(_xlfn.XLOOKUP(F2161,Apuração!A:A,Apuração!C:C)/_xlfn.XLOOKUP(F2161,Apuração!A:A,Apuração!B:B),0)</f>
        <v>0.22222222222222221</v>
      </c>
      <c r="BP2161" s="53">
        <f ca="1">IFERROR(_xlfn.XLOOKUP(F2161,Apuração!A:A,Apuração!D:D)/_xlfn.XLOOKUP(F2161,Apuração!A:A,Apuração!B:B),0)</f>
        <v>0.1111111111111111</v>
      </c>
      <c r="BQ2161" s="53">
        <f ca="1">IF(BK2161&gt;=BO2161,0,_xlfn.XLOOKUP(F2161,Apuração!A:A,Apuração!B:B)*(BO2161 + (1/_xlfn.XLOOKUP(F2161,Apuração!A:A,Apuração!B:B)) - BK2161))</f>
        <v>3</v>
      </c>
      <c r="BR2161" s="85">
        <f t="shared" ref="BR2161:BR2164" ca="1" si="2569">IF(BQ2161=0,0,BQ2161*Z2161)</f>
        <v>0</v>
      </c>
      <c r="BS2161" s="53">
        <f ca="1">IFERROR((_xlfn.XLOOKUP(F2161,Apuração!A:A,Apuração!C:C)+1)/_xlfn.XLOOKUP(F2161,Apuração!A:A,Apuração!B:B),0)</f>
        <v>0.33333333333333331</v>
      </c>
    </row>
    <row r="2162" spans="1:71" ht="25.95" hidden="1" customHeight="1" x14ac:dyDescent="0.3">
      <c r="A2162" s="42" t="s">
        <v>134</v>
      </c>
      <c r="B2162" s="4" t="s">
        <v>158</v>
      </c>
      <c r="C2162" s="5" t="s">
        <v>216</v>
      </c>
      <c r="D2162" s="5" t="s">
        <v>103</v>
      </c>
      <c r="E2162" s="4" t="str" cm="1">
        <f t="array" ref="E2162">_xlfn.IFS(
F2162 = "A partir de Abril", "Aguardando Execução na Distribuidora",
A2162 = "CAPACITAÇÃO", "Em execução no Corporativo",
TRUE, "Em Execução na Distribuidora"
)</f>
        <v>Em Execução na Distribuidora</v>
      </c>
      <c r="F2162" s="4" t="str" cm="1">
        <f t="array" ref="F2162">_xlfn.IFS(
AG2162 &lt;&gt; "", "Jan-Dez/26",
AH2162 &lt;&gt; "", "Fev-Dez/26",
AI2162 &lt;&gt; "", "Mar-Dez/26", AJ2162 &lt;&gt; "", "Abr-Dez/26",
TRUE, "A partir de Junho"
)</f>
        <v>Abr-Dez/26</v>
      </c>
      <c r="G2162" s="4" t="s">
        <v>62</v>
      </c>
      <c r="H2162" s="7" t="s">
        <v>54</v>
      </c>
      <c r="I2162" s="8" t="s">
        <v>165</v>
      </c>
      <c r="J2162" s="8" t="str" cm="1">
        <f t="array" aca="1" ref="J2162" ca="1">_xlfn.LET(
  _xlpm.actual_value_month, INDEX(T2162:AE2162, MATCH(DATE(YEAR(TODAY()), MONTH(TODAY()), 1), $T$1:$AE$1, 0)),
  IF(_xlpm.actual_value_month &lt;&gt; "",_xlpm.actual_value_month &amp; " ações mensais", "")
)</f>
        <v/>
      </c>
      <c r="K2162" s="8" t="str" cm="1">
        <f t="array" ref="K2162">_xlfn.LET(
    _xlpm.sum_month, SUM(T2162:AE2162),
    IF(_xlpm.sum_month = 0, "", _xlpm.sum_month &amp; " participações de líderes nas agendas semanais")
)</f>
        <v/>
      </c>
      <c r="L2162" s="4" t="s">
        <v>166</v>
      </c>
      <c r="M2162" s="24">
        <v>1</v>
      </c>
      <c r="N2162" s="5" t="s">
        <v>51</v>
      </c>
      <c r="O2162" s="111" t="s">
        <v>43</v>
      </c>
      <c r="P2162" s="10" t="s">
        <v>44</v>
      </c>
      <c r="Q2162" s="10" t="s">
        <v>44</v>
      </c>
      <c r="R2162" s="11" t="s">
        <v>44</v>
      </c>
      <c r="S2162" s="11" t="s">
        <v>44</v>
      </c>
      <c r="T2162" s="22"/>
      <c r="U2162" s="22"/>
      <c r="V2162" s="22"/>
      <c r="W2162" s="22"/>
      <c r="X2162" s="22"/>
      <c r="Y2162" s="22"/>
      <c r="Z2162" s="22"/>
      <c r="AA2162" s="22"/>
      <c r="AB2162" s="22"/>
      <c r="AC2162" s="22"/>
      <c r="AD2162" s="22"/>
      <c r="AE2162" s="22"/>
      <c r="AG2162" s="71"/>
      <c r="AH2162" s="71"/>
      <c r="AI2162" s="71"/>
      <c r="AJ2162" s="146">
        <v>293</v>
      </c>
      <c r="AK2162" s="71"/>
      <c r="AL2162" s="71"/>
      <c r="AM2162" s="71"/>
      <c r="AN2162" s="71"/>
      <c r="AO2162" s="71"/>
      <c r="AP2162" s="71"/>
      <c r="AQ2162" s="71"/>
      <c r="AR2162" s="71"/>
      <c r="AS2162" s="94">
        <f t="shared" ca="1" si="2562"/>
        <v>0</v>
      </c>
      <c r="AT2162" s="95">
        <f t="shared" si="2563"/>
        <v>293</v>
      </c>
      <c r="AU2162" s="97">
        <f t="shared" si="2564"/>
        <v>293</v>
      </c>
      <c r="AW2162" s="83">
        <f t="shared" si="2565"/>
        <v>0</v>
      </c>
      <c r="AX2162" s="83">
        <f t="shared" si="2566"/>
        <v>0</v>
      </c>
      <c r="AY2162" s="83">
        <f t="shared" si="2567"/>
        <v>0</v>
      </c>
      <c r="AZ2162" s="83">
        <f t="shared" si="2568"/>
        <v>293</v>
      </c>
      <c r="BA2162" s="52"/>
      <c r="BB2162" s="52"/>
      <c r="BC2162" s="52"/>
      <c r="BD2162" s="52"/>
      <c r="BE2162" s="52"/>
      <c r="BF2162" s="52"/>
      <c r="BG2162" s="52"/>
      <c r="BH2162" s="52"/>
      <c r="BI2162" s="68" cm="1">
        <f t="array" ref="BI2162">IFERROR(INDEX(AW2162:BH2162,1,MATCH(2,1/(AW2162:BH2162&lt;&gt;""))),"")</f>
        <v>293</v>
      </c>
      <c r="BJ2162" s="68" cm="1">
        <f t="array" ref="BJ2162">IF(BM2162 = "", "",IFERROR(INDEX(AW2162:BH2162,1,MATCH(2,1/(AW2162:BH2162&lt;&gt;""),1)-1),""))</f>
        <v>0</v>
      </c>
      <c r="BK2162" s="59">
        <f>IF((IF(AW2162&gt;=150%,150%,AW2162) + IF(AX2162&gt;=150%,150%,AX2162) + IF(AY2162&gt;=150%,150%,AY2162) + (IF(AW2162&gt;=150%,150%,AW2162) + IF(BA2162&gt;=150%,150%,BA2162) + IF(BB2162&gt;=150%,150%,BB2162) + IF(BC2162&gt;=150%,150%,BC2162) + IF(BD2162&gt;=150%,150%,BD2162) + IF(BE2162&gt;=150%,150%,BE2162) + IF(BF2162&gt;=150%,150%,BF2162) + IF(BG2162&gt;=150%,150%,BG2162) + IF(BH2162&gt;=150%,150%,BH2162)))/_xlfn.XLOOKUP(F2162,Apuração!A:A,Apuração!B:B)&gt;=1.15,1.15,((IF(AW2162&gt;=150%,150%,AW2162) + IF(AX2162&gt;=150%,150%,AX2162) + IF(AY2162&gt;=150%,150%,AY2162) + (IF(AW2162&gt;=150%,150%,AW2162) + IF(BA2162&gt;=150%,150%,BA2162) + IF(BB2162&gt;=150%,150%,BB2162) + IF(BC2162&gt;=150%,150%,BC2162) + IF(BD2162&gt;=150%,150%,BD2162) + IF(BE2162&gt;=150%,150%,BE2162) + IF(BF2162&gt;=150%,150%,BF2162) + IF(BG2162&gt;=150%,150%,BG2162) + IF(BH2162&gt;=150%,150%,BH2162)))/_xlfn.XLOOKUP(F2162,Apuração!A:A,Apuração!B:B)))</f>
        <v>0</v>
      </c>
      <c r="BL2162" s="59" cm="1">
        <f t="array" aca="1" ref="BL2162" ca="1">IF(SUM(IFERROR(IF(INDEX(AW2162:INDEX(AW2162:BH2162, MATCH(2, 1/(AW2162:BH2162&lt;&gt;""), 1)-1), ROW(INDIRECT("1:" &amp; MATCH(2, 1/(AW2162:BH2162&lt;&gt;""), 1)-1))) &gt;= 150%, 150%, INDEX(AW2162:INDEX(AW2162:BH2162, MATCH(2, 1/(AW2162:BH2162&lt;&gt;""), 1)-1), ROW(INDIRECT("1:" &amp; MATCH(2, 1/(AW2162:BH2162&lt;&gt;""), 1)-1)))), 0))/_xlfn.XLOOKUP(F2162,Apuração!A:A,Apuração!B:B)&gt;=1.15,1.15,SUM(IFERROR(IF(INDEX(AW2162:INDEX(AW2162:BH2162, MATCH(2, 1/(AW2162:BH2162&lt;&gt;""), 1)-1), ROW(INDIRECT("1:" &amp; MATCH(2, 1/(AW2162:BH2162&lt;&gt;""), 1)-1))) &gt;= 150%, 150%, INDEX(AW2162:INDEX(AW2162:BH2162, MATCH(2, 1/(AW2162:BH2162&lt;&gt;""), 1)-1), ROW(INDIRECT("1:" &amp; MATCH(2, 1/(AW2162:BH2162&lt;&gt;""), 1)-1)))), 0))/_xlfn.XLOOKUP(F2162,Apuração!A:A,Apuração!B:B))</f>
        <v>0</v>
      </c>
      <c r="BM2162" s="55" cm="1">
        <f t="array" ref="BM2162">IFERROR(
   INDEX($AW$1:$BH$1,
      _xlfn.AGGREGATE(14, 6, COLUMN($AW$1:$BH$1)/(AW2162:BH2162&lt;&gt;""), 2) - COLUMN($AW$1) + 1
   ),
"")</f>
        <v>46082</v>
      </c>
      <c r="BN2162" s="55" cm="1">
        <f t="array" ref="BN2162">IFERROR(INDEX($AW$1:$BH$1,1,MATCH(2,1/(AW2162:BH2162&lt;&gt;""))),"")</f>
        <v>46113</v>
      </c>
      <c r="BO2162" s="53">
        <f ca="1">IFERROR(_xlfn.XLOOKUP(F2162,Apuração!A:A,Apuração!C:C)/_xlfn.XLOOKUP(F2162,Apuração!A:A,Apuração!B:B),0)</f>
        <v>0.22222222222222221</v>
      </c>
      <c r="BP2162" s="53">
        <f ca="1">IFERROR(_xlfn.XLOOKUP(F2162,Apuração!A:A,Apuração!D:D)/_xlfn.XLOOKUP(F2162,Apuração!A:A,Apuração!B:B),0)</f>
        <v>0.1111111111111111</v>
      </c>
      <c r="BQ2162" s="53">
        <f ca="1">IF(BK2162&gt;=BO2162,0,_xlfn.XLOOKUP(F2162,Apuração!A:A,Apuração!B:B)*(BO2162 + (1/_xlfn.XLOOKUP(F2162,Apuração!A:A,Apuração!B:B)) - BK2162))</f>
        <v>3</v>
      </c>
      <c r="BR2162" s="85">
        <f t="shared" ca="1" si="2569"/>
        <v>0</v>
      </c>
      <c r="BS2162" s="53">
        <f ca="1">IFERROR((_xlfn.XLOOKUP(F2162,Apuração!A:A,Apuração!C:C)+1)/_xlfn.XLOOKUP(F2162,Apuração!A:A,Apuração!B:B),0)</f>
        <v>0.33333333333333331</v>
      </c>
    </row>
    <row r="2163" spans="1:71" ht="25.95" hidden="1" customHeight="1" x14ac:dyDescent="0.3">
      <c r="A2163" s="42" t="s">
        <v>134</v>
      </c>
      <c r="B2163" s="4" t="s">
        <v>158</v>
      </c>
      <c r="C2163" s="5" t="s">
        <v>216</v>
      </c>
      <c r="D2163" s="5" t="s">
        <v>218</v>
      </c>
      <c r="E2163" s="4" t="str" cm="1">
        <f t="array" ref="E2163">_xlfn.IFS(
F2163 = "A partir de Abril", "Aguardando Execução na Distribuidora",
A2163 = "CAPACITAÇÃO", "Em execução no Corporativo",
TRUE, "Em Execução na Distribuidora"
)</f>
        <v>Em Execução na Distribuidora</v>
      </c>
      <c r="F2163" s="4" t="str" cm="1">
        <f t="array" ref="F2163">_xlfn.IFS(
AG2163 &lt;&gt; "", "Jan-Dez/26",
AH2163 &lt;&gt; "", "Fev-Dez/26",
AI2163 &lt;&gt; "", "Mar-Dez/26", AJ2163 &lt;&gt; "", "Abr-Dez/26",
TRUE, "A partir de Junho"
)</f>
        <v>Abr-Dez/26</v>
      </c>
      <c r="G2163" s="4" t="s">
        <v>62</v>
      </c>
      <c r="H2163" s="7" t="s">
        <v>54</v>
      </c>
      <c r="I2163" s="8" t="s">
        <v>165</v>
      </c>
      <c r="J2163" s="8" t="str" cm="1">
        <f t="array" aca="1" ref="J2163" ca="1">_xlfn.LET(
  _xlpm.actual_value_month, INDEX(T2163:AE2163, MATCH(DATE(YEAR(TODAY()), MONTH(TODAY()), 1), $T$1:$AE$1, 0)),
  IF(_xlpm.actual_value_month &lt;&gt; "",_xlpm.actual_value_month &amp; " ações mensais", "")
)</f>
        <v/>
      </c>
      <c r="K2163" s="8" t="str" cm="1">
        <f t="array" ref="K2163">_xlfn.LET(
    _xlpm.sum_month, SUM(T2163:AE2163),
    IF(_xlpm.sum_month = 0, "", _xlpm.sum_month &amp; " participações de líderes nas agendas semanais")
)</f>
        <v/>
      </c>
      <c r="L2163" s="4" t="s">
        <v>166</v>
      </c>
      <c r="M2163" s="24">
        <v>1</v>
      </c>
      <c r="N2163" s="5" t="s">
        <v>51</v>
      </c>
      <c r="O2163" s="111" t="s">
        <v>43</v>
      </c>
      <c r="P2163" s="10" t="s">
        <v>44</v>
      </c>
      <c r="Q2163" s="10" t="s">
        <v>44</v>
      </c>
      <c r="R2163" s="11" t="s">
        <v>44</v>
      </c>
      <c r="S2163" s="11" t="s">
        <v>44</v>
      </c>
      <c r="T2163" s="22"/>
      <c r="U2163" s="22"/>
      <c r="V2163" s="22"/>
      <c r="W2163" s="22"/>
      <c r="X2163" s="22"/>
      <c r="Y2163" s="22"/>
      <c r="Z2163" s="22"/>
      <c r="AA2163" s="22"/>
      <c r="AB2163" s="22"/>
      <c r="AC2163" s="22"/>
      <c r="AD2163" s="22"/>
      <c r="AE2163" s="22"/>
      <c r="AG2163" s="71"/>
      <c r="AH2163" s="71"/>
      <c r="AI2163" s="71"/>
      <c r="AJ2163" s="146">
        <v>151</v>
      </c>
      <c r="AK2163" s="71"/>
      <c r="AL2163" s="71"/>
      <c r="AM2163" s="71"/>
      <c r="AN2163" s="71"/>
      <c r="AO2163" s="71"/>
      <c r="AP2163" s="71"/>
      <c r="AQ2163" s="71"/>
      <c r="AR2163" s="71"/>
      <c r="AS2163" s="94">
        <f t="shared" ca="1" si="2562"/>
        <v>0</v>
      </c>
      <c r="AT2163" s="95">
        <f t="shared" si="2563"/>
        <v>151</v>
      </c>
      <c r="AU2163" s="97">
        <f t="shared" si="2564"/>
        <v>151</v>
      </c>
      <c r="AW2163" s="83">
        <f t="shared" si="2565"/>
        <v>0</v>
      </c>
      <c r="AX2163" s="83">
        <f t="shared" si="2566"/>
        <v>0</v>
      </c>
      <c r="AY2163" s="83">
        <f t="shared" si="2567"/>
        <v>0</v>
      </c>
      <c r="AZ2163" s="83">
        <f t="shared" si="2568"/>
        <v>151</v>
      </c>
      <c r="BA2163" s="52"/>
      <c r="BB2163" s="52"/>
      <c r="BC2163" s="52"/>
      <c r="BD2163" s="52"/>
      <c r="BE2163" s="52"/>
      <c r="BF2163" s="52"/>
      <c r="BG2163" s="52"/>
      <c r="BH2163" s="52"/>
      <c r="BI2163" s="68" cm="1">
        <f t="array" ref="BI2163">IFERROR(INDEX(AW2163:BH2163,1,MATCH(2,1/(AW2163:BH2163&lt;&gt;""))),"")</f>
        <v>151</v>
      </c>
      <c r="BJ2163" s="68" cm="1">
        <f t="array" ref="BJ2163">IF(BM2163 = "", "",IFERROR(INDEX(AW2163:BH2163,1,MATCH(2,1/(AW2163:BH2163&lt;&gt;""),1)-1),""))</f>
        <v>0</v>
      </c>
      <c r="BK2163" s="59">
        <f>IF((IF(AW2163&gt;=150%,150%,AW2163) + IF(AX2163&gt;=150%,150%,AX2163) + IF(AY2163&gt;=150%,150%,AY2163) + (IF(AW2163&gt;=150%,150%,AW2163) + IF(BA2163&gt;=150%,150%,BA2163) + IF(BB2163&gt;=150%,150%,BB2163) + IF(BC2163&gt;=150%,150%,BC2163) + IF(BD2163&gt;=150%,150%,BD2163) + IF(BE2163&gt;=150%,150%,BE2163) + IF(BF2163&gt;=150%,150%,BF2163) + IF(BG2163&gt;=150%,150%,BG2163) + IF(BH2163&gt;=150%,150%,BH2163)))/_xlfn.XLOOKUP(F2163,Apuração!A:A,Apuração!B:B)&gt;=1.15,1.15,((IF(AW2163&gt;=150%,150%,AW2163) + IF(AX2163&gt;=150%,150%,AX2163) + IF(AY2163&gt;=150%,150%,AY2163) + (IF(AW2163&gt;=150%,150%,AW2163) + IF(BA2163&gt;=150%,150%,BA2163) + IF(BB2163&gt;=150%,150%,BB2163) + IF(BC2163&gt;=150%,150%,BC2163) + IF(BD2163&gt;=150%,150%,BD2163) + IF(BE2163&gt;=150%,150%,BE2163) + IF(BF2163&gt;=150%,150%,BF2163) + IF(BG2163&gt;=150%,150%,BG2163) + IF(BH2163&gt;=150%,150%,BH2163)))/_xlfn.XLOOKUP(F2163,Apuração!A:A,Apuração!B:B)))</f>
        <v>0</v>
      </c>
      <c r="BL2163" s="59" cm="1">
        <f t="array" aca="1" ref="BL2163" ca="1">IF(SUM(IFERROR(IF(INDEX(AW2163:INDEX(AW2163:BH2163, MATCH(2, 1/(AW2163:BH2163&lt;&gt;""), 1)-1), ROW(INDIRECT("1:" &amp; MATCH(2, 1/(AW2163:BH2163&lt;&gt;""), 1)-1))) &gt;= 150%, 150%, INDEX(AW2163:INDEX(AW2163:BH2163, MATCH(2, 1/(AW2163:BH2163&lt;&gt;""), 1)-1), ROW(INDIRECT("1:" &amp; MATCH(2, 1/(AW2163:BH2163&lt;&gt;""), 1)-1)))), 0))/_xlfn.XLOOKUP(F2163,Apuração!A:A,Apuração!B:B)&gt;=1.15,1.15,SUM(IFERROR(IF(INDEX(AW2163:INDEX(AW2163:BH2163, MATCH(2, 1/(AW2163:BH2163&lt;&gt;""), 1)-1), ROW(INDIRECT("1:" &amp; MATCH(2, 1/(AW2163:BH2163&lt;&gt;""), 1)-1))) &gt;= 150%, 150%, INDEX(AW2163:INDEX(AW2163:BH2163, MATCH(2, 1/(AW2163:BH2163&lt;&gt;""), 1)-1), ROW(INDIRECT("1:" &amp; MATCH(2, 1/(AW2163:BH2163&lt;&gt;""), 1)-1)))), 0))/_xlfn.XLOOKUP(F2163,Apuração!A:A,Apuração!B:B))</f>
        <v>0</v>
      </c>
      <c r="BM2163" s="55" cm="1">
        <f t="array" ref="BM2163">IFERROR(
   INDEX($AW$1:$BH$1,
      _xlfn.AGGREGATE(14, 6, COLUMN($AW$1:$BH$1)/(AW2163:BH2163&lt;&gt;""), 2) - COLUMN($AW$1) + 1
   ),
"")</f>
        <v>46082</v>
      </c>
      <c r="BN2163" s="55" cm="1">
        <f t="array" ref="BN2163">IFERROR(INDEX($AW$1:$BH$1,1,MATCH(2,1/(AW2163:BH2163&lt;&gt;""))),"")</f>
        <v>46113</v>
      </c>
      <c r="BO2163" s="53">
        <f ca="1">IFERROR(_xlfn.XLOOKUP(F2163,Apuração!A:A,Apuração!C:C)/_xlfn.XLOOKUP(F2163,Apuração!A:A,Apuração!B:B),0)</f>
        <v>0.22222222222222221</v>
      </c>
      <c r="BP2163" s="53">
        <f ca="1">IFERROR(_xlfn.XLOOKUP(F2163,Apuração!A:A,Apuração!D:D)/_xlfn.XLOOKUP(F2163,Apuração!A:A,Apuração!B:B),0)</f>
        <v>0.1111111111111111</v>
      </c>
      <c r="BQ2163" s="53">
        <f ca="1">IF(BK2163&gt;=BO2163,0,_xlfn.XLOOKUP(F2163,Apuração!A:A,Apuração!B:B)*(BO2163 + (1/_xlfn.XLOOKUP(F2163,Apuração!A:A,Apuração!B:B)) - BK2163))</f>
        <v>3</v>
      </c>
      <c r="BR2163" s="85">
        <f t="shared" ca="1" si="2569"/>
        <v>0</v>
      </c>
      <c r="BS2163" s="53">
        <f ca="1">IFERROR((_xlfn.XLOOKUP(F2163,Apuração!A:A,Apuração!C:C)+1)/_xlfn.XLOOKUP(F2163,Apuração!A:A,Apuração!B:B),0)</f>
        <v>0.33333333333333331</v>
      </c>
    </row>
    <row r="2164" spans="1:71" ht="25.95" hidden="1" customHeight="1" x14ac:dyDescent="0.3">
      <c r="A2164" s="42" t="s">
        <v>134</v>
      </c>
      <c r="B2164" s="4" t="s">
        <v>158</v>
      </c>
      <c r="C2164" s="5" t="s">
        <v>216</v>
      </c>
      <c r="D2164" s="5" t="s">
        <v>219</v>
      </c>
      <c r="E2164" s="4" t="str" cm="1">
        <f t="array" ref="E2164">_xlfn.IFS(
F2164 = "A partir de Abril", "Aguardando Execução na Distribuidora",
A2164 = "CAPACITAÇÃO", "Em execução no Corporativo",
TRUE, "Em Execução na Distribuidora"
)</f>
        <v>Em Execução na Distribuidora</v>
      </c>
      <c r="F2164" s="4" t="str" cm="1">
        <f t="array" ref="F2164">_xlfn.IFS(
AG2164 &lt;&gt; "", "Jan-Dez/26",
AH2164 &lt;&gt; "", "Fev-Dez/26",
AI2164 &lt;&gt; "", "Mar-Dez/26", AJ2164 &lt;&gt; "", "Abr-Dez/26",
TRUE, "A partir de Junho"
)</f>
        <v>Abr-Dez/26</v>
      </c>
      <c r="G2164" s="4" t="s">
        <v>62</v>
      </c>
      <c r="H2164" s="7" t="s">
        <v>54</v>
      </c>
      <c r="I2164" s="8" t="s">
        <v>165</v>
      </c>
      <c r="J2164" s="8" t="str" cm="1">
        <f t="array" aca="1" ref="J2164" ca="1">_xlfn.LET(
  _xlpm.actual_value_month, INDEX(T2164:AE2164, MATCH(DATE(YEAR(TODAY()), MONTH(TODAY()), 1), $T$1:$AE$1, 0)),
  IF(_xlpm.actual_value_month &lt;&gt; "",_xlpm.actual_value_month &amp; " ações mensais", "")
)</f>
        <v/>
      </c>
      <c r="K2164" s="8" t="str" cm="1">
        <f t="array" ref="K2164">_xlfn.LET(
    _xlpm.sum_month, SUM(T2164:AE2164),
    IF(_xlpm.sum_month = 0, "", _xlpm.sum_month &amp; " participações de líderes nas agendas semanais")
)</f>
        <v/>
      </c>
      <c r="L2164" s="4" t="s">
        <v>166</v>
      </c>
      <c r="M2164" s="24">
        <v>1</v>
      </c>
      <c r="N2164" s="5" t="s">
        <v>51</v>
      </c>
      <c r="O2164" s="111" t="s">
        <v>43</v>
      </c>
      <c r="P2164" s="10" t="s">
        <v>44</v>
      </c>
      <c r="Q2164" s="10" t="s">
        <v>44</v>
      </c>
      <c r="R2164" s="11" t="s">
        <v>44</v>
      </c>
      <c r="S2164" s="11" t="s">
        <v>44</v>
      </c>
      <c r="T2164" s="22"/>
      <c r="U2164" s="22"/>
      <c r="V2164" s="22"/>
      <c r="W2164" s="22"/>
      <c r="X2164" s="22"/>
      <c r="Y2164" s="22"/>
      <c r="Z2164" s="22"/>
      <c r="AA2164" s="22"/>
      <c r="AB2164" s="22"/>
      <c r="AC2164" s="22"/>
      <c r="AD2164" s="22"/>
      <c r="AE2164" s="22"/>
      <c r="AG2164" s="71"/>
      <c r="AH2164" s="71"/>
      <c r="AI2164" s="71"/>
      <c r="AJ2164" s="146">
        <v>186</v>
      </c>
      <c r="AK2164" s="71"/>
      <c r="AL2164" s="71"/>
      <c r="AM2164" s="71"/>
      <c r="AN2164" s="71"/>
      <c r="AO2164" s="71"/>
      <c r="AP2164" s="71"/>
      <c r="AQ2164" s="71"/>
      <c r="AR2164" s="71"/>
      <c r="AS2164" s="94">
        <f t="shared" ca="1" si="2562"/>
        <v>0</v>
      </c>
      <c r="AT2164" s="95">
        <f t="shared" si="2563"/>
        <v>186</v>
      </c>
      <c r="AU2164" s="97">
        <f t="shared" si="2564"/>
        <v>186</v>
      </c>
      <c r="AW2164" s="83">
        <f t="shared" si="2565"/>
        <v>0</v>
      </c>
      <c r="AX2164" s="83">
        <f t="shared" si="2566"/>
        <v>0</v>
      </c>
      <c r="AY2164" s="83">
        <f t="shared" si="2567"/>
        <v>0</v>
      </c>
      <c r="AZ2164" s="83">
        <f t="shared" si="2568"/>
        <v>186</v>
      </c>
      <c r="BA2164" s="52"/>
      <c r="BB2164" s="52"/>
      <c r="BC2164" s="52"/>
      <c r="BD2164" s="52"/>
      <c r="BE2164" s="52"/>
      <c r="BF2164" s="52"/>
      <c r="BG2164" s="52"/>
      <c r="BH2164" s="52"/>
      <c r="BI2164" s="68" cm="1">
        <f t="array" ref="BI2164">IFERROR(INDEX(AW2164:BH2164,1,MATCH(2,1/(AW2164:BH2164&lt;&gt;""))),"")</f>
        <v>186</v>
      </c>
      <c r="BJ2164" s="68" cm="1">
        <f t="array" ref="BJ2164">IF(BM2164 = "", "",IFERROR(INDEX(AW2164:BH2164,1,MATCH(2,1/(AW2164:BH2164&lt;&gt;""),1)-1),""))</f>
        <v>0</v>
      </c>
      <c r="BK2164" s="59">
        <f>IF((IF(AW2164&gt;=150%,150%,AW2164) + IF(AX2164&gt;=150%,150%,AX2164) + IF(AY2164&gt;=150%,150%,AY2164) + (IF(AW2164&gt;=150%,150%,AW2164) + IF(BA2164&gt;=150%,150%,BA2164) + IF(BB2164&gt;=150%,150%,BB2164) + IF(BC2164&gt;=150%,150%,BC2164) + IF(BD2164&gt;=150%,150%,BD2164) + IF(BE2164&gt;=150%,150%,BE2164) + IF(BF2164&gt;=150%,150%,BF2164) + IF(BG2164&gt;=150%,150%,BG2164) + IF(BH2164&gt;=150%,150%,BH2164)))/_xlfn.XLOOKUP(F2164,Apuração!A:A,Apuração!B:B)&gt;=1.15,1.15,((IF(AW2164&gt;=150%,150%,AW2164) + IF(AX2164&gt;=150%,150%,AX2164) + IF(AY2164&gt;=150%,150%,AY2164) + (IF(AW2164&gt;=150%,150%,AW2164) + IF(BA2164&gt;=150%,150%,BA2164) + IF(BB2164&gt;=150%,150%,BB2164) + IF(BC2164&gt;=150%,150%,BC2164) + IF(BD2164&gt;=150%,150%,BD2164) + IF(BE2164&gt;=150%,150%,BE2164) + IF(BF2164&gt;=150%,150%,BF2164) + IF(BG2164&gt;=150%,150%,BG2164) + IF(BH2164&gt;=150%,150%,BH2164)))/_xlfn.XLOOKUP(F2164,Apuração!A:A,Apuração!B:B)))</f>
        <v>0</v>
      </c>
      <c r="BL2164" s="59" cm="1">
        <f t="array" aca="1" ref="BL2164" ca="1">IF(SUM(IFERROR(IF(INDEX(AW2164:INDEX(AW2164:BH2164, MATCH(2, 1/(AW2164:BH2164&lt;&gt;""), 1)-1), ROW(INDIRECT("1:" &amp; MATCH(2, 1/(AW2164:BH2164&lt;&gt;""), 1)-1))) &gt;= 150%, 150%, INDEX(AW2164:INDEX(AW2164:BH2164, MATCH(2, 1/(AW2164:BH2164&lt;&gt;""), 1)-1), ROW(INDIRECT("1:" &amp; MATCH(2, 1/(AW2164:BH2164&lt;&gt;""), 1)-1)))), 0))/_xlfn.XLOOKUP(F2164,Apuração!A:A,Apuração!B:B)&gt;=1.15,1.15,SUM(IFERROR(IF(INDEX(AW2164:INDEX(AW2164:BH2164, MATCH(2, 1/(AW2164:BH2164&lt;&gt;""), 1)-1), ROW(INDIRECT("1:" &amp; MATCH(2, 1/(AW2164:BH2164&lt;&gt;""), 1)-1))) &gt;= 150%, 150%, INDEX(AW2164:INDEX(AW2164:BH2164, MATCH(2, 1/(AW2164:BH2164&lt;&gt;""), 1)-1), ROW(INDIRECT("1:" &amp; MATCH(2, 1/(AW2164:BH2164&lt;&gt;""), 1)-1)))), 0))/_xlfn.XLOOKUP(F2164,Apuração!A:A,Apuração!B:B))</f>
        <v>0</v>
      </c>
      <c r="BM2164" s="55" cm="1">
        <f t="array" ref="BM2164">IFERROR(
   INDEX($AW$1:$BH$1,
      _xlfn.AGGREGATE(14, 6, COLUMN($AW$1:$BH$1)/(AW2164:BH2164&lt;&gt;""), 2) - COLUMN($AW$1) + 1
   ),
"")</f>
        <v>46082</v>
      </c>
      <c r="BN2164" s="55" cm="1">
        <f t="array" ref="BN2164">IFERROR(INDEX($AW$1:$BH$1,1,MATCH(2,1/(AW2164:BH2164&lt;&gt;""))),"")</f>
        <v>46113</v>
      </c>
      <c r="BO2164" s="53">
        <f ca="1">IFERROR(_xlfn.XLOOKUP(F2164,Apuração!A:A,Apuração!C:C)/_xlfn.XLOOKUP(F2164,Apuração!A:A,Apuração!B:B),0)</f>
        <v>0.22222222222222221</v>
      </c>
      <c r="BP2164" s="53">
        <f ca="1">IFERROR(_xlfn.XLOOKUP(F2164,Apuração!A:A,Apuração!D:D)/_xlfn.XLOOKUP(F2164,Apuração!A:A,Apuração!B:B),0)</f>
        <v>0.1111111111111111</v>
      </c>
      <c r="BQ2164" s="53">
        <f ca="1">IF(BK2164&gt;=BO2164,0,_xlfn.XLOOKUP(F2164,Apuração!A:A,Apuração!B:B)*(BO2164 + (1/_xlfn.XLOOKUP(F2164,Apuração!A:A,Apuração!B:B)) - BK2164))</f>
        <v>3</v>
      </c>
      <c r="BR2164" s="85">
        <f t="shared" ca="1" si="2569"/>
        <v>0</v>
      </c>
      <c r="BS2164" s="53">
        <f ca="1">IFERROR((_xlfn.XLOOKUP(F2164,Apuração!A:A,Apuração!C:C)+1)/_xlfn.XLOOKUP(F2164,Apuração!A:A,Apuração!B:B),0)</f>
        <v>0.33333333333333331</v>
      </c>
    </row>
    <row r="2165" spans="1:71" ht="25.95" hidden="1" customHeight="1" x14ac:dyDescent="0.3">
      <c r="A2165" s="23" t="s">
        <v>134</v>
      </c>
      <c r="B2165" s="4" t="s">
        <v>167</v>
      </c>
      <c r="C2165" s="5" t="s">
        <v>216</v>
      </c>
      <c r="D2165" s="5" t="s">
        <v>36</v>
      </c>
      <c r="E2165" s="4" t="str" cm="1">
        <f t="array" ref="E2165">_xlfn.IFS(
F2165 = "A partir de Abril", "Aguardando Execução na Distribuidora",
A2165 = "CAPACITAÇÃO", "Em execução no Corporativo",
TRUE, "Em Execução na Distribuidora"
)</f>
        <v>Em Execução na Distribuidora</v>
      </c>
      <c r="F2165" s="4" t="str" cm="1">
        <f t="array" ref="F2165">_xlfn.IFS(
AG2165 &lt;&gt; "", "Jan-Dez/26",
AH2165 &lt;&gt; "", "Fev-Dez/26",
AI2165 &lt;&gt; "", "Mar-Dez/26", AJ2165 &lt;&gt; "", "Abr-Dez/26",
TRUE, "A partir de Junho"
)</f>
        <v>Jan-Dez/26</v>
      </c>
      <c r="G2165" s="4" t="s">
        <v>37</v>
      </c>
      <c r="H2165" s="7" t="s">
        <v>110</v>
      </c>
      <c r="I2165" s="8" t="s">
        <v>168</v>
      </c>
      <c r="J2165" s="8" t="str" cm="1">
        <f t="array" aca="1" ref="J2165" ca="1">_xlfn.LET(
  _xlpm.actual_value_month, INDEX(T2165:AE2165, MATCH(DATE(YEAR(TODAY()), MONTH(TODAY()), 1), $T$1:$AE$1, 0)),
  IF(_xlpm.actual_value_month &lt;&gt; "",_xlpm.actual_value_month &amp; " ações mensais", "")
)</f>
        <v>4 ações mensais</v>
      </c>
      <c r="K2165" s="8" t="str" cm="1">
        <f t="array" ref="K2165">_xlfn.LET(
    _xlpm.sum_month, SUM(T2165:AE2165),
    IF(_xlpm.sum_month = 0, "", _xlpm.sum_month &amp; " atividades no ano")
)</f>
        <v>48 atividades no ano</v>
      </c>
      <c r="L2165" s="9" t="s">
        <v>169</v>
      </c>
      <c r="M2165" s="24" t="s">
        <v>170</v>
      </c>
      <c r="N2165" s="5" t="s">
        <v>42</v>
      </c>
      <c r="O2165" s="5" t="s">
        <v>43</v>
      </c>
      <c r="P2165" s="10" t="s">
        <v>44</v>
      </c>
      <c r="Q2165" s="10" t="s">
        <v>44</v>
      </c>
      <c r="R2165" s="11" t="s">
        <v>66</v>
      </c>
      <c r="S2165" s="11" t="s">
        <v>67</v>
      </c>
      <c r="T2165" s="22">
        <v>4</v>
      </c>
      <c r="U2165" s="22">
        <v>4</v>
      </c>
      <c r="V2165" s="22">
        <v>4</v>
      </c>
      <c r="W2165" s="22">
        <v>4</v>
      </c>
      <c r="X2165" s="22">
        <v>4</v>
      </c>
      <c r="Y2165" s="22">
        <v>4</v>
      </c>
      <c r="Z2165" s="22">
        <v>4</v>
      </c>
      <c r="AA2165" s="22">
        <v>4</v>
      </c>
      <c r="AB2165" s="22">
        <v>4</v>
      </c>
      <c r="AC2165" s="22">
        <v>4</v>
      </c>
      <c r="AD2165" s="22">
        <v>4</v>
      </c>
      <c r="AE2165" s="22">
        <v>4</v>
      </c>
      <c r="AG2165" s="71">
        <v>4</v>
      </c>
      <c r="AH2165" s="71">
        <v>4</v>
      </c>
      <c r="AI2165" s="71">
        <v>4</v>
      </c>
      <c r="AJ2165" s="71">
        <v>4</v>
      </c>
      <c r="AK2165" s="71"/>
      <c r="AL2165" s="71"/>
      <c r="AM2165" s="71"/>
      <c r="AN2165" s="71"/>
      <c r="AO2165" s="71"/>
      <c r="AP2165" s="71"/>
      <c r="AQ2165" s="71"/>
      <c r="AR2165" s="71"/>
      <c r="AS2165" s="94">
        <f ca="1">IF(MONTH(TODAY())=3,SUM(T2165:U2165),IF(MONTH(TODAY())=4,SUM(T2165:V2165),IF(MONTH(TODAY())=5,SUM(T2165:W2165),IF(MONTH(TODAY())=6,SUM(T2165:X2165),IF(MONTH(TODAY())=7,SUM(T2165:Y2165),IF(MONTH(TODAY())=8,SUM(T2165:Z2165),IF(MONTH(TODAY())=9,SUM(T2165:AA2165),IF(MONTH(TODAY())=10,SUM(T2165:AB2165),IF(MONTH(TODAY())=11,SUM(T2165:AC2165),IF(MONTH(TODAY())=12,SUM(T2165:AD2165),IF(MONTH(TODAY())=1,SUM(T2165:AE2165),T2165)))))))))))</f>
        <v>20</v>
      </c>
      <c r="AT2165" s="95">
        <f>SUM(IF(AW2165&lt;1.15,AG2165,1.15*T2165),IF(AX2165&lt;1.15,AH2165,1.15*U2165),IF(AY2165&lt;1.15,AI2165,1.15*V2165),IF(AZ2165&lt;1.15,AJ2165,1.15*W2165),IF(BA2165&lt;1.15,AK2165,1.15*X2165),IF(BB2165&lt;1.15,AL2165,1.15*Y2165),IF(BC2165&lt;1.15,AM2165,1.15*Z2165),IF(BD2165&lt;1.15,AN2165,1.15*AA2165),IF(BE2165&lt;1.15,AO2165,1.15*AB2165),IF(BF2165&lt;1.15,AP2165,1.15*AC2165),IF(BG2165&lt;1.15,AQ2165,1.15*AD2165),IF(BH2165&lt;1.15,AR2165,1.15*AE2165))</f>
        <v>16</v>
      </c>
      <c r="AU2165" s="97">
        <f>SUM(AG2165:AR2165)</f>
        <v>16</v>
      </c>
      <c r="AW2165" s="51">
        <f>IFERROR(IF(AG2165="",0,AG2165/T2165),0)</f>
        <v>1</v>
      </c>
      <c r="AX2165" s="51">
        <f>IFERROR(IF(AH2165="",0,AH2165/U2165),0)</f>
        <v>1</v>
      </c>
      <c r="AY2165" s="51">
        <f>IFERROR(IF(AI2165="",0,AI2165/V2165),0)</f>
        <v>1</v>
      </c>
      <c r="AZ2165" s="51">
        <f>IFERROR(IF(AJ2165="",0,AJ2165/W2165),0)</f>
        <v>1</v>
      </c>
      <c r="BA2165" s="51"/>
      <c r="BB2165" s="51"/>
      <c r="BC2165" s="51"/>
      <c r="BD2165" s="51"/>
      <c r="BE2165" s="51"/>
      <c r="BF2165" s="51"/>
      <c r="BG2165" s="51"/>
      <c r="BH2165" s="51"/>
      <c r="BI2165" s="65" cm="1">
        <f t="array" ref="BI2165">IFERROR(INDEX(AW2165:BH2165,1,MATCH(2,1/(AW2165:BH2165&lt;&gt;""))),"")</f>
        <v>1</v>
      </c>
      <c r="BJ2165" s="68" cm="1">
        <f t="array" ref="BJ2165">IF(BM2165 = "", "",IFERROR(INDEX(AW2165:BH2165,1,MATCH(2,1/(AW2165:BH2165&lt;&gt;""),1)-1),""))</f>
        <v>1</v>
      </c>
      <c r="BK2165" s="58">
        <f>IF((IF(AW2165&gt;=115%,115%,AW2165) + IF(AX2165&gt;=115%,115%,AX2165) + IF(AY2165&gt;=115%,115%,AY2165) + (IF(AZ2165&gt;=115%,115%,AZ2165) + IF(BA2165&gt;=115%,115%,BA2165) + IF(BB2165&gt;=115%,115%,BB2165) + IF(BC2165&gt;=115%,115%,BC2165) + IF(BD2165&gt;=115%,115%,BD2165) + IF(BE2165&gt;=115%,115%,BE2165) + IF(BF2165&gt;=115%,115%,BF2165) + IF(BG2165&gt;=115%,115%,BG2165) + IF(BH2165&gt;=115%,115%,BH2165)))/_xlfn.XLOOKUP(F2165,Apuração!A:A,Apuração!B:B)&gt;=1.15,1.15,((IF(AZ2165&gt;=115%,115%,AZ2165) + IF(AX2165&gt;=115%,115%,AX2165) + IF(AY2165&gt;=115%,115%,AY2165) + (IF(AW2165&gt;=115%,115%,AW2165) + IF(BA2165&gt;=115%,115%,BA2165) + IF(BB2165&gt;=115%,115%,BB2165) + IF(BC2165&gt;=115%,115%,BC2165) + IF(BD2165&gt;=115%,115%,BD2165) + IF(BE2165&gt;=115%,115%,BE2165) + IF(BF2165&gt;=115%,115%,BF2165) + IF(BG2165&gt;=115%,115%,BG2165) + IF(BH2165&gt;=115%,115%,BH2165)))/_xlfn.XLOOKUP(F2165,Apuração!A:A,Apuração!B:B)))</f>
        <v>0.33333333333333331</v>
      </c>
      <c r="BL2165" s="58" cm="1">
        <f t="array" aca="1" ref="BL2165" ca="1">IF(SUM(IFERROR(IF(INDEX(AW2165:INDEX(AW2165:BH2165, MATCH(2, 1/(AW2165:BH2165&lt;&gt;""), 1)-1), ROW(INDIRECT("1:" &amp; MATCH(2, 1/(AW2165:BH2165&lt;&gt;""), 1)-1))) &gt;= 115%, 115%, INDEX(AW2165:INDEX(AW2165:BH2165, MATCH(2, 1/(AW2165:BH2165&lt;&gt;""), 1)-1), ROW(INDIRECT("1:" &amp; MATCH(2, 1/(AW2165:BH2165&lt;&gt;""), 1)-1)))), 0))/_xlfn.XLOOKUP(F2165,Apuração!A:A,Apuração!B:B)&gt;=1.15,1.15,SUM(IFERROR(IF(INDEX(AW2165:INDEX(AW2165:BH2165, MATCH(2, 1/(AW2165:BH2165&lt;&gt;""), 1)-1), ROW(INDIRECT("1:" &amp; MATCH(2, 1/(AW2165:BH2165&lt;&gt;""), 1)-1))) &gt;= 115%, 115%, INDEX(AW2165:INDEX(AW2165:BH2165, MATCH(2, 1/(AW2165:BH2165&lt;&gt;""), 1)-1), ROW(INDIRECT("1:" &amp; MATCH(2, 1/(AW2165:BH2165&lt;&gt;""), 1)-1)))), 0))/_xlfn.XLOOKUP(F2165,Apuração!A:A,Apuração!B:B))</f>
        <v>0.25</v>
      </c>
      <c r="BM2165" s="55" cm="1">
        <f t="array" ref="BM2165">IFERROR(
   INDEX($AW$1:$BH$1,
      _xlfn.AGGREGATE(14, 6, COLUMN($AW$1:$BH$1)/(AW2165:BH2165&lt;&gt;""), 2) - COLUMN($AW$1) + 1
   ),
"")</f>
        <v>46082</v>
      </c>
      <c r="BN2165" s="55" cm="1">
        <f t="array" ref="BN2165">IFERROR(INDEX($AW$1:$BH$1,1,MATCH(2,1/(AW2165:BH2165&lt;&gt;""))),"")</f>
        <v>46113</v>
      </c>
      <c r="BO2165" s="53">
        <f ca="1">IFERROR(_xlfn.XLOOKUP(F2165,Apuração!A:A,Apuração!C:C)/_xlfn.XLOOKUP(F2165,Apuração!A:A,Apuração!B:B),0)</f>
        <v>0.41666666666666669</v>
      </c>
      <c r="BP2165" s="53">
        <f ca="1">IFERROR(_xlfn.XLOOKUP(F2165,Apuração!A:A,Apuração!D:D)/_xlfn.XLOOKUP(F2165,Apuração!A:A,Apuração!B:B),0)</f>
        <v>0.33333333333333331</v>
      </c>
      <c r="BQ2165" s="53">
        <f ca="1">IF(BK2165&gt;=BO2165,0,_xlfn.XLOOKUP(F2165,Apuração!A:A,Apuração!B:B)*(BO2165 + (1/_xlfn.XLOOKUP(F2165,Apuração!A:A,Apuração!B:B)) - BK2165))</f>
        <v>2</v>
      </c>
      <c r="BR2165" s="85">
        <f ca="1">IF(BQ2165=0,0,BQ2165*Z2165)</f>
        <v>8</v>
      </c>
      <c r="BS2165" s="53">
        <f ca="1">IFERROR((_xlfn.XLOOKUP(F2165,Apuração!A:A,Apuração!C:C)+1)/_xlfn.XLOOKUP(F2165,Apuração!A:A,Apuração!B:B),0)</f>
        <v>0.5</v>
      </c>
    </row>
    <row r="2166" spans="1:71" ht="25.95" hidden="1" customHeight="1" x14ac:dyDescent="0.3">
      <c r="A2166" s="23" t="s">
        <v>134</v>
      </c>
      <c r="B2166" s="4" t="s">
        <v>167</v>
      </c>
      <c r="C2166" s="5" t="s">
        <v>216</v>
      </c>
      <c r="D2166" s="5" t="s">
        <v>217</v>
      </c>
      <c r="E2166" s="4" t="str" cm="1">
        <f t="array" ref="E2166">_xlfn.IFS(
F2166 = "A partir de Abril", "Aguardando Execução na Distribuidora",
A2166 = "CAPACITAÇÃO", "Em execução no Corporativo",
TRUE, "Em Execução na Distribuidora"
)</f>
        <v>Em Execução na Distribuidora</v>
      </c>
      <c r="F2166" s="4" t="str" cm="1">
        <f t="array" ref="F2166">_xlfn.IFS(
AG2166 &lt;&gt; "", "Jan-Dez/26",
AH2166 &lt;&gt; "", "Fev-Dez/26",
AI2166 &lt;&gt; "", "Mar-Dez/26", AJ2166 &lt;&gt; "", "Abr-Dez/26",
TRUE, "A partir de Junho"
)</f>
        <v>Abr-Dez/26</v>
      </c>
      <c r="G2166" s="4" t="s">
        <v>37</v>
      </c>
      <c r="H2166" s="7" t="s">
        <v>110</v>
      </c>
      <c r="I2166" s="8" t="s">
        <v>168</v>
      </c>
      <c r="J2166" s="8" t="str" cm="1">
        <f t="array" aca="1" ref="J2166" ca="1">_xlfn.LET(
  _xlpm.actual_value_month, INDEX(T2166:AE2166, MATCH(DATE(YEAR(TODAY()), MONTH(TODAY()), 1), $T$1:$AE$1, 0)),
  IF(_xlpm.actual_value_month &lt;&gt; "",_xlpm.actual_value_month &amp; " ações mensais", "")
)</f>
        <v>1 ações mensais</v>
      </c>
      <c r="K2166" s="8" t="str" cm="1">
        <f t="array" ref="K2166">_xlfn.LET(
    _xlpm.sum_month, SUM(T2166:AE2166),
    IF(_xlpm.sum_month = 0, "", _xlpm.sum_month &amp; " atividades no ano")
)</f>
        <v>9 atividades no ano</v>
      </c>
      <c r="L2166" s="9" t="s">
        <v>169</v>
      </c>
      <c r="M2166" s="24" t="s">
        <v>170</v>
      </c>
      <c r="N2166" s="5" t="s">
        <v>42</v>
      </c>
      <c r="O2166" s="5" t="s">
        <v>43</v>
      </c>
      <c r="P2166" s="10" t="s">
        <v>44</v>
      </c>
      <c r="Q2166" s="10" t="s">
        <v>44</v>
      </c>
      <c r="R2166" s="11" t="s">
        <v>66</v>
      </c>
      <c r="S2166" s="11" t="s">
        <v>67</v>
      </c>
      <c r="T2166" s="22"/>
      <c r="U2166" s="22"/>
      <c r="V2166" s="22"/>
      <c r="W2166" s="143">
        <v>1</v>
      </c>
      <c r="X2166" s="143">
        <v>1</v>
      </c>
      <c r="Y2166" s="143">
        <v>1</v>
      </c>
      <c r="Z2166" s="143">
        <v>1</v>
      </c>
      <c r="AA2166" s="143">
        <v>1</v>
      </c>
      <c r="AB2166" s="143">
        <v>1</v>
      </c>
      <c r="AC2166" s="143">
        <v>1</v>
      </c>
      <c r="AD2166" s="143">
        <v>1</v>
      </c>
      <c r="AE2166" s="143">
        <v>1</v>
      </c>
      <c r="AG2166" s="71"/>
      <c r="AH2166" s="71"/>
      <c r="AI2166" s="71"/>
      <c r="AJ2166" s="145">
        <v>1</v>
      </c>
      <c r="AK2166" s="71"/>
      <c r="AL2166" s="71"/>
      <c r="AM2166" s="71"/>
      <c r="AN2166" s="71"/>
      <c r="AO2166" s="71"/>
      <c r="AP2166" s="71"/>
      <c r="AQ2166" s="71"/>
      <c r="AR2166" s="71"/>
      <c r="AS2166" s="94">
        <f t="shared" ref="AS2166:AS2169" ca="1" si="2570">IF(MONTH(TODAY())=3,SUM(T2166:U2166),IF(MONTH(TODAY())=4,SUM(T2166:V2166),IF(MONTH(TODAY())=5,SUM(T2166:W2166),IF(MONTH(TODAY())=6,SUM(T2166:X2166),IF(MONTH(TODAY())=7,SUM(T2166:Y2166),IF(MONTH(TODAY())=8,SUM(T2166:Z2166),IF(MONTH(TODAY())=9,SUM(T2166:AA2166),IF(MONTH(TODAY())=10,SUM(T2166:AB2166),IF(MONTH(TODAY())=11,SUM(T2166:AC2166),IF(MONTH(TODAY())=12,SUM(T2166:AD2166),IF(MONTH(TODAY())=1,SUM(T2166:AE2166),T2166)))))))))))</f>
        <v>2</v>
      </c>
      <c r="AT2166" s="95">
        <f t="shared" ref="AT2166:AT2169" si="2571">SUM(IF(AW2166&lt;1.15,AG2166,1.15*T2166),IF(AX2166&lt;1.15,AH2166,1.15*U2166),IF(AY2166&lt;1.15,AI2166,1.15*V2166),IF(AZ2166&lt;1.15,AJ2166,1.15*W2166),IF(BA2166&lt;1.15,AK2166,1.15*X2166),IF(BB2166&lt;1.15,AL2166,1.15*Y2166),IF(BC2166&lt;1.15,AM2166,1.15*Z2166),IF(BD2166&lt;1.15,AN2166,1.15*AA2166),IF(BE2166&lt;1.15,AO2166,1.15*AB2166),IF(BF2166&lt;1.15,AP2166,1.15*AC2166),IF(BG2166&lt;1.15,AQ2166,1.15*AD2166),IF(BH2166&lt;1.15,AR2166,1.15*AE2166))</f>
        <v>1</v>
      </c>
      <c r="AU2166" s="97">
        <f t="shared" ref="AU2166:AU2169" si="2572">SUM(AG2166:AR2166)</f>
        <v>1</v>
      </c>
      <c r="AW2166" s="51">
        <f t="shared" ref="AW2166:AW2169" si="2573">IFERROR(IF(AG2166="",0,AG2166/T2166),0)</f>
        <v>0</v>
      </c>
      <c r="AX2166" s="51">
        <f t="shared" ref="AX2166:AX2169" si="2574">IFERROR(IF(AH2166="",0,AH2166/U2166),0)</f>
        <v>0</v>
      </c>
      <c r="AY2166" s="51">
        <f t="shared" ref="AY2166:AY2169" si="2575">IFERROR(IF(AI2166="",0,AI2166/V2166),0)</f>
        <v>0</v>
      </c>
      <c r="AZ2166" s="51">
        <f t="shared" ref="AZ2166:AZ2169" si="2576">IFERROR(IF(AJ2166="",0,AJ2166/W2166),0)</f>
        <v>1</v>
      </c>
      <c r="BA2166" s="51"/>
      <c r="BB2166" s="51"/>
      <c r="BC2166" s="51"/>
      <c r="BD2166" s="51"/>
      <c r="BE2166" s="51"/>
      <c r="BF2166" s="51"/>
      <c r="BG2166" s="51"/>
      <c r="BH2166" s="51"/>
      <c r="BI2166" s="65" cm="1">
        <f t="array" ref="BI2166">IFERROR(INDEX(AW2166:BH2166,1,MATCH(2,1/(AW2166:BH2166&lt;&gt;""))),"")</f>
        <v>1</v>
      </c>
      <c r="BJ2166" s="68" cm="1">
        <f t="array" ref="BJ2166">IF(BM2166 = "", "",IFERROR(INDEX(AW2166:BH2166,1,MATCH(2,1/(AW2166:BH2166&lt;&gt;""),1)-1),""))</f>
        <v>0</v>
      </c>
      <c r="BK2166" s="58">
        <f>IF((IF(AW2166&gt;=115%,115%,AW2166) + IF(AX2166&gt;=115%,115%,AX2166) + IF(AY2166&gt;=115%,115%,AY2166) + (IF(AZ2166&gt;=115%,115%,AZ2166) + IF(BA2166&gt;=115%,115%,BA2166) + IF(BB2166&gt;=115%,115%,BB2166) + IF(BC2166&gt;=115%,115%,BC2166) + IF(BD2166&gt;=115%,115%,BD2166) + IF(BE2166&gt;=115%,115%,BE2166) + IF(BF2166&gt;=115%,115%,BF2166) + IF(BG2166&gt;=115%,115%,BG2166) + IF(BH2166&gt;=115%,115%,BH2166)))/_xlfn.XLOOKUP(F2166,Apuração!A:A,Apuração!B:B)&gt;=1.15,1.15,((IF(AZ2166&gt;=115%,115%,AZ2166) + IF(AX2166&gt;=115%,115%,AX2166) + IF(AY2166&gt;=115%,115%,AY2166) + (IF(AW2166&gt;=115%,115%,AW2166) + IF(BA2166&gt;=115%,115%,BA2166) + IF(BB2166&gt;=115%,115%,BB2166) + IF(BC2166&gt;=115%,115%,BC2166) + IF(BD2166&gt;=115%,115%,BD2166) + IF(BE2166&gt;=115%,115%,BE2166) + IF(BF2166&gt;=115%,115%,BF2166) + IF(BG2166&gt;=115%,115%,BG2166) + IF(BH2166&gt;=115%,115%,BH2166)))/_xlfn.XLOOKUP(F2166,Apuração!A:A,Apuração!B:B)))</f>
        <v>0.1111111111111111</v>
      </c>
      <c r="BL2166" s="58" cm="1">
        <f t="array" aca="1" ref="BL2166" ca="1">IF(SUM(IFERROR(IF(INDEX(AW2166:INDEX(AW2166:BH2166, MATCH(2, 1/(AW2166:BH2166&lt;&gt;""), 1)-1), ROW(INDIRECT("1:" &amp; MATCH(2, 1/(AW2166:BH2166&lt;&gt;""), 1)-1))) &gt;= 115%, 115%, INDEX(AW2166:INDEX(AW2166:BH2166, MATCH(2, 1/(AW2166:BH2166&lt;&gt;""), 1)-1), ROW(INDIRECT("1:" &amp; MATCH(2, 1/(AW2166:BH2166&lt;&gt;""), 1)-1)))), 0))/_xlfn.XLOOKUP(F2166,Apuração!A:A,Apuração!B:B)&gt;=1.15,1.15,SUM(IFERROR(IF(INDEX(AW2166:INDEX(AW2166:BH2166, MATCH(2, 1/(AW2166:BH2166&lt;&gt;""), 1)-1), ROW(INDIRECT("1:" &amp; MATCH(2, 1/(AW2166:BH2166&lt;&gt;""), 1)-1))) &gt;= 115%, 115%, INDEX(AW2166:INDEX(AW2166:BH2166, MATCH(2, 1/(AW2166:BH2166&lt;&gt;""), 1)-1), ROW(INDIRECT("1:" &amp; MATCH(2, 1/(AW2166:BH2166&lt;&gt;""), 1)-1)))), 0))/_xlfn.XLOOKUP(F2166,Apuração!A:A,Apuração!B:B))</f>
        <v>0</v>
      </c>
      <c r="BM2166" s="55" cm="1">
        <f t="array" ref="BM2166">IFERROR(
   INDEX($AW$1:$BH$1,
      _xlfn.AGGREGATE(14, 6, COLUMN($AW$1:$BH$1)/(AW2166:BH2166&lt;&gt;""), 2) - COLUMN($AW$1) + 1
   ),
"")</f>
        <v>46082</v>
      </c>
      <c r="BN2166" s="55" cm="1">
        <f t="array" ref="BN2166">IFERROR(INDEX($AW$1:$BH$1,1,MATCH(2,1/(AW2166:BH2166&lt;&gt;""))),"")</f>
        <v>46113</v>
      </c>
      <c r="BO2166" s="53">
        <f ca="1">IFERROR(_xlfn.XLOOKUP(F2166,Apuração!A:A,Apuração!C:C)/_xlfn.XLOOKUP(F2166,Apuração!A:A,Apuração!B:B),0)</f>
        <v>0.22222222222222221</v>
      </c>
      <c r="BP2166" s="53">
        <f ca="1">IFERROR(_xlfn.XLOOKUP(F2166,Apuração!A:A,Apuração!D:D)/_xlfn.XLOOKUP(F2166,Apuração!A:A,Apuração!B:B),0)</f>
        <v>0.1111111111111111</v>
      </c>
      <c r="BQ2166" s="53">
        <f ca="1">IF(BK2166&gt;=BO2166,0,_xlfn.XLOOKUP(F2166,Apuração!A:A,Apuração!B:B)*(BO2166 + (1/_xlfn.XLOOKUP(F2166,Apuração!A:A,Apuração!B:B)) - BK2166))</f>
        <v>2</v>
      </c>
      <c r="BR2166" s="85">
        <f t="shared" ref="BR2166:BR2169" ca="1" si="2577">IF(BQ2166=0,0,BQ2166*Z2166)</f>
        <v>2</v>
      </c>
      <c r="BS2166" s="53">
        <f ca="1">IFERROR((_xlfn.XLOOKUP(F2166,Apuração!A:A,Apuração!C:C)+1)/_xlfn.XLOOKUP(F2166,Apuração!A:A,Apuração!B:B),0)</f>
        <v>0.33333333333333331</v>
      </c>
    </row>
    <row r="2167" spans="1:71" ht="25.95" hidden="1" customHeight="1" x14ac:dyDescent="0.3">
      <c r="A2167" s="23" t="s">
        <v>134</v>
      </c>
      <c r="B2167" s="4" t="s">
        <v>167</v>
      </c>
      <c r="C2167" s="5" t="s">
        <v>216</v>
      </c>
      <c r="D2167" s="5" t="s">
        <v>103</v>
      </c>
      <c r="E2167" s="4" t="str" cm="1">
        <f t="array" ref="E2167">_xlfn.IFS(
F2167 = "A partir de Abril", "Aguardando Execução na Distribuidora",
A2167 = "CAPACITAÇÃO", "Em execução no Corporativo",
TRUE, "Em Execução na Distribuidora"
)</f>
        <v>Em Execução na Distribuidora</v>
      </c>
      <c r="F2167" s="4" t="str" cm="1">
        <f t="array" ref="F2167">_xlfn.IFS(
AG2167 &lt;&gt; "", "Jan-Dez/26",
AH2167 &lt;&gt; "", "Fev-Dez/26",
AI2167 &lt;&gt; "", "Mar-Dez/26", AJ2167 &lt;&gt; "", "Abr-Dez/26",
TRUE, "A partir de Junho"
)</f>
        <v>Abr-Dez/26</v>
      </c>
      <c r="G2167" s="4" t="s">
        <v>37</v>
      </c>
      <c r="H2167" s="7" t="s">
        <v>110</v>
      </c>
      <c r="I2167" s="8" t="s">
        <v>168</v>
      </c>
      <c r="J2167" s="8" t="str" cm="1">
        <f t="array" aca="1" ref="J2167" ca="1">_xlfn.LET(
  _xlpm.actual_value_month, INDEX(T2167:AE2167, MATCH(DATE(YEAR(TODAY()), MONTH(TODAY()), 1), $T$1:$AE$1, 0)),
  IF(_xlpm.actual_value_month &lt;&gt; "",_xlpm.actual_value_month &amp; " ações mensais", "")
)</f>
        <v>1 ações mensais</v>
      </c>
      <c r="K2167" s="8" t="str" cm="1">
        <f t="array" ref="K2167">_xlfn.LET(
    _xlpm.sum_month, SUM(T2167:AE2167),
    IF(_xlpm.sum_month = 0, "", _xlpm.sum_month &amp; " atividades no ano")
)</f>
        <v>9 atividades no ano</v>
      </c>
      <c r="L2167" s="9" t="s">
        <v>169</v>
      </c>
      <c r="M2167" s="24" t="s">
        <v>170</v>
      </c>
      <c r="N2167" s="5" t="s">
        <v>42</v>
      </c>
      <c r="O2167" s="5" t="s">
        <v>43</v>
      </c>
      <c r="P2167" s="10" t="s">
        <v>44</v>
      </c>
      <c r="Q2167" s="10" t="s">
        <v>44</v>
      </c>
      <c r="R2167" s="11" t="s">
        <v>66</v>
      </c>
      <c r="S2167" s="11" t="s">
        <v>67</v>
      </c>
      <c r="T2167" s="22"/>
      <c r="U2167" s="22"/>
      <c r="V2167" s="22"/>
      <c r="W2167" s="143">
        <v>1</v>
      </c>
      <c r="X2167" s="143">
        <v>1</v>
      </c>
      <c r="Y2167" s="143">
        <v>1</v>
      </c>
      <c r="Z2167" s="143">
        <v>1</v>
      </c>
      <c r="AA2167" s="143">
        <v>1</v>
      </c>
      <c r="AB2167" s="143">
        <v>1</v>
      </c>
      <c r="AC2167" s="143">
        <v>1</v>
      </c>
      <c r="AD2167" s="143">
        <v>1</v>
      </c>
      <c r="AE2167" s="143">
        <v>1</v>
      </c>
      <c r="AG2167" s="71"/>
      <c r="AH2167" s="71"/>
      <c r="AI2167" s="71"/>
      <c r="AJ2167" s="146">
        <v>1</v>
      </c>
      <c r="AK2167" s="71"/>
      <c r="AL2167" s="71"/>
      <c r="AM2167" s="71"/>
      <c r="AN2167" s="71"/>
      <c r="AO2167" s="71"/>
      <c r="AP2167" s="71"/>
      <c r="AQ2167" s="71"/>
      <c r="AR2167" s="71"/>
      <c r="AS2167" s="94">
        <f t="shared" ca="1" si="2570"/>
        <v>2</v>
      </c>
      <c r="AT2167" s="95">
        <f t="shared" si="2571"/>
        <v>1</v>
      </c>
      <c r="AU2167" s="97">
        <f t="shared" si="2572"/>
        <v>1</v>
      </c>
      <c r="AW2167" s="51">
        <f t="shared" si="2573"/>
        <v>0</v>
      </c>
      <c r="AX2167" s="51">
        <f t="shared" si="2574"/>
        <v>0</v>
      </c>
      <c r="AY2167" s="51">
        <f t="shared" si="2575"/>
        <v>0</v>
      </c>
      <c r="AZ2167" s="51">
        <f t="shared" si="2576"/>
        <v>1</v>
      </c>
      <c r="BA2167" s="51"/>
      <c r="BB2167" s="51"/>
      <c r="BC2167" s="51"/>
      <c r="BD2167" s="51"/>
      <c r="BE2167" s="51"/>
      <c r="BF2167" s="51"/>
      <c r="BG2167" s="51"/>
      <c r="BH2167" s="51"/>
      <c r="BI2167" s="65" cm="1">
        <f t="array" ref="BI2167">IFERROR(INDEX(AW2167:BH2167,1,MATCH(2,1/(AW2167:BH2167&lt;&gt;""))),"")</f>
        <v>1</v>
      </c>
      <c r="BJ2167" s="68" cm="1">
        <f t="array" ref="BJ2167">IF(BM2167 = "", "",IFERROR(INDEX(AW2167:BH2167,1,MATCH(2,1/(AW2167:BH2167&lt;&gt;""),1)-1),""))</f>
        <v>0</v>
      </c>
      <c r="BK2167" s="58">
        <f>IF((IF(AW2167&gt;=115%,115%,AW2167) + IF(AX2167&gt;=115%,115%,AX2167) + IF(AY2167&gt;=115%,115%,AY2167) + (IF(AZ2167&gt;=115%,115%,AZ2167) + IF(BA2167&gt;=115%,115%,BA2167) + IF(BB2167&gt;=115%,115%,BB2167) + IF(BC2167&gt;=115%,115%,BC2167) + IF(BD2167&gt;=115%,115%,BD2167) + IF(BE2167&gt;=115%,115%,BE2167) + IF(BF2167&gt;=115%,115%,BF2167) + IF(BG2167&gt;=115%,115%,BG2167) + IF(BH2167&gt;=115%,115%,BH2167)))/_xlfn.XLOOKUP(F2167,Apuração!A:A,Apuração!B:B)&gt;=1.15,1.15,((IF(AZ2167&gt;=115%,115%,AZ2167) + IF(AX2167&gt;=115%,115%,AX2167) + IF(AY2167&gt;=115%,115%,AY2167) + (IF(AW2167&gt;=115%,115%,AW2167) + IF(BA2167&gt;=115%,115%,BA2167) + IF(BB2167&gt;=115%,115%,BB2167) + IF(BC2167&gt;=115%,115%,BC2167) + IF(BD2167&gt;=115%,115%,BD2167) + IF(BE2167&gt;=115%,115%,BE2167) + IF(BF2167&gt;=115%,115%,BF2167) + IF(BG2167&gt;=115%,115%,BG2167) + IF(BH2167&gt;=115%,115%,BH2167)))/_xlfn.XLOOKUP(F2167,Apuração!A:A,Apuração!B:B)))</f>
        <v>0.1111111111111111</v>
      </c>
      <c r="BL2167" s="58" cm="1">
        <f t="array" aca="1" ref="BL2167" ca="1">IF(SUM(IFERROR(IF(INDEX(AW2167:INDEX(AW2167:BH2167, MATCH(2, 1/(AW2167:BH2167&lt;&gt;""), 1)-1), ROW(INDIRECT("1:" &amp; MATCH(2, 1/(AW2167:BH2167&lt;&gt;""), 1)-1))) &gt;= 115%, 115%, INDEX(AW2167:INDEX(AW2167:BH2167, MATCH(2, 1/(AW2167:BH2167&lt;&gt;""), 1)-1), ROW(INDIRECT("1:" &amp; MATCH(2, 1/(AW2167:BH2167&lt;&gt;""), 1)-1)))), 0))/_xlfn.XLOOKUP(F2167,Apuração!A:A,Apuração!B:B)&gt;=1.15,1.15,SUM(IFERROR(IF(INDEX(AW2167:INDEX(AW2167:BH2167, MATCH(2, 1/(AW2167:BH2167&lt;&gt;""), 1)-1), ROW(INDIRECT("1:" &amp; MATCH(2, 1/(AW2167:BH2167&lt;&gt;""), 1)-1))) &gt;= 115%, 115%, INDEX(AW2167:INDEX(AW2167:BH2167, MATCH(2, 1/(AW2167:BH2167&lt;&gt;""), 1)-1), ROW(INDIRECT("1:" &amp; MATCH(2, 1/(AW2167:BH2167&lt;&gt;""), 1)-1)))), 0))/_xlfn.XLOOKUP(F2167,Apuração!A:A,Apuração!B:B))</f>
        <v>0</v>
      </c>
      <c r="BM2167" s="55" cm="1">
        <f t="array" ref="BM2167">IFERROR(
   INDEX($AW$1:$BH$1,
      _xlfn.AGGREGATE(14, 6, COLUMN($AW$1:$BH$1)/(AW2167:BH2167&lt;&gt;""), 2) - COLUMN($AW$1) + 1
   ),
"")</f>
        <v>46082</v>
      </c>
      <c r="BN2167" s="55" cm="1">
        <f t="array" ref="BN2167">IFERROR(INDEX($AW$1:$BH$1,1,MATCH(2,1/(AW2167:BH2167&lt;&gt;""))),"")</f>
        <v>46113</v>
      </c>
      <c r="BO2167" s="53">
        <f ca="1">IFERROR(_xlfn.XLOOKUP(F2167,Apuração!A:A,Apuração!C:C)/_xlfn.XLOOKUP(F2167,Apuração!A:A,Apuração!B:B),0)</f>
        <v>0.22222222222222221</v>
      </c>
      <c r="BP2167" s="53">
        <f ca="1">IFERROR(_xlfn.XLOOKUP(F2167,Apuração!A:A,Apuração!D:D)/_xlfn.XLOOKUP(F2167,Apuração!A:A,Apuração!B:B),0)</f>
        <v>0.1111111111111111</v>
      </c>
      <c r="BQ2167" s="53">
        <f ca="1">IF(BK2167&gt;=BO2167,0,_xlfn.XLOOKUP(F2167,Apuração!A:A,Apuração!B:B)*(BO2167 + (1/_xlfn.XLOOKUP(F2167,Apuração!A:A,Apuração!B:B)) - BK2167))</f>
        <v>2</v>
      </c>
      <c r="BR2167" s="85">
        <f t="shared" ca="1" si="2577"/>
        <v>2</v>
      </c>
      <c r="BS2167" s="53">
        <f ca="1">IFERROR((_xlfn.XLOOKUP(F2167,Apuração!A:A,Apuração!C:C)+1)/_xlfn.XLOOKUP(F2167,Apuração!A:A,Apuração!B:B),0)</f>
        <v>0.33333333333333331</v>
      </c>
    </row>
    <row r="2168" spans="1:71" ht="25.95" hidden="1" customHeight="1" x14ac:dyDescent="0.3">
      <c r="A2168" s="23" t="s">
        <v>134</v>
      </c>
      <c r="B2168" s="4" t="s">
        <v>167</v>
      </c>
      <c r="C2168" s="5" t="s">
        <v>216</v>
      </c>
      <c r="D2168" s="5" t="s">
        <v>218</v>
      </c>
      <c r="E2168" s="4" t="str" cm="1">
        <f t="array" ref="E2168">_xlfn.IFS(
F2168 = "A partir de Abril", "Aguardando Execução na Distribuidora",
A2168 = "CAPACITAÇÃO", "Em execução no Corporativo",
TRUE, "Em Execução na Distribuidora"
)</f>
        <v>Em Execução na Distribuidora</v>
      </c>
      <c r="F2168" s="4" t="str" cm="1">
        <f t="array" ref="F2168">_xlfn.IFS(
AG2168 &lt;&gt; "", "Jan-Dez/26",
AH2168 &lt;&gt; "", "Fev-Dez/26",
AI2168 &lt;&gt; "", "Mar-Dez/26", AJ2168 &lt;&gt; "", "Abr-Dez/26",
TRUE, "A partir de Junho"
)</f>
        <v>Abr-Dez/26</v>
      </c>
      <c r="G2168" s="4" t="s">
        <v>37</v>
      </c>
      <c r="H2168" s="7" t="s">
        <v>110</v>
      </c>
      <c r="I2168" s="8" t="s">
        <v>168</v>
      </c>
      <c r="J2168" s="8" t="str" cm="1">
        <f t="array" aca="1" ref="J2168" ca="1">_xlfn.LET(
  _xlpm.actual_value_month, INDEX(T2168:AE2168, MATCH(DATE(YEAR(TODAY()), MONTH(TODAY()), 1), $T$1:$AE$1, 0)),
  IF(_xlpm.actual_value_month &lt;&gt; "",_xlpm.actual_value_month &amp; " ações mensais", "")
)</f>
        <v>1 ações mensais</v>
      </c>
      <c r="K2168" s="8" t="str" cm="1">
        <f t="array" ref="K2168">_xlfn.LET(
    _xlpm.sum_month, SUM(T2168:AE2168),
    IF(_xlpm.sum_month = 0, "", _xlpm.sum_month &amp; " atividades no ano")
)</f>
        <v>9 atividades no ano</v>
      </c>
      <c r="L2168" s="9" t="s">
        <v>169</v>
      </c>
      <c r="M2168" s="24" t="s">
        <v>170</v>
      </c>
      <c r="N2168" s="5" t="s">
        <v>42</v>
      </c>
      <c r="O2168" s="5" t="s">
        <v>43</v>
      </c>
      <c r="P2168" s="10" t="s">
        <v>44</v>
      </c>
      <c r="Q2168" s="10" t="s">
        <v>44</v>
      </c>
      <c r="R2168" s="11" t="s">
        <v>66</v>
      </c>
      <c r="S2168" s="11" t="s">
        <v>67</v>
      </c>
      <c r="T2168" s="22"/>
      <c r="U2168" s="22"/>
      <c r="V2168" s="22"/>
      <c r="W2168" s="143">
        <v>1</v>
      </c>
      <c r="X2168" s="143">
        <v>1</v>
      </c>
      <c r="Y2168" s="143">
        <v>1</v>
      </c>
      <c r="Z2168" s="143">
        <v>1</v>
      </c>
      <c r="AA2168" s="143">
        <v>1</v>
      </c>
      <c r="AB2168" s="143">
        <v>1</v>
      </c>
      <c r="AC2168" s="143">
        <v>1</v>
      </c>
      <c r="AD2168" s="143">
        <v>1</v>
      </c>
      <c r="AE2168" s="143">
        <v>1</v>
      </c>
      <c r="AG2168" s="71"/>
      <c r="AH2168" s="71"/>
      <c r="AI2168" s="71"/>
      <c r="AJ2168" s="146">
        <v>1</v>
      </c>
      <c r="AK2168" s="71"/>
      <c r="AL2168" s="71"/>
      <c r="AM2168" s="71"/>
      <c r="AN2168" s="71"/>
      <c r="AO2168" s="71"/>
      <c r="AP2168" s="71"/>
      <c r="AQ2168" s="71"/>
      <c r="AR2168" s="71"/>
      <c r="AS2168" s="94">
        <f t="shared" ca="1" si="2570"/>
        <v>2</v>
      </c>
      <c r="AT2168" s="95">
        <f t="shared" si="2571"/>
        <v>1</v>
      </c>
      <c r="AU2168" s="97">
        <f t="shared" si="2572"/>
        <v>1</v>
      </c>
      <c r="AW2168" s="51">
        <f t="shared" si="2573"/>
        <v>0</v>
      </c>
      <c r="AX2168" s="51">
        <f t="shared" si="2574"/>
        <v>0</v>
      </c>
      <c r="AY2168" s="51">
        <f t="shared" si="2575"/>
        <v>0</v>
      </c>
      <c r="AZ2168" s="51">
        <f t="shared" si="2576"/>
        <v>1</v>
      </c>
      <c r="BA2168" s="51"/>
      <c r="BB2168" s="51"/>
      <c r="BC2168" s="51"/>
      <c r="BD2168" s="51"/>
      <c r="BE2168" s="51"/>
      <c r="BF2168" s="51"/>
      <c r="BG2168" s="51"/>
      <c r="BH2168" s="51"/>
      <c r="BI2168" s="65" cm="1">
        <f t="array" ref="BI2168">IFERROR(INDEX(AW2168:BH2168,1,MATCH(2,1/(AW2168:BH2168&lt;&gt;""))),"")</f>
        <v>1</v>
      </c>
      <c r="BJ2168" s="68" cm="1">
        <f t="array" ref="BJ2168">IF(BM2168 = "", "",IFERROR(INDEX(AW2168:BH2168,1,MATCH(2,1/(AW2168:BH2168&lt;&gt;""),1)-1),""))</f>
        <v>0</v>
      </c>
      <c r="BK2168" s="58">
        <f>IF((IF(AW2168&gt;=115%,115%,AW2168) + IF(AX2168&gt;=115%,115%,AX2168) + IF(AY2168&gt;=115%,115%,AY2168) + (IF(AZ2168&gt;=115%,115%,AZ2168) + IF(BA2168&gt;=115%,115%,BA2168) + IF(BB2168&gt;=115%,115%,BB2168) + IF(BC2168&gt;=115%,115%,BC2168) + IF(BD2168&gt;=115%,115%,BD2168) + IF(BE2168&gt;=115%,115%,BE2168) + IF(BF2168&gt;=115%,115%,BF2168) + IF(BG2168&gt;=115%,115%,BG2168) + IF(BH2168&gt;=115%,115%,BH2168)))/_xlfn.XLOOKUP(F2168,Apuração!A:A,Apuração!B:B)&gt;=1.15,1.15,((IF(AZ2168&gt;=115%,115%,AZ2168) + IF(AX2168&gt;=115%,115%,AX2168) + IF(AY2168&gt;=115%,115%,AY2168) + (IF(AW2168&gt;=115%,115%,AW2168) + IF(BA2168&gt;=115%,115%,BA2168) + IF(BB2168&gt;=115%,115%,BB2168) + IF(BC2168&gt;=115%,115%,BC2168) + IF(BD2168&gt;=115%,115%,BD2168) + IF(BE2168&gt;=115%,115%,BE2168) + IF(BF2168&gt;=115%,115%,BF2168) + IF(BG2168&gt;=115%,115%,BG2168) + IF(BH2168&gt;=115%,115%,BH2168)))/_xlfn.XLOOKUP(F2168,Apuração!A:A,Apuração!B:B)))</f>
        <v>0.1111111111111111</v>
      </c>
      <c r="BL2168" s="58" cm="1">
        <f t="array" aca="1" ref="BL2168" ca="1">IF(SUM(IFERROR(IF(INDEX(AW2168:INDEX(AW2168:BH2168, MATCH(2, 1/(AW2168:BH2168&lt;&gt;""), 1)-1), ROW(INDIRECT("1:" &amp; MATCH(2, 1/(AW2168:BH2168&lt;&gt;""), 1)-1))) &gt;= 115%, 115%, INDEX(AW2168:INDEX(AW2168:BH2168, MATCH(2, 1/(AW2168:BH2168&lt;&gt;""), 1)-1), ROW(INDIRECT("1:" &amp; MATCH(2, 1/(AW2168:BH2168&lt;&gt;""), 1)-1)))), 0))/_xlfn.XLOOKUP(F2168,Apuração!A:A,Apuração!B:B)&gt;=1.15,1.15,SUM(IFERROR(IF(INDEX(AW2168:INDEX(AW2168:BH2168, MATCH(2, 1/(AW2168:BH2168&lt;&gt;""), 1)-1), ROW(INDIRECT("1:" &amp; MATCH(2, 1/(AW2168:BH2168&lt;&gt;""), 1)-1))) &gt;= 115%, 115%, INDEX(AW2168:INDEX(AW2168:BH2168, MATCH(2, 1/(AW2168:BH2168&lt;&gt;""), 1)-1), ROW(INDIRECT("1:" &amp; MATCH(2, 1/(AW2168:BH2168&lt;&gt;""), 1)-1)))), 0))/_xlfn.XLOOKUP(F2168,Apuração!A:A,Apuração!B:B))</f>
        <v>0</v>
      </c>
      <c r="BM2168" s="55" cm="1">
        <f t="array" ref="BM2168">IFERROR(
   INDEX($AW$1:$BH$1,
      _xlfn.AGGREGATE(14, 6, COLUMN($AW$1:$BH$1)/(AW2168:BH2168&lt;&gt;""), 2) - COLUMN($AW$1) + 1
   ),
"")</f>
        <v>46082</v>
      </c>
      <c r="BN2168" s="55" cm="1">
        <f t="array" ref="BN2168">IFERROR(INDEX($AW$1:$BH$1,1,MATCH(2,1/(AW2168:BH2168&lt;&gt;""))),"")</f>
        <v>46113</v>
      </c>
      <c r="BO2168" s="53">
        <f ca="1">IFERROR(_xlfn.XLOOKUP(F2168,Apuração!A:A,Apuração!C:C)/_xlfn.XLOOKUP(F2168,Apuração!A:A,Apuração!B:B),0)</f>
        <v>0.22222222222222221</v>
      </c>
      <c r="BP2168" s="53">
        <f ca="1">IFERROR(_xlfn.XLOOKUP(F2168,Apuração!A:A,Apuração!D:D)/_xlfn.XLOOKUP(F2168,Apuração!A:A,Apuração!B:B),0)</f>
        <v>0.1111111111111111</v>
      </c>
      <c r="BQ2168" s="53">
        <f ca="1">IF(BK2168&gt;=BO2168,0,_xlfn.XLOOKUP(F2168,Apuração!A:A,Apuração!B:B)*(BO2168 + (1/_xlfn.XLOOKUP(F2168,Apuração!A:A,Apuração!B:B)) - BK2168))</f>
        <v>2</v>
      </c>
      <c r="BR2168" s="85">
        <f t="shared" ca="1" si="2577"/>
        <v>2</v>
      </c>
      <c r="BS2168" s="53">
        <f ca="1">IFERROR((_xlfn.XLOOKUP(F2168,Apuração!A:A,Apuração!C:C)+1)/_xlfn.XLOOKUP(F2168,Apuração!A:A,Apuração!B:B),0)</f>
        <v>0.33333333333333331</v>
      </c>
    </row>
    <row r="2169" spans="1:71" ht="25.95" hidden="1" customHeight="1" x14ac:dyDescent="0.3">
      <c r="A2169" s="23" t="s">
        <v>134</v>
      </c>
      <c r="B2169" s="4" t="s">
        <v>167</v>
      </c>
      <c r="C2169" s="5" t="s">
        <v>216</v>
      </c>
      <c r="D2169" s="5" t="s">
        <v>219</v>
      </c>
      <c r="E2169" s="4" t="str" cm="1">
        <f t="array" ref="E2169">_xlfn.IFS(
F2169 = "A partir de Abril", "Aguardando Execução na Distribuidora",
A2169 = "CAPACITAÇÃO", "Em execução no Corporativo",
TRUE, "Em Execução na Distribuidora"
)</f>
        <v>Em Execução na Distribuidora</v>
      </c>
      <c r="F2169" s="4" t="str" cm="1">
        <f t="array" ref="F2169">_xlfn.IFS(
AG2169 &lt;&gt; "", "Jan-Dez/26",
AH2169 &lt;&gt; "", "Fev-Dez/26",
AI2169 &lt;&gt; "", "Mar-Dez/26", AJ2169 &lt;&gt; "", "Abr-Dez/26",
TRUE, "A partir de Junho"
)</f>
        <v>Abr-Dez/26</v>
      </c>
      <c r="G2169" s="4" t="s">
        <v>37</v>
      </c>
      <c r="H2169" s="7" t="s">
        <v>110</v>
      </c>
      <c r="I2169" s="8" t="s">
        <v>168</v>
      </c>
      <c r="J2169" s="8" t="str" cm="1">
        <f t="array" aca="1" ref="J2169" ca="1">_xlfn.LET(
  _xlpm.actual_value_month, INDEX(T2169:AE2169, MATCH(DATE(YEAR(TODAY()), MONTH(TODAY()), 1), $T$1:$AE$1, 0)),
  IF(_xlpm.actual_value_month &lt;&gt; "",_xlpm.actual_value_month &amp; " ações mensais", "")
)</f>
        <v>1 ações mensais</v>
      </c>
      <c r="K2169" s="8" t="str" cm="1">
        <f t="array" ref="K2169">_xlfn.LET(
    _xlpm.sum_month, SUM(T2169:AE2169),
    IF(_xlpm.sum_month = 0, "", _xlpm.sum_month &amp; " atividades no ano")
)</f>
        <v>9 atividades no ano</v>
      </c>
      <c r="L2169" s="9" t="s">
        <v>169</v>
      </c>
      <c r="M2169" s="24" t="s">
        <v>170</v>
      </c>
      <c r="N2169" s="5" t="s">
        <v>42</v>
      </c>
      <c r="O2169" s="5" t="s">
        <v>43</v>
      </c>
      <c r="P2169" s="10" t="s">
        <v>44</v>
      </c>
      <c r="Q2169" s="10" t="s">
        <v>44</v>
      </c>
      <c r="R2169" s="11" t="s">
        <v>66</v>
      </c>
      <c r="S2169" s="11" t="s">
        <v>67</v>
      </c>
      <c r="T2169" s="22"/>
      <c r="U2169" s="22"/>
      <c r="V2169" s="22"/>
      <c r="W2169" s="143">
        <v>1</v>
      </c>
      <c r="X2169" s="143">
        <v>1</v>
      </c>
      <c r="Y2169" s="143">
        <v>1</v>
      </c>
      <c r="Z2169" s="143">
        <v>1</v>
      </c>
      <c r="AA2169" s="143">
        <v>1</v>
      </c>
      <c r="AB2169" s="143">
        <v>1</v>
      </c>
      <c r="AC2169" s="143">
        <v>1</v>
      </c>
      <c r="AD2169" s="143">
        <v>1</v>
      </c>
      <c r="AE2169" s="143">
        <v>1</v>
      </c>
      <c r="AG2169" s="71"/>
      <c r="AH2169" s="71"/>
      <c r="AI2169" s="71"/>
      <c r="AJ2169" s="146">
        <v>1</v>
      </c>
      <c r="AK2169" s="71"/>
      <c r="AL2169" s="71"/>
      <c r="AM2169" s="71"/>
      <c r="AN2169" s="71"/>
      <c r="AO2169" s="71"/>
      <c r="AP2169" s="71"/>
      <c r="AQ2169" s="71"/>
      <c r="AR2169" s="71"/>
      <c r="AS2169" s="94">
        <f t="shared" ca="1" si="2570"/>
        <v>2</v>
      </c>
      <c r="AT2169" s="95">
        <f t="shared" si="2571"/>
        <v>1</v>
      </c>
      <c r="AU2169" s="97">
        <f t="shared" si="2572"/>
        <v>1</v>
      </c>
      <c r="AW2169" s="51">
        <f t="shared" si="2573"/>
        <v>0</v>
      </c>
      <c r="AX2169" s="51">
        <f t="shared" si="2574"/>
        <v>0</v>
      </c>
      <c r="AY2169" s="51">
        <f t="shared" si="2575"/>
        <v>0</v>
      </c>
      <c r="AZ2169" s="51">
        <f t="shared" si="2576"/>
        <v>1</v>
      </c>
      <c r="BA2169" s="51"/>
      <c r="BB2169" s="51"/>
      <c r="BC2169" s="51"/>
      <c r="BD2169" s="51"/>
      <c r="BE2169" s="51"/>
      <c r="BF2169" s="51"/>
      <c r="BG2169" s="51"/>
      <c r="BH2169" s="51"/>
      <c r="BI2169" s="65" cm="1">
        <f t="array" ref="BI2169">IFERROR(INDEX(AW2169:BH2169,1,MATCH(2,1/(AW2169:BH2169&lt;&gt;""))),"")</f>
        <v>1</v>
      </c>
      <c r="BJ2169" s="68" cm="1">
        <f t="array" ref="BJ2169">IF(BM2169 = "", "",IFERROR(INDEX(AW2169:BH2169,1,MATCH(2,1/(AW2169:BH2169&lt;&gt;""),1)-1),""))</f>
        <v>0</v>
      </c>
      <c r="BK2169" s="58">
        <f>IF((IF(AW2169&gt;=115%,115%,AW2169) + IF(AX2169&gt;=115%,115%,AX2169) + IF(AY2169&gt;=115%,115%,AY2169) + (IF(AZ2169&gt;=115%,115%,AZ2169) + IF(BA2169&gt;=115%,115%,BA2169) + IF(BB2169&gt;=115%,115%,BB2169) + IF(BC2169&gt;=115%,115%,BC2169) + IF(BD2169&gt;=115%,115%,BD2169) + IF(BE2169&gt;=115%,115%,BE2169) + IF(BF2169&gt;=115%,115%,BF2169) + IF(BG2169&gt;=115%,115%,BG2169) + IF(BH2169&gt;=115%,115%,BH2169)))/_xlfn.XLOOKUP(F2169,Apuração!A:A,Apuração!B:B)&gt;=1.15,1.15,((IF(AZ2169&gt;=115%,115%,AZ2169) + IF(AX2169&gt;=115%,115%,AX2169) + IF(AY2169&gt;=115%,115%,AY2169) + (IF(AW2169&gt;=115%,115%,AW2169) + IF(BA2169&gt;=115%,115%,BA2169) + IF(BB2169&gt;=115%,115%,BB2169) + IF(BC2169&gt;=115%,115%,BC2169) + IF(BD2169&gt;=115%,115%,BD2169) + IF(BE2169&gt;=115%,115%,BE2169) + IF(BF2169&gt;=115%,115%,BF2169) + IF(BG2169&gt;=115%,115%,BG2169) + IF(BH2169&gt;=115%,115%,BH2169)))/_xlfn.XLOOKUP(F2169,Apuração!A:A,Apuração!B:B)))</f>
        <v>0.1111111111111111</v>
      </c>
      <c r="BL2169" s="58" cm="1">
        <f t="array" aca="1" ref="BL2169" ca="1">IF(SUM(IFERROR(IF(INDEX(AW2169:INDEX(AW2169:BH2169, MATCH(2, 1/(AW2169:BH2169&lt;&gt;""), 1)-1), ROW(INDIRECT("1:" &amp; MATCH(2, 1/(AW2169:BH2169&lt;&gt;""), 1)-1))) &gt;= 115%, 115%, INDEX(AW2169:INDEX(AW2169:BH2169, MATCH(2, 1/(AW2169:BH2169&lt;&gt;""), 1)-1), ROW(INDIRECT("1:" &amp; MATCH(2, 1/(AW2169:BH2169&lt;&gt;""), 1)-1)))), 0))/_xlfn.XLOOKUP(F2169,Apuração!A:A,Apuração!B:B)&gt;=1.15,1.15,SUM(IFERROR(IF(INDEX(AW2169:INDEX(AW2169:BH2169, MATCH(2, 1/(AW2169:BH2169&lt;&gt;""), 1)-1), ROW(INDIRECT("1:" &amp; MATCH(2, 1/(AW2169:BH2169&lt;&gt;""), 1)-1))) &gt;= 115%, 115%, INDEX(AW2169:INDEX(AW2169:BH2169, MATCH(2, 1/(AW2169:BH2169&lt;&gt;""), 1)-1), ROW(INDIRECT("1:" &amp; MATCH(2, 1/(AW2169:BH2169&lt;&gt;""), 1)-1)))), 0))/_xlfn.XLOOKUP(F2169,Apuração!A:A,Apuração!B:B))</f>
        <v>0</v>
      </c>
      <c r="BM2169" s="55" cm="1">
        <f t="array" ref="BM2169">IFERROR(
   INDEX($AW$1:$BH$1,
      _xlfn.AGGREGATE(14, 6, COLUMN($AW$1:$BH$1)/(AW2169:BH2169&lt;&gt;""), 2) - COLUMN($AW$1) + 1
   ),
"")</f>
        <v>46082</v>
      </c>
      <c r="BN2169" s="55" cm="1">
        <f t="array" ref="BN2169">IFERROR(INDEX($AW$1:$BH$1,1,MATCH(2,1/(AW2169:BH2169&lt;&gt;""))),"")</f>
        <v>46113</v>
      </c>
      <c r="BO2169" s="53">
        <f ca="1">IFERROR(_xlfn.XLOOKUP(F2169,Apuração!A:A,Apuração!C:C)/_xlfn.XLOOKUP(F2169,Apuração!A:A,Apuração!B:B),0)</f>
        <v>0.22222222222222221</v>
      </c>
      <c r="BP2169" s="53">
        <f ca="1">IFERROR(_xlfn.XLOOKUP(F2169,Apuração!A:A,Apuração!D:D)/_xlfn.XLOOKUP(F2169,Apuração!A:A,Apuração!B:B),0)</f>
        <v>0.1111111111111111</v>
      </c>
      <c r="BQ2169" s="53">
        <f ca="1">IF(BK2169&gt;=BO2169,0,_xlfn.XLOOKUP(F2169,Apuração!A:A,Apuração!B:B)*(BO2169 + (1/_xlfn.XLOOKUP(F2169,Apuração!A:A,Apuração!B:B)) - BK2169))</f>
        <v>2</v>
      </c>
      <c r="BR2169" s="85">
        <f t="shared" ca="1" si="2577"/>
        <v>2</v>
      </c>
      <c r="BS2169" s="53">
        <f ca="1">IFERROR((_xlfn.XLOOKUP(F2169,Apuração!A:A,Apuração!C:C)+1)/_xlfn.XLOOKUP(F2169,Apuração!A:A,Apuração!B:B),0)</f>
        <v>0.33333333333333331</v>
      </c>
    </row>
    <row r="2170" spans="1:71" ht="25.95" hidden="1" customHeight="1" x14ac:dyDescent="0.3">
      <c r="A2170" s="23" t="s">
        <v>134</v>
      </c>
      <c r="B2170" s="4" t="s">
        <v>167</v>
      </c>
      <c r="C2170" s="5" t="s">
        <v>216</v>
      </c>
      <c r="D2170" s="5" t="s">
        <v>36</v>
      </c>
      <c r="E2170" s="4" t="str" cm="1">
        <f t="array" ref="E2170">_xlfn.IFS(
F2170 = "A partir de Abril", "Aguardando Execução na Distribuidora",
A2170 = "CAPACITAÇÃO", "Em execução no Corporativo",
TRUE, "Em Execução na Distribuidora"
)</f>
        <v>Em Execução na Distribuidora</v>
      </c>
      <c r="F2170" s="4" t="str" cm="1">
        <f t="array" ref="F2170">_xlfn.IFS(
AG2170 &lt;&gt; "", "Jan-Dez/26",
AH2170 &lt;&gt; "", "Fev-Dez/26",
AI2170 &lt;&gt; "", "Mar-Dez/26", AJ2170 &lt;&gt; "", "Abr-Dez/26",
TRUE, "A partir de Junho"
)</f>
        <v>Jan-Dez/26</v>
      </c>
      <c r="G2170" s="4" t="s">
        <v>37</v>
      </c>
      <c r="H2170" s="7" t="s">
        <v>110</v>
      </c>
      <c r="I2170" s="8" t="s">
        <v>171</v>
      </c>
      <c r="J2170" s="8" t="str" cm="1">
        <f t="array" aca="1" ref="J2170" ca="1">_xlfn.LET(
  _xlpm.actual_value_month, INDEX(T2170:AE2170, MATCH(DATE(YEAR(TODAY()), MONTH(TODAY()), 1), $T$1:$AE$1, 0)),
  IF(_xlpm.actual_value_month &lt;&gt; "",_xlpm.actual_value_month &amp; " colaboradores alcançados mensalmentes", "")
)</f>
        <v>1150 colaboradores alcançados mensalmentes</v>
      </c>
      <c r="K2170" s="8" t="str" cm="1">
        <f t="array" ref="K2170">_xlfn.LET(
    _xlpm.sum_month, SUM(T2170:AE2170),
    IF(_xlpm.sum_month = 0, "", _xlpm.sum_month &amp; " colaboradores alcançados durante no ano")
)</f>
        <v>28452 colaboradores alcançados durante no ano</v>
      </c>
      <c r="L2170" s="9" t="s">
        <v>172</v>
      </c>
      <c r="M2170" s="24" t="s">
        <v>173</v>
      </c>
      <c r="N2170" s="5" t="s">
        <v>42</v>
      </c>
      <c r="O2170" s="5" t="s">
        <v>43</v>
      </c>
      <c r="P2170" s="10" t="s">
        <v>44</v>
      </c>
      <c r="Q2170" s="10" t="s">
        <v>72</v>
      </c>
      <c r="R2170" s="11" t="s">
        <v>66</v>
      </c>
      <c r="S2170" s="11" t="s">
        <v>67</v>
      </c>
      <c r="T2170" s="22">
        <v>6846</v>
      </c>
      <c r="U2170" s="22">
        <v>5802</v>
      </c>
      <c r="V2170" s="22">
        <v>5454</v>
      </c>
      <c r="W2170" s="22">
        <v>1150</v>
      </c>
      <c r="X2170" s="22">
        <v>1150</v>
      </c>
      <c r="Y2170" s="22">
        <v>1150</v>
      </c>
      <c r="Z2170" s="22">
        <v>1150</v>
      </c>
      <c r="AA2170" s="22">
        <v>1150</v>
      </c>
      <c r="AB2170" s="22">
        <v>1150</v>
      </c>
      <c r="AC2170" s="22">
        <v>1150</v>
      </c>
      <c r="AD2170" s="22">
        <v>1150</v>
      </c>
      <c r="AE2170" s="22">
        <v>1150</v>
      </c>
      <c r="AG2170" s="71">
        <v>6846</v>
      </c>
      <c r="AH2170" s="71">
        <v>5802</v>
      </c>
      <c r="AI2170" s="71">
        <v>5454</v>
      </c>
      <c r="AJ2170" s="71">
        <v>6020</v>
      </c>
      <c r="AK2170" s="71"/>
      <c r="AL2170" s="71"/>
      <c r="AM2170" s="71"/>
      <c r="AN2170" s="71"/>
      <c r="AO2170" s="71"/>
      <c r="AP2170" s="71"/>
      <c r="AQ2170" s="71"/>
      <c r="AR2170" s="71"/>
      <c r="AS2170" s="94">
        <f ca="1">IF(MONTH(TODAY())=3,SUM(T2170:U2170),IF(MONTH(TODAY())=4,SUM(T2170:V2170),IF(MONTH(TODAY())=5,SUM(T2170:W2170),IF(MONTH(TODAY())=6,SUM(T2170:X2170),IF(MONTH(TODAY())=7,SUM(T2170:Y2170),IF(MONTH(TODAY())=8,SUM(T2170:Z2170),IF(MONTH(TODAY())=9,SUM(T2170:AA2170),IF(MONTH(TODAY())=10,SUM(T2170:AB2170),IF(MONTH(TODAY())=11,SUM(T2170:AC2170),IF(MONTH(TODAY())=12,SUM(T2170:AD2170),IF(MONTH(TODAY())=1,SUM(T2170:AE2170),T2170)))))))))))</f>
        <v>20402</v>
      </c>
      <c r="AT2170" s="95">
        <f>SUM(IF(AW2170&lt;1.15,AG2170,1.15*T2170),IF(AX2170&lt;1.15,AH2170,1.15*U2170),IF(AY2170&lt;1.15,AI2170,1.15*V2170),IF(AZ2170&lt;1.15,AJ2170,1.15*W2170),IF(BA2170&lt;1.15,AK2170,1.15*X2170),IF(BB2170&lt;1.15,AL2170,1.15*Y2170),IF(BC2170&lt;1.15,AM2170,1.15*Z2170),IF(BD2170&lt;1.15,AN2170,1.15*AA2170),IF(BE2170&lt;1.15,AO2170,1.15*AB2170),IF(BF2170&lt;1.15,AP2170,1.15*AC2170),IF(BG2170&lt;1.15,AQ2170,1.15*AD2170),IF(BH2170&lt;1.15,AR2170,1.15*AE2170))</f>
        <v>19424.5</v>
      </c>
      <c r="AU2170" s="97">
        <f>SUM(AG2170:AR2170)</f>
        <v>24122</v>
      </c>
      <c r="AW2170" s="51">
        <f>IFERROR(IF(AG2170="",0,AG2170/T2170),0)</f>
        <v>1</v>
      </c>
      <c r="AX2170" s="51">
        <f>IFERROR(IF(AH2170="",0,AH2170/U2170),0)</f>
        <v>1</v>
      </c>
      <c r="AY2170" s="51">
        <f>IFERROR(IF(AI2170="",0,AI2170/V2170),0)</f>
        <v>1</v>
      </c>
      <c r="AZ2170" s="51">
        <f>IFERROR(IF(AJ2170="",0,AJ2170/W2170),0)</f>
        <v>5.2347826086956522</v>
      </c>
      <c r="BA2170" s="51"/>
      <c r="BB2170" s="51"/>
      <c r="BC2170" s="51"/>
      <c r="BD2170" s="51"/>
      <c r="BE2170" s="51"/>
      <c r="BF2170" s="51"/>
      <c r="BG2170" s="51"/>
      <c r="BH2170" s="51"/>
      <c r="BI2170" s="65" cm="1">
        <f t="array" ref="BI2170">IFERROR(INDEX(AW2170:BH2170,1,MATCH(2,1/(AW2170:BH2170&lt;&gt;""))),"")</f>
        <v>5.2347826086956522</v>
      </c>
      <c r="BJ2170" s="68" cm="1">
        <f t="array" ref="BJ2170">IF(BM2170 = "", "",IFERROR(INDEX(AW2170:BH2170,1,MATCH(2,1/(AW2170:BH2170&lt;&gt;""),1)-1),""))</f>
        <v>1</v>
      </c>
      <c r="BK2170" s="58">
        <f>IF((IF(AW2170&gt;=115%,115%,AW2170) + IF(AX2170&gt;=115%,115%,AX2170) + IF(AY2170&gt;=115%,115%,AY2170) + (IF(AZ2170&gt;=115%,115%,AZ2170) + IF(BA2170&gt;=115%,115%,BA2170) + IF(BB2170&gt;=115%,115%,BB2170) + IF(BC2170&gt;=115%,115%,BC2170) + IF(BD2170&gt;=115%,115%,BD2170) + IF(BE2170&gt;=115%,115%,BE2170) + IF(BF2170&gt;=115%,115%,BF2170) + IF(BG2170&gt;=115%,115%,BG2170) + IF(BH2170&gt;=115%,115%,BH2170)))/_xlfn.XLOOKUP(F2170,Apuração!A:A,Apuração!B:B)&gt;=1.15,1.15,((IF(AZ2170&gt;=115%,115%,AZ2170) + IF(AX2170&gt;=115%,115%,AX2170) + IF(AY2170&gt;=115%,115%,AY2170) + (IF(AW2170&gt;=115%,115%,AW2170) + IF(BA2170&gt;=115%,115%,BA2170) + IF(BB2170&gt;=115%,115%,BB2170) + IF(BC2170&gt;=115%,115%,BC2170) + IF(BD2170&gt;=115%,115%,BD2170) + IF(BE2170&gt;=115%,115%,BE2170) + IF(BF2170&gt;=115%,115%,BF2170) + IF(BG2170&gt;=115%,115%,BG2170) + IF(BH2170&gt;=115%,115%,BH2170)))/_xlfn.XLOOKUP(F2170,Apuração!A:A,Apuração!B:B)))</f>
        <v>0.34583333333333338</v>
      </c>
      <c r="BL2170" s="58" cm="1">
        <f t="array" aca="1" ref="BL2170" ca="1">IF(SUM(IFERROR(IF(INDEX(AW2170:INDEX(AW2170:BH2170, MATCH(2, 1/(AW2170:BH2170&lt;&gt;""), 1)-1), ROW(INDIRECT("1:" &amp; MATCH(2, 1/(AW2170:BH2170&lt;&gt;""), 1)-1))) &gt;= 115%, 115%, INDEX(AW2170:INDEX(AW2170:BH2170, MATCH(2, 1/(AW2170:BH2170&lt;&gt;""), 1)-1), ROW(INDIRECT("1:" &amp; MATCH(2, 1/(AW2170:BH2170&lt;&gt;""), 1)-1)))), 0))/_xlfn.XLOOKUP(F2170,Apuração!A:A,Apuração!B:B)&gt;=1.15,1.15,SUM(IFERROR(IF(INDEX(AW2170:INDEX(AW2170:BH2170, MATCH(2, 1/(AW2170:BH2170&lt;&gt;""), 1)-1), ROW(INDIRECT("1:" &amp; MATCH(2, 1/(AW2170:BH2170&lt;&gt;""), 1)-1))) &gt;= 115%, 115%, INDEX(AW2170:INDEX(AW2170:BH2170, MATCH(2, 1/(AW2170:BH2170&lt;&gt;""), 1)-1), ROW(INDIRECT("1:" &amp; MATCH(2, 1/(AW2170:BH2170&lt;&gt;""), 1)-1)))), 0))/_xlfn.XLOOKUP(F2170,Apuração!A:A,Apuração!B:B))</f>
        <v>0.25</v>
      </c>
      <c r="BM2170" s="55" cm="1">
        <f t="array" ref="BM2170">IFERROR(
   INDEX($AW$1:$BH$1,
      _xlfn.AGGREGATE(14, 6, COLUMN($AW$1:$BH$1)/(AW2170:BH2170&lt;&gt;""), 2) - COLUMN($AW$1) + 1
   ),
"")</f>
        <v>46082</v>
      </c>
      <c r="BN2170" s="55" cm="1">
        <f t="array" ref="BN2170">IFERROR(INDEX($AW$1:$BH$1,1,MATCH(2,1/(AW2170:BH2170&lt;&gt;""))),"")</f>
        <v>46113</v>
      </c>
      <c r="BO2170" s="53">
        <f ca="1">IFERROR(_xlfn.XLOOKUP(F2170,Apuração!A:A,Apuração!C:C)/_xlfn.XLOOKUP(F2170,Apuração!A:A,Apuração!B:B),0)</f>
        <v>0.41666666666666669</v>
      </c>
      <c r="BP2170" s="53">
        <f ca="1">IFERROR(_xlfn.XLOOKUP(F2170,Apuração!A:A,Apuração!D:D)/_xlfn.XLOOKUP(F2170,Apuração!A:A,Apuração!B:B),0)</f>
        <v>0.33333333333333331</v>
      </c>
      <c r="BQ2170" s="53">
        <f ca="1">IF(BK2170&gt;=BO2170,0,_xlfn.XLOOKUP(F2170,Apuração!A:A,Apuração!B:B)*(BO2170 + (1/_xlfn.XLOOKUP(F2170,Apuração!A:A,Apuração!B:B)) - BK2170))</f>
        <v>1.8499999999999994</v>
      </c>
      <c r="BR2170" s="85">
        <f ca="1">IF(BQ2170=0,0,BQ2170*Z2170)</f>
        <v>2127.4999999999995</v>
      </c>
      <c r="BS2170" s="53">
        <f ca="1">IFERROR((_xlfn.XLOOKUP(F2170,Apuração!A:A,Apuração!C:C)+1)/_xlfn.XLOOKUP(F2170,Apuração!A:A,Apuração!B:B),0)</f>
        <v>0.5</v>
      </c>
    </row>
    <row r="2171" spans="1:71" ht="25.95" hidden="1" customHeight="1" x14ac:dyDescent="0.3">
      <c r="A2171" s="23" t="s">
        <v>134</v>
      </c>
      <c r="B2171" s="4" t="s">
        <v>167</v>
      </c>
      <c r="C2171" s="5" t="s">
        <v>216</v>
      </c>
      <c r="D2171" s="5" t="s">
        <v>217</v>
      </c>
      <c r="E2171" s="4" t="str" cm="1">
        <f t="array" ref="E2171">_xlfn.IFS(
F2171 = "A partir de Abril", "Aguardando Execução na Distribuidora",
A2171 = "CAPACITAÇÃO", "Em execução no Corporativo",
TRUE, "Em Execução na Distribuidora"
)</f>
        <v>Em Execução na Distribuidora</v>
      </c>
      <c r="F2171" s="4" t="str" cm="1">
        <f t="array" ref="F2171">_xlfn.IFS(
AG2171 &lt;&gt; "", "Jan-Dez/26",
AH2171 &lt;&gt; "", "Fev-Dez/26",
AI2171 &lt;&gt; "", "Mar-Dez/26", AJ2171 &lt;&gt; "", "Abr-Dez/26",
TRUE, "A partir de Junho"
)</f>
        <v>Abr-Dez/26</v>
      </c>
      <c r="G2171" s="4" t="s">
        <v>37</v>
      </c>
      <c r="H2171" s="7" t="s">
        <v>110</v>
      </c>
      <c r="I2171" s="8" t="s">
        <v>171</v>
      </c>
      <c r="J2171" s="8" t="str" cm="1">
        <f t="array" aca="1" ref="J2171" ca="1">_xlfn.LET(
  _xlpm.actual_value_month, INDEX(T2171:AE2171, MATCH(DATE(YEAR(TODAY()), MONTH(TODAY()), 1), $T$1:$AE$1, 0)),
  IF(_xlpm.actual_value_month &lt;&gt; "",_xlpm.actual_value_month &amp; " colaboradores alcançados mensalmentes", "")
)</f>
        <v>250 colaboradores alcançados mensalmentes</v>
      </c>
      <c r="K2171" s="8" t="str" cm="1">
        <f t="array" ref="K2171">_xlfn.LET(
    _xlpm.sum_month, SUM(T2171:AE2171),
    IF(_xlpm.sum_month = 0, "", _xlpm.sum_month &amp; " colaboradores alcançados durante no ano")
)</f>
        <v>2250 colaboradores alcançados durante no ano</v>
      </c>
      <c r="L2171" s="9" t="s">
        <v>172</v>
      </c>
      <c r="M2171" s="24" t="s">
        <v>173</v>
      </c>
      <c r="N2171" s="5" t="s">
        <v>42</v>
      </c>
      <c r="O2171" s="5" t="s">
        <v>43</v>
      </c>
      <c r="P2171" s="10" t="s">
        <v>44</v>
      </c>
      <c r="Q2171" s="10" t="s">
        <v>72</v>
      </c>
      <c r="R2171" s="11" t="s">
        <v>66</v>
      </c>
      <c r="S2171" s="11" t="s">
        <v>67</v>
      </c>
      <c r="T2171" s="22"/>
      <c r="U2171" s="22"/>
      <c r="V2171" s="22"/>
      <c r="W2171" s="22">
        <v>250</v>
      </c>
      <c r="X2171" s="22">
        <v>250</v>
      </c>
      <c r="Y2171" s="22">
        <v>250</v>
      </c>
      <c r="Z2171" s="22">
        <v>250</v>
      </c>
      <c r="AA2171" s="22">
        <v>250</v>
      </c>
      <c r="AB2171" s="22">
        <v>250</v>
      </c>
      <c r="AC2171" s="22">
        <v>250</v>
      </c>
      <c r="AD2171" s="22">
        <v>250</v>
      </c>
      <c r="AE2171" s="22">
        <v>250</v>
      </c>
      <c r="AG2171" s="71"/>
      <c r="AH2171" s="71"/>
      <c r="AI2171" s="71"/>
      <c r="AJ2171" s="148">
        <v>1452</v>
      </c>
      <c r="AK2171" s="71"/>
      <c r="AL2171" s="71"/>
      <c r="AM2171" s="71"/>
      <c r="AN2171" s="71"/>
      <c r="AO2171" s="71"/>
      <c r="AP2171" s="71"/>
      <c r="AQ2171" s="71"/>
      <c r="AR2171" s="71"/>
      <c r="AS2171" s="94">
        <f t="shared" ref="AS2171:AS2174" ca="1" si="2578">IF(MONTH(TODAY())=3,SUM(T2171:U2171),IF(MONTH(TODAY())=4,SUM(T2171:V2171),IF(MONTH(TODAY())=5,SUM(T2171:W2171),IF(MONTH(TODAY())=6,SUM(T2171:X2171),IF(MONTH(TODAY())=7,SUM(T2171:Y2171),IF(MONTH(TODAY())=8,SUM(T2171:Z2171),IF(MONTH(TODAY())=9,SUM(T2171:AA2171),IF(MONTH(TODAY())=10,SUM(T2171:AB2171),IF(MONTH(TODAY())=11,SUM(T2171:AC2171),IF(MONTH(TODAY())=12,SUM(T2171:AD2171),IF(MONTH(TODAY())=1,SUM(T2171:AE2171),T2171)))))))))))</f>
        <v>500</v>
      </c>
      <c r="AT2171" s="95">
        <f t="shared" ref="AT2171:AT2174" si="2579">SUM(IF(AW2171&lt;1.15,AG2171,1.15*T2171),IF(AX2171&lt;1.15,AH2171,1.15*U2171),IF(AY2171&lt;1.15,AI2171,1.15*V2171),IF(AZ2171&lt;1.15,AJ2171,1.15*W2171),IF(BA2171&lt;1.15,AK2171,1.15*X2171),IF(BB2171&lt;1.15,AL2171,1.15*Y2171),IF(BC2171&lt;1.15,AM2171,1.15*Z2171),IF(BD2171&lt;1.15,AN2171,1.15*AA2171),IF(BE2171&lt;1.15,AO2171,1.15*AB2171),IF(BF2171&lt;1.15,AP2171,1.15*AC2171),IF(BG2171&lt;1.15,AQ2171,1.15*AD2171),IF(BH2171&lt;1.15,AR2171,1.15*AE2171))</f>
        <v>287.5</v>
      </c>
      <c r="AU2171" s="97">
        <f t="shared" ref="AU2171:AU2174" si="2580">SUM(AG2171:AR2171)</f>
        <v>1452</v>
      </c>
      <c r="AW2171" s="51">
        <f t="shared" ref="AW2171:AW2174" si="2581">IFERROR(IF(AG2171="",0,AG2171/T2171),0)</f>
        <v>0</v>
      </c>
      <c r="AX2171" s="51">
        <f t="shared" ref="AX2171:AX2174" si="2582">IFERROR(IF(AH2171="",0,AH2171/U2171),0)</f>
        <v>0</v>
      </c>
      <c r="AY2171" s="51">
        <f t="shared" ref="AY2171:AY2174" si="2583">IFERROR(IF(AI2171="",0,AI2171/V2171),0)</f>
        <v>0</v>
      </c>
      <c r="AZ2171" s="51">
        <f t="shared" ref="AZ2171:AZ2174" si="2584">IFERROR(IF(AJ2171="",0,AJ2171/W2171),0)</f>
        <v>5.8079999999999998</v>
      </c>
      <c r="BA2171" s="51"/>
      <c r="BB2171" s="51"/>
      <c r="BC2171" s="51"/>
      <c r="BD2171" s="51"/>
      <c r="BE2171" s="51"/>
      <c r="BF2171" s="51"/>
      <c r="BG2171" s="51"/>
      <c r="BH2171" s="51"/>
      <c r="BI2171" s="65" cm="1">
        <f t="array" ref="BI2171">IFERROR(INDEX(AW2171:BH2171,1,MATCH(2,1/(AW2171:BH2171&lt;&gt;""))),"")</f>
        <v>5.8079999999999998</v>
      </c>
      <c r="BJ2171" s="68" cm="1">
        <f t="array" ref="BJ2171">IF(BM2171 = "", "",IFERROR(INDEX(AW2171:BH2171,1,MATCH(2,1/(AW2171:BH2171&lt;&gt;""),1)-1),""))</f>
        <v>0</v>
      </c>
      <c r="BK2171" s="58">
        <f>IF((IF(AW2171&gt;=115%,115%,AW2171) + IF(AX2171&gt;=115%,115%,AX2171) + IF(AY2171&gt;=115%,115%,AY2171) + (IF(AZ2171&gt;=115%,115%,AZ2171) + IF(BA2171&gt;=115%,115%,BA2171) + IF(BB2171&gt;=115%,115%,BB2171) + IF(BC2171&gt;=115%,115%,BC2171) + IF(BD2171&gt;=115%,115%,BD2171) + IF(BE2171&gt;=115%,115%,BE2171) + IF(BF2171&gt;=115%,115%,BF2171) + IF(BG2171&gt;=115%,115%,BG2171) + IF(BH2171&gt;=115%,115%,BH2171)))/_xlfn.XLOOKUP(F2171,Apuração!A:A,Apuração!B:B)&gt;=1.15,1.15,((IF(AZ2171&gt;=115%,115%,AZ2171) + IF(AX2171&gt;=115%,115%,AX2171) + IF(AY2171&gt;=115%,115%,AY2171) + (IF(AW2171&gt;=115%,115%,AW2171) + IF(BA2171&gt;=115%,115%,BA2171) + IF(BB2171&gt;=115%,115%,BB2171) + IF(BC2171&gt;=115%,115%,BC2171) + IF(BD2171&gt;=115%,115%,BD2171) + IF(BE2171&gt;=115%,115%,BE2171) + IF(BF2171&gt;=115%,115%,BF2171) + IF(BG2171&gt;=115%,115%,BG2171) + IF(BH2171&gt;=115%,115%,BH2171)))/_xlfn.XLOOKUP(F2171,Apuração!A:A,Apuração!B:B)))</f>
        <v>0.12777777777777777</v>
      </c>
      <c r="BL2171" s="58" cm="1">
        <f t="array" aca="1" ref="BL2171" ca="1">IF(SUM(IFERROR(IF(INDEX(AW2171:INDEX(AW2171:BH2171, MATCH(2, 1/(AW2171:BH2171&lt;&gt;""), 1)-1), ROW(INDIRECT("1:" &amp; MATCH(2, 1/(AW2171:BH2171&lt;&gt;""), 1)-1))) &gt;= 115%, 115%, INDEX(AW2171:INDEX(AW2171:BH2171, MATCH(2, 1/(AW2171:BH2171&lt;&gt;""), 1)-1), ROW(INDIRECT("1:" &amp; MATCH(2, 1/(AW2171:BH2171&lt;&gt;""), 1)-1)))), 0))/_xlfn.XLOOKUP(F2171,Apuração!A:A,Apuração!B:B)&gt;=1.15,1.15,SUM(IFERROR(IF(INDEX(AW2171:INDEX(AW2171:BH2171, MATCH(2, 1/(AW2171:BH2171&lt;&gt;""), 1)-1), ROW(INDIRECT("1:" &amp; MATCH(2, 1/(AW2171:BH2171&lt;&gt;""), 1)-1))) &gt;= 115%, 115%, INDEX(AW2171:INDEX(AW2171:BH2171, MATCH(2, 1/(AW2171:BH2171&lt;&gt;""), 1)-1), ROW(INDIRECT("1:" &amp; MATCH(2, 1/(AW2171:BH2171&lt;&gt;""), 1)-1)))), 0))/_xlfn.XLOOKUP(F2171,Apuração!A:A,Apuração!B:B))</f>
        <v>0</v>
      </c>
      <c r="BM2171" s="55" cm="1">
        <f t="array" ref="BM2171">IFERROR(
   INDEX($AW$1:$BH$1,
      _xlfn.AGGREGATE(14, 6, COLUMN($AW$1:$BH$1)/(AW2171:BH2171&lt;&gt;""), 2) - COLUMN($AW$1) + 1
   ),
"")</f>
        <v>46082</v>
      </c>
      <c r="BN2171" s="55" cm="1">
        <f t="array" ref="BN2171">IFERROR(INDEX($AW$1:$BH$1,1,MATCH(2,1/(AW2171:BH2171&lt;&gt;""))),"")</f>
        <v>46113</v>
      </c>
      <c r="BO2171" s="53">
        <f ca="1">IFERROR(_xlfn.XLOOKUP(F2171,Apuração!A:A,Apuração!C:C)/_xlfn.XLOOKUP(F2171,Apuração!A:A,Apuração!B:B),0)</f>
        <v>0.22222222222222221</v>
      </c>
      <c r="BP2171" s="53">
        <f ca="1">IFERROR(_xlfn.XLOOKUP(F2171,Apuração!A:A,Apuração!D:D)/_xlfn.XLOOKUP(F2171,Apuração!A:A,Apuração!B:B),0)</f>
        <v>0.1111111111111111</v>
      </c>
      <c r="BQ2171" s="53">
        <f ca="1">IF(BK2171&gt;=BO2171,0,_xlfn.XLOOKUP(F2171,Apuração!A:A,Apuração!B:B)*(BO2171 + (1/_xlfn.XLOOKUP(F2171,Apuração!A:A,Apuração!B:B)) - BK2171))</f>
        <v>1.8499999999999999</v>
      </c>
      <c r="BR2171" s="85">
        <f t="shared" ref="BR2171:BR2174" ca="1" si="2585">IF(BQ2171=0,0,BQ2171*Z2171)</f>
        <v>462.49999999999994</v>
      </c>
      <c r="BS2171" s="53">
        <f ca="1">IFERROR((_xlfn.XLOOKUP(F2171,Apuração!A:A,Apuração!C:C)+1)/_xlfn.XLOOKUP(F2171,Apuração!A:A,Apuração!B:B),0)</f>
        <v>0.33333333333333331</v>
      </c>
    </row>
    <row r="2172" spans="1:71" ht="25.95" hidden="1" customHeight="1" x14ac:dyDescent="0.3">
      <c r="A2172" s="23" t="s">
        <v>134</v>
      </c>
      <c r="B2172" s="4" t="s">
        <v>167</v>
      </c>
      <c r="C2172" s="5" t="s">
        <v>216</v>
      </c>
      <c r="D2172" s="5" t="s">
        <v>103</v>
      </c>
      <c r="E2172" s="4" t="str" cm="1">
        <f t="array" ref="E2172">_xlfn.IFS(
F2172 = "A partir de Abril", "Aguardando Execução na Distribuidora",
A2172 = "CAPACITAÇÃO", "Em execução no Corporativo",
TRUE, "Em Execução na Distribuidora"
)</f>
        <v>Em Execução na Distribuidora</v>
      </c>
      <c r="F2172" s="4" t="str" cm="1">
        <f t="array" ref="F2172">_xlfn.IFS(
AG2172 &lt;&gt; "", "Jan-Dez/26",
AH2172 &lt;&gt; "", "Fev-Dez/26",
AI2172 &lt;&gt; "", "Mar-Dez/26", AJ2172 &lt;&gt; "", "Abr-Dez/26",
TRUE, "A partir de Junho"
)</f>
        <v>Abr-Dez/26</v>
      </c>
      <c r="G2172" s="4" t="s">
        <v>37</v>
      </c>
      <c r="H2172" s="7" t="s">
        <v>110</v>
      </c>
      <c r="I2172" s="8" t="s">
        <v>171</v>
      </c>
      <c r="J2172" s="8" t="str" cm="1">
        <f t="array" aca="1" ref="J2172" ca="1">_xlfn.LET(
  _xlpm.actual_value_month, INDEX(T2172:AE2172, MATCH(DATE(YEAR(TODAY()), MONTH(TODAY()), 1), $T$1:$AE$1, 0)),
  IF(_xlpm.actual_value_month &lt;&gt; "",_xlpm.actual_value_month &amp; " colaboradores alcançados mensalmentes", "")
)</f>
        <v>223 colaboradores alcançados mensalmentes</v>
      </c>
      <c r="K2172" s="8" t="str" cm="1">
        <f t="array" ref="K2172">_xlfn.LET(
    _xlpm.sum_month, SUM(T2172:AE2172),
    IF(_xlpm.sum_month = 0, "", _xlpm.sum_month &amp; " colaboradores alcançados durante no ano")
)</f>
        <v>2007 colaboradores alcançados durante no ano</v>
      </c>
      <c r="L2172" s="9" t="s">
        <v>172</v>
      </c>
      <c r="M2172" s="24" t="s">
        <v>173</v>
      </c>
      <c r="N2172" s="5" t="s">
        <v>42</v>
      </c>
      <c r="O2172" s="5" t="s">
        <v>43</v>
      </c>
      <c r="P2172" s="10" t="s">
        <v>44</v>
      </c>
      <c r="Q2172" s="10" t="s">
        <v>72</v>
      </c>
      <c r="R2172" s="11" t="s">
        <v>66</v>
      </c>
      <c r="S2172" s="11" t="s">
        <v>67</v>
      </c>
      <c r="T2172" s="22"/>
      <c r="U2172" s="22"/>
      <c r="V2172" s="22"/>
      <c r="W2172" s="22">
        <v>223</v>
      </c>
      <c r="X2172" s="22">
        <v>223</v>
      </c>
      <c r="Y2172" s="22">
        <v>223</v>
      </c>
      <c r="Z2172" s="22">
        <v>223</v>
      </c>
      <c r="AA2172" s="22">
        <v>223</v>
      </c>
      <c r="AB2172" s="22">
        <v>223</v>
      </c>
      <c r="AC2172" s="22">
        <v>223</v>
      </c>
      <c r="AD2172" s="22">
        <v>223</v>
      </c>
      <c r="AE2172" s="22">
        <v>223</v>
      </c>
      <c r="AG2172" s="71"/>
      <c r="AH2172" s="71"/>
      <c r="AI2172" s="71"/>
      <c r="AJ2172" s="148">
        <v>1989</v>
      </c>
      <c r="AK2172" s="71"/>
      <c r="AL2172" s="71"/>
      <c r="AM2172" s="71"/>
      <c r="AN2172" s="71"/>
      <c r="AO2172" s="71"/>
      <c r="AP2172" s="71"/>
      <c r="AQ2172" s="71"/>
      <c r="AR2172" s="71"/>
      <c r="AS2172" s="94">
        <f t="shared" ca="1" si="2578"/>
        <v>446</v>
      </c>
      <c r="AT2172" s="95">
        <f t="shared" si="2579"/>
        <v>256.45</v>
      </c>
      <c r="AU2172" s="97">
        <f t="shared" si="2580"/>
        <v>1989</v>
      </c>
      <c r="AW2172" s="51">
        <f t="shared" si="2581"/>
        <v>0</v>
      </c>
      <c r="AX2172" s="51">
        <f t="shared" si="2582"/>
        <v>0</v>
      </c>
      <c r="AY2172" s="51">
        <f t="shared" si="2583"/>
        <v>0</v>
      </c>
      <c r="AZ2172" s="51">
        <f t="shared" si="2584"/>
        <v>8.9192825112107617</v>
      </c>
      <c r="BA2172" s="51"/>
      <c r="BB2172" s="51"/>
      <c r="BC2172" s="51"/>
      <c r="BD2172" s="51"/>
      <c r="BE2172" s="51"/>
      <c r="BF2172" s="51"/>
      <c r="BG2172" s="51"/>
      <c r="BH2172" s="51"/>
      <c r="BI2172" s="65" cm="1">
        <f t="array" ref="BI2172">IFERROR(INDEX(AW2172:BH2172,1,MATCH(2,1/(AW2172:BH2172&lt;&gt;""))),"")</f>
        <v>8.9192825112107617</v>
      </c>
      <c r="BJ2172" s="68" cm="1">
        <f t="array" ref="BJ2172">IF(BM2172 = "", "",IFERROR(INDEX(AW2172:BH2172,1,MATCH(2,1/(AW2172:BH2172&lt;&gt;""),1)-1),""))</f>
        <v>0</v>
      </c>
      <c r="BK2172" s="58">
        <f>IF((IF(AW2172&gt;=115%,115%,AW2172) + IF(AX2172&gt;=115%,115%,AX2172) + IF(AY2172&gt;=115%,115%,AY2172) + (IF(AZ2172&gt;=115%,115%,AZ2172) + IF(BA2172&gt;=115%,115%,BA2172) + IF(BB2172&gt;=115%,115%,BB2172) + IF(BC2172&gt;=115%,115%,BC2172) + IF(BD2172&gt;=115%,115%,BD2172) + IF(BE2172&gt;=115%,115%,BE2172) + IF(BF2172&gt;=115%,115%,BF2172) + IF(BG2172&gt;=115%,115%,BG2172) + IF(BH2172&gt;=115%,115%,BH2172)))/_xlfn.XLOOKUP(F2172,Apuração!A:A,Apuração!B:B)&gt;=1.15,1.15,((IF(AZ2172&gt;=115%,115%,AZ2172) + IF(AX2172&gt;=115%,115%,AX2172) + IF(AY2172&gt;=115%,115%,AY2172) + (IF(AW2172&gt;=115%,115%,AW2172) + IF(BA2172&gt;=115%,115%,BA2172) + IF(BB2172&gt;=115%,115%,BB2172) + IF(BC2172&gt;=115%,115%,BC2172) + IF(BD2172&gt;=115%,115%,BD2172) + IF(BE2172&gt;=115%,115%,BE2172) + IF(BF2172&gt;=115%,115%,BF2172) + IF(BG2172&gt;=115%,115%,BG2172) + IF(BH2172&gt;=115%,115%,BH2172)))/_xlfn.XLOOKUP(F2172,Apuração!A:A,Apuração!B:B)))</f>
        <v>0.12777777777777777</v>
      </c>
      <c r="BL2172" s="58" cm="1">
        <f t="array" aca="1" ref="BL2172" ca="1">IF(SUM(IFERROR(IF(INDEX(AW2172:INDEX(AW2172:BH2172, MATCH(2, 1/(AW2172:BH2172&lt;&gt;""), 1)-1), ROW(INDIRECT("1:" &amp; MATCH(2, 1/(AW2172:BH2172&lt;&gt;""), 1)-1))) &gt;= 115%, 115%, INDEX(AW2172:INDEX(AW2172:BH2172, MATCH(2, 1/(AW2172:BH2172&lt;&gt;""), 1)-1), ROW(INDIRECT("1:" &amp; MATCH(2, 1/(AW2172:BH2172&lt;&gt;""), 1)-1)))), 0))/_xlfn.XLOOKUP(F2172,Apuração!A:A,Apuração!B:B)&gt;=1.15,1.15,SUM(IFERROR(IF(INDEX(AW2172:INDEX(AW2172:BH2172, MATCH(2, 1/(AW2172:BH2172&lt;&gt;""), 1)-1), ROW(INDIRECT("1:" &amp; MATCH(2, 1/(AW2172:BH2172&lt;&gt;""), 1)-1))) &gt;= 115%, 115%, INDEX(AW2172:INDEX(AW2172:BH2172, MATCH(2, 1/(AW2172:BH2172&lt;&gt;""), 1)-1), ROW(INDIRECT("1:" &amp; MATCH(2, 1/(AW2172:BH2172&lt;&gt;""), 1)-1)))), 0))/_xlfn.XLOOKUP(F2172,Apuração!A:A,Apuração!B:B))</f>
        <v>0</v>
      </c>
      <c r="BM2172" s="55" cm="1">
        <f t="array" ref="BM2172">IFERROR(
   INDEX($AW$1:$BH$1,
      _xlfn.AGGREGATE(14, 6, COLUMN($AW$1:$BH$1)/(AW2172:BH2172&lt;&gt;""), 2) - COLUMN($AW$1) + 1
   ),
"")</f>
        <v>46082</v>
      </c>
      <c r="BN2172" s="55" cm="1">
        <f t="array" ref="BN2172">IFERROR(INDEX($AW$1:$BH$1,1,MATCH(2,1/(AW2172:BH2172&lt;&gt;""))),"")</f>
        <v>46113</v>
      </c>
      <c r="BO2172" s="53">
        <f ca="1">IFERROR(_xlfn.XLOOKUP(F2172,Apuração!A:A,Apuração!C:C)/_xlfn.XLOOKUP(F2172,Apuração!A:A,Apuração!B:B),0)</f>
        <v>0.22222222222222221</v>
      </c>
      <c r="BP2172" s="53">
        <f ca="1">IFERROR(_xlfn.XLOOKUP(F2172,Apuração!A:A,Apuração!D:D)/_xlfn.XLOOKUP(F2172,Apuração!A:A,Apuração!B:B),0)</f>
        <v>0.1111111111111111</v>
      </c>
      <c r="BQ2172" s="53">
        <f ca="1">IF(BK2172&gt;=BO2172,0,_xlfn.XLOOKUP(F2172,Apuração!A:A,Apuração!B:B)*(BO2172 + (1/_xlfn.XLOOKUP(F2172,Apuração!A:A,Apuração!B:B)) - BK2172))</f>
        <v>1.8499999999999999</v>
      </c>
      <c r="BR2172" s="85">
        <f t="shared" ca="1" si="2585"/>
        <v>412.54999999999995</v>
      </c>
      <c r="BS2172" s="53">
        <f ca="1">IFERROR((_xlfn.XLOOKUP(F2172,Apuração!A:A,Apuração!C:C)+1)/_xlfn.XLOOKUP(F2172,Apuração!A:A,Apuração!B:B),0)</f>
        <v>0.33333333333333331</v>
      </c>
    </row>
    <row r="2173" spans="1:71" ht="25.95" hidden="1" customHeight="1" x14ac:dyDescent="0.3">
      <c r="A2173" s="23" t="s">
        <v>134</v>
      </c>
      <c r="B2173" s="4" t="s">
        <v>167</v>
      </c>
      <c r="C2173" s="5" t="s">
        <v>216</v>
      </c>
      <c r="D2173" s="5" t="s">
        <v>218</v>
      </c>
      <c r="E2173" s="4" t="str" cm="1">
        <f t="array" ref="E2173">_xlfn.IFS(
F2173 = "A partir de Abril", "Aguardando Execução na Distribuidora",
A2173 = "CAPACITAÇÃO", "Em execução no Corporativo",
TRUE, "Em Execução na Distribuidora"
)</f>
        <v>Em Execução na Distribuidora</v>
      </c>
      <c r="F2173" s="4" t="str" cm="1">
        <f t="array" ref="F2173">_xlfn.IFS(
AG2173 &lt;&gt; "", "Jan-Dez/26",
AH2173 &lt;&gt; "", "Fev-Dez/26",
AI2173 &lt;&gt; "", "Mar-Dez/26", AJ2173 &lt;&gt; "", "Abr-Dez/26",
TRUE, "A partir de Junho"
)</f>
        <v>Abr-Dez/26</v>
      </c>
      <c r="G2173" s="4" t="s">
        <v>37</v>
      </c>
      <c r="H2173" s="7" t="s">
        <v>110</v>
      </c>
      <c r="I2173" s="8" t="s">
        <v>171</v>
      </c>
      <c r="J2173" s="8" t="str" cm="1">
        <f t="array" aca="1" ref="J2173" ca="1">_xlfn.LET(
  _xlpm.actual_value_month, INDEX(T2173:AE2173, MATCH(DATE(YEAR(TODAY()), MONTH(TODAY()), 1), $T$1:$AE$1, 0)),
  IF(_xlpm.actual_value_month &lt;&gt; "",_xlpm.actual_value_month &amp; " colaboradores alcançados mensalmentes", "")
)</f>
        <v>477 colaboradores alcançados mensalmentes</v>
      </c>
      <c r="K2173" s="8" t="str" cm="1">
        <f t="array" ref="K2173">_xlfn.LET(
    _xlpm.sum_month, SUM(T2173:AE2173),
    IF(_xlpm.sum_month = 0, "", _xlpm.sum_month &amp; " colaboradores alcançados durante no ano")
)</f>
        <v>4293 colaboradores alcançados durante no ano</v>
      </c>
      <c r="L2173" s="9" t="s">
        <v>172</v>
      </c>
      <c r="M2173" s="24" t="s">
        <v>173</v>
      </c>
      <c r="N2173" s="5" t="s">
        <v>42</v>
      </c>
      <c r="O2173" s="5" t="s">
        <v>43</v>
      </c>
      <c r="P2173" s="10" t="s">
        <v>44</v>
      </c>
      <c r="Q2173" s="10" t="s">
        <v>72</v>
      </c>
      <c r="R2173" s="11" t="s">
        <v>66</v>
      </c>
      <c r="S2173" s="11" t="s">
        <v>67</v>
      </c>
      <c r="T2173" s="22"/>
      <c r="U2173" s="22"/>
      <c r="V2173" s="22"/>
      <c r="W2173" s="22">
        <v>477</v>
      </c>
      <c r="X2173" s="22">
        <v>477</v>
      </c>
      <c r="Y2173" s="22">
        <v>477</v>
      </c>
      <c r="Z2173" s="22">
        <v>477</v>
      </c>
      <c r="AA2173" s="22">
        <v>477</v>
      </c>
      <c r="AB2173" s="22">
        <v>477</v>
      </c>
      <c r="AC2173" s="22">
        <v>477</v>
      </c>
      <c r="AD2173" s="22">
        <v>477</v>
      </c>
      <c r="AE2173" s="22">
        <v>477</v>
      </c>
      <c r="AG2173" s="71"/>
      <c r="AH2173" s="71"/>
      <c r="AI2173" s="71"/>
      <c r="AJ2173" s="148">
        <v>1138</v>
      </c>
      <c r="AK2173" s="71"/>
      <c r="AL2173" s="71"/>
      <c r="AM2173" s="71"/>
      <c r="AN2173" s="71"/>
      <c r="AO2173" s="71"/>
      <c r="AP2173" s="71"/>
      <c r="AQ2173" s="71"/>
      <c r="AR2173" s="71"/>
      <c r="AS2173" s="94">
        <f t="shared" ca="1" si="2578"/>
        <v>954</v>
      </c>
      <c r="AT2173" s="95">
        <f t="shared" si="2579"/>
        <v>548.54999999999995</v>
      </c>
      <c r="AU2173" s="97">
        <f t="shared" si="2580"/>
        <v>1138</v>
      </c>
      <c r="AW2173" s="51">
        <f t="shared" si="2581"/>
        <v>0</v>
      </c>
      <c r="AX2173" s="51">
        <f t="shared" si="2582"/>
        <v>0</v>
      </c>
      <c r="AY2173" s="51">
        <f t="shared" si="2583"/>
        <v>0</v>
      </c>
      <c r="AZ2173" s="51">
        <f t="shared" si="2584"/>
        <v>2.3857442348008386</v>
      </c>
      <c r="BA2173" s="51"/>
      <c r="BB2173" s="51"/>
      <c r="BC2173" s="51"/>
      <c r="BD2173" s="51"/>
      <c r="BE2173" s="51"/>
      <c r="BF2173" s="51"/>
      <c r="BG2173" s="51"/>
      <c r="BH2173" s="51"/>
      <c r="BI2173" s="65" cm="1">
        <f t="array" ref="BI2173">IFERROR(INDEX(AW2173:BH2173,1,MATCH(2,1/(AW2173:BH2173&lt;&gt;""))),"")</f>
        <v>2.3857442348008386</v>
      </c>
      <c r="BJ2173" s="68" cm="1">
        <f t="array" ref="BJ2173">IF(BM2173 = "", "",IFERROR(INDEX(AW2173:BH2173,1,MATCH(2,1/(AW2173:BH2173&lt;&gt;""),1)-1),""))</f>
        <v>0</v>
      </c>
      <c r="BK2173" s="58">
        <f>IF((IF(AW2173&gt;=115%,115%,AW2173) + IF(AX2173&gt;=115%,115%,AX2173) + IF(AY2173&gt;=115%,115%,AY2173) + (IF(AZ2173&gt;=115%,115%,AZ2173) + IF(BA2173&gt;=115%,115%,BA2173) + IF(BB2173&gt;=115%,115%,BB2173) + IF(BC2173&gt;=115%,115%,BC2173) + IF(BD2173&gt;=115%,115%,BD2173) + IF(BE2173&gt;=115%,115%,BE2173) + IF(BF2173&gt;=115%,115%,BF2173) + IF(BG2173&gt;=115%,115%,BG2173) + IF(BH2173&gt;=115%,115%,BH2173)))/_xlfn.XLOOKUP(F2173,Apuração!A:A,Apuração!B:B)&gt;=1.15,1.15,((IF(AZ2173&gt;=115%,115%,AZ2173) + IF(AX2173&gt;=115%,115%,AX2173) + IF(AY2173&gt;=115%,115%,AY2173) + (IF(AW2173&gt;=115%,115%,AW2173) + IF(BA2173&gt;=115%,115%,BA2173) + IF(BB2173&gt;=115%,115%,BB2173) + IF(BC2173&gt;=115%,115%,BC2173) + IF(BD2173&gt;=115%,115%,BD2173) + IF(BE2173&gt;=115%,115%,BE2173) + IF(BF2173&gt;=115%,115%,BF2173) + IF(BG2173&gt;=115%,115%,BG2173) + IF(BH2173&gt;=115%,115%,BH2173)))/_xlfn.XLOOKUP(F2173,Apuração!A:A,Apuração!B:B)))</f>
        <v>0.12777777777777777</v>
      </c>
      <c r="BL2173" s="58" cm="1">
        <f t="array" aca="1" ref="BL2173" ca="1">IF(SUM(IFERROR(IF(INDEX(AW2173:INDEX(AW2173:BH2173, MATCH(2, 1/(AW2173:BH2173&lt;&gt;""), 1)-1), ROW(INDIRECT("1:" &amp; MATCH(2, 1/(AW2173:BH2173&lt;&gt;""), 1)-1))) &gt;= 115%, 115%, INDEX(AW2173:INDEX(AW2173:BH2173, MATCH(2, 1/(AW2173:BH2173&lt;&gt;""), 1)-1), ROW(INDIRECT("1:" &amp; MATCH(2, 1/(AW2173:BH2173&lt;&gt;""), 1)-1)))), 0))/_xlfn.XLOOKUP(F2173,Apuração!A:A,Apuração!B:B)&gt;=1.15,1.15,SUM(IFERROR(IF(INDEX(AW2173:INDEX(AW2173:BH2173, MATCH(2, 1/(AW2173:BH2173&lt;&gt;""), 1)-1), ROW(INDIRECT("1:" &amp; MATCH(2, 1/(AW2173:BH2173&lt;&gt;""), 1)-1))) &gt;= 115%, 115%, INDEX(AW2173:INDEX(AW2173:BH2173, MATCH(2, 1/(AW2173:BH2173&lt;&gt;""), 1)-1), ROW(INDIRECT("1:" &amp; MATCH(2, 1/(AW2173:BH2173&lt;&gt;""), 1)-1)))), 0))/_xlfn.XLOOKUP(F2173,Apuração!A:A,Apuração!B:B))</f>
        <v>0</v>
      </c>
      <c r="BM2173" s="55" cm="1">
        <f t="array" ref="BM2173">IFERROR(
   INDEX($AW$1:$BH$1,
      _xlfn.AGGREGATE(14, 6, COLUMN($AW$1:$BH$1)/(AW2173:BH2173&lt;&gt;""), 2) - COLUMN($AW$1) + 1
   ),
"")</f>
        <v>46082</v>
      </c>
      <c r="BN2173" s="55" cm="1">
        <f t="array" ref="BN2173">IFERROR(INDEX($AW$1:$BH$1,1,MATCH(2,1/(AW2173:BH2173&lt;&gt;""))),"")</f>
        <v>46113</v>
      </c>
      <c r="BO2173" s="53">
        <f ca="1">IFERROR(_xlfn.XLOOKUP(F2173,Apuração!A:A,Apuração!C:C)/_xlfn.XLOOKUP(F2173,Apuração!A:A,Apuração!B:B),0)</f>
        <v>0.22222222222222221</v>
      </c>
      <c r="BP2173" s="53">
        <f ca="1">IFERROR(_xlfn.XLOOKUP(F2173,Apuração!A:A,Apuração!D:D)/_xlfn.XLOOKUP(F2173,Apuração!A:A,Apuração!B:B),0)</f>
        <v>0.1111111111111111</v>
      </c>
      <c r="BQ2173" s="53">
        <f ca="1">IF(BK2173&gt;=BO2173,0,_xlfn.XLOOKUP(F2173,Apuração!A:A,Apuração!B:B)*(BO2173 + (1/_xlfn.XLOOKUP(F2173,Apuração!A:A,Apuração!B:B)) - BK2173))</f>
        <v>1.8499999999999999</v>
      </c>
      <c r="BR2173" s="85">
        <f t="shared" ca="1" si="2585"/>
        <v>882.44999999999993</v>
      </c>
      <c r="BS2173" s="53">
        <f ca="1">IFERROR((_xlfn.XLOOKUP(F2173,Apuração!A:A,Apuração!C:C)+1)/_xlfn.XLOOKUP(F2173,Apuração!A:A,Apuração!B:B),0)</f>
        <v>0.33333333333333331</v>
      </c>
    </row>
    <row r="2174" spans="1:71" ht="25.95" hidden="1" customHeight="1" x14ac:dyDescent="0.3">
      <c r="A2174" s="23" t="s">
        <v>134</v>
      </c>
      <c r="B2174" s="4" t="s">
        <v>167</v>
      </c>
      <c r="C2174" s="5" t="s">
        <v>216</v>
      </c>
      <c r="D2174" s="5" t="s">
        <v>219</v>
      </c>
      <c r="E2174" s="4" t="str" cm="1">
        <f t="array" ref="E2174">_xlfn.IFS(
F2174 = "A partir de Abril", "Aguardando Execução na Distribuidora",
A2174 = "CAPACITAÇÃO", "Em execução no Corporativo",
TRUE, "Em Execução na Distribuidora"
)</f>
        <v>Em Execução na Distribuidora</v>
      </c>
      <c r="F2174" s="4" t="str" cm="1">
        <f t="array" ref="F2174">_xlfn.IFS(
AG2174 &lt;&gt; "", "Jan-Dez/26",
AH2174 &lt;&gt; "", "Fev-Dez/26",
AI2174 &lt;&gt; "", "Mar-Dez/26", AJ2174 &lt;&gt; "", "Abr-Dez/26",
TRUE, "A partir de Junho"
)</f>
        <v>Abr-Dez/26</v>
      </c>
      <c r="G2174" s="4" t="s">
        <v>37</v>
      </c>
      <c r="H2174" s="7" t="s">
        <v>110</v>
      </c>
      <c r="I2174" s="8" t="s">
        <v>171</v>
      </c>
      <c r="J2174" s="8" t="str" cm="1">
        <f t="array" aca="1" ref="J2174" ca="1">_xlfn.LET(
  _xlpm.actual_value_month, INDEX(T2174:AE2174, MATCH(DATE(YEAR(TODAY()), MONTH(TODAY()), 1), $T$1:$AE$1, 0)),
  IF(_xlpm.actual_value_month &lt;&gt; "",_xlpm.actual_value_month &amp; " colaboradores alcançados mensalmentes", "")
)</f>
        <v>200 colaboradores alcançados mensalmentes</v>
      </c>
      <c r="K2174" s="8" t="str" cm="1">
        <f t="array" ref="K2174">_xlfn.LET(
    _xlpm.sum_month, SUM(T2174:AE2174),
    IF(_xlpm.sum_month = 0, "", _xlpm.sum_month &amp; " colaboradores alcançados durante no ano")
)</f>
        <v>1800 colaboradores alcançados durante no ano</v>
      </c>
      <c r="L2174" s="9" t="s">
        <v>172</v>
      </c>
      <c r="M2174" s="24" t="s">
        <v>173</v>
      </c>
      <c r="N2174" s="5" t="s">
        <v>42</v>
      </c>
      <c r="O2174" s="5" t="s">
        <v>43</v>
      </c>
      <c r="P2174" s="10" t="s">
        <v>44</v>
      </c>
      <c r="Q2174" s="10" t="s">
        <v>72</v>
      </c>
      <c r="R2174" s="11" t="s">
        <v>66</v>
      </c>
      <c r="S2174" s="11" t="s">
        <v>67</v>
      </c>
      <c r="T2174" s="22"/>
      <c r="U2174" s="22"/>
      <c r="V2174" s="22"/>
      <c r="W2174" s="22">
        <v>200</v>
      </c>
      <c r="X2174" s="22">
        <v>200</v>
      </c>
      <c r="Y2174" s="22">
        <v>200</v>
      </c>
      <c r="Z2174" s="22">
        <v>200</v>
      </c>
      <c r="AA2174" s="22">
        <v>200</v>
      </c>
      <c r="AB2174" s="22">
        <v>200</v>
      </c>
      <c r="AC2174" s="22">
        <v>200</v>
      </c>
      <c r="AD2174" s="22">
        <v>200</v>
      </c>
      <c r="AE2174" s="22">
        <v>200</v>
      </c>
      <c r="AG2174" s="71"/>
      <c r="AH2174" s="71"/>
      <c r="AI2174" s="71"/>
      <c r="AJ2174" s="148">
        <v>1441</v>
      </c>
      <c r="AK2174" s="71"/>
      <c r="AL2174" s="71"/>
      <c r="AM2174" s="71"/>
      <c r="AN2174" s="71"/>
      <c r="AO2174" s="71"/>
      <c r="AP2174" s="71"/>
      <c r="AQ2174" s="71"/>
      <c r="AR2174" s="71"/>
      <c r="AS2174" s="94">
        <f t="shared" ca="1" si="2578"/>
        <v>400</v>
      </c>
      <c r="AT2174" s="95">
        <f t="shared" si="2579"/>
        <v>229.99999999999997</v>
      </c>
      <c r="AU2174" s="97">
        <f t="shared" si="2580"/>
        <v>1441</v>
      </c>
      <c r="AW2174" s="51">
        <f t="shared" si="2581"/>
        <v>0</v>
      </c>
      <c r="AX2174" s="51">
        <f t="shared" si="2582"/>
        <v>0</v>
      </c>
      <c r="AY2174" s="51">
        <f t="shared" si="2583"/>
        <v>0</v>
      </c>
      <c r="AZ2174" s="51">
        <f t="shared" si="2584"/>
        <v>7.2050000000000001</v>
      </c>
      <c r="BA2174" s="51"/>
      <c r="BB2174" s="51"/>
      <c r="BC2174" s="51"/>
      <c r="BD2174" s="51"/>
      <c r="BE2174" s="51"/>
      <c r="BF2174" s="51"/>
      <c r="BG2174" s="51"/>
      <c r="BH2174" s="51"/>
      <c r="BI2174" s="65" cm="1">
        <f t="array" ref="BI2174">IFERROR(INDEX(AW2174:BH2174,1,MATCH(2,1/(AW2174:BH2174&lt;&gt;""))),"")</f>
        <v>7.2050000000000001</v>
      </c>
      <c r="BJ2174" s="68" cm="1">
        <f t="array" ref="BJ2174">IF(BM2174 = "", "",IFERROR(INDEX(AW2174:BH2174,1,MATCH(2,1/(AW2174:BH2174&lt;&gt;""),1)-1),""))</f>
        <v>0</v>
      </c>
      <c r="BK2174" s="58">
        <f>IF((IF(AW2174&gt;=115%,115%,AW2174) + IF(AX2174&gt;=115%,115%,AX2174) + IF(AY2174&gt;=115%,115%,AY2174) + (IF(AZ2174&gt;=115%,115%,AZ2174) + IF(BA2174&gt;=115%,115%,BA2174) + IF(BB2174&gt;=115%,115%,BB2174) + IF(BC2174&gt;=115%,115%,BC2174) + IF(BD2174&gt;=115%,115%,BD2174) + IF(BE2174&gt;=115%,115%,BE2174) + IF(BF2174&gt;=115%,115%,BF2174) + IF(BG2174&gt;=115%,115%,BG2174) + IF(BH2174&gt;=115%,115%,BH2174)))/_xlfn.XLOOKUP(F2174,Apuração!A:A,Apuração!B:B)&gt;=1.15,1.15,((IF(AZ2174&gt;=115%,115%,AZ2174) + IF(AX2174&gt;=115%,115%,AX2174) + IF(AY2174&gt;=115%,115%,AY2174) + (IF(AW2174&gt;=115%,115%,AW2174) + IF(BA2174&gt;=115%,115%,BA2174) + IF(BB2174&gt;=115%,115%,BB2174) + IF(BC2174&gt;=115%,115%,BC2174) + IF(BD2174&gt;=115%,115%,BD2174) + IF(BE2174&gt;=115%,115%,BE2174) + IF(BF2174&gt;=115%,115%,BF2174) + IF(BG2174&gt;=115%,115%,BG2174) + IF(BH2174&gt;=115%,115%,BH2174)))/_xlfn.XLOOKUP(F2174,Apuração!A:A,Apuração!B:B)))</f>
        <v>0.12777777777777777</v>
      </c>
      <c r="BL2174" s="58" cm="1">
        <f t="array" aca="1" ref="BL2174" ca="1">IF(SUM(IFERROR(IF(INDEX(AW2174:INDEX(AW2174:BH2174, MATCH(2, 1/(AW2174:BH2174&lt;&gt;""), 1)-1), ROW(INDIRECT("1:" &amp; MATCH(2, 1/(AW2174:BH2174&lt;&gt;""), 1)-1))) &gt;= 115%, 115%, INDEX(AW2174:INDEX(AW2174:BH2174, MATCH(2, 1/(AW2174:BH2174&lt;&gt;""), 1)-1), ROW(INDIRECT("1:" &amp; MATCH(2, 1/(AW2174:BH2174&lt;&gt;""), 1)-1)))), 0))/_xlfn.XLOOKUP(F2174,Apuração!A:A,Apuração!B:B)&gt;=1.15,1.15,SUM(IFERROR(IF(INDEX(AW2174:INDEX(AW2174:BH2174, MATCH(2, 1/(AW2174:BH2174&lt;&gt;""), 1)-1), ROW(INDIRECT("1:" &amp; MATCH(2, 1/(AW2174:BH2174&lt;&gt;""), 1)-1))) &gt;= 115%, 115%, INDEX(AW2174:INDEX(AW2174:BH2174, MATCH(2, 1/(AW2174:BH2174&lt;&gt;""), 1)-1), ROW(INDIRECT("1:" &amp; MATCH(2, 1/(AW2174:BH2174&lt;&gt;""), 1)-1)))), 0))/_xlfn.XLOOKUP(F2174,Apuração!A:A,Apuração!B:B))</f>
        <v>0</v>
      </c>
      <c r="BM2174" s="55" cm="1">
        <f t="array" ref="BM2174">IFERROR(
   INDEX($AW$1:$BH$1,
      _xlfn.AGGREGATE(14, 6, COLUMN($AW$1:$BH$1)/(AW2174:BH2174&lt;&gt;""), 2) - COLUMN($AW$1) + 1
   ),
"")</f>
        <v>46082</v>
      </c>
      <c r="BN2174" s="55" cm="1">
        <f t="array" ref="BN2174">IFERROR(INDEX($AW$1:$BH$1,1,MATCH(2,1/(AW2174:BH2174&lt;&gt;""))),"")</f>
        <v>46113</v>
      </c>
      <c r="BO2174" s="53">
        <f ca="1">IFERROR(_xlfn.XLOOKUP(F2174,Apuração!A:A,Apuração!C:C)/_xlfn.XLOOKUP(F2174,Apuração!A:A,Apuração!B:B),0)</f>
        <v>0.22222222222222221</v>
      </c>
      <c r="BP2174" s="53">
        <f ca="1">IFERROR(_xlfn.XLOOKUP(F2174,Apuração!A:A,Apuração!D:D)/_xlfn.XLOOKUP(F2174,Apuração!A:A,Apuração!B:B),0)</f>
        <v>0.1111111111111111</v>
      </c>
      <c r="BQ2174" s="53">
        <f ca="1">IF(BK2174&gt;=BO2174,0,_xlfn.XLOOKUP(F2174,Apuração!A:A,Apuração!B:B)*(BO2174 + (1/_xlfn.XLOOKUP(F2174,Apuração!A:A,Apuração!B:B)) - BK2174))</f>
        <v>1.8499999999999999</v>
      </c>
      <c r="BR2174" s="85">
        <f t="shared" ca="1" si="2585"/>
        <v>370</v>
      </c>
      <c r="BS2174" s="53">
        <f ca="1">IFERROR((_xlfn.XLOOKUP(F2174,Apuração!A:A,Apuração!C:C)+1)/_xlfn.XLOOKUP(F2174,Apuração!A:A,Apuração!B:B),0)</f>
        <v>0.33333333333333331</v>
      </c>
    </row>
    <row r="2175" spans="1:71" ht="25.95" hidden="1" customHeight="1" x14ac:dyDescent="0.3">
      <c r="A2175" s="23" t="s">
        <v>134</v>
      </c>
      <c r="B2175" s="4" t="s">
        <v>174</v>
      </c>
      <c r="C2175" s="5" t="s">
        <v>216</v>
      </c>
      <c r="D2175" s="5" t="s">
        <v>36</v>
      </c>
      <c r="E2175" s="4" t="s">
        <v>96</v>
      </c>
      <c r="F2175" s="4" t="str" cm="1">
        <f t="array" ref="F2175">_xlfn.IFS(
AG2175 &lt;&gt; "", "Jan-Dez/26",
AH2175 &lt;&gt; "", "Fev-Dez/26",
AI2175 &lt;&gt; "", "Mar-Dez/26", AJ2175 &lt;&gt; "", "Abr-Dez/26",
TRUE, "A partir de Junho"
)</f>
        <v>A partir de Junho</v>
      </c>
      <c r="G2175" s="4" t="s">
        <v>62</v>
      </c>
      <c r="H2175" s="7" t="s">
        <v>38</v>
      </c>
      <c r="I2175" s="8" t="s">
        <v>168</v>
      </c>
      <c r="J2175" s="8" t="str" cm="1">
        <f t="array" aca="1" ref="J2175" ca="1">_xlfn.LET(
  _xlpm.actual_value_month, INDEX(T2175:AE2175, MATCH(DATE(YEAR(TODAY()), MONTH(TODAY()), 1), $T$1:$AE$1, 0)),
  IF(_xlpm.actual_value_month &lt;&gt; "",_xlpm.actual_value_month &amp; " ações mensais", "")
)</f>
        <v/>
      </c>
      <c r="K2175" s="8" t="str" cm="1">
        <f t="array" ref="K2175">_xlfn.LET(
    _xlpm.sum_month, SUM(T2175:AE2175),
    IF(_xlpm.sum_month = 0, "", _xlpm.sum_month &amp; " ações no ano")
)</f>
        <v/>
      </c>
      <c r="L2175" s="9" t="s">
        <v>169</v>
      </c>
      <c r="M2175" s="24">
        <v>1</v>
      </c>
      <c r="N2175" s="5" t="s">
        <v>42</v>
      </c>
      <c r="O2175" s="5" t="s">
        <v>43</v>
      </c>
      <c r="P2175" s="10" t="s">
        <v>44</v>
      </c>
      <c r="Q2175" s="10" t="s">
        <v>44</v>
      </c>
      <c r="R2175" s="11" t="s">
        <v>66</v>
      </c>
      <c r="S2175" s="11" t="s">
        <v>67</v>
      </c>
      <c r="T2175" s="22"/>
      <c r="U2175" s="22"/>
      <c r="V2175" s="22"/>
      <c r="W2175" s="22"/>
      <c r="X2175" s="22"/>
      <c r="Y2175" s="22"/>
      <c r="Z2175" s="22"/>
      <c r="AA2175" s="22"/>
      <c r="AB2175" s="22"/>
      <c r="AC2175" s="22"/>
      <c r="AD2175" s="22"/>
      <c r="AE2175" s="22"/>
      <c r="AG2175" s="71"/>
      <c r="AH2175" s="71"/>
      <c r="AI2175" s="71"/>
      <c r="AJ2175" s="71"/>
      <c r="AK2175" s="71"/>
      <c r="AL2175" s="71"/>
      <c r="AM2175" s="71"/>
      <c r="AN2175" s="71"/>
      <c r="AO2175" s="71"/>
      <c r="AP2175" s="71"/>
      <c r="AQ2175" s="71"/>
      <c r="AR2175" s="71"/>
      <c r="AS2175" s="94">
        <f ca="1">IF(MONTH(TODAY())=3,SUM(T2175:U2175),IF(MONTH(TODAY())=4,SUM(T2175:V2175),IF(MONTH(TODAY())=5,SUM(T2175:W2175),IF(MONTH(TODAY())=6,SUM(T2175:X2175),IF(MONTH(TODAY())=7,SUM(T2175:Y2175),IF(MONTH(TODAY())=8,SUM(T2175:Z2175),IF(MONTH(TODAY())=9,SUM(T2175:AA2175),IF(MONTH(TODAY())=10,SUM(T2175:AB2175),IF(MONTH(TODAY())=11,SUM(T2175:AC2175),IF(MONTH(TODAY())=12,SUM(T2175:AD2175),IF(MONTH(TODAY())=1,SUM(T2175:AE2175),T2175)))))))))))</f>
        <v>0</v>
      </c>
      <c r="AT2175" s="95">
        <f>SUM(IF(AW2175&lt;1.15,AG2175,1.15*T2175),IF(AX2175&lt;1.15,AH2175,1.15*U2175),IF(AY2175&lt;1.15,AI2175,1.15*V2175),IF(AZ2175&lt;1.15,AJ2175,1.15*W2175),IF(BA2175&lt;1.15,AK2175,1.15*X2175),IF(BB2175&lt;1.15,AL2175,1.15*Y2175),IF(BC2175&lt;1.15,AM2175,1.15*Z2175),IF(BD2175&lt;1.15,AN2175,1.15*AA2175),IF(BE2175&lt;1.15,AO2175,1.15*AB2175),IF(BF2175&lt;1.15,AP2175,1.15*AC2175),IF(BG2175&lt;1.15,AQ2175,1.15*AD2175),IF(BH2175&lt;1.15,AR2175,1.15*AE2175))</f>
        <v>0</v>
      </c>
      <c r="AU2175" s="97">
        <f>SUM(AG2175:AR2175)</f>
        <v>0</v>
      </c>
      <c r="AW2175" s="51">
        <f>IFERROR(IF(AG2175="",0,AG2175/T2175),0)</f>
        <v>0</v>
      </c>
      <c r="AX2175" s="51">
        <f>IFERROR(IF(AH2175="",0,AH2175/U2175),0)</f>
        <v>0</v>
      </c>
      <c r="AY2175" s="51">
        <f>IFERROR(IF(AI2175="",0,AI2175/V2175),0)</f>
        <v>0</v>
      </c>
      <c r="AZ2175" s="51">
        <f>IFERROR(IF(AJ2175="",0,AJ2175/W2175),0)</f>
        <v>0</v>
      </c>
      <c r="BA2175" s="51"/>
      <c r="BB2175" s="51"/>
      <c r="BC2175" s="51"/>
      <c r="BD2175" s="51"/>
      <c r="BE2175" s="51"/>
      <c r="BF2175" s="51"/>
      <c r="BG2175" s="51"/>
      <c r="BH2175" s="51"/>
      <c r="BI2175" s="65" cm="1">
        <f t="array" ref="BI2175">IFERROR(INDEX(AW2175:BH2175,1,MATCH(2,1/(AW2175:BH2175&lt;&gt;""))),"")</f>
        <v>0</v>
      </c>
      <c r="BJ2175" s="68" cm="1">
        <f t="array" ref="BJ2175">IF(BM2175 = "", "",IFERROR(INDEX(AW2175:BH2175,1,MATCH(2,1/(AW2175:BH2175&lt;&gt;""),1)-1),""))</f>
        <v>0</v>
      </c>
      <c r="BK2175" s="58">
        <f>IF((IF(AW2175&gt;=115%,115%,AW2175) + IF(AX2175&gt;=115%,115%,AX2175) + IF(AY2175&gt;=115%,115%,AY2175) + (IF(AZ2175&gt;=115%,115%,AZ2175) + IF(BA2175&gt;=115%,115%,BA2175) + IF(BB2175&gt;=115%,115%,BB2175) + IF(BC2175&gt;=115%,115%,BC2175) + IF(BD2175&gt;=115%,115%,BD2175) + IF(BE2175&gt;=115%,115%,BE2175) + IF(BF2175&gt;=115%,115%,BF2175) + IF(BG2175&gt;=115%,115%,BG2175) + IF(BH2175&gt;=115%,115%,BH2175)))/_xlfn.XLOOKUP(F2175,Apuração!A:A,Apuração!B:B)&gt;=1.15,1.15,((IF(AZ2175&gt;=115%,115%,AZ2175) + IF(AX2175&gt;=115%,115%,AX2175) + IF(AY2175&gt;=115%,115%,AY2175) + (IF(AW2175&gt;=115%,115%,AW2175) + IF(BA2175&gt;=115%,115%,BA2175) + IF(BB2175&gt;=115%,115%,BB2175) + IF(BC2175&gt;=115%,115%,BC2175) + IF(BD2175&gt;=115%,115%,BD2175) + IF(BE2175&gt;=115%,115%,BE2175) + IF(BF2175&gt;=115%,115%,BF2175) + IF(BG2175&gt;=115%,115%,BG2175) + IF(BH2175&gt;=115%,115%,BH2175)))/_xlfn.XLOOKUP(F2175,Apuração!A:A,Apuração!B:B)))</f>
        <v>0</v>
      </c>
      <c r="BL2175" s="58" cm="1">
        <f t="array" aca="1" ref="BL2175" ca="1">IF(SUM(IFERROR(IF(INDEX(AW2175:INDEX(AW2175:BH2175, MATCH(2, 1/(AW2175:BH2175&lt;&gt;""), 1)-1), ROW(INDIRECT("1:" &amp; MATCH(2, 1/(AW2175:BH2175&lt;&gt;""), 1)-1))) &gt;= 115%, 115%, INDEX(AW2175:INDEX(AW2175:BH2175, MATCH(2, 1/(AW2175:BH2175&lt;&gt;""), 1)-1), ROW(INDIRECT("1:" &amp; MATCH(2, 1/(AW2175:BH2175&lt;&gt;""), 1)-1)))), 0))/_xlfn.XLOOKUP(F2175,Apuração!A:A,Apuração!B:B)&gt;=1.15,1.15,SUM(IFERROR(IF(INDEX(AW2175:INDEX(AW2175:BH2175, MATCH(2, 1/(AW2175:BH2175&lt;&gt;""), 1)-1), ROW(INDIRECT("1:" &amp; MATCH(2, 1/(AW2175:BH2175&lt;&gt;""), 1)-1))) &gt;= 115%, 115%, INDEX(AW2175:INDEX(AW2175:BH2175, MATCH(2, 1/(AW2175:BH2175&lt;&gt;""), 1)-1), ROW(INDIRECT("1:" &amp; MATCH(2, 1/(AW2175:BH2175&lt;&gt;""), 1)-1)))), 0))/_xlfn.XLOOKUP(F2175,Apuração!A:A,Apuração!B:B))</f>
        <v>0</v>
      </c>
      <c r="BM2175" s="55" cm="1">
        <f t="array" ref="BM2175">IFERROR(
   INDEX($AW$1:$BH$1,
      _xlfn.AGGREGATE(14, 6, COLUMN($AW$1:$BH$1)/(AW2175:BH2175&lt;&gt;""), 2) - COLUMN($AW$1) + 1
   ),
"")</f>
        <v>46082</v>
      </c>
      <c r="BN2175" s="55" cm="1">
        <f t="array" ref="BN2175">IFERROR(INDEX($AW$1:$BH$1,1,MATCH(2,1/(AW2175:BH2175&lt;&gt;""))),"")</f>
        <v>46113</v>
      </c>
      <c r="BO2175" s="53">
        <f ca="1">IFERROR(_xlfn.XLOOKUP(F2175,Apuração!A:A,Apuração!C:C)/_xlfn.XLOOKUP(F2175,Apuração!A:A,Apuração!B:B),0)</f>
        <v>0</v>
      </c>
      <c r="BP2175" s="53">
        <f ca="1">IFERROR(_xlfn.XLOOKUP(F2175,Apuração!A:A,Apuração!D:D)/_xlfn.XLOOKUP(F2175,Apuração!A:A,Apuração!B:B),0)</f>
        <v>0</v>
      </c>
      <c r="BQ2175" s="53">
        <f ca="1">IF(BK2175&gt;=BO2175,0,_xlfn.XLOOKUP(F2175,Apuração!A:A,Apuração!B:B)*(BO2175 + (1/_xlfn.XLOOKUP(F2175,Apuração!A:A,Apuração!B:B)) - BK2175))</f>
        <v>0</v>
      </c>
      <c r="BR2175" s="85">
        <f ca="1">IF(BQ2175=0,0,BQ2175*Z2175)</f>
        <v>0</v>
      </c>
      <c r="BS2175" s="53">
        <f ca="1">IFERROR((_xlfn.XLOOKUP(F2175,Apuração!A:A,Apuração!C:C)+1)/_xlfn.XLOOKUP(F2175,Apuração!A:A,Apuração!B:B),0)</f>
        <v>0.14285714285714285</v>
      </c>
    </row>
    <row r="2176" spans="1:71" ht="25.95" hidden="1" customHeight="1" x14ac:dyDescent="0.3">
      <c r="A2176" s="23" t="s">
        <v>134</v>
      </c>
      <c r="B2176" s="4" t="s">
        <v>174</v>
      </c>
      <c r="C2176" s="5" t="s">
        <v>216</v>
      </c>
      <c r="D2176" s="5" t="s">
        <v>217</v>
      </c>
      <c r="E2176" s="4" t="s">
        <v>96</v>
      </c>
      <c r="F2176" s="4" t="str" cm="1">
        <f t="array" ref="F2176">_xlfn.IFS(
AG2176 &lt;&gt; "", "Jan-Dez/26",
AH2176 &lt;&gt; "", "Fev-Dez/26",
AI2176 &lt;&gt; "", "Mar-Dez/26", AJ2176 &lt;&gt; "", "Abr-Dez/26",
TRUE, "A partir de Junho"
)</f>
        <v>A partir de Junho</v>
      </c>
      <c r="G2176" s="4" t="s">
        <v>62</v>
      </c>
      <c r="H2176" s="7" t="s">
        <v>38</v>
      </c>
      <c r="I2176" s="8" t="s">
        <v>168</v>
      </c>
      <c r="J2176" s="8" t="str" cm="1">
        <f t="array" aca="1" ref="J2176" ca="1">_xlfn.LET(
  _xlpm.actual_value_month, INDEX(T2176:AE2176, MATCH(DATE(YEAR(TODAY()), MONTH(TODAY()), 1), $T$1:$AE$1, 0)),
  IF(_xlpm.actual_value_month &lt;&gt; "",_xlpm.actual_value_month &amp; " ações mensais", "")
)</f>
        <v/>
      </c>
      <c r="K2176" s="8" t="str" cm="1">
        <f t="array" ref="K2176">_xlfn.LET(
    _xlpm.sum_month, SUM(T2176:AE2176),
    IF(_xlpm.sum_month = 0, "", _xlpm.sum_month &amp; " ações no ano")
)</f>
        <v/>
      </c>
      <c r="L2176" s="9" t="s">
        <v>169</v>
      </c>
      <c r="M2176" s="24">
        <v>1</v>
      </c>
      <c r="N2176" s="5" t="s">
        <v>42</v>
      </c>
      <c r="O2176" s="5" t="s">
        <v>43</v>
      </c>
      <c r="P2176" s="10" t="s">
        <v>44</v>
      </c>
      <c r="Q2176" s="10" t="s">
        <v>44</v>
      </c>
      <c r="R2176" s="11" t="s">
        <v>66</v>
      </c>
      <c r="S2176" s="11" t="s">
        <v>67</v>
      </c>
      <c r="T2176" s="22"/>
      <c r="U2176" s="22"/>
      <c r="V2176" s="22"/>
      <c r="W2176" s="22"/>
      <c r="X2176" s="22"/>
      <c r="Y2176" s="22"/>
      <c r="Z2176" s="22"/>
      <c r="AA2176" s="22"/>
      <c r="AB2176" s="22"/>
      <c r="AC2176" s="22"/>
      <c r="AD2176" s="22"/>
      <c r="AE2176" s="22"/>
      <c r="AG2176" s="71"/>
      <c r="AH2176" s="71"/>
      <c r="AI2176" s="71"/>
      <c r="AJ2176" s="71"/>
      <c r="AK2176" s="71"/>
      <c r="AL2176" s="71"/>
      <c r="AM2176" s="71"/>
      <c r="AN2176" s="71"/>
      <c r="AO2176" s="71"/>
      <c r="AP2176" s="71"/>
      <c r="AQ2176" s="71"/>
      <c r="AR2176" s="71"/>
      <c r="AS2176" s="94">
        <f t="shared" ref="AS2176:AS2179" ca="1" si="2586">IF(MONTH(TODAY())=3,SUM(T2176:U2176),IF(MONTH(TODAY())=4,SUM(T2176:V2176),IF(MONTH(TODAY())=5,SUM(T2176:W2176),IF(MONTH(TODAY())=6,SUM(T2176:X2176),IF(MONTH(TODAY())=7,SUM(T2176:Y2176),IF(MONTH(TODAY())=8,SUM(T2176:Z2176),IF(MONTH(TODAY())=9,SUM(T2176:AA2176),IF(MONTH(TODAY())=10,SUM(T2176:AB2176),IF(MONTH(TODAY())=11,SUM(T2176:AC2176),IF(MONTH(TODAY())=12,SUM(T2176:AD2176),IF(MONTH(TODAY())=1,SUM(T2176:AE2176),T2176)))))))))))</f>
        <v>0</v>
      </c>
      <c r="AT2176" s="95">
        <f t="shared" ref="AT2176:AT2179" si="2587">SUM(IF(AW2176&lt;1.15,AG2176,1.15*T2176),IF(AX2176&lt;1.15,AH2176,1.15*U2176),IF(AY2176&lt;1.15,AI2176,1.15*V2176),IF(AZ2176&lt;1.15,AJ2176,1.15*W2176),IF(BA2176&lt;1.15,AK2176,1.15*X2176),IF(BB2176&lt;1.15,AL2176,1.15*Y2176),IF(BC2176&lt;1.15,AM2176,1.15*Z2176),IF(BD2176&lt;1.15,AN2176,1.15*AA2176),IF(BE2176&lt;1.15,AO2176,1.15*AB2176),IF(BF2176&lt;1.15,AP2176,1.15*AC2176),IF(BG2176&lt;1.15,AQ2176,1.15*AD2176),IF(BH2176&lt;1.15,AR2176,1.15*AE2176))</f>
        <v>0</v>
      </c>
      <c r="AU2176" s="97">
        <f t="shared" ref="AU2176:AU2179" si="2588">SUM(AG2176:AR2176)</f>
        <v>0</v>
      </c>
      <c r="AW2176" s="51">
        <f t="shared" ref="AW2176:AW2179" si="2589">IFERROR(IF(AG2176="",0,AG2176/T2176),0)</f>
        <v>0</v>
      </c>
      <c r="AX2176" s="51">
        <f t="shared" ref="AX2176:AX2179" si="2590">IFERROR(IF(AH2176="",0,AH2176/U2176),0)</f>
        <v>0</v>
      </c>
      <c r="AY2176" s="51">
        <f t="shared" ref="AY2176:AY2179" si="2591">IFERROR(IF(AI2176="",0,AI2176/V2176),0)</f>
        <v>0</v>
      </c>
      <c r="AZ2176" s="51">
        <f t="shared" ref="AZ2176:AZ2179" si="2592">IFERROR(IF(AJ2176="",0,AJ2176/W2176),0)</f>
        <v>0</v>
      </c>
      <c r="BA2176" s="51"/>
      <c r="BB2176" s="51"/>
      <c r="BC2176" s="51"/>
      <c r="BD2176" s="51"/>
      <c r="BE2176" s="51"/>
      <c r="BF2176" s="51"/>
      <c r="BG2176" s="51"/>
      <c r="BH2176" s="51"/>
      <c r="BI2176" s="65" cm="1">
        <f t="array" ref="BI2176">IFERROR(INDEX(AW2176:BH2176,1,MATCH(2,1/(AW2176:BH2176&lt;&gt;""))),"")</f>
        <v>0</v>
      </c>
      <c r="BJ2176" s="68" cm="1">
        <f t="array" ref="BJ2176">IF(BM2176 = "", "",IFERROR(INDEX(AW2176:BH2176,1,MATCH(2,1/(AW2176:BH2176&lt;&gt;""),1)-1),""))</f>
        <v>0</v>
      </c>
      <c r="BK2176" s="58">
        <f>IF((IF(AW2176&gt;=115%,115%,AW2176) + IF(AX2176&gt;=115%,115%,AX2176) + IF(AY2176&gt;=115%,115%,AY2176) + (IF(AZ2176&gt;=115%,115%,AZ2176) + IF(BA2176&gt;=115%,115%,BA2176) + IF(BB2176&gt;=115%,115%,BB2176) + IF(BC2176&gt;=115%,115%,BC2176) + IF(BD2176&gt;=115%,115%,BD2176) + IF(BE2176&gt;=115%,115%,BE2176) + IF(BF2176&gt;=115%,115%,BF2176) + IF(BG2176&gt;=115%,115%,BG2176) + IF(BH2176&gt;=115%,115%,BH2176)))/_xlfn.XLOOKUP(F2176,Apuração!A:A,Apuração!B:B)&gt;=1.15,1.15,((IF(AZ2176&gt;=115%,115%,AZ2176) + IF(AX2176&gt;=115%,115%,AX2176) + IF(AY2176&gt;=115%,115%,AY2176) + (IF(AW2176&gt;=115%,115%,AW2176) + IF(BA2176&gt;=115%,115%,BA2176) + IF(BB2176&gt;=115%,115%,BB2176) + IF(BC2176&gt;=115%,115%,BC2176) + IF(BD2176&gt;=115%,115%,BD2176) + IF(BE2176&gt;=115%,115%,BE2176) + IF(BF2176&gt;=115%,115%,BF2176) + IF(BG2176&gt;=115%,115%,BG2176) + IF(BH2176&gt;=115%,115%,BH2176)))/_xlfn.XLOOKUP(F2176,Apuração!A:A,Apuração!B:B)))</f>
        <v>0</v>
      </c>
      <c r="BL2176" s="58" cm="1">
        <f t="array" aca="1" ref="BL2176" ca="1">IF(SUM(IFERROR(IF(INDEX(AW2176:INDEX(AW2176:BH2176, MATCH(2, 1/(AW2176:BH2176&lt;&gt;""), 1)-1), ROW(INDIRECT("1:" &amp; MATCH(2, 1/(AW2176:BH2176&lt;&gt;""), 1)-1))) &gt;= 115%, 115%, INDEX(AW2176:INDEX(AW2176:BH2176, MATCH(2, 1/(AW2176:BH2176&lt;&gt;""), 1)-1), ROW(INDIRECT("1:" &amp; MATCH(2, 1/(AW2176:BH2176&lt;&gt;""), 1)-1)))), 0))/_xlfn.XLOOKUP(F2176,Apuração!A:A,Apuração!B:B)&gt;=1.15,1.15,SUM(IFERROR(IF(INDEX(AW2176:INDEX(AW2176:BH2176, MATCH(2, 1/(AW2176:BH2176&lt;&gt;""), 1)-1), ROW(INDIRECT("1:" &amp; MATCH(2, 1/(AW2176:BH2176&lt;&gt;""), 1)-1))) &gt;= 115%, 115%, INDEX(AW2176:INDEX(AW2176:BH2176, MATCH(2, 1/(AW2176:BH2176&lt;&gt;""), 1)-1), ROW(INDIRECT("1:" &amp; MATCH(2, 1/(AW2176:BH2176&lt;&gt;""), 1)-1)))), 0))/_xlfn.XLOOKUP(F2176,Apuração!A:A,Apuração!B:B))</f>
        <v>0</v>
      </c>
      <c r="BM2176" s="55" cm="1">
        <f t="array" ref="BM2176">IFERROR(
   INDEX($AW$1:$BH$1,
      _xlfn.AGGREGATE(14, 6, COLUMN($AW$1:$BH$1)/(AW2176:BH2176&lt;&gt;""), 2) - COLUMN($AW$1) + 1
   ),
"")</f>
        <v>46082</v>
      </c>
      <c r="BN2176" s="55" cm="1">
        <f t="array" ref="BN2176">IFERROR(INDEX($AW$1:$BH$1,1,MATCH(2,1/(AW2176:BH2176&lt;&gt;""))),"")</f>
        <v>46113</v>
      </c>
      <c r="BO2176" s="53">
        <f ca="1">IFERROR(_xlfn.XLOOKUP(F2176,Apuração!A:A,Apuração!C:C)/_xlfn.XLOOKUP(F2176,Apuração!A:A,Apuração!B:B),0)</f>
        <v>0</v>
      </c>
      <c r="BP2176" s="53">
        <f ca="1">IFERROR(_xlfn.XLOOKUP(F2176,Apuração!A:A,Apuração!D:D)/_xlfn.XLOOKUP(F2176,Apuração!A:A,Apuração!B:B),0)</f>
        <v>0</v>
      </c>
      <c r="BQ2176" s="53">
        <f ca="1">IF(BK2176&gt;=BO2176,0,_xlfn.XLOOKUP(F2176,Apuração!A:A,Apuração!B:B)*(BO2176 + (1/_xlfn.XLOOKUP(F2176,Apuração!A:A,Apuração!B:B)) - BK2176))</f>
        <v>0</v>
      </c>
      <c r="BR2176" s="85">
        <f t="shared" ref="BR2176:BR2179" ca="1" si="2593">IF(BQ2176=0,0,BQ2176*Z2176)</f>
        <v>0</v>
      </c>
      <c r="BS2176" s="53">
        <f ca="1">IFERROR((_xlfn.XLOOKUP(F2176,Apuração!A:A,Apuração!C:C)+1)/_xlfn.XLOOKUP(F2176,Apuração!A:A,Apuração!B:B),0)</f>
        <v>0.14285714285714285</v>
      </c>
    </row>
    <row r="2177" spans="1:71" ht="25.95" hidden="1" customHeight="1" x14ac:dyDescent="0.3">
      <c r="A2177" s="23" t="s">
        <v>134</v>
      </c>
      <c r="B2177" s="4" t="s">
        <v>174</v>
      </c>
      <c r="C2177" s="5" t="s">
        <v>216</v>
      </c>
      <c r="D2177" s="5" t="s">
        <v>103</v>
      </c>
      <c r="E2177" s="4" t="s">
        <v>96</v>
      </c>
      <c r="F2177" s="4" t="str" cm="1">
        <f t="array" ref="F2177">_xlfn.IFS(
AG2177 &lt;&gt; "", "Jan-Dez/26",
AH2177 &lt;&gt; "", "Fev-Dez/26",
AI2177 &lt;&gt; "", "Mar-Dez/26", AJ2177 &lt;&gt; "", "Abr-Dez/26",
TRUE, "A partir de Junho"
)</f>
        <v>A partir de Junho</v>
      </c>
      <c r="G2177" s="4" t="s">
        <v>62</v>
      </c>
      <c r="H2177" s="7" t="s">
        <v>38</v>
      </c>
      <c r="I2177" s="8" t="s">
        <v>168</v>
      </c>
      <c r="J2177" s="8" t="str" cm="1">
        <f t="array" aca="1" ref="J2177" ca="1">_xlfn.LET(
  _xlpm.actual_value_month, INDEX(T2177:AE2177, MATCH(DATE(YEAR(TODAY()), MONTH(TODAY()), 1), $T$1:$AE$1, 0)),
  IF(_xlpm.actual_value_month &lt;&gt; "",_xlpm.actual_value_month &amp; " ações mensais", "")
)</f>
        <v/>
      </c>
      <c r="K2177" s="8" t="str" cm="1">
        <f t="array" ref="K2177">_xlfn.LET(
    _xlpm.sum_month, SUM(T2177:AE2177),
    IF(_xlpm.sum_month = 0, "", _xlpm.sum_month &amp; " ações no ano")
)</f>
        <v/>
      </c>
      <c r="L2177" s="9" t="s">
        <v>169</v>
      </c>
      <c r="M2177" s="24">
        <v>1</v>
      </c>
      <c r="N2177" s="5" t="s">
        <v>42</v>
      </c>
      <c r="O2177" s="5" t="s">
        <v>43</v>
      </c>
      <c r="P2177" s="10" t="s">
        <v>44</v>
      </c>
      <c r="Q2177" s="10" t="s">
        <v>44</v>
      </c>
      <c r="R2177" s="11" t="s">
        <v>66</v>
      </c>
      <c r="S2177" s="11" t="s">
        <v>67</v>
      </c>
      <c r="T2177" s="22"/>
      <c r="U2177" s="22"/>
      <c r="V2177" s="22"/>
      <c r="W2177" s="22"/>
      <c r="X2177" s="22"/>
      <c r="Y2177" s="22"/>
      <c r="Z2177" s="22"/>
      <c r="AA2177" s="22"/>
      <c r="AB2177" s="22"/>
      <c r="AC2177" s="22"/>
      <c r="AD2177" s="22"/>
      <c r="AE2177" s="22"/>
      <c r="AG2177" s="71"/>
      <c r="AH2177" s="71"/>
      <c r="AI2177" s="71"/>
      <c r="AJ2177" s="71"/>
      <c r="AK2177" s="71"/>
      <c r="AL2177" s="71"/>
      <c r="AM2177" s="71"/>
      <c r="AN2177" s="71"/>
      <c r="AO2177" s="71"/>
      <c r="AP2177" s="71"/>
      <c r="AQ2177" s="71"/>
      <c r="AR2177" s="71"/>
      <c r="AS2177" s="94">
        <f t="shared" ca="1" si="2586"/>
        <v>0</v>
      </c>
      <c r="AT2177" s="95">
        <f t="shared" si="2587"/>
        <v>0</v>
      </c>
      <c r="AU2177" s="97">
        <f t="shared" si="2588"/>
        <v>0</v>
      </c>
      <c r="AW2177" s="51">
        <f t="shared" si="2589"/>
        <v>0</v>
      </c>
      <c r="AX2177" s="51">
        <f t="shared" si="2590"/>
        <v>0</v>
      </c>
      <c r="AY2177" s="51">
        <f t="shared" si="2591"/>
        <v>0</v>
      </c>
      <c r="AZ2177" s="51">
        <f t="shared" si="2592"/>
        <v>0</v>
      </c>
      <c r="BA2177" s="51"/>
      <c r="BB2177" s="51"/>
      <c r="BC2177" s="51"/>
      <c r="BD2177" s="51"/>
      <c r="BE2177" s="51"/>
      <c r="BF2177" s="51"/>
      <c r="BG2177" s="51"/>
      <c r="BH2177" s="51"/>
      <c r="BI2177" s="65" cm="1">
        <f t="array" ref="BI2177">IFERROR(INDEX(AW2177:BH2177,1,MATCH(2,1/(AW2177:BH2177&lt;&gt;""))),"")</f>
        <v>0</v>
      </c>
      <c r="BJ2177" s="68" cm="1">
        <f t="array" ref="BJ2177">IF(BM2177 = "", "",IFERROR(INDEX(AW2177:BH2177,1,MATCH(2,1/(AW2177:BH2177&lt;&gt;""),1)-1),""))</f>
        <v>0</v>
      </c>
      <c r="BK2177" s="58">
        <f>IF((IF(AW2177&gt;=115%,115%,AW2177) + IF(AX2177&gt;=115%,115%,AX2177) + IF(AY2177&gt;=115%,115%,AY2177) + (IF(AZ2177&gt;=115%,115%,AZ2177) + IF(BA2177&gt;=115%,115%,BA2177) + IF(BB2177&gt;=115%,115%,BB2177) + IF(BC2177&gt;=115%,115%,BC2177) + IF(BD2177&gt;=115%,115%,BD2177) + IF(BE2177&gt;=115%,115%,BE2177) + IF(BF2177&gt;=115%,115%,BF2177) + IF(BG2177&gt;=115%,115%,BG2177) + IF(BH2177&gt;=115%,115%,BH2177)))/_xlfn.XLOOKUP(F2177,Apuração!A:A,Apuração!B:B)&gt;=1.15,1.15,((IF(AZ2177&gt;=115%,115%,AZ2177) + IF(AX2177&gt;=115%,115%,AX2177) + IF(AY2177&gt;=115%,115%,AY2177) + (IF(AW2177&gt;=115%,115%,AW2177) + IF(BA2177&gt;=115%,115%,BA2177) + IF(BB2177&gt;=115%,115%,BB2177) + IF(BC2177&gt;=115%,115%,BC2177) + IF(BD2177&gt;=115%,115%,BD2177) + IF(BE2177&gt;=115%,115%,BE2177) + IF(BF2177&gt;=115%,115%,BF2177) + IF(BG2177&gt;=115%,115%,BG2177) + IF(BH2177&gt;=115%,115%,BH2177)))/_xlfn.XLOOKUP(F2177,Apuração!A:A,Apuração!B:B)))</f>
        <v>0</v>
      </c>
      <c r="BL2177" s="58" cm="1">
        <f t="array" aca="1" ref="BL2177" ca="1">IF(SUM(IFERROR(IF(INDEX(AW2177:INDEX(AW2177:BH2177, MATCH(2, 1/(AW2177:BH2177&lt;&gt;""), 1)-1), ROW(INDIRECT("1:" &amp; MATCH(2, 1/(AW2177:BH2177&lt;&gt;""), 1)-1))) &gt;= 115%, 115%, INDEX(AW2177:INDEX(AW2177:BH2177, MATCH(2, 1/(AW2177:BH2177&lt;&gt;""), 1)-1), ROW(INDIRECT("1:" &amp; MATCH(2, 1/(AW2177:BH2177&lt;&gt;""), 1)-1)))), 0))/_xlfn.XLOOKUP(F2177,Apuração!A:A,Apuração!B:B)&gt;=1.15,1.15,SUM(IFERROR(IF(INDEX(AW2177:INDEX(AW2177:BH2177, MATCH(2, 1/(AW2177:BH2177&lt;&gt;""), 1)-1), ROW(INDIRECT("1:" &amp; MATCH(2, 1/(AW2177:BH2177&lt;&gt;""), 1)-1))) &gt;= 115%, 115%, INDEX(AW2177:INDEX(AW2177:BH2177, MATCH(2, 1/(AW2177:BH2177&lt;&gt;""), 1)-1), ROW(INDIRECT("1:" &amp; MATCH(2, 1/(AW2177:BH2177&lt;&gt;""), 1)-1)))), 0))/_xlfn.XLOOKUP(F2177,Apuração!A:A,Apuração!B:B))</f>
        <v>0</v>
      </c>
      <c r="BM2177" s="55" cm="1">
        <f t="array" ref="BM2177">IFERROR(
   INDEX($AW$1:$BH$1,
      _xlfn.AGGREGATE(14, 6, COLUMN($AW$1:$BH$1)/(AW2177:BH2177&lt;&gt;""), 2) - COLUMN($AW$1) + 1
   ),
"")</f>
        <v>46082</v>
      </c>
      <c r="BN2177" s="55" cm="1">
        <f t="array" ref="BN2177">IFERROR(INDEX($AW$1:$BH$1,1,MATCH(2,1/(AW2177:BH2177&lt;&gt;""))),"")</f>
        <v>46113</v>
      </c>
      <c r="BO2177" s="53">
        <f ca="1">IFERROR(_xlfn.XLOOKUP(F2177,Apuração!A:A,Apuração!C:C)/_xlfn.XLOOKUP(F2177,Apuração!A:A,Apuração!B:B),0)</f>
        <v>0</v>
      </c>
      <c r="BP2177" s="53">
        <f ca="1">IFERROR(_xlfn.XLOOKUP(F2177,Apuração!A:A,Apuração!D:D)/_xlfn.XLOOKUP(F2177,Apuração!A:A,Apuração!B:B),0)</f>
        <v>0</v>
      </c>
      <c r="BQ2177" s="53">
        <f ca="1">IF(BK2177&gt;=BO2177,0,_xlfn.XLOOKUP(F2177,Apuração!A:A,Apuração!B:B)*(BO2177 + (1/_xlfn.XLOOKUP(F2177,Apuração!A:A,Apuração!B:B)) - BK2177))</f>
        <v>0</v>
      </c>
      <c r="BR2177" s="85">
        <f t="shared" ca="1" si="2593"/>
        <v>0</v>
      </c>
      <c r="BS2177" s="53">
        <f ca="1">IFERROR((_xlfn.XLOOKUP(F2177,Apuração!A:A,Apuração!C:C)+1)/_xlfn.XLOOKUP(F2177,Apuração!A:A,Apuração!B:B),0)</f>
        <v>0.14285714285714285</v>
      </c>
    </row>
    <row r="2178" spans="1:71" ht="25.95" hidden="1" customHeight="1" x14ac:dyDescent="0.3">
      <c r="A2178" s="23" t="s">
        <v>134</v>
      </c>
      <c r="B2178" s="4" t="s">
        <v>174</v>
      </c>
      <c r="C2178" s="5" t="s">
        <v>216</v>
      </c>
      <c r="D2178" s="5" t="s">
        <v>218</v>
      </c>
      <c r="E2178" s="4" t="s">
        <v>96</v>
      </c>
      <c r="F2178" s="4" t="str" cm="1">
        <f t="array" ref="F2178">_xlfn.IFS(
AG2178 &lt;&gt; "", "Jan-Dez/26",
AH2178 &lt;&gt; "", "Fev-Dez/26",
AI2178 &lt;&gt; "", "Mar-Dez/26", AJ2178 &lt;&gt; "", "Abr-Dez/26",
TRUE, "A partir de Junho"
)</f>
        <v>A partir de Junho</v>
      </c>
      <c r="G2178" s="4" t="s">
        <v>62</v>
      </c>
      <c r="H2178" s="7" t="s">
        <v>38</v>
      </c>
      <c r="I2178" s="8" t="s">
        <v>168</v>
      </c>
      <c r="J2178" s="8" t="str" cm="1">
        <f t="array" aca="1" ref="J2178" ca="1">_xlfn.LET(
  _xlpm.actual_value_month, INDEX(T2178:AE2178, MATCH(DATE(YEAR(TODAY()), MONTH(TODAY()), 1), $T$1:$AE$1, 0)),
  IF(_xlpm.actual_value_month &lt;&gt; "",_xlpm.actual_value_month &amp; " ações mensais", "")
)</f>
        <v/>
      </c>
      <c r="K2178" s="8" t="str" cm="1">
        <f t="array" ref="K2178">_xlfn.LET(
    _xlpm.sum_month, SUM(T2178:AE2178),
    IF(_xlpm.sum_month = 0, "", _xlpm.sum_month &amp; " ações no ano")
)</f>
        <v/>
      </c>
      <c r="L2178" s="9" t="s">
        <v>169</v>
      </c>
      <c r="M2178" s="24">
        <v>1</v>
      </c>
      <c r="N2178" s="5" t="s">
        <v>42</v>
      </c>
      <c r="O2178" s="5" t="s">
        <v>43</v>
      </c>
      <c r="P2178" s="10" t="s">
        <v>44</v>
      </c>
      <c r="Q2178" s="10" t="s">
        <v>44</v>
      </c>
      <c r="R2178" s="11" t="s">
        <v>66</v>
      </c>
      <c r="S2178" s="11" t="s">
        <v>67</v>
      </c>
      <c r="T2178" s="22"/>
      <c r="U2178" s="22"/>
      <c r="V2178" s="22"/>
      <c r="W2178" s="22"/>
      <c r="X2178" s="22"/>
      <c r="Y2178" s="22"/>
      <c r="Z2178" s="22"/>
      <c r="AA2178" s="22"/>
      <c r="AB2178" s="22"/>
      <c r="AC2178" s="22"/>
      <c r="AD2178" s="22"/>
      <c r="AE2178" s="22"/>
      <c r="AG2178" s="71"/>
      <c r="AH2178" s="71"/>
      <c r="AI2178" s="71"/>
      <c r="AJ2178" s="71"/>
      <c r="AK2178" s="71"/>
      <c r="AL2178" s="71"/>
      <c r="AM2178" s="71"/>
      <c r="AN2178" s="71"/>
      <c r="AO2178" s="71"/>
      <c r="AP2178" s="71"/>
      <c r="AQ2178" s="71"/>
      <c r="AR2178" s="71"/>
      <c r="AS2178" s="94">
        <f t="shared" ca="1" si="2586"/>
        <v>0</v>
      </c>
      <c r="AT2178" s="95">
        <f t="shared" si="2587"/>
        <v>0</v>
      </c>
      <c r="AU2178" s="97">
        <f t="shared" si="2588"/>
        <v>0</v>
      </c>
      <c r="AW2178" s="51">
        <f t="shared" si="2589"/>
        <v>0</v>
      </c>
      <c r="AX2178" s="51">
        <f t="shared" si="2590"/>
        <v>0</v>
      </c>
      <c r="AY2178" s="51">
        <f t="shared" si="2591"/>
        <v>0</v>
      </c>
      <c r="AZ2178" s="51">
        <f t="shared" si="2592"/>
        <v>0</v>
      </c>
      <c r="BA2178" s="51"/>
      <c r="BB2178" s="51"/>
      <c r="BC2178" s="51"/>
      <c r="BD2178" s="51"/>
      <c r="BE2178" s="51"/>
      <c r="BF2178" s="51"/>
      <c r="BG2178" s="51"/>
      <c r="BH2178" s="51"/>
      <c r="BI2178" s="65" cm="1">
        <f t="array" ref="BI2178">IFERROR(INDEX(AW2178:BH2178,1,MATCH(2,1/(AW2178:BH2178&lt;&gt;""))),"")</f>
        <v>0</v>
      </c>
      <c r="BJ2178" s="68" cm="1">
        <f t="array" ref="BJ2178">IF(BM2178 = "", "",IFERROR(INDEX(AW2178:BH2178,1,MATCH(2,1/(AW2178:BH2178&lt;&gt;""),1)-1),""))</f>
        <v>0</v>
      </c>
      <c r="BK2178" s="58">
        <f>IF((IF(AW2178&gt;=115%,115%,AW2178) + IF(AX2178&gt;=115%,115%,AX2178) + IF(AY2178&gt;=115%,115%,AY2178) + (IF(AZ2178&gt;=115%,115%,AZ2178) + IF(BA2178&gt;=115%,115%,BA2178) + IF(BB2178&gt;=115%,115%,BB2178) + IF(BC2178&gt;=115%,115%,BC2178) + IF(BD2178&gt;=115%,115%,BD2178) + IF(BE2178&gt;=115%,115%,BE2178) + IF(BF2178&gt;=115%,115%,BF2178) + IF(BG2178&gt;=115%,115%,BG2178) + IF(BH2178&gt;=115%,115%,BH2178)))/_xlfn.XLOOKUP(F2178,Apuração!A:A,Apuração!B:B)&gt;=1.15,1.15,((IF(AZ2178&gt;=115%,115%,AZ2178) + IF(AX2178&gt;=115%,115%,AX2178) + IF(AY2178&gt;=115%,115%,AY2178) + (IF(AW2178&gt;=115%,115%,AW2178) + IF(BA2178&gt;=115%,115%,BA2178) + IF(BB2178&gt;=115%,115%,BB2178) + IF(BC2178&gt;=115%,115%,BC2178) + IF(BD2178&gt;=115%,115%,BD2178) + IF(BE2178&gt;=115%,115%,BE2178) + IF(BF2178&gt;=115%,115%,BF2178) + IF(BG2178&gt;=115%,115%,BG2178) + IF(BH2178&gt;=115%,115%,BH2178)))/_xlfn.XLOOKUP(F2178,Apuração!A:A,Apuração!B:B)))</f>
        <v>0</v>
      </c>
      <c r="BL2178" s="58" cm="1">
        <f t="array" aca="1" ref="BL2178" ca="1">IF(SUM(IFERROR(IF(INDEX(AW2178:INDEX(AW2178:BH2178, MATCH(2, 1/(AW2178:BH2178&lt;&gt;""), 1)-1), ROW(INDIRECT("1:" &amp; MATCH(2, 1/(AW2178:BH2178&lt;&gt;""), 1)-1))) &gt;= 115%, 115%, INDEX(AW2178:INDEX(AW2178:BH2178, MATCH(2, 1/(AW2178:BH2178&lt;&gt;""), 1)-1), ROW(INDIRECT("1:" &amp; MATCH(2, 1/(AW2178:BH2178&lt;&gt;""), 1)-1)))), 0))/_xlfn.XLOOKUP(F2178,Apuração!A:A,Apuração!B:B)&gt;=1.15,1.15,SUM(IFERROR(IF(INDEX(AW2178:INDEX(AW2178:BH2178, MATCH(2, 1/(AW2178:BH2178&lt;&gt;""), 1)-1), ROW(INDIRECT("1:" &amp; MATCH(2, 1/(AW2178:BH2178&lt;&gt;""), 1)-1))) &gt;= 115%, 115%, INDEX(AW2178:INDEX(AW2178:BH2178, MATCH(2, 1/(AW2178:BH2178&lt;&gt;""), 1)-1), ROW(INDIRECT("1:" &amp; MATCH(2, 1/(AW2178:BH2178&lt;&gt;""), 1)-1)))), 0))/_xlfn.XLOOKUP(F2178,Apuração!A:A,Apuração!B:B))</f>
        <v>0</v>
      </c>
      <c r="BM2178" s="55" cm="1">
        <f t="array" ref="BM2178">IFERROR(
   INDEX($AW$1:$BH$1,
      _xlfn.AGGREGATE(14, 6, COLUMN($AW$1:$BH$1)/(AW2178:BH2178&lt;&gt;""), 2) - COLUMN($AW$1) + 1
   ),
"")</f>
        <v>46082</v>
      </c>
      <c r="BN2178" s="55" cm="1">
        <f t="array" ref="BN2178">IFERROR(INDEX($AW$1:$BH$1,1,MATCH(2,1/(AW2178:BH2178&lt;&gt;""))),"")</f>
        <v>46113</v>
      </c>
      <c r="BO2178" s="53">
        <f ca="1">IFERROR(_xlfn.XLOOKUP(F2178,Apuração!A:A,Apuração!C:C)/_xlfn.XLOOKUP(F2178,Apuração!A:A,Apuração!B:B),0)</f>
        <v>0</v>
      </c>
      <c r="BP2178" s="53">
        <f ca="1">IFERROR(_xlfn.XLOOKUP(F2178,Apuração!A:A,Apuração!D:D)/_xlfn.XLOOKUP(F2178,Apuração!A:A,Apuração!B:B),0)</f>
        <v>0</v>
      </c>
      <c r="BQ2178" s="53">
        <f ca="1">IF(BK2178&gt;=BO2178,0,_xlfn.XLOOKUP(F2178,Apuração!A:A,Apuração!B:B)*(BO2178 + (1/_xlfn.XLOOKUP(F2178,Apuração!A:A,Apuração!B:B)) - BK2178))</f>
        <v>0</v>
      </c>
      <c r="BR2178" s="85">
        <f t="shared" ca="1" si="2593"/>
        <v>0</v>
      </c>
      <c r="BS2178" s="53">
        <f ca="1">IFERROR((_xlfn.XLOOKUP(F2178,Apuração!A:A,Apuração!C:C)+1)/_xlfn.XLOOKUP(F2178,Apuração!A:A,Apuração!B:B),0)</f>
        <v>0.14285714285714285</v>
      </c>
    </row>
    <row r="2179" spans="1:71" ht="25.95" hidden="1" customHeight="1" x14ac:dyDescent="0.3">
      <c r="A2179" s="23" t="s">
        <v>134</v>
      </c>
      <c r="B2179" s="4" t="s">
        <v>174</v>
      </c>
      <c r="C2179" s="5" t="s">
        <v>216</v>
      </c>
      <c r="D2179" s="5" t="s">
        <v>219</v>
      </c>
      <c r="E2179" s="4" t="s">
        <v>96</v>
      </c>
      <c r="F2179" s="4" t="str" cm="1">
        <f t="array" ref="F2179">_xlfn.IFS(
AG2179 &lt;&gt; "", "Jan-Dez/26",
AH2179 &lt;&gt; "", "Fev-Dez/26",
AI2179 &lt;&gt; "", "Mar-Dez/26", AJ2179 &lt;&gt; "", "Abr-Dez/26",
TRUE, "A partir de Junho"
)</f>
        <v>A partir de Junho</v>
      </c>
      <c r="G2179" s="4" t="s">
        <v>62</v>
      </c>
      <c r="H2179" s="7" t="s">
        <v>38</v>
      </c>
      <c r="I2179" s="8" t="s">
        <v>168</v>
      </c>
      <c r="J2179" s="8" t="str" cm="1">
        <f t="array" aca="1" ref="J2179" ca="1">_xlfn.LET(
  _xlpm.actual_value_month, INDEX(T2179:AE2179, MATCH(DATE(YEAR(TODAY()), MONTH(TODAY()), 1), $T$1:$AE$1, 0)),
  IF(_xlpm.actual_value_month &lt;&gt; "",_xlpm.actual_value_month &amp; " ações mensais", "")
)</f>
        <v/>
      </c>
      <c r="K2179" s="8" t="str" cm="1">
        <f t="array" ref="K2179">_xlfn.LET(
    _xlpm.sum_month, SUM(T2179:AE2179),
    IF(_xlpm.sum_month = 0, "", _xlpm.sum_month &amp; " ações no ano")
)</f>
        <v/>
      </c>
      <c r="L2179" s="9" t="s">
        <v>169</v>
      </c>
      <c r="M2179" s="24">
        <v>1</v>
      </c>
      <c r="N2179" s="5" t="s">
        <v>42</v>
      </c>
      <c r="O2179" s="5" t="s">
        <v>43</v>
      </c>
      <c r="P2179" s="10" t="s">
        <v>44</v>
      </c>
      <c r="Q2179" s="10" t="s">
        <v>44</v>
      </c>
      <c r="R2179" s="11" t="s">
        <v>66</v>
      </c>
      <c r="S2179" s="11" t="s">
        <v>67</v>
      </c>
      <c r="T2179" s="22"/>
      <c r="U2179" s="22"/>
      <c r="V2179" s="22"/>
      <c r="W2179" s="22"/>
      <c r="X2179" s="22"/>
      <c r="Y2179" s="22"/>
      <c r="Z2179" s="22"/>
      <c r="AA2179" s="22"/>
      <c r="AB2179" s="22"/>
      <c r="AC2179" s="22"/>
      <c r="AD2179" s="22"/>
      <c r="AE2179" s="22"/>
      <c r="AG2179" s="71"/>
      <c r="AH2179" s="71"/>
      <c r="AI2179" s="71"/>
      <c r="AJ2179" s="71"/>
      <c r="AK2179" s="71"/>
      <c r="AL2179" s="71"/>
      <c r="AM2179" s="71"/>
      <c r="AN2179" s="71"/>
      <c r="AO2179" s="71"/>
      <c r="AP2179" s="71"/>
      <c r="AQ2179" s="71"/>
      <c r="AR2179" s="71"/>
      <c r="AS2179" s="94">
        <f t="shared" ca="1" si="2586"/>
        <v>0</v>
      </c>
      <c r="AT2179" s="95">
        <f t="shared" si="2587"/>
        <v>0</v>
      </c>
      <c r="AU2179" s="97">
        <f t="shared" si="2588"/>
        <v>0</v>
      </c>
      <c r="AW2179" s="51">
        <f t="shared" si="2589"/>
        <v>0</v>
      </c>
      <c r="AX2179" s="51">
        <f t="shared" si="2590"/>
        <v>0</v>
      </c>
      <c r="AY2179" s="51">
        <f t="shared" si="2591"/>
        <v>0</v>
      </c>
      <c r="AZ2179" s="51">
        <f t="shared" si="2592"/>
        <v>0</v>
      </c>
      <c r="BA2179" s="51"/>
      <c r="BB2179" s="51"/>
      <c r="BC2179" s="51"/>
      <c r="BD2179" s="51"/>
      <c r="BE2179" s="51"/>
      <c r="BF2179" s="51"/>
      <c r="BG2179" s="51"/>
      <c r="BH2179" s="51"/>
      <c r="BI2179" s="65" cm="1">
        <f t="array" ref="BI2179">IFERROR(INDEX(AW2179:BH2179,1,MATCH(2,1/(AW2179:BH2179&lt;&gt;""))),"")</f>
        <v>0</v>
      </c>
      <c r="BJ2179" s="68" cm="1">
        <f t="array" ref="BJ2179">IF(BM2179 = "", "",IFERROR(INDEX(AW2179:BH2179,1,MATCH(2,1/(AW2179:BH2179&lt;&gt;""),1)-1),""))</f>
        <v>0</v>
      </c>
      <c r="BK2179" s="58">
        <f>IF((IF(AW2179&gt;=115%,115%,AW2179) + IF(AX2179&gt;=115%,115%,AX2179) + IF(AY2179&gt;=115%,115%,AY2179) + (IF(AZ2179&gt;=115%,115%,AZ2179) + IF(BA2179&gt;=115%,115%,BA2179) + IF(BB2179&gt;=115%,115%,BB2179) + IF(BC2179&gt;=115%,115%,BC2179) + IF(BD2179&gt;=115%,115%,BD2179) + IF(BE2179&gt;=115%,115%,BE2179) + IF(BF2179&gt;=115%,115%,BF2179) + IF(BG2179&gt;=115%,115%,BG2179) + IF(BH2179&gt;=115%,115%,BH2179)))/_xlfn.XLOOKUP(F2179,Apuração!A:A,Apuração!B:B)&gt;=1.15,1.15,((IF(AZ2179&gt;=115%,115%,AZ2179) + IF(AX2179&gt;=115%,115%,AX2179) + IF(AY2179&gt;=115%,115%,AY2179) + (IF(AW2179&gt;=115%,115%,AW2179) + IF(BA2179&gt;=115%,115%,BA2179) + IF(BB2179&gt;=115%,115%,BB2179) + IF(BC2179&gt;=115%,115%,BC2179) + IF(BD2179&gt;=115%,115%,BD2179) + IF(BE2179&gt;=115%,115%,BE2179) + IF(BF2179&gt;=115%,115%,BF2179) + IF(BG2179&gt;=115%,115%,BG2179) + IF(BH2179&gt;=115%,115%,BH2179)))/_xlfn.XLOOKUP(F2179,Apuração!A:A,Apuração!B:B)))</f>
        <v>0</v>
      </c>
      <c r="BL2179" s="58" cm="1">
        <f t="array" aca="1" ref="BL2179" ca="1">IF(SUM(IFERROR(IF(INDEX(AW2179:INDEX(AW2179:BH2179, MATCH(2, 1/(AW2179:BH2179&lt;&gt;""), 1)-1), ROW(INDIRECT("1:" &amp; MATCH(2, 1/(AW2179:BH2179&lt;&gt;""), 1)-1))) &gt;= 115%, 115%, INDEX(AW2179:INDEX(AW2179:BH2179, MATCH(2, 1/(AW2179:BH2179&lt;&gt;""), 1)-1), ROW(INDIRECT("1:" &amp; MATCH(2, 1/(AW2179:BH2179&lt;&gt;""), 1)-1)))), 0))/_xlfn.XLOOKUP(F2179,Apuração!A:A,Apuração!B:B)&gt;=1.15,1.15,SUM(IFERROR(IF(INDEX(AW2179:INDEX(AW2179:BH2179, MATCH(2, 1/(AW2179:BH2179&lt;&gt;""), 1)-1), ROW(INDIRECT("1:" &amp; MATCH(2, 1/(AW2179:BH2179&lt;&gt;""), 1)-1))) &gt;= 115%, 115%, INDEX(AW2179:INDEX(AW2179:BH2179, MATCH(2, 1/(AW2179:BH2179&lt;&gt;""), 1)-1), ROW(INDIRECT("1:" &amp; MATCH(2, 1/(AW2179:BH2179&lt;&gt;""), 1)-1)))), 0))/_xlfn.XLOOKUP(F2179,Apuração!A:A,Apuração!B:B))</f>
        <v>0</v>
      </c>
      <c r="BM2179" s="55" cm="1">
        <f t="array" ref="BM2179">IFERROR(
   INDEX($AW$1:$BH$1,
      _xlfn.AGGREGATE(14, 6, COLUMN($AW$1:$BH$1)/(AW2179:BH2179&lt;&gt;""), 2) - COLUMN($AW$1) + 1
   ),
"")</f>
        <v>46082</v>
      </c>
      <c r="BN2179" s="55" cm="1">
        <f t="array" ref="BN2179">IFERROR(INDEX($AW$1:$BH$1,1,MATCH(2,1/(AW2179:BH2179&lt;&gt;""))),"")</f>
        <v>46113</v>
      </c>
      <c r="BO2179" s="53">
        <f ca="1">IFERROR(_xlfn.XLOOKUP(F2179,Apuração!A:A,Apuração!C:C)/_xlfn.XLOOKUP(F2179,Apuração!A:A,Apuração!B:B),0)</f>
        <v>0</v>
      </c>
      <c r="BP2179" s="53">
        <f ca="1">IFERROR(_xlfn.XLOOKUP(F2179,Apuração!A:A,Apuração!D:D)/_xlfn.XLOOKUP(F2179,Apuração!A:A,Apuração!B:B),0)</f>
        <v>0</v>
      </c>
      <c r="BQ2179" s="53">
        <f ca="1">IF(BK2179&gt;=BO2179,0,_xlfn.XLOOKUP(F2179,Apuração!A:A,Apuração!B:B)*(BO2179 + (1/_xlfn.XLOOKUP(F2179,Apuração!A:A,Apuração!B:B)) - BK2179))</f>
        <v>0</v>
      </c>
      <c r="BR2179" s="85">
        <f t="shared" ca="1" si="2593"/>
        <v>0</v>
      </c>
      <c r="BS2179" s="53">
        <f ca="1">IFERROR((_xlfn.XLOOKUP(F2179,Apuração!A:A,Apuração!C:C)+1)/_xlfn.XLOOKUP(F2179,Apuração!A:A,Apuração!B:B),0)</f>
        <v>0.14285714285714285</v>
      </c>
    </row>
    <row r="2180" spans="1:71" ht="25.95" hidden="1" customHeight="1" x14ac:dyDescent="0.3">
      <c r="A2180" s="23" t="s">
        <v>134</v>
      </c>
      <c r="B2180" s="4" t="s">
        <v>174</v>
      </c>
      <c r="C2180" s="5" t="s">
        <v>216</v>
      </c>
      <c r="D2180" s="5" t="s">
        <v>36</v>
      </c>
      <c r="E2180" s="4" t="s">
        <v>96</v>
      </c>
      <c r="F2180" s="4" t="str" cm="1">
        <f t="array" ref="F2180">_xlfn.IFS(
AG2180 &lt;&gt; "", "Jan-Dez/26",
AH2180 &lt;&gt; "", "Fev-Dez/26",
AI2180 &lt;&gt; "", "Mar-Dez/26", AJ2180 &lt;&gt; "", "Abr-Dez/26",
TRUE, "A partir de Junho"
)</f>
        <v>A partir de Junho</v>
      </c>
      <c r="G2180" s="4" t="s">
        <v>62</v>
      </c>
      <c r="H2180" s="7" t="s">
        <v>38</v>
      </c>
      <c r="I2180" s="8" t="s">
        <v>171</v>
      </c>
      <c r="J2180" s="8" t="str" cm="1">
        <f t="array" aca="1" ref="J2180" ca="1">_xlfn.LET(
  _xlpm.actual_value_month, INDEX(T2180:AE2180, MATCH(DATE(YEAR(TODAY()), MONTH(TODAY()), 1), $T$1:$AE$1, 0)),
  IF(_xlpm.actual_value_month &lt;&gt; "",_xlpm.actual_value_month &amp; " ações mensais", "")
)</f>
        <v/>
      </c>
      <c r="K2180" s="8" t="str" cm="1">
        <f t="array" ref="K2180">_xlfn.LET(
    _xlpm.sum_month, SUM(T2180:AE2180),
    IF(_xlpm.sum_month = 0, "", _xlpm.sum_month &amp; " colaboradores impactados no ano")
)</f>
        <v/>
      </c>
      <c r="L2180" s="9" t="s">
        <v>172</v>
      </c>
      <c r="M2180" s="24">
        <v>1</v>
      </c>
      <c r="N2180" s="5" t="s">
        <v>42</v>
      </c>
      <c r="O2180" s="5" t="s">
        <v>43</v>
      </c>
      <c r="P2180" s="10" t="s">
        <v>44</v>
      </c>
      <c r="Q2180" s="10" t="s">
        <v>72</v>
      </c>
      <c r="R2180" s="11" t="s">
        <v>66</v>
      </c>
      <c r="S2180" s="11" t="s">
        <v>67</v>
      </c>
      <c r="T2180" s="22"/>
      <c r="U2180" s="22"/>
      <c r="V2180" s="22"/>
      <c r="W2180" s="22"/>
      <c r="X2180" s="22"/>
      <c r="Y2180" s="22"/>
      <c r="Z2180" s="22"/>
      <c r="AA2180" s="22"/>
      <c r="AB2180" s="22"/>
      <c r="AC2180" s="22"/>
      <c r="AD2180" s="22"/>
      <c r="AE2180" s="22"/>
      <c r="AG2180" s="71"/>
      <c r="AH2180" s="71"/>
      <c r="AI2180" s="71"/>
      <c r="AJ2180" s="71"/>
      <c r="AK2180" s="71"/>
      <c r="AL2180" s="71"/>
      <c r="AM2180" s="71"/>
      <c r="AN2180" s="71"/>
      <c r="AO2180" s="71"/>
      <c r="AP2180" s="71"/>
      <c r="AQ2180" s="71"/>
      <c r="AR2180" s="71"/>
      <c r="AS2180" s="94">
        <f ca="1">IF(MONTH(TODAY())=3,SUM(T2180:U2180),IF(MONTH(TODAY())=4,SUM(T2180:V2180),IF(MONTH(TODAY())=5,SUM(T2180:W2180),IF(MONTH(TODAY())=6,SUM(T2180:X2180),IF(MONTH(TODAY())=7,SUM(T2180:Y2180),IF(MONTH(TODAY())=8,SUM(T2180:Z2180),IF(MONTH(TODAY())=9,SUM(T2180:AA2180),IF(MONTH(TODAY())=10,SUM(T2180:AB2180),IF(MONTH(TODAY())=11,SUM(T2180:AC2180),IF(MONTH(TODAY())=12,SUM(T2180:AD2180),IF(MONTH(TODAY())=1,SUM(T2180:AE2180),T2180)))))))))))</f>
        <v>0</v>
      </c>
      <c r="AT2180" s="95">
        <f>SUM(IF(AW2180&lt;1.15,AG2180,1.15*T2180),IF(AX2180&lt;1.15,AH2180,1.15*U2180),IF(AY2180&lt;1.15,AI2180,1.15*V2180),IF(AZ2180&lt;1.15,AJ2180,1.15*W2180),IF(BA2180&lt;1.15,AK2180,1.15*X2180),IF(BB2180&lt;1.15,AL2180,1.15*Y2180),IF(BC2180&lt;1.15,AM2180,1.15*Z2180),IF(BD2180&lt;1.15,AN2180,1.15*AA2180),IF(BE2180&lt;1.15,AO2180,1.15*AB2180),IF(BF2180&lt;1.15,AP2180,1.15*AC2180),IF(BG2180&lt;1.15,AQ2180,1.15*AD2180),IF(BH2180&lt;1.15,AR2180,1.15*AE2180))</f>
        <v>0</v>
      </c>
      <c r="AU2180" s="97">
        <f>SUM(AG2180:AR2180)</f>
        <v>0</v>
      </c>
      <c r="AW2180" s="51">
        <f>IFERROR(IF(AG2180="",0,AG2180/T2180),0)</f>
        <v>0</v>
      </c>
      <c r="AX2180" s="51">
        <f>IFERROR(IF(AH2180="",0,AH2180/U2180),0)</f>
        <v>0</v>
      </c>
      <c r="AY2180" s="51">
        <f>IFERROR(IF(AI2180="",0,AI2180/V2180),0)</f>
        <v>0</v>
      </c>
      <c r="AZ2180" s="51">
        <f>IFERROR(IF(AJ2180="",0,AJ2180/W2180),0)</f>
        <v>0</v>
      </c>
      <c r="BA2180" s="51"/>
      <c r="BB2180" s="51"/>
      <c r="BC2180" s="51"/>
      <c r="BD2180" s="51"/>
      <c r="BE2180" s="51"/>
      <c r="BF2180" s="51"/>
      <c r="BG2180" s="51"/>
      <c r="BH2180" s="51"/>
      <c r="BI2180" s="65" cm="1">
        <f t="array" ref="BI2180">IFERROR(INDEX(AW2180:BH2180,1,MATCH(2,1/(AW2180:BH2180&lt;&gt;""))),"")</f>
        <v>0</v>
      </c>
      <c r="BJ2180" s="68" cm="1">
        <f t="array" ref="BJ2180">IF(BM2180 = "", "",IFERROR(INDEX(AW2180:BH2180,1,MATCH(2,1/(AW2180:BH2180&lt;&gt;""),1)-1),""))</f>
        <v>0</v>
      </c>
      <c r="BK2180" s="58">
        <f>IF((IF(AW2180&gt;=115%,115%,AW2180) + IF(AX2180&gt;=115%,115%,AX2180) + IF(AY2180&gt;=115%,115%,AY2180) + (IF(AZ2180&gt;=115%,115%,AZ2180) + IF(BA2180&gt;=133%,133%,BA2180) + IF(BB2180&gt;=115%,115%,BB2180) + IF(BC2180&gt;=115%,115%,BC2180) + IF(BD2180&gt;=115%,115%,BD2180) + IF(BE2180&gt;=115%,115%,BE2180) + IF(BF2180&gt;=115%,115%,BF2180) + IF(BG2180&gt;=115%,115%,BG2180) + IF(BH2180&gt;=115%,115%,BH2180)))/_xlfn.XLOOKUP(F2180,Apuração!A:A,Apuração!B:B)&gt;=1.15,1.15,((IF(AZ2180&gt;=115%,115%,AZ2180) + IF(AX2180&gt;=115%,115%,AX2180) + IF(AY2180&gt;=115%,115%,AY2180) + (IF(AW2180&gt;=115%,115%,AW2180) + IF(BA2180&gt;=133%,133%,BA2180) + IF(BB2180&gt;=115%,115%,BB2180) + IF(BC2180&gt;=115%,115%,BC2180) + IF(BD2180&gt;=115%,115%,BD2180) + IF(BE2180&gt;=115%,115%,BE2180) + IF(BF2180&gt;=115%,115%,BF2180) + IF(BG2180&gt;=115%,115%,BG2180) + IF(BH2180&gt;=115%,115%,BH2180)))/_xlfn.XLOOKUP(F2180,Apuração!A:A,Apuração!B:B)))</f>
        <v>0</v>
      </c>
      <c r="BL2180" s="58" cm="1">
        <f t="array" aca="1" ref="BL2180" ca="1">IF(SUM(IFERROR(IF(INDEX(AW2180:INDEX(AW2180:BH2180, MATCH(2, 1/(AW2180:BH2180&lt;&gt;""), 1)-1), ROW(INDIRECT("1:" &amp; MATCH(2, 1/(AW2180:BH2180&lt;&gt;""), 1)-1))) &gt;= 115%, 115%, INDEX(AW2180:INDEX(AW2180:BH2180, MATCH(2, 1/(AW2180:BH2180&lt;&gt;""), 1)-1), ROW(INDIRECT("1:" &amp; MATCH(2, 1/(AW2180:BH2180&lt;&gt;""), 1)-1)))), 0))/_xlfn.XLOOKUP(F2180,Apuração!A:A,Apuração!B:B)&gt;=1.15,1.15,SUM(IFERROR(IF(INDEX(AW2180:INDEX(AW2180:BH2180, MATCH(2, 1/(AW2180:BH2180&lt;&gt;""), 1)-1), ROW(INDIRECT("1:" &amp; MATCH(2, 1/(AW2180:BH2180&lt;&gt;""), 1)-1))) &gt;= 115%, 115%, INDEX(AW2180:INDEX(AW2180:BH2180, MATCH(2, 1/(AW2180:BH2180&lt;&gt;""), 1)-1), ROW(INDIRECT("1:" &amp; MATCH(2, 1/(AW2180:BH2180&lt;&gt;""), 1)-1)))), 0))/_xlfn.XLOOKUP(F2180,Apuração!A:A,Apuração!B:B))</f>
        <v>0</v>
      </c>
      <c r="BM2180" s="55" cm="1">
        <f t="array" ref="BM2180">IFERROR(
   INDEX($AW$1:$BH$1,
      _xlfn.AGGREGATE(14, 6, COLUMN($AW$1:$BH$1)/(AW2180:BH2180&lt;&gt;""), 2) - COLUMN($AW$1) + 1
   ),
"")</f>
        <v>46082</v>
      </c>
      <c r="BN2180" s="55" cm="1">
        <f t="array" ref="BN2180">IFERROR(INDEX($AW$1:$BH$1,1,MATCH(2,1/(AW2180:BH2180&lt;&gt;""))),"")</f>
        <v>46113</v>
      </c>
      <c r="BO2180" s="53">
        <f ca="1">IFERROR(_xlfn.XLOOKUP(F2180,Apuração!A:A,Apuração!C:C)/_xlfn.XLOOKUP(F2180,Apuração!A:A,Apuração!B:B),0)</f>
        <v>0</v>
      </c>
      <c r="BP2180" s="53">
        <f ca="1">IFERROR(_xlfn.XLOOKUP(F2180,Apuração!A:A,Apuração!D:D)/_xlfn.XLOOKUP(F2180,Apuração!A:A,Apuração!B:B),0)</f>
        <v>0</v>
      </c>
      <c r="BQ2180" s="53">
        <f ca="1">IF(BK2180&gt;=BO2180,0,_xlfn.XLOOKUP(F2180,Apuração!A:A,Apuração!B:B)*(BO2180 + (1/_xlfn.XLOOKUP(F2180,Apuração!A:A,Apuração!B:B)) - BK2180))</f>
        <v>0</v>
      </c>
      <c r="BR2180" s="85">
        <f ca="1">IF(BQ2180=0,0,BQ2180*Z2180)</f>
        <v>0</v>
      </c>
      <c r="BS2180" s="53">
        <f ca="1">IFERROR((_xlfn.XLOOKUP(F2180,Apuração!A:A,Apuração!C:C)+1)/_xlfn.XLOOKUP(F2180,Apuração!A:A,Apuração!B:B),0)</f>
        <v>0.14285714285714285</v>
      </c>
    </row>
    <row r="2181" spans="1:71" ht="25.95" hidden="1" customHeight="1" x14ac:dyDescent="0.3">
      <c r="A2181" s="23" t="s">
        <v>134</v>
      </c>
      <c r="B2181" s="4" t="s">
        <v>174</v>
      </c>
      <c r="C2181" s="5" t="s">
        <v>216</v>
      </c>
      <c r="D2181" s="5" t="s">
        <v>217</v>
      </c>
      <c r="E2181" s="4" t="s">
        <v>96</v>
      </c>
      <c r="F2181" s="4" t="str" cm="1">
        <f t="array" ref="F2181">_xlfn.IFS(
AG2181 &lt;&gt; "", "Jan-Dez/26",
AH2181 &lt;&gt; "", "Fev-Dez/26",
AI2181 &lt;&gt; "", "Mar-Dez/26", AJ2181 &lt;&gt; "", "Abr-Dez/26",
TRUE, "A partir de Junho"
)</f>
        <v>A partir de Junho</v>
      </c>
      <c r="G2181" s="4" t="s">
        <v>62</v>
      </c>
      <c r="H2181" s="7" t="s">
        <v>38</v>
      </c>
      <c r="I2181" s="8" t="s">
        <v>171</v>
      </c>
      <c r="J2181" s="8" t="str" cm="1">
        <f t="array" aca="1" ref="J2181" ca="1">_xlfn.LET(
  _xlpm.actual_value_month, INDEX(T2181:AE2181, MATCH(DATE(YEAR(TODAY()), MONTH(TODAY()), 1), $T$1:$AE$1, 0)),
  IF(_xlpm.actual_value_month &lt;&gt; "",_xlpm.actual_value_month &amp; " ações mensais", "")
)</f>
        <v/>
      </c>
      <c r="K2181" s="8" t="str" cm="1">
        <f t="array" ref="K2181">_xlfn.LET(
    _xlpm.sum_month, SUM(T2181:AE2181),
    IF(_xlpm.sum_month = 0, "", _xlpm.sum_month &amp; " colaboradores impactados no ano")
)</f>
        <v/>
      </c>
      <c r="L2181" s="9" t="s">
        <v>172</v>
      </c>
      <c r="M2181" s="24">
        <v>1</v>
      </c>
      <c r="N2181" s="5" t="s">
        <v>42</v>
      </c>
      <c r="O2181" s="5" t="s">
        <v>43</v>
      </c>
      <c r="P2181" s="10" t="s">
        <v>44</v>
      </c>
      <c r="Q2181" s="10" t="s">
        <v>72</v>
      </c>
      <c r="R2181" s="11" t="s">
        <v>66</v>
      </c>
      <c r="S2181" s="11" t="s">
        <v>67</v>
      </c>
      <c r="T2181" s="22"/>
      <c r="U2181" s="22"/>
      <c r="V2181" s="22"/>
      <c r="W2181" s="22"/>
      <c r="X2181" s="22"/>
      <c r="Y2181" s="22"/>
      <c r="Z2181" s="22"/>
      <c r="AA2181" s="22"/>
      <c r="AB2181" s="22"/>
      <c r="AC2181" s="22"/>
      <c r="AD2181" s="22"/>
      <c r="AE2181" s="22"/>
      <c r="AG2181" s="71"/>
      <c r="AH2181" s="71"/>
      <c r="AI2181" s="71"/>
      <c r="AJ2181" s="71"/>
      <c r="AK2181" s="71"/>
      <c r="AL2181" s="71"/>
      <c r="AM2181" s="71"/>
      <c r="AN2181" s="71"/>
      <c r="AO2181" s="71"/>
      <c r="AP2181" s="71"/>
      <c r="AQ2181" s="71"/>
      <c r="AR2181" s="71"/>
      <c r="AS2181" s="94">
        <f t="shared" ref="AS2181:AS2184" ca="1" si="2594">IF(MONTH(TODAY())=3,SUM(T2181:U2181),IF(MONTH(TODAY())=4,SUM(T2181:V2181),IF(MONTH(TODAY())=5,SUM(T2181:W2181),IF(MONTH(TODAY())=6,SUM(T2181:X2181),IF(MONTH(TODAY())=7,SUM(T2181:Y2181),IF(MONTH(TODAY())=8,SUM(T2181:Z2181),IF(MONTH(TODAY())=9,SUM(T2181:AA2181),IF(MONTH(TODAY())=10,SUM(T2181:AB2181),IF(MONTH(TODAY())=11,SUM(T2181:AC2181),IF(MONTH(TODAY())=12,SUM(T2181:AD2181),IF(MONTH(TODAY())=1,SUM(T2181:AE2181),T2181)))))))))))</f>
        <v>0</v>
      </c>
      <c r="AT2181" s="95">
        <f t="shared" ref="AT2181:AT2184" si="2595">SUM(IF(AW2181&lt;1.15,AG2181,1.15*T2181),IF(AX2181&lt;1.15,AH2181,1.15*U2181),IF(AY2181&lt;1.15,AI2181,1.15*V2181),IF(AZ2181&lt;1.15,AJ2181,1.15*W2181),IF(BA2181&lt;1.15,AK2181,1.15*X2181),IF(BB2181&lt;1.15,AL2181,1.15*Y2181),IF(BC2181&lt;1.15,AM2181,1.15*Z2181),IF(BD2181&lt;1.15,AN2181,1.15*AA2181),IF(BE2181&lt;1.15,AO2181,1.15*AB2181),IF(BF2181&lt;1.15,AP2181,1.15*AC2181),IF(BG2181&lt;1.15,AQ2181,1.15*AD2181),IF(BH2181&lt;1.15,AR2181,1.15*AE2181))</f>
        <v>0</v>
      </c>
      <c r="AU2181" s="97">
        <f t="shared" ref="AU2181:AU2184" si="2596">SUM(AG2181:AR2181)</f>
        <v>0</v>
      </c>
      <c r="AW2181" s="51">
        <f t="shared" ref="AW2181:AW2184" si="2597">IFERROR(IF(AG2181="",0,AG2181/T2181),0)</f>
        <v>0</v>
      </c>
      <c r="AX2181" s="51">
        <f t="shared" ref="AX2181:AX2184" si="2598">IFERROR(IF(AH2181="",0,AH2181/U2181),0)</f>
        <v>0</v>
      </c>
      <c r="AY2181" s="51">
        <f t="shared" ref="AY2181:AY2184" si="2599">IFERROR(IF(AI2181="",0,AI2181/V2181),0)</f>
        <v>0</v>
      </c>
      <c r="AZ2181" s="51">
        <f t="shared" ref="AZ2181:AZ2184" si="2600">IFERROR(IF(AJ2181="",0,AJ2181/W2181),0)</f>
        <v>0</v>
      </c>
      <c r="BA2181" s="51"/>
      <c r="BB2181" s="51"/>
      <c r="BC2181" s="51"/>
      <c r="BD2181" s="51"/>
      <c r="BE2181" s="51"/>
      <c r="BF2181" s="51"/>
      <c r="BG2181" s="51"/>
      <c r="BH2181" s="51"/>
      <c r="BI2181" s="65" cm="1">
        <f t="array" ref="BI2181">IFERROR(INDEX(AW2181:BH2181,1,MATCH(2,1/(AW2181:BH2181&lt;&gt;""))),"")</f>
        <v>0</v>
      </c>
      <c r="BJ2181" s="68" cm="1">
        <f t="array" ref="BJ2181">IF(BM2181 = "", "",IFERROR(INDEX(AW2181:BH2181,1,MATCH(2,1/(AW2181:BH2181&lt;&gt;""),1)-1),""))</f>
        <v>0</v>
      </c>
      <c r="BK2181" s="58">
        <f>IF((IF(AW2181&gt;=115%,115%,AW2181) + IF(AX2181&gt;=115%,115%,AX2181) + IF(AY2181&gt;=115%,115%,AY2181) + (IF(AZ2181&gt;=115%,115%,AZ2181) + IF(BA2181&gt;=133%,133%,BA2181) + IF(BB2181&gt;=115%,115%,BB2181) + IF(BC2181&gt;=115%,115%,BC2181) + IF(BD2181&gt;=115%,115%,BD2181) + IF(BE2181&gt;=115%,115%,BE2181) + IF(BF2181&gt;=115%,115%,BF2181) + IF(BG2181&gt;=115%,115%,BG2181) + IF(BH2181&gt;=115%,115%,BH2181)))/_xlfn.XLOOKUP(F2181,Apuração!A:A,Apuração!B:B)&gt;=1.15,1.15,((IF(AZ2181&gt;=115%,115%,AZ2181) + IF(AX2181&gt;=115%,115%,AX2181) + IF(AY2181&gt;=115%,115%,AY2181) + (IF(AW2181&gt;=115%,115%,AW2181) + IF(BA2181&gt;=133%,133%,BA2181) + IF(BB2181&gt;=115%,115%,BB2181) + IF(BC2181&gt;=115%,115%,BC2181) + IF(BD2181&gt;=115%,115%,BD2181) + IF(BE2181&gt;=115%,115%,BE2181) + IF(BF2181&gt;=115%,115%,BF2181) + IF(BG2181&gt;=115%,115%,BG2181) + IF(BH2181&gt;=115%,115%,BH2181)))/_xlfn.XLOOKUP(F2181,Apuração!A:A,Apuração!B:B)))</f>
        <v>0</v>
      </c>
      <c r="BL2181" s="58" cm="1">
        <f t="array" aca="1" ref="BL2181" ca="1">IF(SUM(IFERROR(IF(INDEX(AW2181:INDEX(AW2181:BH2181, MATCH(2, 1/(AW2181:BH2181&lt;&gt;""), 1)-1), ROW(INDIRECT("1:" &amp; MATCH(2, 1/(AW2181:BH2181&lt;&gt;""), 1)-1))) &gt;= 115%, 115%, INDEX(AW2181:INDEX(AW2181:BH2181, MATCH(2, 1/(AW2181:BH2181&lt;&gt;""), 1)-1), ROW(INDIRECT("1:" &amp; MATCH(2, 1/(AW2181:BH2181&lt;&gt;""), 1)-1)))), 0))/_xlfn.XLOOKUP(F2181,Apuração!A:A,Apuração!B:B)&gt;=1.15,1.15,SUM(IFERROR(IF(INDEX(AW2181:INDEX(AW2181:BH2181, MATCH(2, 1/(AW2181:BH2181&lt;&gt;""), 1)-1), ROW(INDIRECT("1:" &amp; MATCH(2, 1/(AW2181:BH2181&lt;&gt;""), 1)-1))) &gt;= 115%, 115%, INDEX(AW2181:INDEX(AW2181:BH2181, MATCH(2, 1/(AW2181:BH2181&lt;&gt;""), 1)-1), ROW(INDIRECT("1:" &amp; MATCH(2, 1/(AW2181:BH2181&lt;&gt;""), 1)-1)))), 0))/_xlfn.XLOOKUP(F2181,Apuração!A:A,Apuração!B:B))</f>
        <v>0</v>
      </c>
      <c r="BM2181" s="55" cm="1">
        <f t="array" ref="BM2181">IFERROR(
   INDEX($AW$1:$BH$1,
      _xlfn.AGGREGATE(14, 6, COLUMN($AW$1:$BH$1)/(AW2181:BH2181&lt;&gt;""), 2) - COLUMN($AW$1) + 1
   ),
"")</f>
        <v>46082</v>
      </c>
      <c r="BN2181" s="55" cm="1">
        <f t="array" ref="BN2181">IFERROR(INDEX($AW$1:$BH$1,1,MATCH(2,1/(AW2181:BH2181&lt;&gt;""))),"")</f>
        <v>46113</v>
      </c>
      <c r="BO2181" s="53">
        <f ca="1">IFERROR(_xlfn.XLOOKUP(F2181,Apuração!A:A,Apuração!C:C)/_xlfn.XLOOKUP(F2181,Apuração!A:A,Apuração!B:B),0)</f>
        <v>0</v>
      </c>
      <c r="BP2181" s="53">
        <f ca="1">IFERROR(_xlfn.XLOOKUP(F2181,Apuração!A:A,Apuração!D:D)/_xlfn.XLOOKUP(F2181,Apuração!A:A,Apuração!B:B),0)</f>
        <v>0</v>
      </c>
      <c r="BQ2181" s="53">
        <f ca="1">IF(BK2181&gt;=BO2181,0,_xlfn.XLOOKUP(F2181,Apuração!A:A,Apuração!B:B)*(BO2181 + (1/_xlfn.XLOOKUP(F2181,Apuração!A:A,Apuração!B:B)) - BK2181))</f>
        <v>0</v>
      </c>
      <c r="BR2181" s="85">
        <f t="shared" ref="BR2181:BR2184" ca="1" si="2601">IF(BQ2181=0,0,BQ2181*Z2181)</f>
        <v>0</v>
      </c>
      <c r="BS2181" s="53">
        <f ca="1">IFERROR((_xlfn.XLOOKUP(F2181,Apuração!A:A,Apuração!C:C)+1)/_xlfn.XLOOKUP(F2181,Apuração!A:A,Apuração!B:B),0)</f>
        <v>0.14285714285714285</v>
      </c>
    </row>
    <row r="2182" spans="1:71" ht="25.95" hidden="1" customHeight="1" x14ac:dyDescent="0.3">
      <c r="A2182" s="23" t="s">
        <v>134</v>
      </c>
      <c r="B2182" s="4" t="s">
        <v>174</v>
      </c>
      <c r="C2182" s="5" t="s">
        <v>216</v>
      </c>
      <c r="D2182" s="5" t="s">
        <v>103</v>
      </c>
      <c r="E2182" s="4" t="s">
        <v>96</v>
      </c>
      <c r="F2182" s="4" t="str" cm="1">
        <f t="array" ref="F2182">_xlfn.IFS(
AG2182 &lt;&gt; "", "Jan-Dez/26",
AH2182 &lt;&gt; "", "Fev-Dez/26",
AI2182 &lt;&gt; "", "Mar-Dez/26", AJ2182 &lt;&gt; "", "Abr-Dez/26",
TRUE, "A partir de Junho"
)</f>
        <v>A partir de Junho</v>
      </c>
      <c r="G2182" s="4" t="s">
        <v>62</v>
      </c>
      <c r="H2182" s="7" t="s">
        <v>38</v>
      </c>
      <c r="I2182" s="8" t="s">
        <v>171</v>
      </c>
      <c r="J2182" s="8" t="str" cm="1">
        <f t="array" aca="1" ref="J2182" ca="1">_xlfn.LET(
  _xlpm.actual_value_month, INDEX(T2182:AE2182, MATCH(DATE(YEAR(TODAY()), MONTH(TODAY()), 1), $T$1:$AE$1, 0)),
  IF(_xlpm.actual_value_month &lt;&gt; "",_xlpm.actual_value_month &amp; " ações mensais", "")
)</f>
        <v/>
      </c>
      <c r="K2182" s="8" t="str" cm="1">
        <f t="array" ref="K2182">_xlfn.LET(
    _xlpm.sum_month, SUM(T2182:AE2182),
    IF(_xlpm.sum_month = 0, "", _xlpm.sum_month &amp; " colaboradores impactados no ano")
)</f>
        <v/>
      </c>
      <c r="L2182" s="9" t="s">
        <v>172</v>
      </c>
      <c r="M2182" s="24">
        <v>1</v>
      </c>
      <c r="N2182" s="5" t="s">
        <v>42</v>
      </c>
      <c r="O2182" s="5" t="s">
        <v>43</v>
      </c>
      <c r="P2182" s="10" t="s">
        <v>44</v>
      </c>
      <c r="Q2182" s="10" t="s">
        <v>72</v>
      </c>
      <c r="R2182" s="11" t="s">
        <v>66</v>
      </c>
      <c r="S2182" s="11" t="s">
        <v>67</v>
      </c>
      <c r="T2182" s="22"/>
      <c r="U2182" s="22"/>
      <c r="V2182" s="22"/>
      <c r="W2182" s="22"/>
      <c r="X2182" s="22"/>
      <c r="Y2182" s="22"/>
      <c r="Z2182" s="22"/>
      <c r="AA2182" s="22"/>
      <c r="AB2182" s="22"/>
      <c r="AC2182" s="22"/>
      <c r="AD2182" s="22"/>
      <c r="AE2182" s="22"/>
      <c r="AG2182" s="71"/>
      <c r="AH2182" s="71"/>
      <c r="AI2182" s="71"/>
      <c r="AJ2182" s="71"/>
      <c r="AK2182" s="71"/>
      <c r="AL2182" s="71"/>
      <c r="AM2182" s="71"/>
      <c r="AN2182" s="71"/>
      <c r="AO2182" s="71"/>
      <c r="AP2182" s="71"/>
      <c r="AQ2182" s="71"/>
      <c r="AR2182" s="71"/>
      <c r="AS2182" s="94">
        <f t="shared" ca="1" si="2594"/>
        <v>0</v>
      </c>
      <c r="AT2182" s="95">
        <f t="shared" si="2595"/>
        <v>0</v>
      </c>
      <c r="AU2182" s="97">
        <f t="shared" si="2596"/>
        <v>0</v>
      </c>
      <c r="AW2182" s="51">
        <f t="shared" si="2597"/>
        <v>0</v>
      </c>
      <c r="AX2182" s="51">
        <f t="shared" si="2598"/>
        <v>0</v>
      </c>
      <c r="AY2182" s="51">
        <f t="shared" si="2599"/>
        <v>0</v>
      </c>
      <c r="AZ2182" s="51">
        <f t="shared" si="2600"/>
        <v>0</v>
      </c>
      <c r="BA2182" s="51"/>
      <c r="BB2182" s="51"/>
      <c r="BC2182" s="51"/>
      <c r="BD2182" s="51"/>
      <c r="BE2182" s="51"/>
      <c r="BF2182" s="51"/>
      <c r="BG2182" s="51"/>
      <c r="BH2182" s="51"/>
      <c r="BI2182" s="65" cm="1">
        <f t="array" ref="BI2182">IFERROR(INDEX(AW2182:BH2182,1,MATCH(2,1/(AW2182:BH2182&lt;&gt;""))),"")</f>
        <v>0</v>
      </c>
      <c r="BJ2182" s="68" cm="1">
        <f t="array" ref="BJ2182">IF(BM2182 = "", "",IFERROR(INDEX(AW2182:BH2182,1,MATCH(2,1/(AW2182:BH2182&lt;&gt;""),1)-1),""))</f>
        <v>0</v>
      </c>
      <c r="BK2182" s="58">
        <f>IF((IF(AW2182&gt;=115%,115%,AW2182) + IF(AX2182&gt;=115%,115%,AX2182) + IF(AY2182&gt;=115%,115%,AY2182) + (IF(AZ2182&gt;=115%,115%,AZ2182) + IF(BA2182&gt;=133%,133%,BA2182) + IF(BB2182&gt;=115%,115%,BB2182) + IF(BC2182&gt;=115%,115%,BC2182) + IF(BD2182&gt;=115%,115%,BD2182) + IF(BE2182&gt;=115%,115%,BE2182) + IF(BF2182&gt;=115%,115%,BF2182) + IF(BG2182&gt;=115%,115%,BG2182) + IF(BH2182&gt;=115%,115%,BH2182)))/_xlfn.XLOOKUP(F2182,Apuração!A:A,Apuração!B:B)&gt;=1.15,1.15,((IF(AZ2182&gt;=115%,115%,AZ2182) + IF(AX2182&gt;=115%,115%,AX2182) + IF(AY2182&gt;=115%,115%,AY2182) + (IF(AW2182&gt;=115%,115%,AW2182) + IF(BA2182&gt;=133%,133%,BA2182) + IF(BB2182&gt;=115%,115%,BB2182) + IF(BC2182&gt;=115%,115%,BC2182) + IF(BD2182&gt;=115%,115%,BD2182) + IF(BE2182&gt;=115%,115%,BE2182) + IF(BF2182&gt;=115%,115%,BF2182) + IF(BG2182&gt;=115%,115%,BG2182) + IF(BH2182&gt;=115%,115%,BH2182)))/_xlfn.XLOOKUP(F2182,Apuração!A:A,Apuração!B:B)))</f>
        <v>0</v>
      </c>
      <c r="BL2182" s="58" cm="1">
        <f t="array" aca="1" ref="BL2182" ca="1">IF(SUM(IFERROR(IF(INDEX(AW2182:INDEX(AW2182:BH2182, MATCH(2, 1/(AW2182:BH2182&lt;&gt;""), 1)-1), ROW(INDIRECT("1:" &amp; MATCH(2, 1/(AW2182:BH2182&lt;&gt;""), 1)-1))) &gt;= 115%, 115%, INDEX(AW2182:INDEX(AW2182:BH2182, MATCH(2, 1/(AW2182:BH2182&lt;&gt;""), 1)-1), ROW(INDIRECT("1:" &amp; MATCH(2, 1/(AW2182:BH2182&lt;&gt;""), 1)-1)))), 0))/_xlfn.XLOOKUP(F2182,Apuração!A:A,Apuração!B:B)&gt;=1.15,1.15,SUM(IFERROR(IF(INDEX(AW2182:INDEX(AW2182:BH2182, MATCH(2, 1/(AW2182:BH2182&lt;&gt;""), 1)-1), ROW(INDIRECT("1:" &amp; MATCH(2, 1/(AW2182:BH2182&lt;&gt;""), 1)-1))) &gt;= 115%, 115%, INDEX(AW2182:INDEX(AW2182:BH2182, MATCH(2, 1/(AW2182:BH2182&lt;&gt;""), 1)-1), ROW(INDIRECT("1:" &amp; MATCH(2, 1/(AW2182:BH2182&lt;&gt;""), 1)-1)))), 0))/_xlfn.XLOOKUP(F2182,Apuração!A:A,Apuração!B:B))</f>
        <v>0</v>
      </c>
      <c r="BM2182" s="55" cm="1">
        <f t="array" ref="BM2182">IFERROR(
   INDEX($AW$1:$BH$1,
      _xlfn.AGGREGATE(14, 6, COLUMN($AW$1:$BH$1)/(AW2182:BH2182&lt;&gt;""), 2) - COLUMN($AW$1) + 1
   ),
"")</f>
        <v>46082</v>
      </c>
      <c r="BN2182" s="55" cm="1">
        <f t="array" ref="BN2182">IFERROR(INDEX($AW$1:$BH$1,1,MATCH(2,1/(AW2182:BH2182&lt;&gt;""))),"")</f>
        <v>46113</v>
      </c>
      <c r="BO2182" s="53">
        <f ca="1">IFERROR(_xlfn.XLOOKUP(F2182,Apuração!A:A,Apuração!C:C)/_xlfn.XLOOKUP(F2182,Apuração!A:A,Apuração!B:B),0)</f>
        <v>0</v>
      </c>
      <c r="BP2182" s="53">
        <f ca="1">IFERROR(_xlfn.XLOOKUP(F2182,Apuração!A:A,Apuração!D:D)/_xlfn.XLOOKUP(F2182,Apuração!A:A,Apuração!B:B),0)</f>
        <v>0</v>
      </c>
      <c r="BQ2182" s="53">
        <f ca="1">IF(BK2182&gt;=BO2182,0,_xlfn.XLOOKUP(F2182,Apuração!A:A,Apuração!B:B)*(BO2182 + (1/_xlfn.XLOOKUP(F2182,Apuração!A:A,Apuração!B:B)) - BK2182))</f>
        <v>0</v>
      </c>
      <c r="BR2182" s="85">
        <f t="shared" ca="1" si="2601"/>
        <v>0</v>
      </c>
      <c r="BS2182" s="53">
        <f ca="1">IFERROR((_xlfn.XLOOKUP(F2182,Apuração!A:A,Apuração!C:C)+1)/_xlfn.XLOOKUP(F2182,Apuração!A:A,Apuração!B:B),0)</f>
        <v>0.14285714285714285</v>
      </c>
    </row>
    <row r="2183" spans="1:71" ht="25.95" hidden="1" customHeight="1" x14ac:dyDescent="0.3">
      <c r="A2183" s="23" t="s">
        <v>134</v>
      </c>
      <c r="B2183" s="4" t="s">
        <v>174</v>
      </c>
      <c r="C2183" s="5" t="s">
        <v>216</v>
      </c>
      <c r="D2183" s="5" t="s">
        <v>218</v>
      </c>
      <c r="E2183" s="4" t="s">
        <v>96</v>
      </c>
      <c r="F2183" s="4" t="str" cm="1">
        <f t="array" ref="F2183">_xlfn.IFS(
AG2183 &lt;&gt; "", "Jan-Dez/26",
AH2183 &lt;&gt; "", "Fev-Dez/26",
AI2183 &lt;&gt; "", "Mar-Dez/26", AJ2183 &lt;&gt; "", "Abr-Dez/26",
TRUE, "A partir de Junho"
)</f>
        <v>A partir de Junho</v>
      </c>
      <c r="G2183" s="4" t="s">
        <v>62</v>
      </c>
      <c r="H2183" s="7" t="s">
        <v>38</v>
      </c>
      <c r="I2183" s="8" t="s">
        <v>171</v>
      </c>
      <c r="J2183" s="8" t="str" cm="1">
        <f t="array" aca="1" ref="J2183" ca="1">_xlfn.LET(
  _xlpm.actual_value_month, INDEX(T2183:AE2183, MATCH(DATE(YEAR(TODAY()), MONTH(TODAY()), 1), $T$1:$AE$1, 0)),
  IF(_xlpm.actual_value_month &lt;&gt; "",_xlpm.actual_value_month &amp; " ações mensais", "")
)</f>
        <v/>
      </c>
      <c r="K2183" s="8" t="str" cm="1">
        <f t="array" ref="K2183">_xlfn.LET(
    _xlpm.sum_month, SUM(T2183:AE2183),
    IF(_xlpm.sum_month = 0, "", _xlpm.sum_month &amp; " colaboradores impactados no ano")
)</f>
        <v/>
      </c>
      <c r="L2183" s="9" t="s">
        <v>172</v>
      </c>
      <c r="M2183" s="24">
        <v>1</v>
      </c>
      <c r="N2183" s="5" t="s">
        <v>42</v>
      </c>
      <c r="O2183" s="5" t="s">
        <v>43</v>
      </c>
      <c r="P2183" s="10" t="s">
        <v>44</v>
      </c>
      <c r="Q2183" s="10" t="s">
        <v>72</v>
      </c>
      <c r="R2183" s="11" t="s">
        <v>66</v>
      </c>
      <c r="S2183" s="11" t="s">
        <v>67</v>
      </c>
      <c r="T2183" s="22"/>
      <c r="U2183" s="22"/>
      <c r="V2183" s="22"/>
      <c r="W2183" s="22"/>
      <c r="X2183" s="22"/>
      <c r="Y2183" s="22"/>
      <c r="Z2183" s="22"/>
      <c r="AA2183" s="22"/>
      <c r="AB2183" s="22"/>
      <c r="AC2183" s="22"/>
      <c r="AD2183" s="22"/>
      <c r="AE2183" s="22"/>
      <c r="AG2183" s="71"/>
      <c r="AH2183" s="71"/>
      <c r="AI2183" s="71"/>
      <c r="AJ2183" s="71"/>
      <c r="AK2183" s="71"/>
      <c r="AL2183" s="71"/>
      <c r="AM2183" s="71"/>
      <c r="AN2183" s="71"/>
      <c r="AO2183" s="71"/>
      <c r="AP2183" s="71"/>
      <c r="AQ2183" s="71"/>
      <c r="AR2183" s="71"/>
      <c r="AS2183" s="94">
        <f t="shared" ca="1" si="2594"/>
        <v>0</v>
      </c>
      <c r="AT2183" s="95">
        <f t="shared" si="2595"/>
        <v>0</v>
      </c>
      <c r="AU2183" s="97">
        <f t="shared" si="2596"/>
        <v>0</v>
      </c>
      <c r="AW2183" s="51">
        <f t="shared" si="2597"/>
        <v>0</v>
      </c>
      <c r="AX2183" s="51">
        <f t="shared" si="2598"/>
        <v>0</v>
      </c>
      <c r="AY2183" s="51">
        <f t="shared" si="2599"/>
        <v>0</v>
      </c>
      <c r="AZ2183" s="51">
        <f t="shared" si="2600"/>
        <v>0</v>
      </c>
      <c r="BA2183" s="51"/>
      <c r="BB2183" s="51"/>
      <c r="BC2183" s="51"/>
      <c r="BD2183" s="51"/>
      <c r="BE2183" s="51"/>
      <c r="BF2183" s="51"/>
      <c r="BG2183" s="51"/>
      <c r="BH2183" s="51"/>
      <c r="BI2183" s="65" cm="1">
        <f t="array" ref="BI2183">IFERROR(INDEX(AW2183:BH2183,1,MATCH(2,1/(AW2183:BH2183&lt;&gt;""))),"")</f>
        <v>0</v>
      </c>
      <c r="BJ2183" s="68" cm="1">
        <f t="array" ref="BJ2183">IF(BM2183 = "", "",IFERROR(INDEX(AW2183:BH2183,1,MATCH(2,1/(AW2183:BH2183&lt;&gt;""),1)-1),""))</f>
        <v>0</v>
      </c>
      <c r="BK2183" s="58">
        <f>IF((IF(AW2183&gt;=115%,115%,AW2183) + IF(AX2183&gt;=115%,115%,AX2183) + IF(AY2183&gt;=115%,115%,AY2183) + (IF(AZ2183&gt;=115%,115%,AZ2183) + IF(BA2183&gt;=133%,133%,BA2183) + IF(BB2183&gt;=115%,115%,BB2183) + IF(BC2183&gt;=115%,115%,BC2183) + IF(BD2183&gt;=115%,115%,BD2183) + IF(BE2183&gt;=115%,115%,BE2183) + IF(BF2183&gt;=115%,115%,BF2183) + IF(BG2183&gt;=115%,115%,BG2183) + IF(BH2183&gt;=115%,115%,BH2183)))/_xlfn.XLOOKUP(F2183,Apuração!A:A,Apuração!B:B)&gt;=1.15,1.15,((IF(AZ2183&gt;=115%,115%,AZ2183) + IF(AX2183&gt;=115%,115%,AX2183) + IF(AY2183&gt;=115%,115%,AY2183) + (IF(AW2183&gt;=115%,115%,AW2183) + IF(BA2183&gt;=133%,133%,BA2183) + IF(BB2183&gt;=115%,115%,BB2183) + IF(BC2183&gt;=115%,115%,BC2183) + IF(BD2183&gt;=115%,115%,BD2183) + IF(BE2183&gt;=115%,115%,BE2183) + IF(BF2183&gt;=115%,115%,BF2183) + IF(BG2183&gt;=115%,115%,BG2183) + IF(BH2183&gt;=115%,115%,BH2183)))/_xlfn.XLOOKUP(F2183,Apuração!A:A,Apuração!B:B)))</f>
        <v>0</v>
      </c>
      <c r="BL2183" s="58" cm="1">
        <f t="array" aca="1" ref="BL2183" ca="1">IF(SUM(IFERROR(IF(INDEX(AW2183:INDEX(AW2183:BH2183, MATCH(2, 1/(AW2183:BH2183&lt;&gt;""), 1)-1), ROW(INDIRECT("1:" &amp; MATCH(2, 1/(AW2183:BH2183&lt;&gt;""), 1)-1))) &gt;= 115%, 115%, INDEX(AW2183:INDEX(AW2183:BH2183, MATCH(2, 1/(AW2183:BH2183&lt;&gt;""), 1)-1), ROW(INDIRECT("1:" &amp; MATCH(2, 1/(AW2183:BH2183&lt;&gt;""), 1)-1)))), 0))/_xlfn.XLOOKUP(F2183,Apuração!A:A,Apuração!B:B)&gt;=1.15,1.15,SUM(IFERROR(IF(INDEX(AW2183:INDEX(AW2183:BH2183, MATCH(2, 1/(AW2183:BH2183&lt;&gt;""), 1)-1), ROW(INDIRECT("1:" &amp; MATCH(2, 1/(AW2183:BH2183&lt;&gt;""), 1)-1))) &gt;= 115%, 115%, INDEX(AW2183:INDEX(AW2183:BH2183, MATCH(2, 1/(AW2183:BH2183&lt;&gt;""), 1)-1), ROW(INDIRECT("1:" &amp; MATCH(2, 1/(AW2183:BH2183&lt;&gt;""), 1)-1)))), 0))/_xlfn.XLOOKUP(F2183,Apuração!A:A,Apuração!B:B))</f>
        <v>0</v>
      </c>
      <c r="BM2183" s="55" cm="1">
        <f t="array" ref="BM2183">IFERROR(
   INDEX($AW$1:$BH$1,
      _xlfn.AGGREGATE(14, 6, COLUMN($AW$1:$BH$1)/(AW2183:BH2183&lt;&gt;""), 2) - COLUMN($AW$1) + 1
   ),
"")</f>
        <v>46082</v>
      </c>
      <c r="BN2183" s="55" cm="1">
        <f t="array" ref="BN2183">IFERROR(INDEX($AW$1:$BH$1,1,MATCH(2,1/(AW2183:BH2183&lt;&gt;""))),"")</f>
        <v>46113</v>
      </c>
      <c r="BO2183" s="53">
        <f ca="1">IFERROR(_xlfn.XLOOKUP(F2183,Apuração!A:A,Apuração!C:C)/_xlfn.XLOOKUP(F2183,Apuração!A:A,Apuração!B:B),0)</f>
        <v>0</v>
      </c>
      <c r="BP2183" s="53">
        <f ca="1">IFERROR(_xlfn.XLOOKUP(F2183,Apuração!A:A,Apuração!D:D)/_xlfn.XLOOKUP(F2183,Apuração!A:A,Apuração!B:B),0)</f>
        <v>0</v>
      </c>
      <c r="BQ2183" s="53">
        <f ca="1">IF(BK2183&gt;=BO2183,0,_xlfn.XLOOKUP(F2183,Apuração!A:A,Apuração!B:B)*(BO2183 + (1/_xlfn.XLOOKUP(F2183,Apuração!A:A,Apuração!B:B)) - BK2183))</f>
        <v>0</v>
      </c>
      <c r="BR2183" s="85">
        <f t="shared" ca="1" si="2601"/>
        <v>0</v>
      </c>
      <c r="BS2183" s="53">
        <f ca="1">IFERROR((_xlfn.XLOOKUP(F2183,Apuração!A:A,Apuração!C:C)+1)/_xlfn.XLOOKUP(F2183,Apuração!A:A,Apuração!B:B),0)</f>
        <v>0.14285714285714285</v>
      </c>
    </row>
    <row r="2184" spans="1:71" ht="25.95" hidden="1" customHeight="1" x14ac:dyDescent="0.3">
      <c r="A2184" s="23" t="s">
        <v>134</v>
      </c>
      <c r="B2184" s="4" t="s">
        <v>174</v>
      </c>
      <c r="C2184" s="5" t="s">
        <v>216</v>
      </c>
      <c r="D2184" s="5" t="s">
        <v>219</v>
      </c>
      <c r="E2184" s="4" t="s">
        <v>96</v>
      </c>
      <c r="F2184" s="4" t="str" cm="1">
        <f t="array" ref="F2184">_xlfn.IFS(
AG2184 &lt;&gt; "", "Jan-Dez/26",
AH2184 &lt;&gt; "", "Fev-Dez/26",
AI2184 &lt;&gt; "", "Mar-Dez/26", AJ2184 &lt;&gt; "", "Abr-Dez/26",
TRUE, "A partir de Junho"
)</f>
        <v>A partir de Junho</v>
      </c>
      <c r="G2184" s="4" t="s">
        <v>62</v>
      </c>
      <c r="H2184" s="7" t="s">
        <v>38</v>
      </c>
      <c r="I2184" s="8" t="s">
        <v>171</v>
      </c>
      <c r="J2184" s="8" t="str" cm="1">
        <f t="array" aca="1" ref="J2184" ca="1">_xlfn.LET(
  _xlpm.actual_value_month, INDEX(T2184:AE2184, MATCH(DATE(YEAR(TODAY()), MONTH(TODAY()), 1), $T$1:$AE$1, 0)),
  IF(_xlpm.actual_value_month &lt;&gt; "",_xlpm.actual_value_month &amp; " ações mensais", "")
)</f>
        <v/>
      </c>
      <c r="K2184" s="8" t="str" cm="1">
        <f t="array" ref="K2184">_xlfn.LET(
    _xlpm.sum_month, SUM(T2184:AE2184),
    IF(_xlpm.sum_month = 0, "", _xlpm.sum_month &amp; " colaboradores impactados no ano")
)</f>
        <v/>
      </c>
      <c r="L2184" s="9" t="s">
        <v>172</v>
      </c>
      <c r="M2184" s="24">
        <v>1</v>
      </c>
      <c r="N2184" s="5" t="s">
        <v>42</v>
      </c>
      <c r="O2184" s="5" t="s">
        <v>43</v>
      </c>
      <c r="P2184" s="10" t="s">
        <v>44</v>
      </c>
      <c r="Q2184" s="10" t="s">
        <v>72</v>
      </c>
      <c r="R2184" s="11" t="s">
        <v>66</v>
      </c>
      <c r="S2184" s="11" t="s">
        <v>67</v>
      </c>
      <c r="T2184" s="22"/>
      <c r="U2184" s="22"/>
      <c r="V2184" s="22"/>
      <c r="W2184" s="22"/>
      <c r="X2184" s="22"/>
      <c r="Y2184" s="22"/>
      <c r="Z2184" s="22"/>
      <c r="AA2184" s="22"/>
      <c r="AB2184" s="22"/>
      <c r="AC2184" s="22"/>
      <c r="AD2184" s="22"/>
      <c r="AE2184" s="22"/>
      <c r="AG2184" s="71"/>
      <c r="AH2184" s="71"/>
      <c r="AI2184" s="71"/>
      <c r="AJ2184" s="71"/>
      <c r="AK2184" s="71"/>
      <c r="AL2184" s="71"/>
      <c r="AM2184" s="71"/>
      <c r="AN2184" s="71"/>
      <c r="AO2184" s="71"/>
      <c r="AP2184" s="71"/>
      <c r="AQ2184" s="71"/>
      <c r="AR2184" s="71"/>
      <c r="AS2184" s="94">
        <f t="shared" ca="1" si="2594"/>
        <v>0</v>
      </c>
      <c r="AT2184" s="95">
        <f t="shared" si="2595"/>
        <v>0</v>
      </c>
      <c r="AU2184" s="97">
        <f t="shared" si="2596"/>
        <v>0</v>
      </c>
      <c r="AW2184" s="51">
        <f t="shared" si="2597"/>
        <v>0</v>
      </c>
      <c r="AX2184" s="51">
        <f t="shared" si="2598"/>
        <v>0</v>
      </c>
      <c r="AY2184" s="51">
        <f t="shared" si="2599"/>
        <v>0</v>
      </c>
      <c r="AZ2184" s="51">
        <f t="shared" si="2600"/>
        <v>0</v>
      </c>
      <c r="BA2184" s="51"/>
      <c r="BB2184" s="51"/>
      <c r="BC2184" s="51"/>
      <c r="BD2184" s="51"/>
      <c r="BE2184" s="51"/>
      <c r="BF2184" s="51"/>
      <c r="BG2184" s="51"/>
      <c r="BH2184" s="51"/>
      <c r="BI2184" s="65" cm="1">
        <f t="array" ref="BI2184">IFERROR(INDEX(AW2184:BH2184,1,MATCH(2,1/(AW2184:BH2184&lt;&gt;""))),"")</f>
        <v>0</v>
      </c>
      <c r="BJ2184" s="68" cm="1">
        <f t="array" ref="BJ2184">IF(BM2184 = "", "",IFERROR(INDEX(AW2184:BH2184,1,MATCH(2,1/(AW2184:BH2184&lt;&gt;""),1)-1),""))</f>
        <v>0</v>
      </c>
      <c r="BK2184" s="58">
        <f>IF((IF(AW2184&gt;=115%,115%,AW2184) + IF(AX2184&gt;=115%,115%,AX2184) + IF(AY2184&gt;=115%,115%,AY2184) + (IF(AZ2184&gt;=115%,115%,AZ2184) + IF(BA2184&gt;=133%,133%,BA2184) + IF(BB2184&gt;=115%,115%,BB2184) + IF(BC2184&gt;=115%,115%,BC2184) + IF(BD2184&gt;=115%,115%,BD2184) + IF(BE2184&gt;=115%,115%,BE2184) + IF(BF2184&gt;=115%,115%,BF2184) + IF(BG2184&gt;=115%,115%,BG2184) + IF(BH2184&gt;=115%,115%,BH2184)))/_xlfn.XLOOKUP(F2184,Apuração!A:A,Apuração!B:B)&gt;=1.15,1.15,((IF(AZ2184&gt;=115%,115%,AZ2184) + IF(AX2184&gt;=115%,115%,AX2184) + IF(AY2184&gt;=115%,115%,AY2184) + (IF(AW2184&gt;=115%,115%,AW2184) + IF(BA2184&gt;=133%,133%,BA2184) + IF(BB2184&gt;=115%,115%,BB2184) + IF(BC2184&gt;=115%,115%,BC2184) + IF(BD2184&gt;=115%,115%,BD2184) + IF(BE2184&gt;=115%,115%,BE2184) + IF(BF2184&gt;=115%,115%,BF2184) + IF(BG2184&gt;=115%,115%,BG2184) + IF(BH2184&gt;=115%,115%,BH2184)))/_xlfn.XLOOKUP(F2184,Apuração!A:A,Apuração!B:B)))</f>
        <v>0</v>
      </c>
      <c r="BL2184" s="58" cm="1">
        <f t="array" aca="1" ref="BL2184" ca="1">IF(SUM(IFERROR(IF(INDEX(AW2184:INDEX(AW2184:BH2184, MATCH(2, 1/(AW2184:BH2184&lt;&gt;""), 1)-1), ROW(INDIRECT("1:" &amp; MATCH(2, 1/(AW2184:BH2184&lt;&gt;""), 1)-1))) &gt;= 115%, 115%, INDEX(AW2184:INDEX(AW2184:BH2184, MATCH(2, 1/(AW2184:BH2184&lt;&gt;""), 1)-1), ROW(INDIRECT("1:" &amp; MATCH(2, 1/(AW2184:BH2184&lt;&gt;""), 1)-1)))), 0))/_xlfn.XLOOKUP(F2184,Apuração!A:A,Apuração!B:B)&gt;=1.15,1.15,SUM(IFERROR(IF(INDEX(AW2184:INDEX(AW2184:BH2184, MATCH(2, 1/(AW2184:BH2184&lt;&gt;""), 1)-1), ROW(INDIRECT("1:" &amp; MATCH(2, 1/(AW2184:BH2184&lt;&gt;""), 1)-1))) &gt;= 115%, 115%, INDEX(AW2184:INDEX(AW2184:BH2184, MATCH(2, 1/(AW2184:BH2184&lt;&gt;""), 1)-1), ROW(INDIRECT("1:" &amp; MATCH(2, 1/(AW2184:BH2184&lt;&gt;""), 1)-1)))), 0))/_xlfn.XLOOKUP(F2184,Apuração!A:A,Apuração!B:B))</f>
        <v>0</v>
      </c>
      <c r="BM2184" s="55" cm="1">
        <f t="array" ref="BM2184">IFERROR(
   INDEX($AW$1:$BH$1,
      _xlfn.AGGREGATE(14, 6, COLUMN($AW$1:$BH$1)/(AW2184:BH2184&lt;&gt;""), 2) - COLUMN($AW$1) + 1
   ),
"")</f>
        <v>46082</v>
      </c>
      <c r="BN2184" s="55" cm="1">
        <f t="array" ref="BN2184">IFERROR(INDEX($AW$1:$BH$1,1,MATCH(2,1/(AW2184:BH2184&lt;&gt;""))),"")</f>
        <v>46113</v>
      </c>
      <c r="BO2184" s="53">
        <f ca="1">IFERROR(_xlfn.XLOOKUP(F2184,Apuração!A:A,Apuração!C:C)/_xlfn.XLOOKUP(F2184,Apuração!A:A,Apuração!B:B),0)</f>
        <v>0</v>
      </c>
      <c r="BP2184" s="53">
        <f ca="1">IFERROR(_xlfn.XLOOKUP(F2184,Apuração!A:A,Apuração!D:D)/_xlfn.XLOOKUP(F2184,Apuração!A:A,Apuração!B:B),0)</f>
        <v>0</v>
      </c>
      <c r="BQ2184" s="53">
        <f ca="1">IF(BK2184&gt;=BO2184,0,_xlfn.XLOOKUP(F2184,Apuração!A:A,Apuração!B:B)*(BO2184 + (1/_xlfn.XLOOKUP(F2184,Apuração!A:A,Apuração!B:B)) - BK2184))</f>
        <v>0</v>
      </c>
      <c r="BR2184" s="85">
        <f t="shared" ca="1" si="2601"/>
        <v>0</v>
      </c>
      <c r="BS2184" s="53">
        <f ca="1">IFERROR((_xlfn.XLOOKUP(F2184,Apuração!A:A,Apuração!C:C)+1)/_xlfn.XLOOKUP(F2184,Apuração!A:A,Apuração!B:B),0)</f>
        <v>0.14285714285714285</v>
      </c>
    </row>
    <row r="2185" spans="1:71" ht="25.95" hidden="1" customHeight="1" x14ac:dyDescent="0.3">
      <c r="A2185" s="33" t="s">
        <v>175</v>
      </c>
      <c r="B2185" s="4" t="s">
        <v>176</v>
      </c>
      <c r="C2185" s="5" t="s">
        <v>216</v>
      </c>
      <c r="D2185" s="5" t="s">
        <v>36</v>
      </c>
      <c r="E2185" s="4" t="str" cm="1">
        <f t="array" ref="E2185">_xlfn.IFS(
F2185 = "A partir de Abril", "Aguardando Execução na Distribuidora",
A2185 = "CAPACITAÇÃO", "Em execução no Corporativo",
TRUE, "Em Execução na Distribuidora"
)</f>
        <v>Em execução no Corporativo</v>
      </c>
      <c r="F2185" s="4" t="str" cm="1">
        <f t="array" ref="F2185">_xlfn.IFS(
AG2185 &lt;&gt; "", "Jan-Dez/26",
AH2185 &lt;&gt; "", "Fev-Dez/26",
AI2185 &lt;&gt; "", "Mar-Dez/26", AJ2185 &lt;&gt; "", "Abr-Dez/26",
TRUE, "A partir de Junho"
)</f>
        <v>Mar-Dez/26</v>
      </c>
      <c r="G2185" s="4" t="s">
        <v>37</v>
      </c>
      <c r="H2185" s="7" t="s">
        <v>38</v>
      </c>
      <c r="I2185" s="8" t="s">
        <v>177</v>
      </c>
      <c r="J2185" s="8" t="str" cm="1">
        <f t="array" aca="1" ref="J2185" ca="1">_xlfn.LET(
  _xlpm.actual_value_month, INDEX(T2185:AE2185, MATCH(DATE(YEAR(TODAY()), MONTH(TODAY()), 1), $T$1:$AE$1, 0)),
  IF(_xlpm.actual_value_month &lt;&gt; "", _xlpm.actual_value_month &amp; " certificados mensais", "")
)</f>
        <v>1509 certificados mensais</v>
      </c>
      <c r="K2185" s="8" t="str">
        <f>_xlfn.LET(
    _xlpm.month, AD2185,
    IF(_xlpm.month = 0, "", _xlpm.month &amp; " certificado anuais.")
)</f>
        <v>2239 certificado anuais.</v>
      </c>
      <c r="L2185" s="9" t="s">
        <v>178</v>
      </c>
      <c r="M2185" s="13">
        <v>1</v>
      </c>
      <c r="N2185" s="5" t="s">
        <v>42</v>
      </c>
      <c r="O2185" s="5" t="s">
        <v>43</v>
      </c>
      <c r="P2185" s="10" t="s">
        <v>44</v>
      </c>
      <c r="Q2185" s="10" t="s">
        <v>44</v>
      </c>
      <c r="R2185" s="11" t="s">
        <v>179</v>
      </c>
      <c r="S2185" s="11" t="s">
        <v>67</v>
      </c>
      <c r="T2185" s="22"/>
      <c r="U2185" s="22"/>
      <c r="V2185" s="22">
        <v>1026</v>
      </c>
      <c r="W2185" s="22">
        <v>1050</v>
      </c>
      <c r="X2185" s="22">
        <v>1274</v>
      </c>
      <c r="Y2185" s="22">
        <v>1509</v>
      </c>
      <c r="Z2185" s="22">
        <v>1745</v>
      </c>
      <c r="AA2185" s="22">
        <v>1934</v>
      </c>
      <c r="AB2185" s="22">
        <v>2103</v>
      </c>
      <c r="AC2185" s="22">
        <v>2250</v>
      </c>
      <c r="AD2185" s="22">
        <v>2239</v>
      </c>
      <c r="AE2185" s="22"/>
      <c r="AG2185" s="71"/>
      <c r="AH2185" s="71"/>
      <c r="AI2185" s="71">
        <v>1044</v>
      </c>
      <c r="AJ2185" s="71">
        <v>1044</v>
      </c>
      <c r="AK2185" s="71"/>
      <c r="AL2185" s="71"/>
      <c r="AM2185" s="71"/>
      <c r="AN2185" s="71"/>
      <c r="AO2185" s="71"/>
      <c r="AP2185" s="71"/>
      <c r="AQ2185" s="71"/>
      <c r="AR2185" s="71"/>
      <c r="AS2185" s="94" cm="1">
        <f t="array" ref="AS2185">IFERROR(INDEX(T2185:AE2185,1,MATCH(2,1/(T2185:AE2185&lt;&gt;""))),"")</f>
        <v>2239</v>
      </c>
      <c r="AT2185" s="95" cm="1">
        <f t="array" ref="AT2185">IFERROR(INDEX(AJ2185:AR2185,1,MATCH(2,1/(AJ2185:AR2185&lt;&gt;""))),"")</f>
        <v>1044</v>
      </c>
      <c r="AU2185" s="97">
        <f>AT2185</f>
        <v>1044</v>
      </c>
      <c r="AW2185" s="51">
        <f>IFERROR(IF(AG2185="",0,AG2185/$AD2185),0)</f>
        <v>0</v>
      </c>
      <c r="AX2185" s="51">
        <f>IFERROR(IF(AH2185="",0,AH2185/$AD2185),0)</f>
        <v>0</v>
      </c>
      <c r="AY2185" s="51">
        <f>IFERROR(IF(AI2185="",0,AI2185/$AD2185),0)</f>
        <v>0.46627958910227779</v>
      </c>
      <c r="AZ2185" s="51">
        <f>IFERROR(IF(AJ2185="",0,AJ2185/$AD2185),0)</f>
        <v>0.46627958910227779</v>
      </c>
      <c r="BA2185" s="51"/>
      <c r="BB2185" s="51"/>
      <c r="BC2185" s="51"/>
      <c r="BD2185" s="51"/>
      <c r="BE2185" s="51"/>
      <c r="BF2185" s="51"/>
      <c r="BG2185" s="51"/>
      <c r="BH2185" s="51"/>
      <c r="BI2185" s="65" cm="1">
        <f t="array" ref="BI2185">IFERROR(INDEX(AW2185:BH2185,1,MATCH(2,1/(AW2185:BH2185&lt;&gt;""))),"")</f>
        <v>0.46627958910227779</v>
      </c>
      <c r="BJ2185" s="68" cm="1">
        <f t="array" ref="BJ2185">IF(BM2185 = "", "",IFERROR(INDEX(AW2185:BH2185,1,MATCH(2,1/(AW2185:BH2185&lt;&gt;""),1)-1),""))</f>
        <v>0.46627958910227779</v>
      </c>
      <c r="BK2185" s="58" cm="1">
        <f t="array" ref="BK2185">IFERROR(INDEX(AW2185:BH2185,1,MATCH(2,1/(AW2185:BH2185&lt;&gt;""))),"")</f>
        <v>0.46627958910227779</v>
      </c>
      <c r="BL2185" s="58" cm="1">
        <f t="array" ref="BL2185">IFERROR(INDEX(AW2185:BH2185,1,MATCH(2,1/(AW2185:BH2185&lt;&gt;""),1)-1),"")</f>
        <v>0.46627958910227779</v>
      </c>
      <c r="BM2185" s="55" cm="1">
        <f t="array" ref="BM2185">IFERROR(
   INDEX($AW$1:$BH$1,
      _xlfn.AGGREGATE(14, 6, COLUMN($AW$1:$BH$1)/(AW2185:BH2185&lt;&gt;""), 2) - COLUMN($AW$1) + 1
   ),
"")</f>
        <v>46082</v>
      </c>
      <c r="BN2185" s="55" cm="1">
        <f t="array" ref="BN2185">IFERROR(INDEX($AW$1:$BH$1,1,MATCH(2,1/(AW2185:BH2185&lt;&gt;""))),"")</f>
        <v>46113</v>
      </c>
      <c r="BO2185" s="119" cm="1">
        <f t="array" aca="1" ref="BO2185" ca="1">_xlfn.LET(
    _xlpm.mes_num, MONTH(TODAY())-1,
    _xlpm.coluna_ajustada, IF(_xlpm.mes_num=0, 12, _xlpm.mes_num),
    _xlpm.realizado_mes_anterior, INDEX(T2185:AE2185, 1, _xlpm.coluna_ajustada),
    _xlpm.previsto_total, AD2185,
    _xlpm.realizado_mes_anterior / _xlpm.previsto_total
)</f>
        <v>0.56900401965163017</v>
      </c>
      <c r="BP2185" s="53">
        <f ca="1">IFERROR(_xlfn.XLOOKUP(F2185,Apuração!A:A,Apuração!D:D)/_xlfn.XLOOKUP(F2185,Apuração!A:A,Apuração!B:B),0)</f>
        <v>0.2</v>
      </c>
      <c r="BQ2185" s="53">
        <f ca="1">IF(BK2185&gt;=BO2185,0,_xlfn.XLOOKUP(F2185,Apuração!A:A,Apuração!B:B)*(BO2185 + (1/_xlfn.XLOOKUP(F2185,Apuração!A:A,Apuração!B:B)) - BK2185))</f>
        <v>2.0272443054935234</v>
      </c>
      <c r="BR2185" s="85">
        <f ca="1">IF(BQ2185=0,0,BQ2185*Z2185)</f>
        <v>3537.5413130861984</v>
      </c>
      <c r="BS2185" s="53">
        <f ca="1">IFERROR((_xlfn.XLOOKUP(F2185,Apuração!A:A,Apuração!C:C)+1)/_xlfn.XLOOKUP(F2185,Apuração!A:A,Apuração!B:B),0)</f>
        <v>0.4</v>
      </c>
    </row>
    <row r="2186" spans="1:71" ht="25.95" hidden="1" customHeight="1" x14ac:dyDescent="0.3">
      <c r="A2186" s="33" t="s">
        <v>175</v>
      </c>
      <c r="B2186" s="4" t="s">
        <v>176</v>
      </c>
      <c r="C2186" s="5" t="s">
        <v>216</v>
      </c>
      <c r="D2186" s="5" t="s">
        <v>217</v>
      </c>
      <c r="E2186" s="4" t="str" cm="1">
        <f t="array" ref="E2186">_xlfn.IFS(
F2186 = "A partir de Abril", "Aguardando Execução na Distribuidora",
A2186 = "CAPACITAÇÃO", "Em execução no Corporativo",
TRUE, "Em Execução na Distribuidora"
)</f>
        <v>Em execução no Corporativo</v>
      </c>
      <c r="F2186" s="4" t="str" cm="1">
        <f t="array" ref="F2186">_xlfn.IFS(
AG2186 &lt;&gt; "", "Jan-Dez/26",
AH2186 &lt;&gt; "", "Fev-Dez/26",
AI2186 &lt;&gt; "", "Mar-Dez/26", AJ2186 &lt;&gt; "", "Abr-Dez/26",
TRUE, "A partir de Junho"
)</f>
        <v>Mar-Dez/26</v>
      </c>
      <c r="G2186" s="4" t="s">
        <v>37</v>
      </c>
      <c r="H2186" s="7" t="s">
        <v>38</v>
      </c>
      <c r="I2186" s="8" t="s">
        <v>177</v>
      </c>
      <c r="J2186" s="8" t="str" cm="1">
        <f t="array" aca="1" ref="J2186" ca="1">_xlfn.LET(
  _xlpm.actual_value_month, INDEX(T2186:AE2186, MATCH(DATE(YEAR(TODAY()), MONTH(TODAY()), 1), $T$1:$AE$1, 0)),
  IF(_xlpm.actual_value_month &lt;&gt; "", _xlpm.actual_value_month &amp; " certificados mensais", "")
)</f>
        <v>271 certificados mensais</v>
      </c>
      <c r="K2186" s="8" t="str">
        <f>_xlfn.LET(
    _xlpm.month, AD2186,
    IF(_xlpm.month = 0, "", _xlpm.month &amp; " certificado anuais.")
)</f>
        <v>311 certificado anuais.</v>
      </c>
      <c r="L2186" s="9" t="s">
        <v>178</v>
      </c>
      <c r="M2186" s="13">
        <v>1</v>
      </c>
      <c r="N2186" s="5" t="s">
        <v>42</v>
      </c>
      <c r="O2186" s="5" t="s">
        <v>43</v>
      </c>
      <c r="P2186" s="10" t="s">
        <v>44</v>
      </c>
      <c r="Q2186" s="10" t="s">
        <v>44</v>
      </c>
      <c r="R2186" s="11" t="s">
        <v>179</v>
      </c>
      <c r="S2186" s="11" t="s">
        <v>67</v>
      </c>
      <c r="T2186" s="22"/>
      <c r="U2186" s="22"/>
      <c r="V2186" s="143">
        <v>222</v>
      </c>
      <c r="W2186" s="143">
        <v>222</v>
      </c>
      <c r="X2186" s="143">
        <v>252</v>
      </c>
      <c r="Y2186" s="143">
        <v>271</v>
      </c>
      <c r="Z2186" s="143">
        <v>286</v>
      </c>
      <c r="AA2186" s="143">
        <v>301</v>
      </c>
      <c r="AB2186" s="143">
        <v>311</v>
      </c>
      <c r="AC2186" s="143">
        <v>311</v>
      </c>
      <c r="AD2186" s="143">
        <v>311</v>
      </c>
      <c r="AE2186" s="22"/>
      <c r="AG2186" s="71"/>
      <c r="AH2186" s="71"/>
      <c r="AI2186" s="82">
        <v>222</v>
      </c>
      <c r="AJ2186" s="82">
        <v>222</v>
      </c>
      <c r="AK2186" s="71"/>
      <c r="AL2186" s="71"/>
      <c r="AM2186" s="71"/>
      <c r="AN2186" s="71"/>
      <c r="AO2186" s="71"/>
      <c r="AP2186" s="71"/>
      <c r="AQ2186" s="71"/>
      <c r="AR2186" s="71"/>
      <c r="AS2186" s="94" cm="1">
        <f t="array" ref="AS2186">IFERROR(INDEX(T2186:AE2186,1,MATCH(2,1/(T2186:AE2186&lt;&gt;""))),"")</f>
        <v>311</v>
      </c>
      <c r="AT2186" s="95" cm="1">
        <f t="array" ref="AT2186">IFERROR(INDEX(AJ2186:AR2186,1,MATCH(2,1/(AJ2186:AR2186&lt;&gt;""))),"")</f>
        <v>222</v>
      </c>
      <c r="AU2186" s="97">
        <f t="shared" ref="AU2186:AU2189" si="2602">AT2186</f>
        <v>222</v>
      </c>
      <c r="AW2186" s="51">
        <f t="shared" ref="AW2186:AW2189" si="2603">IFERROR(IF(AG2186="",0,AG2186/$AD2186),0)</f>
        <v>0</v>
      </c>
      <c r="AX2186" s="51">
        <f t="shared" ref="AX2186:AX2189" si="2604">IFERROR(IF(AH2186="",0,AH2186/$AD2186),0)</f>
        <v>0</v>
      </c>
      <c r="AY2186" s="51">
        <f t="shared" ref="AY2186:AY2189" si="2605">IFERROR(IF(AI2186="",0,AI2186/$AD2186),0)</f>
        <v>0.7138263665594855</v>
      </c>
      <c r="AZ2186" s="51">
        <f t="shared" ref="AZ2186:AZ2189" si="2606">IFERROR(IF(AJ2186="",0,AJ2186/$AD2186),0)</f>
        <v>0.7138263665594855</v>
      </c>
      <c r="BA2186" s="51"/>
      <c r="BB2186" s="51"/>
      <c r="BC2186" s="51"/>
      <c r="BD2186" s="51"/>
      <c r="BE2186" s="51"/>
      <c r="BF2186" s="51"/>
      <c r="BG2186" s="51"/>
      <c r="BH2186" s="51"/>
      <c r="BI2186" s="65" cm="1">
        <f t="array" ref="BI2186">IFERROR(INDEX(AW2186:BH2186,1,MATCH(2,1/(AW2186:BH2186&lt;&gt;""))),"")</f>
        <v>0.7138263665594855</v>
      </c>
      <c r="BJ2186" s="68" cm="1">
        <f t="array" ref="BJ2186">IF(BM2186 = "", "",IFERROR(INDEX(AW2186:BH2186,1,MATCH(2,1/(AW2186:BH2186&lt;&gt;""),1)-1),""))</f>
        <v>0.7138263665594855</v>
      </c>
      <c r="BK2186" s="58" cm="1">
        <f t="array" ref="BK2186">IFERROR(INDEX(AW2186:BH2186,1,MATCH(2,1/(AW2186:BH2186&lt;&gt;""))),"")</f>
        <v>0.7138263665594855</v>
      </c>
      <c r="BL2186" s="58" cm="1">
        <f t="array" ref="BL2186">IFERROR(INDEX(AW2186:BH2186,1,MATCH(2,1/(AW2186:BH2186&lt;&gt;""),1)-1),"")</f>
        <v>0.7138263665594855</v>
      </c>
      <c r="BM2186" s="55" cm="1">
        <f t="array" ref="BM2186">IFERROR(
   INDEX($AW$1:$BH$1,
      _xlfn.AGGREGATE(14, 6, COLUMN($AW$1:$BH$1)/(AW2186:BH2186&lt;&gt;""), 2) - COLUMN($AW$1) + 1
   ),
"")</f>
        <v>46082</v>
      </c>
      <c r="BN2186" s="55" cm="1">
        <f t="array" ref="BN2186">IFERROR(INDEX($AW$1:$BH$1,1,MATCH(2,1/(AW2186:BH2186&lt;&gt;""))),"")</f>
        <v>46113</v>
      </c>
      <c r="BO2186" s="119" cm="1">
        <f t="array" aca="1" ref="BO2186" ca="1">_xlfn.LET(
    _xlpm.mes_num, MONTH(TODAY())-1,
    _xlpm.coluna_ajustada, IF(_xlpm.mes_num=0, 12, _xlpm.mes_num),
    _xlpm.realizado_mes_anterior, INDEX(T2186:AE2186, 1, _xlpm.coluna_ajustada),
    _xlpm.previsto_total, AD2186,
    _xlpm.realizado_mes_anterior / _xlpm.previsto_total
)</f>
        <v>0.81028938906752412</v>
      </c>
      <c r="BP2186" s="53">
        <f ca="1">IFERROR(_xlfn.XLOOKUP(F2186,Apuração!A:A,Apuração!D:D)/_xlfn.XLOOKUP(F2186,Apuração!A:A,Apuração!B:B),0)</f>
        <v>0.2</v>
      </c>
      <c r="BQ2186" s="53">
        <f ca="1">IF(BK2186&gt;=BO2186,0,_xlfn.XLOOKUP(F2186,Apuração!A:A,Apuração!B:B)*(BO2186 + (1/_xlfn.XLOOKUP(F2186,Apuração!A:A,Apuração!B:B)) - BK2186))</f>
        <v>1.964630225080386</v>
      </c>
      <c r="BR2186" s="85">
        <f t="shared" ref="BR2186:BR2189" ca="1" si="2607">IF(BQ2186=0,0,BQ2186*Z2186)</f>
        <v>561.88424437299034</v>
      </c>
      <c r="BS2186" s="53">
        <f ca="1">IFERROR((_xlfn.XLOOKUP(F2186,Apuração!A:A,Apuração!C:C)+1)/_xlfn.XLOOKUP(F2186,Apuração!A:A,Apuração!B:B),0)</f>
        <v>0.4</v>
      </c>
    </row>
    <row r="2187" spans="1:71" ht="25.95" hidden="1" customHeight="1" x14ac:dyDescent="0.3">
      <c r="A2187" s="33" t="s">
        <v>175</v>
      </c>
      <c r="B2187" s="4" t="s">
        <v>176</v>
      </c>
      <c r="C2187" s="5" t="s">
        <v>216</v>
      </c>
      <c r="D2187" s="5" t="s">
        <v>103</v>
      </c>
      <c r="E2187" s="4" t="str" cm="1">
        <f t="array" ref="E2187">_xlfn.IFS(
F2187 = "A partir de Abril", "Aguardando Execução na Distribuidora",
A2187 = "CAPACITAÇÃO", "Em execução no Corporativo",
TRUE, "Em Execução na Distribuidora"
)</f>
        <v>Em execução no Corporativo</v>
      </c>
      <c r="F2187" s="4" t="str" cm="1">
        <f t="array" ref="F2187">_xlfn.IFS(
AG2187 &lt;&gt; "", "Jan-Dez/26",
AH2187 &lt;&gt; "", "Fev-Dez/26",
AI2187 &lt;&gt; "", "Mar-Dez/26", AJ2187 &lt;&gt; "", "Abr-Dez/26",
TRUE, "A partir de Junho"
)</f>
        <v>Mar-Dez/26</v>
      </c>
      <c r="G2187" s="4" t="s">
        <v>37</v>
      </c>
      <c r="H2187" s="7" t="s">
        <v>38</v>
      </c>
      <c r="I2187" s="8" t="s">
        <v>177</v>
      </c>
      <c r="J2187" s="8" t="str" cm="1">
        <f t="array" aca="1" ref="J2187" ca="1">_xlfn.LET(
  _xlpm.actual_value_month, INDEX(T2187:AE2187, MATCH(DATE(YEAR(TODAY()), MONTH(TODAY()), 1), $T$1:$AE$1, 0)),
  IF(_xlpm.actual_value_month &lt;&gt; "", _xlpm.actual_value_month &amp; " certificados mensais", "")
)</f>
        <v>505 certificados mensais</v>
      </c>
      <c r="K2187" s="8" t="str">
        <f>_xlfn.LET(
    _xlpm.month, AD2187,
    IF(_xlpm.month = 0, "", _xlpm.month &amp; " certificado anuais.")
)</f>
        <v>776 certificado anuais.</v>
      </c>
      <c r="L2187" s="9" t="s">
        <v>178</v>
      </c>
      <c r="M2187" s="13">
        <v>1</v>
      </c>
      <c r="N2187" s="5" t="s">
        <v>42</v>
      </c>
      <c r="O2187" s="5" t="s">
        <v>43</v>
      </c>
      <c r="P2187" s="10" t="s">
        <v>44</v>
      </c>
      <c r="Q2187" s="10" t="s">
        <v>44</v>
      </c>
      <c r="R2187" s="11" t="s">
        <v>179</v>
      </c>
      <c r="S2187" s="11" t="s">
        <v>67</v>
      </c>
      <c r="T2187" s="22"/>
      <c r="U2187" s="22"/>
      <c r="V2187" s="143">
        <v>438</v>
      </c>
      <c r="W2187" s="143">
        <v>438</v>
      </c>
      <c r="X2187" s="143">
        <v>445</v>
      </c>
      <c r="Y2187" s="143">
        <v>505</v>
      </c>
      <c r="Z2187" s="143">
        <v>575</v>
      </c>
      <c r="AA2187" s="143">
        <v>632</v>
      </c>
      <c r="AB2187" s="143">
        <v>683</v>
      </c>
      <c r="AC2187" s="143">
        <v>732</v>
      </c>
      <c r="AD2187" s="143">
        <v>776</v>
      </c>
      <c r="AE2187" s="22"/>
      <c r="AG2187" s="71"/>
      <c r="AH2187" s="71"/>
      <c r="AI2187" s="82">
        <v>438</v>
      </c>
      <c r="AJ2187" s="82">
        <v>438</v>
      </c>
      <c r="AK2187" s="71"/>
      <c r="AL2187" s="71"/>
      <c r="AM2187" s="71"/>
      <c r="AN2187" s="71"/>
      <c r="AO2187" s="71"/>
      <c r="AP2187" s="71"/>
      <c r="AQ2187" s="71"/>
      <c r="AR2187" s="71"/>
      <c r="AS2187" s="94" cm="1">
        <f t="array" ref="AS2187">IFERROR(INDEX(T2187:AE2187,1,MATCH(2,1/(T2187:AE2187&lt;&gt;""))),"")</f>
        <v>776</v>
      </c>
      <c r="AT2187" s="95" cm="1">
        <f t="array" ref="AT2187">IFERROR(INDEX(AJ2187:AR2187,1,MATCH(2,1/(AJ2187:AR2187&lt;&gt;""))),"")</f>
        <v>438</v>
      </c>
      <c r="AU2187" s="97">
        <f t="shared" si="2602"/>
        <v>438</v>
      </c>
      <c r="AW2187" s="51">
        <f t="shared" si="2603"/>
        <v>0</v>
      </c>
      <c r="AX2187" s="51">
        <f t="shared" si="2604"/>
        <v>0</v>
      </c>
      <c r="AY2187" s="51">
        <f t="shared" si="2605"/>
        <v>0.56443298969072164</v>
      </c>
      <c r="AZ2187" s="51">
        <f t="shared" si="2606"/>
        <v>0.56443298969072164</v>
      </c>
      <c r="BA2187" s="51"/>
      <c r="BB2187" s="51"/>
      <c r="BC2187" s="51"/>
      <c r="BD2187" s="51"/>
      <c r="BE2187" s="51"/>
      <c r="BF2187" s="51"/>
      <c r="BG2187" s="51"/>
      <c r="BH2187" s="51"/>
      <c r="BI2187" s="65" cm="1">
        <f t="array" ref="BI2187">IFERROR(INDEX(AW2187:BH2187,1,MATCH(2,1/(AW2187:BH2187&lt;&gt;""))),"")</f>
        <v>0.56443298969072164</v>
      </c>
      <c r="BJ2187" s="68" cm="1">
        <f t="array" ref="BJ2187">IF(BM2187 = "", "",IFERROR(INDEX(AW2187:BH2187,1,MATCH(2,1/(AW2187:BH2187&lt;&gt;""),1)-1),""))</f>
        <v>0.56443298969072164</v>
      </c>
      <c r="BK2187" s="58" cm="1">
        <f t="array" ref="BK2187">IFERROR(INDEX(AW2187:BH2187,1,MATCH(2,1/(AW2187:BH2187&lt;&gt;""))),"")</f>
        <v>0.56443298969072164</v>
      </c>
      <c r="BL2187" s="58" cm="1">
        <f t="array" ref="BL2187">IFERROR(INDEX(AW2187:BH2187,1,MATCH(2,1/(AW2187:BH2187&lt;&gt;""),1)-1),"")</f>
        <v>0.56443298969072164</v>
      </c>
      <c r="BM2187" s="55" cm="1">
        <f t="array" ref="BM2187">IFERROR(
   INDEX($AW$1:$BH$1,
      _xlfn.AGGREGATE(14, 6, COLUMN($AW$1:$BH$1)/(AW2187:BH2187&lt;&gt;""), 2) - COLUMN($AW$1) + 1
   ),
"")</f>
        <v>46082</v>
      </c>
      <c r="BN2187" s="55" cm="1">
        <f t="array" ref="BN2187">IFERROR(INDEX($AW$1:$BH$1,1,MATCH(2,1/(AW2187:BH2187&lt;&gt;""))),"")</f>
        <v>46113</v>
      </c>
      <c r="BO2187" s="119" cm="1">
        <f t="array" aca="1" ref="BO2187" ca="1">_xlfn.LET(
    _xlpm.mes_num, MONTH(TODAY())-1,
    _xlpm.coluna_ajustada, IF(_xlpm.mes_num=0, 12, _xlpm.mes_num),
    _xlpm.realizado_mes_anterior, INDEX(T2187:AE2187, 1, _xlpm.coluna_ajustada),
    _xlpm.previsto_total, AD2187,
    _xlpm.realizado_mes_anterior / _xlpm.previsto_total
)</f>
        <v>0.57345360824742264</v>
      </c>
      <c r="BP2187" s="53">
        <f ca="1">IFERROR(_xlfn.XLOOKUP(F2187,Apuração!A:A,Apuração!D:D)/_xlfn.XLOOKUP(F2187,Apuração!A:A,Apuração!B:B),0)</f>
        <v>0.2</v>
      </c>
      <c r="BQ2187" s="53">
        <f ca="1">IF(BK2187&gt;=BO2187,0,_xlfn.XLOOKUP(F2187,Apuração!A:A,Apuração!B:B)*(BO2187 + (1/_xlfn.XLOOKUP(F2187,Apuração!A:A,Apuração!B:B)) - BK2187))</f>
        <v>1.0902061855670098</v>
      </c>
      <c r="BR2187" s="85">
        <f t="shared" ca="1" si="2607"/>
        <v>626.86855670103057</v>
      </c>
      <c r="BS2187" s="53">
        <f ca="1">IFERROR((_xlfn.XLOOKUP(F2187,Apuração!A:A,Apuração!C:C)+1)/_xlfn.XLOOKUP(F2187,Apuração!A:A,Apuração!B:B),0)</f>
        <v>0.4</v>
      </c>
    </row>
    <row r="2188" spans="1:71" ht="25.95" hidden="1" customHeight="1" x14ac:dyDescent="0.3">
      <c r="A2188" s="33" t="s">
        <v>175</v>
      </c>
      <c r="B2188" s="4" t="s">
        <v>176</v>
      </c>
      <c r="C2188" s="5" t="s">
        <v>216</v>
      </c>
      <c r="D2188" s="5" t="s">
        <v>218</v>
      </c>
      <c r="E2188" s="4" t="str" cm="1">
        <f t="array" ref="E2188">_xlfn.IFS(
F2188 = "A partir de Abril", "Aguardando Execução na Distribuidora",
A2188 = "CAPACITAÇÃO", "Em execução no Corporativo",
TRUE, "Em Execução na Distribuidora"
)</f>
        <v>Em execução no Corporativo</v>
      </c>
      <c r="F2188" s="4" t="str" cm="1">
        <f t="array" ref="F2188">_xlfn.IFS(
AG2188 &lt;&gt; "", "Jan-Dez/26",
AH2188 &lt;&gt; "", "Fev-Dez/26",
AI2188 &lt;&gt; "", "Mar-Dez/26", AJ2188 &lt;&gt; "", "Abr-Dez/26",
TRUE, "A partir de Junho"
)</f>
        <v>Mar-Dez/26</v>
      </c>
      <c r="G2188" s="4" t="s">
        <v>37</v>
      </c>
      <c r="H2188" s="7" t="s">
        <v>38</v>
      </c>
      <c r="I2188" s="8" t="s">
        <v>177</v>
      </c>
      <c r="J2188" s="8" t="str" cm="1">
        <f t="array" aca="1" ref="J2188" ca="1">_xlfn.LET(
  _xlpm.actual_value_month, INDEX(T2188:AE2188, MATCH(DATE(YEAR(TODAY()), MONTH(TODAY()), 1), $T$1:$AE$1, 0)),
  IF(_xlpm.actual_value_month &lt;&gt; "", _xlpm.actual_value_month &amp; " certificados mensais", "")
)</f>
        <v>304 certificados mensais</v>
      </c>
      <c r="K2188" s="8" t="str">
        <f>_xlfn.LET(
    _xlpm.month, AD2188,
    IF(_xlpm.month = 0, "", _xlpm.month &amp; " certificado anuais.")
)</f>
        <v>326 certificado anuais.</v>
      </c>
      <c r="L2188" s="9" t="s">
        <v>178</v>
      </c>
      <c r="M2188" s="13">
        <v>1</v>
      </c>
      <c r="N2188" s="5" t="s">
        <v>42</v>
      </c>
      <c r="O2188" s="5" t="s">
        <v>43</v>
      </c>
      <c r="P2188" s="10" t="s">
        <v>44</v>
      </c>
      <c r="Q2188" s="10" t="s">
        <v>44</v>
      </c>
      <c r="R2188" s="11" t="s">
        <v>179</v>
      </c>
      <c r="S2188" s="11" t="s">
        <v>67</v>
      </c>
      <c r="T2188" s="22"/>
      <c r="U2188" s="22"/>
      <c r="V2188" s="143">
        <v>209</v>
      </c>
      <c r="W2188" s="143">
        <v>233</v>
      </c>
      <c r="X2188" s="143">
        <v>276</v>
      </c>
      <c r="Y2188" s="143">
        <v>304</v>
      </c>
      <c r="Z2188" s="143">
        <v>321</v>
      </c>
      <c r="AA2188" s="143">
        <v>326</v>
      </c>
      <c r="AB2188" s="143">
        <v>326</v>
      </c>
      <c r="AC2188" s="143">
        <v>326</v>
      </c>
      <c r="AD2188" s="143">
        <v>326</v>
      </c>
      <c r="AE2188" s="22"/>
      <c r="AG2188" s="71"/>
      <c r="AH2188" s="71"/>
      <c r="AI2188" s="82">
        <v>209</v>
      </c>
      <c r="AJ2188" s="82">
        <v>209</v>
      </c>
      <c r="AK2188" s="71"/>
      <c r="AL2188" s="71"/>
      <c r="AM2188" s="71"/>
      <c r="AN2188" s="71"/>
      <c r="AO2188" s="71"/>
      <c r="AP2188" s="71"/>
      <c r="AQ2188" s="71"/>
      <c r="AR2188" s="71"/>
      <c r="AS2188" s="94" cm="1">
        <f t="array" ref="AS2188">IFERROR(INDEX(T2188:AE2188,1,MATCH(2,1/(T2188:AE2188&lt;&gt;""))),"")</f>
        <v>326</v>
      </c>
      <c r="AT2188" s="95" cm="1">
        <f t="array" ref="AT2188">IFERROR(INDEX(AJ2188:AR2188,1,MATCH(2,1/(AJ2188:AR2188&lt;&gt;""))),"")</f>
        <v>209</v>
      </c>
      <c r="AU2188" s="97">
        <f t="shared" si="2602"/>
        <v>209</v>
      </c>
      <c r="AW2188" s="51">
        <f t="shared" si="2603"/>
        <v>0</v>
      </c>
      <c r="AX2188" s="51">
        <f t="shared" si="2604"/>
        <v>0</v>
      </c>
      <c r="AY2188" s="51">
        <f t="shared" si="2605"/>
        <v>0.64110429447852757</v>
      </c>
      <c r="AZ2188" s="51">
        <f t="shared" si="2606"/>
        <v>0.64110429447852757</v>
      </c>
      <c r="BA2188" s="51"/>
      <c r="BB2188" s="51"/>
      <c r="BC2188" s="51"/>
      <c r="BD2188" s="51"/>
      <c r="BE2188" s="51"/>
      <c r="BF2188" s="51"/>
      <c r="BG2188" s="51"/>
      <c r="BH2188" s="51"/>
      <c r="BI2188" s="65" cm="1">
        <f t="array" ref="BI2188">IFERROR(INDEX(AW2188:BH2188,1,MATCH(2,1/(AW2188:BH2188&lt;&gt;""))),"")</f>
        <v>0.64110429447852757</v>
      </c>
      <c r="BJ2188" s="68" cm="1">
        <f t="array" ref="BJ2188">IF(BM2188 = "", "",IFERROR(INDEX(AW2188:BH2188,1,MATCH(2,1/(AW2188:BH2188&lt;&gt;""),1)-1),""))</f>
        <v>0.64110429447852757</v>
      </c>
      <c r="BK2188" s="58" cm="1">
        <f t="array" ref="BK2188">IFERROR(INDEX(AW2188:BH2188,1,MATCH(2,1/(AW2188:BH2188&lt;&gt;""))),"")</f>
        <v>0.64110429447852757</v>
      </c>
      <c r="BL2188" s="58" cm="1">
        <f t="array" ref="BL2188">IFERROR(INDEX(AW2188:BH2188,1,MATCH(2,1/(AW2188:BH2188&lt;&gt;""),1)-1),"")</f>
        <v>0.64110429447852757</v>
      </c>
      <c r="BM2188" s="55" cm="1">
        <f t="array" ref="BM2188">IFERROR(
   INDEX($AW$1:$BH$1,
      _xlfn.AGGREGATE(14, 6, COLUMN($AW$1:$BH$1)/(AW2188:BH2188&lt;&gt;""), 2) - COLUMN($AW$1) + 1
   ),
"")</f>
        <v>46082</v>
      </c>
      <c r="BN2188" s="55" cm="1">
        <f t="array" ref="BN2188">IFERROR(INDEX($AW$1:$BH$1,1,MATCH(2,1/(AW2188:BH2188&lt;&gt;""))),"")</f>
        <v>46113</v>
      </c>
      <c r="BO2188" s="119" cm="1">
        <f t="array" aca="1" ref="BO2188" ca="1">_xlfn.LET(
    _xlpm.mes_num, MONTH(TODAY())-1,
    _xlpm.coluna_ajustada, IF(_xlpm.mes_num=0, 12, _xlpm.mes_num),
    _xlpm.realizado_mes_anterior, INDEX(T2188:AE2188, 1, _xlpm.coluna_ajustada),
    _xlpm.previsto_total, AD2188,
    _xlpm.realizado_mes_anterior / _xlpm.previsto_total
)</f>
        <v>0.84662576687116564</v>
      </c>
      <c r="BP2188" s="53">
        <f ca="1">IFERROR(_xlfn.XLOOKUP(F2188,Apuração!A:A,Apuração!D:D)/_xlfn.XLOOKUP(F2188,Apuração!A:A,Apuração!B:B),0)</f>
        <v>0.2</v>
      </c>
      <c r="BQ2188" s="53">
        <f ca="1">IF(BK2188&gt;=BO2188,0,_xlfn.XLOOKUP(F2188,Apuração!A:A,Apuração!B:B)*(BO2188 + (1/_xlfn.XLOOKUP(F2188,Apuração!A:A,Apuração!B:B)) - BK2188))</f>
        <v>3.0552147239263805</v>
      </c>
      <c r="BR2188" s="85">
        <f t="shared" ca="1" si="2607"/>
        <v>980.72392638036808</v>
      </c>
      <c r="BS2188" s="53">
        <f ca="1">IFERROR((_xlfn.XLOOKUP(F2188,Apuração!A:A,Apuração!C:C)+1)/_xlfn.XLOOKUP(F2188,Apuração!A:A,Apuração!B:B),0)</f>
        <v>0.4</v>
      </c>
    </row>
    <row r="2189" spans="1:71" ht="25.95" hidden="1" customHeight="1" x14ac:dyDescent="0.3">
      <c r="A2189" s="33" t="s">
        <v>175</v>
      </c>
      <c r="B2189" s="4" t="s">
        <v>176</v>
      </c>
      <c r="C2189" s="5" t="s">
        <v>216</v>
      </c>
      <c r="D2189" s="5" t="s">
        <v>219</v>
      </c>
      <c r="E2189" s="4" t="str" cm="1">
        <f t="array" ref="E2189">_xlfn.IFS(
F2189 = "A partir de Abril", "Aguardando Execução na Distribuidora",
A2189 = "CAPACITAÇÃO", "Em execução no Corporativo",
TRUE, "Em Execução na Distribuidora"
)</f>
        <v>Em execução no Corporativo</v>
      </c>
      <c r="F2189" s="4" t="str" cm="1">
        <f t="array" ref="F2189">_xlfn.IFS(
AG2189 &lt;&gt; "", "Jan-Dez/26",
AH2189 &lt;&gt; "", "Fev-Dez/26",
AI2189 &lt;&gt; "", "Mar-Dez/26", AJ2189 &lt;&gt; "", "Abr-Dez/26",
TRUE, "A partir de Junho"
)</f>
        <v>Mar-Dez/26</v>
      </c>
      <c r="G2189" s="4" t="s">
        <v>37</v>
      </c>
      <c r="H2189" s="7" t="s">
        <v>38</v>
      </c>
      <c r="I2189" s="8" t="s">
        <v>177</v>
      </c>
      <c r="J2189" s="8" t="str" cm="1">
        <f t="array" aca="1" ref="J2189" ca="1">_xlfn.LET(
  _xlpm.actual_value_month, INDEX(T2189:AE2189, MATCH(DATE(YEAR(TODAY()), MONTH(TODAY()), 1), $T$1:$AE$1, 0)),
  IF(_xlpm.actual_value_month &lt;&gt; "", _xlpm.actual_value_month &amp; " certificados mensais", "")
)</f>
        <v>206 certificados mensais</v>
      </c>
      <c r="K2189" s="8" t="str">
        <f>_xlfn.LET(
    _xlpm.month, AD2189,
    IF(_xlpm.month = 0, "", _xlpm.month &amp; " certificado anuais.")
)</f>
        <v>225 certificado anuais.</v>
      </c>
      <c r="L2189" s="9" t="s">
        <v>178</v>
      </c>
      <c r="M2189" s="13">
        <v>1</v>
      </c>
      <c r="N2189" s="5" t="s">
        <v>42</v>
      </c>
      <c r="O2189" s="5" t="s">
        <v>43</v>
      </c>
      <c r="P2189" s="10" t="s">
        <v>44</v>
      </c>
      <c r="Q2189" s="10" t="s">
        <v>44</v>
      </c>
      <c r="R2189" s="11" t="s">
        <v>179</v>
      </c>
      <c r="S2189" s="11" t="s">
        <v>67</v>
      </c>
      <c r="T2189" s="22"/>
      <c r="U2189" s="22"/>
      <c r="V2189" s="143">
        <v>175</v>
      </c>
      <c r="W2189" s="143">
        <v>175</v>
      </c>
      <c r="X2189" s="143">
        <v>194</v>
      </c>
      <c r="Y2189" s="143">
        <v>206</v>
      </c>
      <c r="Z2189" s="143">
        <v>218</v>
      </c>
      <c r="AA2189" s="143">
        <v>225</v>
      </c>
      <c r="AB2189" s="143">
        <v>225</v>
      </c>
      <c r="AC2189" s="143">
        <v>225</v>
      </c>
      <c r="AD2189" s="143">
        <v>225</v>
      </c>
      <c r="AE2189" s="22"/>
      <c r="AG2189" s="71"/>
      <c r="AH2189" s="71"/>
      <c r="AI2189" s="82">
        <v>175</v>
      </c>
      <c r="AJ2189" s="82">
        <v>175</v>
      </c>
      <c r="AK2189" s="71"/>
      <c r="AL2189" s="71"/>
      <c r="AM2189" s="71"/>
      <c r="AN2189" s="71"/>
      <c r="AO2189" s="71"/>
      <c r="AP2189" s="71"/>
      <c r="AQ2189" s="71"/>
      <c r="AR2189" s="71"/>
      <c r="AS2189" s="94" cm="1">
        <f t="array" ref="AS2189">IFERROR(INDEX(T2189:AE2189,1,MATCH(2,1/(T2189:AE2189&lt;&gt;""))),"")</f>
        <v>225</v>
      </c>
      <c r="AT2189" s="95" cm="1">
        <f t="array" ref="AT2189">IFERROR(INDEX(AJ2189:AR2189,1,MATCH(2,1/(AJ2189:AR2189&lt;&gt;""))),"")</f>
        <v>175</v>
      </c>
      <c r="AU2189" s="97">
        <f t="shared" si="2602"/>
        <v>175</v>
      </c>
      <c r="AW2189" s="51">
        <f t="shared" si="2603"/>
        <v>0</v>
      </c>
      <c r="AX2189" s="51">
        <f t="shared" si="2604"/>
        <v>0</v>
      </c>
      <c r="AY2189" s="51">
        <f t="shared" si="2605"/>
        <v>0.77777777777777779</v>
      </c>
      <c r="AZ2189" s="51">
        <f t="shared" si="2606"/>
        <v>0.77777777777777779</v>
      </c>
      <c r="BA2189" s="51"/>
      <c r="BB2189" s="51"/>
      <c r="BC2189" s="51"/>
      <c r="BD2189" s="51"/>
      <c r="BE2189" s="51"/>
      <c r="BF2189" s="51"/>
      <c r="BG2189" s="51"/>
      <c r="BH2189" s="51"/>
      <c r="BI2189" s="65" cm="1">
        <f t="array" ref="BI2189">IFERROR(INDEX(AW2189:BH2189,1,MATCH(2,1/(AW2189:BH2189&lt;&gt;""))),"")</f>
        <v>0.77777777777777779</v>
      </c>
      <c r="BJ2189" s="68" cm="1">
        <f t="array" ref="BJ2189">IF(BM2189 = "", "",IFERROR(INDEX(AW2189:BH2189,1,MATCH(2,1/(AW2189:BH2189&lt;&gt;""),1)-1),""))</f>
        <v>0.77777777777777779</v>
      </c>
      <c r="BK2189" s="58" cm="1">
        <f t="array" ref="BK2189">IFERROR(INDEX(AW2189:BH2189,1,MATCH(2,1/(AW2189:BH2189&lt;&gt;""))),"")</f>
        <v>0.77777777777777779</v>
      </c>
      <c r="BL2189" s="58" cm="1">
        <f t="array" ref="BL2189">IFERROR(INDEX(AW2189:BH2189,1,MATCH(2,1/(AW2189:BH2189&lt;&gt;""),1)-1),"")</f>
        <v>0.77777777777777779</v>
      </c>
      <c r="BM2189" s="55" cm="1">
        <f t="array" ref="BM2189">IFERROR(
   INDEX($AW$1:$BH$1,
      _xlfn.AGGREGATE(14, 6, COLUMN($AW$1:$BH$1)/(AW2189:BH2189&lt;&gt;""), 2) - COLUMN($AW$1) + 1
   ),
"")</f>
        <v>46082</v>
      </c>
      <c r="BN2189" s="55" cm="1">
        <f t="array" ref="BN2189">IFERROR(INDEX($AW$1:$BH$1,1,MATCH(2,1/(AW2189:BH2189&lt;&gt;""))),"")</f>
        <v>46113</v>
      </c>
      <c r="BO2189" s="119" cm="1">
        <f t="array" aca="1" ref="BO2189" ca="1">_xlfn.LET(
    _xlpm.mes_num, MONTH(TODAY())-1,
    _xlpm.coluna_ajustada, IF(_xlpm.mes_num=0, 12, _xlpm.mes_num),
    _xlpm.realizado_mes_anterior, INDEX(T2189:AE2189, 1, _xlpm.coluna_ajustada),
    _xlpm.previsto_total, AD2189,
    _xlpm.realizado_mes_anterior / _xlpm.previsto_total
)</f>
        <v>0.86222222222222222</v>
      </c>
      <c r="BP2189" s="53">
        <f ca="1">IFERROR(_xlfn.XLOOKUP(F2189,Apuração!A:A,Apuração!D:D)/_xlfn.XLOOKUP(F2189,Apuração!A:A,Apuração!B:B),0)</f>
        <v>0.2</v>
      </c>
      <c r="BQ2189" s="53">
        <f ca="1">IF(BK2189&gt;=BO2189,0,_xlfn.XLOOKUP(F2189,Apuração!A:A,Apuração!B:B)*(BO2189 + (1/_xlfn.XLOOKUP(F2189,Apuração!A:A,Apuração!B:B)) - BK2189))</f>
        <v>1.8444444444444441</v>
      </c>
      <c r="BR2189" s="85">
        <f t="shared" ca="1" si="2607"/>
        <v>402.08888888888879</v>
      </c>
      <c r="BS2189" s="53">
        <f ca="1">IFERROR((_xlfn.XLOOKUP(F2189,Apuração!A:A,Apuração!C:C)+1)/_xlfn.XLOOKUP(F2189,Apuração!A:A,Apuração!B:B),0)</f>
        <v>0.4</v>
      </c>
    </row>
    <row r="2190" spans="1:71" ht="25.95" hidden="1" customHeight="1" x14ac:dyDescent="0.3">
      <c r="A2190" s="44" t="s">
        <v>175</v>
      </c>
      <c r="B2190" s="4" t="s">
        <v>176</v>
      </c>
      <c r="C2190" s="5" t="s">
        <v>216</v>
      </c>
      <c r="D2190" s="5" t="s">
        <v>36</v>
      </c>
      <c r="E2190" s="4" t="str" cm="1">
        <f t="array" ref="E2190">_xlfn.IFS(
F2190 = "A partir de Abril", "Aguardando Execução na Distribuidora",
A2190 = "CAPACITAÇÃO", "Em execução no Corporativo",
TRUE, "Em Execução na Distribuidora"
)</f>
        <v>Em execução no Corporativo</v>
      </c>
      <c r="F2190" s="4" t="str" cm="1">
        <f t="array" ref="F2190">_xlfn.IFS(
AG2190 &lt;&gt; "", "Jan-Dez/26",
AH2190 &lt;&gt; "", "Fev-Dez/26",
AI2190 &lt;&gt; "", "Mar-Dez/26", AJ2190 &lt;&gt; "", "Abr-Dez/26",
TRUE, "A partir de Junho"
)</f>
        <v>Mar-Dez/26</v>
      </c>
      <c r="G2190" s="4" t="s">
        <v>37</v>
      </c>
      <c r="H2190" s="7" t="s">
        <v>38</v>
      </c>
      <c r="I2190" s="21" t="s">
        <v>180</v>
      </c>
      <c r="J2190" s="8" t="str" cm="1">
        <f t="array" aca="1" ref="J2190" ca="1">_xlfn.LET(
  _xlpm.actual_value_month, INDEX(T2190:AE2190, MATCH(DATE(YEAR(TODAY()), MONTH(TODAY()), 1), $T$1:$AE$1, 0)),
  IF(_xlpm.actual_value_month &lt;&gt; "", _xlpm.actual_value_month &amp; " ações mensais", "")
)</f>
        <v/>
      </c>
      <c r="K2190" s="8" t="str" cm="1">
        <f t="array" ref="K2190">_xlfn.LET(
    _xlpm.sum_month, SUM(T2190:AE2190),
    IF(_xlpm.sum_month = 0, "", _xlpm.sum_month &amp; " colaboradores treinados.")
)</f>
        <v/>
      </c>
      <c r="L2190" s="9" t="s">
        <v>220</v>
      </c>
      <c r="M2190" s="13">
        <v>1</v>
      </c>
      <c r="N2190" s="5" t="s">
        <v>51</v>
      </c>
      <c r="O2190" s="5" t="s">
        <v>52</v>
      </c>
      <c r="P2190" s="10" t="s">
        <v>44</v>
      </c>
      <c r="Q2190" s="10"/>
      <c r="R2190" s="11" t="s">
        <v>44</v>
      </c>
      <c r="S2190" s="11" t="s">
        <v>44</v>
      </c>
      <c r="T2190" s="22"/>
      <c r="U2190" s="22"/>
      <c r="V2190" s="22"/>
      <c r="W2190" s="22"/>
      <c r="X2190" s="22"/>
      <c r="Y2190" s="22"/>
      <c r="Z2190" s="22"/>
      <c r="AA2190" s="22"/>
      <c r="AB2190" s="22"/>
      <c r="AC2190" s="22"/>
      <c r="AD2190" s="22"/>
      <c r="AE2190" s="22"/>
      <c r="AG2190" s="71"/>
      <c r="AH2190" s="71"/>
      <c r="AI2190" s="71">
        <v>1044</v>
      </c>
      <c r="AJ2190" s="71">
        <v>1044</v>
      </c>
      <c r="AK2190" s="71"/>
      <c r="AL2190" s="71"/>
      <c r="AM2190" s="71"/>
      <c r="AN2190" s="71"/>
      <c r="AO2190" s="71"/>
      <c r="AP2190" s="71"/>
      <c r="AQ2190" s="71"/>
      <c r="AR2190" s="71"/>
      <c r="AS2190" s="94" t="str" cm="1">
        <f t="array" ref="AS2190">IFERROR(INDEX(T2190:AE2190,1,MATCH(2,1/(T2190:AE2190&lt;&gt;""))),"")</f>
        <v/>
      </c>
      <c r="AT2190" s="95" cm="1">
        <f t="array" ref="AT2190">IFERROR(INDEX(AJ2190:AR2190,1,MATCH(2,1/(AJ2190:AR2190&lt;&gt;""))),"")</f>
        <v>1044</v>
      </c>
      <c r="AU2190" s="97">
        <f>AT2190</f>
        <v>1044</v>
      </c>
      <c r="AW2190" s="83">
        <f>AG2190</f>
        <v>0</v>
      </c>
      <c r="AX2190" s="52">
        <f>AH2190</f>
        <v>0</v>
      </c>
      <c r="AY2190" s="52">
        <f>AI2190</f>
        <v>1044</v>
      </c>
      <c r="AZ2190" s="52">
        <f>AJ2190</f>
        <v>1044</v>
      </c>
      <c r="BA2190" s="52"/>
      <c r="BB2190" s="52"/>
      <c r="BC2190" s="52"/>
      <c r="BD2190" s="52"/>
      <c r="BE2190" s="52"/>
      <c r="BF2190" s="52"/>
      <c r="BG2190" s="52"/>
      <c r="BH2190" s="52"/>
      <c r="BI2190" s="68" cm="1">
        <f t="array" ref="BI2190">IFERROR(INDEX(AW2190:BH2190,1,MATCH(2,1/(AW2190:BH2190&lt;&gt;""))),"")</f>
        <v>1044</v>
      </c>
      <c r="BJ2190" s="68" cm="1">
        <f t="array" ref="BJ2190">IF(BM2190 = "", "",IFERROR(INDEX(AW2190:BH2190,1,MATCH(2,1/(AW2190:BH2190&lt;&gt;""),1)-1),""))</f>
        <v>1044</v>
      </c>
      <c r="BK2190" s="59">
        <f>SUM(AW2190:BH2190)</f>
        <v>2088</v>
      </c>
      <c r="BL2190" s="59" cm="1">
        <f t="array" ref="BL2190">IFERROR(SUM(AW2190:INDEX(AW2190:BH2190, MATCH(2, 1/(AW2190:BH2190&lt;&gt;""), 1) - 1))/_xlfn.XLOOKUP(F2190,Apuração!A:A,Apuração!B:B),0)</f>
        <v>104.4</v>
      </c>
      <c r="BM2190" s="55" cm="1">
        <f t="array" ref="BM2190">IFERROR(
   INDEX($AW$1:$BH$1,
      _xlfn.AGGREGATE(14, 6, COLUMN($AW$1:$BH$1)/(AW2190:BH2190&lt;&gt;""), 2) - COLUMN($AW$1) + 1
   ),
"")</f>
        <v>46082</v>
      </c>
      <c r="BN2190" s="55" cm="1">
        <f t="array" ref="BN2190">IFERROR(INDEX($AW$1:$BH$1,1,MATCH(2,1/(AW2190:BH2190&lt;&gt;""))),"")</f>
        <v>46113</v>
      </c>
      <c r="BO2190" s="53">
        <f ca="1">IFERROR(_xlfn.XLOOKUP(F2190,Apuração!A:A,Apuração!C:C)/_xlfn.XLOOKUP(F2190,Apuração!A:A,Apuração!B:B),0)</f>
        <v>0.3</v>
      </c>
      <c r="BP2190" s="53">
        <f ca="1">IFERROR(_xlfn.XLOOKUP(F2190,Apuração!A:A,Apuração!D:D)/_xlfn.XLOOKUP(F2190,Apuração!A:A,Apuração!B:B),0)</f>
        <v>0.2</v>
      </c>
      <c r="BQ2190" s="53">
        <f ca="1">IF(BK2190&gt;=BO2190,0,_xlfn.XLOOKUP(F2190,Apuração!A:A,Apuração!B:B)*(BO2190 + (1/_xlfn.XLOOKUP(F2190,Apuração!A:A,Apuração!B:B)) - BK2190))</f>
        <v>0</v>
      </c>
      <c r="BR2190" s="85">
        <f ca="1">IF(BQ2190=0,0,BQ2190*Z2190)</f>
        <v>0</v>
      </c>
      <c r="BS2190" s="53">
        <f ca="1">IFERROR((_xlfn.XLOOKUP(F2190,Apuração!A:A,Apuração!C:C)+1)/_xlfn.XLOOKUP(F2190,Apuração!A:A,Apuração!B:B),0)</f>
        <v>0.4</v>
      </c>
    </row>
    <row r="2191" spans="1:71" ht="25.95" hidden="1" customHeight="1" x14ac:dyDescent="0.3">
      <c r="A2191" s="44" t="s">
        <v>175</v>
      </c>
      <c r="B2191" s="4" t="s">
        <v>176</v>
      </c>
      <c r="C2191" s="5" t="s">
        <v>216</v>
      </c>
      <c r="D2191" s="5" t="s">
        <v>217</v>
      </c>
      <c r="E2191" s="4" t="str" cm="1">
        <f t="array" ref="E2191">_xlfn.IFS(
F2191 = "A partir de Abril", "Aguardando Execução na Distribuidora",
A2191 = "CAPACITAÇÃO", "Em execução no Corporativo",
TRUE, "Em Execução na Distribuidora"
)</f>
        <v>Em execução no Corporativo</v>
      </c>
      <c r="F2191" s="4" t="str" cm="1">
        <f t="array" ref="F2191">_xlfn.IFS(
AG2191 &lt;&gt; "", "Jan-Dez/26",
AH2191 &lt;&gt; "", "Fev-Dez/26",
AI2191 &lt;&gt; "", "Mar-Dez/26", AJ2191 &lt;&gt; "", "Abr-Dez/26",
TRUE, "A partir de Junho"
)</f>
        <v>Mar-Dez/26</v>
      </c>
      <c r="G2191" s="4" t="s">
        <v>37</v>
      </c>
      <c r="H2191" s="7" t="s">
        <v>38</v>
      </c>
      <c r="I2191" s="21" t="s">
        <v>180</v>
      </c>
      <c r="J2191" s="8" t="str" cm="1">
        <f t="array" aca="1" ref="J2191" ca="1">_xlfn.LET(
  _xlpm.actual_value_month, INDEX(T2191:AE2191, MATCH(DATE(YEAR(TODAY()), MONTH(TODAY()), 1), $T$1:$AE$1, 0)),
  IF(_xlpm.actual_value_month &lt;&gt; "", _xlpm.actual_value_month &amp; " ações mensais", "")
)</f>
        <v/>
      </c>
      <c r="K2191" s="8" t="str" cm="1">
        <f t="array" ref="K2191">_xlfn.LET(
    _xlpm.sum_month, SUM(T2191:AE2191),
    IF(_xlpm.sum_month = 0, "", _xlpm.sum_month &amp; " colaboradores treinados.")
)</f>
        <v/>
      </c>
      <c r="L2191" s="9" t="s">
        <v>220</v>
      </c>
      <c r="M2191" s="13">
        <v>1</v>
      </c>
      <c r="N2191" s="5" t="s">
        <v>51</v>
      </c>
      <c r="O2191" s="5" t="s">
        <v>52</v>
      </c>
      <c r="P2191" s="10" t="s">
        <v>44</v>
      </c>
      <c r="Q2191" s="10"/>
      <c r="R2191" s="11" t="s">
        <v>44</v>
      </c>
      <c r="S2191" s="11" t="s">
        <v>44</v>
      </c>
      <c r="T2191" s="22"/>
      <c r="U2191" s="22"/>
      <c r="V2191" s="22"/>
      <c r="W2191" s="22"/>
      <c r="X2191" s="22"/>
      <c r="Y2191" s="22"/>
      <c r="Z2191" s="22"/>
      <c r="AA2191" s="22"/>
      <c r="AB2191" s="22"/>
      <c r="AC2191" s="22"/>
      <c r="AD2191" s="22"/>
      <c r="AE2191" s="22"/>
      <c r="AG2191" s="71"/>
      <c r="AH2191" s="71"/>
      <c r="AI2191" s="82">
        <v>222</v>
      </c>
      <c r="AJ2191" s="82">
        <v>222</v>
      </c>
      <c r="AK2191" s="71"/>
      <c r="AL2191" s="71"/>
      <c r="AM2191" s="71"/>
      <c r="AN2191" s="71"/>
      <c r="AO2191" s="71"/>
      <c r="AP2191" s="71"/>
      <c r="AQ2191" s="71"/>
      <c r="AR2191" s="71"/>
      <c r="AS2191" s="94" t="str" cm="1">
        <f t="array" ref="AS2191">IFERROR(INDEX(T2191:AE2191,1,MATCH(2,1/(T2191:AE2191&lt;&gt;""))),"")</f>
        <v/>
      </c>
      <c r="AT2191" s="95" cm="1">
        <f t="array" ref="AT2191">IFERROR(INDEX(AJ2191:AR2191,1,MATCH(2,1/(AJ2191:AR2191&lt;&gt;""))),"")</f>
        <v>222</v>
      </c>
      <c r="AU2191" s="97">
        <f t="shared" ref="AU2191:AU2194" si="2608">AT2191</f>
        <v>222</v>
      </c>
      <c r="AW2191" s="83">
        <f t="shared" ref="AW2191:AW2194" si="2609">AG2191</f>
        <v>0</v>
      </c>
      <c r="AX2191" s="52">
        <f t="shared" ref="AX2191:AX2194" si="2610">AH2191</f>
        <v>0</v>
      </c>
      <c r="AY2191" s="52">
        <f t="shared" ref="AY2191:AY2194" si="2611">AI2191</f>
        <v>222</v>
      </c>
      <c r="AZ2191" s="52">
        <f t="shared" ref="AZ2191:AZ2194" si="2612">AJ2191</f>
        <v>222</v>
      </c>
      <c r="BA2191" s="52"/>
      <c r="BB2191" s="52"/>
      <c r="BC2191" s="52"/>
      <c r="BD2191" s="52"/>
      <c r="BE2191" s="52"/>
      <c r="BF2191" s="52"/>
      <c r="BG2191" s="52"/>
      <c r="BH2191" s="52"/>
      <c r="BI2191" s="68" cm="1">
        <f t="array" ref="BI2191">IFERROR(INDEX(AW2191:BH2191,1,MATCH(2,1/(AW2191:BH2191&lt;&gt;""))),"")</f>
        <v>222</v>
      </c>
      <c r="BJ2191" s="68" cm="1">
        <f t="array" ref="BJ2191">IF(BM2191 = "", "",IFERROR(INDEX(AW2191:BH2191,1,MATCH(2,1/(AW2191:BH2191&lt;&gt;""),1)-1),""))</f>
        <v>222</v>
      </c>
      <c r="BK2191" s="59">
        <f t="shared" ref="BK2191:BK2194" si="2613">SUM(AW2191:BH2191)</f>
        <v>444</v>
      </c>
      <c r="BL2191" s="59" cm="1">
        <f t="array" ref="BL2191">IFERROR(SUM(AW2191:INDEX(AW2191:BH2191, MATCH(2, 1/(AW2191:BH2191&lt;&gt;""), 1) - 1))/_xlfn.XLOOKUP(F2191,Apuração!A:A,Apuração!B:B),0)</f>
        <v>22.2</v>
      </c>
      <c r="BM2191" s="55" cm="1">
        <f t="array" ref="BM2191">IFERROR(
   INDEX($AW$1:$BH$1,
      _xlfn.AGGREGATE(14, 6, COLUMN($AW$1:$BH$1)/(AW2191:BH2191&lt;&gt;""), 2) - COLUMN($AW$1) + 1
   ),
"")</f>
        <v>46082</v>
      </c>
      <c r="BN2191" s="55" cm="1">
        <f t="array" ref="BN2191">IFERROR(INDEX($AW$1:$BH$1,1,MATCH(2,1/(AW2191:BH2191&lt;&gt;""))),"")</f>
        <v>46113</v>
      </c>
      <c r="BO2191" s="53">
        <f ca="1">IFERROR(_xlfn.XLOOKUP(F2191,Apuração!A:A,Apuração!C:C)/_xlfn.XLOOKUP(F2191,Apuração!A:A,Apuração!B:B),0)</f>
        <v>0.3</v>
      </c>
      <c r="BP2191" s="53">
        <f ca="1">IFERROR(_xlfn.XLOOKUP(F2191,Apuração!A:A,Apuração!D:D)/_xlfn.XLOOKUP(F2191,Apuração!A:A,Apuração!B:B),0)</f>
        <v>0.2</v>
      </c>
      <c r="BQ2191" s="53">
        <f ca="1">IF(BK2191&gt;=BO2191,0,_xlfn.XLOOKUP(F2191,Apuração!A:A,Apuração!B:B)*(BO2191 + (1/_xlfn.XLOOKUP(F2191,Apuração!A:A,Apuração!B:B)) - BK2191))</f>
        <v>0</v>
      </c>
      <c r="BR2191" s="85">
        <f t="shared" ref="BR2191:BR2194" ca="1" si="2614">IF(BQ2191=0,0,BQ2191*Z2191)</f>
        <v>0</v>
      </c>
      <c r="BS2191" s="53">
        <f ca="1">IFERROR((_xlfn.XLOOKUP(F2191,Apuração!A:A,Apuração!C:C)+1)/_xlfn.XLOOKUP(F2191,Apuração!A:A,Apuração!B:B),0)</f>
        <v>0.4</v>
      </c>
    </row>
    <row r="2192" spans="1:71" ht="25.95" hidden="1" customHeight="1" x14ac:dyDescent="0.3">
      <c r="A2192" s="44" t="s">
        <v>175</v>
      </c>
      <c r="B2192" s="4" t="s">
        <v>176</v>
      </c>
      <c r="C2192" s="5" t="s">
        <v>216</v>
      </c>
      <c r="D2192" s="5" t="s">
        <v>103</v>
      </c>
      <c r="E2192" s="4" t="str" cm="1">
        <f t="array" ref="E2192">_xlfn.IFS(
F2192 = "A partir de Abril", "Aguardando Execução na Distribuidora",
A2192 = "CAPACITAÇÃO", "Em execução no Corporativo",
TRUE, "Em Execução na Distribuidora"
)</f>
        <v>Em execução no Corporativo</v>
      </c>
      <c r="F2192" s="4" t="str" cm="1">
        <f t="array" ref="F2192">_xlfn.IFS(
AG2192 &lt;&gt; "", "Jan-Dez/26",
AH2192 &lt;&gt; "", "Fev-Dez/26",
AI2192 &lt;&gt; "", "Mar-Dez/26", AJ2192 &lt;&gt; "", "Abr-Dez/26",
TRUE, "A partir de Junho"
)</f>
        <v>Mar-Dez/26</v>
      </c>
      <c r="G2192" s="4" t="s">
        <v>37</v>
      </c>
      <c r="H2192" s="7" t="s">
        <v>38</v>
      </c>
      <c r="I2192" s="21" t="s">
        <v>180</v>
      </c>
      <c r="J2192" s="8" t="str" cm="1">
        <f t="array" aca="1" ref="J2192" ca="1">_xlfn.LET(
  _xlpm.actual_value_month, INDEX(T2192:AE2192, MATCH(DATE(YEAR(TODAY()), MONTH(TODAY()), 1), $T$1:$AE$1, 0)),
  IF(_xlpm.actual_value_month &lt;&gt; "", _xlpm.actual_value_month &amp; " ações mensais", "")
)</f>
        <v/>
      </c>
      <c r="K2192" s="8" t="str" cm="1">
        <f t="array" ref="K2192">_xlfn.LET(
    _xlpm.sum_month, SUM(T2192:AE2192),
    IF(_xlpm.sum_month = 0, "", _xlpm.sum_month &amp; " colaboradores treinados.")
)</f>
        <v/>
      </c>
      <c r="L2192" s="9" t="s">
        <v>220</v>
      </c>
      <c r="M2192" s="13">
        <v>1</v>
      </c>
      <c r="N2192" s="5" t="s">
        <v>51</v>
      </c>
      <c r="O2192" s="5" t="s">
        <v>52</v>
      </c>
      <c r="P2192" s="10" t="s">
        <v>44</v>
      </c>
      <c r="Q2192" s="10"/>
      <c r="R2192" s="11" t="s">
        <v>44</v>
      </c>
      <c r="S2192" s="11" t="s">
        <v>44</v>
      </c>
      <c r="T2192" s="22"/>
      <c r="U2192" s="22"/>
      <c r="V2192" s="22"/>
      <c r="W2192" s="22"/>
      <c r="X2192" s="22"/>
      <c r="Y2192" s="22"/>
      <c r="Z2192" s="22"/>
      <c r="AA2192" s="22"/>
      <c r="AB2192" s="22"/>
      <c r="AC2192" s="22"/>
      <c r="AD2192" s="22"/>
      <c r="AE2192" s="22"/>
      <c r="AG2192" s="71"/>
      <c r="AH2192" s="71"/>
      <c r="AI2192" s="82">
        <v>438</v>
      </c>
      <c r="AJ2192" s="82">
        <v>438</v>
      </c>
      <c r="AK2192" s="71"/>
      <c r="AL2192" s="71"/>
      <c r="AM2192" s="71"/>
      <c r="AN2192" s="71"/>
      <c r="AO2192" s="71"/>
      <c r="AP2192" s="71"/>
      <c r="AQ2192" s="71"/>
      <c r="AR2192" s="71"/>
      <c r="AS2192" s="94" t="str" cm="1">
        <f t="array" ref="AS2192">IFERROR(INDEX(T2192:AE2192,1,MATCH(2,1/(T2192:AE2192&lt;&gt;""))),"")</f>
        <v/>
      </c>
      <c r="AT2192" s="95" cm="1">
        <f t="array" ref="AT2192">IFERROR(INDEX(AJ2192:AR2192,1,MATCH(2,1/(AJ2192:AR2192&lt;&gt;""))),"")</f>
        <v>438</v>
      </c>
      <c r="AU2192" s="97">
        <f t="shared" si="2608"/>
        <v>438</v>
      </c>
      <c r="AW2192" s="83">
        <f t="shared" si="2609"/>
        <v>0</v>
      </c>
      <c r="AX2192" s="52">
        <f t="shared" si="2610"/>
        <v>0</v>
      </c>
      <c r="AY2192" s="52">
        <f t="shared" si="2611"/>
        <v>438</v>
      </c>
      <c r="AZ2192" s="52">
        <f t="shared" si="2612"/>
        <v>438</v>
      </c>
      <c r="BA2192" s="52"/>
      <c r="BB2192" s="52"/>
      <c r="BC2192" s="52"/>
      <c r="BD2192" s="52"/>
      <c r="BE2192" s="52"/>
      <c r="BF2192" s="52"/>
      <c r="BG2192" s="52"/>
      <c r="BH2192" s="52"/>
      <c r="BI2192" s="68" cm="1">
        <f t="array" ref="BI2192">IFERROR(INDEX(AW2192:BH2192,1,MATCH(2,1/(AW2192:BH2192&lt;&gt;""))),"")</f>
        <v>438</v>
      </c>
      <c r="BJ2192" s="68" cm="1">
        <f t="array" ref="BJ2192">IF(BM2192 = "", "",IFERROR(INDEX(AW2192:BH2192,1,MATCH(2,1/(AW2192:BH2192&lt;&gt;""),1)-1),""))</f>
        <v>438</v>
      </c>
      <c r="BK2192" s="59">
        <f t="shared" si="2613"/>
        <v>876</v>
      </c>
      <c r="BL2192" s="59" cm="1">
        <f t="array" ref="BL2192">IFERROR(SUM(AW2192:INDEX(AW2192:BH2192, MATCH(2, 1/(AW2192:BH2192&lt;&gt;""), 1) - 1))/_xlfn.XLOOKUP(F2192,Apuração!A:A,Apuração!B:B),0)</f>
        <v>43.8</v>
      </c>
      <c r="BM2192" s="55" cm="1">
        <f t="array" ref="BM2192">IFERROR(
   INDEX($AW$1:$BH$1,
      _xlfn.AGGREGATE(14, 6, COLUMN($AW$1:$BH$1)/(AW2192:BH2192&lt;&gt;""), 2) - COLUMN($AW$1) + 1
   ),
"")</f>
        <v>46082</v>
      </c>
      <c r="BN2192" s="55" cm="1">
        <f t="array" ref="BN2192">IFERROR(INDEX($AW$1:$BH$1,1,MATCH(2,1/(AW2192:BH2192&lt;&gt;""))),"")</f>
        <v>46113</v>
      </c>
      <c r="BO2192" s="53">
        <f ca="1">IFERROR(_xlfn.XLOOKUP(F2192,Apuração!A:A,Apuração!C:C)/_xlfn.XLOOKUP(F2192,Apuração!A:A,Apuração!B:B),0)</f>
        <v>0.3</v>
      </c>
      <c r="BP2192" s="53">
        <f ca="1">IFERROR(_xlfn.XLOOKUP(F2192,Apuração!A:A,Apuração!D:D)/_xlfn.XLOOKUP(F2192,Apuração!A:A,Apuração!B:B),0)</f>
        <v>0.2</v>
      </c>
      <c r="BQ2192" s="53">
        <f ca="1">IF(BK2192&gt;=BO2192,0,_xlfn.XLOOKUP(F2192,Apuração!A:A,Apuração!B:B)*(BO2192 + (1/_xlfn.XLOOKUP(F2192,Apuração!A:A,Apuração!B:B)) - BK2192))</f>
        <v>0</v>
      </c>
      <c r="BR2192" s="85">
        <f t="shared" ca="1" si="2614"/>
        <v>0</v>
      </c>
      <c r="BS2192" s="53">
        <f ca="1">IFERROR((_xlfn.XLOOKUP(F2192,Apuração!A:A,Apuração!C:C)+1)/_xlfn.XLOOKUP(F2192,Apuração!A:A,Apuração!B:B),0)</f>
        <v>0.4</v>
      </c>
    </row>
    <row r="2193" spans="1:71" ht="25.95" hidden="1" customHeight="1" x14ac:dyDescent="0.3">
      <c r="A2193" s="44" t="s">
        <v>175</v>
      </c>
      <c r="B2193" s="4" t="s">
        <v>176</v>
      </c>
      <c r="C2193" s="5" t="s">
        <v>216</v>
      </c>
      <c r="D2193" s="5" t="s">
        <v>218</v>
      </c>
      <c r="E2193" s="4" t="str" cm="1">
        <f t="array" ref="E2193">_xlfn.IFS(
F2193 = "A partir de Abril", "Aguardando Execução na Distribuidora",
A2193 = "CAPACITAÇÃO", "Em execução no Corporativo",
TRUE, "Em Execução na Distribuidora"
)</f>
        <v>Em execução no Corporativo</v>
      </c>
      <c r="F2193" s="4" t="str" cm="1">
        <f t="array" ref="F2193">_xlfn.IFS(
AG2193 &lt;&gt; "", "Jan-Dez/26",
AH2193 &lt;&gt; "", "Fev-Dez/26",
AI2193 &lt;&gt; "", "Mar-Dez/26", AJ2193 &lt;&gt; "", "Abr-Dez/26",
TRUE, "A partir de Junho"
)</f>
        <v>Mar-Dez/26</v>
      </c>
      <c r="G2193" s="4" t="s">
        <v>37</v>
      </c>
      <c r="H2193" s="7" t="s">
        <v>38</v>
      </c>
      <c r="I2193" s="21" t="s">
        <v>180</v>
      </c>
      <c r="J2193" s="8" t="str" cm="1">
        <f t="array" aca="1" ref="J2193" ca="1">_xlfn.LET(
  _xlpm.actual_value_month, INDEX(T2193:AE2193, MATCH(DATE(YEAR(TODAY()), MONTH(TODAY()), 1), $T$1:$AE$1, 0)),
  IF(_xlpm.actual_value_month &lt;&gt; "", _xlpm.actual_value_month &amp; " ações mensais", "")
)</f>
        <v/>
      </c>
      <c r="K2193" s="8" t="str" cm="1">
        <f t="array" ref="K2193">_xlfn.LET(
    _xlpm.sum_month, SUM(T2193:AE2193),
    IF(_xlpm.sum_month = 0, "", _xlpm.sum_month &amp; " colaboradores treinados.")
)</f>
        <v/>
      </c>
      <c r="L2193" s="9" t="s">
        <v>220</v>
      </c>
      <c r="M2193" s="13">
        <v>1</v>
      </c>
      <c r="N2193" s="5" t="s">
        <v>51</v>
      </c>
      <c r="O2193" s="5" t="s">
        <v>52</v>
      </c>
      <c r="P2193" s="10" t="s">
        <v>44</v>
      </c>
      <c r="Q2193" s="10"/>
      <c r="R2193" s="11" t="s">
        <v>44</v>
      </c>
      <c r="S2193" s="11" t="s">
        <v>44</v>
      </c>
      <c r="T2193" s="22"/>
      <c r="U2193" s="22"/>
      <c r="V2193" s="22"/>
      <c r="W2193" s="22"/>
      <c r="X2193" s="22"/>
      <c r="Y2193" s="22"/>
      <c r="Z2193" s="22"/>
      <c r="AA2193" s="22"/>
      <c r="AB2193" s="22"/>
      <c r="AC2193" s="22"/>
      <c r="AD2193" s="22"/>
      <c r="AE2193" s="22"/>
      <c r="AG2193" s="71"/>
      <c r="AH2193" s="71"/>
      <c r="AI2193" s="82">
        <v>209</v>
      </c>
      <c r="AJ2193" s="82">
        <v>209</v>
      </c>
      <c r="AK2193" s="71"/>
      <c r="AL2193" s="71"/>
      <c r="AM2193" s="71"/>
      <c r="AN2193" s="71"/>
      <c r="AO2193" s="71"/>
      <c r="AP2193" s="71"/>
      <c r="AQ2193" s="71"/>
      <c r="AR2193" s="71"/>
      <c r="AS2193" s="94" t="str" cm="1">
        <f t="array" ref="AS2193">IFERROR(INDEX(T2193:AE2193,1,MATCH(2,1/(T2193:AE2193&lt;&gt;""))),"")</f>
        <v/>
      </c>
      <c r="AT2193" s="95" cm="1">
        <f t="array" ref="AT2193">IFERROR(INDEX(AJ2193:AR2193,1,MATCH(2,1/(AJ2193:AR2193&lt;&gt;""))),"")</f>
        <v>209</v>
      </c>
      <c r="AU2193" s="97">
        <f t="shared" si="2608"/>
        <v>209</v>
      </c>
      <c r="AW2193" s="83">
        <f t="shared" si="2609"/>
        <v>0</v>
      </c>
      <c r="AX2193" s="52">
        <f t="shared" si="2610"/>
        <v>0</v>
      </c>
      <c r="AY2193" s="52">
        <f t="shared" si="2611"/>
        <v>209</v>
      </c>
      <c r="AZ2193" s="52">
        <f t="shared" si="2612"/>
        <v>209</v>
      </c>
      <c r="BA2193" s="52"/>
      <c r="BB2193" s="52"/>
      <c r="BC2193" s="52"/>
      <c r="BD2193" s="52"/>
      <c r="BE2193" s="52"/>
      <c r="BF2193" s="52"/>
      <c r="BG2193" s="52"/>
      <c r="BH2193" s="52"/>
      <c r="BI2193" s="68" cm="1">
        <f t="array" ref="BI2193">IFERROR(INDEX(AW2193:BH2193,1,MATCH(2,1/(AW2193:BH2193&lt;&gt;""))),"")</f>
        <v>209</v>
      </c>
      <c r="BJ2193" s="68" cm="1">
        <f t="array" ref="BJ2193">IF(BM2193 = "", "",IFERROR(INDEX(AW2193:BH2193,1,MATCH(2,1/(AW2193:BH2193&lt;&gt;""),1)-1),""))</f>
        <v>209</v>
      </c>
      <c r="BK2193" s="59">
        <f t="shared" si="2613"/>
        <v>418</v>
      </c>
      <c r="BL2193" s="59" cm="1">
        <f t="array" ref="BL2193">IFERROR(SUM(AW2193:INDEX(AW2193:BH2193, MATCH(2, 1/(AW2193:BH2193&lt;&gt;""), 1) - 1))/_xlfn.XLOOKUP(F2193,Apuração!A:A,Apuração!B:B),0)</f>
        <v>20.9</v>
      </c>
      <c r="BM2193" s="55" cm="1">
        <f t="array" ref="BM2193">IFERROR(
   INDEX($AW$1:$BH$1,
      _xlfn.AGGREGATE(14, 6, COLUMN($AW$1:$BH$1)/(AW2193:BH2193&lt;&gt;""), 2) - COLUMN($AW$1) + 1
   ),
"")</f>
        <v>46082</v>
      </c>
      <c r="BN2193" s="55" cm="1">
        <f t="array" ref="BN2193">IFERROR(INDEX($AW$1:$BH$1,1,MATCH(2,1/(AW2193:BH2193&lt;&gt;""))),"")</f>
        <v>46113</v>
      </c>
      <c r="BO2193" s="53">
        <f ca="1">IFERROR(_xlfn.XLOOKUP(F2193,Apuração!A:A,Apuração!C:C)/_xlfn.XLOOKUP(F2193,Apuração!A:A,Apuração!B:B),0)</f>
        <v>0.3</v>
      </c>
      <c r="BP2193" s="53">
        <f ca="1">IFERROR(_xlfn.XLOOKUP(F2193,Apuração!A:A,Apuração!D:D)/_xlfn.XLOOKUP(F2193,Apuração!A:A,Apuração!B:B),0)</f>
        <v>0.2</v>
      </c>
      <c r="BQ2193" s="53">
        <f ca="1">IF(BK2193&gt;=BO2193,0,_xlfn.XLOOKUP(F2193,Apuração!A:A,Apuração!B:B)*(BO2193 + (1/_xlfn.XLOOKUP(F2193,Apuração!A:A,Apuração!B:B)) - BK2193))</f>
        <v>0</v>
      </c>
      <c r="BR2193" s="85">
        <f t="shared" ca="1" si="2614"/>
        <v>0</v>
      </c>
      <c r="BS2193" s="53">
        <f ca="1">IFERROR((_xlfn.XLOOKUP(F2193,Apuração!A:A,Apuração!C:C)+1)/_xlfn.XLOOKUP(F2193,Apuração!A:A,Apuração!B:B),0)</f>
        <v>0.4</v>
      </c>
    </row>
    <row r="2194" spans="1:71" ht="25.95" hidden="1" customHeight="1" x14ac:dyDescent="0.3">
      <c r="A2194" s="44" t="s">
        <v>175</v>
      </c>
      <c r="B2194" s="4" t="s">
        <v>176</v>
      </c>
      <c r="C2194" s="5" t="s">
        <v>216</v>
      </c>
      <c r="D2194" s="5" t="s">
        <v>219</v>
      </c>
      <c r="E2194" s="4" t="str" cm="1">
        <f t="array" ref="E2194">_xlfn.IFS(
F2194 = "A partir de Abril", "Aguardando Execução na Distribuidora",
A2194 = "CAPACITAÇÃO", "Em execução no Corporativo",
TRUE, "Em Execução na Distribuidora"
)</f>
        <v>Em execução no Corporativo</v>
      </c>
      <c r="F2194" s="4" t="str" cm="1">
        <f t="array" ref="F2194">_xlfn.IFS(
AG2194 &lt;&gt; "", "Jan-Dez/26",
AH2194 &lt;&gt; "", "Fev-Dez/26",
AI2194 &lt;&gt; "", "Mar-Dez/26", AJ2194 &lt;&gt; "", "Abr-Dez/26",
TRUE, "A partir de Junho"
)</f>
        <v>Mar-Dez/26</v>
      </c>
      <c r="G2194" s="4" t="s">
        <v>37</v>
      </c>
      <c r="H2194" s="7" t="s">
        <v>38</v>
      </c>
      <c r="I2194" s="21" t="s">
        <v>180</v>
      </c>
      <c r="J2194" s="8" t="str" cm="1">
        <f t="array" aca="1" ref="J2194" ca="1">_xlfn.LET(
  _xlpm.actual_value_month, INDEX(T2194:AE2194, MATCH(DATE(YEAR(TODAY()), MONTH(TODAY()), 1), $T$1:$AE$1, 0)),
  IF(_xlpm.actual_value_month &lt;&gt; "", _xlpm.actual_value_month &amp; " ações mensais", "")
)</f>
        <v/>
      </c>
      <c r="K2194" s="8" t="str" cm="1">
        <f t="array" ref="K2194">_xlfn.LET(
    _xlpm.sum_month, SUM(T2194:AE2194),
    IF(_xlpm.sum_month = 0, "", _xlpm.sum_month &amp; " colaboradores treinados.")
)</f>
        <v/>
      </c>
      <c r="L2194" s="9" t="s">
        <v>220</v>
      </c>
      <c r="M2194" s="13">
        <v>1</v>
      </c>
      <c r="N2194" s="5" t="s">
        <v>51</v>
      </c>
      <c r="O2194" s="5" t="s">
        <v>52</v>
      </c>
      <c r="P2194" s="10" t="s">
        <v>44</v>
      </c>
      <c r="Q2194" s="10"/>
      <c r="R2194" s="11" t="s">
        <v>44</v>
      </c>
      <c r="S2194" s="11" t="s">
        <v>44</v>
      </c>
      <c r="T2194" s="22"/>
      <c r="U2194" s="22"/>
      <c r="V2194" s="22"/>
      <c r="W2194" s="22"/>
      <c r="X2194" s="22"/>
      <c r="Y2194" s="22"/>
      <c r="Z2194" s="22"/>
      <c r="AA2194" s="22"/>
      <c r="AB2194" s="22"/>
      <c r="AC2194" s="22"/>
      <c r="AD2194" s="22"/>
      <c r="AE2194" s="22"/>
      <c r="AG2194" s="71"/>
      <c r="AH2194" s="71"/>
      <c r="AI2194" s="82">
        <v>175</v>
      </c>
      <c r="AJ2194" s="82">
        <v>175</v>
      </c>
      <c r="AK2194" s="71"/>
      <c r="AL2194" s="71"/>
      <c r="AM2194" s="71"/>
      <c r="AN2194" s="71"/>
      <c r="AO2194" s="71"/>
      <c r="AP2194" s="71"/>
      <c r="AQ2194" s="71"/>
      <c r="AR2194" s="71"/>
      <c r="AS2194" s="94" t="str" cm="1">
        <f t="array" ref="AS2194">IFERROR(INDEX(T2194:AE2194,1,MATCH(2,1/(T2194:AE2194&lt;&gt;""))),"")</f>
        <v/>
      </c>
      <c r="AT2194" s="95" cm="1">
        <f t="array" ref="AT2194">IFERROR(INDEX(AJ2194:AR2194,1,MATCH(2,1/(AJ2194:AR2194&lt;&gt;""))),"")</f>
        <v>175</v>
      </c>
      <c r="AU2194" s="97">
        <f t="shared" si="2608"/>
        <v>175</v>
      </c>
      <c r="AW2194" s="83">
        <f t="shared" si="2609"/>
        <v>0</v>
      </c>
      <c r="AX2194" s="52">
        <f t="shared" si="2610"/>
        <v>0</v>
      </c>
      <c r="AY2194" s="52">
        <f t="shared" si="2611"/>
        <v>175</v>
      </c>
      <c r="AZ2194" s="52">
        <f t="shared" si="2612"/>
        <v>175</v>
      </c>
      <c r="BA2194" s="52"/>
      <c r="BB2194" s="52"/>
      <c r="BC2194" s="52"/>
      <c r="BD2194" s="52"/>
      <c r="BE2194" s="52"/>
      <c r="BF2194" s="52"/>
      <c r="BG2194" s="52"/>
      <c r="BH2194" s="52"/>
      <c r="BI2194" s="68" cm="1">
        <f t="array" ref="BI2194">IFERROR(INDEX(AW2194:BH2194,1,MATCH(2,1/(AW2194:BH2194&lt;&gt;""))),"")</f>
        <v>175</v>
      </c>
      <c r="BJ2194" s="68" cm="1">
        <f t="array" ref="BJ2194">IF(BM2194 = "", "",IFERROR(INDEX(AW2194:BH2194,1,MATCH(2,1/(AW2194:BH2194&lt;&gt;""),1)-1),""))</f>
        <v>175</v>
      </c>
      <c r="BK2194" s="59">
        <f t="shared" si="2613"/>
        <v>350</v>
      </c>
      <c r="BL2194" s="59" cm="1">
        <f t="array" ref="BL2194">IFERROR(SUM(AW2194:INDEX(AW2194:BH2194, MATCH(2, 1/(AW2194:BH2194&lt;&gt;""), 1) - 1))/_xlfn.XLOOKUP(F2194,Apuração!A:A,Apuração!B:B),0)</f>
        <v>17.5</v>
      </c>
      <c r="BM2194" s="55" cm="1">
        <f t="array" ref="BM2194">IFERROR(
   INDEX($AW$1:$BH$1,
      _xlfn.AGGREGATE(14, 6, COLUMN($AW$1:$BH$1)/(AW2194:BH2194&lt;&gt;""), 2) - COLUMN($AW$1) + 1
   ),
"")</f>
        <v>46082</v>
      </c>
      <c r="BN2194" s="55" cm="1">
        <f t="array" ref="BN2194">IFERROR(INDEX($AW$1:$BH$1,1,MATCH(2,1/(AW2194:BH2194&lt;&gt;""))),"")</f>
        <v>46113</v>
      </c>
      <c r="BO2194" s="53">
        <f ca="1">IFERROR(_xlfn.XLOOKUP(F2194,Apuração!A:A,Apuração!C:C)/_xlfn.XLOOKUP(F2194,Apuração!A:A,Apuração!B:B),0)</f>
        <v>0.3</v>
      </c>
      <c r="BP2194" s="53">
        <f ca="1">IFERROR(_xlfn.XLOOKUP(F2194,Apuração!A:A,Apuração!D:D)/_xlfn.XLOOKUP(F2194,Apuração!A:A,Apuração!B:B),0)</f>
        <v>0.2</v>
      </c>
      <c r="BQ2194" s="53">
        <f ca="1">IF(BK2194&gt;=BO2194,0,_xlfn.XLOOKUP(F2194,Apuração!A:A,Apuração!B:B)*(BO2194 + (1/_xlfn.XLOOKUP(F2194,Apuração!A:A,Apuração!B:B)) - BK2194))</f>
        <v>0</v>
      </c>
      <c r="BR2194" s="85">
        <f t="shared" ca="1" si="2614"/>
        <v>0</v>
      </c>
      <c r="BS2194" s="53">
        <f ca="1">IFERROR((_xlfn.XLOOKUP(F2194,Apuração!A:A,Apuração!C:C)+1)/_xlfn.XLOOKUP(F2194,Apuração!A:A,Apuração!B:B),0)</f>
        <v>0.4</v>
      </c>
    </row>
    <row r="2195" spans="1:71" ht="25.95" hidden="1" customHeight="1" x14ac:dyDescent="0.3">
      <c r="A2195" s="44" t="s">
        <v>175</v>
      </c>
      <c r="B2195" s="4" t="s">
        <v>176</v>
      </c>
      <c r="C2195" s="5" t="s">
        <v>216</v>
      </c>
      <c r="D2195" s="5" t="s">
        <v>36</v>
      </c>
      <c r="E2195" s="4" t="str" cm="1">
        <f t="array" ref="E2195">_xlfn.IFS(
F2195 = "A partir de Abril", "Aguardando Execução na Distribuidora",
A2195 = "CAPACITAÇÃO", "Em execução no Corporativo",
TRUE, "Em Execução na Distribuidora"
)</f>
        <v>Em execução no Corporativo</v>
      </c>
      <c r="F2195" s="4" t="str" cm="1">
        <f t="array" ref="F2195">_xlfn.IFS(
AG2195 &lt;&gt; "", "Jan-Dez/26",
AH2195 &lt;&gt; "", "Fev-Dez/26",
AI2195 &lt;&gt; "", "Mar-Dez/26", AJ2195 &lt;&gt; "", "Abr-Dez/26",
TRUE, "A partir de Junho"
)</f>
        <v>Mar-Dez/26</v>
      </c>
      <c r="G2195" s="4" t="s">
        <v>37</v>
      </c>
      <c r="H2195" s="7" t="s">
        <v>38</v>
      </c>
      <c r="I2195" s="21" t="s">
        <v>182</v>
      </c>
      <c r="J2195" s="8" t="str" cm="1">
        <f t="array" aca="1" ref="J2195" ca="1">_xlfn.LET(
  _xlpm.actual_value_month, INDEX(T2195:AE2195, MATCH(DATE(YEAR(TODAY()), MONTH(TODAY()), 1), $T$1:$AE$1, 0)),
  IF(_xlpm.actual_value_month &lt;&gt; "", _xlpm.actual_value_month &amp; " ações mensais", "")
)</f>
        <v/>
      </c>
      <c r="K2195" s="8" t="str" cm="1">
        <f t="array" ref="K2195">_xlfn.LET(
    _xlpm.sum_month, SUM(T2195:AE2195),
    IF(_xlpm.sum_month = 0, "", _xlpm.sum_month &amp; " taxa de aprovados")
)</f>
        <v>2088 taxa de aprovados</v>
      </c>
      <c r="L2195" s="4" t="s">
        <v>183</v>
      </c>
      <c r="M2195" s="13">
        <v>1</v>
      </c>
      <c r="N2195" s="5" t="s">
        <v>51</v>
      </c>
      <c r="O2195" s="5" t="s">
        <v>43</v>
      </c>
      <c r="P2195" s="10" t="s">
        <v>44</v>
      </c>
      <c r="Q2195" s="10" t="s">
        <v>44</v>
      </c>
      <c r="R2195" s="11" t="s">
        <v>44</v>
      </c>
      <c r="S2195" s="11" t="s">
        <v>44</v>
      </c>
      <c r="T2195" s="22"/>
      <c r="U2195" s="22"/>
      <c r="V2195" s="22">
        <v>1044</v>
      </c>
      <c r="W2195" s="22">
        <v>1044</v>
      </c>
      <c r="X2195" s="22"/>
      <c r="Y2195" s="22"/>
      <c r="Z2195" s="22"/>
      <c r="AA2195" s="22"/>
      <c r="AB2195" s="22"/>
      <c r="AC2195" s="22"/>
      <c r="AD2195" s="22"/>
      <c r="AE2195" s="22"/>
      <c r="AG2195" s="71"/>
      <c r="AH2195" s="71"/>
      <c r="AI2195" s="71">
        <v>1044</v>
      </c>
      <c r="AJ2195" s="71">
        <v>1044</v>
      </c>
      <c r="AK2195" s="71"/>
      <c r="AL2195" s="71"/>
      <c r="AM2195" s="71"/>
      <c r="AN2195" s="71"/>
      <c r="AO2195" s="71"/>
      <c r="AP2195" s="71"/>
      <c r="AQ2195" s="71"/>
      <c r="AR2195" s="71"/>
      <c r="AS2195" s="94" cm="1">
        <f t="array" ref="AS2195">IFERROR(INDEX(T2195:AE2195,1,MATCH(2,1/(T2195:AE2195&lt;&gt;""))),"")</f>
        <v>1044</v>
      </c>
      <c r="AT2195" s="95" cm="1">
        <f t="array" ref="AT2195">IFERROR(INDEX(AJ2195:AR2195,1,MATCH(2,1/(AJ2195:AR2195&lt;&gt;""))),"")</f>
        <v>1044</v>
      </c>
      <c r="AU2195" s="97">
        <f>AT2195</f>
        <v>1044</v>
      </c>
      <c r="AW2195" s="52">
        <f>IFERROR(IF(T2195="",0,T2195/AG2195),0)</f>
        <v>0</v>
      </c>
      <c r="AX2195" s="52">
        <f>IFERROR(IF(U2195="",0,U2195/AH2195),0)</f>
        <v>0</v>
      </c>
      <c r="AY2195" s="118">
        <f>IFERROR(IF(V2195="",0,V2195/AI2195),0)</f>
        <v>1</v>
      </c>
      <c r="AZ2195" s="118">
        <f>IFERROR(IF(W2195="",0,W2195/AJ2195),0)</f>
        <v>1</v>
      </c>
      <c r="BA2195" s="52"/>
      <c r="BB2195" s="52"/>
      <c r="BC2195" s="52"/>
      <c r="BD2195" s="52"/>
      <c r="BE2195" s="52"/>
      <c r="BF2195" s="52"/>
      <c r="BG2195" s="52"/>
      <c r="BH2195" s="52"/>
      <c r="BI2195" s="65" cm="1">
        <f t="array" ref="BI2195">IFERROR(INDEX(AW2195:BH2195,1,MATCH(2,1/(AW2195:BH2195&lt;&gt;""))),"")</f>
        <v>1</v>
      </c>
      <c r="BJ2195" s="68" cm="1">
        <f t="array" ref="BJ2195">IF(BM2195 = "", "",IFERROR(INDEX(AW2195:BH2195,1,MATCH(2,1/(AW2195:BH2195&lt;&gt;""),1)-1),""))</f>
        <v>1</v>
      </c>
      <c r="BK2195" s="58" cm="1">
        <f t="array" ref="BK2195">IFERROR(INDEX(AW2195:BH2195,1,MATCH(2,1/(AW2195:BH2195&lt;&gt;""))),"")</f>
        <v>1</v>
      </c>
      <c r="BL2195" s="58" cm="1">
        <f t="array" ref="BL2195">IFERROR(INDEX(AW2195:BH2195,1,MATCH(2,1/(AW2195:BH2195&lt;&gt;""),1)-1),"")</f>
        <v>1</v>
      </c>
      <c r="BM2195" s="55" cm="1">
        <f t="array" ref="BM2195">IFERROR(
   INDEX($AW$1:$BH$1,
      _xlfn.AGGREGATE(14, 6, COLUMN($AW$1:$BH$1)/(AW2195:BH2195&lt;&gt;""), 2) - COLUMN($AW$1) + 1
   ),
"")</f>
        <v>46082</v>
      </c>
      <c r="BN2195" s="55" cm="1">
        <f t="array" ref="BN2195">IFERROR(INDEX($AW$1:$BH$1,1,MATCH(2,1/(AW2195:BH2195&lt;&gt;""))),"")</f>
        <v>46113</v>
      </c>
      <c r="BO2195" s="53">
        <f ca="1">IFERROR(_xlfn.XLOOKUP(F2195,Apuração!A:A,Apuração!C:C)/_xlfn.XLOOKUP(F2195,Apuração!A:A,Apuração!B:B),0)</f>
        <v>0.3</v>
      </c>
      <c r="BP2195" s="53">
        <f ca="1">IFERROR(_xlfn.XLOOKUP(F2195,Apuração!A:A,Apuração!D:D)/_xlfn.XLOOKUP(F2195,Apuração!A:A,Apuração!B:B),0)</f>
        <v>0.2</v>
      </c>
      <c r="BQ2195" s="53">
        <f ca="1">IF(BK2195&gt;=BO2195,0,_xlfn.XLOOKUP(F2195,Apuração!A:A,Apuração!B:B)*(BO2195 + (1/_xlfn.XLOOKUP(F2195,Apuração!A:A,Apuração!B:B)) - BK2195))</f>
        <v>0</v>
      </c>
      <c r="BR2195" s="85">
        <f ca="1">IF(BQ2195=0,0,BQ2195*Z2195)</f>
        <v>0</v>
      </c>
      <c r="BS2195" s="53">
        <f ca="1">IFERROR((_xlfn.XLOOKUP(F2195,Apuração!A:A,Apuração!C:C)+1)/_xlfn.XLOOKUP(F2195,Apuração!A:A,Apuração!B:B),0)</f>
        <v>0.4</v>
      </c>
    </row>
    <row r="2196" spans="1:71" ht="25.95" hidden="1" customHeight="1" x14ac:dyDescent="0.3">
      <c r="A2196" s="44" t="s">
        <v>175</v>
      </c>
      <c r="B2196" s="4" t="s">
        <v>176</v>
      </c>
      <c r="C2196" s="5" t="s">
        <v>216</v>
      </c>
      <c r="D2196" s="5" t="s">
        <v>217</v>
      </c>
      <c r="E2196" s="4" t="str" cm="1">
        <f t="array" ref="E2196">_xlfn.IFS(
F2196 = "A partir de Abril", "Aguardando Execução na Distribuidora",
A2196 = "CAPACITAÇÃO", "Em execução no Corporativo",
TRUE, "Em Execução na Distribuidora"
)</f>
        <v>Em execução no Corporativo</v>
      </c>
      <c r="F2196" s="4" t="str" cm="1">
        <f t="array" ref="F2196">_xlfn.IFS(
AG2196 &lt;&gt; "", "Jan-Dez/26",
AH2196 &lt;&gt; "", "Fev-Dez/26",
AI2196 &lt;&gt; "", "Mar-Dez/26", AJ2196 &lt;&gt; "", "Abr-Dez/26",
TRUE, "A partir de Junho"
)</f>
        <v>Mar-Dez/26</v>
      </c>
      <c r="G2196" s="4" t="s">
        <v>37</v>
      </c>
      <c r="H2196" s="7" t="s">
        <v>38</v>
      </c>
      <c r="I2196" s="21" t="s">
        <v>182</v>
      </c>
      <c r="J2196" s="8" t="str" cm="1">
        <f t="array" aca="1" ref="J2196" ca="1">_xlfn.LET(
  _xlpm.actual_value_month, INDEX(T2196:AE2196, MATCH(DATE(YEAR(TODAY()), MONTH(TODAY()), 1), $T$1:$AE$1, 0)),
  IF(_xlpm.actual_value_month &lt;&gt; "", _xlpm.actual_value_month &amp; " ações mensais", "")
)</f>
        <v/>
      </c>
      <c r="K2196" s="8" t="str" cm="1">
        <f t="array" ref="K2196">_xlfn.LET(
    _xlpm.sum_month, SUM(T2196:AE2196),
    IF(_xlpm.sum_month = 0, "", _xlpm.sum_month &amp; " taxa de aprovados")
)</f>
        <v>444 taxa de aprovados</v>
      </c>
      <c r="L2196" s="4" t="s">
        <v>183</v>
      </c>
      <c r="M2196" s="13">
        <v>1</v>
      </c>
      <c r="N2196" s="5" t="s">
        <v>51</v>
      </c>
      <c r="O2196" s="5" t="s">
        <v>43</v>
      </c>
      <c r="P2196" s="10" t="s">
        <v>44</v>
      </c>
      <c r="Q2196" s="10" t="s">
        <v>44</v>
      </c>
      <c r="R2196" s="11" t="s">
        <v>44</v>
      </c>
      <c r="S2196" s="11" t="s">
        <v>44</v>
      </c>
      <c r="T2196" s="22"/>
      <c r="U2196" s="22"/>
      <c r="V2196" s="143">
        <v>222</v>
      </c>
      <c r="W2196" s="143">
        <v>222</v>
      </c>
      <c r="X2196" s="22"/>
      <c r="Y2196" s="22"/>
      <c r="Z2196" s="22"/>
      <c r="AA2196" s="22"/>
      <c r="AB2196" s="22"/>
      <c r="AC2196" s="22"/>
      <c r="AD2196" s="22"/>
      <c r="AE2196" s="22"/>
      <c r="AG2196" s="71"/>
      <c r="AH2196" s="71"/>
      <c r="AI2196" s="82">
        <v>222</v>
      </c>
      <c r="AJ2196" s="82">
        <v>222</v>
      </c>
      <c r="AK2196" s="71"/>
      <c r="AL2196" s="71"/>
      <c r="AM2196" s="71"/>
      <c r="AN2196" s="71"/>
      <c r="AO2196" s="71"/>
      <c r="AP2196" s="71"/>
      <c r="AQ2196" s="71"/>
      <c r="AR2196" s="71"/>
      <c r="AS2196" s="94" cm="1">
        <f t="array" ref="AS2196">IFERROR(INDEX(T2196:AE2196,1,MATCH(2,1/(T2196:AE2196&lt;&gt;""))),"")</f>
        <v>222</v>
      </c>
      <c r="AT2196" s="95" cm="1">
        <f t="array" ref="AT2196">IFERROR(INDEX(AJ2196:AR2196,1,MATCH(2,1/(AJ2196:AR2196&lt;&gt;""))),"")</f>
        <v>222</v>
      </c>
      <c r="AU2196" s="97">
        <f t="shared" ref="AU2196:AU2199" si="2615">AT2196</f>
        <v>222</v>
      </c>
      <c r="AW2196" s="52">
        <f t="shared" ref="AW2196:AW2199" si="2616">IFERROR(IF(T2196="",0,T2196/AG2196),0)</f>
        <v>0</v>
      </c>
      <c r="AX2196" s="52">
        <f t="shared" ref="AX2196:AX2199" si="2617">IFERROR(IF(U2196="",0,U2196/AH2196),0)</f>
        <v>0</v>
      </c>
      <c r="AY2196" s="118">
        <f t="shared" ref="AY2196:AY2199" si="2618">IFERROR(IF(V2196="",0,V2196/AI2196),0)</f>
        <v>1</v>
      </c>
      <c r="AZ2196" s="118">
        <f t="shared" ref="AZ2196:AZ2199" si="2619">IFERROR(IF(W2196="",0,W2196/AJ2196),0)</f>
        <v>1</v>
      </c>
      <c r="BA2196" s="52"/>
      <c r="BB2196" s="52"/>
      <c r="BC2196" s="52"/>
      <c r="BD2196" s="52"/>
      <c r="BE2196" s="52"/>
      <c r="BF2196" s="52"/>
      <c r="BG2196" s="52"/>
      <c r="BH2196" s="52"/>
      <c r="BI2196" s="65" cm="1">
        <f t="array" ref="BI2196">IFERROR(INDEX(AW2196:BH2196,1,MATCH(2,1/(AW2196:BH2196&lt;&gt;""))),"")</f>
        <v>1</v>
      </c>
      <c r="BJ2196" s="68" cm="1">
        <f t="array" ref="BJ2196">IF(BM2196 = "", "",IFERROR(INDEX(AW2196:BH2196,1,MATCH(2,1/(AW2196:BH2196&lt;&gt;""),1)-1),""))</f>
        <v>1</v>
      </c>
      <c r="BK2196" s="58" cm="1">
        <f t="array" ref="BK2196">IFERROR(INDEX(AW2196:BH2196,1,MATCH(2,1/(AW2196:BH2196&lt;&gt;""))),"")</f>
        <v>1</v>
      </c>
      <c r="BL2196" s="58" cm="1">
        <f t="array" ref="BL2196">IFERROR(INDEX(AW2196:BH2196,1,MATCH(2,1/(AW2196:BH2196&lt;&gt;""),1)-1),"")</f>
        <v>1</v>
      </c>
      <c r="BM2196" s="55" cm="1">
        <f t="array" ref="BM2196">IFERROR(
   INDEX($AW$1:$BH$1,
      _xlfn.AGGREGATE(14, 6, COLUMN($AW$1:$BH$1)/(AW2196:BH2196&lt;&gt;""), 2) - COLUMN($AW$1) + 1
   ),
"")</f>
        <v>46082</v>
      </c>
      <c r="BN2196" s="55" cm="1">
        <f t="array" ref="BN2196">IFERROR(INDEX($AW$1:$BH$1,1,MATCH(2,1/(AW2196:BH2196&lt;&gt;""))),"")</f>
        <v>46113</v>
      </c>
      <c r="BO2196" s="53">
        <f ca="1">IFERROR(_xlfn.XLOOKUP(F2196,Apuração!A:A,Apuração!C:C)/_xlfn.XLOOKUP(F2196,Apuração!A:A,Apuração!B:B),0)</f>
        <v>0.3</v>
      </c>
      <c r="BP2196" s="53">
        <f ca="1">IFERROR(_xlfn.XLOOKUP(F2196,Apuração!A:A,Apuração!D:D)/_xlfn.XLOOKUP(F2196,Apuração!A:A,Apuração!B:B),0)</f>
        <v>0.2</v>
      </c>
      <c r="BQ2196" s="53">
        <f ca="1">IF(BK2196&gt;=BO2196,0,_xlfn.XLOOKUP(F2196,Apuração!A:A,Apuração!B:B)*(BO2196 + (1/_xlfn.XLOOKUP(F2196,Apuração!A:A,Apuração!B:B)) - BK2196))</f>
        <v>0</v>
      </c>
      <c r="BR2196" s="85">
        <f t="shared" ref="BR2196:BR2199" ca="1" si="2620">IF(BQ2196=0,0,BQ2196*Z2196)</f>
        <v>0</v>
      </c>
      <c r="BS2196" s="53">
        <f ca="1">IFERROR((_xlfn.XLOOKUP(F2196,Apuração!A:A,Apuração!C:C)+1)/_xlfn.XLOOKUP(F2196,Apuração!A:A,Apuração!B:B),0)</f>
        <v>0.4</v>
      </c>
    </row>
    <row r="2197" spans="1:71" ht="25.95" hidden="1" customHeight="1" x14ac:dyDescent="0.3">
      <c r="A2197" s="44" t="s">
        <v>175</v>
      </c>
      <c r="B2197" s="4" t="s">
        <v>176</v>
      </c>
      <c r="C2197" s="5" t="s">
        <v>216</v>
      </c>
      <c r="D2197" s="5" t="s">
        <v>103</v>
      </c>
      <c r="E2197" s="4" t="str" cm="1">
        <f t="array" ref="E2197">_xlfn.IFS(
F2197 = "A partir de Abril", "Aguardando Execução na Distribuidora",
A2197 = "CAPACITAÇÃO", "Em execução no Corporativo",
TRUE, "Em Execução na Distribuidora"
)</f>
        <v>Em execução no Corporativo</v>
      </c>
      <c r="F2197" s="4" t="str" cm="1">
        <f t="array" ref="F2197">_xlfn.IFS(
AG2197 &lt;&gt; "", "Jan-Dez/26",
AH2197 &lt;&gt; "", "Fev-Dez/26",
AI2197 &lt;&gt; "", "Mar-Dez/26", AJ2197 &lt;&gt; "", "Abr-Dez/26",
TRUE, "A partir de Junho"
)</f>
        <v>Mar-Dez/26</v>
      </c>
      <c r="G2197" s="4" t="s">
        <v>37</v>
      </c>
      <c r="H2197" s="7" t="s">
        <v>38</v>
      </c>
      <c r="I2197" s="21" t="s">
        <v>182</v>
      </c>
      <c r="J2197" s="8" t="str" cm="1">
        <f t="array" aca="1" ref="J2197" ca="1">_xlfn.LET(
  _xlpm.actual_value_month, INDEX(T2197:AE2197, MATCH(DATE(YEAR(TODAY()), MONTH(TODAY()), 1), $T$1:$AE$1, 0)),
  IF(_xlpm.actual_value_month &lt;&gt; "", _xlpm.actual_value_month &amp; " ações mensais", "")
)</f>
        <v/>
      </c>
      <c r="K2197" s="8" t="str" cm="1">
        <f t="array" ref="K2197">_xlfn.LET(
    _xlpm.sum_month, SUM(T2197:AE2197),
    IF(_xlpm.sum_month = 0, "", _xlpm.sum_month &amp; " taxa de aprovados")
)</f>
        <v>876 taxa de aprovados</v>
      </c>
      <c r="L2197" s="4" t="s">
        <v>183</v>
      </c>
      <c r="M2197" s="13">
        <v>1</v>
      </c>
      <c r="N2197" s="5" t="s">
        <v>51</v>
      </c>
      <c r="O2197" s="5" t="s">
        <v>43</v>
      </c>
      <c r="P2197" s="10" t="s">
        <v>44</v>
      </c>
      <c r="Q2197" s="10" t="s">
        <v>44</v>
      </c>
      <c r="R2197" s="11" t="s">
        <v>44</v>
      </c>
      <c r="S2197" s="11" t="s">
        <v>44</v>
      </c>
      <c r="T2197" s="22"/>
      <c r="U2197" s="22"/>
      <c r="V2197" s="143">
        <v>438</v>
      </c>
      <c r="W2197" s="143">
        <v>438</v>
      </c>
      <c r="X2197" s="22"/>
      <c r="Y2197" s="22"/>
      <c r="Z2197" s="22"/>
      <c r="AA2197" s="22"/>
      <c r="AB2197" s="22"/>
      <c r="AC2197" s="22"/>
      <c r="AD2197" s="22"/>
      <c r="AE2197" s="22"/>
      <c r="AG2197" s="71"/>
      <c r="AH2197" s="71"/>
      <c r="AI2197" s="82">
        <v>438</v>
      </c>
      <c r="AJ2197" s="82">
        <v>438</v>
      </c>
      <c r="AK2197" s="71"/>
      <c r="AL2197" s="71"/>
      <c r="AM2197" s="71"/>
      <c r="AN2197" s="71"/>
      <c r="AO2197" s="71"/>
      <c r="AP2197" s="71"/>
      <c r="AQ2197" s="71"/>
      <c r="AR2197" s="71"/>
      <c r="AS2197" s="94" cm="1">
        <f t="array" ref="AS2197">IFERROR(INDEX(T2197:AE2197,1,MATCH(2,1/(T2197:AE2197&lt;&gt;""))),"")</f>
        <v>438</v>
      </c>
      <c r="AT2197" s="95" cm="1">
        <f t="array" ref="AT2197">IFERROR(INDEX(AJ2197:AR2197,1,MATCH(2,1/(AJ2197:AR2197&lt;&gt;""))),"")</f>
        <v>438</v>
      </c>
      <c r="AU2197" s="97">
        <f t="shared" si="2615"/>
        <v>438</v>
      </c>
      <c r="AW2197" s="52">
        <f t="shared" si="2616"/>
        <v>0</v>
      </c>
      <c r="AX2197" s="52">
        <f t="shared" si="2617"/>
        <v>0</v>
      </c>
      <c r="AY2197" s="118">
        <f t="shared" si="2618"/>
        <v>1</v>
      </c>
      <c r="AZ2197" s="118">
        <f t="shared" si="2619"/>
        <v>1</v>
      </c>
      <c r="BA2197" s="52"/>
      <c r="BB2197" s="52"/>
      <c r="BC2197" s="52"/>
      <c r="BD2197" s="52"/>
      <c r="BE2197" s="52"/>
      <c r="BF2197" s="52"/>
      <c r="BG2197" s="52"/>
      <c r="BH2197" s="52"/>
      <c r="BI2197" s="65" cm="1">
        <f t="array" ref="BI2197">IFERROR(INDEX(AW2197:BH2197,1,MATCH(2,1/(AW2197:BH2197&lt;&gt;""))),"")</f>
        <v>1</v>
      </c>
      <c r="BJ2197" s="68" cm="1">
        <f t="array" ref="BJ2197">IF(BM2197 = "", "",IFERROR(INDEX(AW2197:BH2197,1,MATCH(2,1/(AW2197:BH2197&lt;&gt;""),1)-1),""))</f>
        <v>1</v>
      </c>
      <c r="BK2197" s="58" cm="1">
        <f t="array" ref="BK2197">IFERROR(INDEX(AW2197:BH2197,1,MATCH(2,1/(AW2197:BH2197&lt;&gt;""))),"")</f>
        <v>1</v>
      </c>
      <c r="BL2197" s="58" cm="1">
        <f t="array" ref="BL2197">IFERROR(INDEX(AW2197:BH2197,1,MATCH(2,1/(AW2197:BH2197&lt;&gt;""),1)-1),"")</f>
        <v>1</v>
      </c>
      <c r="BM2197" s="55" cm="1">
        <f t="array" ref="BM2197">IFERROR(
   INDEX($AW$1:$BH$1,
      _xlfn.AGGREGATE(14, 6, COLUMN($AW$1:$BH$1)/(AW2197:BH2197&lt;&gt;""), 2) - COLUMN($AW$1) + 1
   ),
"")</f>
        <v>46082</v>
      </c>
      <c r="BN2197" s="55" cm="1">
        <f t="array" ref="BN2197">IFERROR(INDEX($AW$1:$BH$1,1,MATCH(2,1/(AW2197:BH2197&lt;&gt;""))),"")</f>
        <v>46113</v>
      </c>
      <c r="BO2197" s="53">
        <f ca="1">IFERROR(_xlfn.XLOOKUP(F2197,Apuração!A:A,Apuração!C:C)/_xlfn.XLOOKUP(F2197,Apuração!A:A,Apuração!B:B),0)</f>
        <v>0.3</v>
      </c>
      <c r="BP2197" s="53">
        <f ca="1">IFERROR(_xlfn.XLOOKUP(F2197,Apuração!A:A,Apuração!D:D)/_xlfn.XLOOKUP(F2197,Apuração!A:A,Apuração!B:B),0)</f>
        <v>0.2</v>
      </c>
      <c r="BQ2197" s="53">
        <f ca="1">IF(BK2197&gt;=BO2197,0,_xlfn.XLOOKUP(F2197,Apuração!A:A,Apuração!B:B)*(BO2197 + (1/_xlfn.XLOOKUP(F2197,Apuração!A:A,Apuração!B:B)) - BK2197))</f>
        <v>0</v>
      </c>
      <c r="BR2197" s="85">
        <f t="shared" ca="1" si="2620"/>
        <v>0</v>
      </c>
      <c r="BS2197" s="53">
        <f ca="1">IFERROR((_xlfn.XLOOKUP(F2197,Apuração!A:A,Apuração!C:C)+1)/_xlfn.XLOOKUP(F2197,Apuração!A:A,Apuração!B:B),0)</f>
        <v>0.4</v>
      </c>
    </row>
    <row r="2198" spans="1:71" ht="25.95" hidden="1" customHeight="1" x14ac:dyDescent="0.3">
      <c r="A2198" s="44" t="s">
        <v>175</v>
      </c>
      <c r="B2198" s="4" t="s">
        <v>176</v>
      </c>
      <c r="C2198" s="5" t="s">
        <v>216</v>
      </c>
      <c r="D2198" s="5" t="s">
        <v>218</v>
      </c>
      <c r="E2198" s="4" t="str" cm="1">
        <f t="array" ref="E2198">_xlfn.IFS(
F2198 = "A partir de Abril", "Aguardando Execução na Distribuidora",
A2198 = "CAPACITAÇÃO", "Em execução no Corporativo",
TRUE, "Em Execução na Distribuidora"
)</f>
        <v>Em execução no Corporativo</v>
      </c>
      <c r="F2198" s="4" t="str" cm="1">
        <f t="array" ref="F2198">_xlfn.IFS(
AG2198 &lt;&gt; "", "Jan-Dez/26",
AH2198 &lt;&gt; "", "Fev-Dez/26",
AI2198 &lt;&gt; "", "Mar-Dez/26", AJ2198 &lt;&gt; "", "Abr-Dez/26",
TRUE, "A partir de Junho"
)</f>
        <v>Mar-Dez/26</v>
      </c>
      <c r="G2198" s="4" t="s">
        <v>37</v>
      </c>
      <c r="H2198" s="7" t="s">
        <v>38</v>
      </c>
      <c r="I2198" s="21" t="s">
        <v>182</v>
      </c>
      <c r="J2198" s="8" t="str" cm="1">
        <f t="array" aca="1" ref="J2198" ca="1">_xlfn.LET(
  _xlpm.actual_value_month, INDEX(T2198:AE2198, MATCH(DATE(YEAR(TODAY()), MONTH(TODAY()), 1), $T$1:$AE$1, 0)),
  IF(_xlpm.actual_value_month &lt;&gt; "", _xlpm.actual_value_month &amp; " ações mensais", "")
)</f>
        <v/>
      </c>
      <c r="K2198" s="8" t="str" cm="1">
        <f t="array" ref="K2198">_xlfn.LET(
    _xlpm.sum_month, SUM(T2198:AE2198),
    IF(_xlpm.sum_month = 0, "", _xlpm.sum_month &amp; " taxa de aprovados")
)</f>
        <v>418 taxa de aprovados</v>
      </c>
      <c r="L2198" s="4" t="s">
        <v>183</v>
      </c>
      <c r="M2198" s="13">
        <v>1</v>
      </c>
      <c r="N2198" s="5" t="s">
        <v>51</v>
      </c>
      <c r="O2198" s="5" t="s">
        <v>43</v>
      </c>
      <c r="P2198" s="10" t="s">
        <v>44</v>
      </c>
      <c r="Q2198" s="10" t="s">
        <v>44</v>
      </c>
      <c r="R2198" s="11" t="s">
        <v>44</v>
      </c>
      <c r="S2198" s="11" t="s">
        <v>44</v>
      </c>
      <c r="T2198" s="22"/>
      <c r="U2198" s="22"/>
      <c r="V2198" s="143">
        <v>209</v>
      </c>
      <c r="W2198" s="143">
        <v>209</v>
      </c>
      <c r="X2198" s="22"/>
      <c r="Y2198" s="22"/>
      <c r="Z2198" s="22"/>
      <c r="AA2198" s="22"/>
      <c r="AB2198" s="22"/>
      <c r="AC2198" s="22"/>
      <c r="AD2198" s="22"/>
      <c r="AE2198" s="22"/>
      <c r="AG2198" s="71"/>
      <c r="AH2198" s="71"/>
      <c r="AI2198" s="82">
        <v>209</v>
      </c>
      <c r="AJ2198" s="82">
        <v>209</v>
      </c>
      <c r="AK2198" s="71"/>
      <c r="AL2198" s="71"/>
      <c r="AM2198" s="71"/>
      <c r="AN2198" s="71"/>
      <c r="AO2198" s="71"/>
      <c r="AP2198" s="71"/>
      <c r="AQ2198" s="71"/>
      <c r="AR2198" s="71"/>
      <c r="AS2198" s="94" cm="1">
        <f t="array" ref="AS2198">IFERROR(INDEX(T2198:AE2198,1,MATCH(2,1/(T2198:AE2198&lt;&gt;""))),"")</f>
        <v>209</v>
      </c>
      <c r="AT2198" s="95" cm="1">
        <f t="array" ref="AT2198">IFERROR(INDEX(AJ2198:AR2198,1,MATCH(2,1/(AJ2198:AR2198&lt;&gt;""))),"")</f>
        <v>209</v>
      </c>
      <c r="AU2198" s="97">
        <f t="shared" si="2615"/>
        <v>209</v>
      </c>
      <c r="AW2198" s="52">
        <f t="shared" si="2616"/>
        <v>0</v>
      </c>
      <c r="AX2198" s="52">
        <f t="shared" si="2617"/>
        <v>0</v>
      </c>
      <c r="AY2198" s="118">
        <f t="shared" si="2618"/>
        <v>1</v>
      </c>
      <c r="AZ2198" s="118">
        <f t="shared" si="2619"/>
        <v>1</v>
      </c>
      <c r="BA2198" s="52"/>
      <c r="BB2198" s="52"/>
      <c r="BC2198" s="52"/>
      <c r="BD2198" s="52"/>
      <c r="BE2198" s="52"/>
      <c r="BF2198" s="52"/>
      <c r="BG2198" s="52"/>
      <c r="BH2198" s="52"/>
      <c r="BI2198" s="65" cm="1">
        <f t="array" ref="BI2198">IFERROR(INDEX(AW2198:BH2198,1,MATCH(2,1/(AW2198:BH2198&lt;&gt;""))),"")</f>
        <v>1</v>
      </c>
      <c r="BJ2198" s="68" cm="1">
        <f t="array" ref="BJ2198">IF(BM2198 = "", "",IFERROR(INDEX(AW2198:BH2198,1,MATCH(2,1/(AW2198:BH2198&lt;&gt;""),1)-1),""))</f>
        <v>1</v>
      </c>
      <c r="BK2198" s="58" cm="1">
        <f t="array" ref="BK2198">IFERROR(INDEX(AW2198:BH2198,1,MATCH(2,1/(AW2198:BH2198&lt;&gt;""))),"")</f>
        <v>1</v>
      </c>
      <c r="BL2198" s="58" cm="1">
        <f t="array" ref="BL2198">IFERROR(INDEX(AW2198:BH2198,1,MATCH(2,1/(AW2198:BH2198&lt;&gt;""),1)-1),"")</f>
        <v>1</v>
      </c>
      <c r="BM2198" s="55" cm="1">
        <f t="array" ref="BM2198">IFERROR(
   INDEX($AW$1:$BH$1,
      _xlfn.AGGREGATE(14, 6, COLUMN($AW$1:$BH$1)/(AW2198:BH2198&lt;&gt;""), 2) - COLUMN($AW$1) + 1
   ),
"")</f>
        <v>46082</v>
      </c>
      <c r="BN2198" s="55" cm="1">
        <f t="array" ref="BN2198">IFERROR(INDEX($AW$1:$BH$1,1,MATCH(2,1/(AW2198:BH2198&lt;&gt;""))),"")</f>
        <v>46113</v>
      </c>
      <c r="BO2198" s="53">
        <f ca="1">IFERROR(_xlfn.XLOOKUP(F2198,Apuração!A:A,Apuração!C:C)/_xlfn.XLOOKUP(F2198,Apuração!A:A,Apuração!B:B),0)</f>
        <v>0.3</v>
      </c>
      <c r="BP2198" s="53">
        <f ca="1">IFERROR(_xlfn.XLOOKUP(F2198,Apuração!A:A,Apuração!D:D)/_xlfn.XLOOKUP(F2198,Apuração!A:A,Apuração!B:B),0)</f>
        <v>0.2</v>
      </c>
      <c r="BQ2198" s="53">
        <f ca="1">IF(BK2198&gt;=BO2198,0,_xlfn.XLOOKUP(F2198,Apuração!A:A,Apuração!B:B)*(BO2198 + (1/_xlfn.XLOOKUP(F2198,Apuração!A:A,Apuração!B:B)) - BK2198))</f>
        <v>0</v>
      </c>
      <c r="BR2198" s="85">
        <f t="shared" ca="1" si="2620"/>
        <v>0</v>
      </c>
      <c r="BS2198" s="53">
        <f ca="1">IFERROR((_xlfn.XLOOKUP(F2198,Apuração!A:A,Apuração!C:C)+1)/_xlfn.XLOOKUP(F2198,Apuração!A:A,Apuração!B:B),0)</f>
        <v>0.4</v>
      </c>
    </row>
    <row r="2199" spans="1:71" ht="25.95" hidden="1" customHeight="1" x14ac:dyDescent="0.3">
      <c r="A2199" s="44" t="s">
        <v>175</v>
      </c>
      <c r="B2199" s="4" t="s">
        <v>176</v>
      </c>
      <c r="C2199" s="5" t="s">
        <v>216</v>
      </c>
      <c r="D2199" s="5" t="s">
        <v>219</v>
      </c>
      <c r="E2199" s="4" t="str" cm="1">
        <f t="array" ref="E2199">_xlfn.IFS(
F2199 = "A partir de Abril", "Aguardando Execução na Distribuidora",
A2199 = "CAPACITAÇÃO", "Em execução no Corporativo",
TRUE, "Em Execução na Distribuidora"
)</f>
        <v>Em execução no Corporativo</v>
      </c>
      <c r="F2199" s="4" t="str" cm="1">
        <f t="array" ref="F2199">_xlfn.IFS(
AG2199 &lt;&gt; "", "Jan-Dez/26",
AH2199 &lt;&gt; "", "Fev-Dez/26",
AI2199 &lt;&gt; "", "Mar-Dez/26", AJ2199 &lt;&gt; "", "Abr-Dez/26",
TRUE, "A partir de Junho"
)</f>
        <v>Mar-Dez/26</v>
      </c>
      <c r="G2199" s="4" t="s">
        <v>37</v>
      </c>
      <c r="H2199" s="7" t="s">
        <v>38</v>
      </c>
      <c r="I2199" s="21" t="s">
        <v>182</v>
      </c>
      <c r="J2199" s="8" t="str" cm="1">
        <f t="array" aca="1" ref="J2199" ca="1">_xlfn.LET(
  _xlpm.actual_value_month, INDEX(T2199:AE2199, MATCH(DATE(YEAR(TODAY()), MONTH(TODAY()), 1), $T$1:$AE$1, 0)),
  IF(_xlpm.actual_value_month &lt;&gt; "", _xlpm.actual_value_month &amp; " ações mensais", "")
)</f>
        <v/>
      </c>
      <c r="K2199" s="8" t="str" cm="1">
        <f t="array" ref="K2199">_xlfn.LET(
    _xlpm.sum_month, SUM(T2199:AE2199),
    IF(_xlpm.sum_month = 0, "", _xlpm.sum_month &amp; " taxa de aprovados")
)</f>
        <v>350 taxa de aprovados</v>
      </c>
      <c r="L2199" s="4" t="s">
        <v>183</v>
      </c>
      <c r="M2199" s="13">
        <v>1</v>
      </c>
      <c r="N2199" s="5" t="s">
        <v>51</v>
      </c>
      <c r="O2199" s="5" t="s">
        <v>43</v>
      </c>
      <c r="P2199" s="10" t="s">
        <v>44</v>
      </c>
      <c r="Q2199" s="10" t="s">
        <v>44</v>
      </c>
      <c r="R2199" s="11" t="s">
        <v>44</v>
      </c>
      <c r="S2199" s="11" t="s">
        <v>44</v>
      </c>
      <c r="T2199" s="22"/>
      <c r="U2199" s="22"/>
      <c r="V2199" s="143">
        <v>175</v>
      </c>
      <c r="W2199" s="143">
        <v>175</v>
      </c>
      <c r="X2199" s="22"/>
      <c r="Y2199" s="22"/>
      <c r="Z2199" s="22"/>
      <c r="AA2199" s="22"/>
      <c r="AB2199" s="22"/>
      <c r="AC2199" s="22"/>
      <c r="AD2199" s="22"/>
      <c r="AE2199" s="22"/>
      <c r="AG2199" s="71"/>
      <c r="AH2199" s="71"/>
      <c r="AI2199" s="82">
        <v>175</v>
      </c>
      <c r="AJ2199" s="82">
        <v>175</v>
      </c>
      <c r="AK2199" s="71"/>
      <c r="AL2199" s="71"/>
      <c r="AM2199" s="71"/>
      <c r="AN2199" s="71"/>
      <c r="AO2199" s="71"/>
      <c r="AP2199" s="71"/>
      <c r="AQ2199" s="71"/>
      <c r="AR2199" s="71"/>
      <c r="AS2199" s="94" cm="1">
        <f t="array" ref="AS2199">IFERROR(INDEX(T2199:AE2199,1,MATCH(2,1/(T2199:AE2199&lt;&gt;""))),"")</f>
        <v>175</v>
      </c>
      <c r="AT2199" s="95" cm="1">
        <f t="array" ref="AT2199">IFERROR(INDEX(AJ2199:AR2199,1,MATCH(2,1/(AJ2199:AR2199&lt;&gt;""))),"")</f>
        <v>175</v>
      </c>
      <c r="AU2199" s="97">
        <f t="shared" si="2615"/>
        <v>175</v>
      </c>
      <c r="AW2199" s="52">
        <f t="shared" si="2616"/>
        <v>0</v>
      </c>
      <c r="AX2199" s="52">
        <f t="shared" si="2617"/>
        <v>0</v>
      </c>
      <c r="AY2199" s="118">
        <f t="shared" si="2618"/>
        <v>1</v>
      </c>
      <c r="AZ2199" s="118">
        <f t="shared" si="2619"/>
        <v>1</v>
      </c>
      <c r="BA2199" s="52"/>
      <c r="BB2199" s="52"/>
      <c r="BC2199" s="52"/>
      <c r="BD2199" s="52"/>
      <c r="BE2199" s="52"/>
      <c r="BF2199" s="52"/>
      <c r="BG2199" s="52"/>
      <c r="BH2199" s="52"/>
      <c r="BI2199" s="65" cm="1">
        <f t="array" ref="BI2199">IFERROR(INDEX(AW2199:BH2199,1,MATCH(2,1/(AW2199:BH2199&lt;&gt;""))),"")</f>
        <v>1</v>
      </c>
      <c r="BJ2199" s="68" cm="1">
        <f t="array" ref="BJ2199">IF(BM2199 = "", "",IFERROR(INDEX(AW2199:BH2199,1,MATCH(2,1/(AW2199:BH2199&lt;&gt;""),1)-1),""))</f>
        <v>1</v>
      </c>
      <c r="BK2199" s="58" cm="1">
        <f t="array" ref="BK2199">IFERROR(INDEX(AW2199:BH2199,1,MATCH(2,1/(AW2199:BH2199&lt;&gt;""))),"")</f>
        <v>1</v>
      </c>
      <c r="BL2199" s="58" cm="1">
        <f t="array" ref="BL2199">IFERROR(INDEX(AW2199:BH2199,1,MATCH(2,1/(AW2199:BH2199&lt;&gt;""),1)-1),"")</f>
        <v>1</v>
      </c>
      <c r="BM2199" s="55" cm="1">
        <f t="array" ref="BM2199">IFERROR(
   INDEX($AW$1:$BH$1,
      _xlfn.AGGREGATE(14, 6, COLUMN($AW$1:$BH$1)/(AW2199:BH2199&lt;&gt;""), 2) - COLUMN($AW$1) + 1
   ),
"")</f>
        <v>46082</v>
      </c>
      <c r="BN2199" s="55" cm="1">
        <f t="array" ref="BN2199">IFERROR(INDEX($AW$1:$BH$1,1,MATCH(2,1/(AW2199:BH2199&lt;&gt;""))),"")</f>
        <v>46113</v>
      </c>
      <c r="BO2199" s="53">
        <f ca="1">IFERROR(_xlfn.XLOOKUP(F2199,Apuração!A:A,Apuração!C:C)/_xlfn.XLOOKUP(F2199,Apuração!A:A,Apuração!B:B),0)</f>
        <v>0.3</v>
      </c>
      <c r="BP2199" s="53">
        <f ca="1">IFERROR(_xlfn.XLOOKUP(F2199,Apuração!A:A,Apuração!D:D)/_xlfn.XLOOKUP(F2199,Apuração!A:A,Apuração!B:B),0)</f>
        <v>0.2</v>
      </c>
      <c r="BQ2199" s="53">
        <f ca="1">IF(BK2199&gt;=BO2199,0,_xlfn.XLOOKUP(F2199,Apuração!A:A,Apuração!B:B)*(BO2199 + (1/_xlfn.XLOOKUP(F2199,Apuração!A:A,Apuração!B:B)) - BK2199))</f>
        <v>0</v>
      </c>
      <c r="BR2199" s="85">
        <f t="shared" ca="1" si="2620"/>
        <v>0</v>
      </c>
      <c r="BS2199" s="53">
        <f ca="1">IFERROR((_xlfn.XLOOKUP(F2199,Apuração!A:A,Apuração!C:C)+1)/_xlfn.XLOOKUP(F2199,Apuração!A:A,Apuração!B:B),0)</f>
        <v>0.4</v>
      </c>
    </row>
    <row r="2200" spans="1:71" ht="25.95" hidden="1" customHeight="1" x14ac:dyDescent="0.3">
      <c r="A2200" s="33" t="s">
        <v>175</v>
      </c>
      <c r="B2200" s="4" t="s">
        <v>184</v>
      </c>
      <c r="C2200" s="5" t="s">
        <v>216</v>
      </c>
      <c r="D2200" s="5" t="s">
        <v>36</v>
      </c>
      <c r="E2200" s="4" t="str" cm="1">
        <f t="array" ref="E2200">_xlfn.IFS(
F2200 = "A partir de Abril", "Aguardando Execução na Distribuidora",
A2200 = "CAPACITAÇÃO", "Em execução no Corporativo",
TRUE, "Em Execução na Distribuidora"
)</f>
        <v>Em execução no Corporativo</v>
      </c>
      <c r="F2200" s="4" t="str" cm="1">
        <f t="array" ref="F2200">_xlfn.IFS(
AG2200 &lt;&gt; "", "Jan-Dez/26",
AH2200 &lt;&gt; "", "Fev-Dez/26",
AI2200 &lt;&gt; "", "Mar-Dez/26", AJ2200 &lt;&gt; "", "Abr-Dez/26",
TRUE, "A partir de Junho"
)</f>
        <v>Mar-Dez/26</v>
      </c>
      <c r="G2200" s="4" t="s">
        <v>37</v>
      </c>
      <c r="H2200" s="7" t="s">
        <v>38</v>
      </c>
      <c r="I2200" s="8" t="s">
        <v>177</v>
      </c>
      <c r="J2200" s="8" t="str" cm="1">
        <f t="array" aca="1" ref="J2200" ca="1">_xlfn.LET(
  _xlpm.actual_value_month, INDEX(T2200:AE2200, MATCH(DATE(YEAR(TODAY()), MONTH(TODAY()), 1), $T$1:$AE$1, 0)),
  IF(_xlpm.actual_value_month &lt;&gt; "", _xlpm.actual_value_month &amp; " certificados mensais", "")
)</f>
        <v>1644 certificados mensais</v>
      </c>
      <c r="K2200" s="8" t="str">
        <f>_xlfn.LET(
    _xlpm.month, AC2200,
    IF(_xlpm.month = 0, "", _xlpm.month &amp; " meta de certificados anuais")
)</f>
        <v>1908 meta de certificados anuais</v>
      </c>
      <c r="L2200" s="9" t="s">
        <v>185</v>
      </c>
      <c r="M2200" s="13">
        <v>1</v>
      </c>
      <c r="N2200" s="5" t="s">
        <v>42</v>
      </c>
      <c r="O2200" s="5" t="s">
        <v>43</v>
      </c>
      <c r="P2200" s="10" t="s">
        <v>146</v>
      </c>
      <c r="Q2200" s="10" t="s">
        <v>44</v>
      </c>
      <c r="R2200" s="11" t="s">
        <v>179</v>
      </c>
      <c r="S2200" s="11" t="s">
        <v>67</v>
      </c>
      <c r="T2200" s="22"/>
      <c r="U2200" s="22"/>
      <c r="V2200" s="22">
        <v>1507</v>
      </c>
      <c r="W2200" s="22">
        <f>1945*0.805</f>
        <v>1565.7250000000001</v>
      </c>
      <c r="X2200" s="141">
        <v>1571</v>
      </c>
      <c r="Y2200" s="22">
        <v>1644</v>
      </c>
      <c r="Z2200" s="22">
        <v>1703</v>
      </c>
      <c r="AA2200" s="22">
        <v>1771</v>
      </c>
      <c r="AB2200" s="22">
        <v>1843</v>
      </c>
      <c r="AC2200" s="22">
        <v>1908</v>
      </c>
      <c r="AD2200" s="22">
        <v>1945</v>
      </c>
      <c r="AE2200" s="22"/>
      <c r="AG2200" s="71"/>
      <c r="AH2200" s="71"/>
      <c r="AI2200" s="71">
        <v>1528</v>
      </c>
      <c r="AJ2200" s="71">
        <v>1536</v>
      </c>
      <c r="AK2200" s="71"/>
      <c r="AL2200" s="71"/>
      <c r="AM2200" s="71"/>
      <c r="AN2200" s="71"/>
      <c r="AO2200" s="71"/>
      <c r="AP2200" s="71"/>
      <c r="AQ2200" s="71"/>
      <c r="AR2200" s="71"/>
      <c r="AS2200" s="94" cm="1">
        <f t="array" ref="AS2200">IFERROR(INDEX(T2200:AE2200,1,MATCH(2,1/(T2200:AE2200&lt;&gt;""))),"")</f>
        <v>1945</v>
      </c>
      <c r="AT2200" s="95" cm="1">
        <f t="array" ref="AT2200">IFERROR(INDEX(AJ2200:AR2200,1,MATCH(2,1/(AJ2200:AR2200&lt;&gt;""))),"")</f>
        <v>1536</v>
      </c>
      <c r="AU2200" s="97">
        <f>AT2200</f>
        <v>1536</v>
      </c>
      <c r="AW2200" s="51">
        <f>IFERROR(IF(AG2200="",0,AG2200/$AD2200),0)</f>
        <v>0</v>
      </c>
      <c r="AX2200" s="51">
        <f>IFERROR(IF(AH2200="",0,AH2200/$AD2200),0)</f>
        <v>0</v>
      </c>
      <c r="AY2200" s="51">
        <f>IFERROR(IF(AI2200="",0,AI2200/$AD2200),0)</f>
        <v>0.78560411311053979</v>
      </c>
      <c r="AZ2200" s="51">
        <f>IFERROR(IF(AJ2200="",0,AJ2200/$AD2200),0)</f>
        <v>0.78971722365038566</v>
      </c>
      <c r="BA2200" s="51"/>
      <c r="BB2200" s="51"/>
      <c r="BC2200" s="51"/>
      <c r="BD2200" s="51"/>
      <c r="BE2200" s="51"/>
      <c r="BF2200" s="51"/>
      <c r="BG2200" s="51"/>
      <c r="BH2200" s="51"/>
      <c r="BI2200" s="65" cm="1">
        <f t="array" ref="BI2200">IFERROR(INDEX(AW2200:BH2200,1,MATCH(2,1/(AW2200:BH2200&lt;&gt;""))),"")</f>
        <v>0.78971722365038566</v>
      </c>
      <c r="BJ2200" s="68" cm="1">
        <f t="array" ref="BJ2200">IF(BM2200 = "", "",IFERROR(INDEX(AW2200:BH2200,1,MATCH(2,1/(AW2200:BH2200&lt;&gt;""),1)-1),""))</f>
        <v>0.78560411311053979</v>
      </c>
      <c r="BK2200" s="58" cm="1">
        <f t="array" ref="BK2200">IFERROR(INDEX(AW2200:BH2200,1,MATCH(2,1/(AW2200:BH2200&lt;&gt;""))),"")</f>
        <v>0.78971722365038566</v>
      </c>
      <c r="BL2200" s="58" cm="1">
        <f t="array" ref="BL2200">IFERROR(INDEX(AW2200:BH2200,1,MATCH(2,1/(AW2200:BH2200&lt;&gt;""),1)-1),"")</f>
        <v>0.78560411311053979</v>
      </c>
      <c r="BM2200" s="55" cm="1">
        <f t="array" ref="BM2200">IFERROR(
   INDEX($AW$1:$BH$1,
      _xlfn.AGGREGATE(14, 6, COLUMN($AW$1:$BH$1)/(AW2200:BH2200&lt;&gt;""), 2) - COLUMN($AW$1) + 1
   ),
"")</f>
        <v>46082</v>
      </c>
      <c r="BN2200" s="55" cm="1">
        <f t="array" ref="BN2200">IFERROR(INDEX($AW$1:$BH$1,1,MATCH(2,1/(AW2200:BH2200&lt;&gt;""))),"")</f>
        <v>46113</v>
      </c>
      <c r="BO2200" s="119" cm="1">
        <f t="array" aca="1" ref="BO2200" ca="1">_xlfn.LET(
    _xlpm.mes_num, MONTH(TODAY())-1,
    _xlpm.coluna_ajustada, IF(_xlpm.mes_num=0, 12, _xlpm.mes_num),
    _xlpm.realizado_mes_anterior, INDEX(T2200:AE2200, 1, _xlpm.coluna_ajustada),
    _xlpm.previsto_total, AC2200,
    _xlpm.realizado_mes_anterior / _xlpm.previsto_total
)</f>
        <v>0.82337526205450728</v>
      </c>
      <c r="BP2200" s="53">
        <f ca="1">IFERROR(_xlfn.XLOOKUP(F2200,Apuração!A:A,Apuração!D:D)/_xlfn.XLOOKUP(F2200,Apuração!A:A,Apuração!B:B),0)</f>
        <v>0.2</v>
      </c>
      <c r="BQ2200" s="53">
        <f ca="1">IF(BK2200&gt;=BO2200,0,_xlfn.XLOOKUP(F2200,Apuração!A:A,Apuração!B:B)*(BO2200 + (1/_xlfn.XLOOKUP(F2200,Apuração!A:A,Apuração!B:B)) - BK2200))</f>
        <v>1.336580384041216</v>
      </c>
      <c r="BR2200" s="85">
        <f ca="1">IF(BQ2200=0,0,BQ2200*Z2200)</f>
        <v>2276.1963940221908</v>
      </c>
      <c r="BS2200" s="53">
        <f ca="1">IFERROR((_xlfn.XLOOKUP(F2200,Apuração!A:A,Apuração!C:C)+1)/_xlfn.XLOOKUP(F2200,Apuração!A:A,Apuração!B:B),0)</f>
        <v>0.4</v>
      </c>
    </row>
    <row r="2201" spans="1:71" ht="25.95" hidden="1" customHeight="1" x14ac:dyDescent="0.3">
      <c r="A2201" s="33" t="s">
        <v>175</v>
      </c>
      <c r="B2201" s="4" t="s">
        <v>184</v>
      </c>
      <c r="C2201" s="5" t="s">
        <v>216</v>
      </c>
      <c r="D2201" s="5" t="s">
        <v>217</v>
      </c>
      <c r="E2201" s="4" t="str" cm="1">
        <f t="array" ref="E2201">_xlfn.IFS(
F2201 = "A partir de Abril", "Aguardando Execução na Distribuidora",
A2201 = "CAPACITAÇÃO", "Em execução no Corporativo",
TRUE, "Em Execução na Distribuidora"
)</f>
        <v>Em execução no Corporativo</v>
      </c>
      <c r="F2201" s="4" t="str" cm="1">
        <f t="array" ref="F2201">_xlfn.IFS(
AG2201 &lt;&gt; "", "Jan-Dez/26",
AH2201 &lt;&gt; "", "Fev-Dez/26",
AI2201 &lt;&gt; "", "Mar-Dez/26", AJ2201 &lt;&gt; "", "Abr-Dez/26",
TRUE, "A partir de Junho"
)</f>
        <v>Mar-Dez/26</v>
      </c>
      <c r="G2201" s="4" t="s">
        <v>37</v>
      </c>
      <c r="H2201" s="7" t="s">
        <v>38</v>
      </c>
      <c r="I2201" s="8" t="s">
        <v>177</v>
      </c>
      <c r="J2201" s="8" t="str" cm="1">
        <f t="array" aca="1" ref="J2201" ca="1">_xlfn.LET(
  _xlpm.actual_value_month, INDEX(T2201:AE2201, MATCH(DATE(YEAR(TODAY()), MONTH(TODAY()), 1), $T$1:$AE$1, 0)),
  IF(_xlpm.actual_value_month &lt;&gt; "", _xlpm.actual_value_month &amp; " certificados mensais", "")
)</f>
        <v>338 certificados mensais</v>
      </c>
      <c r="K2201" s="8" t="str">
        <f>_xlfn.LET(
    _xlpm.month, AC2201,
    IF(_xlpm.month = 0, "", _xlpm.month &amp; " meta de certificados anuais")
)</f>
        <v>370 meta de certificados anuais</v>
      </c>
      <c r="L2201" s="9" t="s">
        <v>185</v>
      </c>
      <c r="M2201" s="13">
        <v>1</v>
      </c>
      <c r="N2201" s="5" t="s">
        <v>42</v>
      </c>
      <c r="O2201" s="5" t="s">
        <v>43</v>
      </c>
      <c r="P2201" s="10" t="s">
        <v>146</v>
      </c>
      <c r="Q2201" s="10" t="s">
        <v>44</v>
      </c>
      <c r="R2201" s="11" t="s">
        <v>179</v>
      </c>
      <c r="S2201" s="11" t="s">
        <v>67</v>
      </c>
      <c r="T2201" s="22"/>
      <c r="U2201" s="22"/>
      <c r="V2201" s="143">
        <v>322</v>
      </c>
      <c r="W2201" s="143">
        <v>322</v>
      </c>
      <c r="X2201" s="143">
        <v>330</v>
      </c>
      <c r="Y2201" s="143">
        <v>338</v>
      </c>
      <c r="Z2201" s="143">
        <v>346</v>
      </c>
      <c r="AA2201" s="143">
        <v>354</v>
      </c>
      <c r="AB2201" s="143">
        <v>362</v>
      </c>
      <c r="AC2201" s="143">
        <v>370</v>
      </c>
      <c r="AD2201" s="143">
        <v>378</v>
      </c>
      <c r="AE2201" s="22"/>
      <c r="AG2201" s="71"/>
      <c r="AH2201" s="71"/>
      <c r="AI2201" s="82">
        <v>322</v>
      </c>
      <c r="AJ2201" s="82">
        <v>322</v>
      </c>
      <c r="AK2201" s="71"/>
      <c r="AL2201" s="71"/>
      <c r="AM2201" s="71"/>
      <c r="AN2201" s="71"/>
      <c r="AO2201" s="71"/>
      <c r="AP2201" s="71"/>
      <c r="AQ2201" s="71"/>
      <c r="AR2201" s="71"/>
      <c r="AS2201" s="94" cm="1">
        <f t="array" ref="AS2201">IFERROR(INDEX(T2201:AE2201,1,MATCH(2,1/(T2201:AE2201&lt;&gt;""))),"")</f>
        <v>378</v>
      </c>
      <c r="AT2201" s="95" cm="1">
        <f t="array" ref="AT2201">IFERROR(INDEX(AJ2201:AR2201,1,MATCH(2,1/(AJ2201:AR2201&lt;&gt;""))),"")</f>
        <v>322</v>
      </c>
      <c r="AU2201" s="97">
        <f t="shared" ref="AU2201:AU2204" si="2621">AT2201</f>
        <v>322</v>
      </c>
      <c r="AW2201" s="51">
        <f t="shared" ref="AW2201:AW2204" si="2622">IFERROR(IF(AG2201="",0,AG2201/$AD2201),0)</f>
        <v>0</v>
      </c>
      <c r="AX2201" s="51">
        <f t="shared" ref="AX2201:AX2204" si="2623">IFERROR(IF(AH2201="",0,AH2201/$AD2201),0)</f>
        <v>0</v>
      </c>
      <c r="AY2201" s="51">
        <f t="shared" ref="AY2201:AY2204" si="2624">IFERROR(IF(AI2201="",0,AI2201/$AD2201),0)</f>
        <v>0.85185185185185186</v>
      </c>
      <c r="AZ2201" s="51">
        <f t="shared" ref="AZ2201:AZ2204" si="2625">IFERROR(IF(AJ2201="",0,AJ2201/$AD2201),0)</f>
        <v>0.85185185185185186</v>
      </c>
      <c r="BA2201" s="51"/>
      <c r="BB2201" s="51"/>
      <c r="BC2201" s="51"/>
      <c r="BD2201" s="51"/>
      <c r="BE2201" s="51"/>
      <c r="BF2201" s="51"/>
      <c r="BG2201" s="51"/>
      <c r="BH2201" s="51"/>
      <c r="BI2201" s="65" cm="1">
        <f t="array" ref="BI2201">IFERROR(INDEX(AW2201:BH2201,1,MATCH(2,1/(AW2201:BH2201&lt;&gt;""))),"")</f>
        <v>0.85185185185185186</v>
      </c>
      <c r="BJ2201" s="68" cm="1">
        <f t="array" ref="BJ2201">IF(BM2201 = "", "",IFERROR(INDEX(AW2201:BH2201,1,MATCH(2,1/(AW2201:BH2201&lt;&gt;""),1)-1),""))</f>
        <v>0.85185185185185186</v>
      </c>
      <c r="BK2201" s="58" cm="1">
        <f t="array" ref="BK2201">IFERROR(INDEX(AW2201:BH2201,1,MATCH(2,1/(AW2201:BH2201&lt;&gt;""))),"")</f>
        <v>0.85185185185185186</v>
      </c>
      <c r="BL2201" s="58" cm="1">
        <f t="array" ref="BL2201">IFERROR(INDEX(AW2201:BH2201,1,MATCH(2,1/(AW2201:BH2201&lt;&gt;""),1)-1),"")</f>
        <v>0.85185185185185186</v>
      </c>
      <c r="BM2201" s="55" cm="1">
        <f t="array" ref="BM2201">IFERROR(
   INDEX($AW$1:$BH$1,
      _xlfn.AGGREGATE(14, 6, COLUMN($AW$1:$BH$1)/(AW2201:BH2201&lt;&gt;""), 2) - COLUMN($AW$1) + 1
   ),
"")</f>
        <v>46082</v>
      </c>
      <c r="BN2201" s="55" cm="1">
        <f t="array" ref="BN2201">IFERROR(INDEX($AW$1:$BH$1,1,MATCH(2,1/(AW2201:BH2201&lt;&gt;""))),"")</f>
        <v>46113</v>
      </c>
      <c r="BO2201" s="119" cm="1">
        <f t="array" aca="1" ref="BO2201" ca="1">_xlfn.LET(
    _xlpm.mes_num, MONTH(TODAY())-1,
    _xlpm.coluna_ajustada, IF(_xlpm.mes_num=0, 12, _xlpm.mes_num),
    _xlpm.realizado_mes_anterior, INDEX(T2201:AE2201, 1, _xlpm.coluna_ajustada),
    _xlpm.previsto_total, AC2201,
    _xlpm.realizado_mes_anterior / _xlpm.previsto_total
)</f>
        <v>0.89189189189189189</v>
      </c>
      <c r="BP2201" s="53">
        <f ca="1">IFERROR(_xlfn.XLOOKUP(F2201,Apuração!A:A,Apuração!D:D)/_xlfn.XLOOKUP(F2201,Apuração!A:A,Apuração!B:B),0)</f>
        <v>0.2</v>
      </c>
      <c r="BQ2201" s="53">
        <f ca="1">IF(BK2201&gt;=BO2201,0,_xlfn.XLOOKUP(F2201,Apuração!A:A,Apuração!B:B)*(BO2201 + (1/_xlfn.XLOOKUP(F2201,Apuração!A:A,Apuração!B:B)) - BK2201))</f>
        <v>1.4004004004004</v>
      </c>
      <c r="BR2201" s="85">
        <f t="shared" ref="BR2201:BR2204" ca="1" si="2626">IF(BQ2201=0,0,BQ2201*Z2201)</f>
        <v>484.53853853853843</v>
      </c>
      <c r="BS2201" s="53">
        <f ca="1">IFERROR((_xlfn.XLOOKUP(F2201,Apuração!A:A,Apuração!C:C)+1)/_xlfn.XLOOKUP(F2201,Apuração!A:A,Apuração!B:B),0)</f>
        <v>0.4</v>
      </c>
    </row>
    <row r="2202" spans="1:71" ht="25.95" hidden="1" customHeight="1" x14ac:dyDescent="0.3">
      <c r="A2202" s="33" t="s">
        <v>175</v>
      </c>
      <c r="B2202" s="4" t="s">
        <v>184</v>
      </c>
      <c r="C2202" s="5" t="s">
        <v>216</v>
      </c>
      <c r="D2202" s="5" t="s">
        <v>103</v>
      </c>
      <c r="E2202" s="4" t="str" cm="1">
        <f t="array" ref="E2202">_xlfn.IFS(
F2202 = "A partir de Abril", "Aguardando Execução na Distribuidora",
A2202 = "CAPACITAÇÃO", "Em execução no Corporativo",
TRUE, "Em Execução na Distribuidora"
)</f>
        <v>Em execução no Corporativo</v>
      </c>
      <c r="F2202" s="4" t="str" cm="1">
        <f t="array" ref="F2202">_xlfn.IFS(
AG2202 &lt;&gt; "", "Jan-Dez/26",
AH2202 &lt;&gt; "", "Fev-Dez/26",
AI2202 &lt;&gt; "", "Mar-Dez/26", AJ2202 &lt;&gt; "", "Abr-Dez/26",
TRUE, "A partir de Junho"
)</f>
        <v>Mar-Dez/26</v>
      </c>
      <c r="G2202" s="4" t="s">
        <v>37</v>
      </c>
      <c r="H2202" s="7" t="s">
        <v>38</v>
      </c>
      <c r="I2202" s="8" t="s">
        <v>177</v>
      </c>
      <c r="J2202" s="8" t="str" cm="1">
        <f t="array" aca="1" ref="J2202" ca="1">_xlfn.LET(
  _xlpm.actual_value_month, INDEX(T2202:AE2202, MATCH(DATE(YEAR(TODAY()), MONTH(TODAY()), 1), $T$1:$AE$1, 0)),
  IF(_xlpm.actual_value_month &lt;&gt; "", _xlpm.actual_value_month &amp; " certificados mensais", "")
)</f>
        <v>792 certificados mensais</v>
      </c>
      <c r="K2202" s="8" t="str">
        <f>_xlfn.LET(
    _xlpm.month, AC2202,
    IF(_xlpm.month = 0, "", _xlpm.month &amp; " meta de certificados anuais")
)</f>
        <v>936 meta de certificados anuais</v>
      </c>
      <c r="L2202" s="9" t="s">
        <v>185</v>
      </c>
      <c r="M2202" s="13">
        <v>1</v>
      </c>
      <c r="N2202" s="5" t="s">
        <v>42</v>
      </c>
      <c r="O2202" s="5" t="s">
        <v>43</v>
      </c>
      <c r="P2202" s="10" t="s">
        <v>146</v>
      </c>
      <c r="Q2202" s="10" t="s">
        <v>44</v>
      </c>
      <c r="R2202" s="11" t="s">
        <v>179</v>
      </c>
      <c r="S2202" s="11" t="s">
        <v>67</v>
      </c>
      <c r="T2202" s="22"/>
      <c r="U2202" s="22"/>
      <c r="V2202" s="143">
        <v>730</v>
      </c>
      <c r="W2202" s="143">
        <v>730</v>
      </c>
      <c r="X2202" s="143">
        <v>753</v>
      </c>
      <c r="Y2202" s="143">
        <v>792</v>
      </c>
      <c r="Z2202" s="143">
        <v>822</v>
      </c>
      <c r="AA2202" s="143">
        <v>861</v>
      </c>
      <c r="AB2202" s="143">
        <v>901</v>
      </c>
      <c r="AC2202" s="143">
        <v>936</v>
      </c>
      <c r="AD2202" s="143">
        <v>963</v>
      </c>
      <c r="AE2202" s="22"/>
      <c r="AG2202" s="71"/>
      <c r="AH2202" s="71"/>
      <c r="AI2202" s="82">
        <v>730</v>
      </c>
      <c r="AJ2202" s="82">
        <v>730</v>
      </c>
      <c r="AK2202" s="71"/>
      <c r="AL2202" s="71"/>
      <c r="AM2202" s="71"/>
      <c r="AN2202" s="71"/>
      <c r="AO2202" s="71"/>
      <c r="AP2202" s="71"/>
      <c r="AQ2202" s="71"/>
      <c r="AR2202" s="71"/>
      <c r="AS2202" s="94" cm="1">
        <f t="array" ref="AS2202">IFERROR(INDEX(T2202:AE2202,1,MATCH(2,1/(T2202:AE2202&lt;&gt;""))),"")</f>
        <v>963</v>
      </c>
      <c r="AT2202" s="95" cm="1">
        <f t="array" ref="AT2202">IFERROR(INDEX(AJ2202:AR2202,1,MATCH(2,1/(AJ2202:AR2202&lt;&gt;""))),"")</f>
        <v>730</v>
      </c>
      <c r="AU2202" s="97">
        <f t="shared" si="2621"/>
        <v>730</v>
      </c>
      <c r="AW2202" s="51">
        <f t="shared" si="2622"/>
        <v>0</v>
      </c>
      <c r="AX2202" s="51">
        <f t="shared" si="2623"/>
        <v>0</v>
      </c>
      <c r="AY2202" s="51">
        <f t="shared" si="2624"/>
        <v>0.75804776739356183</v>
      </c>
      <c r="AZ2202" s="51">
        <f t="shared" si="2625"/>
        <v>0.75804776739356183</v>
      </c>
      <c r="BA2202" s="51"/>
      <c r="BB2202" s="51"/>
      <c r="BC2202" s="51"/>
      <c r="BD2202" s="51"/>
      <c r="BE2202" s="51"/>
      <c r="BF2202" s="51"/>
      <c r="BG2202" s="51"/>
      <c r="BH2202" s="51"/>
      <c r="BI2202" s="65" cm="1">
        <f t="array" ref="BI2202">IFERROR(INDEX(AW2202:BH2202,1,MATCH(2,1/(AW2202:BH2202&lt;&gt;""))),"")</f>
        <v>0.75804776739356183</v>
      </c>
      <c r="BJ2202" s="68" cm="1">
        <f t="array" ref="BJ2202">IF(BM2202 = "", "",IFERROR(INDEX(AW2202:BH2202,1,MATCH(2,1/(AW2202:BH2202&lt;&gt;""),1)-1),""))</f>
        <v>0.75804776739356183</v>
      </c>
      <c r="BK2202" s="58" cm="1">
        <f t="array" ref="BK2202">IFERROR(INDEX(AW2202:BH2202,1,MATCH(2,1/(AW2202:BH2202&lt;&gt;""))),"")</f>
        <v>0.75804776739356183</v>
      </c>
      <c r="BL2202" s="58" cm="1">
        <f t="array" ref="BL2202">IFERROR(INDEX(AW2202:BH2202,1,MATCH(2,1/(AW2202:BH2202&lt;&gt;""),1)-1),"")</f>
        <v>0.75804776739356183</v>
      </c>
      <c r="BM2202" s="55" cm="1">
        <f t="array" ref="BM2202">IFERROR(
   INDEX($AW$1:$BH$1,
      _xlfn.AGGREGATE(14, 6, COLUMN($AW$1:$BH$1)/(AW2202:BH2202&lt;&gt;""), 2) - COLUMN($AW$1) + 1
   ),
"")</f>
        <v>46082</v>
      </c>
      <c r="BN2202" s="55" cm="1">
        <f t="array" ref="BN2202">IFERROR(INDEX($AW$1:$BH$1,1,MATCH(2,1/(AW2202:BH2202&lt;&gt;""))),"")</f>
        <v>46113</v>
      </c>
      <c r="BO2202" s="119" cm="1">
        <f t="array" aca="1" ref="BO2202" ca="1">_xlfn.LET(
    _xlpm.mes_num, MONTH(TODAY())-1,
    _xlpm.coluna_ajustada, IF(_xlpm.mes_num=0, 12, _xlpm.mes_num),
    _xlpm.realizado_mes_anterior, INDEX(T2202:AE2202, 1, _xlpm.coluna_ajustada),
    _xlpm.previsto_total, AC2202,
    _xlpm.realizado_mes_anterior / _xlpm.previsto_total
)</f>
        <v>0.80448717948717952</v>
      </c>
      <c r="BP2202" s="53">
        <f ca="1">IFERROR(_xlfn.XLOOKUP(F2202,Apuração!A:A,Apuração!D:D)/_xlfn.XLOOKUP(F2202,Apuração!A:A,Apuração!B:B),0)</f>
        <v>0.2</v>
      </c>
      <c r="BQ2202" s="53">
        <f ca="1">IF(BK2202&gt;=BO2202,0,_xlfn.XLOOKUP(F2202,Apuração!A:A,Apuração!B:B)*(BO2202 + (1/_xlfn.XLOOKUP(F2202,Apuração!A:A,Apuração!B:B)) - BK2202))</f>
        <v>1.4643941209361766</v>
      </c>
      <c r="BR2202" s="85">
        <f t="shared" ca="1" si="2626"/>
        <v>1203.7319674095372</v>
      </c>
      <c r="BS2202" s="53">
        <f ca="1">IFERROR((_xlfn.XLOOKUP(F2202,Apuração!A:A,Apuração!C:C)+1)/_xlfn.XLOOKUP(F2202,Apuração!A:A,Apuração!B:B),0)</f>
        <v>0.4</v>
      </c>
    </row>
    <row r="2203" spans="1:71" ht="25.95" hidden="1" customHeight="1" x14ac:dyDescent="0.3">
      <c r="A2203" s="33" t="s">
        <v>175</v>
      </c>
      <c r="B2203" s="4" t="s">
        <v>184</v>
      </c>
      <c r="C2203" s="5" t="s">
        <v>216</v>
      </c>
      <c r="D2203" s="5" t="s">
        <v>218</v>
      </c>
      <c r="E2203" s="4" t="str" cm="1">
        <f t="array" ref="E2203">_xlfn.IFS(
F2203 = "A partir de Abril", "Aguardando Execução na Distribuidora",
A2203 = "CAPACITAÇÃO", "Em execução no Corporativo",
TRUE, "Em Execução na Distribuidora"
)</f>
        <v>Em execução no Corporativo</v>
      </c>
      <c r="F2203" s="4" t="str" cm="1">
        <f t="array" ref="F2203">_xlfn.IFS(
AG2203 &lt;&gt; "", "Jan-Dez/26",
AH2203 &lt;&gt; "", "Fev-Dez/26",
AI2203 &lt;&gt; "", "Mar-Dez/26", AJ2203 &lt;&gt; "", "Abr-Dez/26",
TRUE, "A partir de Junho"
)</f>
        <v>Mar-Dez/26</v>
      </c>
      <c r="G2203" s="4" t="s">
        <v>37</v>
      </c>
      <c r="H2203" s="7" t="s">
        <v>38</v>
      </c>
      <c r="I2203" s="8" t="s">
        <v>177</v>
      </c>
      <c r="J2203" s="8" t="str" cm="1">
        <f t="array" aca="1" ref="J2203" ca="1">_xlfn.LET(
  _xlpm.actual_value_month, INDEX(T2203:AE2203, MATCH(DATE(YEAR(TODAY()), MONTH(TODAY()), 1), $T$1:$AE$1, 0)),
  IF(_xlpm.actual_value_month &lt;&gt; "", _xlpm.actual_value_month &amp; " certificados mensais", "")
)</f>
        <v>299 certificados mensais</v>
      </c>
      <c r="K2203" s="8" t="str">
        <f>_xlfn.LET(
    _xlpm.month, AC2203,
    IF(_xlpm.month = 0, "", _xlpm.month &amp; " meta de certificados anuais")
)</f>
        <v>362 meta de certificados anuais</v>
      </c>
      <c r="L2203" s="9" t="s">
        <v>185</v>
      </c>
      <c r="M2203" s="13">
        <v>1</v>
      </c>
      <c r="N2203" s="5" t="s">
        <v>42</v>
      </c>
      <c r="O2203" s="5" t="s">
        <v>43</v>
      </c>
      <c r="P2203" s="10" t="s">
        <v>146</v>
      </c>
      <c r="Q2203" s="10" t="s">
        <v>44</v>
      </c>
      <c r="R2203" s="11" t="s">
        <v>179</v>
      </c>
      <c r="S2203" s="11" t="s">
        <v>67</v>
      </c>
      <c r="T2203" s="22"/>
      <c r="U2203" s="22"/>
      <c r="V2203" s="143">
        <v>249</v>
      </c>
      <c r="W2203" s="143">
        <v>259</v>
      </c>
      <c r="X2203" s="143">
        <v>279</v>
      </c>
      <c r="Y2203" s="143">
        <v>299</v>
      </c>
      <c r="Z2203" s="143">
        <v>314</v>
      </c>
      <c r="AA2203" s="143">
        <v>329</v>
      </c>
      <c r="AB2203" s="143">
        <v>348</v>
      </c>
      <c r="AC2203" s="143">
        <v>362</v>
      </c>
      <c r="AD2203" s="143">
        <v>362</v>
      </c>
      <c r="AE2203" s="22"/>
      <c r="AG2203" s="71"/>
      <c r="AH2203" s="71"/>
      <c r="AI2203" s="82">
        <v>249</v>
      </c>
      <c r="AJ2203" s="82">
        <v>249</v>
      </c>
      <c r="AK2203" s="71"/>
      <c r="AL2203" s="71"/>
      <c r="AM2203" s="71"/>
      <c r="AN2203" s="71"/>
      <c r="AO2203" s="71"/>
      <c r="AP2203" s="71"/>
      <c r="AQ2203" s="71"/>
      <c r="AR2203" s="71"/>
      <c r="AS2203" s="94" cm="1">
        <f t="array" ref="AS2203">IFERROR(INDEX(T2203:AE2203,1,MATCH(2,1/(T2203:AE2203&lt;&gt;""))),"")</f>
        <v>362</v>
      </c>
      <c r="AT2203" s="95" cm="1">
        <f t="array" ref="AT2203">IFERROR(INDEX(AJ2203:AR2203,1,MATCH(2,1/(AJ2203:AR2203&lt;&gt;""))),"")</f>
        <v>249</v>
      </c>
      <c r="AU2203" s="97">
        <f t="shared" si="2621"/>
        <v>249</v>
      </c>
      <c r="AW2203" s="51">
        <f t="shared" si="2622"/>
        <v>0</v>
      </c>
      <c r="AX2203" s="51">
        <f t="shared" si="2623"/>
        <v>0</v>
      </c>
      <c r="AY2203" s="51">
        <f t="shared" si="2624"/>
        <v>0.68784530386740328</v>
      </c>
      <c r="AZ2203" s="51">
        <f t="shared" si="2625"/>
        <v>0.68784530386740328</v>
      </c>
      <c r="BA2203" s="51"/>
      <c r="BB2203" s="51"/>
      <c r="BC2203" s="51"/>
      <c r="BD2203" s="51"/>
      <c r="BE2203" s="51"/>
      <c r="BF2203" s="51"/>
      <c r="BG2203" s="51"/>
      <c r="BH2203" s="51"/>
      <c r="BI2203" s="65" cm="1">
        <f t="array" ref="BI2203">IFERROR(INDEX(AW2203:BH2203,1,MATCH(2,1/(AW2203:BH2203&lt;&gt;""))),"")</f>
        <v>0.68784530386740328</v>
      </c>
      <c r="BJ2203" s="68" cm="1">
        <f t="array" ref="BJ2203">IF(BM2203 = "", "",IFERROR(INDEX(AW2203:BH2203,1,MATCH(2,1/(AW2203:BH2203&lt;&gt;""),1)-1),""))</f>
        <v>0.68784530386740328</v>
      </c>
      <c r="BK2203" s="58" cm="1">
        <f t="array" ref="BK2203">IFERROR(INDEX(AW2203:BH2203,1,MATCH(2,1/(AW2203:BH2203&lt;&gt;""))),"")</f>
        <v>0.68784530386740328</v>
      </c>
      <c r="BL2203" s="58" cm="1">
        <f t="array" ref="BL2203">IFERROR(INDEX(AW2203:BH2203,1,MATCH(2,1/(AW2203:BH2203&lt;&gt;""),1)-1),"")</f>
        <v>0.68784530386740328</v>
      </c>
      <c r="BM2203" s="55" cm="1">
        <f t="array" ref="BM2203">IFERROR(
   INDEX($AW$1:$BH$1,
      _xlfn.AGGREGATE(14, 6, COLUMN($AW$1:$BH$1)/(AW2203:BH2203&lt;&gt;""), 2) - COLUMN($AW$1) + 1
   ),
"")</f>
        <v>46082</v>
      </c>
      <c r="BN2203" s="55" cm="1">
        <f t="array" ref="BN2203">IFERROR(INDEX($AW$1:$BH$1,1,MATCH(2,1/(AW2203:BH2203&lt;&gt;""))),"")</f>
        <v>46113</v>
      </c>
      <c r="BO2203" s="119" cm="1">
        <f t="array" aca="1" ref="BO2203" ca="1">_xlfn.LET(
    _xlpm.mes_num, MONTH(TODAY())-1,
    _xlpm.coluna_ajustada, IF(_xlpm.mes_num=0, 12, _xlpm.mes_num),
    _xlpm.realizado_mes_anterior, INDEX(T2203:AE2203, 1, _xlpm.coluna_ajustada),
    _xlpm.previsto_total, AC2203,
    _xlpm.realizado_mes_anterior / _xlpm.previsto_total
)</f>
        <v>0.77071823204419887</v>
      </c>
      <c r="BP2203" s="53">
        <f ca="1">IFERROR(_xlfn.XLOOKUP(F2203,Apuração!A:A,Apuração!D:D)/_xlfn.XLOOKUP(F2203,Apuração!A:A,Apuração!B:B),0)</f>
        <v>0.2</v>
      </c>
      <c r="BQ2203" s="53">
        <f ca="1">IF(BK2203&gt;=BO2203,0,_xlfn.XLOOKUP(F2203,Apuração!A:A,Apuração!B:B)*(BO2203 + (1/_xlfn.XLOOKUP(F2203,Apuração!A:A,Apuração!B:B)) - BK2203))</f>
        <v>1.8287292817679557</v>
      </c>
      <c r="BR2203" s="85">
        <f t="shared" ca="1" si="2626"/>
        <v>574.22099447513813</v>
      </c>
      <c r="BS2203" s="53">
        <f ca="1">IFERROR((_xlfn.XLOOKUP(F2203,Apuração!A:A,Apuração!C:C)+1)/_xlfn.XLOOKUP(F2203,Apuração!A:A,Apuração!B:B),0)</f>
        <v>0.4</v>
      </c>
    </row>
    <row r="2204" spans="1:71" ht="25.95" hidden="1" customHeight="1" x14ac:dyDescent="0.3">
      <c r="A2204" s="33" t="s">
        <v>175</v>
      </c>
      <c r="B2204" s="4" t="s">
        <v>184</v>
      </c>
      <c r="C2204" s="5" t="s">
        <v>216</v>
      </c>
      <c r="D2204" s="5" t="s">
        <v>219</v>
      </c>
      <c r="E2204" s="4" t="str" cm="1">
        <f t="array" ref="E2204">_xlfn.IFS(
F2204 = "A partir de Abril", "Aguardando Execução na Distribuidora",
A2204 = "CAPACITAÇÃO", "Em execução no Corporativo",
TRUE, "Em Execução na Distribuidora"
)</f>
        <v>Em execução no Corporativo</v>
      </c>
      <c r="F2204" s="4" t="str" cm="1">
        <f t="array" ref="F2204">_xlfn.IFS(
AG2204 &lt;&gt; "", "Jan-Dez/26",
AH2204 &lt;&gt; "", "Fev-Dez/26",
AI2204 &lt;&gt; "", "Mar-Dez/26", AJ2204 &lt;&gt; "", "Abr-Dez/26",
TRUE, "A partir de Junho"
)</f>
        <v>Mar-Dez/26</v>
      </c>
      <c r="G2204" s="4" t="s">
        <v>37</v>
      </c>
      <c r="H2204" s="7" t="s">
        <v>38</v>
      </c>
      <c r="I2204" s="8" t="s">
        <v>177</v>
      </c>
      <c r="J2204" s="8" t="str" cm="1">
        <f t="array" aca="1" ref="J2204" ca="1">_xlfn.LET(
  _xlpm.actual_value_month, INDEX(T2204:AE2204, MATCH(DATE(YEAR(TODAY()), MONTH(TODAY()), 1), $T$1:$AE$1, 0)),
  IF(_xlpm.actual_value_month &lt;&gt; "", _xlpm.actual_value_month &amp; " certificados mensais", "")
)</f>
        <v>245 certificados mensais</v>
      </c>
      <c r="K2204" s="8" t="str">
        <f>_xlfn.LET(
    _xlpm.month, AC2204,
    IF(_xlpm.month = 0, "", _xlpm.month &amp; " meta de certificados anuais")
)</f>
        <v>264 meta de certificados anuais</v>
      </c>
      <c r="L2204" s="9" t="s">
        <v>185</v>
      </c>
      <c r="M2204" s="13">
        <v>1</v>
      </c>
      <c r="N2204" s="5" t="s">
        <v>42</v>
      </c>
      <c r="O2204" s="5" t="s">
        <v>43</v>
      </c>
      <c r="P2204" s="10" t="s">
        <v>146</v>
      </c>
      <c r="Q2204" s="10" t="s">
        <v>44</v>
      </c>
      <c r="R2204" s="11" t="s">
        <v>179</v>
      </c>
      <c r="S2204" s="11" t="s">
        <v>67</v>
      </c>
      <c r="T2204" s="22"/>
      <c r="U2204" s="22"/>
      <c r="V2204" s="143">
        <v>235</v>
      </c>
      <c r="W2204" s="143">
        <v>235</v>
      </c>
      <c r="X2204" s="143">
        <v>240</v>
      </c>
      <c r="Y2204" s="143">
        <v>245</v>
      </c>
      <c r="Z2204" s="143">
        <v>250</v>
      </c>
      <c r="AA2204" s="143">
        <v>255</v>
      </c>
      <c r="AB2204" s="143">
        <v>260</v>
      </c>
      <c r="AC2204" s="143">
        <v>264</v>
      </c>
      <c r="AD2204" s="143">
        <v>268</v>
      </c>
      <c r="AE2204" s="22"/>
      <c r="AG2204" s="71"/>
      <c r="AH2204" s="71"/>
      <c r="AI2204" s="82">
        <v>235</v>
      </c>
      <c r="AJ2204" s="82">
        <v>235</v>
      </c>
      <c r="AK2204" s="71"/>
      <c r="AL2204" s="71"/>
      <c r="AM2204" s="71"/>
      <c r="AN2204" s="71"/>
      <c r="AO2204" s="71"/>
      <c r="AP2204" s="71"/>
      <c r="AQ2204" s="71"/>
      <c r="AR2204" s="71"/>
      <c r="AS2204" s="94" cm="1">
        <f t="array" ref="AS2204">IFERROR(INDEX(T2204:AE2204,1,MATCH(2,1/(T2204:AE2204&lt;&gt;""))),"")</f>
        <v>268</v>
      </c>
      <c r="AT2204" s="95" cm="1">
        <f t="array" ref="AT2204">IFERROR(INDEX(AJ2204:AR2204,1,MATCH(2,1/(AJ2204:AR2204&lt;&gt;""))),"")</f>
        <v>235</v>
      </c>
      <c r="AU2204" s="97">
        <f t="shared" si="2621"/>
        <v>235</v>
      </c>
      <c r="AW2204" s="51">
        <f t="shared" si="2622"/>
        <v>0</v>
      </c>
      <c r="AX2204" s="51">
        <f t="shared" si="2623"/>
        <v>0</v>
      </c>
      <c r="AY2204" s="51">
        <f t="shared" si="2624"/>
        <v>0.87686567164179108</v>
      </c>
      <c r="AZ2204" s="51">
        <f t="shared" si="2625"/>
        <v>0.87686567164179108</v>
      </c>
      <c r="BA2204" s="51"/>
      <c r="BB2204" s="51"/>
      <c r="BC2204" s="51"/>
      <c r="BD2204" s="51"/>
      <c r="BE2204" s="51"/>
      <c r="BF2204" s="51"/>
      <c r="BG2204" s="51"/>
      <c r="BH2204" s="51"/>
      <c r="BI2204" s="65" cm="1">
        <f t="array" ref="BI2204">IFERROR(INDEX(AW2204:BH2204,1,MATCH(2,1/(AW2204:BH2204&lt;&gt;""))),"")</f>
        <v>0.87686567164179108</v>
      </c>
      <c r="BJ2204" s="68" cm="1">
        <f t="array" ref="BJ2204">IF(BM2204 = "", "",IFERROR(INDEX(AW2204:BH2204,1,MATCH(2,1/(AW2204:BH2204&lt;&gt;""),1)-1),""))</f>
        <v>0.87686567164179108</v>
      </c>
      <c r="BK2204" s="58" cm="1">
        <f t="array" ref="BK2204">IFERROR(INDEX(AW2204:BH2204,1,MATCH(2,1/(AW2204:BH2204&lt;&gt;""))),"")</f>
        <v>0.87686567164179108</v>
      </c>
      <c r="BL2204" s="58" cm="1">
        <f t="array" ref="BL2204">IFERROR(INDEX(AW2204:BH2204,1,MATCH(2,1/(AW2204:BH2204&lt;&gt;""),1)-1),"")</f>
        <v>0.87686567164179108</v>
      </c>
      <c r="BM2204" s="55" cm="1">
        <f t="array" ref="BM2204">IFERROR(
   INDEX($AW$1:$BH$1,
      _xlfn.AGGREGATE(14, 6, COLUMN($AW$1:$BH$1)/(AW2204:BH2204&lt;&gt;""), 2) - COLUMN($AW$1) + 1
   ),
"")</f>
        <v>46082</v>
      </c>
      <c r="BN2204" s="55" cm="1">
        <f t="array" ref="BN2204">IFERROR(INDEX($AW$1:$BH$1,1,MATCH(2,1/(AW2204:BH2204&lt;&gt;""))),"")</f>
        <v>46113</v>
      </c>
      <c r="BO2204" s="119" cm="1">
        <f t="array" aca="1" ref="BO2204" ca="1">_xlfn.LET(
    _xlpm.mes_num, MONTH(TODAY())-1,
    _xlpm.coluna_ajustada, IF(_xlpm.mes_num=0, 12, _xlpm.mes_num),
    _xlpm.realizado_mes_anterior, INDEX(T2204:AE2204, 1, _xlpm.coluna_ajustada),
    _xlpm.previsto_total, AC2204,
    _xlpm.realizado_mes_anterior / _xlpm.previsto_total
)</f>
        <v>0.90909090909090906</v>
      </c>
      <c r="BP2204" s="53">
        <f ca="1">IFERROR(_xlfn.XLOOKUP(F2204,Apuração!A:A,Apuração!D:D)/_xlfn.XLOOKUP(F2204,Apuração!A:A,Apuração!B:B),0)</f>
        <v>0.2</v>
      </c>
      <c r="BQ2204" s="53">
        <f ca="1">IF(BK2204&gt;=BO2204,0,_xlfn.XLOOKUP(F2204,Apuração!A:A,Apuração!B:B)*(BO2204 + (1/_xlfn.XLOOKUP(F2204,Apuração!A:A,Apuração!B:B)) - BK2204))</f>
        <v>1.3222523744911796</v>
      </c>
      <c r="BR2204" s="85">
        <f t="shared" ca="1" si="2626"/>
        <v>330.5630936227949</v>
      </c>
      <c r="BS2204" s="53">
        <f ca="1">IFERROR((_xlfn.XLOOKUP(F2204,Apuração!A:A,Apuração!C:C)+1)/_xlfn.XLOOKUP(F2204,Apuração!A:A,Apuração!B:B),0)</f>
        <v>0.4</v>
      </c>
    </row>
    <row r="2205" spans="1:71" ht="25.95" hidden="1" customHeight="1" x14ac:dyDescent="0.3">
      <c r="A2205" s="44" t="s">
        <v>175</v>
      </c>
      <c r="B2205" s="4" t="s">
        <v>184</v>
      </c>
      <c r="C2205" s="5" t="s">
        <v>216</v>
      </c>
      <c r="D2205" s="5" t="s">
        <v>36</v>
      </c>
      <c r="E2205" s="4" t="str" cm="1">
        <f t="array" ref="E2205">_xlfn.IFS(
F2205 = "A partir de Abril", "Aguardando Execução na Distribuidora",
A2205 = "CAPACITAÇÃO", "Em execução no Corporativo",
TRUE, "Em Execução na Distribuidora"
)</f>
        <v>Em execução no Corporativo</v>
      </c>
      <c r="F2205" s="4" t="str" cm="1">
        <f t="array" ref="F2205">_xlfn.IFS(
AG2205 &lt;&gt; "", "Jan-Dez/26",
AH2205 &lt;&gt; "", "Fev-Dez/26",
AI2205 &lt;&gt; "", "Mar-Dez/26", AJ2205 &lt;&gt; "", "Abr-Dez/26",
TRUE, "A partir de Junho"
)</f>
        <v>Mar-Dez/26</v>
      </c>
      <c r="G2205" s="4" t="s">
        <v>37</v>
      </c>
      <c r="H2205" s="7" t="s">
        <v>38</v>
      </c>
      <c r="I2205" s="21" t="s">
        <v>180</v>
      </c>
      <c r="J2205" s="8" t="str" cm="1">
        <f t="array" aca="1" ref="J2205" ca="1">_xlfn.LET(
  _xlpm.actual_value_month, INDEX(T2205:AE2205, MATCH(DATE(YEAR(TODAY()), MONTH(TODAY()), 1), $T$1:$AE$1, 0)),
  IF(_xlpm.actual_value_month &lt;&gt; "", _xlpm.actual_value_month &amp; " ações mensais", "")
)</f>
        <v/>
      </c>
      <c r="K2205" s="8" t="str" cm="1">
        <f t="array" ref="K2205">_xlfn.LET(
    _xlpm.sum_month, SUM(T2205:AE2205),
    IF(_xlpm.sum_month = 0, "", _xlpm.sum_month &amp; " colaboradores treinados.")
)</f>
        <v/>
      </c>
      <c r="L2205" s="9" t="s">
        <v>220</v>
      </c>
      <c r="M2205" s="13">
        <v>1</v>
      </c>
      <c r="N2205" s="5" t="s">
        <v>51</v>
      </c>
      <c r="O2205" s="5" t="s">
        <v>52</v>
      </c>
      <c r="P2205" s="10" t="s">
        <v>146</v>
      </c>
      <c r="Q2205" s="10" t="s">
        <v>44</v>
      </c>
      <c r="R2205" s="11" t="s">
        <v>44</v>
      </c>
      <c r="S2205" s="11" t="s">
        <v>44</v>
      </c>
      <c r="T2205" s="22"/>
      <c r="U2205" s="22"/>
      <c r="V2205" s="22"/>
      <c r="W2205" s="22"/>
      <c r="X2205" s="22"/>
      <c r="Y2205" s="22"/>
      <c r="Z2205" s="22"/>
      <c r="AA2205" s="22"/>
      <c r="AB2205" s="22"/>
      <c r="AC2205" s="22"/>
      <c r="AD2205" s="22"/>
      <c r="AE2205" s="22"/>
      <c r="AG2205" s="71"/>
      <c r="AH2205" s="71"/>
      <c r="AI2205" s="71">
        <v>1528</v>
      </c>
      <c r="AJ2205" s="71">
        <v>1536</v>
      </c>
      <c r="AK2205" s="71"/>
      <c r="AL2205" s="71"/>
      <c r="AM2205" s="71"/>
      <c r="AN2205" s="71"/>
      <c r="AO2205" s="71"/>
      <c r="AP2205" s="71"/>
      <c r="AQ2205" s="71"/>
      <c r="AR2205" s="71"/>
      <c r="AS2205" s="94" t="str" cm="1">
        <f t="array" ref="AS2205">IFERROR(INDEX(T2205:AE2205,1,MATCH(2,1/(T2205:AE2205&lt;&gt;""))),"")</f>
        <v/>
      </c>
      <c r="AT2205" s="95" cm="1">
        <f t="array" ref="AT2205">IFERROR(INDEX(AJ2205:AR2205,1,MATCH(2,1/(AJ2205:AR2205&lt;&gt;""))),"")</f>
        <v>1536</v>
      </c>
      <c r="AU2205" s="97">
        <f>AT2205</f>
        <v>1536</v>
      </c>
      <c r="AW2205" s="83">
        <f>AG2205</f>
        <v>0</v>
      </c>
      <c r="AX2205" s="52">
        <f>AH2205</f>
        <v>0</v>
      </c>
      <c r="AY2205" s="52">
        <f>AI2205</f>
        <v>1528</v>
      </c>
      <c r="AZ2205" s="52">
        <f>AJ2205</f>
        <v>1536</v>
      </c>
      <c r="BA2205" s="52"/>
      <c r="BB2205" s="52"/>
      <c r="BC2205" s="52"/>
      <c r="BD2205" s="52"/>
      <c r="BE2205" s="52"/>
      <c r="BF2205" s="52"/>
      <c r="BG2205" s="52"/>
      <c r="BH2205" s="52"/>
      <c r="BI2205" s="68" cm="1">
        <f t="array" ref="BI2205">IFERROR(INDEX(AW2205:BH2205,1,MATCH(2,1/(AW2205:BH2205&lt;&gt;""))),"")</f>
        <v>1536</v>
      </c>
      <c r="BJ2205" s="68" cm="1">
        <f t="array" ref="BJ2205">IF(BM2205 = "", "",IFERROR(INDEX(AW2205:BH2205,1,MATCH(2,1/(AW2205:BH2205&lt;&gt;""),1)-1),""))</f>
        <v>1528</v>
      </c>
      <c r="BK2205" s="59">
        <f>SUM(AW2205:BH2205)</f>
        <v>3064</v>
      </c>
      <c r="BL2205" s="59" cm="1">
        <f t="array" ref="BL2205">IFERROR(SUM(AW2205:INDEX(AW2205:BH2205, MATCH(2, 1/(AW2205:BH2205&lt;&gt;""), 1) - 1))/_xlfn.XLOOKUP(F2205,Apuração!A:A,Apuração!B:B),0)</f>
        <v>152.80000000000001</v>
      </c>
      <c r="BM2205" s="55" cm="1">
        <f t="array" ref="BM2205">IFERROR(
   INDEX($AW$1:$BH$1,
      _xlfn.AGGREGATE(14, 6, COLUMN($AW$1:$BH$1)/(AW2205:BH2205&lt;&gt;""), 2) - COLUMN($AW$1) + 1
   ),
"")</f>
        <v>46082</v>
      </c>
      <c r="BN2205" s="55" cm="1">
        <f t="array" ref="BN2205">IFERROR(INDEX($AW$1:$BH$1,1,MATCH(2,1/(AW2205:BH2205&lt;&gt;""))),"")</f>
        <v>46113</v>
      </c>
      <c r="BO2205" s="53">
        <f ca="1">IFERROR(_xlfn.XLOOKUP(F2205,Apuração!A:A,Apuração!C:C)/_xlfn.XLOOKUP(F2205,Apuração!A:A,Apuração!B:B),0)</f>
        <v>0.3</v>
      </c>
      <c r="BP2205" s="53">
        <f ca="1">IFERROR(_xlfn.XLOOKUP(F2205,Apuração!A:A,Apuração!D:D)/_xlfn.XLOOKUP(F2205,Apuração!A:A,Apuração!B:B),0)</f>
        <v>0.2</v>
      </c>
      <c r="BQ2205" s="53">
        <f ca="1">IF(BK2205&gt;=BO2205,0,_xlfn.XLOOKUP(F2205,Apuração!A:A,Apuração!B:B)*(BO2205 + (1/_xlfn.XLOOKUP(F2205,Apuração!A:A,Apuração!B:B)) - BK2205))</f>
        <v>0</v>
      </c>
      <c r="BR2205" s="85">
        <f ca="1">IF(BQ2205=0,0,BQ2205*Z2205)</f>
        <v>0</v>
      </c>
      <c r="BS2205" s="53">
        <f ca="1">IFERROR((_xlfn.XLOOKUP(F2205,Apuração!A:A,Apuração!C:C)+1)/_xlfn.XLOOKUP(F2205,Apuração!A:A,Apuração!B:B),0)</f>
        <v>0.4</v>
      </c>
    </row>
    <row r="2206" spans="1:71" ht="25.95" hidden="1" customHeight="1" x14ac:dyDescent="0.3">
      <c r="A2206" s="44" t="s">
        <v>175</v>
      </c>
      <c r="B2206" s="4" t="s">
        <v>184</v>
      </c>
      <c r="C2206" s="5" t="s">
        <v>216</v>
      </c>
      <c r="D2206" s="5" t="s">
        <v>217</v>
      </c>
      <c r="E2206" s="4" t="str" cm="1">
        <f t="array" ref="E2206">_xlfn.IFS(
F2206 = "A partir de Abril", "Aguardando Execução na Distribuidora",
A2206 = "CAPACITAÇÃO", "Em execução no Corporativo",
TRUE, "Em Execução na Distribuidora"
)</f>
        <v>Em execução no Corporativo</v>
      </c>
      <c r="F2206" s="4" t="str" cm="1">
        <f t="array" ref="F2206">_xlfn.IFS(
AG2206 &lt;&gt; "", "Jan-Dez/26",
AH2206 &lt;&gt; "", "Fev-Dez/26",
AI2206 &lt;&gt; "", "Mar-Dez/26", AJ2206 &lt;&gt; "", "Abr-Dez/26",
TRUE, "A partir de Junho"
)</f>
        <v>Mar-Dez/26</v>
      </c>
      <c r="G2206" s="4" t="s">
        <v>37</v>
      </c>
      <c r="H2206" s="7" t="s">
        <v>38</v>
      </c>
      <c r="I2206" s="21" t="s">
        <v>180</v>
      </c>
      <c r="J2206" s="8" t="str" cm="1">
        <f t="array" aca="1" ref="J2206" ca="1">_xlfn.LET(
  _xlpm.actual_value_month, INDEX(T2206:AE2206, MATCH(DATE(YEAR(TODAY()), MONTH(TODAY()), 1), $T$1:$AE$1, 0)),
  IF(_xlpm.actual_value_month &lt;&gt; "", _xlpm.actual_value_month &amp; " ações mensais", "")
)</f>
        <v/>
      </c>
      <c r="K2206" s="8" t="str" cm="1">
        <f t="array" ref="K2206">_xlfn.LET(
    _xlpm.sum_month, SUM(T2206:AE2206),
    IF(_xlpm.sum_month = 0, "", _xlpm.sum_month &amp; " colaboradores treinados.")
)</f>
        <v/>
      </c>
      <c r="L2206" s="9" t="s">
        <v>220</v>
      </c>
      <c r="M2206" s="13">
        <v>1</v>
      </c>
      <c r="N2206" s="5" t="s">
        <v>51</v>
      </c>
      <c r="O2206" s="5" t="s">
        <v>52</v>
      </c>
      <c r="P2206" s="10" t="s">
        <v>146</v>
      </c>
      <c r="Q2206" s="10" t="s">
        <v>44</v>
      </c>
      <c r="R2206" s="11" t="s">
        <v>44</v>
      </c>
      <c r="S2206" s="11" t="s">
        <v>44</v>
      </c>
      <c r="T2206" s="22"/>
      <c r="U2206" s="22"/>
      <c r="V2206" s="22"/>
      <c r="W2206" s="22"/>
      <c r="X2206" s="22"/>
      <c r="Y2206" s="22"/>
      <c r="Z2206" s="22"/>
      <c r="AA2206" s="22"/>
      <c r="AB2206" s="22"/>
      <c r="AC2206" s="22"/>
      <c r="AD2206" s="22"/>
      <c r="AE2206" s="22"/>
      <c r="AG2206" s="71"/>
      <c r="AH2206" s="71"/>
      <c r="AI2206" s="82">
        <v>322</v>
      </c>
      <c r="AJ2206" s="82">
        <v>322</v>
      </c>
      <c r="AK2206" s="71"/>
      <c r="AL2206" s="71"/>
      <c r="AM2206" s="71"/>
      <c r="AN2206" s="71"/>
      <c r="AO2206" s="71"/>
      <c r="AP2206" s="71"/>
      <c r="AQ2206" s="71"/>
      <c r="AR2206" s="71"/>
      <c r="AS2206" s="94" t="str" cm="1">
        <f t="array" ref="AS2206">IFERROR(INDEX(T2206:AE2206,1,MATCH(2,1/(T2206:AE2206&lt;&gt;""))),"")</f>
        <v/>
      </c>
      <c r="AT2206" s="95" cm="1">
        <f t="array" ref="AT2206">IFERROR(INDEX(AJ2206:AR2206,1,MATCH(2,1/(AJ2206:AR2206&lt;&gt;""))),"")</f>
        <v>322</v>
      </c>
      <c r="AU2206" s="97">
        <f t="shared" ref="AU2206:AU2209" si="2627">AT2206</f>
        <v>322</v>
      </c>
      <c r="AW2206" s="83">
        <f t="shared" ref="AW2206:AW2209" si="2628">AG2206</f>
        <v>0</v>
      </c>
      <c r="AX2206" s="52">
        <f t="shared" ref="AX2206:AX2209" si="2629">AH2206</f>
        <v>0</v>
      </c>
      <c r="AY2206" s="52">
        <f t="shared" ref="AY2206:AY2209" si="2630">AI2206</f>
        <v>322</v>
      </c>
      <c r="AZ2206" s="52">
        <f t="shared" ref="AZ2206:AZ2209" si="2631">AJ2206</f>
        <v>322</v>
      </c>
      <c r="BA2206" s="52"/>
      <c r="BB2206" s="52"/>
      <c r="BC2206" s="52"/>
      <c r="BD2206" s="52"/>
      <c r="BE2206" s="52"/>
      <c r="BF2206" s="52"/>
      <c r="BG2206" s="52"/>
      <c r="BH2206" s="52"/>
      <c r="BI2206" s="68" cm="1">
        <f t="array" ref="BI2206">IFERROR(INDEX(AW2206:BH2206,1,MATCH(2,1/(AW2206:BH2206&lt;&gt;""))),"")</f>
        <v>322</v>
      </c>
      <c r="BJ2206" s="68" cm="1">
        <f t="array" ref="BJ2206">IF(BM2206 = "", "",IFERROR(INDEX(AW2206:BH2206,1,MATCH(2,1/(AW2206:BH2206&lt;&gt;""),1)-1),""))</f>
        <v>322</v>
      </c>
      <c r="BK2206" s="59">
        <f t="shared" ref="BK2206:BK2209" si="2632">SUM(AW2206:BH2206)</f>
        <v>644</v>
      </c>
      <c r="BL2206" s="59" cm="1">
        <f t="array" ref="BL2206">IFERROR(SUM(AW2206:INDEX(AW2206:BH2206, MATCH(2, 1/(AW2206:BH2206&lt;&gt;""), 1) - 1))/_xlfn.XLOOKUP(F2206,Apuração!A:A,Apuração!B:B),0)</f>
        <v>32.200000000000003</v>
      </c>
      <c r="BM2206" s="55" cm="1">
        <f t="array" ref="BM2206">IFERROR(
   INDEX($AW$1:$BH$1,
      _xlfn.AGGREGATE(14, 6, COLUMN($AW$1:$BH$1)/(AW2206:BH2206&lt;&gt;""), 2) - COLUMN($AW$1) + 1
   ),
"")</f>
        <v>46082</v>
      </c>
      <c r="BN2206" s="55" cm="1">
        <f t="array" ref="BN2206">IFERROR(INDEX($AW$1:$BH$1,1,MATCH(2,1/(AW2206:BH2206&lt;&gt;""))),"")</f>
        <v>46113</v>
      </c>
      <c r="BO2206" s="53">
        <f ca="1">IFERROR(_xlfn.XLOOKUP(F2206,Apuração!A:A,Apuração!C:C)/_xlfn.XLOOKUP(F2206,Apuração!A:A,Apuração!B:B),0)</f>
        <v>0.3</v>
      </c>
      <c r="BP2206" s="53">
        <f ca="1">IFERROR(_xlfn.XLOOKUP(F2206,Apuração!A:A,Apuração!D:D)/_xlfn.XLOOKUP(F2206,Apuração!A:A,Apuração!B:B),0)</f>
        <v>0.2</v>
      </c>
      <c r="BQ2206" s="53">
        <f ca="1">IF(BK2206&gt;=BO2206,0,_xlfn.XLOOKUP(F2206,Apuração!A:A,Apuração!B:B)*(BO2206 + (1/_xlfn.XLOOKUP(F2206,Apuração!A:A,Apuração!B:B)) - BK2206))</f>
        <v>0</v>
      </c>
      <c r="BR2206" s="85">
        <f t="shared" ref="BR2206:BR2209" ca="1" si="2633">IF(BQ2206=0,0,BQ2206*Z2206)</f>
        <v>0</v>
      </c>
      <c r="BS2206" s="53">
        <f ca="1">IFERROR((_xlfn.XLOOKUP(F2206,Apuração!A:A,Apuração!C:C)+1)/_xlfn.XLOOKUP(F2206,Apuração!A:A,Apuração!B:B),0)</f>
        <v>0.4</v>
      </c>
    </row>
    <row r="2207" spans="1:71" ht="25.95" hidden="1" customHeight="1" x14ac:dyDescent="0.3">
      <c r="A2207" s="44" t="s">
        <v>175</v>
      </c>
      <c r="B2207" s="4" t="s">
        <v>184</v>
      </c>
      <c r="C2207" s="5" t="s">
        <v>216</v>
      </c>
      <c r="D2207" s="5" t="s">
        <v>103</v>
      </c>
      <c r="E2207" s="4" t="str" cm="1">
        <f t="array" ref="E2207">_xlfn.IFS(
F2207 = "A partir de Abril", "Aguardando Execução na Distribuidora",
A2207 = "CAPACITAÇÃO", "Em execução no Corporativo",
TRUE, "Em Execução na Distribuidora"
)</f>
        <v>Em execução no Corporativo</v>
      </c>
      <c r="F2207" s="4" t="str" cm="1">
        <f t="array" ref="F2207">_xlfn.IFS(
AG2207 &lt;&gt; "", "Jan-Dez/26",
AH2207 &lt;&gt; "", "Fev-Dez/26",
AI2207 &lt;&gt; "", "Mar-Dez/26", AJ2207 &lt;&gt; "", "Abr-Dez/26",
TRUE, "A partir de Junho"
)</f>
        <v>Mar-Dez/26</v>
      </c>
      <c r="G2207" s="4" t="s">
        <v>37</v>
      </c>
      <c r="H2207" s="7" t="s">
        <v>38</v>
      </c>
      <c r="I2207" s="21" t="s">
        <v>180</v>
      </c>
      <c r="J2207" s="8" t="str" cm="1">
        <f t="array" aca="1" ref="J2207" ca="1">_xlfn.LET(
  _xlpm.actual_value_month, INDEX(T2207:AE2207, MATCH(DATE(YEAR(TODAY()), MONTH(TODAY()), 1), $T$1:$AE$1, 0)),
  IF(_xlpm.actual_value_month &lt;&gt; "", _xlpm.actual_value_month &amp; " ações mensais", "")
)</f>
        <v/>
      </c>
      <c r="K2207" s="8" t="str" cm="1">
        <f t="array" ref="K2207">_xlfn.LET(
    _xlpm.sum_month, SUM(T2207:AE2207),
    IF(_xlpm.sum_month = 0, "", _xlpm.sum_month &amp; " colaboradores treinados.")
)</f>
        <v/>
      </c>
      <c r="L2207" s="9" t="s">
        <v>220</v>
      </c>
      <c r="M2207" s="13">
        <v>1</v>
      </c>
      <c r="N2207" s="5" t="s">
        <v>51</v>
      </c>
      <c r="O2207" s="5" t="s">
        <v>52</v>
      </c>
      <c r="P2207" s="10" t="s">
        <v>146</v>
      </c>
      <c r="Q2207" s="10" t="s">
        <v>44</v>
      </c>
      <c r="R2207" s="11" t="s">
        <v>44</v>
      </c>
      <c r="S2207" s="11" t="s">
        <v>44</v>
      </c>
      <c r="T2207" s="22"/>
      <c r="U2207" s="22"/>
      <c r="V2207" s="22"/>
      <c r="W2207" s="22"/>
      <c r="X2207" s="22"/>
      <c r="Y2207" s="22"/>
      <c r="Z2207" s="22"/>
      <c r="AA2207" s="22"/>
      <c r="AB2207" s="22"/>
      <c r="AC2207" s="22"/>
      <c r="AD2207" s="22"/>
      <c r="AE2207" s="22"/>
      <c r="AG2207" s="71"/>
      <c r="AH2207" s="71"/>
      <c r="AI2207" s="82">
        <v>730</v>
      </c>
      <c r="AJ2207" s="82">
        <v>730</v>
      </c>
      <c r="AK2207" s="71"/>
      <c r="AL2207" s="71"/>
      <c r="AM2207" s="71"/>
      <c r="AN2207" s="71"/>
      <c r="AO2207" s="71"/>
      <c r="AP2207" s="71"/>
      <c r="AQ2207" s="71"/>
      <c r="AR2207" s="71"/>
      <c r="AS2207" s="94" t="str" cm="1">
        <f t="array" ref="AS2207">IFERROR(INDEX(T2207:AE2207,1,MATCH(2,1/(T2207:AE2207&lt;&gt;""))),"")</f>
        <v/>
      </c>
      <c r="AT2207" s="95" cm="1">
        <f t="array" ref="AT2207">IFERROR(INDEX(AJ2207:AR2207,1,MATCH(2,1/(AJ2207:AR2207&lt;&gt;""))),"")</f>
        <v>730</v>
      </c>
      <c r="AU2207" s="97">
        <f t="shared" si="2627"/>
        <v>730</v>
      </c>
      <c r="AW2207" s="83">
        <f t="shared" si="2628"/>
        <v>0</v>
      </c>
      <c r="AX2207" s="52">
        <f t="shared" si="2629"/>
        <v>0</v>
      </c>
      <c r="AY2207" s="52">
        <f t="shared" si="2630"/>
        <v>730</v>
      </c>
      <c r="AZ2207" s="52">
        <f t="shared" si="2631"/>
        <v>730</v>
      </c>
      <c r="BA2207" s="52"/>
      <c r="BB2207" s="52"/>
      <c r="BC2207" s="52"/>
      <c r="BD2207" s="52"/>
      <c r="BE2207" s="52"/>
      <c r="BF2207" s="52"/>
      <c r="BG2207" s="52"/>
      <c r="BH2207" s="52"/>
      <c r="BI2207" s="68" cm="1">
        <f t="array" ref="BI2207">IFERROR(INDEX(AW2207:BH2207,1,MATCH(2,1/(AW2207:BH2207&lt;&gt;""))),"")</f>
        <v>730</v>
      </c>
      <c r="BJ2207" s="68" cm="1">
        <f t="array" ref="BJ2207">IF(BM2207 = "", "",IFERROR(INDEX(AW2207:BH2207,1,MATCH(2,1/(AW2207:BH2207&lt;&gt;""),1)-1),""))</f>
        <v>730</v>
      </c>
      <c r="BK2207" s="59">
        <f t="shared" si="2632"/>
        <v>1460</v>
      </c>
      <c r="BL2207" s="59" cm="1">
        <f t="array" ref="BL2207">IFERROR(SUM(AW2207:INDEX(AW2207:BH2207, MATCH(2, 1/(AW2207:BH2207&lt;&gt;""), 1) - 1))/_xlfn.XLOOKUP(F2207,Apuração!A:A,Apuração!B:B),0)</f>
        <v>73</v>
      </c>
      <c r="BM2207" s="55" cm="1">
        <f t="array" ref="BM2207">IFERROR(
   INDEX($AW$1:$BH$1,
      _xlfn.AGGREGATE(14, 6, COLUMN($AW$1:$BH$1)/(AW2207:BH2207&lt;&gt;""), 2) - COLUMN($AW$1) + 1
   ),
"")</f>
        <v>46082</v>
      </c>
      <c r="BN2207" s="55" cm="1">
        <f t="array" ref="BN2207">IFERROR(INDEX($AW$1:$BH$1,1,MATCH(2,1/(AW2207:BH2207&lt;&gt;""))),"")</f>
        <v>46113</v>
      </c>
      <c r="BO2207" s="53">
        <f ca="1">IFERROR(_xlfn.XLOOKUP(F2207,Apuração!A:A,Apuração!C:C)/_xlfn.XLOOKUP(F2207,Apuração!A:A,Apuração!B:B),0)</f>
        <v>0.3</v>
      </c>
      <c r="BP2207" s="53">
        <f ca="1">IFERROR(_xlfn.XLOOKUP(F2207,Apuração!A:A,Apuração!D:D)/_xlfn.XLOOKUP(F2207,Apuração!A:A,Apuração!B:B),0)</f>
        <v>0.2</v>
      </c>
      <c r="BQ2207" s="53">
        <f ca="1">IF(BK2207&gt;=BO2207,0,_xlfn.XLOOKUP(F2207,Apuração!A:A,Apuração!B:B)*(BO2207 + (1/_xlfn.XLOOKUP(F2207,Apuração!A:A,Apuração!B:B)) - BK2207))</f>
        <v>0</v>
      </c>
      <c r="BR2207" s="85">
        <f t="shared" ca="1" si="2633"/>
        <v>0</v>
      </c>
      <c r="BS2207" s="53">
        <f ca="1">IFERROR((_xlfn.XLOOKUP(F2207,Apuração!A:A,Apuração!C:C)+1)/_xlfn.XLOOKUP(F2207,Apuração!A:A,Apuração!B:B),0)</f>
        <v>0.4</v>
      </c>
    </row>
    <row r="2208" spans="1:71" ht="25.95" hidden="1" customHeight="1" x14ac:dyDescent="0.3">
      <c r="A2208" s="44" t="s">
        <v>175</v>
      </c>
      <c r="B2208" s="4" t="s">
        <v>184</v>
      </c>
      <c r="C2208" s="5" t="s">
        <v>216</v>
      </c>
      <c r="D2208" s="5" t="s">
        <v>218</v>
      </c>
      <c r="E2208" s="4" t="str" cm="1">
        <f t="array" ref="E2208">_xlfn.IFS(
F2208 = "A partir de Abril", "Aguardando Execução na Distribuidora",
A2208 = "CAPACITAÇÃO", "Em execução no Corporativo",
TRUE, "Em Execução na Distribuidora"
)</f>
        <v>Em execução no Corporativo</v>
      </c>
      <c r="F2208" s="4" t="str" cm="1">
        <f t="array" ref="F2208">_xlfn.IFS(
AG2208 &lt;&gt; "", "Jan-Dez/26",
AH2208 &lt;&gt; "", "Fev-Dez/26",
AI2208 &lt;&gt; "", "Mar-Dez/26", AJ2208 &lt;&gt; "", "Abr-Dez/26",
TRUE, "A partir de Junho"
)</f>
        <v>Mar-Dez/26</v>
      </c>
      <c r="G2208" s="4" t="s">
        <v>37</v>
      </c>
      <c r="H2208" s="7" t="s">
        <v>38</v>
      </c>
      <c r="I2208" s="21" t="s">
        <v>180</v>
      </c>
      <c r="J2208" s="8" t="str" cm="1">
        <f t="array" aca="1" ref="J2208" ca="1">_xlfn.LET(
  _xlpm.actual_value_month, INDEX(T2208:AE2208, MATCH(DATE(YEAR(TODAY()), MONTH(TODAY()), 1), $T$1:$AE$1, 0)),
  IF(_xlpm.actual_value_month &lt;&gt; "", _xlpm.actual_value_month &amp; " ações mensais", "")
)</f>
        <v/>
      </c>
      <c r="K2208" s="8" t="str" cm="1">
        <f t="array" ref="K2208">_xlfn.LET(
    _xlpm.sum_month, SUM(T2208:AE2208),
    IF(_xlpm.sum_month = 0, "", _xlpm.sum_month &amp; " colaboradores treinados.")
)</f>
        <v/>
      </c>
      <c r="L2208" s="9" t="s">
        <v>220</v>
      </c>
      <c r="M2208" s="13">
        <v>1</v>
      </c>
      <c r="N2208" s="5" t="s">
        <v>51</v>
      </c>
      <c r="O2208" s="5" t="s">
        <v>52</v>
      </c>
      <c r="P2208" s="10" t="s">
        <v>146</v>
      </c>
      <c r="Q2208" s="10" t="s">
        <v>44</v>
      </c>
      <c r="R2208" s="11" t="s">
        <v>44</v>
      </c>
      <c r="S2208" s="11" t="s">
        <v>44</v>
      </c>
      <c r="T2208" s="22"/>
      <c r="U2208" s="22"/>
      <c r="V2208" s="22"/>
      <c r="W2208" s="22"/>
      <c r="X2208" s="22"/>
      <c r="Y2208" s="22"/>
      <c r="Z2208" s="22"/>
      <c r="AA2208" s="22"/>
      <c r="AB2208" s="22"/>
      <c r="AC2208" s="22"/>
      <c r="AD2208" s="22"/>
      <c r="AE2208" s="22"/>
      <c r="AG2208" s="71"/>
      <c r="AH2208" s="71"/>
      <c r="AI2208" s="82">
        <v>249</v>
      </c>
      <c r="AJ2208" s="82">
        <v>249</v>
      </c>
      <c r="AK2208" s="71"/>
      <c r="AL2208" s="71"/>
      <c r="AM2208" s="71"/>
      <c r="AN2208" s="71"/>
      <c r="AO2208" s="71"/>
      <c r="AP2208" s="71"/>
      <c r="AQ2208" s="71"/>
      <c r="AR2208" s="71"/>
      <c r="AS2208" s="94" t="str" cm="1">
        <f t="array" ref="AS2208">IFERROR(INDEX(T2208:AE2208,1,MATCH(2,1/(T2208:AE2208&lt;&gt;""))),"")</f>
        <v/>
      </c>
      <c r="AT2208" s="95" cm="1">
        <f t="array" ref="AT2208">IFERROR(INDEX(AJ2208:AR2208,1,MATCH(2,1/(AJ2208:AR2208&lt;&gt;""))),"")</f>
        <v>249</v>
      </c>
      <c r="AU2208" s="97">
        <f t="shared" si="2627"/>
        <v>249</v>
      </c>
      <c r="AW2208" s="83">
        <f t="shared" si="2628"/>
        <v>0</v>
      </c>
      <c r="AX2208" s="52">
        <f t="shared" si="2629"/>
        <v>0</v>
      </c>
      <c r="AY2208" s="52">
        <f t="shared" si="2630"/>
        <v>249</v>
      </c>
      <c r="AZ2208" s="52">
        <f t="shared" si="2631"/>
        <v>249</v>
      </c>
      <c r="BA2208" s="52"/>
      <c r="BB2208" s="52"/>
      <c r="BC2208" s="52"/>
      <c r="BD2208" s="52"/>
      <c r="BE2208" s="52"/>
      <c r="BF2208" s="52"/>
      <c r="BG2208" s="52"/>
      <c r="BH2208" s="52"/>
      <c r="BI2208" s="68" cm="1">
        <f t="array" ref="BI2208">IFERROR(INDEX(AW2208:BH2208,1,MATCH(2,1/(AW2208:BH2208&lt;&gt;""))),"")</f>
        <v>249</v>
      </c>
      <c r="BJ2208" s="68" cm="1">
        <f t="array" ref="BJ2208">IF(BM2208 = "", "",IFERROR(INDEX(AW2208:BH2208,1,MATCH(2,1/(AW2208:BH2208&lt;&gt;""),1)-1),""))</f>
        <v>249</v>
      </c>
      <c r="BK2208" s="59">
        <f t="shared" si="2632"/>
        <v>498</v>
      </c>
      <c r="BL2208" s="59" cm="1">
        <f t="array" ref="BL2208">IFERROR(SUM(AW2208:INDEX(AW2208:BH2208, MATCH(2, 1/(AW2208:BH2208&lt;&gt;""), 1) - 1))/_xlfn.XLOOKUP(F2208,Apuração!A:A,Apuração!B:B),0)</f>
        <v>24.9</v>
      </c>
      <c r="BM2208" s="55" cm="1">
        <f t="array" ref="BM2208">IFERROR(
   INDEX($AW$1:$BH$1,
      _xlfn.AGGREGATE(14, 6, COLUMN($AW$1:$BH$1)/(AW2208:BH2208&lt;&gt;""), 2) - COLUMN($AW$1) + 1
   ),
"")</f>
        <v>46082</v>
      </c>
      <c r="BN2208" s="55" cm="1">
        <f t="array" ref="BN2208">IFERROR(INDEX($AW$1:$BH$1,1,MATCH(2,1/(AW2208:BH2208&lt;&gt;""))),"")</f>
        <v>46113</v>
      </c>
      <c r="BO2208" s="53">
        <f ca="1">IFERROR(_xlfn.XLOOKUP(F2208,Apuração!A:A,Apuração!C:C)/_xlfn.XLOOKUP(F2208,Apuração!A:A,Apuração!B:B),0)</f>
        <v>0.3</v>
      </c>
      <c r="BP2208" s="53">
        <f ca="1">IFERROR(_xlfn.XLOOKUP(F2208,Apuração!A:A,Apuração!D:D)/_xlfn.XLOOKUP(F2208,Apuração!A:A,Apuração!B:B),0)</f>
        <v>0.2</v>
      </c>
      <c r="BQ2208" s="53">
        <f ca="1">IF(BK2208&gt;=BO2208,0,_xlfn.XLOOKUP(F2208,Apuração!A:A,Apuração!B:B)*(BO2208 + (1/_xlfn.XLOOKUP(F2208,Apuração!A:A,Apuração!B:B)) - BK2208))</f>
        <v>0</v>
      </c>
      <c r="BR2208" s="85">
        <f t="shared" ca="1" si="2633"/>
        <v>0</v>
      </c>
      <c r="BS2208" s="53">
        <f ca="1">IFERROR((_xlfn.XLOOKUP(F2208,Apuração!A:A,Apuração!C:C)+1)/_xlfn.XLOOKUP(F2208,Apuração!A:A,Apuração!B:B),0)</f>
        <v>0.4</v>
      </c>
    </row>
    <row r="2209" spans="1:71" ht="25.95" hidden="1" customHeight="1" x14ac:dyDescent="0.3">
      <c r="A2209" s="44" t="s">
        <v>175</v>
      </c>
      <c r="B2209" s="4" t="s">
        <v>184</v>
      </c>
      <c r="C2209" s="5" t="s">
        <v>216</v>
      </c>
      <c r="D2209" s="5" t="s">
        <v>219</v>
      </c>
      <c r="E2209" s="4" t="str" cm="1">
        <f t="array" ref="E2209">_xlfn.IFS(
F2209 = "A partir de Abril", "Aguardando Execução na Distribuidora",
A2209 = "CAPACITAÇÃO", "Em execução no Corporativo",
TRUE, "Em Execução na Distribuidora"
)</f>
        <v>Em execução no Corporativo</v>
      </c>
      <c r="F2209" s="4" t="str" cm="1">
        <f t="array" ref="F2209">_xlfn.IFS(
AG2209 &lt;&gt; "", "Jan-Dez/26",
AH2209 &lt;&gt; "", "Fev-Dez/26",
AI2209 &lt;&gt; "", "Mar-Dez/26", AJ2209 &lt;&gt; "", "Abr-Dez/26",
TRUE, "A partir de Junho"
)</f>
        <v>Mar-Dez/26</v>
      </c>
      <c r="G2209" s="4" t="s">
        <v>37</v>
      </c>
      <c r="H2209" s="7" t="s">
        <v>38</v>
      </c>
      <c r="I2209" s="21" t="s">
        <v>180</v>
      </c>
      <c r="J2209" s="8" t="str" cm="1">
        <f t="array" aca="1" ref="J2209" ca="1">_xlfn.LET(
  _xlpm.actual_value_month, INDEX(T2209:AE2209, MATCH(DATE(YEAR(TODAY()), MONTH(TODAY()), 1), $T$1:$AE$1, 0)),
  IF(_xlpm.actual_value_month &lt;&gt; "", _xlpm.actual_value_month &amp; " ações mensais", "")
)</f>
        <v/>
      </c>
      <c r="K2209" s="8" t="str" cm="1">
        <f t="array" ref="K2209">_xlfn.LET(
    _xlpm.sum_month, SUM(T2209:AE2209),
    IF(_xlpm.sum_month = 0, "", _xlpm.sum_month &amp; " colaboradores treinados.")
)</f>
        <v/>
      </c>
      <c r="L2209" s="9" t="s">
        <v>220</v>
      </c>
      <c r="M2209" s="13">
        <v>1</v>
      </c>
      <c r="N2209" s="5" t="s">
        <v>51</v>
      </c>
      <c r="O2209" s="5" t="s">
        <v>52</v>
      </c>
      <c r="P2209" s="10" t="s">
        <v>146</v>
      </c>
      <c r="Q2209" s="10" t="s">
        <v>44</v>
      </c>
      <c r="R2209" s="11" t="s">
        <v>44</v>
      </c>
      <c r="S2209" s="11" t="s">
        <v>44</v>
      </c>
      <c r="T2209" s="22"/>
      <c r="U2209" s="22"/>
      <c r="V2209" s="22"/>
      <c r="W2209" s="22"/>
      <c r="X2209" s="22"/>
      <c r="Y2209" s="22"/>
      <c r="Z2209" s="22"/>
      <c r="AA2209" s="22"/>
      <c r="AB2209" s="22"/>
      <c r="AC2209" s="22"/>
      <c r="AD2209" s="22"/>
      <c r="AE2209" s="22"/>
      <c r="AG2209" s="71"/>
      <c r="AH2209" s="71"/>
      <c r="AI2209" s="82">
        <v>235</v>
      </c>
      <c r="AJ2209" s="82">
        <v>235</v>
      </c>
      <c r="AK2209" s="71"/>
      <c r="AL2209" s="71"/>
      <c r="AM2209" s="71"/>
      <c r="AN2209" s="71"/>
      <c r="AO2209" s="71"/>
      <c r="AP2209" s="71"/>
      <c r="AQ2209" s="71"/>
      <c r="AR2209" s="71"/>
      <c r="AS2209" s="94" t="str" cm="1">
        <f t="array" ref="AS2209">IFERROR(INDEX(T2209:AE2209,1,MATCH(2,1/(T2209:AE2209&lt;&gt;""))),"")</f>
        <v/>
      </c>
      <c r="AT2209" s="95" cm="1">
        <f t="array" ref="AT2209">IFERROR(INDEX(AJ2209:AR2209,1,MATCH(2,1/(AJ2209:AR2209&lt;&gt;""))),"")</f>
        <v>235</v>
      </c>
      <c r="AU2209" s="97">
        <f t="shared" si="2627"/>
        <v>235</v>
      </c>
      <c r="AW2209" s="83">
        <f t="shared" si="2628"/>
        <v>0</v>
      </c>
      <c r="AX2209" s="52">
        <f t="shared" si="2629"/>
        <v>0</v>
      </c>
      <c r="AY2209" s="52">
        <f t="shared" si="2630"/>
        <v>235</v>
      </c>
      <c r="AZ2209" s="52">
        <f t="shared" si="2631"/>
        <v>235</v>
      </c>
      <c r="BA2209" s="52"/>
      <c r="BB2209" s="52"/>
      <c r="BC2209" s="52"/>
      <c r="BD2209" s="52"/>
      <c r="BE2209" s="52"/>
      <c r="BF2209" s="52"/>
      <c r="BG2209" s="52"/>
      <c r="BH2209" s="52"/>
      <c r="BI2209" s="68" cm="1">
        <f t="array" ref="BI2209">IFERROR(INDEX(AW2209:BH2209,1,MATCH(2,1/(AW2209:BH2209&lt;&gt;""))),"")</f>
        <v>235</v>
      </c>
      <c r="BJ2209" s="68" cm="1">
        <f t="array" ref="BJ2209">IF(BM2209 = "", "",IFERROR(INDEX(AW2209:BH2209,1,MATCH(2,1/(AW2209:BH2209&lt;&gt;""),1)-1),""))</f>
        <v>235</v>
      </c>
      <c r="BK2209" s="59">
        <f t="shared" si="2632"/>
        <v>470</v>
      </c>
      <c r="BL2209" s="59" cm="1">
        <f t="array" ref="BL2209">IFERROR(SUM(AW2209:INDEX(AW2209:BH2209, MATCH(2, 1/(AW2209:BH2209&lt;&gt;""), 1) - 1))/_xlfn.XLOOKUP(F2209,Apuração!A:A,Apuração!B:B),0)</f>
        <v>23.5</v>
      </c>
      <c r="BM2209" s="55" cm="1">
        <f t="array" ref="BM2209">IFERROR(
   INDEX($AW$1:$BH$1,
      _xlfn.AGGREGATE(14, 6, COLUMN($AW$1:$BH$1)/(AW2209:BH2209&lt;&gt;""), 2) - COLUMN($AW$1) + 1
   ),
"")</f>
        <v>46082</v>
      </c>
      <c r="BN2209" s="55" cm="1">
        <f t="array" ref="BN2209">IFERROR(INDEX($AW$1:$BH$1,1,MATCH(2,1/(AW2209:BH2209&lt;&gt;""))),"")</f>
        <v>46113</v>
      </c>
      <c r="BO2209" s="53">
        <f ca="1">IFERROR(_xlfn.XLOOKUP(F2209,Apuração!A:A,Apuração!C:C)/_xlfn.XLOOKUP(F2209,Apuração!A:A,Apuração!B:B),0)</f>
        <v>0.3</v>
      </c>
      <c r="BP2209" s="53">
        <f ca="1">IFERROR(_xlfn.XLOOKUP(F2209,Apuração!A:A,Apuração!D:D)/_xlfn.XLOOKUP(F2209,Apuração!A:A,Apuração!B:B),0)</f>
        <v>0.2</v>
      </c>
      <c r="BQ2209" s="53">
        <f ca="1">IF(BK2209&gt;=BO2209,0,_xlfn.XLOOKUP(F2209,Apuração!A:A,Apuração!B:B)*(BO2209 + (1/_xlfn.XLOOKUP(F2209,Apuração!A:A,Apuração!B:B)) - BK2209))</f>
        <v>0</v>
      </c>
      <c r="BR2209" s="85">
        <f t="shared" ca="1" si="2633"/>
        <v>0</v>
      </c>
      <c r="BS2209" s="53">
        <f ca="1">IFERROR((_xlfn.XLOOKUP(F2209,Apuração!A:A,Apuração!C:C)+1)/_xlfn.XLOOKUP(F2209,Apuração!A:A,Apuração!B:B),0)</f>
        <v>0.4</v>
      </c>
    </row>
    <row r="2210" spans="1:71" ht="25.95" hidden="1" customHeight="1" x14ac:dyDescent="0.3">
      <c r="A2210" s="44" t="s">
        <v>175</v>
      </c>
      <c r="B2210" s="4" t="s">
        <v>184</v>
      </c>
      <c r="C2210" s="5" t="s">
        <v>216</v>
      </c>
      <c r="D2210" s="5" t="s">
        <v>36</v>
      </c>
      <c r="E2210" s="4" t="str" cm="1">
        <f t="array" ref="E2210">_xlfn.IFS(
F2210 = "A partir de Abril", "Aguardando Execução na Distribuidora",
A2210 = "CAPACITAÇÃO", "Em execução no Corporativo",
TRUE, "Em Execução na Distribuidora"
)</f>
        <v>Em execução no Corporativo</v>
      </c>
      <c r="F2210" s="4" t="str" cm="1">
        <f t="array" ref="F2210">_xlfn.IFS(
AG2210 &lt;&gt; "", "Jan-Dez/26",
AH2210 &lt;&gt; "", "Fev-Dez/26",
AI2210 &lt;&gt; "", "Mar-Dez/26", AJ2210 &lt;&gt; "", "Abr-Dez/26",
TRUE, "A partir de Junho"
)</f>
        <v>Mar-Dez/26</v>
      </c>
      <c r="G2210" s="4" t="s">
        <v>37</v>
      </c>
      <c r="H2210" s="7" t="s">
        <v>38</v>
      </c>
      <c r="I2210" s="21" t="s">
        <v>182</v>
      </c>
      <c r="J2210" s="8" t="str" cm="1">
        <f t="array" aca="1" ref="J2210" ca="1">_xlfn.LET(
  _xlpm.actual_value_month, INDEX(T2210:AE2210, MATCH(DATE(YEAR(TODAY()), MONTH(TODAY()), 1), $T$1:$AE$1, 0)),
  IF(_xlpm.actual_value_month &lt;&gt; "", _xlpm.actual_value_month &amp; " ações mensais", "")
)</f>
        <v/>
      </c>
      <c r="K2210" s="8" t="str" cm="1">
        <f t="array" ref="K2210">_xlfn.LET(
    _xlpm.sum_month, SUM(T2210:AE2210),
    IF(_xlpm.sum_month = 0, "", _xlpm.sum_month &amp; " taxa de aprovados")
)</f>
        <v>3064 taxa de aprovados</v>
      </c>
      <c r="L2210" s="4" t="s">
        <v>186</v>
      </c>
      <c r="M2210" s="13">
        <v>1</v>
      </c>
      <c r="N2210" s="5" t="s">
        <v>51</v>
      </c>
      <c r="O2210" s="5" t="s">
        <v>43</v>
      </c>
      <c r="P2210" s="10" t="s">
        <v>44</v>
      </c>
      <c r="Q2210" s="10" t="s">
        <v>44</v>
      </c>
      <c r="R2210" s="11" t="s">
        <v>44</v>
      </c>
      <c r="S2210" s="11" t="s">
        <v>44</v>
      </c>
      <c r="T2210" s="22"/>
      <c r="U2210" s="22"/>
      <c r="V2210" s="22">
        <v>1528</v>
      </c>
      <c r="W2210" s="22">
        <v>1536</v>
      </c>
      <c r="X2210" s="22"/>
      <c r="Y2210" s="22"/>
      <c r="Z2210" s="22"/>
      <c r="AA2210" s="22"/>
      <c r="AB2210" s="22"/>
      <c r="AC2210" s="22"/>
      <c r="AD2210" s="22"/>
      <c r="AE2210" s="22"/>
      <c r="AG2210" s="71"/>
      <c r="AH2210" s="71"/>
      <c r="AI2210" s="71">
        <v>1528</v>
      </c>
      <c r="AJ2210" s="71">
        <v>1536</v>
      </c>
      <c r="AK2210" s="71"/>
      <c r="AL2210" s="71"/>
      <c r="AM2210" s="71"/>
      <c r="AN2210" s="71"/>
      <c r="AO2210" s="71"/>
      <c r="AP2210" s="71"/>
      <c r="AQ2210" s="71"/>
      <c r="AR2210" s="71"/>
      <c r="AS2210" s="94" cm="1">
        <f t="array" ref="AS2210">IFERROR(INDEX(T2210:AE2210,1,MATCH(2,1/(T2210:AE2210&lt;&gt;""))),"")</f>
        <v>1536</v>
      </c>
      <c r="AT2210" s="95" cm="1">
        <f t="array" ref="AT2210">IFERROR(INDEX(AJ2210:AR2210,1,MATCH(2,1/(AJ2210:AR2210&lt;&gt;""))),"")</f>
        <v>1536</v>
      </c>
      <c r="AU2210" s="97">
        <f>AT2210</f>
        <v>1536</v>
      </c>
      <c r="AW2210" s="52">
        <f>IFERROR(IF(T2210="",0,T2210/AG2210),0)</f>
        <v>0</v>
      </c>
      <c r="AX2210" s="52">
        <f>IFERROR(IF(U2210="",0,U2210/AH2210),0)</f>
        <v>0</v>
      </c>
      <c r="AY2210" s="118">
        <f>IFERROR(IF(V2210="",0,V2210/AI2210),0)</f>
        <v>1</v>
      </c>
      <c r="AZ2210" s="118">
        <f>IFERROR(IF(W2210="",0,W2210/AJ2210),0)</f>
        <v>1</v>
      </c>
      <c r="BA2210" s="52"/>
      <c r="BB2210" s="52"/>
      <c r="BC2210" s="52"/>
      <c r="BD2210" s="52"/>
      <c r="BE2210" s="52"/>
      <c r="BF2210" s="52"/>
      <c r="BG2210" s="52"/>
      <c r="BH2210" s="52"/>
      <c r="BI2210" s="65" cm="1">
        <f t="array" ref="BI2210">IFERROR(INDEX(AW2210:BH2210,1,MATCH(2,1/(AW2210:BH2210&lt;&gt;""))),"")</f>
        <v>1</v>
      </c>
      <c r="BJ2210" s="68" cm="1">
        <f t="array" ref="BJ2210">IF(BM2210 = "", "",IFERROR(INDEX(AW2210:BH2210,1,MATCH(2,1/(AW2210:BH2210&lt;&gt;""),1)-1),""))</f>
        <v>1</v>
      </c>
      <c r="BK2210" s="58" cm="1">
        <f t="array" ref="BK2210">IFERROR(INDEX(AW2210:BH2210,1,MATCH(2,1/(AW2210:BH2210&lt;&gt;""))),"")</f>
        <v>1</v>
      </c>
      <c r="BL2210" s="58" cm="1">
        <f t="array" ref="BL2210">IFERROR(INDEX(AW2210:BH2210,1,MATCH(2,1/(AW2210:BH2210&lt;&gt;""),1)-1),"")</f>
        <v>1</v>
      </c>
      <c r="BM2210" s="55" cm="1">
        <f t="array" ref="BM2210">IFERROR(
   INDEX($AW$1:$BH$1,
      _xlfn.AGGREGATE(14, 6, COLUMN($AW$1:$BH$1)/(AW2210:BH2210&lt;&gt;""), 2) - COLUMN($AW$1) + 1
   ),
"")</f>
        <v>46082</v>
      </c>
      <c r="BN2210" s="55" cm="1">
        <f t="array" ref="BN2210">IFERROR(INDEX($AW$1:$BH$1,1,MATCH(2,1/(AW2210:BH2210&lt;&gt;""))),"")</f>
        <v>46113</v>
      </c>
      <c r="BO2210" s="53">
        <f ca="1">IFERROR(_xlfn.XLOOKUP(F2210,Apuração!A:A,Apuração!C:C)/_xlfn.XLOOKUP(F2210,Apuração!A:A,Apuração!B:B),0)</f>
        <v>0.3</v>
      </c>
      <c r="BP2210" s="53">
        <f ca="1">IFERROR(_xlfn.XLOOKUP(F2210,Apuração!A:A,Apuração!D:D)/_xlfn.XLOOKUP(F2210,Apuração!A:A,Apuração!B:B),0)</f>
        <v>0.2</v>
      </c>
      <c r="BQ2210" s="53">
        <f ca="1">IF(BK2210&gt;=BO2210,0,_xlfn.XLOOKUP(F2210,Apuração!A:A,Apuração!B:B)*(BO2210 + (1/_xlfn.XLOOKUP(F2210,Apuração!A:A,Apuração!B:B)) - BK2210))</f>
        <v>0</v>
      </c>
      <c r="BR2210" s="85">
        <f ca="1">IF(BQ2210=0,0,BQ2210*Z2210)</f>
        <v>0</v>
      </c>
      <c r="BS2210" s="53">
        <f ca="1">IFERROR((_xlfn.XLOOKUP(F2210,Apuração!A:A,Apuração!C:C)+1)/_xlfn.XLOOKUP(F2210,Apuração!A:A,Apuração!B:B),0)</f>
        <v>0.4</v>
      </c>
    </row>
    <row r="2211" spans="1:71" ht="25.95" hidden="1" customHeight="1" x14ac:dyDescent="0.3">
      <c r="A2211" s="44" t="s">
        <v>175</v>
      </c>
      <c r="B2211" s="4" t="s">
        <v>184</v>
      </c>
      <c r="C2211" s="5" t="s">
        <v>216</v>
      </c>
      <c r="D2211" s="5" t="s">
        <v>217</v>
      </c>
      <c r="E2211" s="4" t="str" cm="1">
        <f t="array" ref="E2211">_xlfn.IFS(
F2211 = "A partir de Abril", "Aguardando Execução na Distribuidora",
A2211 = "CAPACITAÇÃO", "Em execução no Corporativo",
TRUE, "Em Execução na Distribuidora"
)</f>
        <v>Em execução no Corporativo</v>
      </c>
      <c r="F2211" s="4" t="str" cm="1">
        <f t="array" ref="F2211">_xlfn.IFS(
AG2211 &lt;&gt; "", "Jan-Dez/26",
AH2211 &lt;&gt; "", "Fev-Dez/26",
AI2211 &lt;&gt; "", "Mar-Dez/26", AJ2211 &lt;&gt; "", "Abr-Dez/26",
TRUE, "A partir de Junho"
)</f>
        <v>Mar-Dez/26</v>
      </c>
      <c r="G2211" s="4" t="s">
        <v>37</v>
      </c>
      <c r="H2211" s="7" t="s">
        <v>38</v>
      </c>
      <c r="I2211" s="21" t="s">
        <v>182</v>
      </c>
      <c r="J2211" s="8" t="str" cm="1">
        <f t="array" aca="1" ref="J2211" ca="1">_xlfn.LET(
  _xlpm.actual_value_month, INDEX(T2211:AE2211, MATCH(DATE(YEAR(TODAY()), MONTH(TODAY()), 1), $T$1:$AE$1, 0)),
  IF(_xlpm.actual_value_month &lt;&gt; "", _xlpm.actual_value_month &amp; " ações mensais", "")
)</f>
        <v/>
      </c>
      <c r="K2211" s="8" t="str" cm="1">
        <f t="array" ref="K2211">_xlfn.LET(
    _xlpm.sum_month, SUM(T2211:AE2211),
    IF(_xlpm.sum_month = 0, "", _xlpm.sum_month &amp; " taxa de aprovados")
)</f>
        <v>644 taxa de aprovados</v>
      </c>
      <c r="L2211" s="4" t="s">
        <v>186</v>
      </c>
      <c r="M2211" s="13">
        <v>1</v>
      </c>
      <c r="N2211" s="5" t="s">
        <v>51</v>
      </c>
      <c r="O2211" s="5" t="s">
        <v>43</v>
      </c>
      <c r="P2211" s="10" t="s">
        <v>44</v>
      </c>
      <c r="Q2211" s="10" t="s">
        <v>44</v>
      </c>
      <c r="R2211" s="11" t="s">
        <v>44</v>
      </c>
      <c r="S2211" s="11" t="s">
        <v>44</v>
      </c>
      <c r="T2211" s="22"/>
      <c r="U2211" s="22"/>
      <c r="V2211" s="143">
        <v>322</v>
      </c>
      <c r="W2211" s="143">
        <v>322</v>
      </c>
      <c r="X2211" s="22"/>
      <c r="Y2211" s="22"/>
      <c r="Z2211" s="22"/>
      <c r="AA2211" s="22"/>
      <c r="AB2211" s="22"/>
      <c r="AC2211" s="22"/>
      <c r="AD2211" s="22"/>
      <c r="AE2211" s="22"/>
      <c r="AG2211" s="71"/>
      <c r="AH2211" s="71"/>
      <c r="AI2211" s="82">
        <v>322</v>
      </c>
      <c r="AJ2211" s="82">
        <v>322</v>
      </c>
      <c r="AK2211" s="71"/>
      <c r="AL2211" s="71"/>
      <c r="AM2211" s="71"/>
      <c r="AN2211" s="71"/>
      <c r="AO2211" s="71"/>
      <c r="AP2211" s="71"/>
      <c r="AQ2211" s="71"/>
      <c r="AR2211" s="71"/>
      <c r="AS2211" s="94" cm="1">
        <f t="array" ref="AS2211">IFERROR(INDEX(T2211:AE2211,1,MATCH(2,1/(T2211:AE2211&lt;&gt;""))),"")</f>
        <v>322</v>
      </c>
      <c r="AT2211" s="95" cm="1">
        <f t="array" ref="AT2211">IFERROR(INDEX(AJ2211:AR2211,1,MATCH(2,1/(AJ2211:AR2211&lt;&gt;""))),"")</f>
        <v>322</v>
      </c>
      <c r="AU2211" s="97">
        <f t="shared" ref="AU2211:AU2214" si="2634">AT2211</f>
        <v>322</v>
      </c>
      <c r="AW2211" s="52">
        <f t="shared" ref="AW2211:AW2214" si="2635">IFERROR(IF(T2211="",0,T2211/AG2211),0)</f>
        <v>0</v>
      </c>
      <c r="AX2211" s="52">
        <f t="shared" ref="AX2211:AX2214" si="2636">IFERROR(IF(U2211="",0,U2211/AH2211),0)</f>
        <v>0</v>
      </c>
      <c r="AY2211" s="118">
        <f t="shared" ref="AY2211:AY2214" si="2637">IFERROR(IF(V2211="",0,V2211/AI2211),0)</f>
        <v>1</v>
      </c>
      <c r="AZ2211" s="118">
        <f t="shared" ref="AZ2211:AZ2214" si="2638">IFERROR(IF(W2211="",0,W2211/AJ2211),0)</f>
        <v>1</v>
      </c>
      <c r="BA2211" s="52"/>
      <c r="BB2211" s="52"/>
      <c r="BC2211" s="52"/>
      <c r="BD2211" s="52"/>
      <c r="BE2211" s="52"/>
      <c r="BF2211" s="52"/>
      <c r="BG2211" s="52"/>
      <c r="BH2211" s="52"/>
      <c r="BI2211" s="65" cm="1">
        <f t="array" ref="BI2211">IFERROR(INDEX(AW2211:BH2211,1,MATCH(2,1/(AW2211:BH2211&lt;&gt;""))),"")</f>
        <v>1</v>
      </c>
      <c r="BJ2211" s="68" cm="1">
        <f t="array" ref="BJ2211">IF(BM2211 = "", "",IFERROR(INDEX(AW2211:BH2211,1,MATCH(2,1/(AW2211:BH2211&lt;&gt;""),1)-1),""))</f>
        <v>1</v>
      </c>
      <c r="BK2211" s="58" cm="1">
        <f t="array" ref="BK2211">IFERROR(INDEX(AW2211:BH2211,1,MATCH(2,1/(AW2211:BH2211&lt;&gt;""))),"")</f>
        <v>1</v>
      </c>
      <c r="BL2211" s="58" cm="1">
        <f t="array" ref="BL2211">IFERROR(INDEX(AW2211:BH2211,1,MATCH(2,1/(AW2211:BH2211&lt;&gt;""),1)-1),"")</f>
        <v>1</v>
      </c>
      <c r="BM2211" s="55" cm="1">
        <f t="array" ref="BM2211">IFERROR(
   INDEX($AW$1:$BH$1,
      _xlfn.AGGREGATE(14, 6, COLUMN($AW$1:$BH$1)/(AW2211:BH2211&lt;&gt;""), 2) - COLUMN($AW$1) + 1
   ),
"")</f>
        <v>46082</v>
      </c>
      <c r="BN2211" s="55" cm="1">
        <f t="array" ref="BN2211">IFERROR(INDEX($AW$1:$BH$1,1,MATCH(2,1/(AW2211:BH2211&lt;&gt;""))),"")</f>
        <v>46113</v>
      </c>
      <c r="BO2211" s="53">
        <f ca="1">IFERROR(_xlfn.XLOOKUP(F2211,Apuração!A:A,Apuração!C:C)/_xlfn.XLOOKUP(F2211,Apuração!A:A,Apuração!B:B),0)</f>
        <v>0.3</v>
      </c>
      <c r="BP2211" s="53">
        <f ca="1">IFERROR(_xlfn.XLOOKUP(F2211,Apuração!A:A,Apuração!D:D)/_xlfn.XLOOKUP(F2211,Apuração!A:A,Apuração!B:B),0)</f>
        <v>0.2</v>
      </c>
      <c r="BQ2211" s="53">
        <f ca="1">IF(BK2211&gt;=BO2211,0,_xlfn.XLOOKUP(F2211,Apuração!A:A,Apuração!B:B)*(BO2211 + (1/_xlfn.XLOOKUP(F2211,Apuração!A:A,Apuração!B:B)) - BK2211))</f>
        <v>0</v>
      </c>
      <c r="BR2211" s="85">
        <f t="shared" ref="BR2211:BR2214" ca="1" si="2639">IF(BQ2211=0,0,BQ2211*Z2211)</f>
        <v>0</v>
      </c>
      <c r="BS2211" s="53">
        <f ca="1">IFERROR((_xlfn.XLOOKUP(F2211,Apuração!A:A,Apuração!C:C)+1)/_xlfn.XLOOKUP(F2211,Apuração!A:A,Apuração!B:B),0)</f>
        <v>0.4</v>
      </c>
    </row>
    <row r="2212" spans="1:71" ht="25.95" hidden="1" customHeight="1" x14ac:dyDescent="0.3">
      <c r="A2212" s="44" t="s">
        <v>175</v>
      </c>
      <c r="B2212" s="4" t="s">
        <v>184</v>
      </c>
      <c r="C2212" s="5" t="s">
        <v>216</v>
      </c>
      <c r="D2212" s="5" t="s">
        <v>103</v>
      </c>
      <c r="E2212" s="4" t="str" cm="1">
        <f t="array" ref="E2212">_xlfn.IFS(
F2212 = "A partir de Abril", "Aguardando Execução na Distribuidora",
A2212 = "CAPACITAÇÃO", "Em execução no Corporativo",
TRUE, "Em Execução na Distribuidora"
)</f>
        <v>Em execução no Corporativo</v>
      </c>
      <c r="F2212" s="4" t="str" cm="1">
        <f t="array" ref="F2212">_xlfn.IFS(
AG2212 &lt;&gt; "", "Jan-Dez/26",
AH2212 &lt;&gt; "", "Fev-Dez/26",
AI2212 &lt;&gt; "", "Mar-Dez/26", AJ2212 &lt;&gt; "", "Abr-Dez/26",
TRUE, "A partir de Junho"
)</f>
        <v>Mar-Dez/26</v>
      </c>
      <c r="G2212" s="4" t="s">
        <v>37</v>
      </c>
      <c r="H2212" s="7" t="s">
        <v>38</v>
      </c>
      <c r="I2212" s="21" t="s">
        <v>182</v>
      </c>
      <c r="J2212" s="8" t="str" cm="1">
        <f t="array" aca="1" ref="J2212" ca="1">_xlfn.LET(
  _xlpm.actual_value_month, INDEX(T2212:AE2212, MATCH(DATE(YEAR(TODAY()), MONTH(TODAY()), 1), $T$1:$AE$1, 0)),
  IF(_xlpm.actual_value_month &lt;&gt; "", _xlpm.actual_value_month &amp; " ações mensais", "")
)</f>
        <v/>
      </c>
      <c r="K2212" s="8" t="str" cm="1">
        <f t="array" ref="K2212">_xlfn.LET(
    _xlpm.sum_month, SUM(T2212:AE2212),
    IF(_xlpm.sum_month = 0, "", _xlpm.sum_month &amp; " taxa de aprovados")
)</f>
        <v>1460 taxa de aprovados</v>
      </c>
      <c r="L2212" s="4" t="s">
        <v>186</v>
      </c>
      <c r="M2212" s="13">
        <v>1</v>
      </c>
      <c r="N2212" s="5" t="s">
        <v>51</v>
      </c>
      <c r="O2212" s="5" t="s">
        <v>43</v>
      </c>
      <c r="P2212" s="10" t="s">
        <v>44</v>
      </c>
      <c r="Q2212" s="10" t="s">
        <v>44</v>
      </c>
      <c r="R2212" s="11" t="s">
        <v>44</v>
      </c>
      <c r="S2212" s="11" t="s">
        <v>44</v>
      </c>
      <c r="T2212" s="22"/>
      <c r="U2212" s="22"/>
      <c r="V2212" s="143">
        <v>730</v>
      </c>
      <c r="W2212" s="143">
        <v>730</v>
      </c>
      <c r="X2212" s="22"/>
      <c r="Y2212" s="22"/>
      <c r="Z2212" s="22"/>
      <c r="AA2212" s="22"/>
      <c r="AB2212" s="22"/>
      <c r="AC2212" s="22"/>
      <c r="AD2212" s="22"/>
      <c r="AE2212" s="22"/>
      <c r="AG2212" s="71"/>
      <c r="AH2212" s="71"/>
      <c r="AI2212" s="82">
        <v>730</v>
      </c>
      <c r="AJ2212" s="82">
        <v>730</v>
      </c>
      <c r="AK2212" s="71"/>
      <c r="AL2212" s="71"/>
      <c r="AM2212" s="71"/>
      <c r="AN2212" s="71"/>
      <c r="AO2212" s="71"/>
      <c r="AP2212" s="71"/>
      <c r="AQ2212" s="71"/>
      <c r="AR2212" s="71"/>
      <c r="AS2212" s="94" cm="1">
        <f t="array" ref="AS2212">IFERROR(INDEX(T2212:AE2212,1,MATCH(2,1/(T2212:AE2212&lt;&gt;""))),"")</f>
        <v>730</v>
      </c>
      <c r="AT2212" s="95" cm="1">
        <f t="array" ref="AT2212">IFERROR(INDEX(AJ2212:AR2212,1,MATCH(2,1/(AJ2212:AR2212&lt;&gt;""))),"")</f>
        <v>730</v>
      </c>
      <c r="AU2212" s="97">
        <f t="shared" si="2634"/>
        <v>730</v>
      </c>
      <c r="AW2212" s="52">
        <f t="shared" si="2635"/>
        <v>0</v>
      </c>
      <c r="AX2212" s="52">
        <f t="shared" si="2636"/>
        <v>0</v>
      </c>
      <c r="AY2212" s="118">
        <f t="shared" si="2637"/>
        <v>1</v>
      </c>
      <c r="AZ2212" s="118">
        <f t="shared" si="2638"/>
        <v>1</v>
      </c>
      <c r="BA2212" s="52"/>
      <c r="BB2212" s="52"/>
      <c r="BC2212" s="52"/>
      <c r="BD2212" s="52"/>
      <c r="BE2212" s="52"/>
      <c r="BF2212" s="52"/>
      <c r="BG2212" s="52"/>
      <c r="BH2212" s="52"/>
      <c r="BI2212" s="65" cm="1">
        <f t="array" ref="BI2212">IFERROR(INDEX(AW2212:BH2212,1,MATCH(2,1/(AW2212:BH2212&lt;&gt;""))),"")</f>
        <v>1</v>
      </c>
      <c r="BJ2212" s="68" cm="1">
        <f t="array" ref="BJ2212">IF(BM2212 = "", "",IFERROR(INDEX(AW2212:BH2212,1,MATCH(2,1/(AW2212:BH2212&lt;&gt;""),1)-1),""))</f>
        <v>1</v>
      </c>
      <c r="BK2212" s="58" cm="1">
        <f t="array" ref="BK2212">IFERROR(INDEX(AW2212:BH2212,1,MATCH(2,1/(AW2212:BH2212&lt;&gt;""))),"")</f>
        <v>1</v>
      </c>
      <c r="BL2212" s="58" cm="1">
        <f t="array" ref="BL2212">IFERROR(INDEX(AW2212:BH2212,1,MATCH(2,1/(AW2212:BH2212&lt;&gt;""),1)-1),"")</f>
        <v>1</v>
      </c>
      <c r="BM2212" s="55" cm="1">
        <f t="array" ref="BM2212">IFERROR(
   INDEX($AW$1:$BH$1,
      _xlfn.AGGREGATE(14, 6, COLUMN($AW$1:$BH$1)/(AW2212:BH2212&lt;&gt;""), 2) - COLUMN($AW$1) + 1
   ),
"")</f>
        <v>46082</v>
      </c>
      <c r="BN2212" s="55" cm="1">
        <f t="array" ref="BN2212">IFERROR(INDEX($AW$1:$BH$1,1,MATCH(2,1/(AW2212:BH2212&lt;&gt;""))),"")</f>
        <v>46113</v>
      </c>
      <c r="BO2212" s="53">
        <f ca="1">IFERROR(_xlfn.XLOOKUP(F2212,Apuração!A:A,Apuração!C:C)/_xlfn.XLOOKUP(F2212,Apuração!A:A,Apuração!B:B),0)</f>
        <v>0.3</v>
      </c>
      <c r="BP2212" s="53">
        <f ca="1">IFERROR(_xlfn.XLOOKUP(F2212,Apuração!A:A,Apuração!D:D)/_xlfn.XLOOKUP(F2212,Apuração!A:A,Apuração!B:B),0)</f>
        <v>0.2</v>
      </c>
      <c r="BQ2212" s="53">
        <f ca="1">IF(BK2212&gt;=BO2212,0,_xlfn.XLOOKUP(F2212,Apuração!A:A,Apuração!B:B)*(BO2212 + (1/_xlfn.XLOOKUP(F2212,Apuração!A:A,Apuração!B:B)) - BK2212))</f>
        <v>0</v>
      </c>
      <c r="BR2212" s="85">
        <f t="shared" ca="1" si="2639"/>
        <v>0</v>
      </c>
      <c r="BS2212" s="53">
        <f ca="1">IFERROR((_xlfn.XLOOKUP(F2212,Apuração!A:A,Apuração!C:C)+1)/_xlfn.XLOOKUP(F2212,Apuração!A:A,Apuração!B:B),0)</f>
        <v>0.4</v>
      </c>
    </row>
    <row r="2213" spans="1:71" ht="25.95" hidden="1" customHeight="1" x14ac:dyDescent="0.3">
      <c r="A2213" s="44" t="s">
        <v>175</v>
      </c>
      <c r="B2213" s="4" t="s">
        <v>184</v>
      </c>
      <c r="C2213" s="5" t="s">
        <v>216</v>
      </c>
      <c r="D2213" s="5" t="s">
        <v>218</v>
      </c>
      <c r="E2213" s="4" t="str" cm="1">
        <f t="array" ref="E2213">_xlfn.IFS(
F2213 = "A partir de Abril", "Aguardando Execução na Distribuidora",
A2213 = "CAPACITAÇÃO", "Em execução no Corporativo",
TRUE, "Em Execução na Distribuidora"
)</f>
        <v>Em execução no Corporativo</v>
      </c>
      <c r="F2213" s="4" t="str" cm="1">
        <f t="array" ref="F2213">_xlfn.IFS(
AG2213 &lt;&gt; "", "Jan-Dez/26",
AH2213 &lt;&gt; "", "Fev-Dez/26",
AI2213 &lt;&gt; "", "Mar-Dez/26", AJ2213 &lt;&gt; "", "Abr-Dez/26",
TRUE, "A partir de Junho"
)</f>
        <v>Mar-Dez/26</v>
      </c>
      <c r="G2213" s="4" t="s">
        <v>37</v>
      </c>
      <c r="H2213" s="7" t="s">
        <v>38</v>
      </c>
      <c r="I2213" s="21" t="s">
        <v>182</v>
      </c>
      <c r="J2213" s="8" t="str" cm="1">
        <f t="array" aca="1" ref="J2213" ca="1">_xlfn.LET(
  _xlpm.actual_value_month, INDEX(T2213:AE2213, MATCH(DATE(YEAR(TODAY()), MONTH(TODAY()), 1), $T$1:$AE$1, 0)),
  IF(_xlpm.actual_value_month &lt;&gt; "", _xlpm.actual_value_month &amp; " ações mensais", "")
)</f>
        <v/>
      </c>
      <c r="K2213" s="8" t="str" cm="1">
        <f t="array" ref="K2213">_xlfn.LET(
    _xlpm.sum_month, SUM(T2213:AE2213),
    IF(_xlpm.sum_month = 0, "", _xlpm.sum_month &amp; " taxa de aprovados")
)</f>
        <v>498 taxa de aprovados</v>
      </c>
      <c r="L2213" s="4" t="s">
        <v>186</v>
      </c>
      <c r="M2213" s="13">
        <v>1</v>
      </c>
      <c r="N2213" s="5" t="s">
        <v>51</v>
      </c>
      <c r="O2213" s="5" t="s">
        <v>43</v>
      </c>
      <c r="P2213" s="10" t="s">
        <v>44</v>
      </c>
      <c r="Q2213" s="10" t="s">
        <v>44</v>
      </c>
      <c r="R2213" s="11" t="s">
        <v>44</v>
      </c>
      <c r="S2213" s="11" t="s">
        <v>44</v>
      </c>
      <c r="T2213" s="22"/>
      <c r="U2213" s="22"/>
      <c r="V2213" s="143">
        <v>249</v>
      </c>
      <c r="W2213" s="143">
        <v>249</v>
      </c>
      <c r="X2213" s="22"/>
      <c r="Y2213" s="22"/>
      <c r="Z2213" s="22"/>
      <c r="AA2213" s="22"/>
      <c r="AB2213" s="22"/>
      <c r="AC2213" s="22"/>
      <c r="AD2213" s="22"/>
      <c r="AE2213" s="22"/>
      <c r="AG2213" s="71"/>
      <c r="AH2213" s="71"/>
      <c r="AI2213" s="82">
        <v>249</v>
      </c>
      <c r="AJ2213" s="82">
        <v>249</v>
      </c>
      <c r="AK2213" s="71"/>
      <c r="AL2213" s="71"/>
      <c r="AM2213" s="71"/>
      <c r="AN2213" s="71"/>
      <c r="AO2213" s="71"/>
      <c r="AP2213" s="71"/>
      <c r="AQ2213" s="71"/>
      <c r="AR2213" s="71"/>
      <c r="AS2213" s="94" cm="1">
        <f t="array" ref="AS2213">IFERROR(INDEX(T2213:AE2213,1,MATCH(2,1/(T2213:AE2213&lt;&gt;""))),"")</f>
        <v>249</v>
      </c>
      <c r="AT2213" s="95" cm="1">
        <f t="array" ref="AT2213">IFERROR(INDEX(AJ2213:AR2213,1,MATCH(2,1/(AJ2213:AR2213&lt;&gt;""))),"")</f>
        <v>249</v>
      </c>
      <c r="AU2213" s="97">
        <f t="shared" si="2634"/>
        <v>249</v>
      </c>
      <c r="AW2213" s="52">
        <f t="shared" si="2635"/>
        <v>0</v>
      </c>
      <c r="AX2213" s="52">
        <f t="shared" si="2636"/>
        <v>0</v>
      </c>
      <c r="AY2213" s="118">
        <f t="shared" si="2637"/>
        <v>1</v>
      </c>
      <c r="AZ2213" s="118">
        <f t="shared" si="2638"/>
        <v>1</v>
      </c>
      <c r="BA2213" s="52"/>
      <c r="BB2213" s="52"/>
      <c r="BC2213" s="52"/>
      <c r="BD2213" s="52"/>
      <c r="BE2213" s="52"/>
      <c r="BF2213" s="52"/>
      <c r="BG2213" s="52"/>
      <c r="BH2213" s="52"/>
      <c r="BI2213" s="65" cm="1">
        <f t="array" ref="BI2213">IFERROR(INDEX(AW2213:BH2213,1,MATCH(2,1/(AW2213:BH2213&lt;&gt;""))),"")</f>
        <v>1</v>
      </c>
      <c r="BJ2213" s="68" cm="1">
        <f t="array" ref="BJ2213">IF(BM2213 = "", "",IFERROR(INDEX(AW2213:BH2213,1,MATCH(2,1/(AW2213:BH2213&lt;&gt;""),1)-1),""))</f>
        <v>1</v>
      </c>
      <c r="BK2213" s="58" cm="1">
        <f t="array" ref="BK2213">IFERROR(INDEX(AW2213:BH2213,1,MATCH(2,1/(AW2213:BH2213&lt;&gt;""))),"")</f>
        <v>1</v>
      </c>
      <c r="BL2213" s="58" cm="1">
        <f t="array" ref="BL2213">IFERROR(INDEX(AW2213:BH2213,1,MATCH(2,1/(AW2213:BH2213&lt;&gt;""),1)-1),"")</f>
        <v>1</v>
      </c>
      <c r="BM2213" s="55" cm="1">
        <f t="array" ref="BM2213">IFERROR(
   INDEX($AW$1:$BH$1,
      _xlfn.AGGREGATE(14, 6, COLUMN($AW$1:$BH$1)/(AW2213:BH2213&lt;&gt;""), 2) - COLUMN($AW$1) + 1
   ),
"")</f>
        <v>46082</v>
      </c>
      <c r="BN2213" s="55" cm="1">
        <f t="array" ref="BN2213">IFERROR(INDEX($AW$1:$BH$1,1,MATCH(2,1/(AW2213:BH2213&lt;&gt;""))),"")</f>
        <v>46113</v>
      </c>
      <c r="BO2213" s="53">
        <f ca="1">IFERROR(_xlfn.XLOOKUP(F2213,Apuração!A:A,Apuração!C:C)/_xlfn.XLOOKUP(F2213,Apuração!A:A,Apuração!B:B),0)</f>
        <v>0.3</v>
      </c>
      <c r="BP2213" s="53">
        <f ca="1">IFERROR(_xlfn.XLOOKUP(F2213,Apuração!A:A,Apuração!D:D)/_xlfn.XLOOKUP(F2213,Apuração!A:A,Apuração!B:B),0)</f>
        <v>0.2</v>
      </c>
      <c r="BQ2213" s="53">
        <f ca="1">IF(BK2213&gt;=BO2213,0,_xlfn.XLOOKUP(F2213,Apuração!A:A,Apuração!B:B)*(BO2213 + (1/_xlfn.XLOOKUP(F2213,Apuração!A:A,Apuração!B:B)) - BK2213))</f>
        <v>0</v>
      </c>
      <c r="BR2213" s="85">
        <f t="shared" ca="1" si="2639"/>
        <v>0</v>
      </c>
      <c r="BS2213" s="53">
        <f ca="1">IFERROR((_xlfn.XLOOKUP(F2213,Apuração!A:A,Apuração!C:C)+1)/_xlfn.XLOOKUP(F2213,Apuração!A:A,Apuração!B:B),0)</f>
        <v>0.4</v>
      </c>
    </row>
    <row r="2214" spans="1:71" ht="25.95" hidden="1" customHeight="1" x14ac:dyDescent="0.3">
      <c r="A2214" s="44" t="s">
        <v>175</v>
      </c>
      <c r="B2214" s="4" t="s">
        <v>184</v>
      </c>
      <c r="C2214" s="5" t="s">
        <v>216</v>
      </c>
      <c r="D2214" s="5" t="s">
        <v>219</v>
      </c>
      <c r="E2214" s="4" t="str" cm="1">
        <f t="array" ref="E2214">_xlfn.IFS(
F2214 = "A partir de Abril", "Aguardando Execução na Distribuidora",
A2214 = "CAPACITAÇÃO", "Em execução no Corporativo",
TRUE, "Em Execução na Distribuidora"
)</f>
        <v>Em execução no Corporativo</v>
      </c>
      <c r="F2214" s="4" t="str" cm="1">
        <f t="array" ref="F2214">_xlfn.IFS(
AG2214 &lt;&gt; "", "Jan-Dez/26",
AH2214 &lt;&gt; "", "Fev-Dez/26",
AI2214 &lt;&gt; "", "Mar-Dez/26", AJ2214 &lt;&gt; "", "Abr-Dez/26",
TRUE, "A partir de Junho"
)</f>
        <v>Mar-Dez/26</v>
      </c>
      <c r="G2214" s="4" t="s">
        <v>37</v>
      </c>
      <c r="H2214" s="7" t="s">
        <v>38</v>
      </c>
      <c r="I2214" s="21" t="s">
        <v>182</v>
      </c>
      <c r="J2214" s="8" t="str" cm="1">
        <f t="array" aca="1" ref="J2214" ca="1">_xlfn.LET(
  _xlpm.actual_value_month, INDEX(T2214:AE2214, MATCH(DATE(YEAR(TODAY()), MONTH(TODAY()), 1), $T$1:$AE$1, 0)),
  IF(_xlpm.actual_value_month &lt;&gt; "", _xlpm.actual_value_month &amp; " ações mensais", "")
)</f>
        <v/>
      </c>
      <c r="K2214" s="8" t="str" cm="1">
        <f t="array" ref="K2214">_xlfn.LET(
    _xlpm.sum_month, SUM(T2214:AE2214),
    IF(_xlpm.sum_month = 0, "", _xlpm.sum_month &amp; " taxa de aprovados")
)</f>
        <v>470 taxa de aprovados</v>
      </c>
      <c r="L2214" s="4" t="s">
        <v>186</v>
      </c>
      <c r="M2214" s="13">
        <v>1</v>
      </c>
      <c r="N2214" s="5" t="s">
        <v>51</v>
      </c>
      <c r="O2214" s="5" t="s">
        <v>43</v>
      </c>
      <c r="P2214" s="10" t="s">
        <v>44</v>
      </c>
      <c r="Q2214" s="10" t="s">
        <v>44</v>
      </c>
      <c r="R2214" s="11" t="s">
        <v>44</v>
      </c>
      <c r="S2214" s="11" t="s">
        <v>44</v>
      </c>
      <c r="T2214" s="22"/>
      <c r="U2214" s="22"/>
      <c r="V2214" s="143">
        <v>235</v>
      </c>
      <c r="W2214" s="143">
        <v>235</v>
      </c>
      <c r="X2214" s="22"/>
      <c r="Y2214" s="22"/>
      <c r="Z2214" s="22"/>
      <c r="AA2214" s="22"/>
      <c r="AB2214" s="22"/>
      <c r="AC2214" s="22"/>
      <c r="AD2214" s="22"/>
      <c r="AE2214" s="22"/>
      <c r="AG2214" s="71"/>
      <c r="AH2214" s="71"/>
      <c r="AI2214" s="82">
        <v>235</v>
      </c>
      <c r="AJ2214" s="82">
        <v>235</v>
      </c>
      <c r="AK2214" s="71"/>
      <c r="AL2214" s="71"/>
      <c r="AM2214" s="71"/>
      <c r="AN2214" s="71"/>
      <c r="AO2214" s="71"/>
      <c r="AP2214" s="71"/>
      <c r="AQ2214" s="71"/>
      <c r="AR2214" s="71"/>
      <c r="AS2214" s="94" cm="1">
        <f t="array" ref="AS2214">IFERROR(INDEX(T2214:AE2214,1,MATCH(2,1/(T2214:AE2214&lt;&gt;""))),"")</f>
        <v>235</v>
      </c>
      <c r="AT2214" s="95" cm="1">
        <f t="array" ref="AT2214">IFERROR(INDEX(AJ2214:AR2214,1,MATCH(2,1/(AJ2214:AR2214&lt;&gt;""))),"")</f>
        <v>235</v>
      </c>
      <c r="AU2214" s="97">
        <f t="shared" si="2634"/>
        <v>235</v>
      </c>
      <c r="AW2214" s="52">
        <f t="shared" si="2635"/>
        <v>0</v>
      </c>
      <c r="AX2214" s="52">
        <f t="shared" si="2636"/>
        <v>0</v>
      </c>
      <c r="AY2214" s="118">
        <f t="shared" si="2637"/>
        <v>1</v>
      </c>
      <c r="AZ2214" s="118">
        <f t="shared" si="2638"/>
        <v>1</v>
      </c>
      <c r="BA2214" s="52"/>
      <c r="BB2214" s="52"/>
      <c r="BC2214" s="52"/>
      <c r="BD2214" s="52"/>
      <c r="BE2214" s="52"/>
      <c r="BF2214" s="52"/>
      <c r="BG2214" s="52"/>
      <c r="BH2214" s="52"/>
      <c r="BI2214" s="65" cm="1">
        <f t="array" ref="BI2214">IFERROR(INDEX(AW2214:BH2214,1,MATCH(2,1/(AW2214:BH2214&lt;&gt;""))),"")</f>
        <v>1</v>
      </c>
      <c r="BJ2214" s="68" cm="1">
        <f t="array" ref="BJ2214">IF(BM2214 = "", "",IFERROR(INDEX(AW2214:BH2214,1,MATCH(2,1/(AW2214:BH2214&lt;&gt;""),1)-1),""))</f>
        <v>1</v>
      </c>
      <c r="BK2214" s="58" cm="1">
        <f t="array" ref="BK2214">IFERROR(INDEX(AW2214:BH2214,1,MATCH(2,1/(AW2214:BH2214&lt;&gt;""))),"")</f>
        <v>1</v>
      </c>
      <c r="BL2214" s="58" cm="1">
        <f t="array" ref="BL2214">IFERROR(INDEX(AW2214:BH2214,1,MATCH(2,1/(AW2214:BH2214&lt;&gt;""),1)-1),"")</f>
        <v>1</v>
      </c>
      <c r="BM2214" s="55" cm="1">
        <f t="array" ref="BM2214">IFERROR(
   INDEX($AW$1:$BH$1,
      _xlfn.AGGREGATE(14, 6, COLUMN($AW$1:$BH$1)/(AW2214:BH2214&lt;&gt;""), 2) - COLUMN($AW$1) + 1
   ),
"")</f>
        <v>46082</v>
      </c>
      <c r="BN2214" s="55" cm="1">
        <f t="array" ref="BN2214">IFERROR(INDEX($AW$1:$BH$1,1,MATCH(2,1/(AW2214:BH2214&lt;&gt;""))),"")</f>
        <v>46113</v>
      </c>
      <c r="BO2214" s="53">
        <f ca="1">IFERROR(_xlfn.XLOOKUP(F2214,Apuração!A:A,Apuração!C:C)/_xlfn.XLOOKUP(F2214,Apuração!A:A,Apuração!B:B),0)</f>
        <v>0.3</v>
      </c>
      <c r="BP2214" s="53">
        <f ca="1">IFERROR(_xlfn.XLOOKUP(F2214,Apuração!A:A,Apuração!D:D)/_xlfn.XLOOKUP(F2214,Apuração!A:A,Apuração!B:B),0)</f>
        <v>0.2</v>
      </c>
      <c r="BQ2214" s="53">
        <f ca="1">IF(BK2214&gt;=BO2214,0,_xlfn.XLOOKUP(F2214,Apuração!A:A,Apuração!B:B)*(BO2214 + (1/_xlfn.XLOOKUP(F2214,Apuração!A:A,Apuração!B:B)) - BK2214))</f>
        <v>0</v>
      </c>
      <c r="BR2214" s="85">
        <f t="shared" ca="1" si="2639"/>
        <v>0</v>
      </c>
      <c r="BS2214" s="53">
        <f ca="1">IFERROR((_xlfn.XLOOKUP(F2214,Apuração!A:A,Apuração!C:C)+1)/_xlfn.XLOOKUP(F2214,Apuração!A:A,Apuração!B:B),0)</f>
        <v>0.4</v>
      </c>
    </row>
    <row r="2215" spans="1:71" ht="25.95" hidden="1" customHeight="1" x14ac:dyDescent="0.3">
      <c r="A2215" s="33" t="s">
        <v>175</v>
      </c>
      <c r="B2215" s="4" t="s">
        <v>187</v>
      </c>
      <c r="C2215" s="5" t="s">
        <v>216</v>
      </c>
      <c r="D2215" s="5" t="s">
        <v>36</v>
      </c>
      <c r="E2215" s="4" t="s">
        <v>96</v>
      </c>
      <c r="F2215" s="4" t="str" cm="1">
        <f t="array" ref="F2215">_xlfn.IFS(
AG2215 &lt;&gt; "", "Jan-Dez/26",
AH2215 &lt;&gt; "", "Fev-Dez/26",
AI2215 &lt;&gt; "", "Mar-Dez/26", AJ2215 &lt;&gt; "", "Abr-Dez/26",
TRUE, "A partir de Junho"
)</f>
        <v>A partir de Junho</v>
      </c>
      <c r="G2215" s="4" t="s">
        <v>62</v>
      </c>
      <c r="H2215" s="7" t="s">
        <v>54</v>
      </c>
      <c r="I2215" s="8" t="s">
        <v>188</v>
      </c>
      <c r="J2215" s="8" t="str" cm="1">
        <f t="array" aca="1" ref="J2215" ca="1">_xlfn.LET(
  _xlpm.actual_value_month, INDEX(T2215:AE2215, MATCH(DATE(YEAR(TODAY()), MONTH(TODAY()), 1), $T$1:$AE$1, 0)),
  IF(_xlpm.actual_value_month &lt;&gt; "", _xlpm.actual_value_month &amp; " ações mensais", "")
)</f>
        <v/>
      </c>
      <c r="K2215" s="8" t="str" cm="1">
        <f t="array" ref="K2215">_xlfn.LET(
    _xlpm.sum_month, SUM(T2215:AE2215),
    IF(_xlpm.sum_month = 0, "", _xlpm.sum_month &amp; " taxa de aderência de treinados.")
)</f>
        <v/>
      </c>
      <c r="L2215" s="9" t="s">
        <v>189</v>
      </c>
      <c r="M2215" s="13">
        <v>1</v>
      </c>
      <c r="N2215" s="5" t="s">
        <v>42</v>
      </c>
      <c r="O2215" s="5" t="s">
        <v>43</v>
      </c>
      <c r="P2215" s="10" t="s">
        <v>146</v>
      </c>
      <c r="Q2215" s="10" t="s">
        <v>44</v>
      </c>
      <c r="R2215" s="11" t="s">
        <v>44</v>
      </c>
      <c r="S2215" s="11" t="s">
        <v>44</v>
      </c>
      <c r="T2215" s="22"/>
      <c r="U2215" s="22"/>
      <c r="V2215" s="22"/>
      <c r="W2215" s="22"/>
      <c r="X2215" s="22"/>
      <c r="Y2215" s="22"/>
      <c r="Z2215" s="22"/>
      <c r="AA2215" s="22"/>
      <c r="AB2215" s="22"/>
      <c r="AC2215" s="22"/>
      <c r="AD2215" s="22"/>
      <c r="AE2215" s="22"/>
      <c r="AG2215" s="71"/>
      <c r="AH2215" s="71"/>
      <c r="AI2215" s="71"/>
      <c r="AJ2215" s="71"/>
      <c r="AK2215" s="71"/>
      <c r="AL2215" s="71"/>
      <c r="AM2215" s="71"/>
      <c r="AN2215" s="71"/>
      <c r="AO2215" s="71"/>
      <c r="AP2215" s="71"/>
      <c r="AQ2215" s="71"/>
      <c r="AR2215" s="71"/>
      <c r="AS2215" s="94" t="str" cm="1">
        <f t="array" ref="AS2215">IFERROR(INDEX(T2215:AE2215,1,MATCH(2,1/(T2215:AE2215&lt;&gt;""))),"")</f>
        <v/>
      </c>
      <c r="AT2215" s="95">
        <f>AN2215</f>
        <v>0</v>
      </c>
      <c r="AU2215" s="97">
        <f>AT2215</f>
        <v>0</v>
      </c>
      <c r="AW2215" s="51"/>
      <c r="AX2215" s="51"/>
      <c r="AY2215" s="51"/>
      <c r="AZ2215" s="51"/>
      <c r="BA2215" s="51"/>
      <c r="BB2215" s="51"/>
      <c r="BC2215" s="51"/>
      <c r="BD2215" s="51"/>
      <c r="BE2215" s="51"/>
      <c r="BF2215" s="51"/>
      <c r="BG2215" s="51"/>
      <c r="BH2215" s="51"/>
      <c r="BI2215" s="65" t="str" cm="1">
        <f t="array" ref="BI2215">IFERROR(INDEX(AW2215:BH2215,1,MATCH(2,1/(AW2215:BH2215&lt;&gt;""))),"")</f>
        <v/>
      </c>
      <c r="BJ2215" s="68" t="str" cm="1">
        <f t="array" ref="BJ2215">IF(BM2215 = "", "",IFERROR(INDEX(AW2215:BH2215,1,MATCH(2,1/(AW2215:BH2215&lt;&gt;""),1)-1),""))</f>
        <v/>
      </c>
      <c r="BK2215" s="58" t="str" cm="1">
        <f t="array" ref="BK2215">IFERROR(INDEX(AW2215:BH2215,1,MATCH(2,1/(AW2215:BH2215&lt;&gt;""))),"")</f>
        <v/>
      </c>
      <c r="BL2215" s="58" cm="1">
        <f t="array" aca="1" ref="BL2215" ca="1">IF(SUM(IFERROR(IF(INDEX(AW2215:INDEX(AW2215:BH2215, MATCH(2, 1/(AW2215:BH2215&lt;&gt;""), 1)-1), ROW(INDIRECT("1:" &amp; MATCH(2, 1/(AW2215:BH2215&lt;&gt;""), 1)-1))) &gt;= 115%, 115%, INDEX(AW2215:INDEX(AW2215:BH2215, MATCH(2, 1/(AW2215:BH2215&lt;&gt;""), 1)-1), ROW(INDIRECT("1:" &amp; MATCH(2, 1/(AW2215:BH2215&lt;&gt;""), 1)-1)))), 0))/_xlfn.XLOOKUP(F2215,Apuração!A:A,Apuração!B:B)&gt;=1.15,1.15,SUM(IFERROR(IF(INDEX(AW2215:INDEX(AW2215:BH2215, MATCH(2, 1/(AW2215:BH2215&lt;&gt;""), 1)-1), ROW(INDIRECT("1:" &amp; MATCH(2, 1/(AW2215:BH2215&lt;&gt;""), 1)-1))) &gt;= 115%, 115%, INDEX(AW2215:INDEX(AW2215:BH2215, MATCH(2, 1/(AW2215:BH2215&lt;&gt;""), 1)-1), ROW(INDIRECT("1:" &amp; MATCH(2, 1/(AW2215:BH2215&lt;&gt;""), 1)-1)))), 0))/_xlfn.XLOOKUP(F2215,Apuração!A:A,Apuração!B:B))</f>
        <v>0</v>
      </c>
      <c r="BM2215" s="55" t="str" cm="1">
        <f t="array" ref="BM2215">IFERROR(
   INDEX($AW$1:$BH$1,
      _xlfn.AGGREGATE(14, 6, COLUMN($AW$1:$BH$1)/(AW2215:BH2215&lt;&gt;""), 2) - COLUMN($AW$1) + 1
   ),
"")</f>
        <v/>
      </c>
      <c r="BN2215" s="55" t="str" cm="1">
        <f t="array" ref="BN2215">IFERROR(INDEX($AW$1:$BH$1,1,MATCH(2,1/(AW2215:BH2215&lt;&gt;""))),"")</f>
        <v/>
      </c>
      <c r="BO2215" s="53">
        <f ca="1">IFERROR(_xlfn.XLOOKUP(F2215,Apuração!A:A,Apuração!C:C)/_xlfn.XLOOKUP(F2215,Apuração!A:A,Apuração!B:B),0)</f>
        <v>0</v>
      </c>
      <c r="BP2215" s="53">
        <f ca="1">IFERROR(_xlfn.XLOOKUP(F2215,Apuração!A:A,Apuração!D:D)/_xlfn.XLOOKUP(F2215,Apuração!A:A,Apuração!B:B),0)</f>
        <v>0</v>
      </c>
      <c r="BQ2215" s="53">
        <f ca="1">IF(BK2215&gt;=BO2215,0,_xlfn.XLOOKUP(F2215,Apuração!A:A,Apuração!B:B)*(BO2215 + (1/_xlfn.XLOOKUP(F2215,Apuração!A:A,Apuração!B:B)) - BK2215))</f>
        <v>0</v>
      </c>
      <c r="BR2215" s="85">
        <f ca="1">IF(BQ2215=0,0,BQ2215*Z2215)</f>
        <v>0</v>
      </c>
      <c r="BS2215" s="53">
        <f ca="1">IFERROR((_xlfn.XLOOKUP(F2215,Apuração!A:A,Apuração!C:C)+1)/_xlfn.XLOOKUP(F2215,Apuração!A:A,Apuração!B:B),0)</f>
        <v>0.14285714285714285</v>
      </c>
    </row>
    <row r="2216" spans="1:71" ht="25.95" hidden="1" customHeight="1" x14ac:dyDescent="0.3">
      <c r="A2216" s="33" t="s">
        <v>175</v>
      </c>
      <c r="B2216" s="4" t="s">
        <v>187</v>
      </c>
      <c r="C2216" s="5" t="s">
        <v>216</v>
      </c>
      <c r="D2216" s="5" t="s">
        <v>217</v>
      </c>
      <c r="E2216" s="4" t="s">
        <v>96</v>
      </c>
      <c r="F2216" s="4" t="str" cm="1">
        <f t="array" ref="F2216">_xlfn.IFS(
AG2216 &lt;&gt; "", "Jan-Dez/26",
AH2216 &lt;&gt; "", "Fev-Dez/26",
AI2216 &lt;&gt; "", "Mar-Dez/26", AJ2216 &lt;&gt; "", "Abr-Dez/26",
TRUE, "A partir de Junho"
)</f>
        <v>A partir de Junho</v>
      </c>
      <c r="G2216" s="4" t="s">
        <v>62</v>
      </c>
      <c r="H2216" s="7" t="s">
        <v>54</v>
      </c>
      <c r="I2216" s="8" t="s">
        <v>188</v>
      </c>
      <c r="J2216" s="8" t="str" cm="1">
        <f t="array" aca="1" ref="J2216" ca="1">_xlfn.LET(
  _xlpm.actual_value_month, INDEX(T2216:AE2216, MATCH(DATE(YEAR(TODAY()), MONTH(TODAY()), 1), $T$1:$AE$1, 0)),
  IF(_xlpm.actual_value_month &lt;&gt; "", _xlpm.actual_value_month &amp; " ações mensais", "")
)</f>
        <v/>
      </c>
      <c r="K2216" s="8" t="str" cm="1">
        <f t="array" ref="K2216">_xlfn.LET(
    _xlpm.sum_month, SUM(T2216:AE2216),
    IF(_xlpm.sum_month = 0, "", _xlpm.sum_month &amp; " taxa de aderência de treinados.")
)</f>
        <v/>
      </c>
      <c r="L2216" s="9" t="s">
        <v>189</v>
      </c>
      <c r="M2216" s="13">
        <v>1</v>
      </c>
      <c r="N2216" s="5" t="s">
        <v>42</v>
      </c>
      <c r="O2216" s="5" t="s">
        <v>43</v>
      </c>
      <c r="P2216" s="10" t="s">
        <v>146</v>
      </c>
      <c r="Q2216" s="10" t="s">
        <v>44</v>
      </c>
      <c r="R2216" s="11" t="s">
        <v>44</v>
      </c>
      <c r="S2216" s="11" t="s">
        <v>44</v>
      </c>
      <c r="T2216" s="22"/>
      <c r="U2216" s="22"/>
      <c r="V2216" s="22"/>
      <c r="W2216" s="22"/>
      <c r="X2216" s="22"/>
      <c r="Y2216" s="22"/>
      <c r="Z2216" s="22"/>
      <c r="AA2216" s="22"/>
      <c r="AB2216" s="22"/>
      <c r="AC2216" s="22"/>
      <c r="AD2216" s="22"/>
      <c r="AE2216" s="22"/>
      <c r="AG2216" s="71"/>
      <c r="AH2216" s="71"/>
      <c r="AI2216" s="71"/>
      <c r="AJ2216" s="71"/>
      <c r="AK2216" s="71"/>
      <c r="AL2216" s="71"/>
      <c r="AM2216" s="71"/>
      <c r="AN2216" s="71"/>
      <c r="AO2216" s="71"/>
      <c r="AP2216" s="71"/>
      <c r="AQ2216" s="71"/>
      <c r="AR2216" s="71"/>
      <c r="AS2216" s="94" t="str" cm="1">
        <f t="array" ref="AS2216">IFERROR(INDEX(T2216:AE2216,1,MATCH(2,1/(T2216:AE2216&lt;&gt;""))),"")</f>
        <v/>
      </c>
      <c r="AT2216" s="95">
        <f t="shared" ref="AT2216:AT2219" si="2640">AN2216</f>
        <v>0</v>
      </c>
      <c r="AU2216" s="97">
        <f t="shared" ref="AU2216:AU2219" si="2641">AT2216</f>
        <v>0</v>
      </c>
      <c r="AW2216" s="51"/>
      <c r="AX2216" s="51"/>
      <c r="AY2216" s="51"/>
      <c r="AZ2216" s="51"/>
      <c r="BA2216" s="51"/>
      <c r="BB2216" s="51"/>
      <c r="BC2216" s="51"/>
      <c r="BD2216" s="51"/>
      <c r="BE2216" s="51"/>
      <c r="BF2216" s="51"/>
      <c r="BG2216" s="51"/>
      <c r="BH2216" s="51"/>
      <c r="BI2216" s="65" t="str" cm="1">
        <f t="array" ref="BI2216">IFERROR(INDEX(AW2216:BH2216,1,MATCH(2,1/(AW2216:BH2216&lt;&gt;""))),"")</f>
        <v/>
      </c>
      <c r="BJ2216" s="68" t="str" cm="1">
        <f t="array" ref="BJ2216">IF(BM2216 = "", "",IFERROR(INDEX(AW2216:BH2216,1,MATCH(2,1/(AW2216:BH2216&lt;&gt;""),1)-1),""))</f>
        <v/>
      </c>
      <c r="BK2216" s="58" t="str" cm="1">
        <f t="array" ref="BK2216">IFERROR(INDEX(AW2216:BH2216,1,MATCH(2,1/(AW2216:BH2216&lt;&gt;""))),"")</f>
        <v/>
      </c>
      <c r="BL2216" s="58" cm="1">
        <f t="array" aca="1" ref="BL2216" ca="1">IF(SUM(IFERROR(IF(INDEX(AW2216:INDEX(AW2216:BH2216, MATCH(2, 1/(AW2216:BH2216&lt;&gt;""), 1)-1), ROW(INDIRECT("1:" &amp; MATCH(2, 1/(AW2216:BH2216&lt;&gt;""), 1)-1))) &gt;= 115%, 115%, INDEX(AW2216:INDEX(AW2216:BH2216, MATCH(2, 1/(AW2216:BH2216&lt;&gt;""), 1)-1), ROW(INDIRECT("1:" &amp; MATCH(2, 1/(AW2216:BH2216&lt;&gt;""), 1)-1)))), 0))/_xlfn.XLOOKUP(F2216,Apuração!A:A,Apuração!B:B)&gt;=1.15,1.15,SUM(IFERROR(IF(INDEX(AW2216:INDEX(AW2216:BH2216, MATCH(2, 1/(AW2216:BH2216&lt;&gt;""), 1)-1), ROW(INDIRECT("1:" &amp; MATCH(2, 1/(AW2216:BH2216&lt;&gt;""), 1)-1))) &gt;= 115%, 115%, INDEX(AW2216:INDEX(AW2216:BH2216, MATCH(2, 1/(AW2216:BH2216&lt;&gt;""), 1)-1), ROW(INDIRECT("1:" &amp; MATCH(2, 1/(AW2216:BH2216&lt;&gt;""), 1)-1)))), 0))/_xlfn.XLOOKUP(F2216,Apuração!A:A,Apuração!B:B))</f>
        <v>0</v>
      </c>
      <c r="BM2216" s="55" t="str" cm="1">
        <f t="array" ref="BM2216">IFERROR(
   INDEX($AW$1:$BH$1,
      _xlfn.AGGREGATE(14, 6, COLUMN($AW$1:$BH$1)/(AW2216:BH2216&lt;&gt;""), 2) - COLUMN($AW$1) + 1
   ),
"")</f>
        <v/>
      </c>
      <c r="BN2216" s="55" t="str" cm="1">
        <f t="array" ref="BN2216">IFERROR(INDEX($AW$1:$BH$1,1,MATCH(2,1/(AW2216:BH2216&lt;&gt;""))),"")</f>
        <v/>
      </c>
      <c r="BO2216" s="53">
        <f ca="1">IFERROR(_xlfn.XLOOKUP(F2216,Apuração!A:A,Apuração!C:C)/_xlfn.XLOOKUP(F2216,Apuração!A:A,Apuração!B:B),0)</f>
        <v>0</v>
      </c>
      <c r="BP2216" s="53">
        <f ca="1">IFERROR(_xlfn.XLOOKUP(F2216,Apuração!A:A,Apuração!D:D)/_xlfn.XLOOKUP(F2216,Apuração!A:A,Apuração!B:B),0)</f>
        <v>0</v>
      </c>
      <c r="BQ2216" s="53">
        <f ca="1">IF(BK2216&gt;=BO2216,0,_xlfn.XLOOKUP(F2216,Apuração!A:A,Apuração!B:B)*(BO2216 + (1/_xlfn.XLOOKUP(F2216,Apuração!A:A,Apuração!B:B)) - BK2216))</f>
        <v>0</v>
      </c>
      <c r="BR2216" s="85">
        <f t="shared" ref="BR2216:BR2219" ca="1" si="2642">IF(BQ2216=0,0,BQ2216*Z2216)</f>
        <v>0</v>
      </c>
      <c r="BS2216" s="53">
        <f ca="1">IFERROR((_xlfn.XLOOKUP(F2216,Apuração!A:A,Apuração!C:C)+1)/_xlfn.XLOOKUP(F2216,Apuração!A:A,Apuração!B:B),0)</f>
        <v>0.14285714285714285</v>
      </c>
    </row>
    <row r="2217" spans="1:71" ht="25.95" hidden="1" customHeight="1" x14ac:dyDescent="0.3">
      <c r="A2217" s="33" t="s">
        <v>175</v>
      </c>
      <c r="B2217" s="4" t="s">
        <v>187</v>
      </c>
      <c r="C2217" s="5" t="s">
        <v>216</v>
      </c>
      <c r="D2217" s="5" t="s">
        <v>103</v>
      </c>
      <c r="E2217" s="4" t="s">
        <v>96</v>
      </c>
      <c r="F2217" s="4" t="str" cm="1">
        <f t="array" ref="F2217">_xlfn.IFS(
AG2217 &lt;&gt; "", "Jan-Dez/26",
AH2217 &lt;&gt; "", "Fev-Dez/26",
AI2217 &lt;&gt; "", "Mar-Dez/26", AJ2217 &lt;&gt; "", "Abr-Dez/26",
TRUE, "A partir de Junho"
)</f>
        <v>A partir de Junho</v>
      </c>
      <c r="G2217" s="4" t="s">
        <v>62</v>
      </c>
      <c r="H2217" s="7" t="s">
        <v>54</v>
      </c>
      <c r="I2217" s="8" t="s">
        <v>188</v>
      </c>
      <c r="J2217" s="8" t="str" cm="1">
        <f t="array" aca="1" ref="J2217" ca="1">_xlfn.LET(
  _xlpm.actual_value_month, INDEX(T2217:AE2217, MATCH(DATE(YEAR(TODAY()), MONTH(TODAY()), 1), $T$1:$AE$1, 0)),
  IF(_xlpm.actual_value_month &lt;&gt; "", _xlpm.actual_value_month &amp; " ações mensais", "")
)</f>
        <v/>
      </c>
      <c r="K2217" s="8" t="str" cm="1">
        <f t="array" ref="K2217">_xlfn.LET(
    _xlpm.sum_month, SUM(T2217:AE2217),
    IF(_xlpm.sum_month = 0, "", _xlpm.sum_month &amp; " taxa de aderência de treinados.")
)</f>
        <v/>
      </c>
      <c r="L2217" s="9" t="s">
        <v>189</v>
      </c>
      <c r="M2217" s="13">
        <v>1</v>
      </c>
      <c r="N2217" s="5" t="s">
        <v>42</v>
      </c>
      <c r="O2217" s="5" t="s">
        <v>43</v>
      </c>
      <c r="P2217" s="10" t="s">
        <v>146</v>
      </c>
      <c r="Q2217" s="10" t="s">
        <v>44</v>
      </c>
      <c r="R2217" s="11" t="s">
        <v>44</v>
      </c>
      <c r="S2217" s="11" t="s">
        <v>44</v>
      </c>
      <c r="T2217" s="22"/>
      <c r="U2217" s="22"/>
      <c r="V2217" s="22"/>
      <c r="W2217" s="22"/>
      <c r="X2217" s="22"/>
      <c r="Y2217" s="22"/>
      <c r="Z2217" s="22"/>
      <c r="AA2217" s="22"/>
      <c r="AB2217" s="22"/>
      <c r="AC2217" s="22"/>
      <c r="AD2217" s="22"/>
      <c r="AE2217" s="22"/>
      <c r="AG2217" s="71"/>
      <c r="AH2217" s="71"/>
      <c r="AI2217" s="71"/>
      <c r="AJ2217" s="71"/>
      <c r="AK2217" s="71"/>
      <c r="AL2217" s="71"/>
      <c r="AM2217" s="71"/>
      <c r="AN2217" s="71"/>
      <c r="AO2217" s="71"/>
      <c r="AP2217" s="71"/>
      <c r="AQ2217" s="71"/>
      <c r="AR2217" s="71"/>
      <c r="AS2217" s="94" t="str" cm="1">
        <f t="array" ref="AS2217">IFERROR(INDEX(T2217:AE2217,1,MATCH(2,1/(T2217:AE2217&lt;&gt;""))),"")</f>
        <v/>
      </c>
      <c r="AT2217" s="95">
        <f t="shared" si="2640"/>
        <v>0</v>
      </c>
      <c r="AU2217" s="97">
        <f t="shared" si="2641"/>
        <v>0</v>
      </c>
      <c r="AW2217" s="51"/>
      <c r="AX2217" s="51"/>
      <c r="AY2217" s="51"/>
      <c r="AZ2217" s="51"/>
      <c r="BA2217" s="51"/>
      <c r="BB2217" s="51"/>
      <c r="BC2217" s="51"/>
      <c r="BD2217" s="51"/>
      <c r="BE2217" s="51"/>
      <c r="BF2217" s="51"/>
      <c r="BG2217" s="51"/>
      <c r="BH2217" s="51"/>
      <c r="BI2217" s="65" t="str" cm="1">
        <f t="array" ref="BI2217">IFERROR(INDEX(AW2217:BH2217,1,MATCH(2,1/(AW2217:BH2217&lt;&gt;""))),"")</f>
        <v/>
      </c>
      <c r="BJ2217" s="68" t="str" cm="1">
        <f t="array" ref="BJ2217">IF(BM2217 = "", "",IFERROR(INDEX(AW2217:BH2217,1,MATCH(2,1/(AW2217:BH2217&lt;&gt;""),1)-1),""))</f>
        <v/>
      </c>
      <c r="BK2217" s="58" t="str" cm="1">
        <f t="array" ref="BK2217">IFERROR(INDEX(AW2217:BH2217,1,MATCH(2,1/(AW2217:BH2217&lt;&gt;""))),"")</f>
        <v/>
      </c>
      <c r="BL2217" s="58" cm="1">
        <f t="array" aca="1" ref="BL2217" ca="1">IF(SUM(IFERROR(IF(INDEX(AW2217:INDEX(AW2217:BH2217, MATCH(2, 1/(AW2217:BH2217&lt;&gt;""), 1)-1), ROW(INDIRECT("1:" &amp; MATCH(2, 1/(AW2217:BH2217&lt;&gt;""), 1)-1))) &gt;= 115%, 115%, INDEX(AW2217:INDEX(AW2217:BH2217, MATCH(2, 1/(AW2217:BH2217&lt;&gt;""), 1)-1), ROW(INDIRECT("1:" &amp; MATCH(2, 1/(AW2217:BH2217&lt;&gt;""), 1)-1)))), 0))/_xlfn.XLOOKUP(F2217,Apuração!A:A,Apuração!B:B)&gt;=1.15,1.15,SUM(IFERROR(IF(INDEX(AW2217:INDEX(AW2217:BH2217, MATCH(2, 1/(AW2217:BH2217&lt;&gt;""), 1)-1), ROW(INDIRECT("1:" &amp; MATCH(2, 1/(AW2217:BH2217&lt;&gt;""), 1)-1))) &gt;= 115%, 115%, INDEX(AW2217:INDEX(AW2217:BH2217, MATCH(2, 1/(AW2217:BH2217&lt;&gt;""), 1)-1), ROW(INDIRECT("1:" &amp; MATCH(2, 1/(AW2217:BH2217&lt;&gt;""), 1)-1)))), 0))/_xlfn.XLOOKUP(F2217,Apuração!A:A,Apuração!B:B))</f>
        <v>0</v>
      </c>
      <c r="BM2217" s="55" t="str" cm="1">
        <f t="array" ref="BM2217">IFERROR(
   INDEX($AW$1:$BH$1,
      _xlfn.AGGREGATE(14, 6, COLUMN($AW$1:$BH$1)/(AW2217:BH2217&lt;&gt;""), 2) - COLUMN($AW$1) + 1
   ),
"")</f>
        <v/>
      </c>
      <c r="BN2217" s="55" t="str" cm="1">
        <f t="array" ref="BN2217">IFERROR(INDEX($AW$1:$BH$1,1,MATCH(2,1/(AW2217:BH2217&lt;&gt;""))),"")</f>
        <v/>
      </c>
      <c r="BO2217" s="53">
        <f ca="1">IFERROR(_xlfn.XLOOKUP(F2217,Apuração!A:A,Apuração!C:C)/_xlfn.XLOOKUP(F2217,Apuração!A:A,Apuração!B:B),0)</f>
        <v>0</v>
      </c>
      <c r="BP2217" s="53">
        <f ca="1">IFERROR(_xlfn.XLOOKUP(F2217,Apuração!A:A,Apuração!D:D)/_xlfn.XLOOKUP(F2217,Apuração!A:A,Apuração!B:B),0)</f>
        <v>0</v>
      </c>
      <c r="BQ2217" s="53">
        <f ca="1">IF(BK2217&gt;=BO2217,0,_xlfn.XLOOKUP(F2217,Apuração!A:A,Apuração!B:B)*(BO2217 + (1/_xlfn.XLOOKUP(F2217,Apuração!A:A,Apuração!B:B)) - BK2217))</f>
        <v>0</v>
      </c>
      <c r="BR2217" s="85">
        <f t="shared" ca="1" si="2642"/>
        <v>0</v>
      </c>
      <c r="BS2217" s="53">
        <f ca="1">IFERROR((_xlfn.XLOOKUP(F2217,Apuração!A:A,Apuração!C:C)+1)/_xlfn.XLOOKUP(F2217,Apuração!A:A,Apuração!B:B),0)</f>
        <v>0.14285714285714285</v>
      </c>
    </row>
    <row r="2218" spans="1:71" ht="25.95" hidden="1" customHeight="1" x14ac:dyDescent="0.3">
      <c r="A2218" s="33" t="s">
        <v>175</v>
      </c>
      <c r="B2218" s="4" t="s">
        <v>187</v>
      </c>
      <c r="C2218" s="5" t="s">
        <v>216</v>
      </c>
      <c r="D2218" s="5" t="s">
        <v>218</v>
      </c>
      <c r="E2218" s="4" t="s">
        <v>96</v>
      </c>
      <c r="F2218" s="4" t="str" cm="1">
        <f t="array" ref="F2218">_xlfn.IFS(
AG2218 &lt;&gt; "", "Jan-Dez/26",
AH2218 &lt;&gt; "", "Fev-Dez/26",
AI2218 &lt;&gt; "", "Mar-Dez/26", AJ2218 &lt;&gt; "", "Abr-Dez/26",
TRUE, "A partir de Junho"
)</f>
        <v>A partir de Junho</v>
      </c>
      <c r="G2218" s="4" t="s">
        <v>62</v>
      </c>
      <c r="H2218" s="7" t="s">
        <v>54</v>
      </c>
      <c r="I2218" s="8" t="s">
        <v>188</v>
      </c>
      <c r="J2218" s="8" t="str" cm="1">
        <f t="array" aca="1" ref="J2218" ca="1">_xlfn.LET(
  _xlpm.actual_value_month, INDEX(T2218:AE2218, MATCH(DATE(YEAR(TODAY()), MONTH(TODAY()), 1), $T$1:$AE$1, 0)),
  IF(_xlpm.actual_value_month &lt;&gt; "", _xlpm.actual_value_month &amp; " ações mensais", "")
)</f>
        <v/>
      </c>
      <c r="K2218" s="8" t="str" cm="1">
        <f t="array" ref="K2218">_xlfn.LET(
    _xlpm.sum_month, SUM(T2218:AE2218),
    IF(_xlpm.sum_month = 0, "", _xlpm.sum_month &amp; " taxa de aderência de treinados.")
)</f>
        <v/>
      </c>
      <c r="L2218" s="9" t="s">
        <v>189</v>
      </c>
      <c r="M2218" s="13">
        <v>1</v>
      </c>
      <c r="N2218" s="5" t="s">
        <v>42</v>
      </c>
      <c r="O2218" s="5" t="s">
        <v>43</v>
      </c>
      <c r="P2218" s="10" t="s">
        <v>146</v>
      </c>
      <c r="Q2218" s="10" t="s">
        <v>44</v>
      </c>
      <c r="R2218" s="11" t="s">
        <v>44</v>
      </c>
      <c r="S2218" s="11" t="s">
        <v>44</v>
      </c>
      <c r="T2218" s="22"/>
      <c r="U2218" s="22"/>
      <c r="V2218" s="22"/>
      <c r="W2218" s="22"/>
      <c r="X2218" s="22"/>
      <c r="Y2218" s="22"/>
      <c r="Z2218" s="22"/>
      <c r="AA2218" s="22"/>
      <c r="AB2218" s="22"/>
      <c r="AC2218" s="22"/>
      <c r="AD2218" s="22"/>
      <c r="AE2218" s="22"/>
      <c r="AG2218" s="71"/>
      <c r="AH2218" s="71"/>
      <c r="AI2218" s="71"/>
      <c r="AJ2218" s="71"/>
      <c r="AK2218" s="71"/>
      <c r="AL2218" s="71"/>
      <c r="AM2218" s="71"/>
      <c r="AN2218" s="71"/>
      <c r="AO2218" s="71"/>
      <c r="AP2218" s="71"/>
      <c r="AQ2218" s="71"/>
      <c r="AR2218" s="71"/>
      <c r="AS2218" s="94" t="str" cm="1">
        <f t="array" ref="AS2218">IFERROR(INDEX(T2218:AE2218,1,MATCH(2,1/(T2218:AE2218&lt;&gt;""))),"")</f>
        <v/>
      </c>
      <c r="AT2218" s="95">
        <f t="shared" si="2640"/>
        <v>0</v>
      </c>
      <c r="AU2218" s="97">
        <f t="shared" si="2641"/>
        <v>0</v>
      </c>
      <c r="AW2218" s="51"/>
      <c r="AX2218" s="51"/>
      <c r="AY2218" s="51"/>
      <c r="AZ2218" s="51"/>
      <c r="BA2218" s="51"/>
      <c r="BB2218" s="51"/>
      <c r="BC2218" s="51"/>
      <c r="BD2218" s="51"/>
      <c r="BE2218" s="51"/>
      <c r="BF2218" s="51"/>
      <c r="BG2218" s="51"/>
      <c r="BH2218" s="51"/>
      <c r="BI2218" s="65" t="str" cm="1">
        <f t="array" ref="BI2218">IFERROR(INDEX(AW2218:BH2218,1,MATCH(2,1/(AW2218:BH2218&lt;&gt;""))),"")</f>
        <v/>
      </c>
      <c r="BJ2218" s="68" t="str" cm="1">
        <f t="array" ref="BJ2218">IF(BM2218 = "", "",IFERROR(INDEX(AW2218:BH2218,1,MATCH(2,1/(AW2218:BH2218&lt;&gt;""),1)-1),""))</f>
        <v/>
      </c>
      <c r="BK2218" s="58" t="str" cm="1">
        <f t="array" ref="BK2218">IFERROR(INDEX(AW2218:BH2218,1,MATCH(2,1/(AW2218:BH2218&lt;&gt;""))),"")</f>
        <v/>
      </c>
      <c r="BL2218" s="58" cm="1">
        <f t="array" aca="1" ref="BL2218" ca="1">IF(SUM(IFERROR(IF(INDEX(AW2218:INDEX(AW2218:BH2218, MATCH(2, 1/(AW2218:BH2218&lt;&gt;""), 1)-1), ROW(INDIRECT("1:" &amp; MATCH(2, 1/(AW2218:BH2218&lt;&gt;""), 1)-1))) &gt;= 115%, 115%, INDEX(AW2218:INDEX(AW2218:BH2218, MATCH(2, 1/(AW2218:BH2218&lt;&gt;""), 1)-1), ROW(INDIRECT("1:" &amp; MATCH(2, 1/(AW2218:BH2218&lt;&gt;""), 1)-1)))), 0))/_xlfn.XLOOKUP(F2218,Apuração!A:A,Apuração!B:B)&gt;=1.15,1.15,SUM(IFERROR(IF(INDEX(AW2218:INDEX(AW2218:BH2218, MATCH(2, 1/(AW2218:BH2218&lt;&gt;""), 1)-1), ROW(INDIRECT("1:" &amp; MATCH(2, 1/(AW2218:BH2218&lt;&gt;""), 1)-1))) &gt;= 115%, 115%, INDEX(AW2218:INDEX(AW2218:BH2218, MATCH(2, 1/(AW2218:BH2218&lt;&gt;""), 1)-1), ROW(INDIRECT("1:" &amp; MATCH(2, 1/(AW2218:BH2218&lt;&gt;""), 1)-1)))), 0))/_xlfn.XLOOKUP(F2218,Apuração!A:A,Apuração!B:B))</f>
        <v>0</v>
      </c>
      <c r="BM2218" s="55" t="str" cm="1">
        <f t="array" ref="BM2218">IFERROR(
   INDEX($AW$1:$BH$1,
      _xlfn.AGGREGATE(14, 6, COLUMN($AW$1:$BH$1)/(AW2218:BH2218&lt;&gt;""), 2) - COLUMN($AW$1) + 1
   ),
"")</f>
        <v/>
      </c>
      <c r="BN2218" s="55" t="str" cm="1">
        <f t="array" ref="BN2218">IFERROR(INDEX($AW$1:$BH$1,1,MATCH(2,1/(AW2218:BH2218&lt;&gt;""))),"")</f>
        <v/>
      </c>
      <c r="BO2218" s="53">
        <f ca="1">IFERROR(_xlfn.XLOOKUP(F2218,Apuração!A:A,Apuração!C:C)/_xlfn.XLOOKUP(F2218,Apuração!A:A,Apuração!B:B),0)</f>
        <v>0</v>
      </c>
      <c r="BP2218" s="53">
        <f ca="1">IFERROR(_xlfn.XLOOKUP(F2218,Apuração!A:A,Apuração!D:D)/_xlfn.XLOOKUP(F2218,Apuração!A:A,Apuração!B:B),0)</f>
        <v>0</v>
      </c>
      <c r="BQ2218" s="53">
        <f ca="1">IF(BK2218&gt;=BO2218,0,_xlfn.XLOOKUP(F2218,Apuração!A:A,Apuração!B:B)*(BO2218 + (1/_xlfn.XLOOKUP(F2218,Apuração!A:A,Apuração!B:B)) - BK2218))</f>
        <v>0</v>
      </c>
      <c r="BR2218" s="85">
        <f t="shared" ca="1" si="2642"/>
        <v>0</v>
      </c>
      <c r="BS2218" s="53">
        <f ca="1">IFERROR((_xlfn.XLOOKUP(F2218,Apuração!A:A,Apuração!C:C)+1)/_xlfn.XLOOKUP(F2218,Apuração!A:A,Apuração!B:B),0)</f>
        <v>0.14285714285714285</v>
      </c>
    </row>
    <row r="2219" spans="1:71" ht="25.95" hidden="1" customHeight="1" x14ac:dyDescent="0.3">
      <c r="A2219" s="33" t="s">
        <v>175</v>
      </c>
      <c r="B2219" s="4" t="s">
        <v>187</v>
      </c>
      <c r="C2219" s="5" t="s">
        <v>216</v>
      </c>
      <c r="D2219" s="5" t="s">
        <v>219</v>
      </c>
      <c r="E2219" s="4" t="s">
        <v>96</v>
      </c>
      <c r="F2219" s="4" t="str" cm="1">
        <f t="array" ref="F2219">_xlfn.IFS(
AG2219 &lt;&gt; "", "Jan-Dez/26",
AH2219 &lt;&gt; "", "Fev-Dez/26",
AI2219 &lt;&gt; "", "Mar-Dez/26", AJ2219 &lt;&gt; "", "Abr-Dez/26",
TRUE, "A partir de Junho"
)</f>
        <v>A partir de Junho</v>
      </c>
      <c r="G2219" s="4" t="s">
        <v>62</v>
      </c>
      <c r="H2219" s="7" t="s">
        <v>54</v>
      </c>
      <c r="I2219" s="8" t="s">
        <v>188</v>
      </c>
      <c r="J2219" s="8" t="str" cm="1">
        <f t="array" aca="1" ref="J2219" ca="1">_xlfn.LET(
  _xlpm.actual_value_month, INDEX(T2219:AE2219, MATCH(DATE(YEAR(TODAY()), MONTH(TODAY()), 1), $T$1:$AE$1, 0)),
  IF(_xlpm.actual_value_month &lt;&gt; "", _xlpm.actual_value_month &amp; " ações mensais", "")
)</f>
        <v/>
      </c>
      <c r="K2219" s="8" t="str" cm="1">
        <f t="array" ref="K2219">_xlfn.LET(
    _xlpm.sum_month, SUM(T2219:AE2219),
    IF(_xlpm.sum_month = 0, "", _xlpm.sum_month &amp; " taxa de aderência de treinados.")
)</f>
        <v/>
      </c>
      <c r="L2219" s="9" t="s">
        <v>189</v>
      </c>
      <c r="M2219" s="13">
        <v>1</v>
      </c>
      <c r="N2219" s="5" t="s">
        <v>42</v>
      </c>
      <c r="O2219" s="5" t="s">
        <v>43</v>
      </c>
      <c r="P2219" s="10" t="s">
        <v>146</v>
      </c>
      <c r="Q2219" s="10" t="s">
        <v>44</v>
      </c>
      <c r="R2219" s="11" t="s">
        <v>44</v>
      </c>
      <c r="S2219" s="11" t="s">
        <v>44</v>
      </c>
      <c r="T2219" s="22"/>
      <c r="U2219" s="22"/>
      <c r="V2219" s="22"/>
      <c r="W2219" s="22"/>
      <c r="X2219" s="22"/>
      <c r="Y2219" s="22"/>
      <c r="Z2219" s="22"/>
      <c r="AA2219" s="22"/>
      <c r="AB2219" s="22"/>
      <c r="AC2219" s="22"/>
      <c r="AD2219" s="22"/>
      <c r="AE2219" s="22"/>
      <c r="AG2219" s="71"/>
      <c r="AH2219" s="71"/>
      <c r="AI2219" s="71"/>
      <c r="AJ2219" s="71"/>
      <c r="AK2219" s="71"/>
      <c r="AL2219" s="71"/>
      <c r="AM2219" s="71"/>
      <c r="AN2219" s="71"/>
      <c r="AO2219" s="71"/>
      <c r="AP2219" s="71"/>
      <c r="AQ2219" s="71"/>
      <c r="AR2219" s="71"/>
      <c r="AS2219" s="94" t="str" cm="1">
        <f t="array" ref="AS2219">IFERROR(INDEX(T2219:AE2219,1,MATCH(2,1/(T2219:AE2219&lt;&gt;""))),"")</f>
        <v/>
      </c>
      <c r="AT2219" s="95">
        <f t="shared" si="2640"/>
        <v>0</v>
      </c>
      <c r="AU2219" s="97">
        <f t="shared" si="2641"/>
        <v>0</v>
      </c>
      <c r="AW2219" s="51"/>
      <c r="AX2219" s="51"/>
      <c r="AY2219" s="51"/>
      <c r="AZ2219" s="51"/>
      <c r="BA2219" s="51"/>
      <c r="BB2219" s="51"/>
      <c r="BC2219" s="51"/>
      <c r="BD2219" s="51"/>
      <c r="BE2219" s="51"/>
      <c r="BF2219" s="51"/>
      <c r="BG2219" s="51"/>
      <c r="BH2219" s="51"/>
      <c r="BI2219" s="65" t="str" cm="1">
        <f t="array" ref="BI2219">IFERROR(INDEX(AW2219:BH2219,1,MATCH(2,1/(AW2219:BH2219&lt;&gt;""))),"")</f>
        <v/>
      </c>
      <c r="BJ2219" s="68" t="str" cm="1">
        <f t="array" ref="BJ2219">IF(BM2219 = "", "",IFERROR(INDEX(AW2219:BH2219,1,MATCH(2,1/(AW2219:BH2219&lt;&gt;""),1)-1),""))</f>
        <v/>
      </c>
      <c r="BK2219" s="58" t="str" cm="1">
        <f t="array" ref="BK2219">IFERROR(INDEX(AW2219:BH2219,1,MATCH(2,1/(AW2219:BH2219&lt;&gt;""))),"")</f>
        <v/>
      </c>
      <c r="BL2219" s="58" cm="1">
        <f t="array" aca="1" ref="BL2219" ca="1">IF(SUM(IFERROR(IF(INDEX(AW2219:INDEX(AW2219:BH2219, MATCH(2, 1/(AW2219:BH2219&lt;&gt;""), 1)-1), ROW(INDIRECT("1:" &amp; MATCH(2, 1/(AW2219:BH2219&lt;&gt;""), 1)-1))) &gt;= 115%, 115%, INDEX(AW2219:INDEX(AW2219:BH2219, MATCH(2, 1/(AW2219:BH2219&lt;&gt;""), 1)-1), ROW(INDIRECT("1:" &amp; MATCH(2, 1/(AW2219:BH2219&lt;&gt;""), 1)-1)))), 0))/_xlfn.XLOOKUP(F2219,Apuração!A:A,Apuração!B:B)&gt;=1.15,1.15,SUM(IFERROR(IF(INDEX(AW2219:INDEX(AW2219:BH2219, MATCH(2, 1/(AW2219:BH2219&lt;&gt;""), 1)-1), ROW(INDIRECT("1:" &amp; MATCH(2, 1/(AW2219:BH2219&lt;&gt;""), 1)-1))) &gt;= 115%, 115%, INDEX(AW2219:INDEX(AW2219:BH2219, MATCH(2, 1/(AW2219:BH2219&lt;&gt;""), 1)-1), ROW(INDIRECT("1:" &amp; MATCH(2, 1/(AW2219:BH2219&lt;&gt;""), 1)-1)))), 0))/_xlfn.XLOOKUP(F2219,Apuração!A:A,Apuração!B:B))</f>
        <v>0</v>
      </c>
      <c r="BM2219" s="55" t="str" cm="1">
        <f t="array" ref="BM2219">IFERROR(
   INDEX($AW$1:$BH$1,
      _xlfn.AGGREGATE(14, 6, COLUMN($AW$1:$BH$1)/(AW2219:BH2219&lt;&gt;""), 2) - COLUMN($AW$1) + 1
   ),
"")</f>
        <v/>
      </c>
      <c r="BN2219" s="55" t="str" cm="1">
        <f t="array" ref="BN2219">IFERROR(INDEX($AW$1:$BH$1,1,MATCH(2,1/(AW2219:BH2219&lt;&gt;""))),"")</f>
        <v/>
      </c>
      <c r="BO2219" s="53">
        <f ca="1">IFERROR(_xlfn.XLOOKUP(F2219,Apuração!A:A,Apuração!C:C)/_xlfn.XLOOKUP(F2219,Apuração!A:A,Apuração!B:B),0)</f>
        <v>0</v>
      </c>
      <c r="BP2219" s="53">
        <f ca="1">IFERROR(_xlfn.XLOOKUP(F2219,Apuração!A:A,Apuração!D:D)/_xlfn.XLOOKUP(F2219,Apuração!A:A,Apuração!B:B),0)</f>
        <v>0</v>
      </c>
      <c r="BQ2219" s="53">
        <f ca="1">IF(BK2219&gt;=BO2219,0,_xlfn.XLOOKUP(F2219,Apuração!A:A,Apuração!B:B)*(BO2219 + (1/_xlfn.XLOOKUP(F2219,Apuração!A:A,Apuração!B:B)) - BK2219))</f>
        <v>0</v>
      </c>
      <c r="BR2219" s="85">
        <f t="shared" ca="1" si="2642"/>
        <v>0</v>
      </c>
      <c r="BS2219" s="53">
        <f ca="1">IFERROR((_xlfn.XLOOKUP(F2219,Apuração!A:A,Apuração!C:C)+1)/_xlfn.XLOOKUP(F2219,Apuração!A:A,Apuração!B:B),0)</f>
        <v>0.14285714285714285</v>
      </c>
    </row>
    <row r="2220" spans="1:71" ht="25.95" hidden="1" customHeight="1" x14ac:dyDescent="0.3">
      <c r="A2220" s="44" t="s">
        <v>175</v>
      </c>
      <c r="B2220" s="4" t="s">
        <v>187</v>
      </c>
      <c r="C2220" s="5" t="s">
        <v>216</v>
      </c>
      <c r="D2220" s="5" t="s">
        <v>36</v>
      </c>
      <c r="E2220" s="4" t="s">
        <v>96</v>
      </c>
      <c r="F2220" s="4" t="str" cm="1">
        <f t="array" ref="F2220">_xlfn.IFS(
AG2220 &lt;&gt; "", "Jan-Dez/26",
AH2220 &lt;&gt; "", "Fev-Dez/26",
AI2220 &lt;&gt; "", "Mar-Dez/26", AJ2220 &lt;&gt; "", "Abr-Dez/26",
TRUE, "A partir de Junho"
)</f>
        <v>A partir de Junho</v>
      </c>
      <c r="G2220" s="4" t="s">
        <v>62</v>
      </c>
      <c r="H2220" s="7" t="s">
        <v>54</v>
      </c>
      <c r="I2220" s="21" t="s">
        <v>190</v>
      </c>
      <c r="J2220" s="8" t="str" cm="1">
        <f t="array" aca="1" ref="J2220" ca="1">_xlfn.LET(
  _xlpm.actual_value_month, INDEX(T2220:AE2220, MATCH(DATE(YEAR(TODAY()), MONTH(TODAY()), 1), $T$1:$AE$1, 0)),
  IF(_xlpm.actual_value_month &lt;&gt; "", _xlpm.actual_value_month &amp; " ações mensais", "")
)</f>
        <v/>
      </c>
      <c r="K2220" s="8" t="str" cm="1">
        <f t="array" ref="K2220">_xlfn.LET(
    _xlpm.sum_month, SUM(T2220:AE2220),
    IF(_xlpm.sum_month = 0, "", _xlpm.sum_month &amp; " treinados não mapeados.")
)</f>
        <v/>
      </c>
      <c r="L2220" s="9" t="s">
        <v>191</v>
      </c>
      <c r="M2220" s="13">
        <v>1</v>
      </c>
      <c r="N2220" s="5" t="s">
        <v>51</v>
      </c>
      <c r="O2220" s="5" t="s">
        <v>52</v>
      </c>
      <c r="P2220" s="10" t="s">
        <v>146</v>
      </c>
      <c r="Q2220" s="10" t="s">
        <v>44</v>
      </c>
      <c r="R2220" s="11" t="s">
        <v>44</v>
      </c>
      <c r="S2220" s="11" t="s">
        <v>44</v>
      </c>
      <c r="T2220" s="22"/>
      <c r="U2220" s="22"/>
      <c r="V2220" s="22"/>
      <c r="W2220" s="22"/>
      <c r="X2220" s="22"/>
      <c r="Y2220" s="22"/>
      <c r="Z2220" s="22"/>
      <c r="AA2220" s="22"/>
      <c r="AB2220" s="22"/>
      <c r="AC2220" s="22"/>
      <c r="AD2220" s="22"/>
      <c r="AE2220" s="22"/>
      <c r="AG2220" s="71"/>
      <c r="AH2220" s="71"/>
      <c r="AI2220" s="71"/>
      <c r="AJ2220" s="71"/>
      <c r="AK2220" s="71"/>
      <c r="AL2220" s="71"/>
      <c r="AM2220" s="71"/>
      <c r="AN2220" s="71"/>
      <c r="AO2220" s="71"/>
      <c r="AP2220" s="71"/>
      <c r="AQ2220" s="71"/>
      <c r="AR2220" s="71"/>
      <c r="AS2220" s="94" t="str" cm="1">
        <f t="array" ref="AS2220">IFERROR(INDEX(T2220:AE2220,1,MATCH(2,1/(T2220:AE2220&lt;&gt;""))),"")</f>
        <v/>
      </c>
      <c r="AT2220" s="95">
        <f>AN2220</f>
        <v>0</v>
      </c>
      <c r="AU2220" s="97">
        <f>AT2220</f>
        <v>0</v>
      </c>
      <c r="AW2220" s="52">
        <f>AG2220</f>
        <v>0</v>
      </c>
      <c r="AX2220" s="52"/>
      <c r="AY2220" s="52"/>
      <c r="AZ2220" s="52"/>
      <c r="BA2220" s="52"/>
      <c r="BB2220" s="52"/>
      <c r="BC2220" s="52"/>
      <c r="BD2220" s="52"/>
      <c r="BE2220" s="52"/>
      <c r="BF2220" s="52"/>
      <c r="BG2220" s="52"/>
      <c r="BH2220" s="52"/>
      <c r="BI2220" s="68" cm="1">
        <f t="array" ref="BI2220">IFERROR(INDEX(AW2220:BH2220,1,MATCH(2,1/(AW2220:BH2220&lt;&gt;""))),"")</f>
        <v>0</v>
      </c>
      <c r="BJ2220" s="68" t="str" cm="1">
        <f t="array" ref="BJ2220">IF(BM2220 = "", "",IFERROR(INDEX(AW2220:BH2220,1,MATCH(2,1/(AW2220:BH2220&lt;&gt;""),1)-1),""))</f>
        <v/>
      </c>
      <c r="BK2220" s="59">
        <f>SUM(AW2220:BH2220)</f>
        <v>0</v>
      </c>
      <c r="BL2220" s="59">
        <f>SUM(AW2220:BE2220)</f>
        <v>0</v>
      </c>
      <c r="BM2220" s="55" t="str" cm="1">
        <f t="array" ref="BM2220">IFERROR(
   INDEX($AW$1:$BH$1,
      _xlfn.AGGREGATE(14, 6, COLUMN($AW$1:$BH$1)/(AW2220:BH2220&lt;&gt;""), 2) - COLUMN($AW$1) + 1
   ),
"")</f>
        <v/>
      </c>
      <c r="BN2220" s="55" cm="1">
        <f t="array" ref="BN2220">IFERROR(INDEX($AW$1:$BH$1,1,MATCH(2,1/(AW2220:BH2220&lt;&gt;""))),"")</f>
        <v>46023</v>
      </c>
      <c r="BO2220" s="53">
        <f ca="1">IFERROR(_xlfn.XLOOKUP(F2220,Apuração!A:A,Apuração!C:C)/_xlfn.XLOOKUP(F2220,Apuração!A:A,Apuração!B:B),0)</f>
        <v>0</v>
      </c>
      <c r="BP2220" s="53">
        <f ca="1">IFERROR(_xlfn.XLOOKUP(F2220,Apuração!A:A,Apuração!D:D)/_xlfn.XLOOKUP(F2220,Apuração!A:A,Apuração!B:B),0)</f>
        <v>0</v>
      </c>
      <c r="BQ2220" s="53">
        <f ca="1">IF(BK2220&gt;=BO2220,0,_xlfn.XLOOKUP(F2220,Apuração!A:A,Apuração!B:B)*(BO2220 + (1/_xlfn.XLOOKUP(F2220,Apuração!A:A,Apuração!B:B)) - BK2220))</f>
        <v>0</v>
      </c>
      <c r="BR2220" s="85">
        <f ca="1">IF(BQ2220=0,0,BQ2220*Z2220)</f>
        <v>0</v>
      </c>
      <c r="BS2220" s="53">
        <f ca="1">IFERROR((_xlfn.XLOOKUP(F2220,Apuração!A:A,Apuração!C:C)+1)/_xlfn.XLOOKUP(F2220,Apuração!A:A,Apuração!B:B),0)</f>
        <v>0.14285714285714285</v>
      </c>
    </row>
    <row r="2221" spans="1:71" ht="25.95" hidden="1" customHeight="1" x14ac:dyDescent="0.3">
      <c r="A2221" s="44" t="s">
        <v>175</v>
      </c>
      <c r="B2221" s="4" t="s">
        <v>187</v>
      </c>
      <c r="C2221" s="5" t="s">
        <v>216</v>
      </c>
      <c r="D2221" s="5" t="s">
        <v>217</v>
      </c>
      <c r="E2221" s="4" t="s">
        <v>96</v>
      </c>
      <c r="F2221" s="4" t="str" cm="1">
        <f t="array" ref="F2221">_xlfn.IFS(
AG2221 &lt;&gt; "", "Jan-Dez/26",
AH2221 &lt;&gt; "", "Fev-Dez/26",
AI2221 &lt;&gt; "", "Mar-Dez/26", AJ2221 &lt;&gt; "", "Abr-Dez/26",
TRUE, "A partir de Junho"
)</f>
        <v>A partir de Junho</v>
      </c>
      <c r="G2221" s="4" t="s">
        <v>62</v>
      </c>
      <c r="H2221" s="7" t="s">
        <v>54</v>
      </c>
      <c r="I2221" s="21" t="s">
        <v>190</v>
      </c>
      <c r="J2221" s="8" t="str" cm="1">
        <f t="array" aca="1" ref="J2221" ca="1">_xlfn.LET(
  _xlpm.actual_value_month, INDEX(T2221:AE2221, MATCH(DATE(YEAR(TODAY()), MONTH(TODAY()), 1), $T$1:$AE$1, 0)),
  IF(_xlpm.actual_value_month &lt;&gt; "", _xlpm.actual_value_month &amp; " ações mensais", "")
)</f>
        <v/>
      </c>
      <c r="K2221" s="8" t="str" cm="1">
        <f t="array" ref="K2221">_xlfn.LET(
    _xlpm.sum_month, SUM(T2221:AE2221),
    IF(_xlpm.sum_month = 0, "", _xlpm.sum_month &amp; " treinados não mapeados.")
)</f>
        <v/>
      </c>
      <c r="L2221" s="9" t="s">
        <v>191</v>
      </c>
      <c r="M2221" s="13">
        <v>1</v>
      </c>
      <c r="N2221" s="5" t="s">
        <v>51</v>
      </c>
      <c r="O2221" s="5" t="s">
        <v>52</v>
      </c>
      <c r="P2221" s="10" t="s">
        <v>146</v>
      </c>
      <c r="Q2221" s="10" t="s">
        <v>44</v>
      </c>
      <c r="R2221" s="11" t="s">
        <v>44</v>
      </c>
      <c r="S2221" s="11" t="s">
        <v>44</v>
      </c>
      <c r="T2221" s="22"/>
      <c r="U2221" s="22"/>
      <c r="V2221" s="22"/>
      <c r="W2221" s="22"/>
      <c r="X2221" s="22"/>
      <c r="Y2221" s="22"/>
      <c r="Z2221" s="22"/>
      <c r="AA2221" s="22"/>
      <c r="AB2221" s="22"/>
      <c r="AC2221" s="22"/>
      <c r="AD2221" s="22"/>
      <c r="AE2221" s="22"/>
      <c r="AG2221" s="71"/>
      <c r="AH2221" s="71"/>
      <c r="AI2221" s="71"/>
      <c r="AJ2221" s="71"/>
      <c r="AK2221" s="71"/>
      <c r="AL2221" s="71"/>
      <c r="AM2221" s="71"/>
      <c r="AN2221" s="71"/>
      <c r="AO2221" s="71"/>
      <c r="AP2221" s="71"/>
      <c r="AQ2221" s="71"/>
      <c r="AR2221" s="71"/>
      <c r="AS2221" s="94" t="str" cm="1">
        <f t="array" ref="AS2221">IFERROR(INDEX(T2221:AE2221,1,MATCH(2,1/(T2221:AE2221&lt;&gt;""))),"")</f>
        <v/>
      </c>
      <c r="AT2221" s="95">
        <f t="shared" ref="AT2221:AT2224" si="2643">AN2221</f>
        <v>0</v>
      </c>
      <c r="AU2221" s="97">
        <f t="shared" ref="AU2221:AU2224" si="2644">AT2221</f>
        <v>0</v>
      </c>
      <c r="AW2221" s="52">
        <f t="shared" ref="AW2221:AW2224" si="2645">AG2221</f>
        <v>0</v>
      </c>
      <c r="AX2221" s="52"/>
      <c r="AY2221" s="52"/>
      <c r="AZ2221" s="52"/>
      <c r="BA2221" s="52"/>
      <c r="BB2221" s="52"/>
      <c r="BC2221" s="52"/>
      <c r="BD2221" s="52"/>
      <c r="BE2221" s="52"/>
      <c r="BF2221" s="52"/>
      <c r="BG2221" s="52"/>
      <c r="BH2221" s="52"/>
      <c r="BI2221" s="68" cm="1">
        <f t="array" ref="BI2221">IFERROR(INDEX(AW2221:BH2221,1,MATCH(2,1/(AW2221:BH2221&lt;&gt;""))),"")</f>
        <v>0</v>
      </c>
      <c r="BJ2221" s="68" t="str" cm="1">
        <f t="array" ref="BJ2221">IF(BM2221 = "", "",IFERROR(INDEX(AW2221:BH2221,1,MATCH(2,1/(AW2221:BH2221&lt;&gt;""),1)-1),""))</f>
        <v/>
      </c>
      <c r="BK2221" s="59">
        <f t="shared" ref="BK2221:BK2224" si="2646">SUM(AW2221:BH2221)</f>
        <v>0</v>
      </c>
      <c r="BL2221" s="59">
        <f t="shared" ref="BL2221:BL2224" si="2647">SUM(AW2221:BE2221)</f>
        <v>0</v>
      </c>
      <c r="BM2221" s="55" t="str" cm="1">
        <f t="array" ref="BM2221">IFERROR(
   INDEX($AW$1:$BH$1,
      _xlfn.AGGREGATE(14, 6, COLUMN($AW$1:$BH$1)/(AW2221:BH2221&lt;&gt;""), 2) - COLUMN($AW$1) + 1
   ),
"")</f>
        <v/>
      </c>
      <c r="BN2221" s="55" cm="1">
        <f t="array" ref="BN2221">IFERROR(INDEX($AW$1:$BH$1,1,MATCH(2,1/(AW2221:BH2221&lt;&gt;""))),"")</f>
        <v>46023</v>
      </c>
      <c r="BO2221" s="53">
        <f ca="1">IFERROR(_xlfn.XLOOKUP(F2221,Apuração!A:A,Apuração!C:C)/_xlfn.XLOOKUP(F2221,Apuração!A:A,Apuração!B:B),0)</f>
        <v>0</v>
      </c>
      <c r="BP2221" s="53">
        <f ca="1">IFERROR(_xlfn.XLOOKUP(F2221,Apuração!A:A,Apuração!D:D)/_xlfn.XLOOKUP(F2221,Apuração!A:A,Apuração!B:B),0)</f>
        <v>0</v>
      </c>
      <c r="BQ2221" s="53">
        <f ca="1">IF(BK2221&gt;=BO2221,0,_xlfn.XLOOKUP(F2221,Apuração!A:A,Apuração!B:B)*(BO2221 + (1/_xlfn.XLOOKUP(F2221,Apuração!A:A,Apuração!B:B)) - BK2221))</f>
        <v>0</v>
      </c>
      <c r="BR2221" s="85">
        <f t="shared" ref="BR2221:BR2224" ca="1" si="2648">IF(BQ2221=0,0,BQ2221*Z2221)</f>
        <v>0</v>
      </c>
      <c r="BS2221" s="53">
        <f ca="1">IFERROR((_xlfn.XLOOKUP(F2221,Apuração!A:A,Apuração!C:C)+1)/_xlfn.XLOOKUP(F2221,Apuração!A:A,Apuração!B:B),0)</f>
        <v>0.14285714285714285</v>
      </c>
    </row>
    <row r="2222" spans="1:71" ht="25.95" hidden="1" customHeight="1" x14ac:dyDescent="0.3">
      <c r="A2222" s="44" t="s">
        <v>175</v>
      </c>
      <c r="B2222" s="4" t="s">
        <v>187</v>
      </c>
      <c r="C2222" s="5" t="s">
        <v>216</v>
      </c>
      <c r="D2222" s="5" t="s">
        <v>103</v>
      </c>
      <c r="E2222" s="4" t="s">
        <v>96</v>
      </c>
      <c r="F2222" s="4" t="str" cm="1">
        <f t="array" ref="F2222">_xlfn.IFS(
AG2222 &lt;&gt; "", "Jan-Dez/26",
AH2222 &lt;&gt; "", "Fev-Dez/26",
AI2222 &lt;&gt; "", "Mar-Dez/26", AJ2222 &lt;&gt; "", "Abr-Dez/26",
TRUE, "A partir de Junho"
)</f>
        <v>A partir de Junho</v>
      </c>
      <c r="G2222" s="4" t="s">
        <v>62</v>
      </c>
      <c r="H2222" s="7" t="s">
        <v>54</v>
      </c>
      <c r="I2222" s="21" t="s">
        <v>190</v>
      </c>
      <c r="J2222" s="8" t="str" cm="1">
        <f t="array" aca="1" ref="J2222" ca="1">_xlfn.LET(
  _xlpm.actual_value_month, INDEX(T2222:AE2222, MATCH(DATE(YEAR(TODAY()), MONTH(TODAY()), 1), $T$1:$AE$1, 0)),
  IF(_xlpm.actual_value_month &lt;&gt; "", _xlpm.actual_value_month &amp; " ações mensais", "")
)</f>
        <v/>
      </c>
      <c r="K2222" s="8" t="str" cm="1">
        <f t="array" ref="K2222">_xlfn.LET(
    _xlpm.sum_month, SUM(T2222:AE2222),
    IF(_xlpm.sum_month = 0, "", _xlpm.sum_month &amp; " treinados não mapeados.")
)</f>
        <v/>
      </c>
      <c r="L2222" s="9" t="s">
        <v>191</v>
      </c>
      <c r="M2222" s="13">
        <v>1</v>
      </c>
      <c r="N2222" s="5" t="s">
        <v>51</v>
      </c>
      <c r="O2222" s="5" t="s">
        <v>52</v>
      </c>
      <c r="P2222" s="10" t="s">
        <v>146</v>
      </c>
      <c r="Q2222" s="10" t="s">
        <v>44</v>
      </c>
      <c r="R2222" s="11" t="s">
        <v>44</v>
      </c>
      <c r="S2222" s="11" t="s">
        <v>44</v>
      </c>
      <c r="T2222" s="22"/>
      <c r="U2222" s="22"/>
      <c r="V2222" s="22"/>
      <c r="W2222" s="22"/>
      <c r="X2222" s="22"/>
      <c r="Y2222" s="22"/>
      <c r="Z2222" s="22"/>
      <c r="AA2222" s="22"/>
      <c r="AB2222" s="22"/>
      <c r="AC2222" s="22"/>
      <c r="AD2222" s="22"/>
      <c r="AE2222" s="22"/>
      <c r="AG2222" s="71"/>
      <c r="AH2222" s="71"/>
      <c r="AI2222" s="71"/>
      <c r="AJ2222" s="71"/>
      <c r="AK2222" s="71"/>
      <c r="AL2222" s="71"/>
      <c r="AM2222" s="71"/>
      <c r="AN2222" s="71"/>
      <c r="AO2222" s="71"/>
      <c r="AP2222" s="71"/>
      <c r="AQ2222" s="71"/>
      <c r="AR2222" s="71"/>
      <c r="AS2222" s="94" t="str" cm="1">
        <f t="array" ref="AS2222">IFERROR(INDEX(T2222:AE2222,1,MATCH(2,1/(T2222:AE2222&lt;&gt;""))),"")</f>
        <v/>
      </c>
      <c r="AT2222" s="95">
        <f t="shared" si="2643"/>
        <v>0</v>
      </c>
      <c r="AU2222" s="97">
        <f t="shared" si="2644"/>
        <v>0</v>
      </c>
      <c r="AW2222" s="52">
        <f t="shared" si="2645"/>
        <v>0</v>
      </c>
      <c r="AX2222" s="52"/>
      <c r="AY2222" s="52"/>
      <c r="AZ2222" s="52"/>
      <c r="BA2222" s="52"/>
      <c r="BB2222" s="52"/>
      <c r="BC2222" s="52"/>
      <c r="BD2222" s="52"/>
      <c r="BE2222" s="52"/>
      <c r="BF2222" s="52"/>
      <c r="BG2222" s="52"/>
      <c r="BH2222" s="52"/>
      <c r="BI2222" s="68" cm="1">
        <f t="array" ref="BI2222">IFERROR(INDEX(AW2222:BH2222,1,MATCH(2,1/(AW2222:BH2222&lt;&gt;""))),"")</f>
        <v>0</v>
      </c>
      <c r="BJ2222" s="68" t="str" cm="1">
        <f t="array" ref="BJ2222">IF(BM2222 = "", "",IFERROR(INDEX(AW2222:BH2222,1,MATCH(2,1/(AW2222:BH2222&lt;&gt;""),1)-1),""))</f>
        <v/>
      </c>
      <c r="BK2222" s="59">
        <f t="shared" si="2646"/>
        <v>0</v>
      </c>
      <c r="BL2222" s="59">
        <f t="shared" si="2647"/>
        <v>0</v>
      </c>
      <c r="BM2222" s="55" t="str" cm="1">
        <f t="array" ref="BM2222">IFERROR(
   INDEX($AW$1:$BH$1,
      _xlfn.AGGREGATE(14, 6, COLUMN($AW$1:$BH$1)/(AW2222:BH2222&lt;&gt;""), 2) - COLUMN($AW$1) + 1
   ),
"")</f>
        <v/>
      </c>
      <c r="BN2222" s="55" cm="1">
        <f t="array" ref="BN2222">IFERROR(INDEX($AW$1:$BH$1,1,MATCH(2,1/(AW2222:BH2222&lt;&gt;""))),"")</f>
        <v>46023</v>
      </c>
      <c r="BO2222" s="53">
        <f ca="1">IFERROR(_xlfn.XLOOKUP(F2222,Apuração!A:A,Apuração!C:C)/_xlfn.XLOOKUP(F2222,Apuração!A:A,Apuração!B:B),0)</f>
        <v>0</v>
      </c>
      <c r="BP2222" s="53">
        <f ca="1">IFERROR(_xlfn.XLOOKUP(F2222,Apuração!A:A,Apuração!D:D)/_xlfn.XLOOKUP(F2222,Apuração!A:A,Apuração!B:B),0)</f>
        <v>0</v>
      </c>
      <c r="BQ2222" s="53">
        <f ca="1">IF(BK2222&gt;=BO2222,0,_xlfn.XLOOKUP(F2222,Apuração!A:A,Apuração!B:B)*(BO2222 + (1/_xlfn.XLOOKUP(F2222,Apuração!A:A,Apuração!B:B)) - BK2222))</f>
        <v>0</v>
      </c>
      <c r="BR2222" s="85">
        <f t="shared" ca="1" si="2648"/>
        <v>0</v>
      </c>
      <c r="BS2222" s="53">
        <f ca="1">IFERROR((_xlfn.XLOOKUP(F2222,Apuração!A:A,Apuração!C:C)+1)/_xlfn.XLOOKUP(F2222,Apuração!A:A,Apuração!B:B),0)</f>
        <v>0.14285714285714285</v>
      </c>
    </row>
    <row r="2223" spans="1:71" ht="25.95" hidden="1" customHeight="1" x14ac:dyDescent="0.3">
      <c r="A2223" s="44" t="s">
        <v>175</v>
      </c>
      <c r="B2223" s="4" t="s">
        <v>187</v>
      </c>
      <c r="C2223" s="5" t="s">
        <v>216</v>
      </c>
      <c r="D2223" s="5" t="s">
        <v>218</v>
      </c>
      <c r="E2223" s="4" t="s">
        <v>96</v>
      </c>
      <c r="F2223" s="4" t="str" cm="1">
        <f t="array" ref="F2223">_xlfn.IFS(
AG2223 &lt;&gt; "", "Jan-Dez/26",
AH2223 &lt;&gt; "", "Fev-Dez/26",
AI2223 &lt;&gt; "", "Mar-Dez/26", AJ2223 &lt;&gt; "", "Abr-Dez/26",
TRUE, "A partir de Junho"
)</f>
        <v>A partir de Junho</v>
      </c>
      <c r="G2223" s="4" t="s">
        <v>62</v>
      </c>
      <c r="H2223" s="7" t="s">
        <v>54</v>
      </c>
      <c r="I2223" s="21" t="s">
        <v>190</v>
      </c>
      <c r="J2223" s="8" t="str" cm="1">
        <f t="array" aca="1" ref="J2223" ca="1">_xlfn.LET(
  _xlpm.actual_value_month, INDEX(T2223:AE2223, MATCH(DATE(YEAR(TODAY()), MONTH(TODAY()), 1), $T$1:$AE$1, 0)),
  IF(_xlpm.actual_value_month &lt;&gt; "", _xlpm.actual_value_month &amp; " ações mensais", "")
)</f>
        <v/>
      </c>
      <c r="K2223" s="8" t="str" cm="1">
        <f t="array" ref="K2223">_xlfn.LET(
    _xlpm.sum_month, SUM(T2223:AE2223),
    IF(_xlpm.sum_month = 0, "", _xlpm.sum_month &amp; " treinados não mapeados.")
)</f>
        <v/>
      </c>
      <c r="L2223" s="9" t="s">
        <v>191</v>
      </c>
      <c r="M2223" s="13">
        <v>1</v>
      </c>
      <c r="N2223" s="5" t="s">
        <v>51</v>
      </c>
      <c r="O2223" s="5" t="s">
        <v>52</v>
      </c>
      <c r="P2223" s="10" t="s">
        <v>146</v>
      </c>
      <c r="Q2223" s="10" t="s">
        <v>44</v>
      </c>
      <c r="R2223" s="11" t="s">
        <v>44</v>
      </c>
      <c r="S2223" s="11" t="s">
        <v>44</v>
      </c>
      <c r="T2223" s="22"/>
      <c r="U2223" s="22"/>
      <c r="V2223" s="22"/>
      <c r="W2223" s="22"/>
      <c r="X2223" s="22"/>
      <c r="Y2223" s="22"/>
      <c r="Z2223" s="22"/>
      <c r="AA2223" s="22"/>
      <c r="AB2223" s="22"/>
      <c r="AC2223" s="22"/>
      <c r="AD2223" s="22"/>
      <c r="AE2223" s="22"/>
      <c r="AG2223" s="71"/>
      <c r="AH2223" s="71"/>
      <c r="AI2223" s="71"/>
      <c r="AJ2223" s="71"/>
      <c r="AK2223" s="71"/>
      <c r="AL2223" s="71"/>
      <c r="AM2223" s="71"/>
      <c r="AN2223" s="71"/>
      <c r="AO2223" s="71"/>
      <c r="AP2223" s="71"/>
      <c r="AQ2223" s="71"/>
      <c r="AR2223" s="71"/>
      <c r="AS2223" s="94" t="str" cm="1">
        <f t="array" ref="AS2223">IFERROR(INDEX(T2223:AE2223,1,MATCH(2,1/(T2223:AE2223&lt;&gt;""))),"")</f>
        <v/>
      </c>
      <c r="AT2223" s="95">
        <f t="shared" si="2643"/>
        <v>0</v>
      </c>
      <c r="AU2223" s="97">
        <f t="shared" si="2644"/>
        <v>0</v>
      </c>
      <c r="AW2223" s="52">
        <f t="shared" si="2645"/>
        <v>0</v>
      </c>
      <c r="AX2223" s="52"/>
      <c r="AY2223" s="52"/>
      <c r="AZ2223" s="52"/>
      <c r="BA2223" s="52"/>
      <c r="BB2223" s="52"/>
      <c r="BC2223" s="52"/>
      <c r="BD2223" s="52"/>
      <c r="BE2223" s="52"/>
      <c r="BF2223" s="52"/>
      <c r="BG2223" s="52"/>
      <c r="BH2223" s="52"/>
      <c r="BI2223" s="68" cm="1">
        <f t="array" ref="BI2223">IFERROR(INDEX(AW2223:BH2223,1,MATCH(2,1/(AW2223:BH2223&lt;&gt;""))),"")</f>
        <v>0</v>
      </c>
      <c r="BJ2223" s="68" t="str" cm="1">
        <f t="array" ref="BJ2223">IF(BM2223 = "", "",IFERROR(INDEX(AW2223:BH2223,1,MATCH(2,1/(AW2223:BH2223&lt;&gt;""),1)-1),""))</f>
        <v/>
      </c>
      <c r="BK2223" s="59">
        <f t="shared" si="2646"/>
        <v>0</v>
      </c>
      <c r="BL2223" s="59">
        <f t="shared" si="2647"/>
        <v>0</v>
      </c>
      <c r="BM2223" s="55" t="str" cm="1">
        <f t="array" ref="BM2223">IFERROR(
   INDEX($AW$1:$BH$1,
      _xlfn.AGGREGATE(14, 6, COLUMN($AW$1:$BH$1)/(AW2223:BH2223&lt;&gt;""), 2) - COLUMN($AW$1) + 1
   ),
"")</f>
        <v/>
      </c>
      <c r="BN2223" s="55" cm="1">
        <f t="array" ref="BN2223">IFERROR(INDEX($AW$1:$BH$1,1,MATCH(2,1/(AW2223:BH2223&lt;&gt;""))),"")</f>
        <v>46023</v>
      </c>
      <c r="BO2223" s="53">
        <f ca="1">IFERROR(_xlfn.XLOOKUP(F2223,Apuração!A:A,Apuração!C:C)/_xlfn.XLOOKUP(F2223,Apuração!A:A,Apuração!B:B),0)</f>
        <v>0</v>
      </c>
      <c r="BP2223" s="53">
        <f ca="1">IFERROR(_xlfn.XLOOKUP(F2223,Apuração!A:A,Apuração!D:D)/_xlfn.XLOOKUP(F2223,Apuração!A:A,Apuração!B:B),0)</f>
        <v>0</v>
      </c>
      <c r="BQ2223" s="53">
        <f ca="1">IF(BK2223&gt;=BO2223,0,_xlfn.XLOOKUP(F2223,Apuração!A:A,Apuração!B:B)*(BO2223 + (1/_xlfn.XLOOKUP(F2223,Apuração!A:A,Apuração!B:B)) - BK2223))</f>
        <v>0</v>
      </c>
      <c r="BR2223" s="85">
        <f t="shared" ca="1" si="2648"/>
        <v>0</v>
      </c>
      <c r="BS2223" s="53">
        <f ca="1">IFERROR((_xlfn.XLOOKUP(F2223,Apuração!A:A,Apuração!C:C)+1)/_xlfn.XLOOKUP(F2223,Apuração!A:A,Apuração!B:B),0)</f>
        <v>0.14285714285714285</v>
      </c>
    </row>
    <row r="2224" spans="1:71" ht="25.95" hidden="1" customHeight="1" x14ac:dyDescent="0.3">
      <c r="A2224" s="44" t="s">
        <v>175</v>
      </c>
      <c r="B2224" s="4" t="s">
        <v>187</v>
      </c>
      <c r="C2224" s="5" t="s">
        <v>216</v>
      </c>
      <c r="D2224" s="5" t="s">
        <v>219</v>
      </c>
      <c r="E2224" s="4" t="s">
        <v>96</v>
      </c>
      <c r="F2224" s="4" t="str" cm="1">
        <f t="array" ref="F2224">_xlfn.IFS(
AG2224 &lt;&gt; "", "Jan-Dez/26",
AH2224 &lt;&gt; "", "Fev-Dez/26",
AI2224 &lt;&gt; "", "Mar-Dez/26", AJ2224 &lt;&gt; "", "Abr-Dez/26",
TRUE, "A partir de Junho"
)</f>
        <v>A partir de Junho</v>
      </c>
      <c r="G2224" s="4" t="s">
        <v>62</v>
      </c>
      <c r="H2224" s="7" t="s">
        <v>54</v>
      </c>
      <c r="I2224" s="21" t="s">
        <v>190</v>
      </c>
      <c r="J2224" s="8" t="str" cm="1">
        <f t="array" aca="1" ref="J2224" ca="1">_xlfn.LET(
  _xlpm.actual_value_month, INDEX(T2224:AE2224, MATCH(DATE(YEAR(TODAY()), MONTH(TODAY()), 1), $T$1:$AE$1, 0)),
  IF(_xlpm.actual_value_month &lt;&gt; "", _xlpm.actual_value_month &amp; " ações mensais", "")
)</f>
        <v/>
      </c>
      <c r="K2224" s="8" t="str" cm="1">
        <f t="array" ref="K2224">_xlfn.LET(
    _xlpm.sum_month, SUM(T2224:AE2224),
    IF(_xlpm.sum_month = 0, "", _xlpm.sum_month &amp; " treinados não mapeados.")
)</f>
        <v/>
      </c>
      <c r="L2224" s="9" t="s">
        <v>191</v>
      </c>
      <c r="M2224" s="13">
        <v>1</v>
      </c>
      <c r="N2224" s="5" t="s">
        <v>51</v>
      </c>
      <c r="O2224" s="5" t="s">
        <v>52</v>
      </c>
      <c r="P2224" s="10" t="s">
        <v>146</v>
      </c>
      <c r="Q2224" s="10" t="s">
        <v>44</v>
      </c>
      <c r="R2224" s="11" t="s">
        <v>44</v>
      </c>
      <c r="S2224" s="11" t="s">
        <v>44</v>
      </c>
      <c r="T2224" s="22"/>
      <c r="U2224" s="22"/>
      <c r="V2224" s="22"/>
      <c r="W2224" s="22"/>
      <c r="X2224" s="22"/>
      <c r="Y2224" s="22"/>
      <c r="Z2224" s="22"/>
      <c r="AA2224" s="22"/>
      <c r="AB2224" s="22"/>
      <c r="AC2224" s="22"/>
      <c r="AD2224" s="22"/>
      <c r="AE2224" s="22"/>
      <c r="AG2224" s="71"/>
      <c r="AH2224" s="71"/>
      <c r="AI2224" s="71"/>
      <c r="AJ2224" s="71"/>
      <c r="AK2224" s="71"/>
      <c r="AL2224" s="71"/>
      <c r="AM2224" s="71"/>
      <c r="AN2224" s="71"/>
      <c r="AO2224" s="71"/>
      <c r="AP2224" s="71"/>
      <c r="AQ2224" s="71"/>
      <c r="AR2224" s="71"/>
      <c r="AS2224" s="94" t="str" cm="1">
        <f t="array" ref="AS2224">IFERROR(INDEX(T2224:AE2224,1,MATCH(2,1/(T2224:AE2224&lt;&gt;""))),"")</f>
        <v/>
      </c>
      <c r="AT2224" s="95">
        <f t="shared" si="2643"/>
        <v>0</v>
      </c>
      <c r="AU2224" s="97">
        <f t="shared" si="2644"/>
        <v>0</v>
      </c>
      <c r="AW2224" s="52">
        <f t="shared" si="2645"/>
        <v>0</v>
      </c>
      <c r="AX2224" s="52"/>
      <c r="AY2224" s="52"/>
      <c r="AZ2224" s="52"/>
      <c r="BA2224" s="52"/>
      <c r="BB2224" s="52"/>
      <c r="BC2224" s="52"/>
      <c r="BD2224" s="52"/>
      <c r="BE2224" s="52"/>
      <c r="BF2224" s="52"/>
      <c r="BG2224" s="52"/>
      <c r="BH2224" s="52"/>
      <c r="BI2224" s="68" cm="1">
        <f t="array" ref="BI2224">IFERROR(INDEX(AW2224:BH2224,1,MATCH(2,1/(AW2224:BH2224&lt;&gt;""))),"")</f>
        <v>0</v>
      </c>
      <c r="BJ2224" s="68" t="str" cm="1">
        <f t="array" ref="BJ2224">IF(BM2224 = "", "",IFERROR(INDEX(AW2224:BH2224,1,MATCH(2,1/(AW2224:BH2224&lt;&gt;""),1)-1),""))</f>
        <v/>
      </c>
      <c r="BK2224" s="59">
        <f t="shared" si="2646"/>
        <v>0</v>
      </c>
      <c r="BL2224" s="59">
        <f t="shared" si="2647"/>
        <v>0</v>
      </c>
      <c r="BM2224" s="55" t="str" cm="1">
        <f t="array" ref="BM2224">IFERROR(
   INDEX($AW$1:$BH$1,
      _xlfn.AGGREGATE(14, 6, COLUMN($AW$1:$BH$1)/(AW2224:BH2224&lt;&gt;""), 2) - COLUMN($AW$1) + 1
   ),
"")</f>
        <v/>
      </c>
      <c r="BN2224" s="55" cm="1">
        <f t="array" ref="BN2224">IFERROR(INDEX($AW$1:$BH$1,1,MATCH(2,1/(AW2224:BH2224&lt;&gt;""))),"")</f>
        <v>46023</v>
      </c>
      <c r="BO2224" s="53">
        <f ca="1">IFERROR(_xlfn.XLOOKUP(F2224,Apuração!A:A,Apuração!C:C)/_xlfn.XLOOKUP(F2224,Apuração!A:A,Apuração!B:B),0)</f>
        <v>0</v>
      </c>
      <c r="BP2224" s="53">
        <f ca="1">IFERROR(_xlfn.XLOOKUP(F2224,Apuração!A:A,Apuração!D:D)/_xlfn.XLOOKUP(F2224,Apuração!A:A,Apuração!B:B),0)</f>
        <v>0</v>
      </c>
      <c r="BQ2224" s="53">
        <f ca="1">IF(BK2224&gt;=BO2224,0,_xlfn.XLOOKUP(F2224,Apuração!A:A,Apuração!B:B)*(BO2224 + (1/_xlfn.XLOOKUP(F2224,Apuração!A:A,Apuração!B:B)) - BK2224))</f>
        <v>0</v>
      </c>
      <c r="BR2224" s="85">
        <f t="shared" ca="1" si="2648"/>
        <v>0</v>
      </c>
      <c r="BS2224" s="53">
        <f ca="1">IFERROR((_xlfn.XLOOKUP(F2224,Apuração!A:A,Apuração!C:C)+1)/_xlfn.XLOOKUP(F2224,Apuração!A:A,Apuração!B:B),0)</f>
        <v>0.14285714285714285</v>
      </c>
    </row>
    <row r="2225" spans="1:71" ht="25.95" hidden="1" customHeight="1" x14ac:dyDescent="0.3">
      <c r="A2225" s="44" t="s">
        <v>175</v>
      </c>
      <c r="B2225" s="4" t="s">
        <v>187</v>
      </c>
      <c r="C2225" s="5" t="s">
        <v>216</v>
      </c>
      <c r="D2225" s="5" t="s">
        <v>36</v>
      </c>
      <c r="E2225" s="4" t="s">
        <v>96</v>
      </c>
      <c r="F2225" s="4" t="str" cm="1">
        <f t="array" ref="F2225">_xlfn.IFS(
AG2225 &lt;&gt; "", "Jan-Dez/26",
AH2225 &lt;&gt; "", "Fev-Dez/26",
AI2225 &lt;&gt; "", "Mar-Dez/26", AJ2225 &lt;&gt; "", "Abr-Dez/26",
TRUE, "A partir de Junho"
)</f>
        <v>A partir de Junho</v>
      </c>
      <c r="G2225" s="4" t="s">
        <v>62</v>
      </c>
      <c r="H2225" s="7" t="s">
        <v>54</v>
      </c>
      <c r="I2225" s="34" t="s">
        <v>192</v>
      </c>
      <c r="J2225" s="8" t="str" cm="1">
        <f t="array" aca="1" ref="J2225" ca="1">_xlfn.LET(
  _xlpm.actual_value_month, INDEX(T2225:AE2225, MATCH(DATE(YEAR(TODAY()), MONTH(TODAY()), 1), $T$1:$AE$1, 0)),
  IF(_xlpm.actual_value_month &lt;&gt; "", _xlpm.actual_value_month &amp; " ações mensais", "")
)</f>
        <v/>
      </c>
      <c r="K2225" s="34" t="str" cm="1">
        <f t="array" ref="K2225">_xlfn.LET(
    _xlpm.sum_month, SUM(T2225:AE2225),
    IF(_xlpm.sum_month = 0, "", _xlpm.sum_month &amp; " colaboradores treinados.")
)</f>
        <v/>
      </c>
      <c r="L2225" s="4" t="s">
        <v>193</v>
      </c>
      <c r="M2225" s="9"/>
      <c r="N2225" s="5" t="s">
        <v>51</v>
      </c>
      <c r="O2225" s="5" t="s">
        <v>52</v>
      </c>
      <c r="P2225" s="10" t="s">
        <v>44</v>
      </c>
      <c r="Q2225" s="10" t="s">
        <v>44</v>
      </c>
      <c r="R2225" s="11" t="s">
        <v>44</v>
      </c>
      <c r="S2225" s="11" t="s">
        <v>44</v>
      </c>
      <c r="T2225" s="22"/>
      <c r="U2225" s="22"/>
      <c r="V2225" s="22"/>
      <c r="W2225" s="22"/>
      <c r="X2225" s="22"/>
      <c r="Y2225" s="22"/>
      <c r="Z2225" s="22"/>
      <c r="AA2225" s="22"/>
      <c r="AB2225" s="22"/>
      <c r="AC2225" s="22"/>
      <c r="AD2225" s="22"/>
      <c r="AE2225" s="22"/>
      <c r="AG2225" s="71"/>
      <c r="AH2225" s="71"/>
      <c r="AI2225" s="71"/>
      <c r="AJ2225" s="71"/>
      <c r="AK2225" s="71"/>
      <c r="AL2225" s="71"/>
      <c r="AM2225" s="71"/>
      <c r="AN2225" s="71"/>
      <c r="AO2225" s="71"/>
      <c r="AP2225" s="71"/>
      <c r="AQ2225" s="71"/>
      <c r="AR2225" s="71"/>
      <c r="AS2225" s="94" t="str" cm="1">
        <f t="array" ref="AS2225">IFERROR(INDEX(T2225:AE2225,1,MATCH(2,1/(T2225:AE2225&lt;&gt;""))),"")</f>
        <v/>
      </c>
      <c r="AT2225" s="95">
        <f>AN2225</f>
        <v>0</v>
      </c>
      <c r="AU2225" s="97">
        <f>AT2225</f>
        <v>0</v>
      </c>
      <c r="AW2225" s="52">
        <f>AG2225</f>
        <v>0</v>
      </c>
      <c r="AX2225" s="52"/>
      <c r="AY2225" s="52"/>
      <c r="AZ2225" s="52"/>
      <c r="BA2225" s="52"/>
      <c r="BB2225" s="52"/>
      <c r="BC2225" s="52"/>
      <c r="BD2225" s="52"/>
      <c r="BE2225" s="52"/>
      <c r="BF2225" s="52"/>
      <c r="BG2225" s="52"/>
      <c r="BH2225" s="52"/>
      <c r="BI2225" s="68" cm="1">
        <f t="array" ref="BI2225">IFERROR(INDEX(AW2225:BH2225,1,MATCH(2,1/(AW2225:BH2225&lt;&gt;""))),"")</f>
        <v>0</v>
      </c>
      <c r="BJ2225" s="68" t="str" cm="1">
        <f t="array" ref="BJ2225">IF(BM2225 = "", "",IFERROR(INDEX(AW2225:BH2225,1,MATCH(2,1/(AW2225:BH2225&lt;&gt;""),1)-1),""))</f>
        <v/>
      </c>
      <c r="BK2225" s="59">
        <f>SUM(AW2225:BH2225)</f>
        <v>0</v>
      </c>
      <c r="BL2225" s="59">
        <f>SUM(AW2225:BE2225)</f>
        <v>0</v>
      </c>
      <c r="BM2225" s="55" t="str" cm="1">
        <f t="array" ref="BM2225">IFERROR(
   INDEX($AW$1:$BH$1,
      _xlfn.AGGREGATE(14, 6, COLUMN($AW$1:$BH$1)/(AW2225:BH2225&lt;&gt;""), 2) - COLUMN($AW$1) + 1
   ),
"")</f>
        <v/>
      </c>
      <c r="BN2225" s="55" cm="1">
        <f t="array" ref="BN2225">IFERROR(INDEX($AW$1:$BH$1,1,MATCH(2,1/(AW2225:BH2225&lt;&gt;""))),"")</f>
        <v>46023</v>
      </c>
      <c r="BO2225" s="53">
        <f ca="1">IFERROR(_xlfn.XLOOKUP(F2225,Apuração!A:A,Apuração!C:C)/_xlfn.XLOOKUP(F2225,Apuração!A:A,Apuração!B:B),0)</f>
        <v>0</v>
      </c>
      <c r="BP2225" s="53">
        <f ca="1">IFERROR(_xlfn.XLOOKUP(F2225,Apuração!A:A,Apuração!D:D)/_xlfn.XLOOKUP(F2225,Apuração!A:A,Apuração!B:B),0)</f>
        <v>0</v>
      </c>
      <c r="BQ2225" s="53">
        <f ca="1">IF(BK2225&gt;=BO2225,0,_xlfn.XLOOKUP(F2225,Apuração!A:A,Apuração!B:B)*(BO2225 + (1/_xlfn.XLOOKUP(F2225,Apuração!A:A,Apuração!B:B)) - BK2225))</f>
        <v>0</v>
      </c>
      <c r="BR2225" s="85">
        <f ca="1">IF(BQ2225=0,0,BQ2225*Z2225)</f>
        <v>0</v>
      </c>
      <c r="BS2225" s="53">
        <f ca="1">IFERROR((_xlfn.XLOOKUP(F2225,Apuração!A:A,Apuração!C:C)+1)/_xlfn.XLOOKUP(F2225,Apuração!A:A,Apuração!B:B),0)</f>
        <v>0.14285714285714285</v>
      </c>
    </row>
    <row r="2226" spans="1:71" ht="25.95" hidden="1" customHeight="1" x14ac:dyDescent="0.3">
      <c r="A2226" s="44" t="s">
        <v>175</v>
      </c>
      <c r="B2226" s="4" t="s">
        <v>187</v>
      </c>
      <c r="C2226" s="5" t="s">
        <v>216</v>
      </c>
      <c r="D2226" s="5" t="s">
        <v>217</v>
      </c>
      <c r="E2226" s="4" t="s">
        <v>96</v>
      </c>
      <c r="F2226" s="4" t="str" cm="1">
        <f t="array" ref="F2226">_xlfn.IFS(
AG2226 &lt;&gt; "", "Jan-Dez/26",
AH2226 &lt;&gt; "", "Fev-Dez/26",
AI2226 &lt;&gt; "", "Mar-Dez/26", AJ2226 &lt;&gt; "", "Abr-Dez/26",
TRUE, "A partir de Junho"
)</f>
        <v>A partir de Junho</v>
      </c>
      <c r="G2226" s="4" t="s">
        <v>62</v>
      </c>
      <c r="H2226" s="7" t="s">
        <v>54</v>
      </c>
      <c r="I2226" s="34" t="s">
        <v>192</v>
      </c>
      <c r="J2226" s="8" t="str" cm="1">
        <f t="array" aca="1" ref="J2226" ca="1">_xlfn.LET(
  _xlpm.actual_value_month, INDEX(T2226:AE2226, MATCH(DATE(YEAR(TODAY()), MONTH(TODAY()), 1), $T$1:$AE$1, 0)),
  IF(_xlpm.actual_value_month &lt;&gt; "", _xlpm.actual_value_month &amp; " ações mensais", "")
)</f>
        <v/>
      </c>
      <c r="K2226" s="34" t="str" cm="1">
        <f t="array" ref="K2226">_xlfn.LET(
    _xlpm.sum_month, SUM(T2226:AE2226),
    IF(_xlpm.sum_month = 0, "", _xlpm.sum_month &amp; " colaboradores treinados.")
)</f>
        <v/>
      </c>
      <c r="L2226" s="4" t="s">
        <v>193</v>
      </c>
      <c r="M2226" s="9"/>
      <c r="N2226" s="5" t="s">
        <v>51</v>
      </c>
      <c r="O2226" s="5" t="s">
        <v>52</v>
      </c>
      <c r="P2226" s="10" t="s">
        <v>44</v>
      </c>
      <c r="Q2226" s="10" t="s">
        <v>44</v>
      </c>
      <c r="R2226" s="11" t="s">
        <v>44</v>
      </c>
      <c r="S2226" s="11" t="s">
        <v>44</v>
      </c>
      <c r="T2226" s="22"/>
      <c r="U2226" s="22"/>
      <c r="V2226" s="22"/>
      <c r="W2226" s="22"/>
      <c r="X2226" s="22"/>
      <c r="Y2226" s="22"/>
      <c r="Z2226" s="22"/>
      <c r="AA2226" s="22"/>
      <c r="AB2226" s="22"/>
      <c r="AC2226" s="22"/>
      <c r="AD2226" s="22"/>
      <c r="AE2226" s="22"/>
      <c r="AG2226" s="71"/>
      <c r="AH2226" s="71"/>
      <c r="AI2226" s="71"/>
      <c r="AJ2226" s="71"/>
      <c r="AK2226" s="71"/>
      <c r="AL2226" s="71"/>
      <c r="AM2226" s="71"/>
      <c r="AN2226" s="71"/>
      <c r="AO2226" s="71"/>
      <c r="AP2226" s="71"/>
      <c r="AQ2226" s="71"/>
      <c r="AR2226" s="71"/>
      <c r="AS2226" s="94" t="str" cm="1">
        <f t="array" ref="AS2226">IFERROR(INDEX(T2226:AE2226,1,MATCH(2,1/(T2226:AE2226&lt;&gt;""))),"")</f>
        <v/>
      </c>
      <c r="AT2226" s="95">
        <f t="shared" ref="AT2226:AT2229" si="2649">AN2226</f>
        <v>0</v>
      </c>
      <c r="AU2226" s="97">
        <f t="shared" ref="AU2226:AU2229" si="2650">AT2226</f>
        <v>0</v>
      </c>
      <c r="AW2226" s="52">
        <f t="shared" ref="AW2226:AW2229" si="2651">AG2226</f>
        <v>0</v>
      </c>
      <c r="AX2226" s="52"/>
      <c r="AY2226" s="52"/>
      <c r="AZ2226" s="52"/>
      <c r="BA2226" s="52"/>
      <c r="BB2226" s="52"/>
      <c r="BC2226" s="52"/>
      <c r="BD2226" s="52"/>
      <c r="BE2226" s="52"/>
      <c r="BF2226" s="52"/>
      <c r="BG2226" s="52"/>
      <c r="BH2226" s="52"/>
      <c r="BI2226" s="68" cm="1">
        <f t="array" ref="BI2226">IFERROR(INDEX(AW2226:BH2226,1,MATCH(2,1/(AW2226:BH2226&lt;&gt;""))),"")</f>
        <v>0</v>
      </c>
      <c r="BJ2226" s="68" t="str" cm="1">
        <f t="array" ref="BJ2226">IF(BM2226 = "", "",IFERROR(INDEX(AW2226:BH2226,1,MATCH(2,1/(AW2226:BH2226&lt;&gt;""),1)-1),""))</f>
        <v/>
      </c>
      <c r="BK2226" s="59">
        <f t="shared" ref="BK2226:BK2229" si="2652">SUM(AW2226:BH2226)</f>
        <v>0</v>
      </c>
      <c r="BL2226" s="59">
        <f t="shared" ref="BL2226:BL2229" si="2653">SUM(AW2226:BE2226)</f>
        <v>0</v>
      </c>
      <c r="BM2226" s="55" t="str" cm="1">
        <f t="array" ref="BM2226">IFERROR(
   INDEX($AW$1:$BH$1,
      _xlfn.AGGREGATE(14, 6, COLUMN($AW$1:$BH$1)/(AW2226:BH2226&lt;&gt;""), 2) - COLUMN($AW$1) + 1
   ),
"")</f>
        <v/>
      </c>
      <c r="BN2226" s="55" cm="1">
        <f t="array" ref="BN2226">IFERROR(INDEX($AW$1:$BH$1,1,MATCH(2,1/(AW2226:BH2226&lt;&gt;""))),"")</f>
        <v>46023</v>
      </c>
      <c r="BO2226" s="53">
        <f ca="1">IFERROR(_xlfn.XLOOKUP(F2226,Apuração!A:A,Apuração!C:C)/_xlfn.XLOOKUP(F2226,Apuração!A:A,Apuração!B:B),0)</f>
        <v>0</v>
      </c>
      <c r="BP2226" s="53">
        <f ca="1">IFERROR(_xlfn.XLOOKUP(F2226,Apuração!A:A,Apuração!D:D)/_xlfn.XLOOKUP(F2226,Apuração!A:A,Apuração!B:B),0)</f>
        <v>0</v>
      </c>
      <c r="BQ2226" s="53">
        <f ca="1">IF(BK2226&gt;=BO2226,0,_xlfn.XLOOKUP(F2226,Apuração!A:A,Apuração!B:B)*(BO2226 + (1/_xlfn.XLOOKUP(F2226,Apuração!A:A,Apuração!B:B)) - BK2226))</f>
        <v>0</v>
      </c>
      <c r="BR2226" s="85">
        <f t="shared" ref="BR2226:BR2229" ca="1" si="2654">IF(BQ2226=0,0,BQ2226*Z2226)</f>
        <v>0</v>
      </c>
      <c r="BS2226" s="53">
        <f ca="1">IFERROR((_xlfn.XLOOKUP(F2226,Apuração!A:A,Apuração!C:C)+1)/_xlfn.XLOOKUP(F2226,Apuração!A:A,Apuração!B:B),0)</f>
        <v>0.14285714285714285</v>
      </c>
    </row>
    <row r="2227" spans="1:71" ht="25.95" hidden="1" customHeight="1" x14ac:dyDescent="0.3">
      <c r="A2227" s="44" t="s">
        <v>175</v>
      </c>
      <c r="B2227" s="4" t="s">
        <v>187</v>
      </c>
      <c r="C2227" s="5" t="s">
        <v>216</v>
      </c>
      <c r="D2227" s="5" t="s">
        <v>103</v>
      </c>
      <c r="E2227" s="4" t="s">
        <v>96</v>
      </c>
      <c r="F2227" s="4" t="str" cm="1">
        <f t="array" ref="F2227">_xlfn.IFS(
AG2227 &lt;&gt; "", "Jan-Dez/26",
AH2227 &lt;&gt; "", "Fev-Dez/26",
AI2227 &lt;&gt; "", "Mar-Dez/26", AJ2227 &lt;&gt; "", "Abr-Dez/26",
TRUE, "A partir de Junho"
)</f>
        <v>A partir de Junho</v>
      </c>
      <c r="G2227" s="4" t="s">
        <v>62</v>
      </c>
      <c r="H2227" s="7" t="s">
        <v>54</v>
      </c>
      <c r="I2227" s="34" t="s">
        <v>192</v>
      </c>
      <c r="J2227" s="8" t="str" cm="1">
        <f t="array" aca="1" ref="J2227" ca="1">_xlfn.LET(
  _xlpm.actual_value_month, INDEX(T2227:AE2227, MATCH(DATE(YEAR(TODAY()), MONTH(TODAY()), 1), $T$1:$AE$1, 0)),
  IF(_xlpm.actual_value_month &lt;&gt; "", _xlpm.actual_value_month &amp; " ações mensais", "")
)</f>
        <v/>
      </c>
      <c r="K2227" s="34" t="str" cm="1">
        <f t="array" ref="K2227">_xlfn.LET(
    _xlpm.sum_month, SUM(T2227:AE2227),
    IF(_xlpm.sum_month = 0, "", _xlpm.sum_month &amp; " colaboradores treinados.")
)</f>
        <v/>
      </c>
      <c r="L2227" s="4" t="s">
        <v>193</v>
      </c>
      <c r="M2227" s="9"/>
      <c r="N2227" s="5" t="s">
        <v>51</v>
      </c>
      <c r="O2227" s="5" t="s">
        <v>52</v>
      </c>
      <c r="P2227" s="10" t="s">
        <v>44</v>
      </c>
      <c r="Q2227" s="10" t="s">
        <v>44</v>
      </c>
      <c r="R2227" s="11" t="s">
        <v>44</v>
      </c>
      <c r="S2227" s="11" t="s">
        <v>44</v>
      </c>
      <c r="T2227" s="22"/>
      <c r="U2227" s="22"/>
      <c r="V2227" s="22"/>
      <c r="W2227" s="22"/>
      <c r="X2227" s="22"/>
      <c r="Y2227" s="22"/>
      <c r="Z2227" s="22"/>
      <c r="AA2227" s="22"/>
      <c r="AB2227" s="22"/>
      <c r="AC2227" s="22"/>
      <c r="AD2227" s="22"/>
      <c r="AE2227" s="22"/>
      <c r="AG2227" s="71"/>
      <c r="AH2227" s="71"/>
      <c r="AI2227" s="71"/>
      <c r="AJ2227" s="71"/>
      <c r="AK2227" s="71"/>
      <c r="AL2227" s="71"/>
      <c r="AM2227" s="71"/>
      <c r="AN2227" s="71"/>
      <c r="AO2227" s="71"/>
      <c r="AP2227" s="71"/>
      <c r="AQ2227" s="71"/>
      <c r="AR2227" s="71"/>
      <c r="AS2227" s="94" t="str" cm="1">
        <f t="array" ref="AS2227">IFERROR(INDEX(T2227:AE2227,1,MATCH(2,1/(T2227:AE2227&lt;&gt;""))),"")</f>
        <v/>
      </c>
      <c r="AT2227" s="95">
        <f t="shared" si="2649"/>
        <v>0</v>
      </c>
      <c r="AU2227" s="97">
        <f t="shared" si="2650"/>
        <v>0</v>
      </c>
      <c r="AW2227" s="52">
        <f t="shared" si="2651"/>
        <v>0</v>
      </c>
      <c r="AX2227" s="52"/>
      <c r="AY2227" s="52"/>
      <c r="AZ2227" s="52"/>
      <c r="BA2227" s="52"/>
      <c r="BB2227" s="52"/>
      <c r="BC2227" s="52"/>
      <c r="BD2227" s="52"/>
      <c r="BE2227" s="52"/>
      <c r="BF2227" s="52"/>
      <c r="BG2227" s="52"/>
      <c r="BH2227" s="52"/>
      <c r="BI2227" s="68" cm="1">
        <f t="array" ref="BI2227">IFERROR(INDEX(AW2227:BH2227,1,MATCH(2,1/(AW2227:BH2227&lt;&gt;""))),"")</f>
        <v>0</v>
      </c>
      <c r="BJ2227" s="68" t="str" cm="1">
        <f t="array" ref="BJ2227">IF(BM2227 = "", "",IFERROR(INDEX(AW2227:BH2227,1,MATCH(2,1/(AW2227:BH2227&lt;&gt;""),1)-1),""))</f>
        <v/>
      </c>
      <c r="BK2227" s="59">
        <f t="shared" si="2652"/>
        <v>0</v>
      </c>
      <c r="BL2227" s="59">
        <f t="shared" si="2653"/>
        <v>0</v>
      </c>
      <c r="BM2227" s="55" t="str" cm="1">
        <f t="array" ref="BM2227">IFERROR(
   INDEX($AW$1:$BH$1,
      _xlfn.AGGREGATE(14, 6, COLUMN($AW$1:$BH$1)/(AW2227:BH2227&lt;&gt;""), 2) - COLUMN($AW$1) + 1
   ),
"")</f>
        <v/>
      </c>
      <c r="BN2227" s="55" cm="1">
        <f t="array" ref="BN2227">IFERROR(INDEX($AW$1:$BH$1,1,MATCH(2,1/(AW2227:BH2227&lt;&gt;""))),"")</f>
        <v>46023</v>
      </c>
      <c r="BO2227" s="53">
        <f ca="1">IFERROR(_xlfn.XLOOKUP(F2227,Apuração!A:A,Apuração!C:C)/_xlfn.XLOOKUP(F2227,Apuração!A:A,Apuração!B:B),0)</f>
        <v>0</v>
      </c>
      <c r="BP2227" s="53">
        <f ca="1">IFERROR(_xlfn.XLOOKUP(F2227,Apuração!A:A,Apuração!D:D)/_xlfn.XLOOKUP(F2227,Apuração!A:A,Apuração!B:B),0)</f>
        <v>0</v>
      </c>
      <c r="BQ2227" s="53">
        <f ca="1">IF(BK2227&gt;=BO2227,0,_xlfn.XLOOKUP(F2227,Apuração!A:A,Apuração!B:B)*(BO2227 + (1/_xlfn.XLOOKUP(F2227,Apuração!A:A,Apuração!B:B)) - BK2227))</f>
        <v>0</v>
      </c>
      <c r="BR2227" s="85">
        <f t="shared" ca="1" si="2654"/>
        <v>0</v>
      </c>
      <c r="BS2227" s="53">
        <f ca="1">IFERROR((_xlfn.XLOOKUP(F2227,Apuração!A:A,Apuração!C:C)+1)/_xlfn.XLOOKUP(F2227,Apuração!A:A,Apuração!B:B),0)</f>
        <v>0.14285714285714285</v>
      </c>
    </row>
    <row r="2228" spans="1:71" ht="25.95" hidden="1" customHeight="1" x14ac:dyDescent="0.3">
      <c r="A2228" s="44" t="s">
        <v>175</v>
      </c>
      <c r="B2228" s="4" t="s">
        <v>187</v>
      </c>
      <c r="C2228" s="5" t="s">
        <v>216</v>
      </c>
      <c r="D2228" s="5" t="s">
        <v>218</v>
      </c>
      <c r="E2228" s="4" t="s">
        <v>96</v>
      </c>
      <c r="F2228" s="4" t="str" cm="1">
        <f t="array" ref="F2228">_xlfn.IFS(
AG2228 &lt;&gt; "", "Jan-Dez/26",
AH2228 &lt;&gt; "", "Fev-Dez/26",
AI2228 &lt;&gt; "", "Mar-Dez/26", AJ2228 &lt;&gt; "", "Abr-Dez/26",
TRUE, "A partir de Junho"
)</f>
        <v>A partir de Junho</v>
      </c>
      <c r="G2228" s="4" t="s">
        <v>62</v>
      </c>
      <c r="H2228" s="7" t="s">
        <v>54</v>
      </c>
      <c r="I2228" s="34" t="s">
        <v>192</v>
      </c>
      <c r="J2228" s="8" t="str" cm="1">
        <f t="array" aca="1" ref="J2228" ca="1">_xlfn.LET(
  _xlpm.actual_value_month, INDEX(T2228:AE2228, MATCH(DATE(YEAR(TODAY()), MONTH(TODAY()), 1), $T$1:$AE$1, 0)),
  IF(_xlpm.actual_value_month &lt;&gt; "", _xlpm.actual_value_month &amp; " ações mensais", "")
)</f>
        <v/>
      </c>
      <c r="K2228" s="34" t="str" cm="1">
        <f t="array" ref="K2228">_xlfn.LET(
    _xlpm.sum_month, SUM(T2228:AE2228),
    IF(_xlpm.sum_month = 0, "", _xlpm.sum_month &amp; " colaboradores treinados.")
)</f>
        <v/>
      </c>
      <c r="L2228" s="4" t="s">
        <v>193</v>
      </c>
      <c r="M2228" s="9"/>
      <c r="N2228" s="5" t="s">
        <v>51</v>
      </c>
      <c r="O2228" s="5" t="s">
        <v>52</v>
      </c>
      <c r="P2228" s="10" t="s">
        <v>44</v>
      </c>
      <c r="Q2228" s="10" t="s">
        <v>44</v>
      </c>
      <c r="R2228" s="11" t="s">
        <v>44</v>
      </c>
      <c r="S2228" s="11" t="s">
        <v>44</v>
      </c>
      <c r="T2228" s="22"/>
      <c r="U2228" s="22"/>
      <c r="V2228" s="22"/>
      <c r="W2228" s="22"/>
      <c r="X2228" s="22"/>
      <c r="Y2228" s="22"/>
      <c r="Z2228" s="22"/>
      <c r="AA2228" s="22"/>
      <c r="AB2228" s="22"/>
      <c r="AC2228" s="22"/>
      <c r="AD2228" s="22"/>
      <c r="AE2228" s="22"/>
      <c r="AG2228" s="71"/>
      <c r="AH2228" s="71"/>
      <c r="AI2228" s="71"/>
      <c r="AJ2228" s="71"/>
      <c r="AK2228" s="71"/>
      <c r="AL2228" s="71"/>
      <c r="AM2228" s="71"/>
      <c r="AN2228" s="71"/>
      <c r="AO2228" s="71"/>
      <c r="AP2228" s="71"/>
      <c r="AQ2228" s="71"/>
      <c r="AR2228" s="71"/>
      <c r="AS2228" s="94" t="str" cm="1">
        <f t="array" ref="AS2228">IFERROR(INDEX(T2228:AE2228,1,MATCH(2,1/(T2228:AE2228&lt;&gt;""))),"")</f>
        <v/>
      </c>
      <c r="AT2228" s="95">
        <f t="shared" si="2649"/>
        <v>0</v>
      </c>
      <c r="AU2228" s="97">
        <f t="shared" si="2650"/>
        <v>0</v>
      </c>
      <c r="AW2228" s="52">
        <f t="shared" si="2651"/>
        <v>0</v>
      </c>
      <c r="AX2228" s="52"/>
      <c r="AY2228" s="52"/>
      <c r="AZ2228" s="52"/>
      <c r="BA2228" s="52"/>
      <c r="BB2228" s="52"/>
      <c r="BC2228" s="52"/>
      <c r="BD2228" s="52"/>
      <c r="BE2228" s="52"/>
      <c r="BF2228" s="52"/>
      <c r="BG2228" s="52"/>
      <c r="BH2228" s="52"/>
      <c r="BI2228" s="68" cm="1">
        <f t="array" ref="BI2228">IFERROR(INDEX(AW2228:BH2228,1,MATCH(2,1/(AW2228:BH2228&lt;&gt;""))),"")</f>
        <v>0</v>
      </c>
      <c r="BJ2228" s="68" t="str" cm="1">
        <f t="array" ref="BJ2228">IF(BM2228 = "", "",IFERROR(INDEX(AW2228:BH2228,1,MATCH(2,1/(AW2228:BH2228&lt;&gt;""),1)-1),""))</f>
        <v/>
      </c>
      <c r="BK2228" s="59">
        <f t="shared" si="2652"/>
        <v>0</v>
      </c>
      <c r="BL2228" s="59">
        <f t="shared" si="2653"/>
        <v>0</v>
      </c>
      <c r="BM2228" s="55" t="str" cm="1">
        <f t="array" ref="BM2228">IFERROR(
   INDEX($AW$1:$BH$1,
      _xlfn.AGGREGATE(14, 6, COLUMN($AW$1:$BH$1)/(AW2228:BH2228&lt;&gt;""), 2) - COLUMN($AW$1) + 1
   ),
"")</f>
        <v/>
      </c>
      <c r="BN2228" s="55" cm="1">
        <f t="array" ref="BN2228">IFERROR(INDEX($AW$1:$BH$1,1,MATCH(2,1/(AW2228:BH2228&lt;&gt;""))),"")</f>
        <v>46023</v>
      </c>
      <c r="BO2228" s="53">
        <f ca="1">IFERROR(_xlfn.XLOOKUP(F2228,Apuração!A:A,Apuração!C:C)/_xlfn.XLOOKUP(F2228,Apuração!A:A,Apuração!B:B),0)</f>
        <v>0</v>
      </c>
      <c r="BP2228" s="53">
        <f ca="1">IFERROR(_xlfn.XLOOKUP(F2228,Apuração!A:A,Apuração!D:D)/_xlfn.XLOOKUP(F2228,Apuração!A:A,Apuração!B:B),0)</f>
        <v>0</v>
      </c>
      <c r="BQ2228" s="53">
        <f ca="1">IF(BK2228&gt;=BO2228,0,_xlfn.XLOOKUP(F2228,Apuração!A:A,Apuração!B:B)*(BO2228 + (1/_xlfn.XLOOKUP(F2228,Apuração!A:A,Apuração!B:B)) - BK2228))</f>
        <v>0</v>
      </c>
      <c r="BR2228" s="85">
        <f t="shared" ca="1" si="2654"/>
        <v>0</v>
      </c>
      <c r="BS2228" s="53">
        <f ca="1">IFERROR((_xlfn.XLOOKUP(F2228,Apuração!A:A,Apuração!C:C)+1)/_xlfn.XLOOKUP(F2228,Apuração!A:A,Apuração!B:B),0)</f>
        <v>0.14285714285714285</v>
      </c>
    </row>
    <row r="2229" spans="1:71" ht="25.95" hidden="1" customHeight="1" x14ac:dyDescent="0.3">
      <c r="A2229" s="44" t="s">
        <v>175</v>
      </c>
      <c r="B2229" s="4" t="s">
        <v>187</v>
      </c>
      <c r="C2229" s="5" t="s">
        <v>216</v>
      </c>
      <c r="D2229" s="5" t="s">
        <v>219</v>
      </c>
      <c r="E2229" s="4" t="s">
        <v>96</v>
      </c>
      <c r="F2229" s="4" t="str" cm="1">
        <f t="array" ref="F2229">_xlfn.IFS(
AG2229 &lt;&gt; "", "Jan-Dez/26",
AH2229 &lt;&gt; "", "Fev-Dez/26",
AI2229 &lt;&gt; "", "Mar-Dez/26", AJ2229 &lt;&gt; "", "Abr-Dez/26",
TRUE, "A partir de Junho"
)</f>
        <v>A partir de Junho</v>
      </c>
      <c r="G2229" s="4" t="s">
        <v>62</v>
      </c>
      <c r="H2229" s="7" t="s">
        <v>54</v>
      </c>
      <c r="I2229" s="34" t="s">
        <v>192</v>
      </c>
      <c r="J2229" s="8" t="str" cm="1">
        <f t="array" aca="1" ref="J2229" ca="1">_xlfn.LET(
  _xlpm.actual_value_month, INDEX(T2229:AE2229, MATCH(DATE(YEAR(TODAY()), MONTH(TODAY()), 1), $T$1:$AE$1, 0)),
  IF(_xlpm.actual_value_month &lt;&gt; "", _xlpm.actual_value_month &amp; " ações mensais", "")
)</f>
        <v/>
      </c>
      <c r="K2229" s="34" t="str" cm="1">
        <f t="array" ref="K2229">_xlfn.LET(
    _xlpm.sum_month, SUM(T2229:AE2229),
    IF(_xlpm.sum_month = 0, "", _xlpm.sum_month &amp; " colaboradores treinados.")
)</f>
        <v/>
      </c>
      <c r="L2229" s="4" t="s">
        <v>193</v>
      </c>
      <c r="M2229" s="9"/>
      <c r="N2229" s="5" t="s">
        <v>51</v>
      </c>
      <c r="O2229" s="5" t="s">
        <v>52</v>
      </c>
      <c r="P2229" s="10" t="s">
        <v>44</v>
      </c>
      <c r="Q2229" s="10" t="s">
        <v>44</v>
      </c>
      <c r="R2229" s="11" t="s">
        <v>44</v>
      </c>
      <c r="S2229" s="11" t="s">
        <v>44</v>
      </c>
      <c r="T2229" s="22"/>
      <c r="U2229" s="22"/>
      <c r="V2229" s="22"/>
      <c r="W2229" s="22"/>
      <c r="X2229" s="22"/>
      <c r="Y2229" s="22"/>
      <c r="Z2229" s="22"/>
      <c r="AA2229" s="22"/>
      <c r="AB2229" s="22"/>
      <c r="AC2229" s="22"/>
      <c r="AD2229" s="22"/>
      <c r="AE2229" s="22"/>
      <c r="AG2229" s="71"/>
      <c r="AH2229" s="71"/>
      <c r="AI2229" s="71"/>
      <c r="AJ2229" s="71"/>
      <c r="AK2229" s="71"/>
      <c r="AL2229" s="71"/>
      <c r="AM2229" s="71"/>
      <c r="AN2229" s="71"/>
      <c r="AO2229" s="71"/>
      <c r="AP2229" s="71"/>
      <c r="AQ2229" s="71"/>
      <c r="AR2229" s="71"/>
      <c r="AS2229" s="94" t="str" cm="1">
        <f t="array" ref="AS2229">IFERROR(INDEX(T2229:AE2229,1,MATCH(2,1/(T2229:AE2229&lt;&gt;""))),"")</f>
        <v/>
      </c>
      <c r="AT2229" s="95">
        <f t="shared" si="2649"/>
        <v>0</v>
      </c>
      <c r="AU2229" s="97">
        <f t="shared" si="2650"/>
        <v>0</v>
      </c>
      <c r="AW2229" s="52">
        <f t="shared" si="2651"/>
        <v>0</v>
      </c>
      <c r="AX2229" s="52"/>
      <c r="AY2229" s="52"/>
      <c r="AZ2229" s="52"/>
      <c r="BA2229" s="52"/>
      <c r="BB2229" s="52"/>
      <c r="BC2229" s="52"/>
      <c r="BD2229" s="52"/>
      <c r="BE2229" s="52"/>
      <c r="BF2229" s="52"/>
      <c r="BG2229" s="52"/>
      <c r="BH2229" s="52"/>
      <c r="BI2229" s="68" cm="1">
        <f t="array" ref="BI2229">IFERROR(INDEX(AW2229:BH2229,1,MATCH(2,1/(AW2229:BH2229&lt;&gt;""))),"")</f>
        <v>0</v>
      </c>
      <c r="BJ2229" s="68" t="str" cm="1">
        <f t="array" ref="BJ2229">IF(BM2229 = "", "",IFERROR(INDEX(AW2229:BH2229,1,MATCH(2,1/(AW2229:BH2229&lt;&gt;""),1)-1),""))</f>
        <v/>
      </c>
      <c r="BK2229" s="59">
        <f t="shared" si="2652"/>
        <v>0</v>
      </c>
      <c r="BL2229" s="59">
        <f t="shared" si="2653"/>
        <v>0</v>
      </c>
      <c r="BM2229" s="55" t="str" cm="1">
        <f t="array" ref="BM2229">IFERROR(
   INDEX($AW$1:$BH$1,
      _xlfn.AGGREGATE(14, 6, COLUMN($AW$1:$BH$1)/(AW2229:BH2229&lt;&gt;""), 2) - COLUMN($AW$1) + 1
   ),
"")</f>
        <v/>
      </c>
      <c r="BN2229" s="55" cm="1">
        <f t="array" ref="BN2229">IFERROR(INDEX($AW$1:$BH$1,1,MATCH(2,1/(AW2229:BH2229&lt;&gt;""))),"")</f>
        <v>46023</v>
      </c>
      <c r="BO2229" s="53">
        <f ca="1">IFERROR(_xlfn.XLOOKUP(F2229,Apuração!A:A,Apuração!C:C)/_xlfn.XLOOKUP(F2229,Apuração!A:A,Apuração!B:B),0)</f>
        <v>0</v>
      </c>
      <c r="BP2229" s="53">
        <f ca="1">IFERROR(_xlfn.XLOOKUP(F2229,Apuração!A:A,Apuração!D:D)/_xlfn.XLOOKUP(F2229,Apuração!A:A,Apuração!B:B),0)</f>
        <v>0</v>
      </c>
      <c r="BQ2229" s="53">
        <f ca="1">IF(BK2229&gt;=BO2229,0,_xlfn.XLOOKUP(F2229,Apuração!A:A,Apuração!B:B)*(BO2229 + (1/_xlfn.XLOOKUP(F2229,Apuração!A:A,Apuração!B:B)) - BK2229))</f>
        <v>0</v>
      </c>
      <c r="BR2229" s="85">
        <f t="shared" ca="1" si="2654"/>
        <v>0</v>
      </c>
      <c r="BS2229" s="53">
        <f ca="1">IFERROR((_xlfn.XLOOKUP(F2229,Apuração!A:A,Apuração!C:C)+1)/_xlfn.XLOOKUP(F2229,Apuração!A:A,Apuração!B:B),0)</f>
        <v>0.14285714285714285</v>
      </c>
    </row>
    <row r="2230" spans="1:71" ht="25.95" hidden="1" customHeight="1" x14ac:dyDescent="0.3">
      <c r="A2230" s="33" t="s">
        <v>175</v>
      </c>
      <c r="B2230" s="4" t="s">
        <v>194</v>
      </c>
      <c r="C2230" s="5" t="s">
        <v>216</v>
      </c>
      <c r="D2230" s="5" t="s">
        <v>36</v>
      </c>
      <c r="E2230" s="4" t="s">
        <v>96</v>
      </c>
      <c r="F2230" s="4" t="str" cm="1">
        <f t="array" ref="F2230">_xlfn.IFS(
AG2230 &lt;&gt; "", "Jan-Dez/26",
AH2230 &lt;&gt; "", "Fev-Dez/26",
AI2230 &lt;&gt; "", "Mar-Dez/26", AJ2230 &lt;&gt; "", "Abr-Dez/26",
TRUE, "A partir de Junho"
)</f>
        <v>A partir de Junho</v>
      </c>
      <c r="G2230" s="4" t="s">
        <v>62</v>
      </c>
      <c r="H2230" s="7" t="s">
        <v>38</v>
      </c>
      <c r="I2230" s="8" t="s">
        <v>177</v>
      </c>
      <c r="J2230" s="8" t="str" cm="1">
        <f t="array" aca="1" ref="J2230" ca="1">_xlfn.LET(
  _xlpm.actual_value_month, INDEX(T2230:AE2230, MATCH(DATE(YEAR(TODAY()), MONTH(TODAY()), 1), $T$1:$AE$1, 0)),
  IF(_xlpm.actual_value_month &lt;&gt; "", _xlpm.actual_value_month &amp; " ações mensais", "")
)</f>
        <v/>
      </c>
      <c r="K2230" s="8" t="str" cm="1">
        <f t="array" ref="K2230">_xlfn.LET(
    _xlpm.sum_month, SUM(T2230:AE2230),
    IF(_xlpm.sum_month = 0, "", _xlpm.sum_month &amp; " certificados gerados.")
)</f>
        <v/>
      </c>
      <c r="L2230" s="9" t="s">
        <v>195</v>
      </c>
      <c r="M2230" s="13">
        <v>1</v>
      </c>
      <c r="N2230" s="5" t="s">
        <v>42</v>
      </c>
      <c r="O2230" s="5" t="s">
        <v>43</v>
      </c>
      <c r="P2230" s="10" t="s">
        <v>146</v>
      </c>
      <c r="Q2230" s="10" t="s">
        <v>44</v>
      </c>
      <c r="R2230" s="11" t="s">
        <v>179</v>
      </c>
      <c r="S2230" s="11" t="s">
        <v>67</v>
      </c>
      <c r="T2230" s="22"/>
      <c r="U2230" s="22"/>
      <c r="V2230" s="22"/>
      <c r="W2230" s="22"/>
      <c r="X2230" s="22"/>
      <c r="Y2230" s="22"/>
      <c r="Z2230" s="22"/>
      <c r="AA2230" s="22"/>
      <c r="AB2230" s="22"/>
      <c r="AC2230" s="22"/>
      <c r="AD2230" s="22"/>
      <c r="AE2230" s="22"/>
      <c r="AG2230" s="71"/>
      <c r="AH2230" s="71"/>
      <c r="AI2230" s="71"/>
      <c r="AJ2230" s="71"/>
      <c r="AK2230" s="71"/>
      <c r="AL2230" s="71"/>
      <c r="AM2230" s="71"/>
      <c r="AN2230" s="71"/>
      <c r="AO2230" s="71"/>
      <c r="AP2230" s="71"/>
      <c r="AQ2230" s="71"/>
      <c r="AR2230" s="71"/>
      <c r="AS2230" s="94" t="str" cm="1">
        <f t="array" ref="AS2230">IFERROR(INDEX(T2230:AE2230,1,MATCH(2,1/(T2230:AE2230&lt;&gt;""))),"")</f>
        <v/>
      </c>
      <c r="AT2230" s="95" t="str" cm="1">
        <f t="array" ref="AT2230">IFERROR(INDEX(AJ2230:AR2230,1,MATCH(2,1/(AJ2230:AR2230&lt;&gt;""))),"")</f>
        <v/>
      </c>
      <c r="AU2230" s="97" t="str">
        <f>AT2230</f>
        <v/>
      </c>
      <c r="AW2230" s="51"/>
      <c r="AX2230" s="51"/>
      <c r="AY2230" s="51"/>
      <c r="AZ2230" s="51"/>
      <c r="BA2230" s="51"/>
      <c r="BB2230" s="51"/>
      <c r="BC2230" s="51"/>
      <c r="BD2230" s="51"/>
      <c r="BE2230" s="51"/>
      <c r="BF2230" s="51"/>
      <c r="BG2230" s="51"/>
      <c r="BH2230" s="51"/>
      <c r="BI2230" s="65" t="str" cm="1">
        <f t="array" ref="BI2230">IFERROR(INDEX(AW2230:BH2230,1,MATCH(2,1/(AW2230:BH2230&lt;&gt;""))),"")</f>
        <v/>
      </c>
      <c r="BJ2230" s="68" t="str" cm="1">
        <f t="array" ref="BJ2230">IF(BM2230 = "", "",IFERROR(INDEX(AW2230:BH2230,1,MATCH(2,1/(AW2230:BH2230&lt;&gt;""),1)-1),""))</f>
        <v/>
      </c>
      <c r="BK2230" s="58" t="str" cm="1">
        <f t="array" ref="BK2230">IFERROR(INDEX(AW2230:BH2230,1,MATCH(2,1/(AW2230:BH2230&lt;&gt;""))),"")</f>
        <v/>
      </c>
      <c r="BL2230" s="58" t="str" cm="1">
        <f t="array" ref="BL2230">IFERROR(INDEX(AW2230:BH2230,1,MATCH(2,1/(AW2230:BH2230&lt;&gt;""),1)-1),"")</f>
        <v/>
      </c>
      <c r="BM2230" s="55" t="str" cm="1">
        <f t="array" ref="BM2230">IFERROR(
   INDEX($AW$1:$BH$1,
      _xlfn.AGGREGATE(14, 6, COLUMN($AW$1:$BH$1)/(AW2230:BH2230&lt;&gt;""), 2) - COLUMN($AW$1) + 1
   ),
"")</f>
        <v/>
      </c>
      <c r="BN2230" s="55" t="str" cm="1">
        <f t="array" ref="BN2230">IFERROR(INDEX($AW$1:$BH$1,1,MATCH(2,1/(AW2230:BH2230&lt;&gt;""))),"")</f>
        <v/>
      </c>
      <c r="BO2230" s="53">
        <f ca="1">IFERROR(_xlfn.XLOOKUP(F2230,Apuração!A:A,Apuração!C:C)/_xlfn.XLOOKUP(F2230,Apuração!A:A,Apuração!B:B),0)</f>
        <v>0</v>
      </c>
      <c r="BP2230" s="53">
        <f ca="1">IFERROR(_xlfn.XLOOKUP(F2230,Apuração!A:A,Apuração!D:D)/_xlfn.XLOOKUP(F2230,Apuração!A:A,Apuração!B:B),0)</f>
        <v>0</v>
      </c>
      <c r="BQ2230" s="53">
        <f ca="1">IF(BK2230&gt;=BO2230,0,_xlfn.XLOOKUP(F2230,Apuração!A:A,Apuração!B:B)*(BO2230 + (1/_xlfn.XLOOKUP(F2230,Apuração!A:A,Apuração!B:B)) - BK2230))</f>
        <v>0</v>
      </c>
      <c r="BR2230" s="85">
        <f ca="1">IF(BQ2230=0,0,BQ2230*Z2230)</f>
        <v>0</v>
      </c>
      <c r="BS2230" s="53">
        <f ca="1">IFERROR((_xlfn.XLOOKUP(F2230,Apuração!A:A,Apuração!C:C)+1)/_xlfn.XLOOKUP(F2230,Apuração!A:A,Apuração!B:B),0)</f>
        <v>0.14285714285714285</v>
      </c>
    </row>
    <row r="2231" spans="1:71" ht="25.95" hidden="1" customHeight="1" x14ac:dyDescent="0.3">
      <c r="A2231" s="33" t="s">
        <v>175</v>
      </c>
      <c r="B2231" s="4" t="s">
        <v>194</v>
      </c>
      <c r="C2231" s="5" t="s">
        <v>216</v>
      </c>
      <c r="D2231" s="5" t="s">
        <v>217</v>
      </c>
      <c r="E2231" s="4" t="s">
        <v>96</v>
      </c>
      <c r="F2231" s="4" t="str" cm="1">
        <f t="array" ref="F2231">_xlfn.IFS(
AG2231 &lt;&gt; "", "Jan-Dez/26",
AH2231 &lt;&gt; "", "Fev-Dez/26",
AI2231 &lt;&gt; "", "Mar-Dez/26", AJ2231 &lt;&gt; "", "Abr-Dez/26",
TRUE, "A partir de Junho"
)</f>
        <v>A partir de Junho</v>
      </c>
      <c r="G2231" s="4" t="s">
        <v>62</v>
      </c>
      <c r="H2231" s="7" t="s">
        <v>38</v>
      </c>
      <c r="I2231" s="8" t="s">
        <v>177</v>
      </c>
      <c r="J2231" s="8" t="str" cm="1">
        <f t="array" aca="1" ref="J2231" ca="1">_xlfn.LET(
  _xlpm.actual_value_month, INDEX(T2231:AE2231, MATCH(DATE(YEAR(TODAY()), MONTH(TODAY()), 1), $T$1:$AE$1, 0)),
  IF(_xlpm.actual_value_month &lt;&gt; "", _xlpm.actual_value_month &amp; " ações mensais", "")
)</f>
        <v/>
      </c>
      <c r="K2231" s="8" t="str" cm="1">
        <f t="array" ref="K2231">_xlfn.LET(
    _xlpm.sum_month, SUM(T2231:AE2231),
    IF(_xlpm.sum_month = 0, "", _xlpm.sum_month &amp; " certificados gerados.")
)</f>
        <v/>
      </c>
      <c r="L2231" s="9" t="s">
        <v>195</v>
      </c>
      <c r="M2231" s="13">
        <v>1</v>
      </c>
      <c r="N2231" s="5" t="s">
        <v>42</v>
      </c>
      <c r="O2231" s="5" t="s">
        <v>43</v>
      </c>
      <c r="P2231" s="10" t="s">
        <v>146</v>
      </c>
      <c r="Q2231" s="10" t="s">
        <v>44</v>
      </c>
      <c r="R2231" s="11" t="s">
        <v>179</v>
      </c>
      <c r="S2231" s="11" t="s">
        <v>67</v>
      </c>
      <c r="T2231" s="22"/>
      <c r="U2231" s="22"/>
      <c r="V2231" s="22"/>
      <c r="W2231" s="22"/>
      <c r="X2231" s="22"/>
      <c r="Y2231" s="22"/>
      <c r="Z2231" s="22"/>
      <c r="AA2231" s="22"/>
      <c r="AB2231" s="22"/>
      <c r="AC2231" s="22"/>
      <c r="AD2231" s="22"/>
      <c r="AE2231" s="22"/>
      <c r="AG2231" s="71"/>
      <c r="AH2231" s="71"/>
      <c r="AI2231" s="71"/>
      <c r="AJ2231" s="71"/>
      <c r="AK2231" s="71"/>
      <c r="AL2231" s="71"/>
      <c r="AM2231" s="71"/>
      <c r="AN2231" s="71"/>
      <c r="AO2231" s="71"/>
      <c r="AP2231" s="71"/>
      <c r="AQ2231" s="71"/>
      <c r="AR2231" s="71"/>
      <c r="AS2231" s="94" t="str" cm="1">
        <f t="array" ref="AS2231">IFERROR(INDEX(T2231:AE2231,1,MATCH(2,1/(T2231:AE2231&lt;&gt;""))),"")</f>
        <v/>
      </c>
      <c r="AT2231" s="95" t="str" cm="1">
        <f t="array" ref="AT2231">IFERROR(INDEX(AJ2231:AR2231,1,MATCH(2,1/(AJ2231:AR2231&lt;&gt;""))),"")</f>
        <v/>
      </c>
      <c r="AU2231" s="97" t="str">
        <f t="shared" ref="AU2231:AU2234" si="2655">AT2231</f>
        <v/>
      </c>
      <c r="AW2231" s="51"/>
      <c r="AX2231" s="51"/>
      <c r="AY2231" s="51"/>
      <c r="AZ2231" s="51"/>
      <c r="BA2231" s="51"/>
      <c r="BB2231" s="51"/>
      <c r="BC2231" s="51"/>
      <c r="BD2231" s="51"/>
      <c r="BE2231" s="51"/>
      <c r="BF2231" s="51"/>
      <c r="BG2231" s="51"/>
      <c r="BH2231" s="51"/>
      <c r="BI2231" s="65" t="str" cm="1">
        <f t="array" ref="BI2231">IFERROR(INDEX(AW2231:BH2231,1,MATCH(2,1/(AW2231:BH2231&lt;&gt;""))),"")</f>
        <v/>
      </c>
      <c r="BJ2231" s="68" t="str" cm="1">
        <f t="array" ref="BJ2231">IF(BM2231 = "", "",IFERROR(INDEX(AW2231:BH2231,1,MATCH(2,1/(AW2231:BH2231&lt;&gt;""),1)-1),""))</f>
        <v/>
      </c>
      <c r="BK2231" s="58" t="str" cm="1">
        <f t="array" ref="BK2231">IFERROR(INDEX(AW2231:BH2231,1,MATCH(2,1/(AW2231:BH2231&lt;&gt;""))),"")</f>
        <v/>
      </c>
      <c r="BL2231" s="58" t="str" cm="1">
        <f t="array" ref="BL2231">IFERROR(INDEX(AW2231:BH2231,1,MATCH(2,1/(AW2231:BH2231&lt;&gt;""),1)-1),"")</f>
        <v/>
      </c>
      <c r="BM2231" s="55" t="str" cm="1">
        <f t="array" ref="BM2231">IFERROR(
   INDEX($AW$1:$BH$1,
      _xlfn.AGGREGATE(14, 6, COLUMN($AW$1:$BH$1)/(AW2231:BH2231&lt;&gt;""), 2) - COLUMN($AW$1) + 1
   ),
"")</f>
        <v/>
      </c>
      <c r="BN2231" s="55" t="str" cm="1">
        <f t="array" ref="BN2231">IFERROR(INDEX($AW$1:$BH$1,1,MATCH(2,1/(AW2231:BH2231&lt;&gt;""))),"")</f>
        <v/>
      </c>
      <c r="BO2231" s="53">
        <f ca="1">IFERROR(_xlfn.XLOOKUP(F2231,Apuração!A:A,Apuração!C:C)/_xlfn.XLOOKUP(F2231,Apuração!A:A,Apuração!B:B),0)</f>
        <v>0</v>
      </c>
      <c r="BP2231" s="53">
        <f ca="1">IFERROR(_xlfn.XLOOKUP(F2231,Apuração!A:A,Apuração!D:D)/_xlfn.XLOOKUP(F2231,Apuração!A:A,Apuração!B:B),0)</f>
        <v>0</v>
      </c>
      <c r="BQ2231" s="53">
        <f ca="1">IF(BK2231&gt;=BO2231,0,_xlfn.XLOOKUP(F2231,Apuração!A:A,Apuração!B:B)*(BO2231 + (1/_xlfn.XLOOKUP(F2231,Apuração!A:A,Apuração!B:B)) - BK2231))</f>
        <v>0</v>
      </c>
      <c r="BR2231" s="85">
        <f t="shared" ref="BR2231:BR2234" ca="1" si="2656">IF(BQ2231=0,0,BQ2231*Z2231)</f>
        <v>0</v>
      </c>
      <c r="BS2231" s="53">
        <f ca="1">IFERROR((_xlfn.XLOOKUP(F2231,Apuração!A:A,Apuração!C:C)+1)/_xlfn.XLOOKUP(F2231,Apuração!A:A,Apuração!B:B),0)</f>
        <v>0.14285714285714285</v>
      </c>
    </row>
    <row r="2232" spans="1:71" ht="25.95" hidden="1" customHeight="1" x14ac:dyDescent="0.3">
      <c r="A2232" s="33" t="s">
        <v>175</v>
      </c>
      <c r="B2232" s="4" t="s">
        <v>194</v>
      </c>
      <c r="C2232" s="5" t="s">
        <v>216</v>
      </c>
      <c r="D2232" s="5" t="s">
        <v>103</v>
      </c>
      <c r="E2232" s="4" t="s">
        <v>96</v>
      </c>
      <c r="F2232" s="4" t="str" cm="1">
        <f t="array" ref="F2232">_xlfn.IFS(
AG2232 &lt;&gt; "", "Jan-Dez/26",
AH2232 &lt;&gt; "", "Fev-Dez/26",
AI2232 &lt;&gt; "", "Mar-Dez/26", AJ2232 &lt;&gt; "", "Abr-Dez/26",
TRUE, "A partir de Junho"
)</f>
        <v>A partir de Junho</v>
      </c>
      <c r="G2232" s="4" t="s">
        <v>62</v>
      </c>
      <c r="H2232" s="7" t="s">
        <v>38</v>
      </c>
      <c r="I2232" s="8" t="s">
        <v>177</v>
      </c>
      <c r="J2232" s="8" t="str" cm="1">
        <f t="array" aca="1" ref="J2232" ca="1">_xlfn.LET(
  _xlpm.actual_value_month, INDEX(T2232:AE2232, MATCH(DATE(YEAR(TODAY()), MONTH(TODAY()), 1), $T$1:$AE$1, 0)),
  IF(_xlpm.actual_value_month &lt;&gt; "", _xlpm.actual_value_month &amp; " ações mensais", "")
)</f>
        <v/>
      </c>
      <c r="K2232" s="8" t="str" cm="1">
        <f t="array" ref="K2232">_xlfn.LET(
    _xlpm.sum_month, SUM(T2232:AE2232),
    IF(_xlpm.sum_month = 0, "", _xlpm.sum_month &amp; " certificados gerados.")
)</f>
        <v/>
      </c>
      <c r="L2232" s="9" t="s">
        <v>195</v>
      </c>
      <c r="M2232" s="13">
        <v>1</v>
      </c>
      <c r="N2232" s="5" t="s">
        <v>42</v>
      </c>
      <c r="O2232" s="5" t="s">
        <v>43</v>
      </c>
      <c r="P2232" s="10" t="s">
        <v>146</v>
      </c>
      <c r="Q2232" s="10" t="s">
        <v>44</v>
      </c>
      <c r="R2232" s="11" t="s">
        <v>179</v>
      </c>
      <c r="S2232" s="11" t="s">
        <v>67</v>
      </c>
      <c r="T2232" s="22"/>
      <c r="U2232" s="22"/>
      <c r="V2232" s="22"/>
      <c r="W2232" s="22"/>
      <c r="X2232" s="22"/>
      <c r="Y2232" s="22"/>
      <c r="Z2232" s="22"/>
      <c r="AA2232" s="22"/>
      <c r="AB2232" s="22"/>
      <c r="AC2232" s="22"/>
      <c r="AD2232" s="22"/>
      <c r="AE2232" s="22"/>
      <c r="AG2232" s="71"/>
      <c r="AH2232" s="71"/>
      <c r="AI2232" s="71"/>
      <c r="AJ2232" s="71"/>
      <c r="AK2232" s="71"/>
      <c r="AL2232" s="71"/>
      <c r="AM2232" s="71"/>
      <c r="AN2232" s="71"/>
      <c r="AO2232" s="71"/>
      <c r="AP2232" s="71"/>
      <c r="AQ2232" s="71"/>
      <c r="AR2232" s="71"/>
      <c r="AS2232" s="94" t="str" cm="1">
        <f t="array" ref="AS2232">IFERROR(INDEX(T2232:AE2232,1,MATCH(2,1/(T2232:AE2232&lt;&gt;""))),"")</f>
        <v/>
      </c>
      <c r="AT2232" s="95" t="str" cm="1">
        <f t="array" ref="AT2232">IFERROR(INDEX(AJ2232:AR2232,1,MATCH(2,1/(AJ2232:AR2232&lt;&gt;""))),"")</f>
        <v/>
      </c>
      <c r="AU2232" s="97" t="str">
        <f t="shared" si="2655"/>
        <v/>
      </c>
      <c r="AW2232" s="51"/>
      <c r="AX2232" s="51"/>
      <c r="AY2232" s="51"/>
      <c r="AZ2232" s="51"/>
      <c r="BA2232" s="51"/>
      <c r="BB2232" s="51"/>
      <c r="BC2232" s="51"/>
      <c r="BD2232" s="51"/>
      <c r="BE2232" s="51"/>
      <c r="BF2232" s="51"/>
      <c r="BG2232" s="51"/>
      <c r="BH2232" s="51"/>
      <c r="BI2232" s="65" t="str" cm="1">
        <f t="array" ref="BI2232">IFERROR(INDEX(AW2232:BH2232,1,MATCH(2,1/(AW2232:BH2232&lt;&gt;""))),"")</f>
        <v/>
      </c>
      <c r="BJ2232" s="68" t="str" cm="1">
        <f t="array" ref="BJ2232">IF(BM2232 = "", "",IFERROR(INDEX(AW2232:BH2232,1,MATCH(2,1/(AW2232:BH2232&lt;&gt;""),1)-1),""))</f>
        <v/>
      </c>
      <c r="BK2232" s="58" t="str" cm="1">
        <f t="array" ref="BK2232">IFERROR(INDEX(AW2232:BH2232,1,MATCH(2,1/(AW2232:BH2232&lt;&gt;""))),"")</f>
        <v/>
      </c>
      <c r="BL2232" s="58" t="str" cm="1">
        <f t="array" ref="BL2232">IFERROR(INDEX(AW2232:BH2232,1,MATCH(2,1/(AW2232:BH2232&lt;&gt;""),1)-1),"")</f>
        <v/>
      </c>
      <c r="BM2232" s="55" t="str" cm="1">
        <f t="array" ref="BM2232">IFERROR(
   INDEX($AW$1:$BH$1,
      _xlfn.AGGREGATE(14, 6, COLUMN($AW$1:$BH$1)/(AW2232:BH2232&lt;&gt;""), 2) - COLUMN($AW$1) + 1
   ),
"")</f>
        <v/>
      </c>
      <c r="BN2232" s="55" t="str" cm="1">
        <f t="array" ref="BN2232">IFERROR(INDEX($AW$1:$BH$1,1,MATCH(2,1/(AW2232:BH2232&lt;&gt;""))),"")</f>
        <v/>
      </c>
      <c r="BO2232" s="53">
        <f ca="1">IFERROR(_xlfn.XLOOKUP(F2232,Apuração!A:A,Apuração!C:C)/_xlfn.XLOOKUP(F2232,Apuração!A:A,Apuração!B:B),0)</f>
        <v>0</v>
      </c>
      <c r="BP2232" s="53">
        <f ca="1">IFERROR(_xlfn.XLOOKUP(F2232,Apuração!A:A,Apuração!D:D)/_xlfn.XLOOKUP(F2232,Apuração!A:A,Apuração!B:B),0)</f>
        <v>0</v>
      </c>
      <c r="BQ2232" s="53">
        <f ca="1">IF(BK2232&gt;=BO2232,0,_xlfn.XLOOKUP(F2232,Apuração!A:A,Apuração!B:B)*(BO2232 + (1/_xlfn.XLOOKUP(F2232,Apuração!A:A,Apuração!B:B)) - BK2232))</f>
        <v>0</v>
      </c>
      <c r="BR2232" s="85">
        <f t="shared" ca="1" si="2656"/>
        <v>0</v>
      </c>
      <c r="BS2232" s="53">
        <f ca="1">IFERROR((_xlfn.XLOOKUP(F2232,Apuração!A:A,Apuração!C:C)+1)/_xlfn.XLOOKUP(F2232,Apuração!A:A,Apuração!B:B),0)</f>
        <v>0.14285714285714285</v>
      </c>
    </row>
    <row r="2233" spans="1:71" ht="25.95" hidden="1" customHeight="1" x14ac:dyDescent="0.3">
      <c r="A2233" s="33" t="s">
        <v>175</v>
      </c>
      <c r="B2233" s="4" t="s">
        <v>194</v>
      </c>
      <c r="C2233" s="5" t="s">
        <v>216</v>
      </c>
      <c r="D2233" s="5" t="s">
        <v>218</v>
      </c>
      <c r="E2233" s="4" t="s">
        <v>96</v>
      </c>
      <c r="F2233" s="4" t="str" cm="1">
        <f t="array" ref="F2233">_xlfn.IFS(
AG2233 &lt;&gt; "", "Jan-Dez/26",
AH2233 &lt;&gt; "", "Fev-Dez/26",
AI2233 &lt;&gt; "", "Mar-Dez/26", AJ2233 &lt;&gt; "", "Abr-Dez/26",
TRUE, "A partir de Junho"
)</f>
        <v>A partir de Junho</v>
      </c>
      <c r="G2233" s="4" t="s">
        <v>62</v>
      </c>
      <c r="H2233" s="7" t="s">
        <v>38</v>
      </c>
      <c r="I2233" s="8" t="s">
        <v>177</v>
      </c>
      <c r="J2233" s="8" t="str" cm="1">
        <f t="array" aca="1" ref="J2233" ca="1">_xlfn.LET(
  _xlpm.actual_value_month, INDEX(T2233:AE2233, MATCH(DATE(YEAR(TODAY()), MONTH(TODAY()), 1), $T$1:$AE$1, 0)),
  IF(_xlpm.actual_value_month &lt;&gt; "", _xlpm.actual_value_month &amp; " ações mensais", "")
)</f>
        <v/>
      </c>
      <c r="K2233" s="8" t="str" cm="1">
        <f t="array" ref="K2233">_xlfn.LET(
    _xlpm.sum_month, SUM(T2233:AE2233),
    IF(_xlpm.sum_month = 0, "", _xlpm.sum_month &amp; " certificados gerados.")
)</f>
        <v/>
      </c>
      <c r="L2233" s="9" t="s">
        <v>195</v>
      </c>
      <c r="M2233" s="13">
        <v>1</v>
      </c>
      <c r="N2233" s="5" t="s">
        <v>42</v>
      </c>
      <c r="O2233" s="5" t="s">
        <v>43</v>
      </c>
      <c r="P2233" s="10" t="s">
        <v>146</v>
      </c>
      <c r="Q2233" s="10" t="s">
        <v>44</v>
      </c>
      <c r="R2233" s="11" t="s">
        <v>179</v>
      </c>
      <c r="S2233" s="11" t="s">
        <v>67</v>
      </c>
      <c r="T2233" s="22"/>
      <c r="U2233" s="22"/>
      <c r="V2233" s="22"/>
      <c r="W2233" s="22"/>
      <c r="X2233" s="22"/>
      <c r="Y2233" s="22"/>
      <c r="Z2233" s="22"/>
      <c r="AA2233" s="22"/>
      <c r="AB2233" s="22"/>
      <c r="AC2233" s="22"/>
      <c r="AD2233" s="22"/>
      <c r="AE2233" s="22"/>
      <c r="AG2233" s="71"/>
      <c r="AH2233" s="71"/>
      <c r="AI2233" s="71"/>
      <c r="AJ2233" s="71"/>
      <c r="AK2233" s="71"/>
      <c r="AL2233" s="71"/>
      <c r="AM2233" s="71"/>
      <c r="AN2233" s="71"/>
      <c r="AO2233" s="71"/>
      <c r="AP2233" s="71"/>
      <c r="AQ2233" s="71"/>
      <c r="AR2233" s="71"/>
      <c r="AS2233" s="94" t="str" cm="1">
        <f t="array" ref="AS2233">IFERROR(INDEX(T2233:AE2233,1,MATCH(2,1/(T2233:AE2233&lt;&gt;""))),"")</f>
        <v/>
      </c>
      <c r="AT2233" s="95" t="str" cm="1">
        <f t="array" ref="AT2233">IFERROR(INDEX(AJ2233:AR2233,1,MATCH(2,1/(AJ2233:AR2233&lt;&gt;""))),"")</f>
        <v/>
      </c>
      <c r="AU2233" s="97" t="str">
        <f t="shared" si="2655"/>
        <v/>
      </c>
      <c r="AW2233" s="51"/>
      <c r="AX2233" s="51"/>
      <c r="AY2233" s="51"/>
      <c r="AZ2233" s="51"/>
      <c r="BA2233" s="51"/>
      <c r="BB2233" s="51"/>
      <c r="BC2233" s="51"/>
      <c r="BD2233" s="51"/>
      <c r="BE2233" s="51"/>
      <c r="BF2233" s="51"/>
      <c r="BG2233" s="51"/>
      <c r="BH2233" s="51"/>
      <c r="BI2233" s="65" t="str" cm="1">
        <f t="array" ref="BI2233">IFERROR(INDEX(AW2233:BH2233,1,MATCH(2,1/(AW2233:BH2233&lt;&gt;""))),"")</f>
        <v/>
      </c>
      <c r="BJ2233" s="68" t="str" cm="1">
        <f t="array" ref="BJ2233">IF(BM2233 = "", "",IFERROR(INDEX(AW2233:BH2233,1,MATCH(2,1/(AW2233:BH2233&lt;&gt;""),1)-1),""))</f>
        <v/>
      </c>
      <c r="BK2233" s="58" t="str" cm="1">
        <f t="array" ref="BK2233">IFERROR(INDEX(AW2233:BH2233,1,MATCH(2,1/(AW2233:BH2233&lt;&gt;""))),"")</f>
        <v/>
      </c>
      <c r="BL2233" s="58" t="str" cm="1">
        <f t="array" ref="BL2233">IFERROR(INDEX(AW2233:BH2233,1,MATCH(2,1/(AW2233:BH2233&lt;&gt;""),1)-1),"")</f>
        <v/>
      </c>
      <c r="BM2233" s="55" t="str" cm="1">
        <f t="array" ref="BM2233">IFERROR(
   INDEX($AW$1:$BH$1,
      _xlfn.AGGREGATE(14, 6, COLUMN($AW$1:$BH$1)/(AW2233:BH2233&lt;&gt;""), 2) - COLUMN($AW$1) + 1
   ),
"")</f>
        <v/>
      </c>
      <c r="BN2233" s="55" t="str" cm="1">
        <f t="array" ref="BN2233">IFERROR(INDEX($AW$1:$BH$1,1,MATCH(2,1/(AW2233:BH2233&lt;&gt;""))),"")</f>
        <v/>
      </c>
      <c r="BO2233" s="53">
        <f ca="1">IFERROR(_xlfn.XLOOKUP(F2233,Apuração!A:A,Apuração!C:C)/_xlfn.XLOOKUP(F2233,Apuração!A:A,Apuração!B:B),0)</f>
        <v>0</v>
      </c>
      <c r="BP2233" s="53">
        <f ca="1">IFERROR(_xlfn.XLOOKUP(F2233,Apuração!A:A,Apuração!D:D)/_xlfn.XLOOKUP(F2233,Apuração!A:A,Apuração!B:B),0)</f>
        <v>0</v>
      </c>
      <c r="BQ2233" s="53">
        <f ca="1">IF(BK2233&gt;=BO2233,0,_xlfn.XLOOKUP(F2233,Apuração!A:A,Apuração!B:B)*(BO2233 + (1/_xlfn.XLOOKUP(F2233,Apuração!A:A,Apuração!B:B)) - BK2233))</f>
        <v>0</v>
      </c>
      <c r="BR2233" s="85">
        <f t="shared" ca="1" si="2656"/>
        <v>0</v>
      </c>
      <c r="BS2233" s="53">
        <f ca="1">IFERROR((_xlfn.XLOOKUP(F2233,Apuração!A:A,Apuração!C:C)+1)/_xlfn.XLOOKUP(F2233,Apuração!A:A,Apuração!B:B),0)</f>
        <v>0.14285714285714285</v>
      </c>
    </row>
    <row r="2234" spans="1:71" ht="25.95" hidden="1" customHeight="1" x14ac:dyDescent="0.3">
      <c r="A2234" s="33" t="s">
        <v>175</v>
      </c>
      <c r="B2234" s="4" t="s">
        <v>194</v>
      </c>
      <c r="C2234" s="5" t="s">
        <v>216</v>
      </c>
      <c r="D2234" s="5" t="s">
        <v>219</v>
      </c>
      <c r="E2234" s="4" t="s">
        <v>96</v>
      </c>
      <c r="F2234" s="4" t="str" cm="1">
        <f t="array" ref="F2234">_xlfn.IFS(
AG2234 &lt;&gt; "", "Jan-Dez/26",
AH2234 &lt;&gt; "", "Fev-Dez/26",
AI2234 &lt;&gt; "", "Mar-Dez/26", AJ2234 &lt;&gt; "", "Abr-Dez/26",
TRUE, "A partir de Junho"
)</f>
        <v>A partir de Junho</v>
      </c>
      <c r="G2234" s="4" t="s">
        <v>62</v>
      </c>
      <c r="H2234" s="7" t="s">
        <v>38</v>
      </c>
      <c r="I2234" s="8" t="s">
        <v>177</v>
      </c>
      <c r="J2234" s="8" t="str" cm="1">
        <f t="array" aca="1" ref="J2234" ca="1">_xlfn.LET(
  _xlpm.actual_value_month, INDEX(T2234:AE2234, MATCH(DATE(YEAR(TODAY()), MONTH(TODAY()), 1), $T$1:$AE$1, 0)),
  IF(_xlpm.actual_value_month &lt;&gt; "", _xlpm.actual_value_month &amp; " ações mensais", "")
)</f>
        <v/>
      </c>
      <c r="K2234" s="8" t="str" cm="1">
        <f t="array" ref="K2234">_xlfn.LET(
    _xlpm.sum_month, SUM(T2234:AE2234),
    IF(_xlpm.sum_month = 0, "", _xlpm.sum_month &amp; " certificados gerados.")
)</f>
        <v/>
      </c>
      <c r="L2234" s="9" t="s">
        <v>195</v>
      </c>
      <c r="M2234" s="13">
        <v>1</v>
      </c>
      <c r="N2234" s="5" t="s">
        <v>42</v>
      </c>
      <c r="O2234" s="5" t="s">
        <v>43</v>
      </c>
      <c r="P2234" s="10" t="s">
        <v>146</v>
      </c>
      <c r="Q2234" s="10" t="s">
        <v>44</v>
      </c>
      <c r="R2234" s="11" t="s">
        <v>179</v>
      </c>
      <c r="S2234" s="11" t="s">
        <v>67</v>
      </c>
      <c r="T2234" s="22"/>
      <c r="U2234" s="22"/>
      <c r="V2234" s="22"/>
      <c r="W2234" s="22"/>
      <c r="X2234" s="22"/>
      <c r="Y2234" s="22"/>
      <c r="Z2234" s="22"/>
      <c r="AA2234" s="22"/>
      <c r="AB2234" s="22"/>
      <c r="AC2234" s="22"/>
      <c r="AD2234" s="22"/>
      <c r="AE2234" s="22"/>
      <c r="AG2234" s="71"/>
      <c r="AH2234" s="71"/>
      <c r="AI2234" s="71"/>
      <c r="AJ2234" s="71"/>
      <c r="AK2234" s="71"/>
      <c r="AL2234" s="71"/>
      <c r="AM2234" s="71"/>
      <c r="AN2234" s="71"/>
      <c r="AO2234" s="71"/>
      <c r="AP2234" s="71"/>
      <c r="AQ2234" s="71"/>
      <c r="AR2234" s="71"/>
      <c r="AS2234" s="94" t="str" cm="1">
        <f t="array" ref="AS2234">IFERROR(INDEX(T2234:AE2234,1,MATCH(2,1/(T2234:AE2234&lt;&gt;""))),"")</f>
        <v/>
      </c>
      <c r="AT2234" s="95" t="str" cm="1">
        <f t="array" ref="AT2234">IFERROR(INDEX(AJ2234:AR2234,1,MATCH(2,1/(AJ2234:AR2234&lt;&gt;""))),"")</f>
        <v/>
      </c>
      <c r="AU2234" s="97" t="str">
        <f t="shared" si="2655"/>
        <v/>
      </c>
      <c r="AW2234" s="51"/>
      <c r="AX2234" s="51"/>
      <c r="AY2234" s="51"/>
      <c r="AZ2234" s="51"/>
      <c r="BA2234" s="51"/>
      <c r="BB2234" s="51"/>
      <c r="BC2234" s="51"/>
      <c r="BD2234" s="51"/>
      <c r="BE2234" s="51"/>
      <c r="BF2234" s="51"/>
      <c r="BG2234" s="51"/>
      <c r="BH2234" s="51"/>
      <c r="BI2234" s="65" t="str" cm="1">
        <f t="array" ref="BI2234">IFERROR(INDEX(AW2234:BH2234,1,MATCH(2,1/(AW2234:BH2234&lt;&gt;""))),"")</f>
        <v/>
      </c>
      <c r="BJ2234" s="68" t="str" cm="1">
        <f t="array" ref="BJ2234">IF(BM2234 = "", "",IFERROR(INDEX(AW2234:BH2234,1,MATCH(2,1/(AW2234:BH2234&lt;&gt;""),1)-1),""))</f>
        <v/>
      </c>
      <c r="BK2234" s="58" t="str" cm="1">
        <f t="array" ref="BK2234">IFERROR(INDEX(AW2234:BH2234,1,MATCH(2,1/(AW2234:BH2234&lt;&gt;""))),"")</f>
        <v/>
      </c>
      <c r="BL2234" s="58" t="str" cm="1">
        <f t="array" ref="BL2234">IFERROR(INDEX(AW2234:BH2234,1,MATCH(2,1/(AW2234:BH2234&lt;&gt;""),1)-1),"")</f>
        <v/>
      </c>
      <c r="BM2234" s="55" t="str" cm="1">
        <f t="array" ref="BM2234">IFERROR(
   INDEX($AW$1:$BH$1,
      _xlfn.AGGREGATE(14, 6, COLUMN($AW$1:$BH$1)/(AW2234:BH2234&lt;&gt;""), 2) - COLUMN($AW$1) + 1
   ),
"")</f>
        <v/>
      </c>
      <c r="BN2234" s="55" t="str" cm="1">
        <f t="array" ref="BN2234">IFERROR(INDEX($AW$1:$BH$1,1,MATCH(2,1/(AW2234:BH2234&lt;&gt;""))),"")</f>
        <v/>
      </c>
      <c r="BO2234" s="53">
        <f ca="1">IFERROR(_xlfn.XLOOKUP(F2234,Apuração!A:A,Apuração!C:C)/_xlfn.XLOOKUP(F2234,Apuração!A:A,Apuração!B:B),0)</f>
        <v>0</v>
      </c>
      <c r="BP2234" s="53">
        <f ca="1">IFERROR(_xlfn.XLOOKUP(F2234,Apuração!A:A,Apuração!D:D)/_xlfn.XLOOKUP(F2234,Apuração!A:A,Apuração!B:B),0)</f>
        <v>0</v>
      </c>
      <c r="BQ2234" s="53">
        <f ca="1">IF(BK2234&gt;=BO2234,0,_xlfn.XLOOKUP(F2234,Apuração!A:A,Apuração!B:B)*(BO2234 + (1/_xlfn.XLOOKUP(F2234,Apuração!A:A,Apuração!B:B)) - BK2234))</f>
        <v>0</v>
      </c>
      <c r="BR2234" s="85">
        <f t="shared" ca="1" si="2656"/>
        <v>0</v>
      </c>
      <c r="BS2234" s="53">
        <f ca="1">IFERROR((_xlfn.XLOOKUP(F2234,Apuração!A:A,Apuração!C:C)+1)/_xlfn.XLOOKUP(F2234,Apuração!A:A,Apuração!B:B),0)</f>
        <v>0.14285714285714285</v>
      </c>
    </row>
    <row r="2235" spans="1:71" ht="25.95" hidden="1" customHeight="1" x14ac:dyDescent="0.3">
      <c r="A2235" s="44" t="s">
        <v>175</v>
      </c>
      <c r="B2235" s="4" t="s">
        <v>194</v>
      </c>
      <c r="C2235" s="5" t="s">
        <v>216</v>
      </c>
      <c r="D2235" s="5" t="s">
        <v>36</v>
      </c>
      <c r="E2235" s="4" t="s">
        <v>96</v>
      </c>
      <c r="F2235" s="4" t="str" cm="1">
        <f t="array" ref="F2235">_xlfn.IFS(
AG2235 &lt;&gt; "", "Jan-Dez/26",
AH2235 &lt;&gt; "", "Fev-Dez/26",
AI2235 &lt;&gt; "", "Mar-Dez/26", AJ2235 &lt;&gt; "", "Abr-Dez/26",
TRUE, "A partir de Junho"
)</f>
        <v>A partir de Junho</v>
      </c>
      <c r="G2235" s="4" t="s">
        <v>62</v>
      </c>
      <c r="H2235" s="7" t="s">
        <v>38</v>
      </c>
      <c r="I2235" s="21" t="s">
        <v>180</v>
      </c>
      <c r="J2235" s="8" t="str" cm="1">
        <f t="array" aca="1" ref="J2235" ca="1">_xlfn.LET(
  _xlpm.actual_value_month, INDEX(T2235:AE2235, MATCH(DATE(YEAR(TODAY()), MONTH(TODAY()), 1), $T$1:$AE$1, 0)),
  IF(_xlpm.actual_value_month &lt;&gt; "", _xlpm.actual_value_month &amp; " ações mensais", "")
)</f>
        <v/>
      </c>
      <c r="K2235" s="34" t="str" cm="1">
        <f t="array" ref="K2235">_xlfn.LET(
    _xlpm.sum_month, SUM(T2235:AE2235),
    IF(_xlpm.sum_month = 0, "", _xlpm.sum_month &amp; " colaboradores treinados.")
)</f>
        <v/>
      </c>
      <c r="L2235" s="9" t="s">
        <v>196</v>
      </c>
      <c r="M2235" s="13">
        <v>1</v>
      </c>
      <c r="N2235" s="5" t="s">
        <v>51</v>
      </c>
      <c r="O2235" s="5" t="s">
        <v>52</v>
      </c>
      <c r="P2235" s="10" t="s">
        <v>146</v>
      </c>
      <c r="Q2235" s="10" t="s">
        <v>44</v>
      </c>
      <c r="R2235" s="11" t="s">
        <v>44</v>
      </c>
      <c r="S2235" s="11" t="s">
        <v>44</v>
      </c>
      <c r="T2235" s="22"/>
      <c r="U2235" s="22"/>
      <c r="V2235" s="22"/>
      <c r="W2235" s="22"/>
      <c r="X2235" s="22"/>
      <c r="Y2235" s="22"/>
      <c r="Z2235" s="22"/>
      <c r="AA2235" s="22"/>
      <c r="AB2235" s="22"/>
      <c r="AC2235" s="22"/>
      <c r="AD2235" s="22"/>
      <c r="AE2235" s="22"/>
      <c r="AG2235" s="71"/>
      <c r="AH2235" s="71"/>
      <c r="AI2235" s="71"/>
      <c r="AJ2235" s="71"/>
      <c r="AK2235" s="71"/>
      <c r="AL2235" s="71"/>
      <c r="AM2235" s="71"/>
      <c r="AN2235" s="71"/>
      <c r="AO2235" s="71"/>
      <c r="AP2235" s="71"/>
      <c r="AQ2235" s="71"/>
      <c r="AR2235" s="71"/>
      <c r="AS2235" s="94" t="str" cm="1">
        <f t="array" ref="AS2235">IFERROR(INDEX(T2235:AE2235,1,MATCH(2,1/(T2235:AE2235&lt;&gt;""))),"")</f>
        <v/>
      </c>
      <c r="AT2235" s="95" t="str" cm="1">
        <f t="array" ref="AT2235">IFERROR(INDEX(AJ2235:AR2235,1,MATCH(2,1/(AJ2235:AR2235&lt;&gt;""))),"")</f>
        <v/>
      </c>
      <c r="AU2235" s="97" t="str">
        <f>AT2235</f>
        <v/>
      </c>
      <c r="AW2235" s="52">
        <f>AG2235</f>
        <v>0</v>
      </c>
      <c r="AX2235" s="52"/>
      <c r="AY2235" s="52"/>
      <c r="AZ2235" s="52"/>
      <c r="BA2235" s="52"/>
      <c r="BB2235" s="52"/>
      <c r="BC2235" s="52"/>
      <c r="BD2235" s="52"/>
      <c r="BE2235" s="52"/>
      <c r="BF2235" s="52"/>
      <c r="BG2235" s="52"/>
      <c r="BH2235" s="52"/>
      <c r="BI2235" s="68" cm="1">
        <f t="array" ref="BI2235">IFERROR(INDEX(AW2235:BH2235,1,MATCH(2,1/(AW2235:BH2235&lt;&gt;""))),"")</f>
        <v>0</v>
      </c>
      <c r="BJ2235" s="68" t="str" cm="1">
        <f t="array" ref="BJ2235">IF(BM2235 = "", "",IFERROR(INDEX(AW2235:BH2235,1,MATCH(2,1/(AW2235:BH2235&lt;&gt;""),1)-1),""))</f>
        <v/>
      </c>
      <c r="BK2235" s="59">
        <f>SUM(AW2235:BH2235)</f>
        <v>0</v>
      </c>
      <c r="BL2235" s="59" cm="1">
        <f t="array" ref="BL2235">IFERROR(SUM(AW2235:INDEX(AW2235:BH2235, MATCH(2, 1/(AW2235:BH2235&lt;&gt;""), 1) - 1))/_xlfn.XLOOKUP(F2235,Apuração!A:A,Apuração!B:B),0)</f>
        <v>0</v>
      </c>
      <c r="BM2235" s="55" t="str" cm="1">
        <f t="array" ref="BM2235">IFERROR(
   INDEX($AW$1:$BH$1,
      _xlfn.AGGREGATE(14, 6, COLUMN($AW$1:$BH$1)/(AW2235:BH2235&lt;&gt;""), 2) - COLUMN($AW$1) + 1
   ),
"")</f>
        <v/>
      </c>
      <c r="BN2235" s="55" cm="1">
        <f t="array" ref="BN2235">IFERROR(INDEX($AW$1:$BH$1,1,MATCH(2,1/(AW2235:BH2235&lt;&gt;""))),"")</f>
        <v>46023</v>
      </c>
      <c r="BO2235" s="53">
        <f ca="1">IFERROR(_xlfn.XLOOKUP(F2235,Apuração!A:A,Apuração!C:C)/_xlfn.XLOOKUP(F2235,Apuração!A:A,Apuração!B:B),0)</f>
        <v>0</v>
      </c>
      <c r="BP2235" s="53">
        <f ca="1">IFERROR(_xlfn.XLOOKUP(F2235,Apuração!A:A,Apuração!D:D)/_xlfn.XLOOKUP(F2235,Apuração!A:A,Apuração!B:B),0)</f>
        <v>0</v>
      </c>
      <c r="BQ2235" s="53">
        <f ca="1">IF(BK2235&gt;=BO2235,0,_xlfn.XLOOKUP(F2235,Apuração!A:A,Apuração!B:B)*(BO2235 + (1/_xlfn.XLOOKUP(F2235,Apuração!A:A,Apuração!B:B)) - BK2235))</f>
        <v>0</v>
      </c>
      <c r="BR2235" s="85">
        <f ca="1">IF(BQ2235=0,0,BQ2235*Z2235)</f>
        <v>0</v>
      </c>
      <c r="BS2235" s="53">
        <f ca="1">IFERROR((_xlfn.XLOOKUP(F2235,Apuração!A:A,Apuração!C:C)+1)/_xlfn.XLOOKUP(F2235,Apuração!A:A,Apuração!B:B),0)</f>
        <v>0.14285714285714285</v>
      </c>
    </row>
    <row r="2236" spans="1:71" ht="25.95" hidden="1" customHeight="1" x14ac:dyDescent="0.3">
      <c r="A2236" s="44" t="s">
        <v>175</v>
      </c>
      <c r="B2236" s="4" t="s">
        <v>194</v>
      </c>
      <c r="C2236" s="5" t="s">
        <v>216</v>
      </c>
      <c r="D2236" s="5" t="s">
        <v>217</v>
      </c>
      <c r="E2236" s="4" t="s">
        <v>96</v>
      </c>
      <c r="F2236" s="4" t="str" cm="1">
        <f t="array" ref="F2236">_xlfn.IFS(
AG2236 &lt;&gt; "", "Jan-Dez/26",
AH2236 &lt;&gt; "", "Fev-Dez/26",
AI2236 &lt;&gt; "", "Mar-Dez/26", AJ2236 &lt;&gt; "", "Abr-Dez/26",
TRUE, "A partir de Junho"
)</f>
        <v>A partir de Junho</v>
      </c>
      <c r="G2236" s="4" t="s">
        <v>62</v>
      </c>
      <c r="H2236" s="7" t="s">
        <v>38</v>
      </c>
      <c r="I2236" s="21" t="s">
        <v>180</v>
      </c>
      <c r="J2236" s="8" t="str" cm="1">
        <f t="array" aca="1" ref="J2236" ca="1">_xlfn.LET(
  _xlpm.actual_value_month, INDEX(T2236:AE2236, MATCH(DATE(YEAR(TODAY()), MONTH(TODAY()), 1), $T$1:$AE$1, 0)),
  IF(_xlpm.actual_value_month &lt;&gt; "", _xlpm.actual_value_month &amp; " ações mensais", "")
)</f>
        <v/>
      </c>
      <c r="K2236" s="34" t="str" cm="1">
        <f t="array" ref="K2236">_xlfn.LET(
    _xlpm.sum_month, SUM(T2236:AE2236),
    IF(_xlpm.sum_month = 0, "", _xlpm.sum_month &amp; " colaboradores treinados.")
)</f>
        <v/>
      </c>
      <c r="L2236" s="9" t="s">
        <v>196</v>
      </c>
      <c r="M2236" s="13">
        <v>1</v>
      </c>
      <c r="N2236" s="5" t="s">
        <v>51</v>
      </c>
      <c r="O2236" s="5" t="s">
        <v>52</v>
      </c>
      <c r="P2236" s="10" t="s">
        <v>146</v>
      </c>
      <c r="Q2236" s="10" t="s">
        <v>44</v>
      </c>
      <c r="R2236" s="11" t="s">
        <v>44</v>
      </c>
      <c r="S2236" s="11" t="s">
        <v>44</v>
      </c>
      <c r="T2236" s="22"/>
      <c r="U2236" s="22"/>
      <c r="V2236" s="22"/>
      <c r="W2236" s="22"/>
      <c r="X2236" s="22"/>
      <c r="Y2236" s="22"/>
      <c r="Z2236" s="22"/>
      <c r="AA2236" s="22"/>
      <c r="AB2236" s="22"/>
      <c r="AC2236" s="22"/>
      <c r="AD2236" s="22"/>
      <c r="AE2236" s="22"/>
      <c r="AG2236" s="71"/>
      <c r="AH2236" s="71"/>
      <c r="AI2236" s="71"/>
      <c r="AJ2236" s="71"/>
      <c r="AK2236" s="71"/>
      <c r="AL2236" s="71"/>
      <c r="AM2236" s="71"/>
      <c r="AN2236" s="71"/>
      <c r="AO2236" s="71"/>
      <c r="AP2236" s="71"/>
      <c r="AQ2236" s="71"/>
      <c r="AR2236" s="71"/>
      <c r="AS2236" s="94" t="str" cm="1">
        <f t="array" ref="AS2236">IFERROR(INDEX(T2236:AE2236,1,MATCH(2,1/(T2236:AE2236&lt;&gt;""))),"")</f>
        <v/>
      </c>
      <c r="AT2236" s="95" t="str" cm="1">
        <f t="array" ref="AT2236">IFERROR(INDEX(AJ2236:AR2236,1,MATCH(2,1/(AJ2236:AR2236&lt;&gt;""))),"")</f>
        <v/>
      </c>
      <c r="AU2236" s="97" t="str">
        <f t="shared" ref="AU2236:AU2239" si="2657">AT2236</f>
        <v/>
      </c>
      <c r="AW2236" s="52">
        <f t="shared" ref="AW2236:AW2239" si="2658">AG2236</f>
        <v>0</v>
      </c>
      <c r="AX2236" s="52"/>
      <c r="AY2236" s="52"/>
      <c r="AZ2236" s="52"/>
      <c r="BA2236" s="52"/>
      <c r="BB2236" s="52"/>
      <c r="BC2236" s="52"/>
      <c r="BD2236" s="52"/>
      <c r="BE2236" s="52"/>
      <c r="BF2236" s="52"/>
      <c r="BG2236" s="52"/>
      <c r="BH2236" s="52"/>
      <c r="BI2236" s="68" cm="1">
        <f t="array" ref="BI2236">IFERROR(INDEX(AW2236:BH2236,1,MATCH(2,1/(AW2236:BH2236&lt;&gt;""))),"")</f>
        <v>0</v>
      </c>
      <c r="BJ2236" s="68" t="str" cm="1">
        <f t="array" ref="BJ2236">IF(BM2236 = "", "",IFERROR(INDEX(AW2236:BH2236,1,MATCH(2,1/(AW2236:BH2236&lt;&gt;""),1)-1),""))</f>
        <v/>
      </c>
      <c r="BK2236" s="59">
        <f t="shared" ref="BK2236:BK2239" si="2659">SUM(AW2236:BH2236)</f>
        <v>0</v>
      </c>
      <c r="BL2236" s="59" cm="1">
        <f t="array" ref="BL2236">IFERROR(SUM(AW2236:INDEX(AW2236:BH2236, MATCH(2, 1/(AW2236:BH2236&lt;&gt;""), 1) - 1))/_xlfn.XLOOKUP(F2236,Apuração!A:A,Apuração!B:B),0)</f>
        <v>0</v>
      </c>
      <c r="BM2236" s="55" t="str" cm="1">
        <f t="array" ref="BM2236">IFERROR(
   INDEX($AW$1:$BH$1,
      _xlfn.AGGREGATE(14, 6, COLUMN($AW$1:$BH$1)/(AW2236:BH2236&lt;&gt;""), 2) - COLUMN($AW$1) + 1
   ),
"")</f>
        <v/>
      </c>
      <c r="BN2236" s="55" cm="1">
        <f t="array" ref="BN2236">IFERROR(INDEX($AW$1:$BH$1,1,MATCH(2,1/(AW2236:BH2236&lt;&gt;""))),"")</f>
        <v>46023</v>
      </c>
      <c r="BO2236" s="53">
        <f ca="1">IFERROR(_xlfn.XLOOKUP(F2236,Apuração!A:A,Apuração!C:C)/_xlfn.XLOOKUP(F2236,Apuração!A:A,Apuração!B:B),0)</f>
        <v>0</v>
      </c>
      <c r="BP2236" s="53">
        <f ca="1">IFERROR(_xlfn.XLOOKUP(F2236,Apuração!A:A,Apuração!D:D)/_xlfn.XLOOKUP(F2236,Apuração!A:A,Apuração!B:B),0)</f>
        <v>0</v>
      </c>
      <c r="BQ2236" s="53">
        <f ca="1">IF(BK2236&gt;=BO2236,0,_xlfn.XLOOKUP(F2236,Apuração!A:A,Apuração!B:B)*(BO2236 + (1/_xlfn.XLOOKUP(F2236,Apuração!A:A,Apuração!B:B)) - BK2236))</f>
        <v>0</v>
      </c>
      <c r="BR2236" s="85">
        <f t="shared" ref="BR2236:BR2239" ca="1" si="2660">IF(BQ2236=0,0,BQ2236*Z2236)</f>
        <v>0</v>
      </c>
      <c r="BS2236" s="53">
        <f ca="1">IFERROR((_xlfn.XLOOKUP(F2236,Apuração!A:A,Apuração!C:C)+1)/_xlfn.XLOOKUP(F2236,Apuração!A:A,Apuração!B:B),0)</f>
        <v>0.14285714285714285</v>
      </c>
    </row>
    <row r="2237" spans="1:71" ht="25.95" hidden="1" customHeight="1" x14ac:dyDescent="0.3">
      <c r="A2237" s="44" t="s">
        <v>175</v>
      </c>
      <c r="B2237" s="4" t="s">
        <v>194</v>
      </c>
      <c r="C2237" s="5" t="s">
        <v>216</v>
      </c>
      <c r="D2237" s="5" t="s">
        <v>103</v>
      </c>
      <c r="E2237" s="4" t="s">
        <v>96</v>
      </c>
      <c r="F2237" s="4" t="str" cm="1">
        <f t="array" ref="F2237">_xlfn.IFS(
AG2237 &lt;&gt; "", "Jan-Dez/26",
AH2237 &lt;&gt; "", "Fev-Dez/26",
AI2237 &lt;&gt; "", "Mar-Dez/26", AJ2237 &lt;&gt; "", "Abr-Dez/26",
TRUE, "A partir de Junho"
)</f>
        <v>A partir de Junho</v>
      </c>
      <c r="G2237" s="4" t="s">
        <v>62</v>
      </c>
      <c r="H2237" s="7" t="s">
        <v>38</v>
      </c>
      <c r="I2237" s="21" t="s">
        <v>180</v>
      </c>
      <c r="J2237" s="8" t="str" cm="1">
        <f t="array" aca="1" ref="J2237" ca="1">_xlfn.LET(
  _xlpm.actual_value_month, INDEX(T2237:AE2237, MATCH(DATE(YEAR(TODAY()), MONTH(TODAY()), 1), $T$1:$AE$1, 0)),
  IF(_xlpm.actual_value_month &lt;&gt; "", _xlpm.actual_value_month &amp; " ações mensais", "")
)</f>
        <v/>
      </c>
      <c r="K2237" s="34" t="str" cm="1">
        <f t="array" ref="K2237">_xlfn.LET(
    _xlpm.sum_month, SUM(T2237:AE2237),
    IF(_xlpm.sum_month = 0, "", _xlpm.sum_month &amp; " colaboradores treinados.")
)</f>
        <v/>
      </c>
      <c r="L2237" s="9" t="s">
        <v>196</v>
      </c>
      <c r="M2237" s="13">
        <v>1</v>
      </c>
      <c r="N2237" s="5" t="s">
        <v>51</v>
      </c>
      <c r="O2237" s="5" t="s">
        <v>52</v>
      </c>
      <c r="P2237" s="10" t="s">
        <v>146</v>
      </c>
      <c r="Q2237" s="10" t="s">
        <v>44</v>
      </c>
      <c r="R2237" s="11" t="s">
        <v>44</v>
      </c>
      <c r="S2237" s="11" t="s">
        <v>44</v>
      </c>
      <c r="T2237" s="22"/>
      <c r="U2237" s="22"/>
      <c r="V2237" s="22"/>
      <c r="W2237" s="22"/>
      <c r="X2237" s="22"/>
      <c r="Y2237" s="22"/>
      <c r="Z2237" s="22"/>
      <c r="AA2237" s="22"/>
      <c r="AB2237" s="22"/>
      <c r="AC2237" s="22"/>
      <c r="AD2237" s="22"/>
      <c r="AE2237" s="22"/>
      <c r="AG2237" s="71"/>
      <c r="AH2237" s="71"/>
      <c r="AI2237" s="71"/>
      <c r="AJ2237" s="71"/>
      <c r="AK2237" s="71"/>
      <c r="AL2237" s="71"/>
      <c r="AM2237" s="71"/>
      <c r="AN2237" s="71"/>
      <c r="AO2237" s="71"/>
      <c r="AP2237" s="71"/>
      <c r="AQ2237" s="71"/>
      <c r="AR2237" s="71"/>
      <c r="AS2237" s="94" t="str" cm="1">
        <f t="array" ref="AS2237">IFERROR(INDEX(T2237:AE2237,1,MATCH(2,1/(T2237:AE2237&lt;&gt;""))),"")</f>
        <v/>
      </c>
      <c r="AT2237" s="95" t="str" cm="1">
        <f t="array" ref="AT2237">IFERROR(INDEX(AJ2237:AR2237,1,MATCH(2,1/(AJ2237:AR2237&lt;&gt;""))),"")</f>
        <v/>
      </c>
      <c r="AU2237" s="97" t="str">
        <f t="shared" si="2657"/>
        <v/>
      </c>
      <c r="AW2237" s="52">
        <f t="shared" si="2658"/>
        <v>0</v>
      </c>
      <c r="AX2237" s="52"/>
      <c r="AY2237" s="52"/>
      <c r="AZ2237" s="52"/>
      <c r="BA2237" s="52"/>
      <c r="BB2237" s="52"/>
      <c r="BC2237" s="52"/>
      <c r="BD2237" s="52"/>
      <c r="BE2237" s="52"/>
      <c r="BF2237" s="52"/>
      <c r="BG2237" s="52"/>
      <c r="BH2237" s="52"/>
      <c r="BI2237" s="68" cm="1">
        <f t="array" ref="BI2237">IFERROR(INDEX(AW2237:BH2237,1,MATCH(2,1/(AW2237:BH2237&lt;&gt;""))),"")</f>
        <v>0</v>
      </c>
      <c r="BJ2237" s="68" t="str" cm="1">
        <f t="array" ref="BJ2237">IF(BM2237 = "", "",IFERROR(INDEX(AW2237:BH2237,1,MATCH(2,1/(AW2237:BH2237&lt;&gt;""),1)-1),""))</f>
        <v/>
      </c>
      <c r="BK2237" s="59">
        <f t="shared" si="2659"/>
        <v>0</v>
      </c>
      <c r="BL2237" s="59" cm="1">
        <f t="array" ref="BL2237">IFERROR(SUM(AW2237:INDEX(AW2237:BH2237, MATCH(2, 1/(AW2237:BH2237&lt;&gt;""), 1) - 1))/_xlfn.XLOOKUP(F2237,Apuração!A:A,Apuração!B:B),0)</f>
        <v>0</v>
      </c>
      <c r="BM2237" s="55" t="str" cm="1">
        <f t="array" ref="BM2237">IFERROR(
   INDEX($AW$1:$BH$1,
      _xlfn.AGGREGATE(14, 6, COLUMN($AW$1:$BH$1)/(AW2237:BH2237&lt;&gt;""), 2) - COLUMN($AW$1) + 1
   ),
"")</f>
        <v/>
      </c>
      <c r="BN2237" s="55" cm="1">
        <f t="array" ref="BN2237">IFERROR(INDEX($AW$1:$BH$1,1,MATCH(2,1/(AW2237:BH2237&lt;&gt;""))),"")</f>
        <v>46023</v>
      </c>
      <c r="BO2237" s="53">
        <f ca="1">IFERROR(_xlfn.XLOOKUP(F2237,Apuração!A:A,Apuração!C:C)/_xlfn.XLOOKUP(F2237,Apuração!A:A,Apuração!B:B),0)</f>
        <v>0</v>
      </c>
      <c r="BP2237" s="53">
        <f ca="1">IFERROR(_xlfn.XLOOKUP(F2237,Apuração!A:A,Apuração!D:D)/_xlfn.XLOOKUP(F2237,Apuração!A:A,Apuração!B:B),0)</f>
        <v>0</v>
      </c>
      <c r="BQ2237" s="53">
        <f ca="1">IF(BK2237&gt;=BO2237,0,_xlfn.XLOOKUP(F2237,Apuração!A:A,Apuração!B:B)*(BO2237 + (1/_xlfn.XLOOKUP(F2237,Apuração!A:A,Apuração!B:B)) - BK2237))</f>
        <v>0</v>
      </c>
      <c r="BR2237" s="85">
        <f t="shared" ca="1" si="2660"/>
        <v>0</v>
      </c>
      <c r="BS2237" s="53">
        <f ca="1">IFERROR((_xlfn.XLOOKUP(F2237,Apuração!A:A,Apuração!C:C)+1)/_xlfn.XLOOKUP(F2237,Apuração!A:A,Apuração!B:B),0)</f>
        <v>0.14285714285714285</v>
      </c>
    </row>
    <row r="2238" spans="1:71" ht="25.95" hidden="1" customHeight="1" x14ac:dyDescent="0.3">
      <c r="A2238" s="44" t="s">
        <v>175</v>
      </c>
      <c r="B2238" s="4" t="s">
        <v>194</v>
      </c>
      <c r="C2238" s="5" t="s">
        <v>216</v>
      </c>
      <c r="D2238" s="5" t="s">
        <v>218</v>
      </c>
      <c r="E2238" s="4" t="s">
        <v>96</v>
      </c>
      <c r="F2238" s="4" t="str" cm="1">
        <f t="array" ref="F2238">_xlfn.IFS(
AG2238 &lt;&gt; "", "Jan-Dez/26",
AH2238 &lt;&gt; "", "Fev-Dez/26",
AI2238 &lt;&gt; "", "Mar-Dez/26", AJ2238 &lt;&gt; "", "Abr-Dez/26",
TRUE, "A partir de Junho"
)</f>
        <v>A partir de Junho</v>
      </c>
      <c r="G2238" s="4" t="s">
        <v>62</v>
      </c>
      <c r="H2238" s="7" t="s">
        <v>38</v>
      </c>
      <c r="I2238" s="21" t="s">
        <v>180</v>
      </c>
      <c r="J2238" s="8" t="str" cm="1">
        <f t="array" aca="1" ref="J2238" ca="1">_xlfn.LET(
  _xlpm.actual_value_month, INDEX(T2238:AE2238, MATCH(DATE(YEAR(TODAY()), MONTH(TODAY()), 1), $T$1:$AE$1, 0)),
  IF(_xlpm.actual_value_month &lt;&gt; "", _xlpm.actual_value_month &amp; " ações mensais", "")
)</f>
        <v/>
      </c>
      <c r="K2238" s="34" t="str" cm="1">
        <f t="array" ref="K2238">_xlfn.LET(
    _xlpm.sum_month, SUM(T2238:AE2238),
    IF(_xlpm.sum_month = 0, "", _xlpm.sum_month &amp; " colaboradores treinados.")
)</f>
        <v/>
      </c>
      <c r="L2238" s="9" t="s">
        <v>196</v>
      </c>
      <c r="M2238" s="13">
        <v>1</v>
      </c>
      <c r="N2238" s="5" t="s">
        <v>51</v>
      </c>
      <c r="O2238" s="5" t="s">
        <v>52</v>
      </c>
      <c r="P2238" s="10" t="s">
        <v>146</v>
      </c>
      <c r="Q2238" s="10" t="s">
        <v>44</v>
      </c>
      <c r="R2238" s="11" t="s">
        <v>44</v>
      </c>
      <c r="S2238" s="11" t="s">
        <v>44</v>
      </c>
      <c r="T2238" s="22"/>
      <c r="U2238" s="22"/>
      <c r="V2238" s="22"/>
      <c r="W2238" s="22"/>
      <c r="X2238" s="22"/>
      <c r="Y2238" s="22"/>
      <c r="Z2238" s="22"/>
      <c r="AA2238" s="22"/>
      <c r="AB2238" s="22"/>
      <c r="AC2238" s="22"/>
      <c r="AD2238" s="22"/>
      <c r="AE2238" s="22"/>
      <c r="AG2238" s="71"/>
      <c r="AH2238" s="71"/>
      <c r="AI2238" s="71"/>
      <c r="AJ2238" s="71"/>
      <c r="AK2238" s="71"/>
      <c r="AL2238" s="71"/>
      <c r="AM2238" s="71"/>
      <c r="AN2238" s="71"/>
      <c r="AO2238" s="71"/>
      <c r="AP2238" s="71"/>
      <c r="AQ2238" s="71"/>
      <c r="AR2238" s="71"/>
      <c r="AS2238" s="94" t="str" cm="1">
        <f t="array" ref="AS2238">IFERROR(INDEX(T2238:AE2238,1,MATCH(2,1/(T2238:AE2238&lt;&gt;""))),"")</f>
        <v/>
      </c>
      <c r="AT2238" s="95" t="str" cm="1">
        <f t="array" ref="AT2238">IFERROR(INDEX(AJ2238:AR2238,1,MATCH(2,1/(AJ2238:AR2238&lt;&gt;""))),"")</f>
        <v/>
      </c>
      <c r="AU2238" s="97" t="str">
        <f t="shared" si="2657"/>
        <v/>
      </c>
      <c r="AW2238" s="52">
        <f t="shared" si="2658"/>
        <v>0</v>
      </c>
      <c r="AX2238" s="52"/>
      <c r="AY2238" s="52"/>
      <c r="AZ2238" s="52"/>
      <c r="BA2238" s="52"/>
      <c r="BB2238" s="52"/>
      <c r="BC2238" s="52"/>
      <c r="BD2238" s="52"/>
      <c r="BE2238" s="52"/>
      <c r="BF2238" s="52"/>
      <c r="BG2238" s="52"/>
      <c r="BH2238" s="52"/>
      <c r="BI2238" s="68" cm="1">
        <f t="array" ref="BI2238">IFERROR(INDEX(AW2238:BH2238,1,MATCH(2,1/(AW2238:BH2238&lt;&gt;""))),"")</f>
        <v>0</v>
      </c>
      <c r="BJ2238" s="68" t="str" cm="1">
        <f t="array" ref="BJ2238">IF(BM2238 = "", "",IFERROR(INDEX(AW2238:BH2238,1,MATCH(2,1/(AW2238:BH2238&lt;&gt;""),1)-1),""))</f>
        <v/>
      </c>
      <c r="BK2238" s="59">
        <f t="shared" si="2659"/>
        <v>0</v>
      </c>
      <c r="BL2238" s="59" cm="1">
        <f t="array" ref="BL2238">IFERROR(SUM(AW2238:INDEX(AW2238:BH2238, MATCH(2, 1/(AW2238:BH2238&lt;&gt;""), 1) - 1))/_xlfn.XLOOKUP(F2238,Apuração!A:A,Apuração!B:B),0)</f>
        <v>0</v>
      </c>
      <c r="BM2238" s="55" t="str" cm="1">
        <f t="array" ref="BM2238">IFERROR(
   INDEX($AW$1:$BH$1,
      _xlfn.AGGREGATE(14, 6, COLUMN($AW$1:$BH$1)/(AW2238:BH2238&lt;&gt;""), 2) - COLUMN($AW$1) + 1
   ),
"")</f>
        <v/>
      </c>
      <c r="BN2238" s="55" cm="1">
        <f t="array" ref="BN2238">IFERROR(INDEX($AW$1:$BH$1,1,MATCH(2,1/(AW2238:BH2238&lt;&gt;""))),"")</f>
        <v>46023</v>
      </c>
      <c r="BO2238" s="53">
        <f ca="1">IFERROR(_xlfn.XLOOKUP(F2238,Apuração!A:A,Apuração!C:C)/_xlfn.XLOOKUP(F2238,Apuração!A:A,Apuração!B:B),0)</f>
        <v>0</v>
      </c>
      <c r="BP2238" s="53">
        <f ca="1">IFERROR(_xlfn.XLOOKUP(F2238,Apuração!A:A,Apuração!D:D)/_xlfn.XLOOKUP(F2238,Apuração!A:A,Apuração!B:B),0)</f>
        <v>0</v>
      </c>
      <c r="BQ2238" s="53">
        <f ca="1">IF(BK2238&gt;=BO2238,0,_xlfn.XLOOKUP(F2238,Apuração!A:A,Apuração!B:B)*(BO2238 + (1/_xlfn.XLOOKUP(F2238,Apuração!A:A,Apuração!B:B)) - BK2238))</f>
        <v>0</v>
      </c>
      <c r="BR2238" s="85">
        <f t="shared" ca="1" si="2660"/>
        <v>0</v>
      </c>
      <c r="BS2238" s="53">
        <f ca="1">IFERROR((_xlfn.XLOOKUP(F2238,Apuração!A:A,Apuração!C:C)+1)/_xlfn.XLOOKUP(F2238,Apuração!A:A,Apuração!B:B),0)</f>
        <v>0.14285714285714285</v>
      </c>
    </row>
    <row r="2239" spans="1:71" ht="25.95" hidden="1" customHeight="1" x14ac:dyDescent="0.3">
      <c r="A2239" s="44" t="s">
        <v>175</v>
      </c>
      <c r="B2239" s="4" t="s">
        <v>194</v>
      </c>
      <c r="C2239" s="5" t="s">
        <v>216</v>
      </c>
      <c r="D2239" s="5" t="s">
        <v>219</v>
      </c>
      <c r="E2239" s="4" t="s">
        <v>96</v>
      </c>
      <c r="F2239" s="4" t="str" cm="1">
        <f t="array" ref="F2239">_xlfn.IFS(
AG2239 &lt;&gt; "", "Jan-Dez/26",
AH2239 &lt;&gt; "", "Fev-Dez/26",
AI2239 &lt;&gt; "", "Mar-Dez/26", AJ2239 &lt;&gt; "", "Abr-Dez/26",
TRUE, "A partir de Junho"
)</f>
        <v>A partir de Junho</v>
      </c>
      <c r="G2239" s="4" t="s">
        <v>62</v>
      </c>
      <c r="H2239" s="7" t="s">
        <v>38</v>
      </c>
      <c r="I2239" s="21" t="s">
        <v>180</v>
      </c>
      <c r="J2239" s="8" t="str" cm="1">
        <f t="array" aca="1" ref="J2239" ca="1">_xlfn.LET(
  _xlpm.actual_value_month, INDEX(T2239:AE2239, MATCH(DATE(YEAR(TODAY()), MONTH(TODAY()), 1), $T$1:$AE$1, 0)),
  IF(_xlpm.actual_value_month &lt;&gt; "", _xlpm.actual_value_month &amp; " ações mensais", "")
)</f>
        <v/>
      </c>
      <c r="K2239" s="34" t="str" cm="1">
        <f t="array" ref="K2239">_xlfn.LET(
    _xlpm.sum_month, SUM(T2239:AE2239),
    IF(_xlpm.sum_month = 0, "", _xlpm.sum_month &amp; " colaboradores treinados.")
)</f>
        <v/>
      </c>
      <c r="L2239" s="9" t="s">
        <v>196</v>
      </c>
      <c r="M2239" s="13">
        <v>1</v>
      </c>
      <c r="N2239" s="5" t="s">
        <v>51</v>
      </c>
      <c r="O2239" s="5" t="s">
        <v>52</v>
      </c>
      <c r="P2239" s="10" t="s">
        <v>146</v>
      </c>
      <c r="Q2239" s="10" t="s">
        <v>44</v>
      </c>
      <c r="R2239" s="11" t="s">
        <v>44</v>
      </c>
      <c r="S2239" s="11" t="s">
        <v>44</v>
      </c>
      <c r="T2239" s="22"/>
      <c r="U2239" s="22"/>
      <c r="V2239" s="22"/>
      <c r="W2239" s="22"/>
      <c r="X2239" s="22"/>
      <c r="Y2239" s="22"/>
      <c r="Z2239" s="22"/>
      <c r="AA2239" s="22"/>
      <c r="AB2239" s="22"/>
      <c r="AC2239" s="22"/>
      <c r="AD2239" s="22"/>
      <c r="AE2239" s="22"/>
      <c r="AG2239" s="71"/>
      <c r="AH2239" s="71"/>
      <c r="AI2239" s="71"/>
      <c r="AJ2239" s="71"/>
      <c r="AK2239" s="71"/>
      <c r="AL2239" s="71"/>
      <c r="AM2239" s="71"/>
      <c r="AN2239" s="71"/>
      <c r="AO2239" s="71"/>
      <c r="AP2239" s="71"/>
      <c r="AQ2239" s="71"/>
      <c r="AR2239" s="71"/>
      <c r="AS2239" s="94" t="str" cm="1">
        <f t="array" ref="AS2239">IFERROR(INDEX(T2239:AE2239,1,MATCH(2,1/(T2239:AE2239&lt;&gt;""))),"")</f>
        <v/>
      </c>
      <c r="AT2239" s="95" t="str" cm="1">
        <f t="array" ref="AT2239">IFERROR(INDEX(AJ2239:AR2239,1,MATCH(2,1/(AJ2239:AR2239&lt;&gt;""))),"")</f>
        <v/>
      </c>
      <c r="AU2239" s="97" t="str">
        <f t="shared" si="2657"/>
        <v/>
      </c>
      <c r="AW2239" s="52">
        <f t="shared" si="2658"/>
        <v>0</v>
      </c>
      <c r="AX2239" s="52"/>
      <c r="AY2239" s="52"/>
      <c r="AZ2239" s="52"/>
      <c r="BA2239" s="52"/>
      <c r="BB2239" s="52"/>
      <c r="BC2239" s="52"/>
      <c r="BD2239" s="52"/>
      <c r="BE2239" s="52"/>
      <c r="BF2239" s="52"/>
      <c r="BG2239" s="52"/>
      <c r="BH2239" s="52"/>
      <c r="BI2239" s="68" cm="1">
        <f t="array" ref="BI2239">IFERROR(INDEX(AW2239:BH2239,1,MATCH(2,1/(AW2239:BH2239&lt;&gt;""))),"")</f>
        <v>0</v>
      </c>
      <c r="BJ2239" s="68" t="str" cm="1">
        <f t="array" ref="BJ2239">IF(BM2239 = "", "",IFERROR(INDEX(AW2239:BH2239,1,MATCH(2,1/(AW2239:BH2239&lt;&gt;""),1)-1),""))</f>
        <v/>
      </c>
      <c r="BK2239" s="59">
        <f t="shared" si="2659"/>
        <v>0</v>
      </c>
      <c r="BL2239" s="59" cm="1">
        <f t="array" ref="BL2239">IFERROR(SUM(AW2239:INDEX(AW2239:BH2239, MATCH(2, 1/(AW2239:BH2239&lt;&gt;""), 1) - 1))/_xlfn.XLOOKUP(F2239,Apuração!A:A,Apuração!B:B),0)</f>
        <v>0</v>
      </c>
      <c r="BM2239" s="55" t="str" cm="1">
        <f t="array" ref="BM2239">IFERROR(
   INDEX($AW$1:$BH$1,
      _xlfn.AGGREGATE(14, 6, COLUMN($AW$1:$BH$1)/(AW2239:BH2239&lt;&gt;""), 2) - COLUMN($AW$1) + 1
   ),
"")</f>
        <v/>
      </c>
      <c r="BN2239" s="55" cm="1">
        <f t="array" ref="BN2239">IFERROR(INDEX($AW$1:$BH$1,1,MATCH(2,1/(AW2239:BH2239&lt;&gt;""))),"")</f>
        <v>46023</v>
      </c>
      <c r="BO2239" s="53">
        <f ca="1">IFERROR(_xlfn.XLOOKUP(F2239,Apuração!A:A,Apuração!C:C)/_xlfn.XLOOKUP(F2239,Apuração!A:A,Apuração!B:B),0)</f>
        <v>0</v>
      </c>
      <c r="BP2239" s="53">
        <f ca="1">IFERROR(_xlfn.XLOOKUP(F2239,Apuração!A:A,Apuração!D:D)/_xlfn.XLOOKUP(F2239,Apuração!A:A,Apuração!B:B),0)</f>
        <v>0</v>
      </c>
      <c r="BQ2239" s="53">
        <f ca="1">IF(BK2239&gt;=BO2239,0,_xlfn.XLOOKUP(F2239,Apuração!A:A,Apuração!B:B)*(BO2239 + (1/_xlfn.XLOOKUP(F2239,Apuração!A:A,Apuração!B:B)) - BK2239))</f>
        <v>0</v>
      </c>
      <c r="BR2239" s="85">
        <f t="shared" ca="1" si="2660"/>
        <v>0</v>
      </c>
      <c r="BS2239" s="53">
        <f ca="1">IFERROR((_xlfn.XLOOKUP(F2239,Apuração!A:A,Apuração!C:C)+1)/_xlfn.XLOOKUP(F2239,Apuração!A:A,Apuração!B:B),0)</f>
        <v>0.14285714285714285</v>
      </c>
    </row>
    <row r="2240" spans="1:71" ht="25.95" hidden="1" customHeight="1" x14ac:dyDescent="0.3">
      <c r="A2240" s="44" t="s">
        <v>175</v>
      </c>
      <c r="B2240" s="4" t="s">
        <v>194</v>
      </c>
      <c r="C2240" s="5" t="s">
        <v>216</v>
      </c>
      <c r="D2240" s="5" t="s">
        <v>36</v>
      </c>
      <c r="E2240" s="4" t="s">
        <v>96</v>
      </c>
      <c r="F2240" s="4" t="str" cm="1">
        <f t="array" ref="F2240">_xlfn.IFS(
AG2240 &lt;&gt; "", "Jan-Dez/26",
AH2240 &lt;&gt; "", "Fev-Dez/26",
AI2240 &lt;&gt; "", "Mar-Dez/26", AJ2240 &lt;&gt; "", "Abr-Dez/26",
TRUE, "A partir de Junho"
)</f>
        <v>A partir de Junho</v>
      </c>
      <c r="G2240" s="4" t="s">
        <v>62</v>
      </c>
      <c r="H2240" s="7" t="s">
        <v>38</v>
      </c>
      <c r="I2240" s="21" t="s">
        <v>182</v>
      </c>
      <c r="J2240" s="8" t="str" cm="1">
        <f t="array" aca="1" ref="J2240" ca="1">_xlfn.LET(
  _xlpm.actual_value_month, INDEX(T2240:AE2240, MATCH(DATE(YEAR(TODAY()), MONTH(TODAY()), 1), $T$1:$AE$1, 0)),
  IF(_xlpm.actual_value_month &lt;&gt; "", _xlpm.actual_value_month &amp; " ações mensais", "")
)</f>
        <v/>
      </c>
      <c r="K2240" s="8" t="str" cm="1">
        <f t="array" ref="K2240">_xlfn.LET(
    _xlpm.sum_month, SUM(T2240:AE2240),
    IF(_xlpm.sum_month = 0, "", _xlpm.sum_month &amp; " taxa de aprovados")
)</f>
        <v/>
      </c>
      <c r="L2240" s="4" t="s">
        <v>183</v>
      </c>
      <c r="M2240" s="13">
        <v>1</v>
      </c>
      <c r="N2240" s="5" t="s">
        <v>51</v>
      </c>
      <c r="O2240" s="5" t="s">
        <v>43</v>
      </c>
      <c r="P2240" s="10" t="s">
        <v>44</v>
      </c>
      <c r="Q2240" s="10" t="s">
        <v>44</v>
      </c>
      <c r="R2240" s="11" t="s">
        <v>44</v>
      </c>
      <c r="S2240" s="11" t="s">
        <v>44</v>
      </c>
      <c r="T2240" s="22"/>
      <c r="U2240" s="22"/>
      <c r="V2240" s="22"/>
      <c r="W2240" s="22"/>
      <c r="X2240" s="22"/>
      <c r="Y2240" s="22"/>
      <c r="Z2240" s="22"/>
      <c r="AA2240" s="22"/>
      <c r="AB2240" s="22"/>
      <c r="AC2240" s="22"/>
      <c r="AD2240" s="22"/>
      <c r="AE2240" s="22"/>
      <c r="AG2240" s="71"/>
      <c r="AH2240" s="71"/>
      <c r="AI2240" s="71"/>
      <c r="AJ2240" s="71"/>
      <c r="AK2240" s="71"/>
      <c r="AL2240" s="71"/>
      <c r="AM2240" s="71"/>
      <c r="AN2240" s="71"/>
      <c r="AO2240" s="71"/>
      <c r="AP2240" s="71"/>
      <c r="AQ2240" s="71"/>
      <c r="AR2240" s="71"/>
      <c r="AS2240" s="94" t="str" cm="1">
        <f t="array" ref="AS2240">IFERROR(INDEX(T2240:AE2240,1,MATCH(2,1/(T2240:AE2240&lt;&gt;""))),"")</f>
        <v/>
      </c>
      <c r="AT2240" s="95" t="str" cm="1">
        <f t="array" ref="AT2240">IFERROR(INDEX(AJ2240:AR2240,1,MATCH(2,1/(AJ2240:AR2240&lt;&gt;""))),"")</f>
        <v/>
      </c>
      <c r="AU2240" s="97" t="str">
        <f>AT2240</f>
        <v/>
      </c>
      <c r="AW2240" s="51" t="str">
        <f>IFERROR(IF(AG2240="","",AG2240/T2240),0)</f>
        <v/>
      </c>
      <c r="AX2240" s="51"/>
      <c r="AY2240" s="51"/>
      <c r="AZ2240" s="51"/>
      <c r="BA2240" s="51"/>
      <c r="BB2240" s="51"/>
      <c r="BC2240" s="51"/>
      <c r="BD2240" s="51"/>
      <c r="BE2240" s="51"/>
      <c r="BF2240" s="51"/>
      <c r="BG2240" s="51"/>
      <c r="BH2240" s="51"/>
      <c r="BI2240" s="65" t="str" cm="1">
        <f t="array" ref="BI2240">IFERROR(INDEX(AW2240:BH2240,1,MATCH(2,1/(AW2240:BH2240&lt;&gt;""))),"")</f>
        <v/>
      </c>
      <c r="BJ2240" s="68" t="str" cm="1">
        <f t="array" ref="BJ2240">IF(BM2240 = "", "",IFERROR(INDEX(AW2240:BH2240,1,MATCH(2,1/(AW2240:BH2240&lt;&gt;""),1)-1),""))</f>
        <v/>
      </c>
      <c r="BK2240" s="58" t="str" cm="1">
        <f t="array" ref="BK2240">IFERROR(INDEX(AW2240:BH2240,1,MATCH(2,1/(AW2240:BH2240&lt;&gt;""))),"")</f>
        <v/>
      </c>
      <c r="BL2240" s="58" t="str" cm="1">
        <f t="array" ref="BL2240">IFERROR(INDEX(AW2240:BH2240,1,MATCH(2,1/(AW2240:BH2240&lt;&gt;""),1)-1),"")</f>
        <v/>
      </c>
      <c r="BM2240" s="55" t="str" cm="1">
        <f t="array" ref="BM2240">IFERROR(
   INDEX($AW$1:$BH$1,
      _xlfn.AGGREGATE(14, 6, COLUMN($AW$1:$BH$1)/(AW2240:BH2240&lt;&gt;""), 2) - COLUMN($AW$1) + 1
   ),
"")</f>
        <v/>
      </c>
      <c r="BN2240" s="55" t="str" cm="1">
        <f t="array" ref="BN2240">IFERROR(INDEX($AW$1:$BH$1,1,MATCH(2,1/(AW2240:BH2240&lt;&gt;""))),"")</f>
        <v/>
      </c>
      <c r="BO2240" s="53">
        <f ca="1">IFERROR(_xlfn.XLOOKUP(F2240,Apuração!A:A,Apuração!C:C)/_xlfn.XLOOKUP(F2240,Apuração!A:A,Apuração!B:B),0)</f>
        <v>0</v>
      </c>
      <c r="BP2240" s="53">
        <f ca="1">IFERROR(_xlfn.XLOOKUP(F2240,Apuração!A:A,Apuração!D:D)/_xlfn.XLOOKUP(F2240,Apuração!A:A,Apuração!B:B),0)</f>
        <v>0</v>
      </c>
      <c r="BQ2240" s="53">
        <f ca="1">IF(BK2240&gt;=BO2240,0,_xlfn.XLOOKUP(F2240,Apuração!A:A,Apuração!B:B)*(BO2240 + (1/_xlfn.XLOOKUP(F2240,Apuração!A:A,Apuração!B:B)) - BK2240))</f>
        <v>0</v>
      </c>
      <c r="BR2240" s="85">
        <f ca="1">IF(BQ2240=0,0,BQ2240*Z2240)</f>
        <v>0</v>
      </c>
      <c r="BS2240" s="53">
        <f ca="1">IFERROR((_xlfn.XLOOKUP(F2240,Apuração!A:A,Apuração!C:C)+1)/_xlfn.XLOOKUP(F2240,Apuração!A:A,Apuração!B:B),0)</f>
        <v>0.14285714285714285</v>
      </c>
    </row>
    <row r="2241" spans="1:71" ht="25.95" hidden="1" customHeight="1" x14ac:dyDescent="0.3">
      <c r="A2241" s="44" t="s">
        <v>175</v>
      </c>
      <c r="B2241" s="4" t="s">
        <v>194</v>
      </c>
      <c r="C2241" s="5" t="s">
        <v>216</v>
      </c>
      <c r="D2241" s="5" t="s">
        <v>217</v>
      </c>
      <c r="E2241" s="4" t="s">
        <v>96</v>
      </c>
      <c r="F2241" s="4" t="str" cm="1">
        <f t="array" ref="F2241">_xlfn.IFS(
AG2241 &lt;&gt; "", "Jan-Dez/26",
AH2241 &lt;&gt; "", "Fev-Dez/26",
AI2241 &lt;&gt; "", "Mar-Dez/26", AJ2241 &lt;&gt; "", "Abr-Dez/26",
TRUE, "A partir de Junho"
)</f>
        <v>A partir de Junho</v>
      </c>
      <c r="G2241" s="4" t="s">
        <v>62</v>
      </c>
      <c r="H2241" s="7" t="s">
        <v>38</v>
      </c>
      <c r="I2241" s="21" t="s">
        <v>182</v>
      </c>
      <c r="J2241" s="8" t="str" cm="1">
        <f t="array" aca="1" ref="J2241" ca="1">_xlfn.LET(
  _xlpm.actual_value_month, INDEX(T2241:AE2241, MATCH(DATE(YEAR(TODAY()), MONTH(TODAY()), 1), $T$1:$AE$1, 0)),
  IF(_xlpm.actual_value_month &lt;&gt; "", _xlpm.actual_value_month &amp; " ações mensais", "")
)</f>
        <v/>
      </c>
      <c r="K2241" s="8" t="str" cm="1">
        <f t="array" ref="K2241">_xlfn.LET(
    _xlpm.sum_month, SUM(T2241:AE2241),
    IF(_xlpm.sum_month = 0, "", _xlpm.sum_month &amp; " taxa de aprovados")
)</f>
        <v/>
      </c>
      <c r="L2241" s="4" t="s">
        <v>183</v>
      </c>
      <c r="M2241" s="13">
        <v>1</v>
      </c>
      <c r="N2241" s="5" t="s">
        <v>51</v>
      </c>
      <c r="O2241" s="5" t="s">
        <v>43</v>
      </c>
      <c r="P2241" s="10" t="s">
        <v>44</v>
      </c>
      <c r="Q2241" s="10" t="s">
        <v>44</v>
      </c>
      <c r="R2241" s="11" t="s">
        <v>44</v>
      </c>
      <c r="S2241" s="11" t="s">
        <v>44</v>
      </c>
      <c r="T2241" s="22"/>
      <c r="U2241" s="22"/>
      <c r="V2241" s="22"/>
      <c r="W2241" s="22"/>
      <c r="X2241" s="22"/>
      <c r="Y2241" s="22"/>
      <c r="Z2241" s="22"/>
      <c r="AA2241" s="22"/>
      <c r="AB2241" s="22"/>
      <c r="AC2241" s="22"/>
      <c r="AD2241" s="22"/>
      <c r="AE2241" s="22"/>
      <c r="AG2241" s="71"/>
      <c r="AH2241" s="71"/>
      <c r="AI2241" s="71"/>
      <c r="AJ2241" s="71"/>
      <c r="AK2241" s="71"/>
      <c r="AL2241" s="71"/>
      <c r="AM2241" s="71"/>
      <c r="AN2241" s="71"/>
      <c r="AO2241" s="71"/>
      <c r="AP2241" s="71"/>
      <c r="AQ2241" s="71"/>
      <c r="AR2241" s="71"/>
      <c r="AS2241" s="94" t="str" cm="1">
        <f t="array" ref="AS2241">IFERROR(INDEX(T2241:AE2241,1,MATCH(2,1/(T2241:AE2241&lt;&gt;""))),"")</f>
        <v/>
      </c>
      <c r="AT2241" s="95" t="str" cm="1">
        <f t="array" ref="AT2241">IFERROR(INDEX(AJ2241:AR2241,1,MATCH(2,1/(AJ2241:AR2241&lt;&gt;""))),"")</f>
        <v/>
      </c>
      <c r="AU2241" s="97" t="str">
        <f t="shared" ref="AU2241:AU2244" si="2661">AT2241</f>
        <v/>
      </c>
      <c r="AW2241" s="51" t="str">
        <f t="shared" ref="AW2241:AW2244" si="2662">IFERROR(IF(AG2241="","",AG2241/T2241),0)</f>
        <v/>
      </c>
      <c r="AX2241" s="51"/>
      <c r="AY2241" s="51"/>
      <c r="AZ2241" s="51"/>
      <c r="BA2241" s="51"/>
      <c r="BB2241" s="51"/>
      <c r="BC2241" s="51"/>
      <c r="BD2241" s="51"/>
      <c r="BE2241" s="51"/>
      <c r="BF2241" s="51"/>
      <c r="BG2241" s="51"/>
      <c r="BH2241" s="51"/>
      <c r="BI2241" s="65" t="str" cm="1">
        <f t="array" ref="BI2241">IFERROR(INDEX(AW2241:BH2241,1,MATCH(2,1/(AW2241:BH2241&lt;&gt;""))),"")</f>
        <v/>
      </c>
      <c r="BJ2241" s="68" t="str" cm="1">
        <f t="array" ref="BJ2241">IF(BM2241 = "", "",IFERROR(INDEX(AW2241:BH2241,1,MATCH(2,1/(AW2241:BH2241&lt;&gt;""),1)-1),""))</f>
        <v/>
      </c>
      <c r="BK2241" s="58" t="str" cm="1">
        <f t="array" ref="BK2241">IFERROR(INDEX(AW2241:BH2241,1,MATCH(2,1/(AW2241:BH2241&lt;&gt;""))),"")</f>
        <v/>
      </c>
      <c r="BL2241" s="58" t="str" cm="1">
        <f t="array" ref="BL2241">IFERROR(INDEX(AW2241:BH2241,1,MATCH(2,1/(AW2241:BH2241&lt;&gt;""),1)-1),"")</f>
        <v/>
      </c>
      <c r="BM2241" s="55" t="str" cm="1">
        <f t="array" ref="BM2241">IFERROR(
   INDEX($AW$1:$BH$1,
      _xlfn.AGGREGATE(14, 6, COLUMN($AW$1:$BH$1)/(AW2241:BH2241&lt;&gt;""), 2) - COLUMN($AW$1) + 1
   ),
"")</f>
        <v/>
      </c>
      <c r="BN2241" s="55" t="str" cm="1">
        <f t="array" ref="BN2241">IFERROR(INDEX($AW$1:$BH$1,1,MATCH(2,1/(AW2241:BH2241&lt;&gt;""))),"")</f>
        <v/>
      </c>
      <c r="BO2241" s="53">
        <f ca="1">IFERROR(_xlfn.XLOOKUP(F2241,Apuração!A:A,Apuração!C:C)/_xlfn.XLOOKUP(F2241,Apuração!A:A,Apuração!B:B),0)</f>
        <v>0</v>
      </c>
      <c r="BP2241" s="53">
        <f ca="1">IFERROR(_xlfn.XLOOKUP(F2241,Apuração!A:A,Apuração!D:D)/_xlfn.XLOOKUP(F2241,Apuração!A:A,Apuração!B:B),0)</f>
        <v>0</v>
      </c>
      <c r="BQ2241" s="53">
        <f ca="1">IF(BK2241&gt;=BO2241,0,_xlfn.XLOOKUP(F2241,Apuração!A:A,Apuração!B:B)*(BO2241 + (1/_xlfn.XLOOKUP(F2241,Apuração!A:A,Apuração!B:B)) - BK2241))</f>
        <v>0</v>
      </c>
      <c r="BR2241" s="85">
        <f t="shared" ref="BR2241:BR2244" ca="1" si="2663">IF(BQ2241=0,0,BQ2241*Z2241)</f>
        <v>0</v>
      </c>
      <c r="BS2241" s="53">
        <f ca="1">IFERROR((_xlfn.XLOOKUP(F2241,Apuração!A:A,Apuração!C:C)+1)/_xlfn.XLOOKUP(F2241,Apuração!A:A,Apuração!B:B),0)</f>
        <v>0.14285714285714285</v>
      </c>
    </row>
    <row r="2242" spans="1:71" ht="25.95" hidden="1" customHeight="1" x14ac:dyDescent="0.3">
      <c r="A2242" s="44" t="s">
        <v>175</v>
      </c>
      <c r="B2242" s="4" t="s">
        <v>194</v>
      </c>
      <c r="C2242" s="5" t="s">
        <v>216</v>
      </c>
      <c r="D2242" s="5" t="s">
        <v>103</v>
      </c>
      <c r="E2242" s="4" t="s">
        <v>96</v>
      </c>
      <c r="F2242" s="4" t="str" cm="1">
        <f t="array" ref="F2242">_xlfn.IFS(
AG2242 &lt;&gt; "", "Jan-Dez/26",
AH2242 &lt;&gt; "", "Fev-Dez/26",
AI2242 &lt;&gt; "", "Mar-Dez/26", AJ2242 &lt;&gt; "", "Abr-Dez/26",
TRUE, "A partir de Junho"
)</f>
        <v>A partir de Junho</v>
      </c>
      <c r="G2242" s="4" t="s">
        <v>62</v>
      </c>
      <c r="H2242" s="7" t="s">
        <v>38</v>
      </c>
      <c r="I2242" s="21" t="s">
        <v>182</v>
      </c>
      <c r="J2242" s="8" t="str" cm="1">
        <f t="array" aca="1" ref="J2242" ca="1">_xlfn.LET(
  _xlpm.actual_value_month, INDEX(T2242:AE2242, MATCH(DATE(YEAR(TODAY()), MONTH(TODAY()), 1), $T$1:$AE$1, 0)),
  IF(_xlpm.actual_value_month &lt;&gt; "", _xlpm.actual_value_month &amp; " ações mensais", "")
)</f>
        <v/>
      </c>
      <c r="K2242" s="8" t="str" cm="1">
        <f t="array" ref="K2242">_xlfn.LET(
    _xlpm.sum_month, SUM(T2242:AE2242),
    IF(_xlpm.sum_month = 0, "", _xlpm.sum_month &amp; " taxa de aprovados")
)</f>
        <v/>
      </c>
      <c r="L2242" s="4" t="s">
        <v>183</v>
      </c>
      <c r="M2242" s="13">
        <v>1</v>
      </c>
      <c r="N2242" s="5" t="s">
        <v>51</v>
      </c>
      <c r="O2242" s="5" t="s">
        <v>43</v>
      </c>
      <c r="P2242" s="10" t="s">
        <v>44</v>
      </c>
      <c r="Q2242" s="10" t="s">
        <v>44</v>
      </c>
      <c r="R2242" s="11" t="s">
        <v>44</v>
      </c>
      <c r="S2242" s="11" t="s">
        <v>44</v>
      </c>
      <c r="T2242" s="22"/>
      <c r="U2242" s="22"/>
      <c r="V2242" s="22"/>
      <c r="W2242" s="22"/>
      <c r="X2242" s="22"/>
      <c r="Y2242" s="22"/>
      <c r="Z2242" s="22"/>
      <c r="AA2242" s="22"/>
      <c r="AB2242" s="22"/>
      <c r="AC2242" s="22"/>
      <c r="AD2242" s="22"/>
      <c r="AE2242" s="22"/>
      <c r="AG2242" s="71"/>
      <c r="AH2242" s="71"/>
      <c r="AI2242" s="71"/>
      <c r="AJ2242" s="71"/>
      <c r="AK2242" s="71"/>
      <c r="AL2242" s="71"/>
      <c r="AM2242" s="71"/>
      <c r="AN2242" s="71"/>
      <c r="AO2242" s="71"/>
      <c r="AP2242" s="71"/>
      <c r="AQ2242" s="71"/>
      <c r="AR2242" s="71"/>
      <c r="AS2242" s="94" t="str" cm="1">
        <f t="array" ref="AS2242">IFERROR(INDEX(T2242:AE2242,1,MATCH(2,1/(T2242:AE2242&lt;&gt;""))),"")</f>
        <v/>
      </c>
      <c r="AT2242" s="95" t="str" cm="1">
        <f t="array" ref="AT2242">IFERROR(INDEX(AJ2242:AR2242,1,MATCH(2,1/(AJ2242:AR2242&lt;&gt;""))),"")</f>
        <v/>
      </c>
      <c r="AU2242" s="97" t="str">
        <f t="shared" si="2661"/>
        <v/>
      </c>
      <c r="AW2242" s="51" t="str">
        <f t="shared" si="2662"/>
        <v/>
      </c>
      <c r="AX2242" s="51"/>
      <c r="AY2242" s="51"/>
      <c r="AZ2242" s="51"/>
      <c r="BA2242" s="51"/>
      <c r="BB2242" s="51"/>
      <c r="BC2242" s="51"/>
      <c r="BD2242" s="51"/>
      <c r="BE2242" s="51"/>
      <c r="BF2242" s="51"/>
      <c r="BG2242" s="51"/>
      <c r="BH2242" s="51"/>
      <c r="BI2242" s="65" t="str" cm="1">
        <f t="array" ref="BI2242">IFERROR(INDEX(AW2242:BH2242,1,MATCH(2,1/(AW2242:BH2242&lt;&gt;""))),"")</f>
        <v/>
      </c>
      <c r="BJ2242" s="68" t="str" cm="1">
        <f t="array" ref="BJ2242">IF(BM2242 = "", "",IFERROR(INDEX(AW2242:BH2242,1,MATCH(2,1/(AW2242:BH2242&lt;&gt;""),1)-1),""))</f>
        <v/>
      </c>
      <c r="BK2242" s="58" t="str" cm="1">
        <f t="array" ref="BK2242">IFERROR(INDEX(AW2242:BH2242,1,MATCH(2,1/(AW2242:BH2242&lt;&gt;""))),"")</f>
        <v/>
      </c>
      <c r="BL2242" s="58" t="str" cm="1">
        <f t="array" ref="BL2242">IFERROR(INDEX(AW2242:BH2242,1,MATCH(2,1/(AW2242:BH2242&lt;&gt;""),1)-1),"")</f>
        <v/>
      </c>
      <c r="BM2242" s="55" t="str" cm="1">
        <f t="array" ref="BM2242">IFERROR(
   INDEX($AW$1:$BH$1,
      _xlfn.AGGREGATE(14, 6, COLUMN($AW$1:$BH$1)/(AW2242:BH2242&lt;&gt;""), 2) - COLUMN($AW$1) + 1
   ),
"")</f>
        <v/>
      </c>
      <c r="BN2242" s="55" t="str" cm="1">
        <f t="array" ref="BN2242">IFERROR(INDEX($AW$1:$BH$1,1,MATCH(2,1/(AW2242:BH2242&lt;&gt;""))),"")</f>
        <v/>
      </c>
      <c r="BO2242" s="53">
        <f ca="1">IFERROR(_xlfn.XLOOKUP(F2242,Apuração!A:A,Apuração!C:C)/_xlfn.XLOOKUP(F2242,Apuração!A:A,Apuração!B:B),0)</f>
        <v>0</v>
      </c>
      <c r="BP2242" s="53">
        <f ca="1">IFERROR(_xlfn.XLOOKUP(F2242,Apuração!A:A,Apuração!D:D)/_xlfn.XLOOKUP(F2242,Apuração!A:A,Apuração!B:B),0)</f>
        <v>0</v>
      </c>
      <c r="BQ2242" s="53">
        <f ca="1">IF(BK2242&gt;=BO2242,0,_xlfn.XLOOKUP(F2242,Apuração!A:A,Apuração!B:B)*(BO2242 + (1/_xlfn.XLOOKUP(F2242,Apuração!A:A,Apuração!B:B)) - BK2242))</f>
        <v>0</v>
      </c>
      <c r="BR2242" s="85">
        <f t="shared" ca="1" si="2663"/>
        <v>0</v>
      </c>
      <c r="BS2242" s="53">
        <f ca="1">IFERROR((_xlfn.XLOOKUP(F2242,Apuração!A:A,Apuração!C:C)+1)/_xlfn.XLOOKUP(F2242,Apuração!A:A,Apuração!B:B),0)</f>
        <v>0.14285714285714285</v>
      </c>
    </row>
    <row r="2243" spans="1:71" ht="25.95" hidden="1" customHeight="1" x14ac:dyDescent="0.3">
      <c r="A2243" s="44" t="s">
        <v>175</v>
      </c>
      <c r="B2243" s="4" t="s">
        <v>194</v>
      </c>
      <c r="C2243" s="5" t="s">
        <v>216</v>
      </c>
      <c r="D2243" s="5" t="s">
        <v>218</v>
      </c>
      <c r="E2243" s="4" t="s">
        <v>96</v>
      </c>
      <c r="F2243" s="4" t="str" cm="1">
        <f t="array" ref="F2243">_xlfn.IFS(
AG2243 &lt;&gt; "", "Jan-Dez/26",
AH2243 &lt;&gt; "", "Fev-Dez/26",
AI2243 &lt;&gt; "", "Mar-Dez/26", AJ2243 &lt;&gt; "", "Abr-Dez/26",
TRUE, "A partir de Junho"
)</f>
        <v>A partir de Junho</v>
      </c>
      <c r="G2243" s="4" t="s">
        <v>62</v>
      </c>
      <c r="H2243" s="7" t="s">
        <v>38</v>
      </c>
      <c r="I2243" s="21" t="s">
        <v>182</v>
      </c>
      <c r="J2243" s="8" t="str" cm="1">
        <f t="array" aca="1" ref="J2243" ca="1">_xlfn.LET(
  _xlpm.actual_value_month, INDEX(T2243:AE2243, MATCH(DATE(YEAR(TODAY()), MONTH(TODAY()), 1), $T$1:$AE$1, 0)),
  IF(_xlpm.actual_value_month &lt;&gt; "", _xlpm.actual_value_month &amp; " ações mensais", "")
)</f>
        <v/>
      </c>
      <c r="K2243" s="8" t="str" cm="1">
        <f t="array" ref="K2243">_xlfn.LET(
    _xlpm.sum_month, SUM(T2243:AE2243),
    IF(_xlpm.sum_month = 0, "", _xlpm.sum_month &amp; " taxa de aprovados")
)</f>
        <v/>
      </c>
      <c r="L2243" s="4" t="s">
        <v>183</v>
      </c>
      <c r="M2243" s="13">
        <v>1</v>
      </c>
      <c r="N2243" s="5" t="s">
        <v>51</v>
      </c>
      <c r="O2243" s="5" t="s">
        <v>43</v>
      </c>
      <c r="P2243" s="10" t="s">
        <v>44</v>
      </c>
      <c r="Q2243" s="10" t="s">
        <v>44</v>
      </c>
      <c r="R2243" s="11" t="s">
        <v>44</v>
      </c>
      <c r="S2243" s="11" t="s">
        <v>44</v>
      </c>
      <c r="T2243" s="22"/>
      <c r="U2243" s="22"/>
      <c r="V2243" s="22"/>
      <c r="W2243" s="22"/>
      <c r="X2243" s="22"/>
      <c r="Y2243" s="22"/>
      <c r="Z2243" s="22"/>
      <c r="AA2243" s="22"/>
      <c r="AB2243" s="22"/>
      <c r="AC2243" s="22"/>
      <c r="AD2243" s="22"/>
      <c r="AE2243" s="22"/>
      <c r="AG2243" s="71"/>
      <c r="AH2243" s="71"/>
      <c r="AI2243" s="71"/>
      <c r="AJ2243" s="71"/>
      <c r="AK2243" s="71"/>
      <c r="AL2243" s="71"/>
      <c r="AM2243" s="71"/>
      <c r="AN2243" s="71"/>
      <c r="AO2243" s="71"/>
      <c r="AP2243" s="71"/>
      <c r="AQ2243" s="71"/>
      <c r="AR2243" s="71"/>
      <c r="AS2243" s="94" t="str" cm="1">
        <f t="array" ref="AS2243">IFERROR(INDEX(T2243:AE2243,1,MATCH(2,1/(T2243:AE2243&lt;&gt;""))),"")</f>
        <v/>
      </c>
      <c r="AT2243" s="95" t="str" cm="1">
        <f t="array" ref="AT2243">IFERROR(INDEX(AJ2243:AR2243,1,MATCH(2,1/(AJ2243:AR2243&lt;&gt;""))),"")</f>
        <v/>
      </c>
      <c r="AU2243" s="97" t="str">
        <f t="shared" si="2661"/>
        <v/>
      </c>
      <c r="AW2243" s="51" t="str">
        <f t="shared" si="2662"/>
        <v/>
      </c>
      <c r="AX2243" s="51"/>
      <c r="AY2243" s="51"/>
      <c r="AZ2243" s="51"/>
      <c r="BA2243" s="51"/>
      <c r="BB2243" s="51"/>
      <c r="BC2243" s="51"/>
      <c r="BD2243" s="51"/>
      <c r="BE2243" s="51"/>
      <c r="BF2243" s="51"/>
      <c r="BG2243" s="51"/>
      <c r="BH2243" s="51"/>
      <c r="BI2243" s="65" t="str" cm="1">
        <f t="array" ref="BI2243">IFERROR(INDEX(AW2243:BH2243,1,MATCH(2,1/(AW2243:BH2243&lt;&gt;""))),"")</f>
        <v/>
      </c>
      <c r="BJ2243" s="68" t="str" cm="1">
        <f t="array" ref="BJ2243">IF(BM2243 = "", "",IFERROR(INDEX(AW2243:BH2243,1,MATCH(2,1/(AW2243:BH2243&lt;&gt;""),1)-1),""))</f>
        <v/>
      </c>
      <c r="BK2243" s="58" t="str" cm="1">
        <f t="array" ref="BK2243">IFERROR(INDEX(AW2243:BH2243,1,MATCH(2,1/(AW2243:BH2243&lt;&gt;""))),"")</f>
        <v/>
      </c>
      <c r="BL2243" s="58" t="str" cm="1">
        <f t="array" ref="BL2243">IFERROR(INDEX(AW2243:BH2243,1,MATCH(2,1/(AW2243:BH2243&lt;&gt;""),1)-1),"")</f>
        <v/>
      </c>
      <c r="BM2243" s="55" t="str" cm="1">
        <f t="array" ref="BM2243">IFERROR(
   INDEX($AW$1:$BH$1,
      _xlfn.AGGREGATE(14, 6, COLUMN($AW$1:$BH$1)/(AW2243:BH2243&lt;&gt;""), 2) - COLUMN($AW$1) + 1
   ),
"")</f>
        <v/>
      </c>
      <c r="BN2243" s="55" t="str" cm="1">
        <f t="array" ref="BN2243">IFERROR(INDEX($AW$1:$BH$1,1,MATCH(2,1/(AW2243:BH2243&lt;&gt;""))),"")</f>
        <v/>
      </c>
      <c r="BO2243" s="53">
        <f ca="1">IFERROR(_xlfn.XLOOKUP(F2243,Apuração!A:A,Apuração!C:C)/_xlfn.XLOOKUP(F2243,Apuração!A:A,Apuração!B:B),0)</f>
        <v>0</v>
      </c>
      <c r="BP2243" s="53">
        <f ca="1">IFERROR(_xlfn.XLOOKUP(F2243,Apuração!A:A,Apuração!D:D)/_xlfn.XLOOKUP(F2243,Apuração!A:A,Apuração!B:B),0)</f>
        <v>0</v>
      </c>
      <c r="BQ2243" s="53">
        <f ca="1">IF(BK2243&gt;=BO2243,0,_xlfn.XLOOKUP(F2243,Apuração!A:A,Apuração!B:B)*(BO2243 + (1/_xlfn.XLOOKUP(F2243,Apuração!A:A,Apuração!B:B)) - BK2243))</f>
        <v>0</v>
      </c>
      <c r="BR2243" s="85">
        <f t="shared" ca="1" si="2663"/>
        <v>0</v>
      </c>
      <c r="BS2243" s="53">
        <f ca="1">IFERROR((_xlfn.XLOOKUP(F2243,Apuração!A:A,Apuração!C:C)+1)/_xlfn.XLOOKUP(F2243,Apuração!A:A,Apuração!B:B),0)</f>
        <v>0.14285714285714285</v>
      </c>
    </row>
    <row r="2244" spans="1:71" ht="25.95" hidden="1" customHeight="1" x14ac:dyDescent="0.3">
      <c r="A2244" s="44" t="s">
        <v>175</v>
      </c>
      <c r="B2244" s="4" t="s">
        <v>194</v>
      </c>
      <c r="C2244" s="5" t="s">
        <v>216</v>
      </c>
      <c r="D2244" s="5" t="s">
        <v>219</v>
      </c>
      <c r="E2244" s="4" t="s">
        <v>96</v>
      </c>
      <c r="F2244" s="4" t="str" cm="1">
        <f t="array" ref="F2244">_xlfn.IFS(
AG2244 &lt;&gt; "", "Jan-Dez/26",
AH2244 &lt;&gt; "", "Fev-Dez/26",
AI2244 &lt;&gt; "", "Mar-Dez/26", AJ2244 &lt;&gt; "", "Abr-Dez/26",
TRUE, "A partir de Junho"
)</f>
        <v>A partir de Junho</v>
      </c>
      <c r="G2244" s="4" t="s">
        <v>62</v>
      </c>
      <c r="H2244" s="7" t="s">
        <v>38</v>
      </c>
      <c r="I2244" s="21" t="s">
        <v>182</v>
      </c>
      <c r="J2244" s="8" t="str" cm="1">
        <f t="array" aca="1" ref="J2244" ca="1">_xlfn.LET(
  _xlpm.actual_value_month, INDEX(T2244:AE2244, MATCH(DATE(YEAR(TODAY()), MONTH(TODAY()), 1), $T$1:$AE$1, 0)),
  IF(_xlpm.actual_value_month &lt;&gt; "", _xlpm.actual_value_month &amp; " ações mensais", "")
)</f>
        <v/>
      </c>
      <c r="K2244" s="8" t="str" cm="1">
        <f t="array" ref="K2244">_xlfn.LET(
    _xlpm.sum_month, SUM(T2244:AE2244),
    IF(_xlpm.sum_month = 0, "", _xlpm.sum_month &amp; " taxa de aprovados")
)</f>
        <v/>
      </c>
      <c r="L2244" s="4" t="s">
        <v>183</v>
      </c>
      <c r="M2244" s="13">
        <v>1</v>
      </c>
      <c r="N2244" s="5" t="s">
        <v>51</v>
      </c>
      <c r="O2244" s="5" t="s">
        <v>43</v>
      </c>
      <c r="P2244" s="10" t="s">
        <v>44</v>
      </c>
      <c r="Q2244" s="10" t="s">
        <v>44</v>
      </c>
      <c r="R2244" s="11" t="s">
        <v>44</v>
      </c>
      <c r="S2244" s="11" t="s">
        <v>44</v>
      </c>
      <c r="T2244" s="22"/>
      <c r="U2244" s="22"/>
      <c r="V2244" s="22"/>
      <c r="W2244" s="22"/>
      <c r="X2244" s="22"/>
      <c r="Y2244" s="22"/>
      <c r="Z2244" s="22"/>
      <c r="AA2244" s="22"/>
      <c r="AB2244" s="22"/>
      <c r="AC2244" s="22"/>
      <c r="AD2244" s="22"/>
      <c r="AE2244" s="22"/>
      <c r="AG2244" s="71"/>
      <c r="AH2244" s="71"/>
      <c r="AI2244" s="71"/>
      <c r="AJ2244" s="71"/>
      <c r="AK2244" s="71"/>
      <c r="AL2244" s="71"/>
      <c r="AM2244" s="71"/>
      <c r="AN2244" s="71"/>
      <c r="AO2244" s="71"/>
      <c r="AP2244" s="71"/>
      <c r="AQ2244" s="71"/>
      <c r="AR2244" s="71"/>
      <c r="AS2244" s="94" t="str" cm="1">
        <f t="array" ref="AS2244">IFERROR(INDEX(T2244:AE2244,1,MATCH(2,1/(T2244:AE2244&lt;&gt;""))),"")</f>
        <v/>
      </c>
      <c r="AT2244" s="95" t="str" cm="1">
        <f t="array" ref="AT2244">IFERROR(INDEX(AJ2244:AR2244,1,MATCH(2,1/(AJ2244:AR2244&lt;&gt;""))),"")</f>
        <v/>
      </c>
      <c r="AU2244" s="97" t="str">
        <f t="shared" si="2661"/>
        <v/>
      </c>
      <c r="AW2244" s="51" t="str">
        <f t="shared" si="2662"/>
        <v/>
      </c>
      <c r="AX2244" s="51"/>
      <c r="AY2244" s="51"/>
      <c r="AZ2244" s="51"/>
      <c r="BA2244" s="51"/>
      <c r="BB2244" s="51"/>
      <c r="BC2244" s="51"/>
      <c r="BD2244" s="51"/>
      <c r="BE2244" s="51"/>
      <c r="BF2244" s="51"/>
      <c r="BG2244" s="51"/>
      <c r="BH2244" s="51"/>
      <c r="BI2244" s="65" t="str" cm="1">
        <f t="array" ref="BI2244">IFERROR(INDEX(AW2244:BH2244,1,MATCH(2,1/(AW2244:BH2244&lt;&gt;""))),"")</f>
        <v/>
      </c>
      <c r="BJ2244" s="68" t="str" cm="1">
        <f t="array" ref="BJ2244">IF(BM2244 = "", "",IFERROR(INDEX(AW2244:BH2244,1,MATCH(2,1/(AW2244:BH2244&lt;&gt;""),1)-1),""))</f>
        <v/>
      </c>
      <c r="BK2244" s="58" t="str" cm="1">
        <f t="array" ref="BK2244">IFERROR(INDEX(AW2244:BH2244,1,MATCH(2,1/(AW2244:BH2244&lt;&gt;""))),"")</f>
        <v/>
      </c>
      <c r="BL2244" s="58" t="str" cm="1">
        <f t="array" ref="BL2244">IFERROR(INDEX(AW2244:BH2244,1,MATCH(2,1/(AW2244:BH2244&lt;&gt;""),1)-1),"")</f>
        <v/>
      </c>
      <c r="BM2244" s="55" t="str" cm="1">
        <f t="array" ref="BM2244">IFERROR(
   INDEX($AW$1:$BH$1,
      _xlfn.AGGREGATE(14, 6, COLUMN($AW$1:$BH$1)/(AW2244:BH2244&lt;&gt;""), 2) - COLUMN($AW$1) + 1
   ),
"")</f>
        <v/>
      </c>
      <c r="BN2244" s="55" t="str" cm="1">
        <f t="array" ref="BN2244">IFERROR(INDEX($AW$1:$BH$1,1,MATCH(2,1/(AW2244:BH2244&lt;&gt;""))),"")</f>
        <v/>
      </c>
      <c r="BO2244" s="53">
        <f ca="1">IFERROR(_xlfn.XLOOKUP(F2244,Apuração!A:A,Apuração!C:C)/_xlfn.XLOOKUP(F2244,Apuração!A:A,Apuração!B:B),0)</f>
        <v>0</v>
      </c>
      <c r="BP2244" s="53">
        <f ca="1">IFERROR(_xlfn.XLOOKUP(F2244,Apuração!A:A,Apuração!D:D)/_xlfn.XLOOKUP(F2244,Apuração!A:A,Apuração!B:B),0)</f>
        <v>0</v>
      </c>
      <c r="BQ2244" s="53">
        <f ca="1">IF(BK2244&gt;=BO2244,0,_xlfn.XLOOKUP(F2244,Apuração!A:A,Apuração!B:B)*(BO2244 + (1/_xlfn.XLOOKUP(F2244,Apuração!A:A,Apuração!B:B)) - BK2244))</f>
        <v>0</v>
      </c>
      <c r="BR2244" s="85">
        <f t="shared" ca="1" si="2663"/>
        <v>0</v>
      </c>
      <c r="BS2244" s="53">
        <f ca="1">IFERROR((_xlfn.XLOOKUP(F2244,Apuração!A:A,Apuração!C:C)+1)/_xlfn.XLOOKUP(F2244,Apuração!A:A,Apuração!B:B),0)</f>
        <v>0.14285714285714285</v>
      </c>
    </row>
    <row r="2245" spans="1:71" ht="25.95" hidden="1" customHeight="1" x14ac:dyDescent="0.3">
      <c r="A2245" s="33" t="s">
        <v>175</v>
      </c>
      <c r="B2245" s="4" t="s">
        <v>197</v>
      </c>
      <c r="C2245" s="5" t="s">
        <v>216</v>
      </c>
      <c r="D2245" s="5" t="s">
        <v>36</v>
      </c>
      <c r="E2245" s="4" t="s">
        <v>96</v>
      </c>
      <c r="F2245" s="4" t="str" cm="1">
        <f t="array" ref="F2245">_xlfn.IFS(
AG2245 &lt;&gt; "", "Jan-Dez/26",
AH2245 &lt;&gt; "", "Fev-Dez/26",
AI2245 &lt;&gt; "", "Mar-Dez/26", AJ2245 &lt;&gt; "", "Abr-Dez/26",
TRUE, "A partir de Junho"
)</f>
        <v>A partir de Junho</v>
      </c>
      <c r="G2245" s="4" t="s">
        <v>62</v>
      </c>
      <c r="H2245" s="7" t="s">
        <v>38</v>
      </c>
      <c r="I2245" s="8" t="s">
        <v>177</v>
      </c>
      <c r="J2245" s="8" t="str" cm="1">
        <f t="array" aca="1" ref="J2245" ca="1">_xlfn.LET(
  _xlpm.actual_value_month, INDEX(T2245:AE2245, MATCH(DATE(YEAR(TODAY()), MONTH(TODAY()), 1), $T$1:$AE$1, 0)),
  IF(_xlpm.actual_value_month &lt;&gt; "", _xlpm.actual_value_month &amp; " ações mensais", "")
)</f>
        <v/>
      </c>
      <c r="K2245" s="8" t="str" cm="1">
        <f t="array" ref="K2245">_xlfn.LET(
    _xlpm.sum_month, SUM(T2245:AE2245),
    IF(_xlpm.sum_month = 0, "", _xlpm.sum_month &amp; " certificados gerados.")
)</f>
        <v/>
      </c>
      <c r="L2245" s="9" t="s">
        <v>198</v>
      </c>
      <c r="M2245" s="13">
        <v>1</v>
      </c>
      <c r="N2245" s="5" t="s">
        <v>42</v>
      </c>
      <c r="O2245" s="5" t="s">
        <v>43</v>
      </c>
      <c r="P2245" s="10" t="s">
        <v>146</v>
      </c>
      <c r="Q2245" s="10" t="s">
        <v>44</v>
      </c>
      <c r="R2245" s="11" t="s">
        <v>179</v>
      </c>
      <c r="S2245" s="11" t="s">
        <v>67</v>
      </c>
      <c r="T2245" s="22"/>
      <c r="U2245" s="22"/>
      <c r="V2245" s="22"/>
      <c r="W2245" s="22"/>
      <c r="X2245" s="22"/>
      <c r="Y2245" s="22"/>
      <c r="Z2245" s="22"/>
      <c r="AA2245" s="22"/>
      <c r="AB2245" s="22"/>
      <c r="AC2245" s="22"/>
      <c r="AD2245" s="22"/>
      <c r="AE2245" s="22"/>
      <c r="AG2245" s="71"/>
      <c r="AH2245" s="71"/>
      <c r="AI2245" s="71"/>
      <c r="AJ2245" s="71"/>
      <c r="AK2245" s="71"/>
      <c r="AL2245" s="71"/>
      <c r="AM2245" s="71"/>
      <c r="AN2245" s="71"/>
      <c r="AO2245" s="71"/>
      <c r="AP2245" s="71"/>
      <c r="AQ2245" s="71"/>
      <c r="AR2245" s="71"/>
      <c r="AS2245" s="94" t="str" cm="1">
        <f t="array" ref="AS2245">IFERROR(INDEX(T2245:AE2245,1,MATCH(2,1/(T2245:AE2245&lt;&gt;""))),"")</f>
        <v/>
      </c>
      <c r="AT2245" s="95" t="str" cm="1">
        <f t="array" ref="AT2245">IFERROR(INDEX(AJ2245:AR2245,1,MATCH(2,1/(AJ2245:AR2245&lt;&gt;""))),"")</f>
        <v/>
      </c>
      <c r="AU2245" s="97" t="str">
        <f>AT2245</f>
        <v/>
      </c>
      <c r="AW2245" s="51"/>
      <c r="AX2245" s="51"/>
      <c r="AY2245" s="51"/>
      <c r="AZ2245" s="51"/>
      <c r="BA2245" s="51"/>
      <c r="BB2245" s="51"/>
      <c r="BC2245" s="51"/>
      <c r="BD2245" s="51"/>
      <c r="BE2245" s="51"/>
      <c r="BF2245" s="51"/>
      <c r="BG2245" s="51"/>
      <c r="BH2245" s="51"/>
      <c r="BI2245" s="65" t="str" cm="1">
        <f t="array" ref="BI2245">IFERROR(INDEX(AW2245:BH2245,1,MATCH(2,1/(AW2245:BH2245&lt;&gt;""))),"")</f>
        <v/>
      </c>
      <c r="BJ2245" s="68" t="str" cm="1">
        <f t="array" ref="BJ2245">IF(BM2245 = "", "",IFERROR(INDEX(AW2245:BH2245,1,MATCH(2,1/(AW2245:BH2245&lt;&gt;""),1)-1),""))</f>
        <v/>
      </c>
      <c r="BK2245" s="58" t="str" cm="1">
        <f t="array" ref="BK2245">IFERROR(INDEX(AW2245:BH2245,1,MATCH(2,1/(AW2245:BH2245&lt;&gt;""))),"")</f>
        <v/>
      </c>
      <c r="BL2245" s="58" t="str" cm="1">
        <f t="array" ref="BL2245">IFERROR(INDEX(AW2245:BH2245,1,MATCH(2,1/(AW2245:BH2245&lt;&gt;""),1)-1),"")</f>
        <v/>
      </c>
      <c r="BM2245" s="55" t="str" cm="1">
        <f t="array" ref="BM2245">IFERROR(
   INDEX($AW$1:$BH$1,
      _xlfn.AGGREGATE(14, 6, COLUMN($AW$1:$BH$1)/(AW2245:BH2245&lt;&gt;""), 2) - COLUMN($AW$1) + 1
   ),
"")</f>
        <v/>
      </c>
      <c r="BN2245" s="55" t="str" cm="1">
        <f t="array" ref="BN2245">IFERROR(INDEX($AW$1:$BH$1,1,MATCH(2,1/(AW2245:BH2245&lt;&gt;""))),"")</f>
        <v/>
      </c>
      <c r="BO2245" s="53">
        <f ca="1">IFERROR(_xlfn.XLOOKUP(F2245,Apuração!A:A,Apuração!C:C)/_xlfn.XLOOKUP(F2245,Apuração!A:A,Apuração!B:B),0)</f>
        <v>0</v>
      </c>
      <c r="BP2245" s="53">
        <f ca="1">IFERROR(_xlfn.XLOOKUP(F2245,Apuração!A:A,Apuração!D:D)/_xlfn.XLOOKUP(F2245,Apuração!A:A,Apuração!B:B),0)</f>
        <v>0</v>
      </c>
      <c r="BQ2245" s="53">
        <f ca="1">IF(BK2245&gt;=BO2245,0,_xlfn.XLOOKUP(F2245,Apuração!A:A,Apuração!B:B)*(BO2245 + (1/_xlfn.XLOOKUP(F2245,Apuração!A:A,Apuração!B:B)) - BK2245))</f>
        <v>0</v>
      </c>
      <c r="BR2245" s="85">
        <f ca="1">IF(BQ2245=0,0,BQ2245*Z2245)</f>
        <v>0</v>
      </c>
      <c r="BS2245" s="53">
        <f ca="1">IFERROR((_xlfn.XLOOKUP(F2245,Apuração!A:A,Apuração!C:C)+1)/_xlfn.XLOOKUP(F2245,Apuração!A:A,Apuração!B:B),0)</f>
        <v>0.14285714285714285</v>
      </c>
    </row>
    <row r="2246" spans="1:71" ht="25.95" hidden="1" customHeight="1" x14ac:dyDescent="0.3">
      <c r="A2246" s="33" t="s">
        <v>175</v>
      </c>
      <c r="B2246" s="4" t="s">
        <v>197</v>
      </c>
      <c r="C2246" s="5" t="s">
        <v>216</v>
      </c>
      <c r="D2246" s="5" t="s">
        <v>217</v>
      </c>
      <c r="E2246" s="4" t="s">
        <v>96</v>
      </c>
      <c r="F2246" s="4" t="str" cm="1">
        <f t="array" ref="F2246">_xlfn.IFS(
AG2246 &lt;&gt; "", "Jan-Dez/26",
AH2246 &lt;&gt; "", "Fev-Dez/26",
AI2246 &lt;&gt; "", "Mar-Dez/26", AJ2246 &lt;&gt; "", "Abr-Dez/26",
TRUE, "A partir de Junho"
)</f>
        <v>A partir de Junho</v>
      </c>
      <c r="G2246" s="4" t="s">
        <v>62</v>
      </c>
      <c r="H2246" s="7" t="s">
        <v>38</v>
      </c>
      <c r="I2246" s="8" t="s">
        <v>177</v>
      </c>
      <c r="J2246" s="8" t="str" cm="1">
        <f t="array" aca="1" ref="J2246" ca="1">_xlfn.LET(
  _xlpm.actual_value_month, INDEX(T2246:AE2246, MATCH(DATE(YEAR(TODAY()), MONTH(TODAY()), 1), $T$1:$AE$1, 0)),
  IF(_xlpm.actual_value_month &lt;&gt; "", _xlpm.actual_value_month &amp; " ações mensais", "")
)</f>
        <v/>
      </c>
      <c r="K2246" s="8" t="str" cm="1">
        <f t="array" ref="K2246">_xlfn.LET(
    _xlpm.sum_month, SUM(T2246:AE2246),
    IF(_xlpm.sum_month = 0, "", _xlpm.sum_month &amp; " certificados gerados.")
)</f>
        <v/>
      </c>
      <c r="L2246" s="9" t="s">
        <v>198</v>
      </c>
      <c r="M2246" s="13">
        <v>1</v>
      </c>
      <c r="N2246" s="5" t="s">
        <v>42</v>
      </c>
      <c r="O2246" s="5" t="s">
        <v>43</v>
      </c>
      <c r="P2246" s="10" t="s">
        <v>146</v>
      </c>
      <c r="Q2246" s="10" t="s">
        <v>44</v>
      </c>
      <c r="R2246" s="11" t="s">
        <v>179</v>
      </c>
      <c r="S2246" s="11" t="s">
        <v>67</v>
      </c>
      <c r="T2246" s="22"/>
      <c r="U2246" s="22"/>
      <c r="V2246" s="22"/>
      <c r="W2246" s="22"/>
      <c r="X2246" s="22"/>
      <c r="Y2246" s="22"/>
      <c r="Z2246" s="22"/>
      <c r="AA2246" s="22"/>
      <c r="AB2246" s="22"/>
      <c r="AC2246" s="22"/>
      <c r="AD2246" s="22"/>
      <c r="AE2246" s="22"/>
      <c r="AG2246" s="71"/>
      <c r="AH2246" s="71"/>
      <c r="AI2246" s="71"/>
      <c r="AJ2246" s="71"/>
      <c r="AK2246" s="71"/>
      <c r="AL2246" s="71"/>
      <c r="AM2246" s="71"/>
      <c r="AN2246" s="71"/>
      <c r="AO2246" s="71"/>
      <c r="AP2246" s="71"/>
      <c r="AQ2246" s="71"/>
      <c r="AR2246" s="71"/>
      <c r="AS2246" s="94" t="str" cm="1">
        <f t="array" ref="AS2246">IFERROR(INDEX(T2246:AE2246,1,MATCH(2,1/(T2246:AE2246&lt;&gt;""))),"")</f>
        <v/>
      </c>
      <c r="AT2246" s="95" t="str" cm="1">
        <f t="array" ref="AT2246">IFERROR(INDEX(AJ2246:AR2246,1,MATCH(2,1/(AJ2246:AR2246&lt;&gt;""))),"")</f>
        <v/>
      </c>
      <c r="AU2246" s="97" t="str">
        <f t="shared" ref="AU2246:AU2249" si="2664">AT2246</f>
        <v/>
      </c>
      <c r="AW2246" s="51"/>
      <c r="AX2246" s="51"/>
      <c r="AY2246" s="51"/>
      <c r="AZ2246" s="51"/>
      <c r="BA2246" s="51"/>
      <c r="BB2246" s="51"/>
      <c r="BC2246" s="51"/>
      <c r="BD2246" s="51"/>
      <c r="BE2246" s="51"/>
      <c r="BF2246" s="51"/>
      <c r="BG2246" s="51"/>
      <c r="BH2246" s="51"/>
      <c r="BI2246" s="65" t="str" cm="1">
        <f t="array" ref="BI2246">IFERROR(INDEX(AW2246:BH2246,1,MATCH(2,1/(AW2246:BH2246&lt;&gt;""))),"")</f>
        <v/>
      </c>
      <c r="BJ2246" s="68" t="str" cm="1">
        <f t="array" ref="BJ2246">IF(BM2246 = "", "",IFERROR(INDEX(AW2246:BH2246,1,MATCH(2,1/(AW2246:BH2246&lt;&gt;""),1)-1),""))</f>
        <v/>
      </c>
      <c r="BK2246" s="58" t="str" cm="1">
        <f t="array" ref="BK2246">IFERROR(INDEX(AW2246:BH2246,1,MATCH(2,1/(AW2246:BH2246&lt;&gt;""))),"")</f>
        <v/>
      </c>
      <c r="BL2246" s="58" t="str" cm="1">
        <f t="array" ref="BL2246">IFERROR(INDEX(AW2246:BH2246,1,MATCH(2,1/(AW2246:BH2246&lt;&gt;""),1)-1),"")</f>
        <v/>
      </c>
      <c r="BM2246" s="55" t="str" cm="1">
        <f t="array" ref="BM2246">IFERROR(
   INDEX($AW$1:$BH$1,
      _xlfn.AGGREGATE(14, 6, COLUMN($AW$1:$BH$1)/(AW2246:BH2246&lt;&gt;""), 2) - COLUMN($AW$1) + 1
   ),
"")</f>
        <v/>
      </c>
      <c r="BN2246" s="55" t="str" cm="1">
        <f t="array" ref="BN2246">IFERROR(INDEX($AW$1:$BH$1,1,MATCH(2,1/(AW2246:BH2246&lt;&gt;""))),"")</f>
        <v/>
      </c>
      <c r="BO2246" s="53">
        <f ca="1">IFERROR(_xlfn.XLOOKUP(F2246,Apuração!A:A,Apuração!C:C)/_xlfn.XLOOKUP(F2246,Apuração!A:A,Apuração!B:B),0)</f>
        <v>0</v>
      </c>
      <c r="BP2246" s="53">
        <f ca="1">IFERROR(_xlfn.XLOOKUP(F2246,Apuração!A:A,Apuração!D:D)/_xlfn.XLOOKUP(F2246,Apuração!A:A,Apuração!B:B),0)</f>
        <v>0</v>
      </c>
      <c r="BQ2246" s="53">
        <f ca="1">IF(BK2246&gt;=BO2246,0,_xlfn.XLOOKUP(F2246,Apuração!A:A,Apuração!B:B)*(BO2246 + (1/_xlfn.XLOOKUP(F2246,Apuração!A:A,Apuração!B:B)) - BK2246))</f>
        <v>0</v>
      </c>
      <c r="BR2246" s="85">
        <f t="shared" ref="BR2246:BR2249" ca="1" si="2665">IF(BQ2246=0,0,BQ2246*Z2246)</f>
        <v>0</v>
      </c>
      <c r="BS2246" s="53">
        <f ca="1">IFERROR((_xlfn.XLOOKUP(F2246,Apuração!A:A,Apuração!C:C)+1)/_xlfn.XLOOKUP(F2246,Apuração!A:A,Apuração!B:B),0)</f>
        <v>0.14285714285714285</v>
      </c>
    </row>
    <row r="2247" spans="1:71" ht="25.95" hidden="1" customHeight="1" x14ac:dyDescent="0.3">
      <c r="A2247" s="33" t="s">
        <v>175</v>
      </c>
      <c r="B2247" s="4" t="s">
        <v>197</v>
      </c>
      <c r="C2247" s="5" t="s">
        <v>216</v>
      </c>
      <c r="D2247" s="5" t="s">
        <v>103</v>
      </c>
      <c r="E2247" s="4" t="s">
        <v>96</v>
      </c>
      <c r="F2247" s="4" t="str" cm="1">
        <f t="array" ref="F2247">_xlfn.IFS(
AG2247 &lt;&gt; "", "Jan-Dez/26",
AH2247 &lt;&gt; "", "Fev-Dez/26",
AI2247 &lt;&gt; "", "Mar-Dez/26", AJ2247 &lt;&gt; "", "Abr-Dez/26",
TRUE, "A partir de Junho"
)</f>
        <v>A partir de Junho</v>
      </c>
      <c r="G2247" s="4" t="s">
        <v>62</v>
      </c>
      <c r="H2247" s="7" t="s">
        <v>38</v>
      </c>
      <c r="I2247" s="8" t="s">
        <v>177</v>
      </c>
      <c r="J2247" s="8" t="str" cm="1">
        <f t="array" aca="1" ref="J2247" ca="1">_xlfn.LET(
  _xlpm.actual_value_month, INDEX(T2247:AE2247, MATCH(DATE(YEAR(TODAY()), MONTH(TODAY()), 1), $T$1:$AE$1, 0)),
  IF(_xlpm.actual_value_month &lt;&gt; "", _xlpm.actual_value_month &amp; " ações mensais", "")
)</f>
        <v/>
      </c>
      <c r="K2247" s="8" t="str" cm="1">
        <f t="array" ref="K2247">_xlfn.LET(
    _xlpm.sum_month, SUM(T2247:AE2247),
    IF(_xlpm.sum_month = 0, "", _xlpm.sum_month &amp; " certificados gerados.")
)</f>
        <v/>
      </c>
      <c r="L2247" s="9" t="s">
        <v>198</v>
      </c>
      <c r="M2247" s="13">
        <v>1</v>
      </c>
      <c r="N2247" s="5" t="s">
        <v>42</v>
      </c>
      <c r="O2247" s="5" t="s">
        <v>43</v>
      </c>
      <c r="P2247" s="10" t="s">
        <v>146</v>
      </c>
      <c r="Q2247" s="10" t="s">
        <v>44</v>
      </c>
      <c r="R2247" s="11" t="s">
        <v>179</v>
      </c>
      <c r="S2247" s="11" t="s">
        <v>67</v>
      </c>
      <c r="T2247" s="22"/>
      <c r="U2247" s="22"/>
      <c r="V2247" s="22"/>
      <c r="W2247" s="22"/>
      <c r="X2247" s="22"/>
      <c r="Y2247" s="22"/>
      <c r="Z2247" s="22"/>
      <c r="AA2247" s="22"/>
      <c r="AB2247" s="22"/>
      <c r="AC2247" s="22"/>
      <c r="AD2247" s="22"/>
      <c r="AE2247" s="22"/>
      <c r="AG2247" s="71"/>
      <c r="AH2247" s="71"/>
      <c r="AI2247" s="71"/>
      <c r="AJ2247" s="71"/>
      <c r="AK2247" s="71"/>
      <c r="AL2247" s="71"/>
      <c r="AM2247" s="71"/>
      <c r="AN2247" s="71"/>
      <c r="AO2247" s="71"/>
      <c r="AP2247" s="71"/>
      <c r="AQ2247" s="71"/>
      <c r="AR2247" s="71"/>
      <c r="AS2247" s="94" t="str" cm="1">
        <f t="array" ref="AS2247">IFERROR(INDEX(T2247:AE2247,1,MATCH(2,1/(T2247:AE2247&lt;&gt;""))),"")</f>
        <v/>
      </c>
      <c r="AT2247" s="95" t="str" cm="1">
        <f t="array" ref="AT2247">IFERROR(INDEX(AJ2247:AR2247,1,MATCH(2,1/(AJ2247:AR2247&lt;&gt;""))),"")</f>
        <v/>
      </c>
      <c r="AU2247" s="97" t="str">
        <f t="shared" si="2664"/>
        <v/>
      </c>
      <c r="AW2247" s="51"/>
      <c r="AX2247" s="51"/>
      <c r="AY2247" s="51"/>
      <c r="AZ2247" s="51"/>
      <c r="BA2247" s="51"/>
      <c r="BB2247" s="51"/>
      <c r="BC2247" s="51"/>
      <c r="BD2247" s="51"/>
      <c r="BE2247" s="51"/>
      <c r="BF2247" s="51"/>
      <c r="BG2247" s="51"/>
      <c r="BH2247" s="51"/>
      <c r="BI2247" s="65" t="str" cm="1">
        <f t="array" ref="BI2247">IFERROR(INDEX(AW2247:BH2247,1,MATCH(2,1/(AW2247:BH2247&lt;&gt;""))),"")</f>
        <v/>
      </c>
      <c r="BJ2247" s="68" t="str" cm="1">
        <f t="array" ref="BJ2247">IF(BM2247 = "", "",IFERROR(INDEX(AW2247:BH2247,1,MATCH(2,1/(AW2247:BH2247&lt;&gt;""),1)-1),""))</f>
        <v/>
      </c>
      <c r="BK2247" s="58" t="str" cm="1">
        <f t="array" ref="BK2247">IFERROR(INDEX(AW2247:BH2247,1,MATCH(2,1/(AW2247:BH2247&lt;&gt;""))),"")</f>
        <v/>
      </c>
      <c r="BL2247" s="58" t="str" cm="1">
        <f t="array" ref="BL2247">IFERROR(INDEX(AW2247:BH2247,1,MATCH(2,1/(AW2247:BH2247&lt;&gt;""),1)-1),"")</f>
        <v/>
      </c>
      <c r="BM2247" s="55" t="str" cm="1">
        <f t="array" ref="BM2247">IFERROR(
   INDEX($AW$1:$BH$1,
      _xlfn.AGGREGATE(14, 6, COLUMN($AW$1:$BH$1)/(AW2247:BH2247&lt;&gt;""), 2) - COLUMN($AW$1) + 1
   ),
"")</f>
        <v/>
      </c>
      <c r="BN2247" s="55" t="str" cm="1">
        <f t="array" ref="BN2247">IFERROR(INDEX($AW$1:$BH$1,1,MATCH(2,1/(AW2247:BH2247&lt;&gt;""))),"")</f>
        <v/>
      </c>
      <c r="BO2247" s="53">
        <f ca="1">IFERROR(_xlfn.XLOOKUP(F2247,Apuração!A:A,Apuração!C:C)/_xlfn.XLOOKUP(F2247,Apuração!A:A,Apuração!B:B),0)</f>
        <v>0</v>
      </c>
      <c r="BP2247" s="53">
        <f ca="1">IFERROR(_xlfn.XLOOKUP(F2247,Apuração!A:A,Apuração!D:D)/_xlfn.XLOOKUP(F2247,Apuração!A:A,Apuração!B:B),0)</f>
        <v>0</v>
      </c>
      <c r="BQ2247" s="53">
        <f ca="1">IF(BK2247&gt;=BO2247,0,_xlfn.XLOOKUP(F2247,Apuração!A:A,Apuração!B:B)*(BO2247 + (1/_xlfn.XLOOKUP(F2247,Apuração!A:A,Apuração!B:B)) - BK2247))</f>
        <v>0</v>
      </c>
      <c r="BR2247" s="85">
        <f t="shared" ca="1" si="2665"/>
        <v>0</v>
      </c>
      <c r="BS2247" s="53">
        <f ca="1">IFERROR((_xlfn.XLOOKUP(F2247,Apuração!A:A,Apuração!C:C)+1)/_xlfn.XLOOKUP(F2247,Apuração!A:A,Apuração!B:B),0)</f>
        <v>0.14285714285714285</v>
      </c>
    </row>
    <row r="2248" spans="1:71" ht="25.95" hidden="1" customHeight="1" x14ac:dyDescent="0.3">
      <c r="A2248" s="33" t="s">
        <v>175</v>
      </c>
      <c r="B2248" s="4" t="s">
        <v>197</v>
      </c>
      <c r="C2248" s="5" t="s">
        <v>216</v>
      </c>
      <c r="D2248" s="5" t="s">
        <v>218</v>
      </c>
      <c r="E2248" s="4" t="s">
        <v>96</v>
      </c>
      <c r="F2248" s="4" t="str" cm="1">
        <f t="array" ref="F2248">_xlfn.IFS(
AG2248 &lt;&gt; "", "Jan-Dez/26",
AH2248 &lt;&gt; "", "Fev-Dez/26",
AI2248 &lt;&gt; "", "Mar-Dez/26", AJ2248 &lt;&gt; "", "Abr-Dez/26",
TRUE, "A partir de Junho"
)</f>
        <v>A partir de Junho</v>
      </c>
      <c r="G2248" s="4" t="s">
        <v>62</v>
      </c>
      <c r="H2248" s="7" t="s">
        <v>38</v>
      </c>
      <c r="I2248" s="8" t="s">
        <v>177</v>
      </c>
      <c r="J2248" s="8" t="str" cm="1">
        <f t="array" aca="1" ref="J2248" ca="1">_xlfn.LET(
  _xlpm.actual_value_month, INDEX(T2248:AE2248, MATCH(DATE(YEAR(TODAY()), MONTH(TODAY()), 1), $T$1:$AE$1, 0)),
  IF(_xlpm.actual_value_month &lt;&gt; "", _xlpm.actual_value_month &amp; " ações mensais", "")
)</f>
        <v/>
      </c>
      <c r="K2248" s="8" t="str" cm="1">
        <f t="array" ref="K2248">_xlfn.LET(
    _xlpm.sum_month, SUM(T2248:AE2248),
    IF(_xlpm.sum_month = 0, "", _xlpm.sum_month &amp; " certificados gerados.")
)</f>
        <v/>
      </c>
      <c r="L2248" s="9" t="s">
        <v>198</v>
      </c>
      <c r="M2248" s="13">
        <v>1</v>
      </c>
      <c r="N2248" s="5" t="s">
        <v>42</v>
      </c>
      <c r="O2248" s="5" t="s">
        <v>43</v>
      </c>
      <c r="P2248" s="10" t="s">
        <v>146</v>
      </c>
      <c r="Q2248" s="10" t="s">
        <v>44</v>
      </c>
      <c r="R2248" s="11" t="s">
        <v>179</v>
      </c>
      <c r="S2248" s="11" t="s">
        <v>67</v>
      </c>
      <c r="T2248" s="22"/>
      <c r="U2248" s="22"/>
      <c r="V2248" s="22"/>
      <c r="W2248" s="22"/>
      <c r="X2248" s="22"/>
      <c r="Y2248" s="22"/>
      <c r="Z2248" s="22"/>
      <c r="AA2248" s="22"/>
      <c r="AB2248" s="22"/>
      <c r="AC2248" s="22"/>
      <c r="AD2248" s="22"/>
      <c r="AE2248" s="22"/>
      <c r="AG2248" s="71"/>
      <c r="AH2248" s="71"/>
      <c r="AI2248" s="71"/>
      <c r="AJ2248" s="71"/>
      <c r="AK2248" s="71"/>
      <c r="AL2248" s="71"/>
      <c r="AM2248" s="71"/>
      <c r="AN2248" s="71"/>
      <c r="AO2248" s="71"/>
      <c r="AP2248" s="71"/>
      <c r="AQ2248" s="71"/>
      <c r="AR2248" s="71"/>
      <c r="AS2248" s="94" t="str" cm="1">
        <f t="array" ref="AS2248">IFERROR(INDEX(T2248:AE2248,1,MATCH(2,1/(T2248:AE2248&lt;&gt;""))),"")</f>
        <v/>
      </c>
      <c r="AT2248" s="95" t="str" cm="1">
        <f t="array" ref="AT2248">IFERROR(INDEX(AJ2248:AR2248,1,MATCH(2,1/(AJ2248:AR2248&lt;&gt;""))),"")</f>
        <v/>
      </c>
      <c r="AU2248" s="97" t="str">
        <f t="shared" si="2664"/>
        <v/>
      </c>
      <c r="AW2248" s="51"/>
      <c r="AX2248" s="51"/>
      <c r="AY2248" s="51"/>
      <c r="AZ2248" s="51"/>
      <c r="BA2248" s="51"/>
      <c r="BB2248" s="51"/>
      <c r="BC2248" s="51"/>
      <c r="BD2248" s="51"/>
      <c r="BE2248" s="51"/>
      <c r="BF2248" s="51"/>
      <c r="BG2248" s="51"/>
      <c r="BH2248" s="51"/>
      <c r="BI2248" s="65" t="str" cm="1">
        <f t="array" ref="BI2248">IFERROR(INDEX(AW2248:BH2248,1,MATCH(2,1/(AW2248:BH2248&lt;&gt;""))),"")</f>
        <v/>
      </c>
      <c r="BJ2248" s="68" t="str" cm="1">
        <f t="array" ref="BJ2248">IF(BM2248 = "", "",IFERROR(INDEX(AW2248:BH2248,1,MATCH(2,1/(AW2248:BH2248&lt;&gt;""),1)-1),""))</f>
        <v/>
      </c>
      <c r="BK2248" s="58" t="str" cm="1">
        <f t="array" ref="BK2248">IFERROR(INDEX(AW2248:BH2248,1,MATCH(2,1/(AW2248:BH2248&lt;&gt;""))),"")</f>
        <v/>
      </c>
      <c r="BL2248" s="58" t="str" cm="1">
        <f t="array" ref="BL2248">IFERROR(INDEX(AW2248:BH2248,1,MATCH(2,1/(AW2248:BH2248&lt;&gt;""),1)-1),"")</f>
        <v/>
      </c>
      <c r="BM2248" s="55" t="str" cm="1">
        <f t="array" ref="BM2248">IFERROR(
   INDEX($AW$1:$BH$1,
      _xlfn.AGGREGATE(14, 6, COLUMN($AW$1:$BH$1)/(AW2248:BH2248&lt;&gt;""), 2) - COLUMN($AW$1) + 1
   ),
"")</f>
        <v/>
      </c>
      <c r="BN2248" s="55" t="str" cm="1">
        <f t="array" ref="BN2248">IFERROR(INDEX($AW$1:$BH$1,1,MATCH(2,1/(AW2248:BH2248&lt;&gt;""))),"")</f>
        <v/>
      </c>
      <c r="BO2248" s="53">
        <f ca="1">IFERROR(_xlfn.XLOOKUP(F2248,Apuração!A:A,Apuração!C:C)/_xlfn.XLOOKUP(F2248,Apuração!A:A,Apuração!B:B),0)</f>
        <v>0</v>
      </c>
      <c r="BP2248" s="53">
        <f ca="1">IFERROR(_xlfn.XLOOKUP(F2248,Apuração!A:A,Apuração!D:D)/_xlfn.XLOOKUP(F2248,Apuração!A:A,Apuração!B:B),0)</f>
        <v>0</v>
      </c>
      <c r="BQ2248" s="53">
        <f ca="1">IF(BK2248&gt;=BO2248,0,_xlfn.XLOOKUP(F2248,Apuração!A:A,Apuração!B:B)*(BO2248 + (1/_xlfn.XLOOKUP(F2248,Apuração!A:A,Apuração!B:B)) - BK2248))</f>
        <v>0</v>
      </c>
      <c r="BR2248" s="85">
        <f t="shared" ca="1" si="2665"/>
        <v>0</v>
      </c>
      <c r="BS2248" s="53">
        <f ca="1">IFERROR((_xlfn.XLOOKUP(F2248,Apuração!A:A,Apuração!C:C)+1)/_xlfn.XLOOKUP(F2248,Apuração!A:A,Apuração!B:B),0)</f>
        <v>0.14285714285714285</v>
      </c>
    </row>
    <row r="2249" spans="1:71" ht="25.95" hidden="1" customHeight="1" x14ac:dyDescent="0.3">
      <c r="A2249" s="33" t="s">
        <v>175</v>
      </c>
      <c r="B2249" s="4" t="s">
        <v>197</v>
      </c>
      <c r="C2249" s="5" t="s">
        <v>216</v>
      </c>
      <c r="D2249" s="5" t="s">
        <v>219</v>
      </c>
      <c r="E2249" s="4" t="s">
        <v>96</v>
      </c>
      <c r="F2249" s="4" t="str" cm="1">
        <f t="array" ref="F2249">_xlfn.IFS(
AG2249 &lt;&gt; "", "Jan-Dez/26",
AH2249 &lt;&gt; "", "Fev-Dez/26",
AI2249 &lt;&gt; "", "Mar-Dez/26", AJ2249 &lt;&gt; "", "Abr-Dez/26",
TRUE, "A partir de Junho"
)</f>
        <v>A partir de Junho</v>
      </c>
      <c r="G2249" s="4" t="s">
        <v>62</v>
      </c>
      <c r="H2249" s="7" t="s">
        <v>38</v>
      </c>
      <c r="I2249" s="8" t="s">
        <v>177</v>
      </c>
      <c r="J2249" s="8" t="str" cm="1">
        <f t="array" aca="1" ref="J2249" ca="1">_xlfn.LET(
  _xlpm.actual_value_month, INDEX(T2249:AE2249, MATCH(DATE(YEAR(TODAY()), MONTH(TODAY()), 1), $T$1:$AE$1, 0)),
  IF(_xlpm.actual_value_month &lt;&gt; "", _xlpm.actual_value_month &amp; " ações mensais", "")
)</f>
        <v/>
      </c>
      <c r="K2249" s="8" t="str" cm="1">
        <f t="array" ref="K2249">_xlfn.LET(
    _xlpm.sum_month, SUM(T2249:AE2249),
    IF(_xlpm.sum_month = 0, "", _xlpm.sum_month &amp; " certificados gerados.")
)</f>
        <v/>
      </c>
      <c r="L2249" s="9" t="s">
        <v>198</v>
      </c>
      <c r="M2249" s="13">
        <v>1</v>
      </c>
      <c r="N2249" s="5" t="s">
        <v>42</v>
      </c>
      <c r="O2249" s="5" t="s">
        <v>43</v>
      </c>
      <c r="P2249" s="10" t="s">
        <v>146</v>
      </c>
      <c r="Q2249" s="10" t="s">
        <v>44</v>
      </c>
      <c r="R2249" s="11" t="s">
        <v>179</v>
      </c>
      <c r="S2249" s="11" t="s">
        <v>67</v>
      </c>
      <c r="T2249" s="22"/>
      <c r="U2249" s="22"/>
      <c r="V2249" s="22"/>
      <c r="W2249" s="22"/>
      <c r="X2249" s="22"/>
      <c r="Y2249" s="22"/>
      <c r="Z2249" s="22"/>
      <c r="AA2249" s="22"/>
      <c r="AB2249" s="22"/>
      <c r="AC2249" s="22"/>
      <c r="AD2249" s="22"/>
      <c r="AE2249" s="22"/>
      <c r="AG2249" s="71"/>
      <c r="AH2249" s="71"/>
      <c r="AI2249" s="71"/>
      <c r="AJ2249" s="71"/>
      <c r="AK2249" s="71"/>
      <c r="AL2249" s="71"/>
      <c r="AM2249" s="71"/>
      <c r="AN2249" s="71"/>
      <c r="AO2249" s="71"/>
      <c r="AP2249" s="71"/>
      <c r="AQ2249" s="71"/>
      <c r="AR2249" s="71"/>
      <c r="AS2249" s="94" t="str" cm="1">
        <f t="array" ref="AS2249">IFERROR(INDEX(T2249:AE2249,1,MATCH(2,1/(T2249:AE2249&lt;&gt;""))),"")</f>
        <v/>
      </c>
      <c r="AT2249" s="95" t="str" cm="1">
        <f t="array" ref="AT2249">IFERROR(INDEX(AJ2249:AR2249,1,MATCH(2,1/(AJ2249:AR2249&lt;&gt;""))),"")</f>
        <v/>
      </c>
      <c r="AU2249" s="97" t="str">
        <f t="shared" si="2664"/>
        <v/>
      </c>
      <c r="AW2249" s="51"/>
      <c r="AX2249" s="51"/>
      <c r="AY2249" s="51"/>
      <c r="AZ2249" s="51"/>
      <c r="BA2249" s="51"/>
      <c r="BB2249" s="51"/>
      <c r="BC2249" s="51"/>
      <c r="BD2249" s="51"/>
      <c r="BE2249" s="51"/>
      <c r="BF2249" s="51"/>
      <c r="BG2249" s="51"/>
      <c r="BH2249" s="51"/>
      <c r="BI2249" s="65" t="str" cm="1">
        <f t="array" ref="BI2249">IFERROR(INDEX(AW2249:BH2249,1,MATCH(2,1/(AW2249:BH2249&lt;&gt;""))),"")</f>
        <v/>
      </c>
      <c r="BJ2249" s="68" t="str" cm="1">
        <f t="array" ref="BJ2249">IF(BM2249 = "", "",IFERROR(INDEX(AW2249:BH2249,1,MATCH(2,1/(AW2249:BH2249&lt;&gt;""),1)-1),""))</f>
        <v/>
      </c>
      <c r="BK2249" s="58" t="str" cm="1">
        <f t="array" ref="BK2249">IFERROR(INDEX(AW2249:BH2249,1,MATCH(2,1/(AW2249:BH2249&lt;&gt;""))),"")</f>
        <v/>
      </c>
      <c r="BL2249" s="58" t="str" cm="1">
        <f t="array" ref="BL2249">IFERROR(INDEX(AW2249:BH2249,1,MATCH(2,1/(AW2249:BH2249&lt;&gt;""),1)-1),"")</f>
        <v/>
      </c>
      <c r="BM2249" s="55" t="str" cm="1">
        <f t="array" ref="BM2249">IFERROR(
   INDEX($AW$1:$BH$1,
      _xlfn.AGGREGATE(14, 6, COLUMN($AW$1:$BH$1)/(AW2249:BH2249&lt;&gt;""), 2) - COLUMN($AW$1) + 1
   ),
"")</f>
        <v/>
      </c>
      <c r="BN2249" s="55" t="str" cm="1">
        <f t="array" ref="BN2249">IFERROR(INDEX($AW$1:$BH$1,1,MATCH(2,1/(AW2249:BH2249&lt;&gt;""))),"")</f>
        <v/>
      </c>
      <c r="BO2249" s="53">
        <f ca="1">IFERROR(_xlfn.XLOOKUP(F2249,Apuração!A:A,Apuração!C:C)/_xlfn.XLOOKUP(F2249,Apuração!A:A,Apuração!B:B),0)</f>
        <v>0</v>
      </c>
      <c r="BP2249" s="53">
        <f ca="1">IFERROR(_xlfn.XLOOKUP(F2249,Apuração!A:A,Apuração!D:D)/_xlfn.XLOOKUP(F2249,Apuração!A:A,Apuração!B:B),0)</f>
        <v>0</v>
      </c>
      <c r="BQ2249" s="53">
        <f ca="1">IF(BK2249&gt;=BO2249,0,_xlfn.XLOOKUP(F2249,Apuração!A:A,Apuração!B:B)*(BO2249 + (1/_xlfn.XLOOKUP(F2249,Apuração!A:A,Apuração!B:B)) - BK2249))</f>
        <v>0</v>
      </c>
      <c r="BR2249" s="85">
        <f t="shared" ca="1" si="2665"/>
        <v>0</v>
      </c>
      <c r="BS2249" s="53">
        <f ca="1">IFERROR((_xlfn.XLOOKUP(F2249,Apuração!A:A,Apuração!C:C)+1)/_xlfn.XLOOKUP(F2249,Apuração!A:A,Apuração!B:B),0)</f>
        <v>0.14285714285714285</v>
      </c>
    </row>
    <row r="2250" spans="1:71" ht="25.95" hidden="1" customHeight="1" x14ac:dyDescent="0.3">
      <c r="A2250" s="44" t="s">
        <v>175</v>
      </c>
      <c r="B2250" s="4" t="s">
        <v>197</v>
      </c>
      <c r="C2250" s="5" t="s">
        <v>216</v>
      </c>
      <c r="D2250" s="5" t="s">
        <v>36</v>
      </c>
      <c r="E2250" s="4" t="s">
        <v>96</v>
      </c>
      <c r="F2250" s="4" t="str" cm="1">
        <f t="array" ref="F2250">_xlfn.IFS(
AG2250 &lt;&gt; "", "Jan-Dez/26",
AH2250 &lt;&gt; "", "Fev-Dez/26",
AI2250 &lt;&gt; "", "Mar-Dez/26", AJ2250 &lt;&gt; "", "Abr-Dez/26",
TRUE, "A partir de Junho"
)</f>
        <v>A partir de Junho</v>
      </c>
      <c r="G2250" s="4" t="s">
        <v>62</v>
      </c>
      <c r="H2250" s="7" t="s">
        <v>38</v>
      </c>
      <c r="I2250" s="21" t="s">
        <v>180</v>
      </c>
      <c r="J2250" s="8" t="str" cm="1">
        <f t="array" aca="1" ref="J2250" ca="1">_xlfn.LET(
  _xlpm.actual_value_month, INDEX(T2250:AE2250, MATCH(DATE(YEAR(TODAY()), MONTH(TODAY()), 1), $T$1:$AE$1, 0)),
  IF(_xlpm.actual_value_month &lt;&gt; "", _xlpm.actual_value_month &amp; " ações mensais", "")
)</f>
        <v/>
      </c>
      <c r="K2250" s="34" t="str" cm="1">
        <f t="array" ref="K2250">_xlfn.LET(
    _xlpm.sum_month, SUM(T2250:AE2250),
    IF(_xlpm.sum_month = 0, "", _xlpm.sum_month &amp; " colaboradores treinados.")
)</f>
        <v/>
      </c>
      <c r="L2250" s="9" t="s">
        <v>199</v>
      </c>
      <c r="M2250" s="13">
        <v>1</v>
      </c>
      <c r="N2250" s="5" t="s">
        <v>51</v>
      </c>
      <c r="O2250" s="5" t="s">
        <v>52</v>
      </c>
      <c r="P2250" s="10" t="s">
        <v>146</v>
      </c>
      <c r="Q2250" s="10" t="s">
        <v>44</v>
      </c>
      <c r="R2250" s="11" t="s">
        <v>44</v>
      </c>
      <c r="S2250" s="11" t="s">
        <v>44</v>
      </c>
      <c r="T2250" s="22"/>
      <c r="U2250" s="22"/>
      <c r="V2250" s="22"/>
      <c r="W2250" s="22"/>
      <c r="X2250" s="22"/>
      <c r="Y2250" s="22"/>
      <c r="Z2250" s="22"/>
      <c r="AA2250" s="22"/>
      <c r="AB2250" s="22"/>
      <c r="AC2250" s="22"/>
      <c r="AD2250" s="22"/>
      <c r="AE2250" s="22"/>
      <c r="AG2250" s="71"/>
      <c r="AH2250" s="71"/>
      <c r="AI2250" s="71"/>
      <c r="AJ2250" s="71"/>
      <c r="AK2250" s="71"/>
      <c r="AL2250" s="71"/>
      <c r="AM2250" s="71"/>
      <c r="AN2250" s="71"/>
      <c r="AO2250" s="71"/>
      <c r="AP2250" s="71"/>
      <c r="AQ2250" s="71"/>
      <c r="AR2250" s="71"/>
      <c r="AS2250" s="94" t="str" cm="1">
        <f t="array" ref="AS2250">IFERROR(INDEX(T2250:AE2250,1,MATCH(2,1/(T2250:AE2250&lt;&gt;""))),"")</f>
        <v/>
      </c>
      <c r="AT2250" s="95" t="str" cm="1">
        <f t="array" ref="AT2250">IFERROR(INDEX(AJ2250:AR2250,1,MATCH(2,1/(AJ2250:AR2250&lt;&gt;""))),"")</f>
        <v/>
      </c>
      <c r="AU2250" s="97" t="str">
        <f>AT2250</f>
        <v/>
      </c>
      <c r="AW2250" s="52">
        <f>AG2250</f>
        <v>0</v>
      </c>
      <c r="AX2250" s="52"/>
      <c r="AY2250" s="52"/>
      <c r="AZ2250" s="52"/>
      <c r="BA2250" s="52"/>
      <c r="BB2250" s="52"/>
      <c r="BC2250" s="52"/>
      <c r="BD2250" s="52"/>
      <c r="BE2250" s="52"/>
      <c r="BF2250" s="52"/>
      <c r="BG2250" s="52"/>
      <c r="BH2250" s="52"/>
      <c r="BI2250" s="68" cm="1">
        <f t="array" ref="BI2250">IFERROR(INDEX(AW2250:BH2250,1,MATCH(2,1/(AW2250:BH2250&lt;&gt;""))),"")</f>
        <v>0</v>
      </c>
      <c r="BJ2250" s="68" t="str" cm="1">
        <f t="array" ref="BJ2250">IF(BM2250 = "", "",IFERROR(INDEX(AW2250:BH2250,1,MATCH(2,1/(AW2250:BH2250&lt;&gt;""),1)-1),""))</f>
        <v/>
      </c>
      <c r="BK2250" s="59">
        <f>SUM(AW2250:BH2250)</f>
        <v>0</v>
      </c>
      <c r="BL2250" s="59" cm="1">
        <f t="array" ref="BL2250">IFERROR(SUM(AW2250:INDEX(AW2250:BH2250, MATCH(2, 1/(AW2250:BH2250&lt;&gt;""), 1) - 1))/_xlfn.XLOOKUP(F2250,Apuração!A:A,Apuração!B:B),0)</f>
        <v>0</v>
      </c>
      <c r="BM2250" s="55" t="str" cm="1">
        <f t="array" ref="BM2250">IFERROR(
   INDEX($AW$1:$BH$1,
      _xlfn.AGGREGATE(14, 6, COLUMN($AW$1:$BH$1)/(AW2250:BH2250&lt;&gt;""), 2) - COLUMN($AW$1) + 1
   ),
"")</f>
        <v/>
      </c>
      <c r="BN2250" s="55" cm="1">
        <f t="array" ref="BN2250">IFERROR(INDEX($AW$1:$BH$1,1,MATCH(2,1/(AW2250:BH2250&lt;&gt;""))),"")</f>
        <v>46023</v>
      </c>
      <c r="BO2250" s="53">
        <f ca="1">IFERROR(_xlfn.XLOOKUP(F2250,Apuração!A:A,Apuração!C:C)/_xlfn.XLOOKUP(F2250,Apuração!A:A,Apuração!B:B),0)</f>
        <v>0</v>
      </c>
      <c r="BP2250" s="53">
        <f ca="1">IFERROR(_xlfn.XLOOKUP(F2250,Apuração!A:A,Apuração!D:D)/_xlfn.XLOOKUP(F2250,Apuração!A:A,Apuração!B:B),0)</f>
        <v>0</v>
      </c>
      <c r="BQ2250" s="53">
        <f ca="1">IF(BK2250&gt;=BO2250,0,_xlfn.XLOOKUP(F2250,Apuração!A:A,Apuração!B:B)*(BO2250 + (1/_xlfn.XLOOKUP(F2250,Apuração!A:A,Apuração!B:B)) - BK2250))</f>
        <v>0</v>
      </c>
      <c r="BR2250" s="85">
        <f ca="1">IF(BQ2250=0,0,BQ2250*Z2250)</f>
        <v>0</v>
      </c>
      <c r="BS2250" s="53">
        <f ca="1">IFERROR((_xlfn.XLOOKUP(F2250,Apuração!A:A,Apuração!C:C)+1)/_xlfn.XLOOKUP(F2250,Apuração!A:A,Apuração!B:B),0)</f>
        <v>0.14285714285714285</v>
      </c>
    </row>
    <row r="2251" spans="1:71" ht="25.95" hidden="1" customHeight="1" x14ac:dyDescent="0.3">
      <c r="A2251" s="44" t="s">
        <v>175</v>
      </c>
      <c r="B2251" s="4" t="s">
        <v>197</v>
      </c>
      <c r="C2251" s="5" t="s">
        <v>216</v>
      </c>
      <c r="D2251" s="5" t="s">
        <v>217</v>
      </c>
      <c r="E2251" s="4" t="s">
        <v>96</v>
      </c>
      <c r="F2251" s="4" t="str" cm="1">
        <f t="array" ref="F2251">_xlfn.IFS(
AG2251 &lt;&gt; "", "Jan-Dez/26",
AH2251 &lt;&gt; "", "Fev-Dez/26",
AI2251 &lt;&gt; "", "Mar-Dez/26", AJ2251 &lt;&gt; "", "Abr-Dez/26",
TRUE, "A partir de Junho"
)</f>
        <v>A partir de Junho</v>
      </c>
      <c r="G2251" s="4" t="s">
        <v>62</v>
      </c>
      <c r="H2251" s="7" t="s">
        <v>38</v>
      </c>
      <c r="I2251" s="21" t="s">
        <v>180</v>
      </c>
      <c r="J2251" s="8" t="str" cm="1">
        <f t="array" aca="1" ref="J2251" ca="1">_xlfn.LET(
  _xlpm.actual_value_month, INDEX(T2251:AE2251, MATCH(DATE(YEAR(TODAY()), MONTH(TODAY()), 1), $T$1:$AE$1, 0)),
  IF(_xlpm.actual_value_month &lt;&gt; "", _xlpm.actual_value_month &amp; " ações mensais", "")
)</f>
        <v/>
      </c>
      <c r="K2251" s="34" t="str" cm="1">
        <f t="array" ref="K2251">_xlfn.LET(
    _xlpm.sum_month, SUM(T2251:AE2251),
    IF(_xlpm.sum_month = 0, "", _xlpm.sum_month &amp; " colaboradores treinados.")
)</f>
        <v/>
      </c>
      <c r="L2251" s="9" t="s">
        <v>199</v>
      </c>
      <c r="M2251" s="13">
        <v>1</v>
      </c>
      <c r="N2251" s="5" t="s">
        <v>51</v>
      </c>
      <c r="O2251" s="5" t="s">
        <v>52</v>
      </c>
      <c r="P2251" s="10" t="s">
        <v>146</v>
      </c>
      <c r="Q2251" s="10" t="s">
        <v>44</v>
      </c>
      <c r="R2251" s="11" t="s">
        <v>44</v>
      </c>
      <c r="S2251" s="11" t="s">
        <v>44</v>
      </c>
      <c r="T2251" s="22"/>
      <c r="U2251" s="22"/>
      <c r="V2251" s="22"/>
      <c r="W2251" s="22"/>
      <c r="X2251" s="22"/>
      <c r="Y2251" s="22"/>
      <c r="Z2251" s="22"/>
      <c r="AA2251" s="22"/>
      <c r="AB2251" s="22"/>
      <c r="AC2251" s="22"/>
      <c r="AD2251" s="22"/>
      <c r="AE2251" s="22"/>
      <c r="AG2251" s="71"/>
      <c r="AH2251" s="71"/>
      <c r="AI2251" s="71"/>
      <c r="AJ2251" s="71"/>
      <c r="AK2251" s="71"/>
      <c r="AL2251" s="71"/>
      <c r="AM2251" s="71"/>
      <c r="AN2251" s="71"/>
      <c r="AO2251" s="71"/>
      <c r="AP2251" s="71"/>
      <c r="AQ2251" s="71"/>
      <c r="AR2251" s="71"/>
      <c r="AS2251" s="94" t="str" cm="1">
        <f t="array" ref="AS2251">IFERROR(INDEX(T2251:AE2251,1,MATCH(2,1/(T2251:AE2251&lt;&gt;""))),"")</f>
        <v/>
      </c>
      <c r="AT2251" s="95" t="str" cm="1">
        <f t="array" ref="AT2251">IFERROR(INDEX(AJ2251:AR2251,1,MATCH(2,1/(AJ2251:AR2251&lt;&gt;""))),"")</f>
        <v/>
      </c>
      <c r="AU2251" s="97" t="str">
        <f t="shared" ref="AU2251:AU2254" si="2666">AT2251</f>
        <v/>
      </c>
      <c r="AW2251" s="52">
        <f t="shared" ref="AW2251:AW2254" si="2667">AG2251</f>
        <v>0</v>
      </c>
      <c r="AX2251" s="52"/>
      <c r="AY2251" s="52"/>
      <c r="AZ2251" s="52"/>
      <c r="BA2251" s="52"/>
      <c r="BB2251" s="52"/>
      <c r="BC2251" s="52"/>
      <c r="BD2251" s="52"/>
      <c r="BE2251" s="52"/>
      <c r="BF2251" s="52"/>
      <c r="BG2251" s="52"/>
      <c r="BH2251" s="52"/>
      <c r="BI2251" s="68" cm="1">
        <f t="array" ref="BI2251">IFERROR(INDEX(AW2251:BH2251,1,MATCH(2,1/(AW2251:BH2251&lt;&gt;""))),"")</f>
        <v>0</v>
      </c>
      <c r="BJ2251" s="68" t="str" cm="1">
        <f t="array" ref="BJ2251">IF(BM2251 = "", "",IFERROR(INDEX(AW2251:BH2251,1,MATCH(2,1/(AW2251:BH2251&lt;&gt;""),1)-1),""))</f>
        <v/>
      </c>
      <c r="BK2251" s="59">
        <f t="shared" ref="BK2251:BK2254" si="2668">SUM(AW2251:BH2251)</f>
        <v>0</v>
      </c>
      <c r="BL2251" s="59" cm="1">
        <f t="array" ref="BL2251">IFERROR(SUM(AW2251:INDEX(AW2251:BH2251, MATCH(2, 1/(AW2251:BH2251&lt;&gt;""), 1) - 1))/_xlfn.XLOOKUP(F2251,Apuração!A:A,Apuração!B:B),0)</f>
        <v>0</v>
      </c>
      <c r="BM2251" s="55" t="str" cm="1">
        <f t="array" ref="BM2251">IFERROR(
   INDEX($AW$1:$BH$1,
      _xlfn.AGGREGATE(14, 6, COLUMN($AW$1:$BH$1)/(AW2251:BH2251&lt;&gt;""), 2) - COLUMN($AW$1) + 1
   ),
"")</f>
        <v/>
      </c>
      <c r="BN2251" s="55" cm="1">
        <f t="array" ref="BN2251">IFERROR(INDEX($AW$1:$BH$1,1,MATCH(2,1/(AW2251:BH2251&lt;&gt;""))),"")</f>
        <v>46023</v>
      </c>
      <c r="BO2251" s="53">
        <f ca="1">IFERROR(_xlfn.XLOOKUP(F2251,Apuração!A:A,Apuração!C:C)/_xlfn.XLOOKUP(F2251,Apuração!A:A,Apuração!B:B),0)</f>
        <v>0</v>
      </c>
      <c r="BP2251" s="53">
        <f ca="1">IFERROR(_xlfn.XLOOKUP(F2251,Apuração!A:A,Apuração!D:D)/_xlfn.XLOOKUP(F2251,Apuração!A:A,Apuração!B:B),0)</f>
        <v>0</v>
      </c>
      <c r="BQ2251" s="53">
        <f ca="1">IF(BK2251&gt;=BO2251,0,_xlfn.XLOOKUP(F2251,Apuração!A:A,Apuração!B:B)*(BO2251 + (1/_xlfn.XLOOKUP(F2251,Apuração!A:A,Apuração!B:B)) - BK2251))</f>
        <v>0</v>
      </c>
      <c r="BR2251" s="85">
        <f t="shared" ref="BR2251:BR2254" ca="1" si="2669">IF(BQ2251=0,0,BQ2251*Z2251)</f>
        <v>0</v>
      </c>
      <c r="BS2251" s="53">
        <f ca="1">IFERROR((_xlfn.XLOOKUP(F2251,Apuração!A:A,Apuração!C:C)+1)/_xlfn.XLOOKUP(F2251,Apuração!A:A,Apuração!B:B),0)</f>
        <v>0.14285714285714285</v>
      </c>
    </row>
    <row r="2252" spans="1:71" ht="25.95" hidden="1" customHeight="1" x14ac:dyDescent="0.3">
      <c r="A2252" s="44" t="s">
        <v>175</v>
      </c>
      <c r="B2252" s="4" t="s">
        <v>197</v>
      </c>
      <c r="C2252" s="5" t="s">
        <v>216</v>
      </c>
      <c r="D2252" s="5" t="s">
        <v>103</v>
      </c>
      <c r="E2252" s="4" t="s">
        <v>96</v>
      </c>
      <c r="F2252" s="4" t="str" cm="1">
        <f t="array" ref="F2252">_xlfn.IFS(
AG2252 &lt;&gt; "", "Jan-Dez/26",
AH2252 &lt;&gt; "", "Fev-Dez/26",
AI2252 &lt;&gt; "", "Mar-Dez/26", AJ2252 &lt;&gt; "", "Abr-Dez/26",
TRUE, "A partir de Junho"
)</f>
        <v>A partir de Junho</v>
      </c>
      <c r="G2252" s="4" t="s">
        <v>62</v>
      </c>
      <c r="H2252" s="7" t="s">
        <v>38</v>
      </c>
      <c r="I2252" s="21" t="s">
        <v>180</v>
      </c>
      <c r="J2252" s="8" t="str" cm="1">
        <f t="array" aca="1" ref="J2252" ca="1">_xlfn.LET(
  _xlpm.actual_value_month, INDEX(T2252:AE2252, MATCH(DATE(YEAR(TODAY()), MONTH(TODAY()), 1), $T$1:$AE$1, 0)),
  IF(_xlpm.actual_value_month &lt;&gt; "", _xlpm.actual_value_month &amp; " ações mensais", "")
)</f>
        <v/>
      </c>
      <c r="K2252" s="34" t="str" cm="1">
        <f t="array" ref="K2252">_xlfn.LET(
    _xlpm.sum_month, SUM(T2252:AE2252),
    IF(_xlpm.sum_month = 0, "", _xlpm.sum_month &amp; " colaboradores treinados.")
)</f>
        <v/>
      </c>
      <c r="L2252" s="9" t="s">
        <v>199</v>
      </c>
      <c r="M2252" s="13">
        <v>1</v>
      </c>
      <c r="N2252" s="5" t="s">
        <v>51</v>
      </c>
      <c r="O2252" s="5" t="s">
        <v>52</v>
      </c>
      <c r="P2252" s="10" t="s">
        <v>146</v>
      </c>
      <c r="Q2252" s="10" t="s">
        <v>44</v>
      </c>
      <c r="R2252" s="11" t="s">
        <v>44</v>
      </c>
      <c r="S2252" s="11" t="s">
        <v>44</v>
      </c>
      <c r="T2252" s="22"/>
      <c r="U2252" s="22"/>
      <c r="V2252" s="22"/>
      <c r="W2252" s="22"/>
      <c r="X2252" s="22"/>
      <c r="Y2252" s="22"/>
      <c r="Z2252" s="22"/>
      <c r="AA2252" s="22"/>
      <c r="AB2252" s="22"/>
      <c r="AC2252" s="22"/>
      <c r="AD2252" s="22"/>
      <c r="AE2252" s="22"/>
      <c r="AG2252" s="71"/>
      <c r="AH2252" s="71"/>
      <c r="AI2252" s="71"/>
      <c r="AJ2252" s="71"/>
      <c r="AK2252" s="71"/>
      <c r="AL2252" s="71"/>
      <c r="AM2252" s="71"/>
      <c r="AN2252" s="71"/>
      <c r="AO2252" s="71"/>
      <c r="AP2252" s="71"/>
      <c r="AQ2252" s="71"/>
      <c r="AR2252" s="71"/>
      <c r="AS2252" s="94" t="str" cm="1">
        <f t="array" ref="AS2252">IFERROR(INDEX(T2252:AE2252,1,MATCH(2,1/(T2252:AE2252&lt;&gt;""))),"")</f>
        <v/>
      </c>
      <c r="AT2252" s="95" t="str" cm="1">
        <f t="array" ref="AT2252">IFERROR(INDEX(AJ2252:AR2252,1,MATCH(2,1/(AJ2252:AR2252&lt;&gt;""))),"")</f>
        <v/>
      </c>
      <c r="AU2252" s="97" t="str">
        <f t="shared" si="2666"/>
        <v/>
      </c>
      <c r="AW2252" s="52">
        <f t="shared" si="2667"/>
        <v>0</v>
      </c>
      <c r="AX2252" s="52"/>
      <c r="AY2252" s="52"/>
      <c r="AZ2252" s="52"/>
      <c r="BA2252" s="52"/>
      <c r="BB2252" s="52"/>
      <c r="BC2252" s="52"/>
      <c r="BD2252" s="52"/>
      <c r="BE2252" s="52"/>
      <c r="BF2252" s="52"/>
      <c r="BG2252" s="52"/>
      <c r="BH2252" s="52"/>
      <c r="BI2252" s="68" cm="1">
        <f t="array" ref="BI2252">IFERROR(INDEX(AW2252:BH2252,1,MATCH(2,1/(AW2252:BH2252&lt;&gt;""))),"")</f>
        <v>0</v>
      </c>
      <c r="BJ2252" s="68" t="str" cm="1">
        <f t="array" ref="BJ2252">IF(BM2252 = "", "",IFERROR(INDEX(AW2252:BH2252,1,MATCH(2,1/(AW2252:BH2252&lt;&gt;""),1)-1),""))</f>
        <v/>
      </c>
      <c r="BK2252" s="59">
        <f t="shared" si="2668"/>
        <v>0</v>
      </c>
      <c r="BL2252" s="59" cm="1">
        <f t="array" ref="BL2252">IFERROR(SUM(AW2252:INDEX(AW2252:BH2252, MATCH(2, 1/(AW2252:BH2252&lt;&gt;""), 1) - 1))/_xlfn.XLOOKUP(F2252,Apuração!A:A,Apuração!B:B),0)</f>
        <v>0</v>
      </c>
      <c r="BM2252" s="55" t="str" cm="1">
        <f t="array" ref="BM2252">IFERROR(
   INDEX($AW$1:$BH$1,
      _xlfn.AGGREGATE(14, 6, COLUMN($AW$1:$BH$1)/(AW2252:BH2252&lt;&gt;""), 2) - COLUMN($AW$1) + 1
   ),
"")</f>
        <v/>
      </c>
      <c r="BN2252" s="55" cm="1">
        <f t="array" ref="BN2252">IFERROR(INDEX($AW$1:$BH$1,1,MATCH(2,1/(AW2252:BH2252&lt;&gt;""))),"")</f>
        <v>46023</v>
      </c>
      <c r="BO2252" s="53">
        <f ca="1">IFERROR(_xlfn.XLOOKUP(F2252,Apuração!A:A,Apuração!C:C)/_xlfn.XLOOKUP(F2252,Apuração!A:A,Apuração!B:B),0)</f>
        <v>0</v>
      </c>
      <c r="BP2252" s="53">
        <f ca="1">IFERROR(_xlfn.XLOOKUP(F2252,Apuração!A:A,Apuração!D:D)/_xlfn.XLOOKUP(F2252,Apuração!A:A,Apuração!B:B),0)</f>
        <v>0</v>
      </c>
      <c r="BQ2252" s="53">
        <f ca="1">IF(BK2252&gt;=BO2252,0,_xlfn.XLOOKUP(F2252,Apuração!A:A,Apuração!B:B)*(BO2252 + (1/_xlfn.XLOOKUP(F2252,Apuração!A:A,Apuração!B:B)) - BK2252))</f>
        <v>0</v>
      </c>
      <c r="BR2252" s="85">
        <f t="shared" ca="1" si="2669"/>
        <v>0</v>
      </c>
      <c r="BS2252" s="53">
        <f ca="1">IFERROR((_xlfn.XLOOKUP(F2252,Apuração!A:A,Apuração!C:C)+1)/_xlfn.XLOOKUP(F2252,Apuração!A:A,Apuração!B:B),0)</f>
        <v>0.14285714285714285</v>
      </c>
    </row>
    <row r="2253" spans="1:71" ht="25.95" hidden="1" customHeight="1" x14ac:dyDescent="0.3">
      <c r="A2253" s="44" t="s">
        <v>175</v>
      </c>
      <c r="B2253" s="4" t="s">
        <v>197</v>
      </c>
      <c r="C2253" s="5" t="s">
        <v>216</v>
      </c>
      <c r="D2253" s="5" t="s">
        <v>218</v>
      </c>
      <c r="E2253" s="4" t="s">
        <v>96</v>
      </c>
      <c r="F2253" s="4" t="str" cm="1">
        <f t="array" ref="F2253">_xlfn.IFS(
AG2253 &lt;&gt; "", "Jan-Dez/26",
AH2253 &lt;&gt; "", "Fev-Dez/26",
AI2253 &lt;&gt; "", "Mar-Dez/26", AJ2253 &lt;&gt; "", "Abr-Dez/26",
TRUE, "A partir de Junho"
)</f>
        <v>A partir de Junho</v>
      </c>
      <c r="G2253" s="4" t="s">
        <v>62</v>
      </c>
      <c r="H2253" s="7" t="s">
        <v>38</v>
      </c>
      <c r="I2253" s="21" t="s">
        <v>180</v>
      </c>
      <c r="J2253" s="8" t="str" cm="1">
        <f t="array" aca="1" ref="J2253" ca="1">_xlfn.LET(
  _xlpm.actual_value_month, INDEX(T2253:AE2253, MATCH(DATE(YEAR(TODAY()), MONTH(TODAY()), 1), $T$1:$AE$1, 0)),
  IF(_xlpm.actual_value_month &lt;&gt; "", _xlpm.actual_value_month &amp; " ações mensais", "")
)</f>
        <v/>
      </c>
      <c r="K2253" s="34" t="str" cm="1">
        <f t="array" ref="K2253">_xlfn.LET(
    _xlpm.sum_month, SUM(T2253:AE2253),
    IF(_xlpm.sum_month = 0, "", _xlpm.sum_month &amp; " colaboradores treinados.")
)</f>
        <v/>
      </c>
      <c r="L2253" s="9" t="s">
        <v>199</v>
      </c>
      <c r="M2253" s="13">
        <v>1</v>
      </c>
      <c r="N2253" s="5" t="s">
        <v>51</v>
      </c>
      <c r="O2253" s="5" t="s">
        <v>52</v>
      </c>
      <c r="P2253" s="10" t="s">
        <v>146</v>
      </c>
      <c r="Q2253" s="10" t="s">
        <v>44</v>
      </c>
      <c r="R2253" s="11" t="s">
        <v>44</v>
      </c>
      <c r="S2253" s="11" t="s">
        <v>44</v>
      </c>
      <c r="T2253" s="22"/>
      <c r="U2253" s="22"/>
      <c r="V2253" s="22"/>
      <c r="W2253" s="22"/>
      <c r="X2253" s="22"/>
      <c r="Y2253" s="22"/>
      <c r="Z2253" s="22"/>
      <c r="AA2253" s="22"/>
      <c r="AB2253" s="22"/>
      <c r="AC2253" s="22"/>
      <c r="AD2253" s="22"/>
      <c r="AE2253" s="22"/>
      <c r="AG2253" s="71"/>
      <c r="AH2253" s="71"/>
      <c r="AI2253" s="71"/>
      <c r="AJ2253" s="71"/>
      <c r="AK2253" s="71"/>
      <c r="AL2253" s="71"/>
      <c r="AM2253" s="71"/>
      <c r="AN2253" s="71"/>
      <c r="AO2253" s="71"/>
      <c r="AP2253" s="71"/>
      <c r="AQ2253" s="71"/>
      <c r="AR2253" s="71"/>
      <c r="AS2253" s="94" t="str" cm="1">
        <f t="array" ref="AS2253">IFERROR(INDEX(T2253:AE2253,1,MATCH(2,1/(T2253:AE2253&lt;&gt;""))),"")</f>
        <v/>
      </c>
      <c r="AT2253" s="95" t="str" cm="1">
        <f t="array" ref="AT2253">IFERROR(INDEX(AJ2253:AR2253,1,MATCH(2,1/(AJ2253:AR2253&lt;&gt;""))),"")</f>
        <v/>
      </c>
      <c r="AU2253" s="97" t="str">
        <f t="shared" si="2666"/>
        <v/>
      </c>
      <c r="AW2253" s="52">
        <f t="shared" si="2667"/>
        <v>0</v>
      </c>
      <c r="AX2253" s="52"/>
      <c r="AY2253" s="52"/>
      <c r="AZ2253" s="52"/>
      <c r="BA2253" s="52"/>
      <c r="BB2253" s="52"/>
      <c r="BC2253" s="52"/>
      <c r="BD2253" s="52"/>
      <c r="BE2253" s="52"/>
      <c r="BF2253" s="52"/>
      <c r="BG2253" s="52"/>
      <c r="BH2253" s="52"/>
      <c r="BI2253" s="68" cm="1">
        <f t="array" ref="BI2253">IFERROR(INDEX(AW2253:BH2253,1,MATCH(2,1/(AW2253:BH2253&lt;&gt;""))),"")</f>
        <v>0</v>
      </c>
      <c r="BJ2253" s="68" t="str" cm="1">
        <f t="array" ref="BJ2253">IF(BM2253 = "", "",IFERROR(INDEX(AW2253:BH2253,1,MATCH(2,1/(AW2253:BH2253&lt;&gt;""),1)-1),""))</f>
        <v/>
      </c>
      <c r="BK2253" s="59">
        <f t="shared" si="2668"/>
        <v>0</v>
      </c>
      <c r="BL2253" s="59" cm="1">
        <f t="array" ref="BL2253">IFERROR(SUM(AW2253:INDEX(AW2253:BH2253, MATCH(2, 1/(AW2253:BH2253&lt;&gt;""), 1) - 1))/_xlfn.XLOOKUP(F2253,Apuração!A:A,Apuração!B:B),0)</f>
        <v>0</v>
      </c>
      <c r="BM2253" s="55" t="str" cm="1">
        <f t="array" ref="BM2253">IFERROR(
   INDEX($AW$1:$BH$1,
      _xlfn.AGGREGATE(14, 6, COLUMN($AW$1:$BH$1)/(AW2253:BH2253&lt;&gt;""), 2) - COLUMN($AW$1) + 1
   ),
"")</f>
        <v/>
      </c>
      <c r="BN2253" s="55" cm="1">
        <f t="array" ref="BN2253">IFERROR(INDEX($AW$1:$BH$1,1,MATCH(2,1/(AW2253:BH2253&lt;&gt;""))),"")</f>
        <v>46023</v>
      </c>
      <c r="BO2253" s="53">
        <f ca="1">IFERROR(_xlfn.XLOOKUP(F2253,Apuração!A:A,Apuração!C:C)/_xlfn.XLOOKUP(F2253,Apuração!A:A,Apuração!B:B),0)</f>
        <v>0</v>
      </c>
      <c r="BP2253" s="53">
        <f ca="1">IFERROR(_xlfn.XLOOKUP(F2253,Apuração!A:A,Apuração!D:D)/_xlfn.XLOOKUP(F2253,Apuração!A:A,Apuração!B:B),0)</f>
        <v>0</v>
      </c>
      <c r="BQ2253" s="53">
        <f ca="1">IF(BK2253&gt;=BO2253,0,_xlfn.XLOOKUP(F2253,Apuração!A:A,Apuração!B:B)*(BO2253 + (1/_xlfn.XLOOKUP(F2253,Apuração!A:A,Apuração!B:B)) - BK2253))</f>
        <v>0</v>
      </c>
      <c r="BR2253" s="85">
        <f t="shared" ca="1" si="2669"/>
        <v>0</v>
      </c>
      <c r="BS2253" s="53">
        <f ca="1">IFERROR((_xlfn.XLOOKUP(F2253,Apuração!A:A,Apuração!C:C)+1)/_xlfn.XLOOKUP(F2253,Apuração!A:A,Apuração!B:B),0)</f>
        <v>0.14285714285714285</v>
      </c>
    </row>
    <row r="2254" spans="1:71" ht="25.95" hidden="1" customHeight="1" x14ac:dyDescent="0.3">
      <c r="A2254" s="44" t="s">
        <v>175</v>
      </c>
      <c r="B2254" s="4" t="s">
        <v>197</v>
      </c>
      <c r="C2254" s="5" t="s">
        <v>216</v>
      </c>
      <c r="D2254" s="5" t="s">
        <v>219</v>
      </c>
      <c r="E2254" s="4" t="s">
        <v>96</v>
      </c>
      <c r="F2254" s="4" t="str" cm="1">
        <f t="array" ref="F2254">_xlfn.IFS(
AG2254 &lt;&gt; "", "Jan-Dez/26",
AH2254 &lt;&gt; "", "Fev-Dez/26",
AI2254 &lt;&gt; "", "Mar-Dez/26", AJ2254 &lt;&gt; "", "Abr-Dez/26",
TRUE, "A partir de Junho"
)</f>
        <v>A partir de Junho</v>
      </c>
      <c r="G2254" s="4" t="s">
        <v>62</v>
      </c>
      <c r="H2254" s="7" t="s">
        <v>38</v>
      </c>
      <c r="I2254" s="21" t="s">
        <v>180</v>
      </c>
      <c r="J2254" s="8" t="str" cm="1">
        <f t="array" aca="1" ref="J2254" ca="1">_xlfn.LET(
  _xlpm.actual_value_month, INDEX(T2254:AE2254, MATCH(DATE(YEAR(TODAY()), MONTH(TODAY()), 1), $T$1:$AE$1, 0)),
  IF(_xlpm.actual_value_month &lt;&gt; "", _xlpm.actual_value_month &amp; " ações mensais", "")
)</f>
        <v/>
      </c>
      <c r="K2254" s="34" t="str" cm="1">
        <f t="array" ref="K2254">_xlfn.LET(
    _xlpm.sum_month, SUM(T2254:AE2254),
    IF(_xlpm.sum_month = 0, "", _xlpm.sum_month &amp; " colaboradores treinados.")
)</f>
        <v/>
      </c>
      <c r="L2254" s="9" t="s">
        <v>199</v>
      </c>
      <c r="M2254" s="13">
        <v>1</v>
      </c>
      <c r="N2254" s="5" t="s">
        <v>51</v>
      </c>
      <c r="O2254" s="5" t="s">
        <v>52</v>
      </c>
      <c r="P2254" s="10" t="s">
        <v>146</v>
      </c>
      <c r="Q2254" s="10" t="s">
        <v>44</v>
      </c>
      <c r="R2254" s="11" t="s">
        <v>44</v>
      </c>
      <c r="S2254" s="11" t="s">
        <v>44</v>
      </c>
      <c r="T2254" s="22"/>
      <c r="U2254" s="22"/>
      <c r="V2254" s="22"/>
      <c r="W2254" s="22"/>
      <c r="X2254" s="22"/>
      <c r="Y2254" s="22"/>
      <c r="Z2254" s="22"/>
      <c r="AA2254" s="22"/>
      <c r="AB2254" s="22"/>
      <c r="AC2254" s="22"/>
      <c r="AD2254" s="22"/>
      <c r="AE2254" s="22"/>
      <c r="AG2254" s="71"/>
      <c r="AH2254" s="71"/>
      <c r="AI2254" s="71"/>
      <c r="AJ2254" s="71"/>
      <c r="AK2254" s="71"/>
      <c r="AL2254" s="71"/>
      <c r="AM2254" s="71"/>
      <c r="AN2254" s="71"/>
      <c r="AO2254" s="71"/>
      <c r="AP2254" s="71"/>
      <c r="AQ2254" s="71"/>
      <c r="AR2254" s="71"/>
      <c r="AS2254" s="94" t="str" cm="1">
        <f t="array" ref="AS2254">IFERROR(INDEX(T2254:AE2254,1,MATCH(2,1/(T2254:AE2254&lt;&gt;""))),"")</f>
        <v/>
      </c>
      <c r="AT2254" s="95" t="str" cm="1">
        <f t="array" ref="AT2254">IFERROR(INDEX(AJ2254:AR2254,1,MATCH(2,1/(AJ2254:AR2254&lt;&gt;""))),"")</f>
        <v/>
      </c>
      <c r="AU2254" s="97" t="str">
        <f t="shared" si="2666"/>
        <v/>
      </c>
      <c r="AW2254" s="52">
        <f t="shared" si="2667"/>
        <v>0</v>
      </c>
      <c r="AX2254" s="52"/>
      <c r="AY2254" s="52"/>
      <c r="AZ2254" s="52"/>
      <c r="BA2254" s="52"/>
      <c r="BB2254" s="52"/>
      <c r="BC2254" s="52"/>
      <c r="BD2254" s="52"/>
      <c r="BE2254" s="52"/>
      <c r="BF2254" s="52"/>
      <c r="BG2254" s="52"/>
      <c r="BH2254" s="52"/>
      <c r="BI2254" s="68" cm="1">
        <f t="array" ref="BI2254">IFERROR(INDEX(AW2254:BH2254,1,MATCH(2,1/(AW2254:BH2254&lt;&gt;""))),"")</f>
        <v>0</v>
      </c>
      <c r="BJ2254" s="68" t="str" cm="1">
        <f t="array" ref="BJ2254">IF(BM2254 = "", "",IFERROR(INDEX(AW2254:BH2254,1,MATCH(2,1/(AW2254:BH2254&lt;&gt;""),1)-1),""))</f>
        <v/>
      </c>
      <c r="BK2254" s="59">
        <f t="shared" si="2668"/>
        <v>0</v>
      </c>
      <c r="BL2254" s="59" cm="1">
        <f t="array" ref="BL2254">IFERROR(SUM(AW2254:INDEX(AW2254:BH2254, MATCH(2, 1/(AW2254:BH2254&lt;&gt;""), 1) - 1))/_xlfn.XLOOKUP(F2254,Apuração!A:A,Apuração!B:B),0)</f>
        <v>0</v>
      </c>
      <c r="BM2254" s="55" t="str" cm="1">
        <f t="array" ref="BM2254">IFERROR(
   INDEX($AW$1:$BH$1,
      _xlfn.AGGREGATE(14, 6, COLUMN($AW$1:$BH$1)/(AW2254:BH2254&lt;&gt;""), 2) - COLUMN($AW$1) + 1
   ),
"")</f>
        <v/>
      </c>
      <c r="BN2254" s="55" cm="1">
        <f t="array" ref="BN2254">IFERROR(INDEX($AW$1:$BH$1,1,MATCH(2,1/(AW2254:BH2254&lt;&gt;""))),"")</f>
        <v>46023</v>
      </c>
      <c r="BO2254" s="53">
        <f ca="1">IFERROR(_xlfn.XLOOKUP(F2254,Apuração!A:A,Apuração!C:C)/_xlfn.XLOOKUP(F2254,Apuração!A:A,Apuração!B:B),0)</f>
        <v>0</v>
      </c>
      <c r="BP2254" s="53">
        <f ca="1">IFERROR(_xlfn.XLOOKUP(F2254,Apuração!A:A,Apuração!D:D)/_xlfn.XLOOKUP(F2254,Apuração!A:A,Apuração!B:B),0)</f>
        <v>0</v>
      </c>
      <c r="BQ2254" s="53">
        <f ca="1">IF(BK2254&gt;=BO2254,0,_xlfn.XLOOKUP(F2254,Apuração!A:A,Apuração!B:B)*(BO2254 + (1/_xlfn.XLOOKUP(F2254,Apuração!A:A,Apuração!B:B)) - BK2254))</f>
        <v>0</v>
      </c>
      <c r="BR2254" s="85">
        <f t="shared" ca="1" si="2669"/>
        <v>0</v>
      </c>
      <c r="BS2254" s="53">
        <f ca="1">IFERROR((_xlfn.XLOOKUP(F2254,Apuração!A:A,Apuração!C:C)+1)/_xlfn.XLOOKUP(F2254,Apuração!A:A,Apuração!B:B),0)</f>
        <v>0.14285714285714285</v>
      </c>
    </row>
    <row r="2255" spans="1:71" ht="25.95" hidden="1" customHeight="1" x14ac:dyDescent="0.3">
      <c r="A2255" s="44" t="s">
        <v>175</v>
      </c>
      <c r="B2255" s="4" t="s">
        <v>197</v>
      </c>
      <c r="C2255" s="5" t="s">
        <v>216</v>
      </c>
      <c r="D2255" s="5" t="s">
        <v>36</v>
      </c>
      <c r="E2255" s="4" t="s">
        <v>96</v>
      </c>
      <c r="F2255" s="4" t="str" cm="1">
        <f t="array" ref="F2255">_xlfn.IFS(
AG2255 &lt;&gt; "", "Jan-Dez/26",
AH2255 &lt;&gt; "", "Fev-Dez/26",
AI2255 &lt;&gt; "", "Mar-Dez/26", AJ2255 &lt;&gt; "", "Abr-Dez/26",
TRUE, "A partir de Junho"
)</f>
        <v>A partir de Junho</v>
      </c>
      <c r="G2255" s="4" t="s">
        <v>62</v>
      </c>
      <c r="H2255" s="7" t="s">
        <v>38</v>
      </c>
      <c r="I2255" s="21" t="s">
        <v>182</v>
      </c>
      <c r="J2255" s="8" t="str" cm="1">
        <f t="array" aca="1" ref="J2255" ca="1">_xlfn.LET(
  _xlpm.actual_value_month, INDEX(T2255:AE2255, MATCH(DATE(YEAR(TODAY()), MONTH(TODAY()), 1), $T$1:$AE$1, 0)),
  IF(_xlpm.actual_value_month &lt;&gt; "", _xlpm.actual_value_month &amp; " ações mensais", "")
)</f>
        <v/>
      </c>
      <c r="K2255" s="8" t="str" cm="1">
        <f t="array" ref="K2255">_xlfn.LET(
    _xlpm.sum_month, SUM(T2255:AE2255),
    IF(_xlpm.sum_month = 0, "", _xlpm.sum_month &amp; " taxa de aprovados")
)</f>
        <v/>
      </c>
      <c r="L2255" s="4" t="s">
        <v>183</v>
      </c>
      <c r="M2255" s="13">
        <v>1</v>
      </c>
      <c r="N2255" s="5" t="s">
        <v>51</v>
      </c>
      <c r="O2255" s="5" t="s">
        <v>43</v>
      </c>
      <c r="P2255" s="10" t="s">
        <v>44</v>
      </c>
      <c r="Q2255" s="10" t="s">
        <v>44</v>
      </c>
      <c r="R2255" s="11" t="s">
        <v>44</v>
      </c>
      <c r="S2255" s="11" t="s">
        <v>44</v>
      </c>
      <c r="T2255" s="22"/>
      <c r="U2255" s="22"/>
      <c r="V2255" s="22"/>
      <c r="W2255" s="22"/>
      <c r="X2255" s="22"/>
      <c r="Y2255" s="22"/>
      <c r="Z2255" s="22"/>
      <c r="AA2255" s="22"/>
      <c r="AB2255" s="22"/>
      <c r="AC2255" s="22"/>
      <c r="AD2255" s="22"/>
      <c r="AE2255" s="22"/>
      <c r="AG2255" s="71"/>
      <c r="AH2255" s="71"/>
      <c r="AI2255" s="71"/>
      <c r="AJ2255" s="71"/>
      <c r="AK2255" s="71"/>
      <c r="AL2255" s="71"/>
      <c r="AM2255" s="71"/>
      <c r="AN2255" s="71"/>
      <c r="AO2255" s="71"/>
      <c r="AP2255" s="71"/>
      <c r="AQ2255" s="71"/>
      <c r="AR2255" s="71"/>
      <c r="AS2255" s="94" t="str" cm="1">
        <f t="array" ref="AS2255">IFERROR(INDEX(T2255:AE2255,1,MATCH(2,1/(T2255:AE2255&lt;&gt;""))),"")</f>
        <v/>
      </c>
      <c r="AT2255" s="95" t="str" cm="1">
        <f t="array" ref="AT2255">IFERROR(INDEX(AJ2255:AR2255,1,MATCH(2,1/(AJ2255:AR2255&lt;&gt;""))),"")</f>
        <v/>
      </c>
      <c r="AU2255" s="97" t="str">
        <f>AT2255</f>
        <v/>
      </c>
      <c r="AW2255" s="51" t="str">
        <f>IFERROR(IF(AG2255="","",AG2255/T2255),0)</f>
        <v/>
      </c>
      <c r="AX2255" s="51"/>
      <c r="AY2255" s="51"/>
      <c r="AZ2255" s="51"/>
      <c r="BA2255" s="51"/>
      <c r="BB2255" s="51"/>
      <c r="BC2255" s="51"/>
      <c r="BD2255" s="51"/>
      <c r="BE2255" s="51"/>
      <c r="BF2255" s="51"/>
      <c r="BG2255" s="51"/>
      <c r="BH2255" s="51"/>
      <c r="BI2255" s="65" t="str" cm="1">
        <f t="array" ref="BI2255">IFERROR(INDEX(AW2255:BH2255,1,MATCH(2,1/(AW2255:BH2255&lt;&gt;""))),"")</f>
        <v/>
      </c>
      <c r="BJ2255" s="68" t="str" cm="1">
        <f t="array" ref="BJ2255">IF(BM2255 = "", "",IFERROR(INDEX(AW2255:BH2255,1,MATCH(2,1/(AW2255:BH2255&lt;&gt;""),1)-1),""))</f>
        <v/>
      </c>
      <c r="BK2255" s="58" t="str" cm="1">
        <f t="array" ref="BK2255">IFERROR(INDEX(AW2255:BH2255,1,MATCH(2,1/(AW2255:BH2255&lt;&gt;""))),"")</f>
        <v/>
      </c>
      <c r="BL2255" s="58" t="str" cm="1">
        <f t="array" ref="BL2255">IFERROR(INDEX(AW2255:BH2255,1,MATCH(2,1/(AW2255:BH2255&lt;&gt;""),1)-1),"")</f>
        <v/>
      </c>
      <c r="BM2255" s="55" t="str" cm="1">
        <f t="array" ref="BM2255">IFERROR(
   INDEX($AW$1:$BH$1,
      _xlfn.AGGREGATE(14, 6, COLUMN($AW$1:$BH$1)/(AW2255:BH2255&lt;&gt;""), 2) - COLUMN($AW$1) + 1
   ),
"")</f>
        <v/>
      </c>
      <c r="BN2255" s="55" t="str" cm="1">
        <f t="array" ref="BN2255">IFERROR(INDEX($AW$1:$BH$1,1,MATCH(2,1/(AW2255:BH2255&lt;&gt;""))),"")</f>
        <v/>
      </c>
      <c r="BO2255" s="53">
        <f ca="1">IFERROR(_xlfn.XLOOKUP(F2255,Apuração!A:A,Apuração!C:C)/_xlfn.XLOOKUP(F2255,Apuração!A:A,Apuração!B:B),0)</f>
        <v>0</v>
      </c>
      <c r="BP2255" s="53">
        <f ca="1">IFERROR(_xlfn.XLOOKUP(F2255,Apuração!A:A,Apuração!D:D)/_xlfn.XLOOKUP(F2255,Apuração!A:A,Apuração!B:B),0)</f>
        <v>0</v>
      </c>
      <c r="BQ2255" s="53">
        <f ca="1">IF(BK2255&gt;=BO2255,0,_xlfn.XLOOKUP(F2255,Apuração!A:A,Apuração!B:B)*(BO2255 + (1/_xlfn.XLOOKUP(F2255,Apuração!A:A,Apuração!B:B)) - BK2255))</f>
        <v>0</v>
      </c>
      <c r="BR2255" s="85">
        <f ca="1">IF(BQ2255=0,0,BQ2255*Z2255)</f>
        <v>0</v>
      </c>
      <c r="BS2255" s="53">
        <f ca="1">IFERROR((_xlfn.XLOOKUP(F2255,Apuração!A:A,Apuração!C:C)+1)/_xlfn.XLOOKUP(F2255,Apuração!A:A,Apuração!B:B),0)</f>
        <v>0.14285714285714285</v>
      </c>
    </row>
    <row r="2256" spans="1:71" ht="25.95" hidden="1" customHeight="1" x14ac:dyDescent="0.3">
      <c r="A2256" s="44" t="s">
        <v>175</v>
      </c>
      <c r="B2256" s="4" t="s">
        <v>197</v>
      </c>
      <c r="C2256" s="5" t="s">
        <v>216</v>
      </c>
      <c r="D2256" s="5" t="s">
        <v>217</v>
      </c>
      <c r="E2256" s="4" t="s">
        <v>96</v>
      </c>
      <c r="F2256" s="4" t="str" cm="1">
        <f t="array" ref="F2256">_xlfn.IFS(
AG2256 &lt;&gt; "", "Jan-Dez/26",
AH2256 &lt;&gt; "", "Fev-Dez/26",
AI2256 &lt;&gt; "", "Mar-Dez/26", AJ2256 &lt;&gt; "", "Abr-Dez/26",
TRUE, "A partir de Junho"
)</f>
        <v>A partir de Junho</v>
      </c>
      <c r="G2256" s="4" t="s">
        <v>62</v>
      </c>
      <c r="H2256" s="7" t="s">
        <v>38</v>
      </c>
      <c r="I2256" s="21" t="s">
        <v>182</v>
      </c>
      <c r="J2256" s="8" t="str" cm="1">
        <f t="array" aca="1" ref="J2256" ca="1">_xlfn.LET(
  _xlpm.actual_value_month, INDEX(T2256:AE2256, MATCH(DATE(YEAR(TODAY()), MONTH(TODAY()), 1), $T$1:$AE$1, 0)),
  IF(_xlpm.actual_value_month &lt;&gt; "", _xlpm.actual_value_month &amp; " ações mensais", "")
)</f>
        <v/>
      </c>
      <c r="K2256" s="8" t="str" cm="1">
        <f t="array" ref="K2256">_xlfn.LET(
    _xlpm.sum_month, SUM(T2256:AE2256),
    IF(_xlpm.sum_month = 0, "", _xlpm.sum_month &amp; " taxa de aprovados")
)</f>
        <v/>
      </c>
      <c r="L2256" s="4" t="s">
        <v>183</v>
      </c>
      <c r="M2256" s="13">
        <v>1</v>
      </c>
      <c r="N2256" s="5" t="s">
        <v>51</v>
      </c>
      <c r="O2256" s="5" t="s">
        <v>43</v>
      </c>
      <c r="P2256" s="10" t="s">
        <v>44</v>
      </c>
      <c r="Q2256" s="10" t="s">
        <v>44</v>
      </c>
      <c r="R2256" s="11" t="s">
        <v>44</v>
      </c>
      <c r="S2256" s="11" t="s">
        <v>44</v>
      </c>
      <c r="T2256" s="22"/>
      <c r="U2256" s="22"/>
      <c r="V2256" s="22"/>
      <c r="W2256" s="22"/>
      <c r="X2256" s="22"/>
      <c r="Y2256" s="22"/>
      <c r="Z2256" s="22"/>
      <c r="AA2256" s="22"/>
      <c r="AB2256" s="22"/>
      <c r="AC2256" s="22"/>
      <c r="AD2256" s="22"/>
      <c r="AE2256" s="22"/>
      <c r="AG2256" s="71"/>
      <c r="AH2256" s="71"/>
      <c r="AI2256" s="71"/>
      <c r="AJ2256" s="71"/>
      <c r="AK2256" s="71"/>
      <c r="AL2256" s="71"/>
      <c r="AM2256" s="71"/>
      <c r="AN2256" s="71"/>
      <c r="AO2256" s="71"/>
      <c r="AP2256" s="71"/>
      <c r="AQ2256" s="71"/>
      <c r="AR2256" s="71"/>
      <c r="AS2256" s="94" t="str" cm="1">
        <f t="array" ref="AS2256">IFERROR(INDEX(T2256:AE2256,1,MATCH(2,1/(T2256:AE2256&lt;&gt;""))),"")</f>
        <v/>
      </c>
      <c r="AT2256" s="95" t="str" cm="1">
        <f t="array" ref="AT2256">IFERROR(INDEX(AJ2256:AR2256,1,MATCH(2,1/(AJ2256:AR2256&lt;&gt;""))),"")</f>
        <v/>
      </c>
      <c r="AU2256" s="97" t="str">
        <f t="shared" ref="AU2256:AU2259" si="2670">AT2256</f>
        <v/>
      </c>
      <c r="AW2256" s="51" t="str">
        <f t="shared" ref="AW2256:AW2259" si="2671">IFERROR(IF(AG2256="","",AG2256/T2256),0)</f>
        <v/>
      </c>
      <c r="AX2256" s="51"/>
      <c r="AY2256" s="51"/>
      <c r="AZ2256" s="51"/>
      <c r="BA2256" s="51"/>
      <c r="BB2256" s="51"/>
      <c r="BC2256" s="51"/>
      <c r="BD2256" s="51"/>
      <c r="BE2256" s="51"/>
      <c r="BF2256" s="51"/>
      <c r="BG2256" s="51"/>
      <c r="BH2256" s="51"/>
      <c r="BI2256" s="65" t="str" cm="1">
        <f t="array" ref="BI2256">IFERROR(INDEX(AW2256:BH2256,1,MATCH(2,1/(AW2256:BH2256&lt;&gt;""))),"")</f>
        <v/>
      </c>
      <c r="BJ2256" s="68" t="str" cm="1">
        <f t="array" ref="BJ2256">IF(BM2256 = "", "",IFERROR(INDEX(AW2256:BH2256,1,MATCH(2,1/(AW2256:BH2256&lt;&gt;""),1)-1),""))</f>
        <v/>
      </c>
      <c r="BK2256" s="58" t="str" cm="1">
        <f t="array" ref="BK2256">IFERROR(INDEX(AW2256:BH2256,1,MATCH(2,1/(AW2256:BH2256&lt;&gt;""))),"")</f>
        <v/>
      </c>
      <c r="BL2256" s="58" t="str" cm="1">
        <f t="array" ref="BL2256">IFERROR(INDEX(AW2256:BH2256,1,MATCH(2,1/(AW2256:BH2256&lt;&gt;""),1)-1),"")</f>
        <v/>
      </c>
      <c r="BM2256" s="55" t="str" cm="1">
        <f t="array" ref="BM2256">IFERROR(
   INDEX($AW$1:$BH$1,
      _xlfn.AGGREGATE(14, 6, COLUMN($AW$1:$BH$1)/(AW2256:BH2256&lt;&gt;""), 2) - COLUMN($AW$1) + 1
   ),
"")</f>
        <v/>
      </c>
      <c r="BN2256" s="55" t="str" cm="1">
        <f t="array" ref="BN2256">IFERROR(INDEX($AW$1:$BH$1,1,MATCH(2,1/(AW2256:BH2256&lt;&gt;""))),"")</f>
        <v/>
      </c>
      <c r="BO2256" s="53">
        <f ca="1">IFERROR(_xlfn.XLOOKUP(F2256,Apuração!A:A,Apuração!C:C)/_xlfn.XLOOKUP(F2256,Apuração!A:A,Apuração!B:B),0)</f>
        <v>0</v>
      </c>
      <c r="BP2256" s="53">
        <f ca="1">IFERROR(_xlfn.XLOOKUP(F2256,Apuração!A:A,Apuração!D:D)/_xlfn.XLOOKUP(F2256,Apuração!A:A,Apuração!B:B),0)</f>
        <v>0</v>
      </c>
      <c r="BQ2256" s="53">
        <f ca="1">IF(BK2256&gt;=BO2256,0,_xlfn.XLOOKUP(F2256,Apuração!A:A,Apuração!B:B)*(BO2256 + (1/_xlfn.XLOOKUP(F2256,Apuração!A:A,Apuração!B:B)) - BK2256))</f>
        <v>0</v>
      </c>
      <c r="BR2256" s="85">
        <f t="shared" ref="BR2256:BR2259" ca="1" si="2672">IF(BQ2256=0,0,BQ2256*Z2256)</f>
        <v>0</v>
      </c>
      <c r="BS2256" s="53">
        <f ca="1">IFERROR((_xlfn.XLOOKUP(F2256,Apuração!A:A,Apuração!C:C)+1)/_xlfn.XLOOKUP(F2256,Apuração!A:A,Apuração!B:B),0)</f>
        <v>0.14285714285714285</v>
      </c>
    </row>
    <row r="2257" spans="1:71" ht="25.95" hidden="1" customHeight="1" x14ac:dyDescent="0.3">
      <c r="A2257" s="44" t="s">
        <v>175</v>
      </c>
      <c r="B2257" s="4" t="s">
        <v>197</v>
      </c>
      <c r="C2257" s="5" t="s">
        <v>216</v>
      </c>
      <c r="D2257" s="5" t="s">
        <v>103</v>
      </c>
      <c r="E2257" s="4" t="s">
        <v>96</v>
      </c>
      <c r="F2257" s="4" t="str" cm="1">
        <f t="array" ref="F2257">_xlfn.IFS(
AG2257 &lt;&gt; "", "Jan-Dez/26",
AH2257 &lt;&gt; "", "Fev-Dez/26",
AI2257 &lt;&gt; "", "Mar-Dez/26", AJ2257 &lt;&gt; "", "Abr-Dez/26",
TRUE, "A partir de Junho"
)</f>
        <v>A partir de Junho</v>
      </c>
      <c r="G2257" s="4" t="s">
        <v>62</v>
      </c>
      <c r="H2257" s="7" t="s">
        <v>38</v>
      </c>
      <c r="I2257" s="21" t="s">
        <v>182</v>
      </c>
      <c r="J2257" s="8" t="str" cm="1">
        <f t="array" aca="1" ref="J2257" ca="1">_xlfn.LET(
  _xlpm.actual_value_month, INDEX(T2257:AE2257, MATCH(DATE(YEAR(TODAY()), MONTH(TODAY()), 1), $T$1:$AE$1, 0)),
  IF(_xlpm.actual_value_month &lt;&gt; "", _xlpm.actual_value_month &amp; " ações mensais", "")
)</f>
        <v/>
      </c>
      <c r="K2257" s="8" t="str" cm="1">
        <f t="array" ref="K2257">_xlfn.LET(
    _xlpm.sum_month, SUM(T2257:AE2257),
    IF(_xlpm.sum_month = 0, "", _xlpm.sum_month &amp; " taxa de aprovados")
)</f>
        <v/>
      </c>
      <c r="L2257" s="4" t="s">
        <v>183</v>
      </c>
      <c r="M2257" s="13">
        <v>1</v>
      </c>
      <c r="N2257" s="5" t="s">
        <v>51</v>
      </c>
      <c r="O2257" s="5" t="s">
        <v>43</v>
      </c>
      <c r="P2257" s="10" t="s">
        <v>44</v>
      </c>
      <c r="Q2257" s="10" t="s">
        <v>44</v>
      </c>
      <c r="R2257" s="11" t="s">
        <v>44</v>
      </c>
      <c r="S2257" s="11" t="s">
        <v>44</v>
      </c>
      <c r="T2257" s="22"/>
      <c r="U2257" s="22"/>
      <c r="V2257" s="22"/>
      <c r="W2257" s="22"/>
      <c r="X2257" s="22"/>
      <c r="Y2257" s="22"/>
      <c r="Z2257" s="22"/>
      <c r="AA2257" s="22"/>
      <c r="AB2257" s="22"/>
      <c r="AC2257" s="22"/>
      <c r="AD2257" s="22"/>
      <c r="AE2257" s="22"/>
      <c r="AG2257" s="71"/>
      <c r="AH2257" s="71"/>
      <c r="AI2257" s="71"/>
      <c r="AJ2257" s="71"/>
      <c r="AK2257" s="71"/>
      <c r="AL2257" s="71"/>
      <c r="AM2257" s="71"/>
      <c r="AN2257" s="71"/>
      <c r="AO2257" s="71"/>
      <c r="AP2257" s="71"/>
      <c r="AQ2257" s="71"/>
      <c r="AR2257" s="71"/>
      <c r="AS2257" s="94" t="str" cm="1">
        <f t="array" ref="AS2257">IFERROR(INDEX(T2257:AE2257,1,MATCH(2,1/(T2257:AE2257&lt;&gt;""))),"")</f>
        <v/>
      </c>
      <c r="AT2257" s="95" t="str" cm="1">
        <f t="array" ref="AT2257">IFERROR(INDEX(AJ2257:AR2257,1,MATCH(2,1/(AJ2257:AR2257&lt;&gt;""))),"")</f>
        <v/>
      </c>
      <c r="AU2257" s="97" t="str">
        <f t="shared" si="2670"/>
        <v/>
      </c>
      <c r="AW2257" s="51" t="str">
        <f t="shared" si="2671"/>
        <v/>
      </c>
      <c r="AX2257" s="51"/>
      <c r="AY2257" s="51"/>
      <c r="AZ2257" s="51"/>
      <c r="BA2257" s="51"/>
      <c r="BB2257" s="51"/>
      <c r="BC2257" s="51"/>
      <c r="BD2257" s="51"/>
      <c r="BE2257" s="51"/>
      <c r="BF2257" s="51"/>
      <c r="BG2257" s="51"/>
      <c r="BH2257" s="51"/>
      <c r="BI2257" s="65" t="str" cm="1">
        <f t="array" ref="BI2257">IFERROR(INDEX(AW2257:BH2257,1,MATCH(2,1/(AW2257:BH2257&lt;&gt;""))),"")</f>
        <v/>
      </c>
      <c r="BJ2257" s="68" t="str" cm="1">
        <f t="array" ref="BJ2257">IF(BM2257 = "", "",IFERROR(INDEX(AW2257:BH2257,1,MATCH(2,1/(AW2257:BH2257&lt;&gt;""),1)-1),""))</f>
        <v/>
      </c>
      <c r="BK2257" s="58" t="str" cm="1">
        <f t="array" ref="BK2257">IFERROR(INDEX(AW2257:BH2257,1,MATCH(2,1/(AW2257:BH2257&lt;&gt;""))),"")</f>
        <v/>
      </c>
      <c r="BL2257" s="58" t="str" cm="1">
        <f t="array" ref="BL2257">IFERROR(INDEX(AW2257:BH2257,1,MATCH(2,1/(AW2257:BH2257&lt;&gt;""),1)-1),"")</f>
        <v/>
      </c>
      <c r="BM2257" s="55" t="str" cm="1">
        <f t="array" ref="BM2257">IFERROR(
   INDEX($AW$1:$BH$1,
      _xlfn.AGGREGATE(14, 6, COLUMN($AW$1:$BH$1)/(AW2257:BH2257&lt;&gt;""), 2) - COLUMN($AW$1) + 1
   ),
"")</f>
        <v/>
      </c>
      <c r="BN2257" s="55" t="str" cm="1">
        <f t="array" ref="BN2257">IFERROR(INDEX($AW$1:$BH$1,1,MATCH(2,1/(AW2257:BH2257&lt;&gt;""))),"")</f>
        <v/>
      </c>
      <c r="BO2257" s="53">
        <f ca="1">IFERROR(_xlfn.XLOOKUP(F2257,Apuração!A:A,Apuração!C:C)/_xlfn.XLOOKUP(F2257,Apuração!A:A,Apuração!B:B),0)</f>
        <v>0</v>
      </c>
      <c r="BP2257" s="53">
        <f ca="1">IFERROR(_xlfn.XLOOKUP(F2257,Apuração!A:A,Apuração!D:D)/_xlfn.XLOOKUP(F2257,Apuração!A:A,Apuração!B:B),0)</f>
        <v>0</v>
      </c>
      <c r="BQ2257" s="53">
        <f ca="1">IF(BK2257&gt;=BO2257,0,_xlfn.XLOOKUP(F2257,Apuração!A:A,Apuração!B:B)*(BO2257 + (1/_xlfn.XLOOKUP(F2257,Apuração!A:A,Apuração!B:B)) - BK2257))</f>
        <v>0</v>
      </c>
      <c r="BR2257" s="85">
        <f t="shared" ca="1" si="2672"/>
        <v>0</v>
      </c>
      <c r="BS2257" s="53">
        <f ca="1">IFERROR((_xlfn.XLOOKUP(F2257,Apuração!A:A,Apuração!C:C)+1)/_xlfn.XLOOKUP(F2257,Apuração!A:A,Apuração!B:B),0)</f>
        <v>0.14285714285714285</v>
      </c>
    </row>
    <row r="2258" spans="1:71" ht="25.95" hidden="1" customHeight="1" x14ac:dyDescent="0.3">
      <c r="A2258" s="44" t="s">
        <v>175</v>
      </c>
      <c r="B2258" s="4" t="s">
        <v>197</v>
      </c>
      <c r="C2258" s="5" t="s">
        <v>216</v>
      </c>
      <c r="D2258" s="5" t="s">
        <v>218</v>
      </c>
      <c r="E2258" s="4" t="s">
        <v>96</v>
      </c>
      <c r="F2258" s="4" t="str" cm="1">
        <f t="array" ref="F2258">_xlfn.IFS(
AG2258 &lt;&gt; "", "Jan-Dez/26",
AH2258 &lt;&gt; "", "Fev-Dez/26",
AI2258 &lt;&gt; "", "Mar-Dez/26", AJ2258 &lt;&gt; "", "Abr-Dez/26",
TRUE, "A partir de Junho"
)</f>
        <v>A partir de Junho</v>
      </c>
      <c r="G2258" s="4" t="s">
        <v>62</v>
      </c>
      <c r="H2258" s="7" t="s">
        <v>38</v>
      </c>
      <c r="I2258" s="21" t="s">
        <v>182</v>
      </c>
      <c r="J2258" s="8" t="str" cm="1">
        <f t="array" aca="1" ref="J2258" ca="1">_xlfn.LET(
  _xlpm.actual_value_month, INDEX(T2258:AE2258, MATCH(DATE(YEAR(TODAY()), MONTH(TODAY()), 1), $T$1:$AE$1, 0)),
  IF(_xlpm.actual_value_month &lt;&gt; "", _xlpm.actual_value_month &amp; " ações mensais", "")
)</f>
        <v/>
      </c>
      <c r="K2258" s="8" t="str" cm="1">
        <f t="array" ref="K2258">_xlfn.LET(
    _xlpm.sum_month, SUM(T2258:AE2258),
    IF(_xlpm.sum_month = 0, "", _xlpm.sum_month &amp; " taxa de aprovados")
)</f>
        <v/>
      </c>
      <c r="L2258" s="4" t="s">
        <v>183</v>
      </c>
      <c r="M2258" s="13">
        <v>1</v>
      </c>
      <c r="N2258" s="5" t="s">
        <v>51</v>
      </c>
      <c r="O2258" s="5" t="s">
        <v>43</v>
      </c>
      <c r="P2258" s="10" t="s">
        <v>44</v>
      </c>
      <c r="Q2258" s="10" t="s">
        <v>44</v>
      </c>
      <c r="R2258" s="11" t="s">
        <v>44</v>
      </c>
      <c r="S2258" s="11" t="s">
        <v>44</v>
      </c>
      <c r="T2258" s="22"/>
      <c r="U2258" s="22"/>
      <c r="V2258" s="22"/>
      <c r="W2258" s="22"/>
      <c r="X2258" s="22"/>
      <c r="Y2258" s="22"/>
      <c r="Z2258" s="22"/>
      <c r="AA2258" s="22"/>
      <c r="AB2258" s="22"/>
      <c r="AC2258" s="22"/>
      <c r="AD2258" s="22"/>
      <c r="AE2258" s="22"/>
      <c r="AG2258" s="71"/>
      <c r="AH2258" s="71"/>
      <c r="AI2258" s="71"/>
      <c r="AJ2258" s="71"/>
      <c r="AK2258" s="71"/>
      <c r="AL2258" s="71"/>
      <c r="AM2258" s="71"/>
      <c r="AN2258" s="71"/>
      <c r="AO2258" s="71"/>
      <c r="AP2258" s="71"/>
      <c r="AQ2258" s="71"/>
      <c r="AR2258" s="71"/>
      <c r="AS2258" s="94" t="str" cm="1">
        <f t="array" ref="AS2258">IFERROR(INDEX(T2258:AE2258,1,MATCH(2,1/(T2258:AE2258&lt;&gt;""))),"")</f>
        <v/>
      </c>
      <c r="AT2258" s="95" t="str" cm="1">
        <f t="array" ref="AT2258">IFERROR(INDEX(AJ2258:AR2258,1,MATCH(2,1/(AJ2258:AR2258&lt;&gt;""))),"")</f>
        <v/>
      </c>
      <c r="AU2258" s="97" t="str">
        <f t="shared" si="2670"/>
        <v/>
      </c>
      <c r="AW2258" s="51" t="str">
        <f t="shared" si="2671"/>
        <v/>
      </c>
      <c r="AX2258" s="51"/>
      <c r="AY2258" s="51"/>
      <c r="AZ2258" s="51"/>
      <c r="BA2258" s="51"/>
      <c r="BB2258" s="51"/>
      <c r="BC2258" s="51"/>
      <c r="BD2258" s="51"/>
      <c r="BE2258" s="51"/>
      <c r="BF2258" s="51"/>
      <c r="BG2258" s="51"/>
      <c r="BH2258" s="51"/>
      <c r="BI2258" s="65" t="str" cm="1">
        <f t="array" ref="BI2258">IFERROR(INDEX(AW2258:BH2258,1,MATCH(2,1/(AW2258:BH2258&lt;&gt;""))),"")</f>
        <v/>
      </c>
      <c r="BJ2258" s="68" t="str" cm="1">
        <f t="array" ref="BJ2258">IF(BM2258 = "", "",IFERROR(INDEX(AW2258:BH2258,1,MATCH(2,1/(AW2258:BH2258&lt;&gt;""),1)-1),""))</f>
        <v/>
      </c>
      <c r="BK2258" s="58" t="str" cm="1">
        <f t="array" ref="BK2258">IFERROR(INDEX(AW2258:BH2258,1,MATCH(2,1/(AW2258:BH2258&lt;&gt;""))),"")</f>
        <v/>
      </c>
      <c r="BL2258" s="58" t="str" cm="1">
        <f t="array" ref="BL2258">IFERROR(INDEX(AW2258:BH2258,1,MATCH(2,1/(AW2258:BH2258&lt;&gt;""),1)-1),"")</f>
        <v/>
      </c>
      <c r="BM2258" s="55" t="str" cm="1">
        <f t="array" ref="BM2258">IFERROR(
   INDEX($AW$1:$BH$1,
      _xlfn.AGGREGATE(14, 6, COLUMN($AW$1:$BH$1)/(AW2258:BH2258&lt;&gt;""), 2) - COLUMN($AW$1) + 1
   ),
"")</f>
        <v/>
      </c>
      <c r="BN2258" s="55" t="str" cm="1">
        <f t="array" ref="BN2258">IFERROR(INDEX($AW$1:$BH$1,1,MATCH(2,1/(AW2258:BH2258&lt;&gt;""))),"")</f>
        <v/>
      </c>
      <c r="BO2258" s="53">
        <f ca="1">IFERROR(_xlfn.XLOOKUP(F2258,Apuração!A:A,Apuração!C:C)/_xlfn.XLOOKUP(F2258,Apuração!A:A,Apuração!B:B),0)</f>
        <v>0</v>
      </c>
      <c r="BP2258" s="53">
        <f ca="1">IFERROR(_xlfn.XLOOKUP(F2258,Apuração!A:A,Apuração!D:D)/_xlfn.XLOOKUP(F2258,Apuração!A:A,Apuração!B:B),0)</f>
        <v>0</v>
      </c>
      <c r="BQ2258" s="53">
        <f ca="1">IF(BK2258&gt;=BO2258,0,_xlfn.XLOOKUP(F2258,Apuração!A:A,Apuração!B:B)*(BO2258 + (1/_xlfn.XLOOKUP(F2258,Apuração!A:A,Apuração!B:B)) - BK2258))</f>
        <v>0</v>
      </c>
      <c r="BR2258" s="85">
        <f t="shared" ca="1" si="2672"/>
        <v>0</v>
      </c>
      <c r="BS2258" s="53">
        <f ca="1">IFERROR((_xlfn.XLOOKUP(F2258,Apuração!A:A,Apuração!C:C)+1)/_xlfn.XLOOKUP(F2258,Apuração!A:A,Apuração!B:B),0)</f>
        <v>0.14285714285714285</v>
      </c>
    </row>
    <row r="2259" spans="1:71" ht="25.95" hidden="1" customHeight="1" x14ac:dyDescent="0.3">
      <c r="A2259" s="44" t="s">
        <v>175</v>
      </c>
      <c r="B2259" s="4" t="s">
        <v>197</v>
      </c>
      <c r="C2259" s="5" t="s">
        <v>216</v>
      </c>
      <c r="D2259" s="5" t="s">
        <v>219</v>
      </c>
      <c r="E2259" s="4" t="s">
        <v>96</v>
      </c>
      <c r="F2259" s="4" t="str" cm="1">
        <f t="array" ref="F2259">_xlfn.IFS(
AG2259 &lt;&gt; "", "Jan-Dez/26",
AH2259 &lt;&gt; "", "Fev-Dez/26",
AI2259 &lt;&gt; "", "Mar-Dez/26", AJ2259 &lt;&gt; "", "Abr-Dez/26",
TRUE, "A partir de Junho"
)</f>
        <v>A partir de Junho</v>
      </c>
      <c r="G2259" s="4" t="s">
        <v>62</v>
      </c>
      <c r="H2259" s="7" t="s">
        <v>38</v>
      </c>
      <c r="I2259" s="21" t="s">
        <v>182</v>
      </c>
      <c r="J2259" s="8" t="str" cm="1">
        <f t="array" aca="1" ref="J2259" ca="1">_xlfn.LET(
  _xlpm.actual_value_month, INDEX(T2259:AE2259, MATCH(DATE(YEAR(TODAY()), MONTH(TODAY()), 1), $T$1:$AE$1, 0)),
  IF(_xlpm.actual_value_month &lt;&gt; "", _xlpm.actual_value_month &amp; " ações mensais", "")
)</f>
        <v/>
      </c>
      <c r="K2259" s="8" t="str" cm="1">
        <f t="array" ref="K2259">_xlfn.LET(
    _xlpm.sum_month, SUM(T2259:AE2259),
    IF(_xlpm.sum_month = 0, "", _xlpm.sum_month &amp; " taxa de aprovados")
)</f>
        <v/>
      </c>
      <c r="L2259" s="4" t="s">
        <v>183</v>
      </c>
      <c r="M2259" s="13">
        <v>1</v>
      </c>
      <c r="N2259" s="5" t="s">
        <v>51</v>
      </c>
      <c r="O2259" s="5" t="s">
        <v>43</v>
      </c>
      <c r="P2259" s="10" t="s">
        <v>44</v>
      </c>
      <c r="Q2259" s="10" t="s">
        <v>44</v>
      </c>
      <c r="R2259" s="11" t="s">
        <v>44</v>
      </c>
      <c r="S2259" s="11" t="s">
        <v>44</v>
      </c>
      <c r="T2259" s="22"/>
      <c r="U2259" s="22"/>
      <c r="V2259" s="22"/>
      <c r="W2259" s="22"/>
      <c r="X2259" s="22"/>
      <c r="Y2259" s="22"/>
      <c r="Z2259" s="22"/>
      <c r="AA2259" s="22"/>
      <c r="AB2259" s="22"/>
      <c r="AC2259" s="22"/>
      <c r="AD2259" s="22"/>
      <c r="AE2259" s="22"/>
      <c r="AG2259" s="71"/>
      <c r="AH2259" s="71"/>
      <c r="AI2259" s="71"/>
      <c r="AJ2259" s="71"/>
      <c r="AK2259" s="71"/>
      <c r="AL2259" s="71"/>
      <c r="AM2259" s="71"/>
      <c r="AN2259" s="71"/>
      <c r="AO2259" s="71"/>
      <c r="AP2259" s="71"/>
      <c r="AQ2259" s="71"/>
      <c r="AR2259" s="71"/>
      <c r="AS2259" s="94" t="str" cm="1">
        <f t="array" ref="AS2259">IFERROR(INDEX(T2259:AE2259,1,MATCH(2,1/(T2259:AE2259&lt;&gt;""))),"")</f>
        <v/>
      </c>
      <c r="AT2259" s="95" t="str" cm="1">
        <f t="array" ref="AT2259">IFERROR(INDEX(AJ2259:AR2259,1,MATCH(2,1/(AJ2259:AR2259&lt;&gt;""))),"")</f>
        <v/>
      </c>
      <c r="AU2259" s="97" t="str">
        <f t="shared" si="2670"/>
        <v/>
      </c>
      <c r="AW2259" s="51" t="str">
        <f t="shared" si="2671"/>
        <v/>
      </c>
      <c r="AX2259" s="51"/>
      <c r="AY2259" s="51"/>
      <c r="AZ2259" s="51"/>
      <c r="BA2259" s="51"/>
      <c r="BB2259" s="51"/>
      <c r="BC2259" s="51"/>
      <c r="BD2259" s="51"/>
      <c r="BE2259" s="51"/>
      <c r="BF2259" s="51"/>
      <c r="BG2259" s="51"/>
      <c r="BH2259" s="51"/>
      <c r="BI2259" s="65" t="str" cm="1">
        <f t="array" ref="BI2259">IFERROR(INDEX(AW2259:BH2259,1,MATCH(2,1/(AW2259:BH2259&lt;&gt;""))),"")</f>
        <v/>
      </c>
      <c r="BJ2259" s="68" t="str" cm="1">
        <f t="array" ref="BJ2259">IF(BM2259 = "", "",IFERROR(INDEX(AW2259:BH2259,1,MATCH(2,1/(AW2259:BH2259&lt;&gt;""),1)-1),""))</f>
        <v/>
      </c>
      <c r="BK2259" s="58" t="str" cm="1">
        <f t="array" ref="BK2259">IFERROR(INDEX(AW2259:BH2259,1,MATCH(2,1/(AW2259:BH2259&lt;&gt;""))),"")</f>
        <v/>
      </c>
      <c r="BL2259" s="58" t="str" cm="1">
        <f t="array" ref="BL2259">IFERROR(INDEX(AW2259:BH2259,1,MATCH(2,1/(AW2259:BH2259&lt;&gt;""),1)-1),"")</f>
        <v/>
      </c>
      <c r="BM2259" s="55" t="str" cm="1">
        <f t="array" ref="BM2259">IFERROR(
   INDEX($AW$1:$BH$1,
      _xlfn.AGGREGATE(14, 6, COLUMN($AW$1:$BH$1)/(AW2259:BH2259&lt;&gt;""), 2) - COLUMN($AW$1) + 1
   ),
"")</f>
        <v/>
      </c>
      <c r="BN2259" s="55" t="str" cm="1">
        <f t="array" ref="BN2259">IFERROR(INDEX($AW$1:$BH$1,1,MATCH(2,1/(AW2259:BH2259&lt;&gt;""))),"")</f>
        <v/>
      </c>
      <c r="BO2259" s="53">
        <f ca="1">IFERROR(_xlfn.XLOOKUP(F2259,Apuração!A:A,Apuração!C:C)/_xlfn.XLOOKUP(F2259,Apuração!A:A,Apuração!B:B),0)</f>
        <v>0</v>
      </c>
      <c r="BP2259" s="53">
        <f ca="1">IFERROR(_xlfn.XLOOKUP(F2259,Apuração!A:A,Apuração!D:D)/_xlfn.XLOOKUP(F2259,Apuração!A:A,Apuração!B:B),0)</f>
        <v>0</v>
      </c>
      <c r="BQ2259" s="53">
        <f ca="1">IF(BK2259&gt;=BO2259,0,_xlfn.XLOOKUP(F2259,Apuração!A:A,Apuração!B:B)*(BO2259 + (1/_xlfn.XLOOKUP(F2259,Apuração!A:A,Apuração!B:B)) - BK2259))</f>
        <v>0</v>
      </c>
      <c r="BR2259" s="85">
        <f t="shared" ca="1" si="2672"/>
        <v>0</v>
      </c>
      <c r="BS2259" s="53">
        <f ca="1">IFERROR((_xlfn.XLOOKUP(F2259,Apuração!A:A,Apuração!C:C)+1)/_xlfn.XLOOKUP(F2259,Apuração!A:A,Apuração!B:B),0)</f>
        <v>0.14285714285714285</v>
      </c>
    </row>
    <row r="2260" spans="1:71" ht="25.95" hidden="1" customHeight="1" x14ac:dyDescent="0.3">
      <c r="A2260" s="35" t="s">
        <v>44</v>
      </c>
      <c r="B2260" s="10" t="s">
        <v>44</v>
      </c>
      <c r="C2260" s="5" t="s">
        <v>216</v>
      </c>
      <c r="D2260" s="5" t="s">
        <v>36</v>
      </c>
      <c r="E2260" s="4" t="str" cm="1">
        <f t="array" ref="E2260">_xlfn.IFS(
F2260 = "A partir de Abril", "Aguardando Execução na Distribuidora",
A2260 = "CAPACITAÇÃO", "Em execução no Corporativo",
TRUE, "Em Execução na Distribuidora"
)</f>
        <v>Em Execução na Distribuidora</v>
      </c>
      <c r="F2260" s="4" t="str" cm="1">
        <f t="array" ref="F2260">_xlfn.IFS(
AG2260 &lt;&gt; "", "Jan-Dez/26",
AH2260 &lt;&gt; "", "Fev-Dez/26",
AI2260 &lt;&gt; "", "Mar-Dez/26", AJ2260 &lt;&gt; "", "Abr-Dez/26",
TRUE, "A partir de Junho"
)</f>
        <v>Jan-Dez/26</v>
      </c>
      <c r="G2260" s="10" t="s">
        <v>44</v>
      </c>
      <c r="H2260" s="36" t="s">
        <v>44</v>
      </c>
      <c r="I2260" s="37"/>
      <c r="J2260" s="37"/>
      <c r="K2260" s="37"/>
      <c r="L2260" s="37" t="s">
        <v>200</v>
      </c>
      <c r="M2260" s="37"/>
      <c r="N2260" s="5" t="s">
        <v>42</v>
      </c>
      <c r="O2260" s="5" t="s">
        <v>52</v>
      </c>
      <c r="P2260" s="10" t="s">
        <v>44</v>
      </c>
      <c r="Q2260" s="10" t="s">
        <v>44</v>
      </c>
      <c r="R2260" s="11" t="s">
        <v>44</v>
      </c>
      <c r="S2260" s="11" t="s">
        <v>44</v>
      </c>
      <c r="T2260" s="22"/>
      <c r="U2260" s="22"/>
      <c r="V2260" s="22"/>
      <c r="W2260" s="22"/>
      <c r="X2260" s="22"/>
      <c r="Y2260" s="22"/>
      <c r="Z2260" s="22"/>
      <c r="AA2260" s="22"/>
      <c r="AB2260" s="22"/>
      <c r="AC2260" s="22"/>
      <c r="AD2260" s="22"/>
      <c r="AE2260" s="22"/>
      <c r="AG2260" s="112">
        <v>0</v>
      </c>
      <c r="AH2260" s="112">
        <v>0</v>
      </c>
      <c r="AI2260" s="112">
        <v>0</v>
      </c>
      <c r="AJ2260" s="112">
        <v>1.86</v>
      </c>
      <c r="AK2260" s="112"/>
      <c r="AL2260" s="112"/>
      <c r="AM2260" s="112"/>
      <c r="AN2260" s="112"/>
      <c r="AO2260" s="112"/>
      <c r="AP2260" s="112"/>
      <c r="AQ2260" s="112"/>
      <c r="AR2260" s="112"/>
      <c r="AS2260" s="94"/>
      <c r="AT2260" s="95"/>
      <c r="AU2260" s="97"/>
      <c r="AW2260" s="84">
        <f>AG2260</f>
        <v>0</v>
      </c>
      <c r="AX2260" s="84">
        <f>AH2260</f>
        <v>0</v>
      </c>
      <c r="AY2260" s="84">
        <f>AI2260</f>
        <v>0</v>
      </c>
      <c r="AZ2260" s="84">
        <f>AJ2260</f>
        <v>1.86</v>
      </c>
      <c r="BA2260" s="84"/>
      <c r="BB2260" s="84"/>
      <c r="BC2260" s="84"/>
      <c r="BD2260" s="84"/>
      <c r="BE2260" s="84"/>
      <c r="BF2260" s="84"/>
      <c r="BG2260" s="84"/>
      <c r="BH2260" s="84"/>
      <c r="BI2260" s="68" cm="1">
        <f t="array" ref="BI2260">IFERROR(INDEX(AW2260:BH2260,1,MATCH(2,1/(AW2260:BH2260&lt;&gt;""))),"")</f>
        <v>1.86</v>
      </c>
      <c r="BJ2260" s="68" cm="1">
        <f t="array" ref="BJ2260">IF(BM2260 = "", "",IFERROR(INDEX(AW2260:BH2260,1,MATCH(2,1/(AW2260:BH2260&lt;&gt;""),1)-1),""))</f>
        <v>0</v>
      </c>
      <c r="BK2260" s="57" cm="1">
        <f t="array" ref="BK2260">IFERROR(INDEX(AW2260:BH2260,1,MATCH(2,1/(AW2260:BH2260&lt;&gt;""),1)),"")</f>
        <v>1.86</v>
      </c>
      <c r="BL2260" s="57" cm="1">
        <f t="array" ref="BL2260">IF(BM2260 = "", "",IFERROR(INDEX(AW2260:BH2260,1,MATCH(2,1/(AW2260:BH2260&lt;&gt;""),1)-1),""))</f>
        <v>0</v>
      </c>
      <c r="BM2260" s="55" cm="1">
        <f t="array" ref="BM2260">IFERROR(
   INDEX($AW$1:$BH$1,
      _xlfn.AGGREGATE(14, 6, COLUMN($AW$1:$BH$1)/(AW2260:BH2260&lt;&gt;""), 2) - COLUMN($AW$1) + 1
   ),
"")</f>
        <v>46082</v>
      </c>
      <c r="BN2260" s="55" cm="1">
        <f t="array" ref="BN2260">IFERROR(INDEX($AW$1:$BH$1,1,MATCH(2,1/(AW2260:BH2260&lt;&gt;""))),"")</f>
        <v>46113</v>
      </c>
      <c r="BO2260" s="53">
        <f ca="1">IFERROR(_xlfn.XLOOKUP(F2260,Apuração!A:A,Apuração!C:C)/_xlfn.XLOOKUP(F2260,Apuração!A:A,Apuração!B:B),0)</f>
        <v>0.41666666666666669</v>
      </c>
      <c r="BP2260" s="53">
        <f ca="1">IFERROR(_xlfn.XLOOKUP(F2260,Apuração!A:A,Apuração!D:D)/_xlfn.XLOOKUP(F2260,Apuração!A:A,Apuração!B:B),0)</f>
        <v>0.33333333333333331</v>
      </c>
      <c r="BQ2260" s="53">
        <f ca="1">IF(BK2260&gt;=BO2260,0,_xlfn.XLOOKUP(F2260,Apuração!A:A,Apuração!B:B)*(BO2260 + (1/_xlfn.XLOOKUP(F2260,Apuração!A:A,Apuração!B:B)) - BK2260))</f>
        <v>0</v>
      </c>
      <c r="BR2260" s="85">
        <f ca="1">IF(BQ2260=0,0,BQ2260*Z2260)</f>
        <v>0</v>
      </c>
      <c r="BS2260" s="53">
        <f ca="1">IFERROR((_xlfn.XLOOKUP(F2260,Apuração!A:A,Apuração!C:C)+1)/_xlfn.XLOOKUP(F2260,Apuração!A:A,Apuração!B:B),0)</f>
        <v>0.5</v>
      </c>
    </row>
    <row r="2261" spans="1:71" ht="25.95" hidden="1" customHeight="1" x14ac:dyDescent="0.3">
      <c r="A2261" s="35" t="s">
        <v>44</v>
      </c>
      <c r="B2261" s="10" t="s">
        <v>44</v>
      </c>
      <c r="C2261" s="5" t="s">
        <v>216</v>
      </c>
      <c r="D2261" s="5" t="s">
        <v>217</v>
      </c>
      <c r="E2261" s="4" t="str" cm="1">
        <f t="array" ref="E2261">_xlfn.IFS(
F2261 = "A partir de Abril", "Aguardando Execução na Distribuidora",
A2261 = "CAPACITAÇÃO", "Em execução no Corporativo",
TRUE, "Em Execução na Distribuidora"
)</f>
        <v>Em Execução na Distribuidora</v>
      </c>
      <c r="F2261" s="4" t="str" cm="1">
        <f t="array" ref="F2261">_xlfn.IFS(
AG2261 &lt;&gt; "", "Jan-Dez/26",
AH2261 &lt;&gt; "", "Fev-Dez/26",
AI2261 &lt;&gt; "", "Mar-Dez/26", AJ2261 &lt;&gt; "", "Abr-Dez/26",
TRUE, "A partir de Junho"
)</f>
        <v>A partir de Junho</v>
      </c>
      <c r="G2261" s="10" t="s">
        <v>44</v>
      </c>
      <c r="H2261" s="36" t="s">
        <v>44</v>
      </c>
      <c r="I2261" s="37"/>
      <c r="J2261" s="37"/>
      <c r="K2261" s="37"/>
      <c r="L2261" s="37" t="s">
        <v>200</v>
      </c>
      <c r="M2261" s="37"/>
      <c r="N2261" s="5" t="s">
        <v>42</v>
      </c>
      <c r="O2261" s="5" t="s">
        <v>52</v>
      </c>
      <c r="P2261" s="10" t="s">
        <v>44</v>
      </c>
      <c r="Q2261" s="10" t="s">
        <v>44</v>
      </c>
      <c r="R2261" s="11" t="s">
        <v>44</v>
      </c>
      <c r="S2261" s="11" t="s">
        <v>44</v>
      </c>
      <c r="T2261" s="22"/>
      <c r="U2261" s="22"/>
      <c r="V2261" s="22"/>
      <c r="W2261" s="22"/>
      <c r="X2261" s="22"/>
      <c r="Y2261" s="22"/>
      <c r="Z2261" s="22"/>
      <c r="AA2261" s="22"/>
      <c r="AB2261" s="22"/>
      <c r="AC2261" s="22"/>
      <c r="AD2261" s="22"/>
      <c r="AE2261" s="22"/>
      <c r="AG2261" s="112"/>
      <c r="AH2261" s="112"/>
      <c r="AI2261" s="112"/>
      <c r="AJ2261" s="71"/>
      <c r="AK2261" s="71"/>
      <c r="AL2261" s="71"/>
      <c r="AM2261" s="71"/>
      <c r="AN2261" s="71"/>
      <c r="AO2261" s="71"/>
      <c r="AP2261" s="71"/>
      <c r="AQ2261" s="71"/>
      <c r="AR2261" s="71"/>
      <c r="AS2261" s="94"/>
      <c r="AT2261" s="95"/>
      <c r="AU2261" s="97"/>
      <c r="AW2261" s="84">
        <f t="shared" ref="AW2261:AW2264" si="2673">AG2261</f>
        <v>0</v>
      </c>
      <c r="AX2261" s="84">
        <f t="shared" ref="AX2261:AX2264" si="2674">AH2261</f>
        <v>0</v>
      </c>
      <c r="AY2261" s="84">
        <f t="shared" ref="AY2261:AY2264" si="2675">AI2261</f>
        <v>0</v>
      </c>
      <c r="AZ2261" s="84"/>
      <c r="BA2261" s="84"/>
      <c r="BB2261" s="84"/>
      <c r="BC2261" s="84"/>
      <c r="BD2261" s="84"/>
      <c r="BE2261" s="84"/>
      <c r="BF2261" s="84"/>
      <c r="BG2261" s="84"/>
      <c r="BH2261" s="84"/>
      <c r="BI2261" s="68" cm="1">
        <f t="array" ref="BI2261">IFERROR(INDEX(AW2261:BH2261,1,MATCH(2,1/(AW2261:BH2261&lt;&gt;""))),"")</f>
        <v>0</v>
      </c>
      <c r="BJ2261" s="68" cm="1">
        <f t="array" ref="BJ2261">IF(BM2261 = "", "",IFERROR(INDEX(AW2261:BH2261,1,MATCH(2,1/(AW2261:BH2261&lt;&gt;""),1)-1),""))</f>
        <v>0</v>
      </c>
      <c r="BK2261" s="57" cm="1">
        <f t="array" ref="BK2261">IFERROR(INDEX(AW2261:BH2261,1,MATCH(2,1/(AW2261:BH2261&lt;&gt;""),1)),"")</f>
        <v>0</v>
      </c>
      <c r="BL2261" s="57" cm="1">
        <f t="array" ref="BL2261">IF(BM2261 = "", "",IFERROR(INDEX(AW2261:BH2261,1,MATCH(2,1/(AW2261:BH2261&lt;&gt;""),1)-1),""))</f>
        <v>0</v>
      </c>
      <c r="BM2261" s="55" cm="1">
        <f t="array" ref="BM2261">IFERROR(
   INDEX($AW$1:$BH$1,
      _xlfn.AGGREGATE(14, 6, COLUMN($AW$1:$BH$1)/(AW2261:BH2261&lt;&gt;""), 2) - COLUMN($AW$1) + 1
   ),
"")</f>
        <v>46054</v>
      </c>
      <c r="BN2261" s="55" cm="1">
        <f t="array" ref="BN2261">IFERROR(INDEX($AW$1:$BH$1,1,MATCH(2,1/(AW2261:BH2261&lt;&gt;""))),"")</f>
        <v>46082</v>
      </c>
      <c r="BO2261" s="53">
        <f ca="1">IFERROR(_xlfn.XLOOKUP(F2261,Apuração!A:A,Apuração!C:C)/_xlfn.XLOOKUP(F2261,Apuração!A:A,Apuração!B:B),0)</f>
        <v>0</v>
      </c>
      <c r="BP2261" s="53">
        <f ca="1">IFERROR(_xlfn.XLOOKUP(F2261,Apuração!A:A,Apuração!D:D)/_xlfn.XLOOKUP(F2261,Apuração!A:A,Apuração!B:B),0)</f>
        <v>0</v>
      </c>
      <c r="BQ2261" s="53">
        <f ca="1">IF(BK2261&gt;=BO2261,0,_xlfn.XLOOKUP(F2261,Apuração!A:A,Apuração!B:B)*(BO2261 + (1/_xlfn.XLOOKUP(F2261,Apuração!A:A,Apuração!B:B)) - BK2261))</f>
        <v>0</v>
      </c>
      <c r="BR2261" s="85">
        <f t="shared" ref="BR2261:BR2264" ca="1" si="2676">IF(BQ2261=0,0,BQ2261*Z2261)</f>
        <v>0</v>
      </c>
      <c r="BS2261" s="53">
        <f ca="1">IFERROR((_xlfn.XLOOKUP(F2261,Apuração!A:A,Apuração!C:C)+1)/_xlfn.XLOOKUP(F2261,Apuração!A:A,Apuração!B:B),0)</f>
        <v>0.14285714285714285</v>
      </c>
    </row>
    <row r="2262" spans="1:71" ht="25.95" hidden="1" customHeight="1" x14ac:dyDescent="0.3">
      <c r="A2262" s="35" t="s">
        <v>44</v>
      </c>
      <c r="B2262" s="10" t="s">
        <v>44</v>
      </c>
      <c r="C2262" s="5" t="s">
        <v>216</v>
      </c>
      <c r="D2262" s="5" t="s">
        <v>103</v>
      </c>
      <c r="E2262" s="4" t="str" cm="1">
        <f t="array" ref="E2262">_xlfn.IFS(
F2262 = "A partir de Abril", "Aguardando Execução na Distribuidora",
A2262 = "CAPACITAÇÃO", "Em execução no Corporativo",
TRUE, "Em Execução na Distribuidora"
)</f>
        <v>Em Execução na Distribuidora</v>
      </c>
      <c r="F2262" s="4" t="str" cm="1">
        <f t="array" ref="F2262">_xlfn.IFS(
AG2262 &lt;&gt; "", "Jan-Dez/26",
AH2262 &lt;&gt; "", "Fev-Dez/26",
AI2262 &lt;&gt; "", "Mar-Dez/26", AJ2262 &lt;&gt; "", "Abr-Dez/26",
TRUE, "A partir de Junho"
)</f>
        <v>A partir de Junho</v>
      </c>
      <c r="G2262" s="10" t="s">
        <v>44</v>
      </c>
      <c r="H2262" s="36" t="s">
        <v>44</v>
      </c>
      <c r="I2262" s="37"/>
      <c r="J2262" s="37"/>
      <c r="K2262" s="37"/>
      <c r="L2262" s="37" t="s">
        <v>200</v>
      </c>
      <c r="M2262" s="37"/>
      <c r="N2262" s="5" t="s">
        <v>42</v>
      </c>
      <c r="O2262" s="5" t="s">
        <v>52</v>
      </c>
      <c r="P2262" s="10" t="s">
        <v>44</v>
      </c>
      <c r="Q2262" s="10" t="s">
        <v>44</v>
      </c>
      <c r="R2262" s="11" t="s">
        <v>44</v>
      </c>
      <c r="S2262" s="11" t="s">
        <v>44</v>
      </c>
      <c r="T2262" s="22"/>
      <c r="U2262" s="22"/>
      <c r="V2262" s="22"/>
      <c r="W2262" s="22"/>
      <c r="X2262" s="22"/>
      <c r="Y2262" s="22"/>
      <c r="Z2262" s="22"/>
      <c r="AA2262" s="22"/>
      <c r="AB2262" s="22"/>
      <c r="AC2262" s="22"/>
      <c r="AD2262" s="22"/>
      <c r="AE2262" s="22"/>
      <c r="AG2262" s="112"/>
      <c r="AH2262" s="112"/>
      <c r="AI2262" s="112"/>
      <c r="AJ2262" s="71"/>
      <c r="AK2262" s="71"/>
      <c r="AL2262" s="71"/>
      <c r="AM2262" s="71"/>
      <c r="AN2262" s="71"/>
      <c r="AO2262" s="71"/>
      <c r="AP2262" s="71"/>
      <c r="AQ2262" s="71"/>
      <c r="AR2262" s="71"/>
      <c r="AS2262" s="94"/>
      <c r="AT2262" s="95"/>
      <c r="AU2262" s="97"/>
      <c r="AW2262" s="84">
        <f t="shared" si="2673"/>
        <v>0</v>
      </c>
      <c r="AX2262" s="84">
        <f t="shared" si="2674"/>
        <v>0</v>
      </c>
      <c r="AY2262" s="84">
        <f t="shared" si="2675"/>
        <v>0</v>
      </c>
      <c r="AZ2262" s="84"/>
      <c r="BA2262" s="84"/>
      <c r="BB2262" s="84"/>
      <c r="BC2262" s="84"/>
      <c r="BD2262" s="84"/>
      <c r="BE2262" s="84"/>
      <c r="BF2262" s="84"/>
      <c r="BG2262" s="84"/>
      <c r="BH2262" s="84"/>
      <c r="BI2262" s="68" cm="1">
        <f t="array" ref="BI2262">IFERROR(INDEX(AW2262:BH2262,1,MATCH(2,1/(AW2262:BH2262&lt;&gt;""))),"")</f>
        <v>0</v>
      </c>
      <c r="BJ2262" s="68" cm="1">
        <f t="array" ref="BJ2262">IF(BM2262 = "", "",IFERROR(INDEX(AW2262:BH2262,1,MATCH(2,1/(AW2262:BH2262&lt;&gt;""),1)-1),""))</f>
        <v>0</v>
      </c>
      <c r="BK2262" s="57" cm="1">
        <f t="array" ref="BK2262">IFERROR(INDEX(AW2262:BH2262,1,MATCH(2,1/(AW2262:BH2262&lt;&gt;""),1)),"")</f>
        <v>0</v>
      </c>
      <c r="BL2262" s="57" cm="1">
        <f t="array" ref="BL2262">IF(BM2262 = "", "",IFERROR(INDEX(AW2262:BH2262,1,MATCH(2,1/(AW2262:BH2262&lt;&gt;""),1)-1),""))</f>
        <v>0</v>
      </c>
      <c r="BM2262" s="55" cm="1">
        <f t="array" ref="BM2262">IFERROR(
   INDEX($AW$1:$BH$1,
      _xlfn.AGGREGATE(14, 6, COLUMN($AW$1:$BH$1)/(AW2262:BH2262&lt;&gt;""), 2) - COLUMN($AW$1) + 1
   ),
"")</f>
        <v>46054</v>
      </c>
      <c r="BN2262" s="55" cm="1">
        <f t="array" ref="BN2262">IFERROR(INDEX($AW$1:$BH$1,1,MATCH(2,1/(AW2262:BH2262&lt;&gt;""))),"")</f>
        <v>46082</v>
      </c>
      <c r="BO2262" s="53">
        <f ca="1">IFERROR(_xlfn.XLOOKUP(F2262,Apuração!A:A,Apuração!C:C)/_xlfn.XLOOKUP(F2262,Apuração!A:A,Apuração!B:B),0)</f>
        <v>0</v>
      </c>
      <c r="BP2262" s="53">
        <f ca="1">IFERROR(_xlfn.XLOOKUP(F2262,Apuração!A:A,Apuração!D:D)/_xlfn.XLOOKUP(F2262,Apuração!A:A,Apuração!B:B),0)</f>
        <v>0</v>
      </c>
      <c r="BQ2262" s="53">
        <f ca="1">IF(BK2262&gt;=BO2262,0,_xlfn.XLOOKUP(F2262,Apuração!A:A,Apuração!B:B)*(BO2262 + (1/_xlfn.XLOOKUP(F2262,Apuração!A:A,Apuração!B:B)) - BK2262))</f>
        <v>0</v>
      </c>
      <c r="BR2262" s="85">
        <f t="shared" ca="1" si="2676"/>
        <v>0</v>
      </c>
      <c r="BS2262" s="53">
        <f ca="1">IFERROR((_xlfn.XLOOKUP(F2262,Apuração!A:A,Apuração!C:C)+1)/_xlfn.XLOOKUP(F2262,Apuração!A:A,Apuração!B:B),0)</f>
        <v>0.14285714285714285</v>
      </c>
    </row>
    <row r="2263" spans="1:71" ht="25.95" hidden="1" customHeight="1" x14ac:dyDescent="0.3">
      <c r="A2263" s="35" t="s">
        <v>44</v>
      </c>
      <c r="B2263" s="10" t="s">
        <v>44</v>
      </c>
      <c r="C2263" s="5" t="s">
        <v>216</v>
      </c>
      <c r="D2263" s="5" t="s">
        <v>218</v>
      </c>
      <c r="E2263" s="4" t="str" cm="1">
        <f t="array" ref="E2263">_xlfn.IFS(
F2263 = "A partir de Abril", "Aguardando Execução na Distribuidora",
A2263 = "CAPACITAÇÃO", "Em execução no Corporativo",
TRUE, "Em Execução na Distribuidora"
)</f>
        <v>Em Execução na Distribuidora</v>
      </c>
      <c r="F2263" s="4" t="str" cm="1">
        <f t="array" ref="F2263">_xlfn.IFS(
AG2263 &lt;&gt; "", "Jan-Dez/26",
AH2263 &lt;&gt; "", "Fev-Dez/26",
AI2263 &lt;&gt; "", "Mar-Dez/26", AJ2263 &lt;&gt; "", "Abr-Dez/26",
TRUE, "A partir de Junho"
)</f>
        <v>A partir de Junho</v>
      </c>
      <c r="G2263" s="10" t="s">
        <v>44</v>
      </c>
      <c r="H2263" s="36" t="s">
        <v>44</v>
      </c>
      <c r="I2263" s="37"/>
      <c r="J2263" s="37"/>
      <c r="K2263" s="37"/>
      <c r="L2263" s="37" t="s">
        <v>200</v>
      </c>
      <c r="M2263" s="37"/>
      <c r="N2263" s="5" t="s">
        <v>42</v>
      </c>
      <c r="O2263" s="5" t="s">
        <v>52</v>
      </c>
      <c r="P2263" s="10" t="s">
        <v>44</v>
      </c>
      <c r="Q2263" s="10" t="s">
        <v>44</v>
      </c>
      <c r="R2263" s="11" t="s">
        <v>44</v>
      </c>
      <c r="S2263" s="11" t="s">
        <v>44</v>
      </c>
      <c r="T2263" s="22"/>
      <c r="U2263" s="22"/>
      <c r="V2263" s="22"/>
      <c r="W2263" s="22"/>
      <c r="X2263" s="22"/>
      <c r="Y2263" s="22"/>
      <c r="Z2263" s="22"/>
      <c r="AA2263" s="22"/>
      <c r="AB2263" s="22"/>
      <c r="AC2263" s="22"/>
      <c r="AD2263" s="22"/>
      <c r="AE2263" s="22"/>
      <c r="AG2263" s="112"/>
      <c r="AH2263" s="112"/>
      <c r="AI2263" s="112"/>
      <c r="AJ2263" s="71"/>
      <c r="AK2263" s="71"/>
      <c r="AL2263" s="71"/>
      <c r="AM2263" s="71"/>
      <c r="AN2263" s="71"/>
      <c r="AO2263" s="71"/>
      <c r="AP2263" s="71"/>
      <c r="AQ2263" s="71"/>
      <c r="AR2263" s="71"/>
      <c r="AS2263" s="94"/>
      <c r="AT2263" s="95"/>
      <c r="AU2263" s="97"/>
      <c r="AW2263" s="84">
        <f t="shared" si="2673"/>
        <v>0</v>
      </c>
      <c r="AX2263" s="84">
        <f t="shared" si="2674"/>
        <v>0</v>
      </c>
      <c r="AY2263" s="84">
        <f t="shared" si="2675"/>
        <v>0</v>
      </c>
      <c r="AZ2263" s="84"/>
      <c r="BA2263" s="84"/>
      <c r="BB2263" s="84"/>
      <c r="BC2263" s="84"/>
      <c r="BD2263" s="84"/>
      <c r="BE2263" s="84"/>
      <c r="BF2263" s="84"/>
      <c r="BG2263" s="84"/>
      <c r="BH2263" s="84"/>
      <c r="BI2263" s="68" cm="1">
        <f t="array" ref="BI2263">IFERROR(INDEX(AW2263:BH2263,1,MATCH(2,1/(AW2263:BH2263&lt;&gt;""))),"")</f>
        <v>0</v>
      </c>
      <c r="BJ2263" s="68" cm="1">
        <f t="array" ref="BJ2263">IF(BM2263 = "", "",IFERROR(INDEX(AW2263:BH2263,1,MATCH(2,1/(AW2263:BH2263&lt;&gt;""),1)-1),""))</f>
        <v>0</v>
      </c>
      <c r="BK2263" s="57" cm="1">
        <f t="array" ref="BK2263">IFERROR(INDEX(AW2263:BH2263,1,MATCH(2,1/(AW2263:BH2263&lt;&gt;""),1)),"")</f>
        <v>0</v>
      </c>
      <c r="BL2263" s="57" cm="1">
        <f t="array" ref="BL2263">IF(BM2263 = "", "",IFERROR(INDEX(AW2263:BH2263,1,MATCH(2,1/(AW2263:BH2263&lt;&gt;""),1)-1),""))</f>
        <v>0</v>
      </c>
      <c r="BM2263" s="55" cm="1">
        <f t="array" ref="BM2263">IFERROR(
   INDEX($AW$1:$BH$1,
      _xlfn.AGGREGATE(14, 6, COLUMN($AW$1:$BH$1)/(AW2263:BH2263&lt;&gt;""), 2) - COLUMN($AW$1) + 1
   ),
"")</f>
        <v>46054</v>
      </c>
      <c r="BN2263" s="55" cm="1">
        <f t="array" ref="BN2263">IFERROR(INDEX($AW$1:$BH$1,1,MATCH(2,1/(AW2263:BH2263&lt;&gt;""))),"")</f>
        <v>46082</v>
      </c>
      <c r="BO2263" s="53">
        <f ca="1">IFERROR(_xlfn.XLOOKUP(F2263,Apuração!A:A,Apuração!C:C)/_xlfn.XLOOKUP(F2263,Apuração!A:A,Apuração!B:B),0)</f>
        <v>0</v>
      </c>
      <c r="BP2263" s="53">
        <f ca="1">IFERROR(_xlfn.XLOOKUP(F2263,Apuração!A:A,Apuração!D:D)/_xlfn.XLOOKUP(F2263,Apuração!A:A,Apuração!B:B),0)</f>
        <v>0</v>
      </c>
      <c r="BQ2263" s="53">
        <f ca="1">IF(BK2263&gt;=BO2263,0,_xlfn.XLOOKUP(F2263,Apuração!A:A,Apuração!B:B)*(BO2263 + (1/_xlfn.XLOOKUP(F2263,Apuração!A:A,Apuração!B:B)) - BK2263))</f>
        <v>0</v>
      </c>
      <c r="BR2263" s="85">
        <f t="shared" ca="1" si="2676"/>
        <v>0</v>
      </c>
      <c r="BS2263" s="53">
        <f ca="1">IFERROR((_xlfn.XLOOKUP(F2263,Apuração!A:A,Apuração!C:C)+1)/_xlfn.XLOOKUP(F2263,Apuração!A:A,Apuração!B:B),0)</f>
        <v>0.14285714285714285</v>
      </c>
    </row>
    <row r="2264" spans="1:71" ht="25.95" hidden="1" customHeight="1" x14ac:dyDescent="0.3">
      <c r="A2264" s="35" t="s">
        <v>44</v>
      </c>
      <c r="B2264" s="10" t="s">
        <v>44</v>
      </c>
      <c r="C2264" s="5" t="s">
        <v>216</v>
      </c>
      <c r="D2264" s="5" t="s">
        <v>219</v>
      </c>
      <c r="E2264" s="4" t="str" cm="1">
        <f t="array" ref="E2264">_xlfn.IFS(
F2264 = "A partir de Abril", "Aguardando Execução na Distribuidora",
A2264 = "CAPACITAÇÃO", "Em execução no Corporativo",
TRUE, "Em Execução na Distribuidora"
)</f>
        <v>Em Execução na Distribuidora</v>
      </c>
      <c r="F2264" s="4" t="str" cm="1">
        <f t="array" ref="F2264">_xlfn.IFS(
AG2264 &lt;&gt; "", "Jan-Dez/26",
AH2264 &lt;&gt; "", "Fev-Dez/26",
AI2264 &lt;&gt; "", "Mar-Dez/26", AJ2264 &lt;&gt; "", "Abr-Dez/26",
TRUE, "A partir de Junho"
)</f>
        <v>A partir de Junho</v>
      </c>
      <c r="G2264" s="10" t="s">
        <v>44</v>
      </c>
      <c r="H2264" s="36" t="s">
        <v>44</v>
      </c>
      <c r="I2264" s="37"/>
      <c r="J2264" s="37"/>
      <c r="K2264" s="37"/>
      <c r="L2264" s="37" t="s">
        <v>200</v>
      </c>
      <c r="M2264" s="37"/>
      <c r="N2264" s="5" t="s">
        <v>42</v>
      </c>
      <c r="O2264" s="5" t="s">
        <v>52</v>
      </c>
      <c r="P2264" s="10" t="s">
        <v>44</v>
      </c>
      <c r="Q2264" s="10" t="s">
        <v>44</v>
      </c>
      <c r="R2264" s="11" t="s">
        <v>44</v>
      </c>
      <c r="S2264" s="11" t="s">
        <v>44</v>
      </c>
      <c r="T2264" s="22"/>
      <c r="U2264" s="22"/>
      <c r="V2264" s="22"/>
      <c r="W2264" s="22"/>
      <c r="X2264" s="22"/>
      <c r="Y2264" s="22"/>
      <c r="Z2264" s="22"/>
      <c r="AA2264" s="22"/>
      <c r="AB2264" s="22"/>
      <c r="AC2264" s="22"/>
      <c r="AD2264" s="22"/>
      <c r="AE2264" s="22"/>
      <c r="AG2264" s="112"/>
      <c r="AH2264" s="112"/>
      <c r="AI2264" s="112"/>
      <c r="AJ2264" s="71"/>
      <c r="AK2264" s="71"/>
      <c r="AL2264" s="71"/>
      <c r="AM2264" s="71"/>
      <c r="AN2264" s="71"/>
      <c r="AO2264" s="71"/>
      <c r="AP2264" s="71"/>
      <c r="AQ2264" s="71"/>
      <c r="AR2264" s="71"/>
      <c r="AS2264" s="94"/>
      <c r="AT2264" s="95"/>
      <c r="AU2264" s="97"/>
      <c r="AW2264" s="84">
        <f t="shared" si="2673"/>
        <v>0</v>
      </c>
      <c r="AX2264" s="84">
        <f t="shared" si="2674"/>
        <v>0</v>
      </c>
      <c r="AY2264" s="84">
        <f t="shared" si="2675"/>
        <v>0</v>
      </c>
      <c r="AZ2264" s="84"/>
      <c r="BA2264" s="84"/>
      <c r="BB2264" s="84"/>
      <c r="BC2264" s="84"/>
      <c r="BD2264" s="84"/>
      <c r="BE2264" s="84"/>
      <c r="BF2264" s="84"/>
      <c r="BG2264" s="84"/>
      <c r="BH2264" s="84"/>
      <c r="BI2264" s="68" cm="1">
        <f t="array" ref="BI2264">IFERROR(INDEX(AW2264:BH2264,1,MATCH(2,1/(AW2264:BH2264&lt;&gt;""))),"")</f>
        <v>0</v>
      </c>
      <c r="BJ2264" s="68" cm="1">
        <f t="array" ref="BJ2264">IF(BM2264 = "", "",IFERROR(INDEX(AW2264:BH2264,1,MATCH(2,1/(AW2264:BH2264&lt;&gt;""),1)-1),""))</f>
        <v>0</v>
      </c>
      <c r="BK2264" s="57" cm="1">
        <f t="array" ref="BK2264">IFERROR(INDEX(AW2264:BH2264,1,MATCH(2,1/(AW2264:BH2264&lt;&gt;""),1)),"")</f>
        <v>0</v>
      </c>
      <c r="BL2264" s="57" cm="1">
        <f t="array" ref="BL2264">IF(BM2264 = "", "",IFERROR(INDEX(AW2264:BH2264,1,MATCH(2,1/(AW2264:BH2264&lt;&gt;""),1)-1),""))</f>
        <v>0</v>
      </c>
      <c r="BM2264" s="55" cm="1">
        <f t="array" ref="BM2264">IFERROR(
   INDEX($AW$1:$BH$1,
      _xlfn.AGGREGATE(14, 6, COLUMN($AW$1:$BH$1)/(AW2264:BH2264&lt;&gt;""), 2) - COLUMN($AW$1) + 1
   ),
"")</f>
        <v>46054</v>
      </c>
      <c r="BN2264" s="55" cm="1">
        <f t="array" ref="BN2264">IFERROR(INDEX($AW$1:$BH$1,1,MATCH(2,1/(AW2264:BH2264&lt;&gt;""))),"")</f>
        <v>46082</v>
      </c>
      <c r="BO2264" s="53">
        <f ca="1">IFERROR(_xlfn.XLOOKUP(F2264,Apuração!A:A,Apuração!C:C)/_xlfn.XLOOKUP(F2264,Apuração!A:A,Apuração!B:B),0)</f>
        <v>0</v>
      </c>
      <c r="BP2264" s="53">
        <f ca="1">IFERROR(_xlfn.XLOOKUP(F2264,Apuração!A:A,Apuração!D:D)/_xlfn.XLOOKUP(F2264,Apuração!A:A,Apuração!B:B),0)</f>
        <v>0</v>
      </c>
      <c r="BQ2264" s="53">
        <f ca="1">IF(BK2264&gt;=BO2264,0,_xlfn.XLOOKUP(F2264,Apuração!A:A,Apuração!B:B)*(BO2264 + (1/_xlfn.XLOOKUP(F2264,Apuração!A:A,Apuração!B:B)) - BK2264))</f>
        <v>0</v>
      </c>
      <c r="BR2264" s="85">
        <f t="shared" ca="1" si="2676"/>
        <v>0</v>
      </c>
      <c r="BS2264" s="53">
        <f ca="1">IFERROR((_xlfn.XLOOKUP(F2264,Apuração!A:A,Apuração!C:C)+1)/_xlfn.XLOOKUP(F2264,Apuração!A:A,Apuração!B:B),0)</f>
        <v>0.14285714285714285</v>
      </c>
    </row>
    <row r="2265" spans="1:71" ht="25.95" hidden="1" customHeight="1" x14ac:dyDescent="0.3">
      <c r="A2265" s="35" t="s">
        <v>44</v>
      </c>
      <c r="B2265" s="10" t="s">
        <v>44</v>
      </c>
      <c r="C2265" s="5" t="s">
        <v>216</v>
      </c>
      <c r="D2265" s="5" t="s">
        <v>36</v>
      </c>
      <c r="E2265" s="4" t="str" cm="1">
        <f t="array" ref="E2265">_xlfn.IFS(
F2265 = "A partir de Abril", "Aguardando Execução na Distribuidora",
A2265 = "CAPACITAÇÃO", "Em execução no Corporativo",
TRUE, "Em Execução na Distribuidora"
)</f>
        <v>Em Execução na Distribuidora</v>
      </c>
      <c r="F2265" s="4" t="str" cm="1">
        <f t="array" ref="F2265">_xlfn.IFS(
AG2265 &lt;&gt; "", "Jan-Dez/26",
AH2265 &lt;&gt; "", "Fev-Dez/26",
AI2265 &lt;&gt; "", "Mar-Dez/26", AJ2265 &lt;&gt; "", "Abr-Dez/26",
TRUE, "A partir de Junho"
)</f>
        <v>Jan-Dez/26</v>
      </c>
      <c r="G2265" s="10" t="s">
        <v>44</v>
      </c>
      <c r="H2265" s="36" t="s">
        <v>44</v>
      </c>
      <c r="I2265" s="37"/>
      <c r="J2265" s="37"/>
      <c r="K2265" s="37"/>
      <c r="L2265" s="37" t="s">
        <v>201</v>
      </c>
      <c r="M2265" s="37"/>
      <c r="N2265" s="5" t="s">
        <v>42</v>
      </c>
      <c r="O2265" s="5" t="s">
        <v>52</v>
      </c>
      <c r="P2265" s="10" t="s">
        <v>44</v>
      </c>
      <c r="Q2265" s="10" t="s">
        <v>44</v>
      </c>
      <c r="R2265" s="11" t="s">
        <v>44</v>
      </c>
      <c r="S2265" s="11" t="s">
        <v>44</v>
      </c>
      <c r="T2265" s="22"/>
      <c r="U2265" s="22"/>
      <c r="V2265" s="22"/>
      <c r="W2265" s="22"/>
      <c r="X2265" s="22"/>
      <c r="Y2265" s="22"/>
      <c r="Z2265" s="22"/>
      <c r="AA2265" s="22"/>
      <c r="AB2265" s="22"/>
      <c r="AC2265" s="22"/>
      <c r="AD2265" s="22"/>
      <c r="AE2265" s="22"/>
      <c r="AG2265" s="112">
        <v>0</v>
      </c>
      <c r="AH2265" s="112">
        <v>0</v>
      </c>
      <c r="AI2265" s="112">
        <v>3.7381089585868303</v>
      </c>
      <c r="AJ2265" s="112">
        <v>0</v>
      </c>
      <c r="AK2265" s="112"/>
      <c r="AL2265" s="112"/>
      <c r="AM2265" s="112"/>
      <c r="AN2265" s="112"/>
      <c r="AO2265" s="112"/>
      <c r="AP2265" s="112"/>
      <c r="AQ2265" s="112"/>
      <c r="AR2265" s="112"/>
      <c r="AS2265" s="94"/>
      <c r="AT2265" s="95"/>
      <c r="AU2265" s="97"/>
      <c r="AW2265" s="84">
        <f>AG2265</f>
        <v>0</v>
      </c>
      <c r="AX2265" s="84">
        <f>AH2265</f>
        <v>0</v>
      </c>
      <c r="AY2265" s="84">
        <f>AI2265</f>
        <v>3.7381089585868303</v>
      </c>
      <c r="AZ2265" s="84">
        <f>AJ2265</f>
        <v>0</v>
      </c>
      <c r="BA2265" s="84"/>
      <c r="BB2265" s="84"/>
      <c r="BC2265" s="84"/>
      <c r="BD2265" s="84"/>
      <c r="BE2265" s="84"/>
      <c r="BF2265" s="84"/>
      <c r="BG2265" s="84"/>
      <c r="BH2265" s="84"/>
      <c r="BI2265" s="68" cm="1">
        <f t="array" ref="BI2265">IFERROR(INDEX(AW2265:BH2265,1,MATCH(2,1/(AW2265:BH2265&lt;&gt;""))),"")</f>
        <v>0</v>
      </c>
      <c r="BJ2265" s="68" cm="1">
        <f t="array" ref="BJ2265">IF(BM2265 = "", "",IFERROR(INDEX(AW2265:BH2265,1,MATCH(2,1/(AW2265:BH2265&lt;&gt;""),1)-1),""))</f>
        <v>3.7381089585868303</v>
      </c>
      <c r="BK2265" s="57" cm="1">
        <f t="array" ref="BK2265">IFERROR(INDEX(AW2265:BH2265,1,MATCH(2,1/(AW2265:BH2265&lt;&gt;""),1)),"")</f>
        <v>0</v>
      </c>
      <c r="BL2265" s="57" cm="1">
        <f t="array" ref="BL2265">IF(BM2265 = "", "",IFERROR(INDEX(AW2265:BH2265,1,MATCH(2,1/(AW2265:BH2265&lt;&gt;""),1)-1),""))</f>
        <v>3.7381089585868303</v>
      </c>
      <c r="BM2265" s="55" cm="1">
        <f t="array" ref="BM2265">IFERROR(
   INDEX($AW$1:$BH$1,
      _xlfn.AGGREGATE(14, 6, COLUMN($AW$1:$BH$1)/(AW2265:BH2265&lt;&gt;""), 2) - COLUMN($AW$1) + 1
   ),
"")</f>
        <v>46082</v>
      </c>
      <c r="BN2265" s="55" cm="1">
        <f t="array" ref="BN2265">IFERROR(INDEX($AW$1:$BH$1,1,MATCH(2,1/(AW2265:BH2265&lt;&gt;""))),"")</f>
        <v>46113</v>
      </c>
      <c r="BO2265" s="53">
        <f ca="1">IFERROR(_xlfn.XLOOKUP(F2265,Apuração!A:A,Apuração!C:C)/_xlfn.XLOOKUP(F2265,Apuração!A:A,Apuração!B:B),0)</f>
        <v>0.41666666666666669</v>
      </c>
      <c r="BP2265" s="53">
        <f ca="1">IFERROR(_xlfn.XLOOKUP(F2265,Apuração!A:A,Apuração!D:D)/_xlfn.XLOOKUP(F2265,Apuração!A:A,Apuração!B:B),0)</f>
        <v>0.33333333333333331</v>
      </c>
      <c r="BQ2265" s="53">
        <f ca="1">IF(BK2265&gt;=BO2265,0,_xlfn.XLOOKUP(F2265,Apuração!A:A,Apuração!B:B)*(BO2265 + (1/_xlfn.XLOOKUP(F2265,Apuração!A:A,Apuração!B:B)) - BK2265))</f>
        <v>6</v>
      </c>
      <c r="BR2265" s="85">
        <f ca="1">IF(BQ2265=0,0,BQ2265*Z2265)</f>
        <v>0</v>
      </c>
      <c r="BS2265" s="53">
        <f ca="1">IFERROR((_xlfn.XLOOKUP(F2265,Apuração!A:A,Apuração!C:C)+1)/_xlfn.XLOOKUP(F2265,Apuração!A:A,Apuração!B:B),0)</f>
        <v>0.5</v>
      </c>
    </row>
    <row r="2266" spans="1:71" ht="25.95" hidden="1" customHeight="1" x14ac:dyDescent="0.3">
      <c r="A2266" s="35" t="s">
        <v>44</v>
      </c>
      <c r="B2266" s="10" t="s">
        <v>44</v>
      </c>
      <c r="C2266" s="5" t="s">
        <v>216</v>
      </c>
      <c r="D2266" s="5" t="s">
        <v>217</v>
      </c>
      <c r="E2266" s="4" t="str" cm="1">
        <f t="array" ref="E2266">_xlfn.IFS(
F2266 = "A partir de Abril", "Aguardando Execução na Distribuidora",
A2266 = "CAPACITAÇÃO", "Em execução no Corporativo",
TRUE, "Em Execução na Distribuidora"
)</f>
        <v>Em Execução na Distribuidora</v>
      </c>
      <c r="F2266" s="4" t="str" cm="1">
        <f t="array" ref="F2266">_xlfn.IFS(
AG2266 &lt;&gt; "", "Jan-Dez/26",
AH2266 &lt;&gt; "", "Fev-Dez/26",
AI2266 &lt;&gt; "", "Mar-Dez/26", AJ2266 &lt;&gt; "", "Abr-Dez/26",
TRUE, "A partir de Junho"
)</f>
        <v>A partir de Junho</v>
      </c>
      <c r="G2266" s="10" t="s">
        <v>44</v>
      </c>
      <c r="H2266" s="36" t="s">
        <v>44</v>
      </c>
      <c r="I2266" s="37"/>
      <c r="J2266" s="37"/>
      <c r="K2266" s="37"/>
      <c r="L2266" s="37" t="s">
        <v>201</v>
      </c>
      <c r="M2266" s="37"/>
      <c r="N2266" s="5" t="s">
        <v>42</v>
      </c>
      <c r="O2266" s="5" t="s">
        <v>52</v>
      </c>
      <c r="P2266" s="10" t="s">
        <v>44</v>
      </c>
      <c r="Q2266" s="10" t="s">
        <v>44</v>
      </c>
      <c r="R2266" s="11" t="s">
        <v>44</v>
      </c>
      <c r="S2266" s="11" t="s">
        <v>44</v>
      </c>
      <c r="T2266" s="22"/>
      <c r="U2266" s="22"/>
      <c r="V2266" s="22"/>
      <c r="W2266" s="22"/>
      <c r="X2266" s="22"/>
      <c r="Y2266" s="22"/>
      <c r="Z2266" s="22"/>
      <c r="AA2266" s="22"/>
      <c r="AB2266" s="22"/>
      <c r="AC2266" s="22"/>
      <c r="AD2266" s="22"/>
      <c r="AE2266" s="22"/>
      <c r="AG2266" s="112"/>
      <c r="AH2266" s="112"/>
      <c r="AI2266" s="112"/>
      <c r="AJ2266" s="71"/>
      <c r="AK2266" s="71"/>
      <c r="AL2266" s="71"/>
      <c r="AM2266" s="71"/>
      <c r="AN2266" s="71"/>
      <c r="AO2266" s="71"/>
      <c r="AP2266" s="71"/>
      <c r="AQ2266" s="71"/>
      <c r="AR2266" s="71"/>
      <c r="AS2266" s="94"/>
      <c r="AT2266" s="95"/>
      <c r="AU2266" s="97"/>
      <c r="AW2266" s="84">
        <f t="shared" ref="AW2266:AW2269" si="2677">AG2266</f>
        <v>0</v>
      </c>
      <c r="AX2266" s="84">
        <f t="shared" ref="AX2266:AX2269" si="2678">AH2266</f>
        <v>0</v>
      </c>
      <c r="AY2266" s="84">
        <f t="shared" ref="AY2266:AY2269" si="2679">AI2266</f>
        <v>0</v>
      </c>
      <c r="AZ2266" s="84"/>
      <c r="BA2266" s="84"/>
      <c r="BB2266" s="84"/>
      <c r="BC2266" s="84"/>
      <c r="BD2266" s="84"/>
      <c r="BE2266" s="84"/>
      <c r="BF2266" s="84"/>
      <c r="BG2266" s="84"/>
      <c r="BH2266" s="84"/>
      <c r="BI2266" s="68" cm="1">
        <f t="array" ref="BI2266">IFERROR(INDEX(AW2266:BH2266,1,MATCH(2,1/(AW2266:BH2266&lt;&gt;""))),"")</f>
        <v>0</v>
      </c>
      <c r="BJ2266" s="68" cm="1">
        <f t="array" ref="BJ2266">IF(BM2266 = "", "",IFERROR(INDEX(AW2266:BH2266,1,MATCH(2,1/(AW2266:BH2266&lt;&gt;""),1)-1),""))</f>
        <v>0</v>
      </c>
      <c r="BK2266" s="57" cm="1">
        <f t="array" ref="BK2266">IFERROR(INDEX(AW2266:BH2266,1,MATCH(2,1/(AW2266:BH2266&lt;&gt;""),1)),"")</f>
        <v>0</v>
      </c>
      <c r="BL2266" s="57" cm="1">
        <f t="array" ref="BL2266">IF(BM2266 = "", "",IFERROR(INDEX(AW2266:BH2266,1,MATCH(2,1/(AW2266:BH2266&lt;&gt;""),1)-1),""))</f>
        <v>0</v>
      </c>
      <c r="BM2266" s="55" cm="1">
        <f t="array" ref="BM2266">IFERROR(
   INDEX($AW$1:$BH$1,
      _xlfn.AGGREGATE(14, 6, COLUMN($AW$1:$BH$1)/(AW2266:BH2266&lt;&gt;""), 2) - COLUMN($AW$1) + 1
   ),
"")</f>
        <v>46054</v>
      </c>
      <c r="BN2266" s="55" cm="1">
        <f t="array" ref="BN2266">IFERROR(INDEX($AW$1:$BH$1,1,MATCH(2,1/(AW2266:BH2266&lt;&gt;""))),"")</f>
        <v>46082</v>
      </c>
      <c r="BO2266" s="53">
        <f ca="1">IFERROR(_xlfn.XLOOKUP(F2266,Apuração!A:A,Apuração!C:C)/_xlfn.XLOOKUP(F2266,Apuração!A:A,Apuração!B:B),0)</f>
        <v>0</v>
      </c>
      <c r="BP2266" s="53">
        <f ca="1">IFERROR(_xlfn.XLOOKUP(F2266,Apuração!A:A,Apuração!D:D)/_xlfn.XLOOKUP(F2266,Apuração!A:A,Apuração!B:B),0)</f>
        <v>0</v>
      </c>
      <c r="BQ2266" s="53">
        <f ca="1">IF(BK2266&gt;=BO2266,0,_xlfn.XLOOKUP(F2266,Apuração!A:A,Apuração!B:B)*(BO2266 + (1/_xlfn.XLOOKUP(F2266,Apuração!A:A,Apuração!B:B)) - BK2266))</f>
        <v>0</v>
      </c>
      <c r="BR2266" s="85">
        <f t="shared" ref="BR2266:BR2269" ca="1" si="2680">IF(BQ2266=0,0,BQ2266*Z2266)</f>
        <v>0</v>
      </c>
      <c r="BS2266" s="53">
        <f ca="1">IFERROR((_xlfn.XLOOKUP(F2266,Apuração!A:A,Apuração!C:C)+1)/_xlfn.XLOOKUP(F2266,Apuração!A:A,Apuração!B:B),0)</f>
        <v>0.14285714285714285</v>
      </c>
    </row>
    <row r="2267" spans="1:71" ht="25.95" hidden="1" customHeight="1" x14ac:dyDescent="0.3">
      <c r="A2267" s="35" t="s">
        <v>44</v>
      </c>
      <c r="B2267" s="10" t="s">
        <v>44</v>
      </c>
      <c r="C2267" s="5" t="s">
        <v>216</v>
      </c>
      <c r="D2267" s="5" t="s">
        <v>103</v>
      </c>
      <c r="E2267" s="4" t="str" cm="1">
        <f t="array" ref="E2267">_xlfn.IFS(
F2267 = "A partir de Abril", "Aguardando Execução na Distribuidora",
A2267 = "CAPACITAÇÃO", "Em execução no Corporativo",
TRUE, "Em Execução na Distribuidora"
)</f>
        <v>Em Execução na Distribuidora</v>
      </c>
      <c r="F2267" s="4" t="str" cm="1">
        <f t="array" ref="F2267">_xlfn.IFS(
AG2267 &lt;&gt; "", "Jan-Dez/26",
AH2267 &lt;&gt; "", "Fev-Dez/26",
AI2267 &lt;&gt; "", "Mar-Dez/26", AJ2267 &lt;&gt; "", "Abr-Dez/26",
TRUE, "A partir de Junho"
)</f>
        <v>A partir de Junho</v>
      </c>
      <c r="G2267" s="10" t="s">
        <v>44</v>
      </c>
      <c r="H2267" s="36" t="s">
        <v>44</v>
      </c>
      <c r="I2267" s="37"/>
      <c r="J2267" s="37"/>
      <c r="K2267" s="37"/>
      <c r="L2267" s="37" t="s">
        <v>201</v>
      </c>
      <c r="M2267" s="37"/>
      <c r="N2267" s="5" t="s">
        <v>42</v>
      </c>
      <c r="O2267" s="5" t="s">
        <v>52</v>
      </c>
      <c r="P2267" s="10" t="s">
        <v>44</v>
      </c>
      <c r="Q2267" s="10" t="s">
        <v>44</v>
      </c>
      <c r="R2267" s="11" t="s">
        <v>44</v>
      </c>
      <c r="S2267" s="11" t="s">
        <v>44</v>
      </c>
      <c r="T2267" s="22"/>
      <c r="U2267" s="22"/>
      <c r="V2267" s="22"/>
      <c r="W2267" s="22"/>
      <c r="X2267" s="22"/>
      <c r="Y2267" s="22"/>
      <c r="Z2267" s="22"/>
      <c r="AA2267" s="22"/>
      <c r="AB2267" s="22"/>
      <c r="AC2267" s="22"/>
      <c r="AD2267" s="22"/>
      <c r="AE2267" s="22"/>
      <c r="AG2267" s="112"/>
      <c r="AH2267" s="112"/>
      <c r="AI2267" s="112"/>
      <c r="AJ2267" s="71"/>
      <c r="AK2267" s="71"/>
      <c r="AL2267" s="71"/>
      <c r="AM2267" s="71"/>
      <c r="AN2267" s="71"/>
      <c r="AO2267" s="71"/>
      <c r="AP2267" s="71"/>
      <c r="AQ2267" s="71"/>
      <c r="AR2267" s="71"/>
      <c r="AS2267" s="94"/>
      <c r="AT2267" s="95"/>
      <c r="AU2267" s="97"/>
      <c r="AW2267" s="84">
        <f t="shared" si="2677"/>
        <v>0</v>
      </c>
      <c r="AX2267" s="84">
        <f t="shared" si="2678"/>
        <v>0</v>
      </c>
      <c r="AY2267" s="84">
        <f t="shared" si="2679"/>
        <v>0</v>
      </c>
      <c r="AZ2267" s="84"/>
      <c r="BA2267" s="84"/>
      <c r="BB2267" s="84"/>
      <c r="BC2267" s="84"/>
      <c r="BD2267" s="84"/>
      <c r="BE2267" s="84"/>
      <c r="BF2267" s="84"/>
      <c r="BG2267" s="84"/>
      <c r="BH2267" s="84"/>
      <c r="BI2267" s="68" cm="1">
        <f t="array" ref="BI2267">IFERROR(INDEX(AW2267:BH2267,1,MATCH(2,1/(AW2267:BH2267&lt;&gt;""))),"")</f>
        <v>0</v>
      </c>
      <c r="BJ2267" s="68" cm="1">
        <f t="array" ref="BJ2267">IF(BM2267 = "", "",IFERROR(INDEX(AW2267:BH2267,1,MATCH(2,1/(AW2267:BH2267&lt;&gt;""),1)-1),""))</f>
        <v>0</v>
      </c>
      <c r="BK2267" s="57" cm="1">
        <f t="array" ref="BK2267">IFERROR(INDEX(AW2267:BH2267,1,MATCH(2,1/(AW2267:BH2267&lt;&gt;""),1)),"")</f>
        <v>0</v>
      </c>
      <c r="BL2267" s="57" cm="1">
        <f t="array" ref="BL2267">IF(BM2267 = "", "",IFERROR(INDEX(AW2267:BH2267,1,MATCH(2,1/(AW2267:BH2267&lt;&gt;""),1)-1),""))</f>
        <v>0</v>
      </c>
      <c r="BM2267" s="55" cm="1">
        <f t="array" ref="BM2267">IFERROR(
   INDEX($AW$1:$BH$1,
      _xlfn.AGGREGATE(14, 6, COLUMN($AW$1:$BH$1)/(AW2267:BH2267&lt;&gt;""), 2) - COLUMN($AW$1) + 1
   ),
"")</f>
        <v>46054</v>
      </c>
      <c r="BN2267" s="55" cm="1">
        <f t="array" ref="BN2267">IFERROR(INDEX($AW$1:$BH$1,1,MATCH(2,1/(AW2267:BH2267&lt;&gt;""))),"")</f>
        <v>46082</v>
      </c>
      <c r="BO2267" s="53">
        <f ca="1">IFERROR(_xlfn.XLOOKUP(F2267,Apuração!A:A,Apuração!C:C)/_xlfn.XLOOKUP(F2267,Apuração!A:A,Apuração!B:B),0)</f>
        <v>0</v>
      </c>
      <c r="BP2267" s="53">
        <f ca="1">IFERROR(_xlfn.XLOOKUP(F2267,Apuração!A:A,Apuração!D:D)/_xlfn.XLOOKUP(F2267,Apuração!A:A,Apuração!B:B),0)</f>
        <v>0</v>
      </c>
      <c r="BQ2267" s="53">
        <f ca="1">IF(BK2267&gt;=BO2267,0,_xlfn.XLOOKUP(F2267,Apuração!A:A,Apuração!B:B)*(BO2267 + (1/_xlfn.XLOOKUP(F2267,Apuração!A:A,Apuração!B:B)) - BK2267))</f>
        <v>0</v>
      </c>
      <c r="BR2267" s="85">
        <f t="shared" ca="1" si="2680"/>
        <v>0</v>
      </c>
      <c r="BS2267" s="53">
        <f ca="1">IFERROR((_xlfn.XLOOKUP(F2267,Apuração!A:A,Apuração!C:C)+1)/_xlfn.XLOOKUP(F2267,Apuração!A:A,Apuração!B:B),0)</f>
        <v>0.14285714285714285</v>
      </c>
    </row>
    <row r="2268" spans="1:71" ht="25.95" hidden="1" customHeight="1" x14ac:dyDescent="0.3">
      <c r="A2268" s="35" t="s">
        <v>44</v>
      </c>
      <c r="B2268" s="10" t="s">
        <v>44</v>
      </c>
      <c r="C2268" s="5" t="s">
        <v>216</v>
      </c>
      <c r="D2268" s="5" t="s">
        <v>218</v>
      </c>
      <c r="E2268" s="4" t="str" cm="1">
        <f t="array" ref="E2268">_xlfn.IFS(
F2268 = "A partir de Abril", "Aguardando Execução na Distribuidora",
A2268 = "CAPACITAÇÃO", "Em execução no Corporativo",
TRUE, "Em Execução na Distribuidora"
)</f>
        <v>Em Execução na Distribuidora</v>
      </c>
      <c r="F2268" s="4" t="str" cm="1">
        <f t="array" ref="F2268">_xlfn.IFS(
AG2268 &lt;&gt; "", "Jan-Dez/26",
AH2268 &lt;&gt; "", "Fev-Dez/26",
AI2268 &lt;&gt; "", "Mar-Dez/26", AJ2268 &lt;&gt; "", "Abr-Dez/26",
TRUE, "A partir de Junho"
)</f>
        <v>A partir de Junho</v>
      </c>
      <c r="G2268" s="10" t="s">
        <v>44</v>
      </c>
      <c r="H2268" s="36" t="s">
        <v>44</v>
      </c>
      <c r="I2268" s="37"/>
      <c r="J2268" s="37"/>
      <c r="K2268" s="37"/>
      <c r="L2268" s="37" t="s">
        <v>201</v>
      </c>
      <c r="M2268" s="37"/>
      <c r="N2268" s="5" t="s">
        <v>42</v>
      </c>
      <c r="O2268" s="5" t="s">
        <v>52</v>
      </c>
      <c r="P2268" s="10" t="s">
        <v>44</v>
      </c>
      <c r="Q2268" s="10" t="s">
        <v>44</v>
      </c>
      <c r="R2268" s="11" t="s">
        <v>44</v>
      </c>
      <c r="S2268" s="11" t="s">
        <v>44</v>
      </c>
      <c r="T2268" s="22"/>
      <c r="U2268" s="22"/>
      <c r="V2268" s="22"/>
      <c r="W2268" s="22"/>
      <c r="X2268" s="22"/>
      <c r="Y2268" s="22"/>
      <c r="Z2268" s="22"/>
      <c r="AA2268" s="22"/>
      <c r="AB2268" s="22"/>
      <c r="AC2268" s="22"/>
      <c r="AD2268" s="22"/>
      <c r="AE2268" s="22"/>
      <c r="AG2268" s="112"/>
      <c r="AH2268" s="112"/>
      <c r="AI2268" s="112"/>
      <c r="AJ2268" s="71"/>
      <c r="AK2268" s="71"/>
      <c r="AL2268" s="71"/>
      <c r="AM2268" s="71"/>
      <c r="AN2268" s="71"/>
      <c r="AO2268" s="71"/>
      <c r="AP2268" s="71"/>
      <c r="AQ2268" s="71"/>
      <c r="AR2268" s="71"/>
      <c r="AS2268" s="94"/>
      <c r="AT2268" s="95"/>
      <c r="AU2268" s="97"/>
      <c r="AW2268" s="84">
        <f t="shared" si="2677"/>
        <v>0</v>
      </c>
      <c r="AX2268" s="84">
        <f t="shared" si="2678"/>
        <v>0</v>
      </c>
      <c r="AY2268" s="84">
        <f t="shared" si="2679"/>
        <v>0</v>
      </c>
      <c r="AZ2268" s="84"/>
      <c r="BA2268" s="84"/>
      <c r="BB2268" s="84"/>
      <c r="BC2268" s="84"/>
      <c r="BD2268" s="84"/>
      <c r="BE2268" s="84"/>
      <c r="BF2268" s="84"/>
      <c r="BG2268" s="84"/>
      <c r="BH2268" s="84"/>
      <c r="BI2268" s="68" cm="1">
        <f t="array" ref="BI2268">IFERROR(INDEX(AW2268:BH2268,1,MATCH(2,1/(AW2268:BH2268&lt;&gt;""))),"")</f>
        <v>0</v>
      </c>
      <c r="BJ2268" s="68" cm="1">
        <f t="array" ref="BJ2268">IF(BM2268 = "", "",IFERROR(INDEX(AW2268:BH2268,1,MATCH(2,1/(AW2268:BH2268&lt;&gt;""),1)-1),""))</f>
        <v>0</v>
      </c>
      <c r="BK2268" s="57" cm="1">
        <f t="array" ref="BK2268">IFERROR(INDEX(AW2268:BH2268,1,MATCH(2,1/(AW2268:BH2268&lt;&gt;""),1)),"")</f>
        <v>0</v>
      </c>
      <c r="BL2268" s="57" cm="1">
        <f t="array" ref="BL2268">IF(BM2268 = "", "",IFERROR(INDEX(AW2268:BH2268,1,MATCH(2,1/(AW2268:BH2268&lt;&gt;""),1)-1),""))</f>
        <v>0</v>
      </c>
      <c r="BM2268" s="55" cm="1">
        <f t="array" ref="BM2268">IFERROR(
   INDEX($AW$1:$BH$1,
      _xlfn.AGGREGATE(14, 6, COLUMN($AW$1:$BH$1)/(AW2268:BH2268&lt;&gt;""), 2) - COLUMN($AW$1) + 1
   ),
"")</f>
        <v>46054</v>
      </c>
      <c r="BN2268" s="55" cm="1">
        <f t="array" ref="BN2268">IFERROR(INDEX($AW$1:$BH$1,1,MATCH(2,1/(AW2268:BH2268&lt;&gt;""))),"")</f>
        <v>46082</v>
      </c>
      <c r="BO2268" s="53">
        <f ca="1">IFERROR(_xlfn.XLOOKUP(F2268,Apuração!A:A,Apuração!C:C)/_xlfn.XLOOKUP(F2268,Apuração!A:A,Apuração!B:B),0)</f>
        <v>0</v>
      </c>
      <c r="BP2268" s="53">
        <f ca="1">IFERROR(_xlfn.XLOOKUP(F2268,Apuração!A:A,Apuração!D:D)/_xlfn.XLOOKUP(F2268,Apuração!A:A,Apuração!B:B),0)</f>
        <v>0</v>
      </c>
      <c r="BQ2268" s="53">
        <f ca="1">IF(BK2268&gt;=BO2268,0,_xlfn.XLOOKUP(F2268,Apuração!A:A,Apuração!B:B)*(BO2268 + (1/_xlfn.XLOOKUP(F2268,Apuração!A:A,Apuração!B:B)) - BK2268))</f>
        <v>0</v>
      </c>
      <c r="BR2268" s="85">
        <f t="shared" ca="1" si="2680"/>
        <v>0</v>
      </c>
      <c r="BS2268" s="53">
        <f ca="1">IFERROR((_xlfn.XLOOKUP(F2268,Apuração!A:A,Apuração!C:C)+1)/_xlfn.XLOOKUP(F2268,Apuração!A:A,Apuração!B:B),0)</f>
        <v>0.14285714285714285</v>
      </c>
    </row>
    <row r="2269" spans="1:71" ht="25.95" hidden="1" customHeight="1" x14ac:dyDescent="0.3">
      <c r="A2269" s="35" t="s">
        <v>44</v>
      </c>
      <c r="B2269" s="10" t="s">
        <v>44</v>
      </c>
      <c r="C2269" s="5" t="s">
        <v>216</v>
      </c>
      <c r="D2269" s="5" t="s">
        <v>219</v>
      </c>
      <c r="E2269" s="4" t="str" cm="1">
        <f t="array" ref="E2269">_xlfn.IFS(
F2269 = "A partir de Abril", "Aguardando Execução na Distribuidora",
A2269 = "CAPACITAÇÃO", "Em execução no Corporativo",
TRUE, "Em Execução na Distribuidora"
)</f>
        <v>Em Execução na Distribuidora</v>
      </c>
      <c r="F2269" s="4" t="str" cm="1">
        <f t="array" ref="F2269">_xlfn.IFS(
AG2269 &lt;&gt; "", "Jan-Dez/26",
AH2269 &lt;&gt; "", "Fev-Dez/26",
AI2269 &lt;&gt; "", "Mar-Dez/26", AJ2269 &lt;&gt; "", "Abr-Dez/26",
TRUE, "A partir de Junho"
)</f>
        <v>A partir de Junho</v>
      </c>
      <c r="G2269" s="10" t="s">
        <v>44</v>
      </c>
      <c r="H2269" s="36" t="s">
        <v>44</v>
      </c>
      <c r="I2269" s="37"/>
      <c r="J2269" s="37"/>
      <c r="K2269" s="37"/>
      <c r="L2269" s="37" t="s">
        <v>201</v>
      </c>
      <c r="M2269" s="37"/>
      <c r="N2269" s="5" t="s">
        <v>42</v>
      </c>
      <c r="O2269" s="5" t="s">
        <v>52</v>
      </c>
      <c r="P2269" s="10" t="s">
        <v>44</v>
      </c>
      <c r="Q2269" s="10" t="s">
        <v>44</v>
      </c>
      <c r="R2269" s="11" t="s">
        <v>44</v>
      </c>
      <c r="S2269" s="11" t="s">
        <v>44</v>
      </c>
      <c r="T2269" s="22"/>
      <c r="U2269" s="22"/>
      <c r="V2269" s="22"/>
      <c r="W2269" s="22"/>
      <c r="X2269" s="22"/>
      <c r="Y2269" s="22"/>
      <c r="Z2269" s="22"/>
      <c r="AA2269" s="22"/>
      <c r="AB2269" s="22"/>
      <c r="AC2269" s="22"/>
      <c r="AD2269" s="22"/>
      <c r="AE2269" s="22"/>
      <c r="AG2269" s="112"/>
      <c r="AH2269" s="112"/>
      <c r="AI2269" s="112"/>
      <c r="AJ2269" s="71"/>
      <c r="AK2269" s="71"/>
      <c r="AL2269" s="71"/>
      <c r="AM2269" s="71"/>
      <c r="AN2269" s="71"/>
      <c r="AO2269" s="71"/>
      <c r="AP2269" s="71"/>
      <c r="AQ2269" s="71"/>
      <c r="AR2269" s="71"/>
      <c r="AS2269" s="94"/>
      <c r="AT2269" s="95"/>
      <c r="AU2269" s="97"/>
      <c r="AW2269" s="84">
        <f t="shared" si="2677"/>
        <v>0</v>
      </c>
      <c r="AX2269" s="84">
        <f t="shared" si="2678"/>
        <v>0</v>
      </c>
      <c r="AY2269" s="84">
        <f t="shared" si="2679"/>
        <v>0</v>
      </c>
      <c r="AZ2269" s="84"/>
      <c r="BA2269" s="84"/>
      <c r="BB2269" s="84"/>
      <c r="BC2269" s="84"/>
      <c r="BD2269" s="84"/>
      <c r="BE2269" s="84"/>
      <c r="BF2269" s="84"/>
      <c r="BG2269" s="84"/>
      <c r="BH2269" s="84"/>
      <c r="BI2269" s="68" cm="1">
        <f t="array" ref="BI2269">IFERROR(INDEX(AW2269:BH2269,1,MATCH(2,1/(AW2269:BH2269&lt;&gt;""))),"")</f>
        <v>0</v>
      </c>
      <c r="BJ2269" s="68" cm="1">
        <f t="array" ref="BJ2269">IF(BM2269 = "", "",IFERROR(INDEX(AW2269:BH2269,1,MATCH(2,1/(AW2269:BH2269&lt;&gt;""),1)-1),""))</f>
        <v>0</v>
      </c>
      <c r="BK2269" s="57" cm="1">
        <f t="array" ref="BK2269">IFERROR(INDEX(AW2269:BH2269,1,MATCH(2,1/(AW2269:BH2269&lt;&gt;""),1)),"")</f>
        <v>0</v>
      </c>
      <c r="BL2269" s="57" cm="1">
        <f t="array" ref="BL2269">IF(BM2269 = "", "",IFERROR(INDEX(AW2269:BH2269,1,MATCH(2,1/(AW2269:BH2269&lt;&gt;""),1)-1),""))</f>
        <v>0</v>
      </c>
      <c r="BM2269" s="55" cm="1">
        <f t="array" ref="BM2269">IFERROR(
   INDEX($AW$1:$BH$1,
      _xlfn.AGGREGATE(14, 6, COLUMN($AW$1:$BH$1)/(AW2269:BH2269&lt;&gt;""), 2) - COLUMN($AW$1) + 1
   ),
"")</f>
        <v>46054</v>
      </c>
      <c r="BN2269" s="55" cm="1">
        <f t="array" ref="BN2269">IFERROR(INDEX($AW$1:$BH$1,1,MATCH(2,1/(AW2269:BH2269&lt;&gt;""))),"")</f>
        <v>46082</v>
      </c>
      <c r="BO2269" s="53">
        <f ca="1">IFERROR(_xlfn.XLOOKUP(F2269,Apuração!A:A,Apuração!C:C)/_xlfn.XLOOKUP(F2269,Apuração!A:A,Apuração!B:B),0)</f>
        <v>0</v>
      </c>
      <c r="BP2269" s="53">
        <f ca="1">IFERROR(_xlfn.XLOOKUP(F2269,Apuração!A:A,Apuração!D:D)/_xlfn.XLOOKUP(F2269,Apuração!A:A,Apuração!B:B),0)</f>
        <v>0</v>
      </c>
      <c r="BQ2269" s="53">
        <f ca="1">IF(BK2269&gt;=BO2269,0,_xlfn.XLOOKUP(F2269,Apuração!A:A,Apuração!B:B)*(BO2269 + (1/_xlfn.XLOOKUP(F2269,Apuração!A:A,Apuração!B:B)) - BK2269))</f>
        <v>0</v>
      </c>
      <c r="BR2269" s="85">
        <f t="shared" ca="1" si="2680"/>
        <v>0</v>
      </c>
      <c r="BS2269" s="53">
        <f ca="1">IFERROR((_xlfn.XLOOKUP(F2269,Apuração!A:A,Apuração!C:C)+1)/_xlfn.XLOOKUP(F2269,Apuração!A:A,Apuração!B:B),0)</f>
        <v>0.14285714285714285</v>
      </c>
    </row>
    <row r="2270" spans="1:71" ht="25.95" hidden="1" customHeight="1" x14ac:dyDescent="0.3">
      <c r="A2270" s="35" t="s">
        <v>44</v>
      </c>
      <c r="B2270" s="10" t="s">
        <v>44</v>
      </c>
      <c r="C2270" s="5" t="s">
        <v>216</v>
      </c>
      <c r="D2270" s="5" t="s">
        <v>36</v>
      </c>
      <c r="E2270" s="4" t="str" cm="1">
        <f t="array" ref="E2270">_xlfn.IFS(
F2270 = "A partir de Abril", "Aguardando Execução na Distribuidora",
A2270 = "CAPACITAÇÃO", "Em execução no Corporativo",
TRUE, "Em Execução na Distribuidora"
)</f>
        <v>Em Execução na Distribuidora</v>
      </c>
      <c r="F2270" s="4" t="str" cm="1">
        <f t="array" ref="F2270">_xlfn.IFS(
AG2270 &lt;&gt; "", "Jan-Dez/26",
AH2270 &lt;&gt; "", "Fev-Dez/26",
AI2270 &lt;&gt; "", "Mar-Dez/26", AJ2270 &lt;&gt; "", "Abr-Dez/26",
TRUE, "A partir de Junho"
)</f>
        <v>Jan-Dez/26</v>
      </c>
      <c r="G2270" s="10" t="s">
        <v>44</v>
      </c>
      <c r="H2270" s="36" t="s">
        <v>44</v>
      </c>
      <c r="I2270" s="37"/>
      <c r="J2270" s="37"/>
      <c r="K2270" s="37"/>
      <c r="L2270" s="37" t="s">
        <v>203</v>
      </c>
      <c r="M2270" s="37"/>
      <c r="N2270" s="5" t="s">
        <v>42</v>
      </c>
      <c r="O2270" s="5" t="s">
        <v>52</v>
      </c>
      <c r="P2270" s="10" t="s">
        <v>44</v>
      </c>
      <c r="Q2270" s="10" t="s">
        <v>44</v>
      </c>
      <c r="R2270" s="11" t="s">
        <v>44</v>
      </c>
      <c r="S2270" s="11" t="s">
        <v>44</v>
      </c>
      <c r="T2270" s="22"/>
      <c r="U2270" s="22"/>
      <c r="V2270" s="22"/>
      <c r="W2270" s="22"/>
      <c r="X2270" s="22"/>
      <c r="Y2270" s="22"/>
      <c r="Z2270" s="22"/>
      <c r="AA2270" s="22"/>
      <c r="AB2270" s="22"/>
      <c r="AC2270" s="22"/>
      <c r="AD2270" s="22"/>
      <c r="AE2270" s="22"/>
      <c r="AG2270" s="112">
        <v>1.0432097477518829</v>
      </c>
      <c r="AH2270" s="112">
        <v>2.5448465584767566</v>
      </c>
      <c r="AI2270" s="112">
        <v>2.7663785417549271</v>
      </c>
      <c r="AJ2270" s="112">
        <v>5.97</v>
      </c>
      <c r="AK2270" s="112"/>
      <c r="AL2270" s="112"/>
      <c r="AM2270" s="112"/>
      <c r="AN2270" s="112"/>
      <c r="AO2270" s="112"/>
      <c r="AP2270" s="112"/>
      <c r="AQ2270" s="112"/>
      <c r="AR2270" s="112"/>
      <c r="AS2270" s="94"/>
      <c r="AT2270" s="95"/>
      <c r="AU2270" s="97"/>
      <c r="AW2270" s="84">
        <f>AG2270</f>
        <v>1.0432097477518829</v>
      </c>
      <c r="AX2270" s="84">
        <f>AH2270</f>
        <v>2.5448465584767566</v>
      </c>
      <c r="AY2270" s="84">
        <f>AI2270</f>
        <v>2.7663785417549271</v>
      </c>
      <c r="AZ2270" s="84">
        <f>AJ2270</f>
        <v>5.97</v>
      </c>
      <c r="BA2270" s="84"/>
      <c r="BB2270" s="84"/>
      <c r="BC2270" s="84"/>
      <c r="BD2270" s="84"/>
      <c r="BE2270" s="84"/>
      <c r="BF2270" s="84"/>
      <c r="BG2270" s="84"/>
      <c r="BH2270" s="84"/>
      <c r="BI2270" s="68" cm="1">
        <f t="array" ref="BI2270">IFERROR(INDEX(AW2270:BH2270,1,MATCH(2,1/(AW2270:BH2270&lt;&gt;""))),"")</f>
        <v>5.97</v>
      </c>
      <c r="BJ2270" s="68" cm="1">
        <f t="array" ref="BJ2270">IF(BM2270 = "", "",IFERROR(INDEX(AW2270:BH2270,1,MATCH(2,1/(AW2270:BH2270&lt;&gt;""),1)-1),""))</f>
        <v>2.7663785417549271</v>
      </c>
      <c r="BK2270" s="57" cm="1">
        <f t="array" ref="BK2270">IFERROR(INDEX(AW2270:BH2270,1,MATCH(2,1/(AW2270:BH2270&lt;&gt;""),1)),"")</f>
        <v>5.97</v>
      </c>
      <c r="BL2270" s="57" cm="1">
        <f t="array" ref="BL2270">IF(BM2270 = "", "",IFERROR(INDEX(AW2270:BH2270,1,MATCH(2,1/(AW2270:BH2270&lt;&gt;""),1)-1),""))</f>
        <v>2.7663785417549271</v>
      </c>
      <c r="BM2270" s="55" cm="1">
        <f t="array" ref="BM2270">IFERROR(
   INDEX($AW$1:$BH$1,
      _xlfn.AGGREGATE(14, 6, COLUMN($AW$1:$BH$1)/(AW2270:BH2270&lt;&gt;""), 2) - COLUMN($AW$1) + 1
   ),
"")</f>
        <v>46082</v>
      </c>
      <c r="BN2270" s="55" cm="1">
        <f t="array" ref="BN2270">IFERROR(INDEX($AW$1:$BH$1,1,MATCH(2,1/(AW2270:BH2270&lt;&gt;""))),"")</f>
        <v>46113</v>
      </c>
      <c r="BO2270" s="53">
        <f ca="1">IFERROR(_xlfn.XLOOKUP(F2270,Apuração!A:A,Apuração!C:C)/_xlfn.XLOOKUP(F2270,Apuração!A:A,Apuração!B:B),0)</f>
        <v>0.41666666666666669</v>
      </c>
      <c r="BP2270" s="53">
        <f ca="1">IFERROR(_xlfn.XLOOKUP(F2270,Apuração!A:A,Apuração!D:D)/_xlfn.XLOOKUP(F2270,Apuração!A:A,Apuração!B:B),0)</f>
        <v>0.33333333333333331</v>
      </c>
      <c r="BQ2270" s="53">
        <f ca="1">IF(BK2270&gt;=BO2270,0,_xlfn.XLOOKUP(F2270,Apuração!A:A,Apuração!B:B)*(BO2270 + (1/_xlfn.XLOOKUP(F2270,Apuração!A:A,Apuração!B:B)) - BK2270))</f>
        <v>0</v>
      </c>
      <c r="BR2270" s="85">
        <f ca="1">IF(BQ2270=0,0,BQ2270*Z2270)</f>
        <v>0</v>
      </c>
      <c r="BS2270" s="53">
        <f ca="1">IFERROR((_xlfn.XLOOKUP(F2270,Apuração!A:A,Apuração!C:C)+1)/_xlfn.XLOOKUP(F2270,Apuração!A:A,Apuração!B:B),0)</f>
        <v>0.5</v>
      </c>
    </row>
    <row r="2271" spans="1:71" ht="25.95" hidden="1" customHeight="1" x14ac:dyDescent="0.3">
      <c r="A2271" s="35" t="s">
        <v>44</v>
      </c>
      <c r="B2271" s="10" t="s">
        <v>44</v>
      </c>
      <c r="C2271" s="5" t="s">
        <v>216</v>
      </c>
      <c r="D2271" s="5" t="s">
        <v>217</v>
      </c>
      <c r="E2271" s="4" t="str" cm="1">
        <f t="array" ref="E2271">_xlfn.IFS(
F2271 = "A partir de Abril", "Aguardando Execução na Distribuidora",
A2271 = "CAPACITAÇÃO", "Em execução no Corporativo",
TRUE, "Em Execução na Distribuidora"
)</f>
        <v>Em Execução na Distribuidora</v>
      </c>
      <c r="F2271" s="4" t="str" cm="1">
        <f t="array" ref="F2271">_xlfn.IFS(
AG2271 &lt;&gt; "", "Jan-Dez/26",
AH2271 &lt;&gt; "", "Fev-Dez/26",
AI2271 &lt;&gt; "", "Mar-Dez/26", AJ2271 &lt;&gt; "", "Abr-Dez/26",
TRUE, "A partir de Junho"
)</f>
        <v>A partir de Junho</v>
      </c>
      <c r="G2271" s="10" t="s">
        <v>44</v>
      </c>
      <c r="H2271" s="36" t="s">
        <v>44</v>
      </c>
      <c r="I2271" s="37"/>
      <c r="J2271" s="37"/>
      <c r="K2271" s="37"/>
      <c r="L2271" s="37" t="s">
        <v>203</v>
      </c>
      <c r="M2271" s="37"/>
      <c r="N2271" s="5" t="s">
        <v>42</v>
      </c>
      <c r="O2271" s="5" t="s">
        <v>52</v>
      </c>
      <c r="P2271" s="10" t="s">
        <v>44</v>
      </c>
      <c r="Q2271" s="10" t="s">
        <v>44</v>
      </c>
      <c r="R2271" s="11" t="s">
        <v>44</v>
      </c>
      <c r="S2271" s="11" t="s">
        <v>44</v>
      </c>
      <c r="T2271" s="22"/>
      <c r="U2271" s="22"/>
      <c r="V2271" s="22"/>
      <c r="W2271" s="22"/>
      <c r="X2271" s="22"/>
      <c r="Y2271" s="22"/>
      <c r="Z2271" s="22"/>
      <c r="AA2271" s="22"/>
      <c r="AB2271" s="22"/>
      <c r="AC2271" s="22"/>
      <c r="AD2271" s="22"/>
      <c r="AE2271" s="22"/>
      <c r="AG2271" s="112"/>
      <c r="AH2271" s="112"/>
      <c r="AI2271" s="112"/>
      <c r="AJ2271" s="71"/>
      <c r="AK2271" s="71"/>
      <c r="AL2271" s="71"/>
      <c r="AM2271" s="71"/>
      <c r="AN2271" s="71"/>
      <c r="AO2271" s="71"/>
      <c r="AP2271" s="71"/>
      <c r="AQ2271" s="71"/>
      <c r="AR2271" s="71"/>
      <c r="AS2271" s="94"/>
      <c r="AT2271" s="95"/>
      <c r="AU2271" s="97"/>
      <c r="AW2271" s="84">
        <f t="shared" ref="AW2271:AW2274" si="2681">AG2271</f>
        <v>0</v>
      </c>
      <c r="AX2271" s="84">
        <f t="shared" ref="AX2271:AX2274" si="2682">AH2271</f>
        <v>0</v>
      </c>
      <c r="AY2271" s="84">
        <f t="shared" ref="AY2271:AY2274" si="2683">AI2271</f>
        <v>0</v>
      </c>
      <c r="AZ2271" s="84"/>
      <c r="BA2271" s="84"/>
      <c r="BB2271" s="84"/>
      <c r="BC2271" s="84"/>
      <c r="BD2271" s="84"/>
      <c r="BE2271" s="84"/>
      <c r="BF2271" s="84"/>
      <c r="BG2271" s="84"/>
      <c r="BH2271" s="84"/>
      <c r="BI2271" s="68" cm="1">
        <f t="array" ref="BI2271">IFERROR(INDEX(AW2271:BH2271,1,MATCH(2,1/(AW2271:BH2271&lt;&gt;""))),"")</f>
        <v>0</v>
      </c>
      <c r="BJ2271" s="68" cm="1">
        <f t="array" ref="BJ2271">IF(BM2271 = "", "",IFERROR(INDEX(AW2271:BH2271,1,MATCH(2,1/(AW2271:BH2271&lt;&gt;""),1)-1),""))</f>
        <v>0</v>
      </c>
      <c r="BK2271" s="57" cm="1">
        <f t="array" ref="BK2271">IFERROR(INDEX(AW2271:BH2271,1,MATCH(2,1/(AW2271:BH2271&lt;&gt;""),1)),"")</f>
        <v>0</v>
      </c>
      <c r="BL2271" s="57" cm="1">
        <f t="array" ref="BL2271">IF(BM2271 = "", "",IFERROR(INDEX(AW2271:BH2271,1,MATCH(2,1/(AW2271:BH2271&lt;&gt;""),1)-1),""))</f>
        <v>0</v>
      </c>
      <c r="BM2271" s="55" cm="1">
        <f t="array" ref="BM2271">IFERROR(
   INDEX($AW$1:$BH$1,
      _xlfn.AGGREGATE(14, 6, COLUMN($AW$1:$BH$1)/(AW2271:BH2271&lt;&gt;""), 2) - COLUMN($AW$1) + 1
   ),
"")</f>
        <v>46054</v>
      </c>
      <c r="BN2271" s="55" cm="1">
        <f t="array" ref="BN2271">IFERROR(INDEX($AW$1:$BH$1,1,MATCH(2,1/(AW2271:BH2271&lt;&gt;""))),"")</f>
        <v>46082</v>
      </c>
      <c r="BO2271" s="53">
        <f ca="1">IFERROR(_xlfn.XLOOKUP(F2271,Apuração!A:A,Apuração!C:C)/_xlfn.XLOOKUP(F2271,Apuração!A:A,Apuração!B:B),0)</f>
        <v>0</v>
      </c>
      <c r="BP2271" s="53">
        <f ca="1">IFERROR(_xlfn.XLOOKUP(F2271,Apuração!A:A,Apuração!D:D)/_xlfn.XLOOKUP(F2271,Apuração!A:A,Apuração!B:B),0)</f>
        <v>0</v>
      </c>
      <c r="BQ2271" s="53">
        <f ca="1">IF(BK2271&gt;=BO2271,0,_xlfn.XLOOKUP(F2271,Apuração!A:A,Apuração!B:B)*(BO2271 + (1/_xlfn.XLOOKUP(F2271,Apuração!A:A,Apuração!B:B)) - BK2271))</f>
        <v>0</v>
      </c>
      <c r="BR2271" s="85">
        <f t="shared" ref="BR2271:BR2274" ca="1" si="2684">IF(BQ2271=0,0,BQ2271*Z2271)</f>
        <v>0</v>
      </c>
      <c r="BS2271" s="53">
        <f ca="1">IFERROR((_xlfn.XLOOKUP(F2271,Apuração!A:A,Apuração!C:C)+1)/_xlfn.XLOOKUP(F2271,Apuração!A:A,Apuração!B:B),0)</f>
        <v>0.14285714285714285</v>
      </c>
    </row>
    <row r="2272" spans="1:71" ht="25.95" hidden="1" customHeight="1" x14ac:dyDescent="0.3">
      <c r="A2272" s="35" t="s">
        <v>44</v>
      </c>
      <c r="B2272" s="10" t="s">
        <v>44</v>
      </c>
      <c r="C2272" s="5" t="s">
        <v>216</v>
      </c>
      <c r="D2272" s="5" t="s">
        <v>103</v>
      </c>
      <c r="E2272" s="4" t="str" cm="1">
        <f t="array" ref="E2272">_xlfn.IFS(
F2272 = "A partir de Abril", "Aguardando Execução na Distribuidora",
A2272 = "CAPACITAÇÃO", "Em execução no Corporativo",
TRUE, "Em Execução na Distribuidora"
)</f>
        <v>Em Execução na Distribuidora</v>
      </c>
      <c r="F2272" s="4" t="str" cm="1">
        <f t="array" ref="F2272">_xlfn.IFS(
AG2272 &lt;&gt; "", "Jan-Dez/26",
AH2272 &lt;&gt; "", "Fev-Dez/26",
AI2272 &lt;&gt; "", "Mar-Dez/26", AJ2272 &lt;&gt; "", "Abr-Dez/26",
TRUE, "A partir de Junho"
)</f>
        <v>A partir de Junho</v>
      </c>
      <c r="G2272" s="10" t="s">
        <v>44</v>
      </c>
      <c r="H2272" s="36" t="s">
        <v>44</v>
      </c>
      <c r="I2272" s="37"/>
      <c r="J2272" s="37"/>
      <c r="K2272" s="37"/>
      <c r="L2272" s="37" t="s">
        <v>203</v>
      </c>
      <c r="M2272" s="37"/>
      <c r="N2272" s="5" t="s">
        <v>42</v>
      </c>
      <c r="O2272" s="5" t="s">
        <v>52</v>
      </c>
      <c r="P2272" s="10" t="s">
        <v>44</v>
      </c>
      <c r="Q2272" s="10" t="s">
        <v>44</v>
      </c>
      <c r="R2272" s="11" t="s">
        <v>44</v>
      </c>
      <c r="S2272" s="11" t="s">
        <v>44</v>
      </c>
      <c r="T2272" s="22"/>
      <c r="U2272" s="22"/>
      <c r="V2272" s="22"/>
      <c r="W2272" s="22"/>
      <c r="X2272" s="22"/>
      <c r="Y2272" s="22"/>
      <c r="Z2272" s="22"/>
      <c r="AA2272" s="22"/>
      <c r="AB2272" s="22"/>
      <c r="AC2272" s="22"/>
      <c r="AD2272" s="22"/>
      <c r="AE2272" s="22"/>
      <c r="AG2272" s="112"/>
      <c r="AH2272" s="112"/>
      <c r="AI2272" s="112"/>
      <c r="AJ2272" s="71"/>
      <c r="AK2272" s="71"/>
      <c r="AL2272" s="71"/>
      <c r="AM2272" s="71"/>
      <c r="AN2272" s="71"/>
      <c r="AO2272" s="71"/>
      <c r="AP2272" s="71"/>
      <c r="AQ2272" s="71"/>
      <c r="AR2272" s="71"/>
      <c r="AS2272" s="94"/>
      <c r="AT2272" s="95"/>
      <c r="AU2272" s="97"/>
      <c r="AW2272" s="84">
        <f t="shared" si="2681"/>
        <v>0</v>
      </c>
      <c r="AX2272" s="84">
        <f t="shared" si="2682"/>
        <v>0</v>
      </c>
      <c r="AY2272" s="84">
        <f t="shared" si="2683"/>
        <v>0</v>
      </c>
      <c r="AZ2272" s="84"/>
      <c r="BA2272" s="84"/>
      <c r="BB2272" s="84"/>
      <c r="BC2272" s="84"/>
      <c r="BD2272" s="84"/>
      <c r="BE2272" s="84"/>
      <c r="BF2272" s="84"/>
      <c r="BG2272" s="84"/>
      <c r="BH2272" s="84"/>
      <c r="BI2272" s="68" cm="1">
        <f t="array" ref="BI2272">IFERROR(INDEX(AW2272:BH2272,1,MATCH(2,1/(AW2272:BH2272&lt;&gt;""))),"")</f>
        <v>0</v>
      </c>
      <c r="BJ2272" s="68" cm="1">
        <f t="array" ref="BJ2272">IF(BM2272 = "", "",IFERROR(INDEX(AW2272:BH2272,1,MATCH(2,1/(AW2272:BH2272&lt;&gt;""),1)-1),""))</f>
        <v>0</v>
      </c>
      <c r="BK2272" s="57" cm="1">
        <f t="array" ref="BK2272">IFERROR(INDEX(AW2272:BH2272,1,MATCH(2,1/(AW2272:BH2272&lt;&gt;""),1)),"")</f>
        <v>0</v>
      </c>
      <c r="BL2272" s="57" cm="1">
        <f t="array" ref="BL2272">IF(BM2272 = "", "",IFERROR(INDEX(AW2272:BH2272,1,MATCH(2,1/(AW2272:BH2272&lt;&gt;""),1)-1),""))</f>
        <v>0</v>
      </c>
      <c r="BM2272" s="55" cm="1">
        <f t="array" ref="BM2272">IFERROR(
   INDEX($AW$1:$BH$1,
      _xlfn.AGGREGATE(14, 6, COLUMN($AW$1:$BH$1)/(AW2272:BH2272&lt;&gt;""), 2) - COLUMN($AW$1) + 1
   ),
"")</f>
        <v>46054</v>
      </c>
      <c r="BN2272" s="55" cm="1">
        <f t="array" ref="BN2272">IFERROR(INDEX($AW$1:$BH$1,1,MATCH(2,1/(AW2272:BH2272&lt;&gt;""))),"")</f>
        <v>46082</v>
      </c>
      <c r="BO2272" s="53">
        <f ca="1">IFERROR(_xlfn.XLOOKUP(F2272,Apuração!A:A,Apuração!C:C)/_xlfn.XLOOKUP(F2272,Apuração!A:A,Apuração!B:B),0)</f>
        <v>0</v>
      </c>
      <c r="BP2272" s="53">
        <f ca="1">IFERROR(_xlfn.XLOOKUP(F2272,Apuração!A:A,Apuração!D:D)/_xlfn.XLOOKUP(F2272,Apuração!A:A,Apuração!B:B),0)</f>
        <v>0</v>
      </c>
      <c r="BQ2272" s="53">
        <f ca="1">IF(BK2272&gt;=BO2272,0,_xlfn.XLOOKUP(F2272,Apuração!A:A,Apuração!B:B)*(BO2272 + (1/_xlfn.XLOOKUP(F2272,Apuração!A:A,Apuração!B:B)) - BK2272))</f>
        <v>0</v>
      </c>
      <c r="BR2272" s="85">
        <f t="shared" ca="1" si="2684"/>
        <v>0</v>
      </c>
      <c r="BS2272" s="53">
        <f ca="1">IFERROR((_xlfn.XLOOKUP(F2272,Apuração!A:A,Apuração!C:C)+1)/_xlfn.XLOOKUP(F2272,Apuração!A:A,Apuração!B:B),0)</f>
        <v>0.14285714285714285</v>
      </c>
    </row>
    <row r="2273" spans="1:71" ht="25.95" hidden="1" customHeight="1" x14ac:dyDescent="0.3">
      <c r="A2273" s="35" t="s">
        <v>44</v>
      </c>
      <c r="B2273" s="10" t="s">
        <v>44</v>
      </c>
      <c r="C2273" s="5" t="s">
        <v>216</v>
      </c>
      <c r="D2273" s="5" t="s">
        <v>218</v>
      </c>
      <c r="E2273" s="4" t="str" cm="1">
        <f t="array" ref="E2273">_xlfn.IFS(
F2273 = "A partir de Abril", "Aguardando Execução na Distribuidora",
A2273 = "CAPACITAÇÃO", "Em execução no Corporativo",
TRUE, "Em Execução na Distribuidora"
)</f>
        <v>Em Execução na Distribuidora</v>
      </c>
      <c r="F2273" s="4" t="str" cm="1">
        <f t="array" ref="F2273">_xlfn.IFS(
AG2273 &lt;&gt; "", "Jan-Dez/26",
AH2273 &lt;&gt; "", "Fev-Dez/26",
AI2273 &lt;&gt; "", "Mar-Dez/26", AJ2273 &lt;&gt; "", "Abr-Dez/26",
TRUE, "A partir de Junho"
)</f>
        <v>A partir de Junho</v>
      </c>
      <c r="G2273" s="10" t="s">
        <v>44</v>
      </c>
      <c r="H2273" s="36" t="s">
        <v>44</v>
      </c>
      <c r="I2273" s="37"/>
      <c r="J2273" s="37"/>
      <c r="K2273" s="37"/>
      <c r="L2273" s="37" t="s">
        <v>203</v>
      </c>
      <c r="M2273" s="37"/>
      <c r="N2273" s="5" t="s">
        <v>42</v>
      </c>
      <c r="O2273" s="5" t="s">
        <v>52</v>
      </c>
      <c r="P2273" s="10" t="s">
        <v>44</v>
      </c>
      <c r="Q2273" s="10" t="s">
        <v>44</v>
      </c>
      <c r="R2273" s="11" t="s">
        <v>44</v>
      </c>
      <c r="S2273" s="11" t="s">
        <v>44</v>
      </c>
      <c r="T2273" s="22"/>
      <c r="U2273" s="22"/>
      <c r="V2273" s="22"/>
      <c r="W2273" s="22"/>
      <c r="X2273" s="22"/>
      <c r="Y2273" s="22"/>
      <c r="Z2273" s="22"/>
      <c r="AA2273" s="22"/>
      <c r="AB2273" s="22"/>
      <c r="AC2273" s="22"/>
      <c r="AD2273" s="22"/>
      <c r="AE2273" s="22"/>
      <c r="AG2273" s="112"/>
      <c r="AH2273" s="112"/>
      <c r="AI2273" s="112"/>
      <c r="AJ2273" s="71"/>
      <c r="AK2273" s="71"/>
      <c r="AL2273" s="71"/>
      <c r="AM2273" s="71"/>
      <c r="AN2273" s="71"/>
      <c r="AO2273" s="71"/>
      <c r="AP2273" s="71"/>
      <c r="AQ2273" s="71"/>
      <c r="AR2273" s="71"/>
      <c r="AS2273" s="94"/>
      <c r="AT2273" s="95"/>
      <c r="AU2273" s="97"/>
      <c r="AW2273" s="84">
        <f t="shared" si="2681"/>
        <v>0</v>
      </c>
      <c r="AX2273" s="84">
        <f t="shared" si="2682"/>
        <v>0</v>
      </c>
      <c r="AY2273" s="84">
        <f t="shared" si="2683"/>
        <v>0</v>
      </c>
      <c r="AZ2273" s="84"/>
      <c r="BA2273" s="84"/>
      <c r="BB2273" s="84"/>
      <c r="BC2273" s="84"/>
      <c r="BD2273" s="84"/>
      <c r="BE2273" s="84"/>
      <c r="BF2273" s="84"/>
      <c r="BG2273" s="84"/>
      <c r="BH2273" s="84"/>
      <c r="BI2273" s="68" cm="1">
        <f t="array" ref="BI2273">IFERROR(INDEX(AW2273:BH2273,1,MATCH(2,1/(AW2273:BH2273&lt;&gt;""))),"")</f>
        <v>0</v>
      </c>
      <c r="BJ2273" s="68" cm="1">
        <f t="array" ref="BJ2273">IF(BM2273 = "", "",IFERROR(INDEX(AW2273:BH2273,1,MATCH(2,1/(AW2273:BH2273&lt;&gt;""),1)-1),""))</f>
        <v>0</v>
      </c>
      <c r="BK2273" s="57" cm="1">
        <f t="array" ref="BK2273">IFERROR(INDEX(AW2273:BH2273,1,MATCH(2,1/(AW2273:BH2273&lt;&gt;""),1)),"")</f>
        <v>0</v>
      </c>
      <c r="BL2273" s="57" cm="1">
        <f t="array" ref="BL2273">IF(BM2273 = "", "",IFERROR(INDEX(AW2273:BH2273,1,MATCH(2,1/(AW2273:BH2273&lt;&gt;""),1)-1),""))</f>
        <v>0</v>
      </c>
      <c r="BM2273" s="55" cm="1">
        <f t="array" ref="BM2273">IFERROR(
   INDEX($AW$1:$BH$1,
      _xlfn.AGGREGATE(14, 6, COLUMN($AW$1:$BH$1)/(AW2273:BH2273&lt;&gt;""), 2) - COLUMN($AW$1) + 1
   ),
"")</f>
        <v>46054</v>
      </c>
      <c r="BN2273" s="55" cm="1">
        <f t="array" ref="BN2273">IFERROR(INDEX($AW$1:$BH$1,1,MATCH(2,1/(AW2273:BH2273&lt;&gt;""))),"")</f>
        <v>46082</v>
      </c>
      <c r="BO2273" s="53">
        <f ca="1">IFERROR(_xlfn.XLOOKUP(F2273,Apuração!A:A,Apuração!C:C)/_xlfn.XLOOKUP(F2273,Apuração!A:A,Apuração!B:B),0)</f>
        <v>0</v>
      </c>
      <c r="BP2273" s="53">
        <f ca="1">IFERROR(_xlfn.XLOOKUP(F2273,Apuração!A:A,Apuração!D:D)/_xlfn.XLOOKUP(F2273,Apuração!A:A,Apuração!B:B),0)</f>
        <v>0</v>
      </c>
      <c r="BQ2273" s="53">
        <f ca="1">IF(BK2273&gt;=BO2273,0,_xlfn.XLOOKUP(F2273,Apuração!A:A,Apuração!B:B)*(BO2273 + (1/_xlfn.XLOOKUP(F2273,Apuração!A:A,Apuração!B:B)) - BK2273))</f>
        <v>0</v>
      </c>
      <c r="BR2273" s="85">
        <f t="shared" ca="1" si="2684"/>
        <v>0</v>
      </c>
      <c r="BS2273" s="53">
        <f ca="1">IFERROR((_xlfn.XLOOKUP(F2273,Apuração!A:A,Apuração!C:C)+1)/_xlfn.XLOOKUP(F2273,Apuração!A:A,Apuração!B:B),0)</f>
        <v>0.14285714285714285</v>
      </c>
    </row>
    <row r="2274" spans="1:71" ht="25.95" hidden="1" customHeight="1" x14ac:dyDescent="0.3">
      <c r="A2274" s="35" t="s">
        <v>44</v>
      </c>
      <c r="B2274" s="10" t="s">
        <v>44</v>
      </c>
      <c r="C2274" s="5" t="s">
        <v>216</v>
      </c>
      <c r="D2274" s="5" t="s">
        <v>219</v>
      </c>
      <c r="E2274" s="4" t="str" cm="1">
        <f t="array" ref="E2274">_xlfn.IFS(
F2274 = "A partir de Abril", "Aguardando Execução na Distribuidora",
A2274 = "CAPACITAÇÃO", "Em execução no Corporativo",
TRUE, "Em Execução na Distribuidora"
)</f>
        <v>Em Execução na Distribuidora</v>
      </c>
      <c r="F2274" s="4" t="str" cm="1">
        <f t="array" ref="F2274">_xlfn.IFS(
AG2274 &lt;&gt; "", "Jan-Dez/26",
AH2274 &lt;&gt; "", "Fev-Dez/26",
AI2274 &lt;&gt; "", "Mar-Dez/26", AJ2274 &lt;&gt; "", "Abr-Dez/26",
TRUE, "A partir de Junho"
)</f>
        <v>A partir de Junho</v>
      </c>
      <c r="G2274" s="10" t="s">
        <v>44</v>
      </c>
      <c r="H2274" s="36" t="s">
        <v>44</v>
      </c>
      <c r="I2274" s="37"/>
      <c r="J2274" s="37"/>
      <c r="K2274" s="37"/>
      <c r="L2274" s="37" t="s">
        <v>203</v>
      </c>
      <c r="M2274" s="37"/>
      <c r="N2274" s="5" t="s">
        <v>42</v>
      </c>
      <c r="O2274" s="5" t="s">
        <v>52</v>
      </c>
      <c r="P2274" s="10" t="s">
        <v>44</v>
      </c>
      <c r="Q2274" s="10" t="s">
        <v>44</v>
      </c>
      <c r="R2274" s="11" t="s">
        <v>44</v>
      </c>
      <c r="S2274" s="11" t="s">
        <v>44</v>
      </c>
      <c r="T2274" s="22"/>
      <c r="U2274" s="22"/>
      <c r="V2274" s="22"/>
      <c r="W2274" s="22"/>
      <c r="X2274" s="22"/>
      <c r="Y2274" s="22"/>
      <c r="Z2274" s="22"/>
      <c r="AA2274" s="22"/>
      <c r="AB2274" s="22"/>
      <c r="AC2274" s="22"/>
      <c r="AD2274" s="22"/>
      <c r="AE2274" s="22"/>
      <c r="AG2274" s="112"/>
      <c r="AH2274" s="112"/>
      <c r="AI2274" s="112"/>
      <c r="AJ2274" s="71"/>
      <c r="AK2274" s="71"/>
      <c r="AL2274" s="71"/>
      <c r="AM2274" s="71"/>
      <c r="AN2274" s="71"/>
      <c r="AO2274" s="71"/>
      <c r="AP2274" s="71"/>
      <c r="AQ2274" s="71"/>
      <c r="AR2274" s="71"/>
      <c r="AS2274" s="94"/>
      <c r="AT2274" s="95"/>
      <c r="AU2274" s="97"/>
      <c r="AW2274" s="84">
        <f t="shared" si="2681"/>
        <v>0</v>
      </c>
      <c r="AX2274" s="84">
        <f t="shared" si="2682"/>
        <v>0</v>
      </c>
      <c r="AY2274" s="84">
        <f t="shared" si="2683"/>
        <v>0</v>
      </c>
      <c r="AZ2274" s="84"/>
      <c r="BA2274" s="84"/>
      <c r="BB2274" s="84"/>
      <c r="BC2274" s="84"/>
      <c r="BD2274" s="84"/>
      <c r="BE2274" s="84"/>
      <c r="BF2274" s="84"/>
      <c r="BG2274" s="84"/>
      <c r="BH2274" s="84"/>
      <c r="BI2274" s="68" cm="1">
        <f t="array" ref="BI2274">IFERROR(INDEX(AW2274:BH2274,1,MATCH(2,1/(AW2274:BH2274&lt;&gt;""))),"")</f>
        <v>0</v>
      </c>
      <c r="BJ2274" s="68" cm="1">
        <f t="array" ref="BJ2274">IF(BM2274 = "", "",IFERROR(INDEX(AW2274:BH2274,1,MATCH(2,1/(AW2274:BH2274&lt;&gt;""),1)-1),""))</f>
        <v>0</v>
      </c>
      <c r="BK2274" s="57" cm="1">
        <f t="array" ref="BK2274">IFERROR(INDEX(AW2274:BH2274,1,MATCH(2,1/(AW2274:BH2274&lt;&gt;""),1)),"")</f>
        <v>0</v>
      </c>
      <c r="BL2274" s="57" cm="1">
        <f t="array" ref="BL2274">IF(BM2274 = "", "",IFERROR(INDEX(AW2274:BH2274,1,MATCH(2,1/(AW2274:BH2274&lt;&gt;""),1)-1),""))</f>
        <v>0</v>
      </c>
      <c r="BM2274" s="55" cm="1">
        <f t="array" ref="BM2274">IFERROR(
   INDEX($AW$1:$BH$1,
      _xlfn.AGGREGATE(14, 6, COLUMN($AW$1:$BH$1)/(AW2274:BH2274&lt;&gt;""), 2) - COLUMN($AW$1) + 1
   ),
"")</f>
        <v>46054</v>
      </c>
      <c r="BN2274" s="55" cm="1">
        <f t="array" ref="BN2274">IFERROR(INDEX($AW$1:$BH$1,1,MATCH(2,1/(AW2274:BH2274&lt;&gt;""))),"")</f>
        <v>46082</v>
      </c>
      <c r="BO2274" s="53">
        <f ca="1">IFERROR(_xlfn.XLOOKUP(F2274,Apuração!A:A,Apuração!C:C)/_xlfn.XLOOKUP(F2274,Apuração!A:A,Apuração!B:B),0)</f>
        <v>0</v>
      </c>
      <c r="BP2274" s="53">
        <f ca="1">IFERROR(_xlfn.XLOOKUP(F2274,Apuração!A:A,Apuração!D:D)/_xlfn.XLOOKUP(F2274,Apuração!A:A,Apuração!B:B),0)</f>
        <v>0</v>
      </c>
      <c r="BQ2274" s="53">
        <f ca="1">IF(BK2274&gt;=BO2274,0,_xlfn.XLOOKUP(F2274,Apuração!A:A,Apuração!B:B)*(BO2274 + (1/_xlfn.XLOOKUP(F2274,Apuração!A:A,Apuração!B:B)) - BK2274))</f>
        <v>0</v>
      </c>
      <c r="BR2274" s="85">
        <f t="shared" ca="1" si="2684"/>
        <v>0</v>
      </c>
      <c r="BS2274" s="53">
        <f ca="1">IFERROR((_xlfn.XLOOKUP(F2274,Apuração!A:A,Apuração!C:C)+1)/_xlfn.XLOOKUP(F2274,Apuração!A:A,Apuração!B:B),0)</f>
        <v>0.14285714285714285</v>
      </c>
    </row>
    <row r="2275" spans="1:71" ht="25.95" hidden="1" customHeight="1" x14ac:dyDescent="0.3">
      <c r="A2275" s="35" t="s">
        <v>44</v>
      </c>
      <c r="B2275" s="10" t="s">
        <v>44</v>
      </c>
      <c r="C2275" s="5" t="s">
        <v>216</v>
      </c>
      <c r="D2275" s="5" t="s">
        <v>36</v>
      </c>
      <c r="E2275" s="4" t="str" cm="1">
        <f t="array" ref="E2275">_xlfn.IFS(
F2275 = "A partir de Abril", "Aguardando Execução na Distribuidora",
A2275 = "CAPACITAÇÃO", "Em execução no Corporativo",
TRUE, "Em Execução na Distribuidora"
)</f>
        <v>Em Execução na Distribuidora</v>
      </c>
      <c r="F2275" s="4" t="str" cm="1">
        <f t="array" ref="F2275">_xlfn.IFS(
AG2275 &lt;&gt; "", "Jan-Dez/26",
AH2275 &lt;&gt; "", "Fev-Dez/26",
AI2275 &lt;&gt; "", "Mar-Dez/26", AJ2275 &lt;&gt; "", "Abr-Dez/26",
TRUE, "A partir de Junho"
)</f>
        <v>Jan-Dez/26</v>
      </c>
      <c r="G2275" s="10" t="s">
        <v>44</v>
      </c>
      <c r="H2275" s="36" t="s">
        <v>44</v>
      </c>
      <c r="I2275" s="37"/>
      <c r="J2275" s="37"/>
      <c r="K2275" s="37"/>
      <c r="L2275" s="37" t="s">
        <v>204</v>
      </c>
      <c r="M2275" s="37"/>
      <c r="N2275" s="5" t="s">
        <v>42</v>
      </c>
      <c r="O2275" s="5" t="s">
        <v>52</v>
      </c>
      <c r="P2275" s="10" t="s">
        <v>44</v>
      </c>
      <c r="Q2275" s="10" t="s">
        <v>44</v>
      </c>
      <c r="R2275" s="11" t="s">
        <v>44</v>
      </c>
      <c r="S2275" s="11" t="s">
        <v>44</v>
      </c>
      <c r="T2275" s="22"/>
      <c r="U2275" s="22"/>
      <c r="V2275" s="22"/>
      <c r="W2275" s="22"/>
      <c r="X2275" s="22"/>
      <c r="Y2275" s="22"/>
      <c r="Z2275" s="22"/>
      <c r="AA2275" s="22"/>
      <c r="AB2275" s="22"/>
      <c r="AC2275" s="22"/>
      <c r="AD2275" s="22"/>
      <c r="AE2275" s="22"/>
      <c r="AG2275" s="112">
        <v>0</v>
      </c>
      <c r="AH2275" s="112">
        <v>0</v>
      </c>
      <c r="AI2275" s="112">
        <v>0</v>
      </c>
      <c r="AJ2275" s="112">
        <v>1.86</v>
      </c>
      <c r="AK2275" s="112"/>
      <c r="AL2275" s="112"/>
      <c r="AM2275" s="112"/>
      <c r="AN2275" s="112"/>
      <c r="AO2275" s="112"/>
      <c r="AP2275" s="112"/>
      <c r="AQ2275" s="112"/>
      <c r="AR2275" s="112"/>
      <c r="AS2275" s="94"/>
      <c r="AT2275" s="95"/>
      <c r="AU2275" s="97"/>
      <c r="AW2275" s="84">
        <f>AG2275</f>
        <v>0</v>
      </c>
      <c r="AX2275" s="84">
        <f>AH2275</f>
        <v>0</v>
      </c>
      <c r="AY2275" s="84">
        <f>AI2275</f>
        <v>0</v>
      </c>
      <c r="AZ2275" s="84">
        <f>AJ2275</f>
        <v>1.86</v>
      </c>
      <c r="BA2275" s="84"/>
      <c r="BB2275" s="84"/>
      <c r="BC2275" s="84"/>
      <c r="BD2275" s="84"/>
      <c r="BE2275" s="84"/>
      <c r="BF2275" s="84"/>
      <c r="BG2275" s="84"/>
      <c r="BH2275" s="84"/>
      <c r="BI2275" s="68" cm="1">
        <f t="array" ref="BI2275">IFERROR(INDEX(AW2275:BH2275,1,MATCH(2,1/(AW2275:BH2275&lt;&gt;""))),"")</f>
        <v>1.86</v>
      </c>
      <c r="BJ2275" s="68" cm="1">
        <f t="array" ref="BJ2275">IF(BM2275 = "", "",IFERROR(INDEX(AW2275:BH2275,1,MATCH(2,1/(AW2275:BH2275&lt;&gt;""),1)-1),""))</f>
        <v>0</v>
      </c>
      <c r="BK2275" s="57" cm="1">
        <f t="array" ref="BK2275">IFERROR(INDEX(AW2275:BH2275,1,MATCH(2,1/(AW2275:BH2275&lt;&gt;""),1)),"")</f>
        <v>1.86</v>
      </c>
      <c r="BL2275" s="57" cm="1">
        <f t="array" ref="BL2275">IF(BM2275 = "", "",IFERROR(INDEX(AW2275:BH2275,1,MATCH(2,1/(AW2275:BH2275&lt;&gt;""),1)-1),""))</f>
        <v>0</v>
      </c>
      <c r="BM2275" s="55" cm="1">
        <f t="array" ref="BM2275">IFERROR(
   INDEX($AW$1:$BH$1,
      _xlfn.AGGREGATE(14, 6, COLUMN($AW$1:$BH$1)/(AW2275:BH2275&lt;&gt;""), 2) - COLUMN($AW$1) + 1
   ),
"")</f>
        <v>46082</v>
      </c>
      <c r="BN2275" s="55" cm="1">
        <f t="array" ref="BN2275">IFERROR(INDEX($AW$1:$BH$1,1,MATCH(2,1/(AW2275:BH2275&lt;&gt;""))),"")</f>
        <v>46113</v>
      </c>
      <c r="BO2275" s="53">
        <f ca="1">IFERROR(_xlfn.XLOOKUP(F2275,Apuração!A:A,Apuração!C:C)/_xlfn.XLOOKUP(F2275,Apuração!A:A,Apuração!B:B),0)</f>
        <v>0.41666666666666669</v>
      </c>
      <c r="BP2275" s="53">
        <f ca="1">IFERROR(_xlfn.XLOOKUP(F2275,Apuração!A:A,Apuração!D:D)/_xlfn.XLOOKUP(F2275,Apuração!A:A,Apuração!B:B),0)</f>
        <v>0.33333333333333331</v>
      </c>
      <c r="BQ2275" s="53">
        <f ca="1">IF(BK2275&gt;=BO2275,0,_xlfn.XLOOKUP(F2275,Apuração!A:A,Apuração!B:B)*(BO2275 + (1/_xlfn.XLOOKUP(F2275,Apuração!A:A,Apuração!B:B)) - BK2275))</f>
        <v>0</v>
      </c>
      <c r="BR2275" s="85">
        <f ca="1">IF(BQ2275=0,0,BQ2275*Z2275)</f>
        <v>0</v>
      </c>
      <c r="BS2275" s="53">
        <f ca="1">IFERROR((_xlfn.XLOOKUP(F2275,Apuração!A:A,Apuração!C:C)+1)/_xlfn.XLOOKUP(F2275,Apuração!A:A,Apuração!B:B),0)</f>
        <v>0.5</v>
      </c>
    </row>
    <row r="2276" spans="1:71" ht="25.95" hidden="1" customHeight="1" x14ac:dyDescent="0.3">
      <c r="A2276" s="35" t="s">
        <v>44</v>
      </c>
      <c r="B2276" s="10" t="s">
        <v>44</v>
      </c>
      <c r="C2276" s="5" t="s">
        <v>216</v>
      </c>
      <c r="D2276" s="5" t="s">
        <v>217</v>
      </c>
      <c r="E2276" s="4" t="str" cm="1">
        <f t="array" ref="E2276">_xlfn.IFS(
F2276 = "A partir de Abril", "Aguardando Execução na Distribuidora",
A2276 = "CAPACITAÇÃO", "Em execução no Corporativo",
TRUE, "Em Execução na Distribuidora"
)</f>
        <v>Em Execução na Distribuidora</v>
      </c>
      <c r="F2276" s="4" t="str" cm="1">
        <f t="array" ref="F2276">_xlfn.IFS(
AG2276 &lt;&gt; "", "Jan-Dez/26",
AH2276 &lt;&gt; "", "Fev-Dez/26",
AI2276 &lt;&gt; "", "Mar-Dez/26", AJ2276 &lt;&gt; "", "Abr-Dez/26",
TRUE, "A partir de Junho"
)</f>
        <v>A partir de Junho</v>
      </c>
      <c r="G2276" s="10" t="s">
        <v>44</v>
      </c>
      <c r="H2276" s="36" t="s">
        <v>44</v>
      </c>
      <c r="I2276" s="37"/>
      <c r="J2276" s="37"/>
      <c r="K2276" s="37"/>
      <c r="L2276" s="37" t="s">
        <v>204</v>
      </c>
      <c r="M2276" s="37"/>
      <c r="N2276" s="5" t="s">
        <v>42</v>
      </c>
      <c r="O2276" s="5" t="s">
        <v>52</v>
      </c>
      <c r="P2276" s="10" t="s">
        <v>44</v>
      </c>
      <c r="Q2276" s="10" t="s">
        <v>44</v>
      </c>
      <c r="R2276" s="11" t="s">
        <v>44</v>
      </c>
      <c r="S2276" s="11" t="s">
        <v>44</v>
      </c>
      <c r="T2276" s="22"/>
      <c r="U2276" s="22"/>
      <c r="V2276" s="22"/>
      <c r="W2276" s="22"/>
      <c r="X2276" s="22"/>
      <c r="Y2276" s="22"/>
      <c r="Z2276" s="22"/>
      <c r="AA2276" s="22"/>
      <c r="AB2276" s="22"/>
      <c r="AC2276" s="22"/>
      <c r="AD2276" s="22"/>
      <c r="AE2276" s="22"/>
      <c r="AG2276" s="112"/>
      <c r="AH2276" s="112"/>
      <c r="AI2276" s="112"/>
      <c r="AJ2276" s="71"/>
      <c r="AK2276" s="71"/>
      <c r="AL2276" s="71"/>
      <c r="AM2276" s="71"/>
      <c r="AN2276" s="71"/>
      <c r="AO2276" s="71"/>
      <c r="AP2276" s="71"/>
      <c r="AQ2276" s="71"/>
      <c r="AR2276" s="71"/>
      <c r="AS2276" s="94"/>
      <c r="AT2276" s="95"/>
      <c r="AU2276" s="97"/>
      <c r="AW2276" s="84">
        <f t="shared" ref="AW2276:AW2279" si="2685">AG2276</f>
        <v>0</v>
      </c>
      <c r="AX2276" s="84">
        <f t="shared" ref="AX2276:AX2279" si="2686">AH2276</f>
        <v>0</v>
      </c>
      <c r="AY2276" s="84">
        <f t="shared" ref="AY2276:AY2279" si="2687">AI2276</f>
        <v>0</v>
      </c>
      <c r="AZ2276" s="84"/>
      <c r="BA2276" s="84"/>
      <c r="BB2276" s="84"/>
      <c r="BC2276" s="84"/>
      <c r="BD2276" s="84"/>
      <c r="BE2276" s="84"/>
      <c r="BF2276" s="84"/>
      <c r="BG2276" s="84"/>
      <c r="BH2276" s="84"/>
      <c r="BI2276" s="68" cm="1">
        <f t="array" ref="BI2276">IFERROR(INDEX(AW2276:BH2276,1,MATCH(2,1/(AW2276:BH2276&lt;&gt;""))),"")</f>
        <v>0</v>
      </c>
      <c r="BJ2276" s="68" cm="1">
        <f t="array" ref="BJ2276">IF(BM2276 = "", "",IFERROR(INDEX(AW2276:BH2276,1,MATCH(2,1/(AW2276:BH2276&lt;&gt;""),1)-1),""))</f>
        <v>0</v>
      </c>
      <c r="BK2276" s="57" cm="1">
        <f t="array" ref="BK2276">IFERROR(INDEX(AW2276:BH2276,1,MATCH(2,1/(AW2276:BH2276&lt;&gt;""),1)),"")</f>
        <v>0</v>
      </c>
      <c r="BL2276" s="57" cm="1">
        <f t="array" ref="BL2276">IF(BM2276 = "", "",IFERROR(INDEX(AW2276:BH2276,1,MATCH(2,1/(AW2276:BH2276&lt;&gt;""),1)-1),""))</f>
        <v>0</v>
      </c>
      <c r="BM2276" s="55" cm="1">
        <f t="array" ref="BM2276">IFERROR(
   INDEX($AW$1:$BH$1,
      _xlfn.AGGREGATE(14, 6, COLUMN($AW$1:$BH$1)/(AW2276:BH2276&lt;&gt;""), 2) - COLUMN($AW$1) + 1
   ),
"")</f>
        <v>46054</v>
      </c>
      <c r="BN2276" s="55" cm="1">
        <f t="array" ref="BN2276">IFERROR(INDEX($AW$1:$BH$1,1,MATCH(2,1/(AW2276:BH2276&lt;&gt;""))),"")</f>
        <v>46082</v>
      </c>
      <c r="BO2276" s="53">
        <f ca="1">IFERROR(_xlfn.XLOOKUP(F2276,Apuração!A:A,Apuração!C:C)/_xlfn.XLOOKUP(F2276,Apuração!A:A,Apuração!B:B),0)</f>
        <v>0</v>
      </c>
      <c r="BP2276" s="53">
        <f ca="1">IFERROR(_xlfn.XLOOKUP(F2276,Apuração!A:A,Apuração!D:D)/_xlfn.XLOOKUP(F2276,Apuração!A:A,Apuração!B:B),0)</f>
        <v>0</v>
      </c>
      <c r="BQ2276" s="53">
        <f ca="1">IF(BK2276&gt;=BO2276,0,_xlfn.XLOOKUP(F2276,Apuração!A:A,Apuração!B:B)*(BO2276 + (1/_xlfn.XLOOKUP(F2276,Apuração!A:A,Apuração!B:B)) - BK2276))</f>
        <v>0</v>
      </c>
      <c r="BR2276" s="85">
        <f t="shared" ref="BR2276:BR2279" ca="1" si="2688">IF(BQ2276=0,0,BQ2276*Z2276)</f>
        <v>0</v>
      </c>
      <c r="BS2276" s="53">
        <f ca="1">IFERROR((_xlfn.XLOOKUP(F2276,Apuração!A:A,Apuração!C:C)+1)/_xlfn.XLOOKUP(F2276,Apuração!A:A,Apuração!B:B),0)</f>
        <v>0.14285714285714285</v>
      </c>
    </row>
    <row r="2277" spans="1:71" ht="25.95" hidden="1" customHeight="1" x14ac:dyDescent="0.3">
      <c r="A2277" s="35" t="s">
        <v>44</v>
      </c>
      <c r="B2277" s="10" t="s">
        <v>44</v>
      </c>
      <c r="C2277" s="5" t="s">
        <v>216</v>
      </c>
      <c r="D2277" s="5" t="s">
        <v>103</v>
      </c>
      <c r="E2277" s="4" t="str" cm="1">
        <f t="array" ref="E2277">_xlfn.IFS(
F2277 = "A partir de Abril", "Aguardando Execução na Distribuidora",
A2277 = "CAPACITAÇÃO", "Em execução no Corporativo",
TRUE, "Em Execução na Distribuidora"
)</f>
        <v>Em Execução na Distribuidora</v>
      </c>
      <c r="F2277" s="4" t="str" cm="1">
        <f t="array" ref="F2277">_xlfn.IFS(
AG2277 &lt;&gt; "", "Jan-Dez/26",
AH2277 &lt;&gt; "", "Fev-Dez/26",
AI2277 &lt;&gt; "", "Mar-Dez/26", AJ2277 &lt;&gt; "", "Abr-Dez/26",
TRUE, "A partir de Junho"
)</f>
        <v>A partir de Junho</v>
      </c>
      <c r="G2277" s="10" t="s">
        <v>44</v>
      </c>
      <c r="H2277" s="36" t="s">
        <v>44</v>
      </c>
      <c r="I2277" s="37"/>
      <c r="J2277" s="37"/>
      <c r="K2277" s="37"/>
      <c r="L2277" s="37" t="s">
        <v>204</v>
      </c>
      <c r="M2277" s="37"/>
      <c r="N2277" s="5" t="s">
        <v>42</v>
      </c>
      <c r="O2277" s="5" t="s">
        <v>52</v>
      </c>
      <c r="P2277" s="10" t="s">
        <v>44</v>
      </c>
      <c r="Q2277" s="10" t="s">
        <v>44</v>
      </c>
      <c r="R2277" s="11" t="s">
        <v>44</v>
      </c>
      <c r="S2277" s="11" t="s">
        <v>44</v>
      </c>
      <c r="T2277" s="22"/>
      <c r="U2277" s="22"/>
      <c r="V2277" s="22"/>
      <c r="W2277" s="22"/>
      <c r="X2277" s="22"/>
      <c r="Y2277" s="22"/>
      <c r="Z2277" s="22"/>
      <c r="AA2277" s="22"/>
      <c r="AB2277" s="22"/>
      <c r="AC2277" s="22"/>
      <c r="AD2277" s="22"/>
      <c r="AE2277" s="22"/>
      <c r="AG2277" s="112"/>
      <c r="AH2277" s="112"/>
      <c r="AI2277" s="112"/>
      <c r="AJ2277" s="71"/>
      <c r="AK2277" s="71"/>
      <c r="AL2277" s="71"/>
      <c r="AM2277" s="71"/>
      <c r="AN2277" s="71"/>
      <c r="AO2277" s="71"/>
      <c r="AP2277" s="71"/>
      <c r="AQ2277" s="71"/>
      <c r="AR2277" s="71"/>
      <c r="AS2277" s="94"/>
      <c r="AT2277" s="95"/>
      <c r="AU2277" s="97"/>
      <c r="AW2277" s="84">
        <f t="shared" si="2685"/>
        <v>0</v>
      </c>
      <c r="AX2277" s="84">
        <f t="shared" si="2686"/>
        <v>0</v>
      </c>
      <c r="AY2277" s="84">
        <f t="shared" si="2687"/>
        <v>0</v>
      </c>
      <c r="AZ2277" s="84"/>
      <c r="BA2277" s="84"/>
      <c r="BB2277" s="84"/>
      <c r="BC2277" s="84"/>
      <c r="BD2277" s="84"/>
      <c r="BE2277" s="84"/>
      <c r="BF2277" s="84"/>
      <c r="BG2277" s="84"/>
      <c r="BH2277" s="84"/>
      <c r="BI2277" s="68" cm="1">
        <f t="array" ref="BI2277">IFERROR(INDEX(AW2277:BH2277,1,MATCH(2,1/(AW2277:BH2277&lt;&gt;""))),"")</f>
        <v>0</v>
      </c>
      <c r="BJ2277" s="68" cm="1">
        <f t="array" ref="BJ2277">IF(BM2277 = "", "",IFERROR(INDEX(AW2277:BH2277,1,MATCH(2,1/(AW2277:BH2277&lt;&gt;""),1)-1),""))</f>
        <v>0</v>
      </c>
      <c r="BK2277" s="57" cm="1">
        <f t="array" ref="BK2277">IFERROR(INDEX(AW2277:BH2277,1,MATCH(2,1/(AW2277:BH2277&lt;&gt;""),1)),"")</f>
        <v>0</v>
      </c>
      <c r="BL2277" s="57" cm="1">
        <f t="array" ref="BL2277">IF(BM2277 = "", "",IFERROR(INDEX(AW2277:BH2277,1,MATCH(2,1/(AW2277:BH2277&lt;&gt;""),1)-1),""))</f>
        <v>0</v>
      </c>
      <c r="BM2277" s="55" cm="1">
        <f t="array" ref="BM2277">IFERROR(
   INDEX($AW$1:$BH$1,
      _xlfn.AGGREGATE(14, 6, COLUMN($AW$1:$BH$1)/(AW2277:BH2277&lt;&gt;""), 2) - COLUMN($AW$1) + 1
   ),
"")</f>
        <v>46054</v>
      </c>
      <c r="BN2277" s="55" cm="1">
        <f t="array" ref="BN2277">IFERROR(INDEX($AW$1:$BH$1,1,MATCH(2,1/(AW2277:BH2277&lt;&gt;""))),"")</f>
        <v>46082</v>
      </c>
      <c r="BO2277" s="53">
        <f ca="1">IFERROR(_xlfn.XLOOKUP(F2277,Apuração!A:A,Apuração!C:C)/_xlfn.XLOOKUP(F2277,Apuração!A:A,Apuração!B:B),0)</f>
        <v>0</v>
      </c>
      <c r="BP2277" s="53">
        <f ca="1">IFERROR(_xlfn.XLOOKUP(F2277,Apuração!A:A,Apuração!D:D)/_xlfn.XLOOKUP(F2277,Apuração!A:A,Apuração!B:B),0)</f>
        <v>0</v>
      </c>
      <c r="BQ2277" s="53">
        <f ca="1">IF(BK2277&gt;=BO2277,0,_xlfn.XLOOKUP(F2277,Apuração!A:A,Apuração!B:B)*(BO2277 + (1/_xlfn.XLOOKUP(F2277,Apuração!A:A,Apuração!B:B)) - BK2277))</f>
        <v>0</v>
      </c>
      <c r="BR2277" s="85">
        <f t="shared" ca="1" si="2688"/>
        <v>0</v>
      </c>
      <c r="BS2277" s="53">
        <f ca="1">IFERROR((_xlfn.XLOOKUP(F2277,Apuração!A:A,Apuração!C:C)+1)/_xlfn.XLOOKUP(F2277,Apuração!A:A,Apuração!B:B),0)</f>
        <v>0.14285714285714285</v>
      </c>
    </row>
    <row r="2278" spans="1:71" ht="25.95" hidden="1" customHeight="1" x14ac:dyDescent="0.3">
      <c r="A2278" s="35" t="s">
        <v>44</v>
      </c>
      <c r="B2278" s="10" t="s">
        <v>44</v>
      </c>
      <c r="C2278" s="5" t="s">
        <v>216</v>
      </c>
      <c r="D2278" s="5" t="s">
        <v>218</v>
      </c>
      <c r="E2278" s="4" t="str" cm="1">
        <f t="array" ref="E2278">_xlfn.IFS(
F2278 = "A partir de Abril", "Aguardando Execução na Distribuidora",
A2278 = "CAPACITAÇÃO", "Em execução no Corporativo",
TRUE, "Em Execução na Distribuidora"
)</f>
        <v>Em Execução na Distribuidora</v>
      </c>
      <c r="F2278" s="4" t="str" cm="1">
        <f t="array" ref="F2278">_xlfn.IFS(
AG2278 &lt;&gt; "", "Jan-Dez/26",
AH2278 &lt;&gt; "", "Fev-Dez/26",
AI2278 &lt;&gt; "", "Mar-Dez/26", AJ2278 &lt;&gt; "", "Abr-Dez/26",
TRUE, "A partir de Junho"
)</f>
        <v>A partir de Junho</v>
      </c>
      <c r="G2278" s="10" t="s">
        <v>44</v>
      </c>
      <c r="H2278" s="36" t="s">
        <v>44</v>
      </c>
      <c r="I2278" s="37"/>
      <c r="J2278" s="37"/>
      <c r="K2278" s="37"/>
      <c r="L2278" s="37" t="s">
        <v>204</v>
      </c>
      <c r="M2278" s="37"/>
      <c r="N2278" s="5" t="s">
        <v>42</v>
      </c>
      <c r="O2278" s="5" t="s">
        <v>52</v>
      </c>
      <c r="P2278" s="10" t="s">
        <v>44</v>
      </c>
      <c r="Q2278" s="10" t="s">
        <v>44</v>
      </c>
      <c r="R2278" s="11" t="s">
        <v>44</v>
      </c>
      <c r="S2278" s="11" t="s">
        <v>44</v>
      </c>
      <c r="T2278" s="22"/>
      <c r="U2278" s="22"/>
      <c r="V2278" s="22"/>
      <c r="W2278" s="22"/>
      <c r="X2278" s="22"/>
      <c r="Y2278" s="22"/>
      <c r="Z2278" s="22"/>
      <c r="AA2278" s="22"/>
      <c r="AB2278" s="22"/>
      <c r="AC2278" s="22"/>
      <c r="AD2278" s="22"/>
      <c r="AE2278" s="22"/>
      <c r="AG2278" s="112"/>
      <c r="AH2278" s="112"/>
      <c r="AI2278" s="112"/>
      <c r="AJ2278" s="71"/>
      <c r="AK2278" s="71"/>
      <c r="AL2278" s="71"/>
      <c r="AM2278" s="71"/>
      <c r="AN2278" s="71"/>
      <c r="AO2278" s="71"/>
      <c r="AP2278" s="71"/>
      <c r="AQ2278" s="71"/>
      <c r="AR2278" s="71"/>
      <c r="AS2278" s="94"/>
      <c r="AT2278" s="95"/>
      <c r="AU2278" s="97"/>
      <c r="AW2278" s="84">
        <f t="shared" si="2685"/>
        <v>0</v>
      </c>
      <c r="AX2278" s="84">
        <f t="shared" si="2686"/>
        <v>0</v>
      </c>
      <c r="AY2278" s="84">
        <f t="shared" si="2687"/>
        <v>0</v>
      </c>
      <c r="AZ2278" s="84"/>
      <c r="BA2278" s="84"/>
      <c r="BB2278" s="84"/>
      <c r="BC2278" s="84"/>
      <c r="BD2278" s="84"/>
      <c r="BE2278" s="84"/>
      <c r="BF2278" s="84"/>
      <c r="BG2278" s="84"/>
      <c r="BH2278" s="84"/>
      <c r="BI2278" s="68" cm="1">
        <f t="array" ref="BI2278">IFERROR(INDEX(AW2278:BH2278,1,MATCH(2,1/(AW2278:BH2278&lt;&gt;""))),"")</f>
        <v>0</v>
      </c>
      <c r="BJ2278" s="68" cm="1">
        <f t="array" ref="BJ2278">IF(BM2278 = "", "",IFERROR(INDEX(AW2278:BH2278,1,MATCH(2,1/(AW2278:BH2278&lt;&gt;""),1)-1),""))</f>
        <v>0</v>
      </c>
      <c r="BK2278" s="57" cm="1">
        <f t="array" ref="BK2278">IFERROR(INDEX(AW2278:BH2278,1,MATCH(2,1/(AW2278:BH2278&lt;&gt;""),1)),"")</f>
        <v>0</v>
      </c>
      <c r="BL2278" s="57" cm="1">
        <f t="array" ref="BL2278">IF(BM2278 = "", "",IFERROR(INDEX(AW2278:BH2278,1,MATCH(2,1/(AW2278:BH2278&lt;&gt;""),1)-1),""))</f>
        <v>0</v>
      </c>
      <c r="BM2278" s="55" cm="1">
        <f t="array" ref="BM2278">IFERROR(
   INDEX($AW$1:$BH$1,
      _xlfn.AGGREGATE(14, 6, COLUMN($AW$1:$BH$1)/(AW2278:BH2278&lt;&gt;""), 2) - COLUMN($AW$1) + 1
   ),
"")</f>
        <v>46054</v>
      </c>
      <c r="BN2278" s="55" cm="1">
        <f t="array" ref="BN2278">IFERROR(INDEX($AW$1:$BH$1,1,MATCH(2,1/(AW2278:BH2278&lt;&gt;""))),"")</f>
        <v>46082</v>
      </c>
      <c r="BO2278" s="53">
        <f ca="1">IFERROR(_xlfn.XLOOKUP(F2278,Apuração!A:A,Apuração!C:C)/_xlfn.XLOOKUP(F2278,Apuração!A:A,Apuração!B:B),0)</f>
        <v>0</v>
      </c>
      <c r="BP2278" s="53">
        <f ca="1">IFERROR(_xlfn.XLOOKUP(F2278,Apuração!A:A,Apuração!D:D)/_xlfn.XLOOKUP(F2278,Apuração!A:A,Apuração!B:B),0)</f>
        <v>0</v>
      </c>
      <c r="BQ2278" s="53">
        <f ca="1">IF(BK2278&gt;=BO2278,0,_xlfn.XLOOKUP(F2278,Apuração!A:A,Apuração!B:B)*(BO2278 + (1/_xlfn.XLOOKUP(F2278,Apuração!A:A,Apuração!B:B)) - BK2278))</f>
        <v>0</v>
      </c>
      <c r="BR2278" s="85">
        <f t="shared" ca="1" si="2688"/>
        <v>0</v>
      </c>
      <c r="BS2278" s="53">
        <f ca="1">IFERROR((_xlfn.XLOOKUP(F2278,Apuração!A:A,Apuração!C:C)+1)/_xlfn.XLOOKUP(F2278,Apuração!A:A,Apuração!B:B),0)</f>
        <v>0.14285714285714285</v>
      </c>
    </row>
    <row r="2279" spans="1:71" ht="25.95" hidden="1" customHeight="1" x14ac:dyDescent="0.3">
      <c r="A2279" s="35" t="s">
        <v>44</v>
      </c>
      <c r="B2279" s="10" t="s">
        <v>44</v>
      </c>
      <c r="C2279" s="5" t="s">
        <v>216</v>
      </c>
      <c r="D2279" s="5" t="s">
        <v>219</v>
      </c>
      <c r="E2279" s="4" t="str" cm="1">
        <f t="array" ref="E2279">_xlfn.IFS(
F2279 = "A partir de Abril", "Aguardando Execução na Distribuidora",
A2279 = "CAPACITAÇÃO", "Em execução no Corporativo",
TRUE, "Em Execução na Distribuidora"
)</f>
        <v>Em Execução na Distribuidora</v>
      </c>
      <c r="F2279" s="4" t="str" cm="1">
        <f t="array" ref="F2279">_xlfn.IFS(
AG2279 &lt;&gt; "", "Jan-Dez/26",
AH2279 &lt;&gt; "", "Fev-Dez/26",
AI2279 &lt;&gt; "", "Mar-Dez/26", AJ2279 &lt;&gt; "", "Abr-Dez/26",
TRUE, "A partir de Junho"
)</f>
        <v>A partir de Junho</v>
      </c>
      <c r="G2279" s="10" t="s">
        <v>44</v>
      </c>
      <c r="H2279" s="36" t="s">
        <v>44</v>
      </c>
      <c r="I2279" s="37"/>
      <c r="J2279" s="37"/>
      <c r="K2279" s="37"/>
      <c r="L2279" s="37" t="s">
        <v>204</v>
      </c>
      <c r="M2279" s="37"/>
      <c r="N2279" s="5" t="s">
        <v>42</v>
      </c>
      <c r="O2279" s="5" t="s">
        <v>52</v>
      </c>
      <c r="P2279" s="10" t="s">
        <v>44</v>
      </c>
      <c r="Q2279" s="10" t="s">
        <v>44</v>
      </c>
      <c r="R2279" s="11" t="s">
        <v>44</v>
      </c>
      <c r="S2279" s="11" t="s">
        <v>44</v>
      </c>
      <c r="T2279" s="22"/>
      <c r="U2279" s="22"/>
      <c r="V2279" s="22"/>
      <c r="W2279" s="22"/>
      <c r="X2279" s="22"/>
      <c r="Y2279" s="22"/>
      <c r="Z2279" s="22"/>
      <c r="AA2279" s="22"/>
      <c r="AB2279" s="22"/>
      <c r="AC2279" s="22"/>
      <c r="AD2279" s="22"/>
      <c r="AE2279" s="22"/>
      <c r="AG2279" s="112"/>
      <c r="AH2279" s="112"/>
      <c r="AI2279" s="112"/>
      <c r="AJ2279" s="71"/>
      <c r="AK2279" s="71"/>
      <c r="AL2279" s="71"/>
      <c r="AM2279" s="71"/>
      <c r="AN2279" s="71"/>
      <c r="AO2279" s="71"/>
      <c r="AP2279" s="71"/>
      <c r="AQ2279" s="71"/>
      <c r="AR2279" s="71"/>
      <c r="AS2279" s="94"/>
      <c r="AT2279" s="95"/>
      <c r="AU2279" s="97"/>
      <c r="AW2279" s="84">
        <f t="shared" si="2685"/>
        <v>0</v>
      </c>
      <c r="AX2279" s="84">
        <f t="shared" si="2686"/>
        <v>0</v>
      </c>
      <c r="AY2279" s="84">
        <f t="shared" si="2687"/>
        <v>0</v>
      </c>
      <c r="AZ2279" s="84"/>
      <c r="BA2279" s="84"/>
      <c r="BB2279" s="84"/>
      <c r="BC2279" s="84"/>
      <c r="BD2279" s="84"/>
      <c r="BE2279" s="84"/>
      <c r="BF2279" s="84"/>
      <c r="BG2279" s="84"/>
      <c r="BH2279" s="84"/>
      <c r="BI2279" s="68" cm="1">
        <f t="array" ref="BI2279">IFERROR(INDEX(AW2279:BH2279,1,MATCH(2,1/(AW2279:BH2279&lt;&gt;""))),"")</f>
        <v>0</v>
      </c>
      <c r="BJ2279" s="68" cm="1">
        <f t="array" ref="BJ2279">IF(BM2279 = "", "",IFERROR(INDEX(AW2279:BH2279,1,MATCH(2,1/(AW2279:BH2279&lt;&gt;""),1)-1),""))</f>
        <v>0</v>
      </c>
      <c r="BK2279" s="57" cm="1">
        <f t="array" ref="BK2279">IFERROR(INDEX(AW2279:BH2279,1,MATCH(2,1/(AW2279:BH2279&lt;&gt;""),1)),"")</f>
        <v>0</v>
      </c>
      <c r="BL2279" s="57" cm="1">
        <f t="array" ref="BL2279">IF(BM2279 = "", "",IFERROR(INDEX(AW2279:BH2279,1,MATCH(2,1/(AW2279:BH2279&lt;&gt;""),1)-1),""))</f>
        <v>0</v>
      </c>
      <c r="BM2279" s="55" cm="1">
        <f t="array" ref="BM2279">IFERROR(
   INDEX($AW$1:$BH$1,
      _xlfn.AGGREGATE(14, 6, COLUMN($AW$1:$BH$1)/(AW2279:BH2279&lt;&gt;""), 2) - COLUMN($AW$1) + 1
   ),
"")</f>
        <v>46054</v>
      </c>
      <c r="BN2279" s="55" cm="1">
        <f t="array" ref="BN2279">IFERROR(INDEX($AW$1:$BH$1,1,MATCH(2,1/(AW2279:BH2279&lt;&gt;""))),"")</f>
        <v>46082</v>
      </c>
      <c r="BO2279" s="53">
        <f ca="1">IFERROR(_xlfn.XLOOKUP(F2279,Apuração!A:A,Apuração!C:C)/_xlfn.XLOOKUP(F2279,Apuração!A:A,Apuração!B:B),0)</f>
        <v>0</v>
      </c>
      <c r="BP2279" s="53">
        <f ca="1">IFERROR(_xlfn.XLOOKUP(F2279,Apuração!A:A,Apuração!D:D)/_xlfn.XLOOKUP(F2279,Apuração!A:A,Apuração!B:B),0)</f>
        <v>0</v>
      </c>
      <c r="BQ2279" s="53">
        <f ca="1">IF(BK2279&gt;=BO2279,0,_xlfn.XLOOKUP(F2279,Apuração!A:A,Apuração!B:B)*(BO2279 + (1/_xlfn.XLOOKUP(F2279,Apuração!A:A,Apuração!B:B)) - BK2279))</f>
        <v>0</v>
      </c>
      <c r="BR2279" s="85">
        <f t="shared" ca="1" si="2688"/>
        <v>0</v>
      </c>
      <c r="BS2279" s="53">
        <f ca="1">IFERROR((_xlfn.XLOOKUP(F2279,Apuração!A:A,Apuração!C:C)+1)/_xlfn.XLOOKUP(F2279,Apuração!A:A,Apuração!B:B),0)</f>
        <v>0.14285714285714285</v>
      </c>
    </row>
    <row r="2280" spans="1:71" ht="25.95" hidden="1" customHeight="1" x14ac:dyDescent="0.3">
      <c r="A2280" s="35" t="s">
        <v>44</v>
      </c>
      <c r="B2280" s="10" t="s">
        <v>44</v>
      </c>
      <c r="C2280" s="5" t="s">
        <v>216</v>
      </c>
      <c r="D2280" s="5" t="s">
        <v>36</v>
      </c>
      <c r="E2280" s="4" t="str" cm="1">
        <f t="array" ref="E2280">_xlfn.IFS(
F2280 = "A partir de Abril", "Aguardando Execução na Distribuidora",
A2280 = "CAPACITAÇÃO", "Em execução no Corporativo",
TRUE, "Em Execução na Distribuidora"
)</f>
        <v>Em Execução na Distribuidora</v>
      </c>
      <c r="F2280" s="4" t="str" cm="1">
        <f t="array" ref="F2280">_xlfn.IFS(
AG2280 &lt;&gt; "", "Jan-Dez/26",
AH2280 &lt;&gt; "", "Fev-Dez/26",
AI2280 &lt;&gt; "", "Mar-Dez/26", AJ2280 &lt;&gt; "", "Abr-Dez/26",
TRUE, "A partir de Junho"
)</f>
        <v>Jan-Dez/26</v>
      </c>
      <c r="G2280" s="10" t="s">
        <v>44</v>
      </c>
      <c r="H2280" s="36" t="s">
        <v>44</v>
      </c>
      <c r="I2280" s="37"/>
      <c r="J2280" s="37"/>
      <c r="K2280" s="37"/>
      <c r="L2280" s="37" t="s">
        <v>206</v>
      </c>
      <c r="M2280" s="37"/>
      <c r="N2280" s="5" t="s">
        <v>42</v>
      </c>
      <c r="O2280" s="5" t="s">
        <v>52</v>
      </c>
      <c r="P2280" s="10" t="s">
        <v>44</v>
      </c>
      <c r="Q2280" s="10" t="s">
        <v>44</v>
      </c>
      <c r="R2280" s="11" t="s">
        <v>44</v>
      </c>
      <c r="S2280" s="11" t="s">
        <v>44</v>
      </c>
      <c r="T2280" s="22"/>
      <c r="U2280" s="22"/>
      <c r="V2280" s="22"/>
      <c r="W2280" s="22"/>
      <c r="X2280" s="22"/>
      <c r="Y2280" s="22"/>
      <c r="Z2280" s="22"/>
      <c r="AA2280" s="22"/>
      <c r="AB2280" s="22"/>
      <c r="AC2280" s="22"/>
      <c r="AD2280" s="22"/>
      <c r="AE2280" s="22"/>
      <c r="AG2280" s="112">
        <v>4.1728389910075316</v>
      </c>
      <c r="AH2280" s="112">
        <v>2.5448465584767566</v>
      </c>
      <c r="AI2280" s="112">
        <v>3.5567724108277639</v>
      </c>
      <c r="AJ2280" s="112">
        <v>3.88</v>
      </c>
      <c r="AK2280" s="112"/>
      <c r="AL2280" s="112"/>
      <c r="AM2280" s="112"/>
      <c r="AN2280" s="112"/>
      <c r="AO2280" s="112"/>
      <c r="AP2280" s="112"/>
      <c r="AQ2280" s="112"/>
      <c r="AR2280" s="112"/>
      <c r="AS2280" s="94"/>
      <c r="AT2280" s="95"/>
      <c r="AU2280" s="97"/>
      <c r="AW2280" s="84">
        <f>AG2280</f>
        <v>4.1728389910075316</v>
      </c>
      <c r="AX2280" s="84">
        <f>AH2280</f>
        <v>2.5448465584767566</v>
      </c>
      <c r="AY2280" s="84">
        <f>AI2280</f>
        <v>3.5567724108277639</v>
      </c>
      <c r="AZ2280" s="84">
        <f>AJ2280</f>
        <v>3.88</v>
      </c>
      <c r="BA2280" s="84"/>
      <c r="BB2280" s="84"/>
      <c r="BC2280" s="84"/>
      <c r="BD2280" s="84"/>
      <c r="BE2280" s="84"/>
      <c r="BF2280" s="84"/>
      <c r="BG2280" s="84"/>
      <c r="BH2280" s="84"/>
      <c r="BI2280" s="68" cm="1">
        <f t="array" ref="BI2280">IFERROR(INDEX(AW2280:BH2280,1,MATCH(2,1/(AW2280:BH2280&lt;&gt;""))),"")</f>
        <v>3.88</v>
      </c>
      <c r="BJ2280" s="68" cm="1">
        <f t="array" ref="BJ2280">IF(BM2280 = "", "",IFERROR(INDEX(AW2280:BH2280,1,MATCH(2,1/(AW2280:BH2280&lt;&gt;""),1)-1),""))</f>
        <v>3.5567724108277639</v>
      </c>
      <c r="BK2280" s="57" cm="1">
        <f t="array" ref="BK2280">IFERROR(INDEX(AW2280:BH2280,1,MATCH(2,1/(AW2280:BH2280&lt;&gt;""),1)),"")</f>
        <v>3.88</v>
      </c>
      <c r="BL2280" s="57" cm="1">
        <f t="array" ref="BL2280">IF(BM2280 = "", "",IFERROR(INDEX(AW2280:BH2280,1,MATCH(2,1/(AW2280:BH2280&lt;&gt;""),1)-1),""))</f>
        <v>3.5567724108277639</v>
      </c>
      <c r="BM2280" s="55" cm="1">
        <f t="array" ref="BM2280">IFERROR(
   INDEX($AW$1:$BH$1,
      _xlfn.AGGREGATE(14, 6, COLUMN($AW$1:$BH$1)/(AW2280:BH2280&lt;&gt;""), 2) - COLUMN($AW$1) + 1
   ),
"")</f>
        <v>46082</v>
      </c>
      <c r="BN2280" s="55" cm="1">
        <f t="array" ref="BN2280">IFERROR(INDEX($AW$1:$BH$1,1,MATCH(2,1/(AW2280:BH2280&lt;&gt;""))),"")</f>
        <v>46113</v>
      </c>
      <c r="BO2280" s="53">
        <f ca="1">IFERROR(_xlfn.XLOOKUP(F2280,Apuração!A:A,Apuração!C:C)/_xlfn.XLOOKUP(F2280,Apuração!A:A,Apuração!B:B),0)</f>
        <v>0.41666666666666669</v>
      </c>
      <c r="BP2280" s="53">
        <f ca="1">IFERROR(_xlfn.XLOOKUP(F2280,Apuração!A:A,Apuração!D:D)/_xlfn.XLOOKUP(F2280,Apuração!A:A,Apuração!B:B),0)</f>
        <v>0.33333333333333331</v>
      </c>
      <c r="BQ2280" s="53">
        <f ca="1">IF(BK2280&gt;=BO2280,0,_xlfn.XLOOKUP(F2280,Apuração!A:A,Apuração!B:B)*(BO2280 + (1/_xlfn.XLOOKUP(F2280,Apuração!A:A,Apuração!B:B)) - BK2280))</f>
        <v>0</v>
      </c>
      <c r="BR2280" s="85">
        <f ca="1">IF(BQ2280=0,0,BQ2280*Z2280)</f>
        <v>0</v>
      </c>
      <c r="BS2280" s="53">
        <f ca="1">IFERROR((_xlfn.XLOOKUP(F2280,Apuração!A:A,Apuração!C:C)+1)/_xlfn.XLOOKUP(F2280,Apuração!A:A,Apuração!B:B),0)</f>
        <v>0.5</v>
      </c>
    </row>
    <row r="2281" spans="1:71" ht="25.95" hidden="1" customHeight="1" x14ac:dyDescent="0.3">
      <c r="A2281" s="35" t="s">
        <v>44</v>
      </c>
      <c r="B2281" s="10" t="s">
        <v>44</v>
      </c>
      <c r="C2281" s="5" t="s">
        <v>216</v>
      </c>
      <c r="D2281" s="5" t="s">
        <v>217</v>
      </c>
      <c r="E2281" s="4" t="str" cm="1">
        <f t="array" ref="E2281">_xlfn.IFS(
F2281 = "A partir de Abril", "Aguardando Execução na Distribuidora",
A2281 = "CAPACITAÇÃO", "Em execução no Corporativo",
TRUE, "Em Execução na Distribuidora"
)</f>
        <v>Em Execução na Distribuidora</v>
      </c>
      <c r="F2281" s="4" t="str" cm="1">
        <f t="array" ref="F2281">_xlfn.IFS(
AG2281 &lt;&gt; "", "Jan-Dez/26",
AH2281 &lt;&gt; "", "Fev-Dez/26",
AI2281 &lt;&gt; "", "Mar-Dez/26", AJ2281 &lt;&gt; "", "Abr-Dez/26",
TRUE, "A partir de Junho"
)</f>
        <v>A partir de Junho</v>
      </c>
      <c r="G2281" s="10" t="s">
        <v>44</v>
      </c>
      <c r="H2281" s="36" t="s">
        <v>44</v>
      </c>
      <c r="I2281" s="37"/>
      <c r="J2281" s="37"/>
      <c r="K2281" s="37"/>
      <c r="L2281" s="37" t="s">
        <v>206</v>
      </c>
      <c r="M2281" s="37"/>
      <c r="N2281" s="5" t="s">
        <v>42</v>
      </c>
      <c r="O2281" s="5" t="s">
        <v>52</v>
      </c>
      <c r="P2281" s="10" t="s">
        <v>44</v>
      </c>
      <c r="Q2281" s="10" t="s">
        <v>44</v>
      </c>
      <c r="R2281" s="11" t="s">
        <v>44</v>
      </c>
      <c r="S2281" s="11" t="s">
        <v>44</v>
      </c>
      <c r="T2281" s="22"/>
      <c r="U2281" s="22"/>
      <c r="V2281" s="22"/>
      <c r="W2281" s="22"/>
      <c r="X2281" s="22"/>
      <c r="Y2281" s="22"/>
      <c r="Z2281" s="22"/>
      <c r="AA2281" s="22"/>
      <c r="AB2281" s="22"/>
      <c r="AC2281" s="22"/>
      <c r="AD2281" s="22"/>
      <c r="AE2281" s="22"/>
      <c r="AG2281" s="112"/>
      <c r="AH2281" s="112"/>
      <c r="AI2281" s="112"/>
      <c r="AJ2281" s="71"/>
      <c r="AK2281" s="71"/>
      <c r="AL2281" s="71"/>
      <c r="AM2281" s="71"/>
      <c r="AN2281" s="71"/>
      <c r="AO2281" s="71"/>
      <c r="AP2281" s="71"/>
      <c r="AQ2281" s="71"/>
      <c r="AR2281" s="71"/>
      <c r="AS2281" s="94"/>
      <c r="AT2281" s="95"/>
      <c r="AU2281" s="97"/>
      <c r="AW2281" s="84">
        <f t="shared" ref="AW2281:AW2284" si="2689">AG2281</f>
        <v>0</v>
      </c>
      <c r="AX2281" s="84">
        <f t="shared" ref="AX2281:AX2285" si="2690">AH2281</f>
        <v>0</v>
      </c>
      <c r="AY2281" s="84">
        <f t="shared" ref="AY2281:AY2285" si="2691">AI2281</f>
        <v>0</v>
      </c>
      <c r="AZ2281" s="84"/>
      <c r="BA2281" s="84"/>
      <c r="BB2281" s="84"/>
      <c r="BC2281" s="84"/>
      <c r="BD2281" s="84"/>
      <c r="BE2281" s="84"/>
      <c r="BF2281" s="84"/>
      <c r="BG2281" s="84"/>
      <c r="BH2281" s="84"/>
      <c r="BI2281" s="68" cm="1">
        <f t="array" ref="BI2281">IFERROR(INDEX(AW2281:BH2281,1,MATCH(2,1/(AW2281:BH2281&lt;&gt;""))),"")</f>
        <v>0</v>
      </c>
      <c r="BJ2281" s="68" cm="1">
        <f t="array" ref="BJ2281">IF(BM2281 = "", "",IFERROR(INDEX(AW2281:BH2281,1,MATCH(2,1/(AW2281:BH2281&lt;&gt;""),1)-1),""))</f>
        <v>0</v>
      </c>
      <c r="BK2281" s="57" cm="1">
        <f t="array" ref="BK2281">IFERROR(INDEX(AW2281:BH2281,1,MATCH(2,1/(AW2281:BH2281&lt;&gt;""),1)),"")</f>
        <v>0</v>
      </c>
      <c r="BL2281" s="57" cm="1">
        <f t="array" ref="BL2281">IF(BM2281 = "", "",IFERROR(INDEX(AW2281:BH2281,1,MATCH(2,1/(AW2281:BH2281&lt;&gt;""),1)-1),""))</f>
        <v>0</v>
      </c>
      <c r="BM2281" s="55" cm="1">
        <f t="array" ref="BM2281">IFERROR(
   INDEX($AW$1:$BH$1,
      _xlfn.AGGREGATE(14, 6, COLUMN($AW$1:$BH$1)/(AW2281:BH2281&lt;&gt;""), 2) - COLUMN($AW$1) + 1
   ),
"")</f>
        <v>46054</v>
      </c>
      <c r="BN2281" s="55" cm="1">
        <f t="array" ref="BN2281">IFERROR(INDEX($AW$1:$BH$1,1,MATCH(2,1/(AW2281:BH2281&lt;&gt;""))),"")</f>
        <v>46082</v>
      </c>
      <c r="BO2281" s="53">
        <f ca="1">IFERROR(_xlfn.XLOOKUP(F2281,Apuração!A:A,Apuração!C:C)/_xlfn.XLOOKUP(F2281,Apuração!A:A,Apuração!B:B),0)</f>
        <v>0</v>
      </c>
      <c r="BP2281" s="53">
        <f ca="1">IFERROR(_xlfn.XLOOKUP(F2281,Apuração!A:A,Apuração!D:D)/_xlfn.XLOOKUP(F2281,Apuração!A:A,Apuração!B:B),0)</f>
        <v>0</v>
      </c>
      <c r="BQ2281" s="53">
        <f ca="1">IF(BK2281&gt;=BO2281,0,_xlfn.XLOOKUP(F2281,Apuração!A:A,Apuração!B:B)*(BO2281 + (1/_xlfn.XLOOKUP(F2281,Apuração!A:A,Apuração!B:B)) - BK2281))</f>
        <v>0</v>
      </c>
      <c r="BR2281" s="85">
        <f t="shared" ref="BR2281:BR2284" ca="1" si="2692">IF(BQ2281=0,0,BQ2281*Z2281)</f>
        <v>0</v>
      </c>
      <c r="BS2281" s="53">
        <f ca="1">IFERROR((_xlfn.XLOOKUP(F2281,Apuração!A:A,Apuração!C:C)+1)/_xlfn.XLOOKUP(F2281,Apuração!A:A,Apuração!B:B),0)</f>
        <v>0.14285714285714285</v>
      </c>
    </row>
    <row r="2282" spans="1:71" ht="25.95" hidden="1" customHeight="1" x14ac:dyDescent="0.3">
      <c r="A2282" s="35" t="s">
        <v>44</v>
      </c>
      <c r="B2282" s="10" t="s">
        <v>44</v>
      </c>
      <c r="C2282" s="5" t="s">
        <v>216</v>
      </c>
      <c r="D2282" s="5" t="s">
        <v>103</v>
      </c>
      <c r="E2282" s="4" t="str" cm="1">
        <f t="array" ref="E2282">_xlfn.IFS(
F2282 = "A partir de Abril", "Aguardando Execução na Distribuidora",
A2282 = "CAPACITAÇÃO", "Em execução no Corporativo",
TRUE, "Em Execução na Distribuidora"
)</f>
        <v>Em Execução na Distribuidora</v>
      </c>
      <c r="F2282" s="4" t="str" cm="1">
        <f t="array" ref="F2282">_xlfn.IFS(
AG2282 &lt;&gt; "", "Jan-Dez/26",
AH2282 &lt;&gt; "", "Fev-Dez/26",
AI2282 &lt;&gt; "", "Mar-Dez/26", AJ2282 &lt;&gt; "", "Abr-Dez/26",
TRUE, "A partir de Junho"
)</f>
        <v>A partir de Junho</v>
      </c>
      <c r="G2282" s="10" t="s">
        <v>44</v>
      </c>
      <c r="H2282" s="36" t="s">
        <v>44</v>
      </c>
      <c r="I2282" s="37"/>
      <c r="J2282" s="37"/>
      <c r="K2282" s="37"/>
      <c r="L2282" s="37" t="s">
        <v>206</v>
      </c>
      <c r="M2282" s="37"/>
      <c r="N2282" s="5" t="s">
        <v>42</v>
      </c>
      <c r="O2282" s="5" t="s">
        <v>52</v>
      </c>
      <c r="P2282" s="10" t="s">
        <v>44</v>
      </c>
      <c r="Q2282" s="10" t="s">
        <v>44</v>
      </c>
      <c r="R2282" s="11" t="s">
        <v>44</v>
      </c>
      <c r="S2282" s="11" t="s">
        <v>44</v>
      </c>
      <c r="T2282" s="22"/>
      <c r="U2282" s="22"/>
      <c r="V2282" s="22"/>
      <c r="W2282" s="22"/>
      <c r="X2282" s="22"/>
      <c r="Y2282" s="22"/>
      <c r="Z2282" s="22"/>
      <c r="AA2282" s="22"/>
      <c r="AB2282" s="22"/>
      <c r="AC2282" s="22"/>
      <c r="AD2282" s="22"/>
      <c r="AE2282" s="22"/>
      <c r="AG2282" s="112"/>
      <c r="AH2282" s="112"/>
      <c r="AI2282" s="112"/>
      <c r="AJ2282" s="71"/>
      <c r="AK2282" s="71"/>
      <c r="AL2282" s="71"/>
      <c r="AM2282" s="71"/>
      <c r="AN2282" s="71"/>
      <c r="AO2282" s="71"/>
      <c r="AP2282" s="71"/>
      <c r="AQ2282" s="71"/>
      <c r="AR2282" s="71"/>
      <c r="AS2282" s="94"/>
      <c r="AT2282" s="95"/>
      <c r="AU2282" s="97"/>
      <c r="AW2282" s="84">
        <f t="shared" si="2689"/>
        <v>0</v>
      </c>
      <c r="AX2282" s="84">
        <f t="shared" si="2690"/>
        <v>0</v>
      </c>
      <c r="AY2282" s="84">
        <f t="shared" si="2691"/>
        <v>0</v>
      </c>
      <c r="AZ2282" s="84"/>
      <c r="BA2282" s="84"/>
      <c r="BB2282" s="84"/>
      <c r="BC2282" s="84"/>
      <c r="BD2282" s="84"/>
      <c r="BE2282" s="84"/>
      <c r="BF2282" s="84"/>
      <c r="BG2282" s="84"/>
      <c r="BH2282" s="84"/>
      <c r="BI2282" s="68" cm="1">
        <f t="array" ref="BI2282">IFERROR(INDEX(AW2282:BH2282,1,MATCH(2,1/(AW2282:BH2282&lt;&gt;""))),"")</f>
        <v>0</v>
      </c>
      <c r="BJ2282" s="68" cm="1">
        <f t="array" ref="BJ2282">IF(BM2282 = "", "",IFERROR(INDEX(AW2282:BH2282,1,MATCH(2,1/(AW2282:BH2282&lt;&gt;""),1)-1),""))</f>
        <v>0</v>
      </c>
      <c r="BK2282" s="57" cm="1">
        <f t="array" ref="BK2282">IFERROR(INDEX(AW2282:BH2282,1,MATCH(2,1/(AW2282:BH2282&lt;&gt;""),1)),"")</f>
        <v>0</v>
      </c>
      <c r="BL2282" s="57" cm="1">
        <f t="array" ref="BL2282">IF(BM2282 = "", "",IFERROR(INDEX(AW2282:BH2282,1,MATCH(2,1/(AW2282:BH2282&lt;&gt;""),1)-1),""))</f>
        <v>0</v>
      </c>
      <c r="BM2282" s="55" cm="1">
        <f t="array" ref="BM2282">IFERROR(
   INDEX($AW$1:$BH$1,
      _xlfn.AGGREGATE(14, 6, COLUMN($AW$1:$BH$1)/(AW2282:BH2282&lt;&gt;""), 2) - COLUMN($AW$1) + 1
   ),
"")</f>
        <v>46054</v>
      </c>
      <c r="BN2282" s="55" cm="1">
        <f t="array" ref="BN2282">IFERROR(INDEX($AW$1:$BH$1,1,MATCH(2,1/(AW2282:BH2282&lt;&gt;""))),"")</f>
        <v>46082</v>
      </c>
      <c r="BO2282" s="53">
        <f ca="1">IFERROR(_xlfn.XLOOKUP(F2282,Apuração!A:A,Apuração!C:C)/_xlfn.XLOOKUP(F2282,Apuração!A:A,Apuração!B:B),0)</f>
        <v>0</v>
      </c>
      <c r="BP2282" s="53">
        <f ca="1">IFERROR(_xlfn.XLOOKUP(F2282,Apuração!A:A,Apuração!D:D)/_xlfn.XLOOKUP(F2282,Apuração!A:A,Apuração!B:B),0)</f>
        <v>0</v>
      </c>
      <c r="BQ2282" s="53">
        <f ca="1">IF(BK2282&gt;=BO2282,0,_xlfn.XLOOKUP(F2282,Apuração!A:A,Apuração!B:B)*(BO2282 + (1/_xlfn.XLOOKUP(F2282,Apuração!A:A,Apuração!B:B)) - BK2282))</f>
        <v>0</v>
      </c>
      <c r="BR2282" s="85">
        <f t="shared" ca="1" si="2692"/>
        <v>0</v>
      </c>
      <c r="BS2282" s="53">
        <f ca="1">IFERROR((_xlfn.XLOOKUP(F2282,Apuração!A:A,Apuração!C:C)+1)/_xlfn.XLOOKUP(F2282,Apuração!A:A,Apuração!B:B),0)</f>
        <v>0.14285714285714285</v>
      </c>
    </row>
    <row r="2283" spans="1:71" ht="25.95" hidden="1" customHeight="1" x14ac:dyDescent="0.3">
      <c r="A2283" s="35" t="s">
        <v>44</v>
      </c>
      <c r="B2283" s="10" t="s">
        <v>44</v>
      </c>
      <c r="C2283" s="5" t="s">
        <v>216</v>
      </c>
      <c r="D2283" s="5" t="s">
        <v>218</v>
      </c>
      <c r="E2283" s="4" t="str" cm="1">
        <f t="array" ref="E2283">_xlfn.IFS(
F2283 = "A partir de Abril", "Aguardando Execução na Distribuidora",
A2283 = "CAPACITAÇÃO", "Em execução no Corporativo",
TRUE, "Em Execução na Distribuidora"
)</f>
        <v>Em Execução na Distribuidora</v>
      </c>
      <c r="F2283" s="4" t="str" cm="1">
        <f t="array" ref="F2283">_xlfn.IFS(
AG2283 &lt;&gt; "", "Jan-Dez/26",
AH2283 &lt;&gt; "", "Fev-Dez/26",
AI2283 &lt;&gt; "", "Mar-Dez/26", AJ2283 &lt;&gt; "", "Abr-Dez/26",
TRUE, "A partir de Junho"
)</f>
        <v>A partir de Junho</v>
      </c>
      <c r="G2283" s="10" t="s">
        <v>44</v>
      </c>
      <c r="H2283" s="36" t="s">
        <v>44</v>
      </c>
      <c r="I2283" s="37"/>
      <c r="J2283" s="37"/>
      <c r="K2283" s="37"/>
      <c r="L2283" s="37" t="s">
        <v>206</v>
      </c>
      <c r="M2283" s="37"/>
      <c r="N2283" s="5" t="s">
        <v>42</v>
      </c>
      <c r="O2283" s="5" t="s">
        <v>52</v>
      </c>
      <c r="P2283" s="10" t="s">
        <v>44</v>
      </c>
      <c r="Q2283" s="10" t="s">
        <v>44</v>
      </c>
      <c r="R2283" s="11" t="s">
        <v>44</v>
      </c>
      <c r="S2283" s="11" t="s">
        <v>44</v>
      </c>
      <c r="T2283" s="22"/>
      <c r="U2283" s="22"/>
      <c r="V2283" s="22"/>
      <c r="W2283" s="22"/>
      <c r="X2283" s="22"/>
      <c r="Y2283" s="22"/>
      <c r="Z2283" s="22"/>
      <c r="AA2283" s="22"/>
      <c r="AB2283" s="22"/>
      <c r="AC2283" s="22"/>
      <c r="AD2283" s="22"/>
      <c r="AE2283" s="22"/>
      <c r="AG2283" s="112"/>
      <c r="AH2283" s="112"/>
      <c r="AI2283" s="112"/>
      <c r="AJ2283" s="71"/>
      <c r="AK2283" s="71"/>
      <c r="AL2283" s="71"/>
      <c r="AM2283" s="71"/>
      <c r="AN2283" s="71"/>
      <c r="AO2283" s="71"/>
      <c r="AP2283" s="71"/>
      <c r="AQ2283" s="71"/>
      <c r="AR2283" s="71"/>
      <c r="AS2283" s="94"/>
      <c r="AT2283" s="95"/>
      <c r="AU2283" s="97"/>
      <c r="AW2283" s="84">
        <f t="shared" si="2689"/>
        <v>0</v>
      </c>
      <c r="AX2283" s="84">
        <f t="shared" si="2690"/>
        <v>0</v>
      </c>
      <c r="AY2283" s="84">
        <f t="shared" si="2691"/>
        <v>0</v>
      </c>
      <c r="AZ2283" s="84"/>
      <c r="BA2283" s="84"/>
      <c r="BB2283" s="84"/>
      <c r="BC2283" s="84"/>
      <c r="BD2283" s="84"/>
      <c r="BE2283" s="84"/>
      <c r="BF2283" s="84"/>
      <c r="BG2283" s="84"/>
      <c r="BH2283" s="84"/>
      <c r="BI2283" s="68" cm="1">
        <f t="array" ref="BI2283">IFERROR(INDEX(AW2283:BH2283,1,MATCH(2,1/(AW2283:BH2283&lt;&gt;""))),"")</f>
        <v>0</v>
      </c>
      <c r="BJ2283" s="68" cm="1">
        <f t="array" ref="BJ2283">IF(BM2283 = "", "",IFERROR(INDEX(AW2283:BH2283,1,MATCH(2,1/(AW2283:BH2283&lt;&gt;""),1)-1),""))</f>
        <v>0</v>
      </c>
      <c r="BK2283" s="57" cm="1">
        <f t="array" ref="BK2283">IFERROR(INDEX(AW2283:BH2283,1,MATCH(2,1/(AW2283:BH2283&lt;&gt;""),1)),"")</f>
        <v>0</v>
      </c>
      <c r="BL2283" s="57" cm="1">
        <f t="array" ref="BL2283">IF(BM2283 = "", "",IFERROR(INDEX(AW2283:BH2283,1,MATCH(2,1/(AW2283:BH2283&lt;&gt;""),1)-1),""))</f>
        <v>0</v>
      </c>
      <c r="BM2283" s="55" cm="1">
        <f t="array" ref="BM2283">IFERROR(
   INDEX($AW$1:$BH$1,
      _xlfn.AGGREGATE(14, 6, COLUMN($AW$1:$BH$1)/(AW2283:BH2283&lt;&gt;""), 2) - COLUMN($AW$1) + 1
   ),
"")</f>
        <v>46054</v>
      </c>
      <c r="BN2283" s="55" cm="1">
        <f t="array" ref="BN2283">IFERROR(INDEX($AW$1:$BH$1,1,MATCH(2,1/(AW2283:BH2283&lt;&gt;""))),"")</f>
        <v>46082</v>
      </c>
      <c r="BO2283" s="53">
        <f ca="1">IFERROR(_xlfn.XLOOKUP(F2283,Apuração!A:A,Apuração!C:C)/_xlfn.XLOOKUP(F2283,Apuração!A:A,Apuração!B:B),0)</f>
        <v>0</v>
      </c>
      <c r="BP2283" s="53">
        <f ca="1">IFERROR(_xlfn.XLOOKUP(F2283,Apuração!A:A,Apuração!D:D)/_xlfn.XLOOKUP(F2283,Apuração!A:A,Apuração!B:B),0)</f>
        <v>0</v>
      </c>
      <c r="BQ2283" s="53">
        <f ca="1">IF(BK2283&gt;=BO2283,0,_xlfn.XLOOKUP(F2283,Apuração!A:A,Apuração!B:B)*(BO2283 + (1/_xlfn.XLOOKUP(F2283,Apuração!A:A,Apuração!B:B)) - BK2283))</f>
        <v>0</v>
      </c>
      <c r="BR2283" s="85">
        <f t="shared" ca="1" si="2692"/>
        <v>0</v>
      </c>
      <c r="BS2283" s="53">
        <f ca="1">IFERROR((_xlfn.XLOOKUP(F2283,Apuração!A:A,Apuração!C:C)+1)/_xlfn.XLOOKUP(F2283,Apuração!A:A,Apuração!B:B),0)</f>
        <v>0.14285714285714285</v>
      </c>
    </row>
    <row r="2284" spans="1:71" ht="25.95" hidden="1" customHeight="1" x14ac:dyDescent="0.3">
      <c r="A2284" s="35" t="s">
        <v>44</v>
      </c>
      <c r="B2284" s="10" t="s">
        <v>44</v>
      </c>
      <c r="C2284" s="5" t="s">
        <v>216</v>
      </c>
      <c r="D2284" s="5" t="s">
        <v>219</v>
      </c>
      <c r="E2284" s="4" t="str" cm="1">
        <f t="array" ref="E2284">_xlfn.IFS(
F2284 = "A partir de Abril", "Aguardando Execução na Distribuidora",
A2284 = "CAPACITAÇÃO", "Em execução no Corporativo",
TRUE, "Em Execução na Distribuidora"
)</f>
        <v>Em Execução na Distribuidora</v>
      </c>
      <c r="F2284" s="4" t="str" cm="1">
        <f t="array" ref="F2284">_xlfn.IFS(
AG2284 &lt;&gt; "", "Jan-Dez/26",
AH2284 &lt;&gt; "", "Fev-Dez/26",
AI2284 &lt;&gt; "", "Mar-Dez/26", AJ2284 &lt;&gt; "", "Abr-Dez/26",
TRUE, "A partir de Junho"
)</f>
        <v>A partir de Junho</v>
      </c>
      <c r="G2284" s="10" t="s">
        <v>44</v>
      </c>
      <c r="H2284" s="36" t="s">
        <v>44</v>
      </c>
      <c r="I2284" s="37"/>
      <c r="J2284" s="37"/>
      <c r="K2284" s="37"/>
      <c r="L2284" s="37" t="s">
        <v>206</v>
      </c>
      <c r="M2284" s="37"/>
      <c r="N2284" s="5" t="s">
        <v>42</v>
      </c>
      <c r="O2284" s="5" t="s">
        <v>52</v>
      </c>
      <c r="P2284" s="10" t="s">
        <v>44</v>
      </c>
      <c r="Q2284" s="10" t="s">
        <v>44</v>
      </c>
      <c r="R2284" s="11" t="s">
        <v>44</v>
      </c>
      <c r="S2284" s="11" t="s">
        <v>44</v>
      </c>
      <c r="T2284" s="22"/>
      <c r="U2284" s="22"/>
      <c r="V2284" s="22"/>
      <c r="W2284" s="22"/>
      <c r="X2284" s="22"/>
      <c r="Y2284" s="22"/>
      <c r="Z2284" s="22"/>
      <c r="AA2284" s="22"/>
      <c r="AB2284" s="22"/>
      <c r="AC2284" s="22"/>
      <c r="AD2284" s="22"/>
      <c r="AE2284" s="22"/>
      <c r="AG2284" s="112"/>
      <c r="AH2284" s="112"/>
      <c r="AI2284" s="112"/>
      <c r="AJ2284" s="71"/>
      <c r="AK2284" s="71"/>
      <c r="AL2284" s="71"/>
      <c r="AM2284" s="71"/>
      <c r="AN2284" s="71"/>
      <c r="AO2284" s="71"/>
      <c r="AP2284" s="71"/>
      <c r="AQ2284" s="71"/>
      <c r="AR2284" s="71"/>
      <c r="AS2284" s="94"/>
      <c r="AT2284" s="95"/>
      <c r="AU2284" s="97"/>
      <c r="AW2284" s="84">
        <f t="shared" si="2689"/>
        <v>0</v>
      </c>
      <c r="AX2284" s="84">
        <f t="shared" si="2690"/>
        <v>0</v>
      </c>
      <c r="AY2284" s="84">
        <f t="shared" si="2691"/>
        <v>0</v>
      </c>
      <c r="AZ2284" s="84"/>
      <c r="BA2284" s="84"/>
      <c r="BB2284" s="84"/>
      <c r="BC2284" s="84"/>
      <c r="BD2284" s="84"/>
      <c r="BE2284" s="84"/>
      <c r="BF2284" s="84"/>
      <c r="BG2284" s="84"/>
      <c r="BH2284" s="84"/>
      <c r="BI2284" s="68" cm="1">
        <f t="array" ref="BI2284">IFERROR(INDEX(AW2284:BH2284,1,MATCH(2,1/(AW2284:BH2284&lt;&gt;""))),"")</f>
        <v>0</v>
      </c>
      <c r="BJ2284" s="68" cm="1">
        <f t="array" ref="BJ2284">IF(BM2284 = "", "",IFERROR(INDEX(AW2284:BH2284,1,MATCH(2,1/(AW2284:BH2284&lt;&gt;""),1)-1),""))</f>
        <v>0</v>
      </c>
      <c r="BK2284" s="57" cm="1">
        <f t="array" ref="BK2284">IFERROR(INDEX(AW2284:BH2284,1,MATCH(2,1/(AW2284:BH2284&lt;&gt;""),1)),"")</f>
        <v>0</v>
      </c>
      <c r="BL2284" s="57" cm="1">
        <f t="array" ref="BL2284">IF(BM2284 = "", "",IFERROR(INDEX(AW2284:BH2284,1,MATCH(2,1/(AW2284:BH2284&lt;&gt;""),1)-1),""))</f>
        <v>0</v>
      </c>
      <c r="BM2284" s="55" cm="1">
        <f t="array" ref="BM2284">IFERROR(
   INDEX($AW$1:$BH$1,
      _xlfn.AGGREGATE(14, 6, COLUMN($AW$1:$BH$1)/(AW2284:BH2284&lt;&gt;""), 2) - COLUMN($AW$1) + 1
   ),
"")</f>
        <v>46054</v>
      </c>
      <c r="BN2284" s="55" cm="1">
        <f t="array" ref="BN2284">IFERROR(INDEX($AW$1:$BH$1,1,MATCH(2,1/(AW2284:BH2284&lt;&gt;""))),"")</f>
        <v>46082</v>
      </c>
      <c r="BO2284" s="53">
        <f ca="1">IFERROR(_xlfn.XLOOKUP(F2284,Apuração!A:A,Apuração!C:C)/_xlfn.XLOOKUP(F2284,Apuração!A:A,Apuração!B:B),0)</f>
        <v>0</v>
      </c>
      <c r="BP2284" s="53">
        <f ca="1">IFERROR(_xlfn.XLOOKUP(F2284,Apuração!A:A,Apuração!D:D)/_xlfn.XLOOKUP(F2284,Apuração!A:A,Apuração!B:B),0)</f>
        <v>0</v>
      </c>
      <c r="BQ2284" s="53">
        <f ca="1">IF(BK2284&gt;=BO2284,0,_xlfn.XLOOKUP(F2284,Apuração!A:A,Apuração!B:B)*(BO2284 + (1/_xlfn.XLOOKUP(F2284,Apuração!A:A,Apuração!B:B)) - BK2284))</f>
        <v>0</v>
      </c>
      <c r="BR2284" s="85">
        <f t="shared" ca="1" si="2692"/>
        <v>0</v>
      </c>
      <c r="BS2284" s="53">
        <f ca="1">IFERROR((_xlfn.XLOOKUP(F2284,Apuração!A:A,Apuração!C:C)+1)/_xlfn.XLOOKUP(F2284,Apuração!A:A,Apuração!B:B),0)</f>
        <v>0.14285714285714285</v>
      </c>
    </row>
    <row r="2285" spans="1:71" ht="25.95" hidden="1" customHeight="1" x14ac:dyDescent="0.3">
      <c r="A2285" s="35" t="s">
        <v>44</v>
      </c>
      <c r="B2285" s="10" t="s">
        <v>44</v>
      </c>
      <c r="C2285" s="5" t="s">
        <v>216</v>
      </c>
      <c r="D2285" s="5" t="s">
        <v>36</v>
      </c>
      <c r="E2285" s="4" t="str" cm="1">
        <f t="array" ref="E2285">_xlfn.IFS(
F2285 = "A partir de Abril", "Aguardando Execução na Distribuidora",
A2285 = "CAPACITAÇÃO", "Em execução no Corporativo",
TRUE, "Em Execução na Distribuidora"
)</f>
        <v>Em Execução na Distribuidora</v>
      </c>
      <c r="F2285" s="4" t="str" cm="1">
        <f t="array" ref="F2285">_xlfn.IFS(
AG2285 &lt;&gt; "", "Jan-Dez/26",
AH2285 &lt;&gt; "", "Fev-Dez/26",
AI2285 &lt;&gt; "", "Mar-Dez/26", AJ2285 &lt;&gt; "", "Abr-Dez/26",
TRUE, "A partir de Junho"
)</f>
        <v>A partir de Junho</v>
      </c>
      <c r="G2285" s="10" t="s">
        <v>44</v>
      </c>
      <c r="H2285" s="36" t="s">
        <v>44</v>
      </c>
      <c r="I2285" s="37"/>
      <c r="J2285" s="37"/>
      <c r="K2285" s="37"/>
      <c r="L2285" s="37" t="s">
        <v>207</v>
      </c>
      <c r="M2285" s="37"/>
      <c r="N2285" s="5" t="s">
        <v>42</v>
      </c>
      <c r="O2285" s="5" t="s">
        <v>52</v>
      </c>
      <c r="P2285" s="10" t="s">
        <v>44</v>
      </c>
      <c r="Q2285" s="10" t="s">
        <v>44</v>
      </c>
      <c r="R2285" s="11" t="s">
        <v>44</v>
      </c>
      <c r="S2285" s="11" t="s">
        <v>44</v>
      </c>
      <c r="T2285" s="22"/>
      <c r="U2285" s="22"/>
      <c r="V2285" s="22"/>
      <c r="W2285" s="22"/>
      <c r="X2285" s="22"/>
      <c r="Y2285" s="22"/>
      <c r="Z2285" s="22"/>
      <c r="AA2285" s="22"/>
      <c r="AB2285" s="22"/>
      <c r="AC2285" s="22"/>
      <c r="AD2285" s="22"/>
      <c r="AE2285" s="22"/>
      <c r="AG2285" s="112"/>
      <c r="AH2285" s="112"/>
      <c r="AI2285" s="112"/>
      <c r="AJ2285" s="112"/>
      <c r="AK2285" s="112"/>
      <c r="AL2285" s="112"/>
      <c r="AM2285" s="112"/>
      <c r="AN2285" s="112"/>
      <c r="AO2285" s="112"/>
      <c r="AP2285" s="112"/>
      <c r="AQ2285" s="112"/>
      <c r="AR2285" s="112"/>
      <c r="AS2285" s="94"/>
      <c r="AT2285" s="95"/>
      <c r="AU2285" s="97"/>
      <c r="AW2285" s="84">
        <f>AG2285</f>
        <v>0</v>
      </c>
      <c r="AX2285" s="84">
        <f t="shared" si="2690"/>
        <v>0</v>
      </c>
      <c r="AY2285" s="84">
        <f t="shared" si="2691"/>
        <v>0</v>
      </c>
      <c r="AZ2285" s="84">
        <f t="shared" ref="AZ2285" si="2693">AJ2285</f>
        <v>0</v>
      </c>
      <c r="BA2285" s="84"/>
      <c r="BB2285" s="84"/>
      <c r="BC2285" s="84"/>
      <c r="BD2285" s="84"/>
      <c r="BE2285" s="84"/>
      <c r="BF2285" s="84"/>
      <c r="BG2285" s="84"/>
      <c r="BH2285" s="84"/>
      <c r="BI2285" s="68" cm="1">
        <f t="array" ref="BI2285">IFERROR(INDEX(AW2285:BH2285,1,MATCH(2,1/(AW2285:BH2285&lt;&gt;""))),"")</f>
        <v>0</v>
      </c>
      <c r="BJ2285" s="68" cm="1">
        <f t="array" ref="BJ2285">IF(BM2285 = "", "",IFERROR(INDEX(AW2285:BH2285,1,MATCH(2,1/(AW2285:BH2285&lt;&gt;""),1)-1),""))</f>
        <v>0</v>
      </c>
      <c r="BK2285" s="57" cm="1">
        <f t="array" ref="BK2285">IFERROR(INDEX(AW2285:BH2285,1,MATCH(2,1/(AW2285:BH2285&lt;&gt;""),1)),"")</f>
        <v>0</v>
      </c>
      <c r="BL2285" s="57" cm="1">
        <f t="array" ref="BL2285">IF(BM2285 = "", "",IFERROR(INDEX(AW2285:BH2285,1,MATCH(2,1/(AW2285:BH2285&lt;&gt;""),1)-1),""))</f>
        <v>0</v>
      </c>
      <c r="BM2285" s="55" cm="1">
        <f t="array" ref="BM2285">IFERROR(
   INDEX($AW$1:$BH$1,
      _xlfn.AGGREGATE(14, 6, COLUMN($AW$1:$BH$1)/(AW2285:BH2285&lt;&gt;""), 2) - COLUMN($AW$1) + 1
   ),
"")</f>
        <v>46082</v>
      </c>
      <c r="BN2285" s="55" cm="1">
        <f t="array" ref="BN2285">IFERROR(INDEX($AW$1:$BH$1,1,MATCH(2,1/(AW2285:BH2285&lt;&gt;""))),"")</f>
        <v>46113</v>
      </c>
      <c r="BO2285" s="53">
        <f ca="1">IFERROR(_xlfn.XLOOKUP(F2285,Apuração!A:A,Apuração!C:C)/_xlfn.XLOOKUP(F2285,Apuração!A:A,Apuração!B:B),0)</f>
        <v>0</v>
      </c>
      <c r="BP2285" s="53">
        <f ca="1">IFERROR(_xlfn.XLOOKUP(F2285,Apuração!A:A,Apuração!D:D)/_xlfn.XLOOKUP(F2285,Apuração!A:A,Apuração!B:B),0)</f>
        <v>0</v>
      </c>
      <c r="BQ2285" s="53">
        <f ca="1">IF(BK2285&gt;=BO2285,0,_xlfn.XLOOKUP(F2285,Apuração!A:A,Apuração!B:B)*(BO2285 + (1/_xlfn.XLOOKUP(F2285,Apuração!A:A,Apuração!B:B)) - BK2285))</f>
        <v>0</v>
      </c>
      <c r="BR2285" s="85">
        <f ca="1">IF(BQ2285=0,0,BQ2285*Z2285)</f>
        <v>0</v>
      </c>
      <c r="BS2285" s="53">
        <f ca="1">IFERROR((_xlfn.XLOOKUP(F2285,Apuração!A:A,Apuração!C:C)+1)/_xlfn.XLOOKUP(F2285,Apuração!A:A,Apuração!B:B),0)</f>
        <v>0.14285714285714285</v>
      </c>
    </row>
    <row r="2286" spans="1:71" ht="25.95" hidden="1" customHeight="1" x14ac:dyDescent="0.3">
      <c r="A2286" s="35" t="s">
        <v>44</v>
      </c>
      <c r="B2286" s="10" t="s">
        <v>44</v>
      </c>
      <c r="C2286" s="5" t="s">
        <v>216</v>
      </c>
      <c r="D2286" s="5" t="s">
        <v>217</v>
      </c>
      <c r="E2286" s="4" t="str" cm="1">
        <f t="array" ref="E2286">_xlfn.IFS(
F2286 = "A partir de Abril", "Aguardando Execução na Distribuidora",
A2286 = "CAPACITAÇÃO", "Em execução no Corporativo",
TRUE, "Em Execução na Distribuidora"
)</f>
        <v>Em Execução na Distribuidora</v>
      </c>
      <c r="F2286" s="4" t="str" cm="1">
        <f t="array" ref="F2286">_xlfn.IFS(
AG2286 &lt;&gt; "", "Jan-Dez/26",
AH2286 &lt;&gt; "", "Fev-Dez/26",
AI2286 &lt;&gt; "", "Mar-Dez/26", AJ2286 &lt;&gt; "", "Abr-Dez/26",
TRUE, "A partir de Junho"
)</f>
        <v>A partir de Junho</v>
      </c>
      <c r="G2286" s="10" t="s">
        <v>44</v>
      </c>
      <c r="H2286" s="36" t="s">
        <v>44</v>
      </c>
      <c r="I2286" s="37"/>
      <c r="J2286" s="37"/>
      <c r="K2286" s="37"/>
      <c r="L2286" s="37" t="s">
        <v>207</v>
      </c>
      <c r="M2286" s="37"/>
      <c r="N2286" s="5" t="s">
        <v>42</v>
      </c>
      <c r="O2286" s="5" t="s">
        <v>52</v>
      </c>
      <c r="P2286" s="10" t="s">
        <v>44</v>
      </c>
      <c r="Q2286" s="10" t="s">
        <v>44</v>
      </c>
      <c r="R2286" s="11" t="s">
        <v>44</v>
      </c>
      <c r="S2286" s="11" t="s">
        <v>44</v>
      </c>
      <c r="T2286" s="22"/>
      <c r="U2286" s="22"/>
      <c r="V2286" s="22"/>
      <c r="W2286" s="22"/>
      <c r="X2286" s="22"/>
      <c r="Y2286" s="22"/>
      <c r="Z2286" s="22"/>
      <c r="AA2286" s="22"/>
      <c r="AB2286" s="22"/>
      <c r="AC2286" s="22"/>
      <c r="AD2286" s="22"/>
      <c r="AE2286" s="22"/>
      <c r="AG2286" s="71"/>
      <c r="AH2286" s="71"/>
      <c r="AI2286" s="71"/>
      <c r="AJ2286" s="71"/>
      <c r="AK2286" s="71"/>
      <c r="AL2286" s="71"/>
      <c r="AM2286" s="71"/>
      <c r="AN2286" s="71"/>
      <c r="AO2286" s="71"/>
      <c r="AP2286" s="71"/>
      <c r="AQ2286" s="71"/>
      <c r="AR2286" s="71"/>
      <c r="AS2286" s="94"/>
      <c r="AT2286" s="95"/>
      <c r="AU2286" s="97"/>
      <c r="AW2286" s="84">
        <f t="shared" ref="AW2286:AW2289" si="2694">AG2286</f>
        <v>0</v>
      </c>
      <c r="AX2286" s="84"/>
      <c r="AY2286" s="84"/>
      <c r="AZ2286" s="84"/>
      <c r="BA2286" s="84"/>
      <c r="BB2286" s="84"/>
      <c r="BC2286" s="84"/>
      <c r="BD2286" s="84"/>
      <c r="BE2286" s="84"/>
      <c r="BF2286" s="84"/>
      <c r="BG2286" s="84"/>
      <c r="BH2286" s="84"/>
      <c r="BI2286" s="68" cm="1">
        <f t="array" ref="BI2286">IFERROR(INDEX(AW2286:BH2286,1,MATCH(2,1/(AW2286:BH2286&lt;&gt;""))),"")</f>
        <v>0</v>
      </c>
      <c r="BJ2286" s="68" t="str" cm="1">
        <f t="array" ref="BJ2286">IF(BM2286 = "", "",IFERROR(INDEX(AW2286:BH2286,1,MATCH(2,1/(AW2286:BH2286&lt;&gt;""),1)-1),""))</f>
        <v/>
      </c>
      <c r="BK2286" s="57" cm="1">
        <f t="array" ref="BK2286">IFERROR(INDEX(AW2286:BH2286,1,MATCH(2,1/(AW2286:BH2286&lt;&gt;""),1)),"")</f>
        <v>0</v>
      </c>
      <c r="BL2286" s="57" t="str" cm="1">
        <f t="array" ref="BL2286">IF(BM2286 = "", "",IFERROR(INDEX(AW2286:BH2286,1,MATCH(2,1/(AW2286:BH2286&lt;&gt;""),1)-1),""))</f>
        <v/>
      </c>
      <c r="BM2286" s="55" t="str" cm="1">
        <f t="array" ref="BM2286">IFERROR(
   INDEX($AW$1:$BH$1,
      _xlfn.AGGREGATE(14, 6, COLUMN($AW$1:$BH$1)/(AW2286:BH2286&lt;&gt;""), 2) - COLUMN($AW$1) + 1
   ),
"")</f>
        <v/>
      </c>
      <c r="BN2286" s="55" cm="1">
        <f t="array" ref="BN2286">IFERROR(INDEX($AW$1:$BH$1,1,MATCH(2,1/(AW2286:BH2286&lt;&gt;""))),"")</f>
        <v>46023</v>
      </c>
      <c r="BO2286" s="53">
        <f ca="1">IFERROR(_xlfn.XLOOKUP(F2286,Apuração!A:A,Apuração!C:C)/_xlfn.XLOOKUP(F2286,Apuração!A:A,Apuração!B:B),0)</f>
        <v>0</v>
      </c>
      <c r="BP2286" s="53">
        <f ca="1">IFERROR(_xlfn.XLOOKUP(F2286,Apuração!A:A,Apuração!D:D)/_xlfn.XLOOKUP(F2286,Apuração!A:A,Apuração!B:B),0)</f>
        <v>0</v>
      </c>
      <c r="BQ2286" s="53">
        <f ca="1">IF(BK2286&gt;=BO2286,0,_xlfn.XLOOKUP(F2286,Apuração!A:A,Apuração!B:B)*(BO2286 + (1/_xlfn.XLOOKUP(F2286,Apuração!A:A,Apuração!B:B)) - BK2286))</f>
        <v>0</v>
      </c>
      <c r="BR2286" s="85">
        <f t="shared" ref="BR2286:BR2289" ca="1" si="2695">IF(BQ2286=0,0,BQ2286*Z2286)</f>
        <v>0</v>
      </c>
      <c r="BS2286" s="53">
        <f ca="1">IFERROR((_xlfn.XLOOKUP(F2286,Apuração!A:A,Apuração!C:C)+1)/_xlfn.XLOOKUP(F2286,Apuração!A:A,Apuração!B:B),0)</f>
        <v>0.14285714285714285</v>
      </c>
    </row>
    <row r="2287" spans="1:71" ht="25.95" hidden="1" customHeight="1" x14ac:dyDescent="0.3">
      <c r="A2287" s="35" t="s">
        <v>44</v>
      </c>
      <c r="B2287" s="10" t="s">
        <v>44</v>
      </c>
      <c r="C2287" s="5" t="s">
        <v>216</v>
      </c>
      <c r="D2287" s="5" t="s">
        <v>103</v>
      </c>
      <c r="E2287" s="4" t="str" cm="1">
        <f t="array" ref="E2287">_xlfn.IFS(
F2287 = "A partir de Abril", "Aguardando Execução na Distribuidora",
A2287 = "CAPACITAÇÃO", "Em execução no Corporativo",
TRUE, "Em Execução na Distribuidora"
)</f>
        <v>Em Execução na Distribuidora</v>
      </c>
      <c r="F2287" s="4" t="str" cm="1">
        <f t="array" ref="F2287">_xlfn.IFS(
AG2287 &lt;&gt; "", "Jan-Dez/26",
AH2287 &lt;&gt; "", "Fev-Dez/26",
AI2287 &lt;&gt; "", "Mar-Dez/26", AJ2287 &lt;&gt; "", "Abr-Dez/26",
TRUE, "A partir de Junho"
)</f>
        <v>A partir de Junho</v>
      </c>
      <c r="G2287" s="10" t="s">
        <v>44</v>
      </c>
      <c r="H2287" s="36" t="s">
        <v>44</v>
      </c>
      <c r="I2287" s="37"/>
      <c r="J2287" s="37"/>
      <c r="K2287" s="37"/>
      <c r="L2287" s="37" t="s">
        <v>207</v>
      </c>
      <c r="M2287" s="37"/>
      <c r="N2287" s="5" t="s">
        <v>42</v>
      </c>
      <c r="O2287" s="5" t="s">
        <v>52</v>
      </c>
      <c r="P2287" s="10" t="s">
        <v>44</v>
      </c>
      <c r="Q2287" s="10" t="s">
        <v>44</v>
      </c>
      <c r="R2287" s="11" t="s">
        <v>44</v>
      </c>
      <c r="S2287" s="11" t="s">
        <v>44</v>
      </c>
      <c r="T2287" s="22"/>
      <c r="U2287" s="22"/>
      <c r="V2287" s="22"/>
      <c r="W2287" s="22"/>
      <c r="X2287" s="22"/>
      <c r="Y2287" s="22"/>
      <c r="Z2287" s="22"/>
      <c r="AA2287" s="22"/>
      <c r="AB2287" s="22"/>
      <c r="AC2287" s="22"/>
      <c r="AD2287" s="22"/>
      <c r="AE2287" s="22"/>
      <c r="AG2287" s="71"/>
      <c r="AH2287" s="71"/>
      <c r="AI2287" s="71"/>
      <c r="AJ2287" s="71"/>
      <c r="AK2287" s="71"/>
      <c r="AL2287" s="71"/>
      <c r="AM2287" s="71"/>
      <c r="AN2287" s="71"/>
      <c r="AO2287" s="71"/>
      <c r="AP2287" s="71"/>
      <c r="AQ2287" s="71"/>
      <c r="AR2287" s="71"/>
      <c r="AS2287" s="94"/>
      <c r="AT2287" s="95"/>
      <c r="AU2287" s="97"/>
      <c r="AW2287" s="84">
        <f t="shared" si="2694"/>
        <v>0</v>
      </c>
      <c r="AX2287" s="84"/>
      <c r="AY2287" s="84"/>
      <c r="AZ2287" s="84"/>
      <c r="BA2287" s="84"/>
      <c r="BB2287" s="84"/>
      <c r="BC2287" s="84"/>
      <c r="BD2287" s="84"/>
      <c r="BE2287" s="84"/>
      <c r="BF2287" s="84"/>
      <c r="BG2287" s="84"/>
      <c r="BH2287" s="84"/>
      <c r="BI2287" s="68" cm="1">
        <f t="array" ref="BI2287">IFERROR(INDEX(AW2287:BH2287,1,MATCH(2,1/(AW2287:BH2287&lt;&gt;""))),"")</f>
        <v>0</v>
      </c>
      <c r="BJ2287" s="68" t="str" cm="1">
        <f t="array" ref="BJ2287">IF(BM2287 = "", "",IFERROR(INDEX(AW2287:BH2287,1,MATCH(2,1/(AW2287:BH2287&lt;&gt;""),1)-1),""))</f>
        <v/>
      </c>
      <c r="BK2287" s="57" cm="1">
        <f t="array" ref="BK2287">IFERROR(INDEX(AW2287:BH2287,1,MATCH(2,1/(AW2287:BH2287&lt;&gt;""),1)),"")</f>
        <v>0</v>
      </c>
      <c r="BL2287" s="57" t="str" cm="1">
        <f t="array" ref="BL2287">IF(BM2287 = "", "",IFERROR(INDEX(AW2287:BH2287,1,MATCH(2,1/(AW2287:BH2287&lt;&gt;""),1)-1),""))</f>
        <v/>
      </c>
      <c r="BM2287" s="55" t="str" cm="1">
        <f t="array" ref="BM2287">IFERROR(
   INDEX($AW$1:$BH$1,
      _xlfn.AGGREGATE(14, 6, COLUMN($AW$1:$BH$1)/(AW2287:BH2287&lt;&gt;""), 2) - COLUMN($AW$1) + 1
   ),
"")</f>
        <v/>
      </c>
      <c r="BN2287" s="55" cm="1">
        <f t="array" ref="BN2287">IFERROR(INDEX($AW$1:$BH$1,1,MATCH(2,1/(AW2287:BH2287&lt;&gt;""))),"")</f>
        <v>46023</v>
      </c>
      <c r="BO2287" s="53">
        <f ca="1">IFERROR(_xlfn.XLOOKUP(F2287,Apuração!A:A,Apuração!C:C)/_xlfn.XLOOKUP(F2287,Apuração!A:A,Apuração!B:B),0)</f>
        <v>0</v>
      </c>
      <c r="BP2287" s="53">
        <f ca="1">IFERROR(_xlfn.XLOOKUP(F2287,Apuração!A:A,Apuração!D:D)/_xlfn.XLOOKUP(F2287,Apuração!A:A,Apuração!B:B),0)</f>
        <v>0</v>
      </c>
      <c r="BQ2287" s="53">
        <f ca="1">IF(BK2287&gt;=BO2287,0,_xlfn.XLOOKUP(F2287,Apuração!A:A,Apuração!B:B)*(BO2287 + (1/_xlfn.XLOOKUP(F2287,Apuração!A:A,Apuração!B:B)) - BK2287))</f>
        <v>0</v>
      </c>
      <c r="BR2287" s="85">
        <f t="shared" ca="1" si="2695"/>
        <v>0</v>
      </c>
      <c r="BS2287" s="53">
        <f ca="1">IFERROR((_xlfn.XLOOKUP(F2287,Apuração!A:A,Apuração!C:C)+1)/_xlfn.XLOOKUP(F2287,Apuração!A:A,Apuração!B:B),0)</f>
        <v>0.14285714285714285</v>
      </c>
    </row>
    <row r="2288" spans="1:71" ht="25.95" hidden="1" customHeight="1" x14ac:dyDescent="0.3">
      <c r="A2288" s="35" t="s">
        <v>44</v>
      </c>
      <c r="B2288" s="10" t="s">
        <v>44</v>
      </c>
      <c r="C2288" s="5" t="s">
        <v>216</v>
      </c>
      <c r="D2288" s="5" t="s">
        <v>218</v>
      </c>
      <c r="E2288" s="4" t="str" cm="1">
        <f t="array" ref="E2288">_xlfn.IFS(
F2288 = "A partir de Abril", "Aguardando Execução na Distribuidora",
A2288 = "CAPACITAÇÃO", "Em execução no Corporativo",
TRUE, "Em Execução na Distribuidora"
)</f>
        <v>Em Execução na Distribuidora</v>
      </c>
      <c r="F2288" s="4" t="str" cm="1">
        <f t="array" ref="F2288">_xlfn.IFS(
AG2288 &lt;&gt; "", "Jan-Dez/26",
AH2288 &lt;&gt; "", "Fev-Dez/26",
AI2288 &lt;&gt; "", "Mar-Dez/26", AJ2288 &lt;&gt; "", "Abr-Dez/26",
TRUE, "A partir de Junho"
)</f>
        <v>A partir de Junho</v>
      </c>
      <c r="G2288" s="10" t="s">
        <v>44</v>
      </c>
      <c r="H2288" s="36" t="s">
        <v>44</v>
      </c>
      <c r="I2288" s="37"/>
      <c r="J2288" s="37"/>
      <c r="K2288" s="37"/>
      <c r="L2288" s="37" t="s">
        <v>207</v>
      </c>
      <c r="M2288" s="37"/>
      <c r="N2288" s="5" t="s">
        <v>42</v>
      </c>
      <c r="O2288" s="5" t="s">
        <v>52</v>
      </c>
      <c r="P2288" s="10" t="s">
        <v>44</v>
      </c>
      <c r="Q2288" s="10" t="s">
        <v>44</v>
      </c>
      <c r="R2288" s="11" t="s">
        <v>44</v>
      </c>
      <c r="S2288" s="11" t="s">
        <v>44</v>
      </c>
      <c r="T2288" s="22"/>
      <c r="U2288" s="22"/>
      <c r="V2288" s="22"/>
      <c r="W2288" s="22"/>
      <c r="X2288" s="22"/>
      <c r="Y2288" s="22"/>
      <c r="Z2288" s="22"/>
      <c r="AA2288" s="22"/>
      <c r="AB2288" s="22"/>
      <c r="AC2288" s="22"/>
      <c r="AD2288" s="22"/>
      <c r="AE2288" s="22"/>
      <c r="AG2288" s="71"/>
      <c r="AH2288" s="71"/>
      <c r="AI2288" s="71"/>
      <c r="AJ2288" s="71"/>
      <c r="AK2288" s="71"/>
      <c r="AL2288" s="71"/>
      <c r="AM2288" s="71"/>
      <c r="AN2288" s="71"/>
      <c r="AO2288" s="71"/>
      <c r="AP2288" s="71"/>
      <c r="AQ2288" s="71"/>
      <c r="AR2288" s="71"/>
      <c r="AS2288" s="94"/>
      <c r="AT2288" s="95"/>
      <c r="AU2288" s="97"/>
      <c r="AW2288" s="84">
        <f t="shared" si="2694"/>
        <v>0</v>
      </c>
      <c r="AX2288" s="84"/>
      <c r="AY2288" s="84"/>
      <c r="AZ2288" s="84"/>
      <c r="BA2288" s="84"/>
      <c r="BB2288" s="84"/>
      <c r="BC2288" s="84"/>
      <c r="BD2288" s="84"/>
      <c r="BE2288" s="84"/>
      <c r="BF2288" s="84"/>
      <c r="BG2288" s="84"/>
      <c r="BH2288" s="84"/>
      <c r="BI2288" s="68" cm="1">
        <f t="array" ref="BI2288">IFERROR(INDEX(AW2288:BH2288,1,MATCH(2,1/(AW2288:BH2288&lt;&gt;""))),"")</f>
        <v>0</v>
      </c>
      <c r="BJ2288" s="68" t="str" cm="1">
        <f t="array" ref="BJ2288">IF(BM2288 = "", "",IFERROR(INDEX(AW2288:BH2288,1,MATCH(2,1/(AW2288:BH2288&lt;&gt;""),1)-1),""))</f>
        <v/>
      </c>
      <c r="BK2288" s="57" cm="1">
        <f t="array" ref="BK2288">IFERROR(INDEX(AW2288:BH2288,1,MATCH(2,1/(AW2288:BH2288&lt;&gt;""),1)),"")</f>
        <v>0</v>
      </c>
      <c r="BL2288" s="57" t="str" cm="1">
        <f t="array" ref="BL2288">IF(BM2288 = "", "",IFERROR(INDEX(AW2288:BH2288,1,MATCH(2,1/(AW2288:BH2288&lt;&gt;""),1)-1),""))</f>
        <v/>
      </c>
      <c r="BM2288" s="55" t="str" cm="1">
        <f t="array" ref="BM2288">IFERROR(
   INDEX($AW$1:$BH$1,
      _xlfn.AGGREGATE(14, 6, COLUMN($AW$1:$BH$1)/(AW2288:BH2288&lt;&gt;""), 2) - COLUMN($AW$1) + 1
   ),
"")</f>
        <v/>
      </c>
      <c r="BN2288" s="55" cm="1">
        <f t="array" ref="BN2288">IFERROR(INDEX($AW$1:$BH$1,1,MATCH(2,1/(AW2288:BH2288&lt;&gt;""))),"")</f>
        <v>46023</v>
      </c>
      <c r="BO2288" s="53">
        <f ca="1">IFERROR(_xlfn.XLOOKUP(F2288,Apuração!A:A,Apuração!C:C)/_xlfn.XLOOKUP(F2288,Apuração!A:A,Apuração!B:B),0)</f>
        <v>0</v>
      </c>
      <c r="BP2288" s="53">
        <f ca="1">IFERROR(_xlfn.XLOOKUP(F2288,Apuração!A:A,Apuração!D:D)/_xlfn.XLOOKUP(F2288,Apuração!A:A,Apuração!B:B),0)</f>
        <v>0</v>
      </c>
      <c r="BQ2288" s="53">
        <f ca="1">IF(BK2288&gt;=BO2288,0,_xlfn.XLOOKUP(F2288,Apuração!A:A,Apuração!B:B)*(BO2288 + (1/_xlfn.XLOOKUP(F2288,Apuração!A:A,Apuração!B:B)) - BK2288))</f>
        <v>0</v>
      </c>
      <c r="BR2288" s="85">
        <f t="shared" ca="1" si="2695"/>
        <v>0</v>
      </c>
      <c r="BS2288" s="53">
        <f ca="1">IFERROR((_xlfn.XLOOKUP(F2288,Apuração!A:A,Apuração!C:C)+1)/_xlfn.XLOOKUP(F2288,Apuração!A:A,Apuração!B:B),0)</f>
        <v>0.14285714285714285</v>
      </c>
    </row>
    <row r="2289" spans="1:71" ht="25.95" hidden="1" customHeight="1" x14ac:dyDescent="0.3">
      <c r="A2289" s="35" t="s">
        <v>44</v>
      </c>
      <c r="B2289" s="10" t="s">
        <v>44</v>
      </c>
      <c r="C2289" s="5" t="s">
        <v>216</v>
      </c>
      <c r="D2289" s="5" t="s">
        <v>219</v>
      </c>
      <c r="E2289" s="4" t="str" cm="1">
        <f t="array" ref="E2289">_xlfn.IFS(
F2289 = "A partir de Abril", "Aguardando Execução na Distribuidora",
A2289 = "CAPACITAÇÃO", "Em execução no Corporativo",
TRUE, "Em Execução na Distribuidora"
)</f>
        <v>Em Execução na Distribuidora</v>
      </c>
      <c r="F2289" s="4" t="str" cm="1">
        <f t="array" ref="F2289">_xlfn.IFS(
AG2289 &lt;&gt; "", "Jan-Dez/26",
AH2289 &lt;&gt; "", "Fev-Dez/26",
AI2289 &lt;&gt; "", "Mar-Dez/26", AJ2289 &lt;&gt; "", "Abr-Dez/26",
TRUE, "A partir de Junho"
)</f>
        <v>A partir de Junho</v>
      </c>
      <c r="G2289" s="10" t="s">
        <v>44</v>
      </c>
      <c r="H2289" s="36" t="s">
        <v>44</v>
      </c>
      <c r="I2289" s="37"/>
      <c r="J2289" s="37"/>
      <c r="K2289" s="37"/>
      <c r="L2289" s="37" t="s">
        <v>207</v>
      </c>
      <c r="M2289" s="37"/>
      <c r="N2289" s="5" t="s">
        <v>42</v>
      </c>
      <c r="O2289" s="5" t="s">
        <v>52</v>
      </c>
      <c r="P2289" s="10" t="s">
        <v>44</v>
      </c>
      <c r="Q2289" s="10" t="s">
        <v>44</v>
      </c>
      <c r="R2289" s="11" t="s">
        <v>44</v>
      </c>
      <c r="S2289" s="11" t="s">
        <v>44</v>
      </c>
      <c r="T2289" s="22"/>
      <c r="U2289" s="22"/>
      <c r="V2289" s="22"/>
      <c r="W2289" s="22"/>
      <c r="X2289" s="22"/>
      <c r="Y2289" s="22"/>
      <c r="Z2289" s="22"/>
      <c r="AA2289" s="22"/>
      <c r="AB2289" s="22"/>
      <c r="AC2289" s="22"/>
      <c r="AD2289" s="22"/>
      <c r="AE2289" s="22"/>
      <c r="AG2289" s="71"/>
      <c r="AH2289" s="71"/>
      <c r="AI2289" s="71"/>
      <c r="AJ2289" s="71"/>
      <c r="AK2289" s="71"/>
      <c r="AL2289" s="71"/>
      <c r="AM2289" s="71"/>
      <c r="AN2289" s="71"/>
      <c r="AO2289" s="71"/>
      <c r="AP2289" s="71"/>
      <c r="AQ2289" s="71"/>
      <c r="AR2289" s="71"/>
      <c r="AS2289" s="94"/>
      <c r="AT2289" s="95"/>
      <c r="AU2289" s="97"/>
      <c r="AW2289" s="84">
        <f t="shared" si="2694"/>
        <v>0</v>
      </c>
      <c r="AX2289" s="84"/>
      <c r="AY2289" s="84"/>
      <c r="AZ2289" s="84"/>
      <c r="BA2289" s="84"/>
      <c r="BB2289" s="84"/>
      <c r="BC2289" s="84"/>
      <c r="BD2289" s="84"/>
      <c r="BE2289" s="84"/>
      <c r="BF2289" s="84"/>
      <c r="BG2289" s="84"/>
      <c r="BH2289" s="84"/>
      <c r="BI2289" s="68" cm="1">
        <f t="array" ref="BI2289">IFERROR(INDEX(AW2289:BH2289,1,MATCH(2,1/(AW2289:BH2289&lt;&gt;""))),"")</f>
        <v>0</v>
      </c>
      <c r="BJ2289" s="68" t="str" cm="1">
        <f t="array" ref="BJ2289">IF(BM2289 = "", "",IFERROR(INDEX(AW2289:BH2289,1,MATCH(2,1/(AW2289:BH2289&lt;&gt;""),1)-1),""))</f>
        <v/>
      </c>
      <c r="BK2289" s="57" cm="1">
        <f t="array" ref="BK2289">IFERROR(INDEX(AW2289:BH2289,1,MATCH(2,1/(AW2289:BH2289&lt;&gt;""),1)),"")</f>
        <v>0</v>
      </c>
      <c r="BL2289" s="57" t="str" cm="1">
        <f t="array" ref="BL2289">IF(BM2289 = "", "",IFERROR(INDEX(AW2289:BH2289,1,MATCH(2,1/(AW2289:BH2289&lt;&gt;""),1)-1),""))</f>
        <v/>
      </c>
      <c r="BM2289" s="55" t="str" cm="1">
        <f t="array" ref="BM2289">IFERROR(
   INDEX($AW$1:$BH$1,
      _xlfn.AGGREGATE(14, 6, COLUMN($AW$1:$BH$1)/(AW2289:BH2289&lt;&gt;""), 2) - COLUMN($AW$1) + 1
   ),
"")</f>
        <v/>
      </c>
      <c r="BN2289" s="55" cm="1">
        <f t="array" ref="BN2289">IFERROR(INDEX($AW$1:$BH$1,1,MATCH(2,1/(AW2289:BH2289&lt;&gt;""))),"")</f>
        <v>46023</v>
      </c>
      <c r="BO2289" s="53">
        <f ca="1">IFERROR(_xlfn.XLOOKUP(F2289,Apuração!A:A,Apuração!C:C)/_xlfn.XLOOKUP(F2289,Apuração!A:A,Apuração!B:B),0)</f>
        <v>0</v>
      </c>
      <c r="BP2289" s="53">
        <f ca="1">IFERROR(_xlfn.XLOOKUP(F2289,Apuração!A:A,Apuração!D:D)/_xlfn.XLOOKUP(F2289,Apuração!A:A,Apuração!B:B),0)</f>
        <v>0</v>
      </c>
      <c r="BQ2289" s="53">
        <f ca="1">IF(BK2289&gt;=BO2289,0,_xlfn.XLOOKUP(F2289,Apuração!A:A,Apuração!B:B)*(BO2289 + (1/_xlfn.XLOOKUP(F2289,Apuração!A:A,Apuração!B:B)) - BK2289))</f>
        <v>0</v>
      </c>
      <c r="BR2289" s="85">
        <f t="shared" ca="1" si="2695"/>
        <v>0</v>
      </c>
      <c r="BS2289" s="53">
        <f ca="1">IFERROR((_xlfn.XLOOKUP(F2289,Apuração!A:A,Apuração!C:C)+1)/_xlfn.XLOOKUP(F2289,Apuração!A:A,Apuração!B:B),0)</f>
        <v>0.14285714285714285</v>
      </c>
    </row>
    <row r="2290" spans="1:71" ht="25.95" hidden="1" customHeight="1" x14ac:dyDescent="0.3">
      <c r="A2290" s="35" t="s">
        <v>44</v>
      </c>
      <c r="B2290" s="10" t="s">
        <v>44</v>
      </c>
      <c r="C2290" s="5" t="s">
        <v>216</v>
      </c>
      <c r="D2290" s="5" t="s">
        <v>36</v>
      </c>
      <c r="E2290" s="4" t="str" cm="1">
        <f t="array" ref="E2290">_xlfn.IFS(
F2290 = "A partir de Abril", "Aguardando Execução na Distribuidora",
A2290 = "CAPACITAÇÃO", "Em execução no Corporativo",
TRUE, "Em Execução na Distribuidora"
)</f>
        <v>Em Execução na Distribuidora</v>
      </c>
      <c r="F2290" s="4" t="str" cm="1">
        <f t="array" ref="F2290">_xlfn.IFS(
AG2290 &lt;&gt; "", "Jan-Dez/26",
AH2290 &lt;&gt; "", "Fev-Dez/26",
AI2290 &lt;&gt; "", "Mar-Dez/26", AJ2290 &lt;&gt; "", "Abr-Dez/26",
TRUE, "A partir de Junho"
)</f>
        <v>Jan-Dez/26</v>
      </c>
      <c r="G2290" s="10" t="s">
        <v>44</v>
      </c>
      <c r="H2290" s="36" t="s">
        <v>44</v>
      </c>
      <c r="I2290" s="37"/>
      <c r="J2290" s="37"/>
      <c r="K2290" s="37"/>
      <c r="L2290" s="37" t="s">
        <v>208</v>
      </c>
      <c r="M2290" s="37"/>
      <c r="N2290" s="5" t="s">
        <v>42</v>
      </c>
      <c r="O2290" s="5" t="s">
        <v>52</v>
      </c>
      <c r="P2290" s="10" t="s">
        <v>44</v>
      </c>
      <c r="Q2290" s="10" t="s">
        <v>44</v>
      </c>
      <c r="R2290" s="11" t="s">
        <v>44</v>
      </c>
      <c r="S2290" s="11" t="s">
        <v>44</v>
      </c>
      <c r="T2290" s="22"/>
      <c r="U2290" s="22"/>
      <c r="V2290" s="22"/>
      <c r="W2290" s="22"/>
      <c r="X2290" s="22"/>
      <c r="Y2290" s="22"/>
      <c r="Z2290" s="22"/>
      <c r="AA2290" s="22"/>
      <c r="AB2290" s="22"/>
      <c r="AC2290" s="22"/>
      <c r="AD2290" s="22"/>
      <c r="AE2290" s="22"/>
      <c r="AG2290" s="112">
        <v>2.7568835108095477</v>
      </c>
      <c r="AH2290" s="112">
        <v>63.122099580335984</v>
      </c>
      <c r="AI2290" s="112">
        <v>32.434987626615566</v>
      </c>
      <c r="AJ2290" s="112">
        <v>51.72</v>
      </c>
      <c r="AK2290" s="112"/>
      <c r="AL2290" s="112"/>
      <c r="AM2290" s="112"/>
      <c r="AN2290" s="112"/>
      <c r="AO2290" s="112"/>
      <c r="AP2290" s="112"/>
      <c r="AQ2290" s="112"/>
      <c r="AR2290" s="112"/>
      <c r="AS2290" s="94"/>
      <c r="AT2290" s="95"/>
      <c r="AU2290" s="97"/>
      <c r="AW2290" s="84">
        <f>AG2290</f>
        <v>2.7568835108095477</v>
      </c>
      <c r="AX2290" s="84">
        <f>AH2290</f>
        <v>63.122099580335984</v>
      </c>
      <c r="AY2290" s="84">
        <f>AI2290</f>
        <v>32.434987626615566</v>
      </c>
      <c r="AZ2290" s="84">
        <f>AJ2290</f>
        <v>51.72</v>
      </c>
      <c r="BA2290" s="84"/>
      <c r="BB2290" s="84"/>
      <c r="BC2290" s="84"/>
      <c r="BD2290" s="84"/>
      <c r="BE2290" s="84"/>
      <c r="BF2290" s="84"/>
      <c r="BG2290" s="84"/>
      <c r="BH2290" s="84"/>
      <c r="BI2290" s="68" cm="1">
        <f t="array" ref="BI2290">IFERROR(INDEX(AW2290:BH2290,1,MATCH(2,1/(AW2290:BH2290&lt;&gt;""))),"")</f>
        <v>51.72</v>
      </c>
      <c r="BJ2290" s="68" cm="1">
        <f t="array" ref="BJ2290">IF(BM2290 = "", "",IFERROR(INDEX(AW2290:BH2290,1,MATCH(2,1/(AW2290:BH2290&lt;&gt;""),1)-1),""))</f>
        <v>32.434987626615566</v>
      </c>
      <c r="BK2290" s="57" cm="1">
        <f t="array" ref="BK2290">IFERROR(INDEX(AW2290:BH2290,1,MATCH(2,1/(AW2290:BH2290&lt;&gt;""),1)),"")</f>
        <v>51.72</v>
      </c>
      <c r="BL2290" s="57" cm="1">
        <f t="array" ref="BL2290">IF(BM2290 = "", "",IFERROR(INDEX(AW2290:BH2290,1,MATCH(2,1/(AW2290:BH2290&lt;&gt;""),1)-1),""))</f>
        <v>32.434987626615566</v>
      </c>
      <c r="BM2290" s="55" cm="1">
        <f t="array" ref="BM2290">IFERROR(
   INDEX($AW$1:$BH$1,
      _xlfn.AGGREGATE(14, 6, COLUMN($AW$1:$BH$1)/(AW2290:BH2290&lt;&gt;""), 2) - COLUMN($AW$1) + 1
   ),
"")</f>
        <v>46082</v>
      </c>
      <c r="BN2290" s="55" cm="1">
        <f t="array" ref="BN2290">IFERROR(INDEX($AW$1:$BH$1,1,MATCH(2,1/(AW2290:BH2290&lt;&gt;""))),"")</f>
        <v>46113</v>
      </c>
      <c r="BO2290" s="53">
        <f ca="1">IFERROR(_xlfn.XLOOKUP(F2290,Apuração!A:A,Apuração!C:C)/_xlfn.XLOOKUP(F2290,Apuração!A:A,Apuração!B:B),0)</f>
        <v>0.41666666666666669</v>
      </c>
      <c r="BP2290" s="53">
        <f ca="1">IFERROR(_xlfn.XLOOKUP(F2290,Apuração!A:A,Apuração!D:D)/_xlfn.XLOOKUP(F2290,Apuração!A:A,Apuração!B:B),0)</f>
        <v>0.33333333333333331</v>
      </c>
      <c r="BQ2290" s="53">
        <f ca="1">IF(BK2290&gt;=BO2290,0,_xlfn.XLOOKUP(F2290,Apuração!A:A,Apuração!B:B)*(BO2290 + (1/_xlfn.XLOOKUP(F2290,Apuração!A:A,Apuração!B:B)) - BK2290))</f>
        <v>0</v>
      </c>
      <c r="BR2290" s="85">
        <f t="shared" ref="BR2290:BR2333" ca="1" si="2696">IF(BQ2290=0,0,BQ2290*Z2290)</f>
        <v>0</v>
      </c>
      <c r="BS2290" s="53">
        <f ca="1">IFERROR((_xlfn.XLOOKUP(F2290,Apuração!A:A,Apuração!C:C)+1)/_xlfn.XLOOKUP(F2290,Apuração!A:A,Apuração!B:B),0)</f>
        <v>0.5</v>
      </c>
    </row>
    <row r="2291" spans="1:71" ht="25.95" hidden="1" customHeight="1" x14ac:dyDescent="0.3">
      <c r="A2291" s="3" t="s">
        <v>33</v>
      </c>
      <c r="B2291" s="4" t="s">
        <v>34</v>
      </c>
      <c r="C2291" s="5" t="s">
        <v>221</v>
      </c>
      <c r="D2291" s="5" t="s">
        <v>36</v>
      </c>
      <c r="E2291" s="4" t="s">
        <v>61</v>
      </c>
      <c r="F2291" s="4" t="str" cm="1">
        <f t="array" ref="F2291">_xlfn.IFS(
AG2291 &lt;&gt; "", "Jan-Dez/26",
AH2291 &lt;&gt; "", "Fev-Dez/26",
AI2291 &lt;&gt; "", "Mar-Dez/26", AJ2291 &lt;&gt; "", "Abr-Dez/26",
TRUE, "A partir de Junho"
)</f>
        <v>A partir de Junho</v>
      </c>
      <c r="G2291" s="6" t="s">
        <v>62</v>
      </c>
      <c r="H2291" s="7" t="s">
        <v>38</v>
      </c>
      <c r="I2291" s="8" t="s">
        <v>39</v>
      </c>
      <c r="J2291" s="8" t="str" cm="1">
        <f t="array" aca="1" ref="J2291" ca="1">_xlfn.LET(
  _xlpm.actual_value_month, INDEX(T2291:AE2291, MATCH(DATE(YEAR(TODAY()), MONTH(TODAY()), 1), $T$1:$AE$1, 0)),
  IF(_xlpm.actual_value_month &lt;&gt; "",_xlpm.actual_value_month &amp; " soluções mensais", "")
)</f>
        <v>2 soluções mensais</v>
      </c>
      <c r="K2291" s="8" t="str" cm="1">
        <f t="array" ref="K2291">_xlfn.LET(
    _xlpm.sum_month, SUM(T2291:AE2291),
    IF(_xlpm.sum_month = 0, "", _xlpm.sum_month &amp; " soluções implementadas no ano")
)</f>
        <v>18 soluções implementadas no ano</v>
      </c>
      <c r="L2291" s="9" t="s">
        <v>40</v>
      </c>
      <c r="M2291" s="9" t="s">
        <v>41</v>
      </c>
      <c r="N2291" s="5" t="s">
        <v>42</v>
      </c>
      <c r="O2291" s="5" t="s">
        <v>43</v>
      </c>
      <c r="P2291" s="10" t="s">
        <v>44</v>
      </c>
      <c r="Q2291" s="10" t="s">
        <v>44</v>
      </c>
      <c r="R2291" s="11" t="s">
        <v>45</v>
      </c>
      <c r="S2291" s="11" t="s">
        <v>46</v>
      </c>
      <c r="T2291" s="22"/>
      <c r="U2291" s="22"/>
      <c r="V2291" s="22"/>
      <c r="W2291" s="22">
        <v>2</v>
      </c>
      <c r="X2291" s="22">
        <v>2</v>
      </c>
      <c r="Y2291" s="22">
        <v>2</v>
      </c>
      <c r="Z2291" s="22">
        <v>2</v>
      </c>
      <c r="AA2291" s="22">
        <v>2</v>
      </c>
      <c r="AB2291" s="22">
        <v>2</v>
      </c>
      <c r="AC2291" s="22">
        <v>2</v>
      </c>
      <c r="AD2291" s="22">
        <v>2</v>
      </c>
      <c r="AE2291" s="22">
        <v>2</v>
      </c>
      <c r="AG2291" s="71"/>
      <c r="AH2291" s="71"/>
      <c r="AI2291" s="71"/>
      <c r="AJ2291" s="71"/>
      <c r="AK2291" s="71"/>
      <c r="AL2291" s="71"/>
      <c r="AM2291" s="71"/>
      <c r="AN2291" s="71"/>
      <c r="AO2291" s="71"/>
      <c r="AP2291" s="71"/>
      <c r="AQ2291" s="71"/>
      <c r="AR2291" s="71"/>
      <c r="AS2291" s="94">
        <f t="shared" ref="AS2291:AS2333" ca="1" si="2697">IF(MONTH(TODAY())=3,SUM(T2291:U2291),IF(MONTH(TODAY())=4,SUM(T2291:V2291),IF(MONTH(TODAY())=5,SUM(T2291:W2291),IF(MONTH(TODAY())=6,SUM(T2291:X2291),IF(MONTH(TODAY())=7,SUM(T2291:Y2291),IF(MONTH(TODAY())=8,SUM(T2291:Z2291),IF(MONTH(TODAY())=9,SUM(T2291:AA2291),IF(MONTH(TODAY())=10,SUM(T2291:AB2291),IF(MONTH(TODAY())=11,SUM(T2291:AC2291),IF(MONTH(TODAY())=12,SUM(T2291:AD2291),IF(MONTH(TODAY())=1,SUM(T2291:AE2291),T2291)))))))))))</f>
        <v>4</v>
      </c>
      <c r="AT2291" s="95">
        <f>SUM(IF(AW2291&lt;1.15,AG2291,1.15*T2291),IF(AX2291&lt;1.15,AH2291,1.15*U2291),IF(AY2291&lt;1.15,AI2291,1.15*V2291),IF(AZ2291&lt;1.15,AJ2291,1.15*W2291),IF(BA2291&lt;1.15,AK2291,1.15*X2291),IF(BB2291&lt;1.15,AL2291,1.15*Y2291),IF(BC2291&lt;1.15,AM2291,1.15*Z2291),IF(BD2291&lt;1.15,AN2291,1.15*AA2291),IF(BE2291&lt;1.15,AO2291,1.15*AB2291),IF(BF2291&lt;1.15,AP2291,1.15*AC2291),IF(BG2291&lt;1.15,AQ2291,1.15*AD2291),IF(BH2291&lt;1.15,AR2291,1.15*AE2291))</f>
        <v>0</v>
      </c>
      <c r="AU2291" s="97">
        <f t="shared" ref="AU2291:AU2333" si="2698">SUM(AG2291:AR2291)</f>
        <v>0</v>
      </c>
      <c r="AW2291" s="51">
        <f>IFERROR(IF(AG2291="",0,AG2291/T2291),0)</f>
        <v>0</v>
      </c>
      <c r="AX2291" s="51">
        <f>IFERROR(IF(AH2291="",0,AH2291/U2291),0)</f>
        <v>0</v>
      </c>
      <c r="AY2291" s="51">
        <f>IFERROR(IF(AI2291="",0,AI2291/V2291),0)</f>
        <v>0</v>
      </c>
      <c r="AZ2291" s="51">
        <f>IFERROR(IF(AJ2291="",0,AJ2291/W2291),0)</f>
        <v>0</v>
      </c>
      <c r="BA2291" s="51"/>
      <c r="BB2291" s="51"/>
      <c r="BC2291" s="51"/>
      <c r="BD2291" s="51"/>
      <c r="BE2291" s="51"/>
      <c r="BF2291" s="51"/>
      <c r="BG2291" s="51"/>
      <c r="BH2291" s="51"/>
      <c r="BI2291" s="65" cm="1">
        <f t="array" ref="BI2291">IFERROR(INDEX(AW2291:BH2291,1,MATCH(2,1/(AW2291:BH2291&lt;&gt;""))),"")</f>
        <v>0</v>
      </c>
      <c r="BJ2291" s="68" cm="1">
        <f t="array" ref="BJ2291">IF(BM2291 = "", "",IFERROR(INDEX(AW2291:BH2291,1,MATCH(2,1/(AW2291:BH2291&lt;&gt;""),1)-1),""))</f>
        <v>0</v>
      </c>
      <c r="BK2291" s="58">
        <f>IF((IF(AW2291&gt;=115%,115%,AW2291) + IF(AX2291&gt;=115%,115%,AX2291) + IF(AY2291&gt;=115%,115%,AY2291) + (IF(AZ2291&gt;=115%,115%,AZ2291) + IF(BA2291&gt;=115%,115%,BA2291) + IF(BB2291&gt;=115%,115%,BB2291) + IF(BC2291&gt;=115%,115%,BC2291) + IF(BD2291&gt;=115%,115%,BD2291) + IF(BE2291&gt;=115%,115%,BE2291) + IF(BF2291&gt;=115%,115%,BF2291) + IF(BG2291&gt;=115%,115%,BG2291) + IF(BH2291&gt;=115%,115%,BH2291)))/_xlfn.XLOOKUP(F2291,Apuração!A:A,Apuração!B:B)&gt;=1.15,1.15,((IF(AZ2291&gt;=115%,115%,AZ2291) + IF(AX2291&gt;=115%,115%,AX2291) + IF(AY2291&gt;=115%,115%,AY2291) + (IF(AW2291&gt;=115%,115%,AW2291) + IF(BA2291&gt;=115%,115%,BA2291) + IF(BB2291&gt;=115%,115%,BB2291) + IF(BC2291&gt;=115%,115%,BC2291) + IF(BD2291&gt;=115%,115%,BD2291) + IF(BE2291&gt;=115%,115%,BE2291) + IF(BF2291&gt;=115%,115%,BF2291) + IF(BG2291&gt;=115%,115%,BG2291) + IF(BH2291&gt;=115%,115%,BH2291)))/_xlfn.XLOOKUP(F2291,Apuração!A:A,Apuração!B:B)))</f>
        <v>0</v>
      </c>
      <c r="BL2291" s="58" cm="1">
        <f t="array" aca="1" ref="BL2291" ca="1">IF(SUM(IFERROR(IF(INDEX(AW2291:INDEX(AW2291:BH2291, MATCH(2, 1/(AW2291:BH2291&lt;&gt;""), 1)-1), ROW(INDIRECT("1:" &amp; MATCH(2, 1/(AW2291:BH2291&lt;&gt;""), 1)-1))) &gt;= 115%, 115%, INDEX(AW2291:INDEX(AW2291:BH2291, MATCH(2, 1/(AW2291:BH2291&lt;&gt;""), 1)-1), ROW(INDIRECT("1:" &amp; MATCH(2, 1/(AW2291:BH2291&lt;&gt;""), 1)-1)))), 0))/_xlfn.XLOOKUP(F2291,Apuração!A:A,Apuração!B:B)&gt;=1.15,1.15,SUM(IFERROR(IF(INDEX(AW2291:INDEX(AW2291:BH2291, MATCH(2, 1/(AW2291:BH2291&lt;&gt;""), 1)-1), ROW(INDIRECT("1:" &amp; MATCH(2, 1/(AW2291:BH2291&lt;&gt;""), 1)-1))) &gt;= 115%, 115%, INDEX(AW2291:INDEX(AW2291:BH2291, MATCH(2, 1/(AW2291:BH2291&lt;&gt;""), 1)-1), ROW(INDIRECT("1:" &amp; MATCH(2, 1/(AW2291:BH2291&lt;&gt;""), 1)-1)))), 0))/_xlfn.XLOOKUP(F2291,Apuração!A:A,Apuração!B:B))</f>
        <v>0</v>
      </c>
      <c r="BM2291" s="55" cm="1">
        <f t="array" ref="BM2291">IFERROR(
   INDEX($AW$1:$BH$1,
      _xlfn.AGGREGATE(14, 6, COLUMN($AW$1:$BH$1)/(AW2291:BH2291&lt;&gt;""), 2) - COLUMN($AW$1) + 1
   ),
"")</f>
        <v>46082</v>
      </c>
      <c r="BN2291" s="55" cm="1">
        <f t="array" ref="BN2291">IFERROR(INDEX($AW$1:$BH$1,1,MATCH(2,1/(AW2291:BH2291&lt;&gt;""))),"")</f>
        <v>46113</v>
      </c>
      <c r="BO2291" s="53">
        <f ca="1">IFERROR(_xlfn.XLOOKUP(F2291,Apuração!A:A,Apuração!C:C)/_xlfn.XLOOKUP(F2291,Apuração!A:A,Apuração!B:B),0)</f>
        <v>0</v>
      </c>
      <c r="BP2291" s="53">
        <f ca="1">IFERROR(_xlfn.XLOOKUP(F2291,Apuração!A:A,Apuração!D:D)/_xlfn.XLOOKUP(F2291,Apuração!A:A,Apuração!B:B),0)</f>
        <v>0</v>
      </c>
      <c r="BQ2291" s="53">
        <f ca="1">IF(BK2291&gt;=BO2291,0,_xlfn.XLOOKUP(F2291,Apuração!A:A,Apuração!B:B)*(BO2291 + (1/_xlfn.XLOOKUP(F2291,Apuração!A:A,Apuração!B:B)) - BK2291))</f>
        <v>0</v>
      </c>
      <c r="BR2291" s="85">
        <f t="shared" ca="1" si="2696"/>
        <v>0</v>
      </c>
      <c r="BS2291" s="53">
        <f ca="1">IFERROR((_xlfn.XLOOKUP(F2291,Apuração!A:A,Apuração!C:C)+1)/_xlfn.XLOOKUP(F2291,Apuração!A:A,Apuração!B:B),0)</f>
        <v>0.14285714285714285</v>
      </c>
    </row>
    <row r="2292" spans="1:71" ht="25.95" hidden="1" customHeight="1" x14ac:dyDescent="0.3">
      <c r="A2292" s="3" t="s">
        <v>33</v>
      </c>
      <c r="B2292" s="4" t="s">
        <v>34</v>
      </c>
      <c r="C2292" s="5" t="s">
        <v>221</v>
      </c>
      <c r="D2292" s="5" t="s">
        <v>212</v>
      </c>
      <c r="E2292" s="4" t="s">
        <v>61</v>
      </c>
      <c r="F2292" s="4" t="str" cm="1">
        <f t="array" ref="F2292">_xlfn.IFS(
AG2292 &lt;&gt; "", "Jan-Dez/26",
AH2292 &lt;&gt; "", "Fev-Dez/26",
AI2292 &lt;&gt; "", "Mar-Dez/26", AJ2292 &lt;&gt; "", "Abr-Dez/26",
TRUE, "A partir de Junho"
)</f>
        <v>A partir de Junho</v>
      </c>
      <c r="G2292" s="6" t="s">
        <v>62</v>
      </c>
      <c r="H2292" s="7" t="s">
        <v>38</v>
      </c>
      <c r="I2292" s="8" t="s">
        <v>39</v>
      </c>
      <c r="J2292" s="8" t="str" cm="1">
        <f t="array" aca="1" ref="J2292" ca="1">_xlfn.LET(
  _xlpm.actual_value_month, INDEX(T2292:AE2292, MATCH(DATE(YEAR(TODAY()), MONTH(TODAY()), 1), $T$1:$AE$1, 0)),
  IF(_xlpm.actual_value_month &lt;&gt; "",_xlpm.actual_value_month &amp; " soluções mensais", "")
)</f>
        <v>1 soluções mensais</v>
      </c>
      <c r="K2292" s="8" t="str" cm="1">
        <f t="array" ref="K2292">_xlfn.LET(
    _xlpm.sum_month, SUM(T2292:AE2292),
    IF(_xlpm.sum_month = 0, "", _xlpm.sum_month &amp; " soluções implementadas no ano")
)</f>
        <v>12 soluções implementadas no ano</v>
      </c>
      <c r="L2292" s="9" t="s">
        <v>40</v>
      </c>
      <c r="M2292" s="9" t="s">
        <v>41</v>
      </c>
      <c r="N2292" s="5" t="s">
        <v>42</v>
      </c>
      <c r="O2292" s="5" t="s">
        <v>43</v>
      </c>
      <c r="P2292" s="10" t="s">
        <v>44</v>
      </c>
      <c r="Q2292" s="10" t="s">
        <v>44</v>
      </c>
      <c r="R2292" s="11" t="s">
        <v>45</v>
      </c>
      <c r="S2292" s="11" t="s">
        <v>46</v>
      </c>
      <c r="T2292" s="152">
        <v>1</v>
      </c>
      <c r="U2292" s="152">
        <v>1</v>
      </c>
      <c r="V2292" s="152">
        <v>1</v>
      </c>
      <c r="W2292" s="152">
        <v>1</v>
      </c>
      <c r="X2292" s="152">
        <v>1</v>
      </c>
      <c r="Y2292" s="152">
        <v>1</v>
      </c>
      <c r="Z2292" s="152">
        <v>1</v>
      </c>
      <c r="AA2292" s="152">
        <v>1</v>
      </c>
      <c r="AB2292" s="152">
        <v>1</v>
      </c>
      <c r="AC2292" s="152">
        <v>1</v>
      </c>
      <c r="AD2292" s="152">
        <v>1</v>
      </c>
      <c r="AE2292" s="152">
        <v>1</v>
      </c>
      <c r="AG2292" s="71"/>
      <c r="AH2292" s="71"/>
      <c r="AI2292" s="71"/>
      <c r="AJ2292" s="71"/>
      <c r="AK2292" s="71"/>
      <c r="AL2292" s="71"/>
      <c r="AM2292" s="71"/>
      <c r="AN2292" s="71"/>
      <c r="AO2292" s="71"/>
      <c r="AP2292" s="71"/>
      <c r="AQ2292" s="71"/>
      <c r="AR2292" s="71"/>
      <c r="AS2292" s="94">
        <f t="shared" ref="AS2292:AS2293" ca="1" si="2699">IF(MONTH(TODAY())=3,SUM(T2292:U2292),IF(MONTH(TODAY())=4,SUM(T2292:V2292),IF(MONTH(TODAY())=5,SUM(T2292:W2292),IF(MONTH(TODAY())=6,SUM(T2292:X2292),IF(MONTH(TODAY())=7,SUM(T2292:Y2292),IF(MONTH(TODAY())=8,SUM(T2292:Z2292),IF(MONTH(TODAY())=9,SUM(T2292:AA2292),IF(MONTH(TODAY())=10,SUM(T2292:AB2292),IF(MONTH(TODAY())=11,SUM(T2292:AC2292),IF(MONTH(TODAY())=12,SUM(T2292:AD2292),IF(MONTH(TODAY())=1,SUM(T2292:AE2292),T2292)))))))))))</f>
        <v>5</v>
      </c>
      <c r="AT2292" s="95">
        <f t="shared" ref="AT2292:AT2293" si="2700">SUM(IF(AW2292&lt;1.15,AG2292,1.15*T2292),IF(AX2292&lt;1.15,AH2292,1.15*U2292),IF(AY2292&lt;1.15,AI2292,1.15*V2292),IF(AZ2292&lt;1.15,AJ2292,1.15*W2292),IF(BA2292&lt;1.15,AK2292,1.15*X2292),IF(BB2292&lt;1.15,AL2292,1.15*Y2292),IF(BC2292&lt;1.15,AM2292,1.15*Z2292),IF(BD2292&lt;1.15,AN2292,1.15*AA2292),IF(BE2292&lt;1.15,AO2292,1.15*AB2292),IF(BF2292&lt;1.15,AP2292,1.15*AC2292),IF(BG2292&lt;1.15,AQ2292,1.15*AD2292),IF(BH2292&lt;1.15,AR2292,1.15*AE2292))</f>
        <v>0</v>
      </c>
      <c r="AU2292" s="97">
        <f t="shared" ref="AU2292:AU2293" si="2701">SUM(AG2292:AR2292)</f>
        <v>0</v>
      </c>
      <c r="AW2292" s="51">
        <f t="shared" ref="AW2292:AW2293" si="2702">IFERROR(IF(AG2292="",0,AG2292/T2292),0)</f>
        <v>0</v>
      </c>
      <c r="AX2292" s="51">
        <f t="shared" ref="AX2292:AX2293" si="2703">IFERROR(IF(AH2292="",0,AH2292/U2292),0)</f>
        <v>0</v>
      </c>
      <c r="AY2292" s="51">
        <f t="shared" ref="AY2292:AY2293" si="2704">IFERROR(IF(AI2292="",0,AI2292/V2292),0)</f>
        <v>0</v>
      </c>
      <c r="AZ2292" s="51">
        <f t="shared" ref="AZ2292:AZ2293" si="2705">IFERROR(IF(AJ2292="",0,AJ2292/W2292),0)</f>
        <v>0</v>
      </c>
      <c r="BA2292" s="51"/>
      <c r="BB2292" s="51"/>
      <c r="BC2292" s="51"/>
      <c r="BD2292" s="51"/>
      <c r="BE2292" s="51"/>
      <c r="BF2292" s="51"/>
      <c r="BG2292" s="51"/>
      <c r="BH2292" s="51"/>
      <c r="BI2292" s="65" cm="1">
        <f t="array" ref="BI2292">IFERROR(INDEX(AW2292:BH2292,1,MATCH(2,1/(AW2292:BH2292&lt;&gt;""))),"")</f>
        <v>0</v>
      </c>
      <c r="BJ2292" s="68" cm="1">
        <f t="array" ref="BJ2292">IF(BM2292 = "", "",IFERROR(INDEX(AW2292:BH2292,1,MATCH(2,1/(AW2292:BH2292&lt;&gt;""),1)-1),""))</f>
        <v>0</v>
      </c>
      <c r="BK2292" s="58">
        <f>IF((IF(AW2292&gt;=115%,115%,AW2292) + IF(AX2292&gt;=115%,115%,AX2292) + IF(AY2292&gt;=115%,115%,AY2292) + (IF(AZ2292&gt;=115%,115%,AZ2292) + IF(BA2292&gt;=115%,115%,BA2292) + IF(BB2292&gt;=115%,115%,BB2292) + IF(BC2292&gt;=115%,115%,BC2292) + IF(BD2292&gt;=115%,115%,BD2292) + IF(BE2292&gt;=115%,115%,BE2292) + IF(BF2292&gt;=115%,115%,BF2292) + IF(BG2292&gt;=115%,115%,BG2292) + IF(BH2292&gt;=115%,115%,BH2292)))/_xlfn.XLOOKUP(F2292,Apuração!A:A,Apuração!B:B)&gt;=1.15,1.15,((IF(AZ2292&gt;=115%,115%,AZ2292) + IF(AX2292&gt;=115%,115%,AX2292) + IF(AY2292&gt;=115%,115%,AY2292) + (IF(AW2292&gt;=115%,115%,AW2292) + IF(BA2292&gt;=115%,115%,BA2292) + IF(BB2292&gt;=115%,115%,BB2292) + IF(BC2292&gt;=115%,115%,BC2292) + IF(BD2292&gt;=115%,115%,BD2292) + IF(BE2292&gt;=115%,115%,BE2292) + IF(BF2292&gt;=115%,115%,BF2292) + IF(BG2292&gt;=115%,115%,BG2292) + IF(BH2292&gt;=115%,115%,BH2292)))/_xlfn.XLOOKUP(F2292,Apuração!A:A,Apuração!B:B)))</f>
        <v>0</v>
      </c>
      <c r="BL2292" s="58" cm="1">
        <f t="array" aca="1" ref="BL2292" ca="1">IF(SUM(IFERROR(IF(INDEX(AW2292:INDEX(AW2292:BH2292, MATCH(2, 1/(AW2292:BH2292&lt;&gt;""), 1)-1), ROW(INDIRECT("1:" &amp; MATCH(2, 1/(AW2292:BH2292&lt;&gt;""), 1)-1))) &gt;= 115%, 115%, INDEX(AW2292:INDEX(AW2292:BH2292, MATCH(2, 1/(AW2292:BH2292&lt;&gt;""), 1)-1), ROW(INDIRECT("1:" &amp; MATCH(2, 1/(AW2292:BH2292&lt;&gt;""), 1)-1)))), 0))/_xlfn.XLOOKUP(F2292,Apuração!A:A,Apuração!B:B)&gt;=1.15,1.15,SUM(IFERROR(IF(INDEX(AW2292:INDEX(AW2292:BH2292, MATCH(2, 1/(AW2292:BH2292&lt;&gt;""), 1)-1), ROW(INDIRECT("1:" &amp; MATCH(2, 1/(AW2292:BH2292&lt;&gt;""), 1)-1))) &gt;= 115%, 115%, INDEX(AW2292:INDEX(AW2292:BH2292, MATCH(2, 1/(AW2292:BH2292&lt;&gt;""), 1)-1), ROW(INDIRECT("1:" &amp; MATCH(2, 1/(AW2292:BH2292&lt;&gt;""), 1)-1)))), 0))/_xlfn.XLOOKUP(F2292,Apuração!A:A,Apuração!B:B))</f>
        <v>0</v>
      </c>
      <c r="BM2292" s="55" cm="1">
        <f t="array" ref="BM2292">IFERROR(
   INDEX($AW$1:$BH$1,
      _xlfn.AGGREGATE(14, 6, COLUMN($AW$1:$BH$1)/(AW2292:BH2292&lt;&gt;""), 2) - COLUMN($AW$1) + 1
   ),
"")</f>
        <v>46082</v>
      </c>
      <c r="BN2292" s="55" cm="1">
        <f t="array" ref="BN2292">IFERROR(INDEX($AW$1:$BH$1,1,MATCH(2,1/(AW2292:BH2292&lt;&gt;""))),"")</f>
        <v>46113</v>
      </c>
      <c r="BO2292" s="53">
        <f ca="1">IFERROR(_xlfn.XLOOKUP(F2292,Apuração!A:A,Apuração!C:C)/_xlfn.XLOOKUP(F2292,Apuração!A:A,Apuração!B:B),0)</f>
        <v>0</v>
      </c>
      <c r="BP2292" s="53">
        <f ca="1">IFERROR(_xlfn.XLOOKUP(F2292,Apuração!A:A,Apuração!D:D)/_xlfn.XLOOKUP(F2292,Apuração!A:A,Apuração!B:B),0)</f>
        <v>0</v>
      </c>
      <c r="BQ2292" s="53">
        <f ca="1">IF(BK2292&gt;=BO2292,0,_xlfn.XLOOKUP(F2292,Apuração!A:A,Apuração!B:B)*(BO2292 + (1/_xlfn.XLOOKUP(F2292,Apuração!A:A,Apuração!B:B)) - BK2292))</f>
        <v>0</v>
      </c>
      <c r="BR2292" s="85">
        <f t="shared" ref="BR2292:BR2293" ca="1" si="2706">IF(BQ2292=0,0,BQ2292*Z2292)</f>
        <v>0</v>
      </c>
      <c r="BS2292" s="53">
        <f ca="1">IFERROR((_xlfn.XLOOKUP(F2292,Apuração!A:A,Apuração!C:C)+1)/_xlfn.XLOOKUP(F2292,Apuração!A:A,Apuração!B:B),0)</f>
        <v>0.14285714285714285</v>
      </c>
    </row>
    <row r="2293" spans="1:71" ht="25.95" hidden="1" customHeight="1" x14ac:dyDescent="0.3">
      <c r="A2293" s="3" t="s">
        <v>33</v>
      </c>
      <c r="B2293" s="4" t="s">
        <v>34</v>
      </c>
      <c r="C2293" s="5" t="s">
        <v>221</v>
      </c>
      <c r="D2293" s="5" t="s">
        <v>213</v>
      </c>
      <c r="E2293" s="4" t="s">
        <v>61</v>
      </c>
      <c r="F2293" s="4" t="str" cm="1">
        <f t="array" ref="F2293">_xlfn.IFS(
AG2293 &lt;&gt; "", "Jan-Dez/26",
AH2293 &lt;&gt; "", "Fev-Dez/26",
AI2293 &lt;&gt; "", "Mar-Dez/26", AJ2293 &lt;&gt; "", "Abr-Dez/26",
TRUE, "A partir de Junho"
)</f>
        <v>A partir de Junho</v>
      </c>
      <c r="G2293" s="6" t="s">
        <v>62</v>
      </c>
      <c r="H2293" s="7" t="s">
        <v>38</v>
      </c>
      <c r="I2293" s="8" t="s">
        <v>39</v>
      </c>
      <c r="J2293" s="8" t="str" cm="1">
        <f t="array" aca="1" ref="J2293" ca="1">_xlfn.LET(
  _xlpm.actual_value_month, INDEX(T2293:AE2293, MATCH(DATE(YEAR(TODAY()), MONTH(TODAY()), 1), $T$1:$AE$1, 0)),
  IF(_xlpm.actual_value_month &lt;&gt; "",_xlpm.actual_value_month &amp; " soluções mensais", "")
)</f>
        <v>1 soluções mensais</v>
      </c>
      <c r="K2293" s="8" t="str" cm="1">
        <f t="array" ref="K2293">_xlfn.LET(
    _xlpm.sum_month, SUM(T2293:AE2293),
    IF(_xlpm.sum_month = 0, "", _xlpm.sum_month &amp; " soluções implementadas no ano")
)</f>
        <v>12 soluções implementadas no ano</v>
      </c>
      <c r="L2293" s="9" t="s">
        <v>40</v>
      </c>
      <c r="M2293" s="9" t="s">
        <v>41</v>
      </c>
      <c r="N2293" s="5" t="s">
        <v>42</v>
      </c>
      <c r="O2293" s="5" t="s">
        <v>43</v>
      </c>
      <c r="P2293" s="10" t="s">
        <v>44</v>
      </c>
      <c r="Q2293" s="10" t="s">
        <v>44</v>
      </c>
      <c r="R2293" s="11" t="s">
        <v>45</v>
      </c>
      <c r="S2293" s="11" t="s">
        <v>46</v>
      </c>
      <c r="T2293" s="152">
        <v>1</v>
      </c>
      <c r="U2293" s="152">
        <v>1</v>
      </c>
      <c r="V2293" s="152">
        <v>1</v>
      </c>
      <c r="W2293" s="152">
        <v>1</v>
      </c>
      <c r="X2293" s="152">
        <v>1</v>
      </c>
      <c r="Y2293" s="152">
        <v>1</v>
      </c>
      <c r="Z2293" s="152">
        <v>1</v>
      </c>
      <c r="AA2293" s="152">
        <v>1</v>
      </c>
      <c r="AB2293" s="152">
        <v>1</v>
      </c>
      <c r="AC2293" s="152">
        <v>1</v>
      </c>
      <c r="AD2293" s="152">
        <v>1</v>
      </c>
      <c r="AE2293" s="152">
        <v>1</v>
      </c>
      <c r="AG2293" s="71"/>
      <c r="AH2293" s="71"/>
      <c r="AI2293" s="71"/>
      <c r="AJ2293" s="71"/>
      <c r="AK2293" s="71"/>
      <c r="AL2293" s="71"/>
      <c r="AM2293" s="71"/>
      <c r="AN2293" s="71"/>
      <c r="AO2293" s="71"/>
      <c r="AP2293" s="71"/>
      <c r="AQ2293" s="71"/>
      <c r="AR2293" s="71"/>
      <c r="AS2293" s="94">
        <f t="shared" ca="1" si="2699"/>
        <v>5</v>
      </c>
      <c r="AT2293" s="95">
        <f t="shared" si="2700"/>
        <v>0</v>
      </c>
      <c r="AU2293" s="97">
        <f t="shared" si="2701"/>
        <v>0</v>
      </c>
      <c r="AW2293" s="51">
        <f t="shared" si="2702"/>
        <v>0</v>
      </c>
      <c r="AX2293" s="51">
        <f t="shared" si="2703"/>
        <v>0</v>
      </c>
      <c r="AY2293" s="51">
        <f t="shared" si="2704"/>
        <v>0</v>
      </c>
      <c r="AZ2293" s="51">
        <f t="shared" si="2705"/>
        <v>0</v>
      </c>
      <c r="BA2293" s="51"/>
      <c r="BB2293" s="51"/>
      <c r="BC2293" s="51"/>
      <c r="BD2293" s="51"/>
      <c r="BE2293" s="51"/>
      <c r="BF2293" s="51"/>
      <c r="BG2293" s="51"/>
      <c r="BH2293" s="51"/>
      <c r="BI2293" s="65" cm="1">
        <f t="array" ref="BI2293">IFERROR(INDEX(AW2293:BH2293,1,MATCH(2,1/(AW2293:BH2293&lt;&gt;""))),"")</f>
        <v>0</v>
      </c>
      <c r="BJ2293" s="68" cm="1">
        <f t="array" ref="BJ2293">IF(BM2293 = "", "",IFERROR(INDEX(AW2293:BH2293,1,MATCH(2,1/(AW2293:BH2293&lt;&gt;""),1)-1),""))</f>
        <v>0</v>
      </c>
      <c r="BK2293" s="58">
        <f>IF((IF(AW2293&gt;=115%,115%,AW2293) + IF(AX2293&gt;=115%,115%,AX2293) + IF(AY2293&gt;=115%,115%,AY2293) + (IF(AZ2293&gt;=115%,115%,AZ2293) + IF(BA2293&gt;=115%,115%,BA2293) + IF(BB2293&gt;=115%,115%,BB2293) + IF(BC2293&gt;=115%,115%,BC2293) + IF(BD2293&gt;=115%,115%,BD2293) + IF(BE2293&gt;=115%,115%,BE2293) + IF(BF2293&gt;=115%,115%,BF2293) + IF(BG2293&gt;=115%,115%,BG2293) + IF(BH2293&gt;=115%,115%,BH2293)))/_xlfn.XLOOKUP(F2293,Apuração!A:A,Apuração!B:B)&gt;=1.15,1.15,((IF(AZ2293&gt;=115%,115%,AZ2293) + IF(AX2293&gt;=115%,115%,AX2293) + IF(AY2293&gt;=115%,115%,AY2293) + (IF(AW2293&gt;=115%,115%,AW2293) + IF(BA2293&gt;=115%,115%,BA2293) + IF(BB2293&gt;=115%,115%,BB2293) + IF(BC2293&gt;=115%,115%,BC2293) + IF(BD2293&gt;=115%,115%,BD2293) + IF(BE2293&gt;=115%,115%,BE2293) + IF(BF2293&gt;=115%,115%,BF2293) + IF(BG2293&gt;=115%,115%,BG2293) + IF(BH2293&gt;=115%,115%,BH2293)))/_xlfn.XLOOKUP(F2293,Apuração!A:A,Apuração!B:B)))</f>
        <v>0</v>
      </c>
      <c r="BL2293" s="58" cm="1">
        <f t="array" aca="1" ref="BL2293" ca="1">IF(SUM(IFERROR(IF(INDEX(AW2293:INDEX(AW2293:BH2293, MATCH(2, 1/(AW2293:BH2293&lt;&gt;""), 1)-1), ROW(INDIRECT("1:" &amp; MATCH(2, 1/(AW2293:BH2293&lt;&gt;""), 1)-1))) &gt;= 115%, 115%, INDEX(AW2293:INDEX(AW2293:BH2293, MATCH(2, 1/(AW2293:BH2293&lt;&gt;""), 1)-1), ROW(INDIRECT("1:" &amp; MATCH(2, 1/(AW2293:BH2293&lt;&gt;""), 1)-1)))), 0))/_xlfn.XLOOKUP(F2293,Apuração!A:A,Apuração!B:B)&gt;=1.15,1.15,SUM(IFERROR(IF(INDEX(AW2293:INDEX(AW2293:BH2293, MATCH(2, 1/(AW2293:BH2293&lt;&gt;""), 1)-1), ROW(INDIRECT("1:" &amp; MATCH(2, 1/(AW2293:BH2293&lt;&gt;""), 1)-1))) &gt;= 115%, 115%, INDEX(AW2293:INDEX(AW2293:BH2293, MATCH(2, 1/(AW2293:BH2293&lt;&gt;""), 1)-1), ROW(INDIRECT("1:" &amp; MATCH(2, 1/(AW2293:BH2293&lt;&gt;""), 1)-1)))), 0))/_xlfn.XLOOKUP(F2293,Apuração!A:A,Apuração!B:B))</f>
        <v>0</v>
      </c>
      <c r="BM2293" s="55" cm="1">
        <f t="array" ref="BM2293">IFERROR(
   INDEX($AW$1:$BH$1,
      _xlfn.AGGREGATE(14, 6, COLUMN($AW$1:$BH$1)/(AW2293:BH2293&lt;&gt;""), 2) - COLUMN($AW$1) + 1
   ),
"")</f>
        <v>46082</v>
      </c>
      <c r="BN2293" s="55" cm="1">
        <f t="array" ref="BN2293">IFERROR(INDEX($AW$1:$BH$1,1,MATCH(2,1/(AW2293:BH2293&lt;&gt;""))),"")</f>
        <v>46113</v>
      </c>
      <c r="BO2293" s="53">
        <f ca="1">IFERROR(_xlfn.XLOOKUP(F2293,Apuração!A:A,Apuração!C:C)/_xlfn.XLOOKUP(F2293,Apuração!A:A,Apuração!B:B),0)</f>
        <v>0</v>
      </c>
      <c r="BP2293" s="53">
        <f ca="1">IFERROR(_xlfn.XLOOKUP(F2293,Apuração!A:A,Apuração!D:D)/_xlfn.XLOOKUP(F2293,Apuração!A:A,Apuração!B:B),0)</f>
        <v>0</v>
      </c>
      <c r="BQ2293" s="53">
        <f ca="1">IF(BK2293&gt;=BO2293,0,_xlfn.XLOOKUP(F2293,Apuração!A:A,Apuração!B:B)*(BO2293 + (1/_xlfn.XLOOKUP(F2293,Apuração!A:A,Apuração!B:B)) - BK2293))</f>
        <v>0</v>
      </c>
      <c r="BR2293" s="85">
        <f t="shared" ca="1" si="2706"/>
        <v>0</v>
      </c>
      <c r="BS2293" s="53">
        <f ca="1">IFERROR((_xlfn.XLOOKUP(F2293,Apuração!A:A,Apuração!C:C)+1)/_xlfn.XLOOKUP(F2293,Apuração!A:A,Apuração!B:B),0)</f>
        <v>0.14285714285714285</v>
      </c>
    </row>
    <row r="2294" spans="1:71" ht="25.95" hidden="1" customHeight="1" x14ac:dyDescent="0.3">
      <c r="A2294" s="39" t="s">
        <v>33</v>
      </c>
      <c r="B2294" s="4" t="s">
        <v>34</v>
      </c>
      <c r="C2294" s="5" t="s">
        <v>221</v>
      </c>
      <c r="D2294" s="5" t="s">
        <v>36</v>
      </c>
      <c r="E2294" s="4" t="s">
        <v>61</v>
      </c>
      <c r="F2294" s="4" t="str" cm="1">
        <f t="array" ref="F2294">_xlfn.IFS(
AG2294 &lt;&gt; "", "Jan-Dez/26",
AH2294 &lt;&gt; "", "Fev-Dez/26",
AI2294 &lt;&gt; "", "Mar-Dez/26", AJ2294 &lt;&gt; "", "Abr-Dez/26",
TRUE, "A partir de Junho"
)</f>
        <v>A partir de Junho</v>
      </c>
      <c r="G2294" s="6" t="s">
        <v>62</v>
      </c>
      <c r="H2294" s="7" t="s">
        <v>38</v>
      </c>
      <c r="I2294" s="9" t="s">
        <v>49</v>
      </c>
      <c r="J2294" s="8" t="str" cm="1">
        <f t="array" aca="1" ref="J2294" ca="1">_xlfn.LET(
  _xlpm.actual_value_month, INDEX(T2294:AE2294, MATCH(DATE(YEAR(TODAY()), MONTH(TODAY()), 1), $T$1:$AE$1, 0)),
  IF(_xlpm.actual_value_month &lt;&gt; "",_xlpm.actual_value_month &amp; " ações mensais", "")
)</f>
        <v/>
      </c>
      <c r="K2294" s="8" t="str" cm="1">
        <f t="array" ref="K2294">_xlfn.LET(
    _xlpm.sum_month, SUM(T2294:AE2294),
    IF(_xlpm.sum_month = 0, "", _xlpm.sum_month &amp; " soluções implementadas no ano")
)</f>
        <v/>
      </c>
      <c r="L2294" s="9" t="s">
        <v>50</v>
      </c>
      <c r="M2294" s="9"/>
      <c r="N2294" s="5" t="s">
        <v>51</v>
      </c>
      <c r="O2294" s="5" t="s">
        <v>52</v>
      </c>
      <c r="P2294" s="10" t="s">
        <v>44</v>
      </c>
      <c r="Q2294" s="10" t="s">
        <v>44</v>
      </c>
      <c r="R2294" s="10" t="s">
        <v>44</v>
      </c>
      <c r="S2294" s="10" t="s">
        <v>44</v>
      </c>
      <c r="T2294" s="22"/>
      <c r="U2294" s="22"/>
      <c r="V2294" s="22"/>
      <c r="W2294" s="22"/>
      <c r="X2294" s="22"/>
      <c r="Y2294" s="22"/>
      <c r="Z2294" s="22"/>
      <c r="AA2294" s="22"/>
      <c r="AB2294" s="22"/>
      <c r="AC2294" s="22"/>
      <c r="AD2294" s="22"/>
      <c r="AE2294" s="22"/>
      <c r="AG2294" s="71"/>
      <c r="AH2294" s="71"/>
      <c r="AI2294" s="71"/>
      <c r="AJ2294" s="71"/>
      <c r="AK2294" s="71"/>
      <c r="AL2294" s="71"/>
      <c r="AM2294" s="71"/>
      <c r="AN2294" s="71"/>
      <c r="AO2294" s="71"/>
      <c r="AP2294" s="71"/>
      <c r="AQ2294" s="71"/>
      <c r="AR2294" s="71"/>
      <c r="AS2294" s="94">
        <f t="shared" ca="1" si="2697"/>
        <v>0</v>
      </c>
      <c r="AT2294" s="95">
        <f>SUM(AG2294:AR2294)</f>
        <v>0</v>
      </c>
      <c r="AU2294" s="97">
        <f t="shared" si="2698"/>
        <v>0</v>
      </c>
      <c r="AW2294" s="83">
        <f>AG2294</f>
        <v>0</v>
      </c>
      <c r="AX2294" s="83">
        <f>AH2294</f>
        <v>0</v>
      </c>
      <c r="AY2294" s="83">
        <f>AI2294</f>
        <v>0</v>
      </c>
      <c r="AZ2294" s="83">
        <f>AJ2294</f>
        <v>0</v>
      </c>
      <c r="BA2294" s="52"/>
      <c r="BB2294" s="52"/>
      <c r="BC2294" s="52"/>
      <c r="BD2294" s="52"/>
      <c r="BE2294" s="52"/>
      <c r="BF2294" s="52"/>
      <c r="BG2294" s="52"/>
      <c r="BH2294" s="52"/>
      <c r="BI2294" s="68" cm="1">
        <f t="array" ref="BI2294">IFERROR(INDEX(AW2294:BH2294,1,MATCH(2,1/(AW2294:BH2294&lt;&gt;""))),"")</f>
        <v>0</v>
      </c>
      <c r="BJ2294" s="68" cm="1">
        <f t="array" ref="BJ2294">IF(BM2294 = "", "",IFERROR(INDEX(AW2294:BH2294,1,MATCH(2,1/(AW2294:BH2294&lt;&gt;""),1)-1),""))</f>
        <v>0</v>
      </c>
      <c r="BK2294" s="59">
        <f>SUM(AW2294:BH2294)</f>
        <v>0</v>
      </c>
      <c r="BL2294" s="59" cm="1">
        <f t="array" ref="BL2294">IFERROR(SUM(AW2294:INDEX(AW2294:BH2294, MATCH(2, 1/(AW2294:BH2294&lt;&gt;""), 1) - 1))/_xlfn.XLOOKUP(F2294,Apuração!A:A,Apuração!B:B),0)</f>
        <v>0</v>
      </c>
      <c r="BM2294" s="55" cm="1">
        <f t="array" ref="BM2294">IFERROR(
   INDEX($AW$1:$BH$1,
      _xlfn.AGGREGATE(14, 6, COLUMN($AW$1:$BH$1)/(AW2294:BH2294&lt;&gt;""), 2) - COLUMN($AW$1) + 1
   ),
"")</f>
        <v>46082</v>
      </c>
      <c r="BN2294" s="55" cm="1">
        <f t="array" ref="BN2294">IFERROR(INDEX($AW$1:$BH$1,1,MATCH(2,1/(AW2294:BH2294&lt;&gt;""))),"")</f>
        <v>46113</v>
      </c>
      <c r="BO2294" s="53">
        <f ca="1">IFERROR(_xlfn.XLOOKUP(F2294,Apuração!A:A,Apuração!C:C)/_xlfn.XLOOKUP(F2294,Apuração!A:A,Apuração!B:B),0)</f>
        <v>0</v>
      </c>
      <c r="BP2294" s="53">
        <f ca="1">IFERROR(_xlfn.XLOOKUP(F2294,Apuração!A:A,Apuração!D:D)/_xlfn.XLOOKUP(F2294,Apuração!A:A,Apuração!B:B),0)</f>
        <v>0</v>
      </c>
      <c r="BQ2294" s="53">
        <f ca="1">IF(BK2294&gt;=BO2294,0,_xlfn.XLOOKUP(F2294,Apuração!A:A,Apuração!B:B)*(BO2294 + (1/_xlfn.XLOOKUP(F2294,Apuração!A:A,Apuração!B:B)) - BK2294))</f>
        <v>0</v>
      </c>
      <c r="BR2294" s="85">
        <f t="shared" ca="1" si="2696"/>
        <v>0</v>
      </c>
      <c r="BS2294" s="53">
        <f ca="1">IFERROR((_xlfn.XLOOKUP(F2294,Apuração!A:A,Apuração!C:C)+1)/_xlfn.XLOOKUP(F2294,Apuração!A:A,Apuração!B:B),0)</f>
        <v>0.14285714285714285</v>
      </c>
    </row>
    <row r="2295" spans="1:71" ht="25.95" hidden="1" customHeight="1" x14ac:dyDescent="0.3">
      <c r="A2295" s="39" t="s">
        <v>33</v>
      </c>
      <c r="B2295" s="4" t="s">
        <v>34</v>
      </c>
      <c r="C2295" s="5" t="s">
        <v>221</v>
      </c>
      <c r="D2295" s="5" t="s">
        <v>212</v>
      </c>
      <c r="E2295" s="4" t="s">
        <v>61</v>
      </c>
      <c r="F2295" s="4" t="str" cm="1">
        <f t="array" ref="F2295">_xlfn.IFS(
AG2295 &lt;&gt; "", "Jan-Dez/26",
AH2295 &lt;&gt; "", "Fev-Dez/26",
AI2295 &lt;&gt; "", "Mar-Dez/26", AJ2295 &lt;&gt; "", "Abr-Dez/26",
TRUE, "A partir de Junho"
)</f>
        <v>A partir de Junho</v>
      </c>
      <c r="G2295" s="6" t="s">
        <v>62</v>
      </c>
      <c r="H2295" s="7" t="s">
        <v>38</v>
      </c>
      <c r="I2295" s="9" t="s">
        <v>49</v>
      </c>
      <c r="J2295" s="8" t="str" cm="1">
        <f t="array" aca="1" ref="J2295" ca="1">_xlfn.LET(
  _xlpm.actual_value_month, INDEX(T2295:AE2295, MATCH(DATE(YEAR(TODAY()), MONTH(TODAY()), 1), $T$1:$AE$1, 0)),
  IF(_xlpm.actual_value_month &lt;&gt; "",_xlpm.actual_value_month &amp; " ações mensais", "")
)</f>
        <v/>
      </c>
      <c r="K2295" s="8" t="str" cm="1">
        <f t="array" ref="K2295">_xlfn.LET(
    _xlpm.sum_month, SUM(T2295:AE2295),
    IF(_xlpm.sum_month = 0, "", _xlpm.sum_month &amp; " soluções implementadas no ano")
)</f>
        <v/>
      </c>
      <c r="L2295" s="9" t="s">
        <v>50</v>
      </c>
      <c r="M2295" s="9"/>
      <c r="N2295" s="5" t="s">
        <v>51</v>
      </c>
      <c r="O2295" s="5" t="s">
        <v>52</v>
      </c>
      <c r="P2295" s="10" t="s">
        <v>44</v>
      </c>
      <c r="Q2295" s="10" t="s">
        <v>44</v>
      </c>
      <c r="R2295" s="10" t="s">
        <v>44</v>
      </c>
      <c r="S2295" s="10" t="s">
        <v>44</v>
      </c>
      <c r="T2295" s="22"/>
      <c r="U2295" s="22"/>
      <c r="V2295" s="22"/>
      <c r="W2295" s="22"/>
      <c r="X2295" s="22"/>
      <c r="Y2295" s="22"/>
      <c r="Z2295" s="22"/>
      <c r="AA2295" s="22"/>
      <c r="AB2295" s="22"/>
      <c r="AC2295" s="22"/>
      <c r="AD2295" s="22"/>
      <c r="AE2295" s="22"/>
      <c r="AG2295" s="71"/>
      <c r="AH2295" s="71"/>
      <c r="AI2295" s="71"/>
      <c r="AJ2295" s="71"/>
      <c r="AK2295" s="71"/>
      <c r="AL2295" s="71"/>
      <c r="AM2295" s="71"/>
      <c r="AN2295" s="71"/>
      <c r="AO2295" s="71"/>
      <c r="AP2295" s="71"/>
      <c r="AQ2295" s="71"/>
      <c r="AR2295" s="71"/>
      <c r="AS2295" s="94">
        <f t="shared" ref="AS2295:AS2296" ca="1" si="2707">IF(MONTH(TODAY())=3,SUM(T2295:U2295),IF(MONTH(TODAY())=4,SUM(T2295:V2295),IF(MONTH(TODAY())=5,SUM(T2295:W2295),IF(MONTH(TODAY())=6,SUM(T2295:X2295),IF(MONTH(TODAY())=7,SUM(T2295:Y2295),IF(MONTH(TODAY())=8,SUM(T2295:Z2295),IF(MONTH(TODAY())=9,SUM(T2295:AA2295),IF(MONTH(TODAY())=10,SUM(T2295:AB2295),IF(MONTH(TODAY())=11,SUM(T2295:AC2295),IF(MONTH(TODAY())=12,SUM(T2295:AD2295),IF(MONTH(TODAY())=1,SUM(T2295:AE2295),T2295)))))))))))</f>
        <v>0</v>
      </c>
      <c r="AT2295" s="95">
        <f t="shared" ref="AT2295:AT2296" si="2708">SUM(AG2295:AR2295)</f>
        <v>0</v>
      </c>
      <c r="AU2295" s="97">
        <f t="shared" ref="AU2295:AU2296" si="2709">SUM(AG2295:AR2295)</f>
        <v>0</v>
      </c>
      <c r="AW2295" s="83">
        <f t="shared" ref="AW2295:AW2296" si="2710">AG2295</f>
        <v>0</v>
      </c>
      <c r="AX2295" s="83">
        <f t="shared" ref="AX2295:AX2296" si="2711">AH2295</f>
        <v>0</v>
      </c>
      <c r="AY2295" s="83">
        <f t="shared" ref="AY2295:AY2296" si="2712">AI2295</f>
        <v>0</v>
      </c>
      <c r="AZ2295" s="83">
        <f t="shared" ref="AZ2295:AZ2296" si="2713">AJ2295</f>
        <v>0</v>
      </c>
      <c r="BA2295" s="52"/>
      <c r="BB2295" s="52"/>
      <c r="BC2295" s="52"/>
      <c r="BD2295" s="52"/>
      <c r="BE2295" s="52"/>
      <c r="BF2295" s="52"/>
      <c r="BG2295" s="52"/>
      <c r="BH2295" s="52"/>
      <c r="BI2295" s="68" cm="1">
        <f t="array" ref="BI2295">IFERROR(INDEX(AW2295:BH2295,1,MATCH(2,1/(AW2295:BH2295&lt;&gt;""))),"")</f>
        <v>0</v>
      </c>
      <c r="BJ2295" s="68" cm="1">
        <f t="array" ref="BJ2295">IF(BM2295 = "", "",IFERROR(INDEX(AW2295:BH2295,1,MATCH(2,1/(AW2295:BH2295&lt;&gt;""),1)-1),""))</f>
        <v>0</v>
      </c>
      <c r="BK2295" s="59">
        <f t="shared" ref="BK2295:BK2296" si="2714">SUM(AW2295:BH2295)</f>
        <v>0</v>
      </c>
      <c r="BL2295" s="59" cm="1">
        <f t="array" ref="BL2295">IFERROR(SUM(AW2295:INDEX(AW2295:BH2295, MATCH(2, 1/(AW2295:BH2295&lt;&gt;""), 1) - 1))/_xlfn.XLOOKUP(F2295,Apuração!A:A,Apuração!B:B),0)</f>
        <v>0</v>
      </c>
      <c r="BM2295" s="55" cm="1">
        <f t="array" ref="BM2295">IFERROR(
   INDEX($AW$1:$BH$1,
      _xlfn.AGGREGATE(14, 6, COLUMN($AW$1:$BH$1)/(AW2295:BH2295&lt;&gt;""), 2) - COLUMN($AW$1) + 1
   ),
"")</f>
        <v>46082</v>
      </c>
      <c r="BN2295" s="55" cm="1">
        <f t="array" ref="BN2295">IFERROR(INDEX($AW$1:$BH$1,1,MATCH(2,1/(AW2295:BH2295&lt;&gt;""))),"")</f>
        <v>46113</v>
      </c>
      <c r="BO2295" s="53">
        <f ca="1">IFERROR(_xlfn.XLOOKUP(F2295,Apuração!A:A,Apuração!C:C)/_xlfn.XLOOKUP(F2295,Apuração!A:A,Apuração!B:B),0)</f>
        <v>0</v>
      </c>
      <c r="BP2295" s="53">
        <f ca="1">IFERROR(_xlfn.XLOOKUP(F2295,Apuração!A:A,Apuração!D:D)/_xlfn.XLOOKUP(F2295,Apuração!A:A,Apuração!B:B),0)</f>
        <v>0</v>
      </c>
      <c r="BQ2295" s="53">
        <f ca="1">IF(BK2295&gt;=BO2295,0,_xlfn.XLOOKUP(F2295,Apuração!A:A,Apuração!B:B)*(BO2295 + (1/_xlfn.XLOOKUP(F2295,Apuração!A:A,Apuração!B:B)) - BK2295))</f>
        <v>0</v>
      </c>
      <c r="BR2295" s="85">
        <f t="shared" ref="BR2295:BR2296" ca="1" si="2715">IF(BQ2295=0,0,BQ2295*Z2295)</f>
        <v>0</v>
      </c>
      <c r="BS2295" s="53">
        <f ca="1">IFERROR((_xlfn.XLOOKUP(F2295,Apuração!A:A,Apuração!C:C)+1)/_xlfn.XLOOKUP(F2295,Apuração!A:A,Apuração!B:B),0)</f>
        <v>0.14285714285714285</v>
      </c>
    </row>
    <row r="2296" spans="1:71" ht="25.95" hidden="1" customHeight="1" x14ac:dyDescent="0.3">
      <c r="A2296" s="39" t="s">
        <v>33</v>
      </c>
      <c r="B2296" s="4" t="s">
        <v>34</v>
      </c>
      <c r="C2296" s="5" t="s">
        <v>221</v>
      </c>
      <c r="D2296" s="5" t="s">
        <v>213</v>
      </c>
      <c r="E2296" s="4" t="s">
        <v>61</v>
      </c>
      <c r="F2296" s="4" t="str" cm="1">
        <f t="array" ref="F2296">_xlfn.IFS(
AG2296 &lt;&gt; "", "Jan-Dez/26",
AH2296 &lt;&gt; "", "Fev-Dez/26",
AI2296 &lt;&gt; "", "Mar-Dez/26", AJ2296 &lt;&gt; "", "Abr-Dez/26",
TRUE, "A partir de Junho"
)</f>
        <v>A partir de Junho</v>
      </c>
      <c r="G2296" s="6" t="s">
        <v>62</v>
      </c>
      <c r="H2296" s="7" t="s">
        <v>38</v>
      </c>
      <c r="I2296" s="9" t="s">
        <v>49</v>
      </c>
      <c r="J2296" s="8" t="str" cm="1">
        <f t="array" aca="1" ref="J2296" ca="1">_xlfn.LET(
  _xlpm.actual_value_month, INDEX(T2296:AE2296, MATCH(DATE(YEAR(TODAY()), MONTH(TODAY()), 1), $T$1:$AE$1, 0)),
  IF(_xlpm.actual_value_month &lt;&gt; "",_xlpm.actual_value_month &amp; " ações mensais", "")
)</f>
        <v/>
      </c>
      <c r="K2296" s="8" t="str" cm="1">
        <f t="array" ref="K2296">_xlfn.LET(
    _xlpm.sum_month, SUM(T2296:AE2296),
    IF(_xlpm.sum_month = 0, "", _xlpm.sum_month &amp; " soluções implementadas no ano")
)</f>
        <v/>
      </c>
      <c r="L2296" s="9" t="s">
        <v>50</v>
      </c>
      <c r="M2296" s="9"/>
      <c r="N2296" s="5" t="s">
        <v>51</v>
      </c>
      <c r="O2296" s="5" t="s">
        <v>52</v>
      </c>
      <c r="P2296" s="10" t="s">
        <v>44</v>
      </c>
      <c r="Q2296" s="10" t="s">
        <v>44</v>
      </c>
      <c r="R2296" s="10" t="s">
        <v>44</v>
      </c>
      <c r="S2296" s="10" t="s">
        <v>44</v>
      </c>
      <c r="T2296" s="22"/>
      <c r="U2296" s="22"/>
      <c r="V2296" s="22"/>
      <c r="W2296" s="22"/>
      <c r="X2296" s="22"/>
      <c r="Y2296" s="22"/>
      <c r="Z2296" s="22"/>
      <c r="AA2296" s="22"/>
      <c r="AB2296" s="22"/>
      <c r="AC2296" s="22"/>
      <c r="AD2296" s="22"/>
      <c r="AE2296" s="22"/>
      <c r="AG2296" s="71"/>
      <c r="AH2296" s="71"/>
      <c r="AI2296" s="71"/>
      <c r="AJ2296" s="71"/>
      <c r="AK2296" s="71"/>
      <c r="AL2296" s="71"/>
      <c r="AM2296" s="71"/>
      <c r="AN2296" s="71"/>
      <c r="AO2296" s="71"/>
      <c r="AP2296" s="71"/>
      <c r="AQ2296" s="71"/>
      <c r="AR2296" s="71"/>
      <c r="AS2296" s="94">
        <f t="shared" ca="1" si="2707"/>
        <v>0</v>
      </c>
      <c r="AT2296" s="95">
        <f t="shared" si="2708"/>
        <v>0</v>
      </c>
      <c r="AU2296" s="97">
        <f t="shared" si="2709"/>
        <v>0</v>
      </c>
      <c r="AW2296" s="83">
        <f t="shared" si="2710"/>
        <v>0</v>
      </c>
      <c r="AX2296" s="83">
        <f t="shared" si="2711"/>
        <v>0</v>
      </c>
      <c r="AY2296" s="83">
        <f t="shared" si="2712"/>
        <v>0</v>
      </c>
      <c r="AZ2296" s="83">
        <f t="shared" si="2713"/>
        <v>0</v>
      </c>
      <c r="BA2296" s="52"/>
      <c r="BB2296" s="52"/>
      <c r="BC2296" s="52"/>
      <c r="BD2296" s="52"/>
      <c r="BE2296" s="52"/>
      <c r="BF2296" s="52"/>
      <c r="BG2296" s="52"/>
      <c r="BH2296" s="52"/>
      <c r="BI2296" s="68" cm="1">
        <f t="array" ref="BI2296">IFERROR(INDEX(AW2296:BH2296,1,MATCH(2,1/(AW2296:BH2296&lt;&gt;""))),"")</f>
        <v>0</v>
      </c>
      <c r="BJ2296" s="68" cm="1">
        <f t="array" ref="BJ2296">IF(BM2296 = "", "",IFERROR(INDEX(AW2296:BH2296,1,MATCH(2,1/(AW2296:BH2296&lt;&gt;""),1)-1),""))</f>
        <v>0</v>
      </c>
      <c r="BK2296" s="59">
        <f t="shared" si="2714"/>
        <v>0</v>
      </c>
      <c r="BL2296" s="59" cm="1">
        <f t="array" ref="BL2296">IFERROR(SUM(AW2296:INDEX(AW2296:BH2296, MATCH(2, 1/(AW2296:BH2296&lt;&gt;""), 1) - 1))/_xlfn.XLOOKUP(F2296,Apuração!A:A,Apuração!B:B),0)</f>
        <v>0</v>
      </c>
      <c r="BM2296" s="55" cm="1">
        <f t="array" ref="BM2296">IFERROR(
   INDEX($AW$1:$BH$1,
      _xlfn.AGGREGATE(14, 6, COLUMN($AW$1:$BH$1)/(AW2296:BH2296&lt;&gt;""), 2) - COLUMN($AW$1) + 1
   ),
"")</f>
        <v>46082</v>
      </c>
      <c r="BN2296" s="55" cm="1">
        <f t="array" ref="BN2296">IFERROR(INDEX($AW$1:$BH$1,1,MATCH(2,1/(AW2296:BH2296&lt;&gt;""))),"")</f>
        <v>46113</v>
      </c>
      <c r="BO2296" s="53">
        <f ca="1">IFERROR(_xlfn.XLOOKUP(F2296,Apuração!A:A,Apuração!C:C)/_xlfn.XLOOKUP(F2296,Apuração!A:A,Apuração!B:B),0)</f>
        <v>0</v>
      </c>
      <c r="BP2296" s="53">
        <f ca="1">IFERROR(_xlfn.XLOOKUP(F2296,Apuração!A:A,Apuração!D:D)/_xlfn.XLOOKUP(F2296,Apuração!A:A,Apuração!B:B),0)</f>
        <v>0</v>
      </c>
      <c r="BQ2296" s="53">
        <f ca="1">IF(BK2296&gt;=BO2296,0,_xlfn.XLOOKUP(F2296,Apuração!A:A,Apuração!B:B)*(BO2296 + (1/_xlfn.XLOOKUP(F2296,Apuração!A:A,Apuração!B:B)) - BK2296))</f>
        <v>0</v>
      </c>
      <c r="BR2296" s="85">
        <f t="shared" ca="1" si="2715"/>
        <v>0</v>
      </c>
      <c r="BS2296" s="53">
        <f ca="1">IFERROR((_xlfn.XLOOKUP(F2296,Apuração!A:A,Apuração!C:C)+1)/_xlfn.XLOOKUP(F2296,Apuração!A:A,Apuração!B:B),0)</f>
        <v>0.14285714285714285</v>
      </c>
    </row>
    <row r="2297" spans="1:71" ht="25.95" hidden="1" customHeight="1" x14ac:dyDescent="0.3">
      <c r="A2297" s="3" t="s">
        <v>33</v>
      </c>
      <c r="B2297" s="4" t="s">
        <v>53</v>
      </c>
      <c r="C2297" s="5" t="s">
        <v>221</v>
      </c>
      <c r="D2297" s="5" t="s">
        <v>36</v>
      </c>
      <c r="E2297" s="4" t="s">
        <v>80</v>
      </c>
      <c r="F2297" s="4" t="str" cm="1">
        <f t="array" ref="F2297">_xlfn.IFS(
AG2297 &lt;&gt; "", "Jan-Dez/26",
AH2297 &lt;&gt; "", "Fev-Dez/26",
AI2297 &lt;&gt; "", "Mar-Dez/26", AJ2297 &lt;&gt; "", "Abr-Dez/26",
TRUE, "A partir de Junho"
)</f>
        <v>Jan-Dez/26</v>
      </c>
      <c r="G2297" s="6" t="s">
        <v>37</v>
      </c>
      <c r="H2297" s="7" t="s">
        <v>54</v>
      </c>
      <c r="I2297" s="8" t="s">
        <v>55</v>
      </c>
      <c r="J2297" s="8" t="str" cm="1">
        <f t="array" aca="1" ref="J2297" ca="1">_xlfn.LET(
  _xlpm.actual_value_month, INDEX(T2297:AE2297, MATCH(DATE(YEAR(TODAY()), MONTH(TODAY()), 1), $T$1:$AE$1, 0)),
  IF(_xlpm.actual_value_month &lt;&gt; "",_xlpm.actual_value_month &amp; " eventos mensais", "")
)</f>
        <v>2 eventos mensais</v>
      </c>
      <c r="K2297" s="14" t="str" cm="1">
        <f t="array" ref="K2297">_xlfn.LET(
    _xlpm.sum_month, SUM(T2297:AE2297),
    IF(_xlpm.sum_month = 0, "", _xlpm.sum_month &amp; "  eventos no ano")
)</f>
        <v>37  eventos no ano</v>
      </c>
      <c r="L2297" s="9" t="s">
        <v>56</v>
      </c>
      <c r="M2297" s="13" t="s">
        <v>57</v>
      </c>
      <c r="N2297" s="5" t="s">
        <v>42</v>
      </c>
      <c r="O2297" s="5" t="s">
        <v>43</v>
      </c>
      <c r="P2297" s="10" t="s">
        <v>58</v>
      </c>
      <c r="Q2297" s="10" t="s">
        <v>44</v>
      </c>
      <c r="R2297" s="11" t="s">
        <v>45</v>
      </c>
      <c r="S2297" s="11" t="s">
        <v>46</v>
      </c>
      <c r="T2297" s="22">
        <v>5</v>
      </c>
      <c r="U2297" s="22">
        <v>7</v>
      </c>
      <c r="V2297" s="22">
        <v>7</v>
      </c>
      <c r="W2297" s="22">
        <v>2</v>
      </c>
      <c r="X2297" s="22">
        <v>2</v>
      </c>
      <c r="Y2297" s="22">
        <v>2</v>
      </c>
      <c r="Z2297" s="22">
        <v>2</v>
      </c>
      <c r="AA2297" s="22">
        <v>2</v>
      </c>
      <c r="AB2297" s="22">
        <v>2</v>
      </c>
      <c r="AC2297" s="22">
        <v>2</v>
      </c>
      <c r="AD2297" s="22">
        <v>2</v>
      </c>
      <c r="AE2297" s="22">
        <v>2</v>
      </c>
      <c r="AG2297" s="82">
        <v>5</v>
      </c>
      <c r="AH2297" s="82">
        <v>7</v>
      </c>
      <c r="AI2297" s="82">
        <v>7</v>
      </c>
      <c r="AJ2297" s="82">
        <v>0</v>
      </c>
      <c r="AK2297" s="71"/>
      <c r="AL2297" s="71"/>
      <c r="AM2297" s="71"/>
      <c r="AN2297" s="71"/>
      <c r="AO2297" s="71"/>
      <c r="AP2297" s="71"/>
      <c r="AQ2297" s="71"/>
      <c r="AR2297" s="71"/>
      <c r="AS2297" s="94">
        <f t="shared" ca="1" si="2697"/>
        <v>23</v>
      </c>
      <c r="AT2297" s="95">
        <f>SUM(IF(AW2297&lt;1.15,AG2297,1.15*T2297),IF(AX2297&lt;1.15,AH2297,1.15*U2297),IF(AY2297&lt;1.15,AI2297,1.15*V2297),IF(AZ2297&lt;1.15,AJ2297,1.15*W2297),IF(BA2297&lt;1.15,AK2297,1.15*X2297),IF(BB2297&lt;1.15,AL2297,1.15*Y2297),IF(BC2297&lt;1.15,AM2297,1.15*Z2297),IF(BD2297&lt;1.15,AN2297,1.15*AA2297),IF(BE2297&lt;1.15,AO2297,1.15*AB2297),IF(BF2297&lt;1.15,AP2297,1.15*AC2297),IF(BG2297&lt;1.15,AQ2297,1.15*AD2297),IF(BH2297&lt;1.15,AR2297,1.15*AE2297))</f>
        <v>19</v>
      </c>
      <c r="AU2297" s="97">
        <f t="shared" si="2698"/>
        <v>19</v>
      </c>
      <c r="AW2297" s="51">
        <f>IFERROR(IF(AG2297="",0,AG2297/T2297),0)</f>
        <v>1</v>
      </c>
      <c r="AX2297" s="51">
        <f>IFERROR(IF(AH2297="",0,AH2297/U2297),0)</f>
        <v>1</v>
      </c>
      <c r="AY2297" s="51">
        <f>IFERROR(IF(AI2297="",0,AI2297/V2297),0)</f>
        <v>1</v>
      </c>
      <c r="AZ2297" s="51">
        <f>IFERROR(IF(AJ2297="",0,AJ2297/W2297),0)</f>
        <v>0</v>
      </c>
      <c r="BA2297" s="51"/>
      <c r="BB2297" s="51"/>
      <c r="BC2297" s="51"/>
      <c r="BD2297" s="51"/>
      <c r="BE2297" s="51"/>
      <c r="BF2297" s="51"/>
      <c r="BG2297" s="51"/>
      <c r="BH2297" s="51"/>
      <c r="BI2297" s="65" cm="1">
        <f t="array" ref="BI2297">IFERROR(INDEX(AW2297:BH2297,1,MATCH(2,1/(AW2297:BH2297&lt;&gt;""))),"")</f>
        <v>0</v>
      </c>
      <c r="BJ2297" s="68" cm="1">
        <f t="array" ref="BJ2297">IF(BM2297 = "", "",IFERROR(INDEX(AW2297:BH2297,1,MATCH(2,1/(AW2297:BH2297&lt;&gt;""),1)-1),""))</f>
        <v>1</v>
      </c>
      <c r="BK2297" s="58">
        <f>IF((IF(AW2297&gt;=115%,115%,AW2297) + IF(AX2297&gt;=115%,115%,AX2297) + IF(AY2297&gt;=115%,115%,AY2297) + (IF(AZ2297&gt;=160%,160%,AZ2297) + IF(BA2297&gt;=200%,200%,BA2297) + IF(BB2297&gt;=115%,115%,BB2297) + IF(BC2297&gt;=115%,115%,BC2297) + IF(BD2297&gt;=115%,115%,BD2297) + IF(BE2297&gt;=115%,115%,BE2297) + IF(BF2297&gt;=115%,115%,BF2297) + IF(BG2297&gt;=115%,115%,BG2297) + IF(BH2297&gt;=115%,115%,BH2297)))/_xlfn.XLOOKUP(F2297,Apuração!A:A,Apuração!B:B)&gt;=1.15,1.15,((IF(AZ2297&gt;=160%,160%,AZ2297) + IF(AX2297&gt;=115%,115%,AX2297) + IF(AY2297&gt;=115%,115%,AY2297) + (IF(AW2297&gt;=115%,115%,AW2297) + IF(BA2297&gt;=200%,200%,BA2297) + IF(BB2297&gt;=115%,115%,BB2297) + IF(BC2297&gt;=115%,115%,BC2297) + IF(BD2297&gt;=115%,115%,BD2297) + IF(BE2297&gt;=115%,115%,BE2297) + IF(BF2297&gt;=115%,115%,BF2297) + IF(BG2297&gt;=115%,115%,BG2297) + IF(BH2297&gt;=115%,115%,BH2297)))/_xlfn.XLOOKUP(F2297,Apuração!A:A,Apuração!B:B)))</f>
        <v>0.25</v>
      </c>
      <c r="BL2297" s="58" cm="1">
        <f t="array" aca="1" ref="BL2297" ca="1">IF(SUM(IFERROR(IF(INDEX(AW2297:INDEX(AW2297:BH2297, MATCH(2, 1/(AW2297:BH2297&lt;&gt;""), 1)-1), ROW(INDIRECT("1:" &amp; MATCH(2, 1/(AW2297:BH2297&lt;&gt;""), 1)-1))) &gt;= 115%, 115%, INDEX(AW2297:INDEX(AW2297:BH2297, MATCH(2, 1/(AW2297:BH2297&lt;&gt;""), 1)-1), ROW(INDIRECT("1:" &amp; MATCH(2, 1/(AW2297:BH2297&lt;&gt;""), 1)-1)))), 0))/_xlfn.XLOOKUP(F2297,Apuração!A:A,Apuração!B:B)&gt;=1.15,1.15,SUM(IFERROR(IF(INDEX(AW2297:INDEX(AW2297:BH2297, MATCH(2, 1/(AW2297:BH2297&lt;&gt;""), 1)-1), ROW(INDIRECT("1:" &amp; MATCH(2, 1/(AW2297:BH2297&lt;&gt;""), 1)-1))) &gt;= 115%, 115%, INDEX(AW2297:INDEX(AW2297:BH2297, MATCH(2, 1/(AW2297:BH2297&lt;&gt;""), 1)-1), ROW(INDIRECT("1:" &amp; MATCH(2, 1/(AW2297:BH2297&lt;&gt;""), 1)-1)))), 0))/_xlfn.XLOOKUP(F2297,Apuração!A:A,Apuração!B:B))</f>
        <v>0.25</v>
      </c>
      <c r="BM2297" s="55" cm="1">
        <f t="array" ref="BM2297">IFERROR(
   INDEX($AW$1:$BH$1,
      _xlfn.AGGREGATE(14, 6, COLUMN($AW$1:$BH$1)/(AW2297:BH2297&lt;&gt;""), 2) - COLUMN($AW$1) + 1
   ),
"")</f>
        <v>46082</v>
      </c>
      <c r="BN2297" s="55" cm="1">
        <f t="array" ref="BN2297">IFERROR(INDEX($AW$1:$BH$1,1,MATCH(2,1/(AW2297:BH2297&lt;&gt;""))),"")</f>
        <v>46113</v>
      </c>
      <c r="BO2297" s="53">
        <f ca="1">IFERROR(_xlfn.XLOOKUP(F2297,Apuração!A:A,Apuração!C:C)/_xlfn.XLOOKUP(F2297,Apuração!A:A,Apuração!B:B),0)</f>
        <v>0.41666666666666669</v>
      </c>
      <c r="BP2297" s="53">
        <f ca="1">IFERROR(_xlfn.XLOOKUP(F2297,Apuração!A:A,Apuração!D:D)/_xlfn.XLOOKUP(F2297,Apuração!A:A,Apuração!B:B),0)</f>
        <v>0.33333333333333331</v>
      </c>
      <c r="BQ2297" s="53">
        <f ca="1">IF(BK2297&gt;=BO2297,0,_xlfn.XLOOKUP(F2297,Apuração!A:A,Apuração!B:B)*(BO2297 + (1/_xlfn.XLOOKUP(F2297,Apuração!A:A,Apuração!B:B)) - BK2297))</f>
        <v>3</v>
      </c>
      <c r="BR2297" s="85">
        <f t="shared" ca="1" si="2696"/>
        <v>6</v>
      </c>
      <c r="BS2297" s="53">
        <f ca="1">IFERROR((_xlfn.XLOOKUP(F2297,Apuração!A:A,Apuração!C:C)+1)/_xlfn.XLOOKUP(F2297,Apuração!A:A,Apuração!B:B),0)</f>
        <v>0.5</v>
      </c>
    </row>
    <row r="2298" spans="1:71" ht="25.95" hidden="1" customHeight="1" x14ac:dyDescent="0.3">
      <c r="A2298" s="3" t="s">
        <v>33</v>
      </c>
      <c r="B2298" s="4" t="s">
        <v>53</v>
      </c>
      <c r="C2298" s="5" t="s">
        <v>221</v>
      </c>
      <c r="D2298" s="5" t="s">
        <v>212</v>
      </c>
      <c r="E2298" s="4" t="s">
        <v>80</v>
      </c>
      <c r="F2298" s="4" t="str" cm="1">
        <f t="array" ref="F2298">_xlfn.IFS(
AG2298 &lt;&gt; "", "Jan-Dez/26",
AH2298 &lt;&gt; "", "Fev-Dez/26",
AI2298 &lt;&gt; "", "Mar-Dez/26", AJ2298 &lt;&gt; "", "Abr-Dez/26",
TRUE, "A partir de Junho"
)</f>
        <v>Jan-Dez/26</v>
      </c>
      <c r="G2298" s="6" t="s">
        <v>37</v>
      </c>
      <c r="H2298" s="7" t="s">
        <v>54</v>
      </c>
      <c r="I2298" s="8" t="s">
        <v>55</v>
      </c>
      <c r="J2298" s="8" t="str" cm="1">
        <f t="array" aca="1" ref="J2298" ca="1">_xlfn.LET(
  _xlpm.actual_value_month, INDEX(T2298:AE2298, MATCH(DATE(YEAR(TODAY()), MONTH(TODAY()), 1), $T$1:$AE$1, 0)),
  IF(_xlpm.actual_value_month &lt;&gt; "",_xlpm.actual_value_month &amp; " eventos mensais", "")
)</f>
        <v>1 eventos mensais</v>
      </c>
      <c r="K2298" s="14" t="str" cm="1">
        <f t="array" ref="K2298">_xlfn.LET(
    _xlpm.sum_month, SUM(T2298:AE2298),
    IF(_xlpm.sum_month = 0, "", _xlpm.sum_month &amp; "  eventos no ano")
)</f>
        <v>17  eventos no ano</v>
      </c>
      <c r="L2298" s="9" t="s">
        <v>56</v>
      </c>
      <c r="M2298" s="13" t="s">
        <v>57</v>
      </c>
      <c r="N2298" s="5" t="s">
        <v>42</v>
      </c>
      <c r="O2298" s="5" t="s">
        <v>43</v>
      </c>
      <c r="P2298" s="10" t="s">
        <v>58</v>
      </c>
      <c r="Q2298" s="10" t="s">
        <v>44</v>
      </c>
      <c r="R2298" s="11" t="s">
        <v>45</v>
      </c>
      <c r="S2298" s="11" t="s">
        <v>46</v>
      </c>
      <c r="T2298" s="152">
        <v>1</v>
      </c>
      <c r="U2298" s="152">
        <v>3</v>
      </c>
      <c r="V2298" s="152">
        <v>4</v>
      </c>
      <c r="W2298" s="152">
        <v>1</v>
      </c>
      <c r="X2298" s="152">
        <v>1</v>
      </c>
      <c r="Y2298" s="152">
        <v>1</v>
      </c>
      <c r="Z2298" s="152">
        <v>1</v>
      </c>
      <c r="AA2298" s="152">
        <v>1</v>
      </c>
      <c r="AB2298" s="152">
        <v>1</v>
      </c>
      <c r="AC2298" s="152">
        <v>1</v>
      </c>
      <c r="AD2298" s="152">
        <v>1</v>
      </c>
      <c r="AE2298" s="152">
        <v>1</v>
      </c>
      <c r="AG2298" s="71">
        <v>1</v>
      </c>
      <c r="AH2298" s="71">
        <v>3</v>
      </c>
      <c r="AI2298" s="71">
        <v>4</v>
      </c>
      <c r="AJ2298" s="71">
        <v>0</v>
      </c>
      <c r="AK2298" s="71"/>
      <c r="AL2298" s="71"/>
      <c r="AM2298" s="71"/>
      <c r="AN2298" s="71"/>
      <c r="AO2298" s="71"/>
      <c r="AP2298" s="71"/>
      <c r="AQ2298" s="71"/>
      <c r="AR2298" s="71"/>
      <c r="AS2298" s="94">
        <f t="shared" ref="AS2298:AS2299" ca="1" si="2716">IF(MONTH(TODAY())=3,SUM(T2298:U2298),IF(MONTH(TODAY())=4,SUM(T2298:V2298),IF(MONTH(TODAY())=5,SUM(T2298:W2298),IF(MONTH(TODAY())=6,SUM(T2298:X2298),IF(MONTH(TODAY())=7,SUM(T2298:Y2298),IF(MONTH(TODAY())=8,SUM(T2298:Z2298),IF(MONTH(TODAY())=9,SUM(T2298:AA2298),IF(MONTH(TODAY())=10,SUM(T2298:AB2298),IF(MONTH(TODAY())=11,SUM(T2298:AC2298),IF(MONTH(TODAY())=12,SUM(T2298:AD2298),IF(MONTH(TODAY())=1,SUM(T2298:AE2298),T2298)))))))))))</f>
        <v>10</v>
      </c>
      <c r="AT2298" s="95">
        <f t="shared" ref="AT2298:AT2299" si="2717">SUM(IF(AW2298&lt;1.15,AG2298,1.15*T2298),IF(AX2298&lt;1.15,AH2298,1.15*U2298),IF(AY2298&lt;1.15,AI2298,1.15*V2298),IF(AZ2298&lt;1.15,AJ2298,1.15*W2298),IF(BA2298&lt;1.15,AK2298,1.15*X2298),IF(BB2298&lt;1.15,AL2298,1.15*Y2298),IF(BC2298&lt;1.15,AM2298,1.15*Z2298),IF(BD2298&lt;1.15,AN2298,1.15*AA2298),IF(BE2298&lt;1.15,AO2298,1.15*AB2298),IF(BF2298&lt;1.15,AP2298,1.15*AC2298),IF(BG2298&lt;1.15,AQ2298,1.15*AD2298),IF(BH2298&lt;1.15,AR2298,1.15*AE2298))</f>
        <v>8</v>
      </c>
      <c r="AU2298" s="97">
        <f t="shared" ref="AU2298:AU2299" si="2718">SUM(AG2298:AR2298)</f>
        <v>8</v>
      </c>
      <c r="AW2298" s="51">
        <f t="shared" ref="AW2298:AW2299" si="2719">IFERROR(IF(AG2298="",0,AG2298/T2298),0)</f>
        <v>1</v>
      </c>
      <c r="AX2298" s="51">
        <f t="shared" ref="AX2298:AX2299" si="2720">IFERROR(IF(AH2298="",0,AH2298/U2298),0)</f>
        <v>1</v>
      </c>
      <c r="AY2298" s="51">
        <f t="shared" ref="AY2298:AY2299" si="2721">IFERROR(IF(AI2298="",0,AI2298/V2298),0)</f>
        <v>1</v>
      </c>
      <c r="AZ2298" s="51">
        <f t="shared" ref="AZ2298:AZ2299" si="2722">IFERROR(IF(AJ2298="",0,AJ2298/W2298),0)</f>
        <v>0</v>
      </c>
      <c r="BA2298" s="51"/>
      <c r="BB2298" s="51"/>
      <c r="BC2298" s="51"/>
      <c r="BD2298" s="51"/>
      <c r="BE2298" s="51"/>
      <c r="BF2298" s="51"/>
      <c r="BG2298" s="51"/>
      <c r="BH2298" s="51"/>
      <c r="BI2298" s="65" cm="1">
        <f t="array" ref="BI2298">IFERROR(INDEX(AW2298:BH2298,1,MATCH(2,1/(AW2298:BH2298&lt;&gt;""))),"")</f>
        <v>0</v>
      </c>
      <c r="BJ2298" s="68" cm="1">
        <f t="array" ref="BJ2298">IF(BM2298 = "", "",IFERROR(INDEX(AW2298:BH2298,1,MATCH(2,1/(AW2298:BH2298&lt;&gt;""),1)-1),""))</f>
        <v>1</v>
      </c>
      <c r="BK2298" s="58">
        <f>IF((IF(AW2298&gt;=115%,115%,AW2298) + IF(AX2298&gt;=115%,115%,AX2298) + IF(AY2298&gt;=115%,115%,AY2298) + (IF(AZ2298&gt;=160%,160%,AZ2298) + IF(BA2298&gt;=200%,200%,BA2298) + IF(BB2298&gt;=115%,115%,BB2298) + IF(BC2298&gt;=115%,115%,BC2298) + IF(BD2298&gt;=115%,115%,BD2298) + IF(BE2298&gt;=115%,115%,BE2298) + IF(BF2298&gt;=115%,115%,BF2298) + IF(BG2298&gt;=115%,115%,BG2298) + IF(BH2298&gt;=115%,115%,BH2298)))/_xlfn.XLOOKUP(F2298,Apuração!A:A,Apuração!B:B)&gt;=1.15,1.15,((IF(AZ2298&gt;=160%,160%,AZ2298) + IF(AX2298&gt;=115%,115%,AX2298) + IF(AY2298&gt;=115%,115%,AY2298) + (IF(AW2298&gt;=115%,115%,AW2298) + IF(BA2298&gt;=200%,200%,BA2298) + IF(BB2298&gt;=115%,115%,BB2298) + IF(BC2298&gt;=115%,115%,BC2298) + IF(BD2298&gt;=115%,115%,BD2298) + IF(BE2298&gt;=115%,115%,BE2298) + IF(BF2298&gt;=115%,115%,BF2298) + IF(BG2298&gt;=115%,115%,BG2298) + IF(BH2298&gt;=115%,115%,BH2298)))/_xlfn.XLOOKUP(F2298,Apuração!A:A,Apuração!B:B)))</f>
        <v>0.25</v>
      </c>
      <c r="BL2298" s="58" cm="1">
        <f t="array" aca="1" ref="BL2298" ca="1">IF(SUM(IFERROR(IF(INDEX(AW2298:INDEX(AW2298:BH2298, MATCH(2, 1/(AW2298:BH2298&lt;&gt;""), 1)-1), ROW(INDIRECT("1:" &amp; MATCH(2, 1/(AW2298:BH2298&lt;&gt;""), 1)-1))) &gt;= 115%, 115%, INDEX(AW2298:INDEX(AW2298:BH2298, MATCH(2, 1/(AW2298:BH2298&lt;&gt;""), 1)-1), ROW(INDIRECT("1:" &amp; MATCH(2, 1/(AW2298:BH2298&lt;&gt;""), 1)-1)))), 0))/_xlfn.XLOOKUP(F2298,Apuração!A:A,Apuração!B:B)&gt;=1.15,1.15,SUM(IFERROR(IF(INDEX(AW2298:INDEX(AW2298:BH2298, MATCH(2, 1/(AW2298:BH2298&lt;&gt;""), 1)-1), ROW(INDIRECT("1:" &amp; MATCH(2, 1/(AW2298:BH2298&lt;&gt;""), 1)-1))) &gt;= 115%, 115%, INDEX(AW2298:INDEX(AW2298:BH2298, MATCH(2, 1/(AW2298:BH2298&lt;&gt;""), 1)-1), ROW(INDIRECT("1:" &amp; MATCH(2, 1/(AW2298:BH2298&lt;&gt;""), 1)-1)))), 0))/_xlfn.XLOOKUP(F2298,Apuração!A:A,Apuração!B:B))</f>
        <v>0.25</v>
      </c>
      <c r="BM2298" s="55" cm="1">
        <f t="array" ref="BM2298">IFERROR(
   INDEX($AW$1:$BH$1,
      _xlfn.AGGREGATE(14, 6, COLUMN($AW$1:$BH$1)/(AW2298:BH2298&lt;&gt;""), 2) - COLUMN($AW$1) + 1
   ),
"")</f>
        <v>46082</v>
      </c>
      <c r="BN2298" s="55" cm="1">
        <f t="array" ref="BN2298">IFERROR(INDEX($AW$1:$BH$1,1,MATCH(2,1/(AW2298:BH2298&lt;&gt;""))),"")</f>
        <v>46113</v>
      </c>
      <c r="BO2298" s="53">
        <f ca="1">IFERROR(_xlfn.XLOOKUP(F2298,Apuração!A:A,Apuração!C:C)/_xlfn.XLOOKUP(F2298,Apuração!A:A,Apuração!B:B),0)</f>
        <v>0.41666666666666669</v>
      </c>
      <c r="BP2298" s="53">
        <f ca="1">IFERROR(_xlfn.XLOOKUP(F2298,Apuração!A:A,Apuração!D:D)/_xlfn.XLOOKUP(F2298,Apuração!A:A,Apuração!B:B),0)</f>
        <v>0.33333333333333331</v>
      </c>
      <c r="BQ2298" s="53">
        <f ca="1">IF(BK2298&gt;=BO2298,0,_xlfn.XLOOKUP(F2298,Apuração!A:A,Apuração!B:B)*(BO2298 + (1/_xlfn.XLOOKUP(F2298,Apuração!A:A,Apuração!B:B)) - BK2298))</f>
        <v>3</v>
      </c>
      <c r="BR2298" s="85">
        <f t="shared" ref="BR2298:BR2299" ca="1" si="2723">IF(BQ2298=0,0,BQ2298*Z2298)</f>
        <v>3</v>
      </c>
      <c r="BS2298" s="53">
        <f ca="1">IFERROR((_xlfn.XLOOKUP(F2298,Apuração!A:A,Apuração!C:C)+1)/_xlfn.XLOOKUP(F2298,Apuração!A:A,Apuração!B:B),0)</f>
        <v>0.5</v>
      </c>
    </row>
    <row r="2299" spans="1:71" ht="25.95" hidden="1" customHeight="1" x14ac:dyDescent="0.3">
      <c r="A2299" s="3" t="s">
        <v>33</v>
      </c>
      <c r="B2299" s="4" t="s">
        <v>53</v>
      </c>
      <c r="C2299" s="5" t="s">
        <v>221</v>
      </c>
      <c r="D2299" s="5" t="s">
        <v>213</v>
      </c>
      <c r="E2299" s="4" t="s">
        <v>80</v>
      </c>
      <c r="F2299" s="4" t="str" cm="1">
        <f t="array" ref="F2299">_xlfn.IFS(
AG2299 &lt;&gt; "", "Jan-Dez/26",
AH2299 &lt;&gt; "", "Fev-Dez/26",
AI2299 &lt;&gt; "", "Mar-Dez/26", AJ2299 &lt;&gt; "", "Abr-Dez/26",
TRUE, "A partir de Junho"
)</f>
        <v>Jan-Dez/26</v>
      </c>
      <c r="G2299" s="6" t="s">
        <v>37</v>
      </c>
      <c r="H2299" s="7" t="s">
        <v>54</v>
      </c>
      <c r="I2299" s="8" t="s">
        <v>55</v>
      </c>
      <c r="J2299" s="8" t="str" cm="1">
        <f t="array" aca="1" ref="J2299" ca="1">_xlfn.LET(
  _xlpm.actual_value_month, INDEX(T2299:AE2299, MATCH(DATE(YEAR(TODAY()), MONTH(TODAY()), 1), $T$1:$AE$1, 0)),
  IF(_xlpm.actual_value_month &lt;&gt; "",_xlpm.actual_value_month &amp; " eventos mensais", "")
)</f>
        <v>1 eventos mensais</v>
      </c>
      <c r="K2299" s="14" t="str" cm="1">
        <f t="array" ref="K2299">_xlfn.LET(
    _xlpm.sum_month, SUM(T2299:AE2299),
    IF(_xlpm.sum_month = 0, "", _xlpm.sum_month &amp; "  eventos no ano")
)</f>
        <v>20  eventos no ano</v>
      </c>
      <c r="L2299" s="9" t="s">
        <v>56</v>
      </c>
      <c r="M2299" s="13" t="s">
        <v>57</v>
      </c>
      <c r="N2299" s="5" t="s">
        <v>42</v>
      </c>
      <c r="O2299" s="5" t="s">
        <v>43</v>
      </c>
      <c r="P2299" s="10" t="s">
        <v>58</v>
      </c>
      <c r="Q2299" s="10" t="s">
        <v>44</v>
      </c>
      <c r="R2299" s="11" t="s">
        <v>45</v>
      </c>
      <c r="S2299" s="11" t="s">
        <v>46</v>
      </c>
      <c r="T2299" s="152">
        <v>4</v>
      </c>
      <c r="U2299" s="152">
        <v>4</v>
      </c>
      <c r="V2299" s="152">
        <v>3</v>
      </c>
      <c r="W2299" s="152">
        <v>1</v>
      </c>
      <c r="X2299" s="152">
        <v>1</v>
      </c>
      <c r="Y2299" s="152">
        <v>1</v>
      </c>
      <c r="Z2299" s="152">
        <v>1</v>
      </c>
      <c r="AA2299" s="152">
        <v>1</v>
      </c>
      <c r="AB2299" s="152">
        <v>1</v>
      </c>
      <c r="AC2299" s="152">
        <v>1</v>
      </c>
      <c r="AD2299" s="152">
        <v>1</v>
      </c>
      <c r="AE2299" s="152">
        <v>1</v>
      </c>
      <c r="AG2299" s="71">
        <v>4</v>
      </c>
      <c r="AH2299" s="71">
        <v>4</v>
      </c>
      <c r="AI2299" s="71">
        <v>3</v>
      </c>
      <c r="AJ2299" s="71">
        <v>0</v>
      </c>
      <c r="AK2299" s="71"/>
      <c r="AL2299" s="71"/>
      <c r="AM2299" s="71"/>
      <c r="AN2299" s="71"/>
      <c r="AO2299" s="71"/>
      <c r="AP2299" s="71"/>
      <c r="AQ2299" s="71"/>
      <c r="AR2299" s="71"/>
      <c r="AS2299" s="94">
        <f t="shared" ca="1" si="2716"/>
        <v>13</v>
      </c>
      <c r="AT2299" s="95">
        <f t="shared" si="2717"/>
        <v>11</v>
      </c>
      <c r="AU2299" s="97">
        <f t="shared" si="2718"/>
        <v>11</v>
      </c>
      <c r="AW2299" s="51">
        <f t="shared" si="2719"/>
        <v>1</v>
      </c>
      <c r="AX2299" s="51">
        <f t="shared" si="2720"/>
        <v>1</v>
      </c>
      <c r="AY2299" s="51">
        <f t="shared" si="2721"/>
        <v>1</v>
      </c>
      <c r="AZ2299" s="51">
        <f t="shared" si="2722"/>
        <v>0</v>
      </c>
      <c r="BA2299" s="51"/>
      <c r="BB2299" s="51"/>
      <c r="BC2299" s="51"/>
      <c r="BD2299" s="51"/>
      <c r="BE2299" s="51"/>
      <c r="BF2299" s="51"/>
      <c r="BG2299" s="51"/>
      <c r="BH2299" s="51"/>
      <c r="BI2299" s="65" cm="1">
        <f t="array" ref="BI2299">IFERROR(INDEX(AW2299:BH2299,1,MATCH(2,1/(AW2299:BH2299&lt;&gt;""))),"")</f>
        <v>0</v>
      </c>
      <c r="BJ2299" s="68" cm="1">
        <f t="array" ref="BJ2299">IF(BM2299 = "", "",IFERROR(INDEX(AW2299:BH2299,1,MATCH(2,1/(AW2299:BH2299&lt;&gt;""),1)-1),""))</f>
        <v>1</v>
      </c>
      <c r="BK2299" s="58">
        <f>IF((IF(AW2299&gt;=115%,115%,AW2299) + IF(AX2299&gt;=115%,115%,AX2299) + IF(AY2299&gt;=115%,115%,AY2299) + (IF(AZ2299&gt;=160%,160%,AZ2299) + IF(BA2299&gt;=200%,200%,BA2299) + IF(BB2299&gt;=115%,115%,BB2299) + IF(BC2299&gt;=115%,115%,BC2299) + IF(BD2299&gt;=115%,115%,BD2299) + IF(BE2299&gt;=115%,115%,BE2299) + IF(BF2299&gt;=115%,115%,BF2299) + IF(BG2299&gt;=115%,115%,BG2299) + IF(BH2299&gt;=115%,115%,BH2299)))/_xlfn.XLOOKUP(F2299,Apuração!A:A,Apuração!B:B)&gt;=1.15,1.15,((IF(AZ2299&gt;=160%,160%,AZ2299) + IF(AX2299&gt;=115%,115%,AX2299) + IF(AY2299&gt;=115%,115%,AY2299) + (IF(AW2299&gt;=115%,115%,AW2299) + IF(BA2299&gt;=200%,200%,BA2299) + IF(BB2299&gt;=115%,115%,BB2299) + IF(BC2299&gt;=115%,115%,BC2299) + IF(BD2299&gt;=115%,115%,BD2299) + IF(BE2299&gt;=115%,115%,BE2299) + IF(BF2299&gt;=115%,115%,BF2299) + IF(BG2299&gt;=115%,115%,BG2299) + IF(BH2299&gt;=115%,115%,BH2299)))/_xlfn.XLOOKUP(F2299,Apuração!A:A,Apuração!B:B)))</f>
        <v>0.25</v>
      </c>
      <c r="BL2299" s="58" cm="1">
        <f t="array" aca="1" ref="BL2299" ca="1">IF(SUM(IFERROR(IF(INDEX(AW2299:INDEX(AW2299:BH2299, MATCH(2, 1/(AW2299:BH2299&lt;&gt;""), 1)-1), ROW(INDIRECT("1:" &amp; MATCH(2, 1/(AW2299:BH2299&lt;&gt;""), 1)-1))) &gt;= 115%, 115%, INDEX(AW2299:INDEX(AW2299:BH2299, MATCH(2, 1/(AW2299:BH2299&lt;&gt;""), 1)-1), ROW(INDIRECT("1:" &amp; MATCH(2, 1/(AW2299:BH2299&lt;&gt;""), 1)-1)))), 0))/_xlfn.XLOOKUP(F2299,Apuração!A:A,Apuração!B:B)&gt;=1.15,1.15,SUM(IFERROR(IF(INDEX(AW2299:INDEX(AW2299:BH2299, MATCH(2, 1/(AW2299:BH2299&lt;&gt;""), 1)-1), ROW(INDIRECT("1:" &amp; MATCH(2, 1/(AW2299:BH2299&lt;&gt;""), 1)-1))) &gt;= 115%, 115%, INDEX(AW2299:INDEX(AW2299:BH2299, MATCH(2, 1/(AW2299:BH2299&lt;&gt;""), 1)-1), ROW(INDIRECT("1:" &amp; MATCH(2, 1/(AW2299:BH2299&lt;&gt;""), 1)-1)))), 0))/_xlfn.XLOOKUP(F2299,Apuração!A:A,Apuração!B:B))</f>
        <v>0.25</v>
      </c>
      <c r="BM2299" s="55" cm="1">
        <f t="array" ref="BM2299">IFERROR(
   INDEX($AW$1:$BH$1,
      _xlfn.AGGREGATE(14, 6, COLUMN($AW$1:$BH$1)/(AW2299:BH2299&lt;&gt;""), 2) - COLUMN($AW$1) + 1
   ),
"")</f>
        <v>46082</v>
      </c>
      <c r="BN2299" s="55" cm="1">
        <f t="array" ref="BN2299">IFERROR(INDEX($AW$1:$BH$1,1,MATCH(2,1/(AW2299:BH2299&lt;&gt;""))),"")</f>
        <v>46113</v>
      </c>
      <c r="BO2299" s="53">
        <f ca="1">IFERROR(_xlfn.XLOOKUP(F2299,Apuração!A:A,Apuração!C:C)/_xlfn.XLOOKUP(F2299,Apuração!A:A,Apuração!B:B),0)</f>
        <v>0.41666666666666669</v>
      </c>
      <c r="BP2299" s="53">
        <f ca="1">IFERROR(_xlfn.XLOOKUP(F2299,Apuração!A:A,Apuração!D:D)/_xlfn.XLOOKUP(F2299,Apuração!A:A,Apuração!B:B),0)</f>
        <v>0.33333333333333331</v>
      </c>
      <c r="BQ2299" s="53">
        <f ca="1">IF(BK2299&gt;=BO2299,0,_xlfn.XLOOKUP(F2299,Apuração!A:A,Apuração!B:B)*(BO2299 + (1/_xlfn.XLOOKUP(F2299,Apuração!A:A,Apuração!B:B)) - BK2299))</f>
        <v>3</v>
      </c>
      <c r="BR2299" s="85">
        <f t="shared" ca="1" si="2723"/>
        <v>3</v>
      </c>
      <c r="BS2299" s="53">
        <f ca="1">IFERROR((_xlfn.XLOOKUP(F2299,Apuração!A:A,Apuração!C:C)+1)/_xlfn.XLOOKUP(F2299,Apuração!A:A,Apuração!B:B),0)</f>
        <v>0.5</v>
      </c>
    </row>
    <row r="2300" spans="1:71" ht="25.95" hidden="1" customHeight="1" x14ac:dyDescent="0.3">
      <c r="A2300" s="39" t="s">
        <v>33</v>
      </c>
      <c r="B2300" s="4" t="s">
        <v>53</v>
      </c>
      <c r="C2300" s="5" t="s">
        <v>221</v>
      </c>
      <c r="D2300" s="5" t="s">
        <v>36</v>
      </c>
      <c r="E2300" s="4" t="s">
        <v>80</v>
      </c>
      <c r="F2300" s="4" t="str" cm="1">
        <f t="array" ref="F2300">_xlfn.IFS(
AG2300 &lt;&gt; "", "Jan-Dez/26",
AH2300 &lt;&gt; "", "Fev-Dez/26",
AI2300 &lt;&gt; "", "Mar-Dez/26", AJ2300 &lt;&gt; "", "Abr-Dez/26",
TRUE, "A partir de Junho"
)</f>
        <v>Jan-Dez/26</v>
      </c>
      <c r="G2300" s="6" t="s">
        <v>37</v>
      </c>
      <c r="H2300" s="7" t="s">
        <v>54</v>
      </c>
      <c r="I2300" s="8" t="s">
        <v>59</v>
      </c>
      <c r="J2300" s="8" t="str" cm="1">
        <f t="array" aca="1" ref="J2300" ca="1">_xlfn.LET(
  _xlpm.actual_value_month, INDEX(T2300:AE2300, MATCH(DATE(YEAR(TODAY()), MONTH(TODAY()), 1), $T$1:$AE$1, 0)),
  IF(_xlpm.actual_value_month &lt;&gt; "",_xlpm.actual_value_month &amp; " ações mensais", "")
)</f>
        <v/>
      </c>
      <c r="K2300" s="12" t="str" cm="1">
        <f t="array" ref="K2300">_xlfn.LET(
    _xlpm.sum_month, SUM(T2300:AE2300),
    IF(_xlpm.sum_month = 0, "", _xlpm.sum_month &amp; " pessoas impactadas no ano")
)</f>
        <v/>
      </c>
      <c r="L2300" s="9" t="s">
        <v>59</v>
      </c>
      <c r="M2300" s="13">
        <v>1</v>
      </c>
      <c r="N2300" s="5" t="s">
        <v>51</v>
      </c>
      <c r="O2300" s="5" t="s">
        <v>52</v>
      </c>
      <c r="P2300" s="10" t="s">
        <v>44</v>
      </c>
      <c r="Q2300" s="10" t="s">
        <v>44</v>
      </c>
      <c r="R2300" s="11" t="s">
        <v>44</v>
      </c>
      <c r="S2300" s="11" t="s">
        <v>44</v>
      </c>
      <c r="T2300" s="22"/>
      <c r="U2300" s="22"/>
      <c r="V2300" s="22"/>
      <c r="W2300" s="22"/>
      <c r="X2300" s="22"/>
      <c r="Y2300" s="22"/>
      <c r="Z2300" s="22"/>
      <c r="AA2300" s="22"/>
      <c r="AB2300" s="22"/>
      <c r="AC2300" s="22"/>
      <c r="AD2300" s="22"/>
      <c r="AE2300" s="22"/>
      <c r="AG2300" s="71">
        <v>5506</v>
      </c>
      <c r="AH2300" s="71">
        <v>30026</v>
      </c>
      <c r="AI2300" s="71">
        <v>16892</v>
      </c>
      <c r="AJ2300" s="82">
        <v>0</v>
      </c>
      <c r="AK2300" s="71"/>
      <c r="AL2300" s="71"/>
      <c r="AM2300" s="71"/>
      <c r="AN2300" s="71"/>
      <c r="AO2300" s="71"/>
      <c r="AP2300" s="71"/>
      <c r="AQ2300" s="71"/>
      <c r="AR2300" s="71"/>
      <c r="AS2300" s="94">
        <f t="shared" ca="1" si="2697"/>
        <v>0</v>
      </c>
      <c r="AT2300" s="95">
        <f>SUM(AG2300:AR2300)</f>
        <v>52424</v>
      </c>
      <c r="AU2300" s="97">
        <f t="shared" si="2698"/>
        <v>52424</v>
      </c>
      <c r="AW2300" s="83">
        <f>AG2300</f>
        <v>5506</v>
      </c>
      <c r="AX2300" s="83">
        <f>AH2300</f>
        <v>30026</v>
      </c>
      <c r="AY2300" s="83">
        <f>AI2300</f>
        <v>16892</v>
      </c>
      <c r="AZ2300" s="83">
        <f>AJ2300</f>
        <v>0</v>
      </c>
      <c r="BA2300" s="52"/>
      <c r="BB2300" s="52"/>
      <c r="BC2300" s="52"/>
      <c r="BD2300" s="52"/>
      <c r="BE2300" s="52"/>
      <c r="BF2300" s="52"/>
      <c r="BG2300" s="52"/>
      <c r="BH2300" s="52"/>
      <c r="BI2300" s="68" cm="1">
        <f t="array" ref="BI2300">IFERROR(INDEX(AW2300:BH2300,1,MATCH(2,1/(AW2300:BH2300&lt;&gt;""))),"")</f>
        <v>0</v>
      </c>
      <c r="BJ2300" s="68" cm="1">
        <f t="array" ref="BJ2300">IF(BM2300 = "", "",IFERROR(INDEX(AW2300:BH2300,1,MATCH(2,1/(AW2300:BH2300&lt;&gt;""),1)-1),""))</f>
        <v>16892</v>
      </c>
      <c r="BK2300" s="59">
        <f>SUM(AW2300:BH2300)</f>
        <v>52424</v>
      </c>
      <c r="BL2300" s="59" cm="1">
        <f t="array" ref="BL2300">IFERROR(SUM(AW2300:INDEX(AW2300:BH2300, MATCH(2, 1/(AW2300:BH2300&lt;&gt;""), 1) - 1))/_xlfn.XLOOKUP(F2300,Apuração!A:A,Apuração!B:B),0)</f>
        <v>4368.666666666667</v>
      </c>
      <c r="BM2300" s="55" cm="1">
        <f t="array" ref="BM2300">IFERROR(
   INDEX($AW$1:$BH$1,
      _xlfn.AGGREGATE(14, 6, COLUMN($AW$1:$BH$1)/(AW2300:BH2300&lt;&gt;""), 2) - COLUMN($AW$1) + 1
   ),
"")</f>
        <v>46082</v>
      </c>
      <c r="BN2300" s="55" cm="1">
        <f t="array" ref="BN2300">IFERROR(INDEX($AW$1:$BH$1,1,MATCH(2,1/(AW2300:BH2300&lt;&gt;""))),"")</f>
        <v>46113</v>
      </c>
      <c r="BO2300" s="53">
        <f ca="1">IFERROR(_xlfn.XLOOKUP(F2300,Apuração!A:A,Apuração!C:C)/_xlfn.XLOOKUP(F2300,Apuração!A:A,Apuração!B:B),0)</f>
        <v>0.41666666666666669</v>
      </c>
      <c r="BP2300" s="53">
        <f ca="1">IFERROR(_xlfn.XLOOKUP(F2300,Apuração!A:A,Apuração!D:D)/_xlfn.XLOOKUP(F2300,Apuração!A:A,Apuração!B:B),0)</f>
        <v>0.33333333333333331</v>
      </c>
      <c r="BQ2300" s="53">
        <f ca="1">IF(BK2300&gt;=BO2300,0,_xlfn.XLOOKUP(F2300,Apuração!A:A,Apuração!B:B)*(BO2300 + (1/_xlfn.XLOOKUP(F2300,Apuração!A:A,Apuração!B:B)) - BK2300))</f>
        <v>0</v>
      </c>
      <c r="BR2300" s="85">
        <f t="shared" ca="1" si="2696"/>
        <v>0</v>
      </c>
      <c r="BS2300" s="53">
        <f ca="1">IFERROR((_xlfn.XLOOKUP(F2300,Apuração!A:A,Apuração!C:C)+1)/_xlfn.XLOOKUP(F2300,Apuração!A:A,Apuração!B:B),0)</f>
        <v>0.5</v>
      </c>
    </row>
    <row r="2301" spans="1:71" ht="25.95" hidden="1" customHeight="1" x14ac:dyDescent="0.3">
      <c r="A2301" s="39" t="s">
        <v>33</v>
      </c>
      <c r="B2301" s="4" t="s">
        <v>53</v>
      </c>
      <c r="C2301" s="5" t="s">
        <v>221</v>
      </c>
      <c r="D2301" s="5" t="s">
        <v>212</v>
      </c>
      <c r="E2301" s="4" t="s">
        <v>80</v>
      </c>
      <c r="F2301" s="4" t="str" cm="1">
        <f t="array" ref="F2301">_xlfn.IFS(
AG2301 &lt;&gt; "", "Jan-Dez/26",
AH2301 &lt;&gt; "", "Fev-Dez/26",
AI2301 &lt;&gt; "", "Mar-Dez/26", AJ2301 &lt;&gt; "", "Abr-Dez/26",
TRUE, "A partir de Junho"
)</f>
        <v>Jan-Dez/26</v>
      </c>
      <c r="G2301" s="6" t="s">
        <v>37</v>
      </c>
      <c r="H2301" s="7" t="s">
        <v>54</v>
      </c>
      <c r="I2301" s="8" t="s">
        <v>59</v>
      </c>
      <c r="J2301" s="8" t="str" cm="1">
        <f t="array" aca="1" ref="J2301" ca="1">_xlfn.LET(
  _xlpm.actual_value_month, INDEX(T2301:AE2301, MATCH(DATE(YEAR(TODAY()), MONTH(TODAY()), 1), $T$1:$AE$1, 0)),
  IF(_xlpm.actual_value_month &lt;&gt; "",_xlpm.actual_value_month &amp; " ações mensais", "")
)</f>
        <v/>
      </c>
      <c r="K2301" s="12" t="str" cm="1">
        <f t="array" ref="K2301">_xlfn.LET(
    _xlpm.sum_month, SUM(T2301:AE2301),
    IF(_xlpm.sum_month = 0, "", _xlpm.sum_month &amp; " pessoas impactadas no ano")
)</f>
        <v/>
      </c>
      <c r="L2301" s="9" t="s">
        <v>59</v>
      </c>
      <c r="M2301" s="13">
        <v>1</v>
      </c>
      <c r="N2301" s="5" t="s">
        <v>51</v>
      </c>
      <c r="O2301" s="5" t="s">
        <v>52</v>
      </c>
      <c r="P2301" s="10" t="s">
        <v>44</v>
      </c>
      <c r="Q2301" s="10" t="s">
        <v>44</v>
      </c>
      <c r="R2301" s="11" t="s">
        <v>44</v>
      </c>
      <c r="S2301" s="11" t="s">
        <v>44</v>
      </c>
      <c r="T2301" s="22"/>
      <c r="U2301" s="22"/>
      <c r="V2301" s="22"/>
      <c r="W2301" s="22"/>
      <c r="X2301" s="22"/>
      <c r="Y2301" s="22"/>
      <c r="Z2301" s="22"/>
      <c r="AA2301" s="22"/>
      <c r="AB2301" s="22"/>
      <c r="AC2301" s="22"/>
      <c r="AD2301" s="22"/>
      <c r="AE2301" s="22"/>
      <c r="AG2301" s="71">
        <v>6</v>
      </c>
      <c r="AH2301" s="71">
        <v>19000</v>
      </c>
      <c r="AI2301" s="71">
        <v>42</v>
      </c>
      <c r="AJ2301" s="71">
        <v>0</v>
      </c>
      <c r="AK2301" s="71"/>
      <c r="AL2301" s="71"/>
      <c r="AM2301" s="71"/>
      <c r="AN2301" s="71"/>
      <c r="AO2301" s="71"/>
      <c r="AP2301" s="71"/>
      <c r="AQ2301" s="71"/>
      <c r="AR2301" s="71"/>
      <c r="AS2301" s="94">
        <f t="shared" ref="AS2301:AS2302" ca="1" si="2724">IF(MONTH(TODAY())=3,SUM(T2301:U2301),IF(MONTH(TODAY())=4,SUM(T2301:V2301),IF(MONTH(TODAY())=5,SUM(T2301:W2301),IF(MONTH(TODAY())=6,SUM(T2301:X2301),IF(MONTH(TODAY())=7,SUM(T2301:Y2301),IF(MONTH(TODAY())=8,SUM(T2301:Z2301),IF(MONTH(TODAY())=9,SUM(T2301:AA2301),IF(MONTH(TODAY())=10,SUM(T2301:AB2301),IF(MONTH(TODAY())=11,SUM(T2301:AC2301),IF(MONTH(TODAY())=12,SUM(T2301:AD2301),IF(MONTH(TODAY())=1,SUM(T2301:AE2301),T2301)))))))))))</f>
        <v>0</v>
      </c>
      <c r="AT2301" s="95">
        <f t="shared" ref="AT2301:AT2302" si="2725">SUM(AG2301:AR2301)</f>
        <v>19048</v>
      </c>
      <c r="AU2301" s="97">
        <f t="shared" ref="AU2301:AU2302" si="2726">SUM(AG2301:AR2301)</f>
        <v>19048</v>
      </c>
      <c r="AW2301" s="83">
        <f t="shared" ref="AW2301:AW2302" si="2727">AG2301</f>
        <v>6</v>
      </c>
      <c r="AX2301" s="83">
        <f t="shared" ref="AX2301:AX2302" si="2728">AH2301</f>
        <v>19000</v>
      </c>
      <c r="AY2301" s="83">
        <f t="shared" ref="AY2301:AY2302" si="2729">AI2301</f>
        <v>42</v>
      </c>
      <c r="AZ2301" s="83">
        <f t="shared" ref="AZ2301:AZ2302" si="2730">AJ2301</f>
        <v>0</v>
      </c>
      <c r="BA2301" s="52"/>
      <c r="BB2301" s="52"/>
      <c r="BC2301" s="52"/>
      <c r="BD2301" s="52"/>
      <c r="BE2301" s="52"/>
      <c r="BF2301" s="52"/>
      <c r="BG2301" s="52"/>
      <c r="BH2301" s="52"/>
      <c r="BI2301" s="68" cm="1">
        <f t="array" ref="BI2301">IFERROR(INDEX(AW2301:BH2301,1,MATCH(2,1/(AW2301:BH2301&lt;&gt;""))),"")</f>
        <v>0</v>
      </c>
      <c r="BJ2301" s="68" cm="1">
        <f t="array" ref="BJ2301">IF(BM2301 = "", "",IFERROR(INDEX(AW2301:BH2301,1,MATCH(2,1/(AW2301:BH2301&lt;&gt;""),1)-1),""))</f>
        <v>42</v>
      </c>
      <c r="BK2301" s="59">
        <f t="shared" ref="BK2301:BK2302" si="2731">SUM(AW2301:BH2301)</f>
        <v>19048</v>
      </c>
      <c r="BL2301" s="59" cm="1">
        <f t="array" ref="BL2301">IFERROR(SUM(AW2301:INDEX(AW2301:BH2301, MATCH(2, 1/(AW2301:BH2301&lt;&gt;""), 1) - 1))/_xlfn.XLOOKUP(F2301,Apuração!A:A,Apuração!B:B),0)</f>
        <v>1587.3333333333333</v>
      </c>
      <c r="BM2301" s="55" cm="1">
        <f t="array" ref="BM2301">IFERROR(
   INDEX($AW$1:$BH$1,
      _xlfn.AGGREGATE(14, 6, COLUMN($AW$1:$BH$1)/(AW2301:BH2301&lt;&gt;""), 2) - COLUMN($AW$1) + 1
   ),
"")</f>
        <v>46082</v>
      </c>
      <c r="BN2301" s="55" cm="1">
        <f t="array" ref="BN2301">IFERROR(INDEX($AW$1:$BH$1,1,MATCH(2,1/(AW2301:BH2301&lt;&gt;""))),"")</f>
        <v>46113</v>
      </c>
      <c r="BO2301" s="53">
        <f ca="1">IFERROR(_xlfn.XLOOKUP(F2301,Apuração!A:A,Apuração!C:C)/_xlfn.XLOOKUP(F2301,Apuração!A:A,Apuração!B:B),0)</f>
        <v>0.41666666666666669</v>
      </c>
      <c r="BP2301" s="53">
        <f ca="1">IFERROR(_xlfn.XLOOKUP(F2301,Apuração!A:A,Apuração!D:D)/_xlfn.XLOOKUP(F2301,Apuração!A:A,Apuração!B:B),0)</f>
        <v>0.33333333333333331</v>
      </c>
      <c r="BQ2301" s="53">
        <f ca="1">IF(BK2301&gt;=BO2301,0,_xlfn.XLOOKUP(F2301,Apuração!A:A,Apuração!B:B)*(BO2301 + (1/_xlfn.XLOOKUP(F2301,Apuração!A:A,Apuração!B:B)) - BK2301))</f>
        <v>0</v>
      </c>
      <c r="BR2301" s="85">
        <f t="shared" ref="BR2301:BR2302" ca="1" si="2732">IF(BQ2301=0,0,BQ2301*Z2301)</f>
        <v>0</v>
      </c>
      <c r="BS2301" s="53">
        <f ca="1">IFERROR((_xlfn.XLOOKUP(F2301,Apuração!A:A,Apuração!C:C)+1)/_xlfn.XLOOKUP(F2301,Apuração!A:A,Apuração!B:B),0)</f>
        <v>0.5</v>
      </c>
    </row>
    <row r="2302" spans="1:71" ht="25.95" hidden="1" customHeight="1" x14ac:dyDescent="0.3">
      <c r="A2302" s="39" t="s">
        <v>33</v>
      </c>
      <c r="B2302" s="4" t="s">
        <v>53</v>
      </c>
      <c r="C2302" s="5" t="s">
        <v>221</v>
      </c>
      <c r="D2302" s="5" t="s">
        <v>213</v>
      </c>
      <c r="E2302" s="4" t="s">
        <v>80</v>
      </c>
      <c r="F2302" s="4" t="str" cm="1">
        <f t="array" ref="F2302">_xlfn.IFS(
AG2302 &lt;&gt; "", "Jan-Dez/26",
AH2302 &lt;&gt; "", "Fev-Dez/26",
AI2302 &lt;&gt; "", "Mar-Dez/26", AJ2302 &lt;&gt; "", "Abr-Dez/26",
TRUE, "A partir de Junho"
)</f>
        <v>Jan-Dez/26</v>
      </c>
      <c r="G2302" s="6" t="s">
        <v>37</v>
      </c>
      <c r="H2302" s="7" t="s">
        <v>54</v>
      </c>
      <c r="I2302" s="8" t="s">
        <v>59</v>
      </c>
      <c r="J2302" s="8" t="str" cm="1">
        <f t="array" aca="1" ref="J2302" ca="1">_xlfn.LET(
  _xlpm.actual_value_month, INDEX(T2302:AE2302, MATCH(DATE(YEAR(TODAY()), MONTH(TODAY()), 1), $T$1:$AE$1, 0)),
  IF(_xlpm.actual_value_month &lt;&gt; "",_xlpm.actual_value_month &amp; " ações mensais", "")
)</f>
        <v/>
      </c>
      <c r="K2302" s="12" t="str" cm="1">
        <f t="array" ref="K2302">_xlfn.LET(
    _xlpm.sum_month, SUM(T2302:AE2302),
    IF(_xlpm.sum_month = 0, "", _xlpm.sum_month &amp; " pessoas impactadas no ano")
)</f>
        <v/>
      </c>
      <c r="L2302" s="9" t="s">
        <v>59</v>
      </c>
      <c r="M2302" s="13">
        <v>1</v>
      </c>
      <c r="N2302" s="5" t="s">
        <v>51</v>
      </c>
      <c r="O2302" s="5" t="s">
        <v>52</v>
      </c>
      <c r="P2302" s="10" t="s">
        <v>44</v>
      </c>
      <c r="Q2302" s="10" t="s">
        <v>44</v>
      </c>
      <c r="R2302" s="11" t="s">
        <v>44</v>
      </c>
      <c r="S2302" s="11" t="s">
        <v>44</v>
      </c>
      <c r="T2302" s="22"/>
      <c r="U2302" s="22"/>
      <c r="V2302" s="22"/>
      <c r="W2302" s="22"/>
      <c r="X2302" s="22"/>
      <c r="Y2302" s="22"/>
      <c r="Z2302" s="22"/>
      <c r="AA2302" s="22"/>
      <c r="AB2302" s="22"/>
      <c r="AC2302" s="22"/>
      <c r="AD2302" s="22"/>
      <c r="AE2302" s="22"/>
      <c r="AG2302" s="71">
        <v>5500</v>
      </c>
      <c r="AH2302" s="71">
        <v>11026</v>
      </c>
      <c r="AI2302" s="71">
        <v>16850</v>
      </c>
      <c r="AJ2302" s="71">
        <v>0</v>
      </c>
      <c r="AK2302" s="71"/>
      <c r="AL2302" s="71"/>
      <c r="AM2302" s="71"/>
      <c r="AN2302" s="71"/>
      <c r="AO2302" s="71"/>
      <c r="AP2302" s="71"/>
      <c r="AQ2302" s="71"/>
      <c r="AR2302" s="71"/>
      <c r="AS2302" s="94">
        <f t="shared" ca="1" si="2724"/>
        <v>0</v>
      </c>
      <c r="AT2302" s="95">
        <f t="shared" si="2725"/>
        <v>33376</v>
      </c>
      <c r="AU2302" s="97">
        <f t="shared" si="2726"/>
        <v>33376</v>
      </c>
      <c r="AW2302" s="83">
        <f t="shared" si="2727"/>
        <v>5500</v>
      </c>
      <c r="AX2302" s="83">
        <f t="shared" si="2728"/>
        <v>11026</v>
      </c>
      <c r="AY2302" s="83">
        <f t="shared" si="2729"/>
        <v>16850</v>
      </c>
      <c r="AZ2302" s="83">
        <f t="shared" si="2730"/>
        <v>0</v>
      </c>
      <c r="BA2302" s="52"/>
      <c r="BB2302" s="52"/>
      <c r="BC2302" s="52"/>
      <c r="BD2302" s="52"/>
      <c r="BE2302" s="52"/>
      <c r="BF2302" s="52"/>
      <c r="BG2302" s="52"/>
      <c r="BH2302" s="52"/>
      <c r="BI2302" s="68" cm="1">
        <f t="array" ref="BI2302">IFERROR(INDEX(AW2302:BH2302,1,MATCH(2,1/(AW2302:BH2302&lt;&gt;""))),"")</f>
        <v>0</v>
      </c>
      <c r="BJ2302" s="68" cm="1">
        <f t="array" ref="BJ2302">IF(BM2302 = "", "",IFERROR(INDEX(AW2302:BH2302,1,MATCH(2,1/(AW2302:BH2302&lt;&gt;""),1)-1),""))</f>
        <v>16850</v>
      </c>
      <c r="BK2302" s="59">
        <f t="shared" si="2731"/>
        <v>33376</v>
      </c>
      <c r="BL2302" s="59" cm="1">
        <f t="array" ref="BL2302">IFERROR(SUM(AW2302:INDEX(AW2302:BH2302, MATCH(2, 1/(AW2302:BH2302&lt;&gt;""), 1) - 1))/_xlfn.XLOOKUP(F2302,Apuração!A:A,Apuração!B:B),0)</f>
        <v>2781.3333333333335</v>
      </c>
      <c r="BM2302" s="55" cm="1">
        <f t="array" ref="BM2302">IFERROR(
   INDEX($AW$1:$BH$1,
      _xlfn.AGGREGATE(14, 6, COLUMN($AW$1:$BH$1)/(AW2302:BH2302&lt;&gt;""), 2) - COLUMN($AW$1) + 1
   ),
"")</f>
        <v>46082</v>
      </c>
      <c r="BN2302" s="55" cm="1">
        <f t="array" ref="BN2302">IFERROR(INDEX($AW$1:$BH$1,1,MATCH(2,1/(AW2302:BH2302&lt;&gt;""))),"")</f>
        <v>46113</v>
      </c>
      <c r="BO2302" s="53">
        <f ca="1">IFERROR(_xlfn.XLOOKUP(F2302,Apuração!A:A,Apuração!C:C)/_xlfn.XLOOKUP(F2302,Apuração!A:A,Apuração!B:B),0)</f>
        <v>0.41666666666666669</v>
      </c>
      <c r="BP2302" s="53">
        <f ca="1">IFERROR(_xlfn.XLOOKUP(F2302,Apuração!A:A,Apuração!D:D)/_xlfn.XLOOKUP(F2302,Apuração!A:A,Apuração!B:B),0)</f>
        <v>0.33333333333333331</v>
      </c>
      <c r="BQ2302" s="53">
        <f ca="1">IF(BK2302&gt;=BO2302,0,_xlfn.XLOOKUP(F2302,Apuração!A:A,Apuração!B:B)*(BO2302 + (1/_xlfn.XLOOKUP(F2302,Apuração!A:A,Apuração!B:B)) - BK2302))</f>
        <v>0</v>
      </c>
      <c r="BR2302" s="85">
        <f t="shared" ca="1" si="2732"/>
        <v>0</v>
      </c>
      <c r="BS2302" s="53">
        <f ca="1">IFERROR((_xlfn.XLOOKUP(F2302,Apuração!A:A,Apuração!C:C)+1)/_xlfn.XLOOKUP(F2302,Apuração!A:A,Apuração!B:B),0)</f>
        <v>0.5</v>
      </c>
    </row>
    <row r="2303" spans="1:71" ht="25.95" hidden="1" customHeight="1" x14ac:dyDescent="0.3">
      <c r="A2303" s="3" t="s">
        <v>33</v>
      </c>
      <c r="B2303" s="4" t="s">
        <v>60</v>
      </c>
      <c r="C2303" s="5" t="s">
        <v>221</v>
      </c>
      <c r="D2303" s="5" t="s">
        <v>36</v>
      </c>
      <c r="E2303" s="4" t="s">
        <v>61</v>
      </c>
      <c r="F2303" s="4" t="str" cm="1">
        <f t="array" ref="F2303">_xlfn.IFS(
AG2303 &lt;&gt; "", "Jan-Dez/26",
AH2303 &lt;&gt; "", "Fev-Dez/26",
AI2303 &lt;&gt; "", "Mar-Dez/26", AJ2303 &lt;&gt; "", "Abr-Dez/26",
TRUE, "A partir de Junho"
)</f>
        <v>A partir de Junho</v>
      </c>
      <c r="G2303" s="6" t="s">
        <v>62</v>
      </c>
      <c r="H2303" s="7" t="s">
        <v>38</v>
      </c>
      <c r="I2303" s="8" t="s">
        <v>63</v>
      </c>
      <c r="J2303" s="8" t="str" cm="1">
        <f t="array" aca="1" ref="J2303" ca="1">_xlfn.LET(
  _xlpm.actual_value_month, INDEX(T2303:AE2303, MATCH(DATE(YEAR(TODAY()), MONTH(TODAY()), 1), $T$1:$AE$1, 0)),
  IF(_xlpm.actual_value_month &lt;&gt; "",_xlpm.actual_value_month &amp; " ações mensais", "")
)</f>
        <v/>
      </c>
      <c r="K2303" s="17" t="str" cm="1">
        <f t="array" ref="K2303">_xlfn.LET(
    _xlpm.sum_month, SUM(T2303:AE2303),
    IF(_xlpm.sum_month = 0, "", _xlpm.sum_month &amp; " eventos realizados")
)</f>
        <v/>
      </c>
      <c r="L2303" s="9" t="s">
        <v>64</v>
      </c>
      <c r="M2303" s="13" t="s">
        <v>65</v>
      </c>
      <c r="N2303" s="5" t="s">
        <v>42</v>
      </c>
      <c r="O2303" s="5" t="s">
        <v>43</v>
      </c>
      <c r="P2303" s="10" t="s">
        <v>44</v>
      </c>
      <c r="Q2303" s="10" t="s">
        <v>44</v>
      </c>
      <c r="R2303" s="11" t="s">
        <v>66</v>
      </c>
      <c r="S2303" s="11" t="s">
        <v>67</v>
      </c>
      <c r="T2303" s="22"/>
      <c r="U2303" s="22"/>
      <c r="V2303" s="22"/>
      <c r="W2303" s="22"/>
      <c r="X2303" s="22"/>
      <c r="Y2303" s="22"/>
      <c r="Z2303" s="22"/>
      <c r="AA2303" s="22"/>
      <c r="AB2303" s="22"/>
      <c r="AC2303" s="22"/>
      <c r="AD2303" s="22"/>
      <c r="AE2303" s="22"/>
      <c r="AG2303" s="71"/>
      <c r="AH2303" s="71"/>
      <c r="AI2303" s="71"/>
      <c r="AJ2303" s="71"/>
      <c r="AK2303" s="71"/>
      <c r="AL2303" s="71"/>
      <c r="AM2303" s="71"/>
      <c r="AN2303" s="71"/>
      <c r="AO2303" s="71"/>
      <c r="AP2303" s="71"/>
      <c r="AQ2303" s="71"/>
      <c r="AR2303" s="71"/>
      <c r="AS2303" s="94">
        <f t="shared" ca="1" si="2697"/>
        <v>0</v>
      </c>
      <c r="AT2303" s="95">
        <f>SUM(IF(AW2303&lt;1.15,AG2303,1.15*T2303),IF(AX2303&lt;1.15,AH2303,1.15*U2303),IF(AY2303&lt;1.15,AI2303,1.15*V2303),IF(AZ2303&lt;1.15,AJ2303,1.15*W2303),IF(BA2303&lt;1.15,AK2303,1.15*X2303),IF(BB2303&lt;1.15,AL2303,1.15*Y2303),IF(BC2303&lt;1.15,AM2303,1.15*Z2303),IF(BD2303&lt;1.15,AN2303,1.15*AA2303),IF(BE2303&lt;1.15,AO2303,1.15*AB2303),IF(BF2303&lt;1.15,AP2303,1.15*AC2303),IF(BG2303&lt;1.15,AQ2303,1.15*AD2303),IF(BH2303&lt;1.15,AR2303,1.15*AE2303))</f>
        <v>0</v>
      </c>
      <c r="AU2303" s="97">
        <f t="shared" si="2698"/>
        <v>0</v>
      </c>
      <c r="AW2303" s="51">
        <f>IFERROR(IF(AG2303="",0,AG2303/T2303),0)</f>
        <v>0</v>
      </c>
      <c r="AX2303" s="51">
        <f>IFERROR(IF(AH2303="",0,AH2303/U2303),0)</f>
        <v>0</v>
      </c>
      <c r="AY2303" s="51">
        <f>IFERROR(IF(AI2303="",0,AI2303/V2303),0)</f>
        <v>0</v>
      </c>
      <c r="AZ2303" s="51">
        <f>IFERROR(IF(AJ2303="",0,AJ2303/W2303),0)</f>
        <v>0</v>
      </c>
      <c r="BA2303" s="51"/>
      <c r="BB2303" s="51"/>
      <c r="BC2303" s="51"/>
      <c r="BD2303" s="51"/>
      <c r="BE2303" s="51"/>
      <c r="BF2303" s="51"/>
      <c r="BG2303" s="51"/>
      <c r="BH2303" s="51"/>
      <c r="BI2303" s="65" cm="1">
        <f t="array" ref="BI2303">IFERROR(INDEX(AW2303:BH2303,1,MATCH(2,1/(AW2303:BH2303&lt;&gt;""))),"")</f>
        <v>0</v>
      </c>
      <c r="BJ2303" s="68" cm="1">
        <f t="array" ref="BJ2303">IF(BM2303 = "", "",IFERROR(INDEX(AW2303:BH2303,1,MATCH(2,1/(AW2303:BH2303&lt;&gt;""),1)-1),""))</f>
        <v>0</v>
      </c>
      <c r="BK2303" s="58">
        <f>IF((IF(AW2303&gt;=115%,115%,AW2303) + IF(AX2303&gt;=115%,115%,AX2303) + IF(AY2303&gt;=115%,115%,AY2303) + (IF(AZ2303&gt;=115%,115%,AZ2303) + IF(BA2303&gt;=115%,115%,BA2303) + IF(BB2303&gt;=115%,115%,BB2303) + IF(BC2303&gt;=115%,115%,BC2303) + IF(BD2303&gt;=115%,115%,BD2303) + IF(BE2303&gt;=115%,115%,BE2303) + IF(BF2303&gt;=115%,115%,BF2303) + IF(BG2303&gt;=115%,115%,BG2303) + IF(BH2303&gt;=115%,115%,BH2303)))/_xlfn.XLOOKUP(F2303,Apuração!A:A,Apuração!B:B)&gt;=1.15,1.15,((IF(AZ2303&gt;=115%,115%,AZ2303) + IF(AX2303&gt;=115%,115%,AX2303) + IF(AY2303&gt;=115%,115%,AY2303) + (IF(AW2303&gt;=115%,115%,AW2303) + IF(BA2303&gt;=115%,115%,BA2303) + IF(BB2303&gt;=115%,115%,BB2303) + IF(BC2303&gt;=115%,115%,BC2303) + IF(BD2303&gt;=115%,115%,BD2303) + IF(BE2303&gt;=115%,115%,BE2303) + IF(BF2303&gt;=115%,115%,BF2303) + IF(BG2303&gt;=115%,115%,BG2303) + IF(BH2303&gt;=115%,115%,BH2303)))/_xlfn.XLOOKUP(F2303,Apuração!A:A,Apuração!B:B)))</f>
        <v>0</v>
      </c>
      <c r="BL2303" s="58" cm="1">
        <f t="array" aca="1" ref="BL2303" ca="1">IF(SUM(IFERROR(IF(INDEX(AW2303:INDEX(AW2303:BH2303, MATCH(2, 1/(AW2303:BH2303&lt;&gt;""), 1)-1), ROW(INDIRECT("1:" &amp; MATCH(2, 1/(AW2303:BH2303&lt;&gt;""), 1)-1))) &gt;= 115%, 115%, INDEX(AW2303:INDEX(AW2303:BH2303, MATCH(2, 1/(AW2303:BH2303&lt;&gt;""), 1)-1), ROW(INDIRECT("1:" &amp; MATCH(2, 1/(AW2303:BH2303&lt;&gt;""), 1)-1)))), 0))/_xlfn.XLOOKUP(F2303,Apuração!A:A,Apuração!B:B)&gt;=1.15,1.15,SUM(IFERROR(IF(INDEX(AW2303:INDEX(AW2303:BH2303, MATCH(2, 1/(AW2303:BH2303&lt;&gt;""), 1)-1), ROW(INDIRECT("1:" &amp; MATCH(2, 1/(AW2303:BH2303&lt;&gt;""), 1)-1))) &gt;= 115%, 115%, INDEX(AW2303:INDEX(AW2303:BH2303, MATCH(2, 1/(AW2303:BH2303&lt;&gt;""), 1)-1), ROW(INDIRECT("1:" &amp; MATCH(2, 1/(AW2303:BH2303&lt;&gt;""), 1)-1)))), 0))/_xlfn.XLOOKUP(F2303,Apuração!A:A,Apuração!B:B))</f>
        <v>0</v>
      </c>
      <c r="BM2303" s="55" cm="1">
        <f t="array" ref="BM2303">IFERROR(
   INDEX($AW$1:$BH$1,
      _xlfn.AGGREGATE(14, 6, COLUMN($AW$1:$BH$1)/(AW2303:BH2303&lt;&gt;""), 2) - COLUMN($AW$1) + 1
   ),
"")</f>
        <v>46082</v>
      </c>
      <c r="BN2303" s="55" cm="1">
        <f t="array" ref="BN2303">IFERROR(INDEX($AW$1:$BH$1,1,MATCH(2,1/(AW2303:BH2303&lt;&gt;""))),"")</f>
        <v>46113</v>
      </c>
      <c r="BO2303" s="53">
        <f ca="1">IFERROR(_xlfn.XLOOKUP(F2303,Apuração!A:A,Apuração!C:C)/_xlfn.XLOOKUP(F2303,Apuração!A:A,Apuração!B:B),0)</f>
        <v>0</v>
      </c>
      <c r="BP2303" s="53">
        <f ca="1">IFERROR(_xlfn.XLOOKUP(F2303,Apuração!A:A,Apuração!D:D)/_xlfn.XLOOKUP(F2303,Apuração!A:A,Apuração!B:B),0)</f>
        <v>0</v>
      </c>
      <c r="BQ2303" s="53">
        <f ca="1">IF(BK2303&gt;=BO2303,0,_xlfn.XLOOKUP(F2303,Apuração!A:A,Apuração!B:B)*(BO2303 + (1/_xlfn.XLOOKUP(F2303,Apuração!A:A,Apuração!B:B)) - BK2303))</f>
        <v>0</v>
      </c>
      <c r="BR2303" s="85">
        <f t="shared" ca="1" si="2696"/>
        <v>0</v>
      </c>
      <c r="BS2303" s="53">
        <f ca="1">IFERROR((_xlfn.XLOOKUP(F2303,Apuração!A:A,Apuração!C:C)+1)/_xlfn.XLOOKUP(F2303,Apuração!A:A,Apuração!B:B),0)</f>
        <v>0.14285714285714285</v>
      </c>
    </row>
    <row r="2304" spans="1:71" ht="25.95" hidden="1" customHeight="1" x14ac:dyDescent="0.3">
      <c r="A2304" s="3" t="s">
        <v>33</v>
      </c>
      <c r="B2304" s="4" t="s">
        <v>60</v>
      </c>
      <c r="C2304" s="5" t="s">
        <v>221</v>
      </c>
      <c r="D2304" s="5" t="s">
        <v>212</v>
      </c>
      <c r="E2304" s="4" t="s">
        <v>61</v>
      </c>
      <c r="F2304" s="4" t="str" cm="1">
        <f t="array" ref="F2304">_xlfn.IFS(
AG2304 &lt;&gt; "", "Jan-Dez/26",
AH2304 &lt;&gt; "", "Fev-Dez/26",
AI2304 &lt;&gt; "", "Mar-Dez/26", AJ2304 &lt;&gt; "", "Abr-Dez/26",
TRUE, "A partir de Junho"
)</f>
        <v>A partir de Junho</v>
      </c>
      <c r="G2304" s="6" t="s">
        <v>62</v>
      </c>
      <c r="H2304" s="7" t="s">
        <v>38</v>
      </c>
      <c r="I2304" s="8" t="s">
        <v>63</v>
      </c>
      <c r="J2304" s="8" t="str" cm="1">
        <f t="array" aca="1" ref="J2304" ca="1">_xlfn.LET(
  _xlpm.actual_value_month, INDEX(T2304:AE2304, MATCH(DATE(YEAR(TODAY()), MONTH(TODAY()), 1), $T$1:$AE$1, 0)),
  IF(_xlpm.actual_value_month &lt;&gt; "",_xlpm.actual_value_month &amp; " ações mensais", "")
)</f>
        <v/>
      </c>
      <c r="K2304" s="17" t="str" cm="1">
        <f t="array" ref="K2304">_xlfn.LET(
    _xlpm.sum_month, SUM(T2304:AE2304),
    IF(_xlpm.sum_month = 0, "", _xlpm.sum_month &amp; " eventos realizados")
)</f>
        <v/>
      </c>
      <c r="L2304" s="9" t="s">
        <v>64</v>
      </c>
      <c r="M2304" s="13" t="s">
        <v>65</v>
      </c>
      <c r="N2304" s="5" t="s">
        <v>42</v>
      </c>
      <c r="O2304" s="5" t="s">
        <v>43</v>
      </c>
      <c r="P2304" s="10" t="s">
        <v>44</v>
      </c>
      <c r="Q2304" s="10" t="s">
        <v>44</v>
      </c>
      <c r="R2304" s="11" t="s">
        <v>66</v>
      </c>
      <c r="S2304" s="11" t="s">
        <v>67</v>
      </c>
      <c r="T2304" s="22"/>
      <c r="U2304" s="22"/>
      <c r="V2304" s="22"/>
      <c r="W2304" s="22"/>
      <c r="X2304" s="22"/>
      <c r="Y2304" s="22"/>
      <c r="Z2304" s="22"/>
      <c r="AA2304" s="22"/>
      <c r="AB2304" s="22"/>
      <c r="AC2304" s="22"/>
      <c r="AD2304" s="22"/>
      <c r="AE2304" s="22"/>
      <c r="AG2304" s="71"/>
      <c r="AH2304" s="71"/>
      <c r="AI2304" s="71"/>
      <c r="AJ2304" s="71"/>
      <c r="AK2304" s="71"/>
      <c r="AL2304" s="71"/>
      <c r="AM2304" s="71"/>
      <c r="AN2304" s="71"/>
      <c r="AO2304" s="71"/>
      <c r="AP2304" s="71"/>
      <c r="AQ2304" s="71"/>
      <c r="AR2304" s="71"/>
      <c r="AS2304" s="94">
        <f t="shared" ref="AS2304:AS2305" ca="1" si="2733">IF(MONTH(TODAY())=3,SUM(T2304:U2304),IF(MONTH(TODAY())=4,SUM(T2304:V2304),IF(MONTH(TODAY())=5,SUM(T2304:W2304),IF(MONTH(TODAY())=6,SUM(T2304:X2304),IF(MONTH(TODAY())=7,SUM(T2304:Y2304),IF(MONTH(TODAY())=8,SUM(T2304:Z2304),IF(MONTH(TODAY())=9,SUM(T2304:AA2304),IF(MONTH(TODAY())=10,SUM(T2304:AB2304),IF(MONTH(TODAY())=11,SUM(T2304:AC2304),IF(MONTH(TODAY())=12,SUM(T2304:AD2304),IF(MONTH(TODAY())=1,SUM(T2304:AE2304),T2304)))))))))))</f>
        <v>0</v>
      </c>
      <c r="AT2304" s="95">
        <f t="shared" ref="AT2304:AT2305" si="2734">SUM(IF(AW2304&lt;1.15,AG2304,1.15*T2304),IF(AX2304&lt;1.15,AH2304,1.15*U2304),IF(AY2304&lt;1.15,AI2304,1.15*V2304),IF(AZ2304&lt;1.15,AJ2304,1.15*W2304),IF(BA2304&lt;1.15,AK2304,1.15*X2304),IF(BB2304&lt;1.15,AL2304,1.15*Y2304),IF(BC2304&lt;1.15,AM2304,1.15*Z2304),IF(BD2304&lt;1.15,AN2304,1.15*AA2304),IF(BE2304&lt;1.15,AO2304,1.15*AB2304),IF(BF2304&lt;1.15,AP2304,1.15*AC2304),IF(BG2304&lt;1.15,AQ2304,1.15*AD2304),IF(BH2304&lt;1.15,AR2304,1.15*AE2304))</f>
        <v>0</v>
      </c>
      <c r="AU2304" s="97">
        <f t="shared" ref="AU2304:AU2305" si="2735">SUM(AG2304:AR2304)</f>
        <v>0</v>
      </c>
      <c r="AW2304" s="51">
        <f t="shared" ref="AW2304:AW2305" si="2736">IFERROR(IF(AG2304="",0,AG2304/T2304),0)</f>
        <v>0</v>
      </c>
      <c r="AX2304" s="51">
        <f t="shared" ref="AX2304:AX2305" si="2737">IFERROR(IF(AH2304="",0,AH2304/U2304),0)</f>
        <v>0</v>
      </c>
      <c r="AY2304" s="51">
        <f t="shared" ref="AY2304:AY2305" si="2738">IFERROR(IF(AI2304="",0,AI2304/V2304),0)</f>
        <v>0</v>
      </c>
      <c r="AZ2304" s="51">
        <f t="shared" ref="AZ2304:AZ2305" si="2739">IFERROR(IF(AJ2304="",0,AJ2304/W2304),0)</f>
        <v>0</v>
      </c>
      <c r="BA2304" s="51"/>
      <c r="BB2304" s="51"/>
      <c r="BC2304" s="51"/>
      <c r="BD2304" s="51"/>
      <c r="BE2304" s="51"/>
      <c r="BF2304" s="51"/>
      <c r="BG2304" s="51"/>
      <c r="BH2304" s="51"/>
      <c r="BI2304" s="65" cm="1">
        <f t="array" ref="BI2304">IFERROR(INDEX(AW2304:BH2304,1,MATCH(2,1/(AW2304:BH2304&lt;&gt;""))),"")</f>
        <v>0</v>
      </c>
      <c r="BJ2304" s="68" cm="1">
        <f t="array" ref="BJ2304">IF(BM2304 = "", "",IFERROR(INDEX(AW2304:BH2304,1,MATCH(2,1/(AW2304:BH2304&lt;&gt;""),1)-1),""))</f>
        <v>0</v>
      </c>
      <c r="BK2304" s="58">
        <f>IF((IF(AW2304&gt;=115%,115%,AW2304) + IF(AX2304&gt;=115%,115%,AX2304) + IF(AY2304&gt;=115%,115%,AY2304) + (IF(AZ2304&gt;=115%,115%,AZ2304) + IF(BA2304&gt;=115%,115%,BA2304) + IF(BB2304&gt;=115%,115%,BB2304) + IF(BC2304&gt;=115%,115%,BC2304) + IF(BD2304&gt;=115%,115%,BD2304) + IF(BE2304&gt;=115%,115%,BE2304) + IF(BF2304&gt;=115%,115%,BF2304) + IF(BG2304&gt;=115%,115%,BG2304) + IF(BH2304&gt;=115%,115%,BH2304)))/_xlfn.XLOOKUP(F2304,Apuração!A:A,Apuração!B:B)&gt;=1.15,1.15,((IF(AZ2304&gt;=115%,115%,AZ2304) + IF(AX2304&gt;=115%,115%,AX2304) + IF(AY2304&gt;=115%,115%,AY2304) + (IF(AW2304&gt;=115%,115%,AW2304) + IF(BA2304&gt;=115%,115%,BA2304) + IF(BB2304&gt;=115%,115%,BB2304) + IF(BC2304&gt;=115%,115%,BC2304) + IF(BD2304&gt;=115%,115%,BD2304) + IF(BE2304&gt;=115%,115%,BE2304) + IF(BF2304&gt;=115%,115%,BF2304) + IF(BG2304&gt;=115%,115%,BG2304) + IF(BH2304&gt;=115%,115%,BH2304)))/_xlfn.XLOOKUP(F2304,Apuração!A:A,Apuração!B:B)))</f>
        <v>0</v>
      </c>
      <c r="BL2304" s="58" cm="1">
        <f t="array" aca="1" ref="BL2304" ca="1">IF(SUM(IFERROR(IF(INDEX(AW2304:INDEX(AW2304:BH2304, MATCH(2, 1/(AW2304:BH2304&lt;&gt;""), 1)-1), ROW(INDIRECT("1:" &amp; MATCH(2, 1/(AW2304:BH2304&lt;&gt;""), 1)-1))) &gt;= 115%, 115%, INDEX(AW2304:INDEX(AW2304:BH2304, MATCH(2, 1/(AW2304:BH2304&lt;&gt;""), 1)-1), ROW(INDIRECT("1:" &amp; MATCH(2, 1/(AW2304:BH2304&lt;&gt;""), 1)-1)))), 0))/_xlfn.XLOOKUP(F2304,Apuração!A:A,Apuração!B:B)&gt;=1.15,1.15,SUM(IFERROR(IF(INDEX(AW2304:INDEX(AW2304:BH2304, MATCH(2, 1/(AW2304:BH2304&lt;&gt;""), 1)-1), ROW(INDIRECT("1:" &amp; MATCH(2, 1/(AW2304:BH2304&lt;&gt;""), 1)-1))) &gt;= 115%, 115%, INDEX(AW2304:INDEX(AW2304:BH2304, MATCH(2, 1/(AW2304:BH2304&lt;&gt;""), 1)-1), ROW(INDIRECT("1:" &amp; MATCH(2, 1/(AW2304:BH2304&lt;&gt;""), 1)-1)))), 0))/_xlfn.XLOOKUP(F2304,Apuração!A:A,Apuração!B:B))</f>
        <v>0</v>
      </c>
      <c r="BM2304" s="55" cm="1">
        <f t="array" ref="BM2304">IFERROR(
   INDEX($AW$1:$BH$1,
      _xlfn.AGGREGATE(14, 6, COLUMN($AW$1:$BH$1)/(AW2304:BH2304&lt;&gt;""), 2) - COLUMN($AW$1) + 1
   ),
"")</f>
        <v>46082</v>
      </c>
      <c r="BN2304" s="55" cm="1">
        <f t="array" ref="BN2304">IFERROR(INDEX($AW$1:$BH$1,1,MATCH(2,1/(AW2304:BH2304&lt;&gt;""))),"")</f>
        <v>46113</v>
      </c>
      <c r="BO2304" s="53">
        <f ca="1">IFERROR(_xlfn.XLOOKUP(F2304,Apuração!A:A,Apuração!C:C)/_xlfn.XLOOKUP(F2304,Apuração!A:A,Apuração!B:B),0)</f>
        <v>0</v>
      </c>
      <c r="BP2304" s="53">
        <f ca="1">IFERROR(_xlfn.XLOOKUP(F2304,Apuração!A:A,Apuração!D:D)/_xlfn.XLOOKUP(F2304,Apuração!A:A,Apuração!B:B),0)</f>
        <v>0</v>
      </c>
      <c r="BQ2304" s="53">
        <f ca="1">IF(BK2304&gt;=BO2304,0,_xlfn.XLOOKUP(F2304,Apuração!A:A,Apuração!B:B)*(BO2304 + (1/_xlfn.XLOOKUP(F2304,Apuração!A:A,Apuração!B:B)) - BK2304))</f>
        <v>0</v>
      </c>
      <c r="BR2304" s="85">
        <f t="shared" ref="BR2304:BR2305" ca="1" si="2740">IF(BQ2304=0,0,BQ2304*Z2304)</f>
        <v>0</v>
      </c>
      <c r="BS2304" s="53">
        <f ca="1">IFERROR((_xlfn.XLOOKUP(F2304,Apuração!A:A,Apuração!C:C)+1)/_xlfn.XLOOKUP(F2304,Apuração!A:A,Apuração!B:B),0)</f>
        <v>0.14285714285714285</v>
      </c>
    </row>
    <row r="2305" spans="1:71" ht="25.95" hidden="1" customHeight="1" x14ac:dyDescent="0.3">
      <c r="A2305" s="3" t="s">
        <v>33</v>
      </c>
      <c r="B2305" s="4" t="s">
        <v>60</v>
      </c>
      <c r="C2305" s="5" t="s">
        <v>221</v>
      </c>
      <c r="D2305" s="5" t="s">
        <v>213</v>
      </c>
      <c r="E2305" s="4" t="s">
        <v>61</v>
      </c>
      <c r="F2305" s="4" t="str" cm="1">
        <f t="array" ref="F2305">_xlfn.IFS(
AG2305 &lt;&gt; "", "Jan-Dez/26",
AH2305 &lt;&gt; "", "Fev-Dez/26",
AI2305 &lt;&gt; "", "Mar-Dez/26", AJ2305 &lt;&gt; "", "Abr-Dez/26",
TRUE, "A partir de Junho"
)</f>
        <v>A partir de Junho</v>
      </c>
      <c r="G2305" s="6" t="s">
        <v>62</v>
      </c>
      <c r="H2305" s="7" t="s">
        <v>38</v>
      </c>
      <c r="I2305" s="8" t="s">
        <v>63</v>
      </c>
      <c r="J2305" s="8" t="str" cm="1">
        <f t="array" aca="1" ref="J2305" ca="1">_xlfn.LET(
  _xlpm.actual_value_month, INDEX(T2305:AE2305, MATCH(DATE(YEAR(TODAY()), MONTH(TODAY()), 1), $T$1:$AE$1, 0)),
  IF(_xlpm.actual_value_month &lt;&gt; "",_xlpm.actual_value_month &amp; " ações mensais", "")
)</f>
        <v/>
      </c>
      <c r="K2305" s="17" t="str" cm="1">
        <f t="array" ref="K2305">_xlfn.LET(
    _xlpm.sum_month, SUM(T2305:AE2305),
    IF(_xlpm.sum_month = 0, "", _xlpm.sum_month &amp; " eventos realizados")
)</f>
        <v/>
      </c>
      <c r="L2305" s="9" t="s">
        <v>64</v>
      </c>
      <c r="M2305" s="13" t="s">
        <v>65</v>
      </c>
      <c r="N2305" s="5" t="s">
        <v>42</v>
      </c>
      <c r="O2305" s="5" t="s">
        <v>43</v>
      </c>
      <c r="P2305" s="10" t="s">
        <v>44</v>
      </c>
      <c r="Q2305" s="10" t="s">
        <v>44</v>
      </c>
      <c r="R2305" s="11" t="s">
        <v>66</v>
      </c>
      <c r="S2305" s="11" t="s">
        <v>67</v>
      </c>
      <c r="T2305" s="22"/>
      <c r="U2305" s="22"/>
      <c r="V2305" s="22"/>
      <c r="W2305" s="22"/>
      <c r="X2305" s="22"/>
      <c r="Y2305" s="22"/>
      <c r="Z2305" s="22"/>
      <c r="AA2305" s="22"/>
      <c r="AB2305" s="22"/>
      <c r="AC2305" s="22"/>
      <c r="AD2305" s="22"/>
      <c r="AE2305" s="22"/>
      <c r="AG2305" s="71"/>
      <c r="AH2305" s="71"/>
      <c r="AI2305" s="71"/>
      <c r="AJ2305" s="71"/>
      <c r="AK2305" s="71"/>
      <c r="AL2305" s="71"/>
      <c r="AM2305" s="71"/>
      <c r="AN2305" s="71"/>
      <c r="AO2305" s="71"/>
      <c r="AP2305" s="71"/>
      <c r="AQ2305" s="71"/>
      <c r="AR2305" s="71"/>
      <c r="AS2305" s="94">
        <f t="shared" ca="1" si="2733"/>
        <v>0</v>
      </c>
      <c r="AT2305" s="95">
        <f t="shared" si="2734"/>
        <v>0</v>
      </c>
      <c r="AU2305" s="97">
        <f t="shared" si="2735"/>
        <v>0</v>
      </c>
      <c r="AW2305" s="51">
        <f t="shared" si="2736"/>
        <v>0</v>
      </c>
      <c r="AX2305" s="51">
        <f t="shared" si="2737"/>
        <v>0</v>
      </c>
      <c r="AY2305" s="51">
        <f t="shared" si="2738"/>
        <v>0</v>
      </c>
      <c r="AZ2305" s="51">
        <f t="shared" si="2739"/>
        <v>0</v>
      </c>
      <c r="BA2305" s="51"/>
      <c r="BB2305" s="51"/>
      <c r="BC2305" s="51"/>
      <c r="BD2305" s="51"/>
      <c r="BE2305" s="51"/>
      <c r="BF2305" s="51"/>
      <c r="BG2305" s="51"/>
      <c r="BH2305" s="51"/>
      <c r="BI2305" s="65" cm="1">
        <f t="array" ref="BI2305">IFERROR(INDEX(AW2305:BH2305,1,MATCH(2,1/(AW2305:BH2305&lt;&gt;""))),"")</f>
        <v>0</v>
      </c>
      <c r="BJ2305" s="68" cm="1">
        <f t="array" ref="BJ2305">IF(BM2305 = "", "",IFERROR(INDEX(AW2305:BH2305,1,MATCH(2,1/(AW2305:BH2305&lt;&gt;""),1)-1),""))</f>
        <v>0</v>
      </c>
      <c r="BK2305" s="58">
        <f>IF((IF(AW2305&gt;=115%,115%,AW2305) + IF(AX2305&gt;=115%,115%,AX2305) + IF(AY2305&gt;=115%,115%,AY2305) + (IF(AZ2305&gt;=115%,115%,AZ2305) + IF(BA2305&gt;=115%,115%,BA2305) + IF(BB2305&gt;=115%,115%,BB2305) + IF(BC2305&gt;=115%,115%,BC2305) + IF(BD2305&gt;=115%,115%,BD2305) + IF(BE2305&gt;=115%,115%,BE2305) + IF(BF2305&gt;=115%,115%,BF2305) + IF(BG2305&gt;=115%,115%,BG2305) + IF(BH2305&gt;=115%,115%,BH2305)))/_xlfn.XLOOKUP(F2305,Apuração!A:A,Apuração!B:B)&gt;=1.15,1.15,((IF(AZ2305&gt;=115%,115%,AZ2305) + IF(AX2305&gt;=115%,115%,AX2305) + IF(AY2305&gt;=115%,115%,AY2305) + (IF(AW2305&gt;=115%,115%,AW2305) + IF(BA2305&gt;=115%,115%,BA2305) + IF(BB2305&gt;=115%,115%,BB2305) + IF(BC2305&gt;=115%,115%,BC2305) + IF(BD2305&gt;=115%,115%,BD2305) + IF(BE2305&gt;=115%,115%,BE2305) + IF(BF2305&gt;=115%,115%,BF2305) + IF(BG2305&gt;=115%,115%,BG2305) + IF(BH2305&gt;=115%,115%,BH2305)))/_xlfn.XLOOKUP(F2305,Apuração!A:A,Apuração!B:B)))</f>
        <v>0</v>
      </c>
      <c r="BL2305" s="58" cm="1">
        <f t="array" aca="1" ref="BL2305" ca="1">IF(SUM(IFERROR(IF(INDEX(AW2305:INDEX(AW2305:BH2305, MATCH(2, 1/(AW2305:BH2305&lt;&gt;""), 1)-1), ROW(INDIRECT("1:" &amp; MATCH(2, 1/(AW2305:BH2305&lt;&gt;""), 1)-1))) &gt;= 115%, 115%, INDEX(AW2305:INDEX(AW2305:BH2305, MATCH(2, 1/(AW2305:BH2305&lt;&gt;""), 1)-1), ROW(INDIRECT("1:" &amp; MATCH(2, 1/(AW2305:BH2305&lt;&gt;""), 1)-1)))), 0))/_xlfn.XLOOKUP(F2305,Apuração!A:A,Apuração!B:B)&gt;=1.15,1.15,SUM(IFERROR(IF(INDEX(AW2305:INDEX(AW2305:BH2305, MATCH(2, 1/(AW2305:BH2305&lt;&gt;""), 1)-1), ROW(INDIRECT("1:" &amp; MATCH(2, 1/(AW2305:BH2305&lt;&gt;""), 1)-1))) &gt;= 115%, 115%, INDEX(AW2305:INDEX(AW2305:BH2305, MATCH(2, 1/(AW2305:BH2305&lt;&gt;""), 1)-1), ROW(INDIRECT("1:" &amp; MATCH(2, 1/(AW2305:BH2305&lt;&gt;""), 1)-1)))), 0))/_xlfn.XLOOKUP(F2305,Apuração!A:A,Apuração!B:B))</f>
        <v>0</v>
      </c>
      <c r="BM2305" s="55" cm="1">
        <f t="array" ref="BM2305">IFERROR(
   INDEX($AW$1:$BH$1,
      _xlfn.AGGREGATE(14, 6, COLUMN($AW$1:$BH$1)/(AW2305:BH2305&lt;&gt;""), 2) - COLUMN($AW$1) + 1
   ),
"")</f>
        <v>46082</v>
      </c>
      <c r="BN2305" s="55" cm="1">
        <f t="array" ref="BN2305">IFERROR(INDEX($AW$1:$BH$1,1,MATCH(2,1/(AW2305:BH2305&lt;&gt;""))),"")</f>
        <v>46113</v>
      </c>
      <c r="BO2305" s="53">
        <f ca="1">IFERROR(_xlfn.XLOOKUP(F2305,Apuração!A:A,Apuração!C:C)/_xlfn.XLOOKUP(F2305,Apuração!A:A,Apuração!B:B),0)</f>
        <v>0</v>
      </c>
      <c r="BP2305" s="53">
        <f ca="1">IFERROR(_xlfn.XLOOKUP(F2305,Apuração!A:A,Apuração!D:D)/_xlfn.XLOOKUP(F2305,Apuração!A:A,Apuração!B:B),0)</f>
        <v>0</v>
      </c>
      <c r="BQ2305" s="53">
        <f ca="1">IF(BK2305&gt;=BO2305,0,_xlfn.XLOOKUP(F2305,Apuração!A:A,Apuração!B:B)*(BO2305 + (1/_xlfn.XLOOKUP(F2305,Apuração!A:A,Apuração!B:B)) - BK2305))</f>
        <v>0</v>
      </c>
      <c r="BR2305" s="85">
        <f t="shared" ca="1" si="2740"/>
        <v>0</v>
      </c>
      <c r="BS2305" s="53">
        <f ca="1">IFERROR((_xlfn.XLOOKUP(F2305,Apuração!A:A,Apuração!C:C)+1)/_xlfn.XLOOKUP(F2305,Apuração!A:A,Apuração!B:B),0)</f>
        <v>0.14285714285714285</v>
      </c>
    </row>
    <row r="2306" spans="1:71" ht="25.95" hidden="1" customHeight="1" x14ac:dyDescent="0.3">
      <c r="A2306" s="39" t="s">
        <v>33</v>
      </c>
      <c r="B2306" s="4" t="s">
        <v>60</v>
      </c>
      <c r="C2306" s="5" t="s">
        <v>221</v>
      </c>
      <c r="D2306" s="5" t="s">
        <v>36</v>
      </c>
      <c r="E2306" s="4" t="s">
        <v>61</v>
      </c>
      <c r="F2306" s="4" t="str" cm="1">
        <f t="array" ref="F2306">_xlfn.IFS(
AG2306 &lt;&gt; "", "Jan-Dez/26",
AH2306 &lt;&gt; "", "Fev-Dez/26",
AI2306 &lt;&gt; "", "Mar-Dez/26", AJ2306 &lt;&gt; "", "Abr-Dez/26",
TRUE, "A partir de Junho"
)</f>
        <v>A partir de Junho</v>
      </c>
      <c r="G2306" s="6" t="s">
        <v>62</v>
      </c>
      <c r="H2306" s="7" t="s">
        <v>38</v>
      </c>
      <c r="I2306" s="8" t="s">
        <v>68</v>
      </c>
      <c r="J2306" s="8" t="str" cm="1">
        <f t="array" aca="1" ref="J2306" ca="1">_xlfn.LET(
  _xlpm.actual_value_month, INDEX(T2306:AE2306, MATCH(DATE(YEAR(TODAY()), MONTH(TODAY()), 1), $T$1:$AE$1, 0)),
  IF(_xlpm.actual_value_month &lt;&gt; "",_xlpm.actual_value_month &amp; " ações mensais", "")
)</f>
        <v/>
      </c>
      <c r="K2306" s="18" t="str" cm="1">
        <f t="array" ref="K2306">_xlfn.LET(
    _xlpm.sum_month, SUM(T2306:AE2306),
    IF(_xlpm.sum_month = 0, "", _xlpm.sum_month &amp; " notificações.")
)</f>
        <v/>
      </c>
      <c r="L2306" s="4" t="s">
        <v>69</v>
      </c>
      <c r="M2306" s="19">
        <v>1</v>
      </c>
      <c r="N2306" s="5" t="s">
        <v>51</v>
      </c>
      <c r="O2306" s="5" t="s">
        <v>43</v>
      </c>
      <c r="P2306" s="10" t="s">
        <v>44</v>
      </c>
      <c r="Q2306" s="10" t="s">
        <v>44</v>
      </c>
      <c r="R2306" s="11" t="s">
        <v>44</v>
      </c>
      <c r="S2306" s="11" t="s">
        <v>44</v>
      </c>
      <c r="T2306" s="22"/>
      <c r="U2306" s="22"/>
      <c r="V2306" s="22"/>
      <c r="W2306" s="22"/>
      <c r="X2306" s="22"/>
      <c r="Y2306" s="22"/>
      <c r="Z2306" s="22"/>
      <c r="AA2306" s="22"/>
      <c r="AB2306" s="22"/>
      <c r="AC2306" s="22"/>
      <c r="AD2306" s="22"/>
      <c r="AE2306" s="22"/>
      <c r="AG2306" s="71"/>
      <c r="AH2306" s="71"/>
      <c r="AI2306" s="71"/>
      <c r="AJ2306" s="71"/>
      <c r="AK2306" s="71"/>
      <c r="AL2306" s="71"/>
      <c r="AM2306" s="71"/>
      <c r="AN2306" s="71"/>
      <c r="AO2306" s="71"/>
      <c r="AP2306" s="71"/>
      <c r="AQ2306" s="71"/>
      <c r="AR2306" s="71"/>
      <c r="AS2306" s="94">
        <f t="shared" ca="1" si="2697"/>
        <v>0</v>
      </c>
      <c r="AT2306" s="95">
        <f>SUM(AG2306:AR2306)</f>
        <v>0</v>
      </c>
      <c r="AU2306" s="97">
        <f t="shared" si="2698"/>
        <v>0</v>
      </c>
      <c r="AW2306" s="83">
        <f>AG2306</f>
        <v>0</v>
      </c>
      <c r="AX2306" s="83">
        <f>AH2306</f>
        <v>0</v>
      </c>
      <c r="AY2306" s="83">
        <f>AI2306</f>
        <v>0</v>
      </c>
      <c r="AZ2306" s="83">
        <f>AJ2306</f>
        <v>0</v>
      </c>
      <c r="BA2306" s="52"/>
      <c r="BB2306" s="52"/>
      <c r="BC2306" s="52"/>
      <c r="BD2306" s="52"/>
      <c r="BE2306" s="52"/>
      <c r="BF2306" s="52"/>
      <c r="BG2306" s="52"/>
      <c r="BH2306" s="52"/>
      <c r="BI2306" s="68" cm="1">
        <f t="array" ref="BI2306">IFERROR(INDEX(AW2306:BH2306,1,MATCH(2,1/(AW2306:BH2306&lt;&gt;""))),"")</f>
        <v>0</v>
      </c>
      <c r="BJ2306" s="68" cm="1">
        <f t="array" ref="BJ2306">IF(BM2306 = "", "",IFERROR(INDEX(AW2306:BH2306,1,MATCH(2,1/(AW2306:BH2306&lt;&gt;""),1)-1),""))</f>
        <v>0</v>
      </c>
      <c r="BK2306" s="59">
        <f>IF((IF(AW2306&gt;=150%,150%,AW2306) + IF(AX2306&gt;=150%,150%,AX2306) + IF(AY2306&gt;=150%,150%,AY2306) + (IF(AW2306&gt;=150%,150%,AW2306) + IF(BA2306&gt;=150%,150%,BA2306) + IF(BB2306&gt;=150%,150%,BB2306) + IF(BC2306&gt;=150%,150%,BC2306) + IF(BD2306&gt;=150%,150%,BD2306) + IF(BE2306&gt;=150%,150%,BE2306) + IF(BF2306&gt;=150%,150%,BF2306) + IF(BG2306&gt;=150%,150%,BG2306) + IF(BH2306&gt;=150%,150%,BH2306)))/_xlfn.XLOOKUP(F2306,Apuração!A:A,Apuração!B:B)&gt;=1.15,1.15,((IF(AW2306&gt;=150%,150%,AW2306) + IF(AX2306&gt;=150%,150%,AX2306) + IF(AY2306&gt;=150%,150%,AY2306) + (IF(AW2306&gt;=150%,150%,AW2306) + IF(BA2306&gt;=150%,150%,BA2306) + IF(BB2306&gt;=150%,150%,BB2306) + IF(BC2306&gt;=150%,150%,BC2306) + IF(BD2306&gt;=150%,150%,BD2306) + IF(BE2306&gt;=150%,150%,BE2306) + IF(BF2306&gt;=150%,150%,BF2306) + IF(BG2306&gt;=150%,150%,BG2306) + IF(BH2306&gt;=150%,150%,BH2306)))/_xlfn.XLOOKUP(F2306,Apuração!A:A,Apuração!B:B)))</f>
        <v>0</v>
      </c>
      <c r="BL2306" s="59" cm="1">
        <f t="array" aca="1" ref="BL2306" ca="1">IF(SUM(IFERROR(IF(INDEX(AW2306:INDEX(AW2306:BH2306, MATCH(2, 1/(AW2306:BH2306&lt;&gt;""), 1)-1), ROW(INDIRECT("1:" &amp; MATCH(2, 1/(AW2306:BH2306&lt;&gt;""), 1)-1))) &gt;= 150%, 150%, INDEX(AW2306:INDEX(AW2306:BH2306, MATCH(2, 1/(AW2306:BH2306&lt;&gt;""), 1)-1), ROW(INDIRECT("1:" &amp; MATCH(2, 1/(AW2306:BH2306&lt;&gt;""), 1)-1)))), 0))/_xlfn.XLOOKUP(F2306,Apuração!A:A,Apuração!B:B)&gt;=1.15,1.15,SUM(IFERROR(IF(INDEX(AW2306:INDEX(AW2306:BH2306, MATCH(2, 1/(AW2306:BH2306&lt;&gt;""), 1)-1), ROW(INDIRECT("1:" &amp; MATCH(2, 1/(AW2306:BH2306&lt;&gt;""), 1)-1))) &gt;= 150%, 150%, INDEX(AW2306:INDEX(AW2306:BH2306, MATCH(2, 1/(AW2306:BH2306&lt;&gt;""), 1)-1), ROW(INDIRECT("1:" &amp; MATCH(2, 1/(AW2306:BH2306&lt;&gt;""), 1)-1)))), 0))/_xlfn.XLOOKUP(F2306,Apuração!A:A,Apuração!B:B))</f>
        <v>0</v>
      </c>
      <c r="BM2306" s="55" cm="1">
        <f t="array" ref="BM2306">IFERROR(
   INDEX($AW$1:$BH$1,
      _xlfn.AGGREGATE(14, 6, COLUMN($AW$1:$BH$1)/(AW2306:BH2306&lt;&gt;""), 2) - COLUMN($AW$1) + 1
   ),
"")</f>
        <v>46082</v>
      </c>
      <c r="BN2306" s="55" cm="1">
        <f t="array" ref="BN2306">IFERROR(INDEX($AW$1:$BH$1,1,MATCH(2,1/(AW2306:BH2306&lt;&gt;""))),"")</f>
        <v>46113</v>
      </c>
      <c r="BO2306" s="53">
        <f ca="1">IFERROR(_xlfn.XLOOKUP(F2306,Apuração!A:A,Apuração!C:C)/_xlfn.XLOOKUP(F2306,Apuração!A:A,Apuração!B:B),0)</f>
        <v>0</v>
      </c>
      <c r="BP2306" s="53">
        <f ca="1">IFERROR(_xlfn.XLOOKUP(F2306,Apuração!A:A,Apuração!D:D)/_xlfn.XLOOKUP(F2306,Apuração!A:A,Apuração!B:B),0)</f>
        <v>0</v>
      </c>
      <c r="BQ2306" s="53">
        <f ca="1">IF(BK2306&gt;=BO2306,0,_xlfn.XLOOKUP(F2306,Apuração!A:A,Apuração!B:B)*(BO2306 + (1/_xlfn.XLOOKUP(F2306,Apuração!A:A,Apuração!B:B)) - BK2306))</f>
        <v>0</v>
      </c>
      <c r="BR2306" s="85">
        <f t="shared" ca="1" si="2696"/>
        <v>0</v>
      </c>
      <c r="BS2306" s="53">
        <f ca="1">IFERROR((_xlfn.XLOOKUP(F2306,Apuração!A:A,Apuração!C:C)+1)/_xlfn.XLOOKUP(F2306,Apuração!A:A,Apuração!B:B),0)</f>
        <v>0.14285714285714285</v>
      </c>
    </row>
    <row r="2307" spans="1:71" ht="25.95" hidden="1" customHeight="1" x14ac:dyDescent="0.3">
      <c r="A2307" s="39" t="s">
        <v>33</v>
      </c>
      <c r="B2307" s="4" t="s">
        <v>60</v>
      </c>
      <c r="C2307" s="5" t="s">
        <v>221</v>
      </c>
      <c r="D2307" s="5" t="s">
        <v>212</v>
      </c>
      <c r="E2307" s="4" t="s">
        <v>61</v>
      </c>
      <c r="F2307" s="4" t="str" cm="1">
        <f t="array" ref="F2307">_xlfn.IFS(
AG2307 &lt;&gt; "", "Jan-Dez/26",
AH2307 &lt;&gt; "", "Fev-Dez/26",
AI2307 &lt;&gt; "", "Mar-Dez/26", AJ2307 &lt;&gt; "", "Abr-Dez/26",
TRUE, "A partir de Junho"
)</f>
        <v>A partir de Junho</v>
      </c>
      <c r="G2307" s="6" t="s">
        <v>62</v>
      </c>
      <c r="H2307" s="7" t="s">
        <v>38</v>
      </c>
      <c r="I2307" s="8" t="s">
        <v>68</v>
      </c>
      <c r="J2307" s="8" t="str" cm="1">
        <f t="array" aca="1" ref="J2307" ca="1">_xlfn.LET(
  _xlpm.actual_value_month, INDEX(T2307:AE2307, MATCH(DATE(YEAR(TODAY()), MONTH(TODAY()), 1), $T$1:$AE$1, 0)),
  IF(_xlpm.actual_value_month &lt;&gt; "",_xlpm.actual_value_month &amp; " ações mensais", "")
)</f>
        <v/>
      </c>
      <c r="K2307" s="18" t="str" cm="1">
        <f t="array" ref="K2307">_xlfn.LET(
    _xlpm.sum_month, SUM(T2307:AE2307),
    IF(_xlpm.sum_month = 0, "", _xlpm.sum_month &amp; " notificações.")
)</f>
        <v/>
      </c>
      <c r="L2307" s="4" t="s">
        <v>69</v>
      </c>
      <c r="M2307" s="19">
        <v>1</v>
      </c>
      <c r="N2307" s="5" t="s">
        <v>51</v>
      </c>
      <c r="O2307" s="5" t="s">
        <v>43</v>
      </c>
      <c r="P2307" s="10" t="s">
        <v>44</v>
      </c>
      <c r="Q2307" s="10" t="s">
        <v>44</v>
      </c>
      <c r="R2307" s="11" t="s">
        <v>44</v>
      </c>
      <c r="S2307" s="11" t="s">
        <v>44</v>
      </c>
      <c r="T2307" s="22"/>
      <c r="U2307" s="22"/>
      <c r="V2307" s="22"/>
      <c r="W2307" s="22"/>
      <c r="X2307" s="22"/>
      <c r="Y2307" s="22"/>
      <c r="Z2307" s="22"/>
      <c r="AA2307" s="22"/>
      <c r="AB2307" s="22"/>
      <c r="AC2307" s="22"/>
      <c r="AD2307" s="22"/>
      <c r="AE2307" s="22"/>
      <c r="AG2307" s="71"/>
      <c r="AH2307" s="71"/>
      <c r="AI2307" s="71"/>
      <c r="AJ2307" s="71"/>
      <c r="AK2307" s="71"/>
      <c r="AL2307" s="71"/>
      <c r="AM2307" s="71"/>
      <c r="AN2307" s="71"/>
      <c r="AO2307" s="71"/>
      <c r="AP2307" s="71"/>
      <c r="AQ2307" s="71"/>
      <c r="AR2307" s="71"/>
      <c r="AS2307" s="94">
        <f t="shared" ref="AS2307:AS2308" ca="1" si="2741">IF(MONTH(TODAY())=3,SUM(T2307:U2307),IF(MONTH(TODAY())=4,SUM(T2307:V2307),IF(MONTH(TODAY())=5,SUM(T2307:W2307),IF(MONTH(TODAY())=6,SUM(T2307:X2307),IF(MONTH(TODAY())=7,SUM(T2307:Y2307),IF(MONTH(TODAY())=8,SUM(T2307:Z2307),IF(MONTH(TODAY())=9,SUM(T2307:AA2307),IF(MONTH(TODAY())=10,SUM(T2307:AB2307),IF(MONTH(TODAY())=11,SUM(T2307:AC2307),IF(MONTH(TODAY())=12,SUM(T2307:AD2307),IF(MONTH(TODAY())=1,SUM(T2307:AE2307),T2307)))))))))))</f>
        <v>0</v>
      </c>
      <c r="AT2307" s="95">
        <f t="shared" ref="AT2307:AT2308" si="2742">SUM(AG2307:AR2307)</f>
        <v>0</v>
      </c>
      <c r="AU2307" s="97">
        <f t="shared" ref="AU2307:AU2308" si="2743">SUM(AG2307:AR2307)</f>
        <v>0</v>
      </c>
      <c r="AW2307" s="83">
        <f t="shared" ref="AW2307:AW2308" si="2744">AG2307</f>
        <v>0</v>
      </c>
      <c r="AX2307" s="83">
        <f t="shared" ref="AX2307:AX2308" si="2745">AH2307</f>
        <v>0</v>
      </c>
      <c r="AY2307" s="83">
        <f t="shared" ref="AY2307:AY2308" si="2746">AI2307</f>
        <v>0</v>
      </c>
      <c r="AZ2307" s="83">
        <f t="shared" ref="AZ2307:AZ2308" si="2747">AJ2307</f>
        <v>0</v>
      </c>
      <c r="BA2307" s="52"/>
      <c r="BB2307" s="52"/>
      <c r="BC2307" s="52"/>
      <c r="BD2307" s="52"/>
      <c r="BE2307" s="52"/>
      <c r="BF2307" s="52"/>
      <c r="BG2307" s="52"/>
      <c r="BH2307" s="52"/>
      <c r="BI2307" s="68" cm="1">
        <f t="array" ref="BI2307">IFERROR(INDEX(AW2307:BH2307,1,MATCH(2,1/(AW2307:BH2307&lt;&gt;""))),"")</f>
        <v>0</v>
      </c>
      <c r="BJ2307" s="68" cm="1">
        <f t="array" ref="BJ2307">IF(BM2307 = "", "",IFERROR(INDEX(AW2307:BH2307,1,MATCH(2,1/(AW2307:BH2307&lt;&gt;""),1)-1),""))</f>
        <v>0</v>
      </c>
      <c r="BK2307" s="59">
        <f>IF((IF(AW2307&gt;=150%,150%,AW2307) + IF(AX2307&gt;=150%,150%,AX2307) + IF(AY2307&gt;=150%,150%,AY2307) + (IF(AW2307&gt;=150%,150%,AW2307) + IF(BA2307&gt;=150%,150%,BA2307) + IF(BB2307&gt;=150%,150%,BB2307) + IF(BC2307&gt;=150%,150%,BC2307) + IF(BD2307&gt;=150%,150%,BD2307) + IF(BE2307&gt;=150%,150%,BE2307) + IF(BF2307&gt;=150%,150%,BF2307) + IF(BG2307&gt;=150%,150%,BG2307) + IF(BH2307&gt;=150%,150%,BH2307)))/_xlfn.XLOOKUP(F2307,Apuração!A:A,Apuração!B:B)&gt;=1.15,1.15,((IF(AW2307&gt;=150%,150%,AW2307) + IF(AX2307&gt;=150%,150%,AX2307) + IF(AY2307&gt;=150%,150%,AY2307) + (IF(AW2307&gt;=150%,150%,AW2307) + IF(BA2307&gt;=150%,150%,BA2307) + IF(BB2307&gt;=150%,150%,BB2307) + IF(BC2307&gt;=150%,150%,BC2307) + IF(BD2307&gt;=150%,150%,BD2307) + IF(BE2307&gt;=150%,150%,BE2307) + IF(BF2307&gt;=150%,150%,BF2307) + IF(BG2307&gt;=150%,150%,BG2307) + IF(BH2307&gt;=150%,150%,BH2307)))/_xlfn.XLOOKUP(F2307,Apuração!A:A,Apuração!B:B)))</f>
        <v>0</v>
      </c>
      <c r="BL2307" s="59" cm="1">
        <f t="array" aca="1" ref="BL2307" ca="1">IF(SUM(IFERROR(IF(INDEX(AW2307:INDEX(AW2307:BH2307, MATCH(2, 1/(AW2307:BH2307&lt;&gt;""), 1)-1), ROW(INDIRECT("1:" &amp; MATCH(2, 1/(AW2307:BH2307&lt;&gt;""), 1)-1))) &gt;= 150%, 150%, INDEX(AW2307:INDEX(AW2307:BH2307, MATCH(2, 1/(AW2307:BH2307&lt;&gt;""), 1)-1), ROW(INDIRECT("1:" &amp; MATCH(2, 1/(AW2307:BH2307&lt;&gt;""), 1)-1)))), 0))/_xlfn.XLOOKUP(F2307,Apuração!A:A,Apuração!B:B)&gt;=1.15,1.15,SUM(IFERROR(IF(INDEX(AW2307:INDEX(AW2307:BH2307, MATCH(2, 1/(AW2307:BH2307&lt;&gt;""), 1)-1), ROW(INDIRECT("1:" &amp; MATCH(2, 1/(AW2307:BH2307&lt;&gt;""), 1)-1))) &gt;= 150%, 150%, INDEX(AW2307:INDEX(AW2307:BH2307, MATCH(2, 1/(AW2307:BH2307&lt;&gt;""), 1)-1), ROW(INDIRECT("1:" &amp; MATCH(2, 1/(AW2307:BH2307&lt;&gt;""), 1)-1)))), 0))/_xlfn.XLOOKUP(F2307,Apuração!A:A,Apuração!B:B))</f>
        <v>0</v>
      </c>
      <c r="BM2307" s="55" cm="1">
        <f t="array" ref="BM2307">IFERROR(
   INDEX($AW$1:$BH$1,
      _xlfn.AGGREGATE(14, 6, COLUMN($AW$1:$BH$1)/(AW2307:BH2307&lt;&gt;""), 2) - COLUMN($AW$1) + 1
   ),
"")</f>
        <v>46082</v>
      </c>
      <c r="BN2307" s="55" cm="1">
        <f t="array" ref="BN2307">IFERROR(INDEX($AW$1:$BH$1,1,MATCH(2,1/(AW2307:BH2307&lt;&gt;""))),"")</f>
        <v>46113</v>
      </c>
      <c r="BO2307" s="53">
        <f ca="1">IFERROR(_xlfn.XLOOKUP(F2307,Apuração!A:A,Apuração!C:C)/_xlfn.XLOOKUP(F2307,Apuração!A:A,Apuração!B:B),0)</f>
        <v>0</v>
      </c>
      <c r="BP2307" s="53">
        <f ca="1">IFERROR(_xlfn.XLOOKUP(F2307,Apuração!A:A,Apuração!D:D)/_xlfn.XLOOKUP(F2307,Apuração!A:A,Apuração!B:B),0)</f>
        <v>0</v>
      </c>
      <c r="BQ2307" s="53">
        <f ca="1">IF(BK2307&gt;=BO2307,0,_xlfn.XLOOKUP(F2307,Apuração!A:A,Apuração!B:B)*(BO2307 + (1/_xlfn.XLOOKUP(F2307,Apuração!A:A,Apuração!B:B)) - BK2307))</f>
        <v>0</v>
      </c>
      <c r="BR2307" s="85">
        <f t="shared" ref="BR2307:BR2308" ca="1" si="2748">IF(BQ2307=0,0,BQ2307*Z2307)</f>
        <v>0</v>
      </c>
      <c r="BS2307" s="53">
        <f ca="1">IFERROR((_xlfn.XLOOKUP(F2307,Apuração!A:A,Apuração!C:C)+1)/_xlfn.XLOOKUP(F2307,Apuração!A:A,Apuração!B:B),0)</f>
        <v>0.14285714285714285</v>
      </c>
    </row>
    <row r="2308" spans="1:71" ht="25.95" hidden="1" customHeight="1" x14ac:dyDescent="0.3">
      <c r="A2308" s="39" t="s">
        <v>33</v>
      </c>
      <c r="B2308" s="4" t="s">
        <v>60</v>
      </c>
      <c r="C2308" s="5" t="s">
        <v>221</v>
      </c>
      <c r="D2308" s="5" t="s">
        <v>213</v>
      </c>
      <c r="E2308" s="4" t="s">
        <v>61</v>
      </c>
      <c r="F2308" s="4" t="str" cm="1">
        <f t="array" ref="F2308">_xlfn.IFS(
AG2308 &lt;&gt; "", "Jan-Dez/26",
AH2308 &lt;&gt; "", "Fev-Dez/26",
AI2308 &lt;&gt; "", "Mar-Dez/26", AJ2308 &lt;&gt; "", "Abr-Dez/26",
TRUE, "A partir de Junho"
)</f>
        <v>A partir de Junho</v>
      </c>
      <c r="G2308" s="6" t="s">
        <v>62</v>
      </c>
      <c r="H2308" s="7" t="s">
        <v>38</v>
      </c>
      <c r="I2308" s="8" t="s">
        <v>68</v>
      </c>
      <c r="J2308" s="8" t="str" cm="1">
        <f t="array" aca="1" ref="J2308" ca="1">_xlfn.LET(
  _xlpm.actual_value_month, INDEX(T2308:AE2308, MATCH(DATE(YEAR(TODAY()), MONTH(TODAY()), 1), $T$1:$AE$1, 0)),
  IF(_xlpm.actual_value_month &lt;&gt; "",_xlpm.actual_value_month &amp; " ações mensais", "")
)</f>
        <v/>
      </c>
      <c r="K2308" s="18" t="str" cm="1">
        <f t="array" ref="K2308">_xlfn.LET(
    _xlpm.sum_month, SUM(T2308:AE2308),
    IF(_xlpm.sum_month = 0, "", _xlpm.sum_month &amp; " notificações.")
)</f>
        <v/>
      </c>
      <c r="L2308" s="4" t="s">
        <v>69</v>
      </c>
      <c r="M2308" s="19">
        <v>1</v>
      </c>
      <c r="N2308" s="5" t="s">
        <v>51</v>
      </c>
      <c r="O2308" s="5" t="s">
        <v>43</v>
      </c>
      <c r="P2308" s="10" t="s">
        <v>44</v>
      </c>
      <c r="Q2308" s="10" t="s">
        <v>44</v>
      </c>
      <c r="R2308" s="11" t="s">
        <v>44</v>
      </c>
      <c r="S2308" s="11" t="s">
        <v>44</v>
      </c>
      <c r="T2308" s="22"/>
      <c r="U2308" s="22"/>
      <c r="V2308" s="22"/>
      <c r="W2308" s="22"/>
      <c r="X2308" s="22"/>
      <c r="Y2308" s="22"/>
      <c r="Z2308" s="22"/>
      <c r="AA2308" s="22"/>
      <c r="AB2308" s="22"/>
      <c r="AC2308" s="22"/>
      <c r="AD2308" s="22"/>
      <c r="AE2308" s="22"/>
      <c r="AG2308" s="71"/>
      <c r="AH2308" s="71"/>
      <c r="AI2308" s="71"/>
      <c r="AJ2308" s="71"/>
      <c r="AK2308" s="71"/>
      <c r="AL2308" s="71"/>
      <c r="AM2308" s="71"/>
      <c r="AN2308" s="71"/>
      <c r="AO2308" s="71"/>
      <c r="AP2308" s="71"/>
      <c r="AQ2308" s="71"/>
      <c r="AR2308" s="71"/>
      <c r="AS2308" s="94">
        <f t="shared" ca="1" si="2741"/>
        <v>0</v>
      </c>
      <c r="AT2308" s="95">
        <f t="shared" si="2742"/>
        <v>0</v>
      </c>
      <c r="AU2308" s="97">
        <f t="shared" si="2743"/>
        <v>0</v>
      </c>
      <c r="AW2308" s="83">
        <f t="shared" si="2744"/>
        <v>0</v>
      </c>
      <c r="AX2308" s="83">
        <f t="shared" si="2745"/>
        <v>0</v>
      </c>
      <c r="AY2308" s="83">
        <f t="shared" si="2746"/>
        <v>0</v>
      </c>
      <c r="AZ2308" s="83">
        <f t="shared" si="2747"/>
        <v>0</v>
      </c>
      <c r="BA2308" s="52"/>
      <c r="BB2308" s="52"/>
      <c r="BC2308" s="52"/>
      <c r="BD2308" s="52"/>
      <c r="BE2308" s="52"/>
      <c r="BF2308" s="52"/>
      <c r="BG2308" s="52"/>
      <c r="BH2308" s="52"/>
      <c r="BI2308" s="68" cm="1">
        <f t="array" ref="BI2308">IFERROR(INDEX(AW2308:BH2308,1,MATCH(2,1/(AW2308:BH2308&lt;&gt;""))),"")</f>
        <v>0</v>
      </c>
      <c r="BJ2308" s="68" cm="1">
        <f t="array" ref="BJ2308">IF(BM2308 = "", "",IFERROR(INDEX(AW2308:BH2308,1,MATCH(2,1/(AW2308:BH2308&lt;&gt;""),1)-1),""))</f>
        <v>0</v>
      </c>
      <c r="BK2308" s="59">
        <f>IF((IF(AW2308&gt;=150%,150%,AW2308) + IF(AX2308&gt;=150%,150%,AX2308) + IF(AY2308&gt;=150%,150%,AY2308) + (IF(AW2308&gt;=150%,150%,AW2308) + IF(BA2308&gt;=150%,150%,BA2308) + IF(BB2308&gt;=150%,150%,BB2308) + IF(BC2308&gt;=150%,150%,BC2308) + IF(BD2308&gt;=150%,150%,BD2308) + IF(BE2308&gt;=150%,150%,BE2308) + IF(BF2308&gt;=150%,150%,BF2308) + IF(BG2308&gt;=150%,150%,BG2308) + IF(BH2308&gt;=150%,150%,BH2308)))/_xlfn.XLOOKUP(F2308,Apuração!A:A,Apuração!B:B)&gt;=1.15,1.15,((IF(AW2308&gt;=150%,150%,AW2308) + IF(AX2308&gt;=150%,150%,AX2308) + IF(AY2308&gt;=150%,150%,AY2308) + (IF(AW2308&gt;=150%,150%,AW2308) + IF(BA2308&gt;=150%,150%,BA2308) + IF(BB2308&gt;=150%,150%,BB2308) + IF(BC2308&gt;=150%,150%,BC2308) + IF(BD2308&gt;=150%,150%,BD2308) + IF(BE2308&gt;=150%,150%,BE2308) + IF(BF2308&gt;=150%,150%,BF2308) + IF(BG2308&gt;=150%,150%,BG2308) + IF(BH2308&gt;=150%,150%,BH2308)))/_xlfn.XLOOKUP(F2308,Apuração!A:A,Apuração!B:B)))</f>
        <v>0</v>
      </c>
      <c r="BL2308" s="59" cm="1">
        <f t="array" aca="1" ref="BL2308" ca="1">IF(SUM(IFERROR(IF(INDEX(AW2308:INDEX(AW2308:BH2308, MATCH(2, 1/(AW2308:BH2308&lt;&gt;""), 1)-1), ROW(INDIRECT("1:" &amp; MATCH(2, 1/(AW2308:BH2308&lt;&gt;""), 1)-1))) &gt;= 150%, 150%, INDEX(AW2308:INDEX(AW2308:BH2308, MATCH(2, 1/(AW2308:BH2308&lt;&gt;""), 1)-1), ROW(INDIRECT("1:" &amp; MATCH(2, 1/(AW2308:BH2308&lt;&gt;""), 1)-1)))), 0))/_xlfn.XLOOKUP(F2308,Apuração!A:A,Apuração!B:B)&gt;=1.15,1.15,SUM(IFERROR(IF(INDEX(AW2308:INDEX(AW2308:BH2308, MATCH(2, 1/(AW2308:BH2308&lt;&gt;""), 1)-1), ROW(INDIRECT("1:" &amp; MATCH(2, 1/(AW2308:BH2308&lt;&gt;""), 1)-1))) &gt;= 150%, 150%, INDEX(AW2308:INDEX(AW2308:BH2308, MATCH(2, 1/(AW2308:BH2308&lt;&gt;""), 1)-1), ROW(INDIRECT("1:" &amp; MATCH(2, 1/(AW2308:BH2308&lt;&gt;""), 1)-1)))), 0))/_xlfn.XLOOKUP(F2308,Apuração!A:A,Apuração!B:B))</f>
        <v>0</v>
      </c>
      <c r="BM2308" s="55" cm="1">
        <f t="array" ref="BM2308">IFERROR(
   INDEX($AW$1:$BH$1,
      _xlfn.AGGREGATE(14, 6, COLUMN($AW$1:$BH$1)/(AW2308:BH2308&lt;&gt;""), 2) - COLUMN($AW$1) + 1
   ),
"")</f>
        <v>46082</v>
      </c>
      <c r="BN2308" s="55" cm="1">
        <f t="array" ref="BN2308">IFERROR(INDEX($AW$1:$BH$1,1,MATCH(2,1/(AW2308:BH2308&lt;&gt;""))),"")</f>
        <v>46113</v>
      </c>
      <c r="BO2308" s="53">
        <f ca="1">IFERROR(_xlfn.XLOOKUP(F2308,Apuração!A:A,Apuração!C:C)/_xlfn.XLOOKUP(F2308,Apuração!A:A,Apuração!B:B),0)</f>
        <v>0</v>
      </c>
      <c r="BP2308" s="53">
        <f ca="1">IFERROR(_xlfn.XLOOKUP(F2308,Apuração!A:A,Apuração!D:D)/_xlfn.XLOOKUP(F2308,Apuração!A:A,Apuração!B:B),0)</f>
        <v>0</v>
      </c>
      <c r="BQ2308" s="53">
        <f ca="1">IF(BK2308&gt;=BO2308,0,_xlfn.XLOOKUP(F2308,Apuração!A:A,Apuração!B:B)*(BO2308 + (1/_xlfn.XLOOKUP(F2308,Apuração!A:A,Apuração!B:B)) - BK2308))</f>
        <v>0</v>
      </c>
      <c r="BR2308" s="85">
        <f t="shared" ca="1" si="2748"/>
        <v>0</v>
      </c>
      <c r="BS2308" s="53">
        <f ca="1">IFERROR((_xlfn.XLOOKUP(F2308,Apuração!A:A,Apuração!C:C)+1)/_xlfn.XLOOKUP(F2308,Apuração!A:A,Apuração!B:B),0)</f>
        <v>0.14285714285714285</v>
      </c>
    </row>
    <row r="2309" spans="1:71" ht="25.95" hidden="1" customHeight="1" x14ac:dyDescent="0.3">
      <c r="A2309" s="3" t="s">
        <v>33</v>
      </c>
      <c r="B2309" s="4" t="s">
        <v>70</v>
      </c>
      <c r="C2309" s="5" t="s">
        <v>221</v>
      </c>
      <c r="D2309" s="5" t="s">
        <v>36</v>
      </c>
      <c r="E2309" s="4" t="s">
        <v>61</v>
      </c>
      <c r="F2309" s="4" t="str" cm="1">
        <f t="array" ref="F2309">_xlfn.IFS(
AG2309 &lt;&gt; "", "Jan-Dez/26",
AH2309 &lt;&gt; "", "Fev-Dez/26",
AI2309 &lt;&gt; "", "Mar-Dez/26", AJ2309 &lt;&gt; "", "Abr-Dez/26",
TRUE, "A partir de Junho"
)</f>
        <v>A partir de Junho</v>
      </c>
      <c r="G2309" s="6" t="s">
        <v>62</v>
      </c>
      <c r="H2309" s="7" t="s">
        <v>38</v>
      </c>
      <c r="I2309" s="8" t="s">
        <v>55</v>
      </c>
      <c r="J2309" s="8" t="str" cm="1">
        <f t="array" aca="1" ref="J2309" ca="1">_xlfn.LET(
  _xlpm.actual_value_month, INDEX(T2309:AE2309, MATCH(DATE(YEAR(TODAY()), MONTH(TODAY()), 1), $T$1:$AE$1, 0)),
  IF(_xlpm.actual_value_month &lt;&gt; "",_xlpm.actual_value_month &amp; " eventos mensais", "")
)</f>
        <v>2 eventos mensais</v>
      </c>
      <c r="K2309" s="14" t="str" cm="1">
        <f t="array" ref="K2309">_xlfn.LET(
    _xlpm.sum_month, SUM(T2309:AE2309),
    IF(_xlpm.sum_month = 0, "", _xlpm.sum_month &amp; "  eventos no ano")
)</f>
        <v>18  eventos no ano</v>
      </c>
      <c r="L2309" s="9" t="s">
        <v>56</v>
      </c>
      <c r="M2309" s="13" t="s">
        <v>71</v>
      </c>
      <c r="N2309" s="5" t="s">
        <v>42</v>
      </c>
      <c r="O2309" s="5" t="s">
        <v>43</v>
      </c>
      <c r="P2309" s="10" t="s">
        <v>58</v>
      </c>
      <c r="Q2309" s="10" t="s">
        <v>72</v>
      </c>
      <c r="R2309" s="11" t="s">
        <v>45</v>
      </c>
      <c r="S2309" s="11" t="s">
        <v>46</v>
      </c>
      <c r="T2309" s="22"/>
      <c r="U2309" s="22"/>
      <c r="V2309" s="22"/>
      <c r="W2309" s="22">
        <v>2</v>
      </c>
      <c r="X2309" s="22">
        <v>2</v>
      </c>
      <c r="Y2309" s="22">
        <v>2</v>
      </c>
      <c r="Z2309" s="22">
        <v>2</v>
      </c>
      <c r="AA2309" s="22">
        <v>2</v>
      </c>
      <c r="AB2309" s="22">
        <v>2</v>
      </c>
      <c r="AC2309" s="22">
        <v>2</v>
      </c>
      <c r="AD2309" s="22">
        <v>2</v>
      </c>
      <c r="AE2309" s="22">
        <v>2</v>
      </c>
      <c r="AG2309" s="71"/>
      <c r="AH2309" s="71"/>
      <c r="AI2309" s="71"/>
      <c r="AJ2309" s="71"/>
      <c r="AK2309" s="71"/>
      <c r="AL2309" s="71"/>
      <c r="AM2309" s="71"/>
      <c r="AN2309" s="71"/>
      <c r="AO2309" s="71"/>
      <c r="AP2309" s="71"/>
      <c r="AQ2309" s="71"/>
      <c r="AR2309" s="71"/>
      <c r="AS2309" s="94">
        <f t="shared" ca="1" si="2697"/>
        <v>4</v>
      </c>
      <c r="AT2309" s="95">
        <f>SUM(IF(AW2309&lt;1.15,AG2309,1.15*T2309),IF(AX2309&lt;1.15,AH2309,1.15*U2309),IF(AY2309&lt;1.15,AI2309,1.15*V2309),IF(AZ2309&lt;1.15,AJ2309,1.15*W2309),IF(BA2309&lt;1.15,AK2309,1.15*X2309),IF(BB2309&lt;1.15,AL2309,1.15*Y2309),IF(BC2309&lt;1.15,AM2309,1.15*Z2309),IF(BD2309&lt;1.15,AN2309,1.15*AA2309),IF(BE2309&lt;1.15,AO2309,1.15*AB2309),IF(BF2309&lt;1.15,AP2309,1.15*AC2309),IF(BG2309&lt;1.15,AQ2309,1.15*AD2309),IF(BH2309&lt;1.15,AR2309,1.15*AE2309))</f>
        <v>0</v>
      </c>
      <c r="AU2309" s="97">
        <f t="shared" si="2698"/>
        <v>0</v>
      </c>
      <c r="AW2309" s="51">
        <f>IFERROR(IF(AG2309="",0,AG2309/T2309),0)</f>
        <v>0</v>
      </c>
      <c r="AX2309" s="51">
        <f>IFERROR(IF(AH2309="",0,AH2309/U2309),0)</f>
        <v>0</v>
      </c>
      <c r="AY2309" s="51">
        <f>IFERROR(IF(AI2309="",0,AI2309/V2309),0)</f>
        <v>0</v>
      </c>
      <c r="AZ2309" s="51">
        <f>IFERROR(IF(AJ2309="",0,AJ2309/W2309),0)</f>
        <v>0</v>
      </c>
      <c r="BA2309" s="51"/>
      <c r="BB2309" s="51"/>
      <c r="BC2309" s="51"/>
      <c r="BD2309" s="51"/>
      <c r="BE2309" s="51"/>
      <c r="BF2309" s="51"/>
      <c r="BG2309" s="51"/>
      <c r="BH2309" s="51"/>
      <c r="BI2309" s="65" cm="1">
        <f t="array" ref="BI2309">IFERROR(INDEX(AW2309:BH2309,1,MATCH(2,1/(AW2309:BH2309&lt;&gt;""))),"")</f>
        <v>0</v>
      </c>
      <c r="BJ2309" s="68" cm="1">
        <f t="array" ref="BJ2309">IF(BM2309 = "", "",IFERROR(INDEX(AW2309:BH2309,1,MATCH(2,1/(AW2309:BH2309&lt;&gt;""),1)-1),""))</f>
        <v>0</v>
      </c>
      <c r="BK2309" s="58">
        <f>IF((IF(AW2309&gt;=115%,115%,AW2309) + IF(AX2309&gt;=115%,115%,AX2309) + IF(AY2309&gt;=115%,115%,AY2309) + (IF(AZ2309&gt;=115%,115%,AZ2309) + IF(BA2309&gt;=115%,115%,BA2309) + IF(BB2309&gt;=115%,115%,BB2309) + IF(BC2309&gt;=115%,115%,BC2309) + IF(BD2309&gt;=115%,115%,BD2309) + IF(BE2309&gt;=115%,115%,BE2309) + IF(BF2309&gt;=115%,115%,BF2309) + IF(BG2309&gt;=115%,115%,BG2309) + IF(BH2309&gt;=115%,115%,BH2309)))/_xlfn.XLOOKUP(F2309,Apuração!A:A,Apuração!B:B)&gt;=1.15,1.15,((IF(AZ2309&gt;=115%,115%,AZ2309) + IF(AX2309&gt;=115%,115%,AX2309) + IF(AY2309&gt;=115%,115%,AY2309) + (IF(AW2309&gt;=115%,115%,AW2309) + IF(BA2309&gt;=115%,115%,BA2309) + IF(BB2309&gt;=115%,115%,BB2309) + IF(BC2309&gt;=115%,115%,BC2309) + IF(BD2309&gt;=115%,115%,BD2309) + IF(BE2309&gt;=115%,115%,BE2309) + IF(BF2309&gt;=115%,115%,BF2309) + IF(BG2309&gt;=115%,115%,BG2309) + IF(BH2309&gt;=115%,115%,BH2309)))/_xlfn.XLOOKUP(F2309,Apuração!A:A,Apuração!B:B)))</f>
        <v>0</v>
      </c>
      <c r="BL2309" s="58" cm="1">
        <f t="array" aca="1" ref="BL2309" ca="1">IF(SUM(IFERROR(IF(INDEX(AW2309:INDEX(AW2309:BH2309, MATCH(2, 1/(AW2309:BH2309&lt;&gt;""), 1)-1), ROW(INDIRECT("1:" &amp; MATCH(2, 1/(AW2309:BH2309&lt;&gt;""), 1)-1))) &gt;= 115%, 115%, INDEX(AW2309:INDEX(AW2309:BH2309, MATCH(2, 1/(AW2309:BH2309&lt;&gt;""), 1)-1), ROW(INDIRECT("1:" &amp; MATCH(2, 1/(AW2309:BH2309&lt;&gt;""), 1)-1)))), 0))/_xlfn.XLOOKUP(F2309,Apuração!A:A,Apuração!B:B)&gt;=1.15,1.15,SUM(IFERROR(IF(INDEX(AW2309:INDEX(AW2309:BH2309, MATCH(2, 1/(AW2309:BH2309&lt;&gt;""), 1)-1), ROW(INDIRECT("1:" &amp; MATCH(2, 1/(AW2309:BH2309&lt;&gt;""), 1)-1))) &gt;= 115%, 115%, INDEX(AW2309:INDEX(AW2309:BH2309, MATCH(2, 1/(AW2309:BH2309&lt;&gt;""), 1)-1), ROW(INDIRECT("1:" &amp; MATCH(2, 1/(AW2309:BH2309&lt;&gt;""), 1)-1)))), 0))/_xlfn.XLOOKUP(F2309,Apuração!A:A,Apuração!B:B))</f>
        <v>0</v>
      </c>
      <c r="BM2309" s="55" cm="1">
        <f t="array" ref="BM2309">IFERROR(
   INDEX($AW$1:$BH$1,
      _xlfn.AGGREGATE(14, 6, COLUMN($AW$1:$BH$1)/(AW2309:BH2309&lt;&gt;""), 2) - COLUMN($AW$1) + 1
   ),
"")</f>
        <v>46082</v>
      </c>
      <c r="BN2309" s="55" cm="1">
        <f t="array" ref="BN2309">IFERROR(INDEX($AW$1:$BH$1,1,MATCH(2,1/(AW2309:BH2309&lt;&gt;""))),"")</f>
        <v>46113</v>
      </c>
      <c r="BO2309" s="53">
        <f ca="1">IFERROR(_xlfn.XLOOKUP(F2309,Apuração!A:A,Apuração!C:C)/_xlfn.XLOOKUP(F2309,Apuração!A:A,Apuração!B:B),0)</f>
        <v>0</v>
      </c>
      <c r="BP2309" s="53">
        <f ca="1">IFERROR(_xlfn.XLOOKUP(F2309,Apuração!A:A,Apuração!D:D)/_xlfn.XLOOKUP(F2309,Apuração!A:A,Apuração!B:B),0)</f>
        <v>0</v>
      </c>
      <c r="BQ2309" s="53">
        <f ca="1">IF(BK2309&gt;=BO2309,0,_xlfn.XLOOKUP(F2309,Apuração!A:A,Apuração!B:B)*(BO2309 + (1/_xlfn.XLOOKUP(F2309,Apuração!A:A,Apuração!B:B)) - BK2309))</f>
        <v>0</v>
      </c>
      <c r="BR2309" s="85">
        <f t="shared" ca="1" si="2696"/>
        <v>0</v>
      </c>
      <c r="BS2309" s="53">
        <f ca="1">IFERROR((_xlfn.XLOOKUP(F2309,Apuração!A:A,Apuração!C:C)+1)/_xlfn.XLOOKUP(F2309,Apuração!A:A,Apuração!B:B),0)</f>
        <v>0.14285714285714285</v>
      </c>
    </row>
    <row r="2310" spans="1:71" ht="25.95" hidden="1" customHeight="1" x14ac:dyDescent="0.3">
      <c r="A2310" s="3" t="s">
        <v>33</v>
      </c>
      <c r="B2310" s="4" t="s">
        <v>70</v>
      </c>
      <c r="C2310" s="5" t="s">
        <v>221</v>
      </c>
      <c r="D2310" s="5" t="s">
        <v>212</v>
      </c>
      <c r="E2310" s="4" t="s">
        <v>61</v>
      </c>
      <c r="F2310" s="4" t="str" cm="1">
        <f t="array" ref="F2310">_xlfn.IFS(
AG2310 &lt;&gt; "", "Jan-Dez/26",
AH2310 &lt;&gt; "", "Fev-Dez/26",
AI2310 &lt;&gt; "", "Mar-Dez/26", AJ2310 &lt;&gt; "", "Abr-Dez/26",
TRUE, "A partir de Junho"
)</f>
        <v>A partir de Junho</v>
      </c>
      <c r="G2310" s="6" t="s">
        <v>62</v>
      </c>
      <c r="H2310" s="7" t="s">
        <v>38</v>
      </c>
      <c r="I2310" s="8" t="s">
        <v>55</v>
      </c>
      <c r="J2310" s="8" t="str" cm="1">
        <f t="array" aca="1" ref="J2310" ca="1">_xlfn.LET(
  _xlpm.actual_value_month, INDEX(T2310:AE2310, MATCH(DATE(YEAR(TODAY()), MONTH(TODAY()), 1), $T$1:$AE$1, 0)),
  IF(_xlpm.actual_value_month &lt;&gt; "",_xlpm.actual_value_month &amp; " eventos mensais", "")
)</f>
        <v>1 eventos mensais</v>
      </c>
      <c r="K2310" s="14" t="str" cm="1">
        <f t="array" ref="K2310">_xlfn.LET(
    _xlpm.sum_month, SUM(T2310:AE2310),
    IF(_xlpm.sum_month = 0, "", _xlpm.sum_month &amp; "  eventos no ano")
)</f>
        <v>12  eventos no ano</v>
      </c>
      <c r="L2310" s="9" t="s">
        <v>56</v>
      </c>
      <c r="M2310" s="13" t="s">
        <v>71</v>
      </c>
      <c r="N2310" s="5" t="s">
        <v>42</v>
      </c>
      <c r="O2310" s="5" t="s">
        <v>43</v>
      </c>
      <c r="P2310" s="10" t="s">
        <v>58</v>
      </c>
      <c r="Q2310" s="10" t="s">
        <v>72</v>
      </c>
      <c r="R2310" s="11" t="s">
        <v>45</v>
      </c>
      <c r="S2310" s="11" t="s">
        <v>46</v>
      </c>
      <c r="T2310" s="143">
        <v>1</v>
      </c>
      <c r="U2310" s="143">
        <v>1</v>
      </c>
      <c r="V2310" s="143">
        <v>1</v>
      </c>
      <c r="W2310" s="143">
        <v>1</v>
      </c>
      <c r="X2310" s="143">
        <v>1</v>
      </c>
      <c r="Y2310" s="143">
        <v>1</v>
      </c>
      <c r="Z2310" s="143">
        <v>1</v>
      </c>
      <c r="AA2310" s="143">
        <v>1</v>
      </c>
      <c r="AB2310" s="143">
        <v>1</v>
      </c>
      <c r="AC2310" s="143">
        <v>1</v>
      </c>
      <c r="AD2310" s="143">
        <v>1</v>
      </c>
      <c r="AE2310" s="143">
        <v>1</v>
      </c>
      <c r="AG2310" s="71"/>
      <c r="AH2310" s="71"/>
      <c r="AI2310" s="71"/>
      <c r="AJ2310" s="71"/>
      <c r="AK2310" s="71"/>
      <c r="AL2310" s="71"/>
      <c r="AM2310" s="71"/>
      <c r="AN2310" s="71"/>
      <c r="AO2310" s="71"/>
      <c r="AP2310" s="71"/>
      <c r="AQ2310" s="71"/>
      <c r="AR2310" s="71"/>
      <c r="AS2310" s="94">
        <f t="shared" ref="AS2310:AS2311" ca="1" si="2749">IF(MONTH(TODAY())=3,SUM(T2310:U2310),IF(MONTH(TODAY())=4,SUM(T2310:V2310),IF(MONTH(TODAY())=5,SUM(T2310:W2310),IF(MONTH(TODAY())=6,SUM(T2310:X2310),IF(MONTH(TODAY())=7,SUM(T2310:Y2310),IF(MONTH(TODAY())=8,SUM(T2310:Z2310),IF(MONTH(TODAY())=9,SUM(T2310:AA2310),IF(MONTH(TODAY())=10,SUM(T2310:AB2310),IF(MONTH(TODAY())=11,SUM(T2310:AC2310),IF(MONTH(TODAY())=12,SUM(T2310:AD2310),IF(MONTH(TODAY())=1,SUM(T2310:AE2310),T2310)))))))))))</f>
        <v>5</v>
      </c>
      <c r="AT2310" s="95">
        <f t="shared" ref="AT2310:AT2311" si="2750">SUM(IF(AW2310&lt;1.15,AG2310,1.15*T2310),IF(AX2310&lt;1.15,AH2310,1.15*U2310),IF(AY2310&lt;1.15,AI2310,1.15*V2310),IF(AZ2310&lt;1.15,AJ2310,1.15*W2310),IF(BA2310&lt;1.15,AK2310,1.15*X2310),IF(BB2310&lt;1.15,AL2310,1.15*Y2310),IF(BC2310&lt;1.15,AM2310,1.15*Z2310),IF(BD2310&lt;1.15,AN2310,1.15*AA2310),IF(BE2310&lt;1.15,AO2310,1.15*AB2310),IF(BF2310&lt;1.15,AP2310,1.15*AC2310),IF(BG2310&lt;1.15,AQ2310,1.15*AD2310),IF(BH2310&lt;1.15,AR2310,1.15*AE2310))</f>
        <v>0</v>
      </c>
      <c r="AU2310" s="97">
        <f t="shared" ref="AU2310:AU2311" si="2751">SUM(AG2310:AR2310)</f>
        <v>0</v>
      </c>
      <c r="AW2310" s="51">
        <f t="shared" ref="AW2310:AW2311" si="2752">IFERROR(IF(AG2310="",0,AG2310/T2310),0)</f>
        <v>0</v>
      </c>
      <c r="AX2310" s="51">
        <f t="shared" ref="AX2310:AX2311" si="2753">IFERROR(IF(AH2310="",0,AH2310/U2310),0)</f>
        <v>0</v>
      </c>
      <c r="AY2310" s="51">
        <f t="shared" ref="AY2310:AY2311" si="2754">IFERROR(IF(AI2310="",0,AI2310/V2310),0)</f>
        <v>0</v>
      </c>
      <c r="AZ2310" s="51">
        <f t="shared" ref="AZ2310:AZ2311" si="2755">IFERROR(IF(AJ2310="",0,AJ2310/W2310),0)</f>
        <v>0</v>
      </c>
      <c r="BA2310" s="51"/>
      <c r="BB2310" s="51"/>
      <c r="BC2310" s="51"/>
      <c r="BD2310" s="51"/>
      <c r="BE2310" s="51"/>
      <c r="BF2310" s="51"/>
      <c r="BG2310" s="51"/>
      <c r="BH2310" s="51"/>
      <c r="BI2310" s="65" cm="1">
        <f t="array" ref="BI2310">IFERROR(INDEX(AW2310:BH2310,1,MATCH(2,1/(AW2310:BH2310&lt;&gt;""))),"")</f>
        <v>0</v>
      </c>
      <c r="BJ2310" s="68" cm="1">
        <f t="array" ref="BJ2310">IF(BM2310 = "", "",IFERROR(INDEX(AW2310:BH2310,1,MATCH(2,1/(AW2310:BH2310&lt;&gt;""),1)-1),""))</f>
        <v>0</v>
      </c>
      <c r="BK2310" s="58">
        <f>IF((IF(AW2310&gt;=115%,115%,AW2310) + IF(AX2310&gt;=115%,115%,AX2310) + IF(AY2310&gt;=115%,115%,AY2310) + (IF(AZ2310&gt;=115%,115%,AZ2310) + IF(BA2310&gt;=115%,115%,BA2310) + IF(BB2310&gt;=115%,115%,BB2310) + IF(BC2310&gt;=115%,115%,BC2310) + IF(BD2310&gt;=115%,115%,BD2310) + IF(BE2310&gt;=115%,115%,BE2310) + IF(BF2310&gt;=115%,115%,BF2310) + IF(BG2310&gt;=115%,115%,BG2310) + IF(BH2310&gt;=115%,115%,BH2310)))/_xlfn.XLOOKUP(F2310,Apuração!A:A,Apuração!B:B)&gt;=1.15,1.15,((IF(AZ2310&gt;=115%,115%,AZ2310) + IF(AX2310&gt;=115%,115%,AX2310) + IF(AY2310&gt;=115%,115%,AY2310) + (IF(AW2310&gt;=115%,115%,AW2310) + IF(BA2310&gt;=115%,115%,BA2310) + IF(BB2310&gt;=115%,115%,BB2310) + IF(BC2310&gt;=115%,115%,BC2310) + IF(BD2310&gt;=115%,115%,BD2310) + IF(BE2310&gt;=115%,115%,BE2310) + IF(BF2310&gt;=115%,115%,BF2310) + IF(BG2310&gt;=115%,115%,BG2310) + IF(BH2310&gt;=115%,115%,BH2310)))/_xlfn.XLOOKUP(F2310,Apuração!A:A,Apuração!B:B)))</f>
        <v>0</v>
      </c>
      <c r="BL2310" s="58" cm="1">
        <f t="array" aca="1" ref="BL2310" ca="1">IF(SUM(IFERROR(IF(INDEX(AW2310:INDEX(AW2310:BH2310, MATCH(2, 1/(AW2310:BH2310&lt;&gt;""), 1)-1), ROW(INDIRECT("1:" &amp; MATCH(2, 1/(AW2310:BH2310&lt;&gt;""), 1)-1))) &gt;= 115%, 115%, INDEX(AW2310:INDEX(AW2310:BH2310, MATCH(2, 1/(AW2310:BH2310&lt;&gt;""), 1)-1), ROW(INDIRECT("1:" &amp; MATCH(2, 1/(AW2310:BH2310&lt;&gt;""), 1)-1)))), 0))/_xlfn.XLOOKUP(F2310,Apuração!A:A,Apuração!B:B)&gt;=1.15,1.15,SUM(IFERROR(IF(INDEX(AW2310:INDEX(AW2310:BH2310, MATCH(2, 1/(AW2310:BH2310&lt;&gt;""), 1)-1), ROW(INDIRECT("1:" &amp; MATCH(2, 1/(AW2310:BH2310&lt;&gt;""), 1)-1))) &gt;= 115%, 115%, INDEX(AW2310:INDEX(AW2310:BH2310, MATCH(2, 1/(AW2310:BH2310&lt;&gt;""), 1)-1), ROW(INDIRECT("1:" &amp; MATCH(2, 1/(AW2310:BH2310&lt;&gt;""), 1)-1)))), 0))/_xlfn.XLOOKUP(F2310,Apuração!A:A,Apuração!B:B))</f>
        <v>0</v>
      </c>
      <c r="BM2310" s="55" cm="1">
        <f t="array" ref="BM2310">IFERROR(
   INDEX($AW$1:$BH$1,
      _xlfn.AGGREGATE(14, 6, COLUMN($AW$1:$BH$1)/(AW2310:BH2310&lt;&gt;""), 2) - COLUMN($AW$1) + 1
   ),
"")</f>
        <v>46082</v>
      </c>
      <c r="BN2310" s="55" cm="1">
        <f t="array" ref="BN2310">IFERROR(INDEX($AW$1:$BH$1,1,MATCH(2,1/(AW2310:BH2310&lt;&gt;""))),"")</f>
        <v>46113</v>
      </c>
      <c r="BO2310" s="53">
        <f ca="1">IFERROR(_xlfn.XLOOKUP(F2310,Apuração!A:A,Apuração!C:C)/_xlfn.XLOOKUP(F2310,Apuração!A:A,Apuração!B:B),0)</f>
        <v>0</v>
      </c>
      <c r="BP2310" s="53">
        <f ca="1">IFERROR(_xlfn.XLOOKUP(F2310,Apuração!A:A,Apuração!D:D)/_xlfn.XLOOKUP(F2310,Apuração!A:A,Apuração!B:B),0)</f>
        <v>0</v>
      </c>
      <c r="BQ2310" s="53">
        <f ca="1">IF(BK2310&gt;=BO2310,0,_xlfn.XLOOKUP(F2310,Apuração!A:A,Apuração!B:B)*(BO2310 + (1/_xlfn.XLOOKUP(F2310,Apuração!A:A,Apuração!B:B)) - BK2310))</f>
        <v>0</v>
      </c>
      <c r="BR2310" s="85">
        <f t="shared" ref="BR2310:BR2311" ca="1" si="2756">IF(BQ2310=0,0,BQ2310*Z2310)</f>
        <v>0</v>
      </c>
      <c r="BS2310" s="53">
        <f ca="1">IFERROR((_xlfn.XLOOKUP(F2310,Apuração!A:A,Apuração!C:C)+1)/_xlfn.XLOOKUP(F2310,Apuração!A:A,Apuração!B:B),0)</f>
        <v>0.14285714285714285</v>
      </c>
    </row>
    <row r="2311" spans="1:71" ht="25.95" hidden="1" customHeight="1" x14ac:dyDescent="0.3">
      <c r="A2311" s="3" t="s">
        <v>33</v>
      </c>
      <c r="B2311" s="4" t="s">
        <v>70</v>
      </c>
      <c r="C2311" s="5" t="s">
        <v>221</v>
      </c>
      <c r="D2311" s="5" t="s">
        <v>213</v>
      </c>
      <c r="E2311" s="4" t="s">
        <v>61</v>
      </c>
      <c r="F2311" s="4" t="str" cm="1">
        <f t="array" ref="F2311">_xlfn.IFS(
AG2311 &lt;&gt; "", "Jan-Dez/26",
AH2311 &lt;&gt; "", "Fev-Dez/26",
AI2311 &lt;&gt; "", "Mar-Dez/26", AJ2311 &lt;&gt; "", "Abr-Dez/26",
TRUE, "A partir de Junho"
)</f>
        <v>A partir de Junho</v>
      </c>
      <c r="G2311" s="6" t="s">
        <v>62</v>
      </c>
      <c r="H2311" s="7" t="s">
        <v>38</v>
      </c>
      <c r="I2311" s="8" t="s">
        <v>55</v>
      </c>
      <c r="J2311" s="8" t="str" cm="1">
        <f t="array" aca="1" ref="J2311" ca="1">_xlfn.LET(
  _xlpm.actual_value_month, INDEX(T2311:AE2311, MATCH(DATE(YEAR(TODAY()), MONTH(TODAY()), 1), $T$1:$AE$1, 0)),
  IF(_xlpm.actual_value_month &lt;&gt; "",_xlpm.actual_value_month &amp; " eventos mensais", "")
)</f>
        <v>1 eventos mensais</v>
      </c>
      <c r="K2311" s="14" t="str" cm="1">
        <f t="array" ref="K2311">_xlfn.LET(
    _xlpm.sum_month, SUM(T2311:AE2311),
    IF(_xlpm.sum_month = 0, "", _xlpm.sum_month &amp; "  eventos no ano")
)</f>
        <v>12  eventos no ano</v>
      </c>
      <c r="L2311" s="9" t="s">
        <v>56</v>
      </c>
      <c r="M2311" s="13" t="s">
        <v>71</v>
      </c>
      <c r="N2311" s="5" t="s">
        <v>42</v>
      </c>
      <c r="O2311" s="5" t="s">
        <v>43</v>
      </c>
      <c r="P2311" s="10" t="s">
        <v>58</v>
      </c>
      <c r="Q2311" s="10" t="s">
        <v>72</v>
      </c>
      <c r="R2311" s="11" t="s">
        <v>45</v>
      </c>
      <c r="S2311" s="11" t="s">
        <v>46</v>
      </c>
      <c r="T2311" s="143">
        <v>1</v>
      </c>
      <c r="U2311" s="143">
        <v>1</v>
      </c>
      <c r="V2311" s="143">
        <v>1</v>
      </c>
      <c r="W2311" s="143">
        <v>1</v>
      </c>
      <c r="X2311" s="143">
        <v>1</v>
      </c>
      <c r="Y2311" s="143">
        <v>1</v>
      </c>
      <c r="Z2311" s="143">
        <v>1</v>
      </c>
      <c r="AA2311" s="143">
        <v>1</v>
      </c>
      <c r="AB2311" s="143">
        <v>1</v>
      </c>
      <c r="AC2311" s="143">
        <v>1</v>
      </c>
      <c r="AD2311" s="143">
        <v>1</v>
      </c>
      <c r="AE2311" s="143">
        <v>1</v>
      </c>
      <c r="AG2311" s="71"/>
      <c r="AH2311" s="71"/>
      <c r="AI2311" s="71"/>
      <c r="AJ2311" s="71"/>
      <c r="AK2311" s="71"/>
      <c r="AL2311" s="71"/>
      <c r="AM2311" s="71"/>
      <c r="AN2311" s="71"/>
      <c r="AO2311" s="71"/>
      <c r="AP2311" s="71"/>
      <c r="AQ2311" s="71"/>
      <c r="AR2311" s="71"/>
      <c r="AS2311" s="94">
        <f t="shared" ca="1" si="2749"/>
        <v>5</v>
      </c>
      <c r="AT2311" s="95">
        <f t="shared" si="2750"/>
        <v>0</v>
      </c>
      <c r="AU2311" s="97">
        <f t="shared" si="2751"/>
        <v>0</v>
      </c>
      <c r="AW2311" s="51">
        <f t="shared" si="2752"/>
        <v>0</v>
      </c>
      <c r="AX2311" s="51">
        <f t="shared" si="2753"/>
        <v>0</v>
      </c>
      <c r="AY2311" s="51">
        <f t="shared" si="2754"/>
        <v>0</v>
      </c>
      <c r="AZ2311" s="51">
        <f t="shared" si="2755"/>
        <v>0</v>
      </c>
      <c r="BA2311" s="51"/>
      <c r="BB2311" s="51"/>
      <c r="BC2311" s="51"/>
      <c r="BD2311" s="51"/>
      <c r="BE2311" s="51"/>
      <c r="BF2311" s="51"/>
      <c r="BG2311" s="51"/>
      <c r="BH2311" s="51"/>
      <c r="BI2311" s="65" cm="1">
        <f t="array" ref="BI2311">IFERROR(INDEX(AW2311:BH2311,1,MATCH(2,1/(AW2311:BH2311&lt;&gt;""))),"")</f>
        <v>0</v>
      </c>
      <c r="BJ2311" s="68" cm="1">
        <f t="array" ref="BJ2311">IF(BM2311 = "", "",IFERROR(INDEX(AW2311:BH2311,1,MATCH(2,1/(AW2311:BH2311&lt;&gt;""),1)-1),""))</f>
        <v>0</v>
      </c>
      <c r="BK2311" s="58">
        <f>IF((IF(AW2311&gt;=115%,115%,AW2311) + IF(AX2311&gt;=115%,115%,AX2311) + IF(AY2311&gt;=115%,115%,AY2311) + (IF(AZ2311&gt;=115%,115%,AZ2311) + IF(BA2311&gt;=115%,115%,BA2311) + IF(BB2311&gt;=115%,115%,BB2311) + IF(BC2311&gt;=115%,115%,BC2311) + IF(BD2311&gt;=115%,115%,BD2311) + IF(BE2311&gt;=115%,115%,BE2311) + IF(BF2311&gt;=115%,115%,BF2311) + IF(BG2311&gt;=115%,115%,BG2311) + IF(BH2311&gt;=115%,115%,BH2311)))/_xlfn.XLOOKUP(F2311,Apuração!A:A,Apuração!B:B)&gt;=1.15,1.15,((IF(AZ2311&gt;=115%,115%,AZ2311) + IF(AX2311&gt;=115%,115%,AX2311) + IF(AY2311&gt;=115%,115%,AY2311) + (IF(AW2311&gt;=115%,115%,AW2311) + IF(BA2311&gt;=115%,115%,BA2311) + IF(BB2311&gt;=115%,115%,BB2311) + IF(BC2311&gt;=115%,115%,BC2311) + IF(BD2311&gt;=115%,115%,BD2311) + IF(BE2311&gt;=115%,115%,BE2311) + IF(BF2311&gt;=115%,115%,BF2311) + IF(BG2311&gt;=115%,115%,BG2311) + IF(BH2311&gt;=115%,115%,BH2311)))/_xlfn.XLOOKUP(F2311,Apuração!A:A,Apuração!B:B)))</f>
        <v>0</v>
      </c>
      <c r="BL2311" s="58" cm="1">
        <f t="array" aca="1" ref="BL2311" ca="1">IF(SUM(IFERROR(IF(INDEX(AW2311:INDEX(AW2311:BH2311, MATCH(2, 1/(AW2311:BH2311&lt;&gt;""), 1)-1), ROW(INDIRECT("1:" &amp; MATCH(2, 1/(AW2311:BH2311&lt;&gt;""), 1)-1))) &gt;= 115%, 115%, INDEX(AW2311:INDEX(AW2311:BH2311, MATCH(2, 1/(AW2311:BH2311&lt;&gt;""), 1)-1), ROW(INDIRECT("1:" &amp; MATCH(2, 1/(AW2311:BH2311&lt;&gt;""), 1)-1)))), 0))/_xlfn.XLOOKUP(F2311,Apuração!A:A,Apuração!B:B)&gt;=1.15,1.15,SUM(IFERROR(IF(INDEX(AW2311:INDEX(AW2311:BH2311, MATCH(2, 1/(AW2311:BH2311&lt;&gt;""), 1)-1), ROW(INDIRECT("1:" &amp; MATCH(2, 1/(AW2311:BH2311&lt;&gt;""), 1)-1))) &gt;= 115%, 115%, INDEX(AW2311:INDEX(AW2311:BH2311, MATCH(2, 1/(AW2311:BH2311&lt;&gt;""), 1)-1), ROW(INDIRECT("1:" &amp; MATCH(2, 1/(AW2311:BH2311&lt;&gt;""), 1)-1)))), 0))/_xlfn.XLOOKUP(F2311,Apuração!A:A,Apuração!B:B))</f>
        <v>0</v>
      </c>
      <c r="BM2311" s="55" cm="1">
        <f t="array" ref="BM2311">IFERROR(
   INDEX($AW$1:$BH$1,
      _xlfn.AGGREGATE(14, 6, COLUMN($AW$1:$BH$1)/(AW2311:BH2311&lt;&gt;""), 2) - COLUMN($AW$1) + 1
   ),
"")</f>
        <v>46082</v>
      </c>
      <c r="BN2311" s="55" cm="1">
        <f t="array" ref="BN2311">IFERROR(INDEX($AW$1:$BH$1,1,MATCH(2,1/(AW2311:BH2311&lt;&gt;""))),"")</f>
        <v>46113</v>
      </c>
      <c r="BO2311" s="53">
        <f ca="1">IFERROR(_xlfn.XLOOKUP(F2311,Apuração!A:A,Apuração!C:C)/_xlfn.XLOOKUP(F2311,Apuração!A:A,Apuração!B:B),0)</f>
        <v>0</v>
      </c>
      <c r="BP2311" s="53">
        <f ca="1">IFERROR(_xlfn.XLOOKUP(F2311,Apuração!A:A,Apuração!D:D)/_xlfn.XLOOKUP(F2311,Apuração!A:A,Apuração!B:B),0)</f>
        <v>0</v>
      </c>
      <c r="BQ2311" s="53">
        <f ca="1">IF(BK2311&gt;=BO2311,0,_xlfn.XLOOKUP(F2311,Apuração!A:A,Apuração!B:B)*(BO2311 + (1/_xlfn.XLOOKUP(F2311,Apuração!A:A,Apuração!B:B)) - BK2311))</f>
        <v>0</v>
      </c>
      <c r="BR2311" s="85">
        <f t="shared" ca="1" si="2756"/>
        <v>0</v>
      </c>
      <c r="BS2311" s="53">
        <f ca="1">IFERROR((_xlfn.XLOOKUP(F2311,Apuração!A:A,Apuração!C:C)+1)/_xlfn.XLOOKUP(F2311,Apuração!A:A,Apuração!B:B),0)</f>
        <v>0.14285714285714285</v>
      </c>
    </row>
    <row r="2312" spans="1:71" ht="25.95" hidden="1" customHeight="1" x14ac:dyDescent="0.3">
      <c r="A2312" s="39" t="s">
        <v>33</v>
      </c>
      <c r="B2312" s="4" t="s">
        <v>70</v>
      </c>
      <c r="C2312" s="5" t="s">
        <v>221</v>
      </c>
      <c r="D2312" s="5" t="s">
        <v>36</v>
      </c>
      <c r="E2312" s="4" t="s">
        <v>61</v>
      </c>
      <c r="F2312" s="4" t="str" cm="1">
        <f t="array" ref="F2312">_xlfn.IFS(
AG2312 &lt;&gt; "", "Jan-Dez/26",
AH2312 &lt;&gt; "", "Fev-Dez/26",
AI2312 &lt;&gt; "", "Mar-Dez/26", AJ2312 &lt;&gt; "", "Abr-Dez/26",
TRUE, "A partir de Junho"
)</f>
        <v>A partir de Junho</v>
      </c>
      <c r="G2312" s="6" t="s">
        <v>62</v>
      </c>
      <c r="H2312" s="7" t="s">
        <v>38</v>
      </c>
      <c r="I2312" s="8" t="s">
        <v>59</v>
      </c>
      <c r="J2312" s="8" t="str" cm="1">
        <f t="array" aca="1" ref="J2312" ca="1">_xlfn.LET(
  _xlpm.actual_value_month, INDEX(T2312:AE2312, MATCH(DATE(YEAR(TODAY()), MONTH(TODAY()), 1), $T$1:$AE$1, 0)),
  IF(_xlpm.actual_value_month &lt;&gt; "",_xlpm.actual_value_month &amp; " ações mensais", "")
)</f>
        <v/>
      </c>
      <c r="K2312" s="14" t="str" cm="1">
        <f t="array" ref="K2312">_xlfn.LET(
    _xlpm.sum_month, SUM(T2312:AE2312),
    IF(_xlpm.sum_month = 0, "", _xlpm.sum_month &amp; " pessoas impactadas no ano.")
)</f>
        <v/>
      </c>
      <c r="L2312" s="9" t="s">
        <v>59</v>
      </c>
      <c r="M2312" s="13">
        <v>1</v>
      </c>
      <c r="N2312" s="5" t="s">
        <v>51</v>
      </c>
      <c r="O2312" s="5" t="s">
        <v>52</v>
      </c>
      <c r="P2312" s="10" t="s">
        <v>44</v>
      </c>
      <c r="Q2312" s="10" t="s">
        <v>44</v>
      </c>
      <c r="R2312" s="11" t="s">
        <v>44</v>
      </c>
      <c r="S2312" s="11" t="s">
        <v>44</v>
      </c>
      <c r="T2312" s="22"/>
      <c r="U2312" s="22"/>
      <c r="V2312" s="22"/>
      <c r="W2312" s="22"/>
      <c r="X2312" s="22"/>
      <c r="Y2312" s="22"/>
      <c r="Z2312" s="22"/>
      <c r="AA2312" s="22"/>
      <c r="AB2312" s="22"/>
      <c r="AC2312" s="22"/>
      <c r="AD2312" s="22"/>
      <c r="AE2312" s="22"/>
      <c r="AG2312" s="71"/>
      <c r="AH2312" s="71"/>
      <c r="AI2312" s="71"/>
      <c r="AJ2312" s="71"/>
      <c r="AK2312" s="71"/>
      <c r="AL2312" s="71"/>
      <c r="AM2312" s="71"/>
      <c r="AN2312" s="71"/>
      <c r="AO2312" s="71"/>
      <c r="AP2312" s="71"/>
      <c r="AQ2312" s="71"/>
      <c r="AR2312" s="71"/>
      <c r="AS2312" s="94">
        <f t="shared" ca="1" si="2697"/>
        <v>0</v>
      </c>
      <c r="AT2312" s="95">
        <f>SUM(AG2312:AR2312)</f>
        <v>0</v>
      </c>
      <c r="AU2312" s="97">
        <f t="shared" si="2698"/>
        <v>0</v>
      </c>
      <c r="AW2312" s="83">
        <f>AG2312</f>
        <v>0</v>
      </c>
      <c r="AX2312" s="83">
        <f>AH2312</f>
        <v>0</v>
      </c>
      <c r="AY2312" s="83">
        <f>AI2312</f>
        <v>0</v>
      </c>
      <c r="AZ2312" s="83">
        <f>AJ2312</f>
        <v>0</v>
      </c>
      <c r="BA2312" s="52"/>
      <c r="BB2312" s="52"/>
      <c r="BC2312" s="52"/>
      <c r="BD2312" s="52"/>
      <c r="BE2312" s="52"/>
      <c r="BF2312" s="52"/>
      <c r="BG2312" s="52"/>
      <c r="BH2312" s="52"/>
      <c r="BI2312" s="68" cm="1">
        <f t="array" ref="BI2312">IFERROR(INDEX(AW2312:BH2312,1,MATCH(2,1/(AW2312:BH2312&lt;&gt;""))),"")</f>
        <v>0</v>
      </c>
      <c r="BJ2312" s="68" cm="1">
        <f t="array" ref="BJ2312">IF(BM2312 = "", "",IFERROR(INDEX(AW2312:BH2312,1,MATCH(2,1/(AW2312:BH2312&lt;&gt;""),1)-1),""))</f>
        <v>0</v>
      </c>
      <c r="BK2312" s="59">
        <f>SUM(AW2312:BH2312)</f>
        <v>0</v>
      </c>
      <c r="BL2312" s="59" cm="1">
        <f t="array" ref="BL2312">IFERROR(SUM(AW2312:INDEX(AW2312:BH2312, MATCH(2, 1/(AW2312:BH2312&lt;&gt;""), 1) - 1))/_xlfn.XLOOKUP(F2312,Apuração!A:A,Apuração!B:B),0)</f>
        <v>0</v>
      </c>
      <c r="BM2312" s="55" cm="1">
        <f t="array" ref="BM2312">IFERROR(
   INDEX($AW$1:$BH$1,
      _xlfn.AGGREGATE(14, 6, COLUMN($AW$1:$BH$1)/(AW2312:BH2312&lt;&gt;""), 2) - COLUMN($AW$1) + 1
   ),
"")</f>
        <v>46082</v>
      </c>
      <c r="BN2312" s="55" cm="1">
        <f t="array" ref="BN2312">IFERROR(INDEX($AW$1:$BH$1,1,MATCH(2,1/(AW2312:BH2312&lt;&gt;""))),"")</f>
        <v>46113</v>
      </c>
      <c r="BO2312" s="53">
        <f ca="1">IFERROR(_xlfn.XLOOKUP(F2312,Apuração!A:A,Apuração!C:C)/_xlfn.XLOOKUP(F2312,Apuração!A:A,Apuração!B:B),0)</f>
        <v>0</v>
      </c>
      <c r="BP2312" s="53">
        <f ca="1">IFERROR(_xlfn.XLOOKUP(F2312,Apuração!A:A,Apuração!D:D)/_xlfn.XLOOKUP(F2312,Apuração!A:A,Apuração!B:B),0)</f>
        <v>0</v>
      </c>
      <c r="BQ2312" s="53">
        <f ca="1">IF(BK2312&gt;=BO2312,0,_xlfn.XLOOKUP(F2312,Apuração!A:A,Apuração!B:B)*(BO2312 + (1/_xlfn.XLOOKUP(F2312,Apuração!A:A,Apuração!B:B)) - BK2312))</f>
        <v>0</v>
      </c>
      <c r="BR2312" s="85">
        <f t="shared" ca="1" si="2696"/>
        <v>0</v>
      </c>
      <c r="BS2312" s="53">
        <f ca="1">IFERROR((_xlfn.XLOOKUP(F2312,Apuração!A:A,Apuração!C:C)+1)/_xlfn.XLOOKUP(F2312,Apuração!A:A,Apuração!B:B),0)</f>
        <v>0.14285714285714285</v>
      </c>
    </row>
    <row r="2313" spans="1:71" ht="25.95" hidden="1" customHeight="1" x14ac:dyDescent="0.3">
      <c r="A2313" s="39" t="s">
        <v>33</v>
      </c>
      <c r="B2313" s="4" t="s">
        <v>70</v>
      </c>
      <c r="C2313" s="5" t="s">
        <v>221</v>
      </c>
      <c r="D2313" s="5" t="s">
        <v>212</v>
      </c>
      <c r="E2313" s="4" t="s">
        <v>61</v>
      </c>
      <c r="F2313" s="4" t="str" cm="1">
        <f t="array" ref="F2313">_xlfn.IFS(
AG2313 &lt;&gt; "", "Jan-Dez/26",
AH2313 &lt;&gt; "", "Fev-Dez/26",
AI2313 &lt;&gt; "", "Mar-Dez/26", AJ2313 &lt;&gt; "", "Abr-Dez/26",
TRUE, "A partir de Junho"
)</f>
        <v>A partir de Junho</v>
      </c>
      <c r="G2313" s="6" t="s">
        <v>62</v>
      </c>
      <c r="H2313" s="7" t="s">
        <v>38</v>
      </c>
      <c r="I2313" s="8" t="s">
        <v>59</v>
      </c>
      <c r="J2313" s="8" t="str" cm="1">
        <f t="array" aca="1" ref="J2313" ca="1">_xlfn.LET(
  _xlpm.actual_value_month, INDEX(T2313:AE2313, MATCH(DATE(YEAR(TODAY()), MONTH(TODAY()), 1), $T$1:$AE$1, 0)),
  IF(_xlpm.actual_value_month &lt;&gt; "",_xlpm.actual_value_month &amp; " ações mensais", "")
)</f>
        <v/>
      </c>
      <c r="K2313" s="14" t="str" cm="1">
        <f t="array" ref="K2313">_xlfn.LET(
    _xlpm.sum_month, SUM(T2313:AE2313),
    IF(_xlpm.sum_month = 0, "", _xlpm.sum_month &amp; " pessoas impactadas no ano.")
)</f>
        <v/>
      </c>
      <c r="L2313" s="9" t="s">
        <v>59</v>
      </c>
      <c r="M2313" s="13">
        <v>1</v>
      </c>
      <c r="N2313" s="5" t="s">
        <v>51</v>
      </c>
      <c r="O2313" s="5" t="s">
        <v>52</v>
      </c>
      <c r="P2313" s="10" t="s">
        <v>44</v>
      </c>
      <c r="Q2313" s="10" t="s">
        <v>44</v>
      </c>
      <c r="R2313" s="11" t="s">
        <v>44</v>
      </c>
      <c r="S2313" s="11" t="s">
        <v>44</v>
      </c>
      <c r="T2313" s="22"/>
      <c r="U2313" s="22"/>
      <c r="V2313" s="22"/>
      <c r="W2313" s="22"/>
      <c r="X2313" s="22"/>
      <c r="Y2313" s="22"/>
      <c r="Z2313" s="22"/>
      <c r="AA2313" s="22"/>
      <c r="AB2313" s="22"/>
      <c r="AC2313" s="22"/>
      <c r="AD2313" s="22"/>
      <c r="AE2313" s="22"/>
      <c r="AG2313" s="71"/>
      <c r="AH2313" s="71"/>
      <c r="AI2313" s="71"/>
      <c r="AJ2313" s="71"/>
      <c r="AK2313" s="71"/>
      <c r="AL2313" s="71"/>
      <c r="AM2313" s="71"/>
      <c r="AN2313" s="71"/>
      <c r="AO2313" s="71"/>
      <c r="AP2313" s="71"/>
      <c r="AQ2313" s="71"/>
      <c r="AR2313" s="71"/>
      <c r="AS2313" s="94">
        <f t="shared" ref="AS2313:AS2314" ca="1" si="2757">IF(MONTH(TODAY())=3,SUM(T2313:U2313),IF(MONTH(TODAY())=4,SUM(T2313:V2313),IF(MONTH(TODAY())=5,SUM(T2313:W2313),IF(MONTH(TODAY())=6,SUM(T2313:X2313),IF(MONTH(TODAY())=7,SUM(T2313:Y2313),IF(MONTH(TODAY())=8,SUM(T2313:Z2313),IF(MONTH(TODAY())=9,SUM(T2313:AA2313),IF(MONTH(TODAY())=10,SUM(T2313:AB2313),IF(MONTH(TODAY())=11,SUM(T2313:AC2313),IF(MONTH(TODAY())=12,SUM(T2313:AD2313),IF(MONTH(TODAY())=1,SUM(T2313:AE2313),T2313)))))))))))</f>
        <v>0</v>
      </c>
      <c r="AT2313" s="95">
        <f t="shared" ref="AT2313:AT2314" si="2758">SUM(AG2313:AR2313)</f>
        <v>0</v>
      </c>
      <c r="AU2313" s="97">
        <f t="shared" ref="AU2313:AU2314" si="2759">SUM(AG2313:AR2313)</f>
        <v>0</v>
      </c>
      <c r="AW2313" s="83">
        <f t="shared" ref="AW2313:AW2314" si="2760">AG2313</f>
        <v>0</v>
      </c>
      <c r="AX2313" s="83">
        <f t="shared" ref="AX2313:AX2314" si="2761">AH2313</f>
        <v>0</v>
      </c>
      <c r="AY2313" s="83">
        <f t="shared" ref="AY2313:AY2314" si="2762">AI2313</f>
        <v>0</v>
      </c>
      <c r="AZ2313" s="83">
        <f t="shared" ref="AZ2313:AZ2314" si="2763">AJ2313</f>
        <v>0</v>
      </c>
      <c r="BA2313" s="52"/>
      <c r="BB2313" s="52"/>
      <c r="BC2313" s="52"/>
      <c r="BD2313" s="52"/>
      <c r="BE2313" s="52"/>
      <c r="BF2313" s="52"/>
      <c r="BG2313" s="52"/>
      <c r="BH2313" s="52"/>
      <c r="BI2313" s="68" cm="1">
        <f t="array" ref="BI2313">IFERROR(INDEX(AW2313:BH2313,1,MATCH(2,1/(AW2313:BH2313&lt;&gt;""))),"")</f>
        <v>0</v>
      </c>
      <c r="BJ2313" s="68" cm="1">
        <f t="array" ref="BJ2313">IF(BM2313 = "", "",IFERROR(INDEX(AW2313:BH2313,1,MATCH(2,1/(AW2313:BH2313&lt;&gt;""),1)-1),""))</f>
        <v>0</v>
      </c>
      <c r="BK2313" s="59">
        <f t="shared" ref="BK2313:BK2314" si="2764">SUM(AW2313:BH2313)</f>
        <v>0</v>
      </c>
      <c r="BL2313" s="59" cm="1">
        <f t="array" ref="BL2313">IFERROR(SUM(AW2313:INDEX(AW2313:BH2313, MATCH(2, 1/(AW2313:BH2313&lt;&gt;""), 1) - 1))/_xlfn.XLOOKUP(F2313,Apuração!A:A,Apuração!B:B),0)</f>
        <v>0</v>
      </c>
      <c r="BM2313" s="55" cm="1">
        <f t="array" ref="BM2313">IFERROR(
   INDEX($AW$1:$BH$1,
      _xlfn.AGGREGATE(14, 6, COLUMN($AW$1:$BH$1)/(AW2313:BH2313&lt;&gt;""), 2) - COLUMN($AW$1) + 1
   ),
"")</f>
        <v>46082</v>
      </c>
      <c r="BN2313" s="55" cm="1">
        <f t="array" ref="BN2313">IFERROR(INDEX($AW$1:$BH$1,1,MATCH(2,1/(AW2313:BH2313&lt;&gt;""))),"")</f>
        <v>46113</v>
      </c>
      <c r="BO2313" s="53">
        <f ca="1">IFERROR(_xlfn.XLOOKUP(F2313,Apuração!A:A,Apuração!C:C)/_xlfn.XLOOKUP(F2313,Apuração!A:A,Apuração!B:B),0)</f>
        <v>0</v>
      </c>
      <c r="BP2313" s="53">
        <f ca="1">IFERROR(_xlfn.XLOOKUP(F2313,Apuração!A:A,Apuração!D:D)/_xlfn.XLOOKUP(F2313,Apuração!A:A,Apuração!B:B),0)</f>
        <v>0</v>
      </c>
      <c r="BQ2313" s="53">
        <f ca="1">IF(BK2313&gt;=BO2313,0,_xlfn.XLOOKUP(F2313,Apuração!A:A,Apuração!B:B)*(BO2313 + (1/_xlfn.XLOOKUP(F2313,Apuração!A:A,Apuração!B:B)) - BK2313))</f>
        <v>0</v>
      </c>
      <c r="BR2313" s="85">
        <f t="shared" ref="BR2313:BR2314" ca="1" si="2765">IF(BQ2313=0,0,BQ2313*Z2313)</f>
        <v>0</v>
      </c>
      <c r="BS2313" s="53">
        <f ca="1">IFERROR((_xlfn.XLOOKUP(F2313,Apuração!A:A,Apuração!C:C)+1)/_xlfn.XLOOKUP(F2313,Apuração!A:A,Apuração!B:B),0)</f>
        <v>0.14285714285714285</v>
      </c>
    </row>
    <row r="2314" spans="1:71" ht="25.95" hidden="1" customHeight="1" x14ac:dyDescent="0.3">
      <c r="A2314" s="39" t="s">
        <v>33</v>
      </c>
      <c r="B2314" s="4" t="s">
        <v>70</v>
      </c>
      <c r="C2314" s="5" t="s">
        <v>221</v>
      </c>
      <c r="D2314" s="5" t="s">
        <v>213</v>
      </c>
      <c r="E2314" s="4" t="s">
        <v>61</v>
      </c>
      <c r="F2314" s="4" t="str" cm="1">
        <f t="array" ref="F2314">_xlfn.IFS(
AG2314 &lt;&gt; "", "Jan-Dez/26",
AH2314 &lt;&gt; "", "Fev-Dez/26",
AI2314 &lt;&gt; "", "Mar-Dez/26", AJ2314 &lt;&gt; "", "Abr-Dez/26",
TRUE, "A partir de Junho"
)</f>
        <v>A partir de Junho</v>
      </c>
      <c r="G2314" s="6" t="s">
        <v>62</v>
      </c>
      <c r="H2314" s="7" t="s">
        <v>38</v>
      </c>
      <c r="I2314" s="8" t="s">
        <v>59</v>
      </c>
      <c r="J2314" s="8" t="str" cm="1">
        <f t="array" aca="1" ref="J2314" ca="1">_xlfn.LET(
  _xlpm.actual_value_month, INDEX(T2314:AE2314, MATCH(DATE(YEAR(TODAY()), MONTH(TODAY()), 1), $T$1:$AE$1, 0)),
  IF(_xlpm.actual_value_month &lt;&gt; "",_xlpm.actual_value_month &amp; " ações mensais", "")
)</f>
        <v/>
      </c>
      <c r="K2314" s="14" t="str" cm="1">
        <f t="array" ref="K2314">_xlfn.LET(
    _xlpm.sum_month, SUM(T2314:AE2314),
    IF(_xlpm.sum_month = 0, "", _xlpm.sum_month &amp; " pessoas impactadas no ano.")
)</f>
        <v/>
      </c>
      <c r="L2314" s="9" t="s">
        <v>59</v>
      </c>
      <c r="M2314" s="13">
        <v>1</v>
      </c>
      <c r="N2314" s="5" t="s">
        <v>51</v>
      </c>
      <c r="O2314" s="5" t="s">
        <v>52</v>
      </c>
      <c r="P2314" s="10" t="s">
        <v>44</v>
      </c>
      <c r="Q2314" s="10" t="s">
        <v>44</v>
      </c>
      <c r="R2314" s="11" t="s">
        <v>44</v>
      </c>
      <c r="S2314" s="11" t="s">
        <v>44</v>
      </c>
      <c r="T2314" s="22"/>
      <c r="U2314" s="22"/>
      <c r="V2314" s="22"/>
      <c r="W2314" s="22"/>
      <c r="X2314" s="22"/>
      <c r="Y2314" s="22"/>
      <c r="Z2314" s="22"/>
      <c r="AA2314" s="22"/>
      <c r="AB2314" s="22"/>
      <c r="AC2314" s="22"/>
      <c r="AD2314" s="22"/>
      <c r="AE2314" s="22"/>
      <c r="AG2314" s="71"/>
      <c r="AH2314" s="71"/>
      <c r="AI2314" s="71"/>
      <c r="AJ2314" s="71"/>
      <c r="AK2314" s="71"/>
      <c r="AL2314" s="71"/>
      <c r="AM2314" s="71"/>
      <c r="AN2314" s="71"/>
      <c r="AO2314" s="71"/>
      <c r="AP2314" s="71"/>
      <c r="AQ2314" s="71"/>
      <c r="AR2314" s="71"/>
      <c r="AS2314" s="94">
        <f t="shared" ca="1" si="2757"/>
        <v>0</v>
      </c>
      <c r="AT2314" s="95">
        <f t="shared" si="2758"/>
        <v>0</v>
      </c>
      <c r="AU2314" s="97">
        <f t="shared" si="2759"/>
        <v>0</v>
      </c>
      <c r="AW2314" s="83">
        <f t="shared" si="2760"/>
        <v>0</v>
      </c>
      <c r="AX2314" s="83">
        <f t="shared" si="2761"/>
        <v>0</v>
      </c>
      <c r="AY2314" s="83">
        <f t="shared" si="2762"/>
        <v>0</v>
      </c>
      <c r="AZ2314" s="83">
        <f t="shared" si="2763"/>
        <v>0</v>
      </c>
      <c r="BA2314" s="52"/>
      <c r="BB2314" s="52"/>
      <c r="BC2314" s="52"/>
      <c r="BD2314" s="52"/>
      <c r="BE2314" s="52"/>
      <c r="BF2314" s="52"/>
      <c r="BG2314" s="52"/>
      <c r="BH2314" s="52"/>
      <c r="BI2314" s="68" cm="1">
        <f t="array" ref="BI2314">IFERROR(INDEX(AW2314:BH2314,1,MATCH(2,1/(AW2314:BH2314&lt;&gt;""))),"")</f>
        <v>0</v>
      </c>
      <c r="BJ2314" s="68" cm="1">
        <f t="array" ref="BJ2314">IF(BM2314 = "", "",IFERROR(INDEX(AW2314:BH2314,1,MATCH(2,1/(AW2314:BH2314&lt;&gt;""),1)-1),""))</f>
        <v>0</v>
      </c>
      <c r="BK2314" s="59">
        <f t="shared" si="2764"/>
        <v>0</v>
      </c>
      <c r="BL2314" s="59" cm="1">
        <f t="array" ref="BL2314">IFERROR(SUM(AW2314:INDEX(AW2314:BH2314, MATCH(2, 1/(AW2314:BH2314&lt;&gt;""), 1) - 1))/_xlfn.XLOOKUP(F2314,Apuração!A:A,Apuração!B:B),0)</f>
        <v>0</v>
      </c>
      <c r="BM2314" s="55" cm="1">
        <f t="array" ref="BM2314">IFERROR(
   INDEX($AW$1:$BH$1,
      _xlfn.AGGREGATE(14, 6, COLUMN($AW$1:$BH$1)/(AW2314:BH2314&lt;&gt;""), 2) - COLUMN($AW$1) + 1
   ),
"")</f>
        <v>46082</v>
      </c>
      <c r="BN2314" s="55" cm="1">
        <f t="array" ref="BN2314">IFERROR(INDEX($AW$1:$BH$1,1,MATCH(2,1/(AW2314:BH2314&lt;&gt;""))),"")</f>
        <v>46113</v>
      </c>
      <c r="BO2314" s="53">
        <f ca="1">IFERROR(_xlfn.XLOOKUP(F2314,Apuração!A:A,Apuração!C:C)/_xlfn.XLOOKUP(F2314,Apuração!A:A,Apuração!B:B),0)</f>
        <v>0</v>
      </c>
      <c r="BP2314" s="53">
        <f ca="1">IFERROR(_xlfn.XLOOKUP(F2314,Apuração!A:A,Apuração!D:D)/_xlfn.XLOOKUP(F2314,Apuração!A:A,Apuração!B:B),0)</f>
        <v>0</v>
      </c>
      <c r="BQ2314" s="53">
        <f ca="1">IF(BK2314&gt;=BO2314,0,_xlfn.XLOOKUP(F2314,Apuração!A:A,Apuração!B:B)*(BO2314 + (1/_xlfn.XLOOKUP(F2314,Apuração!A:A,Apuração!B:B)) - BK2314))</f>
        <v>0</v>
      </c>
      <c r="BR2314" s="85">
        <f t="shared" ca="1" si="2765"/>
        <v>0</v>
      </c>
      <c r="BS2314" s="53">
        <f ca="1">IFERROR((_xlfn.XLOOKUP(F2314,Apuração!A:A,Apuração!C:C)+1)/_xlfn.XLOOKUP(F2314,Apuração!A:A,Apuração!B:B),0)</f>
        <v>0.14285714285714285</v>
      </c>
    </row>
    <row r="2315" spans="1:71" ht="25.95" hidden="1" customHeight="1" x14ac:dyDescent="0.3">
      <c r="A2315" s="3" t="s">
        <v>33</v>
      </c>
      <c r="B2315" s="4" t="s">
        <v>73</v>
      </c>
      <c r="C2315" s="5" t="s">
        <v>221</v>
      </c>
      <c r="D2315" s="5" t="s">
        <v>36</v>
      </c>
      <c r="E2315" s="4" t="str" cm="1">
        <f t="array" ref="E2315">_xlfn.IFS(
F2315 = "A partir de Abril", "Aguardando Execução na Distribuidora",
A2315 = "CAPACITAÇÃO", "Em execução no Corporativo",
TRUE, "Em Execução na Distribuidora"
)</f>
        <v>Em Execução na Distribuidora</v>
      </c>
      <c r="F2315" s="4" t="str" cm="1">
        <f t="array" ref="F2315">_xlfn.IFS(
AG2315 &lt;&gt; "", "Jan-Dez/26",
AH2315 &lt;&gt; "", "Fev-Dez/26",
AI2315 &lt;&gt; "", "Mar-Dez/26", AJ2315 &lt;&gt; "", "Abr-Dez/26",
TRUE, "A partir de Junho"
)</f>
        <v>Mar-Dez/26</v>
      </c>
      <c r="G2315" s="4" t="s">
        <v>37</v>
      </c>
      <c r="H2315" s="7" t="s">
        <v>54</v>
      </c>
      <c r="I2315" s="8" t="s">
        <v>55</v>
      </c>
      <c r="J2315" s="8" t="str" cm="1">
        <f t="array" aca="1" ref="J2315" ca="1">_xlfn.LET(
  _xlpm.actual_value_month, INDEX(T2315:AE2315, MATCH(DATE(YEAR(TODAY()), MONTH(TODAY()), 1), $T$1:$AE$1, 0)),
  IF(_xlpm.actual_value_month &lt;&gt; "",_xlpm.actual_value_month &amp; " eventos mensais", "")
)</f>
        <v>4 eventos mensais</v>
      </c>
      <c r="K2315" s="14" t="str" cm="1">
        <f t="array" ref="K2315">_xlfn.LET(
    _xlpm.sum_month, SUM(T2315:AE2315),
    IF(_xlpm.sum_month = 0, "", _xlpm.sum_month &amp; "  eventos no ano")
)</f>
        <v>41  eventos no ano</v>
      </c>
      <c r="L2315" s="9" t="s">
        <v>64</v>
      </c>
      <c r="M2315" s="13" t="s">
        <v>74</v>
      </c>
      <c r="N2315" s="5" t="s">
        <v>42</v>
      </c>
      <c r="O2315" s="5" t="s">
        <v>43</v>
      </c>
      <c r="P2315" s="10" t="s">
        <v>44</v>
      </c>
      <c r="Q2315" s="10" t="s">
        <v>75</v>
      </c>
      <c r="R2315" s="11" t="s">
        <v>44</v>
      </c>
      <c r="S2315" s="11" t="s">
        <v>44</v>
      </c>
      <c r="T2315" s="22"/>
      <c r="U2315" s="22"/>
      <c r="V2315" s="22">
        <v>5</v>
      </c>
      <c r="W2315" s="22">
        <v>4</v>
      </c>
      <c r="X2315" s="22">
        <v>4</v>
      </c>
      <c r="Y2315" s="22">
        <v>4</v>
      </c>
      <c r="Z2315" s="22">
        <v>4</v>
      </c>
      <c r="AA2315" s="22">
        <v>4</v>
      </c>
      <c r="AB2315" s="22">
        <v>4</v>
      </c>
      <c r="AC2315" s="22">
        <v>4</v>
      </c>
      <c r="AD2315" s="22">
        <v>4</v>
      </c>
      <c r="AE2315" s="22">
        <v>4</v>
      </c>
      <c r="AG2315" s="71"/>
      <c r="AH2315" s="71"/>
      <c r="AI2315" s="71">
        <v>5</v>
      </c>
      <c r="AJ2315" s="71">
        <v>0</v>
      </c>
      <c r="AK2315" s="71"/>
      <c r="AL2315" s="71"/>
      <c r="AM2315" s="71"/>
      <c r="AN2315" s="71"/>
      <c r="AO2315" s="71"/>
      <c r="AP2315" s="71"/>
      <c r="AQ2315" s="71"/>
      <c r="AR2315" s="71"/>
      <c r="AS2315" s="94">
        <f t="shared" ca="1" si="2697"/>
        <v>13</v>
      </c>
      <c r="AT2315" s="95">
        <f>SUM(IF(AW2315&lt;1.15,AG2315,1.15*T2315),IF(AX2315&lt;1.15,AH2315,1.15*U2315),IF(AY2315&lt;1.15,AI2315,1.15*V2315),IF(AZ2315&lt;1.15,AJ2315,1.15*W2315),IF(BA2315&lt;1.15,AK2315,1.15*X2315),IF(BB2315&lt;1.15,AL2315,1.15*Y2315),IF(BC2315&lt;1.15,AM2315,1.15*Z2315),IF(BD2315&lt;1.15,AN2315,1.15*AA2315),IF(BE2315&lt;1.15,AO2315,1.15*AB2315),IF(BF2315&lt;1.15,AP2315,1.15*AC2315),IF(BG2315&lt;1.15,AQ2315,1.15*AD2315),IF(BH2315&lt;1.15,AR2315,1.15*AE2315))</f>
        <v>5</v>
      </c>
      <c r="AU2315" s="97">
        <f t="shared" si="2698"/>
        <v>5</v>
      </c>
      <c r="AW2315" s="51">
        <f>IFERROR(IF(AG2315="",0,AG2315/T2315),0)</f>
        <v>0</v>
      </c>
      <c r="AX2315" s="51">
        <f>IFERROR(IF(AH2315="",0,AH2315/U2315),0)</f>
        <v>0</v>
      </c>
      <c r="AY2315" s="51">
        <f>IFERROR(IF(AI2315="",0,AI2315/V2315),0)</f>
        <v>1</v>
      </c>
      <c r="AZ2315" s="51">
        <f>IFERROR(IF(AJ2315="",0,AJ2315/W2315),0)</f>
        <v>0</v>
      </c>
      <c r="BA2315" s="51"/>
      <c r="BB2315" s="51"/>
      <c r="BC2315" s="51"/>
      <c r="BD2315" s="51"/>
      <c r="BE2315" s="51"/>
      <c r="BF2315" s="51"/>
      <c r="BG2315" s="51"/>
      <c r="BH2315" s="51"/>
      <c r="BI2315" s="65" cm="1">
        <f t="array" ref="BI2315">IFERROR(INDEX(AW2315:BH2315,1,MATCH(2,1/(AW2315:BH2315&lt;&gt;""))),"")</f>
        <v>0</v>
      </c>
      <c r="BJ2315" s="68" cm="1">
        <f t="array" ref="BJ2315">IF(BM2315 = "", "",IFERROR(INDEX(AW2315:BH2315,1,MATCH(2,1/(AW2315:BH2315&lt;&gt;""),1)-1),""))</f>
        <v>1</v>
      </c>
      <c r="BK2315" s="58">
        <f>IF((IF(AW2315&gt;=115%,115%,AW2315) + IF(AX2315&gt;=115%,115%,AX2315) + IF(AY2315&gt;=200%,200%,AY2315) + (IF(AZ2315&gt;=115%,115%,AZ2315) + IF(BA2315&gt;=115%,115%,BA2315) + IF(BB2315&gt;=150%,150%,BB2315) + IF(BC2315&gt;=115%,115%,BC2315) + IF(BD2315&gt;=115%,115%,BD2315) + IF(BE2315&gt;=115%,115%,BE2315) + IF(BF2315&gt;=115%,115%,BF2315) + IF(BG2315&gt;=115%,115%,BG2315) + IF(BH2315&gt;=115%,115%,BH2315)))/_xlfn.XLOOKUP(F2315,Apuração!A:A,Apuração!B:B)&gt;=1.15,1.15,((IF(AZ2315&gt;=115%,115%,AZ2315) + IF(AX2315&gt;=115%,115%,AX2315) + IF(AY2315&gt;=200%,200%,AY2315) + (IF(AW2315&gt;=115%,115%,AW2315) + IF(BA2315&gt;=115%,115%,BA2315) + IF(BB2315&gt;=150%,150%,BB2315) + IF(BC2315&gt;=115%,115%,BC2315) + IF(BD2315&gt;=115%,115%,BD2315) + IF(BE2315&gt;=115%,115%,BE2315) + IF(BF2315&gt;=115%,115%,BF2315) + IF(BG2315&gt;=115%,115%,BG2315) + IF(BH2315&gt;=115%,115%,BH2315)))/_xlfn.XLOOKUP(F2315,Apuração!A:A,Apuração!B:B)))</f>
        <v>0.1</v>
      </c>
      <c r="BL2315" s="58" cm="1">
        <f t="array" aca="1" ref="BL2315" ca="1">IF(SUM(IFERROR(IF(INDEX(AW2315:INDEX(AW2315:BH2315, MATCH(2, 1/(AW2315:BH2315&lt;&gt;""), 1)-1), ROW(INDIRECT("1:" &amp; MATCH(2, 1/(AW2315:BH2315&lt;&gt;""), 1)-1))) &gt;= 115%, 115%, INDEX(AW2315:INDEX(AW2315:BH2315, MATCH(2, 1/(AW2315:BH2315&lt;&gt;""), 1)-1), ROW(INDIRECT("1:" &amp; MATCH(2, 1/(AW2315:BH2315&lt;&gt;""), 1)-1)))), 0))/_xlfn.XLOOKUP(F2315,Apuração!A:A,Apuração!B:B)&gt;=1.15,1.15,SUM(IFERROR(IF(INDEX(AW2315:INDEX(AW2315:BH2315, MATCH(2, 1/(AW2315:BH2315&lt;&gt;""), 1)-1), ROW(INDIRECT("1:" &amp; MATCH(2, 1/(AW2315:BH2315&lt;&gt;""), 1)-1))) &gt;= 115%, 115%, INDEX(AW2315:INDEX(AW2315:BH2315, MATCH(2, 1/(AW2315:BH2315&lt;&gt;""), 1)-1), ROW(INDIRECT("1:" &amp; MATCH(2, 1/(AW2315:BH2315&lt;&gt;""), 1)-1)))), 0))/_xlfn.XLOOKUP(F2315,Apuração!A:A,Apuração!B:B))</f>
        <v>0.1</v>
      </c>
      <c r="BM2315" s="55" cm="1">
        <f t="array" ref="BM2315">IFERROR(
   INDEX($AW$1:$BH$1,
      _xlfn.AGGREGATE(14, 6, COLUMN($AW$1:$BH$1)/(AW2315:BH2315&lt;&gt;""), 2) - COLUMN($AW$1) + 1
   ),
"")</f>
        <v>46082</v>
      </c>
      <c r="BN2315" s="55" cm="1">
        <f t="array" ref="BN2315">IFERROR(INDEX($AW$1:$BH$1,1,MATCH(2,1/(AW2315:BH2315&lt;&gt;""))),"")</f>
        <v>46113</v>
      </c>
      <c r="BO2315" s="53">
        <f ca="1">IFERROR(_xlfn.XLOOKUP(F2315,Apuração!A:A,Apuração!C:C)/_xlfn.XLOOKUP(F2315,Apuração!A:A,Apuração!B:B),0)</f>
        <v>0.3</v>
      </c>
      <c r="BP2315" s="53">
        <f ca="1">IFERROR(_xlfn.XLOOKUP(F2315,Apuração!A:A,Apuração!D:D)/_xlfn.XLOOKUP(F2315,Apuração!A:A,Apuração!B:B),0)</f>
        <v>0.2</v>
      </c>
      <c r="BQ2315" s="53">
        <f ca="1">IF(BK2315&gt;=BO2315,0,_xlfn.XLOOKUP(F2315,Apuração!A:A,Apuração!B:B)*(BO2315 + (1/_xlfn.XLOOKUP(F2315,Apuração!A:A,Apuração!B:B)) - BK2315))</f>
        <v>3.0000000000000004</v>
      </c>
      <c r="BR2315" s="85">
        <f t="shared" ca="1" si="2696"/>
        <v>12.000000000000002</v>
      </c>
      <c r="BS2315" s="53">
        <f ca="1">IFERROR((_xlfn.XLOOKUP(F2315,Apuração!A:A,Apuração!C:C)+1)/_xlfn.XLOOKUP(F2315,Apuração!A:A,Apuração!B:B),0)</f>
        <v>0.4</v>
      </c>
    </row>
    <row r="2316" spans="1:71" ht="25.95" hidden="1" customHeight="1" x14ac:dyDescent="0.3">
      <c r="A2316" s="3" t="s">
        <v>33</v>
      </c>
      <c r="B2316" s="4" t="s">
        <v>73</v>
      </c>
      <c r="C2316" s="5" t="s">
        <v>221</v>
      </c>
      <c r="D2316" s="5" t="s">
        <v>212</v>
      </c>
      <c r="E2316" s="4" t="str" cm="1">
        <f t="array" ref="E2316">_xlfn.IFS(
F2316 = "A partir de Abril", "Aguardando Execução na Distribuidora",
A2316 = "CAPACITAÇÃO", "Em execução no Corporativo",
TRUE, "Em Execução na Distribuidora"
)</f>
        <v>Em Execução na Distribuidora</v>
      </c>
      <c r="F2316" s="4" t="str" cm="1">
        <f t="array" ref="F2316">_xlfn.IFS(
AG2316 &lt;&gt; "", "Jan-Dez/26",
AH2316 &lt;&gt; "", "Fev-Dez/26",
AI2316 &lt;&gt; "", "Mar-Dez/26", AJ2316 &lt;&gt; "", "Abr-Dez/26",
TRUE, "A partir de Junho"
)</f>
        <v>Mar-Dez/26</v>
      </c>
      <c r="G2316" s="4" t="s">
        <v>37</v>
      </c>
      <c r="H2316" s="7" t="s">
        <v>54</v>
      </c>
      <c r="I2316" s="8" t="s">
        <v>55</v>
      </c>
      <c r="J2316" s="8" t="str" cm="1">
        <f t="array" aca="1" ref="J2316" ca="1">_xlfn.LET(
  _xlpm.actual_value_month, INDEX(T2316:AE2316, MATCH(DATE(YEAR(TODAY()), MONTH(TODAY()), 1), $T$1:$AE$1, 0)),
  IF(_xlpm.actual_value_month &lt;&gt; "",_xlpm.actual_value_month &amp; " eventos mensais", "")
)</f>
        <v>2 eventos mensais</v>
      </c>
      <c r="K2316" s="14" t="str" cm="1">
        <f t="array" ref="K2316">_xlfn.LET(
    _xlpm.sum_month, SUM(T2316:AE2316),
    IF(_xlpm.sum_month = 0, "", _xlpm.sum_month &amp; "  eventos no ano")
)</f>
        <v>24  eventos no ano</v>
      </c>
      <c r="L2316" s="9" t="s">
        <v>64</v>
      </c>
      <c r="M2316" s="13" t="s">
        <v>74</v>
      </c>
      <c r="N2316" s="5" t="s">
        <v>42</v>
      </c>
      <c r="O2316" s="5" t="s">
        <v>43</v>
      </c>
      <c r="P2316" s="10" t="s">
        <v>44</v>
      </c>
      <c r="Q2316" s="10" t="s">
        <v>75</v>
      </c>
      <c r="R2316" s="11" t="s">
        <v>44</v>
      </c>
      <c r="S2316" s="11" t="s">
        <v>44</v>
      </c>
      <c r="T2316" s="143">
        <v>2</v>
      </c>
      <c r="U2316" s="143">
        <v>2</v>
      </c>
      <c r="V2316" s="143">
        <v>2</v>
      </c>
      <c r="W2316" s="143">
        <v>2</v>
      </c>
      <c r="X2316" s="143">
        <v>2</v>
      </c>
      <c r="Y2316" s="143">
        <v>2</v>
      </c>
      <c r="Z2316" s="143">
        <v>2</v>
      </c>
      <c r="AA2316" s="143">
        <v>2</v>
      </c>
      <c r="AB2316" s="143">
        <v>2</v>
      </c>
      <c r="AC2316" s="143">
        <v>2</v>
      </c>
      <c r="AD2316" s="143">
        <v>2</v>
      </c>
      <c r="AE2316" s="143">
        <v>2</v>
      </c>
      <c r="AG2316" s="82"/>
      <c r="AH2316" s="82"/>
      <c r="AI2316" s="82">
        <v>3</v>
      </c>
      <c r="AJ2316" s="82">
        <v>0</v>
      </c>
      <c r="AK2316" s="71"/>
      <c r="AL2316" s="71"/>
      <c r="AM2316" s="71"/>
      <c r="AN2316" s="71"/>
      <c r="AO2316" s="71"/>
      <c r="AP2316" s="71"/>
      <c r="AQ2316" s="71"/>
      <c r="AR2316" s="71"/>
      <c r="AS2316" s="94">
        <f t="shared" ref="AS2316:AS2317" ca="1" si="2766">IF(MONTH(TODAY())=3,SUM(T2316:U2316),IF(MONTH(TODAY())=4,SUM(T2316:V2316),IF(MONTH(TODAY())=5,SUM(T2316:W2316),IF(MONTH(TODAY())=6,SUM(T2316:X2316),IF(MONTH(TODAY())=7,SUM(T2316:Y2316),IF(MONTH(TODAY())=8,SUM(T2316:Z2316),IF(MONTH(TODAY())=9,SUM(T2316:AA2316),IF(MONTH(TODAY())=10,SUM(T2316:AB2316),IF(MONTH(TODAY())=11,SUM(T2316:AC2316),IF(MONTH(TODAY())=12,SUM(T2316:AD2316),IF(MONTH(TODAY())=1,SUM(T2316:AE2316),T2316)))))))))))</f>
        <v>10</v>
      </c>
      <c r="AT2316" s="95">
        <f t="shared" ref="AT2316:AT2317" si="2767">SUM(IF(AW2316&lt;1.15,AG2316,1.15*T2316),IF(AX2316&lt;1.15,AH2316,1.15*U2316),IF(AY2316&lt;1.15,AI2316,1.15*V2316),IF(AZ2316&lt;1.15,AJ2316,1.15*W2316),IF(BA2316&lt;1.15,AK2316,1.15*X2316),IF(BB2316&lt;1.15,AL2316,1.15*Y2316),IF(BC2316&lt;1.15,AM2316,1.15*Z2316),IF(BD2316&lt;1.15,AN2316,1.15*AA2316),IF(BE2316&lt;1.15,AO2316,1.15*AB2316),IF(BF2316&lt;1.15,AP2316,1.15*AC2316),IF(BG2316&lt;1.15,AQ2316,1.15*AD2316),IF(BH2316&lt;1.15,AR2316,1.15*AE2316))</f>
        <v>2.2999999999999998</v>
      </c>
      <c r="AU2316" s="97">
        <f t="shared" ref="AU2316:AU2317" si="2768">SUM(AG2316:AR2316)</f>
        <v>3</v>
      </c>
      <c r="AW2316" s="51">
        <f t="shared" ref="AW2316:AW2317" si="2769">IFERROR(IF(AG2316="",0,AG2316/T2316),0)</f>
        <v>0</v>
      </c>
      <c r="AX2316" s="51">
        <f t="shared" ref="AX2316:AX2317" si="2770">IFERROR(IF(AH2316="",0,AH2316/U2316),0)</f>
        <v>0</v>
      </c>
      <c r="AY2316" s="51">
        <f t="shared" ref="AY2316:AY2317" si="2771">IFERROR(IF(AI2316="",0,AI2316/V2316),0)</f>
        <v>1.5</v>
      </c>
      <c r="AZ2316" s="51">
        <f t="shared" ref="AZ2316:AZ2317" si="2772">IFERROR(IF(AJ2316="",0,AJ2316/W2316),0)</f>
        <v>0</v>
      </c>
      <c r="BA2316" s="51"/>
      <c r="BB2316" s="51"/>
      <c r="BC2316" s="51"/>
      <c r="BD2316" s="51"/>
      <c r="BE2316" s="51"/>
      <c r="BF2316" s="51"/>
      <c r="BG2316" s="51"/>
      <c r="BH2316" s="51"/>
      <c r="BI2316" s="65" cm="1">
        <f t="array" ref="BI2316">IFERROR(INDEX(AW2316:BH2316,1,MATCH(2,1/(AW2316:BH2316&lt;&gt;""))),"")</f>
        <v>0</v>
      </c>
      <c r="BJ2316" s="68" cm="1">
        <f t="array" ref="BJ2316">IF(BM2316 = "", "",IFERROR(INDEX(AW2316:BH2316,1,MATCH(2,1/(AW2316:BH2316&lt;&gt;""),1)-1),""))</f>
        <v>1.5</v>
      </c>
      <c r="BK2316" s="58">
        <f>IF((IF(AW2316&gt;=115%,115%,AW2316) + IF(AX2316&gt;=115%,115%,AX2316) + IF(AY2316&gt;=200%,200%,AY2316) + (IF(AZ2316&gt;=115%,115%,AZ2316) + IF(BA2316&gt;=115%,115%,BA2316) + IF(BB2316&gt;=150%,150%,BB2316) + IF(BC2316&gt;=115%,115%,BC2316) + IF(BD2316&gt;=115%,115%,BD2316) + IF(BE2316&gt;=115%,115%,BE2316) + IF(BF2316&gt;=115%,115%,BF2316) + IF(BG2316&gt;=115%,115%,BG2316) + IF(BH2316&gt;=115%,115%,BH2316)))/_xlfn.XLOOKUP(F2316,Apuração!A:A,Apuração!B:B)&gt;=1.15,1.15,((IF(AZ2316&gt;=115%,115%,AZ2316) + IF(AX2316&gt;=115%,115%,AX2316) + IF(AY2316&gt;=200%,200%,AY2316) + (IF(AW2316&gt;=115%,115%,AW2316) + IF(BA2316&gt;=115%,115%,BA2316) + IF(BB2316&gt;=150%,150%,BB2316) + IF(BC2316&gt;=115%,115%,BC2316) + IF(BD2316&gt;=115%,115%,BD2316) + IF(BE2316&gt;=115%,115%,BE2316) + IF(BF2316&gt;=115%,115%,BF2316) + IF(BG2316&gt;=115%,115%,BG2316) + IF(BH2316&gt;=115%,115%,BH2316)))/_xlfn.XLOOKUP(F2316,Apuração!A:A,Apuração!B:B)))</f>
        <v>0.15</v>
      </c>
      <c r="BL2316" s="58" cm="1">
        <f t="array" aca="1" ref="BL2316" ca="1">IF(SUM(IFERROR(IF(INDEX(AW2316:INDEX(AW2316:BH2316, MATCH(2, 1/(AW2316:BH2316&lt;&gt;""), 1)-1), ROW(INDIRECT("1:" &amp; MATCH(2, 1/(AW2316:BH2316&lt;&gt;""), 1)-1))) &gt;= 115%, 115%, INDEX(AW2316:INDEX(AW2316:BH2316, MATCH(2, 1/(AW2316:BH2316&lt;&gt;""), 1)-1), ROW(INDIRECT("1:" &amp; MATCH(2, 1/(AW2316:BH2316&lt;&gt;""), 1)-1)))), 0))/_xlfn.XLOOKUP(F2316,Apuração!A:A,Apuração!B:B)&gt;=1.15,1.15,SUM(IFERROR(IF(INDEX(AW2316:INDEX(AW2316:BH2316, MATCH(2, 1/(AW2316:BH2316&lt;&gt;""), 1)-1), ROW(INDIRECT("1:" &amp; MATCH(2, 1/(AW2316:BH2316&lt;&gt;""), 1)-1))) &gt;= 115%, 115%, INDEX(AW2316:INDEX(AW2316:BH2316, MATCH(2, 1/(AW2316:BH2316&lt;&gt;""), 1)-1), ROW(INDIRECT("1:" &amp; MATCH(2, 1/(AW2316:BH2316&lt;&gt;""), 1)-1)))), 0))/_xlfn.XLOOKUP(F2316,Apuração!A:A,Apuração!B:B))</f>
        <v>0.11499999999999999</v>
      </c>
      <c r="BM2316" s="55" cm="1">
        <f t="array" ref="BM2316">IFERROR(
   INDEX($AW$1:$BH$1,
      _xlfn.AGGREGATE(14, 6, COLUMN($AW$1:$BH$1)/(AW2316:BH2316&lt;&gt;""), 2) - COLUMN($AW$1) + 1
   ),
"")</f>
        <v>46082</v>
      </c>
      <c r="BN2316" s="55" cm="1">
        <f t="array" ref="BN2316">IFERROR(INDEX($AW$1:$BH$1,1,MATCH(2,1/(AW2316:BH2316&lt;&gt;""))),"")</f>
        <v>46113</v>
      </c>
      <c r="BO2316" s="53">
        <f ca="1">IFERROR(_xlfn.XLOOKUP(F2316,Apuração!A:A,Apuração!C:C)/_xlfn.XLOOKUP(F2316,Apuração!A:A,Apuração!B:B),0)</f>
        <v>0.3</v>
      </c>
      <c r="BP2316" s="53">
        <f ca="1">IFERROR(_xlfn.XLOOKUP(F2316,Apuração!A:A,Apuração!D:D)/_xlfn.XLOOKUP(F2316,Apuração!A:A,Apuração!B:B),0)</f>
        <v>0.2</v>
      </c>
      <c r="BQ2316" s="53">
        <f ca="1">IF(BK2316&gt;=BO2316,0,_xlfn.XLOOKUP(F2316,Apuração!A:A,Apuração!B:B)*(BO2316 + (1/_xlfn.XLOOKUP(F2316,Apuração!A:A,Apuração!B:B)) - BK2316))</f>
        <v>2.5</v>
      </c>
      <c r="BR2316" s="85">
        <f t="shared" ref="BR2316:BR2317" ca="1" si="2773">IF(BQ2316=0,0,BQ2316*Z2316)</f>
        <v>5</v>
      </c>
      <c r="BS2316" s="53">
        <f ca="1">IFERROR((_xlfn.XLOOKUP(F2316,Apuração!A:A,Apuração!C:C)+1)/_xlfn.XLOOKUP(F2316,Apuração!A:A,Apuração!B:B),0)</f>
        <v>0.4</v>
      </c>
    </row>
    <row r="2317" spans="1:71" ht="25.95" hidden="1" customHeight="1" x14ac:dyDescent="0.3">
      <c r="A2317" s="3" t="s">
        <v>33</v>
      </c>
      <c r="B2317" s="4" t="s">
        <v>73</v>
      </c>
      <c r="C2317" s="5" t="s">
        <v>221</v>
      </c>
      <c r="D2317" s="5" t="s">
        <v>213</v>
      </c>
      <c r="E2317" s="4" t="str" cm="1">
        <f t="array" ref="E2317">_xlfn.IFS(
F2317 = "A partir de Abril", "Aguardando Execução na Distribuidora",
A2317 = "CAPACITAÇÃO", "Em execução no Corporativo",
TRUE, "Em Execução na Distribuidora"
)</f>
        <v>Em Execução na Distribuidora</v>
      </c>
      <c r="F2317" s="4" t="str" cm="1">
        <f t="array" ref="F2317">_xlfn.IFS(
AG2317 &lt;&gt; "", "Jan-Dez/26",
AH2317 &lt;&gt; "", "Fev-Dez/26",
AI2317 &lt;&gt; "", "Mar-Dez/26", AJ2317 &lt;&gt; "", "Abr-Dez/26",
TRUE, "A partir de Junho"
)</f>
        <v>Mar-Dez/26</v>
      </c>
      <c r="G2317" s="4" t="s">
        <v>37</v>
      </c>
      <c r="H2317" s="7" t="s">
        <v>54</v>
      </c>
      <c r="I2317" s="8" t="s">
        <v>55</v>
      </c>
      <c r="J2317" s="8" t="str" cm="1">
        <f t="array" aca="1" ref="J2317" ca="1">_xlfn.LET(
  _xlpm.actual_value_month, INDEX(T2317:AE2317, MATCH(DATE(YEAR(TODAY()), MONTH(TODAY()), 1), $T$1:$AE$1, 0)),
  IF(_xlpm.actual_value_month &lt;&gt; "",_xlpm.actual_value_month &amp; " eventos mensais", "")
)</f>
        <v>2 eventos mensais</v>
      </c>
      <c r="K2317" s="14" t="str" cm="1">
        <f t="array" ref="K2317">_xlfn.LET(
    _xlpm.sum_month, SUM(T2317:AE2317),
    IF(_xlpm.sum_month = 0, "", _xlpm.sum_month &amp; "  eventos no ano")
)</f>
        <v>24  eventos no ano</v>
      </c>
      <c r="L2317" s="9" t="s">
        <v>64</v>
      </c>
      <c r="M2317" s="13" t="s">
        <v>74</v>
      </c>
      <c r="N2317" s="5" t="s">
        <v>42</v>
      </c>
      <c r="O2317" s="5" t="s">
        <v>43</v>
      </c>
      <c r="P2317" s="10" t="s">
        <v>44</v>
      </c>
      <c r="Q2317" s="10" t="s">
        <v>75</v>
      </c>
      <c r="R2317" s="11" t="s">
        <v>44</v>
      </c>
      <c r="S2317" s="11" t="s">
        <v>44</v>
      </c>
      <c r="T2317" s="143">
        <v>2</v>
      </c>
      <c r="U2317" s="143">
        <v>2</v>
      </c>
      <c r="V2317" s="143">
        <v>2</v>
      </c>
      <c r="W2317" s="143">
        <v>2</v>
      </c>
      <c r="X2317" s="143">
        <v>2</v>
      </c>
      <c r="Y2317" s="143">
        <v>2</v>
      </c>
      <c r="Z2317" s="143">
        <v>2</v>
      </c>
      <c r="AA2317" s="143">
        <v>2</v>
      </c>
      <c r="AB2317" s="143">
        <v>2</v>
      </c>
      <c r="AC2317" s="143">
        <v>2</v>
      </c>
      <c r="AD2317" s="143">
        <v>2</v>
      </c>
      <c r="AE2317" s="143">
        <v>2</v>
      </c>
      <c r="AG2317" s="82"/>
      <c r="AH2317" s="82"/>
      <c r="AI2317" s="82">
        <v>2</v>
      </c>
      <c r="AJ2317" s="82">
        <v>0</v>
      </c>
      <c r="AK2317" s="71"/>
      <c r="AL2317" s="71"/>
      <c r="AM2317" s="71"/>
      <c r="AN2317" s="71"/>
      <c r="AO2317" s="71"/>
      <c r="AP2317" s="71"/>
      <c r="AQ2317" s="71"/>
      <c r="AR2317" s="71"/>
      <c r="AS2317" s="94">
        <f t="shared" ca="1" si="2766"/>
        <v>10</v>
      </c>
      <c r="AT2317" s="95">
        <f t="shared" si="2767"/>
        <v>2</v>
      </c>
      <c r="AU2317" s="97">
        <f t="shared" si="2768"/>
        <v>2</v>
      </c>
      <c r="AW2317" s="51">
        <f t="shared" si="2769"/>
        <v>0</v>
      </c>
      <c r="AX2317" s="51">
        <f t="shared" si="2770"/>
        <v>0</v>
      </c>
      <c r="AY2317" s="51">
        <f t="shared" si="2771"/>
        <v>1</v>
      </c>
      <c r="AZ2317" s="51">
        <f t="shared" si="2772"/>
        <v>0</v>
      </c>
      <c r="BA2317" s="51"/>
      <c r="BB2317" s="51"/>
      <c r="BC2317" s="51"/>
      <c r="BD2317" s="51"/>
      <c r="BE2317" s="51"/>
      <c r="BF2317" s="51"/>
      <c r="BG2317" s="51"/>
      <c r="BH2317" s="51"/>
      <c r="BI2317" s="65" cm="1">
        <f t="array" ref="BI2317">IFERROR(INDEX(AW2317:BH2317,1,MATCH(2,1/(AW2317:BH2317&lt;&gt;""))),"")</f>
        <v>0</v>
      </c>
      <c r="BJ2317" s="68" cm="1">
        <f t="array" ref="BJ2317">IF(BM2317 = "", "",IFERROR(INDEX(AW2317:BH2317,1,MATCH(2,1/(AW2317:BH2317&lt;&gt;""),1)-1),""))</f>
        <v>1</v>
      </c>
      <c r="BK2317" s="58">
        <f>IF((IF(AW2317&gt;=115%,115%,AW2317) + IF(AX2317&gt;=115%,115%,AX2317) + IF(AY2317&gt;=200%,200%,AY2317) + (IF(AZ2317&gt;=115%,115%,AZ2317) + IF(BA2317&gt;=115%,115%,BA2317) + IF(BB2317&gt;=150%,150%,BB2317) + IF(BC2317&gt;=115%,115%,BC2317) + IF(BD2317&gt;=115%,115%,BD2317) + IF(BE2317&gt;=115%,115%,BE2317) + IF(BF2317&gt;=115%,115%,BF2317) + IF(BG2317&gt;=115%,115%,BG2317) + IF(BH2317&gt;=115%,115%,BH2317)))/_xlfn.XLOOKUP(F2317,Apuração!A:A,Apuração!B:B)&gt;=1.15,1.15,((IF(AZ2317&gt;=115%,115%,AZ2317) + IF(AX2317&gt;=115%,115%,AX2317) + IF(AY2317&gt;=200%,200%,AY2317) + (IF(AW2317&gt;=115%,115%,AW2317) + IF(BA2317&gt;=115%,115%,BA2317) + IF(BB2317&gt;=150%,150%,BB2317) + IF(BC2317&gt;=115%,115%,BC2317) + IF(BD2317&gt;=115%,115%,BD2317) + IF(BE2317&gt;=115%,115%,BE2317) + IF(BF2317&gt;=115%,115%,BF2317) + IF(BG2317&gt;=115%,115%,BG2317) + IF(BH2317&gt;=115%,115%,BH2317)))/_xlfn.XLOOKUP(F2317,Apuração!A:A,Apuração!B:B)))</f>
        <v>0.1</v>
      </c>
      <c r="BL2317" s="58" cm="1">
        <f t="array" aca="1" ref="BL2317" ca="1">IF(SUM(IFERROR(IF(INDEX(AW2317:INDEX(AW2317:BH2317, MATCH(2, 1/(AW2317:BH2317&lt;&gt;""), 1)-1), ROW(INDIRECT("1:" &amp; MATCH(2, 1/(AW2317:BH2317&lt;&gt;""), 1)-1))) &gt;= 115%, 115%, INDEX(AW2317:INDEX(AW2317:BH2317, MATCH(2, 1/(AW2317:BH2317&lt;&gt;""), 1)-1), ROW(INDIRECT("1:" &amp; MATCH(2, 1/(AW2317:BH2317&lt;&gt;""), 1)-1)))), 0))/_xlfn.XLOOKUP(F2317,Apuração!A:A,Apuração!B:B)&gt;=1.15,1.15,SUM(IFERROR(IF(INDEX(AW2317:INDEX(AW2317:BH2317, MATCH(2, 1/(AW2317:BH2317&lt;&gt;""), 1)-1), ROW(INDIRECT("1:" &amp; MATCH(2, 1/(AW2317:BH2317&lt;&gt;""), 1)-1))) &gt;= 115%, 115%, INDEX(AW2317:INDEX(AW2317:BH2317, MATCH(2, 1/(AW2317:BH2317&lt;&gt;""), 1)-1), ROW(INDIRECT("1:" &amp; MATCH(2, 1/(AW2317:BH2317&lt;&gt;""), 1)-1)))), 0))/_xlfn.XLOOKUP(F2317,Apuração!A:A,Apuração!B:B))</f>
        <v>0.1</v>
      </c>
      <c r="BM2317" s="55" cm="1">
        <f t="array" ref="BM2317">IFERROR(
   INDEX($AW$1:$BH$1,
      _xlfn.AGGREGATE(14, 6, COLUMN($AW$1:$BH$1)/(AW2317:BH2317&lt;&gt;""), 2) - COLUMN($AW$1) + 1
   ),
"")</f>
        <v>46082</v>
      </c>
      <c r="BN2317" s="55" cm="1">
        <f t="array" ref="BN2317">IFERROR(INDEX($AW$1:$BH$1,1,MATCH(2,1/(AW2317:BH2317&lt;&gt;""))),"")</f>
        <v>46113</v>
      </c>
      <c r="BO2317" s="53">
        <f ca="1">IFERROR(_xlfn.XLOOKUP(F2317,Apuração!A:A,Apuração!C:C)/_xlfn.XLOOKUP(F2317,Apuração!A:A,Apuração!B:B),0)</f>
        <v>0.3</v>
      </c>
      <c r="BP2317" s="53">
        <f ca="1">IFERROR(_xlfn.XLOOKUP(F2317,Apuração!A:A,Apuração!D:D)/_xlfn.XLOOKUP(F2317,Apuração!A:A,Apuração!B:B),0)</f>
        <v>0.2</v>
      </c>
      <c r="BQ2317" s="53">
        <f ca="1">IF(BK2317&gt;=BO2317,0,_xlfn.XLOOKUP(F2317,Apuração!A:A,Apuração!B:B)*(BO2317 + (1/_xlfn.XLOOKUP(F2317,Apuração!A:A,Apuração!B:B)) - BK2317))</f>
        <v>3.0000000000000004</v>
      </c>
      <c r="BR2317" s="85">
        <f t="shared" ca="1" si="2773"/>
        <v>6.0000000000000009</v>
      </c>
      <c r="BS2317" s="53">
        <f ca="1">IFERROR((_xlfn.XLOOKUP(F2317,Apuração!A:A,Apuração!C:C)+1)/_xlfn.XLOOKUP(F2317,Apuração!A:A,Apuração!B:B),0)</f>
        <v>0.4</v>
      </c>
    </row>
    <row r="2318" spans="1:71" ht="25.95" hidden="1" customHeight="1" x14ac:dyDescent="0.3">
      <c r="A2318" s="39" t="s">
        <v>33</v>
      </c>
      <c r="B2318" s="4" t="s">
        <v>73</v>
      </c>
      <c r="C2318" s="5" t="s">
        <v>221</v>
      </c>
      <c r="D2318" s="5" t="s">
        <v>36</v>
      </c>
      <c r="E2318" s="4" t="str" cm="1">
        <f t="array" ref="E2318">_xlfn.IFS(
F2318 = "A partir de Abril", "Aguardando Execução na Distribuidora",
A2318 = "CAPACITAÇÃO", "Em execução no Corporativo",
TRUE, "Em Execução na Distribuidora"
)</f>
        <v>Em Execução na Distribuidora</v>
      </c>
      <c r="F2318" s="4" t="str" cm="1">
        <f t="array" ref="F2318">_xlfn.IFS(
AG2318 &lt;&gt; "", "Jan-Dez/26",
AH2318 &lt;&gt; "", "Fev-Dez/26",
AI2318 &lt;&gt; "", "Mar-Dez/26", AJ2318 &lt;&gt; "", "Abr-Dez/26",
TRUE, "A partir de Junho"
)</f>
        <v>Mar-Dez/26</v>
      </c>
      <c r="G2318" s="6" t="s">
        <v>37</v>
      </c>
      <c r="H2318" s="7" t="s">
        <v>54</v>
      </c>
      <c r="I2318" s="9" t="s">
        <v>76</v>
      </c>
      <c r="J2318" s="8" t="str" cm="1">
        <f t="array" aca="1" ref="J2318" ca="1">_xlfn.LET(
  _xlpm.actual_value_month, INDEX(T2318:AE2318, MATCH(DATE(YEAR(TODAY()), MONTH(TODAY()), 1), $T$1:$AE$1, 0)),
  IF(_xlpm.actual_value_month &lt;&gt; "",_xlpm.actual_value_month &amp; " ações mensais", "")
)</f>
        <v/>
      </c>
      <c r="K2318" s="14" t="str" cm="1">
        <f t="array" ref="K2318">_xlfn.LET(
    _xlpm.sum_month, SUM(T2318:AE2318),
    IF(_xlpm.sum_month = 0, "", _xlpm.sum_month &amp; " pessoas impactadas no ano.")
)</f>
        <v/>
      </c>
      <c r="L2318" s="9" t="s">
        <v>76</v>
      </c>
      <c r="M2318" s="13">
        <v>1</v>
      </c>
      <c r="N2318" s="5" t="s">
        <v>51</v>
      </c>
      <c r="O2318" s="5" t="s">
        <v>52</v>
      </c>
      <c r="P2318" s="10" t="s">
        <v>44</v>
      </c>
      <c r="Q2318" s="10" t="s">
        <v>44</v>
      </c>
      <c r="R2318" s="11" t="s">
        <v>44</v>
      </c>
      <c r="S2318" s="11" t="s">
        <v>44</v>
      </c>
      <c r="T2318" s="22"/>
      <c r="U2318" s="22"/>
      <c r="V2318" s="22"/>
      <c r="W2318" s="22"/>
      <c r="X2318" s="22"/>
      <c r="Y2318" s="22"/>
      <c r="Z2318" s="22"/>
      <c r="AA2318" s="22"/>
      <c r="AB2318" s="22"/>
      <c r="AC2318" s="22"/>
      <c r="AD2318" s="22"/>
      <c r="AE2318" s="22"/>
      <c r="AG2318" s="71"/>
      <c r="AH2318" s="71"/>
      <c r="AI2318" s="71">
        <v>242</v>
      </c>
      <c r="AJ2318" s="71">
        <v>0</v>
      </c>
      <c r="AK2318" s="71"/>
      <c r="AL2318" s="71"/>
      <c r="AM2318" s="71"/>
      <c r="AN2318" s="71"/>
      <c r="AO2318" s="71"/>
      <c r="AP2318" s="71"/>
      <c r="AQ2318" s="71"/>
      <c r="AR2318" s="71"/>
      <c r="AS2318" s="94">
        <f t="shared" ca="1" si="2697"/>
        <v>0</v>
      </c>
      <c r="AT2318" s="95">
        <f>SUM(AG2318:AR2318)</f>
        <v>242</v>
      </c>
      <c r="AU2318" s="97">
        <f t="shared" si="2698"/>
        <v>242</v>
      </c>
      <c r="AW2318" s="83">
        <f>AG2318</f>
        <v>0</v>
      </c>
      <c r="AX2318" s="83">
        <f>AH2318</f>
        <v>0</v>
      </c>
      <c r="AY2318" s="83">
        <f>AI2318</f>
        <v>242</v>
      </c>
      <c r="AZ2318" s="83">
        <f>AJ2318</f>
        <v>0</v>
      </c>
      <c r="BA2318" s="52"/>
      <c r="BB2318" s="52"/>
      <c r="BC2318" s="52"/>
      <c r="BD2318" s="52"/>
      <c r="BE2318" s="52"/>
      <c r="BF2318" s="52"/>
      <c r="BG2318" s="52"/>
      <c r="BH2318" s="52"/>
      <c r="BI2318" s="68" cm="1">
        <f t="array" ref="BI2318">IFERROR(INDEX(AW2318:BH2318,1,MATCH(2,1/(AW2318:BH2318&lt;&gt;""))),"")</f>
        <v>0</v>
      </c>
      <c r="BJ2318" s="68" cm="1">
        <f t="array" ref="BJ2318">IF(BM2318 = "", "",IFERROR(INDEX(AW2318:BH2318,1,MATCH(2,1/(AW2318:BH2318&lt;&gt;""),1)-1),""))</f>
        <v>242</v>
      </c>
      <c r="BK2318" s="59">
        <f>SUM(AW2318:BH2318)</f>
        <v>242</v>
      </c>
      <c r="BL2318" s="59" cm="1">
        <f t="array" ref="BL2318">IFERROR(SUM(AW2318:INDEX(AW2318:BH2318, MATCH(2, 1/(AW2318:BH2318&lt;&gt;""), 1) - 1))/_xlfn.XLOOKUP(F2318,Apuração!A:A,Apuração!B:B),0)</f>
        <v>24.2</v>
      </c>
      <c r="BM2318" s="55" cm="1">
        <f t="array" ref="BM2318">IFERROR(
   INDEX($AW$1:$BH$1,
      _xlfn.AGGREGATE(14, 6, COLUMN($AW$1:$BH$1)/(AW2318:BH2318&lt;&gt;""), 2) - COLUMN($AW$1) + 1
   ),
"")</f>
        <v>46082</v>
      </c>
      <c r="BN2318" s="55" cm="1">
        <f t="array" ref="BN2318">IFERROR(INDEX($AW$1:$BH$1,1,MATCH(2,1/(AW2318:BH2318&lt;&gt;""))),"")</f>
        <v>46113</v>
      </c>
      <c r="BO2318" s="53">
        <f ca="1">IFERROR(_xlfn.XLOOKUP(F2318,Apuração!A:A,Apuração!C:C)/_xlfn.XLOOKUP(F2318,Apuração!A:A,Apuração!B:B),0)</f>
        <v>0.3</v>
      </c>
      <c r="BP2318" s="53">
        <f ca="1">IFERROR(_xlfn.XLOOKUP(F2318,Apuração!A:A,Apuração!D:D)/_xlfn.XLOOKUP(F2318,Apuração!A:A,Apuração!B:B),0)</f>
        <v>0.2</v>
      </c>
      <c r="BQ2318" s="53">
        <f ca="1">IF(BK2318&gt;=BO2318,0,_xlfn.XLOOKUP(F2318,Apuração!A:A,Apuração!B:B)*(BO2318 + (1/_xlfn.XLOOKUP(F2318,Apuração!A:A,Apuração!B:B)) - BK2318))</f>
        <v>0</v>
      </c>
      <c r="BR2318" s="85">
        <f t="shared" ca="1" si="2696"/>
        <v>0</v>
      </c>
      <c r="BS2318" s="53">
        <f ca="1">IFERROR((_xlfn.XLOOKUP(F2318,Apuração!A:A,Apuração!C:C)+1)/_xlfn.XLOOKUP(F2318,Apuração!A:A,Apuração!B:B),0)</f>
        <v>0.4</v>
      </c>
    </row>
    <row r="2319" spans="1:71" ht="25.95" hidden="1" customHeight="1" x14ac:dyDescent="0.3">
      <c r="A2319" s="39" t="s">
        <v>33</v>
      </c>
      <c r="B2319" s="4" t="s">
        <v>73</v>
      </c>
      <c r="C2319" s="5" t="s">
        <v>221</v>
      </c>
      <c r="D2319" s="5" t="s">
        <v>212</v>
      </c>
      <c r="E2319" s="4" t="str" cm="1">
        <f t="array" ref="E2319">_xlfn.IFS(
F2319 = "A partir de Abril", "Aguardando Execução na Distribuidora",
A2319 = "CAPACITAÇÃO", "Em execução no Corporativo",
TRUE, "Em Execução na Distribuidora"
)</f>
        <v>Em Execução na Distribuidora</v>
      </c>
      <c r="F2319" s="4" t="str" cm="1">
        <f t="array" ref="F2319">_xlfn.IFS(
AG2319 &lt;&gt; "", "Jan-Dez/26",
AH2319 &lt;&gt; "", "Fev-Dez/26",
AI2319 &lt;&gt; "", "Mar-Dez/26", AJ2319 &lt;&gt; "", "Abr-Dez/26",
TRUE, "A partir de Junho"
)</f>
        <v>Mar-Dez/26</v>
      </c>
      <c r="G2319" s="6" t="s">
        <v>37</v>
      </c>
      <c r="H2319" s="7" t="s">
        <v>54</v>
      </c>
      <c r="I2319" s="9" t="s">
        <v>76</v>
      </c>
      <c r="J2319" s="8" t="str" cm="1">
        <f t="array" aca="1" ref="J2319" ca="1">_xlfn.LET(
  _xlpm.actual_value_month, INDEX(T2319:AE2319, MATCH(DATE(YEAR(TODAY()), MONTH(TODAY()), 1), $T$1:$AE$1, 0)),
  IF(_xlpm.actual_value_month &lt;&gt; "",_xlpm.actual_value_month &amp; " ações mensais", "")
)</f>
        <v/>
      </c>
      <c r="K2319" s="14" t="str" cm="1">
        <f t="array" ref="K2319">_xlfn.LET(
    _xlpm.sum_month, SUM(T2319:AE2319),
    IF(_xlpm.sum_month = 0, "", _xlpm.sum_month &amp; " pessoas impactadas no ano.")
)</f>
        <v/>
      </c>
      <c r="L2319" s="9" t="s">
        <v>76</v>
      </c>
      <c r="M2319" s="13">
        <v>1</v>
      </c>
      <c r="N2319" s="5" t="s">
        <v>51</v>
      </c>
      <c r="O2319" s="5" t="s">
        <v>52</v>
      </c>
      <c r="P2319" s="10" t="s">
        <v>44</v>
      </c>
      <c r="Q2319" s="10" t="s">
        <v>44</v>
      </c>
      <c r="R2319" s="11" t="s">
        <v>44</v>
      </c>
      <c r="S2319" s="11" t="s">
        <v>44</v>
      </c>
      <c r="T2319" s="22"/>
      <c r="U2319" s="22"/>
      <c r="V2319" s="22"/>
      <c r="W2319" s="22"/>
      <c r="X2319" s="22"/>
      <c r="Y2319" s="22"/>
      <c r="Z2319" s="22"/>
      <c r="AA2319" s="22"/>
      <c r="AB2319" s="22"/>
      <c r="AC2319" s="22"/>
      <c r="AD2319" s="22"/>
      <c r="AE2319" s="22"/>
      <c r="AG2319" s="82"/>
      <c r="AH2319" s="82"/>
      <c r="AI2319" s="82">
        <v>73</v>
      </c>
      <c r="AJ2319" s="82">
        <v>0</v>
      </c>
      <c r="AK2319" s="71"/>
      <c r="AL2319" s="71"/>
      <c r="AM2319" s="71"/>
      <c r="AN2319" s="71"/>
      <c r="AO2319" s="71"/>
      <c r="AP2319" s="71"/>
      <c r="AQ2319" s="71"/>
      <c r="AR2319" s="71"/>
      <c r="AS2319" s="94">
        <f t="shared" ref="AS2319:AS2320" ca="1" si="2774">IF(MONTH(TODAY())=3,SUM(T2319:U2319),IF(MONTH(TODAY())=4,SUM(T2319:V2319),IF(MONTH(TODAY())=5,SUM(T2319:W2319),IF(MONTH(TODAY())=6,SUM(T2319:X2319),IF(MONTH(TODAY())=7,SUM(T2319:Y2319),IF(MONTH(TODAY())=8,SUM(T2319:Z2319),IF(MONTH(TODAY())=9,SUM(T2319:AA2319),IF(MONTH(TODAY())=10,SUM(T2319:AB2319),IF(MONTH(TODAY())=11,SUM(T2319:AC2319),IF(MONTH(TODAY())=12,SUM(T2319:AD2319),IF(MONTH(TODAY())=1,SUM(T2319:AE2319),T2319)))))))))))</f>
        <v>0</v>
      </c>
      <c r="AT2319" s="95">
        <f t="shared" ref="AT2319:AT2320" si="2775">SUM(AG2319:AR2319)</f>
        <v>73</v>
      </c>
      <c r="AU2319" s="97">
        <f t="shared" ref="AU2319:AU2320" si="2776">SUM(AG2319:AR2319)</f>
        <v>73</v>
      </c>
      <c r="AW2319" s="83">
        <f t="shared" ref="AW2319:AW2320" si="2777">AG2319</f>
        <v>0</v>
      </c>
      <c r="AX2319" s="83">
        <f t="shared" ref="AX2319:AX2320" si="2778">AH2319</f>
        <v>0</v>
      </c>
      <c r="AY2319" s="83">
        <f t="shared" ref="AY2319:AY2320" si="2779">AI2319</f>
        <v>73</v>
      </c>
      <c r="AZ2319" s="83">
        <f t="shared" ref="AZ2319:AZ2320" si="2780">AJ2319</f>
        <v>0</v>
      </c>
      <c r="BA2319" s="52"/>
      <c r="BB2319" s="52"/>
      <c r="BC2319" s="52"/>
      <c r="BD2319" s="52"/>
      <c r="BE2319" s="52"/>
      <c r="BF2319" s="52"/>
      <c r="BG2319" s="52"/>
      <c r="BH2319" s="52"/>
      <c r="BI2319" s="68" cm="1">
        <f t="array" ref="BI2319">IFERROR(INDEX(AW2319:BH2319,1,MATCH(2,1/(AW2319:BH2319&lt;&gt;""))),"")</f>
        <v>0</v>
      </c>
      <c r="BJ2319" s="68" cm="1">
        <f t="array" ref="BJ2319">IF(BM2319 = "", "",IFERROR(INDEX(AW2319:BH2319,1,MATCH(2,1/(AW2319:BH2319&lt;&gt;""),1)-1),""))</f>
        <v>73</v>
      </c>
      <c r="BK2319" s="59">
        <f t="shared" ref="BK2319:BK2320" si="2781">SUM(AW2319:BH2319)</f>
        <v>73</v>
      </c>
      <c r="BL2319" s="59" cm="1">
        <f t="array" ref="BL2319">IFERROR(SUM(AW2319:INDEX(AW2319:BH2319, MATCH(2, 1/(AW2319:BH2319&lt;&gt;""), 1) - 1))/_xlfn.XLOOKUP(F2319,Apuração!A:A,Apuração!B:B),0)</f>
        <v>7.3</v>
      </c>
      <c r="BM2319" s="55" cm="1">
        <f t="array" ref="BM2319">IFERROR(
   INDEX($AW$1:$BH$1,
      _xlfn.AGGREGATE(14, 6, COLUMN($AW$1:$BH$1)/(AW2319:BH2319&lt;&gt;""), 2) - COLUMN($AW$1) + 1
   ),
"")</f>
        <v>46082</v>
      </c>
      <c r="BN2319" s="55" cm="1">
        <f t="array" ref="BN2319">IFERROR(INDEX($AW$1:$BH$1,1,MATCH(2,1/(AW2319:BH2319&lt;&gt;""))),"")</f>
        <v>46113</v>
      </c>
      <c r="BO2319" s="53">
        <f ca="1">IFERROR(_xlfn.XLOOKUP(F2319,Apuração!A:A,Apuração!C:C)/_xlfn.XLOOKUP(F2319,Apuração!A:A,Apuração!B:B),0)</f>
        <v>0.3</v>
      </c>
      <c r="BP2319" s="53">
        <f ca="1">IFERROR(_xlfn.XLOOKUP(F2319,Apuração!A:A,Apuração!D:D)/_xlfn.XLOOKUP(F2319,Apuração!A:A,Apuração!B:B),0)</f>
        <v>0.2</v>
      </c>
      <c r="BQ2319" s="53">
        <f ca="1">IF(BK2319&gt;=BO2319,0,_xlfn.XLOOKUP(F2319,Apuração!A:A,Apuração!B:B)*(BO2319 + (1/_xlfn.XLOOKUP(F2319,Apuração!A:A,Apuração!B:B)) - BK2319))</f>
        <v>0</v>
      </c>
      <c r="BR2319" s="85">
        <f t="shared" ref="BR2319:BR2320" ca="1" si="2782">IF(BQ2319=0,0,BQ2319*Z2319)</f>
        <v>0</v>
      </c>
      <c r="BS2319" s="53">
        <f ca="1">IFERROR((_xlfn.XLOOKUP(F2319,Apuração!A:A,Apuração!C:C)+1)/_xlfn.XLOOKUP(F2319,Apuração!A:A,Apuração!B:B),0)</f>
        <v>0.4</v>
      </c>
    </row>
    <row r="2320" spans="1:71" ht="25.95" hidden="1" customHeight="1" x14ac:dyDescent="0.3">
      <c r="A2320" s="39" t="s">
        <v>33</v>
      </c>
      <c r="B2320" s="4" t="s">
        <v>73</v>
      </c>
      <c r="C2320" s="5" t="s">
        <v>221</v>
      </c>
      <c r="D2320" s="5" t="s">
        <v>213</v>
      </c>
      <c r="E2320" s="4" t="str" cm="1">
        <f t="array" ref="E2320">_xlfn.IFS(
F2320 = "A partir de Abril", "Aguardando Execução na Distribuidora",
A2320 = "CAPACITAÇÃO", "Em execução no Corporativo",
TRUE, "Em Execução na Distribuidora"
)</f>
        <v>Em Execução na Distribuidora</v>
      </c>
      <c r="F2320" s="4" t="str" cm="1">
        <f t="array" ref="F2320">_xlfn.IFS(
AG2320 &lt;&gt; "", "Jan-Dez/26",
AH2320 &lt;&gt; "", "Fev-Dez/26",
AI2320 &lt;&gt; "", "Mar-Dez/26", AJ2320 &lt;&gt; "", "Abr-Dez/26",
TRUE, "A partir de Junho"
)</f>
        <v>Mar-Dez/26</v>
      </c>
      <c r="G2320" s="6" t="s">
        <v>37</v>
      </c>
      <c r="H2320" s="7" t="s">
        <v>54</v>
      </c>
      <c r="I2320" s="9" t="s">
        <v>76</v>
      </c>
      <c r="J2320" s="8" t="str" cm="1">
        <f t="array" aca="1" ref="J2320" ca="1">_xlfn.LET(
  _xlpm.actual_value_month, INDEX(T2320:AE2320, MATCH(DATE(YEAR(TODAY()), MONTH(TODAY()), 1), $T$1:$AE$1, 0)),
  IF(_xlpm.actual_value_month &lt;&gt; "",_xlpm.actual_value_month &amp; " ações mensais", "")
)</f>
        <v/>
      </c>
      <c r="K2320" s="14" t="str" cm="1">
        <f t="array" ref="K2320">_xlfn.LET(
    _xlpm.sum_month, SUM(T2320:AE2320),
    IF(_xlpm.sum_month = 0, "", _xlpm.sum_month &amp; " pessoas impactadas no ano.")
)</f>
        <v/>
      </c>
      <c r="L2320" s="9" t="s">
        <v>76</v>
      </c>
      <c r="M2320" s="13">
        <v>1</v>
      </c>
      <c r="N2320" s="5" t="s">
        <v>51</v>
      </c>
      <c r="O2320" s="5" t="s">
        <v>52</v>
      </c>
      <c r="P2320" s="10" t="s">
        <v>44</v>
      </c>
      <c r="Q2320" s="10" t="s">
        <v>44</v>
      </c>
      <c r="R2320" s="11" t="s">
        <v>44</v>
      </c>
      <c r="S2320" s="11" t="s">
        <v>44</v>
      </c>
      <c r="T2320" s="22"/>
      <c r="U2320" s="22"/>
      <c r="V2320" s="22"/>
      <c r="W2320" s="22"/>
      <c r="X2320" s="22"/>
      <c r="Y2320" s="22"/>
      <c r="Z2320" s="22"/>
      <c r="AA2320" s="22"/>
      <c r="AB2320" s="22"/>
      <c r="AC2320" s="22"/>
      <c r="AD2320" s="22"/>
      <c r="AE2320" s="22"/>
      <c r="AG2320" s="82"/>
      <c r="AH2320" s="82"/>
      <c r="AI2320" s="82">
        <v>169</v>
      </c>
      <c r="AJ2320" s="82">
        <v>0</v>
      </c>
      <c r="AK2320" s="71"/>
      <c r="AL2320" s="71"/>
      <c r="AM2320" s="71"/>
      <c r="AN2320" s="71"/>
      <c r="AO2320" s="71"/>
      <c r="AP2320" s="71"/>
      <c r="AQ2320" s="71"/>
      <c r="AR2320" s="71"/>
      <c r="AS2320" s="94">
        <f t="shared" ca="1" si="2774"/>
        <v>0</v>
      </c>
      <c r="AT2320" s="95">
        <f t="shared" si="2775"/>
        <v>169</v>
      </c>
      <c r="AU2320" s="97">
        <f t="shared" si="2776"/>
        <v>169</v>
      </c>
      <c r="AW2320" s="83">
        <f t="shared" si="2777"/>
        <v>0</v>
      </c>
      <c r="AX2320" s="83">
        <f t="shared" si="2778"/>
        <v>0</v>
      </c>
      <c r="AY2320" s="83">
        <f t="shared" si="2779"/>
        <v>169</v>
      </c>
      <c r="AZ2320" s="83">
        <f t="shared" si="2780"/>
        <v>0</v>
      </c>
      <c r="BA2320" s="52"/>
      <c r="BB2320" s="52"/>
      <c r="BC2320" s="52"/>
      <c r="BD2320" s="52"/>
      <c r="BE2320" s="52"/>
      <c r="BF2320" s="52"/>
      <c r="BG2320" s="52"/>
      <c r="BH2320" s="52"/>
      <c r="BI2320" s="68" cm="1">
        <f t="array" ref="BI2320">IFERROR(INDEX(AW2320:BH2320,1,MATCH(2,1/(AW2320:BH2320&lt;&gt;""))),"")</f>
        <v>0</v>
      </c>
      <c r="BJ2320" s="68" cm="1">
        <f t="array" ref="BJ2320">IF(BM2320 = "", "",IFERROR(INDEX(AW2320:BH2320,1,MATCH(2,1/(AW2320:BH2320&lt;&gt;""),1)-1),""))</f>
        <v>169</v>
      </c>
      <c r="BK2320" s="59">
        <f t="shared" si="2781"/>
        <v>169</v>
      </c>
      <c r="BL2320" s="59" cm="1">
        <f t="array" ref="BL2320">IFERROR(SUM(AW2320:INDEX(AW2320:BH2320, MATCH(2, 1/(AW2320:BH2320&lt;&gt;""), 1) - 1))/_xlfn.XLOOKUP(F2320,Apuração!A:A,Apuração!B:B),0)</f>
        <v>16.899999999999999</v>
      </c>
      <c r="BM2320" s="55" cm="1">
        <f t="array" ref="BM2320">IFERROR(
   INDEX($AW$1:$BH$1,
      _xlfn.AGGREGATE(14, 6, COLUMN($AW$1:$BH$1)/(AW2320:BH2320&lt;&gt;""), 2) - COLUMN($AW$1) + 1
   ),
"")</f>
        <v>46082</v>
      </c>
      <c r="BN2320" s="55" cm="1">
        <f t="array" ref="BN2320">IFERROR(INDEX($AW$1:$BH$1,1,MATCH(2,1/(AW2320:BH2320&lt;&gt;""))),"")</f>
        <v>46113</v>
      </c>
      <c r="BO2320" s="53">
        <f ca="1">IFERROR(_xlfn.XLOOKUP(F2320,Apuração!A:A,Apuração!C:C)/_xlfn.XLOOKUP(F2320,Apuração!A:A,Apuração!B:B),0)</f>
        <v>0.3</v>
      </c>
      <c r="BP2320" s="53">
        <f ca="1">IFERROR(_xlfn.XLOOKUP(F2320,Apuração!A:A,Apuração!D:D)/_xlfn.XLOOKUP(F2320,Apuração!A:A,Apuração!B:B),0)</f>
        <v>0.2</v>
      </c>
      <c r="BQ2320" s="53">
        <f ca="1">IF(BK2320&gt;=BO2320,0,_xlfn.XLOOKUP(F2320,Apuração!A:A,Apuração!B:B)*(BO2320 + (1/_xlfn.XLOOKUP(F2320,Apuração!A:A,Apuração!B:B)) - BK2320))</f>
        <v>0</v>
      </c>
      <c r="BR2320" s="85">
        <f t="shared" ca="1" si="2782"/>
        <v>0</v>
      </c>
      <c r="BS2320" s="53">
        <f ca="1">IFERROR((_xlfn.XLOOKUP(F2320,Apuração!A:A,Apuração!C:C)+1)/_xlfn.XLOOKUP(F2320,Apuração!A:A,Apuração!B:B),0)</f>
        <v>0.4</v>
      </c>
    </row>
    <row r="2321" spans="1:71" ht="25.95" hidden="1" customHeight="1" x14ac:dyDescent="0.3">
      <c r="A2321" s="3" t="s">
        <v>33</v>
      </c>
      <c r="B2321" s="4" t="s">
        <v>77</v>
      </c>
      <c r="C2321" s="5" t="s">
        <v>221</v>
      </c>
      <c r="D2321" s="5" t="s">
        <v>36</v>
      </c>
      <c r="E2321" s="4" t="str" cm="1">
        <f t="array" ref="E2321">_xlfn.IFS(
F2321 = "A partir de Abril", "Aguardando Execução na Distribuidora",
A2321 = "CAPACITAÇÃO", "Em execução no Corporativo",
TRUE, "Em Execução na Distribuidora"
)</f>
        <v>Em Execução na Distribuidora</v>
      </c>
      <c r="F2321" s="4" t="str" cm="1">
        <f t="array" ref="F2321">_xlfn.IFS(
AG2321 &lt;&gt; "", "Jan-Dez/26",
AH2321 &lt;&gt; "", "Fev-Dez/26",
AI2321 &lt;&gt; "", "Mar-Dez/26", AJ2321 &lt;&gt; "", "Abr-Dez/26",
TRUE, "A partir de Junho"
)</f>
        <v>Jan-Dez/26</v>
      </c>
      <c r="G2321" s="4" t="s">
        <v>37</v>
      </c>
      <c r="H2321" s="7" t="s">
        <v>38</v>
      </c>
      <c r="I2321" s="8" t="s">
        <v>78</v>
      </c>
      <c r="J2321" s="8" t="str" cm="1">
        <f t="array" aca="1" ref="J2321" ca="1">_xlfn.LET(
  _xlpm.actual_value_month, INDEX(T2321:AE2321, MATCH(DATE(YEAR(TODAY()), MONTH(TODAY()), 1), $T$1:$AE$1, 0)),
  IF(_xlpm.actual_value_month &lt;&gt; "",_xlpm.actual_value_month &amp; " eventos mensais", "")
)</f>
        <v>8 eventos mensais</v>
      </c>
      <c r="K2321" s="8" t="str" cm="1">
        <f t="array" ref="K2321">_xlfn.LET(
    _xlpm.sum_month, SUM(T2321:AE2321),
    IF(_xlpm.sum_month = 0, "", _xlpm.sum_month &amp; " eventos no ano.")
)</f>
        <v>126 eventos no ano.</v>
      </c>
      <c r="L2321" s="9" t="s">
        <v>56</v>
      </c>
      <c r="M2321" s="13" t="s">
        <v>79</v>
      </c>
      <c r="N2321" s="5" t="s">
        <v>42</v>
      </c>
      <c r="O2321" s="5" t="s">
        <v>43</v>
      </c>
      <c r="P2321" s="10" t="s">
        <v>44</v>
      </c>
      <c r="Q2321" s="10" t="s">
        <v>44</v>
      </c>
      <c r="R2321" s="11" t="s">
        <v>44</v>
      </c>
      <c r="S2321" s="11" t="s">
        <v>44</v>
      </c>
      <c r="T2321" s="22">
        <v>15</v>
      </c>
      <c r="U2321" s="22">
        <v>19</v>
      </c>
      <c r="V2321" s="22">
        <v>20</v>
      </c>
      <c r="W2321" s="22">
        <v>8</v>
      </c>
      <c r="X2321" s="22">
        <v>8</v>
      </c>
      <c r="Y2321" s="22">
        <v>8</v>
      </c>
      <c r="Z2321" s="22">
        <v>8</v>
      </c>
      <c r="AA2321" s="22">
        <v>8</v>
      </c>
      <c r="AB2321" s="22">
        <v>8</v>
      </c>
      <c r="AC2321" s="22">
        <v>8</v>
      </c>
      <c r="AD2321" s="22">
        <v>8</v>
      </c>
      <c r="AE2321" s="22">
        <v>8</v>
      </c>
      <c r="AG2321" s="71">
        <v>15</v>
      </c>
      <c r="AH2321" s="71">
        <v>19</v>
      </c>
      <c r="AI2321" s="71">
        <v>20</v>
      </c>
      <c r="AJ2321" s="71">
        <v>4</v>
      </c>
      <c r="AK2321" s="71"/>
      <c r="AL2321" s="71"/>
      <c r="AM2321" s="71"/>
      <c r="AN2321" s="71"/>
      <c r="AO2321" s="71"/>
      <c r="AP2321" s="71"/>
      <c r="AQ2321" s="71"/>
      <c r="AR2321" s="71"/>
      <c r="AS2321" s="94">
        <f t="shared" ca="1" si="2697"/>
        <v>70</v>
      </c>
      <c r="AT2321" s="95">
        <f>SUM(IF(AW2321&lt;1.15,AG2321,1.15*T2321),IF(AX2321&lt;1.15,AH2321,1.15*U2321),IF(AY2321&lt;1.15,AI2321,1.15*V2321),IF(AZ2321&lt;1.15,AJ2321,1.15*W2321),IF(BA2321&lt;1.15,AK2321,1.15*X2321),IF(BB2321&lt;1.15,AL2321,1.15*Y2321),IF(BC2321&lt;1.15,AM2321,1.15*Z2321),IF(BD2321&lt;1.15,AN2321,1.15*AA2321),IF(BE2321&lt;1.15,AO2321,1.15*AB2321),IF(BF2321&lt;1.15,AP2321,1.15*AC2321),IF(BG2321&lt;1.15,AQ2321,1.15*AD2321),IF(BH2321&lt;1.15,AR2321,1.15*AE2321))</f>
        <v>58</v>
      </c>
      <c r="AU2321" s="97">
        <f t="shared" si="2698"/>
        <v>58</v>
      </c>
      <c r="AW2321" s="51">
        <f>IFERROR(IF(AG2321="",0,AG2321/T2321),0)</f>
        <v>1</v>
      </c>
      <c r="AX2321" s="51">
        <f>IFERROR(IF(AH2321="",0,AH2321/U2321),0)</f>
        <v>1</v>
      </c>
      <c r="AY2321" s="51">
        <f>IFERROR(IF(AI2321="",0,AI2321/V2321),0)</f>
        <v>1</v>
      </c>
      <c r="AZ2321" s="51">
        <f>IFERROR(IF(AJ2321="",0,AJ2321/W2321),0)</f>
        <v>0.5</v>
      </c>
      <c r="BA2321" s="51"/>
      <c r="BB2321" s="51"/>
      <c r="BC2321" s="51"/>
      <c r="BD2321" s="51"/>
      <c r="BE2321" s="51"/>
      <c r="BF2321" s="51"/>
      <c r="BG2321" s="51"/>
      <c r="BH2321" s="51"/>
      <c r="BI2321" s="65" cm="1">
        <f t="array" ref="BI2321">IFERROR(INDEX(AW2321:BH2321,1,MATCH(2,1/(AW2321:BH2321&lt;&gt;""))),"")</f>
        <v>0.5</v>
      </c>
      <c r="BJ2321" s="68" cm="1">
        <f t="array" ref="BJ2321">IF(BM2321 = "", "",IFERROR(INDEX(AW2321:BH2321,1,MATCH(2,1/(AW2321:BH2321&lt;&gt;""),1)-1),""))</f>
        <v>1</v>
      </c>
      <c r="BK2321" s="58">
        <f>IF((IF(AW2321&gt;=115%,115%,AW2321) + IF(AX2321&gt;=115%,115%,AX2321) + IF(AY2321&gt;=115%,115%,AY2321) + (IF(AZ2321&gt;=115%,115%,AZ2321) + IF(BA2321&gt;=125%,125%,BA2321) + IF(BB2321&gt;=115%,115%,BB2321) + IF(BC2321&gt;=115%,115%,BC2321) + IF(BD2321&gt;=115%,115%,BD2321) + IF(BE2321&gt;=115%,115%,BE2321) + IF(BF2321&gt;=115%,115%,BF2321) + IF(BG2321&gt;=115%,115%,BG2321) + IF(BH2321&gt;=115%,115%,BH2321)))/_xlfn.XLOOKUP(F2321,Apuração!A:A,Apuração!B:B)&gt;=1.15,1.15,((IF(AZ2321&gt;=115%,115%,AZ2321) + IF(AX2321&gt;=115%,115%,AX2321) + IF(AY2321&gt;=115%,115%,AY2321) + (IF(AW2321&gt;=115%,115%,AW2321) + IF(BA2321&gt;=125%,125%,BA2321) + IF(BB2321&gt;=115%,115%,BB2321) + IF(BC2321&gt;=115%,115%,BC2321) + IF(BD2321&gt;=115%,115%,BD2321) + IF(BE2321&gt;=115%,115%,BE2321) + IF(BF2321&gt;=115%,115%,BF2321) + IF(BG2321&gt;=115%,115%,BG2321) + IF(BH2321&gt;=115%,115%,BH2321)))/_xlfn.XLOOKUP(F2321,Apuração!A:A,Apuração!B:B)))</f>
        <v>0.29166666666666669</v>
      </c>
      <c r="BL2321" s="58" cm="1">
        <f t="array" aca="1" ref="BL2321" ca="1">IF(SUM(IFERROR(IF(INDEX(AW2321:INDEX(AW2321:BH2321, MATCH(2, 1/(AW2321:BH2321&lt;&gt;""), 1)-1), ROW(INDIRECT("1:" &amp; MATCH(2, 1/(AW2321:BH2321&lt;&gt;""), 1)-1))) &gt;= 115%, 115%, INDEX(AW2321:INDEX(AW2321:BH2321, MATCH(2, 1/(AW2321:BH2321&lt;&gt;""), 1)-1), ROW(INDIRECT("1:" &amp; MATCH(2, 1/(AW2321:BH2321&lt;&gt;""), 1)-1)))), 0))/_xlfn.XLOOKUP(F2321,Apuração!A:A,Apuração!B:B)&gt;=1.15,1.15,SUM(IFERROR(IF(INDEX(AW2321:INDEX(AW2321:BH2321, MATCH(2, 1/(AW2321:BH2321&lt;&gt;""), 1)-1), ROW(INDIRECT("1:" &amp; MATCH(2, 1/(AW2321:BH2321&lt;&gt;""), 1)-1))) &gt;= 115%, 115%, INDEX(AW2321:INDEX(AW2321:BH2321, MATCH(2, 1/(AW2321:BH2321&lt;&gt;""), 1)-1), ROW(INDIRECT("1:" &amp; MATCH(2, 1/(AW2321:BH2321&lt;&gt;""), 1)-1)))), 0))/_xlfn.XLOOKUP(F2321,Apuração!A:A,Apuração!B:B))</f>
        <v>0.25</v>
      </c>
      <c r="BM2321" s="55" cm="1">
        <f t="array" ref="BM2321">IFERROR(
   INDEX($AW$1:$BH$1,
      _xlfn.AGGREGATE(14, 6, COLUMN($AW$1:$BH$1)/(AW2321:BH2321&lt;&gt;""), 2) - COLUMN($AW$1) + 1
   ),
"")</f>
        <v>46082</v>
      </c>
      <c r="BN2321" s="55" cm="1">
        <f t="array" ref="BN2321">IFERROR(INDEX($AW$1:$BH$1,1,MATCH(2,1/(AW2321:BH2321&lt;&gt;""))),"")</f>
        <v>46113</v>
      </c>
      <c r="BO2321" s="53">
        <f ca="1">IFERROR(_xlfn.XLOOKUP(F2321,Apuração!A:A,Apuração!C:C)/_xlfn.XLOOKUP(F2321,Apuração!A:A,Apuração!B:B),0)</f>
        <v>0.41666666666666669</v>
      </c>
      <c r="BP2321" s="53">
        <f ca="1">IFERROR(_xlfn.XLOOKUP(F2321,Apuração!A:A,Apuração!D:D)/_xlfn.XLOOKUP(F2321,Apuração!A:A,Apuração!B:B),0)</f>
        <v>0.33333333333333331</v>
      </c>
      <c r="BQ2321" s="53">
        <f ca="1">IF(BK2321&gt;=BO2321,0,_xlfn.XLOOKUP(F2321,Apuração!A:A,Apuração!B:B)*(BO2321 + (1/_xlfn.XLOOKUP(F2321,Apuração!A:A,Apuração!B:B)) - BK2321))</f>
        <v>2.5</v>
      </c>
      <c r="BR2321" s="85">
        <f t="shared" ca="1" si="2696"/>
        <v>20</v>
      </c>
      <c r="BS2321" s="53">
        <f ca="1">IFERROR((_xlfn.XLOOKUP(F2321,Apuração!A:A,Apuração!C:C)+1)/_xlfn.XLOOKUP(F2321,Apuração!A:A,Apuração!B:B),0)</f>
        <v>0.5</v>
      </c>
    </row>
    <row r="2322" spans="1:71" ht="25.95" hidden="1" customHeight="1" x14ac:dyDescent="0.3">
      <c r="A2322" s="3" t="s">
        <v>33</v>
      </c>
      <c r="B2322" s="4" t="s">
        <v>77</v>
      </c>
      <c r="C2322" s="5" t="s">
        <v>221</v>
      </c>
      <c r="D2322" s="5" t="s">
        <v>212</v>
      </c>
      <c r="E2322" s="4" t="str" cm="1">
        <f t="array" ref="E2322">_xlfn.IFS(
F2322 = "A partir de Abril", "Aguardando Execução na Distribuidora",
A2322 = "CAPACITAÇÃO", "Em execução no Corporativo",
TRUE, "Em Execução na Distribuidora"
)</f>
        <v>Em Execução na Distribuidora</v>
      </c>
      <c r="F2322" s="4" t="str" cm="1">
        <f t="array" ref="F2322">_xlfn.IFS(
AG2322 &lt;&gt; "", "Jan-Dez/26",
AH2322 &lt;&gt; "", "Fev-Dez/26",
AI2322 &lt;&gt; "", "Mar-Dez/26", AJ2322 &lt;&gt; "", "Abr-Dez/26",
TRUE, "A partir de Junho"
)</f>
        <v>Jan-Dez/26</v>
      </c>
      <c r="G2322" s="4" t="s">
        <v>37</v>
      </c>
      <c r="H2322" s="7" t="s">
        <v>38</v>
      </c>
      <c r="I2322" s="8" t="s">
        <v>78</v>
      </c>
      <c r="J2322" s="8" t="str" cm="1">
        <f t="array" aca="1" ref="J2322" ca="1">_xlfn.LET(
  _xlpm.actual_value_month, INDEX(T2322:AE2322, MATCH(DATE(YEAR(TODAY()), MONTH(TODAY()), 1), $T$1:$AE$1, 0)),
  IF(_xlpm.actual_value_month &lt;&gt; "",_xlpm.actual_value_month &amp; " eventos mensais", "")
)</f>
        <v>4 eventos mensais</v>
      </c>
      <c r="K2322" s="8" t="str" cm="1">
        <f t="array" ref="K2322">_xlfn.LET(
    _xlpm.sum_month, SUM(T2322:AE2322),
    IF(_xlpm.sum_month = 0, "", _xlpm.sum_month &amp; " eventos no ano.")
)</f>
        <v>60 eventos no ano.</v>
      </c>
      <c r="L2322" s="9" t="s">
        <v>56</v>
      </c>
      <c r="M2322" s="13" t="s">
        <v>79</v>
      </c>
      <c r="N2322" s="5" t="s">
        <v>42</v>
      </c>
      <c r="O2322" s="5" t="s">
        <v>43</v>
      </c>
      <c r="P2322" s="10" t="s">
        <v>44</v>
      </c>
      <c r="Q2322" s="10" t="s">
        <v>44</v>
      </c>
      <c r="R2322" s="11" t="s">
        <v>44</v>
      </c>
      <c r="S2322" s="11" t="s">
        <v>44</v>
      </c>
      <c r="T2322" s="143">
        <v>5</v>
      </c>
      <c r="U2322" s="143">
        <v>9</v>
      </c>
      <c r="V2322" s="143">
        <v>10</v>
      </c>
      <c r="W2322" s="143">
        <v>4</v>
      </c>
      <c r="X2322" s="143">
        <v>4</v>
      </c>
      <c r="Y2322" s="143">
        <v>4</v>
      </c>
      <c r="Z2322" s="143">
        <v>4</v>
      </c>
      <c r="AA2322" s="143">
        <v>4</v>
      </c>
      <c r="AB2322" s="143">
        <v>4</v>
      </c>
      <c r="AC2322" s="143">
        <v>4</v>
      </c>
      <c r="AD2322" s="143">
        <v>4</v>
      </c>
      <c r="AE2322" s="143">
        <v>4</v>
      </c>
      <c r="AG2322" s="82">
        <v>5</v>
      </c>
      <c r="AH2322" s="82">
        <v>9</v>
      </c>
      <c r="AI2322" s="82">
        <v>10</v>
      </c>
      <c r="AJ2322" s="82">
        <v>4</v>
      </c>
      <c r="AK2322" s="71"/>
      <c r="AL2322" s="71"/>
      <c r="AM2322" s="71"/>
      <c r="AN2322" s="71"/>
      <c r="AO2322" s="71"/>
      <c r="AP2322" s="71"/>
      <c r="AQ2322" s="71"/>
      <c r="AR2322" s="71"/>
      <c r="AS2322" s="94">
        <f t="shared" ref="AS2322:AS2323" ca="1" si="2783">IF(MONTH(TODAY())=3,SUM(T2322:U2322),IF(MONTH(TODAY())=4,SUM(T2322:V2322),IF(MONTH(TODAY())=5,SUM(T2322:W2322),IF(MONTH(TODAY())=6,SUM(T2322:X2322),IF(MONTH(TODAY())=7,SUM(T2322:Y2322),IF(MONTH(TODAY())=8,SUM(T2322:Z2322),IF(MONTH(TODAY())=9,SUM(T2322:AA2322),IF(MONTH(TODAY())=10,SUM(T2322:AB2322),IF(MONTH(TODAY())=11,SUM(T2322:AC2322),IF(MONTH(TODAY())=12,SUM(T2322:AD2322),IF(MONTH(TODAY())=1,SUM(T2322:AE2322),T2322)))))))))))</f>
        <v>32</v>
      </c>
      <c r="AT2322" s="95">
        <f t="shared" ref="AT2322:AT2323" si="2784">SUM(IF(AW2322&lt;1.15,AG2322,1.15*T2322),IF(AX2322&lt;1.15,AH2322,1.15*U2322),IF(AY2322&lt;1.15,AI2322,1.15*V2322),IF(AZ2322&lt;1.15,AJ2322,1.15*W2322),IF(BA2322&lt;1.15,AK2322,1.15*X2322),IF(BB2322&lt;1.15,AL2322,1.15*Y2322),IF(BC2322&lt;1.15,AM2322,1.15*Z2322),IF(BD2322&lt;1.15,AN2322,1.15*AA2322),IF(BE2322&lt;1.15,AO2322,1.15*AB2322),IF(BF2322&lt;1.15,AP2322,1.15*AC2322),IF(BG2322&lt;1.15,AQ2322,1.15*AD2322),IF(BH2322&lt;1.15,AR2322,1.15*AE2322))</f>
        <v>28</v>
      </c>
      <c r="AU2322" s="97">
        <f t="shared" ref="AU2322:AU2323" si="2785">SUM(AG2322:AR2322)</f>
        <v>28</v>
      </c>
      <c r="AW2322" s="51">
        <f t="shared" ref="AW2322:AW2323" si="2786">IFERROR(IF(AG2322="",0,AG2322/T2322),0)</f>
        <v>1</v>
      </c>
      <c r="AX2322" s="51">
        <f t="shared" ref="AX2322:AX2323" si="2787">IFERROR(IF(AH2322="",0,AH2322/U2322),0)</f>
        <v>1</v>
      </c>
      <c r="AY2322" s="51">
        <f t="shared" ref="AY2322:AY2323" si="2788">IFERROR(IF(AI2322="",0,AI2322/V2322),0)</f>
        <v>1</v>
      </c>
      <c r="AZ2322" s="51">
        <f t="shared" ref="AZ2322:AZ2323" si="2789">IFERROR(IF(AJ2322="",0,AJ2322/W2322),0)</f>
        <v>1</v>
      </c>
      <c r="BA2322" s="51"/>
      <c r="BB2322" s="51"/>
      <c r="BC2322" s="51"/>
      <c r="BD2322" s="51"/>
      <c r="BE2322" s="51"/>
      <c r="BF2322" s="51"/>
      <c r="BG2322" s="51"/>
      <c r="BH2322" s="51"/>
      <c r="BI2322" s="65" cm="1">
        <f t="array" ref="BI2322">IFERROR(INDEX(AW2322:BH2322,1,MATCH(2,1/(AW2322:BH2322&lt;&gt;""))),"")</f>
        <v>1</v>
      </c>
      <c r="BJ2322" s="68" cm="1">
        <f t="array" ref="BJ2322">IF(BM2322 = "", "",IFERROR(INDEX(AW2322:BH2322,1,MATCH(2,1/(AW2322:BH2322&lt;&gt;""),1)-1),""))</f>
        <v>1</v>
      </c>
      <c r="BK2322" s="58">
        <f>IF((IF(AW2322&gt;=115%,115%,AW2322) + IF(AX2322&gt;=115%,115%,AX2322) + IF(AY2322&gt;=115%,115%,AY2322) + (IF(AZ2322&gt;=115%,115%,AZ2322) + IF(BA2322&gt;=125%,125%,BA2322) + IF(BB2322&gt;=115%,115%,BB2322) + IF(BC2322&gt;=115%,115%,BC2322) + IF(BD2322&gt;=115%,115%,BD2322) + IF(BE2322&gt;=115%,115%,BE2322) + IF(BF2322&gt;=115%,115%,BF2322) + IF(BG2322&gt;=115%,115%,BG2322) + IF(BH2322&gt;=115%,115%,BH2322)))/_xlfn.XLOOKUP(F2322,Apuração!A:A,Apuração!B:B)&gt;=1.15,1.15,((IF(AZ2322&gt;=115%,115%,AZ2322) + IF(AX2322&gt;=115%,115%,AX2322) + IF(AY2322&gt;=115%,115%,AY2322) + (IF(AW2322&gt;=115%,115%,AW2322) + IF(BA2322&gt;=125%,125%,BA2322) + IF(BB2322&gt;=115%,115%,BB2322) + IF(BC2322&gt;=115%,115%,BC2322) + IF(BD2322&gt;=115%,115%,BD2322) + IF(BE2322&gt;=115%,115%,BE2322) + IF(BF2322&gt;=115%,115%,BF2322) + IF(BG2322&gt;=115%,115%,BG2322) + IF(BH2322&gt;=115%,115%,BH2322)))/_xlfn.XLOOKUP(F2322,Apuração!A:A,Apuração!B:B)))</f>
        <v>0.33333333333333331</v>
      </c>
      <c r="BL2322" s="58" cm="1">
        <f t="array" aca="1" ref="BL2322" ca="1">IF(SUM(IFERROR(IF(INDEX(AW2322:INDEX(AW2322:BH2322, MATCH(2, 1/(AW2322:BH2322&lt;&gt;""), 1)-1), ROW(INDIRECT("1:" &amp; MATCH(2, 1/(AW2322:BH2322&lt;&gt;""), 1)-1))) &gt;= 115%, 115%, INDEX(AW2322:INDEX(AW2322:BH2322, MATCH(2, 1/(AW2322:BH2322&lt;&gt;""), 1)-1), ROW(INDIRECT("1:" &amp; MATCH(2, 1/(AW2322:BH2322&lt;&gt;""), 1)-1)))), 0))/_xlfn.XLOOKUP(F2322,Apuração!A:A,Apuração!B:B)&gt;=1.15,1.15,SUM(IFERROR(IF(INDEX(AW2322:INDEX(AW2322:BH2322, MATCH(2, 1/(AW2322:BH2322&lt;&gt;""), 1)-1), ROW(INDIRECT("1:" &amp; MATCH(2, 1/(AW2322:BH2322&lt;&gt;""), 1)-1))) &gt;= 115%, 115%, INDEX(AW2322:INDEX(AW2322:BH2322, MATCH(2, 1/(AW2322:BH2322&lt;&gt;""), 1)-1), ROW(INDIRECT("1:" &amp; MATCH(2, 1/(AW2322:BH2322&lt;&gt;""), 1)-1)))), 0))/_xlfn.XLOOKUP(F2322,Apuração!A:A,Apuração!B:B))</f>
        <v>0.25</v>
      </c>
      <c r="BM2322" s="55" cm="1">
        <f t="array" ref="BM2322">IFERROR(
   INDEX($AW$1:$BH$1,
      _xlfn.AGGREGATE(14, 6, COLUMN($AW$1:$BH$1)/(AW2322:BH2322&lt;&gt;""), 2) - COLUMN($AW$1) + 1
   ),
"")</f>
        <v>46082</v>
      </c>
      <c r="BN2322" s="55" cm="1">
        <f t="array" ref="BN2322">IFERROR(INDEX($AW$1:$BH$1,1,MATCH(2,1/(AW2322:BH2322&lt;&gt;""))),"")</f>
        <v>46113</v>
      </c>
      <c r="BO2322" s="53">
        <f ca="1">IFERROR(_xlfn.XLOOKUP(F2322,Apuração!A:A,Apuração!C:C)/_xlfn.XLOOKUP(F2322,Apuração!A:A,Apuração!B:B),0)</f>
        <v>0.41666666666666669</v>
      </c>
      <c r="BP2322" s="53">
        <f ca="1">IFERROR(_xlfn.XLOOKUP(F2322,Apuração!A:A,Apuração!D:D)/_xlfn.XLOOKUP(F2322,Apuração!A:A,Apuração!B:B),0)</f>
        <v>0.33333333333333331</v>
      </c>
      <c r="BQ2322" s="53">
        <f ca="1">IF(BK2322&gt;=BO2322,0,_xlfn.XLOOKUP(F2322,Apuração!A:A,Apuração!B:B)*(BO2322 + (1/_xlfn.XLOOKUP(F2322,Apuração!A:A,Apuração!B:B)) - BK2322))</f>
        <v>2</v>
      </c>
      <c r="BR2322" s="85">
        <f t="shared" ref="BR2322:BR2323" ca="1" si="2790">IF(BQ2322=0,0,BQ2322*Z2322)</f>
        <v>8</v>
      </c>
      <c r="BS2322" s="53">
        <f ca="1">IFERROR((_xlfn.XLOOKUP(F2322,Apuração!A:A,Apuração!C:C)+1)/_xlfn.XLOOKUP(F2322,Apuração!A:A,Apuração!B:B),0)</f>
        <v>0.5</v>
      </c>
    </row>
    <row r="2323" spans="1:71" ht="25.95" hidden="1" customHeight="1" x14ac:dyDescent="0.3">
      <c r="A2323" s="3" t="s">
        <v>33</v>
      </c>
      <c r="B2323" s="4" t="s">
        <v>77</v>
      </c>
      <c r="C2323" s="5" t="s">
        <v>221</v>
      </c>
      <c r="D2323" s="5" t="s">
        <v>213</v>
      </c>
      <c r="E2323" s="4" t="str" cm="1">
        <f t="array" ref="E2323">_xlfn.IFS(
F2323 = "A partir de Abril", "Aguardando Execução na Distribuidora",
A2323 = "CAPACITAÇÃO", "Em execução no Corporativo",
TRUE, "Em Execução na Distribuidora"
)</f>
        <v>Em Execução na Distribuidora</v>
      </c>
      <c r="F2323" s="4" t="str" cm="1">
        <f t="array" ref="F2323">_xlfn.IFS(
AG2323 &lt;&gt; "", "Jan-Dez/26",
AH2323 &lt;&gt; "", "Fev-Dez/26",
AI2323 &lt;&gt; "", "Mar-Dez/26", AJ2323 &lt;&gt; "", "Abr-Dez/26",
TRUE, "A partir de Junho"
)</f>
        <v>Jan-Dez/26</v>
      </c>
      <c r="G2323" s="4" t="s">
        <v>37</v>
      </c>
      <c r="H2323" s="7" t="s">
        <v>38</v>
      </c>
      <c r="I2323" s="8" t="s">
        <v>78</v>
      </c>
      <c r="J2323" s="8" t="str" cm="1">
        <f t="array" aca="1" ref="J2323" ca="1">_xlfn.LET(
  _xlpm.actual_value_month, INDEX(T2323:AE2323, MATCH(DATE(YEAR(TODAY()), MONTH(TODAY()), 1), $T$1:$AE$1, 0)),
  IF(_xlpm.actual_value_month &lt;&gt; "",_xlpm.actual_value_month &amp; " eventos mensais", "")
)</f>
        <v>4 eventos mensais</v>
      </c>
      <c r="K2323" s="8" t="str" cm="1">
        <f t="array" ref="K2323">_xlfn.LET(
    _xlpm.sum_month, SUM(T2323:AE2323),
    IF(_xlpm.sum_month = 0, "", _xlpm.sum_month &amp; " eventos no ano.")
)</f>
        <v>66 eventos no ano.</v>
      </c>
      <c r="L2323" s="9" t="s">
        <v>56</v>
      </c>
      <c r="M2323" s="13" t="s">
        <v>79</v>
      </c>
      <c r="N2323" s="5" t="s">
        <v>42</v>
      </c>
      <c r="O2323" s="5" t="s">
        <v>43</v>
      </c>
      <c r="P2323" s="10" t="s">
        <v>44</v>
      </c>
      <c r="Q2323" s="10" t="s">
        <v>44</v>
      </c>
      <c r="R2323" s="11" t="s">
        <v>44</v>
      </c>
      <c r="S2323" s="11" t="s">
        <v>44</v>
      </c>
      <c r="T2323" s="143">
        <v>10</v>
      </c>
      <c r="U2323" s="143">
        <v>10</v>
      </c>
      <c r="V2323" s="143">
        <v>10</v>
      </c>
      <c r="W2323" s="143">
        <v>4</v>
      </c>
      <c r="X2323" s="143">
        <v>4</v>
      </c>
      <c r="Y2323" s="143">
        <v>4</v>
      </c>
      <c r="Z2323" s="143">
        <v>4</v>
      </c>
      <c r="AA2323" s="143">
        <v>4</v>
      </c>
      <c r="AB2323" s="143">
        <v>4</v>
      </c>
      <c r="AC2323" s="143">
        <v>4</v>
      </c>
      <c r="AD2323" s="143">
        <v>4</v>
      </c>
      <c r="AE2323" s="143">
        <v>4</v>
      </c>
      <c r="AG2323" s="82">
        <v>10</v>
      </c>
      <c r="AH2323" s="82">
        <v>10</v>
      </c>
      <c r="AI2323" s="82">
        <v>10</v>
      </c>
      <c r="AJ2323" s="82">
        <v>0</v>
      </c>
      <c r="AK2323" s="71"/>
      <c r="AL2323" s="71"/>
      <c r="AM2323" s="71"/>
      <c r="AN2323" s="71"/>
      <c r="AO2323" s="71"/>
      <c r="AP2323" s="71"/>
      <c r="AQ2323" s="71"/>
      <c r="AR2323" s="71"/>
      <c r="AS2323" s="94">
        <f t="shared" ca="1" si="2783"/>
        <v>38</v>
      </c>
      <c r="AT2323" s="95">
        <f t="shared" si="2784"/>
        <v>30</v>
      </c>
      <c r="AU2323" s="97">
        <f t="shared" si="2785"/>
        <v>30</v>
      </c>
      <c r="AW2323" s="51">
        <f t="shared" si="2786"/>
        <v>1</v>
      </c>
      <c r="AX2323" s="51">
        <f t="shared" si="2787"/>
        <v>1</v>
      </c>
      <c r="AY2323" s="51">
        <f t="shared" si="2788"/>
        <v>1</v>
      </c>
      <c r="AZ2323" s="51">
        <f t="shared" si="2789"/>
        <v>0</v>
      </c>
      <c r="BA2323" s="51"/>
      <c r="BB2323" s="51"/>
      <c r="BC2323" s="51"/>
      <c r="BD2323" s="51"/>
      <c r="BE2323" s="51"/>
      <c r="BF2323" s="51"/>
      <c r="BG2323" s="51"/>
      <c r="BH2323" s="51"/>
      <c r="BI2323" s="65" cm="1">
        <f t="array" ref="BI2323">IFERROR(INDEX(AW2323:BH2323,1,MATCH(2,1/(AW2323:BH2323&lt;&gt;""))),"")</f>
        <v>0</v>
      </c>
      <c r="BJ2323" s="68" cm="1">
        <f t="array" ref="BJ2323">IF(BM2323 = "", "",IFERROR(INDEX(AW2323:BH2323,1,MATCH(2,1/(AW2323:BH2323&lt;&gt;""),1)-1),""))</f>
        <v>1</v>
      </c>
      <c r="BK2323" s="58">
        <f>IF((IF(AW2323&gt;=115%,115%,AW2323) + IF(AX2323&gt;=115%,115%,AX2323) + IF(AY2323&gt;=115%,115%,AY2323) + (IF(AZ2323&gt;=115%,115%,AZ2323) + IF(BA2323&gt;=125%,125%,BA2323) + IF(BB2323&gt;=115%,115%,BB2323) + IF(BC2323&gt;=115%,115%,BC2323) + IF(BD2323&gt;=115%,115%,BD2323) + IF(BE2323&gt;=115%,115%,BE2323) + IF(BF2323&gt;=115%,115%,BF2323) + IF(BG2323&gt;=115%,115%,BG2323) + IF(BH2323&gt;=115%,115%,BH2323)))/_xlfn.XLOOKUP(F2323,Apuração!A:A,Apuração!B:B)&gt;=1.15,1.15,((IF(AZ2323&gt;=115%,115%,AZ2323) + IF(AX2323&gt;=115%,115%,AX2323) + IF(AY2323&gt;=115%,115%,AY2323) + (IF(AW2323&gt;=115%,115%,AW2323) + IF(BA2323&gt;=125%,125%,BA2323) + IF(BB2323&gt;=115%,115%,BB2323) + IF(BC2323&gt;=115%,115%,BC2323) + IF(BD2323&gt;=115%,115%,BD2323) + IF(BE2323&gt;=115%,115%,BE2323) + IF(BF2323&gt;=115%,115%,BF2323) + IF(BG2323&gt;=115%,115%,BG2323) + IF(BH2323&gt;=115%,115%,BH2323)))/_xlfn.XLOOKUP(F2323,Apuração!A:A,Apuração!B:B)))</f>
        <v>0.25</v>
      </c>
      <c r="BL2323" s="58" cm="1">
        <f t="array" aca="1" ref="BL2323" ca="1">IF(SUM(IFERROR(IF(INDEX(AW2323:INDEX(AW2323:BH2323, MATCH(2, 1/(AW2323:BH2323&lt;&gt;""), 1)-1), ROW(INDIRECT("1:" &amp; MATCH(2, 1/(AW2323:BH2323&lt;&gt;""), 1)-1))) &gt;= 115%, 115%, INDEX(AW2323:INDEX(AW2323:BH2323, MATCH(2, 1/(AW2323:BH2323&lt;&gt;""), 1)-1), ROW(INDIRECT("1:" &amp; MATCH(2, 1/(AW2323:BH2323&lt;&gt;""), 1)-1)))), 0))/_xlfn.XLOOKUP(F2323,Apuração!A:A,Apuração!B:B)&gt;=1.15,1.15,SUM(IFERROR(IF(INDEX(AW2323:INDEX(AW2323:BH2323, MATCH(2, 1/(AW2323:BH2323&lt;&gt;""), 1)-1), ROW(INDIRECT("1:" &amp; MATCH(2, 1/(AW2323:BH2323&lt;&gt;""), 1)-1))) &gt;= 115%, 115%, INDEX(AW2323:INDEX(AW2323:BH2323, MATCH(2, 1/(AW2323:BH2323&lt;&gt;""), 1)-1), ROW(INDIRECT("1:" &amp; MATCH(2, 1/(AW2323:BH2323&lt;&gt;""), 1)-1)))), 0))/_xlfn.XLOOKUP(F2323,Apuração!A:A,Apuração!B:B))</f>
        <v>0.25</v>
      </c>
      <c r="BM2323" s="55" cm="1">
        <f t="array" ref="BM2323">IFERROR(
   INDEX($AW$1:$BH$1,
      _xlfn.AGGREGATE(14, 6, COLUMN($AW$1:$BH$1)/(AW2323:BH2323&lt;&gt;""), 2) - COLUMN($AW$1) + 1
   ),
"")</f>
        <v>46082</v>
      </c>
      <c r="BN2323" s="55" cm="1">
        <f t="array" ref="BN2323">IFERROR(INDEX($AW$1:$BH$1,1,MATCH(2,1/(AW2323:BH2323&lt;&gt;""))),"")</f>
        <v>46113</v>
      </c>
      <c r="BO2323" s="53">
        <f ca="1">IFERROR(_xlfn.XLOOKUP(F2323,Apuração!A:A,Apuração!C:C)/_xlfn.XLOOKUP(F2323,Apuração!A:A,Apuração!B:B),0)</f>
        <v>0.41666666666666669</v>
      </c>
      <c r="BP2323" s="53">
        <f ca="1">IFERROR(_xlfn.XLOOKUP(F2323,Apuração!A:A,Apuração!D:D)/_xlfn.XLOOKUP(F2323,Apuração!A:A,Apuração!B:B),0)</f>
        <v>0.33333333333333331</v>
      </c>
      <c r="BQ2323" s="53">
        <f ca="1">IF(BK2323&gt;=BO2323,0,_xlfn.XLOOKUP(F2323,Apuração!A:A,Apuração!B:B)*(BO2323 + (1/_xlfn.XLOOKUP(F2323,Apuração!A:A,Apuração!B:B)) - BK2323))</f>
        <v>3</v>
      </c>
      <c r="BR2323" s="85">
        <f t="shared" ca="1" si="2790"/>
        <v>12</v>
      </c>
      <c r="BS2323" s="53">
        <f ca="1">IFERROR((_xlfn.XLOOKUP(F2323,Apuração!A:A,Apuração!C:C)+1)/_xlfn.XLOOKUP(F2323,Apuração!A:A,Apuração!B:B),0)</f>
        <v>0.5</v>
      </c>
    </row>
    <row r="2324" spans="1:71" ht="25.95" hidden="1" customHeight="1" x14ac:dyDescent="0.3">
      <c r="A2324" s="39" t="s">
        <v>33</v>
      </c>
      <c r="B2324" s="4" t="s">
        <v>77</v>
      </c>
      <c r="C2324" s="5" t="s">
        <v>221</v>
      </c>
      <c r="D2324" s="5" t="s">
        <v>36</v>
      </c>
      <c r="E2324" s="4" t="str" cm="1">
        <f t="array" ref="E2324">_xlfn.IFS(
F2324 = "A partir de Abril", "Aguardando Execução na Distribuidora",
A2324 = "CAPACITAÇÃO", "Em execução no Corporativo",
TRUE, "Em Execução na Distribuidora"
)</f>
        <v>Em Execução na Distribuidora</v>
      </c>
      <c r="F2324" s="4" t="str" cm="1">
        <f t="array" ref="F2324">_xlfn.IFS(
AG2324 &lt;&gt; "", "Jan-Dez/26",
AH2324 &lt;&gt; "", "Fev-Dez/26",
AI2324 &lt;&gt; "", "Mar-Dez/26", AJ2324 &lt;&gt; "", "Abr-Dez/26",
TRUE, "A partir de Junho"
)</f>
        <v>Jan-Dez/26</v>
      </c>
      <c r="G2324" s="4" t="s">
        <v>37</v>
      </c>
      <c r="H2324" s="7" t="s">
        <v>38</v>
      </c>
      <c r="I2324" s="9" t="s">
        <v>76</v>
      </c>
      <c r="J2324" s="8" t="str" cm="1">
        <f t="array" aca="1" ref="J2324" ca="1">_xlfn.LET(
  _xlpm.actual_value_month, INDEX(T2324:AE2324, MATCH(DATE(YEAR(TODAY()), MONTH(TODAY()), 1), $T$1:$AE$1, 0)),
  IF(_xlpm.actual_value_month &lt;&gt; "",_xlpm.actual_value_month &amp; " ações mensais", "")
)</f>
        <v/>
      </c>
      <c r="K2324" s="8" t="str" cm="1">
        <f t="array" ref="K2324">_xlfn.LET(
    _xlpm.sum_month, SUM(T2324:AE2324),
    IF(_xlpm.sum_month = 0, "", _xlpm.sum_month &amp; " pessoas impactadas no ano.")
)</f>
        <v/>
      </c>
      <c r="L2324" s="9" t="s">
        <v>76</v>
      </c>
      <c r="M2324" s="19">
        <v>1</v>
      </c>
      <c r="N2324" s="5" t="s">
        <v>51</v>
      </c>
      <c r="O2324" s="5" t="s">
        <v>52</v>
      </c>
      <c r="P2324" s="10" t="s">
        <v>44</v>
      </c>
      <c r="Q2324" s="10" t="s">
        <v>44</v>
      </c>
      <c r="R2324" s="11" t="s">
        <v>44</v>
      </c>
      <c r="S2324" s="11" t="s">
        <v>44</v>
      </c>
      <c r="T2324" s="22"/>
      <c r="U2324" s="22"/>
      <c r="V2324" s="22"/>
      <c r="W2324" s="22"/>
      <c r="X2324" s="22"/>
      <c r="Y2324" s="22"/>
      <c r="Z2324" s="22"/>
      <c r="AA2324" s="22"/>
      <c r="AB2324" s="22"/>
      <c r="AC2324" s="22"/>
      <c r="AD2324" s="22"/>
      <c r="AE2324" s="22"/>
      <c r="AG2324" s="71">
        <v>4068</v>
      </c>
      <c r="AH2324" s="71">
        <v>7930</v>
      </c>
      <c r="AI2324" s="71">
        <v>3918</v>
      </c>
      <c r="AJ2324" s="71">
        <v>0</v>
      </c>
      <c r="AK2324" s="71"/>
      <c r="AL2324" s="71"/>
      <c r="AM2324" s="71"/>
      <c r="AN2324" s="71"/>
      <c r="AO2324" s="71"/>
      <c r="AP2324" s="71"/>
      <c r="AQ2324" s="71"/>
      <c r="AR2324" s="71"/>
      <c r="AS2324" s="94">
        <f t="shared" ca="1" si="2697"/>
        <v>0</v>
      </c>
      <c r="AT2324" s="95">
        <f>SUM(AG2324:AR2324)</f>
        <v>15916</v>
      </c>
      <c r="AU2324" s="97">
        <f t="shared" si="2698"/>
        <v>15916</v>
      </c>
      <c r="AW2324" s="83">
        <f>AG2324</f>
        <v>4068</v>
      </c>
      <c r="AX2324" s="83">
        <f>AH2324</f>
        <v>7930</v>
      </c>
      <c r="AY2324" s="83">
        <f>AI2324</f>
        <v>3918</v>
      </c>
      <c r="AZ2324" s="83">
        <f>AJ2324</f>
        <v>0</v>
      </c>
      <c r="BA2324" s="83"/>
      <c r="BB2324" s="83"/>
      <c r="BC2324" s="83"/>
      <c r="BD2324" s="83"/>
      <c r="BE2324" s="83"/>
      <c r="BF2324" s="83"/>
      <c r="BG2324" s="83"/>
      <c r="BH2324" s="83"/>
      <c r="BI2324" s="68" cm="1">
        <f t="array" ref="BI2324">IFERROR(INDEX(AW2324:BH2324,1,MATCH(2,1/(AW2324:BH2324&lt;&gt;""))),"")</f>
        <v>0</v>
      </c>
      <c r="BJ2324" s="68" cm="1">
        <f t="array" ref="BJ2324">IF(BM2324 = "", "",IFERROR(INDEX(AW2324:BH2324,1,MATCH(2,1/(AW2324:BH2324&lt;&gt;""),1)-1),""))</f>
        <v>3918</v>
      </c>
      <c r="BK2324" s="59">
        <f>SUM(AW2324:BH2324)</f>
        <v>15916</v>
      </c>
      <c r="BL2324" s="59" cm="1">
        <f t="array" ref="BL2324">IFERROR(SUM(AW2324:INDEX(AW2324:BH2324, MATCH(2, 1/(AW2324:BH2324&lt;&gt;""), 1) - 1))/_xlfn.XLOOKUP(F2324,Apuração!A:A,Apuração!B:B),0)</f>
        <v>1326.3333333333333</v>
      </c>
      <c r="BM2324" s="55" cm="1">
        <f t="array" ref="BM2324">IFERROR(
   INDEX($AW$1:$BH$1,
      _xlfn.AGGREGATE(14, 6, COLUMN($AW$1:$BH$1)/(AW2324:BH2324&lt;&gt;""), 2) - COLUMN($AW$1) + 1
   ),
"")</f>
        <v>46082</v>
      </c>
      <c r="BN2324" s="55" cm="1">
        <f t="array" ref="BN2324">IFERROR(INDEX($AW$1:$BH$1,1,MATCH(2,1/(AW2324:BH2324&lt;&gt;""))),"")</f>
        <v>46113</v>
      </c>
      <c r="BO2324" s="53">
        <f ca="1">IFERROR(_xlfn.XLOOKUP(F2324,Apuração!A:A,Apuração!C:C)/_xlfn.XLOOKUP(F2324,Apuração!A:A,Apuração!B:B),0)</f>
        <v>0.41666666666666669</v>
      </c>
      <c r="BP2324" s="53">
        <f ca="1">IFERROR(_xlfn.XLOOKUP(F2324,Apuração!A:A,Apuração!D:D)/_xlfn.XLOOKUP(F2324,Apuração!A:A,Apuração!B:B),0)</f>
        <v>0.33333333333333331</v>
      </c>
      <c r="BQ2324" s="53">
        <f ca="1">IF(BK2324&gt;=BO2324,0,_xlfn.XLOOKUP(F2324,Apuração!A:A,Apuração!B:B)*(BO2324 + (1/_xlfn.XLOOKUP(F2324,Apuração!A:A,Apuração!B:B)) - BK2324))</f>
        <v>0</v>
      </c>
      <c r="BR2324" s="85">
        <f t="shared" ca="1" si="2696"/>
        <v>0</v>
      </c>
      <c r="BS2324" s="53">
        <f ca="1">IFERROR((_xlfn.XLOOKUP(F2324,Apuração!A:A,Apuração!C:C)+1)/_xlfn.XLOOKUP(F2324,Apuração!A:A,Apuração!B:B),0)</f>
        <v>0.5</v>
      </c>
    </row>
    <row r="2325" spans="1:71" ht="25.95" hidden="1" customHeight="1" x14ac:dyDescent="0.3">
      <c r="A2325" s="39" t="s">
        <v>33</v>
      </c>
      <c r="B2325" s="4" t="s">
        <v>77</v>
      </c>
      <c r="C2325" s="5" t="s">
        <v>221</v>
      </c>
      <c r="D2325" s="5" t="s">
        <v>212</v>
      </c>
      <c r="E2325" s="4" t="str" cm="1">
        <f t="array" ref="E2325">_xlfn.IFS(
F2325 = "A partir de Abril", "Aguardando Execução na Distribuidora",
A2325 = "CAPACITAÇÃO", "Em execução no Corporativo",
TRUE, "Em Execução na Distribuidora"
)</f>
        <v>Em Execução na Distribuidora</v>
      </c>
      <c r="F2325" s="4" t="str" cm="1">
        <f t="array" ref="F2325">_xlfn.IFS(
AG2325 &lt;&gt; "", "Jan-Dez/26",
AH2325 &lt;&gt; "", "Fev-Dez/26",
AI2325 &lt;&gt; "", "Mar-Dez/26", AJ2325 &lt;&gt; "", "Abr-Dez/26",
TRUE, "A partir de Junho"
)</f>
        <v>Jan-Dez/26</v>
      </c>
      <c r="G2325" s="4" t="s">
        <v>37</v>
      </c>
      <c r="H2325" s="7" t="s">
        <v>38</v>
      </c>
      <c r="I2325" s="9" t="s">
        <v>76</v>
      </c>
      <c r="J2325" s="8" t="str" cm="1">
        <f t="array" aca="1" ref="J2325" ca="1">_xlfn.LET(
  _xlpm.actual_value_month, INDEX(T2325:AE2325, MATCH(DATE(YEAR(TODAY()), MONTH(TODAY()), 1), $T$1:$AE$1, 0)),
  IF(_xlpm.actual_value_month &lt;&gt; "",_xlpm.actual_value_month &amp; " ações mensais", "")
)</f>
        <v/>
      </c>
      <c r="K2325" s="8" t="str" cm="1">
        <f t="array" ref="K2325">_xlfn.LET(
    _xlpm.sum_month, SUM(T2325:AE2325),
    IF(_xlpm.sum_month = 0, "", _xlpm.sum_month &amp; " pessoas impactadas no ano.")
)</f>
        <v/>
      </c>
      <c r="L2325" s="9" t="s">
        <v>76</v>
      </c>
      <c r="M2325" s="19">
        <v>1</v>
      </c>
      <c r="N2325" s="5" t="s">
        <v>51</v>
      </c>
      <c r="O2325" s="5" t="s">
        <v>52</v>
      </c>
      <c r="P2325" s="10" t="s">
        <v>44</v>
      </c>
      <c r="Q2325" s="10" t="s">
        <v>44</v>
      </c>
      <c r="R2325" s="11" t="s">
        <v>44</v>
      </c>
      <c r="S2325" s="11" t="s">
        <v>44</v>
      </c>
      <c r="T2325" s="22"/>
      <c r="U2325" s="22"/>
      <c r="V2325" s="22"/>
      <c r="W2325" s="22"/>
      <c r="X2325" s="22"/>
      <c r="Y2325" s="22"/>
      <c r="Z2325" s="22"/>
      <c r="AA2325" s="22"/>
      <c r="AB2325" s="22"/>
      <c r="AC2325" s="22"/>
      <c r="AD2325" s="22"/>
      <c r="AE2325" s="22"/>
      <c r="AG2325" s="154">
        <v>2130</v>
      </c>
      <c r="AH2325" s="149">
        <v>483</v>
      </c>
      <c r="AI2325" s="149">
        <v>775</v>
      </c>
      <c r="AJ2325" s="149">
        <v>293</v>
      </c>
      <c r="AK2325" s="71"/>
      <c r="AL2325" s="71"/>
      <c r="AM2325" s="71"/>
      <c r="AN2325" s="71"/>
      <c r="AO2325" s="71"/>
      <c r="AP2325" s="71"/>
      <c r="AQ2325" s="71"/>
      <c r="AR2325" s="71"/>
      <c r="AS2325" s="94">
        <f t="shared" ref="AS2325:AS2326" ca="1" si="2791">IF(MONTH(TODAY())=3,SUM(T2325:U2325),IF(MONTH(TODAY())=4,SUM(T2325:V2325),IF(MONTH(TODAY())=5,SUM(T2325:W2325),IF(MONTH(TODAY())=6,SUM(T2325:X2325),IF(MONTH(TODAY())=7,SUM(T2325:Y2325),IF(MONTH(TODAY())=8,SUM(T2325:Z2325),IF(MONTH(TODAY())=9,SUM(T2325:AA2325),IF(MONTH(TODAY())=10,SUM(T2325:AB2325),IF(MONTH(TODAY())=11,SUM(T2325:AC2325),IF(MONTH(TODAY())=12,SUM(T2325:AD2325),IF(MONTH(TODAY())=1,SUM(T2325:AE2325),T2325)))))))))))</f>
        <v>0</v>
      </c>
      <c r="AT2325" s="95">
        <f t="shared" ref="AT2325:AT2326" si="2792">SUM(AG2325:AR2325)</f>
        <v>3681</v>
      </c>
      <c r="AU2325" s="97">
        <f t="shared" ref="AU2325:AU2326" si="2793">SUM(AG2325:AR2325)</f>
        <v>3681</v>
      </c>
      <c r="AW2325" s="83">
        <f t="shared" ref="AW2325:AW2326" si="2794">AG2325</f>
        <v>2130</v>
      </c>
      <c r="AX2325" s="83">
        <f t="shared" ref="AX2325:AX2326" si="2795">AH2325</f>
        <v>483</v>
      </c>
      <c r="AY2325" s="83">
        <f t="shared" ref="AY2325:AY2326" si="2796">AI2325</f>
        <v>775</v>
      </c>
      <c r="AZ2325" s="83">
        <f t="shared" ref="AZ2325:AZ2326" si="2797">AJ2325</f>
        <v>293</v>
      </c>
      <c r="BA2325" s="83"/>
      <c r="BB2325" s="83"/>
      <c r="BC2325" s="83"/>
      <c r="BD2325" s="83"/>
      <c r="BE2325" s="83"/>
      <c r="BF2325" s="83"/>
      <c r="BG2325" s="83"/>
      <c r="BH2325" s="83"/>
      <c r="BI2325" s="68" cm="1">
        <f t="array" ref="BI2325">IFERROR(INDEX(AW2325:BH2325,1,MATCH(2,1/(AW2325:BH2325&lt;&gt;""))),"")</f>
        <v>293</v>
      </c>
      <c r="BJ2325" s="68" cm="1">
        <f t="array" ref="BJ2325">IF(BM2325 = "", "",IFERROR(INDEX(AW2325:BH2325,1,MATCH(2,1/(AW2325:BH2325&lt;&gt;""),1)-1),""))</f>
        <v>775</v>
      </c>
      <c r="BK2325" s="59">
        <f t="shared" ref="BK2325:BK2326" si="2798">SUM(AW2325:BH2325)</f>
        <v>3681</v>
      </c>
      <c r="BL2325" s="59" cm="1">
        <f t="array" ref="BL2325">IFERROR(SUM(AW2325:INDEX(AW2325:BH2325, MATCH(2, 1/(AW2325:BH2325&lt;&gt;""), 1) - 1))/_xlfn.XLOOKUP(F2325,Apuração!A:A,Apuração!B:B),0)</f>
        <v>282.33333333333331</v>
      </c>
      <c r="BM2325" s="55" cm="1">
        <f t="array" ref="BM2325">IFERROR(
   INDEX($AW$1:$BH$1,
      _xlfn.AGGREGATE(14, 6, COLUMN($AW$1:$BH$1)/(AW2325:BH2325&lt;&gt;""), 2) - COLUMN($AW$1) + 1
   ),
"")</f>
        <v>46082</v>
      </c>
      <c r="BN2325" s="55" cm="1">
        <f t="array" ref="BN2325">IFERROR(INDEX($AW$1:$BH$1,1,MATCH(2,1/(AW2325:BH2325&lt;&gt;""))),"")</f>
        <v>46113</v>
      </c>
      <c r="BO2325" s="53">
        <f ca="1">IFERROR(_xlfn.XLOOKUP(F2325,Apuração!A:A,Apuração!C:C)/_xlfn.XLOOKUP(F2325,Apuração!A:A,Apuração!B:B),0)</f>
        <v>0.41666666666666669</v>
      </c>
      <c r="BP2325" s="53">
        <f ca="1">IFERROR(_xlfn.XLOOKUP(F2325,Apuração!A:A,Apuração!D:D)/_xlfn.XLOOKUP(F2325,Apuração!A:A,Apuração!B:B),0)</f>
        <v>0.33333333333333331</v>
      </c>
      <c r="BQ2325" s="53">
        <f ca="1">IF(BK2325&gt;=BO2325,0,_xlfn.XLOOKUP(F2325,Apuração!A:A,Apuração!B:B)*(BO2325 + (1/_xlfn.XLOOKUP(F2325,Apuração!A:A,Apuração!B:B)) - BK2325))</f>
        <v>0</v>
      </c>
      <c r="BR2325" s="85">
        <f t="shared" ref="BR2325:BR2326" ca="1" si="2799">IF(BQ2325=0,0,BQ2325*Z2325)</f>
        <v>0</v>
      </c>
      <c r="BS2325" s="53">
        <f ca="1">IFERROR((_xlfn.XLOOKUP(F2325,Apuração!A:A,Apuração!C:C)+1)/_xlfn.XLOOKUP(F2325,Apuração!A:A,Apuração!B:B),0)</f>
        <v>0.5</v>
      </c>
    </row>
    <row r="2326" spans="1:71" ht="25.95" hidden="1" customHeight="1" x14ac:dyDescent="0.3">
      <c r="A2326" s="39" t="s">
        <v>33</v>
      </c>
      <c r="B2326" s="4" t="s">
        <v>77</v>
      </c>
      <c r="C2326" s="5" t="s">
        <v>221</v>
      </c>
      <c r="D2326" s="5" t="s">
        <v>213</v>
      </c>
      <c r="E2326" s="4" t="str" cm="1">
        <f t="array" ref="E2326">_xlfn.IFS(
F2326 = "A partir de Abril", "Aguardando Execução na Distribuidora",
A2326 = "CAPACITAÇÃO", "Em execução no Corporativo",
TRUE, "Em Execução na Distribuidora"
)</f>
        <v>Em Execução na Distribuidora</v>
      </c>
      <c r="F2326" s="4" t="str" cm="1">
        <f t="array" ref="F2326">_xlfn.IFS(
AG2326 &lt;&gt; "", "Jan-Dez/26",
AH2326 &lt;&gt; "", "Fev-Dez/26",
AI2326 &lt;&gt; "", "Mar-Dez/26", AJ2326 &lt;&gt; "", "Abr-Dez/26",
TRUE, "A partir de Junho"
)</f>
        <v>Jan-Dez/26</v>
      </c>
      <c r="G2326" s="4" t="s">
        <v>37</v>
      </c>
      <c r="H2326" s="7" t="s">
        <v>38</v>
      </c>
      <c r="I2326" s="9" t="s">
        <v>76</v>
      </c>
      <c r="J2326" s="8" t="str" cm="1">
        <f t="array" aca="1" ref="J2326" ca="1">_xlfn.LET(
  _xlpm.actual_value_month, INDEX(T2326:AE2326, MATCH(DATE(YEAR(TODAY()), MONTH(TODAY()), 1), $T$1:$AE$1, 0)),
  IF(_xlpm.actual_value_month &lt;&gt; "",_xlpm.actual_value_month &amp; " ações mensais", "")
)</f>
        <v/>
      </c>
      <c r="K2326" s="8" t="str" cm="1">
        <f t="array" ref="K2326">_xlfn.LET(
    _xlpm.sum_month, SUM(T2326:AE2326),
    IF(_xlpm.sum_month = 0, "", _xlpm.sum_month &amp; " pessoas impactadas no ano.")
)</f>
        <v/>
      </c>
      <c r="L2326" s="9" t="s">
        <v>76</v>
      </c>
      <c r="M2326" s="19">
        <v>1</v>
      </c>
      <c r="N2326" s="5" t="s">
        <v>51</v>
      </c>
      <c r="O2326" s="5" t="s">
        <v>52</v>
      </c>
      <c r="P2326" s="10" t="s">
        <v>44</v>
      </c>
      <c r="Q2326" s="10" t="s">
        <v>44</v>
      </c>
      <c r="R2326" s="11" t="s">
        <v>44</v>
      </c>
      <c r="S2326" s="11" t="s">
        <v>44</v>
      </c>
      <c r="T2326" s="22"/>
      <c r="U2326" s="22"/>
      <c r="V2326" s="22"/>
      <c r="W2326" s="22"/>
      <c r="X2326" s="22"/>
      <c r="Y2326" s="22"/>
      <c r="Z2326" s="22"/>
      <c r="AA2326" s="22"/>
      <c r="AB2326" s="22"/>
      <c r="AC2326" s="22"/>
      <c r="AD2326" s="22"/>
      <c r="AE2326" s="22"/>
      <c r="AG2326" s="154">
        <v>1938</v>
      </c>
      <c r="AH2326" s="153">
        <v>7447</v>
      </c>
      <c r="AI2326" s="153">
        <v>3143</v>
      </c>
      <c r="AJ2326" s="149">
        <v>0</v>
      </c>
      <c r="AK2326" s="71"/>
      <c r="AL2326" s="71"/>
      <c r="AM2326" s="71"/>
      <c r="AN2326" s="71"/>
      <c r="AO2326" s="71"/>
      <c r="AP2326" s="71"/>
      <c r="AQ2326" s="71"/>
      <c r="AR2326" s="71"/>
      <c r="AS2326" s="94">
        <f t="shared" ca="1" si="2791"/>
        <v>0</v>
      </c>
      <c r="AT2326" s="95">
        <f t="shared" si="2792"/>
        <v>12528</v>
      </c>
      <c r="AU2326" s="97">
        <f t="shared" si="2793"/>
        <v>12528</v>
      </c>
      <c r="AW2326" s="83">
        <f t="shared" si="2794"/>
        <v>1938</v>
      </c>
      <c r="AX2326" s="83">
        <f t="shared" si="2795"/>
        <v>7447</v>
      </c>
      <c r="AY2326" s="83">
        <f t="shared" si="2796"/>
        <v>3143</v>
      </c>
      <c r="AZ2326" s="83">
        <f t="shared" si="2797"/>
        <v>0</v>
      </c>
      <c r="BA2326" s="83"/>
      <c r="BB2326" s="83"/>
      <c r="BC2326" s="83"/>
      <c r="BD2326" s="83"/>
      <c r="BE2326" s="83"/>
      <c r="BF2326" s="83"/>
      <c r="BG2326" s="83"/>
      <c r="BH2326" s="83"/>
      <c r="BI2326" s="68" cm="1">
        <f t="array" ref="BI2326">IFERROR(INDEX(AW2326:BH2326,1,MATCH(2,1/(AW2326:BH2326&lt;&gt;""))),"")</f>
        <v>0</v>
      </c>
      <c r="BJ2326" s="68" cm="1">
        <f t="array" ref="BJ2326">IF(BM2326 = "", "",IFERROR(INDEX(AW2326:BH2326,1,MATCH(2,1/(AW2326:BH2326&lt;&gt;""),1)-1),""))</f>
        <v>3143</v>
      </c>
      <c r="BK2326" s="59">
        <f t="shared" si="2798"/>
        <v>12528</v>
      </c>
      <c r="BL2326" s="59" cm="1">
        <f t="array" ref="BL2326">IFERROR(SUM(AW2326:INDEX(AW2326:BH2326, MATCH(2, 1/(AW2326:BH2326&lt;&gt;""), 1) - 1))/_xlfn.XLOOKUP(F2326,Apuração!A:A,Apuração!B:B),0)</f>
        <v>1044</v>
      </c>
      <c r="BM2326" s="55" cm="1">
        <f t="array" ref="BM2326">IFERROR(
   INDEX($AW$1:$BH$1,
      _xlfn.AGGREGATE(14, 6, COLUMN($AW$1:$BH$1)/(AW2326:BH2326&lt;&gt;""), 2) - COLUMN($AW$1) + 1
   ),
"")</f>
        <v>46082</v>
      </c>
      <c r="BN2326" s="55" cm="1">
        <f t="array" ref="BN2326">IFERROR(INDEX($AW$1:$BH$1,1,MATCH(2,1/(AW2326:BH2326&lt;&gt;""))),"")</f>
        <v>46113</v>
      </c>
      <c r="BO2326" s="53">
        <f ca="1">IFERROR(_xlfn.XLOOKUP(F2326,Apuração!A:A,Apuração!C:C)/_xlfn.XLOOKUP(F2326,Apuração!A:A,Apuração!B:B),0)</f>
        <v>0.41666666666666669</v>
      </c>
      <c r="BP2326" s="53">
        <f ca="1">IFERROR(_xlfn.XLOOKUP(F2326,Apuração!A:A,Apuração!D:D)/_xlfn.XLOOKUP(F2326,Apuração!A:A,Apuração!B:B),0)</f>
        <v>0.33333333333333331</v>
      </c>
      <c r="BQ2326" s="53">
        <f ca="1">IF(BK2326&gt;=BO2326,0,_xlfn.XLOOKUP(F2326,Apuração!A:A,Apuração!B:B)*(BO2326 + (1/_xlfn.XLOOKUP(F2326,Apuração!A:A,Apuração!B:B)) - BK2326))</f>
        <v>0</v>
      </c>
      <c r="BR2326" s="85">
        <f t="shared" ca="1" si="2799"/>
        <v>0</v>
      </c>
      <c r="BS2326" s="53">
        <f ca="1">IFERROR((_xlfn.XLOOKUP(F2326,Apuração!A:A,Apuração!C:C)+1)/_xlfn.XLOOKUP(F2326,Apuração!A:A,Apuração!B:B),0)</f>
        <v>0.5</v>
      </c>
    </row>
    <row r="2327" spans="1:71" ht="25.95" hidden="1" customHeight="1" x14ac:dyDescent="0.3">
      <c r="A2327" s="3" t="s">
        <v>33</v>
      </c>
      <c r="B2327" s="4" t="s">
        <v>81</v>
      </c>
      <c r="C2327" s="5" t="s">
        <v>221</v>
      </c>
      <c r="D2327" s="5" t="s">
        <v>36</v>
      </c>
      <c r="E2327" s="4" t="s">
        <v>61</v>
      </c>
      <c r="F2327" s="4" t="str" cm="1">
        <f t="array" ref="F2327">_xlfn.IFS(
AG2327 &lt;&gt; "", "Jan-Dez/26",
AH2327 &lt;&gt; "", "Fev-Dez/26",
AI2327 &lt;&gt; "", "Mar-Dez/26", AJ2327 &lt;&gt; "", "Abr-Dez/26",
TRUE, "A partir de Junho"
)</f>
        <v>A partir de Junho</v>
      </c>
      <c r="G2327" s="6" t="s">
        <v>62</v>
      </c>
      <c r="H2327" s="7" t="s">
        <v>54</v>
      </c>
      <c r="I2327" s="8" t="s">
        <v>55</v>
      </c>
      <c r="J2327" s="8" t="str" cm="1">
        <f t="array" aca="1" ref="J2327" ca="1">_xlfn.LET(
  _xlpm.actual_value_month, INDEX(T2327:AE2327, MATCH(DATE(YEAR(TODAY()), MONTH(TODAY()), 1), $T$1:$AE$1, 0)),
  IF(_xlpm.actual_value_month &lt;&gt; "",_xlpm.actual_value_month &amp; " eventos mensais", "")
)</f>
        <v>4 eventos mensais</v>
      </c>
      <c r="K2327" s="8" t="str" cm="1">
        <f t="array" ref="K2327">_xlfn.LET(
    _xlpm.sum_month, SUM(T2327:AE2327),
    IF(_xlpm.sum_month = 0, "", _xlpm.sum_month &amp; "  eventos no ano")
)</f>
        <v>36  eventos no ano</v>
      </c>
      <c r="L2327" s="9" t="s">
        <v>82</v>
      </c>
      <c r="M2327" s="13" t="s">
        <v>83</v>
      </c>
      <c r="N2327" s="5" t="s">
        <v>42</v>
      </c>
      <c r="O2327" s="5" t="s">
        <v>43</v>
      </c>
      <c r="P2327" s="10" t="s">
        <v>44</v>
      </c>
      <c r="Q2327" s="10" t="s">
        <v>44</v>
      </c>
      <c r="R2327" s="11" t="s">
        <v>44</v>
      </c>
      <c r="S2327" s="11" t="s">
        <v>44</v>
      </c>
      <c r="T2327" s="22"/>
      <c r="U2327" s="22"/>
      <c r="V2327" s="22"/>
      <c r="W2327" s="22">
        <v>4</v>
      </c>
      <c r="X2327" s="22">
        <v>4</v>
      </c>
      <c r="Y2327" s="22">
        <v>4</v>
      </c>
      <c r="Z2327" s="22">
        <v>4</v>
      </c>
      <c r="AA2327" s="22">
        <v>4</v>
      </c>
      <c r="AB2327" s="22">
        <v>4</v>
      </c>
      <c r="AC2327" s="22">
        <v>4</v>
      </c>
      <c r="AD2327" s="22">
        <v>4</v>
      </c>
      <c r="AE2327" s="22">
        <v>4</v>
      </c>
      <c r="AG2327" s="71"/>
      <c r="AH2327" s="71"/>
      <c r="AI2327" s="71"/>
      <c r="AJ2327" s="71"/>
      <c r="AK2327" s="71"/>
      <c r="AL2327" s="71"/>
      <c r="AM2327" s="71"/>
      <c r="AN2327" s="71"/>
      <c r="AO2327" s="71"/>
      <c r="AP2327" s="71"/>
      <c r="AQ2327" s="71"/>
      <c r="AR2327" s="71"/>
      <c r="AS2327" s="94">
        <f t="shared" ca="1" si="2697"/>
        <v>8</v>
      </c>
      <c r="AT2327" s="95">
        <f>SUM(IF(AW2327&lt;1.15,AG2327,1.15*T2327),IF(AX2327&lt;1.15,AH2327,1.15*U2327),IF(AY2327&lt;1.15,AI2327,1.15*V2327),IF(AZ2327&lt;1.15,AJ2327,1.15*W2327),IF(BA2327&lt;1.15,AK2327,1.15*X2327),IF(BB2327&lt;1.15,AL2327,1.15*Y2327),IF(BC2327&lt;1.15,AM2327,1.15*Z2327),IF(BD2327&lt;1.15,AN2327,1.15*AA2327),IF(BE2327&lt;1.15,AO2327,1.15*AB2327),IF(BF2327&lt;1.15,AP2327,1.15*AC2327),IF(BG2327&lt;1.15,AQ2327,1.15*AD2327),IF(BH2327&lt;1.15,AR2327,1.15*AE2327))</f>
        <v>0</v>
      </c>
      <c r="AU2327" s="97">
        <f t="shared" si="2698"/>
        <v>0</v>
      </c>
      <c r="AW2327" s="51">
        <f>IFERROR(IF(AG2327="",0,AG2327/T2327),0)</f>
        <v>0</v>
      </c>
      <c r="AX2327" s="51">
        <f>IFERROR(IF(AH2327="",0,AH2327/U2327),0)</f>
        <v>0</v>
      </c>
      <c r="AY2327" s="51">
        <f>IFERROR(IF(AI2327="",0,AI2327/V2327),0)</f>
        <v>0</v>
      </c>
      <c r="AZ2327" s="51">
        <f>IFERROR(IF(AJ2327="",0,AJ2327/W2327),0)</f>
        <v>0</v>
      </c>
      <c r="BA2327" s="51"/>
      <c r="BB2327" s="51"/>
      <c r="BC2327" s="51"/>
      <c r="BD2327" s="51"/>
      <c r="BE2327" s="51"/>
      <c r="BF2327" s="51"/>
      <c r="BG2327" s="51"/>
      <c r="BH2327" s="51"/>
      <c r="BI2327" s="65" cm="1">
        <f t="array" ref="BI2327">IFERROR(INDEX(AW2327:BH2327,1,MATCH(2,1/(AW2327:BH2327&lt;&gt;""))),"")</f>
        <v>0</v>
      </c>
      <c r="BJ2327" s="68" cm="1">
        <f t="array" ref="BJ2327">IF(BM2327 = "", "",IFERROR(INDEX(AW2327:BH2327,1,MATCH(2,1/(AW2327:BH2327&lt;&gt;""),1)-1),""))</f>
        <v>0</v>
      </c>
      <c r="BK2327" s="58">
        <f>IF((IF(AW2327&gt;=115%,115%,AW2327) + IF(AX2327&gt;=115%,115%,AX2327) + IF(AY2327&gt;=115%,115%,AY2327) + (IF(AZ2327&gt;=115%,115%,AZ2327) + IF(BA2327&gt;=115%,115%,BA2327) + IF(BB2327&gt;=115%,115%,BB2327) + IF(BC2327&gt;=115%,115%,BC2327) + IF(BD2327&gt;=115%,115%,BD2327) + IF(BE2327&gt;=115%,115%,BE2327) + IF(BF2327&gt;=115%,115%,BF2327) + IF(BG2327&gt;=115%,115%,BG2327) + IF(BH2327&gt;=115%,115%,BH2327)))/_xlfn.XLOOKUP(F2327,Apuração!A:A,Apuração!B:B)&gt;=1.15,1.15,((IF(AZ2327&gt;=115%,115%,AZ2327) + IF(AX2327&gt;=115%,115%,AX2327) + IF(AY2327&gt;=115%,115%,AY2327) + (IF(AW2327&gt;=115%,115%,AW2327) + IF(BA2327&gt;=115%,115%,BA2327) + IF(BB2327&gt;=115%,115%,BB2327) + IF(BC2327&gt;=115%,115%,BC2327) + IF(BD2327&gt;=115%,115%,BD2327) + IF(BE2327&gt;=115%,115%,BE2327) + IF(BF2327&gt;=115%,115%,BF2327) + IF(BG2327&gt;=115%,115%,BG2327) + IF(BH2327&gt;=115%,115%,BH2327)))/_xlfn.XLOOKUP(F2327,Apuração!A:A,Apuração!B:B)))</f>
        <v>0</v>
      </c>
      <c r="BL2327" s="58" cm="1">
        <f t="array" aca="1" ref="BL2327" ca="1">IF(SUM(IFERROR(IF(INDEX(AW2327:INDEX(AW2327:BH2327, MATCH(2, 1/(AW2327:BH2327&lt;&gt;""), 1)-1), ROW(INDIRECT("1:" &amp; MATCH(2, 1/(AW2327:BH2327&lt;&gt;""), 1)-1))) &gt;= 115%, 115%, INDEX(AW2327:INDEX(AW2327:BH2327, MATCH(2, 1/(AW2327:BH2327&lt;&gt;""), 1)-1), ROW(INDIRECT("1:" &amp; MATCH(2, 1/(AW2327:BH2327&lt;&gt;""), 1)-1)))), 0))/_xlfn.XLOOKUP(F2327,Apuração!A:A,Apuração!B:B)&gt;=1.15,1.15,SUM(IFERROR(IF(INDEX(AW2327:INDEX(AW2327:BH2327, MATCH(2, 1/(AW2327:BH2327&lt;&gt;""), 1)-1), ROW(INDIRECT("1:" &amp; MATCH(2, 1/(AW2327:BH2327&lt;&gt;""), 1)-1))) &gt;= 115%, 115%, INDEX(AW2327:INDEX(AW2327:BH2327, MATCH(2, 1/(AW2327:BH2327&lt;&gt;""), 1)-1), ROW(INDIRECT("1:" &amp; MATCH(2, 1/(AW2327:BH2327&lt;&gt;""), 1)-1)))), 0))/_xlfn.XLOOKUP(F2327,Apuração!A:A,Apuração!B:B))</f>
        <v>0</v>
      </c>
      <c r="BM2327" s="55" cm="1">
        <f t="array" ref="BM2327">IFERROR(
   INDEX($AW$1:$BH$1,
      _xlfn.AGGREGATE(14, 6, COLUMN($AW$1:$BH$1)/(AW2327:BH2327&lt;&gt;""), 2) - COLUMN($AW$1) + 1
   ),
"")</f>
        <v>46082</v>
      </c>
      <c r="BN2327" s="55" cm="1">
        <f t="array" ref="BN2327">IFERROR(INDEX($AW$1:$BH$1,1,MATCH(2,1/(AW2327:BH2327&lt;&gt;""))),"")</f>
        <v>46113</v>
      </c>
      <c r="BO2327" s="53">
        <f ca="1">IFERROR(_xlfn.XLOOKUP(F2327,Apuração!A:A,Apuração!C:C)/_xlfn.XLOOKUP(F2327,Apuração!A:A,Apuração!B:B),0)</f>
        <v>0</v>
      </c>
      <c r="BP2327" s="53">
        <f ca="1">IFERROR(_xlfn.XLOOKUP(F2327,Apuração!A:A,Apuração!D:D)/_xlfn.XLOOKUP(F2327,Apuração!A:A,Apuração!B:B),0)</f>
        <v>0</v>
      </c>
      <c r="BQ2327" s="53">
        <f ca="1">IF(BK2327&gt;=BO2327,0,_xlfn.XLOOKUP(F2327,Apuração!A:A,Apuração!B:B)*(BO2327 + (1/_xlfn.XLOOKUP(F2327,Apuração!A:A,Apuração!B:B)) - BK2327))</f>
        <v>0</v>
      </c>
      <c r="BR2327" s="85">
        <f t="shared" ca="1" si="2696"/>
        <v>0</v>
      </c>
      <c r="BS2327" s="53">
        <f ca="1">IFERROR((_xlfn.XLOOKUP(F2327,Apuração!A:A,Apuração!C:C)+1)/_xlfn.XLOOKUP(F2327,Apuração!A:A,Apuração!B:B),0)</f>
        <v>0.14285714285714285</v>
      </c>
    </row>
    <row r="2328" spans="1:71" ht="25.95" hidden="1" customHeight="1" x14ac:dyDescent="0.3">
      <c r="A2328" s="3" t="s">
        <v>33</v>
      </c>
      <c r="B2328" s="4" t="s">
        <v>81</v>
      </c>
      <c r="C2328" s="5" t="s">
        <v>221</v>
      </c>
      <c r="D2328" s="5" t="s">
        <v>212</v>
      </c>
      <c r="E2328" s="4" t="s">
        <v>61</v>
      </c>
      <c r="F2328" s="4" t="str" cm="1">
        <f t="array" ref="F2328">_xlfn.IFS(
AG2328 &lt;&gt; "", "Jan-Dez/26",
AH2328 &lt;&gt; "", "Fev-Dez/26",
AI2328 &lt;&gt; "", "Mar-Dez/26", AJ2328 &lt;&gt; "", "Abr-Dez/26",
TRUE, "A partir de Junho"
)</f>
        <v>A partir de Junho</v>
      </c>
      <c r="G2328" s="6" t="s">
        <v>62</v>
      </c>
      <c r="H2328" s="7" t="s">
        <v>54</v>
      </c>
      <c r="I2328" s="8" t="s">
        <v>55</v>
      </c>
      <c r="J2328" s="8" t="str" cm="1">
        <f t="array" aca="1" ref="J2328" ca="1">_xlfn.LET(
  _xlpm.actual_value_month, INDEX(T2328:AE2328, MATCH(DATE(YEAR(TODAY()), MONTH(TODAY()), 1), $T$1:$AE$1, 0)),
  IF(_xlpm.actual_value_month &lt;&gt; "",_xlpm.actual_value_month &amp; " eventos mensais", "")
)</f>
        <v>2 eventos mensais</v>
      </c>
      <c r="K2328" s="8" t="str" cm="1">
        <f t="array" ref="K2328">_xlfn.LET(
    _xlpm.sum_month, SUM(T2328:AE2328),
    IF(_xlpm.sum_month = 0, "", _xlpm.sum_month &amp; "  eventos no ano")
)</f>
        <v>24  eventos no ano</v>
      </c>
      <c r="L2328" s="9" t="s">
        <v>82</v>
      </c>
      <c r="M2328" s="13" t="s">
        <v>83</v>
      </c>
      <c r="N2328" s="5" t="s">
        <v>42</v>
      </c>
      <c r="O2328" s="5" t="s">
        <v>43</v>
      </c>
      <c r="P2328" s="10" t="s">
        <v>44</v>
      </c>
      <c r="Q2328" s="10" t="s">
        <v>44</v>
      </c>
      <c r="R2328" s="11" t="s">
        <v>44</v>
      </c>
      <c r="S2328" s="11" t="s">
        <v>44</v>
      </c>
      <c r="T2328" s="143">
        <v>2</v>
      </c>
      <c r="U2328" s="143">
        <v>2</v>
      </c>
      <c r="V2328" s="143">
        <v>2</v>
      </c>
      <c r="W2328" s="143">
        <v>2</v>
      </c>
      <c r="X2328" s="143">
        <v>2</v>
      </c>
      <c r="Y2328" s="143">
        <v>2</v>
      </c>
      <c r="Z2328" s="143">
        <v>2</v>
      </c>
      <c r="AA2328" s="143">
        <v>2</v>
      </c>
      <c r="AB2328" s="143">
        <v>2</v>
      </c>
      <c r="AC2328" s="143">
        <v>2</v>
      </c>
      <c r="AD2328" s="143">
        <v>2</v>
      </c>
      <c r="AE2328" s="143">
        <v>2</v>
      </c>
      <c r="AG2328" s="71"/>
      <c r="AH2328" s="71"/>
      <c r="AI2328" s="71"/>
      <c r="AJ2328" s="71"/>
      <c r="AK2328" s="71"/>
      <c r="AL2328" s="71"/>
      <c r="AM2328" s="71"/>
      <c r="AN2328" s="71"/>
      <c r="AO2328" s="71"/>
      <c r="AP2328" s="71"/>
      <c r="AQ2328" s="71"/>
      <c r="AR2328" s="71"/>
      <c r="AS2328" s="94">
        <f t="shared" ref="AS2328:AS2329" ca="1" si="2800">IF(MONTH(TODAY())=3,SUM(T2328:U2328),IF(MONTH(TODAY())=4,SUM(T2328:V2328),IF(MONTH(TODAY())=5,SUM(T2328:W2328),IF(MONTH(TODAY())=6,SUM(T2328:X2328),IF(MONTH(TODAY())=7,SUM(T2328:Y2328),IF(MONTH(TODAY())=8,SUM(T2328:Z2328),IF(MONTH(TODAY())=9,SUM(T2328:AA2328),IF(MONTH(TODAY())=10,SUM(T2328:AB2328),IF(MONTH(TODAY())=11,SUM(T2328:AC2328),IF(MONTH(TODAY())=12,SUM(T2328:AD2328),IF(MONTH(TODAY())=1,SUM(T2328:AE2328),T2328)))))))))))</f>
        <v>10</v>
      </c>
      <c r="AT2328" s="95">
        <f t="shared" ref="AT2328:AT2329" si="2801">SUM(IF(AW2328&lt;1.15,AG2328,1.15*T2328),IF(AX2328&lt;1.15,AH2328,1.15*U2328),IF(AY2328&lt;1.15,AI2328,1.15*V2328),IF(AZ2328&lt;1.15,AJ2328,1.15*W2328),IF(BA2328&lt;1.15,AK2328,1.15*X2328),IF(BB2328&lt;1.15,AL2328,1.15*Y2328),IF(BC2328&lt;1.15,AM2328,1.15*Z2328),IF(BD2328&lt;1.15,AN2328,1.15*AA2328),IF(BE2328&lt;1.15,AO2328,1.15*AB2328),IF(BF2328&lt;1.15,AP2328,1.15*AC2328),IF(BG2328&lt;1.15,AQ2328,1.15*AD2328),IF(BH2328&lt;1.15,AR2328,1.15*AE2328))</f>
        <v>0</v>
      </c>
      <c r="AU2328" s="97">
        <f t="shared" ref="AU2328:AU2329" si="2802">SUM(AG2328:AR2328)</f>
        <v>0</v>
      </c>
      <c r="AW2328" s="51">
        <f t="shared" ref="AW2328:AW2329" si="2803">IFERROR(IF(AG2328="",0,AG2328/T2328),0)</f>
        <v>0</v>
      </c>
      <c r="AX2328" s="51">
        <f t="shared" ref="AX2328:AX2329" si="2804">IFERROR(IF(AH2328="",0,AH2328/U2328),0)</f>
        <v>0</v>
      </c>
      <c r="AY2328" s="51">
        <f t="shared" ref="AY2328:AY2329" si="2805">IFERROR(IF(AI2328="",0,AI2328/V2328),0)</f>
        <v>0</v>
      </c>
      <c r="AZ2328" s="51">
        <f t="shared" ref="AZ2328:AZ2329" si="2806">IFERROR(IF(AJ2328="",0,AJ2328/W2328),0)</f>
        <v>0</v>
      </c>
      <c r="BA2328" s="51"/>
      <c r="BB2328" s="51"/>
      <c r="BC2328" s="51"/>
      <c r="BD2328" s="51"/>
      <c r="BE2328" s="51"/>
      <c r="BF2328" s="51"/>
      <c r="BG2328" s="51"/>
      <c r="BH2328" s="51"/>
      <c r="BI2328" s="65" cm="1">
        <f t="array" ref="BI2328">IFERROR(INDEX(AW2328:BH2328,1,MATCH(2,1/(AW2328:BH2328&lt;&gt;""))),"")</f>
        <v>0</v>
      </c>
      <c r="BJ2328" s="68" cm="1">
        <f t="array" ref="BJ2328">IF(BM2328 = "", "",IFERROR(INDEX(AW2328:BH2328,1,MATCH(2,1/(AW2328:BH2328&lt;&gt;""),1)-1),""))</f>
        <v>0</v>
      </c>
      <c r="BK2328" s="58">
        <f>IF((IF(AW2328&gt;=115%,115%,AW2328) + IF(AX2328&gt;=115%,115%,AX2328) + IF(AY2328&gt;=115%,115%,AY2328) + (IF(AZ2328&gt;=115%,115%,AZ2328) + IF(BA2328&gt;=115%,115%,BA2328) + IF(BB2328&gt;=115%,115%,BB2328) + IF(BC2328&gt;=115%,115%,BC2328) + IF(BD2328&gt;=115%,115%,BD2328) + IF(BE2328&gt;=115%,115%,BE2328) + IF(BF2328&gt;=115%,115%,BF2328) + IF(BG2328&gt;=115%,115%,BG2328) + IF(BH2328&gt;=115%,115%,BH2328)))/_xlfn.XLOOKUP(F2328,Apuração!A:A,Apuração!B:B)&gt;=1.15,1.15,((IF(AZ2328&gt;=115%,115%,AZ2328) + IF(AX2328&gt;=115%,115%,AX2328) + IF(AY2328&gt;=115%,115%,AY2328) + (IF(AW2328&gt;=115%,115%,AW2328) + IF(BA2328&gt;=115%,115%,BA2328) + IF(BB2328&gt;=115%,115%,BB2328) + IF(BC2328&gt;=115%,115%,BC2328) + IF(BD2328&gt;=115%,115%,BD2328) + IF(BE2328&gt;=115%,115%,BE2328) + IF(BF2328&gt;=115%,115%,BF2328) + IF(BG2328&gt;=115%,115%,BG2328) + IF(BH2328&gt;=115%,115%,BH2328)))/_xlfn.XLOOKUP(F2328,Apuração!A:A,Apuração!B:B)))</f>
        <v>0</v>
      </c>
      <c r="BL2328" s="58" cm="1">
        <f t="array" aca="1" ref="BL2328" ca="1">IF(SUM(IFERROR(IF(INDEX(AW2328:INDEX(AW2328:BH2328, MATCH(2, 1/(AW2328:BH2328&lt;&gt;""), 1)-1), ROW(INDIRECT("1:" &amp; MATCH(2, 1/(AW2328:BH2328&lt;&gt;""), 1)-1))) &gt;= 115%, 115%, INDEX(AW2328:INDEX(AW2328:BH2328, MATCH(2, 1/(AW2328:BH2328&lt;&gt;""), 1)-1), ROW(INDIRECT("1:" &amp; MATCH(2, 1/(AW2328:BH2328&lt;&gt;""), 1)-1)))), 0))/_xlfn.XLOOKUP(F2328,Apuração!A:A,Apuração!B:B)&gt;=1.15,1.15,SUM(IFERROR(IF(INDEX(AW2328:INDEX(AW2328:BH2328, MATCH(2, 1/(AW2328:BH2328&lt;&gt;""), 1)-1), ROW(INDIRECT("1:" &amp; MATCH(2, 1/(AW2328:BH2328&lt;&gt;""), 1)-1))) &gt;= 115%, 115%, INDEX(AW2328:INDEX(AW2328:BH2328, MATCH(2, 1/(AW2328:BH2328&lt;&gt;""), 1)-1), ROW(INDIRECT("1:" &amp; MATCH(2, 1/(AW2328:BH2328&lt;&gt;""), 1)-1)))), 0))/_xlfn.XLOOKUP(F2328,Apuração!A:A,Apuração!B:B))</f>
        <v>0</v>
      </c>
      <c r="BM2328" s="55" cm="1">
        <f t="array" ref="BM2328">IFERROR(
   INDEX($AW$1:$BH$1,
      _xlfn.AGGREGATE(14, 6, COLUMN($AW$1:$BH$1)/(AW2328:BH2328&lt;&gt;""), 2) - COLUMN($AW$1) + 1
   ),
"")</f>
        <v>46082</v>
      </c>
      <c r="BN2328" s="55" cm="1">
        <f t="array" ref="BN2328">IFERROR(INDEX($AW$1:$BH$1,1,MATCH(2,1/(AW2328:BH2328&lt;&gt;""))),"")</f>
        <v>46113</v>
      </c>
      <c r="BO2328" s="53">
        <f ca="1">IFERROR(_xlfn.XLOOKUP(F2328,Apuração!A:A,Apuração!C:C)/_xlfn.XLOOKUP(F2328,Apuração!A:A,Apuração!B:B),0)</f>
        <v>0</v>
      </c>
      <c r="BP2328" s="53">
        <f ca="1">IFERROR(_xlfn.XLOOKUP(F2328,Apuração!A:A,Apuração!D:D)/_xlfn.XLOOKUP(F2328,Apuração!A:A,Apuração!B:B),0)</f>
        <v>0</v>
      </c>
      <c r="BQ2328" s="53">
        <f ca="1">IF(BK2328&gt;=BO2328,0,_xlfn.XLOOKUP(F2328,Apuração!A:A,Apuração!B:B)*(BO2328 + (1/_xlfn.XLOOKUP(F2328,Apuração!A:A,Apuração!B:B)) - BK2328))</f>
        <v>0</v>
      </c>
      <c r="BR2328" s="85">
        <f t="shared" ref="BR2328:BR2329" ca="1" si="2807">IF(BQ2328=0,0,BQ2328*Z2328)</f>
        <v>0</v>
      </c>
      <c r="BS2328" s="53">
        <f ca="1">IFERROR((_xlfn.XLOOKUP(F2328,Apuração!A:A,Apuração!C:C)+1)/_xlfn.XLOOKUP(F2328,Apuração!A:A,Apuração!B:B),0)</f>
        <v>0.14285714285714285</v>
      </c>
    </row>
    <row r="2329" spans="1:71" ht="25.95" hidden="1" customHeight="1" x14ac:dyDescent="0.3">
      <c r="A2329" s="3" t="s">
        <v>33</v>
      </c>
      <c r="B2329" s="4" t="s">
        <v>81</v>
      </c>
      <c r="C2329" s="5" t="s">
        <v>221</v>
      </c>
      <c r="D2329" s="5" t="s">
        <v>213</v>
      </c>
      <c r="E2329" s="4" t="s">
        <v>61</v>
      </c>
      <c r="F2329" s="4" t="str" cm="1">
        <f t="array" ref="F2329">_xlfn.IFS(
AG2329 &lt;&gt; "", "Jan-Dez/26",
AH2329 &lt;&gt; "", "Fev-Dez/26",
AI2329 &lt;&gt; "", "Mar-Dez/26", AJ2329 &lt;&gt; "", "Abr-Dez/26",
TRUE, "A partir de Junho"
)</f>
        <v>A partir de Junho</v>
      </c>
      <c r="G2329" s="6" t="s">
        <v>62</v>
      </c>
      <c r="H2329" s="7" t="s">
        <v>54</v>
      </c>
      <c r="I2329" s="8" t="s">
        <v>55</v>
      </c>
      <c r="J2329" s="8" t="str" cm="1">
        <f t="array" aca="1" ref="J2329" ca="1">_xlfn.LET(
  _xlpm.actual_value_month, INDEX(T2329:AE2329, MATCH(DATE(YEAR(TODAY()), MONTH(TODAY()), 1), $T$1:$AE$1, 0)),
  IF(_xlpm.actual_value_month &lt;&gt; "",_xlpm.actual_value_month &amp; " eventos mensais", "")
)</f>
        <v>2 eventos mensais</v>
      </c>
      <c r="K2329" s="8" t="str" cm="1">
        <f t="array" ref="K2329">_xlfn.LET(
    _xlpm.sum_month, SUM(T2329:AE2329),
    IF(_xlpm.sum_month = 0, "", _xlpm.sum_month &amp; "  eventos no ano")
)</f>
        <v>24  eventos no ano</v>
      </c>
      <c r="L2329" s="9" t="s">
        <v>82</v>
      </c>
      <c r="M2329" s="13" t="s">
        <v>83</v>
      </c>
      <c r="N2329" s="5" t="s">
        <v>42</v>
      </c>
      <c r="O2329" s="5" t="s">
        <v>43</v>
      </c>
      <c r="P2329" s="10" t="s">
        <v>44</v>
      </c>
      <c r="Q2329" s="10" t="s">
        <v>44</v>
      </c>
      <c r="R2329" s="11" t="s">
        <v>44</v>
      </c>
      <c r="S2329" s="11" t="s">
        <v>44</v>
      </c>
      <c r="T2329" s="143">
        <v>2</v>
      </c>
      <c r="U2329" s="143">
        <v>2</v>
      </c>
      <c r="V2329" s="143">
        <v>2</v>
      </c>
      <c r="W2329" s="143">
        <v>2</v>
      </c>
      <c r="X2329" s="143">
        <v>2</v>
      </c>
      <c r="Y2329" s="143">
        <v>2</v>
      </c>
      <c r="Z2329" s="143">
        <v>2</v>
      </c>
      <c r="AA2329" s="143">
        <v>2</v>
      </c>
      <c r="AB2329" s="143">
        <v>2</v>
      </c>
      <c r="AC2329" s="143">
        <v>2</v>
      </c>
      <c r="AD2329" s="143">
        <v>2</v>
      </c>
      <c r="AE2329" s="143">
        <v>2</v>
      </c>
      <c r="AG2329" s="71"/>
      <c r="AH2329" s="71"/>
      <c r="AI2329" s="71"/>
      <c r="AJ2329" s="71"/>
      <c r="AK2329" s="71"/>
      <c r="AL2329" s="71"/>
      <c r="AM2329" s="71"/>
      <c r="AN2329" s="71"/>
      <c r="AO2329" s="71"/>
      <c r="AP2329" s="71"/>
      <c r="AQ2329" s="71"/>
      <c r="AR2329" s="71"/>
      <c r="AS2329" s="94">
        <f t="shared" ca="1" si="2800"/>
        <v>10</v>
      </c>
      <c r="AT2329" s="95">
        <f t="shared" si="2801"/>
        <v>0</v>
      </c>
      <c r="AU2329" s="97">
        <f t="shared" si="2802"/>
        <v>0</v>
      </c>
      <c r="AW2329" s="51">
        <f t="shared" si="2803"/>
        <v>0</v>
      </c>
      <c r="AX2329" s="51">
        <f t="shared" si="2804"/>
        <v>0</v>
      </c>
      <c r="AY2329" s="51">
        <f t="shared" si="2805"/>
        <v>0</v>
      </c>
      <c r="AZ2329" s="51">
        <f t="shared" si="2806"/>
        <v>0</v>
      </c>
      <c r="BA2329" s="51"/>
      <c r="BB2329" s="51"/>
      <c r="BC2329" s="51"/>
      <c r="BD2329" s="51"/>
      <c r="BE2329" s="51"/>
      <c r="BF2329" s="51"/>
      <c r="BG2329" s="51"/>
      <c r="BH2329" s="51"/>
      <c r="BI2329" s="65" cm="1">
        <f t="array" ref="BI2329">IFERROR(INDEX(AW2329:BH2329,1,MATCH(2,1/(AW2329:BH2329&lt;&gt;""))),"")</f>
        <v>0</v>
      </c>
      <c r="BJ2329" s="68" cm="1">
        <f t="array" ref="BJ2329">IF(BM2329 = "", "",IFERROR(INDEX(AW2329:BH2329,1,MATCH(2,1/(AW2329:BH2329&lt;&gt;""),1)-1),""))</f>
        <v>0</v>
      </c>
      <c r="BK2329" s="58">
        <f>IF((IF(AW2329&gt;=115%,115%,AW2329) + IF(AX2329&gt;=115%,115%,AX2329) + IF(AY2329&gt;=115%,115%,AY2329) + (IF(AZ2329&gt;=115%,115%,AZ2329) + IF(BA2329&gt;=115%,115%,BA2329) + IF(BB2329&gt;=115%,115%,BB2329) + IF(BC2329&gt;=115%,115%,BC2329) + IF(BD2329&gt;=115%,115%,BD2329) + IF(BE2329&gt;=115%,115%,BE2329) + IF(BF2329&gt;=115%,115%,BF2329) + IF(BG2329&gt;=115%,115%,BG2329) + IF(BH2329&gt;=115%,115%,BH2329)))/_xlfn.XLOOKUP(F2329,Apuração!A:A,Apuração!B:B)&gt;=1.15,1.15,((IF(AZ2329&gt;=115%,115%,AZ2329) + IF(AX2329&gt;=115%,115%,AX2329) + IF(AY2329&gt;=115%,115%,AY2329) + (IF(AW2329&gt;=115%,115%,AW2329) + IF(BA2329&gt;=115%,115%,BA2329) + IF(BB2329&gt;=115%,115%,BB2329) + IF(BC2329&gt;=115%,115%,BC2329) + IF(BD2329&gt;=115%,115%,BD2329) + IF(BE2329&gt;=115%,115%,BE2329) + IF(BF2329&gt;=115%,115%,BF2329) + IF(BG2329&gt;=115%,115%,BG2329) + IF(BH2329&gt;=115%,115%,BH2329)))/_xlfn.XLOOKUP(F2329,Apuração!A:A,Apuração!B:B)))</f>
        <v>0</v>
      </c>
      <c r="BL2329" s="58" cm="1">
        <f t="array" aca="1" ref="BL2329" ca="1">IF(SUM(IFERROR(IF(INDEX(AW2329:INDEX(AW2329:BH2329, MATCH(2, 1/(AW2329:BH2329&lt;&gt;""), 1)-1), ROW(INDIRECT("1:" &amp; MATCH(2, 1/(AW2329:BH2329&lt;&gt;""), 1)-1))) &gt;= 115%, 115%, INDEX(AW2329:INDEX(AW2329:BH2329, MATCH(2, 1/(AW2329:BH2329&lt;&gt;""), 1)-1), ROW(INDIRECT("1:" &amp; MATCH(2, 1/(AW2329:BH2329&lt;&gt;""), 1)-1)))), 0))/_xlfn.XLOOKUP(F2329,Apuração!A:A,Apuração!B:B)&gt;=1.15,1.15,SUM(IFERROR(IF(INDEX(AW2329:INDEX(AW2329:BH2329, MATCH(2, 1/(AW2329:BH2329&lt;&gt;""), 1)-1), ROW(INDIRECT("1:" &amp; MATCH(2, 1/(AW2329:BH2329&lt;&gt;""), 1)-1))) &gt;= 115%, 115%, INDEX(AW2329:INDEX(AW2329:BH2329, MATCH(2, 1/(AW2329:BH2329&lt;&gt;""), 1)-1), ROW(INDIRECT("1:" &amp; MATCH(2, 1/(AW2329:BH2329&lt;&gt;""), 1)-1)))), 0))/_xlfn.XLOOKUP(F2329,Apuração!A:A,Apuração!B:B))</f>
        <v>0</v>
      </c>
      <c r="BM2329" s="55" cm="1">
        <f t="array" ref="BM2329">IFERROR(
   INDEX($AW$1:$BH$1,
      _xlfn.AGGREGATE(14, 6, COLUMN($AW$1:$BH$1)/(AW2329:BH2329&lt;&gt;""), 2) - COLUMN($AW$1) + 1
   ),
"")</f>
        <v>46082</v>
      </c>
      <c r="BN2329" s="55" cm="1">
        <f t="array" ref="BN2329">IFERROR(INDEX($AW$1:$BH$1,1,MATCH(2,1/(AW2329:BH2329&lt;&gt;""))),"")</f>
        <v>46113</v>
      </c>
      <c r="BO2329" s="53">
        <f ca="1">IFERROR(_xlfn.XLOOKUP(F2329,Apuração!A:A,Apuração!C:C)/_xlfn.XLOOKUP(F2329,Apuração!A:A,Apuração!B:B),0)</f>
        <v>0</v>
      </c>
      <c r="BP2329" s="53">
        <f ca="1">IFERROR(_xlfn.XLOOKUP(F2329,Apuração!A:A,Apuração!D:D)/_xlfn.XLOOKUP(F2329,Apuração!A:A,Apuração!B:B),0)</f>
        <v>0</v>
      </c>
      <c r="BQ2329" s="53">
        <f ca="1">IF(BK2329&gt;=BO2329,0,_xlfn.XLOOKUP(F2329,Apuração!A:A,Apuração!B:B)*(BO2329 + (1/_xlfn.XLOOKUP(F2329,Apuração!A:A,Apuração!B:B)) - BK2329))</f>
        <v>0</v>
      </c>
      <c r="BR2329" s="85">
        <f t="shared" ca="1" si="2807"/>
        <v>0</v>
      </c>
      <c r="BS2329" s="53">
        <f ca="1">IFERROR((_xlfn.XLOOKUP(F2329,Apuração!A:A,Apuração!C:C)+1)/_xlfn.XLOOKUP(F2329,Apuração!A:A,Apuração!B:B),0)</f>
        <v>0.14285714285714285</v>
      </c>
    </row>
    <row r="2330" spans="1:71" ht="25.95" hidden="1" customHeight="1" x14ac:dyDescent="0.3">
      <c r="A2330" s="39" t="s">
        <v>33</v>
      </c>
      <c r="B2330" s="4" t="s">
        <v>81</v>
      </c>
      <c r="C2330" s="5" t="s">
        <v>221</v>
      </c>
      <c r="D2330" s="5" t="s">
        <v>36</v>
      </c>
      <c r="E2330" s="4" t="s">
        <v>61</v>
      </c>
      <c r="F2330" s="4" t="str" cm="1">
        <f t="array" ref="F2330">_xlfn.IFS(
AG2330 &lt;&gt; "", "Jan-Dez/26",
AH2330 &lt;&gt; "", "Fev-Dez/26",
AI2330 &lt;&gt; "", "Mar-Dez/26", AJ2330 &lt;&gt; "", "Abr-Dez/26",
TRUE, "A partir de Junho"
)</f>
        <v>A partir de Junho</v>
      </c>
      <c r="G2330" s="6" t="s">
        <v>62</v>
      </c>
      <c r="H2330" s="7" t="s">
        <v>54</v>
      </c>
      <c r="I2330" s="9" t="s">
        <v>76</v>
      </c>
      <c r="J2330" s="8" t="str" cm="1">
        <f t="array" aca="1" ref="J2330" ca="1">_xlfn.LET(
  _xlpm.actual_value_month, INDEX(T2330:AE2330, MATCH(DATE(YEAR(TODAY()), MONTH(TODAY()), 1), $T$1:$AE$1, 0)),
  IF(_xlpm.actual_value_month &lt;&gt; "",_xlpm.actual_value_month &amp; " ações mensais", "")
)</f>
        <v/>
      </c>
      <c r="K2330" s="8" t="str" cm="1">
        <f t="array" ref="K2330">_xlfn.LET(
    _xlpm.sum_month, SUM(T2330:AE2330),
    IF(_xlpm.sum_month = 0, "", _xlpm.sum_month &amp; " público impactado no ano.")
)</f>
        <v/>
      </c>
      <c r="L2330" s="9" t="s">
        <v>76</v>
      </c>
      <c r="M2330" s="13">
        <v>1</v>
      </c>
      <c r="N2330" s="5" t="s">
        <v>51</v>
      </c>
      <c r="O2330" s="5" t="s">
        <v>52</v>
      </c>
      <c r="P2330" s="10" t="s">
        <v>44</v>
      </c>
      <c r="Q2330" s="10" t="s">
        <v>44</v>
      </c>
      <c r="R2330" s="11" t="s">
        <v>44</v>
      </c>
      <c r="S2330" s="11" t="s">
        <v>44</v>
      </c>
      <c r="T2330" s="22"/>
      <c r="U2330" s="22"/>
      <c r="V2330" s="22"/>
      <c r="W2330" s="22"/>
      <c r="X2330" s="22"/>
      <c r="Y2330" s="22"/>
      <c r="Z2330" s="22"/>
      <c r="AA2330" s="22"/>
      <c r="AB2330" s="22"/>
      <c r="AC2330" s="22"/>
      <c r="AD2330" s="22"/>
      <c r="AE2330" s="22"/>
      <c r="AG2330" s="71"/>
      <c r="AH2330" s="71"/>
      <c r="AI2330" s="71"/>
      <c r="AJ2330" s="71"/>
      <c r="AK2330" s="71"/>
      <c r="AL2330" s="71"/>
      <c r="AM2330" s="71"/>
      <c r="AN2330" s="71"/>
      <c r="AO2330" s="71"/>
      <c r="AP2330" s="71"/>
      <c r="AQ2330" s="71"/>
      <c r="AR2330" s="71"/>
      <c r="AS2330" s="94">
        <f t="shared" ca="1" si="2697"/>
        <v>0</v>
      </c>
      <c r="AT2330" s="95">
        <f>SUM(AG2330:AR2330)</f>
        <v>0</v>
      </c>
      <c r="AU2330" s="97">
        <f t="shared" si="2698"/>
        <v>0</v>
      </c>
      <c r="AW2330" s="83">
        <f>AG2330</f>
        <v>0</v>
      </c>
      <c r="AX2330" s="83">
        <f>AH2330</f>
        <v>0</v>
      </c>
      <c r="AY2330" s="83">
        <f>AI2330</f>
        <v>0</v>
      </c>
      <c r="AZ2330" s="83">
        <f>AJ2330</f>
        <v>0</v>
      </c>
      <c r="BA2330" s="52"/>
      <c r="BB2330" s="52"/>
      <c r="BC2330" s="52"/>
      <c r="BD2330" s="52"/>
      <c r="BE2330" s="52"/>
      <c r="BF2330" s="52"/>
      <c r="BG2330" s="52"/>
      <c r="BH2330" s="52"/>
      <c r="BI2330" s="68" cm="1">
        <f t="array" ref="BI2330">IFERROR(INDEX(AW2330:BH2330,1,MATCH(2,1/(AW2330:BH2330&lt;&gt;""))),"")</f>
        <v>0</v>
      </c>
      <c r="BJ2330" s="68" cm="1">
        <f t="array" ref="BJ2330">IF(BM2330 = "", "",IFERROR(INDEX(AW2330:BH2330,1,MATCH(2,1/(AW2330:BH2330&lt;&gt;""),1)-1),""))</f>
        <v>0</v>
      </c>
      <c r="BK2330" s="59">
        <f>SUM(AW2330:BH2330)</f>
        <v>0</v>
      </c>
      <c r="BL2330" s="59" cm="1">
        <f t="array" ref="BL2330">IFERROR(SUM(AW2330:INDEX(AW2330:BH2330, MATCH(2, 1/(AW2330:BH2330&lt;&gt;""), 1) - 1))/_xlfn.XLOOKUP(F2330,Apuração!A:A,Apuração!B:B),0)</f>
        <v>0</v>
      </c>
      <c r="BM2330" s="55" cm="1">
        <f t="array" ref="BM2330">IFERROR(
   INDEX($AW$1:$BH$1,
      _xlfn.AGGREGATE(14, 6, COLUMN($AW$1:$BH$1)/(AW2330:BH2330&lt;&gt;""), 2) - COLUMN($AW$1) + 1
   ),
"")</f>
        <v>46082</v>
      </c>
      <c r="BN2330" s="55" cm="1">
        <f t="array" ref="BN2330">IFERROR(INDEX($AW$1:$BH$1,1,MATCH(2,1/(AW2330:BH2330&lt;&gt;""))),"")</f>
        <v>46113</v>
      </c>
      <c r="BO2330" s="53">
        <f ca="1">IFERROR(_xlfn.XLOOKUP(F2330,Apuração!A:A,Apuração!C:C)/_xlfn.XLOOKUP(F2330,Apuração!A:A,Apuração!B:B),0)</f>
        <v>0</v>
      </c>
      <c r="BP2330" s="53">
        <f ca="1">IFERROR(_xlfn.XLOOKUP(F2330,Apuração!A:A,Apuração!D:D)/_xlfn.XLOOKUP(F2330,Apuração!A:A,Apuração!B:B),0)</f>
        <v>0</v>
      </c>
      <c r="BQ2330" s="53">
        <f ca="1">IF(BK2330&gt;=BO2330,0,_xlfn.XLOOKUP(F2330,Apuração!A:A,Apuração!B:B)*(BO2330 + (1/_xlfn.XLOOKUP(F2330,Apuração!A:A,Apuração!B:B)) - BK2330))</f>
        <v>0</v>
      </c>
      <c r="BR2330" s="85">
        <f t="shared" ca="1" si="2696"/>
        <v>0</v>
      </c>
      <c r="BS2330" s="53">
        <f ca="1">IFERROR((_xlfn.XLOOKUP(F2330,Apuração!A:A,Apuração!C:C)+1)/_xlfn.XLOOKUP(F2330,Apuração!A:A,Apuração!B:B),0)</f>
        <v>0.14285714285714285</v>
      </c>
    </row>
    <row r="2331" spans="1:71" ht="25.95" hidden="1" customHeight="1" x14ac:dyDescent="0.3">
      <c r="A2331" s="39" t="s">
        <v>33</v>
      </c>
      <c r="B2331" s="4" t="s">
        <v>81</v>
      </c>
      <c r="C2331" s="5" t="s">
        <v>221</v>
      </c>
      <c r="D2331" s="5" t="s">
        <v>212</v>
      </c>
      <c r="E2331" s="4" t="s">
        <v>61</v>
      </c>
      <c r="F2331" s="4" t="str" cm="1">
        <f t="array" ref="F2331">_xlfn.IFS(
AG2331 &lt;&gt; "", "Jan-Dez/26",
AH2331 &lt;&gt; "", "Fev-Dez/26",
AI2331 &lt;&gt; "", "Mar-Dez/26", AJ2331 &lt;&gt; "", "Abr-Dez/26",
TRUE, "A partir de Junho"
)</f>
        <v>A partir de Junho</v>
      </c>
      <c r="G2331" s="6" t="s">
        <v>62</v>
      </c>
      <c r="H2331" s="7" t="s">
        <v>54</v>
      </c>
      <c r="I2331" s="9" t="s">
        <v>76</v>
      </c>
      <c r="J2331" s="8" t="str" cm="1">
        <f t="array" aca="1" ref="J2331" ca="1">_xlfn.LET(
  _xlpm.actual_value_month, INDEX(T2331:AE2331, MATCH(DATE(YEAR(TODAY()), MONTH(TODAY()), 1), $T$1:$AE$1, 0)),
  IF(_xlpm.actual_value_month &lt;&gt; "",_xlpm.actual_value_month &amp; " ações mensais", "")
)</f>
        <v/>
      </c>
      <c r="K2331" s="8" t="str" cm="1">
        <f t="array" ref="K2331">_xlfn.LET(
    _xlpm.sum_month, SUM(T2331:AE2331),
    IF(_xlpm.sum_month = 0, "", _xlpm.sum_month &amp; " público impactado no ano.")
)</f>
        <v/>
      </c>
      <c r="L2331" s="9" t="s">
        <v>76</v>
      </c>
      <c r="M2331" s="13">
        <v>1</v>
      </c>
      <c r="N2331" s="5" t="s">
        <v>51</v>
      </c>
      <c r="O2331" s="5" t="s">
        <v>52</v>
      </c>
      <c r="P2331" s="10" t="s">
        <v>44</v>
      </c>
      <c r="Q2331" s="10" t="s">
        <v>44</v>
      </c>
      <c r="R2331" s="11" t="s">
        <v>44</v>
      </c>
      <c r="S2331" s="11" t="s">
        <v>44</v>
      </c>
      <c r="T2331" s="22"/>
      <c r="U2331" s="22"/>
      <c r="V2331" s="22"/>
      <c r="W2331" s="22"/>
      <c r="X2331" s="22"/>
      <c r="Y2331" s="22"/>
      <c r="Z2331" s="22"/>
      <c r="AA2331" s="22"/>
      <c r="AB2331" s="22"/>
      <c r="AC2331" s="22"/>
      <c r="AD2331" s="22"/>
      <c r="AE2331" s="22"/>
      <c r="AG2331" s="71"/>
      <c r="AH2331" s="71"/>
      <c r="AI2331" s="71"/>
      <c r="AJ2331" s="71"/>
      <c r="AK2331" s="71"/>
      <c r="AL2331" s="71"/>
      <c r="AM2331" s="71"/>
      <c r="AN2331" s="71"/>
      <c r="AO2331" s="71"/>
      <c r="AP2331" s="71"/>
      <c r="AQ2331" s="71"/>
      <c r="AR2331" s="71"/>
      <c r="AS2331" s="94">
        <f t="shared" ref="AS2331:AS2332" ca="1" si="2808">IF(MONTH(TODAY())=3,SUM(T2331:U2331),IF(MONTH(TODAY())=4,SUM(T2331:V2331),IF(MONTH(TODAY())=5,SUM(T2331:W2331),IF(MONTH(TODAY())=6,SUM(T2331:X2331),IF(MONTH(TODAY())=7,SUM(T2331:Y2331),IF(MONTH(TODAY())=8,SUM(T2331:Z2331),IF(MONTH(TODAY())=9,SUM(T2331:AA2331),IF(MONTH(TODAY())=10,SUM(T2331:AB2331),IF(MONTH(TODAY())=11,SUM(T2331:AC2331),IF(MONTH(TODAY())=12,SUM(T2331:AD2331),IF(MONTH(TODAY())=1,SUM(T2331:AE2331),T2331)))))))))))</f>
        <v>0</v>
      </c>
      <c r="AT2331" s="95">
        <f t="shared" ref="AT2331:AT2332" si="2809">SUM(AG2331:AR2331)</f>
        <v>0</v>
      </c>
      <c r="AU2331" s="97">
        <f t="shared" ref="AU2331:AU2332" si="2810">SUM(AG2331:AR2331)</f>
        <v>0</v>
      </c>
      <c r="AW2331" s="83">
        <f t="shared" ref="AW2331:AW2332" si="2811">AG2331</f>
        <v>0</v>
      </c>
      <c r="AX2331" s="83">
        <f t="shared" ref="AX2331:AX2332" si="2812">AH2331</f>
        <v>0</v>
      </c>
      <c r="AY2331" s="83">
        <f t="shared" ref="AY2331:AY2332" si="2813">AI2331</f>
        <v>0</v>
      </c>
      <c r="AZ2331" s="83">
        <f t="shared" ref="AZ2331:AZ2332" si="2814">AJ2331</f>
        <v>0</v>
      </c>
      <c r="BA2331" s="52"/>
      <c r="BB2331" s="52"/>
      <c r="BC2331" s="52"/>
      <c r="BD2331" s="52"/>
      <c r="BE2331" s="52"/>
      <c r="BF2331" s="52"/>
      <c r="BG2331" s="52"/>
      <c r="BH2331" s="52"/>
      <c r="BI2331" s="68" cm="1">
        <f t="array" ref="BI2331">IFERROR(INDEX(AW2331:BH2331,1,MATCH(2,1/(AW2331:BH2331&lt;&gt;""))),"")</f>
        <v>0</v>
      </c>
      <c r="BJ2331" s="68" cm="1">
        <f t="array" ref="BJ2331">IF(BM2331 = "", "",IFERROR(INDEX(AW2331:BH2331,1,MATCH(2,1/(AW2331:BH2331&lt;&gt;""),1)-1),""))</f>
        <v>0</v>
      </c>
      <c r="BK2331" s="59">
        <f t="shared" ref="BK2331:BK2332" si="2815">SUM(AW2331:BH2331)</f>
        <v>0</v>
      </c>
      <c r="BL2331" s="59" cm="1">
        <f t="array" ref="BL2331">IFERROR(SUM(AW2331:INDEX(AW2331:BH2331, MATCH(2, 1/(AW2331:BH2331&lt;&gt;""), 1) - 1))/_xlfn.XLOOKUP(F2331,Apuração!A:A,Apuração!B:B),0)</f>
        <v>0</v>
      </c>
      <c r="BM2331" s="55" cm="1">
        <f t="array" ref="BM2331">IFERROR(
   INDEX($AW$1:$BH$1,
      _xlfn.AGGREGATE(14, 6, COLUMN($AW$1:$BH$1)/(AW2331:BH2331&lt;&gt;""), 2) - COLUMN($AW$1) + 1
   ),
"")</f>
        <v>46082</v>
      </c>
      <c r="BN2331" s="55" cm="1">
        <f t="array" ref="BN2331">IFERROR(INDEX($AW$1:$BH$1,1,MATCH(2,1/(AW2331:BH2331&lt;&gt;""))),"")</f>
        <v>46113</v>
      </c>
      <c r="BO2331" s="53">
        <f ca="1">IFERROR(_xlfn.XLOOKUP(F2331,Apuração!A:A,Apuração!C:C)/_xlfn.XLOOKUP(F2331,Apuração!A:A,Apuração!B:B),0)</f>
        <v>0</v>
      </c>
      <c r="BP2331" s="53">
        <f ca="1">IFERROR(_xlfn.XLOOKUP(F2331,Apuração!A:A,Apuração!D:D)/_xlfn.XLOOKUP(F2331,Apuração!A:A,Apuração!B:B),0)</f>
        <v>0</v>
      </c>
      <c r="BQ2331" s="53">
        <f ca="1">IF(BK2331&gt;=BO2331,0,_xlfn.XLOOKUP(F2331,Apuração!A:A,Apuração!B:B)*(BO2331 + (1/_xlfn.XLOOKUP(F2331,Apuração!A:A,Apuração!B:B)) - BK2331))</f>
        <v>0</v>
      </c>
      <c r="BR2331" s="85">
        <f t="shared" ref="BR2331:BR2332" ca="1" si="2816">IF(BQ2331=0,0,BQ2331*Z2331)</f>
        <v>0</v>
      </c>
      <c r="BS2331" s="53">
        <f ca="1">IFERROR((_xlfn.XLOOKUP(F2331,Apuração!A:A,Apuração!C:C)+1)/_xlfn.XLOOKUP(F2331,Apuração!A:A,Apuração!B:B),0)</f>
        <v>0.14285714285714285</v>
      </c>
    </row>
    <row r="2332" spans="1:71" ht="25.95" hidden="1" customHeight="1" x14ac:dyDescent="0.3">
      <c r="A2332" s="39" t="s">
        <v>33</v>
      </c>
      <c r="B2332" s="4" t="s">
        <v>81</v>
      </c>
      <c r="C2332" s="5" t="s">
        <v>221</v>
      </c>
      <c r="D2332" s="5" t="s">
        <v>213</v>
      </c>
      <c r="E2332" s="4" t="s">
        <v>61</v>
      </c>
      <c r="F2332" s="4" t="str" cm="1">
        <f t="array" ref="F2332">_xlfn.IFS(
AG2332 &lt;&gt; "", "Jan-Dez/26",
AH2332 &lt;&gt; "", "Fev-Dez/26",
AI2332 &lt;&gt; "", "Mar-Dez/26", AJ2332 &lt;&gt; "", "Abr-Dez/26",
TRUE, "A partir de Junho"
)</f>
        <v>A partir de Junho</v>
      </c>
      <c r="G2332" s="6" t="s">
        <v>62</v>
      </c>
      <c r="H2332" s="7" t="s">
        <v>54</v>
      </c>
      <c r="I2332" s="9" t="s">
        <v>76</v>
      </c>
      <c r="J2332" s="8" t="str" cm="1">
        <f t="array" aca="1" ref="J2332" ca="1">_xlfn.LET(
  _xlpm.actual_value_month, INDEX(T2332:AE2332, MATCH(DATE(YEAR(TODAY()), MONTH(TODAY()), 1), $T$1:$AE$1, 0)),
  IF(_xlpm.actual_value_month &lt;&gt; "",_xlpm.actual_value_month &amp; " ações mensais", "")
)</f>
        <v/>
      </c>
      <c r="K2332" s="8" t="str" cm="1">
        <f t="array" ref="K2332">_xlfn.LET(
    _xlpm.sum_month, SUM(T2332:AE2332),
    IF(_xlpm.sum_month = 0, "", _xlpm.sum_month &amp; " público impactado no ano.")
)</f>
        <v/>
      </c>
      <c r="L2332" s="9" t="s">
        <v>76</v>
      </c>
      <c r="M2332" s="13">
        <v>1</v>
      </c>
      <c r="N2332" s="5" t="s">
        <v>51</v>
      </c>
      <c r="O2332" s="5" t="s">
        <v>52</v>
      </c>
      <c r="P2332" s="10" t="s">
        <v>44</v>
      </c>
      <c r="Q2332" s="10" t="s">
        <v>44</v>
      </c>
      <c r="R2332" s="11" t="s">
        <v>44</v>
      </c>
      <c r="S2332" s="11" t="s">
        <v>44</v>
      </c>
      <c r="T2332" s="22"/>
      <c r="U2332" s="22"/>
      <c r="V2332" s="22"/>
      <c r="W2332" s="22"/>
      <c r="X2332" s="22"/>
      <c r="Y2332" s="22"/>
      <c r="Z2332" s="22"/>
      <c r="AA2332" s="22"/>
      <c r="AB2332" s="22"/>
      <c r="AC2332" s="22"/>
      <c r="AD2332" s="22"/>
      <c r="AE2332" s="22"/>
      <c r="AG2332" s="71"/>
      <c r="AH2332" s="71"/>
      <c r="AI2332" s="71"/>
      <c r="AJ2332" s="71"/>
      <c r="AK2332" s="71"/>
      <c r="AL2332" s="71"/>
      <c r="AM2332" s="71"/>
      <c r="AN2332" s="71"/>
      <c r="AO2332" s="71"/>
      <c r="AP2332" s="71"/>
      <c r="AQ2332" s="71"/>
      <c r="AR2332" s="71"/>
      <c r="AS2332" s="94">
        <f t="shared" ca="1" si="2808"/>
        <v>0</v>
      </c>
      <c r="AT2332" s="95">
        <f t="shared" si="2809"/>
        <v>0</v>
      </c>
      <c r="AU2332" s="97">
        <f t="shared" si="2810"/>
        <v>0</v>
      </c>
      <c r="AW2332" s="83">
        <f t="shared" si="2811"/>
        <v>0</v>
      </c>
      <c r="AX2332" s="83">
        <f t="shared" si="2812"/>
        <v>0</v>
      </c>
      <c r="AY2332" s="83">
        <f t="shared" si="2813"/>
        <v>0</v>
      </c>
      <c r="AZ2332" s="83">
        <f t="shared" si="2814"/>
        <v>0</v>
      </c>
      <c r="BA2332" s="52"/>
      <c r="BB2332" s="52"/>
      <c r="BC2332" s="52"/>
      <c r="BD2332" s="52"/>
      <c r="BE2332" s="52"/>
      <c r="BF2332" s="52"/>
      <c r="BG2332" s="52"/>
      <c r="BH2332" s="52"/>
      <c r="BI2332" s="68" cm="1">
        <f t="array" ref="BI2332">IFERROR(INDEX(AW2332:BH2332,1,MATCH(2,1/(AW2332:BH2332&lt;&gt;""))),"")</f>
        <v>0</v>
      </c>
      <c r="BJ2332" s="68" cm="1">
        <f t="array" ref="BJ2332">IF(BM2332 = "", "",IFERROR(INDEX(AW2332:BH2332,1,MATCH(2,1/(AW2332:BH2332&lt;&gt;""),1)-1),""))</f>
        <v>0</v>
      </c>
      <c r="BK2332" s="59">
        <f t="shared" si="2815"/>
        <v>0</v>
      </c>
      <c r="BL2332" s="59" cm="1">
        <f t="array" ref="BL2332">IFERROR(SUM(AW2332:INDEX(AW2332:BH2332, MATCH(2, 1/(AW2332:BH2332&lt;&gt;""), 1) - 1))/_xlfn.XLOOKUP(F2332,Apuração!A:A,Apuração!B:B),0)</f>
        <v>0</v>
      </c>
      <c r="BM2332" s="55" cm="1">
        <f t="array" ref="BM2332">IFERROR(
   INDEX($AW$1:$BH$1,
      _xlfn.AGGREGATE(14, 6, COLUMN($AW$1:$BH$1)/(AW2332:BH2332&lt;&gt;""), 2) - COLUMN($AW$1) + 1
   ),
"")</f>
        <v>46082</v>
      </c>
      <c r="BN2332" s="55" cm="1">
        <f t="array" ref="BN2332">IFERROR(INDEX($AW$1:$BH$1,1,MATCH(2,1/(AW2332:BH2332&lt;&gt;""))),"")</f>
        <v>46113</v>
      </c>
      <c r="BO2332" s="53">
        <f ca="1">IFERROR(_xlfn.XLOOKUP(F2332,Apuração!A:A,Apuração!C:C)/_xlfn.XLOOKUP(F2332,Apuração!A:A,Apuração!B:B),0)</f>
        <v>0</v>
      </c>
      <c r="BP2332" s="53">
        <f ca="1">IFERROR(_xlfn.XLOOKUP(F2332,Apuração!A:A,Apuração!D:D)/_xlfn.XLOOKUP(F2332,Apuração!A:A,Apuração!B:B),0)</f>
        <v>0</v>
      </c>
      <c r="BQ2332" s="53">
        <f ca="1">IF(BK2332&gt;=BO2332,0,_xlfn.XLOOKUP(F2332,Apuração!A:A,Apuração!B:B)*(BO2332 + (1/_xlfn.XLOOKUP(F2332,Apuração!A:A,Apuração!B:B)) - BK2332))</f>
        <v>0</v>
      </c>
      <c r="BR2332" s="85">
        <f t="shared" ca="1" si="2816"/>
        <v>0</v>
      </c>
      <c r="BS2332" s="53">
        <f ca="1">IFERROR((_xlfn.XLOOKUP(F2332,Apuração!A:A,Apuração!C:C)+1)/_xlfn.XLOOKUP(F2332,Apuração!A:A,Apuração!B:B),0)</f>
        <v>0.14285714285714285</v>
      </c>
    </row>
    <row r="2333" spans="1:71" ht="25.95" hidden="1" customHeight="1" x14ac:dyDescent="0.3">
      <c r="A2333" s="3" t="s">
        <v>33</v>
      </c>
      <c r="B2333" s="4" t="s">
        <v>84</v>
      </c>
      <c r="C2333" s="5" t="s">
        <v>221</v>
      </c>
      <c r="D2333" s="5" t="s">
        <v>36</v>
      </c>
      <c r="E2333" s="4" t="s">
        <v>96</v>
      </c>
      <c r="F2333" s="4" t="str" cm="1">
        <f t="array" ref="F2333">_xlfn.IFS(
AG2333 &lt;&gt; "", "Jan-Dez/26",
AH2333 &lt;&gt; "", "Fev-Dez/26",
AI2333 &lt;&gt; "", "Mar-Dez/26", AJ2333 &lt;&gt; "", "Abr-Dez/26",
TRUE, "A partir de Junho"
)</f>
        <v>A partir de Junho</v>
      </c>
      <c r="G2333" s="4" t="s">
        <v>62</v>
      </c>
      <c r="H2333" s="7" t="s">
        <v>38</v>
      </c>
      <c r="I2333" s="8" t="s">
        <v>55</v>
      </c>
      <c r="J2333" s="8" t="str" cm="1">
        <f t="array" aca="1" ref="J2333" ca="1">_xlfn.LET(
  _xlpm.actual_value_month, INDEX(T2333:AE2333, MATCH(DATE(YEAR(TODAY()), MONTH(TODAY()), 1), $T$1:$AE$1, 0)),
  IF(_xlpm.actual_value_month &lt;&gt; "",_xlpm.actual_value_month &amp; " ações mensais", "")
)</f>
        <v>2 ações mensais</v>
      </c>
      <c r="K2333" s="14" t="str" cm="1">
        <f t="array" ref="K2333">_xlfn.LET(
    _xlpm.sum_month, SUM(T2333:AE2333),
    IF(_xlpm.sum_month = 0, "", _xlpm.sum_month &amp; " eventos realizados")
)</f>
        <v>18 eventos realizados</v>
      </c>
      <c r="L2333" s="9" t="s">
        <v>56</v>
      </c>
      <c r="M2333" s="13" t="s">
        <v>86</v>
      </c>
      <c r="N2333" s="5" t="s">
        <v>42</v>
      </c>
      <c r="O2333" s="5" t="s">
        <v>43</v>
      </c>
      <c r="P2333" s="10" t="s">
        <v>44</v>
      </c>
      <c r="Q2333" s="10" t="s">
        <v>44</v>
      </c>
      <c r="R2333" s="11" t="s">
        <v>44</v>
      </c>
      <c r="S2333" s="11" t="s">
        <v>44</v>
      </c>
      <c r="T2333" s="22"/>
      <c r="U2333" s="22"/>
      <c r="V2333" s="22"/>
      <c r="W2333" s="22">
        <v>2</v>
      </c>
      <c r="X2333" s="22">
        <v>2</v>
      </c>
      <c r="Y2333" s="22">
        <v>2</v>
      </c>
      <c r="Z2333" s="22">
        <v>2</v>
      </c>
      <c r="AA2333" s="22">
        <v>2</v>
      </c>
      <c r="AB2333" s="22">
        <v>2</v>
      </c>
      <c r="AC2333" s="22">
        <v>2</v>
      </c>
      <c r="AD2333" s="22">
        <v>2</v>
      </c>
      <c r="AE2333" s="22">
        <v>2</v>
      </c>
      <c r="AG2333" s="71"/>
      <c r="AH2333" s="71"/>
      <c r="AI2333" s="71"/>
      <c r="AJ2333" s="71"/>
      <c r="AK2333" s="71"/>
      <c r="AL2333" s="71"/>
      <c r="AM2333" s="71"/>
      <c r="AN2333" s="71"/>
      <c r="AO2333" s="71"/>
      <c r="AP2333" s="71"/>
      <c r="AQ2333" s="71"/>
      <c r="AR2333" s="71"/>
      <c r="AS2333" s="94">
        <f t="shared" ca="1" si="2697"/>
        <v>4</v>
      </c>
      <c r="AT2333" s="95">
        <f>SUM(IF(AW2333&lt;1.15,AG2333,1.15*T2333),IF(AX2333&lt;1.15,AH2333,1.15*U2333),IF(AY2333&lt;1.15,AI2333,1.15*V2333),IF(AZ2333&lt;1.15,AJ2333,1.15*W2333),IF(BA2333&lt;1.15,AK2333,1.15*X2333),IF(BB2333&lt;1.15,AL2333,1.15*Y2333),IF(BC2333&lt;1.15,AM2333,1.15*Z2333),IF(BD2333&lt;1.15,AN2333,1.15*AA2333),IF(BE2333&lt;1.15,AO2333,1.15*AB2333),IF(BF2333&lt;1.15,AP2333,1.15*AC2333),IF(BG2333&lt;1.15,AQ2333,1.15*AD2333),IF(BH2333&lt;1.15,AR2333,1.15*AE2333))</f>
        <v>0</v>
      </c>
      <c r="AU2333" s="97">
        <f t="shared" si="2698"/>
        <v>0</v>
      </c>
      <c r="AW2333" s="51">
        <f>IFERROR(IF(AG2333="",0,AG2333/T2333),0)</f>
        <v>0</v>
      </c>
      <c r="AX2333" s="51">
        <f>IFERROR(IF(AH2333="",0,AH2333/U2333),0)</f>
        <v>0</v>
      </c>
      <c r="AY2333" s="51">
        <f>IFERROR(IF(AI2333="",0,AI2333/V2333),0)</f>
        <v>0</v>
      </c>
      <c r="AZ2333" s="51">
        <f>IFERROR(IF(AJ2333="",0,AJ2333/W2333),0)</f>
        <v>0</v>
      </c>
      <c r="BA2333" s="51"/>
      <c r="BB2333" s="51"/>
      <c r="BC2333" s="51"/>
      <c r="BD2333" s="51"/>
      <c r="BE2333" s="51"/>
      <c r="BF2333" s="51"/>
      <c r="BG2333" s="51"/>
      <c r="BH2333" s="51"/>
      <c r="BI2333" s="65" cm="1">
        <f t="array" ref="BI2333">IFERROR(INDEX(AW2333:BH2333,1,MATCH(2,1/(AW2333:BH2333&lt;&gt;""))),"")</f>
        <v>0</v>
      </c>
      <c r="BJ2333" s="68" cm="1">
        <f t="array" ref="BJ2333">IF(BM2333 = "", "",IFERROR(INDEX(AW2333:BH2333,1,MATCH(2,1/(AW2333:BH2333&lt;&gt;""),1)-1),""))</f>
        <v>0</v>
      </c>
      <c r="BK2333" s="58">
        <f>IF((IF(AW2333&gt;=115%,115%,AW2333) + IF(AX2333&gt;=115%,115%,AX2333) + IF(AY2333&gt;=115%,115%,AY2333) + (IF(AZ2333&gt;=115%,115%,AZ2333) + IF(BA2333&gt;=115%,115%,BA2333) + IF(BB2333&gt;=115%,115%,BB2333) + IF(BC2333&gt;=115%,115%,BC2333) + IF(BD2333&gt;=115%,115%,BD2333) + IF(BE2333&gt;=115%,115%,BE2333) + IF(BF2333&gt;=115%,115%,BF2333) + IF(BG2333&gt;=115%,115%,BG2333) + IF(BH2333&gt;=115%,115%,BH2333)))/_xlfn.XLOOKUP(F2333,Apuração!A:A,Apuração!B:B)&gt;=1.15,1.15,((IF(AZ2333&gt;=115%,115%,AZ2333) + IF(AX2333&gt;=115%,115%,AX2333) + IF(AY2333&gt;=115%,115%,AY2333) + (IF(AW2333&gt;=115%,115%,AW2333) + IF(BA2333&gt;=115%,115%,BA2333) + IF(BB2333&gt;=115%,115%,BB2333) + IF(BC2333&gt;=115%,115%,BC2333) + IF(BD2333&gt;=115%,115%,BD2333) + IF(BE2333&gt;=115%,115%,BE2333) + IF(BF2333&gt;=115%,115%,BF2333) + IF(BG2333&gt;=115%,115%,BG2333) + IF(BH2333&gt;=115%,115%,BH2333)))/_xlfn.XLOOKUP(F2333,Apuração!A:A,Apuração!B:B)))</f>
        <v>0</v>
      </c>
      <c r="BL2333" s="58" cm="1">
        <f t="array" aca="1" ref="BL2333" ca="1">IF(SUM(IFERROR(IF(INDEX(AW2333:INDEX(AW2333:BH2333, MATCH(2, 1/(AW2333:BH2333&lt;&gt;""), 1)-1), ROW(INDIRECT("1:" &amp; MATCH(2, 1/(AW2333:BH2333&lt;&gt;""), 1)-1))) &gt;= 115%, 115%, INDEX(AW2333:INDEX(AW2333:BH2333, MATCH(2, 1/(AW2333:BH2333&lt;&gt;""), 1)-1), ROW(INDIRECT("1:" &amp; MATCH(2, 1/(AW2333:BH2333&lt;&gt;""), 1)-1)))), 0))/_xlfn.XLOOKUP(F2333,Apuração!A:A,Apuração!B:B)&gt;=1.15,1.15,SUM(IFERROR(IF(INDEX(AW2333:INDEX(AW2333:BH2333, MATCH(2, 1/(AW2333:BH2333&lt;&gt;""), 1)-1), ROW(INDIRECT("1:" &amp; MATCH(2, 1/(AW2333:BH2333&lt;&gt;""), 1)-1))) &gt;= 115%, 115%, INDEX(AW2333:INDEX(AW2333:BH2333, MATCH(2, 1/(AW2333:BH2333&lt;&gt;""), 1)-1), ROW(INDIRECT("1:" &amp; MATCH(2, 1/(AW2333:BH2333&lt;&gt;""), 1)-1)))), 0))/_xlfn.XLOOKUP(F2333,Apuração!A:A,Apuração!B:B))</f>
        <v>0</v>
      </c>
      <c r="BM2333" s="55" cm="1">
        <f t="array" ref="BM2333">IFERROR(
   INDEX($AW$1:$BH$1,
      _xlfn.AGGREGATE(14, 6, COLUMN($AW$1:$BH$1)/(AW2333:BH2333&lt;&gt;""), 2) - COLUMN($AW$1) + 1
   ),
"")</f>
        <v>46082</v>
      </c>
      <c r="BN2333" s="55" cm="1">
        <f t="array" ref="BN2333">IFERROR(INDEX($AW$1:$BH$1,1,MATCH(2,1/(AW2333:BH2333&lt;&gt;""))),"")</f>
        <v>46113</v>
      </c>
      <c r="BO2333" s="53">
        <f ca="1">IFERROR(_xlfn.XLOOKUP(F2333,Apuração!A:A,Apuração!C:C)/_xlfn.XLOOKUP(F2333,Apuração!A:A,Apuração!B:B),0)</f>
        <v>0</v>
      </c>
      <c r="BP2333" s="53">
        <f ca="1">IFERROR(_xlfn.XLOOKUP(F2333,Apuração!A:A,Apuração!D:D)/_xlfn.XLOOKUP(F2333,Apuração!A:A,Apuração!B:B),0)</f>
        <v>0</v>
      </c>
      <c r="BQ2333" s="53">
        <f ca="1">IF(BK2333&gt;=BO2333,0,_xlfn.XLOOKUP(F2333,Apuração!A:A,Apuração!B:B)*(BO2333 + (1/_xlfn.XLOOKUP(F2333,Apuração!A:A,Apuração!B:B)) - BK2333))</f>
        <v>0</v>
      </c>
      <c r="BR2333" s="85">
        <f t="shared" ca="1" si="2696"/>
        <v>0</v>
      </c>
      <c r="BS2333" s="53">
        <f ca="1">IFERROR((_xlfn.XLOOKUP(F2333,Apuração!A:A,Apuração!C:C)+1)/_xlfn.XLOOKUP(F2333,Apuração!A:A,Apuração!B:B),0)</f>
        <v>0.14285714285714285</v>
      </c>
    </row>
    <row r="2334" spans="1:71" ht="25.95" hidden="1" customHeight="1" x14ac:dyDescent="0.3">
      <c r="A2334" s="3" t="s">
        <v>33</v>
      </c>
      <c r="B2334" s="4" t="s">
        <v>84</v>
      </c>
      <c r="C2334" s="5" t="s">
        <v>221</v>
      </c>
      <c r="D2334" s="5" t="s">
        <v>212</v>
      </c>
      <c r="E2334" s="4" t="s">
        <v>96</v>
      </c>
      <c r="F2334" s="4" t="str" cm="1">
        <f t="array" ref="F2334">_xlfn.IFS(
AG2334 &lt;&gt; "", "Jan-Dez/26",
AH2334 &lt;&gt; "", "Fev-Dez/26",
AI2334 &lt;&gt; "", "Mar-Dez/26", AJ2334 &lt;&gt; "", "Abr-Dez/26",
TRUE, "A partir de Junho"
)</f>
        <v>A partir de Junho</v>
      </c>
      <c r="G2334" s="4" t="s">
        <v>62</v>
      </c>
      <c r="H2334" s="7" t="s">
        <v>38</v>
      </c>
      <c r="I2334" s="8" t="s">
        <v>55</v>
      </c>
      <c r="J2334" s="8" t="str" cm="1">
        <f t="array" aca="1" ref="J2334" ca="1">_xlfn.LET(
  _xlpm.actual_value_month, INDEX(T2334:AE2334, MATCH(DATE(YEAR(TODAY()), MONTH(TODAY()), 1), $T$1:$AE$1, 0)),
  IF(_xlpm.actual_value_month &lt;&gt; "",_xlpm.actual_value_month &amp; " ações mensais", "")
)</f>
        <v>1 ações mensais</v>
      </c>
      <c r="K2334" s="14" t="str" cm="1">
        <f t="array" ref="K2334">_xlfn.LET(
    _xlpm.sum_month, SUM(T2334:AE2334),
    IF(_xlpm.sum_month = 0, "", _xlpm.sum_month &amp; " eventos realizados")
)</f>
        <v>12 eventos realizados</v>
      </c>
      <c r="L2334" s="9" t="s">
        <v>56</v>
      </c>
      <c r="M2334" s="13" t="s">
        <v>86</v>
      </c>
      <c r="N2334" s="5" t="s">
        <v>42</v>
      </c>
      <c r="O2334" s="5" t="s">
        <v>43</v>
      </c>
      <c r="P2334" s="10" t="s">
        <v>44</v>
      </c>
      <c r="Q2334" s="10" t="s">
        <v>44</v>
      </c>
      <c r="R2334" s="11" t="s">
        <v>44</v>
      </c>
      <c r="S2334" s="11" t="s">
        <v>44</v>
      </c>
      <c r="T2334" s="143">
        <v>1</v>
      </c>
      <c r="U2334" s="143">
        <v>1</v>
      </c>
      <c r="V2334" s="143">
        <v>1</v>
      </c>
      <c r="W2334" s="143">
        <v>1</v>
      </c>
      <c r="X2334" s="143">
        <v>1</v>
      </c>
      <c r="Y2334" s="143">
        <v>1</v>
      </c>
      <c r="Z2334" s="143">
        <v>1</v>
      </c>
      <c r="AA2334" s="143">
        <v>1</v>
      </c>
      <c r="AB2334" s="143">
        <v>1</v>
      </c>
      <c r="AC2334" s="143">
        <v>1</v>
      </c>
      <c r="AD2334" s="143">
        <v>1</v>
      </c>
      <c r="AE2334" s="143">
        <v>1</v>
      </c>
      <c r="AG2334" s="71"/>
      <c r="AH2334" s="71"/>
      <c r="AI2334" s="71"/>
      <c r="AJ2334" s="71"/>
      <c r="AK2334" s="71"/>
      <c r="AL2334" s="71"/>
      <c r="AM2334" s="71"/>
      <c r="AN2334" s="71"/>
      <c r="AO2334" s="71"/>
      <c r="AP2334" s="71"/>
      <c r="AQ2334" s="71"/>
      <c r="AR2334" s="71"/>
      <c r="AS2334" s="94">
        <f t="shared" ref="AS2334:AS2335" ca="1" si="2817">IF(MONTH(TODAY())=3,SUM(T2334:U2334),IF(MONTH(TODAY())=4,SUM(T2334:V2334),IF(MONTH(TODAY())=5,SUM(T2334:W2334),IF(MONTH(TODAY())=6,SUM(T2334:X2334),IF(MONTH(TODAY())=7,SUM(T2334:Y2334),IF(MONTH(TODAY())=8,SUM(T2334:Z2334),IF(MONTH(TODAY())=9,SUM(T2334:AA2334),IF(MONTH(TODAY())=10,SUM(T2334:AB2334),IF(MONTH(TODAY())=11,SUM(T2334:AC2334),IF(MONTH(TODAY())=12,SUM(T2334:AD2334),IF(MONTH(TODAY())=1,SUM(T2334:AE2334),T2334)))))))))))</f>
        <v>5</v>
      </c>
      <c r="AT2334" s="95">
        <f t="shared" ref="AT2334:AT2335" si="2818">SUM(IF(AW2334&lt;1.15,AG2334,1.15*T2334),IF(AX2334&lt;1.15,AH2334,1.15*U2334),IF(AY2334&lt;1.15,AI2334,1.15*V2334),IF(AZ2334&lt;1.15,AJ2334,1.15*W2334),IF(BA2334&lt;1.15,AK2334,1.15*X2334),IF(BB2334&lt;1.15,AL2334,1.15*Y2334),IF(BC2334&lt;1.15,AM2334,1.15*Z2334),IF(BD2334&lt;1.15,AN2334,1.15*AA2334),IF(BE2334&lt;1.15,AO2334,1.15*AB2334),IF(BF2334&lt;1.15,AP2334,1.15*AC2334),IF(BG2334&lt;1.15,AQ2334,1.15*AD2334),IF(BH2334&lt;1.15,AR2334,1.15*AE2334))</f>
        <v>0</v>
      </c>
      <c r="AU2334" s="97">
        <f t="shared" ref="AU2334:AU2335" si="2819">SUM(AG2334:AR2334)</f>
        <v>0</v>
      </c>
      <c r="AW2334" s="51">
        <f t="shared" ref="AW2334:AW2335" si="2820">IFERROR(IF(AG2334="",0,AG2334/T2334),0)</f>
        <v>0</v>
      </c>
      <c r="AX2334" s="51">
        <f t="shared" ref="AX2334:AX2335" si="2821">IFERROR(IF(AH2334="",0,AH2334/U2334),0)</f>
        <v>0</v>
      </c>
      <c r="AY2334" s="51">
        <f t="shared" ref="AY2334:AY2335" si="2822">IFERROR(IF(AI2334="",0,AI2334/V2334),0)</f>
        <v>0</v>
      </c>
      <c r="AZ2334" s="51">
        <f t="shared" ref="AZ2334:AZ2335" si="2823">IFERROR(IF(AJ2334="",0,AJ2334/W2334),0)</f>
        <v>0</v>
      </c>
      <c r="BA2334" s="51"/>
      <c r="BB2334" s="51"/>
      <c r="BC2334" s="51"/>
      <c r="BD2334" s="51"/>
      <c r="BE2334" s="51"/>
      <c r="BF2334" s="51"/>
      <c r="BG2334" s="51"/>
      <c r="BH2334" s="51"/>
      <c r="BI2334" s="65" cm="1">
        <f t="array" ref="BI2334">IFERROR(INDEX(AW2334:BH2334,1,MATCH(2,1/(AW2334:BH2334&lt;&gt;""))),"")</f>
        <v>0</v>
      </c>
      <c r="BJ2334" s="68" cm="1">
        <f t="array" ref="BJ2334">IF(BM2334 = "", "",IFERROR(INDEX(AW2334:BH2334,1,MATCH(2,1/(AW2334:BH2334&lt;&gt;""),1)-1),""))</f>
        <v>0</v>
      </c>
      <c r="BK2334" s="58">
        <f>IF((IF(AW2334&gt;=115%,115%,AW2334) + IF(AX2334&gt;=115%,115%,AX2334) + IF(AY2334&gt;=115%,115%,AY2334) + (IF(AZ2334&gt;=115%,115%,AZ2334) + IF(BA2334&gt;=115%,115%,BA2334) + IF(BB2334&gt;=115%,115%,BB2334) + IF(BC2334&gt;=115%,115%,BC2334) + IF(BD2334&gt;=115%,115%,BD2334) + IF(BE2334&gt;=115%,115%,BE2334) + IF(BF2334&gt;=115%,115%,BF2334) + IF(BG2334&gt;=115%,115%,BG2334) + IF(BH2334&gt;=115%,115%,BH2334)))/_xlfn.XLOOKUP(F2334,Apuração!A:A,Apuração!B:B)&gt;=1.15,1.15,((IF(AZ2334&gt;=115%,115%,AZ2334) + IF(AX2334&gt;=115%,115%,AX2334) + IF(AY2334&gt;=115%,115%,AY2334) + (IF(AW2334&gt;=115%,115%,AW2334) + IF(BA2334&gt;=115%,115%,BA2334) + IF(BB2334&gt;=115%,115%,BB2334) + IF(BC2334&gt;=115%,115%,BC2334) + IF(BD2334&gt;=115%,115%,BD2334) + IF(BE2334&gt;=115%,115%,BE2334) + IF(BF2334&gt;=115%,115%,BF2334) + IF(BG2334&gt;=115%,115%,BG2334) + IF(BH2334&gt;=115%,115%,BH2334)))/_xlfn.XLOOKUP(F2334,Apuração!A:A,Apuração!B:B)))</f>
        <v>0</v>
      </c>
      <c r="BL2334" s="58" cm="1">
        <f t="array" aca="1" ref="BL2334" ca="1">IF(SUM(IFERROR(IF(INDEX(AW2334:INDEX(AW2334:BH2334, MATCH(2, 1/(AW2334:BH2334&lt;&gt;""), 1)-1), ROW(INDIRECT("1:" &amp; MATCH(2, 1/(AW2334:BH2334&lt;&gt;""), 1)-1))) &gt;= 115%, 115%, INDEX(AW2334:INDEX(AW2334:BH2334, MATCH(2, 1/(AW2334:BH2334&lt;&gt;""), 1)-1), ROW(INDIRECT("1:" &amp; MATCH(2, 1/(AW2334:BH2334&lt;&gt;""), 1)-1)))), 0))/_xlfn.XLOOKUP(F2334,Apuração!A:A,Apuração!B:B)&gt;=1.15,1.15,SUM(IFERROR(IF(INDEX(AW2334:INDEX(AW2334:BH2334, MATCH(2, 1/(AW2334:BH2334&lt;&gt;""), 1)-1), ROW(INDIRECT("1:" &amp; MATCH(2, 1/(AW2334:BH2334&lt;&gt;""), 1)-1))) &gt;= 115%, 115%, INDEX(AW2334:INDEX(AW2334:BH2334, MATCH(2, 1/(AW2334:BH2334&lt;&gt;""), 1)-1), ROW(INDIRECT("1:" &amp; MATCH(2, 1/(AW2334:BH2334&lt;&gt;""), 1)-1)))), 0))/_xlfn.XLOOKUP(F2334,Apuração!A:A,Apuração!B:B))</f>
        <v>0</v>
      </c>
      <c r="BM2334" s="55" cm="1">
        <f t="array" ref="BM2334">IFERROR(
   INDEX($AW$1:$BH$1,
      _xlfn.AGGREGATE(14, 6, COLUMN($AW$1:$BH$1)/(AW2334:BH2334&lt;&gt;""), 2) - COLUMN($AW$1) + 1
   ),
"")</f>
        <v>46082</v>
      </c>
      <c r="BN2334" s="55" cm="1">
        <f t="array" ref="BN2334">IFERROR(INDEX($AW$1:$BH$1,1,MATCH(2,1/(AW2334:BH2334&lt;&gt;""))),"")</f>
        <v>46113</v>
      </c>
      <c r="BO2334" s="53">
        <f ca="1">IFERROR(_xlfn.XLOOKUP(F2334,Apuração!A:A,Apuração!C:C)/_xlfn.XLOOKUP(F2334,Apuração!A:A,Apuração!B:B),0)</f>
        <v>0</v>
      </c>
      <c r="BP2334" s="53">
        <f ca="1">IFERROR(_xlfn.XLOOKUP(F2334,Apuração!A:A,Apuração!D:D)/_xlfn.XLOOKUP(F2334,Apuração!A:A,Apuração!B:B),0)</f>
        <v>0</v>
      </c>
      <c r="BQ2334" s="53">
        <f ca="1">IF(BK2334&gt;=BO2334,0,_xlfn.XLOOKUP(F2334,Apuração!A:A,Apuração!B:B)*(BO2334 + (1/_xlfn.XLOOKUP(F2334,Apuração!A:A,Apuração!B:B)) - BK2334))</f>
        <v>0</v>
      </c>
      <c r="BR2334" s="85">
        <f t="shared" ref="BR2334:BR2335" ca="1" si="2824">IF(BQ2334=0,0,BQ2334*Z2334)</f>
        <v>0</v>
      </c>
      <c r="BS2334" s="53">
        <f ca="1">IFERROR((_xlfn.XLOOKUP(F2334,Apuração!A:A,Apuração!C:C)+1)/_xlfn.XLOOKUP(F2334,Apuração!A:A,Apuração!B:B),0)</f>
        <v>0.14285714285714285</v>
      </c>
    </row>
    <row r="2335" spans="1:71" ht="25.95" hidden="1" customHeight="1" x14ac:dyDescent="0.3">
      <c r="A2335" s="3" t="s">
        <v>33</v>
      </c>
      <c r="B2335" s="4" t="s">
        <v>84</v>
      </c>
      <c r="C2335" s="5" t="s">
        <v>221</v>
      </c>
      <c r="D2335" s="5" t="s">
        <v>213</v>
      </c>
      <c r="E2335" s="4" t="s">
        <v>96</v>
      </c>
      <c r="F2335" s="4" t="str" cm="1">
        <f t="array" ref="F2335">_xlfn.IFS(
AG2335 &lt;&gt; "", "Jan-Dez/26",
AH2335 &lt;&gt; "", "Fev-Dez/26",
AI2335 &lt;&gt; "", "Mar-Dez/26", AJ2335 &lt;&gt; "", "Abr-Dez/26",
TRUE, "A partir de Junho"
)</f>
        <v>A partir de Junho</v>
      </c>
      <c r="G2335" s="4" t="s">
        <v>62</v>
      </c>
      <c r="H2335" s="7" t="s">
        <v>38</v>
      </c>
      <c r="I2335" s="8" t="s">
        <v>55</v>
      </c>
      <c r="J2335" s="8" t="str" cm="1">
        <f t="array" aca="1" ref="J2335" ca="1">_xlfn.LET(
  _xlpm.actual_value_month, INDEX(T2335:AE2335, MATCH(DATE(YEAR(TODAY()), MONTH(TODAY()), 1), $T$1:$AE$1, 0)),
  IF(_xlpm.actual_value_month &lt;&gt; "",_xlpm.actual_value_month &amp; " ações mensais", "")
)</f>
        <v>1 ações mensais</v>
      </c>
      <c r="K2335" s="14" t="str" cm="1">
        <f t="array" ref="K2335">_xlfn.LET(
    _xlpm.sum_month, SUM(T2335:AE2335),
    IF(_xlpm.sum_month = 0, "", _xlpm.sum_month &amp; " eventos realizados")
)</f>
        <v>12 eventos realizados</v>
      </c>
      <c r="L2335" s="9" t="s">
        <v>56</v>
      </c>
      <c r="M2335" s="13" t="s">
        <v>86</v>
      </c>
      <c r="N2335" s="5" t="s">
        <v>42</v>
      </c>
      <c r="O2335" s="5" t="s">
        <v>43</v>
      </c>
      <c r="P2335" s="10" t="s">
        <v>44</v>
      </c>
      <c r="Q2335" s="10" t="s">
        <v>44</v>
      </c>
      <c r="R2335" s="11" t="s">
        <v>44</v>
      </c>
      <c r="S2335" s="11" t="s">
        <v>44</v>
      </c>
      <c r="T2335" s="143">
        <v>1</v>
      </c>
      <c r="U2335" s="143">
        <v>1</v>
      </c>
      <c r="V2335" s="143">
        <v>1</v>
      </c>
      <c r="W2335" s="143">
        <v>1</v>
      </c>
      <c r="X2335" s="143">
        <v>1</v>
      </c>
      <c r="Y2335" s="143">
        <v>1</v>
      </c>
      <c r="Z2335" s="143">
        <v>1</v>
      </c>
      <c r="AA2335" s="143">
        <v>1</v>
      </c>
      <c r="AB2335" s="143">
        <v>1</v>
      </c>
      <c r="AC2335" s="143">
        <v>1</v>
      </c>
      <c r="AD2335" s="143">
        <v>1</v>
      </c>
      <c r="AE2335" s="143">
        <v>1</v>
      </c>
      <c r="AG2335" s="71"/>
      <c r="AH2335" s="71"/>
      <c r="AI2335" s="71"/>
      <c r="AJ2335" s="71"/>
      <c r="AK2335" s="71"/>
      <c r="AL2335" s="71"/>
      <c r="AM2335" s="71"/>
      <c r="AN2335" s="71"/>
      <c r="AO2335" s="71"/>
      <c r="AP2335" s="71"/>
      <c r="AQ2335" s="71"/>
      <c r="AR2335" s="71"/>
      <c r="AS2335" s="94">
        <f t="shared" ca="1" si="2817"/>
        <v>5</v>
      </c>
      <c r="AT2335" s="95">
        <f t="shared" si="2818"/>
        <v>0</v>
      </c>
      <c r="AU2335" s="97">
        <f t="shared" si="2819"/>
        <v>0</v>
      </c>
      <c r="AW2335" s="51">
        <f t="shared" si="2820"/>
        <v>0</v>
      </c>
      <c r="AX2335" s="51">
        <f t="shared" si="2821"/>
        <v>0</v>
      </c>
      <c r="AY2335" s="51">
        <f t="shared" si="2822"/>
        <v>0</v>
      </c>
      <c r="AZ2335" s="51">
        <f t="shared" si="2823"/>
        <v>0</v>
      </c>
      <c r="BA2335" s="51"/>
      <c r="BB2335" s="51"/>
      <c r="BC2335" s="51"/>
      <c r="BD2335" s="51"/>
      <c r="BE2335" s="51"/>
      <c r="BF2335" s="51"/>
      <c r="BG2335" s="51"/>
      <c r="BH2335" s="51"/>
      <c r="BI2335" s="65" cm="1">
        <f t="array" ref="BI2335">IFERROR(INDEX(AW2335:BH2335,1,MATCH(2,1/(AW2335:BH2335&lt;&gt;""))),"")</f>
        <v>0</v>
      </c>
      <c r="BJ2335" s="68" cm="1">
        <f t="array" ref="BJ2335">IF(BM2335 = "", "",IFERROR(INDEX(AW2335:BH2335,1,MATCH(2,1/(AW2335:BH2335&lt;&gt;""),1)-1),""))</f>
        <v>0</v>
      </c>
      <c r="BK2335" s="58">
        <f>IF((IF(AW2335&gt;=115%,115%,AW2335) + IF(AX2335&gt;=115%,115%,AX2335) + IF(AY2335&gt;=115%,115%,AY2335) + (IF(AZ2335&gt;=115%,115%,AZ2335) + IF(BA2335&gt;=115%,115%,BA2335) + IF(BB2335&gt;=115%,115%,BB2335) + IF(BC2335&gt;=115%,115%,BC2335) + IF(BD2335&gt;=115%,115%,BD2335) + IF(BE2335&gt;=115%,115%,BE2335) + IF(BF2335&gt;=115%,115%,BF2335) + IF(BG2335&gt;=115%,115%,BG2335) + IF(BH2335&gt;=115%,115%,BH2335)))/_xlfn.XLOOKUP(F2335,Apuração!A:A,Apuração!B:B)&gt;=1.15,1.15,((IF(AZ2335&gt;=115%,115%,AZ2335) + IF(AX2335&gt;=115%,115%,AX2335) + IF(AY2335&gt;=115%,115%,AY2335) + (IF(AW2335&gt;=115%,115%,AW2335) + IF(BA2335&gt;=115%,115%,BA2335) + IF(BB2335&gt;=115%,115%,BB2335) + IF(BC2335&gt;=115%,115%,BC2335) + IF(BD2335&gt;=115%,115%,BD2335) + IF(BE2335&gt;=115%,115%,BE2335) + IF(BF2335&gt;=115%,115%,BF2335) + IF(BG2335&gt;=115%,115%,BG2335) + IF(BH2335&gt;=115%,115%,BH2335)))/_xlfn.XLOOKUP(F2335,Apuração!A:A,Apuração!B:B)))</f>
        <v>0</v>
      </c>
      <c r="BL2335" s="58" cm="1">
        <f t="array" aca="1" ref="BL2335" ca="1">IF(SUM(IFERROR(IF(INDEX(AW2335:INDEX(AW2335:BH2335, MATCH(2, 1/(AW2335:BH2335&lt;&gt;""), 1)-1), ROW(INDIRECT("1:" &amp; MATCH(2, 1/(AW2335:BH2335&lt;&gt;""), 1)-1))) &gt;= 115%, 115%, INDEX(AW2335:INDEX(AW2335:BH2335, MATCH(2, 1/(AW2335:BH2335&lt;&gt;""), 1)-1), ROW(INDIRECT("1:" &amp; MATCH(2, 1/(AW2335:BH2335&lt;&gt;""), 1)-1)))), 0))/_xlfn.XLOOKUP(F2335,Apuração!A:A,Apuração!B:B)&gt;=1.15,1.15,SUM(IFERROR(IF(INDEX(AW2335:INDEX(AW2335:BH2335, MATCH(2, 1/(AW2335:BH2335&lt;&gt;""), 1)-1), ROW(INDIRECT("1:" &amp; MATCH(2, 1/(AW2335:BH2335&lt;&gt;""), 1)-1))) &gt;= 115%, 115%, INDEX(AW2335:INDEX(AW2335:BH2335, MATCH(2, 1/(AW2335:BH2335&lt;&gt;""), 1)-1), ROW(INDIRECT("1:" &amp; MATCH(2, 1/(AW2335:BH2335&lt;&gt;""), 1)-1)))), 0))/_xlfn.XLOOKUP(F2335,Apuração!A:A,Apuração!B:B))</f>
        <v>0</v>
      </c>
      <c r="BM2335" s="55" cm="1">
        <f t="array" ref="BM2335">IFERROR(
   INDEX($AW$1:$BH$1,
      _xlfn.AGGREGATE(14, 6, COLUMN($AW$1:$BH$1)/(AW2335:BH2335&lt;&gt;""), 2) - COLUMN($AW$1) + 1
   ),
"")</f>
        <v>46082</v>
      </c>
      <c r="BN2335" s="55" cm="1">
        <f t="array" ref="BN2335">IFERROR(INDEX($AW$1:$BH$1,1,MATCH(2,1/(AW2335:BH2335&lt;&gt;""))),"")</f>
        <v>46113</v>
      </c>
      <c r="BO2335" s="53">
        <f ca="1">IFERROR(_xlfn.XLOOKUP(F2335,Apuração!A:A,Apuração!C:C)/_xlfn.XLOOKUP(F2335,Apuração!A:A,Apuração!B:B),0)</f>
        <v>0</v>
      </c>
      <c r="BP2335" s="53">
        <f ca="1">IFERROR(_xlfn.XLOOKUP(F2335,Apuração!A:A,Apuração!D:D)/_xlfn.XLOOKUP(F2335,Apuração!A:A,Apuração!B:B),0)</f>
        <v>0</v>
      </c>
      <c r="BQ2335" s="53">
        <f ca="1">IF(BK2335&gt;=BO2335,0,_xlfn.XLOOKUP(F2335,Apuração!A:A,Apuração!B:B)*(BO2335 + (1/_xlfn.XLOOKUP(F2335,Apuração!A:A,Apuração!B:B)) - BK2335))</f>
        <v>0</v>
      </c>
      <c r="BR2335" s="85">
        <f t="shared" ca="1" si="2824"/>
        <v>0</v>
      </c>
      <c r="BS2335" s="53">
        <f ca="1">IFERROR((_xlfn.XLOOKUP(F2335,Apuração!A:A,Apuração!C:C)+1)/_xlfn.XLOOKUP(F2335,Apuração!A:A,Apuração!B:B),0)</f>
        <v>0.14285714285714285</v>
      </c>
    </row>
    <row r="2336" spans="1:71" ht="25.95" hidden="1" customHeight="1" x14ac:dyDescent="0.3">
      <c r="A2336" s="3" t="s">
        <v>33</v>
      </c>
      <c r="B2336" s="4" t="s">
        <v>84</v>
      </c>
      <c r="C2336" s="5" t="s">
        <v>221</v>
      </c>
      <c r="D2336" s="5" t="s">
        <v>36</v>
      </c>
      <c r="E2336" s="4" t="s">
        <v>96</v>
      </c>
      <c r="F2336" s="4" t="s">
        <v>236</v>
      </c>
      <c r="G2336" s="4" t="s">
        <v>62</v>
      </c>
      <c r="H2336" s="7" t="s">
        <v>38</v>
      </c>
      <c r="I2336" s="8" t="s">
        <v>76</v>
      </c>
      <c r="J2336" s="8" t="s">
        <v>237</v>
      </c>
      <c r="K2336" s="14" t="s">
        <v>237</v>
      </c>
      <c r="L2336" s="9" t="s">
        <v>76</v>
      </c>
      <c r="M2336" s="13">
        <v>1</v>
      </c>
      <c r="N2336" s="5" t="s">
        <v>51</v>
      </c>
      <c r="O2336" s="5" t="s">
        <v>52</v>
      </c>
      <c r="P2336" s="10" t="s">
        <v>44</v>
      </c>
      <c r="Q2336" s="10" t="s">
        <v>44</v>
      </c>
      <c r="R2336" s="11" t="s">
        <v>44</v>
      </c>
      <c r="S2336" s="11" t="s">
        <v>44</v>
      </c>
      <c r="T2336" s="22"/>
      <c r="U2336" s="22"/>
      <c r="V2336" s="22"/>
      <c r="W2336" s="22"/>
      <c r="X2336" s="22"/>
      <c r="Y2336" s="22"/>
      <c r="Z2336" s="22"/>
      <c r="AA2336" s="22"/>
      <c r="AB2336" s="22"/>
      <c r="AC2336" s="22"/>
      <c r="AD2336" s="22"/>
      <c r="AE2336" s="22"/>
      <c r="AG2336" s="71"/>
      <c r="AH2336" s="71"/>
      <c r="AI2336" s="71"/>
      <c r="AJ2336" s="71"/>
      <c r="AK2336" s="71"/>
      <c r="AL2336" s="71"/>
      <c r="AM2336" s="71"/>
      <c r="AN2336" s="71"/>
      <c r="AO2336" s="71"/>
      <c r="AP2336" s="71"/>
      <c r="AQ2336" s="71"/>
      <c r="AR2336" s="71"/>
      <c r="AS2336" s="94">
        <v>0</v>
      </c>
      <c r="AT2336" s="95">
        <v>0</v>
      </c>
      <c r="AU2336" s="97">
        <v>0</v>
      </c>
      <c r="AW2336" s="51">
        <v>0</v>
      </c>
      <c r="AX2336" s="51">
        <v>0</v>
      </c>
      <c r="AY2336" s="51">
        <v>0</v>
      </c>
      <c r="AZ2336" s="51">
        <v>0</v>
      </c>
      <c r="BA2336" s="51"/>
      <c r="BB2336" s="51"/>
      <c r="BC2336" s="51"/>
      <c r="BD2336" s="51"/>
      <c r="BE2336" s="51"/>
      <c r="BF2336" s="51"/>
      <c r="BG2336" s="51"/>
      <c r="BH2336" s="51"/>
      <c r="BI2336" s="65">
        <v>0</v>
      </c>
      <c r="BJ2336" s="68">
        <v>0</v>
      </c>
      <c r="BK2336" s="58">
        <v>0</v>
      </c>
      <c r="BL2336" s="58">
        <v>0</v>
      </c>
      <c r="BM2336" s="55">
        <v>46082</v>
      </c>
      <c r="BN2336" s="55">
        <v>46113</v>
      </c>
      <c r="BO2336" s="53">
        <v>0</v>
      </c>
      <c r="BP2336" s="53">
        <v>0</v>
      </c>
      <c r="BQ2336" s="53">
        <v>0</v>
      </c>
      <c r="BR2336" s="85">
        <v>0</v>
      </c>
      <c r="BS2336" s="53">
        <v>0.14285714285714285</v>
      </c>
    </row>
    <row r="2337" spans="1:71" ht="25.95" hidden="1" customHeight="1" x14ac:dyDescent="0.3">
      <c r="A2337" s="3" t="s">
        <v>33</v>
      </c>
      <c r="B2337" s="4" t="s">
        <v>84</v>
      </c>
      <c r="C2337" s="5" t="s">
        <v>221</v>
      </c>
      <c r="D2337" s="5" t="s">
        <v>212</v>
      </c>
      <c r="E2337" s="4" t="s">
        <v>96</v>
      </c>
      <c r="F2337" s="4" t="s">
        <v>236</v>
      </c>
      <c r="G2337" s="4" t="s">
        <v>62</v>
      </c>
      <c r="H2337" s="7" t="s">
        <v>38</v>
      </c>
      <c r="I2337" s="8" t="s">
        <v>76</v>
      </c>
      <c r="J2337" s="8" t="s">
        <v>237</v>
      </c>
      <c r="K2337" s="14" t="s">
        <v>237</v>
      </c>
      <c r="L2337" s="9" t="s">
        <v>76</v>
      </c>
      <c r="M2337" s="13">
        <v>1</v>
      </c>
      <c r="N2337" s="5" t="s">
        <v>51</v>
      </c>
      <c r="O2337" s="5" t="s">
        <v>52</v>
      </c>
      <c r="P2337" s="10" t="s">
        <v>44</v>
      </c>
      <c r="Q2337" s="10" t="s">
        <v>44</v>
      </c>
      <c r="R2337" s="11" t="s">
        <v>44</v>
      </c>
      <c r="S2337" s="11" t="s">
        <v>44</v>
      </c>
      <c r="T2337" s="22"/>
      <c r="U2337" s="22"/>
      <c r="V2337" s="22"/>
      <c r="W2337" s="22"/>
      <c r="X2337" s="22"/>
      <c r="Y2337" s="22"/>
      <c r="Z2337" s="22"/>
      <c r="AA2337" s="22"/>
      <c r="AB2337" s="22"/>
      <c r="AC2337" s="22"/>
      <c r="AD2337" s="22"/>
      <c r="AE2337" s="22"/>
      <c r="AG2337" s="71"/>
      <c r="AH2337" s="71"/>
      <c r="AI2337" s="71"/>
      <c r="AJ2337" s="71"/>
      <c r="AK2337" s="71"/>
      <c r="AL2337" s="71"/>
      <c r="AM2337" s="71"/>
      <c r="AN2337" s="71"/>
      <c r="AO2337" s="71"/>
      <c r="AP2337" s="71"/>
      <c r="AQ2337" s="71"/>
      <c r="AR2337" s="71"/>
      <c r="AS2337" s="94">
        <v>0</v>
      </c>
      <c r="AT2337" s="95">
        <v>0</v>
      </c>
      <c r="AU2337" s="97">
        <v>0</v>
      </c>
      <c r="AW2337" s="51">
        <v>0</v>
      </c>
      <c r="AX2337" s="51">
        <v>0</v>
      </c>
      <c r="AY2337" s="51">
        <v>0</v>
      </c>
      <c r="AZ2337" s="51">
        <v>0</v>
      </c>
      <c r="BA2337" s="51"/>
      <c r="BB2337" s="51"/>
      <c r="BC2337" s="51"/>
      <c r="BD2337" s="51"/>
      <c r="BE2337" s="51"/>
      <c r="BF2337" s="51"/>
      <c r="BG2337" s="51"/>
      <c r="BH2337" s="51"/>
      <c r="BI2337" s="65">
        <v>0</v>
      </c>
      <c r="BJ2337" s="68">
        <v>0</v>
      </c>
      <c r="BK2337" s="58">
        <v>0</v>
      </c>
      <c r="BL2337" s="58">
        <v>0</v>
      </c>
      <c r="BM2337" s="55">
        <v>46082</v>
      </c>
      <c r="BN2337" s="55">
        <v>46113</v>
      </c>
      <c r="BO2337" s="53">
        <v>0</v>
      </c>
      <c r="BP2337" s="53">
        <v>0</v>
      </c>
      <c r="BQ2337" s="53">
        <v>0</v>
      </c>
      <c r="BR2337" s="85">
        <v>0</v>
      </c>
      <c r="BS2337" s="53">
        <v>0.14285714285714285</v>
      </c>
    </row>
    <row r="2338" spans="1:71" ht="25.95" hidden="1" customHeight="1" x14ac:dyDescent="0.3">
      <c r="A2338" s="3" t="s">
        <v>33</v>
      </c>
      <c r="B2338" s="4" t="s">
        <v>84</v>
      </c>
      <c r="C2338" s="5" t="s">
        <v>221</v>
      </c>
      <c r="D2338" s="5" t="s">
        <v>213</v>
      </c>
      <c r="E2338" s="4" t="s">
        <v>96</v>
      </c>
      <c r="F2338" s="4" t="s">
        <v>236</v>
      </c>
      <c r="G2338" s="4" t="s">
        <v>62</v>
      </c>
      <c r="H2338" s="7" t="s">
        <v>38</v>
      </c>
      <c r="I2338" s="8" t="s">
        <v>76</v>
      </c>
      <c r="J2338" s="8" t="s">
        <v>237</v>
      </c>
      <c r="K2338" s="14" t="s">
        <v>237</v>
      </c>
      <c r="L2338" s="9" t="s">
        <v>76</v>
      </c>
      <c r="M2338" s="13">
        <v>1</v>
      </c>
      <c r="N2338" s="5" t="s">
        <v>51</v>
      </c>
      <c r="O2338" s="5" t="s">
        <v>52</v>
      </c>
      <c r="P2338" s="10" t="s">
        <v>44</v>
      </c>
      <c r="Q2338" s="10" t="s">
        <v>44</v>
      </c>
      <c r="R2338" s="11" t="s">
        <v>44</v>
      </c>
      <c r="S2338" s="11" t="s">
        <v>44</v>
      </c>
      <c r="T2338" s="22"/>
      <c r="U2338" s="22"/>
      <c r="V2338" s="22"/>
      <c r="W2338" s="22"/>
      <c r="X2338" s="22"/>
      <c r="Y2338" s="22"/>
      <c r="Z2338" s="22"/>
      <c r="AA2338" s="22"/>
      <c r="AB2338" s="22"/>
      <c r="AC2338" s="22"/>
      <c r="AD2338" s="22"/>
      <c r="AE2338" s="22"/>
      <c r="AG2338" s="71"/>
      <c r="AH2338" s="71"/>
      <c r="AI2338" s="71"/>
      <c r="AJ2338" s="71"/>
      <c r="AK2338" s="71"/>
      <c r="AL2338" s="71"/>
      <c r="AM2338" s="71"/>
      <c r="AN2338" s="71"/>
      <c r="AO2338" s="71"/>
      <c r="AP2338" s="71"/>
      <c r="AQ2338" s="71"/>
      <c r="AR2338" s="71"/>
      <c r="AS2338" s="94">
        <v>0</v>
      </c>
      <c r="AT2338" s="95">
        <v>0</v>
      </c>
      <c r="AU2338" s="97">
        <v>0</v>
      </c>
      <c r="AW2338" s="51">
        <v>0</v>
      </c>
      <c r="AX2338" s="51">
        <v>0</v>
      </c>
      <c r="AY2338" s="51">
        <v>0</v>
      </c>
      <c r="AZ2338" s="51">
        <v>0</v>
      </c>
      <c r="BA2338" s="51"/>
      <c r="BB2338" s="51"/>
      <c r="BC2338" s="51"/>
      <c r="BD2338" s="51"/>
      <c r="BE2338" s="51"/>
      <c r="BF2338" s="51"/>
      <c r="BG2338" s="51"/>
      <c r="BH2338" s="51"/>
      <c r="BI2338" s="65">
        <v>0</v>
      </c>
      <c r="BJ2338" s="68">
        <v>0</v>
      </c>
      <c r="BK2338" s="58">
        <v>0</v>
      </c>
      <c r="BL2338" s="58">
        <v>0</v>
      </c>
      <c r="BM2338" s="55">
        <v>46082</v>
      </c>
      <c r="BN2338" s="55">
        <v>46113</v>
      </c>
      <c r="BO2338" s="53">
        <v>0</v>
      </c>
      <c r="BP2338" s="53">
        <v>0</v>
      </c>
      <c r="BQ2338" s="53">
        <v>0</v>
      </c>
      <c r="BR2338" s="85">
        <v>0</v>
      </c>
      <c r="BS2338" s="53">
        <v>0.14285714285714285</v>
      </c>
    </row>
    <row r="2339" spans="1:71" ht="25.95" hidden="1" customHeight="1" x14ac:dyDescent="0.3">
      <c r="A2339" s="20" t="s">
        <v>87</v>
      </c>
      <c r="B2339" s="4" t="s">
        <v>232</v>
      </c>
      <c r="C2339" s="5" t="s">
        <v>97</v>
      </c>
      <c r="D2339" s="5" t="s">
        <v>98</v>
      </c>
      <c r="E2339" s="4" t="str" cm="1">
        <f t="array" ref="E2339">_xlfn.IFS(
F2339 = "A partir de Abril", "Aguardando Execução na Distribuidora",
A2339 = "CAPACITAÇÃO", "Em execução no Corporativo",
TRUE, "Em Execução na Distribuidora"
)</f>
        <v>Em Execução na Distribuidora</v>
      </c>
      <c r="F2339" s="4" t="str" cm="1">
        <f t="array" ref="F2339">_xlfn.IFS(
AG2339 &lt;&gt; "", "Jan-Dez/26",
AH2339 &lt;&gt; "", "Fev-Dez/26",
AI2339 &lt;&gt; "", "Mar-Dez/26", AJ2339 &lt;&gt; "", "Abr-Dez/26",
TRUE, "A partir de Junho"
)</f>
        <v>Jan-Dez/26</v>
      </c>
      <c r="G2339" s="7" t="s">
        <v>37</v>
      </c>
      <c r="H2339" s="7" t="s">
        <v>110</v>
      </c>
      <c r="I2339" s="21" t="s">
        <v>233</v>
      </c>
      <c r="J2339" s="21" t="str" cm="1">
        <f t="array" aca="1" ref="J2339" ca="1">_xlfn.LET(
  _xlpm.actual_value_month, INDEX(T2339:AE2339, MATCH(DATE(YEAR(TODAY()), MONTH(TODAY()), 1), $T$1:$AE$1, 0)),
  IF(_xlpm.actual_value_month &lt;&gt; "",_xlpm.actual_value_month &amp; " equipes mensais", "")
)</f>
        <v>24,6 equipes mensais</v>
      </c>
      <c r="K2339" s="8" t="str" cm="1">
        <f t="array" ref="K2339">_xlfn.LET(
    _xlpm.sum_month, SUM(T2339:AE2339),
    IF(_xlpm.sum_month = 0, "", _xlpm.sum_month &amp; " equipes alcançadas no ano")
)</f>
        <v>236,4 equipes alcançadas no ano</v>
      </c>
      <c r="L2339" s="4" t="s">
        <v>234</v>
      </c>
      <c r="M2339" s="19" t="s">
        <v>235</v>
      </c>
      <c r="N2339" s="5" t="s">
        <v>42</v>
      </c>
      <c r="O2339" s="5" t="s">
        <v>43</v>
      </c>
      <c r="P2339" s="10" t="s">
        <v>44</v>
      </c>
      <c r="Q2339" s="10" t="s">
        <v>44</v>
      </c>
      <c r="R2339" s="11" t="s">
        <v>147</v>
      </c>
      <c r="S2339" s="11" t="s">
        <v>162</v>
      </c>
      <c r="T2339" s="22">
        <v>5</v>
      </c>
      <c r="U2339" s="22">
        <v>5</v>
      </c>
      <c r="V2339" s="22">
        <v>5</v>
      </c>
      <c r="W2339" s="22">
        <f>123*0.2</f>
        <v>24.6</v>
      </c>
      <c r="X2339" s="22">
        <f t="shared" ref="X2339:AE2339" si="2825">123*0.2</f>
        <v>24.6</v>
      </c>
      <c r="Y2339" s="22">
        <f t="shared" si="2825"/>
        <v>24.6</v>
      </c>
      <c r="Z2339" s="22">
        <f t="shared" si="2825"/>
        <v>24.6</v>
      </c>
      <c r="AA2339" s="22">
        <f t="shared" si="2825"/>
        <v>24.6</v>
      </c>
      <c r="AB2339" s="22">
        <f t="shared" si="2825"/>
        <v>24.6</v>
      </c>
      <c r="AC2339" s="22">
        <f t="shared" si="2825"/>
        <v>24.6</v>
      </c>
      <c r="AD2339" s="22">
        <f t="shared" si="2825"/>
        <v>24.6</v>
      </c>
      <c r="AE2339" s="22">
        <f t="shared" si="2825"/>
        <v>24.6</v>
      </c>
      <c r="AG2339" s="82">
        <v>5</v>
      </c>
      <c r="AH2339" s="82">
        <v>5</v>
      </c>
      <c r="AI2339" s="82">
        <v>5</v>
      </c>
      <c r="AJ2339" s="71">
        <v>7</v>
      </c>
      <c r="AK2339" s="71">
        <v>10</v>
      </c>
      <c r="AL2339" s="71"/>
      <c r="AM2339" s="71"/>
      <c r="AN2339" s="71"/>
      <c r="AO2339" s="71"/>
      <c r="AP2339" s="71"/>
      <c r="AQ2339" s="71"/>
      <c r="AR2339" s="71"/>
      <c r="AS2339" s="94">
        <f t="shared" ref="AS2339:AS2348" ca="1" si="2826">IF(MONTH(TODAY())=3,SUM(T2339:U2339),IF(MONTH(TODAY())=4,SUM(T2339:V2339),IF(MONTH(TODAY())=5,SUM(T2339:W2339),IF(MONTH(TODAY())=6,SUM(T2339:X2339),IF(MONTH(TODAY())=7,SUM(T2339:Y2339),IF(MONTH(TODAY())=8,SUM(T2339:Z2339),IF(MONTH(TODAY())=9,SUM(T2339:AA2339),IF(MONTH(TODAY())=10,SUM(T2339:AB2339),IF(MONTH(TODAY())=11,SUM(T2339:AC2339),IF(MONTH(TODAY())=12,SUM(T2339:AD2339),IF(MONTH(TODAY())=1,SUM(T2339:AE2339),T2339)))))))))))</f>
        <v>64.2</v>
      </c>
      <c r="AT2339" s="95">
        <f t="shared" ref="AT2339:AT2348" si="2827">SUM(IF(AW2339&lt;1.15,AG2339,1.15*T2339),IF(AX2339&lt;1.15,AH2339,1.15*U2339),IF(AY2339&lt;1.15,AI2339,1.15*V2339),IF(AZ2339&lt;1.15,AJ2339,1.15*W2339),IF(BA2339&lt;1.15,AK2339,1.15*X2339),IF(BB2339&lt;1.15,AL2339,1.15*Y2339),IF(BC2339&lt;1.15,AM2339,1.15*Z2339),IF(BD2339&lt;1.15,AN2339,1.15*AA2339),IF(BE2339&lt;1.15,AO2339,1.15*AB2339),IF(BF2339&lt;1.15,AP2339,1.15*AC2339),IF(BG2339&lt;1.15,AQ2339,1.15*AD2339),IF(BH2339&lt;1.15,AR2339,1.15*AE2339))</f>
        <v>32</v>
      </c>
      <c r="AU2339" s="97">
        <f t="shared" ref="AU2339:AU2348" si="2828">SUM(AG2339:AR2339)</f>
        <v>32</v>
      </c>
      <c r="AW2339" s="51">
        <f t="shared" ref="AW2339:AW2348" si="2829">IFERROR(IF(AG2339="",0,AG2339/T2339),0)</f>
        <v>1</v>
      </c>
      <c r="AX2339" s="51">
        <f t="shared" ref="AX2339:AX2348" si="2830">IFERROR(IF(AH2339="",0,AH2339/U2339),0)</f>
        <v>1</v>
      </c>
      <c r="AY2339" s="51">
        <f t="shared" ref="AY2339:AY2348" si="2831">IFERROR(IF(AI2339="",0,AI2339/V2339),0)</f>
        <v>1</v>
      </c>
      <c r="AZ2339" s="51">
        <f t="shared" ref="AZ2339:BA2348" si="2832">IFERROR(IF(AJ2339="",0,AJ2339/W2339),0)</f>
        <v>0.28455284552845528</v>
      </c>
      <c r="BA2339" s="51">
        <f t="shared" si="2832"/>
        <v>0.4065040650406504</v>
      </c>
      <c r="BB2339" s="51"/>
      <c r="BC2339" s="51"/>
      <c r="BD2339" s="51"/>
      <c r="BE2339" s="51"/>
      <c r="BF2339" s="51"/>
      <c r="BG2339" s="51"/>
      <c r="BH2339" s="51"/>
      <c r="BI2339" s="65" cm="1">
        <f t="array" ref="BI2339">IFERROR(INDEX(AW2339:BH2339,1,MATCH(2,1/(AW2339:BH2339&lt;&gt;""))),"")</f>
        <v>0.4065040650406504</v>
      </c>
      <c r="BJ2339" s="68" cm="1">
        <f t="array" ref="BJ2339">IF(BM2339 = "", "",IFERROR(INDEX(AW2339:BH2339,1,MATCH(2,1/(AW2339:BH2339&lt;&gt;""),1)-1),""))</f>
        <v>0.28455284552845528</v>
      </c>
      <c r="BK2339" s="58">
        <f>IF((IF(AW2339&gt;=115%,115%,AW2339) + IF(AX2339&gt;=115%,115%,AX2339) + IF(AY2339&gt;=115%,115%,AY2339) + (IF(AZ2339&gt;=115%,115%,AZ2339) + IF(BA2339&gt;=200%,200%,BA2339) + IF(BB2339&gt;=130%,130%,BB2339) + IF(BC2339&gt;=187%,187%,BC2339) + IF(BD2339&gt;=115%,115%,BD2339) + IF(BE2339&gt;=115%,115%,BE2339) + IF(BF2339&gt;=115%,115%,BF2339) + IF(BG2339&gt;=115%,115%,BG2339) + IF(BH2339&gt;=115%,115%,BH2339)))/_xlfn.XLOOKUP(F2339,Apuração!A:A,Apuração!B:B)&gt;=1.15,1.15,((IF(AZ2339&gt;=115%,115%,AZ2339) + IF(AX2339&gt;=115%,115%,AX2339) + IF(AY2339&gt;=115%,115%,AY2339) + (IF(AW2339&gt;=115%,115%,AW2339) + IF(BA2339&gt;=200%,200%,BA2339) + IF(BB2339&gt;=130%,130%,BB2339) + IF(BC2339&gt;=187%,187%,BC2339) + IF(BD2339&gt;=115%,115%,BD2339) + IF(BE2339&gt;=115%,115%,BE2339) + IF(BF2339&gt;=115%,115%,BF2339) + IF(BG2339&gt;=115%,115%,BG2339) + IF(BH2339&gt;=115%,115%,BH2339)))/_xlfn.XLOOKUP(F2339,Apuração!A:A,Apuração!B:B)))</f>
        <v>0.30758807588075882</v>
      </c>
      <c r="BL2339" s="58" cm="1">
        <f t="array" aca="1" ref="BL2339" ca="1">IF(SUM(IFERROR(IF(INDEX(AW2339:INDEX(AW2339:BH2339, MATCH(2, 1/(AW2339:BH2339&lt;&gt;""), 1)-1), ROW(INDIRECT("1:" &amp; MATCH(2, 1/(AW2339:BH2339&lt;&gt;""), 1)-1))) &gt;= 115%, 115%, INDEX(AW2339:INDEX(AW2339:BH2339, MATCH(2, 1/(AW2339:BH2339&lt;&gt;""), 1)-1), ROW(INDIRECT("1:" &amp; MATCH(2, 1/(AW2339:BH2339&lt;&gt;""), 1)-1)))), 0))/_xlfn.XLOOKUP(F2339,Apuração!A:A,Apuração!B:B)&gt;=1.15,1.15,SUM(IFERROR(IF(INDEX(AW2339:INDEX(AW2339:BH2339, MATCH(2, 1/(AW2339:BH2339&lt;&gt;""), 1)-1), ROW(INDIRECT("1:" &amp; MATCH(2, 1/(AW2339:BH2339&lt;&gt;""), 1)-1))) &gt;= 115%, 115%, INDEX(AW2339:INDEX(AW2339:BH2339, MATCH(2, 1/(AW2339:BH2339&lt;&gt;""), 1)-1), ROW(INDIRECT("1:" &amp; MATCH(2, 1/(AW2339:BH2339&lt;&gt;""), 1)-1)))), 0))/_xlfn.XLOOKUP(F2339,Apuração!A:A,Apuração!B:B))</f>
        <v>0.27371273712737126</v>
      </c>
      <c r="BM2339" s="55" cm="1">
        <f t="array" ref="BM2339">IFERROR(
   INDEX($AW$1:$BH$1,
      _xlfn.AGGREGATE(14, 6, COLUMN($AW$1:$BH$1)/(AW2339:BH2339&lt;&gt;""), 2) - COLUMN($AW$1) + 1
   ),
"")</f>
        <v>46113</v>
      </c>
      <c r="BN2339" s="55" cm="1">
        <f t="array" ref="BN2339">IFERROR(INDEX($AW$1:$BH$1,1,MATCH(2,1/(AW2339:BH2339&lt;&gt;""))),"")</f>
        <v>46143</v>
      </c>
      <c r="BO2339" s="53">
        <f ca="1">IFERROR(_xlfn.XLOOKUP(F2339,Apuração!A:A,Apuração!C:C)/_xlfn.XLOOKUP(F2339,Apuração!A:A,Apuração!B:B),0)</f>
        <v>0.41666666666666669</v>
      </c>
      <c r="BP2339" s="53">
        <f ca="1">IFERROR(_xlfn.XLOOKUP(F2339,Apuração!A:A,Apuração!D:D)/_xlfn.XLOOKUP(F2339,Apuração!A:A,Apuração!B:B),0)</f>
        <v>0.33333333333333331</v>
      </c>
      <c r="BQ2339" s="53">
        <f ca="1">IF(BK2339&gt;=BO2339,0,_xlfn.XLOOKUP(F2339,Apuração!A:A,Apuração!B:B)*(BO2339 + (1/_xlfn.XLOOKUP(F2339,Apuração!A:A,Apuração!B:B)) - BK2339))</f>
        <v>2.308943089430894</v>
      </c>
      <c r="BR2339" s="85">
        <f t="shared" ref="BR2339:BR2348" ca="1" si="2833">IF(BQ2339=0,0,BQ2339*Z2339)</f>
        <v>56.8</v>
      </c>
      <c r="BS2339" s="53">
        <f ca="1">IFERROR((_xlfn.XLOOKUP(F2339,Apuração!A:A,Apuração!C:C)+1)/_xlfn.XLOOKUP(F2339,Apuração!A:A,Apuração!B:B),0)</f>
        <v>0.5</v>
      </c>
    </row>
    <row r="2340" spans="1:71" ht="25.95" hidden="1" customHeight="1" x14ac:dyDescent="0.3">
      <c r="A2340" s="20" t="s">
        <v>87</v>
      </c>
      <c r="B2340" s="4" t="s">
        <v>232</v>
      </c>
      <c r="C2340" s="5" t="s">
        <v>97</v>
      </c>
      <c r="D2340" s="5" t="s">
        <v>99</v>
      </c>
      <c r="E2340" s="4" t="str" cm="1">
        <f t="array" ref="E2340">_xlfn.IFS(
F2340 = "A partir de Abril", "Aguardando Execução na Distribuidora",
A2340 = "CAPACITAÇÃO", "Em execução no Corporativo",
TRUE, "Em Execução na Distribuidora"
)</f>
        <v>Em Execução na Distribuidora</v>
      </c>
      <c r="F2340" s="4" t="str" cm="1">
        <f t="array" ref="F2340">_xlfn.IFS(
AG2340 &lt;&gt; "", "Jan-Dez/26",
AH2340 &lt;&gt; "", "Fev-Dez/26",
AI2340 &lt;&gt; "", "Mar-Dez/26", AJ2340 &lt;&gt; "", "Abr-Dez/26",
TRUE, "A partir de Junho"
)</f>
        <v>Jan-Dez/26</v>
      </c>
      <c r="G2340" s="7" t="s">
        <v>37</v>
      </c>
      <c r="H2340" s="7" t="s">
        <v>110</v>
      </c>
      <c r="I2340" s="21" t="s">
        <v>233</v>
      </c>
      <c r="J2340" s="21" t="str" cm="1">
        <f t="array" aca="1" ref="J2340" ca="1">_xlfn.LET(
  _xlpm.actual_value_month, INDEX(T2340:AE2340, MATCH(DATE(YEAR(TODAY()), MONTH(TODAY()), 1), $T$1:$AE$1, 0)),
  IF(_xlpm.actual_value_month &lt;&gt; "",_xlpm.actual_value_month &amp; " equipes mensais", "")
)</f>
        <v>13,6 equipes mensais</v>
      </c>
      <c r="K2340" s="8" t="str" cm="1">
        <f t="array" ref="K2340">_xlfn.LET(
    _xlpm.sum_month, SUM(T2340:AE2340),
    IF(_xlpm.sum_month = 0, "", _xlpm.sum_month &amp; " equipes alcançadas no ano")
)</f>
        <v>164,4 equipes alcançadas no ano</v>
      </c>
      <c r="L2340" s="4" t="s">
        <v>234</v>
      </c>
      <c r="M2340" s="19" t="s">
        <v>235</v>
      </c>
      <c r="N2340" s="5" t="s">
        <v>42</v>
      </c>
      <c r="O2340" s="5" t="s">
        <v>43</v>
      </c>
      <c r="P2340" s="10" t="s">
        <v>44</v>
      </c>
      <c r="Q2340" s="10" t="s">
        <v>44</v>
      </c>
      <c r="R2340" s="11" t="s">
        <v>147</v>
      </c>
      <c r="S2340" s="11" t="s">
        <v>162</v>
      </c>
      <c r="T2340" s="22">
        <v>14</v>
      </c>
      <c r="U2340" s="22">
        <v>20</v>
      </c>
      <c r="V2340" s="22">
        <v>8</v>
      </c>
      <c r="W2340" s="22">
        <f>68*0.2</f>
        <v>13.600000000000001</v>
      </c>
      <c r="X2340" s="22">
        <f t="shared" ref="X2340:AE2340" si="2834">68*0.2</f>
        <v>13.600000000000001</v>
      </c>
      <c r="Y2340" s="22">
        <f t="shared" si="2834"/>
        <v>13.600000000000001</v>
      </c>
      <c r="Z2340" s="22">
        <f t="shared" si="2834"/>
        <v>13.600000000000001</v>
      </c>
      <c r="AA2340" s="22">
        <f t="shared" si="2834"/>
        <v>13.600000000000001</v>
      </c>
      <c r="AB2340" s="22">
        <f t="shared" si="2834"/>
        <v>13.600000000000001</v>
      </c>
      <c r="AC2340" s="22">
        <f t="shared" si="2834"/>
        <v>13.600000000000001</v>
      </c>
      <c r="AD2340" s="22">
        <f t="shared" si="2834"/>
        <v>13.600000000000001</v>
      </c>
      <c r="AE2340" s="22">
        <f t="shared" si="2834"/>
        <v>13.600000000000001</v>
      </c>
      <c r="AG2340" s="82">
        <v>14</v>
      </c>
      <c r="AH2340" s="82">
        <v>20</v>
      </c>
      <c r="AI2340" s="82">
        <v>8</v>
      </c>
      <c r="AJ2340" s="71">
        <v>18</v>
      </c>
      <c r="AK2340" s="71">
        <v>15</v>
      </c>
      <c r="AL2340" s="71"/>
      <c r="AM2340" s="71"/>
      <c r="AN2340" s="71"/>
      <c r="AO2340" s="71"/>
      <c r="AP2340" s="71"/>
      <c r="AQ2340" s="71"/>
      <c r="AR2340" s="71"/>
      <c r="AS2340" s="94">
        <f t="shared" ca="1" si="2826"/>
        <v>69.2</v>
      </c>
      <c r="AT2340" s="95">
        <f t="shared" si="2827"/>
        <v>72.64</v>
      </c>
      <c r="AU2340" s="97">
        <f t="shared" si="2828"/>
        <v>75</v>
      </c>
      <c r="AW2340" s="51">
        <f t="shared" si="2829"/>
        <v>1</v>
      </c>
      <c r="AX2340" s="51">
        <f t="shared" si="2830"/>
        <v>1</v>
      </c>
      <c r="AY2340" s="51">
        <f t="shared" si="2831"/>
        <v>1</v>
      </c>
      <c r="AZ2340" s="51">
        <f t="shared" si="2832"/>
        <v>1.3235294117647058</v>
      </c>
      <c r="BA2340" s="51">
        <f t="shared" si="2832"/>
        <v>1.1029411764705881</v>
      </c>
      <c r="BB2340" s="51"/>
      <c r="BC2340" s="51"/>
      <c r="BD2340" s="51"/>
      <c r="BE2340" s="51"/>
      <c r="BF2340" s="51"/>
      <c r="BG2340" s="51"/>
      <c r="BH2340" s="51"/>
      <c r="BI2340" s="65" cm="1">
        <f t="array" ref="BI2340">IFERROR(INDEX(AW2340:BH2340,1,MATCH(2,1/(AW2340:BH2340&lt;&gt;""))),"")</f>
        <v>1.1029411764705881</v>
      </c>
      <c r="BJ2340" s="68" cm="1">
        <f t="array" ref="BJ2340">IF(BM2340 = "", "",IFERROR(INDEX(AW2340:BH2340,1,MATCH(2,1/(AW2340:BH2340&lt;&gt;""),1)-1),""))</f>
        <v>1.3235294117647058</v>
      </c>
      <c r="BK2340" s="58">
        <f>IF((IF(AW2340&gt;=115%,115%,AW2340) + IF(AX2340&gt;=115%,115%,AX2340) + IF(AY2340&gt;=115%,115%,AY2340) + (IF(AZ2340&gt;=115%,115%,AZ2340) + IF(BA2340&gt;=200%,200%,BA2340) + IF(BB2340&gt;=130%,130%,BB2340) + IF(BC2340&gt;=187%,187%,BC2340) + IF(BD2340&gt;=115%,115%,BD2340) + IF(BE2340&gt;=115%,115%,BE2340) + IF(BF2340&gt;=115%,115%,BF2340) + IF(BG2340&gt;=115%,115%,BG2340) + IF(BH2340&gt;=115%,115%,BH2340)))/_xlfn.XLOOKUP(F2340,Apuração!A:A,Apuração!B:B)&gt;=1.15,1.15,((IF(AZ2340&gt;=115%,115%,AZ2340) + IF(AX2340&gt;=115%,115%,AX2340) + IF(AY2340&gt;=115%,115%,AY2340) + (IF(AW2340&gt;=115%,115%,AW2340) + IF(BA2340&gt;=200%,200%,BA2340) + IF(BB2340&gt;=130%,130%,BB2340) + IF(BC2340&gt;=187%,187%,BC2340) + IF(BD2340&gt;=115%,115%,BD2340) + IF(BE2340&gt;=115%,115%,BE2340) + IF(BF2340&gt;=115%,115%,BF2340) + IF(BG2340&gt;=115%,115%,BG2340) + IF(BH2340&gt;=115%,115%,BH2340)))/_xlfn.XLOOKUP(F2340,Apuração!A:A,Apuração!B:B)))</f>
        <v>0.43774509803921563</v>
      </c>
      <c r="BL2340" s="58" cm="1">
        <f t="array" aca="1" ref="BL2340" ca="1">IF(SUM(IFERROR(IF(INDEX(AW2340:INDEX(AW2340:BH2340, MATCH(2, 1/(AW2340:BH2340&lt;&gt;""), 1)-1), ROW(INDIRECT("1:" &amp; MATCH(2, 1/(AW2340:BH2340&lt;&gt;""), 1)-1))) &gt;= 115%, 115%, INDEX(AW2340:INDEX(AW2340:BH2340, MATCH(2, 1/(AW2340:BH2340&lt;&gt;""), 1)-1), ROW(INDIRECT("1:" &amp; MATCH(2, 1/(AW2340:BH2340&lt;&gt;""), 1)-1)))), 0))/_xlfn.XLOOKUP(F2340,Apuração!A:A,Apuração!B:B)&gt;=1.15,1.15,SUM(IFERROR(IF(INDEX(AW2340:INDEX(AW2340:BH2340, MATCH(2, 1/(AW2340:BH2340&lt;&gt;""), 1)-1), ROW(INDIRECT("1:" &amp; MATCH(2, 1/(AW2340:BH2340&lt;&gt;""), 1)-1))) &gt;= 115%, 115%, INDEX(AW2340:INDEX(AW2340:BH2340, MATCH(2, 1/(AW2340:BH2340&lt;&gt;""), 1)-1), ROW(INDIRECT("1:" &amp; MATCH(2, 1/(AW2340:BH2340&lt;&gt;""), 1)-1)))), 0))/_xlfn.XLOOKUP(F2340,Apuração!A:A,Apuração!B:B))</f>
        <v>0.34583333333333338</v>
      </c>
      <c r="BM2340" s="55" cm="1">
        <f t="array" ref="BM2340">IFERROR(
   INDEX($AW$1:$BH$1,
      _xlfn.AGGREGATE(14, 6, COLUMN($AW$1:$BH$1)/(AW2340:BH2340&lt;&gt;""), 2) - COLUMN($AW$1) + 1
   ),
"")</f>
        <v>46113</v>
      </c>
      <c r="BN2340" s="55" cm="1">
        <f t="array" ref="BN2340">IFERROR(INDEX($AW$1:$BH$1,1,MATCH(2,1/(AW2340:BH2340&lt;&gt;""))),"")</f>
        <v>46143</v>
      </c>
      <c r="BO2340" s="53">
        <f ca="1">IFERROR(_xlfn.XLOOKUP(F2340,Apuração!A:A,Apuração!C:C)/_xlfn.XLOOKUP(F2340,Apuração!A:A,Apuração!B:B),0)</f>
        <v>0.41666666666666669</v>
      </c>
      <c r="BP2340" s="53">
        <f ca="1">IFERROR(_xlfn.XLOOKUP(F2340,Apuração!A:A,Apuração!D:D)/_xlfn.XLOOKUP(F2340,Apuração!A:A,Apuração!B:B),0)</f>
        <v>0.33333333333333331</v>
      </c>
      <c r="BQ2340" s="53">
        <f ca="1">IF(BK2340&gt;=BO2340,0,_xlfn.XLOOKUP(F2340,Apuração!A:A,Apuração!B:B)*(BO2340 + (1/_xlfn.XLOOKUP(F2340,Apuração!A:A,Apuração!B:B)) - BK2340))</f>
        <v>0</v>
      </c>
      <c r="BR2340" s="85">
        <f t="shared" ca="1" si="2833"/>
        <v>0</v>
      </c>
      <c r="BS2340" s="53">
        <f ca="1">IFERROR((_xlfn.XLOOKUP(F2340,Apuração!A:A,Apuração!C:C)+1)/_xlfn.XLOOKUP(F2340,Apuração!A:A,Apuração!B:B),0)</f>
        <v>0.5</v>
      </c>
    </row>
    <row r="2341" spans="1:71" ht="25.95" hidden="1" customHeight="1" x14ac:dyDescent="0.3">
      <c r="A2341" s="20" t="s">
        <v>87</v>
      </c>
      <c r="B2341" s="4" t="s">
        <v>232</v>
      </c>
      <c r="C2341" s="5" t="s">
        <v>97</v>
      </c>
      <c r="D2341" s="5" t="s">
        <v>100</v>
      </c>
      <c r="E2341" s="4" t="str" cm="1">
        <f t="array" ref="E2341">_xlfn.IFS(
F2341 = "A partir de Abril", "Aguardando Execução na Distribuidora",
A2341 = "CAPACITAÇÃO", "Em execução no Corporativo",
TRUE, "Em Execução na Distribuidora"
)</f>
        <v>Em Execução na Distribuidora</v>
      </c>
      <c r="F2341" s="4" t="str" cm="1">
        <f t="array" ref="F2341">_xlfn.IFS(
AG2341 &lt;&gt; "", "Jan-Dez/26",
AH2341 &lt;&gt; "", "Fev-Dez/26",
AI2341 &lt;&gt; "", "Mar-Dez/26", AJ2341 &lt;&gt; "", "Abr-Dez/26",
TRUE, "A partir de Junho"
)</f>
        <v>Jan-Dez/26</v>
      </c>
      <c r="G2341" s="7" t="s">
        <v>37</v>
      </c>
      <c r="H2341" s="7" t="s">
        <v>110</v>
      </c>
      <c r="I2341" s="21" t="s">
        <v>233</v>
      </c>
      <c r="J2341" s="21" t="str" cm="1">
        <f t="array" aca="1" ref="J2341" ca="1">_xlfn.LET(
  _xlpm.actual_value_month, INDEX(T2341:AE2341, MATCH(DATE(YEAR(TODAY()), MONTH(TODAY()), 1), $T$1:$AE$1, 0)),
  IF(_xlpm.actual_value_month &lt;&gt; "",_xlpm.actual_value_month &amp; " equipes mensais", "")
)</f>
        <v>17,8 equipes mensais</v>
      </c>
      <c r="K2341" s="8" t="str" cm="1">
        <f t="array" ref="K2341">_xlfn.LET(
    _xlpm.sum_month, SUM(T2341:AE2341),
    IF(_xlpm.sum_month = 0, "", _xlpm.sum_month &amp; " equipes alcançadas no ano")
)</f>
        <v>163,2 equipes alcançadas no ano</v>
      </c>
      <c r="L2341" s="4" t="s">
        <v>234</v>
      </c>
      <c r="M2341" s="19" t="s">
        <v>235</v>
      </c>
      <c r="N2341" s="5" t="s">
        <v>42</v>
      </c>
      <c r="O2341" s="5" t="s">
        <v>43</v>
      </c>
      <c r="P2341" s="10" t="s">
        <v>44</v>
      </c>
      <c r="Q2341" s="10" t="s">
        <v>44</v>
      </c>
      <c r="R2341" s="11" t="s">
        <v>147</v>
      </c>
      <c r="S2341" s="11" t="s">
        <v>162</v>
      </c>
      <c r="T2341" s="22">
        <v>1</v>
      </c>
      <c r="U2341" s="22">
        <v>1</v>
      </c>
      <c r="V2341" s="22">
        <v>1</v>
      </c>
      <c r="W2341" s="22">
        <f>89*0.2</f>
        <v>17.8</v>
      </c>
      <c r="X2341" s="22">
        <f t="shared" ref="X2341:AE2341" si="2835">89*0.2</f>
        <v>17.8</v>
      </c>
      <c r="Y2341" s="22">
        <f t="shared" si="2835"/>
        <v>17.8</v>
      </c>
      <c r="Z2341" s="22">
        <f t="shared" si="2835"/>
        <v>17.8</v>
      </c>
      <c r="AA2341" s="22">
        <f t="shared" si="2835"/>
        <v>17.8</v>
      </c>
      <c r="AB2341" s="22">
        <f t="shared" si="2835"/>
        <v>17.8</v>
      </c>
      <c r="AC2341" s="22">
        <f t="shared" si="2835"/>
        <v>17.8</v>
      </c>
      <c r="AD2341" s="22">
        <f t="shared" si="2835"/>
        <v>17.8</v>
      </c>
      <c r="AE2341" s="22">
        <f t="shared" si="2835"/>
        <v>17.8</v>
      </c>
      <c r="AG2341" s="82">
        <v>1</v>
      </c>
      <c r="AH2341" s="82">
        <v>1</v>
      </c>
      <c r="AI2341" s="82">
        <v>1</v>
      </c>
      <c r="AJ2341" s="71">
        <v>1</v>
      </c>
      <c r="AK2341" s="71">
        <v>0</v>
      </c>
      <c r="AL2341" s="71"/>
      <c r="AM2341" s="71"/>
      <c r="AN2341" s="71"/>
      <c r="AO2341" s="71"/>
      <c r="AP2341" s="71"/>
      <c r="AQ2341" s="71"/>
      <c r="AR2341" s="71"/>
      <c r="AS2341" s="94">
        <f t="shared" ca="1" si="2826"/>
        <v>38.6</v>
      </c>
      <c r="AT2341" s="95">
        <f t="shared" si="2827"/>
        <v>4</v>
      </c>
      <c r="AU2341" s="97">
        <f t="shared" si="2828"/>
        <v>4</v>
      </c>
      <c r="AW2341" s="51">
        <f t="shared" si="2829"/>
        <v>1</v>
      </c>
      <c r="AX2341" s="51">
        <f t="shared" si="2830"/>
        <v>1</v>
      </c>
      <c r="AY2341" s="51">
        <f t="shared" si="2831"/>
        <v>1</v>
      </c>
      <c r="AZ2341" s="51">
        <f t="shared" si="2832"/>
        <v>5.6179775280898875E-2</v>
      </c>
      <c r="BA2341" s="51">
        <f t="shared" si="2832"/>
        <v>0</v>
      </c>
      <c r="BB2341" s="51"/>
      <c r="BC2341" s="51"/>
      <c r="BD2341" s="51"/>
      <c r="BE2341" s="51"/>
      <c r="BF2341" s="51"/>
      <c r="BG2341" s="51"/>
      <c r="BH2341" s="51"/>
      <c r="BI2341" s="65" cm="1">
        <f t="array" ref="BI2341">IFERROR(INDEX(AW2341:BH2341,1,MATCH(2,1/(AW2341:BH2341&lt;&gt;""))),"")</f>
        <v>0</v>
      </c>
      <c r="BJ2341" s="68" cm="1">
        <f t="array" ref="BJ2341">IF(BM2341 = "", "",IFERROR(INDEX(AW2341:BH2341,1,MATCH(2,1/(AW2341:BH2341&lt;&gt;""),1)-1),""))</f>
        <v>5.6179775280898875E-2</v>
      </c>
      <c r="BK2341" s="58">
        <f>IF((IF(AW2341&gt;=115%,115%,AW2341) + IF(AX2341&gt;=115%,115%,AX2341) + IF(AY2341&gt;=115%,115%,AY2341) + (IF(AZ2341&gt;=115%,115%,AZ2341) + IF(BA2341&gt;=200%,200%,BA2341) + IF(BB2341&gt;=130%,130%,BB2341) + IF(BC2341&gt;=187%,187%,BC2341) + IF(BD2341&gt;=115%,115%,BD2341) + IF(BE2341&gt;=115%,115%,BE2341) + IF(BF2341&gt;=115%,115%,BF2341) + IF(BG2341&gt;=115%,115%,BG2341) + IF(BH2341&gt;=115%,115%,BH2341)))/_xlfn.XLOOKUP(F2341,Apuração!A:A,Apuração!B:B)&gt;=1.15,1.15,((IF(AZ2341&gt;=115%,115%,AZ2341) + IF(AX2341&gt;=115%,115%,AX2341) + IF(AY2341&gt;=115%,115%,AY2341) + (IF(AW2341&gt;=115%,115%,AW2341) + IF(BA2341&gt;=200%,200%,BA2341) + IF(BB2341&gt;=130%,130%,BB2341) + IF(BC2341&gt;=187%,187%,BC2341) + IF(BD2341&gt;=115%,115%,BD2341) + IF(BE2341&gt;=115%,115%,BE2341) + IF(BF2341&gt;=115%,115%,BF2341) + IF(BG2341&gt;=115%,115%,BG2341) + IF(BH2341&gt;=115%,115%,BH2341)))/_xlfn.XLOOKUP(F2341,Apuração!A:A,Apuração!B:B)))</f>
        <v>0.25468164794007492</v>
      </c>
      <c r="BL2341" s="58" cm="1">
        <f t="array" aca="1" ref="BL2341" ca="1">IF(SUM(IFERROR(IF(INDEX(AW2341:INDEX(AW2341:BH2341, MATCH(2, 1/(AW2341:BH2341&lt;&gt;""), 1)-1), ROW(INDIRECT("1:" &amp; MATCH(2, 1/(AW2341:BH2341&lt;&gt;""), 1)-1))) &gt;= 115%, 115%, INDEX(AW2341:INDEX(AW2341:BH2341, MATCH(2, 1/(AW2341:BH2341&lt;&gt;""), 1)-1), ROW(INDIRECT("1:" &amp; MATCH(2, 1/(AW2341:BH2341&lt;&gt;""), 1)-1)))), 0))/_xlfn.XLOOKUP(F2341,Apuração!A:A,Apuração!B:B)&gt;=1.15,1.15,SUM(IFERROR(IF(INDEX(AW2341:INDEX(AW2341:BH2341, MATCH(2, 1/(AW2341:BH2341&lt;&gt;""), 1)-1), ROW(INDIRECT("1:" &amp; MATCH(2, 1/(AW2341:BH2341&lt;&gt;""), 1)-1))) &gt;= 115%, 115%, INDEX(AW2341:INDEX(AW2341:BH2341, MATCH(2, 1/(AW2341:BH2341&lt;&gt;""), 1)-1), ROW(INDIRECT("1:" &amp; MATCH(2, 1/(AW2341:BH2341&lt;&gt;""), 1)-1)))), 0))/_xlfn.XLOOKUP(F2341,Apuração!A:A,Apuração!B:B))</f>
        <v>0.25468164794007492</v>
      </c>
      <c r="BM2341" s="55" cm="1">
        <f t="array" ref="BM2341">IFERROR(
   INDEX($AW$1:$BH$1,
      _xlfn.AGGREGATE(14, 6, COLUMN($AW$1:$BH$1)/(AW2341:BH2341&lt;&gt;""), 2) - COLUMN($AW$1) + 1
   ),
"")</f>
        <v>46113</v>
      </c>
      <c r="BN2341" s="55" cm="1">
        <f t="array" ref="BN2341">IFERROR(INDEX($AW$1:$BH$1,1,MATCH(2,1/(AW2341:BH2341&lt;&gt;""))),"")</f>
        <v>46143</v>
      </c>
      <c r="BO2341" s="53">
        <f ca="1">IFERROR(_xlfn.XLOOKUP(F2341,Apuração!A:A,Apuração!C:C)/_xlfn.XLOOKUP(F2341,Apuração!A:A,Apuração!B:B),0)</f>
        <v>0.41666666666666669</v>
      </c>
      <c r="BP2341" s="53">
        <f ca="1">IFERROR(_xlfn.XLOOKUP(F2341,Apuração!A:A,Apuração!D:D)/_xlfn.XLOOKUP(F2341,Apuração!A:A,Apuração!B:B),0)</f>
        <v>0.33333333333333331</v>
      </c>
      <c r="BQ2341" s="53">
        <f ca="1">IF(BK2341&gt;=BO2341,0,_xlfn.XLOOKUP(F2341,Apuração!A:A,Apuração!B:B)*(BO2341 + (1/_xlfn.XLOOKUP(F2341,Apuração!A:A,Apuração!B:B)) - BK2341))</f>
        <v>2.9438202247191008</v>
      </c>
      <c r="BR2341" s="85">
        <f t="shared" ca="1" si="2833"/>
        <v>52.4</v>
      </c>
      <c r="BS2341" s="53">
        <f ca="1">IFERROR((_xlfn.XLOOKUP(F2341,Apuração!A:A,Apuração!C:C)+1)/_xlfn.XLOOKUP(F2341,Apuração!A:A,Apuração!B:B),0)</f>
        <v>0.5</v>
      </c>
    </row>
    <row r="2342" spans="1:71" ht="25.95" hidden="1" customHeight="1" x14ac:dyDescent="0.3">
      <c r="A2342" s="20" t="s">
        <v>87</v>
      </c>
      <c r="B2342" s="4" t="s">
        <v>232</v>
      </c>
      <c r="C2342" s="5" t="s">
        <v>97</v>
      </c>
      <c r="D2342" s="5" t="s">
        <v>101</v>
      </c>
      <c r="E2342" s="4" t="str" cm="1">
        <f t="array" ref="E2342">_xlfn.IFS(
F2342 = "A partir de Abril", "Aguardando Execução na Distribuidora",
A2342 = "CAPACITAÇÃO", "Em execução no Corporativo",
TRUE, "Em Execução na Distribuidora"
)</f>
        <v>Em Execução na Distribuidora</v>
      </c>
      <c r="F2342" s="4" t="str" cm="1">
        <f t="array" ref="F2342">_xlfn.IFS(
AG2342 &lt;&gt; "", "Jan-Dez/26",
AH2342 &lt;&gt; "", "Fev-Dez/26",
AI2342 &lt;&gt; "", "Mar-Dez/26", AJ2342 &lt;&gt; "", "Abr-Dez/26",
TRUE, "A partir de Junho"
)</f>
        <v>Jan-Dez/26</v>
      </c>
      <c r="G2342" s="7" t="s">
        <v>37</v>
      </c>
      <c r="H2342" s="7" t="s">
        <v>110</v>
      </c>
      <c r="I2342" s="21" t="s">
        <v>233</v>
      </c>
      <c r="J2342" s="21" t="str" cm="1">
        <f t="array" aca="1" ref="J2342" ca="1">_xlfn.LET(
  _xlpm.actual_value_month, INDEX(T2342:AE2342, MATCH(DATE(YEAR(TODAY()), MONTH(TODAY()), 1), $T$1:$AE$1, 0)),
  IF(_xlpm.actual_value_month &lt;&gt; "",_xlpm.actual_value_month &amp; " equipes mensais", "")
)</f>
        <v>10,2 equipes mensais</v>
      </c>
      <c r="K2342" s="8" t="str" cm="1">
        <f t="array" ref="K2342">_xlfn.LET(
    _xlpm.sum_month, SUM(T2342:AE2342),
    IF(_xlpm.sum_month = 0, "", _xlpm.sum_month &amp; " equipes alcançadas no ano")
)</f>
        <v>110,8 equipes alcançadas no ano</v>
      </c>
      <c r="L2342" s="4" t="s">
        <v>234</v>
      </c>
      <c r="M2342" s="19" t="s">
        <v>235</v>
      </c>
      <c r="N2342" s="5" t="s">
        <v>42</v>
      </c>
      <c r="O2342" s="5" t="s">
        <v>43</v>
      </c>
      <c r="P2342" s="10" t="s">
        <v>44</v>
      </c>
      <c r="Q2342" s="10" t="s">
        <v>44</v>
      </c>
      <c r="R2342" s="11" t="s">
        <v>147</v>
      </c>
      <c r="S2342" s="11" t="s">
        <v>162</v>
      </c>
      <c r="T2342" s="22">
        <v>5</v>
      </c>
      <c r="U2342" s="22">
        <v>9</v>
      </c>
      <c r="V2342" s="22">
        <v>5</v>
      </c>
      <c r="W2342" s="22">
        <f>51*0.2</f>
        <v>10.200000000000001</v>
      </c>
      <c r="X2342" s="22">
        <f t="shared" ref="X2342:AE2342" si="2836">51*0.2</f>
        <v>10.200000000000001</v>
      </c>
      <c r="Y2342" s="22">
        <f t="shared" si="2836"/>
        <v>10.200000000000001</v>
      </c>
      <c r="Z2342" s="22">
        <f t="shared" si="2836"/>
        <v>10.200000000000001</v>
      </c>
      <c r="AA2342" s="22">
        <f t="shared" si="2836"/>
        <v>10.200000000000001</v>
      </c>
      <c r="AB2342" s="22">
        <f t="shared" si="2836"/>
        <v>10.200000000000001</v>
      </c>
      <c r="AC2342" s="22">
        <f t="shared" si="2836"/>
        <v>10.200000000000001</v>
      </c>
      <c r="AD2342" s="22">
        <f t="shared" si="2836"/>
        <v>10.200000000000001</v>
      </c>
      <c r="AE2342" s="22">
        <f t="shared" si="2836"/>
        <v>10.200000000000001</v>
      </c>
      <c r="AG2342" s="82">
        <v>5</v>
      </c>
      <c r="AH2342" s="82">
        <v>9</v>
      </c>
      <c r="AI2342" s="82">
        <v>5</v>
      </c>
      <c r="AJ2342" s="71">
        <v>5</v>
      </c>
      <c r="AK2342" s="71">
        <v>7</v>
      </c>
      <c r="AL2342" s="71"/>
      <c r="AM2342" s="71"/>
      <c r="AN2342" s="71"/>
      <c r="AO2342" s="71"/>
      <c r="AP2342" s="71"/>
      <c r="AQ2342" s="71"/>
      <c r="AR2342" s="71"/>
      <c r="AS2342" s="94">
        <f t="shared" ca="1" si="2826"/>
        <v>39.400000000000006</v>
      </c>
      <c r="AT2342" s="95">
        <f t="shared" si="2827"/>
        <v>31</v>
      </c>
      <c r="AU2342" s="97">
        <f t="shared" si="2828"/>
        <v>31</v>
      </c>
      <c r="AW2342" s="51">
        <f t="shared" si="2829"/>
        <v>1</v>
      </c>
      <c r="AX2342" s="51">
        <f t="shared" si="2830"/>
        <v>1</v>
      </c>
      <c r="AY2342" s="51">
        <f t="shared" si="2831"/>
        <v>1</v>
      </c>
      <c r="AZ2342" s="51">
        <f t="shared" si="2832"/>
        <v>0.49019607843137247</v>
      </c>
      <c r="BA2342" s="51">
        <f t="shared" si="2832"/>
        <v>0.68627450980392146</v>
      </c>
      <c r="BB2342" s="51"/>
      <c r="BC2342" s="51"/>
      <c r="BD2342" s="51"/>
      <c r="BE2342" s="51"/>
      <c r="BF2342" s="51"/>
      <c r="BG2342" s="51"/>
      <c r="BH2342" s="51"/>
      <c r="BI2342" s="65" cm="1">
        <f t="array" ref="BI2342">IFERROR(INDEX(AW2342:BH2342,1,MATCH(2,1/(AW2342:BH2342&lt;&gt;""))),"")</f>
        <v>0.68627450980392146</v>
      </c>
      <c r="BJ2342" s="68" cm="1">
        <f t="array" ref="BJ2342">IF(BM2342 = "", "",IFERROR(INDEX(AW2342:BH2342,1,MATCH(2,1/(AW2342:BH2342&lt;&gt;""),1)-1),""))</f>
        <v>0.49019607843137247</v>
      </c>
      <c r="BK2342" s="58">
        <f>IF((IF(AW2342&gt;=115%,115%,AW2342) + IF(AX2342&gt;=115%,115%,AX2342) + IF(AY2342&gt;=115%,115%,AY2342) + (IF(AZ2342&gt;=115%,115%,AZ2342) + IF(BA2342&gt;=200%,200%,BA2342) + IF(BB2342&gt;=130%,130%,BB2342) + IF(BC2342&gt;=187%,187%,BC2342) + IF(BD2342&gt;=115%,115%,BD2342) + IF(BE2342&gt;=115%,115%,BE2342) + IF(BF2342&gt;=115%,115%,BF2342) + IF(BG2342&gt;=115%,115%,BG2342) + IF(BH2342&gt;=115%,115%,BH2342)))/_xlfn.XLOOKUP(F2342,Apuração!A:A,Apuração!B:B)&gt;=1.15,1.15,((IF(AZ2342&gt;=115%,115%,AZ2342) + IF(AX2342&gt;=115%,115%,AX2342) + IF(AY2342&gt;=115%,115%,AY2342) + (IF(AW2342&gt;=115%,115%,AW2342) + IF(BA2342&gt;=200%,200%,BA2342) + IF(BB2342&gt;=130%,130%,BB2342) + IF(BC2342&gt;=187%,187%,BC2342) + IF(BD2342&gt;=115%,115%,BD2342) + IF(BE2342&gt;=115%,115%,BE2342) + IF(BF2342&gt;=115%,115%,BF2342) + IF(BG2342&gt;=115%,115%,BG2342) + IF(BH2342&gt;=115%,115%,BH2342)))/_xlfn.XLOOKUP(F2342,Apuração!A:A,Apuração!B:B)))</f>
        <v>0.34803921568627444</v>
      </c>
      <c r="BL2342" s="58" cm="1">
        <f t="array" aca="1" ref="BL2342" ca="1">IF(SUM(IFERROR(IF(INDEX(AW2342:INDEX(AW2342:BH2342, MATCH(2, 1/(AW2342:BH2342&lt;&gt;""), 1)-1), ROW(INDIRECT("1:" &amp; MATCH(2, 1/(AW2342:BH2342&lt;&gt;""), 1)-1))) &gt;= 115%, 115%, INDEX(AW2342:INDEX(AW2342:BH2342, MATCH(2, 1/(AW2342:BH2342&lt;&gt;""), 1)-1), ROW(INDIRECT("1:" &amp; MATCH(2, 1/(AW2342:BH2342&lt;&gt;""), 1)-1)))), 0))/_xlfn.XLOOKUP(F2342,Apuração!A:A,Apuração!B:B)&gt;=1.15,1.15,SUM(IFERROR(IF(INDEX(AW2342:INDEX(AW2342:BH2342, MATCH(2, 1/(AW2342:BH2342&lt;&gt;""), 1)-1), ROW(INDIRECT("1:" &amp; MATCH(2, 1/(AW2342:BH2342&lt;&gt;""), 1)-1))) &gt;= 115%, 115%, INDEX(AW2342:INDEX(AW2342:BH2342, MATCH(2, 1/(AW2342:BH2342&lt;&gt;""), 1)-1), ROW(INDIRECT("1:" &amp; MATCH(2, 1/(AW2342:BH2342&lt;&gt;""), 1)-1)))), 0))/_xlfn.XLOOKUP(F2342,Apuração!A:A,Apuração!B:B))</f>
        <v>0.2908496732026144</v>
      </c>
      <c r="BM2342" s="55" cm="1">
        <f t="array" ref="BM2342">IFERROR(
   INDEX($AW$1:$BH$1,
      _xlfn.AGGREGATE(14, 6, COLUMN($AW$1:$BH$1)/(AW2342:BH2342&lt;&gt;""), 2) - COLUMN($AW$1) + 1
   ),
"")</f>
        <v>46113</v>
      </c>
      <c r="BN2342" s="55" cm="1">
        <f t="array" ref="BN2342">IFERROR(INDEX($AW$1:$BH$1,1,MATCH(2,1/(AW2342:BH2342&lt;&gt;""))),"")</f>
        <v>46143</v>
      </c>
      <c r="BO2342" s="53">
        <f ca="1">IFERROR(_xlfn.XLOOKUP(F2342,Apuração!A:A,Apuração!C:C)/_xlfn.XLOOKUP(F2342,Apuração!A:A,Apuração!B:B),0)</f>
        <v>0.41666666666666669</v>
      </c>
      <c r="BP2342" s="53">
        <f ca="1">IFERROR(_xlfn.XLOOKUP(F2342,Apuração!A:A,Apuração!D:D)/_xlfn.XLOOKUP(F2342,Apuração!A:A,Apuração!B:B),0)</f>
        <v>0.33333333333333331</v>
      </c>
      <c r="BQ2342" s="53">
        <f ca="1">IF(BK2342&gt;=BO2342,0,_xlfn.XLOOKUP(F2342,Apuração!A:A,Apuração!B:B)*(BO2342 + (1/_xlfn.XLOOKUP(F2342,Apuração!A:A,Apuração!B:B)) - BK2342))</f>
        <v>1.8235294117647067</v>
      </c>
      <c r="BR2342" s="85">
        <f t="shared" ca="1" si="2833"/>
        <v>18.600000000000012</v>
      </c>
      <c r="BS2342" s="53">
        <f ca="1">IFERROR((_xlfn.XLOOKUP(F2342,Apuração!A:A,Apuração!C:C)+1)/_xlfn.XLOOKUP(F2342,Apuração!A:A,Apuração!B:B),0)</f>
        <v>0.5</v>
      </c>
    </row>
    <row r="2343" spans="1:71" ht="25.95" hidden="1" customHeight="1" x14ac:dyDescent="0.3">
      <c r="A2343" s="20" t="s">
        <v>87</v>
      </c>
      <c r="B2343" s="4" t="s">
        <v>232</v>
      </c>
      <c r="C2343" s="5" t="s">
        <v>97</v>
      </c>
      <c r="D2343" s="5" t="s">
        <v>102</v>
      </c>
      <c r="E2343" s="4" t="str" cm="1">
        <f t="array" ref="E2343">_xlfn.IFS(
F2343 = "A partir de Abril", "Aguardando Execução na Distribuidora",
A2343 = "CAPACITAÇÃO", "Em execução no Corporativo",
TRUE, "Em Execução na Distribuidora"
)</f>
        <v>Em Execução na Distribuidora</v>
      </c>
      <c r="F2343" s="4" t="str" cm="1">
        <f t="array" ref="F2343">_xlfn.IFS(
AG2343 &lt;&gt; "", "Jan-Dez/26",
AH2343 &lt;&gt; "", "Fev-Dez/26",
AI2343 &lt;&gt; "", "Mar-Dez/26", AJ2343 &lt;&gt; "", "Abr-Dez/26",
TRUE, "A partir de Junho"
)</f>
        <v>Jan-Dez/26</v>
      </c>
      <c r="G2343" s="7" t="s">
        <v>37</v>
      </c>
      <c r="H2343" s="7" t="s">
        <v>110</v>
      </c>
      <c r="I2343" s="21" t="s">
        <v>233</v>
      </c>
      <c r="J2343" s="21" t="str" cm="1">
        <f t="array" aca="1" ref="J2343" ca="1">_xlfn.LET(
  _xlpm.actual_value_month, INDEX(T2343:AE2343, MATCH(DATE(YEAR(TODAY()), MONTH(TODAY()), 1), $T$1:$AE$1, 0)),
  IF(_xlpm.actual_value_month &lt;&gt; "",_xlpm.actual_value_month &amp; " equipes mensais", "")
)</f>
        <v>17 equipes mensais</v>
      </c>
      <c r="K2343" s="8" t="str" cm="1">
        <f t="array" ref="K2343">_xlfn.LET(
    _xlpm.sum_month, SUM(T2343:AE2343),
    IF(_xlpm.sum_month = 0, "", _xlpm.sum_month &amp; " equipes alcançadas no ano")
)</f>
        <v>165 equipes alcançadas no ano</v>
      </c>
      <c r="L2343" s="4" t="s">
        <v>234</v>
      </c>
      <c r="M2343" s="19" t="s">
        <v>235</v>
      </c>
      <c r="N2343" s="5" t="s">
        <v>42</v>
      </c>
      <c r="O2343" s="5" t="s">
        <v>43</v>
      </c>
      <c r="P2343" s="10" t="s">
        <v>44</v>
      </c>
      <c r="Q2343" s="10" t="s">
        <v>44</v>
      </c>
      <c r="R2343" s="11" t="s">
        <v>147</v>
      </c>
      <c r="S2343" s="11" t="s">
        <v>162</v>
      </c>
      <c r="T2343" s="22">
        <v>7</v>
      </c>
      <c r="U2343" s="22">
        <v>5</v>
      </c>
      <c r="V2343" s="22">
        <v>0</v>
      </c>
      <c r="W2343" s="22">
        <f>85*0.2</f>
        <v>17</v>
      </c>
      <c r="X2343" s="22">
        <f t="shared" ref="X2343:AE2343" si="2837">85*0.2</f>
        <v>17</v>
      </c>
      <c r="Y2343" s="22">
        <f t="shared" si="2837"/>
        <v>17</v>
      </c>
      <c r="Z2343" s="22">
        <f t="shared" si="2837"/>
        <v>17</v>
      </c>
      <c r="AA2343" s="22">
        <f t="shared" si="2837"/>
        <v>17</v>
      </c>
      <c r="AB2343" s="22">
        <f t="shared" si="2837"/>
        <v>17</v>
      </c>
      <c r="AC2343" s="22">
        <f t="shared" si="2837"/>
        <v>17</v>
      </c>
      <c r="AD2343" s="22">
        <f t="shared" si="2837"/>
        <v>17</v>
      </c>
      <c r="AE2343" s="22">
        <f t="shared" si="2837"/>
        <v>17</v>
      </c>
      <c r="AG2343" s="82">
        <v>7</v>
      </c>
      <c r="AH2343" s="82">
        <v>5</v>
      </c>
      <c r="AI2343" s="82">
        <v>0</v>
      </c>
      <c r="AJ2343" s="71">
        <v>3</v>
      </c>
      <c r="AK2343" s="71">
        <v>0</v>
      </c>
      <c r="AL2343" s="71"/>
      <c r="AM2343" s="71"/>
      <c r="AN2343" s="71"/>
      <c r="AO2343" s="71"/>
      <c r="AP2343" s="71"/>
      <c r="AQ2343" s="71"/>
      <c r="AR2343" s="71"/>
      <c r="AS2343" s="94">
        <f t="shared" ca="1" si="2826"/>
        <v>46</v>
      </c>
      <c r="AT2343" s="95">
        <f t="shared" si="2827"/>
        <v>15</v>
      </c>
      <c r="AU2343" s="97">
        <f t="shared" si="2828"/>
        <v>15</v>
      </c>
      <c r="AW2343" s="51">
        <f t="shared" si="2829"/>
        <v>1</v>
      </c>
      <c r="AX2343" s="51">
        <f t="shared" si="2830"/>
        <v>1</v>
      </c>
      <c r="AY2343" s="51">
        <f t="shared" si="2831"/>
        <v>0</v>
      </c>
      <c r="AZ2343" s="51">
        <f t="shared" si="2832"/>
        <v>0.17647058823529413</v>
      </c>
      <c r="BA2343" s="51">
        <f t="shared" si="2832"/>
        <v>0</v>
      </c>
      <c r="BB2343" s="51"/>
      <c r="BC2343" s="51"/>
      <c r="BD2343" s="51"/>
      <c r="BE2343" s="51"/>
      <c r="BF2343" s="51"/>
      <c r="BG2343" s="51"/>
      <c r="BH2343" s="51"/>
      <c r="BI2343" s="65" cm="1">
        <f t="array" ref="BI2343">IFERROR(INDEX(AW2343:BH2343,1,MATCH(2,1/(AW2343:BH2343&lt;&gt;""))),"")</f>
        <v>0</v>
      </c>
      <c r="BJ2343" s="68" cm="1">
        <f t="array" ref="BJ2343">IF(BM2343 = "", "",IFERROR(INDEX(AW2343:BH2343,1,MATCH(2,1/(AW2343:BH2343&lt;&gt;""),1)-1),""))</f>
        <v>0.17647058823529413</v>
      </c>
      <c r="BK2343" s="58">
        <f>IF((IF(AW2343&gt;=115%,115%,AW2343) + IF(AX2343&gt;=115%,115%,AX2343) + IF(AY2343&gt;=115%,115%,AY2343) + (IF(AZ2343&gt;=115%,115%,AZ2343) + IF(BA2343&gt;=200%,200%,BA2343) + IF(BB2343&gt;=130%,130%,BB2343) + IF(BC2343&gt;=187%,187%,BC2343) + IF(BD2343&gt;=115%,115%,BD2343) + IF(BE2343&gt;=115%,115%,BE2343) + IF(BF2343&gt;=115%,115%,BF2343) + IF(BG2343&gt;=115%,115%,BG2343) + IF(BH2343&gt;=115%,115%,BH2343)))/_xlfn.XLOOKUP(F2343,Apuração!A:A,Apuração!B:B)&gt;=1.15,1.15,((IF(AZ2343&gt;=115%,115%,AZ2343) + IF(AX2343&gt;=115%,115%,AX2343) + IF(AY2343&gt;=115%,115%,AY2343) + (IF(AW2343&gt;=115%,115%,AW2343) + IF(BA2343&gt;=200%,200%,BA2343) + IF(BB2343&gt;=130%,130%,BB2343) + IF(BC2343&gt;=187%,187%,BC2343) + IF(BD2343&gt;=115%,115%,BD2343) + IF(BE2343&gt;=115%,115%,BE2343) + IF(BF2343&gt;=115%,115%,BF2343) + IF(BG2343&gt;=115%,115%,BG2343) + IF(BH2343&gt;=115%,115%,BH2343)))/_xlfn.XLOOKUP(F2343,Apuração!A:A,Apuração!B:B)))</f>
        <v>0.18137254901960786</v>
      </c>
      <c r="BL2343" s="58" cm="1">
        <f t="array" aca="1" ref="BL2343" ca="1">IF(SUM(IFERROR(IF(INDEX(AW2343:INDEX(AW2343:BH2343, MATCH(2, 1/(AW2343:BH2343&lt;&gt;""), 1)-1), ROW(INDIRECT("1:" &amp; MATCH(2, 1/(AW2343:BH2343&lt;&gt;""), 1)-1))) &gt;= 115%, 115%, INDEX(AW2343:INDEX(AW2343:BH2343, MATCH(2, 1/(AW2343:BH2343&lt;&gt;""), 1)-1), ROW(INDIRECT("1:" &amp; MATCH(2, 1/(AW2343:BH2343&lt;&gt;""), 1)-1)))), 0))/_xlfn.XLOOKUP(F2343,Apuração!A:A,Apuração!B:B)&gt;=1.15,1.15,SUM(IFERROR(IF(INDEX(AW2343:INDEX(AW2343:BH2343, MATCH(2, 1/(AW2343:BH2343&lt;&gt;""), 1)-1), ROW(INDIRECT("1:" &amp; MATCH(2, 1/(AW2343:BH2343&lt;&gt;""), 1)-1))) &gt;= 115%, 115%, INDEX(AW2343:INDEX(AW2343:BH2343, MATCH(2, 1/(AW2343:BH2343&lt;&gt;""), 1)-1), ROW(INDIRECT("1:" &amp; MATCH(2, 1/(AW2343:BH2343&lt;&gt;""), 1)-1)))), 0))/_xlfn.XLOOKUP(F2343,Apuração!A:A,Apuração!B:B))</f>
        <v>0.18137254901960784</v>
      </c>
      <c r="BM2343" s="55" cm="1">
        <f t="array" ref="BM2343">IFERROR(
   INDEX($AW$1:$BH$1,
      _xlfn.AGGREGATE(14, 6, COLUMN($AW$1:$BH$1)/(AW2343:BH2343&lt;&gt;""), 2) - COLUMN($AW$1) + 1
   ),
"")</f>
        <v>46113</v>
      </c>
      <c r="BN2343" s="55" cm="1">
        <f t="array" ref="BN2343">IFERROR(INDEX($AW$1:$BH$1,1,MATCH(2,1/(AW2343:BH2343&lt;&gt;""))),"")</f>
        <v>46143</v>
      </c>
      <c r="BO2343" s="53">
        <f ca="1">IFERROR(_xlfn.XLOOKUP(F2343,Apuração!A:A,Apuração!C:C)/_xlfn.XLOOKUP(F2343,Apuração!A:A,Apuração!B:B),0)</f>
        <v>0.41666666666666669</v>
      </c>
      <c r="BP2343" s="53">
        <f ca="1">IFERROR(_xlfn.XLOOKUP(F2343,Apuração!A:A,Apuração!D:D)/_xlfn.XLOOKUP(F2343,Apuração!A:A,Apuração!B:B),0)</f>
        <v>0.33333333333333331</v>
      </c>
      <c r="BQ2343" s="53">
        <f ca="1">IF(BK2343&gt;=BO2343,0,_xlfn.XLOOKUP(F2343,Apuração!A:A,Apuração!B:B)*(BO2343 + (1/_xlfn.XLOOKUP(F2343,Apuração!A:A,Apuração!B:B)) - BK2343))</f>
        <v>3.8235294117647056</v>
      </c>
      <c r="BR2343" s="85">
        <f t="shared" ca="1" si="2833"/>
        <v>65</v>
      </c>
      <c r="BS2343" s="53">
        <f ca="1">IFERROR((_xlfn.XLOOKUP(F2343,Apuração!A:A,Apuração!C:C)+1)/_xlfn.XLOOKUP(F2343,Apuração!A:A,Apuração!B:B),0)</f>
        <v>0.5</v>
      </c>
    </row>
    <row r="2344" spans="1:71" ht="25.95" hidden="1" customHeight="1" x14ac:dyDescent="0.3">
      <c r="A2344" s="20" t="s">
        <v>87</v>
      </c>
      <c r="B2344" s="4" t="s">
        <v>232</v>
      </c>
      <c r="C2344" s="5" t="s">
        <v>97</v>
      </c>
      <c r="D2344" s="5" t="s">
        <v>103</v>
      </c>
      <c r="E2344" s="4" t="str" cm="1">
        <f t="array" ref="E2344">_xlfn.IFS(
F2344 = "A partir de Abril", "Aguardando Execução na Distribuidora",
A2344 = "CAPACITAÇÃO", "Em execução no Corporativo",
TRUE, "Em Execução na Distribuidora"
)</f>
        <v>Em Execução na Distribuidora</v>
      </c>
      <c r="F2344" s="4" t="str" cm="1">
        <f t="array" ref="F2344">_xlfn.IFS(
AG2344 &lt;&gt; "", "Jan-Dez/26",
AH2344 &lt;&gt; "", "Fev-Dez/26",
AI2344 &lt;&gt; "", "Mar-Dez/26", AJ2344 &lt;&gt; "", "Abr-Dez/26",
TRUE, "A partir de Junho"
)</f>
        <v>Jan-Dez/26</v>
      </c>
      <c r="G2344" s="7" t="s">
        <v>37</v>
      </c>
      <c r="H2344" s="7" t="s">
        <v>110</v>
      </c>
      <c r="I2344" s="21" t="s">
        <v>233</v>
      </c>
      <c r="J2344" s="21" t="str" cm="1">
        <f t="array" aca="1" ref="J2344" ca="1">_xlfn.LET(
  _xlpm.actual_value_month, INDEX(T2344:AE2344, MATCH(DATE(YEAR(TODAY()), MONTH(TODAY()), 1), $T$1:$AE$1, 0)),
  IF(_xlpm.actual_value_month &lt;&gt; "",_xlpm.actual_value_month &amp; " equipes mensais", "")
)</f>
        <v>25 equipes mensais</v>
      </c>
      <c r="K2344" s="8" t="str" cm="1">
        <f t="array" ref="K2344">_xlfn.LET(
    _xlpm.sum_month, SUM(T2344:AE2344),
    IF(_xlpm.sum_month = 0, "", _xlpm.sum_month &amp; " equipes alcançadas no ano")
)</f>
        <v>246 equipes alcançadas no ano</v>
      </c>
      <c r="L2344" s="4" t="s">
        <v>234</v>
      </c>
      <c r="M2344" s="19" t="s">
        <v>235</v>
      </c>
      <c r="N2344" s="5" t="s">
        <v>42</v>
      </c>
      <c r="O2344" s="5" t="s">
        <v>43</v>
      </c>
      <c r="P2344" s="10" t="s">
        <v>44</v>
      </c>
      <c r="Q2344" s="10" t="s">
        <v>44</v>
      </c>
      <c r="R2344" s="11" t="s">
        <v>147</v>
      </c>
      <c r="S2344" s="11" t="s">
        <v>162</v>
      </c>
      <c r="T2344" s="22">
        <v>11</v>
      </c>
      <c r="U2344" s="22">
        <v>5</v>
      </c>
      <c r="V2344" s="22">
        <v>5</v>
      </c>
      <c r="W2344" s="22">
        <f>125*0.2</f>
        <v>25</v>
      </c>
      <c r="X2344" s="22">
        <f t="shared" ref="X2344:AE2344" si="2838">125*0.2</f>
        <v>25</v>
      </c>
      <c r="Y2344" s="22">
        <f t="shared" si="2838"/>
        <v>25</v>
      </c>
      <c r="Z2344" s="22">
        <f t="shared" si="2838"/>
        <v>25</v>
      </c>
      <c r="AA2344" s="22">
        <f t="shared" si="2838"/>
        <v>25</v>
      </c>
      <c r="AB2344" s="22">
        <f t="shared" si="2838"/>
        <v>25</v>
      </c>
      <c r="AC2344" s="22">
        <f t="shared" si="2838"/>
        <v>25</v>
      </c>
      <c r="AD2344" s="22">
        <f t="shared" si="2838"/>
        <v>25</v>
      </c>
      <c r="AE2344" s="22">
        <f t="shared" si="2838"/>
        <v>25</v>
      </c>
      <c r="AG2344" s="82">
        <v>11</v>
      </c>
      <c r="AH2344" s="82">
        <v>5</v>
      </c>
      <c r="AI2344" s="82">
        <v>5</v>
      </c>
      <c r="AJ2344" s="71">
        <v>6</v>
      </c>
      <c r="AK2344" s="71">
        <v>2</v>
      </c>
      <c r="AL2344" s="71"/>
      <c r="AM2344" s="71"/>
      <c r="AN2344" s="71"/>
      <c r="AO2344" s="71"/>
      <c r="AP2344" s="71"/>
      <c r="AQ2344" s="71"/>
      <c r="AR2344" s="71"/>
      <c r="AS2344" s="94">
        <f t="shared" ca="1" si="2826"/>
        <v>71</v>
      </c>
      <c r="AT2344" s="95">
        <f t="shared" si="2827"/>
        <v>29</v>
      </c>
      <c r="AU2344" s="97">
        <f t="shared" si="2828"/>
        <v>29</v>
      </c>
      <c r="AW2344" s="51">
        <f t="shared" si="2829"/>
        <v>1</v>
      </c>
      <c r="AX2344" s="51">
        <f t="shared" si="2830"/>
        <v>1</v>
      </c>
      <c r="AY2344" s="51">
        <f t="shared" si="2831"/>
        <v>1</v>
      </c>
      <c r="AZ2344" s="51">
        <f t="shared" si="2832"/>
        <v>0.24</v>
      </c>
      <c r="BA2344" s="51">
        <f t="shared" si="2832"/>
        <v>0.08</v>
      </c>
      <c r="BB2344" s="51"/>
      <c r="BC2344" s="51"/>
      <c r="BD2344" s="51"/>
      <c r="BE2344" s="51"/>
      <c r="BF2344" s="51"/>
      <c r="BG2344" s="51"/>
      <c r="BH2344" s="51"/>
      <c r="BI2344" s="65" cm="1">
        <f t="array" ref="BI2344">IFERROR(INDEX(AW2344:BH2344,1,MATCH(2,1/(AW2344:BH2344&lt;&gt;""))),"")</f>
        <v>0.08</v>
      </c>
      <c r="BJ2344" s="68" cm="1">
        <f t="array" ref="BJ2344">IF(BM2344 = "", "",IFERROR(INDEX(AW2344:BH2344,1,MATCH(2,1/(AW2344:BH2344&lt;&gt;""),1)-1),""))</f>
        <v>0.24</v>
      </c>
      <c r="BK2344" s="58">
        <f>IF((IF(AW2344&gt;=115%,115%,AW2344) + IF(AX2344&gt;=115%,115%,AX2344) + IF(AY2344&gt;=115%,115%,AY2344) + (IF(AZ2344&gt;=115%,115%,AZ2344) + IF(BA2344&gt;=200%,200%,BA2344) + IF(BB2344&gt;=130%,130%,BB2344) + IF(BC2344&gt;=187%,187%,BC2344) + IF(BD2344&gt;=115%,115%,BD2344) + IF(BE2344&gt;=115%,115%,BE2344) + IF(BF2344&gt;=115%,115%,BF2344) + IF(BG2344&gt;=115%,115%,BG2344) + IF(BH2344&gt;=115%,115%,BH2344)))/_xlfn.XLOOKUP(F2344,Apuração!A:A,Apuração!B:B)&gt;=1.15,1.15,((IF(AZ2344&gt;=115%,115%,AZ2344) + IF(AX2344&gt;=115%,115%,AX2344) + IF(AY2344&gt;=115%,115%,AY2344) + (IF(AW2344&gt;=115%,115%,AW2344) + IF(BA2344&gt;=200%,200%,BA2344) + IF(BB2344&gt;=130%,130%,BB2344) + IF(BC2344&gt;=187%,187%,BC2344) + IF(BD2344&gt;=115%,115%,BD2344) + IF(BE2344&gt;=115%,115%,BE2344) + IF(BF2344&gt;=115%,115%,BF2344) + IF(BG2344&gt;=115%,115%,BG2344) + IF(BH2344&gt;=115%,115%,BH2344)))/_xlfn.XLOOKUP(F2344,Apuração!A:A,Apuração!B:B)))</f>
        <v>0.27666666666666667</v>
      </c>
      <c r="BL2344" s="58" cm="1">
        <f t="array" aca="1" ref="BL2344" ca="1">IF(SUM(IFERROR(IF(INDEX(AW2344:INDEX(AW2344:BH2344, MATCH(2, 1/(AW2344:BH2344&lt;&gt;""), 1)-1), ROW(INDIRECT("1:" &amp; MATCH(2, 1/(AW2344:BH2344&lt;&gt;""), 1)-1))) &gt;= 115%, 115%, INDEX(AW2344:INDEX(AW2344:BH2344, MATCH(2, 1/(AW2344:BH2344&lt;&gt;""), 1)-1), ROW(INDIRECT("1:" &amp; MATCH(2, 1/(AW2344:BH2344&lt;&gt;""), 1)-1)))), 0))/_xlfn.XLOOKUP(F2344,Apuração!A:A,Apuração!B:B)&gt;=1.15,1.15,SUM(IFERROR(IF(INDEX(AW2344:INDEX(AW2344:BH2344, MATCH(2, 1/(AW2344:BH2344&lt;&gt;""), 1)-1), ROW(INDIRECT("1:" &amp; MATCH(2, 1/(AW2344:BH2344&lt;&gt;""), 1)-1))) &gt;= 115%, 115%, INDEX(AW2344:INDEX(AW2344:BH2344, MATCH(2, 1/(AW2344:BH2344&lt;&gt;""), 1)-1), ROW(INDIRECT("1:" &amp; MATCH(2, 1/(AW2344:BH2344&lt;&gt;""), 1)-1)))), 0))/_xlfn.XLOOKUP(F2344,Apuração!A:A,Apuração!B:B))</f>
        <v>0.27</v>
      </c>
      <c r="BM2344" s="55" cm="1">
        <f t="array" ref="BM2344">IFERROR(
   INDEX($AW$1:$BH$1,
      _xlfn.AGGREGATE(14, 6, COLUMN($AW$1:$BH$1)/(AW2344:BH2344&lt;&gt;""), 2) - COLUMN($AW$1) + 1
   ),
"")</f>
        <v>46113</v>
      </c>
      <c r="BN2344" s="55" cm="1">
        <f t="array" ref="BN2344">IFERROR(INDEX($AW$1:$BH$1,1,MATCH(2,1/(AW2344:BH2344&lt;&gt;""))),"")</f>
        <v>46143</v>
      </c>
      <c r="BO2344" s="53">
        <f ca="1">IFERROR(_xlfn.XLOOKUP(F2344,Apuração!A:A,Apuração!C:C)/_xlfn.XLOOKUP(F2344,Apuração!A:A,Apuração!B:B),0)</f>
        <v>0.41666666666666669</v>
      </c>
      <c r="BP2344" s="53">
        <f ca="1">IFERROR(_xlfn.XLOOKUP(F2344,Apuração!A:A,Apuração!D:D)/_xlfn.XLOOKUP(F2344,Apuração!A:A,Apuração!B:B),0)</f>
        <v>0.33333333333333331</v>
      </c>
      <c r="BQ2344" s="53">
        <f ca="1">IF(BK2344&gt;=BO2344,0,_xlfn.XLOOKUP(F2344,Apuração!A:A,Apuração!B:B)*(BO2344 + (1/_xlfn.XLOOKUP(F2344,Apuração!A:A,Apuração!B:B)) - BK2344))</f>
        <v>2.6799999999999997</v>
      </c>
      <c r="BR2344" s="85">
        <f t="shared" ca="1" si="2833"/>
        <v>67</v>
      </c>
      <c r="BS2344" s="53">
        <f ca="1">IFERROR((_xlfn.XLOOKUP(F2344,Apuração!A:A,Apuração!C:C)+1)/_xlfn.XLOOKUP(F2344,Apuração!A:A,Apuração!B:B),0)</f>
        <v>0.5</v>
      </c>
    </row>
    <row r="2345" spans="1:71" ht="25.95" hidden="1" customHeight="1" x14ac:dyDescent="0.3">
      <c r="A2345" s="20" t="s">
        <v>87</v>
      </c>
      <c r="B2345" s="4" t="s">
        <v>232</v>
      </c>
      <c r="C2345" s="5" t="s">
        <v>97</v>
      </c>
      <c r="D2345" s="5" t="s">
        <v>104</v>
      </c>
      <c r="E2345" s="4" t="str" cm="1">
        <f t="array" ref="E2345">_xlfn.IFS(
F2345 = "A partir de Abril", "Aguardando Execução na Distribuidora",
A2345 = "CAPACITAÇÃO", "Em execução no Corporativo",
TRUE, "Em Execução na Distribuidora"
)</f>
        <v>Em Execução na Distribuidora</v>
      </c>
      <c r="F2345" s="4" t="str" cm="1">
        <f t="array" ref="F2345">_xlfn.IFS(
AG2345 &lt;&gt; "", "Jan-Dez/26",
AH2345 &lt;&gt; "", "Fev-Dez/26",
AI2345 &lt;&gt; "", "Mar-Dez/26", AJ2345 &lt;&gt; "", "Abr-Dez/26",
TRUE, "A partir de Junho"
)</f>
        <v>Jan-Dez/26</v>
      </c>
      <c r="G2345" s="7" t="s">
        <v>37</v>
      </c>
      <c r="H2345" s="7" t="s">
        <v>110</v>
      </c>
      <c r="I2345" s="21" t="s">
        <v>233</v>
      </c>
      <c r="J2345" s="21" t="str" cm="1">
        <f t="array" aca="1" ref="J2345" ca="1">_xlfn.LET(
  _xlpm.actual_value_month, INDEX(T2345:AE2345, MATCH(DATE(YEAR(TODAY()), MONTH(TODAY()), 1), $T$1:$AE$1, 0)),
  IF(_xlpm.actual_value_month &lt;&gt; "",_xlpm.actual_value_month &amp; " equipes mensais", "")
)</f>
        <v>13 equipes mensais</v>
      </c>
      <c r="K2345" s="8" t="str" cm="1">
        <f t="array" ref="K2345">_xlfn.LET(
    _xlpm.sum_month, SUM(T2345:AE2345),
    IF(_xlpm.sum_month = 0, "", _xlpm.sum_month &amp; " equipes alcançadas no ano")
)</f>
        <v>131 equipes alcançadas no ano</v>
      </c>
      <c r="L2345" s="4" t="s">
        <v>234</v>
      </c>
      <c r="M2345" s="19" t="s">
        <v>235</v>
      </c>
      <c r="N2345" s="5" t="s">
        <v>42</v>
      </c>
      <c r="O2345" s="5" t="s">
        <v>43</v>
      </c>
      <c r="P2345" s="10" t="s">
        <v>44</v>
      </c>
      <c r="Q2345" s="10" t="s">
        <v>44</v>
      </c>
      <c r="R2345" s="11" t="s">
        <v>147</v>
      </c>
      <c r="S2345" s="11" t="s">
        <v>162</v>
      </c>
      <c r="T2345" s="22">
        <v>7</v>
      </c>
      <c r="U2345" s="22">
        <v>2</v>
      </c>
      <c r="V2345" s="22">
        <v>5</v>
      </c>
      <c r="W2345" s="22">
        <f>65*0.2</f>
        <v>13</v>
      </c>
      <c r="X2345" s="22">
        <f t="shared" ref="X2345:AE2345" si="2839">65*0.2</f>
        <v>13</v>
      </c>
      <c r="Y2345" s="22">
        <f t="shared" si="2839"/>
        <v>13</v>
      </c>
      <c r="Z2345" s="22">
        <f t="shared" si="2839"/>
        <v>13</v>
      </c>
      <c r="AA2345" s="22">
        <f t="shared" si="2839"/>
        <v>13</v>
      </c>
      <c r="AB2345" s="22">
        <f t="shared" si="2839"/>
        <v>13</v>
      </c>
      <c r="AC2345" s="22">
        <f t="shared" si="2839"/>
        <v>13</v>
      </c>
      <c r="AD2345" s="22">
        <f t="shared" si="2839"/>
        <v>13</v>
      </c>
      <c r="AE2345" s="22">
        <f t="shared" si="2839"/>
        <v>13</v>
      </c>
      <c r="AG2345" s="82">
        <v>7</v>
      </c>
      <c r="AH2345" s="82">
        <v>2</v>
      </c>
      <c r="AI2345" s="82">
        <v>5</v>
      </c>
      <c r="AJ2345" s="71">
        <v>4</v>
      </c>
      <c r="AK2345" s="71">
        <v>4</v>
      </c>
      <c r="AL2345" s="71"/>
      <c r="AM2345" s="71"/>
      <c r="AN2345" s="71"/>
      <c r="AO2345" s="71"/>
      <c r="AP2345" s="71"/>
      <c r="AQ2345" s="71"/>
      <c r="AR2345" s="71"/>
      <c r="AS2345" s="94">
        <f t="shared" ca="1" si="2826"/>
        <v>40</v>
      </c>
      <c r="AT2345" s="95">
        <f t="shared" si="2827"/>
        <v>22</v>
      </c>
      <c r="AU2345" s="97">
        <f t="shared" si="2828"/>
        <v>22</v>
      </c>
      <c r="AW2345" s="51">
        <f t="shared" si="2829"/>
        <v>1</v>
      </c>
      <c r="AX2345" s="51">
        <f t="shared" si="2830"/>
        <v>1</v>
      </c>
      <c r="AY2345" s="51">
        <f t="shared" si="2831"/>
        <v>1</v>
      </c>
      <c r="AZ2345" s="51">
        <f t="shared" si="2832"/>
        <v>0.30769230769230771</v>
      </c>
      <c r="BA2345" s="51">
        <f t="shared" si="2832"/>
        <v>0.30769230769230771</v>
      </c>
      <c r="BB2345" s="51"/>
      <c r="BC2345" s="51"/>
      <c r="BD2345" s="51"/>
      <c r="BE2345" s="51"/>
      <c r="BF2345" s="51"/>
      <c r="BG2345" s="51"/>
      <c r="BH2345" s="51"/>
      <c r="BI2345" s="65" cm="1">
        <f t="array" ref="BI2345">IFERROR(INDEX(AW2345:BH2345,1,MATCH(2,1/(AW2345:BH2345&lt;&gt;""))),"")</f>
        <v>0.30769230769230771</v>
      </c>
      <c r="BJ2345" s="68" cm="1">
        <f t="array" ref="BJ2345">IF(BM2345 = "", "",IFERROR(INDEX(AW2345:BH2345,1,MATCH(2,1/(AW2345:BH2345&lt;&gt;""),1)-1),""))</f>
        <v>0.30769230769230771</v>
      </c>
      <c r="BK2345" s="58">
        <f>IF((IF(AW2345&gt;=115%,115%,AW2345) + IF(AX2345&gt;=115%,115%,AX2345) + IF(AY2345&gt;=115%,115%,AY2345) + (IF(AZ2345&gt;=115%,115%,AZ2345) + IF(BA2345&gt;=200%,200%,BA2345) + IF(BB2345&gt;=130%,130%,BB2345) + IF(BC2345&gt;=187%,187%,BC2345) + IF(BD2345&gt;=115%,115%,BD2345) + IF(BE2345&gt;=115%,115%,BE2345) + IF(BF2345&gt;=115%,115%,BF2345) + IF(BG2345&gt;=115%,115%,BG2345) + IF(BH2345&gt;=115%,115%,BH2345)))/_xlfn.XLOOKUP(F2345,Apuração!A:A,Apuração!B:B)&gt;=1.15,1.15,((IF(AZ2345&gt;=115%,115%,AZ2345) + IF(AX2345&gt;=115%,115%,AX2345) + IF(AY2345&gt;=115%,115%,AY2345) + (IF(AW2345&gt;=115%,115%,AW2345) + IF(BA2345&gt;=200%,200%,BA2345) + IF(BB2345&gt;=130%,130%,BB2345) + IF(BC2345&gt;=187%,187%,BC2345) + IF(BD2345&gt;=115%,115%,BD2345) + IF(BE2345&gt;=115%,115%,BE2345) + IF(BF2345&gt;=115%,115%,BF2345) + IF(BG2345&gt;=115%,115%,BG2345) + IF(BH2345&gt;=115%,115%,BH2345)))/_xlfn.XLOOKUP(F2345,Apuração!A:A,Apuração!B:B)))</f>
        <v>0.30128205128205127</v>
      </c>
      <c r="BL2345" s="58" cm="1">
        <f t="array" aca="1" ref="BL2345" ca="1">IF(SUM(IFERROR(IF(INDEX(AW2345:INDEX(AW2345:BH2345, MATCH(2, 1/(AW2345:BH2345&lt;&gt;""), 1)-1), ROW(INDIRECT("1:" &amp; MATCH(2, 1/(AW2345:BH2345&lt;&gt;""), 1)-1))) &gt;= 115%, 115%, INDEX(AW2345:INDEX(AW2345:BH2345, MATCH(2, 1/(AW2345:BH2345&lt;&gt;""), 1)-1), ROW(INDIRECT("1:" &amp; MATCH(2, 1/(AW2345:BH2345&lt;&gt;""), 1)-1)))), 0))/_xlfn.XLOOKUP(F2345,Apuração!A:A,Apuração!B:B)&gt;=1.15,1.15,SUM(IFERROR(IF(INDEX(AW2345:INDEX(AW2345:BH2345, MATCH(2, 1/(AW2345:BH2345&lt;&gt;""), 1)-1), ROW(INDIRECT("1:" &amp; MATCH(2, 1/(AW2345:BH2345&lt;&gt;""), 1)-1))) &gt;= 115%, 115%, INDEX(AW2345:INDEX(AW2345:BH2345, MATCH(2, 1/(AW2345:BH2345&lt;&gt;""), 1)-1), ROW(INDIRECT("1:" &amp; MATCH(2, 1/(AW2345:BH2345&lt;&gt;""), 1)-1)))), 0))/_xlfn.XLOOKUP(F2345,Apuração!A:A,Apuração!B:B))</f>
        <v>0.27564102564102561</v>
      </c>
      <c r="BM2345" s="55" cm="1">
        <f t="array" ref="BM2345">IFERROR(
   INDEX($AW$1:$BH$1,
      _xlfn.AGGREGATE(14, 6, COLUMN($AW$1:$BH$1)/(AW2345:BH2345&lt;&gt;""), 2) - COLUMN($AW$1) + 1
   ),
"")</f>
        <v>46113</v>
      </c>
      <c r="BN2345" s="55" cm="1">
        <f t="array" ref="BN2345">IFERROR(INDEX($AW$1:$BH$1,1,MATCH(2,1/(AW2345:BH2345&lt;&gt;""))),"")</f>
        <v>46143</v>
      </c>
      <c r="BO2345" s="53">
        <f ca="1">IFERROR(_xlfn.XLOOKUP(F2345,Apuração!A:A,Apuração!C:C)/_xlfn.XLOOKUP(F2345,Apuração!A:A,Apuração!B:B),0)</f>
        <v>0.41666666666666669</v>
      </c>
      <c r="BP2345" s="53">
        <f ca="1">IFERROR(_xlfn.XLOOKUP(F2345,Apuração!A:A,Apuração!D:D)/_xlfn.XLOOKUP(F2345,Apuração!A:A,Apuração!B:B),0)</f>
        <v>0.33333333333333331</v>
      </c>
      <c r="BQ2345" s="53">
        <f ca="1">IF(BK2345&gt;=BO2345,0,_xlfn.XLOOKUP(F2345,Apuração!A:A,Apuração!B:B)*(BO2345 + (1/_xlfn.XLOOKUP(F2345,Apuração!A:A,Apuração!B:B)) - BK2345))</f>
        <v>2.384615384615385</v>
      </c>
      <c r="BR2345" s="85">
        <f t="shared" ca="1" si="2833"/>
        <v>31.000000000000007</v>
      </c>
      <c r="BS2345" s="53">
        <f ca="1">IFERROR((_xlfn.XLOOKUP(F2345,Apuração!A:A,Apuração!C:C)+1)/_xlfn.XLOOKUP(F2345,Apuração!A:A,Apuração!B:B),0)</f>
        <v>0.5</v>
      </c>
    </row>
    <row r="2346" spans="1:71" ht="25.95" hidden="1" customHeight="1" x14ac:dyDescent="0.3">
      <c r="A2346" s="20" t="s">
        <v>87</v>
      </c>
      <c r="B2346" s="4" t="s">
        <v>232</v>
      </c>
      <c r="C2346" s="5" t="s">
        <v>97</v>
      </c>
      <c r="D2346" s="5" t="s">
        <v>105</v>
      </c>
      <c r="E2346" s="4" t="str" cm="1">
        <f t="array" ref="E2346">_xlfn.IFS(
F2346 = "A partir de Abril", "Aguardando Execução na Distribuidora",
A2346 = "CAPACITAÇÃO", "Em execução no Corporativo",
TRUE, "Em Execução na Distribuidora"
)</f>
        <v>Em Execução na Distribuidora</v>
      </c>
      <c r="F2346" s="4" t="str" cm="1">
        <f t="array" ref="F2346">_xlfn.IFS(
AG2346 &lt;&gt; "", "Jan-Dez/26",
AH2346 &lt;&gt; "", "Fev-Dez/26",
AI2346 &lt;&gt; "", "Mar-Dez/26", AJ2346 &lt;&gt; "", "Abr-Dez/26",
TRUE, "A partir de Junho"
)</f>
        <v>Jan-Dez/26</v>
      </c>
      <c r="G2346" s="7" t="s">
        <v>37</v>
      </c>
      <c r="H2346" s="7" t="s">
        <v>110</v>
      </c>
      <c r="I2346" s="21" t="s">
        <v>233</v>
      </c>
      <c r="J2346" s="21" t="str" cm="1">
        <f t="array" aca="1" ref="J2346" ca="1">_xlfn.LET(
  _xlpm.actual_value_month, INDEX(T2346:AE2346, MATCH(DATE(YEAR(TODAY()), MONTH(TODAY()), 1), $T$1:$AE$1, 0)),
  IF(_xlpm.actual_value_month &lt;&gt; "",_xlpm.actual_value_month &amp; " equipes mensais", "")
)</f>
        <v>23 equipes mensais</v>
      </c>
      <c r="K2346" s="8" t="str" cm="1">
        <f t="array" ref="K2346">_xlfn.LET(
    _xlpm.sum_month, SUM(T2346:AE2346),
    IF(_xlpm.sum_month = 0, "", _xlpm.sum_month &amp; " equipes alcançadas no ano")
)</f>
        <v>222 equipes alcançadas no ano</v>
      </c>
      <c r="L2346" s="4" t="s">
        <v>234</v>
      </c>
      <c r="M2346" s="19" t="s">
        <v>235</v>
      </c>
      <c r="N2346" s="5" t="s">
        <v>42</v>
      </c>
      <c r="O2346" s="5" t="s">
        <v>43</v>
      </c>
      <c r="P2346" s="10" t="s">
        <v>44</v>
      </c>
      <c r="Q2346" s="10" t="s">
        <v>44</v>
      </c>
      <c r="R2346" s="11" t="s">
        <v>147</v>
      </c>
      <c r="S2346" s="11" t="s">
        <v>162</v>
      </c>
      <c r="T2346" s="22">
        <v>4</v>
      </c>
      <c r="U2346" s="22">
        <v>5</v>
      </c>
      <c r="V2346" s="22">
        <v>6</v>
      </c>
      <c r="W2346" s="22">
        <f>115*0.2</f>
        <v>23</v>
      </c>
      <c r="X2346" s="22">
        <f t="shared" ref="X2346:AE2346" si="2840">115*0.2</f>
        <v>23</v>
      </c>
      <c r="Y2346" s="22">
        <f t="shared" si="2840"/>
        <v>23</v>
      </c>
      <c r="Z2346" s="22">
        <f t="shared" si="2840"/>
        <v>23</v>
      </c>
      <c r="AA2346" s="22">
        <f t="shared" si="2840"/>
        <v>23</v>
      </c>
      <c r="AB2346" s="22">
        <f t="shared" si="2840"/>
        <v>23</v>
      </c>
      <c r="AC2346" s="22">
        <f t="shared" si="2840"/>
        <v>23</v>
      </c>
      <c r="AD2346" s="22">
        <f t="shared" si="2840"/>
        <v>23</v>
      </c>
      <c r="AE2346" s="22">
        <f t="shared" si="2840"/>
        <v>23</v>
      </c>
      <c r="AG2346" s="82">
        <v>4</v>
      </c>
      <c r="AH2346" s="151">
        <v>5</v>
      </c>
      <c r="AI2346" s="82">
        <v>6</v>
      </c>
      <c r="AJ2346" s="71">
        <v>0</v>
      </c>
      <c r="AK2346" s="71">
        <v>0</v>
      </c>
      <c r="AL2346" s="71"/>
      <c r="AM2346" s="71"/>
      <c r="AN2346" s="71"/>
      <c r="AO2346" s="71"/>
      <c r="AP2346" s="71"/>
      <c r="AQ2346" s="71"/>
      <c r="AR2346" s="71"/>
      <c r="AS2346" s="94">
        <f t="shared" ca="1" si="2826"/>
        <v>61</v>
      </c>
      <c r="AT2346" s="95">
        <f t="shared" si="2827"/>
        <v>15</v>
      </c>
      <c r="AU2346" s="97">
        <f t="shared" si="2828"/>
        <v>15</v>
      </c>
      <c r="AW2346" s="51">
        <f t="shared" si="2829"/>
        <v>1</v>
      </c>
      <c r="AX2346" s="51">
        <f t="shared" si="2830"/>
        <v>1</v>
      </c>
      <c r="AY2346" s="51">
        <f t="shared" si="2831"/>
        <v>1</v>
      </c>
      <c r="AZ2346" s="51">
        <f t="shared" si="2832"/>
        <v>0</v>
      </c>
      <c r="BA2346" s="51">
        <f t="shared" si="2832"/>
        <v>0</v>
      </c>
      <c r="BB2346" s="51"/>
      <c r="BC2346" s="51"/>
      <c r="BD2346" s="51"/>
      <c r="BE2346" s="51"/>
      <c r="BF2346" s="51"/>
      <c r="BG2346" s="51"/>
      <c r="BH2346" s="51"/>
      <c r="BI2346" s="65" cm="1">
        <f t="array" ref="BI2346">IFERROR(INDEX(AW2346:BH2346,1,MATCH(2,1/(AW2346:BH2346&lt;&gt;""))),"")</f>
        <v>0</v>
      </c>
      <c r="BJ2346" s="68" cm="1">
        <f t="array" ref="BJ2346">IF(BM2346 = "", "",IFERROR(INDEX(AW2346:BH2346,1,MATCH(2,1/(AW2346:BH2346&lt;&gt;""),1)-1),""))</f>
        <v>0</v>
      </c>
      <c r="BK2346" s="58">
        <f>IF((IF(AW2346&gt;=115%,115%,AW2346) + IF(AX2346&gt;=115%,115%,AX2346) + IF(AY2346&gt;=115%,115%,AY2346) + (IF(AZ2346&gt;=115%,115%,AZ2346) + IF(BA2346&gt;=200%,200%,BA2346) + IF(BB2346&gt;=130%,130%,BB2346) + IF(BC2346&gt;=187%,187%,BC2346) + IF(BD2346&gt;=115%,115%,BD2346) + IF(BE2346&gt;=115%,115%,BE2346) + IF(BF2346&gt;=115%,115%,BF2346) + IF(BG2346&gt;=115%,115%,BG2346) + IF(BH2346&gt;=115%,115%,BH2346)))/_xlfn.XLOOKUP(F2346,Apuração!A:A,Apuração!B:B)&gt;=1.15,1.15,((IF(AZ2346&gt;=115%,115%,AZ2346) + IF(AX2346&gt;=115%,115%,AX2346) + IF(AY2346&gt;=115%,115%,AY2346) + (IF(AW2346&gt;=115%,115%,AW2346) + IF(BA2346&gt;=200%,200%,BA2346) + IF(BB2346&gt;=130%,130%,BB2346) + IF(BC2346&gt;=187%,187%,BC2346) + IF(BD2346&gt;=115%,115%,BD2346) + IF(BE2346&gt;=115%,115%,BE2346) + IF(BF2346&gt;=115%,115%,BF2346) + IF(BG2346&gt;=115%,115%,BG2346) + IF(BH2346&gt;=115%,115%,BH2346)))/_xlfn.XLOOKUP(F2346,Apuração!A:A,Apuração!B:B)))</f>
        <v>0.25</v>
      </c>
      <c r="BL2346" s="58" cm="1">
        <f t="array" aca="1" ref="BL2346" ca="1">IF(SUM(IFERROR(IF(INDEX(AW2346:INDEX(AW2346:BH2346, MATCH(2, 1/(AW2346:BH2346&lt;&gt;""), 1)-1), ROW(INDIRECT("1:" &amp; MATCH(2, 1/(AW2346:BH2346&lt;&gt;""), 1)-1))) &gt;= 115%, 115%, INDEX(AW2346:INDEX(AW2346:BH2346, MATCH(2, 1/(AW2346:BH2346&lt;&gt;""), 1)-1), ROW(INDIRECT("1:" &amp; MATCH(2, 1/(AW2346:BH2346&lt;&gt;""), 1)-1)))), 0))/_xlfn.XLOOKUP(F2346,Apuração!A:A,Apuração!B:B)&gt;=1.15,1.15,SUM(IFERROR(IF(INDEX(AW2346:INDEX(AW2346:BH2346, MATCH(2, 1/(AW2346:BH2346&lt;&gt;""), 1)-1), ROW(INDIRECT("1:" &amp; MATCH(2, 1/(AW2346:BH2346&lt;&gt;""), 1)-1))) &gt;= 115%, 115%, INDEX(AW2346:INDEX(AW2346:BH2346, MATCH(2, 1/(AW2346:BH2346&lt;&gt;""), 1)-1), ROW(INDIRECT("1:" &amp; MATCH(2, 1/(AW2346:BH2346&lt;&gt;""), 1)-1)))), 0))/_xlfn.XLOOKUP(F2346,Apuração!A:A,Apuração!B:B))</f>
        <v>0.25</v>
      </c>
      <c r="BM2346" s="55" cm="1">
        <f t="array" ref="BM2346">IFERROR(
   INDEX($AW$1:$BH$1,
      _xlfn.AGGREGATE(14, 6, COLUMN($AW$1:$BH$1)/(AW2346:BH2346&lt;&gt;""), 2) - COLUMN($AW$1) + 1
   ),
"")</f>
        <v>46113</v>
      </c>
      <c r="BN2346" s="55" cm="1">
        <f t="array" ref="BN2346">IFERROR(INDEX($AW$1:$BH$1,1,MATCH(2,1/(AW2346:BH2346&lt;&gt;""))),"")</f>
        <v>46143</v>
      </c>
      <c r="BO2346" s="53">
        <f ca="1">IFERROR(_xlfn.XLOOKUP(F2346,Apuração!A:A,Apuração!C:C)/_xlfn.XLOOKUP(F2346,Apuração!A:A,Apuração!B:B),0)</f>
        <v>0.41666666666666669</v>
      </c>
      <c r="BP2346" s="53">
        <f ca="1">IFERROR(_xlfn.XLOOKUP(F2346,Apuração!A:A,Apuração!D:D)/_xlfn.XLOOKUP(F2346,Apuração!A:A,Apuração!B:B),0)</f>
        <v>0.33333333333333331</v>
      </c>
      <c r="BQ2346" s="53">
        <f ca="1">IF(BK2346&gt;=BO2346,0,_xlfn.XLOOKUP(F2346,Apuração!A:A,Apuração!B:B)*(BO2346 + (1/_xlfn.XLOOKUP(F2346,Apuração!A:A,Apuração!B:B)) - BK2346))</f>
        <v>3</v>
      </c>
      <c r="BR2346" s="85">
        <f t="shared" ca="1" si="2833"/>
        <v>69</v>
      </c>
      <c r="BS2346" s="53">
        <f ca="1">IFERROR((_xlfn.XLOOKUP(F2346,Apuração!A:A,Apuração!C:C)+1)/_xlfn.XLOOKUP(F2346,Apuração!A:A,Apuração!B:B),0)</f>
        <v>0.5</v>
      </c>
    </row>
    <row r="2347" spans="1:71" ht="25.95" hidden="1" customHeight="1" x14ac:dyDescent="0.3">
      <c r="A2347" s="20" t="s">
        <v>87</v>
      </c>
      <c r="B2347" s="4" t="s">
        <v>232</v>
      </c>
      <c r="C2347" s="5" t="s">
        <v>97</v>
      </c>
      <c r="D2347" s="5" t="s">
        <v>106</v>
      </c>
      <c r="E2347" s="4" t="str" cm="1">
        <f t="array" ref="E2347">_xlfn.IFS(
F2347 = "A partir de Abril", "Aguardando Execução na Distribuidora",
A2347 = "CAPACITAÇÃO", "Em execução no Corporativo",
TRUE, "Em Execução na Distribuidora"
)</f>
        <v>Em Execução na Distribuidora</v>
      </c>
      <c r="F2347" s="4" t="str" cm="1">
        <f t="array" ref="F2347">_xlfn.IFS(
AG2347 &lt;&gt; "", "Jan-Dez/26",
AH2347 &lt;&gt; "", "Fev-Dez/26",
AI2347 &lt;&gt; "", "Mar-Dez/26", AJ2347 &lt;&gt; "", "Abr-Dez/26",
TRUE, "A partir de Junho"
)</f>
        <v>Jan-Dez/26</v>
      </c>
      <c r="G2347" s="7" t="s">
        <v>37</v>
      </c>
      <c r="H2347" s="7" t="s">
        <v>110</v>
      </c>
      <c r="I2347" s="21" t="s">
        <v>233</v>
      </c>
      <c r="J2347" s="21" t="str" cm="1">
        <f t="array" aca="1" ref="J2347" ca="1">_xlfn.LET(
  _xlpm.actual_value_month, INDEX(T2347:AE2347, MATCH(DATE(YEAR(TODAY()), MONTH(TODAY()), 1), $T$1:$AE$1, 0)),
  IF(_xlpm.actual_value_month &lt;&gt; "",_xlpm.actual_value_month &amp; " equipes mensais", "")
)</f>
        <v>11,8 equipes mensais</v>
      </c>
      <c r="K2347" s="8" t="str" cm="1">
        <f t="array" ref="K2347">_xlfn.LET(
    _xlpm.sum_month, SUM(T2347:AE2347),
    IF(_xlpm.sum_month = 0, "", _xlpm.sum_month &amp; " equipes alcançadas no ano")
)</f>
        <v>138,2 equipes alcançadas no ano</v>
      </c>
      <c r="L2347" s="4" t="s">
        <v>234</v>
      </c>
      <c r="M2347" s="19" t="s">
        <v>235</v>
      </c>
      <c r="N2347" s="5" t="s">
        <v>42</v>
      </c>
      <c r="O2347" s="5" t="s">
        <v>43</v>
      </c>
      <c r="P2347" s="10" t="s">
        <v>44</v>
      </c>
      <c r="Q2347" s="10" t="s">
        <v>44</v>
      </c>
      <c r="R2347" s="11" t="s">
        <v>147</v>
      </c>
      <c r="S2347" s="11" t="s">
        <v>162</v>
      </c>
      <c r="T2347" s="22">
        <v>12</v>
      </c>
      <c r="U2347" s="22">
        <v>9</v>
      </c>
      <c r="V2347" s="22">
        <v>11</v>
      </c>
      <c r="W2347" s="22">
        <f>59*0.2</f>
        <v>11.8</v>
      </c>
      <c r="X2347" s="22">
        <f t="shared" ref="X2347:AE2347" si="2841">59*0.2</f>
        <v>11.8</v>
      </c>
      <c r="Y2347" s="22">
        <f t="shared" si="2841"/>
        <v>11.8</v>
      </c>
      <c r="Z2347" s="22">
        <f t="shared" si="2841"/>
        <v>11.8</v>
      </c>
      <c r="AA2347" s="22">
        <f t="shared" si="2841"/>
        <v>11.8</v>
      </c>
      <c r="AB2347" s="22">
        <f t="shared" si="2841"/>
        <v>11.8</v>
      </c>
      <c r="AC2347" s="22">
        <f t="shared" si="2841"/>
        <v>11.8</v>
      </c>
      <c r="AD2347" s="22">
        <f t="shared" si="2841"/>
        <v>11.8</v>
      </c>
      <c r="AE2347" s="22">
        <f t="shared" si="2841"/>
        <v>11.8</v>
      </c>
      <c r="AG2347" s="82">
        <v>12</v>
      </c>
      <c r="AH2347" s="82">
        <v>9</v>
      </c>
      <c r="AI2347" s="82">
        <v>11</v>
      </c>
      <c r="AJ2347" s="71">
        <v>11</v>
      </c>
      <c r="AK2347" s="71">
        <v>11</v>
      </c>
      <c r="AL2347" s="71"/>
      <c r="AM2347" s="71"/>
      <c r="AN2347" s="71"/>
      <c r="AO2347" s="71"/>
      <c r="AP2347" s="71"/>
      <c r="AQ2347" s="71"/>
      <c r="AR2347" s="71"/>
      <c r="AS2347" s="94">
        <f t="shared" ca="1" si="2826"/>
        <v>55.599999999999994</v>
      </c>
      <c r="AT2347" s="95">
        <f t="shared" si="2827"/>
        <v>54</v>
      </c>
      <c r="AU2347" s="97">
        <f t="shared" si="2828"/>
        <v>54</v>
      </c>
      <c r="AW2347" s="51">
        <f t="shared" si="2829"/>
        <v>1</v>
      </c>
      <c r="AX2347" s="51">
        <f t="shared" si="2830"/>
        <v>1</v>
      </c>
      <c r="AY2347" s="51">
        <f t="shared" si="2831"/>
        <v>1</v>
      </c>
      <c r="AZ2347" s="51">
        <f t="shared" si="2832"/>
        <v>0.93220338983050843</v>
      </c>
      <c r="BA2347" s="51">
        <f t="shared" si="2832"/>
        <v>0.93220338983050843</v>
      </c>
      <c r="BB2347" s="51"/>
      <c r="BC2347" s="51"/>
      <c r="BD2347" s="51"/>
      <c r="BE2347" s="51"/>
      <c r="BF2347" s="51"/>
      <c r="BG2347" s="51"/>
      <c r="BH2347" s="51"/>
      <c r="BI2347" s="65" cm="1">
        <f t="array" ref="BI2347">IFERROR(INDEX(AW2347:BH2347,1,MATCH(2,1/(AW2347:BH2347&lt;&gt;""))),"")</f>
        <v>0.93220338983050843</v>
      </c>
      <c r="BJ2347" s="68" cm="1">
        <f t="array" ref="BJ2347">IF(BM2347 = "", "",IFERROR(INDEX(AW2347:BH2347,1,MATCH(2,1/(AW2347:BH2347&lt;&gt;""),1)-1),""))</f>
        <v>0.93220338983050843</v>
      </c>
      <c r="BK2347" s="58">
        <f>IF((IF(AW2347&gt;=115%,115%,AW2347) + IF(AX2347&gt;=115%,115%,AX2347) + IF(AY2347&gt;=115%,115%,AY2347) + (IF(AZ2347&gt;=115%,115%,AZ2347) + IF(BA2347&gt;=200%,200%,BA2347) + IF(BB2347&gt;=130%,130%,BB2347) + IF(BC2347&gt;=187%,187%,BC2347) + IF(BD2347&gt;=115%,115%,BD2347) + IF(BE2347&gt;=115%,115%,BE2347) + IF(BF2347&gt;=115%,115%,BF2347) + IF(BG2347&gt;=115%,115%,BG2347) + IF(BH2347&gt;=115%,115%,BH2347)))/_xlfn.XLOOKUP(F2347,Apuração!A:A,Apuração!B:B)&gt;=1.15,1.15,((IF(AZ2347&gt;=115%,115%,AZ2347) + IF(AX2347&gt;=115%,115%,AX2347) + IF(AY2347&gt;=115%,115%,AY2347) + (IF(AW2347&gt;=115%,115%,AW2347) + IF(BA2347&gt;=200%,200%,BA2347) + IF(BB2347&gt;=130%,130%,BB2347) + IF(BC2347&gt;=187%,187%,BC2347) + IF(BD2347&gt;=115%,115%,BD2347) + IF(BE2347&gt;=115%,115%,BE2347) + IF(BF2347&gt;=115%,115%,BF2347) + IF(BG2347&gt;=115%,115%,BG2347) + IF(BH2347&gt;=115%,115%,BH2347)))/_xlfn.XLOOKUP(F2347,Apuração!A:A,Apuração!B:B)))</f>
        <v>0.40536723163841809</v>
      </c>
      <c r="BL2347" s="58" cm="1">
        <f t="array" aca="1" ref="BL2347" ca="1">IF(SUM(IFERROR(IF(INDEX(AW2347:INDEX(AW2347:BH2347, MATCH(2, 1/(AW2347:BH2347&lt;&gt;""), 1)-1), ROW(INDIRECT("1:" &amp; MATCH(2, 1/(AW2347:BH2347&lt;&gt;""), 1)-1))) &gt;= 115%, 115%, INDEX(AW2347:INDEX(AW2347:BH2347, MATCH(2, 1/(AW2347:BH2347&lt;&gt;""), 1)-1), ROW(INDIRECT("1:" &amp; MATCH(2, 1/(AW2347:BH2347&lt;&gt;""), 1)-1)))), 0))/_xlfn.XLOOKUP(F2347,Apuração!A:A,Apuração!B:B)&gt;=1.15,1.15,SUM(IFERROR(IF(INDEX(AW2347:INDEX(AW2347:BH2347, MATCH(2, 1/(AW2347:BH2347&lt;&gt;""), 1)-1), ROW(INDIRECT("1:" &amp; MATCH(2, 1/(AW2347:BH2347&lt;&gt;""), 1)-1))) &gt;= 115%, 115%, INDEX(AW2347:INDEX(AW2347:BH2347, MATCH(2, 1/(AW2347:BH2347&lt;&gt;""), 1)-1), ROW(INDIRECT("1:" &amp; MATCH(2, 1/(AW2347:BH2347&lt;&gt;""), 1)-1)))), 0))/_xlfn.XLOOKUP(F2347,Apuração!A:A,Apuração!B:B))</f>
        <v>0.32768361581920907</v>
      </c>
      <c r="BM2347" s="55" cm="1">
        <f t="array" ref="BM2347">IFERROR(
   INDEX($AW$1:$BH$1,
      _xlfn.AGGREGATE(14, 6, COLUMN($AW$1:$BH$1)/(AW2347:BH2347&lt;&gt;""), 2) - COLUMN($AW$1) + 1
   ),
"")</f>
        <v>46113</v>
      </c>
      <c r="BN2347" s="55" cm="1">
        <f t="array" ref="BN2347">IFERROR(INDEX($AW$1:$BH$1,1,MATCH(2,1/(AW2347:BH2347&lt;&gt;""))),"")</f>
        <v>46143</v>
      </c>
      <c r="BO2347" s="53">
        <f ca="1">IFERROR(_xlfn.XLOOKUP(F2347,Apuração!A:A,Apuração!C:C)/_xlfn.XLOOKUP(F2347,Apuração!A:A,Apuração!B:B),0)</f>
        <v>0.41666666666666669</v>
      </c>
      <c r="BP2347" s="53">
        <f ca="1">IFERROR(_xlfn.XLOOKUP(F2347,Apuração!A:A,Apuração!D:D)/_xlfn.XLOOKUP(F2347,Apuração!A:A,Apuração!B:B),0)</f>
        <v>0.33333333333333331</v>
      </c>
      <c r="BQ2347" s="53">
        <f ca="1">IF(BK2347&gt;=BO2347,0,_xlfn.XLOOKUP(F2347,Apuração!A:A,Apuração!B:B)*(BO2347 + (1/_xlfn.XLOOKUP(F2347,Apuração!A:A,Apuração!B:B)) - BK2347))</f>
        <v>1.1355932203389829</v>
      </c>
      <c r="BR2347" s="85">
        <f t="shared" ca="1" si="2833"/>
        <v>13.399999999999999</v>
      </c>
      <c r="BS2347" s="53">
        <f ca="1">IFERROR((_xlfn.XLOOKUP(F2347,Apuração!A:A,Apuração!C:C)+1)/_xlfn.XLOOKUP(F2347,Apuração!A:A,Apuração!B:B),0)</f>
        <v>0.5</v>
      </c>
    </row>
    <row r="2348" spans="1:71" ht="25.95" hidden="1" customHeight="1" x14ac:dyDescent="0.3">
      <c r="A2348" s="20" t="s">
        <v>87</v>
      </c>
      <c r="B2348" s="4" t="s">
        <v>232</v>
      </c>
      <c r="C2348" s="5" t="s">
        <v>97</v>
      </c>
      <c r="D2348" s="5" t="s">
        <v>107</v>
      </c>
      <c r="E2348" s="4" t="str" cm="1">
        <f t="array" ref="E2348">_xlfn.IFS(
F2348 = "A partir de Abril", "Aguardando Execução na Distribuidora",
A2348 = "CAPACITAÇÃO", "Em execução no Corporativo",
TRUE, "Em Execução na Distribuidora"
)</f>
        <v>Em Execução na Distribuidora</v>
      </c>
      <c r="F2348" s="4" t="str" cm="1">
        <f t="array" ref="F2348">_xlfn.IFS(
AG2348 &lt;&gt; "", "Jan-Dez/26",
AH2348 &lt;&gt; "", "Fev-Dez/26",
AI2348 &lt;&gt; "", "Mar-Dez/26", AJ2348 &lt;&gt; "", "Abr-Dez/26",
TRUE, "A partir de Junho"
)</f>
        <v>Jan-Dez/26</v>
      </c>
      <c r="G2348" s="7" t="s">
        <v>37</v>
      </c>
      <c r="H2348" s="7" t="s">
        <v>110</v>
      </c>
      <c r="I2348" s="21" t="s">
        <v>233</v>
      </c>
      <c r="J2348" s="21" t="str" cm="1">
        <f t="array" aca="1" ref="J2348" ca="1">_xlfn.LET(
  _xlpm.actual_value_month, INDEX(T2348:AE2348, MATCH(DATE(YEAR(TODAY()), MONTH(TODAY()), 1), $T$1:$AE$1, 0)),
  IF(_xlpm.actual_value_month &lt;&gt; "",_xlpm.actual_value_month &amp; " equipes mensais", "")
)</f>
        <v>16 equipes mensais</v>
      </c>
      <c r="K2348" s="8" t="str" cm="1">
        <f t="array" ref="K2348">_xlfn.LET(
    _xlpm.sum_month, SUM(T2348:AE2348),
    IF(_xlpm.sum_month = 0, "", _xlpm.sum_month &amp; " equipes alcançadas no ano")
)</f>
        <v>151 equipes alcançadas no ano</v>
      </c>
      <c r="L2348" s="4" t="s">
        <v>234</v>
      </c>
      <c r="M2348" s="19" t="s">
        <v>235</v>
      </c>
      <c r="N2348" s="5" t="s">
        <v>42</v>
      </c>
      <c r="O2348" s="5" t="s">
        <v>43</v>
      </c>
      <c r="P2348" s="10" t="s">
        <v>44</v>
      </c>
      <c r="Q2348" s="10" t="s">
        <v>44</v>
      </c>
      <c r="R2348" s="11" t="s">
        <v>147</v>
      </c>
      <c r="S2348" s="11" t="s">
        <v>162</v>
      </c>
      <c r="T2348" s="22">
        <v>3</v>
      </c>
      <c r="U2348" s="22">
        <v>4</v>
      </c>
      <c r="V2348" s="22">
        <v>0</v>
      </c>
      <c r="W2348" s="22">
        <f>80*0.2</f>
        <v>16</v>
      </c>
      <c r="X2348" s="22">
        <f t="shared" ref="X2348:AE2348" si="2842">80*0.2</f>
        <v>16</v>
      </c>
      <c r="Y2348" s="22">
        <f t="shared" si="2842"/>
        <v>16</v>
      </c>
      <c r="Z2348" s="22">
        <f t="shared" si="2842"/>
        <v>16</v>
      </c>
      <c r="AA2348" s="22">
        <f t="shared" si="2842"/>
        <v>16</v>
      </c>
      <c r="AB2348" s="22">
        <f t="shared" si="2842"/>
        <v>16</v>
      </c>
      <c r="AC2348" s="22">
        <f t="shared" si="2842"/>
        <v>16</v>
      </c>
      <c r="AD2348" s="22">
        <f t="shared" si="2842"/>
        <v>16</v>
      </c>
      <c r="AE2348" s="22">
        <f t="shared" si="2842"/>
        <v>16</v>
      </c>
      <c r="AG2348" s="82">
        <v>3</v>
      </c>
      <c r="AH2348" s="82">
        <v>4</v>
      </c>
      <c r="AI2348" s="82">
        <v>0</v>
      </c>
      <c r="AJ2348" s="71">
        <v>25</v>
      </c>
      <c r="AK2348" s="71">
        <v>8</v>
      </c>
      <c r="AL2348" s="71"/>
      <c r="AM2348" s="71"/>
      <c r="AN2348" s="71"/>
      <c r="AO2348" s="71"/>
      <c r="AP2348" s="71"/>
      <c r="AQ2348" s="71"/>
      <c r="AR2348" s="71"/>
      <c r="AS2348" s="94">
        <f t="shared" ca="1" si="2826"/>
        <v>39</v>
      </c>
      <c r="AT2348" s="95">
        <f t="shared" si="2827"/>
        <v>33.4</v>
      </c>
      <c r="AU2348" s="97">
        <f t="shared" si="2828"/>
        <v>40</v>
      </c>
      <c r="AW2348" s="51">
        <f t="shared" si="2829"/>
        <v>1</v>
      </c>
      <c r="AX2348" s="51">
        <f t="shared" si="2830"/>
        <v>1</v>
      </c>
      <c r="AY2348" s="51">
        <f t="shared" si="2831"/>
        <v>0</v>
      </c>
      <c r="AZ2348" s="51">
        <f t="shared" si="2832"/>
        <v>1.5625</v>
      </c>
      <c r="BA2348" s="51">
        <f t="shared" si="2832"/>
        <v>0.5</v>
      </c>
      <c r="BB2348" s="51"/>
      <c r="BC2348" s="51"/>
      <c r="BD2348" s="51"/>
      <c r="BE2348" s="51"/>
      <c r="BF2348" s="51"/>
      <c r="BG2348" s="51"/>
      <c r="BH2348" s="51"/>
      <c r="BI2348" s="65" cm="1">
        <f t="array" ref="BI2348">IFERROR(INDEX(AW2348:BH2348,1,MATCH(2,1/(AW2348:BH2348&lt;&gt;""))),"")</f>
        <v>0.5</v>
      </c>
      <c r="BJ2348" s="68" cm="1">
        <f t="array" ref="BJ2348">IF(BM2348 = "", "",IFERROR(INDEX(AW2348:BH2348,1,MATCH(2,1/(AW2348:BH2348&lt;&gt;""),1)-1),""))</f>
        <v>1.5625</v>
      </c>
      <c r="BK2348" s="58">
        <f>IF((IF(AW2348&gt;=115%,115%,AW2348) + IF(AX2348&gt;=115%,115%,AX2348) + IF(AY2348&gt;=115%,115%,AY2348) + (IF(AZ2348&gt;=115%,115%,AZ2348) + IF(BA2348&gt;=200%,200%,BA2348) + IF(BB2348&gt;=130%,130%,BB2348) + IF(BC2348&gt;=187%,187%,BC2348) + IF(BD2348&gt;=115%,115%,BD2348) + IF(BE2348&gt;=115%,115%,BE2348) + IF(BF2348&gt;=115%,115%,BF2348) + IF(BG2348&gt;=115%,115%,BG2348) + IF(BH2348&gt;=115%,115%,BH2348)))/_xlfn.XLOOKUP(F2348,Apuração!A:A,Apuração!B:B)&gt;=1.15,1.15,((IF(AZ2348&gt;=115%,115%,AZ2348) + IF(AX2348&gt;=115%,115%,AX2348) + IF(AY2348&gt;=115%,115%,AY2348) + (IF(AW2348&gt;=115%,115%,AW2348) + IF(BA2348&gt;=200%,200%,BA2348) + IF(BB2348&gt;=130%,130%,BB2348) + IF(BC2348&gt;=187%,187%,BC2348) + IF(BD2348&gt;=115%,115%,BD2348) + IF(BE2348&gt;=115%,115%,BE2348) + IF(BF2348&gt;=115%,115%,BF2348) + IF(BG2348&gt;=115%,115%,BG2348) + IF(BH2348&gt;=115%,115%,BH2348)))/_xlfn.XLOOKUP(F2348,Apuração!A:A,Apuração!B:B)))</f>
        <v>0.30416666666666664</v>
      </c>
      <c r="BL2348" s="58" cm="1">
        <f t="array" aca="1" ref="BL2348" ca="1">IF(SUM(IFERROR(IF(INDEX(AW2348:INDEX(AW2348:BH2348, MATCH(2, 1/(AW2348:BH2348&lt;&gt;""), 1)-1), ROW(INDIRECT("1:" &amp; MATCH(2, 1/(AW2348:BH2348&lt;&gt;""), 1)-1))) &gt;= 115%, 115%, INDEX(AW2348:INDEX(AW2348:BH2348, MATCH(2, 1/(AW2348:BH2348&lt;&gt;""), 1)-1), ROW(INDIRECT("1:" &amp; MATCH(2, 1/(AW2348:BH2348&lt;&gt;""), 1)-1)))), 0))/_xlfn.XLOOKUP(F2348,Apuração!A:A,Apuração!B:B)&gt;=1.15,1.15,SUM(IFERROR(IF(INDEX(AW2348:INDEX(AW2348:BH2348, MATCH(2, 1/(AW2348:BH2348&lt;&gt;""), 1)-1), ROW(INDIRECT("1:" &amp; MATCH(2, 1/(AW2348:BH2348&lt;&gt;""), 1)-1))) &gt;= 115%, 115%, INDEX(AW2348:INDEX(AW2348:BH2348, MATCH(2, 1/(AW2348:BH2348&lt;&gt;""), 1)-1), ROW(INDIRECT("1:" &amp; MATCH(2, 1/(AW2348:BH2348&lt;&gt;""), 1)-1)))), 0))/_xlfn.XLOOKUP(F2348,Apuração!A:A,Apuração!B:B))</f>
        <v>0.26250000000000001</v>
      </c>
      <c r="BM2348" s="55" cm="1">
        <f t="array" ref="BM2348">IFERROR(
   INDEX($AW$1:$BH$1,
      _xlfn.AGGREGATE(14, 6, COLUMN($AW$1:$BH$1)/(AW2348:BH2348&lt;&gt;""), 2) - COLUMN($AW$1) + 1
   ),
"")</f>
        <v>46113</v>
      </c>
      <c r="BN2348" s="55" cm="1">
        <f t="array" ref="BN2348">IFERROR(INDEX($AW$1:$BH$1,1,MATCH(2,1/(AW2348:BH2348&lt;&gt;""))),"")</f>
        <v>46143</v>
      </c>
      <c r="BO2348" s="53">
        <f ca="1">IFERROR(_xlfn.XLOOKUP(F2348,Apuração!A:A,Apuração!C:C)/_xlfn.XLOOKUP(F2348,Apuração!A:A,Apuração!B:B),0)</f>
        <v>0.41666666666666669</v>
      </c>
      <c r="BP2348" s="53">
        <f ca="1">IFERROR(_xlfn.XLOOKUP(F2348,Apuração!A:A,Apuração!D:D)/_xlfn.XLOOKUP(F2348,Apuração!A:A,Apuração!B:B),0)</f>
        <v>0.33333333333333331</v>
      </c>
      <c r="BQ2348" s="53">
        <f ca="1">IF(BK2348&gt;=BO2348,0,_xlfn.XLOOKUP(F2348,Apuração!A:A,Apuração!B:B)*(BO2348 + (1/_xlfn.XLOOKUP(F2348,Apuração!A:A,Apuração!B:B)) - BK2348))</f>
        <v>2.3500000000000005</v>
      </c>
      <c r="BR2348" s="85">
        <f t="shared" ca="1" si="2833"/>
        <v>37.600000000000009</v>
      </c>
      <c r="BS2348" s="53">
        <f ca="1">IFERROR((_xlfn.XLOOKUP(F2348,Apuração!A:A,Apuração!C:C)+1)/_xlfn.XLOOKUP(F2348,Apuração!A:A,Apuração!B:B),0)</f>
        <v>0.5</v>
      </c>
    </row>
    <row r="2349" spans="1:71" ht="25.95" hidden="1" customHeight="1" x14ac:dyDescent="0.3">
      <c r="A2349" s="40" t="s">
        <v>87</v>
      </c>
      <c r="B2349" s="4" t="s">
        <v>232</v>
      </c>
      <c r="C2349" s="5" t="s">
        <v>97</v>
      </c>
      <c r="D2349" s="5" t="s">
        <v>36</v>
      </c>
      <c r="E2349" s="4" t="str" cm="1">
        <f t="array" ref="E2349">_xlfn.IFS(
F2349 = "A partir de Abril", "Aguardando Execução na Distribuidora",
A2349 = "CAPACITAÇÃO", "Em execução no Corporativo",
TRUE, "Em Execução na Distribuidora"
)</f>
        <v>Em Execução na Distribuidora</v>
      </c>
      <c r="F2349" s="4" t="str" cm="1">
        <f t="array" ref="F2349">_xlfn.IFS(
AG2349 &lt;&gt; "", "Jan-Dez/26",
AH2349 &lt;&gt; "", "Fev-Dez/26",
AI2349 &lt;&gt; "", "Mar-Dez/26", AJ2349 &lt;&gt; "", "Abr-Dez/26",
TRUE, "A partir de Junho"
)</f>
        <v>Jan-Dez/26</v>
      </c>
      <c r="G2349" s="7" t="s">
        <v>37</v>
      </c>
      <c r="H2349" s="7" t="s">
        <v>110</v>
      </c>
      <c r="I2349" s="9" t="s">
        <v>76</v>
      </c>
      <c r="J2349" s="21" t="str" cm="1">
        <f t="array" aca="1" ref="J2349" ca="1">_xlfn.LET(
  _xlpm.actual_value_month, INDEX(T2349:AE2349, MATCH(DATE(YEAR(TODAY()), MONTH(TODAY()), 1), $T$1:$AE$1, 0)),
  IF(_xlpm.actual_value_month &lt;&gt; "",_xlpm.actual_value_month &amp; " ações mensais", "")
)</f>
        <v/>
      </c>
      <c r="K2349" s="8" t="str" cm="1">
        <f t="array" ref="K2349">_xlfn.LET(
    _xlpm.sum_month, SUM(T2349:AE2349),
    IF(_xlpm.sum_month = 0, "", _xlpm.sum_month &amp; " equipes alcançadas no ano")
)</f>
        <v/>
      </c>
      <c r="L2349" s="4" t="s">
        <v>141</v>
      </c>
      <c r="M2349" s="19">
        <v>1</v>
      </c>
      <c r="N2349" s="5" t="s">
        <v>51</v>
      </c>
      <c r="O2349" s="5" t="s">
        <v>52</v>
      </c>
      <c r="P2349" s="10" t="s">
        <v>44</v>
      </c>
      <c r="Q2349" s="10" t="s">
        <v>44</v>
      </c>
      <c r="R2349" s="10" t="s">
        <v>44</v>
      </c>
      <c r="S2349" s="10" t="s">
        <v>44</v>
      </c>
      <c r="T2349" s="22"/>
      <c r="U2349" s="22"/>
      <c r="V2349" s="22"/>
      <c r="W2349" s="22"/>
      <c r="X2349" s="22"/>
      <c r="Y2349" s="22"/>
      <c r="Z2349" s="22"/>
      <c r="AA2349" s="22"/>
      <c r="AB2349" s="22"/>
      <c r="AC2349" s="22"/>
      <c r="AD2349" s="22"/>
      <c r="AE2349" s="22"/>
      <c r="AG2349" s="71">
        <v>68</v>
      </c>
      <c r="AH2349" s="71">
        <v>63</v>
      </c>
      <c r="AI2349" s="71">
        <v>53</v>
      </c>
      <c r="AJ2349" s="71">
        <v>80</v>
      </c>
      <c r="AK2349" s="71">
        <v>57</v>
      </c>
      <c r="AL2349" s="71"/>
      <c r="AM2349" s="71"/>
      <c r="AN2349" s="71"/>
      <c r="AO2349" s="71"/>
      <c r="AP2349" s="71"/>
      <c r="AQ2349" s="71"/>
      <c r="AR2349" s="71"/>
      <c r="AS2349" s="94">
        <f ca="1">IF(MONTH(TODAY())=3,SUM(T2349:U2349),IF(MONTH(TODAY())=4,SUM(T2349:V2349),IF(MONTH(TODAY())=5,SUM(T2349:W2349),IF(MONTH(TODAY())=6,SUM(T2349:X2349),IF(MONTH(TODAY())=7,SUM(T2349:Y2349),IF(MONTH(TODAY())=8,SUM(T2349:Z2349),IF(MONTH(TODAY())=9,SUM(T2349:AA2349),IF(MONTH(TODAY())=10,SUM(T2349:AB2349),IF(MONTH(TODAY())=11,SUM(T2349:AC2349),IF(MONTH(TODAY())=12,SUM(T2349:AD2349),IF(MONTH(TODAY())=1,SUM(T2349:AE2349),T2349)))))))))))</f>
        <v>0</v>
      </c>
      <c r="AT2349" s="95">
        <f>SUM(AG2349:AR2349)</f>
        <v>321</v>
      </c>
      <c r="AU2349" s="97">
        <f>SUM(AG2349:AR2349)</f>
        <v>321</v>
      </c>
      <c r="AW2349" s="83">
        <f>AG2349</f>
        <v>68</v>
      </c>
      <c r="AX2349" s="83">
        <f>AH2349</f>
        <v>63</v>
      </c>
      <c r="AY2349" s="83">
        <f>AI2349</f>
        <v>53</v>
      </c>
      <c r="AZ2349" s="83">
        <f>AJ2349</f>
        <v>80</v>
      </c>
      <c r="BA2349" s="83">
        <f>AK2349</f>
        <v>57</v>
      </c>
      <c r="BB2349" s="52"/>
      <c r="BC2349" s="52"/>
      <c r="BD2349" s="52"/>
      <c r="BE2349" s="52"/>
      <c r="BF2349" s="52"/>
      <c r="BG2349" s="52"/>
      <c r="BH2349" s="52"/>
      <c r="BI2349" s="68" cm="1">
        <f t="array" ref="BI2349">IFERROR(INDEX(AW2349:BH2349,1,MATCH(2,1/(AW2349:BH2349&lt;&gt;""))),"")</f>
        <v>57</v>
      </c>
      <c r="BJ2349" s="68" cm="1">
        <f t="array" ref="BJ2349">IF(BM2349 = "", "",IFERROR(INDEX(AW2349:BH2349,1,MATCH(2,1/(AW2349:BH2349&lt;&gt;""),1)-1),""))</f>
        <v>80</v>
      </c>
      <c r="BK2349" s="59">
        <f>SUM(AW2349:BH2349)</f>
        <v>321</v>
      </c>
      <c r="BL2349" s="86" cm="1">
        <f t="array" ref="BL2349">IFERROR(SUM(AW2349:INDEX(AW2349:BH2349, MATCH(2, 1/(AW2349:BH2349&lt;&gt;""), 1) - 1))/_xlfn.XLOOKUP(F2349,Apuração!A:A,Apuração!B:B),0)</f>
        <v>22</v>
      </c>
      <c r="BM2349" s="55" cm="1">
        <f t="array" ref="BM2349">IFERROR(
   INDEX($AW$1:$BH$1,
      _xlfn.AGGREGATE(14, 6, COLUMN($AW$1:$BH$1)/(AW2349:BH2349&lt;&gt;""), 2) - COLUMN($AW$1) + 1
   ),
"")</f>
        <v>46113</v>
      </c>
      <c r="BN2349" s="55" cm="1">
        <f t="array" ref="BN2349">IFERROR(INDEX($AW$1:$BH$1,1,MATCH(2,1/(AW2349:BH2349&lt;&gt;""))),"")</f>
        <v>46143</v>
      </c>
      <c r="BO2349" s="53">
        <f ca="1">IFERROR(_xlfn.XLOOKUP(F2349,Apuração!A:A,Apuração!C:C)/_xlfn.XLOOKUP(F2349,Apuração!A:A,Apuração!B:B),0)</f>
        <v>0.41666666666666669</v>
      </c>
      <c r="BP2349" s="53">
        <f ca="1">IFERROR(_xlfn.XLOOKUP(F2349,Apuração!A:A,Apuração!D:D)/_xlfn.XLOOKUP(F2349,Apuração!A:A,Apuração!B:B),0)</f>
        <v>0.33333333333333331</v>
      </c>
      <c r="BQ2349" s="53">
        <f ca="1">IF(BK2349&gt;=BO2349,0,_xlfn.XLOOKUP(F2349,Apuração!A:A,Apuração!B:B)*(BO2349 + (1/_xlfn.XLOOKUP(F2349,Apuração!A:A,Apuração!B:B)) - BK2349))</f>
        <v>0</v>
      </c>
      <c r="BR2349" s="85">
        <f ca="1">IF(BQ2349=0,0,BQ2349*Z2349)</f>
        <v>0</v>
      </c>
      <c r="BS2349" s="53">
        <f ca="1">IFERROR((_xlfn.XLOOKUP(F2349,Apuração!A:A,Apuração!C:C)+1)/_xlfn.XLOOKUP(F2349,Apuração!A:A,Apuração!B:B),0)</f>
        <v>0.5</v>
      </c>
    </row>
    <row r="2350" spans="1:71" ht="25.95" hidden="1" customHeight="1" x14ac:dyDescent="0.3">
      <c r="A2350" s="40" t="s">
        <v>87</v>
      </c>
      <c r="B2350" s="4" t="s">
        <v>232</v>
      </c>
      <c r="C2350" s="5" t="s">
        <v>97</v>
      </c>
      <c r="D2350" s="5" t="s">
        <v>98</v>
      </c>
      <c r="E2350" s="4" t="str" cm="1">
        <f t="array" ref="E2350">_xlfn.IFS(
F2350 = "A partir de Abril", "Aguardando Execução na Distribuidora",
A2350 = "CAPACITAÇÃO", "Em execução no Corporativo",
TRUE, "Em Execução na Distribuidora"
)</f>
        <v>Em Execução na Distribuidora</v>
      </c>
      <c r="F2350" s="4" t="str" cm="1">
        <f t="array" ref="F2350">_xlfn.IFS(
AG2350 &lt;&gt; "", "Jan-Dez/26",
AH2350 &lt;&gt; "", "Fev-Dez/26",
AI2350 &lt;&gt; "", "Mar-Dez/26", AJ2350 &lt;&gt; "", "Abr-Dez/26",
TRUE, "A partir de Junho"
)</f>
        <v>Jan-Dez/26</v>
      </c>
      <c r="G2350" s="7" t="s">
        <v>37</v>
      </c>
      <c r="H2350" s="7" t="s">
        <v>110</v>
      </c>
      <c r="I2350" s="9" t="s">
        <v>76</v>
      </c>
      <c r="J2350" s="21" t="str" cm="1">
        <f t="array" aca="1" ref="J2350" ca="1">_xlfn.LET(
  _xlpm.actual_value_month, INDEX(T2350:AE2350, MATCH(DATE(YEAR(TODAY()), MONTH(TODAY()), 1), $T$1:$AE$1, 0)),
  IF(_xlpm.actual_value_month &lt;&gt; "",_xlpm.actual_value_month &amp; " ações mensais", "")
)</f>
        <v/>
      </c>
      <c r="K2350" s="8" t="str" cm="1">
        <f t="array" ref="K2350">_xlfn.LET(
    _xlpm.sum_month, SUM(T2350:AE2350),
    IF(_xlpm.sum_month = 0, "", _xlpm.sum_month &amp; " equipes alcançadas no ano")
)</f>
        <v/>
      </c>
      <c r="L2350" s="4" t="s">
        <v>141</v>
      </c>
      <c r="M2350" s="19">
        <v>1</v>
      </c>
      <c r="N2350" s="5" t="s">
        <v>51</v>
      </c>
      <c r="O2350" s="5" t="s">
        <v>52</v>
      </c>
      <c r="P2350" s="10" t="s">
        <v>44</v>
      </c>
      <c r="Q2350" s="10" t="s">
        <v>44</v>
      </c>
      <c r="R2350" s="10" t="s">
        <v>44</v>
      </c>
      <c r="S2350" s="10" t="s">
        <v>44</v>
      </c>
      <c r="T2350" s="22"/>
      <c r="U2350" s="22"/>
      <c r="V2350" s="22"/>
      <c r="W2350" s="22"/>
      <c r="X2350" s="22"/>
      <c r="Y2350" s="22"/>
      <c r="Z2350" s="22"/>
      <c r="AA2350" s="22"/>
      <c r="AB2350" s="22"/>
      <c r="AC2350" s="22"/>
      <c r="AD2350" s="22"/>
      <c r="AE2350" s="22"/>
      <c r="AG2350" s="71">
        <v>5</v>
      </c>
      <c r="AH2350" s="71">
        <v>5</v>
      </c>
      <c r="AI2350" s="71">
        <v>5</v>
      </c>
      <c r="AJ2350" s="71">
        <v>7</v>
      </c>
      <c r="AK2350" s="71">
        <v>10</v>
      </c>
      <c r="AL2350" s="71"/>
      <c r="AM2350" s="71"/>
      <c r="AN2350" s="71"/>
      <c r="AO2350" s="71"/>
      <c r="AP2350" s="71"/>
      <c r="AQ2350" s="71"/>
      <c r="AR2350" s="71"/>
      <c r="AS2350" s="94">
        <f t="shared" ref="AS2350:AS2364" ca="1" si="2843">IF(MONTH(TODAY())=3,SUM(T2350:U2350),IF(MONTH(TODAY())=4,SUM(T2350:V2350),IF(MONTH(TODAY())=5,SUM(T2350:W2350),IF(MONTH(TODAY())=6,SUM(T2350:X2350),IF(MONTH(TODAY())=7,SUM(T2350:Y2350),IF(MONTH(TODAY())=8,SUM(T2350:Z2350),IF(MONTH(TODAY())=9,SUM(T2350:AA2350),IF(MONTH(TODAY())=10,SUM(T2350:AB2350),IF(MONTH(TODAY())=11,SUM(T2350:AC2350),IF(MONTH(TODAY())=12,SUM(T2350:AD2350),IF(MONTH(TODAY())=1,SUM(T2350:AE2350),T2350)))))))))))</f>
        <v>0</v>
      </c>
      <c r="AT2350" s="95">
        <f t="shared" ref="AT2350:AT2364" si="2844">SUM(AG2350:AR2350)</f>
        <v>32</v>
      </c>
      <c r="AU2350" s="97">
        <f t="shared" ref="AU2350:AU2364" si="2845">SUM(AG2350:AR2350)</f>
        <v>32</v>
      </c>
      <c r="AW2350" s="83">
        <f t="shared" ref="AW2350:AW2364" si="2846">AG2350</f>
        <v>5</v>
      </c>
      <c r="AX2350" s="83">
        <f t="shared" ref="AX2350:AX2364" si="2847">AH2350</f>
        <v>5</v>
      </c>
      <c r="AY2350" s="83">
        <f t="shared" ref="AY2350:AY2364" si="2848">AI2350</f>
        <v>5</v>
      </c>
      <c r="AZ2350" s="83">
        <f t="shared" ref="AZ2350:BA2364" si="2849">AJ2350</f>
        <v>7</v>
      </c>
      <c r="BA2350" s="83">
        <f t="shared" si="2849"/>
        <v>10</v>
      </c>
      <c r="BB2350" s="52"/>
      <c r="BC2350" s="52"/>
      <c r="BD2350" s="52"/>
      <c r="BE2350" s="52"/>
      <c r="BF2350" s="52"/>
      <c r="BG2350" s="52"/>
      <c r="BH2350" s="52"/>
      <c r="BI2350" s="68" cm="1">
        <f t="array" ref="BI2350">IFERROR(INDEX(AW2350:BH2350,1,MATCH(2,1/(AW2350:BH2350&lt;&gt;""))),"")</f>
        <v>10</v>
      </c>
      <c r="BJ2350" s="68" cm="1">
        <f t="array" ref="BJ2350">IF(BM2350 = "", "",IFERROR(INDEX(AW2350:BH2350,1,MATCH(2,1/(AW2350:BH2350&lt;&gt;""),1)-1),""))</f>
        <v>7</v>
      </c>
      <c r="BK2350" s="59">
        <f t="shared" ref="BK2350:BK2364" si="2850">SUM(AW2350:BH2350)</f>
        <v>32</v>
      </c>
      <c r="BL2350" s="86" cm="1">
        <f t="array" ref="BL2350">IFERROR(SUM(AW2350:INDEX(AW2350:BH2350, MATCH(2, 1/(AW2350:BH2350&lt;&gt;""), 1) - 1))/_xlfn.XLOOKUP(F2350,Apuração!A:A,Apuração!B:B),0)</f>
        <v>1.8333333333333333</v>
      </c>
      <c r="BM2350" s="55" cm="1">
        <f t="array" ref="BM2350">IFERROR(
   INDEX($AW$1:$BH$1,
      _xlfn.AGGREGATE(14, 6, COLUMN($AW$1:$BH$1)/(AW2350:BH2350&lt;&gt;""), 2) - COLUMN($AW$1) + 1
   ),
"")</f>
        <v>46113</v>
      </c>
      <c r="BN2350" s="55" cm="1">
        <f t="array" ref="BN2350">IFERROR(INDEX($AW$1:$BH$1,1,MATCH(2,1/(AW2350:BH2350&lt;&gt;""))),"")</f>
        <v>46143</v>
      </c>
      <c r="BO2350" s="53">
        <f ca="1">IFERROR(_xlfn.XLOOKUP(F2350,Apuração!A:A,Apuração!C:C)/_xlfn.XLOOKUP(F2350,Apuração!A:A,Apuração!B:B),0)</f>
        <v>0.41666666666666669</v>
      </c>
      <c r="BP2350" s="53">
        <f ca="1">IFERROR(_xlfn.XLOOKUP(F2350,Apuração!A:A,Apuração!D:D)/_xlfn.XLOOKUP(F2350,Apuração!A:A,Apuração!B:B),0)</f>
        <v>0.33333333333333331</v>
      </c>
      <c r="BQ2350" s="53">
        <f ca="1">IF(BK2350&gt;=BO2350,0,_xlfn.XLOOKUP(F2350,Apuração!A:A,Apuração!B:B)*(BO2350 + (1/_xlfn.XLOOKUP(F2350,Apuração!A:A,Apuração!B:B)) - BK2350))</f>
        <v>0</v>
      </c>
      <c r="BR2350" s="85">
        <f t="shared" ref="BR2350:BR2364" ca="1" si="2851">IF(BQ2350=0,0,BQ2350*Z2350)</f>
        <v>0</v>
      </c>
      <c r="BS2350" s="53">
        <f ca="1">IFERROR((_xlfn.XLOOKUP(F2350,Apuração!A:A,Apuração!C:C)+1)/_xlfn.XLOOKUP(F2350,Apuração!A:A,Apuração!B:B),0)</f>
        <v>0.5</v>
      </c>
    </row>
    <row r="2351" spans="1:71" ht="25.95" hidden="1" customHeight="1" x14ac:dyDescent="0.3">
      <c r="A2351" s="40" t="s">
        <v>87</v>
      </c>
      <c r="B2351" s="4" t="s">
        <v>232</v>
      </c>
      <c r="C2351" s="5" t="s">
        <v>97</v>
      </c>
      <c r="D2351" s="5" t="s">
        <v>99</v>
      </c>
      <c r="E2351" s="4" t="str" cm="1">
        <f t="array" ref="E2351">_xlfn.IFS(
F2351 = "A partir de Abril", "Aguardando Execução na Distribuidora",
A2351 = "CAPACITAÇÃO", "Em execução no Corporativo",
TRUE, "Em Execução na Distribuidora"
)</f>
        <v>Em Execução na Distribuidora</v>
      </c>
      <c r="F2351" s="4" t="str" cm="1">
        <f t="array" ref="F2351">_xlfn.IFS(
AG2351 &lt;&gt; "", "Jan-Dez/26",
AH2351 &lt;&gt; "", "Fev-Dez/26",
AI2351 &lt;&gt; "", "Mar-Dez/26", AJ2351 &lt;&gt; "", "Abr-Dez/26",
TRUE, "A partir de Junho"
)</f>
        <v>Jan-Dez/26</v>
      </c>
      <c r="G2351" s="7" t="s">
        <v>37</v>
      </c>
      <c r="H2351" s="7" t="s">
        <v>110</v>
      </c>
      <c r="I2351" s="9" t="s">
        <v>76</v>
      </c>
      <c r="J2351" s="21" t="str" cm="1">
        <f t="array" aca="1" ref="J2351" ca="1">_xlfn.LET(
  _xlpm.actual_value_month, INDEX(T2351:AE2351, MATCH(DATE(YEAR(TODAY()), MONTH(TODAY()), 1), $T$1:$AE$1, 0)),
  IF(_xlpm.actual_value_month &lt;&gt; "",_xlpm.actual_value_month &amp; " ações mensais", "")
)</f>
        <v/>
      </c>
      <c r="K2351" s="8" t="str" cm="1">
        <f t="array" ref="K2351">_xlfn.LET(
    _xlpm.sum_month, SUM(T2351:AE2351),
    IF(_xlpm.sum_month = 0, "", _xlpm.sum_month &amp; " equipes alcançadas no ano")
)</f>
        <v/>
      </c>
      <c r="L2351" s="4" t="s">
        <v>141</v>
      </c>
      <c r="M2351" s="19">
        <v>1</v>
      </c>
      <c r="N2351" s="5" t="s">
        <v>51</v>
      </c>
      <c r="O2351" s="5" t="s">
        <v>52</v>
      </c>
      <c r="P2351" s="10" t="s">
        <v>44</v>
      </c>
      <c r="Q2351" s="10" t="s">
        <v>44</v>
      </c>
      <c r="R2351" s="10" t="s">
        <v>44</v>
      </c>
      <c r="S2351" s="10" t="s">
        <v>44</v>
      </c>
      <c r="T2351" s="22"/>
      <c r="U2351" s="22"/>
      <c r="V2351" s="22"/>
      <c r="W2351" s="22"/>
      <c r="X2351" s="22"/>
      <c r="Y2351" s="22"/>
      <c r="Z2351" s="22"/>
      <c r="AA2351" s="22"/>
      <c r="AB2351" s="22"/>
      <c r="AC2351" s="22"/>
      <c r="AD2351" s="22"/>
      <c r="AE2351" s="22"/>
      <c r="AG2351" s="71">
        <v>14</v>
      </c>
      <c r="AH2351" s="71">
        <v>20</v>
      </c>
      <c r="AI2351" s="71">
        <v>8</v>
      </c>
      <c r="AJ2351" s="71">
        <v>18</v>
      </c>
      <c r="AK2351" s="71">
        <v>15</v>
      </c>
      <c r="AL2351" s="71"/>
      <c r="AM2351" s="71"/>
      <c r="AN2351" s="71"/>
      <c r="AO2351" s="71"/>
      <c r="AP2351" s="71"/>
      <c r="AQ2351" s="71"/>
      <c r="AR2351" s="71"/>
      <c r="AS2351" s="94">
        <f t="shared" ca="1" si="2843"/>
        <v>0</v>
      </c>
      <c r="AT2351" s="95">
        <f t="shared" si="2844"/>
        <v>75</v>
      </c>
      <c r="AU2351" s="97">
        <f t="shared" si="2845"/>
        <v>75</v>
      </c>
      <c r="AW2351" s="83">
        <f t="shared" si="2846"/>
        <v>14</v>
      </c>
      <c r="AX2351" s="83">
        <f t="shared" si="2847"/>
        <v>20</v>
      </c>
      <c r="AY2351" s="83">
        <f t="shared" si="2848"/>
        <v>8</v>
      </c>
      <c r="AZ2351" s="83">
        <f t="shared" si="2849"/>
        <v>18</v>
      </c>
      <c r="BA2351" s="83">
        <f t="shared" si="2849"/>
        <v>15</v>
      </c>
      <c r="BB2351" s="52"/>
      <c r="BC2351" s="52"/>
      <c r="BD2351" s="52"/>
      <c r="BE2351" s="52"/>
      <c r="BF2351" s="52"/>
      <c r="BG2351" s="52"/>
      <c r="BH2351" s="52"/>
      <c r="BI2351" s="68" cm="1">
        <f t="array" ref="BI2351">IFERROR(INDEX(AW2351:BH2351,1,MATCH(2,1/(AW2351:BH2351&lt;&gt;""))),"")</f>
        <v>15</v>
      </c>
      <c r="BJ2351" s="68" cm="1">
        <f t="array" ref="BJ2351">IF(BM2351 = "", "",IFERROR(INDEX(AW2351:BH2351,1,MATCH(2,1/(AW2351:BH2351&lt;&gt;""),1)-1),""))</f>
        <v>18</v>
      </c>
      <c r="BK2351" s="59">
        <f t="shared" si="2850"/>
        <v>75</v>
      </c>
      <c r="BL2351" s="86" cm="1">
        <f t="array" ref="BL2351">IFERROR(SUM(AW2351:INDEX(AW2351:BH2351, MATCH(2, 1/(AW2351:BH2351&lt;&gt;""), 1) - 1))/_xlfn.XLOOKUP(F2351,Apuração!A:A,Apuração!B:B),0)</f>
        <v>5</v>
      </c>
      <c r="BM2351" s="55" cm="1">
        <f t="array" ref="BM2351">IFERROR(
   INDEX($AW$1:$BH$1,
      _xlfn.AGGREGATE(14, 6, COLUMN($AW$1:$BH$1)/(AW2351:BH2351&lt;&gt;""), 2) - COLUMN($AW$1) + 1
   ),
"")</f>
        <v>46113</v>
      </c>
      <c r="BN2351" s="55" cm="1">
        <f t="array" ref="BN2351">IFERROR(INDEX($AW$1:$BH$1,1,MATCH(2,1/(AW2351:BH2351&lt;&gt;""))),"")</f>
        <v>46143</v>
      </c>
      <c r="BO2351" s="53">
        <f ca="1">IFERROR(_xlfn.XLOOKUP(F2351,Apuração!A:A,Apuração!C:C)/_xlfn.XLOOKUP(F2351,Apuração!A:A,Apuração!B:B),0)</f>
        <v>0.41666666666666669</v>
      </c>
      <c r="BP2351" s="53">
        <f ca="1">IFERROR(_xlfn.XLOOKUP(F2351,Apuração!A:A,Apuração!D:D)/_xlfn.XLOOKUP(F2351,Apuração!A:A,Apuração!B:B),0)</f>
        <v>0.33333333333333331</v>
      </c>
      <c r="BQ2351" s="53">
        <f ca="1">IF(BK2351&gt;=BO2351,0,_xlfn.XLOOKUP(F2351,Apuração!A:A,Apuração!B:B)*(BO2351 + (1/_xlfn.XLOOKUP(F2351,Apuração!A:A,Apuração!B:B)) - BK2351))</f>
        <v>0</v>
      </c>
      <c r="BR2351" s="85">
        <f t="shared" ca="1" si="2851"/>
        <v>0</v>
      </c>
      <c r="BS2351" s="53">
        <f ca="1">IFERROR((_xlfn.XLOOKUP(F2351,Apuração!A:A,Apuração!C:C)+1)/_xlfn.XLOOKUP(F2351,Apuração!A:A,Apuração!B:B),0)</f>
        <v>0.5</v>
      </c>
    </row>
    <row r="2352" spans="1:71" ht="25.95" hidden="1" customHeight="1" x14ac:dyDescent="0.3">
      <c r="A2352" s="40" t="s">
        <v>87</v>
      </c>
      <c r="B2352" s="4" t="s">
        <v>232</v>
      </c>
      <c r="C2352" s="5" t="s">
        <v>97</v>
      </c>
      <c r="D2352" s="5" t="s">
        <v>100</v>
      </c>
      <c r="E2352" s="4" t="str" cm="1">
        <f t="array" ref="E2352">_xlfn.IFS(
F2352 = "A partir de Abril", "Aguardando Execução na Distribuidora",
A2352 = "CAPACITAÇÃO", "Em execução no Corporativo",
TRUE, "Em Execução na Distribuidora"
)</f>
        <v>Em Execução na Distribuidora</v>
      </c>
      <c r="F2352" s="4" t="str" cm="1">
        <f t="array" ref="F2352">_xlfn.IFS(
AG2352 &lt;&gt; "", "Jan-Dez/26",
AH2352 &lt;&gt; "", "Fev-Dez/26",
AI2352 &lt;&gt; "", "Mar-Dez/26", AJ2352 &lt;&gt; "", "Abr-Dez/26",
TRUE, "A partir de Junho"
)</f>
        <v>Jan-Dez/26</v>
      </c>
      <c r="G2352" s="7" t="s">
        <v>37</v>
      </c>
      <c r="H2352" s="7" t="s">
        <v>110</v>
      </c>
      <c r="I2352" s="9" t="s">
        <v>76</v>
      </c>
      <c r="J2352" s="21" t="str" cm="1">
        <f t="array" aca="1" ref="J2352" ca="1">_xlfn.LET(
  _xlpm.actual_value_month, INDEX(T2352:AE2352, MATCH(DATE(YEAR(TODAY()), MONTH(TODAY()), 1), $T$1:$AE$1, 0)),
  IF(_xlpm.actual_value_month &lt;&gt; "",_xlpm.actual_value_month &amp; " ações mensais", "")
)</f>
        <v/>
      </c>
      <c r="K2352" s="8" t="str" cm="1">
        <f t="array" ref="K2352">_xlfn.LET(
    _xlpm.sum_month, SUM(T2352:AE2352),
    IF(_xlpm.sum_month = 0, "", _xlpm.sum_month &amp; " equipes alcançadas no ano")
)</f>
        <v/>
      </c>
      <c r="L2352" s="4" t="s">
        <v>141</v>
      </c>
      <c r="M2352" s="19">
        <v>1</v>
      </c>
      <c r="N2352" s="5" t="s">
        <v>51</v>
      </c>
      <c r="O2352" s="5" t="s">
        <v>52</v>
      </c>
      <c r="P2352" s="10" t="s">
        <v>44</v>
      </c>
      <c r="Q2352" s="10" t="s">
        <v>44</v>
      </c>
      <c r="R2352" s="10" t="s">
        <v>44</v>
      </c>
      <c r="S2352" s="10" t="s">
        <v>44</v>
      </c>
      <c r="T2352" s="22"/>
      <c r="U2352" s="22"/>
      <c r="V2352" s="22"/>
      <c r="W2352" s="22"/>
      <c r="X2352" s="22"/>
      <c r="Y2352" s="22"/>
      <c r="Z2352" s="22"/>
      <c r="AA2352" s="22"/>
      <c r="AB2352" s="22"/>
      <c r="AC2352" s="22"/>
      <c r="AD2352" s="22"/>
      <c r="AE2352" s="22"/>
      <c r="AG2352" s="71">
        <v>0</v>
      </c>
      <c r="AH2352" s="71">
        <v>0</v>
      </c>
      <c r="AI2352" s="71">
        <v>3</v>
      </c>
      <c r="AJ2352" s="71">
        <v>1</v>
      </c>
      <c r="AK2352" s="71">
        <v>0</v>
      </c>
      <c r="AL2352" s="71"/>
      <c r="AM2352" s="71"/>
      <c r="AN2352" s="71"/>
      <c r="AO2352" s="71"/>
      <c r="AP2352" s="71"/>
      <c r="AQ2352" s="71"/>
      <c r="AR2352" s="71"/>
      <c r="AS2352" s="94">
        <f t="shared" ca="1" si="2843"/>
        <v>0</v>
      </c>
      <c r="AT2352" s="95">
        <f t="shared" si="2844"/>
        <v>4</v>
      </c>
      <c r="AU2352" s="97">
        <f t="shared" si="2845"/>
        <v>4</v>
      </c>
      <c r="AW2352" s="83">
        <f t="shared" si="2846"/>
        <v>0</v>
      </c>
      <c r="AX2352" s="83">
        <f t="shared" si="2847"/>
        <v>0</v>
      </c>
      <c r="AY2352" s="83">
        <f t="shared" si="2848"/>
        <v>3</v>
      </c>
      <c r="AZ2352" s="83">
        <f t="shared" si="2849"/>
        <v>1</v>
      </c>
      <c r="BA2352" s="83">
        <f t="shared" si="2849"/>
        <v>0</v>
      </c>
      <c r="BB2352" s="52"/>
      <c r="BC2352" s="52"/>
      <c r="BD2352" s="52"/>
      <c r="BE2352" s="52"/>
      <c r="BF2352" s="52"/>
      <c r="BG2352" s="52"/>
      <c r="BH2352" s="52"/>
      <c r="BI2352" s="68" cm="1">
        <f t="array" ref="BI2352">IFERROR(INDEX(AW2352:BH2352,1,MATCH(2,1/(AW2352:BH2352&lt;&gt;""))),"")</f>
        <v>0</v>
      </c>
      <c r="BJ2352" s="68" cm="1">
        <f t="array" ref="BJ2352">IF(BM2352 = "", "",IFERROR(INDEX(AW2352:BH2352,1,MATCH(2,1/(AW2352:BH2352&lt;&gt;""),1)-1),""))</f>
        <v>1</v>
      </c>
      <c r="BK2352" s="59">
        <f t="shared" si="2850"/>
        <v>4</v>
      </c>
      <c r="BL2352" s="86" cm="1">
        <f t="array" ref="BL2352">IFERROR(SUM(AW2352:INDEX(AW2352:BH2352, MATCH(2, 1/(AW2352:BH2352&lt;&gt;""), 1) - 1))/_xlfn.XLOOKUP(F2352,Apuração!A:A,Apuração!B:B),0)</f>
        <v>0.33333333333333331</v>
      </c>
      <c r="BM2352" s="55" cm="1">
        <f t="array" ref="BM2352">IFERROR(
   INDEX($AW$1:$BH$1,
      _xlfn.AGGREGATE(14, 6, COLUMN($AW$1:$BH$1)/(AW2352:BH2352&lt;&gt;""), 2) - COLUMN($AW$1) + 1
   ),
"")</f>
        <v>46113</v>
      </c>
      <c r="BN2352" s="55" cm="1">
        <f t="array" ref="BN2352">IFERROR(INDEX($AW$1:$BH$1,1,MATCH(2,1/(AW2352:BH2352&lt;&gt;""))),"")</f>
        <v>46143</v>
      </c>
      <c r="BO2352" s="53">
        <f ca="1">IFERROR(_xlfn.XLOOKUP(F2352,Apuração!A:A,Apuração!C:C)/_xlfn.XLOOKUP(F2352,Apuração!A:A,Apuração!B:B),0)</f>
        <v>0.41666666666666669</v>
      </c>
      <c r="BP2352" s="53">
        <f ca="1">IFERROR(_xlfn.XLOOKUP(F2352,Apuração!A:A,Apuração!D:D)/_xlfn.XLOOKUP(F2352,Apuração!A:A,Apuração!B:B),0)</f>
        <v>0.33333333333333331</v>
      </c>
      <c r="BQ2352" s="53">
        <f ca="1">IF(BK2352&gt;=BO2352,0,_xlfn.XLOOKUP(F2352,Apuração!A:A,Apuração!B:B)*(BO2352 + (1/_xlfn.XLOOKUP(F2352,Apuração!A:A,Apuração!B:B)) - BK2352))</f>
        <v>0</v>
      </c>
      <c r="BR2352" s="85">
        <f t="shared" ca="1" si="2851"/>
        <v>0</v>
      </c>
      <c r="BS2352" s="53">
        <f ca="1">IFERROR((_xlfn.XLOOKUP(F2352,Apuração!A:A,Apuração!C:C)+1)/_xlfn.XLOOKUP(F2352,Apuração!A:A,Apuração!B:B),0)</f>
        <v>0.5</v>
      </c>
    </row>
    <row r="2353" spans="1:71" ht="25.95" hidden="1" customHeight="1" x14ac:dyDescent="0.3">
      <c r="A2353" s="40" t="s">
        <v>87</v>
      </c>
      <c r="B2353" s="4" t="s">
        <v>232</v>
      </c>
      <c r="C2353" s="5" t="s">
        <v>97</v>
      </c>
      <c r="D2353" s="5" t="s">
        <v>101</v>
      </c>
      <c r="E2353" s="4" t="str" cm="1">
        <f t="array" ref="E2353">_xlfn.IFS(
F2353 = "A partir de Abril", "Aguardando Execução na Distribuidora",
A2353 = "CAPACITAÇÃO", "Em execução no Corporativo",
TRUE, "Em Execução na Distribuidora"
)</f>
        <v>Em Execução na Distribuidora</v>
      </c>
      <c r="F2353" s="4" t="str" cm="1">
        <f t="array" ref="F2353">_xlfn.IFS(
AG2353 &lt;&gt; "", "Jan-Dez/26",
AH2353 &lt;&gt; "", "Fev-Dez/26",
AI2353 &lt;&gt; "", "Mar-Dez/26", AJ2353 &lt;&gt; "", "Abr-Dez/26",
TRUE, "A partir de Junho"
)</f>
        <v>Jan-Dez/26</v>
      </c>
      <c r="G2353" s="7" t="s">
        <v>37</v>
      </c>
      <c r="H2353" s="7" t="s">
        <v>110</v>
      </c>
      <c r="I2353" s="9" t="s">
        <v>76</v>
      </c>
      <c r="J2353" s="21" t="str" cm="1">
        <f t="array" aca="1" ref="J2353" ca="1">_xlfn.LET(
  _xlpm.actual_value_month, INDEX(T2353:AE2353, MATCH(DATE(YEAR(TODAY()), MONTH(TODAY()), 1), $T$1:$AE$1, 0)),
  IF(_xlpm.actual_value_month &lt;&gt; "",_xlpm.actual_value_month &amp; " ações mensais", "")
)</f>
        <v/>
      </c>
      <c r="K2353" s="8" t="str" cm="1">
        <f t="array" ref="K2353">_xlfn.LET(
    _xlpm.sum_month, SUM(T2353:AE2353),
    IF(_xlpm.sum_month = 0, "", _xlpm.sum_month &amp; " equipes alcançadas no ano")
)</f>
        <v/>
      </c>
      <c r="L2353" s="4" t="s">
        <v>141</v>
      </c>
      <c r="M2353" s="19">
        <v>1</v>
      </c>
      <c r="N2353" s="5" t="s">
        <v>51</v>
      </c>
      <c r="O2353" s="5" t="s">
        <v>52</v>
      </c>
      <c r="P2353" s="10" t="s">
        <v>44</v>
      </c>
      <c r="Q2353" s="10" t="s">
        <v>44</v>
      </c>
      <c r="R2353" s="10" t="s">
        <v>44</v>
      </c>
      <c r="S2353" s="10" t="s">
        <v>44</v>
      </c>
      <c r="T2353" s="22"/>
      <c r="U2353" s="22"/>
      <c r="V2353" s="22"/>
      <c r="W2353" s="22"/>
      <c r="X2353" s="22"/>
      <c r="Y2353" s="22"/>
      <c r="Z2353" s="22"/>
      <c r="AA2353" s="22"/>
      <c r="AB2353" s="22"/>
      <c r="AC2353" s="22"/>
      <c r="AD2353" s="22"/>
      <c r="AE2353" s="22"/>
      <c r="AG2353" s="71">
        <v>5</v>
      </c>
      <c r="AH2353" s="71">
        <v>9</v>
      </c>
      <c r="AI2353" s="71">
        <v>5</v>
      </c>
      <c r="AJ2353" s="71">
        <v>5</v>
      </c>
      <c r="AK2353" s="71">
        <v>7</v>
      </c>
      <c r="AL2353" s="71"/>
      <c r="AM2353" s="71"/>
      <c r="AN2353" s="71"/>
      <c r="AO2353" s="71"/>
      <c r="AP2353" s="71"/>
      <c r="AQ2353" s="71"/>
      <c r="AR2353" s="71"/>
      <c r="AS2353" s="94">
        <f t="shared" ca="1" si="2843"/>
        <v>0</v>
      </c>
      <c r="AT2353" s="95">
        <f t="shared" si="2844"/>
        <v>31</v>
      </c>
      <c r="AU2353" s="97">
        <f t="shared" si="2845"/>
        <v>31</v>
      </c>
      <c r="AW2353" s="83">
        <f t="shared" si="2846"/>
        <v>5</v>
      </c>
      <c r="AX2353" s="83">
        <f t="shared" si="2847"/>
        <v>9</v>
      </c>
      <c r="AY2353" s="83">
        <f t="shared" si="2848"/>
        <v>5</v>
      </c>
      <c r="AZ2353" s="83">
        <f t="shared" si="2849"/>
        <v>5</v>
      </c>
      <c r="BA2353" s="83">
        <f t="shared" si="2849"/>
        <v>7</v>
      </c>
      <c r="BB2353" s="52"/>
      <c r="BC2353" s="52"/>
      <c r="BD2353" s="52"/>
      <c r="BE2353" s="52"/>
      <c r="BF2353" s="52"/>
      <c r="BG2353" s="52"/>
      <c r="BH2353" s="52"/>
      <c r="BI2353" s="68" cm="1">
        <f t="array" ref="BI2353">IFERROR(INDEX(AW2353:BH2353,1,MATCH(2,1/(AW2353:BH2353&lt;&gt;""))),"")</f>
        <v>7</v>
      </c>
      <c r="BJ2353" s="68" cm="1">
        <f t="array" ref="BJ2353">IF(BM2353 = "", "",IFERROR(INDEX(AW2353:BH2353,1,MATCH(2,1/(AW2353:BH2353&lt;&gt;""),1)-1),""))</f>
        <v>5</v>
      </c>
      <c r="BK2353" s="59">
        <f t="shared" si="2850"/>
        <v>31</v>
      </c>
      <c r="BL2353" s="86" cm="1">
        <f t="array" ref="BL2353">IFERROR(SUM(AW2353:INDEX(AW2353:BH2353, MATCH(2, 1/(AW2353:BH2353&lt;&gt;""), 1) - 1))/_xlfn.XLOOKUP(F2353,Apuração!A:A,Apuração!B:B),0)</f>
        <v>2</v>
      </c>
      <c r="BM2353" s="55" cm="1">
        <f t="array" ref="BM2353">IFERROR(
   INDEX($AW$1:$BH$1,
      _xlfn.AGGREGATE(14, 6, COLUMN($AW$1:$BH$1)/(AW2353:BH2353&lt;&gt;""), 2) - COLUMN($AW$1) + 1
   ),
"")</f>
        <v>46113</v>
      </c>
      <c r="BN2353" s="55" cm="1">
        <f t="array" ref="BN2353">IFERROR(INDEX($AW$1:$BH$1,1,MATCH(2,1/(AW2353:BH2353&lt;&gt;""))),"")</f>
        <v>46143</v>
      </c>
      <c r="BO2353" s="53">
        <f ca="1">IFERROR(_xlfn.XLOOKUP(F2353,Apuração!A:A,Apuração!C:C)/_xlfn.XLOOKUP(F2353,Apuração!A:A,Apuração!B:B),0)</f>
        <v>0.41666666666666669</v>
      </c>
      <c r="BP2353" s="53">
        <f ca="1">IFERROR(_xlfn.XLOOKUP(F2353,Apuração!A:A,Apuração!D:D)/_xlfn.XLOOKUP(F2353,Apuração!A:A,Apuração!B:B),0)</f>
        <v>0.33333333333333331</v>
      </c>
      <c r="BQ2353" s="53">
        <f ca="1">IF(BK2353&gt;=BO2353,0,_xlfn.XLOOKUP(F2353,Apuração!A:A,Apuração!B:B)*(BO2353 + (1/_xlfn.XLOOKUP(F2353,Apuração!A:A,Apuração!B:B)) - BK2353))</f>
        <v>0</v>
      </c>
      <c r="BR2353" s="85">
        <f t="shared" ca="1" si="2851"/>
        <v>0</v>
      </c>
      <c r="BS2353" s="53">
        <f ca="1">IFERROR((_xlfn.XLOOKUP(F2353,Apuração!A:A,Apuração!C:C)+1)/_xlfn.XLOOKUP(F2353,Apuração!A:A,Apuração!B:B),0)</f>
        <v>0.5</v>
      </c>
    </row>
    <row r="2354" spans="1:71" ht="25.95" hidden="1" customHeight="1" x14ac:dyDescent="0.3">
      <c r="A2354" s="40" t="s">
        <v>87</v>
      </c>
      <c r="B2354" s="4" t="s">
        <v>232</v>
      </c>
      <c r="C2354" s="5" t="s">
        <v>97</v>
      </c>
      <c r="D2354" s="5" t="s">
        <v>102</v>
      </c>
      <c r="E2354" s="4" t="str" cm="1">
        <f t="array" ref="E2354">_xlfn.IFS(
F2354 = "A partir de Abril", "Aguardando Execução na Distribuidora",
A2354 = "CAPACITAÇÃO", "Em execução no Corporativo",
TRUE, "Em Execução na Distribuidora"
)</f>
        <v>Em Execução na Distribuidora</v>
      </c>
      <c r="F2354" s="4" t="str" cm="1">
        <f t="array" ref="F2354">_xlfn.IFS(
AG2354 &lt;&gt; "", "Jan-Dez/26",
AH2354 &lt;&gt; "", "Fev-Dez/26",
AI2354 &lt;&gt; "", "Mar-Dez/26", AJ2354 &lt;&gt; "", "Abr-Dez/26",
TRUE, "A partir de Junho"
)</f>
        <v>Jan-Dez/26</v>
      </c>
      <c r="G2354" s="7" t="s">
        <v>37</v>
      </c>
      <c r="H2354" s="7" t="s">
        <v>110</v>
      </c>
      <c r="I2354" s="9" t="s">
        <v>76</v>
      </c>
      <c r="J2354" s="21" t="str" cm="1">
        <f t="array" aca="1" ref="J2354" ca="1">_xlfn.LET(
  _xlpm.actual_value_month, INDEX(T2354:AE2354, MATCH(DATE(YEAR(TODAY()), MONTH(TODAY()), 1), $T$1:$AE$1, 0)),
  IF(_xlpm.actual_value_month &lt;&gt; "",_xlpm.actual_value_month &amp; " ações mensais", "")
)</f>
        <v/>
      </c>
      <c r="K2354" s="8" t="str" cm="1">
        <f t="array" ref="K2354">_xlfn.LET(
    _xlpm.sum_month, SUM(T2354:AE2354),
    IF(_xlpm.sum_month = 0, "", _xlpm.sum_month &amp; " equipes alcançadas no ano")
)</f>
        <v/>
      </c>
      <c r="L2354" s="4" t="s">
        <v>141</v>
      </c>
      <c r="M2354" s="19">
        <v>1</v>
      </c>
      <c r="N2354" s="5" t="s">
        <v>51</v>
      </c>
      <c r="O2354" s="5" t="s">
        <v>52</v>
      </c>
      <c r="P2354" s="10" t="s">
        <v>44</v>
      </c>
      <c r="Q2354" s="10" t="s">
        <v>44</v>
      </c>
      <c r="R2354" s="10" t="s">
        <v>44</v>
      </c>
      <c r="S2354" s="10" t="s">
        <v>44</v>
      </c>
      <c r="T2354" s="22"/>
      <c r="U2354" s="22"/>
      <c r="V2354" s="22"/>
      <c r="W2354" s="22"/>
      <c r="X2354" s="22"/>
      <c r="Y2354" s="22"/>
      <c r="Z2354" s="22"/>
      <c r="AA2354" s="22"/>
      <c r="AB2354" s="22"/>
      <c r="AC2354" s="22"/>
      <c r="AD2354" s="22"/>
      <c r="AE2354" s="22"/>
      <c r="AG2354" s="71">
        <v>7</v>
      </c>
      <c r="AH2354" s="71">
        <v>5</v>
      </c>
      <c r="AI2354" s="71">
        <v>0</v>
      </c>
      <c r="AJ2354" s="71">
        <v>3</v>
      </c>
      <c r="AK2354" s="71">
        <v>0</v>
      </c>
      <c r="AL2354" s="71"/>
      <c r="AM2354" s="71"/>
      <c r="AN2354" s="71"/>
      <c r="AO2354" s="71"/>
      <c r="AP2354" s="71"/>
      <c r="AQ2354" s="71"/>
      <c r="AR2354" s="71"/>
      <c r="AS2354" s="94">
        <f t="shared" ca="1" si="2843"/>
        <v>0</v>
      </c>
      <c r="AT2354" s="95">
        <f t="shared" si="2844"/>
        <v>15</v>
      </c>
      <c r="AU2354" s="97">
        <f t="shared" si="2845"/>
        <v>15</v>
      </c>
      <c r="AW2354" s="83">
        <f t="shared" si="2846"/>
        <v>7</v>
      </c>
      <c r="AX2354" s="83">
        <f t="shared" si="2847"/>
        <v>5</v>
      </c>
      <c r="AY2354" s="83">
        <f t="shared" si="2848"/>
        <v>0</v>
      </c>
      <c r="AZ2354" s="83">
        <f t="shared" si="2849"/>
        <v>3</v>
      </c>
      <c r="BA2354" s="83">
        <f t="shared" si="2849"/>
        <v>0</v>
      </c>
      <c r="BB2354" s="52"/>
      <c r="BC2354" s="52"/>
      <c r="BD2354" s="52"/>
      <c r="BE2354" s="52"/>
      <c r="BF2354" s="52"/>
      <c r="BG2354" s="52"/>
      <c r="BH2354" s="52"/>
      <c r="BI2354" s="68" cm="1">
        <f t="array" ref="BI2354">IFERROR(INDEX(AW2354:BH2354,1,MATCH(2,1/(AW2354:BH2354&lt;&gt;""))),"")</f>
        <v>0</v>
      </c>
      <c r="BJ2354" s="68" cm="1">
        <f t="array" ref="BJ2354">IF(BM2354 = "", "",IFERROR(INDEX(AW2354:BH2354,1,MATCH(2,1/(AW2354:BH2354&lt;&gt;""),1)-1),""))</f>
        <v>3</v>
      </c>
      <c r="BK2354" s="59">
        <f t="shared" si="2850"/>
        <v>15</v>
      </c>
      <c r="BL2354" s="86" cm="1">
        <f t="array" ref="BL2354">IFERROR(SUM(AW2354:INDEX(AW2354:BH2354, MATCH(2, 1/(AW2354:BH2354&lt;&gt;""), 1) - 1))/_xlfn.XLOOKUP(F2354,Apuração!A:A,Apuração!B:B),0)</f>
        <v>1.25</v>
      </c>
      <c r="BM2354" s="55" cm="1">
        <f t="array" ref="BM2354">IFERROR(
   INDEX($AW$1:$BH$1,
      _xlfn.AGGREGATE(14, 6, COLUMN($AW$1:$BH$1)/(AW2354:BH2354&lt;&gt;""), 2) - COLUMN($AW$1) + 1
   ),
"")</f>
        <v>46113</v>
      </c>
      <c r="BN2354" s="55" cm="1">
        <f t="array" ref="BN2354">IFERROR(INDEX($AW$1:$BH$1,1,MATCH(2,1/(AW2354:BH2354&lt;&gt;""))),"")</f>
        <v>46143</v>
      </c>
      <c r="BO2354" s="53">
        <f ca="1">IFERROR(_xlfn.XLOOKUP(F2354,Apuração!A:A,Apuração!C:C)/_xlfn.XLOOKUP(F2354,Apuração!A:A,Apuração!B:B),0)</f>
        <v>0.41666666666666669</v>
      </c>
      <c r="BP2354" s="53">
        <f ca="1">IFERROR(_xlfn.XLOOKUP(F2354,Apuração!A:A,Apuração!D:D)/_xlfn.XLOOKUP(F2354,Apuração!A:A,Apuração!B:B),0)</f>
        <v>0.33333333333333331</v>
      </c>
      <c r="BQ2354" s="53">
        <f ca="1">IF(BK2354&gt;=BO2354,0,_xlfn.XLOOKUP(F2354,Apuração!A:A,Apuração!B:B)*(BO2354 + (1/_xlfn.XLOOKUP(F2354,Apuração!A:A,Apuração!B:B)) - BK2354))</f>
        <v>0</v>
      </c>
      <c r="BR2354" s="85">
        <f t="shared" ca="1" si="2851"/>
        <v>0</v>
      </c>
      <c r="BS2354" s="53">
        <f ca="1">IFERROR((_xlfn.XLOOKUP(F2354,Apuração!A:A,Apuração!C:C)+1)/_xlfn.XLOOKUP(F2354,Apuração!A:A,Apuração!B:B),0)</f>
        <v>0.5</v>
      </c>
    </row>
    <row r="2355" spans="1:71" ht="25.95" hidden="1" customHeight="1" x14ac:dyDescent="0.3">
      <c r="A2355" s="40" t="s">
        <v>87</v>
      </c>
      <c r="B2355" s="4" t="s">
        <v>232</v>
      </c>
      <c r="C2355" s="5" t="s">
        <v>97</v>
      </c>
      <c r="D2355" s="5" t="s">
        <v>103</v>
      </c>
      <c r="E2355" s="4" t="str" cm="1">
        <f t="array" ref="E2355">_xlfn.IFS(
F2355 = "A partir de Abril", "Aguardando Execução na Distribuidora",
A2355 = "CAPACITAÇÃO", "Em execução no Corporativo",
TRUE, "Em Execução na Distribuidora"
)</f>
        <v>Em Execução na Distribuidora</v>
      </c>
      <c r="F2355" s="4" t="str" cm="1">
        <f t="array" ref="F2355">_xlfn.IFS(
AG2355 &lt;&gt; "", "Jan-Dez/26",
AH2355 &lt;&gt; "", "Fev-Dez/26",
AI2355 &lt;&gt; "", "Mar-Dez/26", AJ2355 &lt;&gt; "", "Abr-Dez/26",
TRUE, "A partir de Junho"
)</f>
        <v>Jan-Dez/26</v>
      </c>
      <c r="G2355" s="7" t="s">
        <v>37</v>
      </c>
      <c r="H2355" s="7" t="s">
        <v>110</v>
      </c>
      <c r="I2355" s="9" t="s">
        <v>76</v>
      </c>
      <c r="J2355" s="21" t="str" cm="1">
        <f t="array" aca="1" ref="J2355" ca="1">_xlfn.LET(
  _xlpm.actual_value_month, INDEX(T2355:AE2355, MATCH(DATE(YEAR(TODAY()), MONTH(TODAY()), 1), $T$1:$AE$1, 0)),
  IF(_xlpm.actual_value_month &lt;&gt; "",_xlpm.actual_value_month &amp; " ações mensais", "")
)</f>
        <v/>
      </c>
      <c r="K2355" s="8" t="str" cm="1">
        <f t="array" ref="K2355">_xlfn.LET(
    _xlpm.sum_month, SUM(T2355:AE2355),
    IF(_xlpm.sum_month = 0, "", _xlpm.sum_month &amp; " equipes alcançadas no ano")
)</f>
        <v/>
      </c>
      <c r="L2355" s="4" t="s">
        <v>141</v>
      </c>
      <c r="M2355" s="19">
        <v>1</v>
      </c>
      <c r="N2355" s="5" t="s">
        <v>51</v>
      </c>
      <c r="O2355" s="5" t="s">
        <v>52</v>
      </c>
      <c r="P2355" s="10" t="s">
        <v>44</v>
      </c>
      <c r="Q2355" s="10" t="s">
        <v>44</v>
      </c>
      <c r="R2355" s="10" t="s">
        <v>44</v>
      </c>
      <c r="S2355" s="10" t="s">
        <v>44</v>
      </c>
      <c r="T2355" s="22"/>
      <c r="U2355" s="22"/>
      <c r="V2355" s="22"/>
      <c r="W2355" s="22"/>
      <c r="X2355" s="22"/>
      <c r="Y2355" s="22"/>
      <c r="Z2355" s="22"/>
      <c r="AA2355" s="22"/>
      <c r="AB2355" s="22"/>
      <c r="AC2355" s="22"/>
      <c r="AD2355" s="22"/>
      <c r="AE2355" s="22"/>
      <c r="AG2355" s="71">
        <v>11</v>
      </c>
      <c r="AH2355" s="71">
        <v>5</v>
      </c>
      <c r="AI2355" s="71">
        <v>5</v>
      </c>
      <c r="AJ2355" s="71">
        <v>6</v>
      </c>
      <c r="AK2355" s="71">
        <v>2</v>
      </c>
      <c r="AL2355" s="71"/>
      <c r="AM2355" s="71"/>
      <c r="AN2355" s="71"/>
      <c r="AO2355" s="71"/>
      <c r="AP2355" s="71"/>
      <c r="AQ2355" s="71"/>
      <c r="AR2355" s="71"/>
      <c r="AS2355" s="94">
        <f t="shared" ca="1" si="2843"/>
        <v>0</v>
      </c>
      <c r="AT2355" s="95">
        <f t="shared" si="2844"/>
        <v>29</v>
      </c>
      <c r="AU2355" s="97">
        <f t="shared" si="2845"/>
        <v>29</v>
      </c>
      <c r="AW2355" s="83">
        <f t="shared" si="2846"/>
        <v>11</v>
      </c>
      <c r="AX2355" s="83">
        <f t="shared" si="2847"/>
        <v>5</v>
      </c>
      <c r="AY2355" s="83">
        <f t="shared" si="2848"/>
        <v>5</v>
      </c>
      <c r="AZ2355" s="83">
        <f t="shared" si="2849"/>
        <v>6</v>
      </c>
      <c r="BA2355" s="83">
        <f t="shared" si="2849"/>
        <v>2</v>
      </c>
      <c r="BB2355" s="52"/>
      <c r="BC2355" s="52"/>
      <c r="BD2355" s="52"/>
      <c r="BE2355" s="52"/>
      <c r="BF2355" s="52"/>
      <c r="BG2355" s="52"/>
      <c r="BH2355" s="52"/>
      <c r="BI2355" s="68" cm="1">
        <f t="array" ref="BI2355">IFERROR(INDEX(AW2355:BH2355,1,MATCH(2,1/(AW2355:BH2355&lt;&gt;""))),"")</f>
        <v>2</v>
      </c>
      <c r="BJ2355" s="68" cm="1">
        <f t="array" ref="BJ2355">IF(BM2355 = "", "",IFERROR(INDEX(AW2355:BH2355,1,MATCH(2,1/(AW2355:BH2355&lt;&gt;""),1)-1),""))</f>
        <v>6</v>
      </c>
      <c r="BK2355" s="59">
        <f t="shared" si="2850"/>
        <v>29</v>
      </c>
      <c r="BL2355" s="86" cm="1">
        <f t="array" ref="BL2355">IFERROR(SUM(AW2355:INDEX(AW2355:BH2355, MATCH(2, 1/(AW2355:BH2355&lt;&gt;""), 1) - 1))/_xlfn.XLOOKUP(F2355,Apuração!A:A,Apuração!B:B),0)</f>
        <v>2.25</v>
      </c>
      <c r="BM2355" s="55" cm="1">
        <f t="array" ref="BM2355">IFERROR(
   INDEX($AW$1:$BH$1,
      _xlfn.AGGREGATE(14, 6, COLUMN($AW$1:$BH$1)/(AW2355:BH2355&lt;&gt;""), 2) - COLUMN($AW$1) + 1
   ),
"")</f>
        <v>46113</v>
      </c>
      <c r="BN2355" s="55" cm="1">
        <f t="array" ref="BN2355">IFERROR(INDEX($AW$1:$BH$1,1,MATCH(2,1/(AW2355:BH2355&lt;&gt;""))),"")</f>
        <v>46143</v>
      </c>
      <c r="BO2355" s="53">
        <f ca="1">IFERROR(_xlfn.XLOOKUP(F2355,Apuração!A:A,Apuração!C:C)/_xlfn.XLOOKUP(F2355,Apuração!A:A,Apuração!B:B),0)</f>
        <v>0.41666666666666669</v>
      </c>
      <c r="BP2355" s="53">
        <f ca="1">IFERROR(_xlfn.XLOOKUP(F2355,Apuração!A:A,Apuração!D:D)/_xlfn.XLOOKUP(F2355,Apuração!A:A,Apuração!B:B),0)</f>
        <v>0.33333333333333331</v>
      </c>
      <c r="BQ2355" s="53">
        <f ca="1">IF(BK2355&gt;=BO2355,0,_xlfn.XLOOKUP(F2355,Apuração!A:A,Apuração!B:B)*(BO2355 + (1/_xlfn.XLOOKUP(F2355,Apuração!A:A,Apuração!B:B)) - BK2355))</f>
        <v>0</v>
      </c>
      <c r="BR2355" s="85">
        <f t="shared" ca="1" si="2851"/>
        <v>0</v>
      </c>
      <c r="BS2355" s="53">
        <f ca="1">IFERROR((_xlfn.XLOOKUP(F2355,Apuração!A:A,Apuração!C:C)+1)/_xlfn.XLOOKUP(F2355,Apuração!A:A,Apuração!B:B),0)</f>
        <v>0.5</v>
      </c>
    </row>
    <row r="2356" spans="1:71" ht="25.95" hidden="1" customHeight="1" x14ac:dyDescent="0.3">
      <c r="A2356" s="40" t="s">
        <v>87</v>
      </c>
      <c r="B2356" s="4" t="s">
        <v>232</v>
      </c>
      <c r="C2356" s="5" t="s">
        <v>97</v>
      </c>
      <c r="D2356" s="5" t="s">
        <v>104</v>
      </c>
      <c r="E2356" s="4" t="str" cm="1">
        <f t="array" ref="E2356">_xlfn.IFS(
F2356 = "A partir de Abril", "Aguardando Execução na Distribuidora",
A2356 = "CAPACITAÇÃO", "Em execução no Corporativo",
TRUE, "Em Execução na Distribuidora"
)</f>
        <v>Em Execução na Distribuidora</v>
      </c>
      <c r="F2356" s="4" t="str" cm="1">
        <f t="array" ref="F2356">_xlfn.IFS(
AG2356 &lt;&gt; "", "Jan-Dez/26",
AH2356 &lt;&gt; "", "Fev-Dez/26",
AI2356 &lt;&gt; "", "Mar-Dez/26", AJ2356 &lt;&gt; "", "Abr-Dez/26",
TRUE, "A partir de Junho"
)</f>
        <v>Jan-Dez/26</v>
      </c>
      <c r="G2356" s="7" t="s">
        <v>37</v>
      </c>
      <c r="H2356" s="7" t="s">
        <v>110</v>
      </c>
      <c r="I2356" s="9" t="s">
        <v>76</v>
      </c>
      <c r="J2356" s="21" t="str" cm="1">
        <f t="array" aca="1" ref="J2356" ca="1">_xlfn.LET(
  _xlpm.actual_value_month, INDEX(T2356:AE2356, MATCH(DATE(YEAR(TODAY()), MONTH(TODAY()), 1), $T$1:$AE$1, 0)),
  IF(_xlpm.actual_value_month &lt;&gt; "",_xlpm.actual_value_month &amp; " ações mensais", "")
)</f>
        <v/>
      </c>
      <c r="K2356" s="8" t="str" cm="1">
        <f t="array" ref="K2356">_xlfn.LET(
    _xlpm.sum_month, SUM(T2356:AE2356),
    IF(_xlpm.sum_month = 0, "", _xlpm.sum_month &amp; " equipes alcançadas no ano")
)</f>
        <v/>
      </c>
      <c r="L2356" s="4" t="s">
        <v>141</v>
      </c>
      <c r="M2356" s="19">
        <v>1</v>
      </c>
      <c r="N2356" s="5" t="s">
        <v>51</v>
      </c>
      <c r="O2356" s="5" t="s">
        <v>52</v>
      </c>
      <c r="P2356" s="10" t="s">
        <v>44</v>
      </c>
      <c r="Q2356" s="10" t="s">
        <v>44</v>
      </c>
      <c r="R2356" s="10" t="s">
        <v>44</v>
      </c>
      <c r="S2356" s="10" t="s">
        <v>44</v>
      </c>
      <c r="T2356" s="22"/>
      <c r="U2356" s="22"/>
      <c r="V2356" s="22"/>
      <c r="W2356" s="22"/>
      <c r="X2356" s="22"/>
      <c r="Y2356" s="22"/>
      <c r="Z2356" s="22"/>
      <c r="AA2356" s="22"/>
      <c r="AB2356" s="22"/>
      <c r="AC2356" s="22"/>
      <c r="AD2356" s="22"/>
      <c r="AE2356" s="22"/>
      <c r="AG2356" s="71">
        <v>7</v>
      </c>
      <c r="AH2356" s="71">
        <v>2</v>
      </c>
      <c r="AI2356" s="71">
        <v>5</v>
      </c>
      <c r="AJ2356" s="71">
        <v>4</v>
      </c>
      <c r="AK2356" s="71">
        <v>4</v>
      </c>
      <c r="AL2356" s="71"/>
      <c r="AM2356" s="71"/>
      <c r="AN2356" s="71"/>
      <c r="AO2356" s="71"/>
      <c r="AP2356" s="71"/>
      <c r="AQ2356" s="71"/>
      <c r="AR2356" s="71"/>
      <c r="AS2356" s="94">
        <f t="shared" ca="1" si="2843"/>
        <v>0</v>
      </c>
      <c r="AT2356" s="95">
        <f t="shared" si="2844"/>
        <v>22</v>
      </c>
      <c r="AU2356" s="97">
        <f t="shared" si="2845"/>
        <v>22</v>
      </c>
      <c r="AW2356" s="83">
        <f t="shared" si="2846"/>
        <v>7</v>
      </c>
      <c r="AX2356" s="83">
        <f t="shared" si="2847"/>
        <v>2</v>
      </c>
      <c r="AY2356" s="83">
        <f t="shared" si="2848"/>
        <v>5</v>
      </c>
      <c r="AZ2356" s="83">
        <f t="shared" si="2849"/>
        <v>4</v>
      </c>
      <c r="BA2356" s="83">
        <f t="shared" si="2849"/>
        <v>4</v>
      </c>
      <c r="BB2356" s="52"/>
      <c r="BC2356" s="52"/>
      <c r="BD2356" s="52"/>
      <c r="BE2356" s="52"/>
      <c r="BF2356" s="52"/>
      <c r="BG2356" s="52"/>
      <c r="BH2356" s="52"/>
      <c r="BI2356" s="68" cm="1">
        <f t="array" ref="BI2356">IFERROR(INDEX(AW2356:BH2356,1,MATCH(2,1/(AW2356:BH2356&lt;&gt;""))),"")</f>
        <v>4</v>
      </c>
      <c r="BJ2356" s="68" cm="1">
        <f t="array" ref="BJ2356">IF(BM2356 = "", "",IFERROR(INDEX(AW2356:BH2356,1,MATCH(2,1/(AW2356:BH2356&lt;&gt;""),1)-1),""))</f>
        <v>4</v>
      </c>
      <c r="BK2356" s="59">
        <f t="shared" si="2850"/>
        <v>22</v>
      </c>
      <c r="BL2356" s="86" cm="1">
        <f t="array" ref="BL2356">IFERROR(SUM(AW2356:INDEX(AW2356:BH2356, MATCH(2, 1/(AW2356:BH2356&lt;&gt;""), 1) - 1))/_xlfn.XLOOKUP(F2356,Apuração!A:A,Apuração!B:B),0)</f>
        <v>1.5</v>
      </c>
      <c r="BM2356" s="55" cm="1">
        <f t="array" ref="BM2356">IFERROR(
   INDEX($AW$1:$BH$1,
      _xlfn.AGGREGATE(14, 6, COLUMN($AW$1:$BH$1)/(AW2356:BH2356&lt;&gt;""), 2) - COLUMN($AW$1) + 1
   ),
"")</f>
        <v>46113</v>
      </c>
      <c r="BN2356" s="55" cm="1">
        <f t="array" ref="BN2356">IFERROR(INDEX($AW$1:$BH$1,1,MATCH(2,1/(AW2356:BH2356&lt;&gt;""))),"")</f>
        <v>46143</v>
      </c>
      <c r="BO2356" s="53">
        <f ca="1">IFERROR(_xlfn.XLOOKUP(F2356,Apuração!A:A,Apuração!C:C)/_xlfn.XLOOKUP(F2356,Apuração!A:A,Apuração!B:B),0)</f>
        <v>0.41666666666666669</v>
      </c>
      <c r="BP2356" s="53">
        <f ca="1">IFERROR(_xlfn.XLOOKUP(F2356,Apuração!A:A,Apuração!D:D)/_xlfn.XLOOKUP(F2356,Apuração!A:A,Apuração!B:B),0)</f>
        <v>0.33333333333333331</v>
      </c>
      <c r="BQ2356" s="53">
        <f ca="1">IF(BK2356&gt;=BO2356,0,_xlfn.XLOOKUP(F2356,Apuração!A:A,Apuração!B:B)*(BO2356 + (1/_xlfn.XLOOKUP(F2356,Apuração!A:A,Apuração!B:B)) - BK2356))</f>
        <v>0</v>
      </c>
      <c r="BR2356" s="85">
        <f t="shared" ca="1" si="2851"/>
        <v>0</v>
      </c>
      <c r="BS2356" s="53">
        <f ca="1">IFERROR((_xlfn.XLOOKUP(F2356,Apuração!A:A,Apuração!C:C)+1)/_xlfn.XLOOKUP(F2356,Apuração!A:A,Apuração!B:B),0)</f>
        <v>0.5</v>
      </c>
    </row>
    <row r="2357" spans="1:71" ht="25.95" hidden="1" customHeight="1" x14ac:dyDescent="0.3">
      <c r="A2357" s="40" t="s">
        <v>87</v>
      </c>
      <c r="B2357" s="4" t="s">
        <v>232</v>
      </c>
      <c r="C2357" s="5" t="s">
        <v>97</v>
      </c>
      <c r="D2357" s="5" t="s">
        <v>105</v>
      </c>
      <c r="E2357" s="4" t="str" cm="1">
        <f t="array" ref="E2357">_xlfn.IFS(
F2357 = "A partir de Abril", "Aguardando Execução na Distribuidora",
A2357 = "CAPACITAÇÃO", "Em execução no Corporativo",
TRUE, "Em Execução na Distribuidora"
)</f>
        <v>Em Execução na Distribuidora</v>
      </c>
      <c r="F2357" s="4" t="str" cm="1">
        <f t="array" ref="F2357">_xlfn.IFS(
AG2357 &lt;&gt; "", "Jan-Dez/26",
AH2357 &lt;&gt; "", "Fev-Dez/26",
AI2357 &lt;&gt; "", "Mar-Dez/26", AJ2357 &lt;&gt; "", "Abr-Dez/26",
TRUE, "A partir de Junho"
)</f>
        <v>Jan-Dez/26</v>
      </c>
      <c r="G2357" s="7" t="s">
        <v>37</v>
      </c>
      <c r="H2357" s="7" t="s">
        <v>110</v>
      </c>
      <c r="I2357" s="9" t="s">
        <v>76</v>
      </c>
      <c r="J2357" s="21" t="str" cm="1">
        <f t="array" aca="1" ref="J2357" ca="1">_xlfn.LET(
  _xlpm.actual_value_month, INDEX(T2357:AE2357, MATCH(DATE(YEAR(TODAY()), MONTH(TODAY()), 1), $T$1:$AE$1, 0)),
  IF(_xlpm.actual_value_month &lt;&gt; "",_xlpm.actual_value_month &amp; " ações mensais", "")
)</f>
        <v/>
      </c>
      <c r="K2357" s="8" t="str" cm="1">
        <f t="array" ref="K2357">_xlfn.LET(
    _xlpm.sum_month, SUM(T2357:AE2357),
    IF(_xlpm.sum_month = 0, "", _xlpm.sum_month &amp; " equipes alcançadas no ano")
)</f>
        <v/>
      </c>
      <c r="L2357" s="4" t="s">
        <v>141</v>
      </c>
      <c r="M2357" s="19">
        <v>1</v>
      </c>
      <c r="N2357" s="5" t="s">
        <v>51</v>
      </c>
      <c r="O2357" s="5" t="s">
        <v>52</v>
      </c>
      <c r="P2357" s="10" t="s">
        <v>44</v>
      </c>
      <c r="Q2357" s="10" t="s">
        <v>44</v>
      </c>
      <c r="R2357" s="10" t="s">
        <v>44</v>
      </c>
      <c r="S2357" s="10" t="s">
        <v>44</v>
      </c>
      <c r="T2357" s="22"/>
      <c r="U2357" s="22"/>
      <c r="V2357" s="22"/>
      <c r="W2357" s="22"/>
      <c r="X2357" s="22"/>
      <c r="Y2357" s="22"/>
      <c r="Z2357" s="22"/>
      <c r="AA2357" s="22"/>
      <c r="AB2357" s="22"/>
      <c r="AC2357" s="22"/>
      <c r="AD2357" s="22"/>
      <c r="AE2357" s="22"/>
      <c r="AG2357" s="71">
        <v>4</v>
      </c>
      <c r="AH2357" s="71">
        <v>0</v>
      </c>
      <c r="AI2357" s="71">
        <v>11</v>
      </c>
      <c r="AJ2357" s="71">
        <v>0</v>
      </c>
      <c r="AK2357" s="71">
        <v>0</v>
      </c>
      <c r="AL2357" s="71"/>
      <c r="AM2357" s="71"/>
      <c r="AN2357" s="71"/>
      <c r="AO2357" s="71"/>
      <c r="AP2357" s="71"/>
      <c r="AQ2357" s="71"/>
      <c r="AR2357" s="71"/>
      <c r="AS2357" s="94">
        <f t="shared" ca="1" si="2843"/>
        <v>0</v>
      </c>
      <c r="AT2357" s="95">
        <f t="shared" si="2844"/>
        <v>15</v>
      </c>
      <c r="AU2357" s="97">
        <f t="shared" si="2845"/>
        <v>15</v>
      </c>
      <c r="AW2357" s="83">
        <f t="shared" si="2846"/>
        <v>4</v>
      </c>
      <c r="AX2357" s="83">
        <f t="shared" si="2847"/>
        <v>0</v>
      </c>
      <c r="AY2357" s="83">
        <f t="shared" si="2848"/>
        <v>11</v>
      </c>
      <c r="AZ2357" s="83">
        <f t="shared" si="2849"/>
        <v>0</v>
      </c>
      <c r="BA2357" s="83">
        <f t="shared" si="2849"/>
        <v>0</v>
      </c>
      <c r="BB2357" s="52"/>
      <c r="BC2357" s="52"/>
      <c r="BD2357" s="52"/>
      <c r="BE2357" s="52"/>
      <c r="BF2357" s="52"/>
      <c r="BG2357" s="52"/>
      <c r="BH2357" s="52"/>
      <c r="BI2357" s="68" cm="1">
        <f t="array" ref="BI2357">IFERROR(INDEX(AW2357:BH2357,1,MATCH(2,1/(AW2357:BH2357&lt;&gt;""))),"")</f>
        <v>0</v>
      </c>
      <c r="BJ2357" s="68" cm="1">
        <f t="array" ref="BJ2357">IF(BM2357 = "", "",IFERROR(INDEX(AW2357:BH2357,1,MATCH(2,1/(AW2357:BH2357&lt;&gt;""),1)-1),""))</f>
        <v>0</v>
      </c>
      <c r="BK2357" s="59">
        <f t="shared" si="2850"/>
        <v>15</v>
      </c>
      <c r="BL2357" s="86" cm="1">
        <f t="array" ref="BL2357">IFERROR(SUM(AW2357:INDEX(AW2357:BH2357, MATCH(2, 1/(AW2357:BH2357&lt;&gt;""), 1) - 1))/_xlfn.XLOOKUP(F2357,Apuração!A:A,Apuração!B:B),0)</f>
        <v>1.25</v>
      </c>
      <c r="BM2357" s="55" cm="1">
        <f t="array" ref="BM2357">IFERROR(
   INDEX($AW$1:$BH$1,
      _xlfn.AGGREGATE(14, 6, COLUMN($AW$1:$BH$1)/(AW2357:BH2357&lt;&gt;""), 2) - COLUMN($AW$1) + 1
   ),
"")</f>
        <v>46113</v>
      </c>
      <c r="BN2357" s="55" cm="1">
        <f t="array" ref="BN2357">IFERROR(INDEX($AW$1:$BH$1,1,MATCH(2,1/(AW2357:BH2357&lt;&gt;""))),"")</f>
        <v>46143</v>
      </c>
      <c r="BO2357" s="53">
        <f ca="1">IFERROR(_xlfn.XLOOKUP(F2357,Apuração!A:A,Apuração!C:C)/_xlfn.XLOOKUP(F2357,Apuração!A:A,Apuração!B:B),0)</f>
        <v>0.41666666666666669</v>
      </c>
      <c r="BP2357" s="53">
        <f ca="1">IFERROR(_xlfn.XLOOKUP(F2357,Apuração!A:A,Apuração!D:D)/_xlfn.XLOOKUP(F2357,Apuração!A:A,Apuração!B:B),0)</f>
        <v>0.33333333333333331</v>
      </c>
      <c r="BQ2357" s="53">
        <f ca="1">IF(BK2357&gt;=BO2357,0,_xlfn.XLOOKUP(F2357,Apuração!A:A,Apuração!B:B)*(BO2357 + (1/_xlfn.XLOOKUP(F2357,Apuração!A:A,Apuração!B:B)) - BK2357))</f>
        <v>0</v>
      </c>
      <c r="BR2357" s="85">
        <f t="shared" ca="1" si="2851"/>
        <v>0</v>
      </c>
      <c r="BS2357" s="53">
        <f ca="1">IFERROR((_xlfn.XLOOKUP(F2357,Apuração!A:A,Apuração!C:C)+1)/_xlfn.XLOOKUP(F2357,Apuração!A:A,Apuração!B:B),0)</f>
        <v>0.5</v>
      </c>
    </row>
    <row r="2358" spans="1:71" ht="25.95" hidden="1" customHeight="1" x14ac:dyDescent="0.3">
      <c r="A2358" s="40" t="s">
        <v>87</v>
      </c>
      <c r="B2358" s="4" t="s">
        <v>232</v>
      </c>
      <c r="C2358" s="5" t="s">
        <v>97</v>
      </c>
      <c r="D2358" s="5" t="s">
        <v>106</v>
      </c>
      <c r="E2358" s="4" t="str" cm="1">
        <f t="array" ref="E2358">_xlfn.IFS(
F2358 = "A partir de Abril", "Aguardando Execução na Distribuidora",
A2358 = "CAPACITAÇÃO", "Em execução no Corporativo",
TRUE, "Em Execução na Distribuidora"
)</f>
        <v>Em Execução na Distribuidora</v>
      </c>
      <c r="F2358" s="4" t="str" cm="1">
        <f t="array" ref="F2358">_xlfn.IFS(
AG2358 &lt;&gt; "", "Jan-Dez/26",
AH2358 &lt;&gt; "", "Fev-Dez/26",
AI2358 &lt;&gt; "", "Mar-Dez/26", AJ2358 &lt;&gt; "", "Abr-Dez/26",
TRUE, "A partir de Junho"
)</f>
        <v>Jan-Dez/26</v>
      </c>
      <c r="G2358" s="7" t="s">
        <v>37</v>
      </c>
      <c r="H2358" s="7" t="s">
        <v>110</v>
      </c>
      <c r="I2358" s="9" t="s">
        <v>76</v>
      </c>
      <c r="J2358" s="21" t="str" cm="1">
        <f t="array" aca="1" ref="J2358" ca="1">_xlfn.LET(
  _xlpm.actual_value_month, INDEX(T2358:AE2358, MATCH(DATE(YEAR(TODAY()), MONTH(TODAY()), 1), $T$1:$AE$1, 0)),
  IF(_xlpm.actual_value_month &lt;&gt; "",_xlpm.actual_value_month &amp; " ações mensais", "")
)</f>
        <v/>
      </c>
      <c r="K2358" s="8" t="str" cm="1">
        <f t="array" ref="K2358">_xlfn.LET(
    _xlpm.sum_month, SUM(T2358:AE2358),
    IF(_xlpm.sum_month = 0, "", _xlpm.sum_month &amp; " equipes alcançadas no ano")
)</f>
        <v/>
      </c>
      <c r="L2358" s="4" t="s">
        <v>141</v>
      </c>
      <c r="M2358" s="19">
        <v>1</v>
      </c>
      <c r="N2358" s="5" t="s">
        <v>51</v>
      </c>
      <c r="O2358" s="5" t="s">
        <v>52</v>
      </c>
      <c r="P2358" s="10" t="s">
        <v>44</v>
      </c>
      <c r="Q2358" s="10" t="s">
        <v>44</v>
      </c>
      <c r="R2358" s="10" t="s">
        <v>44</v>
      </c>
      <c r="S2358" s="10" t="s">
        <v>44</v>
      </c>
      <c r="T2358" s="22"/>
      <c r="U2358" s="22"/>
      <c r="V2358" s="22"/>
      <c r="W2358" s="22"/>
      <c r="X2358" s="22"/>
      <c r="Y2358" s="22"/>
      <c r="Z2358" s="22"/>
      <c r="AA2358" s="22"/>
      <c r="AB2358" s="22"/>
      <c r="AC2358" s="22"/>
      <c r="AD2358" s="22"/>
      <c r="AE2358" s="22"/>
      <c r="AG2358" s="71">
        <v>12</v>
      </c>
      <c r="AH2358" s="71">
        <v>9</v>
      </c>
      <c r="AI2358" s="71">
        <v>11</v>
      </c>
      <c r="AJ2358" s="71">
        <v>11</v>
      </c>
      <c r="AK2358" s="71">
        <v>11</v>
      </c>
      <c r="AL2358" s="71"/>
      <c r="AM2358" s="71"/>
      <c r="AN2358" s="71"/>
      <c r="AO2358" s="71"/>
      <c r="AP2358" s="71"/>
      <c r="AQ2358" s="71"/>
      <c r="AR2358" s="71"/>
      <c r="AS2358" s="94">
        <f t="shared" ca="1" si="2843"/>
        <v>0</v>
      </c>
      <c r="AT2358" s="95">
        <f t="shared" si="2844"/>
        <v>54</v>
      </c>
      <c r="AU2358" s="97">
        <f t="shared" si="2845"/>
        <v>54</v>
      </c>
      <c r="AW2358" s="83">
        <f t="shared" si="2846"/>
        <v>12</v>
      </c>
      <c r="AX2358" s="83">
        <f t="shared" si="2847"/>
        <v>9</v>
      </c>
      <c r="AY2358" s="83">
        <f t="shared" si="2848"/>
        <v>11</v>
      </c>
      <c r="AZ2358" s="83">
        <f t="shared" si="2849"/>
        <v>11</v>
      </c>
      <c r="BA2358" s="83">
        <f t="shared" si="2849"/>
        <v>11</v>
      </c>
      <c r="BB2358" s="52"/>
      <c r="BC2358" s="52"/>
      <c r="BD2358" s="52"/>
      <c r="BE2358" s="52"/>
      <c r="BF2358" s="52"/>
      <c r="BG2358" s="52"/>
      <c r="BH2358" s="52"/>
      <c r="BI2358" s="68" cm="1">
        <f t="array" ref="BI2358">IFERROR(INDEX(AW2358:BH2358,1,MATCH(2,1/(AW2358:BH2358&lt;&gt;""))),"")</f>
        <v>11</v>
      </c>
      <c r="BJ2358" s="68" cm="1">
        <f t="array" ref="BJ2358">IF(BM2358 = "", "",IFERROR(INDEX(AW2358:BH2358,1,MATCH(2,1/(AW2358:BH2358&lt;&gt;""),1)-1),""))</f>
        <v>11</v>
      </c>
      <c r="BK2358" s="59">
        <f t="shared" si="2850"/>
        <v>54</v>
      </c>
      <c r="BL2358" s="86" cm="1">
        <f t="array" ref="BL2358">IFERROR(SUM(AW2358:INDEX(AW2358:BH2358, MATCH(2, 1/(AW2358:BH2358&lt;&gt;""), 1) - 1))/_xlfn.XLOOKUP(F2358,Apuração!A:A,Apuração!B:B),0)</f>
        <v>3.5833333333333335</v>
      </c>
      <c r="BM2358" s="55" cm="1">
        <f t="array" ref="BM2358">IFERROR(
   INDEX($AW$1:$BH$1,
      _xlfn.AGGREGATE(14, 6, COLUMN($AW$1:$BH$1)/(AW2358:BH2358&lt;&gt;""), 2) - COLUMN($AW$1) + 1
   ),
"")</f>
        <v>46113</v>
      </c>
      <c r="BN2358" s="55" cm="1">
        <f t="array" ref="BN2358">IFERROR(INDEX($AW$1:$BH$1,1,MATCH(2,1/(AW2358:BH2358&lt;&gt;""))),"")</f>
        <v>46143</v>
      </c>
      <c r="BO2358" s="53">
        <f ca="1">IFERROR(_xlfn.XLOOKUP(F2358,Apuração!A:A,Apuração!C:C)/_xlfn.XLOOKUP(F2358,Apuração!A:A,Apuração!B:B),0)</f>
        <v>0.41666666666666669</v>
      </c>
      <c r="BP2358" s="53">
        <f ca="1">IFERROR(_xlfn.XLOOKUP(F2358,Apuração!A:A,Apuração!D:D)/_xlfn.XLOOKUP(F2358,Apuração!A:A,Apuração!B:B),0)</f>
        <v>0.33333333333333331</v>
      </c>
      <c r="BQ2358" s="53">
        <f ca="1">IF(BK2358&gt;=BO2358,0,_xlfn.XLOOKUP(F2358,Apuração!A:A,Apuração!B:B)*(BO2358 + (1/_xlfn.XLOOKUP(F2358,Apuração!A:A,Apuração!B:B)) - BK2358))</f>
        <v>0</v>
      </c>
      <c r="BR2358" s="85">
        <f t="shared" ca="1" si="2851"/>
        <v>0</v>
      </c>
      <c r="BS2358" s="53">
        <f ca="1">IFERROR((_xlfn.XLOOKUP(F2358,Apuração!A:A,Apuração!C:C)+1)/_xlfn.XLOOKUP(F2358,Apuração!A:A,Apuração!B:B),0)</f>
        <v>0.5</v>
      </c>
    </row>
    <row r="2359" spans="1:71" ht="25.95" hidden="1" customHeight="1" x14ac:dyDescent="0.3">
      <c r="A2359" s="40" t="s">
        <v>87</v>
      </c>
      <c r="B2359" s="4" t="s">
        <v>232</v>
      </c>
      <c r="C2359" s="5" t="s">
        <v>97</v>
      </c>
      <c r="D2359" s="5" t="s">
        <v>107</v>
      </c>
      <c r="E2359" s="4" t="str" cm="1">
        <f t="array" ref="E2359">_xlfn.IFS(
F2359 = "A partir de Abril", "Aguardando Execução na Distribuidora",
A2359 = "CAPACITAÇÃO", "Em execução no Corporativo",
TRUE, "Em Execução na Distribuidora"
)</f>
        <v>Em Execução na Distribuidora</v>
      </c>
      <c r="F2359" s="4" t="str" cm="1">
        <f t="array" ref="F2359">_xlfn.IFS(
AG2359 &lt;&gt; "", "Jan-Dez/26",
AH2359 &lt;&gt; "", "Fev-Dez/26",
AI2359 &lt;&gt; "", "Mar-Dez/26", AJ2359 &lt;&gt; "", "Abr-Dez/26",
TRUE, "A partir de Junho"
)</f>
        <v>Jan-Dez/26</v>
      </c>
      <c r="G2359" s="7" t="s">
        <v>37</v>
      </c>
      <c r="H2359" s="7" t="s">
        <v>110</v>
      </c>
      <c r="I2359" s="9" t="s">
        <v>76</v>
      </c>
      <c r="J2359" s="21" t="str" cm="1">
        <f t="array" aca="1" ref="J2359" ca="1">_xlfn.LET(
  _xlpm.actual_value_month, INDEX(T2359:AE2359, MATCH(DATE(YEAR(TODAY()), MONTH(TODAY()), 1), $T$1:$AE$1, 0)),
  IF(_xlpm.actual_value_month &lt;&gt; "",_xlpm.actual_value_month &amp; " ações mensais", "")
)</f>
        <v/>
      </c>
      <c r="K2359" s="8" t="str" cm="1">
        <f t="array" ref="K2359">_xlfn.LET(
    _xlpm.sum_month, SUM(T2359:AE2359),
    IF(_xlpm.sum_month = 0, "", _xlpm.sum_month &amp; " equipes alcançadas no ano")
)</f>
        <v/>
      </c>
      <c r="L2359" s="4" t="s">
        <v>141</v>
      </c>
      <c r="M2359" s="19">
        <v>1</v>
      </c>
      <c r="N2359" s="5" t="s">
        <v>51</v>
      </c>
      <c r="O2359" s="5" t="s">
        <v>52</v>
      </c>
      <c r="P2359" s="10" t="s">
        <v>44</v>
      </c>
      <c r="Q2359" s="10" t="s">
        <v>44</v>
      </c>
      <c r="R2359" s="10" t="s">
        <v>44</v>
      </c>
      <c r="S2359" s="10" t="s">
        <v>44</v>
      </c>
      <c r="T2359" s="22"/>
      <c r="U2359" s="22"/>
      <c r="V2359" s="22"/>
      <c r="W2359" s="22"/>
      <c r="X2359" s="22"/>
      <c r="Y2359" s="22"/>
      <c r="Z2359" s="22"/>
      <c r="AA2359" s="22"/>
      <c r="AB2359" s="22"/>
      <c r="AC2359" s="22"/>
      <c r="AD2359" s="22"/>
      <c r="AE2359" s="22"/>
      <c r="AG2359" s="71">
        <v>3</v>
      </c>
      <c r="AH2359" s="71">
        <v>8</v>
      </c>
      <c r="AI2359" s="71">
        <v>0</v>
      </c>
      <c r="AJ2359" s="71">
        <v>25</v>
      </c>
      <c r="AK2359" s="71">
        <v>8</v>
      </c>
      <c r="AL2359" s="71"/>
      <c r="AM2359" s="71"/>
      <c r="AN2359" s="71"/>
      <c r="AO2359" s="71"/>
      <c r="AP2359" s="71"/>
      <c r="AQ2359" s="71"/>
      <c r="AR2359" s="71"/>
      <c r="AS2359" s="94">
        <f t="shared" ca="1" si="2843"/>
        <v>0</v>
      </c>
      <c r="AT2359" s="95">
        <f t="shared" si="2844"/>
        <v>44</v>
      </c>
      <c r="AU2359" s="97">
        <f t="shared" si="2845"/>
        <v>44</v>
      </c>
      <c r="AW2359" s="83">
        <f t="shared" si="2846"/>
        <v>3</v>
      </c>
      <c r="AX2359" s="83">
        <f t="shared" si="2847"/>
        <v>8</v>
      </c>
      <c r="AY2359" s="83">
        <f t="shared" si="2848"/>
        <v>0</v>
      </c>
      <c r="AZ2359" s="83">
        <f t="shared" si="2849"/>
        <v>25</v>
      </c>
      <c r="BA2359" s="83">
        <f t="shared" si="2849"/>
        <v>8</v>
      </c>
      <c r="BB2359" s="52"/>
      <c r="BC2359" s="52"/>
      <c r="BD2359" s="52"/>
      <c r="BE2359" s="52"/>
      <c r="BF2359" s="52"/>
      <c r="BG2359" s="52"/>
      <c r="BH2359" s="52"/>
      <c r="BI2359" s="68" cm="1">
        <f t="array" ref="BI2359">IFERROR(INDEX(AW2359:BH2359,1,MATCH(2,1/(AW2359:BH2359&lt;&gt;""))),"")</f>
        <v>8</v>
      </c>
      <c r="BJ2359" s="68" cm="1">
        <f t="array" ref="BJ2359">IF(BM2359 = "", "",IFERROR(INDEX(AW2359:BH2359,1,MATCH(2,1/(AW2359:BH2359&lt;&gt;""),1)-1),""))</f>
        <v>25</v>
      </c>
      <c r="BK2359" s="59">
        <f t="shared" si="2850"/>
        <v>44</v>
      </c>
      <c r="BL2359" s="86" cm="1">
        <f t="array" ref="BL2359">IFERROR(SUM(AW2359:INDEX(AW2359:BH2359, MATCH(2, 1/(AW2359:BH2359&lt;&gt;""), 1) - 1))/_xlfn.XLOOKUP(F2359,Apuração!A:A,Apuração!B:B),0)</f>
        <v>3</v>
      </c>
      <c r="BM2359" s="55" cm="1">
        <f t="array" ref="BM2359">IFERROR(
   INDEX($AW$1:$BH$1,
      _xlfn.AGGREGATE(14, 6, COLUMN($AW$1:$BH$1)/(AW2359:BH2359&lt;&gt;""), 2) - COLUMN($AW$1) + 1
   ),
"")</f>
        <v>46113</v>
      </c>
      <c r="BN2359" s="55" cm="1">
        <f t="array" ref="BN2359">IFERROR(INDEX($AW$1:$BH$1,1,MATCH(2,1/(AW2359:BH2359&lt;&gt;""))),"")</f>
        <v>46143</v>
      </c>
      <c r="BO2359" s="53">
        <f ca="1">IFERROR(_xlfn.XLOOKUP(F2359,Apuração!A:A,Apuração!C:C)/_xlfn.XLOOKUP(F2359,Apuração!A:A,Apuração!B:B),0)</f>
        <v>0.41666666666666669</v>
      </c>
      <c r="BP2359" s="53">
        <f ca="1">IFERROR(_xlfn.XLOOKUP(F2359,Apuração!A:A,Apuração!D:D)/_xlfn.XLOOKUP(F2359,Apuração!A:A,Apuração!B:B),0)</f>
        <v>0.33333333333333331</v>
      </c>
      <c r="BQ2359" s="53">
        <f ca="1">IF(BK2359&gt;=BO2359,0,_xlfn.XLOOKUP(F2359,Apuração!A:A,Apuração!B:B)*(BO2359 + (1/_xlfn.XLOOKUP(F2359,Apuração!A:A,Apuração!B:B)) - BK2359))</f>
        <v>0</v>
      </c>
      <c r="BR2359" s="85">
        <f t="shared" ca="1" si="2851"/>
        <v>0</v>
      </c>
      <c r="BS2359" s="53">
        <f ca="1">IFERROR((_xlfn.XLOOKUP(F2359,Apuração!A:A,Apuração!C:C)+1)/_xlfn.XLOOKUP(F2359,Apuração!A:A,Apuração!B:B),0)</f>
        <v>0.5</v>
      </c>
    </row>
    <row r="2360" spans="1:71" ht="25.95" hidden="1" customHeight="1" x14ac:dyDescent="0.3">
      <c r="A2360" s="40" t="s">
        <v>87</v>
      </c>
      <c r="B2360" s="4" t="s">
        <v>229</v>
      </c>
      <c r="C2360" s="5" t="s">
        <v>209</v>
      </c>
      <c r="D2360" s="5" t="s">
        <v>210</v>
      </c>
      <c r="E2360" s="4" t="str" cm="1">
        <f t="array" ref="E2360">_xlfn.IFS(
F2360 = "A partir de Abril", "Aguardando Execução na Distribuidora",
A2360 = "CAPACITAÇÃO", "Em execução no Corporativo",
TRUE, "Em Execução na Distribuidora"
)</f>
        <v>Em Execução na Distribuidora</v>
      </c>
      <c r="F2360" s="4" t="str" cm="1">
        <f t="array" ref="F2360">_xlfn.IFS(
AG2360 &lt;&gt; "", "Jan-Dez/26",
AH2360 &lt;&gt; "", "Fev-Dez/26",
AI2360 &lt;&gt; "", "Mar-Dez/26", AJ2360 &lt;&gt; "", "Abr-Dez/26",
TRUE, "A partir de Junho"
)</f>
        <v>Jan-Dez/26</v>
      </c>
      <c r="G2360" s="7" t="s">
        <v>37</v>
      </c>
      <c r="H2360" s="7" t="s">
        <v>110</v>
      </c>
      <c r="I2360" s="8" t="s">
        <v>148</v>
      </c>
      <c r="J2360" s="21" t="str" cm="1">
        <f t="array" aca="1" ref="J2360" ca="1">_xlfn.LET(
  _xlpm.actual_value_month, INDEX(T2360:AE2360, MATCH(DATE(YEAR(TODAY()), MONTH(TODAY()), 1), $T$1:$AE$1, 0)),
  IF(_xlpm.actual_value_month &lt;&gt; "",_xlpm.actual_value_month &amp; " ações mensais", "")
)</f>
        <v/>
      </c>
      <c r="K2360" s="8" t="str" cm="1">
        <f t="array" ref="K2360">_xlfn.LET(
    _xlpm.sum_month, SUM(T2360:AE2360),
    IF(_xlpm.sum_month = 0, "", _xlpm.sum_month &amp; " NC's no ano")
)</f>
        <v/>
      </c>
      <c r="L2360" s="9" t="s">
        <v>149</v>
      </c>
      <c r="M2360" s="4"/>
      <c r="N2360" s="5" t="s">
        <v>51</v>
      </c>
      <c r="O2360" s="5" t="s">
        <v>52</v>
      </c>
      <c r="P2360" s="10" t="s">
        <v>44</v>
      </c>
      <c r="Q2360" s="10" t="s">
        <v>44</v>
      </c>
      <c r="R2360" s="11" t="s">
        <v>44</v>
      </c>
      <c r="S2360" s="11" t="s">
        <v>44</v>
      </c>
      <c r="T2360" s="22"/>
      <c r="U2360" s="22"/>
      <c r="V2360" s="22"/>
      <c r="W2360" s="22"/>
      <c r="X2360" s="22"/>
      <c r="Y2360" s="22"/>
      <c r="Z2360" s="22"/>
      <c r="AA2360" s="22"/>
      <c r="AB2360" s="22"/>
      <c r="AC2360" s="22"/>
      <c r="AD2360" s="22"/>
      <c r="AE2360" s="22"/>
      <c r="AG2360" s="82">
        <v>4</v>
      </c>
      <c r="AH2360" s="82">
        <v>2</v>
      </c>
      <c r="AI2360" s="82">
        <v>2</v>
      </c>
      <c r="AJ2360" s="82">
        <v>1</v>
      </c>
      <c r="AK2360" s="71">
        <v>0</v>
      </c>
      <c r="AL2360" s="71"/>
      <c r="AM2360" s="71"/>
      <c r="AN2360" s="71"/>
      <c r="AO2360" s="71"/>
      <c r="AP2360" s="71"/>
      <c r="AQ2360" s="71"/>
      <c r="AR2360" s="71"/>
      <c r="AS2360" s="94">
        <f t="shared" ca="1" si="2843"/>
        <v>0</v>
      </c>
      <c r="AT2360" s="95">
        <f t="shared" si="2844"/>
        <v>9</v>
      </c>
      <c r="AU2360" s="97">
        <f t="shared" si="2845"/>
        <v>9</v>
      </c>
      <c r="AW2360" s="83">
        <f t="shared" si="2846"/>
        <v>4</v>
      </c>
      <c r="AX2360" s="83">
        <f t="shared" si="2847"/>
        <v>2</v>
      </c>
      <c r="AY2360" s="83">
        <f t="shared" si="2848"/>
        <v>2</v>
      </c>
      <c r="AZ2360" s="83">
        <f t="shared" si="2849"/>
        <v>1</v>
      </c>
      <c r="BA2360" s="83">
        <f>AK2360</f>
        <v>0</v>
      </c>
      <c r="BB2360" s="52"/>
      <c r="BC2360" s="52"/>
      <c r="BD2360" s="52"/>
      <c r="BE2360" s="52"/>
      <c r="BF2360" s="52"/>
      <c r="BG2360" s="52"/>
      <c r="BH2360" s="52"/>
      <c r="BI2360" s="68" cm="1">
        <f t="array" ref="BI2360">IFERROR(INDEX(AW2360:BH2360,1,MATCH(2,1/(AW2360:BH2360&lt;&gt;""))),"")</f>
        <v>0</v>
      </c>
      <c r="BJ2360" s="68" cm="1">
        <f t="array" ref="BJ2360">IF(BM2360 = "", "",IFERROR(INDEX(AW2360:BH2360,1,MATCH(2,1/(AW2360:BH2360&lt;&gt;""),1)-1),""))</f>
        <v>1</v>
      </c>
      <c r="BK2360" s="59">
        <f t="shared" si="2850"/>
        <v>9</v>
      </c>
      <c r="BL2360" s="59" cm="1">
        <f t="array" ref="BL2360">IFERROR(SUM(AW2360:INDEX(AW2360:BH2360, MATCH(2, 1/(AW2360:BH2360&lt;&gt;""), 1) - 1))/_xlfn.XLOOKUP(F2360,Apuração!A:A,Apuração!B:B),0)</f>
        <v>0.75</v>
      </c>
      <c r="BM2360" s="55" cm="1">
        <f t="array" ref="BM2360">IFERROR(
   INDEX($AW$1:$BH$1,
      _xlfn.AGGREGATE(14, 6, COLUMN($AW$1:$BH$1)/(AW2360:BH2360&lt;&gt;""), 2) - COLUMN($AW$1) + 1
   ),
"")</f>
        <v>46113</v>
      </c>
      <c r="BN2360" s="55" cm="1">
        <f t="array" ref="BN2360">IFERROR(INDEX($AW$1:$BH$1,1,MATCH(2,1/(AW2360:BH2360&lt;&gt;""))),"")</f>
        <v>46143</v>
      </c>
      <c r="BO2360" s="53">
        <f ca="1">IFERROR(_xlfn.XLOOKUP(F2360,Apuração!A:A,Apuração!C:C)/_xlfn.XLOOKUP(F2360,Apuração!A:A,Apuração!B:B),0)</f>
        <v>0.41666666666666669</v>
      </c>
      <c r="BP2360" s="53">
        <f ca="1">IFERROR(_xlfn.XLOOKUP(F2360,Apuração!A:A,Apuração!D:D)/_xlfn.XLOOKUP(F2360,Apuração!A:A,Apuração!B:B),0)</f>
        <v>0.33333333333333331</v>
      </c>
      <c r="BQ2360" s="53">
        <f ca="1">IF(BK2360&gt;=BO2360,0,_xlfn.XLOOKUP(F2360,Apuração!A:A,Apuração!B:B)*(BO2360 + (1/_xlfn.XLOOKUP(F2360,Apuração!A:A,Apuração!B:B)) - BK2360))</f>
        <v>0</v>
      </c>
      <c r="BR2360" s="85">
        <f t="shared" ca="1" si="2851"/>
        <v>0</v>
      </c>
      <c r="BS2360" s="53">
        <f ca="1">IFERROR((_xlfn.XLOOKUP(F2360,Apuração!A:A,Apuração!C:C)+1)/_xlfn.XLOOKUP(F2360,Apuração!A:A,Apuração!B:B),0)</f>
        <v>0.5</v>
      </c>
    </row>
    <row r="2361" spans="1:71" ht="25.95" hidden="1" customHeight="1" x14ac:dyDescent="0.3">
      <c r="A2361" s="40" t="s">
        <v>87</v>
      </c>
      <c r="B2361" s="4" t="s">
        <v>229</v>
      </c>
      <c r="C2361" s="5" t="s">
        <v>209</v>
      </c>
      <c r="D2361" s="5" t="s">
        <v>47</v>
      </c>
      <c r="E2361" s="4" t="str" cm="1">
        <f t="array" ref="E2361">_xlfn.IFS(
F2361 = "A partir de Abril", "Aguardando Execução na Distribuidora",
A2361 = "CAPACITAÇÃO", "Em execução no Corporativo",
TRUE, "Em Execução na Distribuidora"
)</f>
        <v>Em Execução na Distribuidora</v>
      </c>
      <c r="F2361" s="4" t="str" cm="1">
        <f t="array" ref="F2361">_xlfn.IFS(
AG2361 &lt;&gt; "", "Jan-Dez/26",
AH2361 &lt;&gt; "", "Fev-Dez/26",
AI2361 &lt;&gt; "", "Mar-Dez/26", AJ2361 &lt;&gt; "", "Abr-Dez/26",
TRUE, "A partir de Junho"
)</f>
        <v>Jan-Dez/26</v>
      </c>
      <c r="G2361" s="7" t="s">
        <v>37</v>
      </c>
      <c r="H2361" s="7" t="s">
        <v>110</v>
      </c>
      <c r="I2361" s="8" t="s">
        <v>148</v>
      </c>
      <c r="J2361" s="21" t="str" cm="1">
        <f t="array" aca="1" ref="J2361" ca="1">_xlfn.LET(
  _xlpm.actual_value_month, INDEX(T2361:AE2361, MATCH(DATE(YEAR(TODAY()), MONTH(TODAY()), 1), $T$1:$AE$1, 0)),
  IF(_xlpm.actual_value_month &lt;&gt; "",_xlpm.actual_value_month &amp; " ações mensais", "")
)</f>
        <v/>
      </c>
      <c r="K2361" s="8" t="str" cm="1">
        <f t="array" ref="K2361">_xlfn.LET(
    _xlpm.sum_month, SUM(T2361:AE2361),
    IF(_xlpm.sum_month = 0, "", _xlpm.sum_month &amp; " NC's no ano")
)</f>
        <v/>
      </c>
      <c r="L2361" s="9" t="s">
        <v>149</v>
      </c>
      <c r="M2361" s="4"/>
      <c r="N2361" s="5" t="s">
        <v>51</v>
      </c>
      <c r="O2361" s="5" t="s">
        <v>52</v>
      </c>
      <c r="P2361" s="10" t="s">
        <v>44</v>
      </c>
      <c r="Q2361" s="10" t="s">
        <v>44</v>
      </c>
      <c r="R2361" s="11" t="s">
        <v>44</v>
      </c>
      <c r="S2361" s="11" t="s">
        <v>44</v>
      </c>
      <c r="T2361" s="22"/>
      <c r="U2361" s="22"/>
      <c r="V2361" s="22"/>
      <c r="W2361" s="22"/>
      <c r="X2361" s="22"/>
      <c r="Y2361" s="22"/>
      <c r="Z2361" s="22"/>
      <c r="AA2361" s="22"/>
      <c r="AB2361" s="22"/>
      <c r="AC2361" s="22"/>
      <c r="AD2361" s="22"/>
      <c r="AE2361" s="22"/>
      <c r="AG2361" s="82">
        <v>1</v>
      </c>
      <c r="AH2361" s="82">
        <v>1</v>
      </c>
      <c r="AI2361" s="82">
        <v>0</v>
      </c>
      <c r="AJ2361" s="82">
        <v>0</v>
      </c>
      <c r="AK2361" s="71">
        <v>1</v>
      </c>
      <c r="AL2361" s="71"/>
      <c r="AM2361" s="71"/>
      <c r="AN2361" s="71"/>
      <c r="AO2361" s="71"/>
      <c r="AP2361" s="71"/>
      <c r="AQ2361" s="71"/>
      <c r="AR2361" s="71"/>
      <c r="AS2361" s="94">
        <f t="shared" ca="1" si="2843"/>
        <v>0</v>
      </c>
      <c r="AT2361" s="95">
        <f t="shared" si="2844"/>
        <v>3</v>
      </c>
      <c r="AU2361" s="97">
        <f t="shared" si="2845"/>
        <v>3</v>
      </c>
      <c r="AW2361" s="83">
        <f t="shared" si="2846"/>
        <v>1</v>
      </c>
      <c r="AX2361" s="83">
        <f t="shared" si="2847"/>
        <v>1</v>
      </c>
      <c r="AY2361" s="83">
        <f t="shared" si="2848"/>
        <v>0</v>
      </c>
      <c r="AZ2361" s="83">
        <f t="shared" si="2849"/>
        <v>0</v>
      </c>
      <c r="BA2361" s="83">
        <f t="shared" ref="BA2361:BA2364" si="2852">AK2361</f>
        <v>1</v>
      </c>
      <c r="BB2361" s="52"/>
      <c r="BC2361" s="52"/>
      <c r="BD2361" s="52"/>
      <c r="BE2361" s="52"/>
      <c r="BF2361" s="52"/>
      <c r="BG2361" s="52"/>
      <c r="BH2361" s="52"/>
      <c r="BI2361" s="68" cm="1">
        <f t="array" ref="BI2361">IFERROR(INDEX(AW2361:BH2361,1,MATCH(2,1/(AW2361:BH2361&lt;&gt;""))),"")</f>
        <v>1</v>
      </c>
      <c r="BJ2361" s="68" cm="1">
        <f t="array" ref="BJ2361">IF(BM2361 = "", "",IFERROR(INDEX(AW2361:BH2361,1,MATCH(2,1/(AW2361:BH2361&lt;&gt;""),1)-1),""))</f>
        <v>0</v>
      </c>
      <c r="BK2361" s="59">
        <f t="shared" si="2850"/>
        <v>3</v>
      </c>
      <c r="BL2361" s="59" cm="1">
        <f t="array" ref="BL2361">IFERROR(SUM(AW2361:INDEX(AW2361:BH2361, MATCH(2, 1/(AW2361:BH2361&lt;&gt;""), 1) - 1))/_xlfn.XLOOKUP(F2361,Apuração!A:A,Apuração!B:B),0)</f>
        <v>0.16666666666666666</v>
      </c>
      <c r="BM2361" s="55" cm="1">
        <f t="array" ref="BM2361">IFERROR(
   INDEX($AW$1:$BH$1,
      _xlfn.AGGREGATE(14, 6, COLUMN($AW$1:$BH$1)/(AW2361:BH2361&lt;&gt;""), 2) - COLUMN($AW$1) + 1
   ),
"")</f>
        <v>46113</v>
      </c>
      <c r="BN2361" s="55" cm="1">
        <f t="array" ref="BN2361">IFERROR(INDEX($AW$1:$BH$1,1,MATCH(2,1/(AW2361:BH2361&lt;&gt;""))),"")</f>
        <v>46143</v>
      </c>
      <c r="BO2361" s="53">
        <f ca="1">IFERROR(_xlfn.XLOOKUP(F2361,Apuração!A:A,Apuração!C:C)/_xlfn.XLOOKUP(F2361,Apuração!A:A,Apuração!B:B),0)</f>
        <v>0.41666666666666669</v>
      </c>
      <c r="BP2361" s="53">
        <f ca="1">IFERROR(_xlfn.XLOOKUP(F2361,Apuração!A:A,Apuração!D:D)/_xlfn.XLOOKUP(F2361,Apuração!A:A,Apuração!B:B),0)</f>
        <v>0.33333333333333331</v>
      </c>
      <c r="BQ2361" s="53">
        <f ca="1">IF(BK2361&gt;=BO2361,0,_xlfn.XLOOKUP(F2361,Apuração!A:A,Apuração!B:B)*(BO2361 + (1/_xlfn.XLOOKUP(F2361,Apuração!A:A,Apuração!B:B)) - BK2361))</f>
        <v>0</v>
      </c>
      <c r="BR2361" s="85">
        <f t="shared" ca="1" si="2851"/>
        <v>0</v>
      </c>
      <c r="BS2361" s="53">
        <f ca="1">IFERROR((_xlfn.XLOOKUP(F2361,Apuração!A:A,Apuração!C:C)+1)/_xlfn.XLOOKUP(F2361,Apuração!A:A,Apuração!B:B),0)</f>
        <v>0.5</v>
      </c>
    </row>
    <row r="2362" spans="1:71" ht="25.95" hidden="1" customHeight="1" x14ac:dyDescent="0.3">
      <c r="A2362" s="40" t="s">
        <v>87</v>
      </c>
      <c r="B2362" s="4" t="s">
        <v>229</v>
      </c>
      <c r="C2362" s="5" t="s">
        <v>209</v>
      </c>
      <c r="D2362" s="5" t="s">
        <v>211</v>
      </c>
      <c r="E2362" s="4" t="str" cm="1">
        <f t="array" ref="E2362">_xlfn.IFS(
F2362 = "A partir de Abril", "Aguardando Execução na Distribuidora",
A2362 = "CAPACITAÇÃO", "Em execução no Corporativo",
TRUE, "Em Execução na Distribuidora"
)</f>
        <v>Em Execução na Distribuidora</v>
      </c>
      <c r="F2362" s="4" t="str" cm="1">
        <f t="array" ref="F2362">_xlfn.IFS(
AG2362 &lt;&gt; "", "Jan-Dez/26",
AH2362 &lt;&gt; "", "Fev-Dez/26",
AI2362 &lt;&gt; "", "Mar-Dez/26", AJ2362 &lt;&gt; "", "Abr-Dez/26",
TRUE, "A partir de Junho"
)</f>
        <v>Jan-Dez/26</v>
      </c>
      <c r="G2362" s="7" t="s">
        <v>37</v>
      </c>
      <c r="H2362" s="7" t="s">
        <v>110</v>
      </c>
      <c r="I2362" s="8" t="s">
        <v>148</v>
      </c>
      <c r="J2362" s="21" t="str" cm="1">
        <f t="array" aca="1" ref="J2362" ca="1">_xlfn.LET(
  _xlpm.actual_value_month, INDEX(T2362:AE2362, MATCH(DATE(YEAR(TODAY()), MONTH(TODAY()), 1), $T$1:$AE$1, 0)),
  IF(_xlpm.actual_value_month &lt;&gt; "",_xlpm.actual_value_month &amp; " ações mensais", "")
)</f>
        <v/>
      </c>
      <c r="K2362" s="8" t="str" cm="1">
        <f t="array" ref="K2362">_xlfn.LET(
    _xlpm.sum_month, SUM(T2362:AE2362),
    IF(_xlpm.sum_month = 0, "", _xlpm.sum_month &amp; " NC's no ano")
)</f>
        <v/>
      </c>
      <c r="L2362" s="9" t="s">
        <v>149</v>
      </c>
      <c r="M2362" s="4"/>
      <c r="N2362" s="5" t="s">
        <v>51</v>
      </c>
      <c r="O2362" s="5" t="s">
        <v>52</v>
      </c>
      <c r="P2362" s="10" t="s">
        <v>44</v>
      </c>
      <c r="Q2362" s="10" t="s">
        <v>44</v>
      </c>
      <c r="R2362" s="11" t="s">
        <v>44</v>
      </c>
      <c r="S2362" s="11" t="s">
        <v>44</v>
      </c>
      <c r="T2362" s="22"/>
      <c r="U2362" s="22"/>
      <c r="V2362" s="22"/>
      <c r="W2362" s="22"/>
      <c r="X2362" s="22"/>
      <c r="Y2362" s="22"/>
      <c r="Z2362" s="22"/>
      <c r="AA2362" s="22"/>
      <c r="AB2362" s="22"/>
      <c r="AC2362" s="22"/>
      <c r="AD2362" s="22"/>
      <c r="AE2362" s="22"/>
      <c r="AG2362" s="82">
        <v>4</v>
      </c>
      <c r="AH2362" s="82">
        <v>2</v>
      </c>
      <c r="AI2362" s="82">
        <v>0</v>
      </c>
      <c r="AJ2362" s="82">
        <v>3</v>
      </c>
      <c r="AK2362" s="71">
        <v>1</v>
      </c>
      <c r="AL2362" s="71"/>
      <c r="AM2362" s="71"/>
      <c r="AN2362" s="71"/>
      <c r="AO2362" s="71"/>
      <c r="AP2362" s="71"/>
      <c r="AQ2362" s="71"/>
      <c r="AR2362" s="71"/>
      <c r="AS2362" s="94">
        <f t="shared" ca="1" si="2843"/>
        <v>0</v>
      </c>
      <c r="AT2362" s="95">
        <f t="shared" si="2844"/>
        <v>10</v>
      </c>
      <c r="AU2362" s="97">
        <f t="shared" si="2845"/>
        <v>10</v>
      </c>
      <c r="AW2362" s="83">
        <f t="shared" si="2846"/>
        <v>4</v>
      </c>
      <c r="AX2362" s="83">
        <f t="shared" si="2847"/>
        <v>2</v>
      </c>
      <c r="AY2362" s="83">
        <f t="shared" si="2848"/>
        <v>0</v>
      </c>
      <c r="AZ2362" s="83">
        <f t="shared" si="2849"/>
        <v>3</v>
      </c>
      <c r="BA2362" s="83">
        <f t="shared" si="2852"/>
        <v>1</v>
      </c>
      <c r="BB2362" s="52"/>
      <c r="BC2362" s="52"/>
      <c r="BD2362" s="52"/>
      <c r="BE2362" s="52"/>
      <c r="BF2362" s="52"/>
      <c r="BG2362" s="52"/>
      <c r="BH2362" s="52"/>
      <c r="BI2362" s="68" cm="1">
        <f t="array" ref="BI2362">IFERROR(INDEX(AW2362:BH2362,1,MATCH(2,1/(AW2362:BH2362&lt;&gt;""))),"")</f>
        <v>1</v>
      </c>
      <c r="BJ2362" s="68" cm="1">
        <f t="array" ref="BJ2362">IF(BM2362 = "", "",IFERROR(INDEX(AW2362:BH2362,1,MATCH(2,1/(AW2362:BH2362&lt;&gt;""),1)-1),""))</f>
        <v>3</v>
      </c>
      <c r="BK2362" s="59">
        <f t="shared" si="2850"/>
        <v>10</v>
      </c>
      <c r="BL2362" s="59" cm="1">
        <f t="array" ref="BL2362">IFERROR(SUM(AW2362:INDEX(AW2362:BH2362, MATCH(2, 1/(AW2362:BH2362&lt;&gt;""), 1) - 1))/_xlfn.XLOOKUP(F2362,Apuração!A:A,Apuração!B:B),0)</f>
        <v>0.75</v>
      </c>
      <c r="BM2362" s="55" cm="1">
        <f t="array" ref="BM2362">IFERROR(
   INDEX($AW$1:$BH$1,
      _xlfn.AGGREGATE(14, 6, COLUMN($AW$1:$BH$1)/(AW2362:BH2362&lt;&gt;""), 2) - COLUMN($AW$1) + 1
   ),
"")</f>
        <v>46113</v>
      </c>
      <c r="BN2362" s="55" cm="1">
        <f t="array" ref="BN2362">IFERROR(INDEX($AW$1:$BH$1,1,MATCH(2,1/(AW2362:BH2362&lt;&gt;""))),"")</f>
        <v>46143</v>
      </c>
      <c r="BO2362" s="53">
        <f ca="1">IFERROR(_xlfn.XLOOKUP(F2362,Apuração!A:A,Apuração!C:C)/_xlfn.XLOOKUP(F2362,Apuração!A:A,Apuração!B:B),0)</f>
        <v>0.41666666666666669</v>
      </c>
      <c r="BP2362" s="53">
        <f ca="1">IFERROR(_xlfn.XLOOKUP(F2362,Apuração!A:A,Apuração!D:D)/_xlfn.XLOOKUP(F2362,Apuração!A:A,Apuração!B:B),0)</f>
        <v>0.33333333333333331</v>
      </c>
      <c r="BQ2362" s="53">
        <f ca="1">IF(BK2362&gt;=BO2362,0,_xlfn.XLOOKUP(F2362,Apuração!A:A,Apuração!B:B)*(BO2362 + (1/_xlfn.XLOOKUP(F2362,Apuração!A:A,Apuração!B:B)) - BK2362))</f>
        <v>0</v>
      </c>
      <c r="BR2362" s="85">
        <f t="shared" ca="1" si="2851"/>
        <v>0</v>
      </c>
      <c r="BS2362" s="53">
        <f ca="1">IFERROR((_xlfn.XLOOKUP(F2362,Apuração!A:A,Apuração!C:C)+1)/_xlfn.XLOOKUP(F2362,Apuração!A:A,Apuração!B:B),0)</f>
        <v>0.5</v>
      </c>
    </row>
    <row r="2363" spans="1:71" ht="25.95" hidden="1" customHeight="1" x14ac:dyDescent="0.3">
      <c r="A2363" s="40" t="s">
        <v>87</v>
      </c>
      <c r="B2363" s="4" t="s">
        <v>229</v>
      </c>
      <c r="C2363" s="5" t="s">
        <v>209</v>
      </c>
      <c r="D2363" s="5" t="s">
        <v>212</v>
      </c>
      <c r="E2363" s="4" t="str" cm="1">
        <f t="array" ref="E2363">_xlfn.IFS(
F2363 = "A partir de Abril", "Aguardando Execução na Distribuidora",
A2363 = "CAPACITAÇÃO", "Em execução no Corporativo",
TRUE, "Em Execução na Distribuidora"
)</f>
        <v>Em Execução na Distribuidora</v>
      </c>
      <c r="F2363" s="4" t="str" cm="1">
        <f t="array" ref="F2363">_xlfn.IFS(
AG2363 &lt;&gt; "", "Jan-Dez/26",
AH2363 &lt;&gt; "", "Fev-Dez/26",
AI2363 &lt;&gt; "", "Mar-Dez/26", AJ2363 &lt;&gt; "", "Abr-Dez/26",
TRUE, "A partir de Junho"
)</f>
        <v>Jan-Dez/26</v>
      </c>
      <c r="G2363" s="7" t="s">
        <v>37</v>
      </c>
      <c r="H2363" s="7" t="s">
        <v>110</v>
      </c>
      <c r="I2363" s="8" t="s">
        <v>148</v>
      </c>
      <c r="J2363" s="21" t="str" cm="1">
        <f t="array" aca="1" ref="J2363" ca="1">_xlfn.LET(
  _xlpm.actual_value_month, INDEX(T2363:AE2363, MATCH(DATE(YEAR(TODAY()), MONTH(TODAY()), 1), $T$1:$AE$1, 0)),
  IF(_xlpm.actual_value_month &lt;&gt; "",_xlpm.actual_value_month &amp; " ações mensais", "")
)</f>
        <v/>
      </c>
      <c r="K2363" s="8" t="str" cm="1">
        <f t="array" ref="K2363">_xlfn.LET(
    _xlpm.sum_month, SUM(T2363:AE2363),
    IF(_xlpm.sum_month = 0, "", _xlpm.sum_month &amp; " NC's no ano")
)</f>
        <v/>
      </c>
      <c r="L2363" s="9" t="s">
        <v>149</v>
      </c>
      <c r="M2363" s="4"/>
      <c r="N2363" s="5" t="s">
        <v>51</v>
      </c>
      <c r="O2363" s="5" t="s">
        <v>52</v>
      </c>
      <c r="P2363" s="10" t="s">
        <v>44</v>
      </c>
      <c r="Q2363" s="10" t="s">
        <v>44</v>
      </c>
      <c r="R2363" s="11" t="s">
        <v>44</v>
      </c>
      <c r="S2363" s="11" t="s">
        <v>44</v>
      </c>
      <c r="T2363" s="22"/>
      <c r="U2363" s="22"/>
      <c r="V2363" s="22"/>
      <c r="W2363" s="22"/>
      <c r="X2363" s="22"/>
      <c r="Y2363" s="22"/>
      <c r="Z2363" s="22"/>
      <c r="AA2363" s="22"/>
      <c r="AB2363" s="22"/>
      <c r="AC2363" s="22"/>
      <c r="AD2363" s="22"/>
      <c r="AE2363" s="22"/>
      <c r="AG2363" s="82">
        <v>0</v>
      </c>
      <c r="AH2363" s="82">
        <v>2</v>
      </c>
      <c r="AI2363" s="82">
        <v>1</v>
      </c>
      <c r="AJ2363" s="82">
        <v>1</v>
      </c>
      <c r="AK2363" s="71">
        <v>1</v>
      </c>
      <c r="AL2363" s="71"/>
      <c r="AM2363" s="71"/>
      <c r="AN2363" s="71"/>
      <c r="AO2363" s="71"/>
      <c r="AP2363" s="71"/>
      <c r="AQ2363" s="71"/>
      <c r="AR2363" s="71"/>
      <c r="AS2363" s="94">
        <f t="shared" ca="1" si="2843"/>
        <v>0</v>
      </c>
      <c r="AT2363" s="95">
        <f t="shared" si="2844"/>
        <v>5</v>
      </c>
      <c r="AU2363" s="97">
        <f t="shared" si="2845"/>
        <v>5</v>
      </c>
      <c r="AW2363" s="83">
        <f t="shared" si="2846"/>
        <v>0</v>
      </c>
      <c r="AX2363" s="83">
        <f t="shared" si="2847"/>
        <v>2</v>
      </c>
      <c r="AY2363" s="83">
        <f t="shared" si="2848"/>
        <v>1</v>
      </c>
      <c r="AZ2363" s="83">
        <f t="shared" si="2849"/>
        <v>1</v>
      </c>
      <c r="BA2363" s="83">
        <f t="shared" si="2852"/>
        <v>1</v>
      </c>
      <c r="BB2363" s="52"/>
      <c r="BC2363" s="52"/>
      <c r="BD2363" s="52"/>
      <c r="BE2363" s="52"/>
      <c r="BF2363" s="52"/>
      <c r="BG2363" s="52"/>
      <c r="BH2363" s="52"/>
      <c r="BI2363" s="68" cm="1">
        <f t="array" ref="BI2363">IFERROR(INDEX(AW2363:BH2363,1,MATCH(2,1/(AW2363:BH2363&lt;&gt;""))),"")</f>
        <v>1</v>
      </c>
      <c r="BJ2363" s="68" cm="1">
        <f t="array" ref="BJ2363">IF(BM2363 = "", "",IFERROR(INDEX(AW2363:BH2363,1,MATCH(2,1/(AW2363:BH2363&lt;&gt;""),1)-1),""))</f>
        <v>1</v>
      </c>
      <c r="BK2363" s="59">
        <f t="shared" si="2850"/>
        <v>5</v>
      </c>
      <c r="BL2363" s="59" cm="1">
        <f t="array" ref="BL2363">IFERROR(SUM(AW2363:INDEX(AW2363:BH2363, MATCH(2, 1/(AW2363:BH2363&lt;&gt;""), 1) - 1))/_xlfn.XLOOKUP(F2363,Apuração!A:A,Apuração!B:B),0)</f>
        <v>0.33333333333333331</v>
      </c>
      <c r="BM2363" s="55" cm="1">
        <f t="array" ref="BM2363">IFERROR(
   INDEX($AW$1:$BH$1,
      _xlfn.AGGREGATE(14, 6, COLUMN($AW$1:$BH$1)/(AW2363:BH2363&lt;&gt;""), 2) - COLUMN($AW$1) + 1
   ),
"")</f>
        <v>46113</v>
      </c>
      <c r="BN2363" s="55" cm="1">
        <f t="array" ref="BN2363">IFERROR(INDEX($AW$1:$BH$1,1,MATCH(2,1/(AW2363:BH2363&lt;&gt;""))),"")</f>
        <v>46143</v>
      </c>
      <c r="BO2363" s="53">
        <f ca="1">IFERROR(_xlfn.XLOOKUP(F2363,Apuração!A:A,Apuração!C:C)/_xlfn.XLOOKUP(F2363,Apuração!A:A,Apuração!B:B),0)</f>
        <v>0.41666666666666669</v>
      </c>
      <c r="BP2363" s="53">
        <f ca="1">IFERROR(_xlfn.XLOOKUP(F2363,Apuração!A:A,Apuração!D:D)/_xlfn.XLOOKUP(F2363,Apuração!A:A,Apuração!B:B),0)</f>
        <v>0.33333333333333331</v>
      </c>
      <c r="BQ2363" s="53">
        <f ca="1">IF(BK2363&gt;=BO2363,0,_xlfn.XLOOKUP(F2363,Apuração!A:A,Apuração!B:B)*(BO2363 + (1/_xlfn.XLOOKUP(F2363,Apuração!A:A,Apuração!B:B)) - BK2363))</f>
        <v>0</v>
      </c>
      <c r="BR2363" s="85">
        <f t="shared" ca="1" si="2851"/>
        <v>0</v>
      </c>
      <c r="BS2363" s="53">
        <f ca="1">IFERROR((_xlfn.XLOOKUP(F2363,Apuração!A:A,Apuração!C:C)+1)/_xlfn.XLOOKUP(F2363,Apuração!A:A,Apuração!B:B),0)</f>
        <v>0.5</v>
      </c>
    </row>
    <row r="2364" spans="1:71" ht="25.95" hidden="1" customHeight="1" x14ac:dyDescent="0.3">
      <c r="A2364" s="40" t="s">
        <v>87</v>
      </c>
      <c r="B2364" s="4" t="s">
        <v>229</v>
      </c>
      <c r="C2364" s="5" t="s">
        <v>209</v>
      </c>
      <c r="D2364" s="5" t="s">
        <v>213</v>
      </c>
      <c r="E2364" s="4" t="str" cm="1">
        <f t="array" ref="E2364">_xlfn.IFS(
F2364 = "A partir de Abril", "Aguardando Execução na Distribuidora",
A2364 = "CAPACITAÇÃO", "Em execução no Corporativo",
TRUE, "Em Execução na Distribuidora"
)</f>
        <v>Em Execução na Distribuidora</v>
      </c>
      <c r="F2364" s="4" t="str" cm="1">
        <f t="array" ref="F2364">_xlfn.IFS(
AG2364 &lt;&gt; "", "Jan-Dez/26",
AH2364 &lt;&gt; "", "Fev-Dez/26",
AI2364 &lt;&gt; "", "Mar-Dez/26", AJ2364 &lt;&gt; "", "Abr-Dez/26",
TRUE, "A partir de Junho"
)</f>
        <v>Jan-Dez/26</v>
      </c>
      <c r="G2364" s="7" t="s">
        <v>37</v>
      </c>
      <c r="H2364" s="7" t="s">
        <v>110</v>
      </c>
      <c r="I2364" s="8" t="s">
        <v>148</v>
      </c>
      <c r="J2364" s="21" t="str" cm="1">
        <f t="array" aca="1" ref="J2364" ca="1">_xlfn.LET(
  _xlpm.actual_value_month, INDEX(T2364:AE2364, MATCH(DATE(YEAR(TODAY()), MONTH(TODAY()), 1), $T$1:$AE$1, 0)),
  IF(_xlpm.actual_value_month &lt;&gt; "",_xlpm.actual_value_month &amp; " ações mensais", "")
)</f>
        <v/>
      </c>
      <c r="K2364" s="8" t="str" cm="1">
        <f t="array" ref="K2364">_xlfn.LET(
    _xlpm.sum_month, SUM(T2364:AE2364),
    IF(_xlpm.sum_month = 0, "", _xlpm.sum_month &amp; " NC's no ano")
)</f>
        <v/>
      </c>
      <c r="L2364" s="9" t="s">
        <v>149</v>
      </c>
      <c r="M2364" s="4"/>
      <c r="N2364" s="5" t="s">
        <v>51</v>
      </c>
      <c r="O2364" s="5" t="s">
        <v>52</v>
      </c>
      <c r="P2364" s="10" t="s">
        <v>44</v>
      </c>
      <c r="Q2364" s="10" t="s">
        <v>44</v>
      </c>
      <c r="R2364" s="11" t="s">
        <v>44</v>
      </c>
      <c r="S2364" s="11" t="s">
        <v>44</v>
      </c>
      <c r="T2364" s="22"/>
      <c r="U2364" s="22"/>
      <c r="V2364" s="22"/>
      <c r="W2364" s="22"/>
      <c r="X2364" s="22"/>
      <c r="Y2364" s="22"/>
      <c r="Z2364" s="22"/>
      <c r="AA2364" s="22"/>
      <c r="AB2364" s="22"/>
      <c r="AC2364" s="22"/>
      <c r="AD2364" s="22"/>
      <c r="AE2364" s="22"/>
      <c r="AG2364" s="82">
        <v>0</v>
      </c>
      <c r="AH2364" s="82">
        <v>0</v>
      </c>
      <c r="AI2364" s="82">
        <v>1</v>
      </c>
      <c r="AJ2364" s="82">
        <v>1</v>
      </c>
      <c r="AK2364" s="71">
        <v>1</v>
      </c>
      <c r="AL2364" s="71"/>
      <c r="AM2364" s="71"/>
      <c r="AN2364" s="71"/>
      <c r="AO2364" s="71"/>
      <c r="AP2364" s="71"/>
      <c r="AQ2364" s="71"/>
      <c r="AR2364" s="71"/>
      <c r="AS2364" s="94">
        <f t="shared" ca="1" si="2843"/>
        <v>0</v>
      </c>
      <c r="AT2364" s="95">
        <f t="shared" si="2844"/>
        <v>3</v>
      </c>
      <c r="AU2364" s="97">
        <f t="shared" si="2845"/>
        <v>3</v>
      </c>
      <c r="AW2364" s="83">
        <f t="shared" si="2846"/>
        <v>0</v>
      </c>
      <c r="AX2364" s="83">
        <f t="shared" si="2847"/>
        <v>0</v>
      </c>
      <c r="AY2364" s="83">
        <f t="shared" si="2848"/>
        <v>1</v>
      </c>
      <c r="AZ2364" s="83">
        <f t="shared" si="2849"/>
        <v>1</v>
      </c>
      <c r="BA2364" s="83">
        <f t="shared" si="2852"/>
        <v>1</v>
      </c>
      <c r="BB2364" s="52"/>
      <c r="BC2364" s="52"/>
      <c r="BD2364" s="52"/>
      <c r="BE2364" s="52"/>
      <c r="BF2364" s="52"/>
      <c r="BG2364" s="52"/>
      <c r="BH2364" s="52"/>
      <c r="BI2364" s="68" cm="1">
        <f t="array" ref="BI2364">IFERROR(INDEX(AW2364:BH2364,1,MATCH(2,1/(AW2364:BH2364&lt;&gt;""))),"")</f>
        <v>1</v>
      </c>
      <c r="BJ2364" s="68" cm="1">
        <f t="array" ref="BJ2364">IF(BM2364 = "", "",IFERROR(INDEX(AW2364:BH2364,1,MATCH(2,1/(AW2364:BH2364&lt;&gt;""),1)-1),""))</f>
        <v>1</v>
      </c>
      <c r="BK2364" s="59">
        <f t="shared" si="2850"/>
        <v>3</v>
      </c>
      <c r="BL2364" s="59" cm="1">
        <f t="array" ref="BL2364">IFERROR(SUM(AW2364:INDEX(AW2364:BH2364, MATCH(2, 1/(AW2364:BH2364&lt;&gt;""), 1) - 1))/_xlfn.XLOOKUP(F2364,Apuração!A:A,Apuração!B:B),0)</f>
        <v>0.16666666666666666</v>
      </c>
      <c r="BM2364" s="55" cm="1">
        <f t="array" ref="BM2364">IFERROR(
   INDEX($AW$1:$BH$1,
      _xlfn.AGGREGATE(14, 6, COLUMN($AW$1:$BH$1)/(AW2364:BH2364&lt;&gt;""), 2) - COLUMN($AW$1) + 1
   ),
"")</f>
        <v>46113</v>
      </c>
      <c r="BN2364" s="55" cm="1">
        <f t="array" ref="BN2364">IFERROR(INDEX($AW$1:$BH$1,1,MATCH(2,1/(AW2364:BH2364&lt;&gt;""))),"")</f>
        <v>46143</v>
      </c>
      <c r="BO2364" s="53">
        <f ca="1">IFERROR(_xlfn.XLOOKUP(F2364,Apuração!A:A,Apuração!C:C)/_xlfn.XLOOKUP(F2364,Apuração!A:A,Apuração!B:B),0)</f>
        <v>0.41666666666666669</v>
      </c>
      <c r="BP2364" s="53">
        <f ca="1">IFERROR(_xlfn.XLOOKUP(F2364,Apuração!A:A,Apuração!D:D)/_xlfn.XLOOKUP(F2364,Apuração!A:A,Apuração!B:B),0)</f>
        <v>0.33333333333333331</v>
      </c>
      <c r="BQ2364" s="53">
        <f ca="1">IF(BK2364&gt;=BO2364,0,_xlfn.XLOOKUP(F2364,Apuração!A:A,Apuração!B:B)*(BO2364 + (1/_xlfn.XLOOKUP(F2364,Apuração!A:A,Apuração!B:B)) - BK2364))</f>
        <v>0</v>
      </c>
      <c r="BR2364" s="85">
        <f t="shared" ca="1" si="2851"/>
        <v>0</v>
      </c>
      <c r="BS2364" s="53">
        <f ca="1">IFERROR((_xlfn.XLOOKUP(F2364,Apuração!A:A,Apuração!C:C)+1)/_xlfn.XLOOKUP(F2364,Apuração!A:A,Apuração!B:B),0)</f>
        <v>0.5</v>
      </c>
    </row>
    <row r="2365" spans="1:71" ht="25.95" hidden="1" customHeight="1" x14ac:dyDescent="0.3">
      <c r="A2365" s="20" t="s">
        <v>87</v>
      </c>
      <c r="B2365" s="4" t="s">
        <v>232</v>
      </c>
      <c r="C2365" s="5" t="s">
        <v>209</v>
      </c>
      <c r="D2365" s="5" t="s">
        <v>36</v>
      </c>
      <c r="E2365" s="4" t="str" cm="1">
        <f t="array" ref="E2365">_xlfn.IFS(
F2365 = "A partir de Abril", "Aguardando Execução na Distribuidora",
A2365 = "CAPACITAÇÃO", "Em execução no Corporativo",
TRUE, "Em Execução na Distribuidora"
)</f>
        <v>Em Execução na Distribuidora</v>
      </c>
      <c r="F2365" s="4" t="str" cm="1">
        <f t="array" ref="F2365">_xlfn.IFS(
AG2365 &lt;&gt; "", "Jan-Dez/26",
AH2365 &lt;&gt; "", "Fev-Dez/26",
AI2365 &lt;&gt; "", "Mar-Dez/26", AJ2365 &lt;&gt; "", "Abr-Dez/26",
TRUE, "A partir de Junho"
)</f>
        <v>Jan-Dez/26</v>
      </c>
      <c r="G2365" s="7" t="s">
        <v>37</v>
      </c>
      <c r="H2365" s="7" t="s">
        <v>54</v>
      </c>
      <c r="I2365" s="21" t="s">
        <v>233</v>
      </c>
      <c r="J2365" s="21" t="str" cm="1">
        <f t="array" aca="1" ref="J2365" ca="1">_xlfn.LET(
  _xlpm.actual_value_month, INDEX(T2365:AE2365, MATCH(DATE(YEAR(TODAY()), MONTH(TODAY()), 1), $T$1:$AE$1, 0)),
  IF(_xlpm.actual_value_month &lt;&gt; "",_xlpm.actual_value_month &amp; " equipes mensais", "")
)</f>
        <v>161 equipes mensais</v>
      </c>
      <c r="K2365" s="8" t="str" cm="1">
        <f t="array" ref="K2365">_xlfn.LET(
    _xlpm.sum_month, SUM(T2365:AE2365),
    IF(_xlpm.sum_month = 0, "", _xlpm.sum_month &amp; " equipes alcançadas no ano")
)</f>
        <v>3776 equipes alcançadas no ano</v>
      </c>
      <c r="L2365" s="4" t="s">
        <v>234</v>
      </c>
      <c r="M2365" s="19" t="s">
        <v>235</v>
      </c>
      <c r="N2365" s="5" t="s">
        <v>42</v>
      </c>
      <c r="O2365" s="5" t="s">
        <v>43</v>
      </c>
      <c r="P2365" s="10" t="s">
        <v>44</v>
      </c>
      <c r="Q2365" s="10" t="s">
        <v>44</v>
      </c>
      <c r="R2365" s="11" t="s">
        <v>147</v>
      </c>
      <c r="S2365" s="11" t="s">
        <v>162</v>
      </c>
      <c r="T2365" s="22">
        <v>801</v>
      </c>
      <c r="U2365" s="22">
        <v>602</v>
      </c>
      <c r="V2365" s="22">
        <v>569</v>
      </c>
      <c r="W2365" s="22">
        <f>114+102+102+108+60+30</f>
        <v>516</v>
      </c>
      <c r="X2365" s="22">
        <v>161</v>
      </c>
      <c r="Y2365" s="22">
        <v>161</v>
      </c>
      <c r="Z2365" s="22">
        <v>161</v>
      </c>
      <c r="AA2365" s="22">
        <v>161</v>
      </c>
      <c r="AB2365" s="22">
        <v>161</v>
      </c>
      <c r="AC2365" s="22">
        <v>161</v>
      </c>
      <c r="AD2365" s="22">
        <v>161</v>
      </c>
      <c r="AE2365" s="22">
        <v>161</v>
      </c>
      <c r="AG2365" s="71">
        <v>801</v>
      </c>
      <c r="AH2365" s="71">
        <v>602</v>
      </c>
      <c r="AI2365" s="71">
        <v>569</v>
      </c>
      <c r="AJ2365" s="71">
        <v>560</v>
      </c>
      <c r="AK2365" s="71"/>
      <c r="AL2365" s="71"/>
      <c r="AM2365" s="71"/>
      <c r="AN2365" s="71"/>
      <c r="AO2365" s="71"/>
      <c r="AP2365" s="71"/>
      <c r="AQ2365" s="71"/>
      <c r="AR2365" s="71"/>
      <c r="AS2365" s="94">
        <f ca="1">IF(MONTH(TODAY())=3,SUM(T2365:U2365),IF(MONTH(TODAY())=4,SUM(T2365:V2365),IF(MONTH(TODAY())=5,SUM(T2365:W2365),IF(MONTH(TODAY())=6,SUM(T2365:X2365),IF(MONTH(TODAY())=7,SUM(T2365:Y2365),IF(MONTH(TODAY())=8,SUM(T2365:Z2365),IF(MONTH(TODAY())=9,SUM(T2365:AA2365),IF(MONTH(TODAY())=10,SUM(T2365:AB2365),IF(MONTH(TODAY())=11,SUM(T2365:AC2365),IF(MONTH(TODAY())=12,SUM(T2365:AD2365),IF(MONTH(TODAY())=1,SUM(T2365:AE2365),T2365)))))))))))</f>
        <v>2649</v>
      </c>
      <c r="AT2365" s="95">
        <f>SUM(IF(AW2365&lt;1.15,AG2365,1.15*T2365),IF(AX2365&lt;1.15,AH2365,1.15*U2365),IF(AY2365&lt;1.15,AI2365,1.15*V2365),IF(AZ2365&lt;1.15,AJ2365,1.15*W2365),IF(BA2365&lt;1.15,AK2365,1.15*X2365),IF(BB2365&lt;1.15,AL2365,1.15*Y2365),IF(BC2365&lt;1.15,AM2365,1.15*Z2365),IF(BD2365&lt;1.15,AN2365,1.15*AA2365),IF(BE2365&lt;1.15,AO2365,1.15*AB2365),IF(BF2365&lt;1.15,AP2365,1.15*AC2365),IF(BG2365&lt;1.15,AQ2365,1.15*AD2365),IF(BH2365&lt;1.15,AR2365,1.15*AE2365))</f>
        <v>2532</v>
      </c>
      <c r="AU2365" s="97">
        <f>SUM(AG2365:AR2365)</f>
        <v>2532</v>
      </c>
      <c r="AW2365" s="51">
        <f>IFERROR(IF(AG2365="",0,AG2365/T2365),0)</f>
        <v>1</v>
      </c>
      <c r="AX2365" s="51">
        <f>IFERROR(IF(AH2365="",0,AH2365/U2365),0)</f>
        <v>1</v>
      </c>
      <c r="AY2365" s="51">
        <f>IFERROR(IF(AI2365="",0,AI2365/V2365),0)</f>
        <v>1</v>
      </c>
      <c r="AZ2365" s="51">
        <f>IFERROR(IF(AJ2365="",0,AJ2365/W2365),0)</f>
        <v>1.0852713178294573</v>
      </c>
      <c r="BA2365" s="51"/>
      <c r="BB2365" s="51"/>
      <c r="BC2365" s="51"/>
      <c r="BD2365" s="51"/>
      <c r="BE2365" s="51"/>
      <c r="BF2365" s="51"/>
      <c r="BG2365" s="51"/>
      <c r="BH2365" s="51"/>
      <c r="BI2365" s="65" cm="1">
        <f t="array" ref="BI2365">IFERROR(INDEX(AW2365:BH2365,1,MATCH(2,1/(AW2365:BH2365&lt;&gt;""))),"")</f>
        <v>1.0852713178294573</v>
      </c>
      <c r="BJ2365" s="68" cm="1">
        <f t="array" ref="BJ2365">IF(BM2365 = "", "",IFERROR(INDEX(AW2365:BH2365,1,MATCH(2,1/(AW2365:BH2365&lt;&gt;""),1)-1),""))</f>
        <v>1</v>
      </c>
      <c r="BK2365" s="58">
        <f>IF((IF(AW2365&gt;=115%,115%,AW2365) + IF(AX2365&gt;=115%,115%,AX2365) + IF(AY2365&gt;=115%,115%,AY2365) + (IF(AZ2365&gt;=115%,115%,AZ2365) + IF(BA2365&gt;=115%,115%,BA2365) + IF(BB2365&gt;=115%,115%,BB2365) + IF(BC2365&gt;=115%,115%,BC2365) + IF(BD2365&gt;=115%,115%,BD2365) + IF(BE2365&gt;=115%,115%,BE2365) + IF(BF2365&gt;=115%,115%,BF2365) + IF(BG2365&gt;=115%,115%,BG2365) + IF(BH2365&gt;=115%,115%,BH2365)))/_xlfn.XLOOKUP(F2365,Apuração!A:A,Apuração!B:B)&gt;=1.15,1.15,((IF(AZ2365&gt;=115%,115%,AZ2365) + IF(AX2365&gt;=115%,115%,AX2365) + IF(AY2365&gt;=115%,115%,AY2365) + (IF(AW2365&gt;=115%,115%,AW2365) + IF(BA2365&gt;=115%,115%,BA2365) + IF(BB2365&gt;=115%,115%,BB2365) + IF(BC2365&gt;=115%,115%,BC2365) + IF(BD2365&gt;=115%,115%,BD2365) + IF(BE2365&gt;=115%,115%,BE2365) + IF(BF2365&gt;=115%,115%,BF2365) + IF(BG2365&gt;=115%,115%,BG2365) + IF(BH2365&gt;=115%,115%,BH2365)))/_xlfn.XLOOKUP(F2365,Apuração!A:A,Apuração!B:B)))</f>
        <v>0.34043927648578814</v>
      </c>
      <c r="BL2365" s="58" cm="1">
        <f t="array" aca="1" ref="BL2365" ca="1">IF(SUM(IFERROR(IF(INDEX(AW2365:INDEX(AW2365:BH2365, MATCH(2, 1/(AW2365:BH2365&lt;&gt;""), 1)-1), ROW(INDIRECT("1:" &amp; MATCH(2, 1/(AW2365:BH2365&lt;&gt;""), 1)-1))) &gt;= 115%, 115%, INDEX(AW2365:INDEX(AW2365:BH2365, MATCH(2, 1/(AW2365:BH2365&lt;&gt;""), 1)-1), ROW(INDIRECT("1:" &amp; MATCH(2, 1/(AW2365:BH2365&lt;&gt;""), 1)-1)))), 0))/_xlfn.XLOOKUP(F2365,Apuração!A:A,Apuração!B:B)&gt;=1.15,1.15,SUM(IFERROR(IF(INDEX(AW2365:INDEX(AW2365:BH2365, MATCH(2, 1/(AW2365:BH2365&lt;&gt;""), 1)-1), ROW(INDIRECT("1:" &amp; MATCH(2, 1/(AW2365:BH2365&lt;&gt;""), 1)-1))) &gt;= 115%, 115%, INDEX(AW2365:INDEX(AW2365:BH2365, MATCH(2, 1/(AW2365:BH2365&lt;&gt;""), 1)-1), ROW(INDIRECT("1:" &amp; MATCH(2, 1/(AW2365:BH2365&lt;&gt;""), 1)-1)))), 0))/_xlfn.XLOOKUP(F2365,Apuração!A:A,Apuração!B:B))</f>
        <v>0.25</v>
      </c>
      <c r="BM2365" s="55" cm="1">
        <f t="array" ref="BM2365">IFERROR(
   INDEX($AW$1:$BH$1,
      _xlfn.AGGREGATE(14, 6, COLUMN($AW$1:$BH$1)/(AW2365:BH2365&lt;&gt;""), 2) - COLUMN($AW$1) + 1
   ),
"")</f>
        <v>46082</v>
      </c>
      <c r="BN2365" s="55" cm="1">
        <f t="array" ref="BN2365">IFERROR(INDEX($AW$1:$BH$1,1,MATCH(2,1/(AW2365:BH2365&lt;&gt;""))),"")</f>
        <v>46113</v>
      </c>
      <c r="BO2365" s="53">
        <f ca="1">IFERROR(_xlfn.XLOOKUP(F2365,Apuração!A:A,Apuração!C:C)/_xlfn.XLOOKUP(F2365,Apuração!A:A,Apuração!B:B),0)</f>
        <v>0.41666666666666669</v>
      </c>
      <c r="BP2365" s="53">
        <f ca="1">IFERROR(_xlfn.XLOOKUP(F2365,Apuração!A:A,Apuração!D:D)/_xlfn.XLOOKUP(F2365,Apuração!A:A,Apuração!B:B),0)</f>
        <v>0.33333333333333331</v>
      </c>
      <c r="BQ2365" s="53">
        <f ca="1">IF(BK2365&gt;=BO2365,0,_xlfn.XLOOKUP(F2365,Apuração!A:A,Apuração!B:B)*(BO2365 + (1/_xlfn.XLOOKUP(F2365,Apuração!A:A,Apuração!B:B)) - BK2365))</f>
        <v>1.9147286821705423</v>
      </c>
      <c r="BR2365" s="85">
        <f ca="1">IF(BQ2365=0,0,BQ2365*Z2365)</f>
        <v>308.2713178294573</v>
      </c>
      <c r="BS2365" s="53">
        <f ca="1">IFERROR((_xlfn.XLOOKUP(F2365,Apuração!A:A,Apuração!C:C)+1)/_xlfn.XLOOKUP(F2365,Apuração!A:A,Apuração!B:B),0)</f>
        <v>0.5</v>
      </c>
    </row>
    <row r="2366" spans="1:71" ht="25.95" hidden="1" customHeight="1" x14ac:dyDescent="0.3">
      <c r="A2366" s="20" t="s">
        <v>87</v>
      </c>
      <c r="B2366" s="4" t="s">
        <v>232</v>
      </c>
      <c r="C2366" s="5" t="s">
        <v>209</v>
      </c>
      <c r="D2366" s="5" t="s">
        <v>210</v>
      </c>
      <c r="E2366" s="4" t="str" cm="1">
        <f t="array" ref="E2366">_xlfn.IFS(
F2366 = "A partir de Abril", "Aguardando Execução na Distribuidora",
A2366 = "CAPACITAÇÃO", "Em execução no Corporativo",
TRUE, "Em Execução na Distribuidora"
)</f>
        <v>Em Execução na Distribuidora</v>
      </c>
      <c r="F2366" s="4" t="str" cm="1">
        <f t="array" ref="F2366">_xlfn.IFS(
AG2366 &lt;&gt; "", "Jan-Dez/26",
AH2366 &lt;&gt; "", "Fev-Dez/26",
AI2366 &lt;&gt; "", "Mar-Dez/26", AJ2366 &lt;&gt; "", "Abr-Dez/26",
TRUE, "A partir de Junho"
)</f>
        <v>Fev-Dez/26</v>
      </c>
      <c r="G2366" s="7" t="s">
        <v>37</v>
      </c>
      <c r="H2366" s="7" t="s">
        <v>54</v>
      </c>
      <c r="I2366" s="21" t="s">
        <v>233</v>
      </c>
      <c r="J2366" s="21" t="str" cm="1">
        <f t="array" aca="1" ref="J2366" ca="1">_xlfn.LET(
  _xlpm.actual_value_month, INDEX(T2366:AE2366, MATCH(DATE(YEAR(TODAY()), MONTH(TODAY()), 1), $T$1:$AE$1, 0)),
  IF(_xlpm.actual_value_month &lt;&gt; "",_xlpm.actual_value_month &amp; " equipes mensais", "")
)</f>
        <v>31 equipes mensais</v>
      </c>
      <c r="K2366" s="8" t="str" cm="1">
        <f t="array" ref="K2366">_xlfn.LET(
    _xlpm.sum_month, SUM(T2366:AE2366),
    IF(_xlpm.sum_month = 0, "", _xlpm.sum_month &amp; " equipes alcançadas no ano")
)</f>
        <v>688 equipes alcançadas no ano</v>
      </c>
      <c r="L2366" s="4" t="s">
        <v>234</v>
      </c>
      <c r="M2366" s="19" t="s">
        <v>235</v>
      </c>
      <c r="N2366" s="5" t="s">
        <v>42</v>
      </c>
      <c r="O2366" s="5" t="s">
        <v>43</v>
      </c>
      <c r="P2366" s="10" t="s">
        <v>44</v>
      </c>
      <c r="Q2366" s="10" t="s">
        <v>44</v>
      </c>
      <c r="R2366" s="11" t="s">
        <v>147</v>
      </c>
      <c r="S2366" s="11" t="s">
        <v>162</v>
      </c>
      <c r="T2366" s="143"/>
      <c r="U2366" s="143">
        <v>150</v>
      </c>
      <c r="V2366" s="143">
        <v>146</v>
      </c>
      <c r="W2366" s="143">
        <v>144</v>
      </c>
      <c r="X2366" s="143">
        <v>31</v>
      </c>
      <c r="Y2366" s="143">
        <v>31</v>
      </c>
      <c r="Z2366" s="143">
        <v>31</v>
      </c>
      <c r="AA2366" s="143">
        <v>31</v>
      </c>
      <c r="AB2366" s="143">
        <v>31</v>
      </c>
      <c r="AC2366" s="143">
        <v>31</v>
      </c>
      <c r="AD2366" s="143">
        <v>31</v>
      </c>
      <c r="AE2366" s="143">
        <v>31</v>
      </c>
      <c r="AG2366" s="82"/>
      <c r="AH2366" s="82">
        <v>150</v>
      </c>
      <c r="AI2366" s="82">
        <v>146</v>
      </c>
      <c r="AJ2366" s="82">
        <v>151</v>
      </c>
      <c r="AK2366" s="71"/>
      <c r="AL2366" s="71"/>
      <c r="AM2366" s="71"/>
      <c r="AN2366" s="71"/>
      <c r="AO2366" s="71"/>
      <c r="AP2366" s="71"/>
      <c r="AQ2366" s="71"/>
      <c r="AR2366" s="71"/>
      <c r="AS2366" s="94">
        <f t="shared" ref="AS2366:AS2370" ca="1" si="2853">IF(MONTH(TODAY())=3,SUM(T2366:U2366),IF(MONTH(TODAY())=4,SUM(T2366:V2366),IF(MONTH(TODAY())=5,SUM(T2366:W2366),IF(MONTH(TODAY())=6,SUM(T2366:X2366),IF(MONTH(TODAY())=7,SUM(T2366:Y2366),IF(MONTH(TODAY())=8,SUM(T2366:Z2366),IF(MONTH(TODAY())=9,SUM(T2366:AA2366),IF(MONTH(TODAY())=10,SUM(T2366:AB2366),IF(MONTH(TODAY())=11,SUM(T2366:AC2366),IF(MONTH(TODAY())=12,SUM(T2366:AD2366),IF(MONTH(TODAY())=1,SUM(T2366:AE2366),T2366)))))))))))</f>
        <v>471</v>
      </c>
      <c r="AT2366" s="95">
        <f t="shared" ref="AT2366:AT2370" si="2854">SUM(IF(AW2366&lt;1.15,AG2366,1.15*T2366),IF(AX2366&lt;1.15,AH2366,1.15*U2366),IF(AY2366&lt;1.15,AI2366,1.15*V2366),IF(AZ2366&lt;1.15,AJ2366,1.15*W2366),IF(BA2366&lt;1.15,AK2366,1.15*X2366),IF(BB2366&lt;1.15,AL2366,1.15*Y2366),IF(BC2366&lt;1.15,AM2366,1.15*Z2366),IF(BD2366&lt;1.15,AN2366,1.15*AA2366),IF(BE2366&lt;1.15,AO2366,1.15*AB2366),IF(BF2366&lt;1.15,AP2366,1.15*AC2366),IF(BG2366&lt;1.15,AQ2366,1.15*AD2366),IF(BH2366&lt;1.15,AR2366,1.15*AE2366))</f>
        <v>447</v>
      </c>
      <c r="AU2366" s="97">
        <f t="shared" ref="AU2366:AU2370" si="2855">SUM(AG2366:AR2366)</f>
        <v>447</v>
      </c>
      <c r="AW2366" s="51">
        <f t="shared" ref="AW2366:AW2370" si="2856">IFERROR(IF(AG2366="",0,AG2366/T2366),0)</f>
        <v>0</v>
      </c>
      <c r="AX2366" s="51">
        <f t="shared" ref="AX2366:AX2370" si="2857">IFERROR(IF(AH2366="",0,AH2366/U2366),0)</f>
        <v>1</v>
      </c>
      <c r="AY2366" s="51">
        <f t="shared" ref="AY2366:AY2370" si="2858">IFERROR(IF(AI2366="",0,AI2366/V2366),0)</f>
        <v>1</v>
      </c>
      <c r="AZ2366" s="51">
        <f t="shared" ref="AZ2366:AZ2370" si="2859">IFERROR(IF(AJ2366="",0,AJ2366/W2366),0)</f>
        <v>1.0486111111111112</v>
      </c>
      <c r="BA2366" s="51"/>
      <c r="BB2366" s="51"/>
      <c r="BC2366" s="51"/>
      <c r="BD2366" s="51"/>
      <c r="BE2366" s="51"/>
      <c r="BF2366" s="51"/>
      <c r="BG2366" s="51"/>
      <c r="BH2366" s="51"/>
      <c r="BI2366" s="65" cm="1">
        <f t="array" ref="BI2366">IFERROR(INDEX(AW2366:BH2366,1,MATCH(2,1/(AW2366:BH2366&lt;&gt;""))),"")</f>
        <v>1.0486111111111112</v>
      </c>
      <c r="BJ2366" s="68" cm="1">
        <f t="array" ref="BJ2366">IF(BM2366 = "", "",IFERROR(INDEX(AW2366:BH2366,1,MATCH(2,1/(AW2366:BH2366&lt;&gt;""),1)-1),""))</f>
        <v>1</v>
      </c>
      <c r="BK2366" s="58">
        <f>IF((IF(AW2366&gt;=115%,115%,AW2366) + IF(AX2366&gt;=115%,115%,AX2366) + IF(AY2366&gt;=115%,115%,AY2366) + (IF(AZ2366&gt;=115%,115%,AZ2366) + IF(BA2366&gt;=115%,115%,BA2366) + IF(BB2366&gt;=115%,115%,BB2366) + IF(BC2366&gt;=115%,115%,BC2366) + IF(BD2366&gt;=115%,115%,BD2366) + IF(BE2366&gt;=115%,115%,BE2366) + IF(BF2366&gt;=115%,115%,BF2366) + IF(BG2366&gt;=115%,115%,BG2366) + IF(BH2366&gt;=115%,115%,BH2366)))/_xlfn.XLOOKUP(F2366,Apuração!A:A,Apuração!B:B)&gt;=1.15,1.15,((IF(AZ2366&gt;=115%,115%,AZ2366) + IF(AX2366&gt;=115%,115%,AX2366) + IF(AY2366&gt;=115%,115%,AY2366) + (IF(AW2366&gt;=115%,115%,AW2366) + IF(BA2366&gt;=115%,115%,BA2366) + IF(BB2366&gt;=115%,115%,BB2366) + IF(BC2366&gt;=115%,115%,BC2366) + IF(BD2366&gt;=115%,115%,BD2366) + IF(BE2366&gt;=115%,115%,BE2366) + IF(BF2366&gt;=115%,115%,BF2366) + IF(BG2366&gt;=115%,115%,BG2366) + IF(BH2366&gt;=115%,115%,BH2366)))/_xlfn.XLOOKUP(F2366,Apuração!A:A,Apuração!B:B)))</f>
        <v>0.27714646464646464</v>
      </c>
      <c r="BL2366" s="58" cm="1">
        <f t="array" aca="1" ref="BL2366" ca="1">IF(SUM(IFERROR(IF(INDEX(AW2366:INDEX(AW2366:BH2366, MATCH(2, 1/(AW2366:BH2366&lt;&gt;""), 1)-1), ROW(INDIRECT("1:" &amp; MATCH(2, 1/(AW2366:BH2366&lt;&gt;""), 1)-1))) &gt;= 115%, 115%, INDEX(AW2366:INDEX(AW2366:BH2366, MATCH(2, 1/(AW2366:BH2366&lt;&gt;""), 1)-1), ROW(INDIRECT("1:" &amp; MATCH(2, 1/(AW2366:BH2366&lt;&gt;""), 1)-1)))), 0))/_xlfn.XLOOKUP(F2366,Apuração!A:A,Apuração!B:B)&gt;=1.15,1.15,SUM(IFERROR(IF(INDEX(AW2366:INDEX(AW2366:BH2366, MATCH(2, 1/(AW2366:BH2366&lt;&gt;""), 1)-1), ROW(INDIRECT("1:" &amp; MATCH(2, 1/(AW2366:BH2366&lt;&gt;""), 1)-1))) &gt;= 115%, 115%, INDEX(AW2366:INDEX(AW2366:BH2366, MATCH(2, 1/(AW2366:BH2366&lt;&gt;""), 1)-1), ROW(INDIRECT("1:" &amp; MATCH(2, 1/(AW2366:BH2366&lt;&gt;""), 1)-1)))), 0))/_xlfn.XLOOKUP(F2366,Apuração!A:A,Apuração!B:B))</f>
        <v>0.18181818181818182</v>
      </c>
      <c r="BM2366" s="55" cm="1">
        <f t="array" ref="BM2366">IFERROR(
   INDEX($AW$1:$BH$1,
      _xlfn.AGGREGATE(14, 6, COLUMN($AW$1:$BH$1)/(AW2366:BH2366&lt;&gt;""), 2) - COLUMN($AW$1) + 1
   ),
"")</f>
        <v>46082</v>
      </c>
      <c r="BN2366" s="55" cm="1">
        <f t="array" ref="BN2366">IFERROR(INDEX($AW$1:$BH$1,1,MATCH(2,1/(AW2366:BH2366&lt;&gt;""))),"")</f>
        <v>46113</v>
      </c>
      <c r="BO2366" s="53">
        <f ca="1">IFERROR(_xlfn.XLOOKUP(F2366,Apuração!A:A,Apuração!C:C)/_xlfn.XLOOKUP(F2366,Apuração!A:A,Apuração!B:B),0)</f>
        <v>0.36363636363636365</v>
      </c>
      <c r="BP2366" s="53">
        <f ca="1">IFERROR(_xlfn.XLOOKUP(F2366,Apuração!A:A,Apuração!D:D)/_xlfn.XLOOKUP(F2366,Apuração!A:A,Apuração!B:B),0)</f>
        <v>0.27272727272727271</v>
      </c>
      <c r="BQ2366" s="53">
        <f ca="1">IF(BK2366&gt;=BO2366,0,_xlfn.XLOOKUP(F2366,Apuração!A:A,Apuração!B:B)*(BO2366 + (1/_xlfn.XLOOKUP(F2366,Apuração!A:A,Apuração!B:B)) - BK2366))</f>
        <v>1.9513888888888893</v>
      </c>
      <c r="BR2366" s="85">
        <f t="shared" ref="BR2366:BR2370" ca="1" si="2860">IF(BQ2366=0,0,BQ2366*Z2366)</f>
        <v>60.493055555555571</v>
      </c>
      <c r="BS2366" s="53">
        <f ca="1">IFERROR((_xlfn.XLOOKUP(F2366,Apuração!A:A,Apuração!C:C)+1)/_xlfn.XLOOKUP(F2366,Apuração!A:A,Apuração!B:B),0)</f>
        <v>0.45454545454545453</v>
      </c>
    </row>
    <row r="2367" spans="1:71" ht="25.95" hidden="1" customHeight="1" x14ac:dyDescent="0.3">
      <c r="A2367" s="20" t="s">
        <v>87</v>
      </c>
      <c r="B2367" s="4" t="s">
        <v>232</v>
      </c>
      <c r="C2367" s="5" t="s">
        <v>209</v>
      </c>
      <c r="D2367" s="5" t="s">
        <v>47</v>
      </c>
      <c r="E2367" s="4" t="str" cm="1">
        <f t="array" ref="E2367">_xlfn.IFS(
F2367 = "A partir de Abril", "Aguardando Execução na Distribuidora",
A2367 = "CAPACITAÇÃO", "Em execução no Corporativo",
TRUE, "Em Execução na Distribuidora"
)</f>
        <v>Em Execução na Distribuidora</v>
      </c>
      <c r="F2367" s="4" t="str" cm="1">
        <f t="array" ref="F2367">_xlfn.IFS(
AG2367 &lt;&gt; "", "Jan-Dez/26",
AH2367 &lt;&gt; "", "Fev-Dez/26",
AI2367 &lt;&gt; "", "Mar-Dez/26", AJ2367 &lt;&gt; "", "Abr-Dez/26",
TRUE, "A partir de Junho"
)</f>
        <v>Fev-Dez/26</v>
      </c>
      <c r="G2367" s="7" t="s">
        <v>37</v>
      </c>
      <c r="H2367" s="7" t="s">
        <v>54</v>
      </c>
      <c r="I2367" s="21" t="s">
        <v>233</v>
      </c>
      <c r="J2367" s="21" t="str" cm="1">
        <f t="array" aca="1" ref="J2367" ca="1">_xlfn.LET(
  _xlpm.actual_value_month, INDEX(T2367:AE2367, MATCH(DATE(YEAR(TODAY()), MONTH(TODAY()), 1), $T$1:$AE$1, 0)),
  IF(_xlpm.actual_value_month &lt;&gt; "",_xlpm.actual_value_month &amp; " equipes mensais", "")
)</f>
        <v>25 equipes mensais</v>
      </c>
      <c r="K2367" s="8" t="str" cm="1">
        <f t="array" ref="K2367">_xlfn.LET(
    _xlpm.sum_month, SUM(T2367:AE2367),
    IF(_xlpm.sum_month = 0, "", _xlpm.sum_month &amp; " equipes alcançadas no ano")
)</f>
        <v>530 equipes alcançadas no ano</v>
      </c>
      <c r="L2367" s="4" t="s">
        <v>234</v>
      </c>
      <c r="M2367" s="19" t="s">
        <v>235</v>
      </c>
      <c r="N2367" s="5" t="s">
        <v>42</v>
      </c>
      <c r="O2367" s="5" t="s">
        <v>43</v>
      </c>
      <c r="P2367" s="10" t="s">
        <v>44</v>
      </c>
      <c r="Q2367" s="10" t="s">
        <v>44</v>
      </c>
      <c r="R2367" s="11" t="s">
        <v>147</v>
      </c>
      <c r="S2367" s="11" t="s">
        <v>162</v>
      </c>
      <c r="T2367" s="143"/>
      <c r="U2367" s="143">
        <v>127</v>
      </c>
      <c r="V2367" s="143">
        <v>101</v>
      </c>
      <c r="W2367" s="143">
        <v>102</v>
      </c>
      <c r="X2367" s="143">
        <v>25</v>
      </c>
      <c r="Y2367" s="143">
        <v>25</v>
      </c>
      <c r="Z2367" s="143">
        <v>25</v>
      </c>
      <c r="AA2367" s="143">
        <v>25</v>
      </c>
      <c r="AB2367" s="143">
        <v>25</v>
      </c>
      <c r="AC2367" s="143">
        <v>25</v>
      </c>
      <c r="AD2367" s="143">
        <v>25</v>
      </c>
      <c r="AE2367" s="143">
        <v>25</v>
      </c>
      <c r="AG2367" s="82"/>
      <c r="AH2367" s="82">
        <v>127</v>
      </c>
      <c r="AI2367" s="82">
        <v>101</v>
      </c>
      <c r="AJ2367" s="82">
        <v>113</v>
      </c>
      <c r="AK2367" s="71"/>
      <c r="AL2367" s="71"/>
      <c r="AM2367" s="71"/>
      <c r="AN2367" s="71"/>
      <c r="AO2367" s="71"/>
      <c r="AP2367" s="71"/>
      <c r="AQ2367" s="71"/>
      <c r="AR2367" s="71"/>
      <c r="AS2367" s="94">
        <f t="shared" ca="1" si="2853"/>
        <v>355</v>
      </c>
      <c r="AT2367" s="95">
        <f t="shared" si="2854"/>
        <v>341</v>
      </c>
      <c r="AU2367" s="97">
        <f t="shared" si="2855"/>
        <v>341</v>
      </c>
      <c r="AW2367" s="51">
        <f t="shared" si="2856"/>
        <v>0</v>
      </c>
      <c r="AX2367" s="51">
        <f t="shared" si="2857"/>
        <v>1</v>
      </c>
      <c r="AY2367" s="51">
        <f t="shared" si="2858"/>
        <v>1</v>
      </c>
      <c r="AZ2367" s="51">
        <f t="shared" si="2859"/>
        <v>1.107843137254902</v>
      </c>
      <c r="BA2367" s="51"/>
      <c r="BB2367" s="51"/>
      <c r="BC2367" s="51"/>
      <c r="BD2367" s="51"/>
      <c r="BE2367" s="51"/>
      <c r="BF2367" s="51"/>
      <c r="BG2367" s="51"/>
      <c r="BH2367" s="51"/>
      <c r="BI2367" s="65" cm="1">
        <f t="array" ref="BI2367">IFERROR(INDEX(AW2367:BH2367,1,MATCH(2,1/(AW2367:BH2367&lt;&gt;""))),"")</f>
        <v>1.107843137254902</v>
      </c>
      <c r="BJ2367" s="68" cm="1">
        <f t="array" ref="BJ2367">IF(BM2367 = "", "",IFERROR(INDEX(AW2367:BH2367,1,MATCH(2,1/(AW2367:BH2367&lt;&gt;""),1)-1),""))</f>
        <v>1</v>
      </c>
      <c r="BK2367" s="58">
        <f>IF((IF(AW2367&gt;=115%,115%,AW2367) + IF(AX2367&gt;=115%,115%,AX2367) + IF(AY2367&gt;=115%,115%,AY2367) + (IF(AZ2367&gt;=115%,115%,AZ2367) + IF(BA2367&gt;=115%,115%,BA2367) + IF(BB2367&gt;=115%,115%,BB2367) + IF(BC2367&gt;=115%,115%,BC2367) + IF(BD2367&gt;=115%,115%,BD2367) + IF(BE2367&gt;=115%,115%,BE2367) + IF(BF2367&gt;=115%,115%,BF2367) + IF(BG2367&gt;=115%,115%,BG2367) + IF(BH2367&gt;=115%,115%,BH2367)))/_xlfn.XLOOKUP(F2367,Apuração!A:A,Apuração!B:B)&gt;=1.15,1.15,((IF(AZ2367&gt;=115%,115%,AZ2367) + IF(AX2367&gt;=115%,115%,AX2367) + IF(AY2367&gt;=115%,115%,AY2367) + (IF(AW2367&gt;=115%,115%,AW2367) + IF(BA2367&gt;=115%,115%,BA2367) + IF(BB2367&gt;=115%,115%,BB2367) + IF(BC2367&gt;=115%,115%,BC2367) + IF(BD2367&gt;=115%,115%,BD2367) + IF(BE2367&gt;=115%,115%,BE2367) + IF(BF2367&gt;=115%,115%,BF2367) + IF(BG2367&gt;=115%,115%,BG2367) + IF(BH2367&gt;=115%,115%,BH2367)))/_xlfn.XLOOKUP(F2367,Apuração!A:A,Apuração!B:B)))</f>
        <v>0.28253119429590018</v>
      </c>
      <c r="BL2367" s="58" cm="1">
        <f t="array" aca="1" ref="BL2367" ca="1">IF(SUM(IFERROR(IF(INDEX(AW2367:INDEX(AW2367:BH2367, MATCH(2, 1/(AW2367:BH2367&lt;&gt;""), 1)-1), ROW(INDIRECT("1:" &amp; MATCH(2, 1/(AW2367:BH2367&lt;&gt;""), 1)-1))) &gt;= 115%, 115%, INDEX(AW2367:INDEX(AW2367:BH2367, MATCH(2, 1/(AW2367:BH2367&lt;&gt;""), 1)-1), ROW(INDIRECT("1:" &amp; MATCH(2, 1/(AW2367:BH2367&lt;&gt;""), 1)-1)))), 0))/_xlfn.XLOOKUP(F2367,Apuração!A:A,Apuração!B:B)&gt;=1.15,1.15,SUM(IFERROR(IF(INDEX(AW2367:INDEX(AW2367:BH2367, MATCH(2, 1/(AW2367:BH2367&lt;&gt;""), 1)-1), ROW(INDIRECT("1:" &amp; MATCH(2, 1/(AW2367:BH2367&lt;&gt;""), 1)-1))) &gt;= 115%, 115%, INDEX(AW2367:INDEX(AW2367:BH2367, MATCH(2, 1/(AW2367:BH2367&lt;&gt;""), 1)-1), ROW(INDIRECT("1:" &amp; MATCH(2, 1/(AW2367:BH2367&lt;&gt;""), 1)-1)))), 0))/_xlfn.XLOOKUP(F2367,Apuração!A:A,Apuração!B:B))</f>
        <v>0.18181818181818182</v>
      </c>
      <c r="BM2367" s="55" cm="1">
        <f t="array" ref="BM2367">IFERROR(
   INDEX($AW$1:$BH$1,
      _xlfn.AGGREGATE(14, 6, COLUMN($AW$1:$BH$1)/(AW2367:BH2367&lt;&gt;""), 2) - COLUMN($AW$1) + 1
   ),
"")</f>
        <v>46082</v>
      </c>
      <c r="BN2367" s="55" cm="1">
        <f t="array" ref="BN2367">IFERROR(INDEX($AW$1:$BH$1,1,MATCH(2,1/(AW2367:BH2367&lt;&gt;""))),"")</f>
        <v>46113</v>
      </c>
      <c r="BO2367" s="53">
        <f ca="1">IFERROR(_xlfn.XLOOKUP(F2367,Apuração!A:A,Apuração!C:C)/_xlfn.XLOOKUP(F2367,Apuração!A:A,Apuração!B:B),0)</f>
        <v>0.36363636363636365</v>
      </c>
      <c r="BP2367" s="53">
        <f ca="1">IFERROR(_xlfn.XLOOKUP(F2367,Apuração!A:A,Apuração!D:D)/_xlfn.XLOOKUP(F2367,Apuração!A:A,Apuração!B:B),0)</f>
        <v>0.27272727272727271</v>
      </c>
      <c r="BQ2367" s="53">
        <f ca="1">IF(BK2367&gt;=BO2367,0,_xlfn.XLOOKUP(F2367,Apuração!A:A,Apuração!B:B)*(BO2367 + (1/_xlfn.XLOOKUP(F2367,Apuração!A:A,Apuração!B:B)) - BK2367))</f>
        <v>1.8921568627450984</v>
      </c>
      <c r="BR2367" s="85">
        <f t="shared" ca="1" si="2860"/>
        <v>47.303921568627459</v>
      </c>
      <c r="BS2367" s="53">
        <f ca="1">IFERROR((_xlfn.XLOOKUP(F2367,Apuração!A:A,Apuração!C:C)+1)/_xlfn.XLOOKUP(F2367,Apuração!A:A,Apuração!B:B),0)</f>
        <v>0.45454545454545453</v>
      </c>
    </row>
    <row r="2368" spans="1:71" ht="25.95" hidden="1" customHeight="1" x14ac:dyDescent="0.3">
      <c r="A2368" s="20" t="s">
        <v>87</v>
      </c>
      <c r="B2368" s="4" t="s">
        <v>232</v>
      </c>
      <c r="C2368" s="5" t="s">
        <v>209</v>
      </c>
      <c r="D2368" s="5" t="s">
        <v>211</v>
      </c>
      <c r="E2368" s="4" t="str" cm="1">
        <f t="array" ref="E2368">_xlfn.IFS(
F2368 = "A partir de Abril", "Aguardando Execução na Distribuidora",
A2368 = "CAPACITAÇÃO", "Em execução no Corporativo",
TRUE, "Em Execução na Distribuidora"
)</f>
        <v>Em Execução na Distribuidora</v>
      </c>
      <c r="F2368" s="4" t="str" cm="1">
        <f t="array" ref="F2368">_xlfn.IFS(
AG2368 &lt;&gt; "", "Jan-Dez/26",
AH2368 &lt;&gt; "", "Fev-Dez/26",
AI2368 &lt;&gt; "", "Mar-Dez/26", AJ2368 &lt;&gt; "", "Abr-Dez/26",
TRUE, "A partir de Junho"
)</f>
        <v>Fev-Dez/26</v>
      </c>
      <c r="G2368" s="7" t="s">
        <v>37</v>
      </c>
      <c r="H2368" s="7" t="s">
        <v>54</v>
      </c>
      <c r="I2368" s="21" t="s">
        <v>233</v>
      </c>
      <c r="J2368" s="21" t="str" cm="1">
        <f t="array" aca="1" ref="J2368" ca="1">_xlfn.LET(
  _xlpm.actual_value_month, INDEX(T2368:AE2368, MATCH(DATE(YEAR(TODAY()), MONTH(TODAY()), 1), $T$1:$AE$1, 0)),
  IF(_xlpm.actual_value_month &lt;&gt; "",_xlpm.actual_value_month &amp; " equipes mensais", "")
)</f>
        <v>11 equipes mensais</v>
      </c>
      <c r="K2368" s="8" t="str" cm="1">
        <f t="array" ref="K2368">_xlfn.LET(
    _xlpm.sum_month, SUM(T2368:AE2368),
    IF(_xlpm.sum_month = 0, "", _xlpm.sum_month &amp; " equipes alcançadas no ano")
)</f>
        <v>300 equipes alcançadas no ano</v>
      </c>
      <c r="L2368" s="4" t="s">
        <v>234</v>
      </c>
      <c r="M2368" s="19" t="s">
        <v>235</v>
      </c>
      <c r="N2368" s="5" t="s">
        <v>42</v>
      </c>
      <c r="O2368" s="5" t="s">
        <v>43</v>
      </c>
      <c r="P2368" s="10" t="s">
        <v>44</v>
      </c>
      <c r="Q2368" s="10" t="s">
        <v>44</v>
      </c>
      <c r="R2368" s="11" t="s">
        <v>147</v>
      </c>
      <c r="S2368" s="11" t="s">
        <v>162</v>
      </c>
      <c r="T2368" s="143"/>
      <c r="U2368" s="143">
        <v>76</v>
      </c>
      <c r="V2368" s="143">
        <v>76</v>
      </c>
      <c r="W2368" s="143">
        <v>60</v>
      </c>
      <c r="X2368" s="143">
        <v>11</v>
      </c>
      <c r="Y2368" s="143">
        <v>11</v>
      </c>
      <c r="Z2368" s="143">
        <v>11</v>
      </c>
      <c r="AA2368" s="143">
        <v>11</v>
      </c>
      <c r="AB2368" s="143">
        <v>11</v>
      </c>
      <c r="AC2368" s="143">
        <v>11</v>
      </c>
      <c r="AD2368" s="143">
        <v>11</v>
      </c>
      <c r="AE2368" s="143">
        <v>11</v>
      </c>
      <c r="AG2368" s="82"/>
      <c r="AH2368" s="82">
        <v>76</v>
      </c>
      <c r="AI2368" s="82">
        <v>76</v>
      </c>
      <c r="AJ2368" s="82">
        <v>75</v>
      </c>
      <c r="AK2368" s="71"/>
      <c r="AL2368" s="71"/>
      <c r="AM2368" s="71"/>
      <c r="AN2368" s="71"/>
      <c r="AO2368" s="71"/>
      <c r="AP2368" s="71"/>
      <c r="AQ2368" s="71"/>
      <c r="AR2368" s="71"/>
      <c r="AS2368" s="94">
        <f t="shared" ca="1" si="2853"/>
        <v>223</v>
      </c>
      <c r="AT2368" s="95">
        <f t="shared" si="2854"/>
        <v>221</v>
      </c>
      <c r="AU2368" s="97">
        <f t="shared" si="2855"/>
        <v>227</v>
      </c>
      <c r="AW2368" s="51">
        <f t="shared" si="2856"/>
        <v>0</v>
      </c>
      <c r="AX2368" s="51">
        <f t="shared" si="2857"/>
        <v>1</v>
      </c>
      <c r="AY2368" s="51">
        <f t="shared" si="2858"/>
        <v>1</v>
      </c>
      <c r="AZ2368" s="51">
        <f t="shared" si="2859"/>
        <v>1.25</v>
      </c>
      <c r="BA2368" s="51"/>
      <c r="BB2368" s="51"/>
      <c r="BC2368" s="51"/>
      <c r="BD2368" s="51"/>
      <c r="BE2368" s="51"/>
      <c r="BF2368" s="51"/>
      <c r="BG2368" s="51"/>
      <c r="BH2368" s="51"/>
      <c r="BI2368" s="65" cm="1">
        <f t="array" ref="BI2368">IFERROR(INDEX(AW2368:BH2368,1,MATCH(2,1/(AW2368:BH2368&lt;&gt;""))),"")</f>
        <v>1.25</v>
      </c>
      <c r="BJ2368" s="68" cm="1">
        <f t="array" ref="BJ2368">IF(BM2368 = "", "",IFERROR(INDEX(AW2368:BH2368,1,MATCH(2,1/(AW2368:BH2368&lt;&gt;""),1)-1),""))</f>
        <v>1</v>
      </c>
      <c r="BK2368" s="58">
        <f>IF((IF(AW2368&gt;=115%,115%,AW2368) + IF(AX2368&gt;=115%,115%,AX2368) + IF(AY2368&gt;=115%,115%,AY2368) + (IF(AZ2368&gt;=115%,115%,AZ2368) + IF(BA2368&gt;=115%,115%,BA2368) + IF(BB2368&gt;=115%,115%,BB2368) + IF(BC2368&gt;=115%,115%,BC2368) + IF(BD2368&gt;=115%,115%,BD2368) + IF(BE2368&gt;=115%,115%,BE2368) + IF(BF2368&gt;=115%,115%,BF2368) + IF(BG2368&gt;=115%,115%,BG2368) + IF(BH2368&gt;=115%,115%,BH2368)))/_xlfn.XLOOKUP(F2368,Apuração!A:A,Apuração!B:B)&gt;=1.15,1.15,((IF(AZ2368&gt;=115%,115%,AZ2368) + IF(AX2368&gt;=115%,115%,AX2368) + IF(AY2368&gt;=115%,115%,AY2368) + (IF(AW2368&gt;=115%,115%,AW2368) + IF(BA2368&gt;=115%,115%,BA2368) + IF(BB2368&gt;=115%,115%,BB2368) + IF(BC2368&gt;=115%,115%,BC2368) + IF(BD2368&gt;=115%,115%,BD2368) + IF(BE2368&gt;=115%,115%,BE2368) + IF(BF2368&gt;=115%,115%,BF2368) + IF(BG2368&gt;=115%,115%,BG2368) + IF(BH2368&gt;=115%,115%,BH2368)))/_xlfn.XLOOKUP(F2368,Apuração!A:A,Apuração!B:B)))</f>
        <v>0.28636363636363638</v>
      </c>
      <c r="BL2368" s="58" cm="1">
        <f t="array" aca="1" ref="BL2368" ca="1">IF(SUM(IFERROR(IF(INDEX(AW2368:INDEX(AW2368:BH2368, MATCH(2, 1/(AW2368:BH2368&lt;&gt;""), 1)-1), ROW(INDIRECT("1:" &amp; MATCH(2, 1/(AW2368:BH2368&lt;&gt;""), 1)-1))) &gt;= 115%, 115%, INDEX(AW2368:INDEX(AW2368:BH2368, MATCH(2, 1/(AW2368:BH2368&lt;&gt;""), 1)-1), ROW(INDIRECT("1:" &amp; MATCH(2, 1/(AW2368:BH2368&lt;&gt;""), 1)-1)))), 0))/_xlfn.XLOOKUP(F2368,Apuração!A:A,Apuração!B:B)&gt;=1.15,1.15,SUM(IFERROR(IF(INDEX(AW2368:INDEX(AW2368:BH2368, MATCH(2, 1/(AW2368:BH2368&lt;&gt;""), 1)-1), ROW(INDIRECT("1:" &amp; MATCH(2, 1/(AW2368:BH2368&lt;&gt;""), 1)-1))) &gt;= 115%, 115%, INDEX(AW2368:INDEX(AW2368:BH2368, MATCH(2, 1/(AW2368:BH2368&lt;&gt;""), 1)-1), ROW(INDIRECT("1:" &amp; MATCH(2, 1/(AW2368:BH2368&lt;&gt;""), 1)-1)))), 0))/_xlfn.XLOOKUP(F2368,Apuração!A:A,Apuração!B:B))</f>
        <v>0.18181818181818182</v>
      </c>
      <c r="BM2368" s="55" cm="1">
        <f t="array" ref="BM2368">IFERROR(
   INDEX($AW$1:$BH$1,
      _xlfn.AGGREGATE(14, 6, COLUMN($AW$1:$BH$1)/(AW2368:BH2368&lt;&gt;""), 2) - COLUMN($AW$1) + 1
   ),
"")</f>
        <v>46082</v>
      </c>
      <c r="BN2368" s="55" cm="1">
        <f t="array" ref="BN2368">IFERROR(INDEX($AW$1:$BH$1,1,MATCH(2,1/(AW2368:BH2368&lt;&gt;""))),"")</f>
        <v>46113</v>
      </c>
      <c r="BO2368" s="53">
        <f ca="1">IFERROR(_xlfn.XLOOKUP(F2368,Apuração!A:A,Apuração!C:C)/_xlfn.XLOOKUP(F2368,Apuração!A:A,Apuração!B:B),0)</f>
        <v>0.36363636363636365</v>
      </c>
      <c r="BP2368" s="53">
        <f ca="1">IFERROR(_xlfn.XLOOKUP(F2368,Apuração!A:A,Apuração!D:D)/_xlfn.XLOOKUP(F2368,Apuração!A:A,Apuração!B:B),0)</f>
        <v>0.27272727272727271</v>
      </c>
      <c r="BQ2368" s="53">
        <f ca="1">IF(BK2368&gt;=BO2368,0,_xlfn.XLOOKUP(F2368,Apuração!A:A,Apuração!B:B)*(BO2368 + (1/_xlfn.XLOOKUP(F2368,Apuração!A:A,Apuração!B:B)) - BK2368))</f>
        <v>1.8500000000000003</v>
      </c>
      <c r="BR2368" s="85">
        <f t="shared" ca="1" si="2860"/>
        <v>20.350000000000005</v>
      </c>
      <c r="BS2368" s="53">
        <f ca="1">IFERROR((_xlfn.XLOOKUP(F2368,Apuração!A:A,Apuração!C:C)+1)/_xlfn.XLOOKUP(F2368,Apuração!A:A,Apuração!B:B),0)</f>
        <v>0.45454545454545453</v>
      </c>
    </row>
    <row r="2369" spans="1:71" ht="25.95" hidden="1" customHeight="1" x14ac:dyDescent="0.3">
      <c r="A2369" s="20" t="s">
        <v>87</v>
      </c>
      <c r="B2369" s="4" t="s">
        <v>232</v>
      </c>
      <c r="C2369" s="5" t="s">
        <v>209</v>
      </c>
      <c r="D2369" s="5" t="s">
        <v>212</v>
      </c>
      <c r="E2369" s="4" t="str" cm="1">
        <f t="array" ref="E2369">_xlfn.IFS(
F2369 = "A partir de Abril", "Aguardando Execução na Distribuidora",
A2369 = "CAPACITAÇÃO", "Em execução no Corporativo",
TRUE, "Em Execução na Distribuidora"
)</f>
        <v>Em Execução na Distribuidora</v>
      </c>
      <c r="F2369" s="4" t="str" cm="1">
        <f t="array" ref="F2369">_xlfn.IFS(
AG2369 &lt;&gt; "", "Jan-Dez/26",
AH2369 &lt;&gt; "", "Fev-Dez/26",
AI2369 &lt;&gt; "", "Mar-Dez/26", AJ2369 &lt;&gt; "", "Abr-Dez/26",
TRUE, "A partir de Junho"
)</f>
        <v>Fev-Dez/26</v>
      </c>
      <c r="G2369" s="7" t="s">
        <v>37</v>
      </c>
      <c r="H2369" s="7" t="s">
        <v>54</v>
      </c>
      <c r="I2369" s="21" t="s">
        <v>233</v>
      </c>
      <c r="J2369" s="21" t="str" cm="1">
        <f t="array" aca="1" ref="J2369" ca="1">_xlfn.LET(
  _xlpm.actual_value_month, INDEX(T2369:AE2369, MATCH(DATE(YEAR(TODAY()), MONTH(TODAY()), 1), $T$1:$AE$1, 0)),
  IF(_xlpm.actual_value_month &lt;&gt; "",_xlpm.actual_value_month &amp; " equipes mensais", "")
)</f>
        <v>7 equipes mensais</v>
      </c>
      <c r="K2369" s="8" t="str" cm="1">
        <f t="array" ref="K2369">_xlfn.LET(
    _xlpm.sum_month, SUM(T2369:AE2369),
    IF(_xlpm.sum_month = 0, "", _xlpm.sum_month &amp; " equipes alcançadas no ano")
)</f>
        <v>445 equipes alcançadas no ano</v>
      </c>
      <c r="L2369" s="4" t="s">
        <v>234</v>
      </c>
      <c r="M2369" s="19" t="s">
        <v>235</v>
      </c>
      <c r="N2369" s="5" t="s">
        <v>42</v>
      </c>
      <c r="O2369" s="5" t="s">
        <v>43</v>
      </c>
      <c r="P2369" s="10" t="s">
        <v>44</v>
      </c>
      <c r="Q2369" s="10" t="s">
        <v>44</v>
      </c>
      <c r="R2369" s="11" t="s">
        <v>147</v>
      </c>
      <c r="S2369" s="11" t="s">
        <v>162</v>
      </c>
      <c r="T2369" s="143"/>
      <c r="U2369" s="143">
        <v>145</v>
      </c>
      <c r="V2369" s="143">
        <v>142</v>
      </c>
      <c r="W2369" s="143">
        <v>102</v>
      </c>
      <c r="X2369" s="143">
        <v>7</v>
      </c>
      <c r="Y2369" s="143">
        <v>7</v>
      </c>
      <c r="Z2369" s="143">
        <v>7</v>
      </c>
      <c r="AA2369" s="143">
        <v>7</v>
      </c>
      <c r="AB2369" s="143">
        <v>7</v>
      </c>
      <c r="AC2369" s="143">
        <v>7</v>
      </c>
      <c r="AD2369" s="143">
        <v>7</v>
      </c>
      <c r="AE2369" s="143">
        <v>7</v>
      </c>
      <c r="AG2369" s="82"/>
      <c r="AH2369" s="82">
        <v>145</v>
      </c>
      <c r="AI2369" s="82">
        <v>142</v>
      </c>
      <c r="AJ2369" s="82">
        <v>122</v>
      </c>
      <c r="AK2369" s="71"/>
      <c r="AL2369" s="71"/>
      <c r="AM2369" s="71"/>
      <c r="AN2369" s="71"/>
      <c r="AO2369" s="71"/>
      <c r="AP2369" s="71"/>
      <c r="AQ2369" s="71"/>
      <c r="AR2369" s="71"/>
      <c r="AS2369" s="94">
        <f t="shared" ca="1" si="2853"/>
        <v>396</v>
      </c>
      <c r="AT2369" s="95">
        <f t="shared" si="2854"/>
        <v>404.3</v>
      </c>
      <c r="AU2369" s="97">
        <f t="shared" si="2855"/>
        <v>409</v>
      </c>
      <c r="AW2369" s="51">
        <f t="shared" si="2856"/>
        <v>0</v>
      </c>
      <c r="AX2369" s="51">
        <f t="shared" si="2857"/>
        <v>1</v>
      </c>
      <c r="AY2369" s="51">
        <f t="shared" si="2858"/>
        <v>1</v>
      </c>
      <c r="AZ2369" s="51">
        <f t="shared" si="2859"/>
        <v>1.196078431372549</v>
      </c>
      <c r="BA2369" s="51"/>
      <c r="BB2369" s="51"/>
      <c r="BC2369" s="51"/>
      <c r="BD2369" s="51"/>
      <c r="BE2369" s="51"/>
      <c r="BF2369" s="51"/>
      <c r="BG2369" s="51"/>
      <c r="BH2369" s="51"/>
      <c r="BI2369" s="65" cm="1">
        <f t="array" ref="BI2369">IFERROR(INDEX(AW2369:BH2369,1,MATCH(2,1/(AW2369:BH2369&lt;&gt;""))),"")</f>
        <v>1.196078431372549</v>
      </c>
      <c r="BJ2369" s="68" cm="1">
        <f t="array" ref="BJ2369">IF(BM2369 = "", "",IFERROR(INDEX(AW2369:BH2369,1,MATCH(2,1/(AW2369:BH2369&lt;&gt;""),1)-1),""))</f>
        <v>1</v>
      </c>
      <c r="BK2369" s="58">
        <f>IF((IF(AW2369&gt;=115%,115%,AW2369) + IF(AX2369&gt;=115%,115%,AX2369) + IF(AY2369&gt;=115%,115%,AY2369) + (IF(AZ2369&gt;=115%,115%,AZ2369) + IF(BA2369&gt;=115%,115%,BA2369) + IF(BB2369&gt;=115%,115%,BB2369) + IF(BC2369&gt;=115%,115%,BC2369) + IF(BD2369&gt;=115%,115%,BD2369) + IF(BE2369&gt;=115%,115%,BE2369) + IF(BF2369&gt;=115%,115%,BF2369) + IF(BG2369&gt;=115%,115%,BG2369) + IF(BH2369&gt;=115%,115%,BH2369)))/_xlfn.XLOOKUP(F2369,Apuração!A:A,Apuração!B:B)&gt;=1.15,1.15,((IF(AZ2369&gt;=115%,115%,AZ2369) + IF(AX2369&gt;=115%,115%,AX2369) + IF(AY2369&gt;=115%,115%,AY2369) + (IF(AW2369&gt;=115%,115%,AW2369) + IF(BA2369&gt;=115%,115%,BA2369) + IF(BB2369&gt;=115%,115%,BB2369) + IF(BC2369&gt;=115%,115%,BC2369) + IF(BD2369&gt;=115%,115%,BD2369) + IF(BE2369&gt;=115%,115%,BE2369) + IF(BF2369&gt;=115%,115%,BF2369) + IF(BG2369&gt;=115%,115%,BG2369) + IF(BH2369&gt;=115%,115%,BH2369)))/_xlfn.XLOOKUP(F2369,Apuração!A:A,Apuração!B:B)))</f>
        <v>0.28636363636363638</v>
      </c>
      <c r="BL2369" s="58" cm="1">
        <f t="array" aca="1" ref="BL2369" ca="1">IF(SUM(IFERROR(IF(INDEX(AW2369:INDEX(AW2369:BH2369, MATCH(2, 1/(AW2369:BH2369&lt;&gt;""), 1)-1), ROW(INDIRECT("1:" &amp; MATCH(2, 1/(AW2369:BH2369&lt;&gt;""), 1)-1))) &gt;= 115%, 115%, INDEX(AW2369:INDEX(AW2369:BH2369, MATCH(2, 1/(AW2369:BH2369&lt;&gt;""), 1)-1), ROW(INDIRECT("1:" &amp; MATCH(2, 1/(AW2369:BH2369&lt;&gt;""), 1)-1)))), 0))/_xlfn.XLOOKUP(F2369,Apuração!A:A,Apuração!B:B)&gt;=1.15,1.15,SUM(IFERROR(IF(INDEX(AW2369:INDEX(AW2369:BH2369, MATCH(2, 1/(AW2369:BH2369&lt;&gt;""), 1)-1), ROW(INDIRECT("1:" &amp; MATCH(2, 1/(AW2369:BH2369&lt;&gt;""), 1)-1))) &gt;= 115%, 115%, INDEX(AW2369:INDEX(AW2369:BH2369, MATCH(2, 1/(AW2369:BH2369&lt;&gt;""), 1)-1), ROW(INDIRECT("1:" &amp; MATCH(2, 1/(AW2369:BH2369&lt;&gt;""), 1)-1)))), 0))/_xlfn.XLOOKUP(F2369,Apuração!A:A,Apuração!B:B))</f>
        <v>0.18181818181818182</v>
      </c>
      <c r="BM2369" s="55" cm="1">
        <f t="array" ref="BM2369">IFERROR(
   INDEX($AW$1:$BH$1,
      _xlfn.AGGREGATE(14, 6, COLUMN($AW$1:$BH$1)/(AW2369:BH2369&lt;&gt;""), 2) - COLUMN($AW$1) + 1
   ),
"")</f>
        <v>46082</v>
      </c>
      <c r="BN2369" s="55" cm="1">
        <f t="array" ref="BN2369">IFERROR(INDEX($AW$1:$BH$1,1,MATCH(2,1/(AW2369:BH2369&lt;&gt;""))),"")</f>
        <v>46113</v>
      </c>
      <c r="BO2369" s="53">
        <f ca="1">IFERROR(_xlfn.XLOOKUP(F2369,Apuração!A:A,Apuração!C:C)/_xlfn.XLOOKUP(F2369,Apuração!A:A,Apuração!B:B),0)</f>
        <v>0.36363636363636365</v>
      </c>
      <c r="BP2369" s="53">
        <f ca="1">IFERROR(_xlfn.XLOOKUP(F2369,Apuração!A:A,Apuração!D:D)/_xlfn.XLOOKUP(F2369,Apuração!A:A,Apuração!B:B),0)</f>
        <v>0.27272727272727271</v>
      </c>
      <c r="BQ2369" s="53">
        <f ca="1">IF(BK2369&gt;=BO2369,0,_xlfn.XLOOKUP(F2369,Apuração!A:A,Apuração!B:B)*(BO2369 + (1/_xlfn.XLOOKUP(F2369,Apuração!A:A,Apuração!B:B)) - BK2369))</f>
        <v>1.8500000000000003</v>
      </c>
      <c r="BR2369" s="85">
        <f t="shared" ca="1" si="2860"/>
        <v>12.950000000000003</v>
      </c>
      <c r="BS2369" s="53">
        <f ca="1">IFERROR((_xlfn.XLOOKUP(F2369,Apuração!A:A,Apuração!C:C)+1)/_xlfn.XLOOKUP(F2369,Apuração!A:A,Apuração!B:B),0)</f>
        <v>0.45454545454545453</v>
      </c>
    </row>
    <row r="2370" spans="1:71" ht="25.95" hidden="1" customHeight="1" x14ac:dyDescent="0.3">
      <c r="A2370" s="20" t="s">
        <v>87</v>
      </c>
      <c r="B2370" s="4" t="s">
        <v>232</v>
      </c>
      <c r="C2370" s="5" t="s">
        <v>209</v>
      </c>
      <c r="D2370" s="5" t="s">
        <v>213</v>
      </c>
      <c r="E2370" s="4" t="str" cm="1">
        <f t="array" ref="E2370">_xlfn.IFS(
F2370 = "A partir de Abril", "Aguardando Execução na Distribuidora",
A2370 = "CAPACITAÇÃO", "Em execução no Corporativo",
TRUE, "Em Execução na Distribuidora"
)</f>
        <v>Em Execução na Distribuidora</v>
      </c>
      <c r="F2370" s="4" t="str" cm="1">
        <f t="array" ref="F2370">_xlfn.IFS(
AG2370 &lt;&gt; "", "Jan-Dez/26",
AH2370 &lt;&gt; "", "Fev-Dez/26",
AI2370 &lt;&gt; "", "Mar-Dez/26", AJ2370 &lt;&gt; "", "Abr-Dez/26",
TRUE, "A partir de Junho"
)</f>
        <v>Fev-Dez/26</v>
      </c>
      <c r="G2370" s="7" t="s">
        <v>37</v>
      </c>
      <c r="H2370" s="7" t="s">
        <v>54</v>
      </c>
      <c r="I2370" s="21" t="s">
        <v>233</v>
      </c>
      <c r="J2370" s="21" t="str" cm="1">
        <f t="array" aca="1" ref="J2370" ca="1">_xlfn.LET(
  _xlpm.actual_value_month, INDEX(T2370:AE2370, MATCH(DATE(YEAR(TODAY()), MONTH(TODAY()), 1), $T$1:$AE$1, 0)),
  IF(_xlpm.actual_value_month &lt;&gt; "",_xlpm.actual_value_month &amp; " equipes mensais", "")
)</f>
        <v>37 equipes mensais</v>
      </c>
      <c r="K2370" s="8" t="str" cm="1">
        <f t="array" ref="K2370">_xlfn.LET(
    _xlpm.sum_month, SUM(T2370:AE2370),
    IF(_xlpm.sum_month = 0, "", _xlpm.sum_month &amp; " equipes alcançadas no ano")
)</f>
        <v>612 equipes alcançadas no ano</v>
      </c>
      <c r="L2370" s="4" t="s">
        <v>234</v>
      </c>
      <c r="M2370" s="19" t="s">
        <v>235</v>
      </c>
      <c r="N2370" s="5" t="s">
        <v>42</v>
      </c>
      <c r="O2370" s="5" t="s">
        <v>43</v>
      </c>
      <c r="P2370" s="10" t="s">
        <v>44</v>
      </c>
      <c r="Q2370" s="10" t="s">
        <v>44</v>
      </c>
      <c r="R2370" s="11" t="s">
        <v>147</v>
      </c>
      <c r="S2370" s="11" t="s">
        <v>162</v>
      </c>
      <c r="T2370" s="143"/>
      <c r="U2370" s="143">
        <v>104</v>
      </c>
      <c r="V2370" s="143">
        <v>104</v>
      </c>
      <c r="W2370" s="143">
        <v>108</v>
      </c>
      <c r="X2370" s="143">
        <v>37</v>
      </c>
      <c r="Y2370" s="143">
        <v>37</v>
      </c>
      <c r="Z2370" s="143">
        <v>37</v>
      </c>
      <c r="AA2370" s="143">
        <v>37</v>
      </c>
      <c r="AB2370" s="143">
        <v>37</v>
      </c>
      <c r="AC2370" s="143">
        <v>37</v>
      </c>
      <c r="AD2370" s="143">
        <v>37</v>
      </c>
      <c r="AE2370" s="143">
        <v>37</v>
      </c>
      <c r="AG2370" s="82"/>
      <c r="AH2370" s="82">
        <v>104</v>
      </c>
      <c r="AI2370" s="82">
        <v>104</v>
      </c>
      <c r="AJ2370" s="82">
        <v>99</v>
      </c>
      <c r="AK2370" s="71"/>
      <c r="AL2370" s="71"/>
      <c r="AM2370" s="71"/>
      <c r="AN2370" s="71"/>
      <c r="AO2370" s="71"/>
      <c r="AP2370" s="71"/>
      <c r="AQ2370" s="71"/>
      <c r="AR2370" s="71"/>
      <c r="AS2370" s="94">
        <f t="shared" ca="1" si="2853"/>
        <v>353</v>
      </c>
      <c r="AT2370" s="95">
        <f t="shared" si="2854"/>
        <v>307</v>
      </c>
      <c r="AU2370" s="97">
        <f t="shared" si="2855"/>
        <v>307</v>
      </c>
      <c r="AW2370" s="51">
        <f t="shared" si="2856"/>
        <v>0</v>
      </c>
      <c r="AX2370" s="51">
        <f t="shared" si="2857"/>
        <v>1</v>
      </c>
      <c r="AY2370" s="51">
        <f t="shared" si="2858"/>
        <v>1</v>
      </c>
      <c r="AZ2370" s="51">
        <f t="shared" si="2859"/>
        <v>0.91666666666666663</v>
      </c>
      <c r="BA2370" s="51"/>
      <c r="BB2370" s="51"/>
      <c r="BC2370" s="51"/>
      <c r="BD2370" s="51"/>
      <c r="BE2370" s="51"/>
      <c r="BF2370" s="51"/>
      <c r="BG2370" s="51"/>
      <c r="BH2370" s="51"/>
      <c r="BI2370" s="65" cm="1">
        <f t="array" ref="BI2370">IFERROR(INDEX(AW2370:BH2370,1,MATCH(2,1/(AW2370:BH2370&lt;&gt;""))),"")</f>
        <v>0.91666666666666663</v>
      </c>
      <c r="BJ2370" s="68" cm="1">
        <f t="array" ref="BJ2370">IF(BM2370 = "", "",IFERROR(INDEX(AW2370:BH2370,1,MATCH(2,1/(AW2370:BH2370&lt;&gt;""),1)-1),""))</f>
        <v>1</v>
      </c>
      <c r="BK2370" s="58">
        <f>IF((IF(AW2370&gt;=115%,115%,AW2370) + IF(AX2370&gt;=115%,115%,AX2370) + IF(AY2370&gt;=115%,115%,AY2370) + (IF(AZ2370&gt;=115%,115%,AZ2370) + IF(BA2370&gt;=115%,115%,BA2370) + IF(BB2370&gt;=115%,115%,BB2370) + IF(BC2370&gt;=115%,115%,BC2370) + IF(BD2370&gt;=115%,115%,BD2370) + IF(BE2370&gt;=115%,115%,BE2370) + IF(BF2370&gt;=115%,115%,BF2370) + IF(BG2370&gt;=115%,115%,BG2370) + IF(BH2370&gt;=115%,115%,BH2370)))/_xlfn.XLOOKUP(F2370,Apuração!A:A,Apuração!B:B)&gt;=1.15,1.15,((IF(AZ2370&gt;=115%,115%,AZ2370) + IF(AX2370&gt;=115%,115%,AX2370) + IF(AY2370&gt;=115%,115%,AY2370) + (IF(AW2370&gt;=115%,115%,AW2370) + IF(BA2370&gt;=115%,115%,BA2370) + IF(BB2370&gt;=115%,115%,BB2370) + IF(BC2370&gt;=115%,115%,BC2370) + IF(BD2370&gt;=115%,115%,BD2370) + IF(BE2370&gt;=115%,115%,BE2370) + IF(BF2370&gt;=115%,115%,BF2370) + IF(BG2370&gt;=115%,115%,BG2370) + IF(BH2370&gt;=115%,115%,BH2370)))/_xlfn.XLOOKUP(F2370,Apuração!A:A,Apuração!B:B)))</f>
        <v>0.26515151515151514</v>
      </c>
      <c r="BL2370" s="58" cm="1">
        <f t="array" aca="1" ref="BL2370" ca="1">IF(SUM(IFERROR(IF(INDEX(AW2370:INDEX(AW2370:BH2370, MATCH(2, 1/(AW2370:BH2370&lt;&gt;""), 1)-1), ROW(INDIRECT("1:" &amp; MATCH(2, 1/(AW2370:BH2370&lt;&gt;""), 1)-1))) &gt;= 115%, 115%, INDEX(AW2370:INDEX(AW2370:BH2370, MATCH(2, 1/(AW2370:BH2370&lt;&gt;""), 1)-1), ROW(INDIRECT("1:" &amp; MATCH(2, 1/(AW2370:BH2370&lt;&gt;""), 1)-1)))), 0))/_xlfn.XLOOKUP(F2370,Apuração!A:A,Apuração!B:B)&gt;=1.15,1.15,SUM(IFERROR(IF(INDEX(AW2370:INDEX(AW2370:BH2370, MATCH(2, 1/(AW2370:BH2370&lt;&gt;""), 1)-1), ROW(INDIRECT("1:" &amp; MATCH(2, 1/(AW2370:BH2370&lt;&gt;""), 1)-1))) &gt;= 115%, 115%, INDEX(AW2370:INDEX(AW2370:BH2370, MATCH(2, 1/(AW2370:BH2370&lt;&gt;""), 1)-1), ROW(INDIRECT("1:" &amp; MATCH(2, 1/(AW2370:BH2370&lt;&gt;""), 1)-1)))), 0))/_xlfn.XLOOKUP(F2370,Apuração!A:A,Apuração!B:B))</f>
        <v>0.18181818181818182</v>
      </c>
      <c r="BM2370" s="55" cm="1">
        <f t="array" ref="BM2370">IFERROR(
   INDEX($AW$1:$BH$1,
      _xlfn.AGGREGATE(14, 6, COLUMN($AW$1:$BH$1)/(AW2370:BH2370&lt;&gt;""), 2) - COLUMN($AW$1) + 1
   ),
"")</f>
        <v>46082</v>
      </c>
      <c r="BN2370" s="55" cm="1">
        <f t="array" ref="BN2370">IFERROR(INDEX($AW$1:$BH$1,1,MATCH(2,1/(AW2370:BH2370&lt;&gt;""))),"")</f>
        <v>46113</v>
      </c>
      <c r="BO2370" s="53">
        <f ca="1">IFERROR(_xlfn.XLOOKUP(F2370,Apuração!A:A,Apuração!C:C)/_xlfn.XLOOKUP(F2370,Apuração!A:A,Apuração!B:B),0)</f>
        <v>0.36363636363636365</v>
      </c>
      <c r="BP2370" s="53">
        <f ca="1">IFERROR(_xlfn.XLOOKUP(F2370,Apuração!A:A,Apuração!D:D)/_xlfn.XLOOKUP(F2370,Apuração!A:A,Apuração!B:B),0)</f>
        <v>0.27272727272727271</v>
      </c>
      <c r="BQ2370" s="53">
        <f ca="1">IF(BK2370&gt;=BO2370,0,_xlfn.XLOOKUP(F2370,Apuração!A:A,Apuração!B:B)*(BO2370 + (1/_xlfn.XLOOKUP(F2370,Apuração!A:A,Apuração!B:B)) - BK2370))</f>
        <v>2.0833333333333339</v>
      </c>
      <c r="BR2370" s="85">
        <f t="shared" ca="1" si="2860"/>
        <v>77.083333333333357</v>
      </c>
      <c r="BS2370" s="53">
        <f ca="1">IFERROR((_xlfn.XLOOKUP(F2370,Apuração!A:A,Apuração!C:C)+1)/_xlfn.XLOOKUP(F2370,Apuração!A:A,Apuração!B:B),0)</f>
        <v>0.45454545454545453</v>
      </c>
    </row>
    <row r="2371" spans="1:71" ht="25.95" hidden="1" customHeight="1" x14ac:dyDescent="0.3">
      <c r="A2371" s="40" t="s">
        <v>87</v>
      </c>
      <c r="B2371" s="4" t="s">
        <v>232</v>
      </c>
      <c r="C2371" s="5" t="s">
        <v>209</v>
      </c>
      <c r="D2371" s="5" t="s">
        <v>36</v>
      </c>
      <c r="E2371" s="4" t="str" cm="1">
        <f t="array" ref="E2371">_xlfn.IFS(
F2371 = "A partir de Abril", "Aguardando Execução na Distribuidora",
A2371 = "CAPACITAÇÃO", "Em execução no Corporativo",
TRUE, "Em Execução na Distribuidora"
)</f>
        <v>Em Execução na Distribuidora</v>
      </c>
      <c r="F2371" s="4" t="str" cm="1">
        <f t="array" ref="F2371">_xlfn.IFS(
AG2371 &lt;&gt; "", "Jan-Dez/26",
AH2371 &lt;&gt; "", "Fev-Dez/26",
AI2371 &lt;&gt; "", "Mar-Dez/26", AJ2371 &lt;&gt; "", "Abr-Dez/26",
TRUE, "A partir de Junho"
)</f>
        <v>Jan-Dez/26</v>
      </c>
      <c r="G2371" s="7" t="s">
        <v>37</v>
      </c>
      <c r="H2371" s="7" t="s">
        <v>54</v>
      </c>
      <c r="I2371" s="9" t="s">
        <v>76</v>
      </c>
      <c r="J2371" s="21" t="str" cm="1">
        <f t="array" aca="1" ref="J2371" ca="1">_xlfn.LET(
  _xlpm.actual_value_month, INDEX(T2371:AE2371, MATCH(DATE(YEAR(TODAY()), MONTH(TODAY()), 1), $T$1:$AE$1, 0)),
  IF(_xlpm.actual_value_month &lt;&gt; "",_xlpm.actual_value_month &amp; " ações mensais", "")
)</f>
        <v/>
      </c>
      <c r="K2371" s="8" t="str" cm="1">
        <f t="array" ref="K2371">_xlfn.LET(
    _xlpm.sum_month, SUM(T2371:AE2371),
    IF(_xlpm.sum_month = 0, "", _xlpm.sum_month &amp; " equipes alcançadas no ano")
)</f>
        <v/>
      </c>
      <c r="L2371" s="4" t="s">
        <v>141</v>
      </c>
      <c r="M2371" s="19">
        <v>1</v>
      </c>
      <c r="N2371" s="5" t="s">
        <v>51</v>
      </c>
      <c r="O2371" s="5" t="s">
        <v>52</v>
      </c>
      <c r="P2371" s="10" t="s">
        <v>44</v>
      </c>
      <c r="Q2371" s="10" t="s">
        <v>44</v>
      </c>
      <c r="R2371" s="10" t="s">
        <v>44</v>
      </c>
      <c r="S2371" s="10" t="s">
        <v>44</v>
      </c>
      <c r="T2371" s="22"/>
      <c r="U2371" s="22"/>
      <c r="V2371" s="22"/>
      <c r="W2371" s="22"/>
      <c r="X2371" s="22"/>
      <c r="Y2371" s="22"/>
      <c r="Z2371" s="22"/>
      <c r="AA2371" s="22"/>
      <c r="AB2371" s="22"/>
      <c r="AC2371" s="22"/>
      <c r="AD2371" s="22"/>
      <c r="AE2371" s="22"/>
      <c r="AG2371" s="71">
        <v>801</v>
      </c>
      <c r="AH2371" s="71">
        <v>602</v>
      </c>
      <c r="AI2371" s="71">
        <v>569</v>
      </c>
      <c r="AJ2371" s="71">
        <v>560</v>
      </c>
      <c r="AK2371" s="71"/>
      <c r="AL2371" s="71"/>
      <c r="AM2371" s="71"/>
      <c r="AN2371" s="71"/>
      <c r="AO2371" s="71"/>
      <c r="AP2371" s="71"/>
      <c r="AQ2371" s="71"/>
      <c r="AR2371" s="71"/>
      <c r="AS2371" s="94">
        <f ca="1">IF(MONTH(TODAY())=3,SUM(T2371:U2371),IF(MONTH(TODAY())=4,SUM(T2371:V2371),IF(MONTH(TODAY())=5,SUM(T2371:W2371),IF(MONTH(TODAY())=6,SUM(T2371:X2371),IF(MONTH(TODAY())=7,SUM(T2371:Y2371),IF(MONTH(TODAY())=8,SUM(T2371:Z2371),IF(MONTH(TODAY())=9,SUM(T2371:AA2371),IF(MONTH(TODAY())=10,SUM(T2371:AB2371),IF(MONTH(TODAY())=11,SUM(T2371:AC2371),IF(MONTH(TODAY())=12,SUM(T2371:AD2371),IF(MONTH(TODAY())=1,SUM(T2371:AE2371),T2371)))))))))))</f>
        <v>0</v>
      </c>
      <c r="AT2371" s="95">
        <f>SUM(AG2371:AR2371)</f>
        <v>2532</v>
      </c>
      <c r="AU2371" s="97">
        <f>SUM(AG2371:AR2371)</f>
        <v>2532</v>
      </c>
      <c r="AW2371" s="83">
        <f>AG2371</f>
        <v>801</v>
      </c>
      <c r="AX2371" s="83">
        <f>AH2371</f>
        <v>602</v>
      </c>
      <c r="AY2371" s="83">
        <f>AI2371</f>
        <v>569</v>
      </c>
      <c r="AZ2371" s="83">
        <f>AJ2371</f>
        <v>560</v>
      </c>
      <c r="BA2371" s="52"/>
      <c r="BB2371" s="52"/>
      <c r="BC2371" s="52"/>
      <c r="BD2371" s="52"/>
      <c r="BE2371" s="52"/>
      <c r="BF2371" s="52"/>
      <c r="BG2371" s="52"/>
      <c r="BH2371" s="52"/>
      <c r="BI2371" s="68" cm="1">
        <f t="array" ref="BI2371">IFERROR(INDEX(AW2371:BH2371,1,MATCH(2,1/(AW2371:BH2371&lt;&gt;""))),"")</f>
        <v>560</v>
      </c>
      <c r="BJ2371" s="68" cm="1">
        <f t="array" ref="BJ2371">IF(BM2371 = "", "",IFERROR(INDEX(AW2371:BH2371,1,MATCH(2,1/(AW2371:BH2371&lt;&gt;""),1)-1),""))</f>
        <v>569</v>
      </c>
      <c r="BK2371" s="59">
        <f>SUM(AW2371:BH2371)</f>
        <v>2532</v>
      </c>
      <c r="BL2371" s="59" cm="1">
        <f t="array" ref="BL2371">IFERROR(SUM(AW2371:INDEX(AW2371:BH2371, MATCH(2, 1/(AW2371:BH2371&lt;&gt;""), 1) - 1))/_xlfn.XLOOKUP(F2371,Apuração!A:A,Apuração!B:B),0)</f>
        <v>164.33333333333334</v>
      </c>
      <c r="BM2371" s="55" cm="1">
        <f t="array" ref="BM2371">IFERROR(
   INDEX($AW$1:$BH$1,
      _xlfn.AGGREGATE(14, 6, COLUMN($AW$1:$BH$1)/(AW2371:BH2371&lt;&gt;""), 2) - COLUMN($AW$1) + 1
   ),
"")</f>
        <v>46082</v>
      </c>
      <c r="BN2371" s="55" cm="1">
        <f t="array" ref="BN2371">IFERROR(INDEX($AW$1:$BH$1,1,MATCH(2,1/(AW2371:BH2371&lt;&gt;""))),"")</f>
        <v>46113</v>
      </c>
      <c r="BO2371" s="53">
        <f ca="1">IFERROR(_xlfn.XLOOKUP(F2371,Apuração!A:A,Apuração!C:C)/_xlfn.XLOOKUP(F2371,Apuração!A:A,Apuração!B:B),0)</f>
        <v>0.41666666666666669</v>
      </c>
      <c r="BP2371" s="53">
        <f ca="1">IFERROR(_xlfn.XLOOKUP(F2371,Apuração!A:A,Apuração!D:D)/_xlfn.XLOOKUP(F2371,Apuração!A:A,Apuração!B:B),0)</f>
        <v>0.33333333333333331</v>
      </c>
      <c r="BQ2371" s="53">
        <f ca="1">IF(BK2371&gt;=BO2371,0,_xlfn.XLOOKUP(F2371,Apuração!A:A,Apuração!B:B)*(BO2371 + (1/_xlfn.XLOOKUP(F2371,Apuração!A:A,Apuração!B:B)) - BK2371))</f>
        <v>0</v>
      </c>
      <c r="BR2371" s="85">
        <f ca="1">IF(BQ2371=0,0,BQ2371*Z2371)</f>
        <v>0</v>
      </c>
      <c r="BS2371" s="53">
        <f ca="1">IFERROR((_xlfn.XLOOKUP(F2371,Apuração!A:A,Apuração!C:C)+1)/_xlfn.XLOOKUP(F2371,Apuração!A:A,Apuração!B:B),0)</f>
        <v>0.5</v>
      </c>
    </row>
    <row r="2372" spans="1:71" ht="25.95" hidden="1" customHeight="1" x14ac:dyDescent="0.3">
      <c r="A2372" s="40" t="s">
        <v>87</v>
      </c>
      <c r="B2372" s="4" t="s">
        <v>232</v>
      </c>
      <c r="C2372" s="5" t="s">
        <v>209</v>
      </c>
      <c r="D2372" s="5" t="s">
        <v>210</v>
      </c>
      <c r="E2372" s="4" t="str" cm="1">
        <f t="array" ref="E2372">_xlfn.IFS(
F2372 = "A partir de Abril", "Aguardando Execução na Distribuidora",
A2372 = "CAPACITAÇÃO", "Em execução no Corporativo",
TRUE, "Em Execução na Distribuidora"
)</f>
        <v>Em Execução na Distribuidora</v>
      </c>
      <c r="F2372" s="4" t="str" cm="1">
        <f t="array" ref="F2372">_xlfn.IFS(
AG2372 &lt;&gt; "", "Jan-Dez/26",
AH2372 &lt;&gt; "", "Fev-Dez/26",
AI2372 &lt;&gt; "", "Mar-Dez/26", AJ2372 &lt;&gt; "", "Abr-Dez/26",
TRUE, "A partir de Junho"
)</f>
        <v>Fev-Dez/26</v>
      </c>
      <c r="G2372" s="7" t="s">
        <v>37</v>
      </c>
      <c r="H2372" s="7" t="s">
        <v>54</v>
      </c>
      <c r="I2372" s="9" t="s">
        <v>76</v>
      </c>
      <c r="J2372" s="21" t="str" cm="1">
        <f t="array" aca="1" ref="J2372" ca="1">_xlfn.LET(
  _xlpm.actual_value_month, INDEX(T2372:AE2372, MATCH(DATE(YEAR(TODAY()), MONTH(TODAY()), 1), $T$1:$AE$1, 0)),
  IF(_xlpm.actual_value_month &lt;&gt; "",_xlpm.actual_value_month &amp; " ações mensais", "")
)</f>
        <v/>
      </c>
      <c r="K2372" s="8" t="str" cm="1">
        <f t="array" ref="K2372">_xlfn.LET(
    _xlpm.sum_month, SUM(T2372:AE2372),
    IF(_xlpm.sum_month = 0, "", _xlpm.sum_month &amp; " equipes alcançadas no ano")
)</f>
        <v/>
      </c>
      <c r="L2372" s="4" t="s">
        <v>141</v>
      </c>
      <c r="M2372" s="19">
        <v>1</v>
      </c>
      <c r="N2372" s="5" t="s">
        <v>51</v>
      </c>
      <c r="O2372" s="5" t="s">
        <v>52</v>
      </c>
      <c r="P2372" s="10" t="s">
        <v>44</v>
      </c>
      <c r="Q2372" s="10" t="s">
        <v>44</v>
      </c>
      <c r="R2372" s="10" t="s">
        <v>44</v>
      </c>
      <c r="S2372" s="10" t="s">
        <v>44</v>
      </c>
      <c r="T2372" s="22"/>
      <c r="U2372" s="22"/>
      <c r="V2372" s="22"/>
      <c r="W2372" s="22"/>
      <c r="X2372" s="22"/>
      <c r="Y2372" s="22"/>
      <c r="Z2372" s="22"/>
      <c r="AA2372" s="22"/>
      <c r="AB2372" s="22"/>
      <c r="AC2372" s="22"/>
      <c r="AD2372" s="22"/>
      <c r="AE2372" s="22"/>
      <c r="AG2372" s="82"/>
      <c r="AH2372" s="82">
        <v>150</v>
      </c>
      <c r="AI2372" s="82">
        <v>146</v>
      </c>
      <c r="AJ2372" s="82">
        <v>151</v>
      </c>
      <c r="AK2372" s="71"/>
      <c r="AL2372" s="71"/>
      <c r="AM2372" s="71"/>
      <c r="AN2372" s="71"/>
      <c r="AO2372" s="71"/>
      <c r="AP2372" s="71"/>
      <c r="AQ2372" s="71"/>
      <c r="AR2372" s="71"/>
      <c r="AS2372" s="94">
        <f t="shared" ref="AS2372:AS2381" ca="1" si="2861">IF(MONTH(TODAY())=3,SUM(T2372:U2372),IF(MONTH(TODAY())=4,SUM(T2372:V2372),IF(MONTH(TODAY())=5,SUM(T2372:W2372),IF(MONTH(TODAY())=6,SUM(T2372:X2372),IF(MONTH(TODAY())=7,SUM(T2372:Y2372),IF(MONTH(TODAY())=8,SUM(T2372:Z2372),IF(MONTH(TODAY())=9,SUM(T2372:AA2372),IF(MONTH(TODAY())=10,SUM(T2372:AB2372),IF(MONTH(TODAY())=11,SUM(T2372:AC2372),IF(MONTH(TODAY())=12,SUM(T2372:AD2372),IF(MONTH(TODAY())=1,SUM(T2372:AE2372),T2372)))))))))))</f>
        <v>0</v>
      </c>
      <c r="AT2372" s="95">
        <f t="shared" ref="AT2372:AT2381" si="2862">SUM(AG2372:AR2372)</f>
        <v>447</v>
      </c>
      <c r="AU2372" s="97">
        <f t="shared" ref="AU2372:AU2381" si="2863">SUM(AG2372:AR2372)</f>
        <v>447</v>
      </c>
      <c r="AW2372" s="83">
        <f t="shared" ref="AW2372:AW2381" si="2864">AG2372</f>
        <v>0</v>
      </c>
      <c r="AX2372" s="83">
        <f t="shared" ref="AX2372:AX2381" si="2865">AH2372</f>
        <v>150</v>
      </c>
      <c r="AY2372" s="83">
        <f t="shared" ref="AY2372:AY2381" si="2866">AI2372</f>
        <v>146</v>
      </c>
      <c r="AZ2372" s="83">
        <f t="shared" ref="AZ2372:AZ2381" si="2867">AJ2372</f>
        <v>151</v>
      </c>
      <c r="BA2372" s="52"/>
      <c r="BB2372" s="52"/>
      <c r="BC2372" s="52"/>
      <c r="BD2372" s="52"/>
      <c r="BE2372" s="52"/>
      <c r="BF2372" s="52"/>
      <c r="BG2372" s="52"/>
      <c r="BH2372" s="52"/>
      <c r="BI2372" s="68" cm="1">
        <f t="array" ref="BI2372">IFERROR(INDEX(AW2372:BH2372,1,MATCH(2,1/(AW2372:BH2372&lt;&gt;""))),"")</f>
        <v>151</v>
      </c>
      <c r="BJ2372" s="68" cm="1">
        <f t="array" ref="BJ2372">IF(BM2372 = "", "",IFERROR(INDEX(AW2372:BH2372,1,MATCH(2,1/(AW2372:BH2372&lt;&gt;""),1)-1),""))</f>
        <v>146</v>
      </c>
      <c r="BK2372" s="59">
        <f t="shared" ref="BK2372:BK2381" si="2868">SUM(AW2372:BH2372)</f>
        <v>447</v>
      </c>
      <c r="BL2372" s="59" cm="1">
        <f t="array" ref="BL2372">IFERROR(SUM(AW2372:INDEX(AW2372:BH2372, MATCH(2, 1/(AW2372:BH2372&lt;&gt;""), 1) - 1))/_xlfn.XLOOKUP(F2372,Apuração!A:A,Apuração!B:B),0)</f>
        <v>26.90909090909091</v>
      </c>
      <c r="BM2372" s="55" cm="1">
        <f t="array" ref="BM2372">IFERROR(
   INDEX($AW$1:$BH$1,
      _xlfn.AGGREGATE(14, 6, COLUMN($AW$1:$BH$1)/(AW2372:BH2372&lt;&gt;""), 2) - COLUMN($AW$1) + 1
   ),
"")</f>
        <v>46082</v>
      </c>
      <c r="BN2372" s="55" cm="1">
        <f t="array" ref="BN2372">IFERROR(INDEX($AW$1:$BH$1,1,MATCH(2,1/(AW2372:BH2372&lt;&gt;""))),"")</f>
        <v>46113</v>
      </c>
      <c r="BO2372" s="53">
        <f ca="1">IFERROR(_xlfn.XLOOKUP(F2372,Apuração!A:A,Apuração!C:C)/_xlfn.XLOOKUP(F2372,Apuração!A:A,Apuração!B:B),0)</f>
        <v>0.36363636363636365</v>
      </c>
      <c r="BP2372" s="53">
        <f ca="1">IFERROR(_xlfn.XLOOKUP(F2372,Apuração!A:A,Apuração!D:D)/_xlfn.XLOOKUP(F2372,Apuração!A:A,Apuração!B:B),0)</f>
        <v>0.27272727272727271</v>
      </c>
      <c r="BQ2372" s="53">
        <f ca="1">IF(BK2372&gt;=BO2372,0,_xlfn.XLOOKUP(F2372,Apuração!A:A,Apuração!B:B)*(BO2372 + (1/_xlfn.XLOOKUP(F2372,Apuração!A:A,Apuração!B:B)) - BK2372))</f>
        <v>0</v>
      </c>
      <c r="BR2372" s="85">
        <f t="shared" ref="BR2372:BR2381" ca="1" si="2869">IF(BQ2372=0,0,BQ2372*Z2372)</f>
        <v>0</v>
      </c>
      <c r="BS2372" s="53">
        <f ca="1">IFERROR((_xlfn.XLOOKUP(F2372,Apuração!A:A,Apuração!C:C)+1)/_xlfn.XLOOKUP(F2372,Apuração!A:A,Apuração!B:B),0)</f>
        <v>0.45454545454545453</v>
      </c>
    </row>
    <row r="2373" spans="1:71" ht="25.95" hidden="1" customHeight="1" x14ac:dyDescent="0.3">
      <c r="A2373" s="40" t="s">
        <v>87</v>
      </c>
      <c r="B2373" s="4" t="s">
        <v>232</v>
      </c>
      <c r="C2373" s="5" t="s">
        <v>209</v>
      </c>
      <c r="D2373" s="5" t="s">
        <v>47</v>
      </c>
      <c r="E2373" s="4" t="str" cm="1">
        <f t="array" ref="E2373">_xlfn.IFS(
F2373 = "A partir de Abril", "Aguardando Execução na Distribuidora",
A2373 = "CAPACITAÇÃO", "Em execução no Corporativo",
TRUE, "Em Execução na Distribuidora"
)</f>
        <v>Em Execução na Distribuidora</v>
      </c>
      <c r="F2373" s="4" t="str" cm="1">
        <f t="array" ref="F2373">_xlfn.IFS(
AG2373 &lt;&gt; "", "Jan-Dez/26",
AH2373 &lt;&gt; "", "Fev-Dez/26",
AI2373 &lt;&gt; "", "Mar-Dez/26", AJ2373 &lt;&gt; "", "Abr-Dez/26",
TRUE, "A partir de Junho"
)</f>
        <v>Fev-Dez/26</v>
      </c>
      <c r="G2373" s="7" t="s">
        <v>37</v>
      </c>
      <c r="H2373" s="7" t="s">
        <v>54</v>
      </c>
      <c r="I2373" s="9" t="s">
        <v>76</v>
      </c>
      <c r="J2373" s="21" t="str" cm="1">
        <f t="array" aca="1" ref="J2373" ca="1">_xlfn.LET(
  _xlpm.actual_value_month, INDEX(T2373:AE2373, MATCH(DATE(YEAR(TODAY()), MONTH(TODAY()), 1), $T$1:$AE$1, 0)),
  IF(_xlpm.actual_value_month &lt;&gt; "",_xlpm.actual_value_month &amp; " ações mensais", "")
)</f>
        <v/>
      </c>
      <c r="K2373" s="8" t="str" cm="1">
        <f t="array" ref="K2373">_xlfn.LET(
    _xlpm.sum_month, SUM(T2373:AE2373),
    IF(_xlpm.sum_month = 0, "", _xlpm.sum_month &amp; " equipes alcançadas no ano")
)</f>
        <v/>
      </c>
      <c r="L2373" s="4" t="s">
        <v>141</v>
      </c>
      <c r="M2373" s="19">
        <v>1</v>
      </c>
      <c r="N2373" s="5" t="s">
        <v>51</v>
      </c>
      <c r="O2373" s="5" t="s">
        <v>52</v>
      </c>
      <c r="P2373" s="10" t="s">
        <v>44</v>
      </c>
      <c r="Q2373" s="10" t="s">
        <v>44</v>
      </c>
      <c r="R2373" s="10" t="s">
        <v>44</v>
      </c>
      <c r="S2373" s="10" t="s">
        <v>44</v>
      </c>
      <c r="T2373" s="22"/>
      <c r="U2373" s="22"/>
      <c r="V2373" s="22"/>
      <c r="W2373" s="22"/>
      <c r="X2373" s="22"/>
      <c r="Y2373" s="22"/>
      <c r="Z2373" s="22"/>
      <c r="AA2373" s="22"/>
      <c r="AB2373" s="22"/>
      <c r="AC2373" s="22"/>
      <c r="AD2373" s="22"/>
      <c r="AE2373" s="22"/>
      <c r="AG2373" s="82"/>
      <c r="AH2373" s="82">
        <v>127</v>
      </c>
      <c r="AI2373" s="82">
        <v>101</v>
      </c>
      <c r="AJ2373" s="82">
        <v>113</v>
      </c>
      <c r="AK2373" s="71"/>
      <c r="AL2373" s="71"/>
      <c r="AM2373" s="71"/>
      <c r="AN2373" s="71"/>
      <c r="AO2373" s="71"/>
      <c r="AP2373" s="71"/>
      <c r="AQ2373" s="71"/>
      <c r="AR2373" s="71"/>
      <c r="AS2373" s="94">
        <f t="shared" ca="1" si="2861"/>
        <v>0</v>
      </c>
      <c r="AT2373" s="95">
        <f t="shared" si="2862"/>
        <v>341</v>
      </c>
      <c r="AU2373" s="97">
        <f t="shared" si="2863"/>
        <v>341</v>
      </c>
      <c r="AW2373" s="83">
        <f t="shared" si="2864"/>
        <v>0</v>
      </c>
      <c r="AX2373" s="83">
        <f t="shared" si="2865"/>
        <v>127</v>
      </c>
      <c r="AY2373" s="83">
        <f t="shared" si="2866"/>
        <v>101</v>
      </c>
      <c r="AZ2373" s="83">
        <f t="shared" si="2867"/>
        <v>113</v>
      </c>
      <c r="BA2373" s="52"/>
      <c r="BB2373" s="52"/>
      <c r="BC2373" s="52"/>
      <c r="BD2373" s="52"/>
      <c r="BE2373" s="52"/>
      <c r="BF2373" s="52"/>
      <c r="BG2373" s="52"/>
      <c r="BH2373" s="52"/>
      <c r="BI2373" s="68" cm="1">
        <f t="array" ref="BI2373">IFERROR(INDEX(AW2373:BH2373,1,MATCH(2,1/(AW2373:BH2373&lt;&gt;""))),"")</f>
        <v>113</v>
      </c>
      <c r="BJ2373" s="68" cm="1">
        <f t="array" ref="BJ2373">IF(BM2373 = "", "",IFERROR(INDEX(AW2373:BH2373,1,MATCH(2,1/(AW2373:BH2373&lt;&gt;""),1)-1),""))</f>
        <v>101</v>
      </c>
      <c r="BK2373" s="59">
        <f t="shared" si="2868"/>
        <v>341</v>
      </c>
      <c r="BL2373" s="59" cm="1">
        <f t="array" ref="BL2373">IFERROR(SUM(AW2373:INDEX(AW2373:BH2373, MATCH(2, 1/(AW2373:BH2373&lt;&gt;""), 1) - 1))/_xlfn.XLOOKUP(F2373,Apuração!A:A,Apuração!B:B),0)</f>
        <v>20.727272727272727</v>
      </c>
      <c r="BM2373" s="55" cm="1">
        <f t="array" ref="BM2373">IFERROR(
   INDEX($AW$1:$BH$1,
      _xlfn.AGGREGATE(14, 6, COLUMN($AW$1:$BH$1)/(AW2373:BH2373&lt;&gt;""), 2) - COLUMN($AW$1) + 1
   ),
"")</f>
        <v>46082</v>
      </c>
      <c r="BN2373" s="55" cm="1">
        <f t="array" ref="BN2373">IFERROR(INDEX($AW$1:$BH$1,1,MATCH(2,1/(AW2373:BH2373&lt;&gt;""))),"")</f>
        <v>46113</v>
      </c>
      <c r="BO2373" s="53">
        <f ca="1">IFERROR(_xlfn.XLOOKUP(F2373,Apuração!A:A,Apuração!C:C)/_xlfn.XLOOKUP(F2373,Apuração!A:A,Apuração!B:B),0)</f>
        <v>0.36363636363636365</v>
      </c>
      <c r="BP2373" s="53">
        <f ca="1">IFERROR(_xlfn.XLOOKUP(F2373,Apuração!A:A,Apuração!D:D)/_xlfn.XLOOKUP(F2373,Apuração!A:A,Apuração!B:B),0)</f>
        <v>0.27272727272727271</v>
      </c>
      <c r="BQ2373" s="53">
        <f ca="1">IF(BK2373&gt;=BO2373,0,_xlfn.XLOOKUP(F2373,Apuração!A:A,Apuração!B:B)*(BO2373 + (1/_xlfn.XLOOKUP(F2373,Apuração!A:A,Apuração!B:B)) - BK2373))</f>
        <v>0</v>
      </c>
      <c r="BR2373" s="85">
        <f t="shared" ca="1" si="2869"/>
        <v>0</v>
      </c>
      <c r="BS2373" s="53">
        <f ca="1">IFERROR((_xlfn.XLOOKUP(F2373,Apuração!A:A,Apuração!C:C)+1)/_xlfn.XLOOKUP(F2373,Apuração!A:A,Apuração!B:B),0)</f>
        <v>0.45454545454545453</v>
      </c>
    </row>
    <row r="2374" spans="1:71" ht="25.95" hidden="1" customHeight="1" x14ac:dyDescent="0.3">
      <c r="A2374" s="40" t="s">
        <v>87</v>
      </c>
      <c r="B2374" s="4" t="s">
        <v>232</v>
      </c>
      <c r="C2374" s="5" t="s">
        <v>209</v>
      </c>
      <c r="D2374" s="5" t="s">
        <v>211</v>
      </c>
      <c r="E2374" s="4" t="str" cm="1">
        <f t="array" ref="E2374">_xlfn.IFS(
F2374 = "A partir de Abril", "Aguardando Execução na Distribuidora",
A2374 = "CAPACITAÇÃO", "Em execução no Corporativo",
TRUE, "Em Execução na Distribuidora"
)</f>
        <v>Em Execução na Distribuidora</v>
      </c>
      <c r="F2374" s="4" t="str" cm="1">
        <f t="array" ref="F2374">_xlfn.IFS(
AG2374 &lt;&gt; "", "Jan-Dez/26",
AH2374 &lt;&gt; "", "Fev-Dez/26",
AI2374 &lt;&gt; "", "Mar-Dez/26", AJ2374 &lt;&gt; "", "Abr-Dez/26",
TRUE, "A partir de Junho"
)</f>
        <v>Fev-Dez/26</v>
      </c>
      <c r="G2374" s="7" t="s">
        <v>37</v>
      </c>
      <c r="H2374" s="7" t="s">
        <v>54</v>
      </c>
      <c r="I2374" s="9" t="s">
        <v>76</v>
      </c>
      <c r="J2374" s="21" t="str" cm="1">
        <f t="array" aca="1" ref="J2374" ca="1">_xlfn.LET(
  _xlpm.actual_value_month, INDEX(T2374:AE2374, MATCH(DATE(YEAR(TODAY()), MONTH(TODAY()), 1), $T$1:$AE$1, 0)),
  IF(_xlpm.actual_value_month &lt;&gt; "",_xlpm.actual_value_month &amp; " ações mensais", "")
)</f>
        <v/>
      </c>
      <c r="K2374" s="8" t="str" cm="1">
        <f t="array" ref="K2374">_xlfn.LET(
    _xlpm.sum_month, SUM(T2374:AE2374),
    IF(_xlpm.sum_month = 0, "", _xlpm.sum_month &amp; " equipes alcançadas no ano")
)</f>
        <v/>
      </c>
      <c r="L2374" s="4" t="s">
        <v>141</v>
      </c>
      <c r="M2374" s="19">
        <v>1</v>
      </c>
      <c r="N2374" s="5" t="s">
        <v>51</v>
      </c>
      <c r="O2374" s="5" t="s">
        <v>52</v>
      </c>
      <c r="P2374" s="10" t="s">
        <v>44</v>
      </c>
      <c r="Q2374" s="10" t="s">
        <v>44</v>
      </c>
      <c r="R2374" s="10" t="s">
        <v>44</v>
      </c>
      <c r="S2374" s="10" t="s">
        <v>44</v>
      </c>
      <c r="T2374" s="22"/>
      <c r="U2374" s="22"/>
      <c r="V2374" s="22"/>
      <c r="W2374" s="22"/>
      <c r="X2374" s="22"/>
      <c r="Y2374" s="22"/>
      <c r="Z2374" s="22"/>
      <c r="AA2374" s="22"/>
      <c r="AB2374" s="22"/>
      <c r="AC2374" s="22"/>
      <c r="AD2374" s="22"/>
      <c r="AE2374" s="22"/>
      <c r="AG2374" s="82"/>
      <c r="AH2374" s="82">
        <v>76</v>
      </c>
      <c r="AI2374" s="82">
        <v>76</v>
      </c>
      <c r="AJ2374" s="82">
        <v>75</v>
      </c>
      <c r="AK2374" s="71"/>
      <c r="AL2374" s="71"/>
      <c r="AM2374" s="71"/>
      <c r="AN2374" s="71"/>
      <c r="AO2374" s="71"/>
      <c r="AP2374" s="71"/>
      <c r="AQ2374" s="71"/>
      <c r="AR2374" s="71"/>
      <c r="AS2374" s="94">
        <f t="shared" ca="1" si="2861"/>
        <v>0</v>
      </c>
      <c r="AT2374" s="95">
        <f t="shared" si="2862"/>
        <v>227</v>
      </c>
      <c r="AU2374" s="97">
        <f t="shared" si="2863"/>
        <v>227</v>
      </c>
      <c r="AW2374" s="83">
        <f t="shared" si="2864"/>
        <v>0</v>
      </c>
      <c r="AX2374" s="83">
        <f t="shared" si="2865"/>
        <v>76</v>
      </c>
      <c r="AY2374" s="83">
        <f t="shared" si="2866"/>
        <v>76</v>
      </c>
      <c r="AZ2374" s="83">
        <f t="shared" si="2867"/>
        <v>75</v>
      </c>
      <c r="BA2374" s="52"/>
      <c r="BB2374" s="52"/>
      <c r="BC2374" s="52"/>
      <c r="BD2374" s="52"/>
      <c r="BE2374" s="52"/>
      <c r="BF2374" s="52"/>
      <c r="BG2374" s="52"/>
      <c r="BH2374" s="52"/>
      <c r="BI2374" s="68" cm="1">
        <f t="array" ref="BI2374">IFERROR(INDEX(AW2374:BH2374,1,MATCH(2,1/(AW2374:BH2374&lt;&gt;""))),"")</f>
        <v>75</v>
      </c>
      <c r="BJ2374" s="68" cm="1">
        <f t="array" ref="BJ2374">IF(BM2374 = "", "",IFERROR(INDEX(AW2374:BH2374,1,MATCH(2,1/(AW2374:BH2374&lt;&gt;""),1)-1),""))</f>
        <v>76</v>
      </c>
      <c r="BK2374" s="59">
        <f t="shared" si="2868"/>
        <v>227</v>
      </c>
      <c r="BL2374" s="59" cm="1">
        <f t="array" ref="BL2374">IFERROR(SUM(AW2374:INDEX(AW2374:BH2374, MATCH(2, 1/(AW2374:BH2374&lt;&gt;""), 1) - 1))/_xlfn.XLOOKUP(F2374,Apuração!A:A,Apuração!B:B),0)</f>
        <v>13.818181818181818</v>
      </c>
      <c r="BM2374" s="55" cm="1">
        <f t="array" ref="BM2374">IFERROR(
   INDEX($AW$1:$BH$1,
      _xlfn.AGGREGATE(14, 6, COLUMN($AW$1:$BH$1)/(AW2374:BH2374&lt;&gt;""), 2) - COLUMN($AW$1) + 1
   ),
"")</f>
        <v>46082</v>
      </c>
      <c r="BN2374" s="55" cm="1">
        <f t="array" ref="BN2374">IFERROR(INDEX($AW$1:$BH$1,1,MATCH(2,1/(AW2374:BH2374&lt;&gt;""))),"")</f>
        <v>46113</v>
      </c>
      <c r="BO2374" s="53">
        <f ca="1">IFERROR(_xlfn.XLOOKUP(F2374,Apuração!A:A,Apuração!C:C)/_xlfn.XLOOKUP(F2374,Apuração!A:A,Apuração!B:B),0)</f>
        <v>0.36363636363636365</v>
      </c>
      <c r="BP2374" s="53">
        <f ca="1">IFERROR(_xlfn.XLOOKUP(F2374,Apuração!A:A,Apuração!D:D)/_xlfn.XLOOKUP(F2374,Apuração!A:A,Apuração!B:B),0)</f>
        <v>0.27272727272727271</v>
      </c>
      <c r="BQ2374" s="53">
        <f ca="1">IF(BK2374&gt;=BO2374,0,_xlfn.XLOOKUP(F2374,Apuração!A:A,Apuração!B:B)*(BO2374 + (1/_xlfn.XLOOKUP(F2374,Apuração!A:A,Apuração!B:B)) - BK2374))</f>
        <v>0</v>
      </c>
      <c r="BR2374" s="85">
        <f t="shared" ca="1" si="2869"/>
        <v>0</v>
      </c>
      <c r="BS2374" s="53">
        <f ca="1">IFERROR((_xlfn.XLOOKUP(F2374,Apuração!A:A,Apuração!C:C)+1)/_xlfn.XLOOKUP(F2374,Apuração!A:A,Apuração!B:B),0)</f>
        <v>0.45454545454545453</v>
      </c>
    </row>
    <row r="2375" spans="1:71" ht="25.95" hidden="1" customHeight="1" x14ac:dyDescent="0.3">
      <c r="A2375" s="40" t="s">
        <v>87</v>
      </c>
      <c r="B2375" s="4" t="s">
        <v>232</v>
      </c>
      <c r="C2375" s="5" t="s">
        <v>209</v>
      </c>
      <c r="D2375" s="5" t="s">
        <v>212</v>
      </c>
      <c r="E2375" s="4" t="str" cm="1">
        <f t="array" ref="E2375">_xlfn.IFS(
F2375 = "A partir de Abril", "Aguardando Execução na Distribuidora",
A2375 = "CAPACITAÇÃO", "Em execução no Corporativo",
TRUE, "Em Execução na Distribuidora"
)</f>
        <v>Em Execução na Distribuidora</v>
      </c>
      <c r="F2375" s="4" t="str" cm="1">
        <f t="array" ref="F2375">_xlfn.IFS(
AG2375 &lt;&gt; "", "Jan-Dez/26",
AH2375 &lt;&gt; "", "Fev-Dez/26",
AI2375 &lt;&gt; "", "Mar-Dez/26", AJ2375 &lt;&gt; "", "Abr-Dez/26",
TRUE, "A partir de Junho"
)</f>
        <v>Fev-Dez/26</v>
      </c>
      <c r="G2375" s="7" t="s">
        <v>37</v>
      </c>
      <c r="H2375" s="7" t="s">
        <v>54</v>
      </c>
      <c r="I2375" s="9" t="s">
        <v>76</v>
      </c>
      <c r="J2375" s="21" t="str" cm="1">
        <f t="array" aca="1" ref="J2375" ca="1">_xlfn.LET(
  _xlpm.actual_value_month, INDEX(T2375:AE2375, MATCH(DATE(YEAR(TODAY()), MONTH(TODAY()), 1), $T$1:$AE$1, 0)),
  IF(_xlpm.actual_value_month &lt;&gt; "",_xlpm.actual_value_month &amp; " ações mensais", "")
)</f>
        <v/>
      </c>
      <c r="K2375" s="8" t="str" cm="1">
        <f t="array" ref="K2375">_xlfn.LET(
    _xlpm.sum_month, SUM(T2375:AE2375),
    IF(_xlpm.sum_month = 0, "", _xlpm.sum_month &amp; " equipes alcançadas no ano")
)</f>
        <v/>
      </c>
      <c r="L2375" s="4" t="s">
        <v>141</v>
      </c>
      <c r="M2375" s="19">
        <v>1</v>
      </c>
      <c r="N2375" s="5" t="s">
        <v>51</v>
      </c>
      <c r="O2375" s="5" t="s">
        <v>52</v>
      </c>
      <c r="P2375" s="10" t="s">
        <v>44</v>
      </c>
      <c r="Q2375" s="10" t="s">
        <v>44</v>
      </c>
      <c r="R2375" s="10" t="s">
        <v>44</v>
      </c>
      <c r="S2375" s="10" t="s">
        <v>44</v>
      </c>
      <c r="T2375" s="22"/>
      <c r="U2375" s="22"/>
      <c r="V2375" s="22"/>
      <c r="W2375" s="22"/>
      <c r="X2375" s="22"/>
      <c r="Y2375" s="22"/>
      <c r="Z2375" s="22"/>
      <c r="AA2375" s="22"/>
      <c r="AB2375" s="22"/>
      <c r="AC2375" s="22"/>
      <c r="AD2375" s="22"/>
      <c r="AE2375" s="22"/>
      <c r="AG2375" s="82"/>
      <c r="AH2375" s="82">
        <v>145</v>
      </c>
      <c r="AI2375" s="82">
        <v>142</v>
      </c>
      <c r="AJ2375" s="82">
        <v>122</v>
      </c>
      <c r="AK2375" s="71"/>
      <c r="AL2375" s="71"/>
      <c r="AM2375" s="71"/>
      <c r="AN2375" s="71"/>
      <c r="AO2375" s="71"/>
      <c r="AP2375" s="71"/>
      <c r="AQ2375" s="71"/>
      <c r="AR2375" s="71"/>
      <c r="AS2375" s="94">
        <f t="shared" ca="1" si="2861"/>
        <v>0</v>
      </c>
      <c r="AT2375" s="95">
        <f t="shared" si="2862"/>
        <v>409</v>
      </c>
      <c r="AU2375" s="97">
        <f t="shared" si="2863"/>
        <v>409</v>
      </c>
      <c r="AW2375" s="83">
        <f t="shared" si="2864"/>
        <v>0</v>
      </c>
      <c r="AX2375" s="83">
        <f t="shared" si="2865"/>
        <v>145</v>
      </c>
      <c r="AY2375" s="83">
        <f t="shared" si="2866"/>
        <v>142</v>
      </c>
      <c r="AZ2375" s="83">
        <f t="shared" si="2867"/>
        <v>122</v>
      </c>
      <c r="BA2375" s="52"/>
      <c r="BB2375" s="52"/>
      <c r="BC2375" s="52"/>
      <c r="BD2375" s="52"/>
      <c r="BE2375" s="52"/>
      <c r="BF2375" s="52"/>
      <c r="BG2375" s="52"/>
      <c r="BH2375" s="52"/>
      <c r="BI2375" s="68" cm="1">
        <f t="array" ref="BI2375">IFERROR(INDEX(AW2375:BH2375,1,MATCH(2,1/(AW2375:BH2375&lt;&gt;""))),"")</f>
        <v>122</v>
      </c>
      <c r="BJ2375" s="68" cm="1">
        <f t="array" ref="BJ2375">IF(BM2375 = "", "",IFERROR(INDEX(AW2375:BH2375,1,MATCH(2,1/(AW2375:BH2375&lt;&gt;""),1)-1),""))</f>
        <v>142</v>
      </c>
      <c r="BK2375" s="59">
        <f t="shared" si="2868"/>
        <v>409</v>
      </c>
      <c r="BL2375" s="59" cm="1">
        <f t="array" ref="BL2375">IFERROR(SUM(AW2375:INDEX(AW2375:BH2375, MATCH(2, 1/(AW2375:BH2375&lt;&gt;""), 1) - 1))/_xlfn.XLOOKUP(F2375,Apuração!A:A,Apuração!B:B),0)</f>
        <v>26.09090909090909</v>
      </c>
      <c r="BM2375" s="55" cm="1">
        <f t="array" ref="BM2375">IFERROR(
   INDEX($AW$1:$BH$1,
      _xlfn.AGGREGATE(14, 6, COLUMN($AW$1:$BH$1)/(AW2375:BH2375&lt;&gt;""), 2) - COLUMN($AW$1) + 1
   ),
"")</f>
        <v>46082</v>
      </c>
      <c r="BN2375" s="55" cm="1">
        <f t="array" ref="BN2375">IFERROR(INDEX($AW$1:$BH$1,1,MATCH(2,1/(AW2375:BH2375&lt;&gt;""))),"")</f>
        <v>46113</v>
      </c>
      <c r="BO2375" s="53">
        <f ca="1">IFERROR(_xlfn.XLOOKUP(F2375,Apuração!A:A,Apuração!C:C)/_xlfn.XLOOKUP(F2375,Apuração!A:A,Apuração!B:B),0)</f>
        <v>0.36363636363636365</v>
      </c>
      <c r="BP2375" s="53">
        <f ca="1">IFERROR(_xlfn.XLOOKUP(F2375,Apuração!A:A,Apuração!D:D)/_xlfn.XLOOKUP(F2375,Apuração!A:A,Apuração!B:B),0)</f>
        <v>0.27272727272727271</v>
      </c>
      <c r="BQ2375" s="53">
        <f ca="1">IF(BK2375&gt;=BO2375,0,_xlfn.XLOOKUP(F2375,Apuração!A:A,Apuração!B:B)*(BO2375 + (1/_xlfn.XLOOKUP(F2375,Apuração!A:A,Apuração!B:B)) - BK2375))</f>
        <v>0</v>
      </c>
      <c r="BR2375" s="85">
        <f t="shared" ca="1" si="2869"/>
        <v>0</v>
      </c>
      <c r="BS2375" s="53">
        <f ca="1">IFERROR((_xlfn.XLOOKUP(F2375,Apuração!A:A,Apuração!C:C)+1)/_xlfn.XLOOKUP(F2375,Apuração!A:A,Apuração!B:B),0)</f>
        <v>0.45454545454545453</v>
      </c>
    </row>
    <row r="2376" spans="1:71" ht="25.95" hidden="1" customHeight="1" x14ac:dyDescent="0.3">
      <c r="A2376" s="40" t="s">
        <v>87</v>
      </c>
      <c r="B2376" s="4" t="s">
        <v>232</v>
      </c>
      <c r="C2376" s="5" t="s">
        <v>209</v>
      </c>
      <c r="D2376" s="5" t="s">
        <v>213</v>
      </c>
      <c r="E2376" s="4" t="str" cm="1">
        <f t="array" ref="E2376">_xlfn.IFS(
F2376 = "A partir de Abril", "Aguardando Execução na Distribuidora",
A2376 = "CAPACITAÇÃO", "Em execução no Corporativo",
TRUE, "Em Execução na Distribuidora"
)</f>
        <v>Em Execução na Distribuidora</v>
      </c>
      <c r="F2376" s="4" t="str" cm="1">
        <f t="array" ref="F2376">_xlfn.IFS(
AG2376 &lt;&gt; "", "Jan-Dez/26",
AH2376 &lt;&gt; "", "Fev-Dez/26",
AI2376 &lt;&gt; "", "Mar-Dez/26", AJ2376 &lt;&gt; "", "Abr-Dez/26",
TRUE, "A partir de Junho"
)</f>
        <v>Fev-Dez/26</v>
      </c>
      <c r="G2376" s="7" t="s">
        <v>37</v>
      </c>
      <c r="H2376" s="7" t="s">
        <v>54</v>
      </c>
      <c r="I2376" s="9" t="s">
        <v>76</v>
      </c>
      <c r="J2376" s="21" t="str" cm="1">
        <f t="array" aca="1" ref="J2376" ca="1">_xlfn.LET(
  _xlpm.actual_value_month, INDEX(T2376:AE2376, MATCH(DATE(YEAR(TODAY()), MONTH(TODAY()), 1), $T$1:$AE$1, 0)),
  IF(_xlpm.actual_value_month &lt;&gt; "",_xlpm.actual_value_month &amp; " ações mensais", "")
)</f>
        <v/>
      </c>
      <c r="K2376" s="8" t="str" cm="1">
        <f t="array" ref="K2376">_xlfn.LET(
    _xlpm.sum_month, SUM(T2376:AE2376),
    IF(_xlpm.sum_month = 0, "", _xlpm.sum_month &amp; " equipes alcançadas no ano")
)</f>
        <v/>
      </c>
      <c r="L2376" s="4" t="s">
        <v>141</v>
      </c>
      <c r="M2376" s="19">
        <v>1</v>
      </c>
      <c r="N2376" s="5" t="s">
        <v>51</v>
      </c>
      <c r="O2376" s="5" t="s">
        <v>52</v>
      </c>
      <c r="P2376" s="10" t="s">
        <v>44</v>
      </c>
      <c r="Q2376" s="10" t="s">
        <v>44</v>
      </c>
      <c r="R2376" s="10" t="s">
        <v>44</v>
      </c>
      <c r="S2376" s="10" t="s">
        <v>44</v>
      </c>
      <c r="T2376" s="22"/>
      <c r="U2376" s="22"/>
      <c r="V2376" s="22"/>
      <c r="W2376" s="22"/>
      <c r="X2376" s="22"/>
      <c r="Y2376" s="22"/>
      <c r="Z2376" s="22"/>
      <c r="AA2376" s="22"/>
      <c r="AB2376" s="22"/>
      <c r="AC2376" s="22"/>
      <c r="AD2376" s="22"/>
      <c r="AE2376" s="22"/>
      <c r="AG2376" s="82"/>
      <c r="AH2376" s="82">
        <v>104</v>
      </c>
      <c r="AI2376" s="82">
        <v>104</v>
      </c>
      <c r="AJ2376" s="82">
        <v>99</v>
      </c>
      <c r="AK2376" s="71"/>
      <c r="AL2376" s="71"/>
      <c r="AM2376" s="71"/>
      <c r="AN2376" s="71"/>
      <c r="AO2376" s="71"/>
      <c r="AP2376" s="71"/>
      <c r="AQ2376" s="71"/>
      <c r="AR2376" s="71"/>
      <c r="AS2376" s="94">
        <f t="shared" ca="1" si="2861"/>
        <v>0</v>
      </c>
      <c r="AT2376" s="95">
        <f t="shared" si="2862"/>
        <v>307</v>
      </c>
      <c r="AU2376" s="97">
        <f t="shared" si="2863"/>
        <v>307</v>
      </c>
      <c r="AW2376" s="83">
        <f t="shared" si="2864"/>
        <v>0</v>
      </c>
      <c r="AX2376" s="83">
        <f t="shared" si="2865"/>
        <v>104</v>
      </c>
      <c r="AY2376" s="83">
        <f t="shared" si="2866"/>
        <v>104</v>
      </c>
      <c r="AZ2376" s="83">
        <f t="shared" si="2867"/>
        <v>99</v>
      </c>
      <c r="BA2376" s="52"/>
      <c r="BB2376" s="52"/>
      <c r="BC2376" s="52"/>
      <c r="BD2376" s="52"/>
      <c r="BE2376" s="52"/>
      <c r="BF2376" s="52"/>
      <c r="BG2376" s="52"/>
      <c r="BH2376" s="52"/>
      <c r="BI2376" s="68" cm="1">
        <f t="array" ref="BI2376">IFERROR(INDEX(AW2376:BH2376,1,MATCH(2,1/(AW2376:BH2376&lt;&gt;""))),"")</f>
        <v>99</v>
      </c>
      <c r="BJ2376" s="68" cm="1">
        <f t="array" ref="BJ2376">IF(BM2376 = "", "",IFERROR(INDEX(AW2376:BH2376,1,MATCH(2,1/(AW2376:BH2376&lt;&gt;""),1)-1),""))</f>
        <v>104</v>
      </c>
      <c r="BK2376" s="59">
        <f t="shared" si="2868"/>
        <v>307</v>
      </c>
      <c r="BL2376" s="59" cm="1">
        <f t="array" ref="BL2376">IFERROR(SUM(AW2376:INDEX(AW2376:BH2376, MATCH(2, 1/(AW2376:BH2376&lt;&gt;""), 1) - 1))/_xlfn.XLOOKUP(F2376,Apuração!A:A,Apuração!B:B),0)</f>
        <v>18.90909090909091</v>
      </c>
      <c r="BM2376" s="55" cm="1">
        <f t="array" ref="BM2376">IFERROR(
   INDEX($AW$1:$BH$1,
      _xlfn.AGGREGATE(14, 6, COLUMN($AW$1:$BH$1)/(AW2376:BH2376&lt;&gt;""), 2) - COLUMN($AW$1) + 1
   ),
"")</f>
        <v>46082</v>
      </c>
      <c r="BN2376" s="55" cm="1">
        <f t="array" ref="BN2376">IFERROR(INDEX($AW$1:$BH$1,1,MATCH(2,1/(AW2376:BH2376&lt;&gt;""))),"")</f>
        <v>46113</v>
      </c>
      <c r="BO2376" s="53">
        <f ca="1">IFERROR(_xlfn.XLOOKUP(F2376,Apuração!A:A,Apuração!C:C)/_xlfn.XLOOKUP(F2376,Apuração!A:A,Apuração!B:B),0)</f>
        <v>0.36363636363636365</v>
      </c>
      <c r="BP2376" s="53">
        <f ca="1">IFERROR(_xlfn.XLOOKUP(F2376,Apuração!A:A,Apuração!D:D)/_xlfn.XLOOKUP(F2376,Apuração!A:A,Apuração!B:B),0)</f>
        <v>0.27272727272727271</v>
      </c>
      <c r="BQ2376" s="53">
        <f ca="1">IF(BK2376&gt;=BO2376,0,_xlfn.XLOOKUP(F2376,Apuração!A:A,Apuração!B:B)*(BO2376 + (1/_xlfn.XLOOKUP(F2376,Apuração!A:A,Apuração!B:B)) - BK2376))</f>
        <v>0</v>
      </c>
      <c r="BR2376" s="85">
        <f t="shared" ca="1" si="2869"/>
        <v>0</v>
      </c>
      <c r="BS2376" s="53">
        <f ca="1">IFERROR((_xlfn.XLOOKUP(F2376,Apuração!A:A,Apuração!C:C)+1)/_xlfn.XLOOKUP(F2376,Apuração!A:A,Apuração!B:B),0)</f>
        <v>0.45454545454545453</v>
      </c>
    </row>
    <row r="2377" spans="1:71" ht="25.95" hidden="1" customHeight="1" x14ac:dyDescent="0.3">
      <c r="A2377" s="40" t="s">
        <v>87</v>
      </c>
      <c r="B2377" s="4" t="s">
        <v>229</v>
      </c>
      <c r="C2377" s="5" t="s">
        <v>214</v>
      </c>
      <c r="D2377" s="5" t="s">
        <v>210</v>
      </c>
      <c r="E2377" s="4" t="str" cm="1">
        <f t="array" ref="E2377">_xlfn.IFS(
F2377 = "A partir de Abril", "Aguardando Execução na Distribuidora",
A2377 = "CAPACITAÇÃO", "Em execução no Corporativo",
TRUE, "Em Execução na Distribuidora"
)</f>
        <v>Em Execução na Distribuidora</v>
      </c>
      <c r="F2377" s="4" t="str" cm="1">
        <f t="array" ref="F2377">_xlfn.IFS(
AG2377 &lt;&gt; "", "Jan-Dez/26",
AH2377 &lt;&gt; "", "Fev-Dez/26",
AI2377 &lt;&gt; "", "Mar-Dez/26", AJ2377 &lt;&gt; "", "Abr-Dez/26",
TRUE, "A partir de Junho"
)</f>
        <v>Jan-Dez/26</v>
      </c>
      <c r="G2377" s="7" t="s">
        <v>37</v>
      </c>
      <c r="H2377" s="7" t="s">
        <v>38</v>
      </c>
      <c r="I2377" s="8" t="s">
        <v>148</v>
      </c>
      <c r="J2377" s="21" t="str" cm="1">
        <f t="array" aca="1" ref="J2377" ca="1">_xlfn.LET(
  _xlpm.actual_value_month, INDEX(T2377:AE2377, MATCH(DATE(YEAR(TODAY()), MONTH(TODAY()), 1), $T$1:$AE$1, 0)),
  IF(_xlpm.actual_value_month &lt;&gt; "",_xlpm.actual_value_month &amp; " ações mensais", "")
)</f>
        <v/>
      </c>
      <c r="K2377" s="8" t="str" cm="1">
        <f t="array" ref="K2377">_xlfn.LET(
    _xlpm.sum_month, SUM(T2377:AE2377),
    IF(_xlpm.sum_month = 0, "", _xlpm.sum_month &amp; " NC's no ano")
)</f>
        <v/>
      </c>
      <c r="L2377" s="9" t="s">
        <v>149</v>
      </c>
      <c r="M2377" s="4"/>
      <c r="N2377" s="5" t="s">
        <v>51</v>
      </c>
      <c r="O2377" s="5" t="s">
        <v>52</v>
      </c>
      <c r="P2377" s="10" t="s">
        <v>44</v>
      </c>
      <c r="Q2377" s="10" t="s">
        <v>44</v>
      </c>
      <c r="R2377" s="11" t="s">
        <v>44</v>
      </c>
      <c r="S2377" s="11" t="s">
        <v>44</v>
      </c>
      <c r="T2377" s="22"/>
      <c r="U2377" s="22"/>
      <c r="V2377" s="22"/>
      <c r="W2377" s="22"/>
      <c r="X2377" s="22"/>
      <c r="Y2377" s="22"/>
      <c r="Z2377" s="22"/>
      <c r="AA2377" s="22"/>
      <c r="AB2377" s="22"/>
      <c r="AC2377" s="22"/>
      <c r="AD2377" s="22"/>
      <c r="AE2377" s="22"/>
      <c r="AG2377" s="145">
        <v>0</v>
      </c>
      <c r="AH2377" s="149">
        <v>0</v>
      </c>
      <c r="AI2377" s="149">
        <v>0</v>
      </c>
      <c r="AJ2377" s="82">
        <v>0</v>
      </c>
      <c r="AK2377" s="71"/>
      <c r="AL2377" s="71"/>
      <c r="AM2377" s="71"/>
      <c r="AN2377" s="71"/>
      <c r="AO2377" s="71"/>
      <c r="AP2377" s="71"/>
      <c r="AQ2377" s="71"/>
      <c r="AR2377" s="71"/>
      <c r="AS2377" s="94">
        <f t="shared" ca="1" si="2861"/>
        <v>0</v>
      </c>
      <c r="AT2377" s="95">
        <f t="shared" si="2862"/>
        <v>0</v>
      </c>
      <c r="AU2377" s="97">
        <f t="shared" si="2863"/>
        <v>0</v>
      </c>
      <c r="AW2377" s="83">
        <f t="shared" si="2864"/>
        <v>0</v>
      </c>
      <c r="AX2377" s="83">
        <f t="shared" si="2865"/>
        <v>0</v>
      </c>
      <c r="AY2377" s="83">
        <f t="shared" si="2866"/>
        <v>0</v>
      </c>
      <c r="AZ2377" s="83">
        <f t="shared" si="2867"/>
        <v>0</v>
      </c>
      <c r="BA2377" s="52"/>
      <c r="BB2377" s="52"/>
      <c r="BC2377" s="52"/>
      <c r="BD2377" s="52"/>
      <c r="BE2377" s="52"/>
      <c r="BF2377" s="52"/>
      <c r="BG2377" s="52"/>
      <c r="BH2377" s="52"/>
      <c r="BI2377" s="68" cm="1">
        <f t="array" ref="BI2377">IFERROR(INDEX(AW2377:BH2377,1,MATCH(2,1/(AW2377:BH2377&lt;&gt;""))),"")</f>
        <v>0</v>
      </c>
      <c r="BJ2377" s="68" cm="1">
        <f t="array" ref="BJ2377">IF(BM2377 = "", "",IFERROR(INDEX(AW2377:BH2377,1,MATCH(2,1/(AW2377:BH2377&lt;&gt;""),1)-1),""))</f>
        <v>0</v>
      </c>
      <c r="BK2377" s="59">
        <f t="shared" si="2868"/>
        <v>0</v>
      </c>
      <c r="BL2377" s="59" cm="1">
        <f t="array" ref="BL2377">IFERROR(SUM(AW2377:INDEX(AW2377:BH2377, MATCH(2, 1/(AW2377:BH2377&lt;&gt;""), 1) - 1))/_xlfn.XLOOKUP(F2377,Apuração!A:A,Apuração!B:B),0)</f>
        <v>0</v>
      </c>
      <c r="BM2377" s="55" cm="1">
        <f t="array" ref="BM2377">IFERROR(
   INDEX($AW$1:$BH$1,
      _xlfn.AGGREGATE(14, 6, COLUMN($AW$1:$BH$1)/(AW2377:BH2377&lt;&gt;""), 2) - COLUMN($AW$1) + 1
   ),
"")</f>
        <v>46082</v>
      </c>
      <c r="BN2377" s="55" cm="1">
        <f t="array" ref="BN2377">IFERROR(INDEX($AW$1:$BH$1,1,MATCH(2,1/(AW2377:BH2377&lt;&gt;""))),"")</f>
        <v>46113</v>
      </c>
      <c r="BO2377" s="53">
        <f ca="1">IFERROR(_xlfn.XLOOKUP(F2377,Apuração!A:A,Apuração!C:C)/_xlfn.XLOOKUP(F2377,Apuração!A:A,Apuração!B:B),0)</f>
        <v>0.41666666666666669</v>
      </c>
      <c r="BP2377" s="53">
        <f ca="1">IFERROR(_xlfn.XLOOKUP(F2377,Apuração!A:A,Apuração!D:D)/_xlfn.XLOOKUP(F2377,Apuração!A:A,Apuração!B:B),0)</f>
        <v>0.33333333333333331</v>
      </c>
      <c r="BQ2377" s="53">
        <f ca="1">IF(BK2377&gt;=BO2377,0,_xlfn.XLOOKUP(F2377,Apuração!A:A,Apuração!B:B)*(BO2377 + (1/_xlfn.XLOOKUP(F2377,Apuração!A:A,Apuração!B:B)) - BK2377))</f>
        <v>6</v>
      </c>
      <c r="BR2377" s="85">
        <f t="shared" ca="1" si="2869"/>
        <v>0</v>
      </c>
      <c r="BS2377" s="53">
        <f ca="1">IFERROR((_xlfn.XLOOKUP(F2377,Apuração!A:A,Apuração!C:C)+1)/_xlfn.XLOOKUP(F2377,Apuração!A:A,Apuração!B:B),0)</f>
        <v>0.5</v>
      </c>
    </row>
    <row r="2378" spans="1:71" ht="25.95" hidden="1" customHeight="1" x14ac:dyDescent="0.3">
      <c r="A2378" s="40" t="s">
        <v>87</v>
      </c>
      <c r="B2378" s="4" t="s">
        <v>229</v>
      </c>
      <c r="C2378" s="5" t="s">
        <v>214</v>
      </c>
      <c r="D2378" s="5" t="s">
        <v>215</v>
      </c>
      <c r="E2378" s="4" t="str" cm="1">
        <f t="array" ref="E2378">_xlfn.IFS(
F2378 = "A partir de Abril", "Aguardando Execução na Distribuidora",
A2378 = "CAPACITAÇÃO", "Em execução no Corporativo",
TRUE, "Em Execução na Distribuidora"
)</f>
        <v>Em Execução na Distribuidora</v>
      </c>
      <c r="F2378" s="4" t="str" cm="1">
        <f t="array" ref="F2378">_xlfn.IFS(
AG2378 &lt;&gt; "", "Jan-Dez/26",
AH2378 &lt;&gt; "", "Fev-Dez/26",
AI2378 &lt;&gt; "", "Mar-Dez/26", AJ2378 &lt;&gt; "", "Abr-Dez/26",
TRUE, "A partir de Junho"
)</f>
        <v>Jan-Dez/26</v>
      </c>
      <c r="G2378" s="7" t="s">
        <v>37</v>
      </c>
      <c r="H2378" s="7" t="s">
        <v>38</v>
      </c>
      <c r="I2378" s="8" t="s">
        <v>148</v>
      </c>
      <c r="J2378" s="21" t="str" cm="1">
        <f t="array" aca="1" ref="J2378" ca="1">_xlfn.LET(
  _xlpm.actual_value_month, INDEX(T2378:AE2378, MATCH(DATE(YEAR(TODAY()), MONTH(TODAY()), 1), $T$1:$AE$1, 0)),
  IF(_xlpm.actual_value_month &lt;&gt; "",_xlpm.actual_value_month &amp; " ações mensais", "")
)</f>
        <v/>
      </c>
      <c r="K2378" s="8" t="str" cm="1">
        <f t="array" ref="K2378">_xlfn.LET(
    _xlpm.sum_month, SUM(T2378:AE2378),
    IF(_xlpm.sum_month = 0, "", _xlpm.sum_month &amp; " NC's no ano")
)</f>
        <v/>
      </c>
      <c r="L2378" s="9" t="s">
        <v>149</v>
      </c>
      <c r="M2378" s="4"/>
      <c r="N2378" s="5" t="s">
        <v>51</v>
      </c>
      <c r="O2378" s="5" t="s">
        <v>52</v>
      </c>
      <c r="P2378" s="10" t="s">
        <v>44</v>
      </c>
      <c r="Q2378" s="10" t="s">
        <v>44</v>
      </c>
      <c r="R2378" s="11" t="s">
        <v>44</v>
      </c>
      <c r="S2378" s="11" t="s">
        <v>44</v>
      </c>
      <c r="T2378" s="22"/>
      <c r="U2378" s="22"/>
      <c r="V2378" s="22"/>
      <c r="W2378" s="22"/>
      <c r="X2378" s="22"/>
      <c r="Y2378" s="22"/>
      <c r="Z2378" s="22"/>
      <c r="AA2378" s="22"/>
      <c r="AB2378" s="22"/>
      <c r="AC2378" s="22"/>
      <c r="AD2378" s="22"/>
      <c r="AE2378" s="22"/>
      <c r="AG2378" s="146">
        <v>0</v>
      </c>
      <c r="AH2378" s="150">
        <v>0</v>
      </c>
      <c r="AI2378" s="150">
        <v>0</v>
      </c>
      <c r="AJ2378" s="82">
        <v>0</v>
      </c>
      <c r="AK2378" s="71"/>
      <c r="AL2378" s="71"/>
      <c r="AM2378" s="71"/>
      <c r="AN2378" s="71"/>
      <c r="AO2378" s="71"/>
      <c r="AP2378" s="71"/>
      <c r="AQ2378" s="71"/>
      <c r="AR2378" s="71"/>
      <c r="AS2378" s="94">
        <f t="shared" ca="1" si="2861"/>
        <v>0</v>
      </c>
      <c r="AT2378" s="95">
        <f t="shared" si="2862"/>
        <v>0</v>
      </c>
      <c r="AU2378" s="97">
        <f t="shared" si="2863"/>
        <v>0</v>
      </c>
      <c r="AW2378" s="83">
        <f t="shared" si="2864"/>
        <v>0</v>
      </c>
      <c r="AX2378" s="83">
        <f t="shared" si="2865"/>
        <v>0</v>
      </c>
      <c r="AY2378" s="83">
        <f t="shared" si="2866"/>
        <v>0</v>
      </c>
      <c r="AZ2378" s="83">
        <f t="shared" si="2867"/>
        <v>0</v>
      </c>
      <c r="BA2378" s="52"/>
      <c r="BB2378" s="52"/>
      <c r="BC2378" s="52"/>
      <c r="BD2378" s="52"/>
      <c r="BE2378" s="52"/>
      <c r="BF2378" s="52"/>
      <c r="BG2378" s="52"/>
      <c r="BH2378" s="52"/>
      <c r="BI2378" s="68" cm="1">
        <f t="array" ref="BI2378">IFERROR(INDEX(AW2378:BH2378,1,MATCH(2,1/(AW2378:BH2378&lt;&gt;""))),"")</f>
        <v>0</v>
      </c>
      <c r="BJ2378" s="68" cm="1">
        <f t="array" ref="BJ2378">IF(BM2378 = "", "",IFERROR(INDEX(AW2378:BH2378,1,MATCH(2,1/(AW2378:BH2378&lt;&gt;""),1)-1),""))</f>
        <v>0</v>
      </c>
      <c r="BK2378" s="59">
        <f t="shared" si="2868"/>
        <v>0</v>
      </c>
      <c r="BL2378" s="59" cm="1">
        <f t="array" ref="BL2378">IFERROR(SUM(AW2378:INDEX(AW2378:BH2378, MATCH(2, 1/(AW2378:BH2378&lt;&gt;""), 1) - 1))/_xlfn.XLOOKUP(F2378,Apuração!A:A,Apuração!B:B),0)</f>
        <v>0</v>
      </c>
      <c r="BM2378" s="55" cm="1">
        <f t="array" ref="BM2378">IFERROR(
   INDEX($AW$1:$BH$1,
      _xlfn.AGGREGATE(14, 6, COLUMN($AW$1:$BH$1)/(AW2378:BH2378&lt;&gt;""), 2) - COLUMN($AW$1) + 1
   ),
"")</f>
        <v>46082</v>
      </c>
      <c r="BN2378" s="55" cm="1">
        <f t="array" ref="BN2378">IFERROR(INDEX($AW$1:$BH$1,1,MATCH(2,1/(AW2378:BH2378&lt;&gt;""))),"")</f>
        <v>46113</v>
      </c>
      <c r="BO2378" s="53">
        <f ca="1">IFERROR(_xlfn.XLOOKUP(F2378,Apuração!A:A,Apuração!C:C)/_xlfn.XLOOKUP(F2378,Apuração!A:A,Apuração!B:B),0)</f>
        <v>0.41666666666666669</v>
      </c>
      <c r="BP2378" s="53">
        <f ca="1">IFERROR(_xlfn.XLOOKUP(F2378,Apuração!A:A,Apuração!D:D)/_xlfn.XLOOKUP(F2378,Apuração!A:A,Apuração!B:B),0)</f>
        <v>0.33333333333333331</v>
      </c>
      <c r="BQ2378" s="53">
        <f ca="1">IF(BK2378&gt;=BO2378,0,_xlfn.XLOOKUP(F2378,Apuração!A:A,Apuração!B:B)*(BO2378 + (1/_xlfn.XLOOKUP(F2378,Apuração!A:A,Apuração!B:B)) - BK2378))</f>
        <v>6</v>
      </c>
      <c r="BR2378" s="85">
        <f t="shared" ca="1" si="2869"/>
        <v>0</v>
      </c>
      <c r="BS2378" s="53">
        <f ca="1">IFERROR((_xlfn.XLOOKUP(F2378,Apuração!A:A,Apuração!C:C)+1)/_xlfn.XLOOKUP(F2378,Apuração!A:A,Apuração!B:B),0)</f>
        <v>0.5</v>
      </c>
    </row>
    <row r="2379" spans="1:71" ht="25.95" hidden="1" customHeight="1" x14ac:dyDescent="0.3">
      <c r="A2379" s="40" t="s">
        <v>87</v>
      </c>
      <c r="B2379" s="4" t="s">
        <v>229</v>
      </c>
      <c r="C2379" s="5" t="s">
        <v>214</v>
      </c>
      <c r="D2379" s="5" t="s">
        <v>212</v>
      </c>
      <c r="E2379" s="4" t="str" cm="1">
        <f t="array" ref="E2379">_xlfn.IFS(
F2379 = "A partir de Abril", "Aguardando Execução na Distribuidora",
A2379 = "CAPACITAÇÃO", "Em execução no Corporativo",
TRUE, "Em Execução na Distribuidora"
)</f>
        <v>Em Execução na Distribuidora</v>
      </c>
      <c r="F2379" s="4" t="str" cm="1">
        <f t="array" ref="F2379">_xlfn.IFS(
AG2379 &lt;&gt; "", "Jan-Dez/26",
AH2379 &lt;&gt; "", "Fev-Dez/26",
AI2379 &lt;&gt; "", "Mar-Dez/26", AJ2379 &lt;&gt; "", "Abr-Dez/26",
TRUE, "A partir de Junho"
)</f>
        <v>Jan-Dez/26</v>
      </c>
      <c r="G2379" s="7" t="s">
        <v>37</v>
      </c>
      <c r="H2379" s="7" t="s">
        <v>38</v>
      </c>
      <c r="I2379" s="8" t="s">
        <v>148</v>
      </c>
      <c r="J2379" s="21" t="str" cm="1">
        <f t="array" aca="1" ref="J2379" ca="1">_xlfn.LET(
  _xlpm.actual_value_month, INDEX(T2379:AE2379, MATCH(DATE(YEAR(TODAY()), MONTH(TODAY()), 1), $T$1:$AE$1, 0)),
  IF(_xlpm.actual_value_month &lt;&gt; "",_xlpm.actual_value_month &amp; " ações mensais", "")
)</f>
        <v/>
      </c>
      <c r="K2379" s="8" t="str" cm="1">
        <f t="array" ref="K2379">_xlfn.LET(
    _xlpm.sum_month, SUM(T2379:AE2379),
    IF(_xlpm.sum_month = 0, "", _xlpm.sum_month &amp; " NC's no ano")
)</f>
        <v/>
      </c>
      <c r="L2379" s="9" t="s">
        <v>149</v>
      </c>
      <c r="M2379" s="4"/>
      <c r="N2379" s="5" t="s">
        <v>51</v>
      </c>
      <c r="O2379" s="5" t="s">
        <v>52</v>
      </c>
      <c r="P2379" s="10" t="s">
        <v>44</v>
      </c>
      <c r="Q2379" s="10" t="s">
        <v>44</v>
      </c>
      <c r="R2379" s="11" t="s">
        <v>44</v>
      </c>
      <c r="S2379" s="11" t="s">
        <v>44</v>
      </c>
      <c r="T2379" s="22"/>
      <c r="U2379" s="22"/>
      <c r="V2379" s="22"/>
      <c r="W2379" s="22"/>
      <c r="X2379" s="22"/>
      <c r="Y2379" s="22"/>
      <c r="Z2379" s="22"/>
      <c r="AA2379" s="22"/>
      <c r="AB2379" s="22"/>
      <c r="AC2379" s="22"/>
      <c r="AD2379" s="22"/>
      <c r="AE2379" s="22"/>
      <c r="AG2379" s="146">
        <v>0</v>
      </c>
      <c r="AH2379" s="150">
        <v>0</v>
      </c>
      <c r="AI2379" s="150">
        <v>0</v>
      </c>
      <c r="AJ2379" s="82">
        <v>2</v>
      </c>
      <c r="AK2379" s="71"/>
      <c r="AL2379" s="71"/>
      <c r="AM2379" s="71"/>
      <c r="AN2379" s="71"/>
      <c r="AO2379" s="71"/>
      <c r="AP2379" s="71"/>
      <c r="AQ2379" s="71"/>
      <c r="AR2379" s="71"/>
      <c r="AS2379" s="94">
        <f t="shared" ca="1" si="2861"/>
        <v>0</v>
      </c>
      <c r="AT2379" s="95">
        <f t="shared" si="2862"/>
        <v>2</v>
      </c>
      <c r="AU2379" s="97">
        <f t="shared" si="2863"/>
        <v>2</v>
      </c>
      <c r="AW2379" s="83">
        <f t="shared" si="2864"/>
        <v>0</v>
      </c>
      <c r="AX2379" s="83">
        <f t="shared" si="2865"/>
        <v>0</v>
      </c>
      <c r="AY2379" s="83">
        <f t="shared" si="2866"/>
        <v>0</v>
      </c>
      <c r="AZ2379" s="83">
        <f t="shared" si="2867"/>
        <v>2</v>
      </c>
      <c r="BA2379" s="52"/>
      <c r="BB2379" s="52"/>
      <c r="BC2379" s="52"/>
      <c r="BD2379" s="52"/>
      <c r="BE2379" s="52"/>
      <c r="BF2379" s="52"/>
      <c r="BG2379" s="52"/>
      <c r="BH2379" s="52"/>
      <c r="BI2379" s="68" cm="1">
        <f t="array" ref="BI2379">IFERROR(INDEX(AW2379:BH2379,1,MATCH(2,1/(AW2379:BH2379&lt;&gt;""))),"")</f>
        <v>2</v>
      </c>
      <c r="BJ2379" s="68" cm="1">
        <f t="array" ref="BJ2379">IF(BM2379 = "", "",IFERROR(INDEX(AW2379:BH2379,1,MATCH(2,1/(AW2379:BH2379&lt;&gt;""),1)-1),""))</f>
        <v>0</v>
      </c>
      <c r="BK2379" s="59">
        <f t="shared" si="2868"/>
        <v>2</v>
      </c>
      <c r="BL2379" s="59" cm="1">
        <f t="array" ref="BL2379">IFERROR(SUM(AW2379:INDEX(AW2379:BH2379, MATCH(2, 1/(AW2379:BH2379&lt;&gt;""), 1) - 1))/_xlfn.XLOOKUP(F2379,Apuração!A:A,Apuração!B:B),0)</f>
        <v>0</v>
      </c>
      <c r="BM2379" s="55" cm="1">
        <f t="array" ref="BM2379">IFERROR(
   INDEX($AW$1:$BH$1,
      _xlfn.AGGREGATE(14, 6, COLUMN($AW$1:$BH$1)/(AW2379:BH2379&lt;&gt;""), 2) - COLUMN($AW$1) + 1
   ),
"")</f>
        <v>46082</v>
      </c>
      <c r="BN2379" s="55" cm="1">
        <f t="array" ref="BN2379">IFERROR(INDEX($AW$1:$BH$1,1,MATCH(2,1/(AW2379:BH2379&lt;&gt;""))),"")</f>
        <v>46113</v>
      </c>
      <c r="BO2379" s="53">
        <f ca="1">IFERROR(_xlfn.XLOOKUP(F2379,Apuração!A:A,Apuração!C:C)/_xlfn.XLOOKUP(F2379,Apuração!A:A,Apuração!B:B),0)</f>
        <v>0.41666666666666669</v>
      </c>
      <c r="BP2379" s="53">
        <f ca="1">IFERROR(_xlfn.XLOOKUP(F2379,Apuração!A:A,Apuração!D:D)/_xlfn.XLOOKUP(F2379,Apuração!A:A,Apuração!B:B),0)</f>
        <v>0.33333333333333331</v>
      </c>
      <c r="BQ2379" s="53">
        <f ca="1">IF(BK2379&gt;=BO2379,0,_xlfn.XLOOKUP(F2379,Apuração!A:A,Apuração!B:B)*(BO2379 + (1/_xlfn.XLOOKUP(F2379,Apuração!A:A,Apuração!B:B)) - BK2379))</f>
        <v>0</v>
      </c>
      <c r="BR2379" s="85">
        <f t="shared" ca="1" si="2869"/>
        <v>0</v>
      </c>
      <c r="BS2379" s="53">
        <f ca="1">IFERROR((_xlfn.XLOOKUP(F2379,Apuração!A:A,Apuração!C:C)+1)/_xlfn.XLOOKUP(F2379,Apuração!A:A,Apuração!B:B),0)</f>
        <v>0.5</v>
      </c>
    </row>
    <row r="2380" spans="1:71" ht="25.95" hidden="1" customHeight="1" x14ac:dyDescent="0.3">
      <c r="A2380" s="40" t="s">
        <v>87</v>
      </c>
      <c r="B2380" s="4" t="s">
        <v>229</v>
      </c>
      <c r="C2380" s="5" t="s">
        <v>214</v>
      </c>
      <c r="D2380" s="5" t="s">
        <v>48</v>
      </c>
      <c r="E2380" s="4" t="str" cm="1">
        <f t="array" ref="E2380">_xlfn.IFS(
F2380 = "A partir de Abril", "Aguardando Execução na Distribuidora",
A2380 = "CAPACITAÇÃO", "Em execução no Corporativo",
TRUE, "Em Execução na Distribuidora"
)</f>
        <v>Em Execução na Distribuidora</v>
      </c>
      <c r="F2380" s="4" t="str" cm="1">
        <f t="array" ref="F2380">_xlfn.IFS(
AG2380 &lt;&gt; "", "Jan-Dez/26",
AH2380 &lt;&gt; "", "Fev-Dez/26",
AI2380 &lt;&gt; "", "Mar-Dez/26", AJ2380 &lt;&gt; "", "Abr-Dez/26",
TRUE, "A partir de Junho"
)</f>
        <v>Jan-Dez/26</v>
      </c>
      <c r="G2380" s="7" t="s">
        <v>37</v>
      </c>
      <c r="H2380" s="7" t="s">
        <v>38</v>
      </c>
      <c r="I2380" s="8" t="s">
        <v>148</v>
      </c>
      <c r="J2380" s="21" t="str" cm="1">
        <f t="array" aca="1" ref="J2380" ca="1">_xlfn.LET(
  _xlpm.actual_value_month, INDEX(T2380:AE2380, MATCH(DATE(YEAR(TODAY()), MONTH(TODAY()), 1), $T$1:$AE$1, 0)),
  IF(_xlpm.actual_value_month &lt;&gt; "",_xlpm.actual_value_month &amp; " ações mensais", "")
)</f>
        <v/>
      </c>
      <c r="K2380" s="8" t="str" cm="1">
        <f t="array" ref="K2380">_xlfn.LET(
    _xlpm.sum_month, SUM(T2380:AE2380),
    IF(_xlpm.sum_month = 0, "", _xlpm.sum_month &amp; " NC's no ano")
)</f>
        <v/>
      </c>
      <c r="L2380" s="9" t="s">
        <v>149</v>
      </c>
      <c r="M2380" s="4"/>
      <c r="N2380" s="5" t="s">
        <v>51</v>
      </c>
      <c r="O2380" s="5" t="s">
        <v>52</v>
      </c>
      <c r="P2380" s="10" t="s">
        <v>44</v>
      </c>
      <c r="Q2380" s="10" t="s">
        <v>44</v>
      </c>
      <c r="R2380" s="11" t="s">
        <v>44</v>
      </c>
      <c r="S2380" s="11" t="s">
        <v>44</v>
      </c>
      <c r="T2380" s="22"/>
      <c r="U2380" s="22"/>
      <c r="V2380" s="22"/>
      <c r="W2380" s="22"/>
      <c r="X2380" s="22"/>
      <c r="Y2380" s="22"/>
      <c r="Z2380" s="22"/>
      <c r="AA2380" s="22"/>
      <c r="AB2380" s="22"/>
      <c r="AC2380" s="22"/>
      <c r="AD2380" s="22"/>
      <c r="AE2380" s="22"/>
      <c r="AG2380" s="146">
        <v>0</v>
      </c>
      <c r="AH2380" s="150">
        <v>0</v>
      </c>
      <c r="AI2380" s="150">
        <v>0</v>
      </c>
      <c r="AJ2380" s="82">
        <v>0</v>
      </c>
      <c r="AK2380" s="71"/>
      <c r="AL2380" s="71"/>
      <c r="AM2380" s="71"/>
      <c r="AN2380" s="71"/>
      <c r="AO2380" s="71"/>
      <c r="AP2380" s="71"/>
      <c r="AQ2380" s="71"/>
      <c r="AR2380" s="71"/>
      <c r="AS2380" s="94">
        <f t="shared" ca="1" si="2861"/>
        <v>0</v>
      </c>
      <c r="AT2380" s="95">
        <f t="shared" si="2862"/>
        <v>0</v>
      </c>
      <c r="AU2380" s="97">
        <f t="shared" si="2863"/>
        <v>0</v>
      </c>
      <c r="AW2380" s="83">
        <f t="shared" si="2864"/>
        <v>0</v>
      </c>
      <c r="AX2380" s="83">
        <f t="shared" si="2865"/>
        <v>0</v>
      </c>
      <c r="AY2380" s="83">
        <f t="shared" si="2866"/>
        <v>0</v>
      </c>
      <c r="AZ2380" s="83">
        <f t="shared" si="2867"/>
        <v>0</v>
      </c>
      <c r="BA2380" s="52"/>
      <c r="BB2380" s="52"/>
      <c r="BC2380" s="52"/>
      <c r="BD2380" s="52"/>
      <c r="BE2380" s="52"/>
      <c r="BF2380" s="52"/>
      <c r="BG2380" s="52"/>
      <c r="BH2380" s="52"/>
      <c r="BI2380" s="68" cm="1">
        <f t="array" ref="BI2380">IFERROR(INDEX(AW2380:BH2380,1,MATCH(2,1/(AW2380:BH2380&lt;&gt;""))),"")</f>
        <v>0</v>
      </c>
      <c r="BJ2380" s="68" cm="1">
        <f t="array" ref="BJ2380">IF(BM2380 = "", "",IFERROR(INDEX(AW2380:BH2380,1,MATCH(2,1/(AW2380:BH2380&lt;&gt;""),1)-1),""))</f>
        <v>0</v>
      </c>
      <c r="BK2380" s="59">
        <f t="shared" si="2868"/>
        <v>0</v>
      </c>
      <c r="BL2380" s="59" cm="1">
        <f t="array" ref="BL2380">IFERROR(SUM(AW2380:INDEX(AW2380:BH2380, MATCH(2, 1/(AW2380:BH2380&lt;&gt;""), 1) - 1))/_xlfn.XLOOKUP(F2380,Apuração!A:A,Apuração!B:B),0)</f>
        <v>0</v>
      </c>
      <c r="BM2380" s="55" cm="1">
        <f t="array" ref="BM2380">IFERROR(
   INDEX($AW$1:$BH$1,
      _xlfn.AGGREGATE(14, 6, COLUMN($AW$1:$BH$1)/(AW2380:BH2380&lt;&gt;""), 2) - COLUMN($AW$1) + 1
   ),
"")</f>
        <v>46082</v>
      </c>
      <c r="BN2380" s="55" cm="1">
        <f t="array" ref="BN2380">IFERROR(INDEX($AW$1:$BH$1,1,MATCH(2,1/(AW2380:BH2380&lt;&gt;""))),"")</f>
        <v>46113</v>
      </c>
      <c r="BO2380" s="53">
        <f ca="1">IFERROR(_xlfn.XLOOKUP(F2380,Apuração!A:A,Apuração!C:C)/_xlfn.XLOOKUP(F2380,Apuração!A:A,Apuração!B:B),0)</f>
        <v>0.41666666666666669</v>
      </c>
      <c r="BP2380" s="53">
        <f ca="1">IFERROR(_xlfn.XLOOKUP(F2380,Apuração!A:A,Apuração!D:D)/_xlfn.XLOOKUP(F2380,Apuração!A:A,Apuração!B:B),0)</f>
        <v>0.33333333333333331</v>
      </c>
      <c r="BQ2380" s="53">
        <f ca="1">IF(BK2380&gt;=BO2380,0,_xlfn.XLOOKUP(F2380,Apuração!A:A,Apuração!B:B)*(BO2380 + (1/_xlfn.XLOOKUP(F2380,Apuração!A:A,Apuração!B:B)) - BK2380))</f>
        <v>6</v>
      </c>
      <c r="BR2380" s="85">
        <f t="shared" ca="1" si="2869"/>
        <v>0</v>
      </c>
      <c r="BS2380" s="53">
        <f ca="1">IFERROR((_xlfn.XLOOKUP(F2380,Apuração!A:A,Apuração!C:C)+1)/_xlfn.XLOOKUP(F2380,Apuração!A:A,Apuração!B:B),0)</f>
        <v>0.5</v>
      </c>
    </row>
    <row r="2381" spans="1:71" ht="25.95" hidden="1" customHeight="1" x14ac:dyDescent="0.3">
      <c r="A2381" s="40" t="s">
        <v>87</v>
      </c>
      <c r="B2381" s="4" t="s">
        <v>229</v>
      </c>
      <c r="C2381" s="5" t="s">
        <v>214</v>
      </c>
      <c r="D2381" s="5" t="s">
        <v>213</v>
      </c>
      <c r="E2381" s="4" t="str" cm="1">
        <f t="array" ref="E2381">_xlfn.IFS(
F2381 = "A partir de Abril", "Aguardando Execução na Distribuidora",
A2381 = "CAPACITAÇÃO", "Em execução no Corporativo",
TRUE, "Em Execução na Distribuidora"
)</f>
        <v>Em Execução na Distribuidora</v>
      </c>
      <c r="F2381" s="4" t="str" cm="1">
        <f t="array" ref="F2381">_xlfn.IFS(
AG2381 &lt;&gt; "", "Jan-Dez/26",
AH2381 &lt;&gt; "", "Fev-Dez/26",
AI2381 &lt;&gt; "", "Mar-Dez/26", AJ2381 &lt;&gt; "", "Abr-Dez/26",
TRUE, "A partir de Junho"
)</f>
        <v>Jan-Dez/26</v>
      </c>
      <c r="G2381" s="7" t="s">
        <v>37</v>
      </c>
      <c r="H2381" s="7" t="s">
        <v>38</v>
      </c>
      <c r="I2381" s="8" t="s">
        <v>148</v>
      </c>
      <c r="J2381" s="21" t="str" cm="1">
        <f t="array" aca="1" ref="J2381" ca="1">_xlfn.LET(
  _xlpm.actual_value_month, INDEX(T2381:AE2381, MATCH(DATE(YEAR(TODAY()), MONTH(TODAY()), 1), $T$1:$AE$1, 0)),
  IF(_xlpm.actual_value_month &lt;&gt; "",_xlpm.actual_value_month &amp; " ações mensais", "")
)</f>
        <v/>
      </c>
      <c r="K2381" s="8" t="str" cm="1">
        <f t="array" ref="K2381">_xlfn.LET(
    _xlpm.sum_month, SUM(T2381:AE2381),
    IF(_xlpm.sum_month = 0, "", _xlpm.sum_month &amp; " NC's no ano")
)</f>
        <v/>
      </c>
      <c r="L2381" s="9" t="s">
        <v>149</v>
      </c>
      <c r="M2381" s="4"/>
      <c r="N2381" s="5" t="s">
        <v>51</v>
      </c>
      <c r="O2381" s="5" t="s">
        <v>52</v>
      </c>
      <c r="P2381" s="10" t="s">
        <v>44</v>
      </c>
      <c r="Q2381" s="10" t="s">
        <v>44</v>
      </c>
      <c r="R2381" s="11" t="s">
        <v>44</v>
      </c>
      <c r="S2381" s="11" t="s">
        <v>44</v>
      </c>
      <c r="T2381" s="22"/>
      <c r="U2381" s="22"/>
      <c r="V2381" s="22"/>
      <c r="W2381" s="22"/>
      <c r="X2381" s="22"/>
      <c r="Y2381" s="22"/>
      <c r="Z2381" s="22"/>
      <c r="AA2381" s="22"/>
      <c r="AB2381" s="22"/>
      <c r="AC2381" s="22"/>
      <c r="AD2381" s="22"/>
      <c r="AE2381" s="22"/>
      <c r="AG2381" s="146">
        <v>2</v>
      </c>
      <c r="AH2381" s="150">
        <v>1</v>
      </c>
      <c r="AI2381" s="150">
        <v>2</v>
      </c>
      <c r="AJ2381" s="82">
        <v>16</v>
      </c>
      <c r="AK2381" s="71"/>
      <c r="AL2381" s="71"/>
      <c r="AM2381" s="71"/>
      <c r="AN2381" s="71"/>
      <c r="AO2381" s="71"/>
      <c r="AP2381" s="71"/>
      <c r="AQ2381" s="71"/>
      <c r="AR2381" s="71"/>
      <c r="AS2381" s="94">
        <f t="shared" ca="1" si="2861"/>
        <v>0</v>
      </c>
      <c r="AT2381" s="95">
        <f t="shared" si="2862"/>
        <v>21</v>
      </c>
      <c r="AU2381" s="97">
        <f t="shared" si="2863"/>
        <v>21</v>
      </c>
      <c r="AW2381" s="83">
        <f t="shared" si="2864"/>
        <v>2</v>
      </c>
      <c r="AX2381" s="83">
        <f t="shared" si="2865"/>
        <v>1</v>
      </c>
      <c r="AY2381" s="83">
        <f t="shared" si="2866"/>
        <v>2</v>
      </c>
      <c r="AZ2381" s="83">
        <f t="shared" si="2867"/>
        <v>16</v>
      </c>
      <c r="BA2381" s="52"/>
      <c r="BB2381" s="52"/>
      <c r="BC2381" s="52"/>
      <c r="BD2381" s="52"/>
      <c r="BE2381" s="52"/>
      <c r="BF2381" s="52"/>
      <c r="BG2381" s="52"/>
      <c r="BH2381" s="52"/>
      <c r="BI2381" s="68" cm="1">
        <f t="array" ref="BI2381">IFERROR(INDEX(AW2381:BH2381,1,MATCH(2,1/(AW2381:BH2381&lt;&gt;""))),"")</f>
        <v>16</v>
      </c>
      <c r="BJ2381" s="68" cm="1">
        <f t="array" ref="BJ2381">IF(BM2381 = "", "",IFERROR(INDEX(AW2381:BH2381,1,MATCH(2,1/(AW2381:BH2381&lt;&gt;""),1)-1),""))</f>
        <v>2</v>
      </c>
      <c r="BK2381" s="59">
        <f t="shared" si="2868"/>
        <v>21</v>
      </c>
      <c r="BL2381" s="59" cm="1">
        <f t="array" ref="BL2381">IFERROR(SUM(AW2381:INDEX(AW2381:BH2381, MATCH(2, 1/(AW2381:BH2381&lt;&gt;""), 1) - 1))/_xlfn.XLOOKUP(F2381,Apuração!A:A,Apuração!B:B),0)</f>
        <v>0.41666666666666669</v>
      </c>
      <c r="BM2381" s="55" cm="1">
        <f t="array" ref="BM2381">IFERROR(
   INDEX($AW$1:$BH$1,
      _xlfn.AGGREGATE(14, 6, COLUMN($AW$1:$BH$1)/(AW2381:BH2381&lt;&gt;""), 2) - COLUMN($AW$1) + 1
   ),
"")</f>
        <v>46082</v>
      </c>
      <c r="BN2381" s="55" cm="1">
        <f t="array" ref="BN2381">IFERROR(INDEX($AW$1:$BH$1,1,MATCH(2,1/(AW2381:BH2381&lt;&gt;""))),"")</f>
        <v>46113</v>
      </c>
      <c r="BO2381" s="53">
        <f ca="1">IFERROR(_xlfn.XLOOKUP(F2381,Apuração!A:A,Apuração!C:C)/_xlfn.XLOOKUP(F2381,Apuração!A:A,Apuração!B:B),0)</f>
        <v>0.41666666666666669</v>
      </c>
      <c r="BP2381" s="53">
        <f ca="1">IFERROR(_xlfn.XLOOKUP(F2381,Apuração!A:A,Apuração!D:D)/_xlfn.XLOOKUP(F2381,Apuração!A:A,Apuração!B:B),0)</f>
        <v>0.33333333333333331</v>
      </c>
      <c r="BQ2381" s="53">
        <f ca="1">IF(BK2381&gt;=BO2381,0,_xlfn.XLOOKUP(F2381,Apuração!A:A,Apuração!B:B)*(BO2381 + (1/_xlfn.XLOOKUP(F2381,Apuração!A:A,Apuração!B:B)) - BK2381))</f>
        <v>0</v>
      </c>
      <c r="BR2381" s="85">
        <f t="shared" ca="1" si="2869"/>
        <v>0</v>
      </c>
      <c r="BS2381" s="53">
        <f ca="1">IFERROR((_xlfn.XLOOKUP(F2381,Apuração!A:A,Apuração!C:C)+1)/_xlfn.XLOOKUP(F2381,Apuração!A:A,Apuração!B:B),0)</f>
        <v>0.5</v>
      </c>
    </row>
    <row r="2382" spans="1:71" ht="25.95" hidden="1" customHeight="1" x14ac:dyDescent="0.3">
      <c r="A2382" s="20" t="s">
        <v>87</v>
      </c>
      <c r="B2382" s="4" t="s">
        <v>232</v>
      </c>
      <c r="C2382" s="5" t="s">
        <v>214</v>
      </c>
      <c r="D2382" s="5" t="s">
        <v>36</v>
      </c>
      <c r="E2382" s="4" t="str" cm="1">
        <f t="array" ref="E2382">_xlfn.IFS(
F2382 = "A partir de Abril", "Aguardando Execução na Distribuidora",
A2382 = "CAPACITAÇÃO", "Em execução no Corporativo",
TRUE, "Em Execução na Distribuidora"
)</f>
        <v>Em Execução na Distribuidora</v>
      </c>
      <c r="F2382" s="4" t="str" cm="1">
        <f t="array" ref="F2382">_xlfn.IFS(
AG2382 &lt;&gt; "", "Jan-Dez/26",
AH2382 &lt;&gt; "", "Fev-Dez/26",
AI2382 &lt;&gt; "", "Mar-Dez/26", AJ2382 &lt;&gt; "", "Abr-Dez/26",
TRUE, "A partir de Junho"
)</f>
        <v>Abr-Dez/26</v>
      </c>
      <c r="G2382" s="7" t="s">
        <v>37</v>
      </c>
      <c r="H2382" s="7" t="s">
        <v>110</v>
      </c>
      <c r="I2382" s="21" t="s">
        <v>233</v>
      </c>
      <c r="J2382" s="21" t="str" cm="1">
        <f t="array" aca="1" ref="J2382" ca="1">_xlfn.LET(
  _xlpm.actual_value_month, INDEX(T2382:AE2382, MATCH(DATE(YEAR(TODAY()), MONTH(TODAY()), 1), $T$1:$AE$1, 0)),
  IF(_xlpm.actual_value_month &lt;&gt; "",_xlpm.actual_value_month &amp; " equipes mensais", "")
)</f>
        <v>178,6 equipes mensais</v>
      </c>
      <c r="K2382" s="8" t="str" cm="1">
        <f t="array" ref="K2382">_xlfn.LET(
    _xlpm.sum_month, SUM(T2382:AE2382),
    IF(_xlpm.sum_month = 0, "", _xlpm.sum_month &amp; " equipes alcançadas no ano")
)</f>
        <v>1607,4 equipes alcançadas no ano</v>
      </c>
      <c r="L2382" s="4" t="s">
        <v>234</v>
      </c>
      <c r="M2382" s="19" t="s">
        <v>235</v>
      </c>
      <c r="N2382" s="5" t="s">
        <v>42</v>
      </c>
      <c r="O2382" s="5" t="s">
        <v>43</v>
      </c>
      <c r="P2382" s="10" t="s">
        <v>44</v>
      </c>
      <c r="Q2382" s="10" t="s">
        <v>44</v>
      </c>
      <c r="R2382" s="11" t="s">
        <v>147</v>
      </c>
      <c r="S2382" s="11" t="s">
        <v>162</v>
      </c>
      <c r="T2382" s="22"/>
      <c r="U2382" s="22"/>
      <c r="V2382" s="22"/>
      <c r="W2382" s="22">
        <f t="shared" ref="W2382:AE2382" si="2870">893*0.2</f>
        <v>178.60000000000002</v>
      </c>
      <c r="X2382" s="22">
        <f t="shared" si="2870"/>
        <v>178.60000000000002</v>
      </c>
      <c r="Y2382" s="22">
        <f t="shared" si="2870"/>
        <v>178.60000000000002</v>
      </c>
      <c r="Z2382" s="22">
        <f t="shared" si="2870"/>
        <v>178.60000000000002</v>
      </c>
      <c r="AA2382" s="22">
        <f t="shared" si="2870"/>
        <v>178.60000000000002</v>
      </c>
      <c r="AB2382" s="22">
        <f t="shared" si="2870"/>
        <v>178.60000000000002</v>
      </c>
      <c r="AC2382" s="22">
        <f t="shared" si="2870"/>
        <v>178.60000000000002</v>
      </c>
      <c r="AD2382" s="22">
        <f t="shared" si="2870"/>
        <v>178.60000000000002</v>
      </c>
      <c r="AE2382" s="22">
        <f t="shared" si="2870"/>
        <v>178.60000000000002</v>
      </c>
      <c r="AG2382" s="71"/>
      <c r="AH2382" s="71"/>
      <c r="AI2382" s="71"/>
      <c r="AJ2382" s="71">
        <v>193</v>
      </c>
      <c r="AK2382" s="71"/>
      <c r="AL2382" s="71"/>
      <c r="AM2382" s="71"/>
      <c r="AN2382" s="71"/>
      <c r="AO2382" s="71"/>
      <c r="AP2382" s="71"/>
      <c r="AQ2382" s="71"/>
      <c r="AR2382" s="71"/>
      <c r="AS2382" s="94">
        <f ca="1">IF(MONTH(TODAY())=3,SUM(T2382:U2382),IF(MONTH(TODAY())=4,SUM(T2382:V2382),IF(MONTH(TODAY())=5,SUM(T2382:W2382),IF(MONTH(TODAY())=6,SUM(T2382:X2382),IF(MONTH(TODAY())=7,SUM(T2382:Y2382),IF(MONTH(TODAY())=8,SUM(T2382:Z2382),IF(MONTH(TODAY())=9,SUM(T2382:AA2382),IF(MONTH(TODAY())=10,SUM(T2382:AB2382),IF(MONTH(TODAY())=11,SUM(T2382:AC2382),IF(MONTH(TODAY())=12,SUM(T2382:AD2382),IF(MONTH(TODAY())=1,SUM(T2382:AE2382),T2382)))))))))))</f>
        <v>357.20000000000005</v>
      </c>
      <c r="AT2382" s="95">
        <f>SUM(IF(AW2382&lt;1.15,AG2382,1.15*T2382),IF(AX2382&lt;1.15,AH2382,1.15*U2382),IF(AY2382&lt;1.15,AI2382,1.15*V2382),IF(AZ2382&lt;1.15,AJ2382,1.15*W2382),IF(BA2382&lt;1.15,AK2382,1.15*X2382),IF(BB2382&lt;1.15,AL2382,1.15*Y2382),IF(BC2382&lt;1.15,AM2382,1.15*Z2382),IF(BD2382&lt;1.15,AN2382,1.15*AA2382),IF(BE2382&lt;1.15,AO2382,1.15*AB2382),IF(BF2382&lt;1.15,AP2382,1.15*AC2382),IF(BG2382&lt;1.15,AQ2382,1.15*AD2382),IF(BH2382&lt;1.15,AR2382,1.15*AE2382))</f>
        <v>193</v>
      </c>
      <c r="AU2382" s="97">
        <f>SUM(AG2382:AR2382)</f>
        <v>193</v>
      </c>
      <c r="AW2382" s="51">
        <f>IFERROR(IF(AG2382="",0,AG2382/T2382),0)</f>
        <v>0</v>
      </c>
      <c r="AX2382" s="51">
        <f>IFERROR(IF(AH2382="",0,AH2382/U2382),0)</f>
        <v>0</v>
      </c>
      <c r="AY2382" s="51">
        <f>IFERROR(IF(AI2382="",0,AI2382/V2382),0)</f>
        <v>0</v>
      </c>
      <c r="AZ2382" s="51">
        <f>IFERROR(IF(AJ2382="",0,AJ2382/W2382),0)</f>
        <v>1.0806270996640537</v>
      </c>
      <c r="BA2382" s="51"/>
      <c r="BB2382" s="51"/>
      <c r="BC2382" s="51"/>
      <c r="BD2382" s="51"/>
      <c r="BE2382" s="51"/>
      <c r="BF2382" s="51"/>
      <c r="BG2382" s="51"/>
      <c r="BH2382" s="51"/>
      <c r="BI2382" s="65" cm="1">
        <f t="array" ref="BI2382">IFERROR(INDEX(AW2382:BH2382,1,MATCH(2,1/(AW2382:BH2382&lt;&gt;""))),"")</f>
        <v>1.0806270996640537</v>
      </c>
      <c r="BJ2382" s="68" cm="1">
        <f t="array" ref="BJ2382">IF(BM2382 = "", "",IFERROR(INDEX(AW2382:BH2382,1,MATCH(2,1/(AW2382:BH2382&lt;&gt;""),1)-1),""))</f>
        <v>0</v>
      </c>
      <c r="BK2382" s="58">
        <f>IF((IF(AW2382&gt;=115%,115%,AW2382) + IF(AX2382&gt;=115%,115%,AX2382) + IF(AY2382&gt;=115%,115%,AY2382) + (IF(AZ2382&gt;=115%,115%,AZ2382) + IF(BA2382&gt;=200%,200%,BA2382) + IF(BB2382&gt;=135%,135%,BB2382) + IF(BC2382&gt;=115%,115%,BC2382) + IF(BD2382&gt;=115%,115%,BD2382) + IF(BE2382&gt;=115%,115%,BE2382) + IF(BF2382&gt;=115%,115%,BF2382) + IF(BG2382&gt;=115%,115%,BG2382) + IF(BH2382&gt;=115%,115%,BH2382)))/_xlfn.XLOOKUP(F2382,Apuração!A:A,Apuração!B:B)&gt;=1.15,1.15,((IF(AZ2382&gt;=115%,115%,AZ2382) + IF(AX2382&gt;=115%,115%,AX2382) + IF(AY2382&gt;=115%,115%,AY2382) + (IF(AW2382&gt;=115%,115%,AW2382) + IF(BA2382&gt;=200%,200%,BA2382) + IF(BB2382&gt;=135%,135%,BB2382) + IF(BC2382&gt;=115%,115%,BC2382) + IF(BD2382&gt;=115%,115%,BD2382) + IF(BE2382&gt;=115%,115%,BE2382) + IF(BF2382&gt;=115%,115%,BF2382) + IF(BG2382&gt;=115%,115%,BG2382) + IF(BH2382&gt;=115%,115%,BH2382)))/_xlfn.XLOOKUP(F2382,Apuração!A:A,Apuração!B:B)))</f>
        <v>0.12006967774045041</v>
      </c>
      <c r="BL2382" s="58" cm="1">
        <f t="array" aca="1" ref="BL2382" ca="1">IF(SUM(IFERROR(IF(INDEX(AW2382:INDEX(AW2382:BH2382, MATCH(2, 1/(AW2382:BH2382&lt;&gt;""), 1)-1), ROW(INDIRECT("1:" &amp; MATCH(2, 1/(AW2382:BH2382&lt;&gt;""), 1)-1))) &gt;= 115%, 115%, INDEX(AW2382:INDEX(AW2382:BH2382, MATCH(2, 1/(AW2382:BH2382&lt;&gt;""), 1)-1), ROW(INDIRECT("1:" &amp; MATCH(2, 1/(AW2382:BH2382&lt;&gt;""), 1)-1)))), 0))/_xlfn.XLOOKUP(F2382,Apuração!A:A,Apuração!B:B)&gt;=1.15,1.15,SUM(IFERROR(IF(INDEX(AW2382:INDEX(AW2382:BH2382, MATCH(2, 1/(AW2382:BH2382&lt;&gt;""), 1)-1), ROW(INDIRECT("1:" &amp; MATCH(2, 1/(AW2382:BH2382&lt;&gt;""), 1)-1))) &gt;= 115%, 115%, INDEX(AW2382:INDEX(AW2382:BH2382, MATCH(2, 1/(AW2382:BH2382&lt;&gt;""), 1)-1), ROW(INDIRECT("1:" &amp; MATCH(2, 1/(AW2382:BH2382&lt;&gt;""), 1)-1)))), 0))/_xlfn.XLOOKUP(F2382,Apuração!A:A,Apuração!B:B))</f>
        <v>0</v>
      </c>
      <c r="BM2382" s="55" cm="1">
        <f t="array" ref="BM2382">IFERROR(
   INDEX($AW$1:$BH$1,
      _xlfn.AGGREGATE(14, 6, COLUMN($AW$1:$BH$1)/(AW2382:BH2382&lt;&gt;""), 2) - COLUMN($AW$1) + 1
   ),
"")</f>
        <v>46082</v>
      </c>
      <c r="BN2382" s="55" cm="1">
        <f t="array" ref="BN2382">IFERROR(INDEX($AW$1:$BH$1,1,MATCH(2,1/(AW2382:BH2382&lt;&gt;""))),"")</f>
        <v>46113</v>
      </c>
      <c r="BO2382" s="53">
        <f ca="1">IFERROR(_xlfn.XLOOKUP(F2382,Apuração!A:A,Apuração!C:C)/_xlfn.XLOOKUP(F2382,Apuração!A:A,Apuração!B:B),0)</f>
        <v>0.22222222222222221</v>
      </c>
      <c r="BP2382" s="53">
        <f ca="1">IFERROR(_xlfn.XLOOKUP(F2382,Apuração!A:A,Apuração!D:D)/_xlfn.XLOOKUP(F2382,Apuração!A:A,Apuração!B:B),0)</f>
        <v>0.1111111111111111</v>
      </c>
      <c r="BQ2382" s="53">
        <f ca="1">IF(BK2382&gt;=BO2382,0,_xlfn.XLOOKUP(F2382,Apuração!A:A,Apuração!B:B)*(BO2382 + (1/_xlfn.XLOOKUP(F2382,Apuração!A:A,Apuração!B:B)) - BK2382))</f>
        <v>1.9193729003359461</v>
      </c>
      <c r="BR2382" s="85">
        <f ca="1">IF(BQ2382=0,0,BQ2382*Z2382)</f>
        <v>342.8</v>
      </c>
      <c r="BS2382" s="53">
        <f ca="1">IFERROR((_xlfn.XLOOKUP(F2382,Apuração!A:A,Apuração!C:C)+1)/_xlfn.XLOOKUP(F2382,Apuração!A:A,Apuração!B:B),0)</f>
        <v>0.33333333333333331</v>
      </c>
    </row>
    <row r="2383" spans="1:71" ht="25.95" hidden="1" customHeight="1" x14ac:dyDescent="0.3">
      <c r="A2383" s="20" t="s">
        <v>87</v>
      </c>
      <c r="B2383" s="4" t="s">
        <v>232</v>
      </c>
      <c r="C2383" s="5" t="s">
        <v>214</v>
      </c>
      <c r="D2383" s="5" t="s">
        <v>210</v>
      </c>
      <c r="E2383" s="4" t="str" cm="1">
        <f t="array" ref="E2383">_xlfn.IFS(
F2383 = "A partir de Abril", "Aguardando Execução na Distribuidora",
A2383 = "CAPACITAÇÃO", "Em execução no Corporativo",
TRUE, "Em Execução na Distribuidora"
)</f>
        <v>Em Execução na Distribuidora</v>
      </c>
      <c r="F2383" s="4" t="str" cm="1">
        <f t="array" ref="F2383">_xlfn.IFS(
AG2383 &lt;&gt; "", "Jan-Dez/26",
AH2383 &lt;&gt; "", "Fev-Dez/26",
AI2383 &lt;&gt; "", "Mar-Dez/26", AJ2383 &lt;&gt; "", "Abr-Dez/26",
TRUE, "A partir de Junho"
)</f>
        <v>Abr-Dez/26</v>
      </c>
      <c r="G2383" s="7" t="s">
        <v>37</v>
      </c>
      <c r="H2383" s="7" t="s">
        <v>110</v>
      </c>
      <c r="I2383" s="21" t="s">
        <v>233</v>
      </c>
      <c r="J2383" s="21" t="str" cm="1">
        <f t="array" aca="1" ref="J2383" ca="1">_xlfn.LET(
  _xlpm.actual_value_month, INDEX(T2383:AE2383, MATCH(DATE(YEAR(TODAY()), MONTH(TODAY()), 1), $T$1:$AE$1, 0)),
  IF(_xlpm.actual_value_month &lt;&gt; "",_xlpm.actual_value_month &amp; " equipes mensais", "")
)</f>
        <v>11 equipes mensais</v>
      </c>
      <c r="K2383" s="8" t="str" cm="1">
        <f t="array" ref="K2383">_xlfn.LET(
    _xlpm.sum_month, SUM(T2383:AE2383),
    IF(_xlpm.sum_month = 0, "", _xlpm.sum_month &amp; " equipes alcançadas no ano")
)</f>
        <v>99 equipes alcançadas no ano</v>
      </c>
      <c r="L2383" s="4" t="s">
        <v>234</v>
      </c>
      <c r="M2383" s="19" t="s">
        <v>235</v>
      </c>
      <c r="N2383" s="5" t="s">
        <v>42</v>
      </c>
      <c r="O2383" s="5" t="s">
        <v>43</v>
      </c>
      <c r="P2383" s="10" t="s">
        <v>44</v>
      </c>
      <c r="Q2383" s="10" t="s">
        <v>44</v>
      </c>
      <c r="R2383" s="11" t="s">
        <v>147</v>
      </c>
      <c r="S2383" s="11" t="s">
        <v>162</v>
      </c>
      <c r="T2383" s="22"/>
      <c r="U2383" s="22"/>
      <c r="V2383" s="22"/>
      <c r="W2383" s="143">
        <v>11</v>
      </c>
      <c r="X2383" s="143">
        <v>11</v>
      </c>
      <c r="Y2383" s="143">
        <v>11</v>
      </c>
      <c r="Z2383" s="143">
        <v>11</v>
      </c>
      <c r="AA2383" s="143">
        <v>11</v>
      </c>
      <c r="AB2383" s="143">
        <v>11</v>
      </c>
      <c r="AC2383" s="143">
        <v>11</v>
      </c>
      <c r="AD2383" s="143">
        <v>11</v>
      </c>
      <c r="AE2383" s="143">
        <v>11</v>
      </c>
      <c r="AG2383" s="71"/>
      <c r="AH2383" s="71"/>
      <c r="AI2383" s="71"/>
      <c r="AJ2383" s="82">
        <v>15</v>
      </c>
      <c r="AK2383" s="71"/>
      <c r="AL2383" s="71"/>
      <c r="AM2383" s="71"/>
      <c r="AN2383" s="71"/>
      <c r="AO2383" s="71"/>
      <c r="AP2383" s="71"/>
      <c r="AQ2383" s="71"/>
      <c r="AR2383" s="71"/>
      <c r="AS2383" s="94">
        <f t="shared" ref="AS2383:AS2387" ca="1" si="2871">IF(MONTH(TODAY())=3,SUM(T2383:U2383),IF(MONTH(TODAY())=4,SUM(T2383:V2383),IF(MONTH(TODAY())=5,SUM(T2383:W2383),IF(MONTH(TODAY())=6,SUM(T2383:X2383),IF(MONTH(TODAY())=7,SUM(T2383:Y2383),IF(MONTH(TODAY())=8,SUM(T2383:Z2383),IF(MONTH(TODAY())=9,SUM(T2383:AA2383),IF(MONTH(TODAY())=10,SUM(T2383:AB2383),IF(MONTH(TODAY())=11,SUM(T2383:AC2383),IF(MONTH(TODAY())=12,SUM(T2383:AD2383),IF(MONTH(TODAY())=1,SUM(T2383:AE2383),T2383)))))))))))</f>
        <v>22</v>
      </c>
      <c r="AT2383" s="95">
        <f t="shared" ref="AT2383:AT2387" si="2872">SUM(IF(AW2383&lt;1.15,AG2383,1.15*T2383),IF(AX2383&lt;1.15,AH2383,1.15*U2383),IF(AY2383&lt;1.15,AI2383,1.15*V2383),IF(AZ2383&lt;1.15,AJ2383,1.15*W2383),IF(BA2383&lt;1.15,AK2383,1.15*X2383),IF(BB2383&lt;1.15,AL2383,1.15*Y2383),IF(BC2383&lt;1.15,AM2383,1.15*Z2383),IF(BD2383&lt;1.15,AN2383,1.15*AA2383),IF(BE2383&lt;1.15,AO2383,1.15*AB2383),IF(BF2383&lt;1.15,AP2383,1.15*AC2383),IF(BG2383&lt;1.15,AQ2383,1.15*AD2383),IF(BH2383&lt;1.15,AR2383,1.15*AE2383))</f>
        <v>12.649999999999999</v>
      </c>
      <c r="AU2383" s="97">
        <f t="shared" ref="AU2383:AU2387" si="2873">SUM(AG2383:AR2383)</f>
        <v>15</v>
      </c>
      <c r="AW2383" s="51">
        <f t="shared" ref="AW2383:AW2387" si="2874">IFERROR(IF(AG2383="",0,AG2383/T2383),0)</f>
        <v>0</v>
      </c>
      <c r="AX2383" s="51">
        <f t="shared" ref="AX2383:AX2387" si="2875">IFERROR(IF(AH2383="",0,AH2383/U2383),0)</f>
        <v>0</v>
      </c>
      <c r="AY2383" s="51">
        <f t="shared" ref="AY2383:AY2387" si="2876">IFERROR(IF(AI2383="",0,AI2383/V2383),0)</f>
        <v>0</v>
      </c>
      <c r="AZ2383" s="51">
        <f t="shared" ref="AZ2383:AZ2387" si="2877">IFERROR(IF(AJ2383="",0,AJ2383/W2383),0)</f>
        <v>1.3636363636363635</v>
      </c>
      <c r="BA2383" s="51"/>
      <c r="BB2383" s="51"/>
      <c r="BC2383" s="51"/>
      <c r="BD2383" s="51"/>
      <c r="BE2383" s="51"/>
      <c r="BF2383" s="51"/>
      <c r="BG2383" s="51"/>
      <c r="BH2383" s="51"/>
      <c r="BI2383" s="65" cm="1">
        <f t="array" ref="BI2383">IFERROR(INDEX(AW2383:BH2383,1,MATCH(2,1/(AW2383:BH2383&lt;&gt;""))),"")</f>
        <v>1.3636363636363635</v>
      </c>
      <c r="BJ2383" s="68" cm="1">
        <f t="array" ref="BJ2383">IF(BM2383 = "", "",IFERROR(INDEX(AW2383:BH2383,1,MATCH(2,1/(AW2383:BH2383&lt;&gt;""),1)-1),""))</f>
        <v>0</v>
      </c>
      <c r="BK2383" s="58">
        <f>IF((IF(AW2383&gt;=115%,115%,AW2383) + IF(AX2383&gt;=115%,115%,AX2383) + IF(AY2383&gt;=115%,115%,AY2383) + (IF(AZ2383&gt;=115%,115%,AZ2383) + IF(BA2383&gt;=200%,200%,BA2383) + IF(BB2383&gt;=135%,135%,BB2383) + IF(BC2383&gt;=115%,115%,BC2383) + IF(BD2383&gt;=115%,115%,BD2383) + IF(BE2383&gt;=115%,115%,BE2383) + IF(BF2383&gt;=115%,115%,BF2383) + IF(BG2383&gt;=115%,115%,BG2383) + IF(BH2383&gt;=115%,115%,BH2383)))/_xlfn.XLOOKUP(F2383,Apuração!A:A,Apuração!B:B)&gt;=1.15,1.15,((IF(AZ2383&gt;=115%,115%,AZ2383) + IF(AX2383&gt;=115%,115%,AX2383) + IF(AY2383&gt;=115%,115%,AY2383) + (IF(AW2383&gt;=115%,115%,AW2383) + IF(BA2383&gt;=200%,200%,BA2383) + IF(BB2383&gt;=135%,135%,BB2383) + IF(BC2383&gt;=115%,115%,BC2383) + IF(BD2383&gt;=115%,115%,BD2383) + IF(BE2383&gt;=115%,115%,BE2383) + IF(BF2383&gt;=115%,115%,BF2383) + IF(BG2383&gt;=115%,115%,BG2383) + IF(BH2383&gt;=115%,115%,BH2383)))/_xlfn.XLOOKUP(F2383,Apuração!A:A,Apuração!B:B)))</f>
        <v>0.12777777777777777</v>
      </c>
      <c r="BL2383" s="58" cm="1">
        <f t="array" aca="1" ref="BL2383" ca="1">IF(SUM(IFERROR(IF(INDEX(AW2383:INDEX(AW2383:BH2383, MATCH(2, 1/(AW2383:BH2383&lt;&gt;""), 1)-1), ROW(INDIRECT("1:" &amp; MATCH(2, 1/(AW2383:BH2383&lt;&gt;""), 1)-1))) &gt;= 115%, 115%, INDEX(AW2383:INDEX(AW2383:BH2383, MATCH(2, 1/(AW2383:BH2383&lt;&gt;""), 1)-1), ROW(INDIRECT("1:" &amp; MATCH(2, 1/(AW2383:BH2383&lt;&gt;""), 1)-1)))), 0))/_xlfn.XLOOKUP(F2383,Apuração!A:A,Apuração!B:B)&gt;=1.15,1.15,SUM(IFERROR(IF(INDEX(AW2383:INDEX(AW2383:BH2383, MATCH(2, 1/(AW2383:BH2383&lt;&gt;""), 1)-1), ROW(INDIRECT("1:" &amp; MATCH(2, 1/(AW2383:BH2383&lt;&gt;""), 1)-1))) &gt;= 115%, 115%, INDEX(AW2383:INDEX(AW2383:BH2383, MATCH(2, 1/(AW2383:BH2383&lt;&gt;""), 1)-1), ROW(INDIRECT("1:" &amp; MATCH(2, 1/(AW2383:BH2383&lt;&gt;""), 1)-1)))), 0))/_xlfn.XLOOKUP(F2383,Apuração!A:A,Apuração!B:B))</f>
        <v>0</v>
      </c>
      <c r="BM2383" s="55" cm="1">
        <f t="array" ref="BM2383">IFERROR(
   INDEX($AW$1:$BH$1,
      _xlfn.AGGREGATE(14, 6, COLUMN($AW$1:$BH$1)/(AW2383:BH2383&lt;&gt;""), 2) - COLUMN($AW$1) + 1
   ),
"")</f>
        <v>46082</v>
      </c>
      <c r="BN2383" s="55" cm="1">
        <f t="array" ref="BN2383">IFERROR(INDEX($AW$1:$BH$1,1,MATCH(2,1/(AW2383:BH2383&lt;&gt;""))),"")</f>
        <v>46113</v>
      </c>
      <c r="BO2383" s="53">
        <f ca="1">IFERROR(_xlfn.XLOOKUP(F2383,Apuração!A:A,Apuração!C:C)/_xlfn.XLOOKUP(F2383,Apuração!A:A,Apuração!B:B),0)</f>
        <v>0.22222222222222221</v>
      </c>
      <c r="BP2383" s="53">
        <f ca="1">IFERROR(_xlfn.XLOOKUP(F2383,Apuração!A:A,Apuração!D:D)/_xlfn.XLOOKUP(F2383,Apuração!A:A,Apuração!B:B),0)</f>
        <v>0.1111111111111111</v>
      </c>
      <c r="BQ2383" s="53">
        <f ca="1">IF(BK2383&gt;=BO2383,0,_xlfn.XLOOKUP(F2383,Apuração!A:A,Apuração!B:B)*(BO2383 + (1/_xlfn.XLOOKUP(F2383,Apuração!A:A,Apuração!B:B)) - BK2383))</f>
        <v>1.8499999999999999</v>
      </c>
      <c r="BR2383" s="85">
        <f t="shared" ref="BR2383:BR2387" ca="1" si="2878">IF(BQ2383=0,0,BQ2383*Z2383)</f>
        <v>20.349999999999998</v>
      </c>
      <c r="BS2383" s="53">
        <f ca="1">IFERROR((_xlfn.XLOOKUP(F2383,Apuração!A:A,Apuração!C:C)+1)/_xlfn.XLOOKUP(F2383,Apuração!A:A,Apuração!B:B),0)</f>
        <v>0.33333333333333331</v>
      </c>
    </row>
    <row r="2384" spans="1:71" ht="25.95" hidden="1" customHeight="1" x14ac:dyDescent="0.3">
      <c r="A2384" s="20" t="s">
        <v>87</v>
      </c>
      <c r="B2384" s="4" t="s">
        <v>232</v>
      </c>
      <c r="C2384" s="5" t="s">
        <v>214</v>
      </c>
      <c r="D2384" s="5" t="s">
        <v>215</v>
      </c>
      <c r="E2384" s="4" t="str" cm="1">
        <f t="array" ref="E2384">_xlfn.IFS(
F2384 = "A partir de Abril", "Aguardando Execução na Distribuidora",
A2384 = "CAPACITAÇÃO", "Em execução no Corporativo",
TRUE, "Em Execução na Distribuidora"
)</f>
        <v>Em Execução na Distribuidora</v>
      </c>
      <c r="F2384" s="4" t="str" cm="1">
        <f t="array" ref="F2384">_xlfn.IFS(
AG2384 &lt;&gt; "", "Jan-Dez/26",
AH2384 &lt;&gt; "", "Fev-Dez/26",
AI2384 &lt;&gt; "", "Mar-Dez/26", AJ2384 &lt;&gt; "", "Abr-Dez/26",
TRUE, "A partir de Junho"
)</f>
        <v>Abr-Dez/26</v>
      </c>
      <c r="G2384" s="7" t="s">
        <v>37</v>
      </c>
      <c r="H2384" s="7" t="s">
        <v>110</v>
      </c>
      <c r="I2384" s="21" t="s">
        <v>233</v>
      </c>
      <c r="J2384" s="21" t="str" cm="1">
        <f t="array" aca="1" ref="J2384" ca="1">_xlfn.LET(
  _xlpm.actual_value_month, INDEX(T2384:AE2384, MATCH(DATE(YEAR(TODAY()), MONTH(TODAY()), 1), $T$1:$AE$1, 0)),
  IF(_xlpm.actual_value_month &lt;&gt; "",_xlpm.actual_value_month &amp; " equipes mensais", "")
)</f>
        <v>37 equipes mensais</v>
      </c>
      <c r="K2384" s="8" t="str" cm="1">
        <f t="array" ref="K2384">_xlfn.LET(
    _xlpm.sum_month, SUM(T2384:AE2384),
    IF(_xlpm.sum_month = 0, "", _xlpm.sum_month &amp; " equipes alcançadas no ano")
)</f>
        <v>333 equipes alcançadas no ano</v>
      </c>
      <c r="L2384" s="4" t="s">
        <v>234</v>
      </c>
      <c r="M2384" s="19" t="s">
        <v>235</v>
      </c>
      <c r="N2384" s="5" t="s">
        <v>42</v>
      </c>
      <c r="O2384" s="5" t="s">
        <v>43</v>
      </c>
      <c r="P2384" s="10" t="s">
        <v>44</v>
      </c>
      <c r="Q2384" s="10" t="s">
        <v>44</v>
      </c>
      <c r="R2384" s="11" t="s">
        <v>147</v>
      </c>
      <c r="S2384" s="11" t="s">
        <v>162</v>
      </c>
      <c r="T2384" s="22"/>
      <c r="U2384" s="22"/>
      <c r="V2384" s="22"/>
      <c r="W2384" s="143">
        <v>37</v>
      </c>
      <c r="X2384" s="143">
        <v>37</v>
      </c>
      <c r="Y2384" s="143">
        <v>37</v>
      </c>
      <c r="Z2384" s="143">
        <v>37</v>
      </c>
      <c r="AA2384" s="143">
        <v>37</v>
      </c>
      <c r="AB2384" s="143">
        <v>37</v>
      </c>
      <c r="AC2384" s="143">
        <v>37</v>
      </c>
      <c r="AD2384" s="143">
        <v>37</v>
      </c>
      <c r="AE2384" s="143">
        <v>37</v>
      </c>
      <c r="AG2384" s="71"/>
      <c r="AH2384" s="71"/>
      <c r="AI2384" s="71"/>
      <c r="AJ2384" s="82">
        <v>41</v>
      </c>
      <c r="AK2384" s="71"/>
      <c r="AL2384" s="71"/>
      <c r="AM2384" s="71"/>
      <c r="AN2384" s="71"/>
      <c r="AO2384" s="71"/>
      <c r="AP2384" s="71"/>
      <c r="AQ2384" s="71"/>
      <c r="AR2384" s="71"/>
      <c r="AS2384" s="94">
        <f t="shared" ca="1" si="2871"/>
        <v>74</v>
      </c>
      <c r="AT2384" s="95">
        <f t="shared" si="2872"/>
        <v>41</v>
      </c>
      <c r="AU2384" s="97">
        <f t="shared" si="2873"/>
        <v>41</v>
      </c>
      <c r="AW2384" s="51">
        <f t="shared" si="2874"/>
        <v>0</v>
      </c>
      <c r="AX2384" s="51">
        <f t="shared" si="2875"/>
        <v>0</v>
      </c>
      <c r="AY2384" s="51">
        <f t="shared" si="2876"/>
        <v>0</v>
      </c>
      <c r="AZ2384" s="51">
        <f t="shared" si="2877"/>
        <v>1.1081081081081081</v>
      </c>
      <c r="BA2384" s="51"/>
      <c r="BB2384" s="51"/>
      <c r="BC2384" s="51"/>
      <c r="BD2384" s="51"/>
      <c r="BE2384" s="51"/>
      <c r="BF2384" s="51"/>
      <c r="BG2384" s="51"/>
      <c r="BH2384" s="51"/>
      <c r="BI2384" s="65" cm="1">
        <f t="array" ref="BI2384">IFERROR(INDEX(AW2384:BH2384,1,MATCH(2,1/(AW2384:BH2384&lt;&gt;""))),"")</f>
        <v>1.1081081081081081</v>
      </c>
      <c r="BJ2384" s="68" cm="1">
        <f t="array" ref="BJ2384">IF(BM2384 = "", "",IFERROR(INDEX(AW2384:BH2384,1,MATCH(2,1/(AW2384:BH2384&lt;&gt;""),1)-1),""))</f>
        <v>0</v>
      </c>
      <c r="BK2384" s="58">
        <f>IF((IF(AW2384&gt;=115%,115%,AW2384) + IF(AX2384&gt;=115%,115%,AX2384) + IF(AY2384&gt;=115%,115%,AY2384) + (IF(AZ2384&gt;=115%,115%,AZ2384) + IF(BA2384&gt;=200%,200%,BA2384) + IF(BB2384&gt;=135%,135%,BB2384) + IF(BC2384&gt;=115%,115%,BC2384) + IF(BD2384&gt;=115%,115%,BD2384) + IF(BE2384&gt;=115%,115%,BE2384) + IF(BF2384&gt;=115%,115%,BF2384) + IF(BG2384&gt;=115%,115%,BG2384) + IF(BH2384&gt;=115%,115%,BH2384)))/_xlfn.XLOOKUP(F2384,Apuração!A:A,Apuração!B:B)&gt;=1.15,1.15,((IF(AZ2384&gt;=115%,115%,AZ2384) + IF(AX2384&gt;=115%,115%,AX2384) + IF(AY2384&gt;=115%,115%,AY2384) + (IF(AW2384&gt;=115%,115%,AW2384) + IF(BA2384&gt;=200%,200%,BA2384) + IF(BB2384&gt;=135%,135%,BB2384) + IF(BC2384&gt;=115%,115%,BC2384) + IF(BD2384&gt;=115%,115%,BD2384) + IF(BE2384&gt;=115%,115%,BE2384) + IF(BF2384&gt;=115%,115%,BF2384) + IF(BG2384&gt;=115%,115%,BG2384) + IF(BH2384&gt;=115%,115%,BH2384)))/_xlfn.XLOOKUP(F2384,Apuração!A:A,Apuração!B:B)))</f>
        <v>0.12312312312312312</v>
      </c>
      <c r="BL2384" s="58" cm="1">
        <f t="array" aca="1" ref="BL2384" ca="1">IF(SUM(IFERROR(IF(INDEX(AW2384:INDEX(AW2384:BH2384, MATCH(2, 1/(AW2384:BH2384&lt;&gt;""), 1)-1), ROW(INDIRECT("1:" &amp; MATCH(2, 1/(AW2384:BH2384&lt;&gt;""), 1)-1))) &gt;= 115%, 115%, INDEX(AW2384:INDEX(AW2384:BH2384, MATCH(2, 1/(AW2384:BH2384&lt;&gt;""), 1)-1), ROW(INDIRECT("1:" &amp; MATCH(2, 1/(AW2384:BH2384&lt;&gt;""), 1)-1)))), 0))/_xlfn.XLOOKUP(F2384,Apuração!A:A,Apuração!B:B)&gt;=1.15,1.15,SUM(IFERROR(IF(INDEX(AW2384:INDEX(AW2384:BH2384, MATCH(2, 1/(AW2384:BH2384&lt;&gt;""), 1)-1), ROW(INDIRECT("1:" &amp; MATCH(2, 1/(AW2384:BH2384&lt;&gt;""), 1)-1))) &gt;= 115%, 115%, INDEX(AW2384:INDEX(AW2384:BH2384, MATCH(2, 1/(AW2384:BH2384&lt;&gt;""), 1)-1), ROW(INDIRECT("1:" &amp; MATCH(2, 1/(AW2384:BH2384&lt;&gt;""), 1)-1)))), 0))/_xlfn.XLOOKUP(F2384,Apuração!A:A,Apuração!B:B))</f>
        <v>0</v>
      </c>
      <c r="BM2384" s="55" cm="1">
        <f t="array" ref="BM2384">IFERROR(
   INDEX($AW$1:$BH$1,
      _xlfn.AGGREGATE(14, 6, COLUMN($AW$1:$BH$1)/(AW2384:BH2384&lt;&gt;""), 2) - COLUMN($AW$1) + 1
   ),
"")</f>
        <v>46082</v>
      </c>
      <c r="BN2384" s="55" cm="1">
        <f t="array" ref="BN2384">IFERROR(INDEX($AW$1:$BH$1,1,MATCH(2,1/(AW2384:BH2384&lt;&gt;""))),"")</f>
        <v>46113</v>
      </c>
      <c r="BO2384" s="53">
        <f ca="1">IFERROR(_xlfn.XLOOKUP(F2384,Apuração!A:A,Apuração!C:C)/_xlfn.XLOOKUP(F2384,Apuração!A:A,Apuração!B:B),0)</f>
        <v>0.22222222222222221</v>
      </c>
      <c r="BP2384" s="53">
        <f ca="1">IFERROR(_xlfn.XLOOKUP(F2384,Apuração!A:A,Apuração!D:D)/_xlfn.XLOOKUP(F2384,Apuração!A:A,Apuração!B:B),0)</f>
        <v>0.1111111111111111</v>
      </c>
      <c r="BQ2384" s="53">
        <f ca="1">IF(BK2384&gt;=BO2384,0,_xlfn.XLOOKUP(F2384,Apuração!A:A,Apuração!B:B)*(BO2384 + (1/_xlfn.XLOOKUP(F2384,Apuração!A:A,Apuração!B:B)) - BK2384))</f>
        <v>1.8918918918918917</v>
      </c>
      <c r="BR2384" s="85">
        <f t="shared" ca="1" si="2878"/>
        <v>69.999999999999986</v>
      </c>
      <c r="BS2384" s="53">
        <f ca="1">IFERROR((_xlfn.XLOOKUP(F2384,Apuração!A:A,Apuração!C:C)+1)/_xlfn.XLOOKUP(F2384,Apuração!A:A,Apuração!B:B),0)</f>
        <v>0.33333333333333331</v>
      </c>
    </row>
    <row r="2385" spans="1:71" ht="25.95" hidden="1" customHeight="1" x14ac:dyDescent="0.3">
      <c r="A2385" s="20" t="s">
        <v>87</v>
      </c>
      <c r="B2385" s="4" t="s">
        <v>232</v>
      </c>
      <c r="C2385" s="5" t="s">
        <v>214</v>
      </c>
      <c r="D2385" s="5" t="s">
        <v>212</v>
      </c>
      <c r="E2385" s="4" t="str" cm="1">
        <f t="array" ref="E2385">_xlfn.IFS(
F2385 = "A partir de Abril", "Aguardando Execução na Distribuidora",
A2385 = "CAPACITAÇÃO", "Em execução no Corporativo",
TRUE, "Em Execução na Distribuidora"
)</f>
        <v>Em Execução na Distribuidora</v>
      </c>
      <c r="F2385" s="4" t="str" cm="1">
        <f t="array" ref="F2385">_xlfn.IFS(
AG2385 &lt;&gt; "", "Jan-Dez/26",
AH2385 &lt;&gt; "", "Fev-Dez/26",
AI2385 &lt;&gt; "", "Mar-Dez/26", AJ2385 &lt;&gt; "", "Abr-Dez/26",
TRUE, "A partir de Junho"
)</f>
        <v>Abr-Dez/26</v>
      </c>
      <c r="G2385" s="7" t="s">
        <v>37</v>
      </c>
      <c r="H2385" s="7" t="s">
        <v>110</v>
      </c>
      <c r="I2385" s="21" t="s">
        <v>233</v>
      </c>
      <c r="J2385" s="21" t="str" cm="1">
        <f t="array" aca="1" ref="J2385" ca="1">_xlfn.LET(
  _xlpm.actual_value_month, INDEX(T2385:AE2385, MATCH(DATE(YEAR(TODAY()), MONTH(TODAY()), 1), $T$1:$AE$1, 0)),
  IF(_xlpm.actual_value_month &lt;&gt; "",_xlpm.actual_value_month &amp; " equipes mensais", "")
)</f>
        <v>54 equipes mensais</v>
      </c>
      <c r="K2385" s="8" t="str" cm="1">
        <f t="array" ref="K2385">_xlfn.LET(
    _xlpm.sum_month, SUM(T2385:AE2385),
    IF(_xlpm.sum_month = 0, "", _xlpm.sum_month &amp; " equipes alcançadas no ano")
)</f>
        <v>486 equipes alcançadas no ano</v>
      </c>
      <c r="L2385" s="4" t="s">
        <v>234</v>
      </c>
      <c r="M2385" s="19" t="s">
        <v>235</v>
      </c>
      <c r="N2385" s="5" t="s">
        <v>42</v>
      </c>
      <c r="O2385" s="5" t="s">
        <v>43</v>
      </c>
      <c r="P2385" s="10" t="s">
        <v>44</v>
      </c>
      <c r="Q2385" s="10" t="s">
        <v>44</v>
      </c>
      <c r="R2385" s="11" t="s">
        <v>147</v>
      </c>
      <c r="S2385" s="11" t="s">
        <v>162</v>
      </c>
      <c r="T2385" s="22"/>
      <c r="U2385" s="22"/>
      <c r="V2385" s="22"/>
      <c r="W2385" s="143">
        <v>54</v>
      </c>
      <c r="X2385" s="143">
        <v>54</v>
      </c>
      <c r="Y2385" s="143">
        <v>54</v>
      </c>
      <c r="Z2385" s="143">
        <v>54</v>
      </c>
      <c r="AA2385" s="143">
        <v>54</v>
      </c>
      <c r="AB2385" s="143">
        <v>54</v>
      </c>
      <c r="AC2385" s="143">
        <v>54</v>
      </c>
      <c r="AD2385" s="143">
        <v>54</v>
      </c>
      <c r="AE2385" s="143">
        <v>54</v>
      </c>
      <c r="AG2385" s="71"/>
      <c r="AH2385" s="71"/>
      <c r="AI2385" s="71"/>
      <c r="AJ2385" s="82">
        <v>55</v>
      </c>
      <c r="AK2385" s="71"/>
      <c r="AL2385" s="71"/>
      <c r="AM2385" s="71"/>
      <c r="AN2385" s="71"/>
      <c r="AO2385" s="71"/>
      <c r="AP2385" s="71"/>
      <c r="AQ2385" s="71"/>
      <c r="AR2385" s="71"/>
      <c r="AS2385" s="94">
        <f t="shared" ca="1" si="2871"/>
        <v>108</v>
      </c>
      <c r="AT2385" s="95">
        <f t="shared" si="2872"/>
        <v>55</v>
      </c>
      <c r="AU2385" s="97">
        <f t="shared" si="2873"/>
        <v>55</v>
      </c>
      <c r="AW2385" s="51">
        <f t="shared" si="2874"/>
        <v>0</v>
      </c>
      <c r="AX2385" s="51">
        <f t="shared" si="2875"/>
        <v>0</v>
      </c>
      <c r="AY2385" s="51">
        <f t="shared" si="2876"/>
        <v>0</v>
      </c>
      <c r="AZ2385" s="51">
        <f t="shared" si="2877"/>
        <v>1.0185185185185186</v>
      </c>
      <c r="BA2385" s="51"/>
      <c r="BB2385" s="51"/>
      <c r="BC2385" s="51"/>
      <c r="BD2385" s="51"/>
      <c r="BE2385" s="51"/>
      <c r="BF2385" s="51"/>
      <c r="BG2385" s="51"/>
      <c r="BH2385" s="51"/>
      <c r="BI2385" s="65" cm="1">
        <f t="array" ref="BI2385">IFERROR(INDEX(AW2385:BH2385,1,MATCH(2,1/(AW2385:BH2385&lt;&gt;""))),"")</f>
        <v>1.0185185185185186</v>
      </c>
      <c r="BJ2385" s="68" cm="1">
        <f t="array" ref="BJ2385">IF(BM2385 = "", "",IFERROR(INDEX(AW2385:BH2385,1,MATCH(2,1/(AW2385:BH2385&lt;&gt;""),1)-1),""))</f>
        <v>0</v>
      </c>
      <c r="BK2385" s="58">
        <f>IF((IF(AW2385&gt;=115%,115%,AW2385) + IF(AX2385&gt;=115%,115%,AX2385) + IF(AY2385&gt;=115%,115%,AY2385) + (IF(AZ2385&gt;=115%,115%,AZ2385) + IF(BA2385&gt;=200%,200%,BA2385) + IF(BB2385&gt;=135%,135%,BB2385) + IF(BC2385&gt;=115%,115%,BC2385) + IF(BD2385&gt;=115%,115%,BD2385) + IF(BE2385&gt;=115%,115%,BE2385) + IF(BF2385&gt;=115%,115%,BF2385) + IF(BG2385&gt;=115%,115%,BG2385) + IF(BH2385&gt;=115%,115%,BH2385)))/_xlfn.XLOOKUP(F2385,Apuração!A:A,Apuração!B:B)&gt;=1.15,1.15,((IF(AZ2385&gt;=115%,115%,AZ2385) + IF(AX2385&gt;=115%,115%,AX2385) + IF(AY2385&gt;=115%,115%,AY2385) + (IF(AW2385&gt;=115%,115%,AW2385) + IF(BA2385&gt;=200%,200%,BA2385) + IF(BB2385&gt;=135%,135%,BB2385) + IF(BC2385&gt;=115%,115%,BC2385) + IF(BD2385&gt;=115%,115%,BD2385) + IF(BE2385&gt;=115%,115%,BE2385) + IF(BF2385&gt;=115%,115%,BF2385) + IF(BG2385&gt;=115%,115%,BG2385) + IF(BH2385&gt;=115%,115%,BH2385)))/_xlfn.XLOOKUP(F2385,Apuração!A:A,Apuração!B:B)))</f>
        <v>0.1131687242798354</v>
      </c>
      <c r="BL2385" s="58" cm="1">
        <f t="array" aca="1" ref="BL2385" ca="1">IF(SUM(IFERROR(IF(INDEX(AW2385:INDEX(AW2385:BH2385, MATCH(2, 1/(AW2385:BH2385&lt;&gt;""), 1)-1), ROW(INDIRECT("1:" &amp; MATCH(2, 1/(AW2385:BH2385&lt;&gt;""), 1)-1))) &gt;= 115%, 115%, INDEX(AW2385:INDEX(AW2385:BH2385, MATCH(2, 1/(AW2385:BH2385&lt;&gt;""), 1)-1), ROW(INDIRECT("1:" &amp; MATCH(2, 1/(AW2385:BH2385&lt;&gt;""), 1)-1)))), 0))/_xlfn.XLOOKUP(F2385,Apuração!A:A,Apuração!B:B)&gt;=1.15,1.15,SUM(IFERROR(IF(INDEX(AW2385:INDEX(AW2385:BH2385, MATCH(2, 1/(AW2385:BH2385&lt;&gt;""), 1)-1), ROW(INDIRECT("1:" &amp; MATCH(2, 1/(AW2385:BH2385&lt;&gt;""), 1)-1))) &gt;= 115%, 115%, INDEX(AW2385:INDEX(AW2385:BH2385, MATCH(2, 1/(AW2385:BH2385&lt;&gt;""), 1)-1), ROW(INDIRECT("1:" &amp; MATCH(2, 1/(AW2385:BH2385&lt;&gt;""), 1)-1)))), 0))/_xlfn.XLOOKUP(F2385,Apuração!A:A,Apuração!B:B))</f>
        <v>0</v>
      </c>
      <c r="BM2385" s="55" cm="1">
        <f t="array" ref="BM2385">IFERROR(
   INDEX($AW$1:$BH$1,
      _xlfn.AGGREGATE(14, 6, COLUMN($AW$1:$BH$1)/(AW2385:BH2385&lt;&gt;""), 2) - COLUMN($AW$1) + 1
   ),
"")</f>
        <v>46082</v>
      </c>
      <c r="BN2385" s="55" cm="1">
        <f t="array" ref="BN2385">IFERROR(INDEX($AW$1:$BH$1,1,MATCH(2,1/(AW2385:BH2385&lt;&gt;""))),"")</f>
        <v>46113</v>
      </c>
      <c r="BO2385" s="53">
        <f ca="1">IFERROR(_xlfn.XLOOKUP(F2385,Apuração!A:A,Apuração!C:C)/_xlfn.XLOOKUP(F2385,Apuração!A:A,Apuração!B:B),0)</f>
        <v>0.22222222222222221</v>
      </c>
      <c r="BP2385" s="53">
        <f ca="1">IFERROR(_xlfn.XLOOKUP(F2385,Apuração!A:A,Apuração!D:D)/_xlfn.XLOOKUP(F2385,Apuração!A:A,Apuração!B:B),0)</f>
        <v>0.1111111111111111</v>
      </c>
      <c r="BQ2385" s="53">
        <f ca="1">IF(BK2385&gt;=BO2385,0,_xlfn.XLOOKUP(F2385,Apuração!A:A,Apuração!B:B)*(BO2385 + (1/_xlfn.XLOOKUP(F2385,Apuração!A:A,Apuração!B:B)) - BK2385))</f>
        <v>1.9814814814814812</v>
      </c>
      <c r="BR2385" s="85">
        <f t="shared" ca="1" si="2878"/>
        <v>106.99999999999999</v>
      </c>
      <c r="BS2385" s="53">
        <f ca="1">IFERROR((_xlfn.XLOOKUP(F2385,Apuração!A:A,Apuração!C:C)+1)/_xlfn.XLOOKUP(F2385,Apuração!A:A,Apuração!B:B),0)</f>
        <v>0.33333333333333331</v>
      </c>
    </row>
    <row r="2386" spans="1:71" ht="25.95" hidden="1" customHeight="1" x14ac:dyDescent="0.3">
      <c r="A2386" s="20" t="s">
        <v>87</v>
      </c>
      <c r="B2386" s="4" t="s">
        <v>232</v>
      </c>
      <c r="C2386" s="5" t="s">
        <v>214</v>
      </c>
      <c r="D2386" s="5" t="s">
        <v>48</v>
      </c>
      <c r="E2386" s="4" t="str" cm="1">
        <f t="array" ref="E2386">_xlfn.IFS(
F2386 = "A partir de Abril", "Aguardando Execução na Distribuidora",
A2386 = "CAPACITAÇÃO", "Em execução no Corporativo",
TRUE, "Em Execução na Distribuidora"
)</f>
        <v>Em Execução na Distribuidora</v>
      </c>
      <c r="F2386" s="4" t="str" cm="1">
        <f t="array" ref="F2386">_xlfn.IFS(
AG2386 &lt;&gt; "", "Jan-Dez/26",
AH2386 &lt;&gt; "", "Fev-Dez/26",
AI2386 &lt;&gt; "", "Mar-Dez/26", AJ2386 &lt;&gt; "", "Abr-Dez/26",
TRUE, "A partir de Junho"
)</f>
        <v>Abr-Dez/26</v>
      </c>
      <c r="G2386" s="7" t="s">
        <v>37</v>
      </c>
      <c r="H2386" s="7" t="s">
        <v>110</v>
      </c>
      <c r="I2386" s="21" t="s">
        <v>233</v>
      </c>
      <c r="J2386" s="21" t="str" cm="1">
        <f t="array" aca="1" ref="J2386" ca="1">_xlfn.LET(
  _xlpm.actual_value_month, INDEX(T2386:AE2386, MATCH(DATE(YEAR(TODAY()), MONTH(TODAY()), 1), $T$1:$AE$1, 0)),
  IF(_xlpm.actual_value_month &lt;&gt; "",_xlpm.actual_value_month &amp; " equipes mensais", "")
)</f>
        <v>27 equipes mensais</v>
      </c>
      <c r="K2386" s="8" t="str" cm="1">
        <f t="array" ref="K2386">_xlfn.LET(
    _xlpm.sum_month, SUM(T2386:AE2386),
    IF(_xlpm.sum_month = 0, "", _xlpm.sum_month &amp; " equipes alcançadas no ano")
)</f>
        <v>243 equipes alcançadas no ano</v>
      </c>
      <c r="L2386" s="4" t="s">
        <v>234</v>
      </c>
      <c r="M2386" s="19" t="s">
        <v>235</v>
      </c>
      <c r="N2386" s="5" t="s">
        <v>42</v>
      </c>
      <c r="O2386" s="5" t="s">
        <v>43</v>
      </c>
      <c r="P2386" s="10" t="s">
        <v>44</v>
      </c>
      <c r="Q2386" s="10" t="s">
        <v>44</v>
      </c>
      <c r="R2386" s="11" t="s">
        <v>147</v>
      </c>
      <c r="S2386" s="11" t="s">
        <v>162</v>
      </c>
      <c r="T2386" s="22"/>
      <c r="U2386" s="22"/>
      <c r="V2386" s="22"/>
      <c r="W2386" s="143">
        <v>27</v>
      </c>
      <c r="X2386" s="143">
        <v>27</v>
      </c>
      <c r="Y2386" s="143">
        <v>27</v>
      </c>
      <c r="Z2386" s="143">
        <v>27</v>
      </c>
      <c r="AA2386" s="143">
        <v>27</v>
      </c>
      <c r="AB2386" s="143">
        <v>27</v>
      </c>
      <c r="AC2386" s="143">
        <v>27</v>
      </c>
      <c r="AD2386" s="143">
        <v>27</v>
      </c>
      <c r="AE2386" s="143">
        <v>27</v>
      </c>
      <c r="AG2386" s="71"/>
      <c r="AH2386" s="71"/>
      <c r="AI2386" s="71"/>
      <c r="AJ2386" s="82">
        <v>27</v>
      </c>
      <c r="AK2386" s="71"/>
      <c r="AL2386" s="71"/>
      <c r="AM2386" s="71"/>
      <c r="AN2386" s="71"/>
      <c r="AO2386" s="71"/>
      <c r="AP2386" s="71"/>
      <c r="AQ2386" s="71"/>
      <c r="AR2386" s="71"/>
      <c r="AS2386" s="94">
        <f t="shared" ca="1" si="2871"/>
        <v>54</v>
      </c>
      <c r="AT2386" s="95">
        <f t="shared" si="2872"/>
        <v>27</v>
      </c>
      <c r="AU2386" s="97">
        <f t="shared" si="2873"/>
        <v>27</v>
      </c>
      <c r="AW2386" s="51">
        <f t="shared" si="2874"/>
        <v>0</v>
      </c>
      <c r="AX2386" s="51">
        <f t="shared" si="2875"/>
        <v>0</v>
      </c>
      <c r="AY2386" s="51">
        <f t="shared" si="2876"/>
        <v>0</v>
      </c>
      <c r="AZ2386" s="51">
        <f t="shared" si="2877"/>
        <v>1</v>
      </c>
      <c r="BA2386" s="51"/>
      <c r="BB2386" s="51"/>
      <c r="BC2386" s="51"/>
      <c r="BD2386" s="51"/>
      <c r="BE2386" s="51"/>
      <c r="BF2386" s="51"/>
      <c r="BG2386" s="51"/>
      <c r="BH2386" s="51"/>
      <c r="BI2386" s="65" cm="1">
        <f t="array" ref="BI2386">IFERROR(INDEX(AW2386:BH2386,1,MATCH(2,1/(AW2386:BH2386&lt;&gt;""))),"")</f>
        <v>1</v>
      </c>
      <c r="BJ2386" s="68" cm="1">
        <f t="array" ref="BJ2386">IF(BM2386 = "", "",IFERROR(INDEX(AW2386:BH2386,1,MATCH(2,1/(AW2386:BH2386&lt;&gt;""),1)-1),""))</f>
        <v>0</v>
      </c>
      <c r="BK2386" s="58">
        <f>IF((IF(AW2386&gt;=115%,115%,AW2386) + IF(AX2386&gt;=115%,115%,AX2386) + IF(AY2386&gt;=115%,115%,AY2386) + (IF(AZ2386&gt;=115%,115%,AZ2386) + IF(BA2386&gt;=200%,200%,BA2386) + IF(BB2386&gt;=135%,135%,BB2386) + IF(BC2386&gt;=115%,115%,BC2386) + IF(BD2386&gt;=115%,115%,BD2386) + IF(BE2386&gt;=115%,115%,BE2386) + IF(BF2386&gt;=115%,115%,BF2386) + IF(BG2386&gt;=115%,115%,BG2386) + IF(BH2386&gt;=115%,115%,BH2386)))/_xlfn.XLOOKUP(F2386,Apuração!A:A,Apuração!B:B)&gt;=1.15,1.15,((IF(AZ2386&gt;=115%,115%,AZ2386) + IF(AX2386&gt;=115%,115%,AX2386) + IF(AY2386&gt;=115%,115%,AY2386) + (IF(AW2386&gt;=115%,115%,AW2386) + IF(BA2386&gt;=200%,200%,BA2386) + IF(BB2386&gt;=135%,135%,BB2386) + IF(BC2386&gt;=115%,115%,BC2386) + IF(BD2386&gt;=115%,115%,BD2386) + IF(BE2386&gt;=115%,115%,BE2386) + IF(BF2386&gt;=115%,115%,BF2386) + IF(BG2386&gt;=115%,115%,BG2386) + IF(BH2386&gt;=115%,115%,BH2386)))/_xlfn.XLOOKUP(F2386,Apuração!A:A,Apuração!B:B)))</f>
        <v>0.1111111111111111</v>
      </c>
      <c r="BL2386" s="58" cm="1">
        <f t="array" aca="1" ref="BL2386" ca="1">IF(SUM(IFERROR(IF(INDEX(AW2386:INDEX(AW2386:BH2386, MATCH(2, 1/(AW2386:BH2386&lt;&gt;""), 1)-1), ROW(INDIRECT("1:" &amp; MATCH(2, 1/(AW2386:BH2386&lt;&gt;""), 1)-1))) &gt;= 115%, 115%, INDEX(AW2386:INDEX(AW2386:BH2386, MATCH(2, 1/(AW2386:BH2386&lt;&gt;""), 1)-1), ROW(INDIRECT("1:" &amp; MATCH(2, 1/(AW2386:BH2386&lt;&gt;""), 1)-1)))), 0))/_xlfn.XLOOKUP(F2386,Apuração!A:A,Apuração!B:B)&gt;=1.15,1.15,SUM(IFERROR(IF(INDEX(AW2386:INDEX(AW2386:BH2386, MATCH(2, 1/(AW2386:BH2386&lt;&gt;""), 1)-1), ROW(INDIRECT("1:" &amp; MATCH(2, 1/(AW2386:BH2386&lt;&gt;""), 1)-1))) &gt;= 115%, 115%, INDEX(AW2386:INDEX(AW2386:BH2386, MATCH(2, 1/(AW2386:BH2386&lt;&gt;""), 1)-1), ROW(INDIRECT("1:" &amp; MATCH(2, 1/(AW2386:BH2386&lt;&gt;""), 1)-1)))), 0))/_xlfn.XLOOKUP(F2386,Apuração!A:A,Apuração!B:B))</f>
        <v>0</v>
      </c>
      <c r="BM2386" s="55" cm="1">
        <f t="array" ref="BM2386">IFERROR(
   INDEX($AW$1:$BH$1,
      _xlfn.AGGREGATE(14, 6, COLUMN($AW$1:$BH$1)/(AW2386:BH2386&lt;&gt;""), 2) - COLUMN($AW$1) + 1
   ),
"")</f>
        <v>46082</v>
      </c>
      <c r="BN2386" s="55" cm="1">
        <f t="array" ref="BN2386">IFERROR(INDEX($AW$1:$BH$1,1,MATCH(2,1/(AW2386:BH2386&lt;&gt;""))),"")</f>
        <v>46113</v>
      </c>
      <c r="BO2386" s="53">
        <f ca="1">IFERROR(_xlfn.XLOOKUP(F2386,Apuração!A:A,Apuração!C:C)/_xlfn.XLOOKUP(F2386,Apuração!A:A,Apuração!B:B),0)</f>
        <v>0.22222222222222221</v>
      </c>
      <c r="BP2386" s="53">
        <f ca="1">IFERROR(_xlfn.XLOOKUP(F2386,Apuração!A:A,Apuração!D:D)/_xlfn.XLOOKUP(F2386,Apuração!A:A,Apuração!B:B),0)</f>
        <v>0.1111111111111111</v>
      </c>
      <c r="BQ2386" s="53">
        <f ca="1">IF(BK2386&gt;=BO2386,0,_xlfn.XLOOKUP(F2386,Apuração!A:A,Apuração!B:B)*(BO2386 + (1/_xlfn.XLOOKUP(F2386,Apuração!A:A,Apuração!B:B)) - BK2386))</f>
        <v>2</v>
      </c>
      <c r="BR2386" s="85">
        <f t="shared" ca="1" si="2878"/>
        <v>54</v>
      </c>
      <c r="BS2386" s="53">
        <f ca="1">IFERROR((_xlfn.XLOOKUP(F2386,Apuração!A:A,Apuração!C:C)+1)/_xlfn.XLOOKUP(F2386,Apuração!A:A,Apuração!B:B),0)</f>
        <v>0.33333333333333331</v>
      </c>
    </row>
    <row r="2387" spans="1:71" ht="25.95" hidden="1" customHeight="1" x14ac:dyDescent="0.3">
      <c r="A2387" s="20" t="s">
        <v>87</v>
      </c>
      <c r="B2387" s="4" t="s">
        <v>232</v>
      </c>
      <c r="C2387" s="5" t="s">
        <v>214</v>
      </c>
      <c r="D2387" s="5" t="s">
        <v>213</v>
      </c>
      <c r="E2387" s="4" t="str" cm="1">
        <f t="array" ref="E2387">_xlfn.IFS(
F2387 = "A partir de Abril", "Aguardando Execução na Distribuidora",
A2387 = "CAPACITAÇÃO", "Em execução no Corporativo",
TRUE, "Em Execução na Distribuidora"
)</f>
        <v>Em Execução na Distribuidora</v>
      </c>
      <c r="F2387" s="4" t="str" cm="1">
        <f t="array" ref="F2387">_xlfn.IFS(
AG2387 &lt;&gt; "", "Jan-Dez/26",
AH2387 &lt;&gt; "", "Fev-Dez/26",
AI2387 &lt;&gt; "", "Mar-Dez/26", AJ2387 &lt;&gt; "", "Abr-Dez/26",
TRUE, "A partir de Junho"
)</f>
        <v>Abr-Dez/26</v>
      </c>
      <c r="G2387" s="7" t="s">
        <v>37</v>
      </c>
      <c r="H2387" s="7" t="s">
        <v>110</v>
      </c>
      <c r="I2387" s="21" t="s">
        <v>233</v>
      </c>
      <c r="J2387" s="21" t="str" cm="1">
        <f t="array" aca="1" ref="J2387" ca="1">_xlfn.LET(
  _xlpm.actual_value_month, INDEX(T2387:AE2387, MATCH(DATE(YEAR(TODAY()), MONTH(TODAY()), 1), $T$1:$AE$1, 0)),
  IF(_xlpm.actual_value_month &lt;&gt; "",_xlpm.actual_value_month &amp; " equipes mensais", "")
)</f>
        <v>49 equipes mensais</v>
      </c>
      <c r="K2387" s="8" t="str" cm="1">
        <f t="array" ref="K2387">_xlfn.LET(
    _xlpm.sum_month, SUM(T2387:AE2387),
    IF(_xlpm.sum_month = 0, "", _xlpm.sum_month &amp; " equipes alcançadas no ano")
)</f>
        <v>441 equipes alcançadas no ano</v>
      </c>
      <c r="L2387" s="4" t="s">
        <v>234</v>
      </c>
      <c r="M2387" s="19" t="s">
        <v>235</v>
      </c>
      <c r="N2387" s="5" t="s">
        <v>42</v>
      </c>
      <c r="O2387" s="5" t="s">
        <v>43</v>
      </c>
      <c r="P2387" s="10" t="s">
        <v>44</v>
      </c>
      <c r="Q2387" s="10" t="s">
        <v>44</v>
      </c>
      <c r="R2387" s="11" t="s">
        <v>147</v>
      </c>
      <c r="S2387" s="11" t="s">
        <v>162</v>
      </c>
      <c r="T2387" s="22"/>
      <c r="U2387" s="22"/>
      <c r="V2387" s="22"/>
      <c r="W2387" s="143">
        <v>49</v>
      </c>
      <c r="X2387" s="143">
        <v>49</v>
      </c>
      <c r="Y2387" s="143">
        <v>49</v>
      </c>
      <c r="Z2387" s="143">
        <v>49</v>
      </c>
      <c r="AA2387" s="143">
        <v>49</v>
      </c>
      <c r="AB2387" s="143">
        <v>49</v>
      </c>
      <c r="AC2387" s="143">
        <v>49</v>
      </c>
      <c r="AD2387" s="143">
        <v>49</v>
      </c>
      <c r="AE2387" s="143">
        <v>49</v>
      </c>
      <c r="AG2387" s="71"/>
      <c r="AH2387" s="71"/>
      <c r="AI2387" s="71"/>
      <c r="AJ2387" s="82">
        <v>55</v>
      </c>
      <c r="AK2387" s="71"/>
      <c r="AL2387" s="71"/>
      <c r="AM2387" s="71"/>
      <c r="AN2387" s="71"/>
      <c r="AO2387" s="71"/>
      <c r="AP2387" s="71"/>
      <c r="AQ2387" s="71"/>
      <c r="AR2387" s="71"/>
      <c r="AS2387" s="94">
        <f t="shared" ca="1" si="2871"/>
        <v>98</v>
      </c>
      <c r="AT2387" s="95">
        <f t="shared" si="2872"/>
        <v>55</v>
      </c>
      <c r="AU2387" s="97">
        <f t="shared" si="2873"/>
        <v>55</v>
      </c>
      <c r="AW2387" s="51">
        <f t="shared" si="2874"/>
        <v>0</v>
      </c>
      <c r="AX2387" s="51">
        <f t="shared" si="2875"/>
        <v>0</v>
      </c>
      <c r="AY2387" s="51">
        <f t="shared" si="2876"/>
        <v>0</v>
      </c>
      <c r="AZ2387" s="51">
        <f t="shared" si="2877"/>
        <v>1.1224489795918366</v>
      </c>
      <c r="BA2387" s="51"/>
      <c r="BB2387" s="51"/>
      <c r="BC2387" s="51"/>
      <c r="BD2387" s="51"/>
      <c r="BE2387" s="51"/>
      <c r="BF2387" s="51"/>
      <c r="BG2387" s="51"/>
      <c r="BH2387" s="51"/>
      <c r="BI2387" s="65" cm="1">
        <f t="array" ref="BI2387">IFERROR(INDEX(AW2387:BH2387,1,MATCH(2,1/(AW2387:BH2387&lt;&gt;""))),"")</f>
        <v>1.1224489795918366</v>
      </c>
      <c r="BJ2387" s="68" cm="1">
        <f t="array" ref="BJ2387">IF(BM2387 = "", "",IFERROR(INDEX(AW2387:BH2387,1,MATCH(2,1/(AW2387:BH2387&lt;&gt;""),1)-1),""))</f>
        <v>0</v>
      </c>
      <c r="BK2387" s="58">
        <f>IF((IF(AW2387&gt;=115%,115%,AW2387) + IF(AX2387&gt;=115%,115%,AX2387) + IF(AY2387&gt;=115%,115%,AY2387) + (IF(AZ2387&gt;=115%,115%,AZ2387) + IF(BA2387&gt;=200%,200%,BA2387) + IF(BB2387&gt;=135%,135%,BB2387) + IF(BC2387&gt;=115%,115%,BC2387) + IF(BD2387&gt;=115%,115%,BD2387) + IF(BE2387&gt;=115%,115%,BE2387) + IF(BF2387&gt;=115%,115%,BF2387) + IF(BG2387&gt;=115%,115%,BG2387) + IF(BH2387&gt;=115%,115%,BH2387)))/_xlfn.XLOOKUP(F2387,Apuração!A:A,Apuração!B:B)&gt;=1.15,1.15,((IF(AZ2387&gt;=115%,115%,AZ2387) + IF(AX2387&gt;=115%,115%,AX2387) + IF(AY2387&gt;=115%,115%,AY2387) + (IF(AW2387&gt;=115%,115%,AW2387) + IF(BA2387&gt;=200%,200%,BA2387) + IF(BB2387&gt;=135%,135%,BB2387) + IF(BC2387&gt;=115%,115%,BC2387) + IF(BD2387&gt;=115%,115%,BD2387) + IF(BE2387&gt;=115%,115%,BE2387) + IF(BF2387&gt;=115%,115%,BF2387) + IF(BG2387&gt;=115%,115%,BG2387) + IF(BH2387&gt;=115%,115%,BH2387)))/_xlfn.XLOOKUP(F2387,Apuração!A:A,Apuração!B:B)))</f>
        <v>0.12471655328798185</v>
      </c>
      <c r="BL2387" s="58" cm="1">
        <f t="array" aca="1" ref="BL2387" ca="1">IF(SUM(IFERROR(IF(INDEX(AW2387:INDEX(AW2387:BH2387, MATCH(2, 1/(AW2387:BH2387&lt;&gt;""), 1)-1), ROW(INDIRECT("1:" &amp; MATCH(2, 1/(AW2387:BH2387&lt;&gt;""), 1)-1))) &gt;= 115%, 115%, INDEX(AW2387:INDEX(AW2387:BH2387, MATCH(2, 1/(AW2387:BH2387&lt;&gt;""), 1)-1), ROW(INDIRECT("1:" &amp; MATCH(2, 1/(AW2387:BH2387&lt;&gt;""), 1)-1)))), 0))/_xlfn.XLOOKUP(F2387,Apuração!A:A,Apuração!B:B)&gt;=1.15,1.15,SUM(IFERROR(IF(INDEX(AW2387:INDEX(AW2387:BH2387, MATCH(2, 1/(AW2387:BH2387&lt;&gt;""), 1)-1), ROW(INDIRECT("1:" &amp; MATCH(2, 1/(AW2387:BH2387&lt;&gt;""), 1)-1))) &gt;= 115%, 115%, INDEX(AW2387:INDEX(AW2387:BH2387, MATCH(2, 1/(AW2387:BH2387&lt;&gt;""), 1)-1), ROW(INDIRECT("1:" &amp; MATCH(2, 1/(AW2387:BH2387&lt;&gt;""), 1)-1)))), 0))/_xlfn.XLOOKUP(F2387,Apuração!A:A,Apuração!B:B))</f>
        <v>0</v>
      </c>
      <c r="BM2387" s="55" cm="1">
        <f t="array" ref="BM2387">IFERROR(
   INDEX($AW$1:$BH$1,
      _xlfn.AGGREGATE(14, 6, COLUMN($AW$1:$BH$1)/(AW2387:BH2387&lt;&gt;""), 2) - COLUMN($AW$1) + 1
   ),
"")</f>
        <v>46082</v>
      </c>
      <c r="BN2387" s="55" cm="1">
        <f t="array" ref="BN2387">IFERROR(INDEX($AW$1:$BH$1,1,MATCH(2,1/(AW2387:BH2387&lt;&gt;""))),"")</f>
        <v>46113</v>
      </c>
      <c r="BO2387" s="53">
        <f ca="1">IFERROR(_xlfn.XLOOKUP(F2387,Apuração!A:A,Apuração!C:C)/_xlfn.XLOOKUP(F2387,Apuração!A:A,Apuração!B:B),0)</f>
        <v>0.22222222222222221</v>
      </c>
      <c r="BP2387" s="53">
        <f ca="1">IFERROR(_xlfn.XLOOKUP(F2387,Apuração!A:A,Apuração!D:D)/_xlfn.XLOOKUP(F2387,Apuração!A:A,Apuração!B:B),0)</f>
        <v>0.1111111111111111</v>
      </c>
      <c r="BQ2387" s="53">
        <f ca="1">IF(BK2387&gt;=BO2387,0,_xlfn.XLOOKUP(F2387,Apuração!A:A,Apuração!B:B)*(BO2387 + (1/_xlfn.XLOOKUP(F2387,Apuração!A:A,Apuração!B:B)) - BK2387))</f>
        <v>1.8775510204081631</v>
      </c>
      <c r="BR2387" s="85">
        <f t="shared" ca="1" si="2878"/>
        <v>92</v>
      </c>
      <c r="BS2387" s="53">
        <f ca="1">IFERROR((_xlfn.XLOOKUP(F2387,Apuração!A:A,Apuração!C:C)+1)/_xlfn.XLOOKUP(F2387,Apuração!A:A,Apuração!B:B),0)</f>
        <v>0.33333333333333331</v>
      </c>
    </row>
    <row r="2388" spans="1:71" ht="25.95" hidden="1" customHeight="1" x14ac:dyDescent="0.3">
      <c r="A2388" s="40" t="s">
        <v>87</v>
      </c>
      <c r="B2388" s="4" t="s">
        <v>232</v>
      </c>
      <c r="C2388" s="5" t="s">
        <v>214</v>
      </c>
      <c r="D2388" s="5" t="s">
        <v>36</v>
      </c>
      <c r="E2388" s="4" t="str" cm="1">
        <f t="array" ref="E2388">_xlfn.IFS(
F2388 = "A partir de Abril", "Aguardando Execução na Distribuidora",
A2388 = "CAPACITAÇÃO", "Em execução no Corporativo",
TRUE, "Em Execução na Distribuidora"
)</f>
        <v>Em Execução na Distribuidora</v>
      </c>
      <c r="F2388" s="4" t="str" cm="1">
        <f t="array" ref="F2388">_xlfn.IFS(
AG2388 &lt;&gt; "", "Jan-Dez/26",
AH2388 &lt;&gt; "", "Fev-Dez/26",
AI2388 &lt;&gt; "", "Mar-Dez/26", AJ2388 &lt;&gt; "", "Abr-Dez/26",
TRUE, "A partir de Junho"
)</f>
        <v>Abr-Dez/26</v>
      </c>
      <c r="G2388" s="7" t="s">
        <v>37</v>
      </c>
      <c r="H2388" s="7" t="s">
        <v>110</v>
      </c>
      <c r="I2388" s="9" t="s">
        <v>76</v>
      </c>
      <c r="J2388" s="21" t="str" cm="1">
        <f t="array" aca="1" ref="J2388" ca="1">_xlfn.LET(
  _xlpm.actual_value_month, INDEX(T2388:AE2388, MATCH(DATE(YEAR(TODAY()), MONTH(TODAY()), 1), $T$1:$AE$1, 0)),
  IF(_xlpm.actual_value_month &lt;&gt; "",_xlpm.actual_value_month &amp; " ações mensais", "")
)</f>
        <v/>
      </c>
      <c r="K2388" s="8" t="str" cm="1">
        <f t="array" ref="K2388">_xlfn.LET(
    _xlpm.sum_month, SUM(T2388:AE2388),
    IF(_xlpm.sum_month = 0, "", _xlpm.sum_month &amp; " equipes alcançadas no ano")
)</f>
        <v/>
      </c>
      <c r="L2388" s="4" t="s">
        <v>141</v>
      </c>
      <c r="M2388" s="19">
        <v>1</v>
      </c>
      <c r="N2388" s="5" t="s">
        <v>51</v>
      </c>
      <c r="O2388" s="5" t="s">
        <v>52</v>
      </c>
      <c r="P2388" s="10" t="s">
        <v>44</v>
      </c>
      <c r="Q2388" s="10" t="s">
        <v>44</v>
      </c>
      <c r="R2388" s="10" t="s">
        <v>44</v>
      </c>
      <c r="S2388" s="10" t="s">
        <v>44</v>
      </c>
      <c r="T2388" s="22"/>
      <c r="U2388" s="22"/>
      <c r="V2388" s="22"/>
      <c r="W2388" s="22"/>
      <c r="X2388" s="22"/>
      <c r="Y2388" s="22"/>
      <c r="Z2388" s="22"/>
      <c r="AA2388" s="22"/>
      <c r="AB2388" s="22"/>
      <c r="AC2388" s="22"/>
      <c r="AD2388" s="22"/>
      <c r="AE2388" s="22"/>
      <c r="AG2388" s="71"/>
      <c r="AH2388" s="71"/>
      <c r="AI2388" s="71"/>
      <c r="AJ2388" s="71">
        <v>386</v>
      </c>
      <c r="AK2388" s="71"/>
      <c r="AL2388" s="71"/>
      <c r="AM2388" s="71"/>
      <c r="AN2388" s="71"/>
      <c r="AO2388" s="71"/>
      <c r="AP2388" s="71"/>
      <c r="AQ2388" s="71"/>
      <c r="AR2388" s="71"/>
      <c r="AS2388" s="94">
        <f ca="1">IF(MONTH(TODAY())=3,SUM(T2388:U2388),IF(MONTH(TODAY())=4,SUM(T2388:V2388),IF(MONTH(TODAY())=5,SUM(T2388:W2388),IF(MONTH(TODAY())=6,SUM(T2388:X2388),IF(MONTH(TODAY())=7,SUM(T2388:Y2388),IF(MONTH(TODAY())=8,SUM(T2388:Z2388),IF(MONTH(TODAY())=9,SUM(T2388:AA2388),IF(MONTH(TODAY())=10,SUM(T2388:AB2388),IF(MONTH(TODAY())=11,SUM(T2388:AC2388),IF(MONTH(TODAY())=12,SUM(T2388:AD2388),IF(MONTH(TODAY())=1,SUM(T2388:AE2388),T2388)))))))))))</f>
        <v>0</v>
      </c>
      <c r="AT2388" s="95">
        <f>SUM(AG2388:AR2388)</f>
        <v>386</v>
      </c>
      <c r="AU2388" s="97">
        <f>SUM(AG2388:AR2388)</f>
        <v>386</v>
      </c>
      <c r="AW2388" s="83">
        <f>AG2388</f>
        <v>0</v>
      </c>
      <c r="AX2388" s="83">
        <f>AH2388</f>
        <v>0</v>
      </c>
      <c r="AY2388" s="83">
        <f>AI2388</f>
        <v>0</v>
      </c>
      <c r="AZ2388" s="83">
        <f>AJ2388</f>
        <v>386</v>
      </c>
      <c r="BA2388" s="52"/>
      <c r="BB2388" s="52"/>
      <c r="BC2388" s="52"/>
      <c r="BD2388" s="52"/>
      <c r="BE2388" s="52"/>
      <c r="BF2388" s="52"/>
      <c r="BG2388" s="52"/>
      <c r="BH2388" s="52"/>
      <c r="BI2388" s="68" cm="1">
        <f t="array" ref="BI2388">IFERROR(INDEX(AW2388:BH2388,1,MATCH(2,1/(AW2388:BH2388&lt;&gt;""))),"")</f>
        <v>386</v>
      </c>
      <c r="BJ2388" s="68" cm="1">
        <f t="array" ref="BJ2388">IF(BM2388 = "", "",IFERROR(INDEX(AW2388:BH2388,1,MATCH(2,1/(AW2388:BH2388&lt;&gt;""),1)-1),""))</f>
        <v>0</v>
      </c>
      <c r="BK2388" s="59">
        <f>SUM(AW2388:BH2388)</f>
        <v>386</v>
      </c>
      <c r="BL2388" s="59" cm="1">
        <f t="array" ref="BL2388">IFERROR(SUM(AW2388:INDEX(AW2388:BH2388, MATCH(2, 1/(AW2388:BH2388&lt;&gt;""), 1) - 1))/_xlfn.XLOOKUP(F2388,Apuração!A:A,Apuração!B:B),0)</f>
        <v>0</v>
      </c>
      <c r="BM2388" s="55" cm="1">
        <f t="array" ref="BM2388">IFERROR(
   INDEX($AW$1:$BH$1,
      _xlfn.AGGREGATE(14, 6, COLUMN($AW$1:$BH$1)/(AW2388:BH2388&lt;&gt;""), 2) - COLUMN($AW$1) + 1
   ),
"")</f>
        <v>46082</v>
      </c>
      <c r="BN2388" s="55" cm="1">
        <f t="array" ref="BN2388">IFERROR(INDEX($AW$1:$BH$1,1,MATCH(2,1/(AW2388:BH2388&lt;&gt;""))),"")</f>
        <v>46113</v>
      </c>
      <c r="BO2388" s="53">
        <f ca="1">IFERROR(_xlfn.XLOOKUP(F2388,Apuração!A:A,Apuração!C:C)/_xlfn.XLOOKUP(F2388,Apuração!A:A,Apuração!B:B),0)</f>
        <v>0.22222222222222221</v>
      </c>
      <c r="BP2388" s="53">
        <f ca="1">IFERROR(_xlfn.XLOOKUP(F2388,Apuração!A:A,Apuração!D:D)/_xlfn.XLOOKUP(F2388,Apuração!A:A,Apuração!B:B),0)</f>
        <v>0.1111111111111111</v>
      </c>
      <c r="BQ2388" s="53">
        <f ca="1">IF(BK2388&gt;=BO2388,0,_xlfn.XLOOKUP(F2388,Apuração!A:A,Apuração!B:B)*(BO2388 + (1/_xlfn.XLOOKUP(F2388,Apuração!A:A,Apuração!B:B)) - BK2388))</f>
        <v>0</v>
      </c>
      <c r="BR2388" s="85">
        <f ca="1">IF(BQ2388=0,0,BQ2388*Z2388)</f>
        <v>0</v>
      </c>
      <c r="BS2388" s="53">
        <f ca="1">IFERROR((_xlfn.XLOOKUP(F2388,Apuração!A:A,Apuração!C:C)+1)/_xlfn.XLOOKUP(F2388,Apuração!A:A,Apuração!B:B),0)</f>
        <v>0.33333333333333331</v>
      </c>
    </row>
    <row r="2389" spans="1:71" ht="25.95" hidden="1" customHeight="1" x14ac:dyDescent="0.3">
      <c r="A2389" s="40" t="s">
        <v>87</v>
      </c>
      <c r="B2389" s="4" t="s">
        <v>232</v>
      </c>
      <c r="C2389" s="5" t="s">
        <v>214</v>
      </c>
      <c r="D2389" s="5" t="s">
        <v>210</v>
      </c>
      <c r="E2389" s="4" t="str" cm="1">
        <f t="array" ref="E2389">_xlfn.IFS(
F2389 = "A partir de Abril", "Aguardando Execução na Distribuidora",
A2389 = "CAPACITAÇÃO", "Em execução no Corporativo",
TRUE, "Em Execução na Distribuidora"
)</f>
        <v>Em Execução na Distribuidora</v>
      </c>
      <c r="F2389" s="4" t="str" cm="1">
        <f t="array" ref="F2389">_xlfn.IFS(
AG2389 &lt;&gt; "", "Jan-Dez/26",
AH2389 &lt;&gt; "", "Fev-Dez/26",
AI2389 &lt;&gt; "", "Mar-Dez/26", AJ2389 &lt;&gt; "", "Abr-Dez/26",
TRUE, "A partir de Junho"
)</f>
        <v>Abr-Dez/26</v>
      </c>
      <c r="G2389" s="7" t="s">
        <v>37</v>
      </c>
      <c r="H2389" s="7" t="s">
        <v>110</v>
      </c>
      <c r="I2389" s="9" t="s">
        <v>76</v>
      </c>
      <c r="J2389" s="21" t="str" cm="1">
        <f t="array" aca="1" ref="J2389" ca="1">_xlfn.LET(
  _xlpm.actual_value_month, INDEX(T2389:AE2389, MATCH(DATE(YEAR(TODAY()), MONTH(TODAY()), 1), $T$1:$AE$1, 0)),
  IF(_xlpm.actual_value_month &lt;&gt; "",_xlpm.actual_value_month &amp; " ações mensais", "")
)</f>
        <v/>
      </c>
      <c r="K2389" s="8" t="str" cm="1">
        <f t="array" ref="K2389">_xlfn.LET(
    _xlpm.sum_month, SUM(T2389:AE2389),
    IF(_xlpm.sum_month = 0, "", _xlpm.sum_month &amp; " equipes alcançadas no ano")
)</f>
        <v/>
      </c>
      <c r="L2389" s="4" t="s">
        <v>141</v>
      </c>
      <c r="M2389" s="19">
        <v>1</v>
      </c>
      <c r="N2389" s="5" t="s">
        <v>51</v>
      </c>
      <c r="O2389" s="5" t="s">
        <v>52</v>
      </c>
      <c r="P2389" s="10" t="s">
        <v>44</v>
      </c>
      <c r="Q2389" s="10" t="s">
        <v>44</v>
      </c>
      <c r="R2389" s="10" t="s">
        <v>44</v>
      </c>
      <c r="S2389" s="10" t="s">
        <v>44</v>
      </c>
      <c r="T2389" s="22"/>
      <c r="U2389" s="22"/>
      <c r="V2389" s="22"/>
      <c r="W2389" s="22"/>
      <c r="X2389" s="22"/>
      <c r="Y2389" s="22"/>
      <c r="Z2389" s="22"/>
      <c r="AA2389" s="22"/>
      <c r="AB2389" s="22"/>
      <c r="AC2389" s="22"/>
      <c r="AD2389" s="22"/>
      <c r="AE2389" s="22"/>
      <c r="AG2389" s="71"/>
      <c r="AH2389" s="71"/>
      <c r="AI2389" s="71"/>
      <c r="AJ2389" s="71">
        <v>30</v>
      </c>
      <c r="AK2389" s="71"/>
      <c r="AL2389" s="71"/>
      <c r="AM2389" s="71"/>
      <c r="AN2389" s="71"/>
      <c r="AO2389" s="71"/>
      <c r="AP2389" s="71"/>
      <c r="AQ2389" s="71"/>
      <c r="AR2389" s="71"/>
      <c r="AS2389" s="94">
        <f t="shared" ref="AS2389:AS2397" ca="1" si="2879">IF(MONTH(TODAY())=3,SUM(T2389:U2389),IF(MONTH(TODAY())=4,SUM(T2389:V2389),IF(MONTH(TODAY())=5,SUM(T2389:W2389),IF(MONTH(TODAY())=6,SUM(T2389:X2389),IF(MONTH(TODAY())=7,SUM(T2389:Y2389),IF(MONTH(TODAY())=8,SUM(T2389:Z2389),IF(MONTH(TODAY())=9,SUM(T2389:AA2389),IF(MONTH(TODAY())=10,SUM(T2389:AB2389),IF(MONTH(TODAY())=11,SUM(T2389:AC2389),IF(MONTH(TODAY())=12,SUM(T2389:AD2389),IF(MONTH(TODAY())=1,SUM(T2389:AE2389),T2389)))))))))))</f>
        <v>0</v>
      </c>
      <c r="AT2389" s="95">
        <f t="shared" ref="AT2389:AT2397" si="2880">SUM(AG2389:AR2389)</f>
        <v>30</v>
      </c>
      <c r="AU2389" s="97">
        <f t="shared" ref="AU2389:AU2397" si="2881">SUM(AG2389:AR2389)</f>
        <v>30</v>
      </c>
      <c r="AW2389" s="83">
        <f t="shared" ref="AW2389:AW2397" si="2882">AG2389</f>
        <v>0</v>
      </c>
      <c r="AX2389" s="83">
        <f t="shared" ref="AX2389:AX2397" si="2883">AH2389</f>
        <v>0</v>
      </c>
      <c r="AY2389" s="83">
        <f t="shared" ref="AY2389:AY2397" si="2884">AI2389</f>
        <v>0</v>
      </c>
      <c r="AZ2389" s="83">
        <f t="shared" ref="AZ2389:AZ2397" si="2885">AJ2389</f>
        <v>30</v>
      </c>
      <c r="BA2389" s="52"/>
      <c r="BB2389" s="52"/>
      <c r="BC2389" s="52"/>
      <c r="BD2389" s="52"/>
      <c r="BE2389" s="52"/>
      <c r="BF2389" s="52"/>
      <c r="BG2389" s="52"/>
      <c r="BH2389" s="52"/>
      <c r="BI2389" s="68" cm="1">
        <f t="array" ref="BI2389">IFERROR(INDEX(AW2389:BH2389,1,MATCH(2,1/(AW2389:BH2389&lt;&gt;""))),"")</f>
        <v>30</v>
      </c>
      <c r="BJ2389" s="68" cm="1">
        <f t="array" ref="BJ2389">IF(BM2389 = "", "",IFERROR(INDEX(AW2389:BH2389,1,MATCH(2,1/(AW2389:BH2389&lt;&gt;""),1)-1),""))</f>
        <v>0</v>
      </c>
      <c r="BK2389" s="59">
        <f t="shared" ref="BK2389:BK2397" si="2886">SUM(AW2389:BH2389)</f>
        <v>30</v>
      </c>
      <c r="BL2389" s="59" cm="1">
        <f t="array" ref="BL2389">IFERROR(SUM(AW2389:INDEX(AW2389:BH2389, MATCH(2, 1/(AW2389:BH2389&lt;&gt;""), 1) - 1))/_xlfn.XLOOKUP(F2389,Apuração!A:A,Apuração!B:B),0)</f>
        <v>0</v>
      </c>
      <c r="BM2389" s="55" cm="1">
        <f t="array" ref="BM2389">IFERROR(
   INDEX($AW$1:$BH$1,
      _xlfn.AGGREGATE(14, 6, COLUMN($AW$1:$BH$1)/(AW2389:BH2389&lt;&gt;""), 2) - COLUMN($AW$1) + 1
   ),
"")</f>
        <v>46082</v>
      </c>
      <c r="BN2389" s="55" cm="1">
        <f t="array" ref="BN2389">IFERROR(INDEX($AW$1:$BH$1,1,MATCH(2,1/(AW2389:BH2389&lt;&gt;""))),"")</f>
        <v>46113</v>
      </c>
      <c r="BO2389" s="53">
        <f ca="1">IFERROR(_xlfn.XLOOKUP(F2389,Apuração!A:A,Apuração!C:C)/_xlfn.XLOOKUP(F2389,Apuração!A:A,Apuração!B:B),0)</f>
        <v>0.22222222222222221</v>
      </c>
      <c r="BP2389" s="53">
        <f ca="1">IFERROR(_xlfn.XLOOKUP(F2389,Apuração!A:A,Apuração!D:D)/_xlfn.XLOOKUP(F2389,Apuração!A:A,Apuração!B:B),0)</f>
        <v>0.1111111111111111</v>
      </c>
      <c r="BQ2389" s="53">
        <f ca="1">IF(BK2389&gt;=BO2389,0,_xlfn.XLOOKUP(F2389,Apuração!A:A,Apuração!B:B)*(BO2389 + (1/_xlfn.XLOOKUP(F2389,Apuração!A:A,Apuração!B:B)) - BK2389))</f>
        <v>0</v>
      </c>
      <c r="BR2389" s="85">
        <f t="shared" ref="BR2389:BR2397" ca="1" si="2887">IF(BQ2389=0,0,BQ2389*Z2389)</f>
        <v>0</v>
      </c>
      <c r="BS2389" s="53">
        <f ca="1">IFERROR((_xlfn.XLOOKUP(F2389,Apuração!A:A,Apuração!C:C)+1)/_xlfn.XLOOKUP(F2389,Apuração!A:A,Apuração!B:B),0)</f>
        <v>0.33333333333333331</v>
      </c>
    </row>
    <row r="2390" spans="1:71" ht="25.95" hidden="1" customHeight="1" x14ac:dyDescent="0.3">
      <c r="A2390" s="40" t="s">
        <v>87</v>
      </c>
      <c r="B2390" s="4" t="s">
        <v>232</v>
      </c>
      <c r="C2390" s="5" t="s">
        <v>214</v>
      </c>
      <c r="D2390" s="5" t="s">
        <v>215</v>
      </c>
      <c r="E2390" s="4" t="str" cm="1">
        <f t="array" ref="E2390">_xlfn.IFS(
F2390 = "A partir de Abril", "Aguardando Execução na Distribuidora",
A2390 = "CAPACITAÇÃO", "Em execução no Corporativo",
TRUE, "Em Execução na Distribuidora"
)</f>
        <v>Em Execução na Distribuidora</v>
      </c>
      <c r="F2390" s="4" t="str" cm="1">
        <f t="array" ref="F2390">_xlfn.IFS(
AG2390 &lt;&gt; "", "Jan-Dez/26",
AH2390 &lt;&gt; "", "Fev-Dez/26",
AI2390 &lt;&gt; "", "Mar-Dez/26", AJ2390 &lt;&gt; "", "Abr-Dez/26",
TRUE, "A partir de Junho"
)</f>
        <v>Abr-Dez/26</v>
      </c>
      <c r="G2390" s="7" t="s">
        <v>37</v>
      </c>
      <c r="H2390" s="7" t="s">
        <v>110</v>
      </c>
      <c r="I2390" s="9" t="s">
        <v>76</v>
      </c>
      <c r="J2390" s="21" t="str" cm="1">
        <f t="array" aca="1" ref="J2390" ca="1">_xlfn.LET(
  _xlpm.actual_value_month, INDEX(T2390:AE2390, MATCH(DATE(YEAR(TODAY()), MONTH(TODAY()), 1), $T$1:$AE$1, 0)),
  IF(_xlpm.actual_value_month &lt;&gt; "",_xlpm.actual_value_month &amp; " ações mensais", "")
)</f>
        <v/>
      </c>
      <c r="K2390" s="8" t="str" cm="1">
        <f t="array" ref="K2390">_xlfn.LET(
    _xlpm.sum_month, SUM(T2390:AE2390),
    IF(_xlpm.sum_month = 0, "", _xlpm.sum_month &amp; " equipes alcançadas no ano")
)</f>
        <v/>
      </c>
      <c r="L2390" s="4" t="s">
        <v>141</v>
      </c>
      <c r="M2390" s="19">
        <v>1</v>
      </c>
      <c r="N2390" s="5" t="s">
        <v>51</v>
      </c>
      <c r="O2390" s="5" t="s">
        <v>52</v>
      </c>
      <c r="P2390" s="10" t="s">
        <v>44</v>
      </c>
      <c r="Q2390" s="10" t="s">
        <v>44</v>
      </c>
      <c r="R2390" s="10" t="s">
        <v>44</v>
      </c>
      <c r="S2390" s="10" t="s">
        <v>44</v>
      </c>
      <c r="T2390" s="22"/>
      <c r="U2390" s="22"/>
      <c r="V2390" s="22"/>
      <c r="W2390" s="22"/>
      <c r="X2390" s="22"/>
      <c r="Y2390" s="22"/>
      <c r="Z2390" s="22"/>
      <c r="AA2390" s="22"/>
      <c r="AB2390" s="22"/>
      <c r="AC2390" s="22"/>
      <c r="AD2390" s="22"/>
      <c r="AE2390" s="22"/>
      <c r="AG2390" s="71"/>
      <c r="AH2390" s="71"/>
      <c r="AI2390" s="71"/>
      <c r="AJ2390" s="71">
        <v>82</v>
      </c>
      <c r="AK2390" s="71"/>
      <c r="AL2390" s="71"/>
      <c r="AM2390" s="71"/>
      <c r="AN2390" s="71"/>
      <c r="AO2390" s="71"/>
      <c r="AP2390" s="71"/>
      <c r="AQ2390" s="71"/>
      <c r="AR2390" s="71"/>
      <c r="AS2390" s="94">
        <f t="shared" ca="1" si="2879"/>
        <v>0</v>
      </c>
      <c r="AT2390" s="95">
        <f t="shared" si="2880"/>
        <v>82</v>
      </c>
      <c r="AU2390" s="97">
        <f t="shared" si="2881"/>
        <v>82</v>
      </c>
      <c r="AW2390" s="83">
        <f t="shared" si="2882"/>
        <v>0</v>
      </c>
      <c r="AX2390" s="83">
        <f t="shared" si="2883"/>
        <v>0</v>
      </c>
      <c r="AY2390" s="83">
        <f t="shared" si="2884"/>
        <v>0</v>
      </c>
      <c r="AZ2390" s="83">
        <f t="shared" si="2885"/>
        <v>82</v>
      </c>
      <c r="BA2390" s="52"/>
      <c r="BB2390" s="52"/>
      <c r="BC2390" s="52"/>
      <c r="BD2390" s="52"/>
      <c r="BE2390" s="52"/>
      <c r="BF2390" s="52"/>
      <c r="BG2390" s="52"/>
      <c r="BH2390" s="52"/>
      <c r="BI2390" s="68" cm="1">
        <f t="array" ref="BI2390">IFERROR(INDEX(AW2390:BH2390,1,MATCH(2,1/(AW2390:BH2390&lt;&gt;""))),"")</f>
        <v>82</v>
      </c>
      <c r="BJ2390" s="68" cm="1">
        <f t="array" ref="BJ2390">IF(BM2390 = "", "",IFERROR(INDEX(AW2390:BH2390,1,MATCH(2,1/(AW2390:BH2390&lt;&gt;""),1)-1),""))</f>
        <v>0</v>
      </c>
      <c r="BK2390" s="59">
        <f t="shared" si="2886"/>
        <v>82</v>
      </c>
      <c r="BL2390" s="59" cm="1">
        <f t="array" ref="BL2390">IFERROR(SUM(AW2390:INDEX(AW2390:BH2390, MATCH(2, 1/(AW2390:BH2390&lt;&gt;""), 1) - 1))/_xlfn.XLOOKUP(F2390,Apuração!A:A,Apuração!B:B),0)</f>
        <v>0</v>
      </c>
      <c r="BM2390" s="55" cm="1">
        <f t="array" ref="BM2390">IFERROR(
   INDEX($AW$1:$BH$1,
      _xlfn.AGGREGATE(14, 6, COLUMN($AW$1:$BH$1)/(AW2390:BH2390&lt;&gt;""), 2) - COLUMN($AW$1) + 1
   ),
"")</f>
        <v>46082</v>
      </c>
      <c r="BN2390" s="55" cm="1">
        <f t="array" ref="BN2390">IFERROR(INDEX($AW$1:$BH$1,1,MATCH(2,1/(AW2390:BH2390&lt;&gt;""))),"")</f>
        <v>46113</v>
      </c>
      <c r="BO2390" s="53">
        <f ca="1">IFERROR(_xlfn.XLOOKUP(F2390,Apuração!A:A,Apuração!C:C)/_xlfn.XLOOKUP(F2390,Apuração!A:A,Apuração!B:B),0)</f>
        <v>0.22222222222222221</v>
      </c>
      <c r="BP2390" s="53">
        <f ca="1">IFERROR(_xlfn.XLOOKUP(F2390,Apuração!A:A,Apuração!D:D)/_xlfn.XLOOKUP(F2390,Apuração!A:A,Apuração!B:B),0)</f>
        <v>0.1111111111111111</v>
      </c>
      <c r="BQ2390" s="53">
        <f ca="1">IF(BK2390&gt;=BO2390,0,_xlfn.XLOOKUP(F2390,Apuração!A:A,Apuração!B:B)*(BO2390 + (1/_xlfn.XLOOKUP(F2390,Apuração!A:A,Apuração!B:B)) - BK2390))</f>
        <v>0</v>
      </c>
      <c r="BR2390" s="85">
        <f t="shared" ca="1" si="2887"/>
        <v>0</v>
      </c>
      <c r="BS2390" s="53">
        <f ca="1">IFERROR((_xlfn.XLOOKUP(F2390,Apuração!A:A,Apuração!C:C)+1)/_xlfn.XLOOKUP(F2390,Apuração!A:A,Apuração!B:B),0)</f>
        <v>0.33333333333333331</v>
      </c>
    </row>
    <row r="2391" spans="1:71" ht="25.95" hidden="1" customHeight="1" x14ac:dyDescent="0.3">
      <c r="A2391" s="40" t="s">
        <v>87</v>
      </c>
      <c r="B2391" s="4" t="s">
        <v>232</v>
      </c>
      <c r="C2391" s="5" t="s">
        <v>214</v>
      </c>
      <c r="D2391" s="5" t="s">
        <v>212</v>
      </c>
      <c r="E2391" s="4" t="str" cm="1">
        <f t="array" ref="E2391">_xlfn.IFS(
F2391 = "A partir de Abril", "Aguardando Execução na Distribuidora",
A2391 = "CAPACITAÇÃO", "Em execução no Corporativo",
TRUE, "Em Execução na Distribuidora"
)</f>
        <v>Em Execução na Distribuidora</v>
      </c>
      <c r="F2391" s="4" t="str" cm="1">
        <f t="array" ref="F2391">_xlfn.IFS(
AG2391 &lt;&gt; "", "Jan-Dez/26",
AH2391 &lt;&gt; "", "Fev-Dez/26",
AI2391 &lt;&gt; "", "Mar-Dez/26", AJ2391 &lt;&gt; "", "Abr-Dez/26",
TRUE, "A partir de Junho"
)</f>
        <v>Abr-Dez/26</v>
      </c>
      <c r="G2391" s="7" t="s">
        <v>37</v>
      </c>
      <c r="H2391" s="7" t="s">
        <v>110</v>
      </c>
      <c r="I2391" s="9" t="s">
        <v>76</v>
      </c>
      <c r="J2391" s="21" t="str" cm="1">
        <f t="array" aca="1" ref="J2391" ca="1">_xlfn.LET(
  _xlpm.actual_value_month, INDEX(T2391:AE2391, MATCH(DATE(YEAR(TODAY()), MONTH(TODAY()), 1), $T$1:$AE$1, 0)),
  IF(_xlpm.actual_value_month &lt;&gt; "",_xlpm.actual_value_month &amp; " ações mensais", "")
)</f>
        <v/>
      </c>
      <c r="K2391" s="8" t="str" cm="1">
        <f t="array" ref="K2391">_xlfn.LET(
    _xlpm.sum_month, SUM(T2391:AE2391),
    IF(_xlpm.sum_month = 0, "", _xlpm.sum_month &amp; " equipes alcançadas no ano")
)</f>
        <v/>
      </c>
      <c r="L2391" s="4" t="s">
        <v>141</v>
      </c>
      <c r="M2391" s="19">
        <v>1</v>
      </c>
      <c r="N2391" s="5" t="s">
        <v>51</v>
      </c>
      <c r="O2391" s="5" t="s">
        <v>52</v>
      </c>
      <c r="P2391" s="10" t="s">
        <v>44</v>
      </c>
      <c r="Q2391" s="10" t="s">
        <v>44</v>
      </c>
      <c r="R2391" s="10" t="s">
        <v>44</v>
      </c>
      <c r="S2391" s="10" t="s">
        <v>44</v>
      </c>
      <c r="T2391" s="22"/>
      <c r="U2391" s="22"/>
      <c r="V2391" s="22"/>
      <c r="W2391" s="22"/>
      <c r="X2391" s="22"/>
      <c r="Y2391" s="22"/>
      <c r="Z2391" s="22"/>
      <c r="AA2391" s="22"/>
      <c r="AB2391" s="22"/>
      <c r="AC2391" s="22"/>
      <c r="AD2391" s="22"/>
      <c r="AE2391" s="22"/>
      <c r="AG2391" s="71"/>
      <c r="AH2391" s="71"/>
      <c r="AI2391" s="71"/>
      <c r="AJ2391" s="71">
        <v>110</v>
      </c>
      <c r="AK2391" s="71"/>
      <c r="AL2391" s="71"/>
      <c r="AM2391" s="71"/>
      <c r="AN2391" s="71"/>
      <c r="AO2391" s="71"/>
      <c r="AP2391" s="71"/>
      <c r="AQ2391" s="71"/>
      <c r="AR2391" s="71"/>
      <c r="AS2391" s="94">
        <f t="shared" ca="1" si="2879"/>
        <v>0</v>
      </c>
      <c r="AT2391" s="95">
        <f t="shared" si="2880"/>
        <v>110</v>
      </c>
      <c r="AU2391" s="97">
        <f t="shared" si="2881"/>
        <v>110</v>
      </c>
      <c r="AW2391" s="83">
        <f t="shared" si="2882"/>
        <v>0</v>
      </c>
      <c r="AX2391" s="83">
        <f t="shared" si="2883"/>
        <v>0</v>
      </c>
      <c r="AY2391" s="83">
        <f t="shared" si="2884"/>
        <v>0</v>
      </c>
      <c r="AZ2391" s="83">
        <f t="shared" si="2885"/>
        <v>110</v>
      </c>
      <c r="BA2391" s="52"/>
      <c r="BB2391" s="52"/>
      <c r="BC2391" s="52"/>
      <c r="BD2391" s="52"/>
      <c r="BE2391" s="52"/>
      <c r="BF2391" s="52"/>
      <c r="BG2391" s="52"/>
      <c r="BH2391" s="52"/>
      <c r="BI2391" s="68" cm="1">
        <f t="array" ref="BI2391">IFERROR(INDEX(AW2391:BH2391,1,MATCH(2,1/(AW2391:BH2391&lt;&gt;""))),"")</f>
        <v>110</v>
      </c>
      <c r="BJ2391" s="68" cm="1">
        <f t="array" ref="BJ2391">IF(BM2391 = "", "",IFERROR(INDEX(AW2391:BH2391,1,MATCH(2,1/(AW2391:BH2391&lt;&gt;""),1)-1),""))</f>
        <v>0</v>
      </c>
      <c r="BK2391" s="59">
        <f t="shared" si="2886"/>
        <v>110</v>
      </c>
      <c r="BL2391" s="59" cm="1">
        <f t="array" ref="BL2391">IFERROR(SUM(AW2391:INDEX(AW2391:BH2391, MATCH(2, 1/(AW2391:BH2391&lt;&gt;""), 1) - 1))/_xlfn.XLOOKUP(F2391,Apuração!A:A,Apuração!B:B),0)</f>
        <v>0</v>
      </c>
      <c r="BM2391" s="55" cm="1">
        <f t="array" ref="BM2391">IFERROR(
   INDEX($AW$1:$BH$1,
      _xlfn.AGGREGATE(14, 6, COLUMN($AW$1:$BH$1)/(AW2391:BH2391&lt;&gt;""), 2) - COLUMN($AW$1) + 1
   ),
"")</f>
        <v>46082</v>
      </c>
      <c r="BN2391" s="55" cm="1">
        <f t="array" ref="BN2391">IFERROR(INDEX($AW$1:$BH$1,1,MATCH(2,1/(AW2391:BH2391&lt;&gt;""))),"")</f>
        <v>46113</v>
      </c>
      <c r="BO2391" s="53">
        <f ca="1">IFERROR(_xlfn.XLOOKUP(F2391,Apuração!A:A,Apuração!C:C)/_xlfn.XLOOKUP(F2391,Apuração!A:A,Apuração!B:B),0)</f>
        <v>0.22222222222222221</v>
      </c>
      <c r="BP2391" s="53">
        <f ca="1">IFERROR(_xlfn.XLOOKUP(F2391,Apuração!A:A,Apuração!D:D)/_xlfn.XLOOKUP(F2391,Apuração!A:A,Apuração!B:B),0)</f>
        <v>0.1111111111111111</v>
      </c>
      <c r="BQ2391" s="53">
        <f ca="1">IF(BK2391&gt;=BO2391,0,_xlfn.XLOOKUP(F2391,Apuração!A:A,Apuração!B:B)*(BO2391 + (1/_xlfn.XLOOKUP(F2391,Apuração!A:A,Apuração!B:B)) - BK2391))</f>
        <v>0</v>
      </c>
      <c r="BR2391" s="85">
        <f t="shared" ca="1" si="2887"/>
        <v>0</v>
      </c>
      <c r="BS2391" s="53">
        <f ca="1">IFERROR((_xlfn.XLOOKUP(F2391,Apuração!A:A,Apuração!C:C)+1)/_xlfn.XLOOKUP(F2391,Apuração!A:A,Apuração!B:B),0)</f>
        <v>0.33333333333333331</v>
      </c>
    </row>
    <row r="2392" spans="1:71" ht="25.95" hidden="1" customHeight="1" x14ac:dyDescent="0.3">
      <c r="A2392" s="40" t="s">
        <v>87</v>
      </c>
      <c r="B2392" s="4" t="s">
        <v>232</v>
      </c>
      <c r="C2392" s="5" t="s">
        <v>214</v>
      </c>
      <c r="D2392" s="5" t="s">
        <v>48</v>
      </c>
      <c r="E2392" s="4" t="str" cm="1">
        <f t="array" ref="E2392">_xlfn.IFS(
F2392 = "A partir de Abril", "Aguardando Execução na Distribuidora",
A2392 = "CAPACITAÇÃO", "Em execução no Corporativo",
TRUE, "Em Execução na Distribuidora"
)</f>
        <v>Em Execução na Distribuidora</v>
      </c>
      <c r="F2392" s="4" t="str" cm="1">
        <f t="array" ref="F2392">_xlfn.IFS(
AG2392 &lt;&gt; "", "Jan-Dez/26",
AH2392 &lt;&gt; "", "Fev-Dez/26",
AI2392 &lt;&gt; "", "Mar-Dez/26", AJ2392 &lt;&gt; "", "Abr-Dez/26",
TRUE, "A partir de Junho"
)</f>
        <v>Abr-Dez/26</v>
      </c>
      <c r="G2392" s="7" t="s">
        <v>37</v>
      </c>
      <c r="H2392" s="7" t="s">
        <v>110</v>
      </c>
      <c r="I2392" s="9" t="s">
        <v>76</v>
      </c>
      <c r="J2392" s="21" t="str" cm="1">
        <f t="array" aca="1" ref="J2392" ca="1">_xlfn.LET(
  _xlpm.actual_value_month, INDEX(T2392:AE2392, MATCH(DATE(YEAR(TODAY()), MONTH(TODAY()), 1), $T$1:$AE$1, 0)),
  IF(_xlpm.actual_value_month &lt;&gt; "",_xlpm.actual_value_month &amp; " ações mensais", "")
)</f>
        <v/>
      </c>
      <c r="K2392" s="8" t="str" cm="1">
        <f t="array" ref="K2392">_xlfn.LET(
    _xlpm.sum_month, SUM(T2392:AE2392),
    IF(_xlpm.sum_month = 0, "", _xlpm.sum_month &amp; " equipes alcançadas no ano")
)</f>
        <v/>
      </c>
      <c r="L2392" s="4" t="s">
        <v>141</v>
      </c>
      <c r="M2392" s="19">
        <v>1</v>
      </c>
      <c r="N2392" s="5" t="s">
        <v>51</v>
      </c>
      <c r="O2392" s="5" t="s">
        <v>52</v>
      </c>
      <c r="P2392" s="10" t="s">
        <v>44</v>
      </c>
      <c r="Q2392" s="10" t="s">
        <v>44</v>
      </c>
      <c r="R2392" s="10" t="s">
        <v>44</v>
      </c>
      <c r="S2392" s="10" t="s">
        <v>44</v>
      </c>
      <c r="T2392" s="22"/>
      <c r="U2392" s="22"/>
      <c r="V2392" s="22"/>
      <c r="W2392" s="22"/>
      <c r="X2392" s="22"/>
      <c r="Y2392" s="22"/>
      <c r="Z2392" s="22"/>
      <c r="AA2392" s="22"/>
      <c r="AB2392" s="22"/>
      <c r="AC2392" s="22"/>
      <c r="AD2392" s="22"/>
      <c r="AE2392" s="22"/>
      <c r="AG2392" s="71"/>
      <c r="AH2392" s="71"/>
      <c r="AI2392" s="71"/>
      <c r="AJ2392" s="71">
        <v>54</v>
      </c>
      <c r="AK2392" s="71"/>
      <c r="AL2392" s="71"/>
      <c r="AM2392" s="71"/>
      <c r="AN2392" s="71"/>
      <c r="AO2392" s="71"/>
      <c r="AP2392" s="71"/>
      <c r="AQ2392" s="71"/>
      <c r="AR2392" s="71"/>
      <c r="AS2392" s="94">
        <f t="shared" ca="1" si="2879"/>
        <v>0</v>
      </c>
      <c r="AT2392" s="95">
        <f t="shared" si="2880"/>
        <v>54</v>
      </c>
      <c r="AU2392" s="97">
        <f t="shared" si="2881"/>
        <v>54</v>
      </c>
      <c r="AW2392" s="83">
        <f t="shared" si="2882"/>
        <v>0</v>
      </c>
      <c r="AX2392" s="83">
        <f t="shared" si="2883"/>
        <v>0</v>
      </c>
      <c r="AY2392" s="83">
        <f t="shared" si="2884"/>
        <v>0</v>
      </c>
      <c r="AZ2392" s="83">
        <f t="shared" si="2885"/>
        <v>54</v>
      </c>
      <c r="BA2392" s="52"/>
      <c r="BB2392" s="52"/>
      <c r="BC2392" s="52"/>
      <c r="BD2392" s="52"/>
      <c r="BE2392" s="52"/>
      <c r="BF2392" s="52"/>
      <c r="BG2392" s="52"/>
      <c r="BH2392" s="52"/>
      <c r="BI2392" s="68" cm="1">
        <f t="array" ref="BI2392">IFERROR(INDEX(AW2392:BH2392,1,MATCH(2,1/(AW2392:BH2392&lt;&gt;""))),"")</f>
        <v>54</v>
      </c>
      <c r="BJ2392" s="68" cm="1">
        <f t="array" ref="BJ2392">IF(BM2392 = "", "",IFERROR(INDEX(AW2392:BH2392,1,MATCH(2,1/(AW2392:BH2392&lt;&gt;""),1)-1),""))</f>
        <v>0</v>
      </c>
      <c r="BK2392" s="59">
        <f t="shared" si="2886"/>
        <v>54</v>
      </c>
      <c r="BL2392" s="59" cm="1">
        <f t="array" ref="BL2392">IFERROR(SUM(AW2392:INDEX(AW2392:BH2392, MATCH(2, 1/(AW2392:BH2392&lt;&gt;""), 1) - 1))/_xlfn.XLOOKUP(F2392,Apuração!A:A,Apuração!B:B),0)</f>
        <v>0</v>
      </c>
      <c r="BM2392" s="55" cm="1">
        <f t="array" ref="BM2392">IFERROR(
   INDEX($AW$1:$BH$1,
      _xlfn.AGGREGATE(14, 6, COLUMN($AW$1:$BH$1)/(AW2392:BH2392&lt;&gt;""), 2) - COLUMN($AW$1) + 1
   ),
"")</f>
        <v>46082</v>
      </c>
      <c r="BN2392" s="55" cm="1">
        <f t="array" ref="BN2392">IFERROR(INDEX($AW$1:$BH$1,1,MATCH(2,1/(AW2392:BH2392&lt;&gt;""))),"")</f>
        <v>46113</v>
      </c>
      <c r="BO2392" s="53">
        <f ca="1">IFERROR(_xlfn.XLOOKUP(F2392,Apuração!A:A,Apuração!C:C)/_xlfn.XLOOKUP(F2392,Apuração!A:A,Apuração!B:B),0)</f>
        <v>0.22222222222222221</v>
      </c>
      <c r="BP2392" s="53">
        <f ca="1">IFERROR(_xlfn.XLOOKUP(F2392,Apuração!A:A,Apuração!D:D)/_xlfn.XLOOKUP(F2392,Apuração!A:A,Apuração!B:B),0)</f>
        <v>0.1111111111111111</v>
      </c>
      <c r="BQ2392" s="53">
        <f ca="1">IF(BK2392&gt;=BO2392,0,_xlfn.XLOOKUP(F2392,Apuração!A:A,Apuração!B:B)*(BO2392 + (1/_xlfn.XLOOKUP(F2392,Apuração!A:A,Apuração!B:B)) - BK2392))</f>
        <v>0</v>
      </c>
      <c r="BR2392" s="85">
        <f t="shared" ca="1" si="2887"/>
        <v>0</v>
      </c>
      <c r="BS2392" s="53">
        <f ca="1">IFERROR((_xlfn.XLOOKUP(F2392,Apuração!A:A,Apuração!C:C)+1)/_xlfn.XLOOKUP(F2392,Apuração!A:A,Apuração!B:B),0)</f>
        <v>0.33333333333333331</v>
      </c>
    </row>
    <row r="2393" spans="1:71" ht="25.95" hidden="1" customHeight="1" x14ac:dyDescent="0.3">
      <c r="A2393" s="40" t="s">
        <v>87</v>
      </c>
      <c r="B2393" s="4" t="s">
        <v>232</v>
      </c>
      <c r="C2393" s="5" t="s">
        <v>214</v>
      </c>
      <c r="D2393" s="5" t="s">
        <v>213</v>
      </c>
      <c r="E2393" s="4" t="str" cm="1">
        <f t="array" ref="E2393">_xlfn.IFS(
F2393 = "A partir de Abril", "Aguardando Execução na Distribuidora",
A2393 = "CAPACITAÇÃO", "Em execução no Corporativo",
TRUE, "Em Execução na Distribuidora"
)</f>
        <v>Em Execução na Distribuidora</v>
      </c>
      <c r="F2393" s="4" t="str" cm="1">
        <f t="array" ref="F2393">_xlfn.IFS(
AG2393 &lt;&gt; "", "Jan-Dez/26",
AH2393 &lt;&gt; "", "Fev-Dez/26",
AI2393 &lt;&gt; "", "Mar-Dez/26", AJ2393 &lt;&gt; "", "Abr-Dez/26",
TRUE, "A partir de Junho"
)</f>
        <v>Abr-Dez/26</v>
      </c>
      <c r="G2393" s="7" t="s">
        <v>37</v>
      </c>
      <c r="H2393" s="7" t="s">
        <v>110</v>
      </c>
      <c r="I2393" s="9" t="s">
        <v>76</v>
      </c>
      <c r="J2393" s="21" t="str" cm="1">
        <f t="array" aca="1" ref="J2393" ca="1">_xlfn.LET(
  _xlpm.actual_value_month, INDEX(T2393:AE2393, MATCH(DATE(YEAR(TODAY()), MONTH(TODAY()), 1), $T$1:$AE$1, 0)),
  IF(_xlpm.actual_value_month &lt;&gt; "",_xlpm.actual_value_month &amp; " ações mensais", "")
)</f>
        <v/>
      </c>
      <c r="K2393" s="8" t="str" cm="1">
        <f t="array" ref="K2393">_xlfn.LET(
    _xlpm.sum_month, SUM(T2393:AE2393),
    IF(_xlpm.sum_month = 0, "", _xlpm.sum_month &amp; " equipes alcançadas no ano")
)</f>
        <v/>
      </c>
      <c r="L2393" s="4" t="s">
        <v>141</v>
      </c>
      <c r="M2393" s="19">
        <v>1</v>
      </c>
      <c r="N2393" s="5" t="s">
        <v>51</v>
      </c>
      <c r="O2393" s="5" t="s">
        <v>52</v>
      </c>
      <c r="P2393" s="10" t="s">
        <v>44</v>
      </c>
      <c r="Q2393" s="10" t="s">
        <v>44</v>
      </c>
      <c r="R2393" s="10" t="s">
        <v>44</v>
      </c>
      <c r="S2393" s="10" t="s">
        <v>44</v>
      </c>
      <c r="T2393" s="22"/>
      <c r="U2393" s="22"/>
      <c r="V2393" s="22"/>
      <c r="W2393" s="22"/>
      <c r="X2393" s="22"/>
      <c r="Y2393" s="22"/>
      <c r="Z2393" s="22"/>
      <c r="AA2393" s="22"/>
      <c r="AB2393" s="22"/>
      <c r="AC2393" s="22"/>
      <c r="AD2393" s="22"/>
      <c r="AE2393" s="22"/>
      <c r="AG2393" s="71"/>
      <c r="AH2393" s="71"/>
      <c r="AI2393" s="71"/>
      <c r="AJ2393" s="71">
        <v>110</v>
      </c>
      <c r="AK2393" s="71"/>
      <c r="AL2393" s="71"/>
      <c r="AM2393" s="71"/>
      <c r="AN2393" s="71"/>
      <c r="AO2393" s="71"/>
      <c r="AP2393" s="71"/>
      <c r="AQ2393" s="71"/>
      <c r="AR2393" s="71"/>
      <c r="AS2393" s="94">
        <f t="shared" ca="1" si="2879"/>
        <v>0</v>
      </c>
      <c r="AT2393" s="95">
        <f t="shared" si="2880"/>
        <v>110</v>
      </c>
      <c r="AU2393" s="97">
        <f t="shared" si="2881"/>
        <v>110</v>
      </c>
      <c r="AW2393" s="83">
        <f t="shared" si="2882"/>
        <v>0</v>
      </c>
      <c r="AX2393" s="83">
        <f t="shared" si="2883"/>
        <v>0</v>
      </c>
      <c r="AY2393" s="83">
        <f t="shared" si="2884"/>
        <v>0</v>
      </c>
      <c r="AZ2393" s="83">
        <f t="shared" si="2885"/>
        <v>110</v>
      </c>
      <c r="BA2393" s="52"/>
      <c r="BB2393" s="52"/>
      <c r="BC2393" s="52"/>
      <c r="BD2393" s="52"/>
      <c r="BE2393" s="52"/>
      <c r="BF2393" s="52"/>
      <c r="BG2393" s="52"/>
      <c r="BH2393" s="52"/>
      <c r="BI2393" s="68" cm="1">
        <f t="array" ref="BI2393">IFERROR(INDEX(AW2393:BH2393,1,MATCH(2,1/(AW2393:BH2393&lt;&gt;""))),"")</f>
        <v>110</v>
      </c>
      <c r="BJ2393" s="68" cm="1">
        <f t="array" ref="BJ2393">IF(BM2393 = "", "",IFERROR(INDEX(AW2393:BH2393,1,MATCH(2,1/(AW2393:BH2393&lt;&gt;""),1)-1),""))</f>
        <v>0</v>
      </c>
      <c r="BK2393" s="59">
        <f t="shared" si="2886"/>
        <v>110</v>
      </c>
      <c r="BL2393" s="59" cm="1">
        <f t="array" ref="BL2393">IFERROR(SUM(AW2393:INDEX(AW2393:BH2393, MATCH(2, 1/(AW2393:BH2393&lt;&gt;""), 1) - 1))/_xlfn.XLOOKUP(F2393,Apuração!A:A,Apuração!B:B),0)</f>
        <v>0</v>
      </c>
      <c r="BM2393" s="55" cm="1">
        <f t="array" ref="BM2393">IFERROR(
   INDEX($AW$1:$BH$1,
      _xlfn.AGGREGATE(14, 6, COLUMN($AW$1:$BH$1)/(AW2393:BH2393&lt;&gt;""), 2) - COLUMN($AW$1) + 1
   ),
"")</f>
        <v>46082</v>
      </c>
      <c r="BN2393" s="55" cm="1">
        <f t="array" ref="BN2393">IFERROR(INDEX($AW$1:$BH$1,1,MATCH(2,1/(AW2393:BH2393&lt;&gt;""))),"")</f>
        <v>46113</v>
      </c>
      <c r="BO2393" s="53">
        <f ca="1">IFERROR(_xlfn.XLOOKUP(F2393,Apuração!A:A,Apuração!C:C)/_xlfn.XLOOKUP(F2393,Apuração!A:A,Apuração!B:B),0)</f>
        <v>0.22222222222222221</v>
      </c>
      <c r="BP2393" s="53">
        <f ca="1">IFERROR(_xlfn.XLOOKUP(F2393,Apuração!A:A,Apuração!D:D)/_xlfn.XLOOKUP(F2393,Apuração!A:A,Apuração!B:B),0)</f>
        <v>0.1111111111111111</v>
      </c>
      <c r="BQ2393" s="53">
        <f ca="1">IF(BK2393&gt;=BO2393,0,_xlfn.XLOOKUP(F2393,Apuração!A:A,Apuração!B:B)*(BO2393 + (1/_xlfn.XLOOKUP(F2393,Apuração!A:A,Apuração!B:B)) - BK2393))</f>
        <v>0</v>
      </c>
      <c r="BR2393" s="85">
        <f t="shared" ca="1" si="2887"/>
        <v>0</v>
      </c>
      <c r="BS2393" s="53">
        <f ca="1">IFERROR((_xlfn.XLOOKUP(F2393,Apuração!A:A,Apuração!C:C)+1)/_xlfn.XLOOKUP(F2393,Apuração!A:A,Apuração!B:B),0)</f>
        <v>0.33333333333333331</v>
      </c>
    </row>
    <row r="2394" spans="1:71" ht="25.95" hidden="1" customHeight="1" x14ac:dyDescent="0.3">
      <c r="A2394" s="40" t="s">
        <v>87</v>
      </c>
      <c r="B2394" s="4" t="s">
        <v>229</v>
      </c>
      <c r="C2394" s="5" t="s">
        <v>216</v>
      </c>
      <c r="D2394" s="5" t="s">
        <v>217</v>
      </c>
      <c r="E2394" s="4" t="str" cm="1">
        <f t="array" ref="E2394">_xlfn.IFS(
F2394 = "A partir de Abril", "Aguardando Execução na Distribuidora",
A2394 = "CAPACITAÇÃO", "Em execução no Corporativo",
TRUE, "Em Execução na Distribuidora"
)</f>
        <v>Em Execução na Distribuidora</v>
      </c>
      <c r="F2394" s="4" t="str" cm="1">
        <f t="array" ref="F2394">_xlfn.IFS(
AG2394 &lt;&gt; "", "Jan-Dez/26",
AH2394 &lt;&gt; "", "Fev-Dez/26",
AI2394 &lt;&gt; "", "Mar-Dez/26", AJ2394 &lt;&gt; "", "Abr-Dez/26",
TRUE, "A partir de Junho"
)</f>
        <v>Jan-Dez/26</v>
      </c>
      <c r="G2394" s="7" t="s">
        <v>37</v>
      </c>
      <c r="H2394" s="7" t="s">
        <v>38</v>
      </c>
      <c r="I2394" s="8" t="s">
        <v>148</v>
      </c>
      <c r="J2394" s="21" t="str" cm="1">
        <f t="array" aca="1" ref="J2394" ca="1">_xlfn.LET(
  _xlpm.actual_value_month, INDEX(T2394:AE2394, MATCH(DATE(YEAR(TODAY()), MONTH(TODAY()), 1), $T$1:$AE$1, 0)),
  IF(_xlpm.actual_value_month &lt;&gt; "",_xlpm.actual_value_month &amp; " ações mensais", "")
)</f>
        <v/>
      </c>
      <c r="K2394" s="8" t="str" cm="1">
        <f t="array" ref="K2394">_xlfn.LET(
    _xlpm.sum_month, SUM(T2394:AE2394),
    IF(_xlpm.sum_month = 0, "", _xlpm.sum_month &amp; " NC's no ano")
)</f>
        <v/>
      </c>
      <c r="L2394" s="9" t="s">
        <v>149</v>
      </c>
      <c r="M2394" s="4"/>
      <c r="N2394" s="5" t="s">
        <v>51</v>
      </c>
      <c r="O2394" s="5" t="s">
        <v>52</v>
      </c>
      <c r="P2394" s="10" t="s">
        <v>44</v>
      </c>
      <c r="Q2394" s="10" t="s">
        <v>44</v>
      </c>
      <c r="R2394" s="11" t="s">
        <v>44</v>
      </c>
      <c r="S2394" s="11" t="s">
        <v>44</v>
      </c>
      <c r="T2394" s="22"/>
      <c r="U2394" s="22"/>
      <c r="V2394" s="22"/>
      <c r="W2394" s="22"/>
      <c r="X2394" s="22"/>
      <c r="Y2394" s="22"/>
      <c r="Z2394" s="22"/>
      <c r="AA2394" s="22"/>
      <c r="AB2394" s="22"/>
      <c r="AC2394" s="22"/>
      <c r="AD2394" s="22"/>
      <c r="AE2394" s="22"/>
      <c r="AG2394" s="145">
        <v>0</v>
      </c>
      <c r="AH2394" s="149">
        <v>0</v>
      </c>
      <c r="AI2394" s="149">
        <v>0</v>
      </c>
      <c r="AJ2394" s="82">
        <v>3</v>
      </c>
      <c r="AK2394" s="71"/>
      <c r="AL2394" s="71"/>
      <c r="AM2394" s="71"/>
      <c r="AN2394" s="71"/>
      <c r="AO2394" s="71"/>
      <c r="AP2394" s="71"/>
      <c r="AQ2394" s="71"/>
      <c r="AR2394" s="71"/>
      <c r="AS2394" s="94">
        <f t="shared" ca="1" si="2879"/>
        <v>0</v>
      </c>
      <c r="AT2394" s="95">
        <f t="shared" si="2880"/>
        <v>3</v>
      </c>
      <c r="AU2394" s="97">
        <f t="shared" si="2881"/>
        <v>3</v>
      </c>
      <c r="AW2394" s="83">
        <f t="shared" si="2882"/>
        <v>0</v>
      </c>
      <c r="AX2394" s="83">
        <f t="shared" si="2883"/>
        <v>0</v>
      </c>
      <c r="AY2394" s="83">
        <f t="shared" si="2884"/>
        <v>0</v>
      </c>
      <c r="AZ2394" s="83">
        <f t="shared" si="2885"/>
        <v>3</v>
      </c>
      <c r="BA2394" s="52"/>
      <c r="BB2394" s="52"/>
      <c r="BC2394" s="52"/>
      <c r="BD2394" s="52"/>
      <c r="BE2394" s="52"/>
      <c r="BF2394" s="52"/>
      <c r="BG2394" s="52"/>
      <c r="BH2394" s="52"/>
      <c r="BI2394" s="68" cm="1">
        <f t="array" ref="BI2394">IFERROR(INDEX(AW2394:BH2394,1,MATCH(2,1/(AW2394:BH2394&lt;&gt;""))),"")</f>
        <v>3</v>
      </c>
      <c r="BJ2394" s="68" cm="1">
        <f t="array" ref="BJ2394">IF(BM2394 = "", "",IFERROR(INDEX(AW2394:BH2394,1,MATCH(2,1/(AW2394:BH2394&lt;&gt;""),1)-1),""))</f>
        <v>0</v>
      </c>
      <c r="BK2394" s="59">
        <f t="shared" si="2886"/>
        <v>3</v>
      </c>
      <c r="BL2394" s="59" cm="1">
        <f t="array" ref="BL2394">IFERROR(SUM(AW2394:INDEX(AW2394:BH2394, MATCH(2, 1/(AW2394:BH2394&lt;&gt;""), 1) - 1))/_xlfn.XLOOKUP(F2394,Apuração!A:A,Apuração!B:B),0)</f>
        <v>0</v>
      </c>
      <c r="BM2394" s="55" cm="1">
        <f t="array" ref="BM2394">IFERROR(
   INDEX($AW$1:$BH$1,
      _xlfn.AGGREGATE(14, 6, COLUMN($AW$1:$BH$1)/(AW2394:BH2394&lt;&gt;""), 2) - COLUMN($AW$1) + 1
   ),
"")</f>
        <v>46082</v>
      </c>
      <c r="BN2394" s="55" cm="1">
        <f t="array" ref="BN2394">IFERROR(INDEX($AW$1:$BH$1,1,MATCH(2,1/(AW2394:BH2394&lt;&gt;""))),"")</f>
        <v>46113</v>
      </c>
      <c r="BO2394" s="53">
        <f ca="1">IFERROR(_xlfn.XLOOKUP(F2394,Apuração!A:A,Apuração!C:C)/_xlfn.XLOOKUP(F2394,Apuração!A:A,Apuração!B:B),0)</f>
        <v>0.41666666666666669</v>
      </c>
      <c r="BP2394" s="53">
        <f ca="1">IFERROR(_xlfn.XLOOKUP(F2394,Apuração!A:A,Apuração!D:D)/_xlfn.XLOOKUP(F2394,Apuração!A:A,Apuração!B:B),0)</f>
        <v>0.33333333333333331</v>
      </c>
      <c r="BQ2394" s="53">
        <f ca="1">IF(BK2394&gt;=BO2394,0,_xlfn.XLOOKUP(F2394,Apuração!A:A,Apuração!B:B)*(BO2394 + (1/_xlfn.XLOOKUP(F2394,Apuração!A:A,Apuração!B:B)) - BK2394))</f>
        <v>0</v>
      </c>
      <c r="BR2394" s="85">
        <f t="shared" ca="1" si="2887"/>
        <v>0</v>
      </c>
      <c r="BS2394" s="53">
        <f ca="1">IFERROR((_xlfn.XLOOKUP(F2394,Apuração!A:A,Apuração!C:C)+1)/_xlfn.XLOOKUP(F2394,Apuração!A:A,Apuração!B:B),0)</f>
        <v>0.5</v>
      </c>
    </row>
    <row r="2395" spans="1:71" ht="25.95" hidden="1" customHeight="1" x14ac:dyDescent="0.3">
      <c r="A2395" s="40" t="s">
        <v>87</v>
      </c>
      <c r="B2395" s="4" t="s">
        <v>229</v>
      </c>
      <c r="C2395" s="5" t="s">
        <v>216</v>
      </c>
      <c r="D2395" s="5" t="s">
        <v>103</v>
      </c>
      <c r="E2395" s="4" t="str" cm="1">
        <f t="array" ref="E2395">_xlfn.IFS(
F2395 = "A partir de Abril", "Aguardando Execução na Distribuidora",
A2395 = "CAPACITAÇÃO", "Em execução no Corporativo",
TRUE, "Em Execução na Distribuidora"
)</f>
        <v>Em Execução na Distribuidora</v>
      </c>
      <c r="F2395" s="4" t="str" cm="1">
        <f t="array" ref="F2395">_xlfn.IFS(
AG2395 &lt;&gt; "", "Jan-Dez/26",
AH2395 &lt;&gt; "", "Fev-Dez/26",
AI2395 &lt;&gt; "", "Mar-Dez/26", AJ2395 &lt;&gt; "", "Abr-Dez/26",
TRUE, "A partir de Junho"
)</f>
        <v>Jan-Dez/26</v>
      </c>
      <c r="G2395" s="7" t="s">
        <v>37</v>
      </c>
      <c r="H2395" s="7" t="s">
        <v>38</v>
      </c>
      <c r="I2395" s="8" t="s">
        <v>148</v>
      </c>
      <c r="J2395" s="21" t="str" cm="1">
        <f t="array" aca="1" ref="J2395" ca="1">_xlfn.LET(
  _xlpm.actual_value_month, INDEX(T2395:AE2395, MATCH(DATE(YEAR(TODAY()), MONTH(TODAY()), 1), $T$1:$AE$1, 0)),
  IF(_xlpm.actual_value_month &lt;&gt; "",_xlpm.actual_value_month &amp; " ações mensais", "")
)</f>
        <v/>
      </c>
      <c r="K2395" s="8" t="str" cm="1">
        <f t="array" ref="K2395">_xlfn.LET(
    _xlpm.sum_month, SUM(T2395:AE2395),
    IF(_xlpm.sum_month = 0, "", _xlpm.sum_month &amp; " NC's no ano")
)</f>
        <v/>
      </c>
      <c r="L2395" s="9" t="s">
        <v>149</v>
      </c>
      <c r="M2395" s="4"/>
      <c r="N2395" s="5" t="s">
        <v>51</v>
      </c>
      <c r="O2395" s="5" t="s">
        <v>52</v>
      </c>
      <c r="P2395" s="10" t="s">
        <v>44</v>
      </c>
      <c r="Q2395" s="10" t="s">
        <v>44</v>
      </c>
      <c r="R2395" s="11" t="s">
        <v>44</v>
      </c>
      <c r="S2395" s="11" t="s">
        <v>44</v>
      </c>
      <c r="T2395" s="22"/>
      <c r="U2395" s="22"/>
      <c r="V2395" s="22"/>
      <c r="W2395" s="22"/>
      <c r="X2395" s="22"/>
      <c r="Y2395" s="22"/>
      <c r="Z2395" s="22"/>
      <c r="AA2395" s="22"/>
      <c r="AB2395" s="22"/>
      <c r="AC2395" s="22"/>
      <c r="AD2395" s="22"/>
      <c r="AE2395" s="22"/>
      <c r="AG2395" s="146">
        <v>0</v>
      </c>
      <c r="AH2395" s="150">
        <v>1</v>
      </c>
      <c r="AI2395" s="150">
        <v>1</v>
      </c>
      <c r="AJ2395" s="82">
        <v>0</v>
      </c>
      <c r="AK2395" s="71"/>
      <c r="AL2395" s="71"/>
      <c r="AM2395" s="71"/>
      <c r="AN2395" s="71"/>
      <c r="AO2395" s="71"/>
      <c r="AP2395" s="71"/>
      <c r="AQ2395" s="71"/>
      <c r="AR2395" s="71"/>
      <c r="AS2395" s="94">
        <f t="shared" ca="1" si="2879"/>
        <v>0</v>
      </c>
      <c r="AT2395" s="95">
        <f t="shared" si="2880"/>
        <v>2</v>
      </c>
      <c r="AU2395" s="97">
        <f t="shared" si="2881"/>
        <v>2</v>
      </c>
      <c r="AW2395" s="83">
        <f t="shared" si="2882"/>
        <v>0</v>
      </c>
      <c r="AX2395" s="83">
        <f t="shared" si="2883"/>
        <v>1</v>
      </c>
      <c r="AY2395" s="83">
        <f t="shared" si="2884"/>
        <v>1</v>
      </c>
      <c r="AZ2395" s="83">
        <f t="shared" si="2885"/>
        <v>0</v>
      </c>
      <c r="BA2395" s="52"/>
      <c r="BB2395" s="52"/>
      <c r="BC2395" s="52"/>
      <c r="BD2395" s="52"/>
      <c r="BE2395" s="52"/>
      <c r="BF2395" s="52"/>
      <c r="BG2395" s="52"/>
      <c r="BH2395" s="52"/>
      <c r="BI2395" s="68" cm="1">
        <f t="array" ref="BI2395">IFERROR(INDEX(AW2395:BH2395,1,MATCH(2,1/(AW2395:BH2395&lt;&gt;""))),"")</f>
        <v>0</v>
      </c>
      <c r="BJ2395" s="68" cm="1">
        <f t="array" ref="BJ2395">IF(BM2395 = "", "",IFERROR(INDEX(AW2395:BH2395,1,MATCH(2,1/(AW2395:BH2395&lt;&gt;""),1)-1),""))</f>
        <v>1</v>
      </c>
      <c r="BK2395" s="59">
        <f t="shared" si="2886"/>
        <v>2</v>
      </c>
      <c r="BL2395" s="59" cm="1">
        <f t="array" ref="BL2395">IFERROR(SUM(AW2395:INDEX(AW2395:BH2395, MATCH(2, 1/(AW2395:BH2395&lt;&gt;""), 1) - 1))/_xlfn.XLOOKUP(F2395,Apuração!A:A,Apuração!B:B),0)</f>
        <v>0.16666666666666666</v>
      </c>
      <c r="BM2395" s="55" cm="1">
        <f t="array" ref="BM2395">IFERROR(
   INDEX($AW$1:$BH$1,
      _xlfn.AGGREGATE(14, 6, COLUMN($AW$1:$BH$1)/(AW2395:BH2395&lt;&gt;""), 2) - COLUMN($AW$1) + 1
   ),
"")</f>
        <v>46082</v>
      </c>
      <c r="BN2395" s="55" cm="1">
        <f t="array" ref="BN2395">IFERROR(INDEX($AW$1:$BH$1,1,MATCH(2,1/(AW2395:BH2395&lt;&gt;""))),"")</f>
        <v>46113</v>
      </c>
      <c r="BO2395" s="53">
        <f ca="1">IFERROR(_xlfn.XLOOKUP(F2395,Apuração!A:A,Apuração!C:C)/_xlfn.XLOOKUP(F2395,Apuração!A:A,Apuração!B:B),0)</f>
        <v>0.41666666666666669</v>
      </c>
      <c r="BP2395" s="53">
        <f ca="1">IFERROR(_xlfn.XLOOKUP(F2395,Apuração!A:A,Apuração!D:D)/_xlfn.XLOOKUP(F2395,Apuração!A:A,Apuração!B:B),0)</f>
        <v>0.33333333333333331</v>
      </c>
      <c r="BQ2395" s="53">
        <f ca="1">IF(BK2395&gt;=BO2395,0,_xlfn.XLOOKUP(F2395,Apuração!A:A,Apuração!B:B)*(BO2395 + (1/_xlfn.XLOOKUP(F2395,Apuração!A:A,Apuração!B:B)) - BK2395))</f>
        <v>0</v>
      </c>
      <c r="BR2395" s="85">
        <f t="shared" ca="1" si="2887"/>
        <v>0</v>
      </c>
      <c r="BS2395" s="53">
        <f ca="1">IFERROR((_xlfn.XLOOKUP(F2395,Apuração!A:A,Apuração!C:C)+1)/_xlfn.XLOOKUP(F2395,Apuração!A:A,Apuração!B:B),0)</f>
        <v>0.5</v>
      </c>
    </row>
    <row r="2396" spans="1:71" ht="25.95" hidden="1" customHeight="1" x14ac:dyDescent="0.3">
      <c r="A2396" s="40" t="s">
        <v>87</v>
      </c>
      <c r="B2396" s="4" t="s">
        <v>229</v>
      </c>
      <c r="C2396" s="5" t="s">
        <v>216</v>
      </c>
      <c r="D2396" s="5" t="s">
        <v>218</v>
      </c>
      <c r="E2396" s="4" t="str" cm="1">
        <f t="array" ref="E2396">_xlfn.IFS(
F2396 = "A partir de Abril", "Aguardando Execução na Distribuidora",
A2396 = "CAPACITAÇÃO", "Em execução no Corporativo",
TRUE, "Em Execução na Distribuidora"
)</f>
        <v>Em Execução na Distribuidora</v>
      </c>
      <c r="F2396" s="4" t="str" cm="1">
        <f t="array" ref="F2396">_xlfn.IFS(
AG2396 &lt;&gt; "", "Jan-Dez/26",
AH2396 &lt;&gt; "", "Fev-Dez/26",
AI2396 &lt;&gt; "", "Mar-Dez/26", AJ2396 &lt;&gt; "", "Abr-Dez/26",
TRUE, "A partir de Junho"
)</f>
        <v>Jan-Dez/26</v>
      </c>
      <c r="G2396" s="7" t="s">
        <v>37</v>
      </c>
      <c r="H2396" s="7" t="s">
        <v>38</v>
      </c>
      <c r="I2396" s="8" t="s">
        <v>148</v>
      </c>
      <c r="J2396" s="21" t="str" cm="1">
        <f t="array" aca="1" ref="J2396" ca="1">_xlfn.LET(
  _xlpm.actual_value_month, INDEX(T2396:AE2396, MATCH(DATE(YEAR(TODAY()), MONTH(TODAY()), 1), $T$1:$AE$1, 0)),
  IF(_xlpm.actual_value_month &lt;&gt; "",_xlpm.actual_value_month &amp; " ações mensais", "")
)</f>
        <v/>
      </c>
      <c r="K2396" s="8" t="str" cm="1">
        <f t="array" ref="K2396">_xlfn.LET(
    _xlpm.sum_month, SUM(T2396:AE2396),
    IF(_xlpm.sum_month = 0, "", _xlpm.sum_month &amp; " NC's no ano")
)</f>
        <v/>
      </c>
      <c r="L2396" s="9" t="s">
        <v>149</v>
      </c>
      <c r="M2396" s="4"/>
      <c r="N2396" s="5" t="s">
        <v>51</v>
      </c>
      <c r="O2396" s="5" t="s">
        <v>52</v>
      </c>
      <c r="P2396" s="10" t="s">
        <v>44</v>
      </c>
      <c r="Q2396" s="10" t="s">
        <v>44</v>
      </c>
      <c r="R2396" s="11" t="s">
        <v>44</v>
      </c>
      <c r="S2396" s="11" t="s">
        <v>44</v>
      </c>
      <c r="T2396" s="22"/>
      <c r="U2396" s="22"/>
      <c r="V2396" s="22"/>
      <c r="W2396" s="22"/>
      <c r="X2396" s="22"/>
      <c r="Y2396" s="22"/>
      <c r="Z2396" s="22"/>
      <c r="AA2396" s="22"/>
      <c r="AB2396" s="22"/>
      <c r="AC2396" s="22"/>
      <c r="AD2396" s="22"/>
      <c r="AE2396" s="22"/>
      <c r="AG2396" s="146">
        <v>0</v>
      </c>
      <c r="AH2396" s="150">
        <v>0</v>
      </c>
      <c r="AI2396" s="150">
        <v>0</v>
      </c>
      <c r="AJ2396" s="82">
        <v>0</v>
      </c>
      <c r="AK2396" s="71"/>
      <c r="AL2396" s="71"/>
      <c r="AM2396" s="71"/>
      <c r="AN2396" s="71"/>
      <c r="AO2396" s="71"/>
      <c r="AP2396" s="71"/>
      <c r="AQ2396" s="71"/>
      <c r="AR2396" s="71"/>
      <c r="AS2396" s="94">
        <f t="shared" ca="1" si="2879"/>
        <v>0</v>
      </c>
      <c r="AT2396" s="95">
        <f t="shared" si="2880"/>
        <v>0</v>
      </c>
      <c r="AU2396" s="97">
        <f t="shared" si="2881"/>
        <v>0</v>
      </c>
      <c r="AW2396" s="83">
        <f t="shared" si="2882"/>
        <v>0</v>
      </c>
      <c r="AX2396" s="83">
        <f t="shared" si="2883"/>
        <v>0</v>
      </c>
      <c r="AY2396" s="83">
        <f t="shared" si="2884"/>
        <v>0</v>
      </c>
      <c r="AZ2396" s="83">
        <f t="shared" si="2885"/>
        <v>0</v>
      </c>
      <c r="BA2396" s="52"/>
      <c r="BB2396" s="52"/>
      <c r="BC2396" s="52"/>
      <c r="BD2396" s="52"/>
      <c r="BE2396" s="52"/>
      <c r="BF2396" s="52"/>
      <c r="BG2396" s="52"/>
      <c r="BH2396" s="52"/>
      <c r="BI2396" s="68" cm="1">
        <f t="array" ref="BI2396">IFERROR(INDEX(AW2396:BH2396,1,MATCH(2,1/(AW2396:BH2396&lt;&gt;""))),"")</f>
        <v>0</v>
      </c>
      <c r="BJ2396" s="68" cm="1">
        <f t="array" ref="BJ2396">IF(BM2396 = "", "",IFERROR(INDEX(AW2396:BH2396,1,MATCH(2,1/(AW2396:BH2396&lt;&gt;""),1)-1),""))</f>
        <v>0</v>
      </c>
      <c r="BK2396" s="59">
        <f t="shared" si="2886"/>
        <v>0</v>
      </c>
      <c r="BL2396" s="59" cm="1">
        <f t="array" ref="BL2396">IFERROR(SUM(AW2396:INDEX(AW2396:BH2396, MATCH(2, 1/(AW2396:BH2396&lt;&gt;""), 1) - 1))/_xlfn.XLOOKUP(F2396,Apuração!A:A,Apuração!B:B),0)</f>
        <v>0</v>
      </c>
      <c r="BM2396" s="55" cm="1">
        <f t="array" ref="BM2396">IFERROR(
   INDEX($AW$1:$BH$1,
      _xlfn.AGGREGATE(14, 6, COLUMN($AW$1:$BH$1)/(AW2396:BH2396&lt;&gt;""), 2) - COLUMN($AW$1) + 1
   ),
"")</f>
        <v>46082</v>
      </c>
      <c r="BN2396" s="55" cm="1">
        <f t="array" ref="BN2396">IFERROR(INDEX($AW$1:$BH$1,1,MATCH(2,1/(AW2396:BH2396&lt;&gt;""))),"")</f>
        <v>46113</v>
      </c>
      <c r="BO2396" s="53">
        <f ca="1">IFERROR(_xlfn.XLOOKUP(F2396,Apuração!A:A,Apuração!C:C)/_xlfn.XLOOKUP(F2396,Apuração!A:A,Apuração!B:B),0)</f>
        <v>0.41666666666666669</v>
      </c>
      <c r="BP2396" s="53">
        <f ca="1">IFERROR(_xlfn.XLOOKUP(F2396,Apuração!A:A,Apuração!D:D)/_xlfn.XLOOKUP(F2396,Apuração!A:A,Apuração!B:B),0)</f>
        <v>0.33333333333333331</v>
      </c>
      <c r="BQ2396" s="53">
        <f ca="1">IF(BK2396&gt;=BO2396,0,_xlfn.XLOOKUP(F2396,Apuração!A:A,Apuração!B:B)*(BO2396 + (1/_xlfn.XLOOKUP(F2396,Apuração!A:A,Apuração!B:B)) - BK2396))</f>
        <v>6</v>
      </c>
      <c r="BR2396" s="85">
        <f t="shared" ca="1" si="2887"/>
        <v>0</v>
      </c>
      <c r="BS2396" s="53">
        <f ca="1">IFERROR((_xlfn.XLOOKUP(F2396,Apuração!A:A,Apuração!C:C)+1)/_xlfn.XLOOKUP(F2396,Apuração!A:A,Apuração!B:B),0)</f>
        <v>0.5</v>
      </c>
    </row>
    <row r="2397" spans="1:71" ht="25.95" hidden="1" customHeight="1" x14ac:dyDescent="0.3">
      <c r="A2397" s="40" t="s">
        <v>87</v>
      </c>
      <c r="B2397" s="4" t="s">
        <v>229</v>
      </c>
      <c r="C2397" s="5" t="s">
        <v>216</v>
      </c>
      <c r="D2397" s="5" t="s">
        <v>219</v>
      </c>
      <c r="E2397" s="4" t="str" cm="1">
        <f t="array" ref="E2397">_xlfn.IFS(
F2397 = "A partir de Abril", "Aguardando Execução na Distribuidora",
A2397 = "CAPACITAÇÃO", "Em execução no Corporativo",
TRUE, "Em Execução na Distribuidora"
)</f>
        <v>Em Execução na Distribuidora</v>
      </c>
      <c r="F2397" s="4" t="str" cm="1">
        <f t="array" ref="F2397">_xlfn.IFS(
AG2397 &lt;&gt; "", "Jan-Dez/26",
AH2397 &lt;&gt; "", "Fev-Dez/26",
AI2397 &lt;&gt; "", "Mar-Dez/26", AJ2397 &lt;&gt; "", "Abr-Dez/26",
TRUE, "A partir de Junho"
)</f>
        <v>Jan-Dez/26</v>
      </c>
      <c r="G2397" s="7" t="s">
        <v>37</v>
      </c>
      <c r="H2397" s="7" t="s">
        <v>38</v>
      </c>
      <c r="I2397" s="8" t="s">
        <v>148</v>
      </c>
      <c r="J2397" s="21" t="str" cm="1">
        <f t="array" aca="1" ref="J2397" ca="1">_xlfn.LET(
  _xlpm.actual_value_month, INDEX(T2397:AE2397, MATCH(DATE(YEAR(TODAY()), MONTH(TODAY()), 1), $T$1:$AE$1, 0)),
  IF(_xlpm.actual_value_month &lt;&gt; "",_xlpm.actual_value_month &amp; " ações mensais", "")
)</f>
        <v/>
      </c>
      <c r="K2397" s="8" t="str" cm="1">
        <f t="array" ref="K2397">_xlfn.LET(
    _xlpm.sum_month, SUM(T2397:AE2397),
    IF(_xlpm.sum_month = 0, "", _xlpm.sum_month &amp; " NC's no ano")
)</f>
        <v/>
      </c>
      <c r="L2397" s="9" t="s">
        <v>149</v>
      </c>
      <c r="M2397" s="4"/>
      <c r="N2397" s="5" t="s">
        <v>51</v>
      </c>
      <c r="O2397" s="5" t="s">
        <v>52</v>
      </c>
      <c r="P2397" s="10" t="s">
        <v>44</v>
      </c>
      <c r="Q2397" s="10" t="s">
        <v>44</v>
      </c>
      <c r="R2397" s="11" t="s">
        <v>44</v>
      </c>
      <c r="S2397" s="11" t="s">
        <v>44</v>
      </c>
      <c r="T2397" s="22"/>
      <c r="U2397" s="22"/>
      <c r="V2397" s="22"/>
      <c r="W2397" s="22"/>
      <c r="X2397" s="22"/>
      <c r="Y2397" s="22"/>
      <c r="Z2397" s="22"/>
      <c r="AA2397" s="22"/>
      <c r="AB2397" s="22"/>
      <c r="AC2397" s="22"/>
      <c r="AD2397" s="22"/>
      <c r="AE2397" s="22"/>
      <c r="AG2397" s="146">
        <v>0</v>
      </c>
      <c r="AH2397" s="150">
        <v>0</v>
      </c>
      <c r="AI2397" s="150">
        <v>0</v>
      </c>
      <c r="AJ2397" s="82">
        <v>0</v>
      </c>
      <c r="AK2397" s="71"/>
      <c r="AL2397" s="71"/>
      <c r="AM2397" s="71"/>
      <c r="AN2397" s="71"/>
      <c r="AO2397" s="71"/>
      <c r="AP2397" s="71"/>
      <c r="AQ2397" s="71"/>
      <c r="AR2397" s="71"/>
      <c r="AS2397" s="94">
        <f t="shared" ca="1" si="2879"/>
        <v>0</v>
      </c>
      <c r="AT2397" s="95">
        <f t="shared" si="2880"/>
        <v>0</v>
      </c>
      <c r="AU2397" s="97">
        <f t="shared" si="2881"/>
        <v>0</v>
      </c>
      <c r="AW2397" s="83">
        <f t="shared" si="2882"/>
        <v>0</v>
      </c>
      <c r="AX2397" s="83">
        <f t="shared" si="2883"/>
        <v>0</v>
      </c>
      <c r="AY2397" s="83">
        <f t="shared" si="2884"/>
        <v>0</v>
      </c>
      <c r="AZ2397" s="83">
        <f t="shared" si="2885"/>
        <v>0</v>
      </c>
      <c r="BA2397" s="52"/>
      <c r="BB2397" s="52"/>
      <c r="BC2397" s="52"/>
      <c r="BD2397" s="52"/>
      <c r="BE2397" s="52"/>
      <c r="BF2397" s="52"/>
      <c r="BG2397" s="52"/>
      <c r="BH2397" s="52"/>
      <c r="BI2397" s="68" cm="1">
        <f t="array" ref="BI2397">IFERROR(INDEX(AW2397:BH2397,1,MATCH(2,1/(AW2397:BH2397&lt;&gt;""))),"")</f>
        <v>0</v>
      </c>
      <c r="BJ2397" s="68" cm="1">
        <f t="array" ref="BJ2397">IF(BM2397 = "", "",IFERROR(INDEX(AW2397:BH2397,1,MATCH(2,1/(AW2397:BH2397&lt;&gt;""),1)-1),""))</f>
        <v>0</v>
      </c>
      <c r="BK2397" s="59">
        <f t="shared" si="2886"/>
        <v>0</v>
      </c>
      <c r="BL2397" s="59" cm="1">
        <f t="array" ref="BL2397">IFERROR(SUM(AW2397:INDEX(AW2397:BH2397, MATCH(2, 1/(AW2397:BH2397&lt;&gt;""), 1) - 1))/_xlfn.XLOOKUP(F2397,Apuração!A:A,Apuração!B:B),0)</f>
        <v>0</v>
      </c>
      <c r="BM2397" s="55" cm="1">
        <f t="array" ref="BM2397">IFERROR(
   INDEX($AW$1:$BH$1,
      _xlfn.AGGREGATE(14, 6, COLUMN($AW$1:$BH$1)/(AW2397:BH2397&lt;&gt;""), 2) - COLUMN($AW$1) + 1
   ),
"")</f>
        <v>46082</v>
      </c>
      <c r="BN2397" s="55" cm="1">
        <f t="array" ref="BN2397">IFERROR(INDEX($AW$1:$BH$1,1,MATCH(2,1/(AW2397:BH2397&lt;&gt;""))),"")</f>
        <v>46113</v>
      </c>
      <c r="BO2397" s="53">
        <f ca="1">IFERROR(_xlfn.XLOOKUP(F2397,Apuração!A:A,Apuração!C:C)/_xlfn.XLOOKUP(F2397,Apuração!A:A,Apuração!B:B),0)</f>
        <v>0.41666666666666669</v>
      </c>
      <c r="BP2397" s="53">
        <f ca="1">IFERROR(_xlfn.XLOOKUP(F2397,Apuração!A:A,Apuração!D:D)/_xlfn.XLOOKUP(F2397,Apuração!A:A,Apuração!B:B),0)</f>
        <v>0.33333333333333331</v>
      </c>
      <c r="BQ2397" s="53">
        <f ca="1">IF(BK2397&gt;=BO2397,0,_xlfn.XLOOKUP(F2397,Apuração!A:A,Apuração!B:B)*(BO2397 + (1/_xlfn.XLOOKUP(F2397,Apuração!A:A,Apuração!B:B)) - BK2397))</f>
        <v>6</v>
      </c>
      <c r="BR2397" s="85">
        <f t="shared" ca="1" si="2887"/>
        <v>0</v>
      </c>
      <c r="BS2397" s="53">
        <f ca="1">IFERROR((_xlfn.XLOOKUP(F2397,Apuração!A:A,Apuração!C:C)+1)/_xlfn.XLOOKUP(F2397,Apuração!A:A,Apuração!B:B),0)</f>
        <v>0.5</v>
      </c>
    </row>
    <row r="2398" spans="1:71" ht="25.95" hidden="1" customHeight="1" x14ac:dyDescent="0.3">
      <c r="A2398" s="20" t="s">
        <v>87</v>
      </c>
      <c r="B2398" s="4" t="s">
        <v>232</v>
      </c>
      <c r="C2398" s="5" t="s">
        <v>216</v>
      </c>
      <c r="D2398" s="5" t="s">
        <v>36</v>
      </c>
      <c r="E2398" s="4" t="str" cm="1">
        <f t="array" ref="E2398">_xlfn.IFS(
F2398 = "A partir de Abril", "Aguardando Execução na Distribuidora",
A2398 = "CAPACITAÇÃO", "Em execução no Corporativo",
TRUE, "Em Execução na Distribuidora"
)</f>
        <v>Em Execução na Distribuidora</v>
      </c>
      <c r="F2398" s="4" t="str" cm="1">
        <f t="array" ref="F2398">_xlfn.IFS(
AG2398 &lt;&gt; "", "Jan-Dez/26",
AH2398 &lt;&gt; "", "Fev-Dez/26",
AI2398 &lt;&gt; "", "Mar-Dez/26", AJ2398 &lt;&gt; "", "Abr-Dez/26",
TRUE, "A partir de Junho"
)</f>
        <v>Jan-Dez/26</v>
      </c>
      <c r="G2398" s="7" t="s">
        <v>37</v>
      </c>
      <c r="H2398" s="7" t="s">
        <v>110</v>
      </c>
      <c r="I2398" s="21" t="s">
        <v>233</v>
      </c>
      <c r="J2398" s="21" t="str" cm="1">
        <f t="array" aca="1" ref="J2398" ca="1">_xlfn.LET(
  _xlpm.actual_value_month, INDEX(T2398:AE2398, MATCH(DATE(YEAR(TODAY()), MONTH(TODAY()), 1), $T$1:$AE$1, 0)),
  IF(_xlpm.actual_value_month &lt;&gt; "",_xlpm.actual_value_month &amp; " equipes mensais", "")
)</f>
        <v>125 equipes mensais</v>
      </c>
      <c r="K2398" s="8" t="str" cm="1">
        <f t="array" ref="K2398">_xlfn.LET(
    _xlpm.sum_month, SUM(T2398:AE2398),
    IF(_xlpm.sum_month = 0, "", _xlpm.sum_month &amp; " equipes alcançadas no ano")
)</f>
        <v>1671 equipes alcançadas no ano</v>
      </c>
      <c r="L2398" s="4" t="s">
        <v>234</v>
      </c>
      <c r="M2398" s="19" t="s">
        <v>235</v>
      </c>
      <c r="N2398" s="5" t="s">
        <v>42</v>
      </c>
      <c r="O2398" s="5" t="s">
        <v>43</v>
      </c>
      <c r="P2398" s="10" t="s">
        <v>44</v>
      </c>
      <c r="Q2398" s="10" t="s">
        <v>44</v>
      </c>
      <c r="R2398" s="11" t="s">
        <v>147</v>
      </c>
      <c r="S2398" s="11" t="s">
        <v>162</v>
      </c>
      <c r="T2398" s="22">
        <v>191</v>
      </c>
      <c r="U2398" s="22">
        <v>182</v>
      </c>
      <c r="V2398" s="22">
        <v>173</v>
      </c>
      <c r="W2398" s="22">
        <v>125</v>
      </c>
      <c r="X2398" s="22">
        <v>125</v>
      </c>
      <c r="Y2398" s="22">
        <v>125</v>
      </c>
      <c r="Z2398" s="22">
        <v>125</v>
      </c>
      <c r="AA2398" s="22">
        <v>125</v>
      </c>
      <c r="AB2398" s="22">
        <v>125</v>
      </c>
      <c r="AC2398" s="22">
        <v>125</v>
      </c>
      <c r="AD2398" s="22">
        <v>125</v>
      </c>
      <c r="AE2398" s="22">
        <v>125</v>
      </c>
      <c r="AG2398" s="71">
        <v>191</v>
      </c>
      <c r="AH2398" s="71">
        <v>182</v>
      </c>
      <c r="AI2398" s="71">
        <v>173</v>
      </c>
      <c r="AJ2398" s="71">
        <v>167</v>
      </c>
      <c r="AK2398" s="71"/>
      <c r="AL2398" s="71"/>
      <c r="AM2398" s="71"/>
      <c r="AN2398" s="71"/>
      <c r="AO2398" s="71"/>
      <c r="AP2398" s="71"/>
      <c r="AQ2398" s="71"/>
      <c r="AR2398" s="71"/>
      <c r="AS2398" s="94">
        <f ca="1">IF(MONTH(TODAY())=3,SUM(T2398:U2398),IF(MONTH(TODAY())=4,SUM(T2398:V2398),IF(MONTH(TODAY())=5,SUM(T2398:W2398),IF(MONTH(TODAY())=6,SUM(T2398:X2398),IF(MONTH(TODAY())=7,SUM(T2398:Y2398),IF(MONTH(TODAY())=8,SUM(T2398:Z2398),IF(MONTH(TODAY())=9,SUM(T2398:AA2398),IF(MONTH(TODAY())=10,SUM(T2398:AB2398),IF(MONTH(TODAY())=11,SUM(T2398:AC2398),IF(MONTH(TODAY())=12,SUM(T2398:AD2398),IF(MONTH(TODAY())=1,SUM(T2398:AE2398),T2398)))))))))))</f>
        <v>796</v>
      </c>
      <c r="AT2398" s="95">
        <f>SUM(IF(AW2398&lt;1.15,AG2398,1.15*T2398),IF(AX2398&lt;1.15,AH2398,1.15*U2398),IF(AY2398&lt;1.15,AI2398,1.15*V2398),IF(AZ2398&lt;1.15,AJ2398,1.15*W2398),IF(BA2398&lt;1.15,AK2398,1.15*X2398),IF(BB2398&lt;1.15,AL2398,1.15*Y2398),IF(BC2398&lt;1.15,AM2398,1.15*Z2398),IF(BD2398&lt;1.15,AN2398,1.15*AA2398),IF(BE2398&lt;1.15,AO2398,1.15*AB2398),IF(BF2398&lt;1.15,AP2398,1.15*AC2398),IF(BG2398&lt;1.15,AQ2398,1.15*AD2398),IF(BH2398&lt;1.15,AR2398,1.15*AE2398))</f>
        <v>689.75</v>
      </c>
      <c r="AU2398" s="97">
        <f>SUM(AG2398:AR2398)</f>
        <v>713</v>
      </c>
      <c r="AW2398" s="51">
        <f>IFERROR(IF(AG2398="",0,AG2398/T2398),0)</f>
        <v>1</v>
      </c>
      <c r="AX2398" s="51">
        <f>IFERROR(IF(AH2398="",0,AH2398/U2398),0)</f>
        <v>1</v>
      </c>
      <c r="AY2398" s="51">
        <f>IFERROR(IF(AI2398="",0,AI2398/V2398),0)</f>
        <v>1</v>
      </c>
      <c r="AZ2398" s="51">
        <f>IFERROR(IF(AJ2398="",0,AJ2398/W2398),0)</f>
        <v>1.3360000000000001</v>
      </c>
      <c r="BA2398" s="51"/>
      <c r="BB2398" s="51"/>
      <c r="BC2398" s="51"/>
      <c r="BD2398" s="51"/>
      <c r="BE2398" s="51"/>
      <c r="BF2398" s="51"/>
      <c r="BG2398" s="51"/>
      <c r="BH2398" s="51"/>
      <c r="BI2398" s="65" cm="1">
        <f t="array" ref="BI2398">IFERROR(INDEX(AW2398:BH2398,1,MATCH(2,1/(AW2398:BH2398&lt;&gt;""))),"")</f>
        <v>1.3360000000000001</v>
      </c>
      <c r="BJ2398" s="68" cm="1">
        <f t="array" ref="BJ2398">IF(BM2398 = "", "",IFERROR(INDEX(AW2398:BH2398,1,MATCH(2,1/(AW2398:BH2398&lt;&gt;""),1)-1),""))</f>
        <v>1</v>
      </c>
      <c r="BK2398" s="58">
        <f>IF((IF(AW2398&gt;=115%,115%,AW2398) + IF(AX2398&gt;=115%,115%,AX2398) + IF(AY2398&gt;=115%,115%,AY2398) + (IF(AZ2398&gt;=115%,115%,AZ2398) + IF(BA2398&gt;=115%,115%,BA2398) + IF(BB2398&gt;=115%,115%,BB2398) + IF(BC2398&gt;=115%,115%,BC2398) + IF(BD2398&gt;=115%,115%,BD2398) + IF(BE2398&gt;=115%,115%,BE2398) + IF(BF2398&gt;=115%,115%,BF2398) + IF(BG2398&gt;=115%,115%,BG2398) + IF(BH2398&gt;=115%,115%,BH2398)))/_xlfn.XLOOKUP(F2398,Apuração!A:A,Apuração!B:B)&gt;=1.15,1.15,((IF(AZ2398&gt;=115%,115%,AZ2398) + IF(AX2398&gt;=115%,115%,AX2398) + IF(AY2398&gt;=115%,115%,AY2398) + (IF(AW2398&gt;=115%,115%,AW2398) + IF(BA2398&gt;=115%,115%,BA2398) + IF(BB2398&gt;=115%,115%,BB2398) + IF(BC2398&gt;=115%,115%,BC2398) + IF(BD2398&gt;=115%,115%,BD2398) + IF(BE2398&gt;=115%,115%,BE2398) + IF(BF2398&gt;=115%,115%,BF2398) + IF(BG2398&gt;=115%,115%,BG2398) + IF(BH2398&gt;=115%,115%,BH2398)))/_xlfn.XLOOKUP(F2398,Apuração!A:A,Apuração!B:B)))</f>
        <v>0.34583333333333338</v>
      </c>
      <c r="BL2398" s="58" cm="1">
        <f t="array" aca="1" ref="BL2398" ca="1">IF(SUM(IFERROR(IF(INDEX(AW2398:INDEX(AW2398:BH2398, MATCH(2, 1/(AW2398:BH2398&lt;&gt;""), 1)-1), ROW(INDIRECT("1:" &amp; MATCH(2, 1/(AW2398:BH2398&lt;&gt;""), 1)-1))) &gt;= 115%, 115%, INDEX(AW2398:INDEX(AW2398:BH2398, MATCH(2, 1/(AW2398:BH2398&lt;&gt;""), 1)-1), ROW(INDIRECT("1:" &amp; MATCH(2, 1/(AW2398:BH2398&lt;&gt;""), 1)-1)))), 0))/_xlfn.XLOOKUP(F2398,Apuração!A:A,Apuração!B:B)&gt;=1.15,1.15,SUM(IFERROR(IF(INDEX(AW2398:INDEX(AW2398:BH2398, MATCH(2, 1/(AW2398:BH2398&lt;&gt;""), 1)-1), ROW(INDIRECT("1:" &amp; MATCH(2, 1/(AW2398:BH2398&lt;&gt;""), 1)-1))) &gt;= 115%, 115%, INDEX(AW2398:INDEX(AW2398:BH2398, MATCH(2, 1/(AW2398:BH2398&lt;&gt;""), 1)-1), ROW(INDIRECT("1:" &amp; MATCH(2, 1/(AW2398:BH2398&lt;&gt;""), 1)-1)))), 0))/_xlfn.XLOOKUP(F2398,Apuração!A:A,Apuração!B:B))</f>
        <v>0.25</v>
      </c>
      <c r="BM2398" s="55" cm="1">
        <f t="array" ref="BM2398">IFERROR(
   INDEX($AW$1:$BH$1,
      _xlfn.AGGREGATE(14, 6, COLUMN($AW$1:$BH$1)/(AW2398:BH2398&lt;&gt;""), 2) - COLUMN($AW$1) + 1
   ),
"")</f>
        <v>46082</v>
      </c>
      <c r="BN2398" s="55" cm="1">
        <f t="array" ref="BN2398">IFERROR(INDEX($AW$1:$BH$1,1,MATCH(2,1/(AW2398:BH2398&lt;&gt;""))),"")</f>
        <v>46113</v>
      </c>
      <c r="BO2398" s="53">
        <f ca="1">IFERROR(_xlfn.XLOOKUP(F2398,Apuração!A:A,Apuração!C:C)/_xlfn.XLOOKUP(F2398,Apuração!A:A,Apuração!B:B),0)</f>
        <v>0.41666666666666669</v>
      </c>
      <c r="BP2398" s="53">
        <f ca="1">IFERROR(_xlfn.XLOOKUP(F2398,Apuração!A:A,Apuração!D:D)/_xlfn.XLOOKUP(F2398,Apuração!A:A,Apuração!B:B),0)</f>
        <v>0.33333333333333331</v>
      </c>
      <c r="BQ2398" s="53">
        <f ca="1">IF(BK2398&gt;=BO2398,0,_xlfn.XLOOKUP(F2398,Apuração!A:A,Apuração!B:B)*(BO2398 + (1/_xlfn.XLOOKUP(F2398,Apuração!A:A,Apuração!B:B)) - BK2398))</f>
        <v>1.8499999999999994</v>
      </c>
      <c r="BR2398" s="85">
        <f ca="1">IF(BQ2398=0,0,BQ2398*Z2398)</f>
        <v>231.24999999999991</v>
      </c>
      <c r="BS2398" s="53">
        <f ca="1">IFERROR((_xlfn.XLOOKUP(F2398,Apuração!A:A,Apuração!C:C)+1)/_xlfn.XLOOKUP(F2398,Apuração!A:A,Apuração!B:B),0)</f>
        <v>0.5</v>
      </c>
    </row>
    <row r="2399" spans="1:71" ht="25.95" hidden="1" customHeight="1" x14ac:dyDescent="0.3">
      <c r="A2399" s="20" t="s">
        <v>87</v>
      </c>
      <c r="B2399" s="4" t="s">
        <v>232</v>
      </c>
      <c r="C2399" s="5" t="s">
        <v>216</v>
      </c>
      <c r="D2399" s="5" t="s">
        <v>217</v>
      </c>
      <c r="E2399" s="4" t="str" cm="1">
        <f t="array" ref="E2399">_xlfn.IFS(
F2399 = "A partir de Abril", "Aguardando Execução na Distribuidora",
A2399 = "CAPACITAÇÃO", "Em execução no Corporativo",
TRUE, "Em Execução na Distribuidora"
)</f>
        <v>Em Execução na Distribuidora</v>
      </c>
      <c r="F2399" s="4" t="str" cm="1">
        <f t="array" ref="F2399">_xlfn.IFS(
AG2399 &lt;&gt; "", "Jan-Dez/26",
AH2399 &lt;&gt; "", "Fev-Dez/26",
AI2399 &lt;&gt; "", "Mar-Dez/26", AJ2399 &lt;&gt; "", "Abr-Dez/26",
TRUE, "A partir de Junho"
)</f>
        <v>Jan-Dez/26</v>
      </c>
      <c r="G2399" s="7" t="s">
        <v>37</v>
      </c>
      <c r="H2399" s="7" t="s">
        <v>110</v>
      </c>
      <c r="I2399" s="21" t="s">
        <v>233</v>
      </c>
      <c r="J2399" s="21" t="str" cm="1">
        <f t="array" aca="1" ref="J2399" ca="1">_xlfn.LET(
  _xlpm.actual_value_month, INDEX(T2399:AE2399, MATCH(DATE(YEAR(TODAY()), MONTH(TODAY()), 1), $T$1:$AE$1, 0)),
  IF(_xlpm.actual_value_month &lt;&gt; "",_xlpm.actual_value_month &amp; " equipes mensais", "")
)</f>
        <v>25 equipes mensais</v>
      </c>
      <c r="K2399" s="8" t="str" cm="1">
        <f t="array" ref="K2399">_xlfn.LET(
    _xlpm.sum_month, SUM(T2399:AE2399),
    IF(_xlpm.sum_month = 0, "", _xlpm.sum_month &amp; " equipes alcançadas no ano")
)</f>
        <v>417 equipes alcançadas no ano</v>
      </c>
      <c r="L2399" s="4" t="s">
        <v>234</v>
      </c>
      <c r="M2399" s="19" t="s">
        <v>235</v>
      </c>
      <c r="N2399" s="5" t="s">
        <v>42</v>
      </c>
      <c r="O2399" s="5" t="s">
        <v>43</v>
      </c>
      <c r="P2399" s="10" t="s">
        <v>44</v>
      </c>
      <c r="Q2399" s="10" t="s">
        <v>44</v>
      </c>
      <c r="R2399" s="11" t="s">
        <v>147</v>
      </c>
      <c r="S2399" s="11" t="s">
        <v>162</v>
      </c>
      <c r="T2399" s="143">
        <v>60</v>
      </c>
      <c r="U2399" s="143">
        <v>72</v>
      </c>
      <c r="V2399" s="143">
        <v>60</v>
      </c>
      <c r="W2399" s="143">
        <v>25</v>
      </c>
      <c r="X2399" s="143">
        <v>25</v>
      </c>
      <c r="Y2399" s="143">
        <v>25</v>
      </c>
      <c r="Z2399" s="143">
        <v>25</v>
      </c>
      <c r="AA2399" s="143">
        <v>25</v>
      </c>
      <c r="AB2399" s="143">
        <v>25</v>
      </c>
      <c r="AC2399" s="143">
        <v>25</v>
      </c>
      <c r="AD2399" s="143">
        <v>25</v>
      </c>
      <c r="AE2399" s="143">
        <v>25</v>
      </c>
      <c r="AG2399" s="82">
        <v>60</v>
      </c>
      <c r="AH2399" s="82">
        <v>72</v>
      </c>
      <c r="AI2399" s="82">
        <v>60</v>
      </c>
      <c r="AJ2399" s="82">
        <v>52</v>
      </c>
      <c r="AK2399" s="71"/>
      <c r="AL2399" s="71"/>
      <c r="AM2399" s="71"/>
      <c r="AN2399" s="71"/>
      <c r="AO2399" s="71"/>
      <c r="AP2399" s="71"/>
      <c r="AQ2399" s="71"/>
      <c r="AR2399" s="71"/>
      <c r="AS2399" s="94">
        <f t="shared" ref="AS2399:AS2402" ca="1" si="2888">IF(MONTH(TODAY())=3,SUM(T2399:U2399),IF(MONTH(TODAY())=4,SUM(T2399:V2399),IF(MONTH(TODAY())=5,SUM(T2399:W2399),IF(MONTH(TODAY())=6,SUM(T2399:X2399),IF(MONTH(TODAY())=7,SUM(T2399:Y2399),IF(MONTH(TODAY())=8,SUM(T2399:Z2399),IF(MONTH(TODAY())=9,SUM(T2399:AA2399),IF(MONTH(TODAY())=10,SUM(T2399:AB2399),IF(MONTH(TODAY())=11,SUM(T2399:AC2399),IF(MONTH(TODAY())=12,SUM(T2399:AD2399),IF(MONTH(TODAY())=1,SUM(T2399:AE2399),T2399)))))))))))</f>
        <v>242</v>
      </c>
      <c r="AT2399" s="95">
        <f t="shared" ref="AT2399:AT2402" si="2889">SUM(IF(AW2399&lt;1.15,AG2399,1.15*T2399),IF(AX2399&lt;1.15,AH2399,1.15*U2399),IF(AY2399&lt;1.15,AI2399,1.15*V2399),IF(AZ2399&lt;1.15,AJ2399,1.15*W2399),IF(BA2399&lt;1.15,AK2399,1.15*X2399),IF(BB2399&lt;1.15,AL2399,1.15*Y2399),IF(BC2399&lt;1.15,AM2399,1.15*Z2399),IF(BD2399&lt;1.15,AN2399,1.15*AA2399),IF(BE2399&lt;1.15,AO2399,1.15*AB2399),IF(BF2399&lt;1.15,AP2399,1.15*AC2399),IF(BG2399&lt;1.15,AQ2399,1.15*AD2399),IF(BH2399&lt;1.15,AR2399,1.15*AE2399))</f>
        <v>220.75</v>
      </c>
      <c r="AU2399" s="97">
        <f t="shared" ref="AU2399:AU2402" si="2890">SUM(AG2399:AR2399)</f>
        <v>244</v>
      </c>
      <c r="AW2399" s="51">
        <f t="shared" ref="AW2399:AW2402" si="2891">IFERROR(IF(AG2399="",0,AG2399/T2399),0)</f>
        <v>1</v>
      </c>
      <c r="AX2399" s="51">
        <f t="shared" ref="AX2399:AX2402" si="2892">IFERROR(IF(AH2399="",0,AH2399/U2399),0)</f>
        <v>1</v>
      </c>
      <c r="AY2399" s="51">
        <f t="shared" ref="AY2399:AY2402" si="2893">IFERROR(IF(AI2399="",0,AI2399/V2399),0)</f>
        <v>1</v>
      </c>
      <c r="AZ2399" s="51">
        <f t="shared" ref="AZ2399:AZ2402" si="2894">IFERROR(IF(AJ2399="",0,AJ2399/W2399),0)</f>
        <v>2.08</v>
      </c>
      <c r="BA2399" s="51"/>
      <c r="BB2399" s="51"/>
      <c r="BC2399" s="51"/>
      <c r="BD2399" s="51"/>
      <c r="BE2399" s="51"/>
      <c r="BF2399" s="51"/>
      <c r="BG2399" s="51"/>
      <c r="BH2399" s="51"/>
      <c r="BI2399" s="65" cm="1">
        <f t="array" ref="BI2399">IFERROR(INDEX(AW2399:BH2399,1,MATCH(2,1/(AW2399:BH2399&lt;&gt;""))),"")</f>
        <v>2.08</v>
      </c>
      <c r="BJ2399" s="68" cm="1">
        <f t="array" ref="BJ2399">IF(BM2399 = "", "",IFERROR(INDEX(AW2399:BH2399,1,MATCH(2,1/(AW2399:BH2399&lt;&gt;""),1)-1),""))</f>
        <v>1</v>
      </c>
      <c r="BK2399" s="58">
        <f>IF((IF(AW2399&gt;=115%,115%,AW2399) + IF(AX2399&gt;=115%,115%,AX2399) + IF(AY2399&gt;=115%,115%,AY2399) + (IF(AZ2399&gt;=115%,115%,AZ2399) + IF(BA2399&gt;=115%,115%,BA2399) + IF(BB2399&gt;=115%,115%,BB2399) + IF(BC2399&gt;=115%,115%,BC2399) + IF(BD2399&gt;=115%,115%,BD2399) + IF(BE2399&gt;=115%,115%,BE2399) + IF(BF2399&gt;=115%,115%,BF2399) + IF(BG2399&gt;=115%,115%,BG2399) + IF(BH2399&gt;=115%,115%,BH2399)))/_xlfn.XLOOKUP(F2399,Apuração!A:A,Apuração!B:B)&gt;=1.15,1.15,((IF(AZ2399&gt;=115%,115%,AZ2399) + IF(AX2399&gt;=115%,115%,AX2399) + IF(AY2399&gt;=115%,115%,AY2399) + (IF(AW2399&gt;=115%,115%,AW2399) + IF(BA2399&gt;=115%,115%,BA2399) + IF(BB2399&gt;=115%,115%,BB2399) + IF(BC2399&gt;=115%,115%,BC2399) + IF(BD2399&gt;=115%,115%,BD2399) + IF(BE2399&gt;=115%,115%,BE2399) + IF(BF2399&gt;=115%,115%,BF2399) + IF(BG2399&gt;=115%,115%,BG2399) + IF(BH2399&gt;=115%,115%,BH2399)))/_xlfn.XLOOKUP(F2399,Apuração!A:A,Apuração!B:B)))</f>
        <v>0.34583333333333338</v>
      </c>
      <c r="BL2399" s="58" cm="1">
        <f t="array" aca="1" ref="BL2399" ca="1">IF(SUM(IFERROR(IF(INDEX(AW2399:INDEX(AW2399:BH2399, MATCH(2, 1/(AW2399:BH2399&lt;&gt;""), 1)-1), ROW(INDIRECT("1:" &amp; MATCH(2, 1/(AW2399:BH2399&lt;&gt;""), 1)-1))) &gt;= 115%, 115%, INDEX(AW2399:INDEX(AW2399:BH2399, MATCH(2, 1/(AW2399:BH2399&lt;&gt;""), 1)-1), ROW(INDIRECT("1:" &amp; MATCH(2, 1/(AW2399:BH2399&lt;&gt;""), 1)-1)))), 0))/_xlfn.XLOOKUP(F2399,Apuração!A:A,Apuração!B:B)&gt;=1.15,1.15,SUM(IFERROR(IF(INDEX(AW2399:INDEX(AW2399:BH2399, MATCH(2, 1/(AW2399:BH2399&lt;&gt;""), 1)-1), ROW(INDIRECT("1:" &amp; MATCH(2, 1/(AW2399:BH2399&lt;&gt;""), 1)-1))) &gt;= 115%, 115%, INDEX(AW2399:INDEX(AW2399:BH2399, MATCH(2, 1/(AW2399:BH2399&lt;&gt;""), 1)-1), ROW(INDIRECT("1:" &amp; MATCH(2, 1/(AW2399:BH2399&lt;&gt;""), 1)-1)))), 0))/_xlfn.XLOOKUP(F2399,Apuração!A:A,Apuração!B:B))</f>
        <v>0.25</v>
      </c>
      <c r="BM2399" s="55" cm="1">
        <f t="array" ref="BM2399">IFERROR(
   INDEX($AW$1:$BH$1,
      _xlfn.AGGREGATE(14, 6, COLUMN($AW$1:$BH$1)/(AW2399:BH2399&lt;&gt;""), 2) - COLUMN($AW$1) + 1
   ),
"")</f>
        <v>46082</v>
      </c>
      <c r="BN2399" s="55" cm="1">
        <f t="array" ref="BN2399">IFERROR(INDEX($AW$1:$BH$1,1,MATCH(2,1/(AW2399:BH2399&lt;&gt;""))),"")</f>
        <v>46113</v>
      </c>
      <c r="BO2399" s="53">
        <f ca="1">IFERROR(_xlfn.XLOOKUP(F2399,Apuração!A:A,Apuração!C:C)/_xlfn.XLOOKUP(F2399,Apuração!A:A,Apuração!B:B),0)</f>
        <v>0.41666666666666669</v>
      </c>
      <c r="BP2399" s="53">
        <f ca="1">IFERROR(_xlfn.XLOOKUP(F2399,Apuração!A:A,Apuração!D:D)/_xlfn.XLOOKUP(F2399,Apuração!A:A,Apuração!B:B),0)</f>
        <v>0.33333333333333331</v>
      </c>
      <c r="BQ2399" s="53">
        <f ca="1">IF(BK2399&gt;=BO2399,0,_xlfn.XLOOKUP(F2399,Apuração!A:A,Apuração!B:B)*(BO2399 + (1/_xlfn.XLOOKUP(F2399,Apuração!A:A,Apuração!B:B)) - BK2399))</f>
        <v>1.8499999999999994</v>
      </c>
      <c r="BR2399" s="85">
        <f t="shared" ref="BR2399:BR2402" ca="1" si="2895">IF(BQ2399=0,0,BQ2399*Z2399)</f>
        <v>46.249999999999986</v>
      </c>
      <c r="BS2399" s="53">
        <f ca="1">IFERROR((_xlfn.XLOOKUP(F2399,Apuração!A:A,Apuração!C:C)+1)/_xlfn.XLOOKUP(F2399,Apuração!A:A,Apuração!B:B),0)</f>
        <v>0.5</v>
      </c>
    </row>
    <row r="2400" spans="1:71" ht="25.95" hidden="1" customHeight="1" x14ac:dyDescent="0.3">
      <c r="A2400" s="20" t="s">
        <v>87</v>
      </c>
      <c r="B2400" s="4" t="s">
        <v>232</v>
      </c>
      <c r="C2400" s="5" t="s">
        <v>216</v>
      </c>
      <c r="D2400" s="5" t="s">
        <v>103</v>
      </c>
      <c r="E2400" s="4" t="str" cm="1">
        <f t="array" ref="E2400">_xlfn.IFS(
F2400 = "A partir de Abril", "Aguardando Execução na Distribuidora",
A2400 = "CAPACITAÇÃO", "Em execução no Corporativo",
TRUE, "Em Execução na Distribuidora"
)</f>
        <v>Em Execução na Distribuidora</v>
      </c>
      <c r="F2400" s="4" t="str" cm="1">
        <f t="array" ref="F2400">_xlfn.IFS(
AG2400 &lt;&gt; "", "Jan-Dez/26",
AH2400 &lt;&gt; "", "Fev-Dez/26",
AI2400 &lt;&gt; "", "Mar-Dez/26", AJ2400 &lt;&gt; "", "Abr-Dez/26",
TRUE, "A partir de Junho"
)</f>
        <v>Jan-Dez/26</v>
      </c>
      <c r="G2400" s="7" t="s">
        <v>37</v>
      </c>
      <c r="H2400" s="7" t="s">
        <v>110</v>
      </c>
      <c r="I2400" s="21" t="s">
        <v>233</v>
      </c>
      <c r="J2400" s="21" t="str" cm="1">
        <f t="array" aca="1" ref="J2400" ca="1">_xlfn.LET(
  _xlpm.actual_value_month, INDEX(T2400:AE2400, MATCH(DATE(YEAR(TODAY()), MONTH(TODAY()), 1), $T$1:$AE$1, 0)),
  IF(_xlpm.actual_value_month &lt;&gt; "",_xlpm.actual_value_month &amp; " equipes mensais", "")
)</f>
        <v>26 equipes mensais</v>
      </c>
      <c r="K2400" s="8" t="str" cm="1">
        <f t="array" ref="K2400">_xlfn.LET(
    _xlpm.sum_month, SUM(T2400:AE2400),
    IF(_xlpm.sum_month = 0, "", _xlpm.sum_month &amp; " equipes alcançadas no ano")
)</f>
        <v>398 equipes alcançadas no ano</v>
      </c>
      <c r="L2400" s="4" t="s">
        <v>234</v>
      </c>
      <c r="M2400" s="19" t="s">
        <v>235</v>
      </c>
      <c r="N2400" s="5" t="s">
        <v>42</v>
      </c>
      <c r="O2400" s="5" t="s">
        <v>43</v>
      </c>
      <c r="P2400" s="10" t="s">
        <v>44</v>
      </c>
      <c r="Q2400" s="10" t="s">
        <v>44</v>
      </c>
      <c r="R2400" s="11" t="s">
        <v>147</v>
      </c>
      <c r="S2400" s="11" t="s">
        <v>162</v>
      </c>
      <c r="T2400" s="143">
        <v>55</v>
      </c>
      <c r="U2400" s="143">
        <v>54</v>
      </c>
      <c r="V2400" s="143">
        <v>55</v>
      </c>
      <c r="W2400" s="143">
        <v>26</v>
      </c>
      <c r="X2400" s="143">
        <v>26</v>
      </c>
      <c r="Y2400" s="143">
        <v>26</v>
      </c>
      <c r="Z2400" s="143">
        <v>26</v>
      </c>
      <c r="AA2400" s="143">
        <v>26</v>
      </c>
      <c r="AB2400" s="143">
        <v>26</v>
      </c>
      <c r="AC2400" s="143">
        <v>26</v>
      </c>
      <c r="AD2400" s="143">
        <v>26</v>
      </c>
      <c r="AE2400" s="143">
        <v>26</v>
      </c>
      <c r="AG2400" s="82">
        <v>55</v>
      </c>
      <c r="AH2400" s="82">
        <v>54</v>
      </c>
      <c r="AI2400" s="82">
        <v>55</v>
      </c>
      <c r="AJ2400" s="82">
        <v>54</v>
      </c>
      <c r="AK2400" s="71"/>
      <c r="AL2400" s="71"/>
      <c r="AM2400" s="71"/>
      <c r="AN2400" s="71"/>
      <c r="AO2400" s="71"/>
      <c r="AP2400" s="71"/>
      <c r="AQ2400" s="71"/>
      <c r="AR2400" s="71"/>
      <c r="AS2400" s="94">
        <f t="shared" ca="1" si="2888"/>
        <v>216</v>
      </c>
      <c r="AT2400" s="95">
        <f t="shared" si="2889"/>
        <v>193.9</v>
      </c>
      <c r="AU2400" s="97">
        <f t="shared" si="2890"/>
        <v>218</v>
      </c>
      <c r="AW2400" s="51">
        <f t="shared" si="2891"/>
        <v>1</v>
      </c>
      <c r="AX2400" s="51">
        <f t="shared" si="2892"/>
        <v>1</v>
      </c>
      <c r="AY2400" s="51">
        <f t="shared" si="2893"/>
        <v>1</v>
      </c>
      <c r="AZ2400" s="51">
        <f t="shared" si="2894"/>
        <v>2.0769230769230771</v>
      </c>
      <c r="BA2400" s="51"/>
      <c r="BB2400" s="51"/>
      <c r="BC2400" s="51"/>
      <c r="BD2400" s="51"/>
      <c r="BE2400" s="51"/>
      <c r="BF2400" s="51"/>
      <c r="BG2400" s="51"/>
      <c r="BH2400" s="51"/>
      <c r="BI2400" s="65" cm="1">
        <f t="array" ref="BI2400">IFERROR(INDEX(AW2400:BH2400,1,MATCH(2,1/(AW2400:BH2400&lt;&gt;""))),"")</f>
        <v>2.0769230769230771</v>
      </c>
      <c r="BJ2400" s="68" cm="1">
        <f t="array" ref="BJ2400">IF(BM2400 = "", "",IFERROR(INDEX(AW2400:BH2400,1,MATCH(2,1/(AW2400:BH2400&lt;&gt;""),1)-1),""))</f>
        <v>1</v>
      </c>
      <c r="BK2400" s="58">
        <f>IF((IF(AW2400&gt;=115%,115%,AW2400) + IF(AX2400&gt;=115%,115%,AX2400) + IF(AY2400&gt;=115%,115%,AY2400) + (IF(AZ2400&gt;=115%,115%,AZ2400) + IF(BA2400&gt;=115%,115%,BA2400) + IF(BB2400&gt;=115%,115%,BB2400) + IF(BC2400&gt;=115%,115%,BC2400) + IF(BD2400&gt;=115%,115%,BD2400) + IF(BE2400&gt;=115%,115%,BE2400) + IF(BF2400&gt;=115%,115%,BF2400) + IF(BG2400&gt;=115%,115%,BG2400) + IF(BH2400&gt;=115%,115%,BH2400)))/_xlfn.XLOOKUP(F2400,Apuração!A:A,Apuração!B:B)&gt;=1.15,1.15,((IF(AZ2400&gt;=115%,115%,AZ2400) + IF(AX2400&gt;=115%,115%,AX2400) + IF(AY2400&gt;=115%,115%,AY2400) + (IF(AW2400&gt;=115%,115%,AW2400) + IF(BA2400&gt;=115%,115%,BA2400) + IF(BB2400&gt;=115%,115%,BB2400) + IF(BC2400&gt;=115%,115%,BC2400) + IF(BD2400&gt;=115%,115%,BD2400) + IF(BE2400&gt;=115%,115%,BE2400) + IF(BF2400&gt;=115%,115%,BF2400) + IF(BG2400&gt;=115%,115%,BG2400) + IF(BH2400&gt;=115%,115%,BH2400)))/_xlfn.XLOOKUP(F2400,Apuração!A:A,Apuração!B:B)))</f>
        <v>0.34583333333333338</v>
      </c>
      <c r="BL2400" s="58" cm="1">
        <f t="array" aca="1" ref="BL2400" ca="1">IF(SUM(IFERROR(IF(INDEX(AW2400:INDEX(AW2400:BH2400, MATCH(2, 1/(AW2400:BH2400&lt;&gt;""), 1)-1), ROW(INDIRECT("1:" &amp; MATCH(2, 1/(AW2400:BH2400&lt;&gt;""), 1)-1))) &gt;= 115%, 115%, INDEX(AW2400:INDEX(AW2400:BH2400, MATCH(2, 1/(AW2400:BH2400&lt;&gt;""), 1)-1), ROW(INDIRECT("1:" &amp; MATCH(2, 1/(AW2400:BH2400&lt;&gt;""), 1)-1)))), 0))/_xlfn.XLOOKUP(F2400,Apuração!A:A,Apuração!B:B)&gt;=1.15,1.15,SUM(IFERROR(IF(INDEX(AW2400:INDEX(AW2400:BH2400, MATCH(2, 1/(AW2400:BH2400&lt;&gt;""), 1)-1), ROW(INDIRECT("1:" &amp; MATCH(2, 1/(AW2400:BH2400&lt;&gt;""), 1)-1))) &gt;= 115%, 115%, INDEX(AW2400:INDEX(AW2400:BH2400, MATCH(2, 1/(AW2400:BH2400&lt;&gt;""), 1)-1), ROW(INDIRECT("1:" &amp; MATCH(2, 1/(AW2400:BH2400&lt;&gt;""), 1)-1)))), 0))/_xlfn.XLOOKUP(F2400,Apuração!A:A,Apuração!B:B))</f>
        <v>0.25</v>
      </c>
      <c r="BM2400" s="55" cm="1">
        <f t="array" ref="BM2400">IFERROR(
   INDEX($AW$1:$BH$1,
      _xlfn.AGGREGATE(14, 6, COLUMN($AW$1:$BH$1)/(AW2400:BH2400&lt;&gt;""), 2) - COLUMN($AW$1) + 1
   ),
"")</f>
        <v>46082</v>
      </c>
      <c r="BN2400" s="55" cm="1">
        <f t="array" ref="BN2400">IFERROR(INDEX($AW$1:$BH$1,1,MATCH(2,1/(AW2400:BH2400&lt;&gt;""))),"")</f>
        <v>46113</v>
      </c>
      <c r="BO2400" s="53">
        <f ca="1">IFERROR(_xlfn.XLOOKUP(F2400,Apuração!A:A,Apuração!C:C)/_xlfn.XLOOKUP(F2400,Apuração!A:A,Apuração!B:B),0)</f>
        <v>0.41666666666666669</v>
      </c>
      <c r="BP2400" s="53">
        <f ca="1">IFERROR(_xlfn.XLOOKUP(F2400,Apuração!A:A,Apuração!D:D)/_xlfn.XLOOKUP(F2400,Apuração!A:A,Apuração!B:B),0)</f>
        <v>0.33333333333333331</v>
      </c>
      <c r="BQ2400" s="53">
        <f ca="1">IF(BK2400&gt;=BO2400,0,_xlfn.XLOOKUP(F2400,Apuração!A:A,Apuração!B:B)*(BO2400 + (1/_xlfn.XLOOKUP(F2400,Apuração!A:A,Apuração!B:B)) - BK2400))</f>
        <v>1.8499999999999994</v>
      </c>
      <c r="BR2400" s="85">
        <f t="shared" ca="1" si="2895"/>
        <v>48.099999999999987</v>
      </c>
      <c r="BS2400" s="53">
        <f ca="1">IFERROR((_xlfn.XLOOKUP(F2400,Apuração!A:A,Apuração!C:C)+1)/_xlfn.XLOOKUP(F2400,Apuração!A:A,Apuração!B:B),0)</f>
        <v>0.5</v>
      </c>
    </row>
    <row r="2401" spans="1:71" ht="25.95" hidden="1" customHeight="1" x14ac:dyDescent="0.3">
      <c r="A2401" s="20" t="s">
        <v>87</v>
      </c>
      <c r="B2401" s="4" t="s">
        <v>232</v>
      </c>
      <c r="C2401" s="5" t="s">
        <v>216</v>
      </c>
      <c r="D2401" s="5" t="s">
        <v>218</v>
      </c>
      <c r="E2401" s="4" t="str" cm="1">
        <f t="array" ref="E2401">_xlfn.IFS(
F2401 = "A partir de Abril", "Aguardando Execução na Distribuidora",
A2401 = "CAPACITAÇÃO", "Em execução no Corporativo",
TRUE, "Em Execução na Distribuidora"
)</f>
        <v>Em Execução na Distribuidora</v>
      </c>
      <c r="F2401" s="4" t="str" cm="1">
        <f t="array" ref="F2401">_xlfn.IFS(
AG2401 &lt;&gt; "", "Jan-Dez/26",
AH2401 &lt;&gt; "", "Fev-Dez/26",
AI2401 &lt;&gt; "", "Mar-Dez/26", AJ2401 &lt;&gt; "", "Abr-Dez/26",
TRUE, "A partir de Junho"
)</f>
        <v>Jan-Dez/26</v>
      </c>
      <c r="G2401" s="7" t="s">
        <v>37</v>
      </c>
      <c r="H2401" s="7" t="s">
        <v>110</v>
      </c>
      <c r="I2401" s="21" t="s">
        <v>233</v>
      </c>
      <c r="J2401" s="21" t="str" cm="1">
        <f t="array" aca="1" ref="J2401" ca="1">_xlfn.LET(
  _xlpm.actual_value_month, INDEX(T2401:AE2401, MATCH(DATE(YEAR(TODAY()), MONTH(TODAY()), 1), $T$1:$AE$1, 0)),
  IF(_xlpm.actual_value_month &lt;&gt; "",_xlpm.actual_value_month &amp; " equipes mensais", "")
)</f>
        <v>54 equipes mensais</v>
      </c>
      <c r="K2401" s="8" t="str" cm="1">
        <f t="array" ref="K2401">_xlfn.LET(
    _xlpm.sum_month, SUM(T2401:AE2401),
    IF(_xlpm.sum_month = 0, "", _xlpm.sum_month &amp; " equipes alcançadas no ano")
)</f>
        <v>578 equipes alcançadas no ano</v>
      </c>
      <c r="L2401" s="4" t="s">
        <v>234</v>
      </c>
      <c r="M2401" s="19" t="s">
        <v>235</v>
      </c>
      <c r="N2401" s="5" t="s">
        <v>42</v>
      </c>
      <c r="O2401" s="5" t="s">
        <v>43</v>
      </c>
      <c r="P2401" s="10" t="s">
        <v>44</v>
      </c>
      <c r="Q2401" s="10" t="s">
        <v>44</v>
      </c>
      <c r="R2401" s="11" t="s">
        <v>147</v>
      </c>
      <c r="S2401" s="11" t="s">
        <v>162</v>
      </c>
      <c r="T2401" s="143">
        <v>38</v>
      </c>
      <c r="U2401" s="143">
        <v>27</v>
      </c>
      <c r="V2401" s="143">
        <v>27</v>
      </c>
      <c r="W2401" s="143">
        <v>54</v>
      </c>
      <c r="X2401" s="143">
        <v>54</v>
      </c>
      <c r="Y2401" s="143">
        <v>54</v>
      </c>
      <c r="Z2401" s="143">
        <v>54</v>
      </c>
      <c r="AA2401" s="143">
        <v>54</v>
      </c>
      <c r="AB2401" s="143">
        <v>54</v>
      </c>
      <c r="AC2401" s="143">
        <v>54</v>
      </c>
      <c r="AD2401" s="143">
        <v>54</v>
      </c>
      <c r="AE2401" s="143">
        <v>54</v>
      </c>
      <c r="AG2401" s="82">
        <v>38</v>
      </c>
      <c r="AH2401" s="82">
        <v>27</v>
      </c>
      <c r="AI2401" s="82">
        <v>27</v>
      </c>
      <c r="AJ2401" s="82">
        <v>28</v>
      </c>
      <c r="AK2401" s="71"/>
      <c r="AL2401" s="71"/>
      <c r="AM2401" s="71"/>
      <c r="AN2401" s="71"/>
      <c r="AO2401" s="71"/>
      <c r="AP2401" s="71"/>
      <c r="AQ2401" s="71"/>
      <c r="AR2401" s="71"/>
      <c r="AS2401" s="94">
        <f t="shared" ca="1" si="2888"/>
        <v>200</v>
      </c>
      <c r="AT2401" s="95">
        <f t="shared" si="2889"/>
        <v>120</v>
      </c>
      <c r="AU2401" s="97">
        <f t="shared" si="2890"/>
        <v>120</v>
      </c>
      <c r="AW2401" s="51">
        <f t="shared" si="2891"/>
        <v>1</v>
      </c>
      <c r="AX2401" s="51">
        <f t="shared" si="2892"/>
        <v>1</v>
      </c>
      <c r="AY2401" s="51">
        <f t="shared" si="2893"/>
        <v>1</v>
      </c>
      <c r="AZ2401" s="51">
        <f t="shared" si="2894"/>
        <v>0.51851851851851849</v>
      </c>
      <c r="BA2401" s="51"/>
      <c r="BB2401" s="51"/>
      <c r="BC2401" s="51"/>
      <c r="BD2401" s="51"/>
      <c r="BE2401" s="51"/>
      <c r="BF2401" s="51"/>
      <c r="BG2401" s="51"/>
      <c r="BH2401" s="51"/>
      <c r="BI2401" s="65" cm="1">
        <f t="array" ref="BI2401">IFERROR(INDEX(AW2401:BH2401,1,MATCH(2,1/(AW2401:BH2401&lt;&gt;""))),"")</f>
        <v>0.51851851851851849</v>
      </c>
      <c r="BJ2401" s="68" cm="1">
        <f t="array" ref="BJ2401">IF(BM2401 = "", "",IFERROR(INDEX(AW2401:BH2401,1,MATCH(2,1/(AW2401:BH2401&lt;&gt;""),1)-1),""))</f>
        <v>1</v>
      </c>
      <c r="BK2401" s="58">
        <f>IF((IF(AW2401&gt;=115%,115%,AW2401) + IF(AX2401&gt;=115%,115%,AX2401) + IF(AY2401&gt;=115%,115%,AY2401) + (IF(AZ2401&gt;=115%,115%,AZ2401) + IF(BA2401&gt;=115%,115%,BA2401) + IF(BB2401&gt;=115%,115%,BB2401) + IF(BC2401&gt;=115%,115%,BC2401) + IF(BD2401&gt;=115%,115%,BD2401) + IF(BE2401&gt;=115%,115%,BE2401) + IF(BF2401&gt;=115%,115%,BF2401) + IF(BG2401&gt;=115%,115%,BG2401) + IF(BH2401&gt;=115%,115%,BH2401)))/_xlfn.XLOOKUP(F2401,Apuração!A:A,Apuração!B:B)&gt;=1.15,1.15,((IF(AZ2401&gt;=115%,115%,AZ2401) + IF(AX2401&gt;=115%,115%,AX2401) + IF(AY2401&gt;=115%,115%,AY2401) + (IF(AW2401&gt;=115%,115%,AW2401) + IF(BA2401&gt;=115%,115%,BA2401) + IF(BB2401&gt;=115%,115%,BB2401) + IF(BC2401&gt;=115%,115%,BC2401) + IF(BD2401&gt;=115%,115%,BD2401) + IF(BE2401&gt;=115%,115%,BE2401) + IF(BF2401&gt;=115%,115%,BF2401) + IF(BG2401&gt;=115%,115%,BG2401) + IF(BH2401&gt;=115%,115%,BH2401)))/_xlfn.XLOOKUP(F2401,Apuração!A:A,Apuração!B:B)))</f>
        <v>0.2932098765432099</v>
      </c>
      <c r="BL2401" s="58" cm="1">
        <f t="array" aca="1" ref="BL2401" ca="1">IF(SUM(IFERROR(IF(INDEX(AW2401:INDEX(AW2401:BH2401, MATCH(2, 1/(AW2401:BH2401&lt;&gt;""), 1)-1), ROW(INDIRECT("1:" &amp; MATCH(2, 1/(AW2401:BH2401&lt;&gt;""), 1)-1))) &gt;= 115%, 115%, INDEX(AW2401:INDEX(AW2401:BH2401, MATCH(2, 1/(AW2401:BH2401&lt;&gt;""), 1)-1), ROW(INDIRECT("1:" &amp; MATCH(2, 1/(AW2401:BH2401&lt;&gt;""), 1)-1)))), 0))/_xlfn.XLOOKUP(F2401,Apuração!A:A,Apuração!B:B)&gt;=1.15,1.15,SUM(IFERROR(IF(INDEX(AW2401:INDEX(AW2401:BH2401, MATCH(2, 1/(AW2401:BH2401&lt;&gt;""), 1)-1), ROW(INDIRECT("1:" &amp; MATCH(2, 1/(AW2401:BH2401&lt;&gt;""), 1)-1))) &gt;= 115%, 115%, INDEX(AW2401:INDEX(AW2401:BH2401, MATCH(2, 1/(AW2401:BH2401&lt;&gt;""), 1)-1), ROW(INDIRECT("1:" &amp; MATCH(2, 1/(AW2401:BH2401&lt;&gt;""), 1)-1)))), 0))/_xlfn.XLOOKUP(F2401,Apuração!A:A,Apuração!B:B))</f>
        <v>0.25</v>
      </c>
      <c r="BM2401" s="55" cm="1">
        <f t="array" ref="BM2401">IFERROR(
   INDEX($AW$1:$BH$1,
      _xlfn.AGGREGATE(14, 6, COLUMN($AW$1:$BH$1)/(AW2401:BH2401&lt;&gt;""), 2) - COLUMN($AW$1) + 1
   ),
"")</f>
        <v>46082</v>
      </c>
      <c r="BN2401" s="55" cm="1">
        <f t="array" ref="BN2401">IFERROR(INDEX($AW$1:$BH$1,1,MATCH(2,1/(AW2401:BH2401&lt;&gt;""))),"")</f>
        <v>46113</v>
      </c>
      <c r="BO2401" s="53">
        <f ca="1">IFERROR(_xlfn.XLOOKUP(F2401,Apuração!A:A,Apuração!C:C)/_xlfn.XLOOKUP(F2401,Apuração!A:A,Apuração!B:B),0)</f>
        <v>0.41666666666666669</v>
      </c>
      <c r="BP2401" s="53">
        <f ca="1">IFERROR(_xlfn.XLOOKUP(F2401,Apuração!A:A,Apuração!D:D)/_xlfn.XLOOKUP(F2401,Apuração!A:A,Apuração!B:B),0)</f>
        <v>0.33333333333333331</v>
      </c>
      <c r="BQ2401" s="53">
        <f ca="1">IF(BK2401&gt;=BO2401,0,_xlfn.XLOOKUP(F2401,Apuração!A:A,Apuração!B:B)*(BO2401 + (1/_xlfn.XLOOKUP(F2401,Apuração!A:A,Apuração!B:B)) - BK2401))</f>
        <v>2.481481481481481</v>
      </c>
      <c r="BR2401" s="85">
        <f t="shared" ca="1" si="2895"/>
        <v>133.99999999999997</v>
      </c>
      <c r="BS2401" s="53">
        <f ca="1">IFERROR((_xlfn.XLOOKUP(F2401,Apuração!A:A,Apuração!C:C)+1)/_xlfn.XLOOKUP(F2401,Apuração!A:A,Apuração!B:B),0)</f>
        <v>0.5</v>
      </c>
    </row>
    <row r="2402" spans="1:71" ht="25.95" hidden="1" customHeight="1" x14ac:dyDescent="0.3">
      <c r="A2402" s="20" t="s">
        <v>87</v>
      </c>
      <c r="B2402" s="4" t="s">
        <v>232</v>
      </c>
      <c r="C2402" s="5" t="s">
        <v>216</v>
      </c>
      <c r="D2402" s="5" t="s">
        <v>219</v>
      </c>
      <c r="E2402" s="4" t="str" cm="1">
        <f t="array" ref="E2402">_xlfn.IFS(
F2402 = "A partir de Abril", "Aguardando Execução na Distribuidora",
A2402 = "CAPACITAÇÃO", "Em execução no Corporativo",
TRUE, "Em Execução na Distribuidora"
)</f>
        <v>Em Execução na Distribuidora</v>
      </c>
      <c r="F2402" s="4" t="str" cm="1">
        <f t="array" ref="F2402">_xlfn.IFS(
AG2402 &lt;&gt; "", "Jan-Dez/26",
AH2402 &lt;&gt; "", "Fev-Dez/26",
AI2402 &lt;&gt; "", "Mar-Dez/26", AJ2402 &lt;&gt; "", "Abr-Dez/26",
TRUE, "A partir de Junho"
)</f>
        <v>Jan-Dez/26</v>
      </c>
      <c r="G2402" s="7" t="s">
        <v>37</v>
      </c>
      <c r="H2402" s="7" t="s">
        <v>110</v>
      </c>
      <c r="I2402" s="21" t="s">
        <v>233</v>
      </c>
      <c r="J2402" s="21" t="str" cm="1">
        <f t="array" aca="1" ref="J2402" ca="1">_xlfn.LET(
  _xlpm.actual_value_month, INDEX(T2402:AE2402, MATCH(DATE(YEAR(TODAY()), MONTH(TODAY()), 1), $T$1:$AE$1, 0)),
  IF(_xlpm.actual_value_month &lt;&gt; "",_xlpm.actual_value_month &amp; " equipes mensais", "")
)</f>
        <v>21 equipes mensais</v>
      </c>
      <c r="K2402" s="8" t="str" cm="1">
        <f t="array" ref="K2402">_xlfn.LET(
    _xlpm.sum_month, SUM(T2402:AE2402),
    IF(_xlpm.sum_month = 0, "", _xlpm.sum_month &amp; " equipes alcançadas no ano")
)</f>
        <v>287 equipes alcançadas no ano</v>
      </c>
      <c r="L2402" s="4" t="s">
        <v>234</v>
      </c>
      <c r="M2402" s="19" t="s">
        <v>235</v>
      </c>
      <c r="N2402" s="5" t="s">
        <v>42</v>
      </c>
      <c r="O2402" s="5" t="s">
        <v>43</v>
      </c>
      <c r="P2402" s="10" t="s">
        <v>44</v>
      </c>
      <c r="Q2402" s="10" t="s">
        <v>44</v>
      </c>
      <c r="R2402" s="11" t="s">
        <v>147</v>
      </c>
      <c r="S2402" s="11" t="s">
        <v>162</v>
      </c>
      <c r="T2402" s="143">
        <v>38</v>
      </c>
      <c r="U2402" s="143">
        <v>29</v>
      </c>
      <c r="V2402" s="143">
        <v>31</v>
      </c>
      <c r="W2402" s="143">
        <v>21</v>
      </c>
      <c r="X2402" s="143">
        <v>21</v>
      </c>
      <c r="Y2402" s="143">
        <v>21</v>
      </c>
      <c r="Z2402" s="143">
        <v>21</v>
      </c>
      <c r="AA2402" s="143">
        <v>21</v>
      </c>
      <c r="AB2402" s="143">
        <v>21</v>
      </c>
      <c r="AC2402" s="143">
        <v>21</v>
      </c>
      <c r="AD2402" s="143">
        <v>21</v>
      </c>
      <c r="AE2402" s="143">
        <v>21</v>
      </c>
      <c r="AG2402" s="82">
        <v>38</v>
      </c>
      <c r="AH2402" s="82">
        <v>29</v>
      </c>
      <c r="AI2402" s="82">
        <v>31</v>
      </c>
      <c r="AJ2402" s="82">
        <v>33</v>
      </c>
      <c r="AK2402" s="71"/>
      <c r="AL2402" s="71"/>
      <c r="AM2402" s="71"/>
      <c r="AN2402" s="71"/>
      <c r="AO2402" s="71"/>
      <c r="AP2402" s="71"/>
      <c r="AQ2402" s="71"/>
      <c r="AR2402" s="71"/>
      <c r="AS2402" s="94">
        <f t="shared" ca="1" si="2888"/>
        <v>140</v>
      </c>
      <c r="AT2402" s="95">
        <f t="shared" si="2889"/>
        <v>122.15</v>
      </c>
      <c r="AU2402" s="97">
        <f t="shared" si="2890"/>
        <v>131</v>
      </c>
      <c r="AW2402" s="51">
        <f t="shared" si="2891"/>
        <v>1</v>
      </c>
      <c r="AX2402" s="51">
        <f t="shared" si="2892"/>
        <v>1</v>
      </c>
      <c r="AY2402" s="51">
        <f t="shared" si="2893"/>
        <v>1</v>
      </c>
      <c r="AZ2402" s="51">
        <f t="shared" si="2894"/>
        <v>1.5714285714285714</v>
      </c>
      <c r="BA2402" s="51"/>
      <c r="BB2402" s="51"/>
      <c r="BC2402" s="51"/>
      <c r="BD2402" s="51"/>
      <c r="BE2402" s="51"/>
      <c r="BF2402" s="51"/>
      <c r="BG2402" s="51"/>
      <c r="BH2402" s="51"/>
      <c r="BI2402" s="65" cm="1">
        <f t="array" ref="BI2402">IFERROR(INDEX(AW2402:BH2402,1,MATCH(2,1/(AW2402:BH2402&lt;&gt;""))),"")</f>
        <v>1.5714285714285714</v>
      </c>
      <c r="BJ2402" s="68" cm="1">
        <f t="array" ref="BJ2402">IF(BM2402 = "", "",IFERROR(INDEX(AW2402:BH2402,1,MATCH(2,1/(AW2402:BH2402&lt;&gt;""),1)-1),""))</f>
        <v>1</v>
      </c>
      <c r="BK2402" s="58">
        <f>IF((IF(AW2402&gt;=115%,115%,AW2402) + IF(AX2402&gt;=115%,115%,AX2402) + IF(AY2402&gt;=115%,115%,AY2402) + (IF(AZ2402&gt;=115%,115%,AZ2402) + IF(BA2402&gt;=115%,115%,BA2402) + IF(BB2402&gt;=115%,115%,BB2402) + IF(BC2402&gt;=115%,115%,BC2402) + IF(BD2402&gt;=115%,115%,BD2402) + IF(BE2402&gt;=115%,115%,BE2402) + IF(BF2402&gt;=115%,115%,BF2402) + IF(BG2402&gt;=115%,115%,BG2402) + IF(BH2402&gt;=115%,115%,BH2402)))/_xlfn.XLOOKUP(F2402,Apuração!A:A,Apuração!B:B)&gt;=1.15,1.15,((IF(AZ2402&gt;=115%,115%,AZ2402) + IF(AX2402&gt;=115%,115%,AX2402) + IF(AY2402&gt;=115%,115%,AY2402) + (IF(AW2402&gt;=115%,115%,AW2402) + IF(BA2402&gt;=115%,115%,BA2402) + IF(BB2402&gt;=115%,115%,BB2402) + IF(BC2402&gt;=115%,115%,BC2402) + IF(BD2402&gt;=115%,115%,BD2402) + IF(BE2402&gt;=115%,115%,BE2402) + IF(BF2402&gt;=115%,115%,BF2402) + IF(BG2402&gt;=115%,115%,BG2402) + IF(BH2402&gt;=115%,115%,BH2402)))/_xlfn.XLOOKUP(F2402,Apuração!A:A,Apuração!B:B)))</f>
        <v>0.34583333333333338</v>
      </c>
      <c r="BL2402" s="58" cm="1">
        <f t="array" aca="1" ref="BL2402" ca="1">IF(SUM(IFERROR(IF(INDEX(AW2402:INDEX(AW2402:BH2402, MATCH(2, 1/(AW2402:BH2402&lt;&gt;""), 1)-1), ROW(INDIRECT("1:" &amp; MATCH(2, 1/(AW2402:BH2402&lt;&gt;""), 1)-1))) &gt;= 115%, 115%, INDEX(AW2402:INDEX(AW2402:BH2402, MATCH(2, 1/(AW2402:BH2402&lt;&gt;""), 1)-1), ROW(INDIRECT("1:" &amp; MATCH(2, 1/(AW2402:BH2402&lt;&gt;""), 1)-1)))), 0))/_xlfn.XLOOKUP(F2402,Apuração!A:A,Apuração!B:B)&gt;=1.15,1.15,SUM(IFERROR(IF(INDEX(AW2402:INDEX(AW2402:BH2402, MATCH(2, 1/(AW2402:BH2402&lt;&gt;""), 1)-1), ROW(INDIRECT("1:" &amp; MATCH(2, 1/(AW2402:BH2402&lt;&gt;""), 1)-1))) &gt;= 115%, 115%, INDEX(AW2402:INDEX(AW2402:BH2402, MATCH(2, 1/(AW2402:BH2402&lt;&gt;""), 1)-1), ROW(INDIRECT("1:" &amp; MATCH(2, 1/(AW2402:BH2402&lt;&gt;""), 1)-1)))), 0))/_xlfn.XLOOKUP(F2402,Apuração!A:A,Apuração!B:B))</f>
        <v>0.25</v>
      </c>
      <c r="BM2402" s="55" cm="1">
        <f t="array" ref="BM2402">IFERROR(
   INDEX($AW$1:$BH$1,
      _xlfn.AGGREGATE(14, 6, COLUMN($AW$1:$BH$1)/(AW2402:BH2402&lt;&gt;""), 2) - COLUMN($AW$1) + 1
   ),
"")</f>
        <v>46082</v>
      </c>
      <c r="BN2402" s="55" cm="1">
        <f t="array" ref="BN2402">IFERROR(INDEX($AW$1:$BH$1,1,MATCH(2,1/(AW2402:BH2402&lt;&gt;""))),"")</f>
        <v>46113</v>
      </c>
      <c r="BO2402" s="53">
        <f ca="1">IFERROR(_xlfn.XLOOKUP(F2402,Apuração!A:A,Apuração!C:C)/_xlfn.XLOOKUP(F2402,Apuração!A:A,Apuração!B:B),0)</f>
        <v>0.41666666666666669</v>
      </c>
      <c r="BP2402" s="53">
        <f ca="1">IFERROR(_xlfn.XLOOKUP(F2402,Apuração!A:A,Apuração!D:D)/_xlfn.XLOOKUP(F2402,Apuração!A:A,Apuração!B:B),0)</f>
        <v>0.33333333333333331</v>
      </c>
      <c r="BQ2402" s="53">
        <f ca="1">IF(BK2402&gt;=BO2402,0,_xlfn.XLOOKUP(F2402,Apuração!A:A,Apuração!B:B)*(BO2402 + (1/_xlfn.XLOOKUP(F2402,Apuração!A:A,Apuração!B:B)) - BK2402))</f>
        <v>1.8499999999999994</v>
      </c>
      <c r="BR2402" s="85">
        <f t="shared" ca="1" si="2895"/>
        <v>38.849999999999987</v>
      </c>
      <c r="BS2402" s="53">
        <f ca="1">IFERROR((_xlfn.XLOOKUP(F2402,Apuração!A:A,Apuração!C:C)+1)/_xlfn.XLOOKUP(F2402,Apuração!A:A,Apuração!B:B),0)</f>
        <v>0.5</v>
      </c>
    </row>
    <row r="2403" spans="1:71" ht="25.95" hidden="1" customHeight="1" x14ac:dyDescent="0.3">
      <c r="A2403" s="40" t="s">
        <v>87</v>
      </c>
      <c r="B2403" s="4" t="s">
        <v>232</v>
      </c>
      <c r="C2403" s="5" t="s">
        <v>216</v>
      </c>
      <c r="D2403" s="5" t="s">
        <v>36</v>
      </c>
      <c r="E2403" s="4" t="str" cm="1">
        <f t="array" ref="E2403">_xlfn.IFS(
F2403 = "A partir de Abril", "Aguardando Execução na Distribuidora",
A2403 = "CAPACITAÇÃO", "Em execução no Corporativo",
TRUE, "Em Execução na Distribuidora"
)</f>
        <v>Em Execução na Distribuidora</v>
      </c>
      <c r="F2403" s="4" t="str" cm="1">
        <f t="array" ref="F2403">_xlfn.IFS(
AG2403 &lt;&gt; "", "Jan-Dez/26",
AH2403 &lt;&gt; "", "Fev-Dez/26",
AI2403 &lt;&gt; "", "Mar-Dez/26", AJ2403 &lt;&gt; "", "Abr-Dez/26",
TRUE, "A partir de Junho"
)</f>
        <v>Jan-Dez/26</v>
      </c>
      <c r="G2403" s="7" t="s">
        <v>37</v>
      </c>
      <c r="H2403" s="7" t="s">
        <v>110</v>
      </c>
      <c r="I2403" s="9" t="s">
        <v>76</v>
      </c>
      <c r="J2403" s="21" t="str" cm="1">
        <f t="array" aca="1" ref="J2403" ca="1">_xlfn.LET(
  _xlpm.actual_value_month, INDEX(T2403:AE2403, MATCH(DATE(YEAR(TODAY()), MONTH(TODAY()), 1), $T$1:$AE$1, 0)),
  IF(_xlpm.actual_value_month &lt;&gt; "",_xlpm.actual_value_month &amp; " ações mensais", "")
)</f>
        <v/>
      </c>
      <c r="K2403" s="8" t="str" cm="1">
        <f t="array" ref="K2403">_xlfn.LET(
    _xlpm.sum_month, SUM(T2403:AE2403),
    IF(_xlpm.sum_month = 0, "", _xlpm.sum_month &amp; " equipes alcançadas no ano")
)</f>
        <v/>
      </c>
      <c r="L2403" s="4" t="s">
        <v>141</v>
      </c>
      <c r="M2403" s="19">
        <v>1</v>
      </c>
      <c r="N2403" s="5" t="s">
        <v>51</v>
      </c>
      <c r="O2403" s="5" t="s">
        <v>52</v>
      </c>
      <c r="P2403" s="10" t="s">
        <v>44</v>
      </c>
      <c r="Q2403" s="10" t="s">
        <v>44</v>
      </c>
      <c r="R2403" s="10" t="s">
        <v>44</v>
      </c>
      <c r="S2403" s="10" t="s">
        <v>44</v>
      </c>
      <c r="T2403" s="22"/>
      <c r="U2403" s="22"/>
      <c r="V2403" s="22"/>
      <c r="W2403" s="22"/>
      <c r="X2403" s="22"/>
      <c r="Y2403" s="22"/>
      <c r="Z2403" s="22"/>
      <c r="AA2403" s="22"/>
      <c r="AB2403" s="22"/>
      <c r="AC2403" s="22"/>
      <c r="AD2403" s="22"/>
      <c r="AE2403" s="22"/>
      <c r="AG2403" s="71">
        <v>191</v>
      </c>
      <c r="AH2403" s="71">
        <v>182</v>
      </c>
      <c r="AI2403" s="71">
        <v>173</v>
      </c>
      <c r="AJ2403" s="71">
        <v>167</v>
      </c>
      <c r="AK2403" s="71"/>
      <c r="AL2403" s="71"/>
      <c r="AM2403" s="71"/>
      <c r="AN2403" s="71"/>
      <c r="AO2403" s="71"/>
      <c r="AP2403" s="71"/>
      <c r="AQ2403" s="71"/>
      <c r="AR2403" s="71"/>
      <c r="AS2403" s="94">
        <f ca="1">IF(MONTH(TODAY())=3,SUM(T2403:U2403),IF(MONTH(TODAY())=4,SUM(T2403:V2403),IF(MONTH(TODAY())=5,SUM(T2403:W2403),IF(MONTH(TODAY())=6,SUM(T2403:X2403),IF(MONTH(TODAY())=7,SUM(T2403:Y2403),IF(MONTH(TODAY())=8,SUM(T2403:Z2403),IF(MONTH(TODAY())=9,SUM(T2403:AA2403),IF(MONTH(TODAY())=10,SUM(T2403:AB2403),IF(MONTH(TODAY())=11,SUM(T2403:AC2403),IF(MONTH(TODAY())=12,SUM(T2403:AD2403),IF(MONTH(TODAY())=1,SUM(T2403:AE2403),T2403)))))))))))</f>
        <v>0</v>
      </c>
      <c r="AT2403" s="95">
        <f>SUM(AG2403:AR2403)</f>
        <v>713</v>
      </c>
      <c r="AU2403" s="97">
        <f>SUM(AG2403:AR2403)</f>
        <v>713</v>
      </c>
      <c r="AW2403" s="83">
        <f>AG2403</f>
        <v>191</v>
      </c>
      <c r="AX2403" s="83">
        <f>AH2403</f>
        <v>182</v>
      </c>
      <c r="AY2403" s="83">
        <f>AI2403</f>
        <v>173</v>
      </c>
      <c r="AZ2403" s="83">
        <f>AJ2403</f>
        <v>167</v>
      </c>
      <c r="BA2403" s="52"/>
      <c r="BB2403" s="52"/>
      <c r="BC2403" s="52"/>
      <c r="BD2403" s="52"/>
      <c r="BE2403" s="52"/>
      <c r="BF2403" s="52"/>
      <c r="BG2403" s="52"/>
      <c r="BH2403" s="52"/>
      <c r="BI2403" s="68" cm="1">
        <f t="array" ref="BI2403">IFERROR(INDEX(AW2403:BH2403,1,MATCH(2,1/(AW2403:BH2403&lt;&gt;""))),"")</f>
        <v>167</v>
      </c>
      <c r="BJ2403" s="68" cm="1">
        <f t="array" ref="BJ2403">IF(BM2403 = "", "",IFERROR(INDEX(AW2403:BH2403,1,MATCH(2,1/(AW2403:BH2403&lt;&gt;""),1)-1),""))</f>
        <v>173</v>
      </c>
      <c r="BK2403" s="59">
        <f>SUM(AW2403:BH2403)</f>
        <v>713</v>
      </c>
      <c r="BL2403" s="59" cm="1">
        <f t="array" ref="BL2403">IFERROR(SUM(AW2403:INDEX(AW2403:BH2403, MATCH(2, 1/(AW2403:BH2403&lt;&gt;""), 1) - 1))/_xlfn.XLOOKUP(F2403,Apuração!A:A,Apuração!B:B),0)</f>
        <v>45.5</v>
      </c>
      <c r="BM2403" s="55" cm="1">
        <f t="array" ref="BM2403">IFERROR(
   INDEX($AW$1:$BH$1,
      _xlfn.AGGREGATE(14, 6, COLUMN($AW$1:$BH$1)/(AW2403:BH2403&lt;&gt;""), 2) - COLUMN($AW$1) + 1
   ),
"")</f>
        <v>46082</v>
      </c>
      <c r="BN2403" s="55" cm="1">
        <f t="array" ref="BN2403">IFERROR(INDEX($AW$1:$BH$1,1,MATCH(2,1/(AW2403:BH2403&lt;&gt;""))),"")</f>
        <v>46113</v>
      </c>
      <c r="BO2403" s="53">
        <f ca="1">IFERROR(_xlfn.XLOOKUP(F2403,Apuração!A:A,Apuração!C:C)/_xlfn.XLOOKUP(F2403,Apuração!A:A,Apuração!B:B),0)</f>
        <v>0.41666666666666669</v>
      </c>
      <c r="BP2403" s="53">
        <f ca="1">IFERROR(_xlfn.XLOOKUP(F2403,Apuração!A:A,Apuração!D:D)/_xlfn.XLOOKUP(F2403,Apuração!A:A,Apuração!B:B),0)</f>
        <v>0.33333333333333331</v>
      </c>
      <c r="BQ2403" s="53">
        <f ca="1">IF(BK2403&gt;=BO2403,0,_xlfn.XLOOKUP(F2403,Apuração!A:A,Apuração!B:B)*(BO2403 + (1/_xlfn.XLOOKUP(F2403,Apuração!A:A,Apuração!B:B)) - BK2403))</f>
        <v>0</v>
      </c>
      <c r="BR2403" s="85">
        <f ca="1">IF(BQ2403=0,0,BQ2403*Z2403)</f>
        <v>0</v>
      </c>
      <c r="BS2403" s="53">
        <f ca="1">IFERROR((_xlfn.XLOOKUP(F2403,Apuração!A:A,Apuração!C:C)+1)/_xlfn.XLOOKUP(F2403,Apuração!A:A,Apuração!B:B),0)</f>
        <v>0.5</v>
      </c>
    </row>
    <row r="2404" spans="1:71" ht="25.95" hidden="1" customHeight="1" x14ac:dyDescent="0.3">
      <c r="A2404" s="40" t="s">
        <v>87</v>
      </c>
      <c r="B2404" s="4" t="s">
        <v>232</v>
      </c>
      <c r="C2404" s="5" t="s">
        <v>216</v>
      </c>
      <c r="D2404" s="5" t="s">
        <v>217</v>
      </c>
      <c r="E2404" s="4" t="str" cm="1">
        <f t="array" ref="E2404">_xlfn.IFS(
F2404 = "A partir de Abril", "Aguardando Execução na Distribuidora",
A2404 = "CAPACITAÇÃO", "Em execução no Corporativo",
TRUE, "Em Execução na Distribuidora"
)</f>
        <v>Em Execução na Distribuidora</v>
      </c>
      <c r="F2404" s="4" t="str" cm="1">
        <f t="array" ref="F2404">_xlfn.IFS(
AG2404 &lt;&gt; "", "Jan-Dez/26",
AH2404 &lt;&gt; "", "Fev-Dez/26",
AI2404 &lt;&gt; "", "Mar-Dez/26", AJ2404 &lt;&gt; "", "Abr-Dez/26",
TRUE, "A partir de Junho"
)</f>
        <v>Jan-Dez/26</v>
      </c>
      <c r="G2404" s="7" t="s">
        <v>37</v>
      </c>
      <c r="H2404" s="7" t="s">
        <v>110</v>
      </c>
      <c r="I2404" s="9" t="s">
        <v>76</v>
      </c>
      <c r="J2404" s="21" t="str" cm="1">
        <f t="array" aca="1" ref="J2404" ca="1">_xlfn.LET(
  _xlpm.actual_value_month, INDEX(T2404:AE2404, MATCH(DATE(YEAR(TODAY()), MONTH(TODAY()), 1), $T$1:$AE$1, 0)),
  IF(_xlpm.actual_value_month &lt;&gt; "",_xlpm.actual_value_month &amp; " ações mensais", "")
)</f>
        <v/>
      </c>
      <c r="K2404" s="8" t="str" cm="1">
        <f t="array" ref="K2404">_xlfn.LET(
    _xlpm.sum_month, SUM(T2404:AE2404),
    IF(_xlpm.sum_month = 0, "", _xlpm.sum_month &amp; " equipes alcançadas no ano")
)</f>
        <v/>
      </c>
      <c r="L2404" s="4" t="s">
        <v>141</v>
      </c>
      <c r="M2404" s="19">
        <v>1</v>
      </c>
      <c r="N2404" s="5" t="s">
        <v>51</v>
      </c>
      <c r="O2404" s="5" t="s">
        <v>52</v>
      </c>
      <c r="P2404" s="10" t="s">
        <v>44</v>
      </c>
      <c r="Q2404" s="10" t="s">
        <v>44</v>
      </c>
      <c r="R2404" s="10" t="s">
        <v>44</v>
      </c>
      <c r="S2404" s="10" t="s">
        <v>44</v>
      </c>
      <c r="T2404" s="22"/>
      <c r="U2404" s="22"/>
      <c r="V2404" s="22"/>
      <c r="W2404" s="22"/>
      <c r="X2404" s="22"/>
      <c r="Y2404" s="22"/>
      <c r="Z2404" s="22"/>
      <c r="AA2404" s="22"/>
      <c r="AB2404" s="22"/>
      <c r="AC2404" s="22"/>
      <c r="AD2404" s="22"/>
      <c r="AE2404" s="22"/>
      <c r="AG2404" s="82">
        <v>60</v>
      </c>
      <c r="AH2404" s="82">
        <v>72</v>
      </c>
      <c r="AI2404" s="82">
        <v>60</v>
      </c>
      <c r="AJ2404" s="82">
        <v>52</v>
      </c>
      <c r="AK2404" s="71"/>
      <c r="AL2404" s="71"/>
      <c r="AM2404" s="71"/>
      <c r="AN2404" s="71"/>
      <c r="AO2404" s="71"/>
      <c r="AP2404" s="71"/>
      <c r="AQ2404" s="71"/>
      <c r="AR2404" s="71"/>
      <c r="AS2404" s="94">
        <f t="shared" ref="AS2404:AS2409" ca="1" si="2896">IF(MONTH(TODAY())=3,SUM(T2404:U2404),IF(MONTH(TODAY())=4,SUM(T2404:V2404),IF(MONTH(TODAY())=5,SUM(T2404:W2404),IF(MONTH(TODAY())=6,SUM(T2404:X2404),IF(MONTH(TODAY())=7,SUM(T2404:Y2404),IF(MONTH(TODAY())=8,SUM(T2404:Z2404),IF(MONTH(TODAY())=9,SUM(T2404:AA2404),IF(MONTH(TODAY())=10,SUM(T2404:AB2404),IF(MONTH(TODAY())=11,SUM(T2404:AC2404),IF(MONTH(TODAY())=12,SUM(T2404:AD2404),IF(MONTH(TODAY())=1,SUM(T2404:AE2404),T2404)))))))))))</f>
        <v>0</v>
      </c>
      <c r="AT2404" s="95">
        <f t="shared" ref="AT2404:AT2409" si="2897">SUM(AG2404:AR2404)</f>
        <v>244</v>
      </c>
      <c r="AU2404" s="97">
        <f t="shared" ref="AU2404:AU2409" si="2898">SUM(AG2404:AR2404)</f>
        <v>244</v>
      </c>
      <c r="AW2404" s="83">
        <f t="shared" ref="AW2404:AW2409" si="2899">AG2404</f>
        <v>60</v>
      </c>
      <c r="AX2404" s="83">
        <f t="shared" ref="AX2404:AX2409" si="2900">AH2404</f>
        <v>72</v>
      </c>
      <c r="AY2404" s="83">
        <f t="shared" ref="AY2404:AY2409" si="2901">AI2404</f>
        <v>60</v>
      </c>
      <c r="AZ2404" s="83">
        <f t="shared" ref="AZ2404:BA2409" si="2902">AJ2404</f>
        <v>52</v>
      </c>
      <c r="BA2404" s="52"/>
      <c r="BB2404" s="52"/>
      <c r="BC2404" s="52"/>
      <c r="BD2404" s="52"/>
      <c r="BE2404" s="52"/>
      <c r="BF2404" s="52"/>
      <c r="BG2404" s="52"/>
      <c r="BH2404" s="52"/>
      <c r="BI2404" s="68" cm="1">
        <f t="array" ref="BI2404">IFERROR(INDEX(AW2404:BH2404,1,MATCH(2,1/(AW2404:BH2404&lt;&gt;""))),"")</f>
        <v>52</v>
      </c>
      <c r="BJ2404" s="68" cm="1">
        <f t="array" ref="BJ2404">IF(BM2404 = "", "",IFERROR(INDEX(AW2404:BH2404,1,MATCH(2,1/(AW2404:BH2404&lt;&gt;""),1)-1),""))</f>
        <v>60</v>
      </c>
      <c r="BK2404" s="59">
        <f t="shared" ref="BK2404:BK2409" si="2903">SUM(AW2404:BH2404)</f>
        <v>244</v>
      </c>
      <c r="BL2404" s="59" cm="1">
        <f t="array" ref="BL2404">IFERROR(SUM(AW2404:INDEX(AW2404:BH2404, MATCH(2, 1/(AW2404:BH2404&lt;&gt;""), 1) - 1))/_xlfn.XLOOKUP(F2404,Apuração!A:A,Apuração!B:B),0)</f>
        <v>16</v>
      </c>
      <c r="BM2404" s="55" cm="1">
        <f t="array" ref="BM2404">IFERROR(
   INDEX($AW$1:$BH$1,
      _xlfn.AGGREGATE(14, 6, COLUMN($AW$1:$BH$1)/(AW2404:BH2404&lt;&gt;""), 2) - COLUMN($AW$1) + 1
   ),
"")</f>
        <v>46082</v>
      </c>
      <c r="BN2404" s="55" cm="1">
        <f t="array" ref="BN2404">IFERROR(INDEX($AW$1:$BH$1,1,MATCH(2,1/(AW2404:BH2404&lt;&gt;""))),"")</f>
        <v>46113</v>
      </c>
      <c r="BO2404" s="53">
        <f ca="1">IFERROR(_xlfn.XLOOKUP(F2404,Apuração!A:A,Apuração!C:C)/_xlfn.XLOOKUP(F2404,Apuração!A:A,Apuração!B:B),0)</f>
        <v>0.41666666666666669</v>
      </c>
      <c r="BP2404" s="53">
        <f ca="1">IFERROR(_xlfn.XLOOKUP(F2404,Apuração!A:A,Apuração!D:D)/_xlfn.XLOOKUP(F2404,Apuração!A:A,Apuração!B:B),0)</f>
        <v>0.33333333333333331</v>
      </c>
      <c r="BQ2404" s="53">
        <f ca="1">IF(BK2404&gt;=BO2404,0,_xlfn.XLOOKUP(F2404,Apuração!A:A,Apuração!B:B)*(BO2404 + (1/_xlfn.XLOOKUP(F2404,Apuração!A:A,Apuração!B:B)) - BK2404))</f>
        <v>0</v>
      </c>
      <c r="BR2404" s="85">
        <f t="shared" ref="BR2404:BR2409" ca="1" si="2904">IF(BQ2404=0,0,BQ2404*Z2404)</f>
        <v>0</v>
      </c>
      <c r="BS2404" s="53">
        <f ca="1">IFERROR((_xlfn.XLOOKUP(F2404,Apuração!A:A,Apuração!C:C)+1)/_xlfn.XLOOKUP(F2404,Apuração!A:A,Apuração!B:B),0)</f>
        <v>0.5</v>
      </c>
    </row>
    <row r="2405" spans="1:71" ht="25.95" hidden="1" customHeight="1" x14ac:dyDescent="0.3">
      <c r="A2405" s="40" t="s">
        <v>87</v>
      </c>
      <c r="B2405" s="4" t="s">
        <v>232</v>
      </c>
      <c r="C2405" s="5" t="s">
        <v>216</v>
      </c>
      <c r="D2405" s="5" t="s">
        <v>103</v>
      </c>
      <c r="E2405" s="4" t="str" cm="1">
        <f t="array" ref="E2405">_xlfn.IFS(
F2405 = "A partir de Abril", "Aguardando Execução na Distribuidora",
A2405 = "CAPACITAÇÃO", "Em execução no Corporativo",
TRUE, "Em Execução na Distribuidora"
)</f>
        <v>Em Execução na Distribuidora</v>
      </c>
      <c r="F2405" s="4" t="str" cm="1">
        <f t="array" ref="F2405">_xlfn.IFS(
AG2405 &lt;&gt; "", "Jan-Dez/26",
AH2405 &lt;&gt; "", "Fev-Dez/26",
AI2405 &lt;&gt; "", "Mar-Dez/26", AJ2405 &lt;&gt; "", "Abr-Dez/26",
TRUE, "A partir de Junho"
)</f>
        <v>Jan-Dez/26</v>
      </c>
      <c r="G2405" s="7" t="s">
        <v>37</v>
      </c>
      <c r="H2405" s="7" t="s">
        <v>110</v>
      </c>
      <c r="I2405" s="9" t="s">
        <v>76</v>
      </c>
      <c r="J2405" s="21" t="str" cm="1">
        <f t="array" aca="1" ref="J2405" ca="1">_xlfn.LET(
  _xlpm.actual_value_month, INDEX(T2405:AE2405, MATCH(DATE(YEAR(TODAY()), MONTH(TODAY()), 1), $T$1:$AE$1, 0)),
  IF(_xlpm.actual_value_month &lt;&gt; "",_xlpm.actual_value_month &amp; " ações mensais", "")
)</f>
        <v/>
      </c>
      <c r="K2405" s="8" t="str" cm="1">
        <f t="array" ref="K2405">_xlfn.LET(
    _xlpm.sum_month, SUM(T2405:AE2405),
    IF(_xlpm.sum_month = 0, "", _xlpm.sum_month &amp; " equipes alcançadas no ano")
)</f>
        <v/>
      </c>
      <c r="L2405" s="4" t="s">
        <v>141</v>
      </c>
      <c r="M2405" s="19">
        <v>1</v>
      </c>
      <c r="N2405" s="5" t="s">
        <v>51</v>
      </c>
      <c r="O2405" s="5" t="s">
        <v>52</v>
      </c>
      <c r="P2405" s="10" t="s">
        <v>44</v>
      </c>
      <c r="Q2405" s="10" t="s">
        <v>44</v>
      </c>
      <c r="R2405" s="10" t="s">
        <v>44</v>
      </c>
      <c r="S2405" s="10" t="s">
        <v>44</v>
      </c>
      <c r="T2405" s="22"/>
      <c r="U2405" s="22"/>
      <c r="V2405" s="22"/>
      <c r="W2405" s="22"/>
      <c r="X2405" s="22"/>
      <c r="Y2405" s="22"/>
      <c r="Z2405" s="22"/>
      <c r="AA2405" s="22"/>
      <c r="AB2405" s="22"/>
      <c r="AC2405" s="22"/>
      <c r="AD2405" s="22"/>
      <c r="AE2405" s="22"/>
      <c r="AG2405" s="82">
        <v>55</v>
      </c>
      <c r="AH2405" s="82">
        <v>54</v>
      </c>
      <c r="AI2405" s="82">
        <v>55</v>
      </c>
      <c r="AJ2405" s="82">
        <v>54</v>
      </c>
      <c r="AK2405" s="71"/>
      <c r="AL2405" s="71"/>
      <c r="AM2405" s="71"/>
      <c r="AN2405" s="71"/>
      <c r="AO2405" s="71"/>
      <c r="AP2405" s="71"/>
      <c r="AQ2405" s="71"/>
      <c r="AR2405" s="71"/>
      <c r="AS2405" s="94">
        <f t="shared" ca="1" si="2896"/>
        <v>0</v>
      </c>
      <c r="AT2405" s="95">
        <f t="shared" si="2897"/>
        <v>218</v>
      </c>
      <c r="AU2405" s="97">
        <f t="shared" si="2898"/>
        <v>218</v>
      </c>
      <c r="AW2405" s="83">
        <f t="shared" si="2899"/>
        <v>55</v>
      </c>
      <c r="AX2405" s="83">
        <f t="shared" si="2900"/>
        <v>54</v>
      </c>
      <c r="AY2405" s="83">
        <f t="shared" si="2901"/>
        <v>55</v>
      </c>
      <c r="AZ2405" s="83">
        <f t="shared" si="2902"/>
        <v>54</v>
      </c>
      <c r="BA2405" s="52"/>
      <c r="BB2405" s="52"/>
      <c r="BC2405" s="52"/>
      <c r="BD2405" s="52"/>
      <c r="BE2405" s="52"/>
      <c r="BF2405" s="52"/>
      <c r="BG2405" s="52"/>
      <c r="BH2405" s="52"/>
      <c r="BI2405" s="68" cm="1">
        <f t="array" ref="BI2405">IFERROR(INDEX(AW2405:BH2405,1,MATCH(2,1/(AW2405:BH2405&lt;&gt;""))),"")</f>
        <v>54</v>
      </c>
      <c r="BJ2405" s="68" cm="1">
        <f t="array" ref="BJ2405">IF(BM2405 = "", "",IFERROR(INDEX(AW2405:BH2405,1,MATCH(2,1/(AW2405:BH2405&lt;&gt;""),1)-1),""))</f>
        <v>55</v>
      </c>
      <c r="BK2405" s="59">
        <f t="shared" si="2903"/>
        <v>218</v>
      </c>
      <c r="BL2405" s="59" cm="1">
        <f t="array" ref="BL2405">IFERROR(SUM(AW2405:INDEX(AW2405:BH2405, MATCH(2, 1/(AW2405:BH2405&lt;&gt;""), 1) - 1))/_xlfn.XLOOKUP(F2405,Apuração!A:A,Apuração!B:B),0)</f>
        <v>13.666666666666666</v>
      </c>
      <c r="BM2405" s="55" cm="1">
        <f t="array" ref="BM2405">IFERROR(
   INDEX($AW$1:$BH$1,
      _xlfn.AGGREGATE(14, 6, COLUMN($AW$1:$BH$1)/(AW2405:BH2405&lt;&gt;""), 2) - COLUMN($AW$1) + 1
   ),
"")</f>
        <v>46082</v>
      </c>
      <c r="BN2405" s="55" cm="1">
        <f t="array" ref="BN2405">IFERROR(INDEX($AW$1:$BH$1,1,MATCH(2,1/(AW2405:BH2405&lt;&gt;""))),"")</f>
        <v>46113</v>
      </c>
      <c r="BO2405" s="53">
        <f ca="1">IFERROR(_xlfn.XLOOKUP(F2405,Apuração!A:A,Apuração!C:C)/_xlfn.XLOOKUP(F2405,Apuração!A:A,Apuração!B:B),0)</f>
        <v>0.41666666666666669</v>
      </c>
      <c r="BP2405" s="53">
        <f ca="1">IFERROR(_xlfn.XLOOKUP(F2405,Apuração!A:A,Apuração!D:D)/_xlfn.XLOOKUP(F2405,Apuração!A:A,Apuração!B:B),0)</f>
        <v>0.33333333333333331</v>
      </c>
      <c r="BQ2405" s="53">
        <f ca="1">IF(BK2405&gt;=BO2405,0,_xlfn.XLOOKUP(F2405,Apuração!A:A,Apuração!B:B)*(BO2405 + (1/_xlfn.XLOOKUP(F2405,Apuração!A:A,Apuração!B:B)) - BK2405))</f>
        <v>0</v>
      </c>
      <c r="BR2405" s="85">
        <f t="shared" ca="1" si="2904"/>
        <v>0</v>
      </c>
      <c r="BS2405" s="53">
        <f ca="1">IFERROR((_xlfn.XLOOKUP(F2405,Apuração!A:A,Apuração!C:C)+1)/_xlfn.XLOOKUP(F2405,Apuração!A:A,Apuração!B:B),0)</f>
        <v>0.5</v>
      </c>
    </row>
    <row r="2406" spans="1:71" ht="25.95" hidden="1" customHeight="1" x14ac:dyDescent="0.3">
      <c r="A2406" s="40" t="s">
        <v>87</v>
      </c>
      <c r="B2406" s="4" t="s">
        <v>232</v>
      </c>
      <c r="C2406" s="5" t="s">
        <v>216</v>
      </c>
      <c r="D2406" s="5" t="s">
        <v>218</v>
      </c>
      <c r="E2406" s="4" t="str" cm="1">
        <f t="array" ref="E2406">_xlfn.IFS(
F2406 = "A partir de Abril", "Aguardando Execução na Distribuidora",
A2406 = "CAPACITAÇÃO", "Em execução no Corporativo",
TRUE, "Em Execução na Distribuidora"
)</f>
        <v>Em Execução na Distribuidora</v>
      </c>
      <c r="F2406" s="4" t="str" cm="1">
        <f t="array" ref="F2406">_xlfn.IFS(
AG2406 &lt;&gt; "", "Jan-Dez/26",
AH2406 &lt;&gt; "", "Fev-Dez/26",
AI2406 &lt;&gt; "", "Mar-Dez/26", AJ2406 &lt;&gt; "", "Abr-Dez/26",
TRUE, "A partir de Junho"
)</f>
        <v>Jan-Dez/26</v>
      </c>
      <c r="G2406" s="7" t="s">
        <v>37</v>
      </c>
      <c r="H2406" s="7" t="s">
        <v>110</v>
      </c>
      <c r="I2406" s="9" t="s">
        <v>76</v>
      </c>
      <c r="J2406" s="21" t="str" cm="1">
        <f t="array" aca="1" ref="J2406" ca="1">_xlfn.LET(
  _xlpm.actual_value_month, INDEX(T2406:AE2406, MATCH(DATE(YEAR(TODAY()), MONTH(TODAY()), 1), $T$1:$AE$1, 0)),
  IF(_xlpm.actual_value_month &lt;&gt; "",_xlpm.actual_value_month &amp; " ações mensais", "")
)</f>
        <v/>
      </c>
      <c r="K2406" s="8" t="str" cm="1">
        <f t="array" ref="K2406">_xlfn.LET(
    _xlpm.sum_month, SUM(T2406:AE2406),
    IF(_xlpm.sum_month = 0, "", _xlpm.sum_month &amp; " equipes alcançadas no ano")
)</f>
        <v/>
      </c>
      <c r="L2406" s="4" t="s">
        <v>141</v>
      </c>
      <c r="M2406" s="19">
        <v>1</v>
      </c>
      <c r="N2406" s="5" t="s">
        <v>51</v>
      </c>
      <c r="O2406" s="5" t="s">
        <v>52</v>
      </c>
      <c r="P2406" s="10" t="s">
        <v>44</v>
      </c>
      <c r="Q2406" s="10" t="s">
        <v>44</v>
      </c>
      <c r="R2406" s="10" t="s">
        <v>44</v>
      </c>
      <c r="S2406" s="10" t="s">
        <v>44</v>
      </c>
      <c r="T2406" s="22"/>
      <c r="U2406" s="22"/>
      <c r="V2406" s="22"/>
      <c r="W2406" s="22"/>
      <c r="X2406" s="22"/>
      <c r="Y2406" s="22"/>
      <c r="Z2406" s="22"/>
      <c r="AA2406" s="22"/>
      <c r="AB2406" s="22"/>
      <c r="AC2406" s="22"/>
      <c r="AD2406" s="22"/>
      <c r="AE2406" s="22"/>
      <c r="AG2406" s="82">
        <v>38</v>
      </c>
      <c r="AH2406" s="82">
        <v>27</v>
      </c>
      <c r="AI2406" s="82">
        <v>27</v>
      </c>
      <c r="AJ2406" s="82">
        <v>28</v>
      </c>
      <c r="AK2406" s="71"/>
      <c r="AL2406" s="71"/>
      <c r="AM2406" s="71"/>
      <c r="AN2406" s="71"/>
      <c r="AO2406" s="71"/>
      <c r="AP2406" s="71"/>
      <c r="AQ2406" s="71"/>
      <c r="AR2406" s="71"/>
      <c r="AS2406" s="94">
        <f t="shared" ca="1" si="2896"/>
        <v>0</v>
      </c>
      <c r="AT2406" s="95">
        <f t="shared" si="2897"/>
        <v>120</v>
      </c>
      <c r="AU2406" s="97">
        <f t="shared" si="2898"/>
        <v>120</v>
      </c>
      <c r="AW2406" s="83">
        <f t="shared" si="2899"/>
        <v>38</v>
      </c>
      <c r="AX2406" s="83">
        <f t="shared" si="2900"/>
        <v>27</v>
      </c>
      <c r="AY2406" s="83">
        <f t="shared" si="2901"/>
        <v>27</v>
      </c>
      <c r="AZ2406" s="83">
        <f t="shared" si="2902"/>
        <v>28</v>
      </c>
      <c r="BA2406" s="52"/>
      <c r="BB2406" s="52"/>
      <c r="BC2406" s="52"/>
      <c r="BD2406" s="52"/>
      <c r="BE2406" s="52"/>
      <c r="BF2406" s="52"/>
      <c r="BG2406" s="52"/>
      <c r="BH2406" s="52"/>
      <c r="BI2406" s="68" cm="1">
        <f t="array" ref="BI2406">IFERROR(INDEX(AW2406:BH2406,1,MATCH(2,1/(AW2406:BH2406&lt;&gt;""))),"")</f>
        <v>28</v>
      </c>
      <c r="BJ2406" s="68" cm="1">
        <f t="array" ref="BJ2406">IF(BM2406 = "", "",IFERROR(INDEX(AW2406:BH2406,1,MATCH(2,1/(AW2406:BH2406&lt;&gt;""),1)-1),""))</f>
        <v>27</v>
      </c>
      <c r="BK2406" s="59">
        <f t="shared" si="2903"/>
        <v>120</v>
      </c>
      <c r="BL2406" s="59" cm="1">
        <f t="array" ref="BL2406">IFERROR(SUM(AW2406:INDEX(AW2406:BH2406, MATCH(2, 1/(AW2406:BH2406&lt;&gt;""), 1) - 1))/_xlfn.XLOOKUP(F2406,Apuração!A:A,Apuração!B:B),0)</f>
        <v>7.666666666666667</v>
      </c>
      <c r="BM2406" s="55" cm="1">
        <f t="array" ref="BM2406">IFERROR(
   INDEX($AW$1:$BH$1,
      _xlfn.AGGREGATE(14, 6, COLUMN($AW$1:$BH$1)/(AW2406:BH2406&lt;&gt;""), 2) - COLUMN($AW$1) + 1
   ),
"")</f>
        <v>46082</v>
      </c>
      <c r="BN2406" s="55" cm="1">
        <f t="array" ref="BN2406">IFERROR(INDEX($AW$1:$BH$1,1,MATCH(2,1/(AW2406:BH2406&lt;&gt;""))),"")</f>
        <v>46113</v>
      </c>
      <c r="BO2406" s="53">
        <f ca="1">IFERROR(_xlfn.XLOOKUP(F2406,Apuração!A:A,Apuração!C:C)/_xlfn.XLOOKUP(F2406,Apuração!A:A,Apuração!B:B),0)</f>
        <v>0.41666666666666669</v>
      </c>
      <c r="BP2406" s="53">
        <f ca="1">IFERROR(_xlfn.XLOOKUP(F2406,Apuração!A:A,Apuração!D:D)/_xlfn.XLOOKUP(F2406,Apuração!A:A,Apuração!B:B),0)</f>
        <v>0.33333333333333331</v>
      </c>
      <c r="BQ2406" s="53">
        <f ca="1">IF(BK2406&gt;=BO2406,0,_xlfn.XLOOKUP(F2406,Apuração!A:A,Apuração!B:B)*(BO2406 + (1/_xlfn.XLOOKUP(F2406,Apuração!A:A,Apuração!B:B)) - BK2406))</f>
        <v>0</v>
      </c>
      <c r="BR2406" s="85">
        <f t="shared" ca="1" si="2904"/>
        <v>0</v>
      </c>
      <c r="BS2406" s="53">
        <f ca="1">IFERROR((_xlfn.XLOOKUP(F2406,Apuração!A:A,Apuração!C:C)+1)/_xlfn.XLOOKUP(F2406,Apuração!A:A,Apuração!B:B),0)</f>
        <v>0.5</v>
      </c>
    </row>
    <row r="2407" spans="1:71" ht="25.95" hidden="1" customHeight="1" x14ac:dyDescent="0.3">
      <c r="A2407" s="40" t="s">
        <v>87</v>
      </c>
      <c r="B2407" s="4" t="s">
        <v>232</v>
      </c>
      <c r="C2407" s="5" t="s">
        <v>216</v>
      </c>
      <c r="D2407" s="5" t="s">
        <v>219</v>
      </c>
      <c r="E2407" s="4" t="str" cm="1">
        <f t="array" ref="E2407">_xlfn.IFS(
F2407 = "A partir de Abril", "Aguardando Execução na Distribuidora",
A2407 = "CAPACITAÇÃO", "Em execução no Corporativo",
TRUE, "Em Execução na Distribuidora"
)</f>
        <v>Em Execução na Distribuidora</v>
      </c>
      <c r="F2407" s="4" t="str" cm="1">
        <f t="array" ref="F2407">_xlfn.IFS(
AG2407 &lt;&gt; "", "Jan-Dez/26",
AH2407 &lt;&gt; "", "Fev-Dez/26",
AI2407 &lt;&gt; "", "Mar-Dez/26", AJ2407 &lt;&gt; "", "Abr-Dez/26",
TRUE, "A partir de Junho"
)</f>
        <v>Jan-Dez/26</v>
      </c>
      <c r="G2407" s="7" t="s">
        <v>37</v>
      </c>
      <c r="H2407" s="7" t="s">
        <v>110</v>
      </c>
      <c r="I2407" s="9" t="s">
        <v>76</v>
      </c>
      <c r="J2407" s="21" t="str" cm="1">
        <f t="array" aca="1" ref="J2407" ca="1">_xlfn.LET(
  _xlpm.actual_value_month, INDEX(T2407:AE2407, MATCH(DATE(YEAR(TODAY()), MONTH(TODAY()), 1), $T$1:$AE$1, 0)),
  IF(_xlpm.actual_value_month &lt;&gt; "",_xlpm.actual_value_month &amp; " ações mensais", "")
)</f>
        <v/>
      </c>
      <c r="K2407" s="8" t="str" cm="1">
        <f t="array" ref="K2407">_xlfn.LET(
    _xlpm.sum_month, SUM(T2407:AE2407),
    IF(_xlpm.sum_month = 0, "", _xlpm.sum_month &amp; " equipes alcançadas no ano")
)</f>
        <v/>
      </c>
      <c r="L2407" s="4" t="s">
        <v>141</v>
      </c>
      <c r="M2407" s="19">
        <v>1</v>
      </c>
      <c r="N2407" s="5" t="s">
        <v>51</v>
      </c>
      <c r="O2407" s="5" t="s">
        <v>52</v>
      </c>
      <c r="P2407" s="10" t="s">
        <v>44</v>
      </c>
      <c r="Q2407" s="10" t="s">
        <v>44</v>
      </c>
      <c r="R2407" s="10" t="s">
        <v>44</v>
      </c>
      <c r="S2407" s="10" t="s">
        <v>44</v>
      </c>
      <c r="T2407" s="22"/>
      <c r="U2407" s="22"/>
      <c r="V2407" s="22"/>
      <c r="W2407" s="22"/>
      <c r="X2407" s="22"/>
      <c r="Y2407" s="22"/>
      <c r="Z2407" s="22"/>
      <c r="AA2407" s="22"/>
      <c r="AB2407" s="22"/>
      <c r="AC2407" s="22"/>
      <c r="AD2407" s="22"/>
      <c r="AE2407" s="22"/>
      <c r="AG2407" s="82">
        <v>38</v>
      </c>
      <c r="AH2407" s="82">
        <v>29</v>
      </c>
      <c r="AI2407" s="82">
        <v>31</v>
      </c>
      <c r="AJ2407" s="82">
        <v>33</v>
      </c>
      <c r="AK2407" s="71"/>
      <c r="AL2407" s="71"/>
      <c r="AM2407" s="71"/>
      <c r="AN2407" s="71"/>
      <c r="AO2407" s="71"/>
      <c r="AP2407" s="71"/>
      <c r="AQ2407" s="71"/>
      <c r="AR2407" s="71"/>
      <c r="AS2407" s="94">
        <f t="shared" ca="1" si="2896"/>
        <v>0</v>
      </c>
      <c r="AT2407" s="95">
        <f t="shared" si="2897"/>
        <v>131</v>
      </c>
      <c r="AU2407" s="97">
        <f t="shared" si="2898"/>
        <v>131</v>
      </c>
      <c r="AW2407" s="83">
        <f t="shared" si="2899"/>
        <v>38</v>
      </c>
      <c r="AX2407" s="83">
        <f t="shared" si="2900"/>
        <v>29</v>
      </c>
      <c r="AY2407" s="83">
        <f t="shared" si="2901"/>
        <v>31</v>
      </c>
      <c r="AZ2407" s="83">
        <f t="shared" si="2902"/>
        <v>33</v>
      </c>
      <c r="BA2407" s="52"/>
      <c r="BB2407" s="52"/>
      <c r="BC2407" s="52"/>
      <c r="BD2407" s="52"/>
      <c r="BE2407" s="52"/>
      <c r="BF2407" s="52"/>
      <c r="BG2407" s="52"/>
      <c r="BH2407" s="52"/>
      <c r="BI2407" s="68" cm="1">
        <f t="array" ref="BI2407">IFERROR(INDEX(AW2407:BH2407,1,MATCH(2,1/(AW2407:BH2407&lt;&gt;""))),"")</f>
        <v>33</v>
      </c>
      <c r="BJ2407" s="68" cm="1">
        <f t="array" ref="BJ2407">IF(BM2407 = "", "",IFERROR(INDEX(AW2407:BH2407,1,MATCH(2,1/(AW2407:BH2407&lt;&gt;""),1)-1),""))</f>
        <v>31</v>
      </c>
      <c r="BK2407" s="59">
        <f t="shared" si="2903"/>
        <v>131</v>
      </c>
      <c r="BL2407" s="59" cm="1">
        <f t="array" ref="BL2407">IFERROR(SUM(AW2407:INDEX(AW2407:BH2407, MATCH(2, 1/(AW2407:BH2407&lt;&gt;""), 1) - 1))/_xlfn.XLOOKUP(F2407,Apuração!A:A,Apuração!B:B),0)</f>
        <v>8.1666666666666661</v>
      </c>
      <c r="BM2407" s="55" cm="1">
        <f t="array" ref="BM2407">IFERROR(
   INDEX($AW$1:$BH$1,
      _xlfn.AGGREGATE(14, 6, COLUMN($AW$1:$BH$1)/(AW2407:BH2407&lt;&gt;""), 2) - COLUMN($AW$1) + 1
   ),
"")</f>
        <v>46082</v>
      </c>
      <c r="BN2407" s="55" cm="1">
        <f t="array" ref="BN2407">IFERROR(INDEX($AW$1:$BH$1,1,MATCH(2,1/(AW2407:BH2407&lt;&gt;""))),"")</f>
        <v>46113</v>
      </c>
      <c r="BO2407" s="53">
        <f ca="1">IFERROR(_xlfn.XLOOKUP(F2407,Apuração!A:A,Apuração!C:C)/_xlfn.XLOOKUP(F2407,Apuração!A:A,Apuração!B:B),0)</f>
        <v>0.41666666666666669</v>
      </c>
      <c r="BP2407" s="53">
        <f ca="1">IFERROR(_xlfn.XLOOKUP(F2407,Apuração!A:A,Apuração!D:D)/_xlfn.XLOOKUP(F2407,Apuração!A:A,Apuração!B:B),0)</f>
        <v>0.33333333333333331</v>
      </c>
      <c r="BQ2407" s="53">
        <f ca="1">IF(BK2407&gt;=BO2407,0,_xlfn.XLOOKUP(F2407,Apuração!A:A,Apuração!B:B)*(BO2407 + (1/_xlfn.XLOOKUP(F2407,Apuração!A:A,Apuração!B:B)) - BK2407))</f>
        <v>0</v>
      </c>
      <c r="BR2407" s="85">
        <f t="shared" ca="1" si="2904"/>
        <v>0</v>
      </c>
      <c r="BS2407" s="53">
        <f ca="1">IFERROR((_xlfn.XLOOKUP(F2407,Apuração!A:A,Apuração!C:C)+1)/_xlfn.XLOOKUP(F2407,Apuração!A:A,Apuração!B:B),0)</f>
        <v>0.5</v>
      </c>
    </row>
    <row r="2408" spans="1:71" ht="25.95" hidden="1" customHeight="1" x14ac:dyDescent="0.3">
      <c r="A2408" s="40" t="s">
        <v>87</v>
      </c>
      <c r="B2408" s="4" t="s">
        <v>229</v>
      </c>
      <c r="C2408" s="5" t="s">
        <v>221</v>
      </c>
      <c r="D2408" s="5" t="s">
        <v>212</v>
      </c>
      <c r="E2408" s="4" t="str" cm="1">
        <f t="array" ref="E2408">_xlfn.IFS(
F2408 = "A partir de Abril", "Aguardando Execução na Distribuidora",
A2408 = "CAPACITAÇÃO", "Em execução no Corporativo",
TRUE, "Em Execução na Distribuidora"
)</f>
        <v>Em Execução na Distribuidora</v>
      </c>
      <c r="F2408" s="4" t="str" cm="1">
        <f t="array" ref="F2408">_xlfn.IFS(
AG2408 &lt;&gt; "", "Jan-Dez/26",
AH2408 &lt;&gt; "", "Fev-Dez/26",
AI2408 &lt;&gt; "", "Mar-Dez/26", AJ2408 &lt;&gt; "", "Abr-Dez/26",
TRUE, "A partir de Junho"
)</f>
        <v>Jan-Dez/26</v>
      </c>
      <c r="G2408" s="7" t="s">
        <v>37</v>
      </c>
      <c r="H2408" s="7" t="s">
        <v>110</v>
      </c>
      <c r="I2408" s="8" t="s">
        <v>148</v>
      </c>
      <c r="J2408" s="21" t="str" cm="1">
        <f t="array" aca="1" ref="J2408" ca="1">_xlfn.LET(
  _xlpm.actual_value_month, INDEX(T2408:AE2408, MATCH(DATE(YEAR(TODAY()), MONTH(TODAY()), 1), $T$1:$AE$1, 0)),
  IF(_xlpm.actual_value_month &lt;&gt; "",_xlpm.actual_value_month &amp; " ações mensais", "")
)</f>
        <v/>
      </c>
      <c r="K2408" s="8" t="str" cm="1">
        <f t="array" ref="K2408">_xlfn.LET(
    _xlpm.sum_month, SUM(T2408:AE2408),
    IF(_xlpm.sum_month = 0, "", _xlpm.sum_month &amp; " NC's no ano")
)</f>
        <v/>
      </c>
      <c r="L2408" s="9" t="s">
        <v>149</v>
      </c>
      <c r="M2408" s="4"/>
      <c r="N2408" s="5" t="s">
        <v>51</v>
      </c>
      <c r="O2408" s="5" t="s">
        <v>52</v>
      </c>
      <c r="P2408" s="10" t="s">
        <v>44</v>
      </c>
      <c r="Q2408" s="10" t="s">
        <v>44</v>
      </c>
      <c r="R2408" s="11" t="s">
        <v>44</v>
      </c>
      <c r="S2408" s="11" t="s">
        <v>44</v>
      </c>
      <c r="T2408" s="22"/>
      <c r="U2408" s="22"/>
      <c r="V2408" s="22"/>
      <c r="W2408" s="22"/>
      <c r="X2408" s="22"/>
      <c r="Y2408" s="22"/>
      <c r="Z2408" s="22"/>
      <c r="AA2408" s="22"/>
      <c r="AB2408" s="22"/>
      <c r="AC2408" s="22"/>
      <c r="AD2408" s="22"/>
      <c r="AE2408" s="22"/>
      <c r="AG2408" s="82">
        <v>0</v>
      </c>
      <c r="AH2408" s="82">
        <v>0</v>
      </c>
      <c r="AI2408" s="82">
        <v>0</v>
      </c>
      <c r="AJ2408" s="82">
        <v>22</v>
      </c>
      <c r="AK2408" s="71">
        <v>0</v>
      </c>
      <c r="AL2408" s="71"/>
      <c r="AM2408" s="71"/>
      <c r="AN2408" s="71"/>
      <c r="AO2408" s="71"/>
      <c r="AP2408" s="71"/>
      <c r="AQ2408" s="71"/>
      <c r="AR2408" s="71"/>
      <c r="AS2408" s="94">
        <f t="shared" ca="1" si="2896"/>
        <v>0</v>
      </c>
      <c r="AT2408" s="95">
        <f t="shared" si="2897"/>
        <v>22</v>
      </c>
      <c r="AU2408" s="97">
        <f t="shared" si="2898"/>
        <v>22</v>
      </c>
      <c r="AW2408" s="83">
        <f t="shared" si="2899"/>
        <v>0</v>
      </c>
      <c r="AX2408" s="83">
        <f t="shared" si="2900"/>
        <v>0</v>
      </c>
      <c r="AY2408" s="83">
        <f t="shared" si="2901"/>
        <v>0</v>
      </c>
      <c r="AZ2408" s="83">
        <f t="shared" si="2902"/>
        <v>22</v>
      </c>
      <c r="BA2408" s="83">
        <f t="shared" si="2902"/>
        <v>0</v>
      </c>
      <c r="BB2408" s="52"/>
      <c r="BC2408" s="52"/>
      <c r="BD2408" s="52"/>
      <c r="BE2408" s="52"/>
      <c r="BF2408" s="52"/>
      <c r="BG2408" s="52"/>
      <c r="BH2408" s="52"/>
      <c r="BI2408" s="68" cm="1">
        <f t="array" ref="BI2408">IFERROR(INDEX(AW2408:BH2408,1,MATCH(2,1/(AW2408:BH2408&lt;&gt;""))),"")</f>
        <v>0</v>
      </c>
      <c r="BJ2408" s="68" cm="1">
        <f t="array" ref="BJ2408">IF(BM2408 = "", "",IFERROR(INDEX(AW2408:BH2408,1,MATCH(2,1/(AW2408:BH2408&lt;&gt;""),1)-1),""))</f>
        <v>22</v>
      </c>
      <c r="BK2408" s="59">
        <f t="shared" si="2903"/>
        <v>22</v>
      </c>
      <c r="BL2408" s="59" cm="1">
        <f t="array" ref="BL2408">IFERROR(SUM(AW2408:INDEX(AW2408:BH2408, MATCH(2, 1/(AW2408:BH2408&lt;&gt;""), 1) - 1))/_xlfn.XLOOKUP(F2408,Apuração!A:A,Apuração!B:B),0)</f>
        <v>1.8333333333333333</v>
      </c>
      <c r="BM2408" s="55" cm="1">
        <f t="array" ref="BM2408">IFERROR(
   INDEX($AW$1:$BH$1,
      _xlfn.AGGREGATE(14, 6, COLUMN($AW$1:$BH$1)/(AW2408:BH2408&lt;&gt;""), 2) - COLUMN($AW$1) + 1
   ),
"")</f>
        <v>46113</v>
      </c>
      <c r="BN2408" s="55" cm="1">
        <f t="array" ref="BN2408">IFERROR(INDEX($AW$1:$BH$1,1,MATCH(2,1/(AW2408:BH2408&lt;&gt;""))),"")</f>
        <v>46143</v>
      </c>
      <c r="BO2408" s="53">
        <f ca="1">IFERROR(_xlfn.XLOOKUP(F2408,Apuração!A:A,Apuração!C:C)/_xlfn.XLOOKUP(F2408,Apuração!A:A,Apuração!B:B),0)</f>
        <v>0.41666666666666669</v>
      </c>
      <c r="BP2408" s="53">
        <f ca="1">IFERROR(_xlfn.XLOOKUP(F2408,Apuração!A:A,Apuração!D:D)/_xlfn.XLOOKUP(F2408,Apuração!A:A,Apuração!B:B),0)</f>
        <v>0.33333333333333331</v>
      </c>
      <c r="BQ2408" s="53">
        <f ca="1">IF(BK2408&gt;=BO2408,0,_xlfn.XLOOKUP(F2408,Apuração!A:A,Apuração!B:B)*(BO2408 + (1/_xlfn.XLOOKUP(F2408,Apuração!A:A,Apuração!B:B)) - BK2408))</f>
        <v>0</v>
      </c>
      <c r="BR2408" s="85">
        <f t="shared" ca="1" si="2904"/>
        <v>0</v>
      </c>
      <c r="BS2408" s="53">
        <f ca="1">IFERROR((_xlfn.XLOOKUP(F2408,Apuração!A:A,Apuração!C:C)+1)/_xlfn.XLOOKUP(F2408,Apuração!A:A,Apuração!B:B),0)</f>
        <v>0.5</v>
      </c>
    </row>
    <row r="2409" spans="1:71" ht="25.95" hidden="1" customHeight="1" x14ac:dyDescent="0.3">
      <c r="A2409" s="40" t="s">
        <v>87</v>
      </c>
      <c r="B2409" s="4" t="s">
        <v>229</v>
      </c>
      <c r="C2409" s="5" t="s">
        <v>221</v>
      </c>
      <c r="D2409" s="5" t="s">
        <v>213</v>
      </c>
      <c r="E2409" s="4" t="str" cm="1">
        <f t="array" ref="E2409">_xlfn.IFS(
F2409 = "A partir de Abril", "Aguardando Execução na Distribuidora",
A2409 = "CAPACITAÇÃO", "Em execução no Corporativo",
TRUE, "Em Execução na Distribuidora"
)</f>
        <v>Em Execução na Distribuidora</v>
      </c>
      <c r="F2409" s="4" t="str" cm="1">
        <f t="array" ref="F2409">_xlfn.IFS(
AG2409 &lt;&gt; "", "Jan-Dez/26",
AH2409 &lt;&gt; "", "Fev-Dez/26",
AI2409 &lt;&gt; "", "Mar-Dez/26", AJ2409 &lt;&gt; "", "Abr-Dez/26",
TRUE, "A partir de Junho"
)</f>
        <v>Jan-Dez/26</v>
      </c>
      <c r="G2409" s="7" t="s">
        <v>37</v>
      </c>
      <c r="H2409" s="7" t="s">
        <v>110</v>
      </c>
      <c r="I2409" s="8" t="s">
        <v>148</v>
      </c>
      <c r="J2409" s="21" t="str" cm="1">
        <f t="array" aca="1" ref="J2409" ca="1">_xlfn.LET(
  _xlpm.actual_value_month, INDEX(T2409:AE2409, MATCH(DATE(YEAR(TODAY()), MONTH(TODAY()), 1), $T$1:$AE$1, 0)),
  IF(_xlpm.actual_value_month &lt;&gt; "",_xlpm.actual_value_month &amp; " ações mensais", "")
)</f>
        <v/>
      </c>
      <c r="K2409" s="8" t="str" cm="1">
        <f t="array" ref="K2409">_xlfn.LET(
    _xlpm.sum_month, SUM(T2409:AE2409),
    IF(_xlpm.sum_month = 0, "", _xlpm.sum_month &amp; " NC's no ano")
)</f>
        <v/>
      </c>
      <c r="L2409" s="9" t="s">
        <v>149</v>
      </c>
      <c r="M2409" s="4"/>
      <c r="N2409" s="5" t="s">
        <v>51</v>
      </c>
      <c r="O2409" s="5" t="s">
        <v>52</v>
      </c>
      <c r="P2409" s="10" t="s">
        <v>44</v>
      </c>
      <c r="Q2409" s="10" t="s">
        <v>44</v>
      </c>
      <c r="R2409" s="11" t="s">
        <v>44</v>
      </c>
      <c r="S2409" s="11" t="s">
        <v>44</v>
      </c>
      <c r="T2409" s="22"/>
      <c r="U2409" s="22"/>
      <c r="V2409" s="22"/>
      <c r="W2409" s="22"/>
      <c r="X2409" s="22"/>
      <c r="Y2409" s="22"/>
      <c r="Z2409" s="22"/>
      <c r="AA2409" s="22"/>
      <c r="AB2409" s="22"/>
      <c r="AC2409" s="22"/>
      <c r="AD2409" s="22"/>
      <c r="AE2409" s="22"/>
      <c r="AG2409" s="82">
        <v>0</v>
      </c>
      <c r="AH2409" s="82">
        <v>0</v>
      </c>
      <c r="AI2409" s="82">
        <v>0</v>
      </c>
      <c r="AJ2409" s="82">
        <v>26</v>
      </c>
      <c r="AK2409" s="71">
        <v>0</v>
      </c>
      <c r="AL2409" s="71"/>
      <c r="AM2409" s="71"/>
      <c r="AN2409" s="71"/>
      <c r="AO2409" s="71"/>
      <c r="AP2409" s="71"/>
      <c r="AQ2409" s="71"/>
      <c r="AR2409" s="71"/>
      <c r="AS2409" s="94">
        <f t="shared" ca="1" si="2896"/>
        <v>0</v>
      </c>
      <c r="AT2409" s="95">
        <f t="shared" si="2897"/>
        <v>26</v>
      </c>
      <c r="AU2409" s="97">
        <f t="shared" si="2898"/>
        <v>26</v>
      </c>
      <c r="AW2409" s="83">
        <f t="shared" si="2899"/>
        <v>0</v>
      </c>
      <c r="AX2409" s="83">
        <f t="shared" si="2900"/>
        <v>0</v>
      </c>
      <c r="AY2409" s="83">
        <f t="shared" si="2901"/>
        <v>0</v>
      </c>
      <c r="AZ2409" s="83">
        <f t="shared" si="2902"/>
        <v>26</v>
      </c>
      <c r="BA2409" s="83">
        <f t="shared" si="2902"/>
        <v>0</v>
      </c>
      <c r="BB2409" s="52"/>
      <c r="BC2409" s="52"/>
      <c r="BD2409" s="52"/>
      <c r="BE2409" s="52"/>
      <c r="BF2409" s="52"/>
      <c r="BG2409" s="52"/>
      <c r="BH2409" s="52"/>
      <c r="BI2409" s="68" cm="1">
        <f t="array" ref="BI2409">IFERROR(INDEX(AW2409:BH2409,1,MATCH(2,1/(AW2409:BH2409&lt;&gt;""))),"")</f>
        <v>0</v>
      </c>
      <c r="BJ2409" s="68" cm="1">
        <f t="array" ref="BJ2409">IF(BM2409 = "", "",IFERROR(INDEX(AW2409:BH2409,1,MATCH(2,1/(AW2409:BH2409&lt;&gt;""),1)-1),""))</f>
        <v>26</v>
      </c>
      <c r="BK2409" s="59">
        <f t="shared" si="2903"/>
        <v>26</v>
      </c>
      <c r="BL2409" s="59" cm="1">
        <f t="array" ref="BL2409">IFERROR(SUM(AW2409:INDEX(AW2409:BH2409, MATCH(2, 1/(AW2409:BH2409&lt;&gt;""), 1) - 1))/_xlfn.XLOOKUP(F2409,Apuração!A:A,Apuração!B:B),0)</f>
        <v>2.1666666666666665</v>
      </c>
      <c r="BM2409" s="55" cm="1">
        <f t="array" ref="BM2409">IFERROR(
   INDEX($AW$1:$BH$1,
      _xlfn.AGGREGATE(14, 6, COLUMN($AW$1:$BH$1)/(AW2409:BH2409&lt;&gt;""), 2) - COLUMN($AW$1) + 1
   ),
"")</f>
        <v>46113</v>
      </c>
      <c r="BN2409" s="55" cm="1">
        <f t="array" ref="BN2409">IFERROR(INDEX($AW$1:$BH$1,1,MATCH(2,1/(AW2409:BH2409&lt;&gt;""))),"")</f>
        <v>46143</v>
      </c>
      <c r="BO2409" s="53">
        <f ca="1">IFERROR(_xlfn.XLOOKUP(F2409,Apuração!A:A,Apuração!C:C)/_xlfn.XLOOKUP(F2409,Apuração!A:A,Apuração!B:B),0)</f>
        <v>0.41666666666666669</v>
      </c>
      <c r="BP2409" s="53">
        <f ca="1">IFERROR(_xlfn.XLOOKUP(F2409,Apuração!A:A,Apuração!D:D)/_xlfn.XLOOKUP(F2409,Apuração!A:A,Apuração!B:B),0)</f>
        <v>0.33333333333333331</v>
      </c>
      <c r="BQ2409" s="53">
        <f ca="1">IF(BK2409&gt;=BO2409,0,_xlfn.XLOOKUP(F2409,Apuração!A:A,Apuração!B:B)*(BO2409 + (1/_xlfn.XLOOKUP(F2409,Apuração!A:A,Apuração!B:B)) - BK2409))</f>
        <v>0</v>
      </c>
      <c r="BR2409" s="85">
        <f t="shared" ca="1" si="2904"/>
        <v>0</v>
      </c>
      <c r="BS2409" s="53">
        <f ca="1">IFERROR((_xlfn.XLOOKUP(F2409,Apuração!A:A,Apuração!C:C)+1)/_xlfn.XLOOKUP(F2409,Apuração!A:A,Apuração!B:B),0)</f>
        <v>0.5</v>
      </c>
    </row>
    <row r="2410" spans="1:71" ht="25.95" hidden="1" customHeight="1" x14ac:dyDescent="0.3">
      <c r="A2410" s="20" t="s">
        <v>87</v>
      </c>
      <c r="B2410" s="4" t="s">
        <v>232</v>
      </c>
      <c r="C2410" s="5" t="s">
        <v>221</v>
      </c>
      <c r="D2410" s="5" t="s">
        <v>36</v>
      </c>
      <c r="E2410" s="4" t="str" cm="1">
        <f t="array" ref="E2410">_xlfn.IFS(
F2410 = "A partir de Abril", "Aguardando Execução na Distribuidora",
A2410 = "CAPACITAÇÃO", "Em execução no Corporativo",
TRUE, "Em Execução na Distribuidora"
)</f>
        <v>Em Execução na Distribuidora</v>
      </c>
      <c r="F2410" s="4" t="str" cm="1">
        <f t="array" ref="F2410">_xlfn.IFS(
AG2410 &lt;&gt; "", "Jan-Dez/26",
AH2410 &lt;&gt; "", "Fev-Dez/26",
AI2410 &lt;&gt; "", "Mar-Dez/26", AJ2410 &lt;&gt; "", "Abr-Dez/26",
TRUE, "A partir de Junho"
)</f>
        <v>Jan-Dez/26</v>
      </c>
      <c r="G2410" s="7" t="s">
        <v>37</v>
      </c>
      <c r="H2410" s="7" t="s">
        <v>110</v>
      </c>
      <c r="I2410" s="21" t="s">
        <v>233</v>
      </c>
      <c r="J2410" s="21" t="str" cm="1">
        <f t="array" aca="1" ref="J2410" ca="1">_xlfn.LET(
  _xlpm.actual_value_month, INDEX(T2410:AE2410, MATCH(DATE(YEAR(TODAY()), MONTH(TODAY()), 1), $T$1:$AE$1, 0)),
  IF(_xlpm.actual_value_month &lt;&gt; "",_xlpm.actual_value_month &amp; " equipes mensais", "")
)</f>
        <v>144 equipes mensais</v>
      </c>
      <c r="K2410" s="8" t="str" cm="1">
        <f t="array" ref="K2410">_xlfn.LET(
    _xlpm.sum_month, SUM(T2410:AE2410),
    IF(_xlpm.sum_month = 0, "", _xlpm.sum_month &amp; " equipes alcançadas no ano")
)</f>
        <v>1323 equipes alcançadas no ano</v>
      </c>
      <c r="L2410" s="4" t="s">
        <v>234</v>
      </c>
      <c r="M2410" s="19" t="s">
        <v>235</v>
      </c>
      <c r="N2410" s="5" t="s">
        <v>42</v>
      </c>
      <c r="O2410" s="5" t="s">
        <v>43</v>
      </c>
      <c r="P2410" s="10" t="s">
        <v>44</v>
      </c>
      <c r="Q2410" s="10" t="s">
        <v>44</v>
      </c>
      <c r="R2410" s="11" t="s">
        <v>147</v>
      </c>
      <c r="S2410" s="11" t="s">
        <v>162</v>
      </c>
      <c r="T2410" s="22">
        <v>8</v>
      </c>
      <c r="U2410" s="22">
        <v>11</v>
      </c>
      <c r="V2410" s="22">
        <v>8</v>
      </c>
      <c r="W2410" s="22">
        <v>144</v>
      </c>
      <c r="X2410" s="22">
        <v>144</v>
      </c>
      <c r="Y2410" s="22">
        <v>144</v>
      </c>
      <c r="Z2410" s="22">
        <v>144</v>
      </c>
      <c r="AA2410" s="22">
        <v>144</v>
      </c>
      <c r="AB2410" s="22">
        <v>144</v>
      </c>
      <c r="AC2410" s="22">
        <v>144</v>
      </c>
      <c r="AD2410" s="22">
        <v>144</v>
      </c>
      <c r="AE2410" s="22">
        <v>144</v>
      </c>
      <c r="AG2410" s="71">
        <v>8</v>
      </c>
      <c r="AH2410" s="71">
        <v>11</v>
      </c>
      <c r="AI2410" s="71">
        <v>8</v>
      </c>
      <c r="AJ2410" s="71">
        <v>144</v>
      </c>
      <c r="AK2410" s="71">
        <v>3</v>
      </c>
      <c r="AL2410" s="71"/>
      <c r="AM2410" s="71"/>
      <c r="AN2410" s="71"/>
      <c r="AO2410" s="71"/>
      <c r="AP2410" s="71"/>
      <c r="AQ2410" s="71"/>
      <c r="AR2410" s="71"/>
      <c r="AS2410" s="94">
        <f ca="1">IF(MONTH(TODAY())=3,SUM(T2410:U2410),IF(MONTH(TODAY())=4,SUM(T2410:V2410),IF(MONTH(TODAY())=5,SUM(T2410:W2410),IF(MONTH(TODAY())=6,SUM(T2410:X2410),IF(MONTH(TODAY())=7,SUM(T2410:Y2410),IF(MONTH(TODAY())=8,SUM(T2410:Z2410),IF(MONTH(TODAY())=9,SUM(T2410:AA2410),IF(MONTH(TODAY())=10,SUM(T2410:AB2410),IF(MONTH(TODAY())=11,SUM(T2410:AC2410),IF(MONTH(TODAY())=12,SUM(T2410:AD2410),IF(MONTH(TODAY())=1,SUM(T2410:AE2410),T2410)))))))))))</f>
        <v>315</v>
      </c>
      <c r="AT2410" s="95">
        <f>SUM(IF(AW2410&lt;1.15,AG2410,1.15*T2410),IF(AX2410&lt;1.15,AH2410,1.15*U2410),IF(AY2410&lt;1.15,AI2410,1.15*V2410),IF(AZ2410&lt;1.15,AJ2410,1.15*W2410),IF(BA2410&lt;1.15,AK2410,1.15*X2410),IF(BB2410&lt;1.15,AL2410,1.15*Y2410),IF(BC2410&lt;1.15,AM2410,1.15*Z2410),IF(BD2410&lt;1.15,AN2410,1.15*AA2410),IF(BE2410&lt;1.15,AO2410,1.15*AB2410),IF(BF2410&lt;1.15,AP2410,1.15*AC2410),IF(BG2410&lt;1.15,AQ2410,1.15*AD2410),IF(BH2410&lt;1.15,AR2410,1.15*AE2410))</f>
        <v>174</v>
      </c>
      <c r="AU2410" s="97">
        <f>SUM(AG2410:AR2410)</f>
        <v>174</v>
      </c>
      <c r="AW2410" s="51">
        <f>IFERROR(IF(AG2410="",0,AG2410/T2410),0)</f>
        <v>1</v>
      </c>
      <c r="AX2410" s="51">
        <f>IFERROR(IF(AH2410="",0,AH2410/U2410),0)</f>
        <v>1</v>
      </c>
      <c r="AY2410" s="51">
        <f>IFERROR(IF(AI2410="",0,AI2410/V2410),0)</f>
        <v>1</v>
      </c>
      <c r="AZ2410" s="51">
        <f>IFERROR(IF(AJ2410="",0,AJ2410/W2410),0)</f>
        <v>1</v>
      </c>
      <c r="BA2410" s="51">
        <f t="shared" ref="BA2410:BA2412" si="2905">IFERROR(IF(AK2410="",0,AK2410/X2410),0)</f>
        <v>2.0833333333333332E-2</v>
      </c>
      <c r="BB2410" s="51"/>
      <c r="BC2410" s="51"/>
      <c r="BD2410" s="51"/>
      <c r="BE2410" s="51"/>
      <c r="BF2410" s="51"/>
      <c r="BG2410" s="51"/>
      <c r="BH2410" s="51"/>
      <c r="BI2410" s="65" cm="1">
        <f t="array" ref="BI2410">IFERROR(INDEX(AW2410:BH2410,1,MATCH(2,1/(AW2410:BH2410&lt;&gt;""))),"")</f>
        <v>2.0833333333333332E-2</v>
      </c>
      <c r="BJ2410" s="68" cm="1">
        <f t="array" ref="BJ2410">IF(BM2410 = "", "",IFERROR(INDEX(AW2410:BH2410,1,MATCH(2,1/(AW2410:BH2410&lt;&gt;""),1)-1),""))</f>
        <v>1</v>
      </c>
      <c r="BK2410" s="58">
        <f>IF((IF(AW2410&gt;=115%,115%,AW2410) + IF(AX2410&gt;=115%,115%,AX2410) + IF(AY2410&gt;=115%,115%,AY2410) + (IF(AZ2410&gt;=115%,115%,AZ2410) + IF(BA2410&gt;=115%,115%,BA2410) + IF(BB2410&gt;=115%,115%,BB2410) + IF(BC2410&gt;=115%,115%,BC2410) + IF(BD2410&gt;=115%,115%,BD2410) + IF(BE2410&gt;=115%,115%,BE2410) + IF(BF2410&gt;=115%,115%,BF2410) + IF(BG2410&gt;=120%,120%,BG2410) + IF(BH2410&gt;=115%,115%,BH2410)))/_xlfn.XLOOKUP(F2410,Apuração!A:A,Apuração!B:B)&gt;=1.15,1.15,((IF(AZ2410&gt;=115%,115%,AZ2410) + IF(AX2410&gt;=115%,115%,AX2410) + IF(AY2410&gt;=115%,115%,AY2410) + (IF(AW2410&gt;=115%,115%,AW2410) + IF(BA2410&gt;=115%,115%,BA2410) + IF(BB2410&gt;=115%,115%,BB2410) + IF(BC2410&gt;=115%,115%,BC2410) + IF(BD2410&gt;=115%,115%,BD2410) + IF(BE2410&gt;=115%,115%,BE2410) + IF(BF2410&gt;=115%,115%,BF2410) + IF(BG2410&gt;=120%,120%,BG2410) + IF(BH2410&gt;=115%,115%,BH2410)))/_xlfn.XLOOKUP(F2410,Apuração!A:A,Apuração!B:B)))</f>
        <v>0.33506944444444442</v>
      </c>
      <c r="BL2410" s="58" cm="1">
        <f t="array" aca="1" ref="BL2410" ca="1">IF(SUM(IFERROR(IF(INDEX(AW2410:INDEX(AW2410:BH2410, MATCH(2, 1/(AW2410:BH2410&lt;&gt;""), 1)-1), ROW(INDIRECT("1:" &amp; MATCH(2, 1/(AW2410:BH2410&lt;&gt;""), 1)-1))) &gt;= 115%, 115%, INDEX(AW2410:INDEX(AW2410:BH2410, MATCH(2, 1/(AW2410:BH2410&lt;&gt;""), 1)-1), ROW(INDIRECT("1:" &amp; MATCH(2, 1/(AW2410:BH2410&lt;&gt;""), 1)-1)))), 0))/_xlfn.XLOOKUP(F2410,Apuração!A:A,Apuração!B:B)&gt;=1.15,1.15,SUM(IFERROR(IF(INDEX(AW2410:INDEX(AW2410:BH2410, MATCH(2, 1/(AW2410:BH2410&lt;&gt;""), 1)-1), ROW(INDIRECT("1:" &amp; MATCH(2, 1/(AW2410:BH2410&lt;&gt;""), 1)-1))) &gt;= 115%, 115%, INDEX(AW2410:INDEX(AW2410:BH2410, MATCH(2, 1/(AW2410:BH2410&lt;&gt;""), 1)-1), ROW(INDIRECT("1:" &amp; MATCH(2, 1/(AW2410:BH2410&lt;&gt;""), 1)-1)))), 0))/_xlfn.XLOOKUP(F2410,Apuração!A:A,Apuração!B:B))</f>
        <v>0.33333333333333331</v>
      </c>
      <c r="BM2410" s="55" cm="1">
        <f t="array" ref="BM2410">IFERROR(
   INDEX($AW$1:$BH$1,
      _xlfn.AGGREGATE(14, 6, COLUMN($AW$1:$BH$1)/(AW2410:BH2410&lt;&gt;""), 2) - COLUMN($AW$1) + 1
   ),
"")</f>
        <v>46113</v>
      </c>
      <c r="BN2410" s="55" cm="1">
        <f t="array" ref="BN2410">IFERROR(INDEX($AW$1:$BH$1,1,MATCH(2,1/(AW2410:BH2410&lt;&gt;""))),"")</f>
        <v>46143</v>
      </c>
      <c r="BO2410" s="53">
        <f ca="1">IFERROR(_xlfn.XLOOKUP(F2410,Apuração!A:A,Apuração!C:C)/_xlfn.XLOOKUP(F2410,Apuração!A:A,Apuração!B:B),0)</f>
        <v>0.41666666666666669</v>
      </c>
      <c r="BP2410" s="53">
        <f ca="1">IFERROR(_xlfn.XLOOKUP(F2410,Apuração!A:A,Apuração!D:D)/_xlfn.XLOOKUP(F2410,Apuração!A:A,Apuração!B:B),0)</f>
        <v>0.33333333333333331</v>
      </c>
      <c r="BQ2410" s="53">
        <f ca="1">IF(BK2410&gt;=BO2410,0,_xlfn.XLOOKUP(F2410,Apuração!A:A,Apuração!B:B)*(BO2410 + (1/_xlfn.XLOOKUP(F2410,Apuração!A:A,Apuração!B:B)) - BK2410))</f>
        <v>1.979166666666667</v>
      </c>
      <c r="BR2410" s="85">
        <f t="shared" ref="BR2410:BR2428" ca="1" si="2906">IF(BQ2410=0,0,BQ2410*Z2410)</f>
        <v>285.00000000000006</v>
      </c>
      <c r="BS2410" s="53">
        <f ca="1">IFERROR((_xlfn.XLOOKUP(F2410,Apuração!A:A,Apuração!C:C)+1)/_xlfn.XLOOKUP(F2410,Apuração!A:A,Apuração!B:B),0)</f>
        <v>0.5</v>
      </c>
    </row>
    <row r="2411" spans="1:71" ht="25.95" hidden="1" customHeight="1" x14ac:dyDescent="0.3">
      <c r="A2411" s="20" t="s">
        <v>87</v>
      </c>
      <c r="B2411" s="4" t="s">
        <v>232</v>
      </c>
      <c r="C2411" s="5" t="s">
        <v>221</v>
      </c>
      <c r="D2411" s="5" t="s">
        <v>212</v>
      </c>
      <c r="E2411" s="4" t="str" cm="1">
        <f t="array" ref="E2411">_xlfn.IFS(
F2411 = "A partir de Abril", "Aguardando Execução na Distribuidora",
A2411 = "CAPACITAÇÃO", "Em execução no Corporativo",
TRUE, "Em Execução na Distribuidora"
)</f>
        <v>Em Execução na Distribuidora</v>
      </c>
      <c r="F2411" s="4" t="str" cm="1">
        <f t="array" ref="F2411">_xlfn.IFS(
AG2411 &lt;&gt; "", "Jan-Dez/26",
AH2411 &lt;&gt; "", "Fev-Dez/26",
AI2411 &lt;&gt; "", "Mar-Dez/26", AJ2411 &lt;&gt; "", "Abr-Dez/26",
TRUE, "A partir de Junho"
)</f>
        <v>Jan-Dez/26</v>
      </c>
      <c r="G2411" s="7" t="s">
        <v>37</v>
      </c>
      <c r="H2411" s="7" t="s">
        <v>110</v>
      </c>
      <c r="I2411" s="21" t="s">
        <v>233</v>
      </c>
      <c r="J2411" s="21" t="str" cm="1">
        <f t="array" aca="1" ref="J2411" ca="1">_xlfn.LET(
  _xlpm.actual_value_month, INDEX(T2411:AE2411, MATCH(DATE(YEAR(TODAY()), MONTH(TODAY()), 1), $T$1:$AE$1, 0)),
  IF(_xlpm.actual_value_month &lt;&gt; "",_xlpm.actual_value_month &amp; " equipes mensais", "")
)</f>
        <v>83 equipes mensais</v>
      </c>
      <c r="K2411" s="8" t="str" cm="1">
        <f t="array" ref="K2411">_xlfn.LET(
    _xlpm.sum_month, SUM(T2411:AE2411),
    IF(_xlpm.sum_month = 0, "", _xlpm.sum_month &amp; " equipes alcançadas no ano")
)</f>
        <v>760 equipes alcançadas no ano</v>
      </c>
      <c r="L2411" s="4" t="s">
        <v>234</v>
      </c>
      <c r="M2411" s="19" t="s">
        <v>235</v>
      </c>
      <c r="N2411" s="5" t="s">
        <v>42</v>
      </c>
      <c r="O2411" s="5" t="s">
        <v>43</v>
      </c>
      <c r="P2411" s="10" t="s">
        <v>44</v>
      </c>
      <c r="Q2411" s="10" t="s">
        <v>44</v>
      </c>
      <c r="R2411" s="11" t="s">
        <v>147</v>
      </c>
      <c r="S2411" s="11" t="s">
        <v>162</v>
      </c>
      <c r="T2411" s="156">
        <v>5</v>
      </c>
      <c r="U2411" s="157">
        <v>4</v>
      </c>
      <c r="V2411" s="157">
        <v>4</v>
      </c>
      <c r="W2411" s="143">
        <v>83</v>
      </c>
      <c r="X2411" s="143">
        <v>83</v>
      </c>
      <c r="Y2411" s="143">
        <v>83</v>
      </c>
      <c r="Z2411" s="143">
        <v>83</v>
      </c>
      <c r="AA2411" s="143">
        <v>83</v>
      </c>
      <c r="AB2411" s="143">
        <v>83</v>
      </c>
      <c r="AC2411" s="143">
        <v>83</v>
      </c>
      <c r="AD2411" s="143">
        <v>83</v>
      </c>
      <c r="AE2411" s="143">
        <v>83</v>
      </c>
      <c r="AG2411" s="82">
        <v>5</v>
      </c>
      <c r="AH2411" s="82">
        <v>4</v>
      </c>
      <c r="AI2411" s="82">
        <v>4</v>
      </c>
      <c r="AJ2411" s="82">
        <v>83</v>
      </c>
      <c r="AK2411" s="71">
        <v>3</v>
      </c>
      <c r="AL2411" s="71"/>
      <c r="AM2411" s="71"/>
      <c r="AN2411" s="71"/>
      <c r="AO2411" s="71"/>
      <c r="AP2411" s="71"/>
      <c r="AQ2411" s="71"/>
      <c r="AR2411" s="71"/>
      <c r="AS2411" s="94">
        <f t="shared" ref="AS2411:AS2412" ca="1" si="2907">IF(MONTH(TODAY())=3,SUM(T2411:U2411),IF(MONTH(TODAY())=4,SUM(T2411:V2411),IF(MONTH(TODAY())=5,SUM(T2411:W2411),IF(MONTH(TODAY())=6,SUM(T2411:X2411),IF(MONTH(TODAY())=7,SUM(T2411:Y2411),IF(MONTH(TODAY())=8,SUM(T2411:Z2411),IF(MONTH(TODAY())=9,SUM(T2411:AA2411),IF(MONTH(TODAY())=10,SUM(T2411:AB2411),IF(MONTH(TODAY())=11,SUM(T2411:AC2411),IF(MONTH(TODAY())=12,SUM(T2411:AD2411),IF(MONTH(TODAY())=1,SUM(T2411:AE2411),T2411)))))))))))</f>
        <v>179</v>
      </c>
      <c r="AT2411" s="95">
        <f t="shared" ref="AT2411:AT2412" si="2908">SUM(IF(AW2411&lt;1.15,AG2411,1.15*T2411),IF(AX2411&lt;1.15,AH2411,1.15*U2411),IF(AY2411&lt;1.15,AI2411,1.15*V2411),IF(AZ2411&lt;1.15,AJ2411,1.15*W2411),IF(BA2411&lt;1.15,AK2411,1.15*X2411),IF(BB2411&lt;1.15,AL2411,1.15*Y2411),IF(BC2411&lt;1.15,AM2411,1.15*Z2411),IF(BD2411&lt;1.15,AN2411,1.15*AA2411),IF(BE2411&lt;1.15,AO2411,1.15*AB2411),IF(BF2411&lt;1.15,AP2411,1.15*AC2411),IF(BG2411&lt;1.15,AQ2411,1.15*AD2411),IF(BH2411&lt;1.15,AR2411,1.15*AE2411))</f>
        <v>99</v>
      </c>
      <c r="AU2411" s="97">
        <f t="shared" ref="AU2411:AU2412" si="2909">SUM(AG2411:AR2411)</f>
        <v>99</v>
      </c>
      <c r="AW2411" s="51">
        <f t="shared" ref="AW2411:AW2412" si="2910">IFERROR(IF(AG2411="",0,AG2411/T2411),0)</f>
        <v>1</v>
      </c>
      <c r="AX2411" s="51">
        <f t="shared" ref="AX2411:AX2412" si="2911">IFERROR(IF(AH2411="",0,AH2411/U2411),0)</f>
        <v>1</v>
      </c>
      <c r="AY2411" s="51">
        <f t="shared" ref="AY2411:AY2412" si="2912">IFERROR(IF(AI2411="",0,AI2411/V2411),0)</f>
        <v>1</v>
      </c>
      <c r="AZ2411" s="51">
        <f t="shared" ref="AZ2411:AZ2412" si="2913">IFERROR(IF(AJ2411="",0,AJ2411/W2411),0)</f>
        <v>1</v>
      </c>
      <c r="BA2411" s="51">
        <f t="shared" si="2905"/>
        <v>3.614457831325301E-2</v>
      </c>
      <c r="BB2411" s="51"/>
      <c r="BC2411" s="51"/>
      <c r="BD2411" s="51"/>
      <c r="BE2411" s="51"/>
      <c r="BF2411" s="51"/>
      <c r="BG2411" s="51"/>
      <c r="BH2411" s="51"/>
      <c r="BI2411" s="65" cm="1">
        <f t="array" ref="BI2411">IFERROR(INDEX(AW2411:BH2411,1,MATCH(2,1/(AW2411:BH2411&lt;&gt;""))),"")</f>
        <v>3.614457831325301E-2</v>
      </c>
      <c r="BJ2411" s="68" cm="1">
        <f t="array" ref="BJ2411">IF(BM2411 = "", "",IFERROR(INDEX(AW2411:BH2411,1,MATCH(2,1/(AW2411:BH2411&lt;&gt;""),1)-1),""))</f>
        <v>1</v>
      </c>
      <c r="BK2411" s="58">
        <f>IF((IF(AW2411&gt;=115%,115%,AW2411) + IF(AX2411&gt;=115%,115%,AX2411) + IF(AY2411&gt;=115%,115%,AY2411) + (IF(AZ2411&gt;=115%,115%,AZ2411) + IF(BA2411&gt;=115%,115%,BA2411) + IF(BB2411&gt;=115%,115%,BB2411) + IF(BC2411&gt;=115%,115%,BC2411) + IF(BD2411&gt;=115%,115%,BD2411) + IF(BE2411&gt;=115%,115%,BE2411) + IF(BF2411&gt;=115%,115%,BF2411) + IF(BG2411&gt;=120%,120%,BG2411) + IF(BH2411&gt;=115%,115%,BH2411)))/_xlfn.XLOOKUP(F2411,Apuração!A:A,Apuração!B:B)&gt;=1.15,1.15,((IF(AZ2411&gt;=115%,115%,AZ2411) + IF(AX2411&gt;=115%,115%,AX2411) + IF(AY2411&gt;=115%,115%,AY2411) + (IF(AW2411&gt;=115%,115%,AW2411) + IF(BA2411&gt;=115%,115%,BA2411) + IF(BB2411&gt;=115%,115%,BB2411) + IF(BC2411&gt;=115%,115%,BC2411) + IF(BD2411&gt;=115%,115%,BD2411) + IF(BE2411&gt;=115%,115%,BE2411) + IF(BF2411&gt;=115%,115%,BF2411) + IF(BG2411&gt;=120%,120%,BG2411) + IF(BH2411&gt;=115%,115%,BH2411)))/_xlfn.XLOOKUP(F2411,Apuração!A:A,Apuração!B:B)))</f>
        <v>0.33634538152610444</v>
      </c>
      <c r="BL2411" s="58" cm="1">
        <f t="array" aca="1" ref="BL2411" ca="1">IF(SUM(IFERROR(IF(INDEX(AW2411:INDEX(AW2411:BH2411, MATCH(2, 1/(AW2411:BH2411&lt;&gt;""), 1)-1), ROW(INDIRECT("1:" &amp; MATCH(2, 1/(AW2411:BH2411&lt;&gt;""), 1)-1))) &gt;= 115%, 115%, INDEX(AW2411:INDEX(AW2411:BH2411, MATCH(2, 1/(AW2411:BH2411&lt;&gt;""), 1)-1), ROW(INDIRECT("1:" &amp; MATCH(2, 1/(AW2411:BH2411&lt;&gt;""), 1)-1)))), 0))/_xlfn.XLOOKUP(F2411,Apuração!A:A,Apuração!B:B)&gt;=1.15,1.15,SUM(IFERROR(IF(INDEX(AW2411:INDEX(AW2411:BH2411, MATCH(2, 1/(AW2411:BH2411&lt;&gt;""), 1)-1), ROW(INDIRECT("1:" &amp; MATCH(2, 1/(AW2411:BH2411&lt;&gt;""), 1)-1))) &gt;= 115%, 115%, INDEX(AW2411:INDEX(AW2411:BH2411, MATCH(2, 1/(AW2411:BH2411&lt;&gt;""), 1)-1), ROW(INDIRECT("1:" &amp; MATCH(2, 1/(AW2411:BH2411&lt;&gt;""), 1)-1)))), 0))/_xlfn.XLOOKUP(F2411,Apuração!A:A,Apuração!B:B))</f>
        <v>0.33333333333333331</v>
      </c>
      <c r="BM2411" s="55" cm="1">
        <f t="array" ref="BM2411">IFERROR(
   INDEX($AW$1:$BH$1,
      _xlfn.AGGREGATE(14, 6, COLUMN($AW$1:$BH$1)/(AW2411:BH2411&lt;&gt;""), 2) - COLUMN($AW$1) + 1
   ),
"")</f>
        <v>46113</v>
      </c>
      <c r="BN2411" s="55" cm="1">
        <f t="array" ref="BN2411">IFERROR(INDEX($AW$1:$BH$1,1,MATCH(2,1/(AW2411:BH2411&lt;&gt;""))),"")</f>
        <v>46143</v>
      </c>
      <c r="BO2411" s="53">
        <f ca="1">IFERROR(_xlfn.XLOOKUP(F2411,Apuração!A:A,Apuração!C:C)/_xlfn.XLOOKUP(F2411,Apuração!A:A,Apuração!B:B),0)</f>
        <v>0.41666666666666669</v>
      </c>
      <c r="BP2411" s="53">
        <f ca="1">IFERROR(_xlfn.XLOOKUP(F2411,Apuração!A:A,Apuração!D:D)/_xlfn.XLOOKUP(F2411,Apuração!A:A,Apuração!B:B),0)</f>
        <v>0.33333333333333331</v>
      </c>
      <c r="BQ2411" s="53">
        <f ca="1">IF(BK2411&gt;=BO2411,0,_xlfn.XLOOKUP(F2411,Apuração!A:A,Apuração!B:B)*(BO2411 + (1/_xlfn.XLOOKUP(F2411,Apuração!A:A,Apuração!B:B)) - BK2411))</f>
        <v>1.9638554216867468</v>
      </c>
      <c r="BR2411" s="85">
        <f t="shared" ref="BR2411:BR2412" ca="1" si="2914">IF(BQ2411=0,0,BQ2411*Z2411)</f>
        <v>162.99999999999997</v>
      </c>
      <c r="BS2411" s="53">
        <f ca="1">IFERROR((_xlfn.XLOOKUP(F2411,Apuração!A:A,Apuração!C:C)+1)/_xlfn.XLOOKUP(F2411,Apuração!A:A,Apuração!B:B),0)</f>
        <v>0.5</v>
      </c>
    </row>
    <row r="2412" spans="1:71" ht="25.95" hidden="1" customHeight="1" x14ac:dyDescent="0.3">
      <c r="A2412" s="20" t="s">
        <v>87</v>
      </c>
      <c r="B2412" s="4" t="s">
        <v>232</v>
      </c>
      <c r="C2412" s="5" t="s">
        <v>221</v>
      </c>
      <c r="D2412" s="5" t="s">
        <v>213</v>
      </c>
      <c r="E2412" s="4" t="str" cm="1">
        <f t="array" ref="E2412">_xlfn.IFS(
F2412 = "A partir de Abril", "Aguardando Execução na Distribuidora",
A2412 = "CAPACITAÇÃO", "Em execução no Corporativo",
TRUE, "Em Execução na Distribuidora"
)</f>
        <v>Em Execução na Distribuidora</v>
      </c>
      <c r="F2412" s="4" t="str" cm="1">
        <f t="array" ref="F2412">_xlfn.IFS(
AG2412 &lt;&gt; "", "Jan-Dez/26",
AH2412 &lt;&gt; "", "Fev-Dez/26",
AI2412 &lt;&gt; "", "Mar-Dez/26", AJ2412 &lt;&gt; "", "Abr-Dez/26",
TRUE, "A partir de Junho"
)</f>
        <v>Jan-Dez/26</v>
      </c>
      <c r="G2412" s="7" t="s">
        <v>37</v>
      </c>
      <c r="H2412" s="7" t="s">
        <v>110</v>
      </c>
      <c r="I2412" s="21" t="s">
        <v>233</v>
      </c>
      <c r="J2412" s="21" t="str" cm="1">
        <f t="array" aca="1" ref="J2412" ca="1">_xlfn.LET(
  _xlpm.actual_value_month, INDEX(T2412:AE2412, MATCH(DATE(YEAR(TODAY()), MONTH(TODAY()), 1), $T$1:$AE$1, 0)),
  IF(_xlpm.actual_value_month &lt;&gt; "",_xlpm.actual_value_month &amp; " equipes mensais", "")
)</f>
        <v>61 equipes mensais</v>
      </c>
      <c r="K2412" s="8" t="str" cm="1">
        <f t="array" ref="K2412">_xlfn.LET(
    _xlpm.sum_month, SUM(T2412:AE2412),
    IF(_xlpm.sum_month = 0, "", _xlpm.sum_month &amp; " equipes alcançadas no ano")
)</f>
        <v>563 equipes alcançadas no ano</v>
      </c>
      <c r="L2412" s="4" t="s">
        <v>234</v>
      </c>
      <c r="M2412" s="19" t="s">
        <v>235</v>
      </c>
      <c r="N2412" s="5" t="s">
        <v>42</v>
      </c>
      <c r="O2412" s="5" t="s">
        <v>43</v>
      </c>
      <c r="P2412" s="10" t="s">
        <v>44</v>
      </c>
      <c r="Q2412" s="10" t="s">
        <v>44</v>
      </c>
      <c r="R2412" s="11" t="s">
        <v>147</v>
      </c>
      <c r="S2412" s="11" t="s">
        <v>162</v>
      </c>
      <c r="T2412" s="158">
        <v>3</v>
      </c>
      <c r="U2412" s="159">
        <v>7</v>
      </c>
      <c r="V2412" s="159">
        <v>4</v>
      </c>
      <c r="W2412" s="143">
        <v>61</v>
      </c>
      <c r="X2412" s="143">
        <v>61</v>
      </c>
      <c r="Y2412" s="143">
        <v>61</v>
      </c>
      <c r="Z2412" s="143">
        <v>61</v>
      </c>
      <c r="AA2412" s="143">
        <v>61</v>
      </c>
      <c r="AB2412" s="143">
        <v>61</v>
      </c>
      <c r="AC2412" s="143">
        <v>61</v>
      </c>
      <c r="AD2412" s="143">
        <v>61</v>
      </c>
      <c r="AE2412" s="143">
        <v>61</v>
      </c>
      <c r="AG2412" s="82">
        <v>3</v>
      </c>
      <c r="AH2412" s="82">
        <v>7</v>
      </c>
      <c r="AI2412" s="82">
        <v>4</v>
      </c>
      <c r="AJ2412" s="82">
        <v>61</v>
      </c>
      <c r="AK2412" s="71">
        <v>0</v>
      </c>
      <c r="AL2412" s="71"/>
      <c r="AM2412" s="71"/>
      <c r="AN2412" s="71"/>
      <c r="AO2412" s="71"/>
      <c r="AP2412" s="71"/>
      <c r="AQ2412" s="71"/>
      <c r="AR2412" s="71"/>
      <c r="AS2412" s="94">
        <f t="shared" ca="1" si="2907"/>
        <v>136</v>
      </c>
      <c r="AT2412" s="95">
        <f t="shared" si="2908"/>
        <v>75</v>
      </c>
      <c r="AU2412" s="97">
        <f t="shared" si="2909"/>
        <v>75</v>
      </c>
      <c r="AW2412" s="51">
        <f t="shared" si="2910"/>
        <v>1</v>
      </c>
      <c r="AX2412" s="51">
        <f t="shared" si="2911"/>
        <v>1</v>
      </c>
      <c r="AY2412" s="51">
        <f t="shared" si="2912"/>
        <v>1</v>
      </c>
      <c r="AZ2412" s="51">
        <f t="shared" si="2913"/>
        <v>1</v>
      </c>
      <c r="BA2412" s="51">
        <f t="shared" si="2905"/>
        <v>0</v>
      </c>
      <c r="BB2412" s="51"/>
      <c r="BC2412" s="51"/>
      <c r="BD2412" s="51"/>
      <c r="BE2412" s="51"/>
      <c r="BF2412" s="51"/>
      <c r="BG2412" s="51"/>
      <c r="BH2412" s="51"/>
      <c r="BI2412" s="65" cm="1">
        <f t="array" ref="BI2412">IFERROR(INDEX(AW2412:BH2412,1,MATCH(2,1/(AW2412:BH2412&lt;&gt;""))),"")</f>
        <v>0</v>
      </c>
      <c r="BJ2412" s="68" cm="1">
        <f t="array" ref="BJ2412">IF(BM2412 = "", "",IFERROR(INDEX(AW2412:BH2412,1,MATCH(2,1/(AW2412:BH2412&lt;&gt;""),1)-1),""))</f>
        <v>1</v>
      </c>
      <c r="BK2412" s="58">
        <f>IF((IF(AW2412&gt;=115%,115%,AW2412) + IF(AX2412&gt;=115%,115%,AX2412) + IF(AY2412&gt;=115%,115%,AY2412) + (IF(AZ2412&gt;=115%,115%,AZ2412) + IF(BA2412&gt;=115%,115%,BA2412) + IF(BB2412&gt;=115%,115%,BB2412) + IF(BC2412&gt;=115%,115%,BC2412) + IF(BD2412&gt;=115%,115%,BD2412) + IF(BE2412&gt;=115%,115%,BE2412) + IF(BF2412&gt;=115%,115%,BF2412) + IF(BG2412&gt;=120%,120%,BG2412) + IF(BH2412&gt;=115%,115%,BH2412)))/_xlfn.XLOOKUP(F2412,Apuração!A:A,Apuração!B:B)&gt;=1.15,1.15,((IF(AZ2412&gt;=115%,115%,AZ2412) + IF(AX2412&gt;=115%,115%,AX2412) + IF(AY2412&gt;=115%,115%,AY2412) + (IF(AW2412&gt;=115%,115%,AW2412) + IF(BA2412&gt;=115%,115%,BA2412) + IF(BB2412&gt;=115%,115%,BB2412) + IF(BC2412&gt;=115%,115%,BC2412) + IF(BD2412&gt;=115%,115%,BD2412) + IF(BE2412&gt;=115%,115%,BE2412) + IF(BF2412&gt;=115%,115%,BF2412) + IF(BG2412&gt;=120%,120%,BG2412) + IF(BH2412&gt;=115%,115%,BH2412)))/_xlfn.XLOOKUP(F2412,Apuração!A:A,Apuração!B:B)))</f>
        <v>0.33333333333333331</v>
      </c>
      <c r="BL2412" s="58" cm="1">
        <f t="array" aca="1" ref="BL2412" ca="1">IF(SUM(IFERROR(IF(INDEX(AW2412:INDEX(AW2412:BH2412, MATCH(2, 1/(AW2412:BH2412&lt;&gt;""), 1)-1), ROW(INDIRECT("1:" &amp; MATCH(2, 1/(AW2412:BH2412&lt;&gt;""), 1)-1))) &gt;= 115%, 115%, INDEX(AW2412:INDEX(AW2412:BH2412, MATCH(2, 1/(AW2412:BH2412&lt;&gt;""), 1)-1), ROW(INDIRECT("1:" &amp; MATCH(2, 1/(AW2412:BH2412&lt;&gt;""), 1)-1)))), 0))/_xlfn.XLOOKUP(F2412,Apuração!A:A,Apuração!B:B)&gt;=1.15,1.15,SUM(IFERROR(IF(INDEX(AW2412:INDEX(AW2412:BH2412, MATCH(2, 1/(AW2412:BH2412&lt;&gt;""), 1)-1), ROW(INDIRECT("1:" &amp; MATCH(2, 1/(AW2412:BH2412&lt;&gt;""), 1)-1))) &gt;= 115%, 115%, INDEX(AW2412:INDEX(AW2412:BH2412, MATCH(2, 1/(AW2412:BH2412&lt;&gt;""), 1)-1), ROW(INDIRECT("1:" &amp; MATCH(2, 1/(AW2412:BH2412&lt;&gt;""), 1)-1)))), 0))/_xlfn.XLOOKUP(F2412,Apuração!A:A,Apuração!B:B))</f>
        <v>0.33333333333333331</v>
      </c>
      <c r="BM2412" s="55" cm="1">
        <f t="array" ref="BM2412">IFERROR(
   INDEX($AW$1:$BH$1,
      _xlfn.AGGREGATE(14, 6, COLUMN($AW$1:$BH$1)/(AW2412:BH2412&lt;&gt;""), 2) - COLUMN($AW$1) + 1
   ),
"")</f>
        <v>46113</v>
      </c>
      <c r="BN2412" s="55" cm="1">
        <f t="array" ref="BN2412">IFERROR(INDEX($AW$1:$BH$1,1,MATCH(2,1/(AW2412:BH2412&lt;&gt;""))),"")</f>
        <v>46143</v>
      </c>
      <c r="BO2412" s="53">
        <f ca="1">IFERROR(_xlfn.XLOOKUP(F2412,Apuração!A:A,Apuração!C:C)/_xlfn.XLOOKUP(F2412,Apuração!A:A,Apuração!B:B),0)</f>
        <v>0.41666666666666669</v>
      </c>
      <c r="BP2412" s="53">
        <f ca="1">IFERROR(_xlfn.XLOOKUP(F2412,Apuração!A:A,Apuração!D:D)/_xlfn.XLOOKUP(F2412,Apuração!A:A,Apuração!B:B),0)</f>
        <v>0.33333333333333331</v>
      </c>
      <c r="BQ2412" s="53">
        <f ca="1">IF(BK2412&gt;=BO2412,0,_xlfn.XLOOKUP(F2412,Apuração!A:A,Apuração!B:B)*(BO2412 + (1/_xlfn.XLOOKUP(F2412,Apuração!A:A,Apuração!B:B)) - BK2412))</f>
        <v>2</v>
      </c>
      <c r="BR2412" s="85">
        <f t="shared" ca="1" si="2914"/>
        <v>122</v>
      </c>
      <c r="BS2412" s="53">
        <f ca="1">IFERROR((_xlfn.XLOOKUP(F2412,Apuração!A:A,Apuração!C:C)+1)/_xlfn.XLOOKUP(F2412,Apuração!A:A,Apuração!B:B),0)</f>
        <v>0.5</v>
      </c>
    </row>
    <row r="2413" spans="1:71" ht="25.95" hidden="1" customHeight="1" x14ac:dyDescent="0.3">
      <c r="A2413" s="20" t="s">
        <v>87</v>
      </c>
      <c r="B2413" s="4" t="s">
        <v>232</v>
      </c>
      <c r="C2413" s="5" t="s">
        <v>221</v>
      </c>
      <c r="D2413" s="5" t="s">
        <v>36</v>
      </c>
      <c r="E2413" s="4" t="s">
        <v>80</v>
      </c>
      <c r="F2413" s="4" t="s">
        <v>238</v>
      </c>
      <c r="G2413" s="7" t="s">
        <v>37</v>
      </c>
      <c r="H2413" s="7" t="s">
        <v>110</v>
      </c>
      <c r="I2413" s="21" t="s">
        <v>76</v>
      </c>
      <c r="J2413" s="21" t="s">
        <v>237</v>
      </c>
      <c r="K2413" s="8" t="s">
        <v>237</v>
      </c>
      <c r="L2413" s="4" t="s">
        <v>141</v>
      </c>
      <c r="M2413" s="19">
        <v>1</v>
      </c>
      <c r="N2413" s="5" t="s">
        <v>51</v>
      </c>
      <c r="O2413" s="5" t="s">
        <v>52</v>
      </c>
      <c r="P2413" s="10" t="s">
        <v>44</v>
      </c>
      <c r="Q2413" s="10" t="s">
        <v>44</v>
      </c>
      <c r="R2413" s="11" t="s">
        <v>44</v>
      </c>
      <c r="S2413" s="11" t="s">
        <v>44</v>
      </c>
      <c r="T2413" s="22"/>
      <c r="U2413" s="22"/>
      <c r="V2413" s="22"/>
      <c r="W2413" s="22"/>
      <c r="X2413" s="22"/>
      <c r="Y2413" s="22"/>
      <c r="Z2413" s="22"/>
      <c r="AA2413" s="22"/>
      <c r="AB2413" s="22"/>
      <c r="AC2413" s="22"/>
      <c r="AD2413" s="22"/>
      <c r="AE2413" s="22"/>
      <c r="AG2413" s="71">
        <v>8</v>
      </c>
      <c r="AH2413" s="71">
        <v>11</v>
      </c>
      <c r="AI2413" s="71">
        <v>8</v>
      </c>
      <c r="AJ2413" s="71">
        <v>144</v>
      </c>
      <c r="AK2413" s="71">
        <v>3</v>
      </c>
      <c r="AL2413" s="71"/>
      <c r="AM2413" s="71"/>
      <c r="AN2413" s="71"/>
      <c r="AO2413" s="71"/>
      <c r="AP2413" s="71"/>
      <c r="AQ2413" s="71"/>
      <c r="AR2413" s="71"/>
      <c r="AS2413" s="94">
        <v>0</v>
      </c>
      <c r="AT2413" s="95">
        <v>34</v>
      </c>
      <c r="AU2413" s="97">
        <v>34</v>
      </c>
      <c r="AW2413" s="83">
        <f t="shared" ref="AW2413:AW2415" si="2915">AG2413</f>
        <v>8</v>
      </c>
      <c r="AX2413" s="83">
        <f t="shared" ref="AX2413:AX2415" si="2916">AH2413</f>
        <v>11</v>
      </c>
      <c r="AY2413" s="83">
        <f t="shared" ref="AY2413:AY2415" si="2917">AI2413</f>
        <v>8</v>
      </c>
      <c r="AZ2413" s="83">
        <f t="shared" ref="AZ2413:BA2415" si="2918">AJ2413</f>
        <v>144</v>
      </c>
      <c r="BA2413" s="83">
        <f t="shared" si="2918"/>
        <v>3</v>
      </c>
      <c r="BB2413" s="51"/>
      <c r="BC2413" s="51"/>
      <c r="BD2413" s="51"/>
      <c r="BE2413" s="51"/>
      <c r="BF2413" s="51"/>
      <c r="BG2413" s="51"/>
      <c r="BH2413" s="51"/>
      <c r="BI2413" s="65">
        <v>7</v>
      </c>
      <c r="BJ2413" s="68">
        <v>8</v>
      </c>
      <c r="BK2413" s="58">
        <v>34</v>
      </c>
      <c r="BL2413" s="58">
        <v>2.25</v>
      </c>
      <c r="BM2413" s="55">
        <v>46082</v>
      </c>
      <c r="BN2413" s="55">
        <v>46113</v>
      </c>
      <c r="BO2413" s="53">
        <v>0.33333333333333331</v>
      </c>
      <c r="BP2413" s="53">
        <v>0.25</v>
      </c>
      <c r="BQ2413" s="53">
        <v>0</v>
      </c>
      <c r="BR2413" s="85">
        <v>0</v>
      </c>
      <c r="BS2413" s="53">
        <v>0.41666666666666669</v>
      </c>
    </row>
    <row r="2414" spans="1:71" ht="25.95" hidden="1" customHeight="1" x14ac:dyDescent="0.3">
      <c r="A2414" s="20" t="s">
        <v>87</v>
      </c>
      <c r="B2414" s="4" t="s">
        <v>232</v>
      </c>
      <c r="C2414" s="5" t="s">
        <v>221</v>
      </c>
      <c r="D2414" s="5" t="s">
        <v>212</v>
      </c>
      <c r="E2414" s="4" t="s">
        <v>80</v>
      </c>
      <c r="F2414" s="4" t="s">
        <v>238</v>
      </c>
      <c r="G2414" s="7" t="s">
        <v>37</v>
      </c>
      <c r="H2414" s="7" t="s">
        <v>110</v>
      </c>
      <c r="I2414" s="21" t="s">
        <v>76</v>
      </c>
      <c r="J2414" s="21" t="s">
        <v>237</v>
      </c>
      <c r="K2414" s="8" t="s">
        <v>237</v>
      </c>
      <c r="L2414" s="4" t="s">
        <v>141</v>
      </c>
      <c r="M2414" s="19">
        <v>1</v>
      </c>
      <c r="N2414" s="5" t="s">
        <v>51</v>
      </c>
      <c r="O2414" s="5" t="s">
        <v>52</v>
      </c>
      <c r="P2414" s="10" t="s">
        <v>44</v>
      </c>
      <c r="Q2414" s="10" t="s">
        <v>44</v>
      </c>
      <c r="R2414" s="11" t="s">
        <v>44</v>
      </c>
      <c r="S2414" s="11" t="s">
        <v>44</v>
      </c>
      <c r="T2414" s="22"/>
      <c r="U2414" s="22"/>
      <c r="V2414" s="22"/>
      <c r="W2414" s="22"/>
      <c r="X2414" s="22"/>
      <c r="Y2414" s="22"/>
      <c r="Z2414" s="22"/>
      <c r="AA2414" s="22"/>
      <c r="AB2414" s="22"/>
      <c r="AC2414" s="22"/>
      <c r="AD2414" s="22"/>
      <c r="AE2414" s="22"/>
      <c r="AG2414" s="82">
        <v>5</v>
      </c>
      <c r="AH2414" s="82">
        <v>4</v>
      </c>
      <c r="AI2414" s="82">
        <v>4</v>
      </c>
      <c r="AJ2414" s="82">
        <v>83</v>
      </c>
      <c r="AK2414" s="71">
        <v>3</v>
      </c>
      <c r="AL2414" s="71"/>
      <c r="AM2414" s="71"/>
      <c r="AN2414" s="71"/>
      <c r="AO2414" s="71"/>
      <c r="AP2414" s="71"/>
      <c r="AQ2414" s="71"/>
      <c r="AR2414" s="71"/>
      <c r="AS2414" s="94">
        <v>0</v>
      </c>
      <c r="AT2414" s="95">
        <v>34</v>
      </c>
      <c r="AU2414" s="97">
        <v>34</v>
      </c>
      <c r="AW2414" s="83">
        <f t="shared" si="2915"/>
        <v>5</v>
      </c>
      <c r="AX2414" s="83">
        <f t="shared" si="2916"/>
        <v>4</v>
      </c>
      <c r="AY2414" s="83">
        <f t="shared" si="2917"/>
        <v>4</v>
      </c>
      <c r="AZ2414" s="83">
        <f t="shared" si="2918"/>
        <v>83</v>
      </c>
      <c r="BA2414" s="83">
        <f t="shared" si="2918"/>
        <v>3</v>
      </c>
      <c r="BB2414" s="51"/>
      <c r="BC2414" s="51"/>
      <c r="BD2414" s="51"/>
      <c r="BE2414" s="51"/>
      <c r="BF2414" s="51"/>
      <c r="BG2414" s="51"/>
      <c r="BH2414" s="51"/>
      <c r="BI2414" s="65">
        <v>7</v>
      </c>
      <c r="BJ2414" s="68">
        <v>8</v>
      </c>
      <c r="BK2414" s="58">
        <v>34</v>
      </c>
      <c r="BL2414" s="58">
        <v>2.25</v>
      </c>
      <c r="BM2414" s="55">
        <v>46082</v>
      </c>
      <c r="BN2414" s="55">
        <v>46113</v>
      </c>
      <c r="BO2414" s="53">
        <v>0.33333333333333331</v>
      </c>
      <c r="BP2414" s="53">
        <v>0.25</v>
      </c>
      <c r="BQ2414" s="53">
        <v>0</v>
      </c>
      <c r="BR2414" s="85">
        <v>0</v>
      </c>
      <c r="BS2414" s="53">
        <v>0.41666666666666669</v>
      </c>
    </row>
    <row r="2415" spans="1:71" ht="25.95" hidden="1" customHeight="1" x14ac:dyDescent="0.3">
      <c r="A2415" s="20" t="s">
        <v>87</v>
      </c>
      <c r="B2415" s="4" t="s">
        <v>232</v>
      </c>
      <c r="C2415" s="5" t="s">
        <v>221</v>
      </c>
      <c r="D2415" s="5" t="s">
        <v>213</v>
      </c>
      <c r="E2415" s="4" t="s">
        <v>80</v>
      </c>
      <c r="F2415" s="4" t="s">
        <v>238</v>
      </c>
      <c r="G2415" s="7" t="s">
        <v>37</v>
      </c>
      <c r="H2415" s="7" t="s">
        <v>110</v>
      </c>
      <c r="I2415" s="21" t="s">
        <v>76</v>
      </c>
      <c r="J2415" s="21" t="s">
        <v>237</v>
      </c>
      <c r="K2415" s="8" t="s">
        <v>237</v>
      </c>
      <c r="L2415" s="4" t="s">
        <v>141</v>
      </c>
      <c r="M2415" s="19">
        <v>1</v>
      </c>
      <c r="N2415" s="5" t="s">
        <v>51</v>
      </c>
      <c r="O2415" s="5" t="s">
        <v>52</v>
      </c>
      <c r="P2415" s="10" t="s">
        <v>44</v>
      </c>
      <c r="Q2415" s="10" t="s">
        <v>44</v>
      </c>
      <c r="R2415" s="11" t="s">
        <v>44</v>
      </c>
      <c r="S2415" s="11" t="s">
        <v>44</v>
      </c>
      <c r="T2415" s="22"/>
      <c r="U2415" s="22"/>
      <c r="V2415" s="22"/>
      <c r="W2415" s="22"/>
      <c r="X2415" s="22"/>
      <c r="Y2415" s="22"/>
      <c r="Z2415" s="22"/>
      <c r="AA2415" s="22"/>
      <c r="AB2415" s="22"/>
      <c r="AC2415" s="22"/>
      <c r="AD2415" s="22"/>
      <c r="AE2415" s="22"/>
      <c r="AG2415" s="82">
        <v>3</v>
      </c>
      <c r="AH2415" s="82">
        <v>7</v>
      </c>
      <c r="AI2415" s="82">
        <v>4</v>
      </c>
      <c r="AJ2415" s="82">
        <v>61</v>
      </c>
      <c r="AK2415" s="71">
        <v>0</v>
      </c>
      <c r="AL2415" s="71"/>
      <c r="AM2415" s="71"/>
      <c r="AN2415" s="71"/>
      <c r="AO2415" s="71"/>
      <c r="AP2415" s="71"/>
      <c r="AQ2415" s="71"/>
      <c r="AR2415" s="71"/>
      <c r="AS2415" s="94">
        <v>0</v>
      </c>
      <c r="AT2415" s="95">
        <v>34</v>
      </c>
      <c r="AU2415" s="97">
        <v>34</v>
      </c>
      <c r="AW2415" s="83">
        <f t="shared" si="2915"/>
        <v>3</v>
      </c>
      <c r="AX2415" s="83">
        <f t="shared" si="2916"/>
        <v>7</v>
      </c>
      <c r="AY2415" s="83">
        <f t="shared" si="2917"/>
        <v>4</v>
      </c>
      <c r="AZ2415" s="83">
        <f t="shared" si="2918"/>
        <v>61</v>
      </c>
      <c r="BA2415" s="83">
        <f t="shared" si="2918"/>
        <v>0</v>
      </c>
      <c r="BB2415" s="51"/>
      <c r="BC2415" s="51"/>
      <c r="BD2415" s="51"/>
      <c r="BE2415" s="51"/>
      <c r="BF2415" s="51"/>
      <c r="BG2415" s="51"/>
      <c r="BH2415" s="51"/>
      <c r="BI2415" s="65">
        <v>7</v>
      </c>
      <c r="BJ2415" s="68">
        <v>8</v>
      </c>
      <c r="BK2415" s="58">
        <v>34</v>
      </c>
      <c r="BL2415" s="58">
        <v>2.25</v>
      </c>
      <c r="BM2415" s="55">
        <v>46082</v>
      </c>
      <c r="BN2415" s="55">
        <v>46113</v>
      </c>
      <c r="BO2415" s="53">
        <v>0.33333333333333331</v>
      </c>
      <c r="BP2415" s="53">
        <v>0.25</v>
      </c>
      <c r="BQ2415" s="53">
        <v>0</v>
      </c>
      <c r="BR2415" s="85">
        <v>0</v>
      </c>
      <c r="BS2415" s="53">
        <v>0.41666666666666669</v>
      </c>
    </row>
    <row r="2416" spans="1:71" ht="25.95" hidden="1" customHeight="1" x14ac:dyDescent="0.3">
      <c r="A2416" s="41" t="s">
        <v>108</v>
      </c>
      <c r="B2416" s="4" t="s">
        <v>123</v>
      </c>
      <c r="C2416" s="5" t="s">
        <v>221</v>
      </c>
      <c r="D2416" s="5" t="s">
        <v>36</v>
      </c>
      <c r="E2416" s="4" t="s">
        <v>61</v>
      </c>
      <c r="F2416" s="4" t="str" cm="1">
        <f t="array" ref="F2416">_xlfn.IFS(
AG2416 &lt;&gt; "", "Jan-Dez/26",
AH2416 &lt;&gt; "", "Fev-Dez/26",
AI2416 &lt;&gt; "", "Mar-Dez/26", AJ2416 &lt;&gt; "", "Abr-Dez/26",
TRUE, "A partir de Junho"
)</f>
        <v>A partir de Junho</v>
      </c>
      <c r="G2416" s="4" t="s">
        <v>62</v>
      </c>
      <c r="H2416" s="7" t="s">
        <v>38</v>
      </c>
      <c r="I2416" s="8" t="s">
        <v>124</v>
      </c>
      <c r="J2416" s="8" t="str" cm="1">
        <f t="array" aca="1" ref="J2416" ca="1">_xlfn.LET(
  _xlpm.actual_value_month, INDEX(T2416:AE2416, MATCH(DATE(YEAR(TODAY()), MONTH(TODAY()), 1), $T$1:$AE$1, 0)),
  IF(_xlpm.actual_value_month &lt;&gt; "",_xlpm.actual_value_month &amp; " ações mensais", "")
)</f>
        <v/>
      </c>
      <c r="K2416" s="8" t="str" cm="1">
        <f t="array" ref="K2416">_xlfn.LET(
    _xlpm.sum_month, SUM(T2416:AE2416),
    IF(_xlpm.sum_month = 0, "", _xlpm.sum_month &amp; " veículos com telemetria no ano")
)</f>
        <v/>
      </c>
      <c r="L2416" s="4" t="s">
        <v>125</v>
      </c>
      <c r="M2416" s="19"/>
      <c r="N2416" s="5" t="s">
        <v>42</v>
      </c>
      <c r="O2416" s="5"/>
      <c r="P2416" s="10"/>
      <c r="Q2416" s="10"/>
      <c r="R2416" s="11"/>
      <c r="S2416" s="11"/>
      <c r="T2416" s="22"/>
      <c r="U2416" s="22"/>
      <c r="V2416" s="22"/>
      <c r="W2416" s="22"/>
      <c r="X2416" s="22"/>
      <c r="Y2416" s="22"/>
      <c r="Z2416" s="22"/>
      <c r="AA2416" s="22"/>
      <c r="AB2416" s="22"/>
      <c r="AC2416" s="22"/>
      <c r="AD2416" s="22"/>
      <c r="AE2416" s="22"/>
      <c r="AF2416" s="81"/>
      <c r="AG2416" s="71"/>
      <c r="AH2416" s="71"/>
      <c r="AI2416" s="71"/>
      <c r="AJ2416" s="71"/>
      <c r="AK2416" s="71"/>
      <c r="AL2416" s="71"/>
      <c r="AM2416" s="71"/>
      <c r="AN2416" s="71"/>
      <c r="AO2416" s="71"/>
      <c r="AP2416" s="71"/>
      <c r="AQ2416" s="71"/>
      <c r="AR2416" s="71"/>
      <c r="AS2416" s="94"/>
      <c r="AT2416" s="95"/>
      <c r="AU2416" s="97"/>
      <c r="AV2416" s="81"/>
      <c r="AW2416" s="51">
        <f>IFERROR(IF(AG2416="",0,AG2416/T2416),0)</f>
        <v>0</v>
      </c>
      <c r="AX2416" s="51">
        <f>IFERROR(IF(AH2416="",0,AH2416/U2416),0)</f>
        <v>0</v>
      </c>
      <c r="AY2416" s="51">
        <f>IFERROR(IF(AI2416="",0,AI2416/V2416),0)</f>
        <v>0</v>
      </c>
      <c r="AZ2416" s="51">
        <f>IFERROR(IF(AJ2416="",0,AJ2416/W2416),0)</f>
        <v>0</v>
      </c>
      <c r="BA2416" s="51"/>
      <c r="BB2416" s="51"/>
      <c r="BC2416" s="51"/>
      <c r="BD2416" s="51"/>
      <c r="BE2416" s="51"/>
      <c r="BF2416" s="51"/>
      <c r="BG2416" s="51"/>
      <c r="BH2416" s="51"/>
      <c r="BI2416" s="65"/>
      <c r="BJ2416" s="68"/>
      <c r="BK2416" s="58">
        <f>IF((IF(AW2416&gt;=115%,115%,AW2416) + IF(AX2416&gt;=115%,115%,AX2416) + IF(AY2416&gt;=115%,115%,AY2416) + (IF(AZ2416&gt;=115%,115%,AZ2416) + IF(BA2416&gt;=115%,115%,BA2416) + IF(BB2416&gt;=115%,115%,BB2416) + IF(BC2416&gt;=115%,115%,BC2416) + IF(BD2416&gt;=115%,115%,BD2416) + IF(BE2416&gt;=115%,115%,BE2416) + IF(BF2416&gt;=115%,115%,BF2416) + IF(BG2416&gt;=115%,115%,BG2416) + IF(BH2416&gt;=115%,115%,BH2416)))/_xlfn.XLOOKUP(F2416,Apuração!A:A,Apuração!B:B)&gt;=1.15,1.15,((IF(AZ2416&gt;=115%,115%,AZ2416) + IF(AX2416&gt;=115%,115%,AX2416) + IF(AY2416&gt;=115%,115%,AY2416) + (IF(AW2416&gt;=115%,115%,AW2416) + IF(BA2416&gt;=115%,115%,BA2416) + IF(BB2416&gt;=115%,115%,BB2416) + IF(BC2416&gt;=115%,115%,BC2416) + IF(BD2416&gt;=115%,115%,BD2416) + IF(BE2416&gt;=115%,115%,BE2416) + IF(BF2416&gt;=115%,115%,BF2416) + IF(BG2416&gt;=115%,115%,BG2416) + IF(BH2416&gt;=115%,115%,BH2416)))/_xlfn.XLOOKUP(F2416,Apuração!A:A,Apuração!B:B)))</f>
        <v>0</v>
      </c>
      <c r="BL2416" s="58" cm="1">
        <f t="array" aca="1" ref="BL2416" ca="1">IF(SUM(IFERROR(IF(INDEX(AW2416:INDEX(AW2416:BH2416, MATCH(2, 1/(AW2416:BH2416&lt;&gt;""), 1)-1), ROW(INDIRECT("1:" &amp; MATCH(2, 1/(AW2416:BH2416&lt;&gt;""), 1)-1))) &gt;= 115%, 115%, INDEX(AW2416:INDEX(AW2416:BH2416, MATCH(2, 1/(AW2416:BH2416&lt;&gt;""), 1)-1), ROW(INDIRECT("1:" &amp; MATCH(2, 1/(AW2416:BH2416&lt;&gt;""), 1)-1)))), 0))/_xlfn.XLOOKUP(F2416,Apuração!A:A,Apuração!B:B)&gt;=1.15,1.15,SUM(IFERROR(IF(INDEX(AW2416:INDEX(AW2416:BH2416, MATCH(2, 1/(AW2416:BH2416&lt;&gt;""), 1)-1), ROW(INDIRECT("1:" &amp; MATCH(2, 1/(AW2416:BH2416&lt;&gt;""), 1)-1))) &gt;= 115%, 115%, INDEX(AW2416:INDEX(AW2416:BH2416, MATCH(2, 1/(AW2416:BH2416&lt;&gt;""), 1)-1), ROW(INDIRECT("1:" &amp; MATCH(2, 1/(AW2416:BH2416&lt;&gt;""), 1)-1)))), 0))/_xlfn.XLOOKUP(F2416,Apuração!A:A,Apuração!B:B))</f>
        <v>0</v>
      </c>
      <c r="BM2416" s="55"/>
      <c r="BN2416" s="55"/>
      <c r="BO2416" s="53">
        <f ca="1">IFERROR(_xlfn.XLOOKUP(F2416,Apuração!A:A,Apuração!C:C)/_xlfn.XLOOKUP(F2416,Apuração!A:A,Apuração!B:B),0)</f>
        <v>0</v>
      </c>
      <c r="BP2416" s="53">
        <f ca="1">IFERROR(_xlfn.XLOOKUP(F2416,Apuração!A:A,Apuração!D:D)/_xlfn.XLOOKUP(F2416,Apuração!A:A,Apuração!B:B),0)</f>
        <v>0</v>
      </c>
      <c r="BQ2416" s="53">
        <f ca="1">IF(BK2416&gt;=BO2416,0,_xlfn.XLOOKUP(F2416,Apuração!A:A,Apuração!B:B)*(BO2416 + (1/_xlfn.XLOOKUP(F2416,Apuração!A:A,Apuração!B:B)) - BK2416))</f>
        <v>0</v>
      </c>
      <c r="BR2416" s="85">
        <f t="shared" ca="1" si="2906"/>
        <v>0</v>
      </c>
      <c r="BS2416" s="53">
        <f ca="1">IFERROR((_xlfn.XLOOKUP(F2416,Apuração!A:A,Apuração!C:C)+1)/_xlfn.XLOOKUP(F2416,Apuração!A:A,Apuração!B:B),0)</f>
        <v>0.14285714285714285</v>
      </c>
    </row>
    <row r="2417" spans="1:71" ht="25.95" hidden="1" customHeight="1" x14ac:dyDescent="0.3">
      <c r="A2417" s="41" t="s">
        <v>108</v>
      </c>
      <c r="B2417" s="4" t="s">
        <v>123</v>
      </c>
      <c r="C2417" s="5" t="s">
        <v>221</v>
      </c>
      <c r="D2417" s="5" t="s">
        <v>212</v>
      </c>
      <c r="E2417" s="4" t="s">
        <v>61</v>
      </c>
      <c r="F2417" s="4" t="str" cm="1">
        <f t="array" ref="F2417">_xlfn.IFS(
AG2417 &lt;&gt; "", "Jan-Dez/26",
AH2417 &lt;&gt; "", "Fev-Dez/26",
AI2417 &lt;&gt; "", "Mar-Dez/26", AJ2417 &lt;&gt; "", "Abr-Dez/26",
TRUE, "A partir de Junho"
)</f>
        <v>A partir de Junho</v>
      </c>
      <c r="G2417" s="4" t="s">
        <v>62</v>
      </c>
      <c r="H2417" s="7" t="s">
        <v>38</v>
      </c>
      <c r="I2417" s="8" t="s">
        <v>124</v>
      </c>
      <c r="J2417" s="8" t="str" cm="1">
        <f t="array" aca="1" ref="J2417" ca="1">_xlfn.LET(
  _xlpm.actual_value_month, INDEX(T2417:AE2417, MATCH(DATE(YEAR(TODAY()), MONTH(TODAY()), 1), $T$1:$AE$1, 0)),
  IF(_xlpm.actual_value_month &lt;&gt; "",_xlpm.actual_value_month &amp; " ações mensais", "")
)</f>
        <v/>
      </c>
      <c r="K2417" s="8" t="str" cm="1">
        <f t="array" ref="K2417">_xlfn.LET(
    _xlpm.sum_month, SUM(T2417:AE2417),
    IF(_xlpm.sum_month = 0, "", _xlpm.sum_month &amp; " veículos com telemetria no ano")
)</f>
        <v/>
      </c>
      <c r="L2417" s="4" t="s">
        <v>125</v>
      </c>
      <c r="M2417" s="19"/>
      <c r="N2417" s="5" t="s">
        <v>42</v>
      </c>
      <c r="O2417" s="5"/>
      <c r="P2417" s="10"/>
      <c r="Q2417" s="10"/>
      <c r="R2417" s="11"/>
      <c r="S2417" s="11"/>
      <c r="T2417" s="22"/>
      <c r="U2417" s="22"/>
      <c r="V2417" s="22"/>
      <c r="W2417" s="22"/>
      <c r="X2417" s="22"/>
      <c r="Y2417" s="22"/>
      <c r="Z2417" s="22"/>
      <c r="AA2417" s="22"/>
      <c r="AB2417" s="22"/>
      <c r="AC2417" s="22"/>
      <c r="AD2417" s="22"/>
      <c r="AE2417" s="22"/>
      <c r="AF2417" s="81"/>
      <c r="AG2417" s="71"/>
      <c r="AH2417" s="71"/>
      <c r="AI2417" s="71"/>
      <c r="AJ2417" s="71"/>
      <c r="AK2417" s="71"/>
      <c r="AL2417" s="71"/>
      <c r="AM2417" s="71"/>
      <c r="AN2417" s="71"/>
      <c r="AO2417" s="71"/>
      <c r="AP2417" s="71"/>
      <c r="AQ2417" s="71"/>
      <c r="AR2417" s="71"/>
      <c r="AS2417" s="94"/>
      <c r="AT2417" s="95"/>
      <c r="AU2417" s="97"/>
      <c r="AV2417" s="81"/>
      <c r="AW2417" s="51">
        <f t="shared" ref="AW2417:AW2418" si="2919">IFERROR(IF(AG2417="",0,AG2417/T2417),0)</f>
        <v>0</v>
      </c>
      <c r="AX2417" s="51">
        <f t="shared" ref="AX2417:AX2418" si="2920">IFERROR(IF(AH2417="",0,AH2417/U2417),0)</f>
        <v>0</v>
      </c>
      <c r="AY2417" s="51">
        <f t="shared" ref="AY2417:AY2418" si="2921">IFERROR(IF(AI2417="",0,AI2417/V2417),0)</f>
        <v>0</v>
      </c>
      <c r="AZ2417" s="51">
        <f t="shared" ref="AZ2417:AZ2418" si="2922">IFERROR(IF(AJ2417="",0,AJ2417/W2417),0)</f>
        <v>0</v>
      </c>
      <c r="BA2417" s="51"/>
      <c r="BB2417" s="51"/>
      <c r="BC2417" s="51"/>
      <c r="BD2417" s="51"/>
      <c r="BE2417" s="51"/>
      <c r="BF2417" s="51"/>
      <c r="BG2417" s="51"/>
      <c r="BH2417" s="51"/>
      <c r="BI2417" s="65"/>
      <c r="BJ2417" s="68"/>
      <c r="BK2417" s="58">
        <f>IF((IF(AW2417&gt;=115%,115%,AW2417) + IF(AX2417&gt;=115%,115%,AX2417) + IF(AY2417&gt;=115%,115%,AY2417) + (IF(AZ2417&gt;=115%,115%,AZ2417) + IF(BA2417&gt;=115%,115%,BA2417) + IF(BB2417&gt;=115%,115%,BB2417) + IF(BC2417&gt;=115%,115%,BC2417) + IF(BD2417&gt;=115%,115%,BD2417) + IF(BE2417&gt;=115%,115%,BE2417) + IF(BF2417&gt;=115%,115%,BF2417) + IF(BG2417&gt;=115%,115%,BG2417) + IF(BH2417&gt;=115%,115%,BH2417)))/_xlfn.XLOOKUP(F2417,Apuração!A:A,Apuração!B:B)&gt;=1.15,1.15,((IF(AZ2417&gt;=115%,115%,AZ2417) + IF(AX2417&gt;=115%,115%,AX2417) + IF(AY2417&gt;=115%,115%,AY2417) + (IF(AW2417&gt;=115%,115%,AW2417) + IF(BA2417&gt;=115%,115%,BA2417) + IF(BB2417&gt;=115%,115%,BB2417) + IF(BC2417&gt;=115%,115%,BC2417) + IF(BD2417&gt;=115%,115%,BD2417) + IF(BE2417&gt;=115%,115%,BE2417) + IF(BF2417&gt;=115%,115%,BF2417) + IF(BG2417&gt;=115%,115%,BG2417) + IF(BH2417&gt;=115%,115%,BH2417)))/_xlfn.XLOOKUP(F2417,Apuração!A:A,Apuração!B:B)))</f>
        <v>0</v>
      </c>
      <c r="BL2417" s="58" cm="1">
        <f t="array" aca="1" ref="BL2417" ca="1">IF(SUM(IFERROR(IF(INDEX(AW2417:INDEX(AW2417:BH2417, MATCH(2, 1/(AW2417:BH2417&lt;&gt;""), 1)-1), ROW(INDIRECT("1:" &amp; MATCH(2, 1/(AW2417:BH2417&lt;&gt;""), 1)-1))) &gt;= 115%, 115%, INDEX(AW2417:INDEX(AW2417:BH2417, MATCH(2, 1/(AW2417:BH2417&lt;&gt;""), 1)-1), ROW(INDIRECT("1:" &amp; MATCH(2, 1/(AW2417:BH2417&lt;&gt;""), 1)-1)))), 0))/_xlfn.XLOOKUP(F2417,Apuração!A:A,Apuração!B:B)&gt;=1.15,1.15,SUM(IFERROR(IF(INDEX(AW2417:INDEX(AW2417:BH2417, MATCH(2, 1/(AW2417:BH2417&lt;&gt;""), 1)-1), ROW(INDIRECT("1:" &amp; MATCH(2, 1/(AW2417:BH2417&lt;&gt;""), 1)-1))) &gt;= 115%, 115%, INDEX(AW2417:INDEX(AW2417:BH2417, MATCH(2, 1/(AW2417:BH2417&lt;&gt;""), 1)-1), ROW(INDIRECT("1:" &amp; MATCH(2, 1/(AW2417:BH2417&lt;&gt;""), 1)-1)))), 0))/_xlfn.XLOOKUP(F2417,Apuração!A:A,Apuração!B:B))</f>
        <v>0</v>
      </c>
      <c r="BM2417" s="55"/>
      <c r="BN2417" s="55"/>
      <c r="BO2417" s="53">
        <f ca="1">IFERROR(_xlfn.XLOOKUP(F2417,Apuração!A:A,Apuração!C:C)/_xlfn.XLOOKUP(F2417,Apuração!A:A,Apuração!B:B),0)</f>
        <v>0</v>
      </c>
      <c r="BP2417" s="53">
        <f ca="1">IFERROR(_xlfn.XLOOKUP(F2417,Apuração!A:A,Apuração!D:D)/_xlfn.XLOOKUP(F2417,Apuração!A:A,Apuração!B:B),0)</f>
        <v>0</v>
      </c>
      <c r="BQ2417" s="53">
        <f ca="1">IF(BK2417&gt;=BO2417,0,_xlfn.XLOOKUP(F2417,Apuração!A:A,Apuração!B:B)*(BO2417 + (1/_xlfn.XLOOKUP(F2417,Apuração!A:A,Apuração!B:B)) - BK2417))</f>
        <v>0</v>
      </c>
      <c r="BR2417" s="85">
        <f t="shared" ref="BR2417:BR2418" ca="1" si="2923">IF(BQ2417=0,0,BQ2417*Z2417)</f>
        <v>0</v>
      </c>
      <c r="BS2417" s="53">
        <f ca="1">IFERROR((_xlfn.XLOOKUP(F2417,Apuração!A:A,Apuração!C:C)+1)/_xlfn.XLOOKUP(F2417,Apuração!A:A,Apuração!B:B),0)</f>
        <v>0.14285714285714285</v>
      </c>
    </row>
    <row r="2418" spans="1:71" ht="25.95" hidden="1" customHeight="1" x14ac:dyDescent="0.3">
      <c r="A2418" s="41" t="s">
        <v>108</v>
      </c>
      <c r="B2418" s="4" t="s">
        <v>123</v>
      </c>
      <c r="C2418" s="5" t="s">
        <v>221</v>
      </c>
      <c r="D2418" s="5" t="s">
        <v>213</v>
      </c>
      <c r="E2418" s="4" t="s">
        <v>61</v>
      </c>
      <c r="F2418" s="4" t="str" cm="1">
        <f t="array" ref="F2418">_xlfn.IFS(
AG2418 &lt;&gt; "", "Jan-Dez/26",
AH2418 &lt;&gt; "", "Fev-Dez/26",
AI2418 &lt;&gt; "", "Mar-Dez/26", AJ2418 &lt;&gt; "", "Abr-Dez/26",
TRUE, "A partir de Junho"
)</f>
        <v>A partir de Junho</v>
      </c>
      <c r="G2418" s="4" t="s">
        <v>62</v>
      </c>
      <c r="H2418" s="7" t="s">
        <v>38</v>
      </c>
      <c r="I2418" s="8" t="s">
        <v>124</v>
      </c>
      <c r="J2418" s="8" t="str" cm="1">
        <f t="array" aca="1" ref="J2418" ca="1">_xlfn.LET(
  _xlpm.actual_value_month, INDEX(T2418:AE2418, MATCH(DATE(YEAR(TODAY()), MONTH(TODAY()), 1), $T$1:$AE$1, 0)),
  IF(_xlpm.actual_value_month &lt;&gt; "",_xlpm.actual_value_month &amp; " ações mensais", "")
)</f>
        <v/>
      </c>
      <c r="K2418" s="8" t="str" cm="1">
        <f t="array" ref="K2418">_xlfn.LET(
    _xlpm.sum_month, SUM(T2418:AE2418),
    IF(_xlpm.sum_month = 0, "", _xlpm.sum_month &amp; " veículos com telemetria no ano")
)</f>
        <v/>
      </c>
      <c r="L2418" s="4" t="s">
        <v>125</v>
      </c>
      <c r="M2418" s="19"/>
      <c r="N2418" s="5" t="s">
        <v>42</v>
      </c>
      <c r="O2418" s="5"/>
      <c r="P2418" s="10"/>
      <c r="Q2418" s="10"/>
      <c r="R2418" s="11"/>
      <c r="S2418" s="11"/>
      <c r="T2418" s="22"/>
      <c r="U2418" s="22"/>
      <c r="V2418" s="22"/>
      <c r="W2418" s="22"/>
      <c r="X2418" s="22"/>
      <c r="Y2418" s="22"/>
      <c r="Z2418" s="22"/>
      <c r="AA2418" s="22"/>
      <c r="AB2418" s="22"/>
      <c r="AC2418" s="22"/>
      <c r="AD2418" s="22"/>
      <c r="AE2418" s="22"/>
      <c r="AF2418" s="81"/>
      <c r="AG2418" s="71"/>
      <c r="AH2418" s="71"/>
      <c r="AI2418" s="71"/>
      <c r="AJ2418" s="71"/>
      <c r="AK2418" s="71"/>
      <c r="AL2418" s="71"/>
      <c r="AM2418" s="71"/>
      <c r="AN2418" s="71"/>
      <c r="AO2418" s="71"/>
      <c r="AP2418" s="71"/>
      <c r="AQ2418" s="71"/>
      <c r="AR2418" s="71"/>
      <c r="AS2418" s="94"/>
      <c r="AT2418" s="95"/>
      <c r="AU2418" s="97"/>
      <c r="AV2418" s="81"/>
      <c r="AW2418" s="51">
        <f t="shared" si="2919"/>
        <v>0</v>
      </c>
      <c r="AX2418" s="51">
        <f t="shared" si="2920"/>
        <v>0</v>
      </c>
      <c r="AY2418" s="51">
        <f t="shared" si="2921"/>
        <v>0</v>
      </c>
      <c r="AZ2418" s="51">
        <f t="shared" si="2922"/>
        <v>0</v>
      </c>
      <c r="BA2418" s="51"/>
      <c r="BB2418" s="51"/>
      <c r="BC2418" s="51"/>
      <c r="BD2418" s="51"/>
      <c r="BE2418" s="51"/>
      <c r="BF2418" s="51"/>
      <c r="BG2418" s="51"/>
      <c r="BH2418" s="51"/>
      <c r="BI2418" s="65"/>
      <c r="BJ2418" s="68"/>
      <c r="BK2418" s="58">
        <f>IF((IF(AW2418&gt;=115%,115%,AW2418) + IF(AX2418&gt;=115%,115%,AX2418) + IF(AY2418&gt;=115%,115%,AY2418) + (IF(AZ2418&gt;=115%,115%,AZ2418) + IF(BA2418&gt;=115%,115%,BA2418) + IF(BB2418&gt;=115%,115%,BB2418) + IF(BC2418&gt;=115%,115%,BC2418) + IF(BD2418&gt;=115%,115%,BD2418) + IF(BE2418&gt;=115%,115%,BE2418) + IF(BF2418&gt;=115%,115%,BF2418) + IF(BG2418&gt;=115%,115%,BG2418) + IF(BH2418&gt;=115%,115%,BH2418)))/_xlfn.XLOOKUP(F2418,Apuração!A:A,Apuração!B:B)&gt;=1.15,1.15,((IF(AZ2418&gt;=115%,115%,AZ2418) + IF(AX2418&gt;=115%,115%,AX2418) + IF(AY2418&gt;=115%,115%,AY2418) + (IF(AW2418&gt;=115%,115%,AW2418) + IF(BA2418&gt;=115%,115%,BA2418) + IF(BB2418&gt;=115%,115%,BB2418) + IF(BC2418&gt;=115%,115%,BC2418) + IF(BD2418&gt;=115%,115%,BD2418) + IF(BE2418&gt;=115%,115%,BE2418) + IF(BF2418&gt;=115%,115%,BF2418) + IF(BG2418&gt;=115%,115%,BG2418) + IF(BH2418&gt;=115%,115%,BH2418)))/_xlfn.XLOOKUP(F2418,Apuração!A:A,Apuração!B:B)))</f>
        <v>0</v>
      </c>
      <c r="BL2418" s="58" cm="1">
        <f t="array" aca="1" ref="BL2418" ca="1">IF(SUM(IFERROR(IF(INDEX(AW2418:INDEX(AW2418:BH2418, MATCH(2, 1/(AW2418:BH2418&lt;&gt;""), 1)-1), ROW(INDIRECT("1:" &amp; MATCH(2, 1/(AW2418:BH2418&lt;&gt;""), 1)-1))) &gt;= 115%, 115%, INDEX(AW2418:INDEX(AW2418:BH2418, MATCH(2, 1/(AW2418:BH2418&lt;&gt;""), 1)-1), ROW(INDIRECT("1:" &amp; MATCH(2, 1/(AW2418:BH2418&lt;&gt;""), 1)-1)))), 0))/_xlfn.XLOOKUP(F2418,Apuração!A:A,Apuração!B:B)&gt;=1.15,1.15,SUM(IFERROR(IF(INDEX(AW2418:INDEX(AW2418:BH2418, MATCH(2, 1/(AW2418:BH2418&lt;&gt;""), 1)-1), ROW(INDIRECT("1:" &amp; MATCH(2, 1/(AW2418:BH2418&lt;&gt;""), 1)-1))) &gt;= 115%, 115%, INDEX(AW2418:INDEX(AW2418:BH2418, MATCH(2, 1/(AW2418:BH2418&lt;&gt;""), 1)-1), ROW(INDIRECT("1:" &amp; MATCH(2, 1/(AW2418:BH2418&lt;&gt;""), 1)-1)))), 0))/_xlfn.XLOOKUP(F2418,Apuração!A:A,Apuração!B:B))</f>
        <v>0</v>
      </c>
      <c r="BM2418" s="55"/>
      <c r="BN2418" s="55"/>
      <c r="BO2418" s="53">
        <f ca="1">IFERROR(_xlfn.XLOOKUP(F2418,Apuração!A:A,Apuração!C:C)/_xlfn.XLOOKUP(F2418,Apuração!A:A,Apuração!B:B),0)</f>
        <v>0</v>
      </c>
      <c r="BP2418" s="53">
        <f ca="1">IFERROR(_xlfn.XLOOKUP(F2418,Apuração!A:A,Apuração!D:D)/_xlfn.XLOOKUP(F2418,Apuração!A:A,Apuração!B:B),0)</f>
        <v>0</v>
      </c>
      <c r="BQ2418" s="53">
        <f ca="1">IF(BK2418&gt;=BO2418,0,_xlfn.XLOOKUP(F2418,Apuração!A:A,Apuração!B:B)*(BO2418 + (1/_xlfn.XLOOKUP(F2418,Apuração!A:A,Apuração!B:B)) - BK2418))</f>
        <v>0</v>
      </c>
      <c r="BR2418" s="85">
        <f t="shared" ca="1" si="2923"/>
        <v>0</v>
      </c>
      <c r="BS2418" s="53">
        <f ca="1">IFERROR((_xlfn.XLOOKUP(F2418,Apuração!A:A,Apuração!C:C)+1)/_xlfn.XLOOKUP(F2418,Apuração!A:A,Apuração!B:B),0)</f>
        <v>0.14285714285714285</v>
      </c>
    </row>
    <row r="2419" spans="1:71" ht="25.95" hidden="1" customHeight="1" x14ac:dyDescent="0.3">
      <c r="A2419" s="70" t="s">
        <v>108</v>
      </c>
      <c r="B2419" s="4" t="s">
        <v>123</v>
      </c>
      <c r="C2419" s="5" t="s">
        <v>221</v>
      </c>
      <c r="D2419" s="5" t="s">
        <v>36</v>
      </c>
      <c r="E2419" s="4" t="s">
        <v>61</v>
      </c>
      <c r="F2419" s="4" t="str" cm="1">
        <f t="array" ref="F2419">_xlfn.IFS(
AG2419 &lt;&gt; "", "Jan-Dez/26",
AH2419 &lt;&gt; "", "Fev-Dez/26",
AI2419 &lt;&gt; "", "Mar-Dez/26", AJ2419 &lt;&gt; "", "Abr-Dez/26",
TRUE, "A partir de Junho"
)</f>
        <v>A partir de Junho</v>
      </c>
      <c r="G2419" s="4" t="s">
        <v>62</v>
      </c>
      <c r="H2419" s="7" t="s">
        <v>38</v>
      </c>
      <c r="I2419" s="4" t="s">
        <v>121</v>
      </c>
      <c r="J2419" s="8" t="str" cm="1">
        <f t="array" aca="1" ref="J2419" ca="1">_xlfn.LET(
  _xlpm.actual_value_month, INDEX(T2419:AE2419, MATCH(DATE(YEAR(TODAY()), MONTH(TODAY()), 1), $T$1:$AE$1, 0)),
  IF(_xlpm.actual_value_month &lt;&gt; "",_xlpm.actual_value_month &amp; " ações mensais", "")
)</f>
        <v/>
      </c>
      <c r="K2419" s="8" t="str" cm="1">
        <f t="array" ref="K2419">_xlfn.LET(
    _xlpm.sum_month, SUM(T2419:AE2419),
    IF(_xlpm.sum_month = 0, "", _xlpm.sum_month &amp; " telemetria implementada no ano")
)</f>
        <v/>
      </c>
      <c r="L2419" s="4" t="s">
        <v>126</v>
      </c>
      <c r="M2419" s="19"/>
      <c r="N2419" s="5" t="s">
        <v>51</v>
      </c>
      <c r="O2419" s="5"/>
      <c r="P2419" s="10"/>
      <c r="Q2419" s="10"/>
      <c r="R2419" s="11"/>
      <c r="S2419" s="11"/>
      <c r="T2419" s="22"/>
      <c r="U2419" s="22"/>
      <c r="V2419" s="22"/>
      <c r="W2419" s="22"/>
      <c r="X2419" s="22"/>
      <c r="Y2419" s="22"/>
      <c r="Z2419" s="22"/>
      <c r="AA2419" s="22"/>
      <c r="AB2419" s="22"/>
      <c r="AC2419" s="22"/>
      <c r="AD2419" s="22"/>
      <c r="AE2419" s="22"/>
      <c r="AF2419" s="81"/>
      <c r="AG2419" s="71"/>
      <c r="AH2419" s="71"/>
      <c r="AI2419" s="71"/>
      <c r="AJ2419" s="71"/>
      <c r="AK2419" s="71"/>
      <c r="AL2419" s="71"/>
      <c r="AM2419" s="71"/>
      <c r="AN2419" s="71"/>
      <c r="AO2419" s="71"/>
      <c r="AP2419" s="71"/>
      <c r="AQ2419" s="71"/>
      <c r="AR2419" s="71"/>
      <c r="AS2419" s="94"/>
      <c r="AT2419" s="95"/>
      <c r="AU2419" s="97"/>
      <c r="AV2419" s="81"/>
      <c r="AW2419" s="83">
        <f t="shared" ref="AW2419:BA2437" si="2924">AG2419</f>
        <v>0</v>
      </c>
      <c r="AX2419" s="83">
        <f t="shared" si="2924"/>
        <v>0</v>
      </c>
      <c r="AY2419" s="83">
        <f t="shared" si="2924"/>
        <v>0</v>
      </c>
      <c r="AZ2419" s="83">
        <f t="shared" si="2924"/>
        <v>0</v>
      </c>
      <c r="BA2419" s="52"/>
      <c r="BB2419" s="52"/>
      <c r="BC2419" s="52"/>
      <c r="BD2419" s="52"/>
      <c r="BE2419" s="52"/>
      <c r="BF2419" s="52"/>
      <c r="BG2419" s="52"/>
      <c r="BH2419" s="52"/>
      <c r="BI2419" s="65"/>
      <c r="BJ2419" s="68"/>
      <c r="BK2419" s="59">
        <f>SUM(AW2419:BH2419)</f>
        <v>0</v>
      </c>
      <c r="BL2419" s="59" cm="1">
        <f t="array" ref="BL2419">IFERROR(SUM(AW2419:INDEX(AW2419:BH2419, MATCH(2, 1/(AW2419:BH2419&lt;&gt;""), 1) - 1))/_xlfn.XLOOKUP(F2419,Apuração!A:A,Apuração!B:B),0)</f>
        <v>0</v>
      </c>
      <c r="BM2419" s="55"/>
      <c r="BN2419" s="55"/>
      <c r="BO2419" s="53">
        <f ca="1">IFERROR(_xlfn.XLOOKUP(F2419,Apuração!A:A,Apuração!C:C)/_xlfn.XLOOKUP(F2419,Apuração!A:A,Apuração!B:B),0)</f>
        <v>0</v>
      </c>
      <c r="BP2419" s="53">
        <f ca="1">IFERROR(_xlfn.XLOOKUP(F2419,Apuração!A:A,Apuração!D:D)/_xlfn.XLOOKUP(F2419,Apuração!A:A,Apuração!B:B),0)</f>
        <v>0</v>
      </c>
      <c r="BQ2419" s="53">
        <f ca="1">IF(BK2419&gt;=BO2419,0,_xlfn.XLOOKUP(F2419,Apuração!A:A,Apuração!B:B)*(BO2419 + (1/_xlfn.XLOOKUP(F2419,Apuração!A:A,Apuração!B:B)) - BK2419))</f>
        <v>0</v>
      </c>
      <c r="BR2419" s="85">
        <f t="shared" ca="1" si="2906"/>
        <v>0</v>
      </c>
      <c r="BS2419" s="53">
        <f ca="1">IFERROR((_xlfn.XLOOKUP(F2419,Apuração!A:A,Apuração!C:C)+1)/_xlfn.XLOOKUP(F2419,Apuração!A:A,Apuração!B:B),0)</f>
        <v>0.14285714285714285</v>
      </c>
    </row>
    <row r="2420" spans="1:71" ht="25.95" hidden="1" customHeight="1" x14ac:dyDescent="0.3">
      <c r="A2420" s="70" t="s">
        <v>108</v>
      </c>
      <c r="B2420" s="4" t="s">
        <v>123</v>
      </c>
      <c r="C2420" s="5" t="s">
        <v>221</v>
      </c>
      <c r="D2420" s="5" t="s">
        <v>212</v>
      </c>
      <c r="E2420" s="4" t="s">
        <v>61</v>
      </c>
      <c r="F2420" s="4" t="str" cm="1">
        <f t="array" ref="F2420">_xlfn.IFS(
AG2420 &lt;&gt; "", "Jan-Dez/26",
AH2420 &lt;&gt; "", "Fev-Dez/26",
AI2420 &lt;&gt; "", "Mar-Dez/26", AJ2420 &lt;&gt; "", "Abr-Dez/26",
TRUE, "A partir de Junho"
)</f>
        <v>A partir de Junho</v>
      </c>
      <c r="G2420" s="4" t="s">
        <v>62</v>
      </c>
      <c r="H2420" s="7" t="s">
        <v>38</v>
      </c>
      <c r="I2420" s="4" t="s">
        <v>121</v>
      </c>
      <c r="J2420" s="8" t="str" cm="1">
        <f t="array" aca="1" ref="J2420" ca="1">_xlfn.LET(
  _xlpm.actual_value_month, INDEX(T2420:AE2420, MATCH(DATE(YEAR(TODAY()), MONTH(TODAY()), 1), $T$1:$AE$1, 0)),
  IF(_xlpm.actual_value_month &lt;&gt; "",_xlpm.actual_value_month &amp; " ações mensais", "")
)</f>
        <v/>
      </c>
      <c r="K2420" s="8" t="str" cm="1">
        <f t="array" ref="K2420">_xlfn.LET(
    _xlpm.sum_month, SUM(T2420:AE2420),
    IF(_xlpm.sum_month = 0, "", _xlpm.sum_month &amp; " telemetria implementada no ano")
)</f>
        <v/>
      </c>
      <c r="L2420" s="4" t="s">
        <v>126</v>
      </c>
      <c r="M2420" s="19"/>
      <c r="N2420" s="5" t="s">
        <v>51</v>
      </c>
      <c r="O2420" s="5"/>
      <c r="P2420" s="10"/>
      <c r="Q2420" s="10"/>
      <c r="R2420" s="11"/>
      <c r="S2420" s="11"/>
      <c r="T2420" s="22"/>
      <c r="U2420" s="22"/>
      <c r="V2420" s="22"/>
      <c r="W2420" s="22"/>
      <c r="X2420" s="22"/>
      <c r="Y2420" s="22"/>
      <c r="Z2420" s="22"/>
      <c r="AA2420" s="22"/>
      <c r="AB2420" s="22"/>
      <c r="AC2420" s="22"/>
      <c r="AD2420" s="22"/>
      <c r="AE2420" s="22"/>
      <c r="AF2420" s="81"/>
      <c r="AG2420" s="71"/>
      <c r="AH2420" s="71"/>
      <c r="AI2420" s="71"/>
      <c r="AJ2420" s="71"/>
      <c r="AK2420" s="71"/>
      <c r="AL2420" s="71"/>
      <c r="AM2420" s="71"/>
      <c r="AN2420" s="71"/>
      <c r="AO2420" s="71"/>
      <c r="AP2420" s="71"/>
      <c r="AQ2420" s="71"/>
      <c r="AR2420" s="71"/>
      <c r="AS2420" s="94"/>
      <c r="AT2420" s="95"/>
      <c r="AU2420" s="97"/>
      <c r="AV2420" s="81"/>
      <c r="AW2420" s="83">
        <f t="shared" ref="AW2420:AW2421" si="2925">AG2420</f>
        <v>0</v>
      </c>
      <c r="AX2420" s="83">
        <f t="shared" ref="AX2420:AX2421" si="2926">AH2420</f>
        <v>0</v>
      </c>
      <c r="AY2420" s="83">
        <f t="shared" ref="AY2420:AY2421" si="2927">AI2420</f>
        <v>0</v>
      </c>
      <c r="AZ2420" s="83">
        <f t="shared" ref="AZ2420:AZ2421" si="2928">AJ2420</f>
        <v>0</v>
      </c>
      <c r="BA2420" s="52"/>
      <c r="BB2420" s="52"/>
      <c r="BC2420" s="52"/>
      <c r="BD2420" s="52"/>
      <c r="BE2420" s="52"/>
      <c r="BF2420" s="52"/>
      <c r="BG2420" s="52"/>
      <c r="BH2420" s="52"/>
      <c r="BI2420" s="65"/>
      <c r="BJ2420" s="68"/>
      <c r="BK2420" s="59">
        <f t="shared" ref="BK2420:BK2421" si="2929">SUM(AW2420:BH2420)</f>
        <v>0</v>
      </c>
      <c r="BL2420" s="59" cm="1">
        <f t="array" ref="BL2420">IFERROR(SUM(AW2420:INDEX(AW2420:BH2420, MATCH(2, 1/(AW2420:BH2420&lt;&gt;""), 1) - 1))/_xlfn.XLOOKUP(F2420,Apuração!A:A,Apuração!B:B),0)</f>
        <v>0</v>
      </c>
      <c r="BM2420" s="55"/>
      <c r="BN2420" s="55"/>
      <c r="BO2420" s="53">
        <f ca="1">IFERROR(_xlfn.XLOOKUP(F2420,Apuração!A:A,Apuração!C:C)/_xlfn.XLOOKUP(F2420,Apuração!A:A,Apuração!B:B),0)</f>
        <v>0</v>
      </c>
      <c r="BP2420" s="53">
        <f ca="1">IFERROR(_xlfn.XLOOKUP(F2420,Apuração!A:A,Apuração!D:D)/_xlfn.XLOOKUP(F2420,Apuração!A:A,Apuração!B:B),0)</f>
        <v>0</v>
      </c>
      <c r="BQ2420" s="53">
        <f ca="1">IF(BK2420&gt;=BO2420,0,_xlfn.XLOOKUP(F2420,Apuração!A:A,Apuração!B:B)*(BO2420 + (1/_xlfn.XLOOKUP(F2420,Apuração!A:A,Apuração!B:B)) - BK2420))</f>
        <v>0</v>
      </c>
      <c r="BR2420" s="85">
        <f t="shared" ref="BR2420:BR2421" ca="1" si="2930">IF(BQ2420=0,0,BQ2420*Z2420)</f>
        <v>0</v>
      </c>
      <c r="BS2420" s="53">
        <f ca="1">IFERROR((_xlfn.XLOOKUP(F2420,Apuração!A:A,Apuração!C:C)+1)/_xlfn.XLOOKUP(F2420,Apuração!A:A,Apuração!B:B),0)</f>
        <v>0.14285714285714285</v>
      </c>
    </row>
    <row r="2421" spans="1:71" ht="25.95" hidden="1" customHeight="1" x14ac:dyDescent="0.3">
      <c r="A2421" s="70" t="s">
        <v>108</v>
      </c>
      <c r="B2421" s="4" t="s">
        <v>123</v>
      </c>
      <c r="C2421" s="5" t="s">
        <v>221</v>
      </c>
      <c r="D2421" s="5" t="s">
        <v>213</v>
      </c>
      <c r="E2421" s="4" t="s">
        <v>61</v>
      </c>
      <c r="F2421" s="4" t="str" cm="1">
        <f t="array" ref="F2421">_xlfn.IFS(
AG2421 &lt;&gt; "", "Jan-Dez/26",
AH2421 &lt;&gt; "", "Fev-Dez/26",
AI2421 &lt;&gt; "", "Mar-Dez/26", AJ2421 &lt;&gt; "", "Abr-Dez/26",
TRUE, "A partir de Junho"
)</f>
        <v>A partir de Junho</v>
      </c>
      <c r="G2421" s="4" t="s">
        <v>62</v>
      </c>
      <c r="H2421" s="7" t="s">
        <v>38</v>
      </c>
      <c r="I2421" s="4" t="s">
        <v>121</v>
      </c>
      <c r="J2421" s="8" t="str" cm="1">
        <f t="array" aca="1" ref="J2421" ca="1">_xlfn.LET(
  _xlpm.actual_value_month, INDEX(T2421:AE2421, MATCH(DATE(YEAR(TODAY()), MONTH(TODAY()), 1), $T$1:$AE$1, 0)),
  IF(_xlpm.actual_value_month &lt;&gt; "",_xlpm.actual_value_month &amp; " ações mensais", "")
)</f>
        <v/>
      </c>
      <c r="K2421" s="8" t="str" cm="1">
        <f t="array" ref="K2421">_xlfn.LET(
    _xlpm.sum_month, SUM(T2421:AE2421),
    IF(_xlpm.sum_month = 0, "", _xlpm.sum_month &amp; " telemetria implementada no ano")
)</f>
        <v/>
      </c>
      <c r="L2421" s="4" t="s">
        <v>126</v>
      </c>
      <c r="M2421" s="19"/>
      <c r="N2421" s="5" t="s">
        <v>51</v>
      </c>
      <c r="O2421" s="5"/>
      <c r="P2421" s="10"/>
      <c r="Q2421" s="10"/>
      <c r="R2421" s="11"/>
      <c r="S2421" s="11"/>
      <c r="T2421" s="22"/>
      <c r="U2421" s="22"/>
      <c r="V2421" s="22"/>
      <c r="W2421" s="22"/>
      <c r="X2421" s="22"/>
      <c r="Y2421" s="22"/>
      <c r="Z2421" s="22"/>
      <c r="AA2421" s="22"/>
      <c r="AB2421" s="22"/>
      <c r="AC2421" s="22"/>
      <c r="AD2421" s="22"/>
      <c r="AE2421" s="22"/>
      <c r="AF2421" s="81"/>
      <c r="AG2421" s="71"/>
      <c r="AH2421" s="71"/>
      <c r="AI2421" s="71"/>
      <c r="AJ2421" s="71"/>
      <c r="AK2421" s="71"/>
      <c r="AL2421" s="71"/>
      <c r="AM2421" s="71"/>
      <c r="AN2421" s="71"/>
      <c r="AO2421" s="71"/>
      <c r="AP2421" s="71"/>
      <c r="AQ2421" s="71"/>
      <c r="AR2421" s="71"/>
      <c r="AS2421" s="94"/>
      <c r="AT2421" s="95"/>
      <c r="AU2421" s="97"/>
      <c r="AV2421" s="81"/>
      <c r="AW2421" s="83">
        <f t="shared" si="2925"/>
        <v>0</v>
      </c>
      <c r="AX2421" s="83">
        <f t="shared" si="2926"/>
        <v>0</v>
      </c>
      <c r="AY2421" s="83">
        <f t="shared" si="2927"/>
        <v>0</v>
      </c>
      <c r="AZ2421" s="83">
        <f t="shared" si="2928"/>
        <v>0</v>
      </c>
      <c r="BA2421" s="52"/>
      <c r="BB2421" s="52"/>
      <c r="BC2421" s="52"/>
      <c r="BD2421" s="52"/>
      <c r="BE2421" s="52"/>
      <c r="BF2421" s="52"/>
      <c r="BG2421" s="52"/>
      <c r="BH2421" s="52"/>
      <c r="BI2421" s="65"/>
      <c r="BJ2421" s="68"/>
      <c r="BK2421" s="59">
        <f t="shared" si="2929"/>
        <v>0</v>
      </c>
      <c r="BL2421" s="59" cm="1">
        <f t="array" ref="BL2421">IFERROR(SUM(AW2421:INDEX(AW2421:BH2421, MATCH(2, 1/(AW2421:BH2421&lt;&gt;""), 1) - 1))/_xlfn.XLOOKUP(F2421,Apuração!A:A,Apuração!B:B),0)</f>
        <v>0</v>
      </c>
      <c r="BM2421" s="55"/>
      <c r="BN2421" s="55"/>
      <c r="BO2421" s="53">
        <f ca="1">IFERROR(_xlfn.XLOOKUP(F2421,Apuração!A:A,Apuração!C:C)/_xlfn.XLOOKUP(F2421,Apuração!A:A,Apuração!B:B),0)</f>
        <v>0</v>
      </c>
      <c r="BP2421" s="53">
        <f ca="1">IFERROR(_xlfn.XLOOKUP(F2421,Apuração!A:A,Apuração!D:D)/_xlfn.XLOOKUP(F2421,Apuração!A:A,Apuração!B:B),0)</f>
        <v>0</v>
      </c>
      <c r="BQ2421" s="53">
        <f ca="1">IF(BK2421&gt;=BO2421,0,_xlfn.XLOOKUP(F2421,Apuração!A:A,Apuração!B:B)*(BO2421 + (1/_xlfn.XLOOKUP(F2421,Apuração!A:A,Apuração!B:B)) - BK2421))</f>
        <v>0</v>
      </c>
      <c r="BR2421" s="85">
        <f t="shared" ca="1" si="2930"/>
        <v>0</v>
      </c>
      <c r="BS2421" s="53">
        <f ca="1">IFERROR((_xlfn.XLOOKUP(F2421,Apuração!A:A,Apuração!C:C)+1)/_xlfn.XLOOKUP(F2421,Apuração!A:A,Apuração!B:B),0)</f>
        <v>0.14285714285714285</v>
      </c>
    </row>
    <row r="2422" spans="1:71" ht="25.95" hidden="1" customHeight="1" x14ac:dyDescent="0.3">
      <c r="A2422" s="70" t="s">
        <v>108</v>
      </c>
      <c r="B2422" s="4" t="s">
        <v>123</v>
      </c>
      <c r="C2422" s="5" t="s">
        <v>221</v>
      </c>
      <c r="D2422" s="5" t="s">
        <v>36</v>
      </c>
      <c r="E2422" s="4" t="s">
        <v>61</v>
      </c>
      <c r="F2422" s="4" t="str" cm="1">
        <f t="array" ref="F2422">_xlfn.IFS(
AG2422 &lt;&gt; "", "Jan-Dez/26",
AH2422 &lt;&gt; "", "Fev-Dez/26",
AI2422 &lt;&gt; "", "Mar-Dez/26", AJ2422 &lt;&gt; "", "Abr-Dez/26",
TRUE, "A partir de Junho"
)</f>
        <v>A partir de Junho</v>
      </c>
      <c r="G2422" s="4" t="s">
        <v>62</v>
      </c>
      <c r="H2422" s="7" t="s">
        <v>38</v>
      </c>
      <c r="I2422" s="8" t="s">
        <v>127</v>
      </c>
      <c r="J2422" s="8" t="str" cm="1">
        <f t="array" aca="1" ref="J2422" ca="1">_xlfn.LET(
  _xlpm.actual_value_month, INDEX(T2422:AE2422, MATCH(DATE(YEAR(TODAY()), MONTH(TODAY()), 1), $T$1:$AE$1, 0)),
  IF(_xlpm.actual_value_month &lt;&gt; "",_xlpm.actual_value_month &amp; " ações mensais", "")
)</f>
        <v/>
      </c>
      <c r="K2422" s="8" t="str" cm="1">
        <f t="array" ref="K2422">_xlfn.LET(
    _xlpm.sum_month, SUM(T2422:AE2422),
    IF(_xlpm.sum_month = 0, "", _xlpm.sum_month &amp; " empresas com a prática de controle de telemetria no ano")
)</f>
        <v/>
      </c>
      <c r="L2422" s="4" t="s">
        <v>128</v>
      </c>
      <c r="M2422" s="19"/>
      <c r="N2422" s="5" t="s">
        <v>51</v>
      </c>
      <c r="O2422" s="5"/>
      <c r="P2422" s="10"/>
      <c r="Q2422" s="10"/>
      <c r="R2422" s="11"/>
      <c r="S2422" s="11"/>
      <c r="T2422" s="22"/>
      <c r="U2422" s="22"/>
      <c r="V2422" s="22"/>
      <c r="W2422" s="22"/>
      <c r="X2422" s="22"/>
      <c r="Y2422" s="22"/>
      <c r="Z2422" s="22"/>
      <c r="AA2422" s="22"/>
      <c r="AB2422" s="22"/>
      <c r="AC2422" s="22"/>
      <c r="AD2422" s="22"/>
      <c r="AE2422" s="22"/>
      <c r="AF2422" s="81"/>
      <c r="AG2422" s="71"/>
      <c r="AH2422" s="71"/>
      <c r="AI2422" s="71"/>
      <c r="AJ2422" s="71"/>
      <c r="AK2422" s="71"/>
      <c r="AL2422" s="71"/>
      <c r="AM2422" s="71"/>
      <c r="AN2422" s="71"/>
      <c r="AO2422" s="71"/>
      <c r="AP2422" s="71"/>
      <c r="AQ2422" s="71"/>
      <c r="AR2422" s="71"/>
      <c r="AS2422" s="94"/>
      <c r="AT2422" s="95"/>
      <c r="AU2422" s="97"/>
      <c r="AV2422" s="81"/>
      <c r="AW2422" s="83">
        <f t="shared" si="2924"/>
        <v>0</v>
      </c>
      <c r="AX2422" s="83">
        <f t="shared" si="2924"/>
        <v>0</v>
      </c>
      <c r="AY2422" s="83">
        <f t="shared" si="2924"/>
        <v>0</v>
      </c>
      <c r="AZ2422" s="83">
        <f t="shared" si="2924"/>
        <v>0</v>
      </c>
      <c r="BA2422" s="52"/>
      <c r="BB2422" s="52"/>
      <c r="BC2422" s="52"/>
      <c r="BD2422" s="52"/>
      <c r="BE2422" s="52"/>
      <c r="BF2422" s="52"/>
      <c r="BG2422" s="52"/>
      <c r="BH2422" s="52"/>
      <c r="BI2422" s="65"/>
      <c r="BJ2422" s="68"/>
      <c r="BK2422" s="59">
        <f>SUM(AW2422:BH2422)</f>
        <v>0</v>
      </c>
      <c r="BL2422" s="59" cm="1">
        <f t="array" ref="BL2422">IFERROR(SUM(AW2422:INDEX(AW2422:BH2422, MATCH(2, 1/(AW2422:BH2422&lt;&gt;""), 1) - 1))/_xlfn.XLOOKUP(F2422,Apuração!A:A,Apuração!B:B),0)</f>
        <v>0</v>
      </c>
      <c r="BM2422" s="55"/>
      <c r="BN2422" s="55"/>
      <c r="BO2422" s="53">
        <f ca="1">IFERROR(_xlfn.XLOOKUP(F2422,Apuração!A:A,Apuração!C:C)/_xlfn.XLOOKUP(F2422,Apuração!A:A,Apuração!B:B),0)</f>
        <v>0</v>
      </c>
      <c r="BP2422" s="53">
        <f ca="1">IFERROR(_xlfn.XLOOKUP(F2422,Apuração!A:A,Apuração!D:D)/_xlfn.XLOOKUP(F2422,Apuração!A:A,Apuração!B:B),0)</f>
        <v>0</v>
      </c>
      <c r="BQ2422" s="53">
        <f ca="1">IF(BK2422&gt;=BO2422,0,_xlfn.XLOOKUP(F2422,Apuração!A:A,Apuração!B:B)*(BO2422 + (1/_xlfn.XLOOKUP(F2422,Apuração!A:A,Apuração!B:B)) - BK2422))</f>
        <v>0</v>
      </c>
      <c r="BR2422" s="85">
        <f t="shared" ca="1" si="2906"/>
        <v>0</v>
      </c>
      <c r="BS2422" s="53">
        <f ca="1">IFERROR((_xlfn.XLOOKUP(F2422,Apuração!A:A,Apuração!C:C)+1)/_xlfn.XLOOKUP(F2422,Apuração!A:A,Apuração!B:B),0)</f>
        <v>0.14285714285714285</v>
      </c>
    </row>
    <row r="2423" spans="1:71" ht="25.95" hidden="1" customHeight="1" x14ac:dyDescent="0.3">
      <c r="A2423" s="70" t="s">
        <v>108</v>
      </c>
      <c r="B2423" s="4" t="s">
        <v>123</v>
      </c>
      <c r="C2423" s="5" t="s">
        <v>221</v>
      </c>
      <c r="D2423" s="5" t="s">
        <v>212</v>
      </c>
      <c r="E2423" s="4" t="s">
        <v>61</v>
      </c>
      <c r="F2423" s="4" t="str" cm="1">
        <f t="array" ref="F2423">_xlfn.IFS(
AG2423 &lt;&gt; "", "Jan-Dez/26",
AH2423 &lt;&gt; "", "Fev-Dez/26",
AI2423 &lt;&gt; "", "Mar-Dez/26", AJ2423 &lt;&gt; "", "Abr-Dez/26",
TRUE, "A partir de Junho"
)</f>
        <v>A partir de Junho</v>
      </c>
      <c r="G2423" s="4" t="s">
        <v>62</v>
      </c>
      <c r="H2423" s="7" t="s">
        <v>38</v>
      </c>
      <c r="I2423" s="8" t="s">
        <v>127</v>
      </c>
      <c r="J2423" s="8" t="str" cm="1">
        <f t="array" aca="1" ref="J2423" ca="1">_xlfn.LET(
  _xlpm.actual_value_month, INDEX(T2423:AE2423, MATCH(DATE(YEAR(TODAY()), MONTH(TODAY()), 1), $T$1:$AE$1, 0)),
  IF(_xlpm.actual_value_month &lt;&gt; "",_xlpm.actual_value_month &amp; " ações mensais", "")
)</f>
        <v/>
      </c>
      <c r="K2423" s="8" t="str" cm="1">
        <f t="array" ref="K2423">_xlfn.LET(
    _xlpm.sum_month, SUM(T2423:AE2423),
    IF(_xlpm.sum_month = 0, "", _xlpm.sum_month &amp; " empresas com a prática de controle de telemetria no ano")
)</f>
        <v/>
      </c>
      <c r="L2423" s="4" t="s">
        <v>128</v>
      </c>
      <c r="M2423" s="19"/>
      <c r="N2423" s="5" t="s">
        <v>51</v>
      </c>
      <c r="O2423" s="5"/>
      <c r="P2423" s="10"/>
      <c r="Q2423" s="10"/>
      <c r="R2423" s="11"/>
      <c r="S2423" s="11"/>
      <c r="T2423" s="22"/>
      <c r="U2423" s="22"/>
      <c r="V2423" s="22"/>
      <c r="W2423" s="22"/>
      <c r="X2423" s="22"/>
      <c r="Y2423" s="22"/>
      <c r="Z2423" s="22"/>
      <c r="AA2423" s="22"/>
      <c r="AB2423" s="22"/>
      <c r="AC2423" s="22"/>
      <c r="AD2423" s="22"/>
      <c r="AE2423" s="22"/>
      <c r="AF2423" s="81"/>
      <c r="AG2423" s="71"/>
      <c r="AH2423" s="71"/>
      <c r="AI2423" s="71"/>
      <c r="AJ2423" s="71"/>
      <c r="AK2423" s="71"/>
      <c r="AL2423" s="71"/>
      <c r="AM2423" s="71"/>
      <c r="AN2423" s="71"/>
      <c r="AO2423" s="71"/>
      <c r="AP2423" s="71"/>
      <c r="AQ2423" s="71"/>
      <c r="AR2423" s="71"/>
      <c r="AS2423" s="94"/>
      <c r="AT2423" s="95"/>
      <c r="AU2423" s="97"/>
      <c r="AV2423" s="81"/>
      <c r="AW2423" s="83">
        <f t="shared" ref="AW2423:AW2424" si="2931">AG2423</f>
        <v>0</v>
      </c>
      <c r="AX2423" s="83">
        <f t="shared" ref="AX2423:AX2424" si="2932">AH2423</f>
        <v>0</v>
      </c>
      <c r="AY2423" s="83">
        <f t="shared" ref="AY2423:AY2424" si="2933">AI2423</f>
        <v>0</v>
      </c>
      <c r="AZ2423" s="83">
        <f t="shared" ref="AZ2423:AZ2424" si="2934">AJ2423</f>
        <v>0</v>
      </c>
      <c r="BA2423" s="52"/>
      <c r="BB2423" s="52"/>
      <c r="BC2423" s="52"/>
      <c r="BD2423" s="52"/>
      <c r="BE2423" s="52"/>
      <c r="BF2423" s="52"/>
      <c r="BG2423" s="52"/>
      <c r="BH2423" s="52"/>
      <c r="BI2423" s="65"/>
      <c r="BJ2423" s="68"/>
      <c r="BK2423" s="59">
        <f t="shared" ref="BK2423:BK2424" si="2935">SUM(AW2423:BH2423)</f>
        <v>0</v>
      </c>
      <c r="BL2423" s="59" cm="1">
        <f t="array" ref="BL2423">IFERROR(SUM(AW2423:INDEX(AW2423:BH2423, MATCH(2, 1/(AW2423:BH2423&lt;&gt;""), 1) - 1))/_xlfn.XLOOKUP(F2423,Apuração!A:A,Apuração!B:B),0)</f>
        <v>0</v>
      </c>
      <c r="BM2423" s="55"/>
      <c r="BN2423" s="55"/>
      <c r="BO2423" s="53">
        <f ca="1">IFERROR(_xlfn.XLOOKUP(F2423,Apuração!A:A,Apuração!C:C)/_xlfn.XLOOKUP(F2423,Apuração!A:A,Apuração!B:B),0)</f>
        <v>0</v>
      </c>
      <c r="BP2423" s="53">
        <f ca="1">IFERROR(_xlfn.XLOOKUP(F2423,Apuração!A:A,Apuração!D:D)/_xlfn.XLOOKUP(F2423,Apuração!A:A,Apuração!B:B),0)</f>
        <v>0</v>
      </c>
      <c r="BQ2423" s="53">
        <f ca="1">IF(BK2423&gt;=BO2423,0,_xlfn.XLOOKUP(F2423,Apuração!A:A,Apuração!B:B)*(BO2423 + (1/_xlfn.XLOOKUP(F2423,Apuração!A:A,Apuração!B:B)) - BK2423))</f>
        <v>0</v>
      </c>
      <c r="BR2423" s="85">
        <f t="shared" ref="BR2423:BR2424" ca="1" si="2936">IF(BQ2423=0,0,BQ2423*Z2423)</f>
        <v>0</v>
      </c>
      <c r="BS2423" s="53">
        <f ca="1">IFERROR((_xlfn.XLOOKUP(F2423,Apuração!A:A,Apuração!C:C)+1)/_xlfn.XLOOKUP(F2423,Apuração!A:A,Apuração!B:B),0)</f>
        <v>0.14285714285714285</v>
      </c>
    </row>
    <row r="2424" spans="1:71" ht="25.95" hidden="1" customHeight="1" x14ac:dyDescent="0.3">
      <c r="A2424" s="70" t="s">
        <v>108</v>
      </c>
      <c r="B2424" s="4" t="s">
        <v>123</v>
      </c>
      <c r="C2424" s="5" t="s">
        <v>221</v>
      </c>
      <c r="D2424" s="5" t="s">
        <v>213</v>
      </c>
      <c r="E2424" s="4" t="s">
        <v>61</v>
      </c>
      <c r="F2424" s="4" t="str" cm="1">
        <f t="array" ref="F2424">_xlfn.IFS(
AG2424 &lt;&gt; "", "Jan-Dez/26",
AH2424 &lt;&gt; "", "Fev-Dez/26",
AI2424 &lt;&gt; "", "Mar-Dez/26", AJ2424 &lt;&gt; "", "Abr-Dez/26",
TRUE, "A partir de Junho"
)</f>
        <v>A partir de Junho</v>
      </c>
      <c r="G2424" s="4" t="s">
        <v>62</v>
      </c>
      <c r="H2424" s="7" t="s">
        <v>38</v>
      </c>
      <c r="I2424" s="8" t="s">
        <v>127</v>
      </c>
      <c r="J2424" s="8" t="str" cm="1">
        <f t="array" aca="1" ref="J2424" ca="1">_xlfn.LET(
  _xlpm.actual_value_month, INDEX(T2424:AE2424, MATCH(DATE(YEAR(TODAY()), MONTH(TODAY()), 1), $T$1:$AE$1, 0)),
  IF(_xlpm.actual_value_month &lt;&gt; "",_xlpm.actual_value_month &amp; " ações mensais", "")
)</f>
        <v/>
      </c>
      <c r="K2424" s="8" t="str" cm="1">
        <f t="array" ref="K2424">_xlfn.LET(
    _xlpm.sum_month, SUM(T2424:AE2424),
    IF(_xlpm.sum_month = 0, "", _xlpm.sum_month &amp; " empresas com a prática de controle de telemetria no ano")
)</f>
        <v/>
      </c>
      <c r="L2424" s="4" t="s">
        <v>128</v>
      </c>
      <c r="M2424" s="19"/>
      <c r="N2424" s="5" t="s">
        <v>51</v>
      </c>
      <c r="O2424" s="5"/>
      <c r="P2424" s="10"/>
      <c r="Q2424" s="10"/>
      <c r="R2424" s="11"/>
      <c r="S2424" s="11"/>
      <c r="T2424" s="22"/>
      <c r="U2424" s="22"/>
      <c r="V2424" s="22"/>
      <c r="W2424" s="22"/>
      <c r="X2424" s="22"/>
      <c r="Y2424" s="22"/>
      <c r="Z2424" s="22"/>
      <c r="AA2424" s="22"/>
      <c r="AB2424" s="22"/>
      <c r="AC2424" s="22"/>
      <c r="AD2424" s="22"/>
      <c r="AE2424" s="22"/>
      <c r="AF2424" s="81"/>
      <c r="AG2424" s="71"/>
      <c r="AH2424" s="71"/>
      <c r="AI2424" s="71"/>
      <c r="AJ2424" s="71"/>
      <c r="AK2424" s="71"/>
      <c r="AL2424" s="71"/>
      <c r="AM2424" s="71"/>
      <c r="AN2424" s="71"/>
      <c r="AO2424" s="71"/>
      <c r="AP2424" s="71"/>
      <c r="AQ2424" s="71"/>
      <c r="AR2424" s="71"/>
      <c r="AS2424" s="94"/>
      <c r="AT2424" s="95"/>
      <c r="AU2424" s="97"/>
      <c r="AV2424" s="81"/>
      <c r="AW2424" s="83">
        <f t="shared" si="2931"/>
        <v>0</v>
      </c>
      <c r="AX2424" s="83">
        <f t="shared" si="2932"/>
        <v>0</v>
      </c>
      <c r="AY2424" s="83">
        <f t="shared" si="2933"/>
        <v>0</v>
      </c>
      <c r="AZ2424" s="83">
        <f t="shared" si="2934"/>
        <v>0</v>
      </c>
      <c r="BA2424" s="52"/>
      <c r="BB2424" s="52"/>
      <c r="BC2424" s="52"/>
      <c r="BD2424" s="52"/>
      <c r="BE2424" s="52"/>
      <c r="BF2424" s="52"/>
      <c r="BG2424" s="52"/>
      <c r="BH2424" s="52"/>
      <c r="BI2424" s="65"/>
      <c r="BJ2424" s="68"/>
      <c r="BK2424" s="59">
        <f t="shared" si="2935"/>
        <v>0</v>
      </c>
      <c r="BL2424" s="59" cm="1">
        <f t="array" ref="BL2424">IFERROR(SUM(AW2424:INDEX(AW2424:BH2424, MATCH(2, 1/(AW2424:BH2424&lt;&gt;""), 1) - 1))/_xlfn.XLOOKUP(F2424,Apuração!A:A,Apuração!B:B),0)</f>
        <v>0</v>
      </c>
      <c r="BM2424" s="55"/>
      <c r="BN2424" s="55"/>
      <c r="BO2424" s="53">
        <f ca="1">IFERROR(_xlfn.XLOOKUP(F2424,Apuração!A:A,Apuração!C:C)/_xlfn.XLOOKUP(F2424,Apuração!A:A,Apuração!B:B),0)</f>
        <v>0</v>
      </c>
      <c r="BP2424" s="53">
        <f ca="1">IFERROR(_xlfn.XLOOKUP(F2424,Apuração!A:A,Apuração!D:D)/_xlfn.XLOOKUP(F2424,Apuração!A:A,Apuração!B:B),0)</f>
        <v>0</v>
      </c>
      <c r="BQ2424" s="53">
        <f ca="1">IF(BK2424&gt;=BO2424,0,_xlfn.XLOOKUP(F2424,Apuração!A:A,Apuração!B:B)*(BO2424 + (1/_xlfn.XLOOKUP(F2424,Apuração!A:A,Apuração!B:B)) - BK2424))</f>
        <v>0</v>
      </c>
      <c r="BR2424" s="85">
        <f t="shared" ca="1" si="2936"/>
        <v>0</v>
      </c>
      <c r="BS2424" s="53">
        <f ca="1">IFERROR((_xlfn.XLOOKUP(F2424,Apuração!A:A,Apuração!C:C)+1)/_xlfn.XLOOKUP(F2424,Apuração!A:A,Apuração!B:B),0)</f>
        <v>0.14285714285714285</v>
      </c>
    </row>
    <row r="2425" spans="1:71" ht="25.95" hidden="1" customHeight="1" x14ac:dyDescent="0.3">
      <c r="A2425" s="70" t="s">
        <v>108</v>
      </c>
      <c r="B2425" s="4" t="s">
        <v>117</v>
      </c>
      <c r="C2425" s="5" t="s">
        <v>221</v>
      </c>
      <c r="D2425" s="5" t="s">
        <v>36</v>
      </c>
      <c r="E2425" s="4" t="s">
        <v>118</v>
      </c>
      <c r="F2425" s="4" t="str" cm="1">
        <f t="array" ref="F2425">_xlfn.IFS(
AG2425 &lt;&gt; "", "Jan-Dez/26",
AH2425 &lt;&gt; "", "Fev-Dez/26",
AI2425 &lt;&gt; "", "Mar-Dez/26", AJ2425 &lt;&gt; "", "Abr-Dez/26",
TRUE, "A partir de Junho"
)</f>
        <v>Jan-Dez/26</v>
      </c>
      <c r="G2425" s="4" t="s">
        <v>37</v>
      </c>
      <c r="H2425" s="7" t="s">
        <v>38</v>
      </c>
      <c r="I2425" s="4" t="s">
        <v>119</v>
      </c>
      <c r="J2425" s="8" t="str" cm="1">
        <f t="array" aca="1" ref="J2425" ca="1">_xlfn.LET(
  _xlpm.actual_value_month, INDEX(T2425:AE2425, MATCH(DATE(YEAR(TODAY()), MONTH(TODAY()), 1), $T$1:$AE$1, 0)),
  IF(_xlpm.actual_value_month &lt;&gt; "",_xlpm.actual_value_month &amp; " ações mensais", "")
)</f>
        <v/>
      </c>
      <c r="K2425" s="8" t="str" cm="1">
        <f t="array" ref="K2425">_xlfn.LET(
    _xlpm.sum_month, SUM(T2425:AE2425),
    IF(_xlpm.sum_month = 0, "", _xlpm.sum_month &amp; " taxa de redução das notificações de excesso de velocidade no ano")
)</f>
        <v/>
      </c>
      <c r="L2425" s="4" t="s">
        <v>120</v>
      </c>
      <c r="M2425" s="19"/>
      <c r="N2425" s="5" t="s">
        <v>51</v>
      </c>
      <c r="O2425" s="5"/>
      <c r="P2425" s="10"/>
      <c r="Q2425" s="10"/>
      <c r="R2425" s="11"/>
      <c r="S2425" s="11"/>
      <c r="T2425" s="22"/>
      <c r="U2425" s="22"/>
      <c r="V2425" s="22"/>
      <c r="W2425" s="22"/>
      <c r="X2425" s="22"/>
      <c r="Y2425" s="22"/>
      <c r="Z2425" s="22"/>
      <c r="AA2425" s="22"/>
      <c r="AB2425" s="22"/>
      <c r="AC2425" s="22"/>
      <c r="AD2425" s="22"/>
      <c r="AE2425" s="22"/>
      <c r="AF2425" s="81"/>
      <c r="AG2425" s="71">
        <v>2316</v>
      </c>
      <c r="AH2425" s="71">
        <v>2849</v>
      </c>
      <c r="AI2425" s="71">
        <v>1735</v>
      </c>
      <c r="AJ2425" s="71"/>
      <c r="AK2425" s="71"/>
      <c r="AL2425" s="71"/>
      <c r="AM2425" s="71"/>
      <c r="AN2425" s="71"/>
      <c r="AO2425" s="71"/>
      <c r="AP2425" s="71"/>
      <c r="AQ2425" s="71"/>
      <c r="AR2425" s="71"/>
      <c r="AS2425" s="94"/>
      <c r="AT2425" s="95"/>
      <c r="AU2425" s="97"/>
      <c r="AV2425" s="81"/>
      <c r="AW2425" s="83">
        <f t="shared" si="2924"/>
        <v>2316</v>
      </c>
      <c r="AX2425" s="83">
        <f t="shared" si="2924"/>
        <v>2849</v>
      </c>
      <c r="AY2425" s="83">
        <f t="shared" si="2924"/>
        <v>1735</v>
      </c>
      <c r="AZ2425" s="83">
        <f t="shared" si="2924"/>
        <v>0</v>
      </c>
      <c r="BA2425" s="83"/>
      <c r="BB2425" s="83"/>
      <c r="BC2425" s="83"/>
      <c r="BD2425" s="83"/>
      <c r="BE2425" s="83"/>
      <c r="BF2425" s="83"/>
      <c r="BG2425" s="83"/>
      <c r="BH2425" s="83"/>
      <c r="BI2425" s="65"/>
      <c r="BJ2425" s="68"/>
      <c r="BK2425" s="59">
        <f>SUM(AW2425:BH2425)</f>
        <v>6900</v>
      </c>
      <c r="BL2425" s="59" cm="1">
        <f t="array" ref="BL2425">IFERROR(SUM(AW2425:INDEX(AW2425:BH2425, MATCH(2, 1/(AW2425:BH2425&lt;&gt;""), 1) - 1))/_xlfn.XLOOKUP(F2425,Apuração!A:A,Apuração!B:B),0)</f>
        <v>575</v>
      </c>
      <c r="BM2425" s="55"/>
      <c r="BN2425" s="55"/>
      <c r="BO2425" s="53">
        <f ca="1">IFERROR(_xlfn.XLOOKUP(F2425,Apuração!A:A,Apuração!C:C)/_xlfn.XLOOKUP(F2425,Apuração!A:A,Apuração!B:B),0)</f>
        <v>0.41666666666666669</v>
      </c>
      <c r="BP2425" s="53">
        <f ca="1">IFERROR(_xlfn.XLOOKUP(F2425,Apuração!A:A,Apuração!D:D)/_xlfn.XLOOKUP(F2425,Apuração!A:A,Apuração!B:B),0)</f>
        <v>0.33333333333333331</v>
      </c>
      <c r="BQ2425" s="53">
        <f ca="1">IF(BK2425&gt;=BO2425,0,_xlfn.XLOOKUP(F2425,Apuração!A:A,Apuração!B:B)*(BO2425 + (1/_xlfn.XLOOKUP(F2425,Apuração!A:A,Apuração!B:B)) - BK2425))</f>
        <v>0</v>
      </c>
      <c r="BR2425" s="85">
        <f t="shared" ca="1" si="2906"/>
        <v>0</v>
      </c>
      <c r="BS2425" s="53">
        <f ca="1">IFERROR((_xlfn.XLOOKUP(F2425,Apuração!A:A,Apuração!C:C)+1)/_xlfn.XLOOKUP(F2425,Apuração!A:A,Apuração!B:B),0)</f>
        <v>0.5</v>
      </c>
    </row>
    <row r="2426" spans="1:71" ht="25.95" hidden="1" customHeight="1" x14ac:dyDescent="0.3">
      <c r="A2426" s="70" t="s">
        <v>108</v>
      </c>
      <c r="B2426" s="4" t="s">
        <v>117</v>
      </c>
      <c r="C2426" s="5" t="s">
        <v>221</v>
      </c>
      <c r="D2426" s="5" t="s">
        <v>212</v>
      </c>
      <c r="E2426" s="4" t="s">
        <v>118</v>
      </c>
      <c r="F2426" s="4" t="str" cm="1">
        <f t="array" ref="F2426">_xlfn.IFS(
AG2426 &lt;&gt; "", "Jan-Dez/26",
AH2426 &lt;&gt; "", "Fev-Dez/26",
AI2426 &lt;&gt; "", "Mar-Dez/26", AJ2426 &lt;&gt; "", "Abr-Dez/26",
TRUE, "A partir de Junho"
)</f>
        <v>A partir de Junho</v>
      </c>
      <c r="G2426" s="4" t="s">
        <v>37</v>
      </c>
      <c r="H2426" s="7" t="s">
        <v>38</v>
      </c>
      <c r="I2426" s="4" t="s">
        <v>119</v>
      </c>
      <c r="J2426" s="8" t="str" cm="1">
        <f t="array" aca="1" ref="J2426" ca="1">_xlfn.LET(
  _xlpm.actual_value_month, INDEX(T2426:AE2426, MATCH(DATE(YEAR(TODAY()), MONTH(TODAY()), 1), $T$1:$AE$1, 0)),
  IF(_xlpm.actual_value_month &lt;&gt; "",_xlpm.actual_value_month &amp; " ações mensais", "")
)</f>
        <v/>
      </c>
      <c r="K2426" s="8" t="str" cm="1">
        <f t="array" ref="K2426">_xlfn.LET(
    _xlpm.sum_month, SUM(T2426:AE2426),
    IF(_xlpm.sum_month = 0, "", _xlpm.sum_month &amp; " taxa de redução das notificações de excesso de velocidade no ano")
)</f>
        <v/>
      </c>
      <c r="L2426" s="4" t="s">
        <v>120</v>
      </c>
      <c r="M2426" s="19"/>
      <c r="N2426" s="5" t="s">
        <v>51</v>
      </c>
      <c r="O2426" s="5"/>
      <c r="P2426" s="10"/>
      <c r="Q2426" s="10"/>
      <c r="R2426" s="11"/>
      <c r="S2426" s="11"/>
      <c r="T2426" s="22"/>
      <c r="U2426" s="22"/>
      <c r="V2426" s="22"/>
      <c r="W2426" s="22"/>
      <c r="X2426" s="22"/>
      <c r="Y2426" s="22"/>
      <c r="Z2426" s="22"/>
      <c r="AA2426" s="22"/>
      <c r="AB2426" s="22"/>
      <c r="AC2426" s="22"/>
      <c r="AD2426" s="22"/>
      <c r="AE2426" s="22"/>
      <c r="AF2426" s="81"/>
      <c r="AG2426" s="71"/>
      <c r="AH2426" s="71"/>
      <c r="AI2426" s="71"/>
      <c r="AJ2426" s="71"/>
      <c r="AK2426" s="71"/>
      <c r="AL2426" s="71"/>
      <c r="AM2426" s="71"/>
      <c r="AN2426" s="71"/>
      <c r="AO2426" s="71"/>
      <c r="AP2426" s="71"/>
      <c r="AQ2426" s="71"/>
      <c r="AR2426" s="71"/>
      <c r="AS2426" s="94"/>
      <c r="AT2426" s="95"/>
      <c r="AU2426" s="97"/>
      <c r="AV2426" s="81"/>
      <c r="AW2426" s="83">
        <f t="shared" ref="AW2426:AW2427" si="2937">AG2426</f>
        <v>0</v>
      </c>
      <c r="AX2426" s="83">
        <f t="shared" ref="AX2426:AX2427" si="2938">AH2426</f>
        <v>0</v>
      </c>
      <c r="AY2426" s="83">
        <f t="shared" ref="AY2426:AY2427" si="2939">AI2426</f>
        <v>0</v>
      </c>
      <c r="AZ2426" s="83">
        <f t="shared" ref="AZ2426:AZ2427" si="2940">AJ2426</f>
        <v>0</v>
      </c>
      <c r="BA2426" s="83"/>
      <c r="BB2426" s="83"/>
      <c r="BC2426" s="83"/>
      <c r="BD2426" s="83"/>
      <c r="BE2426" s="83"/>
      <c r="BF2426" s="83"/>
      <c r="BG2426" s="83"/>
      <c r="BH2426" s="83"/>
      <c r="BI2426" s="65"/>
      <c r="BJ2426" s="68"/>
      <c r="BK2426" s="59">
        <f t="shared" ref="BK2426:BK2427" si="2941">SUM(AW2426:BH2426)</f>
        <v>0</v>
      </c>
      <c r="BL2426" s="59" cm="1">
        <f t="array" ref="BL2426">IFERROR(SUM(AW2426:INDEX(AW2426:BH2426, MATCH(2, 1/(AW2426:BH2426&lt;&gt;""), 1) - 1))/_xlfn.XLOOKUP(F2426,Apuração!A:A,Apuração!B:B),0)</f>
        <v>0</v>
      </c>
      <c r="BM2426" s="55"/>
      <c r="BN2426" s="55"/>
      <c r="BO2426" s="53">
        <f ca="1">IFERROR(_xlfn.XLOOKUP(F2426,Apuração!A:A,Apuração!C:C)/_xlfn.XLOOKUP(F2426,Apuração!A:A,Apuração!B:B),0)</f>
        <v>0</v>
      </c>
      <c r="BP2426" s="53">
        <f ca="1">IFERROR(_xlfn.XLOOKUP(F2426,Apuração!A:A,Apuração!D:D)/_xlfn.XLOOKUP(F2426,Apuração!A:A,Apuração!B:B),0)</f>
        <v>0</v>
      </c>
      <c r="BQ2426" s="53">
        <f ca="1">IF(BK2426&gt;=BO2426,0,_xlfn.XLOOKUP(F2426,Apuração!A:A,Apuração!B:B)*(BO2426 + (1/_xlfn.XLOOKUP(F2426,Apuração!A:A,Apuração!B:B)) - BK2426))</f>
        <v>0</v>
      </c>
      <c r="BR2426" s="85">
        <f t="shared" ref="BR2426:BR2427" ca="1" si="2942">IF(BQ2426=0,0,BQ2426*Z2426)</f>
        <v>0</v>
      </c>
      <c r="BS2426" s="53">
        <f ca="1">IFERROR((_xlfn.XLOOKUP(F2426,Apuração!A:A,Apuração!C:C)+1)/_xlfn.XLOOKUP(F2426,Apuração!A:A,Apuração!B:B),0)</f>
        <v>0.14285714285714285</v>
      </c>
    </row>
    <row r="2427" spans="1:71" ht="25.95" hidden="1" customHeight="1" x14ac:dyDescent="0.3">
      <c r="A2427" s="70" t="s">
        <v>108</v>
      </c>
      <c r="B2427" s="4" t="s">
        <v>117</v>
      </c>
      <c r="C2427" s="5" t="s">
        <v>221</v>
      </c>
      <c r="D2427" s="5" t="s">
        <v>213</v>
      </c>
      <c r="E2427" s="4" t="s">
        <v>118</v>
      </c>
      <c r="F2427" s="4" t="str" cm="1">
        <f t="array" ref="F2427">_xlfn.IFS(
AG2427 &lt;&gt; "", "Jan-Dez/26",
AH2427 &lt;&gt; "", "Fev-Dez/26",
AI2427 &lt;&gt; "", "Mar-Dez/26", AJ2427 &lt;&gt; "", "Abr-Dez/26",
TRUE, "A partir de Junho"
)</f>
        <v>A partir de Junho</v>
      </c>
      <c r="G2427" s="4" t="s">
        <v>37</v>
      </c>
      <c r="H2427" s="7" t="s">
        <v>38</v>
      </c>
      <c r="I2427" s="4" t="s">
        <v>119</v>
      </c>
      <c r="J2427" s="8" t="str" cm="1">
        <f t="array" aca="1" ref="J2427" ca="1">_xlfn.LET(
  _xlpm.actual_value_month, INDEX(T2427:AE2427, MATCH(DATE(YEAR(TODAY()), MONTH(TODAY()), 1), $T$1:$AE$1, 0)),
  IF(_xlpm.actual_value_month &lt;&gt; "",_xlpm.actual_value_month &amp; " ações mensais", "")
)</f>
        <v/>
      </c>
      <c r="K2427" s="8" t="str" cm="1">
        <f t="array" ref="K2427">_xlfn.LET(
    _xlpm.sum_month, SUM(T2427:AE2427),
    IF(_xlpm.sum_month = 0, "", _xlpm.sum_month &amp; " taxa de redução das notificações de excesso de velocidade no ano")
)</f>
        <v/>
      </c>
      <c r="L2427" s="4" t="s">
        <v>120</v>
      </c>
      <c r="M2427" s="19"/>
      <c r="N2427" s="5" t="s">
        <v>51</v>
      </c>
      <c r="O2427" s="5"/>
      <c r="P2427" s="10"/>
      <c r="Q2427" s="10"/>
      <c r="R2427" s="11"/>
      <c r="S2427" s="11"/>
      <c r="T2427" s="22"/>
      <c r="U2427" s="22"/>
      <c r="V2427" s="22"/>
      <c r="W2427" s="22"/>
      <c r="X2427" s="22"/>
      <c r="Y2427" s="22"/>
      <c r="Z2427" s="22"/>
      <c r="AA2427" s="22"/>
      <c r="AB2427" s="22"/>
      <c r="AC2427" s="22"/>
      <c r="AD2427" s="22"/>
      <c r="AE2427" s="22"/>
      <c r="AF2427" s="81"/>
      <c r="AG2427" s="71"/>
      <c r="AH2427" s="71"/>
      <c r="AI2427" s="71"/>
      <c r="AJ2427" s="71"/>
      <c r="AK2427" s="71"/>
      <c r="AL2427" s="71"/>
      <c r="AM2427" s="71"/>
      <c r="AN2427" s="71"/>
      <c r="AO2427" s="71"/>
      <c r="AP2427" s="71"/>
      <c r="AQ2427" s="71"/>
      <c r="AR2427" s="71"/>
      <c r="AS2427" s="94"/>
      <c r="AT2427" s="95"/>
      <c r="AU2427" s="97"/>
      <c r="AV2427" s="81"/>
      <c r="AW2427" s="83">
        <f t="shared" si="2937"/>
        <v>0</v>
      </c>
      <c r="AX2427" s="83">
        <f t="shared" si="2938"/>
        <v>0</v>
      </c>
      <c r="AY2427" s="83">
        <f t="shared" si="2939"/>
        <v>0</v>
      </c>
      <c r="AZ2427" s="83">
        <f t="shared" si="2940"/>
        <v>0</v>
      </c>
      <c r="BA2427" s="83"/>
      <c r="BB2427" s="83"/>
      <c r="BC2427" s="83"/>
      <c r="BD2427" s="83"/>
      <c r="BE2427" s="83"/>
      <c r="BF2427" s="83"/>
      <c r="BG2427" s="83"/>
      <c r="BH2427" s="83"/>
      <c r="BI2427" s="65"/>
      <c r="BJ2427" s="68"/>
      <c r="BK2427" s="59">
        <f t="shared" si="2941"/>
        <v>0</v>
      </c>
      <c r="BL2427" s="59" cm="1">
        <f t="array" ref="BL2427">IFERROR(SUM(AW2427:INDEX(AW2427:BH2427, MATCH(2, 1/(AW2427:BH2427&lt;&gt;""), 1) - 1))/_xlfn.XLOOKUP(F2427,Apuração!A:A,Apuração!B:B),0)</f>
        <v>0</v>
      </c>
      <c r="BM2427" s="55"/>
      <c r="BN2427" s="55"/>
      <c r="BO2427" s="53">
        <f ca="1">IFERROR(_xlfn.XLOOKUP(F2427,Apuração!A:A,Apuração!C:C)/_xlfn.XLOOKUP(F2427,Apuração!A:A,Apuração!B:B),0)</f>
        <v>0</v>
      </c>
      <c r="BP2427" s="53">
        <f ca="1">IFERROR(_xlfn.XLOOKUP(F2427,Apuração!A:A,Apuração!D:D)/_xlfn.XLOOKUP(F2427,Apuração!A:A,Apuração!B:B),0)</f>
        <v>0</v>
      </c>
      <c r="BQ2427" s="53">
        <f ca="1">IF(BK2427&gt;=BO2427,0,_xlfn.XLOOKUP(F2427,Apuração!A:A,Apuração!B:B)*(BO2427 + (1/_xlfn.XLOOKUP(F2427,Apuração!A:A,Apuração!B:B)) - BK2427))</f>
        <v>0</v>
      </c>
      <c r="BR2427" s="85">
        <f t="shared" ca="1" si="2942"/>
        <v>0</v>
      </c>
      <c r="BS2427" s="53">
        <f ca="1">IFERROR((_xlfn.XLOOKUP(F2427,Apuração!A:A,Apuração!C:C)+1)/_xlfn.XLOOKUP(F2427,Apuração!A:A,Apuração!B:B),0)</f>
        <v>0.14285714285714285</v>
      </c>
    </row>
    <row r="2428" spans="1:71" ht="25.95" hidden="1" customHeight="1" x14ac:dyDescent="0.3">
      <c r="A2428" s="70" t="s">
        <v>108</v>
      </c>
      <c r="B2428" s="4" t="s">
        <v>117</v>
      </c>
      <c r="C2428" s="5" t="s">
        <v>221</v>
      </c>
      <c r="D2428" s="5" t="s">
        <v>36</v>
      </c>
      <c r="E2428" s="4" t="s">
        <v>118</v>
      </c>
      <c r="F2428" s="4" t="str" cm="1">
        <f t="array" ref="F2428">_xlfn.IFS(
AG2428 &lt;&gt; "", "Jan-Dez/26",
AH2428 &lt;&gt; "", "Fev-Dez/26",
AI2428 &lt;&gt; "", "Mar-Dez/26", AJ2428 &lt;&gt; "", "Abr-Dez/26",
TRUE, "A partir de Junho"
)</f>
        <v>Jan-Dez/26</v>
      </c>
      <c r="G2428" s="4" t="s">
        <v>37</v>
      </c>
      <c r="H2428" s="7" t="s">
        <v>38</v>
      </c>
      <c r="I2428" s="4" t="s">
        <v>121</v>
      </c>
      <c r="J2428" s="8" t="str" cm="1">
        <f t="array" aca="1" ref="J2428" ca="1">_xlfn.LET(
  _xlpm.actual_value_month, INDEX(T2428:AE2428, MATCH(DATE(YEAR(TODAY()), MONTH(TODAY()), 1), $T$1:$AE$1, 0)),
  IF(_xlpm.actual_value_month &lt;&gt; "",_xlpm.actual_value_month &amp; " ações mensais", "")
)</f>
        <v/>
      </c>
      <c r="K2428" s="8" t="str" cm="1">
        <f t="array" ref="K2428">_xlfn.LET(
    _xlpm.sum_month, SUM(T2428:AE2428),
    IF(_xlpm.sum_month = 0, "", _xlpm.sum_month &amp; " NC's no ano")
)</f>
        <v/>
      </c>
      <c r="L2428" s="4" t="s">
        <v>122</v>
      </c>
      <c r="M2428" s="19"/>
      <c r="N2428" s="5" t="s">
        <v>51</v>
      </c>
      <c r="O2428" s="5"/>
      <c r="P2428" s="10"/>
      <c r="Q2428" s="10"/>
      <c r="R2428" s="11"/>
      <c r="S2428" s="11"/>
      <c r="T2428" s="22"/>
      <c r="U2428" s="22"/>
      <c r="V2428" s="22"/>
      <c r="W2428" s="22"/>
      <c r="X2428" s="22"/>
      <c r="Y2428" s="22"/>
      <c r="Z2428" s="22"/>
      <c r="AA2428" s="22"/>
      <c r="AB2428" s="22"/>
      <c r="AC2428" s="22"/>
      <c r="AD2428" s="22"/>
      <c r="AE2428" s="22"/>
      <c r="AF2428" s="81"/>
      <c r="AG2428" s="71">
        <v>56</v>
      </c>
      <c r="AH2428" s="71">
        <v>56</v>
      </c>
      <c r="AI2428" s="71">
        <v>56</v>
      </c>
      <c r="AJ2428" s="71"/>
      <c r="AK2428" s="71"/>
      <c r="AL2428" s="71"/>
      <c r="AM2428" s="71"/>
      <c r="AN2428" s="71"/>
      <c r="AO2428" s="71"/>
      <c r="AP2428" s="71"/>
      <c r="AQ2428" s="71"/>
      <c r="AR2428" s="71"/>
      <c r="AS2428" s="94"/>
      <c r="AT2428" s="95"/>
      <c r="AU2428" s="97"/>
      <c r="AV2428" s="81"/>
      <c r="AW2428" s="83">
        <f t="shared" si="2924"/>
        <v>56</v>
      </c>
      <c r="AX2428" s="83">
        <f t="shared" si="2924"/>
        <v>56</v>
      </c>
      <c r="AY2428" s="83">
        <f t="shared" si="2924"/>
        <v>56</v>
      </c>
      <c r="AZ2428" s="83">
        <f t="shared" si="2924"/>
        <v>0</v>
      </c>
      <c r="BA2428" s="83"/>
      <c r="BB2428" s="83"/>
      <c r="BC2428" s="83"/>
      <c r="BD2428" s="83"/>
      <c r="BE2428" s="83"/>
      <c r="BF2428" s="83"/>
      <c r="BG2428" s="83"/>
      <c r="BH2428" s="83"/>
      <c r="BI2428" s="65"/>
      <c r="BJ2428" s="68"/>
      <c r="BK2428" s="59">
        <f>SUM(AW2428:BH2428)</f>
        <v>168</v>
      </c>
      <c r="BL2428" s="59" cm="1">
        <f t="array" ref="BL2428">IFERROR(SUM(AW2428:INDEX(AW2428:BH2428, MATCH(2, 1/(AW2428:BH2428&lt;&gt;""), 1) - 1))/_xlfn.XLOOKUP(F2428,Apuração!A:A,Apuração!B:B),0)</f>
        <v>14</v>
      </c>
      <c r="BM2428" s="55"/>
      <c r="BN2428" s="55"/>
      <c r="BO2428" s="53">
        <f ca="1">IFERROR(_xlfn.XLOOKUP(F2428,Apuração!A:A,Apuração!C:C)/_xlfn.XLOOKUP(F2428,Apuração!A:A,Apuração!B:B),0)</f>
        <v>0.41666666666666669</v>
      </c>
      <c r="BP2428" s="53">
        <f ca="1">IFERROR(_xlfn.XLOOKUP(F2428,Apuração!A:A,Apuração!D:D)/_xlfn.XLOOKUP(F2428,Apuração!A:A,Apuração!B:B),0)</f>
        <v>0.33333333333333331</v>
      </c>
      <c r="BQ2428" s="53">
        <f ca="1">IF(BK2428&gt;=BO2428,0,_xlfn.XLOOKUP(F2428,Apuração!A:A,Apuração!B:B)*(BO2428 + (1/_xlfn.XLOOKUP(F2428,Apuração!A:A,Apuração!B:B)) - BK2428))</f>
        <v>0</v>
      </c>
      <c r="BR2428" s="85">
        <f t="shared" ca="1" si="2906"/>
        <v>0</v>
      </c>
      <c r="BS2428" s="53">
        <f ca="1">IFERROR((_xlfn.XLOOKUP(F2428,Apuração!A:A,Apuração!C:C)+1)/_xlfn.XLOOKUP(F2428,Apuração!A:A,Apuração!B:B),0)</f>
        <v>0.5</v>
      </c>
    </row>
    <row r="2429" spans="1:71" ht="25.95" hidden="1" customHeight="1" x14ac:dyDescent="0.3">
      <c r="A2429" s="70" t="s">
        <v>108</v>
      </c>
      <c r="B2429" s="4" t="s">
        <v>117</v>
      </c>
      <c r="C2429" s="5" t="s">
        <v>221</v>
      </c>
      <c r="D2429" s="5" t="s">
        <v>212</v>
      </c>
      <c r="E2429" s="4" t="s">
        <v>118</v>
      </c>
      <c r="F2429" s="4" t="str" cm="1">
        <f t="array" ref="F2429">_xlfn.IFS(
AG2429 &lt;&gt; "", "Jan-Dez/26",
AH2429 &lt;&gt; "", "Fev-Dez/26",
AI2429 &lt;&gt; "", "Mar-Dez/26", AJ2429 &lt;&gt; "", "Abr-Dez/26",
TRUE, "A partir de Junho"
)</f>
        <v>A partir de Junho</v>
      </c>
      <c r="G2429" s="4" t="s">
        <v>37</v>
      </c>
      <c r="H2429" s="7" t="s">
        <v>38</v>
      </c>
      <c r="I2429" s="4" t="s">
        <v>121</v>
      </c>
      <c r="J2429" s="8" t="str" cm="1">
        <f t="array" aca="1" ref="J2429" ca="1">_xlfn.LET(
  _xlpm.actual_value_month, INDEX(T2429:AE2429, MATCH(DATE(YEAR(TODAY()), MONTH(TODAY()), 1), $T$1:$AE$1, 0)),
  IF(_xlpm.actual_value_month &lt;&gt; "",_xlpm.actual_value_month &amp; " ações mensais", "")
)</f>
        <v/>
      </c>
      <c r="K2429" s="8" t="str" cm="1">
        <f t="array" ref="K2429">_xlfn.LET(
    _xlpm.sum_month, SUM(T2429:AE2429),
    IF(_xlpm.sum_month = 0, "", _xlpm.sum_month &amp; " NC's no ano")
)</f>
        <v/>
      </c>
      <c r="L2429" s="4" t="s">
        <v>122</v>
      </c>
      <c r="M2429" s="19"/>
      <c r="N2429" s="5" t="s">
        <v>51</v>
      </c>
      <c r="O2429" s="5"/>
      <c r="P2429" s="10"/>
      <c r="Q2429" s="10"/>
      <c r="R2429" s="11"/>
      <c r="S2429" s="11"/>
      <c r="T2429" s="22"/>
      <c r="U2429" s="22"/>
      <c r="V2429" s="22"/>
      <c r="W2429" s="22"/>
      <c r="X2429" s="22"/>
      <c r="Y2429" s="22"/>
      <c r="Z2429" s="22"/>
      <c r="AA2429" s="22"/>
      <c r="AB2429" s="22"/>
      <c r="AC2429" s="22"/>
      <c r="AD2429" s="22"/>
      <c r="AE2429" s="22"/>
      <c r="AF2429" s="81"/>
      <c r="AG2429" s="71"/>
      <c r="AH2429" s="71"/>
      <c r="AI2429" s="71"/>
      <c r="AJ2429" s="71"/>
      <c r="AK2429" s="71"/>
      <c r="AL2429" s="71"/>
      <c r="AM2429" s="71"/>
      <c r="AN2429" s="71"/>
      <c r="AO2429" s="71"/>
      <c r="AP2429" s="71"/>
      <c r="AQ2429" s="71"/>
      <c r="AR2429" s="71"/>
      <c r="AS2429" s="94"/>
      <c r="AT2429" s="95"/>
      <c r="AU2429" s="97"/>
      <c r="AV2429" s="81"/>
      <c r="AW2429" s="83">
        <f t="shared" ref="AW2429:AW2430" si="2943">AG2429</f>
        <v>0</v>
      </c>
      <c r="AX2429" s="83">
        <f t="shared" ref="AX2429:AX2430" si="2944">AH2429</f>
        <v>0</v>
      </c>
      <c r="AY2429" s="83">
        <f t="shared" ref="AY2429:AY2430" si="2945">AI2429</f>
        <v>0</v>
      </c>
      <c r="AZ2429" s="83">
        <f t="shared" ref="AZ2429:AZ2430" si="2946">AJ2429</f>
        <v>0</v>
      </c>
      <c r="BA2429" s="83"/>
      <c r="BB2429" s="83"/>
      <c r="BC2429" s="83"/>
      <c r="BD2429" s="83"/>
      <c r="BE2429" s="83"/>
      <c r="BF2429" s="83"/>
      <c r="BG2429" s="83"/>
      <c r="BH2429" s="83"/>
      <c r="BI2429" s="65"/>
      <c r="BJ2429" s="68"/>
      <c r="BK2429" s="59">
        <f t="shared" ref="BK2429:BK2430" si="2947">SUM(AW2429:BH2429)</f>
        <v>0</v>
      </c>
      <c r="BL2429" s="59" cm="1">
        <f t="array" ref="BL2429">IFERROR(SUM(AW2429:INDEX(AW2429:BH2429, MATCH(2, 1/(AW2429:BH2429&lt;&gt;""), 1) - 1))/_xlfn.XLOOKUP(F2429,Apuração!A:A,Apuração!B:B),0)</f>
        <v>0</v>
      </c>
      <c r="BM2429" s="55"/>
      <c r="BN2429" s="55"/>
      <c r="BO2429" s="53">
        <f ca="1">IFERROR(_xlfn.XLOOKUP(F2429,Apuração!A:A,Apuração!C:C)/_xlfn.XLOOKUP(F2429,Apuração!A:A,Apuração!B:B),0)</f>
        <v>0</v>
      </c>
      <c r="BP2429" s="53">
        <f ca="1">IFERROR(_xlfn.XLOOKUP(F2429,Apuração!A:A,Apuração!D:D)/_xlfn.XLOOKUP(F2429,Apuração!A:A,Apuração!B:B),0)</f>
        <v>0</v>
      </c>
      <c r="BQ2429" s="53">
        <f ca="1">IF(BK2429&gt;=BO2429,0,_xlfn.XLOOKUP(F2429,Apuração!A:A,Apuração!B:B)*(BO2429 + (1/_xlfn.XLOOKUP(F2429,Apuração!A:A,Apuração!B:B)) - BK2429))</f>
        <v>0</v>
      </c>
      <c r="BR2429" s="85">
        <f t="shared" ref="BR2429:BR2430" ca="1" si="2948">IF(BQ2429=0,0,BQ2429*Z2429)</f>
        <v>0</v>
      </c>
      <c r="BS2429" s="53">
        <f ca="1">IFERROR((_xlfn.XLOOKUP(F2429,Apuração!A:A,Apuração!C:C)+1)/_xlfn.XLOOKUP(F2429,Apuração!A:A,Apuração!B:B),0)</f>
        <v>0.14285714285714285</v>
      </c>
    </row>
    <row r="2430" spans="1:71" ht="25.95" hidden="1" customHeight="1" x14ac:dyDescent="0.3">
      <c r="A2430" s="70" t="s">
        <v>108</v>
      </c>
      <c r="B2430" s="4" t="s">
        <v>117</v>
      </c>
      <c r="C2430" s="5" t="s">
        <v>221</v>
      </c>
      <c r="D2430" s="5" t="s">
        <v>213</v>
      </c>
      <c r="E2430" s="4" t="s">
        <v>118</v>
      </c>
      <c r="F2430" s="4" t="str" cm="1">
        <f t="array" ref="F2430">_xlfn.IFS(
AG2430 &lt;&gt; "", "Jan-Dez/26",
AH2430 &lt;&gt; "", "Fev-Dez/26",
AI2430 &lt;&gt; "", "Mar-Dez/26", AJ2430 &lt;&gt; "", "Abr-Dez/26",
TRUE, "A partir de Junho"
)</f>
        <v>A partir de Junho</v>
      </c>
      <c r="G2430" s="4" t="s">
        <v>37</v>
      </c>
      <c r="H2430" s="7" t="s">
        <v>38</v>
      </c>
      <c r="I2430" s="4" t="s">
        <v>121</v>
      </c>
      <c r="J2430" s="8" t="str" cm="1">
        <f t="array" aca="1" ref="J2430" ca="1">_xlfn.LET(
  _xlpm.actual_value_month, INDEX(T2430:AE2430, MATCH(DATE(YEAR(TODAY()), MONTH(TODAY()), 1), $T$1:$AE$1, 0)),
  IF(_xlpm.actual_value_month &lt;&gt; "",_xlpm.actual_value_month &amp; " ações mensais", "")
)</f>
        <v/>
      </c>
      <c r="K2430" s="8" t="str" cm="1">
        <f t="array" ref="K2430">_xlfn.LET(
    _xlpm.sum_month, SUM(T2430:AE2430),
    IF(_xlpm.sum_month = 0, "", _xlpm.sum_month &amp; " NC's no ano")
)</f>
        <v/>
      </c>
      <c r="L2430" s="4" t="s">
        <v>122</v>
      </c>
      <c r="M2430" s="19"/>
      <c r="N2430" s="5" t="s">
        <v>51</v>
      </c>
      <c r="O2430" s="5"/>
      <c r="P2430" s="10"/>
      <c r="Q2430" s="10"/>
      <c r="R2430" s="11"/>
      <c r="S2430" s="11"/>
      <c r="T2430" s="22"/>
      <c r="U2430" s="22"/>
      <c r="V2430" s="22"/>
      <c r="W2430" s="22"/>
      <c r="X2430" s="22"/>
      <c r="Y2430" s="22"/>
      <c r="Z2430" s="22"/>
      <c r="AA2430" s="22"/>
      <c r="AB2430" s="22"/>
      <c r="AC2430" s="22"/>
      <c r="AD2430" s="22"/>
      <c r="AE2430" s="22"/>
      <c r="AF2430" s="81"/>
      <c r="AG2430" s="71"/>
      <c r="AH2430" s="71"/>
      <c r="AI2430" s="71"/>
      <c r="AJ2430" s="71"/>
      <c r="AK2430" s="71"/>
      <c r="AL2430" s="71"/>
      <c r="AM2430" s="71"/>
      <c r="AN2430" s="71"/>
      <c r="AO2430" s="71"/>
      <c r="AP2430" s="71"/>
      <c r="AQ2430" s="71"/>
      <c r="AR2430" s="71"/>
      <c r="AS2430" s="94"/>
      <c r="AT2430" s="95"/>
      <c r="AU2430" s="97"/>
      <c r="AV2430" s="81"/>
      <c r="AW2430" s="83">
        <f t="shared" si="2943"/>
        <v>0</v>
      </c>
      <c r="AX2430" s="83">
        <f t="shared" si="2944"/>
        <v>0</v>
      </c>
      <c r="AY2430" s="83">
        <f t="shared" si="2945"/>
        <v>0</v>
      </c>
      <c r="AZ2430" s="83">
        <f t="shared" si="2946"/>
        <v>0</v>
      </c>
      <c r="BA2430" s="83"/>
      <c r="BB2430" s="83"/>
      <c r="BC2430" s="83"/>
      <c r="BD2430" s="83"/>
      <c r="BE2430" s="83"/>
      <c r="BF2430" s="83"/>
      <c r="BG2430" s="83"/>
      <c r="BH2430" s="83"/>
      <c r="BI2430" s="65"/>
      <c r="BJ2430" s="68"/>
      <c r="BK2430" s="59">
        <f t="shared" si="2947"/>
        <v>0</v>
      </c>
      <c r="BL2430" s="59" cm="1">
        <f t="array" ref="BL2430">IFERROR(SUM(AW2430:INDEX(AW2430:BH2430, MATCH(2, 1/(AW2430:BH2430&lt;&gt;""), 1) - 1))/_xlfn.XLOOKUP(F2430,Apuração!A:A,Apuração!B:B),0)</f>
        <v>0</v>
      </c>
      <c r="BM2430" s="55"/>
      <c r="BN2430" s="55"/>
      <c r="BO2430" s="53">
        <f ca="1">IFERROR(_xlfn.XLOOKUP(F2430,Apuração!A:A,Apuração!C:C)/_xlfn.XLOOKUP(F2430,Apuração!A:A,Apuração!B:B),0)</f>
        <v>0</v>
      </c>
      <c r="BP2430" s="53">
        <f ca="1">IFERROR(_xlfn.XLOOKUP(F2430,Apuração!A:A,Apuração!D:D)/_xlfn.XLOOKUP(F2430,Apuração!A:A,Apuração!B:B),0)</f>
        <v>0</v>
      </c>
      <c r="BQ2430" s="53">
        <f ca="1">IF(BK2430&gt;=BO2430,0,_xlfn.XLOOKUP(F2430,Apuração!A:A,Apuração!B:B)*(BO2430 + (1/_xlfn.XLOOKUP(F2430,Apuração!A:A,Apuração!B:B)) - BK2430))</f>
        <v>0</v>
      </c>
      <c r="BR2430" s="85">
        <f t="shared" ca="1" si="2948"/>
        <v>0</v>
      </c>
      <c r="BS2430" s="53">
        <f ca="1">IFERROR((_xlfn.XLOOKUP(F2430,Apuração!A:A,Apuração!C:C)+1)/_xlfn.XLOOKUP(F2430,Apuração!A:A,Apuração!B:B),0)</f>
        <v>0.14285714285714285</v>
      </c>
    </row>
    <row r="2431" spans="1:71" ht="25.95" hidden="1" customHeight="1" x14ac:dyDescent="0.3">
      <c r="A2431" s="70" t="s">
        <v>108</v>
      </c>
      <c r="B2431" s="4" t="s">
        <v>109</v>
      </c>
      <c r="C2431" s="5" t="s">
        <v>221</v>
      </c>
      <c r="D2431" s="5" t="s">
        <v>36</v>
      </c>
      <c r="E2431" s="4" t="s">
        <v>61</v>
      </c>
      <c r="F2431" s="4" t="str" cm="1">
        <f t="array" ref="F2431">_xlfn.IFS(
AG2431 &lt;&gt; "", "Jan-Dez/26",
AH2431 &lt;&gt; "", "Fev-Dez/26",
AI2431 &lt;&gt; "", "Mar-Dez/26", AJ2431 &lt;&gt; "", "Abr-Dez/26",
TRUE, "A partir de Junho"
)</f>
        <v>A partir de Junho</v>
      </c>
      <c r="G2431" s="4" t="s">
        <v>62</v>
      </c>
      <c r="H2431" s="7" t="s">
        <v>110</v>
      </c>
      <c r="I2431" s="8"/>
      <c r="J2431" s="8" t="str" cm="1">
        <f t="array" aca="1" ref="J2431" ca="1">_xlfn.LET(
  _xlpm.actual_value_month, INDEX(T2431:AE2431, MATCH(DATE(YEAR(TODAY()), MONTH(TODAY()), 1), $T$1:$AE$1, 0)),
  IF(_xlpm.actual_value_month &lt;&gt; "",_xlpm.actual_value_month &amp; " ações mensais", "")
)</f>
        <v/>
      </c>
      <c r="K2431" s="8" t="str" cm="1">
        <f t="array" ref="K2431">_xlfn.LET(
    _xlpm.sum_month, SUM(T2431:AE2431),
    IF(_xlpm.sum_month = 0, "", _xlpm.sum_month &amp; " empresas monitoradas no ano")
)</f>
        <v/>
      </c>
      <c r="L2431" s="9" t="s">
        <v>111</v>
      </c>
      <c r="M2431" s="13">
        <v>1</v>
      </c>
      <c r="N2431" s="5" t="s">
        <v>51</v>
      </c>
      <c r="O2431" s="5" t="s">
        <v>52</v>
      </c>
      <c r="P2431" s="10" t="s">
        <v>44</v>
      </c>
      <c r="Q2431" s="10" t="s">
        <v>44</v>
      </c>
      <c r="R2431" s="11" t="s">
        <v>44</v>
      </c>
      <c r="S2431" s="11" t="s">
        <v>44</v>
      </c>
      <c r="T2431" s="22"/>
      <c r="U2431" s="22"/>
      <c r="V2431" s="22"/>
      <c r="W2431" s="22"/>
      <c r="X2431" s="22"/>
      <c r="Y2431" s="22"/>
      <c r="Z2431" s="22"/>
      <c r="AA2431" s="22"/>
      <c r="AB2431" s="22"/>
      <c r="AC2431" s="22"/>
      <c r="AD2431" s="22"/>
      <c r="AE2431" s="22"/>
      <c r="AG2431" s="71"/>
      <c r="AH2431" s="71"/>
      <c r="AI2431" s="71"/>
      <c r="AJ2431" s="71"/>
      <c r="AK2431" s="71"/>
      <c r="AL2431" s="71"/>
      <c r="AM2431" s="71"/>
      <c r="AN2431" s="71"/>
      <c r="AO2431" s="71"/>
      <c r="AP2431" s="71"/>
      <c r="AQ2431" s="71"/>
      <c r="AR2431" s="71"/>
      <c r="AS2431" s="94">
        <v>0</v>
      </c>
      <c r="AT2431" s="95">
        <v>0</v>
      </c>
      <c r="AU2431" s="97">
        <v>0</v>
      </c>
      <c r="AW2431" s="83">
        <f t="shared" si="2924"/>
        <v>0</v>
      </c>
      <c r="AX2431" s="83">
        <f t="shared" si="2924"/>
        <v>0</v>
      </c>
      <c r="AY2431" s="83">
        <f t="shared" si="2924"/>
        <v>0</v>
      </c>
      <c r="AZ2431" s="83">
        <f t="shared" si="2924"/>
        <v>0</v>
      </c>
      <c r="BA2431" s="83">
        <f t="shared" si="2924"/>
        <v>0</v>
      </c>
      <c r="BB2431" s="52"/>
      <c r="BC2431" s="52"/>
      <c r="BD2431" s="52"/>
      <c r="BE2431" s="52"/>
      <c r="BF2431" s="52"/>
      <c r="BG2431" s="52"/>
      <c r="BH2431" s="52"/>
      <c r="BI2431" s="68">
        <v>0</v>
      </c>
      <c r="BJ2431" s="68">
        <v>0</v>
      </c>
      <c r="BK2431" s="59">
        <v>0</v>
      </c>
      <c r="BL2431" s="59">
        <v>0</v>
      </c>
      <c r="BM2431" s="55">
        <v>46054</v>
      </c>
      <c r="BN2431" s="55">
        <v>46082</v>
      </c>
      <c r="BO2431" s="53">
        <v>0</v>
      </c>
      <c r="BP2431" s="53">
        <v>0</v>
      </c>
      <c r="BQ2431" s="53">
        <v>0</v>
      </c>
      <c r="BR2431" s="85">
        <v>0</v>
      </c>
      <c r="BS2431" s="53">
        <v>0.1111111111111111</v>
      </c>
    </row>
    <row r="2432" spans="1:71" ht="25.95" hidden="1" customHeight="1" x14ac:dyDescent="0.3">
      <c r="A2432" s="70" t="s">
        <v>108</v>
      </c>
      <c r="B2432" s="4" t="s">
        <v>109</v>
      </c>
      <c r="C2432" s="5" t="s">
        <v>221</v>
      </c>
      <c r="D2432" s="5" t="s">
        <v>212</v>
      </c>
      <c r="E2432" s="4" t="s">
        <v>61</v>
      </c>
      <c r="F2432" s="4" t="str" cm="1">
        <f t="array" ref="F2432">_xlfn.IFS(
AG2432 &lt;&gt; "", "Jan-Dez/26",
AH2432 &lt;&gt; "", "Fev-Dez/26",
AI2432 &lt;&gt; "", "Mar-Dez/26", AJ2432 &lt;&gt; "", "Abr-Dez/26",
TRUE, "A partir de Junho"
)</f>
        <v>A partir de Junho</v>
      </c>
      <c r="G2432" s="4" t="s">
        <v>62</v>
      </c>
      <c r="H2432" s="7" t="s">
        <v>110</v>
      </c>
      <c r="I2432" s="8"/>
      <c r="J2432" s="8" t="str" cm="1">
        <f t="array" aca="1" ref="J2432" ca="1">_xlfn.LET(
  _xlpm.actual_value_month, INDEX(T2432:AE2432, MATCH(DATE(YEAR(TODAY()), MONTH(TODAY()), 1), $T$1:$AE$1, 0)),
  IF(_xlpm.actual_value_month &lt;&gt; "",_xlpm.actual_value_month &amp; " ações mensais", "")
)</f>
        <v/>
      </c>
      <c r="K2432" s="8" t="str" cm="1">
        <f t="array" ref="K2432">_xlfn.LET(
    _xlpm.sum_month, SUM(T2432:AE2432),
    IF(_xlpm.sum_month = 0, "", _xlpm.sum_month &amp; " empresas monitoradas no ano")
)</f>
        <v/>
      </c>
      <c r="L2432" s="9" t="s">
        <v>111</v>
      </c>
      <c r="M2432" s="13">
        <v>1</v>
      </c>
      <c r="N2432" s="5" t="s">
        <v>51</v>
      </c>
      <c r="O2432" s="5" t="s">
        <v>52</v>
      </c>
      <c r="P2432" s="10" t="s">
        <v>44</v>
      </c>
      <c r="Q2432" s="10" t="s">
        <v>44</v>
      </c>
      <c r="R2432" s="11" t="s">
        <v>44</v>
      </c>
      <c r="S2432" s="11" t="s">
        <v>44</v>
      </c>
      <c r="T2432" s="22"/>
      <c r="U2432" s="22"/>
      <c r="V2432" s="22"/>
      <c r="W2432" s="22"/>
      <c r="X2432" s="22"/>
      <c r="Y2432" s="22"/>
      <c r="Z2432" s="22"/>
      <c r="AA2432" s="22"/>
      <c r="AB2432" s="22"/>
      <c r="AC2432" s="22"/>
      <c r="AD2432" s="22"/>
      <c r="AE2432" s="22"/>
      <c r="AG2432" s="71"/>
      <c r="AH2432" s="71"/>
      <c r="AI2432" s="71"/>
      <c r="AJ2432" s="71"/>
      <c r="AK2432" s="71"/>
      <c r="AL2432" s="71"/>
      <c r="AM2432" s="71"/>
      <c r="AN2432" s="71"/>
      <c r="AO2432" s="71"/>
      <c r="AP2432" s="71"/>
      <c r="AQ2432" s="71"/>
      <c r="AR2432" s="71"/>
      <c r="AS2432" s="94">
        <v>0</v>
      </c>
      <c r="AT2432" s="95">
        <v>0</v>
      </c>
      <c r="AU2432" s="97">
        <v>0</v>
      </c>
      <c r="AW2432" s="83">
        <f t="shared" ref="AW2432:AW2433" si="2949">AG2432</f>
        <v>0</v>
      </c>
      <c r="AX2432" s="83">
        <f t="shared" ref="AX2432:AX2433" si="2950">AH2432</f>
        <v>0</v>
      </c>
      <c r="AY2432" s="83">
        <f t="shared" ref="AY2432:AY2433" si="2951">AI2432</f>
        <v>0</v>
      </c>
      <c r="AZ2432" s="83">
        <f t="shared" ref="AZ2432:BA2433" si="2952">AJ2432</f>
        <v>0</v>
      </c>
      <c r="BA2432" s="83">
        <f t="shared" si="2952"/>
        <v>0</v>
      </c>
      <c r="BB2432" s="52"/>
      <c r="BC2432" s="52"/>
      <c r="BD2432" s="52"/>
      <c r="BE2432" s="52"/>
      <c r="BF2432" s="52"/>
      <c r="BG2432" s="52"/>
      <c r="BH2432" s="52"/>
      <c r="BI2432" s="68">
        <v>0</v>
      </c>
      <c r="BJ2432" s="68">
        <v>0</v>
      </c>
      <c r="BK2432" s="59">
        <v>0</v>
      </c>
      <c r="BL2432" s="59">
        <v>0</v>
      </c>
      <c r="BM2432" s="55">
        <v>46054</v>
      </c>
      <c r="BN2432" s="55">
        <v>46082</v>
      </c>
      <c r="BO2432" s="53">
        <v>0</v>
      </c>
      <c r="BP2432" s="53">
        <v>0</v>
      </c>
      <c r="BQ2432" s="53">
        <v>0</v>
      </c>
      <c r="BR2432" s="85">
        <v>0</v>
      </c>
      <c r="BS2432" s="53">
        <v>0.1111111111111111</v>
      </c>
    </row>
    <row r="2433" spans="1:71" ht="25.95" hidden="1" customHeight="1" x14ac:dyDescent="0.3">
      <c r="A2433" s="70" t="s">
        <v>108</v>
      </c>
      <c r="B2433" s="4" t="s">
        <v>109</v>
      </c>
      <c r="C2433" s="5" t="s">
        <v>221</v>
      </c>
      <c r="D2433" s="5" t="s">
        <v>213</v>
      </c>
      <c r="E2433" s="4" t="s">
        <v>61</v>
      </c>
      <c r="F2433" s="4" t="str" cm="1">
        <f t="array" ref="F2433">_xlfn.IFS(
AG2433 &lt;&gt; "", "Jan-Dez/26",
AH2433 &lt;&gt; "", "Fev-Dez/26",
AI2433 &lt;&gt; "", "Mar-Dez/26", AJ2433 &lt;&gt; "", "Abr-Dez/26",
TRUE, "A partir de Junho"
)</f>
        <v>A partir de Junho</v>
      </c>
      <c r="G2433" s="4" t="s">
        <v>62</v>
      </c>
      <c r="H2433" s="7" t="s">
        <v>110</v>
      </c>
      <c r="I2433" s="8"/>
      <c r="J2433" s="8" t="str" cm="1">
        <f t="array" aca="1" ref="J2433" ca="1">_xlfn.LET(
  _xlpm.actual_value_month, INDEX(T2433:AE2433, MATCH(DATE(YEAR(TODAY()), MONTH(TODAY()), 1), $T$1:$AE$1, 0)),
  IF(_xlpm.actual_value_month &lt;&gt; "",_xlpm.actual_value_month &amp; " ações mensais", "")
)</f>
        <v/>
      </c>
      <c r="K2433" s="8" t="str" cm="1">
        <f t="array" ref="K2433">_xlfn.LET(
    _xlpm.sum_month, SUM(T2433:AE2433),
    IF(_xlpm.sum_month = 0, "", _xlpm.sum_month &amp; " empresas monitoradas no ano")
)</f>
        <v/>
      </c>
      <c r="L2433" s="9" t="s">
        <v>111</v>
      </c>
      <c r="M2433" s="13">
        <v>1</v>
      </c>
      <c r="N2433" s="5" t="s">
        <v>51</v>
      </c>
      <c r="O2433" s="5" t="s">
        <v>52</v>
      </c>
      <c r="P2433" s="10" t="s">
        <v>44</v>
      </c>
      <c r="Q2433" s="10" t="s">
        <v>44</v>
      </c>
      <c r="R2433" s="11" t="s">
        <v>44</v>
      </c>
      <c r="S2433" s="11" t="s">
        <v>44</v>
      </c>
      <c r="T2433" s="22"/>
      <c r="U2433" s="22"/>
      <c r="V2433" s="22"/>
      <c r="W2433" s="22"/>
      <c r="X2433" s="22"/>
      <c r="Y2433" s="22"/>
      <c r="Z2433" s="22"/>
      <c r="AA2433" s="22"/>
      <c r="AB2433" s="22"/>
      <c r="AC2433" s="22"/>
      <c r="AD2433" s="22"/>
      <c r="AE2433" s="22"/>
      <c r="AG2433" s="71"/>
      <c r="AH2433" s="71"/>
      <c r="AI2433" s="71"/>
      <c r="AJ2433" s="71"/>
      <c r="AK2433" s="71"/>
      <c r="AL2433" s="71"/>
      <c r="AM2433" s="71"/>
      <c r="AN2433" s="71"/>
      <c r="AO2433" s="71"/>
      <c r="AP2433" s="71"/>
      <c r="AQ2433" s="71"/>
      <c r="AR2433" s="71"/>
      <c r="AS2433" s="94">
        <v>0</v>
      </c>
      <c r="AT2433" s="95">
        <v>0</v>
      </c>
      <c r="AU2433" s="97">
        <v>0</v>
      </c>
      <c r="AW2433" s="83">
        <f t="shared" si="2949"/>
        <v>0</v>
      </c>
      <c r="AX2433" s="83">
        <f t="shared" si="2950"/>
        <v>0</v>
      </c>
      <c r="AY2433" s="83">
        <f t="shared" si="2951"/>
        <v>0</v>
      </c>
      <c r="AZ2433" s="83">
        <f t="shared" si="2952"/>
        <v>0</v>
      </c>
      <c r="BA2433" s="83">
        <f t="shared" si="2952"/>
        <v>0</v>
      </c>
      <c r="BB2433" s="52"/>
      <c r="BC2433" s="52"/>
      <c r="BD2433" s="52"/>
      <c r="BE2433" s="52"/>
      <c r="BF2433" s="52"/>
      <c r="BG2433" s="52"/>
      <c r="BH2433" s="52"/>
      <c r="BI2433" s="68">
        <v>0</v>
      </c>
      <c r="BJ2433" s="68">
        <v>0</v>
      </c>
      <c r="BK2433" s="59">
        <v>0</v>
      </c>
      <c r="BL2433" s="59">
        <v>0</v>
      </c>
      <c r="BM2433" s="55">
        <v>46054</v>
      </c>
      <c r="BN2433" s="55">
        <v>46082</v>
      </c>
      <c r="BO2433" s="53">
        <v>0</v>
      </c>
      <c r="BP2433" s="53">
        <v>0</v>
      </c>
      <c r="BQ2433" s="53">
        <v>0</v>
      </c>
      <c r="BR2433" s="85">
        <v>0</v>
      </c>
      <c r="BS2433" s="53">
        <v>0.1111111111111111</v>
      </c>
    </row>
    <row r="2434" spans="1:71" ht="25.95" hidden="1" customHeight="1" x14ac:dyDescent="0.3">
      <c r="A2434" s="70" t="s">
        <v>108</v>
      </c>
      <c r="B2434" s="4" t="s">
        <v>109</v>
      </c>
      <c r="C2434" s="5" t="s">
        <v>221</v>
      </c>
      <c r="D2434" s="5" t="s">
        <v>36</v>
      </c>
      <c r="E2434" s="4" t="s">
        <v>61</v>
      </c>
      <c r="F2434" s="4" t="str" cm="1">
        <f t="array" ref="F2434">_xlfn.IFS(
AG2434 &lt;&gt; "", "Jan-Dez/26",
AH2434 &lt;&gt; "", "Fev-Dez/26",
AI2434 &lt;&gt; "", "Mar-Dez/26", AJ2434 &lt;&gt; "", "Abr-Dez/26",
TRUE, "A partir de Junho"
)</f>
        <v>A partir de Junho</v>
      </c>
      <c r="G2434" s="4" t="s">
        <v>62</v>
      </c>
      <c r="H2434" s="7" t="s">
        <v>110</v>
      </c>
      <c r="I2434" s="8"/>
      <c r="J2434" s="8" t="str" cm="1">
        <f t="array" aca="1" ref="J2434" ca="1">_xlfn.LET(
  _xlpm.actual_value_month, INDEX(T2434:AE2434, MATCH(DATE(YEAR(TODAY()), MONTH(TODAY()), 1), $T$1:$AE$1, 0)),
  IF(_xlpm.actual_value_month &lt;&gt; "",_xlpm.actual_value_month &amp; " ações mensais", "")
)</f>
        <v/>
      </c>
      <c r="K2434" s="8" t="str" cm="1">
        <f t="array" ref="K2434">_xlfn.LET(
    _xlpm.sum_month, SUM(T2434:AE2434),
    IF(_xlpm.sum_month = 0, "", _xlpm.sum_month &amp; " atividades no ano")
)</f>
        <v/>
      </c>
      <c r="L2434" s="9" t="s">
        <v>112</v>
      </c>
      <c r="M2434" s="13">
        <v>1</v>
      </c>
      <c r="N2434" s="5" t="s">
        <v>51</v>
      </c>
      <c r="O2434" s="5" t="s">
        <v>43</v>
      </c>
      <c r="P2434" s="10" t="s">
        <v>44</v>
      </c>
      <c r="Q2434" s="10" t="s">
        <v>44</v>
      </c>
      <c r="R2434" s="11" t="s">
        <v>44</v>
      </c>
      <c r="S2434" s="11" t="s">
        <v>44</v>
      </c>
      <c r="T2434" s="22"/>
      <c r="U2434" s="22"/>
      <c r="V2434" s="22"/>
      <c r="W2434" s="22"/>
      <c r="X2434" s="22"/>
      <c r="Y2434" s="22"/>
      <c r="Z2434" s="22"/>
      <c r="AA2434" s="22"/>
      <c r="AB2434" s="22"/>
      <c r="AC2434" s="22"/>
      <c r="AD2434" s="22"/>
      <c r="AE2434" s="22"/>
      <c r="AG2434" s="71"/>
      <c r="AH2434" s="71"/>
      <c r="AI2434" s="71"/>
      <c r="AJ2434" s="71"/>
      <c r="AK2434" s="71"/>
      <c r="AL2434" s="71"/>
      <c r="AM2434" s="71"/>
      <c r="AN2434" s="71"/>
      <c r="AO2434" s="71"/>
      <c r="AP2434" s="71"/>
      <c r="AQ2434" s="71"/>
      <c r="AR2434" s="71"/>
      <c r="AS2434" s="94">
        <v>0</v>
      </c>
      <c r="AT2434" s="95">
        <v>0</v>
      </c>
      <c r="AU2434" s="97">
        <v>0</v>
      </c>
      <c r="AW2434" s="83">
        <f t="shared" si="2924"/>
        <v>0</v>
      </c>
      <c r="AX2434" s="83">
        <f t="shared" si="2924"/>
        <v>0</v>
      </c>
      <c r="AY2434" s="83">
        <f t="shared" si="2924"/>
        <v>0</v>
      </c>
      <c r="AZ2434" s="83">
        <f t="shared" si="2924"/>
        <v>0</v>
      </c>
      <c r="BA2434" s="83">
        <f t="shared" si="2924"/>
        <v>0</v>
      </c>
      <c r="BB2434" s="52"/>
      <c r="BC2434" s="52"/>
      <c r="BD2434" s="52"/>
      <c r="BE2434" s="52"/>
      <c r="BF2434" s="52"/>
      <c r="BG2434" s="52"/>
      <c r="BH2434" s="52"/>
      <c r="BI2434" s="68">
        <v>0</v>
      </c>
      <c r="BJ2434" s="68">
        <v>0</v>
      </c>
      <c r="BK2434" s="59">
        <v>0</v>
      </c>
      <c r="BL2434" s="59">
        <v>0</v>
      </c>
      <c r="BM2434" s="55">
        <v>46054</v>
      </c>
      <c r="BN2434" s="55">
        <v>46082</v>
      </c>
      <c r="BO2434" s="53">
        <v>0</v>
      </c>
      <c r="BP2434" s="53">
        <v>0</v>
      </c>
      <c r="BQ2434" s="53">
        <v>0</v>
      </c>
      <c r="BR2434" s="85">
        <v>0</v>
      </c>
      <c r="BS2434" s="53">
        <v>0.1111111111111111</v>
      </c>
    </row>
    <row r="2435" spans="1:71" ht="25.95" hidden="1" customHeight="1" x14ac:dyDescent="0.3">
      <c r="A2435" s="70" t="s">
        <v>108</v>
      </c>
      <c r="B2435" s="4" t="s">
        <v>109</v>
      </c>
      <c r="C2435" s="5" t="s">
        <v>221</v>
      </c>
      <c r="D2435" s="5" t="s">
        <v>212</v>
      </c>
      <c r="E2435" s="4" t="s">
        <v>61</v>
      </c>
      <c r="F2435" s="4" t="str" cm="1">
        <f t="array" ref="F2435">_xlfn.IFS(
AG2435 &lt;&gt; "", "Jan-Dez/26",
AH2435 &lt;&gt; "", "Fev-Dez/26",
AI2435 &lt;&gt; "", "Mar-Dez/26", AJ2435 &lt;&gt; "", "Abr-Dez/26",
TRUE, "A partir de Junho"
)</f>
        <v>A partir de Junho</v>
      </c>
      <c r="G2435" s="4" t="s">
        <v>62</v>
      </c>
      <c r="H2435" s="7" t="s">
        <v>110</v>
      </c>
      <c r="I2435" s="8"/>
      <c r="J2435" s="8" t="str" cm="1">
        <f t="array" aca="1" ref="J2435" ca="1">_xlfn.LET(
  _xlpm.actual_value_month, INDEX(T2435:AE2435, MATCH(DATE(YEAR(TODAY()), MONTH(TODAY()), 1), $T$1:$AE$1, 0)),
  IF(_xlpm.actual_value_month &lt;&gt; "",_xlpm.actual_value_month &amp; " ações mensais", "")
)</f>
        <v/>
      </c>
      <c r="K2435" s="8" t="str" cm="1">
        <f t="array" ref="K2435">_xlfn.LET(
    _xlpm.sum_month, SUM(T2435:AE2435),
    IF(_xlpm.sum_month = 0, "", _xlpm.sum_month &amp; " atividades no ano")
)</f>
        <v/>
      </c>
      <c r="L2435" s="9" t="s">
        <v>112</v>
      </c>
      <c r="M2435" s="13">
        <v>1</v>
      </c>
      <c r="N2435" s="5" t="s">
        <v>51</v>
      </c>
      <c r="O2435" s="5" t="s">
        <v>43</v>
      </c>
      <c r="P2435" s="10" t="s">
        <v>44</v>
      </c>
      <c r="Q2435" s="10" t="s">
        <v>44</v>
      </c>
      <c r="R2435" s="11" t="s">
        <v>44</v>
      </c>
      <c r="S2435" s="11" t="s">
        <v>44</v>
      </c>
      <c r="T2435" s="22"/>
      <c r="U2435" s="22"/>
      <c r="V2435" s="22"/>
      <c r="W2435" s="22"/>
      <c r="X2435" s="22"/>
      <c r="Y2435" s="22"/>
      <c r="Z2435" s="22"/>
      <c r="AA2435" s="22"/>
      <c r="AB2435" s="22"/>
      <c r="AC2435" s="22"/>
      <c r="AD2435" s="22"/>
      <c r="AE2435" s="22"/>
      <c r="AG2435" s="71"/>
      <c r="AH2435" s="71"/>
      <c r="AI2435" s="71"/>
      <c r="AJ2435" s="71"/>
      <c r="AK2435" s="71"/>
      <c r="AL2435" s="71"/>
      <c r="AM2435" s="71"/>
      <c r="AN2435" s="71"/>
      <c r="AO2435" s="71"/>
      <c r="AP2435" s="71"/>
      <c r="AQ2435" s="71"/>
      <c r="AR2435" s="71"/>
      <c r="AS2435" s="94">
        <v>0</v>
      </c>
      <c r="AT2435" s="95">
        <v>0</v>
      </c>
      <c r="AU2435" s="97">
        <v>0</v>
      </c>
      <c r="AW2435" s="83">
        <f t="shared" ref="AW2435:AW2436" si="2953">AG2435</f>
        <v>0</v>
      </c>
      <c r="AX2435" s="83">
        <f t="shared" ref="AX2435:AX2436" si="2954">AH2435</f>
        <v>0</v>
      </c>
      <c r="AY2435" s="83">
        <f t="shared" ref="AY2435:AY2436" si="2955">AI2435</f>
        <v>0</v>
      </c>
      <c r="AZ2435" s="83">
        <f t="shared" ref="AZ2435:BA2436" si="2956">AJ2435</f>
        <v>0</v>
      </c>
      <c r="BA2435" s="83">
        <f t="shared" si="2956"/>
        <v>0</v>
      </c>
      <c r="BB2435" s="52"/>
      <c r="BC2435" s="52"/>
      <c r="BD2435" s="52"/>
      <c r="BE2435" s="52"/>
      <c r="BF2435" s="52"/>
      <c r="BG2435" s="52"/>
      <c r="BH2435" s="52"/>
      <c r="BI2435" s="68">
        <v>0</v>
      </c>
      <c r="BJ2435" s="68">
        <v>0</v>
      </c>
      <c r="BK2435" s="59">
        <v>0</v>
      </c>
      <c r="BL2435" s="59">
        <v>0</v>
      </c>
      <c r="BM2435" s="55">
        <v>46054</v>
      </c>
      <c r="BN2435" s="55">
        <v>46082</v>
      </c>
      <c r="BO2435" s="53">
        <v>0</v>
      </c>
      <c r="BP2435" s="53">
        <v>0</v>
      </c>
      <c r="BQ2435" s="53">
        <v>0</v>
      </c>
      <c r="BR2435" s="85">
        <v>0</v>
      </c>
      <c r="BS2435" s="53">
        <v>0.1111111111111111</v>
      </c>
    </row>
    <row r="2436" spans="1:71" ht="25.95" hidden="1" customHeight="1" x14ac:dyDescent="0.3">
      <c r="A2436" s="70" t="s">
        <v>108</v>
      </c>
      <c r="B2436" s="4" t="s">
        <v>109</v>
      </c>
      <c r="C2436" s="5" t="s">
        <v>221</v>
      </c>
      <c r="D2436" s="5" t="s">
        <v>213</v>
      </c>
      <c r="E2436" s="4" t="s">
        <v>61</v>
      </c>
      <c r="F2436" s="4" t="str" cm="1">
        <f t="array" ref="F2436">_xlfn.IFS(
AG2436 &lt;&gt; "", "Jan-Dez/26",
AH2436 &lt;&gt; "", "Fev-Dez/26",
AI2436 &lt;&gt; "", "Mar-Dez/26", AJ2436 &lt;&gt; "", "Abr-Dez/26",
TRUE, "A partir de Junho"
)</f>
        <v>A partir de Junho</v>
      </c>
      <c r="G2436" s="4" t="s">
        <v>62</v>
      </c>
      <c r="H2436" s="7" t="s">
        <v>110</v>
      </c>
      <c r="I2436" s="8"/>
      <c r="J2436" s="8" t="str" cm="1">
        <f t="array" aca="1" ref="J2436" ca="1">_xlfn.LET(
  _xlpm.actual_value_month, INDEX(T2436:AE2436, MATCH(DATE(YEAR(TODAY()), MONTH(TODAY()), 1), $T$1:$AE$1, 0)),
  IF(_xlpm.actual_value_month &lt;&gt; "",_xlpm.actual_value_month &amp; " ações mensais", "")
)</f>
        <v/>
      </c>
      <c r="K2436" s="8" t="str" cm="1">
        <f t="array" ref="K2436">_xlfn.LET(
    _xlpm.sum_month, SUM(T2436:AE2436),
    IF(_xlpm.sum_month = 0, "", _xlpm.sum_month &amp; " atividades no ano")
)</f>
        <v/>
      </c>
      <c r="L2436" s="9" t="s">
        <v>112</v>
      </c>
      <c r="M2436" s="13">
        <v>1</v>
      </c>
      <c r="N2436" s="5" t="s">
        <v>51</v>
      </c>
      <c r="O2436" s="5" t="s">
        <v>43</v>
      </c>
      <c r="P2436" s="10" t="s">
        <v>44</v>
      </c>
      <c r="Q2436" s="10" t="s">
        <v>44</v>
      </c>
      <c r="R2436" s="11" t="s">
        <v>44</v>
      </c>
      <c r="S2436" s="11" t="s">
        <v>44</v>
      </c>
      <c r="T2436" s="22"/>
      <c r="U2436" s="22"/>
      <c r="V2436" s="22"/>
      <c r="W2436" s="22"/>
      <c r="X2436" s="22"/>
      <c r="Y2436" s="22"/>
      <c r="Z2436" s="22"/>
      <c r="AA2436" s="22"/>
      <c r="AB2436" s="22"/>
      <c r="AC2436" s="22"/>
      <c r="AD2436" s="22"/>
      <c r="AE2436" s="22"/>
      <c r="AG2436" s="71"/>
      <c r="AH2436" s="71"/>
      <c r="AI2436" s="71"/>
      <c r="AJ2436" s="71"/>
      <c r="AK2436" s="71"/>
      <c r="AL2436" s="71"/>
      <c r="AM2436" s="71"/>
      <c r="AN2436" s="71"/>
      <c r="AO2436" s="71"/>
      <c r="AP2436" s="71"/>
      <c r="AQ2436" s="71"/>
      <c r="AR2436" s="71"/>
      <c r="AS2436" s="94">
        <v>0</v>
      </c>
      <c r="AT2436" s="95">
        <v>0</v>
      </c>
      <c r="AU2436" s="97">
        <v>0</v>
      </c>
      <c r="AW2436" s="83">
        <f t="shared" si="2953"/>
        <v>0</v>
      </c>
      <c r="AX2436" s="83">
        <f t="shared" si="2954"/>
        <v>0</v>
      </c>
      <c r="AY2436" s="83">
        <f t="shared" si="2955"/>
        <v>0</v>
      </c>
      <c r="AZ2436" s="83">
        <f t="shared" si="2956"/>
        <v>0</v>
      </c>
      <c r="BA2436" s="83">
        <f t="shared" si="2956"/>
        <v>0</v>
      </c>
      <c r="BB2436" s="52"/>
      <c r="BC2436" s="52"/>
      <c r="BD2436" s="52"/>
      <c r="BE2436" s="52"/>
      <c r="BF2436" s="52"/>
      <c r="BG2436" s="52"/>
      <c r="BH2436" s="52"/>
      <c r="BI2436" s="68">
        <v>0</v>
      </c>
      <c r="BJ2436" s="68">
        <v>0</v>
      </c>
      <c r="BK2436" s="59">
        <v>0</v>
      </c>
      <c r="BL2436" s="59">
        <v>0</v>
      </c>
      <c r="BM2436" s="55">
        <v>46054</v>
      </c>
      <c r="BN2436" s="55">
        <v>46082</v>
      </c>
      <c r="BO2436" s="53">
        <v>0</v>
      </c>
      <c r="BP2436" s="53">
        <v>0</v>
      </c>
      <c r="BQ2436" s="53">
        <v>0</v>
      </c>
      <c r="BR2436" s="85">
        <v>0</v>
      </c>
      <c r="BS2436" s="53">
        <v>0.1111111111111111</v>
      </c>
    </row>
    <row r="2437" spans="1:71" ht="25.95" hidden="1" customHeight="1" x14ac:dyDescent="0.3">
      <c r="A2437" s="70" t="s">
        <v>108</v>
      </c>
      <c r="B2437" s="4" t="s">
        <v>109</v>
      </c>
      <c r="C2437" s="5" t="s">
        <v>221</v>
      </c>
      <c r="D2437" s="5" t="s">
        <v>36</v>
      </c>
      <c r="E2437" s="4" t="str" cm="1">
        <f t="array" ref="E2437">_xlfn.IFS(
F2437 = "A partir de Abril", "Aguardando Execução na Distribuidora",
A2437 = "CAPACITAÇÃO", "Em execução no Corporativo",
TRUE, "Em Execução na Distribuidora"
)</f>
        <v>Em Execução na Distribuidora</v>
      </c>
      <c r="F2437" s="4" t="str" cm="1">
        <f t="array" ref="F2437">_xlfn.IFS(
AG2437 &lt;&gt; "", "Jan-Dez/26",
AH2437 &lt;&gt; "", "Fev-Dez/26",
AI2437 &lt;&gt; "", "Mar-Dez/26", AJ2437 &lt;&gt; "", "Abr-Dez/26",
TRUE, "A partir de Junho"
)</f>
        <v>Jan-Dez/26</v>
      </c>
      <c r="G2437" s="4" t="s">
        <v>37</v>
      </c>
      <c r="H2437" s="7" t="s">
        <v>110</v>
      </c>
      <c r="I2437" s="28" t="s">
        <v>113</v>
      </c>
      <c r="J2437" s="8" t="str" cm="1">
        <f t="array" aca="1" ref="J2437" ca="1">_xlfn.LET(
  _xlpm.actual_value_month, INDEX(T2437:AE2437, MATCH(DATE(YEAR(TODAY()), MONTH(TODAY()), 1), $T$1:$AE$1, 0)),
  IF(_xlpm.actual_value_month &lt;&gt; "",_xlpm.actual_value_month &amp; " ações mensais", "")
)</f>
        <v/>
      </c>
      <c r="K2437" s="8" t="str" cm="1">
        <f t="array" ref="K2437">_xlfn.LET(
    _xlpm.sum_month, SUM(T2437:AE2437),
    IF(_xlpm.sum_month = 0, "", _xlpm.sum_month &amp; " empresas monitoradas no ano")
)</f>
        <v/>
      </c>
      <c r="L2437" s="9" t="s">
        <v>114</v>
      </c>
      <c r="M2437" s="13">
        <v>1</v>
      </c>
      <c r="N2437" s="5" t="s">
        <v>51</v>
      </c>
      <c r="O2437" s="5" t="s">
        <v>52</v>
      </c>
      <c r="P2437" s="10" t="s">
        <v>44</v>
      </c>
      <c r="Q2437" s="10" t="s">
        <v>44</v>
      </c>
      <c r="R2437" s="11" t="s">
        <v>44</v>
      </c>
      <c r="S2437" s="11" t="s">
        <v>44</v>
      </c>
      <c r="T2437" s="22"/>
      <c r="U2437" s="22"/>
      <c r="V2437" s="22"/>
      <c r="W2437" s="22"/>
      <c r="X2437" s="22"/>
      <c r="Y2437" s="22"/>
      <c r="Z2437" s="22"/>
      <c r="AA2437" s="22"/>
      <c r="AB2437" s="22"/>
      <c r="AC2437" s="22"/>
      <c r="AD2437" s="22"/>
      <c r="AE2437" s="22"/>
      <c r="AG2437" s="71">
        <v>5</v>
      </c>
      <c r="AH2437" s="71">
        <v>5</v>
      </c>
      <c r="AI2437" s="71">
        <v>5</v>
      </c>
      <c r="AJ2437" s="71">
        <v>5</v>
      </c>
      <c r="AK2437" s="71">
        <v>6</v>
      </c>
      <c r="AL2437" s="71"/>
      <c r="AM2437" s="71"/>
      <c r="AN2437" s="71"/>
      <c r="AO2437" s="71"/>
      <c r="AP2437" s="71"/>
      <c r="AQ2437" s="71"/>
      <c r="AR2437" s="71"/>
      <c r="AS2437" s="94">
        <f ca="1">IF(MONTH(TODAY())=3,SUM(T2437:U2437),IF(MONTH(TODAY())=4,SUM(T2437:V2437),IF(MONTH(TODAY())=5,SUM(T2437:W2437),IF(MONTH(TODAY())=6,SUM(T2437:X2437),IF(MONTH(TODAY())=7,SUM(T2437:Y2437),IF(MONTH(TODAY())=8,SUM(T2437:Z2437),IF(MONTH(TODAY())=9,SUM(T2437:AA2437),IF(MONTH(TODAY())=10,SUM(T2437:AB2437),IF(MONTH(TODAY())=11,SUM(T2437:AC2437),IF(MONTH(TODAY())=12,SUM(T2437:AD2437),IF(MONTH(TODAY())=1,SUM(T2437:AE2437),T2437)))))))))))</f>
        <v>0</v>
      </c>
      <c r="AT2437" s="95">
        <f>SUM(AG2437:AR2437)</f>
        <v>26</v>
      </c>
      <c r="AU2437" s="97">
        <f>SUM(AG2437:AR2437)</f>
        <v>26</v>
      </c>
      <c r="AW2437" s="83">
        <f t="shared" si="2924"/>
        <v>5</v>
      </c>
      <c r="AX2437" s="83">
        <f t="shared" si="2924"/>
        <v>5</v>
      </c>
      <c r="AY2437" s="83">
        <f t="shared" si="2924"/>
        <v>5</v>
      </c>
      <c r="AZ2437" s="83">
        <f t="shared" si="2924"/>
        <v>5</v>
      </c>
      <c r="BA2437" s="83">
        <f t="shared" si="2924"/>
        <v>6</v>
      </c>
      <c r="BB2437" s="52"/>
      <c r="BC2437" s="52"/>
      <c r="BD2437" s="52"/>
      <c r="BE2437" s="52"/>
      <c r="BF2437" s="52"/>
      <c r="BG2437" s="52"/>
      <c r="BH2437" s="52"/>
      <c r="BI2437" s="68" cm="1">
        <f t="array" ref="BI2437">IFERROR(INDEX(AW2437:BH2437,1,MATCH(2,1/(AW2437:BH2437&lt;&gt;""))),"")</f>
        <v>6</v>
      </c>
      <c r="BJ2437" s="68" cm="1">
        <f t="array" ref="BJ2437">IF(BM2437 = "", "",IFERROR(INDEX(AW2437:BH2437,1,MATCH(2,1/(AW2437:BH2437&lt;&gt;""),1)-1),""))</f>
        <v>5</v>
      </c>
      <c r="BK2437" s="59">
        <f>SUM(AW2437:BH2437)</f>
        <v>26</v>
      </c>
      <c r="BL2437" s="59" cm="1">
        <f t="array" ref="BL2437">IFERROR(SUM(AW2437:INDEX(AW2437:BH2437, MATCH(2, 1/(AW2437:BH2437&lt;&gt;""), 1) - 1)),0)</f>
        <v>20</v>
      </c>
      <c r="BM2437" s="55" cm="1">
        <f t="array" ref="BM2437">IFERROR(
   INDEX($AW$1:$BH$1,
      _xlfn.AGGREGATE(14, 6, COLUMN($AW$1:$BH$1)/(AW2437:BH2437&lt;&gt;""), 2) - COLUMN($AW$1) + 1
   ),
"")</f>
        <v>46113</v>
      </c>
      <c r="BN2437" s="55" cm="1">
        <f t="array" ref="BN2437">IFERROR(INDEX($AW$1:$BH$1,1,MATCH(2,1/(AW2437:BH2437&lt;&gt;""))),"")</f>
        <v>46143</v>
      </c>
      <c r="BO2437" s="53">
        <f ca="1">IFERROR(_xlfn.XLOOKUP(F2437,Apuração!A:A,Apuração!C:C)/_xlfn.XLOOKUP(F2437,Apuração!A:A,Apuração!B:B),0)</f>
        <v>0.41666666666666669</v>
      </c>
      <c r="BP2437" s="53">
        <f ca="1">IFERROR(_xlfn.XLOOKUP(F2437,Apuração!A:A,Apuração!D:D)/_xlfn.XLOOKUP(F2437,Apuração!A:A,Apuração!B:B),0)</f>
        <v>0.33333333333333331</v>
      </c>
      <c r="BQ2437" s="53">
        <f ca="1">IF(BK2437&gt;=BO2437,0,_xlfn.XLOOKUP(F2437,Apuração!A:A,Apuração!B:B)*(BO2437 + (1/_xlfn.XLOOKUP(F2437,Apuração!A:A,Apuração!B:B)) - BK2437))</f>
        <v>0</v>
      </c>
      <c r="BR2437" s="85">
        <f t="shared" ref="BR2437:BR2560" ca="1" si="2957">IF(BQ2437=0,0,BQ2437*Z2437)</f>
        <v>0</v>
      </c>
      <c r="BS2437" s="53">
        <f ca="1">IFERROR((_xlfn.XLOOKUP(F2437,Apuração!A:A,Apuração!C:C)+1)/_xlfn.XLOOKUP(F2437,Apuração!A:A,Apuração!B:B),0)</f>
        <v>0.5</v>
      </c>
    </row>
    <row r="2438" spans="1:71" ht="25.95" hidden="1" customHeight="1" x14ac:dyDescent="0.3">
      <c r="A2438" s="70" t="s">
        <v>108</v>
      </c>
      <c r="B2438" s="4" t="s">
        <v>109</v>
      </c>
      <c r="C2438" s="5" t="s">
        <v>221</v>
      </c>
      <c r="D2438" s="5" t="s">
        <v>212</v>
      </c>
      <c r="E2438" s="4" t="str" cm="1">
        <f t="array" ref="E2438">_xlfn.IFS(
F2438 = "A partir de Abril", "Aguardando Execução na Distribuidora",
A2438 = "CAPACITAÇÃO", "Em execução no Corporativo",
TRUE, "Em Execução na Distribuidora"
)</f>
        <v>Em Execução na Distribuidora</v>
      </c>
      <c r="F2438" s="4" t="str" cm="1">
        <f t="array" ref="F2438">_xlfn.IFS(
AG2438 &lt;&gt; "", "Jan-Dez/26",
AH2438 &lt;&gt; "", "Fev-Dez/26",
AI2438 &lt;&gt; "", "Mar-Dez/26", AJ2438 &lt;&gt; "", "Abr-Dez/26",
TRUE, "A partir de Junho"
)</f>
        <v>A partir de Junho</v>
      </c>
      <c r="G2438" s="4" t="s">
        <v>37</v>
      </c>
      <c r="H2438" s="7" t="s">
        <v>110</v>
      </c>
      <c r="I2438" s="28" t="s">
        <v>113</v>
      </c>
      <c r="J2438" s="8" t="str" cm="1">
        <f t="array" aca="1" ref="J2438" ca="1">_xlfn.LET(
  _xlpm.actual_value_month, INDEX(T2438:AE2438, MATCH(DATE(YEAR(TODAY()), MONTH(TODAY()), 1), $T$1:$AE$1, 0)),
  IF(_xlpm.actual_value_month &lt;&gt; "",_xlpm.actual_value_month &amp; " ações mensais", "")
)</f>
        <v/>
      </c>
      <c r="K2438" s="8" t="str" cm="1">
        <f t="array" ref="K2438">_xlfn.LET(
    _xlpm.sum_month, SUM(T2438:AE2438),
    IF(_xlpm.sum_month = 0, "", _xlpm.sum_month &amp; " empresas monitoradas no ano")
)</f>
        <v/>
      </c>
      <c r="L2438" s="9" t="s">
        <v>114</v>
      </c>
      <c r="M2438" s="13">
        <v>1</v>
      </c>
      <c r="N2438" s="5" t="s">
        <v>51</v>
      </c>
      <c r="O2438" s="5" t="s">
        <v>52</v>
      </c>
      <c r="P2438" s="10" t="s">
        <v>44</v>
      </c>
      <c r="Q2438" s="10" t="s">
        <v>44</v>
      </c>
      <c r="R2438" s="11" t="s">
        <v>44</v>
      </c>
      <c r="S2438" s="11" t="s">
        <v>44</v>
      </c>
      <c r="T2438" s="22"/>
      <c r="U2438" s="22"/>
      <c r="V2438" s="22"/>
      <c r="W2438" s="22"/>
      <c r="X2438" s="22"/>
      <c r="Y2438" s="22"/>
      <c r="Z2438" s="22"/>
      <c r="AA2438" s="22"/>
      <c r="AB2438" s="22"/>
      <c r="AC2438" s="22"/>
      <c r="AD2438" s="22"/>
      <c r="AE2438" s="22"/>
      <c r="AG2438" s="71"/>
      <c r="AH2438" s="71"/>
      <c r="AI2438" s="71"/>
      <c r="AJ2438" s="71"/>
      <c r="AK2438" s="71"/>
      <c r="AL2438" s="71"/>
      <c r="AM2438" s="71"/>
      <c r="AN2438" s="71"/>
      <c r="AO2438" s="71"/>
      <c r="AP2438" s="71"/>
      <c r="AQ2438" s="71"/>
      <c r="AR2438" s="71"/>
      <c r="AS2438" s="94">
        <f t="shared" ref="AS2438:AS2439" ca="1" si="2958">IF(MONTH(TODAY())=3,SUM(T2438:U2438),IF(MONTH(TODAY())=4,SUM(T2438:V2438),IF(MONTH(TODAY())=5,SUM(T2438:W2438),IF(MONTH(TODAY())=6,SUM(T2438:X2438),IF(MONTH(TODAY())=7,SUM(T2438:Y2438),IF(MONTH(TODAY())=8,SUM(T2438:Z2438),IF(MONTH(TODAY())=9,SUM(T2438:AA2438),IF(MONTH(TODAY())=10,SUM(T2438:AB2438),IF(MONTH(TODAY())=11,SUM(T2438:AC2438),IF(MONTH(TODAY())=12,SUM(T2438:AD2438),IF(MONTH(TODAY())=1,SUM(T2438:AE2438),T2438)))))))))))</f>
        <v>0</v>
      </c>
      <c r="AT2438" s="95">
        <f t="shared" ref="AT2438:AT2439" si="2959">SUM(AG2438:AR2438)</f>
        <v>0</v>
      </c>
      <c r="AU2438" s="97">
        <f t="shared" ref="AU2438:AU2439" si="2960">SUM(AG2438:AR2438)</f>
        <v>0</v>
      </c>
      <c r="AW2438" s="83">
        <f t="shared" ref="AW2438:AW2439" si="2961">AG2438</f>
        <v>0</v>
      </c>
      <c r="AX2438" s="83">
        <f t="shared" ref="AX2438:AX2439" si="2962">AH2438</f>
        <v>0</v>
      </c>
      <c r="AY2438" s="83">
        <f t="shared" ref="AY2438:AY2439" si="2963">AI2438</f>
        <v>0</v>
      </c>
      <c r="AZ2438" s="83">
        <f t="shared" ref="AZ2438:BA2439" si="2964">AJ2438</f>
        <v>0</v>
      </c>
      <c r="BA2438" s="83">
        <f t="shared" si="2964"/>
        <v>0</v>
      </c>
      <c r="BB2438" s="52"/>
      <c r="BC2438" s="52"/>
      <c r="BD2438" s="52"/>
      <c r="BE2438" s="52"/>
      <c r="BF2438" s="52"/>
      <c r="BG2438" s="52"/>
      <c r="BH2438" s="52"/>
      <c r="BI2438" s="68" cm="1">
        <f t="array" ref="BI2438">IFERROR(INDEX(AW2438:BH2438,1,MATCH(2,1/(AW2438:BH2438&lt;&gt;""))),"")</f>
        <v>0</v>
      </c>
      <c r="BJ2438" s="68" cm="1">
        <f t="array" ref="BJ2438">IF(BM2438 = "", "",IFERROR(INDEX(AW2438:BH2438,1,MATCH(2,1/(AW2438:BH2438&lt;&gt;""),1)-1),""))</f>
        <v>0</v>
      </c>
      <c r="BK2438" s="59">
        <f t="shared" ref="BK2438:BK2439" si="2965">SUM(AW2438:BH2438)</f>
        <v>0</v>
      </c>
      <c r="BL2438" s="59" cm="1">
        <f t="array" ref="BL2438">IFERROR(SUM(AW2438:INDEX(AW2438:BH2438, MATCH(2, 1/(AW2438:BH2438&lt;&gt;""), 1) - 1)),0)</f>
        <v>0</v>
      </c>
      <c r="BM2438" s="55" cm="1">
        <f t="array" ref="BM2438">IFERROR(
   INDEX($AW$1:$BH$1,
      _xlfn.AGGREGATE(14, 6, COLUMN($AW$1:$BH$1)/(AW2438:BH2438&lt;&gt;""), 2) - COLUMN($AW$1) + 1
   ),
"")</f>
        <v>46113</v>
      </c>
      <c r="BN2438" s="55" cm="1">
        <f t="array" ref="BN2438">IFERROR(INDEX($AW$1:$BH$1,1,MATCH(2,1/(AW2438:BH2438&lt;&gt;""))),"")</f>
        <v>46143</v>
      </c>
      <c r="BO2438" s="53">
        <f ca="1">IFERROR(_xlfn.XLOOKUP(F2438,Apuração!A:A,Apuração!C:C)/_xlfn.XLOOKUP(F2438,Apuração!A:A,Apuração!B:B),0)</f>
        <v>0</v>
      </c>
      <c r="BP2438" s="53">
        <f ca="1">IFERROR(_xlfn.XLOOKUP(F2438,Apuração!A:A,Apuração!D:D)/_xlfn.XLOOKUP(F2438,Apuração!A:A,Apuração!B:B),0)</f>
        <v>0</v>
      </c>
      <c r="BQ2438" s="53">
        <f ca="1">IF(BK2438&gt;=BO2438,0,_xlfn.XLOOKUP(F2438,Apuração!A:A,Apuração!B:B)*(BO2438 + (1/_xlfn.XLOOKUP(F2438,Apuração!A:A,Apuração!B:B)) - BK2438))</f>
        <v>0</v>
      </c>
      <c r="BR2438" s="85">
        <f t="shared" ref="BR2438:BR2439" ca="1" si="2966">IF(BQ2438=0,0,BQ2438*Z2438)</f>
        <v>0</v>
      </c>
      <c r="BS2438" s="53">
        <f ca="1">IFERROR((_xlfn.XLOOKUP(F2438,Apuração!A:A,Apuração!C:C)+1)/_xlfn.XLOOKUP(F2438,Apuração!A:A,Apuração!B:B),0)</f>
        <v>0.14285714285714285</v>
      </c>
    </row>
    <row r="2439" spans="1:71" ht="25.95" hidden="1" customHeight="1" x14ac:dyDescent="0.3">
      <c r="A2439" s="70" t="s">
        <v>108</v>
      </c>
      <c r="B2439" s="4" t="s">
        <v>109</v>
      </c>
      <c r="C2439" s="5" t="s">
        <v>221</v>
      </c>
      <c r="D2439" s="5" t="s">
        <v>213</v>
      </c>
      <c r="E2439" s="4" t="str" cm="1">
        <f t="array" ref="E2439">_xlfn.IFS(
F2439 = "A partir de Abril", "Aguardando Execução na Distribuidora",
A2439 = "CAPACITAÇÃO", "Em execução no Corporativo",
TRUE, "Em Execução na Distribuidora"
)</f>
        <v>Em Execução na Distribuidora</v>
      </c>
      <c r="F2439" s="4" t="str" cm="1">
        <f t="array" ref="F2439">_xlfn.IFS(
AG2439 &lt;&gt; "", "Jan-Dez/26",
AH2439 &lt;&gt; "", "Fev-Dez/26",
AI2439 &lt;&gt; "", "Mar-Dez/26", AJ2439 &lt;&gt; "", "Abr-Dez/26",
TRUE, "A partir de Junho"
)</f>
        <v>A partir de Junho</v>
      </c>
      <c r="G2439" s="4" t="s">
        <v>37</v>
      </c>
      <c r="H2439" s="7" t="s">
        <v>110</v>
      </c>
      <c r="I2439" s="28" t="s">
        <v>113</v>
      </c>
      <c r="J2439" s="8" t="str" cm="1">
        <f t="array" aca="1" ref="J2439" ca="1">_xlfn.LET(
  _xlpm.actual_value_month, INDEX(T2439:AE2439, MATCH(DATE(YEAR(TODAY()), MONTH(TODAY()), 1), $T$1:$AE$1, 0)),
  IF(_xlpm.actual_value_month &lt;&gt; "",_xlpm.actual_value_month &amp; " ações mensais", "")
)</f>
        <v/>
      </c>
      <c r="K2439" s="8" t="str" cm="1">
        <f t="array" ref="K2439">_xlfn.LET(
    _xlpm.sum_month, SUM(T2439:AE2439),
    IF(_xlpm.sum_month = 0, "", _xlpm.sum_month &amp; " empresas monitoradas no ano")
)</f>
        <v/>
      </c>
      <c r="L2439" s="9" t="s">
        <v>114</v>
      </c>
      <c r="M2439" s="13">
        <v>1</v>
      </c>
      <c r="N2439" s="5" t="s">
        <v>51</v>
      </c>
      <c r="O2439" s="5" t="s">
        <v>52</v>
      </c>
      <c r="P2439" s="10" t="s">
        <v>44</v>
      </c>
      <c r="Q2439" s="10" t="s">
        <v>44</v>
      </c>
      <c r="R2439" s="11" t="s">
        <v>44</v>
      </c>
      <c r="S2439" s="11" t="s">
        <v>44</v>
      </c>
      <c r="T2439" s="22"/>
      <c r="U2439" s="22"/>
      <c r="V2439" s="22"/>
      <c r="W2439" s="22"/>
      <c r="X2439" s="22"/>
      <c r="Y2439" s="22"/>
      <c r="Z2439" s="22"/>
      <c r="AA2439" s="22"/>
      <c r="AB2439" s="22"/>
      <c r="AC2439" s="22"/>
      <c r="AD2439" s="22"/>
      <c r="AE2439" s="22"/>
      <c r="AG2439" s="71"/>
      <c r="AH2439" s="71"/>
      <c r="AI2439" s="71"/>
      <c r="AJ2439" s="71"/>
      <c r="AK2439" s="71"/>
      <c r="AL2439" s="71"/>
      <c r="AM2439" s="71"/>
      <c r="AN2439" s="71"/>
      <c r="AO2439" s="71"/>
      <c r="AP2439" s="71"/>
      <c r="AQ2439" s="71"/>
      <c r="AR2439" s="71"/>
      <c r="AS2439" s="94">
        <f t="shared" ca="1" si="2958"/>
        <v>0</v>
      </c>
      <c r="AT2439" s="95">
        <f t="shared" si="2959"/>
        <v>0</v>
      </c>
      <c r="AU2439" s="97">
        <f t="shared" si="2960"/>
        <v>0</v>
      </c>
      <c r="AW2439" s="83">
        <f t="shared" si="2961"/>
        <v>0</v>
      </c>
      <c r="AX2439" s="83">
        <f t="shared" si="2962"/>
        <v>0</v>
      </c>
      <c r="AY2439" s="83">
        <f t="shared" si="2963"/>
        <v>0</v>
      </c>
      <c r="AZ2439" s="83">
        <f t="shared" si="2964"/>
        <v>0</v>
      </c>
      <c r="BA2439" s="83">
        <f t="shared" si="2964"/>
        <v>0</v>
      </c>
      <c r="BB2439" s="52"/>
      <c r="BC2439" s="52"/>
      <c r="BD2439" s="52"/>
      <c r="BE2439" s="52"/>
      <c r="BF2439" s="52"/>
      <c r="BG2439" s="52"/>
      <c r="BH2439" s="52"/>
      <c r="BI2439" s="68" cm="1">
        <f t="array" ref="BI2439">IFERROR(INDEX(AW2439:BH2439,1,MATCH(2,1/(AW2439:BH2439&lt;&gt;""))),"")</f>
        <v>0</v>
      </c>
      <c r="BJ2439" s="68" cm="1">
        <f t="array" ref="BJ2439">IF(BM2439 = "", "",IFERROR(INDEX(AW2439:BH2439,1,MATCH(2,1/(AW2439:BH2439&lt;&gt;""),1)-1),""))</f>
        <v>0</v>
      </c>
      <c r="BK2439" s="59">
        <f t="shared" si="2965"/>
        <v>0</v>
      </c>
      <c r="BL2439" s="59" cm="1">
        <f t="array" ref="BL2439">IFERROR(SUM(AW2439:INDEX(AW2439:BH2439, MATCH(2, 1/(AW2439:BH2439&lt;&gt;""), 1) - 1)),0)</f>
        <v>0</v>
      </c>
      <c r="BM2439" s="55" cm="1">
        <f t="array" ref="BM2439">IFERROR(
   INDEX($AW$1:$BH$1,
      _xlfn.AGGREGATE(14, 6, COLUMN($AW$1:$BH$1)/(AW2439:BH2439&lt;&gt;""), 2) - COLUMN($AW$1) + 1
   ),
"")</f>
        <v>46113</v>
      </c>
      <c r="BN2439" s="55" cm="1">
        <f t="array" ref="BN2439">IFERROR(INDEX($AW$1:$BH$1,1,MATCH(2,1/(AW2439:BH2439&lt;&gt;""))),"")</f>
        <v>46143</v>
      </c>
      <c r="BO2439" s="53">
        <f ca="1">IFERROR(_xlfn.XLOOKUP(F2439,Apuração!A:A,Apuração!C:C)/_xlfn.XLOOKUP(F2439,Apuração!A:A,Apuração!B:B),0)</f>
        <v>0</v>
      </c>
      <c r="BP2439" s="53">
        <f ca="1">IFERROR(_xlfn.XLOOKUP(F2439,Apuração!A:A,Apuração!D:D)/_xlfn.XLOOKUP(F2439,Apuração!A:A,Apuração!B:B),0)</f>
        <v>0</v>
      </c>
      <c r="BQ2439" s="53">
        <f ca="1">IF(BK2439&gt;=BO2439,0,_xlfn.XLOOKUP(F2439,Apuração!A:A,Apuração!B:B)*(BO2439 + (1/_xlfn.XLOOKUP(F2439,Apuração!A:A,Apuração!B:B)) - BK2439))</f>
        <v>0</v>
      </c>
      <c r="BR2439" s="85">
        <f t="shared" ca="1" si="2966"/>
        <v>0</v>
      </c>
      <c r="BS2439" s="53">
        <f ca="1">IFERROR((_xlfn.XLOOKUP(F2439,Apuração!A:A,Apuração!C:C)+1)/_xlfn.XLOOKUP(F2439,Apuração!A:A,Apuração!B:B),0)</f>
        <v>0.14285714285714285</v>
      </c>
    </row>
    <row r="2440" spans="1:71" ht="25.95" hidden="1" customHeight="1" x14ac:dyDescent="0.3">
      <c r="A2440" s="41" t="s">
        <v>108</v>
      </c>
      <c r="B2440" s="4" t="s">
        <v>109</v>
      </c>
      <c r="C2440" s="5" t="s">
        <v>221</v>
      </c>
      <c r="D2440" s="5" t="s">
        <v>36</v>
      </c>
      <c r="E2440" s="4" t="str" cm="1">
        <f t="array" ref="E2440">_xlfn.IFS(
F2440 = "A partir de Abril", "Aguardando Execução na Distribuidora",
A2440 = "CAPACITAÇÃO", "Em execução no Corporativo",
TRUE, "Em Execução na Distribuidora"
)</f>
        <v>Em Execução na Distribuidora</v>
      </c>
      <c r="F2440" s="4" t="str" cm="1">
        <f t="array" ref="F2440">_xlfn.IFS(
AG2440 &lt;&gt; "", "Jan-Dez/26",
AH2440 &lt;&gt; "", "Fev-Dez/26",
AI2440 &lt;&gt; "", "Mar-Dez/26", AJ2440 &lt;&gt; "", "Abr-Dez/26",
TRUE, "A partir de Junho"
)</f>
        <v>Jan-Dez/26</v>
      </c>
      <c r="G2440" s="4" t="s">
        <v>37</v>
      </c>
      <c r="H2440" s="7" t="s">
        <v>110</v>
      </c>
      <c r="I2440" s="4" t="s">
        <v>115</v>
      </c>
      <c r="J2440" s="8" t="str" cm="1">
        <f t="array" aca="1" ref="J2440" ca="1">_xlfn.LET(
  _xlpm.actual_value_month, INDEX(T2440:AE2440, MATCH(DATE(YEAR(TODAY()), MONTH(TODAY()), 1), $T$1:$AE$1, 0)),
  IF(_xlpm.actual_value_month &lt;&gt; "",_xlpm.actual_value_month &amp; " redução de notificações mensais", "")
)</f>
        <v>109 redução de notificações mensais</v>
      </c>
      <c r="K2440" s="8" t="str" cm="1">
        <f t="array" ref="K2440">_xlfn.LET(
    _xlpm.sum_month, SUM(T2440:AE2440),
    IF(_xlpm.sum_month = 0, "", _xlpm.sum_month &amp; " taxa de redução das notificações de excesso de velocidade ano")
)</f>
        <v>1391 taxa de redução das notificações de excesso de velocidade ano</v>
      </c>
      <c r="L2440" s="4" t="s">
        <v>116</v>
      </c>
      <c r="M2440" s="4"/>
      <c r="N2440" s="45" t="s">
        <v>42</v>
      </c>
      <c r="O2440" s="5" t="s">
        <v>43</v>
      </c>
      <c r="P2440" s="10" t="s">
        <v>44</v>
      </c>
      <c r="Q2440" s="10" t="s">
        <v>44</v>
      </c>
      <c r="R2440" s="11" t="s">
        <v>44</v>
      </c>
      <c r="S2440" s="11" t="s">
        <v>44</v>
      </c>
      <c r="T2440" s="22">
        <v>111</v>
      </c>
      <c r="U2440" s="22">
        <v>172</v>
      </c>
      <c r="V2440" s="22">
        <v>127</v>
      </c>
      <c r="W2440" s="22">
        <v>109</v>
      </c>
      <c r="X2440" s="22">
        <v>109</v>
      </c>
      <c r="Y2440" s="22">
        <v>109</v>
      </c>
      <c r="Z2440" s="22">
        <v>109</v>
      </c>
      <c r="AA2440" s="22">
        <v>109</v>
      </c>
      <c r="AB2440" s="22">
        <v>109</v>
      </c>
      <c r="AC2440" s="22">
        <v>109</v>
      </c>
      <c r="AD2440" s="22">
        <v>109</v>
      </c>
      <c r="AE2440" s="22">
        <v>109</v>
      </c>
      <c r="AG2440" s="71">
        <v>111</v>
      </c>
      <c r="AH2440" s="71">
        <v>172</v>
      </c>
      <c r="AI2440" s="71">
        <v>127</v>
      </c>
      <c r="AJ2440" s="71">
        <v>133</v>
      </c>
      <c r="AK2440" s="71">
        <v>262</v>
      </c>
      <c r="AL2440" s="71"/>
      <c r="AM2440" s="71"/>
      <c r="AN2440" s="71"/>
      <c r="AO2440" s="71"/>
      <c r="AP2440" s="71"/>
      <c r="AQ2440" s="71"/>
      <c r="AR2440" s="71"/>
      <c r="AS2440" s="94">
        <f ca="1">IF(MONTH(TODAY())=3,SUM(T2440:U2440),IF(MONTH(TODAY())=4,SUM(T2440:V2440),IF(MONTH(TODAY())=5,SUM(T2440:W2440),IF(MONTH(TODAY())=6,SUM(T2440:X2440),IF(MONTH(TODAY())=7,SUM(T2440:Y2440),IF(MONTH(TODAY())=8,SUM(T2440:Z2440),IF(MONTH(TODAY())=9,SUM(T2440:AA2440),IF(MONTH(TODAY())=10,SUM(T2440:AB2440),IF(MONTH(TODAY())=11,SUM(T2440:AC2440),IF(MONTH(TODAY())=12,SUM(T2440:AD2440),IF(MONTH(TODAY())=1,SUM(T2440:AE2440),T2440)))))))))))</f>
        <v>628</v>
      </c>
      <c r="AT2440" s="95">
        <f>SUM(IF(AW2440&lt;1.15,AG2440,1.15*T2440),IF(AX2440&lt;1.15,AH2440,1.15*U2440),IF(AY2440&lt;1.15,AI2440,1.15*V2440),IF(AZ2440&lt;1.15,AJ2440,1.15*W2440),IF(BA2440&lt;1.15,AK2440,1.15*X2440),IF(BB2440&lt;1.15,AL2440,1.15*Y2440),IF(BC2440&lt;1.15,AM2440,1.15*Z2440),IF(BD2440&lt;1.15,AN2440,1.15*AA2440),IF(BE2440&lt;1.15,AO2440,1.15*AB2440),IF(BF2440&lt;1.15,AP2440,1.15*AC2440),IF(BG2440&lt;1.15,AQ2440,1.15*AD2440),IF(BH2440&lt;1.15,AR2440,1.15*AE2440))</f>
        <v>805</v>
      </c>
      <c r="AU2440" s="97">
        <f>SUM(AG2440:AR2440)</f>
        <v>805</v>
      </c>
      <c r="AW2440" s="51">
        <f>IF(ISBLANK(AG2440),0,IF(1+((AG2440-T2440)/T2440)&gt;=1, 1-((AG2440-T2440)/AG2440),
IF(1+((AG2440-T2440)/T2440)&lt;=0,1.15,IF(1+((AG2440-T2440)/T2440)&lt;=0.33,1.1,
IF(1+((AG2440-T2440)/T2440)&lt;=0.66,1.05,
IF(AG2440&lt;=T2440,1))))))</f>
        <v>1</v>
      </c>
      <c r="AX2440" s="51">
        <f>IF(ISBLANK(AH2440),0,IF(1+((AH2440-U2440)/U2440)&gt;=1, 1-((AH2440-U2440)/AH2440),
IF(1+((AH2440-U2440)/U2440)&lt;=0,1.15,IF(1+((AH2440-U2440)/U2440)&lt;=0.33,1.1,
IF(1+((AH2440-U2440)/U2440)&lt;=0.66,1.05,
IF(AH2440&lt;=U2440,1))))))</f>
        <v>1</v>
      </c>
      <c r="AY2440" s="51">
        <f>IF(ISBLANK(AI2440),0,IF(1+((AI2440-V2440)/V2440)&gt;=1, 1-((AI2440-V2440)/AI2440),
IF(1+((AI2440-V2440)/V2440)&lt;=0,1.15,IF(1+((AI2440-V2440)/V2440)&lt;=0.33,1.1,
IF(1+((AI2440-V2440)/V2440)&lt;=0.66,1.05,
IF(AI2440&lt;=V2440,1))))))</f>
        <v>1</v>
      </c>
      <c r="AZ2440" s="51">
        <f>IF(ISBLANK(AJ2440),0,IF(1+((AJ2440-W2440)/W2440)&gt;=1, 1-((AJ2440-W2440)/AJ2440),
IF(1+((AJ2440-W2440)/W2440)&lt;=0,1.15,IF(1+((AJ2440-W2440)/W2440)&lt;=0.33,1.1,
IF(1+((AJ2440-W2440)/W2440)&lt;=0.66,1.05,
IF(AJ2440&lt;=W2440,1))))))</f>
        <v>0.81954887218045114</v>
      </c>
      <c r="BA2440" s="51">
        <f t="shared" ref="BA2440:BA2442" si="2967">IF(ISBLANK(AK2440),0,IF(1+((AK2440-X2440)/X2440)&gt;=1, 1-((AK2440-X2440)/AK2440),
IF(1+((AK2440-X2440)/X2440)&lt;=0,1.15,IF(1+((AK2440-X2440)/X2440)&lt;=0.33,1.1,
IF(1+((AK2440-X2440)/X2440)&lt;=0.66,1.05,
IF(AK2440&lt;=X2440,1))))))</f>
        <v>0.41603053435114501</v>
      </c>
      <c r="BB2440" s="51"/>
      <c r="BC2440" s="51"/>
      <c r="BD2440" s="51"/>
      <c r="BE2440" s="51"/>
      <c r="BF2440" s="51"/>
      <c r="BG2440" s="51"/>
      <c r="BH2440" s="51"/>
      <c r="BI2440" s="65" cm="1">
        <f t="array" ref="BI2440">IFERROR(INDEX(AW2440:BH2440,1,MATCH(2,1/(AW2440:BH2440&lt;&gt;""))),"")</f>
        <v>0.41603053435114501</v>
      </c>
      <c r="BJ2440" s="68" cm="1">
        <f t="array" ref="BJ2440">IF(BM2440 = "", "",IFERROR(INDEX(AW2440:BH2440,1,MATCH(2,1/(AW2440:BH2440&lt;&gt;""),1)-1),""))</f>
        <v>0.81954887218045114</v>
      </c>
      <c r="BK2440" s="58">
        <f>IF((IF(AW2440&gt;=115%,115%,AW2440) + IF(AX2440&gt;=115%,115%,AX2440) + IF(AY2440&gt;=115%,115%,AY2440) + (IF(AZ2440&gt;=115%,115%,AZ2440) + IF(BA2440&gt;=115%,115%,BA2440) + IF(BB2440&gt;=115%,115%,BB2440) + IF(BC2440&gt;=115%,115%,BC2440) + IF(BD2440&gt;=115%,115%,BD2440) + IF(BE2440&gt;=115%,115%,BE2440) + IF(BF2440&gt;=115%,115%,BF2440) + IF(BG2440&gt;=115%,115%,BG2440) + IF(BH2440&gt;=171%,171%,BH2440)))/_xlfn.XLOOKUP(F2440,Apuração!A:A,Apuração!B:B)&gt;=1.15,1.15,((IF(AZ2440&gt;=115%,115%,AZ2440) + IF(AX2440&gt;=115%,115%,AX2440) + IF(AY2440&gt;=115%,115%,AY2440) + (IF(AW2440&gt;=115%,115%,AW2440) + IF(BA2440&gt;=115%,115%,BA2440) + IF(BB2440&gt;=115%,115%,BB2440) + IF(BC2440&gt;=115%,115%,BC2440) + IF(BD2440&gt;=115%,115%,BD2440) + IF(BE2440&gt;=115%,115%,BE2440) + IF(BF2440&gt;=115%,115%,BF2440) + IF(BG2440&gt;=115%,115%,BG2440) + IF(BH2440&gt;=171%,171%,BH2440)))/_xlfn.XLOOKUP(F2440,Apuração!A:A,Apuração!B:B)))</f>
        <v>0.35296495054429972</v>
      </c>
      <c r="BL2440" s="58" cm="1">
        <f t="array" aca="1" ref="BL2440" ca="1">IF(SUM(IFERROR(IF(INDEX(AW2440:INDEX(AW2440:BH2440, MATCH(2, 1/(AW2440:BH2440&lt;&gt;""), 1)-1), ROW(INDIRECT("1:" &amp; MATCH(2, 1/(AW2440:BH2440&lt;&gt;""), 1)-1))) &gt;= 115%, 115%, INDEX(AW2440:INDEX(AW2440:BH2440, MATCH(2, 1/(AW2440:BH2440&lt;&gt;""), 1)-1), ROW(INDIRECT("1:" &amp; MATCH(2, 1/(AW2440:BH2440&lt;&gt;""), 1)-1)))), 0))/_xlfn.XLOOKUP(F2440,Apuração!A:A,Apuração!B:B)&gt;=1.15,1.15,SUM(IFERROR(IF(INDEX(AW2440:INDEX(AW2440:BH2440, MATCH(2, 1/(AW2440:BH2440&lt;&gt;""), 1)-1), ROW(INDIRECT("1:" &amp; MATCH(2, 1/(AW2440:BH2440&lt;&gt;""), 1)-1))) &gt;= 115%, 115%, INDEX(AW2440:INDEX(AW2440:BH2440, MATCH(2, 1/(AW2440:BH2440&lt;&gt;""), 1)-1), ROW(INDIRECT("1:" &amp; MATCH(2, 1/(AW2440:BH2440&lt;&gt;""), 1)-1)))), 0))/_xlfn.XLOOKUP(F2440,Apuração!A:A,Apuração!B:B))</f>
        <v>0.31829573934837091</v>
      </c>
      <c r="BM2440" s="55" cm="1">
        <f t="array" ref="BM2440">IFERROR(
   INDEX($AW$1:$BH$1,
      _xlfn.AGGREGATE(14, 6, COLUMN($AW$1:$BH$1)/(AW2440:BH2440&lt;&gt;""), 2) - COLUMN($AW$1) + 1
   ),
"")</f>
        <v>46113</v>
      </c>
      <c r="BN2440" s="55" cm="1">
        <f t="array" ref="BN2440">IFERROR(INDEX($AW$1:$BH$1,1,MATCH(2,1/(AW2440:BH2440&lt;&gt;""))),"")</f>
        <v>46143</v>
      </c>
      <c r="BO2440" s="53">
        <f ca="1">IFERROR(_xlfn.XLOOKUP(F2440,Apuração!A:A,Apuração!C:C)/_xlfn.XLOOKUP(F2440,Apuração!A:A,Apuração!B:B),0)</f>
        <v>0.41666666666666669</v>
      </c>
      <c r="BP2440" s="53">
        <f ca="1">IFERROR(_xlfn.XLOOKUP(F2440,Apuração!A:A,Apuração!D:D)/_xlfn.XLOOKUP(F2440,Apuração!A:A,Apuração!B:B),0)</f>
        <v>0.33333333333333331</v>
      </c>
      <c r="BQ2440" s="53">
        <f ca="1">IF(BK2440&gt;=BO2440,0,_xlfn.XLOOKUP(F2440,Apuração!A:A,Apuração!B:B)*(BO2440 + (1/_xlfn.XLOOKUP(F2440,Apuração!A:A,Apuração!B:B)) - BK2440))</f>
        <v>1.7644205934684034</v>
      </c>
      <c r="BR2440" s="85">
        <f t="shared" ca="1" si="2957"/>
        <v>192.32184468805596</v>
      </c>
      <c r="BS2440" s="53">
        <f ca="1">IFERROR((_xlfn.XLOOKUP(F2440,Apuração!A:A,Apuração!C:C)+1)/_xlfn.XLOOKUP(F2440,Apuração!A:A,Apuração!B:B),0)</f>
        <v>0.5</v>
      </c>
    </row>
    <row r="2441" spans="1:71" ht="25.95" hidden="1" customHeight="1" x14ac:dyDescent="0.3">
      <c r="A2441" s="41" t="s">
        <v>108</v>
      </c>
      <c r="B2441" s="4" t="s">
        <v>109</v>
      </c>
      <c r="C2441" s="5" t="s">
        <v>221</v>
      </c>
      <c r="D2441" s="5" t="s">
        <v>212</v>
      </c>
      <c r="E2441" s="4" t="str" cm="1">
        <f t="array" ref="E2441">_xlfn.IFS(
F2441 = "A partir de Abril", "Aguardando Execução na Distribuidora",
A2441 = "CAPACITAÇÃO", "Em execução no Corporativo",
TRUE, "Em Execução na Distribuidora"
)</f>
        <v>Em Execução na Distribuidora</v>
      </c>
      <c r="F2441" s="4" t="str" cm="1">
        <f t="array" ref="F2441">_xlfn.IFS(
AG2441 &lt;&gt; "", "Jan-Dez/26",
AH2441 &lt;&gt; "", "Fev-Dez/26",
AI2441 &lt;&gt; "", "Mar-Dez/26", AJ2441 &lt;&gt; "", "Abr-Dez/26",
TRUE, "A partir de Junho"
)</f>
        <v>A partir de Junho</v>
      </c>
      <c r="G2441" s="4" t="s">
        <v>37</v>
      </c>
      <c r="H2441" s="7" t="s">
        <v>110</v>
      </c>
      <c r="I2441" s="4" t="s">
        <v>115</v>
      </c>
      <c r="J2441" s="8" t="str" cm="1">
        <f t="array" aca="1" ref="J2441" ca="1">_xlfn.LET(
  _xlpm.actual_value_month, INDEX(T2441:AE2441, MATCH(DATE(YEAR(TODAY()), MONTH(TODAY()), 1), $T$1:$AE$1, 0)),
  IF(_xlpm.actual_value_month &lt;&gt; "",_xlpm.actual_value_month &amp; " redução de notificações mensais", "")
)</f>
        <v>22 redução de notificações mensais</v>
      </c>
      <c r="K2441" s="8" t="str" cm="1">
        <f t="array" ref="K2441">_xlfn.LET(
    _xlpm.sum_month, SUM(T2441:AE2441),
    IF(_xlpm.sum_month = 0, "", _xlpm.sum_month &amp; " taxa de redução das notificações de excesso de velocidade ano")
)</f>
        <v>198 taxa de redução das notificações de excesso de velocidade ano</v>
      </c>
      <c r="L2441" s="4" t="s">
        <v>116</v>
      </c>
      <c r="M2441" s="4"/>
      <c r="N2441" s="45" t="s">
        <v>42</v>
      </c>
      <c r="O2441" s="5" t="s">
        <v>43</v>
      </c>
      <c r="P2441" s="10" t="s">
        <v>44</v>
      </c>
      <c r="Q2441" s="10" t="s">
        <v>44</v>
      </c>
      <c r="R2441" s="11" t="s">
        <v>44</v>
      </c>
      <c r="S2441" s="11" t="s">
        <v>44</v>
      </c>
      <c r="T2441" s="22"/>
      <c r="U2441" s="22"/>
      <c r="V2441" s="22"/>
      <c r="W2441" s="143">
        <v>22</v>
      </c>
      <c r="X2441" s="143">
        <v>22</v>
      </c>
      <c r="Y2441" s="143">
        <v>22</v>
      </c>
      <c r="Z2441" s="143">
        <v>22</v>
      </c>
      <c r="AA2441" s="143">
        <v>22</v>
      </c>
      <c r="AB2441" s="143">
        <v>22</v>
      </c>
      <c r="AC2441" s="143">
        <v>22</v>
      </c>
      <c r="AD2441" s="143">
        <v>22</v>
      </c>
      <c r="AE2441" s="143">
        <v>22</v>
      </c>
      <c r="AG2441" s="71"/>
      <c r="AH2441" s="71"/>
      <c r="AI2441" s="71"/>
      <c r="AJ2441" s="71"/>
      <c r="AK2441" s="71"/>
      <c r="AL2441" s="71"/>
      <c r="AM2441" s="71"/>
      <c r="AN2441" s="71"/>
      <c r="AO2441" s="71"/>
      <c r="AP2441" s="71"/>
      <c r="AQ2441" s="71"/>
      <c r="AR2441" s="71"/>
      <c r="AS2441" s="94">
        <f t="shared" ref="AS2441:AS2442" ca="1" si="2968">IF(MONTH(TODAY())=3,SUM(T2441:U2441),IF(MONTH(TODAY())=4,SUM(T2441:V2441),IF(MONTH(TODAY())=5,SUM(T2441:W2441),IF(MONTH(TODAY())=6,SUM(T2441:X2441),IF(MONTH(TODAY())=7,SUM(T2441:Y2441),IF(MONTH(TODAY())=8,SUM(T2441:Z2441),IF(MONTH(TODAY())=9,SUM(T2441:AA2441),IF(MONTH(TODAY())=10,SUM(T2441:AB2441),IF(MONTH(TODAY())=11,SUM(T2441:AC2441),IF(MONTH(TODAY())=12,SUM(T2441:AD2441),IF(MONTH(TODAY())=1,SUM(T2441:AE2441),T2441)))))))))))</f>
        <v>44</v>
      </c>
      <c r="AT2441" s="95">
        <f t="shared" ref="AT2441:AT2442" si="2969">SUM(IF(AW2441&lt;1.15,AG2441,1.15*T2441),IF(AX2441&lt;1.15,AH2441,1.15*U2441),IF(AY2441&lt;1.15,AI2441,1.15*V2441),IF(AZ2441&lt;1.15,AJ2441,1.15*W2441),IF(BA2441&lt;1.15,AK2441,1.15*X2441),IF(BB2441&lt;1.15,AL2441,1.15*Y2441),IF(BC2441&lt;1.15,AM2441,1.15*Z2441),IF(BD2441&lt;1.15,AN2441,1.15*AA2441),IF(BE2441&lt;1.15,AO2441,1.15*AB2441),IF(BF2441&lt;1.15,AP2441,1.15*AC2441),IF(BG2441&lt;1.15,AQ2441,1.15*AD2441),IF(BH2441&lt;1.15,AR2441,1.15*AE2441))</f>
        <v>0</v>
      </c>
      <c r="AU2441" s="97">
        <f t="shared" ref="AU2441:AU2442" si="2970">SUM(AG2441:AR2441)</f>
        <v>0</v>
      </c>
      <c r="AW2441" s="51">
        <f t="shared" ref="AW2441:AW2442" si="2971">IF(ISBLANK(AG2441),0,IF(1+((AG2441-T2441)/T2441)&gt;=1, 1-((AG2441-T2441)/AG2441),
IF(1+((AG2441-T2441)/T2441)&lt;=0,1.15,IF(1+((AG2441-T2441)/T2441)&lt;=0.33,1.1,
IF(1+((AG2441-T2441)/T2441)&lt;=0.66,1.05,
IF(AG2441&lt;=T2441,1))))))</f>
        <v>0</v>
      </c>
      <c r="AX2441" s="51">
        <f t="shared" ref="AX2441:AX2442" si="2972">IF(ISBLANK(AH2441),0,IF(1+((AH2441-U2441)/U2441)&gt;=1, 1-((AH2441-U2441)/AH2441),
IF(1+((AH2441-U2441)/U2441)&lt;=0,1.15,IF(1+((AH2441-U2441)/U2441)&lt;=0.33,1.1,
IF(1+((AH2441-U2441)/U2441)&lt;=0.66,1.05,
IF(AH2441&lt;=U2441,1))))))</f>
        <v>0</v>
      </c>
      <c r="AY2441" s="51">
        <f t="shared" ref="AY2441:AY2442" si="2973">IF(ISBLANK(AI2441),0,IF(1+((AI2441-V2441)/V2441)&gt;=1, 1-((AI2441-V2441)/AI2441),
IF(1+((AI2441-V2441)/V2441)&lt;=0,1.15,IF(1+((AI2441-V2441)/V2441)&lt;=0.33,1.1,
IF(1+((AI2441-V2441)/V2441)&lt;=0.66,1.05,
IF(AI2441&lt;=V2441,1))))))</f>
        <v>0</v>
      </c>
      <c r="AZ2441" s="51">
        <f t="shared" ref="AZ2441:AZ2442" si="2974">IF(ISBLANK(AJ2441),0,IF(1+((AJ2441-W2441)/W2441)&gt;=1, 1-((AJ2441-W2441)/AJ2441),
IF(1+((AJ2441-W2441)/W2441)&lt;=0,1.15,IF(1+((AJ2441-W2441)/W2441)&lt;=0.33,1.1,
IF(1+((AJ2441-W2441)/W2441)&lt;=0.66,1.05,
IF(AJ2441&lt;=W2441,1))))))</f>
        <v>0</v>
      </c>
      <c r="BA2441" s="51">
        <f t="shared" si="2967"/>
        <v>0</v>
      </c>
      <c r="BB2441" s="51"/>
      <c r="BC2441" s="51"/>
      <c r="BD2441" s="51"/>
      <c r="BE2441" s="51"/>
      <c r="BF2441" s="51"/>
      <c r="BG2441" s="51"/>
      <c r="BH2441" s="51"/>
      <c r="BI2441" s="65" cm="1">
        <f t="array" ref="BI2441">IFERROR(INDEX(AW2441:BH2441,1,MATCH(2,1/(AW2441:BH2441&lt;&gt;""))),"")</f>
        <v>0</v>
      </c>
      <c r="BJ2441" s="68" cm="1">
        <f t="array" ref="BJ2441">IF(BM2441 = "", "",IFERROR(INDEX(AW2441:BH2441,1,MATCH(2,1/(AW2441:BH2441&lt;&gt;""),1)-1),""))</f>
        <v>0</v>
      </c>
      <c r="BK2441" s="58">
        <f>IF((IF(AW2441&gt;=115%,115%,AW2441) + IF(AX2441&gt;=115%,115%,AX2441) + IF(AY2441&gt;=115%,115%,AY2441) + (IF(AZ2441&gt;=115%,115%,AZ2441) + IF(BA2441&gt;=115%,115%,BA2441) + IF(BB2441&gt;=115%,115%,BB2441) + IF(BC2441&gt;=115%,115%,BC2441) + IF(BD2441&gt;=115%,115%,BD2441) + IF(BE2441&gt;=115%,115%,BE2441) + IF(BF2441&gt;=115%,115%,BF2441) + IF(BG2441&gt;=115%,115%,BG2441) + IF(BH2441&gt;=171%,171%,BH2441)))/_xlfn.XLOOKUP(F2441,Apuração!A:A,Apuração!B:B)&gt;=1.15,1.15,((IF(AZ2441&gt;=115%,115%,AZ2441) + IF(AX2441&gt;=115%,115%,AX2441) + IF(AY2441&gt;=115%,115%,AY2441) + (IF(AW2441&gt;=115%,115%,AW2441) + IF(BA2441&gt;=115%,115%,BA2441) + IF(BB2441&gt;=115%,115%,BB2441) + IF(BC2441&gt;=115%,115%,BC2441) + IF(BD2441&gt;=115%,115%,BD2441) + IF(BE2441&gt;=115%,115%,BE2441) + IF(BF2441&gt;=115%,115%,BF2441) + IF(BG2441&gt;=115%,115%,BG2441) + IF(BH2441&gt;=171%,171%,BH2441)))/_xlfn.XLOOKUP(F2441,Apuração!A:A,Apuração!B:B)))</f>
        <v>0</v>
      </c>
      <c r="BL2441" s="58" cm="1">
        <f t="array" aca="1" ref="BL2441" ca="1">IF(SUM(IFERROR(IF(INDEX(AW2441:INDEX(AW2441:BH2441, MATCH(2, 1/(AW2441:BH2441&lt;&gt;""), 1)-1), ROW(INDIRECT("1:" &amp; MATCH(2, 1/(AW2441:BH2441&lt;&gt;""), 1)-1))) &gt;= 115%, 115%, INDEX(AW2441:INDEX(AW2441:BH2441, MATCH(2, 1/(AW2441:BH2441&lt;&gt;""), 1)-1), ROW(INDIRECT("1:" &amp; MATCH(2, 1/(AW2441:BH2441&lt;&gt;""), 1)-1)))), 0))/_xlfn.XLOOKUP(F2441,Apuração!A:A,Apuração!B:B)&gt;=1.15,1.15,SUM(IFERROR(IF(INDEX(AW2441:INDEX(AW2441:BH2441, MATCH(2, 1/(AW2441:BH2441&lt;&gt;""), 1)-1), ROW(INDIRECT("1:" &amp; MATCH(2, 1/(AW2441:BH2441&lt;&gt;""), 1)-1))) &gt;= 115%, 115%, INDEX(AW2441:INDEX(AW2441:BH2441, MATCH(2, 1/(AW2441:BH2441&lt;&gt;""), 1)-1), ROW(INDIRECT("1:" &amp; MATCH(2, 1/(AW2441:BH2441&lt;&gt;""), 1)-1)))), 0))/_xlfn.XLOOKUP(F2441,Apuração!A:A,Apuração!B:B))</f>
        <v>0</v>
      </c>
      <c r="BM2441" s="55" cm="1">
        <f t="array" ref="BM2441">IFERROR(
   INDEX($AW$1:$BH$1,
      _xlfn.AGGREGATE(14, 6, COLUMN($AW$1:$BH$1)/(AW2441:BH2441&lt;&gt;""), 2) - COLUMN($AW$1) + 1
   ),
"")</f>
        <v>46113</v>
      </c>
      <c r="BN2441" s="55" cm="1">
        <f t="array" ref="BN2441">IFERROR(INDEX($AW$1:$BH$1,1,MATCH(2,1/(AW2441:BH2441&lt;&gt;""))),"")</f>
        <v>46143</v>
      </c>
      <c r="BO2441" s="53">
        <f ca="1">IFERROR(_xlfn.XLOOKUP(F2441,Apuração!A:A,Apuração!C:C)/_xlfn.XLOOKUP(F2441,Apuração!A:A,Apuração!B:B),0)</f>
        <v>0</v>
      </c>
      <c r="BP2441" s="53">
        <f ca="1">IFERROR(_xlfn.XLOOKUP(F2441,Apuração!A:A,Apuração!D:D)/_xlfn.XLOOKUP(F2441,Apuração!A:A,Apuração!B:B),0)</f>
        <v>0</v>
      </c>
      <c r="BQ2441" s="53">
        <f ca="1">IF(BK2441&gt;=BO2441,0,_xlfn.XLOOKUP(F2441,Apuração!A:A,Apuração!B:B)*(BO2441 + (1/_xlfn.XLOOKUP(F2441,Apuração!A:A,Apuração!B:B)) - BK2441))</f>
        <v>0</v>
      </c>
      <c r="BR2441" s="85">
        <f t="shared" ref="BR2441:BR2442" ca="1" si="2975">IF(BQ2441=0,0,BQ2441*Z2441)</f>
        <v>0</v>
      </c>
      <c r="BS2441" s="53">
        <f ca="1">IFERROR((_xlfn.XLOOKUP(F2441,Apuração!A:A,Apuração!C:C)+1)/_xlfn.XLOOKUP(F2441,Apuração!A:A,Apuração!B:B),0)</f>
        <v>0.14285714285714285</v>
      </c>
    </row>
    <row r="2442" spans="1:71" ht="25.95" hidden="1" customHeight="1" x14ac:dyDescent="0.3">
      <c r="A2442" s="41" t="s">
        <v>108</v>
      </c>
      <c r="B2442" s="4" t="s">
        <v>109</v>
      </c>
      <c r="C2442" s="5" t="s">
        <v>221</v>
      </c>
      <c r="D2442" s="5" t="s">
        <v>213</v>
      </c>
      <c r="E2442" s="4" t="str" cm="1">
        <f t="array" ref="E2442">_xlfn.IFS(
F2442 = "A partir de Abril", "Aguardando Execução na Distribuidora",
A2442 = "CAPACITAÇÃO", "Em execução no Corporativo",
TRUE, "Em Execução na Distribuidora"
)</f>
        <v>Em Execução na Distribuidora</v>
      </c>
      <c r="F2442" s="4" t="str" cm="1">
        <f t="array" ref="F2442">_xlfn.IFS(
AG2442 &lt;&gt; "", "Jan-Dez/26",
AH2442 &lt;&gt; "", "Fev-Dez/26",
AI2442 &lt;&gt; "", "Mar-Dez/26", AJ2442 &lt;&gt; "", "Abr-Dez/26",
TRUE, "A partir de Junho"
)</f>
        <v>A partir de Junho</v>
      </c>
      <c r="G2442" s="4" t="s">
        <v>37</v>
      </c>
      <c r="H2442" s="7" t="s">
        <v>110</v>
      </c>
      <c r="I2442" s="4" t="s">
        <v>115</v>
      </c>
      <c r="J2442" s="8" t="str" cm="1">
        <f t="array" aca="1" ref="J2442" ca="1">_xlfn.LET(
  _xlpm.actual_value_month, INDEX(T2442:AE2442, MATCH(DATE(YEAR(TODAY()), MONTH(TODAY()), 1), $T$1:$AE$1, 0)),
  IF(_xlpm.actual_value_month &lt;&gt; "",_xlpm.actual_value_month &amp; " redução de notificações mensais", "")
)</f>
        <v>22 redução de notificações mensais</v>
      </c>
      <c r="K2442" s="8" t="str" cm="1">
        <f t="array" ref="K2442">_xlfn.LET(
    _xlpm.sum_month, SUM(T2442:AE2442),
    IF(_xlpm.sum_month = 0, "", _xlpm.sum_month &amp; " taxa de redução das notificações de excesso de velocidade ano")
)</f>
        <v>198 taxa de redução das notificações de excesso de velocidade ano</v>
      </c>
      <c r="L2442" s="4" t="s">
        <v>116</v>
      </c>
      <c r="M2442" s="4"/>
      <c r="N2442" s="45" t="s">
        <v>42</v>
      </c>
      <c r="O2442" s="5" t="s">
        <v>43</v>
      </c>
      <c r="P2442" s="10" t="s">
        <v>44</v>
      </c>
      <c r="Q2442" s="10" t="s">
        <v>44</v>
      </c>
      <c r="R2442" s="11" t="s">
        <v>44</v>
      </c>
      <c r="S2442" s="11" t="s">
        <v>44</v>
      </c>
      <c r="T2442" s="22"/>
      <c r="U2442" s="22"/>
      <c r="V2442" s="22"/>
      <c r="W2442" s="143">
        <v>22</v>
      </c>
      <c r="X2442" s="143">
        <v>22</v>
      </c>
      <c r="Y2442" s="143">
        <v>22</v>
      </c>
      <c r="Z2442" s="143">
        <v>22</v>
      </c>
      <c r="AA2442" s="143">
        <v>22</v>
      </c>
      <c r="AB2442" s="143">
        <v>22</v>
      </c>
      <c r="AC2442" s="143">
        <v>22</v>
      </c>
      <c r="AD2442" s="143">
        <v>22</v>
      </c>
      <c r="AE2442" s="143">
        <v>22</v>
      </c>
      <c r="AG2442" s="71"/>
      <c r="AH2442" s="71"/>
      <c r="AI2442" s="71"/>
      <c r="AJ2442" s="71"/>
      <c r="AK2442" s="71"/>
      <c r="AL2442" s="71"/>
      <c r="AM2442" s="71"/>
      <c r="AN2442" s="71"/>
      <c r="AO2442" s="71"/>
      <c r="AP2442" s="71"/>
      <c r="AQ2442" s="71"/>
      <c r="AR2442" s="71"/>
      <c r="AS2442" s="94">
        <f t="shared" ca="1" si="2968"/>
        <v>44</v>
      </c>
      <c r="AT2442" s="95">
        <f t="shared" si="2969"/>
        <v>0</v>
      </c>
      <c r="AU2442" s="97">
        <f t="shared" si="2970"/>
        <v>0</v>
      </c>
      <c r="AW2442" s="51">
        <f t="shared" si="2971"/>
        <v>0</v>
      </c>
      <c r="AX2442" s="51">
        <f t="shared" si="2972"/>
        <v>0</v>
      </c>
      <c r="AY2442" s="51">
        <f t="shared" si="2973"/>
        <v>0</v>
      </c>
      <c r="AZ2442" s="51">
        <f t="shared" si="2974"/>
        <v>0</v>
      </c>
      <c r="BA2442" s="51">
        <f t="shared" si="2967"/>
        <v>0</v>
      </c>
      <c r="BB2442" s="51"/>
      <c r="BC2442" s="51"/>
      <c r="BD2442" s="51"/>
      <c r="BE2442" s="51"/>
      <c r="BF2442" s="51"/>
      <c r="BG2442" s="51"/>
      <c r="BH2442" s="51"/>
      <c r="BI2442" s="65" cm="1">
        <f t="array" ref="BI2442">IFERROR(INDEX(AW2442:BH2442,1,MATCH(2,1/(AW2442:BH2442&lt;&gt;""))),"")</f>
        <v>0</v>
      </c>
      <c r="BJ2442" s="68" cm="1">
        <f t="array" ref="BJ2442">IF(BM2442 = "", "",IFERROR(INDEX(AW2442:BH2442,1,MATCH(2,1/(AW2442:BH2442&lt;&gt;""),1)-1),""))</f>
        <v>0</v>
      </c>
      <c r="BK2442" s="58">
        <f>IF((IF(AW2442&gt;=115%,115%,AW2442) + IF(AX2442&gt;=115%,115%,AX2442) + IF(AY2442&gt;=115%,115%,AY2442) + (IF(AZ2442&gt;=115%,115%,AZ2442) + IF(BA2442&gt;=115%,115%,BA2442) + IF(BB2442&gt;=115%,115%,BB2442) + IF(BC2442&gt;=115%,115%,BC2442) + IF(BD2442&gt;=115%,115%,BD2442) + IF(BE2442&gt;=115%,115%,BE2442) + IF(BF2442&gt;=115%,115%,BF2442) + IF(BG2442&gt;=115%,115%,BG2442) + IF(BH2442&gt;=171%,171%,BH2442)))/_xlfn.XLOOKUP(F2442,Apuração!A:A,Apuração!B:B)&gt;=1.15,1.15,((IF(AZ2442&gt;=115%,115%,AZ2442) + IF(AX2442&gt;=115%,115%,AX2442) + IF(AY2442&gt;=115%,115%,AY2442) + (IF(AW2442&gt;=115%,115%,AW2442) + IF(BA2442&gt;=115%,115%,BA2442) + IF(BB2442&gt;=115%,115%,BB2442) + IF(BC2442&gt;=115%,115%,BC2442) + IF(BD2442&gt;=115%,115%,BD2442) + IF(BE2442&gt;=115%,115%,BE2442) + IF(BF2442&gt;=115%,115%,BF2442) + IF(BG2442&gt;=115%,115%,BG2442) + IF(BH2442&gt;=171%,171%,BH2442)))/_xlfn.XLOOKUP(F2442,Apuração!A:A,Apuração!B:B)))</f>
        <v>0</v>
      </c>
      <c r="BL2442" s="58" cm="1">
        <f t="array" aca="1" ref="BL2442" ca="1">IF(SUM(IFERROR(IF(INDEX(AW2442:INDEX(AW2442:BH2442, MATCH(2, 1/(AW2442:BH2442&lt;&gt;""), 1)-1), ROW(INDIRECT("1:" &amp; MATCH(2, 1/(AW2442:BH2442&lt;&gt;""), 1)-1))) &gt;= 115%, 115%, INDEX(AW2442:INDEX(AW2442:BH2442, MATCH(2, 1/(AW2442:BH2442&lt;&gt;""), 1)-1), ROW(INDIRECT("1:" &amp; MATCH(2, 1/(AW2442:BH2442&lt;&gt;""), 1)-1)))), 0))/_xlfn.XLOOKUP(F2442,Apuração!A:A,Apuração!B:B)&gt;=1.15,1.15,SUM(IFERROR(IF(INDEX(AW2442:INDEX(AW2442:BH2442, MATCH(2, 1/(AW2442:BH2442&lt;&gt;""), 1)-1), ROW(INDIRECT("1:" &amp; MATCH(2, 1/(AW2442:BH2442&lt;&gt;""), 1)-1))) &gt;= 115%, 115%, INDEX(AW2442:INDEX(AW2442:BH2442, MATCH(2, 1/(AW2442:BH2442&lt;&gt;""), 1)-1), ROW(INDIRECT("1:" &amp; MATCH(2, 1/(AW2442:BH2442&lt;&gt;""), 1)-1)))), 0))/_xlfn.XLOOKUP(F2442,Apuração!A:A,Apuração!B:B))</f>
        <v>0</v>
      </c>
      <c r="BM2442" s="55" cm="1">
        <f t="array" ref="BM2442">IFERROR(
   INDEX($AW$1:$BH$1,
      _xlfn.AGGREGATE(14, 6, COLUMN($AW$1:$BH$1)/(AW2442:BH2442&lt;&gt;""), 2) - COLUMN($AW$1) + 1
   ),
"")</f>
        <v>46113</v>
      </c>
      <c r="BN2442" s="55" cm="1">
        <f t="array" ref="BN2442">IFERROR(INDEX($AW$1:$BH$1,1,MATCH(2,1/(AW2442:BH2442&lt;&gt;""))),"")</f>
        <v>46143</v>
      </c>
      <c r="BO2442" s="53">
        <f ca="1">IFERROR(_xlfn.XLOOKUP(F2442,Apuração!A:A,Apuração!C:C)/_xlfn.XLOOKUP(F2442,Apuração!A:A,Apuração!B:B),0)</f>
        <v>0</v>
      </c>
      <c r="BP2442" s="53">
        <f ca="1">IFERROR(_xlfn.XLOOKUP(F2442,Apuração!A:A,Apuração!D:D)/_xlfn.XLOOKUP(F2442,Apuração!A:A,Apuração!B:B),0)</f>
        <v>0</v>
      </c>
      <c r="BQ2442" s="53">
        <f ca="1">IF(BK2442&gt;=BO2442,0,_xlfn.XLOOKUP(F2442,Apuração!A:A,Apuração!B:B)*(BO2442 + (1/_xlfn.XLOOKUP(F2442,Apuração!A:A,Apuração!B:B)) - BK2442))</f>
        <v>0</v>
      </c>
      <c r="BR2442" s="85">
        <f t="shared" ca="1" si="2975"/>
        <v>0</v>
      </c>
      <c r="BS2442" s="53">
        <f ca="1">IFERROR((_xlfn.XLOOKUP(F2442,Apuração!A:A,Apuração!C:C)+1)/_xlfn.XLOOKUP(F2442,Apuração!A:A,Apuração!B:B),0)</f>
        <v>0.14285714285714285</v>
      </c>
    </row>
    <row r="2443" spans="1:71" ht="25.95" hidden="1" customHeight="1" x14ac:dyDescent="0.3">
      <c r="A2443" s="41" t="s">
        <v>108</v>
      </c>
      <c r="B2443" s="4" t="s">
        <v>129</v>
      </c>
      <c r="C2443" s="5" t="s">
        <v>221</v>
      </c>
      <c r="D2443" s="5" t="s">
        <v>36</v>
      </c>
      <c r="E2443" s="4" t="s">
        <v>61</v>
      </c>
      <c r="F2443" s="4" t="str" cm="1">
        <f t="array" ref="F2443">_xlfn.IFS(
AG2443 &lt;&gt; "", "Jan-Dez/26",
AH2443 &lt;&gt; "", "Fev-Dez/26",
AI2443 &lt;&gt; "", "Mar-Dez/26", AJ2443 &lt;&gt; "", "Abr-Dez/26",
TRUE, "A partir de Junho"
)</f>
        <v>A partir de Junho</v>
      </c>
      <c r="G2443" s="4" t="s">
        <v>62</v>
      </c>
      <c r="H2443" s="7" t="s">
        <v>38</v>
      </c>
      <c r="I2443" s="15" t="s">
        <v>130</v>
      </c>
      <c r="J2443" s="8" t="str" cm="1">
        <f t="array" aca="1" ref="J2443" ca="1">_xlfn.LET(
  _xlpm.actual_value_month, INDEX(T2443:AE2443, MATCH(DATE(YEAR(TODAY()), MONTH(TODAY()), 1), $T$1:$AE$1, 0)),
  IF(_xlpm.actual_value_month &lt;&gt; "",_xlpm.actual_value_month &amp; " ações mensais", "")
)</f>
        <v/>
      </c>
      <c r="K2443" s="8" t="str" cm="1">
        <f t="array" ref="K2443">_xlfn.LET(
    _xlpm.sum_month, SUM(T2443:AE2443),
    IF(_xlpm.sum_month = 0, "", _xlpm.sum_month &amp; " treinamento de motociclistas no ano")
)</f>
        <v/>
      </c>
      <c r="L2443" s="4" t="s">
        <v>131</v>
      </c>
      <c r="M2443" s="19"/>
      <c r="N2443" s="5" t="s">
        <v>42</v>
      </c>
      <c r="O2443" s="5"/>
      <c r="P2443" s="10"/>
      <c r="Q2443" s="10"/>
      <c r="R2443" s="11"/>
      <c r="S2443" s="11"/>
      <c r="T2443" s="22"/>
      <c r="U2443" s="22"/>
      <c r="V2443" s="22"/>
      <c r="W2443" s="22"/>
      <c r="X2443" s="22"/>
      <c r="Y2443" s="22"/>
      <c r="Z2443" s="22"/>
      <c r="AA2443" s="22"/>
      <c r="AB2443" s="22"/>
      <c r="AC2443" s="22"/>
      <c r="AD2443" s="22"/>
      <c r="AE2443" s="22"/>
      <c r="AF2443" s="81"/>
      <c r="AG2443" s="71"/>
      <c r="AH2443" s="71"/>
      <c r="AI2443" s="71"/>
      <c r="AJ2443" s="71"/>
      <c r="AK2443" s="71"/>
      <c r="AL2443" s="71"/>
      <c r="AM2443" s="71"/>
      <c r="AN2443" s="71"/>
      <c r="AO2443" s="71"/>
      <c r="AP2443" s="71"/>
      <c r="AQ2443" s="71"/>
      <c r="AR2443" s="71"/>
      <c r="AS2443" s="94"/>
      <c r="AT2443" s="95"/>
      <c r="AU2443" s="97"/>
      <c r="AV2443" s="81"/>
      <c r="AW2443" s="51">
        <f t="shared" ref="AW2443:BA2444" si="2976">IFERROR(IF(AG2443="",0,AG2443/T2443),0)</f>
        <v>0</v>
      </c>
      <c r="AX2443" s="51">
        <f t="shared" si="2976"/>
        <v>0</v>
      </c>
      <c r="AY2443" s="51">
        <f t="shared" si="2976"/>
        <v>0</v>
      </c>
      <c r="AZ2443" s="51">
        <f t="shared" si="2976"/>
        <v>0</v>
      </c>
      <c r="BA2443" s="51"/>
      <c r="BB2443" s="51"/>
      <c r="BC2443" s="51"/>
      <c r="BD2443" s="51"/>
      <c r="BE2443" s="51"/>
      <c r="BF2443" s="51"/>
      <c r="BG2443" s="51"/>
      <c r="BH2443" s="51"/>
      <c r="BI2443" s="65"/>
      <c r="BJ2443" s="68"/>
      <c r="BK2443" s="58">
        <f>IF((IF(AW2443&gt;=115%,115%,AW2443) + IF(AX2443&gt;=115%,115%,AX2443) + IF(AY2443&gt;=115%,115%,AY2443) + (IF(AZ2443&gt;=115%,115%,AZ2443) + IF(BA2443&gt;=115%,115%,BA2443) + IF(BB2443&gt;=115%,115%,BB2443) + IF(BC2443&gt;=115%,115%,BC2443) + IF(BD2443&gt;=115%,115%,BD2443) + IF(BE2443&gt;=115%,115%,BE2443) + IF(BF2443&gt;=115%,115%,BF2443) + IF(BG2443&gt;=115%,115%,BG2443) + IF(BH2443&gt;=115%,115%,BH2443)))/_xlfn.XLOOKUP(F2443,Apuração!A:A,Apuração!B:B)&gt;=1.15,1.15,((IF(AZ2443&gt;=115%,115%,AZ2443) + IF(AX2443&gt;=115%,115%,AX2443) + IF(AY2443&gt;=115%,115%,AY2443) + (IF(AW2443&gt;=115%,115%,AW2443) + IF(BA2443&gt;=115%,115%,BA2443) + IF(BB2443&gt;=115%,115%,BB2443) + IF(BC2443&gt;=115%,115%,BC2443) + IF(BD2443&gt;=115%,115%,BD2443) + IF(BE2443&gt;=115%,115%,BE2443) + IF(BF2443&gt;=115%,115%,BF2443) + IF(BG2443&gt;=115%,115%,BG2443) + IF(BH2443&gt;=115%,115%,BH2443)))/_xlfn.XLOOKUP(F2443,Apuração!A:A,Apuração!B:B)))</f>
        <v>0</v>
      </c>
      <c r="BL2443" s="58" cm="1">
        <f t="array" aca="1" ref="BL2443" ca="1">IF(SUM(IFERROR(IF(INDEX(AW2443:INDEX(AW2443:BH2443, MATCH(2, 1/(AW2443:BH2443&lt;&gt;""), 1)-1), ROW(INDIRECT("1:" &amp; MATCH(2, 1/(AW2443:BH2443&lt;&gt;""), 1)-1))) &gt;= 115%, 115%, INDEX(AW2443:INDEX(AW2443:BH2443, MATCH(2, 1/(AW2443:BH2443&lt;&gt;""), 1)-1), ROW(INDIRECT("1:" &amp; MATCH(2, 1/(AW2443:BH2443&lt;&gt;""), 1)-1)))), 0))/_xlfn.XLOOKUP(F2443,Apuração!A:A,Apuração!B:B)&gt;=1.15,1.15,SUM(IFERROR(IF(INDEX(AW2443:INDEX(AW2443:BH2443, MATCH(2, 1/(AW2443:BH2443&lt;&gt;""), 1)-1), ROW(INDIRECT("1:" &amp; MATCH(2, 1/(AW2443:BH2443&lt;&gt;""), 1)-1))) &gt;= 115%, 115%, INDEX(AW2443:INDEX(AW2443:BH2443, MATCH(2, 1/(AW2443:BH2443&lt;&gt;""), 1)-1), ROW(INDIRECT("1:" &amp; MATCH(2, 1/(AW2443:BH2443&lt;&gt;""), 1)-1)))), 0))/_xlfn.XLOOKUP(F2443,Apuração!A:A,Apuração!B:B))</f>
        <v>0</v>
      </c>
      <c r="BM2443" s="55"/>
      <c r="BN2443" s="55"/>
      <c r="BO2443" s="53">
        <f ca="1">IFERROR(_xlfn.XLOOKUP(F2443,Apuração!A:A,Apuração!C:C)/_xlfn.XLOOKUP(F2443,Apuração!A:A,Apuração!B:B),0)</f>
        <v>0</v>
      </c>
      <c r="BP2443" s="53">
        <f ca="1">IFERROR(_xlfn.XLOOKUP(F2443,Apuração!A:A,Apuração!D:D)/_xlfn.XLOOKUP(F2443,Apuração!A:A,Apuração!B:B),0)</f>
        <v>0</v>
      </c>
      <c r="BQ2443" s="53">
        <f ca="1">IF(BK2443&gt;=BO2443,0,_xlfn.XLOOKUP(F2443,Apuração!A:A,Apuração!B:B)*(BO2443 + (1/_xlfn.XLOOKUP(F2443,Apuração!A:A,Apuração!B:B)) - BK2443))</f>
        <v>0</v>
      </c>
      <c r="BR2443" s="85">
        <f t="shared" ca="1" si="2957"/>
        <v>0</v>
      </c>
      <c r="BS2443" s="53">
        <f ca="1">IFERROR((_xlfn.XLOOKUP(F2443,Apuração!A:A,Apuração!C:C)+1)/_xlfn.XLOOKUP(F2443,Apuração!A:A,Apuração!B:B),0)</f>
        <v>0.14285714285714285</v>
      </c>
    </row>
    <row r="2444" spans="1:71" ht="25.95" hidden="1" customHeight="1" x14ac:dyDescent="0.3">
      <c r="A2444" s="23" t="s">
        <v>134</v>
      </c>
      <c r="B2444" s="4" t="s">
        <v>135</v>
      </c>
      <c r="C2444" s="5" t="s">
        <v>221</v>
      </c>
      <c r="D2444" s="5" t="s">
        <v>36</v>
      </c>
      <c r="E2444" s="4" t="str" cm="1">
        <f t="array" ref="E2444">_xlfn.IFS(
F2444 = "A partir de Abril", "Aguardando Execução na Distribuidora",
A2444 = "CAPACITAÇÃO", "Em execução no Corporativo",
TRUE, "Em Execução na Distribuidora"
)</f>
        <v>Em Execução na Distribuidora</v>
      </c>
      <c r="F2444" s="4" t="str" cm="1">
        <f t="array" ref="F2444">_xlfn.IFS(
AG2444 &lt;&gt; "", "Jan-Dez/26",
AH2444 &lt;&gt; "", "Fev-Dez/26",
AI2444 &lt;&gt; "", "Mar-Dez/26", AJ2444 &lt;&gt; "", "Abr-Dez/26",
TRUE, "A partir de Junho"
)</f>
        <v>Jan-Dez/26</v>
      </c>
      <c r="G2444" s="4" t="s">
        <v>37</v>
      </c>
      <c r="H2444" s="7" t="s">
        <v>38</v>
      </c>
      <c r="I2444" s="8" t="s">
        <v>136</v>
      </c>
      <c r="J2444" s="8" t="str" cm="1">
        <f t="array" aca="1" ref="J2444" ca="1">_xlfn.LET(
  _xlpm.actual_value_month, INDEX(T2444:AE2444, MATCH(DATE(YEAR(TODAY()), MONTH(TODAY()), 1), $T$1:$AE$1, 0)),
  IF(_xlpm.actual_value_month &lt;&gt; "",_xlpm.actual_value_month &amp; " equipes mensais", "")
)</f>
        <v>361 equipes mensais</v>
      </c>
      <c r="K2444" s="8" t="str">
        <f>_xlfn.LET(
    _xlpm.sum_month, SUM(T2444:AE2444),
    IF(_xlpm.sum_month = 0, "", _xlpm.sum_month &amp; "  equipes alcançadas no ano")
)</f>
        <v>18054  equipes alcançadas no ano</v>
      </c>
      <c r="L2444" s="9" t="s">
        <v>137</v>
      </c>
      <c r="M2444" s="24" t="s">
        <v>138</v>
      </c>
      <c r="N2444" s="5" t="s">
        <v>42</v>
      </c>
      <c r="O2444" s="5" t="s">
        <v>43</v>
      </c>
      <c r="P2444" s="10" t="s">
        <v>44</v>
      </c>
      <c r="Q2444" s="10" t="s">
        <v>44</v>
      </c>
      <c r="R2444" s="11" t="s">
        <v>66</v>
      </c>
      <c r="S2444" s="11" t="s">
        <v>67</v>
      </c>
      <c r="T2444" s="22">
        <v>4676</v>
      </c>
      <c r="U2444" s="22">
        <v>5133</v>
      </c>
      <c r="V2444" s="22">
        <v>4996</v>
      </c>
      <c r="W2444" s="22">
        <v>361</v>
      </c>
      <c r="X2444" s="22">
        <v>361</v>
      </c>
      <c r="Y2444" s="22">
        <v>361</v>
      </c>
      <c r="Z2444" s="22">
        <v>361</v>
      </c>
      <c r="AA2444" s="22">
        <v>361</v>
      </c>
      <c r="AB2444" s="22">
        <v>361</v>
      </c>
      <c r="AC2444" s="22">
        <v>361</v>
      </c>
      <c r="AD2444" s="22">
        <v>361</v>
      </c>
      <c r="AE2444" s="22">
        <v>361</v>
      </c>
      <c r="AG2444" s="71">
        <v>4676</v>
      </c>
      <c r="AH2444" s="71">
        <v>5133</v>
      </c>
      <c r="AI2444" s="71">
        <v>4996</v>
      </c>
      <c r="AJ2444" s="71">
        <v>619</v>
      </c>
      <c r="AK2444" s="71">
        <v>370</v>
      </c>
      <c r="AL2444" s="71"/>
      <c r="AM2444" s="71"/>
      <c r="AN2444" s="71"/>
      <c r="AO2444" s="71"/>
      <c r="AP2444" s="71"/>
      <c r="AQ2444" s="71"/>
      <c r="AR2444" s="71"/>
      <c r="AS2444" s="94">
        <f t="shared" ref="AS2444:AS2486" ca="1" si="2977">IF(MONTH(TODAY())=3,SUM(T2444:U2444),IF(MONTH(TODAY())=4,SUM(T2444:V2444),IF(MONTH(TODAY())=5,SUM(T2444:W2444),IF(MONTH(TODAY())=6,SUM(T2444:X2444),IF(MONTH(TODAY())=7,SUM(T2444:Y2444),IF(MONTH(TODAY())=8,SUM(T2444:Z2444),IF(MONTH(TODAY())=9,SUM(T2444:AA2444),IF(MONTH(TODAY())=10,SUM(T2444:AB2444),IF(MONTH(TODAY())=11,SUM(T2444:AC2444),IF(MONTH(TODAY())=12,SUM(T2444:AD2444),IF(MONTH(TODAY())=1,SUM(T2444:AE2444),T2444)))))))))))</f>
        <v>15527</v>
      </c>
      <c r="AT2444" s="95">
        <f>SUM(IF(AW2444&lt;1.15,AG2444,1.15*T2444),IF(AX2444&lt;1.15,AH2444,1.15*U2444),IF(AY2444&lt;1.15,AI2444,1.15*V2444),IF(AZ2444&lt;1.15,AJ2444,1.15*W2444),IF(BA2444&lt;1.15,AK2444,1.15*X2444),IF(BB2444&lt;1.15,AL2444,1.15*Y2444),IF(BC2444&lt;1.15,AM2444,1.15*Z2444),IF(BD2444&lt;1.15,AN2444,1.15*AA2444),IF(BE2444&lt;1.15,AO2444,1.15*AB2444),IF(BF2444&lt;1.15,AP2444,1.15*AC2444),IF(BG2444&lt;1.15,AQ2444,1.15*AD2444),IF(BH2444&lt;1.15,AR2444,1.15*AE2444))</f>
        <v>15590.15</v>
      </c>
      <c r="AU2444" s="97">
        <f t="shared" ref="AU2444:AU2486" si="2978">SUM(AG2444:AR2444)</f>
        <v>15794</v>
      </c>
      <c r="AW2444" s="51">
        <f t="shared" si="2976"/>
        <v>1</v>
      </c>
      <c r="AX2444" s="51">
        <f t="shared" si="2976"/>
        <v>1</v>
      </c>
      <c r="AY2444" s="51">
        <f t="shared" si="2976"/>
        <v>1</v>
      </c>
      <c r="AZ2444" s="51">
        <f t="shared" si="2976"/>
        <v>1.7146814404432134</v>
      </c>
      <c r="BA2444" s="51">
        <f t="shared" si="2976"/>
        <v>1.0249307479224377</v>
      </c>
      <c r="BB2444" s="51"/>
      <c r="BC2444" s="51"/>
      <c r="BD2444" s="51"/>
      <c r="BE2444" s="51"/>
      <c r="BF2444" s="51"/>
      <c r="BG2444" s="51"/>
      <c r="BH2444" s="51"/>
      <c r="BI2444" s="65" cm="1">
        <f t="array" ref="BI2444">IFERROR(INDEX(AW2444:BH2444,1,MATCH(2,1/(AW2444:BH2444&lt;&gt;""))),"")</f>
        <v>1.0249307479224377</v>
      </c>
      <c r="BJ2444" s="68" cm="1">
        <f t="array" ref="BJ2444">IF(BM2444 = "", "",IFERROR(INDEX(AW2444:BH2444,1,MATCH(2,1/(AW2444:BH2444&lt;&gt;""),1)-1),""))</f>
        <v>1.7146814404432134</v>
      </c>
      <c r="BK2444" s="58">
        <f>IF((IF(AW2444&gt;=115%,115%,AW2444) + IF(AX2444&gt;=115%,115%,AX2444) + IF(AY2444&gt;=115%,115%,AY2444) + (IF(AZ2444&gt;=115%,115%,AZ2444) + IF(BA2444&gt;=115%,115%,BA2444) + IF(BB2444&gt;=115%,115%,BB2444) + IF(BC2444&gt;=115%,115%,BC2444) + IF(BD2444&gt;=115%,115%,BD2444) + IF(BE2444&gt;=115%,115%,BE2444) + IF(BF2444&gt;=115%,115%,BF2444) + IF(BG2444&gt;=115%,115%,BG2444) + IF(BH2444&gt;=115%,115%,BH2444)))/_xlfn.XLOOKUP(F2444,Apuração!A:A,Apuração!B:B)&gt;=1.15,1.15,((IF(AZ2444&gt;=115%,115%,AZ2444) + IF(AX2444&gt;=115%,115%,AX2444) + IF(AY2444&gt;=115%,115%,AY2444) + (IF(AW2444&gt;=115%,115%,AW2444) + IF(BA2444&gt;=115%,115%,BA2444) + IF(BB2444&gt;=115%,115%,BB2444) + IF(BC2444&gt;=115%,115%,BC2444) + IF(BD2444&gt;=115%,115%,BD2444) + IF(BE2444&gt;=115%,115%,BE2444) + IF(BF2444&gt;=115%,115%,BF2444) + IF(BG2444&gt;=115%,115%,BG2444) + IF(BH2444&gt;=115%,115%,BH2444)))/_xlfn.XLOOKUP(F2444,Apuração!A:A,Apuração!B:B)))</f>
        <v>0.43124422899353648</v>
      </c>
      <c r="BL2444" s="58" cm="1">
        <f t="array" aca="1" ref="BL2444" ca="1">IF(SUM(IFERROR(IF(INDEX(AW2444:INDEX(AW2444:BH2444, MATCH(2, 1/(AW2444:BH2444&lt;&gt;""), 1)-1), ROW(INDIRECT("1:" &amp; MATCH(2, 1/(AW2444:BH2444&lt;&gt;""), 1)-1))) &gt;= 115%, 115%, INDEX(AW2444:INDEX(AW2444:BH2444, MATCH(2, 1/(AW2444:BH2444&lt;&gt;""), 1)-1), ROW(INDIRECT("1:" &amp; MATCH(2, 1/(AW2444:BH2444&lt;&gt;""), 1)-1)))), 0))/_xlfn.XLOOKUP(F2444,Apuração!A:A,Apuração!B:B)&gt;=1.15,1.15,SUM(IFERROR(IF(INDEX(AW2444:INDEX(AW2444:BH2444, MATCH(2, 1/(AW2444:BH2444&lt;&gt;""), 1)-1), ROW(INDIRECT("1:" &amp; MATCH(2, 1/(AW2444:BH2444&lt;&gt;""), 1)-1))) &gt;= 115%, 115%, INDEX(AW2444:INDEX(AW2444:BH2444, MATCH(2, 1/(AW2444:BH2444&lt;&gt;""), 1)-1), ROW(INDIRECT("1:" &amp; MATCH(2, 1/(AW2444:BH2444&lt;&gt;""), 1)-1)))), 0))/_xlfn.XLOOKUP(F2444,Apuração!A:A,Apuração!B:B))</f>
        <v>0.34583333333333338</v>
      </c>
      <c r="BM2444" s="55" cm="1">
        <f t="array" ref="BM2444">IFERROR(
   INDEX($AW$1:$BH$1,
      _xlfn.AGGREGATE(14, 6, COLUMN($AW$1:$BH$1)/(AW2444:BH2444&lt;&gt;""), 2) - COLUMN($AW$1) + 1
   ),
"")</f>
        <v>46113</v>
      </c>
      <c r="BN2444" s="55" cm="1">
        <f t="array" ref="BN2444">IFERROR(INDEX($AW$1:$BH$1,1,MATCH(2,1/(AW2444:BH2444&lt;&gt;""))),"")</f>
        <v>46143</v>
      </c>
      <c r="BO2444" s="53">
        <f ca="1">IFERROR(_xlfn.XLOOKUP(F2444,Apuração!A:A,Apuração!C:C)/_xlfn.XLOOKUP(F2444,Apuração!A:A,Apuração!B:B),0)</f>
        <v>0.41666666666666669</v>
      </c>
      <c r="BP2444" s="53">
        <f ca="1">IFERROR(_xlfn.XLOOKUP(F2444,Apuração!A:A,Apuração!D:D)/_xlfn.XLOOKUP(F2444,Apuração!A:A,Apuração!B:B),0)</f>
        <v>0.33333333333333331</v>
      </c>
      <c r="BQ2444" s="53">
        <f ca="1">IF(BK2444&gt;=BO2444,0,_xlfn.XLOOKUP(F2444,Apuração!A:A,Apuração!B:B)*(BO2444 + (1/_xlfn.XLOOKUP(F2444,Apuração!A:A,Apuração!B:B)) - BK2444))</f>
        <v>0</v>
      </c>
      <c r="BR2444" s="85">
        <f t="shared" ca="1" si="2957"/>
        <v>0</v>
      </c>
      <c r="BS2444" s="53">
        <f ca="1">IFERROR((_xlfn.XLOOKUP(F2444,Apuração!A:A,Apuração!C:C)+1)/_xlfn.XLOOKUP(F2444,Apuração!A:A,Apuração!B:B),0)</f>
        <v>0.5</v>
      </c>
    </row>
    <row r="2445" spans="1:71" ht="25.95" hidden="1" customHeight="1" x14ac:dyDescent="0.3">
      <c r="A2445" s="23" t="s">
        <v>134</v>
      </c>
      <c r="B2445" s="4" t="s">
        <v>135</v>
      </c>
      <c r="C2445" s="5" t="s">
        <v>221</v>
      </c>
      <c r="D2445" s="5" t="s">
        <v>212</v>
      </c>
      <c r="E2445" s="4" t="str" cm="1">
        <f t="array" ref="E2445">_xlfn.IFS(
F2445 = "A partir de Abril", "Aguardando Execução na Distribuidora",
A2445 = "CAPACITAÇÃO", "Em execução no Corporativo",
TRUE, "Em Execução na Distribuidora"
)</f>
        <v>Em Execução na Distribuidora</v>
      </c>
      <c r="F2445" s="4" t="str" cm="1">
        <f t="array" ref="F2445">_xlfn.IFS(
AG2445 &lt;&gt; "", "Jan-Dez/26",
AH2445 &lt;&gt; "", "Fev-Dez/26",
AI2445 &lt;&gt; "", "Mar-Dez/26", AJ2445 &lt;&gt; "", "Abr-Dez/26",
TRUE, "A partir de Junho"
)</f>
        <v>Abr-Dez/26</v>
      </c>
      <c r="G2445" s="4" t="s">
        <v>37</v>
      </c>
      <c r="H2445" s="7" t="s">
        <v>38</v>
      </c>
      <c r="I2445" s="8" t="s">
        <v>136</v>
      </c>
      <c r="J2445" s="8" t="str" cm="1">
        <f t="array" aca="1" ref="J2445" ca="1">_xlfn.LET(
  _xlpm.actual_value_month, INDEX(T2445:AE2445, MATCH(DATE(YEAR(TODAY()), MONTH(TODAY()), 1), $T$1:$AE$1, 0)),
  IF(_xlpm.actual_value_month &lt;&gt; "",_xlpm.actual_value_month &amp; " equipes mensais", "")
)</f>
        <v>208 equipes mensais</v>
      </c>
      <c r="K2445" s="8" t="str">
        <f>_xlfn.LET(
    _xlpm.sum_month, SUM(T2445:AE2445),
    IF(_xlpm.sum_month = 0, "", _xlpm.sum_month &amp; "  equipes alcançadas no ano")
)</f>
        <v>2496  equipes alcançadas no ano</v>
      </c>
      <c r="L2445" s="9" t="s">
        <v>137</v>
      </c>
      <c r="M2445" s="24" t="s">
        <v>138</v>
      </c>
      <c r="N2445" s="5" t="s">
        <v>42</v>
      </c>
      <c r="O2445" s="5" t="s">
        <v>43</v>
      </c>
      <c r="P2445" s="10" t="s">
        <v>44</v>
      </c>
      <c r="Q2445" s="10" t="s">
        <v>44</v>
      </c>
      <c r="R2445" s="11" t="s">
        <v>66</v>
      </c>
      <c r="S2445" s="11" t="s">
        <v>67</v>
      </c>
      <c r="T2445" s="143">
        <v>208</v>
      </c>
      <c r="U2445" s="143">
        <v>208</v>
      </c>
      <c r="V2445" s="143">
        <v>208</v>
      </c>
      <c r="W2445" s="143">
        <v>208</v>
      </c>
      <c r="X2445" s="143">
        <v>208</v>
      </c>
      <c r="Y2445" s="143">
        <v>208</v>
      </c>
      <c r="Z2445" s="143">
        <v>208</v>
      </c>
      <c r="AA2445" s="143">
        <v>208</v>
      </c>
      <c r="AB2445" s="143">
        <v>208</v>
      </c>
      <c r="AC2445" s="143">
        <v>208</v>
      </c>
      <c r="AD2445" s="143">
        <v>208</v>
      </c>
      <c r="AE2445" s="143">
        <v>208</v>
      </c>
      <c r="AG2445" s="71"/>
      <c r="AH2445" s="71"/>
      <c r="AI2445" s="71"/>
      <c r="AJ2445" s="82">
        <v>374</v>
      </c>
      <c r="AK2445" s="71">
        <v>212</v>
      </c>
      <c r="AL2445" s="71"/>
      <c r="AM2445" s="71"/>
      <c r="AN2445" s="71"/>
      <c r="AO2445" s="71"/>
      <c r="AP2445" s="71"/>
      <c r="AQ2445" s="71"/>
      <c r="AR2445" s="71"/>
      <c r="AS2445" s="94">
        <f t="shared" ref="AS2445:AS2446" ca="1" si="2979">IF(MONTH(TODAY())=3,SUM(T2445:U2445),IF(MONTH(TODAY())=4,SUM(T2445:V2445),IF(MONTH(TODAY())=5,SUM(T2445:W2445),IF(MONTH(TODAY())=6,SUM(T2445:X2445),IF(MONTH(TODAY())=7,SUM(T2445:Y2445),IF(MONTH(TODAY())=8,SUM(T2445:Z2445),IF(MONTH(TODAY())=9,SUM(T2445:AA2445),IF(MONTH(TODAY())=10,SUM(T2445:AB2445),IF(MONTH(TODAY())=11,SUM(T2445:AC2445),IF(MONTH(TODAY())=12,SUM(T2445:AD2445),IF(MONTH(TODAY())=1,SUM(T2445:AE2445),T2445)))))))))))</f>
        <v>1040</v>
      </c>
      <c r="AT2445" s="95">
        <f t="shared" ref="AT2445:AT2446" si="2980">SUM(IF(AW2445&lt;1.15,AG2445,1.15*T2445),IF(AX2445&lt;1.15,AH2445,1.15*U2445),IF(AY2445&lt;1.15,AI2445,1.15*V2445),IF(AZ2445&lt;1.15,AJ2445,1.15*W2445),IF(BA2445&lt;1.15,AK2445,1.15*X2445),IF(BB2445&lt;1.15,AL2445,1.15*Y2445),IF(BC2445&lt;1.15,AM2445,1.15*Z2445),IF(BD2445&lt;1.15,AN2445,1.15*AA2445),IF(BE2445&lt;1.15,AO2445,1.15*AB2445),IF(BF2445&lt;1.15,AP2445,1.15*AC2445),IF(BG2445&lt;1.15,AQ2445,1.15*AD2445),IF(BH2445&lt;1.15,AR2445,1.15*AE2445))</f>
        <v>451.2</v>
      </c>
      <c r="AU2445" s="97">
        <f t="shared" ref="AU2445:AU2446" si="2981">SUM(AG2445:AR2445)</f>
        <v>586</v>
      </c>
      <c r="AW2445" s="51">
        <f t="shared" ref="AW2445:AW2446" si="2982">IFERROR(IF(AG2445="",0,AG2445/T2445),0)</f>
        <v>0</v>
      </c>
      <c r="AX2445" s="51">
        <f t="shared" ref="AX2445:AX2446" si="2983">IFERROR(IF(AH2445="",0,AH2445/U2445),0)</f>
        <v>0</v>
      </c>
      <c r="AY2445" s="51">
        <f t="shared" ref="AY2445:AY2446" si="2984">IFERROR(IF(AI2445="",0,AI2445/V2445),0)</f>
        <v>0</v>
      </c>
      <c r="AZ2445" s="51">
        <f t="shared" ref="AZ2445:BA2446" si="2985">IFERROR(IF(AJ2445="",0,AJ2445/W2445),0)</f>
        <v>1.7980769230769231</v>
      </c>
      <c r="BA2445" s="51">
        <f t="shared" si="2985"/>
        <v>1.0192307692307692</v>
      </c>
      <c r="BB2445" s="51"/>
      <c r="BC2445" s="51"/>
      <c r="BD2445" s="51"/>
      <c r="BE2445" s="51"/>
      <c r="BF2445" s="51"/>
      <c r="BG2445" s="51"/>
      <c r="BH2445" s="51"/>
      <c r="BI2445" s="65" cm="1">
        <f t="array" ref="BI2445">IFERROR(INDEX(AW2445:BH2445,1,MATCH(2,1/(AW2445:BH2445&lt;&gt;""))),"")</f>
        <v>1.0192307692307692</v>
      </c>
      <c r="BJ2445" s="68" cm="1">
        <f t="array" ref="BJ2445">IF(BM2445 = "", "",IFERROR(INDEX(AW2445:BH2445,1,MATCH(2,1/(AW2445:BH2445&lt;&gt;""),1)-1),""))</f>
        <v>1.7980769230769231</v>
      </c>
      <c r="BK2445" s="58">
        <f>IF((IF(AW2445&gt;=115%,115%,AW2445) + IF(AX2445&gt;=115%,115%,AX2445) + IF(AY2445&gt;=115%,115%,AY2445) + (IF(AZ2445&gt;=115%,115%,AZ2445) + IF(BA2445&gt;=115%,115%,BA2445) + IF(BB2445&gt;=115%,115%,BB2445) + IF(BC2445&gt;=115%,115%,BC2445) + IF(BD2445&gt;=115%,115%,BD2445) + IF(BE2445&gt;=115%,115%,BE2445) + IF(BF2445&gt;=115%,115%,BF2445) + IF(BG2445&gt;=115%,115%,BG2445) + IF(BH2445&gt;=115%,115%,BH2445)))/_xlfn.XLOOKUP(F2445,Apuração!A:A,Apuração!B:B)&gt;=1.15,1.15,((IF(AZ2445&gt;=115%,115%,AZ2445) + IF(AX2445&gt;=115%,115%,AX2445) + IF(AY2445&gt;=115%,115%,AY2445) + (IF(AW2445&gt;=115%,115%,AW2445) + IF(BA2445&gt;=115%,115%,BA2445) + IF(BB2445&gt;=115%,115%,BB2445) + IF(BC2445&gt;=115%,115%,BC2445) + IF(BD2445&gt;=115%,115%,BD2445) + IF(BE2445&gt;=115%,115%,BE2445) + IF(BF2445&gt;=115%,115%,BF2445) + IF(BG2445&gt;=115%,115%,BG2445) + IF(BH2445&gt;=115%,115%,BH2445)))/_xlfn.XLOOKUP(F2445,Apuração!A:A,Apuração!B:B)))</f>
        <v>0.241025641025641</v>
      </c>
      <c r="BL2445" s="58" cm="1">
        <f t="array" aca="1" ref="BL2445" ca="1">IF(SUM(IFERROR(IF(INDEX(AW2445:INDEX(AW2445:BH2445, MATCH(2, 1/(AW2445:BH2445&lt;&gt;""), 1)-1), ROW(INDIRECT("1:" &amp; MATCH(2, 1/(AW2445:BH2445&lt;&gt;""), 1)-1))) &gt;= 115%, 115%, INDEX(AW2445:INDEX(AW2445:BH2445, MATCH(2, 1/(AW2445:BH2445&lt;&gt;""), 1)-1), ROW(INDIRECT("1:" &amp; MATCH(2, 1/(AW2445:BH2445&lt;&gt;""), 1)-1)))), 0))/_xlfn.XLOOKUP(F2445,Apuração!A:A,Apuração!B:B)&gt;=1.15,1.15,SUM(IFERROR(IF(INDEX(AW2445:INDEX(AW2445:BH2445, MATCH(2, 1/(AW2445:BH2445&lt;&gt;""), 1)-1), ROW(INDIRECT("1:" &amp; MATCH(2, 1/(AW2445:BH2445&lt;&gt;""), 1)-1))) &gt;= 115%, 115%, INDEX(AW2445:INDEX(AW2445:BH2445, MATCH(2, 1/(AW2445:BH2445&lt;&gt;""), 1)-1), ROW(INDIRECT("1:" &amp; MATCH(2, 1/(AW2445:BH2445&lt;&gt;""), 1)-1)))), 0))/_xlfn.XLOOKUP(F2445,Apuração!A:A,Apuração!B:B))</f>
        <v>0.12777777777777777</v>
      </c>
      <c r="BM2445" s="55" cm="1">
        <f t="array" ref="BM2445">IFERROR(
   INDEX($AW$1:$BH$1,
      _xlfn.AGGREGATE(14, 6, COLUMN($AW$1:$BH$1)/(AW2445:BH2445&lt;&gt;""), 2) - COLUMN($AW$1) + 1
   ),
"")</f>
        <v>46113</v>
      </c>
      <c r="BN2445" s="55" cm="1">
        <f t="array" ref="BN2445">IFERROR(INDEX($AW$1:$BH$1,1,MATCH(2,1/(AW2445:BH2445&lt;&gt;""))),"")</f>
        <v>46143</v>
      </c>
      <c r="BO2445" s="53">
        <f ca="1">IFERROR(_xlfn.XLOOKUP(F2445,Apuração!A:A,Apuração!C:C)/_xlfn.XLOOKUP(F2445,Apuração!A:A,Apuração!B:B),0)</f>
        <v>0.22222222222222221</v>
      </c>
      <c r="BP2445" s="53">
        <f ca="1">IFERROR(_xlfn.XLOOKUP(F2445,Apuração!A:A,Apuração!D:D)/_xlfn.XLOOKUP(F2445,Apuração!A:A,Apuração!B:B),0)</f>
        <v>0.1111111111111111</v>
      </c>
      <c r="BQ2445" s="53">
        <f ca="1">IF(BK2445&gt;=BO2445,0,_xlfn.XLOOKUP(F2445,Apuração!A:A,Apuração!B:B)*(BO2445 + (1/_xlfn.XLOOKUP(F2445,Apuração!A:A,Apuração!B:B)) - BK2445))</f>
        <v>0</v>
      </c>
      <c r="BR2445" s="85">
        <f t="shared" ref="BR2445:BR2446" ca="1" si="2986">IF(BQ2445=0,0,BQ2445*Z2445)</f>
        <v>0</v>
      </c>
      <c r="BS2445" s="53">
        <f ca="1">IFERROR((_xlfn.XLOOKUP(F2445,Apuração!A:A,Apuração!C:C)+1)/_xlfn.XLOOKUP(F2445,Apuração!A:A,Apuração!B:B),0)</f>
        <v>0.33333333333333331</v>
      </c>
    </row>
    <row r="2446" spans="1:71" ht="25.95" hidden="1" customHeight="1" x14ac:dyDescent="0.3">
      <c r="A2446" s="23" t="s">
        <v>134</v>
      </c>
      <c r="B2446" s="4" t="s">
        <v>135</v>
      </c>
      <c r="C2446" s="5" t="s">
        <v>221</v>
      </c>
      <c r="D2446" s="5" t="s">
        <v>213</v>
      </c>
      <c r="E2446" s="4" t="str" cm="1">
        <f t="array" ref="E2446">_xlfn.IFS(
F2446 = "A partir de Abril", "Aguardando Execução na Distribuidora",
A2446 = "CAPACITAÇÃO", "Em execução no Corporativo",
TRUE, "Em Execução na Distribuidora"
)</f>
        <v>Em Execução na Distribuidora</v>
      </c>
      <c r="F2446" s="4" t="str" cm="1">
        <f t="array" ref="F2446">_xlfn.IFS(
AG2446 &lt;&gt; "", "Jan-Dez/26",
AH2446 &lt;&gt; "", "Fev-Dez/26",
AI2446 &lt;&gt; "", "Mar-Dez/26", AJ2446 &lt;&gt; "", "Abr-Dez/26",
TRUE, "A partir de Junho"
)</f>
        <v>Abr-Dez/26</v>
      </c>
      <c r="G2446" s="4" t="s">
        <v>37</v>
      </c>
      <c r="H2446" s="7" t="s">
        <v>38</v>
      </c>
      <c r="I2446" s="8" t="s">
        <v>136</v>
      </c>
      <c r="J2446" s="8" t="str" cm="1">
        <f t="array" aca="1" ref="J2446" ca="1">_xlfn.LET(
  _xlpm.actual_value_month, INDEX(T2446:AE2446, MATCH(DATE(YEAR(TODAY()), MONTH(TODAY()), 1), $T$1:$AE$1, 0)),
  IF(_xlpm.actual_value_month &lt;&gt; "",_xlpm.actual_value_month &amp; " equipes mensais", "")
)</f>
        <v>154 equipes mensais</v>
      </c>
      <c r="K2446" s="8" t="str">
        <f>_xlfn.LET(
    _xlpm.sum_month, SUM(T2446:AE2446),
    IF(_xlpm.sum_month = 0, "", _xlpm.sum_month &amp; "  equipes alcançadas no ano")
)</f>
        <v>1848  equipes alcançadas no ano</v>
      </c>
      <c r="L2446" s="9" t="s">
        <v>137</v>
      </c>
      <c r="M2446" s="24" t="s">
        <v>138</v>
      </c>
      <c r="N2446" s="5" t="s">
        <v>42</v>
      </c>
      <c r="O2446" s="5" t="s">
        <v>43</v>
      </c>
      <c r="P2446" s="10" t="s">
        <v>44</v>
      </c>
      <c r="Q2446" s="10" t="s">
        <v>44</v>
      </c>
      <c r="R2446" s="11" t="s">
        <v>66</v>
      </c>
      <c r="S2446" s="11" t="s">
        <v>67</v>
      </c>
      <c r="T2446" s="143">
        <v>154</v>
      </c>
      <c r="U2446" s="143">
        <v>154</v>
      </c>
      <c r="V2446" s="143">
        <v>154</v>
      </c>
      <c r="W2446" s="143">
        <v>154</v>
      </c>
      <c r="X2446" s="143">
        <v>154</v>
      </c>
      <c r="Y2446" s="143">
        <v>154</v>
      </c>
      <c r="Z2446" s="143">
        <v>154</v>
      </c>
      <c r="AA2446" s="143">
        <v>154</v>
      </c>
      <c r="AB2446" s="143">
        <v>154</v>
      </c>
      <c r="AC2446" s="143">
        <v>154</v>
      </c>
      <c r="AD2446" s="143">
        <v>154</v>
      </c>
      <c r="AE2446" s="143">
        <v>154</v>
      </c>
      <c r="AG2446" s="71"/>
      <c r="AH2446" s="71"/>
      <c r="AI2446" s="71"/>
      <c r="AJ2446" s="82">
        <v>245</v>
      </c>
      <c r="AK2446" s="71">
        <v>158</v>
      </c>
      <c r="AL2446" s="71"/>
      <c r="AM2446" s="71"/>
      <c r="AN2446" s="71"/>
      <c r="AO2446" s="71"/>
      <c r="AP2446" s="71"/>
      <c r="AQ2446" s="71"/>
      <c r="AR2446" s="71"/>
      <c r="AS2446" s="94">
        <f t="shared" ca="1" si="2979"/>
        <v>770</v>
      </c>
      <c r="AT2446" s="95">
        <f t="shared" si="2980"/>
        <v>335.1</v>
      </c>
      <c r="AU2446" s="97">
        <f t="shared" si="2981"/>
        <v>403</v>
      </c>
      <c r="AW2446" s="51">
        <f t="shared" si="2982"/>
        <v>0</v>
      </c>
      <c r="AX2446" s="51">
        <f t="shared" si="2983"/>
        <v>0</v>
      </c>
      <c r="AY2446" s="51">
        <f t="shared" si="2984"/>
        <v>0</v>
      </c>
      <c r="AZ2446" s="51">
        <f t="shared" si="2985"/>
        <v>1.5909090909090908</v>
      </c>
      <c r="BA2446" s="51">
        <f t="shared" si="2985"/>
        <v>1.025974025974026</v>
      </c>
      <c r="BB2446" s="51"/>
      <c r="BC2446" s="51"/>
      <c r="BD2446" s="51"/>
      <c r="BE2446" s="51"/>
      <c r="BF2446" s="51"/>
      <c r="BG2446" s="51"/>
      <c r="BH2446" s="51"/>
      <c r="BI2446" s="65" cm="1">
        <f t="array" ref="BI2446">IFERROR(INDEX(AW2446:BH2446,1,MATCH(2,1/(AW2446:BH2446&lt;&gt;""))),"")</f>
        <v>1.025974025974026</v>
      </c>
      <c r="BJ2446" s="68" cm="1">
        <f t="array" ref="BJ2446">IF(BM2446 = "", "",IFERROR(INDEX(AW2446:BH2446,1,MATCH(2,1/(AW2446:BH2446&lt;&gt;""),1)-1),""))</f>
        <v>1.5909090909090908</v>
      </c>
      <c r="BK2446" s="58">
        <f>IF((IF(AW2446&gt;=115%,115%,AW2446) + IF(AX2446&gt;=115%,115%,AX2446) + IF(AY2446&gt;=115%,115%,AY2446) + (IF(AZ2446&gt;=115%,115%,AZ2446) + IF(BA2446&gt;=115%,115%,BA2446) + IF(BB2446&gt;=115%,115%,BB2446) + IF(BC2446&gt;=115%,115%,BC2446) + IF(BD2446&gt;=115%,115%,BD2446) + IF(BE2446&gt;=115%,115%,BE2446) + IF(BF2446&gt;=115%,115%,BF2446) + IF(BG2446&gt;=115%,115%,BG2446) + IF(BH2446&gt;=115%,115%,BH2446)))/_xlfn.XLOOKUP(F2446,Apuração!A:A,Apuração!B:B)&gt;=1.15,1.15,((IF(AZ2446&gt;=115%,115%,AZ2446) + IF(AX2446&gt;=115%,115%,AX2446) + IF(AY2446&gt;=115%,115%,AY2446) + (IF(AW2446&gt;=115%,115%,AW2446) + IF(BA2446&gt;=115%,115%,BA2446) + IF(BB2446&gt;=115%,115%,BB2446) + IF(BC2446&gt;=115%,115%,BC2446) + IF(BD2446&gt;=115%,115%,BD2446) + IF(BE2446&gt;=115%,115%,BE2446) + IF(BF2446&gt;=115%,115%,BF2446) + IF(BG2446&gt;=115%,115%,BG2446) + IF(BH2446&gt;=115%,115%,BH2446)))/_xlfn.XLOOKUP(F2446,Apuração!A:A,Apuração!B:B)))</f>
        <v>0.24177489177489175</v>
      </c>
      <c r="BL2446" s="58" cm="1">
        <f t="array" aca="1" ref="BL2446" ca="1">IF(SUM(IFERROR(IF(INDEX(AW2446:INDEX(AW2446:BH2446, MATCH(2, 1/(AW2446:BH2446&lt;&gt;""), 1)-1), ROW(INDIRECT("1:" &amp; MATCH(2, 1/(AW2446:BH2446&lt;&gt;""), 1)-1))) &gt;= 115%, 115%, INDEX(AW2446:INDEX(AW2446:BH2446, MATCH(2, 1/(AW2446:BH2446&lt;&gt;""), 1)-1), ROW(INDIRECT("1:" &amp; MATCH(2, 1/(AW2446:BH2446&lt;&gt;""), 1)-1)))), 0))/_xlfn.XLOOKUP(F2446,Apuração!A:A,Apuração!B:B)&gt;=1.15,1.15,SUM(IFERROR(IF(INDEX(AW2446:INDEX(AW2446:BH2446, MATCH(2, 1/(AW2446:BH2446&lt;&gt;""), 1)-1), ROW(INDIRECT("1:" &amp; MATCH(2, 1/(AW2446:BH2446&lt;&gt;""), 1)-1))) &gt;= 115%, 115%, INDEX(AW2446:INDEX(AW2446:BH2446, MATCH(2, 1/(AW2446:BH2446&lt;&gt;""), 1)-1), ROW(INDIRECT("1:" &amp; MATCH(2, 1/(AW2446:BH2446&lt;&gt;""), 1)-1)))), 0))/_xlfn.XLOOKUP(F2446,Apuração!A:A,Apuração!B:B))</f>
        <v>0.12777777777777777</v>
      </c>
      <c r="BM2446" s="55" cm="1">
        <f t="array" ref="BM2446">IFERROR(
   INDEX($AW$1:$BH$1,
      _xlfn.AGGREGATE(14, 6, COLUMN($AW$1:$BH$1)/(AW2446:BH2446&lt;&gt;""), 2) - COLUMN($AW$1) + 1
   ),
"")</f>
        <v>46113</v>
      </c>
      <c r="BN2446" s="55" cm="1">
        <f t="array" ref="BN2446">IFERROR(INDEX($AW$1:$BH$1,1,MATCH(2,1/(AW2446:BH2446&lt;&gt;""))),"")</f>
        <v>46143</v>
      </c>
      <c r="BO2446" s="53">
        <f ca="1">IFERROR(_xlfn.XLOOKUP(F2446,Apuração!A:A,Apuração!C:C)/_xlfn.XLOOKUP(F2446,Apuração!A:A,Apuração!B:B),0)</f>
        <v>0.22222222222222221</v>
      </c>
      <c r="BP2446" s="53">
        <f ca="1">IFERROR(_xlfn.XLOOKUP(F2446,Apuração!A:A,Apuração!D:D)/_xlfn.XLOOKUP(F2446,Apuração!A:A,Apuração!B:B),0)</f>
        <v>0.1111111111111111</v>
      </c>
      <c r="BQ2446" s="53">
        <f ca="1">IF(BK2446&gt;=BO2446,0,_xlfn.XLOOKUP(F2446,Apuração!A:A,Apuração!B:B)*(BO2446 + (1/_xlfn.XLOOKUP(F2446,Apuração!A:A,Apuração!B:B)) - BK2446))</f>
        <v>0</v>
      </c>
      <c r="BR2446" s="85">
        <f t="shared" ca="1" si="2986"/>
        <v>0</v>
      </c>
      <c r="BS2446" s="53">
        <f ca="1">IFERROR((_xlfn.XLOOKUP(F2446,Apuração!A:A,Apuração!C:C)+1)/_xlfn.XLOOKUP(F2446,Apuração!A:A,Apuração!B:B),0)</f>
        <v>0.33333333333333331</v>
      </c>
    </row>
    <row r="2447" spans="1:71" ht="25.95" hidden="1" customHeight="1" x14ac:dyDescent="0.3">
      <c r="A2447" s="42" t="s">
        <v>134</v>
      </c>
      <c r="B2447" s="4" t="s">
        <v>135</v>
      </c>
      <c r="C2447" s="5" t="s">
        <v>221</v>
      </c>
      <c r="D2447" s="5" t="s">
        <v>36</v>
      </c>
      <c r="E2447" s="4" t="str" cm="1">
        <f t="array" ref="E2447">_xlfn.IFS(
F2447 = "A partir de Abril", "Aguardando Execução na Distribuidora",
A2447 = "CAPACITAÇÃO", "Em execução no Corporativo",
TRUE, "Em Execução na Distribuidora"
)</f>
        <v>Em Execução na Distribuidora</v>
      </c>
      <c r="F2447" s="4" t="str" cm="1">
        <f t="array" ref="F2447">_xlfn.IFS(
AG2447 &lt;&gt; "", "Jan-Dez/26",
AH2447 &lt;&gt; "", "Fev-Dez/26",
AI2447 &lt;&gt; "", "Mar-Dez/26", AJ2447 &lt;&gt; "", "Abr-Dez/26",
TRUE, "A partir de Junho"
)</f>
        <v>Jan-Dez/26</v>
      </c>
      <c r="G2447" s="4" t="s">
        <v>37</v>
      </c>
      <c r="H2447" s="7" t="s">
        <v>38</v>
      </c>
      <c r="I2447" s="8" t="s">
        <v>139</v>
      </c>
      <c r="J2447" s="8" t="str" cm="1">
        <f t="array" aca="1" ref="J2447" ca="1">_xlfn.LET(
  _xlpm.actual_value_month, INDEX(T2447:AE2447, MATCH(DATE(YEAR(TODAY()), MONTH(TODAY()), 1), $T$1:$AE$1, 0)),
  IF(_xlpm.actual_value_month &lt;&gt; "",_xlpm.actual_value_month &amp; " ações mensais", "")
)</f>
        <v/>
      </c>
      <c r="K2447" s="8" t="str" cm="1">
        <f t="array" ref="K2447">_xlfn.LET(
    _xlpm.sum_month, SUM(T2447:AE2447),
    IF(_xlpm.sum_month = 0, "", _xlpm.sum_month &amp; " mensagens a serem enviadas no ano")
)</f>
        <v/>
      </c>
      <c r="L2447" s="4" t="s">
        <v>140</v>
      </c>
      <c r="M2447" s="24"/>
      <c r="N2447" s="5" t="s">
        <v>51</v>
      </c>
      <c r="O2447" s="5" t="s">
        <v>52</v>
      </c>
      <c r="P2447" s="10" t="s">
        <v>44</v>
      </c>
      <c r="Q2447" s="10" t="s">
        <v>44</v>
      </c>
      <c r="R2447" s="11" t="s">
        <v>44</v>
      </c>
      <c r="S2447" s="11" t="s">
        <v>44</v>
      </c>
      <c r="T2447" s="22"/>
      <c r="U2447" s="22"/>
      <c r="V2447" s="22"/>
      <c r="W2447" s="22"/>
      <c r="X2447" s="22"/>
      <c r="Y2447" s="22"/>
      <c r="Z2447" s="22"/>
      <c r="AA2447" s="22"/>
      <c r="AB2447" s="22"/>
      <c r="AC2447" s="22"/>
      <c r="AD2447" s="22"/>
      <c r="AE2447" s="22"/>
      <c r="AG2447" s="71">
        <v>4676</v>
      </c>
      <c r="AH2447" s="71">
        <v>5133</v>
      </c>
      <c r="AI2447" s="71">
        <v>4996</v>
      </c>
      <c r="AJ2447" s="71">
        <v>7416</v>
      </c>
      <c r="AK2447" s="71">
        <v>7913</v>
      </c>
      <c r="AL2447" s="71"/>
      <c r="AM2447" s="71"/>
      <c r="AN2447" s="71"/>
      <c r="AO2447" s="71"/>
      <c r="AP2447" s="71"/>
      <c r="AQ2447" s="71"/>
      <c r="AR2447" s="71"/>
      <c r="AS2447" s="94">
        <f t="shared" ca="1" si="2977"/>
        <v>0</v>
      </c>
      <c r="AT2447" s="95">
        <f>SUM(AG2447:AR2447)</f>
        <v>30134</v>
      </c>
      <c r="AU2447" s="97">
        <f t="shared" si="2978"/>
        <v>30134</v>
      </c>
      <c r="AW2447" s="83">
        <f t="shared" ref="AW2447:BA2450" si="2987">AG2447</f>
        <v>4676</v>
      </c>
      <c r="AX2447" s="83">
        <f t="shared" si="2987"/>
        <v>5133</v>
      </c>
      <c r="AY2447" s="83">
        <f t="shared" si="2987"/>
        <v>4996</v>
      </c>
      <c r="AZ2447" s="83">
        <f t="shared" si="2987"/>
        <v>7416</v>
      </c>
      <c r="BA2447" s="83">
        <f t="shared" si="2987"/>
        <v>7913</v>
      </c>
      <c r="BB2447" s="52"/>
      <c r="BC2447" s="52"/>
      <c r="BD2447" s="52"/>
      <c r="BE2447" s="52"/>
      <c r="BF2447" s="52"/>
      <c r="BG2447" s="52"/>
      <c r="BH2447" s="52"/>
      <c r="BI2447" s="68" cm="1">
        <f t="array" ref="BI2447">IFERROR(INDEX(AW2447:BH2447,1,MATCH(2,1/(AW2447:BH2447&lt;&gt;""))),"")</f>
        <v>7913</v>
      </c>
      <c r="BJ2447" s="68" cm="1">
        <f t="array" ref="BJ2447">IF(BM2447 = "", "",IFERROR(INDEX(AW2447:BH2447,1,MATCH(2,1/(AW2447:BH2447&lt;&gt;""),1)-1),""))</f>
        <v>7416</v>
      </c>
      <c r="BK2447" s="59">
        <f>SUM(AW2447:BH2447)</f>
        <v>30134</v>
      </c>
      <c r="BL2447" s="59" cm="1">
        <f t="array" ref="BL2447">IFERROR(SUM(AW2447:INDEX(AW2447:BH2447, MATCH(2, 1/(AW2447:BH2447&lt;&gt;""), 1) - 1))/_xlfn.XLOOKUP(F2447,Apuração!A:A,Apuração!B:B),0)</f>
        <v>1851.75</v>
      </c>
      <c r="BM2447" s="55" cm="1">
        <f t="array" ref="BM2447">IFERROR(
   INDEX($AW$1:$BH$1,
      _xlfn.AGGREGATE(14, 6, COLUMN($AW$1:$BH$1)/(AW2447:BH2447&lt;&gt;""), 2) - COLUMN($AW$1) + 1
   ),
"")</f>
        <v>46113</v>
      </c>
      <c r="BN2447" s="55" cm="1">
        <f t="array" ref="BN2447">IFERROR(INDEX($AW$1:$BH$1,1,MATCH(2,1/(AW2447:BH2447&lt;&gt;""))),"")</f>
        <v>46143</v>
      </c>
      <c r="BO2447" s="53">
        <f ca="1">IFERROR(_xlfn.XLOOKUP(F2447,Apuração!A:A,Apuração!C:C)/_xlfn.XLOOKUP(F2447,Apuração!A:A,Apuração!B:B),0)</f>
        <v>0.41666666666666669</v>
      </c>
      <c r="BP2447" s="53">
        <f ca="1">IFERROR(_xlfn.XLOOKUP(F2447,Apuração!A:A,Apuração!D:D)/_xlfn.XLOOKUP(F2447,Apuração!A:A,Apuração!B:B),0)</f>
        <v>0.33333333333333331</v>
      </c>
      <c r="BQ2447" s="53">
        <f ca="1">IF(BK2447&gt;=BO2447,0,_xlfn.XLOOKUP(F2447,Apuração!A:A,Apuração!B:B)*(BO2447 + (1/_xlfn.XLOOKUP(F2447,Apuração!A:A,Apuração!B:B)) - BK2447))</f>
        <v>0</v>
      </c>
      <c r="BR2447" s="85">
        <f t="shared" ca="1" si="2957"/>
        <v>0</v>
      </c>
      <c r="BS2447" s="53">
        <f ca="1">IFERROR((_xlfn.XLOOKUP(F2447,Apuração!A:A,Apuração!C:C)+1)/_xlfn.XLOOKUP(F2447,Apuração!A:A,Apuração!B:B),0)</f>
        <v>0.5</v>
      </c>
    </row>
    <row r="2448" spans="1:71" ht="25.95" hidden="1" customHeight="1" x14ac:dyDescent="0.3">
      <c r="A2448" s="42" t="s">
        <v>134</v>
      </c>
      <c r="B2448" s="4" t="s">
        <v>135</v>
      </c>
      <c r="C2448" s="5" t="s">
        <v>221</v>
      </c>
      <c r="D2448" s="5" t="s">
        <v>212</v>
      </c>
      <c r="E2448" s="4" t="str" cm="1">
        <f t="array" ref="E2448">_xlfn.IFS(
F2448 = "A partir de Abril", "Aguardando Execução na Distribuidora",
A2448 = "CAPACITAÇÃO", "Em execução no Corporativo",
TRUE, "Em Execução na Distribuidora"
)</f>
        <v>Em Execução na Distribuidora</v>
      </c>
      <c r="F2448" s="4" t="str" cm="1">
        <f t="array" ref="F2448">_xlfn.IFS(
AG2448 &lt;&gt; "", "Jan-Dez/26",
AH2448 &lt;&gt; "", "Fev-Dez/26",
AI2448 &lt;&gt; "", "Mar-Dez/26", AJ2448 &lt;&gt; "", "Abr-Dez/26",
TRUE, "A partir de Junho"
)</f>
        <v>Abr-Dez/26</v>
      </c>
      <c r="G2448" s="4" t="s">
        <v>37</v>
      </c>
      <c r="H2448" s="7" t="s">
        <v>38</v>
      </c>
      <c r="I2448" s="8" t="s">
        <v>139</v>
      </c>
      <c r="J2448" s="8" t="str" cm="1">
        <f t="array" aca="1" ref="J2448" ca="1">_xlfn.LET(
  _xlpm.actual_value_month, INDEX(T2448:AE2448, MATCH(DATE(YEAR(TODAY()), MONTH(TODAY()), 1), $T$1:$AE$1, 0)),
  IF(_xlpm.actual_value_month &lt;&gt; "",_xlpm.actual_value_month &amp; " ações mensais", "")
)</f>
        <v/>
      </c>
      <c r="K2448" s="8" t="str" cm="1">
        <f t="array" ref="K2448">_xlfn.LET(
    _xlpm.sum_month, SUM(T2448:AE2448),
    IF(_xlpm.sum_month = 0, "", _xlpm.sum_month &amp; " mensagens a serem enviadas no ano")
)</f>
        <v/>
      </c>
      <c r="L2448" s="4" t="s">
        <v>140</v>
      </c>
      <c r="M2448" s="24"/>
      <c r="N2448" s="5" t="s">
        <v>51</v>
      </c>
      <c r="O2448" s="5" t="s">
        <v>52</v>
      </c>
      <c r="P2448" s="10" t="s">
        <v>44</v>
      </c>
      <c r="Q2448" s="10" t="s">
        <v>44</v>
      </c>
      <c r="R2448" s="11" t="s">
        <v>44</v>
      </c>
      <c r="S2448" s="11" t="s">
        <v>44</v>
      </c>
      <c r="T2448" s="22"/>
      <c r="U2448" s="22"/>
      <c r="V2448" s="22"/>
      <c r="W2448" s="22"/>
      <c r="X2448" s="22"/>
      <c r="Y2448" s="22"/>
      <c r="Z2448" s="22"/>
      <c r="AA2448" s="22"/>
      <c r="AB2448" s="22"/>
      <c r="AC2448" s="22"/>
      <c r="AD2448" s="22"/>
      <c r="AE2448" s="22"/>
      <c r="AG2448" s="71"/>
      <c r="AH2448" s="71"/>
      <c r="AI2448" s="71"/>
      <c r="AJ2448" s="71">
        <v>4403</v>
      </c>
      <c r="AK2448" s="71">
        <v>4761</v>
      </c>
      <c r="AL2448" s="71"/>
      <c r="AM2448" s="71"/>
      <c r="AN2448" s="71"/>
      <c r="AO2448" s="71"/>
      <c r="AP2448" s="71"/>
      <c r="AQ2448" s="71"/>
      <c r="AR2448" s="71"/>
      <c r="AS2448" s="94">
        <f t="shared" ref="AS2448:AS2449" ca="1" si="2988">IF(MONTH(TODAY())=3,SUM(T2448:U2448),IF(MONTH(TODAY())=4,SUM(T2448:V2448),IF(MONTH(TODAY())=5,SUM(T2448:W2448),IF(MONTH(TODAY())=6,SUM(T2448:X2448),IF(MONTH(TODAY())=7,SUM(T2448:Y2448),IF(MONTH(TODAY())=8,SUM(T2448:Z2448),IF(MONTH(TODAY())=9,SUM(T2448:AA2448),IF(MONTH(TODAY())=10,SUM(T2448:AB2448),IF(MONTH(TODAY())=11,SUM(T2448:AC2448),IF(MONTH(TODAY())=12,SUM(T2448:AD2448),IF(MONTH(TODAY())=1,SUM(T2448:AE2448),T2448)))))))))))</f>
        <v>0</v>
      </c>
      <c r="AT2448" s="95">
        <f t="shared" ref="AT2448:AT2449" si="2989">SUM(AG2448:AR2448)</f>
        <v>9164</v>
      </c>
      <c r="AU2448" s="97">
        <f t="shared" ref="AU2448:AU2449" si="2990">SUM(AG2448:AR2448)</f>
        <v>9164</v>
      </c>
      <c r="AW2448" s="83">
        <f t="shared" ref="AW2448:AW2449" si="2991">AG2448</f>
        <v>0</v>
      </c>
      <c r="AX2448" s="83">
        <f t="shared" ref="AX2448:AX2449" si="2992">AH2448</f>
        <v>0</v>
      </c>
      <c r="AY2448" s="83">
        <f t="shared" ref="AY2448:AY2449" si="2993">AI2448</f>
        <v>0</v>
      </c>
      <c r="AZ2448" s="83">
        <f t="shared" ref="AZ2448:BA2449" si="2994">AJ2448</f>
        <v>4403</v>
      </c>
      <c r="BA2448" s="83">
        <f t="shared" si="2994"/>
        <v>4761</v>
      </c>
      <c r="BB2448" s="52"/>
      <c r="BC2448" s="52"/>
      <c r="BD2448" s="52"/>
      <c r="BE2448" s="52"/>
      <c r="BF2448" s="52"/>
      <c r="BG2448" s="52"/>
      <c r="BH2448" s="52"/>
      <c r="BI2448" s="68" cm="1">
        <f t="array" ref="BI2448">IFERROR(INDEX(AW2448:BH2448,1,MATCH(2,1/(AW2448:BH2448&lt;&gt;""))),"")</f>
        <v>4761</v>
      </c>
      <c r="BJ2448" s="68" cm="1">
        <f t="array" ref="BJ2448">IF(BM2448 = "", "",IFERROR(INDEX(AW2448:BH2448,1,MATCH(2,1/(AW2448:BH2448&lt;&gt;""),1)-1),""))</f>
        <v>4403</v>
      </c>
      <c r="BK2448" s="59">
        <f t="shared" ref="BK2448:BK2449" si="2995">SUM(AW2448:BH2448)</f>
        <v>9164</v>
      </c>
      <c r="BL2448" s="59" cm="1">
        <f t="array" ref="BL2448">IFERROR(SUM(AW2448:INDEX(AW2448:BH2448, MATCH(2, 1/(AW2448:BH2448&lt;&gt;""), 1) - 1))/_xlfn.XLOOKUP(F2448,Apuração!A:A,Apuração!B:B),0)</f>
        <v>489.22222222222223</v>
      </c>
      <c r="BM2448" s="55" cm="1">
        <f t="array" ref="BM2448">IFERROR(
   INDEX($AW$1:$BH$1,
      _xlfn.AGGREGATE(14, 6, COLUMN($AW$1:$BH$1)/(AW2448:BH2448&lt;&gt;""), 2) - COLUMN($AW$1) + 1
   ),
"")</f>
        <v>46113</v>
      </c>
      <c r="BN2448" s="55" cm="1">
        <f t="array" ref="BN2448">IFERROR(INDEX($AW$1:$BH$1,1,MATCH(2,1/(AW2448:BH2448&lt;&gt;""))),"")</f>
        <v>46143</v>
      </c>
      <c r="BO2448" s="53">
        <f ca="1">IFERROR(_xlfn.XLOOKUP(F2448,Apuração!A:A,Apuração!C:C)/_xlfn.XLOOKUP(F2448,Apuração!A:A,Apuração!B:B),0)</f>
        <v>0.22222222222222221</v>
      </c>
      <c r="BP2448" s="53">
        <f ca="1">IFERROR(_xlfn.XLOOKUP(F2448,Apuração!A:A,Apuração!D:D)/_xlfn.XLOOKUP(F2448,Apuração!A:A,Apuração!B:B),0)</f>
        <v>0.1111111111111111</v>
      </c>
      <c r="BQ2448" s="53">
        <f ca="1">IF(BK2448&gt;=BO2448,0,_xlfn.XLOOKUP(F2448,Apuração!A:A,Apuração!B:B)*(BO2448 + (1/_xlfn.XLOOKUP(F2448,Apuração!A:A,Apuração!B:B)) - BK2448))</f>
        <v>0</v>
      </c>
      <c r="BR2448" s="85">
        <f t="shared" ref="BR2448:BR2449" ca="1" si="2996">IF(BQ2448=0,0,BQ2448*Z2448)</f>
        <v>0</v>
      </c>
      <c r="BS2448" s="53">
        <f ca="1">IFERROR((_xlfn.XLOOKUP(F2448,Apuração!A:A,Apuração!C:C)+1)/_xlfn.XLOOKUP(F2448,Apuração!A:A,Apuração!B:B),0)</f>
        <v>0.33333333333333331</v>
      </c>
    </row>
    <row r="2449" spans="1:71" ht="25.95" hidden="1" customHeight="1" x14ac:dyDescent="0.3">
      <c r="A2449" s="42" t="s">
        <v>134</v>
      </c>
      <c r="B2449" s="4" t="s">
        <v>135</v>
      </c>
      <c r="C2449" s="5" t="s">
        <v>221</v>
      </c>
      <c r="D2449" s="5" t="s">
        <v>213</v>
      </c>
      <c r="E2449" s="4" t="str" cm="1">
        <f t="array" ref="E2449">_xlfn.IFS(
F2449 = "A partir de Abril", "Aguardando Execução na Distribuidora",
A2449 = "CAPACITAÇÃO", "Em execução no Corporativo",
TRUE, "Em Execução na Distribuidora"
)</f>
        <v>Em Execução na Distribuidora</v>
      </c>
      <c r="F2449" s="4" t="str" cm="1">
        <f t="array" ref="F2449">_xlfn.IFS(
AG2449 &lt;&gt; "", "Jan-Dez/26",
AH2449 &lt;&gt; "", "Fev-Dez/26",
AI2449 &lt;&gt; "", "Mar-Dez/26", AJ2449 &lt;&gt; "", "Abr-Dez/26",
TRUE, "A partir de Junho"
)</f>
        <v>Abr-Dez/26</v>
      </c>
      <c r="G2449" s="4" t="s">
        <v>37</v>
      </c>
      <c r="H2449" s="7" t="s">
        <v>38</v>
      </c>
      <c r="I2449" s="8" t="s">
        <v>139</v>
      </c>
      <c r="J2449" s="8" t="str" cm="1">
        <f t="array" aca="1" ref="J2449" ca="1">_xlfn.LET(
  _xlpm.actual_value_month, INDEX(T2449:AE2449, MATCH(DATE(YEAR(TODAY()), MONTH(TODAY()), 1), $T$1:$AE$1, 0)),
  IF(_xlpm.actual_value_month &lt;&gt; "",_xlpm.actual_value_month &amp; " ações mensais", "")
)</f>
        <v/>
      </c>
      <c r="K2449" s="8" t="str" cm="1">
        <f t="array" ref="K2449">_xlfn.LET(
    _xlpm.sum_month, SUM(T2449:AE2449),
    IF(_xlpm.sum_month = 0, "", _xlpm.sum_month &amp; " mensagens a serem enviadas no ano")
)</f>
        <v/>
      </c>
      <c r="L2449" s="4" t="s">
        <v>140</v>
      </c>
      <c r="M2449" s="24"/>
      <c r="N2449" s="5" t="s">
        <v>51</v>
      </c>
      <c r="O2449" s="5" t="s">
        <v>52</v>
      </c>
      <c r="P2449" s="10" t="s">
        <v>44</v>
      </c>
      <c r="Q2449" s="10" t="s">
        <v>44</v>
      </c>
      <c r="R2449" s="11" t="s">
        <v>44</v>
      </c>
      <c r="S2449" s="11" t="s">
        <v>44</v>
      </c>
      <c r="T2449" s="22"/>
      <c r="U2449" s="22"/>
      <c r="V2449" s="22"/>
      <c r="W2449" s="22"/>
      <c r="X2449" s="22"/>
      <c r="Y2449" s="22"/>
      <c r="Z2449" s="22"/>
      <c r="AA2449" s="22"/>
      <c r="AB2449" s="22"/>
      <c r="AC2449" s="22"/>
      <c r="AD2449" s="22"/>
      <c r="AE2449" s="22"/>
      <c r="AG2449" s="71"/>
      <c r="AH2449" s="71"/>
      <c r="AI2449" s="71"/>
      <c r="AJ2449" s="71">
        <v>3013</v>
      </c>
      <c r="AK2449" s="71">
        <v>3152</v>
      </c>
      <c r="AL2449" s="71"/>
      <c r="AM2449" s="71"/>
      <c r="AN2449" s="71"/>
      <c r="AO2449" s="71"/>
      <c r="AP2449" s="71"/>
      <c r="AQ2449" s="71"/>
      <c r="AR2449" s="71"/>
      <c r="AS2449" s="94">
        <f t="shared" ca="1" si="2988"/>
        <v>0</v>
      </c>
      <c r="AT2449" s="95">
        <f t="shared" si="2989"/>
        <v>6165</v>
      </c>
      <c r="AU2449" s="97">
        <f t="shared" si="2990"/>
        <v>6165</v>
      </c>
      <c r="AW2449" s="83">
        <f t="shared" si="2991"/>
        <v>0</v>
      </c>
      <c r="AX2449" s="83">
        <f t="shared" si="2992"/>
        <v>0</v>
      </c>
      <c r="AY2449" s="83">
        <f t="shared" si="2993"/>
        <v>0</v>
      </c>
      <c r="AZ2449" s="83">
        <f t="shared" si="2994"/>
        <v>3013</v>
      </c>
      <c r="BA2449" s="83">
        <f t="shared" si="2994"/>
        <v>3152</v>
      </c>
      <c r="BB2449" s="52"/>
      <c r="BC2449" s="52"/>
      <c r="BD2449" s="52"/>
      <c r="BE2449" s="52"/>
      <c r="BF2449" s="52"/>
      <c r="BG2449" s="52"/>
      <c r="BH2449" s="52"/>
      <c r="BI2449" s="68" cm="1">
        <f t="array" ref="BI2449">IFERROR(INDEX(AW2449:BH2449,1,MATCH(2,1/(AW2449:BH2449&lt;&gt;""))),"")</f>
        <v>3152</v>
      </c>
      <c r="BJ2449" s="68" cm="1">
        <f t="array" ref="BJ2449">IF(BM2449 = "", "",IFERROR(INDEX(AW2449:BH2449,1,MATCH(2,1/(AW2449:BH2449&lt;&gt;""),1)-1),""))</f>
        <v>3013</v>
      </c>
      <c r="BK2449" s="59">
        <f t="shared" si="2995"/>
        <v>6165</v>
      </c>
      <c r="BL2449" s="59" cm="1">
        <f t="array" ref="BL2449">IFERROR(SUM(AW2449:INDEX(AW2449:BH2449, MATCH(2, 1/(AW2449:BH2449&lt;&gt;""), 1) - 1))/_xlfn.XLOOKUP(F2449,Apuração!A:A,Apuração!B:B),0)</f>
        <v>334.77777777777777</v>
      </c>
      <c r="BM2449" s="55" cm="1">
        <f t="array" ref="BM2449">IFERROR(
   INDEX($AW$1:$BH$1,
      _xlfn.AGGREGATE(14, 6, COLUMN($AW$1:$BH$1)/(AW2449:BH2449&lt;&gt;""), 2) - COLUMN($AW$1) + 1
   ),
"")</f>
        <v>46113</v>
      </c>
      <c r="BN2449" s="55" cm="1">
        <f t="array" ref="BN2449">IFERROR(INDEX($AW$1:$BH$1,1,MATCH(2,1/(AW2449:BH2449&lt;&gt;""))),"")</f>
        <v>46143</v>
      </c>
      <c r="BO2449" s="53">
        <f ca="1">IFERROR(_xlfn.XLOOKUP(F2449,Apuração!A:A,Apuração!C:C)/_xlfn.XLOOKUP(F2449,Apuração!A:A,Apuração!B:B),0)</f>
        <v>0.22222222222222221</v>
      </c>
      <c r="BP2449" s="53">
        <f ca="1">IFERROR(_xlfn.XLOOKUP(F2449,Apuração!A:A,Apuração!D:D)/_xlfn.XLOOKUP(F2449,Apuração!A:A,Apuração!B:B),0)</f>
        <v>0.1111111111111111</v>
      </c>
      <c r="BQ2449" s="53">
        <f ca="1">IF(BK2449&gt;=BO2449,0,_xlfn.XLOOKUP(F2449,Apuração!A:A,Apuração!B:B)*(BO2449 + (1/_xlfn.XLOOKUP(F2449,Apuração!A:A,Apuração!B:B)) - BK2449))</f>
        <v>0</v>
      </c>
      <c r="BR2449" s="85">
        <f t="shared" ca="1" si="2996"/>
        <v>0</v>
      </c>
      <c r="BS2449" s="53">
        <f ca="1">IFERROR((_xlfn.XLOOKUP(F2449,Apuração!A:A,Apuração!C:C)+1)/_xlfn.XLOOKUP(F2449,Apuração!A:A,Apuração!B:B),0)</f>
        <v>0.33333333333333331</v>
      </c>
    </row>
    <row r="2450" spans="1:71" ht="25.95" hidden="1" customHeight="1" x14ac:dyDescent="0.3">
      <c r="A2450" s="42" t="s">
        <v>134</v>
      </c>
      <c r="B2450" s="4" t="s">
        <v>135</v>
      </c>
      <c r="C2450" s="5" t="s">
        <v>221</v>
      </c>
      <c r="D2450" s="5" t="s">
        <v>36</v>
      </c>
      <c r="E2450" s="4" t="str" cm="1">
        <f t="array" ref="E2450">_xlfn.IFS(
F2450 = "A partir de Abril", "Aguardando Execução na Distribuidora",
A2450 = "CAPACITAÇÃO", "Em execução no Corporativo",
TRUE, "Em Execução na Distribuidora"
)</f>
        <v>Em Execução na Distribuidora</v>
      </c>
      <c r="F2450" s="4" t="str" cm="1">
        <f t="array" ref="F2450">_xlfn.IFS(
AG2450 &lt;&gt; "", "Jan-Dez/26",
AH2450 &lt;&gt; "", "Fev-Dez/26",
AI2450 &lt;&gt; "", "Mar-Dez/26", AJ2450 &lt;&gt; "", "Abr-Dez/26",
TRUE, "A partir de Junho"
)</f>
        <v>Jan-Dez/26</v>
      </c>
      <c r="G2450" s="4" t="s">
        <v>37</v>
      </c>
      <c r="H2450" s="7" t="s">
        <v>38</v>
      </c>
      <c r="I2450" s="9" t="s">
        <v>76</v>
      </c>
      <c r="J2450" s="8" t="str" cm="1">
        <f t="array" aca="1" ref="J2450" ca="1">_xlfn.LET(
  _xlpm.actual_value_month, INDEX(T2450:AE2450, MATCH(DATE(YEAR(TODAY()), MONTH(TODAY()), 1), $T$1:$AE$1, 0)),
  IF(_xlpm.actual_value_month &lt;&gt; "",_xlpm.actual_value_month &amp; " ações mensais", "")
)</f>
        <v/>
      </c>
      <c r="K2450" s="8" t="str" cm="1">
        <f t="array" ref="K2450">_xlfn.LET(
    _xlpm.sum_month, SUM(T2450:AE2450),
    IF(_xlpm.sum_month = 0, "", _xlpm.sum_month &amp; " alcançadas no ano")
)</f>
        <v/>
      </c>
      <c r="L2450" s="9" t="s">
        <v>141</v>
      </c>
      <c r="M2450" s="24"/>
      <c r="N2450" s="5" t="s">
        <v>51</v>
      </c>
      <c r="O2450" s="5" t="s">
        <v>52</v>
      </c>
      <c r="P2450" s="10" t="s">
        <v>44</v>
      </c>
      <c r="Q2450" s="10" t="s">
        <v>44</v>
      </c>
      <c r="R2450" s="10" t="s">
        <v>44</v>
      </c>
      <c r="S2450" s="10" t="s">
        <v>44</v>
      </c>
      <c r="T2450" s="22"/>
      <c r="U2450" s="22"/>
      <c r="V2450" s="22"/>
      <c r="W2450" s="22"/>
      <c r="X2450" s="22"/>
      <c r="Y2450" s="22"/>
      <c r="Z2450" s="22"/>
      <c r="AA2450" s="22"/>
      <c r="AB2450" s="22"/>
      <c r="AC2450" s="22"/>
      <c r="AD2450" s="22"/>
      <c r="AE2450" s="22"/>
      <c r="AG2450" s="71">
        <v>4676</v>
      </c>
      <c r="AH2450" s="71">
        <v>5133</v>
      </c>
      <c r="AI2450" s="71">
        <v>4996</v>
      </c>
      <c r="AJ2450" s="71">
        <v>170</v>
      </c>
      <c r="AK2450" s="71">
        <v>370</v>
      </c>
      <c r="AL2450" s="71"/>
      <c r="AM2450" s="71"/>
      <c r="AN2450" s="71"/>
      <c r="AO2450" s="71"/>
      <c r="AP2450" s="71"/>
      <c r="AQ2450" s="71"/>
      <c r="AR2450" s="71"/>
      <c r="AS2450" s="94">
        <f t="shared" ca="1" si="2977"/>
        <v>0</v>
      </c>
      <c r="AT2450" s="95">
        <f>SUM(AG2450:AR2450)</f>
        <v>15345</v>
      </c>
      <c r="AU2450" s="97">
        <f t="shared" si="2978"/>
        <v>15345</v>
      </c>
      <c r="AW2450" s="83">
        <f t="shared" si="2987"/>
        <v>4676</v>
      </c>
      <c r="AX2450" s="83">
        <f t="shared" si="2987"/>
        <v>5133</v>
      </c>
      <c r="AY2450" s="83">
        <f t="shared" si="2987"/>
        <v>4996</v>
      </c>
      <c r="AZ2450" s="83">
        <f t="shared" si="2987"/>
        <v>170</v>
      </c>
      <c r="BA2450" s="83">
        <f t="shared" si="2987"/>
        <v>370</v>
      </c>
      <c r="BB2450" s="52"/>
      <c r="BC2450" s="52"/>
      <c r="BD2450" s="52"/>
      <c r="BE2450" s="52"/>
      <c r="BF2450" s="52"/>
      <c r="BG2450" s="52"/>
      <c r="BH2450" s="52"/>
      <c r="BI2450" s="68" cm="1">
        <f t="array" ref="BI2450">IFERROR(INDEX(AW2450:BH2450,1,MATCH(2,1/(AW2450:BH2450&lt;&gt;""))),"")</f>
        <v>370</v>
      </c>
      <c r="BJ2450" s="68" cm="1">
        <f t="array" ref="BJ2450">IF(BM2450 = "", "",IFERROR(INDEX(AW2450:BH2450,1,MATCH(2,1/(AW2450:BH2450&lt;&gt;""),1)-1),""))</f>
        <v>170</v>
      </c>
      <c r="BK2450" s="59">
        <f>SUM(AW2450:BH2450)</f>
        <v>15345</v>
      </c>
      <c r="BL2450" s="59" cm="1">
        <f t="array" ref="BL2450">IFERROR(SUM(AW2450:INDEX(AW2450:BH2450, MATCH(2, 1/(AW2450:BH2450&lt;&gt;""), 1) - 1))/_xlfn.XLOOKUP(F2450,Apuração!A:A,Apuração!B:B),0)</f>
        <v>1247.9166666666667</v>
      </c>
      <c r="BM2450" s="55" cm="1">
        <f t="array" ref="BM2450">IFERROR(
   INDEX($AW$1:$BH$1,
      _xlfn.AGGREGATE(14, 6, COLUMN($AW$1:$BH$1)/(AW2450:BH2450&lt;&gt;""), 2) - COLUMN($AW$1) + 1
   ),
"")</f>
        <v>46113</v>
      </c>
      <c r="BN2450" s="55" cm="1">
        <f t="array" ref="BN2450">IFERROR(INDEX($AW$1:$BH$1,1,MATCH(2,1/(AW2450:BH2450&lt;&gt;""))),"")</f>
        <v>46143</v>
      </c>
      <c r="BO2450" s="53">
        <f ca="1">IFERROR(_xlfn.XLOOKUP(F2450,Apuração!A:A,Apuração!C:C)/_xlfn.XLOOKUP(F2450,Apuração!A:A,Apuração!B:B),0)</f>
        <v>0.41666666666666669</v>
      </c>
      <c r="BP2450" s="53">
        <f ca="1">IFERROR(_xlfn.XLOOKUP(F2450,Apuração!A:A,Apuração!D:D)/_xlfn.XLOOKUP(F2450,Apuração!A:A,Apuração!B:B),0)</f>
        <v>0.33333333333333331</v>
      </c>
      <c r="BQ2450" s="53">
        <f ca="1">IF(BK2450&gt;=BO2450,0,_xlfn.XLOOKUP(F2450,Apuração!A:A,Apuração!B:B)*(BO2450 + (1/_xlfn.XLOOKUP(F2450,Apuração!A:A,Apuração!B:B)) - BK2450))</f>
        <v>0</v>
      </c>
      <c r="BR2450" s="85">
        <f t="shared" ca="1" si="2957"/>
        <v>0</v>
      </c>
      <c r="BS2450" s="53">
        <f ca="1">IFERROR((_xlfn.XLOOKUP(F2450,Apuração!A:A,Apuração!C:C)+1)/_xlfn.XLOOKUP(F2450,Apuração!A:A,Apuração!B:B),0)</f>
        <v>0.5</v>
      </c>
    </row>
    <row r="2451" spans="1:71" ht="25.95" hidden="1" customHeight="1" x14ac:dyDescent="0.3">
      <c r="A2451" s="42" t="s">
        <v>134</v>
      </c>
      <c r="B2451" s="4" t="s">
        <v>135</v>
      </c>
      <c r="C2451" s="5" t="s">
        <v>221</v>
      </c>
      <c r="D2451" s="5" t="s">
        <v>212</v>
      </c>
      <c r="E2451" s="4" t="str" cm="1">
        <f t="array" ref="E2451">_xlfn.IFS(
F2451 = "A partir de Abril", "Aguardando Execução na Distribuidora",
A2451 = "CAPACITAÇÃO", "Em execução no Corporativo",
TRUE, "Em Execução na Distribuidora"
)</f>
        <v>Em Execução na Distribuidora</v>
      </c>
      <c r="F2451" s="4" t="str" cm="1">
        <f t="array" ref="F2451">_xlfn.IFS(
AG2451 &lt;&gt; "", "Jan-Dez/26",
AH2451 &lt;&gt; "", "Fev-Dez/26",
AI2451 &lt;&gt; "", "Mar-Dez/26", AJ2451 &lt;&gt; "", "Abr-Dez/26",
TRUE, "A partir de Junho"
)</f>
        <v>Abr-Dez/26</v>
      </c>
      <c r="G2451" s="4" t="s">
        <v>37</v>
      </c>
      <c r="H2451" s="7" t="s">
        <v>38</v>
      </c>
      <c r="I2451" s="9" t="s">
        <v>76</v>
      </c>
      <c r="J2451" s="8" t="str" cm="1">
        <f t="array" aca="1" ref="J2451" ca="1">_xlfn.LET(
  _xlpm.actual_value_month, INDEX(T2451:AE2451, MATCH(DATE(YEAR(TODAY()), MONTH(TODAY()), 1), $T$1:$AE$1, 0)),
  IF(_xlpm.actual_value_month &lt;&gt; "",_xlpm.actual_value_month &amp; " ações mensais", "")
)</f>
        <v/>
      </c>
      <c r="K2451" s="8" t="str" cm="1">
        <f t="array" ref="K2451">_xlfn.LET(
    _xlpm.sum_month, SUM(T2451:AE2451),
    IF(_xlpm.sum_month = 0, "", _xlpm.sum_month &amp; " alcançadas no ano")
)</f>
        <v/>
      </c>
      <c r="L2451" s="9" t="s">
        <v>141</v>
      </c>
      <c r="M2451" s="24"/>
      <c r="N2451" s="5" t="s">
        <v>51</v>
      </c>
      <c r="O2451" s="5" t="s">
        <v>52</v>
      </c>
      <c r="P2451" s="10" t="s">
        <v>44</v>
      </c>
      <c r="Q2451" s="10" t="s">
        <v>44</v>
      </c>
      <c r="R2451" s="10" t="s">
        <v>44</v>
      </c>
      <c r="S2451" s="10" t="s">
        <v>44</v>
      </c>
      <c r="T2451" s="22"/>
      <c r="U2451" s="22"/>
      <c r="V2451" s="22"/>
      <c r="W2451" s="22"/>
      <c r="X2451" s="22"/>
      <c r="Y2451" s="22"/>
      <c r="Z2451" s="22"/>
      <c r="AA2451" s="22"/>
      <c r="AB2451" s="22"/>
      <c r="AC2451" s="22"/>
      <c r="AD2451" s="22"/>
      <c r="AE2451" s="22"/>
      <c r="AG2451" s="71"/>
      <c r="AH2451" s="71"/>
      <c r="AI2451" s="71"/>
      <c r="AJ2451" s="82">
        <v>90</v>
      </c>
      <c r="AK2451" s="71">
        <v>212</v>
      </c>
      <c r="AL2451" s="71"/>
      <c r="AM2451" s="71"/>
      <c r="AN2451" s="71"/>
      <c r="AO2451" s="71"/>
      <c r="AP2451" s="71"/>
      <c r="AQ2451" s="71"/>
      <c r="AR2451" s="71"/>
      <c r="AS2451" s="94">
        <f t="shared" ref="AS2451:AS2452" ca="1" si="2997">IF(MONTH(TODAY())=3,SUM(T2451:U2451),IF(MONTH(TODAY())=4,SUM(T2451:V2451),IF(MONTH(TODAY())=5,SUM(T2451:W2451),IF(MONTH(TODAY())=6,SUM(T2451:X2451),IF(MONTH(TODAY())=7,SUM(T2451:Y2451),IF(MONTH(TODAY())=8,SUM(T2451:Z2451),IF(MONTH(TODAY())=9,SUM(T2451:AA2451),IF(MONTH(TODAY())=10,SUM(T2451:AB2451),IF(MONTH(TODAY())=11,SUM(T2451:AC2451),IF(MONTH(TODAY())=12,SUM(T2451:AD2451),IF(MONTH(TODAY())=1,SUM(T2451:AE2451),T2451)))))))))))</f>
        <v>0</v>
      </c>
      <c r="AT2451" s="95">
        <f t="shared" ref="AT2451:AT2452" si="2998">SUM(AG2451:AR2451)</f>
        <v>302</v>
      </c>
      <c r="AU2451" s="97">
        <f t="shared" ref="AU2451:AU2452" si="2999">SUM(AG2451:AR2451)</f>
        <v>302</v>
      </c>
      <c r="AW2451" s="83">
        <f t="shared" ref="AW2451:AW2452" si="3000">AG2451</f>
        <v>0</v>
      </c>
      <c r="AX2451" s="83">
        <f t="shared" ref="AX2451:AX2452" si="3001">AH2451</f>
        <v>0</v>
      </c>
      <c r="AY2451" s="83">
        <f t="shared" ref="AY2451:AY2452" si="3002">AI2451</f>
        <v>0</v>
      </c>
      <c r="AZ2451" s="83">
        <f>AJ2451</f>
        <v>90</v>
      </c>
      <c r="BA2451" s="83">
        <f>AK2451</f>
        <v>212</v>
      </c>
      <c r="BB2451" s="52"/>
      <c r="BC2451" s="52"/>
      <c r="BD2451" s="52"/>
      <c r="BE2451" s="52"/>
      <c r="BF2451" s="52"/>
      <c r="BG2451" s="52"/>
      <c r="BH2451" s="52"/>
      <c r="BI2451" s="68" cm="1">
        <f t="array" ref="BI2451">IFERROR(INDEX(AW2451:BH2451,1,MATCH(2,1/(AW2451:BH2451&lt;&gt;""))),"")</f>
        <v>212</v>
      </c>
      <c r="BJ2451" s="68" cm="1">
        <f t="array" ref="BJ2451">IF(BM2451 = "", "",IFERROR(INDEX(AW2451:BH2451,1,MATCH(2,1/(AW2451:BH2451&lt;&gt;""),1)-1),""))</f>
        <v>90</v>
      </c>
      <c r="BK2451" s="59">
        <f t="shared" ref="BK2451:BK2452" si="3003">SUM(AW2451:BH2451)</f>
        <v>302</v>
      </c>
      <c r="BL2451" s="59" cm="1">
        <f t="array" ref="BL2451">IFERROR(SUM(AW2451:INDEX(AW2451:BH2451, MATCH(2, 1/(AW2451:BH2451&lt;&gt;""), 1) - 1))/_xlfn.XLOOKUP(F2451,Apuração!A:A,Apuração!B:B),0)</f>
        <v>10</v>
      </c>
      <c r="BM2451" s="55" cm="1">
        <f t="array" ref="BM2451">IFERROR(
   INDEX($AW$1:$BH$1,
      _xlfn.AGGREGATE(14, 6, COLUMN($AW$1:$BH$1)/(AW2451:BH2451&lt;&gt;""), 2) - COLUMN($AW$1) + 1
   ),
"")</f>
        <v>46113</v>
      </c>
      <c r="BN2451" s="55" cm="1">
        <f t="array" ref="BN2451">IFERROR(INDEX($AW$1:$BH$1,1,MATCH(2,1/(AW2451:BH2451&lt;&gt;""))),"")</f>
        <v>46143</v>
      </c>
      <c r="BO2451" s="53">
        <f ca="1">IFERROR(_xlfn.XLOOKUP(F2451,Apuração!A:A,Apuração!C:C)/_xlfn.XLOOKUP(F2451,Apuração!A:A,Apuração!B:B),0)</f>
        <v>0.22222222222222221</v>
      </c>
      <c r="BP2451" s="53">
        <f ca="1">IFERROR(_xlfn.XLOOKUP(F2451,Apuração!A:A,Apuração!D:D)/_xlfn.XLOOKUP(F2451,Apuração!A:A,Apuração!B:B),0)</f>
        <v>0.1111111111111111</v>
      </c>
      <c r="BQ2451" s="53">
        <f ca="1">IF(BK2451&gt;=BO2451,0,_xlfn.XLOOKUP(F2451,Apuração!A:A,Apuração!B:B)*(BO2451 + (1/_xlfn.XLOOKUP(F2451,Apuração!A:A,Apuração!B:B)) - BK2451))</f>
        <v>0</v>
      </c>
      <c r="BR2451" s="85">
        <f t="shared" ref="BR2451:BR2452" ca="1" si="3004">IF(BQ2451=0,0,BQ2451*Z2451)</f>
        <v>0</v>
      </c>
      <c r="BS2451" s="53">
        <f ca="1">IFERROR((_xlfn.XLOOKUP(F2451,Apuração!A:A,Apuração!C:C)+1)/_xlfn.XLOOKUP(F2451,Apuração!A:A,Apuração!B:B),0)</f>
        <v>0.33333333333333331</v>
      </c>
    </row>
    <row r="2452" spans="1:71" ht="25.95" hidden="1" customHeight="1" x14ac:dyDescent="0.3">
      <c r="A2452" s="42" t="s">
        <v>134</v>
      </c>
      <c r="B2452" s="4" t="s">
        <v>135</v>
      </c>
      <c r="C2452" s="5" t="s">
        <v>221</v>
      </c>
      <c r="D2452" s="5" t="s">
        <v>213</v>
      </c>
      <c r="E2452" s="4" t="str" cm="1">
        <f t="array" ref="E2452">_xlfn.IFS(
F2452 = "A partir de Abril", "Aguardando Execução na Distribuidora",
A2452 = "CAPACITAÇÃO", "Em execução no Corporativo",
TRUE, "Em Execução na Distribuidora"
)</f>
        <v>Em Execução na Distribuidora</v>
      </c>
      <c r="F2452" s="4" t="str" cm="1">
        <f t="array" ref="F2452">_xlfn.IFS(
AG2452 &lt;&gt; "", "Jan-Dez/26",
AH2452 &lt;&gt; "", "Fev-Dez/26",
AI2452 &lt;&gt; "", "Mar-Dez/26", AJ2452 &lt;&gt; "", "Abr-Dez/26",
TRUE, "A partir de Junho"
)</f>
        <v>Abr-Dez/26</v>
      </c>
      <c r="G2452" s="4" t="s">
        <v>37</v>
      </c>
      <c r="H2452" s="7" t="s">
        <v>38</v>
      </c>
      <c r="I2452" s="9" t="s">
        <v>76</v>
      </c>
      <c r="J2452" s="8" t="str" cm="1">
        <f t="array" aca="1" ref="J2452" ca="1">_xlfn.LET(
  _xlpm.actual_value_month, INDEX(T2452:AE2452, MATCH(DATE(YEAR(TODAY()), MONTH(TODAY()), 1), $T$1:$AE$1, 0)),
  IF(_xlpm.actual_value_month &lt;&gt; "",_xlpm.actual_value_month &amp; " ações mensais", "")
)</f>
        <v/>
      </c>
      <c r="K2452" s="8" t="str" cm="1">
        <f t="array" ref="K2452">_xlfn.LET(
    _xlpm.sum_month, SUM(T2452:AE2452),
    IF(_xlpm.sum_month = 0, "", _xlpm.sum_month &amp; " alcançadas no ano")
)</f>
        <v/>
      </c>
      <c r="L2452" s="9" t="s">
        <v>141</v>
      </c>
      <c r="M2452" s="24"/>
      <c r="N2452" s="5" t="s">
        <v>51</v>
      </c>
      <c r="O2452" s="5" t="s">
        <v>52</v>
      </c>
      <c r="P2452" s="10" t="s">
        <v>44</v>
      </c>
      <c r="Q2452" s="10" t="s">
        <v>44</v>
      </c>
      <c r="R2452" s="10" t="s">
        <v>44</v>
      </c>
      <c r="S2452" s="10" t="s">
        <v>44</v>
      </c>
      <c r="T2452" s="22"/>
      <c r="U2452" s="22"/>
      <c r="V2452" s="22"/>
      <c r="W2452" s="22"/>
      <c r="X2452" s="22"/>
      <c r="Y2452" s="22"/>
      <c r="Z2452" s="22"/>
      <c r="AA2452" s="22"/>
      <c r="AB2452" s="22"/>
      <c r="AC2452" s="22"/>
      <c r="AD2452" s="22"/>
      <c r="AE2452" s="22"/>
      <c r="AG2452" s="71"/>
      <c r="AH2452" s="71"/>
      <c r="AI2452" s="71"/>
      <c r="AJ2452" s="82">
        <v>80</v>
      </c>
      <c r="AK2452" s="71">
        <v>158</v>
      </c>
      <c r="AL2452" s="71"/>
      <c r="AM2452" s="71"/>
      <c r="AN2452" s="71"/>
      <c r="AO2452" s="71"/>
      <c r="AP2452" s="71"/>
      <c r="AQ2452" s="71"/>
      <c r="AR2452" s="71"/>
      <c r="AS2452" s="94">
        <f t="shared" ca="1" si="2997"/>
        <v>0</v>
      </c>
      <c r="AT2452" s="95">
        <f t="shared" si="2998"/>
        <v>238</v>
      </c>
      <c r="AU2452" s="97">
        <f t="shared" si="2999"/>
        <v>238</v>
      </c>
      <c r="AW2452" s="83">
        <f t="shared" si="3000"/>
        <v>0</v>
      </c>
      <c r="AX2452" s="83">
        <f t="shared" si="3001"/>
        <v>0</v>
      </c>
      <c r="AY2452" s="83">
        <f t="shared" si="3002"/>
        <v>0</v>
      </c>
      <c r="AZ2452" s="83">
        <f t="shared" ref="AZ2452:BA2452" si="3005">AJ2452</f>
        <v>80</v>
      </c>
      <c r="BA2452" s="83">
        <f t="shared" si="3005"/>
        <v>158</v>
      </c>
      <c r="BB2452" s="52"/>
      <c r="BC2452" s="52"/>
      <c r="BD2452" s="52"/>
      <c r="BE2452" s="52"/>
      <c r="BF2452" s="52"/>
      <c r="BG2452" s="52"/>
      <c r="BH2452" s="52"/>
      <c r="BI2452" s="68" cm="1">
        <f t="array" ref="BI2452">IFERROR(INDEX(AW2452:BH2452,1,MATCH(2,1/(AW2452:BH2452&lt;&gt;""))),"")</f>
        <v>158</v>
      </c>
      <c r="BJ2452" s="68" cm="1">
        <f t="array" ref="BJ2452">IF(BM2452 = "", "",IFERROR(INDEX(AW2452:BH2452,1,MATCH(2,1/(AW2452:BH2452&lt;&gt;""),1)-1),""))</f>
        <v>80</v>
      </c>
      <c r="BK2452" s="59">
        <f t="shared" si="3003"/>
        <v>238</v>
      </c>
      <c r="BL2452" s="59" cm="1">
        <f t="array" ref="BL2452">IFERROR(SUM(AW2452:INDEX(AW2452:BH2452, MATCH(2, 1/(AW2452:BH2452&lt;&gt;""), 1) - 1))/_xlfn.XLOOKUP(F2452,Apuração!A:A,Apuração!B:B),0)</f>
        <v>8.8888888888888893</v>
      </c>
      <c r="BM2452" s="55" cm="1">
        <f t="array" ref="BM2452">IFERROR(
   INDEX($AW$1:$BH$1,
      _xlfn.AGGREGATE(14, 6, COLUMN($AW$1:$BH$1)/(AW2452:BH2452&lt;&gt;""), 2) - COLUMN($AW$1) + 1
   ),
"")</f>
        <v>46113</v>
      </c>
      <c r="BN2452" s="55" cm="1">
        <f t="array" ref="BN2452">IFERROR(INDEX($AW$1:$BH$1,1,MATCH(2,1/(AW2452:BH2452&lt;&gt;""))),"")</f>
        <v>46143</v>
      </c>
      <c r="BO2452" s="53">
        <f ca="1">IFERROR(_xlfn.XLOOKUP(F2452,Apuração!A:A,Apuração!C:C)/_xlfn.XLOOKUP(F2452,Apuração!A:A,Apuração!B:B),0)</f>
        <v>0.22222222222222221</v>
      </c>
      <c r="BP2452" s="53">
        <f ca="1">IFERROR(_xlfn.XLOOKUP(F2452,Apuração!A:A,Apuração!D:D)/_xlfn.XLOOKUP(F2452,Apuração!A:A,Apuração!B:B),0)</f>
        <v>0.1111111111111111</v>
      </c>
      <c r="BQ2452" s="53">
        <f ca="1">IF(BK2452&gt;=BO2452,0,_xlfn.XLOOKUP(F2452,Apuração!A:A,Apuração!B:B)*(BO2452 + (1/_xlfn.XLOOKUP(F2452,Apuração!A:A,Apuração!B:B)) - BK2452))</f>
        <v>0</v>
      </c>
      <c r="BR2452" s="85">
        <f t="shared" ca="1" si="3004"/>
        <v>0</v>
      </c>
      <c r="BS2452" s="53">
        <f ca="1">IFERROR((_xlfn.XLOOKUP(F2452,Apuração!A:A,Apuração!C:C)+1)/_xlfn.XLOOKUP(F2452,Apuração!A:A,Apuração!B:B),0)</f>
        <v>0.33333333333333331</v>
      </c>
    </row>
    <row r="2453" spans="1:71" ht="25.95" hidden="1" customHeight="1" x14ac:dyDescent="0.3">
      <c r="A2453" s="23" t="s">
        <v>134</v>
      </c>
      <c r="B2453" s="4" t="s">
        <v>142</v>
      </c>
      <c r="C2453" s="5" t="s">
        <v>221</v>
      </c>
      <c r="D2453" s="5" t="s">
        <v>36</v>
      </c>
      <c r="E2453" s="4" t="str" cm="1">
        <f t="array" ref="E2453">_xlfn.IFS(
F2453 = "A partir de Abril", "Aguardando Execução na Distribuidora",
A2453 = "CAPACITAÇÃO", "Em execução no Corporativo",
TRUE, "Em Execução na Distribuidora"
)</f>
        <v>Em Execução na Distribuidora</v>
      </c>
      <c r="F2453" s="4" t="str" cm="1">
        <f t="array" ref="F2453">_xlfn.IFS(
AG2453 &lt;&gt; "", "Jan-Dez/26",
AH2453 &lt;&gt; "", "Fev-Dez/26",
AI2453 &lt;&gt; "", "Mar-Dez/26", AJ2453 &lt;&gt; "", "Abr-Dez/26",
TRUE, "A partir de Junho"
)</f>
        <v>Jan-Dez/26</v>
      </c>
      <c r="G2453" s="4" t="s">
        <v>37</v>
      </c>
      <c r="H2453" s="7" t="s">
        <v>54</v>
      </c>
      <c r="I2453" s="8" t="s">
        <v>143</v>
      </c>
      <c r="J2453" s="8" t="str" cm="1">
        <f t="array" aca="1" ref="J2453" ca="1">_xlfn.LET(
  _xlpm.actual_value_month, INDEX(T2453:AE2453, MATCH(DATE(YEAR(TODAY()), MONTH(TODAY()), 1), $T$1:$AE$1, 0)),
  IF(_xlpm.actual_value_month &lt;&gt; "",_xlpm.actual_value_month &amp; " equipes mensais", "")
)</f>
        <v>116 equipes mensais</v>
      </c>
      <c r="K2453" s="8" t="str" cm="1">
        <f t="array" ref="K2453">_xlfn.LET(
    _xlpm.sum_month, SUM(T2453:AE2453),
    IF(_xlpm.sum_month = 0, "", _xlpm.sum_month &amp; " equipes inspencionadas no ano")
)</f>
        <v>2266 equipes inspencionadas no ano</v>
      </c>
      <c r="L2453" s="4" t="s">
        <v>144</v>
      </c>
      <c r="M2453" s="24" t="s">
        <v>145</v>
      </c>
      <c r="N2453" s="5" t="s">
        <v>42</v>
      </c>
      <c r="O2453" s="5" t="s">
        <v>43</v>
      </c>
      <c r="P2453" s="10" t="s">
        <v>146</v>
      </c>
      <c r="Q2453" s="10" t="s">
        <v>44</v>
      </c>
      <c r="R2453" s="11" t="s">
        <v>147</v>
      </c>
      <c r="S2453" s="11" t="s">
        <v>44</v>
      </c>
      <c r="T2453" s="22">
        <v>383</v>
      </c>
      <c r="U2453" s="22">
        <v>423</v>
      </c>
      <c r="V2453" s="22">
        <v>416</v>
      </c>
      <c r="W2453" s="22">
        <v>116</v>
      </c>
      <c r="X2453" s="22">
        <v>116</v>
      </c>
      <c r="Y2453" s="22">
        <v>116</v>
      </c>
      <c r="Z2453" s="22">
        <v>116</v>
      </c>
      <c r="AA2453" s="22">
        <v>116</v>
      </c>
      <c r="AB2453" s="22">
        <v>116</v>
      </c>
      <c r="AC2453" s="22">
        <v>116</v>
      </c>
      <c r="AD2453" s="22">
        <v>116</v>
      </c>
      <c r="AE2453" s="22">
        <v>116</v>
      </c>
      <c r="AG2453" s="71">
        <v>383</v>
      </c>
      <c r="AH2453" s="71">
        <v>423</v>
      </c>
      <c r="AI2453" s="71">
        <v>416</v>
      </c>
      <c r="AJ2453" s="71">
        <v>248</v>
      </c>
      <c r="AK2453" s="71">
        <v>190</v>
      </c>
      <c r="AL2453" s="71"/>
      <c r="AM2453" s="71"/>
      <c r="AN2453" s="71"/>
      <c r="AO2453" s="71"/>
      <c r="AP2453" s="71"/>
      <c r="AQ2453" s="71"/>
      <c r="AR2453" s="71"/>
      <c r="AS2453" s="94">
        <f t="shared" ca="1" si="2977"/>
        <v>1454</v>
      </c>
      <c r="AT2453" s="95">
        <f>SUM(IF(AW2453&lt;1.15,AG2453,1.15*T2453),IF(AX2453&lt;1.15,AH2453,1.15*U2453),IF(AY2453&lt;1.15,AI2453,1.15*V2453),IF(AZ2453&lt;1.15,AJ2453,1.15*W2453),IF(BA2453&lt;1.15,AK2453,1.15*X2453),IF(BB2453&lt;1.15,AL2453,1.15*Y2453),IF(BC2453&lt;1.15,AM2453,1.15*Z2453),IF(BD2453&lt;1.15,AN2453,1.15*AA2453),IF(BE2453&lt;1.15,AO2453,1.15*AB2453),IF(BF2453&lt;1.15,AP2453,1.15*AC2453),IF(BG2453&lt;1.15,AQ2453,1.15*AD2453),IF(BH2453&lt;1.15,AR2453,1.15*AE2453))</f>
        <v>1488.8000000000002</v>
      </c>
      <c r="AU2453" s="97">
        <f t="shared" si="2978"/>
        <v>1660</v>
      </c>
      <c r="AW2453" s="51">
        <f>IFERROR(IF(AG2453="",0,AG2453/T2453),0)</f>
        <v>1</v>
      </c>
      <c r="AX2453" s="51">
        <f>IFERROR(IF(AH2453="",0,AH2453/U2453),0)</f>
        <v>1</v>
      </c>
      <c r="AY2453" s="51">
        <f>IFERROR(IF(AI2453="",0,AI2453/V2453),0)</f>
        <v>1</v>
      </c>
      <c r="AZ2453" s="51">
        <f>IFERROR(IF(AJ2453="",0,AJ2453/W2453),0)</f>
        <v>2.1379310344827585</v>
      </c>
      <c r="BA2453" s="51">
        <f>IFERROR(IF(AK2453="",0,AK2453/X2453),0)</f>
        <v>1.6379310344827587</v>
      </c>
      <c r="BB2453" s="51"/>
      <c r="BC2453" s="51"/>
      <c r="BD2453" s="51"/>
      <c r="BE2453" s="51"/>
      <c r="BF2453" s="51"/>
      <c r="BG2453" s="51"/>
      <c r="BH2453" s="51"/>
      <c r="BI2453" s="65" cm="1">
        <f t="array" ref="BI2453">IFERROR(INDEX(AW2453:BH2453,1,MATCH(2,1/(AW2453:BH2453&lt;&gt;""))),"")</f>
        <v>1.6379310344827587</v>
      </c>
      <c r="BJ2453" s="68" cm="1">
        <f t="array" ref="BJ2453">IF(BM2453 = "", "",IFERROR(INDEX(AW2453:BH2453,1,MATCH(2,1/(AW2453:BH2453&lt;&gt;""),1)-1),""))</f>
        <v>2.1379310344827585</v>
      </c>
      <c r="BK2453" s="58">
        <f>IF((IF(AW2453&gt;=115%,115%,AW2453) + IF(AX2453&gt;=115%,115%,AX2453) + IF(AY2453&gt;=115%,115%,AY2453) + (IF(AZ2453&gt;=115%,115%,AZ2453) + IF(BA2453&gt;=115%,115%,BA2453) + IF(BB2453&gt;=115%,115%,BB2453) + IF(BC2453&gt;=115%,115%,BC2453) + IF(BD2453&gt;=115%,115%,BD2453) + IF(BE2453&gt;=115%,115%,BE2453) + IF(BF2453&gt;=122%,121%,BF2453) + IF(BG2453&gt;=115%,115%,BG2453) + IF(BH2453&gt;=115%,115%,BH2453)))/_xlfn.XLOOKUP(F2453,Apuração!A:A,Apuração!B:B)&gt;=1.15,1.15,((IF(AZ2453&gt;=115%,115%,AZ2453) + IF(AX2453&gt;=115%,115%,AX2453) + IF(AY2453&gt;=115%,115%,AY2453) + (IF(AW2453&gt;=115%,115%,AW2453) + IF(BA2453&gt;=115%,115%,BA2453) + IF(BB2453&gt;=115%,115%,BB2453) + IF(BC2453&gt;=115%,115%,BC2453) + IF(BD2453&gt;=115%,115%,BD2453) + IF(BE2453&gt;=115%,115%,BE2453) + IF(BF2453&gt;=122%,122%,BF2453) + IF(BG2453&gt;=115%,115%,BG2453) + IF(BH2453&gt;=115%,115%,BH2453)))/_xlfn.XLOOKUP(F2453,Apuração!A:A,Apuração!B:B)))</f>
        <v>0.44166666666666665</v>
      </c>
      <c r="BL2453" s="58" cm="1">
        <f t="array" aca="1" ref="BL2453" ca="1">IF(SUM(IFERROR(IF(INDEX(AW2453:INDEX(AW2453:BH2453, MATCH(2, 1/(AW2453:BH2453&lt;&gt;""), 1)-1), ROW(INDIRECT("1:" &amp; MATCH(2, 1/(AW2453:BH2453&lt;&gt;""), 1)-1))) &gt;= 115%, 115%, INDEX(AW2453:INDEX(AW2453:BH2453, MATCH(2, 1/(AW2453:BH2453&lt;&gt;""), 1)-1), ROW(INDIRECT("1:" &amp; MATCH(2, 1/(AW2453:BH2453&lt;&gt;""), 1)-1)))), 0))/_xlfn.XLOOKUP(F2453,Apuração!A:A,Apuração!B:B)&gt;=1.15,1.15,SUM(IFERROR(IF(INDEX(AW2453:INDEX(AW2453:BH2453, MATCH(2, 1/(AW2453:BH2453&lt;&gt;""), 1)-1), ROW(INDIRECT("1:" &amp; MATCH(2, 1/(AW2453:BH2453&lt;&gt;""), 1)-1))) &gt;= 115%, 115%, INDEX(AW2453:INDEX(AW2453:BH2453, MATCH(2, 1/(AW2453:BH2453&lt;&gt;""), 1)-1), ROW(INDIRECT("1:" &amp; MATCH(2, 1/(AW2453:BH2453&lt;&gt;""), 1)-1)))), 0))/_xlfn.XLOOKUP(F2453,Apuração!A:A,Apuração!B:B))</f>
        <v>0.34583333333333338</v>
      </c>
      <c r="BM2453" s="55" cm="1">
        <f t="array" ref="BM2453">IFERROR(
   INDEX($AW$1:$BH$1,
      _xlfn.AGGREGATE(14, 6, COLUMN($AW$1:$BH$1)/(AW2453:BH2453&lt;&gt;""), 2) - COLUMN($AW$1) + 1
   ),
"")</f>
        <v>46113</v>
      </c>
      <c r="BN2453" s="55" cm="1">
        <f t="array" ref="BN2453">IFERROR(INDEX($AW$1:$BH$1,1,MATCH(2,1/(AW2453:BH2453&lt;&gt;""))),"")</f>
        <v>46143</v>
      </c>
      <c r="BO2453" s="53">
        <f ca="1">IFERROR(_xlfn.XLOOKUP(F2453,Apuração!A:A,Apuração!C:C)/_xlfn.XLOOKUP(F2453,Apuração!A:A,Apuração!B:B),0)</f>
        <v>0.41666666666666669</v>
      </c>
      <c r="BP2453" s="53">
        <f ca="1">IFERROR(_xlfn.XLOOKUP(F2453,Apuração!A:A,Apuração!D:D)/_xlfn.XLOOKUP(F2453,Apuração!A:A,Apuração!B:B),0)</f>
        <v>0.33333333333333331</v>
      </c>
      <c r="BQ2453" s="53">
        <f ca="1">IF(BK2453&gt;=BO2453,0,_xlfn.XLOOKUP(F2453,Apuração!A:A,Apuração!B:B)*(BO2453 + (1/_xlfn.XLOOKUP(F2453,Apuração!A:A,Apuração!B:B)) - BK2453))</f>
        <v>0</v>
      </c>
      <c r="BR2453" s="85">
        <f t="shared" ca="1" si="2957"/>
        <v>0</v>
      </c>
      <c r="BS2453" s="53">
        <f ca="1">IFERROR((_xlfn.XLOOKUP(F2453,Apuração!A:A,Apuração!C:C)+1)/_xlfn.XLOOKUP(F2453,Apuração!A:A,Apuração!B:B),0)</f>
        <v>0.5</v>
      </c>
    </row>
    <row r="2454" spans="1:71" ht="25.95" hidden="1" customHeight="1" x14ac:dyDescent="0.3">
      <c r="A2454" s="23" t="s">
        <v>134</v>
      </c>
      <c r="B2454" s="4" t="s">
        <v>142</v>
      </c>
      <c r="C2454" s="5" t="s">
        <v>221</v>
      </c>
      <c r="D2454" s="5" t="s">
        <v>212</v>
      </c>
      <c r="E2454" s="4" t="str" cm="1">
        <f t="array" ref="E2454">_xlfn.IFS(
F2454 = "A partir de Abril", "Aguardando Execução na Distribuidora",
A2454 = "CAPACITAÇÃO", "Em execução no Corporativo",
TRUE, "Em Execução na Distribuidora"
)</f>
        <v>Em Execução na Distribuidora</v>
      </c>
      <c r="F2454" s="4" t="str" cm="1">
        <f t="array" ref="F2454">_xlfn.IFS(
AG2454 &lt;&gt; "", "Jan-Dez/26",
AH2454 &lt;&gt; "", "Fev-Dez/26",
AI2454 &lt;&gt; "", "Mar-Dez/26", AJ2454 &lt;&gt; "", "Abr-Dez/26",
TRUE, "A partir de Junho"
)</f>
        <v>Abr-Dez/26</v>
      </c>
      <c r="G2454" s="4" t="s">
        <v>37</v>
      </c>
      <c r="H2454" s="7" t="s">
        <v>54</v>
      </c>
      <c r="I2454" s="8" t="s">
        <v>143</v>
      </c>
      <c r="J2454" s="8" t="str" cm="1">
        <f t="array" aca="1" ref="J2454" ca="1">_xlfn.LET(
  _xlpm.actual_value_month, INDEX(T2454:AE2454, MATCH(DATE(YEAR(TODAY()), MONTH(TODAY()), 1), $T$1:$AE$1, 0)),
  IF(_xlpm.actual_value_month &lt;&gt; "",_xlpm.actual_value_month &amp; " equipes mensais", "")
)</f>
        <v>67 equipes mensais</v>
      </c>
      <c r="K2454" s="8" t="str" cm="1">
        <f t="array" ref="K2454">_xlfn.LET(
    _xlpm.sum_month, SUM(T2454:AE2454),
    IF(_xlpm.sum_month = 0, "", _xlpm.sum_month &amp; " equipes inspencionadas no ano")
)</f>
        <v>804 equipes inspencionadas no ano</v>
      </c>
      <c r="L2454" s="4" t="s">
        <v>144</v>
      </c>
      <c r="M2454" s="24" t="s">
        <v>145</v>
      </c>
      <c r="N2454" s="5" t="s">
        <v>42</v>
      </c>
      <c r="O2454" s="5" t="s">
        <v>43</v>
      </c>
      <c r="P2454" s="10" t="s">
        <v>146</v>
      </c>
      <c r="Q2454" s="10" t="s">
        <v>44</v>
      </c>
      <c r="R2454" s="11" t="s">
        <v>147</v>
      </c>
      <c r="S2454" s="11" t="s">
        <v>44</v>
      </c>
      <c r="T2454" s="143">
        <v>67</v>
      </c>
      <c r="U2454" s="143">
        <v>67</v>
      </c>
      <c r="V2454" s="143">
        <v>67</v>
      </c>
      <c r="W2454" s="143">
        <v>67</v>
      </c>
      <c r="X2454" s="143">
        <v>67</v>
      </c>
      <c r="Y2454" s="143">
        <v>67</v>
      </c>
      <c r="Z2454" s="143">
        <v>67</v>
      </c>
      <c r="AA2454" s="143">
        <v>67</v>
      </c>
      <c r="AB2454" s="143">
        <v>67</v>
      </c>
      <c r="AC2454" s="143">
        <v>67</v>
      </c>
      <c r="AD2454" s="143">
        <v>67</v>
      </c>
      <c r="AE2454" s="143">
        <v>67</v>
      </c>
      <c r="AG2454" s="71"/>
      <c r="AH2454" s="71"/>
      <c r="AI2454" s="71"/>
      <c r="AJ2454" s="145">
        <v>165</v>
      </c>
      <c r="AK2454" s="71">
        <v>136</v>
      </c>
      <c r="AL2454" s="71"/>
      <c r="AM2454" s="71"/>
      <c r="AN2454" s="71"/>
      <c r="AO2454" s="71"/>
      <c r="AP2454" s="71"/>
      <c r="AQ2454" s="71"/>
      <c r="AR2454" s="71"/>
      <c r="AS2454" s="94">
        <f t="shared" ref="AS2454:AS2455" ca="1" si="3006">IF(MONTH(TODAY())=3,SUM(T2454:U2454),IF(MONTH(TODAY())=4,SUM(T2454:V2454),IF(MONTH(TODAY())=5,SUM(T2454:W2454),IF(MONTH(TODAY())=6,SUM(T2454:X2454),IF(MONTH(TODAY())=7,SUM(T2454:Y2454),IF(MONTH(TODAY())=8,SUM(T2454:Z2454),IF(MONTH(TODAY())=9,SUM(T2454:AA2454),IF(MONTH(TODAY())=10,SUM(T2454:AB2454),IF(MONTH(TODAY())=11,SUM(T2454:AC2454),IF(MONTH(TODAY())=12,SUM(T2454:AD2454),IF(MONTH(TODAY())=1,SUM(T2454:AE2454),T2454)))))))))))</f>
        <v>335</v>
      </c>
      <c r="AT2454" s="95">
        <f t="shared" ref="AT2454:AT2455" si="3007">SUM(IF(AW2454&lt;1.15,AG2454,1.15*T2454),IF(AX2454&lt;1.15,AH2454,1.15*U2454),IF(AY2454&lt;1.15,AI2454,1.15*V2454),IF(AZ2454&lt;1.15,AJ2454,1.15*W2454),IF(BA2454&lt;1.15,AK2454,1.15*X2454),IF(BB2454&lt;1.15,AL2454,1.15*Y2454),IF(BC2454&lt;1.15,AM2454,1.15*Z2454),IF(BD2454&lt;1.15,AN2454,1.15*AA2454),IF(BE2454&lt;1.15,AO2454,1.15*AB2454),IF(BF2454&lt;1.15,AP2454,1.15*AC2454),IF(BG2454&lt;1.15,AQ2454,1.15*AD2454),IF(BH2454&lt;1.15,AR2454,1.15*AE2454))</f>
        <v>154.1</v>
      </c>
      <c r="AU2454" s="97">
        <f t="shared" ref="AU2454:AU2455" si="3008">SUM(AG2454:AR2454)</f>
        <v>301</v>
      </c>
      <c r="AW2454" s="51">
        <f t="shared" ref="AW2454:AW2455" si="3009">IFERROR(IF(AG2454="",0,AG2454/T2454),0)</f>
        <v>0</v>
      </c>
      <c r="AX2454" s="51">
        <f t="shared" ref="AX2454:AX2455" si="3010">IFERROR(IF(AH2454="",0,AH2454/U2454),0)</f>
        <v>0</v>
      </c>
      <c r="AY2454" s="51">
        <f t="shared" ref="AY2454:AY2455" si="3011">IFERROR(IF(AI2454="",0,AI2454/V2454),0)</f>
        <v>0</v>
      </c>
      <c r="AZ2454" s="51">
        <f t="shared" ref="AZ2454:BA2455" si="3012">IFERROR(IF(AJ2454="",0,AJ2454/W2454),0)</f>
        <v>2.4626865671641789</v>
      </c>
      <c r="BA2454" s="51">
        <f t="shared" si="3012"/>
        <v>2.0298507462686568</v>
      </c>
      <c r="BB2454" s="51"/>
      <c r="BC2454" s="51"/>
      <c r="BD2454" s="51"/>
      <c r="BE2454" s="51"/>
      <c r="BF2454" s="51"/>
      <c r="BG2454" s="51"/>
      <c r="BH2454" s="51"/>
      <c r="BI2454" s="65" cm="1">
        <f t="array" ref="BI2454">IFERROR(INDEX(AW2454:BH2454,1,MATCH(2,1/(AW2454:BH2454&lt;&gt;""))),"")</f>
        <v>2.0298507462686568</v>
      </c>
      <c r="BJ2454" s="68" cm="1">
        <f t="array" ref="BJ2454">IF(BM2454 = "", "",IFERROR(INDEX(AW2454:BH2454,1,MATCH(2,1/(AW2454:BH2454&lt;&gt;""),1)-1),""))</f>
        <v>2.4626865671641789</v>
      </c>
      <c r="BK2454" s="58">
        <f>IF((IF(AW2454&gt;=115%,115%,AW2454) + IF(AX2454&gt;=115%,115%,AX2454) + IF(AY2454&gt;=115%,115%,AY2454) + (IF(AZ2454&gt;=115%,115%,AZ2454) + IF(BA2454&gt;=115%,115%,BA2454) + IF(BB2454&gt;=115%,115%,BB2454) + IF(BC2454&gt;=115%,115%,BC2454) + IF(BD2454&gt;=115%,115%,BD2454) + IF(BE2454&gt;=115%,115%,BE2454) + IF(BF2454&gt;=122%,121%,BF2454) + IF(BG2454&gt;=115%,115%,BG2454) + IF(BH2454&gt;=115%,115%,BH2454)))/_xlfn.XLOOKUP(F2454,Apuração!A:A,Apuração!B:B)&gt;=1.15,1.15,((IF(AZ2454&gt;=115%,115%,AZ2454) + IF(AX2454&gt;=115%,115%,AX2454) + IF(AY2454&gt;=115%,115%,AY2454) + (IF(AW2454&gt;=115%,115%,AW2454) + IF(BA2454&gt;=115%,115%,BA2454) + IF(BB2454&gt;=115%,115%,BB2454) + IF(BC2454&gt;=115%,115%,BC2454) + IF(BD2454&gt;=115%,115%,BD2454) + IF(BE2454&gt;=115%,115%,BE2454) + IF(BF2454&gt;=122%,122%,BF2454) + IF(BG2454&gt;=115%,115%,BG2454) + IF(BH2454&gt;=115%,115%,BH2454)))/_xlfn.XLOOKUP(F2454,Apuração!A:A,Apuração!B:B)))</f>
        <v>0.25555555555555554</v>
      </c>
      <c r="BL2454" s="58" cm="1">
        <f t="array" aca="1" ref="BL2454" ca="1">IF(SUM(IFERROR(IF(INDEX(AW2454:INDEX(AW2454:BH2454, MATCH(2, 1/(AW2454:BH2454&lt;&gt;""), 1)-1), ROW(INDIRECT("1:" &amp; MATCH(2, 1/(AW2454:BH2454&lt;&gt;""), 1)-1))) &gt;= 115%, 115%, INDEX(AW2454:INDEX(AW2454:BH2454, MATCH(2, 1/(AW2454:BH2454&lt;&gt;""), 1)-1), ROW(INDIRECT("1:" &amp; MATCH(2, 1/(AW2454:BH2454&lt;&gt;""), 1)-1)))), 0))/_xlfn.XLOOKUP(F2454,Apuração!A:A,Apuração!B:B)&gt;=1.15,1.15,SUM(IFERROR(IF(INDEX(AW2454:INDEX(AW2454:BH2454, MATCH(2, 1/(AW2454:BH2454&lt;&gt;""), 1)-1), ROW(INDIRECT("1:" &amp; MATCH(2, 1/(AW2454:BH2454&lt;&gt;""), 1)-1))) &gt;= 115%, 115%, INDEX(AW2454:INDEX(AW2454:BH2454, MATCH(2, 1/(AW2454:BH2454&lt;&gt;""), 1)-1), ROW(INDIRECT("1:" &amp; MATCH(2, 1/(AW2454:BH2454&lt;&gt;""), 1)-1)))), 0))/_xlfn.XLOOKUP(F2454,Apuração!A:A,Apuração!B:B))</f>
        <v>0.12777777777777777</v>
      </c>
      <c r="BM2454" s="55" cm="1">
        <f t="array" ref="BM2454">IFERROR(
   INDEX($AW$1:$BH$1,
      _xlfn.AGGREGATE(14, 6, COLUMN($AW$1:$BH$1)/(AW2454:BH2454&lt;&gt;""), 2) - COLUMN($AW$1) + 1
   ),
"")</f>
        <v>46113</v>
      </c>
      <c r="BN2454" s="55" cm="1">
        <f t="array" ref="BN2454">IFERROR(INDEX($AW$1:$BH$1,1,MATCH(2,1/(AW2454:BH2454&lt;&gt;""))),"")</f>
        <v>46143</v>
      </c>
      <c r="BO2454" s="53">
        <f ca="1">IFERROR(_xlfn.XLOOKUP(F2454,Apuração!A:A,Apuração!C:C)/_xlfn.XLOOKUP(F2454,Apuração!A:A,Apuração!B:B),0)</f>
        <v>0.22222222222222221</v>
      </c>
      <c r="BP2454" s="53">
        <f ca="1">IFERROR(_xlfn.XLOOKUP(F2454,Apuração!A:A,Apuração!D:D)/_xlfn.XLOOKUP(F2454,Apuração!A:A,Apuração!B:B),0)</f>
        <v>0.1111111111111111</v>
      </c>
      <c r="BQ2454" s="53">
        <f ca="1">IF(BK2454&gt;=BO2454,0,_xlfn.XLOOKUP(F2454,Apuração!A:A,Apuração!B:B)*(BO2454 + (1/_xlfn.XLOOKUP(F2454,Apuração!A:A,Apuração!B:B)) - BK2454))</f>
        <v>0</v>
      </c>
      <c r="BR2454" s="85">
        <f t="shared" ref="BR2454:BR2455" ca="1" si="3013">IF(BQ2454=0,0,BQ2454*Z2454)</f>
        <v>0</v>
      </c>
      <c r="BS2454" s="53">
        <f ca="1">IFERROR((_xlfn.XLOOKUP(F2454,Apuração!A:A,Apuração!C:C)+1)/_xlfn.XLOOKUP(F2454,Apuração!A:A,Apuração!B:B),0)</f>
        <v>0.33333333333333331</v>
      </c>
    </row>
    <row r="2455" spans="1:71" ht="25.95" hidden="1" customHeight="1" x14ac:dyDescent="0.3">
      <c r="A2455" s="23" t="s">
        <v>134</v>
      </c>
      <c r="B2455" s="4" t="s">
        <v>142</v>
      </c>
      <c r="C2455" s="5" t="s">
        <v>221</v>
      </c>
      <c r="D2455" s="5" t="s">
        <v>213</v>
      </c>
      <c r="E2455" s="4" t="str" cm="1">
        <f t="array" ref="E2455">_xlfn.IFS(
F2455 = "A partir de Abril", "Aguardando Execução na Distribuidora",
A2455 = "CAPACITAÇÃO", "Em execução no Corporativo",
TRUE, "Em Execução na Distribuidora"
)</f>
        <v>Em Execução na Distribuidora</v>
      </c>
      <c r="F2455" s="4" t="str" cm="1">
        <f t="array" ref="F2455">_xlfn.IFS(
AG2455 &lt;&gt; "", "Jan-Dez/26",
AH2455 &lt;&gt; "", "Fev-Dez/26",
AI2455 &lt;&gt; "", "Mar-Dez/26", AJ2455 &lt;&gt; "", "Abr-Dez/26",
TRUE, "A partir de Junho"
)</f>
        <v>Abr-Dez/26</v>
      </c>
      <c r="G2455" s="4" t="s">
        <v>37</v>
      </c>
      <c r="H2455" s="7" t="s">
        <v>54</v>
      </c>
      <c r="I2455" s="8" t="s">
        <v>143</v>
      </c>
      <c r="J2455" s="8" t="str" cm="1">
        <f t="array" aca="1" ref="J2455" ca="1">_xlfn.LET(
  _xlpm.actual_value_month, INDEX(T2455:AE2455, MATCH(DATE(YEAR(TODAY()), MONTH(TODAY()), 1), $T$1:$AE$1, 0)),
  IF(_xlpm.actual_value_month &lt;&gt; "",_xlpm.actual_value_month &amp; " equipes mensais", "")
)</f>
        <v>49 equipes mensais</v>
      </c>
      <c r="K2455" s="8" t="str" cm="1">
        <f t="array" ref="K2455">_xlfn.LET(
    _xlpm.sum_month, SUM(T2455:AE2455),
    IF(_xlpm.sum_month = 0, "", _xlpm.sum_month &amp; " equipes inspencionadas no ano")
)</f>
        <v>588 equipes inspencionadas no ano</v>
      </c>
      <c r="L2455" s="4" t="s">
        <v>144</v>
      </c>
      <c r="M2455" s="24" t="s">
        <v>145</v>
      </c>
      <c r="N2455" s="5" t="s">
        <v>42</v>
      </c>
      <c r="O2455" s="5" t="s">
        <v>43</v>
      </c>
      <c r="P2455" s="10" t="s">
        <v>146</v>
      </c>
      <c r="Q2455" s="10" t="s">
        <v>44</v>
      </c>
      <c r="R2455" s="11" t="s">
        <v>147</v>
      </c>
      <c r="S2455" s="11" t="s">
        <v>44</v>
      </c>
      <c r="T2455" s="143">
        <v>49</v>
      </c>
      <c r="U2455" s="143">
        <v>49</v>
      </c>
      <c r="V2455" s="143">
        <v>49</v>
      </c>
      <c r="W2455" s="143">
        <v>49</v>
      </c>
      <c r="X2455" s="143">
        <v>49</v>
      </c>
      <c r="Y2455" s="143">
        <v>49</v>
      </c>
      <c r="Z2455" s="143">
        <v>49</v>
      </c>
      <c r="AA2455" s="143">
        <v>49</v>
      </c>
      <c r="AB2455" s="143">
        <v>49</v>
      </c>
      <c r="AC2455" s="143">
        <v>49</v>
      </c>
      <c r="AD2455" s="143">
        <v>49</v>
      </c>
      <c r="AE2455" s="143">
        <v>49</v>
      </c>
      <c r="AG2455" s="71"/>
      <c r="AH2455" s="71"/>
      <c r="AI2455" s="71"/>
      <c r="AJ2455" s="146">
        <v>83</v>
      </c>
      <c r="AK2455" s="71">
        <v>54</v>
      </c>
      <c r="AL2455" s="71"/>
      <c r="AM2455" s="71"/>
      <c r="AN2455" s="71"/>
      <c r="AO2455" s="71"/>
      <c r="AP2455" s="71"/>
      <c r="AQ2455" s="71"/>
      <c r="AR2455" s="71"/>
      <c r="AS2455" s="94">
        <f t="shared" ca="1" si="3006"/>
        <v>245</v>
      </c>
      <c r="AT2455" s="95">
        <f t="shared" si="3007"/>
        <v>110.35</v>
      </c>
      <c r="AU2455" s="97">
        <f t="shared" si="3008"/>
        <v>137</v>
      </c>
      <c r="AW2455" s="51">
        <f t="shared" si="3009"/>
        <v>0</v>
      </c>
      <c r="AX2455" s="51">
        <f t="shared" si="3010"/>
        <v>0</v>
      </c>
      <c r="AY2455" s="51">
        <f t="shared" si="3011"/>
        <v>0</v>
      </c>
      <c r="AZ2455" s="51">
        <f t="shared" si="3012"/>
        <v>1.6938775510204083</v>
      </c>
      <c r="BA2455" s="51">
        <f t="shared" si="3012"/>
        <v>1.1020408163265305</v>
      </c>
      <c r="BB2455" s="51"/>
      <c r="BC2455" s="51"/>
      <c r="BD2455" s="51"/>
      <c r="BE2455" s="51"/>
      <c r="BF2455" s="51"/>
      <c r="BG2455" s="51"/>
      <c r="BH2455" s="51"/>
      <c r="BI2455" s="65" cm="1">
        <f t="array" ref="BI2455">IFERROR(INDEX(AW2455:BH2455,1,MATCH(2,1/(AW2455:BH2455&lt;&gt;""))),"")</f>
        <v>1.1020408163265305</v>
      </c>
      <c r="BJ2455" s="68" cm="1">
        <f t="array" ref="BJ2455">IF(BM2455 = "", "",IFERROR(INDEX(AW2455:BH2455,1,MATCH(2,1/(AW2455:BH2455&lt;&gt;""),1)-1),""))</f>
        <v>1.6938775510204083</v>
      </c>
      <c r="BK2455" s="58">
        <f>IF((IF(AW2455&gt;=115%,115%,AW2455) + IF(AX2455&gt;=115%,115%,AX2455) + IF(AY2455&gt;=115%,115%,AY2455) + (IF(AZ2455&gt;=115%,115%,AZ2455) + IF(BA2455&gt;=115%,115%,BA2455) + IF(BB2455&gt;=115%,115%,BB2455) + IF(BC2455&gt;=115%,115%,BC2455) + IF(BD2455&gt;=115%,115%,BD2455) + IF(BE2455&gt;=115%,115%,BE2455) + IF(BF2455&gt;=122%,121%,BF2455) + IF(BG2455&gt;=115%,115%,BG2455) + IF(BH2455&gt;=115%,115%,BH2455)))/_xlfn.XLOOKUP(F2455,Apuração!A:A,Apuração!B:B)&gt;=1.15,1.15,((IF(AZ2455&gt;=115%,115%,AZ2455) + IF(AX2455&gt;=115%,115%,AX2455) + IF(AY2455&gt;=115%,115%,AY2455) + (IF(AW2455&gt;=115%,115%,AW2455) + IF(BA2455&gt;=115%,115%,BA2455) + IF(BB2455&gt;=115%,115%,BB2455) + IF(BC2455&gt;=115%,115%,BC2455) + IF(BD2455&gt;=115%,115%,BD2455) + IF(BE2455&gt;=115%,115%,BE2455) + IF(BF2455&gt;=122%,122%,BF2455) + IF(BG2455&gt;=115%,115%,BG2455) + IF(BH2455&gt;=115%,115%,BH2455)))/_xlfn.XLOOKUP(F2455,Apuração!A:A,Apuração!B:B)))</f>
        <v>0.25022675736961447</v>
      </c>
      <c r="BL2455" s="58" cm="1">
        <f t="array" aca="1" ref="BL2455" ca="1">IF(SUM(IFERROR(IF(INDEX(AW2455:INDEX(AW2455:BH2455, MATCH(2, 1/(AW2455:BH2455&lt;&gt;""), 1)-1), ROW(INDIRECT("1:" &amp; MATCH(2, 1/(AW2455:BH2455&lt;&gt;""), 1)-1))) &gt;= 115%, 115%, INDEX(AW2455:INDEX(AW2455:BH2455, MATCH(2, 1/(AW2455:BH2455&lt;&gt;""), 1)-1), ROW(INDIRECT("1:" &amp; MATCH(2, 1/(AW2455:BH2455&lt;&gt;""), 1)-1)))), 0))/_xlfn.XLOOKUP(F2455,Apuração!A:A,Apuração!B:B)&gt;=1.15,1.15,SUM(IFERROR(IF(INDEX(AW2455:INDEX(AW2455:BH2455, MATCH(2, 1/(AW2455:BH2455&lt;&gt;""), 1)-1), ROW(INDIRECT("1:" &amp; MATCH(2, 1/(AW2455:BH2455&lt;&gt;""), 1)-1))) &gt;= 115%, 115%, INDEX(AW2455:INDEX(AW2455:BH2455, MATCH(2, 1/(AW2455:BH2455&lt;&gt;""), 1)-1), ROW(INDIRECT("1:" &amp; MATCH(2, 1/(AW2455:BH2455&lt;&gt;""), 1)-1)))), 0))/_xlfn.XLOOKUP(F2455,Apuração!A:A,Apuração!B:B))</f>
        <v>0.12777777777777777</v>
      </c>
      <c r="BM2455" s="55" cm="1">
        <f t="array" ref="BM2455">IFERROR(
   INDEX($AW$1:$BH$1,
      _xlfn.AGGREGATE(14, 6, COLUMN($AW$1:$BH$1)/(AW2455:BH2455&lt;&gt;""), 2) - COLUMN($AW$1) + 1
   ),
"")</f>
        <v>46113</v>
      </c>
      <c r="BN2455" s="55" cm="1">
        <f t="array" ref="BN2455">IFERROR(INDEX($AW$1:$BH$1,1,MATCH(2,1/(AW2455:BH2455&lt;&gt;""))),"")</f>
        <v>46143</v>
      </c>
      <c r="BO2455" s="53">
        <f ca="1">IFERROR(_xlfn.XLOOKUP(F2455,Apuração!A:A,Apuração!C:C)/_xlfn.XLOOKUP(F2455,Apuração!A:A,Apuração!B:B),0)</f>
        <v>0.22222222222222221</v>
      </c>
      <c r="BP2455" s="53">
        <f ca="1">IFERROR(_xlfn.XLOOKUP(F2455,Apuração!A:A,Apuração!D:D)/_xlfn.XLOOKUP(F2455,Apuração!A:A,Apuração!B:B),0)</f>
        <v>0.1111111111111111</v>
      </c>
      <c r="BQ2455" s="53">
        <f ca="1">IF(BK2455&gt;=BO2455,0,_xlfn.XLOOKUP(F2455,Apuração!A:A,Apuração!B:B)*(BO2455 + (1/_xlfn.XLOOKUP(F2455,Apuração!A:A,Apuração!B:B)) - BK2455))</f>
        <v>0</v>
      </c>
      <c r="BR2455" s="85">
        <f t="shared" ca="1" si="3013"/>
        <v>0</v>
      </c>
      <c r="BS2455" s="53">
        <f ca="1">IFERROR((_xlfn.XLOOKUP(F2455,Apuração!A:A,Apuração!C:C)+1)/_xlfn.XLOOKUP(F2455,Apuração!A:A,Apuração!B:B),0)</f>
        <v>0.33333333333333331</v>
      </c>
    </row>
    <row r="2456" spans="1:71" ht="25.95" hidden="1" customHeight="1" x14ac:dyDescent="0.3">
      <c r="A2456" s="42" t="s">
        <v>134</v>
      </c>
      <c r="B2456" s="4" t="s">
        <v>142</v>
      </c>
      <c r="C2456" s="5" t="s">
        <v>221</v>
      </c>
      <c r="D2456" s="5" t="s">
        <v>36</v>
      </c>
      <c r="E2456" s="4" t="str" cm="1">
        <f t="array" ref="E2456">_xlfn.IFS(
F2456 = "A partir de Abril", "Aguardando Execução na Distribuidora",
A2456 = "CAPACITAÇÃO", "Em execução no Corporativo",
TRUE, "Em Execução na Distribuidora"
)</f>
        <v>Em Execução na Distribuidora</v>
      </c>
      <c r="F2456" s="4" t="str" cm="1">
        <f t="array" ref="F2456">_xlfn.IFS(
AG2456 &lt;&gt; "", "Jan-Dez/26",
AH2456 &lt;&gt; "", "Fev-Dez/26",
AI2456 &lt;&gt; "", "Mar-Dez/26", AJ2456 &lt;&gt; "", "Abr-Dez/26",
TRUE, "A partir de Junho"
)</f>
        <v>Jan-Dez/26</v>
      </c>
      <c r="G2456" s="4" t="s">
        <v>37</v>
      </c>
      <c r="H2456" s="7" t="s">
        <v>54</v>
      </c>
      <c r="I2456" s="8" t="s">
        <v>148</v>
      </c>
      <c r="J2456" s="8" t="str" cm="1">
        <f t="array" aca="1" ref="J2456" ca="1">_xlfn.LET(
  _xlpm.actual_value_month, INDEX(T2456:AE2456, MATCH(DATE(YEAR(TODAY()), MONTH(TODAY()), 1), $T$1:$AE$1, 0)),
  IF(_xlpm.actual_value_month &lt;&gt; "",_xlpm.actual_value_month &amp; " ações mensais", "")
)</f>
        <v/>
      </c>
      <c r="K2456" s="8" t="str" cm="1">
        <f t="array" ref="K2456">_xlfn.LET(
    _xlpm.sum_month, SUM(T2456:AE2456),
    IF(_xlpm.sum_month = 0, "", _xlpm.sum_month &amp; " NC's no ano")
)</f>
        <v/>
      </c>
      <c r="L2456" s="9" t="s">
        <v>149</v>
      </c>
      <c r="M2456" s="24"/>
      <c r="N2456" s="5" t="s">
        <v>51</v>
      </c>
      <c r="O2456" s="5" t="s">
        <v>52</v>
      </c>
      <c r="P2456" s="10" t="s">
        <v>44</v>
      </c>
      <c r="Q2456" s="10" t="s">
        <v>44</v>
      </c>
      <c r="R2456" s="11" t="s">
        <v>44</v>
      </c>
      <c r="S2456" s="11" t="s">
        <v>44</v>
      </c>
      <c r="T2456" s="22"/>
      <c r="U2456" s="22"/>
      <c r="V2456" s="22"/>
      <c r="W2456" s="22"/>
      <c r="X2456" s="22"/>
      <c r="Y2456" s="22"/>
      <c r="Z2456" s="22"/>
      <c r="AA2456" s="22"/>
      <c r="AB2456" s="22"/>
      <c r="AC2456" s="22"/>
      <c r="AD2456" s="22"/>
      <c r="AE2456" s="22"/>
      <c r="AG2456" s="71">
        <v>87</v>
      </c>
      <c r="AH2456" s="71">
        <v>96</v>
      </c>
      <c r="AI2456" s="71">
        <v>99</v>
      </c>
      <c r="AJ2456" s="71">
        <v>146</v>
      </c>
      <c r="AK2456" s="71">
        <v>288</v>
      </c>
      <c r="AL2456" s="71"/>
      <c r="AM2456" s="71"/>
      <c r="AN2456" s="71"/>
      <c r="AO2456" s="71"/>
      <c r="AP2456" s="71"/>
      <c r="AQ2456" s="71"/>
      <c r="AR2456" s="71"/>
      <c r="AS2456" s="94">
        <f t="shared" ca="1" si="2977"/>
        <v>0</v>
      </c>
      <c r="AT2456" s="95">
        <f>SUM(AG2456:AR2456)</f>
        <v>716</v>
      </c>
      <c r="AU2456" s="97">
        <f t="shared" si="2978"/>
        <v>716</v>
      </c>
      <c r="AW2456" s="83">
        <f>AG2456</f>
        <v>87</v>
      </c>
      <c r="AX2456" s="83">
        <f>AH2456</f>
        <v>96</v>
      </c>
      <c r="AY2456" s="83">
        <f>AI2456</f>
        <v>99</v>
      </c>
      <c r="AZ2456" s="83">
        <f>AJ2456</f>
        <v>146</v>
      </c>
      <c r="BA2456" s="83">
        <f>AK2456</f>
        <v>288</v>
      </c>
      <c r="BB2456" s="52"/>
      <c r="BC2456" s="52"/>
      <c r="BD2456" s="52"/>
      <c r="BE2456" s="52"/>
      <c r="BF2456" s="52"/>
      <c r="BG2456" s="52"/>
      <c r="BH2456" s="52"/>
      <c r="BI2456" s="68" cm="1">
        <f t="array" ref="BI2456">IFERROR(INDEX(AW2456:BH2456,1,MATCH(2,1/(AW2456:BH2456&lt;&gt;""))),"")</f>
        <v>288</v>
      </c>
      <c r="BJ2456" s="68" cm="1">
        <f t="array" ref="BJ2456">IF(BM2456 = "", "",IFERROR(INDEX(AW2456:BH2456,1,MATCH(2,1/(AW2456:BH2456&lt;&gt;""),1)-1),""))</f>
        <v>146</v>
      </c>
      <c r="BK2456" s="59">
        <f>SUM(AW2456:BH2456)</f>
        <v>716</v>
      </c>
      <c r="BL2456" s="59" cm="1">
        <f t="array" ref="BL2456">IFERROR(SUM(AW2456:INDEX(AW2456:BH2456, MATCH(2, 1/(AW2456:BH2456&lt;&gt;""), 1) - 1))/_xlfn.XLOOKUP(F2456,Apuração!A:A,Apuração!B:B),0)</f>
        <v>35.666666666666664</v>
      </c>
      <c r="BM2456" s="55" cm="1">
        <f t="array" ref="BM2456">IFERROR(
   INDEX($AW$1:$BH$1,
      _xlfn.AGGREGATE(14, 6, COLUMN($AW$1:$BH$1)/(AW2456:BH2456&lt;&gt;""), 2) - COLUMN($AW$1) + 1
   ),
"")</f>
        <v>46113</v>
      </c>
      <c r="BN2456" s="55" cm="1">
        <f t="array" ref="BN2456">IFERROR(INDEX($AW$1:$BH$1,1,MATCH(2,1/(AW2456:BH2456&lt;&gt;""))),"")</f>
        <v>46143</v>
      </c>
      <c r="BO2456" s="53">
        <f ca="1">IFERROR(_xlfn.XLOOKUP(F2456,Apuração!A:A,Apuração!C:C)/_xlfn.XLOOKUP(F2456,Apuração!A:A,Apuração!B:B),0)</f>
        <v>0.41666666666666669</v>
      </c>
      <c r="BP2456" s="53">
        <f ca="1">IFERROR(_xlfn.XLOOKUP(F2456,Apuração!A:A,Apuração!D:D)/_xlfn.XLOOKUP(F2456,Apuração!A:A,Apuração!B:B),0)</f>
        <v>0.33333333333333331</v>
      </c>
      <c r="BQ2456" s="53">
        <f ca="1">IF(BK2456&gt;=BO2456,0,_xlfn.XLOOKUP(F2456,Apuração!A:A,Apuração!B:B)*(BO2456 + (1/_xlfn.XLOOKUP(F2456,Apuração!A:A,Apuração!B:B)) - BK2456))</f>
        <v>0</v>
      </c>
      <c r="BR2456" s="85">
        <f t="shared" ca="1" si="2957"/>
        <v>0</v>
      </c>
      <c r="BS2456" s="53">
        <f ca="1">IFERROR((_xlfn.XLOOKUP(F2456,Apuração!A:A,Apuração!C:C)+1)/_xlfn.XLOOKUP(F2456,Apuração!A:A,Apuração!B:B),0)</f>
        <v>0.5</v>
      </c>
    </row>
    <row r="2457" spans="1:71" ht="25.95" hidden="1" customHeight="1" x14ac:dyDescent="0.3">
      <c r="A2457" s="42" t="s">
        <v>134</v>
      </c>
      <c r="B2457" s="4" t="s">
        <v>142</v>
      </c>
      <c r="C2457" s="5" t="s">
        <v>221</v>
      </c>
      <c r="D2457" s="5" t="s">
        <v>212</v>
      </c>
      <c r="E2457" s="4" t="str" cm="1">
        <f t="array" ref="E2457">_xlfn.IFS(
F2457 = "A partir de Abril", "Aguardando Execução na Distribuidora",
A2457 = "CAPACITAÇÃO", "Em execução no Corporativo",
TRUE, "Em Execução na Distribuidora"
)</f>
        <v>Em Execução na Distribuidora</v>
      </c>
      <c r="F2457" s="4" t="str" cm="1">
        <f t="array" ref="F2457">_xlfn.IFS(
AG2457 &lt;&gt; "", "Jan-Dez/26",
AH2457 &lt;&gt; "", "Fev-Dez/26",
AI2457 &lt;&gt; "", "Mar-Dez/26", AJ2457 &lt;&gt; "", "Abr-Dez/26",
TRUE, "A partir de Junho"
)</f>
        <v>Abr-Dez/26</v>
      </c>
      <c r="G2457" s="4" t="s">
        <v>37</v>
      </c>
      <c r="H2457" s="7" t="s">
        <v>54</v>
      </c>
      <c r="I2457" s="8" t="s">
        <v>148</v>
      </c>
      <c r="J2457" s="8" t="str" cm="1">
        <f t="array" aca="1" ref="J2457" ca="1">_xlfn.LET(
  _xlpm.actual_value_month, INDEX(T2457:AE2457, MATCH(DATE(YEAR(TODAY()), MONTH(TODAY()), 1), $T$1:$AE$1, 0)),
  IF(_xlpm.actual_value_month &lt;&gt; "",_xlpm.actual_value_month &amp; " ações mensais", "")
)</f>
        <v/>
      </c>
      <c r="K2457" s="8" t="str" cm="1">
        <f t="array" ref="K2457">_xlfn.LET(
    _xlpm.sum_month, SUM(T2457:AE2457),
    IF(_xlpm.sum_month = 0, "", _xlpm.sum_month &amp; " NC's no ano")
)</f>
        <v/>
      </c>
      <c r="L2457" s="9" t="s">
        <v>149</v>
      </c>
      <c r="M2457" s="24"/>
      <c r="N2457" s="5" t="s">
        <v>51</v>
      </c>
      <c r="O2457" s="5" t="s">
        <v>52</v>
      </c>
      <c r="P2457" s="10" t="s">
        <v>44</v>
      </c>
      <c r="Q2457" s="10" t="s">
        <v>44</v>
      </c>
      <c r="R2457" s="11" t="s">
        <v>44</v>
      </c>
      <c r="S2457" s="11" t="s">
        <v>44</v>
      </c>
      <c r="T2457" s="22"/>
      <c r="U2457" s="22"/>
      <c r="V2457" s="22"/>
      <c r="W2457" s="22"/>
      <c r="X2457" s="22"/>
      <c r="Y2457" s="22"/>
      <c r="Z2457" s="22"/>
      <c r="AA2457" s="22"/>
      <c r="AB2457" s="22"/>
      <c r="AC2457" s="22"/>
      <c r="AD2457" s="22"/>
      <c r="AE2457" s="22"/>
      <c r="AG2457" s="71"/>
      <c r="AH2457" s="71"/>
      <c r="AI2457" s="71"/>
      <c r="AJ2457" s="146">
        <v>133</v>
      </c>
      <c r="AK2457" s="71">
        <v>209</v>
      </c>
      <c r="AL2457" s="71"/>
      <c r="AM2457" s="71"/>
      <c r="AN2457" s="71"/>
      <c r="AO2457" s="71"/>
      <c r="AP2457" s="71"/>
      <c r="AQ2457" s="71"/>
      <c r="AR2457" s="71"/>
      <c r="AS2457" s="94">
        <f t="shared" ref="AS2457:AS2458" ca="1" si="3014">IF(MONTH(TODAY())=3,SUM(T2457:U2457),IF(MONTH(TODAY())=4,SUM(T2457:V2457),IF(MONTH(TODAY())=5,SUM(T2457:W2457),IF(MONTH(TODAY())=6,SUM(T2457:X2457),IF(MONTH(TODAY())=7,SUM(T2457:Y2457),IF(MONTH(TODAY())=8,SUM(T2457:Z2457),IF(MONTH(TODAY())=9,SUM(T2457:AA2457),IF(MONTH(TODAY())=10,SUM(T2457:AB2457),IF(MONTH(TODAY())=11,SUM(T2457:AC2457),IF(MONTH(TODAY())=12,SUM(T2457:AD2457),IF(MONTH(TODAY())=1,SUM(T2457:AE2457),T2457)))))))))))</f>
        <v>0</v>
      </c>
      <c r="AT2457" s="95">
        <f t="shared" ref="AT2457:AT2458" si="3015">SUM(AG2457:AR2457)</f>
        <v>342</v>
      </c>
      <c r="AU2457" s="97">
        <f t="shared" ref="AU2457:AU2458" si="3016">SUM(AG2457:AR2457)</f>
        <v>342</v>
      </c>
      <c r="AW2457" s="83">
        <f t="shared" ref="AW2457:AW2458" si="3017">AG2457</f>
        <v>0</v>
      </c>
      <c r="AX2457" s="83">
        <f t="shared" ref="AX2457:AX2458" si="3018">AH2457</f>
        <v>0</v>
      </c>
      <c r="AY2457" s="83">
        <f t="shared" ref="AY2457:AY2458" si="3019">AI2457</f>
        <v>0</v>
      </c>
      <c r="AZ2457" s="83">
        <f t="shared" ref="AZ2457:BA2458" si="3020">AJ2457</f>
        <v>133</v>
      </c>
      <c r="BA2457" s="83">
        <f t="shared" si="3020"/>
        <v>209</v>
      </c>
      <c r="BB2457" s="52"/>
      <c r="BC2457" s="52"/>
      <c r="BD2457" s="52"/>
      <c r="BE2457" s="52"/>
      <c r="BF2457" s="52"/>
      <c r="BG2457" s="52"/>
      <c r="BH2457" s="52"/>
      <c r="BI2457" s="68" cm="1">
        <f t="array" ref="BI2457">IFERROR(INDEX(AW2457:BH2457,1,MATCH(2,1/(AW2457:BH2457&lt;&gt;""))),"")</f>
        <v>209</v>
      </c>
      <c r="BJ2457" s="68" cm="1">
        <f t="array" ref="BJ2457">IF(BM2457 = "", "",IFERROR(INDEX(AW2457:BH2457,1,MATCH(2,1/(AW2457:BH2457&lt;&gt;""),1)-1),""))</f>
        <v>133</v>
      </c>
      <c r="BK2457" s="59">
        <f t="shared" ref="BK2457:BK2458" si="3021">SUM(AW2457:BH2457)</f>
        <v>342</v>
      </c>
      <c r="BL2457" s="59" cm="1">
        <f t="array" ref="BL2457">IFERROR(SUM(AW2457:INDEX(AW2457:BH2457, MATCH(2, 1/(AW2457:BH2457&lt;&gt;""), 1) - 1))/_xlfn.XLOOKUP(F2457,Apuração!A:A,Apuração!B:B),0)</f>
        <v>14.777777777777779</v>
      </c>
      <c r="BM2457" s="55" cm="1">
        <f t="array" ref="BM2457">IFERROR(
   INDEX($AW$1:$BH$1,
      _xlfn.AGGREGATE(14, 6, COLUMN($AW$1:$BH$1)/(AW2457:BH2457&lt;&gt;""), 2) - COLUMN($AW$1) + 1
   ),
"")</f>
        <v>46113</v>
      </c>
      <c r="BN2457" s="55" cm="1">
        <f t="array" ref="BN2457">IFERROR(INDEX($AW$1:$BH$1,1,MATCH(2,1/(AW2457:BH2457&lt;&gt;""))),"")</f>
        <v>46143</v>
      </c>
      <c r="BO2457" s="53">
        <f ca="1">IFERROR(_xlfn.XLOOKUP(F2457,Apuração!A:A,Apuração!C:C)/_xlfn.XLOOKUP(F2457,Apuração!A:A,Apuração!B:B),0)</f>
        <v>0.22222222222222221</v>
      </c>
      <c r="BP2457" s="53">
        <f ca="1">IFERROR(_xlfn.XLOOKUP(F2457,Apuração!A:A,Apuração!D:D)/_xlfn.XLOOKUP(F2457,Apuração!A:A,Apuração!B:B),0)</f>
        <v>0.1111111111111111</v>
      </c>
      <c r="BQ2457" s="53">
        <f ca="1">IF(BK2457&gt;=BO2457,0,_xlfn.XLOOKUP(F2457,Apuração!A:A,Apuração!B:B)*(BO2457 + (1/_xlfn.XLOOKUP(F2457,Apuração!A:A,Apuração!B:B)) - BK2457))</f>
        <v>0</v>
      </c>
      <c r="BR2457" s="85">
        <f t="shared" ref="BR2457:BR2458" ca="1" si="3022">IF(BQ2457=0,0,BQ2457*Z2457)</f>
        <v>0</v>
      </c>
      <c r="BS2457" s="53">
        <f ca="1">IFERROR((_xlfn.XLOOKUP(F2457,Apuração!A:A,Apuração!C:C)+1)/_xlfn.XLOOKUP(F2457,Apuração!A:A,Apuração!B:B),0)</f>
        <v>0.33333333333333331</v>
      </c>
    </row>
    <row r="2458" spans="1:71" ht="25.95" hidden="1" customHeight="1" x14ac:dyDescent="0.3">
      <c r="A2458" s="42" t="s">
        <v>134</v>
      </c>
      <c r="B2458" s="4" t="s">
        <v>142</v>
      </c>
      <c r="C2458" s="5" t="s">
        <v>221</v>
      </c>
      <c r="D2458" s="5" t="s">
        <v>213</v>
      </c>
      <c r="E2458" s="4" t="str" cm="1">
        <f t="array" ref="E2458">_xlfn.IFS(
F2458 = "A partir de Abril", "Aguardando Execução na Distribuidora",
A2458 = "CAPACITAÇÃO", "Em execução no Corporativo",
TRUE, "Em Execução na Distribuidora"
)</f>
        <v>Em Execução na Distribuidora</v>
      </c>
      <c r="F2458" s="4" t="str" cm="1">
        <f t="array" ref="F2458">_xlfn.IFS(
AG2458 &lt;&gt; "", "Jan-Dez/26",
AH2458 &lt;&gt; "", "Fev-Dez/26",
AI2458 &lt;&gt; "", "Mar-Dez/26", AJ2458 &lt;&gt; "", "Abr-Dez/26",
TRUE, "A partir de Junho"
)</f>
        <v>Abr-Dez/26</v>
      </c>
      <c r="G2458" s="4" t="s">
        <v>37</v>
      </c>
      <c r="H2458" s="7" t="s">
        <v>54</v>
      </c>
      <c r="I2458" s="8" t="s">
        <v>148</v>
      </c>
      <c r="J2458" s="8" t="str" cm="1">
        <f t="array" aca="1" ref="J2458" ca="1">_xlfn.LET(
  _xlpm.actual_value_month, INDEX(T2458:AE2458, MATCH(DATE(YEAR(TODAY()), MONTH(TODAY()), 1), $T$1:$AE$1, 0)),
  IF(_xlpm.actual_value_month &lt;&gt; "",_xlpm.actual_value_month &amp; " ações mensais", "")
)</f>
        <v/>
      </c>
      <c r="K2458" s="8" t="str" cm="1">
        <f t="array" ref="K2458">_xlfn.LET(
    _xlpm.sum_month, SUM(T2458:AE2458),
    IF(_xlpm.sum_month = 0, "", _xlpm.sum_month &amp; " NC's no ano")
)</f>
        <v/>
      </c>
      <c r="L2458" s="9" t="s">
        <v>149</v>
      </c>
      <c r="M2458" s="24"/>
      <c r="N2458" s="5" t="s">
        <v>51</v>
      </c>
      <c r="O2458" s="5" t="s">
        <v>52</v>
      </c>
      <c r="P2458" s="10" t="s">
        <v>44</v>
      </c>
      <c r="Q2458" s="10" t="s">
        <v>44</v>
      </c>
      <c r="R2458" s="11" t="s">
        <v>44</v>
      </c>
      <c r="S2458" s="11" t="s">
        <v>44</v>
      </c>
      <c r="T2458" s="22"/>
      <c r="U2458" s="22"/>
      <c r="V2458" s="22"/>
      <c r="W2458" s="22"/>
      <c r="X2458" s="22"/>
      <c r="Y2458" s="22"/>
      <c r="Z2458" s="22"/>
      <c r="AA2458" s="22"/>
      <c r="AB2458" s="22"/>
      <c r="AC2458" s="22"/>
      <c r="AD2458" s="22"/>
      <c r="AE2458" s="22"/>
      <c r="AG2458" s="71"/>
      <c r="AH2458" s="71"/>
      <c r="AI2458" s="71"/>
      <c r="AJ2458" s="146">
        <v>13</v>
      </c>
      <c r="AK2458" s="71">
        <v>79</v>
      </c>
      <c r="AL2458" s="71"/>
      <c r="AM2458" s="71"/>
      <c r="AN2458" s="71"/>
      <c r="AO2458" s="71"/>
      <c r="AP2458" s="71"/>
      <c r="AQ2458" s="71"/>
      <c r="AR2458" s="71"/>
      <c r="AS2458" s="94">
        <f t="shared" ca="1" si="3014"/>
        <v>0</v>
      </c>
      <c r="AT2458" s="95">
        <f t="shared" si="3015"/>
        <v>92</v>
      </c>
      <c r="AU2458" s="97">
        <f t="shared" si="3016"/>
        <v>92</v>
      </c>
      <c r="AW2458" s="83">
        <f t="shared" si="3017"/>
        <v>0</v>
      </c>
      <c r="AX2458" s="83">
        <f t="shared" si="3018"/>
        <v>0</v>
      </c>
      <c r="AY2458" s="83">
        <f t="shared" si="3019"/>
        <v>0</v>
      </c>
      <c r="AZ2458" s="83">
        <f t="shared" si="3020"/>
        <v>13</v>
      </c>
      <c r="BA2458" s="83">
        <f t="shared" si="3020"/>
        <v>79</v>
      </c>
      <c r="BB2458" s="52"/>
      <c r="BC2458" s="52"/>
      <c r="BD2458" s="52"/>
      <c r="BE2458" s="52"/>
      <c r="BF2458" s="52"/>
      <c r="BG2458" s="52"/>
      <c r="BH2458" s="52"/>
      <c r="BI2458" s="68" cm="1">
        <f t="array" ref="BI2458">IFERROR(INDEX(AW2458:BH2458,1,MATCH(2,1/(AW2458:BH2458&lt;&gt;""))),"")</f>
        <v>79</v>
      </c>
      <c r="BJ2458" s="68" cm="1">
        <f t="array" ref="BJ2458">IF(BM2458 = "", "",IFERROR(INDEX(AW2458:BH2458,1,MATCH(2,1/(AW2458:BH2458&lt;&gt;""),1)-1),""))</f>
        <v>13</v>
      </c>
      <c r="BK2458" s="59">
        <f t="shared" si="3021"/>
        <v>92</v>
      </c>
      <c r="BL2458" s="59" cm="1">
        <f t="array" ref="BL2458">IFERROR(SUM(AW2458:INDEX(AW2458:BH2458, MATCH(2, 1/(AW2458:BH2458&lt;&gt;""), 1) - 1))/_xlfn.XLOOKUP(F2458,Apuração!A:A,Apuração!B:B),0)</f>
        <v>1.4444444444444444</v>
      </c>
      <c r="BM2458" s="55" cm="1">
        <f t="array" ref="BM2458">IFERROR(
   INDEX($AW$1:$BH$1,
      _xlfn.AGGREGATE(14, 6, COLUMN($AW$1:$BH$1)/(AW2458:BH2458&lt;&gt;""), 2) - COLUMN($AW$1) + 1
   ),
"")</f>
        <v>46113</v>
      </c>
      <c r="BN2458" s="55" cm="1">
        <f t="array" ref="BN2458">IFERROR(INDEX($AW$1:$BH$1,1,MATCH(2,1/(AW2458:BH2458&lt;&gt;""))),"")</f>
        <v>46143</v>
      </c>
      <c r="BO2458" s="53">
        <f ca="1">IFERROR(_xlfn.XLOOKUP(F2458,Apuração!A:A,Apuração!C:C)/_xlfn.XLOOKUP(F2458,Apuração!A:A,Apuração!B:B),0)</f>
        <v>0.22222222222222221</v>
      </c>
      <c r="BP2458" s="53">
        <f ca="1">IFERROR(_xlfn.XLOOKUP(F2458,Apuração!A:A,Apuração!D:D)/_xlfn.XLOOKUP(F2458,Apuração!A:A,Apuração!B:B),0)</f>
        <v>0.1111111111111111</v>
      </c>
      <c r="BQ2458" s="53">
        <f ca="1">IF(BK2458&gt;=BO2458,0,_xlfn.XLOOKUP(F2458,Apuração!A:A,Apuração!B:B)*(BO2458 + (1/_xlfn.XLOOKUP(F2458,Apuração!A:A,Apuração!B:B)) - BK2458))</f>
        <v>0</v>
      </c>
      <c r="BR2458" s="85">
        <f t="shared" ca="1" si="3022"/>
        <v>0</v>
      </c>
      <c r="BS2458" s="53">
        <f ca="1">IFERROR((_xlfn.XLOOKUP(F2458,Apuração!A:A,Apuração!C:C)+1)/_xlfn.XLOOKUP(F2458,Apuração!A:A,Apuração!B:B),0)</f>
        <v>0.33333333333333331</v>
      </c>
    </row>
    <row r="2459" spans="1:71" ht="25.95" hidden="1" customHeight="1" x14ac:dyDescent="0.3">
      <c r="A2459" s="25" t="s">
        <v>134</v>
      </c>
      <c r="B2459" s="15" t="s">
        <v>150</v>
      </c>
      <c r="C2459" s="5" t="s">
        <v>221</v>
      </c>
      <c r="D2459" s="5" t="s">
        <v>36</v>
      </c>
      <c r="E2459" s="4" t="str" cm="1">
        <f t="array" ref="E2459">_xlfn.IFS(
F2459 = "A partir de Abril", "Aguardando Execução na Distribuidora",
A2459 = "CAPACITAÇÃO", "Em execução no Corporativo",
TRUE, "Em Execução na Distribuidora"
)</f>
        <v>Em Execução na Distribuidora</v>
      </c>
      <c r="F2459" s="4" t="str" cm="1">
        <f t="array" ref="F2459">_xlfn.IFS(
AG2459 &lt;&gt; "", "Jan-Dez/26",
AH2459 &lt;&gt; "", "Fev-Dez/26",
AI2459 &lt;&gt; "", "Mar-Dez/26", AJ2459 &lt;&gt; "", "Abr-Dez/26",
TRUE, "A partir de Junho"
)</f>
        <v>Jan-Dez/26</v>
      </c>
      <c r="G2459" s="15" t="s">
        <v>37</v>
      </c>
      <c r="H2459" s="27" t="s">
        <v>54</v>
      </c>
      <c r="I2459" s="28" t="s">
        <v>124</v>
      </c>
      <c r="J2459" s="8" t="str" cm="1">
        <f t="array" aca="1" ref="J2459" ca="1">_xlfn.LET(
  _xlpm.actual_value_month, INDEX(T2459:AE2459, MATCH(DATE(YEAR(TODAY()), MONTH(TODAY()), 1), $T$1:$AE$1, 0)),
  IF(_xlpm.actual_value_month &lt;&gt; "",_xlpm.actual_value_month &amp; " reuniões mensais", "")
)</f>
        <v/>
      </c>
      <c r="K2459" s="8" t="str" cm="1">
        <f t="array" ref="K2459">_xlfn.LET(
    _xlpm.sum_month, SUM(T2459:AE2459),
    IF(_xlpm.sum_month = 0, "", _xlpm.sum_month &amp; " atividades no ano")
)</f>
        <v>914 atividades no ano</v>
      </c>
      <c r="L2459" s="29" t="s">
        <v>125</v>
      </c>
      <c r="M2459" s="30" t="s">
        <v>151</v>
      </c>
      <c r="N2459" s="66" t="s">
        <v>42</v>
      </c>
      <c r="O2459" s="111" t="s">
        <v>52</v>
      </c>
      <c r="P2459" s="31" t="s">
        <v>44</v>
      </c>
      <c r="Q2459" s="31" t="s">
        <v>72</v>
      </c>
      <c r="R2459" s="32" t="s">
        <v>44</v>
      </c>
      <c r="S2459" s="32" t="s">
        <v>44</v>
      </c>
      <c r="T2459" s="22">
        <f>85+79</f>
        <v>164</v>
      </c>
      <c r="U2459" s="22">
        <f>79+71</f>
        <v>150</v>
      </c>
      <c r="V2459" s="22">
        <v>200</v>
      </c>
      <c r="W2459" s="22">
        <v>200</v>
      </c>
      <c r="X2459" s="22">
        <v>200</v>
      </c>
      <c r="Y2459" s="22"/>
      <c r="Z2459" s="22"/>
      <c r="AA2459" s="22"/>
      <c r="AB2459" s="22"/>
      <c r="AC2459" s="22"/>
      <c r="AD2459" s="22"/>
      <c r="AE2459" s="22"/>
      <c r="AG2459" s="71">
        <f>85+79</f>
        <v>164</v>
      </c>
      <c r="AH2459" s="71">
        <f>79+71</f>
        <v>150</v>
      </c>
      <c r="AI2459" s="71">
        <v>200</v>
      </c>
      <c r="AJ2459" s="71">
        <v>200</v>
      </c>
      <c r="AK2459" s="71">
        <v>200</v>
      </c>
      <c r="AL2459" s="71"/>
      <c r="AM2459" s="71"/>
      <c r="AN2459" s="71"/>
      <c r="AO2459" s="71"/>
      <c r="AP2459" s="71"/>
      <c r="AQ2459" s="71"/>
      <c r="AR2459" s="71"/>
      <c r="AS2459" s="94">
        <f t="shared" ca="1" si="2977"/>
        <v>914</v>
      </c>
      <c r="AT2459" s="95">
        <f>SUM(IF(AW2459&lt;1.15,AG2459,1.15*T2459),IF(AX2459&lt;1.15,AH2459,1.15*U2459),IF(AY2459&lt;1.15,AI2459,1.15*V2459),IF(AZ2459&lt;1.15,AJ2459,1.15*W2459),IF(BA2459&lt;1.15,AK2459,1.15*X2459),IF(BB2459&lt;1.15,AL2459,1.15*Y2459),IF(BC2459&lt;1.15,AM2459,1.15*Z2459),IF(BD2459&lt;1.15,AN2459,1.15*AA2459),IF(BE2459&lt;1.15,AO2459,1.15*AB2459),IF(BF2459&lt;1.15,AP2459,1.15*AC2459),IF(BG2459&lt;1.15,AQ2459,1.15*AD2459),IF(BH2459&lt;1.15,AR2459,1.15*AE2459))</f>
        <v>914</v>
      </c>
      <c r="AU2459" s="97">
        <f t="shared" si="2978"/>
        <v>914</v>
      </c>
      <c r="AW2459" s="51">
        <f>IFERROR(IF(AG2459="",0,AG2459/T2459),0)</f>
        <v>1</v>
      </c>
      <c r="AX2459" s="51">
        <f>IFERROR(IF(AH2459="",0,AH2459/U2459),0)</f>
        <v>1</v>
      </c>
      <c r="AY2459" s="51">
        <f>IFERROR(IF(AI2459="",0,AI2459/V2459),0)</f>
        <v>1</v>
      </c>
      <c r="AZ2459" s="51">
        <f>IFERROR(IF(AJ2459="",0,AJ2459/W2459),0)</f>
        <v>1</v>
      </c>
      <c r="BA2459" s="51">
        <f>IFERROR(IF(AK2459="",0,AK2459/X2459),0)</f>
        <v>1</v>
      </c>
      <c r="BB2459" s="51"/>
      <c r="BC2459" s="51"/>
      <c r="BD2459" s="51"/>
      <c r="BE2459" s="51"/>
      <c r="BF2459" s="51"/>
      <c r="BG2459" s="51"/>
      <c r="BH2459" s="51"/>
      <c r="BI2459" s="65" cm="1">
        <f t="array" ref="BI2459">IFERROR(INDEX(AW2459:BH2459,1,MATCH(2,1/(AW2459:BH2459&lt;&gt;""))),"")</f>
        <v>1</v>
      </c>
      <c r="BJ2459" s="68" cm="1">
        <f t="array" ref="BJ2459">IF(BM2459 = "", "",IFERROR(INDEX(AW2459:BH2459,1,MATCH(2,1/(AW2459:BH2459&lt;&gt;""),1)-1),""))</f>
        <v>1</v>
      </c>
      <c r="BK2459" s="58">
        <f>IF((IF(AW2459&gt;=115%,115%,AW2459) + IF(AX2459&gt;=115%,115%,AX2459) + IF(AY2459&gt;=115%,115%,AY2459) + (IF(AZ2459&gt;=115%,115%,AZ2459) + IF(BA2459&gt;=115%,115%,BA2459) + IF(BB2459&gt;=115%,115%,BB2459) + IF(BC2459&gt;=115%,115%,BC2459) + IF(BD2459&gt;=115%,115%,BD2459) + IF(BE2459&gt;=115%,115%,BE2459) + IF(BF2459&gt;=115%,115%,BF2459) + IF(BG2459&gt;=115%,115%,BG2459) + IF(BH2459&gt;=115%,115%,BH2459)))/_xlfn.XLOOKUP(F2459,Apuração!A:A,Apuração!B:B)&gt;=1.15,1.15,((IF(AZ2459&gt;=115%,115%,AZ2459) + IF(AX2459&gt;=115%,115%,AX2459) + IF(AY2459&gt;=115%,115%,AY2459) + (IF(AW2459&gt;=115%,115%,AW2459) + IF(BA2459&gt;=115%,115%,BA2459) + IF(BB2459&gt;=115%,115%,BB2459) + IF(BC2459&gt;=115%,115%,BC2459) + IF(BD2459&gt;=115%,115%,BD2459) + IF(BE2459&gt;=115%,115%,BE2459) + IF(BF2459&gt;=115%,115%,BF2459) + IF(BG2459&gt;=115%,115%,BG2459) + IF(BH2459&gt;=115%,115%,BH2459)))/_xlfn.XLOOKUP(F2459,Apuração!A:A,Apuração!B:B)))</f>
        <v>0.41666666666666669</v>
      </c>
      <c r="BL2459" s="58" cm="1">
        <f t="array" aca="1" ref="BL2459" ca="1">IF(SUM(IFERROR(IF(INDEX(AW2459:INDEX(AW2459:BH2459, MATCH(2, 1/(AW2459:BH2459&lt;&gt;""), 1)-1), ROW(INDIRECT("1:" &amp; MATCH(2, 1/(AW2459:BH2459&lt;&gt;""), 1)-1))) &gt;= 115%, 115%, INDEX(AW2459:INDEX(AW2459:BH2459, MATCH(2, 1/(AW2459:BH2459&lt;&gt;""), 1)-1), ROW(INDIRECT("1:" &amp; MATCH(2, 1/(AW2459:BH2459&lt;&gt;""), 1)-1)))), 0))/_xlfn.XLOOKUP(F2459,Apuração!A:A,Apuração!B:B)&gt;=1.15,1.15,SUM(IFERROR(IF(INDEX(AW2459:INDEX(AW2459:BH2459, MATCH(2, 1/(AW2459:BH2459&lt;&gt;""), 1)-1), ROW(INDIRECT("1:" &amp; MATCH(2, 1/(AW2459:BH2459&lt;&gt;""), 1)-1))) &gt;= 115%, 115%, INDEX(AW2459:INDEX(AW2459:BH2459, MATCH(2, 1/(AW2459:BH2459&lt;&gt;""), 1)-1), ROW(INDIRECT("1:" &amp; MATCH(2, 1/(AW2459:BH2459&lt;&gt;""), 1)-1)))), 0))/_xlfn.XLOOKUP(F2459,Apuração!A:A,Apuração!B:B))</f>
        <v>0.33333333333333331</v>
      </c>
      <c r="BM2459" s="55" cm="1">
        <f t="array" ref="BM2459">IFERROR(
   INDEX($AW$1:$BH$1,
      _xlfn.AGGREGATE(14, 6, COLUMN($AW$1:$BH$1)/(AW2459:BH2459&lt;&gt;""), 2) - COLUMN($AW$1) + 1
   ),
"")</f>
        <v>46113</v>
      </c>
      <c r="BN2459" s="55" cm="1">
        <f t="array" ref="BN2459">IFERROR(INDEX($AW$1:$BH$1,1,MATCH(2,1/(AW2459:BH2459&lt;&gt;""))),"")</f>
        <v>46143</v>
      </c>
      <c r="BO2459" s="53">
        <f ca="1">IFERROR(_xlfn.XLOOKUP(F2459,Apuração!A:A,Apuração!C:C)/_xlfn.XLOOKUP(F2459,Apuração!A:A,Apuração!B:B),0)</f>
        <v>0.41666666666666669</v>
      </c>
      <c r="BP2459" s="53">
        <f ca="1">IFERROR(_xlfn.XLOOKUP(F2459,Apuração!A:A,Apuração!D:D)/_xlfn.XLOOKUP(F2459,Apuração!A:A,Apuração!B:B),0)</f>
        <v>0.33333333333333331</v>
      </c>
      <c r="BQ2459" s="53">
        <f ca="1">IF(BK2459&gt;=BO2459,0,_xlfn.XLOOKUP(F2459,Apuração!A:A,Apuração!B:B)*(BO2459 + (1/_xlfn.XLOOKUP(F2459,Apuração!A:A,Apuração!B:B)) - BK2459))</f>
        <v>0</v>
      </c>
      <c r="BR2459" s="85">
        <f t="shared" ca="1" si="2957"/>
        <v>0</v>
      </c>
      <c r="BS2459" s="53">
        <f ca="1">IFERROR((_xlfn.XLOOKUP(F2459,Apuração!A:A,Apuração!C:C)+1)/_xlfn.XLOOKUP(F2459,Apuração!A:A,Apuração!B:B),0)</f>
        <v>0.5</v>
      </c>
    </row>
    <row r="2460" spans="1:71" ht="25.95" hidden="1" customHeight="1" x14ac:dyDescent="0.3">
      <c r="A2460" s="25" t="s">
        <v>134</v>
      </c>
      <c r="B2460" s="15" t="s">
        <v>150</v>
      </c>
      <c r="C2460" s="5" t="s">
        <v>221</v>
      </c>
      <c r="D2460" s="5" t="s">
        <v>212</v>
      </c>
      <c r="E2460" s="4" t="str" cm="1">
        <f t="array" ref="E2460">_xlfn.IFS(
F2460 = "A partir de Abril", "Aguardando Execução na Distribuidora",
A2460 = "CAPACITAÇÃO", "Em execução no Corporativo",
TRUE, "Em Execução na Distribuidora"
)</f>
        <v>Em Execução na Distribuidora</v>
      </c>
      <c r="F2460" s="4" t="str" cm="1">
        <f t="array" ref="F2460">_xlfn.IFS(
AG2460 &lt;&gt; "", "Jan-Dez/26",
AH2460 &lt;&gt; "", "Fev-Dez/26",
AI2460 &lt;&gt; "", "Mar-Dez/26", AJ2460 &lt;&gt; "", "Abr-Dez/26",
TRUE, "A partir de Junho"
)</f>
        <v>Jan-Dez/26</v>
      </c>
      <c r="G2460" s="15" t="s">
        <v>37</v>
      </c>
      <c r="H2460" s="27" t="s">
        <v>54</v>
      </c>
      <c r="I2460" s="28" t="s">
        <v>124</v>
      </c>
      <c r="J2460" s="8" t="str" cm="1">
        <f t="array" aca="1" ref="J2460" ca="1">_xlfn.LET(
  _xlpm.actual_value_month, INDEX(T2460:AE2460, MATCH(DATE(YEAR(TODAY()), MONTH(TODAY()), 1), $T$1:$AE$1, 0)),
  IF(_xlpm.actual_value_month &lt;&gt; "",_xlpm.actual_value_month &amp; " reuniões mensais", "")
)</f>
        <v/>
      </c>
      <c r="K2460" s="8" t="str" cm="1">
        <f t="array" ref="K2460">_xlfn.LET(
    _xlpm.sum_month, SUM(T2460:AE2460),
    IF(_xlpm.sum_month = 0, "", _xlpm.sum_month &amp; " atividades no ano")
)</f>
        <v>464 atividades no ano</v>
      </c>
      <c r="L2460" s="29" t="s">
        <v>125</v>
      </c>
      <c r="M2460" s="30" t="s">
        <v>151</v>
      </c>
      <c r="N2460" s="66" t="s">
        <v>42</v>
      </c>
      <c r="O2460" s="111" t="s">
        <v>52</v>
      </c>
      <c r="P2460" s="31" t="s">
        <v>44</v>
      </c>
      <c r="Q2460" s="31" t="s">
        <v>72</v>
      </c>
      <c r="R2460" s="32" t="s">
        <v>44</v>
      </c>
      <c r="S2460" s="32" t="s">
        <v>44</v>
      </c>
      <c r="T2460" s="22">
        <v>85</v>
      </c>
      <c r="U2460" s="22">
        <v>79</v>
      </c>
      <c r="V2460" s="22">
        <v>100</v>
      </c>
      <c r="W2460" s="22">
        <v>100</v>
      </c>
      <c r="X2460" s="22">
        <v>100</v>
      </c>
      <c r="Y2460" s="22"/>
      <c r="Z2460" s="22"/>
      <c r="AA2460" s="22"/>
      <c r="AB2460" s="22"/>
      <c r="AC2460" s="22"/>
      <c r="AD2460" s="22"/>
      <c r="AE2460" s="22"/>
      <c r="AG2460" s="82">
        <v>85</v>
      </c>
      <c r="AH2460" s="82">
        <v>79</v>
      </c>
      <c r="AI2460" s="82">
        <v>100</v>
      </c>
      <c r="AJ2460" s="145">
        <v>100</v>
      </c>
      <c r="AK2460" s="71">
        <v>100</v>
      </c>
      <c r="AL2460" s="71"/>
      <c r="AM2460" s="71"/>
      <c r="AN2460" s="71"/>
      <c r="AO2460" s="71"/>
      <c r="AP2460" s="71"/>
      <c r="AQ2460" s="71"/>
      <c r="AR2460" s="71"/>
      <c r="AS2460" s="94">
        <f t="shared" ref="AS2460:AS2461" ca="1" si="3023">IF(MONTH(TODAY())=3,SUM(T2460:U2460),IF(MONTH(TODAY())=4,SUM(T2460:V2460),IF(MONTH(TODAY())=5,SUM(T2460:W2460),IF(MONTH(TODAY())=6,SUM(T2460:X2460),IF(MONTH(TODAY())=7,SUM(T2460:Y2460),IF(MONTH(TODAY())=8,SUM(T2460:Z2460),IF(MONTH(TODAY())=9,SUM(T2460:AA2460),IF(MONTH(TODAY())=10,SUM(T2460:AB2460),IF(MONTH(TODAY())=11,SUM(T2460:AC2460),IF(MONTH(TODAY())=12,SUM(T2460:AD2460),IF(MONTH(TODAY())=1,SUM(T2460:AE2460),T2460)))))))))))</f>
        <v>464</v>
      </c>
      <c r="AT2460" s="95">
        <f t="shared" ref="AT2460:AT2461" si="3024">SUM(IF(AW2460&lt;1.15,AG2460,1.15*T2460),IF(AX2460&lt;1.15,AH2460,1.15*U2460),IF(AY2460&lt;1.15,AI2460,1.15*V2460),IF(AZ2460&lt;1.15,AJ2460,1.15*W2460),IF(BA2460&lt;1.15,AK2460,1.15*X2460),IF(BB2460&lt;1.15,AL2460,1.15*Y2460),IF(BC2460&lt;1.15,AM2460,1.15*Z2460),IF(BD2460&lt;1.15,AN2460,1.15*AA2460),IF(BE2460&lt;1.15,AO2460,1.15*AB2460),IF(BF2460&lt;1.15,AP2460,1.15*AC2460),IF(BG2460&lt;1.15,AQ2460,1.15*AD2460),IF(BH2460&lt;1.15,AR2460,1.15*AE2460))</f>
        <v>464</v>
      </c>
      <c r="AU2460" s="97">
        <f t="shared" ref="AU2460:AU2461" si="3025">SUM(AG2460:AR2460)</f>
        <v>464</v>
      </c>
      <c r="AW2460" s="51">
        <f t="shared" ref="AW2460:AW2461" si="3026">IFERROR(IF(AG2460="",0,AG2460/T2460),0)</f>
        <v>1</v>
      </c>
      <c r="AX2460" s="51">
        <f t="shared" ref="AX2460:AX2461" si="3027">IFERROR(IF(AH2460="",0,AH2460/U2460),0)</f>
        <v>1</v>
      </c>
      <c r="AY2460" s="51">
        <f t="shared" ref="AY2460:AY2461" si="3028">IFERROR(IF(AI2460="",0,AI2460/V2460),0)</f>
        <v>1</v>
      </c>
      <c r="AZ2460" s="51">
        <f t="shared" ref="AZ2460:BA2461" si="3029">IFERROR(IF(AJ2460="",0,AJ2460/W2460),0)</f>
        <v>1</v>
      </c>
      <c r="BA2460" s="51">
        <f t="shared" si="3029"/>
        <v>1</v>
      </c>
      <c r="BB2460" s="51"/>
      <c r="BC2460" s="51"/>
      <c r="BD2460" s="51"/>
      <c r="BE2460" s="51"/>
      <c r="BF2460" s="51"/>
      <c r="BG2460" s="51"/>
      <c r="BH2460" s="51"/>
      <c r="BI2460" s="65" cm="1">
        <f t="array" ref="BI2460">IFERROR(INDEX(AW2460:BH2460,1,MATCH(2,1/(AW2460:BH2460&lt;&gt;""))),"")</f>
        <v>1</v>
      </c>
      <c r="BJ2460" s="68" cm="1">
        <f t="array" ref="BJ2460">IF(BM2460 = "", "",IFERROR(INDEX(AW2460:BH2460,1,MATCH(2,1/(AW2460:BH2460&lt;&gt;""),1)-1),""))</f>
        <v>1</v>
      </c>
      <c r="BK2460" s="58">
        <f>IF((IF(AW2460&gt;=115%,115%,AW2460) + IF(AX2460&gt;=115%,115%,AX2460) + IF(AY2460&gt;=115%,115%,AY2460) + (IF(AZ2460&gt;=115%,115%,AZ2460) + IF(BA2460&gt;=115%,115%,BA2460) + IF(BB2460&gt;=115%,115%,BB2460) + IF(BC2460&gt;=115%,115%,BC2460) + IF(BD2460&gt;=115%,115%,BD2460) + IF(BE2460&gt;=115%,115%,BE2460) + IF(BF2460&gt;=115%,115%,BF2460) + IF(BG2460&gt;=115%,115%,BG2460) + IF(BH2460&gt;=115%,115%,BH2460)))/_xlfn.XLOOKUP(F2460,Apuração!A:A,Apuração!B:B)&gt;=1.15,1.15,((IF(AZ2460&gt;=115%,115%,AZ2460) + IF(AX2460&gt;=115%,115%,AX2460) + IF(AY2460&gt;=115%,115%,AY2460) + (IF(AW2460&gt;=115%,115%,AW2460) + IF(BA2460&gt;=115%,115%,BA2460) + IF(BB2460&gt;=115%,115%,BB2460) + IF(BC2460&gt;=115%,115%,BC2460) + IF(BD2460&gt;=115%,115%,BD2460) + IF(BE2460&gt;=115%,115%,BE2460) + IF(BF2460&gt;=115%,115%,BF2460) + IF(BG2460&gt;=115%,115%,BG2460) + IF(BH2460&gt;=115%,115%,BH2460)))/_xlfn.XLOOKUP(F2460,Apuração!A:A,Apuração!B:B)))</f>
        <v>0.41666666666666669</v>
      </c>
      <c r="BL2460" s="58" cm="1">
        <f t="array" aca="1" ref="BL2460" ca="1">IF(SUM(IFERROR(IF(INDEX(AW2460:INDEX(AW2460:BH2460, MATCH(2, 1/(AW2460:BH2460&lt;&gt;""), 1)-1), ROW(INDIRECT("1:" &amp; MATCH(2, 1/(AW2460:BH2460&lt;&gt;""), 1)-1))) &gt;= 115%, 115%, INDEX(AW2460:INDEX(AW2460:BH2460, MATCH(2, 1/(AW2460:BH2460&lt;&gt;""), 1)-1), ROW(INDIRECT("1:" &amp; MATCH(2, 1/(AW2460:BH2460&lt;&gt;""), 1)-1)))), 0))/_xlfn.XLOOKUP(F2460,Apuração!A:A,Apuração!B:B)&gt;=1.15,1.15,SUM(IFERROR(IF(INDEX(AW2460:INDEX(AW2460:BH2460, MATCH(2, 1/(AW2460:BH2460&lt;&gt;""), 1)-1), ROW(INDIRECT("1:" &amp; MATCH(2, 1/(AW2460:BH2460&lt;&gt;""), 1)-1))) &gt;= 115%, 115%, INDEX(AW2460:INDEX(AW2460:BH2460, MATCH(2, 1/(AW2460:BH2460&lt;&gt;""), 1)-1), ROW(INDIRECT("1:" &amp; MATCH(2, 1/(AW2460:BH2460&lt;&gt;""), 1)-1)))), 0))/_xlfn.XLOOKUP(F2460,Apuração!A:A,Apuração!B:B))</f>
        <v>0.33333333333333331</v>
      </c>
      <c r="BM2460" s="55" cm="1">
        <f t="array" ref="BM2460">IFERROR(
   INDEX($AW$1:$BH$1,
      _xlfn.AGGREGATE(14, 6, COLUMN($AW$1:$BH$1)/(AW2460:BH2460&lt;&gt;""), 2) - COLUMN($AW$1) + 1
   ),
"")</f>
        <v>46113</v>
      </c>
      <c r="BN2460" s="55" cm="1">
        <f t="array" ref="BN2460">IFERROR(INDEX($AW$1:$BH$1,1,MATCH(2,1/(AW2460:BH2460&lt;&gt;""))),"")</f>
        <v>46143</v>
      </c>
      <c r="BO2460" s="53">
        <f ca="1">IFERROR(_xlfn.XLOOKUP(F2460,Apuração!A:A,Apuração!C:C)/_xlfn.XLOOKUP(F2460,Apuração!A:A,Apuração!B:B),0)</f>
        <v>0.41666666666666669</v>
      </c>
      <c r="BP2460" s="53">
        <f ca="1">IFERROR(_xlfn.XLOOKUP(F2460,Apuração!A:A,Apuração!D:D)/_xlfn.XLOOKUP(F2460,Apuração!A:A,Apuração!B:B),0)</f>
        <v>0.33333333333333331</v>
      </c>
      <c r="BQ2460" s="53">
        <f ca="1">IF(BK2460&gt;=BO2460,0,_xlfn.XLOOKUP(F2460,Apuração!A:A,Apuração!B:B)*(BO2460 + (1/_xlfn.XLOOKUP(F2460,Apuração!A:A,Apuração!B:B)) - BK2460))</f>
        <v>0</v>
      </c>
      <c r="BR2460" s="85">
        <f t="shared" ref="BR2460:BR2461" ca="1" si="3030">IF(BQ2460=0,0,BQ2460*Z2460)</f>
        <v>0</v>
      </c>
      <c r="BS2460" s="53">
        <f ca="1">IFERROR((_xlfn.XLOOKUP(F2460,Apuração!A:A,Apuração!C:C)+1)/_xlfn.XLOOKUP(F2460,Apuração!A:A,Apuração!B:B),0)</f>
        <v>0.5</v>
      </c>
    </row>
    <row r="2461" spans="1:71" ht="25.95" hidden="1" customHeight="1" x14ac:dyDescent="0.3">
      <c r="A2461" s="25" t="s">
        <v>134</v>
      </c>
      <c r="B2461" s="15" t="s">
        <v>150</v>
      </c>
      <c r="C2461" s="5" t="s">
        <v>221</v>
      </c>
      <c r="D2461" s="5" t="s">
        <v>213</v>
      </c>
      <c r="E2461" s="4" t="str" cm="1">
        <f t="array" ref="E2461">_xlfn.IFS(
F2461 = "A partir de Abril", "Aguardando Execução na Distribuidora",
A2461 = "CAPACITAÇÃO", "Em execução no Corporativo",
TRUE, "Em Execução na Distribuidora"
)</f>
        <v>Em Execução na Distribuidora</v>
      </c>
      <c r="F2461" s="4" t="str" cm="1">
        <f t="array" ref="F2461">_xlfn.IFS(
AG2461 &lt;&gt; "", "Jan-Dez/26",
AH2461 &lt;&gt; "", "Fev-Dez/26",
AI2461 &lt;&gt; "", "Mar-Dez/26", AJ2461 &lt;&gt; "", "Abr-Dez/26",
TRUE, "A partir de Junho"
)</f>
        <v>Jan-Dez/26</v>
      </c>
      <c r="G2461" s="15" t="s">
        <v>37</v>
      </c>
      <c r="H2461" s="27" t="s">
        <v>54</v>
      </c>
      <c r="I2461" s="28" t="s">
        <v>124</v>
      </c>
      <c r="J2461" s="8" t="str" cm="1">
        <f t="array" aca="1" ref="J2461" ca="1">_xlfn.LET(
  _xlpm.actual_value_month, INDEX(T2461:AE2461, MATCH(DATE(YEAR(TODAY()), MONTH(TODAY()), 1), $T$1:$AE$1, 0)),
  IF(_xlpm.actual_value_month &lt;&gt; "",_xlpm.actual_value_month &amp; " reuniões mensais", "")
)</f>
        <v/>
      </c>
      <c r="K2461" s="8" t="str" cm="1">
        <f t="array" ref="K2461">_xlfn.LET(
    _xlpm.sum_month, SUM(T2461:AE2461),
    IF(_xlpm.sum_month = 0, "", _xlpm.sum_month &amp; " atividades no ano")
)</f>
        <v>450 atividades no ano</v>
      </c>
      <c r="L2461" s="29" t="s">
        <v>125</v>
      </c>
      <c r="M2461" s="30" t="s">
        <v>151</v>
      </c>
      <c r="N2461" s="66" t="s">
        <v>42</v>
      </c>
      <c r="O2461" s="111" t="s">
        <v>52</v>
      </c>
      <c r="P2461" s="31" t="s">
        <v>44</v>
      </c>
      <c r="Q2461" s="31" t="s">
        <v>72</v>
      </c>
      <c r="R2461" s="32" t="s">
        <v>44</v>
      </c>
      <c r="S2461" s="32" t="s">
        <v>44</v>
      </c>
      <c r="T2461" s="22">
        <v>79</v>
      </c>
      <c r="U2461" s="22">
        <v>71</v>
      </c>
      <c r="V2461" s="22">
        <v>100</v>
      </c>
      <c r="W2461" s="22">
        <v>100</v>
      </c>
      <c r="X2461" s="22">
        <v>100</v>
      </c>
      <c r="Y2461" s="22"/>
      <c r="Z2461" s="22"/>
      <c r="AA2461" s="22"/>
      <c r="AB2461" s="22"/>
      <c r="AC2461" s="22"/>
      <c r="AD2461" s="22"/>
      <c r="AE2461" s="22"/>
      <c r="AG2461" s="82">
        <v>79</v>
      </c>
      <c r="AH2461" s="82">
        <v>71</v>
      </c>
      <c r="AI2461" s="82">
        <v>100</v>
      </c>
      <c r="AJ2461" s="146">
        <v>100</v>
      </c>
      <c r="AK2461" s="71">
        <v>100</v>
      </c>
      <c r="AL2461" s="71"/>
      <c r="AM2461" s="71"/>
      <c r="AN2461" s="71"/>
      <c r="AO2461" s="71"/>
      <c r="AP2461" s="71"/>
      <c r="AQ2461" s="71"/>
      <c r="AR2461" s="71"/>
      <c r="AS2461" s="94">
        <f t="shared" ca="1" si="3023"/>
        <v>450</v>
      </c>
      <c r="AT2461" s="95">
        <f t="shared" si="3024"/>
        <v>450</v>
      </c>
      <c r="AU2461" s="97">
        <f t="shared" si="3025"/>
        <v>450</v>
      </c>
      <c r="AW2461" s="51">
        <f t="shared" si="3026"/>
        <v>1</v>
      </c>
      <c r="AX2461" s="51">
        <f t="shared" si="3027"/>
        <v>1</v>
      </c>
      <c r="AY2461" s="51">
        <f t="shared" si="3028"/>
        <v>1</v>
      </c>
      <c r="AZ2461" s="51">
        <f t="shared" si="3029"/>
        <v>1</v>
      </c>
      <c r="BA2461" s="51">
        <f t="shared" si="3029"/>
        <v>1</v>
      </c>
      <c r="BB2461" s="51"/>
      <c r="BC2461" s="51"/>
      <c r="BD2461" s="51"/>
      <c r="BE2461" s="51"/>
      <c r="BF2461" s="51"/>
      <c r="BG2461" s="51"/>
      <c r="BH2461" s="51"/>
      <c r="BI2461" s="65" cm="1">
        <f t="array" ref="BI2461">IFERROR(INDEX(AW2461:BH2461,1,MATCH(2,1/(AW2461:BH2461&lt;&gt;""))),"")</f>
        <v>1</v>
      </c>
      <c r="BJ2461" s="68" cm="1">
        <f t="array" ref="BJ2461">IF(BM2461 = "", "",IFERROR(INDEX(AW2461:BH2461,1,MATCH(2,1/(AW2461:BH2461&lt;&gt;""),1)-1),""))</f>
        <v>1</v>
      </c>
      <c r="BK2461" s="58">
        <f>IF((IF(AW2461&gt;=115%,115%,AW2461) + IF(AX2461&gt;=115%,115%,AX2461) + IF(AY2461&gt;=115%,115%,AY2461) + (IF(AZ2461&gt;=115%,115%,AZ2461) + IF(BA2461&gt;=115%,115%,BA2461) + IF(BB2461&gt;=115%,115%,BB2461) + IF(BC2461&gt;=115%,115%,BC2461) + IF(BD2461&gt;=115%,115%,BD2461) + IF(BE2461&gt;=115%,115%,BE2461) + IF(BF2461&gt;=115%,115%,BF2461) + IF(BG2461&gt;=115%,115%,BG2461) + IF(BH2461&gt;=115%,115%,BH2461)))/_xlfn.XLOOKUP(F2461,Apuração!A:A,Apuração!B:B)&gt;=1.15,1.15,((IF(AZ2461&gt;=115%,115%,AZ2461) + IF(AX2461&gt;=115%,115%,AX2461) + IF(AY2461&gt;=115%,115%,AY2461) + (IF(AW2461&gt;=115%,115%,AW2461) + IF(BA2461&gt;=115%,115%,BA2461) + IF(BB2461&gt;=115%,115%,BB2461) + IF(BC2461&gt;=115%,115%,BC2461) + IF(BD2461&gt;=115%,115%,BD2461) + IF(BE2461&gt;=115%,115%,BE2461) + IF(BF2461&gt;=115%,115%,BF2461) + IF(BG2461&gt;=115%,115%,BG2461) + IF(BH2461&gt;=115%,115%,BH2461)))/_xlfn.XLOOKUP(F2461,Apuração!A:A,Apuração!B:B)))</f>
        <v>0.41666666666666669</v>
      </c>
      <c r="BL2461" s="58" cm="1">
        <f t="array" aca="1" ref="BL2461" ca="1">IF(SUM(IFERROR(IF(INDEX(AW2461:INDEX(AW2461:BH2461, MATCH(2, 1/(AW2461:BH2461&lt;&gt;""), 1)-1), ROW(INDIRECT("1:" &amp; MATCH(2, 1/(AW2461:BH2461&lt;&gt;""), 1)-1))) &gt;= 115%, 115%, INDEX(AW2461:INDEX(AW2461:BH2461, MATCH(2, 1/(AW2461:BH2461&lt;&gt;""), 1)-1), ROW(INDIRECT("1:" &amp; MATCH(2, 1/(AW2461:BH2461&lt;&gt;""), 1)-1)))), 0))/_xlfn.XLOOKUP(F2461,Apuração!A:A,Apuração!B:B)&gt;=1.15,1.15,SUM(IFERROR(IF(INDEX(AW2461:INDEX(AW2461:BH2461, MATCH(2, 1/(AW2461:BH2461&lt;&gt;""), 1)-1), ROW(INDIRECT("1:" &amp; MATCH(2, 1/(AW2461:BH2461&lt;&gt;""), 1)-1))) &gt;= 115%, 115%, INDEX(AW2461:INDEX(AW2461:BH2461, MATCH(2, 1/(AW2461:BH2461&lt;&gt;""), 1)-1), ROW(INDIRECT("1:" &amp; MATCH(2, 1/(AW2461:BH2461&lt;&gt;""), 1)-1)))), 0))/_xlfn.XLOOKUP(F2461,Apuração!A:A,Apuração!B:B))</f>
        <v>0.33333333333333331</v>
      </c>
      <c r="BM2461" s="55" cm="1">
        <f t="array" ref="BM2461">IFERROR(
   INDEX($AW$1:$BH$1,
      _xlfn.AGGREGATE(14, 6, COLUMN($AW$1:$BH$1)/(AW2461:BH2461&lt;&gt;""), 2) - COLUMN($AW$1) + 1
   ),
"")</f>
        <v>46113</v>
      </c>
      <c r="BN2461" s="55" cm="1">
        <f t="array" ref="BN2461">IFERROR(INDEX($AW$1:$BH$1,1,MATCH(2,1/(AW2461:BH2461&lt;&gt;""))),"")</f>
        <v>46143</v>
      </c>
      <c r="BO2461" s="53">
        <f ca="1">IFERROR(_xlfn.XLOOKUP(F2461,Apuração!A:A,Apuração!C:C)/_xlfn.XLOOKUP(F2461,Apuração!A:A,Apuração!B:B),0)</f>
        <v>0.41666666666666669</v>
      </c>
      <c r="BP2461" s="53">
        <f ca="1">IFERROR(_xlfn.XLOOKUP(F2461,Apuração!A:A,Apuração!D:D)/_xlfn.XLOOKUP(F2461,Apuração!A:A,Apuração!B:B),0)</f>
        <v>0.33333333333333331</v>
      </c>
      <c r="BQ2461" s="53">
        <f ca="1">IF(BK2461&gt;=BO2461,0,_xlfn.XLOOKUP(F2461,Apuração!A:A,Apuração!B:B)*(BO2461 + (1/_xlfn.XLOOKUP(F2461,Apuração!A:A,Apuração!B:B)) - BK2461))</f>
        <v>0</v>
      </c>
      <c r="BR2461" s="85">
        <f t="shared" ca="1" si="3030"/>
        <v>0</v>
      </c>
      <c r="BS2461" s="53">
        <f ca="1">IFERROR((_xlfn.XLOOKUP(F2461,Apuração!A:A,Apuração!C:C)+1)/_xlfn.XLOOKUP(F2461,Apuração!A:A,Apuração!B:B),0)</f>
        <v>0.5</v>
      </c>
    </row>
    <row r="2462" spans="1:71" ht="25.95" hidden="1" customHeight="1" x14ac:dyDescent="0.3">
      <c r="A2462" s="23" t="s">
        <v>134</v>
      </c>
      <c r="B2462" s="4" t="s">
        <v>150</v>
      </c>
      <c r="C2462" s="5" t="s">
        <v>221</v>
      </c>
      <c r="D2462" s="5" t="s">
        <v>36</v>
      </c>
      <c r="E2462" s="4" t="str" cm="1">
        <f t="array" ref="E2462">_xlfn.IFS(
F2462 = "A partir de Abril", "Aguardando Execução na Distribuidora",
A2462 = "CAPACITAÇÃO", "Em execução no Corporativo",
TRUE, "Em Execução na Distribuidora"
)</f>
        <v>Em Execução na Distribuidora</v>
      </c>
      <c r="F2462" s="4" t="str" cm="1">
        <f t="array" ref="F2462">_xlfn.IFS(
AG2462 &lt;&gt; "", "Jan-Dez/26",
AH2462 &lt;&gt; "", "Fev-Dez/26",
AI2462 &lt;&gt; "", "Mar-Dez/26", AJ2462 &lt;&gt; "", "Abr-Dez/26",
TRUE, "A partir de Junho"
)</f>
        <v>Jan-Dez/26</v>
      </c>
      <c r="G2462" s="4" t="s">
        <v>37</v>
      </c>
      <c r="H2462" s="7" t="s">
        <v>54</v>
      </c>
      <c r="I2462" s="8" t="s">
        <v>152</v>
      </c>
      <c r="J2462" s="8" t="str" cm="1">
        <f t="array" aca="1" ref="J2462" ca="1">_xlfn.LET(
  _xlpm.actual_value_month, INDEX(T2462:AE2462, MATCH(DATE(YEAR(TODAY()), MONTH(TODAY()), 1), $T$1:$AE$1, 0)),
  IF(_xlpm.actual_value_month &lt;&gt; "",_xlpm.actual_value_month &amp; " ações mensais", "")
)</f>
        <v/>
      </c>
      <c r="K2462" s="8" t="str" cm="1">
        <f t="array" ref="K2462">_xlfn.LET(
    _xlpm.sum_month, SUM(T2462:AE2462),
    IF(_xlpm.sum_month = 0, "", _xlpm.sum_month &amp; " reuniões ordinárias no ano")
)</f>
        <v/>
      </c>
      <c r="L2462" s="9" t="s">
        <v>153</v>
      </c>
      <c r="M2462" s="24">
        <v>1</v>
      </c>
      <c r="N2462" s="67" t="s">
        <v>51</v>
      </c>
      <c r="O2462" s="5" t="s">
        <v>52</v>
      </c>
      <c r="P2462" s="10" t="s">
        <v>44</v>
      </c>
      <c r="Q2462" s="10" t="s">
        <v>72</v>
      </c>
      <c r="R2462" s="11" t="s">
        <v>44</v>
      </c>
      <c r="S2462" s="11" t="s">
        <v>44</v>
      </c>
      <c r="T2462" s="22"/>
      <c r="U2462" s="22"/>
      <c r="V2462" s="22"/>
      <c r="W2462" s="22"/>
      <c r="X2462" s="22"/>
      <c r="Y2462" s="22"/>
      <c r="Z2462" s="22"/>
      <c r="AA2462" s="22"/>
      <c r="AB2462" s="22"/>
      <c r="AC2462" s="22"/>
      <c r="AD2462" s="22"/>
      <c r="AE2462" s="22"/>
      <c r="AG2462" s="71">
        <v>2</v>
      </c>
      <c r="AH2462" s="71">
        <v>2</v>
      </c>
      <c r="AI2462" s="71">
        <v>2</v>
      </c>
      <c r="AJ2462" s="71">
        <v>2</v>
      </c>
      <c r="AK2462" s="71">
        <v>2</v>
      </c>
      <c r="AL2462" s="71"/>
      <c r="AM2462" s="71"/>
      <c r="AN2462" s="71"/>
      <c r="AO2462" s="71"/>
      <c r="AP2462" s="71"/>
      <c r="AQ2462" s="71"/>
      <c r="AR2462" s="71"/>
      <c r="AS2462" s="94">
        <f t="shared" ca="1" si="2977"/>
        <v>0</v>
      </c>
      <c r="AT2462" s="95">
        <f>SUM(AG2462:AR2462)</f>
        <v>10</v>
      </c>
      <c r="AU2462" s="97">
        <f t="shared" si="2978"/>
        <v>10</v>
      </c>
      <c r="AW2462" s="83">
        <f t="shared" ref="AW2462:BA2468" si="3031">AG2462</f>
        <v>2</v>
      </c>
      <c r="AX2462" s="83">
        <f t="shared" si="3031"/>
        <v>2</v>
      </c>
      <c r="AY2462" s="83">
        <f t="shared" si="3031"/>
        <v>2</v>
      </c>
      <c r="AZ2462" s="83">
        <f t="shared" si="3031"/>
        <v>2</v>
      </c>
      <c r="BA2462" s="83">
        <f t="shared" si="3031"/>
        <v>2</v>
      </c>
      <c r="BB2462" s="52"/>
      <c r="BC2462" s="52"/>
      <c r="BD2462" s="52"/>
      <c r="BE2462" s="52"/>
      <c r="BF2462" s="52"/>
      <c r="BG2462" s="52"/>
      <c r="BH2462" s="52"/>
      <c r="BI2462" s="68" cm="1">
        <f t="array" ref="BI2462">IFERROR(INDEX(AW2462:BH2462,1,MATCH(2,1/(AW2462:BH2462&lt;&gt;""))),"")</f>
        <v>2</v>
      </c>
      <c r="BJ2462" s="68" cm="1">
        <f t="array" ref="BJ2462">IF(BM2462 = "", "",IFERROR(INDEX(AW2462:BH2462,1,MATCH(2,1/(AW2462:BH2462&lt;&gt;""),1)-1),""))</f>
        <v>2</v>
      </c>
      <c r="BK2462" s="59">
        <f>IF((IF(AW2462&gt;=150%,150%,AW2462) + IF(AX2462&gt;=150%,150%,AX2462) + IF(AY2462&gt;=150%,150%,AY2462) + (IF(AW2462&gt;=150%,150%,AW2462) + IF(BA2462&gt;=150%,150%,BA2462) + IF(BB2462&gt;=150%,150%,BB2462) + IF(BC2462&gt;=150%,150%,BC2462) + IF(BD2462&gt;=150%,150%,BD2462) + IF(BE2462&gt;=150%,150%,BE2462) + IF(BF2462&gt;=150%,150%,BF2462) + IF(BG2462&gt;=150%,150%,BG2462) + IF(BH2462&gt;=150%,150%,BH2462)))/_xlfn.XLOOKUP(F2462,Apuração!A:A,Apuração!B:B)&gt;=1.15,1.15,((IF(AW2462&gt;=150%,150%,AW2462) + IF(AX2462&gt;=150%,150%,AX2462) + IF(AY2462&gt;=150%,150%,AY2462) + (IF(AW2462&gt;=150%,150%,AW2462) + IF(BA2462&gt;=150%,150%,BA2462) + IF(BB2462&gt;=150%,150%,BB2462) + IF(BC2462&gt;=150%,150%,BC2462) + IF(BD2462&gt;=150%,150%,BD2462) + IF(BE2462&gt;=150%,150%,BE2462) + IF(BF2462&gt;=150%,150%,BF2462) + IF(BG2462&gt;=150%,150%,BG2462) + IF(BH2462&gt;=150%,150%,BH2462)))/_xlfn.XLOOKUP(F2462,Apuração!A:A,Apuração!B:B)))</f>
        <v>0.625</v>
      </c>
      <c r="BL2462" s="59" cm="1">
        <f t="array" aca="1" ref="BL2462" ca="1">IF(SUM(IFERROR(IF(INDEX(AW2462:INDEX(AW2462:BH2462, MATCH(2, 1/(AW2462:BH2462&lt;&gt;""), 1)-1), ROW(INDIRECT("1:" &amp; MATCH(2, 1/(AW2462:BH2462&lt;&gt;""), 1)-1))) &gt;= 150%, 150%, INDEX(AW2462:INDEX(AW2462:BH2462, MATCH(2, 1/(AW2462:BH2462&lt;&gt;""), 1)-1), ROW(INDIRECT("1:" &amp; MATCH(2, 1/(AW2462:BH2462&lt;&gt;""), 1)-1)))), 0))/_xlfn.XLOOKUP(F2462,Apuração!A:A,Apuração!B:B)&gt;=1.15,1.15,SUM(IFERROR(IF(INDEX(AW2462:INDEX(AW2462:BH2462, MATCH(2, 1/(AW2462:BH2462&lt;&gt;""), 1)-1), ROW(INDIRECT("1:" &amp; MATCH(2, 1/(AW2462:BH2462&lt;&gt;""), 1)-1))) &gt;= 150%, 150%, INDEX(AW2462:INDEX(AW2462:BH2462, MATCH(2, 1/(AW2462:BH2462&lt;&gt;""), 1)-1), ROW(INDIRECT("1:" &amp; MATCH(2, 1/(AW2462:BH2462&lt;&gt;""), 1)-1)))), 0))/_xlfn.XLOOKUP(F2462,Apuração!A:A,Apuração!B:B))</f>
        <v>0.5</v>
      </c>
      <c r="BM2462" s="55" cm="1">
        <f t="array" ref="BM2462">IFERROR(
   INDEX($AW$1:$BH$1,
      _xlfn.AGGREGATE(14, 6, COLUMN($AW$1:$BH$1)/(AW2462:BH2462&lt;&gt;""), 2) - COLUMN($AW$1) + 1
   ),
"")</f>
        <v>46113</v>
      </c>
      <c r="BN2462" s="55" cm="1">
        <f t="array" ref="BN2462">IFERROR(INDEX($AW$1:$BH$1,1,MATCH(2,1/(AW2462:BH2462&lt;&gt;""))),"")</f>
        <v>46143</v>
      </c>
      <c r="BO2462" s="53">
        <f ca="1">IFERROR(_xlfn.XLOOKUP(F2462,Apuração!A:A,Apuração!C:C)/_xlfn.XLOOKUP(F2462,Apuração!A:A,Apuração!B:B),0)</f>
        <v>0.41666666666666669</v>
      </c>
      <c r="BP2462" s="53">
        <f ca="1">IFERROR(_xlfn.XLOOKUP(F2462,Apuração!A:A,Apuração!D:D)/_xlfn.XLOOKUP(F2462,Apuração!A:A,Apuração!B:B),0)</f>
        <v>0.33333333333333331</v>
      </c>
      <c r="BQ2462" s="53">
        <f ca="1">IF(BK2462&gt;=BO2462,0,_xlfn.XLOOKUP(F2462,Apuração!A:A,Apuração!B:B)*(BO2462 + (1/_xlfn.XLOOKUP(F2462,Apuração!A:A,Apuração!B:B)) - BK2462))</f>
        <v>0</v>
      </c>
      <c r="BR2462" s="85">
        <f t="shared" ca="1" si="2957"/>
        <v>0</v>
      </c>
      <c r="BS2462" s="53">
        <f ca="1">IFERROR((_xlfn.XLOOKUP(F2462,Apuração!A:A,Apuração!C:C)+1)/_xlfn.XLOOKUP(F2462,Apuração!A:A,Apuração!B:B),0)</f>
        <v>0.5</v>
      </c>
    </row>
    <row r="2463" spans="1:71" ht="25.95" hidden="1" customHeight="1" x14ac:dyDescent="0.3">
      <c r="A2463" s="23" t="s">
        <v>134</v>
      </c>
      <c r="B2463" s="4" t="s">
        <v>150</v>
      </c>
      <c r="C2463" s="5" t="s">
        <v>221</v>
      </c>
      <c r="D2463" s="5" t="s">
        <v>212</v>
      </c>
      <c r="E2463" s="4" t="str" cm="1">
        <f t="array" ref="E2463">_xlfn.IFS(
F2463 = "A partir de Abril", "Aguardando Execução na Distribuidora",
A2463 = "CAPACITAÇÃO", "Em execução no Corporativo",
TRUE, "Em Execução na Distribuidora"
)</f>
        <v>Em Execução na Distribuidora</v>
      </c>
      <c r="F2463" s="4" t="str" cm="1">
        <f t="array" ref="F2463">_xlfn.IFS(
AG2463 &lt;&gt; "", "Jan-Dez/26",
AH2463 &lt;&gt; "", "Fev-Dez/26",
AI2463 &lt;&gt; "", "Mar-Dez/26", AJ2463 &lt;&gt; "", "Abr-Dez/26",
TRUE, "A partir de Junho"
)</f>
        <v>Jan-Dez/26</v>
      </c>
      <c r="G2463" s="4" t="s">
        <v>37</v>
      </c>
      <c r="H2463" s="7" t="s">
        <v>54</v>
      </c>
      <c r="I2463" s="8" t="s">
        <v>152</v>
      </c>
      <c r="J2463" s="8" t="str" cm="1">
        <f t="array" aca="1" ref="J2463" ca="1">_xlfn.LET(
  _xlpm.actual_value_month, INDEX(T2463:AE2463, MATCH(DATE(YEAR(TODAY()), MONTH(TODAY()), 1), $T$1:$AE$1, 0)),
  IF(_xlpm.actual_value_month &lt;&gt; "",_xlpm.actual_value_month &amp; " ações mensais", "")
)</f>
        <v/>
      </c>
      <c r="K2463" s="8" t="str" cm="1">
        <f t="array" ref="K2463">_xlfn.LET(
    _xlpm.sum_month, SUM(T2463:AE2463),
    IF(_xlpm.sum_month = 0, "", _xlpm.sum_month &amp; " reuniões ordinárias no ano")
)</f>
        <v/>
      </c>
      <c r="L2463" s="9" t="s">
        <v>153</v>
      </c>
      <c r="M2463" s="24">
        <v>1</v>
      </c>
      <c r="N2463" s="67" t="s">
        <v>51</v>
      </c>
      <c r="O2463" s="5" t="s">
        <v>52</v>
      </c>
      <c r="P2463" s="10" t="s">
        <v>44</v>
      </c>
      <c r="Q2463" s="10" t="s">
        <v>72</v>
      </c>
      <c r="R2463" s="11" t="s">
        <v>44</v>
      </c>
      <c r="S2463" s="11" t="s">
        <v>44</v>
      </c>
      <c r="T2463" s="22"/>
      <c r="U2463" s="22"/>
      <c r="V2463" s="22"/>
      <c r="W2463" s="22"/>
      <c r="X2463" s="22"/>
      <c r="Y2463" s="22"/>
      <c r="Z2463" s="22"/>
      <c r="AA2463" s="22"/>
      <c r="AB2463" s="22"/>
      <c r="AC2463" s="22"/>
      <c r="AD2463" s="22"/>
      <c r="AE2463" s="22"/>
      <c r="AG2463" s="71">
        <v>1</v>
      </c>
      <c r="AH2463" s="71">
        <v>1</v>
      </c>
      <c r="AI2463" s="71">
        <v>1</v>
      </c>
      <c r="AJ2463" s="71">
        <v>1</v>
      </c>
      <c r="AK2463" s="71">
        <v>1</v>
      </c>
      <c r="AL2463" s="71"/>
      <c r="AM2463" s="71"/>
      <c r="AN2463" s="71"/>
      <c r="AO2463" s="71"/>
      <c r="AP2463" s="71"/>
      <c r="AQ2463" s="71"/>
      <c r="AR2463" s="71"/>
      <c r="AS2463" s="94">
        <f t="shared" ref="AS2463:AS2464" ca="1" si="3032">IF(MONTH(TODAY())=3,SUM(T2463:U2463),IF(MONTH(TODAY())=4,SUM(T2463:V2463),IF(MONTH(TODAY())=5,SUM(T2463:W2463),IF(MONTH(TODAY())=6,SUM(T2463:X2463),IF(MONTH(TODAY())=7,SUM(T2463:Y2463),IF(MONTH(TODAY())=8,SUM(T2463:Z2463),IF(MONTH(TODAY())=9,SUM(T2463:AA2463),IF(MONTH(TODAY())=10,SUM(T2463:AB2463),IF(MONTH(TODAY())=11,SUM(T2463:AC2463),IF(MONTH(TODAY())=12,SUM(T2463:AD2463),IF(MONTH(TODAY())=1,SUM(T2463:AE2463),T2463)))))))))))</f>
        <v>0</v>
      </c>
      <c r="AT2463" s="95">
        <f t="shared" ref="AT2463:AT2464" si="3033">SUM(AG2463:AR2463)</f>
        <v>5</v>
      </c>
      <c r="AU2463" s="97">
        <f t="shared" ref="AU2463:AU2464" si="3034">SUM(AG2463:AR2463)</f>
        <v>5</v>
      </c>
      <c r="AW2463" s="83">
        <f t="shared" ref="AW2463:AW2464" si="3035">AG2463</f>
        <v>1</v>
      </c>
      <c r="AX2463" s="83">
        <f t="shared" ref="AX2463:AX2464" si="3036">AH2463</f>
        <v>1</v>
      </c>
      <c r="AY2463" s="83">
        <f t="shared" ref="AY2463:AY2464" si="3037">AI2463</f>
        <v>1</v>
      </c>
      <c r="AZ2463" s="83">
        <f t="shared" ref="AZ2463:BA2464" si="3038">AJ2463</f>
        <v>1</v>
      </c>
      <c r="BA2463" s="83">
        <f t="shared" si="3038"/>
        <v>1</v>
      </c>
      <c r="BB2463" s="52"/>
      <c r="BC2463" s="52"/>
      <c r="BD2463" s="52"/>
      <c r="BE2463" s="52"/>
      <c r="BF2463" s="52"/>
      <c r="BG2463" s="52"/>
      <c r="BH2463" s="52"/>
      <c r="BI2463" s="68" cm="1">
        <f t="array" ref="BI2463">IFERROR(INDEX(AW2463:BH2463,1,MATCH(2,1/(AW2463:BH2463&lt;&gt;""))),"")</f>
        <v>1</v>
      </c>
      <c r="BJ2463" s="68" cm="1">
        <f t="array" ref="BJ2463">IF(BM2463 = "", "",IFERROR(INDEX(AW2463:BH2463,1,MATCH(2,1/(AW2463:BH2463&lt;&gt;""),1)-1),""))</f>
        <v>1</v>
      </c>
      <c r="BK2463" s="59">
        <f>IF((IF(AW2463&gt;=150%,150%,AW2463) + IF(AX2463&gt;=150%,150%,AX2463) + IF(AY2463&gt;=150%,150%,AY2463) + (IF(AW2463&gt;=150%,150%,AW2463) + IF(BA2463&gt;=150%,150%,BA2463) + IF(BB2463&gt;=150%,150%,BB2463) + IF(BC2463&gt;=150%,150%,BC2463) + IF(BD2463&gt;=150%,150%,BD2463) + IF(BE2463&gt;=150%,150%,BE2463) + IF(BF2463&gt;=150%,150%,BF2463) + IF(BG2463&gt;=150%,150%,BG2463) + IF(BH2463&gt;=150%,150%,BH2463)))/_xlfn.XLOOKUP(F2463,Apuração!A:A,Apuração!B:B)&gt;=1.15,1.15,((IF(AW2463&gt;=150%,150%,AW2463) + IF(AX2463&gt;=150%,150%,AX2463) + IF(AY2463&gt;=150%,150%,AY2463) + (IF(AW2463&gt;=150%,150%,AW2463) + IF(BA2463&gt;=150%,150%,BA2463) + IF(BB2463&gt;=150%,150%,BB2463) + IF(BC2463&gt;=150%,150%,BC2463) + IF(BD2463&gt;=150%,150%,BD2463) + IF(BE2463&gt;=150%,150%,BE2463) + IF(BF2463&gt;=150%,150%,BF2463) + IF(BG2463&gt;=150%,150%,BG2463) + IF(BH2463&gt;=150%,150%,BH2463)))/_xlfn.XLOOKUP(F2463,Apuração!A:A,Apuração!B:B)))</f>
        <v>0.41666666666666669</v>
      </c>
      <c r="BL2463" s="59" cm="1">
        <f t="array" aca="1" ref="BL2463" ca="1">IF(SUM(IFERROR(IF(INDEX(AW2463:INDEX(AW2463:BH2463, MATCH(2, 1/(AW2463:BH2463&lt;&gt;""), 1)-1), ROW(INDIRECT("1:" &amp; MATCH(2, 1/(AW2463:BH2463&lt;&gt;""), 1)-1))) &gt;= 150%, 150%, INDEX(AW2463:INDEX(AW2463:BH2463, MATCH(2, 1/(AW2463:BH2463&lt;&gt;""), 1)-1), ROW(INDIRECT("1:" &amp; MATCH(2, 1/(AW2463:BH2463&lt;&gt;""), 1)-1)))), 0))/_xlfn.XLOOKUP(F2463,Apuração!A:A,Apuração!B:B)&gt;=1.15,1.15,SUM(IFERROR(IF(INDEX(AW2463:INDEX(AW2463:BH2463, MATCH(2, 1/(AW2463:BH2463&lt;&gt;""), 1)-1), ROW(INDIRECT("1:" &amp; MATCH(2, 1/(AW2463:BH2463&lt;&gt;""), 1)-1))) &gt;= 150%, 150%, INDEX(AW2463:INDEX(AW2463:BH2463, MATCH(2, 1/(AW2463:BH2463&lt;&gt;""), 1)-1), ROW(INDIRECT("1:" &amp; MATCH(2, 1/(AW2463:BH2463&lt;&gt;""), 1)-1)))), 0))/_xlfn.XLOOKUP(F2463,Apuração!A:A,Apuração!B:B))</f>
        <v>0.33333333333333331</v>
      </c>
      <c r="BM2463" s="55" cm="1">
        <f t="array" ref="BM2463">IFERROR(
   INDEX($AW$1:$BH$1,
      _xlfn.AGGREGATE(14, 6, COLUMN($AW$1:$BH$1)/(AW2463:BH2463&lt;&gt;""), 2) - COLUMN($AW$1) + 1
   ),
"")</f>
        <v>46113</v>
      </c>
      <c r="BN2463" s="55" cm="1">
        <f t="array" ref="BN2463">IFERROR(INDEX($AW$1:$BH$1,1,MATCH(2,1/(AW2463:BH2463&lt;&gt;""))),"")</f>
        <v>46143</v>
      </c>
      <c r="BO2463" s="53">
        <f ca="1">IFERROR(_xlfn.XLOOKUP(F2463,Apuração!A:A,Apuração!C:C)/_xlfn.XLOOKUP(F2463,Apuração!A:A,Apuração!B:B),0)</f>
        <v>0.41666666666666669</v>
      </c>
      <c r="BP2463" s="53">
        <f ca="1">IFERROR(_xlfn.XLOOKUP(F2463,Apuração!A:A,Apuração!D:D)/_xlfn.XLOOKUP(F2463,Apuração!A:A,Apuração!B:B),0)</f>
        <v>0.33333333333333331</v>
      </c>
      <c r="BQ2463" s="53">
        <f ca="1">IF(BK2463&gt;=BO2463,0,_xlfn.XLOOKUP(F2463,Apuração!A:A,Apuração!B:B)*(BO2463 + (1/_xlfn.XLOOKUP(F2463,Apuração!A:A,Apuração!B:B)) - BK2463))</f>
        <v>0</v>
      </c>
      <c r="BR2463" s="85">
        <f t="shared" ref="BR2463:BR2464" ca="1" si="3039">IF(BQ2463=0,0,BQ2463*Z2463)</f>
        <v>0</v>
      </c>
      <c r="BS2463" s="53">
        <f ca="1">IFERROR((_xlfn.XLOOKUP(F2463,Apuração!A:A,Apuração!C:C)+1)/_xlfn.XLOOKUP(F2463,Apuração!A:A,Apuração!B:B),0)</f>
        <v>0.5</v>
      </c>
    </row>
    <row r="2464" spans="1:71" ht="25.95" hidden="1" customHeight="1" x14ac:dyDescent="0.3">
      <c r="A2464" s="23" t="s">
        <v>134</v>
      </c>
      <c r="B2464" s="4" t="s">
        <v>150</v>
      </c>
      <c r="C2464" s="5" t="s">
        <v>221</v>
      </c>
      <c r="D2464" s="5" t="s">
        <v>213</v>
      </c>
      <c r="E2464" s="4" t="str" cm="1">
        <f t="array" ref="E2464">_xlfn.IFS(
F2464 = "A partir de Abril", "Aguardando Execução na Distribuidora",
A2464 = "CAPACITAÇÃO", "Em execução no Corporativo",
TRUE, "Em Execução na Distribuidora"
)</f>
        <v>Em Execução na Distribuidora</v>
      </c>
      <c r="F2464" s="4" t="str" cm="1">
        <f t="array" ref="F2464">_xlfn.IFS(
AG2464 &lt;&gt; "", "Jan-Dez/26",
AH2464 &lt;&gt; "", "Fev-Dez/26",
AI2464 &lt;&gt; "", "Mar-Dez/26", AJ2464 &lt;&gt; "", "Abr-Dez/26",
TRUE, "A partir de Junho"
)</f>
        <v>Jan-Dez/26</v>
      </c>
      <c r="G2464" s="4" t="s">
        <v>37</v>
      </c>
      <c r="H2464" s="7" t="s">
        <v>54</v>
      </c>
      <c r="I2464" s="8" t="s">
        <v>152</v>
      </c>
      <c r="J2464" s="8" t="str" cm="1">
        <f t="array" aca="1" ref="J2464" ca="1">_xlfn.LET(
  _xlpm.actual_value_month, INDEX(T2464:AE2464, MATCH(DATE(YEAR(TODAY()), MONTH(TODAY()), 1), $T$1:$AE$1, 0)),
  IF(_xlpm.actual_value_month &lt;&gt; "",_xlpm.actual_value_month &amp; " ações mensais", "")
)</f>
        <v/>
      </c>
      <c r="K2464" s="8" t="str" cm="1">
        <f t="array" ref="K2464">_xlfn.LET(
    _xlpm.sum_month, SUM(T2464:AE2464),
    IF(_xlpm.sum_month = 0, "", _xlpm.sum_month &amp; " reuniões ordinárias no ano")
)</f>
        <v/>
      </c>
      <c r="L2464" s="9" t="s">
        <v>153</v>
      </c>
      <c r="M2464" s="24">
        <v>1</v>
      </c>
      <c r="N2464" s="67" t="s">
        <v>51</v>
      </c>
      <c r="O2464" s="5" t="s">
        <v>52</v>
      </c>
      <c r="P2464" s="10" t="s">
        <v>44</v>
      </c>
      <c r="Q2464" s="10" t="s">
        <v>72</v>
      </c>
      <c r="R2464" s="11" t="s">
        <v>44</v>
      </c>
      <c r="S2464" s="11" t="s">
        <v>44</v>
      </c>
      <c r="T2464" s="22"/>
      <c r="U2464" s="22"/>
      <c r="V2464" s="22"/>
      <c r="W2464" s="22"/>
      <c r="X2464" s="22"/>
      <c r="Y2464" s="22"/>
      <c r="Z2464" s="22"/>
      <c r="AA2464" s="22"/>
      <c r="AB2464" s="22"/>
      <c r="AC2464" s="22"/>
      <c r="AD2464" s="22"/>
      <c r="AE2464" s="22"/>
      <c r="AG2464" s="71">
        <v>1</v>
      </c>
      <c r="AH2464" s="71">
        <v>1</v>
      </c>
      <c r="AI2464" s="71">
        <v>1</v>
      </c>
      <c r="AJ2464" s="71">
        <v>1</v>
      </c>
      <c r="AK2464" s="71">
        <v>1</v>
      </c>
      <c r="AL2464" s="71"/>
      <c r="AM2464" s="71"/>
      <c r="AN2464" s="71"/>
      <c r="AO2464" s="71"/>
      <c r="AP2464" s="71"/>
      <c r="AQ2464" s="71"/>
      <c r="AR2464" s="71"/>
      <c r="AS2464" s="94">
        <f t="shared" ca="1" si="3032"/>
        <v>0</v>
      </c>
      <c r="AT2464" s="95">
        <f t="shared" si="3033"/>
        <v>5</v>
      </c>
      <c r="AU2464" s="97">
        <f t="shared" si="3034"/>
        <v>5</v>
      </c>
      <c r="AW2464" s="83">
        <f t="shared" si="3035"/>
        <v>1</v>
      </c>
      <c r="AX2464" s="83">
        <f t="shared" si="3036"/>
        <v>1</v>
      </c>
      <c r="AY2464" s="83">
        <f t="shared" si="3037"/>
        <v>1</v>
      </c>
      <c r="AZ2464" s="83">
        <f t="shared" si="3038"/>
        <v>1</v>
      </c>
      <c r="BA2464" s="83">
        <f t="shared" si="3038"/>
        <v>1</v>
      </c>
      <c r="BB2464" s="52"/>
      <c r="BC2464" s="52"/>
      <c r="BD2464" s="52"/>
      <c r="BE2464" s="52"/>
      <c r="BF2464" s="52"/>
      <c r="BG2464" s="52"/>
      <c r="BH2464" s="52"/>
      <c r="BI2464" s="68" cm="1">
        <f t="array" ref="BI2464">IFERROR(INDEX(AW2464:BH2464,1,MATCH(2,1/(AW2464:BH2464&lt;&gt;""))),"")</f>
        <v>1</v>
      </c>
      <c r="BJ2464" s="68" cm="1">
        <f t="array" ref="BJ2464">IF(BM2464 = "", "",IFERROR(INDEX(AW2464:BH2464,1,MATCH(2,1/(AW2464:BH2464&lt;&gt;""),1)-1),""))</f>
        <v>1</v>
      </c>
      <c r="BK2464" s="59">
        <f>IF((IF(AW2464&gt;=150%,150%,AW2464) + IF(AX2464&gt;=150%,150%,AX2464) + IF(AY2464&gt;=150%,150%,AY2464) + (IF(AW2464&gt;=150%,150%,AW2464) + IF(BA2464&gt;=150%,150%,BA2464) + IF(BB2464&gt;=150%,150%,BB2464) + IF(BC2464&gt;=150%,150%,BC2464) + IF(BD2464&gt;=150%,150%,BD2464) + IF(BE2464&gt;=150%,150%,BE2464) + IF(BF2464&gt;=150%,150%,BF2464) + IF(BG2464&gt;=150%,150%,BG2464) + IF(BH2464&gt;=150%,150%,BH2464)))/_xlfn.XLOOKUP(F2464,Apuração!A:A,Apuração!B:B)&gt;=1.15,1.15,((IF(AW2464&gt;=150%,150%,AW2464) + IF(AX2464&gt;=150%,150%,AX2464) + IF(AY2464&gt;=150%,150%,AY2464) + (IF(AW2464&gt;=150%,150%,AW2464) + IF(BA2464&gt;=150%,150%,BA2464) + IF(BB2464&gt;=150%,150%,BB2464) + IF(BC2464&gt;=150%,150%,BC2464) + IF(BD2464&gt;=150%,150%,BD2464) + IF(BE2464&gt;=150%,150%,BE2464) + IF(BF2464&gt;=150%,150%,BF2464) + IF(BG2464&gt;=150%,150%,BG2464) + IF(BH2464&gt;=150%,150%,BH2464)))/_xlfn.XLOOKUP(F2464,Apuração!A:A,Apuração!B:B)))</f>
        <v>0.41666666666666669</v>
      </c>
      <c r="BL2464" s="59" cm="1">
        <f t="array" aca="1" ref="BL2464" ca="1">IF(SUM(IFERROR(IF(INDEX(AW2464:INDEX(AW2464:BH2464, MATCH(2, 1/(AW2464:BH2464&lt;&gt;""), 1)-1), ROW(INDIRECT("1:" &amp; MATCH(2, 1/(AW2464:BH2464&lt;&gt;""), 1)-1))) &gt;= 150%, 150%, INDEX(AW2464:INDEX(AW2464:BH2464, MATCH(2, 1/(AW2464:BH2464&lt;&gt;""), 1)-1), ROW(INDIRECT("1:" &amp; MATCH(2, 1/(AW2464:BH2464&lt;&gt;""), 1)-1)))), 0))/_xlfn.XLOOKUP(F2464,Apuração!A:A,Apuração!B:B)&gt;=1.15,1.15,SUM(IFERROR(IF(INDEX(AW2464:INDEX(AW2464:BH2464, MATCH(2, 1/(AW2464:BH2464&lt;&gt;""), 1)-1), ROW(INDIRECT("1:" &amp; MATCH(2, 1/(AW2464:BH2464&lt;&gt;""), 1)-1))) &gt;= 150%, 150%, INDEX(AW2464:INDEX(AW2464:BH2464, MATCH(2, 1/(AW2464:BH2464&lt;&gt;""), 1)-1), ROW(INDIRECT("1:" &amp; MATCH(2, 1/(AW2464:BH2464&lt;&gt;""), 1)-1)))), 0))/_xlfn.XLOOKUP(F2464,Apuração!A:A,Apuração!B:B))</f>
        <v>0.33333333333333331</v>
      </c>
      <c r="BM2464" s="55" cm="1">
        <f t="array" ref="BM2464">IFERROR(
   INDEX($AW$1:$BH$1,
      _xlfn.AGGREGATE(14, 6, COLUMN($AW$1:$BH$1)/(AW2464:BH2464&lt;&gt;""), 2) - COLUMN($AW$1) + 1
   ),
"")</f>
        <v>46113</v>
      </c>
      <c r="BN2464" s="55" cm="1">
        <f t="array" ref="BN2464">IFERROR(INDEX($AW$1:$BH$1,1,MATCH(2,1/(AW2464:BH2464&lt;&gt;""))),"")</f>
        <v>46143</v>
      </c>
      <c r="BO2464" s="53">
        <f ca="1">IFERROR(_xlfn.XLOOKUP(F2464,Apuração!A:A,Apuração!C:C)/_xlfn.XLOOKUP(F2464,Apuração!A:A,Apuração!B:B),0)</f>
        <v>0.41666666666666669</v>
      </c>
      <c r="BP2464" s="53">
        <f ca="1">IFERROR(_xlfn.XLOOKUP(F2464,Apuração!A:A,Apuração!D:D)/_xlfn.XLOOKUP(F2464,Apuração!A:A,Apuração!B:B),0)</f>
        <v>0.33333333333333331</v>
      </c>
      <c r="BQ2464" s="53">
        <f ca="1">IF(BK2464&gt;=BO2464,0,_xlfn.XLOOKUP(F2464,Apuração!A:A,Apuração!B:B)*(BO2464 + (1/_xlfn.XLOOKUP(F2464,Apuração!A:A,Apuração!B:B)) - BK2464))</f>
        <v>0</v>
      </c>
      <c r="BR2464" s="85">
        <f t="shared" ca="1" si="3039"/>
        <v>0</v>
      </c>
      <c r="BS2464" s="53">
        <f ca="1">IFERROR((_xlfn.XLOOKUP(F2464,Apuração!A:A,Apuração!C:C)+1)/_xlfn.XLOOKUP(F2464,Apuração!A:A,Apuração!B:B),0)</f>
        <v>0.5</v>
      </c>
    </row>
    <row r="2465" spans="1:71" ht="25.95" hidden="1" customHeight="1" x14ac:dyDescent="0.3">
      <c r="A2465" s="23" t="s">
        <v>134</v>
      </c>
      <c r="B2465" s="4" t="s">
        <v>150</v>
      </c>
      <c r="C2465" s="5" t="s">
        <v>221</v>
      </c>
      <c r="D2465" s="5" t="s">
        <v>36</v>
      </c>
      <c r="E2465" s="4" t="str" cm="1">
        <f t="array" ref="E2465">_xlfn.IFS(
F2465 = "A partir de Abril", "Aguardando Execução na Distribuidora",
A2465 = "CAPACITAÇÃO", "Em execução no Corporativo",
TRUE, "Em Execução na Distribuidora"
)</f>
        <v>Em Execução na Distribuidora</v>
      </c>
      <c r="F2465" s="4" t="str" cm="1">
        <f t="array" ref="F2465">_xlfn.IFS(
AG2465 &lt;&gt; "", "Jan-Dez/26",
AH2465 &lt;&gt; "", "Fev-Dez/26",
AI2465 &lt;&gt; "", "Mar-Dez/26", AJ2465 &lt;&gt; "", "Abr-Dez/26",
TRUE, "A partir de Junho"
)</f>
        <v>Jan-Dez/26</v>
      </c>
      <c r="G2465" s="4" t="s">
        <v>37</v>
      </c>
      <c r="H2465" s="7" t="s">
        <v>54</v>
      </c>
      <c r="I2465" s="8" t="s">
        <v>154</v>
      </c>
      <c r="J2465" s="8" t="str" cm="1">
        <f t="array" aca="1" ref="J2465" ca="1">_xlfn.LET(
  _xlpm.actual_value_month, INDEX(T2465:AE2465, MATCH(DATE(YEAR(TODAY()), MONTH(TODAY()), 1), $T$1:$AE$1, 0)),
  IF(_xlpm.actual_value_month &lt;&gt; "",_xlpm.actual_value_month &amp; " ações mensais", "")
)</f>
        <v/>
      </c>
      <c r="K2465" s="8" t="str" cm="1">
        <f t="array" ref="K2465">_xlfn.LET(
    _xlpm.sum_month, SUM(T2465:AE2465),
    IF(_xlpm.sum_month = 0, "", _xlpm.sum_month &amp; " presença de representantes no ano")
)</f>
        <v/>
      </c>
      <c r="L2465" s="9" t="s">
        <v>155</v>
      </c>
      <c r="M2465" s="24"/>
      <c r="N2465" s="67" t="s">
        <v>51</v>
      </c>
      <c r="O2465" s="111" t="s">
        <v>43</v>
      </c>
      <c r="P2465" s="10" t="s">
        <v>44</v>
      </c>
      <c r="Q2465" s="10" t="s">
        <v>72</v>
      </c>
      <c r="R2465" s="11" t="s">
        <v>44</v>
      </c>
      <c r="S2465" s="11" t="s">
        <v>44</v>
      </c>
      <c r="T2465" s="22"/>
      <c r="U2465" s="22"/>
      <c r="V2465" s="22"/>
      <c r="W2465" s="22"/>
      <c r="X2465" s="22"/>
      <c r="Y2465" s="22"/>
      <c r="Z2465" s="22"/>
      <c r="AA2465" s="22"/>
      <c r="AB2465" s="22"/>
      <c r="AC2465" s="22"/>
      <c r="AD2465" s="22"/>
      <c r="AE2465" s="22"/>
      <c r="AG2465" s="71">
        <f>22+16</f>
        <v>38</v>
      </c>
      <c r="AH2465" s="71">
        <f>21+17</f>
        <v>38</v>
      </c>
      <c r="AI2465" s="71">
        <f>16+22</f>
        <v>38</v>
      </c>
      <c r="AJ2465" s="71">
        <v>39</v>
      </c>
      <c r="AK2465" s="71">
        <v>38</v>
      </c>
      <c r="AL2465" s="71"/>
      <c r="AM2465" s="71"/>
      <c r="AN2465" s="71"/>
      <c r="AO2465" s="71"/>
      <c r="AP2465" s="71"/>
      <c r="AQ2465" s="71"/>
      <c r="AR2465" s="71"/>
      <c r="AS2465" s="94">
        <f t="shared" ca="1" si="2977"/>
        <v>0</v>
      </c>
      <c r="AT2465" s="95">
        <f>SUM(AG2465:AR2465)</f>
        <v>191</v>
      </c>
      <c r="AU2465" s="97">
        <f t="shared" si="2978"/>
        <v>191</v>
      </c>
      <c r="AW2465" s="83">
        <f t="shared" si="3031"/>
        <v>38</v>
      </c>
      <c r="AX2465" s="83">
        <f t="shared" si="3031"/>
        <v>38</v>
      </c>
      <c r="AY2465" s="83">
        <f t="shared" si="3031"/>
        <v>38</v>
      </c>
      <c r="AZ2465" s="83">
        <f t="shared" si="3031"/>
        <v>39</v>
      </c>
      <c r="BA2465" s="83">
        <f t="shared" si="3031"/>
        <v>38</v>
      </c>
      <c r="BB2465" s="52"/>
      <c r="BC2465" s="52"/>
      <c r="BD2465" s="52"/>
      <c r="BE2465" s="52"/>
      <c r="BF2465" s="52"/>
      <c r="BG2465" s="52"/>
      <c r="BH2465" s="52"/>
      <c r="BI2465" s="68" cm="1">
        <f t="array" ref="BI2465">IFERROR(INDEX(AW2465:BH2465,1,MATCH(2,1/(AW2465:BH2465&lt;&gt;""))),"")</f>
        <v>38</v>
      </c>
      <c r="BJ2465" s="68" cm="1">
        <f t="array" ref="BJ2465">IF(BM2465 = "", "",IFERROR(INDEX(AW2465:BH2465,1,MATCH(2,1/(AW2465:BH2465&lt;&gt;""),1)-1),""))</f>
        <v>39</v>
      </c>
      <c r="BK2465" s="59">
        <f>IF((IF(AW2465&gt;=150%,150%,AW2465) + IF(AX2465&gt;=150%,150%,AX2465) + IF(AY2465&gt;=150%,150%,AY2465) + (IF(AW2465&gt;=150%,150%,AW2465) + IF(BA2465&gt;=150%,150%,BA2465) + IF(BB2465&gt;=150%,150%,BB2465) + IF(BC2465&gt;=150%,150%,BC2465) + IF(BD2465&gt;=150%,150%,BD2465) + IF(BE2465&gt;=150%,150%,BE2465) + IF(BF2465&gt;=150%,150%,BF2465) + IF(BG2465&gt;=150%,150%,BG2465) + IF(BH2465&gt;=150%,150%,BH2465)))/_xlfn.XLOOKUP(F2465,Apuração!A:A,Apuração!B:B)&gt;=1.15,1.15,((IF(AW2465&gt;=150%,150%,AW2465) + IF(AX2465&gt;=150%,150%,AX2465) + IF(AY2465&gt;=150%,150%,AY2465) + (IF(AW2465&gt;=150%,150%,AW2465) + IF(BA2465&gt;=150%,150%,BA2465) + IF(BB2465&gt;=150%,150%,BB2465) + IF(BC2465&gt;=150%,150%,BC2465) + IF(BD2465&gt;=150%,150%,BD2465) + IF(BE2465&gt;=150%,150%,BE2465) + IF(BF2465&gt;=150%,150%,BF2465) + IF(BG2465&gt;=150%,150%,BG2465) + IF(BH2465&gt;=150%,150%,BH2465)))/_xlfn.XLOOKUP(F2465,Apuração!A:A,Apuração!B:B)))</f>
        <v>0.625</v>
      </c>
      <c r="BL2465" s="59" cm="1">
        <f t="array" aca="1" ref="BL2465" ca="1">IF(SUM(IFERROR(IF(INDEX(AW2465:INDEX(AW2465:BH2465, MATCH(2, 1/(AW2465:BH2465&lt;&gt;""), 1)-1), ROW(INDIRECT("1:" &amp; MATCH(2, 1/(AW2465:BH2465&lt;&gt;""), 1)-1))) &gt;= 150%, 150%, INDEX(AW2465:INDEX(AW2465:BH2465, MATCH(2, 1/(AW2465:BH2465&lt;&gt;""), 1)-1), ROW(INDIRECT("1:" &amp; MATCH(2, 1/(AW2465:BH2465&lt;&gt;""), 1)-1)))), 0))/_xlfn.XLOOKUP(F2465,Apuração!A:A,Apuração!B:B)&gt;=1.15,1.15,SUM(IFERROR(IF(INDEX(AW2465:INDEX(AW2465:BH2465, MATCH(2, 1/(AW2465:BH2465&lt;&gt;""), 1)-1), ROW(INDIRECT("1:" &amp; MATCH(2, 1/(AW2465:BH2465&lt;&gt;""), 1)-1))) &gt;= 150%, 150%, INDEX(AW2465:INDEX(AW2465:BH2465, MATCH(2, 1/(AW2465:BH2465&lt;&gt;""), 1)-1), ROW(INDIRECT("1:" &amp; MATCH(2, 1/(AW2465:BH2465&lt;&gt;""), 1)-1)))), 0))/_xlfn.XLOOKUP(F2465,Apuração!A:A,Apuração!B:B))</f>
        <v>0.5</v>
      </c>
      <c r="BM2465" s="55" cm="1">
        <f t="array" ref="BM2465">IFERROR(
   INDEX($AW$1:$BH$1,
      _xlfn.AGGREGATE(14, 6, COLUMN($AW$1:$BH$1)/(AW2465:BH2465&lt;&gt;""), 2) - COLUMN($AW$1) + 1
   ),
"")</f>
        <v>46113</v>
      </c>
      <c r="BN2465" s="55" cm="1">
        <f t="array" ref="BN2465">IFERROR(INDEX($AW$1:$BH$1,1,MATCH(2,1/(AW2465:BH2465&lt;&gt;""))),"")</f>
        <v>46143</v>
      </c>
      <c r="BO2465" s="53">
        <f ca="1">IFERROR(_xlfn.XLOOKUP(F2465,Apuração!A:A,Apuração!C:C)/_xlfn.XLOOKUP(F2465,Apuração!A:A,Apuração!B:B),0)</f>
        <v>0.41666666666666669</v>
      </c>
      <c r="BP2465" s="53">
        <f ca="1">IFERROR(_xlfn.XLOOKUP(F2465,Apuração!A:A,Apuração!D:D)/_xlfn.XLOOKUP(F2465,Apuração!A:A,Apuração!B:B),0)</f>
        <v>0.33333333333333331</v>
      </c>
      <c r="BQ2465" s="53">
        <f ca="1">IF(BK2465&gt;=BO2465,0,_xlfn.XLOOKUP(F2465,Apuração!A:A,Apuração!B:B)*(BO2465 + (1/_xlfn.XLOOKUP(F2465,Apuração!A:A,Apuração!B:B)) - BK2465))</f>
        <v>0</v>
      </c>
      <c r="BR2465" s="85">
        <f t="shared" ca="1" si="2957"/>
        <v>0</v>
      </c>
      <c r="BS2465" s="53">
        <f ca="1">IFERROR((_xlfn.XLOOKUP(F2465,Apuração!A:A,Apuração!C:C)+1)/_xlfn.XLOOKUP(F2465,Apuração!A:A,Apuração!B:B),0)</f>
        <v>0.5</v>
      </c>
    </row>
    <row r="2466" spans="1:71" ht="25.95" hidden="1" customHeight="1" x14ac:dyDescent="0.3">
      <c r="A2466" s="23" t="s">
        <v>134</v>
      </c>
      <c r="B2466" s="4" t="s">
        <v>150</v>
      </c>
      <c r="C2466" s="5" t="s">
        <v>221</v>
      </c>
      <c r="D2466" s="5" t="s">
        <v>212</v>
      </c>
      <c r="E2466" s="4" t="str" cm="1">
        <f t="array" ref="E2466">_xlfn.IFS(
F2466 = "A partir de Abril", "Aguardando Execução na Distribuidora",
A2466 = "CAPACITAÇÃO", "Em execução no Corporativo",
TRUE, "Em Execução na Distribuidora"
)</f>
        <v>Em Execução na Distribuidora</v>
      </c>
      <c r="F2466" s="4" t="str" cm="1">
        <f t="array" ref="F2466">_xlfn.IFS(
AG2466 &lt;&gt; "", "Jan-Dez/26",
AH2466 &lt;&gt; "", "Fev-Dez/26",
AI2466 &lt;&gt; "", "Mar-Dez/26", AJ2466 &lt;&gt; "", "Abr-Dez/26",
TRUE, "A partir de Junho"
)</f>
        <v>Jan-Dez/26</v>
      </c>
      <c r="G2466" s="4" t="s">
        <v>37</v>
      </c>
      <c r="H2466" s="7" t="s">
        <v>54</v>
      </c>
      <c r="I2466" s="8" t="s">
        <v>154</v>
      </c>
      <c r="J2466" s="8" t="str" cm="1">
        <f t="array" aca="1" ref="J2466" ca="1">_xlfn.LET(
  _xlpm.actual_value_month, INDEX(T2466:AE2466, MATCH(DATE(YEAR(TODAY()), MONTH(TODAY()), 1), $T$1:$AE$1, 0)),
  IF(_xlpm.actual_value_month &lt;&gt; "",_xlpm.actual_value_month &amp; " ações mensais", "")
)</f>
        <v/>
      </c>
      <c r="K2466" s="8" t="str" cm="1">
        <f t="array" ref="K2466">_xlfn.LET(
    _xlpm.sum_month, SUM(T2466:AE2466),
    IF(_xlpm.sum_month = 0, "", _xlpm.sum_month &amp; " presença de representantes no ano")
)</f>
        <v/>
      </c>
      <c r="L2466" s="9" t="s">
        <v>155</v>
      </c>
      <c r="M2466" s="24"/>
      <c r="N2466" s="67" t="s">
        <v>51</v>
      </c>
      <c r="O2466" s="111" t="s">
        <v>43</v>
      </c>
      <c r="P2466" s="10" t="s">
        <v>44</v>
      </c>
      <c r="Q2466" s="10" t="s">
        <v>72</v>
      </c>
      <c r="R2466" s="11" t="s">
        <v>44</v>
      </c>
      <c r="S2466" s="11" t="s">
        <v>44</v>
      </c>
      <c r="T2466" s="22"/>
      <c r="U2466" s="22"/>
      <c r="V2466" s="22"/>
      <c r="W2466" s="22"/>
      <c r="X2466" s="22"/>
      <c r="Y2466" s="22"/>
      <c r="Z2466" s="22"/>
      <c r="AA2466" s="22"/>
      <c r="AB2466" s="22"/>
      <c r="AC2466" s="22"/>
      <c r="AD2466" s="22"/>
      <c r="AE2466" s="22"/>
      <c r="AG2466" s="71">
        <v>22</v>
      </c>
      <c r="AH2466" s="71">
        <v>21</v>
      </c>
      <c r="AI2466" s="71">
        <v>22</v>
      </c>
      <c r="AJ2466" s="71">
        <v>22</v>
      </c>
      <c r="AK2466" s="71">
        <v>22</v>
      </c>
      <c r="AL2466" s="71"/>
      <c r="AM2466" s="71"/>
      <c r="AN2466" s="71"/>
      <c r="AO2466" s="71"/>
      <c r="AP2466" s="71"/>
      <c r="AQ2466" s="71"/>
      <c r="AR2466" s="71"/>
      <c r="AS2466" s="94">
        <f t="shared" ref="AS2466:AS2467" ca="1" si="3040">IF(MONTH(TODAY())=3,SUM(T2466:U2466),IF(MONTH(TODAY())=4,SUM(T2466:V2466),IF(MONTH(TODAY())=5,SUM(T2466:W2466),IF(MONTH(TODAY())=6,SUM(T2466:X2466),IF(MONTH(TODAY())=7,SUM(T2466:Y2466),IF(MONTH(TODAY())=8,SUM(T2466:Z2466),IF(MONTH(TODAY())=9,SUM(T2466:AA2466),IF(MONTH(TODAY())=10,SUM(T2466:AB2466),IF(MONTH(TODAY())=11,SUM(T2466:AC2466),IF(MONTH(TODAY())=12,SUM(T2466:AD2466),IF(MONTH(TODAY())=1,SUM(T2466:AE2466),T2466)))))))))))</f>
        <v>0</v>
      </c>
      <c r="AT2466" s="95">
        <f t="shared" ref="AT2466:AT2467" si="3041">SUM(AG2466:AR2466)</f>
        <v>109</v>
      </c>
      <c r="AU2466" s="97">
        <f t="shared" ref="AU2466:AU2467" si="3042">SUM(AG2466:AR2466)</f>
        <v>109</v>
      </c>
      <c r="AW2466" s="83">
        <f t="shared" ref="AW2466:AW2467" si="3043">AG2466</f>
        <v>22</v>
      </c>
      <c r="AX2466" s="83">
        <f t="shared" ref="AX2466:AX2467" si="3044">AH2466</f>
        <v>21</v>
      </c>
      <c r="AY2466" s="83">
        <f t="shared" ref="AY2466:AY2467" si="3045">AI2466</f>
        <v>22</v>
      </c>
      <c r="AZ2466" s="83">
        <f t="shared" ref="AZ2466:BA2467" si="3046">AJ2466</f>
        <v>22</v>
      </c>
      <c r="BA2466" s="83">
        <f t="shared" si="3046"/>
        <v>22</v>
      </c>
      <c r="BB2466" s="52"/>
      <c r="BC2466" s="52"/>
      <c r="BD2466" s="52"/>
      <c r="BE2466" s="52"/>
      <c r="BF2466" s="52"/>
      <c r="BG2466" s="52"/>
      <c r="BH2466" s="52"/>
      <c r="BI2466" s="68" cm="1">
        <f t="array" ref="BI2466">IFERROR(INDEX(AW2466:BH2466,1,MATCH(2,1/(AW2466:BH2466&lt;&gt;""))),"")</f>
        <v>22</v>
      </c>
      <c r="BJ2466" s="68" cm="1">
        <f t="array" ref="BJ2466">IF(BM2466 = "", "",IFERROR(INDEX(AW2466:BH2466,1,MATCH(2,1/(AW2466:BH2466&lt;&gt;""),1)-1),""))</f>
        <v>22</v>
      </c>
      <c r="BK2466" s="59">
        <f>IF((IF(AW2466&gt;=150%,150%,AW2466) + IF(AX2466&gt;=150%,150%,AX2466) + IF(AY2466&gt;=150%,150%,AY2466) + (IF(AW2466&gt;=150%,150%,AW2466) + IF(BA2466&gt;=150%,150%,BA2466) + IF(BB2466&gt;=150%,150%,BB2466) + IF(BC2466&gt;=150%,150%,BC2466) + IF(BD2466&gt;=150%,150%,BD2466) + IF(BE2466&gt;=150%,150%,BE2466) + IF(BF2466&gt;=150%,150%,BF2466) + IF(BG2466&gt;=150%,150%,BG2466) + IF(BH2466&gt;=150%,150%,BH2466)))/_xlfn.XLOOKUP(F2466,Apuração!A:A,Apuração!B:B)&gt;=1.15,1.15,((IF(AW2466&gt;=150%,150%,AW2466) + IF(AX2466&gt;=150%,150%,AX2466) + IF(AY2466&gt;=150%,150%,AY2466) + (IF(AW2466&gt;=150%,150%,AW2466) + IF(BA2466&gt;=150%,150%,BA2466) + IF(BB2466&gt;=150%,150%,BB2466) + IF(BC2466&gt;=150%,150%,BC2466) + IF(BD2466&gt;=150%,150%,BD2466) + IF(BE2466&gt;=150%,150%,BE2466) + IF(BF2466&gt;=150%,150%,BF2466) + IF(BG2466&gt;=150%,150%,BG2466) + IF(BH2466&gt;=150%,150%,BH2466)))/_xlfn.XLOOKUP(F2466,Apuração!A:A,Apuração!B:B)))</f>
        <v>0.625</v>
      </c>
      <c r="BL2466" s="59" cm="1">
        <f t="array" aca="1" ref="BL2466" ca="1">IF(SUM(IFERROR(IF(INDEX(AW2466:INDEX(AW2466:BH2466, MATCH(2, 1/(AW2466:BH2466&lt;&gt;""), 1)-1), ROW(INDIRECT("1:" &amp; MATCH(2, 1/(AW2466:BH2466&lt;&gt;""), 1)-1))) &gt;= 150%, 150%, INDEX(AW2466:INDEX(AW2466:BH2466, MATCH(2, 1/(AW2466:BH2466&lt;&gt;""), 1)-1), ROW(INDIRECT("1:" &amp; MATCH(2, 1/(AW2466:BH2466&lt;&gt;""), 1)-1)))), 0))/_xlfn.XLOOKUP(F2466,Apuração!A:A,Apuração!B:B)&gt;=1.15,1.15,SUM(IFERROR(IF(INDEX(AW2466:INDEX(AW2466:BH2466, MATCH(2, 1/(AW2466:BH2466&lt;&gt;""), 1)-1), ROW(INDIRECT("1:" &amp; MATCH(2, 1/(AW2466:BH2466&lt;&gt;""), 1)-1))) &gt;= 150%, 150%, INDEX(AW2466:INDEX(AW2466:BH2466, MATCH(2, 1/(AW2466:BH2466&lt;&gt;""), 1)-1), ROW(INDIRECT("1:" &amp; MATCH(2, 1/(AW2466:BH2466&lt;&gt;""), 1)-1)))), 0))/_xlfn.XLOOKUP(F2466,Apuração!A:A,Apuração!B:B))</f>
        <v>0.5</v>
      </c>
      <c r="BM2466" s="55" cm="1">
        <f t="array" ref="BM2466">IFERROR(
   INDEX($AW$1:$BH$1,
      _xlfn.AGGREGATE(14, 6, COLUMN($AW$1:$BH$1)/(AW2466:BH2466&lt;&gt;""), 2) - COLUMN($AW$1) + 1
   ),
"")</f>
        <v>46113</v>
      </c>
      <c r="BN2466" s="55" cm="1">
        <f t="array" ref="BN2466">IFERROR(INDEX($AW$1:$BH$1,1,MATCH(2,1/(AW2466:BH2466&lt;&gt;""))),"")</f>
        <v>46143</v>
      </c>
      <c r="BO2466" s="53">
        <f ca="1">IFERROR(_xlfn.XLOOKUP(F2466,Apuração!A:A,Apuração!C:C)/_xlfn.XLOOKUP(F2466,Apuração!A:A,Apuração!B:B),0)</f>
        <v>0.41666666666666669</v>
      </c>
      <c r="BP2466" s="53">
        <f ca="1">IFERROR(_xlfn.XLOOKUP(F2466,Apuração!A:A,Apuração!D:D)/_xlfn.XLOOKUP(F2466,Apuração!A:A,Apuração!B:B),0)</f>
        <v>0.33333333333333331</v>
      </c>
      <c r="BQ2466" s="53">
        <f ca="1">IF(BK2466&gt;=BO2466,0,_xlfn.XLOOKUP(F2466,Apuração!A:A,Apuração!B:B)*(BO2466 + (1/_xlfn.XLOOKUP(F2466,Apuração!A:A,Apuração!B:B)) - BK2466))</f>
        <v>0</v>
      </c>
      <c r="BR2466" s="85">
        <f t="shared" ref="BR2466:BR2467" ca="1" si="3047">IF(BQ2466=0,0,BQ2466*Z2466)</f>
        <v>0</v>
      </c>
      <c r="BS2466" s="53">
        <f ca="1">IFERROR((_xlfn.XLOOKUP(F2466,Apuração!A:A,Apuração!C:C)+1)/_xlfn.XLOOKUP(F2466,Apuração!A:A,Apuração!B:B),0)</f>
        <v>0.5</v>
      </c>
    </row>
    <row r="2467" spans="1:71" ht="25.95" hidden="1" customHeight="1" x14ac:dyDescent="0.3">
      <c r="A2467" s="23" t="s">
        <v>134</v>
      </c>
      <c r="B2467" s="4" t="s">
        <v>150</v>
      </c>
      <c r="C2467" s="5" t="s">
        <v>221</v>
      </c>
      <c r="D2467" s="5" t="s">
        <v>213</v>
      </c>
      <c r="E2467" s="4" t="str" cm="1">
        <f t="array" ref="E2467">_xlfn.IFS(
F2467 = "A partir de Abril", "Aguardando Execução na Distribuidora",
A2467 = "CAPACITAÇÃO", "Em execução no Corporativo",
TRUE, "Em Execução na Distribuidora"
)</f>
        <v>Em Execução na Distribuidora</v>
      </c>
      <c r="F2467" s="4" t="str" cm="1">
        <f t="array" ref="F2467">_xlfn.IFS(
AG2467 &lt;&gt; "", "Jan-Dez/26",
AH2467 &lt;&gt; "", "Fev-Dez/26",
AI2467 &lt;&gt; "", "Mar-Dez/26", AJ2467 &lt;&gt; "", "Abr-Dez/26",
TRUE, "A partir de Junho"
)</f>
        <v>Jan-Dez/26</v>
      </c>
      <c r="G2467" s="4" t="s">
        <v>37</v>
      </c>
      <c r="H2467" s="7" t="s">
        <v>54</v>
      </c>
      <c r="I2467" s="8" t="s">
        <v>154</v>
      </c>
      <c r="J2467" s="8" t="str" cm="1">
        <f t="array" aca="1" ref="J2467" ca="1">_xlfn.LET(
  _xlpm.actual_value_month, INDEX(T2467:AE2467, MATCH(DATE(YEAR(TODAY()), MONTH(TODAY()), 1), $T$1:$AE$1, 0)),
  IF(_xlpm.actual_value_month &lt;&gt; "",_xlpm.actual_value_month &amp; " ações mensais", "")
)</f>
        <v/>
      </c>
      <c r="K2467" s="8" t="str" cm="1">
        <f t="array" ref="K2467">_xlfn.LET(
    _xlpm.sum_month, SUM(T2467:AE2467),
    IF(_xlpm.sum_month = 0, "", _xlpm.sum_month &amp; " presença de representantes no ano")
)</f>
        <v/>
      </c>
      <c r="L2467" s="9" t="s">
        <v>155</v>
      </c>
      <c r="M2467" s="24"/>
      <c r="N2467" s="67" t="s">
        <v>51</v>
      </c>
      <c r="O2467" s="111" t="s">
        <v>43</v>
      </c>
      <c r="P2467" s="10" t="s">
        <v>44</v>
      </c>
      <c r="Q2467" s="10" t="s">
        <v>72</v>
      </c>
      <c r="R2467" s="11" t="s">
        <v>44</v>
      </c>
      <c r="S2467" s="11" t="s">
        <v>44</v>
      </c>
      <c r="T2467" s="22"/>
      <c r="U2467" s="22"/>
      <c r="V2467" s="22"/>
      <c r="W2467" s="22"/>
      <c r="X2467" s="22"/>
      <c r="Y2467" s="22"/>
      <c r="Z2467" s="22"/>
      <c r="AA2467" s="22"/>
      <c r="AB2467" s="22"/>
      <c r="AC2467" s="22"/>
      <c r="AD2467" s="22"/>
      <c r="AE2467" s="22"/>
      <c r="AG2467" s="71">
        <v>16</v>
      </c>
      <c r="AH2467" s="71">
        <v>17</v>
      </c>
      <c r="AI2467" s="71">
        <v>16</v>
      </c>
      <c r="AJ2467" s="71">
        <v>17</v>
      </c>
      <c r="AK2467" s="71">
        <v>16</v>
      </c>
      <c r="AL2467" s="71"/>
      <c r="AM2467" s="71"/>
      <c r="AN2467" s="71"/>
      <c r="AO2467" s="71"/>
      <c r="AP2467" s="71"/>
      <c r="AQ2467" s="71"/>
      <c r="AR2467" s="71"/>
      <c r="AS2467" s="94">
        <f t="shared" ca="1" si="3040"/>
        <v>0</v>
      </c>
      <c r="AT2467" s="95">
        <f t="shared" si="3041"/>
        <v>82</v>
      </c>
      <c r="AU2467" s="97">
        <f t="shared" si="3042"/>
        <v>82</v>
      </c>
      <c r="AW2467" s="83">
        <f t="shared" si="3043"/>
        <v>16</v>
      </c>
      <c r="AX2467" s="83">
        <f t="shared" si="3044"/>
        <v>17</v>
      </c>
      <c r="AY2467" s="83">
        <f t="shared" si="3045"/>
        <v>16</v>
      </c>
      <c r="AZ2467" s="83">
        <f t="shared" si="3046"/>
        <v>17</v>
      </c>
      <c r="BA2467" s="83">
        <f t="shared" si="3046"/>
        <v>16</v>
      </c>
      <c r="BB2467" s="52"/>
      <c r="BC2467" s="52"/>
      <c r="BD2467" s="52"/>
      <c r="BE2467" s="52"/>
      <c r="BF2467" s="52"/>
      <c r="BG2467" s="52"/>
      <c r="BH2467" s="52"/>
      <c r="BI2467" s="68" cm="1">
        <f t="array" ref="BI2467">IFERROR(INDEX(AW2467:BH2467,1,MATCH(2,1/(AW2467:BH2467&lt;&gt;""))),"")</f>
        <v>16</v>
      </c>
      <c r="BJ2467" s="68" cm="1">
        <f t="array" ref="BJ2467">IF(BM2467 = "", "",IFERROR(INDEX(AW2467:BH2467,1,MATCH(2,1/(AW2467:BH2467&lt;&gt;""),1)-1),""))</f>
        <v>17</v>
      </c>
      <c r="BK2467" s="59">
        <f>IF((IF(AW2467&gt;=150%,150%,AW2467) + IF(AX2467&gt;=150%,150%,AX2467) + IF(AY2467&gt;=150%,150%,AY2467) + (IF(AW2467&gt;=150%,150%,AW2467) + IF(BA2467&gt;=150%,150%,BA2467) + IF(BB2467&gt;=150%,150%,BB2467) + IF(BC2467&gt;=150%,150%,BC2467) + IF(BD2467&gt;=150%,150%,BD2467) + IF(BE2467&gt;=150%,150%,BE2467) + IF(BF2467&gt;=150%,150%,BF2467) + IF(BG2467&gt;=150%,150%,BG2467) + IF(BH2467&gt;=150%,150%,BH2467)))/_xlfn.XLOOKUP(F2467,Apuração!A:A,Apuração!B:B)&gt;=1.15,1.15,((IF(AW2467&gt;=150%,150%,AW2467) + IF(AX2467&gt;=150%,150%,AX2467) + IF(AY2467&gt;=150%,150%,AY2467) + (IF(AW2467&gt;=150%,150%,AW2467) + IF(BA2467&gt;=150%,150%,BA2467) + IF(BB2467&gt;=150%,150%,BB2467) + IF(BC2467&gt;=150%,150%,BC2467) + IF(BD2467&gt;=150%,150%,BD2467) + IF(BE2467&gt;=150%,150%,BE2467) + IF(BF2467&gt;=150%,150%,BF2467) + IF(BG2467&gt;=150%,150%,BG2467) + IF(BH2467&gt;=150%,150%,BH2467)))/_xlfn.XLOOKUP(F2467,Apuração!A:A,Apuração!B:B)))</f>
        <v>0.625</v>
      </c>
      <c r="BL2467" s="59" cm="1">
        <f t="array" aca="1" ref="BL2467" ca="1">IF(SUM(IFERROR(IF(INDEX(AW2467:INDEX(AW2467:BH2467, MATCH(2, 1/(AW2467:BH2467&lt;&gt;""), 1)-1), ROW(INDIRECT("1:" &amp; MATCH(2, 1/(AW2467:BH2467&lt;&gt;""), 1)-1))) &gt;= 150%, 150%, INDEX(AW2467:INDEX(AW2467:BH2467, MATCH(2, 1/(AW2467:BH2467&lt;&gt;""), 1)-1), ROW(INDIRECT("1:" &amp; MATCH(2, 1/(AW2467:BH2467&lt;&gt;""), 1)-1)))), 0))/_xlfn.XLOOKUP(F2467,Apuração!A:A,Apuração!B:B)&gt;=1.15,1.15,SUM(IFERROR(IF(INDEX(AW2467:INDEX(AW2467:BH2467, MATCH(2, 1/(AW2467:BH2467&lt;&gt;""), 1)-1), ROW(INDIRECT("1:" &amp; MATCH(2, 1/(AW2467:BH2467&lt;&gt;""), 1)-1))) &gt;= 150%, 150%, INDEX(AW2467:INDEX(AW2467:BH2467, MATCH(2, 1/(AW2467:BH2467&lt;&gt;""), 1)-1), ROW(INDIRECT("1:" &amp; MATCH(2, 1/(AW2467:BH2467&lt;&gt;""), 1)-1)))), 0))/_xlfn.XLOOKUP(F2467,Apuração!A:A,Apuração!B:B))</f>
        <v>0.5</v>
      </c>
      <c r="BM2467" s="55" cm="1">
        <f t="array" ref="BM2467">IFERROR(
   INDEX($AW$1:$BH$1,
      _xlfn.AGGREGATE(14, 6, COLUMN($AW$1:$BH$1)/(AW2467:BH2467&lt;&gt;""), 2) - COLUMN($AW$1) + 1
   ),
"")</f>
        <v>46113</v>
      </c>
      <c r="BN2467" s="55" cm="1">
        <f t="array" ref="BN2467">IFERROR(INDEX($AW$1:$BH$1,1,MATCH(2,1/(AW2467:BH2467&lt;&gt;""))),"")</f>
        <v>46143</v>
      </c>
      <c r="BO2467" s="53">
        <f ca="1">IFERROR(_xlfn.XLOOKUP(F2467,Apuração!A:A,Apuração!C:C)/_xlfn.XLOOKUP(F2467,Apuração!A:A,Apuração!B:B),0)</f>
        <v>0.41666666666666669</v>
      </c>
      <c r="BP2467" s="53">
        <f ca="1">IFERROR(_xlfn.XLOOKUP(F2467,Apuração!A:A,Apuração!D:D)/_xlfn.XLOOKUP(F2467,Apuração!A:A,Apuração!B:B),0)</f>
        <v>0.33333333333333331</v>
      </c>
      <c r="BQ2467" s="53">
        <f ca="1">IF(BK2467&gt;=BO2467,0,_xlfn.XLOOKUP(F2467,Apuração!A:A,Apuração!B:B)*(BO2467 + (1/_xlfn.XLOOKUP(F2467,Apuração!A:A,Apuração!B:B)) - BK2467))</f>
        <v>0</v>
      </c>
      <c r="BR2467" s="85">
        <f t="shared" ca="1" si="3047"/>
        <v>0</v>
      </c>
      <c r="BS2467" s="53">
        <f ca="1">IFERROR((_xlfn.XLOOKUP(F2467,Apuração!A:A,Apuração!C:C)+1)/_xlfn.XLOOKUP(F2467,Apuração!A:A,Apuração!B:B),0)</f>
        <v>0.5</v>
      </c>
    </row>
    <row r="2468" spans="1:71" ht="25.95" hidden="1" customHeight="1" x14ac:dyDescent="0.3">
      <c r="A2468" s="43" t="s">
        <v>134</v>
      </c>
      <c r="B2468" s="15" t="s">
        <v>150</v>
      </c>
      <c r="C2468" s="5" t="s">
        <v>221</v>
      </c>
      <c r="D2468" s="5" t="s">
        <v>36</v>
      </c>
      <c r="E2468" s="4" t="str" cm="1">
        <f t="array" ref="E2468">_xlfn.IFS(
F2468 = "A partir de Abril", "Aguardando Execução na Distribuidora",
A2468 = "CAPACITAÇÃO", "Em execução no Corporativo",
TRUE, "Em Execução na Distribuidora"
)</f>
        <v>Em Execução na Distribuidora</v>
      </c>
      <c r="F2468" s="4" t="str" cm="1">
        <f t="array" ref="F2468">_xlfn.IFS(
AG2468 &lt;&gt; "", "Jan-Dez/26",
AH2468 &lt;&gt; "", "Fev-Dez/26",
AI2468 &lt;&gt; "", "Mar-Dez/26", AJ2468 &lt;&gt; "", "Abr-Dez/26",
TRUE, "A partir de Junho"
)</f>
        <v>Jan-Dez/26</v>
      </c>
      <c r="G2468" s="4" t="s">
        <v>37</v>
      </c>
      <c r="H2468" s="27" t="s">
        <v>54</v>
      </c>
      <c r="I2468" s="28" t="s">
        <v>156</v>
      </c>
      <c r="J2468" s="8" t="str" cm="1">
        <f t="array" aca="1" ref="J2468" ca="1">_xlfn.LET(
  _xlpm.actual_value_month, INDEX(T2468:AE2468, MATCH(DATE(YEAR(TODAY()), MONTH(TODAY()), 1), $T$1:$AE$1, 0)),
  IF(_xlpm.actual_value_month &lt;&gt; "",_xlpm.actual_value_month &amp; " ações mensais", "")
)</f>
        <v/>
      </c>
      <c r="K2468" s="8" t="str" cm="1">
        <f t="array" ref="K2468">_xlfn.LET(
    _xlpm.sum_month, SUM(T2468:AE2468),
    IF(_xlpm.sum_month = 0, "", _xlpm.sum_month &amp; " atividades no ano")
)</f>
        <v/>
      </c>
      <c r="L2468" s="15" t="s">
        <v>157</v>
      </c>
      <c r="M2468" s="30">
        <v>1</v>
      </c>
      <c r="N2468" s="67" t="s">
        <v>51</v>
      </c>
      <c r="O2468" s="26" t="s">
        <v>52</v>
      </c>
      <c r="P2468" s="31" t="s">
        <v>44</v>
      </c>
      <c r="Q2468" s="31" t="s">
        <v>44</v>
      </c>
      <c r="R2468" s="32" t="s">
        <v>44</v>
      </c>
      <c r="S2468" s="32" t="s">
        <v>44</v>
      </c>
      <c r="T2468" s="22"/>
      <c r="U2468" s="22"/>
      <c r="V2468" s="22"/>
      <c r="W2468" s="22"/>
      <c r="X2468" s="22"/>
      <c r="Y2468" s="22"/>
      <c r="Z2468" s="22"/>
      <c r="AA2468" s="22"/>
      <c r="AB2468" s="22"/>
      <c r="AC2468" s="22"/>
      <c r="AD2468" s="22"/>
      <c r="AE2468" s="22"/>
      <c r="AG2468" s="71">
        <f>173+57</f>
        <v>230</v>
      </c>
      <c r="AH2468" s="71">
        <f>124+59</f>
        <v>183</v>
      </c>
      <c r="AI2468" s="71">
        <f>111+165</f>
        <v>276</v>
      </c>
      <c r="AJ2468" s="71">
        <v>261</v>
      </c>
      <c r="AK2468" s="71">
        <v>276</v>
      </c>
      <c r="AL2468" s="71"/>
      <c r="AM2468" s="71"/>
      <c r="AN2468" s="71"/>
      <c r="AO2468" s="71"/>
      <c r="AP2468" s="71"/>
      <c r="AQ2468" s="71"/>
      <c r="AR2468" s="71"/>
      <c r="AS2468" s="94">
        <f t="shared" ca="1" si="2977"/>
        <v>0</v>
      </c>
      <c r="AT2468" s="95">
        <f>SUM(AG2468:AR2468)</f>
        <v>1226</v>
      </c>
      <c r="AU2468" s="97">
        <f t="shared" si="2978"/>
        <v>1226</v>
      </c>
      <c r="AW2468" s="83">
        <f t="shared" si="3031"/>
        <v>230</v>
      </c>
      <c r="AX2468" s="83">
        <f t="shared" si="3031"/>
        <v>183</v>
      </c>
      <c r="AY2468" s="83">
        <f t="shared" si="3031"/>
        <v>276</v>
      </c>
      <c r="AZ2468" s="83">
        <f t="shared" si="3031"/>
        <v>261</v>
      </c>
      <c r="BA2468" s="83">
        <f t="shared" si="3031"/>
        <v>276</v>
      </c>
      <c r="BB2468" s="52"/>
      <c r="BC2468" s="52"/>
      <c r="BD2468" s="52"/>
      <c r="BE2468" s="52"/>
      <c r="BF2468" s="52"/>
      <c r="BG2468" s="52"/>
      <c r="BH2468" s="52"/>
      <c r="BI2468" s="68" cm="1">
        <f t="array" ref="BI2468">IFERROR(INDEX(AW2468:BH2468,1,MATCH(2,1/(AW2468:BH2468&lt;&gt;""))),"")</f>
        <v>276</v>
      </c>
      <c r="BJ2468" s="68" cm="1">
        <f t="array" ref="BJ2468">IF(BM2468 = "", "",IFERROR(INDEX(AW2468:BH2468,1,MATCH(2,1/(AW2468:BH2468&lt;&gt;""),1)-1),""))</f>
        <v>261</v>
      </c>
      <c r="BK2468" s="59">
        <f>SUM(AW2468:BH2468)</f>
        <v>1226</v>
      </c>
      <c r="BL2468" s="59" cm="1">
        <f t="array" ref="BL2468">IFERROR(SUM(AW2468:INDEX(AW2468:BH2468, MATCH(2, 1/(AW2468:BH2468&lt;&gt;""), 1) - 1))/_xlfn.XLOOKUP(F2468,Apuração!A:A,Apuração!B:B),0)</f>
        <v>79.166666666666671</v>
      </c>
      <c r="BM2468" s="55" cm="1">
        <f t="array" ref="BM2468">IFERROR(
   INDEX($AW$1:$BH$1,
      _xlfn.AGGREGATE(14, 6, COLUMN($AW$1:$BH$1)/(AW2468:BH2468&lt;&gt;""), 2) - COLUMN($AW$1) + 1
   ),
"")</f>
        <v>46113</v>
      </c>
      <c r="BN2468" s="55" cm="1">
        <f t="array" ref="BN2468">IFERROR(INDEX($AW$1:$BH$1,1,MATCH(2,1/(AW2468:BH2468&lt;&gt;""))),"")</f>
        <v>46143</v>
      </c>
      <c r="BO2468" s="53">
        <f ca="1">IFERROR(_xlfn.XLOOKUP(F2468,Apuração!A:A,Apuração!C:C)/_xlfn.XLOOKUP(F2468,Apuração!A:A,Apuração!B:B),0)</f>
        <v>0.41666666666666669</v>
      </c>
      <c r="BP2468" s="53">
        <f ca="1">IFERROR(_xlfn.XLOOKUP(F2468,Apuração!A:A,Apuração!D:D)/_xlfn.XLOOKUP(F2468,Apuração!A:A,Apuração!B:B),0)</f>
        <v>0.33333333333333331</v>
      </c>
      <c r="BQ2468" s="53">
        <f ca="1">IF(BK2468&gt;=BO2468,0,_xlfn.XLOOKUP(F2468,Apuração!A:A,Apuração!B:B)*(BO2468 + (1/_xlfn.XLOOKUP(F2468,Apuração!A:A,Apuração!B:B)) - BK2468))</f>
        <v>0</v>
      </c>
      <c r="BR2468" s="85">
        <f t="shared" ca="1" si="2957"/>
        <v>0</v>
      </c>
      <c r="BS2468" s="53">
        <f ca="1">IFERROR((_xlfn.XLOOKUP(F2468,Apuração!A:A,Apuração!C:C)+1)/_xlfn.XLOOKUP(F2468,Apuração!A:A,Apuração!B:B),0)</f>
        <v>0.5</v>
      </c>
    </row>
    <row r="2469" spans="1:71" ht="25.95" hidden="1" customHeight="1" x14ac:dyDescent="0.3">
      <c r="A2469" s="43" t="s">
        <v>134</v>
      </c>
      <c r="B2469" s="15" t="s">
        <v>150</v>
      </c>
      <c r="C2469" s="5" t="s">
        <v>221</v>
      </c>
      <c r="D2469" s="5" t="s">
        <v>212</v>
      </c>
      <c r="E2469" s="4" t="str" cm="1">
        <f t="array" ref="E2469">_xlfn.IFS(
F2469 = "A partir de Abril", "Aguardando Execução na Distribuidora",
A2469 = "CAPACITAÇÃO", "Em execução no Corporativo",
TRUE, "Em Execução na Distribuidora"
)</f>
        <v>Em Execução na Distribuidora</v>
      </c>
      <c r="F2469" s="4" t="str" cm="1">
        <f t="array" ref="F2469">_xlfn.IFS(
AG2469 &lt;&gt; "", "Jan-Dez/26",
AH2469 &lt;&gt; "", "Fev-Dez/26",
AI2469 &lt;&gt; "", "Mar-Dez/26", AJ2469 &lt;&gt; "", "Abr-Dez/26",
TRUE, "A partir de Junho"
)</f>
        <v>Jan-Dez/26</v>
      </c>
      <c r="G2469" s="4" t="s">
        <v>37</v>
      </c>
      <c r="H2469" s="27" t="s">
        <v>54</v>
      </c>
      <c r="I2469" s="28" t="s">
        <v>156</v>
      </c>
      <c r="J2469" s="8" t="str" cm="1">
        <f t="array" aca="1" ref="J2469" ca="1">_xlfn.LET(
  _xlpm.actual_value_month, INDEX(T2469:AE2469, MATCH(DATE(YEAR(TODAY()), MONTH(TODAY()), 1), $T$1:$AE$1, 0)),
  IF(_xlpm.actual_value_month &lt;&gt; "",_xlpm.actual_value_month &amp; " ações mensais", "")
)</f>
        <v/>
      </c>
      <c r="K2469" s="8" t="str" cm="1">
        <f t="array" ref="K2469">_xlfn.LET(
    _xlpm.sum_month, SUM(T2469:AE2469),
    IF(_xlpm.sum_month = 0, "", _xlpm.sum_month &amp; " atividades no ano")
)</f>
        <v/>
      </c>
      <c r="L2469" s="15" t="s">
        <v>157</v>
      </c>
      <c r="M2469" s="30">
        <v>1</v>
      </c>
      <c r="N2469" s="67" t="s">
        <v>51</v>
      </c>
      <c r="O2469" s="26" t="s">
        <v>52</v>
      </c>
      <c r="P2469" s="31" t="s">
        <v>44</v>
      </c>
      <c r="Q2469" s="31" t="s">
        <v>44</v>
      </c>
      <c r="R2469" s="32" t="s">
        <v>44</v>
      </c>
      <c r="S2469" s="32" t="s">
        <v>44</v>
      </c>
      <c r="T2469" s="22"/>
      <c r="U2469" s="22"/>
      <c r="V2469" s="22"/>
      <c r="W2469" s="22"/>
      <c r="X2469" s="22"/>
      <c r="Y2469" s="22"/>
      <c r="Z2469" s="22"/>
      <c r="AA2469" s="22"/>
      <c r="AB2469" s="22"/>
      <c r="AC2469" s="22"/>
      <c r="AD2469" s="22"/>
      <c r="AE2469" s="22"/>
      <c r="AG2469" s="71">
        <v>173</v>
      </c>
      <c r="AH2469" s="71">
        <v>124</v>
      </c>
      <c r="AI2469" s="71">
        <v>165</v>
      </c>
      <c r="AJ2469" s="71">
        <v>164</v>
      </c>
      <c r="AK2469" s="71">
        <v>165</v>
      </c>
      <c r="AL2469" s="71"/>
      <c r="AM2469" s="71"/>
      <c r="AN2469" s="71"/>
      <c r="AO2469" s="71"/>
      <c r="AP2469" s="71"/>
      <c r="AQ2469" s="71"/>
      <c r="AR2469" s="71"/>
      <c r="AS2469" s="94">
        <f t="shared" ref="AS2469:AS2470" ca="1" si="3048">IF(MONTH(TODAY())=3,SUM(T2469:U2469),IF(MONTH(TODAY())=4,SUM(T2469:V2469),IF(MONTH(TODAY())=5,SUM(T2469:W2469),IF(MONTH(TODAY())=6,SUM(T2469:X2469),IF(MONTH(TODAY())=7,SUM(T2469:Y2469),IF(MONTH(TODAY())=8,SUM(T2469:Z2469),IF(MONTH(TODAY())=9,SUM(T2469:AA2469),IF(MONTH(TODAY())=10,SUM(T2469:AB2469),IF(MONTH(TODAY())=11,SUM(T2469:AC2469),IF(MONTH(TODAY())=12,SUM(T2469:AD2469),IF(MONTH(TODAY())=1,SUM(T2469:AE2469),T2469)))))))))))</f>
        <v>0</v>
      </c>
      <c r="AT2469" s="95">
        <f t="shared" ref="AT2469:AT2470" si="3049">SUM(AG2469:AR2469)</f>
        <v>791</v>
      </c>
      <c r="AU2469" s="97">
        <f t="shared" ref="AU2469:AU2470" si="3050">SUM(AG2469:AR2469)</f>
        <v>791</v>
      </c>
      <c r="AW2469" s="83">
        <f t="shared" ref="AW2469:AW2470" si="3051">AG2469</f>
        <v>173</v>
      </c>
      <c r="AX2469" s="83">
        <f t="shared" ref="AX2469:AX2470" si="3052">AH2469</f>
        <v>124</v>
      </c>
      <c r="AY2469" s="83">
        <f t="shared" ref="AY2469:AY2470" si="3053">AI2469</f>
        <v>165</v>
      </c>
      <c r="AZ2469" s="83">
        <f t="shared" ref="AZ2469:BA2470" si="3054">AJ2469</f>
        <v>164</v>
      </c>
      <c r="BA2469" s="83">
        <f t="shared" si="3054"/>
        <v>165</v>
      </c>
      <c r="BB2469" s="52"/>
      <c r="BC2469" s="52"/>
      <c r="BD2469" s="52"/>
      <c r="BE2469" s="52"/>
      <c r="BF2469" s="52"/>
      <c r="BG2469" s="52"/>
      <c r="BH2469" s="52"/>
      <c r="BI2469" s="68" cm="1">
        <f t="array" ref="BI2469">IFERROR(INDEX(AW2469:BH2469,1,MATCH(2,1/(AW2469:BH2469&lt;&gt;""))),"")</f>
        <v>165</v>
      </c>
      <c r="BJ2469" s="68" cm="1">
        <f t="array" ref="BJ2469">IF(BM2469 = "", "",IFERROR(INDEX(AW2469:BH2469,1,MATCH(2,1/(AW2469:BH2469&lt;&gt;""),1)-1),""))</f>
        <v>164</v>
      </c>
      <c r="BK2469" s="59">
        <f t="shared" ref="BK2469:BK2470" si="3055">SUM(AW2469:BH2469)</f>
        <v>791</v>
      </c>
      <c r="BL2469" s="59" cm="1">
        <f t="array" ref="BL2469">IFERROR(SUM(AW2469:INDEX(AW2469:BH2469, MATCH(2, 1/(AW2469:BH2469&lt;&gt;""), 1) - 1))/_xlfn.XLOOKUP(F2469,Apuração!A:A,Apuração!B:B),0)</f>
        <v>52.166666666666664</v>
      </c>
      <c r="BM2469" s="55" cm="1">
        <f t="array" ref="BM2469">IFERROR(
   INDEX($AW$1:$BH$1,
      _xlfn.AGGREGATE(14, 6, COLUMN($AW$1:$BH$1)/(AW2469:BH2469&lt;&gt;""), 2) - COLUMN($AW$1) + 1
   ),
"")</f>
        <v>46113</v>
      </c>
      <c r="BN2469" s="55" cm="1">
        <f t="array" ref="BN2469">IFERROR(INDEX($AW$1:$BH$1,1,MATCH(2,1/(AW2469:BH2469&lt;&gt;""))),"")</f>
        <v>46143</v>
      </c>
      <c r="BO2469" s="53">
        <f ca="1">IFERROR(_xlfn.XLOOKUP(F2469,Apuração!A:A,Apuração!C:C)/_xlfn.XLOOKUP(F2469,Apuração!A:A,Apuração!B:B),0)</f>
        <v>0.41666666666666669</v>
      </c>
      <c r="BP2469" s="53">
        <f ca="1">IFERROR(_xlfn.XLOOKUP(F2469,Apuração!A:A,Apuração!D:D)/_xlfn.XLOOKUP(F2469,Apuração!A:A,Apuração!B:B),0)</f>
        <v>0.33333333333333331</v>
      </c>
      <c r="BQ2469" s="53">
        <f ca="1">IF(BK2469&gt;=BO2469,0,_xlfn.XLOOKUP(F2469,Apuração!A:A,Apuração!B:B)*(BO2469 + (1/_xlfn.XLOOKUP(F2469,Apuração!A:A,Apuração!B:B)) - BK2469))</f>
        <v>0</v>
      </c>
      <c r="BR2469" s="85">
        <f t="shared" ref="BR2469:BR2470" ca="1" si="3056">IF(BQ2469=0,0,BQ2469*Z2469)</f>
        <v>0</v>
      </c>
      <c r="BS2469" s="53">
        <f ca="1">IFERROR((_xlfn.XLOOKUP(F2469,Apuração!A:A,Apuração!C:C)+1)/_xlfn.XLOOKUP(F2469,Apuração!A:A,Apuração!B:B),0)</f>
        <v>0.5</v>
      </c>
    </row>
    <row r="2470" spans="1:71" ht="25.95" hidden="1" customHeight="1" x14ac:dyDescent="0.3">
      <c r="A2470" s="43" t="s">
        <v>134</v>
      </c>
      <c r="B2470" s="15" t="s">
        <v>150</v>
      </c>
      <c r="C2470" s="5" t="s">
        <v>221</v>
      </c>
      <c r="D2470" s="5" t="s">
        <v>213</v>
      </c>
      <c r="E2470" s="4" t="str" cm="1">
        <f t="array" ref="E2470">_xlfn.IFS(
F2470 = "A partir de Abril", "Aguardando Execução na Distribuidora",
A2470 = "CAPACITAÇÃO", "Em execução no Corporativo",
TRUE, "Em Execução na Distribuidora"
)</f>
        <v>Em Execução na Distribuidora</v>
      </c>
      <c r="F2470" s="4" t="str" cm="1">
        <f t="array" ref="F2470">_xlfn.IFS(
AG2470 &lt;&gt; "", "Jan-Dez/26",
AH2470 &lt;&gt; "", "Fev-Dez/26",
AI2470 &lt;&gt; "", "Mar-Dez/26", AJ2470 &lt;&gt; "", "Abr-Dez/26",
TRUE, "A partir de Junho"
)</f>
        <v>Jan-Dez/26</v>
      </c>
      <c r="G2470" s="4" t="s">
        <v>37</v>
      </c>
      <c r="H2470" s="27" t="s">
        <v>54</v>
      </c>
      <c r="I2470" s="28" t="s">
        <v>156</v>
      </c>
      <c r="J2470" s="8" t="str" cm="1">
        <f t="array" aca="1" ref="J2470" ca="1">_xlfn.LET(
  _xlpm.actual_value_month, INDEX(T2470:AE2470, MATCH(DATE(YEAR(TODAY()), MONTH(TODAY()), 1), $T$1:$AE$1, 0)),
  IF(_xlpm.actual_value_month &lt;&gt; "",_xlpm.actual_value_month &amp; " ações mensais", "")
)</f>
        <v/>
      </c>
      <c r="K2470" s="8" t="str" cm="1">
        <f t="array" ref="K2470">_xlfn.LET(
    _xlpm.sum_month, SUM(T2470:AE2470),
    IF(_xlpm.sum_month = 0, "", _xlpm.sum_month &amp; " atividades no ano")
)</f>
        <v/>
      </c>
      <c r="L2470" s="15" t="s">
        <v>157</v>
      </c>
      <c r="M2470" s="30">
        <v>1</v>
      </c>
      <c r="N2470" s="67" t="s">
        <v>51</v>
      </c>
      <c r="O2470" s="26" t="s">
        <v>52</v>
      </c>
      <c r="P2470" s="31" t="s">
        <v>44</v>
      </c>
      <c r="Q2470" s="31" t="s">
        <v>44</v>
      </c>
      <c r="R2470" s="32" t="s">
        <v>44</v>
      </c>
      <c r="S2470" s="32" t="s">
        <v>44</v>
      </c>
      <c r="T2470" s="22"/>
      <c r="U2470" s="22"/>
      <c r="V2470" s="22"/>
      <c r="W2470" s="22"/>
      <c r="X2470" s="22"/>
      <c r="Y2470" s="22"/>
      <c r="Z2470" s="22"/>
      <c r="AA2470" s="22"/>
      <c r="AB2470" s="22"/>
      <c r="AC2470" s="22"/>
      <c r="AD2470" s="22"/>
      <c r="AE2470" s="22"/>
      <c r="AG2470" s="71">
        <v>57</v>
      </c>
      <c r="AH2470" s="71">
        <v>59</v>
      </c>
      <c r="AI2470" s="71">
        <v>111</v>
      </c>
      <c r="AJ2470" s="71">
        <v>97</v>
      </c>
      <c r="AK2470" s="71">
        <v>111</v>
      </c>
      <c r="AL2470" s="71"/>
      <c r="AM2470" s="71"/>
      <c r="AN2470" s="71"/>
      <c r="AO2470" s="71"/>
      <c r="AP2470" s="71"/>
      <c r="AQ2470" s="71"/>
      <c r="AR2470" s="71"/>
      <c r="AS2470" s="94">
        <f t="shared" ca="1" si="3048"/>
        <v>0</v>
      </c>
      <c r="AT2470" s="95">
        <f t="shared" si="3049"/>
        <v>435</v>
      </c>
      <c r="AU2470" s="97">
        <f t="shared" si="3050"/>
        <v>435</v>
      </c>
      <c r="AW2470" s="83">
        <f t="shared" si="3051"/>
        <v>57</v>
      </c>
      <c r="AX2470" s="83">
        <f t="shared" si="3052"/>
        <v>59</v>
      </c>
      <c r="AY2470" s="83">
        <f t="shared" si="3053"/>
        <v>111</v>
      </c>
      <c r="AZ2470" s="83">
        <f t="shared" si="3054"/>
        <v>97</v>
      </c>
      <c r="BA2470" s="83">
        <f t="shared" si="3054"/>
        <v>111</v>
      </c>
      <c r="BB2470" s="52"/>
      <c r="BC2470" s="52"/>
      <c r="BD2470" s="52"/>
      <c r="BE2470" s="52"/>
      <c r="BF2470" s="52"/>
      <c r="BG2470" s="52"/>
      <c r="BH2470" s="52"/>
      <c r="BI2470" s="68" cm="1">
        <f t="array" ref="BI2470">IFERROR(INDEX(AW2470:BH2470,1,MATCH(2,1/(AW2470:BH2470&lt;&gt;""))),"")</f>
        <v>111</v>
      </c>
      <c r="BJ2470" s="68" cm="1">
        <f t="array" ref="BJ2470">IF(BM2470 = "", "",IFERROR(INDEX(AW2470:BH2470,1,MATCH(2,1/(AW2470:BH2470&lt;&gt;""),1)-1),""))</f>
        <v>97</v>
      </c>
      <c r="BK2470" s="59">
        <f t="shared" si="3055"/>
        <v>435</v>
      </c>
      <c r="BL2470" s="59" cm="1">
        <f t="array" ref="BL2470">IFERROR(SUM(AW2470:INDEX(AW2470:BH2470, MATCH(2, 1/(AW2470:BH2470&lt;&gt;""), 1) - 1))/_xlfn.XLOOKUP(F2470,Apuração!A:A,Apuração!B:B),0)</f>
        <v>27</v>
      </c>
      <c r="BM2470" s="55" cm="1">
        <f t="array" ref="BM2470">IFERROR(
   INDEX($AW$1:$BH$1,
      _xlfn.AGGREGATE(14, 6, COLUMN($AW$1:$BH$1)/(AW2470:BH2470&lt;&gt;""), 2) - COLUMN($AW$1) + 1
   ),
"")</f>
        <v>46113</v>
      </c>
      <c r="BN2470" s="55" cm="1">
        <f t="array" ref="BN2470">IFERROR(INDEX($AW$1:$BH$1,1,MATCH(2,1/(AW2470:BH2470&lt;&gt;""))),"")</f>
        <v>46143</v>
      </c>
      <c r="BO2470" s="53">
        <f ca="1">IFERROR(_xlfn.XLOOKUP(F2470,Apuração!A:A,Apuração!C:C)/_xlfn.XLOOKUP(F2470,Apuração!A:A,Apuração!B:B),0)</f>
        <v>0.41666666666666669</v>
      </c>
      <c r="BP2470" s="53">
        <f ca="1">IFERROR(_xlfn.XLOOKUP(F2470,Apuração!A:A,Apuração!D:D)/_xlfn.XLOOKUP(F2470,Apuração!A:A,Apuração!B:B),0)</f>
        <v>0.33333333333333331</v>
      </c>
      <c r="BQ2470" s="53">
        <f ca="1">IF(BK2470&gt;=BO2470,0,_xlfn.XLOOKUP(F2470,Apuração!A:A,Apuração!B:B)*(BO2470 + (1/_xlfn.XLOOKUP(F2470,Apuração!A:A,Apuração!B:B)) - BK2470))</f>
        <v>0</v>
      </c>
      <c r="BR2470" s="85">
        <f t="shared" ca="1" si="3056"/>
        <v>0</v>
      </c>
      <c r="BS2470" s="53">
        <f ca="1">IFERROR((_xlfn.XLOOKUP(F2470,Apuração!A:A,Apuração!C:C)+1)/_xlfn.XLOOKUP(F2470,Apuração!A:A,Apuração!B:B),0)</f>
        <v>0.5</v>
      </c>
    </row>
    <row r="2471" spans="1:71" ht="25.95" hidden="1" customHeight="1" x14ac:dyDescent="0.3">
      <c r="A2471" s="38" t="s">
        <v>134</v>
      </c>
      <c r="B2471" s="4" t="s">
        <v>158</v>
      </c>
      <c r="C2471" s="5" t="s">
        <v>221</v>
      </c>
      <c r="D2471" s="5" t="s">
        <v>36</v>
      </c>
      <c r="E2471" s="4" t="str" cm="1">
        <f t="array" ref="E2471">_xlfn.IFS(
F2471 = "A partir de Abril", "Aguardando Execução na Distribuidora",
A2471 = "CAPACITAÇÃO", "Em execução no Corporativo",
TRUE, "Em Execução na Distribuidora"
)</f>
        <v>Em Execução na Distribuidora</v>
      </c>
      <c r="F2471" s="4" t="str" cm="1">
        <f t="array" ref="F2471">_xlfn.IFS(
AG2471 &lt;&gt; "", "Jan-Dez/26",
AH2471 &lt;&gt; "", "Fev-Dez/26",
AI2471 &lt;&gt; "", "Mar-Dez/26", AJ2471 &lt;&gt; "", "Abr-Dez/26",
TRUE, "A partir de Junho"
)</f>
        <v>Jan-Dez/26</v>
      </c>
      <c r="G2471" s="4" t="s">
        <v>37</v>
      </c>
      <c r="H2471" s="7" t="s">
        <v>38</v>
      </c>
      <c r="I2471" s="8" t="s">
        <v>159</v>
      </c>
      <c r="J2471" s="8" t="str" cm="1">
        <f t="array" aca="1" ref="J2471" ca="1">_xlfn.LET(
  _xlpm.actual_value_month, INDEX(T2471:AE2471, MATCH(DATE(YEAR(TODAY()), MONTH(TODAY()), 1), $T$1:$AE$1, 0)),
  IF(_xlpm.actual_value_month &lt;&gt; "",_xlpm.actual_value_month &amp; " colaboradores participantes mensais", "")
)</f>
        <v>2385 colaboradores participantes mensais</v>
      </c>
      <c r="K2471" s="8" t="str" cm="1">
        <f t="array" ref="K2471">_xlfn.LET(
    _xlpm.sum_month, SUM(T2471:AE2471),
    IF(_xlpm.sum_month = 0, "", _xlpm.sum_month &amp; " participações de colaboradores no ano")
)</f>
        <v>23758 participações de colaboradores no ano</v>
      </c>
      <c r="L2471" s="9" t="s">
        <v>160</v>
      </c>
      <c r="M2471" s="24" t="s">
        <v>161</v>
      </c>
      <c r="N2471" s="5" t="s">
        <v>42</v>
      </c>
      <c r="O2471" s="5" t="s">
        <v>43</v>
      </c>
      <c r="P2471" s="10" t="s">
        <v>44</v>
      </c>
      <c r="Q2471" s="10" t="s">
        <v>44</v>
      </c>
      <c r="R2471" s="11" t="s">
        <v>147</v>
      </c>
      <c r="S2471" s="11" t="s">
        <v>162</v>
      </c>
      <c r="T2471" s="22">
        <v>176</v>
      </c>
      <c r="U2471" s="22">
        <v>233</v>
      </c>
      <c r="V2471" s="22">
        <v>1884</v>
      </c>
      <c r="W2471" s="22">
        <v>2385</v>
      </c>
      <c r="X2471" s="22">
        <v>2385</v>
      </c>
      <c r="Y2471" s="22">
        <v>2385</v>
      </c>
      <c r="Z2471" s="22">
        <v>2385</v>
      </c>
      <c r="AA2471" s="22">
        <v>2385</v>
      </c>
      <c r="AB2471" s="22">
        <v>2385</v>
      </c>
      <c r="AC2471" s="22">
        <v>2385</v>
      </c>
      <c r="AD2471" s="22">
        <v>2385</v>
      </c>
      <c r="AE2471" s="22">
        <v>2385</v>
      </c>
      <c r="AG2471" s="71">
        <v>176</v>
      </c>
      <c r="AH2471" s="71">
        <v>233</v>
      </c>
      <c r="AI2471" s="71">
        <v>1884</v>
      </c>
      <c r="AJ2471" s="71">
        <v>2385</v>
      </c>
      <c r="AK2471" s="71">
        <v>2385</v>
      </c>
      <c r="AL2471" s="71"/>
      <c r="AM2471" s="71"/>
      <c r="AN2471" s="71"/>
      <c r="AO2471" s="71"/>
      <c r="AP2471" s="71"/>
      <c r="AQ2471" s="71"/>
      <c r="AR2471" s="71"/>
      <c r="AS2471" s="94">
        <f t="shared" ca="1" si="2977"/>
        <v>7063</v>
      </c>
      <c r="AT2471" s="95">
        <f>SUM(IF(AW2471&lt;1.15,AG2471,1.15*T2471),IF(AX2471&lt;1.15,AH2471,1.15*U2471),IF(AY2471&lt;1.15,AI2471,1.15*V2471),IF(AZ2471&lt;1.15,AJ2471,1.15*W2471),IF(BA2471&lt;1.15,AK2471,1.15*X2471),IF(BB2471&lt;1.15,AL2471,1.15*Y2471),IF(BC2471&lt;1.15,AM2471,1.15*Z2471),IF(BD2471&lt;1.15,AN2471,1.15*AA2471),IF(BE2471&lt;1.15,AO2471,1.15*AB2471),IF(BF2471&lt;1.15,AP2471,1.15*AC2471),IF(BG2471&lt;1.15,AQ2471,1.15*AD2471),IF(BH2471&lt;1.15,AR2471,1.15*AE2471))</f>
        <v>7063</v>
      </c>
      <c r="AU2471" s="97">
        <f t="shared" si="2978"/>
        <v>7063</v>
      </c>
      <c r="AW2471" s="51">
        <f>IFERROR(IF(AG2471="",0,AG2471/T2471),0)</f>
        <v>1</v>
      </c>
      <c r="AX2471" s="51">
        <f>IFERROR(IF(AH2471="",0,AH2471/U2471),0)</f>
        <v>1</v>
      </c>
      <c r="AY2471" s="51">
        <f>IFERROR(IF(AI2471="",0,AI2471/V2471),0)</f>
        <v>1</v>
      </c>
      <c r="AZ2471" s="51">
        <f>IFERROR(IF(AJ2471="",0,AJ2471/W2471),0)</f>
        <v>1</v>
      </c>
      <c r="BA2471" s="51">
        <f t="shared" ref="BA2471:BA2473" si="3057">IFERROR(IF(AK2471="",0,AK2471/X2471),0)</f>
        <v>1</v>
      </c>
      <c r="BB2471" s="51"/>
      <c r="BC2471" s="51"/>
      <c r="BD2471" s="51"/>
      <c r="BE2471" s="51"/>
      <c r="BF2471" s="51"/>
      <c r="BG2471" s="51"/>
      <c r="BH2471" s="51"/>
      <c r="BI2471" s="65" cm="1">
        <f t="array" ref="BI2471">IFERROR(INDEX(AW2471:BH2471,1,MATCH(2,1/(AW2471:BH2471&lt;&gt;""))),"")</f>
        <v>1</v>
      </c>
      <c r="BJ2471" s="68" cm="1">
        <f t="array" ref="BJ2471">IF(BM2471 = "", "",IFERROR(INDEX(AW2471:BH2471,1,MATCH(2,1/(AW2471:BH2471&lt;&gt;""),1)-1),""))</f>
        <v>1</v>
      </c>
      <c r="BK2471" s="58">
        <f>IF((IF(AW2471&gt;=115%,115%,AW2471) + IF(AX2471&gt;=115%,115%,AX2471) + IF(AY2471&gt;=130%,130%,AY2471) + (IF(AZ2471&gt;=115%,115%,AZ2471) + IF(BA2471&gt;=115%,115%,BA2471) + IF(BB2471&gt;=115%,115%,BB2471) + IF(BC2471&gt;=115%,115%,BC2471) + IF(BD2471&gt;=115%,115%,BD2471) + IF(BE2471&gt;=115%,115%,BE2471) + IF(BF2471&gt;=115%,115%,BF2471) + IF(BG2471&gt;=115%,115%,BG2471) + IF(BH2471&gt;=115%,115%,BH2471)))/_xlfn.XLOOKUP(F2471,Apuração!A:A,Apuração!B:B)&gt;=1.15,1.15,((IF(AZ2471&gt;=115%,115%,AZ2471) + IF(AX2471&gt;=115%,115%,AX2471) + IF(AY2471&gt;=130%,130%,AY2471) + (IF(AW2471&gt;=115%,115%,AW2471) + IF(BA2471&gt;=115%,115%,BA2471) + IF(BB2471&gt;=115%,115%,BB2471) + IF(BC2471&gt;=115%,115%,BC2471) + IF(BD2471&gt;=115%,115%,BD2471) + IF(BE2471&gt;=115%,115%,BE2471) + IF(BF2471&gt;=115%,115%,BF2471) + IF(BG2471&gt;=115%,115%,BG2471) + IF(BH2471&gt;=115%,115%,BH2471)))/_xlfn.XLOOKUP(F2471,Apuração!A:A,Apuração!B:B)))</f>
        <v>0.41666666666666669</v>
      </c>
      <c r="BL2471" s="58" cm="1">
        <f t="array" aca="1" ref="BL2471" ca="1">IF(SUM(IFERROR(IF(INDEX(AW2471:INDEX(AW2471:BH2471, MATCH(2, 1/(AW2471:BH2471&lt;&gt;""), 1)-1), ROW(INDIRECT("1:" &amp; MATCH(2, 1/(AW2471:BH2471&lt;&gt;""), 1)-1))) &gt;= 115%, 115%, INDEX(AW2471:INDEX(AW2471:BH2471, MATCH(2, 1/(AW2471:BH2471&lt;&gt;""), 1)-1), ROW(INDIRECT("1:" &amp; MATCH(2, 1/(AW2471:BH2471&lt;&gt;""), 1)-1)))), 0))/_xlfn.XLOOKUP(F2471,Apuração!A:A,Apuração!B:B)&gt;=1.15,1.15,SUM(IFERROR(IF(INDEX(AW2471:INDEX(AW2471:BH2471, MATCH(2, 1/(AW2471:BH2471&lt;&gt;""), 1)-1), ROW(INDIRECT("1:" &amp; MATCH(2, 1/(AW2471:BH2471&lt;&gt;""), 1)-1))) &gt;= 115%, 115%, INDEX(AW2471:INDEX(AW2471:BH2471, MATCH(2, 1/(AW2471:BH2471&lt;&gt;""), 1)-1), ROW(INDIRECT("1:" &amp; MATCH(2, 1/(AW2471:BH2471&lt;&gt;""), 1)-1)))), 0))/_xlfn.XLOOKUP(F2471,Apuração!A:A,Apuração!B:B))</f>
        <v>0.33333333333333331</v>
      </c>
      <c r="BM2471" s="55" cm="1">
        <f t="array" ref="BM2471">IFERROR(
   INDEX($AW$1:$BH$1,
      _xlfn.AGGREGATE(14, 6, COLUMN($AW$1:$BH$1)/(AW2471:BH2471&lt;&gt;""), 2) - COLUMN($AW$1) + 1
   ),
"")</f>
        <v>46113</v>
      </c>
      <c r="BN2471" s="55" cm="1">
        <f t="array" ref="BN2471">IFERROR(INDEX($AW$1:$BH$1,1,MATCH(2,1/(AW2471:BH2471&lt;&gt;""))),"")</f>
        <v>46143</v>
      </c>
      <c r="BO2471" s="53">
        <f ca="1">IFERROR(_xlfn.XLOOKUP(F2471,Apuração!A:A,Apuração!C:C)/_xlfn.XLOOKUP(F2471,Apuração!A:A,Apuração!B:B),0)</f>
        <v>0.41666666666666669</v>
      </c>
      <c r="BP2471" s="53">
        <f ca="1">IFERROR(_xlfn.XLOOKUP(F2471,Apuração!A:A,Apuração!D:D)/_xlfn.XLOOKUP(F2471,Apuração!A:A,Apuração!B:B),0)</f>
        <v>0.33333333333333331</v>
      </c>
      <c r="BQ2471" s="53">
        <f ca="1">IF(BK2471&gt;=BO2471,0,_xlfn.XLOOKUP(F2471,Apuração!A:A,Apuração!B:B)*(BO2471 + (1/_xlfn.XLOOKUP(F2471,Apuração!A:A,Apuração!B:B)) - BK2471))</f>
        <v>0</v>
      </c>
      <c r="BR2471" s="85">
        <f t="shared" ca="1" si="2957"/>
        <v>0</v>
      </c>
      <c r="BS2471" s="53">
        <f ca="1">IFERROR((_xlfn.XLOOKUP(F2471,Apuração!A:A,Apuração!C:C)+1)/_xlfn.XLOOKUP(F2471,Apuração!A:A,Apuração!B:B),0)</f>
        <v>0.5</v>
      </c>
    </row>
    <row r="2472" spans="1:71" ht="25.95" hidden="1" customHeight="1" x14ac:dyDescent="0.3">
      <c r="A2472" s="38" t="s">
        <v>134</v>
      </c>
      <c r="B2472" s="4" t="s">
        <v>158</v>
      </c>
      <c r="C2472" s="5" t="s">
        <v>221</v>
      </c>
      <c r="D2472" s="5" t="s">
        <v>212</v>
      </c>
      <c r="E2472" s="4" t="str" cm="1">
        <f t="array" ref="E2472">_xlfn.IFS(
F2472 = "A partir de Abril", "Aguardando Execução na Distribuidora",
A2472 = "CAPACITAÇÃO", "Em execução no Corporativo",
TRUE, "Em Execução na Distribuidora"
)</f>
        <v>Em Execução na Distribuidora</v>
      </c>
      <c r="F2472" s="4" t="str" cm="1">
        <f t="array" ref="F2472">_xlfn.IFS(
AG2472 &lt;&gt; "", "Jan-Dez/26",
AH2472 &lt;&gt; "", "Fev-Dez/26",
AI2472 &lt;&gt; "", "Mar-Dez/26", AJ2472 &lt;&gt; "", "Abr-Dez/26",
TRUE, "A partir de Junho"
)</f>
        <v>Abr-Dez/26</v>
      </c>
      <c r="G2472" s="4" t="s">
        <v>37</v>
      </c>
      <c r="H2472" s="7" t="s">
        <v>38</v>
      </c>
      <c r="I2472" s="8" t="s">
        <v>159</v>
      </c>
      <c r="J2472" s="8" t="str" cm="1">
        <f t="array" aca="1" ref="J2472" ca="1">_xlfn.LET(
  _xlpm.actual_value_month, INDEX(T2472:AE2472, MATCH(DATE(YEAR(TODAY()), MONTH(TODAY()), 1), $T$1:$AE$1, 0)),
  IF(_xlpm.actual_value_month &lt;&gt; "",_xlpm.actual_value_month &amp; " colaboradores participantes mensais", "")
)</f>
        <v>1356 colaboradores participantes mensais</v>
      </c>
      <c r="K2472" s="8" t="str" cm="1">
        <f t="array" ref="K2472">_xlfn.LET(
    _xlpm.sum_month, SUM(T2472:AE2472),
    IF(_xlpm.sum_month = 0, "", _xlpm.sum_month &amp; " participações de colaboradores no ano")
)</f>
        <v>16272 participações de colaboradores no ano</v>
      </c>
      <c r="L2472" s="9" t="s">
        <v>160</v>
      </c>
      <c r="M2472" s="24" t="s">
        <v>161</v>
      </c>
      <c r="N2472" s="5" t="s">
        <v>42</v>
      </c>
      <c r="O2472" s="5" t="s">
        <v>43</v>
      </c>
      <c r="P2472" s="10" t="s">
        <v>44</v>
      </c>
      <c r="Q2472" s="10" t="s">
        <v>44</v>
      </c>
      <c r="R2472" s="11" t="s">
        <v>147</v>
      </c>
      <c r="S2472" s="11" t="s">
        <v>162</v>
      </c>
      <c r="T2472" s="22">
        <v>1356</v>
      </c>
      <c r="U2472" s="22">
        <v>1356</v>
      </c>
      <c r="V2472" s="22">
        <v>1356</v>
      </c>
      <c r="W2472" s="22">
        <v>1356</v>
      </c>
      <c r="X2472" s="22">
        <v>1356</v>
      </c>
      <c r="Y2472" s="22">
        <v>1356</v>
      </c>
      <c r="Z2472" s="22">
        <v>1356</v>
      </c>
      <c r="AA2472" s="22">
        <v>1356</v>
      </c>
      <c r="AB2472" s="22">
        <v>1356</v>
      </c>
      <c r="AC2472" s="22">
        <v>1356</v>
      </c>
      <c r="AD2472" s="22">
        <v>1356</v>
      </c>
      <c r="AE2472" s="22">
        <v>1356</v>
      </c>
      <c r="AG2472" s="71"/>
      <c r="AH2472" s="71"/>
      <c r="AI2472" s="71"/>
      <c r="AJ2472" s="71">
        <v>1356</v>
      </c>
      <c r="AK2472" s="71">
        <v>1356</v>
      </c>
      <c r="AL2472" s="71"/>
      <c r="AM2472" s="71"/>
      <c r="AN2472" s="71"/>
      <c r="AO2472" s="71"/>
      <c r="AP2472" s="71"/>
      <c r="AQ2472" s="71"/>
      <c r="AR2472" s="71"/>
      <c r="AS2472" s="94">
        <f t="shared" ref="AS2472:AS2473" ca="1" si="3058">IF(MONTH(TODAY())=3,SUM(T2472:U2472),IF(MONTH(TODAY())=4,SUM(T2472:V2472),IF(MONTH(TODAY())=5,SUM(T2472:W2472),IF(MONTH(TODAY())=6,SUM(T2472:X2472),IF(MONTH(TODAY())=7,SUM(T2472:Y2472),IF(MONTH(TODAY())=8,SUM(T2472:Z2472),IF(MONTH(TODAY())=9,SUM(T2472:AA2472),IF(MONTH(TODAY())=10,SUM(T2472:AB2472),IF(MONTH(TODAY())=11,SUM(T2472:AC2472),IF(MONTH(TODAY())=12,SUM(T2472:AD2472),IF(MONTH(TODAY())=1,SUM(T2472:AE2472),T2472)))))))))))</f>
        <v>6780</v>
      </c>
      <c r="AT2472" s="95">
        <f t="shared" ref="AT2472:AT2473" si="3059">SUM(IF(AW2472&lt;1.15,AG2472,1.15*T2472),IF(AX2472&lt;1.15,AH2472,1.15*U2472),IF(AY2472&lt;1.15,AI2472,1.15*V2472),IF(AZ2472&lt;1.15,AJ2472,1.15*W2472),IF(BA2472&lt;1.15,AK2472,1.15*X2472),IF(BB2472&lt;1.15,AL2472,1.15*Y2472),IF(BC2472&lt;1.15,AM2472,1.15*Z2472),IF(BD2472&lt;1.15,AN2472,1.15*AA2472),IF(BE2472&lt;1.15,AO2472,1.15*AB2472),IF(BF2472&lt;1.15,AP2472,1.15*AC2472),IF(BG2472&lt;1.15,AQ2472,1.15*AD2472),IF(BH2472&lt;1.15,AR2472,1.15*AE2472))</f>
        <v>2712</v>
      </c>
      <c r="AU2472" s="97">
        <f t="shared" ref="AU2472:AU2473" si="3060">SUM(AG2472:AR2472)</f>
        <v>2712</v>
      </c>
      <c r="AW2472" s="51">
        <f t="shared" ref="AW2472:AW2473" si="3061">IFERROR(IF(AG2472="",0,AG2472/T2472),0)</f>
        <v>0</v>
      </c>
      <c r="AX2472" s="51">
        <f t="shared" ref="AX2472:AX2473" si="3062">IFERROR(IF(AH2472="",0,AH2472/U2472),0)</f>
        <v>0</v>
      </c>
      <c r="AY2472" s="51">
        <f t="shared" ref="AY2472:AY2473" si="3063">IFERROR(IF(AI2472="",0,AI2472/V2472),0)</f>
        <v>0</v>
      </c>
      <c r="AZ2472" s="51">
        <f t="shared" ref="AZ2472:AZ2473" si="3064">IFERROR(IF(AJ2472="",0,AJ2472/W2472),0)</f>
        <v>1</v>
      </c>
      <c r="BA2472" s="51">
        <f t="shared" si="3057"/>
        <v>1</v>
      </c>
      <c r="BB2472" s="51"/>
      <c r="BC2472" s="51"/>
      <c r="BD2472" s="51"/>
      <c r="BE2472" s="51"/>
      <c r="BF2472" s="51"/>
      <c r="BG2472" s="51"/>
      <c r="BH2472" s="51"/>
      <c r="BI2472" s="65" cm="1">
        <f t="array" ref="BI2472">IFERROR(INDEX(AW2472:BH2472,1,MATCH(2,1/(AW2472:BH2472&lt;&gt;""))),"")</f>
        <v>1</v>
      </c>
      <c r="BJ2472" s="68" cm="1">
        <f t="array" ref="BJ2472">IF(BM2472 = "", "",IFERROR(INDEX(AW2472:BH2472,1,MATCH(2,1/(AW2472:BH2472&lt;&gt;""),1)-1),""))</f>
        <v>1</v>
      </c>
      <c r="BK2472" s="58">
        <f>IF((IF(AW2472&gt;=115%,115%,AW2472) + IF(AX2472&gt;=115%,115%,AX2472) + IF(AY2472&gt;=130%,130%,AY2472) + (IF(AZ2472&gt;=115%,115%,AZ2472) + IF(BA2472&gt;=115%,115%,BA2472) + IF(BB2472&gt;=115%,115%,BB2472) + IF(BC2472&gt;=115%,115%,BC2472) + IF(BD2472&gt;=115%,115%,BD2472) + IF(BE2472&gt;=115%,115%,BE2472) + IF(BF2472&gt;=115%,115%,BF2472) + IF(BG2472&gt;=115%,115%,BG2472) + IF(BH2472&gt;=115%,115%,BH2472)))/_xlfn.XLOOKUP(F2472,Apuração!A:A,Apuração!B:B)&gt;=1.15,1.15,((IF(AZ2472&gt;=115%,115%,AZ2472) + IF(AX2472&gt;=115%,115%,AX2472) + IF(AY2472&gt;=130%,130%,AY2472) + (IF(AW2472&gt;=115%,115%,AW2472) + IF(BA2472&gt;=115%,115%,BA2472) + IF(BB2472&gt;=115%,115%,BB2472) + IF(BC2472&gt;=115%,115%,BC2472) + IF(BD2472&gt;=115%,115%,BD2472) + IF(BE2472&gt;=115%,115%,BE2472) + IF(BF2472&gt;=115%,115%,BF2472) + IF(BG2472&gt;=115%,115%,BG2472) + IF(BH2472&gt;=115%,115%,BH2472)))/_xlfn.XLOOKUP(F2472,Apuração!A:A,Apuração!B:B)))</f>
        <v>0.22222222222222221</v>
      </c>
      <c r="BL2472" s="58" cm="1">
        <f t="array" aca="1" ref="BL2472" ca="1">IF(SUM(IFERROR(IF(INDEX(AW2472:INDEX(AW2472:BH2472, MATCH(2, 1/(AW2472:BH2472&lt;&gt;""), 1)-1), ROW(INDIRECT("1:" &amp; MATCH(2, 1/(AW2472:BH2472&lt;&gt;""), 1)-1))) &gt;= 115%, 115%, INDEX(AW2472:INDEX(AW2472:BH2472, MATCH(2, 1/(AW2472:BH2472&lt;&gt;""), 1)-1), ROW(INDIRECT("1:" &amp; MATCH(2, 1/(AW2472:BH2472&lt;&gt;""), 1)-1)))), 0))/_xlfn.XLOOKUP(F2472,Apuração!A:A,Apuração!B:B)&gt;=1.15,1.15,SUM(IFERROR(IF(INDEX(AW2472:INDEX(AW2472:BH2472, MATCH(2, 1/(AW2472:BH2472&lt;&gt;""), 1)-1), ROW(INDIRECT("1:" &amp; MATCH(2, 1/(AW2472:BH2472&lt;&gt;""), 1)-1))) &gt;= 115%, 115%, INDEX(AW2472:INDEX(AW2472:BH2472, MATCH(2, 1/(AW2472:BH2472&lt;&gt;""), 1)-1), ROW(INDIRECT("1:" &amp; MATCH(2, 1/(AW2472:BH2472&lt;&gt;""), 1)-1)))), 0))/_xlfn.XLOOKUP(F2472,Apuração!A:A,Apuração!B:B))</f>
        <v>0.1111111111111111</v>
      </c>
      <c r="BM2472" s="55" cm="1">
        <f t="array" ref="BM2472">IFERROR(
   INDEX($AW$1:$BH$1,
      _xlfn.AGGREGATE(14, 6, COLUMN($AW$1:$BH$1)/(AW2472:BH2472&lt;&gt;""), 2) - COLUMN($AW$1) + 1
   ),
"")</f>
        <v>46113</v>
      </c>
      <c r="BN2472" s="55" cm="1">
        <f t="array" ref="BN2472">IFERROR(INDEX($AW$1:$BH$1,1,MATCH(2,1/(AW2472:BH2472&lt;&gt;""))),"")</f>
        <v>46143</v>
      </c>
      <c r="BO2472" s="53">
        <f ca="1">IFERROR(_xlfn.XLOOKUP(F2472,Apuração!A:A,Apuração!C:C)/_xlfn.XLOOKUP(F2472,Apuração!A:A,Apuração!B:B),0)</f>
        <v>0.22222222222222221</v>
      </c>
      <c r="BP2472" s="53">
        <f ca="1">IFERROR(_xlfn.XLOOKUP(F2472,Apuração!A:A,Apuração!D:D)/_xlfn.XLOOKUP(F2472,Apuração!A:A,Apuração!B:B),0)</f>
        <v>0.1111111111111111</v>
      </c>
      <c r="BQ2472" s="53">
        <f ca="1">IF(BK2472&gt;=BO2472,0,_xlfn.XLOOKUP(F2472,Apuração!A:A,Apuração!B:B)*(BO2472 + (1/_xlfn.XLOOKUP(F2472,Apuração!A:A,Apuração!B:B)) - BK2472))</f>
        <v>0</v>
      </c>
      <c r="BR2472" s="85">
        <f t="shared" ref="BR2472:BR2473" ca="1" si="3065">IF(BQ2472=0,0,BQ2472*Z2472)</f>
        <v>0</v>
      </c>
      <c r="BS2472" s="53">
        <f ca="1">IFERROR((_xlfn.XLOOKUP(F2472,Apuração!A:A,Apuração!C:C)+1)/_xlfn.XLOOKUP(F2472,Apuração!A:A,Apuração!B:B),0)</f>
        <v>0.33333333333333331</v>
      </c>
    </row>
    <row r="2473" spans="1:71" ht="25.95" hidden="1" customHeight="1" x14ac:dyDescent="0.3">
      <c r="A2473" s="38" t="s">
        <v>134</v>
      </c>
      <c r="B2473" s="4" t="s">
        <v>158</v>
      </c>
      <c r="C2473" s="5" t="s">
        <v>221</v>
      </c>
      <c r="D2473" s="5" t="s">
        <v>213</v>
      </c>
      <c r="E2473" s="4" t="str" cm="1">
        <f t="array" ref="E2473">_xlfn.IFS(
F2473 = "A partir de Abril", "Aguardando Execução na Distribuidora",
A2473 = "CAPACITAÇÃO", "Em execução no Corporativo",
TRUE, "Em Execução na Distribuidora"
)</f>
        <v>Em Execução na Distribuidora</v>
      </c>
      <c r="F2473" s="4" t="str" cm="1">
        <f t="array" ref="F2473">_xlfn.IFS(
AG2473 &lt;&gt; "", "Jan-Dez/26",
AH2473 &lt;&gt; "", "Fev-Dez/26",
AI2473 &lt;&gt; "", "Mar-Dez/26", AJ2473 &lt;&gt; "", "Abr-Dez/26",
TRUE, "A partir de Junho"
)</f>
        <v>Abr-Dez/26</v>
      </c>
      <c r="G2473" s="4" t="s">
        <v>37</v>
      </c>
      <c r="H2473" s="7" t="s">
        <v>38</v>
      </c>
      <c r="I2473" s="8" t="s">
        <v>159</v>
      </c>
      <c r="J2473" s="8" t="str" cm="1">
        <f t="array" aca="1" ref="J2473" ca="1">_xlfn.LET(
  _xlpm.actual_value_month, INDEX(T2473:AE2473, MATCH(DATE(YEAR(TODAY()), MONTH(TODAY()), 1), $T$1:$AE$1, 0)),
  IF(_xlpm.actual_value_month &lt;&gt; "",_xlpm.actual_value_month &amp; " colaboradores participantes mensais", "")
)</f>
        <v>1029 colaboradores participantes mensais</v>
      </c>
      <c r="K2473" s="8" t="str" cm="1">
        <f t="array" ref="K2473">_xlfn.LET(
    _xlpm.sum_month, SUM(T2473:AE2473),
    IF(_xlpm.sum_month = 0, "", _xlpm.sum_month &amp; " participações de colaboradores no ano")
)</f>
        <v>12348 participações de colaboradores no ano</v>
      </c>
      <c r="L2473" s="9" t="s">
        <v>160</v>
      </c>
      <c r="M2473" s="24" t="s">
        <v>161</v>
      </c>
      <c r="N2473" s="5" t="s">
        <v>42</v>
      </c>
      <c r="O2473" s="5" t="s">
        <v>43</v>
      </c>
      <c r="P2473" s="10" t="s">
        <v>44</v>
      </c>
      <c r="Q2473" s="10" t="s">
        <v>44</v>
      </c>
      <c r="R2473" s="11" t="s">
        <v>147</v>
      </c>
      <c r="S2473" s="11" t="s">
        <v>162</v>
      </c>
      <c r="T2473" s="22">
        <v>1029</v>
      </c>
      <c r="U2473" s="22">
        <v>1029</v>
      </c>
      <c r="V2473" s="22">
        <v>1029</v>
      </c>
      <c r="W2473" s="22">
        <v>1029</v>
      </c>
      <c r="X2473" s="22">
        <v>1029</v>
      </c>
      <c r="Y2473" s="22">
        <v>1029</v>
      </c>
      <c r="Z2473" s="22">
        <v>1029</v>
      </c>
      <c r="AA2473" s="22">
        <v>1029</v>
      </c>
      <c r="AB2473" s="22">
        <v>1029</v>
      </c>
      <c r="AC2473" s="22">
        <v>1029</v>
      </c>
      <c r="AD2473" s="22">
        <v>1029</v>
      </c>
      <c r="AE2473" s="22">
        <v>1029</v>
      </c>
      <c r="AG2473" s="71"/>
      <c r="AH2473" s="71"/>
      <c r="AI2473" s="71"/>
      <c r="AJ2473" s="71">
        <v>1029</v>
      </c>
      <c r="AK2473" s="71">
        <v>1029</v>
      </c>
      <c r="AL2473" s="71"/>
      <c r="AM2473" s="71"/>
      <c r="AN2473" s="71"/>
      <c r="AO2473" s="71"/>
      <c r="AP2473" s="71"/>
      <c r="AQ2473" s="71"/>
      <c r="AR2473" s="71"/>
      <c r="AS2473" s="94">
        <f t="shared" ca="1" si="3058"/>
        <v>5145</v>
      </c>
      <c r="AT2473" s="95">
        <f t="shared" si="3059"/>
        <v>2058</v>
      </c>
      <c r="AU2473" s="97">
        <f t="shared" si="3060"/>
        <v>2058</v>
      </c>
      <c r="AW2473" s="51">
        <f t="shared" si="3061"/>
        <v>0</v>
      </c>
      <c r="AX2473" s="51">
        <f t="shared" si="3062"/>
        <v>0</v>
      </c>
      <c r="AY2473" s="51">
        <f t="shared" si="3063"/>
        <v>0</v>
      </c>
      <c r="AZ2473" s="51">
        <f t="shared" si="3064"/>
        <v>1</v>
      </c>
      <c r="BA2473" s="51">
        <f t="shared" si="3057"/>
        <v>1</v>
      </c>
      <c r="BB2473" s="51"/>
      <c r="BC2473" s="51"/>
      <c r="BD2473" s="51"/>
      <c r="BE2473" s="51"/>
      <c r="BF2473" s="51"/>
      <c r="BG2473" s="51"/>
      <c r="BH2473" s="51"/>
      <c r="BI2473" s="65" cm="1">
        <f t="array" ref="BI2473">IFERROR(INDEX(AW2473:BH2473,1,MATCH(2,1/(AW2473:BH2473&lt;&gt;""))),"")</f>
        <v>1</v>
      </c>
      <c r="BJ2473" s="68" cm="1">
        <f t="array" ref="BJ2473">IF(BM2473 = "", "",IFERROR(INDEX(AW2473:BH2473,1,MATCH(2,1/(AW2473:BH2473&lt;&gt;""),1)-1),""))</f>
        <v>1</v>
      </c>
      <c r="BK2473" s="58">
        <f>IF((IF(AW2473&gt;=115%,115%,AW2473) + IF(AX2473&gt;=115%,115%,AX2473) + IF(AY2473&gt;=130%,130%,AY2473) + (IF(AZ2473&gt;=115%,115%,AZ2473) + IF(BA2473&gt;=115%,115%,BA2473) + IF(BB2473&gt;=115%,115%,BB2473) + IF(BC2473&gt;=115%,115%,BC2473) + IF(BD2473&gt;=115%,115%,BD2473) + IF(BE2473&gt;=115%,115%,BE2473) + IF(BF2473&gt;=115%,115%,BF2473) + IF(BG2473&gt;=115%,115%,BG2473) + IF(BH2473&gt;=115%,115%,BH2473)))/_xlfn.XLOOKUP(F2473,Apuração!A:A,Apuração!B:B)&gt;=1.15,1.15,((IF(AZ2473&gt;=115%,115%,AZ2473) + IF(AX2473&gt;=115%,115%,AX2473) + IF(AY2473&gt;=130%,130%,AY2473) + (IF(AW2473&gt;=115%,115%,AW2473) + IF(BA2473&gt;=115%,115%,BA2473) + IF(BB2473&gt;=115%,115%,BB2473) + IF(BC2473&gt;=115%,115%,BC2473) + IF(BD2473&gt;=115%,115%,BD2473) + IF(BE2473&gt;=115%,115%,BE2473) + IF(BF2473&gt;=115%,115%,BF2473) + IF(BG2473&gt;=115%,115%,BG2473) + IF(BH2473&gt;=115%,115%,BH2473)))/_xlfn.XLOOKUP(F2473,Apuração!A:A,Apuração!B:B)))</f>
        <v>0.22222222222222221</v>
      </c>
      <c r="BL2473" s="58" cm="1">
        <f t="array" aca="1" ref="BL2473" ca="1">IF(SUM(IFERROR(IF(INDEX(AW2473:INDEX(AW2473:BH2473, MATCH(2, 1/(AW2473:BH2473&lt;&gt;""), 1)-1), ROW(INDIRECT("1:" &amp; MATCH(2, 1/(AW2473:BH2473&lt;&gt;""), 1)-1))) &gt;= 115%, 115%, INDEX(AW2473:INDEX(AW2473:BH2473, MATCH(2, 1/(AW2473:BH2473&lt;&gt;""), 1)-1), ROW(INDIRECT("1:" &amp; MATCH(2, 1/(AW2473:BH2473&lt;&gt;""), 1)-1)))), 0))/_xlfn.XLOOKUP(F2473,Apuração!A:A,Apuração!B:B)&gt;=1.15,1.15,SUM(IFERROR(IF(INDEX(AW2473:INDEX(AW2473:BH2473, MATCH(2, 1/(AW2473:BH2473&lt;&gt;""), 1)-1), ROW(INDIRECT("1:" &amp; MATCH(2, 1/(AW2473:BH2473&lt;&gt;""), 1)-1))) &gt;= 115%, 115%, INDEX(AW2473:INDEX(AW2473:BH2473, MATCH(2, 1/(AW2473:BH2473&lt;&gt;""), 1)-1), ROW(INDIRECT("1:" &amp; MATCH(2, 1/(AW2473:BH2473&lt;&gt;""), 1)-1)))), 0))/_xlfn.XLOOKUP(F2473,Apuração!A:A,Apuração!B:B))</f>
        <v>0.1111111111111111</v>
      </c>
      <c r="BM2473" s="55" cm="1">
        <f t="array" ref="BM2473">IFERROR(
   INDEX($AW$1:$BH$1,
      _xlfn.AGGREGATE(14, 6, COLUMN($AW$1:$BH$1)/(AW2473:BH2473&lt;&gt;""), 2) - COLUMN($AW$1) + 1
   ),
"")</f>
        <v>46113</v>
      </c>
      <c r="BN2473" s="55" cm="1">
        <f t="array" ref="BN2473">IFERROR(INDEX($AW$1:$BH$1,1,MATCH(2,1/(AW2473:BH2473&lt;&gt;""))),"")</f>
        <v>46143</v>
      </c>
      <c r="BO2473" s="53">
        <f ca="1">IFERROR(_xlfn.XLOOKUP(F2473,Apuração!A:A,Apuração!C:C)/_xlfn.XLOOKUP(F2473,Apuração!A:A,Apuração!B:B),0)</f>
        <v>0.22222222222222221</v>
      </c>
      <c r="BP2473" s="53">
        <f ca="1">IFERROR(_xlfn.XLOOKUP(F2473,Apuração!A:A,Apuração!D:D)/_xlfn.XLOOKUP(F2473,Apuração!A:A,Apuração!B:B),0)</f>
        <v>0.1111111111111111</v>
      </c>
      <c r="BQ2473" s="53">
        <f ca="1">IF(BK2473&gt;=BO2473,0,_xlfn.XLOOKUP(F2473,Apuração!A:A,Apuração!B:B)*(BO2473 + (1/_xlfn.XLOOKUP(F2473,Apuração!A:A,Apuração!B:B)) - BK2473))</f>
        <v>0</v>
      </c>
      <c r="BR2473" s="85">
        <f t="shared" ca="1" si="3065"/>
        <v>0</v>
      </c>
      <c r="BS2473" s="53">
        <f ca="1">IFERROR((_xlfn.XLOOKUP(F2473,Apuração!A:A,Apuração!C:C)+1)/_xlfn.XLOOKUP(F2473,Apuração!A:A,Apuração!B:B),0)</f>
        <v>0.33333333333333331</v>
      </c>
    </row>
    <row r="2474" spans="1:71" ht="25.95" hidden="1" customHeight="1" x14ac:dyDescent="0.3">
      <c r="A2474" s="42" t="s">
        <v>134</v>
      </c>
      <c r="B2474" s="4" t="s">
        <v>158</v>
      </c>
      <c r="C2474" s="5" t="s">
        <v>221</v>
      </c>
      <c r="D2474" s="5" t="s">
        <v>36</v>
      </c>
      <c r="E2474" s="4" t="str" cm="1">
        <f t="array" ref="E2474">_xlfn.IFS(
F2474 = "A partir de Abril", "Aguardando Execução na Distribuidora",
A2474 = "CAPACITAÇÃO", "Em execução no Corporativo",
TRUE, "Em Execução na Distribuidora"
)</f>
        <v>Em Execução na Distribuidora</v>
      </c>
      <c r="F2474" s="4" t="str" cm="1">
        <f t="array" ref="F2474">_xlfn.IFS(
AG2474 &lt;&gt; "", "Jan-Dez/26",
AH2474 &lt;&gt; "", "Fev-Dez/26",
AI2474 &lt;&gt; "", "Mar-Dez/26", AJ2474 &lt;&gt; "", "Abr-Dez/26",
TRUE, "A partir de Junho"
)</f>
        <v>Jan-Dez/26</v>
      </c>
      <c r="G2474" s="4" t="s">
        <v>37</v>
      </c>
      <c r="H2474" s="7" t="s">
        <v>38</v>
      </c>
      <c r="I2474" s="8" t="s">
        <v>163</v>
      </c>
      <c r="J2474" s="8" t="str" cm="1">
        <f t="array" aca="1" ref="J2474" ca="1">_xlfn.LET(
  _xlpm.actual_value_month, INDEX(T2474:AE2474, MATCH(DATE(YEAR(TODAY()), MONTH(TODAY()), 1), $T$1:$AE$1, 0)),
  IF(_xlpm.actual_value_month &lt;&gt; "",_xlpm.actual_value_month &amp; " ações mensais", "")
)</f>
        <v/>
      </c>
      <c r="K2474" s="8" t="str" cm="1">
        <f t="array" ref="K2474">_xlfn.LET(
    _xlpm.sum_month, SUM(T2474:AE2474),
    IF(_xlpm.sum_month = 0, "", _xlpm.sum_month &amp; " DSS no ano")
)</f>
        <v/>
      </c>
      <c r="L2474" s="9" t="s">
        <v>164</v>
      </c>
      <c r="M2474" s="24">
        <v>1</v>
      </c>
      <c r="N2474" s="5" t="s">
        <v>51</v>
      </c>
      <c r="O2474" s="111" t="s">
        <v>52</v>
      </c>
      <c r="P2474" s="10" t="s">
        <v>146</v>
      </c>
      <c r="Q2474" s="10" t="s">
        <v>72</v>
      </c>
      <c r="R2474" s="11" t="s">
        <v>147</v>
      </c>
      <c r="S2474" s="11" t="s">
        <v>162</v>
      </c>
      <c r="T2474" s="22"/>
      <c r="U2474" s="22"/>
      <c r="V2474" s="22"/>
      <c r="W2474" s="22"/>
      <c r="X2474" s="22"/>
      <c r="Y2474" s="22"/>
      <c r="Z2474" s="22"/>
      <c r="AA2474" s="22"/>
      <c r="AB2474" s="22"/>
      <c r="AC2474" s="22"/>
      <c r="AD2474" s="22"/>
      <c r="AE2474" s="22"/>
      <c r="AG2474" s="71">
        <v>153</v>
      </c>
      <c r="AH2474" s="71">
        <v>144</v>
      </c>
      <c r="AI2474" s="71">
        <v>796</v>
      </c>
      <c r="AJ2474" s="71">
        <v>335</v>
      </c>
      <c r="AK2474" s="71">
        <v>435</v>
      </c>
      <c r="AL2474" s="71"/>
      <c r="AM2474" s="71"/>
      <c r="AN2474" s="71"/>
      <c r="AO2474" s="71"/>
      <c r="AP2474" s="71"/>
      <c r="AQ2474" s="71"/>
      <c r="AR2474" s="71"/>
      <c r="AS2474" s="94">
        <f t="shared" ca="1" si="2977"/>
        <v>0</v>
      </c>
      <c r="AT2474" s="95">
        <f>SUM(IF(AW2474&lt;1.15,AG2474,1.15*T2474),IF(AX2474&lt;1.15,AH2474,1.15*U2474),IF(AY2474&lt;1.15,AI2474,1.15*V2474),IF(AZ2474&lt;1.15,AJ2474,1.15*W2474),IF(BA2474&lt;1.15,AK2474,1.15*X2474),IF(BB2474&lt;1.15,AL2474,1.15*Y2474),IF(BC2474&lt;1.15,AM2474,1.15*Z2474),IF(BD2474&lt;1.15,AN2474,1.15*AA2474),IF(BE2474&lt;1.15,AO2474,1.15*AB2474),IF(BF2474&lt;1.15,AP2474,1.15*AC2474),IF(BG2474&lt;1.15,AQ2474,1.15*AD2474),IF(BH2474&lt;1.15,AR2474,1.15*AE2474))</f>
        <v>0</v>
      </c>
      <c r="AU2474" s="97">
        <f t="shared" si="2978"/>
        <v>1863</v>
      </c>
      <c r="AW2474" s="83">
        <f t="shared" ref="AW2474:BA2479" si="3066">AG2474</f>
        <v>153</v>
      </c>
      <c r="AX2474" s="83">
        <f t="shared" si="3066"/>
        <v>144</v>
      </c>
      <c r="AY2474" s="83">
        <f t="shared" si="3066"/>
        <v>796</v>
      </c>
      <c r="AZ2474" s="83">
        <f t="shared" si="3066"/>
        <v>335</v>
      </c>
      <c r="BA2474" s="83">
        <f t="shared" si="3066"/>
        <v>435</v>
      </c>
      <c r="BB2474" s="52"/>
      <c r="BC2474" s="52"/>
      <c r="BD2474" s="52"/>
      <c r="BE2474" s="52"/>
      <c r="BF2474" s="52"/>
      <c r="BG2474" s="52"/>
      <c r="BH2474" s="52"/>
      <c r="BI2474" s="65" cm="1">
        <f t="array" ref="BI2474">IFERROR(INDEX(AW2474:BH2474,1,MATCH(2,1/(AW2474:BH2474&lt;&gt;""))),"")</f>
        <v>435</v>
      </c>
      <c r="BJ2474" s="68" cm="1">
        <f t="array" ref="BJ2474">IF(BM2474 = "", "",IFERROR(INDEX(AW2474:BH2474,1,MATCH(2,1/(AW2474:BH2474&lt;&gt;""),1)-1),""))</f>
        <v>335</v>
      </c>
      <c r="BK2474" s="58">
        <f>IF((IF(AW2474&gt;=115%,115%,AW2474) + IF(AX2474&gt;=115%,115%,AX2474) + IF(AY2474&gt;=115%,115%,AY2474) + (IF(AZ2474&gt;=115%,115%,AZ2474) + IF(BA2474&gt;=135%,135%,BA2474) + IF(BB2474&gt;=115%,115%,BB2474) + IF(BC2474&gt;=115%,115%,BC2474) + IF(BD2474&gt;=115%,115%,BD2474) + IF(BE2474&gt;=115%,115%,BE2474) + IF(BF2474&gt;=115%,115%,BF2474) + IF(BG2474&gt;=115%,115%,BG2474) + IF(BH2474&gt;=115%,115%,BH2474)))/_xlfn.XLOOKUP(F2474,Apuração!A:A,Apuração!B:B)&gt;=1.15,1.15,((IF(AZ2474&gt;=115%,115%,AZ2474) + IF(AX2474&gt;=115%,115%,AX2474) + IF(AY2474&gt;=115%,115%,AY2474) + (IF(AW2474&gt;=115%,115%,AW2474) + IF(BA2474&gt;=135%,135%,BA2474) + IF(BB2474&gt;=115%,115%,BB2474) + IF(BC2474&gt;=115%,115%,BC2474) + IF(BD2474&gt;=115%,115%,BD2474) + IF(BE2474&gt;=115%,115%,BE2474) + IF(BF2474&gt;=115%,115%,BF2474) + IF(BG2474&gt;=115%,115%,BG2474) + IF(BH2474&gt;=115%,115%,BH2474)))/_xlfn.XLOOKUP(F2474,Apuração!A:A,Apuração!B:B)))</f>
        <v>0.49583333333333329</v>
      </c>
      <c r="BL2474" s="58" cm="1">
        <f t="array" aca="1" ref="BL2474" ca="1">IF(SUM(IFERROR(IF(INDEX(AW2474:INDEX(AW2474:BH2474, MATCH(2, 1/(AW2474:BH2474&lt;&gt;""), 1)-1), ROW(INDIRECT("1:" &amp; MATCH(2, 1/(AW2474:BH2474&lt;&gt;""), 1)-1))) &gt;= 115%, 115%, INDEX(AW2474:INDEX(AW2474:BH2474, MATCH(2, 1/(AW2474:BH2474&lt;&gt;""), 1)-1), ROW(INDIRECT("1:" &amp; MATCH(2, 1/(AW2474:BH2474&lt;&gt;""), 1)-1)))), 0))/_xlfn.XLOOKUP(F2474,Apuração!A:A,Apuração!B:B)&gt;=1.15,1.15,SUM(IFERROR(IF(INDEX(AW2474:INDEX(AW2474:BH2474, MATCH(2, 1/(AW2474:BH2474&lt;&gt;""), 1)-1), ROW(INDIRECT("1:" &amp; MATCH(2, 1/(AW2474:BH2474&lt;&gt;""), 1)-1))) &gt;= 115%, 115%, INDEX(AW2474:INDEX(AW2474:BH2474, MATCH(2, 1/(AW2474:BH2474&lt;&gt;""), 1)-1), ROW(INDIRECT("1:" &amp; MATCH(2, 1/(AW2474:BH2474&lt;&gt;""), 1)-1)))), 0))/_xlfn.XLOOKUP(F2474,Apuração!A:A,Apuração!B:B))</f>
        <v>0.3833333333333333</v>
      </c>
      <c r="BM2474" s="55" cm="1">
        <f t="array" ref="BM2474">IFERROR(
   INDEX($AW$1:$BH$1,
      _xlfn.AGGREGATE(14, 6, COLUMN($AW$1:$BH$1)/(AW2474:BH2474&lt;&gt;""), 2) - COLUMN($AW$1) + 1
   ),
"")</f>
        <v>46113</v>
      </c>
      <c r="BN2474" s="55" cm="1">
        <f t="array" ref="BN2474">IFERROR(INDEX($AW$1:$BH$1,1,MATCH(2,1/(AW2474:BH2474&lt;&gt;""))),"")</f>
        <v>46143</v>
      </c>
      <c r="BO2474" s="53">
        <f ca="1">IFERROR(_xlfn.XLOOKUP(F2474,Apuração!A:A,Apuração!C:C)/_xlfn.XLOOKUP(F2474,Apuração!A:A,Apuração!B:B),0)</f>
        <v>0.41666666666666669</v>
      </c>
      <c r="BP2474" s="53">
        <f ca="1">IFERROR(_xlfn.XLOOKUP(F2474,Apuração!A:A,Apuração!D:D)/_xlfn.XLOOKUP(F2474,Apuração!A:A,Apuração!B:B),0)</f>
        <v>0.33333333333333331</v>
      </c>
      <c r="BQ2474" s="53">
        <f ca="1">IF(BK2474&gt;=BO2474,0,_xlfn.XLOOKUP(F2474,Apuração!A:A,Apuração!B:B)*(BO2474 + (1/_xlfn.XLOOKUP(F2474,Apuração!A:A,Apuração!B:B)) - BK2474))</f>
        <v>0</v>
      </c>
      <c r="BR2474" s="85">
        <f t="shared" ca="1" si="2957"/>
        <v>0</v>
      </c>
      <c r="BS2474" s="53">
        <f ca="1">IFERROR((_xlfn.XLOOKUP(F2474,Apuração!A:A,Apuração!C:C)+1)/_xlfn.XLOOKUP(F2474,Apuração!A:A,Apuração!B:B),0)</f>
        <v>0.5</v>
      </c>
    </row>
    <row r="2475" spans="1:71" ht="25.95" hidden="1" customHeight="1" x14ac:dyDescent="0.3">
      <c r="A2475" s="42" t="s">
        <v>134</v>
      </c>
      <c r="B2475" s="4" t="s">
        <v>158</v>
      </c>
      <c r="C2475" s="5" t="s">
        <v>221</v>
      </c>
      <c r="D2475" s="5" t="s">
        <v>212</v>
      </c>
      <c r="E2475" s="4" t="str" cm="1">
        <f t="array" ref="E2475">_xlfn.IFS(
F2475 = "A partir de Abril", "Aguardando Execução na Distribuidora",
A2475 = "CAPACITAÇÃO", "Em execução no Corporativo",
TRUE, "Em Execução na Distribuidora"
)</f>
        <v>Em Execução na Distribuidora</v>
      </c>
      <c r="F2475" s="4" t="str" cm="1">
        <f t="array" ref="F2475">_xlfn.IFS(
AG2475 &lt;&gt; "", "Jan-Dez/26",
AH2475 &lt;&gt; "", "Fev-Dez/26",
AI2475 &lt;&gt; "", "Mar-Dez/26", AJ2475 &lt;&gt; "", "Abr-Dez/26",
TRUE, "A partir de Junho"
)</f>
        <v>Abr-Dez/26</v>
      </c>
      <c r="G2475" s="4" t="s">
        <v>37</v>
      </c>
      <c r="H2475" s="7" t="s">
        <v>38</v>
      </c>
      <c r="I2475" s="8" t="s">
        <v>163</v>
      </c>
      <c r="J2475" s="8" t="str" cm="1">
        <f t="array" aca="1" ref="J2475" ca="1">_xlfn.LET(
  _xlpm.actual_value_month, INDEX(T2475:AE2475, MATCH(DATE(YEAR(TODAY()), MONTH(TODAY()), 1), $T$1:$AE$1, 0)),
  IF(_xlpm.actual_value_month &lt;&gt; "",_xlpm.actual_value_month &amp; " ações mensais", "")
)</f>
        <v/>
      </c>
      <c r="K2475" s="8" t="str" cm="1">
        <f t="array" ref="K2475">_xlfn.LET(
    _xlpm.sum_month, SUM(T2475:AE2475),
    IF(_xlpm.sum_month = 0, "", _xlpm.sum_month &amp; " DSS no ano")
)</f>
        <v/>
      </c>
      <c r="L2475" s="9" t="s">
        <v>164</v>
      </c>
      <c r="M2475" s="24">
        <v>1</v>
      </c>
      <c r="N2475" s="5" t="s">
        <v>51</v>
      </c>
      <c r="O2475" s="111" t="s">
        <v>52</v>
      </c>
      <c r="P2475" s="10" t="s">
        <v>146</v>
      </c>
      <c r="Q2475" s="10" t="s">
        <v>72</v>
      </c>
      <c r="R2475" s="11" t="s">
        <v>147</v>
      </c>
      <c r="S2475" s="11" t="s">
        <v>162</v>
      </c>
      <c r="T2475" s="22"/>
      <c r="U2475" s="22"/>
      <c r="V2475" s="22"/>
      <c r="W2475" s="22"/>
      <c r="X2475" s="22"/>
      <c r="Y2475" s="22"/>
      <c r="Z2475" s="22"/>
      <c r="AA2475" s="22"/>
      <c r="AB2475" s="22"/>
      <c r="AC2475" s="22"/>
      <c r="AD2475" s="22"/>
      <c r="AE2475" s="22"/>
      <c r="AG2475" s="71"/>
      <c r="AH2475" s="71"/>
      <c r="AI2475" s="71"/>
      <c r="AJ2475" s="145">
        <v>214</v>
      </c>
      <c r="AK2475" s="71">
        <v>192</v>
      </c>
      <c r="AL2475" s="71"/>
      <c r="AM2475" s="71"/>
      <c r="AN2475" s="71"/>
      <c r="AO2475" s="71"/>
      <c r="AP2475" s="71"/>
      <c r="AQ2475" s="71"/>
      <c r="AR2475" s="71"/>
      <c r="AS2475" s="94">
        <f t="shared" ref="AS2475:AS2476" ca="1" si="3067">IF(MONTH(TODAY())=3,SUM(T2475:U2475),IF(MONTH(TODAY())=4,SUM(T2475:V2475),IF(MONTH(TODAY())=5,SUM(T2475:W2475),IF(MONTH(TODAY())=6,SUM(T2475:X2475),IF(MONTH(TODAY())=7,SUM(T2475:Y2475),IF(MONTH(TODAY())=8,SUM(T2475:Z2475),IF(MONTH(TODAY())=9,SUM(T2475:AA2475),IF(MONTH(TODAY())=10,SUM(T2475:AB2475),IF(MONTH(TODAY())=11,SUM(T2475:AC2475),IF(MONTH(TODAY())=12,SUM(T2475:AD2475),IF(MONTH(TODAY())=1,SUM(T2475:AE2475),T2475)))))))))))</f>
        <v>0</v>
      </c>
      <c r="AT2475" s="95">
        <f t="shared" ref="AT2475:AT2476" si="3068">SUM(IF(AW2475&lt;1.15,AG2475,1.15*T2475),IF(AX2475&lt;1.15,AH2475,1.15*U2475),IF(AY2475&lt;1.15,AI2475,1.15*V2475),IF(AZ2475&lt;1.15,AJ2475,1.15*W2475),IF(BA2475&lt;1.15,AK2475,1.15*X2475),IF(BB2475&lt;1.15,AL2475,1.15*Y2475),IF(BC2475&lt;1.15,AM2475,1.15*Z2475),IF(BD2475&lt;1.15,AN2475,1.15*AA2475),IF(BE2475&lt;1.15,AO2475,1.15*AB2475),IF(BF2475&lt;1.15,AP2475,1.15*AC2475),IF(BG2475&lt;1.15,AQ2475,1.15*AD2475),IF(BH2475&lt;1.15,AR2475,1.15*AE2475))</f>
        <v>0</v>
      </c>
      <c r="AU2475" s="97">
        <f t="shared" ref="AU2475:AU2476" si="3069">SUM(AG2475:AR2475)</f>
        <v>406</v>
      </c>
      <c r="AW2475" s="83">
        <f t="shared" ref="AW2475:AW2476" si="3070">AG2475</f>
        <v>0</v>
      </c>
      <c r="AX2475" s="83">
        <f t="shared" ref="AX2475:AX2476" si="3071">AH2475</f>
        <v>0</v>
      </c>
      <c r="AY2475" s="83">
        <f t="shared" ref="AY2475:AY2476" si="3072">AI2475</f>
        <v>0</v>
      </c>
      <c r="AZ2475" s="83">
        <f t="shared" ref="AZ2475:AZ2476" si="3073">AJ2475</f>
        <v>214</v>
      </c>
      <c r="BA2475" s="83">
        <f t="shared" si="3066"/>
        <v>192</v>
      </c>
      <c r="BB2475" s="52"/>
      <c r="BC2475" s="52"/>
      <c r="BD2475" s="52"/>
      <c r="BE2475" s="52"/>
      <c r="BF2475" s="52"/>
      <c r="BG2475" s="52"/>
      <c r="BH2475" s="52"/>
      <c r="BI2475" s="65" cm="1">
        <f t="array" ref="BI2475">IFERROR(INDEX(AW2475:BH2475,1,MATCH(2,1/(AW2475:BH2475&lt;&gt;""))),"")</f>
        <v>192</v>
      </c>
      <c r="BJ2475" s="68" cm="1">
        <f t="array" ref="BJ2475">IF(BM2475 = "", "",IFERROR(INDEX(AW2475:BH2475,1,MATCH(2,1/(AW2475:BH2475&lt;&gt;""),1)-1),""))</f>
        <v>214</v>
      </c>
      <c r="BK2475" s="58">
        <f>IF((IF(AW2475&gt;=115%,115%,AW2475) + IF(AX2475&gt;=115%,115%,AX2475) + IF(AY2475&gt;=115%,115%,AY2475) + (IF(AZ2475&gt;=115%,115%,AZ2475) + IF(BA2475&gt;=135%,135%,BA2475) + IF(BB2475&gt;=115%,115%,BB2475) + IF(BC2475&gt;=115%,115%,BC2475) + IF(BD2475&gt;=115%,115%,BD2475) + IF(BE2475&gt;=115%,115%,BE2475) + IF(BF2475&gt;=115%,115%,BF2475) + IF(BG2475&gt;=115%,115%,BG2475) + IF(BH2475&gt;=115%,115%,BH2475)))/_xlfn.XLOOKUP(F2475,Apuração!A:A,Apuração!B:B)&gt;=1.15,1.15,((IF(AZ2475&gt;=115%,115%,AZ2475) + IF(AX2475&gt;=115%,115%,AX2475) + IF(AY2475&gt;=115%,115%,AY2475) + (IF(AW2475&gt;=115%,115%,AW2475) + IF(BA2475&gt;=135%,135%,BA2475) + IF(BB2475&gt;=115%,115%,BB2475) + IF(BC2475&gt;=115%,115%,BC2475) + IF(BD2475&gt;=115%,115%,BD2475) + IF(BE2475&gt;=115%,115%,BE2475) + IF(BF2475&gt;=115%,115%,BF2475) + IF(BG2475&gt;=115%,115%,BG2475) + IF(BH2475&gt;=115%,115%,BH2475)))/_xlfn.XLOOKUP(F2475,Apuração!A:A,Apuração!B:B)))</f>
        <v>0.27777777777777779</v>
      </c>
      <c r="BL2475" s="58" cm="1">
        <f t="array" aca="1" ref="BL2475" ca="1">IF(SUM(IFERROR(IF(INDEX(AW2475:INDEX(AW2475:BH2475, MATCH(2, 1/(AW2475:BH2475&lt;&gt;""), 1)-1), ROW(INDIRECT("1:" &amp; MATCH(2, 1/(AW2475:BH2475&lt;&gt;""), 1)-1))) &gt;= 115%, 115%, INDEX(AW2475:INDEX(AW2475:BH2475, MATCH(2, 1/(AW2475:BH2475&lt;&gt;""), 1)-1), ROW(INDIRECT("1:" &amp; MATCH(2, 1/(AW2475:BH2475&lt;&gt;""), 1)-1)))), 0))/_xlfn.XLOOKUP(F2475,Apuração!A:A,Apuração!B:B)&gt;=1.15,1.15,SUM(IFERROR(IF(INDEX(AW2475:INDEX(AW2475:BH2475, MATCH(2, 1/(AW2475:BH2475&lt;&gt;""), 1)-1), ROW(INDIRECT("1:" &amp; MATCH(2, 1/(AW2475:BH2475&lt;&gt;""), 1)-1))) &gt;= 115%, 115%, INDEX(AW2475:INDEX(AW2475:BH2475, MATCH(2, 1/(AW2475:BH2475&lt;&gt;""), 1)-1), ROW(INDIRECT("1:" &amp; MATCH(2, 1/(AW2475:BH2475&lt;&gt;""), 1)-1)))), 0))/_xlfn.XLOOKUP(F2475,Apuração!A:A,Apuração!B:B))</f>
        <v>0.12777777777777777</v>
      </c>
      <c r="BM2475" s="55" cm="1">
        <f t="array" ref="BM2475">IFERROR(
   INDEX($AW$1:$BH$1,
      _xlfn.AGGREGATE(14, 6, COLUMN($AW$1:$BH$1)/(AW2475:BH2475&lt;&gt;""), 2) - COLUMN($AW$1) + 1
   ),
"")</f>
        <v>46113</v>
      </c>
      <c r="BN2475" s="55" cm="1">
        <f t="array" ref="BN2475">IFERROR(INDEX($AW$1:$BH$1,1,MATCH(2,1/(AW2475:BH2475&lt;&gt;""))),"")</f>
        <v>46143</v>
      </c>
      <c r="BO2475" s="53">
        <f ca="1">IFERROR(_xlfn.XLOOKUP(F2475,Apuração!A:A,Apuração!C:C)/_xlfn.XLOOKUP(F2475,Apuração!A:A,Apuração!B:B),0)</f>
        <v>0.22222222222222221</v>
      </c>
      <c r="BP2475" s="53">
        <f ca="1">IFERROR(_xlfn.XLOOKUP(F2475,Apuração!A:A,Apuração!D:D)/_xlfn.XLOOKUP(F2475,Apuração!A:A,Apuração!B:B),0)</f>
        <v>0.1111111111111111</v>
      </c>
      <c r="BQ2475" s="53">
        <f ca="1">IF(BK2475&gt;=BO2475,0,_xlfn.XLOOKUP(F2475,Apuração!A:A,Apuração!B:B)*(BO2475 + (1/_xlfn.XLOOKUP(F2475,Apuração!A:A,Apuração!B:B)) - BK2475))</f>
        <v>0</v>
      </c>
      <c r="BR2475" s="85">
        <f t="shared" ref="BR2475:BR2476" ca="1" si="3074">IF(BQ2475=0,0,BQ2475*Z2475)</f>
        <v>0</v>
      </c>
      <c r="BS2475" s="53">
        <f ca="1">IFERROR((_xlfn.XLOOKUP(F2475,Apuração!A:A,Apuração!C:C)+1)/_xlfn.XLOOKUP(F2475,Apuração!A:A,Apuração!B:B),0)</f>
        <v>0.33333333333333331</v>
      </c>
    </row>
    <row r="2476" spans="1:71" ht="25.95" hidden="1" customHeight="1" x14ac:dyDescent="0.3">
      <c r="A2476" s="42" t="s">
        <v>134</v>
      </c>
      <c r="B2476" s="4" t="s">
        <v>158</v>
      </c>
      <c r="C2476" s="5" t="s">
        <v>221</v>
      </c>
      <c r="D2476" s="5" t="s">
        <v>213</v>
      </c>
      <c r="E2476" s="4" t="str" cm="1">
        <f t="array" ref="E2476">_xlfn.IFS(
F2476 = "A partir de Abril", "Aguardando Execução na Distribuidora",
A2476 = "CAPACITAÇÃO", "Em execução no Corporativo",
TRUE, "Em Execução na Distribuidora"
)</f>
        <v>Em Execução na Distribuidora</v>
      </c>
      <c r="F2476" s="4" t="str" cm="1">
        <f t="array" ref="F2476">_xlfn.IFS(
AG2476 &lt;&gt; "", "Jan-Dez/26",
AH2476 &lt;&gt; "", "Fev-Dez/26",
AI2476 &lt;&gt; "", "Mar-Dez/26", AJ2476 &lt;&gt; "", "Abr-Dez/26",
TRUE, "A partir de Junho"
)</f>
        <v>Abr-Dez/26</v>
      </c>
      <c r="G2476" s="4" t="s">
        <v>37</v>
      </c>
      <c r="H2476" s="7" t="s">
        <v>38</v>
      </c>
      <c r="I2476" s="8" t="s">
        <v>163</v>
      </c>
      <c r="J2476" s="8" t="str" cm="1">
        <f t="array" aca="1" ref="J2476" ca="1">_xlfn.LET(
  _xlpm.actual_value_month, INDEX(T2476:AE2476, MATCH(DATE(YEAR(TODAY()), MONTH(TODAY()), 1), $T$1:$AE$1, 0)),
  IF(_xlpm.actual_value_month &lt;&gt; "",_xlpm.actual_value_month &amp; " ações mensais", "")
)</f>
        <v/>
      </c>
      <c r="K2476" s="8" t="str" cm="1">
        <f t="array" ref="K2476">_xlfn.LET(
    _xlpm.sum_month, SUM(T2476:AE2476),
    IF(_xlpm.sum_month = 0, "", _xlpm.sum_month &amp; " DSS no ano")
)</f>
        <v/>
      </c>
      <c r="L2476" s="9" t="s">
        <v>164</v>
      </c>
      <c r="M2476" s="24">
        <v>1</v>
      </c>
      <c r="N2476" s="5" t="s">
        <v>51</v>
      </c>
      <c r="O2476" s="111" t="s">
        <v>52</v>
      </c>
      <c r="P2476" s="10" t="s">
        <v>146</v>
      </c>
      <c r="Q2476" s="10" t="s">
        <v>72</v>
      </c>
      <c r="R2476" s="11" t="s">
        <v>147</v>
      </c>
      <c r="S2476" s="11" t="s">
        <v>162</v>
      </c>
      <c r="T2476" s="22"/>
      <c r="U2476" s="22"/>
      <c r="V2476" s="22"/>
      <c r="W2476" s="22"/>
      <c r="X2476" s="22"/>
      <c r="Y2476" s="22"/>
      <c r="Z2476" s="22"/>
      <c r="AA2476" s="22"/>
      <c r="AB2476" s="22"/>
      <c r="AC2476" s="22"/>
      <c r="AD2476" s="22"/>
      <c r="AE2476" s="22"/>
      <c r="AG2476" s="71"/>
      <c r="AH2476" s="71"/>
      <c r="AI2476" s="71"/>
      <c r="AJ2476" s="146">
        <v>121</v>
      </c>
      <c r="AK2476" s="71">
        <v>243</v>
      </c>
      <c r="AL2476" s="71"/>
      <c r="AM2476" s="71"/>
      <c r="AN2476" s="71"/>
      <c r="AO2476" s="71"/>
      <c r="AP2476" s="71"/>
      <c r="AQ2476" s="71"/>
      <c r="AR2476" s="71"/>
      <c r="AS2476" s="94">
        <f t="shared" ca="1" si="3067"/>
        <v>0</v>
      </c>
      <c r="AT2476" s="95">
        <f t="shared" si="3068"/>
        <v>0</v>
      </c>
      <c r="AU2476" s="97">
        <f t="shared" si="3069"/>
        <v>364</v>
      </c>
      <c r="AW2476" s="83">
        <f t="shared" si="3070"/>
        <v>0</v>
      </c>
      <c r="AX2476" s="83">
        <f t="shared" si="3071"/>
        <v>0</v>
      </c>
      <c r="AY2476" s="83">
        <f t="shared" si="3072"/>
        <v>0</v>
      </c>
      <c r="AZ2476" s="83">
        <f t="shared" si="3073"/>
        <v>121</v>
      </c>
      <c r="BA2476" s="83">
        <f t="shared" si="3066"/>
        <v>243</v>
      </c>
      <c r="BB2476" s="52"/>
      <c r="BC2476" s="52"/>
      <c r="BD2476" s="52"/>
      <c r="BE2476" s="52"/>
      <c r="BF2476" s="52"/>
      <c r="BG2476" s="52"/>
      <c r="BH2476" s="52"/>
      <c r="BI2476" s="65" cm="1">
        <f t="array" ref="BI2476">IFERROR(INDEX(AW2476:BH2476,1,MATCH(2,1/(AW2476:BH2476&lt;&gt;""))),"")</f>
        <v>243</v>
      </c>
      <c r="BJ2476" s="68" cm="1">
        <f t="array" ref="BJ2476">IF(BM2476 = "", "",IFERROR(INDEX(AW2476:BH2476,1,MATCH(2,1/(AW2476:BH2476&lt;&gt;""),1)-1),""))</f>
        <v>121</v>
      </c>
      <c r="BK2476" s="58">
        <f>IF((IF(AW2476&gt;=115%,115%,AW2476) + IF(AX2476&gt;=115%,115%,AX2476) + IF(AY2476&gt;=115%,115%,AY2476) + (IF(AZ2476&gt;=115%,115%,AZ2476) + IF(BA2476&gt;=135%,135%,BA2476) + IF(BB2476&gt;=115%,115%,BB2476) + IF(BC2476&gt;=115%,115%,BC2476) + IF(BD2476&gt;=115%,115%,BD2476) + IF(BE2476&gt;=115%,115%,BE2476) + IF(BF2476&gt;=115%,115%,BF2476) + IF(BG2476&gt;=115%,115%,BG2476) + IF(BH2476&gt;=115%,115%,BH2476)))/_xlfn.XLOOKUP(F2476,Apuração!A:A,Apuração!B:B)&gt;=1.15,1.15,((IF(AZ2476&gt;=115%,115%,AZ2476) + IF(AX2476&gt;=115%,115%,AX2476) + IF(AY2476&gt;=115%,115%,AY2476) + (IF(AW2476&gt;=115%,115%,AW2476) + IF(BA2476&gt;=135%,135%,BA2476) + IF(BB2476&gt;=115%,115%,BB2476) + IF(BC2476&gt;=115%,115%,BC2476) + IF(BD2476&gt;=115%,115%,BD2476) + IF(BE2476&gt;=115%,115%,BE2476) + IF(BF2476&gt;=115%,115%,BF2476) + IF(BG2476&gt;=115%,115%,BG2476) + IF(BH2476&gt;=115%,115%,BH2476)))/_xlfn.XLOOKUP(F2476,Apuração!A:A,Apuração!B:B)))</f>
        <v>0.27777777777777779</v>
      </c>
      <c r="BL2476" s="58" cm="1">
        <f t="array" aca="1" ref="BL2476" ca="1">IF(SUM(IFERROR(IF(INDEX(AW2476:INDEX(AW2476:BH2476, MATCH(2, 1/(AW2476:BH2476&lt;&gt;""), 1)-1), ROW(INDIRECT("1:" &amp; MATCH(2, 1/(AW2476:BH2476&lt;&gt;""), 1)-1))) &gt;= 115%, 115%, INDEX(AW2476:INDEX(AW2476:BH2476, MATCH(2, 1/(AW2476:BH2476&lt;&gt;""), 1)-1), ROW(INDIRECT("1:" &amp; MATCH(2, 1/(AW2476:BH2476&lt;&gt;""), 1)-1)))), 0))/_xlfn.XLOOKUP(F2476,Apuração!A:A,Apuração!B:B)&gt;=1.15,1.15,SUM(IFERROR(IF(INDEX(AW2476:INDEX(AW2476:BH2476, MATCH(2, 1/(AW2476:BH2476&lt;&gt;""), 1)-1), ROW(INDIRECT("1:" &amp; MATCH(2, 1/(AW2476:BH2476&lt;&gt;""), 1)-1))) &gt;= 115%, 115%, INDEX(AW2476:INDEX(AW2476:BH2476, MATCH(2, 1/(AW2476:BH2476&lt;&gt;""), 1)-1), ROW(INDIRECT("1:" &amp; MATCH(2, 1/(AW2476:BH2476&lt;&gt;""), 1)-1)))), 0))/_xlfn.XLOOKUP(F2476,Apuração!A:A,Apuração!B:B))</f>
        <v>0.12777777777777777</v>
      </c>
      <c r="BM2476" s="55" cm="1">
        <f t="array" ref="BM2476">IFERROR(
   INDEX($AW$1:$BH$1,
      _xlfn.AGGREGATE(14, 6, COLUMN($AW$1:$BH$1)/(AW2476:BH2476&lt;&gt;""), 2) - COLUMN($AW$1) + 1
   ),
"")</f>
        <v>46113</v>
      </c>
      <c r="BN2476" s="55" cm="1">
        <f t="array" ref="BN2476">IFERROR(INDEX($AW$1:$BH$1,1,MATCH(2,1/(AW2476:BH2476&lt;&gt;""))),"")</f>
        <v>46143</v>
      </c>
      <c r="BO2476" s="53">
        <f ca="1">IFERROR(_xlfn.XLOOKUP(F2476,Apuração!A:A,Apuração!C:C)/_xlfn.XLOOKUP(F2476,Apuração!A:A,Apuração!B:B),0)</f>
        <v>0.22222222222222221</v>
      </c>
      <c r="BP2476" s="53">
        <f ca="1">IFERROR(_xlfn.XLOOKUP(F2476,Apuração!A:A,Apuração!D:D)/_xlfn.XLOOKUP(F2476,Apuração!A:A,Apuração!B:B),0)</f>
        <v>0.1111111111111111</v>
      </c>
      <c r="BQ2476" s="53">
        <f ca="1">IF(BK2476&gt;=BO2476,0,_xlfn.XLOOKUP(F2476,Apuração!A:A,Apuração!B:B)*(BO2476 + (1/_xlfn.XLOOKUP(F2476,Apuração!A:A,Apuração!B:B)) - BK2476))</f>
        <v>0</v>
      </c>
      <c r="BR2476" s="85">
        <f t="shared" ca="1" si="3074"/>
        <v>0</v>
      </c>
      <c r="BS2476" s="53">
        <f ca="1">IFERROR((_xlfn.XLOOKUP(F2476,Apuração!A:A,Apuração!C:C)+1)/_xlfn.XLOOKUP(F2476,Apuração!A:A,Apuração!B:B),0)</f>
        <v>0.33333333333333331</v>
      </c>
    </row>
    <row r="2477" spans="1:71" ht="25.95" hidden="1" customHeight="1" x14ac:dyDescent="0.3">
      <c r="A2477" s="42" t="s">
        <v>134</v>
      </c>
      <c r="B2477" s="4" t="s">
        <v>158</v>
      </c>
      <c r="C2477" s="5" t="s">
        <v>221</v>
      </c>
      <c r="D2477" s="5" t="s">
        <v>36</v>
      </c>
      <c r="E2477" s="4" t="s">
        <v>61</v>
      </c>
      <c r="F2477" s="4" t="str" cm="1">
        <f t="array" ref="F2477">_xlfn.IFS(
AG2477 &lt;&gt; "", "Jan-Dez/26",
AH2477 &lt;&gt; "", "Fev-Dez/26",
AI2477 &lt;&gt; "", "Mar-Dez/26", AJ2477 &lt;&gt; "", "Abr-Dez/26",
TRUE, "A partir de Junho"
)</f>
        <v>A partir de Junho</v>
      </c>
      <c r="G2477" s="4" t="s">
        <v>62</v>
      </c>
      <c r="H2477" s="7" t="s">
        <v>38</v>
      </c>
      <c r="I2477" s="8" t="s">
        <v>165</v>
      </c>
      <c r="J2477" s="8" t="str" cm="1">
        <f t="array" aca="1" ref="J2477" ca="1">_xlfn.LET(
  _xlpm.actual_value_month, INDEX(T2477:AE2477, MATCH(DATE(YEAR(TODAY()), MONTH(TODAY()), 1), $T$1:$AE$1, 0)),
  IF(_xlpm.actual_value_month &lt;&gt; "",_xlpm.actual_value_month &amp; " ações mensais", "")
)</f>
        <v/>
      </c>
      <c r="K2477" s="8" t="str" cm="1">
        <f t="array" ref="K2477">_xlfn.LET(
    _xlpm.sum_month, SUM(T2477:AE2477),
    IF(_xlpm.sum_month = 0, "", _xlpm.sum_month &amp; " participações de líderes nas agendas semanais")
)</f>
        <v/>
      </c>
      <c r="L2477" s="4" t="s">
        <v>166</v>
      </c>
      <c r="M2477" s="24"/>
      <c r="N2477" s="5" t="s">
        <v>51</v>
      </c>
      <c r="O2477" s="111" t="s">
        <v>43</v>
      </c>
      <c r="P2477" s="10" t="s">
        <v>44</v>
      </c>
      <c r="Q2477" s="10" t="s">
        <v>44</v>
      </c>
      <c r="R2477" s="11" t="s">
        <v>44</v>
      </c>
      <c r="S2477" s="11" t="s">
        <v>44</v>
      </c>
      <c r="T2477" s="22"/>
      <c r="U2477" s="22"/>
      <c r="V2477" s="22"/>
      <c r="W2477" s="22"/>
      <c r="X2477" s="22"/>
      <c r="Y2477" s="22"/>
      <c r="Z2477" s="22"/>
      <c r="AA2477" s="22"/>
      <c r="AB2477" s="22"/>
      <c r="AC2477" s="22"/>
      <c r="AD2477" s="22"/>
      <c r="AE2477" s="22"/>
      <c r="AG2477" s="71"/>
      <c r="AH2477" s="71"/>
      <c r="AI2477" s="71"/>
      <c r="AJ2477" s="71"/>
      <c r="AK2477" s="71">
        <v>0</v>
      </c>
      <c r="AL2477" s="71"/>
      <c r="AM2477" s="71"/>
      <c r="AN2477" s="71"/>
      <c r="AO2477" s="71"/>
      <c r="AP2477" s="71"/>
      <c r="AQ2477" s="71"/>
      <c r="AR2477" s="71"/>
      <c r="AS2477" s="94">
        <f t="shared" ca="1" si="2977"/>
        <v>0</v>
      </c>
      <c r="AT2477" s="95">
        <f>SUM(AG2477:AR2477)</f>
        <v>0</v>
      </c>
      <c r="AU2477" s="97">
        <f t="shared" si="2978"/>
        <v>0</v>
      </c>
      <c r="AW2477" s="83">
        <f t="shared" si="3066"/>
        <v>0</v>
      </c>
      <c r="AX2477" s="83">
        <f t="shared" si="3066"/>
        <v>0</v>
      </c>
      <c r="AY2477" s="83">
        <f t="shared" si="3066"/>
        <v>0</v>
      </c>
      <c r="AZ2477" s="83">
        <f t="shared" si="3066"/>
        <v>0</v>
      </c>
      <c r="BA2477" s="83">
        <f t="shared" si="3066"/>
        <v>0</v>
      </c>
      <c r="BB2477" s="52"/>
      <c r="BC2477" s="52"/>
      <c r="BD2477" s="52"/>
      <c r="BE2477" s="52"/>
      <c r="BF2477" s="52"/>
      <c r="BG2477" s="52"/>
      <c r="BH2477" s="52"/>
      <c r="BI2477" s="68" cm="1">
        <f t="array" ref="BI2477">IFERROR(INDEX(AW2477:BH2477,1,MATCH(2,1/(AW2477:BH2477&lt;&gt;""))),"")</f>
        <v>0</v>
      </c>
      <c r="BJ2477" s="68" cm="1">
        <f t="array" ref="BJ2477">IF(BM2477 = "", "",IFERROR(INDEX(AW2477:BH2477,1,MATCH(2,1/(AW2477:BH2477&lt;&gt;""),1)-1),""))</f>
        <v>0</v>
      </c>
      <c r="BK2477" s="59">
        <f>SUM(AW2477:BH2477)</f>
        <v>0</v>
      </c>
      <c r="BL2477" s="87" cm="1">
        <f t="array" ref="BL2477">IFERROR(SUM(AW2477:INDEX(AW2477:BH2477, MATCH(2, 1/(AW2477:BH2477&lt;&gt;""), 1) - 1))/_xlfn.XLOOKUP(F2477,Apuração!A:A,Apuração!B:B),0)</f>
        <v>0</v>
      </c>
      <c r="BM2477" s="55" cm="1">
        <f t="array" ref="BM2477">IFERROR(
   INDEX($AW$1:$BH$1,
      _xlfn.AGGREGATE(14, 6, COLUMN($AW$1:$BH$1)/(AW2477:BH2477&lt;&gt;""), 2) - COLUMN($AW$1) + 1
   ),
"")</f>
        <v>46113</v>
      </c>
      <c r="BN2477" s="55" cm="1">
        <f t="array" ref="BN2477">IFERROR(INDEX($AW$1:$BH$1,1,MATCH(2,1/(AW2477:BH2477&lt;&gt;""))),"")</f>
        <v>46143</v>
      </c>
      <c r="BO2477" s="53">
        <f ca="1">IFERROR(_xlfn.XLOOKUP(F2477,Apuração!A:A,Apuração!C:C)/_xlfn.XLOOKUP(F2477,Apuração!A:A,Apuração!B:B),0)</f>
        <v>0</v>
      </c>
      <c r="BP2477" s="53">
        <f ca="1">IFERROR(_xlfn.XLOOKUP(F2477,Apuração!A:A,Apuração!D:D)/_xlfn.XLOOKUP(F2477,Apuração!A:A,Apuração!B:B),0)</f>
        <v>0</v>
      </c>
      <c r="BQ2477" s="53">
        <f ca="1">IF(BK2477&gt;=BO2477,0,_xlfn.XLOOKUP(F2477,Apuração!A:A,Apuração!B:B)*(BO2477 + (1/_xlfn.XLOOKUP(F2477,Apuração!A:A,Apuração!B:B)) - BK2477))</f>
        <v>0</v>
      </c>
      <c r="BR2477" s="85">
        <f t="shared" ca="1" si="2957"/>
        <v>0</v>
      </c>
      <c r="BS2477" s="53">
        <f ca="1">IFERROR((_xlfn.XLOOKUP(F2477,Apuração!A:A,Apuração!C:C)+1)/_xlfn.XLOOKUP(F2477,Apuração!A:A,Apuração!B:B),0)</f>
        <v>0.14285714285714285</v>
      </c>
    </row>
    <row r="2478" spans="1:71" ht="25.95" hidden="1" customHeight="1" x14ac:dyDescent="0.3">
      <c r="A2478" s="42" t="s">
        <v>134</v>
      </c>
      <c r="B2478" s="4" t="s">
        <v>158</v>
      </c>
      <c r="C2478" s="5" t="s">
        <v>221</v>
      </c>
      <c r="D2478" s="5" t="s">
        <v>212</v>
      </c>
      <c r="E2478" s="4" t="s">
        <v>61</v>
      </c>
      <c r="F2478" s="4" t="str" cm="1">
        <f t="array" ref="F2478">_xlfn.IFS(
AG2478 &lt;&gt; "", "Jan-Dez/26",
AH2478 &lt;&gt; "", "Fev-Dez/26",
AI2478 &lt;&gt; "", "Mar-Dez/26", AJ2478 &lt;&gt; "", "Abr-Dez/26",
TRUE, "A partir de Junho"
)</f>
        <v>A partir de Junho</v>
      </c>
      <c r="G2478" s="4" t="s">
        <v>62</v>
      </c>
      <c r="H2478" s="7" t="s">
        <v>38</v>
      </c>
      <c r="I2478" s="8" t="s">
        <v>165</v>
      </c>
      <c r="J2478" s="8" t="str" cm="1">
        <f t="array" aca="1" ref="J2478" ca="1">_xlfn.LET(
  _xlpm.actual_value_month, INDEX(T2478:AE2478, MATCH(DATE(YEAR(TODAY()), MONTH(TODAY()), 1), $T$1:$AE$1, 0)),
  IF(_xlpm.actual_value_month &lt;&gt; "",_xlpm.actual_value_month &amp; " ações mensais", "")
)</f>
        <v/>
      </c>
      <c r="K2478" s="8" t="str" cm="1">
        <f t="array" ref="K2478">_xlfn.LET(
    _xlpm.sum_month, SUM(T2478:AE2478),
    IF(_xlpm.sum_month = 0, "", _xlpm.sum_month &amp; " participações de líderes nas agendas semanais")
)</f>
        <v/>
      </c>
      <c r="L2478" s="4" t="s">
        <v>166</v>
      </c>
      <c r="M2478" s="24"/>
      <c r="N2478" s="5" t="s">
        <v>51</v>
      </c>
      <c r="O2478" s="111" t="s">
        <v>43</v>
      </c>
      <c r="P2478" s="10" t="s">
        <v>44</v>
      </c>
      <c r="Q2478" s="10" t="s">
        <v>44</v>
      </c>
      <c r="R2478" s="11" t="s">
        <v>44</v>
      </c>
      <c r="S2478" s="11" t="s">
        <v>44</v>
      </c>
      <c r="T2478" s="22"/>
      <c r="U2478" s="22"/>
      <c r="V2478" s="22"/>
      <c r="W2478" s="22"/>
      <c r="X2478" s="22"/>
      <c r="Y2478" s="22"/>
      <c r="Z2478" s="22"/>
      <c r="AA2478" s="22"/>
      <c r="AB2478" s="22"/>
      <c r="AC2478" s="22"/>
      <c r="AD2478" s="22"/>
      <c r="AE2478" s="22"/>
      <c r="AG2478" s="71"/>
      <c r="AH2478" s="71"/>
      <c r="AI2478" s="71"/>
      <c r="AJ2478" s="71"/>
      <c r="AK2478" s="71">
        <v>0</v>
      </c>
      <c r="AL2478" s="71"/>
      <c r="AM2478" s="71"/>
      <c r="AN2478" s="71"/>
      <c r="AO2478" s="71"/>
      <c r="AP2478" s="71"/>
      <c r="AQ2478" s="71"/>
      <c r="AR2478" s="71"/>
      <c r="AS2478" s="94">
        <f t="shared" ref="AS2478:AS2479" ca="1" si="3075">IF(MONTH(TODAY())=3,SUM(T2478:U2478),IF(MONTH(TODAY())=4,SUM(T2478:V2478),IF(MONTH(TODAY())=5,SUM(T2478:W2478),IF(MONTH(TODAY())=6,SUM(T2478:X2478),IF(MONTH(TODAY())=7,SUM(T2478:Y2478),IF(MONTH(TODAY())=8,SUM(T2478:Z2478),IF(MONTH(TODAY())=9,SUM(T2478:AA2478),IF(MONTH(TODAY())=10,SUM(T2478:AB2478),IF(MONTH(TODAY())=11,SUM(T2478:AC2478),IF(MONTH(TODAY())=12,SUM(T2478:AD2478),IF(MONTH(TODAY())=1,SUM(T2478:AE2478),T2478)))))))))))</f>
        <v>0</v>
      </c>
      <c r="AT2478" s="95">
        <f t="shared" ref="AT2478:AT2479" si="3076">SUM(AG2478:AR2478)</f>
        <v>0</v>
      </c>
      <c r="AU2478" s="97">
        <f t="shared" ref="AU2478:AU2479" si="3077">SUM(AG2478:AR2478)</f>
        <v>0</v>
      </c>
      <c r="AW2478" s="83">
        <f t="shared" ref="AW2478:AW2479" si="3078">AG2478</f>
        <v>0</v>
      </c>
      <c r="AX2478" s="83">
        <f t="shared" ref="AX2478:AX2479" si="3079">AH2478</f>
        <v>0</v>
      </c>
      <c r="AY2478" s="83">
        <f t="shared" ref="AY2478:AY2479" si="3080">AI2478</f>
        <v>0</v>
      </c>
      <c r="AZ2478" s="83">
        <f t="shared" ref="AZ2478:AZ2479" si="3081">AJ2478</f>
        <v>0</v>
      </c>
      <c r="BA2478" s="83">
        <f t="shared" si="3066"/>
        <v>0</v>
      </c>
      <c r="BB2478" s="52"/>
      <c r="BC2478" s="52"/>
      <c r="BD2478" s="52"/>
      <c r="BE2478" s="52"/>
      <c r="BF2478" s="52"/>
      <c r="BG2478" s="52"/>
      <c r="BH2478" s="52"/>
      <c r="BI2478" s="68" cm="1">
        <f t="array" ref="BI2478">IFERROR(INDEX(AW2478:BH2478,1,MATCH(2,1/(AW2478:BH2478&lt;&gt;""))),"")</f>
        <v>0</v>
      </c>
      <c r="BJ2478" s="68" cm="1">
        <f t="array" ref="BJ2478">IF(BM2478 = "", "",IFERROR(INDEX(AW2478:BH2478,1,MATCH(2,1/(AW2478:BH2478&lt;&gt;""),1)-1),""))</f>
        <v>0</v>
      </c>
      <c r="BK2478" s="59">
        <f t="shared" ref="BK2478:BK2479" si="3082">SUM(AW2478:BH2478)</f>
        <v>0</v>
      </c>
      <c r="BL2478" s="87" cm="1">
        <f t="array" ref="BL2478">IFERROR(SUM(AW2478:INDEX(AW2478:BH2478, MATCH(2, 1/(AW2478:BH2478&lt;&gt;""), 1) - 1))/_xlfn.XLOOKUP(F2478,Apuração!A:A,Apuração!B:B),0)</f>
        <v>0</v>
      </c>
      <c r="BM2478" s="55" cm="1">
        <f t="array" ref="BM2478">IFERROR(
   INDEX($AW$1:$BH$1,
      _xlfn.AGGREGATE(14, 6, COLUMN($AW$1:$BH$1)/(AW2478:BH2478&lt;&gt;""), 2) - COLUMN($AW$1) + 1
   ),
"")</f>
        <v>46113</v>
      </c>
      <c r="BN2478" s="55" cm="1">
        <f t="array" ref="BN2478">IFERROR(INDEX($AW$1:$BH$1,1,MATCH(2,1/(AW2478:BH2478&lt;&gt;""))),"")</f>
        <v>46143</v>
      </c>
      <c r="BO2478" s="53">
        <f ca="1">IFERROR(_xlfn.XLOOKUP(F2478,Apuração!A:A,Apuração!C:C)/_xlfn.XLOOKUP(F2478,Apuração!A:A,Apuração!B:B),0)</f>
        <v>0</v>
      </c>
      <c r="BP2478" s="53">
        <f ca="1">IFERROR(_xlfn.XLOOKUP(F2478,Apuração!A:A,Apuração!D:D)/_xlfn.XLOOKUP(F2478,Apuração!A:A,Apuração!B:B),0)</f>
        <v>0</v>
      </c>
      <c r="BQ2478" s="53">
        <f ca="1">IF(BK2478&gt;=BO2478,0,_xlfn.XLOOKUP(F2478,Apuração!A:A,Apuração!B:B)*(BO2478 + (1/_xlfn.XLOOKUP(F2478,Apuração!A:A,Apuração!B:B)) - BK2478))</f>
        <v>0</v>
      </c>
      <c r="BR2478" s="85">
        <f t="shared" ref="BR2478:BR2479" ca="1" si="3083">IF(BQ2478=0,0,BQ2478*Z2478)</f>
        <v>0</v>
      </c>
      <c r="BS2478" s="53">
        <f ca="1">IFERROR((_xlfn.XLOOKUP(F2478,Apuração!A:A,Apuração!C:C)+1)/_xlfn.XLOOKUP(F2478,Apuração!A:A,Apuração!B:B),0)</f>
        <v>0.14285714285714285</v>
      </c>
    </row>
    <row r="2479" spans="1:71" ht="25.95" hidden="1" customHeight="1" x14ac:dyDescent="0.3">
      <c r="A2479" s="42" t="s">
        <v>134</v>
      </c>
      <c r="B2479" s="4" t="s">
        <v>158</v>
      </c>
      <c r="C2479" s="5" t="s">
        <v>221</v>
      </c>
      <c r="D2479" s="5" t="s">
        <v>213</v>
      </c>
      <c r="E2479" s="4" t="s">
        <v>61</v>
      </c>
      <c r="F2479" s="4" t="str" cm="1">
        <f t="array" ref="F2479">_xlfn.IFS(
AG2479 &lt;&gt; "", "Jan-Dez/26",
AH2479 &lt;&gt; "", "Fev-Dez/26",
AI2479 &lt;&gt; "", "Mar-Dez/26", AJ2479 &lt;&gt; "", "Abr-Dez/26",
TRUE, "A partir de Junho"
)</f>
        <v>A partir de Junho</v>
      </c>
      <c r="G2479" s="4" t="s">
        <v>62</v>
      </c>
      <c r="H2479" s="7" t="s">
        <v>38</v>
      </c>
      <c r="I2479" s="8" t="s">
        <v>165</v>
      </c>
      <c r="J2479" s="8" t="str" cm="1">
        <f t="array" aca="1" ref="J2479" ca="1">_xlfn.LET(
  _xlpm.actual_value_month, INDEX(T2479:AE2479, MATCH(DATE(YEAR(TODAY()), MONTH(TODAY()), 1), $T$1:$AE$1, 0)),
  IF(_xlpm.actual_value_month &lt;&gt; "",_xlpm.actual_value_month &amp; " ações mensais", "")
)</f>
        <v/>
      </c>
      <c r="K2479" s="8" t="str" cm="1">
        <f t="array" ref="K2479">_xlfn.LET(
    _xlpm.sum_month, SUM(T2479:AE2479),
    IF(_xlpm.sum_month = 0, "", _xlpm.sum_month &amp; " participações de líderes nas agendas semanais")
)</f>
        <v/>
      </c>
      <c r="L2479" s="4" t="s">
        <v>166</v>
      </c>
      <c r="M2479" s="24"/>
      <c r="N2479" s="5" t="s">
        <v>51</v>
      </c>
      <c r="O2479" s="111" t="s">
        <v>43</v>
      </c>
      <c r="P2479" s="10" t="s">
        <v>44</v>
      </c>
      <c r="Q2479" s="10" t="s">
        <v>44</v>
      </c>
      <c r="R2479" s="11" t="s">
        <v>44</v>
      </c>
      <c r="S2479" s="11" t="s">
        <v>44</v>
      </c>
      <c r="T2479" s="22"/>
      <c r="U2479" s="22"/>
      <c r="V2479" s="22"/>
      <c r="W2479" s="22"/>
      <c r="X2479" s="22"/>
      <c r="Y2479" s="22"/>
      <c r="Z2479" s="22"/>
      <c r="AA2479" s="22"/>
      <c r="AB2479" s="22"/>
      <c r="AC2479" s="22"/>
      <c r="AD2479" s="22"/>
      <c r="AE2479" s="22"/>
      <c r="AG2479" s="71"/>
      <c r="AH2479" s="71"/>
      <c r="AI2479" s="71"/>
      <c r="AJ2479" s="71"/>
      <c r="AK2479" s="71">
        <v>0</v>
      </c>
      <c r="AL2479" s="71"/>
      <c r="AM2479" s="71"/>
      <c r="AN2479" s="71"/>
      <c r="AO2479" s="71"/>
      <c r="AP2479" s="71"/>
      <c r="AQ2479" s="71"/>
      <c r="AR2479" s="71"/>
      <c r="AS2479" s="94">
        <f t="shared" ca="1" si="3075"/>
        <v>0</v>
      </c>
      <c r="AT2479" s="95">
        <f t="shared" si="3076"/>
        <v>0</v>
      </c>
      <c r="AU2479" s="97">
        <f t="shared" si="3077"/>
        <v>0</v>
      </c>
      <c r="AW2479" s="83">
        <f t="shared" si="3078"/>
        <v>0</v>
      </c>
      <c r="AX2479" s="83">
        <f t="shared" si="3079"/>
        <v>0</v>
      </c>
      <c r="AY2479" s="83">
        <f t="shared" si="3080"/>
        <v>0</v>
      </c>
      <c r="AZ2479" s="83">
        <f t="shared" si="3081"/>
        <v>0</v>
      </c>
      <c r="BA2479" s="83">
        <f t="shared" si="3066"/>
        <v>0</v>
      </c>
      <c r="BB2479" s="52"/>
      <c r="BC2479" s="52"/>
      <c r="BD2479" s="52"/>
      <c r="BE2479" s="52"/>
      <c r="BF2479" s="52"/>
      <c r="BG2479" s="52"/>
      <c r="BH2479" s="52"/>
      <c r="BI2479" s="68" cm="1">
        <f t="array" ref="BI2479">IFERROR(INDEX(AW2479:BH2479,1,MATCH(2,1/(AW2479:BH2479&lt;&gt;""))),"")</f>
        <v>0</v>
      </c>
      <c r="BJ2479" s="68" cm="1">
        <f t="array" ref="BJ2479">IF(BM2479 = "", "",IFERROR(INDEX(AW2479:BH2479,1,MATCH(2,1/(AW2479:BH2479&lt;&gt;""),1)-1),""))</f>
        <v>0</v>
      </c>
      <c r="BK2479" s="59">
        <f t="shared" si="3082"/>
        <v>0</v>
      </c>
      <c r="BL2479" s="87" cm="1">
        <f t="array" ref="BL2479">IFERROR(SUM(AW2479:INDEX(AW2479:BH2479, MATCH(2, 1/(AW2479:BH2479&lt;&gt;""), 1) - 1))/_xlfn.XLOOKUP(F2479,Apuração!A:A,Apuração!B:B),0)</f>
        <v>0</v>
      </c>
      <c r="BM2479" s="55" cm="1">
        <f t="array" ref="BM2479">IFERROR(
   INDEX($AW$1:$BH$1,
      _xlfn.AGGREGATE(14, 6, COLUMN($AW$1:$BH$1)/(AW2479:BH2479&lt;&gt;""), 2) - COLUMN($AW$1) + 1
   ),
"")</f>
        <v>46113</v>
      </c>
      <c r="BN2479" s="55" cm="1">
        <f t="array" ref="BN2479">IFERROR(INDEX($AW$1:$BH$1,1,MATCH(2,1/(AW2479:BH2479&lt;&gt;""))),"")</f>
        <v>46143</v>
      </c>
      <c r="BO2479" s="53">
        <f ca="1">IFERROR(_xlfn.XLOOKUP(F2479,Apuração!A:A,Apuração!C:C)/_xlfn.XLOOKUP(F2479,Apuração!A:A,Apuração!B:B),0)</f>
        <v>0</v>
      </c>
      <c r="BP2479" s="53">
        <f ca="1">IFERROR(_xlfn.XLOOKUP(F2479,Apuração!A:A,Apuração!D:D)/_xlfn.XLOOKUP(F2479,Apuração!A:A,Apuração!B:B),0)</f>
        <v>0</v>
      </c>
      <c r="BQ2479" s="53">
        <f ca="1">IF(BK2479&gt;=BO2479,0,_xlfn.XLOOKUP(F2479,Apuração!A:A,Apuração!B:B)*(BO2479 + (1/_xlfn.XLOOKUP(F2479,Apuração!A:A,Apuração!B:B)) - BK2479))</f>
        <v>0</v>
      </c>
      <c r="BR2479" s="85">
        <f t="shared" ca="1" si="3083"/>
        <v>0</v>
      </c>
      <c r="BS2479" s="53">
        <f ca="1">IFERROR((_xlfn.XLOOKUP(F2479,Apuração!A:A,Apuração!C:C)+1)/_xlfn.XLOOKUP(F2479,Apuração!A:A,Apuração!B:B),0)</f>
        <v>0.14285714285714285</v>
      </c>
    </row>
    <row r="2480" spans="1:71" ht="25.95" hidden="1" customHeight="1" x14ac:dyDescent="0.3">
      <c r="A2480" s="23" t="s">
        <v>134</v>
      </c>
      <c r="B2480" s="4" t="s">
        <v>167</v>
      </c>
      <c r="C2480" s="5" t="s">
        <v>221</v>
      </c>
      <c r="D2480" s="5" t="s">
        <v>36</v>
      </c>
      <c r="E2480" s="4" t="str" cm="1">
        <f t="array" ref="E2480">_xlfn.IFS(
F2480 = "A partir de Abril", "Aguardando Execução na Distribuidora",
A2480 = "CAPACITAÇÃO", "Em execução no Corporativo",
TRUE, "Em Execução na Distribuidora"
)</f>
        <v>Em Execução na Distribuidora</v>
      </c>
      <c r="F2480" s="4" t="str" cm="1">
        <f t="array" ref="F2480">_xlfn.IFS(
AG2480 &lt;&gt; "", "Jan-Dez/26",
AH2480 &lt;&gt; "", "Fev-Dez/26",
AI2480 &lt;&gt; "", "Mar-Dez/26", AJ2480 &lt;&gt; "", "Abr-Dez/26",
TRUE, "A partir de Junho"
)</f>
        <v>Jan-Dez/26</v>
      </c>
      <c r="G2480" s="4" t="s">
        <v>37</v>
      </c>
      <c r="H2480" s="7" t="s">
        <v>38</v>
      </c>
      <c r="I2480" s="8" t="s">
        <v>168</v>
      </c>
      <c r="J2480" s="8" t="str" cm="1">
        <f t="array" aca="1" ref="J2480" ca="1">_xlfn.LET(
  _xlpm.actual_value_month, INDEX(T2480:AE2480, MATCH(DATE(YEAR(TODAY()), MONTH(TODAY()), 1), $T$1:$AE$1, 0)),
  IF(_xlpm.actual_value_month &lt;&gt; "",_xlpm.actual_value_month &amp; " ações mensais", "")
)</f>
        <v>4 ações mensais</v>
      </c>
      <c r="K2480" s="8" t="str" cm="1">
        <f t="array" ref="K2480">_xlfn.LET(
    _xlpm.sum_month, SUM(T2480:AE2480),
    IF(_xlpm.sum_month = 0, "", _xlpm.sum_month &amp; " atividades no ano")
)</f>
        <v>43 atividades no ano</v>
      </c>
      <c r="L2480" s="9" t="s">
        <v>169</v>
      </c>
      <c r="M2480" s="24" t="s">
        <v>170</v>
      </c>
      <c r="N2480" s="5" t="s">
        <v>42</v>
      </c>
      <c r="O2480" s="5" t="s">
        <v>43</v>
      </c>
      <c r="P2480" s="10" t="s">
        <v>44</v>
      </c>
      <c r="Q2480" s="10" t="s">
        <v>44</v>
      </c>
      <c r="R2480" s="11" t="s">
        <v>66</v>
      </c>
      <c r="S2480" s="11" t="s">
        <v>67</v>
      </c>
      <c r="T2480" s="22">
        <v>4</v>
      </c>
      <c r="U2480" s="22">
        <v>2</v>
      </c>
      <c r="V2480" s="22">
        <v>1</v>
      </c>
      <c r="W2480" s="22">
        <v>4</v>
      </c>
      <c r="X2480" s="22">
        <v>4</v>
      </c>
      <c r="Y2480" s="22">
        <v>4</v>
      </c>
      <c r="Z2480" s="22">
        <v>4</v>
      </c>
      <c r="AA2480" s="22">
        <v>4</v>
      </c>
      <c r="AB2480" s="22">
        <v>4</v>
      </c>
      <c r="AC2480" s="22">
        <v>4</v>
      </c>
      <c r="AD2480" s="22">
        <v>4</v>
      </c>
      <c r="AE2480" s="22">
        <v>4</v>
      </c>
      <c r="AG2480" s="71">
        <v>4</v>
      </c>
      <c r="AH2480" s="71">
        <v>2</v>
      </c>
      <c r="AI2480" s="71">
        <v>1</v>
      </c>
      <c r="AJ2480" s="71">
        <v>4</v>
      </c>
      <c r="AK2480" s="71">
        <v>8</v>
      </c>
      <c r="AL2480" s="71"/>
      <c r="AM2480" s="71"/>
      <c r="AN2480" s="71"/>
      <c r="AO2480" s="71"/>
      <c r="AP2480" s="71"/>
      <c r="AQ2480" s="71"/>
      <c r="AR2480" s="71"/>
      <c r="AS2480" s="94">
        <f t="shared" ca="1" si="2977"/>
        <v>15</v>
      </c>
      <c r="AT2480" s="95">
        <f>SUM(IF(AW2480&lt;1.15,AG2480,1.15*T2480),IF(AX2480&lt;1.15,AH2480,1.15*U2480),IF(AY2480&lt;1.15,AI2480,1.15*V2480),IF(AZ2480&lt;1.15,AJ2480,1.15*W2480),IF(BA2480&lt;1.15,AK2480,1.15*X2480),IF(BB2480&lt;1.15,AL2480,1.15*Y2480),IF(BC2480&lt;1.15,AM2480,1.15*Z2480),IF(BD2480&lt;1.15,AN2480,1.15*AA2480),IF(BE2480&lt;1.15,AO2480,1.15*AB2480),IF(BF2480&lt;1.15,AP2480,1.15*AC2480),IF(BG2480&lt;1.15,AQ2480,1.15*AD2480),IF(BH2480&lt;1.15,AR2480,1.15*AE2480))</f>
        <v>15.6</v>
      </c>
      <c r="AU2480" s="97">
        <f t="shared" si="2978"/>
        <v>19</v>
      </c>
      <c r="AW2480" s="51">
        <f t="shared" ref="AW2480:BA2491" si="3084">IFERROR(IF(AG2480="",0,AG2480/T2480),0)</f>
        <v>1</v>
      </c>
      <c r="AX2480" s="51">
        <f t="shared" si="3084"/>
        <v>1</v>
      </c>
      <c r="AY2480" s="51">
        <f t="shared" si="3084"/>
        <v>1</v>
      </c>
      <c r="AZ2480" s="51">
        <f t="shared" si="3084"/>
        <v>1</v>
      </c>
      <c r="BA2480" s="51">
        <f t="shared" si="3084"/>
        <v>2</v>
      </c>
      <c r="BB2480" s="51"/>
      <c r="BC2480" s="51"/>
      <c r="BD2480" s="51"/>
      <c r="BE2480" s="51"/>
      <c r="BF2480" s="51"/>
      <c r="BG2480" s="51"/>
      <c r="BH2480" s="51"/>
      <c r="BI2480" s="65" cm="1">
        <f t="array" ref="BI2480">IFERROR(INDEX(AW2480:BH2480,1,MATCH(2,1/(AW2480:BH2480&lt;&gt;""))),"")</f>
        <v>2</v>
      </c>
      <c r="BJ2480" s="68" cm="1">
        <f t="array" ref="BJ2480">IF(BM2480 = "", "",IFERROR(INDEX(AW2480:BH2480,1,MATCH(2,1/(AW2480:BH2480&lt;&gt;""),1)-1),""))</f>
        <v>1</v>
      </c>
      <c r="BK2480" s="58">
        <f>IF((IF(AW2480&gt;=115%,115%,AW2480) + IF(AX2480&gt;=115%,115%,AX2480) + IF(AY2480&gt;=115%,115%,AY2480) + (IF(AZ2480&gt;=115%,115%,AZ2480) + IF(BA2480&gt;=115%,115%,BA2480) + IF(BB2480&gt;=115%,115%,BB2480) + IF(BC2480&gt;=115%,115%,BC2480) + IF(BD2480&gt;=200%,200%,BD2480) + IF(BE2480&gt;=115%,115%,BE2480) + IF(BF2480&gt;=200%,200%,BF2480) + IF(BG2480&gt;=115%,115%,BG2480) + IF(BH2480&gt;=115%,115%,BH2480)))/_xlfn.XLOOKUP(F2480,Apuração!A:A,Apuração!B:B)&gt;=1.15,1.15,((IF(AZ2480&gt;=115%,115%,AZ2480) + IF(AX2480&gt;=115%,115%,AX2480) + IF(AY2480&gt;=115%,115%,AY2480) + (IF(AW2480&gt;=115%,115%,AW2480) + IF(BA2480&gt;=115%,115%,BA2480) + IF(BB2480&gt;=115%,115%,BB2480) + IF(BC2480&gt;=115%,115%,BC2480) + IF(BD2480&gt;=200%,200%,BD2480) + IF(BE2480&gt;=115%,115%,BE2480) + IF(BF2480&gt;=200%,200%,BF2480) + IF(BG2480&gt;=115%,115%,BG2480) + IF(BH2480&gt;=115%,115%,BH2480)))/_xlfn.XLOOKUP(F2480,Apuração!A:A,Apuração!B:B)))</f>
        <v>0.4291666666666667</v>
      </c>
      <c r="BL2480" s="58" cm="1">
        <f t="array" aca="1" ref="BL2480" ca="1">IF(SUM(IFERROR(IF(INDEX(AW2480:INDEX(AW2480:BH2480, MATCH(2, 1/(AW2480:BH2480&lt;&gt;""), 1)-1), ROW(INDIRECT("1:" &amp; MATCH(2, 1/(AW2480:BH2480&lt;&gt;""), 1)-1))) &gt;= 115%, 115%, INDEX(AW2480:INDEX(AW2480:BH2480, MATCH(2, 1/(AW2480:BH2480&lt;&gt;""), 1)-1), ROW(INDIRECT("1:" &amp; MATCH(2, 1/(AW2480:BH2480&lt;&gt;""), 1)-1)))), 0))/_xlfn.XLOOKUP(F2480,Apuração!A:A,Apuração!B:B)&gt;=1.15,1.15,SUM(IFERROR(IF(INDEX(AW2480:INDEX(AW2480:BH2480, MATCH(2, 1/(AW2480:BH2480&lt;&gt;""), 1)-1), ROW(INDIRECT("1:" &amp; MATCH(2, 1/(AW2480:BH2480&lt;&gt;""), 1)-1))) &gt;= 115%, 115%, INDEX(AW2480:INDEX(AW2480:BH2480, MATCH(2, 1/(AW2480:BH2480&lt;&gt;""), 1)-1), ROW(INDIRECT("1:" &amp; MATCH(2, 1/(AW2480:BH2480&lt;&gt;""), 1)-1)))), 0))/_xlfn.XLOOKUP(F2480,Apuração!A:A,Apuração!B:B))</f>
        <v>0.33333333333333331</v>
      </c>
      <c r="BM2480" s="55" cm="1">
        <f t="array" ref="BM2480">IFERROR(
   INDEX($AW$1:$BH$1,
      _xlfn.AGGREGATE(14, 6, COLUMN($AW$1:$BH$1)/(AW2480:BH2480&lt;&gt;""), 2) - COLUMN($AW$1) + 1
   ),
"")</f>
        <v>46113</v>
      </c>
      <c r="BN2480" s="55" cm="1">
        <f t="array" ref="BN2480">IFERROR(INDEX($AW$1:$BH$1,1,MATCH(2,1/(AW2480:BH2480&lt;&gt;""))),"")</f>
        <v>46143</v>
      </c>
      <c r="BO2480" s="53">
        <f ca="1">IFERROR(_xlfn.XLOOKUP(F2480,Apuração!A:A,Apuração!C:C)/_xlfn.XLOOKUP(F2480,Apuração!A:A,Apuração!B:B),0)</f>
        <v>0.41666666666666669</v>
      </c>
      <c r="BP2480" s="53">
        <f ca="1">IFERROR(_xlfn.XLOOKUP(F2480,Apuração!A:A,Apuração!D:D)/_xlfn.XLOOKUP(F2480,Apuração!A:A,Apuração!B:B),0)</f>
        <v>0.33333333333333331</v>
      </c>
      <c r="BQ2480" s="53">
        <f ca="1">IF(BK2480&gt;=BO2480,0,_xlfn.XLOOKUP(F2480,Apuração!A:A,Apuração!B:B)*(BO2480 + (1/_xlfn.XLOOKUP(F2480,Apuração!A:A,Apuração!B:B)) - BK2480))</f>
        <v>0</v>
      </c>
      <c r="BR2480" s="85">
        <f t="shared" ca="1" si="2957"/>
        <v>0</v>
      </c>
      <c r="BS2480" s="53">
        <f ca="1">IFERROR((_xlfn.XLOOKUP(F2480,Apuração!A:A,Apuração!C:C)+1)/_xlfn.XLOOKUP(F2480,Apuração!A:A,Apuração!B:B),0)</f>
        <v>0.5</v>
      </c>
    </row>
    <row r="2481" spans="1:71" ht="25.95" hidden="1" customHeight="1" x14ac:dyDescent="0.3">
      <c r="A2481" s="23" t="s">
        <v>134</v>
      </c>
      <c r="B2481" s="4" t="s">
        <v>167</v>
      </c>
      <c r="C2481" s="5" t="s">
        <v>221</v>
      </c>
      <c r="D2481" s="5" t="s">
        <v>212</v>
      </c>
      <c r="E2481" s="4" t="str" cm="1">
        <f t="array" ref="E2481">_xlfn.IFS(
F2481 = "A partir de Abril", "Aguardando Execução na Distribuidora",
A2481 = "CAPACITAÇÃO", "Em execução no Corporativo",
TRUE, "Em Execução na Distribuidora"
)</f>
        <v>Em Execução na Distribuidora</v>
      </c>
      <c r="F2481" s="4" t="str" cm="1">
        <f t="array" ref="F2481">_xlfn.IFS(
AG2481 &lt;&gt; "", "Jan-Dez/26",
AH2481 &lt;&gt; "", "Fev-Dez/26",
AI2481 &lt;&gt; "", "Mar-Dez/26", AJ2481 &lt;&gt; "", "Abr-Dez/26",
TRUE, "A partir de Junho"
)</f>
        <v>Jan-Dez/26</v>
      </c>
      <c r="G2481" s="4" t="s">
        <v>37</v>
      </c>
      <c r="H2481" s="7" t="s">
        <v>38</v>
      </c>
      <c r="I2481" s="8" t="s">
        <v>168</v>
      </c>
      <c r="J2481" s="8" t="str" cm="1">
        <f t="array" aca="1" ref="J2481" ca="1">_xlfn.LET(
  _xlpm.actual_value_month, INDEX(T2481:AE2481, MATCH(DATE(YEAR(TODAY()), MONTH(TODAY()), 1), $T$1:$AE$1, 0)),
  IF(_xlpm.actual_value_month &lt;&gt; "",_xlpm.actual_value_month &amp; " ações mensais", "")
)</f>
        <v>2 ações mensais</v>
      </c>
      <c r="K2481" s="8" t="str" cm="1">
        <f t="array" ref="K2481">_xlfn.LET(
    _xlpm.sum_month, SUM(T2481:AE2481),
    IF(_xlpm.sum_month = 0, "", _xlpm.sum_month &amp; " atividades no ano")
)</f>
        <v>24 atividades no ano</v>
      </c>
      <c r="L2481" s="9" t="s">
        <v>169</v>
      </c>
      <c r="M2481" s="24" t="s">
        <v>170</v>
      </c>
      <c r="N2481" s="5" t="s">
        <v>42</v>
      </c>
      <c r="O2481" s="5" t="s">
        <v>43</v>
      </c>
      <c r="P2481" s="10" t="s">
        <v>44</v>
      </c>
      <c r="Q2481" s="10" t="s">
        <v>44</v>
      </c>
      <c r="R2481" s="11" t="s">
        <v>66</v>
      </c>
      <c r="S2481" s="11" t="s">
        <v>67</v>
      </c>
      <c r="T2481" s="143">
        <v>2</v>
      </c>
      <c r="U2481" s="143">
        <v>2</v>
      </c>
      <c r="V2481" s="143">
        <v>2</v>
      </c>
      <c r="W2481" s="143">
        <v>2</v>
      </c>
      <c r="X2481" s="143">
        <v>2</v>
      </c>
      <c r="Y2481" s="143">
        <v>2</v>
      </c>
      <c r="Z2481" s="143">
        <v>2</v>
      </c>
      <c r="AA2481" s="143">
        <v>2</v>
      </c>
      <c r="AB2481" s="143">
        <v>2</v>
      </c>
      <c r="AC2481" s="143">
        <v>2</v>
      </c>
      <c r="AD2481" s="143">
        <v>2</v>
      </c>
      <c r="AE2481" s="143">
        <v>2</v>
      </c>
      <c r="AG2481" s="71">
        <v>2</v>
      </c>
      <c r="AH2481" s="71">
        <v>2</v>
      </c>
      <c r="AI2481" s="71">
        <v>2</v>
      </c>
      <c r="AJ2481" s="71">
        <v>2</v>
      </c>
      <c r="AK2481" s="71">
        <v>4</v>
      </c>
      <c r="AL2481" s="71"/>
      <c r="AM2481" s="71"/>
      <c r="AN2481" s="71"/>
      <c r="AO2481" s="71"/>
      <c r="AP2481" s="71"/>
      <c r="AQ2481" s="71"/>
      <c r="AR2481" s="71"/>
      <c r="AS2481" s="94">
        <f t="shared" ref="AS2481:AS2482" ca="1" si="3085">IF(MONTH(TODAY())=3,SUM(T2481:U2481),IF(MONTH(TODAY())=4,SUM(T2481:V2481),IF(MONTH(TODAY())=5,SUM(T2481:W2481),IF(MONTH(TODAY())=6,SUM(T2481:X2481),IF(MONTH(TODAY())=7,SUM(T2481:Y2481),IF(MONTH(TODAY())=8,SUM(T2481:Z2481),IF(MONTH(TODAY())=9,SUM(T2481:AA2481),IF(MONTH(TODAY())=10,SUM(T2481:AB2481),IF(MONTH(TODAY())=11,SUM(T2481:AC2481),IF(MONTH(TODAY())=12,SUM(T2481:AD2481),IF(MONTH(TODAY())=1,SUM(T2481:AE2481),T2481)))))))))))</f>
        <v>10</v>
      </c>
      <c r="AT2481" s="95">
        <f t="shared" ref="AT2481:AT2482" si="3086">SUM(IF(AW2481&lt;1.15,AG2481,1.15*T2481),IF(AX2481&lt;1.15,AH2481,1.15*U2481),IF(AY2481&lt;1.15,AI2481,1.15*V2481),IF(AZ2481&lt;1.15,AJ2481,1.15*W2481),IF(BA2481&lt;1.15,AK2481,1.15*X2481),IF(BB2481&lt;1.15,AL2481,1.15*Y2481),IF(BC2481&lt;1.15,AM2481,1.15*Z2481),IF(BD2481&lt;1.15,AN2481,1.15*AA2481),IF(BE2481&lt;1.15,AO2481,1.15*AB2481),IF(BF2481&lt;1.15,AP2481,1.15*AC2481),IF(BG2481&lt;1.15,AQ2481,1.15*AD2481),IF(BH2481&lt;1.15,AR2481,1.15*AE2481))</f>
        <v>10.3</v>
      </c>
      <c r="AU2481" s="97">
        <f t="shared" ref="AU2481:AU2482" si="3087">SUM(AG2481:AR2481)</f>
        <v>12</v>
      </c>
      <c r="AW2481" s="51">
        <f t="shared" ref="AW2481:AW2482" si="3088">IFERROR(IF(AG2481="",0,AG2481/T2481),0)</f>
        <v>1</v>
      </c>
      <c r="AX2481" s="51">
        <f t="shared" ref="AX2481:AX2482" si="3089">IFERROR(IF(AH2481="",0,AH2481/U2481),0)</f>
        <v>1</v>
      </c>
      <c r="AY2481" s="51">
        <f t="shared" ref="AY2481:AY2482" si="3090">IFERROR(IF(AI2481="",0,AI2481/V2481),0)</f>
        <v>1</v>
      </c>
      <c r="AZ2481" s="51">
        <f t="shared" ref="AZ2481:AZ2482" si="3091">IFERROR(IF(AJ2481="",0,AJ2481/W2481),0)</f>
        <v>1</v>
      </c>
      <c r="BA2481" s="51">
        <f t="shared" si="3084"/>
        <v>2</v>
      </c>
      <c r="BB2481" s="51"/>
      <c r="BC2481" s="51"/>
      <c r="BD2481" s="51"/>
      <c r="BE2481" s="51"/>
      <c r="BF2481" s="51"/>
      <c r="BG2481" s="51"/>
      <c r="BH2481" s="51"/>
      <c r="BI2481" s="65" cm="1">
        <f t="array" ref="BI2481">IFERROR(INDEX(AW2481:BH2481,1,MATCH(2,1/(AW2481:BH2481&lt;&gt;""))),"")</f>
        <v>2</v>
      </c>
      <c r="BJ2481" s="68" cm="1">
        <f t="array" ref="BJ2481">IF(BM2481 = "", "",IFERROR(INDEX(AW2481:BH2481,1,MATCH(2,1/(AW2481:BH2481&lt;&gt;""),1)-1),""))</f>
        <v>1</v>
      </c>
      <c r="BK2481" s="58">
        <f>IF((IF(AW2481&gt;=115%,115%,AW2481) + IF(AX2481&gt;=115%,115%,AX2481) + IF(AY2481&gt;=115%,115%,AY2481) + (IF(AZ2481&gt;=115%,115%,AZ2481) + IF(BA2481&gt;=115%,115%,BA2481) + IF(BB2481&gt;=115%,115%,BB2481) + IF(BC2481&gt;=115%,115%,BC2481) + IF(BD2481&gt;=200%,200%,BD2481) + IF(BE2481&gt;=115%,115%,BE2481) + IF(BF2481&gt;=200%,200%,BF2481) + IF(BG2481&gt;=115%,115%,BG2481) + IF(BH2481&gt;=115%,115%,BH2481)))/_xlfn.XLOOKUP(F2481,Apuração!A:A,Apuração!B:B)&gt;=1.15,1.15,((IF(AZ2481&gt;=115%,115%,AZ2481) + IF(AX2481&gt;=115%,115%,AX2481) + IF(AY2481&gt;=115%,115%,AY2481) + (IF(AW2481&gt;=115%,115%,AW2481) + IF(BA2481&gt;=115%,115%,BA2481) + IF(BB2481&gt;=115%,115%,BB2481) + IF(BC2481&gt;=115%,115%,BC2481) + IF(BD2481&gt;=200%,200%,BD2481) + IF(BE2481&gt;=115%,115%,BE2481) + IF(BF2481&gt;=200%,200%,BF2481) + IF(BG2481&gt;=115%,115%,BG2481) + IF(BH2481&gt;=115%,115%,BH2481)))/_xlfn.XLOOKUP(F2481,Apuração!A:A,Apuração!B:B)))</f>
        <v>0.4291666666666667</v>
      </c>
      <c r="BL2481" s="58" cm="1">
        <f t="array" aca="1" ref="BL2481" ca="1">IF(SUM(IFERROR(IF(INDEX(AW2481:INDEX(AW2481:BH2481, MATCH(2, 1/(AW2481:BH2481&lt;&gt;""), 1)-1), ROW(INDIRECT("1:" &amp; MATCH(2, 1/(AW2481:BH2481&lt;&gt;""), 1)-1))) &gt;= 115%, 115%, INDEX(AW2481:INDEX(AW2481:BH2481, MATCH(2, 1/(AW2481:BH2481&lt;&gt;""), 1)-1), ROW(INDIRECT("1:" &amp; MATCH(2, 1/(AW2481:BH2481&lt;&gt;""), 1)-1)))), 0))/_xlfn.XLOOKUP(F2481,Apuração!A:A,Apuração!B:B)&gt;=1.15,1.15,SUM(IFERROR(IF(INDEX(AW2481:INDEX(AW2481:BH2481, MATCH(2, 1/(AW2481:BH2481&lt;&gt;""), 1)-1), ROW(INDIRECT("1:" &amp; MATCH(2, 1/(AW2481:BH2481&lt;&gt;""), 1)-1))) &gt;= 115%, 115%, INDEX(AW2481:INDEX(AW2481:BH2481, MATCH(2, 1/(AW2481:BH2481&lt;&gt;""), 1)-1), ROW(INDIRECT("1:" &amp; MATCH(2, 1/(AW2481:BH2481&lt;&gt;""), 1)-1)))), 0))/_xlfn.XLOOKUP(F2481,Apuração!A:A,Apuração!B:B))</f>
        <v>0.33333333333333331</v>
      </c>
      <c r="BM2481" s="55" cm="1">
        <f t="array" ref="BM2481">IFERROR(
   INDEX($AW$1:$BH$1,
      _xlfn.AGGREGATE(14, 6, COLUMN($AW$1:$BH$1)/(AW2481:BH2481&lt;&gt;""), 2) - COLUMN($AW$1) + 1
   ),
"")</f>
        <v>46113</v>
      </c>
      <c r="BN2481" s="55" cm="1">
        <f t="array" ref="BN2481">IFERROR(INDEX($AW$1:$BH$1,1,MATCH(2,1/(AW2481:BH2481&lt;&gt;""))),"")</f>
        <v>46143</v>
      </c>
      <c r="BO2481" s="53">
        <f ca="1">IFERROR(_xlfn.XLOOKUP(F2481,Apuração!A:A,Apuração!C:C)/_xlfn.XLOOKUP(F2481,Apuração!A:A,Apuração!B:B),0)</f>
        <v>0.41666666666666669</v>
      </c>
      <c r="BP2481" s="53">
        <f ca="1">IFERROR(_xlfn.XLOOKUP(F2481,Apuração!A:A,Apuração!D:D)/_xlfn.XLOOKUP(F2481,Apuração!A:A,Apuração!B:B),0)</f>
        <v>0.33333333333333331</v>
      </c>
      <c r="BQ2481" s="53">
        <f ca="1">IF(BK2481&gt;=BO2481,0,_xlfn.XLOOKUP(F2481,Apuração!A:A,Apuração!B:B)*(BO2481 + (1/_xlfn.XLOOKUP(F2481,Apuração!A:A,Apuração!B:B)) - BK2481))</f>
        <v>0</v>
      </c>
      <c r="BR2481" s="85">
        <f t="shared" ref="BR2481:BR2482" ca="1" si="3092">IF(BQ2481=0,0,BQ2481*Z2481)</f>
        <v>0</v>
      </c>
      <c r="BS2481" s="53">
        <f ca="1">IFERROR((_xlfn.XLOOKUP(F2481,Apuração!A:A,Apuração!C:C)+1)/_xlfn.XLOOKUP(F2481,Apuração!A:A,Apuração!B:B),0)</f>
        <v>0.5</v>
      </c>
    </row>
    <row r="2482" spans="1:71" ht="25.95" hidden="1" customHeight="1" x14ac:dyDescent="0.3">
      <c r="A2482" s="23" t="s">
        <v>134</v>
      </c>
      <c r="B2482" s="4" t="s">
        <v>167</v>
      </c>
      <c r="C2482" s="5" t="s">
        <v>221</v>
      </c>
      <c r="D2482" s="5" t="s">
        <v>213</v>
      </c>
      <c r="E2482" s="4" t="str" cm="1">
        <f t="array" ref="E2482">_xlfn.IFS(
F2482 = "A partir de Abril", "Aguardando Execução na Distribuidora",
A2482 = "CAPACITAÇÃO", "Em execução no Corporativo",
TRUE, "Em Execução na Distribuidora"
)</f>
        <v>Em Execução na Distribuidora</v>
      </c>
      <c r="F2482" s="4" t="str" cm="1">
        <f t="array" ref="F2482">_xlfn.IFS(
AG2482 &lt;&gt; "", "Jan-Dez/26",
AH2482 &lt;&gt; "", "Fev-Dez/26",
AI2482 &lt;&gt; "", "Mar-Dez/26", AJ2482 &lt;&gt; "", "Abr-Dez/26",
TRUE, "A partir de Junho"
)</f>
        <v>Jan-Dez/26</v>
      </c>
      <c r="G2482" s="4" t="s">
        <v>37</v>
      </c>
      <c r="H2482" s="7" t="s">
        <v>38</v>
      </c>
      <c r="I2482" s="8" t="s">
        <v>168</v>
      </c>
      <c r="J2482" s="8" t="str" cm="1">
        <f t="array" aca="1" ref="J2482" ca="1">_xlfn.LET(
  _xlpm.actual_value_month, INDEX(T2482:AE2482, MATCH(DATE(YEAR(TODAY()), MONTH(TODAY()), 1), $T$1:$AE$1, 0)),
  IF(_xlpm.actual_value_month &lt;&gt; "",_xlpm.actual_value_month &amp; " ações mensais", "")
)</f>
        <v>2 ações mensais</v>
      </c>
      <c r="K2482" s="8" t="str" cm="1">
        <f t="array" ref="K2482">_xlfn.LET(
    _xlpm.sum_month, SUM(T2482:AE2482),
    IF(_xlpm.sum_month = 0, "", _xlpm.sum_month &amp; " atividades no ano")
)</f>
        <v>24 atividades no ano</v>
      </c>
      <c r="L2482" s="9" t="s">
        <v>169</v>
      </c>
      <c r="M2482" s="24" t="s">
        <v>170</v>
      </c>
      <c r="N2482" s="5" t="s">
        <v>42</v>
      </c>
      <c r="O2482" s="5" t="s">
        <v>43</v>
      </c>
      <c r="P2482" s="10" t="s">
        <v>44</v>
      </c>
      <c r="Q2482" s="10" t="s">
        <v>44</v>
      </c>
      <c r="R2482" s="11" t="s">
        <v>66</v>
      </c>
      <c r="S2482" s="11" t="s">
        <v>67</v>
      </c>
      <c r="T2482" s="143">
        <v>2</v>
      </c>
      <c r="U2482" s="143">
        <v>2</v>
      </c>
      <c r="V2482" s="143">
        <v>2</v>
      </c>
      <c r="W2482" s="143">
        <v>2</v>
      </c>
      <c r="X2482" s="143">
        <v>2</v>
      </c>
      <c r="Y2482" s="143">
        <v>2</v>
      </c>
      <c r="Z2482" s="143">
        <v>2</v>
      </c>
      <c r="AA2482" s="143">
        <v>2</v>
      </c>
      <c r="AB2482" s="143">
        <v>2</v>
      </c>
      <c r="AC2482" s="143">
        <v>2</v>
      </c>
      <c r="AD2482" s="143">
        <v>2</v>
      </c>
      <c r="AE2482" s="143">
        <v>2</v>
      </c>
      <c r="AG2482" s="71">
        <v>2</v>
      </c>
      <c r="AH2482" s="71">
        <v>2</v>
      </c>
      <c r="AI2482" s="71">
        <v>2</v>
      </c>
      <c r="AJ2482" s="71">
        <v>2</v>
      </c>
      <c r="AK2482" s="71">
        <v>4</v>
      </c>
      <c r="AL2482" s="71"/>
      <c r="AM2482" s="71"/>
      <c r="AN2482" s="71"/>
      <c r="AO2482" s="71"/>
      <c r="AP2482" s="71"/>
      <c r="AQ2482" s="71"/>
      <c r="AR2482" s="71"/>
      <c r="AS2482" s="94">
        <f t="shared" ca="1" si="3085"/>
        <v>10</v>
      </c>
      <c r="AT2482" s="95">
        <f t="shared" si="3086"/>
        <v>10.3</v>
      </c>
      <c r="AU2482" s="97">
        <f t="shared" si="3087"/>
        <v>12</v>
      </c>
      <c r="AW2482" s="51">
        <f t="shared" si="3088"/>
        <v>1</v>
      </c>
      <c r="AX2482" s="51">
        <f t="shared" si="3089"/>
        <v>1</v>
      </c>
      <c r="AY2482" s="51">
        <f t="shared" si="3090"/>
        <v>1</v>
      </c>
      <c r="AZ2482" s="51">
        <f t="shared" si="3091"/>
        <v>1</v>
      </c>
      <c r="BA2482" s="51">
        <f t="shared" si="3084"/>
        <v>2</v>
      </c>
      <c r="BB2482" s="51"/>
      <c r="BC2482" s="51"/>
      <c r="BD2482" s="51"/>
      <c r="BE2482" s="51"/>
      <c r="BF2482" s="51"/>
      <c r="BG2482" s="51"/>
      <c r="BH2482" s="51"/>
      <c r="BI2482" s="65" cm="1">
        <f t="array" ref="BI2482">IFERROR(INDEX(AW2482:BH2482,1,MATCH(2,1/(AW2482:BH2482&lt;&gt;""))),"")</f>
        <v>2</v>
      </c>
      <c r="BJ2482" s="68" cm="1">
        <f t="array" ref="BJ2482">IF(BM2482 = "", "",IFERROR(INDEX(AW2482:BH2482,1,MATCH(2,1/(AW2482:BH2482&lt;&gt;""),1)-1),""))</f>
        <v>1</v>
      </c>
      <c r="BK2482" s="58">
        <f>IF((IF(AW2482&gt;=115%,115%,AW2482) + IF(AX2482&gt;=115%,115%,AX2482) + IF(AY2482&gt;=115%,115%,AY2482) + (IF(AZ2482&gt;=115%,115%,AZ2482) + IF(BA2482&gt;=115%,115%,BA2482) + IF(BB2482&gt;=115%,115%,BB2482) + IF(BC2482&gt;=115%,115%,BC2482) + IF(BD2482&gt;=200%,200%,BD2482) + IF(BE2482&gt;=115%,115%,BE2482) + IF(BF2482&gt;=200%,200%,BF2482) + IF(BG2482&gt;=115%,115%,BG2482) + IF(BH2482&gt;=115%,115%,BH2482)))/_xlfn.XLOOKUP(F2482,Apuração!A:A,Apuração!B:B)&gt;=1.15,1.15,((IF(AZ2482&gt;=115%,115%,AZ2482) + IF(AX2482&gt;=115%,115%,AX2482) + IF(AY2482&gt;=115%,115%,AY2482) + (IF(AW2482&gt;=115%,115%,AW2482) + IF(BA2482&gt;=115%,115%,BA2482) + IF(BB2482&gt;=115%,115%,BB2482) + IF(BC2482&gt;=115%,115%,BC2482) + IF(BD2482&gt;=200%,200%,BD2482) + IF(BE2482&gt;=115%,115%,BE2482) + IF(BF2482&gt;=200%,200%,BF2482) + IF(BG2482&gt;=115%,115%,BG2482) + IF(BH2482&gt;=115%,115%,BH2482)))/_xlfn.XLOOKUP(F2482,Apuração!A:A,Apuração!B:B)))</f>
        <v>0.4291666666666667</v>
      </c>
      <c r="BL2482" s="58" cm="1">
        <f t="array" aca="1" ref="BL2482" ca="1">IF(SUM(IFERROR(IF(INDEX(AW2482:INDEX(AW2482:BH2482, MATCH(2, 1/(AW2482:BH2482&lt;&gt;""), 1)-1), ROW(INDIRECT("1:" &amp; MATCH(2, 1/(AW2482:BH2482&lt;&gt;""), 1)-1))) &gt;= 115%, 115%, INDEX(AW2482:INDEX(AW2482:BH2482, MATCH(2, 1/(AW2482:BH2482&lt;&gt;""), 1)-1), ROW(INDIRECT("1:" &amp; MATCH(2, 1/(AW2482:BH2482&lt;&gt;""), 1)-1)))), 0))/_xlfn.XLOOKUP(F2482,Apuração!A:A,Apuração!B:B)&gt;=1.15,1.15,SUM(IFERROR(IF(INDEX(AW2482:INDEX(AW2482:BH2482, MATCH(2, 1/(AW2482:BH2482&lt;&gt;""), 1)-1), ROW(INDIRECT("1:" &amp; MATCH(2, 1/(AW2482:BH2482&lt;&gt;""), 1)-1))) &gt;= 115%, 115%, INDEX(AW2482:INDEX(AW2482:BH2482, MATCH(2, 1/(AW2482:BH2482&lt;&gt;""), 1)-1), ROW(INDIRECT("1:" &amp; MATCH(2, 1/(AW2482:BH2482&lt;&gt;""), 1)-1)))), 0))/_xlfn.XLOOKUP(F2482,Apuração!A:A,Apuração!B:B))</f>
        <v>0.33333333333333331</v>
      </c>
      <c r="BM2482" s="55" cm="1">
        <f t="array" ref="BM2482">IFERROR(
   INDEX($AW$1:$BH$1,
      _xlfn.AGGREGATE(14, 6, COLUMN($AW$1:$BH$1)/(AW2482:BH2482&lt;&gt;""), 2) - COLUMN($AW$1) + 1
   ),
"")</f>
        <v>46113</v>
      </c>
      <c r="BN2482" s="55" cm="1">
        <f t="array" ref="BN2482">IFERROR(INDEX($AW$1:$BH$1,1,MATCH(2,1/(AW2482:BH2482&lt;&gt;""))),"")</f>
        <v>46143</v>
      </c>
      <c r="BO2482" s="53">
        <f ca="1">IFERROR(_xlfn.XLOOKUP(F2482,Apuração!A:A,Apuração!C:C)/_xlfn.XLOOKUP(F2482,Apuração!A:A,Apuração!B:B),0)</f>
        <v>0.41666666666666669</v>
      </c>
      <c r="BP2482" s="53">
        <f ca="1">IFERROR(_xlfn.XLOOKUP(F2482,Apuração!A:A,Apuração!D:D)/_xlfn.XLOOKUP(F2482,Apuração!A:A,Apuração!B:B),0)</f>
        <v>0.33333333333333331</v>
      </c>
      <c r="BQ2482" s="53">
        <f ca="1">IF(BK2482&gt;=BO2482,0,_xlfn.XLOOKUP(F2482,Apuração!A:A,Apuração!B:B)*(BO2482 + (1/_xlfn.XLOOKUP(F2482,Apuração!A:A,Apuração!B:B)) - BK2482))</f>
        <v>0</v>
      </c>
      <c r="BR2482" s="85">
        <f t="shared" ca="1" si="3092"/>
        <v>0</v>
      </c>
      <c r="BS2482" s="53">
        <f ca="1">IFERROR((_xlfn.XLOOKUP(F2482,Apuração!A:A,Apuração!C:C)+1)/_xlfn.XLOOKUP(F2482,Apuração!A:A,Apuração!B:B),0)</f>
        <v>0.5</v>
      </c>
    </row>
    <row r="2483" spans="1:71" ht="25.95" hidden="1" customHeight="1" x14ac:dyDescent="0.3">
      <c r="A2483" s="23" t="s">
        <v>134</v>
      </c>
      <c r="B2483" s="4" t="s">
        <v>167</v>
      </c>
      <c r="C2483" s="5" t="s">
        <v>221</v>
      </c>
      <c r="D2483" s="5" t="s">
        <v>36</v>
      </c>
      <c r="E2483" s="4" t="str" cm="1">
        <f t="array" ref="E2483">_xlfn.IFS(
F2483 = "A partir de Abril", "Aguardando Execução na Distribuidora",
A2483 = "CAPACITAÇÃO", "Em execução no Corporativo",
TRUE, "Em Execução na Distribuidora"
)</f>
        <v>Em Execução na Distribuidora</v>
      </c>
      <c r="F2483" s="4" t="str" cm="1">
        <f t="array" ref="F2483">_xlfn.IFS(
AG2483 &lt;&gt; "", "Jan-Dez/26",
AH2483 &lt;&gt; "", "Fev-Dez/26",
AI2483 &lt;&gt; "", "Mar-Dez/26", AJ2483 &lt;&gt; "", "Abr-Dez/26",
TRUE, "A partir de Junho"
)</f>
        <v>Jan-Dez/26</v>
      </c>
      <c r="G2483" s="4" t="s">
        <v>37</v>
      </c>
      <c r="H2483" s="7" t="s">
        <v>38</v>
      </c>
      <c r="I2483" s="8" t="s">
        <v>171</v>
      </c>
      <c r="J2483" s="8" t="str" cm="1">
        <f t="array" aca="1" ref="J2483" ca="1">_xlfn.LET(
  _xlpm.actual_value_month, INDEX(T2483:AE2483, MATCH(DATE(YEAR(TODAY()), MONTH(TODAY()), 1), $T$1:$AE$1, 0)),
  IF(_xlpm.actual_value_month &lt;&gt; "",_xlpm.actual_value_month &amp; " colaboradores alcançados mensalmentes", "")
)</f>
        <v>1670 colaboradores alcançados mensalmentes</v>
      </c>
      <c r="K2483" s="8" t="str" cm="1">
        <f t="array" ref="K2483">_xlfn.LET(
    _xlpm.sum_month, SUM(T2483:AE2483),
    IF(_xlpm.sum_month = 0, "", _xlpm.sum_month &amp; " colaboradores alcançados durante no ano")
)</f>
        <v>20037 colaboradores alcançados durante no ano</v>
      </c>
      <c r="L2483" s="9" t="s">
        <v>172</v>
      </c>
      <c r="M2483" s="24" t="s">
        <v>173</v>
      </c>
      <c r="N2483" s="5" t="s">
        <v>42</v>
      </c>
      <c r="O2483" s="5" t="s">
        <v>43</v>
      </c>
      <c r="P2483" s="10" t="s">
        <v>44</v>
      </c>
      <c r="Q2483" s="10" t="s">
        <v>72</v>
      </c>
      <c r="R2483" s="11" t="s">
        <v>66</v>
      </c>
      <c r="S2483" s="11" t="s">
        <v>67</v>
      </c>
      <c r="T2483" s="22">
        <v>1669</v>
      </c>
      <c r="U2483" s="22">
        <v>1669</v>
      </c>
      <c r="V2483" s="22">
        <v>1669</v>
      </c>
      <c r="W2483" s="22">
        <v>1670</v>
      </c>
      <c r="X2483" s="22">
        <v>1670</v>
      </c>
      <c r="Y2483" s="22">
        <v>1670</v>
      </c>
      <c r="Z2483" s="22">
        <v>1670</v>
      </c>
      <c r="AA2483" s="22">
        <v>1670</v>
      </c>
      <c r="AB2483" s="22">
        <v>1670</v>
      </c>
      <c r="AC2483" s="22">
        <v>1670</v>
      </c>
      <c r="AD2483" s="22">
        <v>1670</v>
      </c>
      <c r="AE2483" s="22">
        <v>1670</v>
      </c>
      <c r="AG2483" s="71">
        <v>1669</v>
      </c>
      <c r="AH2483" s="71">
        <v>1669</v>
      </c>
      <c r="AI2483" s="71">
        <v>1669</v>
      </c>
      <c r="AJ2483" s="71">
        <v>1676</v>
      </c>
      <c r="AK2483" s="71">
        <v>1676</v>
      </c>
      <c r="AL2483" s="71"/>
      <c r="AM2483" s="71"/>
      <c r="AN2483" s="71"/>
      <c r="AO2483" s="71"/>
      <c r="AP2483" s="71"/>
      <c r="AQ2483" s="71"/>
      <c r="AR2483" s="71"/>
      <c r="AS2483" s="94">
        <f t="shared" ca="1" si="2977"/>
        <v>8347</v>
      </c>
      <c r="AT2483" s="95">
        <f>SUM(IF(AW2483&lt;1.15,AG2483,1.15*T2483),IF(AX2483&lt;1.15,AH2483,1.15*U2483),IF(AY2483&lt;1.15,AI2483,1.15*V2483),IF(AZ2483&lt;1.15,AJ2483,1.15*W2483),IF(BA2483&lt;1.15,AK2483,1.15*X2483),IF(BB2483&lt;1.15,AL2483,1.15*Y2483),IF(BC2483&lt;1.15,AM2483,1.15*Z2483),IF(BD2483&lt;1.15,AN2483,1.15*AA2483),IF(BE2483&lt;1.15,AO2483,1.15*AB2483),IF(BF2483&lt;1.15,AP2483,1.15*AC2483),IF(BG2483&lt;1.15,AQ2483,1.15*AD2483),IF(BH2483&lt;1.15,AR2483,1.15*AE2483))</f>
        <v>8359</v>
      </c>
      <c r="AU2483" s="97">
        <f t="shared" si="2978"/>
        <v>8359</v>
      </c>
      <c r="AW2483" s="51">
        <f t="shared" si="3084"/>
        <v>1</v>
      </c>
      <c r="AX2483" s="51">
        <f t="shared" si="3084"/>
        <v>1</v>
      </c>
      <c r="AY2483" s="51">
        <f t="shared" si="3084"/>
        <v>1</v>
      </c>
      <c r="AZ2483" s="51">
        <f t="shared" si="3084"/>
        <v>1.0035928143712576</v>
      </c>
      <c r="BA2483" s="51">
        <f t="shared" si="3084"/>
        <v>1.0035928143712576</v>
      </c>
      <c r="BB2483" s="51"/>
      <c r="BC2483" s="51"/>
      <c r="BD2483" s="51"/>
      <c r="BE2483" s="51"/>
      <c r="BF2483" s="51"/>
      <c r="BG2483" s="51"/>
      <c r="BH2483" s="51"/>
      <c r="BI2483" s="65" cm="1">
        <f t="array" ref="BI2483">IFERROR(INDEX(AW2483:BH2483,1,MATCH(2,1/(AW2483:BH2483&lt;&gt;""))),"")</f>
        <v>1.0035928143712576</v>
      </c>
      <c r="BJ2483" s="68" cm="1">
        <f t="array" ref="BJ2483">IF(BM2483 = "", "",IFERROR(INDEX(AW2483:BH2483,1,MATCH(2,1/(AW2483:BH2483&lt;&gt;""),1)-1),""))</f>
        <v>1.0035928143712576</v>
      </c>
      <c r="BK2483" s="58">
        <f>IF((IF(AW2483&gt;=115%,115%,AW2483) + IF(AX2483&gt;=115%,115%,AX2483) + IF(AY2483&gt;=115%,115%,AY2483) + (IF(AZ2483&gt;=115%,115%,AZ2483) + IF(BA2483&gt;=125%,125%,BA2483) + IF(BB2483&gt;=115%,115%,BB2483) + IF(BC2483&gt;=117%,117%,BC2483) + IF(BD2483&gt;=200%,200%,BD2483) + IF(BE2483&gt;=115%,115%,BE2483) + IF(BF2483&gt;=115%,115%,BF2483) + IF(BG2483&gt;=115%,115%,BG2483) + IF(BH2483&gt;=115%,115%,BH2483)))/_xlfn.XLOOKUP(F2483,Apuração!A:A,Apuração!B:B)&gt;=1.15,1.15,((IF(AZ2483&gt;=115%,115%,AZ2483) + IF(AX2483&gt;=115%,115%,AX2483) + IF(AY2483&gt;=115%,115%,AY2483) + (IF(AW2483&gt;=115%,115%,AW2483) + IF(BA2483&gt;=125%,125%,BA2483) + IF(BB2483&gt;=115%,115%,BB2483) + IF(BC2483&gt;=117%,117%,BC2483) + IF(BD2483&gt;=200%,200%,BD2483) + IF(BE2483&gt;=115%,115%,BE2483) + IF(BF2483&gt;=115%,115%,BF2483) + IF(BG2483&gt;=115%,115%,BG2483) + IF(BH2483&gt;=115%,115%,BH2483)))/_xlfn.XLOOKUP(F2483,Apuração!A:A,Apuração!B:B)))</f>
        <v>0.41726546906187628</v>
      </c>
      <c r="BL2483" s="58" cm="1">
        <f t="array" aca="1" ref="BL2483" ca="1">IF(SUM(IFERROR(IF(INDEX(AW2483:INDEX(AW2483:BH2483, MATCH(2, 1/(AW2483:BH2483&lt;&gt;""), 1)-1), ROW(INDIRECT("1:" &amp; MATCH(2, 1/(AW2483:BH2483&lt;&gt;""), 1)-1))) &gt;= 115%, 115%, INDEX(AW2483:INDEX(AW2483:BH2483, MATCH(2, 1/(AW2483:BH2483&lt;&gt;""), 1)-1), ROW(INDIRECT("1:" &amp; MATCH(2, 1/(AW2483:BH2483&lt;&gt;""), 1)-1)))), 0))/_xlfn.XLOOKUP(F2483,Apuração!A:A,Apuração!B:B)&gt;=1.15,1.15,SUM(IFERROR(IF(INDEX(AW2483:INDEX(AW2483:BH2483, MATCH(2, 1/(AW2483:BH2483&lt;&gt;""), 1)-1), ROW(INDIRECT("1:" &amp; MATCH(2, 1/(AW2483:BH2483&lt;&gt;""), 1)-1))) &gt;= 115%, 115%, INDEX(AW2483:INDEX(AW2483:BH2483, MATCH(2, 1/(AW2483:BH2483&lt;&gt;""), 1)-1), ROW(INDIRECT("1:" &amp; MATCH(2, 1/(AW2483:BH2483&lt;&gt;""), 1)-1)))), 0))/_xlfn.XLOOKUP(F2483,Apuração!A:A,Apuração!B:B))</f>
        <v>0.33363273453093817</v>
      </c>
      <c r="BM2483" s="55" cm="1">
        <f t="array" ref="BM2483">IFERROR(
   INDEX($AW$1:$BH$1,
      _xlfn.AGGREGATE(14, 6, COLUMN($AW$1:$BH$1)/(AW2483:BH2483&lt;&gt;""), 2) - COLUMN($AW$1) + 1
   ),
"")</f>
        <v>46113</v>
      </c>
      <c r="BN2483" s="55" cm="1">
        <f t="array" ref="BN2483">IFERROR(INDEX($AW$1:$BH$1,1,MATCH(2,1/(AW2483:BH2483&lt;&gt;""))),"")</f>
        <v>46143</v>
      </c>
      <c r="BO2483" s="53">
        <f ca="1">IFERROR(_xlfn.XLOOKUP(F2483,Apuração!A:A,Apuração!C:C)/_xlfn.XLOOKUP(F2483,Apuração!A:A,Apuração!B:B),0)</f>
        <v>0.41666666666666669</v>
      </c>
      <c r="BP2483" s="53">
        <f ca="1">IFERROR(_xlfn.XLOOKUP(F2483,Apuração!A:A,Apuração!D:D)/_xlfn.XLOOKUP(F2483,Apuração!A:A,Apuração!B:B),0)</f>
        <v>0.33333333333333331</v>
      </c>
      <c r="BQ2483" s="53">
        <f ca="1">IF(BK2483&gt;=BO2483,0,_xlfn.XLOOKUP(F2483,Apuração!A:A,Apuração!B:B)*(BO2483 + (1/_xlfn.XLOOKUP(F2483,Apuração!A:A,Apuração!B:B)) - BK2483))</f>
        <v>0</v>
      </c>
      <c r="BR2483" s="85">
        <f t="shared" ca="1" si="2957"/>
        <v>0</v>
      </c>
      <c r="BS2483" s="53">
        <f ca="1">IFERROR((_xlfn.XLOOKUP(F2483,Apuração!A:A,Apuração!C:C)+1)/_xlfn.XLOOKUP(F2483,Apuração!A:A,Apuração!B:B),0)</f>
        <v>0.5</v>
      </c>
    </row>
    <row r="2484" spans="1:71" ht="25.95" hidden="1" customHeight="1" x14ac:dyDescent="0.3">
      <c r="A2484" s="23" t="s">
        <v>134</v>
      </c>
      <c r="B2484" s="4" t="s">
        <v>167</v>
      </c>
      <c r="C2484" s="5" t="s">
        <v>221</v>
      </c>
      <c r="D2484" s="5" t="s">
        <v>212</v>
      </c>
      <c r="E2484" s="4" t="str" cm="1">
        <f t="array" ref="E2484">_xlfn.IFS(
F2484 = "A partir de Abril", "Aguardando Execução na Distribuidora",
A2484 = "CAPACITAÇÃO", "Em execução no Corporativo",
TRUE, "Em Execução na Distribuidora"
)</f>
        <v>Em Execução na Distribuidora</v>
      </c>
      <c r="F2484" s="4" t="str" cm="1">
        <f t="array" ref="F2484">_xlfn.IFS(
AG2484 &lt;&gt; "", "Jan-Dez/26",
AH2484 &lt;&gt; "", "Fev-Dez/26",
AI2484 &lt;&gt; "", "Mar-Dez/26", AJ2484 &lt;&gt; "", "Abr-Dez/26",
TRUE, "A partir de Junho"
)</f>
        <v>Jan-Dez/26</v>
      </c>
      <c r="G2484" s="4" t="s">
        <v>37</v>
      </c>
      <c r="H2484" s="7" t="s">
        <v>38</v>
      </c>
      <c r="I2484" s="8" t="s">
        <v>171</v>
      </c>
      <c r="J2484" s="8" t="str" cm="1">
        <f t="array" aca="1" ref="J2484" ca="1">_xlfn.LET(
  _xlpm.actual_value_month, INDEX(T2484:AE2484, MATCH(DATE(YEAR(TODAY()), MONTH(TODAY()), 1), $T$1:$AE$1, 0)),
  IF(_xlpm.actual_value_month &lt;&gt; "",_xlpm.actual_value_month &amp; " colaboradores alcançados mensalmentes", "")
)</f>
        <v>949 colaboradores alcançados mensalmentes</v>
      </c>
      <c r="K2484" s="8" t="str" cm="1">
        <f t="array" ref="K2484">_xlfn.LET(
    _xlpm.sum_month, SUM(T2484:AE2484),
    IF(_xlpm.sum_month = 0, "", _xlpm.sum_month &amp; " colaboradores alcançados durante no ano")
)</f>
        <v>11388 colaboradores alcançados durante no ano</v>
      </c>
      <c r="L2484" s="9" t="s">
        <v>172</v>
      </c>
      <c r="M2484" s="24" t="s">
        <v>173</v>
      </c>
      <c r="N2484" s="5" t="s">
        <v>42</v>
      </c>
      <c r="O2484" s="5" t="s">
        <v>43</v>
      </c>
      <c r="P2484" s="10" t="s">
        <v>44</v>
      </c>
      <c r="Q2484" s="10" t="s">
        <v>72</v>
      </c>
      <c r="R2484" s="11" t="s">
        <v>66</v>
      </c>
      <c r="S2484" s="11" t="s">
        <v>67</v>
      </c>
      <c r="T2484" s="22">
        <v>949</v>
      </c>
      <c r="U2484" s="22">
        <v>949</v>
      </c>
      <c r="V2484" s="22">
        <v>949</v>
      </c>
      <c r="W2484" s="22">
        <v>949</v>
      </c>
      <c r="X2484" s="22">
        <v>949</v>
      </c>
      <c r="Y2484" s="22">
        <v>949</v>
      </c>
      <c r="Z2484" s="22">
        <v>949</v>
      </c>
      <c r="AA2484" s="22">
        <v>949</v>
      </c>
      <c r="AB2484" s="22">
        <v>949</v>
      </c>
      <c r="AC2484" s="22">
        <v>949</v>
      </c>
      <c r="AD2484" s="22">
        <v>949</v>
      </c>
      <c r="AE2484" s="22">
        <v>949</v>
      </c>
      <c r="AG2484" s="71">
        <v>949</v>
      </c>
      <c r="AH2484" s="71">
        <v>949</v>
      </c>
      <c r="AI2484" s="71">
        <v>949</v>
      </c>
      <c r="AJ2484" s="71">
        <v>838</v>
      </c>
      <c r="AK2484" s="71">
        <v>838</v>
      </c>
      <c r="AL2484" s="71"/>
      <c r="AM2484" s="71"/>
      <c r="AN2484" s="71"/>
      <c r="AO2484" s="71"/>
      <c r="AP2484" s="71"/>
      <c r="AQ2484" s="71"/>
      <c r="AR2484" s="71"/>
      <c r="AS2484" s="94">
        <f t="shared" ref="AS2484:AS2485" ca="1" si="3093">IF(MONTH(TODAY())=3,SUM(T2484:U2484),IF(MONTH(TODAY())=4,SUM(T2484:V2484),IF(MONTH(TODAY())=5,SUM(T2484:W2484),IF(MONTH(TODAY())=6,SUM(T2484:X2484),IF(MONTH(TODAY())=7,SUM(T2484:Y2484),IF(MONTH(TODAY())=8,SUM(T2484:Z2484),IF(MONTH(TODAY())=9,SUM(T2484:AA2484),IF(MONTH(TODAY())=10,SUM(T2484:AB2484),IF(MONTH(TODAY())=11,SUM(T2484:AC2484),IF(MONTH(TODAY())=12,SUM(T2484:AD2484),IF(MONTH(TODAY())=1,SUM(T2484:AE2484),T2484)))))))))))</f>
        <v>4745</v>
      </c>
      <c r="AT2484" s="95">
        <f t="shared" ref="AT2484:AT2485" si="3094">SUM(IF(AW2484&lt;1.15,AG2484,1.15*T2484),IF(AX2484&lt;1.15,AH2484,1.15*U2484),IF(AY2484&lt;1.15,AI2484,1.15*V2484),IF(AZ2484&lt;1.15,AJ2484,1.15*W2484),IF(BA2484&lt;1.15,AK2484,1.15*X2484),IF(BB2484&lt;1.15,AL2484,1.15*Y2484),IF(BC2484&lt;1.15,AM2484,1.15*Z2484),IF(BD2484&lt;1.15,AN2484,1.15*AA2484),IF(BE2484&lt;1.15,AO2484,1.15*AB2484),IF(BF2484&lt;1.15,AP2484,1.15*AC2484),IF(BG2484&lt;1.15,AQ2484,1.15*AD2484),IF(BH2484&lt;1.15,AR2484,1.15*AE2484))</f>
        <v>4523</v>
      </c>
      <c r="AU2484" s="97">
        <f t="shared" ref="AU2484:AU2485" si="3095">SUM(AG2484:AR2484)</f>
        <v>4523</v>
      </c>
      <c r="AW2484" s="51">
        <f t="shared" ref="AW2484:AW2485" si="3096">IFERROR(IF(AG2484="",0,AG2484/T2484),0)</f>
        <v>1</v>
      </c>
      <c r="AX2484" s="51">
        <f t="shared" ref="AX2484:AX2485" si="3097">IFERROR(IF(AH2484="",0,AH2484/U2484),0)</f>
        <v>1</v>
      </c>
      <c r="AY2484" s="51">
        <f t="shared" ref="AY2484:AY2485" si="3098">IFERROR(IF(AI2484="",0,AI2484/V2484),0)</f>
        <v>1</v>
      </c>
      <c r="AZ2484" s="51">
        <f t="shared" ref="AZ2484:AZ2485" si="3099">IFERROR(IF(AJ2484="",0,AJ2484/W2484),0)</f>
        <v>0.88303477344573233</v>
      </c>
      <c r="BA2484" s="51">
        <f t="shared" si="3084"/>
        <v>0.88303477344573233</v>
      </c>
      <c r="BB2484" s="51"/>
      <c r="BC2484" s="51"/>
      <c r="BD2484" s="51"/>
      <c r="BE2484" s="51"/>
      <c r="BF2484" s="51"/>
      <c r="BG2484" s="51"/>
      <c r="BH2484" s="51"/>
      <c r="BI2484" s="65" cm="1">
        <f t="array" ref="BI2484">IFERROR(INDEX(AW2484:BH2484,1,MATCH(2,1/(AW2484:BH2484&lt;&gt;""))),"")</f>
        <v>0.88303477344573233</v>
      </c>
      <c r="BJ2484" s="68" cm="1">
        <f t="array" ref="BJ2484">IF(BM2484 = "", "",IFERROR(INDEX(AW2484:BH2484,1,MATCH(2,1/(AW2484:BH2484&lt;&gt;""),1)-1),""))</f>
        <v>0.88303477344573233</v>
      </c>
      <c r="BK2484" s="58">
        <f>IF((IF(AW2484&gt;=115%,115%,AW2484) + IF(AX2484&gt;=115%,115%,AX2484) + IF(AY2484&gt;=115%,115%,AY2484) + (IF(AZ2484&gt;=115%,115%,AZ2484) + IF(BA2484&gt;=125%,125%,BA2484) + IF(BB2484&gt;=115%,115%,BB2484) + IF(BC2484&gt;=117%,117%,BC2484) + IF(BD2484&gt;=200%,200%,BD2484) + IF(BE2484&gt;=115%,115%,BE2484) + IF(BF2484&gt;=115%,115%,BF2484) + IF(BG2484&gt;=115%,115%,BG2484) + IF(BH2484&gt;=115%,115%,BH2484)))/_xlfn.XLOOKUP(F2484,Apuração!A:A,Apuração!B:B)&gt;=1.15,1.15,((IF(AZ2484&gt;=115%,115%,AZ2484) + IF(AX2484&gt;=115%,115%,AX2484) + IF(AY2484&gt;=115%,115%,AY2484) + (IF(AW2484&gt;=115%,115%,AW2484) + IF(BA2484&gt;=125%,125%,BA2484) + IF(BB2484&gt;=115%,115%,BB2484) + IF(BC2484&gt;=117%,117%,BC2484) + IF(BD2484&gt;=200%,200%,BD2484) + IF(BE2484&gt;=115%,115%,BE2484) + IF(BF2484&gt;=115%,115%,BF2484) + IF(BG2484&gt;=115%,115%,BG2484) + IF(BH2484&gt;=115%,115%,BH2484)))/_xlfn.XLOOKUP(F2484,Apuração!A:A,Apuração!B:B)))</f>
        <v>0.39717246224095537</v>
      </c>
      <c r="BL2484" s="58" cm="1">
        <f t="array" aca="1" ref="BL2484" ca="1">IF(SUM(IFERROR(IF(INDEX(AW2484:INDEX(AW2484:BH2484, MATCH(2, 1/(AW2484:BH2484&lt;&gt;""), 1)-1), ROW(INDIRECT("1:" &amp; MATCH(2, 1/(AW2484:BH2484&lt;&gt;""), 1)-1))) &gt;= 115%, 115%, INDEX(AW2484:INDEX(AW2484:BH2484, MATCH(2, 1/(AW2484:BH2484&lt;&gt;""), 1)-1), ROW(INDIRECT("1:" &amp; MATCH(2, 1/(AW2484:BH2484&lt;&gt;""), 1)-1)))), 0))/_xlfn.XLOOKUP(F2484,Apuração!A:A,Apuração!B:B)&gt;=1.15,1.15,SUM(IFERROR(IF(INDEX(AW2484:INDEX(AW2484:BH2484, MATCH(2, 1/(AW2484:BH2484&lt;&gt;""), 1)-1), ROW(INDIRECT("1:" &amp; MATCH(2, 1/(AW2484:BH2484&lt;&gt;""), 1)-1))) &gt;= 115%, 115%, INDEX(AW2484:INDEX(AW2484:BH2484, MATCH(2, 1/(AW2484:BH2484&lt;&gt;""), 1)-1), ROW(INDIRECT("1:" &amp; MATCH(2, 1/(AW2484:BH2484&lt;&gt;""), 1)-1)))), 0))/_xlfn.XLOOKUP(F2484,Apuração!A:A,Apuração!B:B))</f>
        <v>0.32358623112047769</v>
      </c>
      <c r="BM2484" s="55" cm="1">
        <f t="array" ref="BM2484">IFERROR(
   INDEX($AW$1:$BH$1,
      _xlfn.AGGREGATE(14, 6, COLUMN($AW$1:$BH$1)/(AW2484:BH2484&lt;&gt;""), 2) - COLUMN($AW$1) + 1
   ),
"")</f>
        <v>46113</v>
      </c>
      <c r="BN2484" s="55" cm="1">
        <f t="array" ref="BN2484">IFERROR(INDEX($AW$1:$BH$1,1,MATCH(2,1/(AW2484:BH2484&lt;&gt;""))),"")</f>
        <v>46143</v>
      </c>
      <c r="BO2484" s="53">
        <f ca="1">IFERROR(_xlfn.XLOOKUP(F2484,Apuração!A:A,Apuração!C:C)/_xlfn.XLOOKUP(F2484,Apuração!A:A,Apuração!B:B),0)</f>
        <v>0.41666666666666669</v>
      </c>
      <c r="BP2484" s="53">
        <f ca="1">IFERROR(_xlfn.XLOOKUP(F2484,Apuração!A:A,Apuração!D:D)/_xlfn.XLOOKUP(F2484,Apuração!A:A,Apuração!B:B),0)</f>
        <v>0.33333333333333331</v>
      </c>
      <c r="BQ2484" s="53">
        <f ca="1">IF(BK2484&gt;=BO2484,0,_xlfn.XLOOKUP(F2484,Apuração!A:A,Apuração!B:B)*(BO2484 + (1/_xlfn.XLOOKUP(F2484,Apuração!A:A,Apuração!B:B)) - BK2484))</f>
        <v>1.2339304531085356</v>
      </c>
      <c r="BR2484" s="85">
        <f t="shared" ref="BR2484:BR2485" ca="1" si="3100">IF(BQ2484=0,0,BQ2484*Z2484)</f>
        <v>1171.0000000000002</v>
      </c>
      <c r="BS2484" s="53">
        <f ca="1">IFERROR((_xlfn.XLOOKUP(F2484,Apuração!A:A,Apuração!C:C)+1)/_xlfn.XLOOKUP(F2484,Apuração!A:A,Apuração!B:B),0)</f>
        <v>0.5</v>
      </c>
    </row>
    <row r="2485" spans="1:71" ht="25.95" hidden="1" customHeight="1" x14ac:dyDescent="0.3">
      <c r="A2485" s="23" t="s">
        <v>134</v>
      </c>
      <c r="B2485" s="4" t="s">
        <v>167</v>
      </c>
      <c r="C2485" s="5" t="s">
        <v>221</v>
      </c>
      <c r="D2485" s="5" t="s">
        <v>213</v>
      </c>
      <c r="E2485" s="4" t="str" cm="1">
        <f t="array" ref="E2485">_xlfn.IFS(
F2485 = "A partir de Abril", "Aguardando Execução na Distribuidora",
A2485 = "CAPACITAÇÃO", "Em execução no Corporativo",
TRUE, "Em Execução na Distribuidora"
)</f>
        <v>Em Execução na Distribuidora</v>
      </c>
      <c r="F2485" s="4" t="str" cm="1">
        <f t="array" ref="F2485">_xlfn.IFS(
AG2485 &lt;&gt; "", "Jan-Dez/26",
AH2485 &lt;&gt; "", "Fev-Dez/26",
AI2485 &lt;&gt; "", "Mar-Dez/26", AJ2485 &lt;&gt; "", "Abr-Dez/26",
TRUE, "A partir de Junho"
)</f>
        <v>Jan-Dez/26</v>
      </c>
      <c r="G2485" s="4" t="s">
        <v>37</v>
      </c>
      <c r="H2485" s="7" t="s">
        <v>38</v>
      </c>
      <c r="I2485" s="8" t="s">
        <v>171</v>
      </c>
      <c r="J2485" s="8" t="str" cm="1">
        <f t="array" aca="1" ref="J2485" ca="1">_xlfn.LET(
  _xlpm.actual_value_month, INDEX(T2485:AE2485, MATCH(DATE(YEAR(TODAY()), MONTH(TODAY()), 1), $T$1:$AE$1, 0)),
  IF(_xlpm.actual_value_month &lt;&gt; "",_xlpm.actual_value_month &amp; " colaboradores alcançados mensalmentes", "")
)</f>
        <v>720 colaboradores alcançados mensalmentes</v>
      </c>
      <c r="K2485" s="8" t="str" cm="1">
        <f t="array" ref="K2485">_xlfn.LET(
    _xlpm.sum_month, SUM(T2485:AE2485),
    IF(_xlpm.sum_month = 0, "", _xlpm.sum_month &amp; " colaboradores alcançados durante no ano")
)</f>
        <v>8640 colaboradores alcançados durante no ano</v>
      </c>
      <c r="L2485" s="9" t="s">
        <v>172</v>
      </c>
      <c r="M2485" s="24" t="s">
        <v>173</v>
      </c>
      <c r="N2485" s="5" t="s">
        <v>42</v>
      </c>
      <c r="O2485" s="5" t="s">
        <v>43</v>
      </c>
      <c r="P2485" s="10" t="s">
        <v>44</v>
      </c>
      <c r="Q2485" s="10" t="s">
        <v>72</v>
      </c>
      <c r="R2485" s="11" t="s">
        <v>66</v>
      </c>
      <c r="S2485" s="11" t="s">
        <v>67</v>
      </c>
      <c r="T2485" s="22">
        <v>720</v>
      </c>
      <c r="U2485" s="22">
        <v>720</v>
      </c>
      <c r="V2485" s="22">
        <v>720</v>
      </c>
      <c r="W2485" s="22">
        <v>720</v>
      </c>
      <c r="X2485" s="22">
        <v>720</v>
      </c>
      <c r="Y2485" s="22">
        <v>720</v>
      </c>
      <c r="Z2485" s="22">
        <v>720</v>
      </c>
      <c r="AA2485" s="22">
        <v>720</v>
      </c>
      <c r="AB2485" s="22">
        <v>720</v>
      </c>
      <c r="AC2485" s="22">
        <v>720</v>
      </c>
      <c r="AD2485" s="22">
        <v>720</v>
      </c>
      <c r="AE2485" s="22">
        <v>720</v>
      </c>
      <c r="AG2485" s="71">
        <v>720</v>
      </c>
      <c r="AH2485" s="71">
        <v>720</v>
      </c>
      <c r="AI2485" s="71">
        <v>720</v>
      </c>
      <c r="AJ2485" s="71">
        <v>838</v>
      </c>
      <c r="AK2485" s="71">
        <v>838</v>
      </c>
      <c r="AL2485" s="71"/>
      <c r="AM2485" s="71"/>
      <c r="AN2485" s="71"/>
      <c r="AO2485" s="71"/>
      <c r="AP2485" s="71"/>
      <c r="AQ2485" s="71"/>
      <c r="AR2485" s="71"/>
      <c r="AS2485" s="94">
        <f t="shared" ca="1" si="3093"/>
        <v>3600</v>
      </c>
      <c r="AT2485" s="95">
        <f t="shared" si="3094"/>
        <v>3816</v>
      </c>
      <c r="AU2485" s="97">
        <f t="shared" si="3095"/>
        <v>3836</v>
      </c>
      <c r="AW2485" s="51">
        <f t="shared" si="3096"/>
        <v>1</v>
      </c>
      <c r="AX2485" s="51">
        <f t="shared" si="3097"/>
        <v>1</v>
      </c>
      <c r="AY2485" s="51">
        <f t="shared" si="3098"/>
        <v>1</v>
      </c>
      <c r="AZ2485" s="51">
        <f t="shared" si="3099"/>
        <v>1.163888888888889</v>
      </c>
      <c r="BA2485" s="51">
        <f t="shared" si="3084"/>
        <v>1.163888888888889</v>
      </c>
      <c r="BB2485" s="51"/>
      <c r="BC2485" s="51"/>
      <c r="BD2485" s="51"/>
      <c r="BE2485" s="51"/>
      <c r="BF2485" s="51"/>
      <c r="BG2485" s="51"/>
      <c r="BH2485" s="51"/>
      <c r="BI2485" s="65" cm="1">
        <f t="array" ref="BI2485">IFERROR(INDEX(AW2485:BH2485,1,MATCH(2,1/(AW2485:BH2485&lt;&gt;""))),"")</f>
        <v>1.163888888888889</v>
      </c>
      <c r="BJ2485" s="68" cm="1">
        <f t="array" ref="BJ2485">IF(BM2485 = "", "",IFERROR(INDEX(AW2485:BH2485,1,MATCH(2,1/(AW2485:BH2485&lt;&gt;""),1)-1),""))</f>
        <v>1.163888888888889</v>
      </c>
      <c r="BK2485" s="58">
        <f>IF((IF(AW2485&gt;=115%,115%,AW2485) + IF(AX2485&gt;=115%,115%,AX2485) + IF(AY2485&gt;=115%,115%,AY2485) + (IF(AZ2485&gt;=115%,115%,AZ2485) + IF(BA2485&gt;=125%,125%,BA2485) + IF(BB2485&gt;=115%,115%,BB2485) + IF(BC2485&gt;=117%,117%,BC2485) + IF(BD2485&gt;=200%,200%,BD2485) + IF(BE2485&gt;=115%,115%,BE2485) + IF(BF2485&gt;=115%,115%,BF2485) + IF(BG2485&gt;=115%,115%,BG2485) + IF(BH2485&gt;=115%,115%,BH2485)))/_xlfn.XLOOKUP(F2485,Apuração!A:A,Apuração!B:B)&gt;=1.15,1.15,((IF(AZ2485&gt;=115%,115%,AZ2485) + IF(AX2485&gt;=115%,115%,AX2485) + IF(AY2485&gt;=115%,115%,AY2485) + (IF(AW2485&gt;=115%,115%,AW2485) + IF(BA2485&gt;=125%,125%,BA2485) + IF(BB2485&gt;=115%,115%,BB2485) + IF(BC2485&gt;=117%,117%,BC2485) + IF(BD2485&gt;=200%,200%,BD2485) + IF(BE2485&gt;=115%,115%,BE2485) + IF(BF2485&gt;=115%,115%,BF2485) + IF(BG2485&gt;=115%,115%,BG2485) + IF(BH2485&gt;=115%,115%,BH2485)))/_xlfn.XLOOKUP(F2485,Apuração!A:A,Apuração!B:B)))</f>
        <v>0.44282407407407404</v>
      </c>
      <c r="BL2485" s="58" cm="1">
        <f t="array" aca="1" ref="BL2485" ca="1">IF(SUM(IFERROR(IF(INDEX(AW2485:INDEX(AW2485:BH2485, MATCH(2, 1/(AW2485:BH2485&lt;&gt;""), 1)-1), ROW(INDIRECT("1:" &amp; MATCH(2, 1/(AW2485:BH2485&lt;&gt;""), 1)-1))) &gt;= 115%, 115%, INDEX(AW2485:INDEX(AW2485:BH2485, MATCH(2, 1/(AW2485:BH2485&lt;&gt;""), 1)-1), ROW(INDIRECT("1:" &amp; MATCH(2, 1/(AW2485:BH2485&lt;&gt;""), 1)-1)))), 0))/_xlfn.XLOOKUP(F2485,Apuração!A:A,Apuração!B:B)&gt;=1.15,1.15,SUM(IFERROR(IF(INDEX(AW2485:INDEX(AW2485:BH2485, MATCH(2, 1/(AW2485:BH2485&lt;&gt;""), 1)-1), ROW(INDIRECT("1:" &amp; MATCH(2, 1/(AW2485:BH2485&lt;&gt;""), 1)-1))) &gt;= 115%, 115%, INDEX(AW2485:INDEX(AW2485:BH2485, MATCH(2, 1/(AW2485:BH2485&lt;&gt;""), 1)-1), ROW(INDIRECT("1:" &amp; MATCH(2, 1/(AW2485:BH2485&lt;&gt;""), 1)-1)))), 0))/_xlfn.XLOOKUP(F2485,Apuração!A:A,Apuração!B:B))</f>
        <v>0.34583333333333338</v>
      </c>
      <c r="BM2485" s="55" cm="1">
        <f t="array" ref="BM2485">IFERROR(
   INDEX($AW$1:$BH$1,
      _xlfn.AGGREGATE(14, 6, COLUMN($AW$1:$BH$1)/(AW2485:BH2485&lt;&gt;""), 2) - COLUMN($AW$1) + 1
   ),
"")</f>
        <v>46113</v>
      </c>
      <c r="BN2485" s="55" cm="1">
        <f t="array" ref="BN2485">IFERROR(INDEX($AW$1:$BH$1,1,MATCH(2,1/(AW2485:BH2485&lt;&gt;""))),"")</f>
        <v>46143</v>
      </c>
      <c r="BO2485" s="53">
        <f ca="1">IFERROR(_xlfn.XLOOKUP(F2485,Apuração!A:A,Apuração!C:C)/_xlfn.XLOOKUP(F2485,Apuração!A:A,Apuração!B:B),0)</f>
        <v>0.41666666666666669</v>
      </c>
      <c r="BP2485" s="53">
        <f ca="1">IFERROR(_xlfn.XLOOKUP(F2485,Apuração!A:A,Apuração!D:D)/_xlfn.XLOOKUP(F2485,Apuração!A:A,Apuração!B:B),0)</f>
        <v>0.33333333333333331</v>
      </c>
      <c r="BQ2485" s="53">
        <f ca="1">IF(BK2485&gt;=BO2485,0,_xlfn.XLOOKUP(F2485,Apuração!A:A,Apuração!B:B)*(BO2485 + (1/_xlfn.XLOOKUP(F2485,Apuração!A:A,Apuração!B:B)) - BK2485))</f>
        <v>0</v>
      </c>
      <c r="BR2485" s="85">
        <f t="shared" ca="1" si="3100"/>
        <v>0</v>
      </c>
      <c r="BS2485" s="53">
        <f ca="1">IFERROR((_xlfn.XLOOKUP(F2485,Apuração!A:A,Apuração!C:C)+1)/_xlfn.XLOOKUP(F2485,Apuração!A:A,Apuração!B:B),0)</f>
        <v>0.5</v>
      </c>
    </row>
    <row r="2486" spans="1:71" ht="25.95" hidden="1" customHeight="1" x14ac:dyDescent="0.3">
      <c r="A2486" s="23" t="s">
        <v>134</v>
      </c>
      <c r="B2486" s="4" t="s">
        <v>174</v>
      </c>
      <c r="C2486" s="5" t="s">
        <v>221</v>
      </c>
      <c r="D2486" s="5" t="s">
        <v>36</v>
      </c>
      <c r="E2486" s="4" t="s">
        <v>96</v>
      </c>
      <c r="F2486" s="4" t="str" cm="1">
        <f t="array" ref="F2486">_xlfn.IFS(
AG2486 &lt;&gt; "", "Jan-Dez/26",
AH2486 &lt;&gt; "", "Fev-Dez/26",
AI2486 &lt;&gt; "", "Mar-Dez/26", AJ2486 &lt;&gt; "", "Abr-Dez/26",
TRUE, "A partir de Junho"
)</f>
        <v>A partir de Junho</v>
      </c>
      <c r="G2486" s="4" t="s">
        <v>62</v>
      </c>
      <c r="H2486" s="7" t="s">
        <v>38</v>
      </c>
      <c r="I2486" s="8" t="s">
        <v>168</v>
      </c>
      <c r="J2486" s="8" t="str" cm="1">
        <f t="array" aca="1" ref="J2486" ca="1">_xlfn.LET(
  _xlpm.actual_value_month, INDEX(T2486:AE2486, MATCH(DATE(YEAR(TODAY()), MONTH(TODAY()), 1), $T$1:$AE$1, 0)),
  IF(_xlpm.actual_value_month &lt;&gt; "",_xlpm.actual_value_month &amp; " ações mensais", "")
)</f>
        <v/>
      </c>
      <c r="K2486" s="8" t="str" cm="1">
        <f t="array" ref="K2486">_xlfn.LET(
    _xlpm.sum_month, SUM(T2486:AE2486),
    IF(_xlpm.sum_month = 0, "", _xlpm.sum_month &amp; " ações no ano")
)</f>
        <v/>
      </c>
      <c r="L2486" s="9" t="s">
        <v>169</v>
      </c>
      <c r="M2486" s="24">
        <v>1</v>
      </c>
      <c r="N2486" s="5" t="s">
        <v>42</v>
      </c>
      <c r="O2486" s="5" t="s">
        <v>43</v>
      </c>
      <c r="P2486" s="10" t="s">
        <v>44</v>
      </c>
      <c r="Q2486" s="10" t="s">
        <v>44</v>
      </c>
      <c r="R2486" s="11" t="s">
        <v>66</v>
      </c>
      <c r="S2486" s="11" t="s">
        <v>67</v>
      </c>
      <c r="T2486" s="22"/>
      <c r="U2486" s="22"/>
      <c r="V2486" s="22"/>
      <c r="W2486" s="22"/>
      <c r="X2486" s="22"/>
      <c r="Y2486" s="22"/>
      <c r="Z2486" s="22"/>
      <c r="AA2486" s="22"/>
      <c r="AB2486" s="22"/>
      <c r="AC2486" s="22"/>
      <c r="AD2486" s="22"/>
      <c r="AE2486" s="22"/>
      <c r="AG2486" s="71"/>
      <c r="AH2486" s="71"/>
      <c r="AI2486" s="71"/>
      <c r="AJ2486" s="71"/>
      <c r="AK2486" s="71"/>
      <c r="AL2486" s="71"/>
      <c r="AM2486" s="71"/>
      <c r="AN2486" s="71"/>
      <c r="AO2486" s="71"/>
      <c r="AP2486" s="71"/>
      <c r="AQ2486" s="71"/>
      <c r="AR2486" s="71"/>
      <c r="AS2486" s="94">
        <f t="shared" ca="1" si="2977"/>
        <v>0</v>
      </c>
      <c r="AT2486" s="95">
        <f>SUM(IF(AW2486&lt;1.15,AG2486,1.15*T2486),IF(AX2486&lt;1.15,AH2486,1.15*U2486),IF(AY2486&lt;1.15,AI2486,1.15*V2486),IF(AZ2486&lt;1.15,AJ2486,1.15*W2486),IF(BA2486&lt;1.15,AK2486,1.15*X2486),IF(BB2486&lt;1.15,AL2486,1.15*Y2486),IF(BC2486&lt;1.15,AM2486,1.15*Z2486),IF(BD2486&lt;1.15,AN2486,1.15*AA2486),IF(BE2486&lt;1.15,AO2486,1.15*AB2486),IF(BF2486&lt;1.15,AP2486,1.15*AC2486),IF(BG2486&lt;1.15,AQ2486,1.15*AD2486),IF(BH2486&lt;1.15,AR2486,1.15*AE2486))</f>
        <v>0</v>
      </c>
      <c r="AU2486" s="97">
        <f t="shared" si="2978"/>
        <v>0</v>
      </c>
      <c r="AW2486" s="51">
        <f t="shared" si="3084"/>
        <v>0</v>
      </c>
      <c r="AX2486" s="51">
        <f t="shared" si="3084"/>
        <v>0</v>
      </c>
      <c r="AY2486" s="51">
        <f t="shared" si="3084"/>
        <v>0</v>
      </c>
      <c r="AZ2486" s="51">
        <f t="shared" si="3084"/>
        <v>0</v>
      </c>
      <c r="BA2486" s="51">
        <f t="shared" si="3084"/>
        <v>0</v>
      </c>
      <c r="BB2486" s="51"/>
      <c r="BC2486" s="51"/>
      <c r="BD2486" s="51"/>
      <c r="BE2486" s="51"/>
      <c r="BF2486" s="51"/>
      <c r="BG2486" s="51"/>
      <c r="BH2486" s="51"/>
      <c r="BI2486" s="65" cm="1">
        <f t="array" ref="BI2486">IFERROR(INDEX(AW2486:BH2486,1,MATCH(2,1/(AW2486:BH2486&lt;&gt;""))),"")</f>
        <v>0</v>
      </c>
      <c r="BJ2486" s="68" cm="1">
        <f t="array" ref="BJ2486">IF(BM2486 = "", "",IFERROR(INDEX(AW2486:BH2486,1,MATCH(2,1/(AW2486:BH2486&lt;&gt;""),1)-1),""))</f>
        <v>0</v>
      </c>
      <c r="BK2486" s="58">
        <f>IF((IF(AW2486&gt;=115%,115%,AW2486) + IF(AX2486&gt;=115%,115%,AX2486) + IF(AY2486&gt;=115%,115%,AY2486) + (IF(AZ2486&gt;=115%,115%,AZ2486) + IF(BA2486&gt;=115%,115%,BA2486) + IF(BB2486&gt;=115%,115%,BB2486) + IF(BC2486&gt;=115%,115%,BC2486) + IF(BD2486&gt;=115%,115%,BD2486) + IF(BE2486&gt;=115%,115%,BE2486) + IF(BF2486&gt;=115%,115%,BF2486) + IF(BG2486&gt;=115%,115%,BG2486) + IF(BH2486&gt;=115%,115%,BH2486)))/_xlfn.XLOOKUP(F2486,Apuração!A:A,Apuração!B:B)&gt;=1.15,1.15,((IF(AZ2486&gt;=115%,115%,AZ2486) + IF(AX2486&gt;=115%,115%,AX2486) + IF(AY2486&gt;=115%,115%,AY2486) + (IF(AW2486&gt;=115%,115%,AW2486) + IF(BA2486&gt;=115%,115%,BA2486) + IF(BB2486&gt;=115%,115%,BB2486) + IF(BC2486&gt;=115%,115%,BC2486) + IF(BD2486&gt;=115%,115%,BD2486) + IF(BE2486&gt;=115%,115%,BE2486) + IF(BF2486&gt;=115%,115%,BF2486) + IF(BG2486&gt;=115%,115%,BG2486) + IF(BH2486&gt;=115%,115%,BH2486)))/_xlfn.XLOOKUP(F2486,Apuração!A:A,Apuração!B:B)))</f>
        <v>0</v>
      </c>
      <c r="BL2486" s="58" cm="1">
        <f t="array" aca="1" ref="BL2486" ca="1">IF(SUM(IFERROR(IF(INDEX(AW2486:INDEX(AW2486:BH2486, MATCH(2, 1/(AW2486:BH2486&lt;&gt;""), 1)-1), ROW(INDIRECT("1:" &amp; MATCH(2, 1/(AW2486:BH2486&lt;&gt;""), 1)-1))) &gt;= 115%, 115%, INDEX(AW2486:INDEX(AW2486:BH2486, MATCH(2, 1/(AW2486:BH2486&lt;&gt;""), 1)-1), ROW(INDIRECT("1:" &amp; MATCH(2, 1/(AW2486:BH2486&lt;&gt;""), 1)-1)))), 0))/_xlfn.XLOOKUP(F2486,Apuração!A:A,Apuração!B:B)&gt;=1.15,1.15,SUM(IFERROR(IF(INDEX(AW2486:INDEX(AW2486:BH2486, MATCH(2, 1/(AW2486:BH2486&lt;&gt;""), 1)-1), ROW(INDIRECT("1:" &amp; MATCH(2, 1/(AW2486:BH2486&lt;&gt;""), 1)-1))) &gt;= 115%, 115%, INDEX(AW2486:INDEX(AW2486:BH2486, MATCH(2, 1/(AW2486:BH2486&lt;&gt;""), 1)-1), ROW(INDIRECT("1:" &amp; MATCH(2, 1/(AW2486:BH2486&lt;&gt;""), 1)-1)))), 0))/_xlfn.XLOOKUP(F2486,Apuração!A:A,Apuração!B:B))</f>
        <v>0</v>
      </c>
      <c r="BM2486" s="55" cm="1">
        <f t="array" ref="BM2486">IFERROR(
   INDEX($AW$1:$BH$1,
      _xlfn.AGGREGATE(14, 6, COLUMN($AW$1:$BH$1)/(AW2486:BH2486&lt;&gt;""), 2) - COLUMN($AW$1) + 1
   ),
"")</f>
        <v>46113</v>
      </c>
      <c r="BN2486" s="55" cm="1">
        <f t="array" ref="BN2486">IFERROR(INDEX($AW$1:$BH$1,1,MATCH(2,1/(AW2486:BH2486&lt;&gt;""))),"")</f>
        <v>46143</v>
      </c>
      <c r="BO2486" s="53">
        <f ca="1">IFERROR(_xlfn.XLOOKUP(F2486,Apuração!A:A,Apuração!C:C)/_xlfn.XLOOKUP(F2486,Apuração!A:A,Apuração!B:B),0)</f>
        <v>0</v>
      </c>
      <c r="BP2486" s="53">
        <f ca="1">IFERROR(_xlfn.XLOOKUP(F2486,Apuração!A:A,Apuração!D:D)/_xlfn.XLOOKUP(F2486,Apuração!A:A,Apuração!B:B),0)</f>
        <v>0</v>
      </c>
      <c r="BQ2486" s="53">
        <f ca="1">IF(BK2486&gt;=BO2486,0,_xlfn.XLOOKUP(F2486,Apuração!A:A,Apuração!B:B)*(BO2486 + (1/_xlfn.XLOOKUP(F2486,Apuração!A:A,Apuração!B:B)) - BK2486))</f>
        <v>0</v>
      </c>
      <c r="BR2486" s="85">
        <f t="shared" ca="1" si="2957"/>
        <v>0</v>
      </c>
      <c r="BS2486" s="53">
        <f ca="1">IFERROR((_xlfn.XLOOKUP(F2486,Apuração!A:A,Apuração!C:C)+1)/_xlfn.XLOOKUP(F2486,Apuração!A:A,Apuração!B:B),0)</f>
        <v>0.14285714285714285</v>
      </c>
    </row>
    <row r="2487" spans="1:71" ht="25.95" hidden="1" customHeight="1" x14ac:dyDescent="0.3">
      <c r="A2487" s="23" t="s">
        <v>134</v>
      </c>
      <c r="B2487" s="4" t="s">
        <v>174</v>
      </c>
      <c r="C2487" s="5" t="s">
        <v>221</v>
      </c>
      <c r="D2487" s="5" t="s">
        <v>212</v>
      </c>
      <c r="E2487" s="4" t="s">
        <v>96</v>
      </c>
      <c r="F2487" s="4" t="str" cm="1">
        <f t="array" ref="F2487">_xlfn.IFS(
AG2487 &lt;&gt; "", "Jan-Dez/26",
AH2487 &lt;&gt; "", "Fev-Dez/26",
AI2487 &lt;&gt; "", "Mar-Dez/26", AJ2487 &lt;&gt; "", "Abr-Dez/26",
TRUE, "A partir de Junho"
)</f>
        <v>A partir de Junho</v>
      </c>
      <c r="G2487" s="4" t="s">
        <v>62</v>
      </c>
      <c r="H2487" s="7" t="s">
        <v>38</v>
      </c>
      <c r="I2487" s="8" t="s">
        <v>168</v>
      </c>
      <c r="J2487" s="8" t="str" cm="1">
        <f t="array" aca="1" ref="J2487" ca="1">_xlfn.LET(
  _xlpm.actual_value_month, INDEX(T2487:AE2487, MATCH(DATE(YEAR(TODAY()), MONTH(TODAY()), 1), $T$1:$AE$1, 0)),
  IF(_xlpm.actual_value_month &lt;&gt; "",_xlpm.actual_value_month &amp; " ações mensais", "")
)</f>
        <v/>
      </c>
      <c r="K2487" s="8" t="str" cm="1">
        <f t="array" ref="K2487">_xlfn.LET(
    _xlpm.sum_month, SUM(T2487:AE2487),
    IF(_xlpm.sum_month = 0, "", _xlpm.sum_month &amp; " ações no ano")
)</f>
        <v/>
      </c>
      <c r="L2487" s="9" t="s">
        <v>169</v>
      </c>
      <c r="M2487" s="24">
        <v>1</v>
      </c>
      <c r="N2487" s="5" t="s">
        <v>42</v>
      </c>
      <c r="O2487" s="5" t="s">
        <v>43</v>
      </c>
      <c r="P2487" s="10" t="s">
        <v>44</v>
      </c>
      <c r="Q2487" s="10" t="s">
        <v>44</v>
      </c>
      <c r="R2487" s="11" t="s">
        <v>66</v>
      </c>
      <c r="S2487" s="11" t="s">
        <v>67</v>
      </c>
      <c r="T2487" s="22"/>
      <c r="U2487" s="22"/>
      <c r="V2487" s="22"/>
      <c r="W2487" s="22"/>
      <c r="X2487" s="22"/>
      <c r="Y2487" s="22"/>
      <c r="Z2487" s="22"/>
      <c r="AA2487" s="22"/>
      <c r="AB2487" s="22"/>
      <c r="AC2487" s="22"/>
      <c r="AD2487" s="22"/>
      <c r="AE2487" s="22"/>
      <c r="AG2487" s="71"/>
      <c r="AH2487" s="71"/>
      <c r="AI2487" s="71"/>
      <c r="AJ2487" s="71"/>
      <c r="AK2487" s="71"/>
      <c r="AL2487" s="71"/>
      <c r="AM2487" s="71"/>
      <c r="AN2487" s="71"/>
      <c r="AO2487" s="71"/>
      <c r="AP2487" s="71"/>
      <c r="AQ2487" s="71"/>
      <c r="AR2487" s="71"/>
      <c r="AS2487" s="94">
        <f t="shared" ref="AS2487:AS2488" ca="1" si="3101">IF(MONTH(TODAY())=3,SUM(T2487:U2487),IF(MONTH(TODAY())=4,SUM(T2487:V2487),IF(MONTH(TODAY())=5,SUM(T2487:W2487),IF(MONTH(TODAY())=6,SUM(T2487:X2487),IF(MONTH(TODAY())=7,SUM(T2487:Y2487),IF(MONTH(TODAY())=8,SUM(T2487:Z2487),IF(MONTH(TODAY())=9,SUM(T2487:AA2487),IF(MONTH(TODAY())=10,SUM(T2487:AB2487),IF(MONTH(TODAY())=11,SUM(T2487:AC2487),IF(MONTH(TODAY())=12,SUM(T2487:AD2487),IF(MONTH(TODAY())=1,SUM(T2487:AE2487),T2487)))))))))))</f>
        <v>0</v>
      </c>
      <c r="AT2487" s="95">
        <f t="shared" ref="AT2487:AT2488" si="3102">SUM(IF(AW2487&lt;1.15,AG2487,1.15*T2487),IF(AX2487&lt;1.15,AH2487,1.15*U2487),IF(AY2487&lt;1.15,AI2487,1.15*V2487),IF(AZ2487&lt;1.15,AJ2487,1.15*W2487),IF(BA2487&lt;1.15,AK2487,1.15*X2487),IF(BB2487&lt;1.15,AL2487,1.15*Y2487),IF(BC2487&lt;1.15,AM2487,1.15*Z2487),IF(BD2487&lt;1.15,AN2487,1.15*AA2487),IF(BE2487&lt;1.15,AO2487,1.15*AB2487),IF(BF2487&lt;1.15,AP2487,1.15*AC2487),IF(BG2487&lt;1.15,AQ2487,1.15*AD2487),IF(BH2487&lt;1.15,AR2487,1.15*AE2487))</f>
        <v>0</v>
      </c>
      <c r="AU2487" s="97">
        <f t="shared" ref="AU2487:AU2488" si="3103">SUM(AG2487:AR2487)</f>
        <v>0</v>
      </c>
      <c r="AW2487" s="51">
        <f t="shared" ref="AW2487:AW2488" si="3104">IFERROR(IF(AG2487="",0,AG2487/T2487),0)</f>
        <v>0</v>
      </c>
      <c r="AX2487" s="51">
        <f t="shared" ref="AX2487:AX2488" si="3105">IFERROR(IF(AH2487="",0,AH2487/U2487),0)</f>
        <v>0</v>
      </c>
      <c r="AY2487" s="51">
        <f t="shared" ref="AY2487:AY2488" si="3106">IFERROR(IF(AI2487="",0,AI2487/V2487),0)</f>
        <v>0</v>
      </c>
      <c r="AZ2487" s="51">
        <f t="shared" ref="AZ2487:AZ2488" si="3107">IFERROR(IF(AJ2487="",0,AJ2487/W2487),0)</f>
        <v>0</v>
      </c>
      <c r="BA2487" s="51">
        <f t="shared" si="3084"/>
        <v>0</v>
      </c>
      <c r="BB2487" s="51"/>
      <c r="BC2487" s="51"/>
      <c r="BD2487" s="51"/>
      <c r="BE2487" s="51"/>
      <c r="BF2487" s="51"/>
      <c r="BG2487" s="51"/>
      <c r="BH2487" s="51"/>
      <c r="BI2487" s="65" cm="1">
        <f t="array" ref="BI2487">IFERROR(INDEX(AW2487:BH2487,1,MATCH(2,1/(AW2487:BH2487&lt;&gt;""))),"")</f>
        <v>0</v>
      </c>
      <c r="BJ2487" s="68" cm="1">
        <f t="array" ref="BJ2487">IF(BM2487 = "", "",IFERROR(INDEX(AW2487:BH2487,1,MATCH(2,1/(AW2487:BH2487&lt;&gt;""),1)-1),""))</f>
        <v>0</v>
      </c>
      <c r="BK2487" s="58">
        <f>IF((IF(AW2487&gt;=115%,115%,AW2487) + IF(AX2487&gt;=115%,115%,AX2487) + IF(AY2487&gt;=115%,115%,AY2487) + (IF(AZ2487&gt;=115%,115%,AZ2487) + IF(BA2487&gt;=115%,115%,BA2487) + IF(BB2487&gt;=115%,115%,BB2487) + IF(BC2487&gt;=115%,115%,BC2487) + IF(BD2487&gt;=115%,115%,BD2487) + IF(BE2487&gt;=115%,115%,BE2487) + IF(BF2487&gt;=115%,115%,BF2487) + IF(BG2487&gt;=115%,115%,BG2487) + IF(BH2487&gt;=115%,115%,BH2487)))/_xlfn.XLOOKUP(F2487,Apuração!A:A,Apuração!B:B)&gt;=1.15,1.15,((IF(AZ2487&gt;=115%,115%,AZ2487) + IF(AX2487&gt;=115%,115%,AX2487) + IF(AY2487&gt;=115%,115%,AY2487) + (IF(AW2487&gt;=115%,115%,AW2487) + IF(BA2487&gt;=115%,115%,BA2487) + IF(BB2487&gt;=115%,115%,BB2487) + IF(BC2487&gt;=115%,115%,BC2487) + IF(BD2487&gt;=115%,115%,BD2487) + IF(BE2487&gt;=115%,115%,BE2487) + IF(BF2487&gt;=115%,115%,BF2487) + IF(BG2487&gt;=115%,115%,BG2487) + IF(BH2487&gt;=115%,115%,BH2487)))/_xlfn.XLOOKUP(F2487,Apuração!A:A,Apuração!B:B)))</f>
        <v>0</v>
      </c>
      <c r="BL2487" s="58" cm="1">
        <f t="array" aca="1" ref="BL2487" ca="1">IF(SUM(IFERROR(IF(INDEX(AW2487:INDEX(AW2487:BH2487, MATCH(2, 1/(AW2487:BH2487&lt;&gt;""), 1)-1), ROW(INDIRECT("1:" &amp; MATCH(2, 1/(AW2487:BH2487&lt;&gt;""), 1)-1))) &gt;= 115%, 115%, INDEX(AW2487:INDEX(AW2487:BH2487, MATCH(2, 1/(AW2487:BH2487&lt;&gt;""), 1)-1), ROW(INDIRECT("1:" &amp; MATCH(2, 1/(AW2487:BH2487&lt;&gt;""), 1)-1)))), 0))/_xlfn.XLOOKUP(F2487,Apuração!A:A,Apuração!B:B)&gt;=1.15,1.15,SUM(IFERROR(IF(INDEX(AW2487:INDEX(AW2487:BH2487, MATCH(2, 1/(AW2487:BH2487&lt;&gt;""), 1)-1), ROW(INDIRECT("1:" &amp; MATCH(2, 1/(AW2487:BH2487&lt;&gt;""), 1)-1))) &gt;= 115%, 115%, INDEX(AW2487:INDEX(AW2487:BH2487, MATCH(2, 1/(AW2487:BH2487&lt;&gt;""), 1)-1), ROW(INDIRECT("1:" &amp; MATCH(2, 1/(AW2487:BH2487&lt;&gt;""), 1)-1)))), 0))/_xlfn.XLOOKUP(F2487,Apuração!A:A,Apuração!B:B))</f>
        <v>0</v>
      </c>
      <c r="BM2487" s="55" cm="1">
        <f t="array" ref="BM2487">IFERROR(
   INDEX($AW$1:$BH$1,
      _xlfn.AGGREGATE(14, 6, COLUMN($AW$1:$BH$1)/(AW2487:BH2487&lt;&gt;""), 2) - COLUMN($AW$1) + 1
   ),
"")</f>
        <v>46113</v>
      </c>
      <c r="BN2487" s="55" cm="1">
        <f t="array" ref="BN2487">IFERROR(INDEX($AW$1:$BH$1,1,MATCH(2,1/(AW2487:BH2487&lt;&gt;""))),"")</f>
        <v>46143</v>
      </c>
      <c r="BO2487" s="53">
        <f ca="1">IFERROR(_xlfn.XLOOKUP(F2487,Apuração!A:A,Apuração!C:C)/_xlfn.XLOOKUP(F2487,Apuração!A:A,Apuração!B:B),0)</f>
        <v>0</v>
      </c>
      <c r="BP2487" s="53">
        <f ca="1">IFERROR(_xlfn.XLOOKUP(F2487,Apuração!A:A,Apuração!D:D)/_xlfn.XLOOKUP(F2487,Apuração!A:A,Apuração!B:B),0)</f>
        <v>0</v>
      </c>
      <c r="BQ2487" s="53">
        <f ca="1">IF(BK2487&gt;=BO2487,0,_xlfn.XLOOKUP(F2487,Apuração!A:A,Apuração!B:B)*(BO2487 + (1/_xlfn.XLOOKUP(F2487,Apuração!A:A,Apuração!B:B)) - BK2487))</f>
        <v>0</v>
      </c>
      <c r="BR2487" s="85">
        <f t="shared" ref="BR2487:BR2488" ca="1" si="3108">IF(BQ2487=0,0,BQ2487*Z2487)</f>
        <v>0</v>
      </c>
      <c r="BS2487" s="53">
        <f ca="1">IFERROR((_xlfn.XLOOKUP(F2487,Apuração!A:A,Apuração!C:C)+1)/_xlfn.XLOOKUP(F2487,Apuração!A:A,Apuração!B:B),0)</f>
        <v>0.14285714285714285</v>
      </c>
    </row>
    <row r="2488" spans="1:71" ht="25.95" hidden="1" customHeight="1" x14ac:dyDescent="0.3">
      <c r="A2488" s="23" t="s">
        <v>134</v>
      </c>
      <c r="B2488" s="4" t="s">
        <v>174</v>
      </c>
      <c r="C2488" s="5" t="s">
        <v>221</v>
      </c>
      <c r="D2488" s="5" t="s">
        <v>213</v>
      </c>
      <c r="E2488" s="4" t="s">
        <v>96</v>
      </c>
      <c r="F2488" s="4" t="str" cm="1">
        <f t="array" ref="F2488">_xlfn.IFS(
AG2488 &lt;&gt; "", "Jan-Dez/26",
AH2488 &lt;&gt; "", "Fev-Dez/26",
AI2488 &lt;&gt; "", "Mar-Dez/26", AJ2488 &lt;&gt; "", "Abr-Dez/26",
TRUE, "A partir de Junho"
)</f>
        <v>A partir de Junho</v>
      </c>
      <c r="G2488" s="4" t="s">
        <v>62</v>
      </c>
      <c r="H2488" s="7" t="s">
        <v>38</v>
      </c>
      <c r="I2488" s="8" t="s">
        <v>168</v>
      </c>
      <c r="J2488" s="8" t="str" cm="1">
        <f t="array" aca="1" ref="J2488" ca="1">_xlfn.LET(
  _xlpm.actual_value_month, INDEX(T2488:AE2488, MATCH(DATE(YEAR(TODAY()), MONTH(TODAY()), 1), $T$1:$AE$1, 0)),
  IF(_xlpm.actual_value_month &lt;&gt; "",_xlpm.actual_value_month &amp; " ações mensais", "")
)</f>
        <v/>
      </c>
      <c r="K2488" s="8" t="str" cm="1">
        <f t="array" ref="K2488">_xlfn.LET(
    _xlpm.sum_month, SUM(T2488:AE2488),
    IF(_xlpm.sum_month = 0, "", _xlpm.sum_month &amp; " ações no ano")
)</f>
        <v/>
      </c>
      <c r="L2488" s="9" t="s">
        <v>169</v>
      </c>
      <c r="M2488" s="24">
        <v>1</v>
      </c>
      <c r="N2488" s="5" t="s">
        <v>42</v>
      </c>
      <c r="O2488" s="5" t="s">
        <v>43</v>
      </c>
      <c r="P2488" s="10" t="s">
        <v>44</v>
      </c>
      <c r="Q2488" s="10" t="s">
        <v>44</v>
      </c>
      <c r="R2488" s="11" t="s">
        <v>66</v>
      </c>
      <c r="S2488" s="11" t="s">
        <v>67</v>
      </c>
      <c r="T2488" s="22"/>
      <c r="U2488" s="22"/>
      <c r="V2488" s="22"/>
      <c r="W2488" s="22"/>
      <c r="X2488" s="22"/>
      <c r="Y2488" s="22"/>
      <c r="Z2488" s="22"/>
      <c r="AA2488" s="22"/>
      <c r="AB2488" s="22"/>
      <c r="AC2488" s="22"/>
      <c r="AD2488" s="22"/>
      <c r="AE2488" s="22"/>
      <c r="AG2488" s="71"/>
      <c r="AH2488" s="71"/>
      <c r="AI2488" s="71"/>
      <c r="AJ2488" s="71"/>
      <c r="AK2488" s="71"/>
      <c r="AL2488" s="71"/>
      <c r="AM2488" s="71"/>
      <c r="AN2488" s="71"/>
      <c r="AO2488" s="71"/>
      <c r="AP2488" s="71"/>
      <c r="AQ2488" s="71"/>
      <c r="AR2488" s="71"/>
      <c r="AS2488" s="94">
        <f t="shared" ca="1" si="3101"/>
        <v>0</v>
      </c>
      <c r="AT2488" s="95">
        <f t="shared" si="3102"/>
        <v>0</v>
      </c>
      <c r="AU2488" s="97">
        <f t="shared" si="3103"/>
        <v>0</v>
      </c>
      <c r="AW2488" s="51">
        <f t="shared" si="3104"/>
        <v>0</v>
      </c>
      <c r="AX2488" s="51">
        <f t="shared" si="3105"/>
        <v>0</v>
      </c>
      <c r="AY2488" s="51">
        <f t="shared" si="3106"/>
        <v>0</v>
      </c>
      <c r="AZ2488" s="51">
        <f t="shared" si="3107"/>
        <v>0</v>
      </c>
      <c r="BA2488" s="51">
        <f t="shared" si="3084"/>
        <v>0</v>
      </c>
      <c r="BB2488" s="51"/>
      <c r="BC2488" s="51"/>
      <c r="BD2488" s="51"/>
      <c r="BE2488" s="51"/>
      <c r="BF2488" s="51"/>
      <c r="BG2488" s="51"/>
      <c r="BH2488" s="51"/>
      <c r="BI2488" s="65" cm="1">
        <f t="array" ref="BI2488">IFERROR(INDEX(AW2488:BH2488,1,MATCH(2,1/(AW2488:BH2488&lt;&gt;""))),"")</f>
        <v>0</v>
      </c>
      <c r="BJ2488" s="68" cm="1">
        <f t="array" ref="BJ2488">IF(BM2488 = "", "",IFERROR(INDEX(AW2488:BH2488,1,MATCH(2,1/(AW2488:BH2488&lt;&gt;""),1)-1),""))</f>
        <v>0</v>
      </c>
      <c r="BK2488" s="58">
        <f>IF((IF(AW2488&gt;=115%,115%,AW2488) + IF(AX2488&gt;=115%,115%,AX2488) + IF(AY2488&gt;=115%,115%,AY2488) + (IF(AZ2488&gt;=115%,115%,AZ2488) + IF(BA2488&gt;=115%,115%,BA2488) + IF(BB2488&gt;=115%,115%,BB2488) + IF(BC2488&gt;=115%,115%,BC2488) + IF(BD2488&gt;=115%,115%,BD2488) + IF(BE2488&gt;=115%,115%,BE2488) + IF(BF2488&gt;=115%,115%,BF2488) + IF(BG2488&gt;=115%,115%,BG2488) + IF(BH2488&gt;=115%,115%,BH2488)))/_xlfn.XLOOKUP(F2488,Apuração!A:A,Apuração!B:B)&gt;=1.15,1.15,((IF(AZ2488&gt;=115%,115%,AZ2488) + IF(AX2488&gt;=115%,115%,AX2488) + IF(AY2488&gt;=115%,115%,AY2488) + (IF(AW2488&gt;=115%,115%,AW2488) + IF(BA2488&gt;=115%,115%,BA2488) + IF(BB2488&gt;=115%,115%,BB2488) + IF(BC2488&gt;=115%,115%,BC2488) + IF(BD2488&gt;=115%,115%,BD2488) + IF(BE2488&gt;=115%,115%,BE2488) + IF(BF2488&gt;=115%,115%,BF2488) + IF(BG2488&gt;=115%,115%,BG2488) + IF(BH2488&gt;=115%,115%,BH2488)))/_xlfn.XLOOKUP(F2488,Apuração!A:A,Apuração!B:B)))</f>
        <v>0</v>
      </c>
      <c r="BL2488" s="58" cm="1">
        <f t="array" aca="1" ref="BL2488" ca="1">IF(SUM(IFERROR(IF(INDEX(AW2488:INDEX(AW2488:BH2488, MATCH(2, 1/(AW2488:BH2488&lt;&gt;""), 1)-1), ROW(INDIRECT("1:" &amp; MATCH(2, 1/(AW2488:BH2488&lt;&gt;""), 1)-1))) &gt;= 115%, 115%, INDEX(AW2488:INDEX(AW2488:BH2488, MATCH(2, 1/(AW2488:BH2488&lt;&gt;""), 1)-1), ROW(INDIRECT("1:" &amp; MATCH(2, 1/(AW2488:BH2488&lt;&gt;""), 1)-1)))), 0))/_xlfn.XLOOKUP(F2488,Apuração!A:A,Apuração!B:B)&gt;=1.15,1.15,SUM(IFERROR(IF(INDEX(AW2488:INDEX(AW2488:BH2488, MATCH(2, 1/(AW2488:BH2488&lt;&gt;""), 1)-1), ROW(INDIRECT("1:" &amp; MATCH(2, 1/(AW2488:BH2488&lt;&gt;""), 1)-1))) &gt;= 115%, 115%, INDEX(AW2488:INDEX(AW2488:BH2488, MATCH(2, 1/(AW2488:BH2488&lt;&gt;""), 1)-1), ROW(INDIRECT("1:" &amp; MATCH(2, 1/(AW2488:BH2488&lt;&gt;""), 1)-1)))), 0))/_xlfn.XLOOKUP(F2488,Apuração!A:A,Apuração!B:B))</f>
        <v>0</v>
      </c>
      <c r="BM2488" s="55" cm="1">
        <f t="array" ref="BM2488">IFERROR(
   INDEX($AW$1:$BH$1,
      _xlfn.AGGREGATE(14, 6, COLUMN($AW$1:$BH$1)/(AW2488:BH2488&lt;&gt;""), 2) - COLUMN($AW$1) + 1
   ),
"")</f>
        <v>46113</v>
      </c>
      <c r="BN2488" s="55" cm="1">
        <f t="array" ref="BN2488">IFERROR(INDEX($AW$1:$BH$1,1,MATCH(2,1/(AW2488:BH2488&lt;&gt;""))),"")</f>
        <v>46143</v>
      </c>
      <c r="BO2488" s="53">
        <f ca="1">IFERROR(_xlfn.XLOOKUP(F2488,Apuração!A:A,Apuração!C:C)/_xlfn.XLOOKUP(F2488,Apuração!A:A,Apuração!B:B),0)</f>
        <v>0</v>
      </c>
      <c r="BP2488" s="53">
        <f ca="1">IFERROR(_xlfn.XLOOKUP(F2488,Apuração!A:A,Apuração!D:D)/_xlfn.XLOOKUP(F2488,Apuração!A:A,Apuração!B:B),0)</f>
        <v>0</v>
      </c>
      <c r="BQ2488" s="53">
        <f ca="1">IF(BK2488&gt;=BO2488,0,_xlfn.XLOOKUP(F2488,Apuração!A:A,Apuração!B:B)*(BO2488 + (1/_xlfn.XLOOKUP(F2488,Apuração!A:A,Apuração!B:B)) - BK2488))</f>
        <v>0</v>
      </c>
      <c r="BR2488" s="85">
        <f t="shared" ca="1" si="3108"/>
        <v>0</v>
      </c>
      <c r="BS2488" s="53">
        <f ca="1">IFERROR((_xlfn.XLOOKUP(F2488,Apuração!A:A,Apuração!C:C)+1)/_xlfn.XLOOKUP(F2488,Apuração!A:A,Apuração!B:B),0)</f>
        <v>0.14285714285714285</v>
      </c>
    </row>
    <row r="2489" spans="1:71" ht="25.95" hidden="1" customHeight="1" x14ac:dyDescent="0.3">
      <c r="A2489" s="23" t="s">
        <v>134</v>
      </c>
      <c r="B2489" s="4" t="s">
        <v>174</v>
      </c>
      <c r="C2489" s="5" t="s">
        <v>221</v>
      </c>
      <c r="D2489" s="5" t="s">
        <v>36</v>
      </c>
      <c r="E2489" s="4" t="s">
        <v>96</v>
      </c>
      <c r="F2489" s="4" t="str" cm="1">
        <f t="array" ref="F2489">_xlfn.IFS(
AG2489 &lt;&gt; "", "Jan-Dez/26",
AH2489 &lt;&gt; "", "Fev-Dez/26",
AI2489 &lt;&gt; "", "Mar-Dez/26", AJ2489 &lt;&gt; "", "Abr-Dez/26",
TRUE, "A partir de Junho"
)</f>
        <v>A partir de Junho</v>
      </c>
      <c r="G2489" s="4" t="s">
        <v>62</v>
      </c>
      <c r="H2489" s="7" t="s">
        <v>38</v>
      </c>
      <c r="I2489" s="8" t="s">
        <v>171</v>
      </c>
      <c r="J2489" s="8" t="str" cm="1">
        <f t="array" aca="1" ref="J2489" ca="1">_xlfn.LET(
  _xlpm.actual_value_month, INDEX(T2489:AE2489, MATCH(DATE(YEAR(TODAY()), MONTH(TODAY()), 1), $T$1:$AE$1, 0)),
  IF(_xlpm.actual_value_month &lt;&gt; "",_xlpm.actual_value_month &amp; " ações mensais", "")
)</f>
        <v/>
      </c>
      <c r="K2489" s="8" t="str" cm="1">
        <f t="array" ref="K2489">_xlfn.LET(
    _xlpm.sum_month, SUM(T2489:AE2489),
    IF(_xlpm.sum_month = 0, "", _xlpm.sum_month &amp; " colaboradores impactados no ano")
)</f>
        <v/>
      </c>
      <c r="L2489" s="9" t="s">
        <v>172</v>
      </c>
      <c r="M2489" s="24">
        <v>1</v>
      </c>
      <c r="N2489" s="5" t="s">
        <v>42</v>
      </c>
      <c r="O2489" s="5" t="s">
        <v>43</v>
      </c>
      <c r="P2489" s="10" t="s">
        <v>44</v>
      </c>
      <c r="Q2489" s="10" t="s">
        <v>72</v>
      </c>
      <c r="R2489" s="11" t="s">
        <v>66</v>
      </c>
      <c r="S2489" s="11" t="s">
        <v>67</v>
      </c>
      <c r="T2489" s="22"/>
      <c r="U2489" s="22"/>
      <c r="V2489" s="22"/>
      <c r="W2489" s="22"/>
      <c r="X2489" s="22"/>
      <c r="Y2489" s="22"/>
      <c r="Z2489" s="22"/>
      <c r="AA2489" s="22"/>
      <c r="AB2489" s="22"/>
      <c r="AC2489" s="22"/>
      <c r="AD2489" s="22"/>
      <c r="AE2489" s="22"/>
      <c r="AG2489" s="71"/>
      <c r="AH2489" s="71"/>
      <c r="AI2489" s="71"/>
      <c r="AJ2489" s="71"/>
      <c r="AK2489" s="71"/>
      <c r="AL2489" s="71"/>
      <c r="AM2489" s="71"/>
      <c r="AN2489" s="71"/>
      <c r="AO2489" s="71"/>
      <c r="AP2489" s="71"/>
      <c r="AQ2489" s="71"/>
      <c r="AR2489" s="71"/>
      <c r="AS2489" s="94">
        <f t="shared" ref="AS2489" ca="1" si="3109">IF(MONTH(TODAY())=3,SUM(T2489:U2489),IF(MONTH(TODAY())=4,SUM(T2489:V2489),IF(MONTH(TODAY())=5,SUM(T2489:W2489),IF(MONTH(TODAY())=6,SUM(T2489:X2489),IF(MONTH(TODAY())=7,SUM(T2489:Y2489),IF(MONTH(TODAY())=8,SUM(T2489:Z2489),IF(MONTH(TODAY())=9,SUM(T2489:AA2489),IF(MONTH(TODAY())=10,SUM(T2489:AB2489),IF(MONTH(TODAY())=11,SUM(T2489:AC2489),IF(MONTH(TODAY())=12,SUM(T2489:AD2489),IF(MONTH(TODAY())=1,SUM(T2489:AE2489),T2489)))))))))))</f>
        <v>0</v>
      </c>
      <c r="AT2489" s="95">
        <f>SUM(IF(AW2489&lt;1.15,AG2489,1.15*T2489),IF(AX2489&lt;1.15,AH2489,1.15*U2489),IF(AY2489&lt;1.15,AI2489,1.15*V2489),IF(AZ2489&lt;1.15,AJ2489,1.15*W2489),IF(BA2489&lt;1.15,AK2489,1.15*X2489),IF(BB2489&lt;1.15,AL2489,1.15*Y2489),IF(BC2489&lt;1.15,AM2489,1.15*Z2489),IF(BD2489&lt;1.15,AN2489,1.15*AA2489),IF(BE2489&lt;1.15,AO2489,1.15*AB2489),IF(BF2489&lt;1.15,AP2489,1.15*AC2489),IF(BG2489&lt;1.15,AQ2489,1.15*AD2489),IF(BH2489&lt;1.15,AR2489,1.15*AE2489))</f>
        <v>0</v>
      </c>
      <c r="AU2489" s="97">
        <f t="shared" ref="AU2489" si="3110">SUM(AG2489:AR2489)</f>
        <v>0</v>
      </c>
      <c r="AW2489" s="51">
        <f t="shared" ref="AW2489" si="3111">IFERROR(IF(AG2489="",0,AG2489/T2489),0)</f>
        <v>0</v>
      </c>
      <c r="AX2489" s="51">
        <f t="shared" ref="AX2489" si="3112">IFERROR(IF(AH2489="",0,AH2489/U2489),0)</f>
        <v>0</v>
      </c>
      <c r="AY2489" s="51">
        <f t="shared" ref="AY2489" si="3113">IFERROR(IF(AI2489="",0,AI2489/V2489),0)</f>
        <v>0</v>
      </c>
      <c r="AZ2489" s="51">
        <f t="shared" ref="AZ2489" si="3114">IFERROR(IF(AJ2489="",0,AJ2489/W2489),0)</f>
        <v>0</v>
      </c>
      <c r="BA2489" s="51">
        <f t="shared" si="3084"/>
        <v>0</v>
      </c>
      <c r="BB2489" s="51"/>
      <c r="BC2489" s="51"/>
      <c r="BD2489" s="51"/>
      <c r="BE2489" s="51"/>
      <c r="BF2489" s="51"/>
      <c r="BG2489" s="51"/>
      <c r="BH2489" s="51"/>
      <c r="BI2489" s="65" cm="1">
        <f t="array" ref="BI2489">IFERROR(INDEX(AW2489:BH2489,1,MATCH(2,1/(AW2489:BH2489&lt;&gt;""))),"")</f>
        <v>0</v>
      </c>
      <c r="BJ2489" s="68" cm="1">
        <f t="array" ref="BJ2489">IF(BM2489 = "", "",IFERROR(INDEX(AW2489:BH2489,1,MATCH(2,1/(AW2489:BH2489&lt;&gt;""),1)-1),""))</f>
        <v>0</v>
      </c>
      <c r="BK2489" s="58">
        <f>IF((IF(AW2489&gt;=115%,115%,AW2489) + IF(AX2489&gt;=115%,115%,AX2489) + IF(AY2489&gt;=115%,115%,AY2489) + (IF(AZ2489&gt;=115%,115%,AZ2489) + IF(BA2489&gt;=133%,133%,BA2489) + IF(BB2489&gt;=115%,115%,BB2489) + IF(BC2489&gt;=115%,115%,BC2489) + IF(BD2489&gt;=115%,115%,BD2489) + IF(BE2489&gt;=115%,115%,BE2489) + IF(BF2489&gt;=115%,115%,BF2489) + IF(BG2489&gt;=115%,115%,BG2489) + IF(BH2489&gt;=115%,115%,BH2489)))/_xlfn.XLOOKUP(F2489,Apuração!A:A,Apuração!B:B)&gt;=1.15,1.15,((IF(AZ2489&gt;=115%,115%,AZ2489) + IF(AX2489&gt;=115%,115%,AX2489) + IF(AY2489&gt;=115%,115%,AY2489) + (IF(AW2489&gt;=115%,115%,AW2489) + IF(BA2489&gt;=133%,133%,BA2489) + IF(BB2489&gt;=115%,115%,BB2489) + IF(BC2489&gt;=115%,115%,BC2489) + IF(BD2489&gt;=115%,115%,BD2489) + IF(BE2489&gt;=115%,115%,BE2489) + IF(BF2489&gt;=115%,115%,BF2489) + IF(BG2489&gt;=115%,115%,BG2489) + IF(BH2489&gt;=115%,115%,BH2489)))/_xlfn.XLOOKUP(F2489,Apuração!A:A,Apuração!B:B)))</f>
        <v>0</v>
      </c>
      <c r="BL2489" s="58" cm="1">
        <f t="array" aca="1" ref="BL2489" ca="1">IF(SUM(IFERROR(IF(INDEX(AW2489:INDEX(AW2489:BH2489, MATCH(2, 1/(AW2489:BH2489&lt;&gt;""), 1)-1), ROW(INDIRECT("1:" &amp; MATCH(2, 1/(AW2489:BH2489&lt;&gt;""), 1)-1))) &gt;= 115%, 115%, INDEX(AW2489:INDEX(AW2489:BH2489, MATCH(2, 1/(AW2489:BH2489&lt;&gt;""), 1)-1), ROW(INDIRECT("1:" &amp; MATCH(2, 1/(AW2489:BH2489&lt;&gt;""), 1)-1)))), 0))/_xlfn.XLOOKUP(F2489,Apuração!A:A,Apuração!B:B)&gt;=1.15,1.15,SUM(IFERROR(IF(INDEX(AW2489:INDEX(AW2489:BH2489, MATCH(2, 1/(AW2489:BH2489&lt;&gt;""), 1)-1), ROW(INDIRECT("1:" &amp; MATCH(2, 1/(AW2489:BH2489&lt;&gt;""), 1)-1))) &gt;= 115%, 115%, INDEX(AW2489:INDEX(AW2489:BH2489, MATCH(2, 1/(AW2489:BH2489&lt;&gt;""), 1)-1), ROW(INDIRECT("1:" &amp; MATCH(2, 1/(AW2489:BH2489&lt;&gt;""), 1)-1)))), 0))/_xlfn.XLOOKUP(F2489,Apuração!A:A,Apuração!B:B))</f>
        <v>0</v>
      </c>
      <c r="BM2489" s="55" cm="1">
        <f t="array" ref="BM2489">IFERROR(
   INDEX($AW$1:$BH$1,
      _xlfn.AGGREGATE(14, 6, COLUMN($AW$1:$BH$1)/(AW2489:BH2489&lt;&gt;""), 2) - COLUMN($AW$1) + 1
   ),
"")</f>
        <v>46113</v>
      </c>
      <c r="BN2489" s="55" cm="1">
        <f t="array" ref="BN2489">IFERROR(INDEX($AW$1:$BH$1,1,MATCH(2,1/(AW2489:BH2489&lt;&gt;""))),"")</f>
        <v>46143</v>
      </c>
      <c r="BO2489" s="53">
        <f ca="1">IFERROR(_xlfn.XLOOKUP(F2489,Apuração!A:A,Apuração!C:C)/_xlfn.XLOOKUP(F2489,Apuração!A:A,Apuração!B:B),0)</f>
        <v>0</v>
      </c>
      <c r="BP2489" s="53">
        <f ca="1">IFERROR(_xlfn.XLOOKUP(F2489,Apuração!A:A,Apuração!D:D)/_xlfn.XLOOKUP(F2489,Apuração!A:A,Apuração!B:B),0)</f>
        <v>0</v>
      </c>
      <c r="BQ2489" s="53">
        <f ca="1">IF(BK2489&gt;=BO2489,0,_xlfn.XLOOKUP(F2489,Apuração!A:A,Apuração!B:B)*(BO2489 + (1/_xlfn.XLOOKUP(F2489,Apuração!A:A,Apuração!B:B)) - BK2489))</f>
        <v>0</v>
      </c>
      <c r="BR2489" s="85">
        <f t="shared" ref="BR2489" ca="1" si="3115">IF(BQ2489=0,0,BQ2489*Z2489)</f>
        <v>0</v>
      </c>
      <c r="BS2489" s="53">
        <f ca="1">IFERROR((_xlfn.XLOOKUP(F2489,Apuração!A:A,Apuração!C:C)+1)/_xlfn.XLOOKUP(F2489,Apuração!A:A,Apuração!B:B),0)</f>
        <v>0.14285714285714285</v>
      </c>
    </row>
    <row r="2490" spans="1:71" ht="25.95" hidden="1" customHeight="1" x14ac:dyDescent="0.3">
      <c r="A2490" s="23" t="s">
        <v>134</v>
      </c>
      <c r="B2490" s="4" t="s">
        <v>174</v>
      </c>
      <c r="C2490" s="5" t="s">
        <v>221</v>
      </c>
      <c r="D2490" s="5" t="s">
        <v>212</v>
      </c>
      <c r="E2490" s="4" t="s">
        <v>96</v>
      </c>
      <c r="F2490" s="4" t="str" cm="1">
        <f t="array" ref="F2490">_xlfn.IFS(
AG2490 &lt;&gt; "", "Jan-Dez/26",
AH2490 &lt;&gt; "", "Fev-Dez/26",
AI2490 &lt;&gt; "", "Mar-Dez/26", AJ2490 &lt;&gt; "", "Abr-Dez/26",
TRUE, "A partir de Junho"
)</f>
        <v>A partir de Junho</v>
      </c>
      <c r="G2490" s="4" t="s">
        <v>62</v>
      </c>
      <c r="H2490" s="7" t="s">
        <v>38</v>
      </c>
      <c r="I2490" s="8" t="s">
        <v>171</v>
      </c>
      <c r="J2490" s="8" t="str" cm="1">
        <f t="array" aca="1" ref="J2490" ca="1">_xlfn.LET(
  _xlpm.actual_value_month, INDEX(T2490:AE2490, MATCH(DATE(YEAR(TODAY()), MONTH(TODAY()), 1), $T$1:$AE$1, 0)),
  IF(_xlpm.actual_value_month &lt;&gt; "",_xlpm.actual_value_month &amp; " ações mensais", "")
)</f>
        <v/>
      </c>
      <c r="K2490" s="8" t="str" cm="1">
        <f t="array" ref="K2490">_xlfn.LET(
    _xlpm.sum_month, SUM(T2490:AE2490),
    IF(_xlpm.sum_month = 0, "", _xlpm.sum_month &amp; " colaboradores impactados no ano")
)</f>
        <v/>
      </c>
      <c r="L2490" s="9" t="s">
        <v>172</v>
      </c>
      <c r="M2490" s="24">
        <v>1</v>
      </c>
      <c r="N2490" s="5" t="s">
        <v>42</v>
      </c>
      <c r="O2490" s="5" t="s">
        <v>43</v>
      </c>
      <c r="P2490" s="10" t="s">
        <v>44</v>
      </c>
      <c r="Q2490" s="10" t="s">
        <v>72</v>
      </c>
      <c r="R2490" s="11" t="s">
        <v>66</v>
      </c>
      <c r="S2490" s="11" t="s">
        <v>67</v>
      </c>
      <c r="T2490" s="22"/>
      <c r="U2490" s="22"/>
      <c r="V2490" s="22"/>
      <c r="W2490" s="22"/>
      <c r="X2490" s="22"/>
      <c r="Y2490" s="22"/>
      <c r="Z2490" s="22"/>
      <c r="AA2490" s="22"/>
      <c r="AB2490" s="22"/>
      <c r="AC2490" s="22"/>
      <c r="AD2490" s="22"/>
      <c r="AE2490" s="22"/>
      <c r="AG2490" s="71"/>
      <c r="AH2490" s="71"/>
      <c r="AI2490" s="71"/>
      <c r="AJ2490" s="71"/>
      <c r="AK2490" s="71"/>
      <c r="AL2490" s="71"/>
      <c r="AM2490" s="71"/>
      <c r="AN2490" s="71"/>
      <c r="AO2490" s="71"/>
      <c r="AP2490" s="71"/>
      <c r="AQ2490" s="71"/>
      <c r="AR2490" s="71"/>
      <c r="AS2490" s="94">
        <f t="shared" ref="AS2490:AS2491" ca="1" si="3116">IF(MONTH(TODAY())=3,SUM(T2490:U2490),IF(MONTH(TODAY())=4,SUM(T2490:V2490),IF(MONTH(TODAY())=5,SUM(T2490:W2490),IF(MONTH(TODAY())=6,SUM(T2490:X2490),IF(MONTH(TODAY())=7,SUM(T2490:Y2490),IF(MONTH(TODAY())=8,SUM(T2490:Z2490),IF(MONTH(TODAY())=9,SUM(T2490:AA2490),IF(MONTH(TODAY())=10,SUM(T2490:AB2490),IF(MONTH(TODAY())=11,SUM(T2490:AC2490),IF(MONTH(TODAY())=12,SUM(T2490:AD2490),IF(MONTH(TODAY())=1,SUM(T2490:AE2490),T2490)))))))))))</f>
        <v>0</v>
      </c>
      <c r="AT2490" s="95">
        <f t="shared" ref="AT2490:AT2491" si="3117">SUM(IF(AW2490&lt;1.15,AG2490,1.15*T2490),IF(AX2490&lt;1.15,AH2490,1.15*U2490),IF(AY2490&lt;1.15,AI2490,1.15*V2490),IF(AZ2490&lt;1.15,AJ2490,1.15*W2490),IF(BA2490&lt;1.15,AK2490,1.15*X2490),IF(BB2490&lt;1.15,AL2490,1.15*Y2490),IF(BC2490&lt;1.15,AM2490,1.15*Z2490),IF(BD2490&lt;1.15,AN2490,1.15*AA2490),IF(BE2490&lt;1.15,AO2490,1.15*AB2490),IF(BF2490&lt;1.15,AP2490,1.15*AC2490),IF(BG2490&lt;1.15,AQ2490,1.15*AD2490),IF(BH2490&lt;1.15,AR2490,1.15*AE2490))</f>
        <v>0</v>
      </c>
      <c r="AU2490" s="97">
        <f t="shared" ref="AU2490:AU2491" si="3118">SUM(AG2490:AR2490)</f>
        <v>0</v>
      </c>
      <c r="AW2490" s="51">
        <f t="shared" ref="AW2490:AW2491" si="3119">IFERROR(IF(AG2490="",0,AG2490/T2490),0)</f>
        <v>0</v>
      </c>
      <c r="AX2490" s="51">
        <f t="shared" ref="AX2490:AX2491" si="3120">IFERROR(IF(AH2490="",0,AH2490/U2490),0)</f>
        <v>0</v>
      </c>
      <c r="AY2490" s="51">
        <f t="shared" ref="AY2490:AY2491" si="3121">IFERROR(IF(AI2490="",0,AI2490/V2490),0)</f>
        <v>0</v>
      </c>
      <c r="AZ2490" s="51">
        <f t="shared" ref="AZ2490:AZ2491" si="3122">IFERROR(IF(AJ2490="",0,AJ2490/W2490),0)</f>
        <v>0</v>
      </c>
      <c r="BA2490" s="51">
        <f t="shared" si="3084"/>
        <v>0</v>
      </c>
      <c r="BB2490" s="51"/>
      <c r="BC2490" s="51"/>
      <c r="BD2490" s="51"/>
      <c r="BE2490" s="51"/>
      <c r="BF2490" s="51"/>
      <c r="BG2490" s="51"/>
      <c r="BH2490" s="51"/>
      <c r="BI2490" s="65" cm="1">
        <f t="array" ref="BI2490">IFERROR(INDEX(AW2490:BH2490,1,MATCH(2,1/(AW2490:BH2490&lt;&gt;""))),"")</f>
        <v>0</v>
      </c>
      <c r="BJ2490" s="68" cm="1">
        <f t="array" ref="BJ2490">IF(BM2490 = "", "",IFERROR(INDEX(AW2490:BH2490,1,MATCH(2,1/(AW2490:BH2490&lt;&gt;""),1)-1),""))</f>
        <v>0</v>
      </c>
      <c r="BK2490" s="58">
        <f>IF((IF(AW2490&gt;=115%,115%,AW2490) + IF(AX2490&gt;=115%,115%,AX2490) + IF(AY2490&gt;=115%,115%,AY2490) + (IF(AZ2490&gt;=115%,115%,AZ2490) + IF(BA2490&gt;=133%,133%,BA2490) + IF(BB2490&gt;=115%,115%,BB2490) + IF(BC2490&gt;=115%,115%,BC2490) + IF(BD2490&gt;=115%,115%,BD2490) + IF(BE2490&gt;=115%,115%,BE2490) + IF(BF2490&gt;=115%,115%,BF2490) + IF(BG2490&gt;=115%,115%,BG2490) + IF(BH2490&gt;=115%,115%,BH2490)))/_xlfn.XLOOKUP(F2490,Apuração!A:A,Apuração!B:B)&gt;=1.15,1.15,((IF(AZ2490&gt;=115%,115%,AZ2490) + IF(AX2490&gt;=115%,115%,AX2490) + IF(AY2490&gt;=115%,115%,AY2490) + (IF(AW2490&gt;=115%,115%,AW2490) + IF(BA2490&gt;=133%,133%,BA2490) + IF(BB2490&gt;=115%,115%,BB2490) + IF(BC2490&gt;=115%,115%,BC2490) + IF(BD2490&gt;=115%,115%,BD2490) + IF(BE2490&gt;=115%,115%,BE2490) + IF(BF2490&gt;=115%,115%,BF2490) + IF(BG2490&gt;=115%,115%,BG2490) + IF(BH2490&gt;=115%,115%,BH2490)))/_xlfn.XLOOKUP(F2490,Apuração!A:A,Apuração!B:B)))</f>
        <v>0</v>
      </c>
      <c r="BL2490" s="58" cm="1">
        <f t="array" aca="1" ref="BL2490" ca="1">IF(SUM(IFERROR(IF(INDEX(AW2490:INDEX(AW2490:BH2490, MATCH(2, 1/(AW2490:BH2490&lt;&gt;""), 1)-1), ROW(INDIRECT("1:" &amp; MATCH(2, 1/(AW2490:BH2490&lt;&gt;""), 1)-1))) &gt;= 115%, 115%, INDEX(AW2490:INDEX(AW2490:BH2490, MATCH(2, 1/(AW2490:BH2490&lt;&gt;""), 1)-1), ROW(INDIRECT("1:" &amp; MATCH(2, 1/(AW2490:BH2490&lt;&gt;""), 1)-1)))), 0))/_xlfn.XLOOKUP(F2490,Apuração!A:A,Apuração!B:B)&gt;=1.15,1.15,SUM(IFERROR(IF(INDEX(AW2490:INDEX(AW2490:BH2490, MATCH(2, 1/(AW2490:BH2490&lt;&gt;""), 1)-1), ROW(INDIRECT("1:" &amp; MATCH(2, 1/(AW2490:BH2490&lt;&gt;""), 1)-1))) &gt;= 115%, 115%, INDEX(AW2490:INDEX(AW2490:BH2490, MATCH(2, 1/(AW2490:BH2490&lt;&gt;""), 1)-1), ROW(INDIRECT("1:" &amp; MATCH(2, 1/(AW2490:BH2490&lt;&gt;""), 1)-1)))), 0))/_xlfn.XLOOKUP(F2490,Apuração!A:A,Apuração!B:B))</f>
        <v>0</v>
      </c>
      <c r="BM2490" s="55" cm="1">
        <f t="array" ref="BM2490">IFERROR(
   INDEX($AW$1:$BH$1,
      _xlfn.AGGREGATE(14, 6, COLUMN($AW$1:$BH$1)/(AW2490:BH2490&lt;&gt;""), 2) - COLUMN($AW$1) + 1
   ),
"")</f>
        <v>46113</v>
      </c>
      <c r="BN2490" s="55" cm="1">
        <f t="array" ref="BN2490">IFERROR(INDEX($AW$1:$BH$1,1,MATCH(2,1/(AW2490:BH2490&lt;&gt;""))),"")</f>
        <v>46143</v>
      </c>
      <c r="BO2490" s="53">
        <f ca="1">IFERROR(_xlfn.XLOOKUP(F2490,Apuração!A:A,Apuração!C:C)/_xlfn.XLOOKUP(F2490,Apuração!A:A,Apuração!B:B),0)</f>
        <v>0</v>
      </c>
      <c r="BP2490" s="53">
        <f ca="1">IFERROR(_xlfn.XLOOKUP(F2490,Apuração!A:A,Apuração!D:D)/_xlfn.XLOOKUP(F2490,Apuração!A:A,Apuração!B:B),0)</f>
        <v>0</v>
      </c>
      <c r="BQ2490" s="53">
        <f ca="1">IF(BK2490&gt;=BO2490,0,_xlfn.XLOOKUP(F2490,Apuração!A:A,Apuração!B:B)*(BO2490 + (1/_xlfn.XLOOKUP(F2490,Apuração!A:A,Apuração!B:B)) - BK2490))</f>
        <v>0</v>
      </c>
      <c r="BR2490" s="85">
        <f t="shared" ref="BR2490:BR2491" ca="1" si="3123">IF(BQ2490=0,0,BQ2490*Z2490)</f>
        <v>0</v>
      </c>
      <c r="BS2490" s="53">
        <f ca="1">IFERROR((_xlfn.XLOOKUP(F2490,Apuração!A:A,Apuração!C:C)+1)/_xlfn.XLOOKUP(F2490,Apuração!A:A,Apuração!B:B),0)</f>
        <v>0.14285714285714285</v>
      </c>
    </row>
    <row r="2491" spans="1:71" ht="25.95" hidden="1" customHeight="1" x14ac:dyDescent="0.3">
      <c r="A2491" s="23" t="s">
        <v>134</v>
      </c>
      <c r="B2491" s="4" t="s">
        <v>174</v>
      </c>
      <c r="C2491" s="5" t="s">
        <v>221</v>
      </c>
      <c r="D2491" s="5" t="s">
        <v>213</v>
      </c>
      <c r="E2491" s="4" t="s">
        <v>96</v>
      </c>
      <c r="F2491" s="4" t="str" cm="1">
        <f t="array" ref="F2491">_xlfn.IFS(
AG2491 &lt;&gt; "", "Jan-Dez/26",
AH2491 &lt;&gt; "", "Fev-Dez/26",
AI2491 &lt;&gt; "", "Mar-Dez/26", AJ2491 &lt;&gt; "", "Abr-Dez/26",
TRUE, "A partir de Junho"
)</f>
        <v>A partir de Junho</v>
      </c>
      <c r="G2491" s="4" t="s">
        <v>62</v>
      </c>
      <c r="H2491" s="7" t="s">
        <v>38</v>
      </c>
      <c r="I2491" s="8" t="s">
        <v>171</v>
      </c>
      <c r="J2491" s="8" t="str" cm="1">
        <f t="array" aca="1" ref="J2491" ca="1">_xlfn.LET(
  _xlpm.actual_value_month, INDEX(T2491:AE2491, MATCH(DATE(YEAR(TODAY()), MONTH(TODAY()), 1), $T$1:$AE$1, 0)),
  IF(_xlpm.actual_value_month &lt;&gt; "",_xlpm.actual_value_month &amp; " ações mensais", "")
)</f>
        <v/>
      </c>
      <c r="K2491" s="8" t="str" cm="1">
        <f t="array" ref="K2491">_xlfn.LET(
    _xlpm.sum_month, SUM(T2491:AE2491),
    IF(_xlpm.sum_month = 0, "", _xlpm.sum_month &amp; " colaboradores impactados no ano")
)</f>
        <v/>
      </c>
      <c r="L2491" s="9" t="s">
        <v>172</v>
      </c>
      <c r="M2491" s="24">
        <v>1</v>
      </c>
      <c r="N2491" s="5" t="s">
        <v>42</v>
      </c>
      <c r="O2491" s="5" t="s">
        <v>43</v>
      </c>
      <c r="P2491" s="10" t="s">
        <v>44</v>
      </c>
      <c r="Q2491" s="10" t="s">
        <v>72</v>
      </c>
      <c r="R2491" s="11" t="s">
        <v>66</v>
      </c>
      <c r="S2491" s="11" t="s">
        <v>67</v>
      </c>
      <c r="T2491" s="22"/>
      <c r="U2491" s="22"/>
      <c r="V2491" s="22"/>
      <c r="W2491" s="22"/>
      <c r="X2491" s="22"/>
      <c r="Y2491" s="22"/>
      <c r="Z2491" s="22"/>
      <c r="AA2491" s="22"/>
      <c r="AB2491" s="22"/>
      <c r="AC2491" s="22"/>
      <c r="AD2491" s="22"/>
      <c r="AE2491" s="22"/>
      <c r="AG2491" s="71"/>
      <c r="AH2491" s="71"/>
      <c r="AI2491" s="71"/>
      <c r="AJ2491" s="71"/>
      <c r="AK2491" s="71"/>
      <c r="AL2491" s="71"/>
      <c r="AM2491" s="71"/>
      <c r="AN2491" s="71"/>
      <c r="AO2491" s="71"/>
      <c r="AP2491" s="71"/>
      <c r="AQ2491" s="71"/>
      <c r="AR2491" s="71"/>
      <c r="AS2491" s="94">
        <f t="shared" ca="1" si="3116"/>
        <v>0</v>
      </c>
      <c r="AT2491" s="95">
        <f t="shared" si="3117"/>
        <v>0</v>
      </c>
      <c r="AU2491" s="97">
        <f t="shared" si="3118"/>
        <v>0</v>
      </c>
      <c r="AW2491" s="51">
        <f t="shared" si="3119"/>
        <v>0</v>
      </c>
      <c r="AX2491" s="51">
        <f t="shared" si="3120"/>
        <v>0</v>
      </c>
      <c r="AY2491" s="51">
        <f t="shared" si="3121"/>
        <v>0</v>
      </c>
      <c r="AZ2491" s="51">
        <f t="shared" si="3122"/>
        <v>0</v>
      </c>
      <c r="BA2491" s="51">
        <f t="shared" si="3084"/>
        <v>0</v>
      </c>
      <c r="BB2491" s="51"/>
      <c r="BC2491" s="51"/>
      <c r="BD2491" s="51"/>
      <c r="BE2491" s="51"/>
      <c r="BF2491" s="51"/>
      <c r="BG2491" s="51"/>
      <c r="BH2491" s="51"/>
      <c r="BI2491" s="65" cm="1">
        <f t="array" ref="BI2491">IFERROR(INDEX(AW2491:BH2491,1,MATCH(2,1/(AW2491:BH2491&lt;&gt;""))),"")</f>
        <v>0</v>
      </c>
      <c r="BJ2491" s="68" cm="1">
        <f t="array" ref="BJ2491">IF(BM2491 = "", "",IFERROR(INDEX(AW2491:BH2491,1,MATCH(2,1/(AW2491:BH2491&lt;&gt;""),1)-1),""))</f>
        <v>0</v>
      </c>
      <c r="BK2491" s="58">
        <f>IF((IF(AW2491&gt;=115%,115%,AW2491) + IF(AX2491&gt;=115%,115%,AX2491) + IF(AY2491&gt;=115%,115%,AY2491) + (IF(AZ2491&gt;=115%,115%,AZ2491) + IF(BA2491&gt;=133%,133%,BA2491) + IF(BB2491&gt;=115%,115%,BB2491) + IF(BC2491&gt;=115%,115%,BC2491) + IF(BD2491&gt;=115%,115%,BD2491) + IF(BE2491&gt;=115%,115%,BE2491) + IF(BF2491&gt;=115%,115%,BF2491) + IF(BG2491&gt;=115%,115%,BG2491) + IF(BH2491&gt;=115%,115%,BH2491)))/_xlfn.XLOOKUP(F2491,Apuração!A:A,Apuração!B:B)&gt;=1.15,1.15,((IF(AZ2491&gt;=115%,115%,AZ2491) + IF(AX2491&gt;=115%,115%,AX2491) + IF(AY2491&gt;=115%,115%,AY2491) + (IF(AW2491&gt;=115%,115%,AW2491) + IF(BA2491&gt;=133%,133%,BA2491) + IF(BB2491&gt;=115%,115%,BB2491) + IF(BC2491&gt;=115%,115%,BC2491) + IF(BD2491&gt;=115%,115%,BD2491) + IF(BE2491&gt;=115%,115%,BE2491) + IF(BF2491&gt;=115%,115%,BF2491) + IF(BG2491&gt;=115%,115%,BG2491) + IF(BH2491&gt;=115%,115%,BH2491)))/_xlfn.XLOOKUP(F2491,Apuração!A:A,Apuração!B:B)))</f>
        <v>0</v>
      </c>
      <c r="BL2491" s="58" cm="1">
        <f t="array" aca="1" ref="BL2491" ca="1">IF(SUM(IFERROR(IF(INDEX(AW2491:INDEX(AW2491:BH2491, MATCH(2, 1/(AW2491:BH2491&lt;&gt;""), 1)-1), ROW(INDIRECT("1:" &amp; MATCH(2, 1/(AW2491:BH2491&lt;&gt;""), 1)-1))) &gt;= 115%, 115%, INDEX(AW2491:INDEX(AW2491:BH2491, MATCH(2, 1/(AW2491:BH2491&lt;&gt;""), 1)-1), ROW(INDIRECT("1:" &amp; MATCH(2, 1/(AW2491:BH2491&lt;&gt;""), 1)-1)))), 0))/_xlfn.XLOOKUP(F2491,Apuração!A:A,Apuração!B:B)&gt;=1.15,1.15,SUM(IFERROR(IF(INDEX(AW2491:INDEX(AW2491:BH2491, MATCH(2, 1/(AW2491:BH2491&lt;&gt;""), 1)-1), ROW(INDIRECT("1:" &amp; MATCH(2, 1/(AW2491:BH2491&lt;&gt;""), 1)-1))) &gt;= 115%, 115%, INDEX(AW2491:INDEX(AW2491:BH2491, MATCH(2, 1/(AW2491:BH2491&lt;&gt;""), 1)-1), ROW(INDIRECT("1:" &amp; MATCH(2, 1/(AW2491:BH2491&lt;&gt;""), 1)-1)))), 0))/_xlfn.XLOOKUP(F2491,Apuração!A:A,Apuração!B:B))</f>
        <v>0</v>
      </c>
      <c r="BM2491" s="55" cm="1">
        <f t="array" ref="BM2491">IFERROR(
   INDEX($AW$1:$BH$1,
      _xlfn.AGGREGATE(14, 6, COLUMN($AW$1:$BH$1)/(AW2491:BH2491&lt;&gt;""), 2) - COLUMN($AW$1) + 1
   ),
"")</f>
        <v>46113</v>
      </c>
      <c r="BN2491" s="55" cm="1">
        <f t="array" ref="BN2491">IFERROR(INDEX($AW$1:$BH$1,1,MATCH(2,1/(AW2491:BH2491&lt;&gt;""))),"")</f>
        <v>46143</v>
      </c>
      <c r="BO2491" s="53">
        <f ca="1">IFERROR(_xlfn.XLOOKUP(F2491,Apuração!A:A,Apuração!C:C)/_xlfn.XLOOKUP(F2491,Apuração!A:A,Apuração!B:B),0)</f>
        <v>0</v>
      </c>
      <c r="BP2491" s="53">
        <f ca="1">IFERROR(_xlfn.XLOOKUP(F2491,Apuração!A:A,Apuração!D:D)/_xlfn.XLOOKUP(F2491,Apuração!A:A,Apuração!B:B),0)</f>
        <v>0</v>
      </c>
      <c r="BQ2491" s="53">
        <f ca="1">IF(BK2491&gt;=BO2491,0,_xlfn.XLOOKUP(F2491,Apuração!A:A,Apuração!B:B)*(BO2491 + (1/_xlfn.XLOOKUP(F2491,Apuração!A:A,Apuração!B:B)) - BK2491))</f>
        <v>0</v>
      </c>
      <c r="BR2491" s="85">
        <f t="shared" ca="1" si="3123"/>
        <v>0</v>
      </c>
      <c r="BS2491" s="53">
        <f ca="1">IFERROR((_xlfn.XLOOKUP(F2491,Apuração!A:A,Apuração!C:C)+1)/_xlfn.XLOOKUP(F2491,Apuração!A:A,Apuração!B:B),0)</f>
        <v>0.14285714285714285</v>
      </c>
    </row>
    <row r="2492" spans="1:71" ht="25.95" hidden="1" customHeight="1" x14ac:dyDescent="0.3">
      <c r="A2492" s="33" t="s">
        <v>175</v>
      </c>
      <c r="B2492" s="4" t="s">
        <v>176</v>
      </c>
      <c r="C2492" s="5" t="s">
        <v>221</v>
      </c>
      <c r="D2492" s="5" t="s">
        <v>36</v>
      </c>
      <c r="E2492" s="4" t="str" cm="1">
        <f t="array" ref="E2492">_xlfn.IFS(
F2492 = "A partir de Abril", "Aguardando Execução na Distribuidora",
A2492 = "CAPACITAÇÃO", "Em execução no Corporativo",
TRUE, "Em Execução na Distribuidora"
)</f>
        <v>Em execução no Corporativo</v>
      </c>
      <c r="F2492" s="4" t="str" cm="1">
        <f t="array" ref="F2492">_xlfn.IFS(
AG2492 &lt;&gt; "", "Jan-Dez/26",
AH2492 &lt;&gt; "", "Fev-Dez/26",
AI2492 &lt;&gt; "", "Mar-Dez/26", AJ2492 &lt;&gt; "", "Abr-Dez/26",
TRUE, "A partir de Junho"
)</f>
        <v>Mar-Dez/26</v>
      </c>
      <c r="G2492" s="4" t="s">
        <v>37</v>
      </c>
      <c r="H2492" s="7" t="s">
        <v>38</v>
      </c>
      <c r="I2492" s="8" t="s">
        <v>177</v>
      </c>
      <c r="J2492" s="8" t="str" cm="1">
        <f t="array" aca="1" ref="J2492" ca="1">_xlfn.LET(
  _xlpm.actual_value_month, INDEX(T2492:AE2492, MATCH(DATE(YEAR(TODAY()), MONTH(TODAY()), 1), $T$1:$AE$1, 0)),
  IF(_xlpm.actual_value_month &lt;&gt; "", _xlpm.actual_value_month &amp; " certificados mensais", "")
)</f>
        <v>2161 certificados mensais</v>
      </c>
      <c r="K2492" s="8" t="str">
        <f>_xlfn.LET(
    _xlpm.month, AD2492,
    IF(_xlpm.month = 0, "", _xlpm.month &amp; " certificado anuais.")
)</f>
        <v>3029 certificado anuais.</v>
      </c>
      <c r="L2492" s="9" t="s">
        <v>178</v>
      </c>
      <c r="M2492" s="13">
        <v>1</v>
      </c>
      <c r="N2492" s="5" t="s">
        <v>42</v>
      </c>
      <c r="O2492" s="5" t="s">
        <v>43</v>
      </c>
      <c r="P2492" s="10" t="s">
        <v>44</v>
      </c>
      <c r="Q2492" s="10" t="s">
        <v>44</v>
      </c>
      <c r="R2492" s="11" t="s">
        <v>179</v>
      </c>
      <c r="S2492" s="11" t="s">
        <v>67</v>
      </c>
      <c r="T2492" s="22"/>
      <c r="U2492" s="22"/>
      <c r="V2492" s="22">
        <v>1617</v>
      </c>
      <c r="W2492" s="22">
        <v>1650</v>
      </c>
      <c r="X2492" s="22">
        <v>1902</v>
      </c>
      <c r="Y2492" s="22">
        <v>2161</v>
      </c>
      <c r="Z2492" s="22">
        <v>2402</v>
      </c>
      <c r="AA2492" s="22">
        <v>2638</v>
      </c>
      <c r="AB2492" s="22">
        <v>2854</v>
      </c>
      <c r="AC2492" s="22">
        <v>3055</v>
      </c>
      <c r="AD2492" s="22">
        <v>3029</v>
      </c>
      <c r="AE2492" s="22"/>
      <c r="AG2492" s="71"/>
      <c r="AH2492" s="71"/>
      <c r="AI2492" s="71">
        <v>1656</v>
      </c>
      <c r="AJ2492" s="71">
        <v>1707</v>
      </c>
      <c r="AK2492" s="71"/>
      <c r="AL2492" s="71"/>
      <c r="AM2492" s="71"/>
      <c r="AN2492" s="71"/>
      <c r="AO2492" s="71"/>
      <c r="AP2492" s="71"/>
      <c r="AQ2492" s="71"/>
      <c r="AR2492" s="71"/>
      <c r="AS2492" s="94" cm="1">
        <f t="array" ref="AS2492">IFERROR(INDEX(T2492:AE2492,1,MATCH(2,1/(T2492:AE2492&lt;&gt;""))),"")</f>
        <v>3029</v>
      </c>
      <c r="AT2492" s="95" cm="1">
        <f t="array" ref="AT2492">IFERROR(INDEX(AJ2492:AR2492,1,MATCH(2,1/(AJ2492:AR2492&lt;&gt;""))),"")</f>
        <v>1707</v>
      </c>
      <c r="AU2492" s="97">
        <f t="shared" ref="AU2492:AU2536" si="3124">AT2492</f>
        <v>1707</v>
      </c>
      <c r="AW2492" s="51">
        <f>IFERROR(IF(AG2492="",0,AG2492/$AD2492),0)</f>
        <v>0</v>
      </c>
      <c r="AX2492" s="51">
        <f>IFERROR(IF(AH2492="",0,AH2492/$AD2492),0)</f>
        <v>0</v>
      </c>
      <c r="AY2492" s="51">
        <f>IFERROR(IF(AI2492="",0,AI2492/$AD2492),0)</f>
        <v>0.54671508748761966</v>
      </c>
      <c r="AZ2492" s="51">
        <f>IFERROR(IF(AJ2492="",0,AJ2492/$AD2492),0)</f>
        <v>0.5635523275008254</v>
      </c>
      <c r="BA2492" s="51"/>
      <c r="BB2492" s="51"/>
      <c r="BC2492" s="51"/>
      <c r="BD2492" s="51"/>
      <c r="BE2492" s="51"/>
      <c r="BF2492" s="51"/>
      <c r="BG2492" s="51"/>
      <c r="BH2492" s="51"/>
      <c r="BI2492" s="65" cm="1">
        <f t="array" ref="BI2492">IFERROR(INDEX(AW2492:BH2492,1,MATCH(2,1/(AW2492:BH2492&lt;&gt;""))),"")</f>
        <v>0.5635523275008254</v>
      </c>
      <c r="BJ2492" s="68" cm="1">
        <f t="array" ref="BJ2492">IF(BM2492 = "", "",IFERROR(INDEX(AW2492:BH2492,1,MATCH(2,1/(AW2492:BH2492&lt;&gt;""),1)-1),""))</f>
        <v>0.54671508748761966</v>
      </c>
      <c r="BK2492" s="58" cm="1">
        <f t="array" ref="BK2492">IFERROR(INDEX(AW2492:BH2492,1,MATCH(2,1/(AW2492:BH2492&lt;&gt;""))),"")</f>
        <v>0.5635523275008254</v>
      </c>
      <c r="BL2492" s="58" cm="1">
        <f t="array" ref="BL2492">IFERROR(INDEX(AW2492:BH2492,1,MATCH(2,1/(AW2492:BH2492&lt;&gt;""),1)-1),"")</f>
        <v>0.54671508748761966</v>
      </c>
      <c r="BM2492" s="55" cm="1">
        <f t="array" ref="BM2492">IFERROR(
   INDEX($AW$1:$BH$1,
      _xlfn.AGGREGATE(14, 6, COLUMN($AW$1:$BH$1)/(AW2492:BH2492&lt;&gt;""), 2) - COLUMN($AW$1) + 1
   ),
"")</f>
        <v>46082</v>
      </c>
      <c r="BN2492" s="55" cm="1">
        <f t="array" ref="BN2492">IFERROR(INDEX($AW$1:$BH$1,1,MATCH(2,1/(AW2492:BH2492&lt;&gt;""))),"")</f>
        <v>46113</v>
      </c>
      <c r="BO2492" s="119" cm="1">
        <f t="array" aca="1" ref="BO2492" ca="1">_xlfn.LET(
    _xlpm.mes_num, MONTH(TODAY())-1,
    _xlpm.coluna_ajustada, IF(_xlpm.mes_num=0, 12, _xlpm.mes_num),
    _xlpm.realizado_mes_anterior, INDEX(T2492:AE2492, 1, _xlpm.coluna_ajustada),
    _xlpm.previsto_total, AD2492,
    _xlpm.realizado_mes_anterior / _xlpm.previsto_total
)</f>
        <v>0.62793000990425885</v>
      </c>
      <c r="BP2492" s="53">
        <f ca="1">IFERROR(_xlfn.XLOOKUP(F2492,Apuração!A:A,Apuração!D:D)/_xlfn.XLOOKUP(F2492,Apuração!A:A,Apuração!B:B),0)</f>
        <v>0.2</v>
      </c>
      <c r="BQ2492" s="53">
        <f ca="1">IF(BK2492&gt;=BO2492,0,_xlfn.XLOOKUP(F2492,Apuração!A:A,Apuração!B:B)*(BO2492 + (1/_xlfn.XLOOKUP(F2492,Apuração!A:A,Apuração!B:B)) - BK2492))</f>
        <v>1.6437768240343342</v>
      </c>
      <c r="BR2492" s="85">
        <f t="shared" ca="1" si="2957"/>
        <v>3948.351931330471</v>
      </c>
      <c r="BS2492" s="53">
        <f ca="1">IFERROR((_xlfn.XLOOKUP(F2492,Apuração!A:A,Apuração!C:C)+1)/_xlfn.XLOOKUP(F2492,Apuração!A:A,Apuração!B:B),0)</f>
        <v>0.4</v>
      </c>
    </row>
    <row r="2493" spans="1:71" ht="25.95" hidden="1" customHeight="1" x14ac:dyDescent="0.3">
      <c r="A2493" s="33" t="s">
        <v>175</v>
      </c>
      <c r="B2493" s="4" t="s">
        <v>176</v>
      </c>
      <c r="C2493" s="5" t="s">
        <v>221</v>
      </c>
      <c r="D2493" s="5" t="s">
        <v>212</v>
      </c>
      <c r="E2493" s="4" t="str" cm="1">
        <f t="array" ref="E2493">_xlfn.IFS(
F2493 = "A partir de Abril", "Aguardando Execução na Distribuidora",
A2493 = "CAPACITAÇÃO", "Em execução no Corporativo",
TRUE, "Em Execução na Distribuidora"
)</f>
        <v>Em execução no Corporativo</v>
      </c>
      <c r="F2493" s="4" t="str" cm="1">
        <f t="array" ref="F2493">_xlfn.IFS(
AG2493 &lt;&gt; "", "Jan-Dez/26",
AH2493 &lt;&gt; "", "Fev-Dez/26",
AI2493 &lt;&gt; "", "Mar-Dez/26", AJ2493 &lt;&gt; "", "Abr-Dez/26",
TRUE, "A partir de Junho"
)</f>
        <v>Mar-Dez/26</v>
      </c>
      <c r="G2493" s="4" t="s">
        <v>37</v>
      </c>
      <c r="H2493" s="7" t="s">
        <v>38</v>
      </c>
      <c r="I2493" s="8" t="s">
        <v>177</v>
      </c>
      <c r="J2493" s="8" t="str" cm="1">
        <f t="array" aca="1" ref="J2493" ca="1">_xlfn.LET(
  _xlpm.actual_value_month, INDEX(T2493:AE2493, MATCH(DATE(YEAR(TODAY()), MONTH(TODAY()), 1), $T$1:$AE$1, 0)),
  IF(_xlpm.actual_value_month &lt;&gt; "", _xlpm.actual_value_month &amp; " certificados mensais", "")
)</f>
        <v>1037 certificados mensais</v>
      </c>
      <c r="K2493" s="8" t="str">
        <f>_xlfn.LET(
    _xlpm.month, AD2493,
    IF(_xlpm.month = 0, "", _xlpm.month &amp; " certificado anuais.")
)</f>
        <v>1241 certificado anuais.</v>
      </c>
      <c r="L2493" s="9" t="s">
        <v>178</v>
      </c>
      <c r="M2493" s="13">
        <v>1</v>
      </c>
      <c r="N2493" s="5" t="s">
        <v>42</v>
      </c>
      <c r="O2493" s="5" t="s">
        <v>43</v>
      </c>
      <c r="P2493" s="10" t="s">
        <v>44</v>
      </c>
      <c r="Q2493" s="10" t="s">
        <v>44</v>
      </c>
      <c r="R2493" s="11" t="s">
        <v>179</v>
      </c>
      <c r="S2493" s="11" t="s">
        <v>67</v>
      </c>
      <c r="T2493" s="22"/>
      <c r="U2493" s="22"/>
      <c r="V2493" s="143">
        <v>892</v>
      </c>
      <c r="W2493" s="143">
        <v>915</v>
      </c>
      <c r="X2493" s="143">
        <v>968</v>
      </c>
      <c r="Y2493" s="22">
        <v>1037</v>
      </c>
      <c r="Z2493" s="22">
        <v>1094</v>
      </c>
      <c r="AA2493" s="22">
        <v>1151</v>
      </c>
      <c r="AB2493" s="22">
        <v>1188</v>
      </c>
      <c r="AC2493" s="22">
        <v>1215</v>
      </c>
      <c r="AD2493" s="22">
        <v>1241</v>
      </c>
      <c r="AE2493" s="22"/>
      <c r="AG2493" s="71"/>
      <c r="AH2493" s="71"/>
      <c r="AI2493" s="71">
        <v>1041</v>
      </c>
      <c r="AJ2493" s="71">
        <v>1041</v>
      </c>
      <c r="AK2493" s="71"/>
      <c r="AL2493" s="71"/>
      <c r="AM2493" s="71"/>
      <c r="AN2493" s="71"/>
      <c r="AO2493" s="71"/>
      <c r="AP2493" s="71"/>
      <c r="AQ2493" s="71"/>
      <c r="AR2493" s="71"/>
      <c r="AS2493" s="94" cm="1">
        <f t="array" ref="AS2493">IFERROR(INDEX(T2493:AE2493,1,MATCH(2,1/(T2493:AE2493&lt;&gt;""))),"")</f>
        <v>1241</v>
      </c>
      <c r="AT2493" s="95" cm="1">
        <f t="array" ref="AT2493">IFERROR(INDEX(AJ2493:AR2493,1,MATCH(2,1/(AJ2493:AR2493&lt;&gt;""))),"")</f>
        <v>1041</v>
      </c>
      <c r="AU2493" s="97">
        <f t="shared" si="3124"/>
        <v>1041</v>
      </c>
      <c r="AW2493" s="51">
        <f t="shared" ref="AW2493:AW2494" si="3125">IFERROR(IF(AG2493="",0,AG2493/$AD2493),0)</f>
        <v>0</v>
      </c>
      <c r="AX2493" s="51">
        <f t="shared" ref="AX2493:AX2494" si="3126">IFERROR(IF(AH2493="",0,AH2493/$AD2493),0)</f>
        <v>0</v>
      </c>
      <c r="AY2493" s="51">
        <f t="shared" ref="AY2493:AY2494" si="3127">IFERROR(IF(AI2493="",0,AI2493/$AD2493),0)</f>
        <v>0.83883964544722001</v>
      </c>
      <c r="AZ2493" s="51">
        <f t="shared" ref="AZ2493:AZ2494" si="3128">IFERROR(IF(AJ2493="",0,AJ2493/$AD2493),0)</f>
        <v>0.83883964544722001</v>
      </c>
      <c r="BA2493" s="51"/>
      <c r="BB2493" s="51"/>
      <c r="BC2493" s="51"/>
      <c r="BD2493" s="51"/>
      <c r="BE2493" s="51"/>
      <c r="BF2493" s="51"/>
      <c r="BG2493" s="51"/>
      <c r="BH2493" s="51"/>
      <c r="BI2493" s="65" cm="1">
        <f t="array" ref="BI2493">IFERROR(INDEX(AW2493:BH2493,1,MATCH(2,1/(AW2493:BH2493&lt;&gt;""))),"")</f>
        <v>0.83883964544722001</v>
      </c>
      <c r="BJ2493" s="68" cm="1">
        <f t="array" ref="BJ2493">IF(BM2493 = "", "",IFERROR(INDEX(AW2493:BH2493,1,MATCH(2,1/(AW2493:BH2493&lt;&gt;""),1)-1),""))</f>
        <v>0.83883964544722001</v>
      </c>
      <c r="BK2493" s="58" cm="1">
        <f t="array" ref="BK2493">IFERROR(INDEX(AW2493:BH2493,1,MATCH(2,1/(AW2493:BH2493&lt;&gt;""))),"")</f>
        <v>0.83883964544722001</v>
      </c>
      <c r="BL2493" s="58" cm="1">
        <f t="array" ref="BL2493">IFERROR(INDEX(AW2493:BH2493,1,MATCH(2,1/(AW2493:BH2493&lt;&gt;""),1)-1),"")</f>
        <v>0.83883964544722001</v>
      </c>
      <c r="BM2493" s="55" cm="1">
        <f t="array" ref="BM2493">IFERROR(
   INDEX($AW$1:$BH$1,
      _xlfn.AGGREGATE(14, 6, COLUMN($AW$1:$BH$1)/(AW2493:BH2493&lt;&gt;""), 2) - COLUMN($AW$1) + 1
   ),
"")</f>
        <v>46082</v>
      </c>
      <c r="BN2493" s="55" cm="1">
        <f t="array" ref="BN2493">IFERROR(INDEX($AW$1:$BH$1,1,MATCH(2,1/(AW2493:BH2493&lt;&gt;""))),"")</f>
        <v>46113</v>
      </c>
      <c r="BO2493" s="119" cm="1">
        <f t="array" aca="1" ref="BO2493" ca="1">_xlfn.LET(
    _xlpm.mes_num, MONTH(TODAY())-1,
    _xlpm.coluna_ajustada, IF(_xlpm.mes_num=0, 12, _xlpm.mes_num),
    _xlpm.realizado_mes_anterior, INDEX(T2493:AE2493, 1, _xlpm.coluna_ajustada),
    _xlpm.previsto_total, AD2493,
    _xlpm.realizado_mes_anterior / _xlpm.previsto_total
)</f>
        <v>0.78001611603545529</v>
      </c>
      <c r="BP2493" s="53">
        <f ca="1">IFERROR(_xlfn.XLOOKUP(F2493,Apuração!A:A,Apuração!D:D)/_xlfn.XLOOKUP(F2493,Apuração!A:A,Apuração!B:B),0)</f>
        <v>0.2</v>
      </c>
      <c r="BQ2493" s="53">
        <f ca="1">IF(BK2493&gt;=BO2493,0,_xlfn.XLOOKUP(F2493,Apuração!A:A,Apuração!B:B)*(BO2493 + (1/_xlfn.XLOOKUP(F2493,Apuração!A:A,Apuração!B:B)) - BK2493))</f>
        <v>0</v>
      </c>
      <c r="BR2493" s="85">
        <f t="shared" ref="BR2493:BR2494" ca="1" si="3129">IF(BQ2493=0,0,BQ2493*Z2493)</f>
        <v>0</v>
      </c>
      <c r="BS2493" s="53">
        <f ca="1">IFERROR((_xlfn.XLOOKUP(F2493,Apuração!A:A,Apuração!C:C)+1)/_xlfn.XLOOKUP(F2493,Apuração!A:A,Apuração!B:B),0)</f>
        <v>0.4</v>
      </c>
    </row>
    <row r="2494" spans="1:71" ht="25.95" hidden="1" customHeight="1" x14ac:dyDescent="0.3">
      <c r="A2494" s="33" t="s">
        <v>175</v>
      </c>
      <c r="B2494" s="4" t="s">
        <v>176</v>
      </c>
      <c r="C2494" s="5" t="s">
        <v>221</v>
      </c>
      <c r="D2494" s="5" t="s">
        <v>213</v>
      </c>
      <c r="E2494" s="4" t="str" cm="1">
        <f t="array" ref="E2494">_xlfn.IFS(
F2494 = "A partir de Abril", "Aguardando Execução na Distribuidora",
A2494 = "CAPACITAÇÃO", "Em execução no Corporativo",
TRUE, "Em Execução na Distribuidora"
)</f>
        <v>Em execução no Corporativo</v>
      </c>
      <c r="F2494" s="4" t="str" cm="1">
        <f t="array" ref="F2494">_xlfn.IFS(
AG2494 &lt;&gt; "", "Jan-Dez/26",
AH2494 &lt;&gt; "", "Fev-Dez/26",
AI2494 &lt;&gt; "", "Mar-Dez/26", AJ2494 &lt;&gt; "", "Abr-Dez/26",
TRUE, "A partir de Junho"
)</f>
        <v>Mar-Dez/26</v>
      </c>
      <c r="G2494" s="4" t="s">
        <v>37</v>
      </c>
      <c r="H2494" s="7" t="s">
        <v>38</v>
      </c>
      <c r="I2494" s="8" t="s">
        <v>177</v>
      </c>
      <c r="J2494" s="8" t="str" cm="1">
        <f t="array" aca="1" ref="J2494" ca="1">_xlfn.LET(
  _xlpm.actual_value_month, INDEX(T2494:AE2494, MATCH(DATE(YEAR(TODAY()), MONTH(TODAY()), 1), $T$1:$AE$1, 0)),
  IF(_xlpm.actual_value_month &lt;&gt; "", _xlpm.actual_value_month &amp; " certificados mensais", "")
)</f>
        <v>699 certificados mensais</v>
      </c>
      <c r="K2494" s="8" t="str">
        <f>_xlfn.LET(
    _xlpm.month, AD2494,
    IF(_xlpm.month = 0, "", _xlpm.month &amp; " certificado anuais.")
)</f>
        <v>996 certificado anuais.</v>
      </c>
      <c r="L2494" s="9" t="s">
        <v>178</v>
      </c>
      <c r="M2494" s="13">
        <v>1</v>
      </c>
      <c r="N2494" s="5" t="s">
        <v>42</v>
      </c>
      <c r="O2494" s="5" t="s">
        <v>43</v>
      </c>
      <c r="P2494" s="10" t="s">
        <v>44</v>
      </c>
      <c r="Q2494" s="10" t="s">
        <v>44</v>
      </c>
      <c r="R2494" s="11" t="s">
        <v>179</v>
      </c>
      <c r="S2494" s="11" t="s">
        <v>67</v>
      </c>
      <c r="T2494" s="22"/>
      <c r="U2494" s="22"/>
      <c r="V2494" s="143">
        <v>542</v>
      </c>
      <c r="W2494" s="143">
        <v>552</v>
      </c>
      <c r="X2494" s="143">
        <v>624</v>
      </c>
      <c r="Y2494" s="143">
        <v>699</v>
      </c>
      <c r="Z2494" s="143">
        <v>744</v>
      </c>
      <c r="AA2494" s="143">
        <v>850</v>
      </c>
      <c r="AB2494" s="143">
        <v>919</v>
      </c>
      <c r="AC2494" s="143">
        <v>986</v>
      </c>
      <c r="AD2494" s="143">
        <v>996</v>
      </c>
      <c r="AE2494" s="22"/>
      <c r="AG2494" s="71"/>
      <c r="AH2494" s="71"/>
      <c r="AI2494" s="82">
        <v>663</v>
      </c>
      <c r="AJ2494" s="82">
        <v>663</v>
      </c>
      <c r="AK2494" s="71"/>
      <c r="AL2494" s="71"/>
      <c r="AM2494" s="71"/>
      <c r="AN2494" s="71"/>
      <c r="AO2494" s="71"/>
      <c r="AP2494" s="71"/>
      <c r="AQ2494" s="71"/>
      <c r="AR2494" s="71"/>
      <c r="AS2494" s="94" cm="1">
        <f t="array" ref="AS2494">IFERROR(INDEX(T2494:AE2494,1,MATCH(2,1/(T2494:AE2494&lt;&gt;""))),"")</f>
        <v>996</v>
      </c>
      <c r="AT2494" s="95" cm="1">
        <f t="array" ref="AT2494">IFERROR(INDEX(AJ2494:AR2494,1,MATCH(2,1/(AJ2494:AR2494&lt;&gt;""))),"")</f>
        <v>663</v>
      </c>
      <c r="AU2494" s="97">
        <f t="shared" si="3124"/>
        <v>663</v>
      </c>
      <c r="AW2494" s="51">
        <f t="shared" si="3125"/>
        <v>0</v>
      </c>
      <c r="AX2494" s="51">
        <f t="shared" si="3126"/>
        <v>0</v>
      </c>
      <c r="AY2494" s="51">
        <f t="shared" si="3127"/>
        <v>0.66566265060240959</v>
      </c>
      <c r="AZ2494" s="51">
        <f t="shared" si="3128"/>
        <v>0.66566265060240959</v>
      </c>
      <c r="BA2494" s="51"/>
      <c r="BB2494" s="51"/>
      <c r="BC2494" s="51"/>
      <c r="BD2494" s="51"/>
      <c r="BE2494" s="51"/>
      <c r="BF2494" s="51"/>
      <c r="BG2494" s="51"/>
      <c r="BH2494" s="51"/>
      <c r="BI2494" s="65" cm="1">
        <f t="array" ref="BI2494">IFERROR(INDEX(AW2494:BH2494,1,MATCH(2,1/(AW2494:BH2494&lt;&gt;""))),"")</f>
        <v>0.66566265060240959</v>
      </c>
      <c r="BJ2494" s="68" cm="1">
        <f t="array" ref="BJ2494">IF(BM2494 = "", "",IFERROR(INDEX(AW2494:BH2494,1,MATCH(2,1/(AW2494:BH2494&lt;&gt;""),1)-1),""))</f>
        <v>0.66566265060240959</v>
      </c>
      <c r="BK2494" s="58" cm="1">
        <f t="array" ref="BK2494">IFERROR(INDEX(AW2494:BH2494,1,MATCH(2,1/(AW2494:BH2494&lt;&gt;""))),"")</f>
        <v>0.66566265060240959</v>
      </c>
      <c r="BL2494" s="58" cm="1">
        <f t="array" ref="BL2494">IFERROR(INDEX(AW2494:BH2494,1,MATCH(2,1/(AW2494:BH2494&lt;&gt;""),1)-1),"")</f>
        <v>0.66566265060240959</v>
      </c>
      <c r="BM2494" s="55" cm="1">
        <f t="array" ref="BM2494">IFERROR(
   INDEX($AW$1:$BH$1,
      _xlfn.AGGREGATE(14, 6, COLUMN($AW$1:$BH$1)/(AW2494:BH2494&lt;&gt;""), 2) - COLUMN($AW$1) + 1
   ),
"")</f>
        <v>46082</v>
      </c>
      <c r="BN2494" s="55" cm="1">
        <f t="array" ref="BN2494">IFERROR(INDEX($AW$1:$BH$1,1,MATCH(2,1/(AW2494:BH2494&lt;&gt;""))),"")</f>
        <v>46113</v>
      </c>
      <c r="BO2494" s="119" cm="1">
        <f t="array" aca="1" ref="BO2494" ca="1">_xlfn.LET(
    _xlpm.mes_num, MONTH(TODAY())-1,
    _xlpm.coluna_ajustada, IF(_xlpm.mes_num=0, 12, _xlpm.mes_num),
    _xlpm.realizado_mes_anterior, INDEX(T2494:AE2494, 1, _xlpm.coluna_ajustada),
    _xlpm.previsto_total, AD2494,
    _xlpm.realizado_mes_anterior / _xlpm.previsto_total
)</f>
        <v>0.62650602409638556</v>
      </c>
      <c r="BP2494" s="53">
        <f ca="1">IFERROR(_xlfn.XLOOKUP(F2494,Apuração!A:A,Apuração!D:D)/_xlfn.XLOOKUP(F2494,Apuração!A:A,Apuração!B:B),0)</f>
        <v>0.2</v>
      </c>
      <c r="BQ2494" s="53">
        <f ca="1">IF(BK2494&gt;=BO2494,0,_xlfn.XLOOKUP(F2494,Apuração!A:A,Apuração!B:B)*(BO2494 + (1/_xlfn.XLOOKUP(F2494,Apuração!A:A,Apuração!B:B)) - BK2494))</f>
        <v>0</v>
      </c>
      <c r="BR2494" s="85">
        <f t="shared" ca="1" si="3129"/>
        <v>0</v>
      </c>
      <c r="BS2494" s="53">
        <f ca="1">IFERROR((_xlfn.XLOOKUP(F2494,Apuração!A:A,Apuração!C:C)+1)/_xlfn.XLOOKUP(F2494,Apuração!A:A,Apuração!B:B),0)</f>
        <v>0.4</v>
      </c>
    </row>
    <row r="2495" spans="1:71" ht="25.95" hidden="1" customHeight="1" x14ac:dyDescent="0.3">
      <c r="A2495" s="44" t="s">
        <v>175</v>
      </c>
      <c r="B2495" s="4" t="s">
        <v>176</v>
      </c>
      <c r="C2495" s="5" t="s">
        <v>221</v>
      </c>
      <c r="D2495" s="5" t="s">
        <v>36</v>
      </c>
      <c r="E2495" s="4" t="str" cm="1">
        <f t="array" ref="E2495">_xlfn.IFS(
F2495 = "A partir de Abril", "Aguardando Execução na Distribuidora",
A2495 = "CAPACITAÇÃO", "Em execução no Corporativo",
TRUE, "Em Execução na Distribuidora"
)</f>
        <v>Em execução no Corporativo</v>
      </c>
      <c r="F2495" s="4" t="str" cm="1">
        <f t="array" ref="F2495">_xlfn.IFS(
AG2495 &lt;&gt; "", "Jan-Dez/26",
AH2495 &lt;&gt; "", "Fev-Dez/26",
AI2495 &lt;&gt; "", "Mar-Dez/26", AJ2495 &lt;&gt; "", "Abr-Dez/26",
TRUE, "A partir de Junho"
)</f>
        <v>Mar-Dez/26</v>
      </c>
      <c r="G2495" s="4" t="s">
        <v>37</v>
      </c>
      <c r="H2495" s="7" t="s">
        <v>38</v>
      </c>
      <c r="I2495" s="21" t="s">
        <v>180</v>
      </c>
      <c r="J2495" s="8" t="str" cm="1">
        <f t="array" aca="1" ref="J2495" ca="1">_xlfn.LET(
  _xlpm.actual_value_month, INDEX(T2495:AE2495, MATCH(DATE(YEAR(TODAY()), MONTH(TODAY()), 1), $T$1:$AE$1, 0)),
  IF(_xlpm.actual_value_month &lt;&gt; "", _xlpm.actual_value_month &amp; " ações mensais", "")
)</f>
        <v/>
      </c>
      <c r="K2495" s="8" t="str" cm="1">
        <f t="array" ref="K2495">_xlfn.LET(
    _xlpm.sum_month, SUM(T2495:AE2495),
    IF(_xlpm.sum_month = 0, "", _xlpm.sum_month &amp; " colaboradores treinados.")
)</f>
        <v/>
      </c>
      <c r="L2495" s="9" t="s">
        <v>220</v>
      </c>
      <c r="M2495" s="13">
        <v>1</v>
      </c>
      <c r="N2495" s="5" t="s">
        <v>51</v>
      </c>
      <c r="O2495" s="5" t="s">
        <v>52</v>
      </c>
      <c r="P2495" s="10" t="s">
        <v>44</v>
      </c>
      <c r="Q2495" s="10"/>
      <c r="R2495" s="11" t="s">
        <v>44</v>
      </c>
      <c r="S2495" s="11" t="s">
        <v>44</v>
      </c>
      <c r="T2495" s="22"/>
      <c r="U2495" s="22"/>
      <c r="V2495" s="22"/>
      <c r="W2495" s="22"/>
      <c r="X2495" s="22"/>
      <c r="Y2495" s="22"/>
      <c r="Z2495" s="22"/>
      <c r="AA2495" s="22"/>
      <c r="AB2495" s="22"/>
      <c r="AC2495" s="22"/>
      <c r="AD2495" s="22"/>
      <c r="AE2495" s="22"/>
      <c r="AG2495" s="71"/>
      <c r="AH2495" s="71"/>
      <c r="AI2495" s="71">
        <v>1656</v>
      </c>
      <c r="AJ2495" s="71">
        <v>1707</v>
      </c>
      <c r="AK2495" s="71"/>
      <c r="AL2495" s="71"/>
      <c r="AM2495" s="71"/>
      <c r="AN2495" s="71"/>
      <c r="AO2495" s="71"/>
      <c r="AP2495" s="71"/>
      <c r="AQ2495" s="71"/>
      <c r="AR2495" s="71"/>
      <c r="AS2495" s="94" t="str" cm="1">
        <f t="array" ref="AS2495">IFERROR(INDEX(T2495:AE2495,1,MATCH(2,1/(T2495:AE2495&lt;&gt;""))),"")</f>
        <v/>
      </c>
      <c r="AT2495" s="95" cm="1">
        <f t="array" ref="AT2495">IFERROR(INDEX(AJ2495:AR2495,1,MATCH(2,1/(AJ2495:AR2495&lt;&gt;""))),"")</f>
        <v>1707</v>
      </c>
      <c r="AU2495" s="97">
        <f t="shared" si="3124"/>
        <v>1707</v>
      </c>
      <c r="AW2495" s="83">
        <f>AG2495</f>
        <v>0</v>
      </c>
      <c r="AX2495" s="52">
        <f>AH2495</f>
        <v>0</v>
      </c>
      <c r="AY2495" s="52">
        <f>AI2495</f>
        <v>1656</v>
      </c>
      <c r="AZ2495" s="52">
        <f>AJ2495</f>
        <v>1707</v>
      </c>
      <c r="BA2495" s="52"/>
      <c r="BB2495" s="52"/>
      <c r="BC2495" s="52"/>
      <c r="BD2495" s="52"/>
      <c r="BE2495" s="52"/>
      <c r="BF2495" s="52"/>
      <c r="BG2495" s="52"/>
      <c r="BH2495" s="52"/>
      <c r="BI2495" s="68" cm="1">
        <f t="array" ref="BI2495">IFERROR(INDEX(AW2495:BH2495,1,MATCH(2,1/(AW2495:BH2495&lt;&gt;""))),"")</f>
        <v>1707</v>
      </c>
      <c r="BJ2495" s="68" cm="1">
        <f t="array" ref="BJ2495">IF(BM2495 = "", "",IFERROR(INDEX(AW2495:BH2495,1,MATCH(2,1/(AW2495:BH2495&lt;&gt;""),1)-1),""))</f>
        <v>1656</v>
      </c>
      <c r="BK2495" s="59">
        <f>SUM(AW2495:BH2495)</f>
        <v>3363</v>
      </c>
      <c r="BL2495" s="59" cm="1">
        <f t="array" ref="BL2495">IFERROR(SUM(AW2495:INDEX(AW2495:BH2495, MATCH(2, 1/(AW2495:BH2495&lt;&gt;""), 1) - 1))/_xlfn.XLOOKUP(F2495,Apuração!A:A,Apuração!B:B),0)</f>
        <v>165.6</v>
      </c>
      <c r="BM2495" s="55" cm="1">
        <f t="array" ref="BM2495">IFERROR(
   INDEX($AW$1:$BH$1,
      _xlfn.AGGREGATE(14, 6, COLUMN($AW$1:$BH$1)/(AW2495:BH2495&lt;&gt;""), 2) - COLUMN($AW$1) + 1
   ),
"")</f>
        <v>46082</v>
      </c>
      <c r="BN2495" s="55" cm="1">
        <f t="array" ref="BN2495">IFERROR(INDEX($AW$1:$BH$1,1,MATCH(2,1/(AW2495:BH2495&lt;&gt;""))),"")</f>
        <v>46113</v>
      </c>
      <c r="BO2495" s="53">
        <f ca="1">IFERROR(_xlfn.XLOOKUP(F2495,Apuração!A:A,Apuração!C:C)/_xlfn.XLOOKUP(F2495,Apuração!A:A,Apuração!B:B),0)</f>
        <v>0.3</v>
      </c>
      <c r="BP2495" s="53">
        <f ca="1">IFERROR(_xlfn.XLOOKUP(F2495,Apuração!A:A,Apuração!D:D)/_xlfn.XLOOKUP(F2495,Apuração!A:A,Apuração!B:B),0)</f>
        <v>0.2</v>
      </c>
      <c r="BQ2495" s="53">
        <f ca="1">IF(BK2495&gt;=BO2495,0,_xlfn.XLOOKUP(F2495,Apuração!A:A,Apuração!B:B)*(BO2495 + (1/_xlfn.XLOOKUP(F2495,Apuração!A:A,Apuração!B:B)) - BK2495))</f>
        <v>0</v>
      </c>
      <c r="BR2495" s="85">
        <f t="shared" ca="1" si="2957"/>
        <v>0</v>
      </c>
      <c r="BS2495" s="53">
        <f ca="1">IFERROR((_xlfn.XLOOKUP(F2495,Apuração!A:A,Apuração!C:C)+1)/_xlfn.XLOOKUP(F2495,Apuração!A:A,Apuração!B:B),0)</f>
        <v>0.4</v>
      </c>
    </row>
    <row r="2496" spans="1:71" ht="25.95" hidden="1" customHeight="1" x14ac:dyDescent="0.3">
      <c r="A2496" s="44" t="s">
        <v>175</v>
      </c>
      <c r="B2496" s="4" t="s">
        <v>176</v>
      </c>
      <c r="C2496" s="5" t="s">
        <v>221</v>
      </c>
      <c r="D2496" s="5" t="s">
        <v>212</v>
      </c>
      <c r="E2496" s="4" t="str" cm="1">
        <f t="array" ref="E2496">_xlfn.IFS(
F2496 = "A partir de Abril", "Aguardando Execução na Distribuidora",
A2496 = "CAPACITAÇÃO", "Em execução no Corporativo",
TRUE, "Em Execução na Distribuidora"
)</f>
        <v>Em execução no Corporativo</v>
      </c>
      <c r="F2496" s="4" t="str" cm="1">
        <f t="array" ref="F2496">_xlfn.IFS(
AG2496 &lt;&gt; "", "Jan-Dez/26",
AH2496 &lt;&gt; "", "Fev-Dez/26",
AI2496 &lt;&gt; "", "Mar-Dez/26", AJ2496 &lt;&gt; "", "Abr-Dez/26",
TRUE, "A partir de Junho"
)</f>
        <v>Mar-Dez/26</v>
      </c>
      <c r="G2496" s="4" t="s">
        <v>37</v>
      </c>
      <c r="H2496" s="7" t="s">
        <v>38</v>
      </c>
      <c r="I2496" s="21" t="s">
        <v>180</v>
      </c>
      <c r="J2496" s="8" t="str" cm="1">
        <f t="array" aca="1" ref="J2496" ca="1">_xlfn.LET(
  _xlpm.actual_value_month, INDEX(T2496:AE2496, MATCH(DATE(YEAR(TODAY()), MONTH(TODAY()), 1), $T$1:$AE$1, 0)),
  IF(_xlpm.actual_value_month &lt;&gt; "", _xlpm.actual_value_month &amp; " ações mensais", "")
)</f>
        <v/>
      </c>
      <c r="K2496" s="8" t="str" cm="1">
        <f t="array" ref="K2496">_xlfn.LET(
    _xlpm.sum_month, SUM(T2496:AE2496),
    IF(_xlpm.sum_month = 0, "", _xlpm.sum_month &amp; " colaboradores treinados.")
)</f>
        <v/>
      </c>
      <c r="L2496" s="9" t="s">
        <v>220</v>
      </c>
      <c r="M2496" s="13">
        <v>1</v>
      </c>
      <c r="N2496" s="5" t="s">
        <v>51</v>
      </c>
      <c r="O2496" s="5" t="s">
        <v>52</v>
      </c>
      <c r="P2496" s="10" t="s">
        <v>44</v>
      </c>
      <c r="Q2496" s="10"/>
      <c r="R2496" s="11" t="s">
        <v>44</v>
      </c>
      <c r="S2496" s="11" t="s">
        <v>44</v>
      </c>
      <c r="T2496" s="22"/>
      <c r="U2496" s="22"/>
      <c r="V2496" s="22"/>
      <c r="W2496" s="22"/>
      <c r="X2496" s="22"/>
      <c r="Y2496" s="22"/>
      <c r="Z2496" s="22"/>
      <c r="AA2496" s="22"/>
      <c r="AB2496" s="22"/>
      <c r="AC2496" s="22"/>
      <c r="AD2496" s="22"/>
      <c r="AE2496" s="22"/>
      <c r="AG2496" s="71"/>
      <c r="AH2496" s="71"/>
      <c r="AI2496" s="71">
        <v>1041</v>
      </c>
      <c r="AJ2496" s="71">
        <v>1041</v>
      </c>
      <c r="AK2496" s="71"/>
      <c r="AL2496" s="71"/>
      <c r="AM2496" s="71"/>
      <c r="AN2496" s="71"/>
      <c r="AO2496" s="71"/>
      <c r="AP2496" s="71"/>
      <c r="AQ2496" s="71"/>
      <c r="AR2496" s="71"/>
      <c r="AS2496" s="94" t="str" cm="1">
        <f t="array" ref="AS2496">IFERROR(INDEX(T2496:AE2496,1,MATCH(2,1/(T2496:AE2496&lt;&gt;""))),"")</f>
        <v/>
      </c>
      <c r="AT2496" s="95" cm="1">
        <f t="array" ref="AT2496">IFERROR(INDEX(AJ2496:AR2496,1,MATCH(2,1/(AJ2496:AR2496&lt;&gt;""))),"")</f>
        <v>1041</v>
      </c>
      <c r="AU2496" s="97">
        <f t="shared" si="3124"/>
        <v>1041</v>
      </c>
      <c r="AW2496" s="83">
        <f t="shared" ref="AW2496:AW2497" si="3130">AG2496</f>
        <v>0</v>
      </c>
      <c r="AX2496" s="52">
        <f t="shared" ref="AX2496:AX2497" si="3131">AH2496</f>
        <v>0</v>
      </c>
      <c r="AY2496" s="52">
        <f t="shared" ref="AY2496:AY2497" si="3132">AI2496</f>
        <v>1041</v>
      </c>
      <c r="AZ2496" s="52">
        <f t="shared" ref="AZ2496:AZ2497" si="3133">AJ2496</f>
        <v>1041</v>
      </c>
      <c r="BA2496" s="52"/>
      <c r="BB2496" s="52"/>
      <c r="BC2496" s="52"/>
      <c r="BD2496" s="52"/>
      <c r="BE2496" s="52"/>
      <c r="BF2496" s="52"/>
      <c r="BG2496" s="52"/>
      <c r="BH2496" s="52"/>
      <c r="BI2496" s="68" cm="1">
        <f t="array" ref="BI2496">IFERROR(INDEX(AW2496:BH2496,1,MATCH(2,1/(AW2496:BH2496&lt;&gt;""))),"")</f>
        <v>1041</v>
      </c>
      <c r="BJ2496" s="68" cm="1">
        <f t="array" ref="BJ2496">IF(BM2496 = "", "",IFERROR(INDEX(AW2496:BH2496,1,MATCH(2,1/(AW2496:BH2496&lt;&gt;""),1)-1),""))</f>
        <v>1041</v>
      </c>
      <c r="BK2496" s="59">
        <f t="shared" ref="BK2496:BK2497" si="3134">SUM(AW2496:BH2496)</f>
        <v>2082</v>
      </c>
      <c r="BL2496" s="59" cm="1">
        <f t="array" ref="BL2496">IFERROR(SUM(AW2496:INDEX(AW2496:BH2496, MATCH(2, 1/(AW2496:BH2496&lt;&gt;""), 1) - 1))/_xlfn.XLOOKUP(F2496,Apuração!A:A,Apuração!B:B),0)</f>
        <v>104.1</v>
      </c>
      <c r="BM2496" s="55" cm="1">
        <f t="array" ref="BM2496">IFERROR(
   INDEX($AW$1:$BH$1,
      _xlfn.AGGREGATE(14, 6, COLUMN($AW$1:$BH$1)/(AW2496:BH2496&lt;&gt;""), 2) - COLUMN($AW$1) + 1
   ),
"")</f>
        <v>46082</v>
      </c>
      <c r="BN2496" s="55" cm="1">
        <f t="array" ref="BN2496">IFERROR(INDEX($AW$1:$BH$1,1,MATCH(2,1/(AW2496:BH2496&lt;&gt;""))),"")</f>
        <v>46113</v>
      </c>
      <c r="BO2496" s="53">
        <f ca="1">IFERROR(_xlfn.XLOOKUP(F2496,Apuração!A:A,Apuração!C:C)/_xlfn.XLOOKUP(F2496,Apuração!A:A,Apuração!B:B),0)</f>
        <v>0.3</v>
      </c>
      <c r="BP2496" s="53">
        <f ca="1">IFERROR(_xlfn.XLOOKUP(F2496,Apuração!A:A,Apuração!D:D)/_xlfn.XLOOKUP(F2496,Apuração!A:A,Apuração!B:B),0)</f>
        <v>0.2</v>
      </c>
      <c r="BQ2496" s="53">
        <f ca="1">IF(BK2496&gt;=BO2496,0,_xlfn.XLOOKUP(F2496,Apuração!A:A,Apuração!B:B)*(BO2496 + (1/_xlfn.XLOOKUP(F2496,Apuração!A:A,Apuração!B:B)) - BK2496))</f>
        <v>0</v>
      </c>
      <c r="BR2496" s="85">
        <f t="shared" ref="BR2496:BR2497" ca="1" si="3135">IF(BQ2496=0,0,BQ2496*Z2496)</f>
        <v>0</v>
      </c>
      <c r="BS2496" s="53">
        <f ca="1">IFERROR((_xlfn.XLOOKUP(F2496,Apuração!A:A,Apuração!C:C)+1)/_xlfn.XLOOKUP(F2496,Apuração!A:A,Apuração!B:B),0)</f>
        <v>0.4</v>
      </c>
    </row>
    <row r="2497" spans="1:71" ht="25.95" hidden="1" customHeight="1" x14ac:dyDescent="0.3">
      <c r="A2497" s="44" t="s">
        <v>175</v>
      </c>
      <c r="B2497" s="4" t="s">
        <v>176</v>
      </c>
      <c r="C2497" s="5" t="s">
        <v>221</v>
      </c>
      <c r="D2497" s="5" t="s">
        <v>213</v>
      </c>
      <c r="E2497" s="4" t="str" cm="1">
        <f t="array" ref="E2497">_xlfn.IFS(
F2497 = "A partir de Abril", "Aguardando Execução na Distribuidora",
A2497 = "CAPACITAÇÃO", "Em execução no Corporativo",
TRUE, "Em Execução na Distribuidora"
)</f>
        <v>Em execução no Corporativo</v>
      </c>
      <c r="F2497" s="4" t="str" cm="1">
        <f t="array" ref="F2497">_xlfn.IFS(
AG2497 &lt;&gt; "", "Jan-Dez/26",
AH2497 &lt;&gt; "", "Fev-Dez/26",
AI2497 &lt;&gt; "", "Mar-Dez/26", AJ2497 &lt;&gt; "", "Abr-Dez/26",
TRUE, "A partir de Junho"
)</f>
        <v>Mar-Dez/26</v>
      </c>
      <c r="G2497" s="4" t="s">
        <v>37</v>
      </c>
      <c r="H2497" s="7" t="s">
        <v>38</v>
      </c>
      <c r="I2497" s="21" t="s">
        <v>180</v>
      </c>
      <c r="J2497" s="8" t="str" cm="1">
        <f t="array" aca="1" ref="J2497" ca="1">_xlfn.LET(
  _xlpm.actual_value_month, INDEX(T2497:AE2497, MATCH(DATE(YEAR(TODAY()), MONTH(TODAY()), 1), $T$1:$AE$1, 0)),
  IF(_xlpm.actual_value_month &lt;&gt; "", _xlpm.actual_value_month &amp; " ações mensais", "")
)</f>
        <v/>
      </c>
      <c r="K2497" s="8" t="str" cm="1">
        <f t="array" ref="K2497">_xlfn.LET(
    _xlpm.sum_month, SUM(T2497:AE2497),
    IF(_xlpm.sum_month = 0, "", _xlpm.sum_month &amp; " colaboradores treinados.")
)</f>
        <v/>
      </c>
      <c r="L2497" s="9" t="s">
        <v>220</v>
      </c>
      <c r="M2497" s="13">
        <v>1</v>
      </c>
      <c r="N2497" s="5" t="s">
        <v>51</v>
      </c>
      <c r="O2497" s="5" t="s">
        <v>52</v>
      </c>
      <c r="P2497" s="10" t="s">
        <v>44</v>
      </c>
      <c r="Q2497" s="10"/>
      <c r="R2497" s="11" t="s">
        <v>44</v>
      </c>
      <c r="S2497" s="11" t="s">
        <v>44</v>
      </c>
      <c r="T2497" s="22"/>
      <c r="U2497" s="22"/>
      <c r="V2497" s="22"/>
      <c r="W2497" s="22"/>
      <c r="X2497" s="22"/>
      <c r="Y2497" s="22"/>
      <c r="Z2497" s="22"/>
      <c r="AA2497" s="22"/>
      <c r="AB2497" s="22"/>
      <c r="AC2497" s="22"/>
      <c r="AD2497" s="22"/>
      <c r="AE2497" s="22"/>
      <c r="AG2497" s="71"/>
      <c r="AH2497" s="71"/>
      <c r="AI2497" s="82">
        <v>663</v>
      </c>
      <c r="AJ2497" s="82">
        <v>663</v>
      </c>
      <c r="AK2497" s="71"/>
      <c r="AL2497" s="71"/>
      <c r="AM2497" s="71"/>
      <c r="AN2497" s="71"/>
      <c r="AO2497" s="71"/>
      <c r="AP2497" s="71"/>
      <c r="AQ2497" s="71"/>
      <c r="AR2497" s="71"/>
      <c r="AS2497" s="94" t="str" cm="1">
        <f t="array" ref="AS2497">IFERROR(INDEX(T2497:AE2497,1,MATCH(2,1/(T2497:AE2497&lt;&gt;""))),"")</f>
        <v/>
      </c>
      <c r="AT2497" s="95" cm="1">
        <f t="array" ref="AT2497">IFERROR(INDEX(AJ2497:AR2497,1,MATCH(2,1/(AJ2497:AR2497&lt;&gt;""))),"")</f>
        <v>663</v>
      </c>
      <c r="AU2497" s="97">
        <f t="shared" si="3124"/>
        <v>663</v>
      </c>
      <c r="AW2497" s="83">
        <f t="shared" si="3130"/>
        <v>0</v>
      </c>
      <c r="AX2497" s="52">
        <f t="shared" si="3131"/>
        <v>0</v>
      </c>
      <c r="AY2497" s="52">
        <f t="shared" si="3132"/>
        <v>663</v>
      </c>
      <c r="AZ2497" s="52">
        <f t="shared" si="3133"/>
        <v>663</v>
      </c>
      <c r="BA2497" s="52"/>
      <c r="BB2497" s="52"/>
      <c r="BC2497" s="52"/>
      <c r="BD2497" s="52"/>
      <c r="BE2497" s="52"/>
      <c r="BF2497" s="52"/>
      <c r="BG2497" s="52"/>
      <c r="BH2497" s="52"/>
      <c r="BI2497" s="68" cm="1">
        <f t="array" ref="BI2497">IFERROR(INDEX(AW2497:BH2497,1,MATCH(2,1/(AW2497:BH2497&lt;&gt;""))),"")</f>
        <v>663</v>
      </c>
      <c r="BJ2497" s="68" cm="1">
        <f t="array" ref="BJ2497">IF(BM2497 = "", "",IFERROR(INDEX(AW2497:BH2497,1,MATCH(2,1/(AW2497:BH2497&lt;&gt;""),1)-1),""))</f>
        <v>663</v>
      </c>
      <c r="BK2497" s="59">
        <f t="shared" si="3134"/>
        <v>1326</v>
      </c>
      <c r="BL2497" s="59" cm="1">
        <f t="array" ref="BL2497">IFERROR(SUM(AW2497:INDEX(AW2497:BH2497, MATCH(2, 1/(AW2497:BH2497&lt;&gt;""), 1) - 1))/_xlfn.XLOOKUP(F2497,Apuração!A:A,Apuração!B:B),0)</f>
        <v>66.3</v>
      </c>
      <c r="BM2497" s="55" cm="1">
        <f t="array" ref="BM2497">IFERROR(
   INDEX($AW$1:$BH$1,
      _xlfn.AGGREGATE(14, 6, COLUMN($AW$1:$BH$1)/(AW2497:BH2497&lt;&gt;""), 2) - COLUMN($AW$1) + 1
   ),
"")</f>
        <v>46082</v>
      </c>
      <c r="BN2497" s="55" cm="1">
        <f t="array" ref="BN2497">IFERROR(INDEX($AW$1:$BH$1,1,MATCH(2,1/(AW2497:BH2497&lt;&gt;""))),"")</f>
        <v>46113</v>
      </c>
      <c r="BO2497" s="53">
        <f ca="1">IFERROR(_xlfn.XLOOKUP(F2497,Apuração!A:A,Apuração!C:C)/_xlfn.XLOOKUP(F2497,Apuração!A:A,Apuração!B:B),0)</f>
        <v>0.3</v>
      </c>
      <c r="BP2497" s="53">
        <f ca="1">IFERROR(_xlfn.XLOOKUP(F2497,Apuração!A:A,Apuração!D:D)/_xlfn.XLOOKUP(F2497,Apuração!A:A,Apuração!B:B),0)</f>
        <v>0.2</v>
      </c>
      <c r="BQ2497" s="53">
        <f ca="1">IF(BK2497&gt;=BO2497,0,_xlfn.XLOOKUP(F2497,Apuração!A:A,Apuração!B:B)*(BO2497 + (1/_xlfn.XLOOKUP(F2497,Apuração!A:A,Apuração!B:B)) - BK2497))</f>
        <v>0</v>
      </c>
      <c r="BR2497" s="85">
        <f t="shared" ca="1" si="3135"/>
        <v>0</v>
      </c>
      <c r="BS2497" s="53">
        <f ca="1">IFERROR((_xlfn.XLOOKUP(F2497,Apuração!A:A,Apuração!C:C)+1)/_xlfn.XLOOKUP(F2497,Apuração!A:A,Apuração!B:B),0)</f>
        <v>0.4</v>
      </c>
    </row>
    <row r="2498" spans="1:71" ht="25.95" hidden="1" customHeight="1" x14ac:dyDescent="0.3">
      <c r="A2498" s="44" t="s">
        <v>175</v>
      </c>
      <c r="B2498" s="4" t="s">
        <v>176</v>
      </c>
      <c r="C2498" s="5" t="s">
        <v>221</v>
      </c>
      <c r="D2498" s="5" t="s">
        <v>36</v>
      </c>
      <c r="E2498" s="4" t="str" cm="1">
        <f t="array" ref="E2498">_xlfn.IFS(
F2498 = "A partir de Abril", "Aguardando Execução na Distribuidora",
A2498 = "CAPACITAÇÃO", "Em execução no Corporativo",
TRUE, "Em Execução na Distribuidora"
)</f>
        <v>Em execução no Corporativo</v>
      </c>
      <c r="F2498" s="4" t="str" cm="1">
        <f t="array" ref="F2498">_xlfn.IFS(
AG2498 &lt;&gt; "", "Jan-Dez/26",
AH2498 &lt;&gt; "", "Fev-Dez/26",
AI2498 &lt;&gt; "", "Mar-Dez/26", AJ2498 &lt;&gt; "", "Abr-Dez/26",
TRUE, "A partir de Junho"
)</f>
        <v>Mar-Dez/26</v>
      </c>
      <c r="G2498" s="4" t="s">
        <v>37</v>
      </c>
      <c r="H2498" s="7" t="s">
        <v>38</v>
      </c>
      <c r="I2498" s="21" t="s">
        <v>182</v>
      </c>
      <c r="J2498" s="8" t="str" cm="1">
        <f t="array" aca="1" ref="J2498" ca="1">_xlfn.LET(
  _xlpm.actual_value_month, INDEX(T2498:AE2498, MATCH(DATE(YEAR(TODAY()), MONTH(TODAY()), 1), $T$1:$AE$1, 0)),
  IF(_xlpm.actual_value_month &lt;&gt; "", _xlpm.actual_value_month &amp; " ações mensais", "")
)</f>
        <v/>
      </c>
      <c r="K2498" s="8" t="str" cm="1">
        <f t="array" ref="K2498">_xlfn.LET(
    _xlpm.sum_month, SUM(T2498:AE2498),
    IF(_xlpm.sum_month = 0, "", _xlpm.sum_month &amp; " taxa de aprovados")
)</f>
        <v>3363 taxa de aprovados</v>
      </c>
      <c r="L2498" s="4" t="s">
        <v>183</v>
      </c>
      <c r="M2498" s="13">
        <v>1</v>
      </c>
      <c r="N2498" s="5" t="s">
        <v>51</v>
      </c>
      <c r="O2498" s="5" t="s">
        <v>43</v>
      </c>
      <c r="P2498" s="10" t="s">
        <v>44</v>
      </c>
      <c r="Q2498" s="10" t="s">
        <v>44</v>
      </c>
      <c r="R2498" s="11" t="s">
        <v>44</v>
      </c>
      <c r="S2498" s="11" t="s">
        <v>44</v>
      </c>
      <c r="T2498" s="22"/>
      <c r="U2498" s="22"/>
      <c r="V2498" s="22">
        <v>1656</v>
      </c>
      <c r="W2498" s="22">
        <v>1707</v>
      </c>
      <c r="X2498" s="22"/>
      <c r="Y2498" s="22"/>
      <c r="Z2498" s="22"/>
      <c r="AA2498" s="22"/>
      <c r="AB2498" s="22"/>
      <c r="AC2498" s="22"/>
      <c r="AD2498" s="22"/>
      <c r="AE2498" s="22"/>
      <c r="AG2498" s="71"/>
      <c r="AH2498" s="71"/>
      <c r="AI2498" s="71">
        <v>1656</v>
      </c>
      <c r="AJ2498" s="71">
        <v>1707</v>
      </c>
      <c r="AK2498" s="71"/>
      <c r="AL2498" s="71"/>
      <c r="AM2498" s="71"/>
      <c r="AN2498" s="71"/>
      <c r="AO2498" s="71"/>
      <c r="AP2498" s="71"/>
      <c r="AQ2498" s="71"/>
      <c r="AR2498" s="71"/>
      <c r="AS2498" s="94" cm="1">
        <f t="array" ref="AS2498">IFERROR(INDEX(T2498:AE2498,1,MATCH(2,1/(T2498:AE2498&lt;&gt;""))),"")</f>
        <v>1707</v>
      </c>
      <c r="AT2498" s="95" cm="1">
        <f t="array" ref="AT2498">IFERROR(INDEX(AJ2498:AR2498,1,MATCH(2,1/(AJ2498:AR2498&lt;&gt;""))),"")</f>
        <v>1707</v>
      </c>
      <c r="AU2498" s="97">
        <f t="shared" si="3124"/>
        <v>1707</v>
      </c>
      <c r="AW2498" s="52">
        <f>IFERROR(IF(T2498="",0,T2498/AG2498),0)</f>
        <v>0</v>
      </c>
      <c r="AX2498" s="52">
        <f>IFERROR(IF(U2498="",0,U2498/AH2498),0)</f>
        <v>0</v>
      </c>
      <c r="AY2498" s="118">
        <f>IFERROR(IF(V2498="",0,V2498/AI2498),0)</f>
        <v>1</v>
      </c>
      <c r="AZ2498" s="118">
        <f>IFERROR(IF(W2498="",0,W2498/AJ2498),0)</f>
        <v>1</v>
      </c>
      <c r="BA2498" s="52"/>
      <c r="BB2498" s="52"/>
      <c r="BC2498" s="52"/>
      <c r="BD2498" s="52"/>
      <c r="BE2498" s="52"/>
      <c r="BF2498" s="52"/>
      <c r="BG2498" s="52"/>
      <c r="BH2498" s="52"/>
      <c r="BI2498" s="65" cm="1">
        <f t="array" ref="BI2498">IFERROR(INDEX(AW2498:BH2498,1,MATCH(2,1/(AW2498:BH2498&lt;&gt;""))),"")</f>
        <v>1</v>
      </c>
      <c r="BJ2498" s="68" cm="1">
        <f t="array" ref="BJ2498">IF(BM2498 = "", "",IFERROR(INDEX(AW2498:BH2498,1,MATCH(2,1/(AW2498:BH2498&lt;&gt;""),1)-1),""))</f>
        <v>1</v>
      </c>
      <c r="BK2498" s="58" cm="1">
        <f t="array" ref="BK2498">IFERROR(INDEX(AW2498:BH2498,1,MATCH(2,1/(AW2498:BH2498&lt;&gt;""))),"")</f>
        <v>1</v>
      </c>
      <c r="BL2498" s="58" cm="1">
        <f t="array" ref="BL2498">IFERROR(INDEX(AW2498:BH2498,1,MATCH(2,1/(AW2498:BH2498&lt;&gt;""),1)-1),"")</f>
        <v>1</v>
      </c>
      <c r="BM2498" s="55" cm="1">
        <f t="array" ref="BM2498">IFERROR(
   INDEX($AW$1:$BH$1,
      _xlfn.AGGREGATE(14, 6, COLUMN($AW$1:$BH$1)/(AW2498:BH2498&lt;&gt;""), 2) - COLUMN($AW$1) + 1
   ),
"")</f>
        <v>46082</v>
      </c>
      <c r="BN2498" s="55" cm="1">
        <f t="array" ref="BN2498">IFERROR(INDEX($AW$1:$BH$1,1,MATCH(2,1/(AW2498:BH2498&lt;&gt;""))),"")</f>
        <v>46113</v>
      </c>
      <c r="BO2498" s="53">
        <f ca="1">IFERROR(_xlfn.XLOOKUP(F2498,Apuração!A:A,Apuração!C:C)/_xlfn.XLOOKUP(F2498,Apuração!A:A,Apuração!B:B),0)</f>
        <v>0.3</v>
      </c>
      <c r="BP2498" s="53">
        <f ca="1">IFERROR(_xlfn.XLOOKUP(F2498,Apuração!A:A,Apuração!D:D)/_xlfn.XLOOKUP(F2498,Apuração!A:A,Apuração!B:B),0)</f>
        <v>0.2</v>
      </c>
      <c r="BQ2498" s="53">
        <f ca="1">IF(BK2498&gt;=BO2498,0,_xlfn.XLOOKUP(F2498,Apuração!A:A,Apuração!B:B)*(BO2498 + (1/_xlfn.XLOOKUP(F2498,Apuração!A:A,Apuração!B:B)) - BK2498))</f>
        <v>0</v>
      </c>
      <c r="BR2498" s="85">
        <f t="shared" ca="1" si="2957"/>
        <v>0</v>
      </c>
      <c r="BS2498" s="53">
        <f ca="1">IFERROR((_xlfn.XLOOKUP(F2498,Apuração!A:A,Apuração!C:C)+1)/_xlfn.XLOOKUP(F2498,Apuração!A:A,Apuração!B:B),0)</f>
        <v>0.4</v>
      </c>
    </row>
    <row r="2499" spans="1:71" ht="25.95" hidden="1" customHeight="1" x14ac:dyDescent="0.3">
      <c r="A2499" s="44" t="s">
        <v>175</v>
      </c>
      <c r="B2499" s="4" t="s">
        <v>176</v>
      </c>
      <c r="C2499" s="5" t="s">
        <v>221</v>
      </c>
      <c r="D2499" s="5" t="s">
        <v>212</v>
      </c>
      <c r="E2499" s="4" t="str" cm="1">
        <f t="array" ref="E2499">_xlfn.IFS(
F2499 = "A partir de Abril", "Aguardando Execução na Distribuidora",
A2499 = "CAPACITAÇÃO", "Em execução no Corporativo",
TRUE, "Em Execução na Distribuidora"
)</f>
        <v>Em execução no Corporativo</v>
      </c>
      <c r="F2499" s="4" t="str" cm="1">
        <f t="array" ref="F2499">_xlfn.IFS(
AG2499 &lt;&gt; "", "Jan-Dez/26",
AH2499 &lt;&gt; "", "Fev-Dez/26",
AI2499 &lt;&gt; "", "Mar-Dez/26", AJ2499 &lt;&gt; "", "Abr-Dez/26",
TRUE, "A partir de Junho"
)</f>
        <v>Mar-Dez/26</v>
      </c>
      <c r="G2499" s="4" t="s">
        <v>37</v>
      </c>
      <c r="H2499" s="7" t="s">
        <v>38</v>
      </c>
      <c r="I2499" s="21" t="s">
        <v>182</v>
      </c>
      <c r="J2499" s="8" t="str" cm="1">
        <f t="array" aca="1" ref="J2499" ca="1">_xlfn.LET(
  _xlpm.actual_value_month, INDEX(T2499:AE2499, MATCH(DATE(YEAR(TODAY()), MONTH(TODAY()), 1), $T$1:$AE$1, 0)),
  IF(_xlpm.actual_value_month &lt;&gt; "", _xlpm.actual_value_month &amp; " ações mensais", "")
)</f>
        <v/>
      </c>
      <c r="K2499" s="8" t="str" cm="1">
        <f t="array" ref="K2499">_xlfn.LET(
    _xlpm.sum_month, SUM(T2499:AE2499),
    IF(_xlpm.sum_month = 0, "", _xlpm.sum_month &amp; " taxa de aprovados")
)</f>
        <v>2082 taxa de aprovados</v>
      </c>
      <c r="L2499" s="4" t="s">
        <v>183</v>
      </c>
      <c r="M2499" s="13">
        <v>1</v>
      </c>
      <c r="N2499" s="5" t="s">
        <v>51</v>
      </c>
      <c r="O2499" s="5" t="s">
        <v>43</v>
      </c>
      <c r="P2499" s="10" t="s">
        <v>44</v>
      </c>
      <c r="Q2499" s="10" t="s">
        <v>44</v>
      </c>
      <c r="R2499" s="11" t="s">
        <v>44</v>
      </c>
      <c r="S2499" s="11" t="s">
        <v>44</v>
      </c>
      <c r="T2499" s="22"/>
      <c r="U2499" s="22"/>
      <c r="V2499" s="22">
        <v>1041</v>
      </c>
      <c r="W2499" s="22">
        <v>1041</v>
      </c>
      <c r="X2499" s="22"/>
      <c r="Y2499" s="22"/>
      <c r="Z2499" s="22"/>
      <c r="AA2499" s="22"/>
      <c r="AB2499" s="22"/>
      <c r="AC2499" s="22"/>
      <c r="AD2499" s="22"/>
      <c r="AE2499" s="22"/>
      <c r="AG2499" s="71"/>
      <c r="AH2499" s="71"/>
      <c r="AI2499" s="71">
        <v>1041</v>
      </c>
      <c r="AJ2499" s="71">
        <v>1041</v>
      </c>
      <c r="AK2499" s="71"/>
      <c r="AL2499" s="71"/>
      <c r="AM2499" s="71"/>
      <c r="AN2499" s="71"/>
      <c r="AO2499" s="71"/>
      <c r="AP2499" s="71"/>
      <c r="AQ2499" s="71"/>
      <c r="AR2499" s="71"/>
      <c r="AS2499" s="94" cm="1">
        <f t="array" ref="AS2499">IFERROR(INDEX(T2499:AE2499,1,MATCH(2,1/(T2499:AE2499&lt;&gt;""))),"")</f>
        <v>1041</v>
      </c>
      <c r="AT2499" s="95" cm="1">
        <f t="array" ref="AT2499">IFERROR(INDEX(AJ2499:AR2499,1,MATCH(2,1/(AJ2499:AR2499&lt;&gt;""))),"")</f>
        <v>1041</v>
      </c>
      <c r="AU2499" s="97">
        <f t="shared" si="3124"/>
        <v>1041</v>
      </c>
      <c r="AW2499" s="52">
        <f t="shared" ref="AW2499:AW2500" si="3136">IFERROR(IF(T2499="",0,T2499/AG2499),0)</f>
        <v>0</v>
      </c>
      <c r="AX2499" s="52">
        <f t="shared" ref="AX2499:AX2500" si="3137">IFERROR(IF(U2499="",0,U2499/AH2499),0)</f>
        <v>0</v>
      </c>
      <c r="AY2499" s="118">
        <f t="shared" ref="AY2499:AY2500" si="3138">IFERROR(IF(V2499="",0,V2499/AI2499),0)</f>
        <v>1</v>
      </c>
      <c r="AZ2499" s="118">
        <f t="shared" ref="AZ2499:AZ2500" si="3139">IFERROR(IF(W2499="",0,W2499/AJ2499),0)</f>
        <v>1</v>
      </c>
      <c r="BA2499" s="52"/>
      <c r="BB2499" s="52"/>
      <c r="BC2499" s="52"/>
      <c r="BD2499" s="52"/>
      <c r="BE2499" s="52"/>
      <c r="BF2499" s="52"/>
      <c r="BG2499" s="52"/>
      <c r="BH2499" s="52"/>
      <c r="BI2499" s="65" cm="1">
        <f t="array" ref="BI2499">IFERROR(INDEX(AW2499:BH2499,1,MATCH(2,1/(AW2499:BH2499&lt;&gt;""))),"")</f>
        <v>1</v>
      </c>
      <c r="BJ2499" s="68" cm="1">
        <f t="array" ref="BJ2499">IF(BM2499 = "", "",IFERROR(INDEX(AW2499:BH2499,1,MATCH(2,1/(AW2499:BH2499&lt;&gt;""),1)-1),""))</f>
        <v>1</v>
      </c>
      <c r="BK2499" s="58" cm="1">
        <f t="array" ref="BK2499">IFERROR(INDEX(AW2499:BH2499,1,MATCH(2,1/(AW2499:BH2499&lt;&gt;""))),"")</f>
        <v>1</v>
      </c>
      <c r="BL2499" s="58" cm="1">
        <f t="array" ref="BL2499">IFERROR(INDEX(AW2499:BH2499,1,MATCH(2,1/(AW2499:BH2499&lt;&gt;""),1)-1),"")</f>
        <v>1</v>
      </c>
      <c r="BM2499" s="55" cm="1">
        <f t="array" ref="BM2499">IFERROR(
   INDEX($AW$1:$BH$1,
      _xlfn.AGGREGATE(14, 6, COLUMN($AW$1:$BH$1)/(AW2499:BH2499&lt;&gt;""), 2) - COLUMN($AW$1) + 1
   ),
"")</f>
        <v>46082</v>
      </c>
      <c r="BN2499" s="55" cm="1">
        <f t="array" ref="BN2499">IFERROR(INDEX($AW$1:$BH$1,1,MATCH(2,1/(AW2499:BH2499&lt;&gt;""))),"")</f>
        <v>46113</v>
      </c>
      <c r="BO2499" s="53">
        <f ca="1">IFERROR(_xlfn.XLOOKUP(F2499,Apuração!A:A,Apuração!C:C)/_xlfn.XLOOKUP(F2499,Apuração!A:A,Apuração!B:B),0)</f>
        <v>0.3</v>
      </c>
      <c r="BP2499" s="53">
        <f ca="1">IFERROR(_xlfn.XLOOKUP(F2499,Apuração!A:A,Apuração!D:D)/_xlfn.XLOOKUP(F2499,Apuração!A:A,Apuração!B:B),0)</f>
        <v>0.2</v>
      </c>
      <c r="BQ2499" s="53">
        <f ca="1">IF(BK2499&gt;=BO2499,0,_xlfn.XLOOKUP(F2499,Apuração!A:A,Apuração!B:B)*(BO2499 + (1/_xlfn.XLOOKUP(F2499,Apuração!A:A,Apuração!B:B)) - BK2499))</f>
        <v>0</v>
      </c>
      <c r="BR2499" s="85">
        <f t="shared" ref="BR2499:BR2500" ca="1" si="3140">IF(BQ2499=0,0,BQ2499*Z2499)</f>
        <v>0</v>
      </c>
      <c r="BS2499" s="53">
        <f ca="1">IFERROR((_xlfn.XLOOKUP(F2499,Apuração!A:A,Apuração!C:C)+1)/_xlfn.XLOOKUP(F2499,Apuração!A:A,Apuração!B:B),0)</f>
        <v>0.4</v>
      </c>
    </row>
    <row r="2500" spans="1:71" ht="25.95" hidden="1" customHeight="1" x14ac:dyDescent="0.3">
      <c r="A2500" s="44" t="s">
        <v>175</v>
      </c>
      <c r="B2500" s="4" t="s">
        <v>176</v>
      </c>
      <c r="C2500" s="5" t="s">
        <v>221</v>
      </c>
      <c r="D2500" s="5" t="s">
        <v>213</v>
      </c>
      <c r="E2500" s="4" t="str" cm="1">
        <f t="array" ref="E2500">_xlfn.IFS(
F2500 = "A partir de Abril", "Aguardando Execução na Distribuidora",
A2500 = "CAPACITAÇÃO", "Em execução no Corporativo",
TRUE, "Em Execução na Distribuidora"
)</f>
        <v>Em execução no Corporativo</v>
      </c>
      <c r="F2500" s="4" t="str" cm="1">
        <f t="array" ref="F2500">_xlfn.IFS(
AG2500 &lt;&gt; "", "Jan-Dez/26",
AH2500 &lt;&gt; "", "Fev-Dez/26",
AI2500 &lt;&gt; "", "Mar-Dez/26", AJ2500 &lt;&gt; "", "Abr-Dez/26",
TRUE, "A partir de Junho"
)</f>
        <v>Mar-Dez/26</v>
      </c>
      <c r="G2500" s="4" t="s">
        <v>37</v>
      </c>
      <c r="H2500" s="7" t="s">
        <v>38</v>
      </c>
      <c r="I2500" s="21" t="s">
        <v>182</v>
      </c>
      <c r="J2500" s="8" t="str" cm="1">
        <f t="array" aca="1" ref="J2500" ca="1">_xlfn.LET(
  _xlpm.actual_value_month, INDEX(T2500:AE2500, MATCH(DATE(YEAR(TODAY()), MONTH(TODAY()), 1), $T$1:$AE$1, 0)),
  IF(_xlpm.actual_value_month &lt;&gt; "", _xlpm.actual_value_month &amp; " ações mensais", "")
)</f>
        <v/>
      </c>
      <c r="K2500" s="8" t="str" cm="1">
        <f t="array" ref="K2500">_xlfn.LET(
    _xlpm.sum_month, SUM(T2500:AE2500),
    IF(_xlpm.sum_month = 0, "", _xlpm.sum_month &amp; " taxa de aprovados")
)</f>
        <v>1326 taxa de aprovados</v>
      </c>
      <c r="L2500" s="4" t="s">
        <v>183</v>
      </c>
      <c r="M2500" s="13">
        <v>1</v>
      </c>
      <c r="N2500" s="5" t="s">
        <v>51</v>
      </c>
      <c r="O2500" s="5" t="s">
        <v>43</v>
      </c>
      <c r="P2500" s="10" t="s">
        <v>44</v>
      </c>
      <c r="Q2500" s="10" t="s">
        <v>44</v>
      </c>
      <c r="R2500" s="11" t="s">
        <v>44</v>
      </c>
      <c r="S2500" s="11" t="s">
        <v>44</v>
      </c>
      <c r="T2500" s="22"/>
      <c r="U2500" s="22"/>
      <c r="V2500" s="143">
        <v>663</v>
      </c>
      <c r="W2500" s="143">
        <v>663</v>
      </c>
      <c r="X2500" s="22"/>
      <c r="Y2500" s="22"/>
      <c r="Z2500" s="22"/>
      <c r="AA2500" s="22"/>
      <c r="AB2500" s="22"/>
      <c r="AC2500" s="22"/>
      <c r="AD2500" s="22"/>
      <c r="AE2500" s="22"/>
      <c r="AG2500" s="71"/>
      <c r="AH2500" s="71"/>
      <c r="AI2500" s="82">
        <v>663</v>
      </c>
      <c r="AJ2500" s="82">
        <v>663</v>
      </c>
      <c r="AK2500" s="71"/>
      <c r="AL2500" s="71"/>
      <c r="AM2500" s="71"/>
      <c r="AN2500" s="71"/>
      <c r="AO2500" s="71"/>
      <c r="AP2500" s="71"/>
      <c r="AQ2500" s="71"/>
      <c r="AR2500" s="71"/>
      <c r="AS2500" s="94" cm="1">
        <f t="array" ref="AS2500">IFERROR(INDEX(T2500:AE2500,1,MATCH(2,1/(T2500:AE2500&lt;&gt;""))),"")</f>
        <v>663</v>
      </c>
      <c r="AT2500" s="95" cm="1">
        <f t="array" ref="AT2500">IFERROR(INDEX(AJ2500:AR2500,1,MATCH(2,1/(AJ2500:AR2500&lt;&gt;""))),"")</f>
        <v>663</v>
      </c>
      <c r="AU2500" s="97">
        <f t="shared" si="3124"/>
        <v>663</v>
      </c>
      <c r="AW2500" s="52">
        <f t="shared" si="3136"/>
        <v>0</v>
      </c>
      <c r="AX2500" s="52">
        <f t="shared" si="3137"/>
        <v>0</v>
      </c>
      <c r="AY2500" s="118">
        <f t="shared" si="3138"/>
        <v>1</v>
      </c>
      <c r="AZ2500" s="118">
        <f t="shared" si="3139"/>
        <v>1</v>
      </c>
      <c r="BA2500" s="52"/>
      <c r="BB2500" s="52"/>
      <c r="BC2500" s="52"/>
      <c r="BD2500" s="52"/>
      <c r="BE2500" s="52"/>
      <c r="BF2500" s="52"/>
      <c r="BG2500" s="52"/>
      <c r="BH2500" s="52"/>
      <c r="BI2500" s="65" cm="1">
        <f t="array" ref="BI2500">IFERROR(INDEX(AW2500:BH2500,1,MATCH(2,1/(AW2500:BH2500&lt;&gt;""))),"")</f>
        <v>1</v>
      </c>
      <c r="BJ2500" s="68" cm="1">
        <f t="array" ref="BJ2500">IF(BM2500 = "", "",IFERROR(INDEX(AW2500:BH2500,1,MATCH(2,1/(AW2500:BH2500&lt;&gt;""),1)-1),""))</f>
        <v>1</v>
      </c>
      <c r="BK2500" s="58" cm="1">
        <f t="array" ref="BK2500">IFERROR(INDEX(AW2500:BH2500,1,MATCH(2,1/(AW2500:BH2500&lt;&gt;""))),"")</f>
        <v>1</v>
      </c>
      <c r="BL2500" s="58" cm="1">
        <f t="array" ref="BL2500">IFERROR(INDEX(AW2500:BH2500,1,MATCH(2,1/(AW2500:BH2500&lt;&gt;""),1)-1),"")</f>
        <v>1</v>
      </c>
      <c r="BM2500" s="55" cm="1">
        <f t="array" ref="BM2500">IFERROR(
   INDEX($AW$1:$BH$1,
      _xlfn.AGGREGATE(14, 6, COLUMN($AW$1:$BH$1)/(AW2500:BH2500&lt;&gt;""), 2) - COLUMN($AW$1) + 1
   ),
"")</f>
        <v>46082</v>
      </c>
      <c r="BN2500" s="55" cm="1">
        <f t="array" ref="BN2500">IFERROR(INDEX($AW$1:$BH$1,1,MATCH(2,1/(AW2500:BH2500&lt;&gt;""))),"")</f>
        <v>46113</v>
      </c>
      <c r="BO2500" s="53">
        <f ca="1">IFERROR(_xlfn.XLOOKUP(F2500,Apuração!A:A,Apuração!C:C)/_xlfn.XLOOKUP(F2500,Apuração!A:A,Apuração!B:B),0)</f>
        <v>0.3</v>
      </c>
      <c r="BP2500" s="53">
        <f ca="1">IFERROR(_xlfn.XLOOKUP(F2500,Apuração!A:A,Apuração!D:D)/_xlfn.XLOOKUP(F2500,Apuração!A:A,Apuração!B:B),0)</f>
        <v>0.2</v>
      </c>
      <c r="BQ2500" s="53">
        <f ca="1">IF(BK2500&gt;=BO2500,0,_xlfn.XLOOKUP(F2500,Apuração!A:A,Apuração!B:B)*(BO2500 + (1/_xlfn.XLOOKUP(F2500,Apuração!A:A,Apuração!B:B)) - BK2500))</f>
        <v>0</v>
      </c>
      <c r="BR2500" s="85">
        <f t="shared" ca="1" si="3140"/>
        <v>0</v>
      </c>
      <c r="BS2500" s="53">
        <f ca="1">IFERROR((_xlfn.XLOOKUP(F2500,Apuração!A:A,Apuração!C:C)+1)/_xlfn.XLOOKUP(F2500,Apuração!A:A,Apuração!B:B),0)</f>
        <v>0.4</v>
      </c>
    </row>
    <row r="2501" spans="1:71" ht="25.95" hidden="1" customHeight="1" x14ac:dyDescent="0.3">
      <c r="A2501" s="33" t="s">
        <v>175</v>
      </c>
      <c r="B2501" s="4" t="s">
        <v>184</v>
      </c>
      <c r="C2501" s="5" t="s">
        <v>221</v>
      </c>
      <c r="D2501" s="5" t="s">
        <v>36</v>
      </c>
      <c r="E2501" s="4" t="str" cm="1">
        <f t="array" ref="E2501">_xlfn.IFS(
F2501 = "A partir de Abril", "Aguardando Execução na Distribuidora",
A2501 = "CAPACITAÇÃO", "Em execução no Corporativo",
TRUE, "Em Execução na Distribuidora"
)</f>
        <v>Em execução no Corporativo</v>
      </c>
      <c r="F2501" s="4" t="str" cm="1">
        <f t="array" ref="F2501">_xlfn.IFS(
AG2501 &lt;&gt; "", "Jan-Dez/26",
AH2501 &lt;&gt; "", "Fev-Dez/26",
AI2501 &lt;&gt; "", "Mar-Dez/26", AJ2501 &lt;&gt; "", "Abr-Dez/26",
TRUE, "A partir de Junho"
)</f>
        <v>Mar-Dez/26</v>
      </c>
      <c r="G2501" s="4" t="s">
        <v>37</v>
      </c>
      <c r="H2501" s="7" t="s">
        <v>38</v>
      </c>
      <c r="I2501" s="8" t="s">
        <v>177</v>
      </c>
      <c r="J2501" s="8" t="str" cm="1">
        <f t="array" aca="1" ref="J2501" ca="1">_xlfn.LET(
  _xlpm.actual_value_month, INDEX(T2501:AE2501, MATCH(DATE(YEAR(TODAY()), MONTH(TODAY()), 1), $T$1:$AE$1, 0)),
  IF(_xlpm.actual_value_month &lt;&gt; "", _xlpm.actual_value_month &amp; " certificados mensais", "")
)</f>
        <v>2517 certificados mensais</v>
      </c>
      <c r="K2501" s="8" t="str">
        <f>_xlfn.LET(
    _xlpm.month, AC2501,
    IF(_xlpm.month = 0, "", _xlpm.month &amp; " meta de certificados anuais")
)</f>
        <v>2740 meta de certificados anuais</v>
      </c>
      <c r="L2501" s="9" t="s">
        <v>185</v>
      </c>
      <c r="M2501" s="13">
        <v>1</v>
      </c>
      <c r="N2501" s="5" t="s">
        <v>42</v>
      </c>
      <c r="O2501" s="5" t="s">
        <v>43</v>
      </c>
      <c r="P2501" s="10" t="s">
        <v>146</v>
      </c>
      <c r="Q2501" s="10" t="s">
        <v>44</v>
      </c>
      <c r="R2501" s="11" t="s">
        <v>179</v>
      </c>
      <c r="S2501" s="11" t="s">
        <v>67</v>
      </c>
      <c r="T2501" s="22"/>
      <c r="U2501" s="22"/>
      <c r="V2501" s="22">
        <v>2223</v>
      </c>
      <c r="W2501" s="22">
        <f>2740*0.89</f>
        <v>2438.6</v>
      </c>
      <c r="X2501" s="22">
        <v>2448</v>
      </c>
      <c r="Y2501" s="22">
        <v>2517</v>
      </c>
      <c r="Z2501" s="22">
        <v>2575</v>
      </c>
      <c r="AA2501" s="22">
        <v>2634</v>
      </c>
      <c r="AB2501" s="22">
        <v>2689</v>
      </c>
      <c r="AC2501" s="22">
        <v>2740</v>
      </c>
      <c r="AD2501" s="22"/>
      <c r="AE2501" s="22"/>
      <c r="AG2501" s="71"/>
      <c r="AH2501" s="71"/>
      <c r="AI2501" s="71">
        <v>2379</v>
      </c>
      <c r="AJ2501" s="71">
        <v>2474</v>
      </c>
      <c r="AK2501" s="71"/>
      <c r="AL2501" s="71"/>
      <c r="AM2501" s="71"/>
      <c r="AN2501" s="71"/>
      <c r="AO2501" s="71"/>
      <c r="AP2501" s="71"/>
      <c r="AQ2501" s="71"/>
      <c r="AR2501" s="71"/>
      <c r="AS2501" s="94" cm="1">
        <f t="array" ref="AS2501">IFERROR(INDEX(T2501:AE2501,1,MATCH(2,1/(T2501:AE2501&lt;&gt;""))),"")</f>
        <v>2740</v>
      </c>
      <c r="AT2501" s="95" cm="1">
        <f t="array" ref="AT2501">IFERROR(INDEX(AJ2501:AR2501,1,MATCH(2,1/(AJ2501:AR2501&lt;&gt;""))),"")</f>
        <v>2474</v>
      </c>
      <c r="AU2501" s="97">
        <f t="shared" si="3124"/>
        <v>2474</v>
      </c>
      <c r="AW2501" s="51">
        <f>IFERROR(IF(AG2501="",0,AG2501/$AD2501),0)</f>
        <v>0</v>
      </c>
      <c r="AX2501" s="51">
        <f>IFERROR(IF(AH2501="",0,AH2501/$AD2501),0)</f>
        <v>0</v>
      </c>
      <c r="AY2501" s="51">
        <f>IFERROR(IF(AI2501="",0,AI2501/$AC2501),0)</f>
        <v>0.86824817518248176</v>
      </c>
      <c r="AZ2501" s="51">
        <f>IFERROR(IF(AJ2501="",0,AJ2501/$AC2501),0)</f>
        <v>0.90291970802919708</v>
      </c>
      <c r="BA2501" s="51"/>
      <c r="BB2501" s="51"/>
      <c r="BC2501" s="51"/>
      <c r="BD2501" s="51"/>
      <c r="BE2501" s="51"/>
      <c r="BF2501" s="51"/>
      <c r="BG2501" s="51"/>
      <c r="BH2501" s="51"/>
      <c r="BI2501" s="65" cm="1">
        <f t="array" ref="BI2501">IFERROR(INDEX(AW2501:BH2501,1,MATCH(2,1/(AW2501:BH2501&lt;&gt;""))),"")</f>
        <v>0.90291970802919708</v>
      </c>
      <c r="BJ2501" s="68" cm="1">
        <f t="array" ref="BJ2501">IF(BM2501 = "", "",IFERROR(INDEX(AW2501:BH2501,1,MATCH(2,1/(AW2501:BH2501&lt;&gt;""),1)-1),""))</f>
        <v>0.86824817518248176</v>
      </c>
      <c r="BK2501" s="58" cm="1">
        <f t="array" ref="BK2501">IFERROR(INDEX(AW2501:BH2501,1,MATCH(2,1/(AW2501:BH2501&lt;&gt;""))),"")</f>
        <v>0.90291970802919708</v>
      </c>
      <c r="BL2501" s="58" cm="1">
        <f t="array" ref="BL2501">IFERROR(INDEX(AW2501:BH2501,1,MATCH(2,1/(AW2501:BH2501&lt;&gt;""),1)-1),"")</f>
        <v>0.86824817518248176</v>
      </c>
      <c r="BM2501" s="55" cm="1">
        <f t="array" ref="BM2501">IFERROR(
   INDEX($AW$1:$BH$1,
      _xlfn.AGGREGATE(14, 6, COLUMN($AW$1:$BH$1)/(AW2501:BH2501&lt;&gt;""), 2) - COLUMN($AW$1) + 1
   ),
"")</f>
        <v>46082</v>
      </c>
      <c r="BN2501" s="55" cm="1">
        <f t="array" ref="BN2501">IFERROR(INDEX($AW$1:$BH$1,1,MATCH(2,1/(AW2501:BH2501&lt;&gt;""))),"")</f>
        <v>46113</v>
      </c>
      <c r="BO2501" s="119" cm="1">
        <f t="array" aca="1" ref="BO2501" ca="1">_xlfn.LET(
    _xlpm.mes_num, MONTH(TODAY())-1,
    _xlpm.coluna_ajustada, IF(_xlpm.mes_num=0, 12, _xlpm.mes_num),
    _xlpm.realizado_mes_anterior, INDEX(T2501:AE2501, 1, _xlpm.coluna_ajustada),
    _xlpm.previsto_total, AC2501,
    _xlpm.realizado_mes_anterior / _xlpm.previsto_total
)</f>
        <v>0.89343065693430657</v>
      </c>
      <c r="BP2501" s="53">
        <f ca="1">IFERROR(_xlfn.XLOOKUP(F2501,Apuração!A:A,Apuração!D:D)/_xlfn.XLOOKUP(F2501,Apuração!A:A,Apuração!B:B),0)</f>
        <v>0.2</v>
      </c>
      <c r="BQ2501" s="53">
        <f ca="1">IF(BK2501&gt;=BO2501,0,_xlfn.XLOOKUP(F2501,Apuração!A:A,Apuração!B:B)*(BO2501 + (1/_xlfn.XLOOKUP(F2501,Apuração!A:A,Apuração!B:B)) - BK2501))</f>
        <v>0</v>
      </c>
      <c r="BR2501" s="85">
        <f t="shared" ca="1" si="2957"/>
        <v>0</v>
      </c>
      <c r="BS2501" s="53">
        <f ca="1">IFERROR((_xlfn.XLOOKUP(F2501,Apuração!A:A,Apuração!C:C)+1)/_xlfn.XLOOKUP(F2501,Apuração!A:A,Apuração!B:B),0)</f>
        <v>0.4</v>
      </c>
    </row>
    <row r="2502" spans="1:71" ht="25.95" hidden="1" customHeight="1" x14ac:dyDescent="0.3">
      <c r="A2502" s="33" t="s">
        <v>175</v>
      </c>
      <c r="B2502" s="4" t="s">
        <v>184</v>
      </c>
      <c r="C2502" s="5" t="s">
        <v>221</v>
      </c>
      <c r="D2502" s="5" t="s">
        <v>212</v>
      </c>
      <c r="E2502" s="4" t="str" cm="1">
        <f t="array" ref="E2502">_xlfn.IFS(
F2502 = "A partir de Abril", "Aguardando Execução na Distribuidora",
A2502 = "CAPACITAÇÃO", "Em execução no Corporativo",
TRUE, "Em Execução na Distribuidora"
)</f>
        <v>Em execução no Corporativo</v>
      </c>
      <c r="F2502" s="4" t="str" cm="1">
        <f t="array" ref="F2502">_xlfn.IFS(
AG2502 &lt;&gt; "", "Jan-Dez/26",
AH2502 &lt;&gt; "", "Fev-Dez/26",
AI2502 &lt;&gt; "", "Mar-Dez/26", AJ2502 &lt;&gt; "", "Abr-Dez/26",
TRUE, "A partir de Junho"
)</f>
        <v>Mar-Dez/26</v>
      </c>
      <c r="G2502" s="4" t="s">
        <v>37</v>
      </c>
      <c r="H2502" s="7" t="s">
        <v>38</v>
      </c>
      <c r="I2502" s="8" t="s">
        <v>177</v>
      </c>
      <c r="J2502" s="8" t="str" cm="1">
        <f t="array" aca="1" ref="J2502" ca="1">_xlfn.LET(
  _xlpm.actual_value_month, INDEX(T2502:AE2502, MATCH(DATE(YEAR(TODAY()), MONTH(TODAY()), 1), $T$1:$AE$1, 0)),
  IF(_xlpm.actual_value_month &lt;&gt; "", _xlpm.actual_value_month &amp; " certificados mensais", "")
)</f>
        <v>1426 certificados mensais</v>
      </c>
      <c r="K2502" s="8" t="str">
        <f>_xlfn.LET(
    _xlpm.month, AC2502,
    IF(_xlpm.month = 0, "", _xlpm.month &amp; " meta de certificados anuais")
)</f>
        <v>1559 meta de certificados anuais</v>
      </c>
      <c r="L2502" s="9" t="s">
        <v>185</v>
      </c>
      <c r="M2502" s="13">
        <v>1</v>
      </c>
      <c r="N2502" s="5" t="s">
        <v>42</v>
      </c>
      <c r="O2502" s="5" t="s">
        <v>43</v>
      </c>
      <c r="P2502" s="10" t="s">
        <v>146</v>
      </c>
      <c r="Q2502" s="10" t="s">
        <v>44</v>
      </c>
      <c r="R2502" s="11" t="s">
        <v>179</v>
      </c>
      <c r="S2502" s="11" t="s">
        <v>67</v>
      </c>
      <c r="T2502" s="22"/>
      <c r="U2502" s="22"/>
      <c r="V2502" s="22">
        <v>1310</v>
      </c>
      <c r="W2502" s="22">
        <v>1352</v>
      </c>
      <c r="X2502" s="22">
        <v>1390</v>
      </c>
      <c r="Y2502" s="22">
        <v>1426</v>
      </c>
      <c r="Z2502" s="22">
        <v>1451</v>
      </c>
      <c r="AA2502" s="22">
        <v>1491</v>
      </c>
      <c r="AB2502" s="22">
        <v>1527</v>
      </c>
      <c r="AC2502" s="22">
        <v>1559</v>
      </c>
      <c r="AD2502" s="22">
        <v>1559</v>
      </c>
      <c r="AE2502" s="22"/>
      <c r="AG2502" s="71"/>
      <c r="AH2502" s="71"/>
      <c r="AI2502" s="71">
        <v>1339</v>
      </c>
      <c r="AJ2502" s="71">
        <v>1339</v>
      </c>
      <c r="AK2502" s="71"/>
      <c r="AL2502" s="71"/>
      <c r="AM2502" s="71"/>
      <c r="AN2502" s="71"/>
      <c r="AO2502" s="71"/>
      <c r="AP2502" s="71"/>
      <c r="AQ2502" s="71"/>
      <c r="AR2502" s="71"/>
      <c r="AS2502" s="94" cm="1">
        <f t="array" ref="AS2502">IFERROR(INDEX(T2502:AE2502,1,MATCH(2,1/(T2502:AE2502&lt;&gt;""))),"")</f>
        <v>1559</v>
      </c>
      <c r="AT2502" s="95" cm="1">
        <f t="array" ref="AT2502">IFERROR(INDEX(AJ2502:AR2502,1,MATCH(2,1/(AJ2502:AR2502&lt;&gt;""))),"")</f>
        <v>1339</v>
      </c>
      <c r="AU2502" s="97">
        <f t="shared" si="3124"/>
        <v>1339</v>
      </c>
      <c r="AW2502" s="51">
        <f t="shared" ref="AW2502:AW2503" si="3141">IFERROR(IF(AG2502="",0,AG2502/$AD2502),0)</f>
        <v>0</v>
      </c>
      <c r="AX2502" s="51">
        <f t="shared" ref="AX2502:AX2503" si="3142">IFERROR(IF(AH2502="",0,AH2502/$AD2502),0)</f>
        <v>0</v>
      </c>
      <c r="AY2502" s="51">
        <f t="shared" ref="AY2502:AY2503" si="3143">IFERROR(IF(AI2502="",0,AI2502/$AC2502),0)</f>
        <v>0.85888389993585634</v>
      </c>
      <c r="AZ2502" s="51">
        <f t="shared" ref="AZ2502:AZ2503" si="3144">IFERROR(IF(AJ2502="",0,AJ2502/$AC2502),0)</f>
        <v>0.85888389993585634</v>
      </c>
      <c r="BA2502" s="51"/>
      <c r="BB2502" s="51"/>
      <c r="BC2502" s="51"/>
      <c r="BD2502" s="51"/>
      <c r="BE2502" s="51"/>
      <c r="BF2502" s="51"/>
      <c r="BG2502" s="51"/>
      <c r="BH2502" s="51"/>
      <c r="BI2502" s="65" cm="1">
        <f t="array" ref="BI2502">IFERROR(INDEX(AW2502:BH2502,1,MATCH(2,1/(AW2502:BH2502&lt;&gt;""))),"")</f>
        <v>0.85888389993585634</v>
      </c>
      <c r="BJ2502" s="68" cm="1">
        <f t="array" ref="BJ2502">IF(BM2502 = "", "",IFERROR(INDEX(AW2502:BH2502,1,MATCH(2,1/(AW2502:BH2502&lt;&gt;""),1)-1),""))</f>
        <v>0.85888389993585634</v>
      </c>
      <c r="BK2502" s="58" cm="1">
        <f t="array" ref="BK2502">IFERROR(INDEX(AW2502:BH2502,1,MATCH(2,1/(AW2502:BH2502&lt;&gt;""))),"")</f>
        <v>0.85888389993585634</v>
      </c>
      <c r="BL2502" s="58" cm="1">
        <f t="array" ref="BL2502">IFERROR(INDEX(AW2502:BH2502,1,MATCH(2,1/(AW2502:BH2502&lt;&gt;""),1)-1),"")</f>
        <v>0.85888389993585634</v>
      </c>
      <c r="BM2502" s="55" cm="1">
        <f t="array" ref="BM2502">IFERROR(
   INDEX($AW$1:$BH$1,
      _xlfn.AGGREGATE(14, 6, COLUMN($AW$1:$BH$1)/(AW2502:BH2502&lt;&gt;""), 2) - COLUMN($AW$1) + 1
   ),
"")</f>
        <v>46082</v>
      </c>
      <c r="BN2502" s="55" cm="1">
        <f t="array" ref="BN2502">IFERROR(INDEX($AW$1:$BH$1,1,MATCH(2,1/(AW2502:BH2502&lt;&gt;""))),"")</f>
        <v>46113</v>
      </c>
      <c r="BO2502" s="119" cm="1">
        <f t="array" aca="1" ref="BO2502" ca="1">_xlfn.LET(
    _xlpm.mes_num, MONTH(TODAY())-1,
    _xlpm.coluna_ajustada, IF(_xlpm.mes_num=0, 12, _xlpm.mes_num),
    _xlpm.realizado_mes_anterior, INDEX(T2502:AE2502, 1, _xlpm.coluna_ajustada),
    _xlpm.previsto_total, AC2502,
    _xlpm.realizado_mes_anterior / _xlpm.previsto_total
)</f>
        <v>0.89159717767799873</v>
      </c>
      <c r="BP2502" s="53">
        <f ca="1">IFERROR(_xlfn.XLOOKUP(F2502,Apuração!A:A,Apuração!D:D)/_xlfn.XLOOKUP(F2502,Apuração!A:A,Apuração!B:B),0)</f>
        <v>0.2</v>
      </c>
      <c r="BQ2502" s="53">
        <f ca="1">IF(BK2502&gt;=BO2502,0,_xlfn.XLOOKUP(F2502,Apuração!A:A,Apuração!B:B)*(BO2502 + (1/_xlfn.XLOOKUP(F2502,Apuração!A:A,Apuração!B:B)) - BK2502))</f>
        <v>1.3271327774214237</v>
      </c>
      <c r="BR2502" s="85">
        <f t="shared" ref="BR2502:BR2503" ca="1" si="3145">IF(BQ2502=0,0,BQ2502*Z2502)</f>
        <v>1925.6696600384857</v>
      </c>
      <c r="BS2502" s="53">
        <f ca="1">IFERROR((_xlfn.XLOOKUP(F2502,Apuração!A:A,Apuração!C:C)+1)/_xlfn.XLOOKUP(F2502,Apuração!A:A,Apuração!B:B),0)</f>
        <v>0.4</v>
      </c>
    </row>
    <row r="2503" spans="1:71" ht="25.95" hidden="1" customHeight="1" x14ac:dyDescent="0.3">
      <c r="A2503" s="33" t="s">
        <v>175</v>
      </c>
      <c r="B2503" s="4" t="s">
        <v>184</v>
      </c>
      <c r="C2503" s="5" t="s">
        <v>221</v>
      </c>
      <c r="D2503" s="5" t="s">
        <v>213</v>
      </c>
      <c r="E2503" s="4" t="str" cm="1">
        <f t="array" ref="E2503">_xlfn.IFS(
F2503 = "A partir de Abril", "Aguardando Execução na Distribuidora",
A2503 = "CAPACITAÇÃO", "Em execução no Corporativo",
TRUE, "Em Execução na Distribuidora"
)</f>
        <v>Em execução no Corporativo</v>
      </c>
      <c r="F2503" s="4" t="str" cm="1">
        <f t="array" ref="F2503">_xlfn.IFS(
AG2503 &lt;&gt; "", "Jan-Dez/26",
AH2503 &lt;&gt; "", "Fev-Dez/26",
AI2503 &lt;&gt; "", "Mar-Dez/26", AJ2503 &lt;&gt; "", "Abr-Dez/26",
TRUE, "A partir de Junho"
)</f>
        <v>Mar-Dez/26</v>
      </c>
      <c r="G2503" s="4" t="s">
        <v>37</v>
      </c>
      <c r="H2503" s="7" t="s">
        <v>38</v>
      </c>
      <c r="I2503" s="8" t="s">
        <v>177</v>
      </c>
      <c r="J2503" s="8" t="str" cm="1">
        <f t="array" aca="1" ref="J2503" ca="1">_xlfn.LET(
  _xlpm.actual_value_month, INDEX(T2503:AE2503, MATCH(DATE(YEAR(TODAY()), MONTH(TODAY()), 1), $T$1:$AE$1, 0)),
  IF(_xlpm.actual_value_month &lt;&gt; "", _xlpm.actual_value_month &amp; " certificados mensais", "")
)</f>
        <v>1089 certificados mensais</v>
      </c>
      <c r="K2503" s="8" t="str">
        <f>_xlfn.LET(
    _xlpm.month, AC2503,
    IF(_xlpm.month = 0, "", _xlpm.month &amp; " meta de certificados anuais")
)</f>
        <v>1178 meta de certificados anuais</v>
      </c>
      <c r="L2503" s="9" t="s">
        <v>185</v>
      </c>
      <c r="M2503" s="13">
        <v>1</v>
      </c>
      <c r="N2503" s="5" t="s">
        <v>42</v>
      </c>
      <c r="O2503" s="5" t="s">
        <v>43</v>
      </c>
      <c r="P2503" s="10" t="s">
        <v>146</v>
      </c>
      <c r="Q2503" s="10" t="s">
        <v>44</v>
      </c>
      <c r="R2503" s="11" t="s">
        <v>179</v>
      </c>
      <c r="S2503" s="11" t="s">
        <v>67</v>
      </c>
      <c r="T2503" s="22"/>
      <c r="U2503" s="22"/>
      <c r="V2503" s="22">
        <v>1033</v>
      </c>
      <c r="W2503" s="22">
        <v>1037</v>
      </c>
      <c r="X2503" s="22">
        <v>1056</v>
      </c>
      <c r="Y2503" s="22">
        <v>1089</v>
      </c>
      <c r="Z2503" s="22">
        <v>1121</v>
      </c>
      <c r="AA2503" s="22">
        <v>1140</v>
      </c>
      <c r="AB2503" s="22">
        <v>1159</v>
      </c>
      <c r="AC2503" s="22">
        <v>1178</v>
      </c>
      <c r="AD2503" s="22">
        <v>1178</v>
      </c>
      <c r="AE2503" s="22"/>
      <c r="AG2503" s="71"/>
      <c r="AH2503" s="71"/>
      <c r="AI2503" s="71">
        <v>1135</v>
      </c>
      <c r="AJ2503" s="71">
        <v>1135</v>
      </c>
      <c r="AK2503" s="71"/>
      <c r="AL2503" s="71"/>
      <c r="AM2503" s="71"/>
      <c r="AN2503" s="71"/>
      <c r="AO2503" s="71"/>
      <c r="AP2503" s="71"/>
      <c r="AQ2503" s="71"/>
      <c r="AR2503" s="71"/>
      <c r="AS2503" s="94" cm="1">
        <f t="array" ref="AS2503">IFERROR(INDEX(T2503:AE2503,1,MATCH(2,1/(T2503:AE2503&lt;&gt;""))),"")</f>
        <v>1178</v>
      </c>
      <c r="AT2503" s="95" cm="1">
        <f t="array" ref="AT2503">IFERROR(INDEX(AJ2503:AR2503,1,MATCH(2,1/(AJ2503:AR2503&lt;&gt;""))),"")</f>
        <v>1135</v>
      </c>
      <c r="AU2503" s="97">
        <f t="shared" si="3124"/>
        <v>1135</v>
      </c>
      <c r="AW2503" s="51">
        <f t="shared" si="3141"/>
        <v>0</v>
      </c>
      <c r="AX2503" s="51">
        <f t="shared" si="3142"/>
        <v>0</v>
      </c>
      <c r="AY2503" s="51">
        <f t="shared" si="3143"/>
        <v>0.96349745331069614</v>
      </c>
      <c r="AZ2503" s="51">
        <f t="shared" si="3144"/>
        <v>0.96349745331069614</v>
      </c>
      <c r="BA2503" s="51"/>
      <c r="BB2503" s="51"/>
      <c r="BC2503" s="51"/>
      <c r="BD2503" s="51"/>
      <c r="BE2503" s="51"/>
      <c r="BF2503" s="51"/>
      <c r="BG2503" s="51"/>
      <c r="BH2503" s="51"/>
      <c r="BI2503" s="65" cm="1">
        <f t="array" ref="BI2503">IFERROR(INDEX(AW2503:BH2503,1,MATCH(2,1/(AW2503:BH2503&lt;&gt;""))),"")</f>
        <v>0.96349745331069614</v>
      </c>
      <c r="BJ2503" s="68" cm="1">
        <f t="array" ref="BJ2503">IF(BM2503 = "", "",IFERROR(INDEX(AW2503:BH2503,1,MATCH(2,1/(AW2503:BH2503&lt;&gt;""),1)-1),""))</f>
        <v>0.96349745331069614</v>
      </c>
      <c r="BK2503" s="58" cm="1">
        <f t="array" ref="BK2503">IFERROR(INDEX(AW2503:BH2503,1,MATCH(2,1/(AW2503:BH2503&lt;&gt;""))),"")</f>
        <v>0.96349745331069614</v>
      </c>
      <c r="BL2503" s="58" cm="1">
        <f t="array" ref="BL2503">IFERROR(INDEX(AW2503:BH2503,1,MATCH(2,1/(AW2503:BH2503&lt;&gt;""),1)-1),"")</f>
        <v>0.96349745331069614</v>
      </c>
      <c r="BM2503" s="55" cm="1">
        <f t="array" ref="BM2503">IFERROR(
   INDEX($AW$1:$BH$1,
      _xlfn.AGGREGATE(14, 6, COLUMN($AW$1:$BH$1)/(AW2503:BH2503&lt;&gt;""), 2) - COLUMN($AW$1) + 1
   ),
"")</f>
        <v>46082</v>
      </c>
      <c r="BN2503" s="55" cm="1">
        <f t="array" ref="BN2503">IFERROR(INDEX($AW$1:$BH$1,1,MATCH(2,1/(AW2503:BH2503&lt;&gt;""))),"")</f>
        <v>46113</v>
      </c>
      <c r="BO2503" s="119" cm="1">
        <f t="array" aca="1" ref="BO2503" ca="1">_xlfn.LET(
    _xlpm.mes_num, MONTH(TODAY())-1,
    _xlpm.coluna_ajustada, IF(_xlpm.mes_num=0, 12, _xlpm.mes_num),
    _xlpm.realizado_mes_anterior, INDEX(T2503:AE2503, 1, _xlpm.coluna_ajustada),
    _xlpm.previsto_total, AC2503,
    _xlpm.realizado_mes_anterior / _xlpm.previsto_total
)</f>
        <v>0.89643463497453313</v>
      </c>
      <c r="BP2503" s="53">
        <f ca="1">IFERROR(_xlfn.XLOOKUP(F2503,Apuração!A:A,Apuração!D:D)/_xlfn.XLOOKUP(F2503,Apuração!A:A,Apuração!B:B),0)</f>
        <v>0.2</v>
      </c>
      <c r="BQ2503" s="53">
        <f ca="1">IF(BK2503&gt;=BO2503,0,_xlfn.XLOOKUP(F2503,Apuração!A:A,Apuração!B:B)*(BO2503 + (1/_xlfn.XLOOKUP(F2503,Apuração!A:A,Apuração!B:B)) - BK2503))</f>
        <v>0</v>
      </c>
      <c r="BR2503" s="85">
        <f t="shared" ca="1" si="3145"/>
        <v>0</v>
      </c>
      <c r="BS2503" s="53">
        <f ca="1">IFERROR((_xlfn.XLOOKUP(F2503,Apuração!A:A,Apuração!C:C)+1)/_xlfn.XLOOKUP(F2503,Apuração!A:A,Apuração!B:B),0)</f>
        <v>0.4</v>
      </c>
    </row>
    <row r="2504" spans="1:71" ht="25.95" hidden="1" customHeight="1" x14ac:dyDescent="0.3">
      <c r="A2504" s="44" t="s">
        <v>175</v>
      </c>
      <c r="B2504" s="4" t="s">
        <v>184</v>
      </c>
      <c r="C2504" s="5" t="s">
        <v>221</v>
      </c>
      <c r="D2504" s="5" t="s">
        <v>36</v>
      </c>
      <c r="E2504" s="4" t="str" cm="1">
        <f t="array" ref="E2504">_xlfn.IFS(
F2504 = "A partir de Abril", "Aguardando Execução na Distribuidora",
A2504 = "CAPACITAÇÃO", "Em execução no Corporativo",
TRUE, "Em Execução na Distribuidora"
)</f>
        <v>Em execução no Corporativo</v>
      </c>
      <c r="F2504" s="4" t="str" cm="1">
        <f t="array" ref="F2504">_xlfn.IFS(
AG2504 &lt;&gt; "", "Jan-Dez/26",
AH2504 &lt;&gt; "", "Fev-Dez/26",
AI2504 &lt;&gt; "", "Mar-Dez/26", AJ2504 &lt;&gt; "", "Abr-Dez/26",
TRUE, "A partir de Junho"
)</f>
        <v>Mar-Dez/26</v>
      </c>
      <c r="G2504" s="4" t="s">
        <v>37</v>
      </c>
      <c r="H2504" s="7" t="s">
        <v>38</v>
      </c>
      <c r="I2504" s="21" t="s">
        <v>180</v>
      </c>
      <c r="J2504" s="8" t="str" cm="1">
        <f t="array" aca="1" ref="J2504" ca="1">_xlfn.LET(
  _xlpm.actual_value_month, INDEX(T2504:AE2504, MATCH(DATE(YEAR(TODAY()), MONTH(TODAY()), 1), $T$1:$AE$1, 0)),
  IF(_xlpm.actual_value_month &lt;&gt; "", _xlpm.actual_value_month &amp; " ações mensais", "")
)</f>
        <v/>
      </c>
      <c r="K2504" s="8" t="str" cm="1">
        <f t="array" ref="K2504">_xlfn.LET(
    _xlpm.sum_month, SUM(T2504:AE2504),
    IF(_xlpm.sum_month = 0, "", _xlpm.sum_month &amp; " colaboradores treinados.")
)</f>
        <v/>
      </c>
      <c r="L2504" s="9" t="s">
        <v>220</v>
      </c>
      <c r="M2504" s="13">
        <v>1</v>
      </c>
      <c r="N2504" s="5" t="s">
        <v>51</v>
      </c>
      <c r="O2504" s="5" t="s">
        <v>52</v>
      </c>
      <c r="P2504" s="10" t="s">
        <v>146</v>
      </c>
      <c r="Q2504" s="10" t="s">
        <v>44</v>
      </c>
      <c r="R2504" s="11" t="s">
        <v>44</v>
      </c>
      <c r="S2504" s="11" t="s">
        <v>44</v>
      </c>
      <c r="T2504" s="22"/>
      <c r="U2504" s="22"/>
      <c r="V2504" s="22"/>
      <c r="W2504" s="22"/>
      <c r="X2504" s="22"/>
      <c r="Y2504" s="22"/>
      <c r="Z2504" s="22"/>
      <c r="AA2504" s="22"/>
      <c r="AB2504" s="22"/>
      <c r="AC2504" s="22"/>
      <c r="AD2504" s="22"/>
      <c r="AE2504" s="22"/>
      <c r="AG2504" s="71"/>
      <c r="AH2504" s="71"/>
      <c r="AI2504" s="71">
        <v>2379</v>
      </c>
      <c r="AJ2504" s="71">
        <v>2474</v>
      </c>
      <c r="AK2504" s="71"/>
      <c r="AL2504" s="71"/>
      <c r="AM2504" s="71"/>
      <c r="AN2504" s="71"/>
      <c r="AO2504" s="71"/>
      <c r="AP2504" s="71"/>
      <c r="AQ2504" s="71"/>
      <c r="AR2504" s="71"/>
      <c r="AS2504" s="94" t="str" cm="1">
        <f t="array" ref="AS2504">IFERROR(INDEX(T2504:AE2504,1,MATCH(2,1/(T2504:AE2504&lt;&gt;""))),"")</f>
        <v/>
      </c>
      <c r="AT2504" s="95" cm="1">
        <f t="array" ref="AT2504">IFERROR(INDEX(AJ2504:AR2504,1,MATCH(2,1/(AJ2504:AR2504&lt;&gt;""))),"")</f>
        <v>2474</v>
      </c>
      <c r="AU2504" s="97">
        <f t="shared" si="3124"/>
        <v>2474</v>
      </c>
      <c r="AW2504" s="83">
        <f>AG2504</f>
        <v>0</v>
      </c>
      <c r="AX2504" s="52">
        <f>AH2504</f>
        <v>0</v>
      </c>
      <c r="AY2504" s="52">
        <f>AI2504</f>
        <v>2379</v>
      </c>
      <c r="AZ2504" s="52">
        <f>AJ2504</f>
        <v>2474</v>
      </c>
      <c r="BA2504" s="52"/>
      <c r="BB2504" s="52"/>
      <c r="BC2504" s="52"/>
      <c r="BD2504" s="52"/>
      <c r="BE2504" s="52"/>
      <c r="BF2504" s="52"/>
      <c r="BG2504" s="52"/>
      <c r="BH2504" s="52"/>
      <c r="BI2504" s="68" cm="1">
        <f t="array" ref="BI2504">IFERROR(INDEX(AW2504:BH2504,1,MATCH(2,1/(AW2504:BH2504&lt;&gt;""))),"")</f>
        <v>2474</v>
      </c>
      <c r="BJ2504" s="68" cm="1">
        <f t="array" ref="BJ2504">IF(BM2504 = "", "",IFERROR(INDEX(AW2504:BH2504,1,MATCH(2,1/(AW2504:BH2504&lt;&gt;""),1)-1),""))</f>
        <v>2379</v>
      </c>
      <c r="BK2504" s="59">
        <f>SUM(AW2504:BH2504)</f>
        <v>4853</v>
      </c>
      <c r="BL2504" s="59" cm="1">
        <f t="array" ref="BL2504">IFERROR(SUM(AW2504:INDEX(AW2504:BH2504, MATCH(2, 1/(AW2504:BH2504&lt;&gt;""), 1) - 1))/_xlfn.XLOOKUP(F2504,Apuração!A:A,Apuração!B:B),0)</f>
        <v>237.9</v>
      </c>
      <c r="BM2504" s="55" cm="1">
        <f t="array" ref="BM2504">IFERROR(
   INDEX($AW$1:$BH$1,
      _xlfn.AGGREGATE(14, 6, COLUMN($AW$1:$BH$1)/(AW2504:BH2504&lt;&gt;""), 2) - COLUMN($AW$1) + 1
   ),
"")</f>
        <v>46082</v>
      </c>
      <c r="BN2504" s="55" cm="1">
        <f t="array" ref="BN2504">IFERROR(INDEX($AW$1:$BH$1,1,MATCH(2,1/(AW2504:BH2504&lt;&gt;""))),"")</f>
        <v>46113</v>
      </c>
      <c r="BO2504" s="53">
        <f ca="1">IFERROR(_xlfn.XLOOKUP(F2504,Apuração!A:A,Apuração!C:C)/_xlfn.XLOOKUP(F2504,Apuração!A:A,Apuração!B:B),0)</f>
        <v>0.3</v>
      </c>
      <c r="BP2504" s="53">
        <f ca="1">IFERROR(_xlfn.XLOOKUP(F2504,Apuração!A:A,Apuração!D:D)/_xlfn.XLOOKUP(F2504,Apuração!A:A,Apuração!B:B),0)</f>
        <v>0.2</v>
      </c>
      <c r="BQ2504" s="53">
        <f ca="1">IF(BK2504&gt;=BO2504,0,_xlfn.XLOOKUP(F2504,Apuração!A:A,Apuração!B:B)*(BO2504 + (1/_xlfn.XLOOKUP(F2504,Apuração!A:A,Apuração!B:B)) - BK2504))</f>
        <v>0</v>
      </c>
      <c r="BR2504" s="85">
        <f t="shared" ca="1" si="2957"/>
        <v>0</v>
      </c>
      <c r="BS2504" s="53">
        <f ca="1">IFERROR((_xlfn.XLOOKUP(F2504,Apuração!A:A,Apuração!C:C)+1)/_xlfn.XLOOKUP(F2504,Apuração!A:A,Apuração!B:B),0)</f>
        <v>0.4</v>
      </c>
    </row>
    <row r="2505" spans="1:71" ht="25.95" hidden="1" customHeight="1" x14ac:dyDescent="0.3">
      <c r="A2505" s="44" t="s">
        <v>175</v>
      </c>
      <c r="B2505" s="4" t="s">
        <v>184</v>
      </c>
      <c r="C2505" s="5" t="s">
        <v>221</v>
      </c>
      <c r="D2505" s="5" t="s">
        <v>212</v>
      </c>
      <c r="E2505" s="4" t="str" cm="1">
        <f t="array" ref="E2505">_xlfn.IFS(
F2505 = "A partir de Abril", "Aguardando Execução na Distribuidora",
A2505 = "CAPACITAÇÃO", "Em execução no Corporativo",
TRUE, "Em Execução na Distribuidora"
)</f>
        <v>Em execução no Corporativo</v>
      </c>
      <c r="F2505" s="4" t="str" cm="1">
        <f t="array" ref="F2505">_xlfn.IFS(
AG2505 &lt;&gt; "", "Jan-Dez/26",
AH2505 &lt;&gt; "", "Fev-Dez/26",
AI2505 &lt;&gt; "", "Mar-Dez/26", AJ2505 &lt;&gt; "", "Abr-Dez/26",
TRUE, "A partir de Junho"
)</f>
        <v>Mar-Dez/26</v>
      </c>
      <c r="G2505" s="4" t="s">
        <v>37</v>
      </c>
      <c r="H2505" s="7" t="s">
        <v>38</v>
      </c>
      <c r="I2505" s="21" t="s">
        <v>180</v>
      </c>
      <c r="J2505" s="8" t="str" cm="1">
        <f t="array" aca="1" ref="J2505" ca="1">_xlfn.LET(
  _xlpm.actual_value_month, INDEX(T2505:AE2505, MATCH(DATE(YEAR(TODAY()), MONTH(TODAY()), 1), $T$1:$AE$1, 0)),
  IF(_xlpm.actual_value_month &lt;&gt; "", _xlpm.actual_value_month &amp; " ações mensais", "")
)</f>
        <v/>
      </c>
      <c r="K2505" s="8" t="str" cm="1">
        <f t="array" ref="K2505">_xlfn.LET(
    _xlpm.sum_month, SUM(T2505:AE2505),
    IF(_xlpm.sum_month = 0, "", _xlpm.sum_month &amp; " colaboradores treinados.")
)</f>
        <v/>
      </c>
      <c r="L2505" s="9" t="s">
        <v>220</v>
      </c>
      <c r="M2505" s="13">
        <v>1</v>
      </c>
      <c r="N2505" s="5" t="s">
        <v>51</v>
      </c>
      <c r="O2505" s="5" t="s">
        <v>52</v>
      </c>
      <c r="P2505" s="10" t="s">
        <v>146</v>
      </c>
      <c r="Q2505" s="10" t="s">
        <v>44</v>
      </c>
      <c r="R2505" s="11" t="s">
        <v>44</v>
      </c>
      <c r="S2505" s="11" t="s">
        <v>44</v>
      </c>
      <c r="T2505" s="22"/>
      <c r="U2505" s="22"/>
      <c r="V2505" s="22"/>
      <c r="W2505" s="22"/>
      <c r="X2505" s="22"/>
      <c r="Y2505" s="22"/>
      <c r="Z2505" s="22"/>
      <c r="AA2505" s="22"/>
      <c r="AB2505" s="22"/>
      <c r="AC2505" s="22"/>
      <c r="AD2505" s="22"/>
      <c r="AE2505" s="22"/>
      <c r="AG2505" s="71"/>
      <c r="AH2505" s="71"/>
      <c r="AI2505" s="71">
        <v>1339</v>
      </c>
      <c r="AJ2505" s="71">
        <v>1339</v>
      </c>
      <c r="AK2505" s="71"/>
      <c r="AL2505" s="71"/>
      <c r="AM2505" s="71"/>
      <c r="AN2505" s="71"/>
      <c r="AO2505" s="71"/>
      <c r="AP2505" s="71"/>
      <c r="AQ2505" s="71"/>
      <c r="AR2505" s="71"/>
      <c r="AS2505" s="94" t="str" cm="1">
        <f t="array" ref="AS2505">IFERROR(INDEX(T2505:AE2505,1,MATCH(2,1/(T2505:AE2505&lt;&gt;""))),"")</f>
        <v/>
      </c>
      <c r="AT2505" s="95" cm="1">
        <f t="array" ref="AT2505">IFERROR(INDEX(AJ2505:AR2505,1,MATCH(2,1/(AJ2505:AR2505&lt;&gt;""))),"")</f>
        <v>1339</v>
      </c>
      <c r="AU2505" s="97">
        <f t="shared" si="3124"/>
        <v>1339</v>
      </c>
      <c r="AW2505" s="83">
        <f t="shared" ref="AW2505:AW2506" si="3146">AG2505</f>
        <v>0</v>
      </c>
      <c r="AX2505" s="52">
        <f t="shared" ref="AX2505:AX2506" si="3147">AH2505</f>
        <v>0</v>
      </c>
      <c r="AY2505" s="52">
        <f t="shared" ref="AY2505:AY2506" si="3148">AI2505</f>
        <v>1339</v>
      </c>
      <c r="AZ2505" s="52">
        <f t="shared" ref="AZ2505:AZ2506" si="3149">AJ2505</f>
        <v>1339</v>
      </c>
      <c r="BA2505" s="52"/>
      <c r="BB2505" s="52"/>
      <c r="BC2505" s="52"/>
      <c r="BD2505" s="52"/>
      <c r="BE2505" s="52"/>
      <c r="BF2505" s="52"/>
      <c r="BG2505" s="52"/>
      <c r="BH2505" s="52"/>
      <c r="BI2505" s="68" cm="1">
        <f t="array" ref="BI2505">IFERROR(INDEX(AW2505:BH2505,1,MATCH(2,1/(AW2505:BH2505&lt;&gt;""))),"")</f>
        <v>1339</v>
      </c>
      <c r="BJ2505" s="68" cm="1">
        <f t="array" ref="BJ2505">IF(BM2505 = "", "",IFERROR(INDEX(AW2505:BH2505,1,MATCH(2,1/(AW2505:BH2505&lt;&gt;""),1)-1),""))</f>
        <v>1339</v>
      </c>
      <c r="BK2505" s="59">
        <f t="shared" ref="BK2505:BK2506" si="3150">SUM(AW2505:BH2505)</f>
        <v>2678</v>
      </c>
      <c r="BL2505" s="59" cm="1">
        <f t="array" ref="BL2505">IFERROR(SUM(AW2505:INDEX(AW2505:BH2505, MATCH(2, 1/(AW2505:BH2505&lt;&gt;""), 1) - 1))/_xlfn.XLOOKUP(F2505,Apuração!A:A,Apuração!B:B),0)</f>
        <v>133.9</v>
      </c>
      <c r="BM2505" s="55" cm="1">
        <f t="array" ref="BM2505">IFERROR(
   INDEX($AW$1:$BH$1,
      _xlfn.AGGREGATE(14, 6, COLUMN($AW$1:$BH$1)/(AW2505:BH2505&lt;&gt;""), 2) - COLUMN($AW$1) + 1
   ),
"")</f>
        <v>46082</v>
      </c>
      <c r="BN2505" s="55" cm="1">
        <f t="array" ref="BN2505">IFERROR(INDEX($AW$1:$BH$1,1,MATCH(2,1/(AW2505:BH2505&lt;&gt;""))),"")</f>
        <v>46113</v>
      </c>
      <c r="BO2505" s="53">
        <f ca="1">IFERROR(_xlfn.XLOOKUP(F2505,Apuração!A:A,Apuração!C:C)/_xlfn.XLOOKUP(F2505,Apuração!A:A,Apuração!B:B),0)</f>
        <v>0.3</v>
      </c>
      <c r="BP2505" s="53">
        <f ca="1">IFERROR(_xlfn.XLOOKUP(F2505,Apuração!A:A,Apuração!D:D)/_xlfn.XLOOKUP(F2505,Apuração!A:A,Apuração!B:B),0)</f>
        <v>0.2</v>
      </c>
      <c r="BQ2505" s="53">
        <f ca="1">IF(BK2505&gt;=BO2505,0,_xlfn.XLOOKUP(F2505,Apuração!A:A,Apuração!B:B)*(BO2505 + (1/_xlfn.XLOOKUP(F2505,Apuração!A:A,Apuração!B:B)) - BK2505))</f>
        <v>0</v>
      </c>
      <c r="BR2505" s="85">
        <f t="shared" ref="BR2505:BR2506" ca="1" si="3151">IF(BQ2505=0,0,BQ2505*Z2505)</f>
        <v>0</v>
      </c>
      <c r="BS2505" s="53">
        <f ca="1">IFERROR((_xlfn.XLOOKUP(F2505,Apuração!A:A,Apuração!C:C)+1)/_xlfn.XLOOKUP(F2505,Apuração!A:A,Apuração!B:B),0)</f>
        <v>0.4</v>
      </c>
    </row>
    <row r="2506" spans="1:71" ht="25.95" hidden="1" customHeight="1" x14ac:dyDescent="0.3">
      <c r="A2506" s="44" t="s">
        <v>175</v>
      </c>
      <c r="B2506" s="4" t="s">
        <v>184</v>
      </c>
      <c r="C2506" s="5" t="s">
        <v>221</v>
      </c>
      <c r="D2506" s="5" t="s">
        <v>213</v>
      </c>
      <c r="E2506" s="4" t="str" cm="1">
        <f t="array" ref="E2506">_xlfn.IFS(
F2506 = "A partir de Abril", "Aguardando Execução na Distribuidora",
A2506 = "CAPACITAÇÃO", "Em execução no Corporativo",
TRUE, "Em Execução na Distribuidora"
)</f>
        <v>Em execução no Corporativo</v>
      </c>
      <c r="F2506" s="4" t="str" cm="1">
        <f t="array" ref="F2506">_xlfn.IFS(
AG2506 &lt;&gt; "", "Jan-Dez/26",
AH2506 &lt;&gt; "", "Fev-Dez/26",
AI2506 &lt;&gt; "", "Mar-Dez/26", AJ2506 &lt;&gt; "", "Abr-Dez/26",
TRUE, "A partir de Junho"
)</f>
        <v>Mar-Dez/26</v>
      </c>
      <c r="G2506" s="4" t="s">
        <v>37</v>
      </c>
      <c r="H2506" s="7" t="s">
        <v>38</v>
      </c>
      <c r="I2506" s="21" t="s">
        <v>180</v>
      </c>
      <c r="J2506" s="8" t="str" cm="1">
        <f t="array" aca="1" ref="J2506" ca="1">_xlfn.LET(
  _xlpm.actual_value_month, INDEX(T2506:AE2506, MATCH(DATE(YEAR(TODAY()), MONTH(TODAY()), 1), $T$1:$AE$1, 0)),
  IF(_xlpm.actual_value_month &lt;&gt; "", _xlpm.actual_value_month &amp; " ações mensais", "")
)</f>
        <v/>
      </c>
      <c r="K2506" s="8" t="str" cm="1">
        <f t="array" ref="K2506">_xlfn.LET(
    _xlpm.sum_month, SUM(T2506:AE2506),
    IF(_xlpm.sum_month = 0, "", _xlpm.sum_month &amp; " colaboradores treinados.")
)</f>
        <v/>
      </c>
      <c r="L2506" s="9" t="s">
        <v>220</v>
      </c>
      <c r="M2506" s="13">
        <v>1</v>
      </c>
      <c r="N2506" s="5" t="s">
        <v>51</v>
      </c>
      <c r="O2506" s="5" t="s">
        <v>52</v>
      </c>
      <c r="P2506" s="10" t="s">
        <v>146</v>
      </c>
      <c r="Q2506" s="10" t="s">
        <v>44</v>
      </c>
      <c r="R2506" s="11" t="s">
        <v>44</v>
      </c>
      <c r="S2506" s="11" t="s">
        <v>44</v>
      </c>
      <c r="T2506" s="22"/>
      <c r="U2506" s="22"/>
      <c r="V2506" s="22"/>
      <c r="W2506" s="22"/>
      <c r="X2506" s="22"/>
      <c r="Y2506" s="22"/>
      <c r="Z2506" s="22"/>
      <c r="AA2506" s="22"/>
      <c r="AB2506" s="22"/>
      <c r="AC2506" s="22"/>
      <c r="AD2506" s="22"/>
      <c r="AE2506" s="22"/>
      <c r="AG2506" s="71"/>
      <c r="AH2506" s="71"/>
      <c r="AI2506" s="71">
        <v>1135</v>
      </c>
      <c r="AJ2506" s="71">
        <v>1135</v>
      </c>
      <c r="AK2506" s="71"/>
      <c r="AL2506" s="71"/>
      <c r="AM2506" s="71"/>
      <c r="AN2506" s="71"/>
      <c r="AO2506" s="71"/>
      <c r="AP2506" s="71"/>
      <c r="AQ2506" s="71"/>
      <c r="AR2506" s="71"/>
      <c r="AS2506" s="94" t="str" cm="1">
        <f t="array" ref="AS2506">IFERROR(INDEX(T2506:AE2506,1,MATCH(2,1/(T2506:AE2506&lt;&gt;""))),"")</f>
        <v/>
      </c>
      <c r="AT2506" s="95" cm="1">
        <f t="array" ref="AT2506">IFERROR(INDEX(AJ2506:AR2506,1,MATCH(2,1/(AJ2506:AR2506&lt;&gt;""))),"")</f>
        <v>1135</v>
      </c>
      <c r="AU2506" s="97">
        <f t="shared" si="3124"/>
        <v>1135</v>
      </c>
      <c r="AW2506" s="83">
        <f t="shared" si="3146"/>
        <v>0</v>
      </c>
      <c r="AX2506" s="52">
        <f t="shared" si="3147"/>
        <v>0</v>
      </c>
      <c r="AY2506" s="52">
        <f t="shared" si="3148"/>
        <v>1135</v>
      </c>
      <c r="AZ2506" s="52">
        <f t="shared" si="3149"/>
        <v>1135</v>
      </c>
      <c r="BA2506" s="52"/>
      <c r="BB2506" s="52"/>
      <c r="BC2506" s="52"/>
      <c r="BD2506" s="52"/>
      <c r="BE2506" s="52"/>
      <c r="BF2506" s="52"/>
      <c r="BG2506" s="52"/>
      <c r="BH2506" s="52"/>
      <c r="BI2506" s="68" cm="1">
        <f t="array" ref="BI2506">IFERROR(INDEX(AW2506:BH2506,1,MATCH(2,1/(AW2506:BH2506&lt;&gt;""))),"")</f>
        <v>1135</v>
      </c>
      <c r="BJ2506" s="68" cm="1">
        <f t="array" ref="BJ2506">IF(BM2506 = "", "",IFERROR(INDEX(AW2506:BH2506,1,MATCH(2,1/(AW2506:BH2506&lt;&gt;""),1)-1),""))</f>
        <v>1135</v>
      </c>
      <c r="BK2506" s="59">
        <f t="shared" si="3150"/>
        <v>2270</v>
      </c>
      <c r="BL2506" s="59" cm="1">
        <f t="array" ref="BL2506">IFERROR(SUM(AW2506:INDEX(AW2506:BH2506, MATCH(2, 1/(AW2506:BH2506&lt;&gt;""), 1) - 1))/_xlfn.XLOOKUP(F2506,Apuração!A:A,Apuração!B:B),0)</f>
        <v>113.5</v>
      </c>
      <c r="BM2506" s="55" cm="1">
        <f t="array" ref="BM2506">IFERROR(
   INDEX($AW$1:$BH$1,
      _xlfn.AGGREGATE(14, 6, COLUMN($AW$1:$BH$1)/(AW2506:BH2506&lt;&gt;""), 2) - COLUMN($AW$1) + 1
   ),
"")</f>
        <v>46082</v>
      </c>
      <c r="BN2506" s="55" cm="1">
        <f t="array" ref="BN2506">IFERROR(INDEX($AW$1:$BH$1,1,MATCH(2,1/(AW2506:BH2506&lt;&gt;""))),"")</f>
        <v>46113</v>
      </c>
      <c r="BO2506" s="53">
        <f ca="1">IFERROR(_xlfn.XLOOKUP(F2506,Apuração!A:A,Apuração!C:C)/_xlfn.XLOOKUP(F2506,Apuração!A:A,Apuração!B:B),0)</f>
        <v>0.3</v>
      </c>
      <c r="BP2506" s="53">
        <f ca="1">IFERROR(_xlfn.XLOOKUP(F2506,Apuração!A:A,Apuração!D:D)/_xlfn.XLOOKUP(F2506,Apuração!A:A,Apuração!B:B),0)</f>
        <v>0.2</v>
      </c>
      <c r="BQ2506" s="53">
        <f ca="1">IF(BK2506&gt;=BO2506,0,_xlfn.XLOOKUP(F2506,Apuração!A:A,Apuração!B:B)*(BO2506 + (1/_xlfn.XLOOKUP(F2506,Apuração!A:A,Apuração!B:B)) - BK2506))</f>
        <v>0</v>
      </c>
      <c r="BR2506" s="85">
        <f t="shared" ca="1" si="3151"/>
        <v>0</v>
      </c>
      <c r="BS2506" s="53">
        <f ca="1">IFERROR((_xlfn.XLOOKUP(F2506,Apuração!A:A,Apuração!C:C)+1)/_xlfn.XLOOKUP(F2506,Apuração!A:A,Apuração!B:B),0)</f>
        <v>0.4</v>
      </c>
    </row>
    <row r="2507" spans="1:71" ht="25.95" hidden="1" customHeight="1" x14ac:dyDescent="0.3">
      <c r="A2507" s="44" t="s">
        <v>175</v>
      </c>
      <c r="B2507" s="4" t="s">
        <v>184</v>
      </c>
      <c r="C2507" s="5" t="s">
        <v>221</v>
      </c>
      <c r="D2507" s="5" t="s">
        <v>36</v>
      </c>
      <c r="E2507" s="4" t="str" cm="1">
        <f t="array" ref="E2507">_xlfn.IFS(
F2507 = "A partir de Abril", "Aguardando Execução na Distribuidora",
A2507 = "CAPACITAÇÃO", "Em execução no Corporativo",
TRUE, "Em Execução na Distribuidora"
)</f>
        <v>Em execução no Corporativo</v>
      </c>
      <c r="F2507" s="4" t="str" cm="1">
        <f t="array" ref="F2507">_xlfn.IFS(
AG2507 &lt;&gt; "", "Jan-Dez/26",
AH2507 &lt;&gt; "", "Fev-Dez/26",
AI2507 &lt;&gt; "", "Mar-Dez/26", AJ2507 &lt;&gt; "", "Abr-Dez/26",
TRUE, "A partir de Junho"
)</f>
        <v>Mar-Dez/26</v>
      </c>
      <c r="G2507" s="4" t="s">
        <v>37</v>
      </c>
      <c r="H2507" s="7" t="s">
        <v>38</v>
      </c>
      <c r="I2507" s="21" t="s">
        <v>182</v>
      </c>
      <c r="J2507" s="8" t="str" cm="1">
        <f t="array" aca="1" ref="J2507" ca="1">_xlfn.LET(
  _xlpm.actual_value_month, INDEX(T2507:AE2507, MATCH(DATE(YEAR(TODAY()), MONTH(TODAY()), 1), $T$1:$AE$1, 0)),
  IF(_xlpm.actual_value_month &lt;&gt; "", _xlpm.actual_value_month &amp; " ações mensais", "")
)</f>
        <v/>
      </c>
      <c r="K2507" s="8" t="str" cm="1">
        <f t="array" ref="K2507">_xlfn.LET(
    _xlpm.sum_month, SUM(T2507:AE2507),
    IF(_xlpm.sum_month = 0, "", _xlpm.sum_month &amp; " taxa de aprovados")
)</f>
        <v>4853 taxa de aprovados</v>
      </c>
      <c r="L2507" s="4" t="s">
        <v>186</v>
      </c>
      <c r="M2507" s="13">
        <v>1</v>
      </c>
      <c r="N2507" s="5" t="s">
        <v>51</v>
      </c>
      <c r="O2507" s="5" t="s">
        <v>43</v>
      </c>
      <c r="P2507" s="10" t="s">
        <v>44</v>
      </c>
      <c r="Q2507" s="10" t="s">
        <v>44</v>
      </c>
      <c r="R2507" s="11" t="s">
        <v>44</v>
      </c>
      <c r="S2507" s="11" t="s">
        <v>44</v>
      </c>
      <c r="T2507" s="22"/>
      <c r="U2507" s="22"/>
      <c r="V2507" s="22">
        <v>2379</v>
      </c>
      <c r="W2507" s="22">
        <v>2474</v>
      </c>
      <c r="X2507" s="22"/>
      <c r="Y2507" s="22"/>
      <c r="Z2507" s="22"/>
      <c r="AA2507" s="22"/>
      <c r="AB2507" s="22"/>
      <c r="AC2507" s="22"/>
      <c r="AD2507" s="22"/>
      <c r="AE2507" s="22"/>
      <c r="AG2507" s="71"/>
      <c r="AH2507" s="71"/>
      <c r="AI2507" s="71">
        <v>2379</v>
      </c>
      <c r="AJ2507" s="71">
        <v>2474</v>
      </c>
      <c r="AK2507" s="71"/>
      <c r="AL2507" s="71"/>
      <c r="AM2507" s="71"/>
      <c r="AN2507" s="71"/>
      <c r="AO2507" s="71"/>
      <c r="AP2507" s="71"/>
      <c r="AQ2507" s="71"/>
      <c r="AR2507" s="71"/>
      <c r="AS2507" s="94" cm="1">
        <f t="array" ref="AS2507">IFERROR(INDEX(T2507:AE2507,1,MATCH(2,1/(T2507:AE2507&lt;&gt;""))),"")</f>
        <v>2474</v>
      </c>
      <c r="AT2507" s="95" cm="1">
        <f t="array" ref="AT2507">IFERROR(INDEX(AJ2507:AR2507,1,MATCH(2,1/(AJ2507:AR2507&lt;&gt;""))),"")</f>
        <v>2474</v>
      </c>
      <c r="AU2507" s="97">
        <f t="shared" si="3124"/>
        <v>2474</v>
      </c>
      <c r="AW2507" s="52">
        <f>IFERROR(IF(T2507="",0,T2507/AG2507),0)</f>
        <v>0</v>
      </c>
      <c r="AX2507" s="52">
        <f>IFERROR(IF(U2507="",0,U2507/AH2507),0)</f>
        <v>0</v>
      </c>
      <c r="AY2507" s="118">
        <f>IFERROR(IF(V2507="",0,V2507/AI2507),0)</f>
        <v>1</v>
      </c>
      <c r="AZ2507" s="118">
        <f>IFERROR(IF(W2507="",0,W2507/AJ2507),0)</f>
        <v>1</v>
      </c>
      <c r="BA2507" s="52"/>
      <c r="BB2507" s="52"/>
      <c r="BC2507" s="52"/>
      <c r="BD2507" s="52"/>
      <c r="BE2507" s="52"/>
      <c r="BF2507" s="52"/>
      <c r="BG2507" s="52"/>
      <c r="BH2507" s="52"/>
      <c r="BI2507" s="65" cm="1">
        <f t="array" ref="BI2507">IFERROR(INDEX(AW2507:BH2507,1,MATCH(2,1/(AW2507:BH2507&lt;&gt;""))),"")</f>
        <v>1</v>
      </c>
      <c r="BJ2507" s="68" cm="1">
        <f t="array" ref="BJ2507">IF(BM2507 = "", "",IFERROR(INDEX(AW2507:BH2507,1,MATCH(2,1/(AW2507:BH2507&lt;&gt;""),1)-1),""))</f>
        <v>1</v>
      </c>
      <c r="BK2507" s="58" cm="1">
        <f t="array" ref="BK2507">IFERROR(INDEX(AW2507:BH2507,1,MATCH(2,1/(AW2507:BH2507&lt;&gt;""))),"")</f>
        <v>1</v>
      </c>
      <c r="BL2507" s="58" cm="1">
        <f t="array" ref="BL2507">IFERROR(INDEX(AW2507:BH2507,1,MATCH(2,1/(AW2507:BH2507&lt;&gt;""),1)-1),"")</f>
        <v>1</v>
      </c>
      <c r="BM2507" s="55" cm="1">
        <f t="array" ref="BM2507">IFERROR(
   INDEX($AW$1:$BH$1,
      _xlfn.AGGREGATE(14, 6, COLUMN($AW$1:$BH$1)/(AW2507:BH2507&lt;&gt;""), 2) - COLUMN($AW$1) + 1
   ),
"")</f>
        <v>46082</v>
      </c>
      <c r="BN2507" s="55" cm="1">
        <f t="array" ref="BN2507">IFERROR(INDEX($AW$1:$BH$1,1,MATCH(2,1/(AW2507:BH2507&lt;&gt;""))),"")</f>
        <v>46113</v>
      </c>
      <c r="BO2507" s="53">
        <f ca="1">IFERROR(_xlfn.XLOOKUP(F2507,Apuração!A:A,Apuração!C:C)/_xlfn.XLOOKUP(F2507,Apuração!A:A,Apuração!B:B),0)</f>
        <v>0.3</v>
      </c>
      <c r="BP2507" s="53">
        <f ca="1">IFERROR(_xlfn.XLOOKUP(F2507,Apuração!A:A,Apuração!D:D)/_xlfn.XLOOKUP(F2507,Apuração!A:A,Apuração!B:B),0)</f>
        <v>0.2</v>
      </c>
      <c r="BQ2507" s="53">
        <f ca="1">IF(BK2507&gt;=BO2507,0,_xlfn.XLOOKUP(F2507,Apuração!A:A,Apuração!B:B)*(BO2507 + (1/_xlfn.XLOOKUP(F2507,Apuração!A:A,Apuração!B:B)) - BK2507))</f>
        <v>0</v>
      </c>
      <c r="BR2507" s="85">
        <f t="shared" ca="1" si="2957"/>
        <v>0</v>
      </c>
      <c r="BS2507" s="53">
        <f ca="1">IFERROR((_xlfn.XLOOKUP(F2507,Apuração!A:A,Apuração!C:C)+1)/_xlfn.XLOOKUP(F2507,Apuração!A:A,Apuração!B:B),0)</f>
        <v>0.4</v>
      </c>
    </row>
    <row r="2508" spans="1:71" ht="25.95" hidden="1" customHeight="1" x14ac:dyDescent="0.3">
      <c r="A2508" s="44" t="s">
        <v>175</v>
      </c>
      <c r="B2508" s="4" t="s">
        <v>184</v>
      </c>
      <c r="C2508" s="5" t="s">
        <v>221</v>
      </c>
      <c r="D2508" s="5" t="s">
        <v>212</v>
      </c>
      <c r="E2508" s="4" t="str" cm="1">
        <f t="array" ref="E2508">_xlfn.IFS(
F2508 = "A partir de Abril", "Aguardando Execução na Distribuidora",
A2508 = "CAPACITAÇÃO", "Em execução no Corporativo",
TRUE, "Em Execução na Distribuidora"
)</f>
        <v>Em execução no Corporativo</v>
      </c>
      <c r="F2508" s="4" t="str" cm="1">
        <f t="array" ref="F2508">_xlfn.IFS(
AG2508 &lt;&gt; "", "Jan-Dez/26",
AH2508 &lt;&gt; "", "Fev-Dez/26",
AI2508 &lt;&gt; "", "Mar-Dez/26", AJ2508 &lt;&gt; "", "Abr-Dez/26",
TRUE, "A partir de Junho"
)</f>
        <v>Mar-Dez/26</v>
      </c>
      <c r="G2508" s="4" t="s">
        <v>37</v>
      </c>
      <c r="H2508" s="7" t="s">
        <v>38</v>
      </c>
      <c r="I2508" s="21" t="s">
        <v>182</v>
      </c>
      <c r="J2508" s="8" t="str" cm="1">
        <f t="array" aca="1" ref="J2508" ca="1">_xlfn.LET(
  _xlpm.actual_value_month, INDEX(T2508:AE2508, MATCH(DATE(YEAR(TODAY()), MONTH(TODAY()), 1), $T$1:$AE$1, 0)),
  IF(_xlpm.actual_value_month &lt;&gt; "", _xlpm.actual_value_month &amp; " ações mensais", "")
)</f>
        <v/>
      </c>
      <c r="K2508" s="8" t="str" cm="1">
        <f t="array" ref="K2508">_xlfn.LET(
    _xlpm.sum_month, SUM(T2508:AE2508),
    IF(_xlpm.sum_month = 0, "", _xlpm.sum_month &amp; " taxa de aprovados")
)</f>
        <v>2678 taxa de aprovados</v>
      </c>
      <c r="L2508" s="4" t="s">
        <v>186</v>
      </c>
      <c r="M2508" s="13">
        <v>1</v>
      </c>
      <c r="N2508" s="5" t="s">
        <v>51</v>
      </c>
      <c r="O2508" s="5" t="s">
        <v>43</v>
      </c>
      <c r="P2508" s="10" t="s">
        <v>44</v>
      </c>
      <c r="Q2508" s="10" t="s">
        <v>44</v>
      </c>
      <c r="R2508" s="11" t="s">
        <v>44</v>
      </c>
      <c r="S2508" s="11" t="s">
        <v>44</v>
      </c>
      <c r="T2508" s="22"/>
      <c r="U2508" s="22"/>
      <c r="V2508" s="22">
        <v>1339</v>
      </c>
      <c r="W2508" s="22">
        <v>1339</v>
      </c>
      <c r="X2508" s="22"/>
      <c r="Y2508" s="22"/>
      <c r="Z2508" s="22"/>
      <c r="AA2508" s="22"/>
      <c r="AB2508" s="22"/>
      <c r="AC2508" s="22"/>
      <c r="AD2508" s="22"/>
      <c r="AE2508" s="22"/>
      <c r="AG2508" s="71"/>
      <c r="AH2508" s="71"/>
      <c r="AI2508" s="71">
        <v>1339</v>
      </c>
      <c r="AJ2508" s="71">
        <v>1339</v>
      </c>
      <c r="AK2508" s="71"/>
      <c r="AL2508" s="71"/>
      <c r="AM2508" s="71"/>
      <c r="AN2508" s="71"/>
      <c r="AO2508" s="71"/>
      <c r="AP2508" s="71"/>
      <c r="AQ2508" s="71"/>
      <c r="AR2508" s="71"/>
      <c r="AS2508" s="94" cm="1">
        <f t="array" ref="AS2508">IFERROR(INDEX(T2508:AE2508,1,MATCH(2,1/(T2508:AE2508&lt;&gt;""))),"")</f>
        <v>1339</v>
      </c>
      <c r="AT2508" s="95" cm="1">
        <f t="array" ref="AT2508">IFERROR(INDEX(AJ2508:AR2508,1,MATCH(2,1/(AJ2508:AR2508&lt;&gt;""))),"")</f>
        <v>1339</v>
      </c>
      <c r="AU2508" s="97">
        <f t="shared" si="3124"/>
        <v>1339</v>
      </c>
      <c r="AW2508" s="52">
        <f t="shared" ref="AW2508:AW2509" si="3152">IFERROR(IF(T2508="",0,T2508/AG2508),0)</f>
        <v>0</v>
      </c>
      <c r="AX2508" s="52">
        <f t="shared" ref="AX2508:AX2509" si="3153">IFERROR(IF(U2508="",0,U2508/AH2508),0)</f>
        <v>0</v>
      </c>
      <c r="AY2508" s="118">
        <f t="shared" ref="AY2508:AY2509" si="3154">IFERROR(IF(V2508="",0,V2508/AI2508),0)</f>
        <v>1</v>
      </c>
      <c r="AZ2508" s="118">
        <f t="shared" ref="AZ2508:AZ2509" si="3155">IFERROR(IF(W2508="",0,W2508/AJ2508),0)</f>
        <v>1</v>
      </c>
      <c r="BA2508" s="52"/>
      <c r="BB2508" s="52"/>
      <c r="BC2508" s="52"/>
      <c r="BD2508" s="52"/>
      <c r="BE2508" s="52"/>
      <c r="BF2508" s="52"/>
      <c r="BG2508" s="52"/>
      <c r="BH2508" s="52"/>
      <c r="BI2508" s="65" cm="1">
        <f t="array" ref="BI2508">IFERROR(INDEX(AW2508:BH2508,1,MATCH(2,1/(AW2508:BH2508&lt;&gt;""))),"")</f>
        <v>1</v>
      </c>
      <c r="BJ2508" s="68" cm="1">
        <f t="array" ref="BJ2508">IF(BM2508 = "", "",IFERROR(INDEX(AW2508:BH2508,1,MATCH(2,1/(AW2508:BH2508&lt;&gt;""),1)-1),""))</f>
        <v>1</v>
      </c>
      <c r="BK2508" s="58" cm="1">
        <f t="array" ref="BK2508">IFERROR(INDEX(AW2508:BH2508,1,MATCH(2,1/(AW2508:BH2508&lt;&gt;""))),"")</f>
        <v>1</v>
      </c>
      <c r="BL2508" s="58" cm="1">
        <f t="array" ref="BL2508">IFERROR(INDEX(AW2508:BH2508,1,MATCH(2,1/(AW2508:BH2508&lt;&gt;""),1)-1),"")</f>
        <v>1</v>
      </c>
      <c r="BM2508" s="55" cm="1">
        <f t="array" ref="BM2508">IFERROR(
   INDEX($AW$1:$BH$1,
      _xlfn.AGGREGATE(14, 6, COLUMN($AW$1:$BH$1)/(AW2508:BH2508&lt;&gt;""), 2) - COLUMN($AW$1) + 1
   ),
"")</f>
        <v>46082</v>
      </c>
      <c r="BN2508" s="55" cm="1">
        <f t="array" ref="BN2508">IFERROR(INDEX($AW$1:$BH$1,1,MATCH(2,1/(AW2508:BH2508&lt;&gt;""))),"")</f>
        <v>46113</v>
      </c>
      <c r="BO2508" s="53">
        <f ca="1">IFERROR(_xlfn.XLOOKUP(F2508,Apuração!A:A,Apuração!C:C)/_xlfn.XLOOKUP(F2508,Apuração!A:A,Apuração!B:B),0)</f>
        <v>0.3</v>
      </c>
      <c r="BP2508" s="53">
        <f ca="1">IFERROR(_xlfn.XLOOKUP(F2508,Apuração!A:A,Apuração!D:D)/_xlfn.XLOOKUP(F2508,Apuração!A:A,Apuração!B:B),0)</f>
        <v>0.2</v>
      </c>
      <c r="BQ2508" s="53">
        <f ca="1">IF(BK2508&gt;=BO2508,0,_xlfn.XLOOKUP(F2508,Apuração!A:A,Apuração!B:B)*(BO2508 + (1/_xlfn.XLOOKUP(F2508,Apuração!A:A,Apuração!B:B)) - BK2508))</f>
        <v>0</v>
      </c>
      <c r="BR2508" s="85">
        <f t="shared" ref="BR2508:BR2509" ca="1" si="3156">IF(BQ2508=0,0,BQ2508*Z2508)</f>
        <v>0</v>
      </c>
      <c r="BS2508" s="53">
        <f ca="1">IFERROR((_xlfn.XLOOKUP(F2508,Apuração!A:A,Apuração!C:C)+1)/_xlfn.XLOOKUP(F2508,Apuração!A:A,Apuração!B:B),0)</f>
        <v>0.4</v>
      </c>
    </row>
    <row r="2509" spans="1:71" ht="25.95" hidden="1" customHeight="1" x14ac:dyDescent="0.3">
      <c r="A2509" s="44" t="s">
        <v>175</v>
      </c>
      <c r="B2509" s="4" t="s">
        <v>184</v>
      </c>
      <c r="C2509" s="5" t="s">
        <v>221</v>
      </c>
      <c r="D2509" s="5" t="s">
        <v>213</v>
      </c>
      <c r="E2509" s="4" t="str" cm="1">
        <f t="array" ref="E2509">_xlfn.IFS(
F2509 = "A partir de Abril", "Aguardando Execução na Distribuidora",
A2509 = "CAPACITAÇÃO", "Em execução no Corporativo",
TRUE, "Em Execução na Distribuidora"
)</f>
        <v>Em execução no Corporativo</v>
      </c>
      <c r="F2509" s="4" t="str" cm="1">
        <f t="array" ref="F2509">_xlfn.IFS(
AG2509 &lt;&gt; "", "Jan-Dez/26",
AH2509 &lt;&gt; "", "Fev-Dez/26",
AI2509 &lt;&gt; "", "Mar-Dez/26", AJ2509 &lt;&gt; "", "Abr-Dez/26",
TRUE, "A partir de Junho"
)</f>
        <v>Mar-Dez/26</v>
      </c>
      <c r="G2509" s="4" t="s">
        <v>37</v>
      </c>
      <c r="H2509" s="7" t="s">
        <v>38</v>
      </c>
      <c r="I2509" s="21" t="s">
        <v>182</v>
      </c>
      <c r="J2509" s="8" t="str" cm="1">
        <f t="array" aca="1" ref="J2509" ca="1">_xlfn.LET(
  _xlpm.actual_value_month, INDEX(T2509:AE2509, MATCH(DATE(YEAR(TODAY()), MONTH(TODAY()), 1), $T$1:$AE$1, 0)),
  IF(_xlpm.actual_value_month &lt;&gt; "", _xlpm.actual_value_month &amp; " ações mensais", "")
)</f>
        <v/>
      </c>
      <c r="K2509" s="8" t="str" cm="1">
        <f t="array" ref="K2509">_xlfn.LET(
    _xlpm.sum_month, SUM(T2509:AE2509),
    IF(_xlpm.sum_month = 0, "", _xlpm.sum_month &amp; " taxa de aprovados")
)</f>
        <v>2270 taxa de aprovados</v>
      </c>
      <c r="L2509" s="4" t="s">
        <v>186</v>
      </c>
      <c r="M2509" s="13">
        <v>1</v>
      </c>
      <c r="N2509" s="5" t="s">
        <v>51</v>
      </c>
      <c r="O2509" s="5" t="s">
        <v>43</v>
      </c>
      <c r="P2509" s="10" t="s">
        <v>44</v>
      </c>
      <c r="Q2509" s="10" t="s">
        <v>44</v>
      </c>
      <c r="R2509" s="11" t="s">
        <v>44</v>
      </c>
      <c r="S2509" s="11" t="s">
        <v>44</v>
      </c>
      <c r="T2509" s="22"/>
      <c r="U2509" s="22"/>
      <c r="V2509" s="22">
        <v>1135</v>
      </c>
      <c r="W2509" s="22">
        <v>1135</v>
      </c>
      <c r="X2509" s="22"/>
      <c r="Y2509" s="22"/>
      <c r="Z2509" s="22"/>
      <c r="AA2509" s="22"/>
      <c r="AB2509" s="22"/>
      <c r="AC2509" s="22"/>
      <c r="AD2509" s="22"/>
      <c r="AE2509" s="22"/>
      <c r="AG2509" s="71"/>
      <c r="AH2509" s="71"/>
      <c r="AI2509" s="71">
        <v>1135</v>
      </c>
      <c r="AJ2509" s="71">
        <v>1135</v>
      </c>
      <c r="AK2509" s="71"/>
      <c r="AL2509" s="71"/>
      <c r="AM2509" s="71"/>
      <c r="AN2509" s="71"/>
      <c r="AO2509" s="71"/>
      <c r="AP2509" s="71"/>
      <c r="AQ2509" s="71"/>
      <c r="AR2509" s="71"/>
      <c r="AS2509" s="94" cm="1">
        <f t="array" ref="AS2509">IFERROR(INDEX(T2509:AE2509,1,MATCH(2,1/(T2509:AE2509&lt;&gt;""))),"")</f>
        <v>1135</v>
      </c>
      <c r="AT2509" s="95" cm="1">
        <f t="array" ref="AT2509">IFERROR(INDEX(AJ2509:AR2509,1,MATCH(2,1/(AJ2509:AR2509&lt;&gt;""))),"")</f>
        <v>1135</v>
      </c>
      <c r="AU2509" s="97">
        <f t="shared" si="3124"/>
        <v>1135</v>
      </c>
      <c r="AW2509" s="52">
        <f t="shared" si="3152"/>
        <v>0</v>
      </c>
      <c r="AX2509" s="52">
        <f t="shared" si="3153"/>
        <v>0</v>
      </c>
      <c r="AY2509" s="118">
        <f t="shared" si="3154"/>
        <v>1</v>
      </c>
      <c r="AZ2509" s="118">
        <f t="shared" si="3155"/>
        <v>1</v>
      </c>
      <c r="BA2509" s="52"/>
      <c r="BB2509" s="52"/>
      <c r="BC2509" s="52"/>
      <c r="BD2509" s="52"/>
      <c r="BE2509" s="52"/>
      <c r="BF2509" s="52"/>
      <c r="BG2509" s="52"/>
      <c r="BH2509" s="52"/>
      <c r="BI2509" s="65" cm="1">
        <f t="array" ref="BI2509">IFERROR(INDEX(AW2509:BH2509,1,MATCH(2,1/(AW2509:BH2509&lt;&gt;""))),"")</f>
        <v>1</v>
      </c>
      <c r="BJ2509" s="68" cm="1">
        <f t="array" ref="BJ2509">IF(BM2509 = "", "",IFERROR(INDEX(AW2509:BH2509,1,MATCH(2,1/(AW2509:BH2509&lt;&gt;""),1)-1),""))</f>
        <v>1</v>
      </c>
      <c r="BK2509" s="58" cm="1">
        <f t="array" ref="BK2509">IFERROR(INDEX(AW2509:BH2509,1,MATCH(2,1/(AW2509:BH2509&lt;&gt;""))),"")</f>
        <v>1</v>
      </c>
      <c r="BL2509" s="58" cm="1">
        <f t="array" ref="BL2509">IFERROR(INDEX(AW2509:BH2509,1,MATCH(2,1/(AW2509:BH2509&lt;&gt;""),1)-1),"")</f>
        <v>1</v>
      </c>
      <c r="BM2509" s="55" cm="1">
        <f t="array" ref="BM2509">IFERROR(
   INDEX($AW$1:$BH$1,
      _xlfn.AGGREGATE(14, 6, COLUMN($AW$1:$BH$1)/(AW2509:BH2509&lt;&gt;""), 2) - COLUMN($AW$1) + 1
   ),
"")</f>
        <v>46082</v>
      </c>
      <c r="BN2509" s="55" cm="1">
        <f t="array" ref="BN2509">IFERROR(INDEX($AW$1:$BH$1,1,MATCH(2,1/(AW2509:BH2509&lt;&gt;""))),"")</f>
        <v>46113</v>
      </c>
      <c r="BO2509" s="53">
        <f ca="1">IFERROR(_xlfn.XLOOKUP(F2509,Apuração!A:A,Apuração!C:C)/_xlfn.XLOOKUP(F2509,Apuração!A:A,Apuração!B:B),0)</f>
        <v>0.3</v>
      </c>
      <c r="BP2509" s="53">
        <f ca="1">IFERROR(_xlfn.XLOOKUP(F2509,Apuração!A:A,Apuração!D:D)/_xlfn.XLOOKUP(F2509,Apuração!A:A,Apuração!B:B),0)</f>
        <v>0.2</v>
      </c>
      <c r="BQ2509" s="53">
        <f ca="1">IF(BK2509&gt;=BO2509,0,_xlfn.XLOOKUP(F2509,Apuração!A:A,Apuração!B:B)*(BO2509 + (1/_xlfn.XLOOKUP(F2509,Apuração!A:A,Apuração!B:B)) - BK2509))</f>
        <v>0</v>
      </c>
      <c r="BR2509" s="85">
        <f t="shared" ca="1" si="3156"/>
        <v>0</v>
      </c>
      <c r="BS2509" s="53">
        <f ca="1">IFERROR((_xlfn.XLOOKUP(F2509,Apuração!A:A,Apuração!C:C)+1)/_xlfn.XLOOKUP(F2509,Apuração!A:A,Apuração!B:B),0)</f>
        <v>0.4</v>
      </c>
    </row>
    <row r="2510" spans="1:71" ht="25.95" hidden="1" customHeight="1" x14ac:dyDescent="0.3">
      <c r="A2510" s="33" t="s">
        <v>175</v>
      </c>
      <c r="B2510" s="4" t="s">
        <v>187</v>
      </c>
      <c r="C2510" s="5" t="s">
        <v>221</v>
      </c>
      <c r="D2510" s="5" t="s">
        <v>36</v>
      </c>
      <c r="E2510" s="4" t="s">
        <v>96</v>
      </c>
      <c r="F2510" s="4" t="str" cm="1">
        <f t="array" ref="F2510">_xlfn.IFS(
AG2510 &lt;&gt; "", "Jan-Dez/26",
AH2510 &lt;&gt; "", "Fev-Dez/26",
AI2510 &lt;&gt; "", "Mar-Dez/26", AJ2510 &lt;&gt; "", "Abr-Dez/26",
TRUE, "A partir de Junho"
)</f>
        <v>A partir de Junho</v>
      </c>
      <c r="G2510" s="4" t="s">
        <v>62</v>
      </c>
      <c r="H2510" s="7" t="s">
        <v>54</v>
      </c>
      <c r="I2510" s="8" t="s">
        <v>188</v>
      </c>
      <c r="J2510" s="8" t="str" cm="1">
        <f t="array" aca="1" ref="J2510" ca="1">_xlfn.LET(
  _xlpm.actual_value_month, INDEX(T2510:AE2510, MATCH(DATE(YEAR(TODAY()), MONTH(TODAY()), 1), $T$1:$AE$1, 0)),
  IF(_xlpm.actual_value_month &lt;&gt; "", _xlpm.actual_value_month &amp; " ações mensais", "")
)</f>
        <v/>
      </c>
      <c r="K2510" s="8" t="str" cm="1">
        <f t="array" ref="K2510">_xlfn.LET(
    _xlpm.sum_month, SUM(T2510:AE2510),
    IF(_xlpm.sum_month = 0, "", _xlpm.sum_month &amp; " taxa de aderência de treinados.")
)</f>
        <v/>
      </c>
      <c r="L2510" s="9" t="s">
        <v>189</v>
      </c>
      <c r="M2510" s="13">
        <v>1</v>
      </c>
      <c r="N2510" s="5" t="s">
        <v>42</v>
      </c>
      <c r="O2510" s="5" t="s">
        <v>43</v>
      </c>
      <c r="P2510" s="10" t="s">
        <v>146</v>
      </c>
      <c r="Q2510" s="10" t="s">
        <v>44</v>
      </c>
      <c r="R2510" s="11" t="s">
        <v>44</v>
      </c>
      <c r="S2510" s="11" t="s">
        <v>44</v>
      </c>
      <c r="T2510" s="22"/>
      <c r="U2510" s="22"/>
      <c r="V2510" s="22"/>
      <c r="W2510" s="22"/>
      <c r="X2510" s="22"/>
      <c r="Y2510" s="22"/>
      <c r="Z2510" s="22"/>
      <c r="AA2510" s="22"/>
      <c r="AB2510" s="22"/>
      <c r="AC2510" s="22"/>
      <c r="AD2510" s="22"/>
      <c r="AE2510" s="22"/>
      <c r="AG2510" s="71"/>
      <c r="AH2510" s="71"/>
      <c r="AI2510" s="71"/>
      <c r="AJ2510" s="71"/>
      <c r="AK2510" s="71"/>
      <c r="AL2510" s="71"/>
      <c r="AM2510" s="71"/>
      <c r="AN2510" s="71"/>
      <c r="AO2510" s="71"/>
      <c r="AP2510" s="71"/>
      <c r="AQ2510" s="71"/>
      <c r="AR2510" s="71"/>
      <c r="AS2510" s="94" t="str" cm="1">
        <f t="array" ref="AS2510">IFERROR(INDEX(T2510:AE2510,1,MATCH(2,1/(T2510:AE2510&lt;&gt;""))),"")</f>
        <v/>
      </c>
      <c r="AT2510" s="95">
        <f>AN2510</f>
        <v>0</v>
      </c>
      <c r="AU2510" s="97">
        <f t="shared" si="3124"/>
        <v>0</v>
      </c>
      <c r="AW2510" s="51"/>
      <c r="AX2510" s="51"/>
      <c r="AY2510" s="51"/>
      <c r="AZ2510" s="51"/>
      <c r="BA2510" s="51"/>
      <c r="BB2510" s="51"/>
      <c r="BC2510" s="51"/>
      <c r="BD2510" s="51"/>
      <c r="BE2510" s="51"/>
      <c r="BF2510" s="51"/>
      <c r="BG2510" s="51"/>
      <c r="BH2510" s="51"/>
      <c r="BI2510" s="65" t="str" cm="1">
        <f t="array" ref="BI2510">IFERROR(INDEX(AW2510:BH2510,1,MATCH(2,1/(AW2510:BH2510&lt;&gt;""))),"")</f>
        <v/>
      </c>
      <c r="BJ2510" s="68" t="str" cm="1">
        <f t="array" ref="BJ2510">IF(BM2510 = "", "",IFERROR(INDEX(AW2510:BH2510,1,MATCH(2,1/(AW2510:BH2510&lt;&gt;""),1)-1),""))</f>
        <v/>
      </c>
      <c r="BK2510" s="58" t="str" cm="1">
        <f t="array" ref="BK2510">IFERROR(INDEX(AW2510:BH2510,1,MATCH(2,1/(AW2510:BH2510&lt;&gt;""))),"")</f>
        <v/>
      </c>
      <c r="BL2510" s="58" cm="1">
        <f t="array" aca="1" ref="BL2510" ca="1">IF(SUM(IFERROR(IF(INDEX(AW2510:INDEX(AW2510:BH2510, MATCH(2, 1/(AW2510:BH2510&lt;&gt;""), 1)-1), ROW(INDIRECT("1:" &amp; MATCH(2, 1/(AW2510:BH2510&lt;&gt;""), 1)-1))) &gt;= 115%, 115%, INDEX(AW2510:INDEX(AW2510:BH2510, MATCH(2, 1/(AW2510:BH2510&lt;&gt;""), 1)-1), ROW(INDIRECT("1:" &amp; MATCH(2, 1/(AW2510:BH2510&lt;&gt;""), 1)-1)))), 0))/_xlfn.XLOOKUP(F2510,Apuração!A:A,Apuração!B:B)&gt;=1.15,1.15,SUM(IFERROR(IF(INDEX(AW2510:INDEX(AW2510:BH2510, MATCH(2, 1/(AW2510:BH2510&lt;&gt;""), 1)-1), ROW(INDIRECT("1:" &amp; MATCH(2, 1/(AW2510:BH2510&lt;&gt;""), 1)-1))) &gt;= 115%, 115%, INDEX(AW2510:INDEX(AW2510:BH2510, MATCH(2, 1/(AW2510:BH2510&lt;&gt;""), 1)-1), ROW(INDIRECT("1:" &amp; MATCH(2, 1/(AW2510:BH2510&lt;&gt;""), 1)-1)))), 0))/_xlfn.XLOOKUP(F2510,Apuração!A:A,Apuração!B:B))</f>
        <v>0</v>
      </c>
      <c r="BM2510" s="55" t="str" cm="1">
        <f t="array" ref="BM2510">IFERROR(
   INDEX($AW$1:$BH$1,
      _xlfn.AGGREGATE(14, 6, COLUMN($AW$1:$BH$1)/(AW2510:BH2510&lt;&gt;""), 2) - COLUMN($AW$1) + 1
   ),
"")</f>
        <v/>
      </c>
      <c r="BN2510" s="55" t="str" cm="1">
        <f t="array" ref="BN2510">IFERROR(INDEX($AW$1:$BH$1,1,MATCH(2,1/(AW2510:BH2510&lt;&gt;""))),"")</f>
        <v/>
      </c>
      <c r="BO2510" s="53">
        <f ca="1">IFERROR(_xlfn.XLOOKUP(F2510,Apuração!A:A,Apuração!C:C)/_xlfn.XLOOKUP(F2510,Apuração!A:A,Apuração!B:B),0)</f>
        <v>0</v>
      </c>
      <c r="BP2510" s="53">
        <f ca="1">IFERROR(_xlfn.XLOOKUP(F2510,Apuração!A:A,Apuração!D:D)/_xlfn.XLOOKUP(F2510,Apuração!A:A,Apuração!B:B),0)</f>
        <v>0</v>
      </c>
      <c r="BQ2510" s="53">
        <f ca="1">IF(BK2510&gt;=BO2510,0,_xlfn.XLOOKUP(F2510,Apuração!A:A,Apuração!B:B)*(BO2510 + (1/_xlfn.XLOOKUP(F2510,Apuração!A:A,Apuração!B:B)) - BK2510))</f>
        <v>0</v>
      </c>
      <c r="BR2510" s="85">
        <f t="shared" ca="1" si="2957"/>
        <v>0</v>
      </c>
      <c r="BS2510" s="53">
        <f ca="1">IFERROR((_xlfn.XLOOKUP(F2510,Apuração!A:A,Apuração!C:C)+1)/_xlfn.XLOOKUP(F2510,Apuração!A:A,Apuração!B:B),0)</f>
        <v>0.14285714285714285</v>
      </c>
    </row>
    <row r="2511" spans="1:71" ht="25.95" hidden="1" customHeight="1" x14ac:dyDescent="0.3">
      <c r="A2511" s="33" t="s">
        <v>175</v>
      </c>
      <c r="B2511" s="4" t="s">
        <v>187</v>
      </c>
      <c r="C2511" s="5" t="s">
        <v>221</v>
      </c>
      <c r="D2511" s="5" t="s">
        <v>212</v>
      </c>
      <c r="E2511" s="4" t="s">
        <v>96</v>
      </c>
      <c r="F2511" s="4" t="str" cm="1">
        <f t="array" ref="F2511">_xlfn.IFS(
AG2511 &lt;&gt; "", "Jan-Dez/26",
AH2511 &lt;&gt; "", "Fev-Dez/26",
AI2511 &lt;&gt; "", "Mar-Dez/26", AJ2511 &lt;&gt; "", "Abr-Dez/26",
TRUE, "A partir de Junho"
)</f>
        <v>A partir de Junho</v>
      </c>
      <c r="G2511" s="4" t="s">
        <v>62</v>
      </c>
      <c r="H2511" s="7" t="s">
        <v>54</v>
      </c>
      <c r="I2511" s="8" t="s">
        <v>188</v>
      </c>
      <c r="J2511" s="8" t="str" cm="1">
        <f t="array" aca="1" ref="J2511" ca="1">_xlfn.LET(
  _xlpm.actual_value_month, INDEX(T2511:AE2511, MATCH(DATE(YEAR(TODAY()), MONTH(TODAY()), 1), $T$1:$AE$1, 0)),
  IF(_xlpm.actual_value_month &lt;&gt; "", _xlpm.actual_value_month &amp; " ações mensais", "")
)</f>
        <v/>
      </c>
      <c r="K2511" s="8" t="str" cm="1">
        <f t="array" ref="K2511">_xlfn.LET(
    _xlpm.sum_month, SUM(T2511:AE2511),
    IF(_xlpm.sum_month = 0, "", _xlpm.sum_month &amp; " taxa de aderência de treinados.")
)</f>
        <v/>
      </c>
      <c r="L2511" s="9" t="s">
        <v>189</v>
      </c>
      <c r="M2511" s="13">
        <v>1</v>
      </c>
      <c r="N2511" s="5" t="s">
        <v>42</v>
      </c>
      <c r="O2511" s="5" t="s">
        <v>43</v>
      </c>
      <c r="P2511" s="10" t="s">
        <v>146</v>
      </c>
      <c r="Q2511" s="10" t="s">
        <v>44</v>
      </c>
      <c r="R2511" s="11" t="s">
        <v>44</v>
      </c>
      <c r="S2511" s="11" t="s">
        <v>44</v>
      </c>
      <c r="T2511" s="22"/>
      <c r="U2511" s="22"/>
      <c r="V2511" s="22"/>
      <c r="W2511" s="22"/>
      <c r="X2511" s="22"/>
      <c r="Y2511" s="22"/>
      <c r="Z2511" s="22"/>
      <c r="AA2511" s="22"/>
      <c r="AB2511" s="22"/>
      <c r="AC2511" s="22"/>
      <c r="AD2511" s="22"/>
      <c r="AE2511" s="22"/>
      <c r="AG2511" s="71"/>
      <c r="AH2511" s="71"/>
      <c r="AI2511" s="71"/>
      <c r="AJ2511" s="71"/>
      <c r="AK2511" s="71"/>
      <c r="AL2511" s="71"/>
      <c r="AM2511" s="71"/>
      <c r="AN2511" s="71"/>
      <c r="AO2511" s="71"/>
      <c r="AP2511" s="71"/>
      <c r="AQ2511" s="71"/>
      <c r="AR2511" s="71"/>
      <c r="AS2511" s="94" t="str" cm="1">
        <f t="array" ref="AS2511">IFERROR(INDEX(T2511:AE2511,1,MATCH(2,1/(T2511:AE2511&lt;&gt;""))),"")</f>
        <v/>
      </c>
      <c r="AT2511" s="95">
        <f t="shared" ref="AT2511:AT2512" si="3157">AN2511</f>
        <v>0</v>
      </c>
      <c r="AU2511" s="97">
        <f t="shared" si="3124"/>
        <v>0</v>
      </c>
      <c r="AW2511" s="51"/>
      <c r="AX2511" s="51"/>
      <c r="AY2511" s="51"/>
      <c r="AZ2511" s="51"/>
      <c r="BA2511" s="51"/>
      <c r="BB2511" s="51"/>
      <c r="BC2511" s="51"/>
      <c r="BD2511" s="51"/>
      <c r="BE2511" s="51"/>
      <c r="BF2511" s="51"/>
      <c r="BG2511" s="51"/>
      <c r="BH2511" s="51"/>
      <c r="BI2511" s="65" t="str" cm="1">
        <f t="array" ref="BI2511">IFERROR(INDEX(AW2511:BH2511,1,MATCH(2,1/(AW2511:BH2511&lt;&gt;""))),"")</f>
        <v/>
      </c>
      <c r="BJ2511" s="68" t="str" cm="1">
        <f t="array" ref="BJ2511">IF(BM2511 = "", "",IFERROR(INDEX(AW2511:BH2511,1,MATCH(2,1/(AW2511:BH2511&lt;&gt;""),1)-1),""))</f>
        <v/>
      </c>
      <c r="BK2511" s="58" t="str" cm="1">
        <f t="array" ref="BK2511">IFERROR(INDEX(AW2511:BH2511,1,MATCH(2,1/(AW2511:BH2511&lt;&gt;""))),"")</f>
        <v/>
      </c>
      <c r="BL2511" s="58" cm="1">
        <f t="array" aca="1" ref="BL2511" ca="1">IF(SUM(IFERROR(IF(INDEX(AW2511:INDEX(AW2511:BH2511, MATCH(2, 1/(AW2511:BH2511&lt;&gt;""), 1)-1), ROW(INDIRECT("1:" &amp; MATCH(2, 1/(AW2511:BH2511&lt;&gt;""), 1)-1))) &gt;= 115%, 115%, INDEX(AW2511:INDEX(AW2511:BH2511, MATCH(2, 1/(AW2511:BH2511&lt;&gt;""), 1)-1), ROW(INDIRECT("1:" &amp; MATCH(2, 1/(AW2511:BH2511&lt;&gt;""), 1)-1)))), 0))/_xlfn.XLOOKUP(F2511,Apuração!A:A,Apuração!B:B)&gt;=1.15,1.15,SUM(IFERROR(IF(INDEX(AW2511:INDEX(AW2511:BH2511, MATCH(2, 1/(AW2511:BH2511&lt;&gt;""), 1)-1), ROW(INDIRECT("1:" &amp; MATCH(2, 1/(AW2511:BH2511&lt;&gt;""), 1)-1))) &gt;= 115%, 115%, INDEX(AW2511:INDEX(AW2511:BH2511, MATCH(2, 1/(AW2511:BH2511&lt;&gt;""), 1)-1), ROW(INDIRECT("1:" &amp; MATCH(2, 1/(AW2511:BH2511&lt;&gt;""), 1)-1)))), 0))/_xlfn.XLOOKUP(F2511,Apuração!A:A,Apuração!B:B))</f>
        <v>0</v>
      </c>
      <c r="BM2511" s="55" t="str" cm="1">
        <f t="array" ref="BM2511">IFERROR(
   INDEX($AW$1:$BH$1,
      _xlfn.AGGREGATE(14, 6, COLUMN($AW$1:$BH$1)/(AW2511:BH2511&lt;&gt;""), 2) - COLUMN($AW$1) + 1
   ),
"")</f>
        <v/>
      </c>
      <c r="BN2511" s="55" t="str" cm="1">
        <f t="array" ref="BN2511">IFERROR(INDEX($AW$1:$BH$1,1,MATCH(2,1/(AW2511:BH2511&lt;&gt;""))),"")</f>
        <v/>
      </c>
      <c r="BO2511" s="53">
        <f ca="1">IFERROR(_xlfn.XLOOKUP(F2511,Apuração!A:A,Apuração!C:C)/_xlfn.XLOOKUP(F2511,Apuração!A:A,Apuração!B:B),0)</f>
        <v>0</v>
      </c>
      <c r="BP2511" s="53">
        <f ca="1">IFERROR(_xlfn.XLOOKUP(F2511,Apuração!A:A,Apuração!D:D)/_xlfn.XLOOKUP(F2511,Apuração!A:A,Apuração!B:B),0)</f>
        <v>0</v>
      </c>
      <c r="BQ2511" s="53">
        <f ca="1">IF(BK2511&gt;=BO2511,0,_xlfn.XLOOKUP(F2511,Apuração!A:A,Apuração!B:B)*(BO2511 + (1/_xlfn.XLOOKUP(F2511,Apuração!A:A,Apuração!B:B)) - BK2511))</f>
        <v>0</v>
      </c>
      <c r="BR2511" s="85">
        <f t="shared" ref="BR2511:BR2512" ca="1" si="3158">IF(BQ2511=0,0,BQ2511*Z2511)</f>
        <v>0</v>
      </c>
      <c r="BS2511" s="53">
        <f ca="1">IFERROR((_xlfn.XLOOKUP(F2511,Apuração!A:A,Apuração!C:C)+1)/_xlfn.XLOOKUP(F2511,Apuração!A:A,Apuração!B:B),0)</f>
        <v>0.14285714285714285</v>
      </c>
    </row>
    <row r="2512" spans="1:71" ht="25.95" hidden="1" customHeight="1" x14ac:dyDescent="0.3">
      <c r="A2512" s="33" t="s">
        <v>175</v>
      </c>
      <c r="B2512" s="4" t="s">
        <v>187</v>
      </c>
      <c r="C2512" s="5" t="s">
        <v>221</v>
      </c>
      <c r="D2512" s="5" t="s">
        <v>213</v>
      </c>
      <c r="E2512" s="4" t="s">
        <v>96</v>
      </c>
      <c r="F2512" s="4" t="str" cm="1">
        <f t="array" ref="F2512">_xlfn.IFS(
AG2512 &lt;&gt; "", "Jan-Dez/26",
AH2512 &lt;&gt; "", "Fev-Dez/26",
AI2512 &lt;&gt; "", "Mar-Dez/26", AJ2512 &lt;&gt; "", "Abr-Dez/26",
TRUE, "A partir de Junho"
)</f>
        <v>A partir de Junho</v>
      </c>
      <c r="G2512" s="4" t="s">
        <v>62</v>
      </c>
      <c r="H2512" s="7" t="s">
        <v>54</v>
      </c>
      <c r="I2512" s="8" t="s">
        <v>188</v>
      </c>
      <c r="J2512" s="8" t="str" cm="1">
        <f t="array" aca="1" ref="J2512" ca="1">_xlfn.LET(
  _xlpm.actual_value_month, INDEX(T2512:AE2512, MATCH(DATE(YEAR(TODAY()), MONTH(TODAY()), 1), $T$1:$AE$1, 0)),
  IF(_xlpm.actual_value_month &lt;&gt; "", _xlpm.actual_value_month &amp; " ações mensais", "")
)</f>
        <v/>
      </c>
      <c r="K2512" s="8" t="str" cm="1">
        <f t="array" ref="K2512">_xlfn.LET(
    _xlpm.sum_month, SUM(T2512:AE2512),
    IF(_xlpm.sum_month = 0, "", _xlpm.sum_month &amp; " taxa de aderência de treinados.")
)</f>
        <v/>
      </c>
      <c r="L2512" s="9" t="s">
        <v>189</v>
      </c>
      <c r="M2512" s="13">
        <v>1</v>
      </c>
      <c r="N2512" s="5" t="s">
        <v>42</v>
      </c>
      <c r="O2512" s="5" t="s">
        <v>43</v>
      </c>
      <c r="P2512" s="10" t="s">
        <v>146</v>
      </c>
      <c r="Q2512" s="10" t="s">
        <v>44</v>
      </c>
      <c r="R2512" s="11" t="s">
        <v>44</v>
      </c>
      <c r="S2512" s="11" t="s">
        <v>44</v>
      </c>
      <c r="T2512" s="22"/>
      <c r="U2512" s="22"/>
      <c r="V2512" s="22"/>
      <c r="W2512" s="22"/>
      <c r="X2512" s="22"/>
      <c r="Y2512" s="22"/>
      <c r="Z2512" s="22"/>
      <c r="AA2512" s="22"/>
      <c r="AB2512" s="22"/>
      <c r="AC2512" s="22"/>
      <c r="AD2512" s="22"/>
      <c r="AE2512" s="22"/>
      <c r="AG2512" s="71"/>
      <c r="AH2512" s="71"/>
      <c r="AI2512" s="71"/>
      <c r="AJ2512" s="71"/>
      <c r="AK2512" s="71"/>
      <c r="AL2512" s="71"/>
      <c r="AM2512" s="71"/>
      <c r="AN2512" s="71"/>
      <c r="AO2512" s="71"/>
      <c r="AP2512" s="71"/>
      <c r="AQ2512" s="71"/>
      <c r="AR2512" s="71"/>
      <c r="AS2512" s="94" t="str" cm="1">
        <f t="array" ref="AS2512">IFERROR(INDEX(T2512:AE2512,1,MATCH(2,1/(T2512:AE2512&lt;&gt;""))),"")</f>
        <v/>
      </c>
      <c r="AT2512" s="95">
        <f t="shared" si="3157"/>
        <v>0</v>
      </c>
      <c r="AU2512" s="97">
        <f t="shared" si="3124"/>
        <v>0</v>
      </c>
      <c r="AW2512" s="51"/>
      <c r="AX2512" s="51"/>
      <c r="AY2512" s="51"/>
      <c r="AZ2512" s="51"/>
      <c r="BA2512" s="51"/>
      <c r="BB2512" s="51"/>
      <c r="BC2512" s="51"/>
      <c r="BD2512" s="51"/>
      <c r="BE2512" s="51"/>
      <c r="BF2512" s="51"/>
      <c r="BG2512" s="51"/>
      <c r="BH2512" s="51"/>
      <c r="BI2512" s="65" t="str" cm="1">
        <f t="array" ref="BI2512">IFERROR(INDEX(AW2512:BH2512,1,MATCH(2,1/(AW2512:BH2512&lt;&gt;""))),"")</f>
        <v/>
      </c>
      <c r="BJ2512" s="68" t="str" cm="1">
        <f t="array" ref="BJ2512">IF(BM2512 = "", "",IFERROR(INDEX(AW2512:BH2512,1,MATCH(2,1/(AW2512:BH2512&lt;&gt;""),1)-1),""))</f>
        <v/>
      </c>
      <c r="BK2512" s="58" t="str" cm="1">
        <f t="array" ref="BK2512">IFERROR(INDEX(AW2512:BH2512,1,MATCH(2,1/(AW2512:BH2512&lt;&gt;""))),"")</f>
        <v/>
      </c>
      <c r="BL2512" s="58" cm="1">
        <f t="array" aca="1" ref="BL2512" ca="1">IF(SUM(IFERROR(IF(INDEX(AW2512:INDEX(AW2512:BH2512, MATCH(2, 1/(AW2512:BH2512&lt;&gt;""), 1)-1), ROW(INDIRECT("1:" &amp; MATCH(2, 1/(AW2512:BH2512&lt;&gt;""), 1)-1))) &gt;= 115%, 115%, INDEX(AW2512:INDEX(AW2512:BH2512, MATCH(2, 1/(AW2512:BH2512&lt;&gt;""), 1)-1), ROW(INDIRECT("1:" &amp; MATCH(2, 1/(AW2512:BH2512&lt;&gt;""), 1)-1)))), 0))/_xlfn.XLOOKUP(F2512,Apuração!A:A,Apuração!B:B)&gt;=1.15,1.15,SUM(IFERROR(IF(INDEX(AW2512:INDEX(AW2512:BH2512, MATCH(2, 1/(AW2512:BH2512&lt;&gt;""), 1)-1), ROW(INDIRECT("1:" &amp; MATCH(2, 1/(AW2512:BH2512&lt;&gt;""), 1)-1))) &gt;= 115%, 115%, INDEX(AW2512:INDEX(AW2512:BH2512, MATCH(2, 1/(AW2512:BH2512&lt;&gt;""), 1)-1), ROW(INDIRECT("1:" &amp; MATCH(2, 1/(AW2512:BH2512&lt;&gt;""), 1)-1)))), 0))/_xlfn.XLOOKUP(F2512,Apuração!A:A,Apuração!B:B))</f>
        <v>0</v>
      </c>
      <c r="BM2512" s="55" t="str" cm="1">
        <f t="array" ref="BM2512">IFERROR(
   INDEX($AW$1:$BH$1,
      _xlfn.AGGREGATE(14, 6, COLUMN($AW$1:$BH$1)/(AW2512:BH2512&lt;&gt;""), 2) - COLUMN($AW$1) + 1
   ),
"")</f>
        <v/>
      </c>
      <c r="BN2512" s="55" t="str" cm="1">
        <f t="array" ref="BN2512">IFERROR(INDEX($AW$1:$BH$1,1,MATCH(2,1/(AW2512:BH2512&lt;&gt;""))),"")</f>
        <v/>
      </c>
      <c r="BO2512" s="53">
        <f ca="1">IFERROR(_xlfn.XLOOKUP(F2512,Apuração!A:A,Apuração!C:C)/_xlfn.XLOOKUP(F2512,Apuração!A:A,Apuração!B:B),0)</f>
        <v>0</v>
      </c>
      <c r="BP2512" s="53">
        <f ca="1">IFERROR(_xlfn.XLOOKUP(F2512,Apuração!A:A,Apuração!D:D)/_xlfn.XLOOKUP(F2512,Apuração!A:A,Apuração!B:B),0)</f>
        <v>0</v>
      </c>
      <c r="BQ2512" s="53">
        <f ca="1">IF(BK2512&gt;=BO2512,0,_xlfn.XLOOKUP(F2512,Apuração!A:A,Apuração!B:B)*(BO2512 + (1/_xlfn.XLOOKUP(F2512,Apuração!A:A,Apuração!B:B)) - BK2512))</f>
        <v>0</v>
      </c>
      <c r="BR2512" s="85">
        <f t="shared" ca="1" si="3158"/>
        <v>0</v>
      </c>
      <c r="BS2512" s="53">
        <f ca="1">IFERROR((_xlfn.XLOOKUP(F2512,Apuração!A:A,Apuração!C:C)+1)/_xlfn.XLOOKUP(F2512,Apuração!A:A,Apuração!B:B),0)</f>
        <v>0.14285714285714285</v>
      </c>
    </row>
    <row r="2513" spans="1:71" ht="25.95" hidden="1" customHeight="1" x14ac:dyDescent="0.3">
      <c r="A2513" s="44" t="s">
        <v>175</v>
      </c>
      <c r="B2513" s="4" t="s">
        <v>187</v>
      </c>
      <c r="C2513" s="5" t="s">
        <v>221</v>
      </c>
      <c r="D2513" s="5" t="s">
        <v>36</v>
      </c>
      <c r="E2513" s="4" t="s">
        <v>96</v>
      </c>
      <c r="F2513" s="4" t="str" cm="1">
        <f t="array" ref="F2513">_xlfn.IFS(
AG2513 &lt;&gt; "", "Jan-Dez/26",
AH2513 &lt;&gt; "", "Fev-Dez/26",
AI2513 &lt;&gt; "", "Mar-Dez/26", AJ2513 &lt;&gt; "", "Abr-Dez/26",
TRUE, "A partir de Junho"
)</f>
        <v>A partir de Junho</v>
      </c>
      <c r="G2513" s="4" t="s">
        <v>62</v>
      </c>
      <c r="H2513" s="7" t="s">
        <v>54</v>
      </c>
      <c r="I2513" s="21" t="s">
        <v>190</v>
      </c>
      <c r="J2513" s="8" t="str" cm="1">
        <f t="array" aca="1" ref="J2513" ca="1">_xlfn.LET(
  _xlpm.actual_value_month, INDEX(T2513:AE2513, MATCH(DATE(YEAR(TODAY()), MONTH(TODAY()), 1), $T$1:$AE$1, 0)),
  IF(_xlpm.actual_value_month &lt;&gt; "", _xlpm.actual_value_month &amp; " ações mensais", "")
)</f>
        <v/>
      </c>
      <c r="K2513" s="8" t="str" cm="1">
        <f t="array" ref="K2513">_xlfn.LET(
    _xlpm.sum_month, SUM(T2513:AE2513),
    IF(_xlpm.sum_month = 0, "", _xlpm.sum_month &amp; " treinados não mapeados.")
)</f>
        <v/>
      </c>
      <c r="L2513" s="9" t="s">
        <v>191</v>
      </c>
      <c r="M2513" s="13">
        <v>1</v>
      </c>
      <c r="N2513" s="5" t="s">
        <v>51</v>
      </c>
      <c r="O2513" s="5" t="s">
        <v>52</v>
      </c>
      <c r="P2513" s="10" t="s">
        <v>146</v>
      </c>
      <c r="Q2513" s="10" t="s">
        <v>44</v>
      </c>
      <c r="R2513" s="11" t="s">
        <v>44</v>
      </c>
      <c r="S2513" s="11" t="s">
        <v>44</v>
      </c>
      <c r="T2513" s="22"/>
      <c r="U2513" s="22"/>
      <c r="V2513" s="22"/>
      <c r="W2513" s="22"/>
      <c r="X2513" s="22"/>
      <c r="Y2513" s="22"/>
      <c r="Z2513" s="22"/>
      <c r="AA2513" s="22"/>
      <c r="AB2513" s="22"/>
      <c r="AC2513" s="22"/>
      <c r="AD2513" s="22"/>
      <c r="AE2513" s="22"/>
      <c r="AG2513" s="71"/>
      <c r="AH2513" s="71"/>
      <c r="AI2513" s="71"/>
      <c r="AJ2513" s="71"/>
      <c r="AK2513" s="71"/>
      <c r="AL2513" s="71"/>
      <c r="AM2513" s="71"/>
      <c r="AN2513" s="71"/>
      <c r="AO2513" s="71"/>
      <c r="AP2513" s="71"/>
      <c r="AQ2513" s="71"/>
      <c r="AR2513" s="71"/>
      <c r="AS2513" s="94" t="str" cm="1">
        <f t="array" ref="AS2513">IFERROR(INDEX(T2513:AE2513,1,MATCH(2,1/(T2513:AE2513&lt;&gt;""))),"")</f>
        <v/>
      </c>
      <c r="AT2513" s="95">
        <f>AN2513</f>
        <v>0</v>
      </c>
      <c r="AU2513" s="97">
        <f t="shared" si="3124"/>
        <v>0</v>
      </c>
      <c r="AW2513" s="52">
        <f>AG2513</f>
        <v>0</v>
      </c>
      <c r="AX2513" s="52"/>
      <c r="AY2513" s="52"/>
      <c r="AZ2513" s="52"/>
      <c r="BA2513" s="52"/>
      <c r="BB2513" s="52"/>
      <c r="BC2513" s="52"/>
      <c r="BD2513" s="52"/>
      <c r="BE2513" s="52"/>
      <c r="BF2513" s="52"/>
      <c r="BG2513" s="52"/>
      <c r="BH2513" s="52"/>
      <c r="BI2513" s="68" cm="1">
        <f t="array" ref="BI2513">IFERROR(INDEX(AW2513:BH2513,1,MATCH(2,1/(AW2513:BH2513&lt;&gt;""))),"")</f>
        <v>0</v>
      </c>
      <c r="BJ2513" s="68" t="str" cm="1">
        <f t="array" ref="BJ2513">IF(BM2513 = "", "",IFERROR(INDEX(AW2513:BH2513,1,MATCH(2,1/(AW2513:BH2513&lt;&gt;""),1)-1),""))</f>
        <v/>
      </c>
      <c r="BK2513" s="59">
        <f>SUM(AW2513:BH2513)</f>
        <v>0</v>
      </c>
      <c r="BL2513" s="59">
        <f>SUM(AW2513:BE2513)</f>
        <v>0</v>
      </c>
      <c r="BM2513" s="55" t="str" cm="1">
        <f t="array" ref="BM2513">IFERROR(
   INDEX($AW$1:$BH$1,
      _xlfn.AGGREGATE(14, 6, COLUMN($AW$1:$BH$1)/(AW2513:BH2513&lt;&gt;""), 2) - COLUMN($AW$1) + 1
   ),
"")</f>
        <v/>
      </c>
      <c r="BN2513" s="55" cm="1">
        <f t="array" ref="BN2513">IFERROR(INDEX($AW$1:$BH$1,1,MATCH(2,1/(AW2513:BH2513&lt;&gt;""))),"")</f>
        <v>46023</v>
      </c>
      <c r="BO2513" s="53">
        <f ca="1">IFERROR(_xlfn.XLOOKUP(F2513,Apuração!A:A,Apuração!C:C)/_xlfn.XLOOKUP(F2513,Apuração!A:A,Apuração!B:B),0)</f>
        <v>0</v>
      </c>
      <c r="BP2513" s="53">
        <f ca="1">IFERROR(_xlfn.XLOOKUP(F2513,Apuração!A:A,Apuração!D:D)/_xlfn.XLOOKUP(F2513,Apuração!A:A,Apuração!B:B),0)</f>
        <v>0</v>
      </c>
      <c r="BQ2513" s="53">
        <f ca="1">IF(BK2513&gt;=BO2513,0,_xlfn.XLOOKUP(F2513,Apuração!A:A,Apuração!B:B)*(BO2513 + (1/_xlfn.XLOOKUP(F2513,Apuração!A:A,Apuração!B:B)) - BK2513))</f>
        <v>0</v>
      </c>
      <c r="BR2513" s="85">
        <f t="shared" ca="1" si="2957"/>
        <v>0</v>
      </c>
      <c r="BS2513" s="53">
        <f ca="1">IFERROR((_xlfn.XLOOKUP(F2513,Apuração!A:A,Apuração!C:C)+1)/_xlfn.XLOOKUP(F2513,Apuração!A:A,Apuração!B:B),0)</f>
        <v>0.14285714285714285</v>
      </c>
    </row>
    <row r="2514" spans="1:71" ht="25.95" hidden="1" customHeight="1" x14ac:dyDescent="0.3">
      <c r="A2514" s="44" t="s">
        <v>175</v>
      </c>
      <c r="B2514" s="4" t="s">
        <v>187</v>
      </c>
      <c r="C2514" s="5" t="s">
        <v>221</v>
      </c>
      <c r="D2514" s="5" t="s">
        <v>212</v>
      </c>
      <c r="E2514" s="4" t="s">
        <v>96</v>
      </c>
      <c r="F2514" s="4" t="str" cm="1">
        <f t="array" ref="F2514">_xlfn.IFS(
AG2514 &lt;&gt; "", "Jan-Dez/26",
AH2514 &lt;&gt; "", "Fev-Dez/26",
AI2514 &lt;&gt; "", "Mar-Dez/26", AJ2514 &lt;&gt; "", "Abr-Dez/26",
TRUE, "A partir de Junho"
)</f>
        <v>A partir de Junho</v>
      </c>
      <c r="G2514" s="4" t="s">
        <v>62</v>
      </c>
      <c r="H2514" s="7" t="s">
        <v>54</v>
      </c>
      <c r="I2514" s="21" t="s">
        <v>190</v>
      </c>
      <c r="J2514" s="8" t="str" cm="1">
        <f t="array" aca="1" ref="J2514" ca="1">_xlfn.LET(
  _xlpm.actual_value_month, INDEX(T2514:AE2514, MATCH(DATE(YEAR(TODAY()), MONTH(TODAY()), 1), $T$1:$AE$1, 0)),
  IF(_xlpm.actual_value_month &lt;&gt; "", _xlpm.actual_value_month &amp; " ações mensais", "")
)</f>
        <v/>
      </c>
      <c r="K2514" s="8" t="str" cm="1">
        <f t="array" ref="K2514">_xlfn.LET(
    _xlpm.sum_month, SUM(T2514:AE2514),
    IF(_xlpm.sum_month = 0, "", _xlpm.sum_month &amp; " treinados não mapeados.")
)</f>
        <v/>
      </c>
      <c r="L2514" s="9" t="s">
        <v>191</v>
      </c>
      <c r="M2514" s="13">
        <v>1</v>
      </c>
      <c r="N2514" s="5" t="s">
        <v>51</v>
      </c>
      <c r="O2514" s="5" t="s">
        <v>52</v>
      </c>
      <c r="P2514" s="10" t="s">
        <v>146</v>
      </c>
      <c r="Q2514" s="10" t="s">
        <v>44</v>
      </c>
      <c r="R2514" s="11" t="s">
        <v>44</v>
      </c>
      <c r="S2514" s="11" t="s">
        <v>44</v>
      </c>
      <c r="T2514" s="22"/>
      <c r="U2514" s="22"/>
      <c r="V2514" s="22"/>
      <c r="W2514" s="22"/>
      <c r="X2514" s="22"/>
      <c r="Y2514" s="22"/>
      <c r="Z2514" s="22"/>
      <c r="AA2514" s="22"/>
      <c r="AB2514" s="22"/>
      <c r="AC2514" s="22"/>
      <c r="AD2514" s="22"/>
      <c r="AE2514" s="22"/>
      <c r="AG2514" s="71"/>
      <c r="AH2514" s="71"/>
      <c r="AI2514" s="71"/>
      <c r="AJ2514" s="71"/>
      <c r="AK2514" s="71"/>
      <c r="AL2514" s="71"/>
      <c r="AM2514" s="71"/>
      <c r="AN2514" s="71"/>
      <c r="AO2514" s="71"/>
      <c r="AP2514" s="71"/>
      <c r="AQ2514" s="71"/>
      <c r="AR2514" s="71"/>
      <c r="AS2514" s="94" t="str" cm="1">
        <f t="array" ref="AS2514">IFERROR(INDEX(T2514:AE2514,1,MATCH(2,1/(T2514:AE2514&lt;&gt;""))),"")</f>
        <v/>
      </c>
      <c r="AT2514" s="95">
        <f t="shared" ref="AT2514:AT2515" si="3159">AN2514</f>
        <v>0</v>
      </c>
      <c r="AU2514" s="97">
        <f t="shared" si="3124"/>
        <v>0</v>
      </c>
      <c r="AW2514" s="52">
        <f t="shared" ref="AW2514:AW2515" si="3160">AG2514</f>
        <v>0</v>
      </c>
      <c r="AX2514" s="52"/>
      <c r="AY2514" s="52"/>
      <c r="AZ2514" s="52"/>
      <c r="BA2514" s="52"/>
      <c r="BB2514" s="52"/>
      <c r="BC2514" s="52"/>
      <c r="BD2514" s="52"/>
      <c r="BE2514" s="52"/>
      <c r="BF2514" s="52"/>
      <c r="BG2514" s="52"/>
      <c r="BH2514" s="52"/>
      <c r="BI2514" s="68" cm="1">
        <f t="array" ref="BI2514">IFERROR(INDEX(AW2514:BH2514,1,MATCH(2,1/(AW2514:BH2514&lt;&gt;""))),"")</f>
        <v>0</v>
      </c>
      <c r="BJ2514" s="68" t="str" cm="1">
        <f t="array" ref="BJ2514">IF(BM2514 = "", "",IFERROR(INDEX(AW2514:BH2514,1,MATCH(2,1/(AW2514:BH2514&lt;&gt;""),1)-1),""))</f>
        <v/>
      </c>
      <c r="BK2514" s="59">
        <f t="shared" ref="BK2514:BK2515" si="3161">SUM(AW2514:BH2514)</f>
        <v>0</v>
      </c>
      <c r="BL2514" s="59">
        <f t="shared" ref="BL2514:BL2515" si="3162">SUM(AW2514:BE2514)</f>
        <v>0</v>
      </c>
      <c r="BM2514" s="55" t="str" cm="1">
        <f t="array" ref="BM2514">IFERROR(
   INDEX($AW$1:$BH$1,
      _xlfn.AGGREGATE(14, 6, COLUMN($AW$1:$BH$1)/(AW2514:BH2514&lt;&gt;""), 2) - COLUMN($AW$1) + 1
   ),
"")</f>
        <v/>
      </c>
      <c r="BN2514" s="55" cm="1">
        <f t="array" ref="BN2514">IFERROR(INDEX($AW$1:$BH$1,1,MATCH(2,1/(AW2514:BH2514&lt;&gt;""))),"")</f>
        <v>46023</v>
      </c>
      <c r="BO2514" s="53">
        <f ca="1">IFERROR(_xlfn.XLOOKUP(F2514,Apuração!A:A,Apuração!C:C)/_xlfn.XLOOKUP(F2514,Apuração!A:A,Apuração!B:B),0)</f>
        <v>0</v>
      </c>
      <c r="BP2514" s="53">
        <f ca="1">IFERROR(_xlfn.XLOOKUP(F2514,Apuração!A:A,Apuração!D:D)/_xlfn.XLOOKUP(F2514,Apuração!A:A,Apuração!B:B),0)</f>
        <v>0</v>
      </c>
      <c r="BQ2514" s="53">
        <f ca="1">IF(BK2514&gt;=BO2514,0,_xlfn.XLOOKUP(F2514,Apuração!A:A,Apuração!B:B)*(BO2514 + (1/_xlfn.XLOOKUP(F2514,Apuração!A:A,Apuração!B:B)) - BK2514))</f>
        <v>0</v>
      </c>
      <c r="BR2514" s="85">
        <f t="shared" ref="BR2514:BR2515" ca="1" si="3163">IF(BQ2514=0,0,BQ2514*Z2514)</f>
        <v>0</v>
      </c>
      <c r="BS2514" s="53">
        <f ca="1">IFERROR((_xlfn.XLOOKUP(F2514,Apuração!A:A,Apuração!C:C)+1)/_xlfn.XLOOKUP(F2514,Apuração!A:A,Apuração!B:B),0)</f>
        <v>0.14285714285714285</v>
      </c>
    </row>
    <row r="2515" spans="1:71" ht="25.95" hidden="1" customHeight="1" x14ac:dyDescent="0.3">
      <c r="A2515" s="44" t="s">
        <v>175</v>
      </c>
      <c r="B2515" s="4" t="s">
        <v>187</v>
      </c>
      <c r="C2515" s="5" t="s">
        <v>221</v>
      </c>
      <c r="D2515" s="5" t="s">
        <v>213</v>
      </c>
      <c r="E2515" s="4" t="s">
        <v>96</v>
      </c>
      <c r="F2515" s="4" t="str" cm="1">
        <f t="array" ref="F2515">_xlfn.IFS(
AG2515 &lt;&gt; "", "Jan-Dez/26",
AH2515 &lt;&gt; "", "Fev-Dez/26",
AI2515 &lt;&gt; "", "Mar-Dez/26", AJ2515 &lt;&gt; "", "Abr-Dez/26",
TRUE, "A partir de Junho"
)</f>
        <v>A partir de Junho</v>
      </c>
      <c r="G2515" s="4" t="s">
        <v>62</v>
      </c>
      <c r="H2515" s="7" t="s">
        <v>54</v>
      </c>
      <c r="I2515" s="21" t="s">
        <v>190</v>
      </c>
      <c r="J2515" s="8" t="str" cm="1">
        <f t="array" aca="1" ref="J2515" ca="1">_xlfn.LET(
  _xlpm.actual_value_month, INDEX(T2515:AE2515, MATCH(DATE(YEAR(TODAY()), MONTH(TODAY()), 1), $T$1:$AE$1, 0)),
  IF(_xlpm.actual_value_month &lt;&gt; "", _xlpm.actual_value_month &amp; " ações mensais", "")
)</f>
        <v/>
      </c>
      <c r="K2515" s="8" t="str" cm="1">
        <f t="array" ref="K2515">_xlfn.LET(
    _xlpm.sum_month, SUM(T2515:AE2515),
    IF(_xlpm.sum_month = 0, "", _xlpm.sum_month &amp; " treinados não mapeados.")
)</f>
        <v/>
      </c>
      <c r="L2515" s="9" t="s">
        <v>191</v>
      </c>
      <c r="M2515" s="13">
        <v>1</v>
      </c>
      <c r="N2515" s="5" t="s">
        <v>51</v>
      </c>
      <c r="O2515" s="5" t="s">
        <v>52</v>
      </c>
      <c r="P2515" s="10" t="s">
        <v>146</v>
      </c>
      <c r="Q2515" s="10" t="s">
        <v>44</v>
      </c>
      <c r="R2515" s="11" t="s">
        <v>44</v>
      </c>
      <c r="S2515" s="11" t="s">
        <v>44</v>
      </c>
      <c r="T2515" s="22"/>
      <c r="U2515" s="22"/>
      <c r="V2515" s="22"/>
      <c r="W2515" s="22"/>
      <c r="X2515" s="22"/>
      <c r="Y2515" s="22"/>
      <c r="Z2515" s="22"/>
      <c r="AA2515" s="22"/>
      <c r="AB2515" s="22"/>
      <c r="AC2515" s="22"/>
      <c r="AD2515" s="22"/>
      <c r="AE2515" s="22"/>
      <c r="AG2515" s="71"/>
      <c r="AH2515" s="71"/>
      <c r="AI2515" s="71"/>
      <c r="AJ2515" s="71"/>
      <c r="AK2515" s="71"/>
      <c r="AL2515" s="71"/>
      <c r="AM2515" s="71"/>
      <c r="AN2515" s="71"/>
      <c r="AO2515" s="71"/>
      <c r="AP2515" s="71"/>
      <c r="AQ2515" s="71"/>
      <c r="AR2515" s="71"/>
      <c r="AS2515" s="94" t="str" cm="1">
        <f t="array" ref="AS2515">IFERROR(INDEX(T2515:AE2515,1,MATCH(2,1/(T2515:AE2515&lt;&gt;""))),"")</f>
        <v/>
      </c>
      <c r="AT2515" s="95">
        <f t="shared" si="3159"/>
        <v>0</v>
      </c>
      <c r="AU2515" s="97">
        <f t="shared" si="3124"/>
        <v>0</v>
      </c>
      <c r="AW2515" s="52">
        <f t="shared" si="3160"/>
        <v>0</v>
      </c>
      <c r="AX2515" s="52"/>
      <c r="AY2515" s="52"/>
      <c r="AZ2515" s="52"/>
      <c r="BA2515" s="52"/>
      <c r="BB2515" s="52"/>
      <c r="BC2515" s="52"/>
      <c r="BD2515" s="52"/>
      <c r="BE2515" s="52"/>
      <c r="BF2515" s="52"/>
      <c r="BG2515" s="52"/>
      <c r="BH2515" s="52"/>
      <c r="BI2515" s="68" cm="1">
        <f t="array" ref="BI2515">IFERROR(INDEX(AW2515:BH2515,1,MATCH(2,1/(AW2515:BH2515&lt;&gt;""))),"")</f>
        <v>0</v>
      </c>
      <c r="BJ2515" s="68" t="str" cm="1">
        <f t="array" ref="BJ2515">IF(BM2515 = "", "",IFERROR(INDEX(AW2515:BH2515,1,MATCH(2,1/(AW2515:BH2515&lt;&gt;""),1)-1),""))</f>
        <v/>
      </c>
      <c r="BK2515" s="59">
        <f t="shared" si="3161"/>
        <v>0</v>
      </c>
      <c r="BL2515" s="59">
        <f t="shared" si="3162"/>
        <v>0</v>
      </c>
      <c r="BM2515" s="55" t="str" cm="1">
        <f t="array" ref="BM2515">IFERROR(
   INDEX($AW$1:$BH$1,
      _xlfn.AGGREGATE(14, 6, COLUMN($AW$1:$BH$1)/(AW2515:BH2515&lt;&gt;""), 2) - COLUMN($AW$1) + 1
   ),
"")</f>
        <v/>
      </c>
      <c r="BN2515" s="55" cm="1">
        <f t="array" ref="BN2515">IFERROR(INDEX($AW$1:$BH$1,1,MATCH(2,1/(AW2515:BH2515&lt;&gt;""))),"")</f>
        <v>46023</v>
      </c>
      <c r="BO2515" s="53">
        <f ca="1">IFERROR(_xlfn.XLOOKUP(F2515,Apuração!A:A,Apuração!C:C)/_xlfn.XLOOKUP(F2515,Apuração!A:A,Apuração!B:B),0)</f>
        <v>0</v>
      </c>
      <c r="BP2515" s="53">
        <f ca="1">IFERROR(_xlfn.XLOOKUP(F2515,Apuração!A:A,Apuração!D:D)/_xlfn.XLOOKUP(F2515,Apuração!A:A,Apuração!B:B),0)</f>
        <v>0</v>
      </c>
      <c r="BQ2515" s="53">
        <f ca="1">IF(BK2515&gt;=BO2515,0,_xlfn.XLOOKUP(F2515,Apuração!A:A,Apuração!B:B)*(BO2515 + (1/_xlfn.XLOOKUP(F2515,Apuração!A:A,Apuração!B:B)) - BK2515))</f>
        <v>0</v>
      </c>
      <c r="BR2515" s="85">
        <f t="shared" ca="1" si="3163"/>
        <v>0</v>
      </c>
      <c r="BS2515" s="53">
        <f ca="1">IFERROR((_xlfn.XLOOKUP(F2515,Apuração!A:A,Apuração!C:C)+1)/_xlfn.XLOOKUP(F2515,Apuração!A:A,Apuração!B:B),0)</f>
        <v>0.14285714285714285</v>
      </c>
    </row>
    <row r="2516" spans="1:71" ht="25.95" hidden="1" customHeight="1" x14ac:dyDescent="0.3">
      <c r="A2516" s="44" t="s">
        <v>175</v>
      </c>
      <c r="B2516" s="4" t="s">
        <v>187</v>
      </c>
      <c r="C2516" s="5" t="s">
        <v>221</v>
      </c>
      <c r="D2516" s="5" t="s">
        <v>36</v>
      </c>
      <c r="E2516" s="4" t="s">
        <v>96</v>
      </c>
      <c r="F2516" s="4" t="str" cm="1">
        <f t="array" ref="F2516">_xlfn.IFS(
AG2516 &lt;&gt; "", "Jan-Dez/26",
AH2516 &lt;&gt; "", "Fev-Dez/26",
AI2516 &lt;&gt; "", "Mar-Dez/26", AJ2516 &lt;&gt; "", "Abr-Dez/26",
TRUE, "A partir de Junho"
)</f>
        <v>A partir de Junho</v>
      </c>
      <c r="G2516" s="4" t="s">
        <v>62</v>
      </c>
      <c r="H2516" s="7" t="s">
        <v>54</v>
      </c>
      <c r="I2516" s="34" t="s">
        <v>192</v>
      </c>
      <c r="J2516" s="8" t="str" cm="1">
        <f t="array" aca="1" ref="J2516" ca="1">_xlfn.LET(
  _xlpm.actual_value_month, INDEX(T2516:AE2516, MATCH(DATE(YEAR(TODAY()), MONTH(TODAY()), 1), $T$1:$AE$1, 0)),
  IF(_xlpm.actual_value_month &lt;&gt; "", _xlpm.actual_value_month &amp; " ações mensais", "")
)</f>
        <v/>
      </c>
      <c r="K2516" s="34" t="str" cm="1">
        <f t="array" ref="K2516">_xlfn.LET(
    _xlpm.sum_month, SUM(T2516:AE2516),
    IF(_xlpm.sum_month = 0, "", _xlpm.sum_month &amp; " colaboradores treinados.")
)</f>
        <v/>
      </c>
      <c r="L2516" s="4" t="s">
        <v>193</v>
      </c>
      <c r="M2516" s="9"/>
      <c r="N2516" s="5" t="s">
        <v>51</v>
      </c>
      <c r="O2516" s="5" t="s">
        <v>52</v>
      </c>
      <c r="P2516" s="10" t="s">
        <v>44</v>
      </c>
      <c r="Q2516" s="10" t="s">
        <v>44</v>
      </c>
      <c r="R2516" s="11" t="s">
        <v>44</v>
      </c>
      <c r="S2516" s="11" t="s">
        <v>44</v>
      </c>
      <c r="T2516" s="22"/>
      <c r="U2516" s="22"/>
      <c r="V2516" s="22"/>
      <c r="W2516" s="22"/>
      <c r="X2516" s="22"/>
      <c r="Y2516" s="22"/>
      <c r="Z2516" s="22"/>
      <c r="AA2516" s="22"/>
      <c r="AB2516" s="22"/>
      <c r="AC2516" s="22"/>
      <c r="AD2516" s="22"/>
      <c r="AE2516" s="22"/>
      <c r="AG2516" s="71"/>
      <c r="AH2516" s="71"/>
      <c r="AI2516" s="71"/>
      <c r="AJ2516" s="71"/>
      <c r="AK2516" s="71"/>
      <c r="AL2516" s="71"/>
      <c r="AM2516" s="71"/>
      <c r="AN2516" s="71"/>
      <c r="AO2516" s="71"/>
      <c r="AP2516" s="71"/>
      <c r="AQ2516" s="71"/>
      <c r="AR2516" s="71"/>
      <c r="AS2516" s="94" t="str" cm="1">
        <f t="array" ref="AS2516">IFERROR(INDEX(T2516:AE2516,1,MATCH(2,1/(T2516:AE2516&lt;&gt;""))),"")</f>
        <v/>
      </c>
      <c r="AT2516" s="95">
        <f>AN2516</f>
        <v>0</v>
      </c>
      <c r="AU2516" s="97">
        <f t="shared" si="3124"/>
        <v>0</v>
      </c>
      <c r="AW2516" s="52">
        <f>AG2516</f>
        <v>0</v>
      </c>
      <c r="AX2516" s="52"/>
      <c r="AY2516" s="52"/>
      <c r="AZ2516" s="52"/>
      <c r="BA2516" s="52"/>
      <c r="BB2516" s="52"/>
      <c r="BC2516" s="52"/>
      <c r="BD2516" s="52"/>
      <c r="BE2516" s="52"/>
      <c r="BF2516" s="52"/>
      <c r="BG2516" s="52"/>
      <c r="BH2516" s="52"/>
      <c r="BI2516" s="68" cm="1">
        <f t="array" ref="BI2516">IFERROR(INDEX(AW2516:BH2516,1,MATCH(2,1/(AW2516:BH2516&lt;&gt;""))),"")</f>
        <v>0</v>
      </c>
      <c r="BJ2516" s="68" t="str" cm="1">
        <f t="array" ref="BJ2516">IF(BM2516 = "", "",IFERROR(INDEX(AW2516:BH2516,1,MATCH(2,1/(AW2516:BH2516&lt;&gt;""),1)-1),""))</f>
        <v/>
      </c>
      <c r="BK2516" s="59">
        <f>SUM(AW2516:BH2516)</f>
        <v>0</v>
      </c>
      <c r="BL2516" s="59">
        <f>SUM(AW2516:BE2516)</f>
        <v>0</v>
      </c>
      <c r="BM2516" s="55" t="str" cm="1">
        <f t="array" ref="BM2516">IFERROR(
   INDEX($AW$1:$BH$1,
      _xlfn.AGGREGATE(14, 6, COLUMN($AW$1:$BH$1)/(AW2516:BH2516&lt;&gt;""), 2) - COLUMN($AW$1) + 1
   ),
"")</f>
        <v/>
      </c>
      <c r="BN2516" s="55" cm="1">
        <f t="array" ref="BN2516">IFERROR(INDEX($AW$1:$BH$1,1,MATCH(2,1/(AW2516:BH2516&lt;&gt;""))),"")</f>
        <v>46023</v>
      </c>
      <c r="BO2516" s="53">
        <f ca="1">IFERROR(_xlfn.XLOOKUP(F2516,Apuração!A:A,Apuração!C:C)/_xlfn.XLOOKUP(F2516,Apuração!A:A,Apuração!B:B),0)</f>
        <v>0</v>
      </c>
      <c r="BP2516" s="53">
        <f ca="1">IFERROR(_xlfn.XLOOKUP(F2516,Apuração!A:A,Apuração!D:D)/_xlfn.XLOOKUP(F2516,Apuração!A:A,Apuração!B:B),0)</f>
        <v>0</v>
      </c>
      <c r="BQ2516" s="53">
        <f ca="1">IF(BK2516&gt;=BO2516,0,_xlfn.XLOOKUP(F2516,Apuração!A:A,Apuração!B:B)*(BO2516 + (1/_xlfn.XLOOKUP(F2516,Apuração!A:A,Apuração!B:B)) - BK2516))</f>
        <v>0</v>
      </c>
      <c r="BR2516" s="85">
        <f t="shared" ca="1" si="2957"/>
        <v>0</v>
      </c>
      <c r="BS2516" s="53">
        <f ca="1">IFERROR((_xlfn.XLOOKUP(F2516,Apuração!A:A,Apuração!C:C)+1)/_xlfn.XLOOKUP(F2516,Apuração!A:A,Apuração!B:B),0)</f>
        <v>0.14285714285714285</v>
      </c>
    </row>
    <row r="2517" spans="1:71" ht="25.95" hidden="1" customHeight="1" x14ac:dyDescent="0.3">
      <c r="A2517" s="44" t="s">
        <v>175</v>
      </c>
      <c r="B2517" s="4" t="s">
        <v>187</v>
      </c>
      <c r="C2517" s="5" t="s">
        <v>221</v>
      </c>
      <c r="D2517" s="5" t="s">
        <v>212</v>
      </c>
      <c r="E2517" s="4" t="s">
        <v>96</v>
      </c>
      <c r="F2517" s="4" t="str" cm="1">
        <f t="array" ref="F2517">_xlfn.IFS(
AG2517 &lt;&gt; "", "Jan-Dez/26",
AH2517 &lt;&gt; "", "Fev-Dez/26",
AI2517 &lt;&gt; "", "Mar-Dez/26", AJ2517 &lt;&gt; "", "Abr-Dez/26",
TRUE, "A partir de Junho"
)</f>
        <v>A partir de Junho</v>
      </c>
      <c r="G2517" s="4" t="s">
        <v>62</v>
      </c>
      <c r="H2517" s="7" t="s">
        <v>54</v>
      </c>
      <c r="I2517" s="34" t="s">
        <v>192</v>
      </c>
      <c r="J2517" s="8" t="str" cm="1">
        <f t="array" aca="1" ref="J2517" ca="1">_xlfn.LET(
  _xlpm.actual_value_month, INDEX(T2517:AE2517, MATCH(DATE(YEAR(TODAY()), MONTH(TODAY()), 1), $T$1:$AE$1, 0)),
  IF(_xlpm.actual_value_month &lt;&gt; "", _xlpm.actual_value_month &amp; " ações mensais", "")
)</f>
        <v/>
      </c>
      <c r="K2517" s="34" t="str" cm="1">
        <f t="array" ref="K2517">_xlfn.LET(
    _xlpm.sum_month, SUM(T2517:AE2517),
    IF(_xlpm.sum_month = 0, "", _xlpm.sum_month &amp; " colaboradores treinados.")
)</f>
        <v/>
      </c>
      <c r="L2517" s="4" t="s">
        <v>193</v>
      </c>
      <c r="M2517" s="9"/>
      <c r="N2517" s="5" t="s">
        <v>51</v>
      </c>
      <c r="O2517" s="5" t="s">
        <v>52</v>
      </c>
      <c r="P2517" s="10" t="s">
        <v>44</v>
      </c>
      <c r="Q2517" s="10" t="s">
        <v>44</v>
      </c>
      <c r="R2517" s="11" t="s">
        <v>44</v>
      </c>
      <c r="S2517" s="11" t="s">
        <v>44</v>
      </c>
      <c r="T2517" s="22"/>
      <c r="U2517" s="22"/>
      <c r="V2517" s="22"/>
      <c r="W2517" s="22"/>
      <c r="X2517" s="22"/>
      <c r="Y2517" s="22"/>
      <c r="Z2517" s="22"/>
      <c r="AA2517" s="22"/>
      <c r="AB2517" s="22"/>
      <c r="AC2517" s="22"/>
      <c r="AD2517" s="22"/>
      <c r="AE2517" s="22"/>
      <c r="AG2517" s="71"/>
      <c r="AH2517" s="71"/>
      <c r="AI2517" s="71"/>
      <c r="AJ2517" s="71"/>
      <c r="AK2517" s="71"/>
      <c r="AL2517" s="71"/>
      <c r="AM2517" s="71"/>
      <c r="AN2517" s="71"/>
      <c r="AO2517" s="71"/>
      <c r="AP2517" s="71"/>
      <c r="AQ2517" s="71"/>
      <c r="AR2517" s="71"/>
      <c r="AS2517" s="94" t="str" cm="1">
        <f t="array" ref="AS2517">IFERROR(INDEX(T2517:AE2517,1,MATCH(2,1/(T2517:AE2517&lt;&gt;""))),"")</f>
        <v/>
      </c>
      <c r="AT2517" s="95">
        <f t="shared" ref="AT2517:AT2518" si="3164">AN2517</f>
        <v>0</v>
      </c>
      <c r="AU2517" s="97">
        <f t="shared" si="3124"/>
        <v>0</v>
      </c>
      <c r="AW2517" s="52">
        <f t="shared" ref="AW2517:AW2518" si="3165">AG2517</f>
        <v>0</v>
      </c>
      <c r="AX2517" s="52"/>
      <c r="AY2517" s="52"/>
      <c r="AZ2517" s="52"/>
      <c r="BA2517" s="52"/>
      <c r="BB2517" s="52"/>
      <c r="BC2517" s="52"/>
      <c r="BD2517" s="52"/>
      <c r="BE2517" s="52"/>
      <c r="BF2517" s="52"/>
      <c r="BG2517" s="52"/>
      <c r="BH2517" s="52"/>
      <c r="BI2517" s="68" cm="1">
        <f t="array" ref="BI2517">IFERROR(INDEX(AW2517:BH2517,1,MATCH(2,1/(AW2517:BH2517&lt;&gt;""))),"")</f>
        <v>0</v>
      </c>
      <c r="BJ2517" s="68" t="str" cm="1">
        <f t="array" ref="BJ2517">IF(BM2517 = "", "",IFERROR(INDEX(AW2517:BH2517,1,MATCH(2,1/(AW2517:BH2517&lt;&gt;""),1)-1),""))</f>
        <v/>
      </c>
      <c r="BK2517" s="59">
        <f t="shared" ref="BK2517:BK2518" si="3166">SUM(AW2517:BH2517)</f>
        <v>0</v>
      </c>
      <c r="BL2517" s="59">
        <f t="shared" ref="BL2517:BL2518" si="3167">SUM(AW2517:BE2517)</f>
        <v>0</v>
      </c>
      <c r="BM2517" s="55" t="str" cm="1">
        <f t="array" ref="BM2517">IFERROR(
   INDEX($AW$1:$BH$1,
      _xlfn.AGGREGATE(14, 6, COLUMN($AW$1:$BH$1)/(AW2517:BH2517&lt;&gt;""), 2) - COLUMN($AW$1) + 1
   ),
"")</f>
        <v/>
      </c>
      <c r="BN2517" s="55" cm="1">
        <f t="array" ref="BN2517">IFERROR(INDEX($AW$1:$BH$1,1,MATCH(2,1/(AW2517:BH2517&lt;&gt;""))),"")</f>
        <v>46023</v>
      </c>
      <c r="BO2517" s="53">
        <f ca="1">IFERROR(_xlfn.XLOOKUP(F2517,Apuração!A:A,Apuração!C:C)/_xlfn.XLOOKUP(F2517,Apuração!A:A,Apuração!B:B),0)</f>
        <v>0</v>
      </c>
      <c r="BP2517" s="53">
        <f ca="1">IFERROR(_xlfn.XLOOKUP(F2517,Apuração!A:A,Apuração!D:D)/_xlfn.XLOOKUP(F2517,Apuração!A:A,Apuração!B:B),0)</f>
        <v>0</v>
      </c>
      <c r="BQ2517" s="53">
        <f ca="1">IF(BK2517&gt;=BO2517,0,_xlfn.XLOOKUP(F2517,Apuração!A:A,Apuração!B:B)*(BO2517 + (1/_xlfn.XLOOKUP(F2517,Apuração!A:A,Apuração!B:B)) - BK2517))</f>
        <v>0</v>
      </c>
      <c r="BR2517" s="85">
        <f t="shared" ref="BR2517:BR2518" ca="1" si="3168">IF(BQ2517=0,0,BQ2517*Z2517)</f>
        <v>0</v>
      </c>
      <c r="BS2517" s="53">
        <f ca="1">IFERROR((_xlfn.XLOOKUP(F2517,Apuração!A:A,Apuração!C:C)+1)/_xlfn.XLOOKUP(F2517,Apuração!A:A,Apuração!B:B),0)</f>
        <v>0.14285714285714285</v>
      </c>
    </row>
    <row r="2518" spans="1:71" ht="25.95" hidden="1" customHeight="1" x14ac:dyDescent="0.3">
      <c r="A2518" s="44" t="s">
        <v>175</v>
      </c>
      <c r="B2518" s="4" t="s">
        <v>187</v>
      </c>
      <c r="C2518" s="5" t="s">
        <v>221</v>
      </c>
      <c r="D2518" s="5" t="s">
        <v>213</v>
      </c>
      <c r="E2518" s="4" t="s">
        <v>96</v>
      </c>
      <c r="F2518" s="4" t="str" cm="1">
        <f t="array" ref="F2518">_xlfn.IFS(
AG2518 &lt;&gt; "", "Jan-Dez/26",
AH2518 &lt;&gt; "", "Fev-Dez/26",
AI2518 &lt;&gt; "", "Mar-Dez/26", AJ2518 &lt;&gt; "", "Abr-Dez/26",
TRUE, "A partir de Junho"
)</f>
        <v>A partir de Junho</v>
      </c>
      <c r="G2518" s="4" t="s">
        <v>62</v>
      </c>
      <c r="H2518" s="7" t="s">
        <v>54</v>
      </c>
      <c r="I2518" s="34" t="s">
        <v>192</v>
      </c>
      <c r="J2518" s="8" t="str" cm="1">
        <f t="array" aca="1" ref="J2518" ca="1">_xlfn.LET(
  _xlpm.actual_value_month, INDEX(T2518:AE2518, MATCH(DATE(YEAR(TODAY()), MONTH(TODAY()), 1), $T$1:$AE$1, 0)),
  IF(_xlpm.actual_value_month &lt;&gt; "", _xlpm.actual_value_month &amp; " ações mensais", "")
)</f>
        <v/>
      </c>
      <c r="K2518" s="34" t="str" cm="1">
        <f t="array" ref="K2518">_xlfn.LET(
    _xlpm.sum_month, SUM(T2518:AE2518),
    IF(_xlpm.sum_month = 0, "", _xlpm.sum_month &amp; " colaboradores treinados.")
)</f>
        <v/>
      </c>
      <c r="L2518" s="4" t="s">
        <v>193</v>
      </c>
      <c r="M2518" s="9"/>
      <c r="N2518" s="5" t="s">
        <v>51</v>
      </c>
      <c r="O2518" s="5" t="s">
        <v>52</v>
      </c>
      <c r="P2518" s="10" t="s">
        <v>44</v>
      </c>
      <c r="Q2518" s="10" t="s">
        <v>44</v>
      </c>
      <c r="R2518" s="11" t="s">
        <v>44</v>
      </c>
      <c r="S2518" s="11" t="s">
        <v>44</v>
      </c>
      <c r="T2518" s="22"/>
      <c r="U2518" s="22"/>
      <c r="V2518" s="22"/>
      <c r="W2518" s="22"/>
      <c r="X2518" s="22"/>
      <c r="Y2518" s="22"/>
      <c r="Z2518" s="22"/>
      <c r="AA2518" s="22"/>
      <c r="AB2518" s="22"/>
      <c r="AC2518" s="22"/>
      <c r="AD2518" s="22"/>
      <c r="AE2518" s="22"/>
      <c r="AG2518" s="71"/>
      <c r="AH2518" s="71"/>
      <c r="AI2518" s="71"/>
      <c r="AJ2518" s="71"/>
      <c r="AK2518" s="71"/>
      <c r="AL2518" s="71"/>
      <c r="AM2518" s="71"/>
      <c r="AN2518" s="71"/>
      <c r="AO2518" s="71"/>
      <c r="AP2518" s="71"/>
      <c r="AQ2518" s="71"/>
      <c r="AR2518" s="71"/>
      <c r="AS2518" s="94" t="str" cm="1">
        <f t="array" ref="AS2518">IFERROR(INDEX(T2518:AE2518,1,MATCH(2,1/(T2518:AE2518&lt;&gt;""))),"")</f>
        <v/>
      </c>
      <c r="AT2518" s="95">
        <f t="shared" si="3164"/>
        <v>0</v>
      </c>
      <c r="AU2518" s="97">
        <f t="shared" si="3124"/>
        <v>0</v>
      </c>
      <c r="AW2518" s="52">
        <f t="shared" si="3165"/>
        <v>0</v>
      </c>
      <c r="AX2518" s="52"/>
      <c r="AY2518" s="52"/>
      <c r="AZ2518" s="52"/>
      <c r="BA2518" s="52"/>
      <c r="BB2518" s="52"/>
      <c r="BC2518" s="52"/>
      <c r="BD2518" s="52"/>
      <c r="BE2518" s="52"/>
      <c r="BF2518" s="52"/>
      <c r="BG2518" s="52"/>
      <c r="BH2518" s="52"/>
      <c r="BI2518" s="68" cm="1">
        <f t="array" ref="BI2518">IFERROR(INDEX(AW2518:BH2518,1,MATCH(2,1/(AW2518:BH2518&lt;&gt;""))),"")</f>
        <v>0</v>
      </c>
      <c r="BJ2518" s="68" t="str" cm="1">
        <f t="array" ref="BJ2518">IF(BM2518 = "", "",IFERROR(INDEX(AW2518:BH2518,1,MATCH(2,1/(AW2518:BH2518&lt;&gt;""),1)-1),""))</f>
        <v/>
      </c>
      <c r="BK2518" s="59">
        <f t="shared" si="3166"/>
        <v>0</v>
      </c>
      <c r="BL2518" s="59">
        <f t="shared" si="3167"/>
        <v>0</v>
      </c>
      <c r="BM2518" s="55" t="str" cm="1">
        <f t="array" ref="BM2518">IFERROR(
   INDEX($AW$1:$BH$1,
      _xlfn.AGGREGATE(14, 6, COLUMN($AW$1:$BH$1)/(AW2518:BH2518&lt;&gt;""), 2) - COLUMN($AW$1) + 1
   ),
"")</f>
        <v/>
      </c>
      <c r="BN2518" s="55" cm="1">
        <f t="array" ref="BN2518">IFERROR(INDEX($AW$1:$BH$1,1,MATCH(2,1/(AW2518:BH2518&lt;&gt;""))),"")</f>
        <v>46023</v>
      </c>
      <c r="BO2518" s="53">
        <f ca="1">IFERROR(_xlfn.XLOOKUP(F2518,Apuração!A:A,Apuração!C:C)/_xlfn.XLOOKUP(F2518,Apuração!A:A,Apuração!B:B),0)</f>
        <v>0</v>
      </c>
      <c r="BP2518" s="53">
        <f ca="1">IFERROR(_xlfn.XLOOKUP(F2518,Apuração!A:A,Apuração!D:D)/_xlfn.XLOOKUP(F2518,Apuração!A:A,Apuração!B:B),0)</f>
        <v>0</v>
      </c>
      <c r="BQ2518" s="53">
        <f ca="1">IF(BK2518&gt;=BO2518,0,_xlfn.XLOOKUP(F2518,Apuração!A:A,Apuração!B:B)*(BO2518 + (1/_xlfn.XLOOKUP(F2518,Apuração!A:A,Apuração!B:B)) - BK2518))</f>
        <v>0</v>
      </c>
      <c r="BR2518" s="85">
        <f t="shared" ca="1" si="3168"/>
        <v>0</v>
      </c>
      <c r="BS2518" s="53">
        <f ca="1">IFERROR((_xlfn.XLOOKUP(F2518,Apuração!A:A,Apuração!C:C)+1)/_xlfn.XLOOKUP(F2518,Apuração!A:A,Apuração!B:B),0)</f>
        <v>0.14285714285714285</v>
      </c>
    </row>
    <row r="2519" spans="1:71" ht="25.95" hidden="1" customHeight="1" x14ac:dyDescent="0.3">
      <c r="A2519" s="33" t="s">
        <v>175</v>
      </c>
      <c r="B2519" s="4" t="s">
        <v>194</v>
      </c>
      <c r="C2519" s="5" t="s">
        <v>221</v>
      </c>
      <c r="D2519" s="5" t="s">
        <v>36</v>
      </c>
      <c r="E2519" s="4" t="s">
        <v>96</v>
      </c>
      <c r="F2519" s="4" t="str" cm="1">
        <f t="array" ref="F2519">_xlfn.IFS(
AG2519 &lt;&gt; "", "Jan-Dez/26",
AH2519 &lt;&gt; "", "Fev-Dez/26",
AI2519 &lt;&gt; "", "Mar-Dez/26", AJ2519 &lt;&gt; "", "Abr-Dez/26",
TRUE, "A partir de Junho"
)</f>
        <v>A partir de Junho</v>
      </c>
      <c r="G2519" s="4" t="s">
        <v>62</v>
      </c>
      <c r="H2519" s="7" t="s">
        <v>38</v>
      </c>
      <c r="I2519" s="8" t="s">
        <v>177</v>
      </c>
      <c r="J2519" s="8" t="str" cm="1">
        <f t="array" aca="1" ref="J2519" ca="1">_xlfn.LET(
  _xlpm.actual_value_month, INDEX(T2519:AE2519, MATCH(DATE(YEAR(TODAY()), MONTH(TODAY()), 1), $T$1:$AE$1, 0)),
  IF(_xlpm.actual_value_month &lt;&gt; "", _xlpm.actual_value_month &amp; " ações mensais", "")
)</f>
        <v/>
      </c>
      <c r="K2519" s="8" t="str" cm="1">
        <f t="array" ref="K2519">_xlfn.LET(
    _xlpm.sum_month, SUM(T2519:AE2519),
    IF(_xlpm.sum_month = 0, "", _xlpm.sum_month &amp; " certificados gerados.")
)</f>
        <v/>
      </c>
      <c r="L2519" s="9" t="s">
        <v>195</v>
      </c>
      <c r="M2519" s="13">
        <v>1</v>
      </c>
      <c r="N2519" s="5" t="s">
        <v>42</v>
      </c>
      <c r="O2519" s="5" t="s">
        <v>43</v>
      </c>
      <c r="P2519" s="10" t="s">
        <v>146</v>
      </c>
      <c r="Q2519" s="10" t="s">
        <v>44</v>
      </c>
      <c r="R2519" s="11" t="s">
        <v>179</v>
      </c>
      <c r="S2519" s="11" t="s">
        <v>67</v>
      </c>
      <c r="T2519" s="22"/>
      <c r="U2519" s="22"/>
      <c r="V2519" s="22"/>
      <c r="W2519" s="22"/>
      <c r="X2519" s="22"/>
      <c r="Y2519" s="22"/>
      <c r="Z2519" s="22"/>
      <c r="AA2519" s="22"/>
      <c r="AB2519" s="22"/>
      <c r="AC2519" s="22"/>
      <c r="AD2519" s="22"/>
      <c r="AE2519" s="22"/>
      <c r="AG2519" s="71"/>
      <c r="AH2519" s="71"/>
      <c r="AI2519" s="71"/>
      <c r="AJ2519" s="71"/>
      <c r="AK2519" s="71"/>
      <c r="AL2519" s="71"/>
      <c r="AM2519" s="71"/>
      <c r="AN2519" s="71"/>
      <c r="AO2519" s="71"/>
      <c r="AP2519" s="71"/>
      <c r="AQ2519" s="71"/>
      <c r="AR2519" s="71"/>
      <c r="AS2519" s="94" t="str" cm="1">
        <f t="array" ref="AS2519">IFERROR(INDEX(T2519:AE2519,1,MATCH(2,1/(T2519:AE2519&lt;&gt;""))),"")</f>
        <v/>
      </c>
      <c r="AT2519" s="95" t="str" cm="1">
        <f t="array" ref="AT2519">IFERROR(INDEX(AJ2519:AR2519,1,MATCH(2,1/(AJ2519:AR2519&lt;&gt;""))),"")</f>
        <v/>
      </c>
      <c r="AU2519" s="97" t="str">
        <f t="shared" si="3124"/>
        <v/>
      </c>
      <c r="AW2519" s="51"/>
      <c r="AX2519" s="51"/>
      <c r="AY2519" s="51"/>
      <c r="AZ2519" s="51"/>
      <c r="BA2519" s="51"/>
      <c r="BB2519" s="51"/>
      <c r="BC2519" s="51"/>
      <c r="BD2519" s="51"/>
      <c r="BE2519" s="51"/>
      <c r="BF2519" s="51"/>
      <c r="BG2519" s="51"/>
      <c r="BH2519" s="51"/>
      <c r="BI2519" s="65" t="str" cm="1">
        <f t="array" ref="BI2519">IFERROR(INDEX(AW2519:BH2519,1,MATCH(2,1/(AW2519:BH2519&lt;&gt;""))),"")</f>
        <v/>
      </c>
      <c r="BJ2519" s="68" t="str" cm="1">
        <f t="array" ref="BJ2519">IF(BM2519 = "", "",IFERROR(INDEX(AW2519:BH2519,1,MATCH(2,1/(AW2519:BH2519&lt;&gt;""),1)-1),""))</f>
        <v/>
      </c>
      <c r="BK2519" s="58" t="str" cm="1">
        <f t="array" ref="BK2519">IFERROR(INDEX(AW2519:BH2519,1,MATCH(2,1/(AW2519:BH2519&lt;&gt;""))),"")</f>
        <v/>
      </c>
      <c r="BL2519" s="58" t="str" cm="1">
        <f t="array" ref="BL2519">IFERROR(INDEX(AW2519:BH2519,1,MATCH(2,1/(AW2519:BH2519&lt;&gt;""),1)-1),"")</f>
        <v/>
      </c>
      <c r="BM2519" s="55" t="str" cm="1">
        <f t="array" ref="BM2519">IFERROR(
   INDEX($AW$1:$BH$1,
      _xlfn.AGGREGATE(14, 6, COLUMN($AW$1:$BH$1)/(AW2519:BH2519&lt;&gt;""), 2) - COLUMN($AW$1) + 1
   ),
"")</f>
        <v/>
      </c>
      <c r="BN2519" s="55" t="str" cm="1">
        <f t="array" ref="BN2519">IFERROR(INDEX($AW$1:$BH$1,1,MATCH(2,1/(AW2519:BH2519&lt;&gt;""))),"")</f>
        <v/>
      </c>
      <c r="BO2519" s="53">
        <f ca="1">IFERROR(_xlfn.XLOOKUP(F2519,Apuração!A:A,Apuração!C:C)/_xlfn.XLOOKUP(F2519,Apuração!A:A,Apuração!B:B),0)</f>
        <v>0</v>
      </c>
      <c r="BP2519" s="53">
        <f ca="1">IFERROR(_xlfn.XLOOKUP(F2519,Apuração!A:A,Apuração!D:D)/_xlfn.XLOOKUP(F2519,Apuração!A:A,Apuração!B:B),0)</f>
        <v>0</v>
      </c>
      <c r="BQ2519" s="53">
        <f ca="1">IF(BK2519&gt;=BO2519,0,_xlfn.XLOOKUP(F2519,Apuração!A:A,Apuração!B:B)*(BO2519 + (1/_xlfn.XLOOKUP(F2519,Apuração!A:A,Apuração!B:B)) - BK2519))</f>
        <v>0</v>
      </c>
      <c r="BR2519" s="85">
        <f t="shared" ca="1" si="2957"/>
        <v>0</v>
      </c>
      <c r="BS2519" s="53">
        <f ca="1">IFERROR((_xlfn.XLOOKUP(F2519,Apuração!A:A,Apuração!C:C)+1)/_xlfn.XLOOKUP(F2519,Apuração!A:A,Apuração!B:B),0)</f>
        <v>0.14285714285714285</v>
      </c>
    </row>
    <row r="2520" spans="1:71" ht="25.95" hidden="1" customHeight="1" x14ac:dyDescent="0.3">
      <c r="A2520" s="33" t="s">
        <v>175</v>
      </c>
      <c r="B2520" s="4" t="s">
        <v>194</v>
      </c>
      <c r="C2520" s="5" t="s">
        <v>221</v>
      </c>
      <c r="D2520" s="5" t="s">
        <v>212</v>
      </c>
      <c r="E2520" s="4" t="s">
        <v>96</v>
      </c>
      <c r="F2520" s="4" t="str" cm="1">
        <f t="array" ref="F2520">_xlfn.IFS(
AG2520 &lt;&gt; "", "Jan-Dez/26",
AH2520 &lt;&gt; "", "Fev-Dez/26",
AI2520 &lt;&gt; "", "Mar-Dez/26", AJ2520 &lt;&gt; "", "Abr-Dez/26",
TRUE, "A partir de Junho"
)</f>
        <v>A partir de Junho</v>
      </c>
      <c r="G2520" s="4" t="s">
        <v>62</v>
      </c>
      <c r="H2520" s="7" t="s">
        <v>38</v>
      </c>
      <c r="I2520" s="8" t="s">
        <v>177</v>
      </c>
      <c r="J2520" s="8" t="str" cm="1">
        <f t="array" aca="1" ref="J2520" ca="1">_xlfn.LET(
  _xlpm.actual_value_month, INDEX(T2520:AE2520, MATCH(DATE(YEAR(TODAY()), MONTH(TODAY()), 1), $T$1:$AE$1, 0)),
  IF(_xlpm.actual_value_month &lt;&gt; "", _xlpm.actual_value_month &amp; " ações mensais", "")
)</f>
        <v/>
      </c>
      <c r="K2520" s="8" t="str" cm="1">
        <f t="array" ref="K2520">_xlfn.LET(
    _xlpm.sum_month, SUM(T2520:AE2520),
    IF(_xlpm.sum_month = 0, "", _xlpm.sum_month &amp; " certificados gerados.")
)</f>
        <v/>
      </c>
      <c r="L2520" s="9" t="s">
        <v>195</v>
      </c>
      <c r="M2520" s="13">
        <v>1</v>
      </c>
      <c r="N2520" s="5" t="s">
        <v>42</v>
      </c>
      <c r="O2520" s="5" t="s">
        <v>43</v>
      </c>
      <c r="P2520" s="10" t="s">
        <v>146</v>
      </c>
      <c r="Q2520" s="10" t="s">
        <v>44</v>
      </c>
      <c r="R2520" s="11" t="s">
        <v>179</v>
      </c>
      <c r="S2520" s="11" t="s">
        <v>67</v>
      </c>
      <c r="T2520" s="22"/>
      <c r="U2520" s="22"/>
      <c r="V2520" s="22"/>
      <c r="W2520" s="22"/>
      <c r="X2520" s="22"/>
      <c r="Y2520" s="22"/>
      <c r="Z2520" s="22"/>
      <c r="AA2520" s="22"/>
      <c r="AB2520" s="22"/>
      <c r="AC2520" s="22"/>
      <c r="AD2520" s="22"/>
      <c r="AE2520" s="22"/>
      <c r="AG2520" s="71"/>
      <c r="AH2520" s="71"/>
      <c r="AI2520" s="71"/>
      <c r="AJ2520" s="71"/>
      <c r="AK2520" s="71"/>
      <c r="AL2520" s="71"/>
      <c r="AM2520" s="71"/>
      <c r="AN2520" s="71"/>
      <c r="AO2520" s="71"/>
      <c r="AP2520" s="71"/>
      <c r="AQ2520" s="71"/>
      <c r="AR2520" s="71"/>
      <c r="AS2520" s="94" t="str" cm="1">
        <f t="array" ref="AS2520">IFERROR(INDEX(T2520:AE2520,1,MATCH(2,1/(T2520:AE2520&lt;&gt;""))),"")</f>
        <v/>
      </c>
      <c r="AT2520" s="95" t="str" cm="1">
        <f t="array" ref="AT2520">IFERROR(INDEX(AJ2520:AR2520,1,MATCH(2,1/(AJ2520:AR2520&lt;&gt;""))),"")</f>
        <v/>
      </c>
      <c r="AU2520" s="97" t="str">
        <f t="shared" si="3124"/>
        <v/>
      </c>
      <c r="AW2520" s="51"/>
      <c r="AX2520" s="51"/>
      <c r="AY2520" s="51"/>
      <c r="AZ2520" s="51"/>
      <c r="BA2520" s="51"/>
      <c r="BB2520" s="51"/>
      <c r="BC2520" s="51"/>
      <c r="BD2520" s="51"/>
      <c r="BE2520" s="51"/>
      <c r="BF2520" s="51"/>
      <c r="BG2520" s="51"/>
      <c r="BH2520" s="51"/>
      <c r="BI2520" s="65" t="str" cm="1">
        <f t="array" ref="BI2520">IFERROR(INDEX(AW2520:BH2520,1,MATCH(2,1/(AW2520:BH2520&lt;&gt;""))),"")</f>
        <v/>
      </c>
      <c r="BJ2520" s="68" t="str" cm="1">
        <f t="array" ref="BJ2520">IF(BM2520 = "", "",IFERROR(INDEX(AW2520:BH2520,1,MATCH(2,1/(AW2520:BH2520&lt;&gt;""),1)-1),""))</f>
        <v/>
      </c>
      <c r="BK2520" s="58" t="str" cm="1">
        <f t="array" ref="BK2520">IFERROR(INDEX(AW2520:BH2520,1,MATCH(2,1/(AW2520:BH2520&lt;&gt;""))),"")</f>
        <v/>
      </c>
      <c r="BL2520" s="58" t="str" cm="1">
        <f t="array" ref="BL2520">IFERROR(INDEX(AW2520:BH2520,1,MATCH(2,1/(AW2520:BH2520&lt;&gt;""),1)-1),"")</f>
        <v/>
      </c>
      <c r="BM2520" s="55" t="str" cm="1">
        <f t="array" ref="BM2520">IFERROR(
   INDEX($AW$1:$BH$1,
      _xlfn.AGGREGATE(14, 6, COLUMN($AW$1:$BH$1)/(AW2520:BH2520&lt;&gt;""), 2) - COLUMN($AW$1) + 1
   ),
"")</f>
        <v/>
      </c>
      <c r="BN2520" s="55" t="str" cm="1">
        <f t="array" ref="BN2520">IFERROR(INDEX($AW$1:$BH$1,1,MATCH(2,1/(AW2520:BH2520&lt;&gt;""))),"")</f>
        <v/>
      </c>
      <c r="BO2520" s="53">
        <f ca="1">IFERROR(_xlfn.XLOOKUP(F2520,Apuração!A:A,Apuração!C:C)/_xlfn.XLOOKUP(F2520,Apuração!A:A,Apuração!B:B),0)</f>
        <v>0</v>
      </c>
      <c r="BP2520" s="53">
        <f ca="1">IFERROR(_xlfn.XLOOKUP(F2520,Apuração!A:A,Apuração!D:D)/_xlfn.XLOOKUP(F2520,Apuração!A:A,Apuração!B:B),0)</f>
        <v>0</v>
      </c>
      <c r="BQ2520" s="53">
        <f ca="1">IF(BK2520&gt;=BO2520,0,_xlfn.XLOOKUP(F2520,Apuração!A:A,Apuração!B:B)*(BO2520 + (1/_xlfn.XLOOKUP(F2520,Apuração!A:A,Apuração!B:B)) - BK2520))</f>
        <v>0</v>
      </c>
      <c r="BR2520" s="85">
        <f t="shared" ref="BR2520:BR2521" ca="1" si="3169">IF(BQ2520=0,0,BQ2520*Z2520)</f>
        <v>0</v>
      </c>
      <c r="BS2520" s="53">
        <f ca="1">IFERROR((_xlfn.XLOOKUP(F2520,Apuração!A:A,Apuração!C:C)+1)/_xlfn.XLOOKUP(F2520,Apuração!A:A,Apuração!B:B),0)</f>
        <v>0.14285714285714285</v>
      </c>
    </row>
    <row r="2521" spans="1:71" ht="25.95" hidden="1" customHeight="1" x14ac:dyDescent="0.3">
      <c r="A2521" s="33" t="s">
        <v>175</v>
      </c>
      <c r="B2521" s="4" t="s">
        <v>194</v>
      </c>
      <c r="C2521" s="5" t="s">
        <v>221</v>
      </c>
      <c r="D2521" s="5" t="s">
        <v>213</v>
      </c>
      <c r="E2521" s="4" t="s">
        <v>96</v>
      </c>
      <c r="F2521" s="4" t="str" cm="1">
        <f t="array" ref="F2521">_xlfn.IFS(
AG2521 &lt;&gt; "", "Jan-Dez/26",
AH2521 &lt;&gt; "", "Fev-Dez/26",
AI2521 &lt;&gt; "", "Mar-Dez/26", AJ2521 &lt;&gt; "", "Abr-Dez/26",
TRUE, "A partir de Junho"
)</f>
        <v>A partir de Junho</v>
      </c>
      <c r="G2521" s="4" t="s">
        <v>62</v>
      </c>
      <c r="H2521" s="7" t="s">
        <v>38</v>
      </c>
      <c r="I2521" s="8" t="s">
        <v>177</v>
      </c>
      <c r="J2521" s="8" t="str" cm="1">
        <f t="array" aca="1" ref="J2521" ca="1">_xlfn.LET(
  _xlpm.actual_value_month, INDEX(T2521:AE2521, MATCH(DATE(YEAR(TODAY()), MONTH(TODAY()), 1), $T$1:$AE$1, 0)),
  IF(_xlpm.actual_value_month &lt;&gt; "", _xlpm.actual_value_month &amp; " ações mensais", "")
)</f>
        <v/>
      </c>
      <c r="K2521" s="8" t="str" cm="1">
        <f t="array" ref="K2521">_xlfn.LET(
    _xlpm.sum_month, SUM(T2521:AE2521),
    IF(_xlpm.sum_month = 0, "", _xlpm.sum_month &amp; " certificados gerados.")
)</f>
        <v/>
      </c>
      <c r="L2521" s="9" t="s">
        <v>195</v>
      </c>
      <c r="M2521" s="13">
        <v>1</v>
      </c>
      <c r="N2521" s="5" t="s">
        <v>42</v>
      </c>
      <c r="O2521" s="5" t="s">
        <v>43</v>
      </c>
      <c r="P2521" s="10" t="s">
        <v>146</v>
      </c>
      <c r="Q2521" s="10" t="s">
        <v>44</v>
      </c>
      <c r="R2521" s="11" t="s">
        <v>179</v>
      </c>
      <c r="S2521" s="11" t="s">
        <v>67</v>
      </c>
      <c r="T2521" s="22"/>
      <c r="U2521" s="22"/>
      <c r="V2521" s="22"/>
      <c r="W2521" s="22"/>
      <c r="X2521" s="22"/>
      <c r="Y2521" s="22"/>
      <c r="Z2521" s="22"/>
      <c r="AA2521" s="22"/>
      <c r="AB2521" s="22"/>
      <c r="AC2521" s="22"/>
      <c r="AD2521" s="22"/>
      <c r="AE2521" s="22"/>
      <c r="AG2521" s="71"/>
      <c r="AH2521" s="71"/>
      <c r="AI2521" s="71"/>
      <c r="AJ2521" s="71"/>
      <c r="AK2521" s="71"/>
      <c r="AL2521" s="71"/>
      <c r="AM2521" s="71"/>
      <c r="AN2521" s="71"/>
      <c r="AO2521" s="71"/>
      <c r="AP2521" s="71"/>
      <c r="AQ2521" s="71"/>
      <c r="AR2521" s="71"/>
      <c r="AS2521" s="94" t="str" cm="1">
        <f t="array" ref="AS2521">IFERROR(INDEX(T2521:AE2521,1,MATCH(2,1/(T2521:AE2521&lt;&gt;""))),"")</f>
        <v/>
      </c>
      <c r="AT2521" s="95" t="str" cm="1">
        <f t="array" ref="AT2521">IFERROR(INDEX(AJ2521:AR2521,1,MATCH(2,1/(AJ2521:AR2521&lt;&gt;""))),"")</f>
        <v/>
      </c>
      <c r="AU2521" s="97" t="str">
        <f t="shared" si="3124"/>
        <v/>
      </c>
      <c r="AW2521" s="51"/>
      <c r="AX2521" s="51"/>
      <c r="AY2521" s="51"/>
      <c r="AZ2521" s="51"/>
      <c r="BA2521" s="51"/>
      <c r="BB2521" s="51"/>
      <c r="BC2521" s="51"/>
      <c r="BD2521" s="51"/>
      <c r="BE2521" s="51"/>
      <c r="BF2521" s="51"/>
      <c r="BG2521" s="51"/>
      <c r="BH2521" s="51"/>
      <c r="BI2521" s="65" t="str" cm="1">
        <f t="array" ref="BI2521">IFERROR(INDEX(AW2521:BH2521,1,MATCH(2,1/(AW2521:BH2521&lt;&gt;""))),"")</f>
        <v/>
      </c>
      <c r="BJ2521" s="68" t="str" cm="1">
        <f t="array" ref="BJ2521">IF(BM2521 = "", "",IFERROR(INDEX(AW2521:BH2521,1,MATCH(2,1/(AW2521:BH2521&lt;&gt;""),1)-1),""))</f>
        <v/>
      </c>
      <c r="BK2521" s="58" t="str" cm="1">
        <f t="array" ref="BK2521">IFERROR(INDEX(AW2521:BH2521,1,MATCH(2,1/(AW2521:BH2521&lt;&gt;""))),"")</f>
        <v/>
      </c>
      <c r="BL2521" s="58" t="str" cm="1">
        <f t="array" ref="BL2521">IFERROR(INDEX(AW2521:BH2521,1,MATCH(2,1/(AW2521:BH2521&lt;&gt;""),1)-1),"")</f>
        <v/>
      </c>
      <c r="BM2521" s="55" t="str" cm="1">
        <f t="array" ref="BM2521">IFERROR(
   INDEX($AW$1:$BH$1,
      _xlfn.AGGREGATE(14, 6, COLUMN($AW$1:$BH$1)/(AW2521:BH2521&lt;&gt;""), 2) - COLUMN($AW$1) + 1
   ),
"")</f>
        <v/>
      </c>
      <c r="BN2521" s="55" t="str" cm="1">
        <f t="array" ref="BN2521">IFERROR(INDEX($AW$1:$BH$1,1,MATCH(2,1/(AW2521:BH2521&lt;&gt;""))),"")</f>
        <v/>
      </c>
      <c r="BO2521" s="53">
        <f ca="1">IFERROR(_xlfn.XLOOKUP(F2521,Apuração!A:A,Apuração!C:C)/_xlfn.XLOOKUP(F2521,Apuração!A:A,Apuração!B:B),0)</f>
        <v>0</v>
      </c>
      <c r="BP2521" s="53">
        <f ca="1">IFERROR(_xlfn.XLOOKUP(F2521,Apuração!A:A,Apuração!D:D)/_xlfn.XLOOKUP(F2521,Apuração!A:A,Apuração!B:B),0)</f>
        <v>0</v>
      </c>
      <c r="BQ2521" s="53">
        <f ca="1">IF(BK2521&gt;=BO2521,0,_xlfn.XLOOKUP(F2521,Apuração!A:A,Apuração!B:B)*(BO2521 + (1/_xlfn.XLOOKUP(F2521,Apuração!A:A,Apuração!B:B)) - BK2521))</f>
        <v>0</v>
      </c>
      <c r="BR2521" s="85">
        <f t="shared" ca="1" si="3169"/>
        <v>0</v>
      </c>
      <c r="BS2521" s="53">
        <f ca="1">IFERROR((_xlfn.XLOOKUP(F2521,Apuração!A:A,Apuração!C:C)+1)/_xlfn.XLOOKUP(F2521,Apuração!A:A,Apuração!B:B),0)</f>
        <v>0.14285714285714285</v>
      </c>
    </row>
    <row r="2522" spans="1:71" ht="25.95" hidden="1" customHeight="1" x14ac:dyDescent="0.3">
      <c r="A2522" s="44" t="s">
        <v>175</v>
      </c>
      <c r="B2522" s="4" t="s">
        <v>194</v>
      </c>
      <c r="C2522" s="5" t="s">
        <v>221</v>
      </c>
      <c r="D2522" s="5" t="s">
        <v>36</v>
      </c>
      <c r="E2522" s="4" t="s">
        <v>96</v>
      </c>
      <c r="F2522" s="4" t="str" cm="1">
        <f t="array" ref="F2522">_xlfn.IFS(
AG2522 &lt;&gt; "", "Jan-Dez/26",
AH2522 &lt;&gt; "", "Fev-Dez/26",
AI2522 &lt;&gt; "", "Mar-Dez/26", AJ2522 &lt;&gt; "", "Abr-Dez/26",
TRUE, "A partir de Junho"
)</f>
        <v>A partir de Junho</v>
      </c>
      <c r="G2522" s="4" t="s">
        <v>62</v>
      </c>
      <c r="H2522" s="7" t="s">
        <v>38</v>
      </c>
      <c r="I2522" s="21" t="s">
        <v>180</v>
      </c>
      <c r="J2522" s="8" t="str" cm="1">
        <f t="array" aca="1" ref="J2522" ca="1">_xlfn.LET(
  _xlpm.actual_value_month, INDEX(T2522:AE2522, MATCH(DATE(YEAR(TODAY()), MONTH(TODAY()), 1), $T$1:$AE$1, 0)),
  IF(_xlpm.actual_value_month &lt;&gt; "", _xlpm.actual_value_month &amp; " ações mensais", "")
)</f>
        <v/>
      </c>
      <c r="K2522" s="34" t="str" cm="1">
        <f t="array" ref="K2522">_xlfn.LET(
    _xlpm.sum_month, SUM(T2522:AE2522),
    IF(_xlpm.sum_month = 0, "", _xlpm.sum_month &amp; " colaboradores treinados.")
)</f>
        <v/>
      </c>
      <c r="L2522" s="9" t="s">
        <v>196</v>
      </c>
      <c r="M2522" s="13">
        <v>1</v>
      </c>
      <c r="N2522" s="5" t="s">
        <v>51</v>
      </c>
      <c r="O2522" s="5" t="s">
        <v>52</v>
      </c>
      <c r="P2522" s="10" t="s">
        <v>146</v>
      </c>
      <c r="Q2522" s="10" t="s">
        <v>44</v>
      </c>
      <c r="R2522" s="11" t="s">
        <v>44</v>
      </c>
      <c r="S2522" s="11" t="s">
        <v>44</v>
      </c>
      <c r="T2522" s="22"/>
      <c r="U2522" s="22"/>
      <c r="V2522" s="22"/>
      <c r="W2522" s="22"/>
      <c r="X2522" s="22"/>
      <c r="Y2522" s="22"/>
      <c r="Z2522" s="22"/>
      <c r="AA2522" s="22"/>
      <c r="AB2522" s="22"/>
      <c r="AC2522" s="22"/>
      <c r="AD2522" s="22"/>
      <c r="AE2522" s="22"/>
      <c r="AG2522" s="71"/>
      <c r="AH2522" s="71"/>
      <c r="AI2522" s="71"/>
      <c r="AJ2522" s="71"/>
      <c r="AK2522" s="71"/>
      <c r="AL2522" s="71"/>
      <c r="AM2522" s="71"/>
      <c r="AN2522" s="71"/>
      <c r="AO2522" s="71"/>
      <c r="AP2522" s="71"/>
      <c r="AQ2522" s="71"/>
      <c r="AR2522" s="71"/>
      <c r="AS2522" s="94" t="str" cm="1">
        <f t="array" ref="AS2522">IFERROR(INDEX(T2522:AE2522,1,MATCH(2,1/(T2522:AE2522&lt;&gt;""))),"")</f>
        <v/>
      </c>
      <c r="AT2522" s="95" t="str" cm="1">
        <f t="array" ref="AT2522">IFERROR(INDEX(AJ2522:AR2522,1,MATCH(2,1/(AJ2522:AR2522&lt;&gt;""))),"")</f>
        <v/>
      </c>
      <c r="AU2522" s="97" t="str">
        <f t="shared" si="3124"/>
        <v/>
      </c>
      <c r="AW2522" s="52">
        <f>AG2522</f>
        <v>0</v>
      </c>
      <c r="AX2522" s="52"/>
      <c r="AY2522" s="52"/>
      <c r="AZ2522" s="52"/>
      <c r="BA2522" s="52"/>
      <c r="BB2522" s="52"/>
      <c r="BC2522" s="52"/>
      <c r="BD2522" s="52"/>
      <c r="BE2522" s="52"/>
      <c r="BF2522" s="52"/>
      <c r="BG2522" s="52"/>
      <c r="BH2522" s="52"/>
      <c r="BI2522" s="68" cm="1">
        <f t="array" ref="BI2522">IFERROR(INDEX(AW2522:BH2522,1,MATCH(2,1/(AW2522:BH2522&lt;&gt;""))),"")</f>
        <v>0</v>
      </c>
      <c r="BJ2522" s="68" t="str" cm="1">
        <f t="array" ref="BJ2522">IF(BM2522 = "", "",IFERROR(INDEX(AW2522:BH2522,1,MATCH(2,1/(AW2522:BH2522&lt;&gt;""),1)-1),""))</f>
        <v/>
      </c>
      <c r="BK2522" s="59">
        <f>SUM(AW2522:BH2522)</f>
        <v>0</v>
      </c>
      <c r="BL2522" s="59" cm="1">
        <f t="array" ref="BL2522">IFERROR(SUM(AW2522:INDEX(AW2522:BH2522, MATCH(2, 1/(AW2522:BH2522&lt;&gt;""), 1) - 1))/_xlfn.XLOOKUP(F2522,Apuração!A:A,Apuração!B:B),0)</f>
        <v>0</v>
      </c>
      <c r="BM2522" s="55" t="str" cm="1">
        <f t="array" ref="BM2522">IFERROR(
   INDEX($AW$1:$BH$1,
      _xlfn.AGGREGATE(14, 6, COLUMN($AW$1:$BH$1)/(AW2522:BH2522&lt;&gt;""), 2) - COLUMN($AW$1) + 1
   ),
"")</f>
        <v/>
      </c>
      <c r="BN2522" s="55" cm="1">
        <f t="array" ref="BN2522">IFERROR(INDEX($AW$1:$BH$1,1,MATCH(2,1/(AW2522:BH2522&lt;&gt;""))),"")</f>
        <v>46023</v>
      </c>
      <c r="BO2522" s="53">
        <f ca="1">IFERROR(_xlfn.XLOOKUP(F2522,Apuração!A:A,Apuração!C:C)/_xlfn.XLOOKUP(F2522,Apuração!A:A,Apuração!B:B),0)</f>
        <v>0</v>
      </c>
      <c r="BP2522" s="53">
        <f ca="1">IFERROR(_xlfn.XLOOKUP(F2522,Apuração!A:A,Apuração!D:D)/_xlfn.XLOOKUP(F2522,Apuração!A:A,Apuração!B:B),0)</f>
        <v>0</v>
      </c>
      <c r="BQ2522" s="53">
        <f ca="1">IF(BK2522&gt;=BO2522,0,_xlfn.XLOOKUP(F2522,Apuração!A:A,Apuração!B:B)*(BO2522 + (1/_xlfn.XLOOKUP(F2522,Apuração!A:A,Apuração!B:B)) - BK2522))</f>
        <v>0</v>
      </c>
      <c r="BR2522" s="85">
        <f t="shared" ca="1" si="2957"/>
        <v>0</v>
      </c>
      <c r="BS2522" s="53">
        <f ca="1">IFERROR((_xlfn.XLOOKUP(F2522,Apuração!A:A,Apuração!C:C)+1)/_xlfn.XLOOKUP(F2522,Apuração!A:A,Apuração!B:B),0)</f>
        <v>0.14285714285714285</v>
      </c>
    </row>
    <row r="2523" spans="1:71" ht="25.95" hidden="1" customHeight="1" x14ac:dyDescent="0.3">
      <c r="A2523" s="44" t="s">
        <v>175</v>
      </c>
      <c r="B2523" s="4" t="s">
        <v>194</v>
      </c>
      <c r="C2523" s="5" t="s">
        <v>221</v>
      </c>
      <c r="D2523" s="5" t="s">
        <v>212</v>
      </c>
      <c r="E2523" s="4" t="s">
        <v>96</v>
      </c>
      <c r="F2523" s="4" t="str" cm="1">
        <f t="array" ref="F2523">_xlfn.IFS(
AG2523 &lt;&gt; "", "Jan-Dez/26",
AH2523 &lt;&gt; "", "Fev-Dez/26",
AI2523 &lt;&gt; "", "Mar-Dez/26", AJ2523 &lt;&gt; "", "Abr-Dez/26",
TRUE, "A partir de Junho"
)</f>
        <v>A partir de Junho</v>
      </c>
      <c r="G2523" s="4" t="s">
        <v>62</v>
      </c>
      <c r="H2523" s="7" t="s">
        <v>38</v>
      </c>
      <c r="I2523" s="21" t="s">
        <v>180</v>
      </c>
      <c r="J2523" s="8" t="str" cm="1">
        <f t="array" aca="1" ref="J2523" ca="1">_xlfn.LET(
  _xlpm.actual_value_month, INDEX(T2523:AE2523, MATCH(DATE(YEAR(TODAY()), MONTH(TODAY()), 1), $T$1:$AE$1, 0)),
  IF(_xlpm.actual_value_month &lt;&gt; "", _xlpm.actual_value_month &amp; " ações mensais", "")
)</f>
        <v/>
      </c>
      <c r="K2523" s="34" t="str" cm="1">
        <f t="array" ref="K2523">_xlfn.LET(
    _xlpm.sum_month, SUM(T2523:AE2523),
    IF(_xlpm.sum_month = 0, "", _xlpm.sum_month &amp; " colaboradores treinados.")
)</f>
        <v/>
      </c>
      <c r="L2523" s="9" t="s">
        <v>196</v>
      </c>
      <c r="M2523" s="13">
        <v>1</v>
      </c>
      <c r="N2523" s="5" t="s">
        <v>51</v>
      </c>
      <c r="O2523" s="5" t="s">
        <v>52</v>
      </c>
      <c r="P2523" s="10" t="s">
        <v>146</v>
      </c>
      <c r="Q2523" s="10" t="s">
        <v>44</v>
      </c>
      <c r="R2523" s="11" t="s">
        <v>44</v>
      </c>
      <c r="S2523" s="11" t="s">
        <v>44</v>
      </c>
      <c r="T2523" s="22"/>
      <c r="U2523" s="22"/>
      <c r="V2523" s="22"/>
      <c r="W2523" s="22"/>
      <c r="X2523" s="22"/>
      <c r="Y2523" s="22"/>
      <c r="Z2523" s="22"/>
      <c r="AA2523" s="22"/>
      <c r="AB2523" s="22"/>
      <c r="AC2523" s="22"/>
      <c r="AD2523" s="22"/>
      <c r="AE2523" s="22"/>
      <c r="AG2523" s="71"/>
      <c r="AH2523" s="71"/>
      <c r="AI2523" s="71"/>
      <c r="AJ2523" s="71"/>
      <c r="AK2523" s="71"/>
      <c r="AL2523" s="71"/>
      <c r="AM2523" s="71"/>
      <c r="AN2523" s="71"/>
      <c r="AO2523" s="71"/>
      <c r="AP2523" s="71"/>
      <c r="AQ2523" s="71"/>
      <c r="AR2523" s="71"/>
      <c r="AS2523" s="94" t="str" cm="1">
        <f t="array" ref="AS2523">IFERROR(INDEX(T2523:AE2523,1,MATCH(2,1/(T2523:AE2523&lt;&gt;""))),"")</f>
        <v/>
      </c>
      <c r="AT2523" s="95" t="str" cm="1">
        <f t="array" ref="AT2523">IFERROR(INDEX(AJ2523:AR2523,1,MATCH(2,1/(AJ2523:AR2523&lt;&gt;""))),"")</f>
        <v/>
      </c>
      <c r="AU2523" s="97" t="str">
        <f t="shared" si="3124"/>
        <v/>
      </c>
      <c r="AW2523" s="52">
        <f t="shared" ref="AW2523:AW2524" si="3170">AG2523</f>
        <v>0</v>
      </c>
      <c r="AX2523" s="52"/>
      <c r="AY2523" s="52"/>
      <c r="AZ2523" s="52"/>
      <c r="BA2523" s="52"/>
      <c r="BB2523" s="52"/>
      <c r="BC2523" s="52"/>
      <c r="BD2523" s="52"/>
      <c r="BE2523" s="52"/>
      <c r="BF2523" s="52"/>
      <c r="BG2523" s="52"/>
      <c r="BH2523" s="52"/>
      <c r="BI2523" s="68" cm="1">
        <f t="array" ref="BI2523">IFERROR(INDEX(AW2523:BH2523,1,MATCH(2,1/(AW2523:BH2523&lt;&gt;""))),"")</f>
        <v>0</v>
      </c>
      <c r="BJ2523" s="68" t="str" cm="1">
        <f t="array" ref="BJ2523">IF(BM2523 = "", "",IFERROR(INDEX(AW2523:BH2523,1,MATCH(2,1/(AW2523:BH2523&lt;&gt;""),1)-1),""))</f>
        <v/>
      </c>
      <c r="BK2523" s="59">
        <f t="shared" ref="BK2523:BK2524" si="3171">SUM(AW2523:BH2523)</f>
        <v>0</v>
      </c>
      <c r="BL2523" s="59" cm="1">
        <f t="array" ref="BL2523">IFERROR(SUM(AW2523:INDEX(AW2523:BH2523, MATCH(2, 1/(AW2523:BH2523&lt;&gt;""), 1) - 1))/_xlfn.XLOOKUP(F2523,Apuração!A:A,Apuração!B:B),0)</f>
        <v>0</v>
      </c>
      <c r="BM2523" s="55" t="str" cm="1">
        <f t="array" ref="BM2523">IFERROR(
   INDEX($AW$1:$BH$1,
      _xlfn.AGGREGATE(14, 6, COLUMN($AW$1:$BH$1)/(AW2523:BH2523&lt;&gt;""), 2) - COLUMN($AW$1) + 1
   ),
"")</f>
        <v/>
      </c>
      <c r="BN2523" s="55" cm="1">
        <f t="array" ref="BN2523">IFERROR(INDEX($AW$1:$BH$1,1,MATCH(2,1/(AW2523:BH2523&lt;&gt;""))),"")</f>
        <v>46023</v>
      </c>
      <c r="BO2523" s="53">
        <f ca="1">IFERROR(_xlfn.XLOOKUP(F2523,Apuração!A:A,Apuração!C:C)/_xlfn.XLOOKUP(F2523,Apuração!A:A,Apuração!B:B),0)</f>
        <v>0</v>
      </c>
      <c r="BP2523" s="53">
        <f ca="1">IFERROR(_xlfn.XLOOKUP(F2523,Apuração!A:A,Apuração!D:D)/_xlfn.XLOOKUP(F2523,Apuração!A:A,Apuração!B:B),0)</f>
        <v>0</v>
      </c>
      <c r="BQ2523" s="53">
        <f ca="1">IF(BK2523&gt;=BO2523,0,_xlfn.XLOOKUP(F2523,Apuração!A:A,Apuração!B:B)*(BO2523 + (1/_xlfn.XLOOKUP(F2523,Apuração!A:A,Apuração!B:B)) - BK2523))</f>
        <v>0</v>
      </c>
      <c r="BR2523" s="85">
        <f t="shared" ref="BR2523:BR2524" ca="1" si="3172">IF(BQ2523=0,0,BQ2523*Z2523)</f>
        <v>0</v>
      </c>
      <c r="BS2523" s="53">
        <f ca="1">IFERROR((_xlfn.XLOOKUP(F2523,Apuração!A:A,Apuração!C:C)+1)/_xlfn.XLOOKUP(F2523,Apuração!A:A,Apuração!B:B),0)</f>
        <v>0.14285714285714285</v>
      </c>
    </row>
    <row r="2524" spans="1:71" ht="25.95" hidden="1" customHeight="1" x14ac:dyDescent="0.3">
      <c r="A2524" s="44" t="s">
        <v>175</v>
      </c>
      <c r="B2524" s="4" t="s">
        <v>194</v>
      </c>
      <c r="C2524" s="5" t="s">
        <v>221</v>
      </c>
      <c r="D2524" s="5" t="s">
        <v>213</v>
      </c>
      <c r="E2524" s="4" t="s">
        <v>96</v>
      </c>
      <c r="F2524" s="4" t="str" cm="1">
        <f t="array" ref="F2524">_xlfn.IFS(
AG2524 &lt;&gt; "", "Jan-Dez/26",
AH2524 &lt;&gt; "", "Fev-Dez/26",
AI2524 &lt;&gt; "", "Mar-Dez/26", AJ2524 &lt;&gt; "", "Abr-Dez/26",
TRUE, "A partir de Junho"
)</f>
        <v>A partir de Junho</v>
      </c>
      <c r="G2524" s="4" t="s">
        <v>62</v>
      </c>
      <c r="H2524" s="7" t="s">
        <v>38</v>
      </c>
      <c r="I2524" s="21" t="s">
        <v>180</v>
      </c>
      <c r="J2524" s="8" t="str" cm="1">
        <f t="array" aca="1" ref="J2524" ca="1">_xlfn.LET(
  _xlpm.actual_value_month, INDEX(T2524:AE2524, MATCH(DATE(YEAR(TODAY()), MONTH(TODAY()), 1), $T$1:$AE$1, 0)),
  IF(_xlpm.actual_value_month &lt;&gt; "", _xlpm.actual_value_month &amp; " ações mensais", "")
)</f>
        <v/>
      </c>
      <c r="K2524" s="34" t="str" cm="1">
        <f t="array" ref="K2524">_xlfn.LET(
    _xlpm.sum_month, SUM(T2524:AE2524),
    IF(_xlpm.sum_month = 0, "", _xlpm.sum_month &amp; " colaboradores treinados.")
)</f>
        <v/>
      </c>
      <c r="L2524" s="9" t="s">
        <v>196</v>
      </c>
      <c r="M2524" s="13">
        <v>1</v>
      </c>
      <c r="N2524" s="5" t="s">
        <v>51</v>
      </c>
      <c r="O2524" s="5" t="s">
        <v>52</v>
      </c>
      <c r="P2524" s="10" t="s">
        <v>146</v>
      </c>
      <c r="Q2524" s="10" t="s">
        <v>44</v>
      </c>
      <c r="R2524" s="11" t="s">
        <v>44</v>
      </c>
      <c r="S2524" s="11" t="s">
        <v>44</v>
      </c>
      <c r="T2524" s="22"/>
      <c r="U2524" s="22"/>
      <c r="V2524" s="22"/>
      <c r="W2524" s="22"/>
      <c r="X2524" s="22"/>
      <c r="Y2524" s="22"/>
      <c r="Z2524" s="22"/>
      <c r="AA2524" s="22"/>
      <c r="AB2524" s="22"/>
      <c r="AC2524" s="22"/>
      <c r="AD2524" s="22"/>
      <c r="AE2524" s="22"/>
      <c r="AG2524" s="71"/>
      <c r="AH2524" s="71"/>
      <c r="AI2524" s="71"/>
      <c r="AJ2524" s="71"/>
      <c r="AK2524" s="71"/>
      <c r="AL2524" s="71"/>
      <c r="AM2524" s="71"/>
      <c r="AN2524" s="71"/>
      <c r="AO2524" s="71"/>
      <c r="AP2524" s="71"/>
      <c r="AQ2524" s="71"/>
      <c r="AR2524" s="71"/>
      <c r="AS2524" s="94" t="str" cm="1">
        <f t="array" ref="AS2524">IFERROR(INDEX(T2524:AE2524,1,MATCH(2,1/(T2524:AE2524&lt;&gt;""))),"")</f>
        <v/>
      </c>
      <c r="AT2524" s="95" t="str" cm="1">
        <f t="array" ref="AT2524">IFERROR(INDEX(AJ2524:AR2524,1,MATCH(2,1/(AJ2524:AR2524&lt;&gt;""))),"")</f>
        <v/>
      </c>
      <c r="AU2524" s="97" t="str">
        <f t="shared" si="3124"/>
        <v/>
      </c>
      <c r="AW2524" s="52">
        <f t="shared" si="3170"/>
        <v>0</v>
      </c>
      <c r="AX2524" s="52"/>
      <c r="AY2524" s="52"/>
      <c r="AZ2524" s="52"/>
      <c r="BA2524" s="52"/>
      <c r="BB2524" s="52"/>
      <c r="BC2524" s="52"/>
      <c r="BD2524" s="52"/>
      <c r="BE2524" s="52"/>
      <c r="BF2524" s="52"/>
      <c r="BG2524" s="52"/>
      <c r="BH2524" s="52"/>
      <c r="BI2524" s="68" cm="1">
        <f t="array" ref="BI2524">IFERROR(INDEX(AW2524:BH2524,1,MATCH(2,1/(AW2524:BH2524&lt;&gt;""))),"")</f>
        <v>0</v>
      </c>
      <c r="BJ2524" s="68" t="str" cm="1">
        <f t="array" ref="BJ2524">IF(BM2524 = "", "",IFERROR(INDEX(AW2524:BH2524,1,MATCH(2,1/(AW2524:BH2524&lt;&gt;""),1)-1),""))</f>
        <v/>
      </c>
      <c r="BK2524" s="59">
        <f t="shared" si="3171"/>
        <v>0</v>
      </c>
      <c r="BL2524" s="59" cm="1">
        <f t="array" ref="BL2524">IFERROR(SUM(AW2524:INDEX(AW2524:BH2524, MATCH(2, 1/(AW2524:BH2524&lt;&gt;""), 1) - 1))/_xlfn.XLOOKUP(F2524,Apuração!A:A,Apuração!B:B),0)</f>
        <v>0</v>
      </c>
      <c r="BM2524" s="55" t="str" cm="1">
        <f t="array" ref="BM2524">IFERROR(
   INDEX($AW$1:$BH$1,
      _xlfn.AGGREGATE(14, 6, COLUMN($AW$1:$BH$1)/(AW2524:BH2524&lt;&gt;""), 2) - COLUMN($AW$1) + 1
   ),
"")</f>
        <v/>
      </c>
      <c r="BN2524" s="55" cm="1">
        <f t="array" ref="BN2524">IFERROR(INDEX($AW$1:$BH$1,1,MATCH(2,1/(AW2524:BH2524&lt;&gt;""))),"")</f>
        <v>46023</v>
      </c>
      <c r="BO2524" s="53">
        <f ca="1">IFERROR(_xlfn.XLOOKUP(F2524,Apuração!A:A,Apuração!C:C)/_xlfn.XLOOKUP(F2524,Apuração!A:A,Apuração!B:B),0)</f>
        <v>0</v>
      </c>
      <c r="BP2524" s="53">
        <f ca="1">IFERROR(_xlfn.XLOOKUP(F2524,Apuração!A:A,Apuração!D:D)/_xlfn.XLOOKUP(F2524,Apuração!A:A,Apuração!B:B),0)</f>
        <v>0</v>
      </c>
      <c r="BQ2524" s="53">
        <f ca="1">IF(BK2524&gt;=BO2524,0,_xlfn.XLOOKUP(F2524,Apuração!A:A,Apuração!B:B)*(BO2524 + (1/_xlfn.XLOOKUP(F2524,Apuração!A:A,Apuração!B:B)) - BK2524))</f>
        <v>0</v>
      </c>
      <c r="BR2524" s="85">
        <f t="shared" ca="1" si="3172"/>
        <v>0</v>
      </c>
      <c r="BS2524" s="53">
        <f ca="1">IFERROR((_xlfn.XLOOKUP(F2524,Apuração!A:A,Apuração!C:C)+1)/_xlfn.XLOOKUP(F2524,Apuração!A:A,Apuração!B:B),0)</f>
        <v>0.14285714285714285</v>
      </c>
    </row>
    <row r="2525" spans="1:71" ht="25.95" hidden="1" customHeight="1" x14ac:dyDescent="0.3">
      <c r="A2525" s="44" t="s">
        <v>175</v>
      </c>
      <c r="B2525" s="4" t="s">
        <v>194</v>
      </c>
      <c r="C2525" s="5" t="s">
        <v>221</v>
      </c>
      <c r="D2525" s="5" t="s">
        <v>36</v>
      </c>
      <c r="E2525" s="4" t="s">
        <v>96</v>
      </c>
      <c r="F2525" s="4" t="str" cm="1">
        <f t="array" ref="F2525">_xlfn.IFS(
AG2525 &lt;&gt; "", "Jan-Dez/26",
AH2525 &lt;&gt; "", "Fev-Dez/26",
AI2525 &lt;&gt; "", "Mar-Dez/26", AJ2525 &lt;&gt; "", "Abr-Dez/26",
TRUE, "A partir de Junho"
)</f>
        <v>A partir de Junho</v>
      </c>
      <c r="G2525" s="4" t="s">
        <v>62</v>
      </c>
      <c r="H2525" s="7" t="s">
        <v>38</v>
      </c>
      <c r="I2525" s="21" t="s">
        <v>182</v>
      </c>
      <c r="J2525" s="8" t="str" cm="1">
        <f t="array" aca="1" ref="J2525" ca="1">_xlfn.LET(
  _xlpm.actual_value_month, INDEX(T2525:AE2525, MATCH(DATE(YEAR(TODAY()), MONTH(TODAY()), 1), $T$1:$AE$1, 0)),
  IF(_xlpm.actual_value_month &lt;&gt; "", _xlpm.actual_value_month &amp; " ações mensais", "")
)</f>
        <v/>
      </c>
      <c r="K2525" s="8" t="str" cm="1">
        <f t="array" ref="K2525">_xlfn.LET(
    _xlpm.sum_month, SUM(T2525:AE2525),
    IF(_xlpm.sum_month = 0, "", _xlpm.sum_month &amp; " taxa de aprovados")
)</f>
        <v/>
      </c>
      <c r="L2525" s="4" t="s">
        <v>183</v>
      </c>
      <c r="M2525" s="13">
        <v>1</v>
      </c>
      <c r="N2525" s="5" t="s">
        <v>51</v>
      </c>
      <c r="O2525" s="5" t="s">
        <v>43</v>
      </c>
      <c r="P2525" s="10" t="s">
        <v>44</v>
      </c>
      <c r="Q2525" s="10" t="s">
        <v>44</v>
      </c>
      <c r="R2525" s="11" t="s">
        <v>44</v>
      </c>
      <c r="S2525" s="11" t="s">
        <v>44</v>
      </c>
      <c r="T2525" s="22"/>
      <c r="U2525" s="22"/>
      <c r="V2525" s="22"/>
      <c r="W2525" s="22"/>
      <c r="X2525" s="22"/>
      <c r="Y2525" s="22"/>
      <c r="Z2525" s="22"/>
      <c r="AA2525" s="22"/>
      <c r="AB2525" s="22"/>
      <c r="AC2525" s="22"/>
      <c r="AD2525" s="22"/>
      <c r="AE2525" s="22"/>
      <c r="AG2525" s="71"/>
      <c r="AH2525" s="71"/>
      <c r="AI2525" s="71"/>
      <c r="AJ2525" s="71"/>
      <c r="AK2525" s="71"/>
      <c r="AL2525" s="71"/>
      <c r="AM2525" s="71"/>
      <c r="AN2525" s="71"/>
      <c r="AO2525" s="71"/>
      <c r="AP2525" s="71"/>
      <c r="AQ2525" s="71"/>
      <c r="AR2525" s="71"/>
      <c r="AS2525" s="94" t="str" cm="1">
        <f t="array" ref="AS2525">IFERROR(INDEX(T2525:AE2525,1,MATCH(2,1/(T2525:AE2525&lt;&gt;""))),"")</f>
        <v/>
      </c>
      <c r="AT2525" s="95" t="str" cm="1">
        <f t="array" ref="AT2525">IFERROR(INDEX(AJ2525:AR2525,1,MATCH(2,1/(AJ2525:AR2525&lt;&gt;""))),"")</f>
        <v/>
      </c>
      <c r="AU2525" s="97" t="str">
        <f t="shared" si="3124"/>
        <v/>
      </c>
      <c r="AW2525" s="51" t="str">
        <f>IFERROR(IF(AG2525="","",AG2525/T2525),0)</f>
        <v/>
      </c>
      <c r="AX2525" s="51"/>
      <c r="AY2525" s="51"/>
      <c r="AZ2525" s="51"/>
      <c r="BA2525" s="51"/>
      <c r="BB2525" s="51"/>
      <c r="BC2525" s="51"/>
      <c r="BD2525" s="51"/>
      <c r="BE2525" s="51"/>
      <c r="BF2525" s="51"/>
      <c r="BG2525" s="51"/>
      <c r="BH2525" s="51"/>
      <c r="BI2525" s="65" t="str" cm="1">
        <f t="array" ref="BI2525">IFERROR(INDEX(AW2525:BH2525,1,MATCH(2,1/(AW2525:BH2525&lt;&gt;""))),"")</f>
        <v/>
      </c>
      <c r="BJ2525" s="68" t="str" cm="1">
        <f t="array" ref="BJ2525">IF(BM2525 = "", "",IFERROR(INDEX(AW2525:BH2525,1,MATCH(2,1/(AW2525:BH2525&lt;&gt;""),1)-1),""))</f>
        <v/>
      </c>
      <c r="BK2525" s="58" t="str" cm="1">
        <f t="array" ref="BK2525">IFERROR(INDEX(AW2525:BH2525,1,MATCH(2,1/(AW2525:BH2525&lt;&gt;""))),"")</f>
        <v/>
      </c>
      <c r="BL2525" s="58" t="str" cm="1">
        <f t="array" ref="BL2525">IFERROR(INDEX(AW2525:BH2525,1,MATCH(2,1/(AW2525:BH2525&lt;&gt;""),1)-1),"")</f>
        <v/>
      </c>
      <c r="BM2525" s="55" t="str" cm="1">
        <f t="array" ref="BM2525">IFERROR(
   INDEX($AW$1:$BH$1,
      _xlfn.AGGREGATE(14, 6, COLUMN($AW$1:$BH$1)/(AW2525:BH2525&lt;&gt;""), 2) - COLUMN($AW$1) + 1
   ),
"")</f>
        <v/>
      </c>
      <c r="BN2525" s="55" t="str" cm="1">
        <f t="array" ref="BN2525">IFERROR(INDEX($AW$1:$BH$1,1,MATCH(2,1/(AW2525:BH2525&lt;&gt;""))),"")</f>
        <v/>
      </c>
      <c r="BO2525" s="53">
        <f ca="1">IFERROR(_xlfn.XLOOKUP(F2525,Apuração!A:A,Apuração!C:C)/_xlfn.XLOOKUP(F2525,Apuração!A:A,Apuração!B:B),0)</f>
        <v>0</v>
      </c>
      <c r="BP2525" s="53">
        <f ca="1">IFERROR(_xlfn.XLOOKUP(F2525,Apuração!A:A,Apuração!D:D)/_xlfn.XLOOKUP(F2525,Apuração!A:A,Apuração!B:B),0)</f>
        <v>0</v>
      </c>
      <c r="BQ2525" s="53">
        <f ca="1">IF(BK2525&gt;=BO2525,0,_xlfn.XLOOKUP(F2525,Apuração!A:A,Apuração!B:B)*(BO2525 + (1/_xlfn.XLOOKUP(F2525,Apuração!A:A,Apuração!B:B)) - BK2525))</f>
        <v>0</v>
      </c>
      <c r="BR2525" s="85">
        <f t="shared" ca="1" si="2957"/>
        <v>0</v>
      </c>
      <c r="BS2525" s="53">
        <f ca="1">IFERROR((_xlfn.XLOOKUP(F2525,Apuração!A:A,Apuração!C:C)+1)/_xlfn.XLOOKUP(F2525,Apuração!A:A,Apuração!B:B),0)</f>
        <v>0.14285714285714285</v>
      </c>
    </row>
    <row r="2526" spans="1:71" ht="25.95" hidden="1" customHeight="1" x14ac:dyDescent="0.3">
      <c r="A2526" s="44" t="s">
        <v>175</v>
      </c>
      <c r="B2526" s="4" t="s">
        <v>194</v>
      </c>
      <c r="C2526" s="5" t="s">
        <v>221</v>
      </c>
      <c r="D2526" s="5" t="s">
        <v>212</v>
      </c>
      <c r="E2526" s="4" t="s">
        <v>96</v>
      </c>
      <c r="F2526" s="4" t="str" cm="1">
        <f t="array" ref="F2526">_xlfn.IFS(
AG2526 &lt;&gt; "", "Jan-Dez/26",
AH2526 &lt;&gt; "", "Fev-Dez/26",
AI2526 &lt;&gt; "", "Mar-Dez/26", AJ2526 &lt;&gt; "", "Abr-Dez/26",
TRUE, "A partir de Junho"
)</f>
        <v>A partir de Junho</v>
      </c>
      <c r="G2526" s="4" t="s">
        <v>62</v>
      </c>
      <c r="H2526" s="7" t="s">
        <v>38</v>
      </c>
      <c r="I2526" s="21" t="s">
        <v>182</v>
      </c>
      <c r="J2526" s="8" t="str" cm="1">
        <f t="array" aca="1" ref="J2526" ca="1">_xlfn.LET(
  _xlpm.actual_value_month, INDEX(T2526:AE2526, MATCH(DATE(YEAR(TODAY()), MONTH(TODAY()), 1), $T$1:$AE$1, 0)),
  IF(_xlpm.actual_value_month &lt;&gt; "", _xlpm.actual_value_month &amp; " ações mensais", "")
)</f>
        <v/>
      </c>
      <c r="K2526" s="8" t="str" cm="1">
        <f t="array" ref="K2526">_xlfn.LET(
    _xlpm.sum_month, SUM(T2526:AE2526),
    IF(_xlpm.sum_month = 0, "", _xlpm.sum_month &amp; " taxa de aprovados")
)</f>
        <v/>
      </c>
      <c r="L2526" s="4" t="s">
        <v>183</v>
      </c>
      <c r="M2526" s="13">
        <v>1</v>
      </c>
      <c r="N2526" s="5" t="s">
        <v>51</v>
      </c>
      <c r="O2526" s="5" t="s">
        <v>43</v>
      </c>
      <c r="P2526" s="10" t="s">
        <v>44</v>
      </c>
      <c r="Q2526" s="10" t="s">
        <v>44</v>
      </c>
      <c r="R2526" s="11" t="s">
        <v>44</v>
      </c>
      <c r="S2526" s="11" t="s">
        <v>44</v>
      </c>
      <c r="T2526" s="22"/>
      <c r="U2526" s="22"/>
      <c r="V2526" s="22"/>
      <c r="W2526" s="22"/>
      <c r="X2526" s="22"/>
      <c r="Y2526" s="22"/>
      <c r="Z2526" s="22"/>
      <c r="AA2526" s="22"/>
      <c r="AB2526" s="22"/>
      <c r="AC2526" s="22"/>
      <c r="AD2526" s="22"/>
      <c r="AE2526" s="22"/>
      <c r="AG2526" s="71"/>
      <c r="AH2526" s="71"/>
      <c r="AI2526" s="71"/>
      <c r="AJ2526" s="71"/>
      <c r="AK2526" s="71"/>
      <c r="AL2526" s="71"/>
      <c r="AM2526" s="71"/>
      <c r="AN2526" s="71"/>
      <c r="AO2526" s="71"/>
      <c r="AP2526" s="71"/>
      <c r="AQ2526" s="71"/>
      <c r="AR2526" s="71"/>
      <c r="AS2526" s="94" t="str" cm="1">
        <f t="array" ref="AS2526">IFERROR(INDEX(T2526:AE2526,1,MATCH(2,1/(T2526:AE2526&lt;&gt;""))),"")</f>
        <v/>
      </c>
      <c r="AT2526" s="95" t="str" cm="1">
        <f t="array" ref="AT2526">IFERROR(INDEX(AJ2526:AR2526,1,MATCH(2,1/(AJ2526:AR2526&lt;&gt;""))),"")</f>
        <v/>
      </c>
      <c r="AU2526" s="97" t="str">
        <f t="shared" si="3124"/>
        <v/>
      </c>
      <c r="AW2526" s="51" t="str">
        <f t="shared" ref="AW2526:AW2527" si="3173">IFERROR(IF(AG2526="","",AG2526/T2526),0)</f>
        <v/>
      </c>
      <c r="AX2526" s="51"/>
      <c r="AY2526" s="51"/>
      <c r="AZ2526" s="51"/>
      <c r="BA2526" s="51"/>
      <c r="BB2526" s="51"/>
      <c r="BC2526" s="51"/>
      <c r="BD2526" s="51"/>
      <c r="BE2526" s="51"/>
      <c r="BF2526" s="51"/>
      <c r="BG2526" s="51"/>
      <c r="BH2526" s="51"/>
      <c r="BI2526" s="65" t="str" cm="1">
        <f t="array" ref="BI2526">IFERROR(INDEX(AW2526:BH2526,1,MATCH(2,1/(AW2526:BH2526&lt;&gt;""))),"")</f>
        <v/>
      </c>
      <c r="BJ2526" s="68" t="str" cm="1">
        <f t="array" ref="BJ2526">IF(BM2526 = "", "",IFERROR(INDEX(AW2526:BH2526,1,MATCH(2,1/(AW2526:BH2526&lt;&gt;""),1)-1),""))</f>
        <v/>
      </c>
      <c r="BK2526" s="58" t="str" cm="1">
        <f t="array" ref="BK2526">IFERROR(INDEX(AW2526:BH2526,1,MATCH(2,1/(AW2526:BH2526&lt;&gt;""))),"")</f>
        <v/>
      </c>
      <c r="BL2526" s="58" t="str" cm="1">
        <f t="array" ref="BL2526">IFERROR(INDEX(AW2526:BH2526,1,MATCH(2,1/(AW2526:BH2526&lt;&gt;""),1)-1),"")</f>
        <v/>
      </c>
      <c r="BM2526" s="55" t="str" cm="1">
        <f t="array" ref="BM2526">IFERROR(
   INDEX($AW$1:$BH$1,
      _xlfn.AGGREGATE(14, 6, COLUMN($AW$1:$BH$1)/(AW2526:BH2526&lt;&gt;""), 2) - COLUMN($AW$1) + 1
   ),
"")</f>
        <v/>
      </c>
      <c r="BN2526" s="55" t="str" cm="1">
        <f t="array" ref="BN2526">IFERROR(INDEX($AW$1:$BH$1,1,MATCH(2,1/(AW2526:BH2526&lt;&gt;""))),"")</f>
        <v/>
      </c>
      <c r="BO2526" s="53">
        <f ca="1">IFERROR(_xlfn.XLOOKUP(F2526,Apuração!A:A,Apuração!C:C)/_xlfn.XLOOKUP(F2526,Apuração!A:A,Apuração!B:B),0)</f>
        <v>0</v>
      </c>
      <c r="BP2526" s="53">
        <f ca="1">IFERROR(_xlfn.XLOOKUP(F2526,Apuração!A:A,Apuração!D:D)/_xlfn.XLOOKUP(F2526,Apuração!A:A,Apuração!B:B),0)</f>
        <v>0</v>
      </c>
      <c r="BQ2526" s="53">
        <f ca="1">IF(BK2526&gt;=BO2526,0,_xlfn.XLOOKUP(F2526,Apuração!A:A,Apuração!B:B)*(BO2526 + (1/_xlfn.XLOOKUP(F2526,Apuração!A:A,Apuração!B:B)) - BK2526))</f>
        <v>0</v>
      </c>
      <c r="BR2526" s="85">
        <f t="shared" ref="BR2526:BR2527" ca="1" si="3174">IF(BQ2526=0,0,BQ2526*Z2526)</f>
        <v>0</v>
      </c>
      <c r="BS2526" s="53">
        <f ca="1">IFERROR((_xlfn.XLOOKUP(F2526,Apuração!A:A,Apuração!C:C)+1)/_xlfn.XLOOKUP(F2526,Apuração!A:A,Apuração!B:B),0)</f>
        <v>0.14285714285714285</v>
      </c>
    </row>
    <row r="2527" spans="1:71" ht="25.95" hidden="1" customHeight="1" x14ac:dyDescent="0.3">
      <c r="A2527" s="44" t="s">
        <v>175</v>
      </c>
      <c r="B2527" s="4" t="s">
        <v>194</v>
      </c>
      <c r="C2527" s="5" t="s">
        <v>221</v>
      </c>
      <c r="D2527" s="5" t="s">
        <v>213</v>
      </c>
      <c r="E2527" s="4" t="s">
        <v>96</v>
      </c>
      <c r="F2527" s="4" t="str" cm="1">
        <f t="array" ref="F2527">_xlfn.IFS(
AG2527 &lt;&gt; "", "Jan-Dez/26",
AH2527 &lt;&gt; "", "Fev-Dez/26",
AI2527 &lt;&gt; "", "Mar-Dez/26", AJ2527 &lt;&gt; "", "Abr-Dez/26",
TRUE, "A partir de Junho"
)</f>
        <v>A partir de Junho</v>
      </c>
      <c r="G2527" s="4" t="s">
        <v>62</v>
      </c>
      <c r="H2527" s="7" t="s">
        <v>38</v>
      </c>
      <c r="I2527" s="21" t="s">
        <v>182</v>
      </c>
      <c r="J2527" s="8" t="str" cm="1">
        <f t="array" aca="1" ref="J2527" ca="1">_xlfn.LET(
  _xlpm.actual_value_month, INDEX(T2527:AE2527, MATCH(DATE(YEAR(TODAY()), MONTH(TODAY()), 1), $T$1:$AE$1, 0)),
  IF(_xlpm.actual_value_month &lt;&gt; "", _xlpm.actual_value_month &amp; " ações mensais", "")
)</f>
        <v/>
      </c>
      <c r="K2527" s="8" t="str" cm="1">
        <f t="array" ref="K2527">_xlfn.LET(
    _xlpm.sum_month, SUM(T2527:AE2527),
    IF(_xlpm.sum_month = 0, "", _xlpm.sum_month &amp; " taxa de aprovados")
)</f>
        <v/>
      </c>
      <c r="L2527" s="4" t="s">
        <v>183</v>
      </c>
      <c r="M2527" s="13">
        <v>1</v>
      </c>
      <c r="N2527" s="5" t="s">
        <v>51</v>
      </c>
      <c r="O2527" s="5" t="s">
        <v>43</v>
      </c>
      <c r="P2527" s="10" t="s">
        <v>44</v>
      </c>
      <c r="Q2527" s="10" t="s">
        <v>44</v>
      </c>
      <c r="R2527" s="11" t="s">
        <v>44</v>
      </c>
      <c r="S2527" s="11" t="s">
        <v>44</v>
      </c>
      <c r="T2527" s="22"/>
      <c r="U2527" s="22"/>
      <c r="V2527" s="22"/>
      <c r="W2527" s="22"/>
      <c r="X2527" s="22"/>
      <c r="Y2527" s="22"/>
      <c r="Z2527" s="22"/>
      <c r="AA2527" s="22"/>
      <c r="AB2527" s="22"/>
      <c r="AC2527" s="22"/>
      <c r="AD2527" s="22"/>
      <c r="AE2527" s="22"/>
      <c r="AG2527" s="71"/>
      <c r="AH2527" s="71"/>
      <c r="AI2527" s="71"/>
      <c r="AJ2527" s="71"/>
      <c r="AK2527" s="71"/>
      <c r="AL2527" s="71"/>
      <c r="AM2527" s="71"/>
      <c r="AN2527" s="71"/>
      <c r="AO2527" s="71"/>
      <c r="AP2527" s="71"/>
      <c r="AQ2527" s="71"/>
      <c r="AR2527" s="71"/>
      <c r="AS2527" s="94" t="str" cm="1">
        <f t="array" ref="AS2527">IFERROR(INDEX(T2527:AE2527,1,MATCH(2,1/(T2527:AE2527&lt;&gt;""))),"")</f>
        <v/>
      </c>
      <c r="AT2527" s="95" t="str" cm="1">
        <f t="array" ref="AT2527">IFERROR(INDEX(AJ2527:AR2527,1,MATCH(2,1/(AJ2527:AR2527&lt;&gt;""))),"")</f>
        <v/>
      </c>
      <c r="AU2527" s="97" t="str">
        <f t="shared" si="3124"/>
        <v/>
      </c>
      <c r="AW2527" s="51" t="str">
        <f t="shared" si="3173"/>
        <v/>
      </c>
      <c r="AX2527" s="51"/>
      <c r="AY2527" s="51"/>
      <c r="AZ2527" s="51"/>
      <c r="BA2527" s="51"/>
      <c r="BB2527" s="51"/>
      <c r="BC2527" s="51"/>
      <c r="BD2527" s="51"/>
      <c r="BE2527" s="51"/>
      <c r="BF2527" s="51"/>
      <c r="BG2527" s="51"/>
      <c r="BH2527" s="51"/>
      <c r="BI2527" s="65" t="str" cm="1">
        <f t="array" ref="BI2527">IFERROR(INDEX(AW2527:BH2527,1,MATCH(2,1/(AW2527:BH2527&lt;&gt;""))),"")</f>
        <v/>
      </c>
      <c r="BJ2527" s="68" t="str" cm="1">
        <f t="array" ref="BJ2527">IF(BM2527 = "", "",IFERROR(INDEX(AW2527:BH2527,1,MATCH(2,1/(AW2527:BH2527&lt;&gt;""),1)-1),""))</f>
        <v/>
      </c>
      <c r="BK2527" s="58" t="str" cm="1">
        <f t="array" ref="BK2527">IFERROR(INDEX(AW2527:BH2527,1,MATCH(2,1/(AW2527:BH2527&lt;&gt;""))),"")</f>
        <v/>
      </c>
      <c r="BL2527" s="58" t="str" cm="1">
        <f t="array" ref="BL2527">IFERROR(INDEX(AW2527:BH2527,1,MATCH(2,1/(AW2527:BH2527&lt;&gt;""),1)-1),"")</f>
        <v/>
      </c>
      <c r="BM2527" s="55" t="str" cm="1">
        <f t="array" ref="BM2527">IFERROR(
   INDEX($AW$1:$BH$1,
      _xlfn.AGGREGATE(14, 6, COLUMN($AW$1:$BH$1)/(AW2527:BH2527&lt;&gt;""), 2) - COLUMN($AW$1) + 1
   ),
"")</f>
        <v/>
      </c>
      <c r="BN2527" s="55" t="str" cm="1">
        <f t="array" ref="BN2527">IFERROR(INDEX($AW$1:$BH$1,1,MATCH(2,1/(AW2527:BH2527&lt;&gt;""))),"")</f>
        <v/>
      </c>
      <c r="BO2527" s="53">
        <f ca="1">IFERROR(_xlfn.XLOOKUP(F2527,Apuração!A:A,Apuração!C:C)/_xlfn.XLOOKUP(F2527,Apuração!A:A,Apuração!B:B),0)</f>
        <v>0</v>
      </c>
      <c r="BP2527" s="53">
        <f ca="1">IFERROR(_xlfn.XLOOKUP(F2527,Apuração!A:A,Apuração!D:D)/_xlfn.XLOOKUP(F2527,Apuração!A:A,Apuração!B:B),0)</f>
        <v>0</v>
      </c>
      <c r="BQ2527" s="53">
        <f ca="1">IF(BK2527&gt;=BO2527,0,_xlfn.XLOOKUP(F2527,Apuração!A:A,Apuração!B:B)*(BO2527 + (1/_xlfn.XLOOKUP(F2527,Apuração!A:A,Apuração!B:B)) - BK2527))</f>
        <v>0</v>
      </c>
      <c r="BR2527" s="85">
        <f t="shared" ca="1" si="3174"/>
        <v>0</v>
      </c>
      <c r="BS2527" s="53">
        <f ca="1">IFERROR((_xlfn.XLOOKUP(F2527,Apuração!A:A,Apuração!C:C)+1)/_xlfn.XLOOKUP(F2527,Apuração!A:A,Apuração!B:B),0)</f>
        <v>0.14285714285714285</v>
      </c>
    </row>
    <row r="2528" spans="1:71" ht="25.95" hidden="1" customHeight="1" x14ac:dyDescent="0.3">
      <c r="A2528" s="33" t="s">
        <v>175</v>
      </c>
      <c r="B2528" s="4" t="s">
        <v>197</v>
      </c>
      <c r="C2528" s="5" t="s">
        <v>221</v>
      </c>
      <c r="D2528" s="5" t="s">
        <v>36</v>
      </c>
      <c r="E2528" s="4" t="s">
        <v>96</v>
      </c>
      <c r="F2528" s="4" t="str" cm="1">
        <f t="array" ref="F2528">_xlfn.IFS(
AG2528 &lt;&gt; "", "Jan-Dez/26",
AH2528 &lt;&gt; "", "Fev-Dez/26",
AI2528 &lt;&gt; "", "Mar-Dez/26", AJ2528 &lt;&gt; "", "Abr-Dez/26",
TRUE, "A partir de Junho"
)</f>
        <v>A partir de Junho</v>
      </c>
      <c r="G2528" s="4" t="s">
        <v>62</v>
      </c>
      <c r="H2528" s="7" t="s">
        <v>38</v>
      </c>
      <c r="I2528" s="8" t="s">
        <v>177</v>
      </c>
      <c r="J2528" s="8" t="str" cm="1">
        <f t="array" aca="1" ref="J2528" ca="1">_xlfn.LET(
  _xlpm.actual_value_month, INDEX(T2528:AE2528, MATCH(DATE(YEAR(TODAY()), MONTH(TODAY()), 1), $T$1:$AE$1, 0)),
  IF(_xlpm.actual_value_month &lt;&gt; "", _xlpm.actual_value_month &amp; " ações mensais", "")
)</f>
        <v/>
      </c>
      <c r="K2528" s="8" t="str" cm="1">
        <f t="array" ref="K2528">_xlfn.LET(
    _xlpm.sum_month, SUM(T2528:AE2528),
    IF(_xlpm.sum_month = 0, "", _xlpm.sum_month &amp; " certificados gerados.")
)</f>
        <v/>
      </c>
      <c r="L2528" s="9" t="s">
        <v>198</v>
      </c>
      <c r="M2528" s="13">
        <v>1</v>
      </c>
      <c r="N2528" s="5" t="s">
        <v>42</v>
      </c>
      <c r="O2528" s="5" t="s">
        <v>43</v>
      </c>
      <c r="P2528" s="10" t="s">
        <v>146</v>
      </c>
      <c r="Q2528" s="10" t="s">
        <v>44</v>
      </c>
      <c r="R2528" s="11" t="s">
        <v>179</v>
      </c>
      <c r="S2528" s="11" t="s">
        <v>67</v>
      </c>
      <c r="T2528" s="22"/>
      <c r="U2528" s="22"/>
      <c r="V2528" s="22"/>
      <c r="W2528" s="22"/>
      <c r="X2528" s="22"/>
      <c r="Y2528" s="22"/>
      <c r="Z2528" s="22"/>
      <c r="AA2528" s="22"/>
      <c r="AB2528" s="22"/>
      <c r="AC2528" s="22"/>
      <c r="AD2528" s="22"/>
      <c r="AE2528" s="22"/>
      <c r="AG2528" s="71"/>
      <c r="AH2528" s="71"/>
      <c r="AI2528" s="71"/>
      <c r="AJ2528" s="71"/>
      <c r="AK2528" s="71"/>
      <c r="AL2528" s="71"/>
      <c r="AM2528" s="71"/>
      <c r="AN2528" s="71"/>
      <c r="AO2528" s="71"/>
      <c r="AP2528" s="71"/>
      <c r="AQ2528" s="71"/>
      <c r="AR2528" s="71"/>
      <c r="AS2528" s="94" t="str" cm="1">
        <f t="array" ref="AS2528">IFERROR(INDEX(T2528:AE2528,1,MATCH(2,1/(T2528:AE2528&lt;&gt;""))),"")</f>
        <v/>
      </c>
      <c r="AT2528" s="95" t="str" cm="1">
        <f t="array" ref="AT2528">IFERROR(INDEX(AJ2528:AR2528,1,MATCH(2,1/(AJ2528:AR2528&lt;&gt;""))),"")</f>
        <v/>
      </c>
      <c r="AU2528" s="97" t="str">
        <f t="shared" si="3124"/>
        <v/>
      </c>
      <c r="AW2528" s="51"/>
      <c r="AX2528" s="51"/>
      <c r="AY2528" s="51"/>
      <c r="AZ2528" s="51"/>
      <c r="BA2528" s="51"/>
      <c r="BB2528" s="51"/>
      <c r="BC2528" s="51"/>
      <c r="BD2528" s="51"/>
      <c r="BE2528" s="51"/>
      <c r="BF2528" s="51"/>
      <c r="BG2528" s="51"/>
      <c r="BH2528" s="51"/>
      <c r="BI2528" s="65" t="str" cm="1">
        <f t="array" ref="BI2528">IFERROR(INDEX(AW2528:BH2528,1,MATCH(2,1/(AW2528:BH2528&lt;&gt;""))),"")</f>
        <v/>
      </c>
      <c r="BJ2528" s="68" t="str" cm="1">
        <f t="array" ref="BJ2528">IF(BM2528 = "", "",IFERROR(INDEX(AW2528:BH2528,1,MATCH(2,1/(AW2528:BH2528&lt;&gt;""),1)-1),""))</f>
        <v/>
      </c>
      <c r="BK2528" s="58" t="str" cm="1">
        <f t="array" ref="BK2528">IFERROR(INDEX(AW2528:BH2528,1,MATCH(2,1/(AW2528:BH2528&lt;&gt;""))),"")</f>
        <v/>
      </c>
      <c r="BL2528" s="58" t="str" cm="1">
        <f t="array" ref="BL2528">IFERROR(INDEX(AW2528:BH2528,1,MATCH(2,1/(AW2528:BH2528&lt;&gt;""),1)-1),"")</f>
        <v/>
      </c>
      <c r="BM2528" s="55" t="str" cm="1">
        <f t="array" ref="BM2528">IFERROR(
   INDEX($AW$1:$BH$1,
      _xlfn.AGGREGATE(14, 6, COLUMN($AW$1:$BH$1)/(AW2528:BH2528&lt;&gt;""), 2) - COLUMN($AW$1) + 1
   ),
"")</f>
        <v/>
      </c>
      <c r="BN2528" s="55" t="str" cm="1">
        <f t="array" ref="BN2528">IFERROR(INDEX($AW$1:$BH$1,1,MATCH(2,1/(AW2528:BH2528&lt;&gt;""))),"")</f>
        <v/>
      </c>
      <c r="BO2528" s="53">
        <f ca="1">IFERROR(_xlfn.XLOOKUP(F2528,Apuração!A:A,Apuração!C:C)/_xlfn.XLOOKUP(F2528,Apuração!A:A,Apuração!B:B),0)</f>
        <v>0</v>
      </c>
      <c r="BP2528" s="53">
        <f ca="1">IFERROR(_xlfn.XLOOKUP(F2528,Apuração!A:A,Apuração!D:D)/_xlfn.XLOOKUP(F2528,Apuração!A:A,Apuração!B:B),0)</f>
        <v>0</v>
      </c>
      <c r="BQ2528" s="53">
        <f ca="1">IF(BK2528&gt;=BO2528,0,_xlfn.XLOOKUP(F2528,Apuração!A:A,Apuração!B:B)*(BO2528 + (1/_xlfn.XLOOKUP(F2528,Apuração!A:A,Apuração!B:B)) - BK2528))</f>
        <v>0</v>
      </c>
      <c r="BR2528" s="85">
        <f t="shared" ca="1" si="2957"/>
        <v>0</v>
      </c>
      <c r="BS2528" s="53">
        <f ca="1">IFERROR((_xlfn.XLOOKUP(F2528,Apuração!A:A,Apuração!C:C)+1)/_xlfn.XLOOKUP(F2528,Apuração!A:A,Apuração!B:B),0)</f>
        <v>0.14285714285714285</v>
      </c>
    </row>
    <row r="2529" spans="1:71" ht="25.95" hidden="1" customHeight="1" x14ac:dyDescent="0.3">
      <c r="A2529" s="33" t="s">
        <v>175</v>
      </c>
      <c r="B2529" s="4" t="s">
        <v>197</v>
      </c>
      <c r="C2529" s="5" t="s">
        <v>221</v>
      </c>
      <c r="D2529" s="5" t="s">
        <v>212</v>
      </c>
      <c r="E2529" s="4" t="s">
        <v>96</v>
      </c>
      <c r="F2529" s="4" t="str" cm="1">
        <f t="array" ref="F2529">_xlfn.IFS(
AG2529 &lt;&gt; "", "Jan-Dez/26",
AH2529 &lt;&gt; "", "Fev-Dez/26",
AI2529 &lt;&gt; "", "Mar-Dez/26", AJ2529 &lt;&gt; "", "Abr-Dez/26",
TRUE, "A partir de Junho"
)</f>
        <v>A partir de Junho</v>
      </c>
      <c r="G2529" s="4" t="s">
        <v>62</v>
      </c>
      <c r="H2529" s="7" t="s">
        <v>38</v>
      </c>
      <c r="I2529" s="8" t="s">
        <v>177</v>
      </c>
      <c r="J2529" s="8" t="str" cm="1">
        <f t="array" aca="1" ref="J2529" ca="1">_xlfn.LET(
  _xlpm.actual_value_month, INDEX(T2529:AE2529, MATCH(DATE(YEAR(TODAY()), MONTH(TODAY()), 1), $T$1:$AE$1, 0)),
  IF(_xlpm.actual_value_month &lt;&gt; "", _xlpm.actual_value_month &amp; " ações mensais", "")
)</f>
        <v/>
      </c>
      <c r="K2529" s="8" t="str" cm="1">
        <f t="array" ref="K2529">_xlfn.LET(
    _xlpm.sum_month, SUM(T2529:AE2529),
    IF(_xlpm.sum_month = 0, "", _xlpm.sum_month &amp; " certificados gerados.")
)</f>
        <v/>
      </c>
      <c r="L2529" s="9" t="s">
        <v>198</v>
      </c>
      <c r="M2529" s="13">
        <v>1</v>
      </c>
      <c r="N2529" s="5" t="s">
        <v>42</v>
      </c>
      <c r="O2529" s="5" t="s">
        <v>43</v>
      </c>
      <c r="P2529" s="10" t="s">
        <v>146</v>
      </c>
      <c r="Q2529" s="10" t="s">
        <v>44</v>
      </c>
      <c r="R2529" s="11" t="s">
        <v>179</v>
      </c>
      <c r="S2529" s="11" t="s">
        <v>67</v>
      </c>
      <c r="T2529" s="22"/>
      <c r="U2529" s="22"/>
      <c r="V2529" s="22"/>
      <c r="W2529" s="22"/>
      <c r="X2529" s="22"/>
      <c r="Y2529" s="22"/>
      <c r="Z2529" s="22"/>
      <c r="AA2529" s="22"/>
      <c r="AB2529" s="22"/>
      <c r="AC2529" s="22"/>
      <c r="AD2529" s="22"/>
      <c r="AE2529" s="22"/>
      <c r="AG2529" s="71"/>
      <c r="AH2529" s="71"/>
      <c r="AI2529" s="71"/>
      <c r="AJ2529" s="71"/>
      <c r="AK2529" s="71"/>
      <c r="AL2529" s="71"/>
      <c r="AM2529" s="71"/>
      <c r="AN2529" s="71"/>
      <c r="AO2529" s="71"/>
      <c r="AP2529" s="71"/>
      <c r="AQ2529" s="71"/>
      <c r="AR2529" s="71"/>
      <c r="AS2529" s="94" t="str" cm="1">
        <f t="array" ref="AS2529">IFERROR(INDEX(T2529:AE2529,1,MATCH(2,1/(T2529:AE2529&lt;&gt;""))),"")</f>
        <v/>
      </c>
      <c r="AT2529" s="95" t="str" cm="1">
        <f t="array" ref="AT2529">IFERROR(INDEX(AJ2529:AR2529,1,MATCH(2,1/(AJ2529:AR2529&lt;&gt;""))),"")</f>
        <v/>
      </c>
      <c r="AU2529" s="97" t="str">
        <f t="shared" si="3124"/>
        <v/>
      </c>
      <c r="AW2529" s="51"/>
      <c r="AX2529" s="51"/>
      <c r="AY2529" s="51"/>
      <c r="AZ2529" s="51"/>
      <c r="BA2529" s="51"/>
      <c r="BB2529" s="51"/>
      <c r="BC2529" s="51"/>
      <c r="BD2529" s="51"/>
      <c r="BE2529" s="51"/>
      <c r="BF2529" s="51"/>
      <c r="BG2529" s="51"/>
      <c r="BH2529" s="51"/>
      <c r="BI2529" s="65" t="str" cm="1">
        <f t="array" ref="BI2529">IFERROR(INDEX(AW2529:BH2529,1,MATCH(2,1/(AW2529:BH2529&lt;&gt;""))),"")</f>
        <v/>
      </c>
      <c r="BJ2529" s="68" t="str" cm="1">
        <f t="array" ref="BJ2529">IF(BM2529 = "", "",IFERROR(INDEX(AW2529:BH2529,1,MATCH(2,1/(AW2529:BH2529&lt;&gt;""),1)-1),""))</f>
        <v/>
      </c>
      <c r="BK2529" s="58" t="str" cm="1">
        <f t="array" ref="BK2529">IFERROR(INDEX(AW2529:BH2529,1,MATCH(2,1/(AW2529:BH2529&lt;&gt;""))),"")</f>
        <v/>
      </c>
      <c r="BL2529" s="58" t="str" cm="1">
        <f t="array" ref="BL2529">IFERROR(INDEX(AW2529:BH2529,1,MATCH(2,1/(AW2529:BH2529&lt;&gt;""),1)-1),"")</f>
        <v/>
      </c>
      <c r="BM2529" s="55" t="str" cm="1">
        <f t="array" ref="BM2529">IFERROR(
   INDEX($AW$1:$BH$1,
      _xlfn.AGGREGATE(14, 6, COLUMN($AW$1:$BH$1)/(AW2529:BH2529&lt;&gt;""), 2) - COLUMN($AW$1) + 1
   ),
"")</f>
        <v/>
      </c>
      <c r="BN2529" s="55" t="str" cm="1">
        <f t="array" ref="BN2529">IFERROR(INDEX($AW$1:$BH$1,1,MATCH(2,1/(AW2529:BH2529&lt;&gt;""))),"")</f>
        <v/>
      </c>
      <c r="BO2529" s="53">
        <f ca="1">IFERROR(_xlfn.XLOOKUP(F2529,Apuração!A:A,Apuração!C:C)/_xlfn.XLOOKUP(F2529,Apuração!A:A,Apuração!B:B),0)</f>
        <v>0</v>
      </c>
      <c r="BP2529" s="53">
        <f ca="1">IFERROR(_xlfn.XLOOKUP(F2529,Apuração!A:A,Apuração!D:D)/_xlfn.XLOOKUP(F2529,Apuração!A:A,Apuração!B:B),0)</f>
        <v>0</v>
      </c>
      <c r="BQ2529" s="53">
        <f ca="1">IF(BK2529&gt;=BO2529,0,_xlfn.XLOOKUP(F2529,Apuração!A:A,Apuração!B:B)*(BO2529 + (1/_xlfn.XLOOKUP(F2529,Apuração!A:A,Apuração!B:B)) - BK2529))</f>
        <v>0</v>
      </c>
      <c r="BR2529" s="85">
        <f t="shared" ref="BR2529:BR2530" ca="1" si="3175">IF(BQ2529=0,0,BQ2529*Z2529)</f>
        <v>0</v>
      </c>
      <c r="BS2529" s="53">
        <f ca="1">IFERROR((_xlfn.XLOOKUP(F2529,Apuração!A:A,Apuração!C:C)+1)/_xlfn.XLOOKUP(F2529,Apuração!A:A,Apuração!B:B),0)</f>
        <v>0.14285714285714285</v>
      </c>
    </row>
    <row r="2530" spans="1:71" ht="25.95" hidden="1" customHeight="1" x14ac:dyDescent="0.3">
      <c r="A2530" s="33" t="s">
        <v>175</v>
      </c>
      <c r="B2530" s="4" t="s">
        <v>197</v>
      </c>
      <c r="C2530" s="5" t="s">
        <v>221</v>
      </c>
      <c r="D2530" s="5" t="s">
        <v>213</v>
      </c>
      <c r="E2530" s="4" t="s">
        <v>96</v>
      </c>
      <c r="F2530" s="4" t="str" cm="1">
        <f t="array" ref="F2530">_xlfn.IFS(
AG2530 &lt;&gt; "", "Jan-Dez/26",
AH2530 &lt;&gt; "", "Fev-Dez/26",
AI2530 &lt;&gt; "", "Mar-Dez/26", AJ2530 &lt;&gt; "", "Abr-Dez/26",
TRUE, "A partir de Junho"
)</f>
        <v>A partir de Junho</v>
      </c>
      <c r="G2530" s="4" t="s">
        <v>62</v>
      </c>
      <c r="H2530" s="7" t="s">
        <v>38</v>
      </c>
      <c r="I2530" s="8" t="s">
        <v>177</v>
      </c>
      <c r="J2530" s="8" t="str" cm="1">
        <f t="array" aca="1" ref="J2530" ca="1">_xlfn.LET(
  _xlpm.actual_value_month, INDEX(T2530:AE2530, MATCH(DATE(YEAR(TODAY()), MONTH(TODAY()), 1), $T$1:$AE$1, 0)),
  IF(_xlpm.actual_value_month &lt;&gt; "", _xlpm.actual_value_month &amp; " ações mensais", "")
)</f>
        <v/>
      </c>
      <c r="K2530" s="8" t="str" cm="1">
        <f t="array" ref="K2530">_xlfn.LET(
    _xlpm.sum_month, SUM(T2530:AE2530),
    IF(_xlpm.sum_month = 0, "", _xlpm.sum_month &amp; " certificados gerados.")
)</f>
        <v/>
      </c>
      <c r="L2530" s="9" t="s">
        <v>198</v>
      </c>
      <c r="M2530" s="13">
        <v>1</v>
      </c>
      <c r="N2530" s="5" t="s">
        <v>42</v>
      </c>
      <c r="O2530" s="5" t="s">
        <v>43</v>
      </c>
      <c r="P2530" s="10" t="s">
        <v>146</v>
      </c>
      <c r="Q2530" s="10" t="s">
        <v>44</v>
      </c>
      <c r="R2530" s="11" t="s">
        <v>179</v>
      </c>
      <c r="S2530" s="11" t="s">
        <v>67</v>
      </c>
      <c r="T2530" s="22"/>
      <c r="U2530" s="22"/>
      <c r="V2530" s="22"/>
      <c r="W2530" s="22"/>
      <c r="X2530" s="22"/>
      <c r="Y2530" s="22"/>
      <c r="Z2530" s="22"/>
      <c r="AA2530" s="22"/>
      <c r="AB2530" s="22"/>
      <c r="AC2530" s="22"/>
      <c r="AD2530" s="22"/>
      <c r="AE2530" s="22"/>
      <c r="AG2530" s="71"/>
      <c r="AH2530" s="71"/>
      <c r="AI2530" s="71"/>
      <c r="AJ2530" s="71"/>
      <c r="AK2530" s="71"/>
      <c r="AL2530" s="71"/>
      <c r="AM2530" s="71"/>
      <c r="AN2530" s="71"/>
      <c r="AO2530" s="71"/>
      <c r="AP2530" s="71"/>
      <c r="AQ2530" s="71"/>
      <c r="AR2530" s="71"/>
      <c r="AS2530" s="94" t="str" cm="1">
        <f t="array" ref="AS2530">IFERROR(INDEX(T2530:AE2530,1,MATCH(2,1/(T2530:AE2530&lt;&gt;""))),"")</f>
        <v/>
      </c>
      <c r="AT2530" s="95" t="str" cm="1">
        <f t="array" ref="AT2530">IFERROR(INDEX(AJ2530:AR2530,1,MATCH(2,1/(AJ2530:AR2530&lt;&gt;""))),"")</f>
        <v/>
      </c>
      <c r="AU2530" s="97" t="str">
        <f t="shared" si="3124"/>
        <v/>
      </c>
      <c r="AW2530" s="51"/>
      <c r="AX2530" s="51"/>
      <c r="AY2530" s="51"/>
      <c r="AZ2530" s="51"/>
      <c r="BA2530" s="51"/>
      <c r="BB2530" s="51"/>
      <c r="BC2530" s="51"/>
      <c r="BD2530" s="51"/>
      <c r="BE2530" s="51"/>
      <c r="BF2530" s="51"/>
      <c r="BG2530" s="51"/>
      <c r="BH2530" s="51"/>
      <c r="BI2530" s="65" t="str" cm="1">
        <f t="array" ref="BI2530">IFERROR(INDEX(AW2530:BH2530,1,MATCH(2,1/(AW2530:BH2530&lt;&gt;""))),"")</f>
        <v/>
      </c>
      <c r="BJ2530" s="68" t="str" cm="1">
        <f t="array" ref="BJ2530">IF(BM2530 = "", "",IFERROR(INDEX(AW2530:BH2530,1,MATCH(2,1/(AW2530:BH2530&lt;&gt;""),1)-1),""))</f>
        <v/>
      </c>
      <c r="BK2530" s="58" t="str" cm="1">
        <f t="array" ref="BK2530">IFERROR(INDEX(AW2530:BH2530,1,MATCH(2,1/(AW2530:BH2530&lt;&gt;""))),"")</f>
        <v/>
      </c>
      <c r="BL2530" s="58" t="str" cm="1">
        <f t="array" ref="BL2530">IFERROR(INDEX(AW2530:BH2530,1,MATCH(2,1/(AW2530:BH2530&lt;&gt;""),1)-1),"")</f>
        <v/>
      </c>
      <c r="BM2530" s="55" t="str" cm="1">
        <f t="array" ref="BM2530">IFERROR(
   INDEX($AW$1:$BH$1,
      _xlfn.AGGREGATE(14, 6, COLUMN($AW$1:$BH$1)/(AW2530:BH2530&lt;&gt;""), 2) - COLUMN($AW$1) + 1
   ),
"")</f>
        <v/>
      </c>
      <c r="BN2530" s="55" t="str" cm="1">
        <f t="array" ref="BN2530">IFERROR(INDEX($AW$1:$BH$1,1,MATCH(2,1/(AW2530:BH2530&lt;&gt;""))),"")</f>
        <v/>
      </c>
      <c r="BO2530" s="53">
        <f ca="1">IFERROR(_xlfn.XLOOKUP(F2530,Apuração!A:A,Apuração!C:C)/_xlfn.XLOOKUP(F2530,Apuração!A:A,Apuração!B:B),0)</f>
        <v>0</v>
      </c>
      <c r="BP2530" s="53">
        <f ca="1">IFERROR(_xlfn.XLOOKUP(F2530,Apuração!A:A,Apuração!D:D)/_xlfn.XLOOKUP(F2530,Apuração!A:A,Apuração!B:B),0)</f>
        <v>0</v>
      </c>
      <c r="BQ2530" s="53">
        <f ca="1">IF(BK2530&gt;=BO2530,0,_xlfn.XLOOKUP(F2530,Apuração!A:A,Apuração!B:B)*(BO2530 + (1/_xlfn.XLOOKUP(F2530,Apuração!A:A,Apuração!B:B)) - BK2530))</f>
        <v>0</v>
      </c>
      <c r="BR2530" s="85">
        <f t="shared" ca="1" si="3175"/>
        <v>0</v>
      </c>
      <c r="BS2530" s="53">
        <f ca="1">IFERROR((_xlfn.XLOOKUP(F2530,Apuração!A:A,Apuração!C:C)+1)/_xlfn.XLOOKUP(F2530,Apuração!A:A,Apuração!B:B),0)</f>
        <v>0.14285714285714285</v>
      </c>
    </row>
    <row r="2531" spans="1:71" ht="25.95" hidden="1" customHeight="1" x14ac:dyDescent="0.3">
      <c r="A2531" s="44" t="s">
        <v>175</v>
      </c>
      <c r="B2531" s="4" t="s">
        <v>197</v>
      </c>
      <c r="C2531" s="5" t="s">
        <v>221</v>
      </c>
      <c r="D2531" s="5" t="s">
        <v>36</v>
      </c>
      <c r="E2531" s="4" t="s">
        <v>96</v>
      </c>
      <c r="F2531" s="4" t="str" cm="1">
        <f t="array" ref="F2531">_xlfn.IFS(
AG2531 &lt;&gt; "", "Jan-Dez/26",
AH2531 &lt;&gt; "", "Fev-Dez/26",
AI2531 &lt;&gt; "", "Mar-Dez/26", AJ2531 &lt;&gt; "", "Abr-Dez/26",
TRUE, "A partir de Junho"
)</f>
        <v>A partir de Junho</v>
      </c>
      <c r="G2531" s="4" t="s">
        <v>62</v>
      </c>
      <c r="H2531" s="7" t="s">
        <v>38</v>
      </c>
      <c r="I2531" s="21" t="s">
        <v>180</v>
      </c>
      <c r="J2531" s="8" t="str" cm="1">
        <f t="array" aca="1" ref="J2531" ca="1">_xlfn.LET(
  _xlpm.actual_value_month, INDEX(T2531:AE2531, MATCH(DATE(YEAR(TODAY()), MONTH(TODAY()), 1), $T$1:$AE$1, 0)),
  IF(_xlpm.actual_value_month &lt;&gt; "", _xlpm.actual_value_month &amp; " ações mensais", "")
)</f>
        <v/>
      </c>
      <c r="K2531" s="34" t="str" cm="1">
        <f t="array" ref="K2531">_xlfn.LET(
    _xlpm.sum_month, SUM(T2531:AE2531),
    IF(_xlpm.sum_month = 0, "", _xlpm.sum_month &amp; " colaboradores treinados.")
)</f>
        <v/>
      </c>
      <c r="L2531" s="9" t="s">
        <v>199</v>
      </c>
      <c r="M2531" s="13">
        <v>1</v>
      </c>
      <c r="N2531" s="5" t="s">
        <v>51</v>
      </c>
      <c r="O2531" s="5" t="s">
        <v>52</v>
      </c>
      <c r="P2531" s="10" t="s">
        <v>146</v>
      </c>
      <c r="Q2531" s="10" t="s">
        <v>44</v>
      </c>
      <c r="R2531" s="11" t="s">
        <v>44</v>
      </c>
      <c r="S2531" s="11" t="s">
        <v>44</v>
      </c>
      <c r="T2531" s="22"/>
      <c r="U2531" s="22"/>
      <c r="V2531" s="22"/>
      <c r="W2531" s="22"/>
      <c r="X2531" s="22"/>
      <c r="Y2531" s="22"/>
      <c r="Z2531" s="22"/>
      <c r="AA2531" s="22"/>
      <c r="AB2531" s="22"/>
      <c r="AC2531" s="22"/>
      <c r="AD2531" s="22"/>
      <c r="AE2531" s="22"/>
      <c r="AG2531" s="71"/>
      <c r="AH2531" s="71"/>
      <c r="AI2531" s="71"/>
      <c r="AJ2531" s="71"/>
      <c r="AK2531" s="71"/>
      <c r="AL2531" s="71"/>
      <c r="AM2531" s="71"/>
      <c r="AN2531" s="71"/>
      <c r="AO2531" s="71"/>
      <c r="AP2531" s="71"/>
      <c r="AQ2531" s="71"/>
      <c r="AR2531" s="71"/>
      <c r="AS2531" s="94" t="str" cm="1">
        <f t="array" ref="AS2531">IFERROR(INDEX(T2531:AE2531,1,MATCH(2,1/(T2531:AE2531&lt;&gt;""))),"")</f>
        <v/>
      </c>
      <c r="AT2531" s="95" t="str" cm="1">
        <f t="array" ref="AT2531">IFERROR(INDEX(AJ2531:AR2531,1,MATCH(2,1/(AJ2531:AR2531&lt;&gt;""))),"")</f>
        <v/>
      </c>
      <c r="AU2531" s="97" t="str">
        <f t="shared" si="3124"/>
        <v/>
      </c>
      <c r="AW2531" s="52">
        <f>AG2531</f>
        <v>0</v>
      </c>
      <c r="AX2531" s="52"/>
      <c r="AY2531" s="52"/>
      <c r="AZ2531" s="52"/>
      <c r="BA2531" s="52"/>
      <c r="BB2531" s="52"/>
      <c r="BC2531" s="52"/>
      <c r="BD2531" s="52"/>
      <c r="BE2531" s="52"/>
      <c r="BF2531" s="52"/>
      <c r="BG2531" s="52"/>
      <c r="BH2531" s="52"/>
      <c r="BI2531" s="68" cm="1">
        <f t="array" ref="BI2531">IFERROR(INDEX(AW2531:BH2531,1,MATCH(2,1/(AW2531:BH2531&lt;&gt;""))),"")</f>
        <v>0</v>
      </c>
      <c r="BJ2531" s="68" t="str" cm="1">
        <f t="array" ref="BJ2531">IF(BM2531 = "", "",IFERROR(INDEX(AW2531:BH2531,1,MATCH(2,1/(AW2531:BH2531&lt;&gt;""),1)-1),""))</f>
        <v/>
      </c>
      <c r="BK2531" s="59">
        <f>SUM(AW2531:BH2531)</f>
        <v>0</v>
      </c>
      <c r="BL2531" s="59" cm="1">
        <f t="array" ref="BL2531">IFERROR(SUM(AW2531:INDEX(AW2531:BH2531, MATCH(2, 1/(AW2531:BH2531&lt;&gt;""), 1) - 1))/_xlfn.XLOOKUP(F2531,Apuração!A:A,Apuração!B:B),0)</f>
        <v>0</v>
      </c>
      <c r="BM2531" s="55" t="str" cm="1">
        <f t="array" ref="BM2531">IFERROR(
   INDEX($AW$1:$BH$1,
      _xlfn.AGGREGATE(14, 6, COLUMN($AW$1:$BH$1)/(AW2531:BH2531&lt;&gt;""), 2) - COLUMN($AW$1) + 1
   ),
"")</f>
        <v/>
      </c>
      <c r="BN2531" s="55" cm="1">
        <f t="array" ref="BN2531">IFERROR(INDEX($AW$1:$BH$1,1,MATCH(2,1/(AW2531:BH2531&lt;&gt;""))),"")</f>
        <v>46023</v>
      </c>
      <c r="BO2531" s="53">
        <f ca="1">IFERROR(_xlfn.XLOOKUP(F2531,Apuração!A:A,Apuração!C:C)/_xlfn.XLOOKUP(F2531,Apuração!A:A,Apuração!B:B),0)</f>
        <v>0</v>
      </c>
      <c r="BP2531" s="53">
        <f ca="1">IFERROR(_xlfn.XLOOKUP(F2531,Apuração!A:A,Apuração!D:D)/_xlfn.XLOOKUP(F2531,Apuração!A:A,Apuração!B:B),0)</f>
        <v>0</v>
      </c>
      <c r="BQ2531" s="53">
        <f ca="1">IF(BK2531&gt;=BO2531,0,_xlfn.XLOOKUP(F2531,Apuração!A:A,Apuração!B:B)*(BO2531 + (1/_xlfn.XLOOKUP(F2531,Apuração!A:A,Apuração!B:B)) - BK2531))</f>
        <v>0</v>
      </c>
      <c r="BR2531" s="85">
        <f t="shared" ca="1" si="2957"/>
        <v>0</v>
      </c>
      <c r="BS2531" s="53">
        <f ca="1">IFERROR((_xlfn.XLOOKUP(F2531,Apuração!A:A,Apuração!C:C)+1)/_xlfn.XLOOKUP(F2531,Apuração!A:A,Apuração!B:B),0)</f>
        <v>0.14285714285714285</v>
      </c>
    </row>
    <row r="2532" spans="1:71" ht="25.95" hidden="1" customHeight="1" x14ac:dyDescent="0.3">
      <c r="A2532" s="44" t="s">
        <v>175</v>
      </c>
      <c r="B2532" s="4" t="s">
        <v>197</v>
      </c>
      <c r="C2532" s="5" t="s">
        <v>221</v>
      </c>
      <c r="D2532" s="5" t="s">
        <v>212</v>
      </c>
      <c r="E2532" s="4" t="s">
        <v>96</v>
      </c>
      <c r="F2532" s="4" t="str" cm="1">
        <f t="array" ref="F2532">_xlfn.IFS(
AG2532 &lt;&gt; "", "Jan-Dez/26",
AH2532 &lt;&gt; "", "Fev-Dez/26",
AI2532 &lt;&gt; "", "Mar-Dez/26", AJ2532 &lt;&gt; "", "Abr-Dez/26",
TRUE, "A partir de Junho"
)</f>
        <v>A partir de Junho</v>
      </c>
      <c r="G2532" s="4" t="s">
        <v>62</v>
      </c>
      <c r="H2532" s="7" t="s">
        <v>38</v>
      </c>
      <c r="I2532" s="21" t="s">
        <v>180</v>
      </c>
      <c r="J2532" s="8" t="str" cm="1">
        <f t="array" aca="1" ref="J2532" ca="1">_xlfn.LET(
  _xlpm.actual_value_month, INDEX(T2532:AE2532, MATCH(DATE(YEAR(TODAY()), MONTH(TODAY()), 1), $T$1:$AE$1, 0)),
  IF(_xlpm.actual_value_month &lt;&gt; "", _xlpm.actual_value_month &amp; " ações mensais", "")
)</f>
        <v/>
      </c>
      <c r="K2532" s="34" t="str" cm="1">
        <f t="array" ref="K2532">_xlfn.LET(
    _xlpm.sum_month, SUM(T2532:AE2532),
    IF(_xlpm.sum_month = 0, "", _xlpm.sum_month &amp; " colaboradores treinados.")
)</f>
        <v/>
      </c>
      <c r="L2532" s="9" t="s">
        <v>199</v>
      </c>
      <c r="M2532" s="13">
        <v>1</v>
      </c>
      <c r="N2532" s="5" t="s">
        <v>51</v>
      </c>
      <c r="O2532" s="5" t="s">
        <v>52</v>
      </c>
      <c r="P2532" s="10" t="s">
        <v>146</v>
      </c>
      <c r="Q2532" s="10" t="s">
        <v>44</v>
      </c>
      <c r="R2532" s="11" t="s">
        <v>44</v>
      </c>
      <c r="S2532" s="11" t="s">
        <v>44</v>
      </c>
      <c r="T2532" s="22"/>
      <c r="U2532" s="22"/>
      <c r="V2532" s="22"/>
      <c r="W2532" s="22"/>
      <c r="X2532" s="22"/>
      <c r="Y2532" s="22"/>
      <c r="Z2532" s="22"/>
      <c r="AA2532" s="22"/>
      <c r="AB2532" s="22"/>
      <c r="AC2532" s="22"/>
      <c r="AD2532" s="22"/>
      <c r="AE2532" s="22"/>
      <c r="AG2532" s="71"/>
      <c r="AH2532" s="71"/>
      <c r="AI2532" s="71"/>
      <c r="AJ2532" s="71"/>
      <c r="AK2532" s="71"/>
      <c r="AL2532" s="71"/>
      <c r="AM2532" s="71"/>
      <c r="AN2532" s="71"/>
      <c r="AO2532" s="71"/>
      <c r="AP2532" s="71"/>
      <c r="AQ2532" s="71"/>
      <c r="AR2532" s="71"/>
      <c r="AS2532" s="94" t="str" cm="1">
        <f t="array" ref="AS2532">IFERROR(INDEX(T2532:AE2532,1,MATCH(2,1/(T2532:AE2532&lt;&gt;""))),"")</f>
        <v/>
      </c>
      <c r="AT2532" s="95" t="str" cm="1">
        <f t="array" ref="AT2532">IFERROR(INDEX(AJ2532:AR2532,1,MATCH(2,1/(AJ2532:AR2532&lt;&gt;""))),"")</f>
        <v/>
      </c>
      <c r="AU2532" s="97" t="str">
        <f t="shared" si="3124"/>
        <v/>
      </c>
      <c r="AW2532" s="52">
        <f t="shared" ref="AW2532:AW2533" si="3176">AG2532</f>
        <v>0</v>
      </c>
      <c r="AX2532" s="52"/>
      <c r="AY2532" s="52"/>
      <c r="AZ2532" s="52"/>
      <c r="BA2532" s="52"/>
      <c r="BB2532" s="52"/>
      <c r="BC2532" s="52"/>
      <c r="BD2532" s="52"/>
      <c r="BE2532" s="52"/>
      <c r="BF2532" s="52"/>
      <c r="BG2532" s="52"/>
      <c r="BH2532" s="52"/>
      <c r="BI2532" s="68" cm="1">
        <f t="array" ref="BI2532">IFERROR(INDEX(AW2532:BH2532,1,MATCH(2,1/(AW2532:BH2532&lt;&gt;""))),"")</f>
        <v>0</v>
      </c>
      <c r="BJ2532" s="68" t="str" cm="1">
        <f t="array" ref="BJ2532">IF(BM2532 = "", "",IFERROR(INDEX(AW2532:BH2532,1,MATCH(2,1/(AW2532:BH2532&lt;&gt;""),1)-1),""))</f>
        <v/>
      </c>
      <c r="BK2532" s="59">
        <f t="shared" ref="BK2532:BK2533" si="3177">SUM(AW2532:BH2532)</f>
        <v>0</v>
      </c>
      <c r="BL2532" s="59" cm="1">
        <f t="array" ref="BL2532">IFERROR(SUM(AW2532:INDEX(AW2532:BH2532, MATCH(2, 1/(AW2532:BH2532&lt;&gt;""), 1) - 1))/_xlfn.XLOOKUP(F2532,Apuração!A:A,Apuração!B:B),0)</f>
        <v>0</v>
      </c>
      <c r="BM2532" s="55" t="str" cm="1">
        <f t="array" ref="BM2532">IFERROR(
   INDEX($AW$1:$BH$1,
      _xlfn.AGGREGATE(14, 6, COLUMN($AW$1:$BH$1)/(AW2532:BH2532&lt;&gt;""), 2) - COLUMN($AW$1) + 1
   ),
"")</f>
        <v/>
      </c>
      <c r="BN2532" s="55" cm="1">
        <f t="array" ref="BN2532">IFERROR(INDEX($AW$1:$BH$1,1,MATCH(2,1/(AW2532:BH2532&lt;&gt;""))),"")</f>
        <v>46023</v>
      </c>
      <c r="BO2532" s="53">
        <f ca="1">IFERROR(_xlfn.XLOOKUP(F2532,Apuração!A:A,Apuração!C:C)/_xlfn.XLOOKUP(F2532,Apuração!A:A,Apuração!B:B),0)</f>
        <v>0</v>
      </c>
      <c r="BP2532" s="53">
        <f ca="1">IFERROR(_xlfn.XLOOKUP(F2532,Apuração!A:A,Apuração!D:D)/_xlfn.XLOOKUP(F2532,Apuração!A:A,Apuração!B:B),0)</f>
        <v>0</v>
      </c>
      <c r="BQ2532" s="53">
        <f ca="1">IF(BK2532&gt;=BO2532,0,_xlfn.XLOOKUP(F2532,Apuração!A:A,Apuração!B:B)*(BO2532 + (1/_xlfn.XLOOKUP(F2532,Apuração!A:A,Apuração!B:B)) - BK2532))</f>
        <v>0</v>
      </c>
      <c r="BR2532" s="85">
        <f t="shared" ref="BR2532:BR2533" ca="1" si="3178">IF(BQ2532=0,0,BQ2532*Z2532)</f>
        <v>0</v>
      </c>
      <c r="BS2532" s="53">
        <f ca="1">IFERROR((_xlfn.XLOOKUP(F2532,Apuração!A:A,Apuração!C:C)+1)/_xlfn.XLOOKUP(F2532,Apuração!A:A,Apuração!B:B),0)</f>
        <v>0.14285714285714285</v>
      </c>
    </row>
    <row r="2533" spans="1:71" ht="25.95" hidden="1" customHeight="1" x14ac:dyDescent="0.3">
      <c r="A2533" s="44" t="s">
        <v>175</v>
      </c>
      <c r="B2533" s="4" t="s">
        <v>197</v>
      </c>
      <c r="C2533" s="5" t="s">
        <v>221</v>
      </c>
      <c r="D2533" s="5" t="s">
        <v>213</v>
      </c>
      <c r="E2533" s="4" t="s">
        <v>96</v>
      </c>
      <c r="F2533" s="4" t="str" cm="1">
        <f t="array" ref="F2533">_xlfn.IFS(
AG2533 &lt;&gt; "", "Jan-Dez/26",
AH2533 &lt;&gt; "", "Fev-Dez/26",
AI2533 &lt;&gt; "", "Mar-Dez/26", AJ2533 &lt;&gt; "", "Abr-Dez/26",
TRUE, "A partir de Junho"
)</f>
        <v>A partir de Junho</v>
      </c>
      <c r="G2533" s="4" t="s">
        <v>62</v>
      </c>
      <c r="H2533" s="7" t="s">
        <v>38</v>
      </c>
      <c r="I2533" s="21" t="s">
        <v>180</v>
      </c>
      <c r="J2533" s="8" t="str" cm="1">
        <f t="array" aca="1" ref="J2533" ca="1">_xlfn.LET(
  _xlpm.actual_value_month, INDEX(T2533:AE2533, MATCH(DATE(YEAR(TODAY()), MONTH(TODAY()), 1), $T$1:$AE$1, 0)),
  IF(_xlpm.actual_value_month &lt;&gt; "", _xlpm.actual_value_month &amp; " ações mensais", "")
)</f>
        <v/>
      </c>
      <c r="K2533" s="34" t="str" cm="1">
        <f t="array" ref="K2533">_xlfn.LET(
    _xlpm.sum_month, SUM(T2533:AE2533),
    IF(_xlpm.sum_month = 0, "", _xlpm.sum_month &amp; " colaboradores treinados.")
)</f>
        <v/>
      </c>
      <c r="L2533" s="9" t="s">
        <v>199</v>
      </c>
      <c r="M2533" s="13">
        <v>1</v>
      </c>
      <c r="N2533" s="5" t="s">
        <v>51</v>
      </c>
      <c r="O2533" s="5" t="s">
        <v>52</v>
      </c>
      <c r="P2533" s="10" t="s">
        <v>146</v>
      </c>
      <c r="Q2533" s="10" t="s">
        <v>44</v>
      </c>
      <c r="R2533" s="11" t="s">
        <v>44</v>
      </c>
      <c r="S2533" s="11" t="s">
        <v>44</v>
      </c>
      <c r="T2533" s="22"/>
      <c r="U2533" s="22"/>
      <c r="V2533" s="22"/>
      <c r="W2533" s="22"/>
      <c r="X2533" s="22"/>
      <c r="Y2533" s="22"/>
      <c r="Z2533" s="22"/>
      <c r="AA2533" s="22"/>
      <c r="AB2533" s="22"/>
      <c r="AC2533" s="22"/>
      <c r="AD2533" s="22"/>
      <c r="AE2533" s="22"/>
      <c r="AG2533" s="71"/>
      <c r="AH2533" s="71"/>
      <c r="AI2533" s="71"/>
      <c r="AJ2533" s="71"/>
      <c r="AK2533" s="71"/>
      <c r="AL2533" s="71"/>
      <c r="AM2533" s="71"/>
      <c r="AN2533" s="71"/>
      <c r="AO2533" s="71"/>
      <c r="AP2533" s="71"/>
      <c r="AQ2533" s="71"/>
      <c r="AR2533" s="71"/>
      <c r="AS2533" s="94" t="str" cm="1">
        <f t="array" ref="AS2533">IFERROR(INDEX(T2533:AE2533,1,MATCH(2,1/(T2533:AE2533&lt;&gt;""))),"")</f>
        <v/>
      </c>
      <c r="AT2533" s="95" t="str" cm="1">
        <f t="array" ref="AT2533">IFERROR(INDEX(AJ2533:AR2533,1,MATCH(2,1/(AJ2533:AR2533&lt;&gt;""))),"")</f>
        <v/>
      </c>
      <c r="AU2533" s="97" t="str">
        <f t="shared" si="3124"/>
        <v/>
      </c>
      <c r="AW2533" s="52">
        <f t="shared" si="3176"/>
        <v>0</v>
      </c>
      <c r="AX2533" s="52"/>
      <c r="AY2533" s="52"/>
      <c r="AZ2533" s="52"/>
      <c r="BA2533" s="52"/>
      <c r="BB2533" s="52"/>
      <c r="BC2533" s="52"/>
      <c r="BD2533" s="52"/>
      <c r="BE2533" s="52"/>
      <c r="BF2533" s="52"/>
      <c r="BG2533" s="52"/>
      <c r="BH2533" s="52"/>
      <c r="BI2533" s="68" cm="1">
        <f t="array" ref="BI2533">IFERROR(INDEX(AW2533:BH2533,1,MATCH(2,1/(AW2533:BH2533&lt;&gt;""))),"")</f>
        <v>0</v>
      </c>
      <c r="BJ2533" s="68" t="str" cm="1">
        <f t="array" ref="BJ2533">IF(BM2533 = "", "",IFERROR(INDEX(AW2533:BH2533,1,MATCH(2,1/(AW2533:BH2533&lt;&gt;""),1)-1),""))</f>
        <v/>
      </c>
      <c r="BK2533" s="59">
        <f t="shared" si="3177"/>
        <v>0</v>
      </c>
      <c r="BL2533" s="59" cm="1">
        <f t="array" ref="BL2533">IFERROR(SUM(AW2533:INDEX(AW2533:BH2533, MATCH(2, 1/(AW2533:BH2533&lt;&gt;""), 1) - 1))/_xlfn.XLOOKUP(F2533,Apuração!A:A,Apuração!B:B),0)</f>
        <v>0</v>
      </c>
      <c r="BM2533" s="55" t="str" cm="1">
        <f t="array" ref="BM2533">IFERROR(
   INDEX($AW$1:$BH$1,
      _xlfn.AGGREGATE(14, 6, COLUMN($AW$1:$BH$1)/(AW2533:BH2533&lt;&gt;""), 2) - COLUMN($AW$1) + 1
   ),
"")</f>
        <v/>
      </c>
      <c r="BN2533" s="55" cm="1">
        <f t="array" ref="BN2533">IFERROR(INDEX($AW$1:$BH$1,1,MATCH(2,1/(AW2533:BH2533&lt;&gt;""))),"")</f>
        <v>46023</v>
      </c>
      <c r="BO2533" s="53">
        <f ca="1">IFERROR(_xlfn.XLOOKUP(F2533,Apuração!A:A,Apuração!C:C)/_xlfn.XLOOKUP(F2533,Apuração!A:A,Apuração!B:B),0)</f>
        <v>0</v>
      </c>
      <c r="BP2533" s="53">
        <f ca="1">IFERROR(_xlfn.XLOOKUP(F2533,Apuração!A:A,Apuração!D:D)/_xlfn.XLOOKUP(F2533,Apuração!A:A,Apuração!B:B),0)</f>
        <v>0</v>
      </c>
      <c r="BQ2533" s="53">
        <f ca="1">IF(BK2533&gt;=BO2533,0,_xlfn.XLOOKUP(F2533,Apuração!A:A,Apuração!B:B)*(BO2533 + (1/_xlfn.XLOOKUP(F2533,Apuração!A:A,Apuração!B:B)) - BK2533))</f>
        <v>0</v>
      </c>
      <c r="BR2533" s="85">
        <f t="shared" ca="1" si="3178"/>
        <v>0</v>
      </c>
      <c r="BS2533" s="53">
        <f ca="1">IFERROR((_xlfn.XLOOKUP(F2533,Apuração!A:A,Apuração!C:C)+1)/_xlfn.XLOOKUP(F2533,Apuração!A:A,Apuração!B:B),0)</f>
        <v>0.14285714285714285</v>
      </c>
    </row>
    <row r="2534" spans="1:71" ht="25.95" hidden="1" customHeight="1" x14ac:dyDescent="0.3">
      <c r="A2534" s="44" t="s">
        <v>175</v>
      </c>
      <c r="B2534" s="4" t="s">
        <v>197</v>
      </c>
      <c r="C2534" s="5" t="s">
        <v>221</v>
      </c>
      <c r="D2534" s="5" t="s">
        <v>36</v>
      </c>
      <c r="E2534" s="4" t="s">
        <v>96</v>
      </c>
      <c r="F2534" s="4" t="str" cm="1">
        <f t="array" ref="F2534">_xlfn.IFS(
AG2534 &lt;&gt; "", "Jan-Dez/26",
AH2534 &lt;&gt; "", "Fev-Dez/26",
AI2534 &lt;&gt; "", "Mar-Dez/26", AJ2534 &lt;&gt; "", "Abr-Dez/26",
TRUE, "A partir de Junho"
)</f>
        <v>A partir de Junho</v>
      </c>
      <c r="G2534" s="4" t="s">
        <v>62</v>
      </c>
      <c r="H2534" s="7" t="s">
        <v>38</v>
      </c>
      <c r="I2534" s="21" t="s">
        <v>182</v>
      </c>
      <c r="J2534" s="8" t="str" cm="1">
        <f t="array" aca="1" ref="J2534" ca="1">_xlfn.LET(
  _xlpm.actual_value_month, INDEX(T2534:AE2534, MATCH(DATE(YEAR(TODAY()), MONTH(TODAY()), 1), $T$1:$AE$1, 0)),
  IF(_xlpm.actual_value_month &lt;&gt; "", _xlpm.actual_value_month &amp; " ações mensais", "")
)</f>
        <v/>
      </c>
      <c r="K2534" s="8" t="str" cm="1">
        <f t="array" ref="K2534">_xlfn.LET(
    _xlpm.sum_month, SUM(T2534:AE2534),
    IF(_xlpm.sum_month = 0, "", _xlpm.sum_month &amp; " taxa de aprovados")
)</f>
        <v/>
      </c>
      <c r="L2534" s="4" t="s">
        <v>183</v>
      </c>
      <c r="M2534" s="13">
        <v>1</v>
      </c>
      <c r="N2534" s="5" t="s">
        <v>51</v>
      </c>
      <c r="O2534" s="5" t="s">
        <v>43</v>
      </c>
      <c r="P2534" s="10" t="s">
        <v>44</v>
      </c>
      <c r="Q2534" s="10" t="s">
        <v>44</v>
      </c>
      <c r="R2534" s="11" t="s">
        <v>44</v>
      </c>
      <c r="S2534" s="11" t="s">
        <v>44</v>
      </c>
      <c r="T2534" s="22"/>
      <c r="U2534" s="22"/>
      <c r="V2534" s="22"/>
      <c r="W2534" s="22"/>
      <c r="X2534" s="22"/>
      <c r="Y2534" s="22"/>
      <c r="Z2534" s="22"/>
      <c r="AA2534" s="22"/>
      <c r="AB2534" s="22"/>
      <c r="AC2534" s="22"/>
      <c r="AD2534" s="22"/>
      <c r="AE2534" s="22"/>
      <c r="AG2534" s="71"/>
      <c r="AH2534" s="71"/>
      <c r="AI2534" s="71"/>
      <c r="AJ2534" s="71"/>
      <c r="AK2534" s="71"/>
      <c r="AL2534" s="71"/>
      <c r="AM2534" s="71"/>
      <c r="AN2534" s="71"/>
      <c r="AO2534" s="71"/>
      <c r="AP2534" s="71"/>
      <c r="AQ2534" s="71"/>
      <c r="AR2534" s="71"/>
      <c r="AS2534" s="94" t="str" cm="1">
        <f t="array" ref="AS2534">IFERROR(INDEX(T2534:AE2534,1,MATCH(2,1/(T2534:AE2534&lt;&gt;""))),"")</f>
        <v/>
      </c>
      <c r="AT2534" s="95" t="str" cm="1">
        <f t="array" ref="AT2534">IFERROR(INDEX(AJ2534:AR2534,1,MATCH(2,1/(AJ2534:AR2534&lt;&gt;""))),"")</f>
        <v/>
      </c>
      <c r="AU2534" s="97" t="str">
        <f t="shared" si="3124"/>
        <v/>
      </c>
      <c r="AW2534" s="51" t="str">
        <f>IFERROR(IF(AG2534="","",AG2534/T2534),0)</f>
        <v/>
      </c>
      <c r="AX2534" s="51"/>
      <c r="AY2534" s="51"/>
      <c r="AZ2534" s="51"/>
      <c r="BA2534" s="51"/>
      <c r="BB2534" s="51"/>
      <c r="BC2534" s="51"/>
      <c r="BD2534" s="51"/>
      <c r="BE2534" s="51"/>
      <c r="BF2534" s="51"/>
      <c r="BG2534" s="51"/>
      <c r="BH2534" s="51"/>
      <c r="BI2534" s="65" t="str" cm="1">
        <f t="array" ref="BI2534">IFERROR(INDEX(AW2534:BH2534,1,MATCH(2,1/(AW2534:BH2534&lt;&gt;""))),"")</f>
        <v/>
      </c>
      <c r="BJ2534" s="68" t="str" cm="1">
        <f t="array" ref="BJ2534">IF(BM2534 = "", "",IFERROR(INDEX(AW2534:BH2534,1,MATCH(2,1/(AW2534:BH2534&lt;&gt;""),1)-1),""))</f>
        <v/>
      </c>
      <c r="BK2534" s="58" t="str" cm="1">
        <f t="array" ref="BK2534">IFERROR(INDEX(AW2534:BH2534,1,MATCH(2,1/(AW2534:BH2534&lt;&gt;""))),"")</f>
        <v/>
      </c>
      <c r="BL2534" s="58" t="str" cm="1">
        <f t="array" ref="BL2534">IFERROR(INDEX(AW2534:BH2534,1,MATCH(2,1/(AW2534:BH2534&lt;&gt;""),1)-1),"")</f>
        <v/>
      </c>
      <c r="BM2534" s="55" t="str" cm="1">
        <f t="array" ref="BM2534">IFERROR(
   INDEX($AW$1:$BH$1,
      _xlfn.AGGREGATE(14, 6, COLUMN($AW$1:$BH$1)/(AW2534:BH2534&lt;&gt;""), 2) - COLUMN($AW$1) + 1
   ),
"")</f>
        <v/>
      </c>
      <c r="BN2534" s="55" t="str" cm="1">
        <f t="array" ref="BN2534">IFERROR(INDEX($AW$1:$BH$1,1,MATCH(2,1/(AW2534:BH2534&lt;&gt;""))),"")</f>
        <v/>
      </c>
      <c r="BO2534" s="53">
        <f ca="1">IFERROR(_xlfn.XLOOKUP(F2534,Apuração!A:A,Apuração!C:C)/_xlfn.XLOOKUP(F2534,Apuração!A:A,Apuração!B:B),0)</f>
        <v>0</v>
      </c>
      <c r="BP2534" s="53">
        <f ca="1">IFERROR(_xlfn.XLOOKUP(F2534,Apuração!A:A,Apuração!D:D)/_xlfn.XLOOKUP(F2534,Apuração!A:A,Apuração!B:B),0)</f>
        <v>0</v>
      </c>
      <c r="BQ2534" s="53">
        <f ca="1">IF(BK2534&gt;=BO2534,0,_xlfn.XLOOKUP(F2534,Apuração!A:A,Apuração!B:B)*(BO2534 + (1/_xlfn.XLOOKUP(F2534,Apuração!A:A,Apuração!B:B)) - BK2534))</f>
        <v>0</v>
      </c>
      <c r="BR2534" s="85">
        <f t="shared" ref="BR2534" ca="1" si="3179">IF(BQ2534=0,0,BQ2534*Z2534)</f>
        <v>0</v>
      </c>
      <c r="BS2534" s="53">
        <f ca="1">IFERROR((_xlfn.XLOOKUP(F2534,Apuração!A:A,Apuração!C:C)+1)/_xlfn.XLOOKUP(F2534,Apuração!A:A,Apuração!B:B),0)</f>
        <v>0.14285714285714285</v>
      </c>
    </row>
    <row r="2535" spans="1:71" ht="25.95" hidden="1" customHeight="1" x14ac:dyDescent="0.3">
      <c r="A2535" s="44" t="s">
        <v>175</v>
      </c>
      <c r="B2535" s="4" t="s">
        <v>197</v>
      </c>
      <c r="C2535" s="5" t="s">
        <v>221</v>
      </c>
      <c r="D2535" s="5" t="s">
        <v>212</v>
      </c>
      <c r="E2535" s="4" t="s">
        <v>96</v>
      </c>
      <c r="F2535" s="4" t="str" cm="1">
        <f t="array" ref="F2535">_xlfn.IFS(
AG2535 &lt;&gt; "", "Jan-Dez/26",
AH2535 &lt;&gt; "", "Fev-Dez/26",
AI2535 &lt;&gt; "", "Mar-Dez/26", AJ2535 &lt;&gt; "", "Abr-Dez/26",
TRUE, "A partir de Junho"
)</f>
        <v>A partir de Junho</v>
      </c>
      <c r="G2535" s="4" t="s">
        <v>62</v>
      </c>
      <c r="H2535" s="7" t="s">
        <v>38</v>
      </c>
      <c r="I2535" s="21" t="s">
        <v>182</v>
      </c>
      <c r="J2535" s="8" t="str" cm="1">
        <f t="array" aca="1" ref="J2535" ca="1">_xlfn.LET(
  _xlpm.actual_value_month, INDEX(T2535:AE2535, MATCH(DATE(YEAR(TODAY()), MONTH(TODAY()), 1), $T$1:$AE$1, 0)),
  IF(_xlpm.actual_value_month &lt;&gt; "", _xlpm.actual_value_month &amp; " ações mensais", "")
)</f>
        <v/>
      </c>
      <c r="K2535" s="8" t="str" cm="1">
        <f t="array" ref="K2535">_xlfn.LET(
    _xlpm.sum_month, SUM(T2535:AE2535),
    IF(_xlpm.sum_month = 0, "", _xlpm.sum_month &amp; " taxa de aprovados")
)</f>
        <v/>
      </c>
      <c r="L2535" s="4" t="s">
        <v>183</v>
      </c>
      <c r="M2535" s="13">
        <v>1</v>
      </c>
      <c r="N2535" s="5" t="s">
        <v>51</v>
      </c>
      <c r="O2535" s="5" t="s">
        <v>43</v>
      </c>
      <c r="P2535" s="10" t="s">
        <v>44</v>
      </c>
      <c r="Q2535" s="10" t="s">
        <v>44</v>
      </c>
      <c r="R2535" s="11" t="s">
        <v>44</v>
      </c>
      <c r="S2535" s="11" t="s">
        <v>44</v>
      </c>
      <c r="T2535" s="22"/>
      <c r="U2535" s="22"/>
      <c r="V2535" s="22"/>
      <c r="W2535" s="22"/>
      <c r="X2535" s="22"/>
      <c r="Y2535" s="22"/>
      <c r="Z2535" s="22"/>
      <c r="AA2535" s="22"/>
      <c r="AB2535" s="22"/>
      <c r="AC2535" s="22"/>
      <c r="AD2535" s="22"/>
      <c r="AE2535" s="22"/>
      <c r="AG2535" s="71"/>
      <c r="AH2535" s="71"/>
      <c r="AI2535" s="71"/>
      <c r="AJ2535" s="71"/>
      <c r="AK2535" s="71"/>
      <c r="AL2535" s="71"/>
      <c r="AM2535" s="71"/>
      <c r="AN2535" s="71"/>
      <c r="AO2535" s="71"/>
      <c r="AP2535" s="71"/>
      <c r="AQ2535" s="71"/>
      <c r="AR2535" s="71"/>
      <c r="AS2535" s="94" t="str" cm="1">
        <f t="array" ref="AS2535">IFERROR(INDEX(T2535:AE2535,1,MATCH(2,1/(T2535:AE2535&lt;&gt;""))),"")</f>
        <v/>
      </c>
      <c r="AT2535" s="95" t="str" cm="1">
        <f t="array" ref="AT2535">IFERROR(INDEX(AJ2535:AR2535,1,MATCH(2,1/(AJ2535:AR2535&lt;&gt;""))),"")</f>
        <v/>
      </c>
      <c r="AU2535" s="97" t="str">
        <f t="shared" si="3124"/>
        <v/>
      </c>
      <c r="AW2535" s="51" t="str">
        <f t="shared" ref="AW2535:AW2536" si="3180">IFERROR(IF(AG2535="","",AG2535/T2535),0)</f>
        <v/>
      </c>
      <c r="AX2535" s="51"/>
      <c r="AY2535" s="51"/>
      <c r="AZ2535" s="51"/>
      <c r="BA2535" s="51"/>
      <c r="BB2535" s="51"/>
      <c r="BC2535" s="51"/>
      <c r="BD2535" s="51"/>
      <c r="BE2535" s="51"/>
      <c r="BF2535" s="51"/>
      <c r="BG2535" s="51"/>
      <c r="BH2535" s="51"/>
      <c r="BI2535" s="65" t="str" cm="1">
        <f t="array" ref="BI2535">IFERROR(INDEX(AW2535:BH2535,1,MATCH(2,1/(AW2535:BH2535&lt;&gt;""))),"")</f>
        <v/>
      </c>
      <c r="BJ2535" s="68" t="str" cm="1">
        <f t="array" ref="BJ2535">IF(BM2535 = "", "",IFERROR(INDEX(AW2535:BH2535,1,MATCH(2,1/(AW2535:BH2535&lt;&gt;""),1)-1),""))</f>
        <v/>
      </c>
      <c r="BK2535" s="58" t="str" cm="1">
        <f t="array" ref="BK2535">IFERROR(INDEX(AW2535:BH2535,1,MATCH(2,1/(AW2535:BH2535&lt;&gt;""))),"")</f>
        <v/>
      </c>
      <c r="BL2535" s="58" t="str" cm="1">
        <f t="array" ref="BL2535">IFERROR(INDEX(AW2535:BH2535,1,MATCH(2,1/(AW2535:BH2535&lt;&gt;""),1)-1),"")</f>
        <v/>
      </c>
      <c r="BM2535" s="55" t="str" cm="1">
        <f t="array" ref="BM2535">IFERROR(
   INDEX($AW$1:$BH$1,
      _xlfn.AGGREGATE(14, 6, COLUMN($AW$1:$BH$1)/(AW2535:BH2535&lt;&gt;""), 2) - COLUMN($AW$1) + 1
   ),
"")</f>
        <v/>
      </c>
      <c r="BN2535" s="55" t="str" cm="1">
        <f t="array" ref="BN2535">IFERROR(INDEX($AW$1:$BH$1,1,MATCH(2,1/(AW2535:BH2535&lt;&gt;""))),"")</f>
        <v/>
      </c>
      <c r="BO2535" s="53">
        <f ca="1">IFERROR(_xlfn.XLOOKUP(F2535,Apuração!A:A,Apuração!C:C)/_xlfn.XLOOKUP(F2535,Apuração!A:A,Apuração!B:B),0)</f>
        <v>0</v>
      </c>
      <c r="BP2535" s="53">
        <f ca="1">IFERROR(_xlfn.XLOOKUP(F2535,Apuração!A:A,Apuração!D:D)/_xlfn.XLOOKUP(F2535,Apuração!A:A,Apuração!B:B),0)</f>
        <v>0</v>
      </c>
      <c r="BQ2535" s="53">
        <f ca="1">IF(BK2535&gt;=BO2535,0,_xlfn.XLOOKUP(F2535,Apuração!A:A,Apuração!B:B)*(BO2535 + (1/_xlfn.XLOOKUP(F2535,Apuração!A:A,Apuração!B:B)) - BK2535))</f>
        <v>0</v>
      </c>
      <c r="BR2535" s="85">
        <f t="shared" ref="BR2535:BR2536" ca="1" si="3181">IF(BQ2535=0,0,BQ2535*Z2535)</f>
        <v>0</v>
      </c>
      <c r="BS2535" s="53">
        <f ca="1">IFERROR((_xlfn.XLOOKUP(F2535,Apuração!A:A,Apuração!C:C)+1)/_xlfn.XLOOKUP(F2535,Apuração!A:A,Apuração!B:B),0)</f>
        <v>0.14285714285714285</v>
      </c>
    </row>
    <row r="2536" spans="1:71" ht="25.95" hidden="1" customHeight="1" x14ac:dyDescent="0.3">
      <c r="A2536" s="44" t="s">
        <v>175</v>
      </c>
      <c r="B2536" s="4" t="s">
        <v>197</v>
      </c>
      <c r="C2536" s="5" t="s">
        <v>221</v>
      </c>
      <c r="D2536" s="5" t="s">
        <v>213</v>
      </c>
      <c r="E2536" s="4" t="s">
        <v>96</v>
      </c>
      <c r="F2536" s="4" t="str" cm="1">
        <f t="array" ref="F2536">_xlfn.IFS(
AG2536 &lt;&gt; "", "Jan-Dez/26",
AH2536 &lt;&gt; "", "Fev-Dez/26",
AI2536 &lt;&gt; "", "Mar-Dez/26", AJ2536 &lt;&gt; "", "Abr-Dez/26",
TRUE, "A partir de Junho"
)</f>
        <v>A partir de Junho</v>
      </c>
      <c r="G2536" s="4" t="s">
        <v>62</v>
      </c>
      <c r="H2536" s="7" t="s">
        <v>38</v>
      </c>
      <c r="I2536" s="21" t="s">
        <v>182</v>
      </c>
      <c r="J2536" s="8" t="str" cm="1">
        <f t="array" aca="1" ref="J2536" ca="1">_xlfn.LET(
  _xlpm.actual_value_month, INDEX(T2536:AE2536, MATCH(DATE(YEAR(TODAY()), MONTH(TODAY()), 1), $T$1:$AE$1, 0)),
  IF(_xlpm.actual_value_month &lt;&gt; "", _xlpm.actual_value_month &amp; " ações mensais", "")
)</f>
        <v/>
      </c>
      <c r="K2536" s="8" t="str" cm="1">
        <f t="array" ref="K2536">_xlfn.LET(
    _xlpm.sum_month, SUM(T2536:AE2536),
    IF(_xlpm.sum_month = 0, "", _xlpm.sum_month &amp; " taxa de aprovados")
)</f>
        <v/>
      </c>
      <c r="L2536" s="4" t="s">
        <v>183</v>
      </c>
      <c r="M2536" s="13">
        <v>1</v>
      </c>
      <c r="N2536" s="5" t="s">
        <v>51</v>
      </c>
      <c r="O2536" s="5" t="s">
        <v>43</v>
      </c>
      <c r="P2536" s="10" t="s">
        <v>44</v>
      </c>
      <c r="Q2536" s="10" t="s">
        <v>44</v>
      </c>
      <c r="R2536" s="11" t="s">
        <v>44</v>
      </c>
      <c r="S2536" s="11" t="s">
        <v>44</v>
      </c>
      <c r="T2536" s="22"/>
      <c r="U2536" s="22"/>
      <c r="V2536" s="22"/>
      <c r="W2536" s="22"/>
      <c r="X2536" s="22"/>
      <c r="Y2536" s="22"/>
      <c r="Z2536" s="22"/>
      <c r="AA2536" s="22"/>
      <c r="AB2536" s="22"/>
      <c r="AC2536" s="22"/>
      <c r="AD2536" s="22"/>
      <c r="AE2536" s="22"/>
      <c r="AG2536" s="71"/>
      <c r="AH2536" s="71"/>
      <c r="AI2536" s="71"/>
      <c r="AJ2536" s="71"/>
      <c r="AK2536" s="71"/>
      <c r="AL2536" s="71"/>
      <c r="AM2536" s="71"/>
      <c r="AN2536" s="71"/>
      <c r="AO2536" s="71"/>
      <c r="AP2536" s="71"/>
      <c r="AQ2536" s="71"/>
      <c r="AR2536" s="71"/>
      <c r="AS2536" s="94" t="str" cm="1">
        <f t="array" ref="AS2536">IFERROR(INDEX(T2536:AE2536,1,MATCH(2,1/(T2536:AE2536&lt;&gt;""))),"")</f>
        <v/>
      </c>
      <c r="AT2536" s="95" t="str" cm="1">
        <f t="array" ref="AT2536">IFERROR(INDEX(AJ2536:AR2536,1,MATCH(2,1/(AJ2536:AR2536&lt;&gt;""))),"")</f>
        <v/>
      </c>
      <c r="AU2536" s="97" t="str">
        <f t="shared" si="3124"/>
        <v/>
      </c>
      <c r="AW2536" s="51" t="str">
        <f t="shared" si="3180"/>
        <v/>
      </c>
      <c r="AX2536" s="51"/>
      <c r="AY2536" s="51"/>
      <c r="AZ2536" s="51"/>
      <c r="BA2536" s="51"/>
      <c r="BB2536" s="51"/>
      <c r="BC2536" s="51"/>
      <c r="BD2536" s="51"/>
      <c r="BE2536" s="51"/>
      <c r="BF2536" s="51"/>
      <c r="BG2536" s="51"/>
      <c r="BH2536" s="51"/>
      <c r="BI2536" s="65" t="str" cm="1">
        <f t="array" ref="BI2536">IFERROR(INDEX(AW2536:BH2536,1,MATCH(2,1/(AW2536:BH2536&lt;&gt;""))),"")</f>
        <v/>
      </c>
      <c r="BJ2536" s="68" t="str" cm="1">
        <f t="array" ref="BJ2536">IF(BM2536 = "", "",IFERROR(INDEX(AW2536:BH2536,1,MATCH(2,1/(AW2536:BH2536&lt;&gt;""),1)-1),""))</f>
        <v/>
      </c>
      <c r="BK2536" s="58" t="str" cm="1">
        <f t="array" ref="BK2536">IFERROR(INDEX(AW2536:BH2536,1,MATCH(2,1/(AW2536:BH2536&lt;&gt;""))),"")</f>
        <v/>
      </c>
      <c r="BL2536" s="58" t="str" cm="1">
        <f t="array" ref="BL2536">IFERROR(INDEX(AW2536:BH2536,1,MATCH(2,1/(AW2536:BH2536&lt;&gt;""),1)-1),"")</f>
        <v/>
      </c>
      <c r="BM2536" s="55" t="str" cm="1">
        <f t="array" ref="BM2536">IFERROR(
   INDEX($AW$1:$BH$1,
      _xlfn.AGGREGATE(14, 6, COLUMN($AW$1:$BH$1)/(AW2536:BH2536&lt;&gt;""), 2) - COLUMN($AW$1) + 1
   ),
"")</f>
        <v/>
      </c>
      <c r="BN2536" s="55" t="str" cm="1">
        <f t="array" ref="BN2536">IFERROR(INDEX($AW$1:$BH$1,1,MATCH(2,1/(AW2536:BH2536&lt;&gt;""))),"")</f>
        <v/>
      </c>
      <c r="BO2536" s="53">
        <f ca="1">IFERROR(_xlfn.XLOOKUP(F2536,Apuração!A:A,Apuração!C:C)/_xlfn.XLOOKUP(F2536,Apuração!A:A,Apuração!B:B),0)</f>
        <v>0</v>
      </c>
      <c r="BP2536" s="53">
        <f ca="1">IFERROR(_xlfn.XLOOKUP(F2536,Apuração!A:A,Apuração!D:D)/_xlfn.XLOOKUP(F2536,Apuração!A:A,Apuração!B:B),0)</f>
        <v>0</v>
      </c>
      <c r="BQ2536" s="53">
        <f ca="1">IF(BK2536&gt;=BO2536,0,_xlfn.XLOOKUP(F2536,Apuração!A:A,Apuração!B:B)*(BO2536 + (1/_xlfn.XLOOKUP(F2536,Apuração!A:A,Apuração!B:B)) - BK2536))</f>
        <v>0</v>
      </c>
      <c r="BR2536" s="85">
        <f t="shared" ca="1" si="3181"/>
        <v>0</v>
      </c>
      <c r="BS2536" s="53">
        <f ca="1">IFERROR((_xlfn.XLOOKUP(F2536,Apuração!A:A,Apuração!C:C)+1)/_xlfn.XLOOKUP(F2536,Apuração!A:A,Apuração!B:B),0)</f>
        <v>0.14285714285714285</v>
      </c>
    </row>
    <row r="2537" spans="1:71" ht="25.95" hidden="1" customHeight="1" x14ac:dyDescent="0.3">
      <c r="A2537" s="35" t="s">
        <v>44</v>
      </c>
      <c r="B2537" s="10" t="s">
        <v>44</v>
      </c>
      <c r="C2537" s="5" t="s">
        <v>221</v>
      </c>
      <c r="D2537" s="5" t="s">
        <v>36</v>
      </c>
      <c r="E2537" s="4" t="str" cm="1">
        <f t="array" ref="E2537">_xlfn.IFS(
F2537 = "A partir de Abril", "Aguardando Execução na Distribuidora",
A2537 = "CAPACITAÇÃO", "Em execução no Corporativo",
TRUE, "Em Execução na Distribuidora"
)</f>
        <v>Em Execução na Distribuidora</v>
      </c>
      <c r="F2537" s="4" t="str" cm="1">
        <f t="array" ref="F2537">_xlfn.IFS(
AG2537 &lt;&gt; "", "Jan-Dez/26",
AH2537 &lt;&gt; "", "Fev-Dez/26",
AI2537 &lt;&gt; "", "Mar-Dez/26", AJ2537 &lt;&gt; "", "Abr-Dez/26",
TRUE, "A partir de Junho"
)</f>
        <v>Jan-Dez/26</v>
      </c>
      <c r="G2537" s="10" t="s">
        <v>44</v>
      </c>
      <c r="H2537" s="36" t="s">
        <v>44</v>
      </c>
      <c r="I2537" s="37"/>
      <c r="J2537" s="37"/>
      <c r="K2537" s="37"/>
      <c r="L2537" s="37" t="s">
        <v>200</v>
      </c>
      <c r="M2537" s="37"/>
      <c r="N2537" s="5" t="s">
        <v>42</v>
      </c>
      <c r="O2537" s="5" t="s">
        <v>52</v>
      </c>
      <c r="P2537" s="10" t="s">
        <v>44</v>
      </c>
      <c r="Q2537" s="10" t="s">
        <v>44</v>
      </c>
      <c r="R2537" s="11" t="s">
        <v>44</v>
      </c>
      <c r="S2537" s="11" t="s">
        <v>44</v>
      </c>
      <c r="T2537" s="22"/>
      <c r="U2537" s="22"/>
      <c r="V2537" s="22"/>
      <c r="W2537" s="22"/>
      <c r="X2537" s="22"/>
      <c r="Y2537" s="22"/>
      <c r="Z2537" s="22"/>
      <c r="AA2537" s="22"/>
      <c r="AB2537" s="22"/>
      <c r="AC2537" s="22"/>
      <c r="AD2537" s="22"/>
      <c r="AE2537" s="22"/>
      <c r="AG2537" s="112">
        <v>0</v>
      </c>
      <c r="AH2537" s="112">
        <v>0</v>
      </c>
      <c r="AI2537" s="112">
        <v>0</v>
      </c>
      <c r="AJ2537" s="112">
        <v>0</v>
      </c>
      <c r="AK2537" s="112"/>
      <c r="AL2537" s="112"/>
      <c r="AM2537" s="112"/>
      <c r="AN2537" s="112"/>
      <c r="AO2537" s="112"/>
      <c r="AP2537" s="112"/>
      <c r="AQ2537" s="112"/>
      <c r="AR2537" s="112"/>
      <c r="AS2537" s="94"/>
      <c r="AT2537" s="95"/>
      <c r="AU2537" s="97"/>
      <c r="AW2537" s="84">
        <f t="shared" ref="AW2537:AZ2546" si="3182">AG2537</f>
        <v>0</v>
      </c>
      <c r="AX2537" s="84">
        <f t="shared" si="3182"/>
        <v>0</v>
      </c>
      <c r="AY2537" s="84">
        <f t="shared" si="3182"/>
        <v>0</v>
      </c>
      <c r="AZ2537" s="84">
        <f t="shared" si="3182"/>
        <v>0</v>
      </c>
      <c r="BA2537" s="84"/>
      <c r="BB2537" s="84"/>
      <c r="BC2537" s="84"/>
      <c r="BD2537" s="84"/>
      <c r="BE2537" s="84"/>
      <c r="BF2537" s="84"/>
      <c r="BG2537" s="84"/>
      <c r="BH2537" s="84"/>
      <c r="BI2537" s="68" cm="1">
        <f t="array" ref="BI2537">IFERROR(INDEX(AW2537:BH2537,1,MATCH(2,1/(AW2537:BH2537&lt;&gt;""))),"")</f>
        <v>0</v>
      </c>
      <c r="BJ2537" s="68" cm="1">
        <f t="array" ref="BJ2537">IF(BM2537 = "", "",IFERROR(INDEX(AW2537:BH2537,1,MATCH(2,1/(AW2537:BH2537&lt;&gt;""),1)-1),""))</f>
        <v>0</v>
      </c>
      <c r="BK2537" s="57" cm="1">
        <f t="array" ref="BK2537">IFERROR(INDEX(AW2537:BH2537,1,MATCH(2,1/(AW2537:BH2537&lt;&gt;""),1)),"")</f>
        <v>0</v>
      </c>
      <c r="BL2537" s="57" cm="1">
        <f t="array" ref="BL2537">IF(BM2537 = "", "",IFERROR(INDEX(AW2537:BH2537,1,MATCH(2,1/(AW2537:BH2537&lt;&gt;""),1)-1),""))</f>
        <v>0</v>
      </c>
      <c r="BM2537" s="55" cm="1">
        <f t="array" ref="BM2537">IFERROR(
   INDEX($AW$1:$BH$1,
      _xlfn.AGGREGATE(14, 6, COLUMN($AW$1:$BH$1)/(AW2537:BH2537&lt;&gt;""), 2) - COLUMN($AW$1) + 1
   ),
"")</f>
        <v>46082</v>
      </c>
      <c r="BN2537" s="55" cm="1">
        <f t="array" ref="BN2537">IFERROR(INDEX($AW$1:$BH$1,1,MATCH(2,1/(AW2537:BH2537&lt;&gt;""))),"")</f>
        <v>46113</v>
      </c>
      <c r="BO2537" s="53">
        <f ca="1">IFERROR(_xlfn.XLOOKUP(F2537,Apuração!A:A,Apuração!C:C)/_xlfn.XLOOKUP(F2537,Apuração!A:A,Apuração!B:B),0)</f>
        <v>0.41666666666666669</v>
      </c>
      <c r="BP2537" s="53">
        <f ca="1">IFERROR(_xlfn.XLOOKUP(F2537,Apuração!A:A,Apuração!D:D)/_xlfn.XLOOKUP(F2537,Apuração!A:A,Apuração!B:B),0)</f>
        <v>0.33333333333333331</v>
      </c>
      <c r="BQ2537" s="53">
        <f ca="1">IF(BK2537&gt;=BO2537,0,_xlfn.XLOOKUP(F2537,Apuração!A:A,Apuração!B:B)*(BO2537 + (1/_xlfn.XLOOKUP(F2537,Apuração!A:A,Apuração!B:B)) - BK2537))</f>
        <v>6</v>
      </c>
      <c r="BR2537" s="85">
        <f t="shared" ca="1" si="2957"/>
        <v>0</v>
      </c>
      <c r="BS2537" s="53">
        <f ca="1">IFERROR((_xlfn.XLOOKUP(F2537,Apuração!A:A,Apuração!C:C)+1)/_xlfn.XLOOKUP(F2537,Apuração!A:A,Apuração!B:B),0)</f>
        <v>0.5</v>
      </c>
    </row>
    <row r="2538" spans="1:71" ht="25.95" hidden="1" customHeight="1" x14ac:dyDescent="0.3">
      <c r="A2538" s="35" t="s">
        <v>44</v>
      </c>
      <c r="B2538" s="10" t="s">
        <v>44</v>
      </c>
      <c r="C2538" s="5" t="s">
        <v>221</v>
      </c>
      <c r="D2538" s="5" t="s">
        <v>212</v>
      </c>
      <c r="E2538" s="4" t="str" cm="1">
        <f t="array" ref="E2538">_xlfn.IFS(
F2538 = "A partir de Abril", "Aguardando Execução na Distribuidora",
A2538 = "CAPACITAÇÃO", "Em execução no Corporativo",
TRUE, "Em Execução na Distribuidora"
)</f>
        <v>Em Execução na Distribuidora</v>
      </c>
      <c r="F2538" s="4" t="str" cm="1">
        <f t="array" ref="F2538">_xlfn.IFS(
AG2538 &lt;&gt; "", "Jan-Dez/26",
AH2538 &lt;&gt; "", "Fev-Dez/26",
AI2538 &lt;&gt; "", "Mar-Dez/26", AJ2538 &lt;&gt; "", "Abr-Dez/26",
TRUE, "A partir de Junho"
)</f>
        <v>A partir de Junho</v>
      </c>
      <c r="G2538" s="10" t="s">
        <v>44</v>
      </c>
      <c r="H2538" s="36" t="s">
        <v>44</v>
      </c>
      <c r="I2538" s="37"/>
      <c r="J2538" s="37"/>
      <c r="K2538" s="37"/>
      <c r="L2538" s="37" t="s">
        <v>200</v>
      </c>
      <c r="M2538" s="37"/>
      <c r="N2538" s="5" t="s">
        <v>42</v>
      </c>
      <c r="O2538" s="5" t="s">
        <v>52</v>
      </c>
      <c r="P2538" s="10" t="s">
        <v>44</v>
      </c>
      <c r="Q2538" s="10" t="s">
        <v>44</v>
      </c>
      <c r="R2538" s="11" t="s">
        <v>44</v>
      </c>
      <c r="S2538" s="11" t="s">
        <v>44</v>
      </c>
      <c r="T2538" s="22"/>
      <c r="U2538" s="22"/>
      <c r="V2538" s="22"/>
      <c r="W2538" s="22"/>
      <c r="X2538" s="22"/>
      <c r="Y2538" s="22"/>
      <c r="Z2538" s="22"/>
      <c r="AA2538" s="22"/>
      <c r="AB2538" s="22"/>
      <c r="AC2538" s="22"/>
      <c r="AD2538" s="22"/>
      <c r="AE2538" s="22"/>
      <c r="AG2538" s="112"/>
      <c r="AH2538" s="112"/>
      <c r="AI2538" s="112"/>
      <c r="AJ2538" s="71"/>
      <c r="AK2538" s="71"/>
      <c r="AL2538" s="71"/>
      <c r="AM2538" s="71"/>
      <c r="AN2538" s="71"/>
      <c r="AO2538" s="71"/>
      <c r="AP2538" s="71"/>
      <c r="AQ2538" s="71"/>
      <c r="AR2538" s="71"/>
      <c r="AS2538" s="94"/>
      <c r="AT2538" s="95"/>
      <c r="AU2538" s="97"/>
      <c r="AW2538" s="84">
        <f t="shared" ref="AW2538:AW2539" si="3183">AG2538</f>
        <v>0</v>
      </c>
      <c r="AX2538" s="84">
        <f t="shared" ref="AX2538:AX2539" si="3184">AH2538</f>
        <v>0</v>
      </c>
      <c r="AY2538" s="84">
        <f t="shared" ref="AY2538:AY2539" si="3185">AI2538</f>
        <v>0</v>
      </c>
      <c r="AZ2538" s="84"/>
      <c r="BA2538" s="84"/>
      <c r="BB2538" s="84"/>
      <c r="BC2538" s="84"/>
      <c r="BD2538" s="84"/>
      <c r="BE2538" s="84"/>
      <c r="BF2538" s="84"/>
      <c r="BG2538" s="84"/>
      <c r="BH2538" s="84"/>
      <c r="BI2538" s="68" cm="1">
        <f t="array" ref="BI2538">IFERROR(INDEX(AW2538:BH2538,1,MATCH(2,1/(AW2538:BH2538&lt;&gt;""))),"")</f>
        <v>0</v>
      </c>
      <c r="BJ2538" s="68" cm="1">
        <f t="array" ref="BJ2538">IF(BM2538 = "", "",IFERROR(INDEX(AW2538:BH2538,1,MATCH(2,1/(AW2538:BH2538&lt;&gt;""),1)-1),""))</f>
        <v>0</v>
      </c>
      <c r="BK2538" s="57" cm="1">
        <f t="array" ref="BK2538">IFERROR(INDEX(AW2538:BH2538,1,MATCH(2,1/(AW2538:BH2538&lt;&gt;""),1)),"")</f>
        <v>0</v>
      </c>
      <c r="BL2538" s="57" cm="1">
        <f t="array" ref="BL2538">IF(BM2538 = "", "",IFERROR(INDEX(AW2538:BH2538,1,MATCH(2,1/(AW2538:BH2538&lt;&gt;""),1)-1),""))</f>
        <v>0</v>
      </c>
      <c r="BM2538" s="55" cm="1">
        <f t="array" ref="BM2538">IFERROR(
   INDEX($AW$1:$BH$1,
      _xlfn.AGGREGATE(14, 6, COLUMN($AW$1:$BH$1)/(AW2538:BH2538&lt;&gt;""), 2) - COLUMN($AW$1) + 1
   ),
"")</f>
        <v>46054</v>
      </c>
      <c r="BN2538" s="55" cm="1">
        <f t="array" ref="BN2538">IFERROR(INDEX($AW$1:$BH$1,1,MATCH(2,1/(AW2538:BH2538&lt;&gt;""))),"")</f>
        <v>46082</v>
      </c>
      <c r="BO2538" s="53">
        <f ca="1">IFERROR(_xlfn.XLOOKUP(F2538,Apuração!A:A,Apuração!C:C)/_xlfn.XLOOKUP(F2538,Apuração!A:A,Apuração!B:B),0)</f>
        <v>0</v>
      </c>
      <c r="BP2538" s="53">
        <f ca="1">IFERROR(_xlfn.XLOOKUP(F2538,Apuração!A:A,Apuração!D:D)/_xlfn.XLOOKUP(F2538,Apuração!A:A,Apuração!B:B),0)</f>
        <v>0</v>
      </c>
      <c r="BQ2538" s="53">
        <f ca="1">IF(BK2538&gt;=BO2538,0,_xlfn.XLOOKUP(F2538,Apuração!A:A,Apuração!B:B)*(BO2538 + (1/_xlfn.XLOOKUP(F2538,Apuração!A:A,Apuração!B:B)) - BK2538))</f>
        <v>0</v>
      </c>
      <c r="BR2538" s="85">
        <f t="shared" ref="BR2538:BR2539" ca="1" si="3186">IF(BQ2538=0,0,BQ2538*Z2538)</f>
        <v>0</v>
      </c>
      <c r="BS2538" s="53">
        <f ca="1">IFERROR((_xlfn.XLOOKUP(F2538,Apuração!A:A,Apuração!C:C)+1)/_xlfn.XLOOKUP(F2538,Apuração!A:A,Apuração!B:B),0)</f>
        <v>0.14285714285714285</v>
      </c>
    </row>
    <row r="2539" spans="1:71" ht="25.95" hidden="1" customHeight="1" x14ac:dyDescent="0.3">
      <c r="A2539" s="35" t="s">
        <v>44</v>
      </c>
      <c r="B2539" s="10" t="s">
        <v>44</v>
      </c>
      <c r="C2539" s="5" t="s">
        <v>221</v>
      </c>
      <c r="D2539" s="5" t="s">
        <v>213</v>
      </c>
      <c r="E2539" s="4" t="str" cm="1">
        <f t="array" ref="E2539">_xlfn.IFS(
F2539 = "A partir de Abril", "Aguardando Execução na Distribuidora",
A2539 = "CAPACITAÇÃO", "Em execução no Corporativo",
TRUE, "Em Execução na Distribuidora"
)</f>
        <v>Em Execução na Distribuidora</v>
      </c>
      <c r="F2539" s="4" t="str" cm="1">
        <f t="array" ref="F2539">_xlfn.IFS(
AG2539 &lt;&gt; "", "Jan-Dez/26",
AH2539 &lt;&gt; "", "Fev-Dez/26",
AI2539 &lt;&gt; "", "Mar-Dez/26", AJ2539 &lt;&gt; "", "Abr-Dez/26",
TRUE, "A partir de Junho"
)</f>
        <v>A partir de Junho</v>
      </c>
      <c r="G2539" s="10" t="s">
        <v>44</v>
      </c>
      <c r="H2539" s="36" t="s">
        <v>44</v>
      </c>
      <c r="I2539" s="37"/>
      <c r="J2539" s="37"/>
      <c r="K2539" s="37"/>
      <c r="L2539" s="37" t="s">
        <v>200</v>
      </c>
      <c r="M2539" s="37"/>
      <c r="N2539" s="5" t="s">
        <v>42</v>
      </c>
      <c r="O2539" s="5" t="s">
        <v>52</v>
      </c>
      <c r="P2539" s="10" t="s">
        <v>44</v>
      </c>
      <c r="Q2539" s="10" t="s">
        <v>44</v>
      </c>
      <c r="R2539" s="11" t="s">
        <v>44</v>
      </c>
      <c r="S2539" s="11" t="s">
        <v>44</v>
      </c>
      <c r="T2539" s="22"/>
      <c r="U2539" s="22"/>
      <c r="V2539" s="22"/>
      <c r="W2539" s="22"/>
      <c r="X2539" s="22"/>
      <c r="Y2539" s="22"/>
      <c r="Z2539" s="22"/>
      <c r="AA2539" s="22"/>
      <c r="AB2539" s="22"/>
      <c r="AC2539" s="22"/>
      <c r="AD2539" s="22"/>
      <c r="AE2539" s="22"/>
      <c r="AG2539" s="112"/>
      <c r="AH2539" s="112"/>
      <c r="AI2539" s="112"/>
      <c r="AJ2539" s="71"/>
      <c r="AK2539" s="71"/>
      <c r="AL2539" s="71"/>
      <c r="AM2539" s="71"/>
      <c r="AN2539" s="71"/>
      <c r="AO2539" s="71"/>
      <c r="AP2539" s="71"/>
      <c r="AQ2539" s="71"/>
      <c r="AR2539" s="71"/>
      <c r="AS2539" s="94"/>
      <c r="AT2539" s="95"/>
      <c r="AU2539" s="97"/>
      <c r="AW2539" s="84">
        <f t="shared" si="3183"/>
        <v>0</v>
      </c>
      <c r="AX2539" s="84">
        <f t="shared" si="3184"/>
        <v>0</v>
      </c>
      <c r="AY2539" s="84">
        <f t="shared" si="3185"/>
        <v>0</v>
      </c>
      <c r="AZ2539" s="84"/>
      <c r="BA2539" s="84"/>
      <c r="BB2539" s="84"/>
      <c r="BC2539" s="84"/>
      <c r="BD2539" s="84"/>
      <c r="BE2539" s="84"/>
      <c r="BF2539" s="84"/>
      <c r="BG2539" s="84"/>
      <c r="BH2539" s="84"/>
      <c r="BI2539" s="68" cm="1">
        <f t="array" ref="BI2539">IFERROR(INDEX(AW2539:BH2539,1,MATCH(2,1/(AW2539:BH2539&lt;&gt;""))),"")</f>
        <v>0</v>
      </c>
      <c r="BJ2539" s="68" cm="1">
        <f t="array" ref="BJ2539">IF(BM2539 = "", "",IFERROR(INDEX(AW2539:BH2539,1,MATCH(2,1/(AW2539:BH2539&lt;&gt;""),1)-1),""))</f>
        <v>0</v>
      </c>
      <c r="BK2539" s="57" cm="1">
        <f t="array" ref="BK2539">IFERROR(INDEX(AW2539:BH2539,1,MATCH(2,1/(AW2539:BH2539&lt;&gt;""),1)),"")</f>
        <v>0</v>
      </c>
      <c r="BL2539" s="57" cm="1">
        <f t="array" ref="BL2539">IF(BM2539 = "", "",IFERROR(INDEX(AW2539:BH2539,1,MATCH(2,1/(AW2539:BH2539&lt;&gt;""),1)-1),""))</f>
        <v>0</v>
      </c>
      <c r="BM2539" s="55" cm="1">
        <f t="array" ref="BM2539">IFERROR(
   INDEX($AW$1:$BH$1,
      _xlfn.AGGREGATE(14, 6, COLUMN($AW$1:$BH$1)/(AW2539:BH2539&lt;&gt;""), 2) - COLUMN($AW$1) + 1
   ),
"")</f>
        <v>46054</v>
      </c>
      <c r="BN2539" s="55" cm="1">
        <f t="array" ref="BN2539">IFERROR(INDEX($AW$1:$BH$1,1,MATCH(2,1/(AW2539:BH2539&lt;&gt;""))),"")</f>
        <v>46082</v>
      </c>
      <c r="BO2539" s="53">
        <f ca="1">IFERROR(_xlfn.XLOOKUP(F2539,Apuração!A:A,Apuração!C:C)/_xlfn.XLOOKUP(F2539,Apuração!A:A,Apuração!B:B),0)</f>
        <v>0</v>
      </c>
      <c r="BP2539" s="53">
        <f ca="1">IFERROR(_xlfn.XLOOKUP(F2539,Apuração!A:A,Apuração!D:D)/_xlfn.XLOOKUP(F2539,Apuração!A:A,Apuração!B:B),0)</f>
        <v>0</v>
      </c>
      <c r="BQ2539" s="53">
        <f ca="1">IF(BK2539&gt;=BO2539,0,_xlfn.XLOOKUP(F2539,Apuração!A:A,Apuração!B:B)*(BO2539 + (1/_xlfn.XLOOKUP(F2539,Apuração!A:A,Apuração!B:B)) - BK2539))</f>
        <v>0</v>
      </c>
      <c r="BR2539" s="85">
        <f t="shared" ca="1" si="3186"/>
        <v>0</v>
      </c>
      <c r="BS2539" s="53">
        <f ca="1">IFERROR((_xlfn.XLOOKUP(F2539,Apuração!A:A,Apuração!C:C)+1)/_xlfn.XLOOKUP(F2539,Apuração!A:A,Apuração!B:B),0)</f>
        <v>0.14285714285714285</v>
      </c>
    </row>
    <row r="2540" spans="1:71" ht="25.95" hidden="1" customHeight="1" x14ac:dyDescent="0.3">
      <c r="A2540" s="35" t="s">
        <v>44</v>
      </c>
      <c r="B2540" s="10" t="s">
        <v>44</v>
      </c>
      <c r="C2540" s="5" t="s">
        <v>221</v>
      </c>
      <c r="D2540" s="5" t="s">
        <v>36</v>
      </c>
      <c r="E2540" s="4" t="str" cm="1">
        <f t="array" ref="E2540">_xlfn.IFS(
F2540 = "A partir de Abril", "Aguardando Execução na Distribuidora",
A2540 = "CAPACITAÇÃO", "Em execução no Corporativo",
TRUE, "Em Execução na Distribuidora"
)</f>
        <v>Em Execução na Distribuidora</v>
      </c>
      <c r="F2540" s="4" t="str" cm="1">
        <f t="array" ref="F2540">_xlfn.IFS(
AG2540 &lt;&gt; "", "Jan-Dez/26",
AH2540 &lt;&gt; "", "Fev-Dez/26",
AI2540 &lt;&gt; "", "Mar-Dez/26", AJ2540 &lt;&gt; "", "Abr-Dez/26",
TRUE, "A partir de Junho"
)</f>
        <v>Jan-Dez/26</v>
      </c>
      <c r="G2540" s="10" t="s">
        <v>44</v>
      </c>
      <c r="H2540" s="36" t="s">
        <v>44</v>
      </c>
      <c r="I2540" s="37"/>
      <c r="J2540" s="37"/>
      <c r="K2540" s="37"/>
      <c r="L2540" s="37" t="s">
        <v>201</v>
      </c>
      <c r="M2540" s="37"/>
      <c r="N2540" s="5" t="s">
        <v>42</v>
      </c>
      <c r="O2540" s="5" t="s">
        <v>52</v>
      </c>
      <c r="P2540" s="10" t="s">
        <v>44</v>
      </c>
      <c r="Q2540" s="10" t="s">
        <v>44</v>
      </c>
      <c r="R2540" s="11" t="s">
        <v>44</v>
      </c>
      <c r="S2540" s="11" t="s">
        <v>44</v>
      </c>
      <c r="T2540" s="22"/>
      <c r="U2540" s="22"/>
      <c r="V2540" s="22"/>
      <c r="W2540" s="22"/>
      <c r="X2540" s="22"/>
      <c r="Y2540" s="22"/>
      <c r="Z2540" s="22"/>
      <c r="AA2540" s="22"/>
      <c r="AB2540" s="22"/>
      <c r="AC2540" s="22"/>
      <c r="AD2540" s="22"/>
      <c r="AE2540" s="22"/>
      <c r="AG2540" s="112">
        <v>0</v>
      </c>
      <c r="AH2540" s="112">
        <v>0</v>
      </c>
      <c r="AI2540" s="112">
        <v>0</v>
      </c>
      <c r="AJ2540" s="112">
        <v>0</v>
      </c>
      <c r="AK2540" s="112"/>
      <c r="AL2540" s="112"/>
      <c r="AM2540" s="112"/>
      <c r="AN2540" s="112"/>
      <c r="AO2540" s="112"/>
      <c r="AP2540" s="112"/>
      <c r="AQ2540" s="112"/>
      <c r="AR2540" s="112"/>
      <c r="AS2540" s="94"/>
      <c r="AT2540" s="95"/>
      <c r="AU2540" s="97"/>
      <c r="AW2540" s="84">
        <f t="shared" si="3182"/>
        <v>0</v>
      </c>
      <c r="AX2540" s="84">
        <f t="shared" si="3182"/>
        <v>0</v>
      </c>
      <c r="AY2540" s="84">
        <f t="shared" si="3182"/>
        <v>0</v>
      </c>
      <c r="AZ2540" s="84">
        <f t="shared" si="3182"/>
        <v>0</v>
      </c>
      <c r="BA2540" s="84"/>
      <c r="BB2540" s="84"/>
      <c r="BC2540" s="84"/>
      <c r="BD2540" s="84"/>
      <c r="BE2540" s="84"/>
      <c r="BF2540" s="84"/>
      <c r="BG2540" s="84"/>
      <c r="BH2540" s="84"/>
      <c r="BI2540" s="68" cm="1">
        <f t="array" ref="BI2540">IFERROR(INDEX(AW2540:BH2540,1,MATCH(2,1/(AW2540:BH2540&lt;&gt;""))),"")</f>
        <v>0</v>
      </c>
      <c r="BJ2540" s="68" cm="1">
        <f t="array" ref="BJ2540">IF(BM2540 = "", "",IFERROR(INDEX(AW2540:BH2540,1,MATCH(2,1/(AW2540:BH2540&lt;&gt;""),1)-1),""))</f>
        <v>0</v>
      </c>
      <c r="BK2540" s="57" cm="1">
        <f t="array" ref="BK2540">IFERROR(INDEX(AW2540:BH2540,1,MATCH(2,1/(AW2540:BH2540&lt;&gt;""),1)),"")</f>
        <v>0</v>
      </c>
      <c r="BL2540" s="57" cm="1">
        <f t="array" ref="BL2540">IF(BM2540 = "", "",IFERROR(INDEX(AW2540:BH2540,1,MATCH(2,1/(AW2540:BH2540&lt;&gt;""),1)-1),""))</f>
        <v>0</v>
      </c>
      <c r="BM2540" s="55" cm="1">
        <f t="array" ref="BM2540">IFERROR(
   INDEX($AW$1:$BH$1,
      _xlfn.AGGREGATE(14, 6, COLUMN($AW$1:$BH$1)/(AW2540:BH2540&lt;&gt;""), 2) - COLUMN($AW$1) + 1
   ),
"")</f>
        <v>46082</v>
      </c>
      <c r="BN2540" s="55" cm="1">
        <f t="array" ref="BN2540">IFERROR(INDEX($AW$1:$BH$1,1,MATCH(2,1/(AW2540:BH2540&lt;&gt;""))),"")</f>
        <v>46113</v>
      </c>
      <c r="BO2540" s="53">
        <f ca="1">IFERROR(_xlfn.XLOOKUP(F2540,Apuração!A:A,Apuração!C:C)/_xlfn.XLOOKUP(F2540,Apuração!A:A,Apuração!B:B),0)</f>
        <v>0.41666666666666669</v>
      </c>
      <c r="BP2540" s="53">
        <f ca="1">IFERROR(_xlfn.XLOOKUP(F2540,Apuração!A:A,Apuração!D:D)/_xlfn.XLOOKUP(F2540,Apuração!A:A,Apuração!B:B),0)</f>
        <v>0.33333333333333331</v>
      </c>
      <c r="BQ2540" s="53">
        <f ca="1">IF(BK2540&gt;=BO2540,0,_xlfn.XLOOKUP(F2540,Apuração!A:A,Apuração!B:B)*(BO2540 + (1/_xlfn.XLOOKUP(F2540,Apuração!A:A,Apuração!B:B)) - BK2540))</f>
        <v>6</v>
      </c>
      <c r="BR2540" s="85">
        <f t="shared" ca="1" si="2957"/>
        <v>0</v>
      </c>
      <c r="BS2540" s="53">
        <f ca="1">IFERROR((_xlfn.XLOOKUP(F2540,Apuração!A:A,Apuração!C:C)+1)/_xlfn.XLOOKUP(F2540,Apuração!A:A,Apuração!B:B),0)</f>
        <v>0.5</v>
      </c>
    </row>
    <row r="2541" spans="1:71" ht="25.95" hidden="1" customHeight="1" x14ac:dyDescent="0.3">
      <c r="A2541" s="35" t="s">
        <v>44</v>
      </c>
      <c r="B2541" s="10" t="s">
        <v>44</v>
      </c>
      <c r="C2541" s="5" t="s">
        <v>221</v>
      </c>
      <c r="D2541" s="5" t="s">
        <v>212</v>
      </c>
      <c r="E2541" s="4" t="str" cm="1">
        <f t="array" ref="E2541">_xlfn.IFS(
F2541 = "A partir de Abril", "Aguardando Execução na Distribuidora",
A2541 = "CAPACITAÇÃO", "Em execução no Corporativo",
TRUE, "Em Execução na Distribuidora"
)</f>
        <v>Em Execução na Distribuidora</v>
      </c>
      <c r="F2541" s="4" t="str" cm="1">
        <f t="array" ref="F2541">_xlfn.IFS(
AG2541 &lt;&gt; "", "Jan-Dez/26",
AH2541 &lt;&gt; "", "Fev-Dez/26",
AI2541 &lt;&gt; "", "Mar-Dez/26", AJ2541 &lt;&gt; "", "Abr-Dez/26",
TRUE, "A partir de Junho"
)</f>
        <v>A partir de Junho</v>
      </c>
      <c r="G2541" s="10" t="s">
        <v>44</v>
      </c>
      <c r="H2541" s="36" t="s">
        <v>44</v>
      </c>
      <c r="I2541" s="37"/>
      <c r="J2541" s="37"/>
      <c r="K2541" s="37"/>
      <c r="L2541" s="37" t="s">
        <v>201</v>
      </c>
      <c r="M2541" s="37"/>
      <c r="N2541" s="5" t="s">
        <v>42</v>
      </c>
      <c r="O2541" s="5" t="s">
        <v>52</v>
      </c>
      <c r="P2541" s="10" t="s">
        <v>44</v>
      </c>
      <c r="Q2541" s="10" t="s">
        <v>44</v>
      </c>
      <c r="R2541" s="11" t="s">
        <v>44</v>
      </c>
      <c r="S2541" s="11" t="s">
        <v>44</v>
      </c>
      <c r="T2541" s="22"/>
      <c r="U2541" s="22"/>
      <c r="V2541" s="22"/>
      <c r="W2541" s="22"/>
      <c r="X2541" s="22"/>
      <c r="Y2541" s="22"/>
      <c r="Z2541" s="22"/>
      <c r="AA2541" s="22"/>
      <c r="AB2541" s="22"/>
      <c r="AC2541" s="22"/>
      <c r="AD2541" s="22"/>
      <c r="AE2541" s="22"/>
      <c r="AG2541" s="112"/>
      <c r="AH2541" s="112"/>
      <c r="AI2541" s="112"/>
      <c r="AJ2541" s="71"/>
      <c r="AK2541" s="71"/>
      <c r="AL2541" s="71"/>
      <c r="AM2541" s="71"/>
      <c r="AN2541" s="71"/>
      <c r="AO2541" s="71"/>
      <c r="AP2541" s="71"/>
      <c r="AQ2541" s="71"/>
      <c r="AR2541" s="71"/>
      <c r="AS2541" s="94"/>
      <c r="AT2541" s="95"/>
      <c r="AU2541" s="97"/>
      <c r="AW2541" s="84">
        <f t="shared" ref="AW2541:AW2542" si="3187">AG2541</f>
        <v>0</v>
      </c>
      <c r="AX2541" s="84">
        <f t="shared" ref="AX2541:AX2542" si="3188">AH2541</f>
        <v>0</v>
      </c>
      <c r="AY2541" s="84">
        <f t="shared" ref="AY2541:AY2542" si="3189">AI2541</f>
        <v>0</v>
      </c>
      <c r="AZ2541" s="84"/>
      <c r="BA2541" s="84"/>
      <c r="BB2541" s="84"/>
      <c r="BC2541" s="84"/>
      <c r="BD2541" s="84"/>
      <c r="BE2541" s="84"/>
      <c r="BF2541" s="84"/>
      <c r="BG2541" s="84"/>
      <c r="BH2541" s="84"/>
      <c r="BI2541" s="68" cm="1">
        <f t="array" ref="BI2541">IFERROR(INDEX(AW2541:BH2541,1,MATCH(2,1/(AW2541:BH2541&lt;&gt;""))),"")</f>
        <v>0</v>
      </c>
      <c r="BJ2541" s="68" cm="1">
        <f t="array" ref="BJ2541">IF(BM2541 = "", "",IFERROR(INDEX(AW2541:BH2541,1,MATCH(2,1/(AW2541:BH2541&lt;&gt;""),1)-1),""))</f>
        <v>0</v>
      </c>
      <c r="BK2541" s="57" cm="1">
        <f t="array" ref="BK2541">IFERROR(INDEX(AW2541:BH2541,1,MATCH(2,1/(AW2541:BH2541&lt;&gt;""),1)),"")</f>
        <v>0</v>
      </c>
      <c r="BL2541" s="57" cm="1">
        <f t="array" ref="BL2541">IF(BM2541 = "", "",IFERROR(INDEX(AW2541:BH2541,1,MATCH(2,1/(AW2541:BH2541&lt;&gt;""),1)-1),""))</f>
        <v>0</v>
      </c>
      <c r="BM2541" s="55" cm="1">
        <f t="array" ref="BM2541">IFERROR(
   INDEX($AW$1:$BH$1,
      _xlfn.AGGREGATE(14, 6, COLUMN($AW$1:$BH$1)/(AW2541:BH2541&lt;&gt;""), 2) - COLUMN($AW$1) + 1
   ),
"")</f>
        <v>46054</v>
      </c>
      <c r="BN2541" s="55" cm="1">
        <f t="array" ref="BN2541">IFERROR(INDEX($AW$1:$BH$1,1,MATCH(2,1/(AW2541:BH2541&lt;&gt;""))),"")</f>
        <v>46082</v>
      </c>
      <c r="BO2541" s="53">
        <f ca="1">IFERROR(_xlfn.XLOOKUP(F2541,Apuração!A:A,Apuração!C:C)/_xlfn.XLOOKUP(F2541,Apuração!A:A,Apuração!B:B),0)</f>
        <v>0</v>
      </c>
      <c r="BP2541" s="53">
        <f ca="1">IFERROR(_xlfn.XLOOKUP(F2541,Apuração!A:A,Apuração!D:D)/_xlfn.XLOOKUP(F2541,Apuração!A:A,Apuração!B:B),0)</f>
        <v>0</v>
      </c>
      <c r="BQ2541" s="53">
        <f ca="1">IF(BK2541&gt;=BO2541,0,_xlfn.XLOOKUP(F2541,Apuração!A:A,Apuração!B:B)*(BO2541 + (1/_xlfn.XLOOKUP(F2541,Apuração!A:A,Apuração!B:B)) - BK2541))</f>
        <v>0</v>
      </c>
      <c r="BR2541" s="85">
        <f t="shared" ref="BR2541:BR2542" ca="1" si="3190">IF(BQ2541=0,0,BQ2541*Z2541)</f>
        <v>0</v>
      </c>
      <c r="BS2541" s="53">
        <f ca="1">IFERROR((_xlfn.XLOOKUP(F2541,Apuração!A:A,Apuração!C:C)+1)/_xlfn.XLOOKUP(F2541,Apuração!A:A,Apuração!B:B),0)</f>
        <v>0.14285714285714285</v>
      </c>
    </row>
    <row r="2542" spans="1:71" ht="25.95" hidden="1" customHeight="1" x14ac:dyDescent="0.3">
      <c r="A2542" s="35" t="s">
        <v>44</v>
      </c>
      <c r="B2542" s="10" t="s">
        <v>44</v>
      </c>
      <c r="C2542" s="5" t="s">
        <v>221</v>
      </c>
      <c r="D2542" s="5" t="s">
        <v>213</v>
      </c>
      <c r="E2542" s="4" t="str" cm="1">
        <f t="array" ref="E2542">_xlfn.IFS(
F2542 = "A partir de Abril", "Aguardando Execução na Distribuidora",
A2542 = "CAPACITAÇÃO", "Em execução no Corporativo",
TRUE, "Em Execução na Distribuidora"
)</f>
        <v>Em Execução na Distribuidora</v>
      </c>
      <c r="F2542" s="4" t="str" cm="1">
        <f t="array" ref="F2542">_xlfn.IFS(
AG2542 &lt;&gt; "", "Jan-Dez/26",
AH2542 &lt;&gt; "", "Fev-Dez/26",
AI2542 &lt;&gt; "", "Mar-Dez/26", AJ2542 &lt;&gt; "", "Abr-Dez/26",
TRUE, "A partir de Junho"
)</f>
        <v>A partir de Junho</v>
      </c>
      <c r="G2542" s="10" t="s">
        <v>44</v>
      </c>
      <c r="H2542" s="36" t="s">
        <v>44</v>
      </c>
      <c r="I2542" s="37"/>
      <c r="J2542" s="37"/>
      <c r="K2542" s="37"/>
      <c r="L2542" s="37" t="s">
        <v>201</v>
      </c>
      <c r="M2542" s="37"/>
      <c r="N2542" s="5" t="s">
        <v>42</v>
      </c>
      <c r="O2542" s="5" t="s">
        <v>52</v>
      </c>
      <c r="P2542" s="10" t="s">
        <v>44</v>
      </c>
      <c r="Q2542" s="10" t="s">
        <v>44</v>
      </c>
      <c r="R2542" s="11" t="s">
        <v>44</v>
      </c>
      <c r="S2542" s="11" t="s">
        <v>44</v>
      </c>
      <c r="T2542" s="22"/>
      <c r="U2542" s="22"/>
      <c r="V2542" s="22"/>
      <c r="W2542" s="22"/>
      <c r="X2542" s="22"/>
      <c r="Y2542" s="22"/>
      <c r="Z2542" s="22"/>
      <c r="AA2542" s="22"/>
      <c r="AB2542" s="22"/>
      <c r="AC2542" s="22"/>
      <c r="AD2542" s="22"/>
      <c r="AE2542" s="22"/>
      <c r="AG2542" s="112"/>
      <c r="AH2542" s="112"/>
      <c r="AI2542" s="112"/>
      <c r="AJ2542" s="71"/>
      <c r="AK2542" s="71"/>
      <c r="AL2542" s="71"/>
      <c r="AM2542" s="71"/>
      <c r="AN2542" s="71"/>
      <c r="AO2542" s="71"/>
      <c r="AP2542" s="71"/>
      <c r="AQ2542" s="71"/>
      <c r="AR2542" s="71"/>
      <c r="AS2542" s="94"/>
      <c r="AT2542" s="95"/>
      <c r="AU2542" s="97"/>
      <c r="AW2542" s="84">
        <f t="shared" si="3187"/>
        <v>0</v>
      </c>
      <c r="AX2542" s="84">
        <f t="shared" si="3188"/>
        <v>0</v>
      </c>
      <c r="AY2542" s="84">
        <f t="shared" si="3189"/>
        <v>0</v>
      </c>
      <c r="AZ2542" s="84"/>
      <c r="BA2542" s="84"/>
      <c r="BB2542" s="84"/>
      <c r="BC2542" s="84"/>
      <c r="BD2542" s="84"/>
      <c r="BE2542" s="84"/>
      <c r="BF2542" s="84"/>
      <c r="BG2542" s="84"/>
      <c r="BH2542" s="84"/>
      <c r="BI2542" s="68" cm="1">
        <f t="array" ref="BI2542">IFERROR(INDEX(AW2542:BH2542,1,MATCH(2,1/(AW2542:BH2542&lt;&gt;""))),"")</f>
        <v>0</v>
      </c>
      <c r="BJ2542" s="68" cm="1">
        <f t="array" ref="BJ2542">IF(BM2542 = "", "",IFERROR(INDEX(AW2542:BH2542,1,MATCH(2,1/(AW2542:BH2542&lt;&gt;""),1)-1),""))</f>
        <v>0</v>
      </c>
      <c r="BK2542" s="57" cm="1">
        <f t="array" ref="BK2542">IFERROR(INDEX(AW2542:BH2542,1,MATCH(2,1/(AW2542:BH2542&lt;&gt;""),1)),"")</f>
        <v>0</v>
      </c>
      <c r="BL2542" s="57" cm="1">
        <f t="array" ref="BL2542">IF(BM2542 = "", "",IFERROR(INDEX(AW2542:BH2542,1,MATCH(2,1/(AW2542:BH2542&lt;&gt;""),1)-1),""))</f>
        <v>0</v>
      </c>
      <c r="BM2542" s="55" cm="1">
        <f t="array" ref="BM2542">IFERROR(
   INDEX($AW$1:$BH$1,
      _xlfn.AGGREGATE(14, 6, COLUMN($AW$1:$BH$1)/(AW2542:BH2542&lt;&gt;""), 2) - COLUMN($AW$1) + 1
   ),
"")</f>
        <v>46054</v>
      </c>
      <c r="BN2542" s="55" cm="1">
        <f t="array" ref="BN2542">IFERROR(INDEX($AW$1:$BH$1,1,MATCH(2,1/(AW2542:BH2542&lt;&gt;""))),"")</f>
        <v>46082</v>
      </c>
      <c r="BO2542" s="53">
        <f ca="1">IFERROR(_xlfn.XLOOKUP(F2542,Apuração!A:A,Apuração!C:C)/_xlfn.XLOOKUP(F2542,Apuração!A:A,Apuração!B:B),0)</f>
        <v>0</v>
      </c>
      <c r="BP2542" s="53">
        <f ca="1">IFERROR(_xlfn.XLOOKUP(F2542,Apuração!A:A,Apuração!D:D)/_xlfn.XLOOKUP(F2542,Apuração!A:A,Apuração!B:B),0)</f>
        <v>0</v>
      </c>
      <c r="BQ2542" s="53">
        <f ca="1">IF(BK2542&gt;=BO2542,0,_xlfn.XLOOKUP(F2542,Apuração!A:A,Apuração!B:B)*(BO2542 + (1/_xlfn.XLOOKUP(F2542,Apuração!A:A,Apuração!B:B)) - BK2542))</f>
        <v>0</v>
      </c>
      <c r="BR2542" s="85">
        <f t="shared" ca="1" si="3190"/>
        <v>0</v>
      </c>
      <c r="BS2542" s="53">
        <f ca="1">IFERROR((_xlfn.XLOOKUP(F2542,Apuração!A:A,Apuração!C:C)+1)/_xlfn.XLOOKUP(F2542,Apuração!A:A,Apuração!B:B),0)</f>
        <v>0.14285714285714285</v>
      </c>
    </row>
    <row r="2543" spans="1:71" ht="25.95" hidden="1" customHeight="1" x14ac:dyDescent="0.3">
      <c r="A2543" s="35" t="s">
        <v>44</v>
      </c>
      <c r="B2543" s="10" t="s">
        <v>44</v>
      </c>
      <c r="C2543" s="5" t="s">
        <v>221</v>
      </c>
      <c r="D2543" s="5" t="s">
        <v>36</v>
      </c>
      <c r="E2543" s="4" t="str" cm="1">
        <f t="array" ref="E2543">_xlfn.IFS(
F2543 = "A partir de Abril", "Aguardando Execução na Distribuidora",
A2543 = "CAPACITAÇÃO", "Em execução no Corporativo",
TRUE, "Em Execução na Distribuidora"
)</f>
        <v>Em Execução na Distribuidora</v>
      </c>
      <c r="F2543" s="4" t="str" cm="1">
        <f t="array" ref="F2543">_xlfn.IFS(
AG2543 &lt;&gt; "", "Jan-Dez/26",
AH2543 &lt;&gt; "", "Fev-Dez/26",
AI2543 &lt;&gt; "", "Mar-Dez/26", AJ2543 &lt;&gt; "", "Abr-Dez/26",
TRUE, "A partir de Junho"
)</f>
        <v>Jan-Dez/26</v>
      </c>
      <c r="G2543" s="10" t="s">
        <v>44</v>
      </c>
      <c r="H2543" s="36" t="s">
        <v>44</v>
      </c>
      <c r="I2543" s="37"/>
      <c r="J2543" s="37"/>
      <c r="K2543" s="37"/>
      <c r="L2543" s="37" t="s">
        <v>203</v>
      </c>
      <c r="M2543" s="37"/>
      <c r="N2543" s="5" t="s">
        <v>42</v>
      </c>
      <c r="O2543" s="5" t="s">
        <v>52</v>
      </c>
      <c r="P2543" s="10" t="s">
        <v>44</v>
      </c>
      <c r="Q2543" s="10" t="s">
        <v>44</v>
      </c>
      <c r="R2543" s="11" t="s">
        <v>44</v>
      </c>
      <c r="S2543" s="11" t="s">
        <v>44</v>
      </c>
      <c r="T2543" s="22"/>
      <c r="U2543" s="22"/>
      <c r="V2543" s="22"/>
      <c r="W2543" s="22"/>
      <c r="X2543" s="22"/>
      <c r="Y2543" s="22"/>
      <c r="Z2543" s="22"/>
      <c r="AA2543" s="22"/>
      <c r="AB2543" s="22"/>
      <c r="AC2543" s="22"/>
      <c r="AD2543" s="22"/>
      <c r="AE2543" s="22"/>
      <c r="AG2543" s="112">
        <v>3.1889248639475105</v>
      </c>
      <c r="AH2543" s="112">
        <v>2.4655073264974621</v>
      </c>
      <c r="AI2543" s="112">
        <v>2.93300206052727</v>
      </c>
      <c r="AJ2543" s="112">
        <v>4.75</v>
      </c>
      <c r="AK2543" s="112"/>
      <c r="AL2543" s="112"/>
      <c r="AM2543" s="112"/>
      <c r="AN2543" s="112"/>
      <c r="AO2543" s="112"/>
      <c r="AP2543" s="112"/>
      <c r="AQ2543" s="112"/>
      <c r="AR2543" s="112"/>
      <c r="AS2543" s="94"/>
      <c r="AT2543" s="95"/>
      <c r="AU2543" s="97"/>
      <c r="AW2543" s="84">
        <f t="shared" si="3182"/>
        <v>3.1889248639475105</v>
      </c>
      <c r="AX2543" s="84">
        <f t="shared" si="3182"/>
        <v>2.4655073264974621</v>
      </c>
      <c r="AY2543" s="84">
        <f t="shared" si="3182"/>
        <v>2.93300206052727</v>
      </c>
      <c r="AZ2543" s="84">
        <f t="shared" si="3182"/>
        <v>4.75</v>
      </c>
      <c r="BA2543" s="84"/>
      <c r="BB2543" s="84"/>
      <c r="BC2543" s="84"/>
      <c r="BD2543" s="84"/>
      <c r="BE2543" s="84"/>
      <c r="BF2543" s="84"/>
      <c r="BG2543" s="84"/>
      <c r="BH2543" s="84"/>
      <c r="BI2543" s="68" cm="1">
        <f t="array" ref="BI2543">IFERROR(INDEX(AW2543:BH2543,1,MATCH(2,1/(AW2543:BH2543&lt;&gt;""))),"")</f>
        <v>4.75</v>
      </c>
      <c r="BJ2543" s="68" cm="1">
        <f t="array" ref="BJ2543">IF(BM2543 = "", "",IFERROR(INDEX(AW2543:BH2543,1,MATCH(2,1/(AW2543:BH2543&lt;&gt;""),1)-1),""))</f>
        <v>2.93300206052727</v>
      </c>
      <c r="BK2543" s="57" cm="1">
        <f t="array" ref="BK2543">IFERROR(INDEX(AW2543:BH2543,1,MATCH(2,1/(AW2543:BH2543&lt;&gt;""),1)),"")</f>
        <v>4.75</v>
      </c>
      <c r="BL2543" s="57" cm="1">
        <f t="array" ref="BL2543">IF(BM2543 = "", "",IFERROR(INDEX(AW2543:BH2543,1,MATCH(2,1/(AW2543:BH2543&lt;&gt;""),1)-1),""))</f>
        <v>2.93300206052727</v>
      </c>
      <c r="BM2543" s="55" cm="1">
        <f t="array" ref="BM2543">IFERROR(
   INDEX($AW$1:$BH$1,
      _xlfn.AGGREGATE(14, 6, COLUMN($AW$1:$BH$1)/(AW2543:BH2543&lt;&gt;""), 2) - COLUMN($AW$1) + 1
   ),
"")</f>
        <v>46082</v>
      </c>
      <c r="BN2543" s="55" cm="1">
        <f t="array" ref="BN2543">IFERROR(INDEX($AW$1:$BH$1,1,MATCH(2,1/(AW2543:BH2543&lt;&gt;""))),"")</f>
        <v>46113</v>
      </c>
      <c r="BO2543" s="53">
        <f ca="1">IFERROR(_xlfn.XLOOKUP(F2543,Apuração!A:A,Apuração!C:C)/_xlfn.XLOOKUP(F2543,Apuração!A:A,Apuração!B:B),0)</f>
        <v>0.41666666666666669</v>
      </c>
      <c r="BP2543" s="53">
        <f ca="1">IFERROR(_xlfn.XLOOKUP(F2543,Apuração!A:A,Apuração!D:D)/_xlfn.XLOOKUP(F2543,Apuração!A:A,Apuração!B:B),0)</f>
        <v>0.33333333333333331</v>
      </c>
      <c r="BQ2543" s="53">
        <f ca="1">IF(BK2543&gt;=BO2543,0,_xlfn.XLOOKUP(F2543,Apuração!A:A,Apuração!B:B)*(BO2543 + (1/_xlfn.XLOOKUP(F2543,Apuração!A:A,Apuração!B:B)) - BK2543))</f>
        <v>0</v>
      </c>
      <c r="BR2543" s="85">
        <f t="shared" ca="1" si="2957"/>
        <v>0</v>
      </c>
      <c r="BS2543" s="53">
        <f ca="1">IFERROR((_xlfn.XLOOKUP(F2543,Apuração!A:A,Apuração!C:C)+1)/_xlfn.XLOOKUP(F2543,Apuração!A:A,Apuração!B:B),0)</f>
        <v>0.5</v>
      </c>
    </row>
    <row r="2544" spans="1:71" ht="25.95" hidden="1" customHeight="1" x14ac:dyDescent="0.3">
      <c r="A2544" s="35" t="s">
        <v>44</v>
      </c>
      <c r="B2544" s="10" t="s">
        <v>44</v>
      </c>
      <c r="C2544" s="5" t="s">
        <v>221</v>
      </c>
      <c r="D2544" s="5" t="s">
        <v>212</v>
      </c>
      <c r="E2544" s="4" t="str" cm="1">
        <f t="array" ref="E2544">_xlfn.IFS(
F2544 = "A partir de Abril", "Aguardando Execução na Distribuidora",
A2544 = "CAPACITAÇÃO", "Em execução no Corporativo",
TRUE, "Em Execução na Distribuidora"
)</f>
        <v>Em Execução na Distribuidora</v>
      </c>
      <c r="F2544" s="4" t="str" cm="1">
        <f t="array" ref="F2544">_xlfn.IFS(
AG2544 &lt;&gt; "", "Jan-Dez/26",
AH2544 &lt;&gt; "", "Fev-Dez/26",
AI2544 &lt;&gt; "", "Mar-Dez/26", AJ2544 &lt;&gt; "", "Abr-Dez/26",
TRUE, "A partir de Junho"
)</f>
        <v>A partir de Junho</v>
      </c>
      <c r="G2544" s="10" t="s">
        <v>44</v>
      </c>
      <c r="H2544" s="36" t="s">
        <v>44</v>
      </c>
      <c r="I2544" s="37"/>
      <c r="J2544" s="37"/>
      <c r="K2544" s="37"/>
      <c r="L2544" s="37" t="s">
        <v>203</v>
      </c>
      <c r="M2544" s="37"/>
      <c r="N2544" s="5" t="s">
        <v>42</v>
      </c>
      <c r="O2544" s="5" t="s">
        <v>52</v>
      </c>
      <c r="P2544" s="10" t="s">
        <v>44</v>
      </c>
      <c r="Q2544" s="10" t="s">
        <v>44</v>
      </c>
      <c r="R2544" s="11" t="s">
        <v>44</v>
      </c>
      <c r="S2544" s="11" t="s">
        <v>44</v>
      </c>
      <c r="T2544" s="22"/>
      <c r="U2544" s="22"/>
      <c r="V2544" s="22"/>
      <c r="W2544" s="22"/>
      <c r="X2544" s="22"/>
      <c r="Y2544" s="22"/>
      <c r="Z2544" s="22"/>
      <c r="AA2544" s="22"/>
      <c r="AB2544" s="22"/>
      <c r="AC2544" s="22"/>
      <c r="AD2544" s="22"/>
      <c r="AE2544" s="22"/>
      <c r="AG2544" s="112"/>
      <c r="AH2544" s="112"/>
      <c r="AI2544" s="112"/>
      <c r="AJ2544" s="71"/>
      <c r="AK2544" s="71"/>
      <c r="AL2544" s="71"/>
      <c r="AM2544" s="71"/>
      <c r="AN2544" s="71"/>
      <c r="AO2544" s="71"/>
      <c r="AP2544" s="71"/>
      <c r="AQ2544" s="71"/>
      <c r="AR2544" s="71"/>
      <c r="AS2544" s="94"/>
      <c r="AT2544" s="95"/>
      <c r="AU2544" s="97"/>
      <c r="AW2544" s="84">
        <f t="shared" ref="AW2544:AW2545" si="3191">AG2544</f>
        <v>0</v>
      </c>
      <c r="AX2544" s="84">
        <f t="shared" ref="AX2544:AX2545" si="3192">AH2544</f>
        <v>0</v>
      </c>
      <c r="AY2544" s="84">
        <f t="shared" ref="AY2544:AY2545" si="3193">AI2544</f>
        <v>0</v>
      </c>
      <c r="AZ2544" s="84"/>
      <c r="BA2544" s="84"/>
      <c r="BB2544" s="84"/>
      <c r="BC2544" s="84"/>
      <c r="BD2544" s="84"/>
      <c r="BE2544" s="84"/>
      <c r="BF2544" s="84"/>
      <c r="BG2544" s="84"/>
      <c r="BH2544" s="84"/>
      <c r="BI2544" s="68" cm="1">
        <f t="array" ref="BI2544">IFERROR(INDEX(AW2544:BH2544,1,MATCH(2,1/(AW2544:BH2544&lt;&gt;""))),"")</f>
        <v>0</v>
      </c>
      <c r="BJ2544" s="68" cm="1">
        <f t="array" ref="BJ2544">IF(BM2544 = "", "",IFERROR(INDEX(AW2544:BH2544,1,MATCH(2,1/(AW2544:BH2544&lt;&gt;""),1)-1),""))</f>
        <v>0</v>
      </c>
      <c r="BK2544" s="57" cm="1">
        <f t="array" ref="BK2544">IFERROR(INDEX(AW2544:BH2544,1,MATCH(2,1/(AW2544:BH2544&lt;&gt;""),1)),"")</f>
        <v>0</v>
      </c>
      <c r="BL2544" s="57" cm="1">
        <f t="array" ref="BL2544">IF(BM2544 = "", "",IFERROR(INDEX(AW2544:BH2544,1,MATCH(2,1/(AW2544:BH2544&lt;&gt;""),1)-1),""))</f>
        <v>0</v>
      </c>
      <c r="BM2544" s="55" cm="1">
        <f t="array" ref="BM2544">IFERROR(
   INDEX($AW$1:$BH$1,
      _xlfn.AGGREGATE(14, 6, COLUMN($AW$1:$BH$1)/(AW2544:BH2544&lt;&gt;""), 2) - COLUMN($AW$1) + 1
   ),
"")</f>
        <v>46054</v>
      </c>
      <c r="BN2544" s="55" cm="1">
        <f t="array" ref="BN2544">IFERROR(INDEX($AW$1:$BH$1,1,MATCH(2,1/(AW2544:BH2544&lt;&gt;""))),"")</f>
        <v>46082</v>
      </c>
      <c r="BO2544" s="53">
        <f ca="1">IFERROR(_xlfn.XLOOKUP(F2544,Apuração!A:A,Apuração!C:C)/_xlfn.XLOOKUP(F2544,Apuração!A:A,Apuração!B:B),0)</f>
        <v>0</v>
      </c>
      <c r="BP2544" s="53">
        <f ca="1">IFERROR(_xlfn.XLOOKUP(F2544,Apuração!A:A,Apuração!D:D)/_xlfn.XLOOKUP(F2544,Apuração!A:A,Apuração!B:B),0)</f>
        <v>0</v>
      </c>
      <c r="BQ2544" s="53">
        <f ca="1">IF(BK2544&gt;=BO2544,0,_xlfn.XLOOKUP(F2544,Apuração!A:A,Apuração!B:B)*(BO2544 + (1/_xlfn.XLOOKUP(F2544,Apuração!A:A,Apuração!B:B)) - BK2544))</f>
        <v>0</v>
      </c>
      <c r="BR2544" s="85">
        <f t="shared" ref="BR2544:BR2545" ca="1" si="3194">IF(BQ2544=0,0,BQ2544*Z2544)</f>
        <v>0</v>
      </c>
      <c r="BS2544" s="53">
        <f ca="1">IFERROR((_xlfn.XLOOKUP(F2544,Apuração!A:A,Apuração!C:C)+1)/_xlfn.XLOOKUP(F2544,Apuração!A:A,Apuração!B:B),0)</f>
        <v>0.14285714285714285</v>
      </c>
    </row>
    <row r="2545" spans="1:71" ht="25.95" hidden="1" customHeight="1" x14ac:dyDescent="0.3">
      <c r="A2545" s="35" t="s">
        <v>44</v>
      </c>
      <c r="B2545" s="10" t="s">
        <v>44</v>
      </c>
      <c r="C2545" s="5" t="s">
        <v>221</v>
      </c>
      <c r="D2545" s="5" t="s">
        <v>213</v>
      </c>
      <c r="E2545" s="4" t="str" cm="1">
        <f t="array" ref="E2545">_xlfn.IFS(
F2545 = "A partir de Abril", "Aguardando Execução na Distribuidora",
A2545 = "CAPACITAÇÃO", "Em execução no Corporativo",
TRUE, "Em Execução na Distribuidora"
)</f>
        <v>Em Execução na Distribuidora</v>
      </c>
      <c r="F2545" s="4" t="str" cm="1">
        <f t="array" ref="F2545">_xlfn.IFS(
AG2545 &lt;&gt; "", "Jan-Dez/26",
AH2545 &lt;&gt; "", "Fev-Dez/26",
AI2545 &lt;&gt; "", "Mar-Dez/26", AJ2545 &lt;&gt; "", "Abr-Dez/26",
TRUE, "A partir de Junho"
)</f>
        <v>A partir de Junho</v>
      </c>
      <c r="G2545" s="10" t="s">
        <v>44</v>
      </c>
      <c r="H2545" s="36" t="s">
        <v>44</v>
      </c>
      <c r="I2545" s="37"/>
      <c r="J2545" s="37"/>
      <c r="K2545" s="37"/>
      <c r="L2545" s="37" t="s">
        <v>203</v>
      </c>
      <c r="M2545" s="37"/>
      <c r="N2545" s="5" t="s">
        <v>42</v>
      </c>
      <c r="O2545" s="5" t="s">
        <v>52</v>
      </c>
      <c r="P2545" s="10" t="s">
        <v>44</v>
      </c>
      <c r="Q2545" s="10" t="s">
        <v>44</v>
      </c>
      <c r="R2545" s="11" t="s">
        <v>44</v>
      </c>
      <c r="S2545" s="11" t="s">
        <v>44</v>
      </c>
      <c r="T2545" s="22"/>
      <c r="U2545" s="22"/>
      <c r="V2545" s="22"/>
      <c r="W2545" s="22"/>
      <c r="X2545" s="22"/>
      <c r="Y2545" s="22"/>
      <c r="Z2545" s="22"/>
      <c r="AA2545" s="22"/>
      <c r="AB2545" s="22"/>
      <c r="AC2545" s="22"/>
      <c r="AD2545" s="22"/>
      <c r="AE2545" s="22"/>
      <c r="AG2545" s="112"/>
      <c r="AH2545" s="112"/>
      <c r="AI2545" s="112"/>
      <c r="AJ2545" s="71"/>
      <c r="AK2545" s="71"/>
      <c r="AL2545" s="71"/>
      <c r="AM2545" s="71"/>
      <c r="AN2545" s="71"/>
      <c r="AO2545" s="71"/>
      <c r="AP2545" s="71"/>
      <c r="AQ2545" s="71"/>
      <c r="AR2545" s="71"/>
      <c r="AS2545" s="94"/>
      <c r="AT2545" s="95"/>
      <c r="AU2545" s="97"/>
      <c r="AW2545" s="84">
        <f t="shared" si="3191"/>
        <v>0</v>
      </c>
      <c r="AX2545" s="84">
        <f t="shared" si="3192"/>
        <v>0</v>
      </c>
      <c r="AY2545" s="84">
        <f t="shared" si="3193"/>
        <v>0</v>
      </c>
      <c r="AZ2545" s="84"/>
      <c r="BA2545" s="84"/>
      <c r="BB2545" s="84"/>
      <c r="BC2545" s="84"/>
      <c r="BD2545" s="84"/>
      <c r="BE2545" s="84"/>
      <c r="BF2545" s="84"/>
      <c r="BG2545" s="84"/>
      <c r="BH2545" s="84"/>
      <c r="BI2545" s="68" cm="1">
        <f t="array" ref="BI2545">IFERROR(INDEX(AW2545:BH2545,1,MATCH(2,1/(AW2545:BH2545&lt;&gt;""))),"")</f>
        <v>0</v>
      </c>
      <c r="BJ2545" s="68" cm="1">
        <f t="array" ref="BJ2545">IF(BM2545 = "", "",IFERROR(INDEX(AW2545:BH2545,1,MATCH(2,1/(AW2545:BH2545&lt;&gt;""),1)-1),""))</f>
        <v>0</v>
      </c>
      <c r="BK2545" s="57" cm="1">
        <f t="array" ref="BK2545">IFERROR(INDEX(AW2545:BH2545,1,MATCH(2,1/(AW2545:BH2545&lt;&gt;""),1)),"")</f>
        <v>0</v>
      </c>
      <c r="BL2545" s="57" cm="1">
        <f t="array" ref="BL2545">IF(BM2545 = "", "",IFERROR(INDEX(AW2545:BH2545,1,MATCH(2,1/(AW2545:BH2545&lt;&gt;""),1)-1),""))</f>
        <v>0</v>
      </c>
      <c r="BM2545" s="55" cm="1">
        <f t="array" ref="BM2545">IFERROR(
   INDEX($AW$1:$BH$1,
      _xlfn.AGGREGATE(14, 6, COLUMN($AW$1:$BH$1)/(AW2545:BH2545&lt;&gt;""), 2) - COLUMN($AW$1) + 1
   ),
"")</f>
        <v>46054</v>
      </c>
      <c r="BN2545" s="55" cm="1">
        <f t="array" ref="BN2545">IFERROR(INDEX($AW$1:$BH$1,1,MATCH(2,1/(AW2545:BH2545&lt;&gt;""))),"")</f>
        <v>46082</v>
      </c>
      <c r="BO2545" s="53">
        <f ca="1">IFERROR(_xlfn.XLOOKUP(F2545,Apuração!A:A,Apuração!C:C)/_xlfn.XLOOKUP(F2545,Apuração!A:A,Apuração!B:B),0)</f>
        <v>0</v>
      </c>
      <c r="BP2545" s="53">
        <f ca="1">IFERROR(_xlfn.XLOOKUP(F2545,Apuração!A:A,Apuração!D:D)/_xlfn.XLOOKUP(F2545,Apuração!A:A,Apuração!B:B),0)</f>
        <v>0</v>
      </c>
      <c r="BQ2545" s="53">
        <f ca="1">IF(BK2545&gt;=BO2545,0,_xlfn.XLOOKUP(F2545,Apuração!A:A,Apuração!B:B)*(BO2545 + (1/_xlfn.XLOOKUP(F2545,Apuração!A:A,Apuração!B:B)) - BK2545))</f>
        <v>0</v>
      </c>
      <c r="BR2545" s="85">
        <f t="shared" ca="1" si="3194"/>
        <v>0</v>
      </c>
      <c r="BS2545" s="53">
        <f ca="1">IFERROR((_xlfn.XLOOKUP(F2545,Apuração!A:A,Apuração!C:C)+1)/_xlfn.XLOOKUP(F2545,Apuração!A:A,Apuração!B:B),0)</f>
        <v>0.14285714285714285</v>
      </c>
    </row>
    <row r="2546" spans="1:71" ht="25.95" hidden="1" customHeight="1" x14ac:dyDescent="0.3">
      <c r="A2546" s="35" t="s">
        <v>44</v>
      </c>
      <c r="B2546" s="10" t="s">
        <v>44</v>
      </c>
      <c r="C2546" s="5" t="s">
        <v>221</v>
      </c>
      <c r="D2546" s="5" t="s">
        <v>36</v>
      </c>
      <c r="E2546" s="4" t="str" cm="1">
        <f t="array" ref="E2546">_xlfn.IFS(
F2546 = "A partir de Abril", "Aguardando Execução na Distribuidora",
A2546 = "CAPACITAÇÃO", "Em execução no Corporativo",
TRUE, "Em Execução na Distribuidora"
)</f>
        <v>Em Execução na Distribuidora</v>
      </c>
      <c r="F2546" s="4" t="str" cm="1">
        <f t="array" ref="F2546">_xlfn.IFS(
AG2546 &lt;&gt; "", "Jan-Dez/26",
AH2546 &lt;&gt; "", "Fev-Dez/26",
AI2546 &lt;&gt; "", "Mar-Dez/26", AJ2546 &lt;&gt; "", "Abr-Dez/26",
TRUE, "A partir de Junho"
)</f>
        <v>Jan-Dez/26</v>
      </c>
      <c r="G2546" s="10" t="s">
        <v>44</v>
      </c>
      <c r="H2546" s="36" t="s">
        <v>44</v>
      </c>
      <c r="I2546" s="37"/>
      <c r="J2546" s="37"/>
      <c r="K2546" s="37"/>
      <c r="L2546" s="37" t="s">
        <v>204</v>
      </c>
      <c r="M2546" s="37"/>
      <c r="N2546" s="5" t="s">
        <v>42</v>
      </c>
      <c r="O2546" s="5" t="s">
        <v>52</v>
      </c>
      <c r="P2546" s="10" t="s">
        <v>44</v>
      </c>
      <c r="Q2546" s="10" t="s">
        <v>44</v>
      </c>
      <c r="R2546" s="11" t="s">
        <v>44</v>
      </c>
      <c r="S2546" s="11" t="s">
        <v>44</v>
      </c>
      <c r="T2546" s="22"/>
      <c r="U2546" s="22"/>
      <c r="V2546" s="22"/>
      <c r="W2546" s="22"/>
      <c r="X2546" s="22"/>
      <c r="Y2546" s="22"/>
      <c r="Z2546" s="22"/>
      <c r="AA2546" s="22"/>
      <c r="AB2546" s="22"/>
      <c r="AC2546" s="22"/>
      <c r="AD2546" s="22"/>
      <c r="AE2546" s="22"/>
      <c r="AG2546" s="112">
        <v>0</v>
      </c>
      <c r="AH2546" s="112">
        <v>0</v>
      </c>
      <c r="AI2546" s="112">
        <v>0</v>
      </c>
      <c r="AJ2546" s="112">
        <v>0</v>
      </c>
      <c r="AK2546" s="112"/>
      <c r="AL2546" s="112"/>
      <c r="AM2546" s="112"/>
      <c r="AN2546" s="112"/>
      <c r="AO2546" s="112"/>
      <c r="AP2546" s="112"/>
      <c r="AQ2546" s="112"/>
      <c r="AR2546" s="112"/>
      <c r="AS2546" s="94"/>
      <c r="AT2546" s="95"/>
      <c r="AU2546" s="97"/>
      <c r="AW2546" s="84">
        <f t="shared" si="3182"/>
        <v>0</v>
      </c>
      <c r="AX2546" s="84">
        <f t="shared" si="3182"/>
        <v>0</v>
      </c>
      <c r="AY2546" s="84">
        <f t="shared" si="3182"/>
        <v>0</v>
      </c>
      <c r="AZ2546" s="84">
        <f t="shared" si="3182"/>
        <v>0</v>
      </c>
      <c r="BA2546" s="84"/>
      <c r="BB2546" s="84"/>
      <c r="BC2546" s="84"/>
      <c r="BD2546" s="84"/>
      <c r="BE2546" s="84"/>
      <c r="BF2546" s="84"/>
      <c r="BG2546" s="84"/>
      <c r="BH2546" s="84"/>
      <c r="BI2546" s="68" cm="1">
        <f t="array" ref="BI2546">IFERROR(INDEX(AW2546:BH2546,1,MATCH(2,1/(AW2546:BH2546&lt;&gt;""))),"")</f>
        <v>0</v>
      </c>
      <c r="BJ2546" s="68" cm="1">
        <f t="array" ref="BJ2546">IF(BM2546 = "", "",IFERROR(INDEX(AW2546:BH2546,1,MATCH(2,1/(AW2546:BH2546&lt;&gt;""),1)-1),""))</f>
        <v>0</v>
      </c>
      <c r="BK2546" s="57" cm="1">
        <f t="array" ref="BK2546">IFERROR(INDEX(AW2546:BH2546,1,MATCH(2,1/(AW2546:BH2546&lt;&gt;""),1)),"")</f>
        <v>0</v>
      </c>
      <c r="BL2546" s="57" cm="1">
        <f t="array" ref="BL2546">IF(BM2546 = "", "",IFERROR(INDEX(AW2546:BH2546,1,MATCH(2,1/(AW2546:BH2546&lt;&gt;""),1)-1),""))</f>
        <v>0</v>
      </c>
      <c r="BM2546" s="55" cm="1">
        <f t="array" ref="BM2546">IFERROR(
   INDEX($AW$1:$BH$1,
      _xlfn.AGGREGATE(14, 6, COLUMN($AW$1:$BH$1)/(AW2546:BH2546&lt;&gt;""), 2) - COLUMN($AW$1) + 1
   ),
"")</f>
        <v>46082</v>
      </c>
      <c r="BN2546" s="55" cm="1">
        <f t="array" ref="BN2546">IFERROR(INDEX($AW$1:$BH$1,1,MATCH(2,1/(AW2546:BH2546&lt;&gt;""))),"")</f>
        <v>46113</v>
      </c>
      <c r="BO2546" s="53">
        <f ca="1">IFERROR(_xlfn.XLOOKUP(F2546,Apuração!A:A,Apuração!C:C)/_xlfn.XLOOKUP(F2546,Apuração!A:A,Apuração!B:B),0)</f>
        <v>0.41666666666666669</v>
      </c>
      <c r="BP2546" s="53">
        <f ca="1">IFERROR(_xlfn.XLOOKUP(F2546,Apuração!A:A,Apuração!D:D)/_xlfn.XLOOKUP(F2546,Apuração!A:A,Apuração!B:B),0)</f>
        <v>0.33333333333333331</v>
      </c>
      <c r="BQ2546" s="53">
        <f ca="1">IF(BK2546&gt;=BO2546,0,_xlfn.XLOOKUP(F2546,Apuração!A:A,Apuração!B:B)*(BO2546 + (1/_xlfn.XLOOKUP(F2546,Apuração!A:A,Apuração!B:B)) - BK2546))</f>
        <v>6</v>
      </c>
      <c r="BR2546" s="85">
        <f t="shared" ca="1" si="2957"/>
        <v>0</v>
      </c>
      <c r="BS2546" s="53">
        <f ca="1">IFERROR((_xlfn.XLOOKUP(F2546,Apuração!A:A,Apuração!C:C)+1)/_xlfn.XLOOKUP(F2546,Apuração!A:A,Apuração!B:B),0)</f>
        <v>0.5</v>
      </c>
    </row>
    <row r="2547" spans="1:71" ht="25.95" hidden="1" customHeight="1" x14ac:dyDescent="0.3">
      <c r="A2547" s="35" t="s">
        <v>44</v>
      </c>
      <c r="B2547" s="10" t="s">
        <v>44</v>
      </c>
      <c r="C2547" s="5" t="s">
        <v>221</v>
      </c>
      <c r="D2547" s="5" t="s">
        <v>212</v>
      </c>
      <c r="E2547" s="4" t="str" cm="1">
        <f t="array" ref="E2547">_xlfn.IFS(
F2547 = "A partir de Abril", "Aguardando Execução na Distribuidora",
A2547 = "CAPACITAÇÃO", "Em execução no Corporativo",
TRUE, "Em Execução na Distribuidora"
)</f>
        <v>Em Execução na Distribuidora</v>
      </c>
      <c r="F2547" s="4" t="str" cm="1">
        <f t="array" ref="F2547">_xlfn.IFS(
AG2547 &lt;&gt; "", "Jan-Dez/26",
AH2547 &lt;&gt; "", "Fev-Dez/26",
AI2547 &lt;&gt; "", "Mar-Dez/26", AJ2547 &lt;&gt; "", "Abr-Dez/26",
TRUE, "A partir de Junho"
)</f>
        <v>A partir de Junho</v>
      </c>
      <c r="G2547" s="10" t="s">
        <v>44</v>
      </c>
      <c r="H2547" s="36" t="s">
        <v>44</v>
      </c>
      <c r="I2547" s="37"/>
      <c r="J2547" s="37"/>
      <c r="K2547" s="37"/>
      <c r="L2547" s="37" t="s">
        <v>204</v>
      </c>
      <c r="M2547" s="37"/>
      <c r="N2547" s="5" t="s">
        <v>42</v>
      </c>
      <c r="O2547" s="5" t="s">
        <v>52</v>
      </c>
      <c r="P2547" s="10" t="s">
        <v>44</v>
      </c>
      <c r="Q2547" s="10" t="s">
        <v>44</v>
      </c>
      <c r="R2547" s="11" t="s">
        <v>44</v>
      </c>
      <c r="S2547" s="11" t="s">
        <v>44</v>
      </c>
      <c r="T2547" s="22"/>
      <c r="U2547" s="22"/>
      <c r="V2547" s="22"/>
      <c r="W2547" s="22"/>
      <c r="X2547" s="22"/>
      <c r="Y2547" s="22"/>
      <c r="Z2547" s="22"/>
      <c r="AA2547" s="22"/>
      <c r="AB2547" s="22"/>
      <c r="AC2547" s="22"/>
      <c r="AD2547" s="22"/>
      <c r="AE2547" s="22"/>
      <c r="AG2547" s="112"/>
      <c r="AH2547" s="112"/>
      <c r="AI2547" s="112"/>
      <c r="AJ2547" s="71"/>
      <c r="AK2547" s="71"/>
      <c r="AL2547" s="71"/>
      <c r="AM2547" s="71"/>
      <c r="AN2547" s="71"/>
      <c r="AO2547" s="71"/>
      <c r="AP2547" s="71"/>
      <c r="AQ2547" s="71"/>
      <c r="AR2547" s="71"/>
      <c r="AS2547" s="94"/>
      <c r="AT2547" s="95"/>
      <c r="AU2547" s="97"/>
      <c r="AW2547" s="84">
        <f t="shared" ref="AW2547:AW2548" si="3195">AG2547</f>
        <v>0</v>
      </c>
      <c r="AX2547" s="84">
        <f t="shared" ref="AX2547:AX2549" si="3196">AH2547</f>
        <v>0</v>
      </c>
      <c r="AY2547" s="84">
        <f t="shared" ref="AY2547:AY2549" si="3197">AI2547</f>
        <v>0</v>
      </c>
      <c r="AZ2547" s="84"/>
      <c r="BA2547" s="84"/>
      <c r="BB2547" s="84"/>
      <c r="BC2547" s="84"/>
      <c r="BD2547" s="84"/>
      <c r="BE2547" s="84"/>
      <c r="BF2547" s="84"/>
      <c r="BG2547" s="84"/>
      <c r="BH2547" s="84"/>
      <c r="BI2547" s="68" cm="1">
        <f t="array" ref="BI2547">IFERROR(INDEX(AW2547:BH2547,1,MATCH(2,1/(AW2547:BH2547&lt;&gt;""))),"")</f>
        <v>0</v>
      </c>
      <c r="BJ2547" s="68" cm="1">
        <f t="array" ref="BJ2547">IF(BM2547 = "", "",IFERROR(INDEX(AW2547:BH2547,1,MATCH(2,1/(AW2547:BH2547&lt;&gt;""),1)-1),""))</f>
        <v>0</v>
      </c>
      <c r="BK2547" s="57" cm="1">
        <f t="array" ref="BK2547">IFERROR(INDEX(AW2547:BH2547,1,MATCH(2,1/(AW2547:BH2547&lt;&gt;""),1)),"")</f>
        <v>0</v>
      </c>
      <c r="BL2547" s="57" cm="1">
        <f t="array" ref="BL2547">IF(BM2547 = "", "",IFERROR(INDEX(AW2547:BH2547,1,MATCH(2,1/(AW2547:BH2547&lt;&gt;""),1)-1),""))</f>
        <v>0</v>
      </c>
      <c r="BM2547" s="55" cm="1">
        <f t="array" ref="BM2547">IFERROR(
   INDEX($AW$1:$BH$1,
      _xlfn.AGGREGATE(14, 6, COLUMN($AW$1:$BH$1)/(AW2547:BH2547&lt;&gt;""), 2) - COLUMN($AW$1) + 1
   ),
"")</f>
        <v>46054</v>
      </c>
      <c r="BN2547" s="55" cm="1">
        <f t="array" ref="BN2547">IFERROR(INDEX($AW$1:$BH$1,1,MATCH(2,1/(AW2547:BH2547&lt;&gt;""))),"")</f>
        <v>46082</v>
      </c>
      <c r="BO2547" s="53">
        <f ca="1">IFERROR(_xlfn.XLOOKUP(F2547,Apuração!A:A,Apuração!C:C)/_xlfn.XLOOKUP(F2547,Apuração!A:A,Apuração!B:B),0)</f>
        <v>0</v>
      </c>
      <c r="BP2547" s="53">
        <f ca="1">IFERROR(_xlfn.XLOOKUP(F2547,Apuração!A:A,Apuração!D:D)/_xlfn.XLOOKUP(F2547,Apuração!A:A,Apuração!B:B),0)</f>
        <v>0</v>
      </c>
      <c r="BQ2547" s="53">
        <f ca="1">IF(BK2547&gt;=BO2547,0,_xlfn.XLOOKUP(F2547,Apuração!A:A,Apuração!B:B)*(BO2547 + (1/_xlfn.XLOOKUP(F2547,Apuração!A:A,Apuração!B:B)) - BK2547))</f>
        <v>0</v>
      </c>
      <c r="BR2547" s="85">
        <f t="shared" ref="BR2547:BR2548" ca="1" si="3198">IF(BQ2547=0,0,BQ2547*Z2547)</f>
        <v>0</v>
      </c>
      <c r="BS2547" s="53">
        <f ca="1">IFERROR((_xlfn.XLOOKUP(F2547,Apuração!A:A,Apuração!C:C)+1)/_xlfn.XLOOKUP(F2547,Apuração!A:A,Apuração!B:B),0)</f>
        <v>0.14285714285714285</v>
      </c>
    </row>
    <row r="2548" spans="1:71" ht="25.95" hidden="1" customHeight="1" x14ac:dyDescent="0.3">
      <c r="A2548" s="35" t="s">
        <v>44</v>
      </c>
      <c r="B2548" s="10" t="s">
        <v>44</v>
      </c>
      <c r="C2548" s="5" t="s">
        <v>221</v>
      </c>
      <c r="D2548" s="5" t="s">
        <v>213</v>
      </c>
      <c r="E2548" s="4" t="str" cm="1">
        <f t="array" ref="E2548">_xlfn.IFS(
F2548 = "A partir de Abril", "Aguardando Execução na Distribuidora",
A2548 = "CAPACITAÇÃO", "Em execução no Corporativo",
TRUE, "Em Execução na Distribuidora"
)</f>
        <v>Em Execução na Distribuidora</v>
      </c>
      <c r="F2548" s="4" t="str" cm="1">
        <f t="array" ref="F2548">_xlfn.IFS(
AG2548 &lt;&gt; "", "Jan-Dez/26",
AH2548 &lt;&gt; "", "Fev-Dez/26",
AI2548 &lt;&gt; "", "Mar-Dez/26", AJ2548 &lt;&gt; "", "Abr-Dez/26",
TRUE, "A partir de Junho"
)</f>
        <v>A partir de Junho</v>
      </c>
      <c r="G2548" s="10" t="s">
        <v>44</v>
      </c>
      <c r="H2548" s="36" t="s">
        <v>44</v>
      </c>
      <c r="I2548" s="37"/>
      <c r="J2548" s="37"/>
      <c r="K2548" s="37"/>
      <c r="L2548" s="37" t="s">
        <v>204</v>
      </c>
      <c r="M2548" s="37"/>
      <c r="N2548" s="5" t="s">
        <v>42</v>
      </c>
      <c r="O2548" s="5" t="s">
        <v>52</v>
      </c>
      <c r="P2548" s="10" t="s">
        <v>44</v>
      </c>
      <c r="Q2548" s="10" t="s">
        <v>44</v>
      </c>
      <c r="R2548" s="11" t="s">
        <v>44</v>
      </c>
      <c r="S2548" s="11" t="s">
        <v>44</v>
      </c>
      <c r="T2548" s="22"/>
      <c r="U2548" s="22"/>
      <c r="V2548" s="22"/>
      <c r="W2548" s="22"/>
      <c r="X2548" s="22"/>
      <c r="Y2548" s="22"/>
      <c r="Z2548" s="22"/>
      <c r="AA2548" s="22"/>
      <c r="AB2548" s="22"/>
      <c r="AC2548" s="22"/>
      <c r="AD2548" s="22"/>
      <c r="AE2548" s="22"/>
      <c r="AG2548" s="112"/>
      <c r="AH2548" s="112"/>
      <c r="AI2548" s="112"/>
      <c r="AJ2548" s="71"/>
      <c r="AK2548" s="71"/>
      <c r="AL2548" s="71"/>
      <c r="AM2548" s="71"/>
      <c r="AN2548" s="71"/>
      <c r="AO2548" s="71"/>
      <c r="AP2548" s="71"/>
      <c r="AQ2548" s="71"/>
      <c r="AR2548" s="71"/>
      <c r="AS2548" s="94"/>
      <c r="AT2548" s="95"/>
      <c r="AU2548" s="97"/>
      <c r="AW2548" s="84">
        <f t="shared" si="3195"/>
        <v>0</v>
      </c>
      <c r="AX2548" s="84">
        <f t="shared" si="3196"/>
        <v>0</v>
      </c>
      <c r="AY2548" s="84">
        <f t="shared" si="3197"/>
        <v>0</v>
      </c>
      <c r="AZ2548" s="84"/>
      <c r="BA2548" s="84"/>
      <c r="BB2548" s="84"/>
      <c r="BC2548" s="84"/>
      <c r="BD2548" s="84"/>
      <c r="BE2548" s="84"/>
      <c r="BF2548" s="84"/>
      <c r="BG2548" s="84"/>
      <c r="BH2548" s="84"/>
      <c r="BI2548" s="68" cm="1">
        <f t="array" ref="BI2548">IFERROR(INDEX(AW2548:BH2548,1,MATCH(2,1/(AW2548:BH2548&lt;&gt;""))),"")</f>
        <v>0</v>
      </c>
      <c r="BJ2548" s="68" cm="1">
        <f t="array" ref="BJ2548">IF(BM2548 = "", "",IFERROR(INDEX(AW2548:BH2548,1,MATCH(2,1/(AW2548:BH2548&lt;&gt;""),1)-1),""))</f>
        <v>0</v>
      </c>
      <c r="BK2548" s="57" cm="1">
        <f t="array" ref="BK2548">IFERROR(INDEX(AW2548:BH2548,1,MATCH(2,1/(AW2548:BH2548&lt;&gt;""),1)),"")</f>
        <v>0</v>
      </c>
      <c r="BL2548" s="57" cm="1">
        <f t="array" ref="BL2548">IF(BM2548 = "", "",IFERROR(INDEX(AW2548:BH2548,1,MATCH(2,1/(AW2548:BH2548&lt;&gt;""),1)-1),""))</f>
        <v>0</v>
      </c>
      <c r="BM2548" s="55" cm="1">
        <f t="array" ref="BM2548">IFERROR(
   INDEX($AW$1:$BH$1,
      _xlfn.AGGREGATE(14, 6, COLUMN($AW$1:$BH$1)/(AW2548:BH2548&lt;&gt;""), 2) - COLUMN($AW$1) + 1
   ),
"")</f>
        <v>46054</v>
      </c>
      <c r="BN2548" s="55" cm="1">
        <f t="array" ref="BN2548">IFERROR(INDEX($AW$1:$BH$1,1,MATCH(2,1/(AW2548:BH2548&lt;&gt;""))),"")</f>
        <v>46082</v>
      </c>
      <c r="BO2548" s="53">
        <f ca="1">IFERROR(_xlfn.XLOOKUP(F2548,Apuração!A:A,Apuração!C:C)/_xlfn.XLOOKUP(F2548,Apuração!A:A,Apuração!B:B),0)</f>
        <v>0</v>
      </c>
      <c r="BP2548" s="53">
        <f ca="1">IFERROR(_xlfn.XLOOKUP(F2548,Apuração!A:A,Apuração!D:D)/_xlfn.XLOOKUP(F2548,Apuração!A:A,Apuração!B:B),0)</f>
        <v>0</v>
      </c>
      <c r="BQ2548" s="53">
        <f ca="1">IF(BK2548&gt;=BO2548,0,_xlfn.XLOOKUP(F2548,Apuração!A:A,Apuração!B:B)*(BO2548 + (1/_xlfn.XLOOKUP(F2548,Apuração!A:A,Apuração!B:B)) - BK2548))</f>
        <v>0</v>
      </c>
      <c r="BR2548" s="85">
        <f t="shared" ca="1" si="3198"/>
        <v>0</v>
      </c>
      <c r="BS2548" s="53">
        <f ca="1">IFERROR((_xlfn.XLOOKUP(F2548,Apuração!A:A,Apuração!C:C)+1)/_xlfn.XLOOKUP(F2548,Apuração!A:A,Apuração!B:B),0)</f>
        <v>0.14285714285714285</v>
      </c>
    </row>
    <row r="2549" spans="1:71" ht="25.95" hidden="1" customHeight="1" x14ac:dyDescent="0.3">
      <c r="A2549" s="35" t="s">
        <v>44</v>
      </c>
      <c r="B2549" s="10" t="s">
        <v>44</v>
      </c>
      <c r="C2549" s="5" t="s">
        <v>221</v>
      </c>
      <c r="D2549" s="5" t="s">
        <v>36</v>
      </c>
      <c r="E2549" s="4" t="str" cm="1">
        <f t="array" ref="E2549">_xlfn.IFS(
F2549 = "A partir de Abril", "Aguardando Execução na Distribuidora",
A2549 = "CAPACITAÇÃO", "Em execução no Corporativo",
TRUE, "Em Execução na Distribuidora"
)</f>
        <v>Em Execução na Distribuidora</v>
      </c>
      <c r="F2549" s="4" t="str" cm="1">
        <f t="array" ref="F2549">_xlfn.IFS(
AG2549 &lt;&gt; "", "Jan-Dez/26",
AH2549 &lt;&gt; "", "Fev-Dez/26",
AI2549 &lt;&gt; "", "Mar-Dez/26", AJ2549 &lt;&gt; "", "Abr-Dez/26",
TRUE, "A partir de Junho"
)</f>
        <v>A partir de Junho</v>
      </c>
      <c r="G2549" s="10" t="s">
        <v>44</v>
      </c>
      <c r="H2549" s="36" t="s">
        <v>44</v>
      </c>
      <c r="I2549" s="37"/>
      <c r="J2549" s="37"/>
      <c r="K2549" s="37"/>
      <c r="L2549" s="37" t="s">
        <v>207</v>
      </c>
      <c r="M2549" s="37"/>
      <c r="N2549" s="5" t="s">
        <v>42</v>
      </c>
      <c r="O2549" s="5" t="s">
        <v>52</v>
      </c>
      <c r="P2549" s="10" t="s">
        <v>44</v>
      </c>
      <c r="Q2549" s="10" t="s">
        <v>44</v>
      </c>
      <c r="R2549" s="11" t="s">
        <v>44</v>
      </c>
      <c r="S2549" s="11" t="s">
        <v>44</v>
      </c>
      <c r="T2549" s="22"/>
      <c r="U2549" s="22"/>
      <c r="V2549" s="22"/>
      <c r="W2549" s="22"/>
      <c r="X2549" s="22"/>
      <c r="Y2549" s="22"/>
      <c r="Z2549" s="22"/>
      <c r="AA2549" s="22"/>
      <c r="AB2549" s="22"/>
      <c r="AC2549" s="22"/>
      <c r="AD2549" s="22"/>
      <c r="AE2549" s="22"/>
      <c r="AG2549" s="112"/>
      <c r="AH2549" s="112"/>
      <c r="AI2549" s="112"/>
      <c r="AJ2549" s="112"/>
      <c r="AK2549" s="112"/>
      <c r="AL2549" s="112"/>
      <c r="AM2549" s="112"/>
      <c r="AN2549" s="112"/>
      <c r="AO2549" s="112"/>
      <c r="AP2549" s="112"/>
      <c r="AQ2549" s="112"/>
      <c r="AR2549" s="112"/>
      <c r="AS2549" s="94"/>
      <c r="AT2549" s="95"/>
      <c r="AU2549" s="97"/>
      <c r="AW2549" s="84">
        <f t="shared" ref="AW2549:AW2560" si="3199">AG2549</f>
        <v>0</v>
      </c>
      <c r="AX2549" s="84">
        <f t="shared" si="3196"/>
        <v>0</v>
      </c>
      <c r="AY2549" s="84">
        <f t="shared" si="3197"/>
        <v>0</v>
      </c>
      <c r="AZ2549" s="84">
        <f t="shared" ref="AZ2549" si="3200">AJ2549</f>
        <v>0</v>
      </c>
      <c r="BA2549" s="84"/>
      <c r="BB2549" s="84"/>
      <c r="BC2549" s="84"/>
      <c r="BD2549" s="84"/>
      <c r="BE2549" s="84"/>
      <c r="BF2549" s="84"/>
      <c r="BG2549" s="84"/>
      <c r="BH2549" s="84"/>
      <c r="BI2549" s="68" cm="1">
        <f t="array" ref="BI2549">IFERROR(INDEX(AW2549:BH2549,1,MATCH(2,1/(AW2549:BH2549&lt;&gt;""))),"")</f>
        <v>0</v>
      </c>
      <c r="BJ2549" s="68" cm="1">
        <f t="array" ref="BJ2549">IF(BM2549 = "", "",IFERROR(INDEX(AW2549:BH2549,1,MATCH(2,1/(AW2549:BH2549&lt;&gt;""),1)-1),""))</f>
        <v>0</v>
      </c>
      <c r="BK2549" s="57" cm="1">
        <f t="array" ref="BK2549">IFERROR(INDEX(AW2549:BH2549,1,MATCH(2,1/(AW2549:BH2549&lt;&gt;""),1)),"")</f>
        <v>0</v>
      </c>
      <c r="BL2549" s="57" cm="1">
        <f t="array" ref="BL2549">IF(BM2549 = "", "",IFERROR(INDEX(AW2549:BH2549,1,MATCH(2,1/(AW2549:BH2549&lt;&gt;""),1)-1),""))</f>
        <v>0</v>
      </c>
      <c r="BM2549" s="55" cm="1">
        <f t="array" ref="BM2549">IFERROR(
   INDEX($AW$1:$BH$1,
      _xlfn.AGGREGATE(14, 6, COLUMN($AW$1:$BH$1)/(AW2549:BH2549&lt;&gt;""), 2) - COLUMN($AW$1) + 1
   ),
"")</f>
        <v>46082</v>
      </c>
      <c r="BN2549" s="55" cm="1">
        <f t="array" ref="BN2549">IFERROR(INDEX($AW$1:$BH$1,1,MATCH(2,1/(AW2549:BH2549&lt;&gt;""))),"")</f>
        <v>46113</v>
      </c>
      <c r="BO2549" s="53">
        <f ca="1">IFERROR(_xlfn.XLOOKUP(F2549,Apuração!A:A,Apuração!C:C)/_xlfn.XLOOKUP(F2549,Apuração!A:A,Apuração!B:B),0)</f>
        <v>0</v>
      </c>
      <c r="BP2549" s="53">
        <f ca="1">IFERROR(_xlfn.XLOOKUP(F2549,Apuração!A:A,Apuração!D:D)/_xlfn.XLOOKUP(F2549,Apuração!A:A,Apuração!B:B),0)</f>
        <v>0</v>
      </c>
      <c r="BQ2549" s="53">
        <f ca="1">IF(BK2549&gt;=BO2549,0,_xlfn.XLOOKUP(F2549,Apuração!A:A,Apuração!B:B)*(BO2549 + (1/_xlfn.XLOOKUP(F2549,Apuração!A:A,Apuração!B:B)) - BK2549))</f>
        <v>0</v>
      </c>
      <c r="BR2549" s="85">
        <f t="shared" ca="1" si="2957"/>
        <v>0</v>
      </c>
      <c r="BS2549" s="53">
        <f ca="1">IFERROR((_xlfn.XLOOKUP(F2549,Apuração!A:A,Apuração!C:C)+1)/_xlfn.XLOOKUP(F2549,Apuração!A:A,Apuração!B:B),0)</f>
        <v>0.14285714285714285</v>
      </c>
    </row>
    <row r="2550" spans="1:71" ht="25.95" hidden="1" customHeight="1" x14ac:dyDescent="0.3">
      <c r="A2550" s="35" t="s">
        <v>44</v>
      </c>
      <c r="B2550" s="10" t="s">
        <v>44</v>
      </c>
      <c r="C2550" s="5" t="s">
        <v>221</v>
      </c>
      <c r="D2550" s="5" t="s">
        <v>212</v>
      </c>
      <c r="E2550" s="4" t="str" cm="1">
        <f t="array" ref="E2550">_xlfn.IFS(
F2550 = "A partir de Abril", "Aguardando Execução na Distribuidora",
A2550 = "CAPACITAÇÃO", "Em execução no Corporativo",
TRUE, "Em Execução na Distribuidora"
)</f>
        <v>Em Execução na Distribuidora</v>
      </c>
      <c r="F2550" s="4" t="str" cm="1">
        <f t="array" ref="F2550">_xlfn.IFS(
AG2550 &lt;&gt; "", "Jan-Dez/26",
AH2550 &lt;&gt; "", "Fev-Dez/26",
AI2550 &lt;&gt; "", "Mar-Dez/26", AJ2550 &lt;&gt; "", "Abr-Dez/26",
TRUE, "A partir de Junho"
)</f>
        <v>A partir de Junho</v>
      </c>
      <c r="G2550" s="10" t="s">
        <v>44</v>
      </c>
      <c r="H2550" s="36" t="s">
        <v>44</v>
      </c>
      <c r="I2550" s="37"/>
      <c r="J2550" s="37"/>
      <c r="K2550" s="37"/>
      <c r="L2550" s="37" t="s">
        <v>207</v>
      </c>
      <c r="M2550" s="37"/>
      <c r="N2550" s="5" t="s">
        <v>42</v>
      </c>
      <c r="O2550" s="5" t="s">
        <v>52</v>
      </c>
      <c r="P2550" s="10" t="s">
        <v>44</v>
      </c>
      <c r="Q2550" s="10" t="s">
        <v>44</v>
      </c>
      <c r="R2550" s="11" t="s">
        <v>44</v>
      </c>
      <c r="S2550" s="11" t="s">
        <v>44</v>
      </c>
      <c r="T2550" s="22"/>
      <c r="U2550" s="22"/>
      <c r="V2550" s="22"/>
      <c r="W2550" s="22"/>
      <c r="X2550" s="22"/>
      <c r="Y2550" s="22"/>
      <c r="Z2550" s="22"/>
      <c r="AA2550" s="22"/>
      <c r="AB2550" s="22"/>
      <c r="AC2550" s="22"/>
      <c r="AD2550" s="22"/>
      <c r="AE2550" s="22"/>
      <c r="AG2550" s="71"/>
      <c r="AH2550" s="71"/>
      <c r="AI2550" s="71"/>
      <c r="AJ2550" s="71"/>
      <c r="AK2550" s="71"/>
      <c r="AL2550" s="71"/>
      <c r="AM2550" s="71"/>
      <c r="AN2550" s="71"/>
      <c r="AO2550" s="71"/>
      <c r="AP2550" s="71"/>
      <c r="AQ2550" s="71"/>
      <c r="AR2550" s="71"/>
      <c r="AS2550" s="94"/>
      <c r="AT2550" s="95"/>
      <c r="AU2550" s="97"/>
      <c r="AW2550" s="84">
        <f t="shared" ref="AW2550:AW2551" si="3201">AG2550</f>
        <v>0</v>
      </c>
      <c r="AX2550" s="84"/>
      <c r="AY2550" s="84"/>
      <c r="AZ2550" s="84"/>
      <c r="BA2550" s="84"/>
      <c r="BB2550" s="84"/>
      <c r="BC2550" s="84"/>
      <c r="BD2550" s="84"/>
      <c r="BE2550" s="84"/>
      <c r="BF2550" s="84"/>
      <c r="BG2550" s="84"/>
      <c r="BH2550" s="84"/>
      <c r="BI2550" s="68" cm="1">
        <f t="array" ref="BI2550">IFERROR(INDEX(AW2550:BH2550,1,MATCH(2,1/(AW2550:BH2550&lt;&gt;""))),"")</f>
        <v>0</v>
      </c>
      <c r="BJ2550" s="68" t="str" cm="1">
        <f t="array" ref="BJ2550">IF(BM2550 = "", "",IFERROR(INDEX(AW2550:BH2550,1,MATCH(2,1/(AW2550:BH2550&lt;&gt;""),1)-1),""))</f>
        <v/>
      </c>
      <c r="BK2550" s="57" cm="1">
        <f t="array" ref="BK2550">IFERROR(INDEX(AW2550:BH2550,1,MATCH(2,1/(AW2550:BH2550&lt;&gt;""),1)),"")</f>
        <v>0</v>
      </c>
      <c r="BL2550" s="57" t="str" cm="1">
        <f t="array" ref="BL2550">IF(BM2550 = "", "",IFERROR(INDEX(AW2550:BH2550,1,MATCH(2,1/(AW2550:BH2550&lt;&gt;""),1)-1),""))</f>
        <v/>
      </c>
      <c r="BM2550" s="55" t="str" cm="1">
        <f t="array" ref="BM2550">IFERROR(
   INDEX($AW$1:$BH$1,
      _xlfn.AGGREGATE(14, 6, COLUMN($AW$1:$BH$1)/(AW2550:BH2550&lt;&gt;""), 2) - COLUMN($AW$1) + 1
   ),
"")</f>
        <v/>
      </c>
      <c r="BN2550" s="55" cm="1">
        <f t="array" ref="BN2550">IFERROR(INDEX($AW$1:$BH$1,1,MATCH(2,1/(AW2550:BH2550&lt;&gt;""))),"")</f>
        <v>46023</v>
      </c>
      <c r="BO2550" s="53">
        <f ca="1">IFERROR(_xlfn.XLOOKUP(F2550,Apuração!A:A,Apuração!C:C)/_xlfn.XLOOKUP(F2550,Apuração!A:A,Apuração!B:B),0)</f>
        <v>0</v>
      </c>
      <c r="BP2550" s="53">
        <f ca="1">IFERROR(_xlfn.XLOOKUP(F2550,Apuração!A:A,Apuração!D:D)/_xlfn.XLOOKUP(F2550,Apuração!A:A,Apuração!B:B),0)</f>
        <v>0</v>
      </c>
      <c r="BQ2550" s="53">
        <f ca="1">IF(BK2550&gt;=BO2550,0,_xlfn.XLOOKUP(F2550,Apuração!A:A,Apuração!B:B)*(BO2550 + (1/_xlfn.XLOOKUP(F2550,Apuração!A:A,Apuração!B:B)) - BK2550))</f>
        <v>0</v>
      </c>
      <c r="BR2550" s="85">
        <f t="shared" ref="BR2550:BR2551" ca="1" si="3202">IF(BQ2550=0,0,BQ2550*Z2550)</f>
        <v>0</v>
      </c>
      <c r="BS2550" s="53">
        <f ca="1">IFERROR((_xlfn.XLOOKUP(F2550,Apuração!A:A,Apuração!C:C)+1)/_xlfn.XLOOKUP(F2550,Apuração!A:A,Apuração!B:B),0)</f>
        <v>0.14285714285714285</v>
      </c>
    </row>
    <row r="2551" spans="1:71" ht="25.95" hidden="1" customHeight="1" x14ac:dyDescent="0.3">
      <c r="A2551" s="35" t="s">
        <v>44</v>
      </c>
      <c r="B2551" s="10" t="s">
        <v>44</v>
      </c>
      <c r="C2551" s="5" t="s">
        <v>221</v>
      </c>
      <c r="D2551" s="5" t="s">
        <v>213</v>
      </c>
      <c r="E2551" s="4" t="str" cm="1">
        <f t="array" ref="E2551">_xlfn.IFS(
F2551 = "A partir de Abril", "Aguardando Execução na Distribuidora",
A2551 = "CAPACITAÇÃO", "Em execução no Corporativo",
TRUE, "Em Execução na Distribuidora"
)</f>
        <v>Em Execução na Distribuidora</v>
      </c>
      <c r="F2551" s="4" t="str" cm="1">
        <f t="array" ref="F2551">_xlfn.IFS(
AG2551 &lt;&gt; "", "Jan-Dez/26",
AH2551 &lt;&gt; "", "Fev-Dez/26",
AI2551 &lt;&gt; "", "Mar-Dez/26", AJ2551 &lt;&gt; "", "Abr-Dez/26",
TRUE, "A partir de Junho"
)</f>
        <v>A partir de Junho</v>
      </c>
      <c r="G2551" s="10" t="s">
        <v>44</v>
      </c>
      <c r="H2551" s="36" t="s">
        <v>44</v>
      </c>
      <c r="I2551" s="37"/>
      <c r="J2551" s="37"/>
      <c r="K2551" s="37"/>
      <c r="L2551" s="37" t="s">
        <v>207</v>
      </c>
      <c r="M2551" s="37"/>
      <c r="N2551" s="5" t="s">
        <v>42</v>
      </c>
      <c r="O2551" s="5" t="s">
        <v>52</v>
      </c>
      <c r="P2551" s="10" t="s">
        <v>44</v>
      </c>
      <c r="Q2551" s="10" t="s">
        <v>44</v>
      </c>
      <c r="R2551" s="11" t="s">
        <v>44</v>
      </c>
      <c r="S2551" s="11" t="s">
        <v>44</v>
      </c>
      <c r="T2551" s="22"/>
      <c r="U2551" s="22"/>
      <c r="V2551" s="22"/>
      <c r="W2551" s="22"/>
      <c r="X2551" s="22"/>
      <c r="Y2551" s="22"/>
      <c r="Z2551" s="22"/>
      <c r="AA2551" s="22"/>
      <c r="AB2551" s="22"/>
      <c r="AC2551" s="22"/>
      <c r="AD2551" s="22"/>
      <c r="AE2551" s="22"/>
      <c r="AG2551" s="71"/>
      <c r="AH2551" s="71"/>
      <c r="AI2551" s="71"/>
      <c r="AJ2551" s="71"/>
      <c r="AK2551" s="71"/>
      <c r="AL2551" s="71"/>
      <c r="AM2551" s="71"/>
      <c r="AN2551" s="71"/>
      <c r="AO2551" s="71"/>
      <c r="AP2551" s="71"/>
      <c r="AQ2551" s="71"/>
      <c r="AR2551" s="71"/>
      <c r="AS2551" s="94"/>
      <c r="AT2551" s="95"/>
      <c r="AU2551" s="97"/>
      <c r="AW2551" s="84">
        <f t="shared" si="3201"/>
        <v>0</v>
      </c>
      <c r="AX2551" s="84"/>
      <c r="AY2551" s="84"/>
      <c r="AZ2551" s="84"/>
      <c r="BA2551" s="84"/>
      <c r="BB2551" s="84"/>
      <c r="BC2551" s="84"/>
      <c r="BD2551" s="84"/>
      <c r="BE2551" s="84"/>
      <c r="BF2551" s="84"/>
      <c r="BG2551" s="84"/>
      <c r="BH2551" s="84"/>
      <c r="BI2551" s="68" cm="1">
        <f t="array" ref="BI2551">IFERROR(INDEX(AW2551:BH2551,1,MATCH(2,1/(AW2551:BH2551&lt;&gt;""))),"")</f>
        <v>0</v>
      </c>
      <c r="BJ2551" s="68" t="str" cm="1">
        <f t="array" ref="BJ2551">IF(BM2551 = "", "",IFERROR(INDEX(AW2551:BH2551,1,MATCH(2,1/(AW2551:BH2551&lt;&gt;""),1)-1),""))</f>
        <v/>
      </c>
      <c r="BK2551" s="57" cm="1">
        <f t="array" ref="BK2551">IFERROR(INDEX(AW2551:BH2551,1,MATCH(2,1/(AW2551:BH2551&lt;&gt;""),1)),"")</f>
        <v>0</v>
      </c>
      <c r="BL2551" s="57" t="str" cm="1">
        <f t="array" ref="BL2551">IF(BM2551 = "", "",IFERROR(INDEX(AW2551:BH2551,1,MATCH(2,1/(AW2551:BH2551&lt;&gt;""),1)-1),""))</f>
        <v/>
      </c>
      <c r="BM2551" s="55" t="str" cm="1">
        <f t="array" ref="BM2551">IFERROR(
   INDEX($AW$1:$BH$1,
      _xlfn.AGGREGATE(14, 6, COLUMN($AW$1:$BH$1)/(AW2551:BH2551&lt;&gt;""), 2) - COLUMN($AW$1) + 1
   ),
"")</f>
        <v/>
      </c>
      <c r="BN2551" s="55" cm="1">
        <f t="array" ref="BN2551">IFERROR(INDEX($AW$1:$BH$1,1,MATCH(2,1/(AW2551:BH2551&lt;&gt;""))),"")</f>
        <v>46023</v>
      </c>
      <c r="BO2551" s="53">
        <f ca="1">IFERROR(_xlfn.XLOOKUP(F2551,Apuração!A:A,Apuração!C:C)/_xlfn.XLOOKUP(F2551,Apuração!A:A,Apuração!B:B),0)</f>
        <v>0</v>
      </c>
      <c r="BP2551" s="53">
        <f ca="1">IFERROR(_xlfn.XLOOKUP(F2551,Apuração!A:A,Apuração!D:D)/_xlfn.XLOOKUP(F2551,Apuração!A:A,Apuração!B:B),0)</f>
        <v>0</v>
      </c>
      <c r="BQ2551" s="53">
        <f ca="1">IF(BK2551&gt;=BO2551,0,_xlfn.XLOOKUP(F2551,Apuração!A:A,Apuração!B:B)*(BO2551 + (1/_xlfn.XLOOKUP(F2551,Apuração!A:A,Apuração!B:B)) - BK2551))</f>
        <v>0</v>
      </c>
      <c r="BR2551" s="85">
        <f t="shared" ca="1" si="3202"/>
        <v>0</v>
      </c>
      <c r="BS2551" s="53">
        <f ca="1">IFERROR((_xlfn.XLOOKUP(F2551,Apuração!A:A,Apuração!C:C)+1)/_xlfn.XLOOKUP(F2551,Apuração!A:A,Apuração!B:B),0)</f>
        <v>0.14285714285714285</v>
      </c>
    </row>
    <row r="2552" spans="1:71" ht="25.95" hidden="1" customHeight="1" x14ac:dyDescent="0.3">
      <c r="A2552" s="35" t="s">
        <v>44</v>
      </c>
      <c r="B2552" s="10" t="s">
        <v>44</v>
      </c>
      <c r="C2552" s="5" t="s">
        <v>221</v>
      </c>
      <c r="D2552" s="5" t="s">
        <v>36</v>
      </c>
      <c r="E2552" s="4" t="str" cm="1">
        <f t="array" ref="E2552">_xlfn.IFS(
F2552 = "A partir de Abril", "Aguardando Execução na Distribuidora",
A2552 = "CAPACITAÇÃO", "Em execução no Corporativo",
TRUE, "Em Execução na Distribuidora"
)</f>
        <v>Em Execução na Distribuidora</v>
      </c>
      <c r="F2552" s="4" t="str" cm="1">
        <f t="array" ref="F2552">_xlfn.IFS(
AG2552 &lt;&gt; "", "Jan-Dez/26",
AH2552 &lt;&gt; "", "Fev-Dez/26",
AI2552 &lt;&gt; "", "Mar-Dez/26", AJ2552 &lt;&gt; "", "Abr-Dez/26",
TRUE, "A partir de Junho"
)</f>
        <v>Jan-Dez/26</v>
      </c>
      <c r="G2552" s="10" t="s">
        <v>44</v>
      </c>
      <c r="H2552" s="36" t="s">
        <v>44</v>
      </c>
      <c r="I2552" s="37"/>
      <c r="J2552" s="37"/>
      <c r="K2552" s="37"/>
      <c r="L2552" s="37" t="s">
        <v>206</v>
      </c>
      <c r="M2552" s="37"/>
      <c r="N2552" s="5" t="s">
        <v>42</v>
      </c>
      <c r="O2552" s="5" t="s">
        <v>52</v>
      </c>
      <c r="P2552" s="10" t="s">
        <v>44</v>
      </c>
      <c r="Q2552" s="10" t="s">
        <v>44</v>
      </c>
      <c r="R2552" s="11" t="s">
        <v>44</v>
      </c>
      <c r="S2552" s="11" t="s">
        <v>44</v>
      </c>
      <c r="T2552" s="22"/>
      <c r="U2552" s="22"/>
      <c r="V2552" s="22"/>
      <c r="W2552" s="22"/>
      <c r="X2552" s="22"/>
      <c r="Y2552" s="22"/>
      <c r="Z2552" s="22"/>
      <c r="AA2552" s="22"/>
      <c r="AB2552" s="22"/>
      <c r="AC2552" s="22"/>
      <c r="AD2552" s="22"/>
      <c r="AE2552" s="22"/>
      <c r="AG2552" s="112">
        <v>0</v>
      </c>
      <c r="AH2552" s="112">
        <v>4.1091788774957703</v>
      </c>
      <c r="AI2552" s="112">
        <v>1.3331827547851227</v>
      </c>
      <c r="AJ2552" s="112">
        <v>1.78</v>
      </c>
      <c r="AK2552" s="112"/>
      <c r="AL2552" s="112"/>
      <c r="AM2552" s="112"/>
      <c r="AN2552" s="112"/>
      <c r="AO2552" s="112"/>
      <c r="AP2552" s="112"/>
      <c r="AQ2552" s="112"/>
      <c r="AR2552" s="112"/>
      <c r="AS2552" s="94"/>
      <c r="AT2552" s="95"/>
      <c r="AU2552" s="97"/>
      <c r="AW2552" s="84">
        <f t="shared" si="3199"/>
        <v>0</v>
      </c>
      <c r="AX2552" s="84">
        <f t="shared" ref="AX2552:AZ2560" si="3203">AH2552</f>
        <v>4.1091788774957703</v>
      </c>
      <c r="AY2552" s="84">
        <f t="shared" si="3203"/>
        <v>1.3331827547851227</v>
      </c>
      <c r="AZ2552" s="84">
        <f t="shared" si="3203"/>
        <v>1.78</v>
      </c>
      <c r="BA2552" s="84"/>
      <c r="BB2552" s="84"/>
      <c r="BC2552" s="84"/>
      <c r="BD2552" s="84"/>
      <c r="BE2552" s="84"/>
      <c r="BF2552" s="84"/>
      <c r="BG2552" s="84"/>
      <c r="BH2552" s="84"/>
      <c r="BI2552" s="68" cm="1">
        <f t="array" ref="BI2552">IFERROR(INDEX(AW2552:BH2552,1,MATCH(2,1/(AW2552:BH2552&lt;&gt;""))),"")</f>
        <v>1.78</v>
      </c>
      <c r="BJ2552" s="68" cm="1">
        <f t="array" ref="BJ2552">IF(BM2552 = "", "",IFERROR(INDEX(AW2552:BH2552,1,MATCH(2,1/(AW2552:BH2552&lt;&gt;""),1)-1),""))</f>
        <v>1.3331827547851227</v>
      </c>
      <c r="BK2552" s="57" cm="1">
        <f t="array" ref="BK2552">IFERROR(INDEX(AW2552:BH2552,1,MATCH(2,1/(AW2552:BH2552&lt;&gt;""),1)),"")</f>
        <v>1.78</v>
      </c>
      <c r="BL2552" s="57" cm="1">
        <f t="array" ref="BL2552">IF(BM2552 = "", "",IFERROR(INDEX(AW2552:BH2552,1,MATCH(2,1/(AW2552:BH2552&lt;&gt;""),1)-1),""))</f>
        <v>1.3331827547851227</v>
      </c>
      <c r="BM2552" s="55" cm="1">
        <f t="array" ref="BM2552">IFERROR(
   INDEX($AW$1:$BH$1,
      _xlfn.AGGREGATE(14, 6, COLUMN($AW$1:$BH$1)/(AW2552:BH2552&lt;&gt;""), 2) - COLUMN($AW$1) + 1
   ),
"")</f>
        <v>46082</v>
      </c>
      <c r="BN2552" s="55" cm="1">
        <f t="array" ref="BN2552">IFERROR(INDEX($AW$1:$BH$1,1,MATCH(2,1/(AW2552:BH2552&lt;&gt;""))),"")</f>
        <v>46113</v>
      </c>
      <c r="BO2552" s="53">
        <f ca="1">IFERROR(_xlfn.XLOOKUP(F2552,Apuração!A:A,Apuração!C:C)/_xlfn.XLOOKUP(F2552,Apuração!A:A,Apuração!B:B),0)</f>
        <v>0.41666666666666669</v>
      </c>
      <c r="BP2552" s="53">
        <f ca="1">IFERROR(_xlfn.XLOOKUP(F2552,Apuração!A:A,Apuração!D:D)/_xlfn.XLOOKUP(F2552,Apuração!A:A,Apuração!B:B),0)</f>
        <v>0.33333333333333331</v>
      </c>
      <c r="BQ2552" s="53">
        <f ca="1">IF(BK2552&gt;=BO2552,0,_xlfn.XLOOKUP(F2552,Apuração!A:A,Apuração!B:B)*(BO2552 + (1/_xlfn.XLOOKUP(F2552,Apuração!A:A,Apuração!B:B)) - BK2552))</f>
        <v>0</v>
      </c>
      <c r="BR2552" s="85">
        <f t="shared" ca="1" si="2957"/>
        <v>0</v>
      </c>
      <c r="BS2552" s="53">
        <f ca="1">IFERROR((_xlfn.XLOOKUP(F2552,Apuração!A:A,Apuração!C:C)+1)/_xlfn.XLOOKUP(F2552,Apuração!A:A,Apuração!B:B),0)</f>
        <v>0.5</v>
      </c>
    </row>
    <row r="2553" spans="1:71" ht="25.95" hidden="1" customHeight="1" x14ac:dyDescent="0.3">
      <c r="A2553" s="35" t="s">
        <v>44</v>
      </c>
      <c r="B2553" s="10" t="s">
        <v>44</v>
      </c>
      <c r="C2553" s="5" t="s">
        <v>221</v>
      </c>
      <c r="D2553" s="5" t="s">
        <v>212</v>
      </c>
      <c r="E2553" s="4" t="str" cm="1">
        <f t="array" ref="E2553">_xlfn.IFS(
F2553 = "A partir de Abril", "Aguardando Execução na Distribuidora",
A2553 = "CAPACITAÇÃO", "Em execução no Corporativo",
TRUE, "Em Execução na Distribuidora"
)</f>
        <v>Em Execução na Distribuidora</v>
      </c>
      <c r="F2553" s="4" t="str" cm="1">
        <f t="array" ref="F2553">_xlfn.IFS(
AG2553 &lt;&gt; "", "Jan-Dez/26",
AH2553 &lt;&gt; "", "Fev-Dez/26",
AI2553 &lt;&gt; "", "Mar-Dez/26", AJ2553 &lt;&gt; "", "Abr-Dez/26",
TRUE, "A partir de Junho"
)</f>
        <v>A partir de Junho</v>
      </c>
      <c r="G2553" s="10" t="s">
        <v>44</v>
      </c>
      <c r="H2553" s="36" t="s">
        <v>44</v>
      </c>
      <c r="I2553" s="37"/>
      <c r="J2553" s="37"/>
      <c r="K2553" s="37"/>
      <c r="L2553" s="37" t="s">
        <v>206</v>
      </c>
      <c r="M2553" s="37"/>
      <c r="N2553" s="5" t="s">
        <v>42</v>
      </c>
      <c r="O2553" s="5" t="s">
        <v>52</v>
      </c>
      <c r="P2553" s="10" t="s">
        <v>44</v>
      </c>
      <c r="Q2553" s="10" t="s">
        <v>44</v>
      </c>
      <c r="R2553" s="11" t="s">
        <v>44</v>
      </c>
      <c r="S2553" s="11" t="s">
        <v>44</v>
      </c>
      <c r="T2553" s="22"/>
      <c r="U2553" s="22"/>
      <c r="V2553" s="22"/>
      <c r="W2553" s="22"/>
      <c r="X2553" s="22"/>
      <c r="Y2553" s="22"/>
      <c r="Z2553" s="22"/>
      <c r="AA2553" s="22"/>
      <c r="AB2553" s="22"/>
      <c r="AC2553" s="22"/>
      <c r="AD2553" s="22"/>
      <c r="AE2553" s="22"/>
      <c r="AG2553" s="112"/>
      <c r="AH2553" s="112"/>
      <c r="AI2553" s="112"/>
      <c r="AJ2553" s="71"/>
      <c r="AK2553" s="71"/>
      <c r="AL2553" s="71"/>
      <c r="AM2553" s="71"/>
      <c r="AN2553" s="71"/>
      <c r="AO2553" s="71"/>
      <c r="AP2553" s="71"/>
      <c r="AQ2553" s="71"/>
      <c r="AR2553" s="71"/>
      <c r="AS2553" s="94"/>
      <c r="AT2553" s="95"/>
      <c r="AU2553" s="97"/>
      <c r="AW2553" s="84">
        <f t="shared" ref="AW2553:AW2554" si="3204">AG2553</f>
        <v>0</v>
      </c>
      <c r="AX2553" s="84">
        <f t="shared" ref="AX2553:AX2554" si="3205">AH2553</f>
        <v>0</v>
      </c>
      <c r="AY2553" s="84">
        <f t="shared" ref="AY2553:AY2554" si="3206">AI2553</f>
        <v>0</v>
      </c>
      <c r="AZ2553" s="84"/>
      <c r="BA2553" s="84"/>
      <c r="BB2553" s="84"/>
      <c r="BC2553" s="84"/>
      <c r="BD2553" s="84"/>
      <c r="BE2553" s="84"/>
      <c r="BF2553" s="84"/>
      <c r="BG2553" s="84"/>
      <c r="BH2553" s="84"/>
      <c r="BI2553" s="68" cm="1">
        <f t="array" ref="BI2553">IFERROR(INDEX(AW2553:BH2553,1,MATCH(2,1/(AW2553:BH2553&lt;&gt;""))),"")</f>
        <v>0</v>
      </c>
      <c r="BJ2553" s="68" cm="1">
        <f t="array" ref="BJ2553">IF(BM2553 = "", "",IFERROR(INDEX(AW2553:BH2553,1,MATCH(2,1/(AW2553:BH2553&lt;&gt;""),1)-1),""))</f>
        <v>0</v>
      </c>
      <c r="BK2553" s="57" cm="1">
        <f t="array" ref="BK2553">IFERROR(INDEX(AW2553:BH2553,1,MATCH(2,1/(AW2553:BH2553&lt;&gt;""),1)),"")</f>
        <v>0</v>
      </c>
      <c r="BL2553" s="57" cm="1">
        <f t="array" ref="BL2553">IF(BM2553 = "", "",IFERROR(INDEX(AW2553:BH2553,1,MATCH(2,1/(AW2553:BH2553&lt;&gt;""),1)-1),""))</f>
        <v>0</v>
      </c>
      <c r="BM2553" s="55" cm="1">
        <f t="array" ref="BM2553">IFERROR(
   INDEX($AW$1:$BH$1,
      _xlfn.AGGREGATE(14, 6, COLUMN($AW$1:$BH$1)/(AW2553:BH2553&lt;&gt;""), 2) - COLUMN($AW$1) + 1
   ),
"")</f>
        <v>46054</v>
      </c>
      <c r="BN2553" s="55" cm="1">
        <f t="array" ref="BN2553">IFERROR(INDEX($AW$1:$BH$1,1,MATCH(2,1/(AW2553:BH2553&lt;&gt;""))),"")</f>
        <v>46082</v>
      </c>
      <c r="BO2553" s="53">
        <f ca="1">IFERROR(_xlfn.XLOOKUP(F2553,Apuração!A:A,Apuração!C:C)/_xlfn.XLOOKUP(F2553,Apuração!A:A,Apuração!B:B),0)</f>
        <v>0</v>
      </c>
      <c r="BP2553" s="53">
        <f ca="1">IFERROR(_xlfn.XLOOKUP(F2553,Apuração!A:A,Apuração!D:D)/_xlfn.XLOOKUP(F2553,Apuração!A:A,Apuração!B:B),0)</f>
        <v>0</v>
      </c>
      <c r="BQ2553" s="53">
        <f ca="1">IF(BK2553&gt;=BO2553,0,_xlfn.XLOOKUP(F2553,Apuração!A:A,Apuração!B:B)*(BO2553 + (1/_xlfn.XLOOKUP(F2553,Apuração!A:A,Apuração!B:B)) - BK2553))</f>
        <v>0</v>
      </c>
      <c r="BR2553" s="85">
        <f t="shared" ref="BR2553:BR2554" ca="1" si="3207">IF(BQ2553=0,0,BQ2553*Z2553)</f>
        <v>0</v>
      </c>
      <c r="BS2553" s="53">
        <f ca="1">IFERROR((_xlfn.XLOOKUP(F2553,Apuração!A:A,Apuração!C:C)+1)/_xlfn.XLOOKUP(F2553,Apuração!A:A,Apuração!B:B),0)</f>
        <v>0.14285714285714285</v>
      </c>
    </row>
    <row r="2554" spans="1:71" ht="25.95" hidden="1" customHeight="1" x14ac:dyDescent="0.3">
      <c r="A2554" s="35" t="s">
        <v>44</v>
      </c>
      <c r="B2554" s="10" t="s">
        <v>44</v>
      </c>
      <c r="C2554" s="5" t="s">
        <v>221</v>
      </c>
      <c r="D2554" s="5" t="s">
        <v>213</v>
      </c>
      <c r="E2554" s="4" t="str" cm="1">
        <f t="array" ref="E2554">_xlfn.IFS(
F2554 = "A partir de Abril", "Aguardando Execução na Distribuidora",
A2554 = "CAPACITAÇÃO", "Em execução no Corporativo",
TRUE, "Em Execução na Distribuidora"
)</f>
        <v>Em Execução na Distribuidora</v>
      </c>
      <c r="F2554" s="4" t="str" cm="1">
        <f t="array" ref="F2554">_xlfn.IFS(
AG2554 &lt;&gt; "", "Jan-Dez/26",
AH2554 &lt;&gt; "", "Fev-Dez/26",
AI2554 &lt;&gt; "", "Mar-Dez/26", AJ2554 &lt;&gt; "", "Abr-Dez/26",
TRUE, "A partir de Junho"
)</f>
        <v>A partir de Junho</v>
      </c>
      <c r="G2554" s="10" t="s">
        <v>44</v>
      </c>
      <c r="H2554" s="36" t="s">
        <v>44</v>
      </c>
      <c r="I2554" s="37"/>
      <c r="J2554" s="37"/>
      <c r="K2554" s="37"/>
      <c r="L2554" s="37" t="s">
        <v>206</v>
      </c>
      <c r="M2554" s="37"/>
      <c r="N2554" s="5" t="s">
        <v>42</v>
      </c>
      <c r="O2554" s="5" t="s">
        <v>52</v>
      </c>
      <c r="P2554" s="10" t="s">
        <v>44</v>
      </c>
      <c r="Q2554" s="10" t="s">
        <v>44</v>
      </c>
      <c r="R2554" s="11" t="s">
        <v>44</v>
      </c>
      <c r="S2554" s="11" t="s">
        <v>44</v>
      </c>
      <c r="T2554" s="22"/>
      <c r="U2554" s="22"/>
      <c r="V2554" s="22"/>
      <c r="W2554" s="22"/>
      <c r="X2554" s="22"/>
      <c r="Y2554" s="22"/>
      <c r="Z2554" s="22"/>
      <c r="AA2554" s="22"/>
      <c r="AB2554" s="22"/>
      <c r="AC2554" s="22"/>
      <c r="AD2554" s="22"/>
      <c r="AE2554" s="22"/>
      <c r="AG2554" s="112"/>
      <c r="AH2554" s="112"/>
      <c r="AI2554" s="112"/>
      <c r="AJ2554" s="71"/>
      <c r="AK2554" s="71"/>
      <c r="AL2554" s="71"/>
      <c r="AM2554" s="71"/>
      <c r="AN2554" s="71"/>
      <c r="AO2554" s="71"/>
      <c r="AP2554" s="71"/>
      <c r="AQ2554" s="71"/>
      <c r="AR2554" s="71"/>
      <c r="AS2554" s="94"/>
      <c r="AT2554" s="95"/>
      <c r="AU2554" s="97"/>
      <c r="AW2554" s="84">
        <f t="shared" si="3204"/>
        <v>0</v>
      </c>
      <c r="AX2554" s="84">
        <f t="shared" si="3205"/>
        <v>0</v>
      </c>
      <c r="AY2554" s="84">
        <f t="shared" si="3206"/>
        <v>0</v>
      </c>
      <c r="AZ2554" s="84"/>
      <c r="BA2554" s="84"/>
      <c r="BB2554" s="84"/>
      <c r="BC2554" s="84"/>
      <c r="BD2554" s="84"/>
      <c r="BE2554" s="84"/>
      <c r="BF2554" s="84"/>
      <c r="BG2554" s="84"/>
      <c r="BH2554" s="84"/>
      <c r="BI2554" s="68" cm="1">
        <f t="array" ref="BI2554">IFERROR(INDEX(AW2554:BH2554,1,MATCH(2,1/(AW2554:BH2554&lt;&gt;""))),"")</f>
        <v>0</v>
      </c>
      <c r="BJ2554" s="68" cm="1">
        <f t="array" ref="BJ2554">IF(BM2554 = "", "",IFERROR(INDEX(AW2554:BH2554,1,MATCH(2,1/(AW2554:BH2554&lt;&gt;""),1)-1),""))</f>
        <v>0</v>
      </c>
      <c r="BK2554" s="57" cm="1">
        <f t="array" ref="BK2554">IFERROR(INDEX(AW2554:BH2554,1,MATCH(2,1/(AW2554:BH2554&lt;&gt;""),1)),"")</f>
        <v>0</v>
      </c>
      <c r="BL2554" s="57" cm="1">
        <f t="array" ref="BL2554">IF(BM2554 = "", "",IFERROR(INDEX(AW2554:BH2554,1,MATCH(2,1/(AW2554:BH2554&lt;&gt;""),1)-1),""))</f>
        <v>0</v>
      </c>
      <c r="BM2554" s="55" cm="1">
        <f t="array" ref="BM2554">IFERROR(
   INDEX($AW$1:$BH$1,
      _xlfn.AGGREGATE(14, 6, COLUMN($AW$1:$BH$1)/(AW2554:BH2554&lt;&gt;""), 2) - COLUMN($AW$1) + 1
   ),
"")</f>
        <v>46054</v>
      </c>
      <c r="BN2554" s="55" cm="1">
        <f t="array" ref="BN2554">IFERROR(INDEX($AW$1:$BH$1,1,MATCH(2,1/(AW2554:BH2554&lt;&gt;""))),"")</f>
        <v>46082</v>
      </c>
      <c r="BO2554" s="53">
        <f ca="1">IFERROR(_xlfn.XLOOKUP(F2554,Apuração!A:A,Apuração!C:C)/_xlfn.XLOOKUP(F2554,Apuração!A:A,Apuração!B:B),0)</f>
        <v>0</v>
      </c>
      <c r="BP2554" s="53">
        <f ca="1">IFERROR(_xlfn.XLOOKUP(F2554,Apuração!A:A,Apuração!D:D)/_xlfn.XLOOKUP(F2554,Apuração!A:A,Apuração!B:B),0)</f>
        <v>0</v>
      </c>
      <c r="BQ2554" s="53">
        <f ca="1">IF(BK2554&gt;=BO2554,0,_xlfn.XLOOKUP(F2554,Apuração!A:A,Apuração!B:B)*(BO2554 + (1/_xlfn.XLOOKUP(F2554,Apuração!A:A,Apuração!B:B)) - BK2554))</f>
        <v>0</v>
      </c>
      <c r="BR2554" s="85">
        <f t="shared" ca="1" si="3207"/>
        <v>0</v>
      </c>
      <c r="BS2554" s="53">
        <f ca="1">IFERROR((_xlfn.XLOOKUP(F2554,Apuração!A:A,Apuração!C:C)+1)/_xlfn.XLOOKUP(F2554,Apuração!A:A,Apuração!B:B),0)</f>
        <v>0.14285714285714285</v>
      </c>
    </row>
    <row r="2555" spans="1:71" ht="25.95" hidden="1" customHeight="1" x14ac:dyDescent="0.3">
      <c r="A2555" s="35" t="s">
        <v>44</v>
      </c>
      <c r="B2555" s="10" t="s">
        <v>44</v>
      </c>
      <c r="C2555" s="5" t="s">
        <v>221</v>
      </c>
      <c r="D2555" s="5" t="s">
        <v>36</v>
      </c>
      <c r="E2555" s="4" t="str" cm="1">
        <f t="array" ref="E2555">_xlfn.IFS(
F2555 = "A partir de Abril", "Aguardando Execução na Distribuidora",
A2555 = "CAPACITAÇÃO", "Em execução no Corporativo",
TRUE, "Em Execução na Distribuidora"
)</f>
        <v>Em Execução na Distribuidora</v>
      </c>
      <c r="F2555" s="4" t="str" cm="1">
        <f t="array" ref="F2555">_xlfn.IFS(
AG2555 &lt;&gt; "", "Jan-Dez/26",
AH2555 &lt;&gt; "", "Fev-Dez/26",
AI2555 &lt;&gt; "", "Mar-Dez/26", AJ2555 &lt;&gt; "", "Abr-Dez/26",
TRUE, "A partir de Junho"
)</f>
        <v>Jan-Dez/26</v>
      </c>
      <c r="G2555" s="10" t="s">
        <v>44</v>
      </c>
      <c r="H2555" s="36" t="s">
        <v>44</v>
      </c>
      <c r="I2555" s="37"/>
      <c r="J2555" s="37"/>
      <c r="K2555" s="37"/>
      <c r="L2555" s="37" t="s">
        <v>208</v>
      </c>
      <c r="M2555" s="37"/>
      <c r="N2555" s="5" t="s">
        <v>42</v>
      </c>
      <c r="O2555" s="5" t="s">
        <v>52</v>
      </c>
      <c r="P2555" s="10" t="s">
        <v>44</v>
      </c>
      <c r="Q2555" s="10" t="s">
        <v>44</v>
      </c>
      <c r="R2555" s="11" t="s">
        <v>44</v>
      </c>
      <c r="S2555" s="11" t="s">
        <v>44</v>
      </c>
      <c r="T2555" s="22"/>
      <c r="U2555" s="22"/>
      <c r="V2555" s="22"/>
      <c r="W2555" s="22"/>
      <c r="X2555" s="22"/>
      <c r="Y2555" s="22"/>
      <c r="Z2555" s="22"/>
      <c r="AA2555" s="22"/>
      <c r="AB2555" s="22"/>
      <c r="AC2555" s="22"/>
      <c r="AD2555" s="22"/>
      <c r="AE2555" s="22"/>
      <c r="AG2555" s="112">
        <v>411.11734741473572</v>
      </c>
      <c r="AH2555" s="112">
        <v>20.230921421999621</v>
      </c>
      <c r="AI2555" s="112">
        <v>192.39223102825628</v>
      </c>
      <c r="AJ2555" s="112">
        <v>156.63</v>
      </c>
      <c r="AK2555" s="112"/>
      <c r="AL2555" s="112"/>
      <c r="AM2555" s="112"/>
      <c r="AN2555" s="112"/>
      <c r="AO2555" s="112"/>
      <c r="AP2555" s="112"/>
      <c r="AQ2555" s="112"/>
      <c r="AR2555" s="112"/>
      <c r="AS2555" s="94"/>
      <c r="AT2555" s="95"/>
      <c r="AU2555" s="97"/>
      <c r="AW2555" s="84">
        <f t="shared" si="3199"/>
        <v>411.11734741473572</v>
      </c>
      <c r="AX2555" s="84">
        <f t="shared" si="3203"/>
        <v>20.230921421999621</v>
      </c>
      <c r="AY2555" s="84">
        <f t="shared" si="3203"/>
        <v>192.39223102825628</v>
      </c>
      <c r="AZ2555" s="84">
        <f t="shared" si="3203"/>
        <v>156.63</v>
      </c>
      <c r="BA2555" s="84"/>
      <c r="BB2555" s="84"/>
      <c r="BC2555" s="84"/>
      <c r="BD2555" s="84"/>
      <c r="BE2555" s="84"/>
      <c r="BF2555" s="84"/>
      <c r="BG2555" s="84"/>
      <c r="BH2555" s="84"/>
      <c r="BI2555" s="68" cm="1">
        <f t="array" ref="BI2555">IFERROR(INDEX(AW2555:BH2555,1,MATCH(2,1/(AW2555:BH2555&lt;&gt;""))),"")</f>
        <v>156.63</v>
      </c>
      <c r="BJ2555" s="68" cm="1">
        <f t="array" ref="BJ2555">IF(BM2555 = "", "",IFERROR(INDEX(AW2555:BH2555,1,MATCH(2,1/(AW2555:BH2555&lt;&gt;""),1)-1),""))</f>
        <v>192.39223102825628</v>
      </c>
      <c r="BK2555" s="57" cm="1">
        <f t="array" ref="BK2555">IFERROR(INDEX(AW2555:BH2555,1,MATCH(2,1/(AW2555:BH2555&lt;&gt;""),1)),"")</f>
        <v>156.63</v>
      </c>
      <c r="BL2555" s="57" cm="1">
        <f t="array" ref="BL2555">IF(BM2555 = "", "",IFERROR(INDEX(AW2555:BH2555,1,MATCH(2,1/(AW2555:BH2555&lt;&gt;""),1)-1),""))</f>
        <v>192.39223102825628</v>
      </c>
      <c r="BM2555" s="55" cm="1">
        <f t="array" ref="BM2555">IFERROR(
   INDEX($AW$1:$BH$1,
      _xlfn.AGGREGATE(14, 6, COLUMN($AW$1:$BH$1)/(AW2555:BH2555&lt;&gt;""), 2) - COLUMN($AW$1) + 1
   ),
"")</f>
        <v>46082</v>
      </c>
      <c r="BN2555" s="55" cm="1">
        <f t="array" ref="BN2555">IFERROR(INDEX($AW$1:$BH$1,1,MATCH(2,1/(AW2555:BH2555&lt;&gt;""))),"")</f>
        <v>46113</v>
      </c>
      <c r="BO2555" s="53">
        <f ca="1">IFERROR(_xlfn.XLOOKUP(F2555,Apuração!A:A,Apuração!C:C)/_xlfn.XLOOKUP(F2555,Apuração!A:A,Apuração!B:B),0)</f>
        <v>0.41666666666666669</v>
      </c>
      <c r="BP2555" s="53">
        <f ca="1">IFERROR(_xlfn.XLOOKUP(F2555,Apuração!A:A,Apuração!D:D)/_xlfn.XLOOKUP(F2555,Apuração!A:A,Apuração!B:B),0)</f>
        <v>0.33333333333333331</v>
      </c>
      <c r="BQ2555" s="53">
        <f ca="1">IF(BK2555&gt;=BO2555,0,_xlfn.XLOOKUP(F2555,Apuração!A:A,Apuração!B:B)*(BO2555 + (1/_xlfn.XLOOKUP(F2555,Apuração!A:A,Apuração!B:B)) - BK2555))</f>
        <v>0</v>
      </c>
      <c r="BR2555" s="85">
        <f t="shared" ca="1" si="2957"/>
        <v>0</v>
      </c>
      <c r="BS2555" s="53">
        <f ca="1">IFERROR((_xlfn.XLOOKUP(F2555,Apuração!A:A,Apuração!C:C)+1)/_xlfn.XLOOKUP(F2555,Apuração!A:A,Apuração!B:B),0)</f>
        <v>0.5</v>
      </c>
    </row>
    <row r="2556" spans="1:71" ht="25.95" hidden="1" customHeight="1" x14ac:dyDescent="0.3">
      <c r="A2556" s="72" t="s">
        <v>44</v>
      </c>
      <c r="B2556" s="73" t="s">
        <v>44</v>
      </c>
      <c r="C2556" s="74" t="s">
        <v>239</v>
      </c>
      <c r="D2556" s="74" t="s">
        <v>36</v>
      </c>
      <c r="E2556" s="4" t="str" cm="1">
        <f t="array" ref="E2556">_xlfn.IFS(
F2556 = "A partir de Abril", "Aguardando Execução na Distribuidora",
A2556 = "CAPACITAÇÃO", "Em execução no Corporativo",
TRUE, "Em Execução na Distribuidora"
)</f>
        <v>Em Execução na Distribuidora</v>
      </c>
      <c r="F2556" s="4" t="str" cm="1">
        <f t="array" ref="F2556">_xlfn.IFS(
AG2556 &lt;&gt; "", "Jan-Dez/26",
AH2556 &lt;&gt; "", "Fev-Dez/26",
AI2556 &lt;&gt; "", "Mar-Dez/26", AJ2556 &lt;&gt; "", "Abr-Dez/26",
TRUE, "A partir de Junho"
)</f>
        <v>Jan-Dez/26</v>
      </c>
      <c r="G2556" s="75" t="s">
        <v>37</v>
      </c>
      <c r="H2556" s="76" t="s">
        <v>44</v>
      </c>
      <c r="I2556" s="77"/>
      <c r="J2556" s="77"/>
      <c r="K2556" s="77"/>
      <c r="L2556" s="37" t="s">
        <v>200</v>
      </c>
      <c r="M2556" s="78"/>
      <c r="N2556" s="74" t="s">
        <v>42</v>
      </c>
      <c r="O2556" s="74" t="s">
        <v>52</v>
      </c>
      <c r="P2556" s="75" t="s">
        <v>44</v>
      </c>
      <c r="Q2556" s="75" t="s">
        <v>44</v>
      </c>
      <c r="R2556" s="79" t="s">
        <v>44</v>
      </c>
      <c r="S2556" s="79" t="s">
        <v>44</v>
      </c>
      <c r="T2556" s="22"/>
      <c r="U2556" s="22"/>
      <c r="V2556" s="22"/>
      <c r="W2556" s="22"/>
      <c r="X2556" s="22"/>
      <c r="Y2556" s="22"/>
      <c r="Z2556" s="22"/>
      <c r="AA2556" s="22"/>
      <c r="AB2556" s="22"/>
      <c r="AC2556" s="22"/>
      <c r="AD2556" s="22"/>
      <c r="AE2556" s="22"/>
      <c r="AG2556" s="112">
        <v>0.57999999999999996</v>
      </c>
      <c r="AH2556" s="112">
        <v>1.1299999999999999</v>
      </c>
      <c r="AI2556" s="112">
        <v>0.95</v>
      </c>
      <c r="AJ2556" s="112">
        <v>1.97</v>
      </c>
      <c r="AK2556" s="112"/>
      <c r="AL2556" s="112"/>
      <c r="AM2556" s="112"/>
      <c r="AN2556" s="112"/>
      <c r="AO2556" s="112"/>
      <c r="AP2556" s="112"/>
      <c r="AQ2556" s="112"/>
      <c r="AR2556" s="112"/>
      <c r="AS2556" s="113" t="str" cm="1">
        <f t="array" ref="AS2556">IFERROR(INDEX(T2556:AE2556,1,MATCH(2,1/(T2556:AE2556&lt;&gt;""))),"")</f>
        <v/>
      </c>
      <c r="AT2556" s="114" cm="1">
        <f t="array" ref="AT2556">IFERROR(INDEX(AG2556:AR2556,1,MATCH(2,1/(AG2556:AR2556&lt;&gt;""))),"")</f>
        <v>1.97</v>
      </c>
      <c r="AU2556" s="97">
        <f>AT2556</f>
        <v>1.97</v>
      </c>
      <c r="AW2556" s="84">
        <f t="shared" si="3199"/>
        <v>0.57999999999999996</v>
      </c>
      <c r="AX2556" s="84">
        <f t="shared" si="3203"/>
        <v>1.1299999999999999</v>
      </c>
      <c r="AY2556" s="84">
        <f t="shared" si="3203"/>
        <v>0.95</v>
      </c>
      <c r="AZ2556" s="84">
        <f>AJ2556</f>
        <v>1.97</v>
      </c>
      <c r="BA2556" s="84"/>
      <c r="BB2556" s="84"/>
      <c r="BC2556" s="84"/>
      <c r="BD2556" s="84"/>
      <c r="BE2556" s="84"/>
      <c r="BF2556" s="84"/>
      <c r="BG2556" s="84"/>
      <c r="BH2556" s="84"/>
      <c r="BI2556" s="68" cm="1">
        <f t="array" ref="BI2556">IFERROR(INDEX(AW2556:BH2556,1,MATCH(2,1/(AW2556:BH2556&lt;&gt;""))),"")</f>
        <v>1.97</v>
      </c>
      <c r="BJ2556" s="68" cm="1">
        <f t="array" ref="BJ2556">IF(BM2556 = "", "",IFERROR(INDEX(AW2556:BH2556,1,MATCH(2,1/(AW2556:BH2556&lt;&gt;""),1)-1),""))</f>
        <v>0.95</v>
      </c>
      <c r="BK2556" s="57" cm="1">
        <f t="array" ref="BK2556">IFERROR(INDEX(AW2556:BH2556,1,MATCH(2,1/(AW2556:BH2556&lt;&gt;""),1)),"")</f>
        <v>1.97</v>
      </c>
      <c r="BL2556" s="57" cm="1">
        <f t="array" ref="BL2556">IF(BM2556 = "", "",IFERROR(INDEX(AW2556:BH2556,1,MATCH(2,1/(AW2556:BH2556&lt;&gt;""),1)-1),""))</f>
        <v>0.95</v>
      </c>
      <c r="BM2556" s="55" cm="1">
        <f t="array" ref="BM2556">IFERROR(
   INDEX($AW$1:$BH$1,
      _xlfn.AGGREGATE(14, 6, COLUMN($AW$1:$BH$1)/(AW2556:BH2556&lt;&gt;""), 2) - COLUMN($AW$1) + 1
   ),
"")</f>
        <v>46082</v>
      </c>
      <c r="BN2556" s="55" cm="1">
        <f t="array" ref="BN2556">IFERROR(INDEX($AW$1:$BH$1,1,MATCH(2,1/(AW2556:BH2556&lt;&gt;""))),"")</f>
        <v>46113</v>
      </c>
      <c r="BO2556" s="53">
        <f ca="1">IFERROR(_xlfn.XLOOKUP(F2556,Apuração!A:A,Apuração!C:C)/_xlfn.XLOOKUP(F2556,Apuração!A:A,Apuração!B:B),0)</f>
        <v>0.41666666666666669</v>
      </c>
      <c r="BP2556" s="53">
        <f ca="1">IFERROR(_xlfn.XLOOKUP(F2556,Apuração!A:A,Apuração!D:D)/_xlfn.XLOOKUP(F2556,Apuração!A:A,Apuração!B:B),0)</f>
        <v>0.33333333333333331</v>
      </c>
      <c r="BQ2556" s="53">
        <f ca="1">IF(BK2556&gt;=BO2556,0,_xlfn.XLOOKUP(F2556,Apuração!A:A,Apuração!B:B)*(BO2556 + (1/_xlfn.XLOOKUP(F2556,Apuração!A:A,Apuração!B:B)) - BK2556))</f>
        <v>0</v>
      </c>
      <c r="BR2556" s="85">
        <f t="shared" ca="1" si="2957"/>
        <v>0</v>
      </c>
      <c r="BS2556" s="53">
        <f ca="1">IFERROR((_xlfn.XLOOKUP(F2556,Apuração!A:A,Apuração!C:C)+1)/_xlfn.XLOOKUP(F2556,Apuração!A:A,Apuração!B:B),0)</f>
        <v>0.5</v>
      </c>
    </row>
    <row r="2557" spans="1:71" ht="25.95" hidden="1" customHeight="1" x14ac:dyDescent="0.3">
      <c r="A2557" s="72" t="s">
        <v>44</v>
      </c>
      <c r="B2557" s="73" t="s">
        <v>44</v>
      </c>
      <c r="C2557" s="74" t="s">
        <v>239</v>
      </c>
      <c r="D2557" s="74" t="s">
        <v>36</v>
      </c>
      <c r="E2557" s="4" t="str" cm="1">
        <f t="array" ref="E2557">_xlfn.IFS(
F2557 = "A partir de Abril", "Aguardando Execução na Distribuidora",
A2557 = "CAPACITAÇÃO", "Em execução no Corporativo",
TRUE, "Em Execução na Distribuidora"
)</f>
        <v>Em Execução na Distribuidora</v>
      </c>
      <c r="F2557" s="4" t="str" cm="1">
        <f t="array" ref="F2557">_xlfn.IFS(
AG2557 &lt;&gt; "", "Jan-Dez/26",
AH2557 &lt;&gt; "", "Fev-Dez/26",
AI2557 &lt;&gt; "", "Mar-Dez/26", AJ2557 &lt;&gt; "", "Abr-Dez/26",
TRUE, "A partir de Junho"
)</f>
        <v>Jan-Dez/26</v>
      </c>
      <c r="G2557" s="75" t="s">
        <v>37</v>
      </c>
      <c r="H2557" s="76" t="s">
        <v>44</v>
      </c>
      <c r="I2557" s="77"/>
      <c r="J2557" s="77"/>
      <c r="K2557" s="77"/>
      <c r="L2557" s="37" t="s">
        <v>201</v>
      </c>
      <c r="M2557" s="78"/>
      <c r="N2557" s="74" t="s">
        <v>42</v>
      </c>
      <c r="O2557" s="74" t="s">
        <v>52</v>
      </c>
      <c r="P2557" s="75" t="s">
        <v>44</v>
      </c>
      <c r="Q2557" s="75" t="s">
        <v>44</v>
      </c>
      <c r="R2557" s="79" t="s">
        <v>44</v>
      </c>
      <c r="S2557" s="79" t="s">
        <v>44</v>
      </c>
      <c r="T2557" s="22"/>
      <c r="U2557" s="22"/>
      <c r="V2557" s="22"/>
      <c r="W2557" s="22"/>
      <c r="X2557" s="22"/>
      <c r="Y2557" s="22"/>
      <c r="Z2557" s="22"/>
      <c r="AA2557" s="22"/>
      <c r="AB2557" s="22"/>
      <c r="AC2557" s="22"/>
      <c r="AD2557" s="22"/>
      <c r="AE2557" s="22"/>
      <c r="AG2557" s="112">
        <v>8.16</v>
      </c>
      <c r="AH2557" s="112">
        <v>9.07</v>
      </c>
      <c r="AI2557" s="112">
        <v>8</v>
      </c>
      <c r="AJ2557" s="112">
        <v>14.19</v>
      </c>
      <c r="AK2557" s="112"/>
      <c r="AL2557" s="112"/>
      <c r="AM2557" s="112"/>
      <c r="AN2557" s="112"/>
      <c r="AO2557" s="112"/>
      <c r="AP2557" s="112"/>
      <c r="AQ2557" s="112"/>
      <c r="AR2557" s="112"/>
      <c r="AS2557" s="113" t="str" cm="1">
        <f t="array" ref="AS2557">IFERROR(INDEX(T2557:AE2557,1,MATCH(2,1/(T2557:AE2557&lt;&gt;""))),"")</f>
        <v/>
      </c>
      <c r="AT2557" s="114" cm="1">
        <f t="array" ref="AT2557">IFERROR(INDEX(AG2557:AR2557,1,MATCH(2,1/(AG2557:AR2557&lt;&gt;""))),"")</f>
        <v>14.19</v>
      </c>
      <c r="AU2557" s="97">
        <f>AT2557</f>
        <v>14.19</v>
      </c>
      <c r="AW2557" s="84">
        <f t="shared" si="3199"/>
        <v>8.16</v>
      </c>
      <c r="AX2557" s="84">
        <f t="shared" si="3203"/>
        <v>9.07</v>
      </c>
      <c r="AY2557" s="84">
        <f t="shared" si="3203"/>
        <v>8</v>
      </c>
      <c r="AZ2557" s="84">
        <f>AJ2557</f>
        <v>14.19</v>
      </c>
      <c r="BA2557" s="84"/>
      <c r="BB2557" s="84"/>
      <c r="BC2557" s="84"/>
      <c r="BD2557" s="84"/>
      <c r="BE2557" s="84"/>
      <c r="BF2557" s="84"/>
      <c r="BG2557" s="84"/>
      <c r="BH2557" s="84"/>
      <c r="BI2557" s="68" cm="1">
        <f t="array" ref="BI2557">IFERROR(INDEX(AW2557:BH2557,1,MATCH(2,1/(AW2557:BH2557&lt;&gt;""))),"")</f>
        <v>14.19</v>
      </c>
      <c r="BJ2557" s="68" cm="1">
        <f t="array" ref="BJ2557">IF(BM2557 = "", "",IFERROR(INDEX(AW2557:BH2557,1,MATCH(2,1/(AW2557:BH2557&lt;&gt;""),1)-1),""))</f>
        <v>8</v>
      </c>
      <c r="BK2557" s="57" cm="1">
        <f t="array" ref="BK2557">IFERROR(INDEX(AW2557:BH2557,1,MATCH(2,1/(AW2557:BH2557&lt;&gt;""),1)),"")</f>
        <v>14.19</v>
      </c>
      <c r="BL2557" s="57" cm="1">
        <f t="array" ref="BL2557">IF(BM2557 = "", "",IFERROR(INDEX(AW2557:BH2557,1,MATCH(2,1/(AW2557:BH2557&lt;&gt;""),1)-1),""))</f>
        <v>8</v>
      </c>
      <c r="BM2557" s="55" cm="1">
        <f t="array" ref="BM2557">IFERROR(
   INDEX($AW$1:$BH$1,
      _xlfn.AGGREGATE(14, 6, COLUMN($AW$1:$BH$1)/(AW2557:BH2557&lt;&gt;""), 2) - COLUMN($AW$1) + 1
   ),
"")</f>
        <v>46082</v>
      </c>
      <c r="BN2557" s="55" cm="1">
        <f t="array" ref="BN2557">IFERROR(INDEX($AW$1:$BH$1,1,MATCH(2,1/(AW2557:BH2557&lt;&gt;""))),"")</f>
        <v>46113</v>
      </c>
      <c r="BO2557" s="53">
        <f ca="1">IFERROR(_xlfn.XLOOKUP(F2557,Apuração!A:A,Apuração!C:C)/_xlfn.XLOOKUP(F2557,Apuração!A:A,Apuração!B:B),0)</f>
        <v>0.41666666666666669</v>
      </c>
      <c r="BP2557" s="53">
        <f ca="1">IFERROR(_xlfn.XLOOKUP(F2557,Apuração!A:A,Apuração!D:D)/_xlfn.XLOOKUP(F2557,Apuração!A:A,Apuração!B:B),0)</f>
        <v>0.33333333333333331</v>
      </c>
      <c r="BQ2557" s="53">
        <f ca="1">IF(BK2557&gt;=BO2557,0,_xlfn.XLOOKUP(F2557,Apuração!A:A,Apuração!B:B)*(BO2557 + (1/_xlfn.XLOOKUP(F2557,Apuração!A:A,Apuração!B:B)) - BK2557))</f>
        <v>0</v>
      </c>
      <c r="BR2557" s="85">
        <f t="shared" ca="1" si="2957"/>
        <v>0</v>
      </c>
      <c r="BS2557" s="53">
        <f ca="1">IFERROR((_xlfn.XLOOKUP(F2557,Apuração!A:A,Apuração!C:C)+1)/_xlfn.XLOOKUP(F2557,Apuração!A:A,Apuração!B:B),0)</f>
        <v>0.5</v>
      </c>
    </row>
    <row r="2558" spans="1:71" ht="25.95" hidden="1" customHeight="1" x14ac:dyDescent="0.3">
      <c r="A2558" s="35" t="s">
        <v>44</v>
      </c>
      <c r="B2558" s="10" t="s">
        <v>44</v>
      </c>
      <c r="C2558" s="5" t="s">
        <v>35</v>
      </c>
      <c r="D2558" s="5" t="s">
        <v>47</v>
      </c>
      <c r="E2558" s="4" t="str" cm="1">
        <f t="array" ref="E2558">_xlfn.IFS(
F2558 = "A partir de Abril", "Aguardando Execução na Distribuidora",
A2558 = "CAPACITAÇÃO", "Em execução no Corporativo",
TRUE, "Em Execução na Distribuidora"
)</f>
        <v>Em Execução na Distribuidora</v>
      </c>
      <c r="F2558" s="4" t="str" cm="1">
        <f t="array" ref="F2558">_xlfn.IFS(
AG2558 &lt;&gt; "", "Jan-Dez/26",
AH2558 &lt;&gt; "", "Fev-Dez/26",
AI2558 &lt;&gt; "", "Mar-Dez/26", AJ2558 &lt;&gt; "", "Abr-Dez/26",
TRUE, "A partir de Junho"
)</f>
        <v>Jan-Dez/26</v>
      </c>
      <c r="G2558" s="10" t="s">
        <v>44</v>
      </c>
      <c r="H2558" s="36" t="s">
        <v>44</v>
      </c>
      <c r="I2558" s="37"/>
      <c r="J2558" s="37"/>
      <c r="K2558" s="37"/>
      <c r="L2558" s="37" t="s">
        <v>208</v>
      </c>
      <c r="M2558" s="37"/>
      <c r="N2558" s="5" t="s">
        <v>42</v>
      </c>
      <c r="O2558" s="5" t="s">
        <v>52</v>
      </c>
      <c r="P2558" s="10" t="s">
        <v>44</v>
      </c>
      <c r="Q2558" s="10" t="s">
        <v>44</v>
      </c>
      <c r="R2558" s="11" t="s">
        <v>44</v>
      </c>
      <c r="S2558" s="11" t="s">
        <v>44</v>
      </c>
      <c r="T2558" s="22"/>
      <c r="U2558" s="22"/>
      <c r="V2558" s="22"/>
      <c r="W2558" s="22"/>
      <c r="X2558" s="22"/>
      <c r="Y2558" s="22"/>
      <c r="Z2558" s="22"/>
      <c r="AA2558" s="22"/>
      <c r="AB2558" s="22"/>
      <c r="AC2558" s="22"/>
      <c r="AD2558" s="22"/>
      <c r="AE2558" s="22"/>
      <c r="AG2558" s="112">
        <v>152.26664301851599</v>
      </c>
      <c r="AH2558" s="112">
        <v>127.61032041917332</v>
      </c>
      <c r="AI2558" s="112">
        <v>115.00964653027805</v>
      </c>
      <c r="AJ2558" s="71"/>
      <c r="AK2558" s="71"/>
      <c r="AL2558" s="71"/>
      <c r="AM2558" s="71"/>
      <c r="AN2558" s="71"/>
      <c r="AO2558" s="71"/>
      <c r="AP2558" s="71"/>
      <c r="AQ2558" s="71"/>
      <c r="AR2558" s="71"/>
      <c r="AS2558" s="94"/>
      <c r="AT2558" s="95"/>
      <c r="AU2558" s="97"/>
      <c r="AW2558" s="84">
        <f t="shared" si="3199"/>
        <v>152.26664301851599</v>
      </c>
      <c r="AX2558" s="84">
        <f t="shared" si="3203"/>
        <v>127.61032041917332</v>
      </c>
      <c r="AY2558" s="84">
        <f t="shared" si="3203"/>
        <v>115.00964653027805</v>
      </c>
      <c r="AZ2558" s="84"/>
      <c r="BA2558" s="84"/>
      <c r="BB2558" s="84"/>
      <c r="BC2558" s="84"/>
      <c r="BD2558" s="84"/>
      <c r="BE2558" s="84"/>
      <c r="BF2558" s="84"/>
      <c r="BG2558" s="84"/>
      <c r="BH2558" s="84"/>
      <c r="BI2558" s="68" cm="1">
        <f t="array" ref="BI2558">IFERROR(INDEX(AW2558:BH2558,1,MATCH(2,1/(AW2558:BH2558&lt;&gt;""))),"")</f>
        <v>115.00964653027805</v>
      </c>
      <c r="BJ2558" s="68" cm="1">
        <f t="array" ref="BJ2558">IF(BM2558 = "", "",IFERROR(INDEX(AW2558:BH2558,1,MATCH(2,1/(AW2558:BH2558&lt;&gt;""),1)-1),""))</f>
        <v>127.61032041917332</v>
      </c>
      <c r="BK2558" s="57" cm="1">
        <f t="array" ref="BK2558">IFERROR(INDEX(AW2558:BH2558,1,MATCH(2,1/(AW2558:BH2558&lt;&gt;""),1)),"")</f>
        <v>115.00964653027805</v>
      </c>
      <c r="BL2558" s="57" cm="1">
        <f t="array" ref="BL2558">IF(BM2558 = "", "",IFERROR(INDEX(AW2558:BH2558,1,MATCH(2,1/(AW2558:BH2558&lt;&gt;""),1)-1),""))</f>
        <v>127.61032041917332</v>
      </c>
      <c r="BM2558" s="55" cm="1">
        <f t="array" ref="BM2558">IFERROR(
   INDEX($AW$1:$BH$1,
      _xlfn.AGGREGATE(14, 6, COLUMN($AW$1:$BH$1)/(AW2558:BH2558&lt;&gt;""), 2) - COLUMN($AW$1) + 1
   ),
"")</f>
        <v>46054</v>
      </c>
      <c r="BN2558" s="55" cm="1">
        <f t="array" ref="BN2558">IFERROR(INDEX($AW$1:$BH$1,1,MATCH(2,1/(AW2558:BH2558&lt;&gt;""))),"")</f>
        <v>46082</v>
      </c>
      <c r="BO2558" s="53">
        <f ca="1">IFERROR(_xlfn.XLOOKUP(F2558,Apuração!A:A,Apuração!C:C)/_xlfn.XLOOKUP(F2558,Apuração!A:A,Apuração!B:B),0)</f>
        <v>0.41666666666666669</v>
      </c>
      <c r="BP2558" s="53">
        <f ca="1">IFERROR(_xlfn.XLOOKUP(F2558,Apuração!A:A,Apuração!D:D)/_xlfn.XLOOKUP(F2558,Apuração!A:A,Apuração!B:B),0)</f>
        <v>0.33333333333333331</v>
      </c>
      <c r="BQ2558" s="53">
        <f ca="1">IF(BK2558&gt;=BO2558,0,_xlfn.XLOOKUP(F2558,Apuração!A:A,Apuração!B:B)*(BO2558 + (1/_xlfn.XLOOKUP(F2558,Apuração!A:A,Apuração!B:B)) - BK2558))</f>
        <v>0</v>
      </c>
      <c r="BR2558" s="85">
        <f t="shared" ca="1" si="2957"/>
        <v>0</v>
      </c>
      <c r="BS2558" s="53">
        <f ca="1">IFERROR((_xlfn.XLOOKUP(F2558,Apuração!A:A,Apuração!C:C)+1)/_xlfn.XLOOKUP(F2558,Apuração!A:A,Apuração!B:B),0)</f>
        <v>0.5</v>
      </c>
    </row>
    <row r="2559" spans="1:71" ht="25.95" hidden="1" customHeight="1" x14ac:dyDescent="0.3">
      <c r="A2559" s="35" t="s">
        <v>44</v>
      </c>
      <c r="B2559" s="10" t="s">
        <v>44</v>
      </c>
      <c r="C2559" s="5" t="s">
        <v>35</v>
      </c>
      <c r="D2559" s="5" t="s">
        <v>48</v>
      </c>
      <c r="E2559" s="4" t="str" cm="1">
        <f t="array" ref="E2559">_xlfn.IFS(
F2559 = "A partir de Abril", "Aguardando Execução na Distribuidora",
A2559 = "CAPACITAÇÃO", "Em execução no Corporativo",
TRUE, "Em Execução na Distribuidora"
)</f>
        <v>Em Execução na Distribuidora</v>
      </c>
      <c r="F2559" s="4" t="str" cm="1">
        <f t="array" ref="F2559">_xlfn.IFS(
AG2559 &lt;&gt; "", "Jan-Dez/26",
AH2559 &lt;&gt; "", "Fev-Dez/26",
AI2559 &lt;&gt; "", "Mar-Dez/26", AJ2559 &lt;&gt; "", "Abr-Dez/26",
TRUE, "A partir de Junho"
)</f>
        <v>Jan-Dez/26</v>
      </c>
      <c r="G2559" s="10" t="s">
        <v>44</v>
      </c>
      <c r="H2559" s="36" t="s">
        <v>44</v>
      </c>
      <c r="I2559" s="37"/>
      <c r="J2559" s="37"/>
      <c r="K2559" s="37"/>
      <c r="L2559" s="37" t="s">
        <v>208</v>
      </c>
      <c r="M2559" s="37"/>
      <c r="N2559" s="5" t="s">
        <v>42</v>
      </c>
      <c r="O2559" s="5" t="s">
        <v>52</v>
      </c>
      <c r="P2559" s="10" t="s">
        <v>44</v>
      </c>
      <c r="Q2559" s="10" t="s">
        <v>44</v>
      </c>
      <c r="R2559" s="11" t="s">
        <v>44</v>
      </c>
      <c r="S2559" s="11" t="s">
        <v>44</v>
      </c>
      <c r="T2559" s="22"/>
      <c r="U2559" s="22"/>
      <c r="V2559" s="22"/>
      <c r="W2559" s="22"/>
      <c r="X2559" s="22"/>
      <c r="Y2559" s="22"/>
      <c r="Z2559" s="22"/>
      <c r="AA2559" s="22"/>
      <c r="AB2559" s="22"/>
      <c r="AC2559" s="22"/>
      <c r="AD2559" s="22"/>
      <c r="AE2559" s="22"/>
      <c r="AG2559" s="112">
        <v>152.26664301851599</v>
      </c>
      <c r="AH2559" s="112">
        <v>127.61032041917332</v>
      </c>
      <c r="AI2559" s="112">
        <v>115.00964653027805</v>
      </c>
      <c r="AJ2559" s="71"/>
      <c r="AK2559" s="71"/>
      <c r="AL2559" s="71"/>
      <c r="AM2559" s="71"/>
      <c r="AN2559" s="71"/>
      <c r="AO2559" s="71"/>
      <c r="AP2559" s="71"/>
      <c r="AQ2559" s="71"/>
      <c r="AR2559" s="71"/>
      <c r="AS2559" s="94"/>
      <c r="AT2559" s="95"/>
      <c r="AU2559" s="97"/>
      <c r="AW2559" s="84">
        <f t="shared" si="3199"/>
        <v>152.26664301851599</v>
      </c>
      <c r="AX2559" s="84">
        <f t="shared" si="3203"/>
        <v>127.61032041917332</v>
      </c>
      <c r="AY2559" s="84">
        <f t="shared" si="3203"/>
        <v>115.00964653027805</v>
      </c>
      <c r="AZ2559" s="84"/>
      <c r="BA2559" s="84"/>
      <c r="BB2559" s="84"/>
      <c r="BC2559" s="84"/>
      <c r="BD2559" s="84"/>
      <c r="BE2559" s="84"/>
      <c r="BF2559" s="84"/>
      <c r="BG2559" s="84"/>
      <c r="BH2559" s="84"/>
      <c r="BI2559" s="68" cm="1">
        <f t="array" ref="BI2559">IFERROR(INDEX(AW2559:BH2559,1,MATCH(2,1/(AW2559:BH2559&lt;&gt;""))),"")</f>
        <v>115.00964653027805</v>
      </c>
      <c r="BJ2559" s="68" cm="1">
        <f t="array" ref="BJ2559">IF(BM2559 = "", "",IFERROR(INDEX(AW2559:BH2559,1,MATCH(2,1/(AW2559:BH2559&lt;&gt;""),1)-1),""))</f>
        <v>127.61032041917332</v>
      </c>
      <c r="BK2559" s="57" cm="1">
        <f t="array" ref="BK2559">IFERROR(INDEX(AW2559:BH2559,1,MATCH(2,1/(AW2559:BH2559&lt;&gt;""),1)),"")</f>
        <v>115.00964653027805</v>
      </c>
      <c r="BL2559" s="57" cm="1">
        <f t="array" ref="BL2559">IF(BM2559 = "", "",IFERROR(INDEX(AW2559:BH2559,1,MATCH(2,1/(AW2559:BH2559&lt;&gt;""),1)-1),""))</f>
        <v>127.61032041917332</v>
      </c>
      <c r="BM2559" s="55" cm="1">
        <f t="array" ref="BM2559">IFERROR(
   INDEX($AW$1:$BH$1,
      _xlfn.AGGREGATE(14, 6, COLUMN($AW$1:$BH$1)/(AW2559:BH2559&lt;&gt;""), 2) - COLUMN($AW$1) + 1
   ),
"")</f>
        <v>46054</v>
      </c>
      <c r="BN2559" s="55" cm="1">
        <f t="array" ref="BN2559">IFERROR(INDEX($AW$1:$BH$1,1,MATCH(2,1/(AW2559:BH2559&lt;&gt;""))),"")</f>
        <v>46082</v>
      </c>
      <c r="BO2559" s="53">
        <f ca="1">IFERROR(_xlfn.XLOOKUP(F2559,Apuração!A:A,Apuração!C:C)/_xlfn.XLOOKUP(F2559,Apuração!A:A,Apuração!B:B),0)</f>
        <v>0.41666666666666669</v>
      </c>
      <c r="BP2559" s="53">
        <f ca="1">IFERROR(_xlfn.XLOOKUP(F2559,Apuração!A:A,Apuração!D:D)/_xlfn.XLOOKUP(F2559,Apuração!A:A,Apuração!B:B),0)</f>
        <v>0.33333333333333331</v>
      </c>
      <c r="BQ2559" s="53">
        <f ca="1">IF(BK2559&gt;=BO2559,0,_xlfn.XLOOKUP(F2559,Apuração!A:A,Apuração!B:B)*(BO2559 + (1/_xlfn.XLOOKUP(F2559,Apuração!A:A,Apuração!B:B)) - BK2559))</f>
        <v>0</v>
      </c>
      <c r="BR2559" s="85">
        <f t="shared" ca="1" si="2957"/>
        <v>0</v>
      </c>
      <c r="BS2559" s="53">
        <f ca="1">IFERROR((_xlfn.XLOOKUP(F2559,Apuração!A:A,Apuração!C:C)+1)/_xlfn.XLOOKUP(F2559,Apuração!A:A,Apuração!B:B),0)</f>
        <v>0.5</v>
      </c>
    </row>
    <row r="2560" spans="1:71" ht="25.95" hidden="1" customHeight="1" x14ac:dyDescent="0.3">
      <c r="A2560" s="72" t="s">
        <v>44</v>
      </c>
      <c r="B2560" s="73" t="s">
        <v>44</v>
      </c>
      <c r="C2560" s="74" t="s">
        <v>35</v>
      </c>
      <c r="D2560" s="5" t="s">
        <v>36</v>
      </c>
      <c r="E2560" s="4" t="str" cm="1">
        <f t="array" ref="E2560">_xlfn.IFS(
F2560 = "A partir de Abril", "Aguardando Execução na Distribuidora",
A2560 = "CAPACITAÇÃO", "Em execução no Corporativo",
TRUE, "Em Execução na Distribuidora"
)</f>
        <v>Em Execução na Distribuidora</v>
      </c>
      <c r="F2560" s="4" t="str" cm="1">
        <f t="array" ref="F2560">_xlfn.IFS(
AG2560 &lt;&gt; "", "Jan-Dez/26",
AH2560 &lt;&gt; "", "Fev-Dez/26",
AI2560 &lt;&gt; "", "Mar-Dez/26", AJ2560 &lt;&gt; "", "Abr-Dez/26",
TRUE, "A partir de Junho"
)</f>
        <v>Jan-Dez/26</v>
      </c>
      <c r="G2560" s="75" t="s">
        <v>44</v>
      </c>
      <c r="H2560" s="76" t="s">
        <v>44</v>
      </c>
      <c r="I2560" s="77"/>
      <c r="J2560" s="77"/>
      <c r="K2560" s="77"/>
      <c r="L2560" s="77" t="s">
        <v>228</v>
      </c>
      <c r="M2560" s="78"/>
      <c r="N2560" s="74" t="s">
        <v>42</v>
      </c>
      <c r="O2560" s="74" t="s">
        <v>52</v>
      </c>
      <c r="P2560" s="75" t="s">
        <v>44</v>
      </c>
      <c r="Q2560" s="75" t="s">
        <v>44</v>
      </c>
      <c r="R2560" s="79" t="s">
        <v>44</v>
      </c>
      <c r="S2560" s="79" t="s">
        <v>44</v>
      </c>
      <c r="T2560" s="22"/>
      <c r="U2560" s="22"/>
      <c r="V2560" s="22"/>
      <c r="W2560" s="22"/>
      <c r="X2560" s="22"/>
      <c r="Y2560" s="22"/>
      <c r="Z2560" s="22"/>
      <c r="AA2560" s="22"/>
      <c r="AB2560" s="22"/>
      <c r="AC2560" s="22"/>
      <c r="AD2560" s="22"/>
      <c r="AE2560" s="22"/>
      <c r="AG2560" s="112">
        <v>5.9018078689347284</v>
      </c>
      <c r="AH2560" s="112">
        <v>2.4077418947013833</v>
      </c>
      <c r="AI2560" s="112">
        <v>4.0073047571525446</v>
      </c>
      <c r="AJ2560" s="112">
        <v>4.16</v>
      </c>
      <c r="AK2560" s="112"/>
      <c r="AL2560" s="112"/>
      <c r="AM2560" s="112"/>
      <c r="AN2560" s="112"/>
      <c r="AO2560" s="112"/>
      <c r="AP2560" s="112"/>
      <c r="AQ2560" s="112"/>
      <c r="AR2560" s="112"/>
      <c r="AS2560" s="94"/>
      <c r="AT2560" s="95"/>
      <c r="AU2560" s="97"/>
      <c r="AW2560" s="84">
        <f t="shared" si="3199"/>
        <v>5.9018078689347284</v>
      </c>
      <c r="AX2560" s="84">
        <f t="shared" si="3203"/>
        <v>2.4077418947013833</v>
      </c>
      <c r="AY2560" s="84">
        <f t="shared" si="3203"/>
        <v>4.0073047571525446</v>
      </c>
      <c r="AZ2560" s="84">
        <f t="shared" si="3203"/>
        <v>4.16</v>
      </c>
      <c r="BA2560" s="84"/>
      <c r="BB2560" s="84"/>
      <c r="BC2560" s="84"/>
      <c r="BD2560" s="84"/>
      <c r="BE2560" s="84"/>
      <c r="BF2560" s="84"/>
      <c r="BG2560" s="84"/>
      <c r="BH2560" s="84"/>
      <c r="BI2560" s="68" cm="1">
        <f t="array" ref="BI2560">IFERROR(INDEX(AW2560:BH2560,1,MATCH(2,1/(AW2560:BH2560&lt;&gt;""))),"")</f>
        <v>4.16</v>
      </c>
      <c r="BJ2560" s="68" cm="1">
        <f t="array" ref="BJ2560">IF(BM2560 = "", "",IFERROR(INDEX(AW2560:BH2560,1,MATCH(2,1/(AW2560:BH2560&lt;&gt;""),1)-1),""))</f>
        <v>4.0073047571525446</v>
      </c>
      <c r="BK2560" s="57" cm="1">
        <f t="array" ref="BK2560">IFERROR(INDEX(AW2560:BH2560,1,MATCH(2,1/(AW2560:BH2560&lt;&gt;""),1)),"")</f>
        <v>4.16</v>
      </c>
      <c r="BL2560" s="57" cm="1">
        <f t="array" ref="BL2560">IF(BM2560 = "", "",IFERROR(INDEX(AW2560:BH2560,1,MATCH(2,1/(AW2560:BH2560&lt;&gt;""),1)-1),""))</f>
        <v>4.0073047571525446</v>
      </c>
      <c r="BM2560" s="55" cm="1">
        <f t="array" ref="BM2560">IFERROR(
   INDEX($AW$1:$BH$1,
      _xlfn.AGGREGATE(14, 6, COLUMN($AW$1:$BH$1)/(AW2560:BH2560&lt;&gt;""), 2) - COLUMN($AW$1) + 1
   ),
"")</f>
        <v>46082</v>
      </c>
      <c r="BN2560" s="55" cm="1">
        <f t="array" ref="BN2560">IFERROR(INDEX($AW$1:$BH$1,1,MATCH(2,1/(AW2560:BH2560&lt;&gt;""))),"")</f>
        <v>46113</v>
      </c>
      <c r="BO2560" s="53">
        <f ca="1">IFERROR(_xlfn.XLOOKUP(F2560,Apuração!A:A,Apuração!C:C)/_xlfn.XLOOKUP(F2560,Apuração!A:A,Apuração!B:B),0)</f>
        <v>0.41666666666666669</v>
      </c>
      <c r="BP2560" s="53">
        <f ca="1">IFERROR(_xlfn.XLOOKUP(F2560,Apuração!A:A,Apuração!D:D)/_xlfn.XLOOKUP(F2560,Apuração!A:A,Apuração!B:B),0)</f>
        <v>0.33333333333333331</v>
      </c>
      <c r="BQ2560" s="53">
        <f ca="1">IF(BK2560&gt;=BO2560,0,_xlfn.XLOOKUP(F2560,Apuração!A:A,Apuração!B:B)*(BO2560 + (1/_xlfn.XLOOKUP(F2560,Apuração!A:A,Apuração!B:B)) - BK2560))</f>
        <v>0</v>
      </c>
      <c r="BR2560" s="85">
        <f t="shared" ca="1" si="2957"/>
        <v>0</v>
      </c>
      <c r="BS2560" s="53">
        <f ca="1">IFERROR((_xlfn.XLOOKUP(F2560,Apuração!A:A,Apuração!C:C)+1)/_xlfn.XLOOKUP(F2560,Apuração!A:A,Apuração!B:B),0)</f>
        <v>0.5</v>
      </c>
    </row>
    <row r="2561" spans="1:71" ht="25.95" hidden="1" customHeight="1" x14ac:dyDescent="0.3">
      <c r="A2561" s="35" t="s">
        <v>44</v>
      </c>
      <c r="B2561" s="10" t="s">
        <v>44</v>
      </c>
      <c r="C2561" s="5" t="s">
        <v>97</v>
      </c>
      <c r="D2561" s="5" t="s">
        <v>98</v>
      </c>
      <c r="E2561" s="4" t="str" cm="1">
        <f t="array" ref="E2561">_xlfn.IFS(
F2561 = "A partir de Abril", "Aguardando Execução na Distribuidora",
A2561 = "CAPACITAÇÃO", "Em execução no Corporativo",
TRUE, "Em Execução na Distribuidora"
)</f>
        <v>Em Execução na Distribuidora</v>
      </c>
      <c r="F2561" s="4" t="str" cm="1">
        <f t="array" ref="F2561">_xlfn.IFS(
AG2561 &lt;&gt; "", "Jan-Dez/26",
AH2561 &lt;&gt; "", "Fev-Dez/26",
AI2561 &lt;&gt; "", "Mar-Dez/26", AJ2561 &lt;&gt; "", "Abr-Dez/26",
TRUE, "A partir de Junho"
)</f>
        <v>A partir de Junho</v>
      </c>
      <c r="G2561" s="10" t="s">
        <v>44</v>
      </c>
      <c r="H2561" s="36" t="s">
        <v>44</v>
      </c>
      <c r="I2561" s="37"/>
      <c r="J2561" s="37"/>
      <c r="K2561" s="37"/>
      <c r="L2561" s="37" t="s">
        <v>206</v>
      </c>
      <c r="M2561" s="37"/>
      <c r="N2561" s="5" t="s">
        <v>42</v>
      </c>
      <c r="O2561" s="5" t="s">
        <v>52</v>
      </c>
      <c r="P2561" s="10" t="s">
        <v>44</v>
      </c>
      <c r="Q2561" s="10" t="s">
        <v>44</v>
      </c>
      <c r="R2561" s="11" t="s">
        <v>44</v>
      </c>
      <c r="S2561" s="11" t="s">
        <v>44</v>
      </c>
      <c r="T2561" s="22"/>
      <c r="U2561" s="22"/>
      <c r="V2561" s="22"/>
      <c r="W2561" s="22"/>
      <c r="X2561" s="22"/>
      <c r="Y2561" s="22"/>
      <c r="Z2561" s="22"/>
      <c r="AA2561" s="22"/>
      <c r="AB2561" s="22"/>
      <c r="AC2561" s="22"/>
      <c r="AD2561" s="22"/>
      <c r="AE2561" s="22"/>
      <c r="AG2561" s="112"/>
      <c r="AH2561" s="112"/>
      <c r="AI2561" s="112"/>
      <c r="AJ2561" s="71"/>
      <c r="AK2561" s="71"/>
      <c r="AL2561" s="71"/>
      <c r="AM2561" s="71"/>
      <c r="AN2561" s="71"/>
      <c r="AO2561" s="71"/>
      <c r="AP2561" s="71"/>
      <c r="AQ2561" s="71"/>
      <c r="AR2561" s="71"/>
      <c r="AS2561" s="94"/>
      <c r="AT2561" s="95"/>
      <c r="AU2561" s="97"/>
      <c r="AW2561" s="84">
        <f t="shared" ref="AW2561:AW2567" si="3208">AG2561</f>
        <v>0</v>
      </c>
      <c r="AX2561" s="84">
        <f t="shared" ref="AX2561:AX2567" si="3209">AH2561</f>
        <v>0</v>
      </c>
      <c r="AY2561" s="84">
        <f t="shared" ref="AY2561:AY2567" si="3210">AI2561</f>
        <v>0</v>
      </c>
      <c r="AZ2561" s="84"/>
      <c r="BA2561" s="84"/>
      <c r="BB2561" s="84"/>
      <c r="BC2561" s="84"/>
      <c r="BD2561" s="84"/>
      <c r="BE2561" s="84"/>
      <c r="BF2561" s="84"/>
      <c r="BG2561" s="84"/>
      <c r="BH2561" s="84"/>
      <c r="BI2561" s="68" cm="1">
        <f t="array" ref="BI2561">IFERROR(INDEX(AW2561:BH2561,1,MATCH(2,1/(AW2561:BH2561&lt;&gt;""))),"")</f>
        <v>0</v>
      </c>
      <c r="BJ2561" s="68" cm="1">
        <f t="array" ref="BJ2561">IF(BM2561 = "", "",IFERROR(INDEX(AW2561:BH2561,1,MATCH(2,1/(AW2561:BH2561&lt;&gt;""),1)-1),""))</f>
        <v>0</v>
      </c>
      <c r="BK2561" s="57" cm="1">
        <f t="array" ref="BK2561">IFERROR(INDEX(AW2561:BH2561,1,MATCH(2,1/(AW2561:BH2561&lt;&gt;""),1)),"")</f>
        <v>0</v>
      </c>
      <c r="BL2561" s="57" cm="1">
        <f t="array" ref="BL2561">IF(BM2561 = "", "",IFERROR(INDEX(AW2561:BH2561,1,MATCH(2,1/(AW2561:BH2561&lt;&gt;""),1)-1),""))</f>
        <v>0</v>
      </c>
      <c r="BM2561" s="55" cm="1">
        <f t="array" ref="BM2561">IFERROR(
   INDEX($AW$1:$BH$1,
      _xlfn.AGGREGATE(14, 6, COLUMN($AW$1:$BH$1)/(AW2561:BH2561&lt;&gt;""), 2) - COLUMN($AW$1) + 1
   ),
"")</f>
        <v>46054</v>
      </c>
      <c r="BN2561" s="55" cm="1">
        <f t="array" ref="BN2561">IFERROR(INDEX($AW$1:$BH$1,1,MATCH(2,1/(AW2561:BH2561&lt;&gt;""))),"")</f>
        <v>46082</v>
      </c>
      <c r="BO2561" s="53">
        <f ca="1">IFERROR(_xlfn.XLOOKUP(F2561,Apuração!A:A,Apuração!C:C)/_xlfn.XLOOKUP(F2561,Apuração!A:A,Apuração!B:B),0)</f>
        <v>0</v>
      </c>
      <c r="BP2561" s="53">
        <f ca="1">IFERROR(_xlfn.XLOOKUP(F2561,Apuração!A:A,Apuração!D:D)/_xlfn.XLOOKUP(F2561,Apuração!A:A,Apuração!B:B),0)</f>
        <v>0</v>
      </c>
      <c r="BQ2561" s="53">
        <f ca="1">IF(BK2561&gt;=BO2561,0,_xlfn.XLOOKUP(F2561,Apuração!A:A,Apuração!B:B)*(BO2561 + (1/_xlfn.XLOOKUP(F2561,Apuração!A:A,Apuração!B:B)) - BK2561))</f>
        <v>0</v>
      </c>
      <c r="BR2561" s="85">
        <f t="shared" ref="BR2561:BR2567" ca="1" si="3211">IF(BQ2561=0,0,BQ2561*Z2561)</f>
        <v>0</v>
      </c>
      <c r="BS2561" s="53">
        <f ca="1">IFERROR((_xlfn.XLOOKUP(F2561,Apuração!A:A,Apuração!C:C)+1)/_xlfn.XLOOKUP(F2561,Apuração!A:A,Apuração!B:B),0)</f>
        <v>0.14285714285714285</v>
      </c>
    </row>
    <row r="2562" spans="1:71" ht="25.95" hidden="1" customHeight="1" x14ac:dyDescent="0.3">
      <c r="A2562" s="35" t="s">
        <v>44</v>
      </c>
      <c r="B2562" s="10" t="s">
        <v>44</v>
      </c>
      <c r="C2562" s="5" t="s">
        <v>97</v>
      </c>
      <c r="D2562" s="5" t="s">
        <v>99</v>
      </c>
      <c r="E2562" s="4" t="str" cm="1">
        <f t="array" ref="E2562">_xlfn.IFS(
F2562 = "A partir de Abril", "Aguardando Execução na Distribuidora",
A2562 = "CAPACITAÇÃO", "Em execução no Corporativo",
TRUE, "Em Execução na Distribuidora"
)</f>
        <v>Em Execução na Distribuidora</v>
      </c>
      <c r="F2562" s="4" t="str" cm="1">
        <f t="array" ref="F2562">_xlfn.IFS(
AG2562 &lt;&gt; "", "Jan-Dez/26",
AH2562 &lt;&gt; "", "Fev-Dez/26",
AI2562 &lt;&gt; "", "Mar-Dez/26", AJ2562 &lt;&gt; "", "Abr-Dez/26",
TRUE, "A partir de Junho"
)</f>
        <v>A partir de Junho</v>
      </c>
      <c r="G2562" s="10" t="s">
        <v>44</v>
      </c>
      <c r="H2562" s="36" t="s">
        <v>44</v>
      </c>
      <c r="I2562" s="37"/>
      <c r="J2562" s="37"/>
      <c r="K2562" s="37"/>
      <c r="L2562" s="37" t="s">
        <v>206</v>
      </c>
      <c r="M2562" s="37"/>
      <c r="N2562" s="5" t="s">
        <v>42</v>
      </c>
      <c r="O2562" s="5" t="s">
        <v>52</v>
      </c>
      <c r="P2562" s="10" t="s">
        <v>44</v>
      </c>
      <c r="Q2562" s="10" t="s">
        <v>44</v>
      </c>
      <c r="R2562" s="11" t="s">
        <v>44</v>
      </c>
      <c r="S2562" s="11" t="s">
        <v>44</v>
      </c>
      <c r="T2562" s="22"/>
      <c r="U2562" s="22"/>
      <c r="V2562" s="22"/>
      <c r="W2562" s="22"/>
      <c r="X2562" s="22"/>
      <c r="Y2562" s="22"/>
      <c r="Z2562" s="22"/>
      <c r="AA2562" s="22"/>
      <c r="AB2562" s="22"/>
      <c r="AC2562" s="22"/>
      <c r="AD2562" s="22"/>
      <c r="AE2562" s="22"/>
      <c r="AG2562" s="112"/>
      <c r="AH2562" s="112"/>
      <c r="AI2562" s="112"/>
      <c r="AJ2562" s="71"/>
      <c r="AK2562" s="71"/>
      <c r="AL2562" s="71"/>
      <c r="AM2562" s="71"/>
      <c r="AN2562" s="71"/>
      <c r="AO2562" s="71"/>
      <c r="AP2562" s="71"/>
      <c r="AQ2562" s="71"/>
      <c r="AR2562" s="71"/>
      <c r="AS2562" s="94"/>
      <c r="AT2562" s="95"/>
      <c r="AU2562" s="97"/>
      <c r="AW2562" s="84">
        <f t="shared" si="3208"/>
        <v>0</v>
      </c>
      <c r="AX2562" s="84">
        <f t="shared" si="3209"/>
        <v>0</v>
      </c>
      <c r="AY2562" s="84">
        <f t="shared" si="3210"/>
        <v>0</v>
      </c>
      <c r="AZ2562" s="84"/>
      <c r="BA2562" s="84"/>
      <c r="BB2562" s="84"/>
      <c r="BC2562" s="84"/>
      <c r="BD2562" s="84"/>
      <c r="BE2562" s="84"/>
      <c r="BF2562" s="84"/>
      <c r="BG2562" s="84"/>
      <c r="BH2562" s="84"/>
      <c r="BI2562" s="68" cm="1">
        <f t="array" ref="BI2562">IFERROR(INDEX(AW2562:BH2562,1,MATCH(2,1/(AW2562:BH2562&lt;&gt;""))),"")</f>
        <v>0</v>
      </c>
      <c r="BJ2562" s="68" cm="1">
        <f t="array" ref="BJ2562">IF(BM2562 = "", "",IFERROR(INDEX(AW2562:BH2562,1,MATCH(2,1/(AW2562:BH2562&lt;&gt;""),1)-1),""))</f>
        <v>0</v>
      </c>
      <c r="BK2562" s="57" cm="1">
        <f t="array" ref="BK2562">IFERROR(INDEX(AW2562:BH2562,1,MATCH(2,1/(AW2562:BH2562&lt;&gt;""),1)),"")</f>
        <v>0</v>
      </c>
      <c r="BL2562" s="57" cm="1">
        <f t="array" ref="BL2562">IF(BM2562 = "", "",IFERROR(INDEX(AW2562:BH2562,1,MATCH(2,1/(AW2562:BH2562&lt;&gt;""),1)-1),""))</f>
        <v>0</v>
      </c>
      <c r="BM2562" s="55" cm="1">
        <f t="array" ref="BM2562">IFERROR(
   INDEX($AW$1:$BH$1,
      _xlfn.AGGREGATE(14, 6, COLUMN($AW$1:$BH$1)/(AW2562:BH2562&lt;&gt;""), 2) - COLUMN($AW$1) + 1
   ),
"")</f>
        <v>46054</v>
      </c>
      <c r="BN2562" s="55" cm="1">
        <f t="array" ref="BN2562">IFERROR(INDEX($AW$1:$BH$1,1,MATCH(2,1/(AW2562:BH2562&lt;&gt;""))),"")</f>
        <v>46082</v>
      </c>
      <c r="BO2562" s="53">
        <f ca="1">IFERROR(_xlfn.XLOOKUP(F2562,Apuração!A:A,Apuração!C:C)/_xlfn.XLOOKUP(F2562,Apuração!A:A,Apuração!B:B),0)</f>
        <v>0</v>
      </c>
      <c r="BP2562" s="53">
        <f ca="1">IFERROR(_xlfn.XLOOKUP(F2562,Apuração!A:A,Apuração!D:D)/_xlfn.XLOOKUP(F2562,Apuração!A:A,Apuração!B:B),0)</f>
        <v>0</v>
      </c>
      <c r="BQ2562" s="53">
        <f ca="1">IF(BK2562&gt;=BO2562,0,_xlfn.XLOOKUP(F2562,Apuração!A:A,Apuração!B:B)*(BO2562 + (1/_xlfn.XLOOKUP(F2562,Apuração!A:A,Apuração!B:B)) - BK2562))</f>
        <v>0</v>
      </c>
      <c r="BR2562" s="85">
        <f t="shared" ca="1" si="3211"/>
        <v>0</v>
      </c>
      <c r="BS2562" s="53">
        <f ca="1">IFERROR((_xlfn.XLOOKUP(F2562,Apuração!A:A,Apuração!C:C)+1)/_xlfn.XLOOKUP(F2562,Apuração!A:A,Apuração!B:B),0)</f>
        <v>0.14285714285714285</v>
      </c>
    </row>
    <row r="2563" spans="1:71" ht="25.95" hidden="1" customHeight="1" x14ac:dyDescent="0.3">
      <c r="A2563" s="35" t="s">
        <v>44</v>
      </c>
      <c r="B2563" s="10" t="s">
        <v>44</v>
      </c>
      <c r="C2563" s="5" t="s">
        <v>97</v>
      </c>
      <c r="D2563" s="5" t="s">
        <v>100</v>
      </c>
      <c r="E2563" s="4" t="str" cm="1">
        <f t="array" ref="E2563">_xlfn.IFS(
F2563 = "A partir de Abril", "Aguardando Execução na Distribuidora",
A2563 = "CAPACITAÇÃO", "Em execução no Corporativo",
TRUE, "Em Execução na Distribuidora"
)</f>
        <v>Em Execução na Distribuidora</v>
      </c>
      <c r="F2563" s="4" t="str" cm="1">
        <f t="array" ref="F2563">_xlfn.IFS(
AG2563 &lt;&gt; "", "Jan-Dez/26",
AH2563 &lt;&gt; "", "Fev-Dez/26",
AI2563 &lt;&gt; "", "Mar-Dez/26", AJ2563 &lt;&gt; "", "Abr-Dez/26",
TRUE, "A partir de Junho"
)</f>
        <v>A partir de Junho</v>
      </c>
      <c r="G2563" s="10" t="s">
        <v>44</v>
      </c>
      <c r="H2563" s="36" t="s">
        <v>44</v>
      </c>
      <c r="I2563" s="37"/>
      <c r="J2563" s="37"/>
      <c r="K2563" s="37"/>
      <c r="L2563" s="37" t="s">
        <v>206</v>
      </c>
      <c r="M2563" s="37"/>
      <c r="N2563" s="5" t="s">
        <v>42</v>
      </c>
      <c r="O2563" s="5" t="s">
        <v>52</v>
      </c>
      <c r="P2563" s="10" t="s">
        <v>44</v>
      </c>
      <c r="Q2563" s="10" t="s">
        <v>44</v>
      </c>
      <c r="R2563" s="11" t="s">
        <v>44</v>
      </c>
      <c r="S2563" s="11" t="s">
        <v>44</v>
      </c>
      <c r="T2563" s="22"/>
      <c r="U2563" s="22"/>
      <c r="V2563" s="22"/>
      <c r="W2563" s="22"/>
      <c r="X2563" s="22"/>
      <c r="Y2563" s="22"/>
      <c r="Z2563" s="22"/>
      <c r="AA2563" s="22"/>
      <c r="AB2563" s="22"/>
      <c r="AC2563" s="22"/>
      <c r="AD2563" s="22"/>
      <c r="AE2563" s="22"/>
      <c r="AG2563" s="112"/>
      <c r="AH2563" s="112"/>
      <c r="AI2563" s="112"/>
      <c r="AJ2563" s="71"/>
      <c r="AK2563" s="71"/>
      <c r="AL2563" s="71"/>
      <c r="AM2563" s="71"/>
      <c r="AN2563" s="71"/>
      <c r="AO2563" s="71"/>
      <c r="AP2563" s="71"/>
      <c r="AQ2563" s="71"/>
      <c r="AR2563" s="71"/>
      <c r="AS2563" s="94"/>
      <c r="AT2563" s="95"/>
      <c r="AU2563" s="97"/>
      <c r="AW2563" s="84">
        <f t="shared" si="3208"/>
        <v>0</v>
      </c>
      <c r="AX2563" s="84">
        <f t="shared" si="3209"/>
        <v>0</v>
      </c>
      <c r="AY2563" s="84">
        <f t="shared" si="3210"/>
        <v>0</v>
      </c>
      <c r="AZ2563" s="84"/>
      <c r="BA2563" s="84"/>
      <c r="BB2563" s="84"/>
      <c r="BC2563" s="84"/>
      <c r="BD2563" s="84"/>
      <c r="BE2563" s="84"/>
      <c r="BF2563" s="84"/>
      <c r="BG2563" s="84"/>
      <c r="BH2563" s="84"/>
      <c r="BI2563" s="68" cm="1">
        <f t="array" ref="BI2563">IFERROR(INDEX(AW2563:BH2563,1,MATCH(2,1/(AW2563:BH2563&lt;&gt;""))),"")</f>
        <v>0</v>
      </c>
      <c r="BJ2563" s="68" cm="1">
        <f t="array" ref="BJ2563">IF(BM2563 = "", "",IFERROR(INDEX(AW2563:BH2563,1,MATCH(2,1/(AW2563:BH2563&lt;&gt;""),1)-1),""))</f>
        <v>0</v>
      </c>
      <c r="BK2563" s="57" cm="1">
        <f t="array" ref="BK2563">IFERROR(INDEX(AW2563:BH2563,1,MATCH(2,1/(AW2563:BH2563&lt;&gt;""),1)),"")</f>
        <v>0</v>
      </c>
      <c r="BL2563" s="57" cm="1">
        <f t="array" ref="BL2563">IF(BM2563 = "", "",IFERROR(INDEX(AW2563:BH2563,1,MATCH(2,1/(AW2563:BH2563&lt;&gt;""),1)-1),""))</f>
        <v>0</v>
      </c>
      <c r="BM2563" s="55" cm="1">
        <f t="array" ref="BM2563">IFERROR(
   INDEX($AW$1:$BH$1,
      _xlfn.AGGREGATE(14, 6, COLUMN($AW$1:$BH$1)/(AW2563:BH2563&lt;&gt;""), 2) - COLUMN($AW$1) + 1
   ),
"")</f>
        <v>46054</v>
      </c>
      <c r="BN2563" s="55" cm="1">
        <f t="array" ref="BN2563">IFERROR(INDEX($AW$1:$BH$1,1,MATCH(2,1/(AW2563:BH2563&lt;&gt;""))),"")</f>
        <v>46082</v>
      </c>
      <c r="BO2563" s="53">
        <f ca="1">IFERROR(_xlfn.XLOOKUP(F2563,Apuração!A:A,Apuração!C:C)/_xlfn.XLOOKUP(F2563,Apuração!A:A,Apuração!B:B),0)</f>
        <v>0</v>
      </c>
      <c r="BP2563" s="53">
        <f ca="1">IFERROR(_xlfn.XLOOKUP(F2563,Apuração!A:A,Apuração!D:D)/_xlfn.XLOOKUP(F2563,Apuração!A:A,Apuração!B:B),0)</f>
        <v>0</v>
      </c>
      <c r="BQ2563" s="53">
        <f ca="1">IF(BK2563&gt;=BO2563,0,_xlfn.XLOOKUP(F2563,Apuração!A:A,Apuração!B:B)*(BO2563 + (1/_xlfn.XLOOKUP(F2563,Apuração!A:A,Apuração!B:B)) - BK2563))</f>
        <v>0</v>
      </c>
      <c r="BR2563" s="85">
        <f t="shared" ca="1" si="3211"/>
        <v>0</v>
      </c>
      <c r="BS2563" s="53">
        <f ca="1">IFERROR((_xlfn.XLOOKUP(F2563,Apuração!A:A,Apuração!C:C)+1)/_xlfn.XLOOKUP(F2563,Apuração!A:A,Apuração!B:B),0)</f>
        <v>0.14285714285714285</v>
      </c>
    </row>
    <row r="2564" spans="1:71" ht="25.95" hidden="1" customHeight="1" x14ac:dyDescent="0.3">
      <c r="A2564" s="35" t="s">
        <v>44</v>
      </c>
      <c r="B2564" s="10" t="s">
        <v>44</v>
      </c>
      <c r="C2564" s="5" t="s">
        <v>97</v>
      </c>
      <c r="D2564" s="5" t="s">
        <v>101</v>
      </c>
      <c r="E2564" s="4" t="str" cm="1">
        <f t="array" ref="E2564">_xlfn.IFS(
F2564 = "A partir de Abril", "Aguardando Execução na Distribuidora",
A2564 = "CAPACITAÇÃO", "Em execução no Corporativo",
TRUE, "Em Execução na Distribuidora"
)</f>
        <v>Em Execução na Distribuidora</v>
      </c>
      <c r="F2564" s="4" t="str" cm="1">
        <f t="array" ref="F2564">_xlfn.IFS(
AG2564 &lt;&gt; "", "Jan-Dez/26",
AH2564 &lt;&gt; "", "Fev-Dez/26",
AI2564 &lt;&gt; "", "Mar-Dez/26", AJ2564 &lt;&gt; "", "Abr-Dez/26",
TRUE, "A partir de Junho"
)</f>
        <v>A partir de Junho</v>
      </c>
      <c r="G2564" s="10" t="s">
        <v>44</v>
      </c>
      <c r="H2564" s="36" t="s">
        <v>44</v>
      </c>
      <c r="I2564" s="37"/>
      <c r="J2564" s="37"/>
      <c r="K2564" s="37"/>
      <c r="L2564" s="37" t="s">
        <v>206</v>
      </c>
      <c r="M2564" s="37"/>
      <c r="N2564" s="5" t="s">
        <v>42</v>
      </c>
      <c r="O2564" s="5" t="s">
        <v>52</v>
      </c>
      <c r="P2564" s="10" t="s">
        <v>44</v>
      </c>
      <c r="Q2564" s="10" t="s">
        <v>44</v>
      </c>
      <c r="R2564" s="11" t="s">
        <v>44</v>
      </c>
      <c r="S2564" s="11" t="s">
        <v>44</v>
      </c>
      <c r="T2564" s="22"/>
      <c r="U2564" s="22"/>
      <c r="V2564" s="22"/>
      <c r="W2564" s="22"/>
      <c r="X2564" s="22"/>
      <c r="Y2564" s="22"/>
      <c r="Z2564" s="22"/>
      <c r="AA2564" s="22"/>
      <c r="AB2564" s="22"/>
      <c r="AC2564" s="22"/>
      <c r="AD2564" s="22"/>
      <c r="AE2564" s="22"/>
      <c r="AG2564" s="112"/>
      <c r="AH2564" s="112"/>
      <c r="AI2564" s="112"/>
      <c r="AJ2564" s="71"/>
      <c r="AK2564" s="71"/>
      <c r="AL2564" s="71"/>
      <c r="AM2564" s="71"/>
      <c r="AN2564" s="71"/>
      <c r="AO2564" s="71"/>
      <c r="AP2564" s="71"/>
      <c r="AQ2564" s="71"/>
      <c r="AR2564" s="71"/>
      <c r="AS2564" s="94"/>
      <c r="AT2564" s="95"/>
      <c r="AU2564" s="97"/>
      <c r="AW2564" s="84">
        <f t="shared" si="3208"/>
        <v>0</v>
      </c>
      <c r="AX2564" s="84">
        <f t="shared" si="3209"/>
        <v>0</v>
      </c>
      <c r="AY2564" s="84">
        <f t="shared" si="3210"/>
        <v>0</v>
      </c>
      <c r="AZ2564" s="84"/>
      <c r="BA2564" s="84"/>
      <c r="BB2564" s="84"/>
      <c r="BC2564" s="84"/>
      <c r="BD2564" s="84"/>
      <c r="BE2564" s="84"/>
      <c r="BF2564" s="84"/>
      <c r="BG2564" s="84"/>
      <c r="BH2564" s="84"/>
      <c r="BI2564" s="68" cm="1">
        <f t="array" ref="BI2564">IFERROR(INDEX(AW2564:BH2564,1,MATCH(2,1/(AW2564:BH2564&lt;&gt;""))),"")</f>
        <v>0</v>
      </c>
      <c r="BJ2564" s="68" cm="1">
        <f t="array" ref="BJ2564">IF(BM2564 = "", "",IFERROR(INDEX(AW2564:BH2564,1,MATCH(2,1/(AW2564:BH2564&lt;&gt;""),1)-1),""))</f>
        <v>0</v>
      </c>
      <c r="BK2564" s="57" cm="1">
        <f t="array" ref="BK2564">IFERROR(INDEX(AW2564:BH2564,1,MATCH(2,1/(AW2564:BH2564&lt;&gt;""),1)),"")</f>
        <v>0</v>
      </c>
      <c r="BL2564" s="57" cm="1">
        <f t="array" ref="BL2564">IF(BM2564 = "", "",IFERROR(INDEX(AW2564:BH2564,1,MATCH(2,1/(AW2564:BH2564&lt;&gt;""),1)-1),""))</f>
        <v>0</v>
      </c>
      <c r="BM2564" s="55" cm="1">
        <f t="array" ref="BM2564">IFERROR(
   INDEX($AW$1:$BH$1,
      _xlfn.AGGREGATE(14, 6, COLUMN($AW$1:$BH$1)/(AW2564:BH2564&lt;&gt;""), 2) - COLUMN($AW$1) + 1
   ),
"")</f>
        <v>46054</v>
      </c>
      <c r="BN2564" s="55" cm="1">
        <f t="array" ref="BN2564">IFERROR(INDEX($AW$1:$BH$1,1,MATCH(2,1/(AW2564:BH2564&lt;&gt;""))),"")</f>
        <v>46082</v>
      </c>
      <c r="BO2564" s="53">
        <f ca="1">IFERROR(_xlfn.XLOOKUP(F2564,Apuração!A:A,Apuração!C:C)/_xlfn.XLOOKUP(F2564,Apuração!A:A,Apuração!B:B),0)</f>
        <v>0</v>
      </c>
      <c r="BP2564" s="53">
        <f ca="1">IFERROR(_xlfn.XLOOKUP(F2564,Apuração!A:A,Apuração!D:D)/_xlfn.XLOOKUP(F2564,Apuração!A:A,Apuração!B:B),0)</f>
        <v>0</v>
      </c>
      <c r="BQ2564" s="53">
        <f ca="1">IF(BK2564&gt;=BO2564,0,_xlfn.XLOOKUP(F2564,Apuração!A:A,Apuração!B:B)*(BO2564 + (1/_xlfn.XLOOKUP(F2564,Apuração!A:A,Apuração!B:B)) - BK2564))</f>
        <v>0</v>
      </c>
      <c r="BR2564" s="85">
        <f t="shared" ca="1" si="3211"/>
        <v>0</v>
      </c>
      <c r="BS2564" s="53">
        <f ca="1">IFERROR((_xlfn.XLOOKUP(F2564,Apuração!A:A,Apuração!C:C)+1)/_xlfn.XLOOKUP(F2564,Apuração!A:A,Apuração!B:B),0)</f>
        <v>0.14285714285714285</v>
      </c>
    </row>
    <row r="2565" spans="1:71" ht="25.95" hidden="1" customHeight="1" x14ac:dyDescent="0.3">
      <c r="A2565" s="35" t="s">
        <v>44</v>
      </c>
      <c r="B2565" s="10" t="s">
        <v>44</v>
      </c>
      <c r="C2565" s="5" t="s">
        <v>97</v>
      </c>
      <c r="D2565" s="5" t="s">
        <v>102</v>
      </c>
      <c r="E2565" s="4" t="str" cm="1">
        <f t="array" ref="E2565">_xlfn.IFS(
F2565 = "A partir de Abril", "Aguardando Execução na Distribuidora",
A2565 = "CAPACITAÇÃO", "Em execução no Corporativo",
TRUE, "Em Execução na Distribuidora"
)</f>
        <v>Em Execução na Distribuidora</v>
      </c>
      <c r="F2565" s="4" t="str" cm="1">
        <f t="array" ref="F2565">_xlfn.IFS(
AG2565 &lt;&gt; "", "Jan-Dez/26",
AH2565 &lt;&gt; "", "Fev-Dez/26",
AI2565 &lt;&gt; "", "Mar-Dez/26", AJ2565 &lt;&gt; "", "Abr-Dez/26",
TRUE, "A partir de Junho"
)</f>
        <v>A partir de Junho</v>
      </c>
      <c r="G2565" s="10" t="s">
        <v>44</v>
      </c>
      <c r="H2565" s="36" t="s">
        <v>44</v>
      </c>
      <c r="I2565" s="37"/>
      <c r="J2565" s="37"/>
      <c r="K2565" s="37"/>
      <c r="L2565" s="37" t="s">
        <v>206</v>
      </c>
      <c r="M2565" s="37"/>
      <c r="N2565" s="5" t="s">
        <v>42</v>
      </c>
      <c r="O2565" s="5" t="s">
        <v>52</v>
      </c>
      <c r="P2565" s="10" t="s">
        <v>44</v>
      </c>
      <c r="Q2565" s="10" t="s">
        <v>44</v>
      </c>
      <c r="R2565" s="11" t="s">
        <v>44</v>
      </c>
      <c r="S2565" s="11" t="s">
        <v>44</v>
      </c>
      <c r="T2565" s="22"/>
      <c r="U2565" s="22"/>
      <c r="V2565" s="22"/>
      <c r="W2565" s="22"/>
      <c r="X2565" s="22"/>
      <c r="Y2565" s="22"/>
      <c r="Z2565" s="22"/>
      <c r="AA2565" s="22"/>
      <c r="AB2565" s="22"/>
      <c r="AC2565" s="22"/>
      <c r="AD2565" s="22"/>
      <c r="AE2565" s="22"/>
      <c r="AG2565" s="112"/>
      <c r="AH2565" s="112"/>
      <c r="AI2565" s="112"/>
      <c r="AJ2565" s="71"/>
      <c r="AK2565" s="71"/>
      <c r="AL2565" s="71"/>
      <c r="AM2565" s="71"/>
      <c r="AN2565" s="71"/>
      <c r="AO2565" s="71"/>
      <c r="AP2565" s="71"/>
      <c r="AQ2565" s="71"/>
      <c r="AR2565" s="71"/>
      <c r="AS2565" s="94"/>
      <c r="AT2565" s="95"/>
      <c r="AU2565" s="97"/>
      <c r="AW2565" s="84">
        <f t="shared" si="3208"/>
        <v>0</v>
      </c>
      <c r="AX2565" s="84">
        <f t="shared" si="3209"/>
        <v>0</v>
      </c>
      <c r="AY2565" s="84">
        <f t="shared" si="3210"/>
        <v>0</v>
      </c>
      <c r="AZ2565" s="84"/>
      <c r="BA2565" s="84"/>
      <c r="BB2565" s="84"/>
      <c r="BC2565" s="84"/>
      <c r="BD2565" s="84"/>
      <c r="BE2565" s="84"/>
      <c r="BF2565" s="84"/>
      <c r="BG2565" s="84"/>
      <c r="BH2565" s="84"/>
      <c r="BI2565" s="68" cm="1">
        <f t="array" ref="BI2565">IFERROR(INDEX(AW2565:BH2565,1,MATCH(2,1/(AW2565:BH2565&lt;&gt;""))),"")</f>
        <v>0</v>
      </c>
      <c r="BJ2565" s="68" cm="1">
        <f t="array" ref="BJ2565">IF(BM2565 = "", "",IFERROR(INDEX(AW2565:BH2565,1,MATCH(2,1/(AW2565:BH2565&lt;&gt;""),1)-1),""))</f>
        <v>0</v>
      </c>
      <c r="BK2565" s="57" cm="1">
        <f t="array" ref="BK2565">IFERROR(INDEX(AW2565:BH2565,1,MATCH(2,1/(AW2565:BH2565&lt;&gt;""),1)),"")</f>
        <v>0</v>
      </c>
      <c r="BL2565" s="57" cm="1">
        <f t="array" ref="BL2565">IF(BM2565 = "", "",IFERROR(INDEX(AW2565:BH2565,1,MATCH(2,1/(AW2565:BH2565&lt;&gt;""),1)-1),""))</f>
        <v>0</v>
      </c>
      <c r="BM2565" s="55" cm="1">
        <f t="array" ref="BM2565">IFERROR(
   INDEX($AW$1:$BH$1,
      _xlfn.AGGREGATE(14, 6, COLUMN($AW$1:$BH$1)/(AW2565:BH2565&lt;&gt;""), 2) - COLUMN($AW$1) + 1
   ),
"")</f>
        <v>46054</v>
      </c>
      <c r="BN2565" s="55" cm="1">
        <f t="array" ref="BN2565">IFERROR(INDEX($AW$1:$BH$1,1,MATCH(2,1/(AW2565:BH2565&lt;&gt;""))),"")</f>
        <v>46082</v>
      </c>
      <c r="BO2565" s="53">
        <f ca="1">IFERROR(_xlfn.XLOOKUP(F2565,Apuração!A:A,Apuração!C:C)/_xlfn.XLOOKUP(F2565,Apuração!A:A,Apuração!B:B),0)</f>
        <v>0</v>
      </c>
      <c r="BP2565" s="53">
        <f ca="1">IFERROR(_xlfn.XLOOKUP(F2565,Apuração!A:A,Apuração!D:D)/_xlfn.XLOOKUP(F2565,Apuração!A:A,Apuração!B:B),0)</f>
        <v>0</v>
      </c>
      <c r="BQ2565" s="53">
        <f ca="1">IF(BK2565&gt;=BO2565,0,_xlfn.XLOOKUP(F2565,Apuração!A:A,Apuração!B:B)*(BO2565 + (1/_xlfn.XLOOKUP(F2565,Apuração!A:A,Apuração!B:B)) - BK2565))</f>
        <v>0</v>
      </c>
      <c r="BR2565" s="85">
        <f t="shared" ca="1" si="3211"/>
        <v>0</v>
      </c>
      <c r="BS2565" s="53">
        <f ca="1">IFERROR((_xlfn.XLOOKUP(F2565,Apuração!A:A,Apuração!C:C)+1)/_xlfn.XLOOKUP(F2565,Apuração!A:A,Apuração!B:B),0)</f>
        <v>0.14285714285714285</v>
      </c>
    </row>
    <row r="2566" spans="1:71" ht="25.95" hidden="1" customHeight="1" x14ac:dyDescent="0.3">
      <c r="A2566" s="35" t="s">
        <v>44</v>
      </c>
      <c r="B2566" s="10" t="s">
        <v>44</v>
      </c>
      <c r="C2566" s="5" t="s">
        <v>97</v>
      </c>
      <c r="D2566" s="5" t="s">
        <v>103</v>
      </c>
      <c r="E2566" s="4" t="str" cm="1">
        <f t="array" ref="E2566">_xlfn.IFS(
F2566 = "A partir de Abril", "Aguardando Execução na Distribuidora",
A2566 = "CAPACITAÇÃO", "Em execução no Corporativo",
TRUE, "Em Execução na Distribuidora"
)</f>
        <v>Em Execução na Distribuidora</v>
      </c>
      <c r="F2566" s="4" t="str" cm="1">
        <f t="array" ref="F2566">_xlfn.IFS(
AG2566 &lt;&gt; "", "Jan-Dez/26",
AH2566 &lt;&gt; "", "Fev-Dez/26",
AI2566 &lt;&gt; "", "Mar-Dez/26", AJ2566 &lt;&gt; "", "Abr-Dez/26",
TRUE, "A partir de Junho"
)</f>
        <v>A partir de Junho</v>
      </c>
      <c r="G2566" s="10" t="s">
        <v>44</v>
      </c>
      <c r="H2566" s="36" t="s">
        <v>44</v>
      </c>
      <c r="I2566" s="37"/>
      <c r="J2566" s="37"/>
      <c r="K2566" s="37"/>
      <c r="L2566" s="37" t="s">
        <v>206</v>
      </c>
      <c r="M2566" s="37"/>
      <c r="N2566" s="5" t="s">
        <v>42</v>
      </c>
      <c r="O2566" s="5" t="s">
        <v>52</v>
      </c>
      <c r="P2566" s="10" t="s">
        <v>44</v>
      </c>
      <c r="Q2566" s="10" t="s">
        <v>44</v>
      </c>
      <c r="R2566" s="11" t="s">
        <v>44</v>
      </c>
      <c r="S2566" s="11" t="s">
        <v>44</v>
      </c>
      <c r="T2566" s="22"/>
      <c r="U2566" s="22"/>
      <c r="V2566" s="22"/>
      <c r="W2566" s="22"/>
      <c r="X2566" s="22"/>
      <c r="Y2566" s="22"/>
      <c r="Z2566" s="22"/>
      <c r="AA2566" s="22"/>
      <c r="AB2566" s="22"/>
      <c r="AC2566" s="22"/>
      <c r="AD2566" s="22"/>
      <c r="AE2566" s="22"/>
      <c r="AG2566" s="112"/>
      <c r="AH2566" s="112"/>
      <c r="AI2566" s="112"/>
      <c r="AJ2566" s="71"/>
      <c r="AK2566" s="71"/>
      <c r="AL2566" s="71"/>
      <c r="AM2566" s="71"/>
      <c r="AN2566" s="71"/>
      <c r="AO2566" s="71"/>
      <c r="AP2566" s="71"/>
      <c r="AQ2566" s="71"/>
      <c r="AR2566" s="71"/>
      <c r="AS2566" s="94"/>
      <c r="AT2566" s="95"/>
      <c r="AU2566" s="97"/>
      <c r="AW2566" s="84">
        <f t="shared" si="3208"/>
        <v>0</v>
      </c>
      <c r="AX2566" s="84">
        <f t="shared" si="3209"/>
        <v>0</v>
      </c>
      <c r="AY2566" s="84">
        <f t="shared" si="3210"/>
        <v>0</v>
      </c>
      <c r="AZ2566" s="84"/>
      <c r="BA2566" s="84"/>
      <c r="BB2566" s="84"/>
      <c r="BC2566" s="84"/>
      <c r="BD2566" s="84"/>
      <c r="BE2566" s="84"/>
      <c r="BF2566" s="84"/>
      <c r="BG2566" s="84"/>
      <c r="BH2566" s="84"/>
      <c r="BI2566" s="68" cm="1">
        <f t="array" ref="BI2566">IFERROR(INDEX(AW2566:BH2566,1,MATCH(2,1/(AW2566:BH2566&lt;&gt;""))),"")</f>
        <v>0</v>
      </c>
      <c r="BJ2566" s="68" cm="1">
        <f t="array" ref="BJ2566">IF(BM2566 = "", "",IFERROR(INDEX(AW2566:BH2566,1,MATCH(2,1/(AW2566:BH2566&lt;&gt;""),1)-1),""))</f>
        <v>0</v>
      </c>
      <c r="BK2566" s="57" cm="1">
        <f t="array" ref="BK2566">IFERROR(INDEX(AW2566:BH2566,1,MATCH(2,1/(AW2566:BH2566&lt;&gt;""),1)),"")</f>
        <v>0</v>
      </c>
      <c r="BL2566" s="57" cm="1">
        <f t="array" ref="BL2566">IF(BM2566 = "", "",IFERROR(INDEX(AW2566:BH2566,1,MATCH(2,1/(AW2566:BH2566&lt;&gt;""),1)-1),""))</f>
        <v>0</v>
      </c>
      <c r="BM2566" s="55" cm="1">
        <f t="array" ref="BM2566">IFERROR(
   INDEX($AW$1:$BH$1,
      _xlfn.AGGREGATE(14, 6, COLUMN($AW$1:$BH$1)/(AW2566:BH2566&lt;&gt;""), 2) - COLUMN($AW$1) + 1
   ),
"")</f>
        <v>46054</v>
      </c>
      <c r="BN2566" s="55" cm="1">
        <f t="array" ref="BN2566">IFERROR(INDEX($AW$1:$BH$1,1,MATCH(2,1/(AW2566:BH2566&lt;&gt;""))),"")</f>
        <v>46082</v>
      </c>
      <c r="BO2566" s="53">
        <f ca="1">IFERROR(_xlfn.XLOOKUP(F2566,Apuração!A:A,Apuração!C:C)/_xlfn.XLOOKUP(F2566,Apuração!A:A,Apuração!B:B),0)</f>
        <v>0</v>
      </c>
      <c r="BP2566" s="53">
        <f ca="1">IFERROR(_xlfn.XLOOKUP(F2566,Apuração!A:A,Apuração!D:D)/_xlfn.XLOOKUP(F2566,Apuração!A:A,Apuração!B:B),0)</f>
        <v>0</v>
      </c>
      <c r="BQ2566" s="53">
        <f ca="1">IF(BK2566&gt;=BO2566,0,_xlfn.XLOOKUP(F2566,Apuração!A:A,Apuração!B:B)*(BO2566 + (1/_xlfn.XLOOKUP(F2566,Apuração!A:A,Apuração!B:B)) - BK2566))</f>
        <v>0</v>
      </c>
      <c r="BR2566" s="85">
        <f t="shared" ca="1" si="3211"/>
        <v>0</v>
      </c>
      <c r="BS2566" s="53">
        <f ca="1">IFERROR((_xlfn.XLOOKUP(F2566,Apuração!A:A,Apuração!C:C)+1)/_xlfn.XLOOKUP(F2566,Apuração!A:A,Apuração!B:B),0)</f>
        <v>0.14285714285714285</v>
      </c>
    </row>
    <row r="2567" spans="1:71" ht="25.95" hidden="1" customHeight="1" x14ac:dyDescent="0.3">
      <c r="A2567" s="35" t="s">
        <v>44</v>
      </c>
      <c r="B2567" s="10" t="s">
        <v>44</v>
      </c>
      <c r="C2567" s="5" t="s">
        <v>97</v>
      </c>
      <c r="D2567" s="5" t="s">
        <v>104</v>
      </c>
      <c r="E2567" s="4" t="str" cm="1">
        <f t="array" ref="E2567">_xlfn.IFS(
F2567 = "A partir de Abril", "Aguardando Execução na Distribuidora",
A2567 = "CAPACITAÇÃO", "Em execução no Corporativo",
TRUE, "Em Execução na Distribuidora"
)</f>
        <v>Em Execução na Distribuidora</v>
      </c>
      <c r="F2567" s="4" t="str" cm="1">
        <f t="array" ref="F2567">_xlfn.IFS(
AG2567 &lt;&gt; "", "Jan-Dez/26",
AH2567 &lt;&gt; "", "Fev-Dez/26",
AI2567 &lt;&gt; "", "Mar-Dez/26", AJ2567 &lt;&gt; "", "Abr-Dez/26",
TRUE, "A partir de Junho"
)</f>
        <v>A partir de Junho</v>
      </c>
      <c r="G2567" s="10" t="s">
        <v>44</v>
      </c>
      <c r="H2567" s="36" t="s">
        <v>44</v>
      </c>
      <c r="I2567" s="37"/>
      <c r="J2567" s="37"/>
      <c r="K2567" s="37"/>
      <c r="L2567" s="37" t="s">
        <v>206</v>
      </c>
      <c r="M2567" s="37"/>
      <c r="N2567" s="5" t="s">
        <v>42</v>
      </c>
      <c r="O2567" s="5" t="s">
        <v>52</v>
      </c>
      <c r="P2567" s="10" t="s">
        <v>44</v>
      </c>
      <c r="Q2567" s="10" t="s">
        <v>44</v>
      </c>
      <c r="R2567" s="11" t="s">
        <v>44</v>
      </c>
      <c r="S2567" s="11" t="s">
        <v>44</v>
      </c>
      <c r="T2567" s="22"/>
      <c r="U2567" s="22"/>
      <c r="V2567" s="22"/>
      <c r="W2567" s="22"/>
      <c r="X2567" s="22"/>
      <c r="Y2567" s="22"/>
      <c r="Z2567" s="22"/>
      <c r="AA2567" s="22"/>
      <c r="AB2567" s="22"/>
      <c r="AC2567" s="22"/>
      <c r="AD2567" s="22"/>
      <c r="AE2567" s="22"/>
      <c r="AG2567" s="112"/>
      <c r="AH2567" s="112"/>
      <c r="AI2567" s="112"/>
      <c r="AJ2567" s="71"/>
      <c r="AK2567" s="71"/>
      <c r="AL2567" s="71"/>
      <c r="AM2567" s="71"/>
      <c r="AN2567" s="71"/>
      <c r="AO2567" s="71"/>
      <c r="AP2567" s="71"/>
      <c r="AQ2567" s="71"/>
      <c r="AR2567" s="71"/>
      <c r="AS2567" s="94"/>
      <c r="AT2567" s="95"/>
      <c r="AU2567" s="97"/>
      <c r="AW2567" s="84">
        <f t="shared" si="3208"/>
        <v>0</v>
      </c>
      <c r="AX2567" s="84">
        <f t="shared" si="3209"/>
        <v>0</v>
      </c>
      <c r="AY2567" s="84">
        <f t="shared" si="3210"/>
        <v>0</v>
      </c>
      <c r="AZ2567" s="84"/>
      <c r="BA2567" s="84"/>
      <c r="BB2567" s="84"/>
      <c r="BC2567" s="84"/>
      <c r="BD2567" s="84"/>
      <c r="BE2567" s="84"/>
      <c r="BF2567" s="84"/>
      <c r="BG2567" s="84"/>
      <c r="BH2567" s="84"/>
      <c r="BI2567" s="68" cm="1">
        <f t="array" ref="BI2567">IFERROR(INDEX(AW2567:BH2567,1,MATCH(2,1/(AW2567:BH2567&lt;&gt;""))),"")</f>
        <v>0</v>
      </c>
      <c r="BJ2567" s="68" cm="1">
        <f t="array" ref="BJ2567">IF(BM2567 = "", "",IFERROR(INDEX(AW2567:BH2567,1,MATCH(2,1/(AW2567:BH2567&lt;&gt;""),1)-1),""))</f>
        <v>0</v>
      </c>
      <c r="BK2567" s="57" cm="1">
        <f t="array" ref="BK2567">IFERROR(INDEX(AW2567:BH2567,1,MATCH(2,1/(AW2567:BH2567&lt;&gt;""),1)),"")</f>
        <v>0</v>
      </c>
      <c r="BL2567" s="57" cm="1">
        <f t="array" ref="BL2567">IF(BM2567 = "", "",IFERROR(INDEX(AW2567:BH2567,1,MATCH(2,1/(AW2567:BH2567&lt;&gt;""),1)-1),""))</f>
        <v>0</v>
      </c>
      <c r="BM2567" s="55" cm="1">
        <f t="array" ref="BM2567">IFERROR(
   INDEX($AW$1:$BH$1,
      _xlfn.AGGREGATE(14, 6, COLUMN($AW$1:$BH$1)/(AW2567:BH2567&lt;&gt;""), 2) - COLUMN($AW$1) + 1
   ),
"")</f>
        <v>46054</v>
      </c>
      <c r="BN2567" s="55" cm="1">
        <f t="array" ref="BN2567">IFERROR(INDEX($AW$1:$BH$1,1,MATCH(2,1/(AW2567:BH2567&lt;&gt;""))),"")</f>
        <v>46082</v>
      </c>
      <c r="BO2567" s="53">
        <f ca="1">IFERROR(_xlfn.XLOOKUP(F2567,Apuração!A:A,Apuração!C:C)/_xlfn.XLOOKUP(F2567,Apuração!A:A,Apuração!B:B),0)</f>
        <v>0</v>
      </c>
      <c r="BP2567" s="53">
        <f ca="1">IFERROR(_xlfn.XLOOKUP(F2567,Apuração!A:A,Apuração!D:D)/_xlfn.XLOOKUP(F2567,Apuração!A:A,Apuração!B:B),0)</f>
        <v>0</v>
      </c>
      <c r="BQ2567" s="53">
        <f ca="1">IF(BK2567&gt;=BO2567,0,_xlfn.XLOOKUP(F2567,Apuração!A:A,Apuração!B:B)*(BO2567 + (1/_xlfn.XLOOKUP(F2567,Apuração!A:A,Apuração!B:B)) - BK2567))</f>
        <v>0</v>
      </c>
      <c r="BR2567" s="85">
        <f t="shared" ca="1" si="3211"/>
        <v>0</v>
      </c>
      <c r="BS2567" s="53">
        <f ca="1">IFERROR((_xlfn.XLOOKUP(F2567,Apuração!A:A,Apuração!C:C)+1)/_xlfn.XLOOKUP(F2567,Apuração!A:A,Apuração!B:B),0)</f>
        <v>0.14285714285714285</v>
      </c>
    </row>
    <row r="2568" spans="1:71" ht="25.95" hidden="1" customHeight="1" x14ac:dyDescent="0.3">
      <c r="A2568" s="72" t="s">
        <v>44</v>
      </c>
      <c r="B2568" s="73" t="s">
        <v>44</v>
      </c>
      <c r="C2568" s="74" t="s">
        <v>95</v>
      </c>
      <c r="D2568" s="5" t="s">
        <v>36</v>
      </c>
      <c r="E2568" s="4" t="str" cm="1">
        <f t="array" ref="E2568">_xlfn.IFS(
F2568 = "A partir de Abril", "Aguardando Execução na Distribuidora",
A2568 = "CAPACITAÇÃO", "Em execução no Corporativo",
TRUE, "Em Execução na Distribuidora"
)</f>
        <v>Em Execução na Distribuidora</v>
      </c>
      <c r="F2568" s="4" t="str" cm="1">
        <f t="array" ref="F2568">_xlfn.IFS(
AG2568 &lt;&gt; "", "Jan-Dez/26",
AH2568 &lt;&gt; "", "Fev-Dez/26",
AI2568 &lt;&gt; "", "Mar-Dez/26", AJ2568 &lt;&gt; "", "Abr-Dez/26",
TRUE, "A partir de Junho"
)</f>
        <v>Jan-Dez/26</v>
      </c>
      <c r="G2568" s="75" t="s">
        <v>44</v>
      </c>
      <c r="H2568" s="76" t="s">
        <v>44</v>
      </c>
      <c r="I2568" s="77"/>
      <c r="J2568" s="77"/>
      <c r="K2568" s="77"/>
      <c r="L2568" s="77" t="s">
        <v>228</v>
      </c>
      <c r="M2568" s="78"/>
      <c r="N2568" s="74" t="s">
        <v>42</v>
      </c>
      <c r="O2568" s="74" t="s">
        <v>52</v>
      </c>
      <c r="P2568" s="75" t="s">
        <v>44</v>
      </c>
      <c r="Q2568" s="75" t="s">
        <v>44</v>
      </c>
      <c r="R2568" s="79" t="s">
        <v>44</v>
      </c>
      <c r="S2568" s="79" t="s">
        <v>44</v>
      </c>
      <c r="T2568" s="22"/>
      <c r="U2568" s="22"/>
      <c r="V2568" s="22"/>
      <c r="W2568" s="22"/>
      <c r="X2568" s="22"/>
      <c r="Y2568" s="22"/>
      <c r="Z2568" s="22"/>
      <c r="AA2568" s="22"/>
      <c r="AB2568" s="22"/>
      <c r="AC2568" s="22"/>
      <c r="AD2568" s="22"/>
      <c r="AE2568" s="22"/>
      <c r="AG2568" s="112">
        <v>0</v>
      </c>
      <c r="AH2568" s="112">
        <v>3.1663729169738706</v>
      </c>
      <c r="AI2568" s="112">
        <v>1.0441800515582695</v>
      </c>
      <c r="AJ2568" s="112">
        <v>1.57</v>
      </c>
      <c r="AK2568" s="112"/>
      <c r="AL2568" s="112"/>
      <c r="AM2568" s="112"/>
      <c r="AN2568" s="112"/>
      <c r="AO2568" s="112"/>
      <c r="AP2568" s="112"/>
      <c r="AQ2568" s="112"/>
      <c r="AR2568" s="112"/>
      <c r="AS2568" s="94"/>
      <c r="AT2568" s="95"/>
      <c r="AU2568" s="97"/>
      <c r="AW2568" s="84">
        <f>AG2568</f>
        <v>0</v>
      </c>
      <c r="AX2568" s="84">
        <f>AH2568</f>
        <v>3.1663729169738706</v>
      </c>
      <c r="AY2568" s="84">
        <f>AI2568</f>
        <v>1.0441800515582695</v>
      </c>
      <c r="AZ2568" s="84">
        <f>AJ2568</f>
        <v>1.57</v>
      </c>
      <c r="BA2568" s="84"/>
      <c r="BB2568" s="84"/>
      <c r="BC2568" s="84"/>
      <c r="BD2568" s="84"/>
      <c r="BE2568" s="84"/>
      <c r="BF2568" s="84"/>
      <c r="BG2568" s="84"/>
      <c r="BH2568" s="84"/>
      <c r="BI2568" s="68" cm="1">
        <f t="array" ref="BI2568">IFERROR(INDEX(AW2568:BH2568,1,MATCH(2,1/(AW2568:BH2568&lt;&gt;""))),"")</f>
        <v>1.57</v>
      </c>
      <c r="BJ2568" s="68" cm="1">
        <f t="array" ref="BJ2568">IF(BM2568 = "", "",IFERROR(INDEX(AW2568:BH2568,1,MATCH(2,1/(AW2568:BH2568&lt;&gt;""),1)-1),""))</f>
        <v>1.0441800515582695</v>
      </c>
      <c r="BK2568" s="57" cm="1">
        <f t="array" ref="BK2568">IFERROR(INDEX(AW2568:BH2568,1,MATCH(2,1/(AW2568:BH2568&lt;&gt;""),1)),"")</f>
        <v>1.57</v>
      </c>
      <c r="BL2568" s="57" cm="1">
        <f t="array" ref="BL2568">IF(BM2568 = "", "",IFERROR(INDEX(AW2568:BH2568,1,MATCH(2,1/(AW2568:BH2568&lt;&gt;""),1)-1),""))</f>
        <v>1.0441800515582695</v>
      </c>
      <c r="BM2568" s="55" cm="1">
        <f t="array" ref="BM2568">IFERROR(
   INDEX($AW$1:$BH$1,
      _xlfn.AGGREGATE(14, 6, COLUMN($AW$1:$BH$1)/(AW2568:BH2568&lt;&gt;""), 2) - COLUMN($AW$1) + 1
   ),
"")</f>
        <v>46082</v>
      </c>
      <c r="BN2568" s="55" cm="1">
        <f t="array" ref="BN2568">IFERROR(INDEX($AW$1:$BH$1,1,MATCH(2,1/(AW2568:BH2568&lt;&gt;""))),"")</f>
        <v>46113</v>
      </c>
      <c r="BO2568" s="53">
        <f ca="1">IFERROR(_xlfn.XLOOKUP(F2568,Apuração!A:A,Apuração!C:C)/_xlfn.XLOOKUP(F2568,Apuração!A:A,Apuração!B:B),0)</f>
        <v>0.41666666666666669</v>
      </c>
      <c r="BP2568" s="53">
        <f ca="1">IFERROR(_xlfn.XLOOKUP(F2568,Apuração!A:A,Apuração!D:D)/_xlfn.XLOOKUP(F2568,Apuração!A:A,Apuração!B:B),0)</f>
        <v>0.33333333333333331</v>
      </c>
      <c r="BQ2568" s="53">
        <f ca="1">IF(BK2568&gt;=BO2568,0,_xlfn.XLOOKUP(F2568,Apuração!A:A,Apuração!B:B)*(BO2568 + (1/_xlfn.XLOOKUP(F2568,Apuração!A:A,Apuração!B:B)) - BK2568))</f>
        <v>0</v>
      </c>
      <c r="BR2568" s="85">
        <f ca="1">IF(BQ2568=0,0,BQ2568*Z2568)</f>
        <v>0</v>
      </c>
      <c r="BS2568" s="53">
        <f ca="1">IFERROR((_xlfn.XLOOKUP(F2568,Apuração!A:A,Apuração!C:C)+1)/_xlfn.XLOOKUP(F2568,Apuração!A:A,Apuração!B:B),0)</f>
        <v>0.5</v>
      </c>
    </row>
    <row r="2569" spans="1:71" ht="25.95" hidden="1" customHeight="1" x14ac:dyDescent="0.3">
      <c r="A2569" s="35" t="s">
        <v>44</v>
      </c>
      <c r="B2569" s="10" t="s">
        <v>44</v>
      </c>
      <c r="C2569" s="5" t="s">
        <v>97</v>
      </c>
      <c r="D2569" s="5" t="s">
        <v>105</v>
      </c>
      <c r="E2569" s="4" t="str" cm="1">
        <f t="array" ref="E2569">_xlfn.IFS(
F2569 = "A partir de Abril", "Aguardando Execução na Distribuidora",
A2569 = "CAPACITAÇÃO", "Em execução no Corporativo",
TRUE, "Em Execução na Distribuidora"
)</f>
        <v>Em Execução na Distribuidora</v>
      </c>
      <c r="F2569" s="4" t="str" cm="1">
        <f t="array" ref="F2569">_xlfn.IFS(
AG2569 &lt;&gt; "", "Jan-Dez/26",
AH2569 &lt;&gt; "", "Fev-Dez/26",
AI2569 &lt;&gt; "", "Mar-Dez/26", AJ2569 &lt;&gt; "", "Abr-Dez/26",
TRUE, "A partir de Junho"
)</f>
        <v>A partir de Junho</v>
      </c>
      <c r="G2569" s="10" t="s">
        <v>44</v>
      </c>
      <c r="H2569" s="36" t="s">
        <v>44</v>
      </c>
      <c r="I2569" s="37"/>
      <c r="J2569" s="37"/>
      <c r="K2569" s="37"/>
      <c r="L2569" s="37" t="s">
        <v>206</v>
      </c>
      <c r="M2569" s="37"/>
      <c r="N2569" s="5" t="s">
        <v>42</v>
      </c>
      <c r="O2569" s="5" t="s">
        <v>52</v>
      </c>
      <c r="P2569" s="10" t="s">
        <v>44</v>
      </c>
      <c r="Q2569" s="10" t="s">
        <v>44</v>
      </c>
      <c r="R2569" s="11" t="s">
        <v>44</v>
      </c>
      <c r="S2569" s="11" t="s">
        <v>44</v>
      </c>
      <c r="T2569" s="22"/>
      <c r="U2569" s="22"/>
      <c r="V2569" s="22"/>
      <c r="W2569" s="22"/>
      <c r="X2569" s="22"/>
      <c r="Y2569" s="22"/>
      <c r="Z2569" s="22"/>
      <c r="AA2569" s="22"/>
      <c r="AB2569" s="22"/>
      <c r="AC2569" s="22"/>
      <c r="AD2569" s="22"/>
      <c r="AE2569" s="22"/>
      <c r="AG2569" s="112"/>
      <c r="AH2569" s="112"/>
      <c r="AI2569" s="112"/>
      <c r="AJ2569" s="71"/>
      <c r="AK2569" s="71"/>
      <c r="AL2569" s="71"/>
      <c r="AM2569" s="71"/>
      <c r="AN2569" s="71"/>
      <c r="AO2569" s="71"/>
      <c r="AP2569" s="71"/>
      <c r="AQ2569" s="71"/>
      <c r="AR2569" s="71"/>
      <c r="AS2569" s="94"/>
      <c r="AT2569" s="95"/>
      <c r="AU2569" s="97"/>
      <c r="AW2569" s="84">
        <f t="shared" ref="AW2569:AW2571" si="3212">AG2569</f>
        <v>0</v>
      </c>
      <c r="AX2569" s="84">
        <f t="shared" ref="AX2569:AX2571" si="3213">AH2569</f>
        <v>0</v>
      </c>
      <c r="AY2569" s="84">
        <f t="shared" ref="AY2569:AY2571" si="3214">AI2569</f>
        <v>0</v>
      </c>
      <c r="AZ2569" s="84"/>
      <c r="BA2569" s="84"/>
      <c r="BB2569" s="84"/>
      <c r="BC2569" s="84"/>
      <c r="BD2569" s="84"/>
      <c r="BE2569" s="84"/>
      <c r="BF2569" s="84"/>
      <c r="BG2569" s="84"/>
      <c r="BH2569" s="84"/>
      <c r="BI2569" s="68" cm="1">
        <f t="array" ref="BI2569">IFERROR(INDEX(AW2569:BH2569,1,MATCH(2,1/(AW2569:BH2569&lt;&gt;""))),"")</f>
        <v>0</v>
      </c>
      <c r="BJ2569" s="68" cm="1">
        <f t="array" ref="BJ2569">IF(BM2569 = "", "",IFERROR(INDEX(AW2569:BH2569,1,MATCH(2,1/(AW2569:BH2569&lt;&gt;""),1)-1),""))</f>
        <v>0</v>
      </c>
      <c r="BK2569" s="57" cm="1">
        <f t="array" ref="BK2569">IFERROR(INDEX(AW2569:BH2569,1,MATCH(2,1/(AW2569:BH2569&lt;&gt;""),1)),"")</f>
        <v>0</v>
      </c>
      <c r="BL2569" s="57" cm="1">
        <f t="array" ref="BL2569">IF(BM2569 = "", "",IFERROR(INDEX(AW2569:BH2569,1,MATCH(2,1/(AW2569:BH2569&lt;&gt;""),1)-1),""))</f>
        <v>0</v>
      </c>
      <c r="BM2569" s="55" cm="1">
        <f t="array" ref="BM2569">IFERROR(
   INDEX($AW$1:$BH$1,
      _xlfn.AGGREGATE(14, 6, COLUMN($AW$1:$BH$1)/(AW2569:BH2569&lt;&gt;""), 2) - COLUMN($AW$1) + 1
   ),
"")</f>
        <v>46054</v>
      </c>
      <c r="BN2569" s="55" cm="1">
        <f t="array" ref="BN2569">IFERROR(INDEX($AW$1:$BH$1,1,MATCH(2,1/(AW2569:BH2569&lt;&gt;""))),"")</f>
        <v>46082</v>
      </c>
      <c r="BO2569" s="53">
        <f ca="1">IFERROR(_xlfn.XLOOKUP(F2569,Apuração!A:A,Apuração!C:C)/_xlfn.XLOOKUP(F2569,Apuração!A:A,Apuração!B:B),0)</f>
        <v>0</v>
      </c>
      <c r="BP2569" s="53">
        <f ca="1">IFERROR(_xlfn.XLOOKUP(F2569,Apuração!A:A,Apuração!D:D)/_xlfn.XLOOKUP(F2569,Apuração!A:A,Apuração!B:B),0)</f>
        <v>0</v>
      </c>
      <c r="BQ2569" s="53">
        <f ca="1">IF(BK2569&gt;=BO2569,0,_xlfn.XLOOKUP(F2569,Apuração!A:A,Apuração!B:B)*(BO2569 + (1/_xlfn.XLOOKUP(F2569,Apuração!A:A,Apuração!B:B)) - BK2569))</f>
        <v>0</v>
      </c>
      <c r="BR2569" s="85">
        <f t="shared" ref="BR2569:BR2571" ca="1" si="3215">IF(BQ2569=0,0,BQ2569*Z2569)</f>
        <v>0</v>
      </c>
      <c r="BS2569" s="53">
        <f ca="1">IFERROR((_xlfn.XLOOKUP(F2569,Apuração!A:A,Apuração!C:C)+1)/_xlfn.XLOOKUP(F2569,Apuração!A:A,Apuração!B:B),0)</f>
        <v>0.14285714285714285</v>
      </c>
    </row>
    <row r="2570" spans="1:71" ht="25.95" hidden="1" customHeight="1" x14ac:dyDescent="0.3">
      <c r="A2570" s="35" t="s">
        <v>44</v>
      </c>
      <c r="B2570" s="10" t="s">
        <v>44</v>
      </c>
      <c r="C2570" s="5" t="s">
        <v>97</v>
      </c>
      <c r="D2570" s="5" t="s">
        <v>106</v>
      </c>
      <c r="E2570" s="4" t="str" cm="1">
        <f t="array" ref="E2570">_xlfn.IFS(
F2570 = "A partir de Abril", "Aguardando Execução na Distribuidora",
A2570 = "CAPACITAÇÃO", "Em execução no Corporativo",
TRUE, "Em Execução na Distribuidora"
)</f>
        <v>Em Execução na Distribuidora</v>
      </c>
      <c r="F2570" s="4" t="str" cm="1">
        <f t="array" ref="F2570">_xlfn.IFS(
AG2570 &lt;&gt; "", "Jan-Dez/26",
AH2570 &lt;&gt; "", "Fev-Dez/26",
AI2570 &lt;&gt; "", "Mar-Dez/26", AJ2570 &lt;&gt; "", "Abr-Dez/26",
TRUE, "A partir de Junho"
)</f>
        <v>A partir de Junho</v>
      </c>
      <c r="G2570" s="10" t="s">
        <v>44</v>
      </c>
      <c r="H2570" s="36" t="s">
        <v>44</v>
      </c>
      <c r="I2570" s="37"/>
      <c r="J2570" s="37"/>
      <c r="K2570" s="37"/>
      <c r="L2570" s="37" t="s">
        <v>206</v>
      </c>
      <c r="M2570" s="37"/>
      <c r="N2570" s="5" t="s">
        <v>42</v>
      </c>
      <c r="O2570" s="5" t="s">
        <v>52</v>
      </c>
      <c r="P2570" s="10" t="s">
        <v>44</v>
      </c>
      <c r="Q2570" s="10" t="s">
        <v>44</v>
      </c>
      <c r="R2570" s="11" t="s">
        <v>44</v>
      </c>
      <c r="S2570" s="11" t="s">
        <v>44</v>
      </c>
      <c r="T2570" s="22"/>
      <c r="U2570" s="22"/>
      <c r="V2570" s="22"/>
      <c r="W2570" s="22"/>
      <c r="X2570" s="22"/>
      <c r="Y2570" s="22"/>
      <c r="Z2570" s="22"/>
      <c r="AA2570" s="22"/>
      <c r="AB2570" s="22"/>
      <c r="AC2570" s="22"/>
      <c r="AD2570" s="22"/>
      <c r="AE2570" s="22"/>
      <c r="AG2570" s="112"/>
      <c r="AH2570" s="112"/>
      <c r="AI2570" s="112"/>
      <c r="AJ2570" s="71"/>
      <c r="AK2570" s="71"/>
      <c r="AL2570" s="71"/>
      <c r="AM2570" s="71"/>
      <c r="AN2570" s="71"/>
      <c r="AO2570" s="71"/>
      <c r="AP2570" s="71"/>
      <c r="AQ2570" s="71"/>
      <c r="AR2570" s="71"/>
      <c r="AS2570" s="94"/>
      <c r="AT2570" s="95"/>
      <c r="AU2570" s="97"/>
      <c r="AW2570" s="84">
        <f t="shared" si="3212"/>
        <v>0</v>
      </c>
      <c r="AX2570" s="84">
        <f t="shared" si="3213"/>
        <v>0</v>
      </c>
      <c r="AY2570" s="84">
        <f t="shared" si="3214"/>
        <v>0</v>
      </c>
      <c r="AZ2570" s="84"/>
      <c r="BA2570" s="84"/>
      <c r="BB2570" s="84"/>
      <c r="BC2570" s="84"/>
      <c r="BD2570" s="84"/>
      <c r="BE2570" s="84"/>
      <c r="BF2570" s="84"/>
      <c r="BG2570" s="84"/>
      <c r="BH2570" s="84"/>
      <c r="BI2570" s="68" cm="1">
        <f t="array" ref="BI2570">IFERROR(INDEX(AW2570:BH2570,1,MATCH(2,1/(AW2570:BH2570&lt;&gt;""))),"")</f>
        <v>0</v>
      </c>
      <c r="BJ2570" s="68" cm="1">
        <f t="array" ref="BJ2570">IF(BM2570 = "", "",IFERROR(INDEX(AW2570:BH2570,1,MATCH(2,1/(AW2570:BH2570&lt;&gt;""),1)-1),""))</f>
        <v>0</v>
      </c>
      <c r="BK2570" s="57" cm="1">
        <f t="array" ref="BK2570">IFERROR(INDEX(AW2570:BH2570,1,MATCH(2,1/(AW2570:BH2570&lt;&gt;""),1)),"")</f>
        <v>0</v>
      </c>
      <c r="BL2570" s="57" cm="1">
        <f t="array" ref="BL2570">IF(BM2570 = "", "",IFERROR(INDEX(AW2570:BH2570,1,MATCH(2,1/(AW2570:BH2570&lt;&gt;""),1)-1),""))</f>
        <v>0</v>
      </c>
      <c r="BM2570" s="55" cm="1">
        <f t="array" ref="BM2570">IFERROR(
   INDEX($AW$1:$BH$1,
      _xlfn.AGGREGATE(14, 6, COLUMN($AW$1:$BH$1)/(AW2570:BH2570&lt;&gt;""), 2) - COLUMN($AW$1) + 1
   ),
"")</f>
        <v>46054</v>
      </c>
      <c r="BN2570" s="55" cm="1">
        <f t="array" ref="BN2570">IFERROR(INDEX($AW$1:$BH$1,1,MATCH(2,1/(AW2570:BH2570&lt;&gt;""))),"")</f>
        <v>46082</v>
      </c>
      <c r="BO2570" s="53">
        <f ca="1">IFERROR(_xlfn.XLOOKUP(F2570,Apuração!A:A,Apuração!C:C)/_xlfn.XLOOKUP(F2570,Apuração!A:A,Apuração!B:B),0)</f>
        <v>0</v>
      </c>
      <c r="BP2570" s="53">
        <f ca="1">IFERROR(_xlfn.XLOOKUP(F2570,Apuração!A:A,Apuração!D:D)/_xlfn.XLOOKUP(F2570,Apuração!A:A,Apuração!B:B),0)</f>
        <v>0</v>
      </c>
      <c r="BQ2570" s="53">
        <f ca="1">IF(BK2570&gt;=BO2570,0,_xlfn.XLOOKUP(F2570,Apuração!A:A,Apuração!B:B)*(BO2570 + (1/_xlfn.XLOOKUP(F2570,Apuração!A:A,Apuração!B:B)) - BK2570))</f>
        <v>0</v>
      </c>
      <c r="BR2570" s="85">
        <f t="shared" ca="1" si="3215"/>
        <v>0</v>
      </c>
      <c r="BS2570" s="53">
        <f ca="1">IFERROR((_xlfn.XLOOKUP(F2570,Apuração!A:A,Apuração!C:C)+1)/_xlfn.XLOOKUP(F2570,Apuração!A:A,Apuração!B:B),0)</f>
        <v>0.14285714285714285</v>
      </c>
    </row>
    <row r="2571" spans="1:71" ht="25.95" hidden="1" customHeight="1" x14ac:dyDescent="0.3">
      <c r="A2571" s="35" t="s">
        <v>44</v>
      </c>
      <c r="B2571" s="10" t="s">
        <v>44</v>
      </c>
      <c r="C2571" s="5" t="s">
        <v>97</v>
      </c>
      <c r="D2571" s="5" t="s">
        <v>107</v>
      </c>
      <c r="E2571" s="4" t="str" cm="1">
        <f t="array" ref="E2571">_xlfn.IFS(
F2571 = "A partir de Abril", "Aguardando Execução na Distribuidora",
A2571 = "CAPACITAÇÃO", "Em execução no Corporativo",
TRUE, "Em Execução na Distribuidora"
)</f>
        <v>Em Execução na Distribuidora</v>
      </c>
      <c r="F2571" s="4" t="str" cm="1">
        <f t="array" ref="F2571">_xlfn.IFS(
AG2571 &lt;&gt; "", "Jan-Dez/26",
AH2571 &lt;&gt; "", "Fev-Dez/26",
AI2571 &lt;&gt; "", "Mar-Dez/26", AJ2571 &lt;&gt; "", "Abr-Dez/26",
TRUE, "A partir de Junho"
)</f>
        <v>A partir de Junho</v>
      </c>
      <c r="G2571" s="10" t="s">
        <v>44</v>
      </c>
      <c r="H2571" s="36" t="s">
        <v>44</v>
      </c>
      <c r="I2571" s="37"/>
      <c r="J2571" s="37"/>
      <c r="K2571" s="37"/>
      <c r="L2571" s="37" t="s">
        <v>206</v>
      </c>
      <c r="M2571" s="37"/>
      <c r="N2571" s="5" t="s">
        <v>42</v>
      </c>
      <c r="O2571" s="5" t="s">
        <v>52</v>
      </c>
      <c r="P2571" s="10" t="s">
        <v>44</v>
      </c>
      <c r="Q2571" s="10" t="s">
        <v>44</v>
      </c>
      <c r="R2571" s="11" t="s">
        <v>44</v>
      </c>
      <c r="S2571" s="11" t="s">
        <v>44</v>
      </c>
      <c r="T2571" s="22"/>
      <c r="U2571" s="22"/>
      <c r="V2571" s="22"/>
      <c r="W2571" s="22"/>
      <c r="X2571" s="22"/>
      <c r="Y2571" s="22"/>
      <c r="Z2571" s="22"/>
      <c r="AA2571" s="22"/>
      <c r="AB2571" s="22"/>
      <c r="AC2571" s="22"/>
      <c r="AD2571" s="22"/>
      <c r="AE2571" s="22"/>
      <c r="AG2571" s="112"/>
      <c r="AH2571" s="112"/>
      <c r="AI2571" s="112"/>
      <c r="AJ2571" s="71"/>
      <c r="AK2571" s="71"/>
      <c r="AL2571" s="71"/>
      <c r="AM2571" s="71"/>
      <c r="AN2571" s="71"/>
      <c r="AO2571" s="71"/>
      <c r="AP2571" s="71"/>
      <c r="AQ2571" s="71"/>
      <c r="AR2571" s="71"/>
      <c r="AS2571" s="94"/>
      <c r="AT2571" s="95"/>
      <c r="AU2571" s="97"/>
      <c r="AW2571" s="84">
        <f t="shared" si="3212"/>
        <v>0</v>
      </c>
      <c r="AX2571" s="84">
        <f t="shared" si="3213"/>
        <v>0</v>
      </c>
      <c r="AY2571" s="84">
        <f t="shared" si="3214"/>
        <v>0</v>
      </c>
      <c r="AZ2571" s="84"/>
      <c r="BA2571" s="84"/>
      <c r="BB2571" s="84"/>
      <c r="BC2571" s="84"/>
      <c r="BD2571" s="84"/>
      <c r="BE2571" s="84"/>
      <c r="BF2571" s="84"/>
      <c r="BG2571" s="84"/>
      <c r="BH2571" s="84"/>
      <c r="BI2571" s="68" cm="1">
        <f t="array" ref="BI2571">IFERROR(INDEX(AW2571:BH2571,1,MATCH(2,1/(AW2571:BH2571&lt;&gt;""))),"")</f>
        <v>0</v>
      </c>
      <c r="BJ2571" s="68" cm="1">
        <f t="array" ref="BJ2571">IF(BM2571 = "", "",IFERROR(INDEX(AW2571:BH2571,1,MATCH(2,1/(AW2571:BH2571&lt;&gt;""),1)-1),""))</f>
        <v>0</v>
      </c>
      <c r="BK2571" s="57" cm="1">
        <f t="array" ref="BK2571">IFERROR(INDEX(AW2571:BH2571,1,MATCH(2,1/(AW2571:BH2571&lt;&gt;""),1)),"")</f>
        <v>0</v>
      </c>
      <c r="BL2571" s="57" cm="1">
        <f t="array" ref="BL2571">IF(BM2571 = "", "",IFERROR(INDEX(AW2571:BH2571,1,MATCH(2,1/(AW2571:BH2571&lt;&gt;""),1)-1),""))</f>
        <v>0</v>
      </c>
      <c r="BM2571" s="55" cm="1">
        <f t="array" ref="BM2571">IFERROR(
   INDEX($AW$1:$BH$1,
      _xlfn.AGGREGATE(14, 6, COLUMN($AW$1:$BH$1)/(AW2571:BH2571&lt;&gt;""), 2) - COLUMN($AW$1) + 1
   ),
"")</f>
        <v>46054</v>
      </c>
      <c r="BN2571" s="55" cm="1">
        <f t="array" ref="BN2571">IFERROR(INDEX($AW$1:$BH$1,1,MATCH(2,1/(AW2571:BH2571&lt;&gt;""))),"")</f>
        <v>46082</v>
      </c>
      <c r="BO2571" s="53">
        <f ca="1">IFERROR(_xlfn.XLOOKUP(F2571,Apuração!A:A,Apuração!C:C)/_xlfn.XLOOKUP(F2571,Apuração!A:A,Apuração!B:B),0)</f>
        <v>0</v>
      </c>
      <c r="BP2571" s="53">
        <f ca="1">IFERROR(_xlfn.XLOOKUP(F2571,Apuração!A:A,Apuração!D:D)/_xlfn.XLOOKUP(F2571,Apuração!A:A,Apuração!B:B),0)</f>
        <v>0</v>
      </c>
      <c r="BQ2571" s="53">
        <f ca="1">IF(BK2571&gt;=BO2571,0,_xlfn.XLOOKUP(F2571,Apuração!A:A,Apuração!B:B)*(BO2571 + (1/_xlfn.XLOOKUP(F2571,Apuração!A:A,Apuração!B:B)) - BK2571))</f>
        <v>0</v>
      </c>
      <c r="BR2571" s="85">
        <f t="shared" ca="1" si="3215"/>
        <v>0</v>
      </c>
      <c r="BS2571" s="53">
        <f ca="1">IFERROR((_xlfn.XLOOKUP(F2571,Apuração!A:A,Apuração!C:C)+1)/_xlfn.XLOOKUP(F2571,Apuração!A:A,Apuração!B:B),0)</f>
        <v>0.14285714285714285</v>
      </c>
    </row>
    <row r="2572" spans="1:71" ht="25.95" hidden="1" customHeight="1" x14ac:dyDescent="0.3">
      <c r="A2572" s="35" t="s">
        <v>44</v>
      </c>
      <c r="B2572" s="10" t="s">
        <v>44</v>
      </c>
      <c r="C2572" s="5" t="s">
        <v>97</v>
      </c>
      <c r="D2572" s="5" t="s">
        <v>36</v>
      </c>
      <c r="E2572" s="4" t="str" cm="1">
        <f t="array" ref="E2572">_xlfn.IFS(
F2572 = "A partir de Abril", "Aguardando Execução na Distribuidora",
A2572 = "CAPACITAÇÃO", "Em execução no Corporativo",
TRUE, "Em Execução na Distribuidora"
)</f>
        <v>Em Execução na Distribuidora</v>
      </c>
      <c r="F2572" s="4" t="str" cm="1">
        <f t="array" ref="F2572">_xlfn.IFS(
AG2572 &lt;&gt; "", "Jan-Dez/26",
AH2572 &lt;&gt; "", "Fev-Dez/26",
AI2572 &lt;&gt; "", "Mar-Dez/26", AJ2572 &lt;&gt; "", "Abr-Dez/26",
TRUE, "A partir de Junho"
)</f>
        <v>Jan-Dez/26</v>
      </c>
      <c r="G2572" s="10" t="s">
        <v>44</v>
      </c>
      <c r="H2572" s="36" t="s">
        <v>44</v>
      </c>
      <c r="I2572" s="37"/>
      <c r="J2572" s="37"/>
      <c r="K2572" s="37"/>
      <c r="L2572" s="37" t="s">
        <v>208</v>
      </c>
      <c r="M2572" s="37"/>
      <c r="N2572" s="5" t="s">
        <v>42</v>
      </c>
      <c r="O2572" s="5" t="s">
        <v>52</v>
      </c>
      <c r="P2572" s="10" t="s">
        <v>44</v>
      </c>
      <c r="Q2572" s="10" t="s">
        <v>44</v>
      </c>
      <c r="R2572" s="11" t="s">
        <v>44</v>
      </c>
      <c r="S2572" s="11" t="s">
        <v>44</v>
      </c>
      <c r="T2572" s="22"/>
      <c r="U2572" s="22"/>
      <c r="V2572" s="22"/>
      <c r="W2572" s="22"/>
      <c r="X2572" s="22"/>
      <c r="Y2572" s="22"/>
      <c r="Z2572" s="22"/>
      <c r="AA2572" s="22"/>
      <c r="AB2572" s="22"/>
      <c r="AC2572" s="22"/>
      <c r="AD2572" s="22"/>
      <c r="AE2572" s="22"/>
      <c r="AG2572" s="112">
        <v>91.916677008970154</v>
      </c>
      <c r="AH2572" s="112">
        <v>3728.2318137283214</v>
      </c>
      <c r="AI2572" s="112">
        <v>33.104198510397744</v>
      </c>
      <c r="AJ2572" s="112">
        <v>1015.9670234683133</v>
      </c>
      <c r="AK2572" s="112"/>
      <c r="AL2572" s="112"/>
      <c r="AM2572" s="112"/>
      <c r="AN2572" s="112"/>
      <c r="AO2572" s="112"/>
      <c r="AP2572" s="112"/>
      <c r="AQ2572" s="112"/>
      <c r="AR2572" s="112"/>
      <c r="AS2572" s="94"/>
      <c r="AT2572" s="95"/>
      <c r="AU2572" s="97"/>
      <c r="AW2572" s="84">
        <f>AG2572</f>
        <v>91.916677008970154</v>
      </c>
      <c r="AX2572" s="84">
        <f>AH2572</f>
        <v>3728.2318137283214</v>
      </c>
      <c r="AY2572" s="84">
        <f>AI2572</f>
        <v>33.104198510397744</v>
      </c>
      <c r="AZ2572" s="84">
        <f>AJ2572</f>
        <v>1015.9670234683133</v>
      </c>
      <c r="BA2572" s="84"/>
      <c r="BB2572" s="84"/>
      <c r="BC2572" s="84"/>
      <c r="BD2572" s="84"/>
      <c r="BE2572" s="84"/>
      <c r="BF2572" s="84"/>
      <c r="BG2572" s="84"/>
      <c r="BH2572" s="84"/>
      <c r="BI2572" s="68" cm="1">
        <f t="array" ref="BI2572">IFERROR(INDEX(AW2572:BH2572,1,MATCH(2,1/(AW2572:BH2572&lt;&gt;""))),"")</f>
        <v>1015.9670234683133</v>
      </c>
      <c r="BJ2572" s="68" cm="1">
        <f t="array" ref="BJ2572">IF(BM2572 = "", "",IFERROR(INDEX(AW2572:BH2572,1,MATCH(2,1/(AW2572:BH2572&lt;&gt;""),1)-1),""))</f>
        <v>33.104198510397744</v>
      </c>
      <c r="BK2572" s="57" cm="1">
        <f t="array" ref="BK2572">IFERROR(INDEX(AW2572:BH2572,1,MATCH(2,1/(AW2572:BH2572&lt;&gt;""),1)),"")</f>
        <v>1015.9670234683133</v>
      </c>
      <c r="BL2572" s="57" cm="1">
        <f t="array" ref="BL2572">IF(BM2572 = "", "",IFERROR(INDEX(AW2572:BH2572,1,MATCH(2,1/(AW2572:BH2572&lt;&gt;""),1)-1),""))</f>
        <v>33.104198510397744</v>
      </c>
      <c r="BM2572" s="55" cm="1">
        <f t="array" ref="BM2572">IFERROR(
   INDEX($AW$1:$BH$1,
      _xlfn.AGGREGATE(14, 6, COLUMN($AW$1:$BH$1)/(AW2572:BH2572&lt;&gt;""), 2) - COLUMN($AW$1) + 1
   ),
"")</f>
        <v>46082</v>
      </c>
      <c r="BN2572" s="55" cm="1">
        <f t="array" ref="BN2572">IFERROR(INDEX($AW$1:$BH$1,1,MATCH(2,1/(AW2572:BH2572&lt;&gt;""))),"")</f>
        <v>46113</v>
      </c>
      <c r="BO2572" s="53">
        <f ca="1">IFERROR(_xlfn.XLOOKUP(F2572,Apuração!A:A,Apuração!C:C)/_xlfn.XLOOKUP(F2572,Apuração!A:A,Apuração!B:B),0)</f>
        <v>0.41666666666666669</v>
      </c>
      <c r="BP2572" s="53">
        <f ca="1">IFERROR(_xlfn.XLOOKUP(F2572,Apuração!A:A,Apuração!D:D)/_xlfn.XLOOKUP(F2572,Apuração!A:A,Apuração!B:B),0)</f>
        <v>0.33333333333333331</v>
      </c>
      <c r="BQ2572" s="53">
        <f ca="1">IF(BK2572&gt;=BO2572,0,_xlfn.XLOOKUP(F2572,Apuração!A:A,Apuração!B:B)*(BO2572 + (1/_xlfn.XLOOKUP(F2572,Apuração!A:A,Apuração!B:B)) - BK2572))</f>
        <v>0</v>
      </c>
      <c r="BR2572" s="85">
        <f ca="1">IF(BQ2572=0,0,BQ2572*Z2572)</f>
        <v>0</v>
      </c>
      <c r="BS2572" s="53">
        <f ca="1">IFERROR((_xlfn.XLOOKUP(F2572,Apuração!A:A,Apuração!C:C)+1)/_xlfn.XLOOKUP(F2572,Apuração!A:A,Apuração!B:B),0)</f>
        <v>0.5</v>
      </c>
    </row>
    <row r="2573" spans="1:71" ht="25.95" hidden="1" customHeight="1" x14ac:dyDescent="0.3">
      <c r="A2573" s="35" t="s">
        <v>44</v>
      </c>
      <c r="B2573" s="10" t="s">
        <v>44</v>
      </c>
      <c r="C2573" s="5" t="s">
        <v>209</v>
      </c>
      <c r="D2573" s="5" t="s">
        <v>210</v>
      </c>
      <c r="E2573" s="4" t="str" cm="1">
        <f t="array" ref="E2573">_xlfn.IFS(
F2573 = "A partir de Abril", "Aguardando Execução na Distribuidora",
A2573 = "CAPACITAÇÃO", "Em execução no Corporativo",
TRUE, "Em Execução na Distribuidora"
)</f>
        <v>Em Execução na Distribuidora</v>
      </c>
      <c r="F2573" s="4" t="str" cm="1">
        <f t="array" ref="F2573">_xlfn.IFS(
AG2573 &lt;&gt; "", "Jan-Dez/26",
AH2573 &lt;&gt; "", "Fev-Dez/26",
AI2573 &lt;&gt; "", "Mar-Dez/26", AJ2573 &lt;&gt; "", "Abr-Dez/26",
TRUE, "A partir de Junho"
)</f>
        <v>A partir de Junho</v>
      </c>
      <c r="G2573" s="10" t="s">
        <v>44</v>
      </c>
      <c r="H2573" s="36" t="s">
        <v>44</v>
      </c>
      <c r="I2573" s="37"/>
      <c r="J2573" s="37"/>
      <c r="K2573" s="37"/>
      <c r="L2573" s="37" t="s">
        <v>208</v>
      </c>
      <c r="M2573" s="37"/>
      <c r="N2573" s="5" t="s">
        <v>42</v>
      </c>
      <c r="O2573" s="5" t="s">
        <v>52</v>
      </c>
      <c r="P2573" s="10" t="s">
        <v>44</v>
      </c>
      <c r="Q2573" s="10" t="s">
        <v>44</v>
      </c>
      <c r="R2573" s="11" t="s">
        <v>44</v>
      </c>
      <c r="S2573" s="11" t="s">
        <v>44</v>
      </c>
      <c r="T2573" s="22"/>
      <c r="U2573" s="22"/>
      <c r="V2573" s="22"/>
      <c r="W2573" s="22"/>
      <c r="X2573" s="22"/>
      <c r="Y2573" s="22"/>
      <c r="Z2573" s="22"/>
      <c r="AA2573" s="22"/>
      <c r="AB2573" s="22"/>
      <c r="AC2573" s="22"/>
      <c r="AD2573" s="22"/>
      <c r="AE2573" s="22"/>
      <c r="AG2573" s="112"/>
      <c r="AH2573" s="112"/>
      <c r="AI2573" s="112"/>
      <c r="AJ2573" s="71"/>
      <c r="AK2573" s="71"/>
      <c r="AL2573" s="71"/>
      <c r="AM2573" s="71"/>
      <c r="AN2573" s="71"/>
      <c r="AO2573" s="71"/>
      <c r="AP2573" s="71"/>
      <c r="AQ2573" s="71"/>
      <c r="AR2573" s="71"/>
      <c r="AS2573" s="94"/>
      <c r="AT2573" s="95"/>
      <c r="AU2573" s="97"/>
      <c r="AW2573" s="84">
        <f t="shared" ref="AW2573:AW2577" si="3216">AG2573</f>
        <v>0</v>
      </c>
      <c r="AX2573" s="84">
        <f t="shared" ref="AX2573:AX2577" si="3217">AH2573</f>
        <v>0</v>
      </c>
      <c r="AY2573" s="84">
        <f t="shared" ref="AY2573:AY2577" si="3218">AI2573</f>
        <v>0</v>
      </c>
      <c r="AZ2573" s="84"/>
      <c r="BA2573" s="84"/>
      <c r="BB2573" s="84"/>
      <c r="BC2573" s="84"/>
      <c r="BD2573" s="84"/>
      <c r="BE2573" s="84"/>
      <c r="BF2573" s="84"/>
      <c r="BG2573" s="84"/>
      <c r="BH2573" s="84"/>
      <c r="BI2573" s="68" cm="1">
        <f t="array" ref="BI2573">IFERROR(INDEX(AW2573:BH2573,1,MATCH(2,1/(AW2573:BH2573&lt;&gt;""))),"")</f>
        <v>0</v>
      </c>
      <c r="BJ2573" s="68" cm="1">
        <f t="array" ref="BJ2573">IF(BM2573 = "", "",IFERROR(INDEX(AW2573:BH2573,1,MATCH(2,1/(AW2573:BH2573&lt;&gt;""),1)-1),""))</f>
        <v>0</v>
      </c>
      <c r="BK2573" s="57" cm="1">
        <f t="array" ref="BK2573">IFERROR(INDEX(AW2573:BH2573,1,MATCH(2,1/(AW2573:BH2573&lt;&gt;""),1)),"")</f>
        <v>0</v>
      </c>
      <c r="BL2573" s="57" cm="1">
        <f t="array" ref="BL2573">IF(BM2573 = "", "",IFERROR(INDEX(AW2573:BH2573,1,MATCH(2,1/(AW2573:BH2573&lt;&gt;""),1)-1),""))</f>
        <v>0</v>
      </c>
      <c r="BM2573" s="55" cm="1">
        <f t="array" ref="BM2573">IFERROR(
   INDEX($AW$1:$BH$1,
      _xlfn.AGGREGATE(14, 6, COLUMN($AW$1:$BH$1)/(AW2573:BH2573&lt;&gt;""), 2) - COLUMN($AW$1) + 1
   ),
"")</f>
        <v>46054</v>
      </c>
      <c r="BN2573" s="55" cm="1">
        <f t="array" ref="BN2573">IFERROR(INDEX($AW$1:$BH$1,1,MATCH(2,1/(AW2573:BH2573&lt;&gt;""))),"")</f>
        <v>46082</v>
      </c>
      <c r="BO2573" s="53">
        <f ca="1">IFERROR(_xlfn.XLOOKUP(F2573,Apuração!A:A,Apuração!C:C)/_xlfn.XLOOKUP(F2573,Apuração!A:A,Apuração!B:B),0)</f>
        <v>0</v>
      </c>
      <c r="BP2573" s="53">
        <f ca="1">IFERROR(_xlfn.XLOOKUP(F2573,Apuração!A:A,Apuração!D:D)/_xlfn.XLOOKUP(F2573,Apuração!A:A,Apuração!B:B),0)</f>
        <v>0</v>
      </c>
      <c r="BQ2573" s="53">
        <f ca="1">IF(BK2573&gt;=BO2573,0,_xlfn.XLOOKUP(F2573,Apuração!A:A,Apuração!B:B)*(BO2573 + (1/_xlfn.XLOOKUP(F2573,Apuração!A:A,Apuração!B:B)) - BK2573))</f>
        <v>0</v>
      </c>
      <c r="BR2573" s="85">
        <f t="shared" ref="BR2573:BR2577" ca="1" si="3219">IF(BQ2573=0,0,BQ2573*Z2573)</f>
        <v>0</v>
      </c>
      <c r="BS2573" s="53">
        <f ca="1">IFERROR((_xlfn.XLOOKUP(F2573,Apuração!A:A,Apuração!C:C)+1)/_xlfn.XLOOKUP(F2573,Apuração!A:A,Apuração!B:B),0)</f>
        <v>0.14285714285714285</v>
      </c>
    </row>
    <row r="2574" spans="1:71" ht="25.95" hidden="1" customHeight="1" x14ac:dyDescent="0.3">
      <c r="A2574" s="35" t="s">
        <v>44</v>
      </c>
      <c r="B2574" s="10" t="s">
        <v>44</v>
      </c>
      <c r="C2574" s="5" t="s">
        <v>209</v>
      </c>
      <c r="D2574" s="5" t="s">
        <v>47</v>
      </c>
      <c r="E2574" s="4" t="str" cm="1">
        <f t="array" ref="E2574">_xlfn.IFS(
F2574 = "A partir de Abril", "Aguardando Execução na Distribuidora",
A2574 = "CAPACITAÇÃO", "Em execução no Corporativo",
TRUE, "Em Execução na Distribuidora"
)</f>
        <v>Em Execução na Distribuidora</v>
      </c>
      <c r="F2574" s="4" t="str" cm="1">
        <f t="array" ref="F2574">_xlfn.IFS(
AG2574 &lt;&gt; "", "Jan-Dez/26",
AH2574 &lt;&gt; "", "Fev-Dez/26",
AI2574 &lt;&gt; "", "Mar-Dez/26", AJ2574 &lt;&gt; "", "Abr-Dez/26",
TRUE, "A partir de Junho"
)</f>
        <v>A partir de Junho</v>
      </c>
      <c r="G2574" s="10" t="s">
        <v>44</v>
      </c>
      <c r="H2574" s="36" t="s">
        <v>44</v>
      </c>
      <c r="I2574" s="37"/>
      <c r="J2574" s="37"/>
      <c r="K2574" s="37"/>
      <c r="L2574" s="37" t="s">
        <v>208</v>
      </c>
      <c r="M2574" s="37"/>
      <c r="N2574" s="5" t="s">
        <v>42</v>
      </c>
      <c r="O2574" s="5" t="s">
        <v>52</v>
      </c>
      <c r="P2574" s="10" t="s">
        <v>44</v>
      </c>
      <c r="Q2574" s="10" t="s">
        <v>44</v>
      </c>
      <c r="R2574" s="11" t="s">
        <v>44</v>
      </c>
      <c r="S2574" s="11" t="s">
        <v>44</v>
      </c>
      <c r="T2574" s="22"/>
      <c r="U2574" s="22"/>
      <c r="V2574" s="22"/>
      <c r="W2574" s="22"/>
      <c r="X2574" s="22"/>
      <c r="Y2574" s="22"/>
      <c r="Z2574" s="22"/>
      <c r="AA2574" s="22"/>
      <c r="AB2574" s="22"/>
      <c r="AC2574" s="22"/>
      <c r="AD2574" s="22"/>
      <c r="AE2574" s="22"/>
      <c r="AG2574" s="112"/>
      <c r="AH2574" s="112"/>
      <c r="AI2574" s="112"/>
      <c r="AJ2574" s="71"/>
      <c r="AK2574" s="71"/>
      <c r="AL2574" s="71"/>
      <c r="AM2574" s="71"/>
      <c r="AN2574" s="71"/>
      <c r="AO2574" s="71"/>
      <c r="AP2574" s="71"/>
      <c r="AQ2574" s="71"/>
      <c r="AR2574" s="71"/>
      <c r="AS2574" s="94"/>
      <c r="AT2574" s="95"/>
      <c r="AU2574" s="97"/>
      <c r="AW2574" s="84">
        <f t="shared" si="3216"/>
        <v>0</v>
      </c>
      <c r="AX2574" s="84">
        <f t="shared" si="3217"/>
        <v>0</v>
      </c>
      <c r="AY2574" s="84">
        <f t="shared" si="3218"/>
        <v>0</v>
      </c>
      <c r="AZ2574" s="84"/>
      <c r="BA2574" s="84"/>
      <c r="BB2574" s="84"/>
      <c r="BC2574" s="84"/>
      <c r="BD2574" s="84"/>
      <c r="BE2574" s="84"/>
      <c r="BF2574" s="84"/>
      <c r="BG2574" s="84"/>
      <c r="BH2574" s="84"/>
      <c r="BI2574" s="68" cm="1">
        <f t="array" ref="BI2574">IFERROR(INDEX(AW2574:BH2574,1,MATCH(2,1/(AW2574:BH2574&lt;&gt;""))),"")</f>
        <v>0</v>
      </c>
      <c r="BJ2574" s="68" cm="1">
        <f t="array" ref="BJ2574">IF(BM2574 = "", "",IFERROR(INDEX(AW2574:BH2574,1,MATCH(2,1/(AW2574:BH2574&lt;&gt;""),1)-1),""))</f>
        <v>0</v>
      </c>
      <c r="BK2574" s="57" cm="1">
        <f t="array" ref="BK2574">IFERROR(INDEX(AW2574:BH2574,1,MATCH(2,1/(AW2574:BH2574&lt;&gt;""),1)),"")</f>
        <v>0</v>
      </c>
      <c r="BL2574" s="57" cm="1">
        <f t="array" ref="BL2574">IF(BM2574 = "", "",IFERROR(INDEX(AW2574:BH2574,1,MATCH(2,1/(AW2574:BH2574&lt;&gt;""),1)-1),""))</f>
        <v>0</v>
      </c>
      <c r="BM2574" s="55" cm="1">
        <f t="array" ref="BM2574">IFERROR(
   INDEX($AW$1:$BH$1,
      _xlfn.AGGREGATE(14, 6, COLUMN($AW$1:$BH$1)/(AW2574:BH2574&lt;&gt;""), 2) - COLUMN($AW$1) + 1
   ),
"")</f>
        <v>46054</v>
      </c>
      <c r="BN2574" s="55" cm="1">
        <f t="array" ref="BN2574">IFERROR(INDEX($AW$1:$BH$1,1,MATCH(2,1/(AW2574:BH2574&lt;&gt;""))),"")</f>
        <v>46082</v>
      </c>
      <c r="BO2574" s="53">
        <f ca="1">IFERROR(_xlfn.XLOOKUP(F2574,Apuração!A:A,Apuração!C:C)/_xlfn.XLOOKUP(F2574,Apuração!A:A,Apuração!B:B),0)</f>
        <v>0</v>
      </c>
      <c r="BP2574" s="53">
        <f ca="1">IFERROR(_xlfn.XLOOKUP(F2574,Apuração!A:A,Apuração!D:D)/_xlfn.XLOOKUP(F2574,Apuração!A:A,Apuração!B:B),0)</f>
        <v>0</v>
      </c>
      <c r="BQ2574" s="53">
        <f ca="1">IF(BK2574&gt;=BO2574,0,_xlfn.XLOOKUP(F2574,Apuração!A:A,Apuração!B:B)*(BO2574 + (1/_xlfn.XLOOKUP(F2574,Apuração!A:A,Apuração!B:B)) - BK2574))</f>
        <v>0</v>
      </c>
      <c r="BR2574" s="85">
        <f t="shared" ca="1" si="3219"/>
        <v>0</v>
      </c>
      <c r="BS2574" s="53">
        <f ca="1">IFERROR((_xlfn.XLOOKUP(F2574,Apuração!A:A,Apuração!C:C)+1)/_xlfn.XLOOKUP(F2574,Apuração!A:A,Apuração!B:B),0)</f>
        <v>0.14285714285714285</v>
      </c>
    </row>
    <row r="2575" spans="1:71" ht="25.95" hidden="1" customHeight="1" x14ac:dyDescent="0.3">
      <c r="A2575" s="35" t="s">
        <v>44</v>
      </c>
      <c r="B2575" s="10" t="s">
        <v>44</v>
      </c>
      <c r="C2575" s="5" t="s">
        <v>209</v>
      </c>
      <c r="D2575" s="5" t="s">
        <v>211</v>
      </c>
      <c r="E2575" s="4" t="str" cm="1">
        <f t="array" ref="E2575">_xlfn.IFS(
F2575 = "A partir de Abril", "Aguardando Execução na Distribuidora",
A2575 = "CAPACITAÇÃO", "Em execução no Corporativo",
TRUE, "Em Execução na Distribuidora"
)</f>
        <v>Em Execução na Distribuidora</v>
      </c>
      <c r="F2575" s="4" t="str" cm="1">
        <f t="array" ref="F2575">_xlfn.IFS(
AG2575 &lt;&gt; "", "Jan-Dez/26",
AH2575 &lt;&gt; "", "Fev-Dez/26",
AI2575 &lt;&gt; "", "Mar-Dez/26", AJ2575 &lt;&gt; "", "Abr-Dez/26",
TRUE, "A partir de Junho"
)</f>
        <v>A partir de Junho</v>
      </c>
      <c r="G2575" s="10" t="s">
        <v>44</v>
      </c>
      <c r="H2575" s="36" t="s">
        <v>44</v>
      </c>
      <c r="I2575" s="37"/>
      <c r="J2575" s="37"/>
      <c r="K2575" s="37"/>
      <c r="L2575" s="37" t="s">
        <v>208</v>
      </c>
      <c r="M2575" s="37"/>
      <c r="N2575" s="5" t="s">
        <v>42</v>
      </c>
      <c r="O2575" s="5" t="s">
        <v>52</v>
      </c>
      <c r="P2575" s="10" t="s">
        <v>44</v>
      </c>
      <c r="Q2575" s="10" t="s">
        <v>44</v>
      </c>
      <c r="R2575" s="11" t="s">
        <v>44</v>
      </c>
      <c r="S2575" s="11" t="s">
        <v>44</v>
      </c>
      <c r="T2575" s="22"/>
      <c r="U2575" s="22"/>
      <c r="V2575" s="22"/>
      <c r="W2575" s="22"/>
      <c r="X2575" s="22"/>
      <c r="Y2575" s="22"/>
      <c r="Z2575" s="22"/>
      <c r="AA2575" s="22"/>
      <c r="AB2575" s="22"/>
      <c r="AC2575" s="22"/>
      <c r="AD2575" s="22"/>
      <c r="AE2575" s="22"/>
      <c r="AG2575" s="112"/>
      <c r="AH2575" s="112"/>
      <c r="AI2575" s="112"/>
      <c r="AJ2575" s="71"/>
      <c r="AK2575" s="71"/>
      <c r="AL2575" s="71"/>
      <c r="AM2575" s="71"/>
      <c r="AN2575" s="71"/>
      <c r="AO2575" s="71"/>
      <c r="AP2575" s="71"/>
      <c r="AQ2575" s="71"/>
      <c r="AR2575" s="71"/>
      <c r="AS2575" s="94"/>
      <c r="AT2575" s="95"/>
      <c r="AU2575" s="97"/>
      <c r="AW2575" s="84">
        <f t="shared" si="3216"/>
        <v>0</v>
      </c>
      <c r="AX2575" s="84">
        <f t="shared" si="3217"/>
        <v>0</v>
      </c>
      <c r="AY2575" s="84">
        <f t="shared" si="3218"/>
        <v>0</v>
      </c>
      <c r="AZ2575" s="84"/>
      <c r="BA2575" s="84"/>
      <c r="BB2575" s="84"/>
      <c r="BC2575" s="84"/>
      <c r="BD2575" s="84"/>
      <c r="BE2575" s="84"/>
      <c r="BF2575" s="84"/>
      <c r="BG2575" s="84"/>
      <c r="BH2575" s="84"/>
      <c r="BI2575" s="68" cm="1">
        <f t="array" ref="BI2575">IFERROR(INDEX(AW2575:BH2575,1,MATCH(2,1/(AW2575:BH2575&lt;&gt;""))),"")</f>
        <v>0</v>
      </c>
      <c r="BJ2575" s="68" cm="1">
        <f t="array" ref="BJ2575">IF(BM2575 = "", "",IFERROR(INDEX(AW2575:BH2575,1,MATCH(2,1/(AW2575:BH2575&lt;&gt;""),1)-1),""))</f>
        <v>0</v>
      </c>
      <c r="BK2575" s="57" cm="1">
        <f t="array" ref="BK2575">IFERROR(INDEX(AW2575:BH2575,1,MATCH(2,1/(AW2575:BH2575&lt;&gt;""),1)),"")</f>
        <v>0</v>
      </c>
      <c r="BL2575" s="57" cm="1">
        <f t="array" ref="BL2575">IF(BM2575 = "", "",IFERROR(INDEX(AW2575:BH2575,1,MATCH(2,1/(AW2575:BH2575&lt;&gt;""),1)-1),""))</f>
        <v>0</v>
      </c>
      <c r="BM2575" s="55" cm="1">
        <f t="array" ref="BM2575">IFERROR(
   INDEX($AW$1:$BH$1,
      _xlfn.AGGREGATE(14, 6, COLUMN($AW$1:$BH$1)/(AW2575:BH2575&lt;&gt;""), 2) - COLUMN($AW$1) + 1
   ),
"")</f>
        <v>46054</v>
      </c>
      <c r="BN2575" s="55" cm="1">
        <f t="array" ref="BN2575">IFERROR(INDEX($AW$1:$BH$1,1,MATCH(2,1/(AW2575:BH2575&lt;&gt;""))),"")</f>
        <v>46082</v>
      </c>
      <c r="BO2575" s="53">
        <f ca="1">IFERROR(_xlfn.XLOOKUP(F2575,Apuração!A:A,Apuração!C:C)/_xlfn.XLOOKUP(F2575,Apuração!A:A,Apuração!B:B),0)</f>
        <v>0</v>
      </c>
      <c r="BP2575" s="53">
        <f ca="1">IFERROR(_xlfn.XLOOKUP(F2575,Apuração!A:A,Apuração!D:D)/_xlfn.XLOOKUP(F2575,Apuração!A:A,Apuração!B:B),0)</f>
        <v>0</v>
      </c>
      <c r="BQ2575" s="53">
        <f ca="1">IF(BK2575&gt;=BO2575,0,_xlfn.XLOOKUP(F2575,Apuração!A:A,Apuração!B:B)*(BO2575 + (1/_xlfn.XLOOKUP(F2575,Apuração!A:A,Apuração!B:B)) - BK2575))</f>
        <v>0</v>
      </c>
      <c r="BR2575" s="85">
        <f t="shared" ca="1" si="3219"/>
        <v>0</v>
      </c>
      <c r="BS2575" s="53">
        <f ca="1">IFERROR((_xlfn.XLOOKUP(F2575,Apuração!A:A,Apuração!C:C)+1)/_xlfn.XLOOKUP(F2575,Apuração!A:A,Apuração!B:B),0)</f>
        <v>0.14285714285714285</v>
      </c>
    </row>
    <row r="2576" spans="1:71" ht="25.95" hidden="1" customHeight="1" x14ac:dyDescent="0.3">
      <c r="A2576" s="35" t="s">
        <v>44</v>
      </c>
      <c r="B2576" s="10" t="s">
        <v>44</v>
      </c>
      <c r="C2576" s="5" t="s">
        <v>209</v>
      </c>
      <c r="D2576" s="5" t="s">
        <v>212</v>
      </c>
      <c r="E2576" s="4" t="str" cm="1">
        <f t="array" ref="E2576">_xlfn.IFS(
F2576 = "A partir de Abril", "Aguardando Execução na Distribuidora",
A2576 = "CAPACITAÇÃO", "Em execução no Corporativo",
TRUE, "Em Execução na Distribuidora"
)</f>
        <v>Em Execução na Distribuidora</v>
      </c>
      <c r="F2576" s="4" t="str" cm="1">
        <f t="array" ref="F2576">_xlfn.IFS(
AG2576 &lt;&gt; "", "Jan-Dez/26",
AH2576 &lt;&gt; "", "Fev-Dez/26",
AI2576 &lt;&gt; "", "Mar-Dez/26", AJ2576 &lt;&gt; "", "Abr-Dez/26",
TRUE, "A partir de Junho"
)</f>
        <v>A partir de Junho</v>
      </c>
      <c r="G2576" s="10" t="s">
        <v>44</v>
      </c>
      <c r="H2576" s="36" t="s">
        <v>44</v>
      </c>
      <c r="I2576" s="37"/>
      <c r="J2576" s="37"/>
      <c r="K2576" s="37"/>
      <c r="L2576" s="37" t="s">
        <v>208</v>
      </c>
      <c r="M2576" s="37"/>
      <c r="N2576" s="5" t="s">
        <v>42</v>
      </c>
      <c r="O2576" s="5" t="s">
        <v>52</v>
      </c>
      <c r="P2576" s="10" t="s">
        <v>44</v>
      </c>
      <c r="Q2576" s="10" t="s">
        <v>44</v>
      </c>
      <c r="R2576" s="11" t="s">
        <v>44</v>
      </c>
      <c r="S2576" s="11" t="s">
        <v>44</v>
      </c>
      <c r="T2576" s="22"/>
      <c r="U2576" s="22"/>
      <c r="V2576" s="22"/>
      <c r="W2576" s="22"/>
      <c r="X2576" s="22"/>
      <c r="Y2576" s="22"/>
      <c r="Z2576" s="22"/>
      <c r="AA2576" s="22"/>
      <c r="AB2576" s="22"/>
      <c r="AC2576" s="22"/>
      <c r="AD2576" s="22"/>
      <c r="AE2576" s="22"/>
      <c r="AG2576" s="112"/>
      <c r="AH2576" s="112"/>
      <c r="AI2576" s="112"/>
      <c r="AJ2576" s="71"/>
      <c r="AK2576" s="71"/>
      <c r="AL2576" s="71"/>
      <c r="AM2576" s="71"/>
      <c r="AN2576" s="71"/>
      <c r="AO2576" s="71"/>
      <c r="AP2576" s="71"/>
      <c r="AQ2576" s="71"/>
      <c r="AR2576" s="71"/>
      <c r="AS2576" s="94"/>
      <c r="AT2576" s="95"/>
      <c r="AU2576" s="97"/>
      <c r="AW2576" s="84">
        <f t="shared" si="3216"/>
        <v>0</v>
      </c>
      <c r="AX2576" s="84">
        <f t="shared" si="3217"/>
        <v>0</v>
      </c>
      <c r="AY2576" s="84">
        <f t="shared" si="3218"/>
        <v>0</v>
      </c>
      <c r="AZ2576" s="84"/>
      <c r="BA2576" s="84"/>
      <c r="BB2576" s="84"/>
      <c r="BC2576" s="84"/>
      <c r="BD2576" s="84"/>
      <c r="BE2576" s="84"/>
      <c r="BF2576" s="84"/>
      <c r="BG2576" s="84"/>
      <c r="BH2576" s="84"/>
      <c r="BI2576" s="68" cm="1">
        <f t="array" ref="BI2576">IFERROR(INDEX(AW2576:BH2576,1,MATCH(2,1/(AW2576:BH2576&lt;&gt;""))),"")</f>
        <v>0</v>
      </c>
      <c r="BJ2576" s="68" cm="1">
        <f t="array" ref="BJ2576">IF(BM2576 = "", "",IFERROR(INDEX(AW2576:BH2576,1,MATCH(2,1/(AW2576:BH2576&lt;&gt;""),1)-1),""))</f>
        <v>0</v>
      </c>
      <c r="BK2576" s="57" cm="1">
        <f t="array" ref="BK2576">IFERROR(INDEX(AW2576:BH2576,1,MATCH(2,1/(AW2576:BH2576&lt;&gt;""),1)),"")</f>
        <v>0</v>
      </c>
      <c r="BL2576" s="57" cm="1">
        <f t="array" ref="BL2576">IF(BM2576 = "", "",IFERROR(INDEX(AW2576:BH2576,1,MATCH(2,1/(AW2576:BH2576&lt;&gt;""),1)-1),""))</f>
        <v>0</v>
      </c>
      <c r="BM2576" s="55" cm="1">
        <f t="array" ref="BM2576">IFERROR(
   INDEX($AW$1:$BH$1,
      _xlfn.AGGREGATE(14, 6, COLUMN($AW$1:$BH$1)/(AW2576:BH2576&lt;&gt;""), 2) - COLUMN($AW$1) + 1
   ),
"")</f>
        <v>46054</v>
      </c>
      <c r="BN2576" s="55" cm="1">
        <f t="array" ref="BN2576">IFERROR(INDEX($AW$1:$BH$1,1,MATCH(2,1/(AW2576:BH2576&lt;&gt;""))),"")</f>
        <v>46082</v>
      </c>
      <c r="BO2576" s="53">
        <f ca="1">IFERROR(_xlfn.XLOOKUP(F2576,Apuração!A:A,Apuração!C:C)/_xlfn.XLOOKUP(F2576,Apuração!A:A,Apuração!B:B),0)</f>
        <v>0</v>
      </c>
      <c r="BP2576" s="53">
        <f ca="1">IFERROR(_xlfn.XLOOKUP(F2576,Apuração!A:A,Apuração!D:D)/_xlfn.XLOOKUP(F2576,Apuração!A:A,Apuração!B:B),0)</f>
        <v>0</v>
      </c>
      <c r="BQ2576" s="53">
        <f ca="1">IF(BK2576&gt;=BO2576,0,_xlfn.XLOOKUP(F2576,Apuração!A:A,Apuração!B:B)*(BO2576 + (1/_xlfn.XLOOKUP(F2576,Apuração!A:A,Apuração!B:B)) - BK2576))</f>
        <v>0</v>
      </c>
      <c r="BR2576" s="85">
        <f t="shared" ca="1" si="3219"/>
        <v>0</v>
      </c>
      <c r="BS2576" s="53">
        <f ca="1">IFERROR((_xlfn.XLOOKUP(F2576,Apuração!A:A,Apuração!C:C)+1)/_xlfn.XLOOKUP(F2576,Apuração!A:A,Apuração!B:B),0)</f>
        <v>0.14285714285714285</v>
      </c>
    </row>
    <row r="2577" spans="1:71" ht="25.95" hidden="1" customHeight="1" x14ac:dyDescent="0.3">
      <c r="A2577" s="35" t="s">
        <v>44</v>
      </c>
      <c r="B2577" s="10" t="s">
        <v>44</v>
      </c>
      <c r="C2577" s="5" t="s">
        <v>209</v>
      </c>
      <c r="D2577" s="5" t="s">
        <v>213</v>
      </c>
      <c r="E2577" s="4" t="str" cm="1">
        <f t="array" ref="E2577">_xlfn.IFS(
F2577 = "A partir de Abril", "Aguardando Execução na Distribuidora",
A2577 = "CAPACITAÇÃO", "Em execução no Corporativo",
TRUE, "Em Execução na Distribuidora"
)</f>
        <v>Em Execução na Distribuidora</v>
      </c>
      <c r="F2577" s="4" t="str" cm="1">
        <f t="array" ref="F2577">_xlfn.IFS(
AG2577 &lt;&gt; "", "Jan-Dez/26",
AH2577 &lt;&gt; "", "Fev-Dez/26",
AI2577 &lt;&gt; "", "Mar-Dez/26", AJ2577 &lt;&gt; "", "Abr-Dez/26",
TRUE, "A partir de Junho"
)</f>
        <v>A partir de Junho</v>
      </c>
      <c r="G2577" s="10" t="s">
        <v>44</v>
      </c>
      <c r="H2577" s="36" t="s">
        <v>44</v>
      </c>
      <c r="I2577" s="37"/>
      <c r="J2577" s="37"/>
      <c r="K2577" s="37"/>
      <c r="L2577" s="37" t="s">
        <v>208</v>
      </c>
      <c r="M2577" s="37"/>
      <c r="N2577" s="5" t="s">
        <v>42</v>
      </c>
      <c r="O2577" s="5" t="s">
        <v>52</v>
      </c>
      <c r="P2577" s="10" t="s">
        <v>44</v>
      </c>
      <c r="Q2577" s="10" t="s">
        <v>44</v>
      </c>
      <c r="R2577" s="11" t="s">
        <v>44</v>
      </c>
      <c r="S2577" s="11" t="s">
        <v>44</v>
      </c>
      <c r="T2577" s="22"/>
      <c r="U2577" s="22"/>
      <c r="V2577" s="22"/>
      <c r="W2577" s="22"/>
      <c r="X2577" s="22"/>
      <c r="Y2577" s="22"/>
      <c r="Z2577" s="22"/>
      <c r="AA2577" s="22"/>
      <c r="AB2577" s="22"/>
      <c r="AC2577" s="22"/>
      <c r="AD2577" s="22"/>
      <c r="AE2577" s="22"/>
      <c r="AG2577" s="112"/>
      <c r="AH2577" s="112"/>
      <c r="AI2577" s="112"/>
      <c r="AJ2577" s="71"/>
      <c r="AK2577" s="71"/>
      <c r="AL2577" s="71"/>
      <c r="AM2577" s="71"/>
      <c r="AN2577" s="71"/>
      <c r="AO2577" s="71"/>
      <c r="AP2577" s="71"/>
      <c r="AQ2577" s="71"/>
      <c r="AR2577" s="71"/>
      <c r="AS2577" s="94"/>
      <c r="AT2577" s="95"/>
      <c r="AU2577" s="97"/>
      <c r="AW2577" s="84">
        <f t="shared" si="3216"/>
        <v>0</v>
      </c>
      <c r="AX2577" s="84">
        <f t="shared" si="3217"/>
        <v>0</v>
      </c>
      <c r="AY2577" s="84">
        <f t="shared" si="3218"/>
        <v>0</v>
      </c>
      <c r="AZ2577" s="84"/>
      <c r="BA2577" s="84"/>
      <c r="BB2577" s="84"/>
      <c r="BC2577" s="84"/>
      <c r="BD2577" s="84"/>
      <c r="BE2577" s="84"/>
      <c r="BF2577" s="84"/>
      <c r="BG2577" s="84"/>
      <c r="BH2577" s="84"/>
      <c r="BI2577" s="68" cm="1">
        <f t="array" ref="BI2577">IFERROR(INDEX(AW2577:BH2577,1,MATCH(2,1/(AW2577:BH2577&lt;&gt;""))),"")</f>
        <v>0</v>
      </c>
      <c r="BJ2577" s="68" cm="1">
        <f t="array" ref="BJ2577">IF(BM2577 = "", "",IFERROR(INDEX(AW2577:BH2577,1,MATCH(2,1/(AW2577:BH2577&lt;&gt;""),1)-1),""))</f>
        <v>0</v>
      </c>
      <c r="BK2577" s="57" cm="1">
        <f t="array" ref="BK2577">IFERROR(INDEX(AW2577:BH2577,1,MATCH(2,1/(AW2577:BH2577&lt;&gt;""),1)),"")</f>
        <v>0</v>
      </c>
      <c r="BL2577" s="57" cm="1">
        <f t="array" ref="BL2577">IF(BM2577 = "", "",IFERROR(INDEX(AW2577:BH2577,1,MATCH(2,1/(AW2577:BH2577&lt;&gt;""),1)-1),""))</f>
        <v>0</v>
      </c>
      <c r="BM2577" s="55" cm="1">
        <f t="array" ref="BM2577">IFERROR(
   INDEX($AW$1:$BH$1,
      _xlfn.AGGREGATE(14, 6, COLUMN($AW$1:$BH$1)/(AW2577:BH2577&lt;&gt;""), 2) - COLUMN($AW$1) + 1
   ),
"")</f>
        <v>46054</v>
      </c>
      <c r="BN2577" s="55" cm="1">
        <f t="array" ref="BN2577">IFERROR(INDEX($AW$1:$BH$1,1,MATCH(2,1/(AW2577:BH2577&lt;&gt;""))),"")</f>
        <v>46082</v>
      </c>
      <c r="BO2577" s="53">
        <f ca="1">IFERROR(_xlfn.XLOOKUP(F2577,Apuração!A:A,Apuração!C:C)/_xlfn.XLOOKUP(F2577,Apuração!A:A,Apuração!B:B),0)</f>
        <v>0</v>
      </c>
      <c r="BP2577" s="53">
        <f ca="1">IFERROR(_xlfn.XLOOKUP(F2577,Apuração!A:A,Apuração!D:D)/_xlfn.XLOOKUP(F2577,Apuração!A:A,Apuração!B:B),0)</f>
        <v>0</v>
      </c>
      <c r="BQ2577" s="53">
        <f ca="1">IF(BK2577&gt;=BO2577,0,_xlfn.XLOOKUP(F2577,Apuração!A:A,Apuração!B:B)*(BO2577 + (1/_xlfn.XLOOKUP(F2577,Apuração!A:A,Apuração!B:B)) - BK2577))</f>
        <v>0</v>
      </c>
      <c r="BR2577" s="85">
        <f t="shared" ca="1" si="3219"/>
        <v>0</v>
      </c>
      <c r="BS2577" s="53">
        <f ca="1">IFERROR((_xlfn.XLOOKUP(F2577,Apuração!A:A,Apuração!C:C)+1)/_xlfn.XLOOKUP(F2577,Apuração!A:A,Apuração!B:B),0)</f>
        <v>0.14285714285714285</v>
      </c>
    </row>
    <row r="2578" spans="1:71" ht="25.95" hidden="1" customHeight="1" x14ac:dyDescent="0.3">
      <c r="A2578" s="72" t="s">
        <v>44</v>
      </c>
      <c r="B2578" s="73" t="s">
        <v>44</v>
      </c>
      <c r="C2578" s="74" t="s">
        <v>209</v>
      </c>
      <c r="D2578" s="5" t="s">
        <v>36</v>
      </c>
      <c r="E2578" s="4" t="str" cm="1">
        <f t="array" ref="E2578">_xlfn.IFS(
F2578 = "A partir de Abril", "Aguardando Execução na Distribuidora",
A2578 = "CAPACITAÇÃO", "Em execução no Corporativo",
TRUE, "Em Execução na Distribuidora"
)</f>
        <v>Em Execução na Distribuidora</v>
      </c>
      <c r="F2578" s="4" t="str" cm="1">
        <f t="array" ref="F2578">_xlfn.IFS(
AG2578 &lt;&gt; "", "Jan-Dez/26",
AH2578 &lt;&gt; "", "Fev-Dez/26",
AI2578 &lt;&gt; "", "Mar-Dez/26", AJ2578 &lt;&gt; "", "Abr-Dez/26",
TRUE, "A partir de Junho"
)</f>
        <v>Jan-Dez/26</v>
      </c>
      <c r="G2578" s="75" t="s">
        <v>44</v>
      </c>
      <c r="H2578" s="76" t="s">
        <v>44</v>
      </c>
      <c r="I2578" s="77"/>
      <c r="J2578" s="77"/>
      <c r="K2578" s="77"/>
      <c r="L2578" s="77" t="s">
        <v>228</v>
      </c>
      <c r="M2578" s="78"/>
      <c r="N2578" s="74" t="s">
        <v>42</v>
      </c>
      <c r="O2578" s="74" t="s">
        <v>52</v>
      </c>
      <c r="P2578" s="75" t="s">
        <v>44</v>
      </c>
      <c r="Q2578" s="75" t="s">
        <v>44</v>
      </c>
      <c r="R2578" s="79" t="s">
        <v>44</v>
      </c>
      <c r="S2578" s="79" t="s">
        <v>44</v>
      </c>
      <c r="T2578" s="22"/>
      <c r="U2578" s="22"/>
      <c r="V2578" s="22"/>
      <c r="W2578" s="22"/>
      <c r="X2578" s="22"/>
      <c r="Y2578" s="22"/>
      <c r="Z2578" s="22"/>
      <c r="AA2578" s="22"/>
      <c r="AB2578" s="22"/>
      <c r="AC2578" s="22"/>
      <c r="AD2578" s="22"/>
      <c r="AE2578" s="22"/>
      <c r="AG2578" s="112">
        <v>1.0662493679407021</v>
      </c>
      <c r="AH2578" s="112">
        <v>2.2048583137928226</v>
      </c>
      <c r="AI2578" s="112">
        <v>1.254380597200782</v>
      </c>
      <c r="AJ2578" s="112">
        <v>1.39</v>
      </c>
      <c r="AK2578" s="112"/>
      <c r="AL2578" s="112"/>
      <c r="AM2578" s="112"/>
      <c r="AN2578" s="112"/>
      <c r="AO2578" s="112"/>
      <c r="AP2578" s="112"/>
      <c r="AQ2578" s="112"/>
      <c r="AR2578" s="112"/>
      <c r="AS2578" s="94"/>
      <c r="AT2578" s="95"/>
      <c r="AU2578" s="97"/>
      <c r="AW2578" s="84">
        <f>AG2578</f>
        <v>1.0662493679407021</v>
      </c>
      <c r="AX2578" s="84">
        <f>AH2578</f>
        <v>2.2048583137928226</v>
      </c>
      <c r="AY2578" s="84">
        <f>AI2578</f>
        <v>1.254380597200782</v>
      </c>
      <c r="AZ2578" s="84">
        <f>AJ2578</f>
        <v>1.39</v>
      </c>
      <c r="BA2578" s="84"/>
      <c r="BB2578" s="84"/>
      <c r="BC2578" s="84"/>
      <c r="BD2578" s="84"/>
      <c r="BE2578" s="84"/>
      <c r="BF2578" s="84"/>
      <c r="BG2578" s="84"/>
      <c r="BH2578" s="84"/>
      <c r="BI2578" s="68" cm="1">
        <f t="array" ref="BI2578">IFERROR(INDEX(AW2578:BH2578,1,MATCH(2,1/(AW2578:BH2578&lt;&gt;""))),"")</f>
        <v>1.39</v>
      </c>
      <c r="BJ2578" s="68" cm="1">
        <f t="array" ref="BJ2578">IF(BM2578 = "", "",IFERROR(INDEX(AW2578:BH2578,1,MATCH(2,1/(AW2578:BH2578&lt;&gt;""),1)-1),""))</f>
        <v>1.254380597200782</v>
      </c>
      <c r="BK2578" s="57" cm="1">
        <f t="array" ref="BK2578">IFERROR(INDEX(AW2578:BH2578,1,MATCH(2,1/(AW2578:BH2578&lt;&gt;""),1)),"")</f>
        <v>1.39</v>
      </c>
      <c r="BL2578" s="57" cm="1">
        <f t="array" ref="BL2578">IF(BM2578 = "", "",IFERROR(INDEX(AW2578:BH2578,1,MATCH(2,1/(AW2578:BH2578&lt;&gt;""),1)-1),""))</f>
        <v>1.254380597200782</v>
      </c>
      <c r="BM2578" s="55" cm="1">
        <f t="array" ref="BM2578">IFERROR(
   INDEX($AW$1:$BH$1,
      _xlfn.AGGREGATE(14, 6, COLUMN($AW$1:$BH$1)/(AW2578:BH2578&lt;&gt;""), 2) - COLUMN($AW$1) + 1
   ),
"")</f>
        <v>46082</v>
      </c>
      <c r="BN2578" s="55" cm="1">
        <f t="array" ref="BN2578">IFERROR(INDEX($AW$1:$BH$1,1,MATCH(2,1/(AW2578:BH2578&lt;&gt;""))),"")</f>
        <v>46113</v>
      </c>
      <c r="BO2578" s="53">
        <f ca="1">IFERROR(_xlfn.XLOOKUP(F2578,Apuração!A:A,Apuração!C:C)/_xlfn.XLOOKUP(F2578,Apuração!A:A,Apuração!B:B),0)</f>
        <v>0.41666666666666669</v>
      </c>
      <c r="BP2578" s="53">
        <f ca="1">IFERROR(_xlfn.XLOOKUP(F2578,Apuração!A:A,Apuração!D:D)/_xlfn.XLOOKUP(F2578,Apuração!A:A,Apuração!B:B),0)</f>
        <v>0.33333333333333331</v>
      </c>
      <c r="BQ2578" s="53">
        <f ca="1">IF(BK2578&gt;=BO2578,0,_xlfn.XLOOKUP(F2578,Apuração!A:A,Apuração!B:B)*(BO2578 + (1/_xlfn.XLOOKUP(F2578,Apuração!A:A,Apuração!B:B)) - BK2578))</f>
        <v>0</v>
      </c>
      <c r="BR2578" s="85">
        <f ca="1">IF(BQ2578=0,0,BQ2578*Z2578)</f>
        <v>0</v>
      </c>
      <c r="BS2578" s="53">
        <f ca="1">IFERROR((_xlfn.XLOOKUP(F2578,Apuração!A:A,Apuração!C:C)+1)/_xlfn.XLOOKUP(F2578,Apuração!A:A,Apuração!B:B),0)</f>
        <v>0.5</v>
      </c>
    </row>
    <row r="2579" spans="1:71" ht="25.95" hidden="1" customHeight="1" x14ac:dyDescent="0.3">
      <c r="A2579" s="35" t="s">
        <v>44</v>
      </c>
      <c r="B2579" s="10" t="s">
        <v>44</v>
      </c>
      <c r="C2579" s="5" t="s">
        <v>214</v>
      </c>
      <c r="D2579" s="5" t="s">
        <v>210</v>
      </c>
      <c r="E2579" s="4" t="str" cm="1">
        <f t="array" ref="E2579">_xlfn.IFS(
F2579 = "A partir de Abril", "Aguardando Execução na Distribuidora",
A2579 = "CAPACITAÇÃO", "Em execução no Corporativo",
TRUE, "Em Execução na Distribuidora"
)</f>
        <v>Em Execução na Distribuidora</v>
      </c>
      <c r="F2579" s="4" t="str" cm="1">
        <f t="array" ref="F2579">_xlfn.IFS(
AG2579 &lt;&gt; "", "Jan-Dez/26",
AH2579 &lt;&gt; "", "Fev-Dez/26",
AI2579 &lt;&gt; "", "Mar-Dez/26", AJ2579 &lt;&gt; "", "Abr-Dez/26",
TRUE, "A partir de Junho"
)</f>
        <v>A partir de Junho</v>
      </c>
      <c r="G2579" s="10" t="s">
        <v>44</v>
      </c>
      <c r="H2579" s="36" t="s">
        <v>44</v>
      </c>
      <c r="I2579" s="37"/>
      <c r="J2579" s="37"/>
      <c r="K2579" s="37"/>
      <c r="L2579" s="37" t="s">
        <v>208</v>
      </c>
      <c r="M2579" s="37"/>
      <c r="N2579" s="5" t="s">
        <v>42</v>
      </c>
      <c r="O2579" s="5" t="s">
        <v>52</v>
      </c>
      <c r="P2579" s="10" t="s">
        <v>44</v>
      </c>
      <c r="Q2579" s="10" t="s">
        <v>44</v>
      </c>
      <c r="R2579" s="11" t="s">
        <v>44</v>
      </c>
      <c r="S2579" s="11" t="s">
        <v>44</v>
      </c>
      <c r="T2579" s="22"/>
      <c r="U2579" s="22"/>
      <c r="V2579" s="22"/>
      <c r="W2579" s="22"/>
      <c r="X2579" s="22"/>
      <c r="Y2579" s="22"/>
      <c r="Z2579" s="22"/>
      <c r="AA2579" s="22"/>
      <c r="AB2579" s="22"/>
      <c r="AC2579" s="22"/>
      <c r="AD2579" s="22"/>
      <c r="AE2579" s="22"/>
      <c r="AG2579" s="112"/>
      <c r="AH2579" s="112"/>
      <c r="AI2579" s="112"/>
      <c r="AJ2579" s="71"/>
      <c r="AK2579" s="71"/>
      <c r="AL2579" s="71"/>
      <c r="AM2579" s="71"/>
      <c r="AN2579" s="71"/>
      <c r="AO2579" s="71"/>
      <c r="AP2579" s="71"/>
      <c r="AQ2579" s="71"/>
      <c r="AR2579" s="71"/>
      <c r="AS2579" s="94"/>
      <c r="AT2579" s="95"/>
      <c r="AU2579" s="97"/>
      <c r="AW2579" s="84">
        <f t="shared" ref="AW2579:AW2583" si="3220">AG2579</f>
        <v>0</v>
      </c>
      <c r="AX2579" s="84">
        <f t="shared" ref="AX2579:AX2583" si="3221">AH2579</f>
        <v>0</v>
      </c>
      <c r="AY2579" s="84">
        <f t="shared" ref="AY2579:AY2583" si="3222">AI2579</f>
        <v>0</v>
      </c>
      <c r="AZ2579" s="84"/>
      <c r="BA2579" s="84"/>
      <c r="BB2579" s="84"/>
      <c r="BC2579" s="84"/>
      <c r="BD2579" s="84"/>
      <c r="BE2579" s="84"/>
      <c r="BF2579" s="84"/>
      <c r="BG2579" s="84"/>
      <c r="BH2579" s="84"/>
      <c r="BI2579" s="68" cm="1">
        <f t="array" ref="BI2579">IFERROR(INDEX(AW2579:BH2579,1,MATCH(2,1/(AW2579:BH2579&lt;&gt;""))),"")</f>
        <v>0</v>
      </c>
      <c r="BJ2579" s="68" cm="1">
        <f t="array" ref="BJ2579">IF(BM2579 = "", "",IFERROR(INDEX(AW2579:BH2579,1,MATCH(2,1/(AW2579:BH2579&lt;&gt;""),1)-1),""))</f>
        <v>0</v>
      </c>
      <c r="BK2579" s="57" cm="1">
        <f t="array" ref="BK2579">IFERROR(INDEX(AW2579:BH2579,1,MATCH(2,1/(AW2579:BH2579&lt;&gt;""),1)),"")</f>
        <v>0</v>
      </c>
      <c r="BL2579" s="57" cm="1">
        <f t="array" ref="BL2579">IF(BM2579 = "", "",IFERROR(INDEX(AW2579:BH2579,1,MATCH(2,1/(AW2579:BH2579&lt;&gt;""),1)-1),""))</f>
        <v>0</v>
      </c>
      <c r="BM2579" s="55" cm="1">
        <f t="array" ref="BM2579">IFERROR(
   INDEX($AW$1:$BH$1,
      _xlfn.AGGREGATE(14, 6, COLUMN($AW$1:$BH$1)/(AW2579:BH2579&lt;&gt;""), 2) - COLUMN($AW$1) + 1
   ),
"")</f>
        <v>46054</v>
      </c>
      <c r="BN2579" s="55" cm="1">
        <f t="array" ref="BN2579">IFERROR(INDEX($AW$1:$BH$1,1,MATCH(2,1/(AW2579:BH2579&lt;&gt;""))),"")</f>
        <v>46082</v>
      </c>
      <c r="BO2579" s="53">
        <f ca="1">IFERROR(_xlfn.XLOOKUP(F2579,Apuração!A:A,Apuração!C:C)/_xlfn.XLOOKUP(F2579,Apuração!A:A,Apuração!B:B),0)</f>
        <v>0</v>
      </c>
      <c r="BP2579" s="53">
        <f ca="1">IFERROR(_xlfn.XLOOKUP(F2579,Apuração!A:A,Apuração!D:D)/_xlfn.XLOOKUP(F2579,Apuração!A:A,Apuração!B:B),0)</f>
        <v>0</v>
      </c>
      <c r="BQ2579" s="53">
        <f ca="1">IF(BK2579&gt;=BO2579,0,_xlfn.XLOOKUP(F2579,Apuração!A:A,Apuração!B:B)*(BO2579 + (1/_xlfn.XLOOKUP(F2579,Apuração!A:A,Apuração!B:B)) - BK2579))</f>
        <v>0</v>
      </c>
      <c r="BR2579" s="85">
        <f t="shared" ref="BR2579:BR2583" ca="1" si="3223">IF(BQ2579=0,0,BQ2579*Z2579)</f>
        <v>0</v>
      </c>
      <c r="BS2579" s="53">
        <f ca="1">IFERROR((_xlfn.XLOOKUP(F2579,Apuração!A:A,Apuração!C:C)+1)/_xlfn.XLOOKUP(F2579,Apuração!A:A,Apuração!B:B),0)</f>
        <v>0.14285714285714285</v>
      </c>
    </row>
    <row r="2580" spans="1:71" ht="25.95" hidden="1" customHeight="1" x14ac:dyDescent="0.3">
      <c r="A2580" s="35" t="s">
        <v>44</v>
      </c>
      <c r="B2580" s="10" t="s">
        <v>44</v>
      </c>
      <c r="C2580" s="5" t="s">
        <v>214</v>
      </c>
      <c r="D2580" s="5" t="s">
        <v>215</v>
      </c>
      <c r="E2580" s="4" t="str" cm="1">
        <f t="array" ref="E2580">_xlfn.IFS(
F2580 = "A partir de Abril", "Aguardando Execução na Distribuidora",
A2580 = "CAPACITAÇÃO", "Em execução no Corporativo",
TRUE, "Em Execução na Distribuidora"
)</f>
        <v>Em Execução na Distribuidora</v>
      </c>
      <c r="F2580" s="4" t="str" cm="1">
        <f t="array" ref="F2580">_xlfn.IFS(
AG2580 &lt;&gt; "", "Jan-Dez/26",
AH2580 &lt;&gt; "", "Fev-Dez/26",
AI2580 &lt;&gt; "", "Mar-Dez/26", AJ2580 &lt;&gt; "", "Abr-Dez/26",
TRUE, "A partir de Junho"
)</f>
        <v>A partir de Junho</v>
      </c>
      <c r="G2580" s="10" t="s">
        <v>44</v>
      </c>
      <c r="H2580" s="36" t="s">
        <v>44</v>
      </c>
      <c r="I2580" s="37"/>
      <c r="J2580" s="37"/>
      <c r="K2580" s="37"/>
      <c r="L2580" s="37" t="s">
        <v>208</v>
      </c>
      <c r="M2580" s="37"/>
      <c r="N2580" s="5" t="s">
        <v>42</v>
      </c>
      <c r="O2580" s="5" t="s">
        <v>52</v>
      </c>
      <c r="P2580" s="10" t="s">
        <v>44</v>
      </c>
      <c r="Q2580" s="10" t="s">
        <v>44</v>
      </c>
      <c r="R2580" s="11" t="s">
        <v>44</v>
      </c>
      <c r="S2580" s="11" t="s">
        <v>44</v>
      </c>
      <c r="T2580" s="22"/>
      <c r="U2580" s="22"/>
      <c r="V2580" s="22"/>
      <c r="W2580" s="22"/>
      <c r="X2580" s="22"/>
      <c r="Y2580" s="22"/>
      <c r="Z2580" s="22"/>
      <c r="AA2580" s="22"/>
      <c r="AB2580" s="22"/>
      <c r="AC2580" s="22"/>
      <c r="AD2580" s="22"/>
      <c r="AE2580" s="22"/>
      <c r="AG2580" s="112"/>
      <c r="AH2580" s="112"/>
      <c r="AI2580" s="112"/>
      <c r="AJ2580" s="71"/>
      <c r="AK2580" s="71"/>
      <c r="AL2580" s="71"/>
      <c r="AM2580" s="71"/>
      <c r="AN2580" s="71"/>
      <c r="AO2580" s="71"/>
      <c r="AP2580" s="71"/>
      <c r="AQ2580" s="71"/>
      <c r="AR2580" s="71"/>
      <c r="AS2580" s="94"/>
      <c r="AT2580" s="95"/>
      <c r="AU2580" s="97"/>
      <c r="AW2580" s="84">
        <f t="shared" si="3220"/>
        <v>0</v>
      </c>
      <c r="AX2580" s="84">
        <f t="shared" si="3221"/>
        <v>0</v>
      </c>
      <c r="AY2580" s="84">
        <f t="shared" si="3222"/>
        <v>0</v>
      </c>
      <c r="AZ2580" s="84"/>
      <c r="BA2580" s="84"/>
      <c r="BB2580" s="84"/>
      <c r="BC2580" s="84"/>
      <c r="BD2580" s="84"/>
      <c r="BE2580" s="84"/>
      <c r="BF2580" s="84"/>
      <c r="BG2580" s="84"/>
      <c r="BH2580" s="84"/>
      <c r="BI2580" s="68" cm="1">
        <f t="array" ref="BI2580">IFERROR(INDEX(AW2580:BH2580,1,MATCH(2,1/(AW2580:BH2580&lt;&gt;""))),"")</f>
        <v>0</v>
      </c>
      <c r="BJ2580" s="68" cm="1">
        <f t="array" ref="BJ2580">IF(BM2580 = "", "",IFERROR(INDEX(AW2580:BH2580,1,MATCH(2,1/(AW2580:BH2580&lt;&gt;""),1)-1),""))</f>
        <v>0</v>
      </c>
      <c r="BK2580" s="57" cm="1">
        <f t="array" ref="BK2580">IFERROR(INDEX(AW2580:BH2580,1,MATCH(2,1/(AW2580:BH2580&lt;&gt;""),1)),"")</f>
        <v>0</v>
      </c>
      <c r="BL2580" s="57" cm="1">
        <f t="array" ref="BL2580">IF(BM2580 = "", "",IFERROR(INDEX(AW2580:BH2580,1,MATCH(2,1/(AW2580:BH2580&lt;&gt;""),1)-1),""))</f>
        <v>0</v>
      </c>
      <c r="BM2580" s="55" cm="1">
        <f t="array" ref="BM2580">IFERROR(
   INDEX($AW$1:$BH$1,
      _xlfn.AGGREGATE(14, 6, COLUMN($AW$1:$BH$1)/(AW2580:BH2580&lt;&gt;""), 2) - COLUMN($AW$1) + 1
   ),
"")</f>
        <v>46054</v>
      </c>
      <c r="BN2580" s="55" cm="1">
        <f t="array" ref="BN2580">IFERROR(INDEX($AW$1:$BH$1,1,MATCH(2,1/(AW2580:BH2580&lt;&gt;""))),"")</f>
        <v>46082</v>
      </c>
      <c r="BO2580" s="53">
        <f ca="1">IFERROR(_xlfn.XLOOKUP(F2580,Apuração!A:A,Apuração!C:C)/_xlfn.XLOOKUP(F2580,Apuração!A:A,Apuração!B:B),0)</f>
        <v>0</v>
      </c>
      <c r="BP2580" s="53">
        <f ca="1">IFERROR(_xlfn.XLOOKUP(F2580,Apuração!A:A,Apuração!D:D)/_xlfn.XLOOKUP(F2580,Apuração!A:A,Apuração!B:B),0)</f>
        <v>0</v>
      </c>
      <c r="BQ2580" s="53">
        <f ca="1">IF(BK2580&gt;=BO2580,0,_xlfn.XLOOKUP(F2580,Apuração!A:A,Apuração!B:B)*(BO2580 + (1/_xlfn.XLOOKUP(F2580,Apuração!A:A,Apuração!B:B)) - BK2580))</f>
        <v>0</v>
      </c>
      <c r="BR2580" s="85">
        <f t="shared" ca="1" si="3223"/>
        <v>0</v>
      </c>
      <c r="BS2580" s="53">
        <f ca="1">IFERROR((_xlfn.XLOOKUP(F2580,Apuração!A:A,Apuração!C:C)+1)/_xlfn.XLOOKUP(F2580,Apuração!A:A,Apuração!B:B),0)</f>
        <v>0.14285714285714285</v>
      </c>
    </row>
    <row r="2581" spans="1:71" ht="25.95" hidden="1" customHeight="1" x14ac:dyDescent="0.3">
      <c r="A2581" s="35" t="s">
        <v>44</v>
      </c>
      <c r="B2581" s="10" t="s">
        <v>44</v>
      </c>
      <c r="C2581" s="5" t="s">
        <v>214</v>
      </c>
      <c r="D2581" s="5" t="s">
        <v>212</v>
      </c>
      <c r="E2581" s="4" t="str" cm="1">
        <f t="array" ref="E2581">_xlfn.IFS(
F2581 = "A partir de Abril", "Aguardando Execução na Distribuidora",
A2581 = "CAPACITAÇÃO", "Em execução no Corporativo",
TRUE, "Em Execução na Distribuidora"
)</f>
        <v>Em Execução na Distribuidora</v>
      </c>
      <c r="F2581" s="4" t="str" cm="1">
        <f t="array" ref="F2581">_xlfn.IFS(
AG2581 &lt;&gt; "", "Jan-Dez/26",
AH2581 &lt;&gt; "", "Fev-Dez/26",
AI2581 &lt;&gt; "", "Mar-Dez/26", AJ2581 &lt;&gt; "", "Abr-Dez/26",
TRUE, "A partir de Junho"
)</f>
        <v>A partir de Junho</v>
      </c>
      <c r="G2581" s="10" t="s">
        <v>44</v>
      </c>
      <c r="H2581" s="36" t="s">
        <v>44</v>
      </c>
      <c r="I2581" s="37"/>
      <c r="J2581" s="37"/>
      <c r="K2581" s="37"/>
      <c r="L2581" s="37" t="s">
        <v>208</v>
      </c>
      <c r="M2581" s="37"/>
      <c r="N2581" s="5" t="s">
        <v>42</v>
      </c>
      <c r="O2581" s="5" t="s">
        <v>52</v>
      </c>
      <c r="P2581" s="10" t="s">
        <v>44</v>
      </c>
      <c r="Q2581" s="10" t="s">
        <v>44</v>
      </c>
      <c r="R2581" s="11" t="s">
        <v>44</v>
      </c>
      <c r="S2581" s="11" t="s">
        <v>44</v>
      </c>
      <c r="T2581" s="22"/>
      <c r="U2581" s="22"/>
      <c r="V2581" s="22"/>
      <c r="W2581" s="22"/>
      <c r="X2581" s="22"/>
      <c r="Y2581" s="22"/>
      <c r="Z2581" s="22"/>
      <c r="AA2581" s="22"/>
      <c r="AB2581" s="22"/>
      <c r="AC2581" s="22"/>
      <c r="AD2581" s="22"/>
      <c r="AE2581" s="22"/>
      <c r="AG2581" s="112"/>
      <c r="AH2581" s="112"/>
      <c r="AI2581" s="112"/>
      <c r="AJ2581" s="71"/>
      <c r="AK2581" s="71"/>
      <c r="AL2581" s="71"/>
      <c r="AM2581" s="71"/>
      <c r="AN2581" s="71"/>
      <c r="AO2581" s="71"/>
      <c r="AP2581" s="71"/>
      <c r="AQ2581" s="71"/>
      <c r="AR2581" s="71"/>
      <c r="AS2581" s="94"/>
      <c r="AT2581" s="95"/>
      <c r="AU2581" s="97"/>
      <c r="AW2581" s="84">
        <f t="shared" si="3220"/>
        <v>0</v>
      </c>
      <c r="AX2581" s="84">
        <f t="shared" si="3221"/>
        <v>0</v>
      </c>
      <c r="AY2581" s="84">
        <f t="shared" si="3222"/>
        <v>0</v>
      </c>
      <c r="AZ2581" s="84"/>
      <c r="BA2581" s="84"/>
      <c r="BB2581" s="84"/>
      <c r="BC2581" s="84"/>
      <c r="BD2581" s="84"/>
      <c r="BE2581" s="84"/>
      <c r="BF2581" s="84"/>
      <c r="BG2581" s="84"/>
      <c r="BH2581" s="84"/>
      <c r="BI2581" s="68" cm="1">
        <f t="array" ref="BI2581">IFERROR(INDEX(AW2581:BH2581,1,MATCH(2,1/(AW2581:BH2581&lt;&gt;""))),"")</f>
        <v>0</v>
      </c>
      <c r="BJ2581" s="68" cm="1">
        <f t="array" ref="BJ2581">IF(BM2581 = "", "",IFERROR(INDEX(AW2581:BH2581,1,MATCH(2,1/(AW2581:BH2581&lt;&gt;""),1)-1),""))</f>
        <v>0</v>
      </c>
      <c r="BK2581" s="57" cm="1">
        <f t="array" ref="BK2581">IFERROR(INDEX(AW2581:BH2581,1,MATCH(2,1/(AW2581:BH2581&lt;&gt;""),1)),"")</f>
        <v>0</v>
      </c>
      <c r="BL2581" s="57" cm="1">
        <f t="array" ref="BL2581">IF(BM2581 = "", "",IFERROR(INDEX(AW2581:BH2581,1,MATCH(2,1/(AW2581:BH2581&lt;&gt;""),1)-1),""))</f>
        <v>0</v>
      </c>
      <c r="BM2581" s="55" cm="1">
        <f t="array" ref="BM2581">IFERROR(
   INDEX($AW$1:$BH$1,
      _xlfn.AGGREGATE(14, 6, COLUMN($AW$1:$BH$1)/(AW2581:BH2581&lt;&gt;""), 2) - COLUMN($AW$1) + 1
   ),
"")</f>
        <v>46054</v>
      </c>
      <c r="BN2581" s="55" cm="1">
        <f t="array" ref="BN2581">IFERROR(INDEX($AW$1:$BH$1,1,MATCH(2,1/(AW2581:BH2581&lt;&gt;""))),"")</f>
        <v>46082</v>
      </c>
      <c r="BO2581" s="53">
        <f ca="1">IFERROR(_xlfn.XLOOKUP(F2581,Apuração!A:A,Apuração!C:C)/_xlfn.XLOOKUP(F2581,Apuração!A:A,Apuração!B:B),0)</f>
        <v>0</v>
      </c>
      <c r="BP2581" s="53">
        <f ca="1">IFERROR(_xlfn.XLOOKUP(F2581,Apuração!A:A,Apuração!D:D)/_xlfn.XLOOKUP(F2581,Apuração!A:A,Apuração!B:B),0)</f>
        <v>0</v>
      </c>
      <c r="BQ2581" s="53">
        <f ca="1">IF(BK2581&gt;=BO2581,0,_xlfn.XLOOKUP(F2581,Apuração!A:A,Apuração!B:B)*(BO2581 + (1/_xlfn.XLOOKUP(F2581,Apuração!A:A,Apuração!B:B)) - BK2581))</f>
        <v>0</v>
      </c>
      <c r="BR2581" s="85">
        <f t="shared" ca="1" si="3223"/>
        <v>0</v>
      </c>
      <c r="BS2581" s="53">
        <f ca="1">IFERROR((_xlfn.XLOOKUP(F2581,Apuração!A:A,Apuração!C:C)+1)/_xlfn.XLOOKUP(F2581,Apuração!A:A,Apuração!B:B),0)</f>
        <v>0.14285714285714285</v>
      </c>
    </row>
    <row r="2582" spans="1:71" ht="25.95" hidden="1" customHeight="1" x14ac:dyDescent="0.3">
      <c r="A2582" s="35" t="s">
        <v>44</v>
      </c>
      <c r="B2582" s="10" t="s">
        <v>44</v>
      </c>
      <c r="C2582" s="5" t="s">
        <v>214</v>
      </c>
      <c r="D2582" s="5" t="s">
        <v>48</v>
      </c>
      <c r="E2582" s="4" t="str" cm="1">
        <f t="array" ref="E2582">_xlfn.IFS(
F2582 = "A partir de Abril", "Aguardando Execução na Distribuidora",
A2582 = "CAPACITAÇÃO", "Em execução no Corporativo",
TRUE, "Em Execução na Distribuidora"
)</f>
        <v>Em Execução na Distribuidora</v>
      </c>
      <c r="F2582" s="4" t="str" cm="1">
        <f t="array" ref="F2582">_xlfn.IFS(
AG2582 &lt;&gt; "", "Jan-Dez/26",
AH2582 &lt;&gt; "", "Fev-Dez/26",
AI2582 &lt;&gt; "", "Mar-Dez/26", AJ2582 &lt;&gt; "", "Abr-Dez/26",
TRUE, "A partir de Junho"
)</f>
        <v>A partir de Junho</v>
      </c>
      <c r="G2582" s="10" t="s">
        <v>44</v>
      </c>
      <c r="H2582" s="36" t="s">
        <v>44</v>
      </c>
      <c r="I2582" s="37"/>
      <c r="J2582" s="37"/>
      <c r="K2582" s="37"/>
      <c r="L2582" s="37" t="s">
        <v>208</v>
      </c>
      <c r="M2582" s="37"/>
      <c r="N2582" s="5" t="s">
        <v>42</v>
      </c>
      <c r="O2582" s="5" t="s">
        <v>52</v>
      </c>
      <c r="P2582" s="10" t="s">
        <v>44</v>
      </c>
      <c r="Q2582" s="10" t="s">
        <v>44</v>
      </c>
      <c r="R2582" s="11" t="s">
        <v>44</v>
      </c>
      <c r="S2582" s="11" t="s">
        <v>44</v>
      </c>
      <c r="T2582" s="22"/>
      <c r="U2582" s="22"/>
      <c r="V2582" s="22"/>
      <c r="W2582" s="22"/>
      <c r="X2582" s="22"/>
      <c r="Y2582" s="22"/>
      <c r="Z2582" s="22"/>
      <c r="AA2582" s="22"/>
      <c r="AB2582" s="22"/>
      <c r="AC2582" s="22"/>
      <c r="AD2582" s="22"/>
      <c r="AE2582" s="22"/>
      <c r="AG2582" s="112"/>
      <c r="AH2582" s="112"/>
      <c r="AI2582" s="112"/>
      <c r="AJ2582" s="71"/>
      <c r="AK2582" s="71"/>
      <c r="AL2582" s="71"/>
      <c r="AM2582" s="71"/>
      <c r="AN2582" s="71"/>
      <c r="AO2582" s="71"/>
      <c r="AP2582" s="71"/>
      <c r="AQ2582" s="71"/>
      <c r="AR2582" s="71"/>
      <c r="AS2582" s="94"/>
      <c r="AT2582" s="95"/>
      <c r="AU2582" s="97"/>
      <c r="AW2582" s="84">
        <f t="shared" si="3220"/>
        <v>0</v>
      </c>
      <c r="AX2582" s="84">
        <f t="shared" si="3221"/>
        <v>0</v>
      </c>
      <c r="AY2582" s="84">
        <f t="shared" si="3222"/>
        <v>0</v>
      </c>
      <c r="AZ2582" s="84"/>
      <c r="BA2582" s="84"/>
      <c r="BB2582" s="84"/>
      <c r="BC2582" s="84"/>
      <c r="BD2582" s="84"/>
      <c r="BE2582" s="84"/>
      <c r="BF2582" s="84"/>
      <c r="BG2582" s="84"/>
      <c r="BH2582" s="84"/>
      <c r="BI2582" s="68" cm="1">
        <f t="array" ref="BI2582">IFERROR(INDEX(AW2582:BH2582,1,MATCH(2,1/(AW2582:BH2582&lt;&gt;""))),"")</f>
        <v>0</v>
      </c>
      <c r="BJ2582" s="68" cm="1">
        <f t="array" ref="BJ2582">IF(BM2582 = "", "",IFERROR(INDEX(AW2582:BH2582,1,MATCH(2,1/(AW2582:BH2582&lt;&gt;""),1)-1),""))</f>
        <v>0</v>
      </c>
      <c r="BK2582" s="57" cm="1">
        <f t="array" ref="BK2582">IFERROR(INDEX(AW2582:BH2582,1,MATCH(2,1/(AW2582:BH2582&lt;&gt;""),1)),"")</f>
        <v>0</v>
      </c>
      <c r="BL2582" s="57" cm="1">
        <f t="array" ref="BL2582">IF(BM2582 = "", "",IFERROR(INDEX(AW2582:BH2582,1,MATCH(2,1/(AW2582:BH2582&lt;&gt;""),1)-1),""))</f>
        <v>0</v>
      </c>
      <c r="BM2582" s="55" cm="1">
        <f t="array" ref="BM2582">IFERROR(
   INDEX($AW$1:$BH$1,
      _xlfn.AGGREGATE(14, 6, COLUMN($AW$1:$BH$1)/(AW2582:BH2582&lt;&gt;""), 2) - COLUMN($AW$1) + 1
   ),
"")</f>
        <v>46054</v>
      </c>
      <c r="BN2582" s="55" cm="1">
        <f t="array" ref="BN2582">IFERROR(INDEX($AW$1:$BH$1,1,MATCH(2,1/(AW2582:BH2582&lt;&gt;""))),"")</f>
        <v>46082</v>
      </c>
      <c r="BO2582" s="53">
        <f ca="1">IFERROR(_xlfn.XLOOKUP(F2582,Apuração!A:A,Apuração!C:C)/_xlfn.XLOOKUP(F2582,Apuração!A:A,Apuração!B:B),0)</f>
        <v>0</v>
      </c>
      <c r="BP2582" s="53">
        <f ca="1">IFERROR(_xlfn.XLOOKUP(F2582,Apuração!A:A,Apuração!D:D)/_xlfn.XLOOKUP(F2582,Apuração!A:A,Apuração!B:B),0)</f>
        <v>0</v>
      </c>
      <c r="BQ2582" s="53">
        <f ca="1">IF(BK2582&gt;=BO2582,0,_xlfn.XLOOKUP(F2582,Apuração!A:A,Apuração!B:B)*(BO2582 + (1/_xlfn.XLOOKUP(F2582,Apuração!A:A,Apuração!B:B)) - BK2582))</f>
        <v>0</v>
      </c>
      <c r="BR2582" s="85">
        <f t="shared" ca="1" si="3223"/>
        <v>0</v>
      </c>
      <c r="BS2582" s="53">
        <f ca="1">IFERROR((_xlfn.XLOOKUP(F2582,Apuração!A:A,Apuração!C:C)+1)/_xlfn.XLOOKUP(F2582,Apuração!A:A,Apuração!B:B),0)</f>
        <v>0.14285714285714285</v>
      </c>
    </row>
    <row r="2583" spans="1:71" ht="25.95" hidden="1" customHeight="1" x14ac:dyDescent="0.3">
      <c r="A2583" s="35" t="s">
        <v>44</v>
      </c>
      <c r="B2583" s="10" t="s">
        <v>44</v>
      </c>
      <c r="C2583" s="5" t="s">
        <v>214</v>
      </c>
      <c r="D2583" s="5" t="s">
        <v>213</v>
      </c>
      <c r="E2583" s="4" t="str" cm="1">
        <f t="array" ref="E2583">_xlfn.IFS(
F2583 = "A partir de Abril", "Aguardando Execução na Distribuidora",
A2583 = "CAPACITAÇÃO", "Em execução no Corporativo",
TRUE, "Em Execução na Distribuidora"
)</f>
        <v>Em Execução na Distribuidora</v>
      </c>
      <c r="F2583" s="4" t="str" cm="1">
        <f t="array" ref="F2583">_xlfn.IFS(
AG2583 &lt;&gt; "", "Jan-Dez/26",
AH2583 &lt;&gt; "", "Fev-Dez/26",
AI2583 &lt;&gt; "", "Mar-Dez/26", AJ2583 &lt;&gt; "", "Abr-Dez/26",
TRUE, "A partir de Junho"
)</f>
        <v>A partir de Junho</v>
      </c>
      <c r="G2583" s="10" t="s">
        <v>44</v>
      </c>
      <c r="H2583" s="36" t="s">
        <v>44</v>
      </c>
      <c r="I2583" s="37"/>
      <c r="J2583" s="37"/>
      <c r="K2583" s="37"/>
      <c r="L2583" s="37" t="s">
        <v>208</v>
      </c>
      <c r="M2583" s="37"/>
      <c r="N2583" s="5" t="s">
        <v>42</v>
      </c>
      <c r="O2583" s="5" t="s">
        <v>52</v>
      </c>
      <c r="P2583" s="10" t="s">
        <v>44</v>
      </c>
      <c r="Q2583" s="10" t="s">
        <v>44</v>
      </c>
      <c r="R2583" s="11" t="s">
        <v>44</v>
      </c>
      <c r="S2583" s="11" t="s">
        <v>44</v>
      </c>
      <c r="T2583" s="22"/>
      <c r="U2583" s="22"/>
      <c r="V2583" s="22"/>
      <c r="W2583" s="22"/>
      <c r="X2583" s="22"/>
      <c r="Y2583" s="22"/>
      <c r="Z2583" s="22"/>
      <c r="AA2583" s="22"/>
      <c r="AB2583" s="22"/>
      <c r="AC2583" s="22"/>
      <c r="AD2583" s="22"/>
      <c r="AE2583" s="22"/>
      <c r="AG2583" s="112"/>
      <c r="AH2583" s="112"/>
      <c r="AI2583" s="112"/>
      <c r="AJ2583" s="71"/>
      <c r="AK2583" s="71"/>
      <c r="AL2583" s="71"/>
      <c r="AM2583" s="71"/>
      <c r="AN2583" s="71"/>
      <c r="AO2583" s="71"/>
      <c r="AP2583" s="71"/>
      <c r="AQ2583" s="71"/>
      <c r="AR2583" s="71"/>
      <c r="AS2583" s="94"/>
      <c r="AT2583" s="95"/>
      <c r="AU2583" s="97"/>
      <c r="AW2583" s="84">
        <f t="shared" si="3220"/>
        <v>0</v>
      </c>
      <c r="AX2583" s="84">
        <f t="shared" si="3221"/>
        <v>0</v>
      </c>
      <c r="AY2583" s="84">
        <f t="shared" si="3222"/>
        <v>0</v>
      </c>
      <c r="AZ2583" s="84"/>
      <c r="BA2583" s="84"/>
      <c r="BB2583" s="84"/>
      <c r="BC2583" s="84"/>
      <c r="BD2583" s="84"/>
      <c r="BE2583" s="84"/>
      <c r="BF2583" s="84"/>
      <c r="BG2583" s="84"/>
      <c r="BH2583" s="84"/>
      <c r="BI2583" s="68" cm="1">
        <f t="array" ref="BI2583">IFERROR(INDEX(AW2583:BH2583,1,MATCH(2,1/(AW2583:BH2583&lt;&gt;""))),"")</f>
        <v>0</v>
      </c>
      <c r="BJ2583" s="68" cm="1">
        <f t="array" ref="BJ2583">IF(BM2583 = "", "",IFERROR(INDEX(AW2583:BH2583,1,MATCH(2,1/(AW2583:BH2583&lt;&gt;""),1)-1),""))</f>
        <v>0</v>
      </c>
      <c r="BK2583" s="57" cm="1">
        <f t="array" ref="BK2583">IFERROR(INDEX(AW2583:BH2583,1,MATCH(2,1/(AW2583:BH2583&lt;&gt;""),1)),"")</f>
        <v>0</v>
      </c>
      <c r="BL2583" s="57" cm="1">
        <f t="array" ref="BL2583">IF(BM2583 = "", "",IFERROR(INDEX(AW2583:BH2583,1,MATCH(2,1/(AW2583:BH2583&lt;&gt;""),1)-1),""))</f>
        <v>0</v>
      </c>
      <c r="BM2583" s="55" cm="1">
        <f t="array" ref="BM2583">IFERROR(
   INDEX($AW$1:$BH$1,
      _xlfn.AGGREGATE(14, 6, COLUMN($AW$1:$BH$1)/(AW2583:BH2583&lt;&gt;""), 2) - COLUMN($AW$1) + 1
   ),
"")</f>
        <v>46054</v>
      </c>
      <c r="BN2583" s="55" cm="1">
        <f t="array" ref="BN2583">IFERROR(INDEX($AW$1:$BH$1,1,MATCH(2,1/(AW2583:BH2583&lt;&gt;""))),"")</f>
        <v>46082</v>
      </c>
      <c r="BO2583" s="53">
        <f ca="1">IFERROR(_xlfn.XLOOKUP(F2583,Apuração!A:A,Apuração!C:C)/_xlfn.XLOOKUP(F2583,Apuração!A:A,Apuração!B:B),0)</f>
        <v>0</v>
      </c>
      <c r="BP2583" s="53">
        <f ca="1">IFERROR(_xlfn.XLOOKUP(F2583,Apuração!A:A,Apuração!D:D)/_xlfn.XLOOKUP(F2583,Apuração!A:A,Apuração!B:B),0)</f>
        <v>0</v>
      </c>
      <c r="BQ2583" s="53">
        <f ca="1">IF(BK2583&gt;=BO2583,0,_xlfn.XLOOKUP(F2583,Apuração!A:A,Apuração!B:B)*(BO2583 + (1/_xlfn.XLOOKUP(F2583,Apuração!A:A,Apuração!B:B)) - BK2583))</f>
        <v>0</v>
      </c>
      <c r="BR2583" s="85">
        <f t="shared" ca="1" si="3223"/>
        <v>0</v>
      </c>
      <c r="BS2583" s="53">
        <f ca="1">IFERROR((_xlfn.XLOOKUP(F2583,Apuração!A:A,Apuração!C:C)+1)/_xlfn.XLOOKUP(F2583,Apuração!A:A,Apuração!B:B),0)</f>
        <v>0.14285714285714285</v>
      </c>
    </row>
    <row r="2584" spans="1:71" ht="25.95" hidden="1" customHeight="1" x14ac:dyDescent="0.3">
      <c r="A2584" s="72" t="s">
        <v>44</v>
      </c>
      <c r="B2584" s="73" t="s">
        <v>44</v>
      </c>
      <c r="C2584" s="74" t="s">
        <v>214</v>
      </c>
      <c r="D2584" s="5" t="s">
        <v>36</v>
      </c>
      <c r="E2584" s="4" t="str" cm="1">
        <f t="array" ref="E2584">_xlfn.IFS(
F2584 = "A partir de Abril", "Aguardando Execução na Distribuidora",
A2584 = "CAPACITAÇÃO", "Em execução no Corporativo",
TRUE, "Em Execução na Distribuidora"
)</f>
        <v>Em Execução na Distribuidora</v>
      </c>
      <c r="F2584" s="4" t="str" cm="1">
        <f t="array" ref="F2584">_xlfn.IFS(
AG2584 &lt;&gt; "", "Jan-Dez/26",
AH2584 &lt;&gt; "", "Fev-Dez/26",
AI2584 &lt;&gt; "", "Mar-Dez/26", AJ2584 &lt;&gt; "", "Abr-Dez/26",
TRUE, "A partir de Junho"
)</f>
        <v>Jan-Dez/26</v>
      </c>
      <c r="G2584" s="75" t="s">
        <v>44</v>
      </c>
      <c r="H2584" s="76" t="s">
        <v>44</v>
      </c>
      <c r="I2584" s="77"/>
      <c r="J2584" s="77"/>
      <c r="K2584" s="77"/>
      <c r="L2584" s="77" t="s">
        <v>228</v>
      </c>
      <c r="M2584" s="78"/>
      <c r="N2584" s="74" t="s">
        <v>42</v>
      </c>
      <c r="O2584" s="74" t="s">
        <v>52</v>
      </c>
      <c r="P2584" s="75" t="s">
        <v>44</v>
      </c>
      <c r="Q2584" s="75" t="s">
        <v>44</v>
      </c>
      <c r="R2584" s="79" t="s">
        <v>44</v>
      </c>
      <c r="S2584" s="79" t="s">
        <v>44</v>
      </c>
      <c r="T2584" s="22"/>
      <c r="U2584" s="22"/>
      <c r="V2584" s="22"/>
      <c r="W2584" s="22"/>
      <c r="X2584" s="22"/>
      <c r="Y2584" s="22"/>
      <c r="Z2584" s="22"/>
      <c r="AA2584" s="22"/>
      <c r="AB2584" s="22"/>
      <c r="AC2584" s="22"/>
      <c r="AD2584" s="22"/>
      <c r="AE2584" s="22"/>
      <c r="AG2584" s="112">
        <v>1.8316149152725165</v>
      </c>
      <c r="AH2584" s="112">
        <v>0.42635169667894113</v>
      </c>
      <c r="AI2584" s="112">
        <v>1.0159961378329214</v>
      </c>
      <c r="AJ2584" s="112">
        <v>1.05</v>
      </c>
      <c r="AK2584" s="112"/>
      <c r="AL2584" s="112"/>
      <c r="AM2584" s="112"/>
      <c r="AN2584" s="112"/>
      <c r="AO2584" s="112"/>
      <c r="AP2584" s="112"/>
      <c r="AQ2584" s="112"/>
      <c r="AR2584" s="112"/>
      <c r="AS2584" s="94"/>
      <c r="AT2584" s="95"/>
      <c r="AU2584" s="97"/>
      <c r="AW2584" s="84">
        <f>AG2584</f>
        <v>1.8316149152725165</v>
      </c>
      <c r="AX2584" s="84">
        <f>AH2584</f>
        <v>0.42635169667894113</v>
      </c>
      <c r="AY2584" s="84">
        <f>AI2584</f>
        <v>1.0159961378329214</v>
      </c>
      <c r="AZ2584" s="84">
        <f>AJ2584</f>
        <v>1.05</v>
      </c>
      <c r="BA2584" s="84"/>
      <c r="BB2584" s="84"/>
      <c r="BC2584" s="84"/>
      <c r="BD2584" s="84"/>
      <c r="BE2584" s="84"/>
      <c r="BF2584" s="84"/>
      <c r="BG2584" s="84"/>
      <c r="BH2584" s="84"/>
      <c r="BI2584" s="68" cm="1">
        <f t="array" ref="BI2584">IFERROR(INDEX(AW2584:BH2584,1,MATCH(2,1/(AW2584:BH2584&lt;&gt;""))),"")</f>
        <v>1.05</v>
      </c>
      <c r="BJ2584" s="68" cm="1">
        <f t="array" ref="BJ2584">IF(BM2584 = "", "",IFERROR(INDEX(AW2584:BH2584,1,MATCH(2,1/(AW2584:BH2584&lt;&gt;""),1)-1),""))</f>
        <v>1.0159961378329214</v>
      </c>
      <c r="BK2584" s="57" cm="1">
        <f t="array" ref="BK2584">IFERROR(INDEX(AW2584:BH2584,1,MATCH(2,1/(AW2584:BH2584&lt;&gt;""),1)),"")</f>
        <v>1.05</v>
      </c>
      <c r="BL2584" s="57" cm="1">
        <f t="array" ref="BL2584">IF(BM2584 = "", "",IFERROR(INDEX(AW2584:BH2584,1,MATCH(2,1/(AW2584:BH2584&lt;&gt;""),1)-1),""))</f>
        <v>1.0159961378329214</v>
      </c>
      <c r="BM2584" s="55" cm="1">
        <f t="array" ref="BM2584">IFERROR(
   INDEX($AW$1:$BH$1,
      _xlfn.AGGREGATE(14, 6, COLUMN($AW$1:$BH$1)/(AW2584:BH2584&lt;&gt;""), 2) - COLUMN($AW$1) + 1
   ),
"")</f>
        <v>46082</v>
      </c>
      <c r="BN2584" s="55" cm="1">
        <f t="array" ref="BN2584">IFERROR(INDEX($AW$1:$BH$1,1,MATCH(2,1/(AW2584:BH2584&lt;&gt;""))),"")</f>
        <v>46113</v>
      </c>
      <c r="BO2584" s="53">
        <f ca="1">IFERROR(_xlfn.XLOOKUP(F2584,Apuração!A:A,Apuração!C:C)/_xlfn.XLOOKUP(F2584,Apuração!A:A,Apuração!B:B),0)</f>
        <v>0.41666666666666669</v>
      </c>
      <c r="BP2584" s="53">
        <f ca="1">IFERROR(_xlfn.XLOOKUP(F2584,Apuração!A:A,Apuração!D:D)/_xlfn.XLOOKUP(F2584,Apuração!A:A,Apuração!B:B),0)</f>
        <v>0.33333333333333331</v>
      </c>
      <c r="BQ2584" s="53">
        <f ca="1">IF(BK2584&gt;=BO2584,0,_xlfn.XLOOKUP(F2584,Apuração!A:A,Apuração!B:B)*(BO2584 + (1/_xlfn.XLOOKUP(F2584,Apuração!A:A,Apuração!B:B)) - BK2584))</f>
        <v>0</v>
      </c>
      <c r="BR2584" s="85">
        <f ca="1">IF(BQ2584=0,0,BQ2584*Z2584)</f>
        <v>0</v>
      </c>
      <c r="BS2584" s="53">
        <f ca="1">IFERROR((_xlfn.XLOOKUP(F2584,Apuração!A:A,Apuração!C:C)+1)/_xlfn.XLOOKUP(F2584,Apuração!A:A,Apuração!B:B),0)</f>
        <v>0.5</v>
      </c>
    </row>
    <row r="2585" spans="1:71" ht="25.95" hidden="1" customHeight="1" x14ac:dyDescent="0.3">
      <c r="A2585" s="35" t="s">
        <v>44</v>
      </c>
      <c r="B2585" s="10" t="s">
        <v>44</v>
      </c>
      <c r="C2585" s="5" t="s">
        <v>216</v>
      </c>
      <c r="D2585" s="5" t="s">
        <v>217</v>
      </c>
      <c r="E2585" s="4" t="str" cm="1">
        <f t="array" ref="E2585">_xlfn.IFS(
F2585 = "A partir de Abril", "Aguardando Execução na Distribuidora",
A2585 = "CAPACITAÇÃO", "Em execução no Corporativo",
TRUE, "Em Execução na Distribuidora"
)</f>
        <v>Em Execução na Distribuidora</v>
      </c>
      <c r="F2585" s="4" t="str" cm="1">
        <f t="array" ref="F2585">_xlfn.IFS(
AG2585 &lt;&gt; "", "Jan-Dez/26",
AH2585 &lt;&gt; "", "Fev-Dez/26",
AI2585 &lt;&gt; "", "Mar-Dez/26", AJ2585 &lt;&gt; "", "Abr-Dez/26",
TRUE, "A partir de Junho"
)</f>
        <v>A partir de Junho</v>
      </c>
      <c r="G2585" s="10" t="s">
        <v>44</v>
      </c>
      <c r="H2585" s="36" t="s">
        <v>44</v>
      </c>
      <c r="I2585" s="37"/>
      <c r="J2585" s="37"/>
      <c r="K2585" s="37"/>
      <c r="L2585" s="37" t="s">
        <v>208</v>
      </c>
      <c r="M2585" s="37"/>
      <c r="N2585" s="5" t="s">
        <v>42</v>
      </c>
      <c r="O2585" s="5" t="s">
        <v>52</v>
      </c>
      <c r="P2585" s="10" t="s">
        <v>44</v>
      </c>
      <c r="Q2585" s="10" t="s">
        <v>44</v>
      </c>
      <c r="R2585" s="11" t="s">
        <v>44</v>
      </c>
      <c r="S2585" s="11" t="s">
        <v>44</v>
      </c>
      <c r="T2585" s="22"/>
      <c r="U2585" s="22"/>
      <c r="V2585" s="22"/>
      <c r="W2585" s="22"/>
      <c r="X2585" s="22"/>
      <c r="Y2585" s="22"/>
      <c r="Z2585" s="22"/>
      <c r="AA2585" s="22"/>
      <c r="AB2585" s="22"/>
      <c r="AC2585" s="22"/>
      <c r="AD2585" s="22"/>
      <c r="AE2585" s="22"/>
      <c r="AG2585" s="112"/>
      <c r="AH2585" s="112"/>
      <c r="AI2585" s="112"/>
      <c r="AJ2585" s="71"/>
      <c r="AK2585" s="71"/>
      <c r="AL2585" s="71"/>
      <c r="AM2585" s="71"/>
      <c r="AN2585" s="71"/>
      <c r="AO2585" s="71"/>
      <c r="AP2585" s="71"/>
      <c r="AQ2585" s="71"/>
      <c r="AR2585" s="71"/>
      <c r="AS2585" s="94"/>
      <c r="AT2585" s="95"/>
      <c r="AU2585" s="97"/>
      <c r="AW2585" s="84">
        <f t="shared" ref="AW2585:AW2588" si="3224">AG2585</f>
        <v>0</v>
      </c>
      <c r="AX2585" s="84">
        <f t="shared" ref="AX2585:AX2588" si="3225">AH2585</f>
        <v>0</v>
      </c>
      <c r="AY2585" s="84">
        <f t="shared" ref="AY2585:AY2588" si="3226">AI2585</f>
        <v>0</v>
      </c>
      <c r="AZ2585" s="84"/>
      <c r="BA2585" s="84"/>
      <c r="BB2585" s="84"/>
      <c r="BC2585" s="84"/>
      <c r="BD2585" s="84"/>
      <c r="BE2585" s="84"/>
      <c r="BF2585" s="84"/>
      <c r="BG2585" s="84"/>
      <c r="BH2585" s="84"/>
      <c r="BI2585" s="68" cm="1">
        <f t="array" ref="BI2585">IFERROR(INDEX(AW2585:BH2585,1,MATCH(2,1/(AW2585:BH2585&lt;&gt;""))),"")</f>
        <v>0</v>
      </c>
      <c r="BJ2585" s="68" cm="1">
        <f t="array" ref="BJ2585">IF(BM2585 = "", "",IFERROR(INDEX(AW2585:BH2585,1,MATCH(2,1/(AW2585:BH2585&lt;&gt;""),1)-1),""))</f>
        <v>0</v>
      </c>
      <c r="BK2585" s="57" cm="1">
        <f t="array" ref="BK2585">IFERROR(INDEX(AW2585:BH2585,1,MATCH(2,1/(AW2585:BH2585&lt;&gt;""),1)),"")</f>
        <v>0</v>
      </c>
      <c r="BL2585" s="57" cm="1">
        <f t="array" ref="BL2585">IF(BM2585 = "", "",IFERROR(INDEX(AW2585:BH2585,1,MATCH(2,1/(AW2585:BH2585&lt;&gt;""),1)-1),""))</f>
        <v>0</v>
      </c>
      <c r="BM2585" s="55" cm="1">
        <f t="array" ref="BM2585">IFERROR(
   INDEX($AW$1:$BH$1,
      _xlfn.AGGREGATE(14, 6, COLUMN($AW$1:$BH$1)/(AW2585:BH2585&lt;&gt;""), 2) - COLUMN($AW$1) + 1
   ),
"")</f>
        <v>46054</v>
      </c>
      <c r="BN2585" s="55" cm="1">
        <f t="array" ref="BN2585">IFERROR(INDEX($AW$1:$BH$1,1,MATCH(2,1/(AW2585:BH2585&lt;&gt;""))),"")</f>
        <v>46082</v>
      </c>
      <c r="BO2585" s="53">
        <f ca="1">IFERROR(_xlfn.XLOOKUP(F2585,Apuração!A:A,Apuração!C:C)/_xlfn.XLOOKUP(F2585,Apuração!A:A,Apuração!B:B),0)</f>
        <v>0</v>
      </c>
      <c r="BP2585" s="53">
        <f ca="1">IFERROR(_xlfn.XLOOKUP(F2585,Apuração!A:A,Apuração!D:D)/_xlfn.XLOOKUP(F2585,Apuração!A:A,Apuração!B:B),0)</f>
        <v>0</v>
      </c>
      <c r="BQ2585" s="53">
        <f ca="1">IF(BK2585&gt;=BO2585,0,_xlfn.XLOOKUP(F2585,Apuração!A:A,Apuração!B:B)*(BO2585 + (1/_xlfn.XLOOKUP(F2585,Apuração!A:A,Apuração!B:B)) - BK2585))</f>
        <v>0</v>
      </c>
      <c r="BR2585" s="85">
        <f t="shared" ref="BR2585:BR2588" ca="1" si="3227">IF(BQ2585=0,0,BQ2585*Z2585)</f>
        <v>0</v>
      </c>
      <c r="BS2585" s="53">
        <f ca="1">IFERROR((_xlfn.XLOOKUP(F2585,Apuração!A:A,Apuração!C:C)+1)/_xlfn.XLOOKUP(F2585,Apuração!A:A,Apuração!B:B),0)</f>
        <v>0.14285714285714285</v>
      </c>
    </row>
    <row r="2586" spans="1:71" ht="25.95" hidden="1" customHeight="1" x14ac:dyDescent="0.3">
      <c r="A2586" s="35" t="s">
        <v>44</v>
      </c>
      <c r="B2586" s="10" t="s">
        <v>44</v>
      </c>
      <c r="C2586" s="5" t="s">
        <v>216</v>
      </c>
      <c r="D2586" s="5" t="s">
        <v>103</v>
      </c>
      <c r="E2586" s="4" t="str" cm="1">
        <f t="array" ref="E2586">_xlfn.IFS(
F2586 = "A partir de Abril", "Aguardando Execução na Distribuidora",
A2586 = "CAPACITAÇÃO", "Em execução no Corporativo",
TRUE, "Em Execução na Distribuidora"
)</f>
        <v>Em Execução na Distribuidora</v>
      </c>
      <c r="F2586" s="4" t="str" cm="1">
        <f t="array" ref="F2586">_xlfn.IFS(
AG2586 &lt;&gt; "", "Jan-Dez/26",
AH2586 &lt;&gt; "", "Fev-Dez/26",
AI2586 &lt;&gt; "", "Mar-Dez/26", AJ2586 &lt;&gt; "", "Abr-Dez/26",
TRUE, "A partir de Junho"
)</f>
        <v>A partir de Junho</v>
      </c>
      <c r="G2586" s="10" t="s">
        <v>44</v>
      </c>
      <c r="H2586" s="36" t="s">
        <v>44</v>
      </c>
      <c r="I2586" s="37"/>
      <c r="J2586" s="37"/>
      <c r="K2586" s="37"/>
      <c r="L2586" s="37" t="s">
        <v>208</v>
      </c>
      <c r="M2586" s="37"/>
      <c r="N2586" s="5" t="s">
        <v>42</v>
      </c>
      <c r="O2586" s="5" t="s">
        <v>52</v>
      </c>
      <c r="P2586" s="10" t="s">
        <v>44</v>
      </c>
      <c r="Q2586" s="10" t="s">
        <v>44</v>
      </c>
      <c r="R2586" s="11" t="s">
        <v>44</v>
      </c>
      <c r="S2586" s="11" t="s">
        <v>44</v>
      </c>
      <c r="T2586" s="22"/>
      <c r="U2586" s="22"/>
      <c r="V2586" s="22"/>
      <c r="W2586" s="22"/>
      <c r="X2586" s="22"/>
      <c r="Y2586" s="22"/>
      <c r="Z2586" s="22"/>
      <c r="AA2586" s="22"/>
      <c r="AB2586" s="22"/>
      <c r="AC2586" s="22"/>
      <c r="AD2586" s="22"/>
      <c r="AE2586" s="22"/>
      <c r="AG2586" s="112"/>
      <c r="AH2586" s="112"/>
      <c r="AI2586" s="112"/>
      <c r="AJ2586" s="71"/>
      <c r="AK2586" s="71"/>
      <c r="AL2586" s="71"/>
      <c r="AM2586" s="71"/>
      <c r="AN2586" s="71"/>
      <c r="AO2586" s="71"/>
      <c r="AP2586" s="71"/>
      <c r="AQ2586" s="71"/>
      <c r="AR2586" s="71"/>
      <c r="AS2586" s="94"/>
      <c r="AT2586" s="95"/>
      <c r="AU2586" s="97"/>
      <c r="AW2586" s="84">
        <f t="shared" si="3224"/>
        <v>0</v>
      </c>
      <c r="AX2586" s="84">
        <f t="shared" si="3225"/>
        <v>0</v>
      </c>
      <c r="AY2586" s="84">
        <f t="shared" si="3226"/>
        <v>0</v>
      </c>
      <c r="AZ2586" s="84"/>
      <c r="BA2586" s="84"/>
      <c r="BB2586" s="84"/>
      <c r="BC2586" s="84"/>
      <c r="BD2586" s="84"/>
      <c r="BE2586" s="84"/>
      <c r="BF2586" s="84"/>
      <c r="BG2586" s="84"/>
      <c r="BH2586" s="84"/>
      <c r="BI2586" s="68" cm="1">
        <f t="array" ref="BI2586">IFERROR(INDEX(AW2586:BH2586,1,MATCH(2,1/(AW2586:BH2586&lt;&gt;""))),"")</f>
        <v>0</v>
      </c>
      <c r="BJ2586" s="68" cm="1">
        <f t="array" ref="BJ2586">IF(BM2586 = "", "",IFERROR(INDEX(AW2586:BH2586,1,MATCH(2,1/(AW2586:BH2586&lt;&gt;""),1)-1),""))</f>
        <v>0</v>
      </c>
      <c r="BK2586" s="57" cm="1">
        <f t="array" ref="BK2586">IFERROR(INDEX(AW2586:BH2586,1,MATCH(2,1/(AW2586:BH2586&lt;&gt;""),1)),"")</f>
        <v>0</v>
      </c>
      <c r="BL2586" s="57" cm="1">
        <f t="array" ref="BL2586">IF(BM2586 = "", "",IFERROR(INDEX(AW2586:BH2586,1,MATCH(2,1/(AW2586:BH2586&lt;&gt;""),1)-1),""))</f>
        <v>0</v>
      </c>
      <c r="BM2586" s="55" cm="1">
        <f t="array" ref="BM2586">IFERROR(
   INDEX($AW$1:$BH$1,
      _xlfn.AGGREGATE(14, 6, COLUMN($AW$1:$BH$1)/(AW2586:BH2586&lt;&gt;""), 2) - COLUMN($AW$1) + 1
   ),
"")</f>
        <v>46054</v>
      </c>
      <c r="BN2586" s="55" cm="1">
        <f t="array" ref="BN2586">IFERROR(INDEX($AW$1:$BH$1,1,MATCH(2,1/(AW2586:BH2586&lt;&gt;""))),"")</f>
        <v>46082</v>
      </c>
      <c r="BO2586" s="53">
        <f ca="1">IFERROR(_xlfn.XLOOKUP(F2586,Apuração!A:A,Apuração!C:C)/_xlfn.XLOOKUP(F2586,Apuração!A:A,Apuração!B:B),0)</f>
        <v>0</v>
      </c>
      <c r="BP2586" s="53">
        <f ca="1">IFERROR(_xlfn.XLOOKUP(F2586,Apuração!A:A,Apuração!D:D)/_xlfn.XLOOKUP(F2586,Apuração!A:A,Apuração!B:B),0)</f>
        <v>0</v>
      </c>
      <c r="BQ2586" s="53">
        <f ca="1">IF(BK2586&gt;=BO2586,0,_xlfn.XLOOKUP(F2586,Apuração!A:A,Apuração!B:B)*(BO2586 + (1/_xlfn.XLOOKUP(F2586,Apuração!A:A,Apuração!B:B)) - BK2586))</f>
        <v>0</v>
      </c>
      <c r="BR2586" s="85">
        <f t="shared" ca="1" si="3227"/>
        <v>0</v>
      </c>
      <c r="BS2586" s="53">
        <f ca="1">IFERROR((_xlfn.XLOOKUP(F2586,Apuração!A:A,Apuração!C:C)+1)/_xlfn.XLOOKUP(F2586,Apuração!A:A,Apuração!B:B),0)</f>
        <v>0.14285714285714285</v>
      </c>
    </row>
    <row r="2587" spans="1:71" ht="25.95" hidden="1" customHeight="1" x14ac:dyDescent="0.3">
      <c r="A2587" s="35" t="s">
        <v>44</v>
      </c>
      <c r="B2587" s="10" t="s">
        <v>44</v>
      </c>
      <c r="C2587" s="5" t="s">
        <v>216</v>
      </c>
      <c r="D2587" s="5" t="s">
        <v>218</v>
      </c>
      <c r="E2587" s="4" t="str" cm="1">
        <f t="array" ref="E2587">_xlfn.IFS(
F2587 = "A partir de Abril", "Aguardando Execução na Distribuidora",
A2587 = "CAPACITAÇÃO", "Em execução no Corporativo",
TRUE, "Em Execução na Distribuidora"
)</f>
        <v>Em Execução na Distribuidora</v>
      </c>
      <c r="F2587" s="4" t="str" cm="1">
        <f t="array" ref="F2587">_xlfn.IFS(
AG2587 &lt;&gt; "", "Jan-Dez/26",
AH2587 &lt;&gt; "", "Fev-Dez/26",
AI2587 &lt;&gt; "", "Mar-Dez/26", AJ2587 &lt;&gt; "", "Abr-Dez/26",
TRUE, "A partir de Junho"
)</f>
        <v>A partir de Junho</v>
      </c>
      <c r="G2587" s="10" t="s">
        <v>44</v>
      </c>
      <c r="H2587" s="36" t="s">
        <v>44</v>
      </c>
      <c r="I2587" s="37"/>
      <c r="J2587" s="37"/>
      <c r="K2587" s="37"/>
      <c r="L2587" s="37" t="s">
        <v>208</v>
      </c>
      <c r="M2587" s="37"/>
      <c r="N2587" s="5" t="s">
        <v>42</v>
      </c>
      <c r="O2587" s="5" t="s">
        <v>52</v>
      </c>
      <c r="P2587" s="10" t="s">
        <v>44</v>
      </c>
      <c r="Q2587" s="10" t="s">
        <v>44</v>
      </c>
      <c r="R2587" s="11" t="s">
        <v>44</v>
      </c>
      <c r="S2587" s="11" t="s">
        <v>44</v>
      </c>
      <c r="T2587" s="22"/>
      <c r="U2587" s="22"/>
      <c r="V2587" s="22"/>
      <c r="W2587" s="22"/>
      <c r="X2587" s="22"/>
      <c r="Y2587" s="22"/>
      <c r="Z2587" s="22"/>
      <c r="AA2587" s="22"/>
      <c r="AB2587" s="22"/>
      <c r="AC2587" s="22"/>
      <c r="AD2587" s="22"/>
      <c r="AE2587" s="22"/>
      <c r="AG2587" s="112"/>
      <c r="AH2587" s="112"/>
      <c r="AI2587" s="112"/>
      <c r="AJ2587" s="71"/>
      <c r="AK2587" s="71"/>
      <c r="AL2587" s="71"/>
      <c r="AM2587" s="71"/>
      <c r="AN2587" s="71"/>
      <c r="AO2587" s="71"/>
      <c r="AP2587" s="71"/>
      <c r="AQ2587" s="71"/>
      <c r="AR2587" s="71"/>
      <c r="AS2587" s="94"/>
      <c r="AT2587" s="95"/>
      <c r="AU2587" s="97"/>
      <c r="AW2587" s="84">
        <f t="shared" si="3224"/>
        <v>0</v>
      </c>
      <c r="AX2587" s="84">
        <f t="shared" si="3225"/>
        <v>0</v>
      </c>
      <c r="AY2587" s="84">
        <f t="shared" si="3226"/>
        <v>0</v>
      </c>
      <c r="AZ2587" s="84"/>
      <c r="BA2587" s="84"/>
      <c r="BB2587" s="84"/>
      <c r="BC2587" s="84"/>
      <c r="BD2587" s="84"/>
      <c r="BE2587" s="84"/>
      <c r="BF2587" s="84"/>
      <c r="BG2587" s="84"/>
      <c r="BH2587" s="84"/>
      <c r="BI2587" s="68" cm="1">
        <f t="array" ref="BI2587">IFERROR(INDEX(AW2587:BH2587,1,MATCH(2,1/(AW2587:BH2587&lt;&gt;""))),"")</f>
        <v>0</v>
      </c>
      <c r="BJ2587" s="68" cm="1">
        <f t="array" ref="BJ2587">IF(BM2587 = "", "",IFERROR(INDEX(AW2587:BH2587,1,MATCH(2,1/(AW2587:BH2587&lt;&gt;""),1)-1),""))</f>
        <v>0</v>
      </c>
      <c r="BK2587" s="57" cm="1">
        <f t="array" ref="BK2587">IFERROR(INDEX(AW2587:BH2587,1,MATCH(2,1/(AW2587:BH2587&lt;&gt;""),1)),"")</f>
        <v>0</v>
      </c>
      <c r="BL2587" s="57" cm="1">
        <f t="array" ref="BL2587">IF(BM2587 = "", "",IFERROR(INDEX(AW2587:BH2587,1,MATCH(2,1/(AW2587:BH2587&lt;&gt;""),1)-1),""))</f>
        <v>0</v>
      </c>
      <c r="BM2587" s="55" cm="1">
        <f t="array" ref="BM2587">IFERROR(
   INDEX($AW$1:$BH$1,
      _xlfn.AGGREGATE(14, 6, COLUMN($AW$1:$BH$1)/(AW2587:BH2587&lt;&gt;""), 2) - COLUMN($AW$1) + 1
   ),
"")</f>
        <v>46054</v>
      </c>
      <c r="BN2587" s="55" cm="1">
        <f t="array" ref="BN2587">IFERROR(INDEX($AW$1:$BH$1,1,MATCH(2,1/(AW2587:BH2587&lt;&gt;""))),"")</f>
        <v>46082</v>
      </c>
      <c r="BO2587" s="53">
        <f ca="1">IFERROR(_xlfn.XLOOKUP(F2587,Apuração!A:A,Apuração!C:C)/_xlfn.XLOOKUP(F2587,Apuração!A:A,Apuração!B:B),0)</f>
        <v>0</v>
      </c>
      <c r="BP2587" s="53">
        <f ca="1">IFERROR(_xlfn.XLOOKUP(F2587,Apuração!A:A,Apuração!D:D)/_xlfn.XLOOKUP(F2587,Apuração!A:A,Apuração!B:B),0)</f>
        <v>0</v>
      </c>
      <c r="BQ2587" s="53">
        <f ca="1">IF(BK2587&gt;=BO2587,0,_xlfn.XLOOKUP(F2587,Apuração!A:A,Apuração!B:B)*(BO2587 + (1/_xlfn.XLOOKUP(F2587,Apuração!A:A,Apuração!B:B)) - BK2587))</f>
        <v>0</v>
      </c>
      <c r="BR2587" s="85">
        <f t="shared" ca="1" si="3227"/>
        <v>0</v>
      </c>
      <c r="BS2587" s="53">
        <f ca="1">IFERROR((_xlfn.XLOOKUP(F2587,Apuração!A:A,Apuração!C:C)+1)/_xlfn.XLOOKUP(F2587,Apuração!A:A,Apuração!B:B),0)</f>
        <v>0.14285714285714285</v>
      </c>
    </row>
    <row r="2588" spans="1:71" ht="25.95" hidden="1" customHeight="1" x14ac:dyDescent="0.3">
      <c r="A2588" s="35" t="s">
        <v>44</v>
      </c>
      <c r="B2588" s="10" t="s">
        <v>44</v>
      </c>
      <c r="C2588" s="5" t="s">
        <v>216</v>
      </c>
      <c r="D2588" s="5" t="s">
        <v>219</v>
      </c>
      <c r="E2588" s="4" t="str" cm="1">
        <f t="array" ref="E2588">_xlfn.IFS(
F2588 = "A partir de Abril", "Aguardando Execução na Distribuidora",
A2588 = "CAPACITAÇÃO", "Em execução no Corporativo",
TRUE, "Em Execução na Distribuidora"
)</f>
        <v>Em Execução na Distribuidora</v>
      </c>
      <c r="F2588" s="4" t="str" cm="1">
        <f t="array" ref="F2588">_xlfn.IFS(
AG2588 &lt;&gt; "", "Jan-Dez/26",
AH2588 &lt;&gt; "", "Fev-Dez/26",
AI2588 &lt;&gt; "", "Mar-Dez/26", AJ2588 &lt;&gt; "", "Abr-Dez/26",
TRUE, "A partir de Junho"
)</f>
        <v>A partir de Junho</v>
      </c>
      <c r="G2588" s="10" t="s">
        <v>44</v>
      </c>
      <c r="H2588" s="36" t="s">
        <v>44</v>
      </c>
      <c r="I2588" s="37"/>
      <c r="J2588" s="37"/>
      <c r="K2588" s="37"/>
      <c r="L2588" s="37" t="s">
        <v>208</v>
      </c>
      <c r="M2588" s="37"/>
      <c r="N2588" s="5" t="s">
        <v>42</v>
      </c>
      <c r="O2588" s="5" t="s">
        <v>52</v>
      </c>
      <c r="P2588" s="10" t="s">
        <v>44</v>
      </c>
      <c r="Q2588" s="10" t="s">
        <v>44</v>
      </c>
      <c r="R2588" s="11" t="s">
        <v>44</v>
      </c>
      <c r="S2588" s="11" t="s">
        <v>44</v>
      </c>
      <c r="T2588" s="22"/>
      <c r="U2588" s="22"/>
      <c r="V2588" s="22"/>
      <c r="W2588" s="22"/>
      <c r="X2588" s="22"/>
      <c r="Y2588" s="22"/>
      <c r="Z2588" s="22"/>
      <c r="AA2588" s="22"/>
      <c r="AB2588" s="22"/>
      <c r="AC2588" s="22"/>
      <c r="AD2588" s="22"/>
      <c r="AE2588" s="22"/>
      <c r="AG2588" s="112"/>
      <c r="AH2588" s="112"/>
      <c r="AI2588" s="112"/>
      <c r="AJ2588" s="71"/>
      <c r="AK2588" s="71"/>
      <c r="AL2588" s="71"/>
      <c r="AM2588" s="71"/>
      <c r="AN2588" s="71"/>
      <c r="AO2588" s="71"/>
      <c r="AP2588" s="71"/>
      <c r="AQ2588" s="71"/>
      <c r="AR2588" s="71"/>
      <c r="AS2588" s="94"/>
      <c r="AT2588" s="95"/>
      <c r="AU2588" s="97"/>
      <c r="AW2588" s="84">
        <f t="shared" si="3224"/>
        <v>0</v>
      </c>
      <c r="AX2588" s="84">
        <f t="shared" si="3225"/>
        <v>0</v>
      </c>
      <c r="AY2588" s="84">
        <f t="shared" si="3226"/>
        <v>0</v>
      </c>
      <c r="AZ2588" s="84"/>
      <c r="BA2588" s="84"/>
      <c r="BB2588" s="84"/>
      <c r="BC2588" s="84"/>
      <c r="BD2588" s="84"/>
      <c r="BE2588" s="84"/>
      <c r="BF2588" s="84"/>
      <c r="BG2588" s="84"/>
      <c r="BH2588" s="84"/>
      <c r="BI2588" s="68" cm="1">
        <f t="array" ref="BI2588">IFERROR(INDEX(AW2588:BH2588,1,MATCH(2,1/(AW2588:BH2588&lt;&gt;""))),"")</f>
        <v>0</v>
      </c>
      <c r="BJ2588" s="68" cm="1">
        <f t="array" ref="BJ2588">IF(BM2588 = "", "",IFERROR(INDEX(AW2588:BH2588,1,MATCH(2,1/(AW2588:BH2588&lt;&gt;""),1)-1),""))</f>
        <v>0</v>
      </c>
      <c r="BK2588" s="57" cm="1">
        <f t="array" ref="BK2588">IFERROR(INDEX(AW2588:BH2588,1,MATCH(2,1/(AW2588:BH2588&lt;&gt;""),1)),"")</f>
        <v>0</v>
      </c>
      <c r="BL2588" s="57" cm="1">
        <f t="array" ref="BL2588">IF(BM2588 = "", "",IFERROR(INDEX(AW2588:BH2588,1,MATCH(2,1/(AW2588:BH2588&lt;&gt;""),1)-1),""))</f>
        <v>0</v>
      </c>
      <c r="BM2588" s="55" cm="1">
        <f t="array" ref="BM2588">IFERROR(
   INDEX($AW$1:$BH$1,
      _xlfn.AGGREGATE(14, 6, COLUMN($AW$1:$BH$1)/(AW2588:BH2588&lt;&gt;""), 2) - COLUMN($AW$1) + 1
   ),
"")</f>
        <v>46054</v>
      </c>
      <c r="BN2588" s="55" cm="1">
        <f t="array" ref="BN2588">IFERROR(INDEX($AW$1:$BH$1,1,MATCH(2,1/(AW2588:BH2588&lt;&gt;""))),"")</f>
        <v>46082</v>
      </c>
      <c r="BO2588" s="53">
        <f ca="1">IFERROR(_xlfn.XLOOKUP(F2588,Apuração!A:A,Apuração!C:C)/_xlfn.XLOOKUP(F2588,Apuração!A:A,Apuração!B:B),0)</f>
        <v>0</v>
      </c>
      <c r="BP2588" s="53">
        <f ca="1">IFERROR(_xlfn.XLOOKUP(F2588,Apuração!A:A,Apuração!D:D)/_xlfn.XLOOKUP(F2588,Apuração!A:A,Apuração!B:B),0)</f>
        <v>0</v>
      </c>
      <c r="BQ2588" s="53">
        <f ca="1">IF(BK2588&gt;=BO2588,0,_xlfn.XLOOKUP(F2588,Apuração!A:A,Apuração!B:B)*(BO2588 + (1/_xlfn.XLOOKUP(F2588,Apuração!A:A,Apuração!B:B)) - BK2588))</f>
        <v>0</v>
      </c>
      <c r="BR2588" s="85">
        <f t="shared" ca="1" si="3227"/>
        <v>0</v>
      </c>
      <c r="BS2588" s="53">
        <f ca="1">IFERROR((_xlfn.XLOOKUP(F2588,Apuração!A:A,Apuração!C:C)+1)/_xlfn.XLOOKUP(F2588,Apuração!A:A,Apuração!B:B),0)</f>
        <v>0.14285714285714285</v>
      </c>
    </row>
    <row r="2589" spans="1:71" ht="25.95" hidden="1" customHeight="1" x14ac:dyDescent="0.3">
      <c r="A2589" s="72" t="s">
        <v>44</v>
      </c>
      <c r="B2589" s="73" t="s">
        <v>44</v>
      </c>
      <c r="C2589" s="74" t="s">
        <v>216</v>
      </c>
      <c r="D2589" s="5" t="s">
        <v>36</v>
      </c>
      <c r="E2589" s="4" t="str" cm="1">
        <f t="array" ref="E2589">_xlfn.IFS(
F2589 = "A partir de Abril", "Aguardando Execução na Distribuidora",
A2589 = "CAPACITAÇÃO", "Em execução no Corporativo",
TRUE, "Em Execução na Distribuidora"
)</f>
        <v>Em Execução na Distribuidora</v>
      </c>
      <c r="F2589" s="4" t="str" cm="1">
        <f t="array" ref="F2589">_xlfn.IFS(
AG2589 &lt;&gt; "", "Jan-Dez/26",
AH2589 &lt;&gt; "", "Fev-Dez/26",
AI2589 &lt;&gt; "", "Mar-Dez/26", AJ2589 &lt;&gt; "", "Abr-Dez/26",
TRUE, "A partir de Junho"
)</f>
        <v>Jan-Dez/26</v>
      </c>
      <c r="G2589" s="75" t="s">
        <v>44</v>
      </c>
      <c r="H2589" s="76" t="s">
        <v>44</v>
      </c>
      <c r="I2589" s="77"/>
      <c r="J2589" s="77"/>
      <c r="K2589" s="77"/>
      <c r="L2589" s="77" t="s">
        <v>228</v>
      </c>
      <c r="M2589" s="78"/>
      <c r="N2589" s="74" t="s">
        <v>42</v>
      </c>
      <c r="O2589" s="74" t="s">
        <v>52</v>
      </c>
      <c r="P2589" s="75" t="s">
        <v>44</v>
      </c>
      <c r="Q2589" s="75" t="s">
        <v>44</v>
      </c>
      <c r="R2589" s="79" t="s">
        <v>44</v>
      </c>
      <c r="S2589" s="79" t="s">
        <v>44</v>
      </c>
      <c r="T2589" s="22"/>
      <c r="U2589" s="22"/>
      <c r="V2589" s="22"/>
      <c r="W2589" s="22"/>
      <c r="X2589" s="22"/>
      <c r="Y2589" s="22"/>
      <c r="Z2589" s="22"/>
      <c r="AA2589" s="22"/>
      <c r="AB2589" s="22"/>
      <c r="AC2589" s="22"/>
      <c r="AD2589" s="22"/>
      <c r="AE2589" s="22"/>
      <c r="AG2589" s="112">
        <v>4.5948058513492462</v>
      </c>
      <c r="AH2589" s="112">
        <v>5.4415603086496542</v>
      </c>
      <c r="AI2589" s="112">
        <v>5.8041556805522587</v>
      </c>
      <c r="AJ2589" s="112">
        <v>5.4</v>
      </c>
      <c r="AK2589" s="112"/>
      <c r="AL2589" s="112"/>
      <c r="AM2589" s="112"/>
      <c r="AN2589" s="112"/>
      <c r="AO2589" s="112"/>
      <c r="AP2589" s="112"/>
      <c r="AQ2589" s="112"/>
      <c r="AR2589" s="112"/>
      <c r="AS2589" s="94"/>
      <c r="AT2589" s="95"/>
      <c r="AU2589" s="97"/>
      <c r="AW2589" s="84">
        <f t="shared" ref="AW2589:AW2602" si="3228">AG2589</f>
        <v>4.5948058513492462</v>
      </c>
      <c r="AX2589" s="84">
        <f t="shared" ref="AX2589:AX2602" si="3229">AH2589</f>
        <v>5.4415603086496542</v>
      </c>
      <c r="AY2589" s="84">
        <f t="shared" ref="AY2589:AZ2602" si="3230">AI2589</f>
        <v>5.8041556805522587</v>
      </c>
      <c r="AZ2589" s="84">
        <f t="shared" si="3230"/>
        <v>5.4</v>
      </c>
      <c r="BA2589" s="84"/>
      <c r="BB2589" s="84"/>
      <c r="BC2589" s="84"/>
      <c r="BD2589" s="84"/>
      <c r="BE2589" s="84"/>
      <c r="BF2589" s="84"/>
      <c r="BG2589" s="84"/>
      <c r="BH2589" s="84"/>
      <c r="BI2589" s="68" cm="1">
        <f t="array" ref="BI2589">IFERROR(INDEX(AW2589:BH2589,1,MATCH(2,1/(AW2589:BH2589&lt;&gt;""))),"")</f>
        <v>5.4</v>
      </c>
      <c r="BJ2589" s="68" cm="1">
        <f t="array" ref="BJ2589">IF(BM2589 = "", "",IFERROR(INDEX(AW2589:BH2589,1,MATCH(2,1/(AW2589:BH2589&lt;&gt;""),1)-1),""))</f>
        <v>5.8041556805522587</v>
      </c>
      <c r="BK2589" s="57" cm="1">
        <f t="array" ref="BK2589">IFERROR(INDEX(AW2589:BH2589,1,MATCH(2,1/(AW2589:BH2589&lt;&gt;""),1)),"")</f>
        <v>5.4</v>
      </c>
      <c r="BL2589" s="57" cm="1">
        <f t="array" ref="BL2589">IF(BM2589 = "", "",IFERROR(INDEX(AW2589:BH2589,1,MATCH(2,1/(AW2589:BH2589&lt;&gt;""),1)-1),""))</f>
        <v>5.8041556805522587</v>
      </c>
      <c r="BM2589" s="55" cm="1">
        <f t="array" ref="BM2589">IFERROR(
   INDEX($AW$1:$BH$1,
      _xlfn.AGGREGATE(14, 6, COLUMN($AW$1:$BH$1)/(AW2589:BH2589&lt;&gt;""), 2) - COLUMN($AW$1) + 1
   ),
"")</f>
        <v>46082</v>
      </c>
      <c r="BN2589" s="55" cm="1">
        <f t="array" ref="BN2589">IFERROR(INDEX($AW$1:$BH$1,1,MATCH(2,1/(AW2589:BH2589&lt;&gt;""))),"")</f>
        <v>46113</v>
      </c>
      <c r="BO2589" s="53">
        <f ca="1">IFERROR(_xlfn.XLOOKUP(F2589,Apuração!A:A,Apuração!C:C)/_xlfn.XLOOKUP(F2589,Apuração!A:A,Apuração!B:B),0)</f>
        <v>0.41666666666666669</v>
      </c>
      <c r="BP2589" s="53">
        <f ca="1">IFERROR(_xlfn.XLOOKUP(F2589,Apuração!A:A,Apuração!D:D)/_xlfn.XLOOKUP(F2589,Apuração!A:A,Apuração!B:B),0)</f>
        <v>0.33333333333333331</v>
      </c>
      <c r="BQ2589" s="53">
        <f ca="1">IF(BK2589&gt;=BO2589,0,_xlfn.XLOOKUP(F2589,Apuração!A:A,Apuração!B:B)*(BO2589 + (1/_xlfn.XLOOKUP(F2589,Apuração!A:A,Apuração!B:B)) - BK2589))</f>
        <v>0</v>
      </c>
      <c r="BR2589" s="85">
        <f t="shared" ref="BR2589:BR2602" ca="1" si="3231">IF(BQ2589=0,0,BQ2589*Z2589)</f>
        <v>0</v>
      </c>
      <c r="BS2589" s="53">
        <f ca="1">IFERROR((_xlfn.XLOOKUP(F2589,Apuração!A:A,Apuração!C:C)+1)/_xlfn.XLOOKUP(F2589,Apuração!A:A,Apuração!B:B),0)</f>
        <v>0.5</v>
      </c>
    </row>
    <row r="2590" spans="1:71" ht="25.95" hidden="1" customHeight="1" x14ac:dyDescent="0.3">
      <c r="A2590" s="35" t="s">
        <v>44</v>
      </c>
      <c r="B2590" s="10" t="s">
        <v>44</v>
      </c>
      <c r="C2590" s="5" t="s">
        <v>221</v>
      </c>
      <c r="D2590" s="5" t="s">
        <v>212</v>
      </c>
      <c r="E2590" s="4" t="str" cm="1">
        <f t="array" ref="E2590">_xlfn.IFS(
F2590 = "A partir de Abril", "Aguardando Execução na Distribuidora",
A2590 = "CAPACITAÇÃO", "Em execução no Corporativo",
TRUE, "Em Execução na Distribuidora"
)</f>
        <v>Em Execução na Distribuidora</v>
      </c>
      <c r="F2590" s="4" t="str" cm="1">
        <f t="array" ref="F2590">_xlfn.IFS(
AG2590 &lt;&gt; "", "Jan-Dez/26",
AH2590 &lt;&gt; "", "Fev-Dez/26",
AI2590 &lt;&gt; "", "Mar-Dez/26", AJ2590 &lt;&gt; "", "Abr-Dez/26",
TRUE, "A partir de Junho"
)</f>
        <v>A partir de Junho</v>
      </c>
      <c r="G2590" s="10" t="s">
        <v>44</v>
      </c>
      <c r="H2590" s="36" t="s">
        <v>44</v>
      </c>
      <c r="I2590" s="37"/>
      <c r="J2590" s="37"/>
      <c r="K2590" s="37"/>
      <c r="L2590" s="37" t="s">
        <v>208</v>
      </c>
      <c r="M2590" s="37"/>
      <c r="N2590" s="5" t="s">
        <v>42</v>
      </c>
      <c r="O2590" s="5" t="s">
        <v>52</v>
      </c>
      <c r="P2590" s="10" t="s">
        <v>44</v>
      </c>
      <c r="Q2590" s="10" t="s">
        <v>44</v>
      </c>
      <c r="R2590" s="11" t="s">
        <v>44</v>
      </c>
      <c r="S2590" s="11" t="s">
        <v>44</v>
      </c>
      <c r="T2590" s="22"/>
      <c r="U2590" s="22"/>
      <c r="V2590" s="22"/>
      <c r="W2590" s="22"/>
      <c r="X2590" s="22"/>
      <c r="Y2590" s="22"/>
      <c r="Z2590" s="22"/>
      <c r="AA2590" s="22"/>
      <c r="AB2590" s="22"/>
      <c r="AC2590" s="22"/>
      <c r="AD2590" s="22"/>
      <c r="AE2590" s="22"/>
      <c r="AG2590" s="112"/>
      <c r="AH2590" s="112"/>
      <c r="AI2590" s="112"/>
      <c r="AJ2590" s="71"/>
      <c r="AK2590" s="71"/>
      <c r="AL2590" s="71"/>
      <c r="AM2590" s="71"/>
      <c r="AN2590" s="71"/>
      <c r="AO2590" s="71"/>
      <c r="AP2590" s="71"/>
      <c r="AQ2590" s="71"/>
      <c r="AR2590" s="71"/>
      <c r="AS2590" s="94"/>
      <c r="AT2590" s="95"/>
      <c r="AU2590" s="97"/>
      <c r="AW2590" s="84">
        <f t="shared" si="3228"/>
        <v>0</v>
      </c>
      <c r="AX2590" s="84">
        <f t="shared" si="3229"/>
        <v>0</v>
      </c>
      <c r="AY2590" s="84">
        <f t="shared" si="3230"/>
        <v>0</v>
      </c>
      <c r="AZ2590" s="84"/>
      <c r="BA2590" s="84"/>
      <c r="BB2590" s="84"/>
      <c r="BC2590" s="84"/>
      <c r="BD2590" s="84"/>
      <c r="BE2590" s="84"/>
      <c r="BF2590" s="84"/>
      <c r="BG2590" s="84"/>
      <c r="BH2590" s="84"/>
      <c r="BI2590" s="68" cm="1">
        <f t="array" ref="BI2590">IFERROR(INDEX(AW2590:BH2590,1,MATCH(2,1/(AW2590:BH2590&lt;&gt;""))),"")</f>
        <v>0</v>
      </c>
      <c r="BJ2590" s="68" cm="1">
        <f t="array" ref="BJ2590">IF(BM2590 = "", "",IFERROR(INDEX(AW2590:BH2590,1,MATCH(2,1/(AW2590:BH2590&lt;&gt;""),1)-1),""))</f>
        <v>0</v>
      </c>
      <c r="BK2590" s="57" cm="1">
        <f t="array" ref="BK2590">IFERROR(INDEX(AW2590:BH2590,1,MATCH(2,1/(AW2590:BH2590&lt;&gt;""),1)),"")</f>
        <v>0</v>
      </c>
      <c r="BL2590" s="57" cm="1">
        <f t="array" ref="BL2590">IF(BM2590 = "", "",IFERROR(INDEX(AW2590:BH2590,1,MATCH(2,1/(AW2590:BH2590&lt;&gt;""),1)-1),""))</f>
        <v>0</v>
      </c>
      <c r="BM2590" s="55" cm="1">
        <f t="array" ref="BM2590">IFERROR(
   INDEX($AW$1:$BH$1,
      _xlfn.AGGREGATE(14, 6, COLUMN($AW$1:$BH$1)/(AW2590:BH2590&lt;&gt;""), 2) - COLUMN($AW$1) + 1
   ),
"")</f>
        <v>46054</v>
      </c>
      <c r="BN2590" s="55" cm="1">
        <f t="array" ref="BN2590">IFERROR(INDEX($AW$1:$BH$1,1,MATCH(2,1/(AW2590:BH2590&lt;&gt;""))),"")</f>
        <v>46082</v>
      </c>
      <c r="BO2590" s="53">
        <f ca="1">IFERROR(_xlfn.XLOOKUP(F2590,Apuração!A:A,Apuração!C:C)/_xlfn.XLOOKUP(F2590,Apuração!A:A,Apuração!B:B),0)</f>
        <v>0</v>
      </c>
      <c r="BP2590" s="53">
        <f ca="1">IFERROR(_xlfn.XLOOKUP(F2590,Apuração!A:A,Apuração!D:D)/_xlfn.XLOOKUP(F2590,Apuração!A:A,Apuração!B:B),0)</f>
        <v>0</v>
      </c>
      <c r="BQ2590" s="53">
        <f ca="1">IF(BK2590&gt;=BO2590,0,_xlfn.XLOOKUP(F2590,Apuração!A:A,Apuração!B:B)*(BO2590 + (1/_xlfn.XLOOKUP(F2590,Apuração!A:A,Apuração!B:B)) - BK2590))</f>
        <v>0</v>
      </c>
      <c r="BR2590" s="85">
        <f t="shared" ca="1" si="3231"/>
        <v>0</v>
      </c>
      <c r="BS2590" s="53">
        <f ca="1">IFERROR((_xlfn.XLOOKUP(F2590,Apuração!A:A,Apuração!C:C)+1)/_xlfn.XLOOKUP(F2590,Apuração!A:A,Apuração!B:B),0)</f>
        <v>0.14285714285714285</v>
      </c>
    </row>
    <row r="2591" spans="1:71" ht="25.95" hidden="1" customHeight="1" x14ac:dyDescent="0.3">
      <c r="A2591" s="35" t="s">
        <v>44</v>
      </c>
      <c r="B2591" s="10" t="s">
        <v>44</v>
      </c>
      <c r="C2591" s="5" t="s">
        <v>221</v>
      </c>
      <c r="D2591" s="5" t="s">
        <v>213</v>
      </c>
      <c r="E2591" s="4" t="str" cm="1">
        <f t="array" ref="E2591">_xlfn.IFS(
F2591 = "A partir de Abril", "Aguardando Execução na Distribuidora",
A2591 = "CAPACITAÇÃO", "Em execução no Corporativo",
TRUE, "Em Execução na Distribuidora"
)</f>
        <v>Em Execução na Distribuidora</v>
      </c>
      <c r="F2591" s="4" t="str" cm="1">
        <f t="array" ref="F2591">_xlfn.IFS(
AG2591 &lt;&gt; "", "Jan-Dez/26",
AH2591 &lt;&gt; "", "Fev-Dez/26",
AI2591 &lt;&gt; "", "Mar-Dez/26", AJ2591 &lt;&gt; "", "Abr-Dez/26",
TRUE, "A partir de Junho"
)</f>
        <v>A partir de Junho</v>
      </c>
      <c r="G2591" s="10" t="s">
        <v>44</v>
      </c>
      <c r="H2591" s="36" t="s">
        <v>44</v>
      </c>
      <c r="I2591" s="37"/>
      <c r="J2591" s="37"/>
      <c r="K2591" s="37"/>
      <c r="L2591" s="37" t="s">
        <v>208</v>
      </c>
      <c r="M2591" s="37"/>
      <c r="N2591" s="5" t="s">
        <v>42</v>
      </c>
      <c r="O2591" s="5" t="s">
        <v>52</v>
      </c>
      <c r="P2591" s="10" t="s">
        <v>44</v>
      </c>
      <c r="Q2591" s="10" t="s">
        <v>44</v>
      </c>
      <c r="R2591" s="11" t="s">
        <v>44</v>
      </c>
      <c r="S2591" s="11" t="s">
        <v>44</v>
      </c>
      <c r="T2591" s="22"/>
      <c r="U2591" s="22"/>
      <c r="V2591" s="22"/>
      <c r="W2591" s="22"/>
      <c r="X2591" s="22"/>
      <c r="Y2591" s="22"/>
      <c r="Z2591" s="22"/>
      <c r="AA2591" s="22"/>
      <c r="AB2591" s="22"/>
      <c r="AC2591" s="22"/>
      <c r="AD2591" s="22"/>
      <c r="AE2591" s="22"/>
      <c r="AG2591" s="112"/>
      <c r="AH2591" s="112"/>
      <c r="AI2591" s="112"/>
      <c r="AJ2591" s="71"/>
      <c r="AK2591" s="71"/>
      <c r="AL2591" s="71"/>
      <c r="AM2591" s="71"/>
      <c r="AN2591" s="71"/>
      <c r="AO2591" s="71"/>
      <c r="AP2591" s="71"/>
      <c r="AQ2591" s="71"/>
      <c r="AR2591" s="71"/>
      <c r="AS2591" s="94"/>
      <c r="AT2591" s="95"/>
      <c r="AU2591" s="97"/>
      <c r="AW2591" s="84">
        <f t="shared" si="3228"/>
        <v>0</v>
      </c>
      <c r="AX2591" s="84">
        <f t="shared" si="3229"/>
        <v>0</v>
      </c>
      <c r="AY2591" s="84">
        <f t="shared" si="3230"/>
        <v>0</v>
      </c>
      <c r="AZ2591" s="84"/>
      <c r="BA2591" s="84"/>
      <c r="BB2591" s="84"/>
      <c r="BC2591" s="84"/>
      <c r="BD2591" s="84"/>
      <c r="BE2591" s="84"/>
      <c r="BF2591" s="84"/>
      <c r="BG2591" s="84"/>
      <c r="BH2591" s="84"/>
      <c r="BI2591" s="68" cm="1">
        <f t="array" ref="BI2591">IFERROR(INDEX(AW2591:BH2591,1,MATCH(2,1/(AW2591:BH2591&lt;&gt;""))),"")</f>
        <v>0</v>
      </c>
      <c r="BJ2591" s="68" cm="1">
        <f t="array" ref="BJ2591">IF(BM2591 = "", "",IFERROR(INDEX(AW2591:BH2591,1,MATCH(2,1/(AW2591:BH2591&lt;&gt;""),1)-1),""))</f>
        <v>0</v>
      </c>
      <c r="BK2591" s="57" cm="1">
        <f t="array" ref="BK2591">IFERROR(INDEX(AW2591:BH2591,1,MATCH(2,1/(AW2591:BH2591&lt;&gt;""),1)),"")</f>
        <v>0</v>
      </c>
      <c r="BL2591" s="57" cm="1">
        <f t="array" ref="BL2591">IF(BM2591 = "", "",IFERROR(INDEX(AW2591:BH2591,1,MATCH(2,1/(AW2591:BH2591&lt;&gt;""),1)-1),""))</f>
        <v>0</v>
      </c>
      <c r="BM2591" s="55" cm="1">
        <f t="array" ref="BM2591">IFERROR(
   INDEX($AW$1:$BH$1,
      _xlfn.AGGREGATE(14, 6, COLUMN($AW$1:$BH$1)/(AW2591:BH2591&lt;&gt;""), 2) - COLUMN($AW$1) + 1
   ),
"")</f>
        <v>46054</v>
      </c>
      <c r="BN2591" s="55" cm="1">
        <f t="array" ref="BN2591">IFERROR(INDEX($AW$1:$BH$1,1,MATCH(2,1/(AW2591:BH2591&lt;&gt;""))),"")</f>
        <v>46082</v>
      </c>
      <c r="BO2591" s="53">
        <f ca="1">IFERROR(_xlfn.XLOOKUP(F2591,Apuração!A:A,Apuração!C:C)/_xlfn.XLOOKUP(F2591,Apuração!A:A,Apuração!B:B),0)</f>
        <v>0</v>
      </c>
      <c r="BP2591" s="53">
        <f ca="1">IFERROR(_xlfn.XLOOKUP(F2591,Apuração!A:A,Apuração!D:D)/_xlfn.XLOOKUP(F2591,Apuração!A:A,Apuração!B:B),0)</f>
        <v>0</v>
      </c>
      <c r="BQ2591" s="53">
        <f ca="1">IF(BK2591&gt;=BO2591,0,_xlfn.XLOOKUP(F2591,Apuração!A:A,Apuração!B:B)*(BO2591 + (1/_xlfn.XLOOKUP(F2591,Apuração!A:A,Apuração!B:B)) - BK2591))</f>
        <v>0</v>
      </c>
      <c r="BR2591" s="85">
        <f t="shared" ca="1" si="3231"/>
        <v>0</v>
      </c>
      <c r="BS2591" s="53">
        <f ca="1">IFERROR((_xlfn.XLOOKUP(F2591,Apuração!A:A,Apuração!C:C)+1)/_xlfn.XLOOKUP(F2591,Apuração!A:A,Apuração!B:B),0)</f>
        <v>0.14285714285714285</v>
      </c>
    </row>
    <row r="2592" spans="1:71" ht="25.95" hidden="1" customHeight="1" x14ac:dyDescent="0.3">
      <c r="A2592" s="72" t="s">
        <v>44</v>
      </c>
      <c r="B2592" s="73" t="s">
        <v>44</v>
      </c>
      <c r="C2592" s="74" t="s">
        <v>221</v>
      </c>
      <c r="D2592" s="5" t="s">
        <v>36</v>
      </c>
      <c r="E2592" s="4" t="str" cm="1">
        <f t="array" ref="E2592">_xlfn.IFS(
F2592 = "A partir de Abril", "Aguardando Execução na Distribuidora",
A2592 = "CAPACITAÇÃO", "Em execução no Corporativo",
TRUE, "Em Execução na Distribuidora"
)</f>
        <v>Em Execução na Distribuidora</v>
      </c>
      <c r="F2592" s="4" t="str" cm="1">
        <f t="array" ref="F2592">_xlfn.IFS(
AG2592 &lt;&gt; "", "Jan-Dez/26",
AH2592 &lt;&gt; "", "Fev-Dez/26",
AI2592 &lt;&gt; "", "Mar-Dez/26", AJ2592 &lt;&gt; "", "Abr-Dez/26",
TRUE, "A partir de Junho"
)</f>
        <v>Jan-Dez/26</v>
      </c>
      <c r="G2592" s="75" t="s">
        <v>44</v>
      </c>
      <c r="H2592" s="76" t="s">
        <v>44</v>
      </c>
      <c r="I2592" s="77"/>
      <c r="J2592" s="77"/>
      <c r="K2592" s="77"/>
      <c r="L2592" s="77" t="s">
        <v>228</v>
      </c>
      <c r="M2592" s="78"/>
      <c r="N2592" s="74" t="s">
        <v>42</v>
      </c>
      <c r="O2592" s="74" t="s">
        <v>52</v>
      </c>
      <c r="P2592" s="75" t="s">
        <v>44</v>
      </c>
      <c r="Q2592" s="75" t="s">
        <v>44</v>
      </c>
      <c r="R2592" s="79" t="s">
        <v>44</v>
      </c>
      <c r="S2592" s="79" t="s">
        <v>44</v>
      </c>
      <c r="T2592" s="22"/>
      <c r="U2592" s="22"/>
      <c r="V2592" s="22"/>
      <c r="W2592" s="22"/>
      <c r="X2592" s="22"/>
      <c r="Y2592" s="22"/>
      <c r="Z2592" s="22"/>
      <c r="AA2592" s="22"/>
      <c r="AB2592" s="22"/>
      <c r="AC2592" s="22"/>
      <c r="AD2592" s="22"/>
      <c r="AE2592" s="22"/>
      <c r="AG2592" s="112">
        <v>2.8352920511361086</v>
      </c>
      <c r="AH2592" s="112">
        <v>5.7802632634284627</v>
      </c>
      <c r="AI2592" s="112">
        <v>3.7723966868285546</v>
      </c>
      <c r="AJ2592" s="112">
        <v>4.1900000000000004</v>
      </c>
      <c r="AK2592" s="112"/>
      <c r="AL2592" s="112"/>
      <c r="AM2592" s="112"/>
      <c r="AN2592" s="112"/>
      <c r="AO2592" s="112"/>
      <c r="AP2592" s="112"/>
      <c r="AQ2592" s="112"/>
      <c r="AR2592" s="112"/>
      <c r="AS2592" s="94"/>
      <c r="AT2592" s="95"/>
      <c r="AU2592" s="97"/>
      <c r="AW2592" s="84">
        <f t="shared" si="3228"/>
        <v>2.8352920511361086</v>
      </c>
      <c r="AX2592" s="84">
        <f t="shared" si="3229"/>
        <v>5.7802632634284627</v>
      </c>
      <c r="AY2592" s="84">
        <f t="shared" si="3230"/>
        <v>3.7723966868285546</v>
      </c>
      <c r="AZ2592" s="84">
        <f t="shared" si="3230"/>
        <v>4.1900000000000004</v>
      </c>
      <c r="BA2592" s="84"/>
      <c r="BB2592" s="84"/>
      <c r="BC2592" s="84"/>
      <c r="BD2592" s="84"/>
      <c r="BE2592" s="84"/>
      <c r="BF2592" s="84"/>
      <c r="BG2592" s="84"/>
      <c r="BH2592" s="84"/>
      <c r="BI2592" s="68" cm="1">
        <f t="array" ref="BI2592">IFERROR(INDEX(AW2592:BH2592,1,MATCH(2,1/(AW2592:BH2592&lt;&gt;""))),"")</f>
        <v>4.1900000000000004</v>
      </c>
      <c r="BJ2592" s="68" cm="1">
        <f t="array" ref="BJ2592">IF(BM2592 = "", "",IFERROR(INDEX(AW2592:BH2592,1,MATCH(2,1/(AW2592:BH2592&lt;&gt;""),1)-1),""))</f>
        <v>3.7723966868285546</v>
      </c>
      <c r="BK2592" s="57" cm="1">
        <f t="array" ref="BK2592">IFERROR(INDEX(AW2592:BH2592,1,MATCH(2,1/(AW2592:BH2592&lt;&gt;""),1)),"")</f>
        <v>4.1900000000000004</v>
      </c>
      <c r="BL2592" s="57" cm="1">
        <f t="array" ref="BL2592">IF(BM2592 = "", "",IFERROR(INDEX(AW2592:BH2592,1,MATCH(2,1/(AW2592:BH2592&lt;&gt;""),1)-1),""))</f>
        <v>3.7723966868285546</v>
      </c>
      <c r="BM2592" s="55" cm="1">
        <f t="array" ref="BM2592">IFERROR(
   INDEX($AW$1:$BH$1,
      _xlfn.AGGREGATE(14, 6, COLUMN($AW$1:$BH$1)/(AW2592:BH2592&lt;&gt;""), 2) - COLUMN($AW$1) + 1
   ),
"")</f>
        <v>46082</v>
      </c>
      <c r="BN2592" s="55" cm="1">
        <f t="array" ref="BN2592">IFERROR(INDEX($AW$1:$BH$1,1,MATCH(2,1/(AW2592:BH2592&lt;&gt;""))),"")</f>
        <v>46113</v>
      </c>
      <c r="BO2592" s="53">
        <f ca="1">IFERROR(_xlfn.XLOOKUP(F2592,Apuração!A:A,Apuração!C:C)/_xlfn.XLOOKUP(F2592,Apuração!A:A,Apuração!B:B),0)</f>
        <v>0.41666666666666669</v>
      </c>
      <c r="BP2592" s="53">
        <f ca="1">IFERROR(_xlfn.XLOOKUP(F2592,Apuração!A:A,Apuração!D:D)/_xlfn.XLOOKUP(F2592,Apuração!A:A,Apuração!B:B),0)</f>
        <v>0.33333333333333331</v>
      </c>
      <c r="BQ2592" s="53">
        <f ca="1">IF(BK2592&gt;=BO2592,0,_xlfn.XLOOKUP(F2592,Apuração!A:A,Apuração!B:B)*(BO2592 + (1/_xlfn.XLOOKUP(F2592,Apuração!A:A,Apuração!B:B)) - BK2592))</f>
        <v>0</v>
      </c>
      <c r="BR2592" s="85">
        <f t="shared" ca="1" si="3231"/>
        <v>0</v>
      </c>
      <c r="BS2592" s="53">
        <f ca="1">IFERROR((_xlfn.XLOOKUP(F2592,Apuração!A:A,Apuração!C:C)+1)/_xlfn.XLOOKUP(F2592,Apuração!A:A,Apuração!B:B),0)</f>
        <v>0.5</v>
      </c>
    </row>
    <row r="2593" spans="1:71" ht="25.95" hidden="1" customHeight="1" x14ac:dyDescent="0.3">
      <c r="A2593" s="72" t="s">
        <v>44</v>
      </c>
      <c r="B2593" s="73" t="s">
        <v>44</v>
      </c>
      <c r="C2593" s="74" t="s">
        <v>239</v>
      </c>
      <c r="D2593" s="74" t="s">
        <v>36</v>
      </c>
      <c r="E2593" s="4" t="str" cm="1">
        <f t="array" ref="E2593">_xlfn.IFS(
F2593 = "A partir de Abril", "Aguardando Execução na Distribuidora",
A2593 = "CAPACITAÇÃO", "Em execução no Corporativo",
TRUE, "Em Execução na Distribuidora"
)</f>
        <v>Em Execução na Distribuidora</v>
      </c>
      <c r="F2593" s="4" t="str" cm="1">
        <f t="array" ref="F2593">_xlfn.IFS(
AG2593 &lt;&gt; "", "Jan-Dez/26",
AH2593 &lt;&gt; "", "Fev-Dez/26",
AI2593 &lt;&gt; "", "Mar-Dez/26", AJ2593 &lt;&gt; "", "Abr-Dez/26",
TRUE, "A partir de Junho"
)</f>
        <v>Jan-Dez/26</v>
      </c>
      <c r="G2593" s="75" t="s">
        <v>37</v>
      </c>
      <c r="H2593" s="76" t="s">
        <v>44</v>
      </c>
      <c r="I2593" s="77"/>
      <c r="J2593" s="77"/>
      <c r="K2593" s="77"/>
      <c r="L2593" s="77" t="s">
        <v>228</v>
      </c>
      <c r="M2593" s="78"/>
      <c r="N2593" s="74" t="s">
        <v>42</v>
      </c>
      <c r="O2593" s="74" t="s">
        <v>52</v>
      </c>
      <c r="P2593" s="75" t="s">
        <v>44</v>
      </c>
      <c r="Q2593" s="75" t="s">
        <v>44</v>
      </c>
      <c r="R2593" s="79" t="s">
        <v>44</v>
      </c>
      <c r="S2593" s="79" t="s">
        <v>44</v>
      </c>
      <c r="T2593" s="22"/>
      <c r="U2593" s="22"/>
      <c r="V2593" s="22"/>
      <c r="W2593" s="22"/>
      <c r="X2593" s="22"/>
      <c r="Y2593" s="22"/>
      <c r="Z2593" s="22"/>
      <c r="AA2593" s="22"/>
      <c r="AB2593" s="22"/>
      <c r="AC2593" s="22"/>
      <c r="AD2593" s="22"/>
      <c r="AE2593" s="22"/>
      <c r="AG2593" s="112">
        <v>2.8</v>
      </c>
      <c r="AH2593" s="112">
        <v>2.85</v>
      </c>
      <c r="AI2593" s="112">
        <v>2.6</v>
      </c>
      <c r="AJ2593" s="112">
        <v>2.63</v>
      </c>
      <c r="AK2593" s="112"/>
      <c r="AL2593" s="112"/>
      <c r="AM2593" s="112"/>
      <c r="AN2593" s="112"/>
      <c r="AO2593" s="112"/>
      <c r="AP2593" s="112"/>
      <c r="AQ2593" s="112"/>
      <c r="AR2593" s="112"/>
      <c r="AS2593" s="113" t="str" cm="1">
        <f t="array" ref="AS2593">IFERROR(INDEX(T2593:AE2593,1,MATCH(2,1/(T2593:AE2593&lt;&gt;""))),"")</f>
        <v/>
      </c>
      <c r="AT2593" s="115" cm="1">
        <f t="array" ref="AT2593">IFERROR(INDEX(AG2593:AR2593,1,MATCH(2,1/(AG2593:AR2593&lt;&gt;""))),"")</f>
        <v>2.63</v>
      </c>
      <c r="AU2593" s="116">
        <f t="shared" ref="AU2593:AU2598" si="3232">AT2593</f>
        <v>2.63</v>
      </c>
      <c r="AW2593" s="84">
        <f t="shared" si="3228"/>
        <v>2.8</v>
      </c>
      <c r="AX2593" s="84">
        <f t="shared" si="3229"/>
        <v>2.85</v>
      </c>
      <c r="AY2593" s="84">
        <f t="shared" si="3230"/>
        <v>2.6</v>
      </c>
      <c r="AZ2593" s="84">
        <f t="shared" ref="AZ2593:AZ2598" si="3233">AJ2593</f>
        <v>2.63</v>
      </c>
      <c r="BA2593" s="84"/>
      <c r="BB2593" s="84"/>
      <c r="BC2593" s="84"/>
      <c r="BD2593" s="84"/>
      <c r="BE2593" s="84"/>
      <c r="BF2593" s="84"/>
      <c r="BG2593" s="84"/>
      <c r="BH2593" s="84"/>
      <c r="BI2593" s="68" cm="1">
        <f t="array" ref="BI2593">IFERROR(INDEX(AW2593:BH2593,1,MATCH(2,1/(AW2593:BH2593&lt;&gt;""))),"")</f>
        <v>2.63</v>
      </c>
      <c r="BJ2593" s="68" cm="1">
        <f t="array" ref="BJ2593">IF(BM2593 = "", "",IFERROR(INDEX(AW2593:BH2593,1,MATCH(2,1/(AW2593:BH2593&lt;&gt;""),1)-1),""))</f>
        <v>2.6</v>
      </c>
      <c r="BK2593" s="57" cm="1">
        <f t="array" ref="BK2593">IFERROR(INDEX(AW2593:BH2593,1,MATCH(2,1/(AW2593:BH2593&lt;&gt;""),1)),"")</f>
        <v>2.63</v>
      </c>
      <c r="BL2593" s="57" cm="1">
        <f t="array" ref="BL2593">IF(BM2593 = "", "",IFERROR(INDEX(AW2593:BH2593,1,MATCH(2,1/(AW2593:BH2593&lt;&gt;""),1)-1),""))</f>
        <v>2.6</v>
      </c>
      <c r="BM2593" s="55" cm="1">
        <f t="array" ref="BM2593">IFERROR(
   INDEX($AW$1:$BH$1,
      _xlfn.AGGREGATE(14, 6, COLUMN($AW$1:$BH$1)/(AW2593:BH2593&lt;&gt;""), 2) - COLUMN($AW$1) + 1
   ),
"")</f>
        <v>46082</v>
      </c>
      <c r="BN2593" s="55" cm="1">
        <f t="array" ref="BN2593">IFERROR(INDEX($AW$1:$BH$1,1,MATCH(2,1/(AW2593:BH2593&lt;&gt;""))),"")</f>
        <v>46113</v>
      </c>
      <c r="BO2593" s="53">
        <f ca="1">IFERROR(_xlfn.XLOOKUP(F2593,Apuração!A:A,Apuração!C:C)/_xlfn.XLOOKUP(F2593,Apuração!A:A,Apuração!B:B),0)</f>
        <v>0.41666666666666669</v>
      </c>
      <c r="BP2593" s="53">
        <f ca="1">IFERROR(_xlfn.XLOOKUP(F2593,Apuração!A:A,Apuração!D:D)/_xlfn.XLOOKUP(F2593,Apuração!A:A,Apuração!B:B),0)</f>
        <v>0.33333333333333331</v>
      </c>
      <c r="BQ2593" s="53">
        <f ca="1">IF(BK2593&gt;=BO2593,0,_xlfn.XLOOKUP(F2593,Apuração!A:A,Apuração!B:B)*(BO2593 + (1/_xlfn.XLOOKUP(F2593,Apuração!A:A,Apuração!B:B)) - BK2593))</f>
        <v>0</v>
      </c>
      <c r="BR2593" s="85">
        <f t="shared" ca="1" si="3231"/>
        <v>0</v>
      </c>
      <c r="BS2593" s="53">
        <f ca="1">IFERROR((_xlfn.XLOOKUP(F2593,Apuração!A:A,Apuração!C:C)+1)/_xlfn.XLOOKUP(F2593,Apuração!A:A,Apuração!B:B),0)</f>
        <v>0.5</v>
      </c>
    </row>
    <row r="2594" spans="1:71" ht="25.95" hidden="1" customHeight="1" x14ac:dyDescent="0.3">
      <c r="A2594" s="72" t="s">
        <v>44</v>
      </c>
      <c r="B2594" s="73" t="s">
        <v>44</v>
      </c>
      <c r="C2594" s="74" t="s">
        <v>239</v>
      </c>
      <c r="D2594" s="74" t="s">
        <v>36</v>
      </c>
      <c r="E2594" s="4" t="str" cm="1">
        <f t="array" ref="E2594">_xlfn.IFS(
F2594 = "A partir de Abril", "Aguardando Execução na Distribuidora",
A2594 = "CAPACITAÇÃO", "Em execução no Corporativo",
TRUE, "Em Execução na Distribuidora"
)</f>
        <v>Em Execução na Distribuidora</v>
      </c>
      <c r="F2594" s="4" t="str" cm="1">
        <f t="array" ref="F2594">_xlfn.IFS(
AG2594 &lt;&gt; "", "Jan-Dez/26",
AH2594 &lt;&gt; "", "Fev-Dez/26",
AI2594 &lt;&gt; "", "Mar-Dez/26", AJ2594 &lt;&gt; "", "Abr-Dez/26",
TRUE, "A partir de Junho"
)</f>
        <v>Jan-Dez/26</v>
      </c>
      <c r="G2594" s="75" t="s">
        <v>37</v>
      </c>
      <c r="H2594" s="76" t="s">
        <v>44</v>
      </c>
      <c r="I2594" s="77"/>
      <c r="J2594" s="77"/>
      <c r="K2594" s="77"/>
      <c r="L2594" s="37" t="s">
        <v>203</v>
      </c>
      <c r="M2594" s="78"/>
      <c r="N2594" s="74" t="s">
        <v>42</v>
      </c>
      <c r="O2594" s="74" t="s">
        <v>52</v>
      </c>
      <c r="P2594" s="75" t="s">
        <v>44</v>
      </c>
      <c r="Q2594" s="75" t="s">
        <v>44</v>
      </c>
      <c r="R2594" s="79" t="s">
        <v>44</v>
      </c>
      <c r="S2594" s="79" t="s">
        <v>44</v>
      </c>
      <c r="T2594" s="22"/>
      <c r="U2594" s="22"/>
      <c r="V2594" s="22"/>
      <c r="W2594" s="22"/>
      <c r="X2594" s="22"/>
      <c r="Y2594" s="22"/>
      <c r="Z2594" s="22"/>
      <c r="AA2594" s="22"/>
      <c r="AB2594" s="22"/>
      <c r="AC2594" s="22"/>
      <c r="AD2594" s="22"/>
      <c r="AE2594" s="22"/>
      <c r="AG2594" s="112">
        <v>2.0299999999999998</v>
      </c>
      <c r="AH2594" s="112">
        <v>1.89</v>
      </c>
      <c r="AI2594" s="112">
        <v>1.77</v>
      </c>
      <c r="AJ2594" s="112">
        <v>2.77</v>
      </c>
      <c r="AK2594" s="112"/>
      <c r="AL2594" s="112"/>
      <c r="AM2594" s="112"/>
      <c r="AN2594" s="112"/>
      <c r="AO2594" s="112"/>
      <c r="AP2594" s="112"/>
      <c r="AQ2594" s="112"/>
      <c r="AR2594" s="112"/>
      <c r="AS2594" s="113" t="str" cm="1">
        <f t="array" ref="AS2594">IFERROR(INDEX(T2594:AE2594,1,MATCH(2,1/(T2594:AE2594&lt;&gt;""))),"")</f>
        <v/>
      </c>
      <c r="AT2594" s="114" cm="1">
        <f t="array" ref="AT2594">IFERROR(INDEX(AG2594:AR2594,1,MATCH(2,1/(AG2594:AR2594&lt;&gt;""))),"")</f>
        <v>2.77</v>
      </c>
      <c r="AU2594" s="97">
        <f t="shared" si="3232"/>
        <v>2.77</v>
      </c>
      <c r="AW2594" s="84">
        <f t="shared" si="3228"/>
        <v>2.0299999999999998</v>
      </c>
      <c r="AX2594" s="84">
        <f t="shared" si="3229"/>
        <v>1.89</v>
      </c>
      <c r="AY2594" s="84">
        <f t="shared" si="3230"/>
        <v>1.77</v>
      </c>
      <c r="AZ2594" s="84">
        <f t="shared" si="3233"/>
        <v>2.77</v>
      </c>
      <c r="BA2594" s="84"/>
      <c r="BB2594" s="84"/>
      <c r="BC2594" s="84"/>
      <c r="BD2594" s="84"/>
      <c r="BE2594" s="84"/>
      <c r="BF2594" s="84"/>
      <c r="BG2594" s="84"/>
      <c r="BH2594" s="84"/>
      <c r="BI2594" s="68" cm="1">
        <f t="array" ref="BI2594">IFERROR(INDEX(AW2594:BH2594,1,MATCH(2,1/(AW2594:BH2594&lt;&gt;""))),"")</f>
        <v>2.77</v>
      </c>
      <c r="BJ2594" s="68" cm="1">
        <f t="array" ref="BJ2594">IF(BM2594 = "", "",IFERROR(INDEX(AW2594:BH2594,1,MATCH(2,1/(AW2594:BH2594&lt;&gt;""),1)-1),""))</f>
        <v>1.77</v>
      </c>
      <c r="BK2594" s="57" cm="1">
        <f t="array" ref="BK2594">IFERROR(INDEX(AW2594:BH2594,1,MATCH(2,1/(AW2594:BH2594&lt;&gt;""),1)),"")</f>
        <v>2.77</v>
      </c>
      <c r="BL2594" s="57" cm="1">
        <f t="array" ref="BL2594">IF(BM2594 = "", "",IFERROR(INDEX(AW2594:BH2594,1,MATCH(2,1/(AW2594:BH2594&lt;&gt;""),1)-1),""))</f>
        <v>1.77</v>
      </c>
      <c r="BM2594" s="55" cm="1">
        <f t="array" ref="BM2594">IFERROR(
   INDEX($AW$1:$BH$1,
      _xlfn.AGGREGATE(14, 6, COLUMN($AW$1:$BH$1)/(AW2594:BH2594&lt;&gt;""), 2) - COLUMN($AW$1) + 1
   ),
"")</f>
        <v>46082</v>
      </c>
      <c r="BN2594" s="55" cm="1">
        <f t="array" ref="BN2594">IFERROR(INDEX($AW$1:$BH$1,1,MATCH(2,1/(AW2594:BH2594&lt;&gt;""))),"")</f>
        <v>46113</v>
      </c>
      <c r="BO2594" s="53">
        <f ca="1">IFERROR(_xlfn.XLOOKUP(F2594,Apuração!A:A,Apuração!C:C)/_xlfn.XLOOKUP(F2594,Apuração!A:A,Apuração!B:B),0)</f>
        <v>0.41666666666666669</v>
      </c>
      <c r="BP2594" s="53">
        <f ca="1">IFERROR(_xlfn.XLOOKUP(F2594,Apuração!A:A,Apuração!D:D)/_xlfn.XLOOKUP(F2594,Apuração!A:A,Apuração!B:B),0)</f>
        <v>0.33333333333333331</v>
      </c>
      <c r="BQ2594" s="53">
        <f ca="1">IF(BK2594&gt;=BO2594,0,_xlfn.XLOOKUP(F2594,Apuração!A:A,Apuração!B:B)*(BO2594 + (1/_xlfn.XLOOKUP(F2594,Apuração!A:A,Apuração!B:B)) - BK2594))</f>
        <v>0</v>
      </c>
      <c r="BR2594" s="85">
        <f t="shared" ca="1" si="3231"/>
        <v>0</v>
      </c>
      <c r="BS2594" s="53">
        <f ca="1">IFERROR((_xlfn.XLOOKUP(F2594,Apuração!A:A,Apuração!C:C)+1)/_xlfn.XLOOKUP(F2594,Apuração!A:A,Apuração!B:B),0)</f>
        <v>0.5</v>
      </c>
    </row>
    <row r="2595" spans="1:71" ht="25.95" hidden="1" customHeight="1" x14ac:dyDescent="0.3">
      <c r="A2595" s="72" t="s">
        <v>44</v>
      </c>
      <c r="B2595" s="73" t="s">
        <v>44</v>
      </c>
      <c r="C2595" s="74" t="s">
        <v>239</v>
      </c>
      <c r="D2595" s="74" t="s">
        <v>36</v>
      </c>
      <c r="E2595" s="4" t="str" cm="1">
        <f t="array" ref="E2595">_xlfn.IFS(
F2595 = "A partir de Abril", "Aguardando Execução na Distribuidora",
A2595 = "CAPACITAÇÃO", "Em execução no Corporativo",
TRUE, "Em Execução na Distribuidora"
)</f>
        <v>Em Execução na Distribuidora</v>
      </c>
      <c r="F2595" s="4" t="str" cm="1">
        <f t="array" ref="F2595">_xlfn.IFS(
AG2595 &lt;&gt; "", "Jan-Dez/26",
AH2595 &lt;&gt; "", "Fev-Dez/26",
AI2595 &lt;&gt; "", "Mar-Dez/26", AJ2595 &lt;&gt; "", "Abr-Dez/26",
TRUE, "A partir de Junho"
)</f>
        <v>Jan-Dez/26</v>
      </c>
      <c r="G2595" s="75" t="s">
        <v>37</v>
      </c>
      <c r="H2595" s="76" t="s">
        <v>44</v>
      </c>
      <c r="I2595" s="77"/>
      <c r="J2595" s="77"/>
      <c r="K2595" s="77"/>
      <c r="L2595" s="37" t="s">
        <v>204</v>
      </c>
      <c r="M2595" s="78"/>
      <c r="N2595" s="74" t="s">
        <v>42</v>
      </c>
      <c r="O2595" s="74" t="s">
        <v>52</v>
      </c>
      <c r="P2595" s="75" t="s">
        <v>44</v>
      </c>
      <c r="Q2595" s="75" t="s">
        <v>44</v>
      </c>
      <c r="R2595" s="79" t="s">
        <v>44</v>
      </c>
      <c r="S2595" s="79" t="s">
        <v>44</v>
      </c>
      <c r="T2595" s="22"/>
      <c r="U2595" s="22"/>
      <c r="V2595" s="22"/>
      <c r="W2595" s="22"/>
      <c r="X2595" s="22"/>
      <c r="Y2595" s="22"/>
      <c r="Z2595" s="22"/>
      <c r="AA2595" s="22"/>
      <c r="AB2595" s="22"/>
      <c r="AC2595" s="22"/>
      <c r="AD2595" s="22"/>
      <c r="AE2595" s="22"/>
      <c r="AG2595" s="112">
        <v>1.75</v>
      </c>
      <c r="AH2595" s="112">
        <v>1.1299999999999999</v>
      </c>
      <c r="AI2595" s="112">
        <v>2.85</v>
      </c>
      <c r="AJ2595" s="112">
        <v>0.26</v>
      </c>
      <c r="AK2595" s="112"/>
      <c r="AL2595" s="112"/>
      <c r="AM2595" s="112"/>
      <c r="AN2595" s="112"/>
      <c r="AO2595" s="112"/>
      <c r="AP2595" s="112"/>
      <c r="AQ2595" s="112"/>
      <c r="AR2595" s="112"/>
      <c r="AS2595" s="113" t="str" cm="1">
        <f t="array" ref="AS2595">IFERROR(INDEX(T2595:AE2595,1,MATCH(2,1/(T2595:AE2595&lt;&gt;""))),"")</f>
        <v/>
      </c>
      <c r="AT2595" s="114" cm="1">
        <f t="array" ref="AT2595">IFERROR(INDEX(AG2595:AR2595,1,MATCH(2,1/(AG2595:AR2595&lt;&gt;""))),"")</f>
        <v>0.26</v>
      </c>
      <c r="AU2595" s="97">
        <f t="shared" si="3232"/>
        <v>0.26</v>
      </c>
      <c r="AW2595" s="84">
        <f t="shared" si="3228"/>
        <v>1.75</v>
      </c>
      <c r="AX2595" s="84">
        <f t="shared" si="3229"/>
        <v>1.1299999999999999</v>
      </c>
      <c r="AY2595" s="84">
        <f t="shared" si="3230"/>
        <v>2.85</v>
      </c>
      <c r="AZ2595" s="84">
        <f t="shared" si="3233"/>
        <v>0.26</v>
      </c>
      <c r="BA2595" s="84"/>
      <c r="BB2595" s="84"/>
      <c r="BC2595" s="84"/>
      <c r="BD2595" s="84"/>
      <c r="BE2595" s="84"/>
      <c r="BF2595" s="84"/>
      <c r="BG2595" s="84"/>
      <c r="BH2595" s="84"/>
      <c r="BI2595" s="68" cm="1">
        <f t="array" ref="BI2595">IFERROR(INDEX(AW2595:BH2595,1,MATCH(2,1/(AW2595:BH2595&lt;&gt;""))),"")</f>
        <v>0.26</v>
      </c>
      <c r="BJ2595" s="68" cm="1">
        <f t="array" ref="BJ2595">IF(BM2595 = "", "",IFERROR(INDEX(AW2595:BH2595,1,MATCH(2,1/(AW2595:BH2595&lt;&gt;""),1)-1),""))</f>
        <v>2.85</v>
      </c>
      <c r="BK2595" s="57" cm="1">
        <f t="array" ref="BK2595">IFERROR(INDEX(AW2595:BH2595,1,MATCH(2,1/(AW2595:BH2595&lt;&gt;""),1)),"")</f>
        <v>0.26</v>
      </c>
      <c r="BL2595" s="57" cm="1">
        <f t="array" ref="BL2595">IF(BM2595 = "", "",IFERROR(INDEX(AW2595:BH2595,1,MATCH(2,1/(AW2595:BH2595&lt;&gt;""),1)-1),""))</f>
        <v>2.85</v>
      </c>
      <c r="BM2595" s="55" cm="1">
        <f t="array" ref="BM2595">IFERROR(
   INDEX($AW$1:$BH$1,
      _xlfn.AGGREGATE(14, 6, COLUMN($AW$1:$BH$1)/(AW2595:BH2595&lt;&gt;""), 2) - COLUMN($AW$1) + 1
   ),
"")</f>
        <v>46082</v>
      </c>
      <c r="BN2595" s="55" cm="1">
        <f t="array" ref="BN2595">IFERROR(INDEX($AW$1:$BH$1,1,MATCH(2,1/(AW2595:BH2595&lt;&gt;""))),"")</f>
        <v>46113</v>
      </c>
      <c r="BO2595" s="53">
        <f ca="1">IFERROR(_xlfn.XLOOKUP(F2595,Apuração!A:A,Apuração!C:C)/_xlfn.XLOOKUP(F2595,Apuração!A:A,Apuração!B:B),0)</f>
        <v>0.41666666666666669</v>
      </c>
      <c r="BP2595" s="53">
        <f ca="1">IFERROR(_xlfn.XLOOKUP(F2595,Apuração!A:A,Apuração!D:D)/_xlfn.XLOOKUP(F2595,Apuração!A:A,Apuração!B:B),0)</f>
        <v>0.33333333333333331</v>
      </c>
      <c r="BQ2595" s="53">
        <f ca="1">IF(BK2595&gt;=BO2595,0,_xlfn.XLOOKUP(F2595,Apuração!A:A,Apuração!B:B)*(BO2595 + (1/_xlfn.XLOOKUP(F2595,Apuração!A:A,Apuração!B:B)) - BK2595))</f>
        <v>2.88</v>
      </c>
      <c r="BR2595" s="85">
        <f t="shared" ca="1" si="3231"/>
        <v>0</v>
      </c>
      <c r="BS2595" s="53">
        <f ca="1">IFERROR((_xlfn.XLOOKUP(F2595,Apuração!A:A,Apuração!C:C)+1)/_xlfn.XLOOKUP(F2595,Apuração!A:A,Apuração!B:B),0)</f>
        <v>0.5</v>
      </c>
    </row>
    <row r="2596" spans="1:71" ht="25.95" hidden="1" customHeight="1" x14ac:dyDescent="0.3">
      <c r="A2596" s="72" t="s">
        <v>44</v>
      </c>
      <c r="B2596" s="73" t="s">
        <v>44</v>
      </c>
      <c r="C2596" s="74" t="s">
        <v>239</v>
      </c>
      <c r="D2596" s="74" t="s">
        <v>36</v>
      </c>
      <c r="E2596" s="4" t="str" cm="1">
        <f t="array" ref="E2596">_xlfn.IFS(
F2596 = "A partir de Abril", "Aguardando Execução na Distribuidora",
A2596 = "CAPACITAÇÃO", "Em execução no Corporativo",
TRUE, "Em Execução na Distribuidora"
)</f>
        <v>Em Execução na Distribuidora</v>
      </c>
      <c r="F2596" s="4" t="str" cm="1">
        <f t="array" ref="F2596">_xlfn.IFS(
AG2596 &lt;&gt; "", "Jan-Dez/26",
AH2596 &lt;&gt; "", "Fev-Dez/26",
AI2596 &lt;&gt; "", "Mar-Dez/26", AJ2596 &lt;&gt; "", "Abr-Dez/26",
TRUE, "A partir de Junho"
)</f>
        <v>Jan-Dez/26</v>
      </c>
      <c r="G2596" s="75" t="s">
        <v>37</v>
      </c>
      <c r="H2596" s="76" t="s">
        <v>44</v>
      </c>
      <c r="I2596" s="77"/>
      <c r="J2596" s="77"/>
      <c r="K2596" s="77"/>
      <c r="L2596" s="37" t="s">
        <v>206</v>
      </c>
      <c r="M2596" s="78"/>
      <c r="N2596" s="74" t="s">
        <v>42</v>
      </c>
      <c r="O2596" s="74" t="s">
        <v>52</v>
      </c>
      <c r="P2596" s="75" t="s">
        <v>44</v>
      </c>
      <c r="Q2596" s="75" t="s">
        <v>44</v>
      </c>
      <c r="R2596" s="79" t="s">
        <v>44</v>
      </c>
      <c r="S2596" s="79" t="s">
        <v>44</v>
      </c>
      <c r="T2596" s="22"/>
      <c r="U2596" s="22"/>
      <c r="V2596" s="22"/>
      <c r="W2596" s="22"/>
      <c r="X2596" s="22"/>
      <c r="Y2596" s="22"/>
      <c r="Z2596" s="22"/>
      <c r="AA2596" s="22"/>
      <c r="AB2596" s="22"/>
      <c r="AC2596" s="22"/>
      <c r="AD2596" s="22"/>
      <c r="AE2596" s="22"/>
      <c r="AG2596" s="112">
        <v>1.0126607083683399</v>
      </c>
      <c r="AH2596" s="112">
        <v>1.4446039608240295</v>
      </c>
      <c r="AI2596" s="112">
        <v>1.7338699465050322</v>
      </c>
      <c r="AJ2596" s="112">
        <v>1.1499999999999999</v>
      </c>
      <c r="AK2596" s="112"/>
      <c r="AL2596" s="112"/>
      <c r="AM2596" s="112"/>
      <c r="AN2596" s="112"/>
      <c r="AO2596" s="112"/>
      <c r="AP2596" s="112"/>
      <c r="AQ2596" s="112"/>
      <c r="AR2596" s="112"/>
      <c r="AS2596" s="113" t="str" cm="1">
        <f t="array" ref="AS2596">IFERROR(INDEX(T2596:AE2596,1,MATCH(2,1/(T2596:AE2596&lt;&gt;""))),"")</f>
        <v/>
      </c>
      <c r="AT2596" s="114" cm="1">
        <f t="array" ref="AT2596">IFERROR(INDEX(AG2596:AR2596,1,MATCH(2,1/(AG2596:AR2596&lt;&gt;""))),"")</f>
        <v>1.1499999999999999</v>
      </c>
      <c r="AU2596" s="97">
        <f t="shared" si="3232"/>
        <v>1.1499999999999999</v>
      </c>
      <c r="AW2596" s="84">
        <f t="shared" si="3228"/>
        <v>1.0126607083683399</v>
      </c>
      <c r="AX2596" s="84">
        <f t="shared" si="3229"/>
        <v>1.4446039608240295</v>
      </c>
      <c r="AY2596" s="84">
        <f t="shared" si="3230"/>
        <v>1.7338699465050322</v>
      </c>
      <c r="AZ2596" s="84">
        <f t="shared" si="3233"/>
        <v>1.1499999999999999</v>
      </c>
      <c r="BA2596" s="84"/>
      <c r="BB2596" s="84"/>
      <c r="BC2596" s="84"/>
      <c r="BD2596" s="84"/>
      <c r="BE2596" s="84"/>
      <c r="BF2596" s="84"/>
      <c r="BG2596" s="84"/>
      <c r="BH2596" s="84"/>
      <c r="BI2596" s="68" cm="1">
        <f t="array" ref="BI2596">IFERROR(INDEX(AW2596:BH2596,1,MATCH(2,1/(AW2596:BH2596&lt;&gt;""))),"")</f>
        <v>1.1499999999999999</v>
      </c>
      <c r="BJ2596" s="68" cm="1">
        <f t="array" ref="BJ2596">IF(BM2596 = "", "",IFERROR(INDEX(AW2596:BH2596,1,MATCH(2,1/(AW2596:BH2596&lt;&gt;""),1)-1),""))</f>
        <v>1.7338699465050322</v>
      </c>
      <c r="BK2596" s="57" cm="1">
        <f t="array" ref="BK2596">IFERROR(INDEX(AW2596:BH2596,1,MATCH(2,1/(AW2596:BH2596&lt;&gt;""),1)),"")</f>
        <v>1.1499999999999999</v>
      </c>
      <c r="BL2596" s="57" cm="1">
        <f t="array" ref="BL2596">IF(BM2596 = "", "",IFERROR(INDEX(AW2596:BH2596,1,MATCH(2,1/(AW2596:BH2596&lt;&gt;""),1)-1),""))</f>
        <v>1.7338699465050322</v>
      </c>
      <c r="BM2596" s="55" cm="1">
        <f t="array" ref="BM2596">IFERROR(
   INDEX($AW$1:$BH$1,
      _xlfn.AGGREGATE(14, 6, COLUMN($AW$1:$BH$1)/(AW2596:BH2596&lt;&gt;""), 2) - COLUMN($AW$1) + 1
   ),
"")</f>
        <v>46082</v>
      </c>
      <c r="BN2596" s="55" cm="1">
        <f t="array" ref="BN2596">IFERROR(INDEX($AW$1:$BH$1,1,MATCH(2,1/(AW2596:BH2596&lt;&gt;""))),"")</f>
        <v>46113</v>
      </c>
      <c r="BO2596" s="53">
        <f ca="1">IFERROR(_xlfn.XLOOKUP(F2596,Apuração!A:A,Apuração!C:C)/_xlfn.XLOOKUP(F2596,Apuração!A:A,Apuração!B:B),0)</f>
        <v>0.41666666666666669</v>
      </c>
      <c r="BP2596" s="53">
        <f ca="1">IFERROR(_xlfn.XLOOKUP(F2596,Apuração!A:A,Apuração!D:D)/_xlfn.XLOOKUP(F2596,Apuração!A:A,Apuração!B:B),0)</f>
        <v>0.33333333333333331</v>
      </c>
      <c r="BQ2596" s="53">
        <f ca="1">IF(BK2596&gt;=BO2596,0,_xlfn.XLOOKUP(F2596,Apuração!A:A,Apuração!B:B)*(BO2596 + (1/_xlfn.XLOOKUP(F2596,Apuração!A:A,Apuração!B:B)) - BK2596))</f>
        <v>0</v>
      </c>
      <c r="BR2596" s="85">
        <f t="shared" ca="1" si="3231"/>
        <v>0</v>
      </c>
      <c r="BS2596" s="53">
        <f ca="1">IFERROR((_xlfn.XLOOKUP(F2596,Apuração!A:A,Apuração!C:C)+1)/_xlfn.XLOOKUP(F2596,Apuração!A:A,Apuração!B:B),0)</f>
        <v>0.5</v>
      </c>
    </row>
    <row r="2597" spans="1:71" ht="25.95" hidden="1" customHeight="1" x14ac:dyDescent="0.3">
      <c r="A2597" s="72" t="s">
        <v>44</v>
      </c>
      <c r="B2597" s="73" t="s">
        <v>44</v>
      </c>
      <c r="C2597" s="74" t="s">
        <v>239</v>
      </c>
      <c r="D2597" s="74" t="s">
        <v>36</v>
      </c>
      <c r="E2597" s="4" t="str" cm="1">
        <f t="array" ref="E2597">_xlfn.IFS(
F2597 = "A partir de Abril", "Aguardando Execução na Distribuidora",
A2597 = "CAPACITAÇÃO", "Em execução no Corporativo",
TRUE, "Em Execução na Distribuidora"
)</f>
        <v>Em Execução na Distribuidora</v>
      </c>
      <c r="F2597" s="4" t="str" cm="1">
        <f t="array" ref="F2597">_xlfn.IFS(
AG2597 &lt;&gt; "", "Jan-Dez/26",
AH2597 &lt;&gt; "", "Fev-Dez/26",
AI2597 &lt;&gt; "", "Mar-Dez/26", AJ2597 &lt;&gt; "", "Abr-Dez/26",
TRUE, "A partir de Junho"
)</f>
        <v>A partir de Junho</v>
      </c>
      <c r="G2597" s="75" t="s">
        <v>37</v>
      </c>
      <c r="H2597" s="76" t="s">
        <v>44</v>
      </c>
      <c r="I2597" s="77"/>
      <c r="J2597" s="77"/>
      <c r="K2597" s="77"/>
      <c r="L2597" s="37" t="s">
        <v>207</v>
      </c>
      <c r="M2597" s="78"/>
      <c r="N2597" s="74" t="s">
        <v>42</v>
      </c>
      <c r="O2597" s="74" t="s">
        <v>52</v>
      </c>
      <c r="P2597" s="75" t="s">
        <v>44</v>
      </c>
      <c r="Q2597" s="75" t="s">
        <v>44</v>
      </c>
      <c r="R2597" s="79" t="s">
        <v>44</v>
      </c>
      <c r="S2597" s="79" t="s">
        <v>44</v>
      </c>
      <c r="T2597" s="22"/>
      <c r="U2597" s="22"/>
      <c r="V2597" s="22"/>
      <c r="W2597" s="22"/>
      <c r="X2597" s="22"/>
      <c r="Y2597" s="22"/>
      <c r="Z2597" s="22"/>
      <c r="AA2597" s="22"/>
      <c r="AB2597" s="22"/>
      <c r="AC2597" s="22"/>
      <c r="AD2597" s="22"/>
      <c r="AE2597" s="22"/>
      <c r="AG2597" s="112"/>
      <c r="AH2597" s="112"/>
      <c r="AI2597" s="112"/>
      <c r="AJ2597" s="112"/>
      <c r="AK2597" s="112"/>
      <c r="AL2597" s="112"/>
      <c r="AM2597" s="112"/>
      <c r="AN2597" s="112"/>
      <c r="AO2597" s="112"/>
      <c r="AP2597" s="112"/>
      <c r="AQ2597" s="112"/>
      <c r="AR2597" s="112"/>
      <c r="AS2597" s="113" t="str" cm="1">
        <f t="array" ref="AS2597">IFERROR(INDEX(T2597:AE2597,1,MATCH(2,1/(T2597:AE2597&lt;&gt;""))),"")</f>
        <v/>
      </c>
      <c r="AT2597" s="114" t="str" cm="1">
        <f t="array" ref="AT2597">IFERROR(INDEX(AG2597:AR2597,1,MATCH(2,1/(AG2597:AR2597&lt;&gt;""))),"")</f>
        <v/>
      </c>
      <c r="AU2597" s="97" t="str">
        <f t="shared" si="3232"/>
        <v/>
      </c>
      <c r="AW2597" s="84">
        <f t="shared" si="3228"/>
        <v>0</v>
      </c>
      <c r="AX2597" s="84">
        <f t="shared" si="3229"/>
        <v>0</v>
      </c>
      <c r="AY2597" s="84">
        <f t="shared" si="3230"/>
        <v>0</v>
      </c>
      <c r="AZ2597" s="84">
        <f t="shared" si="3233"/>
        <v>0</v>
      </c>
      <c r="BA2597" s="84"/>
      <c r="BB2597" s="84"/>
      <c r="BC2597" s="84"/>
      <c r="BD2597" s="84"/>
      <c r="BE2597" s="84"/>
      <c r="BF2597" s="84"/>
      <c r="BG2597" s="84"/>
      <c r="BH2597" s="84"/>
      <c r="BI2597" s="68" cm="1">
        <f t="array" ref="BI2597">IFERROR(INDEX(AW2597:BH2597,1,MATCH(2,1/(AW2597:BH2597&lt;&gt;""))),"")</f>
        <v>0</v>
      </c>
      <c r="BJ2597" s="68" cm="1">
        <f t="array" ref="BJ2597">IF(BM2597 = "", "",IFERROR(INDEX(AW2597:BH2597,1,MATCH(2,1/(AW2597:BH2597&lt;&gt;""),1)-1),""))</f>
        <v>0</v>
      </c>
      <c r="BK2597" s="57" cm="1">
        <f t="array" ref="BK2597">IFERROR(INDEX(AW2597:BH2597,1,MATCH(2,1/(AW2597:BH2597&lt;&gt;""),1)),"")</f>
        <v>0</v>
      </c>
      <c r="BL2597" s="57" cm="1">
        <f t="array" ref="BL2597">IF(BM2597 = "", "",IFERROR(INDEX(AW2597:BH2597,1,MATCH(2,1/(AW2597:BH2597&lt;&gt;""),1)-1),""))</f>
        <v>0</v>
      </c>
      <c r="BM2597" s="55" cm="1">
        <f t="array" ref="BM2597">IFERROR(
   INDEX($AW$1:$BH$1,
      _xlfn.AGGREGATE(14, 6, COLUMN($AW$1:$BH$1)/(AW2597:BH2597&lt;&gt;""), 2) - COLUMN($AW$1) + 1
   ),
"")</f>
        <v>46082</v>
      </c>
      <c r="BN2597" s="55" cm="1">
        <f t="array" ref="BN2597">IFERROR(INDEX($AW$1:$BH$1,1,MATCH(2,1/(AW2597:BH2597&lt;&gt;""))),"")</f>
        <v>46113</v>
      </c>
      <c r="BO2597" s="53">
        <f ca="1">IFERROR(_xlfn.XLOOKUP(F2597,Apuração!A:A,Apuração!C:C)/_xlfn.XLOOKUP(F2597,Apuração!A:A,Apuração!B:B),0)</f>
        <v>0</v>
      </c>
      <c r="BP2597" s="53">
        <f ca="1">IFERROR(_xlfn.XLOOKUP(F2597,Apuração!A:A,Apuração!D:D)/_xlfn.XLOOKUP(F2597,Apuração!A:A,Apuração!B:B),0)</f>
        <v>0</v>
      </c>
      <c r="BQ2597" s="53">
        <f ca="1">IF(BK2597&gt;=BO2597,0,_xlfn.XLOOKUP(F2597,Apuração!A:A,Apuração!B:B)*(BO2597 + (1/_xlfn.XLOOKUP(F2597,Apuração!A:A,Apuração!B:B)) - BK2597))</f>
        <v>0</v>
      </c>
      <c r="BR2597" s="85">
        <f t="shared" ca="1" si="3231"/>
        <v>0</v>
      </c>
      <c r="BS2597" s="53">
        <f ca="1">IFERROR((_xlfn.XLOOKUP(F2597,Apuração!A:A,Apuração!C:C)+1)/_xlfn.XLOOKUP(F2597,Apuração!A:A,Apuração!B:B),0)</f>
        <v>0.14285714285714285</v>
      </c>
    </row>
    <row r="2598" spans="1:71" ht="25.95" hidden="1" customHeight="1" x14ac:dyDescent="0.3">
      <c r="A2598" s="72" t="s">
        <v>44</v>
      </c>
      <c r="B2598" s="73" t="s">
        <v>44</v>
      </c>
      <c r="C2598" s="74" t="s">
        <v>239</v>
      </c>
      <c r="D2598" s="74" t="s">
        <v>36</v>
      </c>
      <c r="E2598" s="4" t="str" cm="1">
        <f t="array" ref="E2598">_xlfn.IFS(
F2598 = "A partir de Abril", "Aguardando Execução na Distribuidora",
A2598 = "CAPACITAÇÃO", "Em execução no Corporativo",
TRUE, "Em Execução na Distribuidora"
)</f>
        <v>Em Execução na Distribuidora</v>
      </c>
      <c r="F2598" s="4" t="str" cm="1">
        <f t="array" ref="F2598">_xlfn.IFS(
AG2598 &lt;&gt; "", "Jan-Dez/26",
AH2598 &lt;&gt; "", "Fev-Dez/26",
AI2598 &lt;&gt; "", "Mar-Dez/26", AJ2598 &lt;&gt; "", "Abr-Dez/26",
TRUE, "A partir de Junho"
)</f>
        <v>Jan-Dez/26</v>
      </c>
      <c r="G2598" s="75" t="s">
        <v>37</v>
      </c>
      <c r="H2598" s="76" t="s">
        <v>44</v>
      </c>
      <c r="I2598" s="77"/>
      <c r="J2598" s="77"/>
      <c r="K2598" s="77"/>
      <c r="L2598" s="37" t="s">
        <v>208</v>
      </c>
      <c r="M2598" s="78"/>
      <c r="N2598" s="74" t="s">
        <v>42</v>
      </c>
      <c r="O2598" s="74" t="s">
        <v>52</v>
      </c>
      <c r="P2598" s="75" t="s">
        <v>44</v>
      </c>
      <c r="Q2598" s="75" t="s">
        <v>44</v>
      </c>
      <c r="R2598" s="79" t="s">
        <v>44</v>
      </c>
      <c r="S2598" s="79" t="s">
        <v>44</v>
      </c>
      <c r="T2598" s="22"/>
      <c r="U2598" s="22"/>
      <c r="V2598" s="22"/>
      <c r="W2598" s="22"/>
      <c r="X2598" s="22"/>
      <c r="Y2598" s="22"/>
      <c r="Z2598" s="22"/>
      <c r="AA2598" s="22"/>
      <c r="AB2598" s="22"/>
      <c r="AC2598" s="22"/>
      <c r="AD2598" s="22"/>
      <c r="AE2598" s="22"/>
      <c r="AG2598" s="112">
        <v>657.59</v>
      </c>
      <c r="AH2598" s="112">
        <v>1147.02</v>
      </c>
      <c r="AI2598" s="112">
        <v>609.98</v>
      </c>
      <c r="AJ2598" s="112">
        <v>466.68</v>
      </c>
      <c r="AK2598" s="112"/>
      <c r="AL2598" s="112"/>
      <c r="AM2598" s="112"/>
      <c r="AN2598" s="112"/>
      <c r="AO2598" s="112"/>
      <c r="AP2598" s="112"/>
      <c r="AQ2598" s="112"/>
      <c r="AR2598" s="112"/>
      <c r="AS2598" s="113" t="str" cm="1">
        <f t="array" ref="AS2598">IFERROR(INDEX(T2598:AE2598,1,MATCH(2,1/(T2598:AE2598&lt;&gt;""))),"")</f>
        <v/>
      </c>
      <c r="AT2598" s="115" cm="1">
        <f t="array" ref="AT2598">IFERROR(INDEX(AG2598:AR2598,1,MATCH(2,1/(AG2598:AR2598&lt;&gt;""))),"")</f>
        <v>466.68</v>
      </c>
      <c r="AU2598" s="116">
        <f t="shared" si="3232"/>
        <v>466.68</v>
      </c>
      <c r="AW2598" s="84">
        <f t="shared" si="3228"/>
        <v>657.59</v>
      </c>
      <c r="AX2598" s="84">
        <f t="shared" si="3229"/>
        <v>1147.02</v>
      </c>
      <c r="AY2598" s="84">
        <f t="shared" si="3230"/>
        <v>609.98</v>
      </c>
      <c r="AZ2598" s="84">
        <f t="shared" si="3233"/>
        <v>466.68</v>
      </c>
      <c r="BA2598" s="84"/>
      <c r="BB2598" s="84"/>
      <c r="BC2598" s="84"/>
      <c r="BD2598" s="84"/>
      <c r="BE2598" s="84"/>
      <c r="BF2598" s="84"/>
      <c r="BG2598" s="84"/>
      <c r="BH2598" s="84"/>
      <c r="BI2598" s="68" cm="1">
        <f t="array" ref="BI2598">IFERROR(INDEX(AW2598:BH2598,1,MATCH(2,1/(AW2598:BH2598&lt;&gt;""))),"")</f>
        <v>466.68</v>
      </c>
      <c r="BJ2598" s="68" cm="1">
        <f t="array" ref="BJ2598">IF(BM2598 = "", "",IFERROR(INDEX(AW2598:BH2598,1,MATCH(2,1/(AW2598:BH2598&lt;&gt;""),1)-1),""))</f>
        <v>609.98</v>
      </c>
      <c r="BK2598" s="57" cm="1">
        <f t="array" ref="BK2598">IFERROR(INDEX(AW2598:BH2598,1,MATCH(2,1/(AW2598:BH2598&lt;&gt;""),1)),"")</f>
        <v>466.68</v>
      </c>
      <c r="BL2598" s="57" cm="1">
        <f t="array" ref="BL2598">IF(BM2598 = "", "",IFERROR(INDEX(AW2598:BH2598,1,MATCH(2,1/(AW2598:BH2598&lt;&gt;""),1)-1),""))</f>
        <v>609.98</v>
      </c>
      <c r="BM2598" s="55" cm="1">
        <f t="array" ref="BM2598">IFERROR(
   INDEX($AW$1:$BH$1,
      _xlfn.AGGREGATE(14, 6, COLUMN($AW$1:$BH$1)/(AW2598:BH2598&lt;&gt;""), 2) - COLUMN($AW$1) + 1
   ),
"")</f>
        <v>46082</v>
      </c>
      <c r="BN2598" s="55" cm="1">
        <f t="array" ref="BN2598">IFERROR(INDEX($AW$1:$BH$1,1,MATCH(2,1/(AW2598:BH2598&lt;&gt;""))),"")</f>
        <v>46113</v>
      </c>
      <c r="BO2598" s="53">
        <f ca="1">IFERROR(_xlfn.XLOOKUP(F2598,Apuração!A:A,Apuração!C:C)/_xlfn.XLOOKUP(F2598,Apuração!A:A,Apuração!B:B),0)</f>
        <v>0.41666666666666669</v>
      </c>
      <c r="BP2598" s="53">
        <f ca="1">IFERROR(_xlfn.XLOOKUP(F2598,Apuração!A:A,Apuração!D:D)/_xlfn.XLOOKUP(F2598,Apuração!A:A,Apuração!B:B),0)</f>
        <v>0.33333333333333331</v>
      </c>
      <c r="BQ2598" s="53">
        <f ca="1">IF(BK2598&gt;=BO2598,0,_xlfn.XLOOKUP(F2598,Apuração!A:A,Apuração!B:B)*(BO2598 + (1/_xlfn.XLOOKUP(F2598,Apuração!A:A,Apuração!B:B)) - BK2598))</f>
        <v>0</v>
      </c>
      <c r="BR2598" s="85">
        <f t="shared" ca="1" si="3231"/>
        <v>0</v>
      </c>
      <c r="BS2598" s="53">
        <f ca="1">IFERROR((_xlfn.XLOOKUP(F2598,Apuração!A:A,Apuração!C:C)+1)/_xlfn.XLOOKUP(F2598,Apuração!A:A,Apuração!B:B),0)</f>
        <v>0.5</v>
      </c>
    </row>
    <row r="2599" spans="1:71" ht="25.95" hidden="1" customHeight="1" x14ac:dyDescent="0.3">
      <c r="A2599" s="72" t="s">
        <v>44</v>
      </c>
      <c r="B2599" s="73" t="s">
        <v>44</v>
      </c>
      <c r="C2599" s="74" t="s">
        <v>35</v>
      </c>
      <c r="D2599" s="5" t="s">
        <v>47</v>
      </c>
      <c r="E2599" s="4" t="str" cm="1">
        <f t="array" ref="E2599">_xlfn.IFS(
F2599 = "A partir de Abril", "Aguardando Execução na Distribuidora",
A2599 = "CAPACITAÇÃO", "Em execução no Corporativo",
TRUE, "Em Execução na Distribuidora"
)</f>
        <v>Em Execução na Distribuidora</v>
      </c>
      <c r="F2599" s="4" t="str" cm="1">
        <f t="array" ref="F2599">_xlfn.IFS(
AG2599 &lt;&gt; "", "Jan-Dez/26",
AH2599 &lt;&gt; "", "Fev-Dez/26",
AI2599 &lt;&gt; "", "Mar-Dez/26", AJ2599 &lt;&gt; "", "Abr-Dez/26",
TRUE, "A partir de Junho"
)</f>
        <v>Jan-Dez/26</v>
      </c>
      <c r="G2599" s="75" t="s">
        <v>44</v>
      </c>
      <c r="H2599" s="76" t="s">
        <v>44</v>
      </c>
      <c r="I2599" s="77"/>
      <c r="J2599" s="77"/>
      <c r="K2599" s="77"/>
      <c r="L2599" s="77" t="s">
        <v>228</v>
      </c>
      <c r="M2599" s="78"/>
      <c r="N2599" s="74" t="s">
        <v>42</v>
      </c>
      <c r="O2599" s="74" t="s">
        <v>52</v>
      </c>
      <c r="P2599" s="75" t="s">
        <v>44</v>
      </c>
      <c r="Q2599" s="75" t="s">
        <v>44</v>
      </c>
      <c r="R2599" s="79" t="s">
        <v>44</v>
      </c>
      <c r="S2599" s="79" t="s">
        <v>44</v>
      </c>
      <c r="T2599" s="22"/>
      <c r="U2599" s="22"/>
      <c r="V2599" s="22"/>
      <c r="W2599" s="22"/>
      <c r="X2599" s="22"/>
      <c r="Y2599" s="22"/>
      <c r="Z2599" s="22"/>
      <c r="AA2599" s="22"/>
      <c r="AB2599" s="22"/>
      <c r="AC2599" s="22"/>
      <c r="AD2599" s="22"/>
      <c r="AE2599" s="22"/>
      <c r="AG2599" s="112">
        <v>5.9018078689347284</v>
      </c>
      <c r="AH2599" s="112">
        <v>2.4077418947013833</v>
      </c>
      <c r="AI2599" s="112">
        <v>4.0073047571525446</v>
      </c>
      <c r="AJ2599" s="71"/>
      <c r="AK2599" s="71"/>
      <c r="AL2599" s="71"/>
      <c r="AM2599" s="71"/>
      <c r="AN2599" s="71"/>
      <c r="AO2599" s="71"/>
      <c r="AP2599" s="71"/>
      <c r="AQ2599" s="71"/>
      <c r="AR2599" s="71"/>
      <c r="AS2599" s="94"/>
      <c r="AT2599" s="95"/>
      <c r="AU2599" s="97"/>
      <c r="AW2599" s="84">
        <f t="shared" si="3228"/>
        <v>5.9018078689347284</v>
      </c>
      <c r="AX2599" s="84">
        <f t="shared" si="3229"/>
        <v>2.4077418947013833</v>
      </c>
      <c r="AY2599" s="84">
        <f t="shared" si="3230"/>
        <v>4.0073047571525446</v>
      </c>
      <c r="AZ2599" s="84"/>
      <c r="BA2599" s="84"/>
      <c r="BB2599" s="84"/>
      <c r="BC2599" s="84"/>
      <c r="BD2599" s="84"/>
      <c r="BE2599" s="84"/>
      <c r="BF2599" s="84"/>
      <c r="BG2599" s="84"/>
      <c r="BH2599" s="84"/>
      <c r="BI2599" s="68" cm="1">
        <f t="array" ref="BI2599">IFERROR(INDEX(AW2599:BH2599,1,MATCH(2,1/(AW2599:BH2599&lt;&gt;""))),"")</f>
        <v>4.0073047571525446</v>
      </c>
      <c r="BJ2599" s="68" cm="1">
        <f t="array" ref="BJ2599">IF(BM2599 = "", "",IFERROR(INDEX(AW2599:BH2599,1,MATCH(2,1/(AW2599:BH2599&lt;&gt;""),1)-1),""))</f>
        <v>2.4077418947013833</v>
      </c>
      <c r="BK2599" s="57" cm="1">
        <f t="array" ref="BK2599">IFERROR(INDEX(AW2599:BH2599,1,MATCH(2,1/(AW2599:BH2599&lt;&gt;""),1)),"")</f>
        <v>4.0073047571525446</v>
      </c>
      <c r="BL2599" s="57" cm="1">
        <f t="array" ref="BL2599">IF(BM2599 = "", "",IFERROR(INDEX(AW2599:BH2599,1,MATCH(2,1/(AW2599:BH2599&lt;&gt;""),1)-1),""))</f>
        <v>2.4077418947013833</v>
      </c>
      <c r="BM2599" s="55" cm="1">
        <f t="array" ref="BM2599">IFERROR(
   INDEX($AW$1:$BH$1,
      _xlfn.AGGREGATE(14, 6, COLUMN($AW$1:$BH$1)/(AW2599:BH2599&lt;&gt;""), 2) - COLUMN($AW$1) + 1
   ),
"")</f>
        <v>46054</v>
      </c>
      <c r="BN2599" s="55" cm="1">
        <f t="array" ref="BN2599">IFERROR(INDEX($AW$1:$BH$1,1,MATCH(2,1/(AW2599:BH2599&lt;&gt;""))),"")</f>
        <v>46082</v>
      </c>
      <c r="BO2599" s="53">
        <f ca="1">IFERROR(_xlfn.XLOOKUP(F2599,Apuração!A:A,Apuração!C:C)/_xlfn.XLOOKUP(F2599,Apuração!A:A,Apuração!B:B),0)</f>
        <v>0.41666666666666669</v>
      </c>
      <c r="BP2599" s="53">
        <f ca="1">IFERROR(_xlfn.XLOOKUP(F2599,Apuração!A:A,Apuração!D:D)/_xlfn.XLOOKUP(F2599,Apuração!A:A,Apuração!B:B),0)</f>
        <v>0.33333333333333331</v>
      </c>
      <c r="BQ2599" s="53">
        <f ca="1">IF(BK2599&gt;=BO2599,0,_xlfn.XLOOKUP(F2599,Apuração!A:A,Apuração!B:B)*(BO2599 + (1/_xlfn.XLOOKUP(F2599,Apuração!A:A,Apuração!B:B)) - BK2599))</f>
        <v>0</v>
      </c>
      <c r="BR2599" s="85">
        <f t="shared" ca="1" si="3231"/>
        <v>0</v>
      </c>
      <c r="BS2599" s="53">
        <f ca="1">IFERROR((_xlfn.XLOOKUP(F2599,Apuração!A:A,Apuração!C:C)+1)/_xlfn.XLOOKUP(F2599,Apuração!A:A,Apuração!B:B),0)</f>
        <v>0.5</v>
      </c>
    </row>
    <row r="2600" spans="1:71" ht="25.95" hidden="1" customHeight="1" x14ac:dyDescent="0.3">
      <c r="A2600" s="72" t="s">
        <v>44</v>
      </c>
      <c r="B2600" s="73" t="s">
        <v>44</v>
      </c>
      <c r="C2600" s="74" t="s">
        <v>35</v>
      </c>
      <c r="D2600" s="5" t="s">
        <v>48</v>
      </c>
      <c r="E2600" s="4" t="str" cm="1">
        <f t="array" ref="E2600">_xlfn.IFS(
F2600 = "A partir de Abril", "Aguardando Execução na Distribuidora",
A2600 = "CAPACITAÇÃO", "Em execução no Corporativo",
TRUE, "Em Execução na Distribuidora"
)</f>
        <v>Em Execução na Distribuidora</v>
      </c>
      <c r="F2600" s="4" t="str" cm="1">
        <f t="array" ref="F2600">_xlfn.IFS(
AG2600 &lt;&gt; "", "Jan-Dez/26",
AH2600 &lt;&gt; "", "Fev-Dez/26",
AI2600 &lt;&gt; "", "Mar-Dez/26", AJ2600 &lt;&gt; "", "Abr-Dez/26",
TRUE, "A partir de Junho"
)</f>
        <v>Jan-Dez/26</v>
      </c>
      <c r="G2600" s="75" t="s">
        <v>44</v>
      </c>
      <c r="H2600" s="76" t="s">
        <v>44</v>
      </c>
      <c r="I2600" s="77"/>
      <c r="J2600" s="77"/>
      <c r="K2600" s="77"/>
      <c r="L2600" s="77" t="s">
        <v>228</v>
      </c>
      <c r="M2600" s="78"/>
      <c r="N2600" s="74" t="s">
        <v>42</v>
      </c>
      <c r="O2600" s="74" t="s">
        <v>52</v>
      </c>
      <c r="P2600" s="75" t="s">
        <v>44</v>
      </c>
      <c r="Q2600" s="75" t="s">
        <v>44</v>
      </c>
      <c r="R2600" s="79" t="s">
        <v>44</v>
      </c>
      <c r="S2600" s="79" t="s">
        <v>44</v>
      </c>
      <c r="T2600" s="22"/>
      <c r="U2600" s="22"/>
      <c r="V2600" s="22"/>
      <c r="W2600" s="22"/>
      <c r="X2600" s="22"/>
      <c r="Y2600" s="22"/>
      <c r="Z2600" s="22"/>
      <c r="AA2600" s="22"/>
      <c r="AB2600" s="22"/>
      <c r="AC2600" s="22"/>
      <c r="AD2600" s="22"/>
      <c r="AE2600" s="22"/>
      <c r="AG2600" s="112">
        <v>5.9018078689347284</v>
      </c>
      <c r="AH2600" s="112">
        <v>2.4077418947013833</v>
      </c>
      <c r="AI2600" s="112">
        <v>4.0073047571525446</v>
      </c>
      <c r="AJ2600" s="71"/>
      <c r="AK2600" s="71"/>
      <c r="AL2600" s="71"/>
      <c r="AM2600" s="71"/>
      <c r="AN2600" s="71"/>
      <c r="AO2600" s="71"/>
      <c r="AP2600" s="71"/>
      <c r="AQ2600" s="71"/>
      <c r="AR2600" s="71"/>
      <c r="AS2600" s="94"/>
      <c r="AT2600" s="95"/>
      <c r="AU2600" s="97"/>
      <c r="AW2600" s="84">
        <f t="shared" si="3228"/>
        <v>5.9018078689347284</v>
      </c>
      <c r="AX2600" s="84">
        <f t="shared" si="3229"/>
        <v>2.4077418947013833</v>
      </c>
      <c r="AY2600" s="84">
        <f t="shared" si="3230"/>
        <v>4.0073047571525446</v>
      </c>
      <c r="AZ2600" s="84"/>
      <c r="BA2600" s="84"/>
      <c r="BB2600" s="84"/>
      <c r="BC2600" s="84"/>
      <c r="BD2600" s="84"/>
      <c r="BE2600" s="84"/>
      <c r="BF2600" s="84"/>
      <c r="BG2600" s="84"/>
      <c r="BH2600" s="84"/>
      <c r="BI2600" s="68" cm="1">
        <f t="array" ref="BI2600">IFERROR(INDEX(AW2600:BH2600,1,MATCH(2,1/(AW2600:BH2600&lt;&gt;""))),"")</f>
        <v>4.0073047571525446</v>
      </c>
      <c r="BJ2600" s="68" cm="1">
        <f t="array" ref="BJ2600">IF(BM2600 = "", "",IFERROR(INDEX(AW2600:BH2600,1,MATCH(2,1/(AW2600:BH2600&lt;&gt;""),1)-1),""))</f>
        <v>2.4077418947013833</v>
      </c>
      <c r="BK2600" s="57" cm="1">
        <f t="array" ref="BK2600">IFERROR(INDEX(AW2600:BH2600,1,MATCH(2,1/(AW2600:BH2600&lt;&gt;""),1)),"")</f>
        <v>4.0073047571525446</v>
      </c>
      <c r="BL2600" s="57" cm="1">
        <f t="array" ref="BL2600">IF(BM2600 = "", "",IFERROR(INDEX(AW2600:BH2600,1,MATCH(2,1/(AW2600:BH2600&lt;&gt;""),1)-1),""))</f>
        <v>2.4077418947013833</v>
      </c>
      <c r="BM2600" s="55" cm="1">
        <f t="array" ref="BM2600">IFERROR(
   INDEX($AW$1:$BH$1,
      _xlfn.AGGREGATE(14, 6, COLUMN($AW$1:$BH$1)/(AW2600:BH2600&lt;&gt;""), 2) - COLUMN($AW$1) + 1
   ),
"")</f>
        <v>46054</v>
      </c>
      <c r="BN2600" s="55" cm="1">
        <f t="array" ref="BN2600">IFERROR(INDEX($AW$1:$BH$1,1,MATCH(2,1/(AW2600:BH2600&lt;&gt;""))),"")</f>
        <v>46082</v>
      </c>
      <c r="BO2600" s="53">
        <f ca="1">IFERROR(_xlfn.XLOOKUP(F2600,Apuração!A:A,Apuração!C:C)/_xlfn.XLOOKUP(F2600,Apuração!A:A,Apuração!B:B),0)</f>
        <v>0.41666666666666669</v>
      </c>
      <c r="BP2600" s="53">
        <f ca="1">IFERROR(_xlfn.XLOOKUP(F2600,Apuração!A:A,Apuração!D:D)/_xlfn.XLOOKUP(F2600,Apuração!A:A,Apuração!B:B),0)</f>
        <v>0.33333333333333331</v>
      </c>
      <c r="BQ2600" s="53">
        <f ca="1">IF(BK2600&gt;=BO2600,0,_xlfn.XLOOKUP(F2600,Apuração!A:A,Apuração!B:B)*(BO2600 + (1/_xlfn.XLOOKUP(F2600,Apuração!A:A,Apuração!B:B)) - BK2600))</f>
        <v>0</v>
      </c>
      <c r="BR2600" s="85">
        <f t="shared" ca="1" si="3231"/>
        <v>0</v>
      </c>
      <c r="BS2600" s="53">
        <f ca="1">IFERROR((_xlfn.XLOOKUP(F2600,Apuração!A:A,Apuração!C:C)+1)/_xlfn.XLOOKUP(F2600,Apuração!A:A,Apuração!B:B),0)</f>
        <v>0.5</v>
      </c>
    </row>
    <row r="2601" spans="1:71" ht="25.95" hidden="1" customHeight="1" x14ac:dyDescent="0.3">
      <c r="A2601" s="72" t="s">
        <v>44</v>
      </c>
      <c r="B2601" s="73" t="s">
        <v>44</v>
      </c>
      <c r="C2601" s="74" t="s">
        <v>35</v>
      </c>
      <c r="D2601" s="5" t="s">
        <v>36</v>
      </c>
      <c r="E2601" s="4" t="str" cm="1">
        <f t="array" ref="E2601">_xlfn.IFS(
F2601 = "A partir de Abril", "Aguardando Execução na Distribuidora",
A2601 = "CAPACITAÇÃO", "Em execução no Corporativo",
TRUE, "Em Execução na Distribuidora"
)</f>
        <v>Em Execução na Distribuidora</v>
      </c>
      <c r="F2601" s="4" t="str" cm="1">
        <f t="array" ref="F2601">_xlfn.IFS(
AG2601 &lt;&gt; "", "Jan-Dez/26",
AH2601 &lt;&gt; "", "Fev-Dez/26",
AI2601 &lt;&gt; "", "Mar-Dez/26", AJ2601 &lt;&gt; "", "Abr-Dez/26",
TRUE, "A partir de Junho"
)</f>
        <v>Jan-Dez/26</v>
      </c>
      <c r="G2601" s="75" t="s">
        <v>44</v>
      </c>
      <c r="H2601" s="76" t="s">
        <v>44</v>
      </c>
      <c r="I2601" s="77"/>
      <c r="J2601" s="77"/>
      <c r="K2601" s="77"/>
      <c r="L2601" s="77" t="s">
        <v>240</v>
      </c>
      <c r="M2601" s="78"/>
      <c r="N2601" s="74" t="s">
        <v>42</v>
      </c>
      <c r="O2601" s="74" t="s">
        <v>52</v>
      </c>
      <c r="P2601" s="75" t="s">
        <v>44</v>
      </c>
      <c r="Q2601" s="75" t="s">
        <v>44</v>
      </c>
      <c r="R2601" s="79" t="s">
        <v>44</v>
      </c>
      <c r="S2601" s="79" t="s">
        <v>44</v>
      </c>
      <c r="T2601" s="22"/>
      <c r="U2601" s="22"/>
      <c r="V2601" s="22"/>
      <c r="W2601" s="22"/>
      <c r="X2601" s="22"/>
      <c r="Y2601" s="22"/>
      <c r="Z2601" s="22"/>
      <c r="AA2601" s="22"/>
      <c r="AB2601" s="22"/>
      <c r="AC2601" s="22"/>
      <c r="AD2601" s="22"/>
      <c r="AE2601" s="22"/>
      <c r="AG2601" s="112">
        <v>8.3352226504674398</v>
      </c>
      <c r="AH2601" s="112">
        <v>5.0011335902804639</v>
      </c>
      <c r="AI2601" s="112">
        <v>4.4462772987531523</v>
      </c>
      <c r="AJ2601" s="112">
        <v>192.67</v>
      </c>
      <c r="AK2601" s="112"/>
      <c r="AL2601" s="112"/>
      <c r="AM2601" s="112"/>
      <c r="AN2601" s="112"/>
      <c r="AO2601" s="112"/>
      <c r="AP2601" s="112"/>
      <c r="AQ2601" s="112"/>
      <c r="AR2601" s="112"/>
      <c r="AS2601" s="94"/>
      <c r="AT2601" s="95"/>
      <c r="AU2601" s="97"/>
      <c r="AW2601" s="84">
        <f t="shared" si="3228"/>
        <v>8.3352226504674398</v>
      </c>
      <c r="AX2601" s="84">
        <f t="shared" si="3229"/>
        <v>5.0011335902804639</v>
      </c>
      <c r="AY2601" s="84">
        <f t="shared" si="3230"/>
        <v>4.4462772987531523</v>
      </c>
      <c r="AZ2601" s="84">
        <f t="shared" si="3230"/>
        <v>192.67</v>
      </c>
      <c r="BA2601" s="84"/>
      <c r="BB2601" s="84"/>
      <c r="BC2601" s="84"/>
      <c r="BD2601" s="84"/>
      <c r="BE2601" s="84"/>
      <c r="BF2601" s="84"/>
      <c r="BG2601" s="84"/>
      <c r="BH2601" s="84"/>
      <c r="BI2601" s="68" cm="1">
        <f t="array" ref="BI2601">IFERROR(INDEX(AW2601:BH2601,1,MATCH(2,1/(AW2601:BH2601&lt;&gt;""))),"")</f>
        <v>192.67</v>
      </c>
      <c r="BJ2601" s="68" cm="1">
        <f t="array" ref="BJ2601">IF(BM2601 = "", "",IFERROR(INDEX(AW2601:BH2601,1,MATCH(2,1/(AW2601:BH2601&lt;&gt;""),1)-1),""))</f>
        <v>4.4462772987531523</v>
      </c>
      <c r="BK2601" s="57" cm="1">
        <f t="array" ref="BK2601">IFERROR(INDEX(AW2601:BH2601,1,MATCH(2,1/(AW2601:BH2601&lt;&gt;""),1)),"")</f>
        <v>192.67</v>
      </c>
      <c r="BL2601" s="57" cm="1">
        <f t="array" ref="BL2601">IF(BM2601 = "", "",IFERROR(INDEX(AW2601:BH2601,1,MATCH(2,1/(AW2601:BH2601&lt;&gt;""),1)-1),""))</f>
        <v>4.4462772987531523</v>
      </c>
      <c r="BM2601" s="55" cm="1">
        <f t="array" ref="BM2601">IFERROR(
   INDEX($AW$1:$BH$1,
      _xlfn.AGGREGATE(14, 6, COLUMN($AW$1:$BH$1)/(AW2601:BH2601&lt;&gt;""), 2) - COLUMN($AW$1) + 1
   ),
"")</f>
        <v>46082</v>
      </c>
      <c r="BN2601" s="55" cm="1">
        <f t="array" ref="BN2601">IFERROR(INDEX($AW$1:$BH$1,1,MATCH(2,1/(AW2601:BH2601&lt;&gt;""))),"")</f>
        <v>46113</v>
      </c>
      <c r="BO2601" s="53">
        <f ca="1">IFERROR(_xlfn.XLOOKUP(F2601,Apuração!A:A,Apuração!C:C)/_xlfn.XLOOKUP(F2601,Apuração!A:A,Apuração!B:B),0)</f>
        <v>0.41666666666666669</v>
      </c>
      <c r="BP2601" s="53">
        <f ca="1">IFERROR(_xlfn.XLOOKUP(F2601,Apuração!A:A,Apuração!D:D)/_xlfn.XLOOKUP(F2601,Apuração!A:A,Apuração!B:B),0)</f>
        <v>0.33333333333333331</v>
      </c>
      <c r="BQ2601" s="53">
        <f ca="1">IF(BK2601&gt;=BO2601,0,_xlfn.XLOOKUP(F2601,Apuração!A:A,Apuração!B:B)*(BO2601 + (1/_xlfn.XLOOKUP(F2601,Apuração!A:A,Apuração!B:B)) - BK2601))</f>
        <v>0</v>
      </c>
      <c r="BR2601" s="85">
        <f t="shared" ca="1" si="3231"/>
        <v>0</v>
      </c>
      <c r="BS2601" s="53">
        <f ca="1">IFERROR((_xlfn.XLOOKUP(F2601,Apuração!A:A,Apuração!C:C)+1)/_xlfn.XLOOKUP(F2601,Apuração!A:A,Apuração!B:B),0)</f>
        <v>0.5</v>
      </c>
    </row>
    <row r="2602" spans="1:71" ht="25.95" hidden="1" customHeight="1" x14ac:dyDescent="0.3">
      <c r="A2602" s="72" t="s">
        <v>44</v>
      </c>
      <c r="B2602" s="73" t="s">
        <v>44</v>
      </c>
      <c r="C2602" s="74" t="s">
        <v>95</v>
      </c>
      <c r="D2602" s="5" t="s">
        <v>36</v>
      </c>
      <c r="E2602" s="4" t="str" cm="1">
        <f t="array" ref="E2602">_xlfn.IFS(
F2602 = "A partir de Abril", "Aguardando Execução na Distribuidora",
A2602 = "CAPACITAÇÃO", "Em execução no Corporativo",
TRUE, "Em Execução na Distribuidora"
)</f>
        <v>Em Execução na Distribuidora</v>
      </c>
      <c r="F2602" s="4" t="str" cm="1">
        <f t="array" ref="F2602">_xlfn.IFS(
AG2602 &lt;&gt; "", "Jan-Dez/26",
AH2602 &lt;&gt; "", "Fev-Dez/26",
AI2602 &lt;&gt; "", "Mar-Dez/26", AJ2602 &lt;&gt; "", "Abr-Dez/26",
TRUE, "A partir de Junho"
)</f>
        <v>Jan-Dez/26</v>
      </c>
      <c r="G2602" s="75" t="s">
        <v>44</v>
      </c>
      <c r="H2602" s="76" t="s">
        <v>44</v>
      </c>
      <c r="I2602" s="77"/>
      <c r="J2602" s="77"/>
      <c r="K2602" s="77"/>
      <c r="L2602" s="77" t="s">
        <v>240</v>
      </c>
      <c r="M2602" s="78"/>
      <c r="N2602" s="74" t="s">
        <v>42</v>
      </c>
      <c r="O2602" s="74" t="s">
        <v>52</v>
      </c>
      <c r="P2602" s="75" t="s">
        <v>44</v>
      </c>
      <c r="Q2602" s="75" t="s">
        <v>44</v>
      </c>
      <c r="R2602" s="79" t="s">
        <v>44</v>
      </c>
      <c r="S2602" s="79" t="s">
        <v>44</v>
      </c>
      <c r="T2602" s="22"/>
      <c r="U2602" s="22"/>
      <c r="V2602" s="22"/>
      <c r="W2602" s="22"/>
      <c r="X2602" s="22"/>
      <c r="Y2602" s="22"/>
      <c r="Z2602" s="22"/>
      <c r="AA2602" s="22"/>
      <c r="AB2602" s="22"/>
      <c r="AC2602" s="22"/>
      <c r="AD2602" s="22"/>
      <c r="AE2602" s="22"/>
      <c r="AG2602" s="112">
        <v>0</v>
      </c>
      <c r="AH2602" s="112">
        <v>402.3004962258297</v>
      </c>
      <c r="AI2602" s="112">
        <v>130.95579038821782</v>
      </c>
      <c r="AJ2602" s="112">
        <v>98.81</v>
      </c>
      <c r="AK2602" s="112"/>
      <c r="AL2602" s="112"/>
      <c r="AM2602" s="112"/>
      <c r="AN2602" s="112"/>
      <c r="AO2602" s="112"/>
      <c r="AP2602" s="112"/>
      <c r="AQ2602" s="112"/>
      <c r="AR2602" s="112"/>
      <c r="AS2602" s="94"/>
      <c r="AT2602" s="95"/>
      <c r="AU2602" s="97"/>
      <c r="AW2602" s="84">
        <f t="shared" si="3228"/>
        <v>0</v>
      </c>
      <c r="AX2602" s="84">
        <f t="shared" si="3229"/>
        <v>402.3004962258297</v>
      </c>
      <c r="AY2602" s="84">
        <f t="shared" si="3230"/>
        <v>130.95579038821782</v>
      </c>
      <c r="AZ2602" s="84">
        <f t="shared" si="3230"/>
        <v>98.81</v>
      </c>
      <c r="BA2602" s="84"/>
      <c r="BB2602" s="84"/>
      <c r="BC2602" s="84"/>
      <c r="BD2602" s="84"/>
      <c r="BE2602" s="84"/>
      <c r="BF2602" s="84"/>
      <c r="BG2602" s="84"/>
      <c r="BH2602" s="84"/>
      <c r="BI2602" s="68" cm="1">
        <f t="array" ref="BI2602">IFERROR(INDEX(AW2602:BH2602,1,MATCH(2,1/(AW2602:BH2602&lt;&gt;""))),"")</f>
        <v>98.81</v>
      </c>
      <c r="BJ2602" s="68" cm="1">
        <f t="array" ref="BJ2602">IF(BM2602 = "", "",IFERROR(INDEX(AW2602:BH2602,1,MATCH(2,1/(AW2602:BH2602&lt;&gt;""),1)-1),""))</f>
        <v>130.95579038821782</v>
      </c>
      <c r="BK2602" s="57" cm="1">
        <f t="array" ref="BK2602">IFERROR(INDEX(AW2602:BH2602,1,MATCH(2,1/(AW2602:BH2602&lt;&gt;""),1)),"")</f>
        <v>98.81</v>
      </c>
      <c r="BL2602" s="57" cm="1">
        <f t="array" ref="BL2602">IF(BM2602 = "", "",IFERROR(INDEX(AW2602:BH2602,1,MATCH(2,1/(AW2602:BH2602&lt;&gt;""),1)-1),""))</f>
        <v>130.95579038821782</v>
      </c>
      <c r="BM2602" s="55" cm="1">
        <f t="array" ref="BM2602">IFERROR(
   INDEX($AW$1:$BH$1,
      _xlfn.AGGREGATE(14, 6, COLUMN($AW$1:$BH$1)/(AW2602:BH2602&lt;&gt;""), 2) - COLUMN($AW$1) + 1
   ),
"")</f>
        <v>46082</v>
      </c>
      <c r="BN2602" s="55" cm="1">
        <f t="array" ref="BN2602">IFERROR(INDEX($AW$1:$BH$1,1,MATCH(2,1/(AW2602:BH2602&lt;&gt;""))),"")</f>
        <v>46113</v>
      </c>
      <c r="BO2602" s="53">
        <f ca="1">IFERROR(_xlfn.XLOOKUP(F2602,Apuração!A:A,Apuração!C:C)/_xlfn.XLOOKUP(F2602,Apuração!A:A,Apuração!B:B),0)</f>
        <v>0.41666666666666669</v>
      </c>
      <c r="BP2602" s="53">
        <f ca="1">IFERROR(_xlfn.XLOOKUP(F2602,Apuração!A:A,Apuração!D:D)/_xlfn.XLOOKUP(F2602,Apuração!A:A,Apuração!B:B),0)</f>
        <v>0.33333333333333331</v>
      </c>
      <c r="BQ2602" s="53">
        <f ca="1">IF(BK2602&gt;=BO2602,0,_xlfn.XLOOKUP(F2602,Apuração!A:A,Apuração!B:B)*(BO2602 + (1/_xlfn.XLOOKUP(F2602,Apuração!A:A,Apuração!B:B)) - BK2602))</f>
        <v>0</v>
      </c>
      <c r="BR2602" s="85">
        <f t="shared" ca="1" si="3231"/>
        <v>0</v>
      </c>
      <c r="BS2602" s="53">
        <f ca="1">IFERROR((_xlfn.XLOOKUP(F2602,Apuração!A:A,Apuração!C:C)+1)/_xlfn.XLOOKUP(F2602,Apuração!A:A,Apuração!B:B),0)</f>
        <v>0.5</v>
      </c>
    </row>
    <row r="2603" spans="1:71" ht="25.95" hidden="1" customHeight="1" x14ac:dyDescent="0.3">
      <c r="A2603" s="35" t="s">
        <v>44</v>
      </c>
      <c r="B2603" s="10" t="s">
        <v>44</v>
      </c>
      <c r="C2603" s="5" t="s">
        <v>97</v>
      </c>
      <c r="D2603" s="5" t="s">
        <v>98</v>
      </c>
      <c r="E2603" s="4" t="str" cm="1">
        <f t="array" ref="E2603">_xlfn.IFS(
F2603 = "A partir de Abril", "Aguardando Execução na Distribuidora",
A2603 = "CAPACITAÇÃO", "Em execução no Corporativo",
TRUE, "Em Execução na Distribuidora"
)</f>
        <v>Em Execução na Distribuidora</v>
      </c>
      <c r="F2603" s="4" t="str" cm="1">
        <f t="array" ref="F2603">_xlfn.IFS(
AG2603 &lt;&gt; "", "Jan-Dez/26",
AH2603 &lt;&gt; "", "Fev-Dez/26",
AI2603 &lt;&gt; "", "Mar-Dez/26", AJ2603 &lt;&gt; "", "Abr-Dez/26",
TRUE, "A partir de Junho"
)</f>
        <v>A partir de Junho</v>
      </c>
      <c r="G2603" s="10" t="s">
        <v>44</v>
      </c>
      <c r="H2603" s="36" t="s">
        <v>44</v>
      </c>
      <c r="I2603" s="37"/>
      <c r="J2603" s="37"/>
      <c r="K2603" s="37"/>
      <c r="L2603" s="37" t="s">
        <v>208</v>
      </c>
      <c r="M2603" s="37"/>
      <c r="N2603" s="5" t="s">
        <v>42</v>
      </c>
      <c r="O2603" s="5" t="s">
        <v>52</v>
      </c>
      <c r="P2603" s="10" t="s">
        <v>44</v>
      </c>
      <c r="Q2603" s="10" t="s">
        <v>44</v>
      </c>
      <c r="R2603" s="11" t="s">
        <v>44</v>
      </c>
      <c r="S2603" s="11" t="s">
        <v>44</v>
      </c>
      <c r="T2603" s="22"/>
      <c r="U2603" s="22"/>
      <c r="V2603" s="22"/>
      <c r="W2603" s="22"/>
      <c r="X2603" s="22"/>
      <c r="Y2603" s="22"/>
      <c r="Z2603" s="22"/>
      <c r="AA2603" s="22"/>
      <c r="AB2603" s="22"/>
      <c r="AC2603" s="22"/>
      <c r="AD2603" s="22"/>
      <c r="AE2603" s="22"/>
      <c r="AG2603" s="112"/>
      <c r="AH2603" s="112"/>
      <c r="AI2603" s="112"/>
      <c r="AJ2603" s="71"/>
      <c r="AK2603" s="71"/>
      <c r="AL2603" s="71"/>
      <c r="AM2603" s="71"/>
      <c r="AN2603" s="71"/>
      <c r="AO2603" s="71"/>
      <c r="AP2603" s="71"/>
      <c r="AQ2603" s="71"/>
      <c r="AR2603" s="71"/>
      <c r="AS2603" s="94"/>
      <c r="AT2603" s="95"/>
      <c r="AU2603" s="97"/>
      <c r="AW2603" s="84">
        <f t="shared" ref="AW2603:AW2612" si="3234">AG2603</f>
        <v>0</v>
      </c>
      <c r="AX2603" s="84">
        <f t="shared" ref="AX2603:AX2613" si="3235">AH2603</f>
        <v>0</v>
      </c>
      <c r="AY2603" s="84">
        <f t="shared" ref="AY2603:AY2613" si="3236">AI2603</f>
        <v>0</v>
      </c>
      <c r="AZ2603" s="84"/>
      <c r="BA2603" s="84"/>
      <c r="BB2603" s="84"/>
      <c r="BC2603" s="84"/>
      <c r="BD2603" s="84"/>
      <c r="BE2603" s="84"/>
      <c r="BF2603" s="84"/>
      <c r="BG2603" s="84"/>
      <c r="BH2603" s="84"/>
      <c r="BI2603" s="68" cm="1">
        <f t="array" ref="BI2603">IFERROR(INDEX(AW2603:BH2603,1,MATCH(2,1/(AW2603:BH2603&lt;&gt;""))),"")</f>
        <v>0</v>
      </c>
      <c r="BJ2603" s="68" cm="1">
        <f t="array" ref="BJ2603">IF(BM2603 = "", "",IFERROR(INDEX(AW2603:BH2603,1,MATCH(2,1/(AW2603:BH2603&lt;&gt;""),1)-1),""))</f>
        <v>0</v>
      </c>
      <c r="BK2603" s="57" cm="1">
        <f t="array" ref="BK2603">IFERROR(INDEX(AW2603:BH2603,1,MATCH(2,1/(AW2603:BH2603&lt;&gt;""),1)),"")</f>
        <v>0</v>
      </c>
      <c r="BL2603" s="57" cm="1">
        <f t="array" ref="BL2603">IF(BM2603 = "", "",IFERROR(INDEX(AW2603:BH2603,1,MATCH(2,1/(AW2603:BH2603&lt;&gt;""),1)-1),""))</f>
        <v>0</v>
      </c>
      <c r="BM2603" s="55" cm="1">
        <f t="array" ref="BM2603">IFERROR(
   INDEX($AW$1:$BH$1,
      _xlfn.AGGREGATE(14, 6, COLUMN($AW$1:$BH$1)/(AW2603:BH2603&lt;&gt;""), 2) - COLUMN($AW$1) + 1
   ),
"")</f>
        <v>46054</v>
      </c>
      <c r="BN2603" s="55" cm="1">
        <f t="array" ref="BN2603">IFERROR(INDEX($AW$1:$BH$1,1,MATCH(2,1/(AW2603:BH2603&lt;&gt;""))),"")</f>
        <v>46082</v>
      </c>
      <c r="BO2603" s="53">
        <f ca="1">IFERROR(_xlfn.XLOOKUP(F2603,Apuração!A:A,Apuração!C:C)/_xlfn.XLOOKUP(F2603,Apuração!A:A,Apuração!B:B),0)</f>
        <v>0</v>
      </c>
      <c r="BP2603" s="53">
        <f ca="1">IFERROR(_xlfn.XLOOKUP(F2603,Apuração!A:A,Apuração!D:D)/_xlfn.XLOOKUP(F2603,Apuração!A:A,Apuração!B:B),0)</f>
        <v>0</v>
      </c>
      <c r="BQ2603" s="53">
        <f ca="1">IF(BK2603&gt;=BO2603,0,_xlfn.XLOOKUP(F2603,Apuração!A:A,Apuração!B:B)*(BO2603 + (1/_xlfn.XLOOKUP(F2603,Apuração!A:A,Apuração!B:B)) - BK2603))</f>
        <v>0</v>
      </c>
      <c r="BR2603" s="85">
        <f t="shared" ref="BR2603:BR2612" ca="1" si="3237">IF(BQ2603=0,0,BQ2603*Z2603)</f>
        <v>0</v>
      </c>
      <c r="BS2603" s="53">
        <f ca="1">IFERROR((_xlfn.XLOOKUP(F2603,Apuração!A:A,Apuração!C:C)+1)/_xlfn.XLOOKUP(F2603,Apuração!A:A,Apuração!B:B),0)</f>
        <v>0.14285714285714285</v>
      </c>
    </row>
    <row r="2604" spans="1:71" ht="25.95" hidden="1" customHeight="1" x14ac:dyDescent="0.3">
      <c r="A2604" s="35" t="s">
        <v>44</v>
      </c>
      <c r="B2604" s="10" t="s">
        <v>44</v>
      </c>
      <c r="C2604" s="5" t="s">
        <v>97</v>
      </c>
      <c r="D2604" s="5" t="s">
        <v>99</v>
      </c>
      <c r="E2604" s="4" t="str" cm="1">
        <f t="array" ref="E2604">_xlfn.IFS(
F2604 = "A partir de Abril", "Aguardando Execução na Distribuidora",
A2604 = "CAPACITAÇÃO", "Em execução no Corporativo",
TRUE, "Em Execução na Distribuidora"
)</f>
        <v>Em Execução na Distribuidora</v>
      </c>
      <c r="F2604" s="4" t="str" cm="1">
        <f t="array" ref="F2604">_xlfn.IFS(
AG2604 &lt;&gt; "", "Jan-Dez/26",
AH2604 &lt;&gt; "", "Fev-Dez/26",
AI2604 &lt;&gt; "", "Mar-Dez/26", AJ2604 &lt;&gt; "", "Abr-Dez/26",
TRUE, "A partir de Junho"
)</f>
        <v>A partir de Junho</v>
      </c>
      <c r="G2604" s="10" t="s">
        <v>44</v>
      </c>
      <c r="H2604" s="36" t="s">
        <v>44</v>
      </c>
      <c r="I2604" s="37"/>
      <c r="J2604" s="37"/>
      <c r="K2604" s="37"/>
      <c r="L2604" s="37" t="s">
        <v>208</v>
      </c>
      <c r="M2604" s="37"/>
      <c r="N2604" s="5" t="s">
        <v>42</v>
      </c>
      <c r="O2604" s="5" t="s">
        <v>52</v>
      </c>
      <c r="P2604" s="10" t="s">
        <v>44</v>
      </c>
      <c r="Q2604" s="10" t="s">
        <v>44</v>
      </c>
      <c r="R2604" s="11" t="s">
        <v>44</v>
      </c>
      <c r="S2604" s="11" t="s">
        <v>44</v>
      </c>
      <c r="T2604" s="22"/>
      <c r="U2604" s="22"/>
      <c r="V2604" s="22"/>
      <c r="W2604" s="22"/>
      <c r="X2604" s="22"/>
      <c r="Y2604" s="22"/>
      <c r="Z2604" s="22"/>
      <c r="AA2604" s="22"/>
      <c r="AB2604" s="22"/>
      <c r="AC2604" s="22"/>
      <c r="AD2604" s="22"/>
      <c r="AE2604" s="22"/>
      <c r="AG2604" s="112"/>
      <c r="AH2604" s="112"/>
      <c r="AI2604" s="112"/>
      <c r="AJ2604" s="71"/>
      <c r="AK2604" s="71"/>
      <c r="AL2604" s="71"/>
      <c r="AM2604" s="71"/>
      <c r="AN2604" s="71"/>
      <c r="AO2604" s="71"/>
      <c r="AP2604" s="71"/>
      <c r="AQ2604" s="71"/>
      <c r="AR2604" s="71"/>
      <c r="AS2604" s="94"/>
      <c r="AT2604" s="95"/>
      <c r="AU2604" s="97"/>
      <c r="AW2604" s="84">
        <f t="shared" si="3234"/>
        <v>0</v>
      </c>
      <c r="AX2604" s="84">
        <f t="shared" si="3235"/>
        <v>0</v>
      </c>
      <c r="AY2604" s="84">
        <f t="shared" si="3236"/>
        <v>0</v>
      </c>
      <c r="AZ2604" s="84"/>
      <c r="BA2604" s="84"/>
      <c r="BB2604" s="84"/>
      <c r="BC2604" s="84"/>
      <c r="BD2604" s="84"/>
      <c r="BE2604" s="84"/>
      <c r="BF2604" s="84"/>
      <c r="BG2604" s="84"/>
      <c r="BH2604" s="84"/>
      <c r="BI2604" s="68" cm="1">
        <f t="array" ref="BI2604">IFERROR(INDEX(AW2604:BH2604,1,MATCH(2,1/(AW2604:BH2604&lt;&gt;""))),"")</f>
        <v>0</v>
      </c>
      <c r="BJ2604" s="68" cm="1">
        <f t="array" ref="BJ2604">IF(BM2604 = "", "",IFERROR(INDEX(AW2604:BH2604,1,MATCH(2,1/(AW2604:BH2604&lt;&gt;""),1)-1),""))</f>
        <v>0</v>
      </c>
      <c r="BK2604" s="57" cm="1">
        <f t="array" ref="BK2604">IFERROR(INDEX(AW2604:BH2604,1,MATCH(2,1/(AW2604:BH2604&lt;&gt;""),1)),"")</f>
        <v>0</v>
      </c>
      <c r="BL2604" s="57" cm="1">
        <f t="array" ref="BL2604">IF(BM2604 = "", "",IFERROR(INDEX(AW2604:BH2604,1,MATCH(2,1/(AW2604:BH2604&lt;&gt;""),1)-1),""))</f>
        <v>0</v>
      </c>
      <c r="BM2604" s="55" cm="1">
        <f t="array" ref="BM2604">IFERROR(
   INDEX($AW$1:$BH$1,
      _xlfn.AGGREGATE(14, 6, COLUMN($AW$1:$BH$1)/(AW2604:BH2604&lt;&gt;""), 2) - COLUMN($AW$1) + 1
   ),
"")</f>
        <v>46054</v>
      </c>
      <c r="BN2604" s="55" cm="1">
        <f t="array" ref="BN2604">IFERROR(INDEX($AW$1:$BH$1,1,MATCH(2,1/(AW2604:BH2604&lt;&gt;""))),"")</f>
        <v>46082</v>
      </c>
      <c r="BO2604" s="53">
        <f ca="1">IFERROR(_xlfn.XLOOKUP(F2604,Apuração!A:A,Apuração!C:C)/_xlfn.XLOOKUP(F2604,Apuração!A:A,Apuração!B:B),0)</f>
        <v>0</v>
      </c>
      <c r="BP2604" s="53">
        <f ca="1">IFERROR(_xlfn.XLOOKUP(F2604,Apuração!A:A,Apuração!D:D)/_xlfn.XLOOKUP(F2604,Apuração!A:A,Apuração!B:B),0)</f>
        <v>0</v>
      </c>
      <c r="BQ2604" s="53">
        <f ca="1">IF(BK2604&gt;=BO2604,0,_xlfn.XLOOKUP(F2604,Apuração!A:A,Apuração!B:B)*(BO2604 + (1/_xlfn.XLOOKUP(F2604,Apuração!A:A,Apuração!B:B)) - BK2604))</f>
        <v>0</v>
      </c>
      <c r="BR2604" s="85">
        <f t="shared" ca="1" si="3237"/>
        <v>0</v>
      </c>
      <c r="BS2604" s="53">
        <f ca="1">IFERROR((_xlfn.XLOOKUP(F2604,Apuração!A:A,Apuração!C:C)+1)/_xlfn.XLOOKUP(F2604,Apuração!A:A,Apuração!B:B),0)</f>
        <v>0.14285714285714285</v>
      </c>
    </row>
    <row r="2605" spans="1:71" ht="25.95" hidden="1" customHeight="1" x14ac:dyDescent="0.3">
      <c r="A2605" s="35" t="s">
        <v>44</v>
      </c>
      <c r="B2605" s="10" t="s">
        <v>44</v>
      </c>
      <c r="C2605" s="5" t="s">
        <v>97</v>
      </c>
      <c r="D2605" s="5" t="s">
        <v>100</v>
      </c>
      <c r="E2605" s="4" t="str" cm="1">
        <f t="array" ref="E2605">_xlfn.IFS(
F2605 = "A partir de Abril", "Aguardando Execução na Distribuidora",
A2605 = "CAPACITAÇÃO", "Em execução no Corporativo",
TRUE, "Em Execução na Distribuidora"
)</f>
        <v>Em Execução na Distribuidora</v>
      </c>
      <c r="F2605" s="4" t="str" cm="1">
        <f t="array" ref="F2605">_xlfn.IFS(
AG2605 &lt;&gt; "", "Jan-Dez/26",
AH2605 &lt;&gt; "", "Fev-Dez/26",
AI2605 &lt;&gt; "", "Mar-Dez/26", AJ2605 &lt;&gt; "", "Abr-Dez/26",
TRUE, "A partir de Junho"
)</f>
        <v>A partir de Junho</v>
      </c>
      <c r="G2605" s="10" t="s">
        <v>44</v>
      </c>
      <c r="H2605" s="36" t="s">
        <v>44</v>
      </c>
      <c r="I2605" s="37"/>
      <c r="J2605" s="37"/>
      <c r="K2605" s="37"/>
      <c r="L2605" s="37" t="s">
        <v>208</v>
      </c>
      <c r="M2605" s="37"/>
      <c r="N2605" s="5" t="s">
        <v>42</v>
      </c>
      <c r="O2605" s="5" t="s">
        <v>52</v>
      </c>
      <c r="P2605" s="10" t="s">
        <v>44</v>
      </c>
      <c r="Q2605" s="10" t="s">
        <v>44</v>
      </c>
      <c r="R2605" s="11" t="s">
        <v>44</v>
      </c>
      <c r="S2605" s="11" t="s">
        <v>44</v>
      </c>
      <c r="T2605" s="22"/>
      <c r="U2605" s="22"/>
      <c r="V2605" s="22"/>
      <c r="W2605" s="22"/>
      <c r="X2605" s="22"/>
      <c r="Y2605" s="22"/>
      <c r="Z2605" s="22"/>
      <c r="AA2605" s="22"/>
      <c r="AB2605" s="22"/>
      <c r="AC2605" s="22"/>
      <c r="AD2605" s="22"/>
      <c r="AE2605" s="22"/>
      <c r="AG2605" s="112"/>
      <c r="AH2605" s="112"/>
      <c r="AI2605" s="112"/>
      <c r="AJ2605" s="71"/>
      <c r="AK2605" s="71"/>
      <c r="AL2605" s="71"/>
      <c r="AM2605" s="71"/>
      <c r="AN2605" s="71"/>
      <c r="AO2605" s="71"/>
      <c r="AP2605" s="71"/>
      <c r="AQ2605" s="71"/>
      <c r="AR2605" s="71"/>
      <c r="AS2605" s="94"/>
      <c r="AT2605" s="95"/>
      <c r="AU2605" s="97"/>
      <c r="AW2605" s="84">
        <f t="shared" si="3234"/>
        <v>0</v>
      </c>
      <c r="AX2605" s="84">
        <f t="shared" si="3235"/>
        <v>0</v>
      </c>
      <c r="AY2605" s="84">
        <f t="shared" si="3236"/>
        <v>0</v>
      </c>
      <c r="AZ2605" s="84"/>
      <c r="BA2605" s="84"/>
      <c r="BB2605" s="84"/>
      <c r="BC2605" s="84"/>
      <c r="BD2605" s="84"/>
      <c r="BE2605" s="84"/>
      <c r="BF2605" s="84"/>
      <c r="BG2605" s="84"/>
      <c r="BH2605" s="84"/>
      <c r="BI2605" s="68" cm="1">
        <f t="array" ref="BI2605">IFERROR(INDEX(AW2605:BH2605,1,MATCH(2,1/(AW2605:BH2605&lt;&gt;""))),"")</f>
        <v>0</v>
      </c>
      <c r="BJ2605" s="68" cm="1">
        <f t="array" ref="BJ2605">IF(BM2605 = "", "",IFERROR(INDEX(AW2605:BH2605,1,MATCH(2,1/(AW2605:BH2605&lt;&gt;""),1)-1),""))</f>
        <v>0</v>
      </c>
      <c r="BK2605" s="57" cm="1">
        <f t="array" ref="BK2605">IFERROR(INDEX(AW2605:BH2605,1,MATCH(2,1/(AW2605:BH2605&lt;&gt;""),1)),"")</f>
        <v>0</v>
      </c>
      <c r="BL2605" s="57" cm="1">
        <f t="array" ref="BL2605">IF(BM2605 = "", "",IFERROR(INDEX(AW2605:BH2605,1,MATCH(2,1/(AW2605:BH2605&lt;&gt;""),1)-1),""))</f>
        <v>0</v>
      </c>
      <c r="BM2605" s="55" cm="1">
        <f t="array" ref="BM2605">IFERROR(
   INDEX($AW$1:$BH$1,
      _xlfn.AGGREGATE(14, 6, COLUMN($AW$1:$BH$1)/(AW2605:BH2605&lt;&gt;""), 2) - COLUMN($AW$1) + 1
   ),
"")</f>
        <v>46054</v>
      </c>
      <c r="BN2605" s="55" cm="1">
        <f t="array" ref="BN2605">IFERROR(INDEX($AW$1:$BH$1,1,MATCH(2,1/(AW2605:BH2605&lt;&gt;""))),"")</f>
        <v>46082</v>
      </c>
      <c r="BO2605" s="53">
        <f ca="1">IFERROR(_xlfn.XLOOKUP(F2605,Apuração!A:A,Apuração!C:C)/_xlfn.XLOOKUP(F2605,Apuração!A:A,Apuração!B:B),0)</f>
        <v>0</v>
      </c>
      <c r="BP2605" s="53">
        <f ca="1">IFERROR(_xlfn.XLOOKUP(F2605,Apuração!A:A,Apuração!D:D)/_xlfn.XLOOKUP(F2605,Apuração!A:A,Apuração!B:B),0)</f>
        <v>0</v>
      </c>
      <c r="BQ2605" s="53">
        <f ca="1">IF(BK2605&gt;=BO2605,0,_xlfn.XLOOKUP(F2605,Apuração!A:A,Apuração!B:B)*(BO2605 + (1/_xlfn.XLOOKUP(F2605,Apuração!A:A,Apuração!B:B)) - BK2605))</f>
        <v>0</v>
      </c>
      <c r="BR2605" s="85">
        <f t="shared" ca="1" si="3237"/>
        <v>0</v>
      </c>
      <c r="BS2605" s="53">
        <f ca="1">IFERROR((_xlfn.XLOOKUP(F2605,Apuração!A:A,Apuração!C:C)+1)/_xlfn.XLOOKUP(F2605,Apuração!A:A,Apuração!B:B),0)</f>
        <v>0.14285714285714285</v>
      </c>
    </row>
    <row r="2606" spans="1:71" ht="25.95" hidden="1" customHeight="1" x14ac:dyDescent="0.3">
      <c r="A2606" s="35" t="s">
        <v>44</v>
      </c>
      <c r="B2606" s="10" t="s">
        <v>44</v>
      </c>
      <c r="C2606" s="5" t="s">
        <v>97</v>
      </c>
      <c r="D2606" s="5" t="s">
        <v>101</v>
      </c>
      <c r="E2606" s="4" t="str" cm="1">
        <f t="array" ref="E2606">_xlfn.IFS(
F2606 = "A partir de Abril", "Aguardando Execução na Distribuidora",
A2606 = "CAPACITAÇÃO", "Em execução no Corporativo",
TRUE, "Em Execução na Distribuidora"
)</f>
        <v>Em Execução na Distribuidora</v>
      </c>
      <c r="F2606" s="4" t="str" cm="1">
        <f t="array" ref="F2606">_xlfn.IFS(
AG2606 &lt;&gt; "", "Jan-Dez/26",
AH2606 &lt;&gt; "", "Fev-Dez/26",
AI2606 &lt;&gt; "", "Mar-Dez/26", AJ2606 &lt;&gt; "", "Abr-Dez/26",
TRUE, "A partir de Junho"
)</f>
        <v>A partir de Junho</v>
      </c>
      <c r="G2606" s="10" t="s">
        <v>44</v>
      </c>
      <c r="H2606" s="36" t="s">
        <v>44</v>
      </c>
      <c r="I2606" s="37"/>
      <c r="J2606" s="37"/>
      <c r="K2606" s="37"/>
      <c r="L2606" s="37" t="s">
        <v>208</v>
      </c>
      <c r="M2606" s="37"/>
      <c r="N2606" s="5" t="s">
        <v>42</v>
      </c>
      <c r="O2606" s="5" t="s">
        <v>52</v>
      </c>
      <c r="P2606" s="10" t="s">
        <v>44</v>
      </c>
      <c r="Q2606" s="10" t="s">
        <v>44</v>
      </c>
      <c r="R2606" s="11" t="s">
        <v>44</v>
      </c>
      <c r="S2606" s="11" t="s">
        <v>44</v>
      </c>
      <c r="T2606" s="22"/>
      <c r="U2606" s="22"/>
      <c r="V2606" s="22"/>
      <c r="W2606" s="22"/>
      <c r="X2606" s="22"/>
      <c r="Y2606" s="22"/>
      <c r="Z2606" s="22"/>
      <c r="AA2606" s="22"/>
      <c r="AB2606" s="22"/>
      <c r="AC2606" s="22"/>
      <c r="AD2606" s="22"/>
      <c r="AE2606" s="22"/>
      <c r="AG2606" s="112"/>
      <c r="AH2606" s="112"/>
      <c r="AI2606" s="112"/>
      <c r="AJ2606" s="71"/>
      <c r="AK2606" s="71"/>
      <c r="AL2606" s="71"/>
      <c r="AM2606" s="71"/>
      <c r="AN2606" s="71"/>
      <c r="AO2606" s="71"/>
      <c r="AP2606" s="71"/>
      <c r="AQ2606" s="71"/>
      <c r="AR2606" s="71"/>
      <c r="AS2606" s="94"/>
      <c r="AT2606" s="95"/>
      <c r="AU2606" s="97"/>
      <c r="AW2606" s="84">
        <f t="shared" si="3234"/>
        <v>0</v>
      </c>
      <c r="AX2606" s="84">
        <f t="shared" si="3235"/>
        <v>0</v>
      </c>
      <c r="AY2606" s="84">
        <f t="shared" si="3236"/>
        <v>0</v>
      </c>
      <c r="AZ2606" s="84"/>
      <c r="BA2606" s="84"/>
      <c r="BB2606" s="84"/>
      <c r="BC2606" s="84"/>
      <c r="BD2606" s="84"/>
      <c r="BE2606" s="84"/>
      <c r="BF2606" s="84"/>
      <c r="BG2606" s="84"/>
      <c r="BH2606" s="84"/>
      <c r="BI2606" s="68" cm="1">
        <f t="array" ref="BI2606">IFERROR(INDEX(AW2606:BH2606,1,MATCH(2,1/(AW2606:BH2606&lt;&gt;""))),"")</f>
        <v>0</v>
      </c>
      <c r="BJ2606" s="68" cm="1">
        <f t="array" ref="BJ2606">IF(BM2606 = "", "",IFERROR(INDEX(AW2606:BH2606,1,MATCH(2,1/(AW2606:BH2606&lt;&gt;""),1)-1),""))</f>
        <v>0</v>
      </c>
      <c r="BK2606" s="57" cm="1">
        <f t="array" ref="BK2606">IFERROR(INDEX(AW2606:BH2606,1,MATCH(2,1/(AW2606:BH2606&lt;&gt;""),1)),"")</f>
        <v>0</v>
      </c>
      <c r="BL2606" s="57" cm="1">
        <f t="array" ref="BL2606">IF(BM2606 = "", "",IFERROR(INDEX(AW2606:BH2606,1,MATCH(2,1/(AW2606:BH2606&lt;&gt;""),1)-1),""))</f>
        <v>0</v>
      </c>
      <c r="BM2606" s="55" cm="1">
        <f t="array" ref="BM2606">IFERROR(
   INDEX($AW$1:$BH$1,
      _xlfn.AGGREGATE(14, 6, COLUMN($AW$1:$BH$1)/(AW2606:BH2606&lt;&gt;""), 2) - COLUMN($AW$1) + 1
   ),
"")</f>
        <v>46054</v>
      </c>
      <c r="BN2606" s="55" cm="1">
        <f t="array" ref="BN2606">IFERROR(INDEX($AW$1:$BH$1,1,MATCH(2,1/(AW2606:BH2606&lt;&gt;""))),"")</f>
        <v>46082</v>
      </c>
      <c r="BO2606" s="53">
        <f ca="1">IFERROR(_xlfn.XLOOKUP(F2606,Apuração!A:A,Apuração!C:C)/_xlfn.XLOOKUP(F2606,Apuração!A:A,Apuração!B:B),0)</f>
        <v>0</v>
      </c>
      <c r="BP2606" s="53">
        <f ca="1">IFERROR(_xlfn.XLOOKUP(F2606,Apuração!A:A,Apuração!D:D)/_xlfn.XLOOKUP(F2606,Apuração!A:A,Apuração!B:B),0)</f>
        <v>0</v>
      </c>
      <c r="BQ2606" s="53">
        <f ca="1">IF(BK2606&gt;=BO2606,0,_xlfn.XLOOKUP(F2606,Apuração!A:A,Apuração!B:B)*(BO2606 + (1/_xlfn.XLOOKUP(F2606,Apuração!A:A,Apuração!B:B)) - BK2606))</f>
        <v>0</v>
      </c>
      <c r="BR2606" s="85">
        <f t="shared" ca="1" si="3237"/>
        <v>0</v>
      </c>
      <c r="BS2606" s="53">
        <f ca="1">IFERROR((_xlfn.XLOOKUP(F2606,Apuração!A:A,Apuração!C:C)+1)/_xlfn.XLOOKUP(F2606,Apuração!A:A,Apuração!B:B),0)</f>
        <v>0.14285714285714285</v>
      </c>
    </row>
    <row r="2607" spans="1:71" ht="25.95" hidden="1" customHeight="1" x14ac:dyDescent="0.3">
      <c r="A2607" s="35" t="s">
        <v>44</v>
      </c>
      <c r="B2607" s="10" t="s">
        <v>44</v>
      </c>
      <c r="C2607" s="5" t="s">
        <v>97</v>
      </c>
      <c r="D2607" s="5" t="s">
        <v>102</v>
      </c>
      <c r="E2607" s="4" t="str" cm="1">
        <f t="array" ref="E2607">_xlfn.IFS(
F2607 = "A partir de Abril", "Aguardando Execução na Distribuidora",
A2607 = "CAPACITAÇÃO", "Em execução no Corporativo",
TRUE, "Em Execução na Distribuidora"
)</f>
        <v>Em Execução na Distribuidora</v>
      </c>
      <c r="F2607" s="4" t="str" cm="1">
        <f t="array" ref="F2607">_xlfn.IFS(
AG2607 &lt;&gt; "", "Jan-Dez/26",
AH2607 &lt;&gt; "", "Fev-Dez/26",
AI2607 &lt;&gt; "", "Mar-Dez/26", AJ2607 &lt;&gt; "", "Abr-Dez/26",
TRUE, "A partir de Junho"
)</f>
        <v>A partir de Junho</v>
      </c>
      <c r="G2607" s="10" t="s">
        <v>44</v>
      </c>
      <c r="H2607" s="36" t="s">
        <v>44</v>
      </c>
      <c r="I2607" s="37"/>
      <c r="J2607" s="37"/>
      <c r="K2607" s="37"/>
      <c r="L2607" s="37" t="s">
        <v>208</v>
      </c>
      <c r="M2607" s="37"/>
      <c r="N2607" s="5" t="s">
        <v>42</v>
      </c>
      <c r="O2607" s="5" t="s">
        <v>52</v>
      </c>
      <c r="P2607" s="10" t="s">
        <v>44</v>
      </c>
      <c r="Q2607" s="10" t="s">
        <v>44</v>
      </c>
      <c r="R2607" s="11" t="s">
        <v>44</v>
      </c>
      <c r="S2607" s="11" t="s">
        <v>44</v>
      </c>
      <c r="T2607" s="22"/>
      <c r="U2607" s="22"/>
      <c r="V2607" s="22"/>
      <c r="W2607" s="22"/>
      <c r="X2607" s="22"/>
      <c r="Y2607" s="22"/>
      <c r="Z2607" s="22"/>
      <c r="AA2607" s="22"/>
      <c r="AB2607" s="22"/>
      <c r="AC2607" s="22"/>
      <c r="AD2607" s="22"/>
      <c r="AE2607" s="22"/>
      <c r="AG2607" s="112"/>
      <c r="AH2607" s="112"/>
      <c r="AI2607" s="112"/>
      <c r="AJ2607" s="71"/>
      <c r="AK2607" s="71"/>
      <c r="AL2607" s="71"/>
      <c r="AM2607" s="71"/>
      <c r="AN2607" s="71"/>
      <c r="AO2607" s="71"/>
      <c r="AP2607" s="71"/>
      <c r="AQ2607" s="71"/>
      <c r="AR2607" s="71"/>
      <c r="AS2607" s="94"/>
      <c r="AT2607" s="95"/>
      <c r="AU2607" s="97"/>
      <c r="AW2607" s="84">
        <f t="shared" si="3234"/>
        <v>0</v>
      </c>
      <c r="AX2607" s="84">
        <f t="shared" si="3235"/>
        <v>0</v>
      </c>
      <c r="AY2607" s="84">
        <f t="shared" si="3236"/>
        <v>0</v>
      </c>
      <c r="AZ2607" s="84"/>
      <c r="BA2607" s="84"/>
      <c r="BB2607" s="84"/>
      <c r="BC2607" s="84"/>
      <c r="BD2607" s="84"/>
      <c r="BE2607" s="84"/>
      <c r="BF2607" s="84"/>
      <c r="BG2607" s="84"/>
      <c r="BH2607" s="84"/>
      <c r="BI2607" s="68" cm="1">
        <f t="array" ref="BI2607">IFERROR(INDEX(AW2607:BH2607,1,MATCH(2,1/(AW2607:BH2607&lt;&gt;""))),"")</f>
        <v>0</v>
      </c>
      <c r="BJ2607" s="68" cm="1">
        <f t="array" ref="BJ2607">IF(BM2607 = "", "",IFERROR(INDEX(AW2607:BH2607,1,MATCH(2,1/(AW2607:BH2607&lt;&gt;""),1)-1),""))</f>
        <v>0</v>
      </c>
      <c r="BK2607" s="57" cm="1">
        <f t="array" ref="BK2607">IFERROR(INDEX(AW2607:BH2607,1,MATCH(2,1/(AW2607:BH2607&lt;&gt;""),1)),"")</f>
        <v>0</v>
      </c>
      <c r="BL2607" s="57" cm="1">
        <f t="array" ref="BL2607">IF(BM2607 = "", "",IFERROR(INDEX(AW2607:BH2607,1,MATCH(2,1/(AW2607:BH2607&lt;&gt;""),1)-1),""))</f>
        <v>0</v>
      </c>
      <c r="BM2607" s="55" cm="1">
        <f t="array" ref="BM2607">IFERROR(
   INDEX($AW$1:$BH$1,
      _xlfn.AGGREGATE(14, 6, COLUMN($AW$1:$BH$1)/(AW2607:BH2607&lt;&gt;""), 2) - COLUMN($AW$1) + 1
   ),
"")</f>
        <v>46054</v>
      </c>
      <c r="BN2607" s="55" cm="1">
        <f t="array" ref="BN2607">IFERROR(INDEX($AW$1:$BH$1,1,MATCH(2,1/(AW2607:BH2607&lt;&gt;""))),"")</f>
        <v>46082</v>
      </c>
      <c r="BO2607" s="53">
        <f ca="1">IFERROR(_xlfn.XLOOKUP(F2607,Apuração!A:A,Apuração!C:C)/_xlfn.XLOOKUP(F2607,Apuração!A:A,Apuração!B:B),0)</f>
        <v>0</v>
      </c>
      <c r="BP2607" s="53">
        <f ca="1">IFERROR(_xlfn.XLOOKUP(F2607,Apuração!A:A,Apuração!D:D)/_xlfn.XLOOKUP(F2607,Apuração!A:A,Apuração!B:B),0)</f>
        <v>0</v>
      </c>
      <c r="BQ2607" s="53">
        <f ca="1">IF(BK2607&gt;=BO2607,0,_xlfn.XLOOKUP(F2607,Apuração!A:A,Apuração!B:B)*(BO2607 + (1/_xlfn.XLOOKUP(F2607,Apuração!A:A,Apuração!B:B)) - BK2607))</f>
        <v>0</v>
      </c>
      <c r="BR2607" s="85">
        <f t="shared" ca="1" si="3237"/>
        <v>0</v>
      </c>
      <c r="BS2607" s="53">
        <f ca="1">IFERROR((_xlfn.XLOOKUP(F2607,Apuração!A:A,Apuração!C:C)+1)/_xlfn.XLOOKUP(F2607,Apuração!A:A,Apuração!B:B),0)</f>
        <v>0.14285714285714285</v>
      </c>
    </row>
    <row r="2608" spans="1:71" ht="25.95" hidden="1" customHeight="1" x14ac:dyDescent="0.3">
      <c r="A2608" s="35" t="s">
        <v>44</v>
      </c>
      <c r="B2608" s="10" t="s">
        <v>44</v>
      </c>
      <c r="C2608" s="5" t="s">
        <v>97</v>
      </c>
      <c r="D2608" s="5" t="s">
        <v>103</v>
      </c>
      <c r="E2608" s="4" t="str" cm="1">
        <f t="array" ref="E2608">_xlfn.IFS(
F2608 = "A partir de Abril", "Aguardando Execução na Distribuidora",
A2608 = "CAPACITAÇÃO", "Em execução no Corporativo",
TRUE, "Em Execução na Distribuidora"
)</f>
        <v>Em Execução na Distribuidora</v>
      </c>
      <c r="F2608" s="4" t="str" cm="1">
        <f t="array" ref="F2608">_xlfn.IFS(
AG2608 &lt;&gt; "", "Jan-Dez/26",
AH2608 &lt;&gt; "", "Fev-Dez/26",
AI2608 &lt;&gt; "", "Mar-Dez/26", AJ2608 &lt;&gt; "", "Abr-Dez/26",
TRUE, "A partir de Junho"
)</f>
        <v>A partir de Junho</v>
      </c>
      <c r="G2608" s="10" t="s">
        <v>44</v>
      </c>
      <c r="H2608" s="36" t="s">
        <v>44</v>
      </c>
      <c r="I2608" s="37"/>
      <c r="J2608" s="37"/>
      <c r="K2608" s="37"/>
      <c r="L2608" s="37" t="s">
        <v>208</v>
      </c>
      <c r="M2608" s="37"/>
      <c r="N2608" s="5" t="s">
        <v>42</v>
      </c>
      <c r="O2608" s="5" t="s">
        <v>52</v>
      </c>
      <c r="P2608" s="10" t="s">
        <v>44</v>
      </c>
      <c r="Q2608" s="10" t="s">
        <v>44</v>
      </c>
      <c r="R2608" s="11" t="s">
        <v>44</v>
      </c>
      <c r="S2608" s="11" t="s">
        <v>44</v>
      </c>
      <c r="T2608" s="22"/>
      <c r="U2608" s="22"/>
      <c r="V2608" s="22"/>
      <c r="W2608" s="22"/>
      <c r="X2608" s="22"/>
      <c r="Y2608" s="22"/>
      <c r="Z2608" s="22"/>
      <c r="AA2608" s="22"/>
      <c r="AB2608" s="22"/>
      <c r="AC2608" s="22"/>
      <c r="AD2608" s="22"/>
      <c r="AE2608" s="22"/>
      <c r="AG2608" s="112"/>
      <c r="AH2608" s="112"/>
      <c r="AI2608" s="112"/>
      <c r="AJ2608" s="71"/>
      <c r="AK2608" s="71"/>
      <c r="AL2608" s="71"/>
      <c r="AM2608" s="71"/>
      <c r="AN2608" s="71"/>
      <c r="AO2608" s="71"/>
      <c r="AP2608" s="71"/>
      <c r="AQ2608" s="71"/>
      <c r="AR2608" s="71"/>
      <c r="AS2608" s="94"/>
      <c r="AT2608" s="95"/>
      <c r="AU2608" s="97"/>
      <c r="AW2608" s="84">
        <f t="shared" si="3234"/>
        <v>0</v>
      </c>
      <c r="AX2608" s="84">
        <f t="shared" si="3235"/>
        <v>0</v>
      </c>
      <c r="AY2608" s="84">
        <f t="shared" si="3236"/>
        <v>0</v>
      </c>
      <c r="AZ2608" s="84"/>
      <c r="BA2608" s="84"/>
      <c r="BB2608" s="84"/>
      <c r="BC2608" s="84"/>
      <c r="BD2608" s="84"/>
      <c r="BE2608" s="84"/>
      <c r="BF2608" s="84"/>
      <c r="BG2608" s="84"/>
      <c r="BH2608" s="84"/>
      <c r="BI2608" s="68" cm="1">
        <f t="array" ref="BI2608">IFERROR(INDEX(AW2608:BH2608,1,MATCH(2,1/(AW2608:BH2608&lt;&gt;""))),"")</f>
        <v>0</v>
      </c>
      <c r="BJ2608" s="68" cm="1">
        <f t="array" ref="BJ2608">IF(BM2608 = "", "",IFERROR(INDEX(AW2608:BH2608,1,MATCH(2,1/(AW2608:BH2608&lt;&gt;""),1)-1),""))</f>
        <v>0</v>
      </c>
      <c r="BK2608" s="57" cm="1">
        <f t="array" ref="BK2608">IFERROR(INDEX(AW2608:BH2608,1,MATCH(2,1/(AW2608:BH2608&lt;&gt;""),1)),"")</f>
        <v>0</v>
      </c>
      <c r="BL2608" s="57" cm="1">
        <f t="array" ref="BL2608">IF(BM2608 = "", "",IFERROR(INDEX(AW2608:BH2608,1,MATCH(2,1/(AW2608:BH2608&lt;&gt;""),1)-1),""))</f>
        <v>0</v>
      </c>
      <c r="BM2608" s="55" cm="1">
        <f t="array" ref="BM2608">IFERROR(
   INDEX($AW$1:$BH$1,
      _xlfn.AGGREGATE(14, 6, COLUMN($AW$1:$BH$1)/(AW2608:BH2608&lt;&gt;""), 2) - COLUMN($AW$1) + 1
   ),
"")</f>
        <v>46054</v>
      </c>
      <c r="BN2608" s="55" cm="1">
        <f t="array" ref="BN2608">IFERROR(INDEX($AW$1:$BH$1,1,MATCH(2,1/(AW2608:BH2608&lt;&gt;""))),"")</f>
        <v>46082</v>
      </c>
      <c r="BO2608" s="53">
        <f ca="1">IFERROR(_xlfn.XLOOKUP(F2608,Apuração!A:A,Apuração!C:C)/_xlfn.XLOOKUP(F2608,Apuração!A:A,Apuração!B:B),0)</f>
        <v>0</v>
      </c>
      <c r="BP2608" s="53">
        <f ca="1">IFERROR(_xlfn.XLOOKUP(F2608,Apuração!A:A,Apuração!D:D)/_xlfn.XLOOKUP(F2608,Apuração!A:A,Apuração!B:B),0)</f>
        <v>0</v>
      </c>
      <c r="BQ2608" s="53">
        <f ca="1">IF(BK2608&gt;=BO2608,0,_xlfn.XLOOKUP(F2608,Apuração!A:A,Apuração!B:B)*(BO2608 + (1/_xlfn.XLOOKUP(F2608,Apuração!A:A,Apuração!B:B)) - BK2608))</f>
        <v>0</v>
      </c>
      <c r="BR2608" s="85">
        <f t="shared" ca="1" si="3237"/>
        <v>0</v>
      </c>
      <c r="BS2608" s="53">
        <f ca="1">IFERROR((_xlfn.XLOOKUP(F2608,Apuração!A:A,Apuração!C:C)+1)/_xlfn.XLOOKUP(F2608,Apuração!A:A,Apuração!B:B),0)</f>
        <v>0.14285714285714285</v>
      </c>
    </row>
    <row r="2609" spans="1:71" ht="25.95" hidden="1" customHeight="1" x14ac:dyDescent="0.3">
      <c r="A2609" s="35" t="s">
        <v>44</v>
      </c>
      <c r="B2609" s="10" t="s">
        <v>44</v>
      </c>
      <c r="C2609" s="5" t="s">
        <v>97</v>
      </c>
      <c r="D2609" s="5" t="s">
        <v>104</v>
      </c>
      <c r="E2609" s="4" t="str" cm="1">
        <f t="array" ref="E2609">_xlfn.IFS(
F2609 = "A partir de Abril", "Aguardando Execução na Distribuidora",
A2609 = "CAPACITAÇÃO", "Em execução no Corporativo",
TRUE, "Em Execução na Distribuidora"
)</f>
        <v>Em Execução na Distribuidora</v>
      </c>
      <c r="F2609" s="4" t="str" cm="1">
        <f t="array" ref="F2609">_xlfn.IFS(
AG2609 &lt;&gt; "", "Jan-Dez/26",
AH2609 &lt;&gt; "", "Fev-Dez/26",
AI2609 &lt;&gt; "", "Mar-Dez/26", AJ2609 &lt;&gt; "", "Abr-Dez/26",
TRUE, "A partir de Junho"
)</f>
        <v>A partir de Junho</v>
      </c>
      <c r="G2609" s="10" t="s">
        <v>44</v>
      </c>
      <c r="H2609" s="36" t="s">
        <v>44</v>
      </c>
      <c r="I2609" s="37"/>
      <c r="J2609" s="37"/>
      <c r="K2609" s="37"/>
      <c r="L2609" s="37" t="s">
        <v>208</v>
      </c>
      <c r="M2609" s="37"/>
      <c r="N2609" s="5" t="s">
        <v>42</v>
      </c>
      <c r="O2609" s="5" t="s">
        <v>52</v>
      </c>
      <c r="P2609" s="10" t="s">
        <v>44</v>
      </c>
      <c r="Q2609" s="10" t="s">
        <v>44</v>
      </c>
      <c r="R2609" s="11" t="s">
        <v>44</v>
      </c>
      <c r="S2609" s="11" t="s">
        <v>44</v>
      </c>
      <c r="T2609" s="22"/>
      <c r="U2609" s="22"/>
      <c r="V2609" s="22"/>
      <c r="W2609" s="22"/>
      <c r="X2609" s="22"/>
      <c r="Y2609" s="22"/>
      <c r="Z2609" s="22"/>
      <c r="AA2609" s="22"/>
      <c r="AB2609" s="22"/>
      <c r="AC2609" s="22"/>
      <c r="AD2609" s="22"/>
      <c r="AE2609" s="22"/>
      <c r="AG2609" s="112"/>
      <c r="AH2609" s="112"/>
      <c r="AI2609" s="112"/>
      <c r="AJ2609" s="71"/>
      <c r="AK2609" s="71"/>
      <c r="AL2609" s="71"/>
      <c r="AM2609" s="71"/>
      <c r="AN2609" s="71"/>
      <c r="AO2609" s="71"/>
      <c r="AP2609" s="71"/>
      <c r="AQ2609" s="71"/>
      <c r="AR2609" s="71"/>
      <c r="AS2609" s="94"/>
      <c r="AT2609" s="95"/>
      <c r="AU2609" s="97"/>
      <c r="AW2609" s="84">
        <f t="shared" si="3234"/>
        <v>0</v>
      </c>
      <c r="AX2609" s="84">
        <f t="shared" si="3235"/>
        <v>0</v>
      </c>
      <c r="AY2609" s="84">
        <f t="shared" si="3236"/>
        <v>0</v>
      </c>
      <c r="AZ2609" s="84"/>
      <c r="BA2609" s="84"/>
      <c r="BB2609" s="84"/>
      <c r="BC2609" s="84"/>
      <c r="BD2609" s="84"/>
      <c r="BE2609" s="84"/>
      <c r="BF2609" s="84"/>
      <c r="BG2609" s="84"/>
      <c r="BH2609" s="84"/>
      <c r="BI2609" s="68" cm="1">
        <f t="array" ref="BI2609">IFERROR(INDEX(AW2609:BH2609,1,MATCH(2,1/(AW2609:BH2609&lt;&gt;""))),"")</f>
        <v>0</v>
      </c>
      <c r="BJ2609" s="68" cm="1">
        <f t="array" ref="BJ2609">IF(BM2609 = "", "",IFERROR(INDEX(AW2609:BH2609,1,MATCH(2,1/(AW2609:BH2609&lt;&gt;""),1)-1),""))</f>
        <v>0</v>
      </c>
      <c r="BK2609" s="57" cm="1">
        <f t="array" ref="BK2609">IFERROR(INDEX(AW2609:BH2609,1,MATCH(2,1/(AW2609:BH2609&lt;&gt;""),1)),"")</f>
        <v>0</v>
      </c>
      <c r="BL2609" s="57" cm="1">
        <f t="array" ref="BL2609">IF(BM2609 = "", "",IFERROR(INDEX(AW2609:BH2609,1,MATCH(2,1/(AW2609:BH2609&lt;&gt;""),1)-1),""))</f>
        <v>0</v>
      </c>
      <c r="BM2609" s="55" cm="1">
        <f t="array" ref="BM2609">IFERROR(
   INDEX($AW$1:$BH$1,
      _xlfn.AGGREGATE(14, 6, COLUMN($AW$1:$BH$1)/(AW2609:BH2609&lt;&gt;""), 2) - COLUMN($AW$1) + 1
   ),
"")</f>
        <v>46054</v>
      </c>
      <c r="BN2609" s="55" cm="1">
        <f t="array" ref="BN2609">IFERROR(INDEX($AW$1:$BH$1,1,MATCH(2,1/(AW2609:BH2609&lt;&gt;""))),"")</f>
        <v>46082</v>
      </c>
      <c r="BO2609" s="53">
        <f ca="1">IFERROR(_xlfn.XLOOKUP(F2609,Apuração!A:A,Apuração!C:C)/_xlfn.XLOOKUP(F2609,Apuração!A:A,Apuração!B:B),0)</f>
        <v>0</v>
      </c>
      <c r="BP2609" s="53">
        <f ca="1">IFERROR(_xlfn.XLOOKUP(F2609,Apuração!A:A,Apuração!D:D)/_xlfn.XLOOKUP(F2609,Apuração!A:A,Apuração!B:B),0)</f>
        <v>0</v>
      </c>
      <c r="BQ2609" s="53">
        <f ca="1">IF(BK2609&gt;=BO2609,0,_xlfn.XLOOKUP(F2609,Apuração!A:A,Apuração!B:B)*(BO2609 + (1/_xlfn.XLOOKUP(F2609,Apuração!A:A,Apuração!B:B)) - BK2609))</f>
        <v>0</v>
      </c>
      <c r="BR2609" s="85">
        <f t="shared" ca="1" si="3237"/>
        <v>0</v>
      </c>
      <c r="BS2609" s="53">
        <f ca="1">IFERROR((_xlfn.XLOOKUP(F2609,Apuração!A:A,Apuração!C:C)+1)/_xlfn.XLOOKUP(F2609,Apuração!A:A,Apuração!B:B),0)</f>
        <v>0.14285714285714285</v>
      </c>
    </row>
    <row r="2610" spans="1:71" ht="25.95" hidden="1" customHeight="1" x14ac:dyDescent="0.3">
      <c r="A2610" s="35" t="s">
        <v>44</v>
      </c>
      <c r="B2610" s="10" t="s">
        <v>44</v>
      </c>
      <c r="C2610" s="5" t="s">
        <v>97</v>
      </c>
      <c r="D2610" s="5" t="s">
        <v>105</v>
      </c>
      <c r="E2610" s="4" t="str" cm="1">
        <f t="array" ref="E2610">_xlfn.IFS(
F2610 = "A partir de Abril", "Aguardando Execução na Distribuidora",
A2610 = "CAPACITAÇÃO", "Em execução no Corporativo",
TRUE, "Em Execução na Distribuidora"
)</f>
        <v>Em Execução na Distribuidora</v>
      </c>
      <c r="F2610" s="4" t="str" cm="1">
        <f t="array" ref="F2610">_xlfn.IFS(
AG2610 &lt;&gt; "", "Jan-Dez/26",
AH2610 &lt;&gt; "", "Fev-Dez/26",
AI2610 &lt;&gt; "", "Mar-Dez/26", AJ2610 &lt;&gt; "", "Abr-Dez/26",
TRUE, "A partir de Junho"
)</f>
        <v>A partir de Junho</v>
      </c>
      <c r="G2610" s="10" t="s">
        <v>44</v>
      </c>
      <c r="H2610" s="36" t="s">
        <v>44</v>
      </c>
      <c r="I2610" s="37"/>
      <c r="J2610" s="37"/>
      <c r="K2610" s="37"/>
      <c r="L2610" s="37" t="s">
        <v>208</v>
      </c>
      <c r="M2610" s="37"/>
      <c r="N2610" s="5" t="s">
        <v>42</v>
      </c>
      <c r="O2610" s="5" t="s">
        <v>52</v>
      </c>
      <c r="P2610" s="10" t="s">
        <v>44</v>
      </c>
      <c r="Q2610" s="10" t="s">
        <v>44</v>
      </c>
      <c r="R2610" s="11" t="s">
        <v>44</v>
      </c>
      <c r="S2610" s="11" t="s">
        <v>44</v>
      </c>
      <c r="T2610" s="22"/>
      <c r="U2610" s="22"/>
      <c r="V2610" s="22"/>
      <c r="W2610" s="22"/>
      <c r="X2610" s="22"/>
      <c r="Y2610" s="22"/>
      <c r="Z2610" s="22"/>
      <c r="AA2610" s="22"/>
      <c r="AB2610" s="22"/>
      <c r="AC2610" s="22"/>
      <c r="AD2610" s="22"/>
      <c r="AE2610" s="22"/>
      <c r="AG2610" s="112"/>
      <c r="AH2610" s="112"/>
      <c r="AI2610" s="112"/>
      <c r="AJ2610" s="71"/>
      <c r="AK2610" s="71"/>
      <c r="AL2610" s="71"/>
      <c r="AM2610" s="71"/>
      <c r="AN2610" s="71"/>
      <c r="AO2610" s="71"/>
      <c r="AP2610" s="71"/>
      <c r="AQ2610" s="71"/>
      <c r="AR2610" s="71"/>
      <c r="AS2610" s="94"/>
      <c r="AT2610" s="95"/>
      <c r="AU2610" s="97"/>
      <c r="AW2610" s="84">
        <f t="shared" si="3234"/>
        <v>0</v>
      </c>
      <c r="AX2610" s="84">
        <f t="shared" si="3235"/>
        <v>0</v>
      </c>
      <c r="AY2610" s="84">
        <f t="shared" si="3236"/>
        <v>0</v>
      </c>
      <c r="AZ2610" s="84"/>
      <c r="BA2610" s="84"/>
      <c r="BB2610" s="84"/>
      <c r="BC2610" s="84"/>
      <c r="BD2610" s="84"/>
      <c r="BE2610" s="84"/>
      <c r="BF2610" s="84"/>
      <c r="BG2610" s="84"/>
      <c r="BH2610" s="84"/>
      <c r="BI2610" s="68" cm="1">
        <f t="array" ref="BI2610">IFERROR(INDEX(AW2610:BH2610,1,MATCH(2,1/(AW2610:BH2610&lt;&gt;""))),"")</f>
        <v>0</v>
      </c>
      <c r="BJ2610" s="68" cm="1">
        <f t="array" ref="BJ2610">IF(BM2610 = "", "",IFERROR(INDEX(AW2610:BH2610,1,MATCH(2,1/(AW2610:BH2610&lt;&gt;""),1)-1),""))</f>
        <v>0</v>
      </c>
      <c r="BK2610" s="57" cm="1">
        <f t="array" ref="BK2610">IFERROR(INDEX(AW2610:BH2610,1,MATCH(2,1/(AW2610:BH2610&lt;&gt;""),1)),"")</f>
        <v>0</v>
      </c>
      <c r="BL2610" s="57" cm="1">
        <f t="array" ref="BL2610">IF(BM2610 = "", "",IFERROR(INDEX(AW2610:BH2610,1,MATCH(2,1/(AW2610:BH2610&lt;&gt;""),1)-1),""))</f>
        <v>0</v>
      </c>
      <c r="BM2610" s="55" cm="1">
        <f t="array" ref="BM2610">IFERROR(
   INDEX($AW$1:$BH$1,
      _xlfn.AGGREGATE(14, 6, COLUMN($AW$1:$BH$1)/(AW2610:BH2610&lt;&gt;""), 2) - COLUMN($AW$1) + 1
   ),
"")</f>
        <v>46054</v>
      </c>
      <c r="BN2610" s="55" cm="1">
        <f t="array" ref="BN2610">IFERROR(INDEX($AW$1:$BH$1,1,MATCH(2,1/(AW2610:BH2610&lt;&gt;""))),"")</f>
        <v>46082</v>
      </c>
      <c r="BO2610" s="53">
        <f ca="1">IFERROR(_xlfn.XLOOKUP(F2610,Apuração!A:A,Apuração!C:C)/_xlfn.XLOOKUP(F2610,Apuração!A:A,Apuração!B:B),0)</f>
        <v>0</v>
      </c>
      <c r="BP2610" s="53">
        <f ca="1">IFERROR(_xlfn.XLOOKUP(F2610,Apuração!A:A,Apuração!D:D)/_xlfn.XLOOKUP(F2610,Apuração!A:A,Apuração!B:B),0)</f>
        <v>0</v>
      </c>
      <c r="BQ2610" s="53">
        <f ca="1">IF(BK2610&gt;=BO2610,0,_xlfn.XLOOKUP(F2610,Apuração!A:A,Apuração!B:B)*(BO2610 + (1/_xlfn.XLOOKUP(F2610,Apuração!A:A,Apuração!B:B)) - BK2610))</f>
        <v>0</v>
      </c>
      <c r="BR2610" s="85">
        <f t="shared" ca="1" si="3237"/>
        <v>0</v>
      </c>
      <c r="BS2610" s="53">
        <f ca="1">IFERROR((_xlfn.XLOOKUP(F2610,Apuração!A:A,Apuração!C:C)+1)/_xlfn.XLOOKUP(F2610,Apuração!A:A,Apuração!B:B),0)</f>
        <v>0.14285714285714285</v>
      </c>
    </row>
    <row r="2611" spans="1:71" ht="25.95" hidden="1" customHeight="1" x14ac:dyDescent="0.3">
      <c r="A2611" s="35" t="s">
        <v>44</v>
      </c>
      <c r="B2611" s="10" t="s">
        <v>44</v>
      </c>
      <c r="C2611" s="5" t="s">
        <v>97</v>
      </c>
      <c r="D2611" s="5" t="s">
        <v>106</v>
      </c>
      <c r="E2611" s="4" t="str" cm="1">
        <f t="array" ref="E2611">_xlfn.IFS(
F2611 = "A partir de Abril", "Aguardando Execução na Distribuidora",
A2611 = "CAPACITAÇÃO", "Em execução no Corporativo",
TRUE, "Em Execução na Distribuidora"
)</f>
        <v>Em Execução na Distribuidora</v>
      </c>
      <c r="F2611" s="4" t="str" cm="1">
        <f t="array" ref="F2611">_xlfn.IFS(
AG2611 &lt;&gt; "", "Jan-Dez/26",
AH2611 &lt;&gt; "", "Fev-Dez/26",
AI2611 &lt;&gt; "", "Mar-Dez/26", AJ2611 &lt;&gt; "", "Abr-Dez/26",
TRUE, "A partir de Junho"
)</f>
        <v>A partir de Junho</v>
      </c>
      <c r="G2611" s="10" t="s">
        <v>44</v>
      </c>
      <c r="H2611" s="36" t="s">
        <v>44</v>
      </c>
      <c r="I2611" s="37"/>
      <c r="J2611" s="37"/>
      <c r="K2611" s="37"/>
      <c r="L2611" s="37" t="s">
        <v>208</v>
      </c>
      <c r="M2611" s="37"/>
      <c r="N2611" s="5" t="s">
        <v>42</v>
      </c>
      <c r="O2611" s="5" t="s">
        <v>52</v>
      </c>
      <c r="P2611" s="10" t="s">
        <v>44</v>
      </c>
      <c r="Q2611" s="10" t="s">
        <v>44</v>
      </c>
      <c r="R2611" s="11" t="s">
        <v>44</v>
      </c>
      <c r="S2611" s="11" t="s">
        <v>44</v>
      </c>
      <c r="T2611" s="22"/>
      <c r="U2611" s="22"/>
      <c r="V2611" s="22"/>
      <c r="W2611" s="22"/>
      <c r="X2611" s="22"/>
      <c r="Y2611" s="22"/>
      <c r="Z2611" s="22"/>
      <c r="AA2611" s="22"/>
      <c r="AB2611" s="22"/>
      <c r="AC2611" s="22"/>
      <c r="AD2611" s="22"/>
      <c r="AE2611" s="22"/>
      <c r="AG2611" s="112"/>
      <c r="AH2611" s="112"/>
      <c r="AI2611" s="112"/>
      <c r="AJ2611" s="71"/>
      <c r="AK2611" s="71"/>
      <c r="AL2611" s="71"/>
      <c r="AM2611" s="71"/>
      <c r="AN2611" s="71"/>
      <c r="AO2611" s="71"/>
      <c r="AP2611" s="71"/>
      <c r="AQ2611" s="71"/>
      <c r="AR2611" s="71"/>
      <c r="AS2611" s="94"/>
      <c r="AT2611" s="95"/>
      <c r="AU2611" s="97"/>
      <c r="AW2611" s="84">
        <f t="shared" si="3234"/>
        <v>0</v>
      </c>
      <c r="AX2611" s="84">
        <f t="shared" si="3235"/>
        <v>0</v>
      </c>
      <c r="AY2611" s="84">
        <f t="shared" si="3236"/>
        <v>0</v>
      </c>
      <c r="AZ2611" s="84"/>
      <c r="BA2611" s="84"/>
      <c r="BB2611" s="84"/>
      <c r="BC2611" s="84"/>
      <c r="BD2611" s="84"/>
      <c r="BE2611" s="84"/>
      <c r="BF2611" s="84"/>
      <c r="BG2611" s="84"/>
      <c r="BH2611" s="84"/>
      <c r="BI2611" s="68" cm="1">
        <f t="array" ref="BI2611">IFERROR(INDEX(AW2611:BH2611,1,MATCH(2,1/(AW2611:BH2611&lt;&gt;""))),"")</f>
        <v>0</v>
      </c>
      <c r="BJ2611" s="68" cm="1">
        <f t="array" ref="BJ2611">IF(BM2611 = "", "",IFERROR(INDEX(AW2611:BH2611,1,MATCH(2,1/(AW2611:BH2611&lt;&gt;""),1)-1),""))</f>
        <v>0</v>
      </c>
      <c r="BK2611" s="57" cm="1">
        <f t="array" ref="BK2611">IFERROR(INDEX(AW2611:BH2611,1,MATCH(2,1/(AW2611:BH2611&lt;&gt;""),1)),"")</f>
        <v>0</v>
      </c>
      <c r="BL2611" s="57" cm="1">
        <f t="array" ref="BL2611">IF(BM2611 = "", "",IFERROR(INDEX(AW2611:BH2611,1,MATCH(2,1/(AW2611:BH2611&lt;&gt;""),1)-1),""))</f>
        <v>0</v>
      </c>
      <c r="BM2611" s="55" cm="1">
        <f t="array" ref="BM2611">IFERROR(
   INDEX($AW$1:$BH$1,
      _xlfn.AGGREGATE(14, 6, COLUMN($AW$1:$BH$1)/(AW2611:BH2611&lt;&gt;""), 2) - COLUMN($AW$1) + 1
   ),
"")</f>
        <v>46054</v>
      </c>
      <c r="BN2611" s="55" cm="1">
        <f t="array" ref="BN2611">IFERROR(INDEX($AW$1:$BH$1,1,MATCH(2,1/(AW2611:BH2611&lt;&gt;""))),"")</f>
        <v>46082</v>
      </c>
      <c r="BO2611" s="53">
        <f ca="1">IFERROR(_xlfn.XLOOKUP(F2611,Apuração!A:A,Apuração!C:C)/_xlfn.XLOOKUP(F2611,Apuração!A:A,Apuração!B:B),0)</f>
        <v>0</v>
      </c>
      <c r="BP2611" s="53">
        <f ca="1">IFERROR(_xlfn.XLOOKUP(F2611,Apuração!A:A,Apuração!D:D)/_xlfn.XLOOKUP(F2611,Apuração!A:A,Apuração!B:B),0)</f>
        <v>0</v>
      </c>
      <c r="BQ2611" s="53">
        <f ca="1">IF(BK2611&gt;=BO2611,0,_xlfn.XLOOKUP(F2611,Apuração!A:A,Apuração!B:B)*(BO2611 + (1/_xlfn.XLOOKUP(F2611,Apuração!A:A,Apuração!B:B)) - BK2611))</f>
        <v>0</v>
      </c>
      <c r="BR2611" s="85">
        <f t="shared" ca="1" si="3237"/>
        <v>0</v>
      </c>
      <c r="BS2611" s="53">
        <f ca="1">IFERROR((_xlfn.XLOOKUP(F2611,Apuração!A:A,Apuração!C:C)+1)/_xlfn.XLOOKUP(F2611,Apuração!A:A,Apuração!B:B),0)</f>
        <v>0.14285714285714285</v>
      </c>
    </row>
    <row r="2612" spans="1:71" ht="25.95" hidden="1" customHeight="1" x14ac:dyDescent="0.3">
      <c r="A2612" s="35" t="s">
        <v>44</v>
      </c>
      <c r="B2612" s="10" t="s">
        <v>44</v>
      </c>
      <c r="C2612" s="5" t="s">
        <v>97</v>
      </c>
      <c r="D2612" s="5" t="s">
        <v>107</v>
      </c>
      <c r="E2612" s="4" t="str" cm="1">
        <f t="array" ref="E2612">_xlfn.IFS(
F2612 = "A partir de Abril", "Aguardando Execução na Distribuidora",
A2612 = "CAPACITAÇÃO", "Em execução no Corporativo",
TRUE, "Em Execução na Distribuidora"
)</f>
        <v>Em Execução na Distribuidora</v>
      </c>
      <c r="F2612" s="4" t="str" cm="1">
        <f t="array" ref="F2612">_xlfn.IFS(
AG2612 &lt;&gt; "", "Jan-Dez/26",
AH2612 &lt;&gt; "", "Fev-Dez/26",
AI2612 &lt;&gt; "", "Mar-Dez/26", AJ2612 &lt;&gt; "", "Abr-Dez/26",
TRUE, "A partir de Junho"
)</f>
        <v>A partir de Junho</v>
      </c>
      <c r="G2612" s="10" t="s">
        <v>44</v>
      </c>
      <c r="H2612" s="36" t="s">
        <v>44</v>
      </c>
      <c r="I2612" s="37"/>
      <c r="J2612" s="37"/>
      <c r="K2612" s="37"/>
      <c r="L2612" s="37" t="s">
        <v>208</v>
      </c>
      <c r="M2612" s="37"/>
      <c r="N2612" s="5" t="s">
        <v>42</v>
      </c>
      <c r="O2612" s="5" t="s">
        <v>52</v>
      </c>
      <c r="P2612" s="10" t="s">
        <v>44</v>
      </c>
      <c r="Q2612" s="10" t="s">
        <v>44</v>
      </c>
      <c r="R2612" s="11" t="s">
        <v>44</v>
      </c>
      <c r="S2612" s="11" t="s">
        <v>44</v>
      </c>
      <c r="T2612" s="22"/>
      <c r="U2612" s="22"/>
      <c r="V2612" s="22"/>
      <c r="W2612" s="22"/>
      <c r="X2612" s="22"/>
      <c r="Y2612" s="22"/>
      <c r="Z2612" s="22"/>
      <c r="AA2612" s="22"/>
      <c r="AB2612" s="22"/>
      <c r="AC2612" s="22"/>
      <c r="AD2612" s="22"/>
      <c r="AE2612" s="22"/>
      <c r="AG2612" s="112"/>
      <c r="AH2612" s="112"/>
      <c r="AI2612" s="112"/>
      <c r="AJ2612" s="71"/>
      <c r="AK2612" s="71"/>
      <c r="AL2612" s="71"/>
      <c r="AM2612" s="71"/>
      <c r="AN2612" s="71"/>
      <c r="AO2612" s="71"/>
      <c r="AP2612" s="71"/>
      <c r="AQ2612" s="71"/>
      <c r="AR2612" s="71"/>
      <c r="AS2612" s="94"/>
      <c r="AT2612" s="95"/>
      <c r="AU2612" s="97"/>
      <c r="AW2612" s="84">
        <f t="shared" si="3234"/>
        <v>0</v>
      </c>
      <c r="AX2612" s="84">
        <f t="shared" si="3235"/>
        <v>0</v>
      </c>
      <c r="AY2612" s="84">
        <f t="shared" si="3236"/>
        <v>0</v>
      </c>
      <c r="AZ2612" s="84"/>
      <c r="BA2612" s="84"/>
      <c r="BB2612" s="84"/>
      <c r="BC2612" s="84"/>
      <c r="BD2612" s="84"/>
      <c r="BE2612" s="84"/>
      <c r="BF2612" s="84"/>
      <c r="BG2612" s="84"/>
      <c r="BH2612" s="84"/>
      <c r="BI2612" s="68" cm="1">
        <f t="array" ref="BI2612">IFERROR(INDEX(AW2612:BH2612,1,MATCH(2,1/(AW2612:BH2612&lt;&gt;""))),"")</f>
        <v>0</v>
      </c>
      <c r="BJ2612" s="68" cm="1">
        <f t="array" ref="BJ2612">IF(BM2612 = "", "",IFERROR(INDEX(AW2612:BH2612,1,MATCH(2,1/(AW2612:BH2612&lt;&gt;""),1)-1),""))</f>
        <v>0</v>
      </c>
      <c r="BK2612" s="57" cm="1">
        <f t="array" ref="BK2612">IFERROR(INDEX(AW2612:BH2612,1,MATCH(2,1/(AW2612:BH2612&lt;&gt;""),1)),"")</f>
        <v>0</v>
      </c>
      <c r="BL2612" s="57" cm="1">
        <f t="array" ref="BL2612">IF(BM2612 = "", "",IFERROR(INDEX(AW2612:BH2612,1,MATCH(2,1/(AW2612:BH2612&lt;&gt;""),1)-1),""))</f>
        <v>0</v>
      </c>
      <c r="BM2612" s="55" cm="1">
        <f t="array" ref="BM2612">IFERROR(
   INDEX($AW$1:$BH$1,
      _xlfn.AGGREGATE(14, 6, COLUMN($AW$1:$BH$1)/(AW2612:BH2612&lt;&gt;""), 2) - COLUMN($AW$1) + 1
   ),
"")</f>
        <v>46054</v>
      </c>
      <c r="BN2612" s="55" cm="1">
        <f t="array" ref="BN2612">IFERROR(INDEX($AW$1:$BH$1,1,MATCH(2,1/(AW2612:BH2612&lt;&gt;""))),"")</f>
        <v>46082</v>
      </c>
      <c r="BO2612" s="53">
        <f ca="1">IFERROR(_xlfn.XLOOKUP(F2612,Apuração!A:A,Apuração!C:C)/_xlfn.XLOOKUP(F2612,Apuração!A:A,Apuração!B:B),0)</f>
        <v>0</v>
      </c>
      <c r="BP2612" s="53">
        <f ca="1">IFERROR(_xlfn.XLOOKUP(F2612,Apuração!A:A,Apuração!D:D)/_xlfn.XLOOKUP(F2612,Apuração!A:A,Apuração!B:B),0)</f>
        <v>0</v>
      </c>
      <c r="BQ2612" s="53">
        <f ca="1">IF(BK2612&gt;=BO2612,0,_xlfn.XLOOKUP(F2612,Apuração!A:A,Apuração!B:B)*(BO2612 + (1/_xlfn.XLOOKUP(F2612,Apuração!A:A,Apuração!B:B)) - BK2612))</f>
        <v>0</v>
      </c>
      <c r="BR2612" s="85">
        <f t="shared" ca="1" si="3237"/>
        <v>0</v>
      </c>
      <c r="BS2612" s="53">
        <f ca="1">IFERROR((_xlfn.XLOOKUP(F2612,Apuração!A:A,Apuração!C:C)+1)/_xlfn.XLOOKUP(F2612,Apuração!A:A,Apuração!B:B),0)</f>
        <v>0.14285714285714285</v>
      </c>
    </row>
    <row r="2613" spans="1:71" ht="25.95" hidden="1" customHeight="1" x14ac:dyDescent="0.3">
      <c r="A2613" s="72" t="s">
        <v>44</v>
      </c>
      <c r="B2613" s="73" t="s">
        <v>44</v>
      </c>
      <c r="C2613" s="74" t="s">
        <v>97</v>
      </c>
      <c r="D2613" s="5" t="s">
        <v>36</v>
      </c>
      <c r="E2613" s="4" t="str" cm="1">
        <f t="array" ref="E2613">_xlfn.IFS(
F2613 = "A partir de Abril", "Aguardando Execução na Distribuidora",
A2613 = "CAPACITAÇÃO", "Em execução no Corporativo",
TRUE, "Em Execução na Distribuidora"
)</f>
        <v>Em Execução na Distribuidora</v>
      </c>
      <c r="F2613" s="4" t="str" cm="1">
        <f t="array" ref="F2613">_xlfn.IFS(
AG2613 &lt;&gt; "", "Jan-Dez/26",
AH2613 &lt;&gt; "", "Fev-Dez/26",
AI2613 &lt;&gt; "", "Mar-Dez/26", AJ2613 &lt;&gt; "", "Abr-Dez/26",
TRUE, "A partir de Junho"
)</f>
        <v>A partir de Junho</v>
      </c>
      <c r="G2613" s="75" t="s">
        <v>44</v>
      </c>
      <c r="H2613" s="76" t="s">
        <v>44</v>
      </c>
      <c r="I2613" s="77"/>
      <c r="J2613" s="77"/>
      <c r="K2613" s="77"/>
      <c r="L2613" s="77" t="s">
        <v>241</v>
      </c>
      <c r="M2613" s="78"/>
      <c r="N2613" s="74" t="s">
        <v>42</v>
      </c>
      <c r="O2613" s="74" t="s">
        <v>52</v>
      </c>
      <c r="P2613" s="75" t="s">
        <v>44</v>
      </c>
      <c r="Q2613" s="75" t="s">
        <v>44</v>
      </c>
      <c r="R2613" s="79" t="s">
        <v>44</v>
      </c>
      <c r="S2613" s="79" t="s">
        <v>44</v>
      </c>
      <c r="T2613" s="22"/>
      <c r="U2613" s="22"/>
      <c r="V2613" s="22"/>
      <c r="W2613" s="22"/>
      <c r="X2613" s="22"/>
      <c r="Y2613" s="22"/>
      <c r="Z2613" s="22"/>
      <c r="AA2613" s="22"/>
      <c r="AB2613" s="22"/>
      <c r="AC2613" s="22"/>
      <c r="AD2613" s="22"/>
      <c r="AE2613" s="22"/>
      <c r="AG2613" s="112"/>
      <c r="AH2613" s="112"/>
      <c r="AI2613" s="112"/>
      <c r="AJ2613" s="112"/>
      <c r="AK2613" s="112"/>
      <c r="AL2613" s="112"/>
      <c r="AM2613" s="112"/>
      <c r="AN2613" s="112"/>
      <c r="AO2613" s="112"/>
      <c r="AP2613" s="112"/>
      <c r="AQ2613" s="112"/>
      <c r="AR2613" s="112"/>
      <c r="AS2613" s="94"/>
      <c r="AT2613" s="95"/>
      <c r="AU2613" s="97"/>
      <c r="AW2613" s="84">
        <f>AG2613</f>
        <v>0</v>
      </c>
      <c r="AX2613" s="84">
        <f t="shared" si="3235"/>
        <v>0</v>
      </c>
      <c r="AY2613" s="84">
        <f t="shared" si="3236"/>
        <v>0</v>
      </c>
      <c r="AZ2613" s="84">
        <f t="shared" ref="AZ2613" si="3238">AJ2613</f>
        <v>0</v>
      </c>
      <c r="BA2613" s="84"/>
      <c r="BB2613" s="84"/>
      <c r="BC2613" s="84"/>
      <c r="BD2613" s="84"/>
      <c r="BE2613" s="84"/>
      <c r="BF2613" s="84"/>
      <c r="BG2613" s="84"/>
      <c r="BH2613" s="84"/>
      <c r="BI2613" s="68" cm="1">
        <f t="array" ref="BI2613">IFERROR(INDEX(AW2613:BH2613,1,MATCH(2,1/(AW2613:BH2613&lt;&gt;""))),"")</f>
        <v>0</v>
      </c>
      <c r="BJ2613" s="68" cm="1">
        <f t="array" ref="BJ2613">IF(BM2613 = "", "",IFERROR(INDEX(AW2613:BH2613,1,MATCH(2,1/(AW2613:BH2613&lt;&gt;""),1)-1),""))</f>
        <v>0</v>
      </c>
      <c r="BK2613" s="57" cm="1">
        <f t="array" ref="BK2613">IFERROR(INDEX(AW2613:BH2613,1,MATCH(2,1/(AW2613:BH2613&lt;&gt;""),1)),"")</f>
        <v>0</v>
      </c>
      <c r="BL2613" s="57" cm="1">
        <f t="array" ref="BL2613">IF(BM2613 = "", "",IFERROR(INDEX(AW2613:BH2613,1,MATCH(2,1/(AW2613:BH2613&lt;&gt;""),1)-1),""))</f>
        <v>0</v>
      </c>
      <c r="BM2613" s="55" cm="1">
        <f t="array" ref="BM2613">IFERROR(
   INDEX($AW$1:$BH$1,
      _xlfn.AGGREGATE(14, 6, COLUMN($AW$1:$BH$1)/(AW2613:BH2613&lt;&gt;""), 2) - COLUMN($AW$1) + 1
   ),
"")</f>
        <v>46082</v>
      </c>
      <c r="BN2613" s="55" cm="1">
        <f t="array" ref="BN2613">IFERROR(INDEX($AW$1:$BH$1,1,MATCH(2,1/(AW2613:BH2613&lt;&gt;""))),"")</f>
        <v>46113</v>
      </c>
      <c r="BO2613" s="53">
        <f ca="1">IFERROR(_xlfn.XLOOKUP(F2613,Apuração!A:A,Apuração!C:C)/_xlfn.XLOOKUP(F2613,Apuração!A:A,Apuração!B:B),0)</f>
        <v>0</v>
      </c>
      <c r="BP2613" s="53">
        <f ca="1">IFERROR(_xlfn.XLOOKUP(F2613,Apuração!A:A,Apuração!D:D)/_xlfn.XLOOKUP(F2613,Apuração!A:A,Apuração!B:B),0)</f>
        <v>0</v>
      </c>
      <c r="BQ2613" s="53">
        <f ca="1">IF(BK2613&gt;=BO2613,0,_xlfn.XLOOKUP(F2613,Apuração!A:A,Apuração!B:B)*(BO2613 + (1/_xlfn.XLOOKUP(F2613,Apuração!A:A,Apuração!B:B)) - BK2613))</f>
        <v>0</v>
      </c>
      <c r="BR2613" s="85">
        <f ca="1">IF(BQ2613=0,0,BQ2613*Z2613)</f>
        <v>0</v>
      </c>
      <c r="BS2613" s="53">
        <f ca="1">IFERROR((_xlfn.XLOOKUP(F2613,Apuração!A:A,Apuração!C:C)+1)/_xlfn.XLOOKUP(F2613,Apuração!A:A,Apuração!B:B),0)</f>
        <v>0.14285714285714285</v>
      </c>
    </row>
    <row r="2614" spans="1:71" ht="25.95" hidden="1" customHeight="1" x14ac:dyDescent="0.3">
      <c r="A2614" s="72" t="s">
        <v>44</v>
      </c>
      <c r="B2614" s="73" t="s">
        <v>44</v>
      </c>
      <c r="C2614" s="74" t="s">
        <v>209</v>
      </c>
      <c r="D2614" s="5" t="s">
        <v>210</v>
      </c>
      <c r="E2614" s="4" t="str" cm="1">
        <f t="array" ref="E2614">_xlfn.IFS(
F2614 = "A partir de Abril", "Aguardando Execução na Distribuidora",
A2614 = "CAPACITAÇÃO", "Em execução no Corporativo",
TRUE, "Em Execução na Distribuidora"
)</f>
        <v>Em Execução na Distribuidora</v>
      </c>
      <c r="F2614" s="4" t="str" cm="1">
        <f t="array" ref="F2614">_xlfn.IFS(
AG2614 &lt;&gt; "", "Jan-Dez/26",
AH2614 &lt;&gt; "", "Fev-Dez/26",
AI2614 &lt;&gt; "", "Mar-Dez/26", AJ2614 &lt;&gt; "", "Abr-Dez/26",
TRUE, "A partir de Junho"
)</f>
        <v>A partir de Junho</v>
      </c>
      <c r="G2614" s="75" t="s">
        <v>44</v>
      </c>
      <c r="H2614" s="76" t="s">
        <v>44</v>
      </c>
      <c r="I2614" s="77"/>
      <c r="J2614" s="77"/>
      <c r="K2614" s="77"/>
      <c r="L2614" s="77" t="s">
        <v>228</v>
      </c>
      <c r="M2614" s="78"/>
      <c r="N2614" s="74" t="s">
        <v>42</v>
      </c>
      <c r="O2614" s="74" t="s">
        <v>52</v>
      </c>
      <c r="P2614" s="75" t="s">
        <v>44</v>
      </c>
      <c r="Q2614" s="75" t="s">
        <v>44</v>
      </c>
      <c r="R2614" s="79" t="s">
        <v>44</v>
      </c>
      <c r="S2614" s="79" t="s">
        <v>44</v>
      </c>
      <c r="T2614" s="22"/>
      <c r="U2614" s="22"/>
      <c r="V2614" s="22"/>
      <c r="W2614" s="22"/>
      <c r="X2614" s="22"/>
      <c r="Y2614" s="22"/>
      <c r="Z2614" s="22"/>
      <c r="AA2614" s="22"/>
      <c r="AB2614" s="22"/>
      <c r="AC2614" s="22"/>
      <c r="AD2614" s="22"/>
      <c r="AE2614" s="22"/>
      <c r="AG2614" s="112"/>
      <c r="AH2614" s="112"/>
      <c r="AI2614" s="112"/>
      <c r="AJ2614" s="71"/>
      <c r="AK2614" s="71"/>
      <c r="AL2614" s="71"/>
      <c r="AM2614" s="71"/>
      <c r="AN2614" s="71"/>
      <c r="AO2614" s="71"/>
      <c r="AP2614" s="71"/>
      <c r="AQ2614" s="71"/>
      <c r="AR2614" s="71"/>
      <c r="AS2614" s="94"/>
      <c r="AT2614" s="95"/>
      <c r="AU2614" s="97"/>
      <c r="AW2614" s="84">
        <f t="shared" ref="AW2614:AW2618" si="3239">AG2614</f>
        <v>0</v>
      </c>
      <c r="AX2614" s="84">
        <f t="shared" ref="AX2614:AX2618" si="3240">AH2614</f>
        <v>0</v>
      </c>
      <c r="AY2614" s="84">
        <f t="shared" ref="AY2614:AY2618" si="3241">AI2614</f>
        <v>0</v>
      </c>
      <c r="AZ2614" s="84"/>
      <c r="BA2614" s="84"/>
      <c r="BB2614" s="84"/>
      <c r="BC2614" s="84"/>
      <c r="BD2614" s="84"/>
      <c r="BE2614" s="84"/>
      <c r="BF2614" s="84"/>
      <c r="BG2614" s="84"/>
      <c r="BH2614" s="84"/>
      <c r="BI2614" s="68" cm="1">
        <f t="array" ref="BI2614">IFERROR(INDEX(AW2614:BH2614,1,MATCH(2,1/(AW2614:BH2614&lt;&gt;""))),"")</f>
        <v>0</v>
      </c>
      <c r="BJ2614" s="68" cm="1">
        <f t="array" ref="BJ2614">IF(BM2614 = "", "",IFERROR(INDEX(AW2614:BH2614,1,MATCH(2,1/(AW2614:BH2614&lt;&gt;""),1)-1),""))</f>
        <v>0</v>
      </c>
      <c r="BK2614" s="57" cm="1">
        <f t="array" ref="BK2614">IFERROR(INDEX(AW2614:BH2614,1,MATCH(2,1/(AW2614:BH2614&lt;&gt;""),1)),"")</f>
        <v>0</v>
      </c>
      <c r="BL2614" s="57" cm="1">
        <f t="array" ref="BL2614">IF(BM2614 = "", "",IFERROR(INDEX(AW2614:BH2614,1,MATCH(2,1/(AW2614:BH2614&lt;&gt;""),1)-1),""))</f>
        <v>0</v>
      </c>
      <c r="BM2614" s="55" cm="1">
        <f t="array" ref="BM2614">IFERROR(
   INDEX($AW$1:$BH$1,
      _xlfn.AGGREGATE(14, 6, COLUMN($AW$1:$BH$1)/(AW2614:BH2614&lt;&gt;""), 2) - COLUMN($AW$1) + 1
   ),
"")</f>
        <v>46054</v>
      </c>
      <c r="BN2614" s="55" cm="1">
        <f t="array" ref="BN2614">IFERROR(INDEX($AW$1:$BH$1,1,MATCH(2,1/(AW2614:BH2614&lt;&gt;""))),"")</f>
        <v>46082</v>
      </c>
      <c r="BO2614" s="53">
        <f ca="1">IFERROR(_xlfn.XLOOKUP(F2614,Apuração!A:A,Apuração!C:C)/_xlfn.XLOOKUP(F2614,Apuração!A:A,Apuração!B:B),0)</f>
        <v>0</v>
      </c>
      <c r="BP2614" s="53">
        <f ca="1">IFERROR(_xlfn.XLOOKUP(F2614,Apuração!A:A,Apuração!D:D)/_xlfn.XLOOKUP(F2614,Apuração!A:A,Apuração!B:B),0)</f>
        <v>0</v>
      </c>
      <c r="BQ2614" s="53">
        <f ca="1">IF(BK2614&gt;=BO2614,0,_xlfn.XLOOKUP(F2614,Apuração!A:A,Apuração!B:B)*(BO2614 + (1/_xlfn.XLOOKUP(F2614,Apuração!A:A,Apuração!B:B)) - BK2614))</f>
        <v>0</v>
      </c>
      <c r="BR2614" s="85">
        <f t="shared" ref="BR2614:BR2618" ca="1" si="3242">IF(BQ2614=0,0,BQ2614*Z2614)</f>
        <v>0</v>
      </c>
      <c r="BS2614" s="53">
        <f ca="1">IFERROR((_xlfn.XLOOKUP(F2614,Apuração!A:A,Apuração!C:C)+1)/_xlfn.XLOOKUP(F2614,Apuração!A:A,Apuração!B:B),0)</f>
        <v>0.14285714285714285</v>
      </c>
    </row>
    <row r="2615" spans="1:71" ht="25.95" hidden="1" customHeight="1" x14ac:dyDescent="0.3">
      <c r="A2615" s="72" t="s">
        <v>44</v>
      </c>
      <c r="B2615" s="73" t="s">
        <v>44</v>
      </c>
      <c r="C2615" s="74" t="s">
        <v>209</v>
      </c>
      <c r="D2615" s="5" t="s">
        <v>47</v>
      </c>
      <c r="E2615" s="4" t="str" cm="1">
        <f t="array" ref="E2615">_xlfn.IFS(
F2615 = "A partir de Abril", "Aguardando Execução na Distribuidora",
A2615 = "CAPACITAÇÃO", "Em execução no Corporativo",
TRUE, "Em Execução na Distribuidora"
)</f>
        <v>Em Execução na Distribuidora</v>
      </c>
      <c r="F2615" s="4" t="str" cm="1">
        <f t="array" ref="F2615">_xlfn.IFS(
AG2615 &lt;&gt; "", "Jan-Dez/26",
AH2615 &lt;&gt; "", "Fev-Dez/26",
AI2615 &lt;&gt; "", "Mar-Dez/26", AJ2615 &lt;&gt; "", "Abr-Dez/26",
TRUE, "A partir de Junho"
)</f>
        <v>A partir de Junho</v>
      </c>
      <c r="G2615" s="75" t="s">
        <v>44</v>
      </c>
      <c r="H2615" s="76" t="s">
        <v>44</v>
      </c>
      <c r="I2615" s="77"/>
      <c r="J2615" s="77"/>
      <c r="K2615" s="77"/>
      <c r="L2615" s="77" t="s">
        <v>228</v>
      </c>
      <c r="M2615" s="78"/>
      <c r="N2615" s="74" t="s">
        <v>42</v>
      </c>
      <c r="O2615" s="74" t="s">
        <v>52</v>
      </c>
      <c r="P2615" s="75" t="s">
        <v>44</v>
      </c>
      <c r="Q2615" s="75" t="s">
        <v>44</v>
      </c>
      <c r="R2615" s="79" t="s">
        <v>44</v>
      </c>
      <c r="S2615" s="79" t="s">
        <v>44</v>
      </c>
      <c r="T2615" s="22"/>
      <c r="U2615" s="22"/>
      <c r="V2615" s="22"/>
      <c r="W2615" s="22"/>
      <c r="X2615" s="22"/>
      <c r="Y2615" s="22"/>
      <c r="Z2615" s="22"/>
      <c r="AA2615" s="22"/>
      <c r="AB2615" s="22"/>
      <c r="AC2615" s="22"/>
      <c r="AD2615" s="22"/>
      <c r="AE2615" s="22"/>
      <c r="AG2615" s="112"/>
      <c r="AH2615" s="112"/>
      <c r="AI2615" s="112"/>
      <c r="AJ2615" s="71"/>
      <c r="AK2615" s="71"/>
      <c r="AL2615" s="71"/>
      <c r="AM2615" s="71"/>
      <c r="AN2615" s="71"/>
      <c r="AO2615" s="71"/>
      <c r="AP2615" s="71"/>
      <c r="AQ2615" s="71"/>
      <c r="AR2615" s="71"/>
      <c r="AS2615" s="94"/>
      <c r="AT2615" s="95"/>
      <c r="AU2615" s="97"/>
      <c r="AW2615" s="84">
        <f t="shared" si="3239"/>
        <v>0</v>
      </c>
      <c r="AX2615" s="84">
        <f t="shared" si="3240"/>
        <v>0</v>
      </c>
      <c r="AY2615" s="84">
        <f t="shared" si="3241"/>
        <v>0</v>
      </c>
      <c r="AZ2615" s="84"/>
      <c r="BA2615" s="84"/>
      <c r="BB2615" s="84"/>
      <c r="BC2615" s="84"/>
      <c r="BD2615" s="84"/>
      <c r="BE2615" s="84"/>
      <c r="BF2615" s="84"/>
      <c r="BG2615" s="84"/>
      <c r="BH2615" s="84"/>
      <c r="BI2615" s="68" cm="1">
        <f t="array" ref="BI2615">IFERROR(INDEX(AW2615:BH2615,1,MATCH(2,1/(AW2615:BH2615&lt;&gt;""))),"")</f>
        <v>0</v>
      </c>
      <c r="BJ2615" s="68" cm="1">
        <f t="array" ref="BJ2615">IF(BM2615 = "", "",IFERROR(INDEX(AW2615:BH2615,1,MATCH(2,1/(AW2615:BH2615&lt;&gt;""),1)-1),""))</f>
        <v>0</v>
      </c>
      <c r="BK2615" s="57" cm="1">
        <f t="array" ref="BK2615">IFERROR(INDEX(AW2615:BH2615,1,MATCH(2,1/(AW2615:BH2615&lt;&gt;""),1)),"")</f>
        <v>0</v>
      </c>
      <c r="BL2615" s="57" cm="1">
        <f t="array" ref="BL2615">IF(BM2615 = "", "",IFERROR(INDEX(AW2615:BH2615,1,MATCH(2,1/(AW2615:BH2615&lt;&gt;""),1)-1),""))</f>
        <v>0</v>
      </c>
      <c r="BM2615" s="55" cm="1">
        <f t="array" ref="BM2615">IFERROR(
   INDEX($AW$1:$BH$1,
      _xlfn.AGGREGATE(14, 6, COLUMN($AW$1:$BH$1)/(AW2615:BH2615&lt;&gt;""), 2) - COLUMN($AW$1) + 1
   ),
"")</f>
        <v>46054</v>
      </c>
      <c r="BN2615" s="55" cm="1">
        <f t="array" ref="BN2615">IFERROR(INDEX($AW$1:$BH$1,1,MATCH(2,1/(AW2615:BH2615&lt;&gt;""))),"")</f>
        <v>46082</v>
      </c>
      <c r="BO2615" s="53">
        <f ca="1">IFERROR(_xlfn.XLOOKUP(F2615,Apuração!A:A,Apuração!C:C)/_xlfn.XLOOKUP(F2615,Apuração!A:A,Apuração!B:B),0)</f>
        <v>0</v>
      </c>
      <c r="BP2615" s="53">
        <f ca="1">IFERROR(_xlfn.XLOOKUP(F2615,Apuração!A:A,Apuração!D:D)/_xlfn.XLOOKUP(F2615,Apuração!A:A,Apuração!B:B),0)</f>
        <v>0</v>
      </c>
      <c r="BQ2615" s="53">
        <f ca="1">IF(BK2615&gt;=BO2615,0,_xlfn.XLOOKUP(F2615,Apuração!A:A,Apuração!B:B)*(BO2615 + (1/_xlfn.XLOOKUP(F2615,Apuração!A:A,Apuração!B:B)) - BK2615))</f>
        <v>0</v>
      </c>
      <c r="BR2615" s="85">
        <f t="shared" ca="1" si="3242"/>
        <v>0</v>
      </c>
      <c r="BS2615" s="53">
        <f ca="1">IFERROR((_xlfn.XLOOKUP(F2615,Apuração!A:A,Apuração!C:C)+1)/_xlfn.XLOOKUP(F2615,Apuração!A:A,Apuração!B:B),0)</f>
        <v>0.14285714285714285</v>
      </c>
    </row>
    <row r="2616" spans="1:71" ht="25.95" hidden="1" customHeight="1" x14ac:dyDescent="0.3">
      <c r="A2616" s="72" t="s">
        <v>44</v>
      </c>
      <c r="B2616" s="73" t="s">
        <v>44</v>
      </c>
      <c r="C2616" s="74" t="s">
        <v>209</v>
      </c>
      <c r="D2616" s="5" t="s">
        <v>211</v>
      </c>
      <c r="E2616" s="4" t="str" cm="1">
        <f t="array" ref="E2616">_xlfn.IFS(
F2616 = "A partir de Abril", "Aguardando Execução na Distribuidora",
A2616 = "CAPACITAÇÃO", "Em execução no Corporativo",
TRUE, "Em Execução na Distribuidora"
)</f>
        <v>Em Execução na Distribuidora</v>
      </c>
      <c r="F2616" s="4" t="str" cm="1">
        <f t="array" ref="F2616">_xlfn.IFS(
AG2616 &lt;&gt; "", "Jan-Dez/26",
AH2616 &lt;&gt; "", "Fev-Dez/26",
AI2616 &lt;&gt; "", "Mar-Dez/26", AJ2616 &lt;&gt; "", "Abr-Dez/26",
TRUE, "A partir de Junho"
)</f>
        <v>A partir de Junho</v>
      </c>
      <c r="G2616" s="75" t="s">
        <v>44</v>
      </c>
      <c r="H2616" s="76" t="s">
        <v>44</v>
      </c>
      <c r="I2616" s="77"/>
      <c r="J2616" s="77"/>
      <c r="K2616" s="77"/>
      <c r="L2616" s="77" t="s">
        <v>228</v>
      </c>
      <c r="M2616" s="78"/>
      <c r="N2616" s="74" t="s">
        <v>42</v>
      </c>
      <c r="O2616" s="74" t="s">
        <v>52</v>
      </c>
      <c r="P2616" s="75" t="s">
        <v>44</v>
      </c>
      <c r="Q2616" s="75" t="s">
        <v>44</v>
      </c>
      <c r="R2616" s="79" t="s">
        <v>44</v>
      </c>
      <c r="S2616" s="79" t="s">
        <v>44</v>
      </c>
      <c r="T2616" s="22"/>
      <c r="U2616" s="22"/>
      <c r="V2616" s="22"/>
      <c r="W2616" s="22"/>
      <c r="X2616" s="22"/>
      <c r="Y2616" s="22"/>
      <c r="Z2616" s="22"/>
      <c r="AA2616" s="22"/>
      <c r="AB2616" s="22"/>
      <c r="AC2616" s="22"/>
      <c r="AD2616" s="22"/>
      <c r="AE2616" s="22"/>
      <c r="AG2616" s="112"/>
      <c r="AH2616" s="112"/>
      <c r="AI2616" s="112"/>
      <c r="AJ2616" s="71"/>
      <c r="AK2616" s="71"/>
      <c r="AL2616" s="71"/>
      <c r="AM2616" s="71"/>
      <c r="AN2616" s="71"/>
      <c r="AO2616" s="71"/>
      <c r="AP2616" s="71"/>
      <c r="AQ2616" s="71"/>
      <c r="AR2616" s="71"/>
      <c r="AS2616" s="94"/>
      <c r="AT2616" s="95"/>
      <c r="AU2616" s="97"/>
      <c r="AW2616" s="84">
        <f t="shared" si="3239"/>
        <v>0</v>
      </c>
      <c r="AX2616" s="84">
        <f t="shared" si="3240"/>
        <v>0</v>
      </c>
      <c r="AY2616" s="84">
        <f t="shared" si="3241"/>
        <v>0</v>
      </c>
      <c r="AZ2616" s="84"/>
      <c r="BA2616" s="84"/>
      <c r="BB2616" s="84"/>
      <c r="BC2616" s="84"/>
      <c r="BD2616" s="84"/>
      <c r="BE2616" s="84"/>
      <c r="BF2616" s="84"/>
      <c r="BG2616" s="84"/>
      <c r="BH2616" s="84"/>
      <c r="BI2616" s="68" cm="1">
        <f t="array" ref="BI2616">IFERROR(INDEX(AW2616:BH2616,1,MATCH(2,1/(AW2616:BH2616&lt;&gt;""))),"")</f>
        <v>0</v>
      </c>
      <c r="BJ2616" s="68" cm="1">
        <f t="array" ref="BJ2616">IF(BM2616 = "", "",IFERROR(INDEX(AW2616:BH2616,1,MATCH(2,1/(AW2616:BH2616&lt;&gt;""),1)-1),""))</f>
        <v>0</v>
      </c>
      <c r="BK2616" s="57" cm="1">
        <f t="array" ref="BK2616">IFERROR(INDEX(AW2616:BH2616,1,MATCH(2,1/(AW2616:BH2616&lt;&gt;""),1)),"")</f>
        <v>0</v>
      </c>
      <c r="BL2616" s="57" cm="1">
        <f t="array" ref="BL2616">IF(BM2616 = "", "",IFERROR(INDEX(AW2616:BH2616,1,MATCH(2,1/(AW2616:BH2616&lt;&gt;""),1)-1),""))</f>
        <v>0</v>
      </c>
      <c r="BM2616" s="55" cm="1">
        <f t="array" ref="BM2616">IFERROR(
   INDEX($AW$1:$BH$1,
      _xlfn.AGGREGATE(14, 6, COLUMN($AW$1:$BH$1)/(AW2616:BH2616&lt;&gt;""), 2) - COLUMN($AW$1) + 1
   ),
"")</f>
        <v>46054</v>
      </c>
      <c r="BN2616" s="55" cm="1">
        <f t="array" ref="BN2616">IFERROR(INDEX($AW$1:$BH$1,1,MATCH(2,1/(AW2616:BH2616&lt;&gt;""))),"")</f>
        <v>46082</v>
      </c>
      <c r="BO2616" s="53">
        <f ca="1">IFERROR(_xlfn.XLOOKUP(F2616,Apuração!A:A,Apuração!C:C)/_xlfn.XLOOKUP(F2616,Apuração!A:A,Apuração!B:B),0)</f>
        <v>0</v>
      </c>
      <c r="BP2616" s="53">
        <f ca="1">IFERROR(_xlfn.XLOOKUP(F2616,Apuração!A:A,Apuração!D:D)/_xlfn.XLOOKUP(F2616,Apuração!A:A,Apuração!B:B),0)</f>
        <v>0</v>
      </c>
      <c r="BQ2616" s="53">
        <f ca="1">IF(BK2616&gt;=BO2616,0,_xlfn.XLOOKUP(F2616,Apuração!A:A,Apuração!B:B)*(BO2616 + (1/_xlfn.XLOOKUP(F2616,Apuração!A:A,Apuração!B:B)) - BK2616))</f>
        <v>0</v>
      </c>
      <c r="BR2616" s="85">
        <f t="shared" ca="1" si="3242"/>
        <v>0</v>
      </c>
      <c r="BS2616" s="53">
        <f ca="1">IFERROR((_xlfn.XLOOKUP(F2616,Apuração!A:A,Apuração!C:C)+1)/_xlfn.XLOOKUP(F2616,Apuração!A:A,Apuração!B:B),0)</f>
        <v>0.14285714285714285</v>
      </c>
    </row>
    <row r="2617" spans="1:71" ht="25.95" hidden="1" customHeight="1" x14ac:dyDescent="0.3">
      <c r="A2617" s="72" t="s">
        <v>44</v>
      </c>
      <c r="B2617" s="73" t="s">
        <v>44</v>
      </c>
      <c r="C2617" s="74" t="s">
        <v>209</v>
      </c>
      <c r="D2617" s="5" t="s">
        <v>212</v>
      </c>
      <c r="E2617" s="4" t="str" cm="1">
        <f t="array" ref="E2617">_xlfn.IFS(
F2617 = "A partir de Abril", "Aguardando Execução na Distribuidora",
A2617 = "CAPACITAÇÃO", "Em execução no Corporativo",
TRUE, "Em Execução na Distribuidora"
)</f>
        <v>Em Execução na Distribuidora</v>
      </c>
      <c r="F2617" s="4" t="str" cm="1">
        <f t="array" ref="F2617">_xlfn.IFS(
AG2617 &lt;&gt; "", "Jan-Dez/26",
AH2617 &lt;&gt; "", "Fev-Dez/26",
AI2617 &lt;&gt; "", "Mar-Dez/26", AJ2617 &lt;&gt; "", "Abr-Dez/26",
TRUE, "A partir de Junho"
)</f>
        <v>A partir de Junho</v>
      </c>
      <c r="G2617" s="75" t="s">
        <v>44</v>
      </c>
      <c r="H2617" s="76" t="s">
        <v>44</v>
      </c>
      <c r="I2617" s="77"/>
      <c r="J2617" s="77"/>
      <c r="K2617" s="77"/>
      <c r="L2617" s="77" t="s">
        <v>228</v>
      </c>
      <c r="M2617" s="78"/>
      <c r="N2617" s="74" t="s">
        <v>42</v>
      </c>
      <c r="O2617" s="74" t="s">
        <v>52</v>
      </c>
      <c r="P2617" s="75" t="s">
        <v>44</v>
      </c>
      <c r="Q2617" s="75" t="s">
        <v>44</v>
      </c>
      <c r="R2617" s="79" t="s">
        <v>44</v>
      </c>
      <c r="S2617" s="79" t="s">
        <v>44</v>
      </c>
      <c r="T2617" s="22"/>
      <c r="U2617" s="22"/>
      <c r="V2617" s="22"/>
      <c r="W2617" s="22"/>
      <c r="X2617" s="22"/>
      <c r="Y2617" s="22"/>
      <c r="Z2617" s="22"/>
      <c r="AA2617" s="22"/>
      <c r="AB2617" s="22"/>
      <c r="AC2617" s="22"/>
      <c r="AD2617" s="22"/>
      <c r="AE2617" s="22"/>
      <c r="AG2617" s="112"/>
      <c r="AH2617" s="112"/>
      <c r="AI2617" s="112"/>
      <c r="AJ2617" s="71"/>
      <c r="AK2617" s="71"/>
      <c r="AL2617" s="71"/>
      <c r="AM2617" s="71"/>
      <c r="AN2617" s="71"/>
      <c r="AO2617" s="71"/>
      <c r="AP2617" s="71"/>
      <c r="AQ2617" s="71"/>
      <c r="AR2617" s="71"/>
      <c r="AS2617" s="94"/>
      <c r="AT2617" s="95"/>
      <c r="AU2617" s="97"/>
      <c r="AW2617" s="84">
        <f t="shared" si="3239"/>
        <v>0</v>
      </c>
      <c r="AX2617" s="84">
        <f t="shared" si="3240"/>
        <v>0</v>
      </c>
      <c r="AY2617" s="84">
        <f t="shared" si="3241"/>
        <v>0</v>
      </c>
      <c r="AZ2617" s="84"/>
      <c r="BA2617" s="84"/>
      <c r="BB2617" s="84"/>
      <c r="BC2617" s="84"/>
      <c r="BD2617" s="84"/>
      <c r="BE2617" s="84"/>
      <c r="BF2617" s="84"/>
      <c r="BG2617" s="84"/>
      <c r="BH2617" s="84"/>
      <c r="BI2617" s="68" cm="1">
        <f t="array" ref="BI2617">IFERROR(INDEX(AW2617:BH2617,1,MATCH(2,1/(AW2617:BH2617&lt;&gt;""))),"")</f>
        <v>0</v>
      </c>
      <c r="BJ2617" s="68" cm="1">
        <f t="array" ref="BJ2617">IF(BM2617 = "", "",IFERROR(INDEX(AW2617:BH2617,1,MATCH(2,1/(AW2617:BH2617&lt;&gt;""),1)-1),""))</f>
        <v>0</v>
      </c>
      <c r="BK2617" s="57" cm="1">
        <f t="array" ref="BK2617">IFERROR(INDEX(AW2617:BH2617,1,MATCH(2,1/(AW2617:BH2617&lt;&gt;""),1)),"")</f>
        <v>0</v>
      </c>
      <c r="BL2617" s="57" cm="1">
        <f t="array" ref="BL2617">IF(BM2617 = "", "",IFERROR(INDEX(AW2617:BH2617,1,MATCH(2,1/(AW2617:BH2617&lt;&gt;""),1)-1),""))</f>
        <v>0</v>
      </c>
      <c r="BM2617" s="55" cm="1">
        <f t="array" ref="BM2617">IFERROR(
   INDEX($AW$1:$BH$1,
      _xlfn.AGGREGATE(14, 6, COLUMN($AW$1:$BH$1)/(AW2617:BH2617&lt;&gt;""), 2) - COLUMN($AW$1) + 1
   ),
"")</f>
        <v>46054</v>
      </c>
      <c r="BN2617" s="55" cm="1">
        <f t="array" ref="BN2617">IFERROR(INDEX($AW$1:$BH$1,1,MATCH(2,1/(AW2617:BH2617&lt;&gt;""))),"")</f>
        <v>46082</v>
      </c>
      <c r="BO2617" s="53">
        <f ca="1">IFERROR(_xlfn.XLOOKUP(F2617,Apuração!A:A,Apuração!C:C)/_xlfn.XLOOKUP(F2617,Apuração!A:A,Apuração!B:B),0)</f>
        <v>0</v>
      </c>
      <c r="BP2617" s="53">
        <f ca="1">IFERROR(_xlfn.XLOOKUP(F2617,Apuração!A:A,Apuração!D:D)/_xlfn.XLOOKUP(F2617,Apuração!A:A,Apuração!B:B),0)</f>
        <v>0</v>
      </c>
      <c r="BQ2617" s="53">
        <f ca="1">IF(BK2617&gt;=BO2617,0,_xlfn.XLOOKUP(F2617,Apuração!A:A,Apuração!B:B)*(BO2617 + (1/_xlfn.XLOOKUP(F2617,Apuração!A:A,Apuração!B:B)) - BK2617))</f>
        <v>0</v>
      </c>
      <c r="BR2617" s="85">
        <f t="shared" ca="1" si="3242"/>
        <v>0</v>
      </c>
      <c r="BS2617" s="53">
        <f ca="1">IFERROR((_xlfn.XLOOKUP(F2617,Apuração!A:A,Apuração!C:C)+1)/_xlfn.XLOOKUP(F2617,Apuração!A:A,Apuração!B:B),0)</f>
        <v>0.14285714285714285</v>
      </c>
    </row>
    <row r="2618" spans="1:71" ht="25.95" hidden="1" customHeight="1" x14ac:dyDescent="0.3">
      <c r="A2618" s="72" t="s">
        <v>44</v>
      </c>
      <c r="B2618" s="73" t="s">
        <v>44</v>
      </c>
      <c r="C2618" s="74" t="s">
        <v>209</v>
      </c>
      <c r="D2618" s="5" t="s">
        <v>213</v>
      </c>
      <c r="E2618" s="4" t="str" cm="1">
        <f t="array" ref="E2618">_xlfn.IFS(
F2618 = "A partir de Abril", "Aguardando Execução na Distribuidora",
A2618 = "CAPACITAÇÃO", "Em execução no Corporativo",
TRUE, "Em Execução na Distribuidora"
)</f>
        <v>Em Execução na Distribuidora</v>
      </c>
      <c r="F2618" s="4" t="str" cm="1">
        <f t="array" ref="F2618">_xlfn.IFS(
AG2618 &lt;&gt; "", "Jan-Dez/26",
AH2618 &lt;&gt; "", "Fev-Dez/26",
AI2618 &lt;&gt; "", "Mar-Dez/26", AJ2618 &lt;&gt; "", "Abr-Dez/26",
TRUE, "A partir de Junho"
)</f>
        <v>A partir de Junho</v>
      </c>
      <c r="G2618" s="75" t="s">
        <v>44</v>
      </c>
      <c r="H2618" s="76" t="s">
        <v>44</v>
      </c>
      <c r="I2618" s="77"/>
      <c r="J2618" s="77"/>
      <c r="K2618" s="77"/>
      <c r="L2618" s="77" t="s">
        <v>228</v>
      </c>
      <c r="M2618" s="78"/>
      <c r="N2618" s="74" t="s">
        <v>42</v>
      </c>
      <c r="O2618" s="74" t="s">
        <v>52</v>
      </c>
      <c r="P2618" s="75" t="s">
        <v>44</v>
      </c>
      <c r="Q2618" s="75" t="s">
        <v>44</v>
      </c>
      <c r="R2618" s="79" t="s">
        <v>44</v>
      </c>
      <c r="S2618" s="79" t="s">
        <v>44</v>
      </c>
      <c r="T2618" s="22"/>
      <c r="U2618" s="22"/>
      <c r="V2618" s="22"/>
      <c r="W2618" s="22"/>
      <c r="X2618" s="22"/>
      <c r="Y2618" s="22"/>
      <c r="Z2618" s="22"/>
      <c r="AA2618" s="22"/>
      <c r="AB2618" s="22"/>
      <c r="AC2618" s="22"/>
      <c r="AD2618" s="22"/>
      <c r="AE2618" s="22"/>
      <c r="AG2618" s="112"/>
      <c r="AH2618" s="112"/>
      <c r="AI2618" s="112"/>
      <c r="AJ2618" s="71"/>
      <c r="AK2618" s="71"/>
      <c r="AL2618" s="71"/>
      <c r="AM2618" s="71"/>
      <c r="AN2618" s="71"/>
      <c r="AO2618" s="71"/>
      <c r="AP2618" s="71"/>
      <c r="AQ2618" s="71"/>
      <c r="AR2618" s="71"/>
      <c r="AS2618" s="94"/>
      <c r="AT2618" s="95"/>
      <c r="AU2618" s="97"/>
      <c r="AW2618" s="84">
        <f t="shared" si="3239"/>
        <v>0</v>
      </c>
      <c r="AX2618" s="84">
        <f t="shared" si="3240"/>
        <v>0</v>
      </c>
      <c r="AY2618" s="84">
        <f t="shared" si="3241"/>
        <v>0</v>
      </c>
      <c r="AZ2618" s="84"/>
      <c r="BA2618" s="84"/>
      <c r="BB2618" s="84"/>
      <c r="BC2618" s="84"/>
      <c r="BD2618" s="84"/>
      <c r="BE2618" s="84"/>
      <c r="BF2618" s="84"/>
      <c r="BG2618" s="84"/>
      <c r="BH2618" s="84"/>
      <c r="BI2618" s="68" cm="1">
        <f t="array" ref="BI2618">IFERROR(INDEX(AW2618:BH2618,1,MATCH(2,1/(AW2618:BH2618&lt;&gt;""))),"")</f>
        <v>0</v>
      </c>
      <c r="BJ2618" s="68" cm="1">
        <f t="array" ref="BJ2618">IF(BM2618 = "", "",IFERROR(INDEX(AW2618:BH2618,1,MATCH(2,1/(AW2618:BH2618&lt;&gt;""),1)-1),""))</f>
        <v>0</v>
      </c>
      <c r="BK2618" s="57" cm="1">
        <f t="array" ref="BK2618">IFERROR(INDEX(AW2618:BH2618,1,MATCH(2,1/(AW2618:BH2618&lt;&gt;""),1)),"")</f>
        <v>0</v>
      </c>
      <c r="BL2618" s="57" cm="1">
        <f t="array" ref="BL2618">IF(BM2618 = "", "",IFERROR(INDEX(AW2618:BH2618,1,MATCH(2,1/(AW2618:BH2618&lt;&gt;""),1)-1),""))</f>
        <v>0</v>
      </c>
      <c r="BM2618" s="55" cm="1">
        <f t="array" ref="BM2618">IFERROR(
   INDEX($AW$1:$BH$1,
      _xlfn.AGGREGATE(14, 6, COLUMN($AW$1:$BH$1)/(AW2618:BH2618&lt;&gt;""), 2) - COLUMN($AW$1) + 1
   ),
"")</f>
        <v>46054</v>
      </c>
      <c r="BN2618" s="55" cm="1">
        <f t="array" ref="BN2618">IFERROR(INDEX($AW$1:$BH$1,1,MATCH(2,1/(AW2618:BH2618&lt;&gt;""))),"")</f>
        <v>46082</v>
      </c>
      <c r="BO2618" s="53">
        <f ca="1">IFERROR(_xlfn.XLOOKUP(F2618,Apuração!A:A,Apuração!C:C)/_xlfn.XLOOKUP(F2618,Apuração!A:A,Apuração!B:B),0)</f>
        <v>0</v>
      </c>
      <c r="BP2618" s="53">
        <f ca="1">IFERROR(_xlfn.XLOOKUP(F2618,Apuração!A:A,Apuração!D:D)/_xlfn.XLOOKUP(F2618,Apuração!A:A,Apuração!B:B),0)</f>
        <v>0</v>
      </c>
      <c r="BQ2618" s="53">
        <f ca="1">IF(BK2618&gt;=BO2618,0,_xlfn.XLOOKUP(F2618,Apuração!A:A,Apuração!B:B)*(BO2618 + (1/_xlfn.XLOOKUP(F2618,Apuração!A:A,Apuração!B:B)) - BK2618))</f>
        <v>0</v>
      </c>
      <c r="BR2618" s="85">
        <f t="shared" ca="1" si="3242"/>
        <v>0</v>
      </c>
      <c r="BS2618" s="53">
        <f ca="1">IFERROR((_xlfn.XLOOKUP(F2618,Apuração!A:A,Apuração!C:C)+1)/_xlfn.XLOOKUP(F2618,Apuração!A:A,Apuração!B:B),0)</f>
        <v>0.14285714285714285</v>
      </c>
    </row>
    <row r="2619" spans="1:71" ht="25.95" hidden="1" customHeight="1" x14ac:dyDescent="0.3">
      <c r="A2619" s="72" t="s">
        <v>44</v>
      </c>
      <c r="B2619" s="73" t="s">
        <v>44</v>
      </c>
      <c r="C2619" s="74" t="s">
        <v>209</v>
      </c>
      <c r="D2619" s="5" t="s">
        <v>36</v>
      </c>
      <c r="E2619" s="4" t="str" cm="1">
        <f t="array" ref="E2619">_xlfn.IFS(
F2619 = "A partir de Abril", "Aguardando Execução na Distribuidora",
A2619 = "CAPACITAÇÃO", "Em execução no Corporativo",
TRUE, "Em Execução na Distribuidora"
)</f>
        <v>Em Execução na Distribuidora</v>
      </c>
      <c r="F2619" s="4" t="str" cm="1">
        <f t="array" ref="F2619">_xlfn.IFS(
AG2619 &lt;&gt; "", "Jan-Dez/26",
AH2619 &lt;&gt; "", "Fev-Dez/26",
AI2619 &lt;&gt; "", "Mar-Dez/26", AJ2619 &lt;&gt; "", "Abr-Dez/26",
TRUE, "A partir de Junho"
)</f>
        <v>Jan-Dez/26</v>
      </c>
      <c r="G2619" s="75" t="s">
        <v>44</v>
      </c>
      <c r="H2619" s="76" t="s">
        <v>44</v>
      </c>
      <c r="I2619" s="77"/>
      <c r="J2619" s="77"/>
      <c r="K2619" s="77"/>
      <c r="L2619" s="77" t="s">
        <v>240</v>
      </c>
      <c r="M2619" s="78"/>
      <c r="N2619" s="74" t="s">
        <v>42</v>
      </c>
      <c r="O2619" s="74" t="s">
        <v>52</v>
      </c>
      <c r="P2619" s="75" t="s">
        <v>44</v>
      </c>
      <c r="Q2619" s="75" t="s">
        <v>44</v>
      </c>
      <c r="R2619" s="79" t="s">
        <v>44</v>
      </c>
      <c r="S2619" s="79" t="s">
        <v>44</v>
      </c>
      <c r="T2619" s="22"/>
      <c r="U2619" s="22"/>
      <c r="V2619" s="22"/>
      <c r="W2619" s="22"/>
      <c r="X2619" s="22"/>
      <c r="Y2619" s="22"/>
      <c r="Z2619" s="22"/>
      <c r="AA2619" s="22"/>
      <c r="AB2619" s="22"/>
      <c r="AC2619" s="22"/>
      <c r="AD2619" s="22"/>
      <c r="AE2619" s="22"/>
      <c r="AG2619" s="112">
        <v>2.6939608361941287</v>
      </c>
      <c r="AH2619" s="112">
        <v>24.631273009919457</v>
      </c>
      <c r="AI2619" s="112">
        <v>8.83826063266436</v>
      </c>
      <c r="AJ2619" s="112">
        <v>9.6199999999999992</v>
      </c>
      <c r="AK2619" s="112"/>
      <c r="AL2619" s="112"/>
      <c r="AM2619" s="112"/>
      <c r="AN2619" s="112"/>
      <c r="AO2619" s="112"/>
      <c r="AP2619" s="112"/>
      <c r="AQ2619" s="112"/>
      <c r="AR2619" s="112"/>
      <c r="AS2619" s="94"/>
      <c r="AT2619" s="95"/>
      <c r="AU2619" s="97"/>
      <c r="AW2619" s="84">
        <f>AG2619</f>
        <v>2.6939608361941287</v>
      </c>
      <c r="AX2619" s="84">
        <f>AH2619</f>
        <v>24.631273009919457</v>
      </c>
      <c r="AY2619" s="84">
        <f>AI2619</f>
        <v>8.83826063266436</v>
      </c>
      <c r="AZ2619" s="84">
        <f>AJ2619</f>
        <v>9.6199999999999992</v>
      </c>
      <c r="BA2619" s="84"/>
      <c r="BB2619" s="84"/>
      <c r="BC2619" s="84"/>
      <c r="BD2619" s="84"/>
      <c r="BE2619" s="84"/>
      <c r="BF2619" s="84"/>
      <c r="BG2619" s="84"/>
      <c r="BH2619" s="84"/>
      <c r="BI2619" s="68" cm="1">
        <f t="array" ref="BI2619">IFERROR(INDEX(AW2619:BH2619,1,MATCH(2,1/(AW2619:BH2619&lt;&gt;""))),"")</f>
        <v>9.6199999999999992</v>
      </c>
      <c r="BJ2619" s="68" cm="1">
        <f t="array" ref="BJ2619">IF(BM2619 = "", "",IFERROR(INDEX(AW2619:BH2619,1,MATCH(2,1/(AW2619:BH2619&lt;&gt;""),1)-1),""))</f>
        <v>8.83826063266436</v>
      </c>
      <c r="BK2619" s="57" cm="1">
        <f t="array" ref="BK2619">IFERROR(INDEX(AW2619:BH2619,1,MATCH(2,1/(AW2619:BH2619&lt;&gt;""),1)),"")</f>
        <v>9.6199999999999992</v>
      </c>
      <c r="BL2619" s="57" cm="1">
        <f t="array" ref="BL2619">IF(BM2619 = "", "",IFERROR(INDEX(AW2619:BH2619,1,MATCH(2,1/(AW2619:BH2619&lt;&gt;""),1)-1),""))</f>
        <v>8.83826063266436</v>
      </c>
      <c r="BM2619" s="55" cm="1">
        <f t="array" ref="BM2619">IFERROR(
   INDEX($AW$1:$BH$1,
      _xlfn.AGGREGATE(14, 6, COLUMN($AW$1:$BH$1)/(AW2619:BH2619&lt;&gt;""), 2) - COLUMN($AW$1) + 1
   ),
"")</f>
        <v>46082</v>
      </c>
      <c r="BN2619" s="55" cm="1">
        <f t="array" ref="BN2619">IFERROR(INDEX($AW$1:$BH$1,1,MATCH(2,1/(AW2619:BH2619&lt;&gt;""))),"")</f>
        <v>46113</v>
      </c>
      <c r="BO2619" s="53">
        <f ca="1">IFERROR(_xlfn.XLOOKUP(F2619,Apuração!A:A,Apuração!C:C)/_xlfn.XLOOKUP(F2619,Apuração!A:A,Apuração!B:B),0)</f>
        <v>0.41666666666666669</v>
      </c>
      <c r="BP2619" s="53">
        <f ca="1">IFERROR(_xlfn.XLOOKUP(F2619,Apuração!A:A,Apuração!D:D)/_xlfn.XLOOKUP(F2619,Apuração!A:A,Apuração!B:B),0)</f>
        <v>0.33333333333333331</v>
      </c>
      <c r="BQ2619" s="53">
        <f ca="1">IF(BK2619&gt;=BO2619,0,_xlfn.XLOOKUP(F2619,Apuração!A:A,Apuração!B:B)*(BO2619 + (1/_xlfn.XLOOKUP(F2619,Apuração!A:A,Apuração!B:B)) - BK2619))</f>
        <v>0</v>
      </c>
      <c r="BR2619" s="85">
        <f ca="1">IF(BQ2619=0,0,BQ2619*Z2619)</f>
        <v>0</v>
      </c>
      <c r="BS2619" s="53">
        <f ca="1">IFERROR((_xlfn.XLOOKUP(F2619,Apuração!A:A,Apuração!C:C)+1)/_xlfn.XLOOKUP(F2619,Apuração!A:A,Apuração!B:B),0)</f>
        <v>0.5</v>
      </c>
    </row>
    <row r="2620" spans="1:71" ht="25.95" hidden="1" customHeight="1" x14ac:dyDescent="0.3">
      <c r="A2620" s="72" t="s">
        <v>44</v>
      </c>
      <c r="B2620" s="73" t="s">
        <v>44</v>
      </c>
      <c r="C2620" s="74" t="s">
        <v>214</v>
      </c>
      <c r="D2620" s="5" t="s">
        <v>210</v>
      </c>
      <c r="E2620" s="4" t="str" cm="1">
        <f t="array" ref="E2620">_xlfn.IFS(
F2620 = "A partir de Abril", "Aguardando Execução na Distribuidora",
A2620 = "CAPACITAÇÃO", "Em execução no Corporativo",
TRUE, "Em Execução na Distribuidora"
)</f>
        <v>Em Execução na Distribuidora</v>
      </c>
      <c r="F2620" s="4" t="str" cm="1">
        <f t="array" ref="F2620">_xlfn.IFS(
AG2620 &lt;&gt; "", "Jan-Dez/26",
AH2620 &lt;&gt; "", "Fev-Dez/26",
AI2620 &lt;&gt; "", "Mar-Dez/26", AJ2620 &lt;&gt; "", "Abr-Dez/26",
TRUE, "A partir de Junho"
)</f>
        <v>A partir de Junho</v>
      </c>
      <c r="G2620" s="75" t="s">
        <v>44</v>
      </c>
      <c r="H2620" s="76" t="s">
        <v>44</v>
      </c>
      <c r="I2620" s="77"/>
      <c r="J2620" s="77"/>
      <c r="K2620" s="77"/>
      <c r="L2620" s="77" t="s">
        <v>228</v>
      </c>
      <c r="M2620" s="78"/>
      <c r="N2620" s="74" t="s">
        <v>42</v>
      </c>
      <c r="O2620" s="74" t="s">
        <v>52</v>
      </c>
      <c r="P2620" s="75" t="s">
        <v>44</v>
      </c>
      <c r="Q2620" s="75" t="s">
        <v>44</v>
      </c>
      <c r="R2620" s="79" t="s">
        <v>44</v>
      </c>
      <c r="S2620" s="79" t="s">
        <v>44</v>
      </c>
      <c r="T2620" s="22"/>
      <c r="U2620" s="22"/>
      <c r="V2620" s="22"/>
      <c r="W2620" s="22"/>
      <c r="X2620" s="22"/>
      <c r="Y2620" s="22"/>
      <c r="Z2620" s="22"/>
      <c r="AA2620" s="22"/>
      <c r="AB2620" s="22"/>
      <c r="AC2620" s="22"/>
      <c r="AD2620" s="22"/>
      <c r="AE2620" s="22"/>
      <c r="AG2620" s="112"/>
      <c r="AH2620" s="112"/>
      <c r="AI2620" s="112"/>
      <c r="AJ2620" s="71"/>
      <c r="AK2620" s="71"/>
      <c r="AL2620" s="71"/>
      <c r="AM2620" s="71"/>
      <c r="AN2620" s="71"/>
      <c r="AO2620" s="71"/>
      <c r="AP2620" s="71"/>
      <c r="AQ2620" s="71"/>
      <c r="AR2620" s="71"/>
      <c r="AS2620" s="94"/>
      <c r="AT2620" s="95"/>
      <c r="AU2620" s="97"/>
      <c r="AW2620" s="84">
        <f t="shared" ref="AW2620:AW2624" si="3243">AG2620</f>
        <v>0</v>
      </c>
      <c r="AX2620" s="84">
        <f t="shared" ref="AX2620:AX2624" si="3244">AH2620</f>
        <v>0</v>
      </c>
      <c r="AY2620" s="84">
        <f t="shared" ref="AY2620:AY2624" si="3245">AI2620</f>
        <v>0</v>
      </c>
      <c r="AZ2620" s="84"/>
      <c r="BA2620" s="84"/>
      <c r="BB2620" s="84"/>
      <c r="BC2620" s="84"/>
      <c r="BD2620" s="84"/>
      <c r="BE2620" s="84"/>
      <c r="BF2620" s="84"/>
      <c r="BG2620" s="84"/>
      <c r="BH2620" s="84"/>
      <c r="BI2620" s="68" cm="1">
        <f t="array" ref="BI2620">IFERROR(INDEX(AW2620:BH2620,1,MATCH(2,1/(AW2620:BH2620&lt;&gt;""))),"")</f>
        <v>0</v>
      </c>
      <c r="BJ2620" s="68" cm="1">
        <f t="array" ref="BJ2620">IF(BM2620 = "", "",IFERROR(INDEX(AW2620:BH2620,1,MATCH(2,1/(AW2620:BH2620&lt;&gt;""),1)-1),""))</f>
        <v>0</v>
      </c>
      <c r="BK2620" s="57" cm="1">
        <f t="array" ref="BK2620">IFERROR(INDEX(AW2620:BH2620,1,MATCH(2,1/(AW2620:BH2620&lt;&gt;""),1)),"")</f>
        <v>0</v>
      </c>
      <c r="BL2620" s="57" cm="1">
        <f t="array" ref="BL2620">IF(BM2620 = "", "",IFERROR(INDEX(AW2620:BH2620,1,MATCH(2,1/(AW2620:BH2620&lt;&gt;""),1)-1),""))</f>
        <v>0</v>
      </c>
      <c r="BM2620" s="55" cm="1">
        <f t="array" ref="BM2620">IFERROR(
   INDEX($AW$1:$BH$1,
      _xlfn.AGGREGATE(14, 6, COLUMN($AW$1:$BH$1)/(AW2620:BH2620&lt;&gt;""), 2) - COLUMN($AW$1) + 1
   ),
"")</f>
        <v>46054</v>
      </c>
      <c r="BN2620" s="55" cm="1">
        <f t="array" ref="BN2620">IFERROR(INDEX($AW$1:$BH$1,1,MATCH(2,1/(AW2620:BH2620&lt;&gt;""))),"")</f>
        <v>46082</v>
      </c>
      <c r="BO2620" s="53">
        <f ca="1">IFERROR(_xlfn.XLOOKUP(F2620,Apuração!A:A,Apuração!C:C)/_xlfn.XLOOKUP(F2620,Apuração!A:A,Apuração!B:B),0)</f>
        <v>0</v>
      </c>
      <c r="BP2620" s="53">
        <f ca="1">IFERROR(_xlfn.XLOOKUP(F2620,Apuração!A:A,Apuração!D:D)/_xlfn.XLOOKUP(F2620,Apuração!A:A,Apuração!B:B),0)</f>
        <v>0</v>
      </c>
      <c r="BQ2620" s="53">
        <f ca="1">IF(BK2620&gt;=BO2620,0,_xlfn.XLOOKUP(F2620,Apuração!A:A,Apuração!B:B)*(BO2620 + (1/_xlfn.XLOOKUP(F2620,Apuração!A:A,Apuração!B:B)) - BK2620))</f>
        <v>0</v>
      </c>
      <c r="BR2620" s="85">
        <f t="shared" ref="BR2620:BR2624" ca="1" si="3246">IF(BQ2620=0,0,BQ2620*Z2620)</f>
        <v>0</v>
      </c>
      <c r="BS2620" s="53">
        <f ca="1">IFERROR((_xlfn.XLOOKUP(F2620,Apuração!A:A,Apuração!C:C)+1)/_xlfn.XLOOKUP(F2620,Apuração!A:A,Apuração!B:B),0)</f>
        <v>0.14285714285714285</v>
      </c>
    </row>
    <row r="2621" spans="1:71" ht="25.95" hidden="1" customHeight="1" x14ac:dyDescent="0.3">
      <c r="A2621" s="72" t="s">
        <v>44</v>
      </c>
      <c r="B2621" s="73" t="s">
        <v>44</v>
      </c>
      <c r="C2621" s="74" t="s">
        <v>214</v>
      </c>
      <c r="D2621" s="5" t="s">
        <v>215</v>
      </c>
      <c r="E2621" s="4" t="str" cm="1">
        <f t="array" ref="E2621">_xlfn.IFS(
F2621 = "A partir de Abril", "Aguardando Execução na Distribuidora",
A2621 = "CAPACITAÇÃO", "Em execução no Corporativo",
TRUE, "Em Execução na Distribuidora"
)</f>
        <v>Em Execução na Distribuidora</v>
      </c>
      <c r="F2621" s="4" t="str" cm="1">
        <f t="array" ref="F2621">_xlfn.IFS(
AG2621 &lt;&gt; "", "Jan-Dez/26",
AH2621 &lt;&gt; "", "Fev-Dez/26",
AI2621 &lt;&gt; "", "Mar-Dez/26", AJ2621 &lt;&gt; "", "Abr-Dez/26",
TRUE, "A partir de Junho"
)</f>
        <v>A partir de Junho</v>
      </c>
      <c r="G2621" s="75" t="s">
        <v>44</v>
      </c>
      <c r="H2621" s="76" t="s">
        <v>44</v>
      </c>
      <c r="I2621" s="77"/>
      <c r="J2621" s="77"/>
      <c r="K2621" s="77"/>
      <c r="L2621" s="77" t="s">
        <v>228</v>
      </c>
      <c r="M2621" s="78"/>
      <c r="N2621" s="74" t="s">
        <v>42</v>
      </c>
      <c r="O2621" s="74" t="s">
        <v>52</v>
      </c>
      <c r="P2621" s="75" t="s">
        <v>44</v>
      </c>
      <c r="Q2621" s="75" t="s">
        <v>44</v>
      </c>
      <c r="R2621" s="79" t="s">
        <v>44</v>
      </c>
      <c r="S2621" s="79" t="s">
        <v>44</v>
      </c>
      <c r="T2621" s="22"/>
      <c r="U2621" s="22"/>
      <c r="V2621" s="22"/>
      <c r="W2621" s="22"/>
      <c r="X2621" s="22"/>
      <c r="Y2621" s="22"/>
      <c r="Z2621" s="22"/>
      <c r="AA2621" s="22"/>
      <c r="AB2621" s="22"/>
      <c r="AC2621" s="22"/>
      <c r="AD2621" s="22"/>
      <c r="AE2621" s="22"/>
      <c r="AG2621" s="112"/>
      <c r="AH2621" s="112"/>
      <c r="AI2621" s="112"/>
      <c r="AJ2621" s="71"/>
      <c r="AK2621" s="71"/>
      <c r="AL2621" s="71"/>
      <c r="AM2621" s="71"/>
      <c r="AN2621" s="71"/>
      <c r="AO2621" s="71"/>
      <c r="AP2621" s="71"/>
      <c r="AQ2621" s="71"/>
      <c r="AR2621" s="71"/>
      <c r="AS2621" s="94"/>
      <c r="AT2621" s="95"/>
      <c r="AU2621" s="97"/>
      <c r="AW2621" s="84">
        <f t="shared" si="3243"/>
        <v>0</v>
      </c>
      <c r="AX2621" s="84">
        <f t="shared" si="3244"/>
        <v>0</v>
      </c>
      <c r="AY2621" s="84">
        <f t="shared" si="3245"/>
        <v>0</v>
      </c>
      <c r="AZ2621" s="84"/>
      <c r="BA2621" s="84"/>
      <c r="BB2621" s="84"/>
      <c r="BC2621" s="84"/>
      <c r="BD2621" s="84"/>
      <c r="BE2621" s="84"/>
      <c r="BF2621" s="84"/>
      <c r="BG2621" s="84"/>
      <c r="BH2621" s="84"/>
      <c r="BI2621" s="68" cm="1">
        <f t="array" ref="BI2621">IFERROR(INDEX(AW2621:BH2621,1,MATCH(2,1/(AW2621:BH2621&lt;&gt;""))),"")</f>
        <v>0</v>
      </c>
      <c r="BJ2621" s="68" cm="1">
        <f t="array" ref="BJ2621">IF(BM2621 = "", "",IFERROR(INDEX(AW2621:BH2621,1,MATCH(2,1/(AW2621:BH2621&lt;&gt;""),1)-1),""))</f>
        <v>0</v>
      </c>
      <c r="BK2621" s="57" cm="1">
        <f t="array" ref="BK2621">IFERROR(INDEX(AW2621:BH2621,1,MATCH(2,1/(AW2621:BH2621&lt;&gt;""),1)),"")</f>
        <v>0</v>
      </c>
      <c r="BL2621" s="57" cm="1">
        <f t="array" ref="BL2621">IF(BM2621 = "", "",IFERROR(INDEX(AW2621:BH2621,1,MATCH(2,1/(AW2621:BH2621&lt;&gt;""),1)-1),""))</f>
        <v>0</v>
      </c>
      <c r="BM2621" s="55" cm="1">
        <f t="array" ref="BM2621">IFERROR(
   INDEX($AW$1:$BH$1,
      _xlfn.AGGREGATE(14, 6, COLUMN($AW$1:$BH$1)/(AW2621:BH2621&lt;&gt;""), 2) - COLUMN($AW$1) + 1
   ),
"")</f>
        <v>46054</v>
      </c>
      <c r="BN2621" s="55" cm="1">
        <f t="array" ref="BN2621">IFERROR(INDEX($AW$1:$BH$1,1,MATCH(2,1/(AW2621:BH2621&lt;&gt;""))),"")</f>
        <v>46082</v>
      </c>
      <c r="BO2621" s="53">
        <f ca="1">IFERROR(_xlfn.XLOOKUP(F2621,Apuração!A:A,Apuração!C:C)/_xlfn.XLOOKUP(F2621,Apuração!A:A,Apuração!B:B),0)</f>
        <v>0</v>
      </c>
      <c r="BP2621" s="53">
        <f ca="1">IFERROR(_xlfn.XLOOKUP(F2621,Apuração!A:A,Apuração!D:D)/_xlfn.XLOOKUP(F2621,Apuração!A:A,Apuração!B:B),0)</f>
        <v>0</v>
      </c>
      <c r="BQ2621" s="53">
        <f ca="1">IF(BK2621&gt;=BO2621,0,_xlfn.XLOOKUP(F2621,Apuração!A:A,Apuração!B:B)*(BO2621 + (1/_xlfn.XLOOKUP(F2621,Apuração!A:A,Apuração!B:B)) - BK2621))</f>
        <v>0</v>
      </c>
      <c r="BR2621" s="85">
        <f t="shared" ca="1" si="3246"/>
        <v>0</v>
      </c>
      <c r="BS2621" s="53">
        <f ca="1">IFERROR((_xlfn.XLOOKUP(F2621,Apuração!A:A,Apuração!C:C)+1)/_xlfn.XLOOKUP(F2621,Apuração!A:A,Apuração!B:B),0)</f>
        <v>0.14285714285714285</v>
      </c>
    </row>
    <row r="2622" spans="1:71" ht="25.95" hidden="1" customHeight="1" x14ac:dyDescent="0.3">
      <c r="A2622" s="72" t="s">
        <v>44</v>
      </c>
      <c r="B2622" s="73" t="s">
        <v>44</v>
      </c>
      <c r="C2622" s="74" t="s">
        <v>214</v>
      </c>
      <c r="D2622" s="5" t="s">
        <v>212</v>
      </c>
      <c r="E2622" s="4" t="str" cm="1">
        <f t="array" ref="E2622">_xlfn.IFS(
F2622 = "A partir de Abril", "Aguardando Execução na Distribuidora",
A2622 = "CAPACITAÇÃO", "Em execução no Corporativo",
TRUE, "Em Execução na Distribuidora"
)</f>
        <v>Em Execução na Distribuidora</v>
      </c>
      <c r="F2622" s="4" t="str" cm="1">
        <f t="array" ref="F2622">_xlfn.IFS(
AG2622 &lt;&gt; "", "Jan-Dez/26",
AH2622 &lt;&gt; "", "Fev-Dez/26",
AI2622 &lt;&gt; "", "Mar-Dez/26", AJ2622 &lt;&gt; "", "Abr-Dez/26",
TRUE, "A partir de Junho"
)</f>
        <v>A partir de Junho</v>
      </c>
      <c r="G2622" s="75" t="s">
        <v>44</v>
      </c>
      <c r="H2622" s="76" t="s">
        <v>44</v>
      </c>
      <c r="I2622" s="77"/>
      <c r="J2622" s="77"/>
      <c r="K2622" s="77"/>
      <c r="L2622" s="77" t="s">
        <v>228</v>
      </c>
      <c r="M2622" s="78"/>
      <c r="N2622" s="74" t="s">
        <v>42</v>
      </c>
      <c r="O2622" s="74" t="s">
        <v>52</v>
      </c>
      <c r="P2622" s="75" t="s">
        <v>44</v>
      </c>
      <c r="Q2622" s="75" t="s">
        <v>44</v>
      </c>
      <c r="R2622" s="79" t="s">
        <v>44</v>
      </c>
      <c r="S2622" s="79" t="s">
        <v>44</v>
      </c>
      <c r="T2622" s="22"/>
      <c r="U2622" s="22"/>
      <c r="V2622" s="22"/>
      <c r="W2622" s="22"/>
      <c r="X2622" s="22"/>
      <c r="Y2622" s="22"/>
      <c r="Z2622" s="22"/>
      <c r="AA2622" s="22"/>
      <c r="AB2622" s="22"/>
      <c r="AC2622" s="22"/>
      <c r="AD2622" s="22"/>
      <c r="AE2622" s="22"/>
      <c r="AG2622" s="112"/>
      <c r="AH2622" s="112"/>
      <c r="AI2622" s="112"/>
      <c r="AJ2622" s="71"/>
      <c r="AK2622" s="71"/>
      <c r="AL2622" s="71"/>
      <c r="AM2622" s="71"/>
      <c r="AN2622" s="71"/>
      <c r="AO2622" s="71"/>
      <c r="AP2622" s="71"/>
      <c r="AQ2622" s="71"/>
      <c r="AR2622" s="71"/>
      <c r="AS2622" s="94"/>
      <c r="AT2622" s="95"/>
      <c r="AU2622" s="97"/>
      <c r="AW2622" s="84">
        <f t="shared" si="3243"/>
        <v>0</v>
      </c>
      <c r="AX2622" s="84">
        <f t="shared" si="3244"/>
        <v>0</v>
      </c>
      <c r="AY2622" s="84">
        <f t="shared" si="3245"/>
        <v>0</v>
      </c>
      <c r="AZ2622" s="84"/>
      <c r="BA2622" s="84"/>
      <c r="BB2622" s="84"/>
      <c r="BC2622" s="84"/>
      <c r="BD2622" s="84"/>
      <c r="BE2622" s="84"/>
      <c r="BF2622" s="84"/>
      <c r="BG2622" s="84"/>
      <c r="BH2622" s="84"/>
      <c r="BI2622" s="68" cm="1">
        <f t="array" ref="BI2622">IFERROR(INDEX(AW2622:BH2622,1,MATCH(2,1/(AW2622:BH2622&lt;&gt;""))),"")</f>
        <v>0</v>
      </c>
      <c r="BJ2622" s="68" cm="1">
        <f t="array" ref="BJ2622">IF(BM2622 = "", "",IFERROR(INDEX(AW2622:BH2622,1,MATCH(2,1/(AW2622:BH2622&lt;&gt;""),1)-1),""))</f>
        <v>0</v>
      </c>
      <c r="BK2622" s="57" cm="1">
        <f t="array" ref="BK2622">IFERROR(INDEX(AW2622:BH2622,1,MATCH(2,1/(AW2622:BH2622&lt;&gt;""),1)),"")</f>
        <v>0</v>
      </c>
      <c r="BL2622" s="57" cm="1">
        <f t="array" ref="BL2622">IF(BM2622 = "", "",IFERROR(INDEX(AW2622:BH2622,1,MATCH(2,1/(AW2622:BH2622&lt;&gt;""),1)-1),""))</f>
        <v>0</v>
      </c>
      <c r="BM2622" s="55" cm="1">
        <f t="array" ref="BM2622">IFERROR(
   INDEX($AW$1:$BH$1,
      _xlfn.AGGREGATE(14, 6, COLUMN($AW$1:$BH$1)/(AW2622:BH2622&lt;&gt;""), 2) - COLUMN($AW$1) + 1
   ),
"")</f>
        <v>46054</v>
      </c>
      <c r="BN2622" s="55" cm="1">
        <f t="array" ref="BN2622">IFERROR(INDEX($AW$1:$BH$1,1,MATCH(2,1/(AW2622:BH2622&lt;&gt;""))),"")</f>
        <v>46082</v>
      </c>
      <c r="BO2622" s="53">
        <f ca="1">IFERROR(_xlfn.XLOOKUP(F2622,Apuração!A:A,Apuração!C:C)/_xlfn.XLOOKUP(F2622,Apuração!A:A,Apuração!B:B),0)</f>
        <v>0</v>
      </c>
      <c r="BP2622" s="53">
        <f ca="1">IFERROR(_xlfn.XLOOKUP(F2622,Apuração!A:A,Apuração!D:D)/_xlfn.XLOOKUP(F2622,Apuração!A:A,Apuração!B:B),0)</f>
        <v>0</v>
      </c>
      <c r="BQ2622" s="53">
        <f ca="1">IF(BK2622&gt;=BO2622,0,_xlfn.XLOOKUP(F2622,Apuração!A:A,Apuração!B:B)*(BO2622 + (1/_xlfn.XLOOKUP(F2622,Apuração!A:A,Apuração!B:B)) - BK2622))</f>
        <v>0</v>
      </c>
      <c r="BR2622" s="85">
        <f t="shared" ca="1" si="3246"/>
        <v>0</v>
      </c>
      <c r="BS2622" s="53">
        <f ca="1">IFERROR((_xlfn.XLOOKUP(F2622,Apuração!A:A,Apuração!C:C)+1)/_xlfn.XLOOKUP(F2622,Apuração!A:A,Apuração!B:B),0)</f>
        <v>0.14285714285714285</v>
      </c>
    </row>
    <row r="2623" spans="1:71" ht="25.95" hidden="1" customHeight="1" x14ac:dyDescent="0.3">
      <c r="A2623" s="72" t="s">
        <v>44</v>
      </c>
      <c r="B2623" s="73" t="s">
        <v>44</v>
      </c>
      <c r="C2623" s="74" t="s">
        <v>214</v>
      </c>
      <c r="D2623" s="5" t="s">
        <v>48</v>
      </c>
      <c r="E2623" s="4" t="str" cm="1">
        <f t="array" ref="E2623">_xlfn.IFS(
F2623 = "A partir de Abril", "Aguardando Execução na Distribuidora",
A2623 = "CAPACITAÇÃO", "Em execução no Corporativo",
TRUE, "Em Execução na Distribuidora"
)</f>
        <v>Em Execução na Distribuidora</v>
      </c>
      <c r="F2623" s="4" t="str" cm="1">
        <f t="array" ref="F2623">_xlfn.IFS(
AG2623 &lt;&gt; "", "Jan-Dez/26",
AH2623 &lt;&gt; "", "Fev-Dez/26",
AI2623 &lt;&gt; "", "Mar-Dez/26", AJ2623 &lt;&gt; "", "Abr-Dez/26",
TRUE, "A partir de Junho"
)</f>
        <v>A partir de Junho</v>
      </c>
      <c r="G2623" s="75" t="s">
        <v>44</v>
      </c>
      <c r="H2623" s="76" t="s">
        <v>44</v>
      </c>
      <c r="I2623" s="77"/>
      <c r="J2623" s="77"/>
      <c r="K2623" s="77"/>
      <c r="L2623" s="77" t="s">
        <v>228</v>
      </c>
      <c r="M2623" s="78"/>
      <c r="N2623" s="74" t="s">
        <v>42</v>
      </c>
      <c r="O2623" s="74" t="s">
        <v>52</v>
      </c>
      <c r="P2623" s="75" t="s">
        <v>44</v>
      </c>
      <c r="Q2623" s="75" t="s">
        <v>44</v>
      </c>
      <c r="R2623" s="79" t="s">
        <v>44</v>
      </c>
      <c r="S2623" s="79" t="s">
        <v>44</v>
      </c>
      <c r="T2623" s="22"/>
      <c r="U2623" s="22"/>
      <c r="V2623" s="22"/>
      <c r="W2623" s="22"/>
      <c r="X2623" s="22"/>
      <c r="Y2623" s="22"/>
      <c r="Z2623" s="22"/>
      <c r="AA2623" s="22"/>
      <c r="AB2623" s="22"/>
      <c r="AC2623" s="22"/>
      <c r="AD2623" s="22"/>
      <c r="AE2623" s="22"/>
      <c r="AG2623" s="112"/>
      <c r="AH2623" s="112"/>
      <c r="AI2623" s="112"/>
      <c r="AJ2623" s="71"/>
      <c r="AK2623" s="71"/>
      <c r="AL2623" s="71"/>
      <c r="AM2623" s="71"/>
      <c r="AN2623" s="71"/>
      <c r="AO2623" s="71"/>
      <c r="AP2623" s="71"/>
      <c r="AQ2623" s="71"/>
      <c r="AR2623" s="71"/>
      <c r="AS2623" s="94"/>
      <c r="AT2623" s="95"/>
      <c r="AU2623" s="97"/>
      <c r="AW2623" s="84">
        <f t="shared" si="3243"/>
        <v>0</v>
      </c>
      <c r="AX2623" s="84">
        <f t="shared" si="3244"/>
        <v>0</v>
      </c>
      <c r="AY2623" s="84">
        <f t="shared" si="3245"/>
        <v>0</v>
      </c>
      <c r="AZ2623" s="84"/>
      <c r="BA2623" s="84"/>
      <c r="BB2623" s="84"/>
      <c r="BC2623" s="84"/>
      <c r="BD2623" s="84"/>
      <c r="BE2623" s="84"/>
      <c r="BF2623" s="84"/>
      <c r="BG2623" s="84"/>
      <c r="BH2623" s="84"/>
      <c r="BI2623" s="68" cm="1">
        <f t="array" ref="BI2623">IFERROR(INDEX(AW2623:BH2623,1,MATCH(2,1/(AW2623:BH2623&lt;&gt;""))),"")</f>
        <v>0</v>
      </c>
      <c r="BJ2623" s="68" cm="1">
        <f t="array" ref="BJ2623">IF(BM2623 = "", "",IFERROR(INDEX(AW2623:BH2623,1,MATCH(2,1/(AW2623:BH2623&lt;&gt;""),1)-1),""))</f>
        <v>0</v>
      </c>
      <c r="BK2623" s="57" cm="1">
        <f t="array" ref="BK2623">IFERROR(INDEX(AW2623:BH2623,1,MATCH(2,1/(AW2623:BH2623&lt;&gt;""),1)),"")</f>
        <v>0</v>
      </c>
      <c r="BL2623" s="57" cm="1">
        <f t="array" ref="BL2623">IF(BM2623 = "", "",IFERROR(INDEX(AW2623:BH2623,1,MATCH(2,1/(AW2623:BH2623&lt;&gt;""),1)-1),""))</f>
        <v>0</v>
      </c>
      <c r="BM2623" s="55" cm="1">
        <f t="array" ref="BM2623">IFERROR(
   INDEX($AW$1:$BH$1,
      _xlfn.AGGREGATE(14, 6, COLUMN($AW$1:$BH$1)/(AW2623:BH2623&lt;&gt;""), 2) - COLUMN($AW$1) + 1
   ),
"")</f>
        <v>46054</v>
      </c>
      <c r="BN2623" s="55" cm="1">
        <f t="array" ref="BN2623">IFERROR(INDEX($AW$1:$BH$1,1,MATCH(2,1/(AW2623:BH2623&lt;&gt;""))),"")</f>
        <v>46082</v>
      </c>
      <c r="BO2623" s="53">
        <f ca="1">IFERROR(_xlfn.XLOOKUP(F2623,Apuração!A:A,Apuração!C:C)/_xlfn.XLOOKUP(F2623,Apuração!A:A,Apuração!B:B),0)</f>
        <v>0</v>
      </c>
      <c r="BP2623" s="53">
        <f ca="1">IFERROR(_xlfn.XLOOKUP(F2623,Apuração!A:A,Apuração!D:D)/_xlfn.XLOOKUP(F2623,Apuração!A:A,Apuração!B:B),0)</f>
        <v>0</v>
      </c>
      <c r="BQ2623" s="53">
        <f ca="1">IF(BK2623&gt;=BO2623,0,_xlfn.XLOOKUP(F2623,Apuração!A:A,Apuração!B:B)*(BO2623 + (1/_xlfn.XLOOKUP(F2623,Apuração!A:A,Apuração!B:B)) - BK2623))</f>
        <v>0</v>
      </c>
      <c r="BR2623" s="85">
        <f t="shared" ca="1" si="3246"/>
        <v>0</v>
      </c>
      <c r="BS2623" s="53">
        <f ca="1">IFERROR((_xlfn.XLOOKUP(F2623,Apuração!A:A,Apuração!C:C)+1)/_xlfn.XLOOKUP(F2623,Apuração!A:A,Apuração!B:B),0)</f>
        <v>0.14285714285714285</v>
      </c>
    </row>
    <row r="2624" spans="1:71" ht="25.95" hidden="1" customHeight="1" x14ac:dyDescent="0.3">
      <c r="A2624" s="72" t="s">
        <v>44</v>
      </c>
      <c r="B2624" s="73" t="s">
        <v>44</v>
      </c>
      <c r="C2624" s="74" t="s">
        <v>214</v>
      </c>
      <c r="D2624" s="5" t="s">
        <v>213</v>
      </c>
      <c r="E2624" s="4" t="str" cm="1">
        <f t="array" ref="E2624">_xlfn.IFS(
F2624 = "A partir de Abril", "Aguardando Execução na Distribuidora",
A2624 = "CAPACITAÇÃO", "Em execução no Corporativo",
TRUE, "Em Execução na Distribuidora"
)</f>
        <v>Em Execução na Distribuidora</v>
      </c>
      <c r="F2624" s="4" t="str" cm="1">
        <f t="array" ref="F2624">_xlfn.IFS(
AG2624 &lt;&gt; "", "Jan-Dez/26",
AH2624 &lt;&gt; "", "Fev-Dez/26",
AI2624 &lt;&gt; "", "Mar-Dez/26", AJ2624 &lt;&gt; "", "Abr-Dez/26",
TRUE, "A partir de Junho"
)</f>
        <v>A partir de Junho</v>
      </c>
      <c r="G2624" s="75" t="s">
        <v>44</v>
      </c>
      <c r="H2624" s="76" t="s">
        <v>44</v>
      </c>
      <c r="I2624" s="77"/>
      <c r="J2624" s="77"/>
      <c r="K2624" s="77"/>
      <c r="L2624" s="77" t="s">
        <v>228</v>
      </c>
      <c r="M2624" s="78"/>
      <c r="N2624" s="74" t="s">
        <v>42</v>
      </c>
      <c r="O2624" s="74" t="s">
        <v>52</v>
      </c>
      <c r="P2624" s="75" t="s">
        <v>44</v>
      </c>
      <c r="Q2624" s="75" t="s">
        <v>44</v>
      </c>
      <c r="R2624" s="79" t="s">
        <v>44</v>
      </c>
      <c r="S2624" s="79" t="s">
        <v>44</v>
      </c>
      <c r="T2624" s="22"/>
      <c r="U2624" s="22"/>
      <c r="V2624" s="22"/>
      <c r="W2624" s="22"/>
      <c r="X2624" s="22"/>
      <c r="Y2624" s="22"/>
      <c r="Z2624" s="22"/>
      <c r="AA2624" s="22"/>
      <c r="AB2624" s="22"/>
      <c r="AC2624" s="22"/>
      <c r="AD2624" s="22"/>
      <c r="AE2624" s="22"/>
      <c r="AG2624" s="112"/>
      <c r="AH2624" s="112"/>
      <c r="AI2624" s="112"/>
      <c r="AJ2624" s="71"/>
      <c r="AK2624" s="71"/>
      <c r="AL2624" s="71"/>
      <c r="AM2624" s="71"/>
      <c r="AN2624" s="71"/>
      <c r="AO2624" s="71"/>
      <c r="AP2624" s="71"/>
      <c r="AQ2624" s="71"/>
      <c r="AR2624" s="71"/>
      <c r="AS2624" s="94"/>
      <c r="AT2624" s="95"/>
      <c r="AU2624" s="97"/>
      <c r="AW2624" s="84">
        <f t="shared" si="3243"/>
        <v>0</v>
      </c>
      <c r="AX2624" s="84">
        <f t="shared" si="3244"/>
        <v>0</v>
      </c>
      <c r="AY2624" s="84">
        <f t="shared" si="3245"/>
        <v>0</v>
      </c>
      <c r="AZ2624" s="84"/>
      <c r="BA2624" s="84"/>
      <c r="BB2624" s="84"/>
      <c r="BC2624" s="84"/>
      <c r="BD2624" s="84"/>
      <c r="BE2624" s="84"/>
      <c r="BF2624" s="84"/>
      <c r="BG2624" s="84"/>
      <c r="BH2624" s="84"/>
      <c r="BI2624" s="68" cm="1">
        <f t="array" ref="BI2624">IFERROR(INDEX(AW2624:BH2624,1,MATCH(2,1/(AW2624:BH2624&lt;&gt;""))),"")</f>
        <v>0</v>
      </c>
      <c r="BJ2624" s="68" cm="1">
        <f t="array" ref="BJ2624">IF(BM2624 = "", "",IFERROR(INDEX(AW2624:BH2624,1,MATCH(2,1/(AW2624:BH2624&lt;&gt;""),1)-1),""))</f>
        <v>0</v>
      </c>
      <c r="BK2624" s="57" cm="1">
        <f t="array" ref="BK2624">IFERROR(INDEX(AW2624:BH2624,1,MATCH(2,1/(AW2624:BH2624&lt;&gt;""),1)),"")</f>
        <v>0</v>
      </c>
      <c r="BL2624" s="57" cm="1">
        <f t="array" ref="BL2624">IF(BM2624 = "", "",IFERROR(INDEX(AW2624:BH2624,1,MATCH(2,1/(AW2624:BH2624&lt;&gt;""),1)-1),""))</f>
        <v>0</v>
      </c>
      <c r="BM2624" s="55" cm="1">
        <f t="array" ref="BM2624">IFERROR(
   INDEX($AW$1:$BH$1,
      _xlfn.AGGREGATE(14, 6, COLUMN($AW$1:$BH$1)/(AW2624:BH2624&lt;&gt;""), 2) - COLUMN($AW$1) + 1
   ),
"")</f>
        <v>46054</v>
      </c>
      <c r="BN2624" s="55" cm="1">
        <f t="array" ref="BN2624">IFERROR(INDEX($AW$1:$BH$1,1,MATCH(2,1/(AW2624:BH2624&lt;&gt;""))),"")</f>
        <v>46082</v>
      </c>
      <c r="BO2624" s="53">
        <f ca="1">IFERROR(_xlfn.XLOOKUP(F2624,Apuração!A:A,Apuração!C:C)/_xlfn.XLOOKUP(F2624,Apuração!A:A,Apuração!B:B),0)</f>
        <v>0</v>
      </c>
      <c r="BP2624" s="53">
        <f ca="1">IFERROR(_xlfn.XLOOKUP(F2624,Apuração!A:A,Apuração!D:D)/_xlfn.XLOOKUP(F2624,Apuração!A:A,Apuração!B:B),0)</f>
        <v>0</v>
      </c>
      <c r="BQ2624" s="53">
        <f ca="1">IF(BK2624&gt;=BO2624,0,_xlfn.XLOOKUP(F2624,Apuração!A:A,Apuração!B:B)*(BO2624 + (1/_xlfn.XLOOKUP(F2624,Apuração!A:A,Apuração!B:B)) - BK2624))</f>
        <v>0</v>
      </c>
      <c r="BR2624" s="85">
        <f t="shared" ca="1" si="3246"/>
        <v>0</v>
      </c>
      <c r="BS2624" s="53">
        <f ca="1">IFERROR((_xlfn.XLOOKUP(F2624,Apuração!A:A,Apuração!C:C)+1)/_xlfn.XLOOKUP(F2624,Apuração!A:A,Apuração!B:B),0)</f>
        <v>0.14285714285714285</v>
      </c>
    </row>
    <row r="2625" spans="1:71" ht="25.95" hidden="1" customHeight="1" x14ac:dyDescent="0.3">
      <c r="A2625" s="72" t="s">
        <v>44</v>
      </c>
      <c r="B2625" s="73" t="s">
        <v>44</v>
      </c>
      <c r="C2625" s="74" t="s">
        <v>214</v>
      </c>
      <c r="D2625" s="5" t="s">
        <v>36</v>
      </c>
      <c r="E2625" s="4" t="str" cm="1">
        <f t="array" ref="E2625">_xlfn.IFS(
F2625 = "A partir de Abril", "Aguardando Execução na Distribuidora",
A2625 = "CAPACITAÇÃO", "Em execução no Corporativo",
TRUE, "Em Execução na Distribuidora"
)</f>
        <v>Em Execução na Distribuidora</v>
      </c>
      <c r="F2625" s="4" t="str" cm="1">
        <f t="array" ref="F2625">_xlfn.IFS(
AG2625 &lt;&gt; "", "Jan-Dez/26",
AH2625 &lt;&gt; "", "Fev-Dez/26",
AI2625 &lt;&gt; "", "Mar-Dez/26", AJ2625 &lt;&gt; "", "Abr-Dez/26",
TRUE, "A partir de Junho"
)</f>
        <v>Jan-Dez/26</v>
      </c>
      <c r="G2625" s="75" t="s">
        <v>44</v>
      </c>
      <c r="H2625" s="76" t="s">
        <v>44</v>
      </c>
      <c r="I2625" s="77"/>
      <c r="J2625" s="77"/>
      <c r="K2625" s="77"/>
      <c r="L2625" s="77" t="s">
        <v>240</v>
      </c>
      <c r="M2625" s="78"/>
      <c r="N2625" s="74" t="s">
        <v>42</v>
      </c>
      <c r="O2625" s="74" t="s">
        <v>52</v>
      </c>
      <c r="P2625" s="75" t="s">
        <v>44</v>
      </c>
      <c r="Q2625" s="75" t="s">
        <v>44</v>
      </c>
      <c r="R2625" s="79" t="s">
        <v>44</v>
      </c>
      <c r="S2625" s="79" t="s">
        <v>44</v>
      </c>
      <c r="T2625" s="22"/>
      <c r="U2625" s="22"/>
      <c r="V2625" s="22"/>
      <c r="W2625" s="22"/>
      <c r="X2625" s="22"/>
      <c r="Y2625" s="22"/>
      <c r="Z2625" s="22"/>
      <c r="AA2625" s="22"/>
      <c r="AB2625" s="22"/>
      <c r="AC2625" s="22"/>
      <c r="AD2625" s="22"/>
      <c r="AE2625" s="22"/>
      <c r="AG2625" s="112">
        <v>3323.1560122613901</v>
      </c>
      <c r="AH2625" s="112">
        <v>0</v>
      </c>
      <c r="AI2625" s="112">
        <v>1048.6809656048849</v>
      </c>
      <c r="AJ2625" s="112">
        <v>768.5</v>
      </c>
      <c r="AK2625" s="112"/>
      <c r="AL2625" s="112"/>
      <c r="AM2625" s="112"/>
      <c r="AN2625" s="112"/>
      <c r="AO2625" s="112"/>
      <c r="AP2625" s="112"/>
      <c r="AQ2625" s="112"/>
      <c r="AR2625" s="112"/>
      <c r="AS2625" s="94"/>
      <c r="AT2625" s="95"/>
      <c r="AU2625" s="97"/>
      <c r="AW2625" s="84">
        <f>AG2625</f>
        <v>3323.1560122613901</v>
      </c>
      <c r="AX2625" s="84">
        <f>AH2625</f>
        <v>0</v>
      </c>
      <c r="AY2625" s="84">
        <f>AI2625</f>
        <v>1048.6809656048849</v>
      </c>
      <c r="AZ2625" s="84">
        <f>AJ2625</f>
        <v>768.5</v>
      </c>
      <c r="BA2625" s="84"/>
      <c r="BB2625" s="84"/>
      <c r="BC2625" s="84"/>
      <c r="BD2625" s="84"/>
      <c r="BE2625" s="84"/>
      <c r="BF2625" s="84"/>
      <c r="BG2625" s="84"/>
      <c r="BH2625" s="84"/>
      <c r="BI2625" s="68" cm="1">
        <f t="array" ref="BI2625">IFERROR(INDEX(AW2625:BH2625,1,MATCH(2,1/(AW2625:BH2625&lt;&gt;""))),"")</f>
        <v>768.5</v>
      </c>
      <c r="BJ2625" s="68" cm="1">
        <f t="array" ref="BJ2625">IF(BM2625 = "", "",IFERROR(INDEX(AW2625:BH2625,1,MATCH(2,1/(AW2625:BH2625&lt;&gt;""),1)-1),""))</f>
        <v>1048.6809656048849</v>
      </c>
      <c r="BK2625" s="57" cm="1">
        <f t="array" ref="BK2625">IFERROR(INDEX(AW2625:BH2625,1,MATCH(2,1/(AW2625:BH2625&lt;&gt;""),1)),"")</f>
        <v>768.5</v>
      </c>
      <c r="BL2625" s="57" cm="1">
        <f t="array" ref="BL2625">IF(BM2625 = "", "",IFERROR(INDEX(AW2625:BH2625,1,MATCH(2,1/(AW2625:BH2625&lt;&gt;""),1)-1),""))</f>
        <v>1048.6809656048849</v>
      </c>
      <c r="BM2625" s="55" cm="1">
        <f t="array" ref="BM2625">IFERROR(
   INDEX($AW$1:$BH$1,
      _xlfn.AGGREGATE(14, 6, COLUMN($AW$1:$BH$1)/(AW2625:BH2625&lt;&gt;""), 2) - COLUMN($AW$1) + 1
   ),
"")</f>
        <v>46082</v>
      </c>
      <c r="BN2625" s="55" cm="1">
        <f t="array" ref="BN2625">IFERROR(INDEX($AW$1:$BH$1,1,MATCH(2,1/(AW2625:BH2625&lt;&gt;""))),"")</f>
        <v>46113</v>
      </c>
      <c r="BO2625" s="53">
        <f ca="1">IFERROR(_xlfn.XLOOKUP(F2625,Apuração!A:A,Apuração!C:C)/_xlfn.XLOOKUP(F2625,Apuração!A:A,Apuração!B:B),0)</f>
        <v>0.41666666666666669</v>
      </c>
      <c r="BP2625" s="53">
        <f ca="1">IFERROR(_xlfn.XLOOKUP(F2625,Apuração!A:A,Apuração!D:D)/_xlfn.XLOOKUP(F2625,Apuração!A:A,Apuração!B:B),0)</f>
        <v>0.33333333333333331</v>
      </c>
      <c r="BQ2625" s="53">
        <f ca="1">IF(BK2625&gt;=BO2625,0,_xlfn.XLOOKUP(F2625,Apuração!A:A,Apuração!B:B)*(BO2625 + (1/_xlfn.XLOOKUP(F2625,Apuração!A:A,Apuração!B:B)) - BK2625))</f>
        <v>0</v>
      </c>
      <c r="BR2625" s="85">
        <f ca="1">IF(BQ2625=0,0,BQ2625*Z2625)</f>
        <v>0</v>
      </c>
      <c r="BS2625" s="53">
        <f ca="1">IFERROR((_xlfn.XLOOKUP(F2625,Apuração!A:A,Apuração!C:C)+1)/_xlfn.XLOOKUP(F2625,Apuração!A:A,Apuração!B:B),0)</f>
        <v>0.5</v>
      </c>
    </row>
    <row r="2626" spans="1:71" ht="25.95" hidden="1" customHeight="1" x14ac:dyDescent="0.3">
      <c r="A2626" s="72" t="s">
        <v>44</v>
      </c>
      <c r="B2626" s="73" t="s">
        <v>44</v>
      </c>
      <c r="C2626" s="74" t="s">
        <v>216</v>
      </c>
      <c r="D2626" s="5" t="s">
        <v>217</v>
      </c>
      <c r="E2626" s="4" t="str" cm="1">
        <f t="array" ref="E2626">_xlfn.IFS(
F2626 = "A partir de Abril", "Aguardando Execução na Distribuidora",
A2626 = "CAPACITAÇÃO", "Em execução no Corporativo",
TRUE, "Em Execução na Distribuidora"
)</f>
        <v>Em Execução na Distribuidora</v>
      </c>
      <c r="F2626" s="4" t="str" cm="1">
        <f t="array" ref="F2626">_xlfn.IFS(
AG2626 &lt;&gt; "", "Jan-Dez/26",
AH2626 &lt;&gt; "", "Fev-Dez/26",
AI2626 &lt;&gt; "", "Mar-Dez/26", AJ2626 &lt;&gt; "", "Abr-Dez/26",
TRUE, "A partir de Junho"
)</f>
        <v>A partir de Junho</v>
      </c>
      <c r="G2626" s="75" t="s">
        <v>44</v>
      </c>
      <c r="H2626" s="76" t="s">
        <v>44</v>
      </c>
      <c r="I2626" s="77"/>
      <c r="J2626" s="77"/>
      <c r="K2626" s="77"/>
      <c r="L2626" s="77" t="s">
        <v>228</v>
      </c>
      <c r="M2626" s="78"/>
      <c r="N2626" s="74" t="s">
        <v>42</v>
      </c>
      <c r="O2626" s="74" t="s">
        <v>52</v>
      </c>
      <c r="P2626" s="75" t="s">
        <v>44</v>
      </c>
      <c r="Q2626" s="75" t="s">
        <v>44</v>
      </c>
      <c r="R2626" s="79" t="s">
        <v>44</v>
      </c>
      <c r="S2626" s="79" t="s">
        <v>44</v>
      </c>
      <c r="T2626" s="22"/>
      <c r="U2626" s="22"/>
      <c r="V2626" s="22"/>
      <c r="W2626" s="22"/>
      <c r="X2626" s="22"/>
      <c r="Y2626" s="22"/>
      <c r="Z2626" s="22"/>
      <c r="AA2626" s="22"/>
      <c r="AB2626" s="22"/>
      <c r="AC2626" s="22"/>
      <c r="AD2626" s="22"/>
      <c r="AE2626" s="22"/>
      <c r="AG2626" s="112"/>
      <c r="AH2626" s="112"/>
      <c r="AI2626" s="112"/>
      <c r="AJ2626" s="71"/>
      <c r="AK2626" s="71"/>
      <c r="AL2626" s="71"/>
      <c r="AM2626" s="71"/>
      <c r="AN2626" s="71"/>
      <c r="AO2626" s="71"/>
      <c r="AP2626" s="71"/>
      <c r="AQ2626" s="71"/>
      <c r="AR2626" s="71"/>
      <c r="AS2626" s="94"/>
      <c r="AT2626" s="95"/>
      <c r="AU2626" s="97"/>
      <c r="AW2626" s="84">
        <f t="shared" ref="AW2626:AW2629" si="3247">AG2626</f>
        <v>0</v>
      </c>
      <c r="AX2626" s="84">
        <f t="shared" ref="AX2626:AX2629" si="3248">AH2626</f>
        <v>0</v>
      </c>
      <c r="AY2626" s="84">
        <f t="shared" ref="AY2626:AY2629" si="3249">AI2626</f>
        <v>0</v>
      </c>
      <c r="AZ2626" s="84"/>
      <c r="BA2626" s="84"/>
      <c r="BB2626" s="84"/>
      <c r="BC2626" s="84"/>
      <c r="BD2626" s="84"/>
      <c r="BE2626" s="84"/>
      <c r="BF2626" s="84"/>
      <c r="BG2626" s="84"/>
      <c r="BH2626" s="84"/>
      <c r="BI2626" s="68" cm="1">
        <f t="array" ref="BI2626">IFERROR(INDEX(AW2626:BH2626,1,MATCH(2,1/(AW2626:BH2626&lt;&gt;""))),"")</f>
        <v>0</v>
      </c>
      <c r="BJ2626" s="68" cm="1">
        <f t="array" ref="BJ2626">IF(BM2626 = "", "",IFERROR(INDEX(AW2626:BH2626,1,MATCH(2,1/(AW2626:BH2626&lt;&gt;""),1)-1),""))</f>
        <v>0</v>
      </c>
      <c r="BK2626" s="57" cm="1">
        <f t="array" ref="BK2626">IFERROR(INDEX(AW2626:BH2626,1,MATCH(2,1/(AW2626:BH2626&lt;&gt;""),1)),"")</f>
        <v>0</v>
      </c>
      <c r="BL2626" s="57" cm="1">
        <f t="array" ref="BL2626">IF(BM2626 = "", "",IFERROR(INDEX(AW2626:BH2626,1,MATCH(2,1/(AW2626:BH2626&lt;&gt;""),1)-1),""))</f>
        <v>0</v>
      </c>
      <c r="BM2626" s="55" cm="1">
        <f t="array" ref="BM2626">IFERROR(
   INDEX($AW$1:$BH$1,
      _xlfn.AGGREGATE(14, 6, COLUMN($AW$1:$BH$1)/(AW2626:BH2626&lt;&gt;""), 2) - COLUMN($AW$1) + 1
   ),
"")</f>
        <v>46054</v>
      </c>
      <c r="BN2626" s="55" cm="1">
        <f t="array" ref="BN2626">IFERROR(INDEX($AW$1:$BH$1,1,MATCH(2,1/(AW2626:BH2626&lt;&gt;""))),"")</f>
        <v>46082</v>
      </c>
      <c r="BO2626" s="53">
        <f ca="1">IFERROR(_xlfn.XLOOKUP(F2626,Apuração!A:A,Apuração!C:C)/_xlfn.XLOOKUP(F2626,Apuração!A:A,Apuração!B:B),0)</f>
        <v>0</v>
      </c>
      <c r="BP2626" s="53">
        <f ca="1">IFERROR(_xlfn.XLOOKUP(F2626,Apuração!A:A,Apuração!D:D)/_xlfn.XLOOKUP(F2626,Apuração!A:A,Apuração!B:B),0)</f>
        <v>0</v>
      </c>
      <c r="BQ2626" s="53">
        <f ca="1">IF(BK2626&gt;=BO2626,0,_xlfn.XLOOKUP(F2626,Apuração!A:A,Apuração!B:B)*(BO2626 + (1/_xlfn.XLOOKUP(F2626,Apuração!A:A,Apuração!B:B)) - BK2626))</f>
        <v>0</v>
      </c>
      <c r="BR2626" s="85">
        <f t="shared" ref="BR2626:BR2629" ca="1" si="3250">IF(BQ2626=0,0,BQ2626*Z2626)</f>
        <v>0</v>
      </c>
      <c r="BS2626" s="53">
        <f ca="1">IFERROR((_xlfn.XLOOKUP(F2626,Apuração!A:A,Apuração!C:C)+1)/_xlfn.XLOOKUP(F2626,Apuração!A:A,Apuração!B:B),0)</f>
        <v>0.14285714285714285</v>
      </c>
    </row>
    <row r="2627" spans="1:71" ht="25.95" hidden="1" customHeight="1" x14ac:dyDescent="0.3">
      <c r="A2627" s="72" t="s">
        <v>44</v>
      </c>
      <c r="B2627" s="73" t="s">
        <v>44</v>
      </c>
      <c r="C2627" s="74" t="s">
        <v>216</v>
      </c>
      <c r="D2627" s="5" t="s">
        <v>103</v>
      </c>
      <c r="E2627" s="4" t="str" cm="1">
        <f t="array" ref="E2627">_xlfn.IFS(
F2627 = "A partir de Abril", "Aguardando Execução na Distribuidora",
A2627 = "CAPACITAÇÃO", "Em execução no Corporativo",
TRUE, "Em Execução na Distribuidora"
)</f>
        <v>Em Execução na Distribuidora</v>
      </c>
      <c r="F2627" s="4" t="str" cm="1">
        <f t="array" ref="F2627">_xlfn.IFS(
AG2627 &lt;&gt; "", "Jan-Dez/26",
AH2627 &lt;&gt; "", "Fev-Dez/26",
AI2627 &lt;&gt; "", "Mar-Dez/26", AJ2627 &lt;&gt; "", "Abr-Dez/26",
TRUE, "A partir de Junho"
)</f>
        <v>A partir de Junho</v>
      </c>
      <c r="G2627" s="75" t="s">
        <v>44</v>
      </c>
      <c r="H2627" s="76" t="s">
        <v>44</v>
      </c>
      <c r="I2627" s="77"/>
      <c r="J2627" s="77"/>
      <c r="K2627" s="77"/>
      <c r="L2627" s="77" t="s">
        <v>228</v>
      </c>
      <c r="M2627" s="78"/>
      <c r="N2627" s="74" t="s">
        <v>42</v>
      </c>
      <c r="O2627" s="74" t="s">
        <v>52</v>
      </c>
      <c r="P2627" s="75" t="s">
        <v>44</v>
      </c>
      <c r="Q2627" s="75" t="s">
        <v>44</v>
      </c>
      <c r="R2627" s="79" t="s">
        <v>44</v>
      </c>
      <c r="S2627" s="79" t="s">
        <v>44</v>
      </c>
      <c r="T2627" s="22"/>
      <c r="U2627" s="22"/>
      <c r="V2627" s="22"/>
      <c r="W2627" s="22"/>
      <c r="X2627" s="22"/>
      <c r="Y2627" s="22"/>
      <c r="Z2627" s="22"/>
      <c r="AA2627" s="22"/>
      <c r="AB2627" s="22"/>
      <c r="AC2627" s="22"/>
      <c r="AD2627" s="22"/>
      <c r="AE2627" s="22"/>
      <c r="AG2627" s="112"/>
      <c r="AH2627" s="112"/>
      <c r="AI2627" s="112"/>
      <c r="AJ2627" s="71"/>
      <c r="AK2627" s="71"/>
      <c r="AL2627" s="71"/>
      <c r="AM2627" s="71"/>
      <c r="AN2627" s="71"/>
      <c r="AO2627" s="71"/>
      <c r="AP2627" s="71"/>
      <c r="AQ2627" s="71"/>
      <c r="AR2627" s="71"/>
      <c r="AS2627" s="94"/>
      <c r="AT2627" s="95"/>
      <c r="AU2627" s="97"/>
      <c r="AW2627" s="84">
        <f t="shared" si="3247"/>
        <v>0</v>
      </c>
      <c r="AX2627" s="84">
        <f t="shared" si="3248"/>
        <v>0</v>
      </c>
      <c r="AY2627" s="84">
        <f t="shared" si="3249"/>
        <v>0</v>
      </c>
      <c r="AZ2627" s="84"/>
      <c r="BA2627" s="84"/>
      <c r="BB2627" s="84"/>
      <c r="BC2627" s="84"/>
      <c r="BD2627" s="84"/>
      <c r="BE2627" s="84"/>
      <c r="BF2627" s="84"/>
      <c r="BG2627" s="84"/>
      <c r="BH2627" s="84"/>
      <c r="BI2627" s="68" cm="1">
        <f t="array" ref="BI2627">IFERROR(INDEX(AW2627:BH2627,1,MATCH(2,1/(AW2627:BH2627&lt;&gt;""))),"")</f>
        <v>0</v>
      </c>
      <c r="BJ2627" s="68" cm="1">
        <f t="array" ref="BJ2627">IF(BM2627 = "", "",IFERROR(INDEX(AW2627:BH2627,1,MATCH(2,1/(AW2627:BH2627&lt;&gt;""),1)-1),""))</f>
        <v>0</v>
      </c>
      <c r="BK2627" s="57" cm="1">
        <f t="array" ref="BK2627">IFERROR(INDEX(AW2627:BH2627,1,MATCH(2,1/(AW2627:BH2627&lt;&gt;""),1)),"")</f>
        <v>0</v>
      </c>
      <c r="BL2627" s="57" cm="1">
        <f t="array" ref="BL2627">IF(BM2627 = "", "",IFERROR(INDEX(AW2627:BH2627,1,MATCH(2,1/(AW2627:BH2627&lt;&gt;""),1)-1),""))</f>
        <v>0</v>
      </c>
      <c r="BM2627" s="55" cm="1">
        <f t="array" ref="BM2627">IFERROR(
   INDEX($AW$1:$BH$1,
      _xlfn.AGGREGATE(14, 6, COLUMN($AW$1:$BH$1)/(AW2627:BH2627&lt;&gt;""), 2) - COLUMN($AW$1) + 1
   ),
"")</f>
        <v>46054</v>
      </c>
      <c r="BN2627" s="55" cm="1">
        <f t="array" ref="BN2627">IFERROR(INDEX($AW$1:$BH$1,1,MATCH(2,1/(AW2627:BH2627&lt;&gt;""))),"")</f>
        <v>46082</v>
      </c>
      <c r="BO2627" s="53">
        <f ca="1">IFERROR(_xlfn.XLOOKUP(F2627,Apuração!A:A,Apuração!C:C)/_xlfn.XLOOKUP(F2627,Apuração!A:A,Apuração!B:B),0)</f>
        <v>0</v>
      </c>
      <c r="BP2627" s="53">
        <f ca="1">IFERROR(_xlfn.XLOOKUP(F2627,Apuração!A:A,Apuração!D:D)/_xlfn.XLOOKUP(F2627,Apuração!A:A,Apuração!B:B),0)</f>
        <v>0</v>
      </c>
      <c r="BQ2627" s="53">
        <f ca="1">IF(BK2627&gt;=BO2627,0,_xlfn.XLOOKUP(F2627,Apuração!A:A,Apuração!B:B)*(BO2627 + (1/_xlfn.XLOOKUP(F2627,Apuração!A:A,Apuração!B:B)) - BK2627))</f>
        <v>0</v>
      </c>
      <c r="BR2627" s="85">
        <f t="shared" ca="1" si="3250"/>
        <v>0</v>
      </c>
      <c r="BS2627" s="53">
        <f ca="1">IFERROR((_xlfn.XLOOKUP(F2627,Apuração!A:A,Apuração!C:C)+1)/_xlfn.XLOOKUP(F2627,Apuração!A:A,Apuração!B:B),0)</f>
        <v>0.14285714285714285</v>
      </c>
    </row>
    <row r="2628" spans="1:71" ht="25.95" hidden="1" customHeight="1" x14ac:dyDescent="0.3">
      <c r="A2628" s="72" t="s">
        <v>44</v>
      </c>
      <c r="B2628" s="73" t="s">
        <v>44</v>
      </c>
      <c r="C2628" s="74" t="s">
        <v>216</v>
      </c>
      <c r="D2628" s="5" t="s">
        <v>218</v>
      </c>
      <c r="E2628" s="4" t="str" cm="1">
        <f t="array" ref="E2628">_xlfn.IFS(
F2628 = "A partir de Abril", "Aguardando Execução na Distribuidora",
A2628 = "CAPACITAÇÃO", "Em execução no Corporativo",
TRUE, "Em Execução na Distribuidora"
)</f>
        <v>Em Execução na Distribuidora</v>
      </c>
      <c r="F2628" s="4" t="str" cm="1">
        <f t="array" ref="F2628">_xlfn.IFS(
AG2628 &lt;&gt; "", "Jan-Dez/26",
AH2628 &lt;&gt; "", "Fev-Dez/26",
AI2628 &lt;&gt; "", "Mar-Dez/26", AJ2628 &lt;&gt; "", "Abr-Dez/26",
TRUE, "A partir de Junho"
)</f>
        <v>A partir de Junho</v>
      </c>
      <c r="G2628" s="75" t="s">
        <v>44</v>
      </c>
      <c r="H2628" s="76" t="s">
        <v>44</v>
      </c>
      <c r="I2628" s="77"/>
      <c r="J2628" s="77"/>
      <c r="K2628" s="77"/>
      <c r="L2628" s="77" t="s">
        <v>228</v>
      </c>
      <c r="M2628" s="78"/>
      <c r="N2628" s="74" t="s">
        <v>42</v>
      </c>
      <c r="O2628" s="74" t="s">
        <v>52</v>
      </c>
      <c r="P2628" s="75" t="s">
        <v>44</v>
      </c>
      <c r="Q2628" s="75" t="s">
        <v>44</v>
      </c>
      <c r="R2628" s="79" t="s">
        <v>44</v>
      </c>
      <c r="S2628" s="79" t="s">
        <v>44</v>
      </c>
      <c r="T2628" s="22"/>
      <c r="U2628" s="22"/>
      <c r="V2628" s="22"/>
      <c r="W2628" s="22"/>
      <c r="X2628" s="22"/>
      <c r="Y2628" s="22"/>
      <c r="Z2628" s="22"/>
      <c r="AA2628" s="22"/>
      <c r="AB2628" s="22"/>
      <c r="AC2628" s="22"/>
      <c r="AD2628" s="22"/>
      <c r="AE2628" s="22"/>
      <c r="AG2628" s="112"/>
      <c r="AH2628" s="112"/>
      <c r="AI2628" s="112"/>
      <c r="AJ2628" s="71"/>
      <c r="AK2628" s="71"/>
      <c r="AL2628" s="71"/>
      <c r="AM2628" s="71"/>
      <c r="AN2628" s="71"/>
      <c r="AO2628" s="71"/>
      <c r="AP2628" s="71"/>
      <c r="AQ2628" s="71"/>
      <c r="AR2628" s="71"/>
      <c r="AS2628" s="94"/>
      <c r="AT2628" s="95"/>
      <c r="AU2628" s="97"/>
      <c r="AW2628" s="84">
        <f t="shared" si="3247"/>
        <v>0</v>
      </c>
      <c r="AX2628" s="84">
        <f t="shared" si="3248"/>
        <v>0</v>
      </c>
      <c r="AY2628" s="84">
        <f t="shared" si="3249"/>
        <v>0</v>
      </c>
      <c r="AZ2628" s="84"/>
      <c r="BA2628" s="84"/>
      <c r="BB2628" s="84"/>
      <c r="BC2628" s="84"/>
      <c r="BD2628" s="84"/>
      <c r="BE2628" s="84"/>
      <c r="BF2628" s="84"/>
      <c r="BG2628" s="84"/>
      <c r="BH2628" s="84"/>
      <c r="BI2628" s="68" cm="1">
        <f t="array" ref="BI2628">IFERROR(INDEX(AW2628:BH2628,1,MATCH(2,1/(AW2628:BH2628&lt;&gt;""))),"")</f>
        <v>0</v>
      </c>
      <c r="BJ2628" s="68" cm="1">
        <f t="array" ref="BJ2628">IF(BM2628 = "", "",IFERROR(INDEX(AW2628:BH2628,1,MATCH(2,1/(AW2628:BH2628&lt;&gt;""),1)-1),""))</f>
        <v>0</v>
      </c>
      <c r="BK2628" s="57" cm="1">
        <f t="array" ref="BK2628">IFERROR(INDEX(AW2628:BH2628,1,MATCH(2,1/(AW2628:BH2628&lt;&gt;""),1)),"")</f>
        <v>0</v>
      </c>
      <c r="BL2628" s="57" cm="1">
        <f t="array" ref="BL2628">IF(BM2628 = "", "",IFERROR(INDEX(AW2628:BH2628,1,MATCH(2,1/(AW2628:BH2628&lt;&gt;""),1)-1),""))</f>
        <v>0</v>
      </c>
      <c r="BM2628" s="55" cm="1">
        <f t="array" ref="BM2628">IFERROR(
   INDEX($AW$1:$BH$1,
      _xlfn.AGGREGATE(14, 6, COLUMN($AW$1:$BH$1)/(AW2628:BH2628&lt;&gt;""), 2) - COLUMN($AW$1) + 1
   ),
"")</f>
        <v>46054</v>
      </c>
      <c r="BN2628" s="55" cm="1">
        <f t="array" ref="BN2628">IFERROR(INDEX($AW$1:$BH$1,1,MATCH(2,1/(AW2628:BH2628&lt;&gt;""))),"")</f>
        <v>46082</v>
      </c>
      <c r="BO2628" s="53">
        <f ca="1">IFERROR(_xlfn.XLOOKUP(F2628,Apuração!A:A,Apuração!C:C)/_xlfn.XLOOKUP(F2628,Apuração!A:A,Apuração!B:B),0)</f>
        <v>0</v>
      </c>
      <c r="BP2628" s="53">
        <f ca="1">IFERROR(_xlfn.XLOOKUP(F2628,Apuração!A:A,Apuração!D:D)/_xlfn.XLOOKUP(F2628,Apuração!A:A,Apuração!B:B),0)</f>
        <v>0</v>
      </c>
      <c r="BQ2628" s="53">
        <f ca="1">IF(BK2628&gt;=BO2628,0,_xlfn.XLOOKUP(F2628,Apuração!A:A,Apuração!B:B)*(BO2628 + (1/_xlfn.XLOOKUP(F2628,Apuração!A:A,Apuração!B:B)) - BK2628))</f>
        <v>0</v>
      </c>
      <c r="BR2628" s="85">
        <f t="shared" ca="1" si="3250"/>
        <v>0</v>
      </c>
      <c r="BS2628" s="53">
        <f ca="1">IFERROR((_xlfn.XLOOKUP(F2628,Apuração!A:A,Apuração!C:C)+1)/_xlfn.XLOOKUP(F2628,Apuração!A:A,Apuração!B:B),0)</f>
        <v>0.14285714285714285</v>
      </c>
    </row>
    <row r="2629" spans="1:71" ht="25.95" hidden="1" customHeight="1" x14ac:dyDescent="0.3">
      <c r="A2629" s="72" t="s">
        <v>44</v>
      </c>
      <c r="B2629" s="73" t="s">
        <v>44</v>
      </c>
      <c r="C2629" s="74" t="s">
        <v>216</v>
      </c>
      <c r="D2629" s="5" t="s">
        <v>219</v>
      </c>
      <c r="E2629" s="4" t="str" cm="1">
        <f t="array" ref="E2629">_xlfn.IFS(
F2629 = "A partir de Abril", "Aguardando Execução na Distribuidora",
A2629 = "CAPACITAÇÃO", "Em execução no Corporativo",
TRUE, "Em Execução na Distribuidora"
)</f>
        <v>Em Execução na Distribuidora</v>
      </c>
      <c r="F2629" s="4" t="str" cm="1">
        <f t="array" ref="F2629">_xlfn.IFS(
AG2629 &lt;&gt; "", "Jan-Dez/26",
AH2629 &lt;&gt; "", "Fev-Dez/26",
AI2629 &lt;&gt; "", "Mar-Dez/26", AJ2629 &lt;&gt; "", "Abr-Dez/26",
TRUE, "A partir de Junho"
)</f>
        <v>A partir de Junho</v>
      </c>
      <c r="G2629" s="75" t="s">
        <v>44</v>
      </c>
      <c r="H2629" s="76" t="s">
        <v>44</v>
      </c>
      <c r="I2629" s="77"/>
      <c r="J2629" s="77"/>
      <c r="K2629" s="77"/>
      <c r="L2629" s="77" t="s">
        <v>228</v>
      </c>
      <c r="M2629" s="78"/>
      <c r="N2629" s="74" t="s">
        <v>42</v>
      </c>
      <c r="O2629" s="74" t="s">
        <v>52</v>
      </c>
      <c r="P2629" s="75" t="s">
        <v>44</v>
      </c>
      <c r="Q2629" s="75" t="s">
        <v>44</v>
      </c>
      <c r="R2629" s="79" t="s">
        <v>44</v>
      </c>
      <c r="S2629" s="79" t="s">
        <v>44</v>
      </c>
      <c r="T2629" s="22"/>
      <c r="U2629" s="22"/>
      <c r="V2629" s="22"/>
      <c r="W2629" s="22"/>
      <c r="X2629" s="22"/>
      <c r="Y2629" s="22"/>
      <c r="Z2629" s="22"/>
      <c r="AA2629" s="22"/>
      <c r="AB2629" s="22"/>
      <c r="AC2629" s="22"/>
      <c r="AD2629" s="22"/>
      <c r="AE2629" s="22"/>
      <c r="AG2629" s="112"/>
      <c r="AH2629" s="112"/>
      <c r="AI2629" s="112"/>
      <c r="AJ2629" s="71"/>
      <c r="AK2629" s="71"/>
      <c r="AL2629" s="71"/>
      <c r="AM2629" s="71"/>
      <c r="AN2629" s="71"/>
      <c r="AO2629" s="71"/>
      <c r="AP2629" s="71"/>
      <c r="AQ2629" s="71"/>
      <c r="AR2629" s="71"/>
      <c r="AS2629" s="94"/>
      <c r="AT2629" s="95"/>
      <c r="AU2629" s="97"/>
      <c r="AW2629" s="84">
        <f t="shared" si="3247"/>
        <v>0</v>
      </c>
      <c r="AX2629" s="84">
        <f t="shared" si="3248"/>
        <v>0</v>
      </c>
      <c r="AY2629" s="84">
        <f t="shared" si="3249"/>
        <v>0</v>
      </c>
      <c r="AZ2629" s="84"/>
      <c r="BA2629" s="84"/>
      <c r="BB2629" s="84"/>
      <c r="BC2629" s="84"/>
      <c r="BD2629" s="84"/>
      <c r="BE2629" s="84"/>
      <c r="BF2629" s="84"/>
      <c r="BG2629" s="84"/>
      <c r="BH2629" s="84"/>
      <c r="BI2629" s="68" cm="1">
        <f t="array" ref="BI2629">IFERROR(INDEX(AW2629:BH2629,1,MATCH(2,1/(AW2629:BH2629&lt;&gt;""))),"")</f>
        <v>0</v>
      </c>
      <c r="BJ2629" s="68" cm="1">
        <f t="array" ref="BJ2629">IF(BM2629 = "", "",IFERROR(INDEX(AW2629:BH2629,1,MATCH(2,1/(AW2629:BH2629&lt;&gt;""),1)-1),""))</f>
        <v>0</v>
      </c>
      <c r="BK2629" s="57" cm="1">
        <f t="array" ref="BK2629">IFERROR(INDEX(AW2629:BH2629,1,MATCH(2,1/(AW2629:BH2629&lt;&gt;""),1)),"")</f>
        <v>0</v>
      </c>
      <c r="BL2629" s="57" cm="1">
        <f t="array" ref="BL2629">IF(BM2629 = "", "",IFERROR(INDEX(AW2629:BH2629,1,MATCH(2,1/(AW2629:BH2629&lt;&gt;""),1)-1),""))</f>
        <v>0</v>
      </c>
      <c r="BM2629" s="55" cm="1">
        <f t="array" ref="BM2629">IFERROR(
   INDEX($AW$1:$BH$1,
      _xlfn.AGGREGATE(14, 6, COLUMN($AW$1:$BH$1)/(AW2629:BH2629&lt;&gt;""), 2) - COLUMN($AW$1) + 1
   ),
"")</f>
        <v>46054</v>
      </c>
      <c r="BN2629" s="55" cm="1">
        <f t="array" ref="BN2629">IFERROR(INDEX($AW$1:$BH$1,1,MATCH(2,1/(AW2629:BH2629&lt;&gt;""))),"")</f>
        <v>46082</v>
      </c>
      <c r="BO2629" s="53">
        <f ca="1">IFERROR(_xlfn.XLOOKUP(F2629,Apuração!A:A,Apuração!C:C)/_xlfn.XLOOKUP(F2629,Apuração!A:A,Apuração!B:B),0)</f>
        <v>0</v>
      </c>
      <c r="BP2629" s="53">
        <f ca="1">IFERROR(_xlfn.XLOOKUP(F2629,Apuração!A:A,Apuração!D:D)/_xlfn.XLOOKUP(F2629,Apuração!A:A,Apuração!B:B),0)</f>
        <v>0</v>
      </c>
      <c r="BQ2629" s="53">
        <f ca="1">IF(BK2629&gt;=BO2629,0,_xlfn.XLOOKUP(F2629,Apuração!A:A,Apuração!B:B)*(BO2629 + (1/_xlfn.XLOOKUP(F2629,Apuração!A:A,Apuração!B:B)) - BK2629))</f>
        <v>0</v>
      </c>
      <c r="BR2629" s="85">
        <f t="shared" ca="1" si="3250"/>
        <v>0</v>
      </c>
      <c r="BS2629" s="53">
        <f ca="1">IFERROR((_xlfn.XLOOKUP(F2629,Apuração!A:A,Apuração!C:C)+1)/_xlfn.XLOOKUP(F2629,Apuração!A:A,Apuração!B:B),0)</f>
        <v>0.14285714285714285</v>
      </c>
    </row>
    <row r="2630" spans="1:71" ht="25.95" hidden="1" customHeight="1" x14ac:dyDescent="0.3">
      <c r="A2630" s="72" t="s">
        <v>44</v>
      </c>
      <c r="B2630" s="73" t="s">
        <v>44</v>
      </c>
      <c r="C2630" s="74" t="s">
        <v>216</v>
      </c>
      <c r="D2630" s="5" t="s">
        <v>36</v>
      </c>
      <c r="E2630" s="4" t="str" cm="1">
        <f t="array" ref="E2630">_xlfn.IFS(
F2630 = "A partir de Abril", "Aguardando Execução na Distribuidora",
A2630 = "CAPACITAÇÃO", "Em execução no Corporativo",
TRUE, "Em Execução na Distribuidora"
)</f>
        <v>Em Execução na Distribuidora</v>
      </c>
      <c r="F2630" s="4" t="str" cm="1">
        <f t="array" ref="F2630">_xlfn.IFS(
AG2630 &lt;&gt; "", "Jan-Dez/26",
AH2630 &lt;&gt; "", "Fev-Dez/26",
AI2630 &lt;&gt; "", "Mar-Dez/26", AJ2630 &lt;&gt; "", "Abr-Dez/26",
TRUE, "A partir de Junho"
)</f>
        <v>Jan-Dez/26</v>
      </c>
      <c r="G2630" s="75" t="s">
        <v>44</v>
      </c>
      <c r="H2630" s="76" t="s">
        <v>44</v>
      </c>
      <c r="I2630" s="77"/>
      <c r="J2630" s="77"/>
      <c r="K2630" s="77"/>
      <c r="L2630" s="77" t="s">
        <v>240</v>
      </c>
      <c r="M2630" s="78"/>
      <c r="N2630" s="74" t="s">
        <v>42</v>
      </c>
      <c r="O2630" s="74" t="s">
        <v>52</v>
      </c>
      <c r="P2630" s="75" t="s">
        <v>44</v>
      </c>
      <c r="Q2630" s="75" t="s">
        <v>44</v>
      </c>
      <c r="R2630" s="79" t="s">
        <v>44</v>
      </c>
      <c r="S2630" s="79" t="s">
        <v>44</v>
      </c>
      <c r="T2630" s="22"/>
      <c r="U2630" s="22"/>
      <c r="V2630" s="22"/>
      <c r="W2630" s="22"/>
      <c r="X2630" s="22"/>
      <c r="Y2630" s="22"/>
      <c r="Z2630" s="22"/>
      <c r="AA2630" s="22"/>
      <c r="AB2630" s="22"/>
      <c r="AC2630" s="22"/>
      <c r="AD2630" s="22"/>
      <c r="AE2630" s="22"/>
      <c r="AG2630" s="112">
        <v>3.129629243255649</v>
      </c>
      <c r="AH2630" s="112">
        <v>73.800550195825949</v>
      </c>
      <c r="AI2630" s="112">
        <v>37.543708780959726</v>
      </c>
      <c r="AJ2630" s="112">
        <v>60.04</v>
      </c>
      <c r="AK2630" s="112"/>
      <c r="AL2630" s="112"/>
      <c r="AM2630" s="112"/>
      <c r="AN2630" s="112"/>
      <c r="AO2630" s="112"/>
      <c r="AP2630" s="112"/>
      <c r="AQ2630" s="112"/>
      <c r="AR2630" s="112"/>
      <c r="AS2630" s="94"/>
      <c r="AT2630" s="95"/>
      <c r="AU2630" s="97"/>
      <c r="AW2630" s="84">
        <f t="shared" ref="AW2630:AZ2638" si="3251">AG2630</f>
        <v>3.129629243255649</v>
      </c>
      <c r="AX2630" s="84">
        <f t="shared" si="3251"/>
        <v>73.800550195825949</v>
      </c>
      <c r="AY2630" s="84">
        <f t="shared" si="3251"/>
        <v>37.543708780959726</v>
      </c>
      <c r="AZ2630" s="84">
        <f t="shared" si="3251"/>
        <v>60.04</v>
      </c>
      <c r="BA2630" s="84"/>
      <c r="BB2630" s="84"/>
      <c r="BC2630" s="84"/>
      <c r="BD2630" s="84"/>
      <c r="BE2630" s="84"/>
      <c r="BF2630" s="84"/>
      <c r="BG2630" s="84"/>
      <c r="BH2630" s="84"/>
      <c r="BI2630" s="68" cm="1">
        <f t="array" ref="BI2630">IFERROR(INDEX(AW2630:BH2630,1,MATCH(2,1/(AW2630:BH2630&lt;&gt;""))),"")</f>
        <v>60.04</v>
      </c>
      <c r="BJ2630" s="68" cm="1">
        <f t="array" ref="BJ2630">IF(BM2630 = "", "",IFERROR(INDEX(AW2630:BH2630,1,MATCH(2,1/(AW2630:BH2630&lt;&gt;""),1)-1),""))</f>
        <v>37.543708780959726</v>
      </c>
      <c r="BK2630" s="57" cm="1">
        <f t="array" ref="BK2630">IFERROR(INDEX(AW2630:BH2630,1,MATCH(2,1/(AW2630:BH2630&lt;&gt;""),1)),"")</f>
        <v>60.04</v>
      </c>
      <c r="BL2630" s="57" cm="1">
        <f t="array" ref="BL2630">IF(BM2630 = "", "",IFERROR(INDEX(AW2630:BH2630,1,MATCH(2,1/(AW2630:BH2630&lt;&gt;""),1)-1),""))</f>
        <v>37.543708780959726</v>
      </c>
      <c r="BM2630" s="55" cm="1">
        <f t="array" ref="BM2630">IFERROR(
   INDEX($AW$1:$BH$1,
      _xlfn.AGGREGATE(14, 6, COLUMN($AW$1:$BH$1)/(AW2630:BH2630&lt;&gt;""), 2) - COLUMN($AW$1) + 1
   ),
"")</f>
        <v>46082</v>
      </c>
      <c r="BN2630" s="55" cm="1">
        <f t="array" ref="BN2630">IFERROR(INDEX($AW$1:$BH$1,1,MATCH(2,1/(AW2630:BH2630&lt;&gt;""))),"")</f>
        <v>46113</v>
      </c>
      <c r="BO2630" s="53">
        <f ca="1">IFERROR(_xlfn.XLOOKUP(F2630,Apuração!A:A,Apuração!C:C)/_xlfn.XLOOKUP(F2630,Apuração!A:A,Apuração!B:B),0)</f>
        <v>0.41666666666666669</v>
      </c>
      <c r="BP2630" s="53">
        <f ca="1">IFERROR(_xlfn.XLOOKUP(F2630,Apuração!A:A,Apuração!D:D)/_xlfn.XLOOKUP(F2630,Apuração!A:A,Apuração!B:B),0)</f>
        <v>0.33333333333333331</v>
      </c>
      <c r="BQ2630" s="53">
        <f ca="1">IF(BK2630&gt;=BO2630,0,_xlfn.XLOOKUP(F2630,Apuração!A:A,Apuração!B:B)*(BO2630 + (1/_xlfn.XLOOKUP(F2630,Apuração!A:A,Apuração!B:B)) - BK2630))</f>
        <v>0</v>
      </c>
      <c r="BR2630" s="85">
        <f t="shared" ref="BR2630:BR2638" ca="1" si="3252">IF(BQ2630=0,0,BQ2630*Z2630)</f>
        <v>0</v>
      </c>
      <c r="BS2630" s="53">
        <f ca="1">IFERROR((_xlfn.XLOOKUP(F2630,Apuração!A:A,Apuração!C:C)+1)/_xlfn.XLOOKUP(F2630,Apuração!A:A,Apuração!B:B),0)</f>
        <v>0.5</v>
      </c>
    </row>
    <row r="2631" spans="1:71" ht="25.95" hidden="1" customHeight="1" x14ac:dyDescent="0.3">
      <c r="A2631" s="72" t="s">
        <v>44</v>
      </c>
      <c r="B2631" s="73" t="s">
        <v>44</v>
      </c>
      <c r="C2631" s="74" t="s">
        <v>221</v>
      </c>
      <c r="D2631" s="5" t="s">
        <v>212</v>
      </c>
      <c r="E2631" s="4" t="str" cm="1">
        <f t="array" ref="E2631">_xlfn.IFS(
F2631 = "A partir de Abril", "Aguardando Execução na Distribuidora",
A2631 = "CAPACITAÇÃO", "Em execução no Corporativo",
TRUE, "Em Execução na Distribuidora"
)</f>
        <v>Em Execução na Distribuidora</v>
      </c>
      <c r="F2631" s="4" t="str" cm="1">
        <f t="array" ref="F2631">_xlfn.IFS(
AG2631 &lt;&gt; "", "Jan-Dez/26",
AH2631 &lt;&gt; "", "Fev-Dez/26",
AI2631 &lt;&gt; "", "Mar-Dez/26", AJ2631 &lt;&gt; "", "Abr-Dez/26",
TRUE, "A partir de Junho"
)</f>
        <v>A partir de Junho</v>
      </c>
      <c r="G2631" s="75" t="s">
        <v>44</v>
      </c>
      <c r="H2631" s="76" t="s">
        <v>44</v>
      </c>
      <c r="I2631" s="77"/>
      <c r="J2631" s="77"/>
      <c r="K2631" s="77"/>
      <c r="L2631" s="77" t="s">
        <v>228</v>
      </c>
      <c r="M2631" s="78"/>
      <c r="N2631" s="74" t="s">
        <v>42</v>
      </c>
      <c r="O2631" s="74" t="s">
        <v>52</v>
      </c>
      <c r="P2631" s="75" t="s">
        <v>44</v>
      </c>
      <c r="Q2631" s="75" t="s">
        <v>44</v>
      </c>
      <c r="R2631" s="79" t="s">
        <v>44</v>
      </c>
      <c r="S2631" s="79" t="s">
        <v>44</v>
      </c>
      <c r="T2631" s="22"/>
      <c r="U2631" s="22"/>
      <c r="V2631" s="22"/>
      <c r="W2631" s="22"/>
      <c r="X2631" s="22"/>
      <c r="Y2631" s="22"/>
      <c r="Z2631" s="22"/>
      <c r="AA2631" s="22"/>
      <c r="AB2631" s="22"/>
      <c r="AC2631" s="22"/>
      <c r="AD2631" s="22"/>
      <c r="AE2631" s="22"/>
      <c r="AG2631" s="112"/>
      <c r="AH2631" s="112"/>
      <c r="AI2631" s="112"/>
      <c r="AJ2631" s="71"/>
      <c r="AK2631" s="71"/>
      <c r="AL2631" s="71"/>
      <c r="AM2631" s="71"/>
      <c r="AN2631" s="71"/>
      <c r="AO2631" s="71"/>
      <c r="AP2631" s="71"/>
      <c r="AQ2631" s="71"/>
      <c r="AR2631" s="71"/>
      <c r="AS2631" s="94"/>
      <c r="AT2631" s="95"/>
      <c r="AU2631" s="97"/>
      <c r="AW2631" s="84">
        <f t="shared" si="3251"/>
        <v>0</v>
      </c>
      <c r="AX2631" s="84">
        <f t="shared" si="3251"/>
        <v>0</v>
      </c>
      <c r="AY2631" s="84">
        <f t="shared" si="3251"/>
        <v>0</v>
      </c>
      <c r="AZ2631" s="84"/>
      <c r="BA2631" s="84"/>
      <c r="BB2631" s="84"/>
      <c r="BC2631" s="84"/>
      <c r="BD2631" s="84"/>
      <c r="BE2631" s="84"/>
      <c r="BF2631" s="84"/>
      <c r="BG2631" s="84"/>
      <c r="BH2631" s="84"/>
      <c r="BI2631" s="68" cm="1">
        <f t="array" ref="BI2631">IFERROR(INDEX(AW2631:BH2631,1,MATCH(2,1/(AW2631:BH2631&lt;&gt;""))),"")</f>
        <v>0</v>
      </c>
      <c r="BJ2631" s="68" cm="1">
        <f t="array" ref="BJ2631">IF(BM2631 = "", "",IFERROR(INDEX(AW2631:BH2631,1,MATCH(2,1/(AW2631:BH2631&lt;&gt;""),1)-1),""))</f>
        <v>0</v>
      </c>
      <c r="BK2631" s="57" cm="1">
        <f t="array" ref="BK2631">IFERROR(INDEX(AW2631:BH2631,1,MATCH(2,1/(AW2631:BH2631&lt;&gt;""),1)),"")</f>
        <v>0</v>
      </c>
      <c r="BL2631" s="57" cm="1">
        <f t="array" ref="BL2631">IF(BM2631 = "", "",IFERROR(INDEX(AW2631:BH2631,1,MATCH(2,1/(AW2631:BH2631&lt;&gt;""),1)-1),""))</f>
        <v>0</v>
      </c>
      <c r="BM2631" s="55" cm="1">
        <f t="array" ref="BM2631">IFERROR(
   INDEX($AW$1:$BH$1,
      _xlfn.AGGREGATE(14, 6, COLUMN($AW$1:$BH$1)/(AW2631:BH2631&lt;&gt;""), 2) - COLUMN($AW$1) + 1
   ),
"")</f>
        <v>46054</v>
      </c>
      <c r="BN2631" s="55" cm="1">
        <f t="array" ref="BN2631">IFERROR(INDEX($AW$1:$BH$1,1,MATCH(2,1/(AW2631:BH2631&lt;&gt;""))),"")</f>
        <v>46082</v>
      </c>
      <c r="BO2631" s="53">
        <f ca="1">IFERROR(_xlfn.XLOOKUP(F2631,Apuração!A:A,Apuração!C:C)/_xlfn.XLOOKUP(F2631,Apuração!A:A,Apuração!B:B),0)</f>
        <v>0</v>
      </c>
      <c r="BP2631" s="53">
        <f ca="1">IFERROR(_xlfn.XLOOKUP(F2631,Apuração!A:A,Apuração!D:D)/_xlfn.XLOOKUP(F2631,Apuração!A:A,Apuração!B:B),0)</f>
        <v>0</v>
      </c>
      <c r="BQ2631" s="53">
        <f ca="1">IF(BK2631&gt;=BO2631,0,_xlfn.XLOOKUP(F2631,Apuração!A:A,Apuração!B:B)*(BO2631 + (1/_xlfn.XLOOKUP(F2631,Apuração!A:A,Apuração!B:B)) - BK2631))</f>
        <v>0</v>
      </c>
      <c r="BR2631" s="85">
        <f t="shared" ca="1" si="3252"/>
        <v>0</v>
      </c>
      <c r="BS2631" s="53">
        <f ca="1">IFERROR((_xlfn.XLOOKUP(F2631,Apuração!A:A,Apuração!C:C)+1)/_xlfn.XLOOKUP(F2631,Apuração!A:A,Apuração!B:B),0)</f>
        <v>0.14285714285714285</v>
      </c>
    </row>
    <row r="2632" spans="1:71" ht="25.95" hidden="1" customHeight="1" x14ac:dyDescent="0.3">
      <c r="A2632" s="72" t="s">
        <v>44</v>
      </c>
      <c r="B2632" s="73" t="s">
        <v>44</v>
      </c>
      <c r="C2632" s="74" t="s">
        <v>221</v>
      </c>
      <c r="D2632" s="5" t="s">
        <v>213</v>
      </c>
      <c r="E2632" s="4" t="str" cm="1">
        <f t="array" ref="E2632">_xlfn.IFS(
F2632 = "A partir de Abril", "Aguardando Execução na Distribuidora",
A2632 = "CAPACITAÇÃO", "Em execução no Corporativo",
TRUE, "Em Execução na Distribuidora"
)</f>
        <v>Em Execução na Distribuidora</v>
      </c>
      <c r="F2632" s="4" t="str" cm="1">
        <f t="array" ref="F2632">_xlfn.IFS(
AG2632 &lt;&gt; "", "Jan-Dez/26",
AH2632 &lt;&gt; "", "Fev-Dez/26",
AI2632 &lt;&gt; "", "Mar-Dez/26", AJ2632 &lt;&gt; "", "Abr-Dez/26",
TRUE, "A partir de Junho"
)</f>
        <v>A partir de Junho</v>
      </c>
      <c r="G2632" s="75" t="s">
        <v>44</v>
      </c>
      <c r="H2632" s="76" t="s">
        <v>44</v>
      </c>
      <c r="I2632" s="77"/>
      <c r="J2632" s="77"/>
      <c r="K2632" s="77"/>
      <c r="L2632" s="77" t="s">
        <v>228</v>
      </c>
      <c r="M2632" s="78"/>
      <c r="N2632" s="74" t="s">
        <v>42</v>
      </c>
      <c r="O2632" s="74" t="s">
        <v>52</v>
      </c>
      <c r="P2632" s="75" t="s">
        <v>44</v>
      </c>
      <c r="Q2632" s="75" t="s">
        <v>44</v>
      </c>
      <c r="R2632" s="79" t="s">
        <v>44</v>
      </c>
      <c r="S2632" s="79" t="s">
        <v>44</v>
      </c>
      <c r="T2632" s="22"/>
      <c r="U2632" s="22"/>
      <c r="V2632" s="22"/>
      <c r="W2632" s="22"/>
      <c r="X2632" s="22"/>
      <c r="Y2632" s="22"/>
      <c r="Z2632" s="22"/>
      <c r="AA2632" s="22"/>
      <c r="AB2632" s="22"/>
      <c r="AC2632" s="22"/>
      <c r="AD2632" s="22"/>
      <c r="AE2632" s="22"/>
      <c r="AG2632" s="112"/>
      <c r="AH2632" s="112"/>
      <c r="AI2632" s="112"/>
      <c r="AJ2632" s="71"/>
      <c r="AK2632" s="71"/>
      <c r="AL2632" s="71"/>
      <c r="AM2632" s="71"/>
      <c r="AN2632" s="71"/>
      <c r="AO2632" s="71"/>
      <c r="AP2632" s="71"/>
      <c r="AQ2632" s="71"/>
      <c r="AR2632" s="71"/>
      <c r="AS2632" s="94"/>
      <c r="AT2632" s="95"/>
      <c r="AU2632" s="97"/>
      <c r="AW2632" s="84">
        <f t="shared" si="3251"/>
        <v>0</v>
      </c>
      <c r="AX2632" s="84">
        <f t="shared" si="3251"/>
        <v>0</v>
      </c>
      <c r="AY2632" s="84">
        <f t="shared" si="3251"/>
        <v>0</v>
      </c>
      <c r="AZ2632" s="84"/>
      <c r="BA2632" s="84"/>
      <c r="BB2632" s="84"/>
      <c r="BC2632" s="84"/>
      <c r="BD2632" s="84"/>
      <c r="BE2632" s="84"/>
      <c r="BF2632" s="84"/>
      <c r="BG2632" s="84"/>
      <c r="BH2632" s="84"/>
      <c r="BI2632" s="68" cm="1">
        <f t="array" ref="BI2632">IFERROR(INDEX(AW2632:BH2632,1,MATCH(2,1/(AW2632:BH2632&lt;&gt;""))),"")</f>
        <v>0</v>
      </c>
      <c r="BJ2632" s="68" cm="1">
        <f t="array" ref="BJ2632">IF(BM2632 = "", "",IFERROR(INDEX(AW2632:BH2632,1,MATCH(2,1/(AW2632:BH2632&lt;&gt;""),1)-1),""))</f>
        <v>0</v>
      </c>
      <c r="BK2632" s="57" cm="1">
        <f t="array" ref="BK2632">IFERROR(INDEX(AW2632:BH2632,1,MATCH(2,1/(AW2632:BH2632&lt;&gt;""),1)),"")</f>
        <v>0</v>
      </c>
      <c r="BL2632" s="57" cm="1">
        <f t="array" ref="BL2632">IF(BM2632 = "", "",IFERROR(INDEX(AW2632:BH2632,1,MATCH(2,1/(AW2632:BH2632&lt;&gt;""),1)-1),""))</f>
        <v>0</v>
      </c>
      <c r="BM2632" s="55" cm="1">
        <f t="array" ref="BM2632">IFERROR(
   INDEX($AW$1:$BH$1,
      _xlfn.AGGREGATE(14, 6, COLUMN($AW$1:$BH$1)/(AW2632:BH2632&lt;&gt;""), 2) - COLUMN($AW$1) + 1
   ),
"")</f>
        <v>46054</v>
      </c>
      <c r="BN2632" s="55" cm="1">
        <f t="array" ref="BN2632">IFERROR(INDEX($AW$1:$BH$1,1,MATCH(2,1/(AW2632:BH2632&lt;&gt;""))),"")</f>
        <v>46082</v>
      </c>
      <c r="BO2632" s="53">
        <f ca="1">IFERROR(_xlfn.XLOOKUP(F2632,Apuração!A:A,Apuração!C:C)/_xlfn.XLOOKUP(F2632,Apuração!A:A,Apuração!B:B),0)</f>
        <v>0</v>
      </c>
      <c r="BP2632" s="53">
        <f ca="1">IFERROR(_xlfn.XLOOKUP(F2632,Apuração!A:A,Apuração!D:D)/_xlfn.XLOOKUP(F2632,Apuração!A:A,Apuração!B:B),0)</f>
        <v>0</v>
      </c>
      <c r="BQ2632" s="53">
        <f ca="1">IF(BK2632&gt;=BO2632,0,_xlfn.XLOOKUP(F2632,Apuração!A:A,Apuração!B:B)*(BO2632 + (1/_xlfn.XLOOKUP(F2632,Apuração!A:A,Apuração!B:B)) - BK2632))</f>
        <v>0</v>
      </c>
      <c r="BR2632" s="85">
        <f t="shared" ca="1" si="3252"/>
        <v>0</v>
      </c>
      <c r="BS2632" s="53">
        <f ca="1">IFERROR((_xlfn.XLOOKUP(F2632,Apuração!A:A,Apuração!C:C)+1)/_xlfn.XLOOKUP(F2632,Apuração!A:A,Apuração!B:B),0)</f>
        <v>0.14285714285714285</v>
      </c>
    </row>
    <row r="2633" spans="1:71" ht="25.95" hidden="1" customHeight="1" x14ac:dyDescent="0.3">
      <c r="A2633" s="72" t="s">
        <v>44</v>
      </c>
      <c r="B2633" s="73" t="s">
        <v>44</v>
      </c>
      <c r="C2633" s="74" t="s">
        <v>221</v>
      </c>
      <c r="D2633" s="5" t="s">
        <v>36</v>
      </c>
      <c r="E2633" s="4" t="str" cm="1">
        <f t="array" ref="E2633">_xlfn.IFS(
F2633 = "A partir de Abril", "Aguardando Execução na Distribuidora",
A2633 = "CAPACITAÇÃO", "Em execução no Corporativo",
TRUE, "Em Execução na Distribuidora"
)</f>
        <v>Em Execução na Distribuidora</v>
      </c>
      <c r="F2633" s="4" t="str" cm="1">
        <f t="array" ref="F2633">_xlfn.IFS(
AG2633 &lt;&gt; "", "Jan-Dez/26",
AH2633 &lt;&gt; "", "Fev-Dez/26",
AI2633 &lt;&gt; "", "Mar-Dez/26", AJ2633 &lt;&gt; "", "Abr-Dez/26",
TRUE, "A partir de Junho"
)</f>
        <v>Jan-Dez/26</v>
      </c>
      <c r="G2633" s="75" t="s">
        <v>44</v>
      </c>
      <c r="H2633" s="76" t="s">
        <v>44</v>
      </c>
      <c r="I2633" s="77"/>
      <c r="J2633" s="77"/>
      <c r="K2633" s="77"/>
      <c r="L2633" s="77" t="s">
        <v>240</v>
      </c>
      <c r="M2633" s="78"/>
      <c r="N2633" s="74" t="s">
        <v>42</v>
      </c>
      <c r="O2633" s="74" t="s">
        <v>52</v>
      </c>
      <c r="P2633" s="75" t="s">
        <v>44</v>
      </c>
      <c r="Q2633" s="75" t="s">
        <v>44</v>
      </c>
      <c r="R2633" s="79" t="s">
        <v>44</v>
      </c>
      <c r="S2633" s="79" t="s">
        <v>44</v>
      </c>
      <c r="T2633" s="22"/>
      <c r="U2633" s="22"/>
      <c r="V2633" s="22"/>
      <c r="W2633" s="22"/>
      <c r="X2633" s="22"/>
      <c r="Y2633" s="22"/>
      <c r="Z2633" s="22"/>
      <c r="AA2633" s="22"/>
      <c r="AB2633" s="22"/>
      <c r="AC2633" s="22"/>
      <c r="AD2633" s="22"/>
      <c r="AE2633" s="22"/>
      <c r="AG2633" s="112">
        <v>462.39410527238897</v>
      </c>
      <c r="AH2633" s="112">
        <v>23.011401713976312</v>
      </c>
      <c r="AI2633" s="112">
        <v>217.57542558093203</v>
      </c>
      <c r="AJ2633" s="112">
        <v>177.58</v>
      </c>
      <c r="AK2633" s="112"/>
      <c r="AL2633" s="112"/>
      <c r="AM2633" s="112"/>
      <c r="AN2633" s="112"/>
      <c r="AO2633" s="112"/>
      <c r="AP2633" s="112"/>
      <c r="AQ2633" s="112"/>
      <c r="AR2633" s="112"/>
      <c r="AS2633" s="94"/>
      <c r="AT2633" s="95"/>
      <c r="AU2633" s="97"/>
      <c r="AW2633" s="84">
        <f t="shared" si="3251"/>
        <v>462.39410527238897</v>
      </c>
      <c r="AX2633" s="84">
        <f t="shared" si="3251"/>
        <v>23.011401713976312</v>
      </c>
      <c r="AY2633" s="84">
        <f t="shared" si="3251"/>
        <v>217.57542558093203</v>
      </c>
      <c r="AZ2633" s="84">
        <f t="shared" si="3251"/>
        <v>177.58</v>
      </c>
      <c r="BA2633" s="84"/>
      <c r="BB2633" s="84"/>
      <c r="BC2633" s="84"/>
      <c r="BD2633" s="84"/>
      <c r="BE2633" s="84"/>
      <c r="BF2633" s="84"/>
      <c r="BG2633" s="84"/>
      <c r="BH2633" s="84"/>
      <c r="BI2633" s="68" cm="1">
        <f t="array" ref="BI2633">IFERROR(INDEX(AW2633:BH2633,1,MATCH(2,1/(AW2633:BH2633&lt;&gt;""))),"")</f>
        <v>177.58</v>
      </c>
      <c r="BJ2633" s="68" cm="1">
        <f t="array" ref="BJ2633">IF(BM2633 = "", "",IFERROR(INDEX(AW2633:BH2633,1,MATCH(2,1/(AW2633:BH2633&lt;&gt;""),1)-1),""))</f>
        <v>217.57542558093203</v>
      </c>
      <c r="BK2633" s="57" cm="1">
        <f t="array" ref="BK2633">IFERROR(INDEX(AW2633:BH2633,1,MATCH(2,1/(AW2633:BH2633&lt;&gt;""),1)),"")</f>
        <v>177.58</v>
      </c>
      <c r="BL2633" s="57" cm="1">
        <f t="array" ref="BL2633">IF(BM2633 = "", "",IFERROR(INDEX(AW2633:BH2633,1,MATCH(2,1/(AW2633:BH2633&lt;&gt;""),1)-1),""))</f>
        <v>217.57542558093203</v>
      </c>
      <c r="BM2633" s="55" cm="1">
        <f t="array" ref="BM2633">IFERROR(
   INDEX($AW$1:$BH$1,
      _xlfn.AGGREGATE(14, 6, COLUMN($AW$1:$BH$1)/(AW2633:BH2633&lt;&gt;""), 2) - COLUMN($AW$1) + 1
   ),
"")</f>
        <v>46082</v>
      </c>
      <c r="BN2633" s="55" cm="1">
        <f t="array" ref="BN2633">IFERROR(INDEX($AW$1:$BH$1,1,MATCH(2,1/(AW2633:BH2633&lt;&gt;""))),"")</f>
        <v>46113</v>
      </c>
      <c r="BO2633" s="53">
        <f ca="1">IFERROR(_xlfn.XLOOKUP(F2633,Apuração!A:A,Apuração!C:C)/_xlfn.XLOOKUP(F2633,Apuração!A:A,Apuração!B:B),0)</f>
        <v>0.41666666666666669</v>
      </c>
      <c r="BP2633" s="53">
        <f ca="1">IFERROR(_xlfn.XLOOKUP(F2633,Apuração!A:A,Apuração!D:D)/_xlfn.XLOOKUP(F2633,Apuração!A:A,Apuração!B:B),0)</f>
        <v>0.33333333333333331</v>
      </c>
      <c r="BQ2633" s="53">
        <f ca="1">IF(BK2633&gt;=BO2633,0,_xlfn.XLOOKUP(F2633,Apuração!A:A,Apuração!B:B)*(BO2633 + (1/_xlfn.XLOOKUP(F2633,Apuração!A:A,Apuração!B:B)) - BK2633))</f>
        <v>0</v>
      </c>
      <c r="BR2633" s="85">
        <f t="shared" ca="1" si="3252"/>
        <v>0</v>
      </c>
      <c r="BS2633" s="53">
        <f ca="1">IFERROR((_xlfn.XLOOKUP(F2633,Apuração!A:A,Apuração!C:C)+1)/_xlfn.XLOOKUP(F2633,Apuração!A:A,Apuração!B:B),0)</f>
        <v>0.5</v>
      </c>
    </row>
    <row r="2634" spans="1:71" ht="25.95" hidden="1" customHeight="1" x14ac:dyDescent="0.3">
      <c r="A2634" s="72" t="s">
        <v>44</v>
      </c>
      <c r="B2634" s="73" t="s">
        <v>44</v>
      </c>
      <c r="C2634" s="74" t="s">
        <v>239</v>
      </c>
      <c r="D2634" s="74" t="s">
        <v>36</v>
      </c>
      <c r="E2634" s="4" t="str" cm="1">
        <f t="array" ref="E2634">_xlfn.IFS(
F2634 = "A partir de Abril", "Aguardando Execução na Distribuidora",
A2634 = "CAPACITAÇÃO", "Em execução no Corporativo",
TRUE, "Em Execução na Distribuidora"
)</f>
        <v>Em Execução na Distribuidora</v>
      </c>
      <c r="F2634" s="4" t="str" cm="1">
        <f t="array" ref="F2634">_xlfn.IFS(
AG2634 &lt;&gt; "", "Jan-Dez/26",
AH2634 &lt;&gt; "", "Fev-Dez/26",
AI2634 &lt;&gt; "", "Mar-Dez/26", AJ2634 &lt;&gt; "", "Abr-Dez/26",
TRUE, "A partir de Junho"
)</f>
        <v>Jan-Dez/26</v>
      </c>
      <c r="G2634" s="75" t="s">
        <v>37</v>
      </c>
      <c r="H2634" s="76" t="s">
        <v>44</v>
      </c>
      <c r="I2634" s="77"/>
      <c r="J2634" s="77"/>
      <c r="K2634" s="77"/>
      <c r="L2634" s="77" t="s">
        <v>240</v>
      </c>
      <c r="M2634" s="78"/>
      <c r="N2634" s="74" t="s">
        <v>42</v>
      </c>
      <c r="O2634" s="74" t="s">
        <v>52</v>
      </c>
      <c r="P2634" s="75" t="s">
        <v>44</v>
      </c>
      <c r="Q2634" s="75" t="s">
        <v>44</v>
      </c>
      <c r="R2634" s="79" t="s">
        <v>44</v>
      </c>
      <c r="S2634" s="79" t="s">
        <v>44</v>
      </c>
      <c r="T2634" s="22"/>
      <c r="U2634" s="22"/>
      <c r="V2634" s="22"/>
      <c r="W2634" s="22"/>
      <c r="X2634" s="22"/>
      <c r="Y2634" s="22"/>
      <c r="Z2634" s="22"/>
      <c r="AA2634" s="22"/>
      <c r="AB2634" s="22"/>
      <c r="AC2634" s="22"/>
      <c r="AD2634" s="22"/>
      <c r="AE2634" s="22"/>
      <c r="AG2634" s="112">
        <v>776.93579903148748</v>
      </c>
      <c r="AH2634" s="112">
        <v>1372.9293796908373</v>
      </c>
      <c r="AI2634" s="112">
        <v>724.09360234044198</v>
      </c>
      <c r="AJ2634" s="112">
        <v>561.01</v>
      </c>
      <c r="AK2634" s="112"/>
      <c r="AL2634" s="112"/>
      <c r="AM2634" s="112"/>
      <c r="AN2634" s="112"/>
      <c r="AO2634" s="112"/>
      <c r="AP2634" s="112"/>
      <c r="AQ2634" s="112"/>
      <c r="AR2634" s="112"/>
      <c r="AS2634" s="113" t="str" cm="1">
        <f t="array" ref="AS2634">IFERROR(INDEX(T2634:AE2634,1,MATCH(2,1/(T2634:AE2634&lt;&gt;""))),"")</f>
        <v/>
      </c>
      <c r="AT2634" s="114" cm="1">
        <f t="array" ref="AT2634">IFERROR(INDEX(AG2634:AR2634,1,MATCH(2,1/(AG2634:AR2634&lt;&gt;""))),"")</f>
        <v>561.01</v>
      </c>
      <c r="AU2634" s="97">
        <f>AT2634</f>
        <v>561.01</v>
      </c>
      <c r="AW2634" s="84">
        <f t="shared" si="3251"/>
        <v>776.93579903148748</v>
      </c>
      <c r="AX2634" s="84">
        <f t="shared" si="3251"/>
        <v>1372.9293796908373</v>
      </c>
      <c r="AY2634" s="84">
        <f t="shared" si="3251"/>
        <v>724.09360234044198</v>
      </c>
      <c r="AZ2634" s="84">
        <f>AJ2634</f>
        <v>561.01</v>
      </c>
      <c r="BA2634" s="84"/>
      <c r="BB2634" s="84"/>
      <c r="BC2634" s="84"/>
      <c r="BD2634" s="84"/>
      <c r="BE2634" s="84"/>
      <c r="BF2634" s="84"/>
      <c r="BG2634" s="84"/>
      <c r="BH2634" s="84"/>
      <c r="BI2634" s="68" cm="1">
        <f t="array" ref="BI2634">IFERROR(INDEX(AW2634:BH2634,1,MATCH(2,1/(AW2634:BH2634&lt;&gt;""))),"")</f>
        <v>561.01</v>
      </c>
      <c r="BJ2634" s="68" cm="1">
        <f t="array" ref="BJ2634">IF(BM2634 = "", "",IFERROR(INDEX(AW2634:BH2634,1,MATCH(2,1/(AW2634:BH2634&lt;&gt;""),1)-1),""))</f>
        <v>724.09360234044198</v>
      </c>
      <c r="BK2634" s="57" cm="1">
        <f t="array" ref="BK2634">IFERROR(INDEX(AW2634:BH2634,1,MATCH(2,1/(AW2634:BH2634&lt;&gt;""),1)),"")</f>
        <v>561.01</v>
      </c>
      <c r="BL2634" s="57" cm="1">
        <f t="array" ref="BL2634">IF(BM2634 = "", "",IFERROR(INDEX(AW2634:BH2634,1,MATCH(2,1/(AW2634:BH2634&lt;&gt;""),1)-1),""))</f>
        <v>724.09360234044198</v>
      </c>
      <c r="BM2634" s="55" cm="1">
        <f t="array" ref="BM2634">IFERROR(
   INDEX($AW$1:$BH$1,
      _xlfn.AGGREGATE(14, 6, COLUMN($AW$1:$BH$1)/(AW2634:BH2634&lt;&gt;""), 2) - COLUMN($AW$1) + 1
   ),
"")</f>
        <v>46082</v>
      </c>
      <c r="BN2634" s="55" cm="1">
        <f t="array" ref="BN2634">IFERROR(INDEX($AW$1:$BH$1,1,MATCH(2,1/(AW2634:BH2634&lt;&gt;""))),"")</f>
        <v>46113</v>
      </c>
      <c r="BO2634" s="53">
        <f ca="1">IFERROR(_xlfn.XLOOKUP(F2634,Apuração!A:A,Apuração!C:C)/_xlfn.XLOOKUP(F2634,Apuração!A:A,Apuração!B:B),0)</f>
        <v>0.41666666666666669</v>
      </c>
      <c r="BP2634" s="53">
        <f ca="1">IFERROR(_xlfn.XLOOKUP(F2634,Apuração!A:A,Apuração!D:D)/_xlfn.XLOOKUP(F2634,Apuração!A:A,Apuração!B:B),0)</f>
        <v>0.33333333333333331</v>
      </c>
      <c r="BQ2634" s="53">
        <f ca="1">IF(BK2634&gt;=BO2634,0,_xlfn.XLOOKUP(F2634,Apuração!A:A,Apuração!B:B)*(BO2634 + (1/_xlfn.XLOOKUP(F2634,Apuração!A:A,Apuração!B:B)) - BK2634))</f>
        <v>0</v>
      </c>
      <c r="BR2634" s="85">
        <f t="shared" ca="1" si="3252"/>
        <v>0</v>
      </c>
      <c r="BS2634" s="53">
        <f ca="1">IFERROR((_xlfn.XLOOKUP(F2634,Apuração!A:A,Apuração!C:C)+1)/_xlfn.XLOOKUP(F2634,Apuração!A:A,Apuração!B:B),0)</f>
        <v>0.5</v>
      </c>
    </row>
    <row r="2635" spans="1:71" ht="25.95" hidden="1" customHeight="1" x14ac:dyDescent="0.3">
      <c r="A2635" s="72" t="s">
        <v>44</v>
      </c>
      <c r="B2635" s="73" t="s">
        <v>44</v>
      </c>
      <c r="C2635" s="74" t="s">
        <v>35</v>
      </c>
      <c r="D2635" s="5" t="s">
        <v>47</v>
      </c>
      <c r="E2635" s="4" t="str" cm="1">
        <f t="array" ref="E2635">_xlfn.IFS(
F2635 = "A partir de Abril", "Aguardando Execução na Distribuidora",
A2635 = "CAPACITAÇÃO", "Em execução no Corporativo",
TRUE, "Em Execução na Distribuidora"
)</f>
        <v>Em Execução na Distribuidora</v>
      </c>
      <c r="F2635" s="4" t="str" cm="1">
        <f t="array" ref="F2635">_xlfn.IFS(
AG2635 &lt;&gt; "", "Jan-Dez/26",
AH2635 &lt;&gt; "", "Fev-Dez/26",
AI2635 &lt;&gt; "", "Mar-Dez/26", AJ2635 &lt;&gt; "", "Abr-Dez/26",
TRUE, "A partir de Junho"
)</f>
        <v>Jan-Dez/26</v>
      </c>
      <c r="G2635" s="75" t="s">
        <v>44</v>
      </c>
      <c r="H2635" s="76" t="s">
        <v>44</v>
      </c>
      <c r="I2635" s="77"/>
      <c r="J2635" s="77"/>
      <c r="K2635" s="77"/>
      <c r="L2635" s="77" t="s">
        <v>240</v>
      </c>
      <c r="M2635" s="78"/>
      <c r="N2635" s="74" t="s">
        <v>42</v>
      </c>
      <c r="O2635" s="74" t="s">
        <v>52</v>
      </c>
      <c r="P2635" s="75" t="s">
        <v>44</v>
      </c>
      <c r="Q2635" s="75" t="s">
        <v>44</v>
      </c>
      <c r="R2635" s="79" t="s">
        <v>44</v>
      </c>
      <c r="S2635" s="79" t="s">
        <v>44</v>
      </c>
      <c r="T2635" s="22"/>
      <c r="U2635" s="22"/>
      <c r="V2635" s="22"/>
      <c r="W2635" s="22"/>
      <c r="X2635" s="22"/>
      <c r="Y2635" s="22"/>
      <c r="Z2635" s="22"/>
      <c r="AA2635" s="22"/>
      <c r="AB2635" s="22"/>
      <c r="AC2635" s="22"/>
      <c r="AD2635" s="22"/>
      <c r="AE2635" s="22"/>
      <c r="AG2635" s="112">
        <v>8.3352226504674398</v>
      </c>
      <c r="AH2635" s="112">
        <v>5.0011335902804639</v>
      </c>
      <c r="AI2635" s="112">
        <v>4.4462772987531523</v>
      </c>
      <c r="AJ2635" s="71"/>
      <c r="AK2635" s="71"/>
      <c r="AL2635" s="71"/>
      <c r="AM2635" s="71"/>
      <c r="AN2635" s="71"/>
      <c r="AO2635" s="71"/>
      <c r="AP2635" s="71"/>
      <c r="AQ2635" s="71"/>
      <c r="AR2635" s="71"/>
      <c r="AS2635" s="94"/>
      <c r="AT2635" s="95"/>
      <c r="AU2635" s="97"/>
      <c r="AW2635" s="84">
        <f t="shared" si="3251"/>
        <v>8.3352226504674398</v>
      </c>
      <c r="AX2635" s="84">
        <f t="shared" si="3251"/>
        <v>5.0011335902804639</v>
      </c>
      <c r="AY2635" s="84">
        <f t="shared" si="3251"/>
        <v>4.4462772987531523</v>
      </c>
      <c r="AZ2635" s="84"/>
      <c r="BA2635" s="84"/>
      <c r="BB2635" s="84"/>
      <c r="BC2635" s="84"/>
      <c r="BD2635" s="84"/>
      <c r="BE2635" s="84"/>
      <c r="BF2635" s="84"/>
      <c r="BG2635" s="84"/>
      <c r="BH2635" s="84"/>
      <c r="BI2635" s="68" cm="1">
        <f t="array" ref="BI2635">IFERROR(INDEX(AW2635:BH2635,1,MATCH(2,1/(AW2635:BH2635&lt;&gt;""))),"")</f>
        <v>4.4462772987531523</v>
      </c>
      <c r="BJ2635" s="68" cm="1">
        <f t="array" ref="BJ2635">IF(BM2635 = "", "",IFERROR(INDEX(AW2635:BH2635,1,MATCH(2,1/(AW2635:BH2635&lt;&gt;""),1)-1),""))</f>
        <v>5.0011335902804639</v>
      </c>
      <c r="BK2635" s="57" cm="1">
        <f t="array" ref="BK2635">IFERROR(INDEX(AW2635:BH2635,1,MATCH(2,1/(AW2635:BH2635&lt;&gt;""),1)),"")</f>
        <v>4.4462772987531523</v>
      </c>
      <c r="BL2635" s="57" cm="1">
        <f t="array" ref="BL2635">IF(BM2635 = "", "",IFERROR(INDEX(AW2635:BH2635,1,MATCH(2,1/(AW2635:BH2635&lt;&gt;""),1)-1),""))</f>
        <v>5.0011335902804639</v>
      </c>
      <c r="BM2635" s="55" cm="1">
        <f t="array" ref="BM2635">IFERROR(
   INDEX($AW$1:$BH$1,
      _xlfn.AGGREGATE(14, 6, COLUMN($AW$1:$BH$1)/(AW2635:BH2635&lt;&gt;""), 2) - COLUMN($AW$1) + 1
   ),
"")</f>
        <v>46054</v>
      </c>
      <c r="BN2635" s="55" cm="1">
        <f t="array" ref="BN2635">IFERROR(INDEX($AW$1:$BH$1,1,MATCH(2,1/(AW2635:BH2635&lt;&gt;""))),"")</f>
        <v>46082</v>
      </c>
      <c r="BO2635" s="53">
        <f ca="1">IFERROR(_xlfn.XLOOKUP(F2635,Apuração!A:A,Apuração!C:C)/_xlfn.XLOOKUP(F2635,Apuração!A:A,Apuração!B:B),0)</f>
        <v>0.41666666666666669</v>
      </c>
      <c r="BP2635" s="53">
        <f ca="1">IFERROR(_xlfn.XLOOKUP(F2635,Apuração!A:A,Apuração!D:D)/_xlfn.XLOOKUP(F2635,Apuração!A:A,Apuração!B:B),0)</f>
        <v>0.33333333333333331</v>
      </c>
      <c r="BQ2635" s="53">
        <f ca="1">IF(BK2635&gt;=BO2635,0,_xlfn.XLOOKUP(F2635,Apuração!A:A,Apuração!B:B)*(BO2635 + (1/_xlfn.XLOOKUP(F2635,Apuração!A:A,Apuração!B:B)) - BK2635))</f>
        <v>0</v>
      </c>
      <c r="BR2635" s="85">
        <f t="shared" ca="1" si="3252"/>
        <v>0</v>
      </c>
      <c r="BS2635" s="53">
        <f ca="1">IFERROR((_xlfn.XLOOKUP(F2635,Apuração!A:A,Apuração!C:C)+1)/_xlfn.XLOOKUP(F2635,Apuração!A:A,Apuração!B:B),0)</f>
        <v>0.5</v>
      </c>
    </row>
    <row r="2636" spans="1:71" ht="25.95" hidden="1" customHeight="1" x14ac:dyDescent="0.3">
      <c r="A2636" s="72" t="s">
        <v>44</v>
      </c>
      <c r="B2636" s="73" t="s">
        <v>44</v>
      </c>
      <c r="C2636" s="74" t="s">
        <v>35</v>
      </c>
      <c r="D2636" s="5" t="s">
        <v>48</v>
      </c>
      <c r="E2636" s="4" t="str" cm="1">
        <f t="array" ref="E2636">_xlfn.IFS(
F2636 = "A partir de Abril", "Aguardando Execução na Distribuidora",
A2636 = "CAPACITAÇÃO", "Em execução no Corporativo",
TRUE, "Em Execução na Distribuidora"
)</f>
        <v>Em Execução na Distribuidora</v>
      </c>
      <c r="F2636" s="4" t="str" cm="1">
        <f t="array" ref="F2636">_xlfn.IFS(
AG2636 &lt;&gt; "", "Jan-Dez/26",
AH2636 &lt;&gt; "", "Fev-Dez/26",
AI2636 &lt;&gt; "", "Mar-Dez/26", AJ2636 &lt;&gt; "", "Abr-Dez/26",
TRUE, "A partir de Junho"
)</f>
        <v>Jan-Dez/26</v>
      </c>
      <c r="G2636" s="75" t="s">
        <v>44</v>
      </c>
      <c r="H2636" s="76" t="s">
        <v>44</v>
      </c>
      <c r="I2636" s="77"/>
      <c r="J2636" s="77"/>
      <c r="K2636" s="77"/>
      <c r="L2636" s="77" t="s">
        <v>240</v>
      </c>
      <c r="M2636" s="78"/>
      <c r="N2636" s="74" t="s">
        <v>42</v>
      </c>
      <c r="O2636" s="74" t="s">
        <v>52</v>
      </c>
      <c r="P2636" s="75" t="s">
        <v>44</v>
      </c>
      <c r="Q2636" s="75" t="s">
        <v>44</v>
      </c>
      <c r="R2636" s="79" t="s">
        <v>44</v>
      </c>
      <c r="S2636" s="79" t="s">
        <v>44</v>
      </c>
      <c r="T2636" s="22"/>
      <c r="U2636" s="22"/>
      <c r="V2636" s="22"/>
      <c r="W2636" s="22"/>
      <c r="X2636" s="22"/>
      <c r="Y2636" s="22"/>
      <c r="Z2636" s="22"/>
      <c r="AA2636" s="22"/>
      <c r="AB2636" s="22"/>
      <c r="AC2636" s="22"/>
      <c r="AD2636" s="22"/>
      <c r="AE2636" s="22"/>
      <c r="AG2636" s="112">
        <v>8.3352226504674398</v>
      </c>
      <c r="AH2636" s="112">
        <v>5.0011335902804639</v>
      </c>
      <c r="AI2636" s="112">
        <v>4.4462772987531523</v>
      </c>
      <c r="AJ2636" s="71"/>
      <c r="AK2636" s="71"/>
      <c r="AL2636" s="71"/>
      <c r="AM2636" s="71"/>
      <c r="AN2636" s="71"/>
      <c r="AO2636" s="71"/>
      <c r="AP2636" s="71"/>
      <c r="AQ2636" s="71"/>
      <c r="AR2636" s="71"/>
      <c r="AS2636" s="94"/>
      <c r="AT2636" s="95"/>
      <c r="AU2636" s="97"/>
      <c r="AW2636" s="84">
        <f t="shared" si="3251"/>
        <v>8.3352226504674398</v>
      </c>
      <c r="AX2636" s="84">
        <f t="shared" si="3251"/>
        <v>5.0011335902804639</v>
      </c>
      <c r="AY2636" s="84">
        <f t="shared" si="3251"/>
        <v>4.4462772987531523</v>
      </c>
      <c r="AZ2636" s="84"/>
      <c r="BA2636" s="84"/>
      <c r="BB2636" s="84"/>
      <c r="BC2636" s="84"/>
      <c r="BD2636" s="84"/>
      <c r="BE2636" s="84"/>
      <c r="BF2636" s="84"/>
      <c r="BG2636" s="84"/>
      <c r="BH2636" s="84"/>
      <c r="BI2636" s="68" cm="1">
        <f t="array" ref="BI2636">IFERROR(INDEX(AW2636:BH2636,1,MATCH(2,1/(AW2636:BH2636&lt;&gt;""))),"")</f>
        <v>4.4462772987531523</v>
      </c>
      <c r="BJ2636" s="68" cm="1">
        <f t="array" ref="BJ2636">IF(BM2636 = "", "",IFERROR(INDEX(AW2636:BH2636,1,MATCH(2,1/(AW2636:BH2636&lt;&gt;""),1)-1),""))</f>
        <v>5.0011335902804639</v>
      </c>
      <c r="BK2636" s="57" cm="1">
        <f t="array" ref="BK2636">IFERROR(INDEX(AW2636:BH2636,1,MATCH(2,1/(AW2636:BH2636&lt;&gt;""),1)),"")</f>
        <v>4.4462772987531523</v>
      </c>
      <c r="BL2636" s="57" cm="1">
        <f t="array" ref="BL2636">IF(BM2636 = "", "",IFERROR(INDEX(AW2636:BH2636,1,MATCH(2,1/(AW2636:BH2636&lt;&gt;""),1)-1),""))</f>
        <v>5.0011335902804639</v>
      </c>
      <c r="BM2636" s="55" cm="1">
        <f t="array" ref="BM2636">IFERROR(
   INDEX($AW$1:$BH$1,
      _xlfn.AGGREGATE(14, 6, COLUMN($AW$1:$BH$1)/(AW2636:BH2636&lt;&gt;""), 2) - COLUMN($AW$1) + 1
   ),
"")</f>
        <v>46054</v>
      </c>
      <c r="BN2636" s="55" cm="1">
        <f t="array" ref="BN2636">IFERROR(INDEX($AW$1:$BH$1,1,MATCH(2,1/(AW2636:BH2636&lt;&gt;""))),"")</f>
        <v>46082</v>
      </c>
      <c r="BO2636" s="53">
        <f ca="1">IFERROR(_xlfn.XLOOKUP(F2636,Apuração!A:A,Apuração!C:C)/_xlfn.XLOOKUP(F2636,Apuração!A:A,Apuração!B:B),0)</f>
        <v>0.41666666666666669</v>
      </c>
      <c r="BP2636" s="53">
        <f ca="1">IFERROR(_xlfn.XLOOKUP(F2636,Apuração!A:A,Apuração!D:D)/_xlfn.XLOOKUP(F2636,Apuração!A:A,Apuração!B:B),0)</f>
        <v>0.33333333333333331</v>
      </c>
      <c r="BQ2636" s="53">
        <f ca="1">IF(BK2636&gt;=BO2636,0,_xlfn.XLOOKUP(F2636,Apuração!A:A,Apuração!B:B)*(BO2636 + (1/_xlfn.XLOOKUP(F2636,Apuração!A:A,Apuração!B:B)) - BK2636))</f>
        <v>0</v>
      </c>
      <c r="BR2636" s="85">
        <f t="shared" ca="1" si="3252"/>
        <v>0</v>
      </c>
      <c r="BS2636" s="53">
        <f ca="1">IFERROR((_xlfn.XLOOKUP(F2636,Apuração!A:A,Apuração!C:C)+1)/_xlfn.XLOOKUP(F2636,Apuração!A:A,Apuração!B:B),0)</f>
        <v>0.5</v>
      </c>
    </row>
    <row r="2637" spans="1:71" ht="25.95" hidden="1" customHeight="1" x14ac:dyDescent="0.3">
      <c r="A2637" s="72" t="s">
        <v>44</v>
      </c>
      <c r="B2637" s="73" t="s">
        <v>44</v>
      </c>
      <c r="C2637" s="74" t="s">
        <v>35</v>
      </c>
      <c r="D2637" s="5" t="s">
        <v>36</v>
      </c>
      <c r="E2637" s="4" t="str" cm="1">
        <f t="array" ref="E2637">_xlfn.IFS(
F2637 = "A partir de Abril", "Aguardando Execução na Distribuidora",
A2637 = "CAPACITAÇÃO", "Em execução no Corporativo",
TRUE, "Em Execução na Distribuidora"
)</f>
        <v>Em Execução na Distribuidora</v>
      </c>
      <c r="F2637" s="4" t="str" cm="1">
        <f t="array" ref="F2637">_xlfn.IFS(
AG2637 &lt;&gt; "", "Jan-Dez/26",
AH2637 &lt;&gt; "", "Fev-Dez/26",
AI2637 &lt;&gt; "", "Mar-Dez/26", AJ2637 &lt;&gt; "", "Abr-Dez/26",
TRUE, "A partir de Junho"
)</f>
        <v>A partir de Junho</v>
      </c>
      <c r="G2637" s="75" t="s">
        <v>44</v>
      </c>
      <c r="H2637" s="76" t="s">
        <v>44</v>
      </c>
      <c r="I2637" s="77"/>
      <c r="J2637" s="77"/>
      <c r="K2637" s="77"/>
      <c r="L2637" s="77" t="s">
        <v>241</v>
      </c>
      <c r="M2637" s="78"/>
      <c r="N2637" s="74" t="s">
        <v>42</v>
      </c>
      <c r="O2637" s="74" t="s">
        <v>52</v>
      </c>
      <c r="P2637" s="75" t="s">
        <v>44</v>
      </c>
      <c r="Q2637" s="75" t="s">
        <v>44</v>
      </c>
      <c r="R2637" s="79" t="s">
        <v>44</v>
      </c>
      <c r="S2637" s="79" t="s">
        <v>44</v>
      </c>
      <c r="T2637" s="22"/>
      <c r="U2637" s="22"/>
      <c r="V2637" s="22"/>
      <c r="W2637" s="22"/>
      <c r="X2637" s="22"/>
      <c r="Y2637" s="22"/>
      <c r="Z2637" s="22"/>
      <c r="AA2637" s="22"/>
      <c r="AB2637" s="22"/>
      <c r="AC2637" s="22"/>
      <c r="AD2637" s="22"/>
      <c r="AE2637" s="22"/>
      <c r="AG2637" s="112"/>
      <c r="AH2637" s="112"/>
      <c r="AI2637" s="112"/>
      <c r="AJ2637" s="112"/>
      <c r="AK2637" s="112"/>
      <c r="AL2637" s="112"/>
      <c r="AM2637" s="112"/>
      <c r="AN2637" s="112"/>
      <c r="AO2637" s="112"/>
      <c r="AP2637" s="112"/>
      <c r="AQ2637" s="112"/>
      <c r="AR2637" s="112"/>
      <c r="AS2637" s="94"/>
      <c r="AT2637" s="95"/>
      <c r="AU2637" s="97"/>
      <c r="AW2637" s="84">
        <f>AG2637</f>
        <v>0</v>
      </c>
      <c r="AX2637" s="84">
        <f t="shared" si="3251"/>
        <v>0</v>
      </c>
      <c r="AY2637" s="84">
        <f t="shared" si="3251"/>
        <v>0</v>
      </c>
      <c r="AZ2637" s="84">
        <f t="shared" ref="AZ2637:AZ2638" si="3253">AJ2637</f>
        <v>0</v>
      </c>
      <c r="BA2637" s="84"/>
      <c r="BB2637" s="84"/>
      <c r="BC2637" s="84"/>
      <c r="BD2637" s="84"/>
      <c r="BE2637" s="84"/>
      <c r="BF2637" s="84"/>
      <c r="BG2637" s="84"/>
      <c r="BH2637" s="84"/>
      <c r="BI2637" s="68" cm="1">
        <f t="array" ref="BI2637">IFERROR(INDEX(AW2637:BH2637,1,MATCH(2,1/(AW2637:BH2637&lt;&gt;""))),"")</f>
        <v>0</v>
      </c>
      <c r="BJ2637" s="68" cm="1">
        <f t="array" ref="BJ2637">IF(BM2637 = "", "",IFERROR(INDEX(AW2637:BH2637,1,MATCH(2,1/(AW2637:BH2637&lt;&gt;""),1)-1),""))</f>
        <v>0</v>
      </c>
      <c r="BK2637" s="57" cm="1">
        <f t="array" ref="BK2637">IFERROR(INDEX(AW2637:BH2637,1,MATCH(2,1/(AW2637:BH2637&lt;&gt;""),1)),"")</f>
        <v>0</v>
      </c>
      <c r="BL2637" s="57" cm="1">
        <f t="array" ref="BL2637">IF(BM2637 = "", "",IFERROR(INDEX(AW2637:BH2637,1,MATCH(2,1/(AW2637:BH2637&lt;&gt;""),1)-1),""))</f>
        <v>0</v>
      </c>
      <c r="BM2637" s="55" cm="1">
        <f t="array" ref="BM2637">IFERROR(
   INDEX($AW$1:$BH$1,
      _xlfn.AGGREGATE(14, 6, COLUMN($AW$1:$BH$1)/(AW2637:BH2637&lt;&gt;""), 2) - COLUMN($AW$1) + 1
   ),
"")</f>
        <v>46082</v>
      </c>
      <c r="BN2637" s="55" cm="1">
        <f t="array" ref="BN2637">IFERROR(INDEX($AW$1:$BH$1,1,MATCH(2,1/(AW2637:BH2637&lt;&gt;""))),"")</f>
        <v>46113</v>
      </c>
      <c r="BO2637" s="53">
        <f ca="1">IFERROR(_xlfn.XLOOKUP(F2637,Apuração!A:A,Apuração!C:C)/_xlfn.XLOOKUP(F2637,Apuração!A:A,Apuração!B:B),0)</f>
        <v>0</v>
      </c>
      <c r="BP2637" s="53">
        <f ca="1">IFERROR(_xlfn.XLOOKUP(F2637,Apuração!A:A,Apuração!D:D)/_xlfn.XLOOKUP(F2637,Apuração!A:A,Apuração!B:B),0)</f>
        <v>0</v>
      </c>
      <c r="BQ2637" s="53">
        <f ca="1">IF(BK2637&gt;=BO2637,0,_xlfn.XLOOKUP(F2637,Apuração!A:A,Apuração!B:B)*(BO2637 + (1/_xlfn.XLOOKUP(F2637,Apuração!A:A,Apuração!B:B)) - BK2637))</f>
        <v>0</v>
      </c>
      <c r="BR2637" s="85">
        <f t="shared" ca="1" si="3252"/>
        <v>0</v>
      </c>
      <c r="BS2637" s="53">
        <f ca="1">IFERROR((_xlfn.XLOOKUP(F2637,Apuração!A:A,Apuração!C:C)+1)/_xlfn.XLOOKUP(F2637,Apuração!A:A,Apuração!B:B),0)</f>
        <v>0.14285714285714285</v>
      </c>
    </row>
    <row r="2638" spans="1:71" ht="25.95" hidden="1" customHeight="1" x14ac:dyDescent="0.3">
      <c r="A2638" s="72" t="s">
        <v>44</v>
      </c>
      <c r="B2638" s="73" t="s">
        <v>44</v>
      </c>
      <c r="C2638" s="74" t="s">
        <v>95</v>
      </c>
      <c r="D2638" s="5" t="s">
        <v>36</v>
      </c>
      <c r="E2638" s="4" t="str" cm="1">
        <f t="array" ref="E2638">_xlfn.IFS(
F2638 = "A partir de Abril", "Aguardando Execução na Distribuidora",
A2638 = "CAPACITAÇÃO", "Em execução no Corporativo",
TRUE, "Em Execução na Distribuidora"
)</f>
        <v>Em Execução na Distribuidora</v>
      </c>
      <c r="F2638" s="4" t="str" cm="1">
        <f t="array" ref="F2638">_xlfn.IFS(
AG2638 &lt;&gt; "", "Jan-Dez/26",
AH2638 &lt;&gt; "", "Fev-Dez/26",
AI2638 &lt;&gt; "", "Mar-Dez/26", AJ2638 &lt;&gt; "", "Abr-Dez/26",
TRUE, "A partir de Junho"
)</f>
        <v>A partir de Junho</v>
      </c>
      <c r="G2638" s="75" t="s">
        <v>44</v>
      </c>
      <c r="H2638" s="76" t="s">
        <v>44</v>
      </c>
      <c r="I2638" s="77"/>
      <c r="J2638" s="77"/>
      <c r="K2638" s="77"/>
      <c r="L2638" s="77" t="s">
        <v>241</v>
      </c>
      <c r="M2638" s="78"/>
      <c r="N2638" s="74" t="s">
        <v>42</v>
      </c>
      <c r="O2638" s="74" t="s">
        <v>52</v>
      </c>
      <c r="P2638" s="75" t="s">
        <v>44</v>
      </c>
      <c r="Q2638" s="75" t="s">
        <v>44</v>
      </c>
      <c r="R2638" s="79" t="s">
        <v>44</v>
      </c>
      <c r="S2638" s="79" t="s">
        <v>44</v>
      </c>
      <c r="T2638" s="22"/>
      <c r="U2638" s="22"/>
      <c r="V2638" s="22"/>
      <c r="W2638" s="22"/>
      <c r="X2638" s="22"/>
      <c r="Y2638" s="22"/>
      <c r="Z2638" s="22"/>
      <c r="AA2638" s="22"/>
      <c r="AB2638" s="22"/>
      <c r="AC2638" s="22"/>
      <c r="AD2638" s="22"/>
      <c r="AE2638" s="22"/>
      <c r="AG2638" s="112"/>
      <c r="AH2638" s="112"/>
      <c r="AI2638" s="112"/>
      <c r="AJ2638" s="112"/>
      <c r="AK2638" s="112"/>
      <c r="AL2638" s="112"/>
      <c r="AM2638" s="112"/>
      <c r="AN2638" s="112"/>
      <c r="AO2638" s="112"/>
      <c r="AP2638" s="112"/>
      <c r="AQ2638" s="112"/>
      <c r="AR2638" s="112"/>
      <c r="AS2638" s="94"/>
      <c r="AT2638" s="95"/>
      <c r="AU2638" s="97"/>
      <c r="AW2638" s="84">
        <f>AG2638</f>
        <v>0</v>
      </c>
      <c r="AX2638" s="84">
        <f t="shared" si="3251"/>
        <v>0</v>
      </c>
      <c r="AY2638" s="84">
        <f t="shared" si="3251"/>
        <v>0</v>
      </c>
      <c r="AZ2638" s="84">
        <f t="shared" si="3253"/>
        <v>0</v>
      </c>
      <c r="BA2638" s="84"/>
      <c r="BB2638" s="84"/>
      <c r="BC2638" s="84"/>
      <c r="BD2638" s="84"/>
      <c r="BE2638" s="84"/>
      <c r="BF2638" s="84"/>
      <c r="BG2638" s="84"/>
      <c r="BH2638" s="84"/>
      <c r="BI2638" s="68" cm="1">
        <f t="array" ref="BI2638">IFERROR(INDEX(AW2638:BH2638,1,MATCH(2,1/(AW2638:BH2638&lt;&gt;""))),"")</f>
        <v>0</v>
      </c>
      <c r="BJ2638" s="68" cm="1">
        <f t="array" ref="BJ2638">IF(BM2638 = "", "",IFERROR(INDEX(AW2638:BH2638,1,MATCH(2,1/(AW2638:BH2638&lt;&gt;""),1)-1),""))</f>
        <v>0</v>
      </c>
      <c r="BK2638" s="57" cm="1">
        <f t="array" ref="BK2638">IFERROR(INDEX(AW2638:BH2638,1,MATCH(2,1/(AW2638:BH2638&lt;&gt;""),1)),"")</f>
        <v>0</v>
      </c>
      <c r="BL2638" s="57" cm="1">
        <f t="array" ref="BL2638">IF(BM2638 = "", "",IFERROR(INDEX(AW2638:BH2638,1,MATCH(2,1/(AW2638:BH2638&lt;&gt;""),1)-1),""))</f>
        <v>0</v>
      </c>
      <c r="BM2638" s="55" cm="1">
        <f t="array" ref="BM2638">IFERROR(
   INDEX($AW$1:$BH$1,
      _xlfn.AGGREGATE(14, 6, COLUMN($AW$1:$BH$1)/(AW2638:BH2638&lt;&gt;""), 2) - COLUMN($AW$1) + 1
   ),
"")</f>
        <v>46082</v>
      </c>
      <c r="BN2638" s="55" cm="1">
        <f t="array" ref="BN2638">IFERROR(INDEX($AW$1:$BH$1,1,MATCH(2,1/(AW2638:BH2638&lt;&gt;""))),"")</f>
        <v>46113</v>
      </c>
      <c r="BO2638" s="53">
        <f ca="1">IFERROR(_xlfn.XLOOKUP(F2638,Apuração!A:A,Apuração!C:C)/_xlfn.XLOOKUP(F2638,Apuração!A:A,Apuração!B:B),0)</f>
        <v>0</v>
      </c>
      <c r="BP2638" s="53">
        <f ca="1">IFERROR(_xlfn.XLOOKUP(F2638,Apuração!A:A,Apuração!D:D)/_xlfn.XLOOKUP(F2638,Apuração!A:A,Apuração!B:B),0)</f>
        <v>0</v>
      </c>
      <c r="BQ2638" s="53">
        <f ca="1">IF(BK2638&gt;=BO2638,0,_xlfn.XLOOKUP(F2638,Apuração!A:A,Apuração!B:B)*(BO2638 + (1/_xlfn.XLOOKUP(F2638,Apuração!A:A,Apuração!B:B)) - BK2638))</f>
        <v>0</v>
      </c>
      <c r="BR2638" s="85">
        <f t="shared" ca="1" si="3252"/>
        <v>0</v>
      </c>
      <c r="BS2638" s="53">
        <f ca="1">IFERROR((_xlfn.XLOOKUP(F2638,Apuração!A:A,Apuração!C:C)+1)/_xlfn.XLOOKUP(F2638,Apuração!A:A,Apuração!B:B),0)</f>
        <v>0.14285714285714285</v>
      </c>
    </row>
    <row r="2639" spans="1:71" ht="25.95" hidden="1" customHeight="1" x14ac:dyDescent="0.3">
      <c r="A2639" s="72" t="s">
        <v>44</v>
      </c>
      <c r="B2639" s="73" t="s">
        <v>44</v>
      </c>
      <c r="C2639" s="74" t="s">
        <v>97</v>
      </c>
      <c r="D2639" s="5" t="s">
        <v>98</v>
      </c>
      <c r="E2639" s="4" t="str" cm="1">
        <f t="array" ref="E2639">_xlfn.IFS(
F2639 = "A partir de Abril", "Aguardando Execução na Distribuidora",
A2639 = "CAPACITAÇÃO", "Em execução no Corporativo",
TRUE, "Em Execução na Distribuidora"
)</f>
        <v>Em Execução na Distribuidora</v>
      </c>
      <c r="F2639" s="4" t="str" cm="1">
        <f t="array" ref="F2639">_xlfn.IFS(
AG2639 &lt;&gt; "", "Jan-Dez/26",
AH2639 &lt;&gt; "", "Fev-Dez/26",
AI2639 &lt;&gt; "", "Mar-Dez/26", AJ2639 &lt;&gt; "", "Abr-Dez/26",
TRUE, "A partir de Junho"
)</f>
        <v>A partir de Junho</v>
      </c>
      <c r="G2639" s="75" t="s">
        <v>44</v>
      </c>
      <c r="H2639" s="76" t="s">
        <v>44</v>
      </c>
      <c r="I2639" s="77"/>
      <c r="J2639" s="77"/>
      <c r="K2639" s="77"/>
      <c r="L2639" s="77" t="s">
        <v>241</v>
      </c>
      <c r="M2639" s="78"/>
      <c r="N2639" s="74" t="s">
        <v>42</v>
      </c>
      <c r="O2639" s="74" t="s">
        <v>52</v>
      </c>
      <c r="P2639" s="75" t="s">
        <v>44</v>
      </c>
      <c r="Q2639" s="75" t="s">
        <v>44</v>
      </c>
      <c r="R2639" s="79" t="s">
        <v>44</v>
      </c>
      <c r="S2639" s="79" t="s">
        <v>44</v>
      </c>
      <c r="T2639" s="22"/>
      <c r="U2639" s="22"/>
      <c r="V2639" s="22"/>
      <c r="W2639" s="22"/>
      <c r="X2639" s="22"/>
      <c r="Y2639" s="22"/>
      <c r="Z2639" s="22"/>
      <c r="AA2639" s="22"/>
      <c r="AB2639" s="22"/>
      <c r="AC2639" s="22"/>
      <c r="AD2639" s="22"/>
      <c r="AE2639" s="22"/>
      <c r="AG2639" s="71"/>
      <c r="AH2639" s="71"/>
      <c r="AI2639" s="71"/>
      <c r="AJ2639" s="71"/>
      <c r="AK2639" s="71"/>
      <c r="AL2639" s="71"/>
      <c r="AM2639" s="71"/>
      <c r="AN2639" s="71"/>
      <c r="AO2639" s="71"/>
      <c r="AP2639" s="71"/>
      <c r="AQ2639" s="71"/>
      <c r="AR2639" s="71"/>
      <c r="AS2639" s="94"/>
      <c r="AT2639" s="95"/>
      <c r="AU2639" s="97"/>
      <c r="AW2639" s="84">
        <f t="shared" ref="AW2639:AW2648" si="3254">AG2639</f>
        <v>0</v>
      </c>
      <c r="AX2639" s="84"/>
      <c r="AY2639" s="84"/>
      <c r="AZ2639" s="84"/>
      <c r="BA2639" s="84"/>
      <c r="BB2639" s="84"/>
      <c r="BC2639" s="84"/>
      <c r="BD2639" s="84"/>
      <c r="BE2639" s="84"/>
      <c r="BF2639" s="84"/>
      <c r="BG2639" s="84"/>
      <c r="BH2639" s="84"/>
      <c r="BI2639" s="68" cm="1">
        <f t="array" ref="BI2639">IFERROR(INDEX(AW2639:BH2639,1,MATCH(2,1/(AW2639:BH2639&lt;&gt;""))),"")</f>
        <v>0</v>
      </c>
      <c r="BJ2639" s="68" t="str" cm="1">
        <f t="array" ref="BJ2639">IF(BM2639 = "", "",IFERROR(INDEX(AW2639:BH2639,1,MATCH(2,1/(AW2639:BH2639&lt;&gt;""),1)-1),""))</f>
        <v/>
      </c>
      <c r="BK2639" s="57" cm="1">
        <f t="array" ref="BK2639">IFERROR(INDEX(AW2639:BH2639,1,MATCH(2,1/(AW2639:BH2639&lt;&gt;""),1)),"")</f>
        <v>0</v>
      </c>
      <c r="BL2639" s="57" t="str" cm="1">
        <f t="array" ref="BL2639">IF(BM2639 = "", "",IFERROR(INDEX(AW2639:BH2639,1,MATCH(2,1/(AW2639:BH2639&lt;&gt;""),1)-1),""))</f>
        <v/>
      </c>
      <c r="BM2639" s="55" t="str" cm="1">
        <f t="array" ref="BM2639">IFERROR(
   INDEX($AW$1:$BH$1,
      _xlfn.AGGREGATE(14, 6, COLUMN($AW$1:$BH$1)/(AW2639:BH2639&lt;&gt;""), 2) - COLUMN($AW$1) + 1
   ),
"")</f>
        <v/>
      </c>
      <c r="BN2639" s="55" cm="1">
        <f t="array" ref="BN2639">IFERROR(INDEX($AW$1:$BH$1,1,MATCH(2,1/(AW2639:BH2639&lt;&gt;""))),"")</f>
        <v>46023</v>
      </c>
      <c r="BO2639" s="53">
        <f ca="1">IFERROR(_xlfn.XLOOKUP(F2639,Apuração!A:A,Apuração!C:C)/_xlfn.XLOOKUP(F2639,Apuração!A:A,Apuração!B:B),0)</f>
        <v>0</v>
      </c>
      <c r="BP2639" s="53">
        <f ca="1">IFERROR(_xlfn.XLOOKUP(F2639,Apuração!A:A,Apuração!D:D)/_xlfn.XLOOKUP(F2639,Apuração!A:A,Apuração!B:B),0)</f>
        <v>0</v>
      </c>
      <c r="BQ2639" s="53">
        <f ca="1">IF(BK2639&gt;=BO2639,0,_xlfn.XLOOKUP(F2639,Apuração!A:A,Apuração!B:B)*(BO2639 + (1/_xlfn.XLOOKUP(F2639,Apuração!A:A,Apuração!B:B)) - BK2639))</f>
        <v>0</v>
      </c>
      <c r="BR2639" s="85">
        <f t="shared" ref="BR2639:BR2648" ca="1" si="3255">IF(BQ2639=0,0,BQ2639*Z2639)</f>
        <v>0</v>
      </c>
      <c r="BS2639" s="53">
        <f ca="1">IFERROR((_xlfn.XLOOKUP(F2639,Apuração!A:A,Apuração!C:C)+1)/_xlfn.XLOOKUP(F2639,Apuração!A:A,Apuração!B:B),0)</f>
        <v>0.14285714285714285</v>
      </c>
    </row>
    <row r="2640" spans="1:71" ht="25.95" hidden="1" customHeight="1" x14ac:dyDescent="0.3">
      <c r="A2640" s="72" t="s">
        <v>44</v>
      </c>
      <c r="B2640" s="73" t="s">
        <v>44</v>
      </c>
      <c r="C2640" s="74" t="s">
        <v>97</v>
      </c>
      <c r="D2640" s="5" t="s">
        <v>99</v>
      </c>
      <c r="E2640" s="4" t="str" cm="1">
        <f t="array" ref="E2640">_xlfn.IFS(
F2640 = "A partir de Abril", "Aguardando Execução na Distribuidora",
A2640 = "CAPACITAÇÃO", "Em execução no Corporativo",
TRUE, "Em Execução na Distribuidora"
)</f>
        <v>Em Execução na Distribuidora</v>
      </c>
      <c r="F2640" s="4" t="str" cm="1">
        <f t="array" ref="F2640">_xlfn.IFS(
AG2640 &lt;&gt; "", "Jan-Dez/26",
AH2640 &lt;&gt; "", "Fev-Dez/26",
AI2640 &lt;&gt; "", "Mar-Dez/26", AJ2640 &lt;&gt; "", "Abr-Dez/26",
TRUE, "A partir de Junho"
)</f>
        <v>A partir de Junho</v>
      </c>
      <c r="G2640" s="75" t="s">
        <v>44</v>
      </c>
      <c r="H2640" s="76" t="s">
        <v>44</v>
      </c>
      <c r="I2640" s="77"/>
      <c r="J2640" s="77"/>
      <c r="K2640" s="77"/>
      <c r="L2640" s="77" t="s">
        <v>241</v>
      </c>
      <c r="M2640" s="78"/>
      <c r="N2640" s="74" t="s">
        <v>42</v>
      </c>
      <c r="O2640" s="74" t="s">
        <v>52</v>
      </c>
      <c r="P2640" s="75" t="s">
        <v>44</v>
      </c>
      <c r="Q2640" s="75" t="s">
        <v>44</v>
      </c>
      <c r="R2640" s="79" t="s">
        <v>44</v>
      </c>
      <c r="S2640" s="79" t="s">
        <v>44</v>
      </c>
      <c r="T2640" s="22"/>
      <c r="U2640" s="22"/>
      <c r="V2640" s="22"/>
      <c r="W2640" s="22"/>
      <c r="X2640" s="22"/>
      <c r="Y2640" s="22"/>
      <c r="Z2640" s="22"/>
      <c r="AA2640" s="22"/>
      <c r="AB2640" s="22"/>
      <c r="AC2640" s="22"/>
      <c r="AD2640" s="22"/>
      <c r="AE2640" s="22"/>
      <c r="AG2640" s="71"/>
      <c r="AH2640" s="71"/>
      <c r="AI2640" s="71"/>
      <c r="AJ2640" s="71"/>
      <c r="AK2640" s="71"/>
      <c r="AL2640" s="71"/>
      <c r="AM2640" s="71"/>
      <c r="AN2640" s="71"/>
      <c r="AO2640" s="71"/>
      <c r="AP2640" s="71"/>
      <c r="AQ2640" s="71"/>
      <c r="AR2640" s="71"/>
      <c r="AS2640" s="94"/>
      <c r="AT2640" s="95"/>
      <c r="AU2640" s="97"/>
      <c r="AW2640" s="84">
        <f t="shared" si="3254"/>
        <v>0</v>
      </c>
      <c r="AX2640" s="84"/>
      <c r="AY2640" s="84"/>
      <c r="AZ2640" s="84"/>
      <c r="BA2640" s="84"/>
      <c r="BB2640" s="84"/>
      <c r="BC2640" s="84"/>
      <c r="BD2640" s="84"/>
      <c r="BE2640" s="84"/>
      <c r="BF2640" s="84"/>
      <c r="BG2640" s="84"/>
      <c r="BH2640" s="84"/>
      <c r="BI2640" s="68" cm="1">
        <f t="array" ref="BI2640">IFERROR(INDEX(AW2640:BH2640,1,MATCH(2,1/(AW2640:BH2640&lt;&gt;""))),"")</f>
        <v>0</v>
      </c>
      <c r="BJ2640" s="68" t="str" cm="1">
        <f t="array" ref="BJ2640">IF(BM2640 = "", "",IFERROR(INDEX(AW2640:BH2640,1,MATCH(2,1/(AW2640:BH2640&lt;&gt;""),1)-1),""))</f>
        <v/>
      </c>
      <c r="BK2640" s="57" cm="1">
        <f t="array" ref="BK2640">IFERROR(INDEX(AW2640:BH2640,1,MATCH(2,1/(AW2640:BH2640&lt;&gt;""),1)),"")</f>
        <v>0</v>
      </c>
      <c r="BL2640" s="57" t="str" cm="1">
        <f t="array" ref="BL2640">IF(BM2640 = "", "",IFERROR(INDEX(AW2640:BH2640,1,MATCH(2,1/(AW2640:BH2640&lt;&gt;""),1)-1),""))</f>
        <v/>
      </c>
      <c r="BM2640" s="55" t="str" cm="1">
        <f t="array" ref="BM2640">IFERROR(
   INDEX($AW$1:$BH$1,
      _xlfn.AGGREGATE(14, 6, COLUMN($AW$1:$BH$1)/(AW2640:BH2640&lt;&gt;""), 2) - COLUMN($AW$1) + 1
   ),
"")</f>
        <v/>
      </c>
      <c r="BN2640" s="55" cm="1">
        <f t="array" ref="BN2640">IFERROR(INDEX($AW$1:$BH$1,1,MATCH(2,1/(AW2640:BH2640&lt;&gt;""))),"")</f>
        <v>46023</v>
      </c>
      <c r="BO2640" s="53">
        <f ca="1">IFERROR(_xlfn.XLOOKUP(F2640,Apuração!A:A,Apuração!C:C)/_xlfn.XLOOKUP(F2640,Apuração!A:A,Apuração!B:B),0)</f>
        <v>0</v>
      </c>
      <c r="BP2640" s="53">
        <f ca="1">IFERROR(_xlfn.XLOOKUP(F2640,Apuração!A:A,Apuração!D:D)/_xlfn.XLOOKUP(F2640,Apuração!A:A,Apuração!B:B),0)</f>
        <v>0</v>
      </c>
      <c r="BQ2640" s="53">
        <f ca="1">IF(BK2640&gt;=BO2640,0,_xlfn.XLOOKUP(F2640,Apuração!A:A,Apuração!B:B)*(BO2640 + (1/_xlfn.XLOOKUP(F2640,Apuração!A:A,Apuração!B:B)) - BK2640))</f>
        <v>0</v>
      </c>
      <c r="BR2640" s="85">
        <f t="shared" ca="1" si="3255"/>
        <v>0</v>
      </c>
      <c r="BS2640" s="53">
        <f ca="1">IFERROR((_xlfn.XLOOKUP(F2640,Apuração!A:A,Apuração!C:C)+1)/_xlfn.XLOOKUP(F2640,Apuração!A:A,Apuração!B:B),0)</f>
        <v>0.14285714285714285</v>
      </c>
    </row>
    <row r="2641" spans="1:71" ht="25.95" hidden="1" customHeight="1" x14ac:dyDescent="0.3">
      <c r="A2641" s="72" t="s">
        <v>44</v>
      </c>
      <c r="B2641" s="73" t="s">
        <v>44</v>
      </c>
      <c r="C2641" s="74" t="s">
        <v>97</v>
      </c>
      <c r="D2641" s="5" t="s">
        <v>100</v>
      </c>
      <c r="E2641" s="4" t="str" cm="1">
        <f t="array" ref="E2641">_xlfn.IFS(
F2641 = "A partir de Abril", "Aguardando Execução na Distribuidora",
A2641 = "CAPACITAÇÃO", "Em execução no Corporativo",
TRUE, "Em Execução na Distribuidora"
)</f>
        <v>Em Execução na Distribuidora</v>
      </c>
      <c r="F2641" s="4" t="str" cm="1">
        <f t="array" ref="F2641">_xlfn.IFS(
AG2641 &lt;&gt; "", "Jan-Dez/26",
AH2641 &lt;&gt; "", "Fev-Dez/26",
AI2641 &lt;&gt; "", "Mar-Dez/26", AJ2641 &lt;&gt; "", "Abr-Dez/26",
TRUE, "A partir de Junho"
)</f>
        <v>A partir de Junho</v>
      </c>
      <c r="G2641" s="75" t="s">
        <v>44</v>
      </c>
      <c r="H2641" s="76" t="s">
        <v>44</v>
      </c>
      <c r="I2641" s="77"/>
      <c r="J2641" s="77"/>
      <c r="K2641" s="77"/>
      <c r="L2641" s="77" t="s">
        <v>241</v>
      </c>
      <c r="M2641" s="78"/>
      <c r="N2641" s="74" t="s">
        <v>42</v>
      </c>
      <c r="O2641" s="74" t="s">
        <v>52</v>
      </c>
      <c r="P2641" s="75" t="s">
        <v>44</v>
      </c>
      <c r="Q2641" s="75" t="s">
        <v>44</v>
      </c>
      <c r="R2641" s="79" t="s">
        <v>44</v>
      </c>
      <c r="S2641" s="79" t="s">
        <v>44</v>
      </c>
      <c r="T2641" s="22"/>
      <c r="U2641" s="22"/>
      <c r="V2641" s="22"/>
      <c r="W2641" s="22"/>
      <c r="X2641" s="22"/>
      <c r="Y2641" s="22"/>
      <c r="Z2641" s="22"/>
      <c r="AA2641" s="22"/>
      <c r="AB2641" s="22"/>
      <c r="AC2641" s="22"/>
      <c r="AD2641" s="22"/>
      <c r="AE2641" s="22"/>
      <c r="AG2641" s="71"/>
      <c r="AH2641" s="71"/>
      <c r="AI2641" s="71"/>
      <c r="AJ2641" s="71"/>
      <c r="AK2641" s="71"/>
      <c r="AL2641" s="71"/>
      <c r="AM2641" s="71"/>
      <c r="AN2641" s="71"/>
      <c r="AO2641" s="71"/>
      <c r="AP2641" s="71"/>
      <c r="AQ2641" s="71"/>
      <c r="AR2641" s="71"/>
      <c r="AS2641" s="94"/>
      <c r="AT2641" s="95"/>
      <c r="AU2641" s="97"/>
      <c r="AW2641" s="84">
        <f t="shared" si="3254"/>
        <v>0</v>
      </c>
      <c r="AX2641" s="84"/>
      <c r="AY2641" s="84"/>
      <c r="AZ2641" s="84"/>
      <c r="BA2641" s="84"/>
      <c r="BB2641" s="84"/>
      <c r="BC2641" s="84"/>
      <c r="BD2641" s="84"/>
      <c r="BE2641" s="84"/>
      <c r="BF2641" s="84"/>
      <c r="BG2641" s="84"/>
      <c r="BH2641" s="84"/>
      <c r="BI2641" s="68" cm="1">
        <f t="array" ref="BI2641">IFERROR(INDEX(AW2641:BH2641,1,MATCH(2,1/(AW2641:BH2641&lt;&gt;""))),"")</f>
        <v>0</v>
      </c>
      <c r="BJ2641" s="68" t="str" cm="1">
        <f t="array" ref="BJ2641">IF(BM2641 = "", "",IFERROR(INDEX(AW2641:BH2641,1,MATCH(2,1/(AW2641:BH2641&lt;&gt;""),1)-1),""))</f>
        <v/>
      </c>
      <c r="BK2641" s="57" cm="1">
        <f t="array" ref="BK2641">IFERROR(INDEX(AW2641:BH2641,1,MATCH(2,1/(AW2641:BH2641&lt;&gt;""),1)),"")</f>
        <v>0</v>
      </c>
      <c r="BL2641" s="57" t="str" cm="1">
        <f t="array" ref="BL2641">IF(BM2641 = "", "",IFERROR(INDEX(AW2641:BH2641,1,MATCH(2,1/(AW2641:BH2641&lt;&gt;""),1)-1),""))</f>
        <v/>
      </c>
      <c r="BM2641" s="55" t="str" cm="1">
        <f t="array" ref="BM2641">IFERROR(
   INDEX($AW$1:$BH$1,
      _xlfn.AGGREGATE(14, 6, COLUMN($AW$1:$BH$1)/(AW2641:BH2641&lt;&gt;""), 2) - COLUMN($AW$1) + 1
   ),
"")</f>
        <v/>
      </c>
      <c r="BN2641" s="55" cm="1">
        <f t="array" ref="BN2641">IFERROR(INDEX($AW$1:$BH$1,1,MATCH(2,1/(AW2641:BH2641&lt;&gt;""))),"")</f>
        <v>46023</v>
      </c>
      <c r="BO2641" s="53">
        <f ca="1">IFERROR(_xlfn.XLOOKUP(F2641,Apuração!A:A,Apuração!C:C)/_xlfn.XLOOKUP(F2641,Apuração!A:A,Apuração!B:B),0)</f>
        <v>0</v>
      </c>
      <c r="BP2641" s="53">
        <f ca="1">IFERROR(_xlfn.XLOOKUP(F2641,Apuração!A:A,Apuração!D:D)/_xlfn.XLOOKUP(F2641,Apuração!A:A,Apuração!B:B),0)</f>
        <v>0</v>
      </c>
      <c r="BQ2641" s="53">
        <f ca="1">IF(BK2641&gt;=BO2641,0,_xlfn.XLOOKUP(F2641,Apuração!A:A,Apuração!B:B)*(BO2641 + (1/_xlfn.XLOOKUP(F2641,Apuração!A:A,Apuração!B:B)) - BK2641))</f>
        <v>0</v>
      </c>
      <c r="BR2641" s="85">
        <f t="shared" ca="1" si="3255"/>
        <v>0</v>
      </c>
      <c r="BS2641" s="53">
        <f ca="1">IFERROR((_xlfn.XLOOKUP(F2641,Apuração!A:A,Apuração!C:C)+1)/_xlfn.XLOOKUP(F2641,Apuração!A:A,Apuração!B:B),0)</f>
        <v>0.14285714285714285</v>
      </c>
    </row>
    <row r="2642" spans="1:71" ht="25.95" hidden="1" customHeight="1" x14ac:dyDescent="0.3">
      <c r="A2642" s="72" t="s">
        <v>44</v>
      </c>
      <c r="B2642" s="73" t="s">
        <v>44</v>
      </c>
      <c r="C2642" s="74" t="s">
        <v>97</v>
      </c>
      <c r="D2642" s="5" t="s">
        <v>101</v>
      </c>
      <c r="E2642" s="4" t="str" cm="1">
        <f t="array" ref="E2642">_xlfn.IFS(
F2642 = "A partir de Abril", "Aguardando Execução na Distribuidora",
A2642 = "CAPACITAÇÃO", "Em execução no Corporativo",
TRUE, "Em Execução na Distribuidora"
)</f>
        <v>Em Execução na Distribuidora</v>
      </c>
      <c r="F2642" s="4" t="str" cm="1">
        <f t="array" ref="F2642">_xlfn.IFS(
AG2642 &lt;&gt; "", "Jan-Dez/26",
AH2642 &lt;&gt; "", "Fev-Dez/26",
AI2642 &lt;&gt; "", "Mar-Dez/26", AJ2642 &lt;&gt; "", "Abr-Dez/26",
TRUE, "A partir de Junho"
)</f>
        <v>A partir de Junho</v>
      </c>
      <c r="G2642" s="75" t="s">
        <v>44</v>
      </c>
      <c r="H2642" s="76" t="s">
        <v>44</v>
      </c>
      <c r="I2642" s="77"/>
      <c r="J2642" s="77"/>
      <c r="K2642" s="77"/>
      <c r="L2642" s="77" t="s">
        <v>241</v>
      </c>
      <c r="M2642" s="78"/>
      <c r="N2642" s="74" t="s">
        <v>42</v>
      </c>
      <c r="O2642" s="74" t="s">
        <v>52</v>
      </c>
      <c r="P2642" s="75" t="s">
        <v>44</v>
      </c>
      <c r="Q2642" s="75" t="s">
        <v>44</v>
      </c>
      <c r="R2642" s="79" t="s">
        <v>44</v>
      </c>
      <c r="S2642" s="79" t="s">
        <v>44</v>
      </c>
      <c r="T2642" s="22"/>
      <c r="U2642" s="22"/>
      <c r="V2642" s="22"/>
      <c r="W2642" s="22"/>
      <c r="X2642" s="22"/>
      <c r="Y2642" s="22"/>
      <c r="Z2642" s="22"/>
      <c r="AA2642" s="22"/>
      <c r="AB2642" s="22"/>
      <c r="AC2642" s="22"/>
      <c r="AD2642" s="22"/>
      <c r="AE2642" s="22"/>
      <c r="AG2642" s="71"/>
      <c r="AH2642" s="71"/>
      <c r="AI2642" s="71"/>
      <c r="AJ2642" s="71"/>
      <c r="AK2642" s="71"/>
      <c r="AL2642" s="71"/>
      <c r="AM2642" s="71"/>
      <c r="AN2642" s="71"/>
      <c r="AO2642" s="71"/>
      <c r="AP2642" s="71"/>
      <c r="AQ2642" s="71"/>
      <c r="AR2642" s="71"/>
      <c r="AS2642" s="94"/>
      <c r="AT2642" s="95"/>
      <c r="AU2642" s="97"/>
      <c r="AW2642" s="84">
        <f t="shared" si="3254"/>
        <v>0</v>
      </c>
      <c r="AX2642" s="84"/>
      <c r="AY2642" s="84"/>
      <c r="AZ2642" s="84"/>
      <c r="BA2642" s="84"/>
      <c r="BB2642" s="84"/>
      <c r="BC2642" s="84"/>
      <c r="BD2642" s="84"/>
      <c r="BE2642" s="84"/>
      <c r="BF2642" s="84"/>
      <c r="BG2642" s="84"/>
      <c r="BH2642" s="84"/>
      <c r="BI2642" s="68" cm="1">
        <f t="array" ref="BI2642">IFERROR(INDEX(AW2642:BH2642,1,MATCH(2,1/(AW2642:BH2642&lt;&gt;""))),"")</f>
        <v>0</v>
      </c>
      <c r="BJ2642" s="68" t="str" cm="1">
        <f t="array" ref="BJ2642">IF(BM2642 = "", "",IFERROR(INDEX(AW2642:BH2642,1,MATCH(2,1/(AW2642:BH2642&lt;&gt;""),1)-1),""))</f>
        <v/>
      </c>
      <c r="BK2642" s="57" cm="1">
        <f t="array" ref="BK2642">IFERROR(INDEX(AW2642:BH2642,1,MATCH(2,1/(AW2642:BH2642&lt;&gt;""),1)),"")</f>
        <v>0</v>
      </c>
      <c r="BL2642" s="57" t="str" cm="1">
        <f t="array" ref="BL2642">IF(BM2642 = "", "",IFERROR(INDEX(AW2642:BH2642,1,MATCH(2,1/(AW2642:BH2642&lt;&gt;""),1)-1),""))</f>
        <v/>
      </c>
      <c r="BM2642" s="55" t="str" cm="1">
        <f t="array" ref="BM2642">IFERROR(
   INDEX($AW$1:$BH$1,
      _xlfn.AGGREGATE(14, 6, COLUMN($AW$1:$BH$1)/(AW2642:BH2642&lt;&gt;""), 2) - COLUMN($AW$1) + 1
   ),
"")</f>
        <v/>
      </c>
      <c r="BN2642" s="55" cm="1">
        <f t="array" ref="BN2642">IFERROR(INDEX($AW$1:$BH$1,1,MATCH(2,1/(AW2642:BH2642&lt;&gt;""))),"")</f>
        <v>46023</v>
      </c>
      <c r="BO2642" s="53">
        <f ca="1">IFERROR(_xlfn.XLOOKUP(F2642,Apuração!A:A,Apuração!C:C)/_xlfn.XLOOKUP(F2642,Apuração!A:A,Apuração!B:B),0)</f>
        <v>0</v>
      </c>
      <c r="BP2642" s="53">
        <f ca="1">IFERROR(_xlfn.XLOOKUP(F2642,Apuração!A:A,Apuração!D:D)/_xlfn.XLOOKUP(F2642,Apuração!A:A,Apuração!B:B),0)</f>
        <v>0</v>
      </c>
      <c r="BQ2642" s="53">
        <f ca="1">IF(BK2642&gt;=BO2642,0,_xlfn.XLOOKUP(F2642,Apuração!A:A,Apuração!B:B)*(BO2642 + (1/_xlfn.XLOOKUP(F2642,Apuração!A:A,Apuração!B:B)) - BK2642))</f>
        <v>0</v>
      </c>
      <c r="BR2642" s="85">
        <f t="shared" ca="1" si="3255"/>
        <v>0</v>
      </c>
      <c r="BS2642" s="53">
        <f ca="1">IFERROR((_xlfn.XLOOKUP(F2642,Apuração!A:A,Apuração!C:C)+1)/_xlfn.XLOOKUP(F2642,Apuração!A:A,Apuração!B:B),0)</f>
        <v>0.14285714285714285</v>
      </c>
    </row>
    <row r="2643" spans="1:71" ht="25.95" hidden="1" customHeight="1" x14ac:dyDescent="0.3">
      <c r="A2643" s="72" t="s">
        <v>44</v>
      </c>
      <c r="B2643" s="73" t="s">
        <v>44</v>
      </c>
      <c r="C2643" s="74" t="s">
        <v>97</v>
      </c>
      <c r="D2643" s="5" t="s">
        <v>102</v>
      </c>
      <c r="E2643" s="4" t="str" cm="1">
        <f t="array" ref="E2643">_xlfn.IFS(
F2643 = "A partir de Abril", "Aguardando Execução na Distribuidora",
A2643 = "CAPACITAÇÃO", "Em execução no Corporativo",
TRUE, "Em Execução na Distribuidora"
)</f>
        <v>Em Execução na Distribuidora</v>
      </c>
      <c r="F2643" s="4" t="str" cm="1">
        <f t="array" ref="F2643">_xlfn.IFS(
AG2643 &lt;&gt; "", "Jan-Dez/26",
AH2643 &lt;&gt; "", "Fev-Dez/26",
AI2643 &lt;&gt; "", "Mar-Dez/26", AJ2643 &lt;&gt; "", "Abr-Dez/26",
TRUE, "A partir de Junho"
)</f>
        <v>A partir de Junho</v>
      </c>
      <c r="G2643" s="75" t="s">
        <v>44</v>
      </c>
      <c r="H2643" s="76" t="s">
        <v>44</v>
      </c>
      <c r="I2643" s="77"/>
      <c r="J2643" s="77"/>
      <c r="K2643" s="77"/>
      <c r="L2643" s="77" t="s">
        <v>241</v>
      </c>
      <c r="M2643" s="78"/>
      <c r="N2643" s="74" t="s">
        <v>42</v>
      </c>
      <c r="O2643" s="74" t="s">
        <v>52</v>
      </c>
      <c r="P2643" s="75" t="s">
        <v>44</v>
      </c>
      <c r="Q2643" s="75" t="s">
        <v>44</v>
      </c>
      <c r="R2643" s="79" t="s">
        <v>44</v>
      </c>
      <c r="S2643" s="79" t="s">
        <v>44</v>
      </c>
      <c r="T2643" s="22"/>
      <c r="U2643" s="22"/>
      <c r="V2643" s="22"/>
      <c r="W2643" s="22"/>
      <c r="X2643" s="22"/>
      <c r="Y2643" s="22"/>
      <c r="Z2643" s="22"/>
      <c r="AA2643" s="22"/>
      <c r="AB2643" s="22"/>
      <c r="AC2643" s="22"/>
      <c r="AD2643" s="22"/>
      <c r="AE2643" s="22"/>
      <c r="AG2643" s="71"/>
      <c r="AH2643" s="71"/>
      <c r="AI2643" s="71"/>
      <c r="AJ2643" s="71"/>
      <c r="AK2643" s="71"/>
      <c r="AL2643" s="71"/>
      <c r="AM2643" s="71"/>
      <c r="AN2643" s="71"/>
      <c r="AO2643" s="71"/>
      <c r="AP2643" s="71"/>
      <c r="AQ2643" s="71"/>
      <c r="AR2643" s="71"/>
      <c r="AS2643" s="94"/>
      <c r="AT2643" s="95"/>
      <c r="AU2643" s="97"/>
      <c r="AW2643" s="84">
        <f t="shared" si="3254"/>
        <v>0</v>
      </c>
      <c r="AX2643" s="84"/>
      <c r="AY2643" s="84"/>
      <c r="AZ2643" s="84"/>
      <c r="BA2643" s="84"/>
      <c r="BB2643" s="84"/>
      <c r="BC2643" s="84"/>
      <c r="BD2643" s="84"/>
      <c r="BE2643" s="84"/>
      <c r="BF2643" s="84"/>
      <c r="BG2643" s="84"/>
      <c r="BH2643" s="84"/>
      <c r="BI2643" s="68" cm="1">
        <f t="array" ref="BI2643">IFERROR(INDEX(AW2643:BH2643,1,MATCH(2,1/(AW2643:BH2643&lt;&gt;""))),"")</f>
        <v>0</v>
      </c>
      <c r="BJ2643" s="68" t="str" cm="1">
        <f t="array" ref="BJ2643">IF(BM2643 = "", "",IFERROR(INDEX(AW2643:BH2643,1,MATCH(2,1/(AW2643:BH2643&lt;&gt;""),1)-1),""))</f>
        <v/>
      </c>
      <c r="BK2643" s="57" cm="1">
        <f t="array" ref="BK2643">IFERROR(INDEX(AW2643:BH2643,1,MATCH(2,1/(AW2643:BH2643&lt;&gt;""),1)),"")</f>
        <v>0</v>
      </c>
      <c r="BL2643" s="57" t="str" cm="1">
        <f t="array" ref="BL2643">IF(BM2643 = "", "",IFERROR(INDEX(AW2643:BH2643,1,MATCH(2,1/(AW2643:BH2643&lt;&gt;""),1)-1),""))</f>
        <v/>
      </c>
      <c r="BM2643" s="55" t="str" cm="1">
        <f t="array" ref="BM2643">IFERROR(
   INDEX($AW$1:$BH$1,
      _xlfn.AGGREGATE(14, 6, COLUMN($AW$1:$BH$1)/(AW2643:BH2643&lt;&gt;""), 2) - COLUMN($AW$1) + 1
   ),
"")</f>
        <v/>
      </c>
      <c r="BN2643" s="55" cm="1">
        <f t="array" ref="BN2643">IFERROR(INDEX($AW$1:$BH$1,1,MATCH(2,1/(AW2643:BH2643&lt;&gt;""))),"")</f>
        <v>46023</v>
      </c>
      <c r="BO2643" s="53">
        <f ca="1">IFERROR(_xlfn.XLOOKUP(F2643,Apuração!A:A,Apuração!C:C)/_xlfn.XLOOKUP(F2643,Apuração!A:A,Apuração!B:B),0)</f>
        <v>0</v>
      </c>
      <c r="BP2643" s="53">
        <f ca="1">IFERROR(_xlfn.XLOOKUP(F2643,Apuração!A:A,Apuração!D:D)/_xlfn.XLOOKUP(F2643,Apuração!A:A,Apuração!B:B),0)</f>
        <v>0</v>
      </c>
      <c r="BQ2643" s="53">
        <f ca="1">IF(BK2643&gt;=BO2643,0,_xlfn.XLOOKUP(F2643,Apuração!A:A,Apuração!B:B)*(BO2643 + (1/_xlfn.XLOOKUP(F2643,Apuração!A:A,Apuração!B:B)) - BK2643))</f>
        <v>0</v>
      </c>
      <c r="BR2643" s="85">
        <f t="shared" ca="1" si="3255"/>
        <v>0</v>
      </c>
      <c r="BS2643" s="53">
        <f ca="1">IFERROR((_xlfn.XLOOKUP(F2643,Apuração!A:A,Apuração!C:C)+1)/_xlfn.XLOOKUP(F2643,Apuração!A:A,Apuração!B:B),0)</f>
        <v>0.14285714285714285</v>
      </c>
    </row>
    <row r="2644" spans="1:71" ht="25.95" hidden="1" customHeight="1" x14ac:dyDescent="0.3">
      <c r="A2644" s="72" t="s">
        <v>44</v>
      </c>
      <c r="B2644" s="73" t="s">
        <v>44</v>
      </c>
      <c r="C2644" s="74" t="s">
        <v>97</v>
      </c>
      <c r="D2644" s="5" t="s">
        <v>103</v>
      </c>
      <c r="E2644" s="4" t="str" cm="1">
        <f t="array" ref="E2644">_xlfn.IFS(
F2644 = "A partir de Abril", "Aguardando Execução na Distribuidora",
A2644 = "CAPACITAÇÃO", "Em execução no Corporativo",
TRUE, "Em Execução na Distribuidora"
)</f>
        <v>Em Execução na Distribuidora</v>
      </c>
      <c r="F2644" s="4" t="str" cm="1">
        <f t="array" ref="F2644">_xlfn.IFS(
AG2644 &lt;&gt; "", "Jan-Dez/26",
AH2644 &lt;&gt; "", "Fev-Dez/26",
AI2644 &lt;&gt; "", "Mar-Dez/26", AJ2644 &lt;&gt; "", "Abr-Dez/26",
TRUE, "A partir de Junho"
)</f>
        <v>A partir de Junho</v>
      </c>
      <c r="G2644" s="75" t="s">
        <v>44</v>
      </c>
      <c r="H2644" s="76" t="s">
        <v>44</v>
      </c>
      <c r="I2644" s="77"/>
      <c r="J2644" s="77"/>
      <c r="K2644" s="77"/>
      <c r="L2644" s="77" t="s">
        <v>241</v>
      </c>
      <c r="M2644" s="78"/>
      <c r="N2644" s="74" t="s">
        <v>42</v>
      </c>
      <c r="O2644" s="74" t="s">
        <v>52</v>
      </c>
      <c r="P2644" s="75" t="s">
        <v>44</v>
      </c>
      <c r="Q2644" s="75" t="s">
        <v>44</v>
      </c>
      <c r="R2644" s="79" t="s">
        <v>44</v>
      </c>
      <c r="S2644" s="79" t="s">
        <v>44</v>
      </c>
      <c r="T2644" s="22"/>
      <c r="U2644" s="22"/>
      <c r="V2644" s="22"/>
      <c r="W2644" s="22"/>
      <c r="X2644" s="22"/>
      <c r="Y2644" s="22"/>
      <c r="Z2644" s="22"/>
      <c r="AA2644" s="22"/>
      <c r="AB2644" s="22"/>
      <c r="AC2644" s="22"/>
      <c r="AD2644" s="22"/>
      <c r="AE2644" s="22"/>
      <c r="AG2644" s="71"/>
      <c r="AH2644" s="71"/>
      <c r="AI2644" s="71"/>
      <c r="AJ2644" s="71"/>
      <c r="AK2644" s="71"/>
      <c r="AL2644" s="71"/>
      <c r="AM2644" s="71"/>
      <c r="AN2644" s="71"/>
      <c r="AO2644" s="71"/>
      <c r="AP2644" s="71"/>
      <c r="AQ2644" s="71"/>
      <c r="AR2644" s="71"/>
      <c r="AS2644" s="94"/>
      <c r="AT2644" s="95"/>
      <c r="AU2644" s="97"/>
      <c r="AW2644" s="84">
        <f t="shared" si="3254"/>
        <v>0</v>
      </c>
      <c r="AX2644" s="84"/>
      <c r="AY2644" s="84"/>
      <c r="AZ2644" s="84"/>
      <c r="BA2644" s="84"/>
      <c r="BB2644" s="84"/>
      <c r="BC2644" s="84"/>
      <c r="BD2644" s="84"/>
      <c r="BE2644" s="84"/>
      <c r="BF2644" s="84"/>
      <c r="BG2644" s="84"/>
      <c r="BH2644" s="84"/>
      <c r="BI2644" s="68" cm="1">
        <f t="array" ref="BI2644">IFERROR(INDEX(AW2644:BH2644,1,MATCH(2,1/(AW2644:BH2644&lt;&gt;""))),"")</f>
        <v>0</v>
      </c>
      <c r="BJ2644" s="68" t="str" cm="1">
        <f t="array" ref="BJ2644">IF(BM2644 = "", "",IFERROR(INDEX(AW2644:BH2644,1,MATCH(2,1/(AW2644:BH2644&lt;&gt;""),1)-1),""))</f>
        <v/>
      </c>
      <c r="BK2644" s="57" cm="1">
        <f t="array" ref="BK2644">IFERROR(INDEX(AW2644:BH2644,1,MATCH(2,1/(AW2644:BH2644&lt;&gt;""),1)),"")</f>
        <v>0</v>
      </c>
      <c r="BL2644" s="57" t="str" cm="1">
        <f t="array" ref="BL2644">IF(BM2644 = "", "",IFERROR(INDEX(AW2644:BH2644,1,MATCH(2,1/(AW2644:BH2644&lt;&gt;""),1)-1),""))</f>
        <v/>
      </c>
      <c r="BM2644" s="55" t="str" cm="1">
        <f t="array" ref="BM2644">IFERROR(
   INDEX($AW$1:$BH$1,
      _xlfn.AGGREGATE(14, 6, COLUMN($AW$1:$BH$1)/(AW2644:BH2644&lt;&gt;""), 2) - COLUMN($AW$1) + 1
   ),
"")</f>
        <v/>
      </c>
      <c r="BN2644" s="55" cm="1">
        <f t="array" ref="BN2644">IFERROR(INDEX($AW$1:$BH$1,1,MATCH(2,1/(AW2644:BH2644&lt;&gt;""))),"")</f>
        <v>46023</v>
      </c>
      <c r="BO2644" s="53">
        <f ca="1">IFERROR(_xlfn.XLOOKUP(F2644,Apuração!A:A,Apuração!C:C)/_xlfn.XLOOKUP(F2644,Apuração!A:A,Apuração!B:B),0)</f>
        <v>0</v>
      </c>
      <c r="BP2644" s="53">
        <f ca="1">IFERROR(_xlfn.XLOOKUP(F2644,Apuração!A:A,Apuração!D:D)/_xlfn.XLOOKUP(F2644,Apuração!A:A,Apuração!B:B),0)</f>
        <v>0</v>
      </c>
      <c r="BQ2644" s="53">
        <f ca="1">IF(BK2644&gt;=BO2644,0,_xlfn.XLOOKUP(F2644,Apuração!A:A,Apuração!B:B)*(BO2644 + (1/_xlfn.XLOOKUP(F2644,Apuração!A:A,Apuração!B:B)) - BK2644))</f>
        <v>0</v>
      </c>
      <c r="BR2644" s="85">
        <f t="shared" ca="1" si="3255"/>
        <v>0</v>
      </c>
      <c r="BS2644" s="53">
        <f ca="1">IFERROR((_xlfn.XLOOKUP(F2644,Apuração!A:A,Apuração!C:C)+1)/_xlfn.XLOOKUP(F2644,Apuração!A:A,Apuração!B:B),0)</f>
        <v>0.14285714285714285</v>
      </c>
    </row>
    <row r="2645" spans="1:71" ht="25.95" hidden="1" customHeight="1" x14ac:dyDescent="0.3">
      <c r="A2645" s="72" t="s">
        <v>44</v>
      </c>
      <c r="B2645" s="73" t="s">
        <v>44</v>
      </c>
      <c r="C2645" s="74" t="s">
        <v>97</v>
      </c>
      <c r="D2645" s="5" t="s">
        <v>104</v>
      </c>
      <c r="E2645" s="4" t="str" cm="1">
        <f t="array" ref="E2645">_xlfn.IFS(
F2645 = "A partir de Abril", "Aguardando Execução na Distribuidora",
A2645 = "CAPACITAÇÃO", "Em execução no Corporativo",
TRUE, "Em Execução na Distribuidora"
)</f>
        <v>Em Execução na Distribuidora</v>
      </c>
      <c r="F2645" s="4" t="str" cm="1">
        <f t="array" ref="F2645">_xlfn.IFS(
AG2645 &lt;&gt; "", "Jan-Dez/26",
AH2645 &lt;&gt; "", "Fev-Dez/26",
AI2645 &lt;&gt; "", "Mar-Dez/26", AJ2645 &lt;&gt; "", "Abr-Dez/26",
TRUE, "A partir de Junho"
)</f>
        <v>A partir de Junho</v>
      </c>
      <c r="G2645" s="75" t="s">
        <v>44</v>
      </c>
      <c r="H2645" s="76" t="s">
        <v>44</v>
      </c>
      <c r="I2645" s="77"/>
      <c r="J2645" s="77"/>
      <c r="K2645" s="77"/>
      <c r="L2645" s="77" t="s">
        <v>241</v>
      </c>
      <c r="M2645" s="78"/>
      <c r="N2645" s="74" t="s">
        <v>42</v>
      </c>
      <c r="O2645" s="74" t="s">
        <v>52</v>
      </c>
      <c r="P2645" s="75" t="s">
        <v>44</v>
      </c>
      <c r="Q2645" s="75" t="s">
        <v>44</v>
      </c>
      <c r="R2645" s="79" t="s">
        <v>44</v>
      </c>
      <c r="S2645" s="79" t="s">
        <v>44</v>
      </c>
      <c r="T2645" s="22"/>
      <c r="U2645" s="22"/>
      <c r="V2645" s="22"/>
      <c r="W2645" s="22"/>
      <c r="X2645" s="22"/>
      <c r="Y2645" s="22"/>
      <c r="Z2645" s="22"/>
      <c r="AA2645" s="22"/>
      <c r="AB2645" s="22"/>
      <c r="AC2645" s="22"/>
      <c r="AD2645" s="22"/>
      <c r="AE2645" s="22"/>
      <c r="AG2645" s="71"/>
      <c r="AH2645" s="71"/>
      <c r="AI2645" s="71"/>
      <c r="AJ2645" s="71"/>
      <c r="AK2645" s="71"/>
      <c r="AL2645" s="71"/>
      <c r="AM2645" s="71"/>
      <c r="AN2645" s="71"/>
      <c r="AO2645" s="71"/>
      <c r="AP2645" s="71"/>
      <c r="AQ2645" s="71"/>
      <c r="AR2645" s="71"/>
      <c r="AS2645" s="94"/>
      <c r="AT2645" s="95"/>
      <c r="AU2645" s="97"/>
      <c r="AW2645" s="84">
        <f t="shared" si="3254"/>
        <v>0</v>
      </c>
      <c r="AX2645" s="84"/>
      <c r="AY2645" s="84"/>
      <c r="AZ2645" s="84"/>
      <c r="BA2645" s="84"/>
      <c r="BB2645" s="84"/>
      <c r="BC2645" s="84"/>
      <c r="BD2645" s="84"/>
      <c r="BE2645" s="84"/>
      <c r="BF2645" s="84"/>
      <c r="BG2645" s="84"/>
      <c r="BH2645" s="84"/>
      <c r="BI2645" s="68" cm="1">
        <f t="array" ref="BI2645">IFERROR(INDEX(AW2645:BH2645,1,MATCH(2,1/(AW2645:BH2645&lt;&gt;""))),"")</f>
        <v>0</v>
      </c>
      <c r="BJ2645" s="68" t="str" cm="1">
        <f t="array" ref="BJ2645">IF(BM2645 = "", "",IFERROR(INDEX(AW2645:BH2645,1,MATCH(2,1/(AW2645:BH2645&lt;&gt;""),1)-1),""))</f>
        <v/>
      </c>
      <c r="BK2645" s="57" cm="1">
        <f t="array" ref="BK2645">IFERROR(INDEX(AW2645:BH2645,1,MATCH(2,1/(AW2645:BH2645&lt;&gt;""),1)),"")</f>
        <v>0</v>
      </c>
      <c r="BL2645" s="57" t="str" cm="1">
        <f t="array" ref="BL2645">IF(BM2645 = "", "",IFERROR(INDEX(AW2645:BH2645,1,MATCH(2,1/(AW2645:BH2645&lt;&gt;""),1)-1),""))</f>
        <v/>
      </c>
      <c r="BM2645" s="55" t="str" cm="1">
        <f t="array" ref="BM2645">IFERROR(
   INDEX($AW$1:$BH$1,
      _xlfn.AGGREGATE(14, 6, COLUMN($AW$1:$BH$1)/(AW2645:BH2645&lt;&gt;""), 2) - COLUMN($AW$1) + 1
   ),
"")</f>
        <v/>
      </c>
      <c r="BN2645" s="55" cm="1">
        <f t="array" ref="BN2645">IFERROR(INDEX($AW$1:$BH$1,1,MATCH(2,1/(AW2645:BH2645&lt;&gt;""))),"")</f>
        <v>46023</v>
      </c>
      <c r="BO2645" s="53">
        <f ca="1">IFERROR(_xlfn.XLOOKUP(F2645,Apuração!A:A,Apuração!C:C)/_xlfn.XLOOKUP(F2645,Apuração!A:A,Apuração!B:B),0)</f>
        <v>0</v>
      </c>
      <c r="BP2645" s="53">
        <f ca="1">IFERROR(_xlfn.XLOOKUP(F2645,Apuração!A:A,Apuração!D:D)/_xlfn.XLOOKUP(F2645,Apuração!A:A,Apuração!B:B),0)</f>
        <v>0</v>
      </c>
      <c r="BQ2645" s="53">
        <f ca="1">IF(BK2645&gt;=BO2645,0,_xlfn.XLOOKUP(F2645,Apuração!A:A,Apuração!B:B)*(BO2645 + (1/_xlfn.XLOOKUP(F2645,Apuração!A:A,Apuração!B:B)) - BK2645))</f>
        <v>0</v>
      </c>
      <c r="BR2645" s="85">
        <f t="shared" ca="1" si="3255"/>
        <v>0</v>
      </c>
      <c r="BS2645" s="53">
        <f ca="1">IFERROR((_xlfn.XLOOKUP(F2645,Apuração!A:A,Apuração!C:C)+1)/_xlfn.XLOOKUP(F2645,Apuração!A:A,Apuração!B:B),0)</f>
        <v>0.14285714285714285</v>
      </c>
    </row>
    <row r="2646" spans="1:71" ht="25.95" hidden="1" customHeight="1" x14ac:dyDescent="0.3">
      <c r="A2646" s="72" t="s">
        <v>44</v>
      </c>
      <c r="B2646" s="73" t="s">
        <v>44</v>
      </c>
      <c r="C2646" s="74" t="s">
        <v>97</v>
      </c>
      <c r="D2646" s="5" t="s">
        <v>105</v>
      </c>
      <c r="E2646" s="4" t="str" cm="1">
        <f t="array" ref="E2646">_xlfn.IFS(
F2646 = "A partir de Abril", "Aguardando Execução na Distribuidora",
A2646 = "CAPACITAÇÃO", "Em execução no Corporativo",
TRUE, "Em Execução na Distribuidora"
)</f>
        <v>Em Execução na Distribuidora</v>
      </c>
      <c r="F2646" s="4" t="str" cm="1">
        <f t="array" ref="F2646">_xlfn.IFS(
AG2646 &lt;&gt; "", "Jan-Dez/26",
AH2646 &lt;&gt; "", "Fev-Dez/26",
AI2646 &lt;&gt; "", "Mar-Dez/26", AJ2646 &lt;&gt; "", "Abr-Dez/26",
TRUE, "A partir de Junho"
)</f>
        <v>A partir de Junho</v>
      </c>
      <c r="G2646" s="75" t="s">
        <v>44</v>
      </c>
      <c r="H2646" s="76" t="s">
        <v>44</v>
      </c>
      <c r="I2646" s="77"/>
      <c r="J2646" s="77"/>
      <c r="K2646" s="77"/>
      <c r="L2646" s="77" t="s">
        <v>241</v>
      </c>
      <c r="M2646" s="78"/>
      <c r="N2646" s="74" t="s">
        <v>42</v>
      </c>
      <c r="O2646" s="74" t="s">
        <v>52</v>
      </c>
      <c r="P2646" s="75" t="s">
        <v>44</v>
      </c>
      <c r="Q2646" s="75" t="s">
        <v>44</v>
      </c>
      <c r="R2646" s="79" t="s">
        <v>44</v>
      </c>
      <c r="S2646" s="79" t="s">
        <v>44</v>
      </c>
      <c r="T2646" s="22"/>
      <c r="U2646" s="22"/>
      <c r="V2646" s="22"/>
      <c r="W2646" s="22"/>
      <c r="X2646" s="22"/>
      <c r="Y2646" s="22"/>
      <c r="Z2646" s="22"/>
      <c r="AA2646" s="22"/>
      <c r="AB2646" s="22"/>
      <c r="AC2646" s="22"/>
      <c r="AD2646" s="22"/>
      <c r="AE2646" s="22"/>
      <c r="AG2646" s="71"/>
      <c r="AH2646" s="71"/>
      <c r="AI2646" s="71"/>
      <c r="AJ2646" s="71"/>
      <c r="AK2646" s="71"/>
      <c r="AL2646" s="71"/>
      <c r="AM2646" s="71"/>
      <c r="AN2646" s="71"/>
      <c r="AO2646" s="71"/>
      <c r="AP2646" s="71"/>
      <c r="AQ2646" s="71"/>
      <c r="AR2646" s="71"/>
      <c r="AS2646" s="94"/>
      <c r="AT2646" s="95"/>
      <c r="AU2646" s="97"/>
      <c r="AW2646" s="84">
        <f t="shared" si="3254"/>
        <v>0</v>
      </c>
      <c r="AX2646" s="84"/>
      <c r="AY2646" s="84"/>
      <c r="AZ2646" s="84"/>
      <c r="BA2646" s="84"/>
      <c r="BB2646" s="84"/>
      <c r="BC2646" s="84"/>
      <c r="BD2646" s="84"/>
      <c r="BE2646" s="84"/>
      <c r="BF2646" s="84"/>
      <c r="BG2646" s="84"/>
      <c r="BH2646" s="84"/>
      <c r="BI2646" s="68" cm="1">
        <f t="array" ref="BI2646">IFERROR(INDEX(AW2646:BH2646,1,MATCH(2,1/(AW2646:BH2646&lt;&gt;""))),"")</f>
        <v>0</v>
      </c>
      <c r="BJ2646" s="68" t="str" cm="1">
        <f t="array" ref="BJ2646">IF(BM2646 = "", "",IFERROR(INDEX(AW2646:BH2646,1,MATCH(2,1/(AW2646:BH2646&lt;&gt;""),1)-1),""))</f>
        <v/>
      </c>
      <c r="BK2646" s="57" cm="1">
        <f t="array" ref="BK2646">IFERROR(INDEX(AW2646:BH2646,1,MATCH(2,1/(AW2646:BH2646&lt;&gt;""),1)),"")</f>
        <v>0</v>
      </c>
      <c r="BL2646" s="57" t="str" cm="1">
        <f t="array" ref="BL2646">IF(BM2646 = "", "",IFERROR(INDEX(AW2646:BH2646,1,MATCH(2,1/(AW2646:BH2646&lt;&gt;""),1)-1),""))</f>
        <v/>
      </c>
      <c r="BM2646" s="55" t="str" cm="1">
        <f t="array" ref="BM2646">IFERROR(
   INDEX($AW$1:$BH$1,
      _xlfn.AGGREGATE(14, 6, COLUMN($AW$1:$BH$1)/(AW2646:BH2646&lt;&gt;""), 2) - COLUMN($AW$1) + 1
   ),
"")</f>
        <v/>
      </c>
      <c r="BN2646" s="55" cm="1">
        <f t="array" ref="BN2646">IFERROR(INDEX($AW$1:$BH$1,1,MATCH(2,1/(AW2646:BH2646&lt;&gt;""))),"")</f>
        <v>46023</v>
      </c>
      <c r="BO2646" s="53">
        <f ca="1">IFERROR(_xlfn.XLOOKUP(F2646,Apuração!A:A,Apuração!C:C)/_xlfn.XLOOKUP(F2646,Apuração!A:A,Apuração!B:B),0)</f>
        <v>0</v>
      </c>
      <c r="BP2646" s="53">
        <f ca="1">IFERROR(_xlfn.XLOOKUP(F2646,Apuração!A:A,Apuração!D:D)/_xlfn.XLOOKUP(F2646,Apuração!A:A,Apuração!B:B),0)</f>
        <v>0</v>
      </c>
      <c r="BQ2646" s="53">
        <f ca="1">IF(BK2646&gt;=BO2646,0,_xlfn.XLOOKUP(F2646,Apuração!A:A,Apuração!B:B)*(BO2646 + (1/_xlfn.XLOOKUP(F2646,Apuração!A:A,Apuração!B:B)) - BK2646))</f>
        <v>0</v>
      </c>
      <c r="BR2646" s="85">
        <f t="shared" ca="1" si="3255"/>
        <v>0</v>
      </c>
      <c r="BS2646" s="53">
        <f ca="1">IFERROR((_xlfn.XLOOKUP(F2646,Apuração!A:A,Apuração!C:C)+1)/_xlfn.XLOOKUP(F2646,Apuração!A:A,Apuração!B:B),0)</f>
        <v>0.14285714285714285</v>
      </c>
    </row>
    <row r="2647" spans="1:71" ht="25.95" hidden="1" customHeight="1" x14ac:dyDescent="0.3">
      <c r="A2647" s="72" t="s">
        <v>44</v>
      </c>
      <c r="B2647" s="73" t="s">
        <v>44</v>
      </c>
      <c r="C2647" s="74" t="s">
        <v>97</v>
      </c>
      <c r="D2647" s="5" t="s">
        <v>106</v>
      </c>
      <c r="E2647" s="4" t="str" cm="1">
        <f t="array" ref="E2647">_xlfn.IFS(
F2647 = "A partir de Abril", "Aguardando Execução na Distribuidora",
A2647 = "CAPACITAÇÃO", "Em execução no Corporativo",
TRUE, "Em Execução na Distribuidora"
)</f>
        <v>Em Execução na Distribuidora</v>
      </c>
      <c r="F2647" s="4" t="str" cm="1">
        <f t="array" ref="F2647">_xlfn.IFS(
AG2647 &lt;&gt; "", "Jan-Dez/26",
AH2647 &lt;&gt; "", "Fev-Dez/26",
AI2647 &lt;&gt; "", "Mar-Dez/26", AJ2647 &lt;&gt; "", "Abr-Dez/26",
TRUE, "A partir de Junho"
)</f>
        <v>A partir de Junho</v>
      </c>
      <c r="G2647" s="75" t="s">
        <v>44</v>
      </c>
      <c r="H2647" s="76" t="s">
        <v>44</v>
      </c>
      <c r="I2647" s="77"/>
      <c r="J2647" s="77"/>
      <c r="K2647" s="77"/>
      <c r="L2647" s="77" t="s">
        <v>241</v>
      </c>
      <c r="M2647" s="78"/>
      <c r="N2647" s="74" t="s">
        <v>42</v>
      </c>
      <c r="O2647" s="74" t="s">
        <v>52</v>
      </c>
      <c r="P2647" s="75" t="s">
        <v>44</v>
      </c>
      <c r="Q2647" s="75" t="s">
        <v>44</v>
      </c>
      <c r="R2647" s="79" t="s">
        <v>44</v>
      </c>
      <c r="S2647" s="79" t="s">
        <v>44</v>
      </c>
      <c r="T2647" s="22"/>
      <c r="U2647" s="22"/>
      <c r="V2647" s="22"/>
      <c r="W2647" s="22"/>
      <c r="X2647" s="22"/>
      <c r="Y2647" s="22"/>
      <c r="Z2647" s="22"/>
      <c r="AA2647" s="22"/>
      <c r="AB2647" s="22"/>
      <c r="AC2647" s="22"/>
      <c r="AD2647" s="22"/>
      <c r="AE2647" s="22"/>
      <c r="AG2647" s="71"/>
      <c r="AH2647" s="71"/>
      <c r="AI2647" s="71"/>
      <c r="AJ2647" s="71"/>
      <c r="AK2647" s="71"/>
      <c r="AL2647" s="71"/>
      <c r="AM2647" s="71"/>
      <c r="AN2647" s="71"/>
      <c r="AO2647" s="71"/>
      <c r="AP2647" s="71"/>
      <c r="AQ2647" s="71"/>
      <c r="AR2647" s="71"/>
      <c r="AS2647" s="94"/>
      <c r="AT2647" s="95"/>
      <c r="AU2647" s="97"/>
      <c r="AW2647" s="84">
        <f t="shared" si="3254"/>
        <v>0</v>
      </c>
      <c r="AX2647" s="84"/>
      <c r="AY2647" s="84"/>
      <c r="AZ2647" s="84"/>
      <c r="BA2647" s="84"/>
      <c r="BB2647" s="84"/>
      <c r="BC2647" s="84"/>
      <c r="BD2647" s="84"/>
      <c r="BE2647" s="84"/>
      <c r="BF2647" s="84"/>
      <c r="BG2647" s="84"/>
      <c r="BH2647" s="84"/>
      <c r="BI2647" s="68" cm="1">
        <f t="array" ref="BI2647">IFERROR(INDEX(AW2647:BH2647,1,MATCH(2,1/(AW2647:BH2647&lt;&gt;""))),"")</f>
        <v>0</v>
      </c>
      <c r="BJ2647" s="68" t="str" cm="1">
        <f t="array" ref="BJ2647">IF(BM2647 = "", "",IFERROR(INDEX(AW2647:BH2647,1,MATCH(2,1/(AW2647:BH2647&lt;&gt;""),1)-1),""))</f>
        <v/>
      </c>
      <c r="BK2647" s="57" cm="1">
        <f t="array" ref="BK2647">IFERROR(INDEX(AW2647:BH2647,1,MATCH(2,1/(AW2647:BH2647&lt;&gt;""),1)),"")</f>
        <v>0</v>
      </c>
      <c r="BL2647" s="57" t="str" cm="1">
        <f t="array" ref="BL2647">IF(BM2647 = "", "",IFERROR(INDEX(AW2647:BH2647,1,MATCH(2,1/(AW2647:BH2647&lt;&gt;""),1)-1),""))</f>
        <v/>
      </c>
      <c r="BM2647" s="55" t="str" cm="1">
        <f t="array" ref="BM2647">IFERROR(
   INDEX($AW$1:$BH$1,
      _xlfn.AGGREGATE(14, 6, COLUMN($AW$1:$BH$1)/(AW2647:BH2647&lt;&gt;""), 2) - COLUMN($AW$1) + 1
   ),
"")</f>
        <v/>
      </c>
      <c r="BN2647" s="55" cm="1">
        <f t="array" ref="BN2647">IFERROR(INDEX($AW$1:$BH$1,1,MATCH(2,1/(AW2647:BH2647&lt;&gt;""))),"")</f>
        <v>46023</v>
      </c>
      <c r="BO2647" s="53">
        <f ca="1">IFERROR(_xlfn.XLOOKUP(F2647,Apuração!A:A,Apuração!C:C)/_xlfn.XLOOKUP(F2647,Apuração!A:A,Apuração!B:B),0)</f>
        <v>0</v>
      </c>
      <c r="BP2647" s="53">
        <f ca="1">IFERROR(_xlfn.XLOOKUP(F2647,Apuração!A:A,Apuração!D:D)/_xlfn.XLOOKUP(F2647,Apuração!A:A,Apuração!B:B),0)</f>
        <v>0</v>
      </c>
      <c r="BQ2647" s="53">
        <f ca="1">IF(BK2647&gt;=BO2647,0,_xlfn.XLOOKUP(F2647,Apuração!A:A,Apuração!B:B)*(BO2647 + (1/_xlfn.XLOOKUP(F2647,Apuração!A:A,Apuração!B:B)) - BK2647))</f>
        <v>0</v>
      </c>
      <c r="BR2647" s="85">
        <f t="shared" ca="1" si="3255"/>
        <v>0</v>
      </c>
      <c r="BS2647" s="53">
        <f ca="1">IFERROR((_xlfn.XLOOKUP(F2647,Apuração!A:A,Apuração!C:C)+1)/_xlfn.XLOOKUP(F2647,Apuração!A:A,Apuração!B:B),0)</f>
        <v>0.14285714285714285</v>
      </c>
    </row>
    <row r="2648" spans="1:71" ht="25.95" hidden="1" customHeight="1" x14ac:dyDescent="0.3">
      <c r="A2648" s="72" t="s">
        <v>44</v>
      </c>
      <c r="B2648" s="73" t="s">
        <v>44</v>
      </c>
      <c r="C2648" s="74" t="s">
        <v>97</v>
      </c>
      <c r="D2648" s="5" t="s">
        <v>107</v>
      </c>
      <c r="E2648" s="4" t="str" cm="1">
        <f t="array" ref="E2648">_xlfn.IFS(
F2648 = "A partir de Abril", "Aguardando Execução na Distribuidora",
A2648 = "CAPACITAÇÃO", "Em execução no Corporativo",
TRUE, "Em Execução na Distribuidora"
)</f>
        <v>Em Execução na Distribuidora</v>
      </c>
      <c r="F2648" s="4" t="str" cm="1">
        <f t="array" ref="F2648">_xlfn.IFS(
AG2648 &lt;&gt; "", "Jan-Dez/26",
AH2648 &lt;&gt; "", "Fev-Dez/26",
AI2648 &lt;&gt; "", "Mar-Dez/26", AJ2648 &lt;&gt; "", "Abr-Dez/26",
TRUE, "A partir de Junho"
)</f>
        <v>A partir de Junho</v>
      </c>
      <c r="G2648" s="75" t="s">
        <v>44</v>
      </c>
      <c r="H2648" s="76" t="s">
        <v>44</v>
      </c>
      <c r="I2648" s="77"/>
      <c r="J2648" s="77"/>
      <c r="K2648" s="77"/>
      <c r="L2648" s="77" t="s">
        <v>241</v>
      </c>
      <c r="M2648" s="78"/>
      <c r="N2648" s="74" t="s">
        <v>42</v>
      </c>
      <c r="O2648" s="74" t="s">
        <v>52</v>
      </c>
      <c r="P2648" s="75" t="s">
        <v>44</v>
      </c>
      <c r="Q2648" s="75" t="s">
        <v>44</v>
      </c>
      <c r="R2648" s="79" t="s">
        <v>44</v>
      </c>
      <c r="S2648" s="79" t="s">
        <v>44</v>
      </c>
      <c r="T2648" s="22"/>
      <c r="U2648" s="22"/>
      <c r="V2648" s="22"/>
      <c r="W2648" s="22"/>
      <c r="X2648" s="22"/>
      <c r="Y2648" s="22"/>
      <c r="Z2648" s="22"/>
      <c r="AA2648" s="22"/>
      <c r="AB2648" s="22"/>
      <c r="AC2648" s="22"/>
      <c r="AD2648" s="22"/>
      <c r="AE2648" s="22"/>
      <c r="AG2648" s="71"/>
      <c r="AH2648" s="71"/>
      <c r="AI2648" s="71"/>
      <c r="AJ2648" s="71"/>
      <c r="AK2648" s="71"/>
      <c r="AL2648" s="71"/>
      <c r="AM2648" s="71"/>
      <c r="AN2648" s="71"/>
      <c r="AO2648" s="71"/>
      <c r="AP2648" s="71"/>
      <c r="AQ2648" s="71"/>
      <c r="AR2648" s="71"/>
      <c r="AS2648" s="94"/>
      <c r="AT2648" s="95"/>
      <c r="AU2648" s="97"/>
      <c r="AW2648" s="84">
        <f t="shared" si="3254"/>
        <v>0</v>
      </c>
      <c r="AX2648" s="84"/>
      <c r="AY2648" s="84"/>
      <c r="AZ2648" s="84"/>
      <c r="BA2648" s="84"/>
      <c r="BB2648" s="84"/>
      <c r="BC2648" s="84"/>
      <c r="BD2648" s="84"/>
      <c r="BE2648" s="84"/>
      <c r="BF2648" s="84"/>
      <c r="BG2648" s="84"/>
      <c r="BH2648" s="84"/>
      <c r="BI2648" s="68" cm="1">
        <f t="array" ref="BI2648">IFERROR(INDEX(AW2648:BH2648,1,MATCH(2,1/(AW2648:BH2648&lt;&gt;""))),"")</f>
        <v>0</v>
      </c>
      <c r="BJ2648" s="68" t="str" cm="1">
        <f t="array" ref="BJ2648">IF(BM2648 = "", "",IFERROR(INDEX(AW2648:BH2648,1,MATCH(2,1/(AW2648:BH2648&lt;&gt;""),1)-1),""))</f>
        <v/>
      </c>
      <c r="BK2648" s="57" cm="1">
        <f t="array" ref="BK2648">IFERROR(INDEX(AW2648:BH2648,1,MATCH(2,1/(AW2648:BH2648&lt;&gt;""),1)),"")</f>
        <v>0</v>
      </c>
      <c r="BL2648" s="57" t="str" cm="1">
        <f t="array" ref="BL2648">IF(BM2648 = "", "",IFERROR(INDEX(AW2648:BH2648,1,MATCH(2,1/(AW2648:BH2648&lt;&gt;""),1)-1),""))</f>
        <v/>
      </c>
      <c r="BM2648" s="55" t="str" cm="1">
        <f t="array" ref="BM2648">IFERROR(
   INDEX($AW$1:$BH$1,
      _xlfn.AGGREGATE(14, 6, COLUMN($AW$1:$BH$1)/(AW2648:BH2648&lt;&gt;""), 2) - COLUMN($AW$1) + 1
   ),
"")</f>
        <v/>
      </c>
      <c r="BN2648" s="55" cm="1">
        <f t="array" ref="BN2648">IFERROR(INDEX($AW$1:$BH$1,1,MATCH(2,1/(AW2648:BH2648&lt;&gt;""))),"")</f>
        <v>46023</v>
      </c>
      <c r="BO2648" s="53">
        <f ca="1">IFERROR(_xlfn.XLOOKUP(F2648,Apuração!A:A,Apuração!C:C)/_xlfn.XLOOKUP(F2648,Apuração!A:A,Apuração!B:B),0)</f>
        <v>0</v>
      </c>
      <c r="BP2648" s="53">
        <f ca="1">IFERROR(_xlfn.XLOOKUP(F2648,Apuração!A:A,Apuração!D:D)/_xlfn.XLOOKUP(F2648,Apuração!A:A,Apuração!B:B),0)</f>
        <v>0</v>
      </c>
      <c r="BQ2648" s="53">
        <f ca="1">IF(BK2648&gt;=BO2648,0,_xlfn.XLOOKUP(F2648,Apuração!A:A,Apuração!B:B)*(BO2648 + (1/_xlfn.XLOOKUP(F2648,Apuração!A:A,Apuração!B:B)) - BK2648))</f>
        <v>0</v>
      </c>
      <c r="BR2648" s="85">
        <f t="shared" ca="1" si="3255"/>
        <v>0</v>
      </c>
      <c r="BS2648" s="53">
        <f ca="1">IFERROR((_xlfn.XLOOKUP(F2648,Apuração!A:A,Apuração!C:C)+1)/_xlfn.XLOOKUP(F2648,Apuração!A:A,Apuração!B:B),0)</f>
        <v>0.14285714285714285</v>
      </c>
    </row>
    <row r="2649" spans="1:71" ht="25.95" hidden="1" customHeight="1" x14ac:dyDescent="0.3">
      <c r="A2649" s="35" t="s">
        <v>44</v>
      </c>
      <c r="B2649" s="10" t="s">
        <v>44</v>
      </c>
      <c r="C2649" s="5" t="s">
        <v>97</v>
      </c>
      <c r="D2649" s="5" t="s">
        <v>36</v>
      </c>
      <c r="E2649" s="4" t="str" cm="1">
        <f t="array" ref="E2649">_xlfn.IFS(
F2649 = "A partir de Abril", "Aguardando Execução na Distribuidora",
A2649 = "CAPACITAÇÃO", "Em execução no Corporativo",
TRUE, "Em Execução na Distribuidora"
)</f>
        <v>Em Execução na Distribuidora</v>
      </c>
      <c r="F2649" s="4" t="str" cm="1">
        <f t="array" ref="F2649">_xlfn.IFS(
AG2649 &lt;&gt; "", "Jan-Dez/26",
AH2649 &lt;&gt; "", "Fev-Dez/26",
AI2649 &lt;&gt; "", "Mar-Dez/26", AJ2649 &lt;&gt; "", "Abr-Dez/26",
TRUE, "A partir de Junho"
)</f>
        <v>Jan-Dez/26</v>
      </c>
      <c r="G2649" s="10" t="s">
        <v>44</v>
      </c>
      <c r="H2649" s="36" t="s">
        <v>44</v>
      </c>
      <c r="I2649" s="37"/>
      <c r="J2649" s="37"/>
      <c r="K2649" s="37"/>
      <c r="L2649" s="37" t="s">
        <v>201</v>
      </c>
      <c r="M2649" s="37"/>
      <c r="N2649" s="5" t="s">
        <v>42</v>
      </c>
      <c r="O2649" s="5" t="s">
        <v>52</v>
      </c>
      <c r="P2649" s="10" t="s">
        <v>44</v>
      </c>
      <c r="Q2649" s="10" t="s">
        <v>44</v>
      </c>
      <c r="R2649" s="11" t="s">
        <v>44</v>
      </c>
      <c r="S2649" s="11" t="s">
        <v>44</v>
      </c>
      <c r="T2649" s="22"/>
      <c r="U2649" s="22"/>
      <c r="V2649" s="22"/>
      <c r="W2649" s="22"/>
      <c r="X2649" s="22"/>
      <c r="Y2649" s="22"/>
      <c r="Z2649" s="22"/>
      <c r="AA2649" s="22"/>
      <c r="AB2649" s="22"/>
      <c r="AC2649" s="22"/>
      <c r="AD2649" s="22"/>
      <c r="AE2649" s="22"/>
      <c r="AG2649" s="112">
        <v>11.93</v>
      </c>
      <c r="AH2649" s="112">
        <v>10.5</v>
      </c>
      <c r="AI2649" s="112">
        <v>6.2</v>
      </c>
      <c r="AJ2649" s="112">
        <v>7.06</v>
      </c>
      <c r="AK2649" s="112"/>
      <c r="AL2649" s="112"/>
      <c r="AM2649" s="112"/>
      <c r="AN2649" s="112"/>
      <c r="AO2649" s="112"/>
      <c r="AP2649" s="112"/>
      <c r="AQ2649" s="112"/>
      <c r="AR2649" s="112"/>
      <c r="AS2649" s="94"/>
      <c r="AT2649" s="95"/>
      <c r="AU2649" s="97"/>
      <c r="AW2649" s="84">
        <f>AG2649</f>
        <v>11.93</v>
      </c>
      <c r="AX2649" s="84">
        <f>AH2649</f>
        <v>10.5</v>
      </c>
      <c r="AY2649" s="84">
        <f>AI2649</f>
        <v>6.2</v>
      </c>
      <c r="AZ2649" s="84">
        <f>AJ2649</f>
        <v>7.06</v>
      </c>
      <c r="BA2649" s="84"/>
      <c r="BB2649" s="84"/>
      <c r="BC2649" s="84"/>
      <c r="BD2649" s="84"/>
      <c r="BE2649" s="84"/>
      <c r="BF2649" s="84"/>
      <c r="BG2649" s="84"/>
      <c r="BH2649" s="84"/>
      <c r="BI2649" s="68" cm="1">
        <f t="array" ref="BI2649">IFERROR(INDEX(AW2649:BH2649,1,MATCH(2,1/(AW2649:BH2649&lt;&gt;""))),"")</f>
        <v>7.06</v>
      </c>
      <c r="BJ2649" s="68" cm="1">
        <f t="array" ref="BJ2649">IF(BM2649 = "", "",IFERROR(INDEX(AW2649:BH2649,1,MATCH(2,1/(AW2649:BH2649&lt;&gt;""),1)-1),""))</f>
        <v>6.2</v>
      </c>
      <c r="BK2649" s="57" cm="1">
        <f t="array" ref="BK2649">IFERROR(INDEX(AW2649:BH2649,1,MATCH(2,1/(AW2649:BH2649&lt;&gt;""),1)),"")</f>
        <v>7.06</v>
      </c>
      <c r="BL2649" s="57" cm="1">
        <f t="array" ref="BL2649">IF(BM2649 = "", "",IFERROR(INDEX(AW2649:BH2649,1,MATCH(2,1/(AW2649:BH2649&lt;&gt;""),1)-1),""))</f>
        <v>6.2</v>
      </c>
      <c r="BM2649" s="55" cm="1">
        <f t="array" ref="BM2649">IFERROR(
   INDEX($AW$1:$BH$1,
      _xlfn.AGGREGATE(14, 6, COLUMN($AW$1:$BH$1)/(AW2649:BH2649&lt;&gt;""), 2) - COLUMN($AW$1) + 1
   ),
"")</f>
        <v>46082</v>
      </c>
      <c r="BN2649" s="55" cm="1">
        <f t="array" ref="BN2649">IFERROR(INDEX($AW$1:$BH$1,1,MATCH(2,1/(AW2649:BH2649&lt;&gt;""))),"")</f>
        <v>46113</v>
      </c>
      <c r="BO2649" s="53">
        <f ca="1">IFERROR(_xlfn.XLOOKUP(F2649,Apuração!A:A,Apuração!C:C)/_xlfn.XLOOKUP(F2649,Apuração!A:A,Apuração!B:B),0)</f>
        <v>0.41666666666666669</v>
      </c>
      <c r="BP2649" s="53">
        <f ca="1">IFERROR(_xlfn.XLOOKUP(F2649,Apuração!A:A,Apuração!D:D)/_xlfn.XLOOKUP(F2649,Apuração!A:A,Apuração!B:B),0)</f>
        <v>0.33333333333333331</v>
      </c>
      <c r="BQ2649" s="53">
        <f ca="1">IF(BK2649&gt;=BO2649,0,_xlfn.XLOOKUP(F2649,Apuração!A:A,Apuração!B:B)*(BO2649 + (1/_xlfn.XLOOKUP(F2649,Apuração!A:A,Apuração!B:B)) - BK2649))</f>
        <v>0</v>
      </c>
      <c r="BR2649" s="85">
        <f ca="1">IF(BQ2649=0,0,BQ2649*Z2649)</f>
        <v>0</v>
      </c>
      <c r="BS2649" s="53">
        <f ca="1">IFERROR((_xlfn.XLOOKUP(F2649,Apuração!A:A,Apuração!C:C)+1)/_xlfn.XLOOKUP(F2649,Apuração!A:A,Apuração!B:B),0)</f>
        <v>0.5</v>
      </c>
    </row>
    <row r="2650" spans="1:71" ht="25.95" hidden="1" customHeight="1" x14ac:dyDescent="0.3">
      <c r="A2650" s="72" t="s">
        <v>44</v>
      </c>
      <c r="B2650" s="73" t="s">
        <v>44</v>
      </c>
      <c r="C2650" s="74" t="s">
        <v>209</v>
      </c>
      <c r="D2650" s="5" t="s">
        <v>210</v>
      </c>
      <c r="E2650" s="4" t="str" cm="1">
        <f t="array" ref="E2650">_xlfn.IFS(
F2650 = "A partir de Abril", "Aguardando Execução na Distribuidora",
A2650 = "CAPACITAÇÃO", "Em execução no Corporativo",
TRUE, "Em Execução na Distribuidora"
)</f>
        <v>Em Execução na Distribuidora</v>
      </c>
      <c r="F2650" s="4" t="str" cm="1">
        <f t="array" ref="F2650">_xlfn.IFS(
AG2650 &lt;&gt; "", "Jan-Dez/26",
AH2650 &lt;&gt; "", "Fev-Dez/26",
AI2650 &lt;&gt; "", "Mar-Dez/26", AJ2650 &lt;&gt; "", "Abr-Dez/26",
TRUE, "A partir de Junho"
)</f>
        <v>A partir de Junho</v>
      </c>
      <c r="G2650" s="75" t="s">
        <v>44</v>
      </c>
      <c r="H2650" s="76" t="s">
        <v>44</v>
      </c>
      <c r="I2650" s="77"/>
      <c r="J2650" s="77"/>
      <c r="K2650" s="77"/>
      <c r="L2650" s="77" t="s">
        <v>240</v>
      </c>
      <c r="M2650" s="78"/>
      <c r="N2650" s="74" t="s">
        <v>42</v>
      </c>
      <c r="O2650" s="74" t="s">
        <v>52</v>
      </c>
      <c r="P2650" s="75" t="s">
        <v>44</v>
      </c>
      <c r="Q2650" s="75" t="s">
        <v>44</v>
      </c>
      <c r="R2650" s="79" t="s">
        <v>44</v>
      </c>
      <c r="S2650" s="79" t="s">
        <v>44</v>
      </c>
      <c r="T2650" s="22"/>
      <c r="U2650" s="22"/>
      <c r="V2650" s="22"/>
      <c r="W2650" s="22"/>
      <c r="X2650" s="22"/>
      <c r="Y2650" s="22"/>
      <c r="Z2650" s="22"/>
      <c r="AA2650" s="22"/>
      <c r="AB2650" s="22"/>
      <c r="AC2650" s="22"/>
      <c r="AD2650" s="22"/>
      <c r="AE2650" s="22"/>
      <c r="AG2650" s="112"/>
      <c r="AH2650" s="112"/>
      <c r="AI2650" s="112"/>
      <c r="AJ2650" s="71"/>
      <c r="AK2650" s="71"/>
      <c r="AL2650" s="71"/>
      <c r="AM2650" s="71"/>
      <c r="AN2650" s="71"/>
      <c r="AO2650" s="71"/>
      <c r="AP2650" s="71"/>
      <c r="AQ2650" s="71"/>
      <c r="AR2650" s="71"/>
      <c r="AS2650" s="94"/>
      <c r="AT2650" s="95"/>
      <c r="AU2650" s="97"/>
      <c r="AW2650" s="84">
        <f t="shared" ref="AW2650:AW2654" si="3256">AG2650</f>
        <v>0</v>
      </c>
      <c r="AX2650" s="84">
        <f t="shared" ref="AX2650:AX2655" si="3257">AH2650</f>
        <v>0</v>
      </c>
      <c r="AY2650" s="84">
        <f t="shared" ref="AY2650:AY2655" si="3258">AI2650</f>
        <v>0</v>
      </c>
      <c r="AZ2650" s="84"/>
      <c r="BA2650" s="84"/>
      <c r="BB2650" s="84"/>
      <c r="BC2650" s="84"/>
      <c r="BD2650" s="84"/>
      <c r="BE2650" s="84"/>
      <c r="BF2650" s="84"/>
      <c r="BG2650" s="84"/>
      <c r="BH2650" s="84"/>
      <c r="BI2650" s="68" cm="1">
        <f t="array" ref="BI2650">IFERROR(INDEX(AW2650:BH2650,1,MATCH(2,1/(AW2650:BH2650&lt;&gt;""))),"")</f>
        <v>0</v>
      </c>
      <c r="BJ2650" s="68" cm="1">
        <f t="array" ref="BJ2650">IF(BM2650 = "", "",IFERROR(INDEX(AW2650:BH2650,1,MATCH(2,1/(AW2650:BH2650&lt;&gt;""),1)-1),""))</f>
        <v>0</v>
      </c>
      <c r="BK2650" s="57" cm="1">
        <f t="array" ref="BK2650">IFERROR(INDEX(AW2650:BH2650,1,MATCH(2,1/(AW2650:BH2650&lt;&gt;""),1)),"")</f>
        <v>0</v>
      </c>
      <c r="BL2650" s="57" cm="1">
        <f t="array" ref="BL2650">IF(BM2650 = "", "",IFERROR(INDEX(AW2650:BH2650,1,MATCH(2,1/(AW2650:BH2650&lt;&gt;""),1)-1),""))</f>
        <v>0</v>
      </c>
      <c r="BM2650" s="55" cm="1">
        <f t="array" ref="BM2650">IFERROR(
   INDEX($AW$1:$BH$1,
      _xlfn.AGGREGATE(14, 6, COLUMN($AW$1:$BH$1)/(AW2650:BH2650&lt;&gt;""), 2) - COLUMN($AW$1) + 1
   ),
"")</f>
        <v>46054</v>
      </c>
      <c r="BN2650" s="55" cm="1">
        <f t="array" ref="BN2650">IFERROR(INDEX($AW$1:$BH$1,1,MATCH(2,1/(AW2650:BH2650&lt;&gt;""))),"")</f>
        <v>46082</v>
      </c>
      <c r="BO2650" s="53">
        <f ca="1">IFERROR(_xlfn.XLOOKUP(F2650,Apuração!A:A,Apuração!C:C)/_xlfn.XLOOKUP(F2650,Apuração!A:A,Apuração!B:B),0)</f>
        <v>0</v>
      </c>
      <c r="BP2650" s="53">
        <f ca="1">IFERROR(_xlfn.XLOOKUP(F2650,Apuração!A:A,Apuração!D:D)/_xlfn.XLOOKUP(F2650,Apuração!A:A,Apuração!B:B),0)</f>
        <v>0</v>
      </c>
      <c r="BQ2650" s="53">
        <f ca="1">IF(BK2650&gt;=BO2650,0,_xlfn.XLOOKUP(F2650,Apuração!A:A,Apuração!B:B)*(BO2650 + (1/_xlfn.XLOOKUP(F2650,Apuração!A:A,Apuração!B:B)) - BK2650))</f>
        <v>0</v>
      </c>
      <c r="BR2650" s="85">
        <f t="shared" ref="BR2650:BR2654" ca="1" si="3259">IF(BQ2650=0,0,BQ2650*Z2650)</f>
        <v>0</v>
      </c>
      <c r="BS2650" s="53">
        <f ca="1">IFERROR((_xlfn.XLOOKUP(F2650,Apuração!A:A,Apuração!C:C)+1)/_xlfn.XLOOKUP(F2650,Apuração!A:A,Apuração!B:B),0)</f>
        <v>0.14285714285714285</v>
      </c>
    </row>
    <row r="2651" spans="1:71" ht="25.95" hidden="1" customHeight="1" x14ac:dyDescent="0.3">
      <c r="A2651" s="72" t="s">
        <v>44</v>
      </c>
      <c r="B2651" s="73" t="s">
        <v>44</v>
      </c>
      <c r="C2651" s="74" t="s">
        <v>209</v>
      </c>
      <c r="D2651" s="5" t="s">
        <v>47</v>
      </c>
      <c r="E2651" s="4" t="str" cm="1">
        <f t="array" ref="E2651">_xlfn.IFS(
F2651 = "A partir de Abril", "Aguardando Execução na Distribuidora",
A2651 = "CAPACITAÇÃO", "Em execução no Corporativo",
TRUE, "Em Execução na Distribuidora"
)</f>
        <v>Em Execução na Distribuidora</v>
      </c>
      <c r="F2651" s="4" t="str" cm="1">
        <f t="array" ref="F2651">_xlfn.IFS(
AG2651 &lt;&gt; "", "Jan-Dez/26",
AH2651 &lt;&gt; "", "Fev-Dez/26",
AI2651 &lt;&gt; "", "Mar-Dez/26", AJ2651 &lt;&gt; "", "Abr-Dez/26",
TRUE, "A partir de Junho"
)</f>
        <v>A partir de Junho</v>
      </c>
      <c r="G2651" s="75" t="s">
        <v>44</v>
      </c>
      <c r="H2651" s="76" t="s">
        <v>44</v>
      </c>
      <c r="I2651" s="77"/>
      <c r="J2651" s="77"/>
      <c r="K2651" s="77"/>
      <c r="L2651" s="77" t="s">
        <v>240</v>
      </c>
      <c r="M2651" s="78"/>
      <c r="N2651" s="74" t="s">
        <v>42</v>
      </c>
      <c r="O2651" s="74" t="s">
        <v>52</v>
      </c>
      <c r="P2651" s="75" t="s">
        <v>44</v>
      </c>
      <c r="Q2651" s="75" t="s">
        <v>44</v>
      </c>
      <c r="R2651" s="79" t="s">
        <v>44</v>
      </c>
      <c r="S2651" s="79" t="s">
        <v>44</v>
      </c>
      <c r="T2651" s="22"/>
      <c r="U2651" s="22"/>
      <c r="V2651" s="22"/>
      <c r="W2651" s="22"/>
      <c r="X2651" s="22"/>
      <c r="Y2651" s="22"/>
      <c r="Z2651" s="22"/>
      <c r="AA2651" s="22"/>
      <c r="AB2651" s="22"/>
      <c r="AC2651" s="22"/>
      <c r="AD2651" s="22"/>
      <c r="AE2651" s="22"/>
      <c r="AG2651" s="112"/>
      <c r="AH2651" s="112"/>
      <c r="AI2651" s="112"/>
      <c r="AJ2651" s="71"/>
      <c r="AK2651" s="71"/>
      <c r="AL2651" s="71"/>
      <c r="AM2651" s="71"/>
      <c r="AN2651" s="71"/>
      <c r="AO2651" s="71"/>
      <c r="AP2651" s="71"/>
      <c r="AQ2651" s="71"/>
      <c r="AR2651" s="71"/>
      <c r="AS2651" s="94"/>
      <c r="AT2651" s="95"/>
      <c r="AU2651" s="97"/>
      <c r="AW2651" s="84">
        <f t="shared" si="3256"/>
        <v>0</v>
      </c>
      <c r="AX2651" s="84">
        <f t="shared" si="3257"/>
        <v>0</v>
      </c>
      <c r="AY2651" s="84">
        <f t="shared" si="3258"/>
        <v>0</v>
      </c>
      <c r="AZ2651" s="84"/>
      <c r="BA2651" s="84"/>
      <c r="BB2651" s="84"/>
      <c r="BC2651" s="84"/>
      <c r="BD2651" s="84"/>
      <c r="BE2651" s="84"/>
      <c r="BF2651" s="84"/>
      <c r="BG2651" s="84"/>
      <c r="BH2651" s="84"/>
      <c r="BI2651" s="68" cm="1">
        <f t="array" ref="BI2651">IFERROR(INDEX(AW2651:BH2651,1,MATCH(2,1/(AW2651:BH2651&lt;&gt;""))),"")</f>
        <v>0</v>
      </c>
      <c r="BJ2651" s="68" cm="1">
        <f t="array" ref="BJ2651">IF(BM2651 = "", "",IFERROR(INDEX(AW2651:BH2651,1,MATCH(2,1/(AW2651:BH2651&lt;&gt;""),1)-1),""))</f>
        <v>0</v>
      </c>
      <c r="BK2651" s="57" cm="1">
        <f t="array" ref="BK2651">IFERROR(INDEX(AW2651:BH2651,1,MATCH(2,1/(AW2651:BH2651&lt;&gt;""),1)),"")</f>
        <v>0</v>
      </c>
      <c r="BL2651" s="57" cm="1">
        <f t="array" ref="BL2651">IF(BM2651 = "", "",IFERROR(INDEX(AW2651:BH2651,1,MATCH(2,1/(AW2651:BH2651&lt;&gt;""),1)-1),""))</f>
        <v>0</v>
      </c>
      <c r="BM2651" s="55" cm="1">
        <f t="array" ref="BM2651">IFERROR(
   INDEX($AW$1:$BH$1,
      _xlfn.AGGREGATE(14, 6, COLUMN($AW$1:$BH$1)/(AW2651:BH2651&lt;&gt;""), 2) - COLUMN($AW$1) + 1
   ),
"")</f>
        <v>46054</v>
      </c>
      <c r="BN2651" s="55" cm="1">
        <f t="array" ref="BN2651">IFERROR(INDEX($AW$1:$BH$1,1,MATCH(2,1/(AW2651:BH2651&lt;&gt;""))),"")</f>
        <v>46082</v>
      </c>
      <c r="BO2651" s="53">
        <f ca="1">IFERROR(_xlfn.XLOOKUP(F2651,Apuração!A:A,Apuração!C:C)/_xlfn.XLOOKUP(F2651,Apuração!A:A,Apuração!B:B),0)</f>
        <v>0</v>
      </c>
      <c r="BP2651" s="53">
        <f ca="1">IFERROR(_xlfn.XLOOKUP(F2651,Apuração!A:A,Apuração!D:D)/_xlfn.XLOOKUP(F2651,Apuração!A:A,Apuração!B:B),0)</f>
        <v>0</v>
      </c>
      <c r="BQ2651" s="53">
        <f ca="1">IF(BK2651&gt;=BO2651,0,_xlfn.XLOOKUP(F2651,Apuração!A:A,Apuração!B:B)*(BO2651 + (1/_xlfn.XLOOKUP(F2651,Apuração!A:A,Apuração!B:B)) - BK2651))</f>
        <v>0</v>
      </c>
      <c r="BR2651" s="85">
        <f t="shared" ca="1" si="3259"/>
        <v>0</v>
      </c>
      <c r="BS2651" s="53">
        <f ca="1">IFERROR((_xlfn.XLOOKUP(F2651,Apuração!A:A,Apuração!C:C)+1)/_xlfn.XLOOKUP(F2651,Apuração!A:A,Apuração!B:B),0)</f>
        <v>0.14285714285714285</v>
      </c>
    </row>
    <row r="2652" spans="1:71" ht="25.95" hidden="1" customHeight="1" x14ac:dyDescent="0.3">
      <c r="A2652" s="72" t="s">
        <v>44</v>
      </c>
      <c r="B2652" s="73" t="s">
        <v>44</v>
      </c>
      <c r="C2652" s="74" t="s">
        <v>209</v>
      </c>
      <c r="D2652" s="5" t="s">
        <v>211</v>
      </c>
      <c r="E2652" s="4" t="str" cm="1">
        <f t="array" ref="E2652">_xlfn.IFS(
F2652 = "A partir de Abril", "Aguardando Execução na Distribuidora",
A2652 = "CAPACITAÇÃO", "Em execução no Corporativo",
TRUE, "Em Execução na Distribuidora"
)</f>
        <v>Em Execução na Distribuidora</v>
      </c>
      <c r="F2652" s="4" t="str" cm="1">
        <f t="array" ref="F2652">_xlfn.IFS(
AG2652 &lt;&gt; "", "Jan-Dez/26",
AH2652 &lt;&gt; "", "Fev-Dez/26",
AI2652 &lt;&gt; "", "Mar-Dez/26", AJ2652 &lt;&gt; "", "Abr-Dez/26",
TRUE, "A partir de Junho"
)</f>
        <v>A partir de Junho</v>
      </c>
      <c r="G2652" s="75" t="s">
        <v>44</v>
      </c>
      <c r="H2652" s="76" t="s">
        <v>44</v>
      </c>
      <c r="I2652" s="77"/>
      <c r="J2652" s="77"/>
      <c r="K2652" s="77"/>
      <c r="L2652" s="77" t="s">
        <v>240</v>
      </c>
      <c r="M2652" s="78"/>
      <c r="N2652" s="74" t="s">
        <v>42</v>
      </c>
      <c r="O2652" s="74" t="s">
        <v>52</v>
      </c>
      <c r="P2652" s="75" t="s">
        <v>44</v>
      </c>
      <c r="Q2652" s="75" t="s">
        <v>44</v>
      </c>
      <c r="R2652" s="79" t="s">
        <v>44</v>
      </c>
      <c r="S2652" s="79" t="s">
        <v>44</v>
      </c>
      <c r="T2652" s="22"/>
      <c r="U2652" s="22"/>
      <c r="V2652" s="22"/>
      <c r="W2652" s="22"/>
      <c r="X2652" s="22"/>
      <c r="Y2652" s="22"/>
      <c r="Z2652" s="22"/>
      <c r="AA2652" s="22"/>
      <c r="AB2652" s="22"/>
      <c r="AC2652" s="22"/>
      <c r="AD2652" s="22"/>
      <c r="AE2652" s="22"/>
      <c r="AG2652" s="112"/>
      <c r="AH2652" s="112"/>
      <c r="AI2652" s="112"/>
      <c r="AJ2652" s="71"/>
      <c r="AK2652" s="71"/>
      <c r="AL2652" s="71"/>
      <c r="AM2652" s="71"/>
      <c r="AN2652" s="71"/>
      <c r="AO2652" s="71"/>
      <c r="AP2652" s="71"/>
      <c r="AQ2652" s="71"/>
      <c r="AR2652" s="71"/>
      <c r="AS2652" s="94"/>
      <c r="AT2652" s="95"/>
      <c r="AU2652" s="97"/>
      <c r="AW2652" s="84">
        <f t="shared" si="3256"/>
        <v>0</v>
      </c>
      <c r="AX2652" s="84">
        <f t="shared" si="3257"/>
        <v>0</v>
      </c>
      <c r="AY2652" s="84">
        <f t="shared" si="3258"/>
        <v>0</v>
      </c>
      <c r="AZ2652" s="84"/>
      <c r="BA2652" s="84"/>
      <c r="BB2652" s="84"/>
      <c r="BC2652" s="84"/>
      <c r="BD2652" s="84"/>
      <c r="BE2652" s="84"/>
      <c r="BF2652" s="84"/>
      <c r="BG2652" s="84"/>
      <c r="BH2652" s="84"/>
      <c r="BI2652" s="68" cm="1">
        <f t="array" ref="BI2652">IFERROR(INDEX(AW2652:BH2652,1,MATCH(2,1/(AW2652:BH2652&lt;&gt;""))),"")</f>
        <v>0</v>
      </c>
      <c r="BJ2652" s="68" cm="1">
        <f t="array" ref="BJ2652">IF(BM2652 = "", "",IFERROR(INDEX(AW2652:BH2652,1,MATCH(2,1/(AW2652:BH2652&lt;&gt;""),1)-1),""))</f>
        <v>0</v>
      </c>
      <c r="BK2652" s="57" cm="1">
        <f t="array" ref="BK2652">IFERROR(INDEX(AW2652:BH2652,1,MATCH(2,1/(AW2652:BH2652&lt;&gt;""),1)),"")</f>
        <v>0</v>
      </c>
      <c r="BL2652" s="57" cm="1">
        <f t="array" ref="BL2652">IF(BM2652 = "", "",IFERROR(INDEX(AW2652:BH2652,1,MATCH(2,1/(AW2652:BH2652&lt;&gt;""),1)-1),""))</f>
        <v>0</v>
      </c>
      <c r="BM2652" s="55" cm="1">
        <f t="array" ref="BM2652">IFERROR(
   INDEX($AW$1:$BH$1,
      _xlfn.AGGREGATE(14, 6, COLUMN($AW$1:$BH$1)/(AW2652:BH2652&lt;&gt;""), 2) - COLUMN($AW$1) + 1
   ),
"")</f>
        <v>46054</v>
      </c>
      <c r="BN2652" s="55" cm="1">
        <f t="array" ref="BN2652">IFERROR(INDEX($AW$1:$BH$1,1,MATCH(2,1/(AW2652:BH2652&lt;&gt;""))),"")</f>
        <v>46082</v>
      </c>
      <c r="BO2652" s="53">
        <f ca="1">IFERROR(_xlfn.XLOOKUP(F2652,Apuração!A:A,Apuração!C:C)/_xlfn.XLOOKUP(F2652,Apuração!A:A,Apuração!B:B),0)</f>
        <v>0</v>
      </c>
      <c r="BP2652" s="53">
        <f ca="1">IFERROR(_xlfn.XLOOKUP(F2652,Apuração!A:A,Apuração!D:D)/_xlfn.XLOOKUP(F2652,Apuração!A:A,Apuração!B:B),0)</f>
        <v>0</v>
      </c>
      <c r="BQ2652" s="53">
        <f ca="1">IF(BK2652&gt;=BO2652,0,_xlfn.XLOOKUP(F2652,Apuração!A:A,Apuração!B:B)*(BO2652 + (1/_xlfn.XLOOKUP(F2652,Apuração!A:A,Apuração!B:B)) - BK2652))</f>
        <v>0</v>
      </c>
      <c r="BR2652" s="85">
        <f t="shared" ca="1" si="3259"/>
        <v>0</v>
      </c>
      <c r="BS2652" s="53">
        <f ca="1">IFERROR((_xlfn.XLOOKUP(F2652,Apuração!A:A,Apuração!C:C)+1)/_xlfn.XLOOKUP(F2652,Apuração!A:A,Apuração!B:B),0)</f>
        <v>0.14285714285714285</v>
      </c>
    </row>
    <row r="2653" spans="1:71" ht="25.95" hidden="1" customHeight="1" x14ac:dyDescent="0.3">
      <c r="A2653" s="72" t="s">
        <v>44</v>
      </c>
      <c r="B2653" s="73" t="s">
        <v>44</v>
      </c>
      <c r="C2653" s="74" t="s">
        <v>209</v>
      </c>
      <c r="D2653" s="5" t="s">
        <v>212</v>
      </c>
      <c r="E2653" s="4" t="str" cm="1">
        <f t="array" ref="E2653">_xlfn.IFS(
F2653 = "A partir de Abril", "Aguardando Execução na Distribuidora",
A2653 = "CAPACITAÇÃO", "Em execução no Corporativo",
TRUE, "Em Execução na Distribuidora"
)</f>
        <v>Em Execução na Distribuidora</v>
      </c>
      <c r="F2653" s="4" t="str" cm="1">
        <f t="array" ref="F2653">_xlfn.IFS(
AG2653 &lt;&gt; "", "Jan-Dez/26",
AH2653 &lt;&gt; "", "Fev-Dez/26",
AI2653 &lt;&gt; "", "Mar-Dez/26", AJ2653 &lt;&gt; "", "Abr-Dez/26",
TRUE, "A partir de Junho"
)</f>
        <v>A partir de Junho</v>
      </c>
      <c r="G2653" s="75" t="s">
        <v>44</v>
      </c>
      <c r="H2653" s="76" t="s">
        <v>44</v>
      </c>
      <c r="I2653" s="77"/>
      <c r="J2653" s="77"/>
      <c r="K2653" s="77"/>
      <c r="L2653" s="77" t="s">
        <v>240</v>
      </c>
      <c r="M2653" s="78"/>
      <c r="N2653" s="74" t="s">
        <v>42</v>
      </c>
      <c r="O2653" s="74" t="s">
        <v>52</v>
      </c>
      <c r="P2653" s="75" t="s">
        <v>44</v>
      </c>
      <c r="Q2653" s="75" t="s">
        <v>44</v>
      </c>
      <c r="R2653" s="79" t="s">
        <v>44</v>
      </c>
      <c r="S2653" s="79" t="s">
        <v>44</v>
      </c>
      <c r="T2653" s="22"/>
      <c r="U2653" s="22"/>
      <c r="V2653" s="22"/>
      <c r="W2653" s="22"/>
      <c r="X2653" s="22"/>
      <c r="Y2653" s="22"/>
      <c r="Z2653" s="22"/>
      <c r="AA2653" s="22"/>
      <c r="AB2653" s="22"/>
      <c r="AC2653" s="22"/>
      <c r="AD2653" s="22"/>
      <c r="AE2653" s="22"/>
      <c r="AG2653" s="112"/>
      <c r="AH2653" s="112"/>
      <c r="AI2653" s="112"/>
      <c r="AJ2653" s="71"/>
      <c r="AK2653" s="71"/>
      <c r="AL2653" s="71"/>
      <c r="AM2653" s="71"/>
      <c r="AN2653" s="71"/>
      <c r="AO2653" s="71"/>
      <c r="AP2653" s="71"/>
      <c r="AQ2653" s="71"/>
      <c r="AR2653" s="71"/>
      <c r="AS2653" s="94"/>
      <c r="AT2653" s="95"/>
      <c r="AU2653" s="97"/>
      <c r="AW2653" s="84">
        <f t="shared" si="3256"/>
        <v>0</v>
      </c>
      <c r="AX2653" s="84">
        <f t="shared" si="3257"/>
        <v>0</v>
      </c>
      <c r="AY2653" s="84">
        <f t="shared" si="3258"/>
        <v>0</v>
      </c>
      <c r="AZ2653" s="84"/>
      <c r="BA2653" s="84"/>
      <c r="BB2653" s="84"/>
      <c r="BC2653" s="84"/>
      <c r="BD2653" s="84"/>
      <c r="BE2653" s="84"/>
      <c r="BF2653" s="84"/>
      <c r="BG2653" s="84"/>
      <c r="BH2653" s="84"/>
      <c r="BI2653" s="68" cm="1">
        <f t="array" ref="BI2653">IFERROR(INDEX(AW2653:BH2653,1,MATCH(2,1/(AW2653:BH2653&lt;&gt;""))),"")</f>
        <v>0</v>
      </c>
      <c r="BJ2653" s="68" cm="1">
        <f t="array" ref="BJ2653">IF(BM2653 = "", "",IFERROR(INDEX(AW2653:BH2653,1,MATCH(2,1/(AW2653:BH2653&lt;&gt;""),1)-1),""))</f>
        <v>0</v>
      </c>
      <c r="BK2653" s="57" cm="1">
        <f t="array" ref="BK2653">IFERROR(INDEX(AW2653:BH2653,1,MATCH(2,1/(AW2653:BH2653&lt;&gt;""),1)),"")</f>
        <v>0</v>
      </c>
      <c r="BL2653" s="57" cm="1">
        <f t="array" ref="BL2653">IF(BM2653 = "", "",IFERROR(INDEX(AW2653:BH2653,1,MATCH(2,1/(AW2653:BH2653&lt;&gt;""),1)-1),""))</f>
        <v>0</v>
      </c>
      <c r="BM2653" s="55" cm="1">
        <f t="array" ref="BM2653">IFERROR(
   INDEX($AW$1:$BH$1,
      _xlfn.AGGREGATE(14, 6, COLUMN($AW$1:$BH$1)/(AW2653:BH2653&lt;&gt;""), 2) - COLUMN($AW$1) + 1
   ),
"")</f>
        <v>46054</v>
      </c>
      <c r="BN2653" s="55" cm="1">
        <f t="array" ref="BN2653">IFERROR(INDEX($AW$1:$BH$1,1,MATCH(2,1/(AW2653:BH2653&lt;&gt;""))),"")</f>
        <v>46082</v>
      </c>
      <c r="BO2653" s="53">
        <f ca="1">IFERROR(_xlfn.XLOOKUP(F2653,Apuração!A:A,Apuração!C:C)/_xlfn.XLOOKUP(F2653,Apuração!A:A,Apuração!B:B),0)</f>
        <v>0</v>
      </c>
      <c r="BP2653" s="53">
        <f ca="1">IFERROR(_xlfn.XLOOKUP(F2653,Apuração!A:A,Apuração!D:D)/_xlfn.XLOOKUP(F2653,Apuração!A:A,Apuração!B:B),0)</f>
        <v>0</v>
      </c>
      <c r="BQ2653" s="53">
        <f ca="1">IF(BK2653&gt;=BO2653,0,_xlfn.XLOOKUP(F2653,Apuração!A:A,Apuração!B:B)*(BO2653 + (1/_xlfn.XLOOKUP(F2653,Apuração!A:A,Apuração!B:B)) - BK2653))</f>
        <v>0</v>
      </c>
      <c r="BR2653" s="85">
        <f t="shared" ca="1" si="3259"/>
        <v>0</v>
      </c>
      <c r="BS2653" s="53">
        <f ca="1">IFERROR((_xlfn.XLOOKUP(F2653,Apuração!A:A,Apuração!C:C)+1)/_xlfn.XLOOKUP(F2653,Apuração!A:A,Apuração!B:B),0)</f>
        <v>0.14285714285714285</v>
      </c>
    </row>
    <row r="2654" spans="1:71" ht="25.95" hidden="1" customHeight="1" x14ac:dyDescent="0.3">
      <c r="A2654" s="72" t="s">
        <v>44</v>
      </c>
      <c r="B2654" s="73" t="s">
        <v>44</v>
      </c>
      <c r="C2654" s="74" t="s">
        <v>209</v>
      </c>
      <c r="D2654" s="5" t="s">
        <v>213</v>
      </c>
      <c r="E2654" s="4" t="str" cm="1">
        <f t="array" ref="E2654">_xlfn.IFS(
F2654 = "A partir de Abril", "Aguardando Execução na Distribuidora",
A2654 = "CAPACITAÇÃO", "Em execução no Corporativo",
TRUE, "Em Execução na Distribuidora"
)</f>
        <v>Em Execução na Distribuidora</v>
      </c>
      <c r="F2654" s="4" t="str" cm="1">
        <f t="array" ref="F2654">_xlfn.IFS(
AG2654 &lt;&gt; "", "Jan-Dez/26",
AH2654 &lt;&gt; "", "Fev-Dez/26",
AI2654 &lt;&gt; "", "Mar-Dez/26", AJ2654 &lt;&gt; "", "Abr-Dez/26",
TRUE, "A partir de Junho"
)</f>
        <v>A partir de Junho</v>
      </c>
      <c r="G2654" s="75" t="s">
        <v>44</v>
      </c>
      <c r="H2654" s="76" t="s">
        <v>44</v>
      </c>
      <c r="I2654" s="77"/>
      <c r="J2654" s="77"/>
      <c r="K2654" s="77"/>
      <c r="L2654" s="77" t="s">
        <v>240</v>
      </c>
      <c r="M2654" s="78"/>
      <c r="N2654" s="74" t="s">
        <v>42</v>
      </c>
      <c r="O2654" s="74" t="s">
        <v>52</v>
      </c>
      <c r="P2654" s="75" t="s">
        <v>44</v>
      </c>
      <c r="Q2654" s="75" t="s">
        <v>44</v>
      </c>
      <c r="R2654" s="79" t="s">
        <v>44</v>
      </c>
      <c r="S2654" s="79" t="s">
        <v>44</v>
      </c>
      <c r="T2654" s="22"/>
      <c r="U2654" s="22"/>
      <c r="V2654" s="22"/>
      <c r="W2654" s="22"/>
      <c r="X2654" s="22"/>
      <c r="Y2654" s="22"/>
      <c r="Z2654" s="22"/>
      <c r="AA2654" s="22"/>
      <c r="AB2654" s="22"/>
      <c r="AC2654" s="22"/>
      <c r="AD2654" s="22"/>
      <c r="AE2654" s="22"/>
      <c r="AG2654" s="112"/>
      <c r="AH2654" s="112"/>
      <c r="AI2654" s="112"/>
      <c r="AJ2654" s="71"/>
      <c r="AK2654" s="71"/>
      <c r="AL2654" s="71"/>
      <c r="AM2654" s="71"/>
      <c r="AN2654" s="71"/>
      <c r="AO2654" s="71"/>
      <c r="AP2654" s="71"/>
      <c r="AQ2654" s="71"/>
      <c r="AR2654" s="71"/>
      <c r="AS2654" s="94"/>
      <c r="AT2654" s="95"/>
      <c r="AU2654" s="97"/>
      <c r="AW2654" s="84">
        <f t="shared" si="3256"/>
        <v>0</v>
      </c>
      <c r="AX2654" s="84">
        <f t="shared" si="3257"/>
        <v>0</v>
      </c>
      <c r="AY2654" s="84">
        <f t="shared" si="3258"/>
        <v>0</v>
      </c>
      <c r="AZ2654" s="84"/>
      <c r="BA2654" s="84"/>
      <c r="BB2654" s="84"/>
      <c r="BC2654" s="84"/>
      <c r="BD2654" s="84"/>
      <c r="BE2654" s="84"/>
      <c r="BF2654" s="84"/>
      <c r="BG2654" s="84"/>
      <c r="BH2654" s="84"/>
      <c r="BI2654" s="68" cm="1">
        <f t="array" ref="BI2654">IFERROR(INDEX(AW2654:BH2654,1,MATCH(2,1/(AW2654:BH2654&lt;&gt;""))),"")</f>
        <v>0</v>
      </c>
      <c r="BJ2654" s="68" cm="1">
        <f t="array" ref="BJ2654">IF(BM2654 = "", "",IFERROR(INDEX(AW2654:BH2654,1,MATCH(2,1/(AW2654:BH2654&lt;&gt;""),1)-1),""))</f>
        <v>0</v>
      </c>
      <c r="BK2654" s="57" cm="1">
        <f t="array" ref="BK2654">IFERROR(INDEX(AW2654:BH2654,1,MATCH(2,1/(AW2654:BH2654&lt;&gt;""),1)),"")</f>
        <v>0</v>
      </c>
      <c r="BL2654" s="57" cm="1">
        <f t="array" ref="BL2654">IF(BM2654 = "", "",IFERROR(INDEX(AW2654:BH2654,1,MATCH(2,1/(AW2654:BH2654&lt;&gt;""),1)-1),""))</f>
        <v>0</v>
      </c>
      <c r="BM2654" s="55" cm="1">
        <f t="array" ref="BM2654">IFERROR(
   INDEX($AW$1:$BH$1,
      _xlfn.AGGREGATE(14, 6, COLUMN($AW$1:$BH$1)/(AW2654:BH2654&lt;&gt;""), 2) - COLUMN($AW$1) + 1
   ),
"")</f>
        <v>46054</v>
      </c>
      <c r="BN2654" s="55" cm="1">
        <f t="array" ref="BN2654">IFERROR(INDEX($AW$1:$BH$1,1,MATCH(2,1/(AW2654:BH2654&lt;&gt;""))),"")</f>
        <v>46082</v>
      </c>
      <c r="BO2654" s="53">
        <f ca="1">IFERROR(_xlfn.XLOOKUP(F2654,Apuração!A:A,Apuração!C:C)/_xlfn.XLOOKUP(F2654,Apuração!A:A,Apuração!B:B),0)</f>
        <v>0</v>
      </c>
      <c r="BP2654" s="53">
        <f ca="1">IFERROR(_xlfn.XLOOKUP(F2654,Apuração!A:A,Apuração!D:D)/_xlfn.XLOOKUP(F2654,Apuração!A:A,Apuração!B:B),0)</f>
        <v>0</v>
      </c>
      <c r="BQ2654" s="53">
        <f ca="1">IF(BK2654&gt;=BO2654,0,_xlfn.XLOOKUP(F2654,Apuração!A:A,Apuração!B:B)*(BO2654 + (1/_xlfn.XLOOKUP(F2654,Apuração!A:A,Apuração!B:B)) - BK2654))</f>
        <v>0</v>
      </c>
      <c r="BR2654" s="85">
        <f t="shared" ca="1" si="3259"/>
        <v>0</v>
      </c>
      <c r="BS2654" s="53">
        <f ca="1">IFERROR((_xlfn.XLOOKUP(F2654,Apuração!A:A,Apuração!C:C)+1)/_xlfn.XLOOKUP(F2654,Apuração!A:A,Apuração!B:B),0)</f>
        <v>0.14285714285714285</v>
      </c>
    </row>
    <row r="2655" spans="1:71" ht="25.95" hidden="1" customHeight="1" x14ac:dyDescent="0.3">
      <c r="A2655" s="72" t="s">
        <v>44</v>
      </c>
      <c r="B2655" s="73" t="s">
        <v>44</v>
      </c>
      <c r="C2655" s="74" t="s">
        <v>209</v>
      </c>
      <c r="D2655" s="5" t="s">
        <v>36</v>
      </c>
      <c r="E2655" s="4" t="str" cm="1">
        <f t="array" ref="E2655">_xlfn.IFS(
F2655 = "A partir de Abril", "Aguardando Execução na Distribuidora",
A2655 = "CAPACITAÇÃO", "Em execução no Corporativo",
TRUE, "Em Execução na Distribuidora"
)</f>
        <v>Em Execução na Distribuidora</v>
      </c>
      <c r="F2655" s="4" t="str" cm="1">
        <f t="array" ref="F2655">_xlfn.IFS(
AG2655 &lt;&gt; "", "Jan-Dez/26",
AH2655 &lt;&gt; "", "Fev-Dez/26",
AI2655 &lt;&gt; "", "Mar-Dez/26", AJ2655 &lt;&gt; "", "Abr-Dez/26",
TRUE, "A partir de Junho"
)</f>
        <v>A partir de Junho</v>
      </c>
      <c r="G2655" s="75" t="s">
        <v>44</v>
      </c>
      <c r="H2655" s="76" t="s">
        <v>44</v>
      </c>
      <c r="I2655" s="77"/>
      <c r="J2655" s="77"/>
      <c r="K2655" s="77"/>
      <c r="L2655" s="77" t="s">
        <v>241</v>
      </c>
      <c r="M2655" s="78"/>
      <c r="N2655" s="74" t="s">
        <v>42</v>
      </c>
      <c r="O2655" s="74" t="s">
        <v>52</v>
      </c>
      <c r="P2655" s="75" t="s">
        <v>44</v>
      </c>
      <c r="Q2655" s="75" t="s">
        <v>44</v>
      </c>
      <c r="R2655" s="79" t="s">
        <v>44</v>
      </c>
      <c r="S2655" s="79" t="s">
        <v>44</v>
      </c>
      <c r="T2655" s="22"/>
      <c r="U2655" s="22"/>
      <c r="V2655" s="22"/>
      <c r="W2655" s="22"/>
      <c r="X2655" s="22"/>
      <c r="Y2655" s="22"/>
      <c r="Z2655" s="22"/>
      <c r="AA2655" s="22"/>
      <c r="AB2655" s="22"/>
      <c r="AC2655" s="22"/>
      <c r="AD2655" s="22"/>
      <c r="AE2655" s="22"/>
      <c r="AG2655" s="112"/>
      <c r="AH2655" s="112"/>
      <c r="AI2655" s="112"/>
      <c r="AJ2655" s="112"/>
      <c r="AK2655" s="112"/>
      <c r="AL2655" s="112"/>
      <c r="AM2655" s="112"/>
      <c r="AN2655" s="112"/>
      <c r="AO2655" s="112"/>
      <c r="AP2655" s="112"/>
      <c r="AQ2655" s="112"/>
      <c r="AR2655" s="112"/>
      <c r="AS2655" s="94"/>
      <c r="AT2655" s="95"/>
      <c r="AU2655" s="97"/>
      <c r="AW2655" s="84">
        <f>AG2655</f>
        <v>0</v>
      </c>
      <c r="AX2655" s="84">
        <f t="shared" si="3257"/>
        <v>0</v>
      </c>
      <c r="AY2655" s="84">
        <f t="shared" si="3258"/>
        <v>0</v>
      </c>
      <c r="AZ2655" s="84">
        <f t="shared" ref="AZ2655" si="3260">AJ2655</f>
        <v>0</v>
      </c>
      <c r="BA2655" s="84"/>
      <c r="BB2655" s="84"/>
      <c r="BC2655" s="84"/>
      <c r="BD2655" s="84"/>
      <c r="BE2655" s="84"/>
      <c r="BF2655" s="84"/>
      <c r="BG2655" s="84"/>
      <c r="BH2655" s="84"/>
      <c r="BI2655" s="68" cm="1">
        <f t="array" ref="BI2655">IFERROR(INDEX(AW2655:BH2655,1,MATCH(2,1/(AW2655:BH2655&lt;&gt;""))),"")</f>
        <v>0</v>
      </c>
      <c r="BJ2655" s="68" cm="1">
        <f t="array" ref="BJ2655">IF(BM2655 = "", "",IFERROR(INDEX(AW2655:BH2655,1,MATCH(2,1/(AW2655:BH2655&lt;&gt;""),1)-1),""))</f>
        <v>0</v>
      </c>
      <c r="BK2655" s="57" cm="1">
        <f t="array" ref="BK2655">IFERROR(INDEX(AW2655:BH2655,1,MATCH(2,1/(AW2655:BH2655&lt;&gt;""),1)),"")</f>
        <v>0</v>
      </c>
      <c r="BL2655" s="57" cm="1">
        <f t="array" ref="BL2655">IF(BM2655 = "", "",IFERROR(INDEX(AW2655:BH2655,1,MATCH(2,1/(AW2655:BH2655&lt;&gt;""),1)-1),""))</f>
        <v>0</v>
      </c>
      <c r="BM2655" s="55" cm="1">
        <f t="array" ref="BM2655">IFERROR(
   INDEX($AW$1:$BH$1,
      _xlfn.AGGREGATE(14, 6, COLUMN($AW$1:$BH$1)/(AW2655:BH2655&lt;&gt;""), 2) - COLUMN($AW$1) + 1
   ),
"")</f>
        <v>46082</v>
      </c>
      <c r="BN2655" s="55" cm="1">
        <f t="array" ref="BN2655">IFERROR(INDEX($AW$1:$BH$1,1,MATCH(2,1/(AW2655:BH2655&lt;&gt;""))),"")</f>
        <v>46113</v>
      </c>
      <c r="BO2655" s="53">
        <f ca="1">IFERROR(_xlfn.XLOOKUP(F2655,Apuração!A:A,Apuração!C:C)/_xlfn.XLOOKUP(F2655,Apuração!A:A,Apuração!B:B),0)</f>
        <v>0</v>
      </c>
      <c r="BP2655" s="53">
        <f ca="1">IFERROR(_xlfn.XLOOKUP(F2655,Apuração!A:A,Apuração!D:D)/_xlfn.XLOOKUP(F2655,Apuração!A:A,Apuração!B:B),0)</f>
        <v>0</v>
      </c>
      <c r="BQ2655" s="53">
        <f ca="1">IF(BK2655&gt;=BO2655,0,_xlfn.XLOOKUP(F2655,Apuração!A:A,Apuração!B:B)*(BO2655 + (1/_xlfn.XLOOKUP(F2655,Apuração!A:A,Apuração!B:B)) - BK2655))</f>
        <v>0</v>
      </c>
      <c r="BR2655" s="85">
        <f ca="1">IF(BQ2655=0,0,BQ2655*Z2655)</f>
        <v>0</v>
      </c>
      <c r="BS2655" s="53">
        <f ca="1">IFERROR((_xlfn.XLOOKUP(F2655,Apuração!A:A,Apuração!C:C)+1)/_xlfn.XLOOKUP(F2655,Apuração!A:A,Apuração!B:B),0)</f>
        <v>0.14285714285714285</v>
      </c>
    </row>
    <row r="2656" spans="1:71" ht="25.95" hidden="1" customHeight="1" x14ac:dyDescent="0.3">
      <c r="A2656" s="72" t="s">
        <v>44</v>
      </c>
      <c r="B2656" s="73" t="s">
        <v>44</v>
      </c>
      <c r="C2656" s="74" t="s">
        <v>214</v>
      </c>
      <c r="D2656" s="5" t="s">
        <v>210</v>
      </c>
      <c r="E2656" s="4" t="str" cm="1">
        <f t="array" ref="E2656">_xlfn.IFS(
F2656 = "A partir de Abril", "Aguardando Execução na Distribuidora",
A2656 = "CAPACITAÇÃO", "Em execução no Corporativo",
TRUE, "Em Execução na Distribuidora"
)</f>
        <v>Em Execução na Distribuidora</v>
      </c>
      <c r="F2656" s="4" t="str" cm="1">
        <f t="array" ref="F2656">_xlfn.IFS(
AG2656 &lt;&gt; "", "Jan-Dez/26",
AH2656 &lt;&gt; "", "Fev-Dez/26",
AI2656 &lt;&gt; "", "Mar-Dez/26", AJ2656 &lt;&gt; "", "Abr-Dez/26",
TRUE, "A partir de Junho"
)</f>
        <v>A partir de Junho</v>
      </c>
      <c r="G2656" s="75" t="s">
        <v>44</v>
      </c>
      <c r="H2656" s="76" t="s">
        <v>44</v>
      </c>
      <c r="I2656" s="77"/>
      <c r="J2656" s="77"/>
      <c r="K2656" s="77"/>
      <c r="L2656" s="77" t="s">
        <v>240</v>
      </c>
      <c r="M2656" s="78"/>
      <c r="N2656" s="74" t="s">
        <v>42</v>
      </c>
      <c r="O2656" s="74" t="s">
        <v>52</v>
      </c>
      <c r="P2656" s="75" t="s">
        <v>44</v>
      </c>
      <c r="Q2656" s="75" t="s">
        <v>44</v>
      </c>
      <c r="R2656" s="79" t="s">
        <v>44</v>
      </c>
      <c r="S2656" s="79" t="s">
        <v>44</v>
      </c>
      <c r="T2656" s="22"/>
      <c r="U2656" s="22"/>
      <c r="V2656" s="22"/>
      <c r="W2656" s="22"/>
      <c r="X2656" s="22"/>
      <c r="Y2656" s="22"/>
      <c r="Z2656" s="22"/>
      <c r="AA2656" s="22"/>
      <c r="AB2656" s="22"/>
      <c r="AC2656" s="22"/>
      <c r="AD2656" s="22"/>
      <c r="AE2656" s="22"/>
      <c r="AG2656" s="112"/>
      <c r="AH2656" s="112"/>
      <c r="AI2656" s="112"/>
      <c r="AJ2656" s="71"/>
      <c r="AK2656" s="71"/>
      <c r="AL2656" s="71"/>
      <c r="AM2656" s="71"/>
      <c r="AN2656" s="71"/>
      <c r="AO2656" s="71"/>
      <c r="AP2656" s="71"/>
      <c r="AQ2656" s="71"/>
      <c r="AR2656" s="71"/>
      <c r="AS2656" s="94"/>
      <c r="AT2656" s="95"/>
      <c r="AU2656" s="97"/>
      <c r="AW2656" s="84">
        <f t="shared" ref="AW2656:AW2660" si="3261">AG2656</f>
        <v>0</v>
      </c>
      <c r="AX2656" s="84">
        <f t="shared" ref="AX2656:AX2661" si="3262">AH2656</f>
        <v>0</v>
      </c>
      <c r="AY2656" s="84">
        <f t="shared" ref="AY2656:AY2661" si="3263">AI2656</f>
        <v>0</v>
      </c>
      <c r="AZ2656" s="84"/>
      <c r="BA2656" s="84"/>
      <c r="BB2656" s="84"/>
      <c r="BC2656" s="84"/>
      <c r="BD2656" s="84"/>
      <c r="BE2656" s="84"/>
      <c r="BF2656" s="84"/>
      <c r="BG2656" s="84"/>
      <c r="BH2656" s="84"/>
      <c r="BI2656" s="68" cm="1">
        <f t="array" ref="BI2656">IFERROR(INDEX(AW2656:BH2656,1,MATCH(2,1/(AW2656:BH2656&lt;&gt;""))),"")</f>
        <v>0</v>
      </c>
      <c r="BJ2656" s="68" cm="1">
        <f t="array" ref="BJ2656">IF(BM2656 = "", "",IFERROR(INDEX(AW2656:BH2656,1,MATCH(2,1/(AW2656:BH2656&lt;&gt;""),1)-1),""))</f>
        <v>0</v>
      </c>
      <c r="BK2656" s="57" cm="1">
        <f t="array" ref="BK2656">IFERROR(INDEX(AW2656:BH2656,1,MATCH(2,1/(AW2656:BH2656&lt;&gt;""),1)),"")</f>
        <v>0</v>
      </c>
      <c r="BL2656" s="57" cm="1">
        <f t="array" ref="BL2656">IF(BM2656 = "", "",IFERROR(INDEX(AW2656:BH2656,1,MATCH(2,1/(AW2656:BH2656&lt;&gt;""),1)-1),""))</f>
        <v>0</v>
      </c>
      <c r="BM2656" s="55" cm="1">
        <f t="array" ref="BM2656">IFERROR(
   INDEX($AW$1:$BH$1,
      _xlfn.AGGREGATE(14, 6, COLUMN($AW$1:$BH$1)/(AW2656:BH2656&lt;&gt;""), 2) - COLUMN($AW$1) + 1
   ),
"")</f>
        <v>46054</v>
      </c>
      <c r="BN2656" s="55" cm="1">
        <f t="array" ref="BN2656">IFERROR(INDEX($AW$1:$BH$1,1,MATCH(2,1/(AW2656:BH2656&lt;&gt;""))),"")</f>
        <v>46082</v>
      </c>
      <c r="BO2656" s="53">
        <f ca="1">IFERROR(_xlfn.XLOOKUP(F2656,Apuração!A:A,Apuração!C:C)/_xlfn.XLOOKUP(F2656,Apuração!A:A,Apuração!B:B),0)</f>
        <v>0</v>
      </c>
      <c r="BP2656" s="53">
        <f ca="1">IFERROR(_xlfn.XLOOKUP(F2656,Apuração!A:A,Apuração!D:D)/_xlfn.XLOOKUP(F2656,Apuração!A:A,Apuração!B:B),0)</f>
        <v>0</v>
      </c>
      <c r="BQ2656" s="53">
        <f ca="1">IF(BK2656&gt;=BO2656,0,_xlfn.XLOOKUP(F2656,Apuração!A:A,Apuração!B:B)*(BO2656 + (1/_xlfn.XLOOKUP(F2656,Apuração!A:A,Apuração!B:B)) - BK2656))</f>
        <v>0</v>
      </c>
      <c r="BR2656" s="85">
        <f t="shared" ref="BR2656:BR2660" ca="1" si="3264">IF(BQ2656=0,0,BQ2656*Z2656)</f>
        <v>0</v>
      </c>
      <c r="BS2656" s="53">
        <f ca="1">IFERROR((_xlfn.XLOOKUP(F2656,Apuração!A:A,Apuração!C:C)+1)/_xlfn.XLOOKUP(F2656,Apuração!A:A,Apuração!B:B),0)</f>
        <v>0.14285714285714285</v>
      </c>
    </row>
    <row r="2657" spans="1:71" ht="25.95" hidden="1" customHeight="1" x14ac:dyDescent="0.3">
      <c r="A2657" s="72" t="s">
        <v>44</v>
      </c>
      <c r="B2657" s="73" t="s">
        <v>44</v>
      </c>
      <c r="C2657" s="74" t="s">
        <v>214</v>
      </c>
      <c r="D2657" s="5" t="s">
        <v>215</v>
      </c>
      <c r="E2657" s="4" t="str" cm="1">
        <f t="array" ref="E2657">_xlfn.IFS(
F2657 = "A partir de Abril", "Aguardando Execução na Distribuidora",
A2657 = "CAPACITAÇÃO", "Em execução no Corporativo",
TRUE, "Em Execução na Distribuidora"
)</f>
        <v>Em Execução na Distribuidora</v>
      </c>
      <c r="F2657" s="4" t="str" cm="1">
        <f t="array" ref="F2657">_xlfn.IFS(
AG2657 &lt;&gt; "", "Jan-Dez/26",
AH2657 &lt;&gt; "", "Fev-Dez/26",
AI2657 &lt;&gt; "", "Mar-Dez/26", AJ2657 &lt;&gt; "", "Abr-Dez/26",
TRUE, "A partir de Junho"
)</f>
        <v>A partir de Junho</v>
      </c>
      <c r="G2657" s="75" t="s">
        <v>44</v>
      </c>
      <c r="H2657" s="76" t="s">
        <v>44</v>
      </c>
      <c r="I2657" s="77"/>
      <c r="J2657" s="77"/>
      <c r="K2657" s="77"/>
      <c r="L2657" s="77" t="s">
        <v>240</v>
      </c>
      <c r="M2657" s="78"/>
      <c r="N2657" s="74" t="s">
        <v>42</v>
      </c>
      <c r="O2657" s="74" t="s">
        <v>52</v>
      </c>
      <c r="P2657" s="75" t="s">
        <v>44</v>
      </c>
      <c r="Q2657" s="75" t="s">
        <v>44</v>
      </c>
      <c r="R2657" s="79" t="s">
        <v>44</v>
      </c>
      <c r="S2657" s="79" t="s">
        <v>44</v>
      </c>
      <c r="T2657" s="22"/>
      <c r="U2657" s="22"/>
      <c r="V2657" s="22"/>
      <c r="W2657" s="22"/>
      <c r="X2657" s="22"/>
      <c r="Y2657" s="22"/>
      <c r="Z2657" s="22"/>
      <c r="AA2657" s="22"/>
      <c r="AB2657" s="22"/>
      <c r="AC2657" s="22"/>
      <c r="AD2657" s="22"/>
      <c r="AE2657" s="22"/>
      <c r="AG2657" s="112"/>
      <c r="AH2657" s="112"/>
      <c r="AI2657" s="112"/>
      <c r="AJ2657" s="71"/>
      <c r="AK2657" s="71"/>
      <c r="AL2657" s="71"/>
      <c r="AM2657" s="71"/>
      <c r="AN2657" s="71"/>
      <c r="AO2657" s="71"/>
      <c r="AP2657" s="71"/>
      <c r="AQ2657" s="71"/>
      <c r="AR2657" s="71"/>
      <c r="AS2657" s="94"/>
      <c r="AT2657" s="95"/>
      <c r="AU2657" s="97"/>
      <c r="AW2657" s="84">
        <f t="shared" si="3261"/>
        <v>0</v>
      </c>
      <c r="AX2657" s="84">
        <f t="shared" si="3262"/>
        <v>0</v>
      </c>
      <c r="AY2657" s="84">
        <f t="shared" si="3263"/>
        <v>0</v>
      </c>
      <c r="AZ2657" s="84"/>
      <c r="BA2657" s="84"/>
      <c r="BB2657" s="84"/>
      <c r="BC2657" s="84"/>
      <c r="BD2657" s="84"/>
      <c r="BE2657" s="84"/>
      <c r="BF2657" s="84"/>
      <c r="BG2657" s="84"/>
      <c r="BH2657" s="84"/>
      <c r="BI2657" s="68" cm="1">
        <f t="array" ref="BI2657">IFERROR(INDEX(AW2657:BH2657,1,MATCH(2,1/(AW2657:BH2657&lt;&gt;""))),"")</f>
        <v>0</v>
      </c>
      <c r="BJ2657" s="68" cm="1">
        <f t="array" ref="BJ2657">IF(BM2657 = "", "",IFERROR(INDEX(AW2657:BH2657,1,MATCH(2,1/(AW2657:BH2657&lt;&gt;""),1)-1),""))</f>
        <v>0</v>
      </c>
      <c r="BK2657" s="57" cm="1">
        <f t="array" ref="BK2657">IFERROR(INDEX(AW2657:BH2657,1,MATCH(2,1/(AW2657:BH2657&lt;&gt;""),1)),"")</f>
        <v>0</v>
      </c>
      <c r="BL2657" s="57" cm="1">
        <f t="array" ref="BL2657">IF(BM2657 = "", "",IFERROR(INDEX(AW2657:BH2657,1,MATCH(2,1/(AW2657:BH2657&lt;&gt;""),1)-1),""))</f>
        <v>0</v>
      </c>
      <c r="BM2657" s="55" cm="1">
        <f t="array" ref="BM2657">IFERROR(
   INDEX($AW$1:$BH$1,
      _xlfn.AGGREGATE(14, 6, COLUMN($AW$1:$BH$1)/(AW2657:BH2657&lt;&gt;""), 2) - COLUMN($AW$1) + 1
   ),
"")</f>
        <v>46054</v>
      </c>
      <c r="BN2657" s="55" cm="1">
        <f t="array" ref="BN2657">IFERROR(INDEX($AW$1:$BH$1,1,MATCH(2,1/(AW2657:BH2657&lt;&gt;""))),"")</f>
        <v>46082</v>
      </c>
      <c r="BO2657" s="53">
        <f ca="1">IFERROR(_xlfn.XLOOKUP(F2657,Apuração!A:A,Apuração!C:C)/_xlfn.XLOOKUP(F2657,Apuração!A:A,Apuração!B:B),0)</f>
        <v>0</v>
      </c>
      <c r="BP2657" s="53">
        <f ca="1">IFERROR(_xlfn.XLOOKUP(F2657,Apuração!A:A,Apuração!D:D)/_xlfn.XLOOKUP(F2657,Apuração!A:A,Apuração!B:B),0)</f>
        <v>0</v>
      </c>
      <c r="BQ2657" s="53">
        <f ca="1">IF(BK2657&gt;=BO2657,0,_xlfn.XLOOKUP(F2657,Apuração!A:A,Apuração!B:B)*(BO2657 + (1/_xlfn.XLOOKUP(F2657,Apuração!A:A,Apuração!B:B)) - BK2657))</f>
        <v>0</v>
      </c>
      <c r="BR2657" s="85">
        <f t="shared" ca="1" si="3264"/>
        <v>0</v>
      </c>
      <c r="BS2657" s="53">
        <f ca="1">IFERROR((_xlfn.XLOOKUP(F2657,Apuração!A:A,Apuração!C:C)+1)/_xlfn.XLOOKUP(F2657,Apuração!A:A,Apuração!B:B),0)</f>
        <v>0.14285714285714285</v>
      </c>
    </row>
    <row r="2658" spans="1:71" ht="25.95" hidden="1" customHeight="1" x14ac:dyDescent="0.3">
      <c r="A2658" s="72" t="s">
        <v>44</v>
      </c>
      <c r="B2658" s="73" t="s">
        <v>44</v>
      </c>
      <c r="C2658" s="74" t="s">
        <v>214</v>
      </c>
      <c r="D2658" s="5" t="s">
        <v>212</v>
      </c>
      <c r="E2658" s="4" t="str" cm="1">
        <f t="array" ref="E2658">_xlfn.IFS(
F2658 = "A partir de Abril", "Aguardando Execução na Distribuidora",
A2658 = "CAPACITAÇÃO", "Em execução no Corporativo",
TRUE, "Em Execução na Distribuidora"
)</f>
        <v>Em Execução na Distribuidora</v>
      </c>
      <c r="F2658" s="4" t="str" cm="1">
        <f t="array" ref="F2658">_xlfn.IFS(
AG2658 &lt;&gt; "", "Jan-Dez/26",
AH2658 &lt;&gt; "", "Fev-Dez/26",
AI2658 &lt;&gt; "", "Mar-Dez/26", AJ2658 &lt;&gt; "", "Abr-Dez/26",
TRUE, "A partir de Junho"
)</f>
        <v>A partir de Junho</v>
      </c>
      <c r="G2658" s="75" t="s">
        <v>44</v>
      </c>
      <c r="H2658" s="76" t="s">
        <v>44</v>
      </c>
      <c r="I2658" s="77"/>
      <c r="J2658" s="77"/>
      <c r="K2658" s="77"/>
      <c r="L2658" s="77" t="s">
        <v>240</v>
      </c>
      <c r="M2658" s="78"/>
      <c r="N2658" s="74" t="s">
        <v>42</v>
      </c>
      <c r="O2658" s="74" t="s">
        <v>52</v>
      </c>
      <c r="P2658" s="75" t="s">
        <v>44</v>
      </c>
      <c r="Q2658" s="75" t="s">
        <v>44</v>
      </c>
      <c r="R2658" s="79" t="s">
        <v>44</v>
      </c>
      <c r="S2658" s="79" t="s">
        <v>44</v>
      </c>
      <c r="T2658" s="22"/>
      <c r="U2658" s="22"/>
      <c r="V2658" s="22"/>
      <c r="W2658" s="22"/>
      <c r="X2658" s="22"/>
      <c r="Y2658" s="22"/>
      <c r="Z2658" s="22"/>
      <c r="AA2658" s="22"/>
      <c r="AB2658" s="22"/>
      <c r="AC2658" s="22"/>
      <c r="AD2658" s="22"/>
      <c r="AE2658" s="22"/>
      <c r="AG2658" s="112"/>
      <c r="AH2658" s="112"/>
      <c r="AI2658" s="112"/>
      <c r="AJ2658" s="71"/>
      <c r="AK2658" s="71"/>
      <c r="AL2658" s="71"/>
      <c r="AM2658" s="71"/>
      <c r="AN2658" s="71"/>
      <c r="AO2658" s="71"/>
      <c r="AP2658" s="71"/>
      <c r="AQ2658" s="71"/>
      <c r="AR2658" s="71"/>
      <c r="AS2658" s="94"/>
      <c r="AT2658" s="95"/>
      <c r="AU2658" s="97"/>
      <c r="AW2658" s="84">
        <f t="shared" si="3261"/>
        <v>0</v>
      </c>
      <c r="AX2658" s="84">
        <f t="shared" si="3262"/>
        <v>0</v>
      </c>
      <c r="AY2658" s="84">
        <f t="shared" si="3263"/>
        <v>0</v>
      </c>
      <c r="AZ2658" s="84"/>
      <c r="BA2658" s="84"/>
      <c r="BB2658" s="84"/>
      <c r="BC2658" s="84"/>
      <c r="BD2658" s="84"/>
      <c r="BE2658" s="84"/>
      <c r="BF2658" s="84"/>
      <c r="BG2658" s="84"/>
      <c r="BH2658" s="84"/>
      <c r="BI2658" s="68" cm="1">
        <f t="array" ref="BI2658">IFERROR(INDEX(AW2658:BH2658,1,MATCH(2,1/(AW2658:BH2658&lt;&gt;""))),"")</f>
        <v>0</v>
      </c>
      <c r="BJ2658" s="68" cm="1">
        <f t="array" ref="BJ2658">IF(BM2658 = "", "",IFERROR(INDEX(AW2658:BH2658,1,MATCH(2,1/(AW2658:BH2658&lt;&gt;""),1)-1),""))</f>
        <v>0</v>
      </c>
      <c r="BK2658" s="57" cm="1">
        <f t="array" ref="BK2658">IFERROR(INDEX(AW2658:BH2658,1,MATCH(2,1/(AW2658:BH2658&lt;&gt;""),1)),"")</f>
        <v>0</v>
      </c>
      <c r="BL2658" s="57" cm="1">
        <f t="array" ref="BL2658">IF(BM2658 = "", "",IFERROR(INDEX(AW2658:BH2658,1,MATCH(2,1/(AW2658:BH2658&lt;&gt;""),1)-1),""))</f>
        <v>0</v>
      </c>
      <c r="BM2658" s="55" cm="1">
        <f t="array" ref="BM2658">IFERROR(
   INDEX($AW$1:$BH$1,
      _xlfn.AGGREGATE(14, 6, COLUMN($AW$1:$BH$1)/(AW2658:BH2658&lt;&gt;""), 2) - COLUMN($AW$1) + 1
   ),
"")</f>
        <v>46054</v>
      </c>
      <c r="BN2658" s="55" cm="1">
        <f t="array" ref="BN2658">IFERROR(INDEX($AW$1:$BH$1,1,MATCH(2,1/(AW2658:BH2658&lt;&gt;""))),"")</f>
        <v>46082</v>
      </c>
      <c r="BO2658" s="53">
        <f ca="1">IFERROR(_xlfn.XLOOKUP(F2658,Apuração!A:A,Apuração!C:C)/_xlfn.XLOOKUP(F2658,Apuração!A:A,Apuração!B:B),0)</f>
        <v>0</v>
      </c>
      <c r="BP2658" s="53">
        <f ca="1">IFERROR(_xlfn.XLOOKUP(F2658,Apuração!A:A,Apuração!D:D)/_xlfn.XLOOKUP(F2658,Apuração!A:A,Apuração!B:B),0)</f>
        <v>0</v>
      </c>
      <c r="BQ2658" s="53">
        <f ca="1">IF(BK2658&gt;=BO2658,0,_xlfn.XLOOKUP(F2658,Apuração!A:A,Apuração!B:B)*(BO2658 + (1/_xlfn.XLOOKUP(F2658,Apuração!A:A,Apuração!B:B)) - BK2658))</f>
        <v>0</v>
      </c>
      <c r="BR2658" s="85">
        <f t="shared" ca="1" si="3264"/>
        <v>0</v>
      </c>
      <c r="BS2658" s="53">
        <f ca="1">IFERROR((_xlfn.XLOOKUP(F2658,Apuração!A:A,Apuração!C:C)+1)/_xlfn.XLOOKUP(F2658,Apuração!A:A,Apuração!B:B),0)</f>
        <v>0.14285714285714285</v>
      </c>
    </row>
    <row r="2659" spans="1:71" ht="25.95" hidden="1" customHeight="1" x14ac:dyDescent="0.3">
      <c r="A2659" s="72" t="s">
        <v>44</v>
      </c>
      <c r="B2659" s="73" t="s">
        <v>44</v>
      </c>
      <c r="C2659" s="74" t="s">
        <v>214</v>
      </c>
      <c r="D2659" s="5" t="s">
        <v>48</v>
      </c>
      <c r="E2659" s="4" t="str" cm="1">
        <f t="array" ref="E2659">_xlfn.IFS(
F2659 = "A partir de Abril", "Aguardando Execução na Distribuidora",
A2659 = "CAPACITAÇÃO", "Em execução no Corporativo",
TRUE, "Em Execução na Distribuidora"
)</f>
        <v>Em Execução na Distribuidora</v>
      </c>
      <c r="F2659" s="4" t="str" cm="1">
        <f t="array" ref="F2659">_xlfn.IFS(
AG2659 &lt;&gt; "", "Jan-Dez/26",
AH2659 &lt;&gt; "", "Fev-Dez/26",
AI2659 &lt;&gt; "", "Mar-Dez/26", AJ2659 &lt;&gt; "", "Abr-Dez/26",
TRUE, "A partir de Junho"
)</f>
        <v>A partir de Junho</v>
      </c>
      <c r="G2659" s="75" t="s">
        <v>44</v>
      </c>
      <c r="H2659" s="76" t="s">
        <v>44</v>
      </c>
      <c r="I2659" s="77"/>
      <c r="J2659" s="77"/>
      <c r="K2659" s="77"/>
      <c r="L2659" s="77" t="s">
        <v>240</v>
      </c>
      <c r="M2659" s="78"/>
      <c r="N2659" s="74" t="s">
        <v>42</v>
      </c>
      <c r="O2659" s="74" t="s">
        <v>52</v>
      </c>
      <c r="P2659" s="75" t="s">
        <v>44</v>
      </c>
      <c r="Q2659" s="75" t="s">
        <v>44</v>
      </c>
      <c r="R2659" s="79" t="s">
        <v>44</v>
      </c>
      <c r="S2659" s="79" t="s">
        <v>44</v>
      </c>
      <c r="T2659" s="22"/>
      <c r="U2659" s="22"/>
      <c r="V2659" s="22"/>
      <c r="W2659" s="22"/>
      <c r="X2659" s="22"/>
      <c r="Y2659" s="22"/>
      <c r="Z2659" s="22"/>
      <c r="AA2659" s="22"/>
      <c r="AB2659" s="22"/>
      <c r="AC2659" s="22"/>
      <c r="AD2659" s="22"/>
      <c r="AE2659" s="22"/>
      <c r="AG2659" s="112"/>
      <c r="AH2659" s="112"/>
      <c r="AI2659" s="112"/>
      <c r="AJ2659" s="71"/>
      <c r="AK2659" s="71"/>
      <c r="AL2659" s="71"/>
      <c r="AM2659" s="71"/>
      <c r="AN2659" s="71"/>
      <c r="AO2659" s="71"/>
      <c r="AP2659" s="71"/>
      <c r="AQ2659" s="71"/>
      <c r="AR2659" s="71"/>
      <c r="AS2659" s="94"/>
      <c r="AT2659" s="95"/>
      <c r="AU2659" s="97"/>
      <c r="AW2659" s="84">
        <f t="shared" si="3261"/>
        <v>0</v>
      </c>
      <c r="AX2659" s="84">
        <f t="shared" si="3262"/>
        <v>0</v>
      </c>
      <c r="AY2659" s="84">
        <f t="shared" si="3263"/>
        <v>0</v>
      </c>
      <c r="AZ2659" s="84"/>
      <c r="BA2659" s="84"/>
      <c r="BB2659" s="84"/>
      <c r="BC2659" s="84"/>
      <c r="BD2659" s="84"/>
      <c r="BE2659" s="84"/>
      <c r="BF2659" s="84"/>
      <c r="BG2659" s="84"/>
      <c r="BH2659" s="84"/>
      <c r="BI2659" s="68" cm="1">
        <f t="array" ref="BI2659">IFERROR(INDEX(AW2659:BH2659,1,MATCH(2,1/(AW2659:BH2659&lt;&gt;""))),"")</f>
        <v>0</v>
      </c>
      <c r="BJ2659" s="68" cm="1">
        <f t="array" ref="BJ2659">IF(BM2659 = "", "",IFERROR(INDEX(AW2659:BH2659,1,MATCH(2,1/(AW2659:BH2659&lt;&gt;""),1)-1),""))</f>
        <v>0</v>
      </c>
      <c r="BK2659" s="57" cm="1">
        <f t="array" ref="BK2659">IFERROR(INDEX(AW2659:BH2659,1,MATCH(2,1/(AW2659:BH2659&lt;&gt;""),1)),"")</f>
        <v>0</v>
      </c>
      <c r="BL2659" s="57" cm="1">
        <f t="array" ref="BL2659">IF(BM2659 = "", "",IFERROR(INDEX(AW2659:BH2659,1,MATCH(2,1/(AW2659:BH2659&lt;&gt;""),1)-1),""))</f>
        <v>0</v>
      </c>
      <c r="BM2659" s="55" cm="1">
        <f t="array" ref="BM2659">IFERROR(
   INDEX($AW$1:$BH$1,
      _xlfn.AGGREGATE(14, 6, COLUMN($AW$1:$BH$1)/(AW2659:BH2659&lt;&gt;""), 2) - COLUMN($AW$1) + 1
   ),
"")</f>
        <v>46054</v>
      </c>
      <c r="BN2659" s="55" cm="1">
        <f t="array" ref="BN2659">IFERROR(INDEX($AW$1:$BH$1,1,MATCH(2,1/(AW2659:BH2659&lt;&gt;""))),"")</f>
        <v>46082</v>
      </c>
      <c r="BO2659" s="53">
        <f ca="1">IFERROR(_xlfn.XLOOKUP(F2659,Apuração!A:A,Apuração!C:C)/_xlfn.XLOOKUP(F2659,Apuração!A:A,Apuração!B:B),0)</f>
        <v>0</v>
      </c>
      <c r="BP2659" s="53">
        <f ca="1">IFERROR(_xlfn.XLOOKUP(F2659,Apuração!A:A,Apuração!D:D)/_xlfn.XLOOKUP(F2659,Apuração!A:A,Apuração!B:B),0)</f>
        <v>0</v>
      </c>
      <c r="BQ2659" s="53">
        <f ca="1">IF(BK2659&gt;=BO2659,0,_xlfn.XLOOKUP(F2659,Apuração!A:A,Apuração!B:B)*(BO2659 + (1/_xlfn.XLOOKUP(F2659,Apuração!A:A,Apuração!B:B)) - BK2659))</f>
        <v>0</v>
      </c>
      <c r="BR2659" s="85">
        <f t="shared" ca="1" si="3264"/>
        <v>0</v>
      </c>
      <c r="BS2659" s="53">
        <f ca="1">IFERROR((_xlfn.XLOOKUP(F2659,Apuração!A:A,Apuração!C:C)+1)/_xlfn.XLOOKUP(F2659,Apuração!A:A,Apuração!B:B),0)</f>
        <v>0.14285714285714285</v>
      </c>
    </row>
    <row r="2660" spans="1:71" ht="25.95" hidden="1" customHeight="1" x14ac:dyDescent="0.3">
      <c r="A2660" s="72" t="s">
        <v>44</v>
      </c>
      <c r="B2660" s="73" t="s">
        <v>44</v>
      </c>
      <c r="C2660" s="74" t="s">
        <v>214</v>
      </c>
      <c r="D2660" s="5" t="s">
        <v>213</v>
      </c>
      <c r="E2660" s="4" t="str" cm="1">
        <f t="array" ref="E2660">_xlfn.IFS(
F2660 = "A partir de Abril", "Aguardando Execução na Distribuidora",
A2660 = "CAPACITAÇÃO", "Em execução no Corporativo",
TRUE, "Em Execução na Distribuidora"
)</f>
        <v>Em Execução na Distribuidora</v>
      </c>
      <c r="F2660" s="4" t="str" cm="1">
        <f t="array" ref="F2660">_xlfn.IFS(
AG2660 &lt;&gt; "", "Jan-Dez/26",
AH2660 &lt;&gt; "", "Fev-Dez/26",
AI2660 &lt;&gt; "", "Mar-Dez/26", AJ2660 &lt;&gt; "", "Abr-Dez/26",
TRUE, "A partir de Junho"
)</f>
        <v>A partir de Junho</v>
      </c>
      <c r="G2660" s="75" t="s">
        <v>44</v>
      </c>
      <c r="H2660" s="76" t="s">
        <v>44</v>
      </c>
      <c r="I2660" s="77"/>
      <c r="J2660" s="77"/>
      <c r="K2660" s="77"/>
      <c r="L2660" s="77" t="s">
        <v>240</v>
      </c>
      <c r="M2660" s="78"/>
      <c r="N2660" s="74" t="s">
        <v>42</v>
      </c>
      <c r="O2660" s="74" t="s">
        <v>52</v>
      </c>
      <c r="P2660" s="75" t="s">
        <v>44</v>
      </c>
      <c r="Q2660" s="75" t="s">
        <v>44</v>
      </c>
      <c r="R2660" s="79" t="s">
        <v>44</v>
      </c>
      <c r="S2660" s="79" t="s">
        <v>44</v>
      </c>
      <c r="T2660" s="22"/>
      <c r="U2660" s="22"/>
      <c r="V2660" s="22"/>
      <c r="W2660" s="22"/>
      <c r="X2660" s="22"/>
      <c r="Y2660" s="22"/>
      <c r="Z2660" s="22"/>
      <c r="AA2660" s="22"/>
      <c r="AB2660" s="22"/>
      <c r="AC2660" s="22"/>
      <c r="AD2660" s="22"/>
      <c r="AE2660" s="22"/>
      <c r="AG2660" s="112"/>
      <c r="AH2660" s="112"/>
      <c r="AI2660" s="112"/>
      <c r="AJ2660" s="71"/>
      <c r="AK2660" s="71"/>
      <c r="AL2660" s="71"/>
      <c r="AM2660" s="71"/>
      <c r="AN2660" s="71"/>
      <c r="AO2660" s="71"/>
      <c r="AP2660" s="71"/>
      <c r="AQ2660" s="71"/>
      <c r="AR2660" s="71"/>
      <c r="AS2660" s="94"/>
      <c r="AT2660" s="95"/>
      <c r="AU2660" s="97"/>
      <c r="AW2660" s="84">
        <f t="shared" si="3261"/>
        <v>0</v>
      </c>
      <c r="AX2660" s="84">
        <f t="shared" si="3262"/>
        <v>0</v>
      </c>
      <c r="AY2660" s="84">
        <f t="shared" si="3263"/>
        <v>0</v>
      </c>
      <c r="AZ2660" s="84"/>
      <c r="BA2660" s="84"/>
      <c r="BB2660" s="84"/>
      <c r="BC2660" s="84"/>
      <c r="BD2660" s="84"/>
      <c r="BE2660" s="84"/>
      <c r="BF2660" s="84"/>
      <c r="BG2660" s="84"/>
      <c r="BH2660" s="84"/>
      <c r="BI2660" s="68" cm="1">
        <f t="array" ref="BI2660">IFERROR(INDEX(AW2660:BH2660,1,MATCH(2,1/(AW2660:BH2660&lt;&gt;""))),"")</f>
        <v>0</v>
      </c>
      <c r="BJ2660" s="68" cm="1">
        <f t="array" ref="BJ2660">IF(BM2660 = "", "",IFERROR(INDEX(AW2660:BH2660,1,MATCH(2,1/(AW2660:BH2660&lt;&gt;""),1)-1),""))</f>
        <v>0</v>
      </c>
      <c r="BK2660" s="57" cm="1">
        <f t="array" ref="BK2660">IFERROR(INDEX(AW2660:BH2660,1,MATCH(2,1/(AW2660:BH2660&lt;&gt;""),1)),"")</f>
        <v>0</v>
      </c>
      <c r="BL2660" s="57" cm="1">
        <f t="array" ref="BL2660">IF(BM2660 = "", "",IFERROR(INDEX(AW2660:BH2660,1,MATCH(2,1/(AW2660:BH2660&lt;&gt;""),1)-1),""))</f>
        <v>0</v>
      </c>
      <c r="BM2660" s="55" cm="1">
        <f t="array" ref="BM2660">IFERROR(
   INDEX($AW$1:$BH$1,
      _xlfn.AGGREGATE(14, 6, COLUMN($AW$1:$BH$1)/(AW2660:BH2660&lt;&gt;""), 2) - COLUMN($AW$1) + 1
   ),
"")</f>
        <v>46054</v>
      </c>
      <c r="BN2660" s="55" cm="1">
        <f t="array" ref="BN2660">IFERROR(INDEX($AW$1:$BH$1,1,MATCH(2,1/(AW2660:BH2660&lt;&gt;""))),"")</f>
        <v>46082</v>
      </c>
      <c r="BO2660" s="53">
        <f ca="1">IFERROR(_xlfn.XLOOKUP(F2660,Apuração!A:A,Apuração!C:C)/_xlfn.XLOOKUP(F2660,Apuração!A:A,Apuração!B:B),0)</f>
        <v>0</v>
      </c>
      <c r="BP2660" s="53">
        <f ca="1">IFERROR(_xlfn.XLOOKUP(F2660,Apuração!A:A,Apuração!D:D)/_xlfn.XLOOKUP(F2660,Apuração!A:A,Apuração!B:B),0)</f>
        <v>0</v>
      </c>
      <c r="BQ2660" s="53">
        <f ca="1">IF(BK2660&gt;=BO2660,0,_xlfn.XLOOKUP(F2660,Apuração!A:A,Apuração!B:B)*(BO2660 + (1/_xlfn.XLOOKUP(F2660,Apuração!A:A,Apuração!B:B)) - BK2660))</f>
        <v>0</v>
      </c>
      <c r="BR2660" s="85">
        <f t="shared" ca="1" si="3264"/>
        <v>0</v>
      </c>
      <c r="BS2660" s="53">
        <f ca="1">IFERROR((_xlfn.XLOOKUP(F2660,Apuração!A:A,Apuração!C:C)+1)/_xlfn.XLOOKUP(F2660,Apuração!A:A,Apuração!B:B),0)</f>
        <v>0.14285714285714285</v>
      </c>
    </row>
    <row r="2661" spans="1:71" ht="25.95" hidden="1" customHeight="1" x14ac:dyDescent="0.3">
      <c r="A2661" s="72" t="s">
        <v>44</v>
      </c>
      <c r="B2661" s="73" t="s">
        <v>44</v>
      </c>
      <c r="C2661" s="74" t="s">
        <v>214</v>
      </c>
      <c r="D2661" s="5" t="s">
        <v>36</v>
      </c>
      <c r="E2661" s="4" t="str" cm="1">
        <f t="array" ref="E2661">_xlfn.IFS(
F2661 = "A partir de Abril", "Aguardando Execução na Distribuidora",
A2661 = "CAPACITAÇÃO", "Em execução no Corporativo",
TRUE, "Em Execução na Distribuidora"
)</f>
        <v>Em Execução na Distribuidora</v>
      </c>
      <c r="F2661" s="4" t="str" cm="1">
        <f t="array" ref="F2661">_xlfn.IFS(
AG2661 &lt;&gt; "", "Jan-Dez/26",
AH2661 &lt;&gt; "", "Fev-Dez/26",
AI2661 &lt;&gt; "", "Mar-Dez/26", AJ2661 &lt;&gt; "", "Abr-Dez/26",
TRUE, "A partir de Junho"
)</f>
        <v>A partir de Junho</v>
      </c>
      <c r="G2661" s="75" t="s">
        <v>44</v>
      </c>
      <c r="H2661" s="76" t="s">
        <v>44</v>
      </c>
      <c r="I2661" s="77"/>
      <c r="J2661" s="77"/>
      <c r="K2661" s="77"/>
      <c r="L2661" s="77" t="s">
        <v>241</v>
      </c>
      <c r="M2661" s="78"/>
      <c r="N2661" s="74" t="s">
        <v>42</v>
      </c>
      <c r="O2661" s="74" t="s">
        <v>52</v>
      </c>
      <c r="P2661" s="75" t="s">
        <v>44</v>
      </c>
      <c r="Q2661" s="75" t="s">
        <v>44</v>
      </c>
      <c r="R2661" s="79" t="s">
        <v>44</v>
      </c>
      <c r="S2661" s="79" t="s">
        <v>44</v>
      </c>
      <c r="T2661" s="22"/>
      <c r="U2661" s="22"/>
      <c r="V2661" s="22"/>
      <c r="W2661" s="22"/>
      <c r="X2661" s="22"/>
      <c r="Y2661" s="22"/>
      <c r="Z2661" s="22"/>
      <c r="AA2661" s="22"/>
      <c r="AB2661" s="22"/>
      <c r="AC2661" s="22"/>
      <c r="AD2661" s="22"/>
      <c r="AE2661" s="22"/>
      <c r="AG2661" s="112"/>
      <c r="AH2661" s="112"/>
      <c r="AI2661" s="112"/>
      <c r="AJ2661" s="112"/>
      <c r="AK2661" s="112"/>
      <c r="AL2661" s="112"/>
      <c r="AM2661" s="112"/>
      <c r="AN2661" s="112"/>
      <c r="AO2661" s="112"/>
      <c r="AP2661" s="112"/>
      <c r="AQ2661" s="112"/>
      <c r="AR2661" s="112"/>
      <c r="AS2661" s="94"/>
      <c r="AT2661" s="95"/>
      <c r="AU2661" s="97"/>
      <c r="AW2661" s="84">
        <f>AG2661</f>
        <v>0</v>
      </c>
      <c r="AX2661" s="84">
        <f t="shared" si="3262"/>
        <v>0</v>
      </c>
      <c r="AY2661" s="84">
        <f t="shared" si="3263"/>
        <v>0</v>
      </c>
      <c r="AZ2661" s="84">
        <f t="shared" ref="AZ2661" si="3265">AJ2661</f>
        <v>0</v>
      </c>
      <c r="BA2661" s="84"/>
      <c r="BB2661" s="84"/>
      <c r="BC2661" s="84"/>
      <c r="BD2661" s="84"/>
      <c r="BE2661" s="84"/>
      <c r="BF2661" s="84"/>
      <c r="BG2661" s="84"/>
      <c r="BH2661" s="84"/>
      <c r="BI2661" s="68" cm="1">
        <f t="array" ref="BI2661">IFERROR(INDEX(AW2661:BH2661,1,MATCH(2,1/(AW2661:BH2661&lt;&gt;""))),"")</f>
        <v>0</v>
      </c>
      <c r="BJ2661" s="68" cm="1">
        <f t="array" ref="BJ2661">IF(BM2661 = "", "",IFERROR(INDEX(AW2661:BH2661,1,MATCH(2,1/(AW2661:BH2661&lt;&gt;""),1)-1),""))</f>
        <v>0</v>
      </c>
      <c r="BK2661" s="57" cm="1">
        <f t="array" ref="BK2661">IFERROR(INDEX(AW2661:BH2661,1,MATCH(2,1/(AW2661:BH2661&lt;&gt;""),1)),"")</f>
        <v>0</v>
      </c>
      <c r="BL2661" s="57" cm="1">
        <f t="array" ref="BL2661">IF(BM2661 = "", "",IFERROR(INDEX(AW2661:BH2661,1,MATCH(2,1/(AW2661:BH2661&lt;&gt;""),1)-1),""))</f>
        <v>0</v>
      </c>
      <c r="BM2661" s="55" cm="1">
        <f t="array" ref="BM2661">IFERROR(
   INDEX($AW$1:$BH$1,
      _xlfn.AGGREGATE(14, 6, COLUMN($AW$1:$BH$1)/(AW2661:BH2661&lt;&gt;""), 2) - COLUMN($AW$1) + 1
   ),
"")</f>
        <v>46082</v>
      </c>
      <c r="BN2661" s="55" cm="1">
        <f t="array" ref="BN2661">IFERROR(INDEX($AW$1:$BH$1,1,MATCH(2,1/(AW2661:BH2661&lt;&gt;""))),"")</f>
        <v>46113</v>
      </c>
      <c r="BO2661" s="53">
        <f ca="1">IFERROR(_xlfn.XLOOKUP(F2661,Apuração!A:A,Apuração!C:C)/_xlfn.XLOOKUP(F2661,Apuração!A:A,Apuração!B:B),0)</f>
        <v>0</v>
      </c>
      <c r="BP2661" s="53">
        <f ca="1">IFERROR(_xlfn.XLOOKUP(F2661,Apuração!A:A,Apuração!D:D)/_xlfn.XLOOKUP(F2661,Apuração!A:A,Apuração!B:B),0)</f>
        <v>0</v>
      </c>
      <c r="BQ2661" s="53">
        <f ca="1">IF(BK2661&gt;=BO2661,0,_xlfn.XLOOKUP(F2661,Apuração!A:A,Apuração!B:B)*(BO2661 + (1/_xlfn.XLOOKUP(F2661,Apuração!A:A,Apuração!B:B)) - BK2661))</f>
        <v>0</v>
      </c>
      <c r="BR2661" s="85">
        <f ca="1">IF(BQ2661=0,0,BQ2661*Z2661)</f>
        <v>0</v>
      </c>
      <c r="BS2661" s="53">
        <f ca="1">IFERROR((_xlfn.XLOOKUP(F2661,Apuração!A:A,Apuração!C:C)+1)/_xlfn.XLOOKUP(F2661,Apuração!A:A,Apuração!B:B),0)</f>
        <v>0.14285714285714285</v>
      </c>
    </row>
    <row r="2662" spans="1:71" ht="25.95" hidden="1" customHeight="1" x14ac:dyDescent="0.3">
      <c r="A2662" s="72" t="s">
        <v>44</v>
      </c>
      <c r="B2662" s="73" t="s">
        <v>44</v>
      </c>
      <c r="C2662" s="74" t="s">
        <v>216</v>
      </c>
      <c r="D2662" s="5" t="s">
        <v>217</v>
      </c>
      <c r="E2662" s="4" t="str" cm="1">
        <f t="array" ref="E2662">_xlfn.IFS(
F2662 = "A partir de Abril", "Aguardando Execução na Distribuidora",
A2662 = "CAPACITAÇÃO", "Em execução no Corporativo",
TRUE, "Em Execução na Distribuidora"
)</f>
        <v>Em Execução na Distribuidora</v>
      </c>
      <c r="F2662" s="4" t="str" cm="1">
        <f t="array" ref="F2662">_xlfn.IFS(
AG2662 &lt;&gt; "", "Jan-Dez/26",
AH2662 &lt;&gt; "", "Fev-Dez/26",
AI2662 &lt;&gt; "", "Mar-Dez/26", AJ2662 &lt;&gt; "", "Abr-Dez/26",
TRUE, "A partir de Junho"
)</f>
        <v>A partir de Junho</v>
      </c>
      <c r="G2662" s="75" t="s">
        <v>44</v>
      </c>
      <c r="H2662" s="76" t="s">
        <v>44</v>
      </c>
      <c r="I2662" s="77"/>
      <c r="J2662" s="77"/>
      <c r="K2662" s="77"/>
      <c r="L2662" s="77" t="s">
        <v>240</v>
      </c>
      <c r="M2662" s="78"/>
      <c r="N2662" s="74" t="s">
        <v>42</v>
      </c>
      <c r="O2662" s="74" t="s">
        <v>52</v>
      </c>
      <c r="P2662" s="75" t="s">
        <v>44</v>
      </c>
      <c r="Q2662" s="75" t="s">
        <v>44</v>
      </c>
      <c r="R2662" s="79" t="s">
        <v>44</v>
      </c>
      <c r="S2662" s="79" t="s">
        <v>44</v>
      </c>
      <c r="T2662" s="22"/>
      <c r="U2662" s="22"/>
      <c r="V2662" s="22"/>
      <c r="W2662" s="22"/>
      <c r="X2662" s="22"/>
      <c r="Y2662" s="22"/>
      <c r="Z2662" s="22"/>
      <c r="AA2662" s="22"/>
      <c r="AB2662" s="22"/>
      <c r="AC2662" s="22"/>
      <c r="AD2662" s="22"/>
      <c r="AE2662" s="22"/>
      <c r="AG2662" s="112"/>
      <c r="AH2662" s="112"/>
      <c r="AI2662" s="112"/>
      <c r="AJ2662" s="71"/>
      <c r="AK2662" s="71"/>
      <c r="AL2662" s="71"/>
      <c r="AM2662" s="71"/>
      <c r="AN2662" s="71"/>
      <c r="AO2662" s="71"/>
      <c r="AP2662" s="71"/>
      <c r="AQ2662" s="71"/>
      <c r="AR2662" s="71"/>
      <c r="AS2662" s="94"/>
      <c r="AT2662" s="95"/>
      <c r="AU2662" s="97"/>
      <c r="AW2662" s="84">
        <f t="shared" ref="AW2662:AW2665" si="3266">AG2662</f>
        <v>0</v>
      </c>
      <c r="AX2662" s="84">
        <f t="shared" ref="AX2662:AX2666" si="3267">AH2662</f>
        <v>0</v>
      </c>
      <c r="AY2662" s="84">
        <f t="shared" ref="AY2662:AY2666" si="3268">AI2662</f>
        <v>0</v>
      </c>
      <c r="AZ2662" s="84"/>
      <c r="BA2662" s="84"/>
      <c r="BB2662" s="84"/>
      <c r="BC2662" s="84"/>
      <c r="BD2662" s="84"/>
      <c r="BE2662" s="84"/>
      <c r="BF2662" s="84"/>
      <c r="BG2662" s="84"/>
      <c r="BH2662" s="84"/>
      <c r="BI2662" s="68" cm="1">
        <f t="array" ref="BI2662">IFERROR(INDEX(AW2662:BH2662,1,MATCH(2,1/(AW2662:BH2662&lt;&gt;""))),"")</f>
        <v>0</v>
      </c>
      <c r="BJ2662" s="68" cm="1">
        <f t="array" ref="BJ2662">IF(BM2662 = "", "",IFERROR(INDEX(AW2662:BH2662,1,MATCH(2,1/(AW2662:BH2662&lt;&gt;""),1)-1),""))</f>
        <v>0</v>
      </c>
      <c r="BK2662" s="57" cm="1">
        <f t="array" ref="BK2662">IFERROR(INDEX(AW2662:BH2662,1,MATCH(2,1/(AW2662:BH2662&lt;&gt;""),1)),"")</f>
        <v>0</v>
      </c>
      <c r="BL2662" s="57" cm="1">
        <f t="array" ref="BL2662">IF(BM2662 = "", "",IFERROR(INDEX(AW2662:BH2662,1,MATCH(2,1/(AW2662:BH2662&lt;&gt;""),1)-1),""))</f>
        <v>0</v>
      </c>
      <c r="BM2662" s="55" cm="1">
        <f t="array" ref="BM2662">IFERROR(
   INDEX($AW$1:$BH$1,
      _xlfn.AGGREGATE(14, 6, COLUMN($AW$1:$BH$1)/(AW2662:BH2662&lt;&gt;""), 2) - COLUMN($AW$1) + 1
   ),
"")</f>
        <v>46054</v>
      </c>
      <c r="BN2662" s="55" cm="1">
        <f t="array" ref="BN2662">IFERROR(INDEX($AW$1:$BH$1,1,MATCH(2,1/(AW2662:BH2662&lt;&gt;""))),"")</f>
        <v>46082</v>
      </c>
      <c r="BO2662" s="53">
        <f ca="1">IFERROR(_xlfn.XLOOKUP(F2662,Apuração!A:A,Apuração!C:C)/_xlfn.XLOOKUP(F2662,Apuração!A:A,Apuração!B:B),0)</f>
        <v>0</v>
      </c>
      <c r="BP2662" s="53">
        <f ca="1">IFERROR(_xlfn.XLOOKUP(F2662,Apuração!A:A,Apuração!D:D)/_xlfn.XLOOKUP(F2662,Apuração!A:A,Apuração!B:B),0)</f>
        <v>0</v>
      </c>
      <c r="BQ2662" s="53">
        <f ca="1">IF(BK2662&gt;=BO2662,0,_xlfn.XLOOKUP(F2662,Apuração!A:A,Apuração!B:B)*(BO2662 + (1/_xlfn.XLOOKUP(F2662,Apuração!A:A,Apuração!B:B)) - BK2662))</f>
        <v>0</v>
      </c>
      <c r="BR2662" s="85">
        <f t="shared" ref="BR2662:BR2665" ca="1" si="3269">IF(BQ2662=0,0,BQ2662*Z2662)</f>
        <v>0</v>
      </c>
      <c r="BS2662" s="53">
        <f ca="1">IFERROR((_xlfn.XLOOKUP(F2662,Apuração!A:A,Apuração!C:C)+1)/_xlfn.XLOOKUP(F2662,Apuração!A:A,Apuração!B:B),0)</f>
        <v>0.14285714285714285</v>
      </c>
    </row>
    <row r="2663" spans="1:71" ht="25.95" hidden="1" customHeight="1" x14ac:dyDescent="0.3">
      <c r="A2663" s="72" t="s">
        <v>44</v>
      </c>
      <c r="B2663" s="73" t="s">
        <v>44</v>
      </c>
      <c r="C2663" s="74" t="s">
        <v>216</v>
      </c>
      <c r="D2663" s="5" t="s">
        <v>103</v>
      </c>
      <c r="E2663" s="4" t="str" cm="1">
        <f t="array" ref="E2663">_xlfn.IFS(
F2663 = "A partir de Abril", "Aguardando Execução na Distribuidora",
A2663 = "CAPACITAÇÃO", "Em execução no Corporativo",
TRUE, "Em Execução na Distribuidora"
)</f>
        <v>Em Execução na Distribuidora</v>
      </c>
      <c r="F2663" s="4" t="str" cm="1">
        <f t="array" ref="F2663">_xlfn.IFS(
AG2663 &lt;&gt; "", "Jan-Dez/26",
AH2663 &lt;&gt; "", "Fev-Dez/26",
AI2663 &lt;&gt; "", "Mar-Dez/26", AJ2663 &lt;&gt; "", "Abr-Dez/26",
TRUE, "A partir de Junho"
)</f>
        <v>A partir de Junho</v>
      </c>
      <c r="G2663" s="75" t="s">
        <v>44</v>
      </c>
      <c r="H2663" s="76" t="s">
        <v>44</v>
      </c>
      <c r="I2663" s="77"/>
      <c r="J2663" s="77"/>
      <c r="K2663" s="77"/>
      <c r="L2663" s="77" t="s">
        <v>240</v>
      </c>
      <c r="M2663" s="78"/>
      <c r="N2663" s="74" t="s">
        <v>42</v>
      </c>
      <c r="O2663" s="74" t="s">
        <v>52</v>
      </c>
      <c r="P2663" s="75" t="s">
        <v>44</v>
      </c>
      <c r="Q2663" s="75" t="s">
        <v>44</v>
      </c>
      <c r="R2663" s="79" t="s">
        <v>44</v>
      </c>
      <c r="S2663" s="79" t="s">
        <v>44</v>
      </c>
      <c r="T2663" s="22"/>
      <c r="U2663" s="22"/>
      <c r="V2663" s="22"/>
      <c r="W2663" s="22"/>
      <c r="X2663" s="22"/>
      <c r="Y2663" s="22"/>
      <c r="Z2663" s="22"/>
      <c r="AA2663" s="22"/>
      <c r="AB2663" s="22"/>
      <c r="AC2663" s="22"/>
      <c r="AD2663" s="22"/>
      <c r="AE2663" s="22"/>
      <c r="AG2663" s="112"/>
      <c r="AH2663" s="112"/>
      <c r="AI2663" s="112"/>
      <c r="AJ2663" s="71"/>
      <c r="AK2663" s="71"/>
      <c r="AL2663" s="71"/>
      <c r="AM2663" s="71"/>
      <c r="AN2663" s="71"/>
      <c r="AO2663" s="71"/>
      <c r="AP2663" s="71"/>
      <c r="AQ2663" s="71"/>
      <c r="AR2663" s="71"/>
      <c r="AS2663" s="94"/>
      <c r="AT2663" s="95"/>
      <c r="AU2663" s="97"/>
      <c r="AW2663" s="84">
        <f t="shared" si="3266"/>
        <v>0</v>
      </c>
      <c r="AX2663" s="84">
        <f t="shared" si="3267"/>
        <v>0</v>
      </c>
      <c r="AY2663" s="84">
        <f t="shared" si="3268"/>
        <v>0</v>
      </c>
      <c r="AZ2663" s="84"/>
      <c r="BA2663" s="84"/>
      <c r="BB2663" s="84"/>
      <c r="BC2663" s="84"/>
      <c r="BD2663" s="84"/>
      <c r="BE2663" s="84"/>
      <c r="BF2663" s="84"/>
      <c r="BG2663" s="84"/>
      <c r="BH2663" s="84"/>
      <c r="BI2663" s="68" cm="1">
        <f t="array" ref="BI2663">IFERROR(INDEX(AW2663:BH2663,1,MATCH(2,1/(AW2663:BH2663&lt;&gt;""))),"")</f>
        <v>0</v>
      </c>
      <c r="BJ2663" s="68" cm="1">
        <f t="array" ref="BJ2663">IF(BM2663 = "", "",IFERROR(INDEX(AW2663:BH2663,1,MATCH(2,1/(AW2663:BH2663&lt;&gt;""),1)-1),""))</f>
        <v>0</v>
      </c>
      <c r="BK2663" s="57" cm="1">
        <f t="array" ref="BK2663">IFERROR(INDEX(AW2663:BH2663,1,MATCH(2,1/(AW2663:BH2663&lt;&gt;""),1)),"")</f>
        <v>0</v>
      </c>
      <c r="BL2663" s="57" cm="1">
        <f t="array" ref="BL2663">IF(BM2663 = "", "",IFERROR(INDEX(AW2663:BH2663,1,MATCH(2,1/(AW2663:BH2663&lt;&gt;""),1)-1),""))</f>
        <v>0</v>
      </c>
      <c r="BM2663" s="55" cm="1">
        <f t="array" ref="BM2663">IFERROR(
   INDEX($AW$1:$BH$1,
      _xlfn.AGGREGATE(14, 6, COLUMN($AW$1:$BH$1)/(AW2663:BH2663&lt;&gt;""), 2) - COLUMN($AW$1) + 1
   ),
"")</f>
        <v>46054</v>
      </c>
      <c r="BN2663" s="55" cm="1">
        <f t="array" ref="BN2663">IFERROR(INDEX($AW$1:$BH$1,1,MATCH(2,1/(AW2663:BH2663&lt;&gt;""))),"")</f>
        <v>46082</v>
      </c>
      <c r="BO2663" s="53">
        <f ca="1">IFERROR(_xlfn.XLOOKUP(F2663,Apuração!A:A,Apuração!C:C)/_xlfn.XLOOKUP(F2663,Apuração!A:A,Apuração!B:B),0)</f>
        <v>0</v>
      </c>
      <c r="BP2663" s="53">
        <f ca="1">IFERROR(_xlfn.XLOOKUP(F2663,Apuração!A:A,Apuração!D:D)/_xlfn.XLOOKUP(F2663,Apuração!A:A,Apuração!B:B),0)</f>
        <v>0</v>
      </c>
      <c r="BQ2663" s="53">
        <f ca="1">IF(BK2663&gt;=BO2663,0,_xlfn.XLOOKUP(F2663,Apuração!A:A,Apuração!B:B)*(BO2663 + (1/_xlfn.XLOOKUP(F2663,Apuração!A:A,Apuração!B:B)) - BK2663))</f>
        <v>0</v>
      </c>
      <c r="BR2663" s="85">
        <f t="shared" ca="1" si="3269"/>
        <v>0</v>
      </c>
      <c r="BS2663" s="53">
        <f ca="1">IFERROR((_xlfn.XLOOKUP(F2663,Apuração!A:A,Apuração!C:C)+1)/_xlfn.XLOOKUP(F2663,Apuração!A:A,Apuração!B:B),0)</f>
        <v>0.14285714285714285</v>
      </c>
    </row>
    <row r="2664" spans="1:71" ht="25.95" hidden="1" customHeight="1" x14ac:dyDescent="0.3">
      <c r="A2664" s="72" t="s">
        <v>44</v>
      </c>
      <c r="B2664" s="73" t="s">
        <v>44</v>
      </c>
      <c r="C2664" s="74" t="s">
        <v>216</v>
      </c>
      <c r="D2664" s="5" t="s">
        <v>218</v>
      </c>
      <c r="E2664" s="4" t="str" cm="1">
        <f t="array" ref="E2664">_xlfn.IFS(
F2664 = "A partir de Abril", "Aguardando Execução na Distribuidora",
A2664 = "CAPACITAÇÃO", "Em execução no Corporativo",
TRUE, "Em Execução na Distribuidora"
)</f>
        <v>Em Execução na Distribuidora</v>
      </c>
      <c r="F2664" s="4" t="str" cm="1">
        <f t="array" ref="F2664">_xlfn.IFS(
AG2664 &lt;&gt; "", "Jan-Dez/26",
AH2664 &lt;&gt; "", "Fev-Dez/26",
AI2664 &lt;&gt; "", "Mar-Dez/26", AJ2664 &lt;&gt; "", "Abr-Dez/26",
TRUE, "A partir de Junho"
)</f>
        <v>A partir de Junho</v>
      </c>
      <c r="G2664" s="75" t="s">
        <v>44</v>
      </c>
      <c r="H2664" s="76" t="s">
        <v>44</v>
      </c>
      <c r="I2664" s="77"/>
      <c r="J2664" s="77"/>
      <c r="K2664" s="77"/>
      <c r="L2664" s="77" t="s">
        <v>240</v>
      </c>
      <c r="M2664" s="78"/>
      <c r="N2664" s="74" t="s">
        <v>42</v>
      </c>
      <c r="O2664" s="74" t="s">
        <v>52</v>
      </c>
      <c r="P2664" s="75" t="s">
        <v>44</v>
      </c>
      <c r="Q2664" s="75" t="s">
        <v>44</v>
      </c>
      <c r="R2664" s="79" t="s">
        <v>44</v>
      </c>
      <c r="S2664" s="79" t="s">
        <v>44</v>
      </c>
      <c r="T2664" s="22"/>
      <c r="U2664" s="22"/>
      <c r="V2664" s="22"/>
      <c r="W2664" s="22"/>
      <c r="X2664" s="22"/>
      <c r="Y2664" s="22"/>
      <c r="Z2664" s="22"/>
      <c r="AA2664" s="22"/>
      <c r="AB2664" s="22"/>
      <c r="AC2664" s="22"/>
      <c r="AD2664" s="22"/>
      <c r="AE2664" s="22"/>
      <c r="AG2664" s="112"/>
      <c r="AH2664" s="112"/>
      <c r="AI2664" s="112"/>
      <c r="AJ2664" s="71"/>
      <c r="AK2664" s="71"/>
      <c r="AL2664" s="71"/>
      <c r="AM2664" s="71"/>
      <c r="AN2664" s="71"/>
      <c r="AO2664" s="71"/>
      <c r="AP2664" s="71"/>
      <c r="AQ2664" s="71"/>
      <c r="AR2664" s="71"/>
      <c r="AS2664" s="94"/>
      <c r="AT2664" s="95"/>
      <c r="AU2664" s="97"/>
      <c r="AW2664" s="84">
        <f t="shared" si="3266"/>
        <v>0</v>
      </c>
      <c r="AX2664" s="84">
        <f t="shared" si="3267"/>
        <v>0</v>
      </c>
      <c r="AY2664" s="84">
        <f t="shared" si="3268"/>
        <v>0</v>
      </c>
      <c r="AZ2664" s="84"/>
      <c r="BA2664" s="84"/>
      <c r="BB2664" s="84"/>
      <c r="BC2664" s="84"/>
      <c r="BD2664" s="84"/>
      <c r="BE2664" s="84"/>
      <c r="BF2664" s="84"/>
      <c r="BG2664" s="84"/>
      <c r="BH2664" s="84"/>
      <c r="BI2664" s="68" cm="1">
        <f t="array" ref="BI2664">IFERROR(INDEX(AW2664:BH2664,1,MATCH(2,1/(AW2664:BH2664&lt;&gt;""))),"")</f>
        <v>0</v>
      </c>
      <c r="BJ2664" s="68" cm="1">
        <f t="array" ref="BJ2664">IF(BM2664 = "", "",IFERROR(INDEX(AW2664:BH2664,1,MATCH(2,1/(AW2664:BH2664&lt;&gt;""),1)-1),""))</f>
        <v>0</v>
      </c>
      <c r="BK2664" s="57" cm="1">
        <f t="array" ref="BK2664">IFERROR(INDEX(AW2664:BH2664,1,MATCH(2,1/(AW2664:BH2664&lt;&gt;""),1)),"")</f>
        <v>0</v>
      </c>
      <c r="BL2664" s="57" cm="1">
        <f t="array" ref="BL2664">IF(BM2664 = "", "",IFERROR(INDEX(AW2664:BH2664,1,MATCH(2,1/(AW2664:BH2664&lt;&gt;""),1)-1),""))</f>
        <v>0</v>
      </c>
      <c r="BM2664" s="55" cm="1">
        <f t="array" ref="BM2664">IFERROR(
   INDEX($AW$1:$BH$1,
      _xlfn.AGGREGATE(14, 6, COLUMN($AW$1:$BH$1)/(AW2664:BH2664&lt;&gt;""), 2) - COLUMN($AW$1) + 1
   ),
"")</f>
        <v>46054</v>
      </c>
      <c r="BN2664" s="55" cm="1">
        <f t="array" ref="BN2664">IFERROR(INDEX($AW$1:$BH$1,1,MATCH(2,1/(AW2664:BH2664&lt;&gt;""))),"")</f>
        <v>46082</v>
      </c>
      <c r="BO2664" s="53">
        <f ca="1">IFERROR(_xlfn.XLOOKUP(F2664,Apuração!A:A,Apuração!C:C)/_xlfn.XLOOKUP(F2664,Apuração!A:A,Apuração!B:B),0)</f>
        <v>0</v>
      </c>
      <c r="BP2664" s="53">
        <f ca="1">IFERROR(_xlfn.XLOOKUP(F2664,Apuração!A:A,Apuração!D:D)/_xlfn.XLOOKUP(F2664,Apuração!A:A,Apuração!B:B),0)</f>
        <v>0</v>
      </c>
      <c r="BQ2664" s="53">
        <f ca="1">IF(BK2664&gt;=BO2664,0,_xlfn.XLOOKUP(F2664,Apuração!A:A,Apuração!B:B)*(BO2664 + (1/_xlfn.XLOOKUP(F2664,Apuração!A:A,Apuração!B:B)) - BK2664))</f>
        <v>0</v>
      </c>
      <c r="BR2664" s="85">
        <f t="shared" ca="1" si="3269"/>
        <v>0</v>
      </c>
      <c r="BS2664" s="53">
        <f ca="1">IFERROR((_xlfn.XLOOKUP(F2664,Apuração!A:A,Apuração!C:C)+1)/_xlfn.XLOOKUP(F2664,Apuração!A:A,Apuração!B:B),0)</f>
        <v>0.14285714285714285</v>
      </c>
    </row>
    <row r="2665" spans="1:71" ht="25.95" hidden="1" customHeight="1" x14ac:dyDescent="0.3">
      <c r="A2665" s="72" t="s">
        <v>44</v>
      </c>
      <c r="B2665" s="73" t="s">
        <v>44</v>
      </c>
      <c r="C2665" s="74" t="s">
        <v>216</v>
      </c>
      <c r="D2665" s="5" t="s">
        <v>219</v>
      </c>
      <c r="E2665" s="4" t="str" cm="1">
        <f t="array" ref="E2665">_xlfn.IFS(
F2665 = "A partir de Abril", "Aguardando Execução na Distribuidora",
A2665 = "CAPACITAÇÃO", "Em execução no Corporativo",
TRUE, "Em Execução na Distribuidora"
)</f>
        <v>Em Execução na Distribuidora</v>
      </c>
      <c r="F2665" s="4" t="str" cm="1">
        <f t="array" ref="F2665">_xlfn.IFS(
AG2665 &lt;&gt; "", "Jan-Dez/26",
AH2665 &lt;&gt; "", "Fev-Dez/26",
AI2665 &lt;&gt; "", "Mar-Dez/26", AJ2665 &lt;&gt; "", "Abr-Dez/26",
TRUE, "A partir de Junho"
)</f>
        <v>A partir de Junho</v>
      </c>
      <c r="G2665" s="75" t="s">
        <v>44</v>
      </c>
      <c r="H2665" s="76" t="s">
        <v>44</v>
      </c>
      <c r="I2665" s="77"/>
      <c r="J2665" s="77"/>
      <c r="K2665" s="77"/>
      <c r="L2665" s="77" t="s">
        <v>240</v>
      </c>
      <c r="M2665" s="78"/>
      <c r="N2665" s="74" t="s">
        <v>42</v>
      </c>
      <c r="O2665" s="74" t="s">
        <v>52</v>
      </c>
      <c r="P2665" s="75" t="s">
        <v>44</v>
      </c>
      <c r="Q2665" s="75" t="s">
        <v>44</v>
      </c>
      <c r="R2665" s="79" t="s">
        <v>44</v>
      </c>
      <c r="S2665" s="79" t="s">
        <v>44</v>
      </c>
      <c r="T2665" s="22"/>
      <c r="U2665" s="22"/>
      <c r="V2665" s="22"/>
      <c r="W2665" s="22"/>
      <c r="X2665" s="22"/>
      <c r="Y2665" s="22"/>
      <c r="Z2665" s="22"/>
      <c r="AA2665" s="22"/>
      <c r="AB2665" s="22"/>
      <c r="AC2665" s="22"/>
      <c r="AD2665" s="22"/>
      <c r="AE2665" s="22"/>
      <c r="AG2665" s="112"/>
      <c r="AH2665" s="112"/>
      <c r="AI2665" s="112"/>
      <c r="AJ2665" s="71"/>
      <c r="AK2665" s="71"/>
      <c r="AL2665" s="71"/>
      <c r="AM2665" s="71"/>
      <c r="AN2665" s="71"/>
      <c r="AO2665" s="71"/>
      <c r="AP2665" s="71"/>
      <c r="AQ2665" s="71"/>
      <c r="AR2665" s="71"/>
      <c r="AS2665" s="94"/>
      <c r="AT2665" s="95"/>
      <c r="AU2665" s="97"/>
      <c r="AW2665" s="84">
        <f t="shared" si="3266"/>
        <v>0</v>
      </c>
      <c r="AX2665" s="84">
        <f t="shared" si="3267"/>
        <v>0</v>
      </c>
      <c r="AY2665" s="84">
        <f t="shared" si="3268"/>
        <v>0</v>
      </c>
      <c r="AZ2665" s="84"/>
      <c r="BA2665" s="84"/>
      <c r="BB2665" s="84"/>
      <c r="BC2665" s="84"/>
      <c r="BD2665" s="84"/>
      <c r="BE2665" s="84"/>
      <c r="BF2665" s="84"/>
      <c r="BG2665" s="84"/>
      <c r="BH2665" s="84"/>
      <c r="BI2665" s="68" cm="1">
        <f t="array" ref="BI2665">IFERROR(INDEX(AW2665:BH2665,1,MATCH(2,1/(AW2665:BH2665&lt;&gt;""))),"")</f>
        <v>0</v>
      </c>
      <c r="BJ2665" s="68" cm="1">
        <f t="array" ref="BJ2665">IF(BM2665 = "", "",IFERROR(INDEX(AW2665:BH2665,1,MATCH(2,1/(AW2665:BH2665&lt;&gt;""),1)-1),""))</f>
        <v>0</v>
      </c>
      <c r="BK2665" s="57" cm="1">
        <f t="array" ref="BK2665">IFERROR(INDEX(AW2665:BH2665,1,MATCH(2,1/(AW2665:BH2665&lt;&gt;""),1)),"")</f>
        <v>0</v>
      </c>
      <c r="BL2665" s="57" cm="1">
        <f t="array" ref="BL2665">IF(BM2665 = "", "",IFERROR(INDEX(AW2665:BH2665,1,MATCH(2,1/(AW2665:BH2665&lt;&gt;""),1)-1),""))</f>
        <v>0</v>
      </c>
      <c r="BM2665" s="55" cm="1">
        <f t="array" ref="BM2665">IFERROR(
   INDEX($AW$1:$BH$1,
      _xlfn.AGGREGATE(14, 6, COLUMN($AW$1:$BH$1)/(AW2665:BH2665&lt;&gt;""), 2) - COLUMN($AW$1) + 1
   ),
"")</f>
        <v>46054</v>
      </c>
      <c r="BN2665" s="55" cm="1">
        <f t="array" ref="BN2665">IFERROR(INDEX($AW$1:$BH$1,1,MATCH(2,1/(AW2665:BH2665&lt;&gt;""))),"")</f>
        <v>46082</v>
      </c>
      <c r="BO2665" s="53">
        <f ca="1">IFERROR(_xlfn.XLOOKUP(F2665,Apuração!A:A,Apuração!C:C)/_xlfn.XLOOKUP(F2665,Apuração!A:A,Apuração!B:B),0)</f>
        <v>0</v>
      </c>
      <c r="BP2665" s="53">
        <f ca="1">IFERROR(_xlfn.XLOOKUP(F2665,Apuração!A:A,Apuração!D:D)/_xlfn.XLOOKUP(F2665,Apuração!A:A,Apuração!B:B),0)</f>
        <v>0</v>
      </c>
      <c r="BQ2665" s="53">
        <f ca="1">IF(BK2665&gt;=BO2665,0,_xlfn.XLOOKUP(F2665,Apuração!A:A,Apuração!B:B)*(BO2665 + (1/_xlfn.XLOOKUP(F2665,Apuração!A:A,Apuração!B:B)) - BK2665))</f>
        <v>0</v>
      </c>
      <c r="BR2665" s="85">
        <f t="shared" ca="1" si="3269"/>
        <v>0</v>
      </c>
      <c r="BS2665" s="53">
        <f ca="1">IFERROR((_xlfn.XLOOKUP(F2665,Apuração!A:A,Apuração!C:C)+1)/_xlfn.XLOOKUP(F2665,Apuração!A:A,Apuração!B:B),0)</f>
        <v>0.14285714285714285</v>
      </c>
    </row>
    <row r="2666" spans="1:71" ht="25.95" hidden="1" customHeight="1" x14ac:dyDescent="0.3">
      <c r="A2666" s="72" t="s">
        <v>44</v>
      </c>
      <c r="B2666" s="73" t="s">
        <v>44</v>
      </c>
      <c r="C2666" s="74" t="s">
        <v>216</v>
      </c>
      <c r="D2666" s="5" t="s">
        <v>36</v>
      </c>
      <c r="E2666" s="4" t="str" cm="1">
        <f t="array" ref="E2666">_xlfn.IFS(
F2666 = "A partir de Abril", "Aguardando Execução na Distribuidora",
A2666 = "CAPACITAÇÃO", "Em execução no Corporativo",
TRUE, "Em Execução na Distribuidora"
)</f>
        <v>Em Execução na Distribuidora</v>
      </c>
      <c r="F2666" s="4" t="str" cm="1">
        <f t="array" ref="F2666">_xlfn.IFS(
AG2666 &lt;&gt; "", "Jan-Dez/26",
AH2666 &lt;&gt; "", "Fev-Dez/26",
AI2666 &lt;&gt; "", "Mar-Dez/26", AJ2666 &lt;&gt; "", "Abr-Dez/26",
TRUE, "A partir de Junho"
)</f>
        <v>A partir de Junho</v>
      </c>
      <c r="G2666" s="75" t="s">
        <v>44</v>
      </c>
      <c r="H2666" s="76" t="s">
        <v>44</v>
      </c>
      <c r="I2666" s="77"/>
      <c r="J2666" s="77"/>
      <c r="K2666" s="77"/>
      <c r="L2666" s="77" t="s">
        <v>241</v>
      </c>
      <c r="M2666" s="78"/>
      <c r="N2666" s="74" t="s">
        <v>42</v>
      </c>
      <c r="O2666" s="74" t="s">
        <v>52</v>
      </c>
      <c r="P2666" s="75" t="s">
        <v>44</v>
      </c>
      <c r="Q2666" s="75" t="s">
        <v>44</v>
      </c>
      <c r="R2666" s="79" t="s">
        <v>44</v>
      </c>
      <c r="S2666" s="79" t="s">
        <v>44</v>
      </c>
      <c r="T2666" s="22"/>
      <c r="U2666" s="22"/>
      <c r="V2666" s="22"/>
      <c r="W2666" s="22"/>
      <c r="X2666" s="22"/>
      <c r="Y2666" s="22"/>
      <c r="Z2666" s="22"/>
      <c r="AA2666" s="22"/>
      <c r="AB2666" s="22"/>
      <c r="AC2666" s="22"/>
      <c r="AD2666" s="22"/>
      <c r="AE2666" s="22"/>
      <c r="AG2666" s="112"/>
      <c r="AH2666" s="112"/>
      <c r="AI2666" s="112"/>
      <c r="AJ2666" s="112"/>
      <c r="AK2666" s="112"/>
      <c r="AL2666" s="112"/>
      <c r="AM2666" s="112"/>
      <c r="AN2666" s="112"/>
      <c r="AO2666" s="112"/>
      <c r="AP2666" s="112"/>
      <c r="AQ2666" s="112"/>
      <c r="AR2666" s="112"/>
      <c r="AS2666" s="94"/>
      <c r="AT2666" s="95"/>
      <c r="AU2666" s="97"/>
      <c r="AW2666" s="84">
        <f>AG2666</f>
        <v>0</v>
      </c>
      <c r="AX2666" s="84">
        <f t="shared" si="3267"/>
        <v>0</v>
      </c>
      <c r="AY2666" s="84">
        <f t="shared" si="3268"/>
        <v>0</v>
      </c>
      <c r="AZ2666" s="84">
        <f t="shared" ref="AZ2666" si="3270">AJ2666</f>
        <v>0</v>
      </c>
      <c r="BA2666" s="84"/>
      <c r="BB2666" s="84"/>
      <c r="BC2666" s="84"/>
      <c r="BD2666" s="84"/>
      <c r="BE2666" s="84"/>
      <c r="BF2666" s="84"/>
      <c r="BG2666" s="84"/>
      <c r="BH2666" s="84"/>
      <c r="BI2666" s="68" cm="1">
        <f t="array" ref="BI2666">IFERROR(INDEX(AW2666:BH2666,1,MATCH(2,1/(AW2666:BH2666&lt;&gt;""))),"")</f>
        <v>0</v>
      </c>
      <c r="BJ2666" s="68" cm="1">
        <f t="array" ref="BJ2666">IF(BM2666 = "", "",IFERROR(INDEX(AW2666:BH2666,1,MATCH(2,1/(AW2666:BH2666&lt;&gt;""),1)-1),""))</f>
        <v>0</v>
      </c>
      <c r="BK2666" s="57" cm="1">
        <f t="array" ref="BK2666">IFERROR(INDEX(AW2666:BH2666,1,MATCH(2,1/(AW2666:BH2666&lt;&gt;""),1)),"")</f>
        <v>0</v>
      </c>
      <c r="BL2666" s="57" cm="1">
        <f t="array" ref="BL2666">IF(BM2666 = "", "",IFERROR(INDEX(AW2666:BH2666,1,MATCH(2,1/(AW2666:BH2666&lt;&gt;""),1)-1),""))</f>
        <v>0</v>
      </c>
      <c r="BM2666" s="55" cm="1">
        <f t="array" ref="BM2666">IFERROR(
   INDEX($AW$1:$BH$1,
      _xlfn.AGGREGATE(14, 6, COLUMN($AW$1:$BH$1)/(AW2666:BH2666&lt;&gt;""), 2) - COLUMN($AW$1) + 1
   ),
"")</f>
        <v>46082</v>
      </c>
      <c r="BN2666" s="55" cm="1">
        <f t="array" ref="BN2666">IFERROR(INDEX($AW$1:$BH$1,1,MATCH(2,1/(AW2666:BH2666&lt;&gt;""))),"")</f>
        <v>46113</v>
      </c>
      <c r="BO2666" s="53">
        <f ca="1">IFERROR(_xlfn.XLOOKUP(F2666,Apuração!A:A,Apuração!C:C)/_xlfn.XLOOKUP(F2666,Apuração!A:A,Apuração!B:B),0)</f>
        <v>0</v>
      </c>
      <c r="BP2666" s="53">
        <f ca="1">IFERROR(_xlfn.XLOOKUP(F2666,Apuração!A:A,Apuração!D:D)/_xlfn.XLOOKUP(F2666,Apuração!A:A,Apuração!B:B),0)</f>
        <v>0</v>
      </c>
      <c r="BQ2666" s="53">
        <f ca="1">IF(BK2666&gt;=BO2666,0,_xlfn.XLOOKUP(F2666,Apuração!A:A,Apuração!B:B)*(BO2666 + (1/_xlfn.XLOOKUP(F2666,Apuração!A:A,Apuração!B:B)) - BK2666))</f>
        <v>0</v>
      </c>
      <c r="BR2666" s="85">
        <f t="shared" ref="BR2666:BR2676" ca="1" si="3271">IF(BQ2666=0,0,BQ2666*Z2666)</f>
        <v>0</v>
      </c>
      <c r="BS2666" s="53">
        <f ca="1">IFERROR((_xlfn.XLOOKUP(F2666,Apuração!A:A,Apuração!C:C)+1)/_xlfn.XLOOKUP(F2666,Apuração!A:A,Apuração!B:B),0)</f>
        <v>0.14285714285714285</v>
      </c>
    </row>
    <row r="2667" spans="1:71" ht="25.95" hidden="1" customHeight="1" x14ac:dyDescent="0.3">
      <c r="A2667" s="72" t="s">
        <v>44</v>
      </c>
      <c r="B2667" s="73" t="s">
        <v>44</v>
      </c>
      <c r="C2667" s="74" t="s">
        <v>221</v>
      </c>
      <c r="D2667" s="5" t="s">
        <v>212</v>
      </c>
      <c r="E2667" s="4" t="str" cm="1">
        <f t="array" ref="E2667">_xlfn.IFS(
F2667 = "A partir de Abril", "Aguardando Execução na Distribuidora",
A2667 = "CAPACITAÇÃO", "Em execução no Corporativo",
TRUE, "Em Execução na Distribuidora"
)</f>
        <v>Em Execução na Distribuidora</v>
      </c>
      <c r="F2667" s="4" t="str" cm="1">
        <f t="array" ref="F2667">_xlfn.IFS(
AG2667 &lt;&gt; "", "Jan-Dez/26",
AH2667 &lt;&gt; "", "Fev-Dez/26",
AI2667 &lt;&gt; "", "Mar-Dez/26", AJ2667 &lt;&gt; "", "Abr-Dez/26",
TRUE, "A partir de Junho"
)</f>
        <v>A partir de Junho</v>
      </c>
      <c r="G2667" s="75" t="s">
        <v>44</v>
      </c>
      <c r="H2667" s="76" t="s">
        <v>44</v>
      </c>
      <c r="I2667" s="77"/>
      <c r="J2667" s="77"/>
      <c r="K2667" s="77"/>
      <c r="L2667" s="77" t="s">
        <v>240</v>
      </c>
      <c r="M2667" s="78"/>
      <c r="N2667" s="74" t="s">
        <v>42</v>
      </c>
      <c r="O2667" s="74" t="s">
        <v>52</v>
      </c>
      <c r="P2667" s="75" t="s">
        <v>44</v>
      </c>
      <c r="Q2667" s="75" t="s">
        <v>44</v>
      </c>
      <c r="R2667" s="79" t="s">
        <v>44</v>
      </c>
      <c r="S2667" s="79" t="s">
        <v>44</v>
      </c>
      <c r="T2667" s="22"/>
      <c r="U2667" s="22"/>
      <c r="V2667" s="22"/>
      <c r="W2667" s="22"/>
      <c r="X2667" s="22"/>
      <c r="Y2667" s="22"/>
      <c r="Z2667" s="22"/>
      <c r="AA2667" s="22"/>
      <c r="AB2667" s="22"/>
      <c r="AC2667" s="22"/>
      <c r="AD2667" s="22"/>
      <c r="AE2667" s="22"/>
      <c r="AG2667" s="112"/>
      <c r="AH2667" s="112"/>
      <c r="AI2667" s="112"/>
      <c r="AJ2667" s="71"/>
      <c r="AK2667" s="71"/>
      <c r="AL2667" s="71"/>
      <c r="AM2667" s="71"/>
      <c r="AN2667" s="71"/>
      <c r="AO2667" s="71"/>
      <c r="AP2667" s="71"/>
      <c r="AQ2667" s="71"/>
      <c r="AR2667" s="71"/>
      <c r="AS2667" s="94"/>
      <c r="AT2667" s="95"/>
      <c r="AU2667" s="97"/>
      <c r="AW2667" s="84">
        <f t="shared" ref="AW2667:AW2668" si="3272">AG2667</f>
        <v>0</v>
      </c>
      <c r="AX2667" s="84">
        <f t="shared" ref="AX2667:AX2669" si="3273">AH2667</f>
        <v>0</v>
      </c>
      <c r="AY2667" s="84">
        <f t="shared" ref="AY2667:AY2669" si="3274">AI2667</f>
        <v>0</v>
      </c>
      <c r="AZ2667" s="84"/>
      <c r="BA2667" s="84"/>
      <c r="BB2667" s="84"/>
      <c r="BC2667" s="84"/>
      <c r="BD2667" s="84"/>
      <c r="BE2667" s="84"/>
      <c r="BF2667" s="84"/>
      <c r="BG2667" s="84"/>
      <c r="BH2667" s="84"/>
      <c r="BI2667" s="68" cm="1">
        <f t="array" ref="BI2667">IFERROR(INDEX(AW2667:BH2667,1,MATCH(2,1/(AW2667:BH2667&lt;&gt;""))),"")</f>
        <v>0</v>
      </c>
      <c r="BJ2667" s="68" cm="1">
        <f t="array" ref="BJ2667">IF(BM2667 = "", "",IFERROR(INDEX(AW2667:BH2667,1,MATCH(2,1/(AW2667:BH2667&lt;&gt;""),1)-1),""))</f>
        <v>0</v>
      </c>
      <c r="BK2667" s="57" cm="1">
        <f t="array" ref="BK2667">IFERROR(INDEX(AW2667:BH2667,1,MATCH(2,1/(AW2667:BH2667&lt;&gt;""),1)),"")</f>
        <v>0</v>
      </c>
      <c r="BL2667" s="57" cm="1">
        <f t="array" ref="BL2667">IF(BM2667 = "", "",IFERROR(INDEX(AW2667:BH2667,1,MATCH(2,1/(AW2667:BH2667&lt;&gt;""),1)-1),""))</f>
        <v>0</v>
      </c>
      <c r="BM2667" s="55" cm="1">
        <f t="array" ref="BM2667">IFERROR(
   INDEX($AW$1:$BH$1,
      _xlfn.AGGREGATE(14, 6, COLUMN($AW$1:$BH$1)/(AW2667:BH2667&lt;&gt;""), 2) - COLUMN($AW$1) + 1
   ),
"")</f>
        <v>46054</v>
      </c>
      <c r="BN2667" s="55" cm="1">
        <f t="array" ref="BN2667">IFERROR(INDEX($AW$1:$BH$1,1,MATCH(2,1/(AW2667:BH2667&lt;&gt;""))),"")</f>
        <v>46082</v>
      </c>
      <c r="BO2667" s="53">
        <f ca="1">IFERROR(_xlfn.XLOOKUP(F2667,Apuração!A:A,Apuração!C:C)/_xlfn.XLOOKUP(F2667,Apuração!A:A,Apuração!B:B),0)</f>
        <v>0</v>
      </c>
      <c r="BP2667" s="53">
        <f ca="1">IFERROR(_xlfn.XLOOKUP(F2667,Apuração!A:A,Apuração!D:D)/_xlfn.XLOOKUP(F2667,Apuração!A:A,Apuração!B:B),0)</f>
        <v>0</v>
      </c>
      <c r="BQ2667" s="53">
        <f ca="1">IF(BK2667&gt;=BO2667,0,_xlfn.XLOOKUP(F2667,Apuração!A:A,Apuração!B:B)*(BO2667 + (1/_xlfn.XLOOKUP(F2667,Apuração!A:A,Apuração!B:B)) - BK2667))</f>
        <v>0</v>
      </c>
      <c r="BR2667" s="85">
        <f t="shared" ca="1" si="3271"/>
        <v>0</v>
      </c>
      <c r="BS2667" s="53">
        <f ca="1">IFERROR((_xlfn.XLOOKUP(F2667,Apuração!A:A,Apuração!C:C)+1)/_xlfn.XLOOKUP(F2667,Apuração!A:A,Apuração!B:B),0)</f>
        <v>0.14285714285714285</v>
      </c>
    </row>
    <row r="2668" spans="1:71" ht="25.95" hidden="1" customHeight="1" x14ac:dyDescent="0.3">
      <c r="A2668" s="72" t="s">
        <v>44</v>
      </c>
      <c r="B2668" s="73" t="s">
        <v>44</v>
      </c>
      <c r="C2668" s="74" t="s">
        <v>221</v>
      </c>
      <c r="D2668" s="5" t="s">
        <v>213</v>
      </c>
      <c r="E2668" s="4" t="str" cm="1">
        <f t="array" ref="E2668">_xlfn.IFS(
F2668 = "A partir de Abril", "Aguardando Execução na Distribuidora",
A2668 = "CAPACITAÇÃO", "Em execução no Corporativo",
TRUE, "Em Execução na Distribuidora"
)</f>
        <v>Em Execução na Distribuidora</v>
      </c>
      <c r="F2668" s="4" t="str" cm="1">
        <f t="array" ref="F2668">_xlfn.IFS(
AG2668 &lt;&gt; "", "Jan-Dez/26",
AH2668 &lt;&gt; "", "Fev-Dez/26",
AI2668 &lt;&gt; "", "Mar-Dez/26", AJ2668 &lt;&gt; "", "Abr-Dez/26",
TRUE, "A partir de Junho"
)</f>
        <v>A partir de Junho</v>
      </c>
      <c r="G2668" s="75" t="s">
        <v>44</v>
      </c>
      <c r="H2668" s="76" t="s">
        <v>44</v>
      </c>
      <c r="I2668" s="77"/>
      <c r="J2668" s="77"/>
      <c r="K2668" s="77"/>
      <c r="L2668" s="77" t="s">
        <v>240</v>
      </c>
      <c r="M2668" s="78"/>
      <c r="N2668" s="74" t="s">
        <v>42</v>
      </c>
      <c r="O2668" s="74" t="s">
        <v>52</v>
      </c>
      <c r="P2668" s="75" t="s">
        <v>44</v>
      </c>
      <c r="Q2668" s="75" t="s">
        <v>44</v>
      </c>
      <c r="R2668" s="79" t="s">
        <v>44</v>
      </c>
      <c r="S2668" s="79" t="s">
        <v>44</v>
      </c>
      <c r="T2668" s="22"/>
      <c r="U2668" s="22"/>
      <c r="V2668" s="22"/>
      <c r="W2668" s="22"/>
      <c r="X2668" s="22"/>
      <c r="Y2668" s="22"/>
      <c r="Z2668" s="22"/>
      <c r="AA2668" s="22"/>
      <c r="AB2668" s="22"/>
      <c r="AC2668" s="22"/>
      <c r="AD2668" s="22"/>
      <c r="AE2668" s="22"/>
      <c r="AG2668" s="112"/>
      <c r="AH2668" s="112"/>
      <c r="AI2668" s="112"/>
      <c r="AJ2668" s="71"/>
      <c r="AK2668" s="71"/>
      <c r="AL2668" s="71"/>
      <c r="AM2668" s="71"/>
      <c r="AN2668" s="71"/>
      <c r="AO2668" s="71"/>
      <c r="AP2668" s="71"/>
      <c r="AQ2668" s="71"/>
      <c r="AR2668" s="71"/>
      <c r="AS2668" s="94"/>
      <c r="AT2668" s="95"/>
      <c r="AU2668" s="97"/>
      <c r="AW2668" s="84">
        <f t="shared" si="3272"/>
        <v>0</v>
      </c>
      <c r="AX2668" s="84">
        <f t="shared" si="3273"/>
        <v>0</v>
      </c>
      <c r="AY2668" s="84">
        <f t="shared" si="3274"/>
        <v>0</v>
      </c>
      <c r="AZ2668" s="84"/>
      <c r="BA2668" s="84"/>
      <c r="BB2668" s="84"/>
      <c r="BC2668" s="84"/>
      <c r="BD2668" s="84"/>
      <c r="BE2668" s="84"/>
      <c r="BF2668" s="84"/>
      <c r="BG2668" s="84"/>
      <c r="BH2668" s="84"/>
      <c r="BI2668" s="68" cm="1">
        <f t="array" ref="BI2668">IFERROR(INDEX(AW2668:BH2668,1,MATCH(2,1/(AW2668:BH2668&lt;&gt;""))),"")</f>
        <v>0</v>
      </c>
      <c r="BJ2668" s="68" cm="1">
        <f t="array" ref="BJ2668">IF(BM2668 = "", "",IFERROR(INDEX(AW2668:BH2668,1,MATCH(2,1/(AW2668:BH2668&lt;&gt;""),1)-1),""))</f>
        <v>0</v>
      </c>
      <c r="BK2668" s="57" cm="1">
        <f t="array" ref="BK2668">IFERROR(INDEX(AW2668:BH2668,1,MATCH(2,1/(AW2668:BH2668&lt;&gt;""),1)),"")</f>
        <v>0</v>
      </c>
      <c r="BL2668" s="57" cm="1">
        <f t="array" ref="BL2668">IF(BM2668 = "", "",IFERROR(INDEX(AW2668:BH2668,1,MATCH(2,1/(AW2668:BH2668&lt;&gt;""),1)-1),""))</f>
        <v>0</v>
      </c>
      <c r="BM2668" s="55" cm="1">
        <f t="array" ref="BM2668">IFERROR(
   INDEX($AW$1:$BH$1,
      _xlfn.AGGREGATE(14, 6, COLUMN($AW$1:$BH$1)/(AW2668:BH2668&lt;&gt;""), 2) - COLUMN($AW$1) + 1
   ),
"")</f>
        <v>46054</v>
      </c>
      <c r="BN2668" s="55" cm="1">
        <f t="array" ref="BN2668">IFERROR(INDEX($AW$1:$BH$1,1,MATCH(2,1/(AW2668:BH2668&lt;&gt;""))),"")</f>
        <v>46082</v>
      </c>
      <c r="BO2668" s="53">
        <f ca="1">IFERROR(_xlfn.XLOOKUP(F2668,Apuração!A:A,Apuração!C:C)/_xlfn.XLOOKUP(F2668,Apuração!A:A,Apuração!B:B),0)</f>
        <v>0</v>
      </c>
      <c r="BP2668" s="53">
        <f ca="1">IFERROR(_xlfn.XLOOKUP(F2668,Apuração!A:A,Apuração!D:D)/_xlfn.XLOOKUP(F2668,Apuração!A:A,Apuração!B:B),0)</f>
        <v>0</v>
      </c>
      <c r="BQ2668" s="53">
        <f ca="1">IF(BK2668&gt;=BO2668,0,_xlfn.XLOOKUP(F2668,Apuração!A:A,Apuração!B:B)*(BO2668 + (1/_xlfn.XLOOKUP(F2668,Apuração!A:A,Apuração!B:B)) - BK2668))</f>
        <v>0</v>
      </c>
      <c r="BR2668" s="85">
        <f t="shared" ca="1" si="3271"/>
        <v>0</v>
      </c>
      <c r="BS2668" s="53">
        <f ca="1">IFERROR((_xlfn.XLOOKUP(F2668,Apuração!A:A,Apuração!C:C)+1)/_xlfn.XLOOKUP(F2668,Apuração!A:A,Apuração!B:B),0)</f>
        <v>0.14285714285714285</v>
      </c>
    </row>
    <row r="2669" spans="1:71" ht="25.95" hidden="1" customHeight="1" x14ac:dyDescent="0.3">
      <c r="A2669" s="72" t="s">
        <v>44</v>
      </c>
      <c r="B2669" s="73" t="s">
        <v>44</v>
      </c>
      <c r="C2669" s="74" t="s">
        <v>221</v>
      </c>
      <c r="D2669" s="5" t="s">
        <v>36</v>
      </c>
      <c r="E2669" s="4" t="str" cm="1">
        <f t="array" ref="E2669">_xlfn.IFS(
F2669 = "A partir de Abril", "Aguardando Execução na Distribuidora",
A2669 = "CAPACITAÇÃO", "Em execução no Corporativo",
TRUE, "Em Execução na Distribuidora"
)</f>
        <v>Em Execução na Distribuidora</v>
      </c>
      <c r="F2669" s="4" t="str" cm="1">
        <f t="array" ref="F2669">_xlfn.IFS(
AG2669 &lt;&gt; "", "Jan-Dez/26",
AH2669 &lt;&gt; "", "Fev-Dez/26",
AI2669 &lt;&gt; "", "Mar-Dez/26", AJ2669 &lt;&gt; "", "Abr-Dez/26",
TRUE, "A partir de Junho"
)</f>
        <v>Jan-Dez/26</v>
      </c>
      <c r="G2669" s="75" t="s">
        <v>44</v>
      </c>
      <c r="H2669" s="76" t="s">
        <v>44</v>
      </c>
      <c r="I2669" s="77"/>
      <c r="J2669" s="77"/>
      <c r="K2669" s="77"/>
      <c r="L2669" s="77" t="s">
        <v>241</v>
      </c>
      <c r="M2669" s="78"/>
      <c r="N2669" s="74" t="s">
        <v>42</v>
      </c>
      <c r="O2669" s="74" t="s">
        <v>52</v>
      </c>
      <c r="P2669" s="75" t="s">
        <v>44</v>
      </c>
      <c r="Q2669" s="75" t="s">
        <v>44</v>
      </c>
      <c r="R2669" s="79" t="s">
        <v>44</v>
      </c>
      <c r="S2669" s="79" t="s">
        <v>44</v>
      </c>
      <c r="T2669" s="22"/>
      <c r="U2669" s="22"/>
      <c r="V2669" s="22"/>
      <c r="W2669" s="22"/>
      <c r="X2669" s="22"/>
      <c r="Y2669" s="22"/>
      <c r="Z2669" s="22"/>
      <c r="AA2669" s="22"/>
      <c r="AB2669" s="22"/>
      <c r="AC2669" s="22"/>
      <c r="AD2669" s="22"/>
      <c r="AE2669" s="22"/>
      <c r="AG2669" s="112">
        <v>0</v>
      </c>
      <c r="AH2669" s="112">
        <v>0</v>
      </c>
      <c r="AI2669" s="112">
        <v>0</v>
      </c>
      <c r="AJ2669" s="112"/>
      <c r="AK2669" s="112"/>
      <c r="AL2669" s="112"/>
      <c r="AM2669" s="112"/>
      <c r="AN2669" s="112"/>
      <c r="AO2669" s="112"/>
      <c r="AP2669" s="112"/>
      <c r="AQ2669" s="112"/>
      <c r="AR2669" s="112"/>
      <c r="AS2669" s="94"/>
      <c r="AT2669" s="95"/>
      <c r="AU2669" s="97"/>
      <c r="AW2669" s="84">
        <f>AG2669</f>
        <v>0</v>
      </c>
      <c r="AX2669" s="84">
        <f t="shared" si="3273"/>
        <v>0</v>
      </c>
      <c r="AY2669" s="84">
        <f t="shared" si="3274"/>
        <v>0</v>
      </c>
      <c r="AZ2669" s="84">
        <f t="shared" ref="AZ2669" si="3275">AJ2669</f>
        <v>0</v>
      </c>
      <c r="BA2669" s="84"/>
      <c r="BB2669" s="84"/>
      <c r="BC2669" s="84"/>
      <c r="BD2669" s="84"/>
      <c r="BE2669" s="84"/>
      <c r="BF2669" s="84"/>
      <c r="BG2669" s="84"/>
      <c r="BH2669" s="84"/>
      <c r="BI2669" s="68" cm="1">
        <f t="array" ref="BI2669">IFERROR(INDEX(AW2669:BH2669,1,MATCH(2,1/(AW2669:BH2669&lt;&gt;""))),"")</f>
        <v>0</v>
      </c>
      <c r="BJ2669" s="68" cm="1">
        <f t="array" ref="BJ2669">IF(BM2669 = "", "",IFERROR(INDEX(AW2669:BH2669,1,MATCH(2,1/(AW2669:BH2669&lt;&gt;""),1)-1),""))</f>
        <v>0</v>
      </c>
      <c r="BK2669" s="57" cm="1">
        <f t="array" ref="BK2669">IFERROR(INDEX(AW2669:BH2669,1,MATCH(2,1/(AW2669:BH2669&lt;&gt;""),1)),"")</f>
        <v>0</v>
      </c>
      <c r="BL2669" s="57" cm="1">
        <f t="array" ref="BL2669">IF(BM2669 = "", "",IFERROR(INDEX(AW2669:BH2669,1,MATCH(2,1/(AW2669:BH2669&lt;&gt;""),1)-1),""))</f>
        <v>0</v>
      </c>
      <c r="BM2669" s="55" cm="1">
        <f t="array" ref="BM2669">IFERROR(
   INDEX($AW$1:$BH$1,
      _xlfn.AGGREGATE(14, 6, COLUMN($AW$1:$BH$1)/(AW2669:BH2669&lt;&gt;""), 2) - COLUMN($AW$1) + 1
   ),
"")</f>
        <v>46082</v>
      </c>
      <c r="BN2669" s="55" cm="1">
        <f t="array" ref="BN2669">IFERROR(INDEX($AW$1:$BH$1,1,MATCH(2,1/(AW2669:BH2669&lt;&gt;""))),"")</f>
        <v>46113</v>
      </c>
      <c r="BO2669" s="53">
        <f ca="1">IFERROR(_xlfn.XLOOKUP(F2669,Apuração!A:A,Apuração!C:C)/_xlfn.XLOOKUP(F2669,Apuração!A:A,Apuração!B:B),0)</f>
        <v>0.41666666666666669</v>
      </c>
      <c r="BP2669" s="53">
        <f ca="1">IFERROR(_xlfn.XLOOKUP(F2669,Apuração!A:A,Apuração!D:D)/_xlfn.XLOOKUP(F2669,Apuração!A:A,Apuração!B:B),0)</f>
        <v>0.33333333333333331</v>
      </c>
      <c r="BQ2669" s="53">
        <f ca="1">IF(BK2669&gt;=BO2669,0,_xlfn.XLOOKUP(F2669,Apuração!A:A,Apuração!B:B)*(BO2669 + (1/_xlfn.XLOOKUP(F2669,Apuração!A:A,Apuração!B:B)) - BK2669))</f>
        <v>6</v>
      </c>
      <c r="BR2669" s="85">
        <f t="shared" ca="1" si="3271"/>
        <v>0</v>
      </c>
      <c r="BS2669" s="53">
        <f ca="1">IFERROR((_xlfn.XLOOKUP(F2669,Apuração!A:A,Apuração!C:C)+1)/_xlfn.XLOOKUP(F2669,Apuração!A:A,Apuração!B:B),0)</f>
        <v>0.5</v>
      </c>
    </row>
    <row r="2670" spans="1:71" ht="25.95" hidden="1" customHeight="1" x14ac:dyDescent="0.3">
      <c r="A2670" s="72" t="s">
        <v>44</v>
      </c>
      <c r="B2670" s="73" t="s">
        <v>44</v>
      </c>
      <c r="C2670" s="74" t="s">
        <v>239</v>
      </c>
      <c r="D2670" s="74" t="s">
        <v>36</v>
      </c>
      <c r="E2670" s="4" t="str" cm="1">
        <f t="array" ref="E2670">_xlfn.IFS(
F2670 = "A partir de Abril", "Aguardando Execução na Distribuidora",
A2670 = "CAPACITAÇÃO", "Em execução no Corporativo",
TRUE, "Em Execução na Distribuidora"
)</f>
        <v>Em Execução na Distribuidora</v>
      </c>
      <c r="F2670" s="4" t="str" cm="1">
        <f t="array" ref="F2670">_xlfn.IFS(
AG2670 &lt;&gt; "", "Jan-Dez/26",
AH2670 &lt;&gt; "", "Fev-Dez/26",
AI2670 &lt;&gt; "", "Mar-Dez/26", AJ2670 &lt;&gt; "", "Abr-Dez/26",
TRUE, "A partir de Junho"
)</f>
        <v>A partir de Junho</v>
      </c>
      <c r="G2670" s="75" t="s">
        <v>37</v>
      </c>
      <c r="H2670" s="76" t="s">
        <v>44</v>
      </c>
      <c r="I2670" s="77"/>
      <c r="J2670" s="77"/>
      <c r="K2670" s="77"/>
      <c r="L2670" s="77" t="s">
        <v>241</v>
      </c>
      <c r="M2670" s="78"/>
      <c r="N2670" s="74" t="s">
        <v>42</v>
      </c>
      <c r="O2670" s="74" t="s">
        <v>52</v>
      </c>
      <c r="P2670" s="75" t="s">
        <v>44</v>
      </c>
      <c r="Q2670" s="75" t="s">
        <v>44</v>
      </c>
      <c r="R2670" s="79" t="s">
        <v>44</v>
      </c>
      <c r="S2670" s="79" t="s">
        <v>44</v>
      </c>
      <c r="T2670" s="22"/>
      <c r="U2670" s="22"/>
      <c r="V2670" s="22"/>
      <c r="W2670" s="22"/>
      <c r="X2670" s="22"/>
      <c r="Y2670" s="22"/>
      <c r="Z2670" s="22"/>
      <c r="AA2670" s="22"/>
      <c r="AB2670" s="22"/>
      <c r="AC2670" s="22"/>
      <c r="AD2670" s="22"/>
      <c r="AE2670" s="22"/>
      <c r="AG2670" s="112"/>
      <c r="AH2670" s="112"/>
      <c r="AI2670" s="112"/>
      <c r="AJ2670" s="112"/>
      <c r="AK2670" s="112"/>
      <c r="AL2670" s="112"/>
      <c r="AM2670" s="112"/>
      <c r="AN2670" s="112"/>
      <c r="AO2670" s="112"/>
      <c r="AP2670" s="112"/>
      <c r="AQ2670" s="112"/>
      <c r="AR2670" s="112"/>
      <c r="AS2670" s="113" t="str" cm="1">
        <f t="array" ref="AS2670">IFERROR(INDEX(T2670:AE2670,1,MATCH(2,1/(T2670:AE2670&lt;&gt;""))),"")</f>
        <v/>
      </c>
      <c r="AT2670" s="114" t="str" cm="1">
        <f t="array" ref="AT2670">IFERROR(INDEX(AG2670:AR2670,1,MATCH(2,1/(AG2670:AR2670&lt;&gt;""))),"")</f>
        <v/>
      </c>
      <c r="AU2670" s="97" t="str">
        <f>AT2670</f>
        <v/>
      </c>
      <c r="AW2670" s="84">
        <f>AG2670</f>
        <v>0</v>
      </c>
      <c r="AX2670" s="84">
        <f>AH2670</f>
        <v>0</v>
      </c>
      <c r="AY2670" s="84">
        <f>AI2670</f>
        <v>0</v>
      </c>
      <c r="AZ2670" s="84">
        <f>AJ2670</f>
        <v>0</v>
      </c>
      <c r="BA2670" s="84"/>
      <c r="BB2670" s="84"/>
      <c r="BC2670" s="84"/>
      <c r="BD2670" s="84"/>
      <c r="BE2670" s="84"/>
      <c r="BF2670" s="84"/>
      <c r="BG2670" s="84"/>
      <c r="BH2670" s="84"/>
      <c r="BI2670" s="68" cm="1">
        <f t="array" ref="BI2670">IFERROR(INDEX(AW2670:BH2670,1,MATCH(2,1/(AW2670:BH2670&lt;&gt;""))),"")</f>
        <v>0</v>
      </c>
      <c r="BJ2670" s="68" cm="1">
        <f t="array" ref="BJ2670">IF(BM2670 = "", "",IFERROR(INDEX(AW2670:BH2670,1,MATCH(2,1/(AW2670:BH2670&lt;&gt;""),1)-1),""))</f>
        <v>0</v>
      </c>
      <c r="BK2670" s="57" cm="1">
        <f t="array" ref="BK2670">IFERROR(INDEX(AW2670:BH2670,1,MATCH(2,1/(AW2670:BH2670&lt;&gt;""),1)),"")</f>
        <v>0</v>
      </c>
      <c r="BL2670" s="57" cm="1">
        <f t="array" ref="BL2670">IF(BM2670 = "", "",IFERROR(INDEX(AW2670:BH2670,1,MATCH(2,1/(AW2670:BH2670&lt;&gt;""),1)-1),""))</f>
        <v>0</v>
      </c>
      <c r="BM2670" s="55" cm="1">
        <f t="array" ref="BM2670">IFERROR(
   INDEX($AW$1:$BH$1,
      _xlfn.AGGREGATE(14, 6, COLUMN($AW$1:$BH$1)/(AW2670:BH2670&lt;&gt;""), 2) - COLUMN($AW$1) + 1
   ),
"")</f>
        <v>46082</v>
      </c>
      <c r="BN2670" s="55" cm="1">
        <f t="array" ref="BN2670">IFERROR(INDEX($AW$1:$BH$1,1,MATCH(2,1/(AW2670:BH2670&lt;&gt;""))),"")</f>
        <v>46113</v>
      </c>
      <c r="BO2670" s="53">
        <f ca="1">IFERROR(_xlfn.XLOOKUP(F2670,Apuração!A:A,Apuração!C:C)/_xlfn.XLOOKUP(F2670,Apuração!A:A,Apuração!B:B),0)</f>
        <v>0</v>
      </c>
      <c r="BP2670" s="53">
        <f ca="1">IFERROR(_xlfn.XLOOKUP(F2670,Apuração!A:A,Apuração!D:D)/_xlfn.XLOOKUP(F2670,Apuração!A:A,Apuração!B:B),0)</f>
        <v>0</v>
      </c>
      <c r="BQ2670" s="53">
        <f ca="1">IF(BK2670&gt;=BO2670,0,_xlfn.XLOOKUP(F2670,Apuração!A:A,Apuração!B:B)*(BO2670 + (1/_xlfn.XLOOKUP(F2670,Apuração!A:A,Apuração!B:B)) - BK2670))</f>
        <v>0</v>
      </c>
      <c r="BR2670" s="85">
        <f t="shared" ca="1" si="3271"/>
        <v>0</v>
      </c>
      <c r="BS2670" s="53">
        <f ca="1">IFERROR((_xlfn.XLOOKUP(F2670,Apuração!A:A,Apuração!C:C)+1)/_xlfn.XLOOKUP(F2670,Apuração!A:A,Apuração!B:B),0)</f>
        <v>0.14285714285714285</v>
      </c>
    </row>
    <row r="2671" spans="1:71" ht="25.95" hidden="1" customHeight="1" x14ac:dyDescent="0.3">
      <c r="A2671" s="72" t="s">
        <v>44</v>
      </c>
      <c r="B2671" s="73" t="s">
        <v>44</v>
      </c>
      <c r="C2671" s="74" t="s">
        <v>35</v>
      </c>
      <c r="D2671" s="5" t="s">
        <v>47</v>
      </c>
      <c r="E2671" s="4" t="str" cm="1">
        <f t="array" ref="E2671">_xlfn.IFS(
F2671 = "A partir de Abril", "Aguardando Execução na Distribuidora",
A2671 = "CAPACITAÇÃO", "Em execução no Corporativo",
TRUE, "Em Execução na Distribuidora"
)</f>
        <v>Em Execução na Distribuidora</v>
      </c>
      <c r="F2671" s="4" t="str" cm="1">
        <f t="array" ref="F2671">_xlfn.IFS(
AG2671 &lt;&gt; "", "Jan-Dez/26",
AH2671 &lt;&gt; "", "Fev-Dez/26",
AI2671 &lt;&gt; "", "Mar-Dez/26", AJ2671 &lt;&gt; "", "Abr-Dez/26",
TRUE, "A partir de Junho"
)</f>
        <v>A partir de Junho</v>
      </c>
      <c r="G2671" s="75" t="s">
        <v>44</v>
      </c>
      <c r="H2671" s="76" t="s">
        <v>44</v>
      </c>
      <c r="I2671" s="77"/>
      <c r="J2671" s="77"/>
      <c r="K2671" s="77"/>
      <c r="L2671" s="77" t="s">
        <v>241</v>
      </c>
      <c r="M2671" s="78"/>
      <c r="N2671" s="74" t="s">
        <v>42</v>
      </c>
      <c r="O2671" s="74" t="s">
        <v>52</v>
      </c>
      <c r="P2671" s="75" t="s">
        <v>44</v>
      </c>
      <c r="Q2671" s="75" t="s">
        <v>44</v>
      </c>
      <c r="R2671" s="79" t="s">
        <v>44</v>
      </c>
      <c r="S2671" s="79" t="s">
        <v>44</v>
      </c>
      <c r="T2671" s="22"/>
      <c r="U2671" s="22"/>
      <c r="V2671" s="22"/>
      <c r="W2671" s="22"/>
      <c r="X2671" s="22"/>
      <c r="Y2671" s="22"/>
      <c r="Z2671" s="22"/>
      <c r="AA2671" s="22"/>
      <c r="AB2671" s="22"/>
      <c r="AC2671" s="22"/>
      <c r="AD2671" s="22"/>
      <c r="AE2671" s="22"/>
      <c r="AG2671" s="71"/>
      <c r="AH2671" s="71"/>
      <c r="AI2671" s="71"/>
      <c r="AJ2671" s="71"/>
      <c r="AK2671" s="71"/>
      <c r="AL2671" s="71"/>
      <c r="AM2671" s="71"/>
      <c r="AN2671" s="71"/>
      <c r="AO2671" s="71"/>
      <c r="AP2671" s="71"/>
      <c r="AQ2671" s="71"/>
      <c r="AR2671" s="71"/>
      <c r="AS2671" s="94"/>
      <c r="AT2671" s="95"/>
      <c r="AU2671" s="97"/>
      <c r="AW2671" s="84">
        <f>AG2671</f>
        <v>0</v>
      </c>
      <c r="AX2671" s="84"/>
      <c r="AY2671" s="84"/>
      <c r="AZ2671" s="84"/>
      <c r="BA2671" s="84"/>
      <c r="BB2671" s="84"/>
      <c r="BC2671" s="84"/>
      <c r="BD2671" s="84"/>
      <c r="BE2671" s="84"/>
      <c r="BF2671" s="84"/>
      <c r="BG2671" s="84"/>
      <c r="BH2671" s="84"/>
      <c r="BI2671" s="68" cm="1">
        <f t="array" ref="BI2671">IFERROR(INDEX(AW2671:BH2671,1,MATCH(2,1/(AW2671:BH2671&lt;&gt;""))),"")</f>
        <v>0</v>
      </c>
      <c r="BJ2671" s="68" t="str" cm="1">
        <f t="array" ref="BJ2671">IF(BM2671 = "", "",IFERROR(INDEX(AW2671:BH2671,1,MATCH(2,1/(AW2671:BH2671&lt;&gt;""),1)-1),""))</f>
        <v/>
      </c>
      <c r="BK2671" s="57" cm="1">
        <f t="array" ref="BK2671">IFERROR(INDEX(AW2671:BH2671,1,MATCH(2,1/(AW2671:BH2671&lt;&gt;""),1)),"")</f>
        <v>0</v>
      </c>
      <c r="BL2671" s="57" t="str" cm="1">
        <f t="array" ref="BL2671">IF(BM2671 = "", "",IFERROR(INDEX(AW2671:BH2671,1,MATCH(2,1/(AW2671:BH2671&lt;&gt;""),1)-1),""))</f>
        <v/>
      </c>
      <c r="BM2671" s="55" t="str" cm="1">
        <f t="array" ref="BM2671">IFERROR(
   INDEX($AW$1:$BH$1,
      _xlfn.AGGREGATE(14, 6, COLUMN($AW$1:$BH$1)/(AW2671:BH2671&lt;&gt;""), 2) - COLUMN($AW$1) + 1
   ),
"")</f>
        <v/>
      </c>
      <c r="BN2671" s="55" cm="1">
        <f t="array" ref="BN2671">IFERROR(INDEX($AW$1:$BH$1,1,MATCH(2,1/(AW2671:BH2671&lt;&gt;""))),"")</f>
        <v>46023</v>
      </c>
      <c r="BO2671" s="53">
        <f ca="1">IFERROR(_xlfn.XLOOKUP(F2671,Apuração!A:A,Apuração!C:C)/_xlfn.XLOOKUP(F2671,Apuração!A:A,Apuração!B:B),0)</f>
        <v>0</v>
      </c>
      <c r="BP2671" s="53">
        <f ca="1">IFERROR(_xlfn.XLOOKUP(F2671,Apuração!A:A,Apuração!D:D)/_xlfn.XLOOKUP(F2671,Apuração!A:A,Apuração!B:B),0)</f>
        <v>0</v>
      </c>
      <c r="BQ2671" s="53">
        <f ca="1">IF(BK2671&gt;=BO2671,0,_xlfn.XLOOKUP(F2671,Apuração!A:A,Apuração!B:B)*(BO2671 + (1/_xlfn.XLOOKUP(F2671,Apuração!A:A,Apuração!B:B)) - BK2671))</f>
        <v>0</v>
      </c>
      <c r="BR2671" s="85">
        <f t="shared" ca="1" si="3271"/>
        <v>0</v>
      </c>
      <c r="BS2671" s="53">
        <f ca="1">IFERROR((_xlfn.XLOOKUP(F2671,Apuração!A:A,Apuração!C:C)+1)/_xlfn.XLOOKUP(F2671,Apuração!A:A,Apuração!B:B),0)</f>
        <v>0.14285714285714285</v>
      </c>
    </row>
    <row r="2672" spans="1:71" ht="25.95" hidden="1" customHeight="1" x14ac:dyDescent="0.3">
      <c r="A2672" s="72" t="s">
        <v>44</v>
      </c>
      <c r="B2672" s="73" t="s">
        <v>44</v>
      </c>
      <c r="C2672" s="74" t="s">
        <v>35</v>
      </c>
      <c r="D2672" s="5" t="s">
        <v>48</v>
      </c>
      <c r="E2672" s="4" t="str" cm="1">
        <f t="array" ref="E2672">_xlfn.IFS(
F2672 = "A partir de Abril", "Aguardando Execução na Distribuidora",
A2672 = "CAPACITAÇÃO", "Em execução no Corporativo",
TRUE, "Em Execução na Distribuidora"
)</f>
        <v>Em Execução na Distribuidora</v>
      </c>
      <c r="F2672" s="4" t="str" cm="1">
        <f t="array" ref="F2672">_xlfn.IFS(
AG2672 &lt;&gt; "", "Jan-Dez/26",
AH2672 &lt;&gt; "", "Fev-Dez/26",
AI2672 &lt;&gt; "", "Mar-Dez/26", AJ2672 &lt;&gt; "", "Abr-Dez/26",
TRUE, "A partir de Junho"
)</f>
        <v>A partir de Junho</v>
      </c>
      <c r="G2672" s="75" t="s">
        <v>44</v>
      </c>
      <c r="H2672" s="76" t="s">
        <v>44</v>
      </c>
      <c r="I2672" s="77"/>
      <c r="J2672" s="77"/>
      <c r="K2672" s="77"/>
      <c r="L2672" s="77" t="s">
        <v>241</v>
      </c>
      <c r="M2672" s="78"/>
      <c r="N2672" s="74" t="s">
        <v>42</v>
      </c>
      <c r="O2672" s="74" t="s">
        <v>52</v>
      </c>
      <c r="P2672" s="75" t="s">
        <v>44</v>
      </c>
      <c r="Q2672" s="75" t="s">
        <v>44</v>
      </c>
      <c r="R2672" s="79" t="s">
        <v>44</v>
      </c>
      <c r="S2672" s="79" t="s">
        <v>44</v>
      </c>
      <c r="T2672" s="22"/>
      <c r="U2672" s="22"/>
      <c r="V2672" s="22"/>
      <c r="W2672" s="22"/>
      <c r="X2672" s="22"/>
      <c r="Y2672" s="22"/>
      <c r="Z2672" s="22"/>
      <c r="AA2672" s="22"/>
      <c r="AB2672" s="22"/>
      <c r="AC2672" s="22"/>
      <c r="AD2672" s="22"/>
      <c r="AE2672" s="22"/>
      <c r="AG2672" s="71"/>
      <c r="AH2672" s="71"/>
      <c r="AI2672" s="71"/>
      <c r="AJ2672" s="71"/>
      <c r="AK2672" s="71"/>
      <c r="AL2672" s="71"/>
      <c r="AM2672" s="71"/>
      <c r="AN2672" s="71"/>
      <c r="AO2672" s="71"/>
      <c r="AP2672" s="71"/>
      <c r="AQ2672" s="71"/>
      <c r="AR2672" s="71"/>
      <c r="AS2672" s="94"/>
      <c r="AT2672" s="95"/>
      <c r="AU2672" s="97"/>
      <c r="AW2672" s="84">
        <f>AG2672</f>
        <v>0</v>
      </c>
      <c r="AX2672" s="84"/>
      <c r="AY2672" s="84"/>
      <c r="AZ2672" s="84"/>
      <c r="BA2672" s="84"/>
      <c r="BB2672" s="84"/>
      <c r="BC2672" s="84"/>
      <c r="BD2672" s="84"/>
      <c r="BE2672" s="84"/>
      <c r="BF2672" s="84"/>
      <c r="BG2672" s="84"/>
      <c r="BH2672" s="84"/>
      <c r="BI2672" s="68" cm="1">
        <f t="array" ref="BI2672">IFERROR(INDEX(AW2672:BH2672,1,MATCH(2,1/(AW2672:BH2672&lt;&gt;""))),"")</f>
        <v>0</v>
      </c>
      <c r="BJ2672" s="68" t="str" cm="1">
        <f t="array" ref="BJ2672">IF(BM2672 = "", "",IFERROR(INDEX(AW2672:BH2672,1,MATCH(2,1/(AW2672:BH2672&lt;&gt;""),1)-1),""))</f>
        <v/>
      </c>
      <c r="BK2672" s="57" cm="1">
        <f t="array" ref="BK2672">IFERROR(INDEX(AW2672:BH2672,1,MATCH(2,1/(AW2672:BH2672&lt;&gt;""),1)),"")</f>
        <v>0</v>
      </c>
      <c r="BL2672" s="57" t="str" cm="1">
        <f t="array" ref="BL2672">IF(BM2672 = "", "",IFERROR(INDEX(AW2672:BH2672,1,MATCH(2,1/(AW2672:BH2672&lt;&gt;""),1)-1),""))</f>
        <v/>
      </c>
      <c r="BM2672" s="55" t="str" cm="1">
        <f t="array" ref="BM2672">IFERROR(
   INDEX($AW$1:$BH$1,
      _xlfn.AGGREGATE(14, 6, COLUMN($AW$1:$BH$1)/(AW2672:BH2672&lt;&gt;""), 2) - COLUMN($AW$1) + 1
   ),
"")</f>
        <v/>
      </c>
      <c r="BN2672" s="55" cm="1">
        <f t="array" ref="BN2672">IFERROR(INDEX($AW$1:$BH$1,1,MATCH(2,1/(AW2672:BH2672&lt;&gt;""))),"")</f>
        <v>46023</v>
      </c>
      <c r="BO2672" s="53">
        <f ca="1">IFERROR(_xlfn.XLOOKUP(F2672,Apuração!A:A,Apuração!C:C)/_xlfn.XLOOKUP(F2672,Apuração!A:A,Apuração!B:B),0)</f>
        <v>0</v>
      </c>
      <c r="BP2672" s="53">
        <f ca="1">IFERROR(_xlfn.XLOOKUP(F2672,Apuração!A:A,Apuração!D:D)/_xlfn.XLOOKUP(F2672,Apuração!A:A,Apuração!B:B),0)</f>
        <v>0</v>
      </c>
      <c r="BQ2672" s="53">
        <f ca="1">IF(BK2672&gt;=BO2672,0,_xlfn.XLOOKUP(F2672,Apuração!A:A,Apuração!B:B)*(BO2672 + (1/_xlfn.XLOOKUP(F2672,Apuração!A:A,Apuração!B:B)) - BK2672))</f>
        <v>0</v>
      </c>
      <c r="BR2672" s="85">
        <f t="shared" ca="1" si="3271"/>
        <v>0</v>
      </c>
      <c r="BS2672" s="53">
        <f ca="1">IFERROR((_xlfn.XLOOKUP(F2672,Apuração!A:A,Apuração!C:C)+1)/_xlfn.XLOOKUP(F2672,Apuração!A:A,Apuração!B:B),0)</f>
        <v>0.14285714285714285</v>
      </c>
    </row>
    <row r="2673" spans="1:71" ht="25.95" hidden="1" customHeight="1" x14ac:dyDescent="0.3">
      <c r="A2673" s="72" t="s">
        <v>44</v>
      </c>
      <c r="B2673" s="73" t="s">
        <v>44</v>
      </c>
      <c r="C2673" s="74" t="s">
        <v>35</v>
      </c>
      <c r="D2673" s="5" t="s">
        <v>36</v>
      </c>
      <c r="E2673" s="4" t="str" cm="1">
        <f t="array" ref="E2673">_xlfn.IFS(
F2673 = "A partir de Abril", "Aguardando Execução na Distribuidora",
A2673 = "CAPACITAÇÃO", "Em execução no Corporativo",
TRUE, "Em Execução na Distribuidora"
)</f>
        <v>Em Execução na Distribuidora</v>
      </c>
      <c r="F2673" s="4" t="str" cm="1">
        <f t="array" ref="F2673">_xlfn.IFS(
AG2673 &lt;&gt; "", "Jan-Dez/26",
AH2673 &lt;&gt; "", "Fev-Dez/26",
AI2673 &lt;&gt; "", "Mar-Dez/26", AJ2673 &lt;&gt; "", "Abr-Dez/26",
TRUE, "A partir de Junho"
)</f>
        <v>A partir de Junho</v>
      </c>
      <c r="G2673" s="75" t="s">
        <v>44</v>
      </c>
      <c r="H2673" s="76" t="s">
        <v>44</v>
      </c>
      <c r="I2673" s="77"/>
      <c r="J2673" s="77"/>
      <c r="K2673" s="77"/>
      <c r="L2673" s="77" t="s">
        <v>227</v>
      </c>
      <c r="M2673" s="78"/>
      <c r="N2673" s="74" t="s">
        <v>42</v>
      </c>
      <c r="O2673" s="74" t="s">
        <v>52</v>
      </c>
      <c r="P2673" s="75" t="s">
        <v>44</v>
      </c>
      <c r="Q2673" s="75" t="s">
        <v>44</v>
      </c>
      <c r="R2673" s="79" t="s">
        <v>44</v>
      </c>
      <c r="S2673" s="79" t="s">
        <v>44</v>
      </c>
      <c r="T2673" s="22"/>
      <c r="U2673" s="22"/>
      <c r="V2673" s="22"/>
      <c r="W2673" s="22"/>
      <c r="X2673" s="22"/>
      <c r="Y2673" s="22"/>
      <c r="Z2673" s="22"/>
      <c r="AA2673" s="22"/>
      <c r="AB2673" s="22"/>
      <c r="AC2673" s="22"/>
      <c r="AD2673" s="22"/>
      <c r="AE2673" s="22"/>
      <c r="AG2673" s="112"/>
      <c r="AH2673" s="112"/>
      <c r="AI2673" s="112"/>
      <c r="AJ2673" s="112"/>
      <c r="AK2673" s="112"/>
      <c r="AL2673" s="112"/>
      <c r="AM2673" s="112"/>
      <c r="AN2673" s="112"/>
      <c r="AO2673" s="112"/>
      <c r="AP2673" s="112"/>
      <c r="AQ2673" s="112"/>
      <c r="AR2673" s="112"/>
      <c r="AS2673" s="94"/>
      <c r="AT2673" s="95"/>
      <c r="AU2673" s="97"/>
      <c r="AW2673" s="88">
        <f>AG2673/100</f>
        <v>0</v>
      </c>
      <c r="AX2673" s="88">
        <f t="shared" ref="AX2673:AZ2673" si="3276">AH2673/100</f>
        <v>0</v>
      </c>
      <c r="AY2673" s="88">
        <f t="shared" si="3276"/>
        <v>0</v>
      </c>
      <c r="AZ2673" s="88">
        <f t="shared" si="3276"/>
        <v>0</v>
      </c>
      <c r="BA2673" s="88"/>
      <c r="BB2673" s="88"/>
      <c r="BC2673" s="88"/>
      <c r="BD2673" s="88"/>
      <c r="BE2673" s="88"/>
      <c r="BF2673" s="88"/>
      <c r="BG2673" s="88"/>
      <c r="BH2673" s="88"/>
      <c r="BI2673" s="68" cm="1">
        <f t="array" ref="BI2673">IFERROR(INDEX(AW2673:BH2673,1,MATCH(2,1/(AW2673:BH2673&lt;&gt;""))),"")</f>
        <v>0</v>
      </c>
      <c r="BJ2673" s="68" cm="1">
        <f t="array" ref="BJ2673">IF(BM2673 = "", "",IFERROR(INDEX(AW2673:BH2673,1,MATCH(2,1/(AW2673:BH2673&lt;&gt;""),1)-1),""))</f>
        <v>0</v>
      </c>
      <c r="BK2673" s="57" cm="1">
        <f t="array" ref="BK2673">IFERROR(INDEX(AW2673:BH2673,1,MATCH(2,1/(AW2673:BH2673&lt;&gt;""),1)),"")</f>
        <v>0</v>
      </c>
      <c r="BL2673" s="57" cm="1">
        <f t="array" ref="BL2673">IF(BM2673 = "", "",IFERROR(INDEX(AW2673:BH2673,1,MATCH(2,1/(AW2673:BH2673&lt;&gt;""),1)-1),""))</f>
        <v>0</v>
      </c>
      <c r="BM2673" s="55" cm="1">
        <f t="array" ref="BM2673">IFERROR(
   INDEX($AW$1:$BH$1,
      _xlfn.AGGREGATE(14, 6, COLUMN($AW$1:$BH$1)/(AW2673:BH2673&lt;&gt;""), 2) - COLUMN($AW$1) + 1
   ),
"")</f>
        <v>46082</v>
      </c>
      <c r="BN2673" s="55" cm="1">
        <f t="array" ref="BN2673">IFERROR(INDEX($AW$1:$BH$1,1,MATCH(2,1/(AW2673:BH2673&lt;&gt;""))),"")</f>
        <v>46113</v>
      </c>
      <c r="BO2673" s="53">
        <f ca="1">IFERROR(_xlfn.XLOOKUP(F2673,Apuração!A:A,Apuração!C:C)/_xlfn.XLOOKUP(F2673,Apuração!A:A,Apuração!B:B),0)</f>
        <v>0</v>
      </c>
      <c r="BP2673" s="53">
        <f ca="1">IFERROR(_xlfn.XLOOKUP(F2673,Apuração!A:A,Apuração!D:D)/_xlfn.XLOOKUP(F2673,Apuração!A:A,Apuração!B:B),0)</f>
        <v>0</v>
      </c>
      <c r="BQ2673" s="53">
        <f ca="1">IF(BK2673&gt;=BO2673,0,_xlfn.XLOOKUP(F2673,Apuração!A:A,Apuração!B:B)*(BO2673 + (1/_xlfn.XLOOKUP(F2673,Apuração!A:A,Apuração!B:B)) - BK2673))</f>
        <v>0</v>
      </c>
      <c r="BR2673" s="85">
        <f t="shared" ca="1" si="3271"/>
        <v>0</v>
      </c>
      <c r="BS2673" s="53">
        <f ca="1">IFERROR((_xlfn.XLOOKUP(F2673,Apuração!A:A,Apuração!C:C)+1)/_xlfn.XLOOKUP(F2673,Apuração!A:A,Apuração!B:B),0)</f>
        <v>0.14285714285714285</v>
      </c>
    </row>
    <row r="2674" spans="1:71" ht="25.95" hidden="1" customHeight="1" x14ac:dyDescent="0.3">
      <c r="A2674" s="72" t="s">
        <v>44</v>
      </c>
      <c r="B2674" s="73" t="s">
        <v>44</v>
      </c>
      <c r="C2674" s="74" t="s">
        <v>35</v>
      </c>
      <c r="D2674" s="5" t="s">
        <v>47</v>
      </c>
      <c r="E2674" s="4" t="str" cm="1">
        <f t="array" ref="E2674">_xlfn.IFS(
F2674 = "A partir de Abril", "Aguardando Execução na Distribuidora",
A2674 = "CAPACITAÇÃO", "Em execução no Corporativo",
TRUE, "Em Execução na Distribuidora"
)</f>
        <v>Em Execução na Distribuidora</v>
      </c>
      <c r="F2674" s="4" t="str" cm="1">
        <f t="array" ref="F2674">_xlfn.IFS(
AG2674 &lt;&gt; "", "Jan-Dez/26",
AH2674 &lt;&gt; "", "Fev-Dez/26",
AI2674 &lt;&gt; "", "Mar-Dez/26", AJ2674 &lt;&gt; "", "Abr-Dez/26",
TRUE, "A partir de Junho"
)</f>
        <v>A partir de Junho</v>
      </c>
      <c r="G2674" s="75" t="s">
        <v>44</v>
      </c>
      <c r="H2674" s="76" t="s">
        <v>44</v>
      </c>
      <c r="I2674" s="77"/>
      <c r="J2674" s="77"/>
      <c r="K2674" s="77"/>
      <c r="L2674" s="77" t="s">
        <v>227</v>
      </c>
      <c r="M2674" s="78"/>
      <c r="N2674" s="74" t="s">
        <v>42</v>
      </c>
      <c r="O2674" s="74" t="s">
        <v>52</v>
      </c>
      <c r="P2674" s="75" t="s">
        <v>44</v>
      </c>
      <c r="Q2674" s="75" t="s">
        <v>44</v>
      </c>
      <c r="R2674" s="79" t="s">
        <v>44</v>
      </c>
      <c r="S2674" s="79" t="s">
        <v>44</v>
      </c>
      <c r="T2674" s="22"/>
      <c r="U2674" s="22"/>
      <c r="V2674" s="22"/>
      <c r="W2674" s="22"/>
      <c r="X2674" s="22"/>
      <c r="Y2674" s="22"/>
      <c r="Z2674" s="22"/>
      <c r="AA2674" s="22"/>
      <c r="AB2674" s="22"/>
      <c r="AC2674" s="22"/>
      <c r="AD2674" s="22"/>
      <c r="AE2674" s="22"/>
      <c r="AG2674" s="71"/>
      <c r="AH2674" s="71"/>
      <c r="AI2674" s="71"/>
      <c r="AJ2674" s="71"/>
      <c r="AK2674" s="71"/>
      <c r="AL2674" s="71"/>
      <c r="AM2674" s="71"/>
      <c r="AN2674" s="71"/>
      <c r="AO2674" s="71"/>
      <c r="AP2674" s="71"/>
      <c r="AQ2674" s="71"/>
      <c r="AR2674" s="71"/>
      <c r="AS2674" s="94"/>
      <c r="AT2674" s="95"/>
      <c r="AU2674" s="97"/>
      <c r="AW2674" s="88">
        <f>AG2674/100</f>
        <v>0</v>
      </c>
      <c r="AX2674" s="88"/>
      <c r="AY2674" s="88"/>
      <c r="AZ2674" s="88"/>
      <c r="BA2674" s="88"/>
      <c r="BB2674" s="88"/>
      <c r="BC2674" s="88"/>
      <c r="BD2674" s="88"/>
      <c r="BE2674" s="88"/>
      <c r="BF2674" s="88"/>
      <c r="BG2674" s="88"/>
      <c r="BH2674" s="88"/>
      <c r="BI2674" s="68" cm="1">
        <f t="array" ref="BI2674">IFERROR(INDEX(AW2674:BH2674,1,MATCH(2,1/(AW2674:BH2674&lt;&gt;""))),"")</f>
        <v>0</v>
      </c>
      <c r="BJ2674" s="68" t="str" cm="1">
        <f t="array" ref="BJ2674">IF(BM2674 = "", "",IFERROR(INDEX(AW2674:BH2674,1,MATCH(2,1/(AW2674:BH2674&lt;&gt;""),1)-1),""))</f>
        <v/>
      </c>
      <c r="BK2674" s="57" cm="1">
        <f t="array" ref="BK2674">IFERROR(INDEX(AW2674:BH2674,1,MATCH(2,1/(AW2674:BH2674&lt;&gt;""),1)),"")</f>
        <v>0</v>
      </c>
      <c r="BL2674" s="57" t="str" cm="1">
        <f t="array" ref="BL2674">IF(BM2674 = "", "",IFERROR(INDEX(AW2674:BH2674,1,MATCH(2,1/(AW2674:BH2674&lt;&gt;""),1)-1),""))</f>
        <v/>
      </c>
      <c r="BM2674" s="55" t="str" cm="1">
        <f t="array" ref="BM2674">IFERROR(
   INDEX($AW$1:$BH$1,
      _xlfn.AGGREGATE(14, 6, COLUMN($AW$1:$BH$1)/(AW2674:BH2674&lt;&gt;""), 2) - COLUMN($AW$1) + 1
   ),
"")</f>
        <v/>
      </c>
      <c r="BN2674" s="55" cm="1">
        <f t="array" ref="BN2674">IFERROR(INDEX($AW$1:$BH$1,1,MATCH(2,1/(AW2674:BH2674&lt;&gt;""))),"")</f>
        <v>46023</v>
      </c>
      <c r="BO2674" s="53">
        <f ca="1">IFERROR(_xlfn.XLOOKUP(F2674,Apuração!A:A,Apuração!C:C)/_xlfn.XLOOKUP(F2674,Apuração!A:A,Apuração!B:B),0)</f>
        <v>0</v>
      </c>
      <c r="BP2674" s="53">
        <f ca="1">IFERROR(_xlfn.XLOOKUP(F2674,Apuração!A:A,Apuração!D:D)/_xlfn.XLOOKUP(F2674,Apuração!A:A,Apuração!B:B),0)</f>
        <v>0</v>
      </c>
      <c r="BQ2674" s="53">
        <f ca="1">IF(BK2674&gt;=BO2674,0,_xlfn.XLOOKUP(F2674,Apuração!A:A,Apuração!B:B)*(BO2674 + (1/_xlfn.XLOOKUP(F2674,Apuração!A:A,Apuração!B:B)) - BK2674))</f>
        <v>0</v>
      </c>
      <c r="BR2674" s="85">
        <f t="shared" ca="1" si="3271"/>
        <v>0</v>
      </c>
      <c r="BS2674" s="53">
        <f ca="1">IFERROR((_xlfn.XLOOKUP(F2674,Apuração!A:A,Apuração!C:C)+1)/_xlfn.XLOOKUP(F2674,Apuração!A:A,Apuração!B:B),0)</f>
        <v>0.14285714285714285</v>
      </c>
    </row>
    <row r="2675" spans="1:71" ht="25.95" hidden="1" customHeight="1" x14ac:dyDescent="0.3">
      <c r="A2675" s="72" t="s">
        <v>44</v>
      </c>
      <c r="B2675" s="73" t="s">
        <v>44</v>
      </c>
      <c r="C2675" s="74" t="s">
        <v>35</v>
      </c>
      <c r="D2675" s="5" t="s">
        <v>48</v>
      </c>
      <c r="E2675" s="4" t="str" cm="1">
        <f t="array" ref="E2675">_xlfn.IFS(
F2675 = "A partir de Abril", "Aguardando Execução na Distribuidora",
A2675 = "CAPACITAÇÃO", "Em execução no Corporativo",
TRUE, "Em Execução na Distribuidora"
)</f>
        <v>Em Execução na Distribuidora</v>
      </c>
      <c r="F2675" s="4" t="str" cm="1">
        <f t="array" ref="F2675">_xlfn.IFS(
AG2675 &lt;&gt; "", "Jan-Dez/26",
AH2675 &lt;&gt; "", "Fev-Dez/26",
AI2675 &lt;&gt; "", "Mar-Dez/26", AJ2675 &lt;&gt; "", "Abr-Dez/26",
TRUE, "A partir de Junho"
)</f>
        <v>A partir de Junho</v>
      </c>
      <c r="G2675" s="75" t="s">
        <v>44</v>
      </c>
      <c r="H2675" s="76" t="s">
        <v>44</v>
      </c>
      <c r="I2675" s="77"/>
      <c r="J2675" s="77"/>
      <c r="K2675" s="77"/>
      <c r="L2675" s="77" t="s">
        <v>227</v>
      </c>
      <c r="M2675" s="78"/>
      <c r="N2675" s="74" t="s">
        <v>42</v>
      </c>
      <c r="O2675" s="74" t="s">
        <v>52</v>
      </c>
      <c r="P2675" s="75" t="s">
        <v>44</v>
      </c>
      <c r="Q2675" s="75" t="s">
        <v>44</v>
      </c>
      <c r="R2675" s="79" t="s">
        <v>44</v>
      </c>
      <c r="S2675" s="79" t="s">
        <v>44</v>
      </c>
      <c r="T2675" s="22"/>
      <c r="U2675" s="22"/>
      <c r="V2675" s="22"/>
      <c r="W2675" s="22"/>
      <c r="X2675" s="22"/>
      <c r="Y2675" s="22"/>
      <c r="Z2675" s="22"/>
      <c r="AA2675" s="22"/>
      <c r="AB2675" s="22"/>
      <c r="AC2675" s="22"/>
      <c r="AD2675" s="22"/>
      <c r="AE2675" s="22"/>
      <c r="AG2675" s="71"/>
      <c r="AH2675" s="71"/>
      <c r="AI2675" s="71"/>
      <c r="AJ2675" s="71"/>
      <c r="AK2675" s="71"/>
      <c r="AL2675" s="71"/>
      <c r="AM2675" s="71"/>
      <c r="AN2675" s="71"/>
      <c r="AO2675" s="71"/>
      <c r="AP2675" s="71"/>
      <c r="AQ2675" s="71"/>
      <c r="AR2675" s="71"/>
      <c r="AS2675" s="94"/>
      <c r="AT2675" s="95"/>
      <c r="AU2675" s="97"/>
      <c r="AW2675" s="88">
        <f>AG2675/100</f>
        <v>0</v>
      </c>
      <c r="AX2675" s="88"/>
      <c r="AY2675" s="88"/>
      <c r="AZ2675" s="88"/>
      <c r="BA2675" s="88"/>
      <c r="BB2675" s="88"/>
      <c r="BC2675" s="88"/>
      <c r="BD2675" s="88"/>
      <c r="BE2675" s="88"/>
      <c r="BF2675" s="88"/>
      <c r="BG2675" s="88"/>
      <c r="BH2675" s="88"/>
      <c r="BI2675" s="68" cm="1">
        <f t="array" ref="BI2675">IFERROR(INDEX(AW2675:BH2675,1,MATCH(2,1/(AW2675:BH2675&lt;&gt;""))),"")</f>
        <v>0</v>
      </c>
      <c r="BJ2675" s="68" t="str" cm="1">
        <f t="array" ref="BJ2675">IF(BM2675 = "", "",IFERROR(INDEX(AW2675:BH2675,1,MATCH(2,1/(AW2675:BH2675&lt;&gt;""),1)-1),""))</f>
        <v/>
      </c>
      <c r="BK2675" s="57" cm="1">
        <f t="array" ref="BK2675">IFERROR(INDEX(AW2675:BH2675,1,MATCH(2,1/(AW2675:BH2675&lt;&gt;""),1)),"")</f>
        <v>0</v>
      </c>
      <c r="BL2675" s="57" t="str" cm="1">
        <f t="array" ref="BL2675">IF(BM2675 = "", "",IFERROR(INDEX(AW2675:BH2675,1,MATCH(2,1/(AW2675:BH2675&lt;&gt;""),1)-1),""))</f>
        <v/>
      </c>
      <c r="BM2675" s="55" t="str" cm="1">
        <f t="array" ref="BM2675">IFERROR(
   INDEX($AW$1:$BH$1,
      _xlfn.AGGREGATE(14, 6, COLUMN($AW$1:$BH$1)/(AW2675:BH2675&lt;&gt;""), 2) - COLUMN($AW$1) + 1
   ),
"")</f>
        <v/>
      </c>
      <c r="BN2675" s="55" cm="1">
        <f t="array" ref="BN2675">IFERROR(INDEX($AW$1:$BH$1,1,MATCH(2,1/(AW2675:BH2675&lt;&gt;""))),"")</f>
        <v>46023</v>
      </c>
      <c r="BO2675" s="53">
        <f ca="1">IFERROR(_xlfn.XLOOKUP(F2675,Apuração!A:A,Apuração!C:C)/_xlfn.XLOOKUP(F2675,Apuração!A:A,Apuração!B:B),0)</f>
        <v>0</v>
      </c>
      <c r="BP2675" s="53">
        <f ca="1">IFERROR(_xlfn.XLOOKUP(F2675,Apuração!A:A,Apuração!D:D)/_xlfn.XLOOKUP(F2675,Apuração!A:A,Apuração!B:B),0)</f>
        <v>0</v>
      </c>
      <c r="BQ2675" s="53">
        <f ca="1">IF(BK2675&gt;=BO2675,0,_xlfn.XLOOKUP(F2675,Apuração!A:A,Apuração!B:B)*(BO2675 + (1/_xlfn.XLOOKUP(F2675,Apuração!A:A,Apuração!B:B)) - BK2675))</f>
        <v>0</v>
      </c>
      <c r="BR2675" s="85">
        <f t="shared" ca="1" si="3271"/>
        <v>0</v>
      </c>
      <c r="BS2675" s="53">
        <f ca="1">IFERROR((_xlfn.XLOOKUP(F2675,Apuração!A:A,Apuração!C:C)+1)/_xlfn.XLOOKUP(F2675,Apuração!A:A,Apuração!B:B),0)</f>
        <v>0.14285714285714285</v>
      </c>
    </row>
    <row r="2676" spans="1:71" ht="25.95" hidden="1" customHeight="1" x14ac:dyDescent="0.3">
      <c r="A2676" s="72" t="s">
        <v>44</v>
      </c>
      <c r="B2676" s="73" t="s">
        <v>44</v>
      </c>
      <c r="C2676" s="74" t="s">
        <v>95</v>
      </c>
      <c r="D2676" s="5" t="s">
        <v>36</v>
      </c>
      <c r="E2676" s="4" t="str" cm="1">
        <f t="array" ref="E2676">_xlfn.IFS(
F2676 = "A partir de Abril", "Aguardando Execução na Distribuidora",
A2676 = "CAPACITAÇÃO", "Em execução no Corporativo",
TRUE, "Em Execução na Distribuidora"
)</f>
        <v>Em Execução na Distribuidora</v>
      </c>
      <c r="F2676" s="4" t="str" cm="1">
        <f t="array" ref="F2676">_xlfn.IFS(
AG2676 &lt;&gt; "", "Jan-Dez/26",
AH2676 &lt;&gt; "", "Fev-Dez/26",
AI2676 &lt;&gt; "", "Mar-Dez/26", AJ2676 &lt;&gt; "", "Abr-Dez/26",
TRUE, "A partir de Junho"
)</f>
        <v>A partir de Junho</v>
      </c>
      <c r="G2676" s="75" t="s">
        <v>44</v>
      </c>
      <c r="H2676" s="76" t="s">
        <v>44</v>
      </c>
      <c r="I2676" s="77"/>
      <c r="J2676" s="77"/>
      <c r="K2676" s="77"/>
      <c r="L2676" s="77" t="s">
        <v>227</v>
      </c>
      <c r="M2676" s="78"/>
      <c r="N2676" s="74" t="s">
        <v>42</v>
      </c>
      <c r="O2676" s="74" t="s">
        <v>52</v>
      </c>
      <c r="P2676" s="75" t="s">
        <v>44</v>
      </c>
      <c r="Q2676" s="75" t="s">
        <v>44</v>
      </c>
      <c r="R2676" s="79" t="s">
        <v>44</v>
      </c>
      <c r="S2676" s="79" t="s">
        <v>44</v>
      </c>
      <c r="T2676" s="22"/>
      <c r="U2676" s="22"/>
      <c r="V2676" s="22"/>
      <c r="W2676" s="22"/>
      <c r="X2676" s="22"/>
      <c r="Y2676" s="22"/>
      <c r="Z2676" s="22"/>
      <c r="AA2676" s="22"/>
      <c r="AB2676" s="22"/>
      <c r="AC2676" s="22"/>
      <c r="AD2676" s="22"/>
      <c r="AE2676" s="22"/>
      <c r="AG2676" s="112"/>
      <c r="AH2676" s="112"/>
      <c r="AI2676" s="112"/>
      <c r="AJ2676" s="112"/>
      <c r="AK2676" s="112"/>
      <c r="AL2676" s="112"/>
      <c r="AM2676" s="112"/>
      <c r="AN2676" s="112"/>
      <c r="AO2676" s="112"/>
      <c r="AP2676" s="112"/>
      <c r="AQ2676" s="112"/>
      <c r="AR2676" s="112"/>
      <c r="AS2676" s="94"/>
      <c r="AT2676" s="95"/>
      <c r="AU2676" s="97"/>
      <c r="AW2676" s="88">
        <f>AG2676/100</f>
        <v>0</v>
      </c>
      <c r="AX2676" s="88">
        <f t="shared" ref="AX2676:AZ2676" si="3277">AH2676/100</f>
        <v>0</v>
      </c>
      <c r="AY2676" s="88">
        <f t="shared" si="3277"/>
        <v>0</v>
      </c>
      <c r="AZ2676" s="88">
        <f t="shared" si="3277"/>
        <v>0</v>
      </c>
      <c r="BA2676" s="88"/>
      <c r="BB2676" s="88"/>
      <c r="BC2676" s="88"/>
      <c r="BD2676" s="88"/>
      <c r="BE2676" s="88"/>
      <c r="BF2676" s="88"/>
      <c r="BG2676" s="88"/>
      <c r="BH2676" s="88"/>
      <c r="BI2676" s="68" cm="1">
        <f t="array" ref="BI2676">IFERROR(INDEX(AW2676:BH2676,1,MATCH(2,1/(AW2676:BH2676&lt;&gt;""))),"")</f>
        <v>0</v>
      </c>
      <c r="BJ2676" s="68" cm="1">
        <f t="array" ref="BJ2676">IF(BM2676 = "", "",IFERROR(INDEX(AW2676:BH2676,1,MATCH(2,1/(AW2676:BH2676&lt;&gt;""),1)-1),""))</f>
        <v>0</v>
      </c>
      <c r="BK2676" s="57" cm="1">
        <f t="array" ref="BK2676">IFERROR(INDEX(AW2676:BH2676,1,MATCH(2,1/(AW2676:BH2676&lt;&gt;""),1)),"")</f>
        <v>0</v>
      </c>
      <c r="BL2676" s="57" cm="1">
        <f t="array" ref="BL2676">IF(BM2676 = "", "",IFERROR(INDEX(AW2676:BH2676,1,MATCH(2,1/(AW2676:BH2676&lt;&gt;""),1)-1),""))</f>
        <v>0</v>
      </c>
      <c r="BM2676" s="55" cm="1">
        <f t="array" ref="BM2676">IFERROR(
   INDEX($AW$1:$BH$1,
      _xlfn.AGGREGATE(14, 6, COLUMN($AW$1:$BH$1)/(AW2676:BH2676&lt;&gt;""), 2) - COLUMN($AW$1) + 1
   ),
"")</f>
        <v>46082</v>
      </c>
      <c r="BN2676" s="55" cm="1">
        <f t="array" ref="BN2676">IFERROR(INDEX($AW$1:$BH$1,1,MATCH(2,1/(AW2676:BH2676&lt;&gt;""))),"")</f>
        <v>46113</v>
      </c>
      <c r="BO2676" s="53">
        <f ca="1">IFERROR(_xlfn.XLOOKUP(F2676,Apuração!A:A,Apuração!C:C)/_xlfn.XLOOKUP(F2676,Apuração!A:A,Apuração!B:B),0)</f>
        <v>0</v>
      </c>
      <c r="BP2676" s="53">
        <f ca="1">IFERROR(_xlfn.XLOOKUP(F2676,Apuração!A:A,Apuração!D:D)/_xlfn.XLOOKUP(F2676,Apuração!A:A,Apuração!B:B),0)</f>
        <v>0</v>
      </c>
      <c r="BQ2676" s="53">
        <f ca="1">IF(BK2676&gt;=BO2676,0,_xlfn.XLOOKUP(F2676,Apuração!A:A,Apuração!B:B)*(BO2676 + (1/_xlfn.XLOOKUP(F2676,Apuração!A:A,Apuração!B:B)) - BK2676))</f>
        <v>0</v>
      </c>
      <c r="BR2676" s="85">
        <f t="shared" ca="1" si="3271"/>
        <v>0</v>
      </c>
      <c r="BS2676" s="53">
        <f ca="1">IFERROR((_xlfn.XLOOKUP(F2676,Apuração!A:A,Apuração!C:C)+1)/_xlfn.XLOOKUP(F2676,Apuração!A:A,Apuração!B:B),0)</f>
        <v>0.14285714285714285</v>
      </c>
    </row>
    <row r="2677" spans="1:71" ht="25.95" hidden="1" customHeight="1" x14ac:dyDescent="0.3">
      <c r="A2677" s="35" t="s">
        <v>44</v>
      </c>
      <c r="B2677" s="10" t="s">
        <v>44</v>
      </c>
      <c r="C2677" s="5" t="s">
        <v>97</v>
      </c>
      <c r="D2677" s="5" t="s">
        <v>98</v>
      </c>
      <c r="E2677" s="4" t="str" cm="1">
        <f t="array" ref="E2677">_xlfn.IFS(
F2677 = "A partir de Abril", "Aguardando Execução na Distribuidora",
A2677 = "CAPACITAÇÃO", "Em execução no Corporativo",
TRUE, "Em Execução na Distribuidora"
)</f>
        <v>Em Execução na Distribuidora</v>
      </c>
      <c r="F2677" s="4" t="str" cm="1">
        <f t="array" ref="F2677">_xlfn.IFS(
AG2677 &lt;&gt; "", "Jan-Dez/26",
AH2677 &lt;&gt; "", "Fev-Dez/26",
AI2677 &lt;&gt; "", "Mar-Dez/26", AJ2677 &lt;&gt; "", "Abr-Dez/26",
TRUE, "A partir de Junho"
)</f>
        <v>A partir de Junho</v>
      </c>
      <c r="G2677" s="10" t="s">
        <v>44</v>
      </c>
      <c r="H2677" s="36" t="s">
        <v>44</v>
      </c>
      <c r="I2677" s="37"/>
      <c r="J2677" s="37"/>
      <c r="K2677" s="37"/>
      <c r="L2677" s="37" t="s">
        <v>201</v>
      </c>
      <c r="M2677" s="37"/>
      <c r="N2677" s="5" t="s">
        <v>42</v>
      </c>
      <c r="O2677" s="5" t="s">
        <v>52</v>
      </c>
      <c r="P2677" s="10" t="s">
        <v>44</v>
      </c>
      <c r="Q2677" s="10" t="s">
        <v>44</v>
      </c>
      <c r="R2677" s="11" t="s">
        <v>44</v>
      </c>
      <c r="S2677" s="11" t="s">
        <v>44</v>
      </c>
      <c r="T2677" s="22"/>
      <c r="U2677" s="22"/>
      <c r="V2677" s="22"/>
      <c r="W2677" s="22"/>
      <c r="X2677" s="22"/>
      <c r="Y2677" s="22"/>
      <c r="Z2677" s="22"/>
      <c r="AA2677" s="22"/>
      <c r="AB2677" s="22"/>
      <c r="AC2677" s="22"/>
      <c r="AD2677" s="22"/>
      <c r="AE2677" s="22"/>
      <c r="AG2677" s="112"/>
      <c r="AH2677" s="112"/>
      <c r="AI2677" s="112"/>
      <c r="AJ2677" s="71"/>
      <c r="AK2677" s="71"/>
      <c r="AL2677" s="71"/>
      <c r="AM2677" s="71"/>
      <c r="AN2677" s="71"/>
      <c r="AO2677" s="71"/>
      <c r="AP2677" s="71"/>
      <c r="AQ2677" s="71"/>
      <c r="AR2677" s="71"/>
      <c r="AS2677" s="94"/>
      <c r="AT2677" s="95"/>
      <c r="AU2677" s="97"/>
      <c r="AW2677" s="84">
        <f t="shared" ref="AW2677:AW2686" si="3278">AG2677</f>
        <v>0</v>
      </c>
      <c r="AX2677" s="84">
        <f t="shared" ref="AX2677:AX2686" si="3279">AH2677</f>
        <v>0</v>
      </c>
      <c r="AY2677" s="84">
        <f t="shared" ref="AY2677:AY2686" si="3280">AI2677</f>
        <v>0</v>
      </c>
      <c r="AZ2677" s="84"/>
      <c r="BA2677" s="84"/>
      <c r="BB2677" s="84"/>
      <c r="BC2677" s="84"/>
      <c r="BD2677" s="84"/>
      <c r="BE2677" s="84"/>
      <c r="BF2677" s="84"/>
      <c r="BG2677" s="84"/>
      <c r="BH2677" s="84"/>
      <c r="BI2677" s="68" cm="1">
        <f t="array" ref="BI2677">IFERROR(INDEX(AW2677:BH2677,1,MATCH(2,1/(AW2677:BH2677&lt;&gt;""))),"")</f>
        <v>0</v>
      </c>
      <c r="BJ2677" s="68" cm="1">
        <f t="array" ref="BJ2677">IF(BM2677 = "", "",IFERROR(INDEX(AW2677:BH2677,1,MATCH(2,1/(AW2677:BH2677&lt;&gt;""),1)-1),""))</f>
        <v>0</v>
      </c>
      <c r="BK2677" s="57" cm="1">
        <f t="array" ref="BK2677">IFERROR(INDEX(AW2677:BH2677,1,MATCH(2,1/(AW2677:BH2677&lt;&gt;""),1)),"")</f>
        <v>0</v>
      </c>
      <c r="BL2677" s="57" cm="1">
        <f t="array" ref="BL2677">IF(BM2677 = "", "",IFERROR(INDEX(AW2677:BH2677,1,MATCH(2,1/(AW2677:BH2677&lt;&gt;""),1)-1),""))</f>
        <v>0</v>
      </c>
      <c r="BM2677" s="55" cm="1">
        <f t="array" ref="BM2677">IFERROR(
   INDEX($AW$1:$BH$1,
      _xlfn.AGGREGATE(14, 6, COLUMN($AW$1:$BH$1)/(AW2677:BH2677&lt;&gt;""), 2) - COLUMN($AW$1) + 1
   ),
"")</f>
        <v>46054</v>
      </c>
      <c r="BN2677" s="55" cm="1">
        <f t="array" ref="BN2677">IFERROR(INDEX($AW$1:$BH$1,1,MATCH(2,1/(AW2677:BH2677&lt;&gt;""))),"")</f>
        <v>46082</v>
      </c>
      <c r="BO2677" s="53">
        <f ca="1">IFERROR(_xlfn.XLOOKUP(F2677,Apuração!A:A,Apuração!C:C)/_xlfn.XLOOKUP(F2677,Apuração!A:A,Apuração!B:B),0)</f>
        <v>0</v>
      </c>
      <c r="BP2677" s="53">
        <f ca="1">IFERROR(_xlfn.XLOOKUP(F2677,Apuração!A:A,Apuração!D:D)/_xlfn.XLOOKUP(F2677,Apuração!A:A,Apuração!B:B),0)</f>
        <v>0</v>
      </c>
      <c r="BQ2677" s="53">
        <f ca="1">IF(BK2677&gt;=BO2677,0,_xlfn.XLOOKUP(F2677,Apuração!A:A,Apuração!B:B)*(BO2677 + (1/_xlfn.XLOOKUP(F2677,Apuração!A:A,Apuração!B:B)) - BK2677))</f>
        <v>0</v>
      </c>
      <c r="BR2677" s="85">
        <f t="shared" ref="BR2677:BR2686" ca="1" si="3281">IF(BQ2677=0,0,BQ2677*Z2677)</f>
        <v>0</v>
      </c>
      <c r="BS2677" s="53">
        <f ca="1">IFERROR((_xlfn.XLOOKUP(F2677,Apuração!A:A,Apuração!C:C)+1)/_xlfn.XLOOKUP(F2677,Apuração!A:A,Apuração!B:B),0)</f>
        <v>0.14285714285714285</v>
      </c>
    </row>
    <row r="2678" spans="1:71" ht="25.95" hidden="1" customHeight="1" x14ac:dyDescent="0.3">
      <c r="A2678" s="35" t="s">
        <v>44</v>
      </c>
      <c r="B2678" s="10" t="s">
        <v>44</v>
      </c>
      <c r="C2678" s="5" t="s">
        <v>97</v>
      </c>
      <c r="D2678" s="5" t="s">
        <v>99</v>
      </c>
      <c r="E2678" s="4" t="str" cm="1">
        <f t="array" ref="E2678">_xlfn.IFS(
F2678 = "A partir de Abril", "Aguardando Execução na Distribuidora",
A2678 = "CAPACITAÇÃO", "Em execução no Corporativo",
TRUE, "Em Execução na Distribuidora"
)</f>
        <v>Em Execução na Distribuidora</v>
      </c>
      <c r="F2678" s="4" t="str" cm="1">
        <f t="array" ref="F2678">_xlfn.IFS(
AG2678 &lt;&gt; "", "Jan-Dez/26",
AH2678 &lt;&gt; "", "Fev-Dez/26",
AI2678 &lt;&gt; "", "Mar-Dez/26", AJ2678 &lt;&gt; "", "Abr-Dez/26",
TRUE, "A partir de Junho"
)</f>
        <v>A partir de Junho</v>
      </c>
      <c r="G2678" s="10" t="s">
        <v>44</v>
      </c>
      <c r="H2678" s="36" t="s">
        <v>44</v>
      </c>
      <c r="I2678" s="37"/>
      <c r="J2678" s="37"/>
      <c r="K2678" s="37"/>
      <c r="L2678" s="37" t="s">
        <v>201</v>
      </c>
      <c r="M2678" s="37"/>
      <c r="N2678" s="5" t="s">
        <v>42</v>
      </c>
      <c r="O2678" s="5" t="s">
        <v>52</v>
      </c>
      <c r="P2678" s="10" t="s">
        <v>44</v>
      </c>
      <c r="Q2678" s="10" t="s">
        <v>44</v>
      </c>
      <c r="R2678" s="11" t="s">
        <v>44</v>
      </c>
      <c r="S2678" s="11" t="s">
        <v>44</v>
      </c>
      <c r="T2678" s="22"/>
      <c r="U2678" s="22"/>
      <c r="V2678" s="22"/>
      <c r="W2678" s="22"/>
      <c r="X2678" s="22"/>
      <c r="Y2678" s="22"/>
      <c r="Z2678" s="22"/>
      <c r="AA2678" s="22"/>
      <c r="AB2678" s="22"/>
      <c r="AC2678" s="22"/>
      <c r="AD2678" s="22"/>
      <c r="AE2678" s="22"/>
      <c r="AG2678" s="112"/>
      <c r="AH2678" s="112"/>
      <c r="AI2678" s="112"/>
      <c r="AJ2678" s="71"/>
      <c r="AK2678" s="71"/>
      <c r="AL2678" s="71"/>
      <c r="AM2678" s="71"/>
      <c r="AN2678" s="71"/>
      <c r="AO2678" s="71"/>
      <c r="AP2678" s="71"/>
      <c r="AQ2678" s="71"/>
      <c r="AR2678" s="71"/>
      <c r="AS2678" s="94"/>
      <c r="AT2678" s="95"/>
      <c r="AU2678" s="97"/>
      <c r="AW2678" s="84">
        <f t="shared" si="3278"/>
        <v>0</v>
      </c>
      <c r="AX2678" s="84">
        <f t="shared" si="3279"/>
        <v>0</v>
      </c>
      <c r="AY2678" s="84">
        <f t="shared" si="3280"/>
        <v>0</v>
      </c>
      <c r="AZ2678" s="84"/>
      <c r="BA2678" s="84"/>
      <c r="BB2678" s="84"/>
      <c r="BC2678" s="84"/>
      <c r="BD2678" s="84"/>
      <c r="BE2678" s="84"/>
      <c r="BF2678" s="84"/>
      <c r="BG2678" s="84"/>
      <c r="BH2678" s="84"/>
      <c r="BI2678" s="68" cm="1">
        <f t="array" ref="BI2678">IFERROR(INDEX(AW2678:BH2678,1,MATCH(2,1/(AW2678:BH2678&lt;&gt;""))),"")</f>
        <v>0</v>
      </c>
      <c r="BJ2678" s="68" cm="1">
        <f t="array" ref="BJ2678">IF(BM2678 = "", "",IFERROR(INDEX(AW2678:BH2678,1,MATCH(2,1/(AW2678:BH2678&lt;&gt;""),1)-1),""))</f>
        <v>0</v>
      </c>
      <c r="BK2678" s="57" cm="1">
        <f t="array" ref="BK2678">IFERROR(INDEX(AW2678:BH2678,1,MATCH(2,1/(AW2678:BH2678&lt;&gt;""),1)),"")</f>
        <v>0</v>
      </c>
      <c r="BL2678" s="57" cm="1">
        <f t="array" ref="BL2678">IF(BM2678 = "", "",IFERROR(INDEX(AW2678:BH2678,1,MATCH(2,1/(AW2678:BH2678&lt;&gt;""),1)-1),""))</f>
        <v>0</v>
      </c>
      <c r="BM2678" s="55" cm="1">
        <f t="array" ref="BM2678">IFERROR(
   INDEX($AW$1:$BH$1,
      _xlfn.AGGREGATE(14, 6, COLUMN($AW$1:$BH$1)/(AW2678:BH2678&lt;&gt;""), 2) - COLUMN($AW$1) + 1
   ),
"")</f>
        <v>46054</v>
      </c>
      <c r="BN2678" s="55" cm="1">
        <f t="array" ref="BN2678">IFERROR(INDEX($AW$1:$BH$1,1,MATCH(2,1/(AW2678:BH2678&lt;&gt;""))),"")</f>
        <v>46082</v>
      </c>
      <c r="BO2678" s="53">
        <f ca="1">IFERROR(_xlfn.XLOOKUP(F2678,Apuração!A:A,Apuração!C:C)/_xlfn.XLOOKUP(F2678,Apuração!A:A,Apuração!B:B),0)</f>
        <v>0</v>
      </c>
      <c r="BP2678" s="53">
        <f ca="1">IFERROR(_xlfn.XLOOKUP(F2678,Apuração!A:A,Apuração!D:D)/_xlfn.XLOOKUP(F2678,Apuração!A:A,Apuração!B:B),0)</f>
        <v>0</v>
      </c>
      <c r="BQ2678" s="53">
        <f ca="1">IF(BK2678&gt;=BO2678,0,_xlfn.XLOOKUP(F2678,Apuração!A:A,Apuração!B:B)*(BO2678 + (1/_xlfn.XLOOKUP(F2678,Apuração!A:A,Apuração!B:B)) - BK2678))</f>
        <v>0</v>
      </c>
      <c r="BR2678" s="85">
        <f t="shared" ca="1" si="3281"/>
        <v>0</v>
      </c>
      <c r="BS2678" s="53">
        <f ca="1">IFERROR((_xlfn.XLOOKUP(F2678,Apuração!A:A,Apuração!C:C)+1)/_xlfn.XLOOKUP(F2678,Apuração!A:A,Apuração!B:B),0)</f>
        <v>0.14285714285714285</v>
      </c>
    </row>
    <row r="2679" spans="1:71" ht="25.95" hidden="1" customHeight="1" x14ac:dyDescent="0.3">
      <c r="A2679" s="35" t="s">
        <v>44</v>
      </c>
      <c r="B2679" s="10" t="s">
        <v>44</v>
      </c>
      <c r="C2679" s="5" t="s">
        <v>97</v>
      </c>
      <c r="D2679" s="5" t="s">
        <v>100</v>
      </c>
      <c r="E2679" s="4" t="str" cm="1">
        <f t="array" ref="E2679">_xlfn.IFS(
F2679 = "A partir de Abril", "Aguardando Execução na Distribuidora",
A2679 = "CAPACITAÇÃO", "Em execução no Corporativo",
TRUE, "Em Execução na Distribuidora"
)</f>
        <v>Em Execução na Distribuidora</v>
      </c>
      <c r="F2679" s="4" t="str" cm="1">
        <f t="array" ref="F2679">_xlfn.IFS(
AG2679 &lt;&gt; "", "Jan-Dez/26",
AH2679 &lt;&gt; "", "Fev-Dez/26",
AI2679 &lt;&gt; "", "Mar-Dez/26", AJ2679 &lt;&gt; "", "Abr-Dez/26",
TRUE, "A partir de Junho"
)</f>
        <v>A partir de Junho</v>
      </c>
      <c r="G2679" s="10" t="s">
        <v>44</v>
      </c>
      <c r="H2679" s="36" t="s">
        <v>44</v>
      </c>
      <c r="I2679" s="37"/>
      <c r="J2679" s="37"/>
      <c r="K2679" s="37"/>
      <c r="L2679" s="37" t="s">
        <v>201</v>
      </c>
      <c r="M2679" s="37"/>
      <c r="N2679" s="5" t="s">
        <v>42</v>
      </c>
      <c r="O2679" s="5" t="s">
        <v>52</v>
      </c>
      <c r="P2679" s="10" t="s">
        <v>44</v>
      </c>
      <c r="Q2679" s="10" t="s">
        <v>44</v>
      </c>
      <c r="R2679" s="11" t="s">
        <v>44</v>
      </c>
      <c r="S2679" s="11" t="s">
        <v>44</v>
      </c>
      <c r="T2679" s="22"/>
      <c r="U2679" s="22"/>
      <c r="V2679" s="22"/>
      <c r="W2679" s="22"/>
      <c r="X2679" s="22"/>
      <c r="Y2679" s="22"/>
      <c r="Z2679" s="22"/>
      <c r="AA2679" s="22"/>
      <c r="AB2679" s="22"/>
      <c r="AC2679" s="22"/>
      <c r="AD2679" s="22"/>
      <c r="AE2679" s="22"/>
      <c r="AG2679" s="112"/>
      <c r="AH2679" s="112"/>
      <c r="AI2679" s="112"/>
      <c r="AJ2679" s="71"/>
      <c r="AK2679" s="71"/>
      <c r="AL2679" s="71"/>
      <c r="AM2679" s="71"/>
      <c r="AN2679" s="71"/>
      <c r="AO2679" s="71"/>
      <c r="AP2679" s="71"/>
      <c r="AQ2679" s="71"/>
      <c r="AR2679" s="71"/>
      <c r="AS2679" s="94"/>
      <c r="AT2679" s="95"/>
      <c r="AU2679" s="97"/>
      <c r="AW2679" s="84">
        <f t="shared" si="3278"/>
        <v>0</v>
      </c>
      <c r="AX2679" s="84">
        <f t="shared" si="3279"/>
        <v>0</v>
      </c>
      <c r="AY2679" s="84">
        <f t="shared" si="3280"/>
        <v>0</v>
      </c>
      <c r="AZ2679" s="84"/>
      <c r="BA2679" s="84"/>
      <c r="BB2679" s="84"/>
      <c r="BC2679" s="84"/>
      <c r="BD2679" s="84"/>
      <c r="BE2679" s="84"/>
      <c r="BF2679" s="84"/>
      <c r="BG2679" s="84"/>
      <c r="BH2679" s="84"/>
      <c r="BI2679" s="68" cm="1">
        <f t="array" ref="BI2679">IFERROR(INDEX(AW2679:BH2679,1,MATCH(2,1/(AW2679:BH2679&lt;&gt;""))),"")</f>
        <v>0</v>
      </c>
      <c r="BJ2679" s="68" cm="1">
        <f t="array" ref="BJ2679">IF(BM2679 = "", "",IFERROR(INDEX(AW2679:BH2679,1,MATCH(2,1/(AW2679:BH2679&lt;&gt;""),1)-1),""))</f>
        <v>0</v>
      </c>
      <c r="BK2679" s="57" cm="1">
        <f t="array" ref="BK2679">IFERROR(INDEX(AW2679:BH2679,1,MATCH(2,1/(AW2679:BH2679&lt;&gt;""),1)),"")</f>
        <v>0</v>
      </c>
      <c r="BL2679" s="57" cm="1">
        <f t="array" ref="BL2679">IF(BM2679 = "", "",IFERROR(INDEX(AW2679:BH2679,1,MATCH(2,1/(AW2679:BH2679&lt;&gt;""),1)-1),""))</f>
        <v>0</v>
      </c>
      <c r="BM2679" s="55" cm="1">
        <f t="array" ref="BM2679">IFERROR(
   INDEX($AW$1:$BH$1,
      _xlfn.AGGREGATE(14, 6, COLUMN($AW$1:$BH$1)/(AW2679:BH2679&lt;&gt;""), 2) - COLUMN($AW$1) + 1
   ),
"")</f>
        <v>46054</v>
      </c>
      <c r="BN2679" s="55" cm="1">
        <f t="array" ref="BN2679">IFERROR(INDEX($AW$1:$BH$1,1,MATCH(2,1/(AW2679:BH2679&lt;&gt;""))),"")</f>
        <v>46082</v>
      </c>
      <c r="BO2679" s="53">
        <f ca="1">IFERROR(_xlfn.XLOOKUP(F2679,Apuração!A:A,Apuração!C:C)/_xlfn.XLOOKUP(F2679,Apuração!A:A,Apuração!B:B),0)</f>
        <v>0</v>
      </c>
      <c r="BP2679" s="53">
        <f ca="1">IFERROR(_xlfn.XLOOKUP(F2679,Apuração!A:A,Apuração!D:D)/_xlfn.XLOOKUP(F2679,Apuração!A:A,Apuração!B:B),0)</f>
        <v>0</v>
      </c>
      <c r="BQ2679" s="53">
        <f ca="1">IF(BK2679&gt;=BO2679,0,_xlfn.XLOOKUP(F2679,Apuração!A:A,Apuração!B:B)*(BO2679 + (1/_xlfn.XLOOKUP(F2679,Apuração!A:A,Apuração!B:B)) - BK2679))</f>
        <v>0</v>
      </c>
      <c r="BR2679" s="85">
        <f t="shared" ca="1" si="3281"/>
        <v>0</v>
      </c>
      <c r="BS2679" s="53">
        <f ca="1">IFERROR((_xlfn.XLOOKUP(F2679,Apuração!A:A,Apuração!C:C)+1)/_xlfn.XLOOKUP(F2679,Apuração!A:A,Apuração!B:B),0)</f>
        <v>0.14285714285714285</v>
      </c>
    </row>
    <row r="2680" spans="1:71" ht="25.95" hidden="1" customHeight="1" x14ac:dyDescent="0.3">
      <c r="A2680" s="35" t="s">
        <v>44</v>
      </c>
      <c r="B2680" s="10" t="s">
        <v>44</v>
      </c>
      <c r="C2680" s="5" t="s">
        <v>97</v>
      </c>
      <c r="D2680" s="5" t="s">
        <v>101</v>
      </c>
      <c r="E2680" s="4" t="str" cm="1">
        <f t="array" ref="E2680">_xlfn.IFS(
F2680 = "A partir de Abril", "Aguardando Execução na Distribuidora",
A2680 = "CAPACITAÇÃO", "Em execução no Corporativo",
TRUE, "Em Execução na Distribuidora"
)</f>
        <v>Em Execução na Distribuidora</v>
      </c>
      <c r="F2680" s="4" t="str" cm="1">
        <f t="array" ref="F2680">_xlfn.IFS(
AG2680 &lt;&gt; "", "Jan-Dez/26",
AH2680 &lt;&gt; "", "Fev-Dez/26",
AI2680 &lt;&gt; "", "Mar-Dez/26", AJ2680 &lt;&gt; "", "Abr-Dez/26",
TRUE, "A partir de Junho"
)</f>
        <v>A partir de Junho</v>
      </c>
      <c r="G2680" s="10" t="s">
        <v>44</v>
      </c>
      <c r="H2680" s="36" t="s">
        <v>44</v>
      </c>
      <c r="I2680" s="37"/>
      <c r="J2680" s="37"/>
      <c r="K2680" s="37"/>
      <c r="L2680" s="37" t="s">
        <v>201</v>
      </c>
      <c r="M2680" s="37"/>
      <c r="N2680" s="5" t="s">
        <v>42</v>
      </c>
      <c r="O2680" s="5" t="s">
        <v>52</v>
      </c>
      <c r="P2680" s="10" t="s">
        <v>44</v>
      </c>
      <c r="Q2680" s="10" t="s">
        <v>44</v>
      </c>
      <c r="R2680" s="11" t="s">
        <v>44</v>
      </c>
      <c r="S2680" s="11" t="s">
        <v>44</v>
      </c>
      <c r="T2680" s="22"/>
      <c r="U2680" s="22"/>
      <c r="V2680" s="22"/>
      <c r="W2680" s="22"/>
      <c r="X2680" s="22"/>
      <c r="Y2680" s="22"/>
      <c r="Z2680" s="22"/>
      <c r="AA2680" s="22"/>
      <c r="AB2680" s="22"/>
      <c r="AC2680" s="22"/>
      <c r="AD2680" s="22"/>
      <c r="AE2680" s="22"/>
      <c r="AG2680" s="112"/>
      <c r="AH2680" s="112"/>
      <c r="AI2680" s="112"/>
      <c r="AJ2680" s="71"/>
      <c r="AK2680" s="71"/>
      <c r="AL2680" s="71"/>
      <c r="AM2680" s="71"/>
      <c r="AN2680" s="71"/>
      <c r="AO2680" s="71"/>
      <c r="AP2680" s="71"/>
      <c r="AQ2680" s="71"/>
      <c r="AR2680" s="71"/>
      <c r="AS2680" s="94"/>
      <c r="AT2680" s="95"/>
      <c r="AU2680" s="97"/>
      <c r="AW2680" s="84">
        <f t="shared" si="3278"/>
        <v>0</v>
      </c>
      <c r="AX2680" s="84">
        <f t="shared" si="3279"/>
        <v>0</v>
      </c>
      <c r="AY2680" s="84">
        <f t="shared" si="3280"/>
        <v>0</v>
      </c>
      <c r="AZ2680" s="84"/>
      <c r="BA2680" s="84"/>
      <c r="BB2680" s="84"/>
      <c r="BC2680" s="84"/>
      <c r="BD2680" s="84"/>
      <c r="BE2680" s="84"/>
      <c r="BF2680" s="84"/>
      <c r="BG2680" s="84"/>
      <c r="BH2680" s="84"/>
      <c r="BI2680" s="68" cm="1">
        <f t="array" ref="BI2680">IFERROR(INDEX(AW2680:BH2680,1,MATCH(2,1/(AW2680:BH2680&lt;&gt;""))),"")</f>
        <v>0</v>
      </c>
      <c r="BJ2680" s="68" cm="1">
        <f t="array" ref="BJ2680">IF(BM2680 = "", "",IFERROR(INDEX(AW2680:BH2680,1,MATCH(2,1/(AW2680:BH2680&lt;&gt;""),1)-1),""))</f>
        <v>0</v>
      </c>
      <c r="BK2680" s="57" cm="1">
        <f t="array" ref="BK2680">IFERROR(INDEX(AW2680:BH2680,1,MATCH(2,1/(AW2680:BH2680&lt;&gt;""),1)),"")</f>
        <v>0</v>
      </c>
      <c r="BL2680" s="57" cm="1">
        <f t="array" ref="BL2680">IF(BM2680 = "", "",IFERROR(INDEX(AW2680:BH2680,1,MATCH(2,1/(AW2680:BH2680&lt;&gt;""),1)-1),""))</f>
        <v>0</v>
      </c>
      <c r="BM2680" s="55" cm="1">
        <f t="array" ref="BM2680">IFERROR(
   INDEX($AW$1:$BH$1,
      _xlfn.AGGREGATE(14, 6, COLUMN($AW$1:$BH$1)/(AW2680:BH2680&lt;&gt;""), 2) - COLUMN($AW$1) + 1
   ),
"")</f>
        <v>46054</v>
      </c>
      <c r="BN2680" s="55" cm="1">
        <f t="array" ref="BN2680">IFERROR(INDEX($AW$1:$BH$1,1,MATCH(2,1/(AW2680:BH2680&lt;&gt;""))),"")</f>
        <v>46082</v>
      </c>
      <c r="BO2680" s="53">
        <f ca="1">IFERROR(_xlfn.XLOOKUP(F2680,Apuração!A:A,Apuração!C:C)/_xlfn.XLOOKUP(F2680,Apuração!A:A,Apuração!B:B),0)</f>
        <v>0</v>
      </c>
      <c r="BP2680" s="53">
        <f ca="1">IFERROR(_xlfn.XLOOKUP(F2680,Apuração!A:A,Apuração!D:D)/_xlfn.XLOOKUP(F2680,Apuração!A:A,Apuração!B:B),0)</f>
        <v>0</v>
      </c>
      <c r="BQ2680" s="53">
        <f ca="1">IF(BK2680&gt;=BO2680,0,_xlfn.XLOOKUP(F2680,Apuração!A:A,Apuração!B:B)*(BO2680 + (1/_xlfn.XLOOKUP(F2680,Apuração!A:A,Apuração!B:B)) - BK2680))</f>
        <v>0</v>
      </c>
      <c r="BR2680" s="85">
        <f t="shared" ca="1" si="3281"/>
        <v>0</v>
      </c>
      <c r="BS2680" s="53">
        <f ca="1">IFERROR((_xlfn.XLOOKUP(F2680,Apuração!A:A,Apuração!C:C)+1)/_xlfn.XLOOKUP(F2680,Apuração!A:A,Apuração!B:B),0)</f>
        <v>0.14285714285714285</v>
      </c>
    </row>
    <row r="2681" spans="1:71" ht="25.95" hidden="1" customHeight="1" x14ac:dyDescent="0.3">
      <c r="A2681" s="35" t="s">
        <v>44</v>
      </c>
      <c r="B2681" s="10" t="s">
        <v>44</v>
      </c>
      <c r="C2681" s="5" t="s">
        <v>97</v>
      </c>
      <c r="D2681" s="5" t="s">
        <v>102</v>
      </c>
      <c r="E2681" s="4" t="str" cm="1">
        <f t="array" ref="E2681">_xlfn.IFS(
F2681 = "A partir de Abril", "Aguardando Execução na Distribuidora",
A2681 = "CAPACITAÇÃO", "Em execução no Corporativo",
TRUE, "Em Execução na Distribuidora"
)</f>
        <v>Em Execução na Distribuidora</v>
      </c>
      <c r="F2681" s="4" t="str" cm="1">
        <f t="array" ref="F2681">_xlfn.IFS(
AG2681 &lt;&gt; "", "Jan-Dez/26",
AH2681 &lt;&gt; "", "Fev-Dez/26",
AI2681 &lt;&gt; "", "Mar-Dez/26", AJ2681 &lt;&gt; "", "Abr-Dez/26",
TRUE, "A partir de Junho"
)</f>
        <v>A partir de Junho</v>
      </c>
      <c r="G2681" s="10" t="s">
        <v>44</v>
      </c>
      <c r="H2681" s="36" t="s">
        <v>44</v>
      </c>
      <c r="I2681" s="37"/>
      <c r="J2681" s="37"/>
      <c r="K2681" s="37"/>
      <c r="L2681" s="37" t="s">
        <v>201</v>
      </c>
      <c r="M2681" s="37"/>
      <c r="N2681" s="5" t="s">
        <v>42</v>
      </c>
      <c r="O2681" s="5" t="s">
        <v>52</v>
      </c>
      <c r="P2681" s="10" t="s">
        <v>44</v>
      </c>
      <c r="Q2681" s="10" t="s">
        <v>44</v>
      </c>
      <c r="R2681" s="11" t="s">
        <v>44</v>
      </c>
      <c r="S2681" s="11" t="s">
        <v>44</v>
      </c>
      <c r="T2681" s="22"/>
      <c r="U2681" s="22"/>
      <c r="V2681" s="22"/>
      <c r="W2681" s="22"/>
      <c r="X2681" s="22"/>
      <c r="Y2681" s="22"/>
      <c r="Z2681" s="22"/>
      <c r="AA2681" s="22"/>
      <c r="AB2681" s="22"/>
      <c r="AC2681" s="22"/>
      <c r="AD2681" s="22"/>
      <c r="AE2681" s="22"/>
      <c r="AG2681" s="112"/>
      <c r="AH2681" s="112"/>
      <c r="AI2681" s="112"/>
      <c r="AJ2681" s="71"/>
      <c r="AK2681" s="71"/>
      <c r="AL2681" s="71"/>
      <c r="AM2681" s="71"/>
      <c r="AN2681" s="71"/>
      <c r="AO2681" s="71"/>
      <c r="AP2681" s="71"/>
      <c r="AQ2681" s="71"/>
      <c r="AR2681" s="71"/>
      <c r="AS2681" s="94"/>
      <c r="AT2681" s="95"/>
      <c r="AU2681" s="97"/>
      <c r="AW2681" s="84">
        <f t="shared" si="3278"/>
        <v>0</v>
      </c>
      <c r="AX2681" s="84">
        <f t="shared" si="3279"/>
        <v>0</v>
      </c>
      <c r="AY2681" s="84">
        <f t="shared" si="3280"/>
        <v>0</v>
      </c>
      <c r="AZ2681" s="84"/>
      <c r="BA2681" s="84"/>
      <c r="BB2681" s="84"/>
      <c r="BC2681" s="84"/>
      <c r="BD2681" s="84"/>
      <c r="BE2681" s="84"/>
      <c r="BF2681" s="84"/>
      <c r="BG2681" s="84"/>
      <c r="BH2681" s="84"/>
      <c r="BI2681" s="68" cm="1">
        <f t="array" ref="BI2681">IFERROR(INDEX(AW2681:BH2681,1,MATCH(2,1/(AW2681:BH2681&lt;&gt;""))),"")</f>
        <v>0</v>
      </c>
      <c r="BJ2681" s="68" cm="1">
        <f t="array" ref="BJ2681">IF(BM2681 = "", "",IFERROR(INDEX(AW2681:BH2681,1,MATCH(2,1/(AW2681:BH2681&lt;&gt;""),1)-1),""))</f>
        <v>0</v>
      </c>
      <c r="BK2681" s="57" cm="1">
        <f t="array" ref="BK2681">IFERROR(INDEX(AW2681:BH2681,1,MATCH(2,1/(AW2681:BH2681&lt;&gt;""),1)),"")</f>
        <v>0</v>
      </c>
      <c r="BL2681" s="57" cm="1">
        <f t="array" ref="BL2681">IF(BM2681 = "", "",IFERROR(INDEX(AW2681:BH2681,1,MATCH(2,1/(AW2681:BH2681&lt;&gt;""),1)-1),""))</f>
        <v>0</v>
      </c>
      <c r="BM2681" s="55" cm="1">
        <f t="array" ref="BM2681">IFERROR(
   INDEX($AW$1:$BH$1,
      _xlfn.AGGREGATE(14, 6, COLUMN($AW$1:$BH$1)/(AW2681:BH2681&lt;&gt;""), 2) - COLUMN($AW$1) + 1
   ),
"")</f>
        <v>46054</v>
      </c>
      <c r="BN2681" s="55" cm="1">
        <f t="array" ref="BN2681">IFERROR(INDEX($AW$1:$BH$1,1,MATCH(2,1/(AW2681:BH2681&lt;&gt;""))),"")</f>
        <v>46082</v>
      </c>
      <c r="BO2681" s="53">
        <f ca="1">IFERROR(_xlfn.XLOOKUP(F2681,Apuração!A:A,Apuração!C:C)/_xlfn.XLOOKUP(F2681,Apuração!A:A,Apuração!B:B),0)</f>
        <v>0</v>
      </c>
      <c r="BP2681" s="53">
        <f ca="1">IFERROR(_xlfn.XLOOKUP(F2681,Apuração!A:A,Apuração!D:D)/_xlfn.XLOOKUP(F2681,Apuração!A:A,Apuração!B:B),0)</f>
        <v>0</v>
      </c>
      <c r="BQ2681" s="53">
        <f ca="1">IF(BK2681&gt;=BO2681,0,_xlfn.XLOOKUP(F2681,Apuração!A:A,Apuração!B:B)*(BO2681 + (1/_xlfn.XLOOKUP(F2681,Apuração!A:A,Apuração!B:B)) - BK2681))</f>
        <v>0</v>
      </c>
      <c r="BR2681" s="85">
        <f t="shared" ca="1" si="3281"/>
        <v>0</v>
      </c>
      <c r="BS2681" s="53">
        <f ca="1">IFERROR((_xlfn.XLOOKUP(F2681,Apuração!A:A,Apuração!C:C)+1)/_xlfn.XLOOKUP(F2681,Apuração!A:A,Apuração!B:B),0)</f>
        <v>0.14285714285714285</v>
      </c>
    </row>
    <row r="2682" spans="1:71" ht="25.95" hidden="1" customHeight="1" x14ac:dyDescent="0.3">
      <c r="A2682" s="35" t="s">
        <v>44</v>
      </c>
      <c r="B2682" s="10" t="s">
        <v>44</v>
      </c>
      <c r="C2682" s="5" t="s">
        <v>97</v>
      </c>
      <c r="D2682" s="5" t="s">
        <v>103</v>
      </c>
      <c r="E2682" s="4" t="str" cm="1">
        <f t="array" ref="E2682">_xlfn.IFS(
F2682 = "A partir de Abril", "Aguardando Execução na Distribuidora",
A2682 = "CAPACITAÇÃO", "Em execução no Corporativo",
TRUE, "Em Execução na Distribuidora"
)</f>
        <v>Em Execução na Distribuidora</v>
      </c>
      <c r="F2682" s="4" t="str" cm="1">
        <f t="array" ref="F2682">_xlfn.IFS(
AG2682 &lt;&gt; "", "Jan-Dez/26",
AH2682 &lt;&gt; "", "Fev-Dez/26",
AI2682 &lt;&gt; "", "Mar-Dez/26", AJ2682 &lt;&gt; "", "Abr-Dez/26",
TRUE, "A partir de Junho"
)</f>
        <v>A partir de Junho</v>
      </c>
      <c r="G2682" s="10" t="s">
        <v>44</v>
      </c>
      <c r="H2682" s="36" t="s">
        <v>44</v>
      </c>
      <c r="I2682" s="37"/>
      <c r="J2682" s="37"/>
      <c r="K2682" s="37"/>
      <c r="L2682" s="37" t="s">
        <v>201</v>
      </c>
      <c r="M2682" s="37"/>
      <c r="N2682" s="5" t="s">
        <v>42</v>
      </c>
      <c r="O2682" s="5" t="s">
        <v>52</v>
      </c>
      <c r="P2682" s="10" t="s">
        <v>44</v>
      </c>
      <c r="Q2682" s="10" t="s">
        <v>44</v>
      </c>
      <c r="R2682" s="11" t="s">
        <v>44</v>
      </c>
      <c r="S2682" s="11" t="s">
        <v>44</v>
      </c>
      <c r="T2682" s="22"/>
      <c r="U2682" s="22"/>
      <c r="V2682" s="22"/>
      <c r="W2682" s="22"/>
      <c r="X2682" s="22"/>
      <c r="Y2682" s="22"/>
      <c r="Z2682" s="22"/>
      <c r="AA2682" s="22"/>
      <c r="AB2682" s="22"/>
      <c r="AC2682" s="22"/>
      <c r="AD2682" s="22"/>
      <c r="AE2682" s="22"/>
      <c r="AG2682" s="112"/>
      <c r="AH2682" s="112"/>
      <c r="AI2682" s="112"/>
      <c r="AJ2682" s="71"/>
      <c r="AK2682" s="71"/>
      <c r="AL2682" s="71"/>
      <c r="AM2682" s="71"/>
      <c r="AN2682" s="71"/>
      <c r="AO2682" s="71"/>
      <c r="AP2682" s="71"/>
      <c r="AQ2682" s="71"/>
      <c r="AR2682" s="71"/>
      <c r="AS2682" s="94"/>
      <c r="AT2682" s="95"/>
      <c r="AU2682" s="97"/>
      <c r="AW2682" s="84">
        <f t="shared" si="3278"/>
        <v>0</v>
      </c>
      <c r="AX2682" s="84">
        <f t="shared" si="3279"/>
        <v>0</v>
      </c>
      <c r="AY2682" s="84">
        <f t="shared" si="3280"/>
        <v>0</v>
      </c>
      <c r="AZ2682" s="84"/>
      <c r="BA2682" s="84"/>
      <c r="BB2682" s="84"/>
      <c r="BC2682" s="84"/>
      <c r="BD2682" s="84"/>
      <c r="BE2682" s="84"/>
      <c r="BF2682" s="84"/>
      <c r="BG2682" s="84"/>
      <c r="BH2682" s="84"/>
      <c r="BI2682" s="68" cm="1">
        <f t="array" ref="BI2682">IFERROR(INDEX(AW2682:BH2682,1,MATCH(2,1/(AW2682:BH2682&lt;&gt;""))),"")</f>
        <v>0</v>
      </c>
      <c r="BJ2682" s="68" cm="1">
        <f t="array" ref="BJ2682">IF(BM2682 = "", "",IFERROR(INDEX(AW2682:BH2682,1,MATCH(2,1/(AW2682:BH2682&lt;&gt;""),1)-1),""))</f>
        <v>0</v>
      </c>
      <c r="BK2682" s="57" cm="1">
        <f t="array" ref="BK2682">IFERROR(INDEX(AW2682:BH2682,1,MATCH(2,1/(AW2682:BH2682&lt;&gt;""),1)),"")</f>
        <v>0</v>
      </c>
      <c r="BL2682" s="57" cm="1">
        <f t="array" ref="BL2682">IF(BM2682 = "", "",IFERROR(INDEX(AW2682:BH2682,1,MATCH(2,1/(AW2682:BH2682&lt;&gt;""),1)-1),""))</f>
        <v>0</v>
      </c>
      <c r="BM2682" s="55" cm="1">
        <f t="array" ref="BM2682">IFERROR(
   INDEX($AW$1:$BH$1,
      _xlfn.AGGREGATE(14, 6, COLUMN($AW$1:$BH$1)/(AW2682:BH2682&lt;&gt;""), 2) - COLUMN($AW$1) + 1
   ),
"")</f>
        <v>46054</v>
      </c>
      <c r="BN2682" s="55" cm="1">
        <f t="array" ref="BN2682">IFERROR(INDEX($AW$1:$BH$1,1,MATCH(2,1/(AW2682:BH2682&lt;&gt;""))),"")</f>
        <v>46082</v>
      </c>
      <c r="BO2682" s="53">
        <f ca="1">IFERROR(_xlfn.XLOOKUP(F2682,Apuração!A:A,Apuração!C:C)/_xlfn.XLOOKUP(F2682,Apuração!A:A,Apuração!B:B),0)</f>
        <v>0</v>
      </c>
      <c r="BP2682" s="53">
        <f ca="1">IFERROR(_xlfn.XLOOKUP(F2682,Apuração!A:A,Apuração!D:D)/_xlfn.XLOOKUP(F2682,Apuração!A:A,Apuração!B:B),0)</f>
        <v>0</v>
      </c>
      <c r="BQ2682" s="53">
        <f ca="1">IF(BK2682&gt;=BO2682,0,_xlfn.XLOOKUP(F2682,Apuração!A:A,Apuração!B:B)*(BO2682 + (1/_xlfn.XLOOKUP(F2682,Apuração!A:A,Apuração!B:B)) - BK2682))</f>
        <v>0</v>
      </c>
      <c r="BR2682" s="85">
        <f t="shared" ca="1" si="3281"/>
        <v>0</v>
      </c>
      <c r="BS2682" s="53">
        <f ca="1">IFERROR((_xlfn.XLOOKUP(F2682,Apuração!A:A,Apuração!C:C)+1)/_xlfn.XLOOKUP(F2682,Apuração!A:A,Apuração!B:B),0)</f>
        <v>0.14285714285714285</v>
      </c>
    </row>
    <row r="2683" spans="1:71" ht="25.95" hidden="1" customHeight="1" x14ac:dyDescent="0.3">
      <c r="A2683" s="35" t="s">
        <v>44</v>
      </c>
      <c r="B2683" s="10" t="s">
        <v>44</v>
      </c>
      <c r="C2683" s="5" t="s">
        <v>97</v>
      </c>
      <c r="D2683" s="5" t="s">
        <v>104</v>
      </c>
      <c r="E2683" s="4" t="str" cm="1">
        <f t="array" ref="E2683">_xlfn.IFS(
F2683 = "A partir de Abril", "Aguardando Execução na Distribuidora",
A2683 = "CAPACITAÇÃO", "Em execução no Corporativo",
TRUE, "Em Execução na Distribuidora"
)</f>
        <v>Em Execução na Distribuidora</v>
      </c>
      <c r="F2683" s="4" t="str" cm="1">
        <f t="array" ref="F2683">_xlfn.IFS(
AG2683 &lt;&gt; "", "Jan-Dez/26",
AH2683 &lt;&gt; "", "Fev-Dez/26",
AI2683 &lt;&gt; "", "Mar-Dez/26", AJ2683 &lt;&gt; "", "Abr-Dez/26",
TRUE, "A partir de Junho"
)</f>
        <v>A partir de Junho</v>
      </c>
      <c r="G2683" s="10" t="s">
        <v>44</v>
      </c>
      <c r="H2683" s="36" t="s">
        <v>44</v>
      </c>
      <c r="I2683" s="37"/>
      <c r="J2683" s="37"/>
      <c r="K2683" s="37"/>
      <c r="L2683" s="37" t="s">
        <v>201</v>
      </c>
      <c r="M2683" s="37"/>
      <c r="N2683" s="5" t="s">
        <v>42</v>
      </c>
      <c r="O2683" s="5" t="s">
        <v>52</v>
      </c>
      <c r="P2683" s="10" t="s">
        <v>44</v>
      </c>
      <c r="Q2683" s="10" t="s">
        <v>44</v>
      </c>
      <c r="R2683" s="11" t="s">
        <v>44</v>
      </c>
      <c r="S2683" s="11" t="s">
        <v>44</v>
      </c>
      <c r="T2683" s="22"/>
      <c r="U2683" s="22"/>
      <c r="V2683" s="22"/>
      <c r="W2683" s="22"/>
      <c r="X2683" s="22"/>
      <c r="Y2683" s="22"/>
      <c r="Z2683" s="22"/>
      <c r="AA2683" s="22"/>
      <c r="AB2683" s="22"/>
      <c r="AC2683" s="22"/>
      <c r="AD2683" s="22"/>
      <c r="AE2683" s="22"/>
      <c r="AG2683" s="112"/>
      <c r="AH2683" s="112"/>
      <c r="AI2683" s="112"/>
      <c r="AJ2683" s="71"/>
      <c r="AK2683" s="71"/>
      <c r="AL2683" s="71"/>
      <c r="AM2683" s="71"/>
      <c r="AN2683" s="71"/>
      <c r="AO2683" s="71"/>
      <c r="AP2683" s="71"/>
      <c r="AQ2683" s="71"/>
      <c r="AR2683" s="71"/>
      <c r="AS2683" s="94"/>
      <c r="AT2683" s="95"/>
      <c r="AU2683" s="97"/>
      <c r="AW2683" s="84">
        <f t="shared" si="3278"/>
        <v>0</v>
      </c>
      <c r="AX2683" s="84">
        <f t="shared" si="3279"/>
        <v>0</v>
      </c>
      <c r="AY2683" s="84">
        <f t="shared" si="3280"/>
        <v>0</v>
      </c>
      <c r="AZ2683" s="84"/>
      <c r="BA2683" s="84"/>
      <c r="BB2683" s="84"/>
      <c r="BC2683" s="84"/>
      <c r="BD2683" s="84"/>
      <c r="BE2683" s="84"/>
      <c r="BF2683" s="84"/>
      <c r="BG2683" s="84"/>
      <c r="BH2683" s="84"/>
      <c r="BI2683" s="68" cm="1">
        <f t="array" ref="BI2683">IFERROR(INDEX(AW2683:BH2683,1,MATCH(2,1/(AW2683:BH2683&lt;&gt;""))),"")</f>
        <v>0</v>
      </c>
      <c r="BJ2683" s="68" cm="1">
        <f t="array" ref="BJ2683">IF(BM2683 = "", "",IFERROR(INDEX(AW2683:BH2683,1,MATCH(2,1/(AW2683:BH2683&lt;&gt;""),1)-1),""))</f>
        <v>0</v>
      </c>
      <c r="BK2683" s="57" cm="1">
        <f t="array" ref="BK2683">IFERROR(INDEX(AW2683:BH2683,1,MATCH(2,1/(AW2683:BH2683&lt;&gt;""),1)),"")</f>
        <v>0</v>
      </c>
      <c r="BL2683" s="57" cm="1">
        <f t="array" ref="BL2683">IF(BM2683 = "", "",IFERROR(INDEX(AW2683:BH2683,1,MATCH(2,1/(AW2683:BH2683&lt;&gt;""),1)-1),""))</f>
        <v>0</v>
      </c>
      <c r="BM2683" s="55" cm="1">
        <f t="array" ref="BM2683">IFERROR(
   INDEX($AW$1:$BH$1,
      _xlfn.AGGREGATE(14, 6, COLUMN($AW$1:$BH$1)/(AW2683:BH2683&lt;&gt;""), 2) - COLUMN($AW$1) + 1
   ),
"")</f>
        <v>46054</v>
      </c>
      <c r="BN2683" s="55" cm="1">
        <f t="array" ref="BN2683">IFERROR(INDEX($AW$1:$BH$1,1,MATCH(2,1/(AW2683:BH2683&lt;&gt;""))),"")</f>
        <v>46082</v>
      </c>
      <c r="BO2683" s="53">
        <f ca="1">IFERROR(_xlfn.XLOOKUP(F2683,Apuração!A:A,Apuração!C:C)/_xlfn.XLOOKUP(F2683,Apuração!A:A,Apuração!B:B),0)</f>
        <v>0</v>
      </c>
      <c r="BP2683" s="53">
        <f ca="1">IFERROR(_xlfn.XLOOKUP(F2683,Apuração!A:A,Apuração!D:D)/_xlfn.XLOOKUP(F2683,Apuração!A:A,Apuração!B:B),0)</f>
        <v>0</v>
      </c>
      <c r="BQ2683" s="53">
        <f ca="1">IF(BK2683&gt;=BO2683,0,_xlfn.XLOOKUP(F2683,Apuração!A:A,Apuração!B:B)*(BO2683 + (1/_xlfn.XLOOKUP(F2683,Apuração!A:A,Apuração!B:B)) - BK2683))</f>
        <v>0</v>
      </c>
      <c r="BR2683" s="85">
        <f t="shared" ca="1" si="3281"/>
        <v>0</v>
      </c>
      <c r="BS2683" s="53">
        <f ca="1">IFERROR((_xlfn.XLOOKUP(F2683,Apuração!A:A,Apuração!C:C)+1)/_xlfn.XLOOKUP(F2683,Apuração!A:A,Apuração!B:B),0)</f>
        <v>0.14285714285714285</v>
      </c>
    </row>
    <row r="2684" spans="1:71" ht="25.95" hidden="1" customHeight="1" x14ac:dyDescent="0.3">
      <c r="A2684" s="35" t="s">
        <v>44</v>
      </c>
      <c r="B2684" s="10" t="s">
        <v>44</v>
      </c>
      <c r="C2684" s="5" t="s">
        <v>97</v>
      </c>
      <c r="D2684" s="5" t="s">
        <v>105</v>
      </c>
      <c r="E2684" s="4" t="str" cm="1">
        <f t="array" ref="E2684">_xlfn.IFS(
F2684 = "A partir de Abril", "Aguardando Execução na Distribuidora",
A2684 = "CAPACITAÇÃO", "Em execução no Corporativo",
TRUE, "Em Execução na Distribuidora"
)</f>
        <v>Em Execução na Distribuidora</v>
      </c>
      <c r="F2684" s="4" t="str" cm="1">
        <f t="array" ref="F2684">_xlfn.IFS(
AG2684 &lt;&gt; "", "Jan-Dez/26",
AH2684 &lt;&gt; "", "Fev-Dez/26",
AI2684 &lt;&gt; "", "Mar-Dez/26", AJ2684 &lt;&gt; "", "Abr-Dez/26",
TRUE, "A partir de Junho"
)</f>
        <v>A partir de Junho</v>
      </c>
      <c r="G2684" s="10" t="s">
        <v>44</v>
      </c>
      <c r="H2684" s="36" t="s">
        <v>44</v>
      </c>
      <c r="I2684" s="37"/>
      <c r="J2684" s="37"/>
      <c r="K2684" s="37"/>
      <c r="L2684" s="37" t="s">
        <v>201</v>
      </c>
      <c r="M2684" s="37"/>
      <c r="N2684" s="5" t="s">
        <v>42</v>
      </c>
      <c r="O2684" s="5" t="s">
        <v>52</v>
      </c>
      <c r="P2684" s="10" t="s">
        <v>44</v>
      </c>
      <c r="Q2684" s="10" t="s">
        <v>44</v>
      </c>
      <c r="R2684" s="11" t="s">
        <v>44</v>
      </c>
      <c r="S2684" s="11" t="s">
        <v>44</v>
      </c>
      <c r="T2684" s="22"/>
      <c r="U2684" s="22"/>
      <c r="V2684" s="22"/>
      <c r="W2684" s="22"/>
      <c r="X2684" s="22"/>
      <c r="Y2684" s="22"/>
      <c r="Z2684" s="22"/>
      <c r="AA2684" s="22"/>
      <c r="AB2684" s="22"/>
      <c r="AC2684" s="22"/>
      <c r="AD2684" s="22"/>
      <c r="AE2684" s="22"/>
      <c r="AG2684" s="112"/>
      <c r="AH2684" s="112"/>
      <c r="AI2684" s="112"/>
      <c r="AJ2684" s="71"/>
      <c r="AK2684" s="71"/>
      <c r="AL2684" s="71"/>
      <c r="AM2684" s="71"/>
      <c r="AN2684" s="71"/>
      <c r="AO2684" s="71"/>
      <c r="AP2684" s="71"/>
      <c r="AQ2684" s="71"/>
      <c r="AR2684" s="71"/>
      <c r="AS2684" s="94"/>
      <c r="AT2684" s="95"/>
      <c r="AU2684" s="97"/>
      <c r="AW2684" s="84">
        <f t="shared" si="3278"/>
        <v>0</v>
      </c>
      <c r="AX2684" s="84">
        <f t="shared" si="3279"/>
        <v>0</v>
      </c>
      <c r="AY2684" s="84">
        <f t="shared" si="3280"/>
        <v>0</v>
      </c>
      <c r="AZ2684" s="84"/>
      <c r="BA2684" s="84"/>
      <c r="BB2684" s="84"/>
      <c r="BC2684" s="84"/>
      <c r="BD2684" s="84"/>
      <c r="BE2684" s="84"/>
      <c r="BF2684" s="84"/>
      <c r="BG2684" s="84"/>
      <c r="BH2684" s="84"/>
      <c r="BI2684" s="68" cm="1">
        <f t="array" ref="BI2684">IFERROR(INDEX(AW2684:BH2684,1,MATCH(2,1/(AW2684:BH2684&lt;&gt;""))),"")</f>
        <v>0</v>
      </c>
      <c r="BJ2684" s="68" cm="1">
        <f t="array" ref="BJ2684">IF(BM2684 = "", "",IFERROR(INDEX(AW2684:BH2684,1,MATCH(2,1/(AW2684:BH2684&lt;&gt;""),1)-1),""))</f>
        <v>0</v>
      </c>
      <c r="BK2684" s="57" cm="1">
        <f t="array" ref="BK2684">IFERROR(INDEX(AW2684:BH2684,1,MATCH(2,1/(AW2684:BH2684&lt;&gt;""),1)),"")</f>
        <v>0</v>
      </c>
      <c r="BL2684" s="57" cm="1">
        <f t="array" ref="BL2684">IF(BM2684 = "", "",IFERROR(INDEX(AW2684:BH2684,1,MATCH(2,1/(AW2684:BH2684&lt;&gt;""),1)-1),""))</f>
        <v>0</v>
      </c>
      <c r="BM2684" s="55" cm="1">
        <f t="array" ref="BM2684">IFERROR(
   INDEX($AW$1:$BH$1,
      _xlfn.AGGREGATE(14, 6, COLUMN($AW$1:$BH$1)/(AW2684:BH2684&lt;&gt;""), 2) - COLUMN($AW$1) + 1
   ),
"")</f>
        <v>46054</v>
      </c>
      <c r="BN2684" s="55" cm="1">
        <f t="array" ref="BN2684">IFERROR(INDEX($AW$1:$BH$1,1,MATCH(2,1/(AW2684:BH2684&lt;&gt;""))),"")</f>
        <v>46082</v>
      </c>
      <c r="BO2684" s="53">
        <f ca="1">IFERROR(_xlfn.XLOOKUP(F2684,Apuração!A:A,Apuração!C:C)/_xlfn.XLOOKUP(F2684,Apuração!A:A,Apuração!B:B),0)</f>
        <v>0</v>
      </c>
      <c r="BP2684" s="53">
        <f ca="1">IFERROR(_xlfn.XLOOKUP(F2684,Apuração!A:A,Apuração!D:D)/_xlfn.XLOOKUP(F2684,Apuração!A:A,Apuração!B:B),0)</f>
        <v>0</v>
      </c>
      <c r="BQ2684" s="53">
        <f ca="1">IF(BK2684&gt;=BO2684,0,_xlfn.XLOOKUP(F2684,Apuração!A:A,Apuração!B:B)*(BO2684 + (1/_xlfn.XLOOKUP(F2684,Apuração!A:A,Apuração!B:B)) - BK2684))</f>
        <v>0</v>
      </c>
      <c r="BR2684" s="85">
        <f t="shared" ca="1" si="3281"/>
        <v>0</v>
      </c>
      <c r="BS2684" s="53">
        <f ca="1">IFERROR((_xlfn.XLOOKUP(F2684,Apuração!A:A,Apuração!C:C)+1)/_xlfn.XLOOKUP(F2684,Apuração!A:A,Apuração!B:B),0)</f>
        <v>0.14285714285714285</v>
      </c>
    </row>
    <row r="2685" spans="1:71" ht="25.95" hidden="1" customHeight="1" x14ac:dyDescent="0.3">
      <c r="A2685" s="35" t="s">
        <v>44</v>
      </c>
      <c r="B2685" s="10" t="s">
        <v>44</v>
      </c>
      <c r="C2685" s="5" t="s">
        <v>97</v>
      </c>
      <c r="D2685" s="5" t="s">
        <v>106</v>
      </c>
      <c r="E2685" s="4" t="str" cm="1">
        <f t="array" ref="E2685">_xlfn.IFS(
F2685 = "A partir de Abril", "Aguardando Execução na Distribuidora",
A2685 = "CAPACITAÇÃO", "Em execução no Corporativo",
TRUE, "Em Execução na Distribuidora"
)</f>
        <v>Em Execução na Distribuidora</v>
      </c>
      <c r="F2685" s="4" t="str" cm="1">
        <f t="array" ref="F2685">_xlfn.IFS(
AG2685 &lt;&gt; "", "Jan-Dez/26",
AH2685 &lt;&gt; "", "Fev-Dez/26",
AI2685 &lt;&gt; "", "Mar-Dez/26", AJ2685 &lt;&gt; "", "Abr-Dez/26",
TRUE, "A partir de Junho"
)</f>
        <v>A partir de Junho</v>
      </c>
      <c r="G2685" s="10" t="s">
        <v>44</v>
      </c>
      <c r="H2685" s="36" t="s">
        <v>44</v>
      </c>
      <c r="I2685" s="37"/>
      <c r="J2685" s="37"/>
      <c r="K2685" s="37"/>
      <c r="L2685" s="37" t="s">
        <v>201</v>
      </c>
      <c r="M2685" s="37"/>
      <c r="N2685" s="5" t="s">
        <v>42</v>
      </c>
      <c r="O2685" s="5" t="s">
        <v>52</v>
      </c>
      <c r="P2685" s="10" t="s">
        <v>44</v>
      </c>
      <c r="Q2685" s="10" t="s">
        <v>44</v>
      </c>
      <c r="R2685" s="11" t="s">
        <v>44</v>
      </c>
      <c r="S2685" s="11" t="s">
        <v>44</v>
      </c>
      <c r="T2685" s="22"/>
      <c r="U2685" s="22"/>
      <c r="V2685" s="22"/>
      <c r="W2685" s="22"/>
      <c r="X2685" s="22"/>
      <c r="Y2685" s="22"/>
      <c r="Z2685" s="22"/>
      <c r="AA2685" s="22"/>
      <c r="AB2685" s="22"/>
      <c r="AC2685" s="22"/>
      <c r="AD2685" s="22"/>
      <c r="AE2685" s="22"/>
      <c r="AG2685" s="112"/>
      <c r="AH2685" s="112"/>
      <c r="AI2685" s="112"/>
      <c r="AJ2685" s="71"/>
      <c r="AK2685" s="71"/>
      <c r="AL2685" s="71"/>
      <c r="AM2685" s="71"/>
      <c r="AN2685" s="71"/>
      <c r="AO2685" s="71"/>
      <c r="AP2685" s="71"/>
      <c r="AQ2685" s="71"/>
      <c r="AR2685" s="71"/>
      <c r="AS2685" s="94"/>
      <c r="AT2685" s="95"/>
      <c r="AU2685" s="97"/>
      <c r="AW2685" s="84">
        <f t="shared" si="3278"/>
        <v>0</v>
      </c>
      <c r="AX2685" s="84">
        <f t="shared" si="3279"/>
        <v>0</v>
      </c>
      <c r="AY2685" s="84">
        <f t="shared" si="3280"/>
        <v>0</v>
      </c>
      <c r="AZ2685" s="84"/>
      <c r="BA2685" s="84"/>
      <c r="BB2685" s="84"/>
      <c r="BC2685" s="84"/>
      <c r="BD2685" s="84"/>
      <c r="BE2685" s="84"/>
      <c r="BF2685" s="84"/>
      <c r="BG2685" s="84"/>
      <c r="BH2685" s="84"/>
      <c r="BI2685" s="68" cm="1">
        <f t="array" ref="BI2685">IFERROR(INDEX(AW2685:BH2685,1,MATCH(2,1/(AW2685:BH2685&lt;&gt;""))),"")</f>
        <v>0</v>
      </c>
      <c r="BJ2685" s="68" cm="1">
        <f t="array" ref="BJ2685">IF(BM2685 = "", "",IFERROR(INDEX(AW2685:BH2685,1,MATCH(2,1/(AW2685:BH2685&lt;&gt;""),1)-1),""))</f>
        <v>0</v>
      </c>
      <c r="BK2685" s="57" cm="1">
        <f t="array" ref="BK2685">IFERROR(INDEX(AW2685:BH2685,1,MATCH(2,1/(AW2685:BH2685&lt;&gt;""),1)),"")</f>
        <v>0</v>
      </c>
      <c r="BL2685" s="57" cm="1">
        <f t="array" ref="BL2685">IF(BM2685 = "", "",IFERROR(INDEX(AW2685:BH2685,1,MATCH(2,1/(AW2685:BH2685&lt;&gt;""),1)-1),""))</f>
        <v>0</v>
      </c>
      <c r="BM2685" s="55" cm="1">
        <f t="array" ref="BM2685">IFERROR(
   INDEX($AW$1:$BH$1,
      _xlfn.AGGREGATE(14, 6, COLUMN($AW$1:$BH$1)/(AW2685:BH2685&lt;&gt;""), 2) - COLUMN($AW$1) + 1
   ),
"")</f>
        <v>46054</v>
      </c>
      <c r="BN2685" s="55" cm="1">
        <f t="array" ref="BN2685">IFERROR(INDEX($AW$1:$BH$1,1,MATCH(2,1/(AW2685:BH2685&lt;&gt;""))),"")</f>
        <v>46082</v>
      </c>
      <c r="BO2685" s="53">
        <f ca="1">IFERROR(_xlfn.XLOOKUP(F2685,Apuração!A:A,Apuração!C:C)/_xlfn.XLOOKUP(F2685,Apuração!A:A,Apuração!B:B),0)</f>
        <v>0</v>
      </c>
      <c r="BP2685" s="53">
        <f ca="1">IFERROR(_xlfn.XLOOKUP(F2685,Apuração!A:A,Apuração!D:D)/_xlfn.XLOOKUP(F2685,Apuração!A:A,Apuração!B:B),0)</f>
        <v>0</v>
      </c>
      <c r="BQ2685" s="53">
        <f ca="1">IF(BK2685&gt;=BO2685,0,_xlfn.XLOOKUP(F2685,Apuração!A:A,Apuração!B:B)*(BO2685 + (1/_xlfn.XLOOKUP(F2685,Apuração!A:A,Apuração!B:B)) - BK2685))</f>
        <v>0</v>
      </c>
      <c r="BR2685" s="85">
        <f t="shared" ca="1" si="3281"/>
        <v>0</v>
      </c>
      <c r="BS2685" s="53">
        <f ca="1">IFERROR((_xlfn.XLOOKUP(F2685,Apuração!A:A,Apuração!C:C)+1)/_xlfn.XLOOKUP(F2685,Apuração!A:A,Apuração!B:B),0)</f>
        <v>0.14285714285714285</v>
      </c>
    </row>
    <row r="2686" spans="1:71" ht="25.95" hidden="1" customHeight="1" x14ac:dyDescent="0.3">
      <c r="A2686" s="35" t="s">
        <v>44</v>
      </c>
      <c r="B2686" s="10" t="s">
        <v>44</v>
      </c>
      <c r="C2686" s="5" t="s">
        <v>97</v>
      </c>
      <c r="D2686" s="5" t="s">
        <v>107</v>
      </c>
      <c r="E2686" s="4" t="str" cm="1">
        <f t="array" ref="E2686">_xlfn.IFS(
F2686 = "A partir de Abril", "Aguardando Execução na Distribuidora",
A2686 = "CAPACITAÇÃO", "Em execução no Corporativo",
TRUE, "Em Execução na Distribuidora"
)</f>
        <v>Em Execução na Distribuidora</v>
      </c>
      <c r="F2686" s="4" t="str" cm="1">
        <f t="array" ref="F2686">_xlfn.IFS(
AG2686 &lt;&gt; "", "Jan-Dez/26",
AH2686 &lt;&gt; "", "Fev-Dez/26",
AI2686 &lt;&gt; "", "Mar-Dez/26", AJ2686 &lt;&gt; "", "Abr-Dez/26",
TRUE, "A partir de Junho"
)</f>
        <v>A partir de Junho</v>
      </c>
      <c r="G2686" s="10" t="s">
        <v>44</v>
      </c>
      <c r="H2686" s="36" t="s">
        <v>44</v>
      </c>
      <c r="I2686" s="37"/>
      <c r="J2686" s="37"/>
      <c r="K2686" s="37"/>
      <c r="L2686" s="37" t="s">
        <v>201</v>
      </c>
      <c r="M2686" s="37"/>
      <c r="N2686" s="5" t="s">
        <v>42</v>
      </c>
      <c r="O2686" s="5" t="s">
        <v>52</v>
      </c>
      <c r="P2686" s="10" t="s">
        <v>44</v>
      </c>
      <c r="Q2686" s="10" t="s">
        <v>44</v>
      </c>
      <c r="R2686" s="11" t="s">
        <v>44</v>
      </c>
      <c r="S2686" s="11" t="s">
        <v>44</v>
      </c>
      <c r="T2686" s="22"/>
      <c r="U2686" s="22"/>
      <c r="V2686" s="22"/>
      <c r="W2686" s="22"/>
      <c r="X2686" s="22"/>
      <c r="Y2686" s="22"/>
      <c r="Z2686" s="22"/>
      <c r="AA2686" s="22"/>
      <c r="AB2686" s="22"/>
      <c r="AC2686" s="22"/>
      <c r="AD2686" s="22"/>
      <c r="AE2686" s="22"/>
      <c r="AG2686" s="112"/>
      <c r="AH2686" s="112"/>
      <c r="AI2686" s="112"/>
      <c r="AJ2686" s="71"/>
      <c r="AK2686" s="71"/>
      <c r="AL2686" s="71"/>
      <c r="AM2686" s="71"/>
      <c r="AN2686" s="71"/>
      <c r="AO2686" s="71"/>
      <c r="AP2686" s="71"/>
      <c r="AQ2686" s="71"/>
      <c r="AR2686" s="71"/>
      <c r="AS2686" s="94"/>
      <c r="AT2686" s="95"/>
      <c r="AU2686" s="97"/>
      <c r="AW2686" s="84">
        <f t="shared" si="3278"/>
        <v>0</v>
      </c>
      <c r="AX2686" s="84">
        <f t="shared" si="3279"/>
        <v>0</v>
      </c>
      <c r="AY2686" s="84">
        <f t="shared" si="3280"/>
        <v>0</v>
      </c>
      <c r="AZ2686" s="84"/>
      <c r="BA2686" s="84"/>
      <c r="BB2686" s="84"/>
      <c r="BC2686" s="84"/>
      <c r="BD2686" s="84"/>
      <c r="BE2686" s="84"/>
      <c r="BF2686" s="84"/>
      <c r="BG2686" s="84"/>
      <c r="BH2686" s="84"/>
      <c r="BI2686" s="68" cm="1">
        <f t="array" ref="BI2686">IFERROR(INDEX(AW2686:BH2686,1,MATCH(2,1/(AW2686:BH2686&lt;&gt;""))),"")</f>
        <v>0</v>
      </c>
      <c r="BJ2686" s="68" cm="1">
        <f t="array" ref="BJ2686">IF(BM2686 = "", "",IFERROR(INDEX(AW2686:BH2686,1,MATCH(2,1/(AW2686:BH2686&lt;&gt;""),1)-1),""))</f>
        <v>0</v>
      </c>
      <c r="BK2686" s="57" cm="1">
        <f t="array" ref="BK2686">IFERROR(INDEX(AW2686:BH2686,1,MATCH(2,1/(AW2686:BH2686&lt;&gt;""),1)),"")</f>
        <v>0</v>
      </c>
      <c r="BL2686" s="57" cm="1">
        <f t="array" ref="BL2686">IF(BM2686 = "", "",IFERROR(INDEX(AW2686:BH2686,1,MATCH(2,1/(AW2686:BH2686&lt;&gt;""),1)-1),""))</f>
        <v>0</v>
      </c>
      <c r="BM2686" s="55" cm="1">
        <f t="array" ref="BM2686">IFERROR(
   INDEX($AW$1:$BH$1,
      _xlfn.AGGREGATE(14, 6, COLUMN($AW$1:$BH$1)/(AW2686:BH2686&lt;&gt;""), 2) - COLUMN($AW$1) + 1
   ),
"")</f>
        <v>46054</v>
      </c>
      <c r="BN2686" s="55" cm="1">
        <f t="array" ref="BN2686">IFERROR(INDEX($AW$1:$BH$1,1,MATCH(2,1/(AW2686:BH2686&lt;&gt;""))),"")</f>
        <v>46082</v>
      </c>
      <c r="BO2686" s="53">
        <f ca="1">IFERROR(_xlfn.XLOOKUP(F2686,Apuração!A:A,Apuração!C:C)/_xlfn.XLOOKUP(F2686,Apuração!A:A,Apuração!B:B),0)</f>
        <v>0</v>
      </c>
      <c r="BP2686" s="53">
        <f ca="1">IFERROR(_xlfn.XLOOKUP(F2686,Apuração!A:A,Apuração!D:D)/_xlfn.XLOOKUP(F2686,Apuração!A:A,Apuração!B:B),0)</f>
        <v>0</v>
      </c>
      <c r="BQ2686" s="53">
        <f ca="1">IF(BK2686&gt;=BO2686,0,_xlfn.XLOOKUP(F2686,Apuração!A:A,Apuração!B:B)*(BO2686 + (1/_xlfn.XLOOKUP(F2686,Apuração!A:A,Apuração!B:B)) - BK2686))</f>
        <v>0</v>
      </c>
      <c r="BR2686" s="85">
        <f t="shared" ca="1" si="3281"/>
        <v>0</v>
      </c>
      <c r="BS2686" s="53">
        <f ca="1">IFERROR((_xlfn.XLOOKUP(F2686,Apuração!A:A,Apuração!C:C)+1)/_xlfn.XLOOKUP(F2686,Apuração!A:A,Apuração!B:B),0)</f>
        <v>0.14285714285714285</v>
      </c>
    </row>
    <row r="2687" spans="1:71" ht="25.95" hidden="1" customHeight="1" x14ac:dyDescent="0.3">
      <c r="A2687" s="72" t="s">
        <v>44</v>
      </c>
      <c r="B2687" s="73" t="s">
        <v>44</v>
      </c>
      <c r="C2687" s="74" t="s">
        <v>97</v>
      </c>
      <c r="D2687" s="5" t="s">
        <v>36</v>
      </c>
      <c r="E2687" s="4" t="str" cm="1">
        <f t="array" ref="E2687">_xlfn.IFS(
F2687 = "A partir de Abril", "Aguardando Execução na Distribuidora",
A2687 = "CAPACITAÇÃO", "Em execução no Corporativo",
TRUE, "Em Execução na Distribuidora"
)</f>
        <v>Em Execução na Distribuidora</v>
      </c>
      <c r="F2687" s="4" t="str" cm="1">
        <f t="array" ref="F2687">_xlfn.IFS(
AG2687 &lt;&gt; "", "Jan-Dez/26",
AH2687 &lt;&gt; "", "Fev-Dez/26",
AI2687 &lt;&gt; "", "Mar-Dez/26", AJ2687 &lt;&gt; "", "Abr-Dez/26",
TRUE, "A partir de Junho"
)</f>
        <v>Jan-Dez/26</v>
      </c>
      <c r="G2687" s="75" t="s">
        <v>44</v>
      </c>
      <c r="H2687" s="76" t="s">
        <v>44</v>
      </c>
      <c r="I2687" s="77"/>
      <c r="J2687" s="77"/>
      <c r="K2687" s="77"/>
      <c r="L2687" s="77" t="s">
        <v>240</v>
      </c>
      <c r="M2687" s="78"/>
      <c r="N2687" s="74" t="s">
        <v>42</v>
      </c>
      <c r="O2687" s="74" t="s">
        <v>52</v>
      </c>
      <c r="P2687" s="75" t="s">
        <v>44</v>
      </c>
      <c r="Q2687" s="75" t="s">
        <v>44</v>
      </c>
      <c r="R2687" s="79" t="s">
        <v>44</v>
      </c>
      <c r="S2687" s="79" t="s">
        <v>44</v>
      </c>
      <c r="T2687" s="22"/>
      <c r="U2687" s="22"/>
      <c r="V2687" s="22"/>
      <c r="W2687" s="22"/>
      <c r="X2687" s="22"/>
      <c r="Y2687" s="22"/>
      <c r="Z2687" s="22"/>
      <c r="AA2687" s="22"/>
      <c r="AB2687" s="22"/>
      <c r="AC2687" s="22"/>
      <c r="AD2687" s="22"/>
      <c r="AE2687" s="22"/>
      <c r="AG2687" s="112">
        <v>105</v>
      </c>
      <c r="AH2687" s="112">
        <v>4364.6499999999996</v>
      </c>
      <c r="AI2687" s="112">
        <v>37.69</v>
      </c>
      <c r="AJ2687" s="112">
        <v>1197.04</v>
      </c>
      <c r="AK2687" s="112"/>
      <c r="AL2687" s="112"/>
      <c r="AM2687" s="112"/>
      <c r="AN2687" s="112"/>
      <c r="AO2687" s="112"/>
      <c r="AP2687" s="112"/>
      <c r="AQ2687" s="112"/>
      <c r="AR2687" s="112"/>
      <c r="AS2687" s="94"/>
      <c r="AT2687" s="95"/>
      <c r="AU2687" s="97"/>
      <c r="AW2687" s="84">
        <f>AG2687</f>
        <v>105</v>
      </c>
      <c r="AX2687" s="84">
        <f>AH2687</f>
        <v>4364.6499999999996</v>
      </c>
      <c r="AY2687" s="84">
        <f>AI2687</f>
        <v>37.69</v>
      </c>
      <c r="AZ2687" s="84">
        <f>AJ2687</f>
        <v>1197.04</v>
      </c>
      <c r="BA2687" s="84"/>
      <c r="BB2687" s="84"/>
      <c r="BC2687" s="84"/>
      <c r="BD2687" s="84"/>
      <c r="BE2687" s="84"/>
      <c r="BF2687" s="84"/>
      <c r="BG2687" s="84"/>
      <c r="BH2687" s="84"/>
      <c r="BI2687" s="68" cm="1">
        <f t="array" ref="BI2687">IFERROR(INDEX(AW2687:BH2687,1,MATCH(2,1/(AW2687:BH2687&lt;&gt;""))),"")</f>
        <v>1197.04</v>
      </c>
      <c r="BJ2687" s="68" cm="1">
        <f t="array" ref="BJ2687">IF(BM2687 = "", "",IFERROR(INDEX(AW2687:BH2687,1,MATCH(2,1/(AW2687:BH2687&lt;&gt;""),1)-1),""))</f>
        <v>37.69</v>
      </c>
      <c r="BK2687" s="57" cm="1">
        <f t="array" ref="BK2687">IFERROR(INDEX(AW2687:BH2687,1,MATCH(2,1/(AW2687:BH2687&lt;&gt;""),1)),"")</f>
        <v>1197.04</v>
      </c>
      <c r="BL2687" s="57" cm="1">
        <f t="array" ref="BL2687">IF(BM2687 = "", "",IFERROR(INDEX(AW2687:BH2687,1,MATCH(2,1/(AW2687:BH2687&lt;&gt;""),1)-1),""))</f>
        <v>37.69</v>
      </c>
      <c r="BM2687" s="55" cm="1">
        <f t="array" ref="BM2687">IFERROR(
   INDEX($AW$1:$BH$1,
      _xlfn.AGGREGATE(14, 6, COLUMN($AW$1:$BH$1)/(AW2687:BH2687&lt;&gt;""), 2) - COLUMN($AW$1) + 1
   ),
"")</f>
        <v>46082</v>
      </c>
      <c r="BN2687" s="55" cm="1">
        <f t="array" ref="BN2687">IFERROR(INDEX($AW$1:$BH$1,1,MATCH(2,1/(AW2687:BH2687&lt;&gt;""))),"")</f>
        <v>46113</v>
      </c>
      <c r="BO2687" s="53">
        <f ca="1">IFERROR(_xlfn.XLOOKUP(F2687,Apuração!A:A,Apuração!C:C)/_xlfn.XLOOKUP(F2687,Apuração!A:A,Apuração!B:B),0)</f>
        <v>0.41666666666666669</v>
      </c>
      <c r="BP2687" s="53">
        <f ca="1">IFERROR(_xlfn.XLOOKUP(F2687,Apuração!A:A,Apuração!D:D)/_xlfn.XLOOKUP(F2687,Apuração!A:A,Apuração!B:B),0)</f>
        <v>0.33333333333333331</v>
      </c>
      <c r="BQ2687" s="53">
        <f ca="1">IF(BK2687&gt;=BO2687,0,_xlfn.XLOOKUP(F2687,Apuração!A:A,Apuração!B:B)*(BO2687 + (1/_xlfn.XLOOKUP(F2687,Apuração!A:A,Apuração!B:B)) - BK2687))</f>
        <v>0</v>
      </c>
      <c r="BR2687" s="85">
        <f ca="1">IF(BQ2687=0,0,BQ2687*Z2687)</f>
        <v>0</v>
      </c>
      <c r="BS2687" s="53">
        <f ca="1">IFERROR((_xlfn.XLOOKUP(F2687,Apuração!A:A,Apuração!C:C)+1)/_xlfn.XLOOKUP(F2687,Apuração!A:A,Apuração!B:B),0)</f>
        <v>0.5</v>
      </c>
    </row>
    <row r="2688" spans="1:71" ht="25.95" hidden="1" customHeight="1" x14ac:dyDescent="0.3">
      <c r="A2688" s="72" t="s">
        <v>44</v>
      </c>
      <c r="B2688" s="73" t="s">
        <v>44</v>
      </c>
      <c r="C2688" s="74" t="s">
        <v>97</v>
      </c>
      <c r="D2688" s="5" t="s">
        <v>98</v>
      </c>
      <c r="E2688" s="4" t="str" cm="1">
        <f t="array" ref="E2688">_xlfn.IFS(
F2688 = "A partir de Abril", "Aguardando Execução na Distribuidora",
A2688 = "CAPACITAÇÃO", "Em execução no Corporativo",
TRUE, "Em Execução na Distribuidora"
)</f>
        <v>Em Execução na Distribuidora</v>
      </c>
      <c r="F2688" s="4" t="str" cm="1">
        <f t="array" ref="F2688">_xlfn.IFS(
AG2688 &lt;&gt; "", "Jan-Dez/26",
AH2688 &lt;&gt; "", "Fev-Dez/26",
AI2688 &lt;&gt; "", "Mar-Dez/26", AJ2688 &lt;&gt; "", "Abr-Dez/26",
TRUE, "A partir de Junho"
)</f>
        <v>A partir de Junho</v>
      </c>
      <c r="G2688" s="75" t="s">
        <v>44</v>
      </c>
      <c r="H2688" s="76" t="s">
        <v>44</v>
      </c>
      <c r="I2688" s="77"/>
      <c r="J2688" s="77"/>
      <c r="K2688" s="77"/>
      <c r="L2688" s="77" t="s">
        <v>240</v>
      </c>
      <c r="M2688" s="78"/>
      <c r="N2688" s="74" t="s">
        <v>42</v>
      </c>
      <c r="O2688" s="74" t="s">
        <v>52</v>
      </c>
      <c r="P2688" s="75" t="s">
        <v>44</v>
      </c>
      <c r="Q2688" s="75" t="s">
        <v>44</v>
      </c>
      <c r="R2688" s="79" t="s">
        <v>44</v>
      </c>
      <c r="S2688" s="79" t="s">
        <v>44</v>
      </c>
      <c r="T2688" s="22"/>
      <c r="U2688" s="22"/>
      <c r="V2688" s="22"/>
      <c r="W2688" s="22"/>
      <c r="X2688" s="22"/>
      <c r="Y2688" s="22"/>
      <c r="Z2688" s="22"/>
      <c r="AA2688" s="22"/>
      <c r="AB2688" s="22"/>
      <c r="AC2688" s="22"/>
      <c r="AD2688" s="22"/>
      <c r="AE2688" s="22"/>
      <c r="AG2688" s="112"/>
      <c r="AH2688" s="112"/>
      <c r="AI2688" s="112"/>
      <c r="AJ2688" s="71"/>
      <c r="AK2688" s="71"/>
      <c r="AL2688" s="71"/>
      <c r="AM2688" s="71"/>
      <c r="AN2688" s="71"/>
      <c r="AO2688" s="71"/>
      <c r="AP2688" s="71"/>
      <c r="AQ2688" s="71"/>
      <c r="AR2688" s="71"/>
      <c r="AS2688" s="94"/>
      <c r="AT2688" s="95"/>
      <c r="AU2688" s="97"/>
      <c r="AW2688" s="84">
        <f t="shared" ref="AW2688:AW2697" si="3282">AG2688</f>
        <v>0</v>
      </c>
      <c r="AX2688" s="84">
        <f t="shared" ref="AX2688:AX2697" si="3283">AH2688</f>
        <v>0</v>
      </c>
      <c r="AY2688" s="84">
        <f t="shared" ref="AY2688:AY2697" si="3284">AI2688</f>
        <v>0</v>
      </c>
      <c r="AZ2688" s="84"/>
      <c r="BA2688" s="84"/>
      <c r="BB2688" s="84"/>
      <c r="BC2688" s="84"/>
      <c r="BD2688" s="84"/>
      <c r="BE2688" s="84"/>
      <c r="BF2688" s="84"/>
      <c r="BG2688" s="84"/>
      <c r="BH2688" s="84"/>
      <c r="BI2688" s="68" cm="1">
        <f t="array" ref="BI2688">IFERROR(INDEX(AW2688:BH2688,1,MATCH(2,1/(AW2688:BH2688&lt;&gt;""))),"")</f>
        <v>0</v>
      </c>
      <c r="BJ2688" s="68" cm="1">
        <f t="array" ref="BJ2688">IF(BM2688 = "", "",IFERROR(INDEX(AW2688:BH2688,1,MATCH(2,1/(AW2688:BH2688&lt;&gt;""),1)-1),""))</f>
        <v>0</v>
      </c>
      <c r="BK2688" s="57" cm="1">
        <f t="array" ref="BK2688">IFERROR(INDEX(AW2688:BH2688,1,MATCH(2,1/(AW2688:BH2688&lt;&gt;""),1)),"")</f>
        <v>0</v>
      </c>
      <c r="BL2688" s="57" cm="1">
        <f t="array" ref="BL2688">IF(BM2688 = "", "",IFERROR(INDEX(AW2688:BH2688,1,MATCH(2,1/(AW2688:BH2688&lt;&gt;""),1)-1),""))</f>
        <v>0</v>
      </c>
      <c r="BM2688" s="55" cm="1">
        <f t="array" ref="BM2688">IFERROR(
   INDEX($AW$1:$BH$1,
      _xlfn.AGGREGATE(14, 6, COLUMN($AW$1:$BH$1)/(AW2688:BH2688&lt;&gt;""), 2) - COLUMN($AW$1) + 1
   ),
"")</f>
        <v>46054</v>
      </c>
      <c r="BN2688" s="55" cm="1">
        <f t="array" ref="BN2688">IFERROR(INDEX($AW$1:$BH$1,1,MATCH(2,1/(AW2688:BH2688&lt;&gt;""))),"")</f>
        <v>46082</v>
      </c>
      <c r="BO2688" s="53">
        <f ca="1">IFERROR(_xlfn.XLOOKUP(F2688,Apuração!A:A,Apuração!C:C)/_xlfn.XLOOKUP(F2688,Apuração!A:A,Apuração!B:B),0)</f>
        <v>0</v>
      </c>
      <c r="BP2688" s="53">
        <f ca="1">IFERROR(_xlfn.XLOOKUP(F2688,Apuração!A:A,Apuração!D:D)/_xlfn.XLOOKUP(F2688,Apuração!A:A,Apuração!B:B),0)</f>
        <v>0</v>
      </c>
      <c r="BQ2688" s="53">
        <f ca="1">IF(BK2688&gt;=BO2688,0,_xlfn.XLOOKUP(F2688,Apuração!A:A,Apuração!B:B)*(BO2688 + (1/_xlfn.XLOOKUP(F2688,Apuração!A:A,Apuração!B:B)) - BK2688))</f>
        <v>0</v>
      </c>
      <c r="BR2688" s="85">
        <f t="shared" ref="BR2688:BR2697" ca="1" si="3285">IF(BQ2688=0,0,BQ2688*Z2688)</f>
        <v>0</v>
      </c>
      <c r="BS2688" s="53">
        <f ca="1">IFERROR((_xlfn.XLOOKUP(F2688,Apuração!A:A,Apuração!C:C)+1)/_xlfn.XLOOKUP(F2688,Apuração!A:A,Apuração!B:B),0)</f>
        <v>0.14285714285714285</v>
      </c>
    </row>
    <row r="2689" spans="1:71" ht="25.95" hidden="1" customHeight="1" x14ac:dyDescent="0.3">
      <c r="A2689" s="72" t="s">
        <v>44</v>
      </c>
      <c r="B2689" s="73" t="s">
        <v>44</v>
      </c>
      <c r="C2689" s="74" t="s">
        <v>97</v>
      </c>
      <c r="D2689" s="5" t="s">
        <v>99</v>
      </c>
      <c r="E2689" s="4" t="str" cm="1">
        <f t="array" ref="E2689">_xlfn.IFS(
F2689 = "A partir de Abril", "Aguardando Execução na Distribuidora",
A2689 = "CAPACITAÇÃO", "Em execução no Corporativo",
TRUE, "Em Execução na Distribuidora"
)</f>
        <v>Em Execução na Distribuidora</v>
      </c>
      <c r="F2689" s="4" t="str" cm="1">
        <f t="array" ref="F2689">_xlfn.IFS(
AG2689 &lt;&gt; "", "Jan-Dez/26",
AH2689 &lt;&gt; "", "Fev-Dez/26",
AI2689 &lt;&gt; "", "Mar-Dez/26", AJ2689 &lt;&gt; "", "Abr-Dez/26",
TRUE, "A partir de Junho"
)</f>
        <v>A partir de Junho</v>
      </c>
      <c r="G2689" s="75" t="s">
        <v>44</v>
      </c>
      <c r="H2689" s="76" t="s">
        <v>44</v>
      </c>
      <c r="I2689" s="77"/>
      <c r="J2689" s="77"/>
      <c r="K2689" s="77"/>
      <c r="L2689" s="77" t="s">
        <v>240</v>
      </c>
      <c r="M2689" s="78"/>
      <c r="N2689" s="74" t="s">
        <v>42</v>
      </c>
      <c r="O2689" s="74" t="s">
        <v>52</v>
      </c>
      <c r="P2689" s="75" t="s">
        <v>44</v>
      </c>
      <c r="Q2689" s="75" t="s">
        <v>44</v>
      </c>
      <c r="R2689" s="79" t="s">
        <v>44</v>
      </c>
      <c r="S2689" s="79" t="s">
        <v>44</v>
      </c>
      <c r="T2689" s="22"/>
      <c r="U2689" s="22"/>
      <c r="V2689" s="22"/>
      <c r="W2689" s="22"/>
      <c r="X2689" s="22"/>
      <c r="Y2689" s="22"/>
      <c r="Z2689" s="22"/>
      <c r="AA2689" s="22"/>
      <c r="AB2689" s="22"/>
      <c r="AC2689" s="22"/>
      <c r="AD2689" s="22"/>
      <c r="AE2689" s="22"/>
      <c r="AG2689" s="112"/>
      <c r="AH2689" s="112"/>
      <c r="AI2689" s="112"/>
      <c r="AJ2689" s="71"/>
      <c r="AK2689" s="71"/>
      <c r="AL2689" s="71"/>
      <c r="AM2689" s="71"/>
      <c r="AN2689" s="71"/>
      <c r="AO2689" s="71"/>
      <c r="AP2689" s="71"/>
      <c r="AQ2689" s="71"/>
      <c r="AR2689" s="71"/>
      <c r="AS2689" s="94"/>
      <c r="AT2689" s="95"/>
      <c r="AU2689" s="97"/>
      <c r="AW2689" s="84">
        <f t="shared" si="3282"/>
        <v>0</v>
      </c>
      <c r="AX2689" s="84">
        <f t="shared" si="3283"/>
        <v>0</v>
      </c>
      <c r="AY2689" s="84">
        <f t="shared" si="3284"/>
        <v>0</v>
      </c>
      <c r="AZ2689" s="84"/>
      <c r="BA2689" s="84"/>
      <c r="BB2689" s="84"/>
      <c r="BC2689" s="84"/>
      <c r="BD2689" s="84"/>
      <c r="BE2689" s="84"/>
      <c r="BF2689" s="84"/>
      <c r="BG2689" s="84"/>
      <c r="BH2689" s="84"/>
      <c r="BI2689" s="68" cm="1">
        <f t="array" ref="BI2689">IFERROR(INDEX(AW2689:BH2689,1,MATCH(2,1/(AW2689:BH2689&lt;&gt;""))),"")</f>
        <v>0</v>
      </c>
      <c r="BJ2689" s="68" cm="1">
        <f t="array" ref="BJ2689">IF(BM2689 = "", "",IFERROR(INDEX(AW2689:BH2689,1,MATCH(2,1/(AW2689:BH2689&lt;&gt;""),1)-1),""))</f>
        <v>0</v>
      </c>
      <c r="BK2689" s="57" cm="1">
        <f t="array" ref="BK2689">IFERROR(INDEX(AW2689:BH2689,1,MATCH(2,1/(AW2689:BH2689&lt;&gt;""),1)),"")</f>
        <v>0</v>
      </c>
      <c r="BL2689" s="57" cm="1">
        <f t="array" ref="BL2689">IF(BM2689 = "", "",IFERROR(INDEX(AW2689:BH2689,1,MATCH(2,1/(AW2689:BH2689&lt;&gt;""),1)-1),""))</f>
        <v>0</v>
      </c>
      <c r="BM2689" s="55" cm="1">
        <f t="array" ref="BM2689">IFERROR(
   INDEX($AW$1:$BH$1,
      _xlfn.AGGREGATE(14, 6, COLUMN($AW$1:$BH$1)/(AW2689:BH2689&lt;&gt;""), 2) - COLUMN($AW$1) + 1
   ),
"")</f>
        <v>46054</v>
      </c>
      <c r="BN2689" s="55" cm="1">
        <f t="array" ref="BN2689">IFERROR(INDEX($AW$1:$BH$1,1,MATCH(2,1/(AW2689:BH2689&lt;&gt;""))),"")</f>
        <v>46082</v>
      </c>
      <c r="BO2689" s="53">
        <f ca="1">IFERROR(_xlfn.XLOOKUP(F2689,Apuração!A:A,Apuração!C:C)/_xlfn.XLOOKUP(F2689,Apuração!A:A,Apuração!B:B),0)</f>
        <v>0</v>
      </c>
      <c r="BP2689" s="53">
        <f ca="1">IFERROR(_xlfn.XLOOKUP(F2689,Apuração!A:A,Apuração!D:D)/_xlfn.XLOOKUP(F2689,Apuração!A:A,Apuração!B:B),0)</f>
        <v>0</v>
      </c>
      <c r="BQ2689" s="53">
        <f ca="1">IF(BK2689&gt;=BO2689,0,_xlfn.XLOOKUP(F2689,Apuração!A:A,Apuração!B:B)*(BO2689 + (1/_xlfn.XLOOKUP(F2689,Apuração!A:A,Apuração!B:B)) - BK2689))</f>
        <v>0</v>
      </c>
      <c r="BR2689" s="85">
        <f t="shared" ca="1" si="3285"/>
        <v>0</v>
      </c>
      <c r="BS2689" s="53">
        <f ca="1">IFERROR((_xlfn.XLOOKUP(F2689,Apuração!A:A,Apuração!C:C)+1)/_xlfn.XLOOKUP(F2689,Apuração!A:A,Apuração!B:B),0)</f>
        <v>0.14285714285714285</v>
      </c>
    </row>
    <row r="2690" spans="1:71" ht="25.95" hidden="1" customHeight="1" x14ac:dyDescent="0.3">
      <c r="A2690" s="72" t="s">
        <v>44</v>
      </c>
      <c r="B2690" s="73" t="s">
        <v>44</v>
      </c>
      <c r="C2690" s="74" t="s">
        <v>97</v>
      </c>
      <c r="D2690" s="5" t="s">
        <v>100</v>
      </c>
      <c r="E2690" s="4" t="str" cm="1">
        <f t="array" ref="E2690">_xlfn.IFS(
F2690 = "A partir de Abril", "Aguardando Execução na Distribuidora",
A2690 = "CAPACITAÇÃO", "Em execução no Corporativo",
TRUE, "Em Execução na Distribuidora"
)</f>
        <v>Em Execução na Distribuidora</v>
      </c>
      <c r="F2690" s="4" t="str" cm="1">
        <f t="array" ref="F2690">_xlfn.IFS(
AG2690 &lt;&gt; "", "Jan-Dez/26",
AH2690 &lt;&gt; "", "Fev-Dez/26",
AI2690 &lt;&gt; "", "Mar-Dez/26", AJ2690 &lt;&gt; "", "Abr-Dez/26",
TRUE, "A partir de Junho"
)</f>
        <v>A partir de Junho</v>
      </c>
      <c r="G2690" s="75" t="s">
        <v>44</v>
      </c>
      <c r="H2690" s="76" t="s">
        <v>44</v>
      </c>
      <c r="I2690" s="77"/>
      <c r="J2690" s="77"/>
      <c r="K2690" s="77"/>
      <c r="L2690" s="77" t="s">
        <v>240</v>
      </c>
      <c r="M2690" s="78"/>
      <c r="N2690" s="74" t="s">
        <v>42</v>
      </c>
      <c r="O2690" s="74" t="s">
        <v>52</v>
      </c>
      <c r="P2690" s="75" t="s">
        <v>44</v>
      </c>
      <c r="Q2690" s="75" t="s">
        <v>44</v>
      </c>
      <c r="R2690" s="79" t="s">
        <v>44</v>
      </c>
      <c r="S2690" s="79" t="s">
        <v>44</v>
      </c>
      <c r="T2690" s="22"/>
      <c r="U2690" s="22"/>
      <c r="V2690" s="22"/>
      <c r="W2690" s="22"/>
      <c r="X2690" s="22"/>
      <c r="Y2690" s="22"/>
      <c r="Z2690" s="22"/>
      <c r="AA2690" s="22"/>
      <c r="AB2690" s="22"/>
      <c r="AC2690" s="22"/>
      <c r="AD2690" s="22"/>
      <c r="AE2690" s="22"/>
      <c r="AG2690" s="112"/>
      <c r="AH2690" s="112"/>
      <c r="AI2690" s="112"/>
      <c r="AJ2690" s="71"/>
      <c r="AK2690" s="71"/>
      <c r="AL2690" s="71"/>
      <c r="AM2690" s="71"/>
      <c r="AN2690" s="71"/>
      <c r="AO2690" s="71"/>
      <c r="AP2690" s="71"/>
      <c r="AQ2690" s="71"/>
      <c r="AR2690" s="71"/>
      <c r="AS2690" s="94"/>
      <c r="AT2690" s="95"/>
      <c r="AU2690" s="97"/>
      <c r="AW2690" s="84">
        <f t="shared" si="3282"/>
        <v>0</v>
      </c>
      <c r="AX2690" s="84">
        <f t="shared" si="3283"/>
        <v>0</v>
      </c>
      <c r="AY2690" s="84">
        <f t="shared" si="3284"/>
        <v>0</v>
      </c>
      <c r="AZ2690" s="84"/>
      <c r="BA2690" s="84"/>
      <c r="BB2690" s="84"/>
      <c r="BC2690" s="84"/>
      <c r="BD2690" s="84"/>
      <c r="BE2690" s="84"/>
      <c r="BF2690" s="84"/>
      <c r="BG2690" s="84"/>
      <c r="BH2690" s="84"/>
      <c r="BI2690" s="68" cm="1">
        <f t="array" ref="BI2690">IFERROR(INDEX(AW2690:BH2690,1,MATCH(2,1/(AW2690:BH2690&lt;&gt;""))),"")</f>
        <v>0</v>
      </c>
      <c r="BJ2690" s="68" cm="1">
        <f t="array" ref="BJ2690">IF(BM2690 = "", "",IFERROR(INDEX(AW2690:BH2690,1,MATCH(2,1/(AW2690:BH2690&lt;&gt;""),1)-1),""))</f>
        <v>0</v>
      </c>
      <c r="BK2690" s="57" cm="1">
        <f t="array" ref="BK2690">IFERROR(INDEX(AW2690:BH2690,1,MATCH(2,1/(AW2690:BH2690&lt;&gt;""),1)),"")</f>
        <v>0</v>
      </c>
      <c r="BL2690" s="57" cm="1">
        <f t="array" ref="BL2690">IF(BM2690 = "", "",IFERROR(INDEX(AW2690:BH2690,1,MATCH(2,1/(AW2690:BH2690&lt;&gt;""),1)-1),""))</f>
        <v>0</v>
      </c>
      <c r="BM2690" s="55" cm="1">
        <f t="array" ref="BM2690">IFERROR(
   INDEX($AW$1:$BH$1,
      _xlfn.AGGREGATE(14, 6, COLUMN($AW$1:$BH$1)/(AW2690:BH2690&lt;&gt;""), 2) - COLUMN($AW$1) + 1
   ),
"")</f>
        <v>46054</v>
      </c>
      <c r="BN2690" s="55" cm="1">
        <f t="array" ref="BN2690">IFERROR(INDEX($AW$1:$BH$1,1,MATCH(2,1/(AW2690:BH2690&lt;&gt;""))),"")</f>
        <v>46082</v>
      </c>
      <c r="BO2690" s="53">
        <f ca="1">IFERROR(_xlfn.XLOOKUP(F2690,Apuração!A:A,Apuração!C:C)/_xlfn.XLOOKUP(F2690,Apuração!A:A,Apuração!B:B),0)</f>
        <v>0</v>
      </c>
      <c r="BP2690" s="53">
        <f ca="1">IFERROR(_xlfn.XLOOKUP(F2690,Apuração!A:A,Apuração!D:D)/_xlfn.XLOOKUP(F2690,Apuração!A:A,Apuração!B:B),0)</f>
        <v>0</v>
      </c>
      <c r="BQ2690" s="53">
        <f ca="1">IF(BK2690&gt;=BO2690,0,_xlfn.XLOOKUP(F2690,Apuração!A:A,Apuração!B:B)*(BO2690 + (1/_xlfn.XLOOKUP(F2690,Apuração!A:A,Apuração!B:B)) - BK2690))</f>
        <v>0</v>
      </c>
      <c r="BR2690" s="85">
        <f t="shared" ca="1" si="3285"/>
        <v>0</v>
      </c>
      <c r="BS2690" s="53">
        <f ca="1">IFERROR((_xlfn.XLOOKUP(F2690,Apuração!A:A,Apuração!C:C)+1)/_xlfn.XLOOKUP(F2690,Apuração!A:A,Apuração!B:B),0)</f>
        <v>0.14285714285714285</v>
      </c>
    </row>
    <row r="2691" spans="1:71" ht="25.95" hidden="1" customHeight="1" x14ac:dyDescent="0.3">
      <c r="A2691" s="72" t="s">
        <v>44</v>
      </c>
      <c r="B2691" s="73" t="s">
        <v>44</v>
      </c>
      <c r="C2691" s="74" t="s">
        <v>97</v>
      </c>
      <c r="D2691" s="5" t="s">
        <v>101</v>
      </c>
      <c r="E2691" s="4" t="str" cm="1">
        <f t="array" ref="E2691">_xlfn.IFS(
F2691 = "A partir de Abril", "Aguardando Execução na Distribuidora",
A2691 = "CAPACITAÇÃO", "Em execução no Corporativo",
TRUE, "Em Execução na Distribuidora"
)</f>
        <v>Em Execução na Distribuidora</v>
      </c>
      <c r="F2691" s="4" t="str" cm="1">
        <f t="array" ref="F2691">_xlfn.IFS(
AG2691 &lt;&gt; "", "Jan-Dez/26",
AH2691 &lt;&gt; "", "Fev-Dez/26",
AI2691 &lt;&gt; "", "Mar-Dez/26", AJ2691 &lt;&gt; "", "Abr-Dez/26",
TRUE, "A partir de Junho"
)</f>
        <v>A partir de Junho</v>
      </c>
      <c r="G2691" s="75" t="s">
        <v>44</v>
      </c>
      <c r="H2691" s="76" t="s">
        <v>44</v>
      </c>
      <c r="I2691" s="77"/>
      <c r="J2691" s="77"/>
      <c r="K2691" s="77"/>
      <c r="L2691" s="77" t="s">
        <v>240</v>
      </c>
      <c r="M2691" s="78"/>
      <c r="N2691" s="74" t="s">
        <v>42</v>
      </c>
      <c r="O2691" s="74" t="s">
        <v>52</v>
      </c>
      <c r="P2691" s="75" t="s">
        <v>44</v>
      </c>
      <c r="Q2691" s="75" t="s">
        <v>44</v>
      </c>
      <c r="R2691" s="79" t="s">
        <v>44</v>
      </c>
      <c r="S2691" s="79" t="s">
        <v>44</v>
      </c>
      <c r="T2691" s="22"/>
      <c r="U2691" s="22"/>
      <c r="V2691" s="22"/>
      <c r="W2691" s="22"/>
      <c r="X2691" s="22"/>
      <c r="Y2691" s="22"/>
      <c r="Z2691" s="22"/>
      <c r="AA2691" s="22"/>
      <c r="AB2691" s="22"/>
      <c r="AC2691" s="22"/>
      <c r="AD2691" s="22"/>
      <c r="AE2691" s="22"/>
      <c r="AG2691" s="112"/>
      <c r="AH2691" s="112"/>
      <c r="AI2691" s="112"/>
      <c r="AJ2691" s="71"/>
      <c r="AK2691" s="71"/>
      <c r="AL2691" s="71"/>
      <c r="AM2691" s="71"/>
      <c r="AN2691" s="71"/>
      <c r="AO2691" s="71"/>
      <c r="AP2691" s="71"/>
      <c r="AQ2691" s="71"/>
      <c r="AR2691" s="71"/>
      <c r="AS2691" s="94"/>
      <c r="AT2691" s="95"/>
      <c r="AU2691" s="97"/>
      <c r="AW2691" s="84">
        <f t="shared" si="3282"/>
        <v>0</v>
      </c>
      <c r="AX2691" s="84">
        <f t="shared" si="3283"/>
        <v>0</v>
      </c>
      <c r="AY2691" s="84">
        <f t="shared" si="3284"/>
        <v>0</v>
      </c>
      <c r="AZ2691" s="84"/>
      <c r="BA2691" s="84"/>
      <c r="BB2691" s="84"/>
      <c r="BC2691" s="84"/>
      <c r="BD2691" s="84"/>
      <c r="BE2691" s="84"/>
      <c r="BF2691" s="84"/>
      <c r="BG2691" s="84"/>
      <c r="BH2691" s="84"/>
      <c r="BI2691" s="68" cm="1">
        <f t="array" ref="BI2691">IFERROR(INDEX(AW2691:BH2691,1,MATCH(2,1/(AW2691:BH2691&lt;&gt;""))),"")</f>
        <v>0</v>
      </c>
      <c r="BJ2691" s="68" cm="1">
        <f t="array" ref="BJ2691">IF(BM2691 = "", "",IFERROR(INDEX(AW2691:BH2691,1,MATCH(2,1/(AW2691:BH2691&lt;&gt;""),1)-1),""))</f>
        <v>0</v>
      </c>
      <c r="BK2691" s="57" cm="1">
        <f t="array" ref="BK2691">IFERROR(INDEX(AW2691:BH2691,1,MATCH(2,1/(AW2691:BH2691&lt;&gt;""),1)),"")</f>
        <v>0</v>
      </c>
      <c r="BL2691" s="57" cm="1">
        <f t="array" ref="BL2691">IF(BM2691 = "", "",IFERROR(INDEX(AW2691:BH2691,1,MATCH(2,1/(AW2691:BH2691&lt;&gt;""),1)-1),""))</f>
        <v>0</v>
      </c>
      <c r="BM2691" s="55" cm="1">
        <f t="array" ref="BM2691">IFERROR(
   INDEX($AW$1:$BH$1,
      _xlfn.AGGREGATE(14, 6, COLUMN($AW$1:$BH$1)/(AW2691:BH2691&lt;&gt;""), 2) - COLUMN($AW$1) + 1
   ),
"")</f>
        <v>46054</v>
      </c>
      <c r="BN2691" s="55" cm="1">
        <f t="array" ref="BN2691">IFERROR(INDEX($AW$1:$BH$1,1,MATCH(2,1/(AW2691:BH2691&lt;&gt;""))),"")</f>
        <v>46082</v>
      </c>
      <c r="BO2691" s="53">
        <f ca="1">IFERROR(_xlfn.XLOOKUP(F2691,Apuração!A:A,Apuração!C:C)/_xlfn.XLOOKUP(F2691,Apuração!A:A,Apuração!B:B),0)</f>
        <v>0</v>
      </c>
      <c r="BP2691" s="53">
        <f ca="1">IFERROR(_xlfn.XLOOKUP(F2691,Apuração!A:A,Apuração!D:D)/_xlfn.XLOOKUP(F2691,Apuração!A:A,Apuração!B:B),0)</f>
        <v>0</v>
      </c>
      <c r="BQ2691" s="53">
        <f ca="1">IF(BK2691&gt;=BO2691,0,_xlfn.XLOOKUP(F2691,Apuração!A:A,Apuração!B:B)*(BO2691 + (1/_xlfn.XLOOKUP(F2691,Apuração!A:A,Apuração!B:B)) - BK2691))</f>
        <v>0</v>
      </c>
      <c r="BR2691" s="85">
        <f t="shared" ca="1" si="3285"/>
        <v>0</v>
      </c>
      <c r="BS2691" s="53">
        <f ca="1">IFERROR((_xlfn.XLOOKUP(F2691,Apuração!A:A,Apuração!C:C)+1)/_xlfn.XLOOKUP(F2691,Apuração!A:A,Apuração!B:B),0)</f>
        <v>0.14285714285714285</v>
      </c>
    </row>
    <row r="2692" spans="1:71" ht="25.95" hidden="1" customHeight="1" x14ac:dyDescent="0.3">
      <c r="A2692" s="72" t="s">
        <v>44</v>
      </c>
      <c r="B2692" s="73" t="s">
        <v>44</v>
      </c>
      <c r="C2692" s="74" t="s">
        <v>97</v>
      </c>
      <c r="D2692" s="5" t="s">
        <v>102</v>
      </c>
      <c r="E2692" s="4" t="str" cm="1">
        <f t="array" ref="E2692">_xlfn.IFS(
F2692 = "A partir de Abril", "Aguardando Execução na Distribuidora",
A2692 = "CAPACITAÇÃO", "Em execução no Corporativo",
TRUE, "Em Execução na Distribuidora"
)</f>
        <v>Em Execução na Distribuidora</v>
      </c>
      <c r="F2692" s="4" t="str" cm="1">
        <f t="array" ref="F2692">_xlfn.IFS(
AG2692 &lt;&gt; "", "Jan-Dez/26",
AH2692 &lt;&gt; "", "Fev-Dez/26",
AI2692 &lt;&gt; "", "Mar-Dez/26", AJ2692 &lt;&gt; "", "Abr-Dez/26",
TRUE, "A partir de Junho"
)</f>
        <v>A partir de Junho</v>
      </c>
      <c r="G2692" s="75" t="s">
        <v>44</v>
      </c>
      <c r="H2692" s="76" t="s">
        <v>44</v>
      </c>
      <c r="I2692" s="77"/>
      <c r="J2692" s="77"/>
      <c r="K2692" s="77"/>
      <c r="L2692" s="77" t="s">
        <v>240</v>
      </c>
      <c r="M2692" s="78"/>
      <c r="N2692" s="74" t="s">
        <v>42</v>
      </c>
      <c r="O2692" s="74" t="s">
        <v>52</v>
      </c>
      <c r="P2692" s="75" t="s">
        <v>44</v>
      </c>
      <c r="Q2692" s="75" t="s">
        <v>44</v>
      </c>
      <c r="R2692" s="79" t="s">
        <v>44</v>
      </c>
      <c r="S2692" s="79" t="s">
        <v>44</v>
      </c>
      <c r="T2692" s="22"/>
      <c r="U2692" s="22"/>
      <c r="V2692" s="22"/>
      <c r="W2692" s="22"/>
      <c r="X2692" s="22"/>
      <c r="Y2692" s="22"/>
      <c r="Z2692" s="22"/>
      <c r="AA2692" s="22"/>
      <c r="AB2692" s="22"/>
      <c r="AC2692" s="22"/>
      <c r="AD2692" s="22"/>
      <c r="AE2692" s="22"/>
      <c r="AG2692" s="112"/>
      <c r="AH2692" s="112"/>
      <c r="AI2692" s="112"/>
      <c r="AJ2692" s="71"/>
      <c r="AK2692" s="71"/>
      <c r="AL2692" s="71"/>
      <c r="AM2692" s="71"/>
      <c r="AN2692" s="71"/>
      <c r="AO2692" s="71"/>
      <c r="AP2692" s="71"/>
      <c r="AQ2692" s="71"/>
      <c r="AR2692" s="71"/>
      <c r="AS2692" s="94"/>
      <c r="AT2692" s="95"/>
      <c r="AU2692" s="97"/>
      <c r="AW2692" s="84">
        <f t="shared" si="3282"/>
        <v>0</v>
      </c>
      <c r="AX2692" s="84">
        <f t="shared" si="3283"/>
        <v>0</v>
      </c>
      <c r="AY2692" s="84">
        <f t="shared" si="3284"/>
        <v>0</v>
      </c>
      <c r="AZ2692" s="84"/>
      <c r="BA2692" s="84"/>
      <c r="BB2692" s="84"/>
      <c r="BC2692" s="84"/>
      <c r="BD2692" s="84"/>
      <c r="BE2692" s="84"/>
      <c r="BF2692" s="84"/>
      <c r="BG2692" s="84"/>
      <c r="BH2692" s="84"/>
      <c r="BI2692" s="68" cm="1">
        <f t="array" ref="BI2692">IFERROR(INDEX(AW2692:BH2692,1,MATCH(2,1/(AW2692:BH2692&lt;&gt;""))),"")</f>
        <v>0</v>
      </c>
      <c r="BJ2692" s="68" cm="1">
        <f t="array" ref="BJ2692">IF(BM2692 = "", "",IFERROR(INDEX(AW2692:BH2692,1,MATCH(2,1/(AW2692:BH2692&lt;&gt;""),1)-1),""))</f>
        <v>0</v>
      </c>
      <c r="BK2692" s="57" cm="1">
        <f t="array" ref="BK2692">IFERROR(INDEX(AW2692:BH2692,1,MATCH(2,1/(AW2692:BH2692&lt;&gt;""),1)),"")</f>
        <v>0</v>
      </c>
      <c r="BL2692" s="57" cm="1">
        <f t="array" ref="BL2692">IF(BM2692 = "", "",IFERROR(INDEX(AW2692:BH2692,1,MATCH(2,1/(AW2692:BH2692&lt;&gt;""),1)-1),""))</f>
        <v>0</v>
      </c>
      <c r="BM2692" s="55" cm="1">
        <f t="array" ref="BM2692">IFERROR(
   INDEX($AW$1:$BH$1,
      _xlfn.AGGREGATE(14, 6, COLUMN($AW$1:$BH$1)/(AW2692:BH2692&lt;&gt;""), 2) - COLUMN($AW$1) + 1
   ),
"")</f>
        <v>46054</v>
      </c>
      <c r="BN2692" s="55" cm="1">
        <f t="array" ref="BN2692">IFERROR(INDEX($AW$1:$BH$1,1,MATCH(2,1/(AW2692:BH2692&lt;&gt;""))),"")</f>
        <v>46082</v>
      </c>
      <c r="BO2692" s="53">
        <f ca="1">IFERROR(_xlfn.XLOOKUP(F2692,Apuração!A:A,Apuração!C:C)/_xlfn.XLOOKUP(F2692,Apuração!A:A,Apuração!B:B),0)</f>
        <v>0</v>
      </c>
      <c r="BP2692" s="53">
        <f ca="1">IFERROR(_xlfn.XLOOKUP(F2692,Apuração!A:A,Apuração!D:D)/_xlfn.XLOOKUP(F2692,Apuração!A:A,Apuração!B:B),0)</f>
        <v>0</v>
      </c>
      <c r="BQ2692" s="53">
        <f ca="1">IF(BK2692&gt;=BO2692,0,_xlfn.XLOOKUP(F2692,Apuração!A:A,Apuração!B:B)*(BO2692 + (1/_xlfn.XLOOKUP(F2692,Apuração!A:A,Apuração!B:B)) - BK2692))</f>
        <v>0</v>
      </c>
      <c r="BR2692" s="85">
        <f t="shared" ca="1" si="3285"/>
        <v>0</v>
      </c>
      <c r="BS2692" s="53">
        <f ca="1">IFERROR((_xlfn.XLOOKUP(F2692,Apuração!A:A,Apuração!C:C)+1)/_xlfn.XLOOKUP(F2692,Apuração!A:A,Apuração!B:B),0)</f>
        <v>0.14285714285714285</v>
      </c>
    </row>
    <row r="2693" spans="1:71" ht="25.95" hidden="1" customHeight="1" x14ac:dyDescent="0.3">
      <c r="A2693" s="72" t="s">
        <v>44</v>
      </c>
      <c r="B2693" s="73" t="s">
        <v>44</v>
      </c>
      <c r="C2693" s="74" t="s">
        <v>97</v>
      </c>
      <c r="D2693" s="5" t="s">
        <v>103</v>
      </c>
      <c r="E2693" s="4" t="str" cm="1">
        <f t="array" ref="E2693">_xlfn.IFS(
F2693 = "A partir de Abril", "Aguardando Execução na Distribuidora",
A2693 = "CAPACITAÇÃO", "Em execução no Corporativo",
TRUE, "Em Execução na Distribuidora"
)</f>
        <v>Em Execução na Distribuidora</v>
      </c>
      <c r="F2693" s="4" t="str" cm="1">
        <f t="array" ref="F2693">_xlfn.IFS(
AG2693 &lt;&gt; "", "Jan-Dez/26",
AH2693 &lt;&gt; "", "Fev-Dez/26",
AI2693 &lt;&gt; "", "Mar-Dez/26", AJ2693 &lt;&gt; "", "Abr-Dez/26",
TRUE, "A partir de Junho"
)</f>
        <v>A partir de Junho</v>
      </c>
      <c r="G2693" s="75" t="s">
        <v>44</v>
      </c>
      <c r="H2693" s="76" t="s">
        <v>44</v>
      </c>
      <c r="I2693" s="77"/>
      <c r="J2693" s="77"/>
      <c r="K2693" s="77"/>
      <c r="L2693" s="77" t="s">
        <v>240</v>
      </c>
      <c r="M2693" s="78"/>
      <c r="N2693" s="74" t="s">
        <v>42</v>
      </c>
      <c r="O2693" s="74" t="s">
        <v>52</v>
      </c>
      <c r="P2693" s="75" t="s">
        <v>44</v>
      </c>
      <c r="Q2693" s="75" t="s">
        <v>44</v>
      </c>
      <c r="R2693" s="79" t="s">
        <v>44</v>
      </c>
      <c r="S2693" s="79" t="s">
        <v>44</v>
      </c>
      <c r="T2693" s="22"/>
      <c r="U2693" s="22"/>
      <c r="V2693" s="22"/>
      <c r="W2693" s="22"/>
      <c r="X2693" s="22"/>
      <c r="Y2693" s="22"/>
      <c r="Z2693" s="22"/>
      <c r="AA2693" s="22"/>
      <c r="AB2693" s="22"/>
      <c r="AC2693" s="22"/>
      <c r="AD2693" s="22"/>
      <c r="AE2693" s="22"/>
      <c r="AG2693" s="112"/>
      <c r="AH2693" s="112"/>
      <c r="AI2693" s="112"/>
      <c r="AJ2693" s="71"/>
      <c r="AK2693" s="71"/>
      <c r="AL2693" s="71"/>
      <c r="AM2693" s="71"/>
      <c r="AN2693" s="71"/>
      <c r="AO2693" s="71"/>
      <c r="AP2693" s="71"/>
      <c r="AQ2693" s="71"/>
      <c r="AR2693" s="71"/>
      <c r="AS2693" s="94"/>
      <c r="AT2693" s="95"/>
      <c r="AU2693" s="97"/>
      <c r="AW2693" s="84">
        <f t="shared" si="3282"/>
        <v>0</v>
      </c>
      <c r="AX2693" s="84">
        <f t="shared" si="3283"/>
        <v>0</v>
      </c>
      <c r="AY2693" s="84">
        <f t="shared" si="3284"/>
        <v>0</v>
      </c>
      <c r="AZ2693" s="84"/>
      <c r="BA2693" s="84"/>
      <c r="BB2693" s="84"/>
      <c r="BC2693" s="84"/>
      <c r="BD2693" s="84"/>
      <c r="BE2693" s="84"/>
      <c r="BF2693" s="84"/>
      <c r="BG2693" s="84"/>
      <c r="BH2693" s="84"/>
      <c r="BI2693" s="68" cm="1">
        <f t="array" ref="BI2693">IFERROR(INDEX(AW2693:BH2693,1,MATCH(2,1/(AW2693:BH2693&lt;&gt;""))),"")</f>
        <v>0</v>
      </c>
      <c r="BJ2693" s="68" cm="1">
        <f t="array" ref="BJ2693">IF(BM2693 = "", "",IFERROR(INDEX(AW2693:BH2693,1,MATCH(2,1/(AW2693:BH2693&lt;&gt;""),1)-1),""))</f>
        <v>0</v>
      </c>
      <c r="BK2693" s="57" cm="1">
        <f t="array" ref="BK2693">IFERROR(INDEX(AW2693:BH2693,1,MATCH(2,1/(AW2693:BH2693&lt;&gt;""),1)),"")</f>
        <v>0</v>
      </c>
      <c r="BL2693" s="57" cm="1">
        <f t="array" ref="BL2693">IF(BM2693 = "", "",IFERROR(INDEX(AW2693:BH2693,1,MATCH(2,1/(AW2693:BH2693&lt;&gt;""),1)-1),""))</f>
        <v>0</v>
      </c>
      <c r="BM2693" s="55" cm="1">
        <f t="array" ref="BM2693">IFERROR(
   INDEX($AW$1:$BH$1,
      _xlfn.AGGREGATE(14, 6, COLUMN($AW$1:$BH$1)/(AW2693:BH2693&lt;&gt;""), 2) - COLUMN($AW$1) + 1
   ),
"")</f>
        <v>46054</v>
      </c>
      <c r="BN2693" s="55" cm="1">
        <f t="array" ref="BN2693">IFERROR(INDEX($AW$1:$BH$1,1,MATCH(2,1/(AW2693:BH2693&lt;&gt;""))),"")</f>
        <v>46082</v>
      </c>
      <c r="BO2693" s="53">
        <f ca="1">IFERROR(_xlfn.XLOOKUP(F2693,Apuração!A:A,Apuração!C:C)/_xlfn.XLOOKUP(F2693,Apuração!A:A,Apuração!B:B),0)</f>
        <v>0</v>
      </c>
      <c r="BP2693" s="53">
        <f ca="1">IFERROR(_xlfn.XLOOKUP(F2693,Apuração!A:A,Apuração!D:D)/_xlfn.XLOOKUP(F2693,Apuração!A:A,Apuração!B:B),0)</f>
        <v>0</v>
      </c>
      <c r="BQ2693" s="53">
        <f ca="1">IF(BK2693&gt;=BO2693,0,_xlfn.XLOOKUP(F2693,Apuração!A:A,Apuração!B:B)*(BO2693 + (1/_xlfn.XLOOKUP(F2693,Apuração!A:A,Apuração!B:B)) - BK2693))</f>
        <v>0</v>
      </c>
      <c r="BR2693" s="85">
        <f t="shared" ca="1" si="3285"/>
        <v>0</v>
      </c>
      <c r="BS2693" s="53">
        <f ca="1">IFERROR((_xlfn.XLOOKUP(F2693,Apuração!A:A,Apuração!C:C)+1)/_xlfn.XLOOKUP(F2693,Apuração!A:A,Apuração!B:B),0)</f>
        <v>0.14285714285714285</v>
      </c>
    </row>
    <row r="2694" spans="1:71" ht="25.95" hidden="1" customHeight="1" x14ac:dyDescent="0.3">
      <c r="A2694" s="72" t="s">
        <v>44</v>
      </c>
      <c r="B2694" s="73" t="s">
        <v>44</v>
      </c>
      <c r="C2694" s="74" t="s">
        <v>97</v>
      </c>
      <c r="D2694" s="5" t="s">
        <v>104</v>
      </c>
      <c r="E2694" s="4" t="str" cm="1">
        <f t="array" ref="E2694">_xlfn.IFS(
F2694 = "A partir de Abril", "Aguardando Execução na Distribuidora",
A2694 = "CAPACITAÇÃO", "Em execução no Corporativo",
TRUE, "Em Execução na Distribuidora"
)</f>
        <v>Em Execução na Distribuidora</v>
      </c>
      <c r="F2694" s="4" t="str" cm="1">
        <f t="array" ref="F2694">_xlfn.IFS(
AG2694 &lt;&gt; "", "Jan-Dez/26",
AH2694 &lt;&gt; "", "Fev-Dez/26",
AI2694 &lt;&gt; "", "Mar-Dez/26", AJ2694 &lt;&gt; "", "Abr-Dez/26",
TRUE, "A partir de Junho"
)</f>
        <v>A partir de Junho</v>
      </c>
      <c r="G2694" s="75" t="s">
        <v>44</v>
      </c>
      <c r="H2694" s="76" t="s">
        <v>44</v>
      </c>
      <c r="I2694" s="77"/>
      <c r="J2694" s="77"/>
      <c r="K2694" s="77"/>
      <c r="L2694" s="77" t="s">
        <v>240</v>
      </c>
      <c r="M2694" s="78"/>
      <c r="N2694" s="74" t="s">
        <v>42</v>
      </c>
      <c r="O2694" s="74" t="s">
        <v>52</v>
      </c>
      <c r="P2694" s="75" t="s">
        <v>44</v>
      </c>
      <c r="Q2694" s="75" t="s">
        <v>44</v>
      </c>
      <c r="R2694" s="79" t="s">
        <v>44</v>
      </c>
      <c r="S2694" s="79" t="s">
        <v>44</v>
      </c>
      <c r="T2694" s="22"/>
      <c r="U2694" s="22"/>
      <c r="V2694" s="22"/>
      <c r="W2694" s="22"/>
      <c r="X2694" s="22"/>
      <c r="Y2694" s="22"/>
      <c r="Z2694" s="22"/>
      <c r="AA2694" s="22"/>
      <c r="AB2694" s="22"/>
      <c r="AC2694" s="22"/>
      <c r="AD2694" s="22"/>
      <c r="AE2694" s="22"/>
      <c r="AG2694" s="112"/>
      <c r="AH2694" s="112"/>
      <c r="AI2694" s="112"/>
      <c r="AJ2694" s="71"/>
      <c r="AK2694" s="71"/>
      <c r="AL2694" s="71"/>
      <c r="AM2694" s="71"/>
      <c r="AN2694" s="71"/>
      <c r="AO2694" s="71"/>
      <c r="AP2694" s="71"/>
      <c r="AQ2694" s="71"/>
      <c r="AR2694" s="71"/>
      <c r="AS2694" s="94"/>
      <c r="AT2694" s="95"/>
      <c r="AU2694" s="97"/>
      <c r="AW2694" s="84">
        <f t="shared" si="3282"/>
        <v>0</v>
      </c>
      <c r="AX2694" s="84">
        <f t="shared" si="3283"/>
        <v>0</v>
      </c>
      <c r="AY2694" s="84">
        <f t="shared" si="3284"/>
        <v>0</v>
      </c>
      <c r="AZ2694" s="84"/>
      <c r="BA2694" s="84"/>
      <c r="BB2694" s="84"/>
      <c r="BC2694" s="84"/>
      <c r="BD2694" s="84"/>
      <c r="BE2694" s="84"/>
      <c r="BF2694" s="84"/>
      <c r="BG2694" s="84"/>
      <c r="BH2694" s="84"/>
      <c r="BI2694" s="68" cm="1">
        <f t="array" ref="BI2694">IFERROR(INDEX(AW2694:BH2694,1,MATCH(2,1/(AW2694:BH2694&lt;&gt;""))),"")</f>
        <v>0</v>
      </c>
      <c r="BJ2694" s="68" cm="1">
        <f t="array" ref="BJ2694">IF(BM2694 = "", "",IFERROR(INDEX(AW2694:BH2694,1,MATCH(2,1/(AW2694:BH2694&lt;&gt;""),1)-1),""))</f>
        <v>0</v>
      </c>
      <c r="BK2694" s="57" cm="1">
        <f t="array" ref="BK2694">IFERROR(INDEX(AW2694:BH2694,1,MATCH(2,1/(AW2694:BH2694&lt;&gt;""),1)),"")</f>
        <v>0</v>
      </c>
      <c r="BL2694" s="57" cm="1">
        <f t="array" ref="BL2694">IF(BM2694 = "", "",IFERROR(INDEX(AW2694:BH2694,1,MATCH(2,1/(AW2694:BH2694&lt;&gt;""),1)-1),""))</f>
        <v>0</v>
      </c>
      <c r="BM2694" s="55" cm="1">
        <f t="array" ref="BM2694">IFERROR(
   INDEX($AW$1:$BH$1,
      _xlfn.AGGREGATE(14, 6, COLUMN($AW$1:$BH$1)/(AW2694:BH2694&lt;&gt;""), 2) - COLUMN($AW$1) + 1
   ),
"")</f>
        <v>46054</v>
      </c>
      <c r="BN2694" s="55" cm="1">
        <f t="array" ref="BN2694">IFERROR(INDEX($AW$1:$BH$1,1,MATCH(2,1/(AW2694:BH2694&lt;&gt;""))),"")</f>
        <v>46082</v>
      </c>
      <c r="BO2694" s="53">
        <f ca="1">IFERROR(_xlfn.XLOOKUP(F2694,Apuração!A:A,Apuração!C:C)/_xlfn.XLOOKUP(F2694,Apuração!A:A,Apuração!B:B),0)</f>
        <v>0</v>
      </c>
      <c r="BP2694" s="53">
        <f ca="1">IFERROR(_xlfn.XLOOKUP(F2694,Apuração!A:A,Apuração!D:D)/_xlfn.XLOOKUP(F2694,Apuração!A:A,Apuração!B:B),0)</f>
        <v>0</v>
      </c>
      <c r="BQ2694" s="53">
        <f ca="1">IF(BK2694&gt;=BO2694,0,_xlfn.XLOOKUP(F2694,Apuração!A:A,Apuração!B:B)*(BO2694 + (1/_xlfn.XLOOKUP(F2694,Apuração!A:A,Apuração!B:B)) - BK2694))</f>
        <v>0</v>
      </c>
      <c r="BR2694" s="85">
        <f t="shared" ca="1" si="3285"/>
        <v>0</v>
      </c>
      <c r="BS2694" s="53">
        <f ca="1">IFERROR((_xlfn.XLOOKUP(F2694,Apuração!A:A,Apuração!C:C)+1)/_xlfn.XLOOKUP(F2694,Apuração!A:A,Apuração!B:B),0)</f>
        <v>0.14285714285714285</v>
      </c>
    </row>
    <row r="2695" spans="1:71" ht="25.95" hidden="1" customHeight="1" x14ac:dyDescent="0.3">
      <c r="A2695" s="72" t="s">
        <v>44</v>
      </c>
      <c r="B2695" s="73" t="s">
        <v>44</v>
      </c>
      <c r="C2695" s="74" t="s">
        <v>97</v>
      </c>
      <c r="D2695" s="5" t="s">
        <v>105</v>
      </c>
      <c r="E2695" s="4" t="str" cm="1">
        <f t="array" ref="E2695">_xlfn.IFS(
F2695 = "A partir de Abril", "Aguardando Execução na Distribuidora",
A2695 = "CAPACITAÇÃO", "Em execução no Corporativo",
TRUE, "Em Execução na Distribuidora"
)</f>
        <v>Em Execução na Distribuidora</v>
      </c>
      <c r="F2695" s="4" t="str" cm="1">
        <f t="array" ref="F2695">_xlfn.IFS(
AG2695 &lt;&gt; "", "Jan-Dez/26",
AH2695 &lt;&gt; "", "Fev-Dez/26",
AI2695 &lt;&gt; "", "Mar-Dez/26", AJ2695 &lt;&gt; "", "Abr-Dez/26",
TRUE, "A partir de Junho"
)</f>
        <v>A partir de Junho</v>
      </c>
      <c r="G2695" s="75" t="s">
        <v>44</v>
      </c>
      <c r="H2695" s="76" t="s">
        <v>44</v>
      </c>
      <c r="I2695" s="77"/>
      <c r="J2695" s="77"/>
      <c r="K2695" s="77"/>
      <c r="L2695" s="77" t="s">
        <v>240</v>
      </c>
      <c r="M2695" s="78"/>
      <c r="N2695" s="74" t="s">
        <v>42</v>
      </c>
      <c r="O2695" s="74" t="s">
        <v>52</v>
      </c>
      <c r="P2695" s="75" t="s">
        <v>44</v>
      </c>
      <c r="Q2695" s="75" t="s">
        <v>44</v>
      </c>
      <c r="R2695" s="79" t="s">
        <v>44</v>
      </c>
      <c r="S2695" s="79" t="s">
        <v>44</v>
      </c>
      <c r="T2695" s="22"/>
      <c r="U2695" s="22"/>
      <c r="V2695" s="22"/>
      <c r="W2695" s="22"/>
      <c r="X2695" s="22"/>
      <c r="Y2695" s="22"/>
      <c r="Z2695" s="22"/>
      <c r="AA2695" s="22"/>
      <c r="AB2695" s="22"/>
      <c r="AC2695" s="22"/>
      <c r="AD2695" s="22"/>
      <c r="AE2695" s="22"/>
      <c r="AG2695" s="112"/>
      <c r="AH2695" s="112"/>
      <c r="AI2695" s="112"/>
      <c r="AJ2695" s="71"/>
      <c r="AK2695" s="71"/>
      <c r="AL2695" s="71"/>
      <c r="AM2695" s="71"/>
      <c r="AN2695" s="71"/>
      <c r="AO2695" s="71"/>
      <c r="AP2695" s="71"/>
      <c r="AQ2695" s="71"/>
      <c r="AR2695" s="71"/>
      <c r="AS2695" s="94"/>
      <c r="AT2695" s="95"/>
      <c r="AU2695" s="97"/>
      <c r="AW2695" s="84">
        <f t="shared" si="3282"/>
        <v>0</v>
      </c>
      <c r="AX2695" s="84">
        <f t="shared" si="3283"/>
        <v>0</v>
      </c>
      <c r="AY2695" s="84">
        <f t="shared" si="3284"/>
        <v>0</v>
      </c>
      <c r="AZ2695" s="84"/>
      <c r="BA2695" s="84"/>
      <c r="BB2695" s="84"/>
      <c r="BC2695" s="84"/>
      <c r="BD2695" s="84"/>
      <c r="BE2695" s="84"/>
      <c r="BF2695" s="84"/>
      <c r="BG2695" s="84"/>
      <c r="BH2695" s="84"/>
      <c r="BI2695" s="68" cm="1">
        <f t="array" ref="BI2695">IFERROR(INDEX(AW2695:BH2695,1,MATCH(2,1/(AW2695:BH2695&lt;&gt;""))),"")</f>
        <v>0</v>
      </c>
      <c r="BJ2695" s="68" cm="1">
        <f t="array" ref="BJ2695">IF(BM2695 = "", "",IFERROR(INDEX(AW2695:BH2695,1,MATCH(2,1/(AW2695:BH2695&lt;&gt;""),1)-1),""))</f>
        <v>0</v>
      </c>
      <c r="BK2695" s="57" cm="1">
        <f t="array" ref="BK2695">IFERROR(INDEX(AW2695:BH2695,1,MATCH(2,1/(AW2695:BH2695&lt;&gt;""),1)),"")</f>
        <v>0</v>
      </c>
      <c r="BL2695" s="57" cm="1">
        <f t="array" ref="BL2695">IF(BM2695 = "", "",IFERROR(INDEX(AW2695:BH2695,1,MATCH(2,1/(AW2695:BH2695&lt;&gt;""),1)-1),""))</f>
        <v>0</v>
      </c>
      <c r="BM2695" s="55" cm="1">
        <f t="array" ref="BM2695">IFERROR(
   INDEX($AW$1:$BH$1,
      _xlfn.AGGREGATE(14, 6, COLUMN($AW$1:$BH$1)/(AW2695:BH2695&lt;&gt;""), 2) - COLUMN($AW$1) + 1
   ),
"")</f>
        <v>46054</v>
      </c>
      <c r="BN2695" s="55" cm="1">
        <f t="array" ref="BN2695">IFERROR(INDEX($AW$1:$BH$1,1,MATCH(2,1/(AW2695:BH2695&lt;&gt;""))),"")</f>
        <v>46082</v>
      </c>
      <c r="BO2695" s="53">
        <f ca="1">IFERROR(_xlfn.XLOOKUP(F2695,Apuração!A:A,Apuração!C:C)/_xlfn.XLOOKUP(F2695,Apuração!A:A,Apuração!B:B),0)</f>
        <v>0</v>
      </c>
      <c r="BP2695" s="53">
        <f ca="1">IFERROR(_xlfn.XLOOKUP(F2695,Apuração!A:A,Apuração!D:D)/_xlfn.XLOOKUP(F2695,Apuração!A:A,Apuração!B:B),0)</f>
        <v>0</v>
      </c>
      <c r="BQ2695" s="53">
        <f ca="1">IF(BK2695&gt;=BO2695,0,_xlfn.XLOOKUP(F2695,Apuração!A:A,Apuração!B:B)*(BO2695 + (1/_xlfn.XLOOKUP(F2695,Apuração!A:A,Apuração!B:B)) - BK2695))</f>
        <v>0</v>
      </c>
      <c r="BR2695" s="85">
        <f t="shared" ca="1" si="3285"/>
        <v>0</v>
      </c>
      <c r="BS2695" s="53">
        <f ca="1">IFERROR((_xlfn.XLOOKUP(F2695,Apuração!A:A,Apuração!C:C)+1)/_xlfn.XLOOKUP(F2695,Apuração!A:A,Apuração!B:B),0)</f>
        <v>0.14285714285714285</v>
      </c>
    </row>
    <row r="2696" spans="1:71" ht="25.95" hidden="1" customHeight="1" x14ac:dyDescent="0.3">
      <c r="A2696" s="72" t="s">
        <v>44</v>
      </c>
      <c r="B2696" s="73" t="s">
        <v>44</v>
      </c>
      <c r="C2696" s="74" t="s">
        <v>97</v>
      </c>
      <c r="D2696" s="5" t="s">
        <v>106</v>
      </c>
      <c r="E2696" s="4" t="str" cm="1">
        <f t="array" ref="E2696">_xlfn.IFS(
F2696 = "A partir de Abril", "Aguardando Execução na Distribuidora",
A2696 = "CAPACITAÇÃO", "Em execução no Corporativo",
TRUE, "Em Execução na Distribuidora"
)</f>
        <v>Em Execução na Distribuidora</v>
      </c>
      <c r="F2696" s="4" t="str" cm="1">
        <f t="array" ref="F2696">_xlfn.IFS(
AG2696 &lt;&gt; "", "Jan-Dez/26",
AH2696 &lt;&gt; "", "Fev-Dez/26",
AI2696 &lt;&gt; "", "Mar-Dez/26", AJ2696 &lt;&gt; "", "Abr-Dez/26",
TRUE, "A partir de Junho"
)</f>
        <v>A partir de Junho</v>
      </c>
      <c r="G2696" s="75" t="s">
        <v>44</v>
      </c>
      <c r="H2696" s="76" t="s">
        <v>44</v>
      </c>
      <c r="I2696" s="77"/>
      <c r="J2696" s="77"/>
      <c r="K2696" s="77"/>
      <c r="L2696" s="77" t="s">
        <v>240</v>
      </c>
      <c r="M2696" s="78"/>
      <c r="N2696" s="74" t="s">
        <v>42</v>
      </c>
      <c r="O2696" s="74" t="s">
        <v>52</v>
      </c>
      <c r="P2696" s="75" t="s">
        <v>44</v>
      </c>
      <c r="Q2696" s="75" t="s">
        <v>44</v>
      </c>
      <c r="R2696" s="79" t="s">
        <v>44</v>
      </c>
      <c r="S2696" s="79" t="s">
        <v>44</v>
      </c>
      <c r="T2696" s="22"/>
      <c r="U2696" s="22"/>
      <c r="V2696" s="22"/>
      <c r="W2696" s="22"/>
      <c r="X2696" s="22"/>
      <c r="Y2696" s="22"/>
      <c r="Z2696" s="22"/>
      <c r="AA2696" s="22"/>
      <c r="AB2696" s="22"/>
      <c r="AC2696" s="22"/>
      <c r="AD2696" s="22"/>
      <c r="AE2696" s="22"/>
      <c r="AG2696" s="112"/>
      <c r="AH2696" s="112"/>
      <c r="AI2696" s="112"/>
      <c r="AJ2696" s="71"/>
      <c r="AK2696" s="71"/>
      <c r="AL2696" s="71"/>
      <c r="AM2696" s="71"/>
      <c r="AN2696" s="71"/>
      <c r="AO2696" s="71"/>
      <c r="AP2696" s="71"/>
      <c r="AQ2696" s="71"/>
      <c r="AR2696" s="71"/>
      <c r="AS2696" s="94"/>
      <c r="AT2696" s="95"/>
      <c r="AU2696" s="97"/>
      <c r="AW2696" s="84">
        <f t="shared" si="3282"/>
        <v>0</v>
      </c>
      <c r="AX2696" s="84">
        <f t="shared" si="3283"/>
        <v>0</v>
      </c>
      <c r="AY2696" s="84">
        <f t="shared" si="3284"/>
        <v>0</v>
      </c>
      <c r="AZ2696" s="84"/>
      <c r="BA2696" s="84"/>
      <c r="BB2696" s="84"/>
      <c r="BC2696" s="84"/>
      <c r="BD2696" s="84"/>
      <c r="BE2696" s="84"/>
      <c r="BF2696" s="84"/>
      <c r="BG2696" s="84"/>
      <c r="BH2696" s="84"/>
      <c r="BI2696" s="68" cm="1">
        <f t="array" ref="BI2696">IFERROR(INDEX(AW2696:BH2696,1,MATCH(2,1/(AW2696:BH2696&lt;&gt;""))),"")</f>
        <v>0</v>
      </c>
      <c r="BJ2696" s="68" cm="1">
        <f t="array" ref="BJ2696">IF(BM2696 = "", "",IFERROR(INDEX(AW2696:BH2696,1,MATCH(2,1/(AW2696:BH2696&lt;&gt;""),1)-1),""))</f>
        <v>0</v>
      </c>
      <c r="BK2696" s="57" cm="1">
        <f t="array" ref="BK2696">IFERROR(INDEX(AW2696:BH2696,1,MATCH(2,1/(AW2696:BH2696&lt;&gt;""),1)),"")</f>
        <v>0</v>
      </c>
      <c r="BL2696" s="57" cm="1">
        <f t="array" ref="BL2696">IF(BM2696 = "", "",IFERROR(INDEX(AW2696:BH2696,1,MATCH(2,1/(AW2696:BH2696&lt;&gt;""),1)-1),""))</f>
        <v>0</v>
      </c>
      <c r="BM2696" s="55" cm="1">
        <f t="array" ref="BM2696">IFERROR(
   INDEX($AW$1:$BH$1,
      _xlfn.AGGREGATE(14, 6, COLUMN($AW$1:$BH$1)/(AW2696:BH2696&lt;&gt;""), 2) - COLUMN($AW$1) + 1
   ),
"")</f>
        <v>46054</v>
      </c>
      <c r="BN2696" s="55" cm="1">
        <f t="array" ref="BN2696">IFERROR(INDEX($AW$1:$BH$1,1,MATCH(2,1/(AW2696:BH2696&lt;&gt;""))),"")</f>
        <v>46082</v>
      </c>
      <c r="BO2696" s="53">
        <f ca="1">IFERROR(_xlfn.XLOOKUP(F2696,Apuração!A:A,Apuração!C:C)/_xlfn.XLOOKUP(F2696,Apuração!A:A,Apuração!B:B),0)</f>
        <v>0</v>
      </c>
      <c r="BP2696" s="53">
        <f ca="1">IFERROR(_xlfn.XLOOKUP(F2696,Apuração!A:A,Apuração!D:D)/_xlfn.XLOOKUP(F2696,Apuração!A:A,Apuração!B:B),0)</f>
        <v>0</v>
      </c>
      <c r="BQ2696" s="53">
        <f ca="1">IF(BK2696&gt;=BO2696,0,_xlfn.XLOOKUP(F2696,Apuração!A:A,Apuração!B:B)*(BO2696 + (1/_xlfn.XLOOKUP(F2696,Apuração!A:A,Apuração!B:B)) - BK2696))</f>
        <v>0</v>
      </c>
      <c r="BR2696" s="85">
        <f t="shared" ca="1" si="3285"/>
        <v>0</v>
      </c>
      <c r="BS2696" s="53">
        <f ca="1">IFERROR((_xlfn.XLOOKUP(F2696,Apuração!A:A,Apuração!C:C)+1)/_xlfn.XLOOKUP(F2696,Apuração!A:A,Apuração!B:B),0)</f>
        <v>0.14285714285714285</v>
      </c>
    </row>
    <row r="2697" spans="1:71" ht="25.95" hidden="1" customHeight="1" x14ac:dyDescent="0.3">
      <c r="A2697" s="72" t="s">
        <v>44</v>
      </c>
      <c r="B2697" s="73" t="s">
        <v>44</v>
      </c>
      <c r="C2697" s="74" t="s">
        <v>97</v>
      </c>
      <c r="D2697" s="5" t="s">
        <v>107</v>
      </c>
      <c r="E2697" s="4" t="str" cm="1">
        <f t="array" ref="E2697">_xlfn.IFS(
F2697 = "A partir de Abril", "Aguardando Execução na Distribuidora",
A2697 = "CAPACITAÇÃO", "Em execução no Corporativo",
TRUE, "Em Execução na Distribuidora"
)</f>
        <v>Em Execução na Distribuidora</v>
      </c>
      <c r="F2697" s="4" t="str" cm="1">
        <f t="array" ref="F2697">_xlfn.IFS(
AG2697 &lt;&gt; "", "Jan-Dez/26",
AH2697 &lt;&gt; "", "Fev-Dez/26",
AI2697 &lt;&gt; "", "Mar-Dez/26", AJ2697 &lt;&gt; "", "Abr-Dez/26",
TRUE, "A partir de Junho"
)</f>
        <v>A partir de Junho</v>
      </c>
      <c r="G2697" s="75" t="s">
        <v>44</v>
      </c>
      <c r="H2697" s="76" t="s">
        <v>44</v>
      </c>
      <c r="I2697" s="77"/>
      <c r="J2697" s="77"/>
      <c r="K2697" s="77"/>
      <c r="L2697" s="77" t="s">
        <v>240</v>
      </c>
      <c r="M2697" s="78"/>
      <c r="N2697" s="74" t="s">
        <v>42</v>
      </c>
      <c r="O2697" s="74" t="s">
        <v>52</v>
      </c>
      <c r="P2697" s="75" t="s">
        <v>44</v>
      </c>
      <c r="Q2697" s="75" t="s">
        <v>44</v>
      </c>
      <c r="R2697" s="79" t="s">
        <v>44</v>
      </c>
      <c r="S2697" s="79" t="s">
        <v>44</v>
      </c>
      <c r="T2697" s="22"/>
      <c r="U2697" s="22"/>
      <c r="V2697" s="22"/>
      <c r="W2697" s="22"/>
      <c r="X2697" s="22"/>
      <c r="Y2697" s="22"/>
      <c r="Z2697" s="22"/>
      <c r="AA2697" s="22"/>
      <c r="AB2697" s="22"/>
      <c r="AC2697" s="22"/>
      <c r="AD2697" s="22"/>
      <c r="AE2697" s="22"/>
      <c r="AG2697" s="112"/>
      <c r="AH2697" s="112"/>
      <c r="AI2697" s="112"/>
      <c r="AJ2697" s="71"/>
      <c r="AK2697" s="71"/>
      <c r="AL2697" s="71"/>
      <c r="AM2697" s="71"/>
      <c r="AN2697" s="71"/>
      <c r="AO2697" s="71"/>
      <c r="AP2697" s="71"/>
      <c r="AQ2697" s="71"/>
      <c r="AR2697" s="71"/>
      <c r="AS2697" s="94"/>
      <c r="AT2697" s="95"/>
      <c r="AU2697" s="97"/>
      <c r="AW2697" s="84">
        <f t="shared" si="3282"/>
        <v>0</v>
      </c>
      <c r="AX2697" s="84">
        <f t="shared" si="3283"/>
        <v>0</v>
      </c>
      <c r="AY2697" s="84">
        <f t="shared" si="3284"/>
        <v>0</v>
      </c>
      <c r="AZ2697" s="84"/>
      <c r="BA2697" s="84"/>
      <c r="BB2697" s="84"/>
      <c r="BC2697" s="84"/>
      <c r="BD2697" s="84"/>
      <c r="BE2697" s="84"/>
      <c r="BF2697" s="84"/>
      <c r="BG2697" s="84"/>
      <c r="BH2697" s="84"/>
      <c r="BI2697" s="68" cm="1">
        <f t="array" ref="BI2697">IFERROR(INDEX(AW2697:BH2697,1,MATCH(2,1/(AW2697:BH2697&lt;&gt;""))),"")</f>
        <v>0</v>
      </c>
      <c r="BJ2697" s="68" cm="1">
        <f t="array" ref="BJ2697">IF(BM2697 = "", "",IFERROR(INDEX(AW2697:BH2697,1,MATCH(2,1/(AW2697:BH2697&lt;&gt;""),1)-1),""))</f>
        <v>0</v>
      </c>
      <c r="BK2697" s="57" cm="1">
        <f t="array" ref="BK2697">IFERROR(INDEX(AW2697:BH2697,1,MATCH(2,1/(AW2697:BH2697&lt;&gt;""),1)),"")</f>
        <v>0</v>
      </c>
      <c r="BL2697" s="57" cm="1">
        <f t="array" ref="BL2697">IF(BM2697 = "", "",IFERROR(INDEX(AW2697:BH2697,1,MATCH(2,1/(AW2697:BH2697&lt;&gt;""),1)-1),""))</f>
        <v>0</v>
      </c>
      <c r="BM2697" s="55" cm="1">
        <f t="array" ref="BM2697">IFERROR(
   INDEX($AW$1:$BH$1,
      _xlfn.AGGREGATE(14, 6, COLUMN($AW$1:$BH$1)/(AW2697:BH2697&lt;&gt;""), 2) - COLUMN($AW$1) + 1
   ),
"")</f>
        <v>46054</v>
      </c>
      <c r="BN2697" s="55" cm="1">
        <f t="array" ref="BN2697">IFERROR(INDEX($AW$1:$BH$1,1,MATCH(2,1/(AW2697:BH2697&lt;&gt;""))),"")</f>
        <v>46082</v>
      </c>
      <c r="BO2697" s="53">
        <f ca="1">IFERROR(_xlfn.XLOOKUP(F2697,Apuração!A:A,Apuração!C:C)/_xlfn.XLOOKUP(F2697,Apuração!A:A,Apuração!B:B),0)</f>
        <v>0</v>
      </c>
      <c r="BP2697" s="53">
        <f ca="1">IFERROR(_xlfn.XLOOKUP(F2697,Apuração!A:A,Apuração!D:D)/_xlfn.XLOOKUP(F2697,Apuração!A:A,Apuração!B:B),0)</f>
        <v>0</v>
      </c>
      <c r="BQ2697" s="53">
        <f ca="1">IF(BK2697&gt;=BO2697,0,_xlfn.XLOOKUP(F2697,Apuração!A:A,Apuração!B:B)*(BO2697 + (1/_xlfn.XLOOKUP(F2697,Apuração!A:A,Apuração!B:B)) - BK2697))</f>
        <v>0</v>
      </c>
      <c r="BR2697" s="85">
        <f t="shared" ca="1" si="3285"/>
        <v>0</v>
      </c>
      <c r="BS2697" s="53">
        <f ca="1">IFERROR((_xlfn.XLOOKUP(F2697,Apuração!A:A,Apuração!C:C)+1)/_xlfn.XLOOKUP(F2697,Apuração!A:A,Apuração!B:B),0)</f>
        <v>0.14285714285714285</v>
      </c>
    </row>
    <row r="2698" spans="1:71" ht="25.95" hidden="1" customHeight="1" x14ac:dyDescent="0.3">
      <c r="A2698" s="72" t="s">
        <v>44</v>
      </c>
      <c r="B2698" s="73" t="s">
        <v>44</v>
      </c>
      <c r="C2698" s="74" t="s">
        <v>209</v>
      </c>
      <c r="D2698" s="5" t="s">
        <v>210</v>
      </c>
      <c r="E2698" s="4" t="str" cm="1">
        <f t="array" ref="E2698">_xlfn.IFS(
F2698 = "A partir de Abril", "Aguardando Execução na Distribuidora",
A2698 = "CAPACITAÇÃO", "Em execução no Corporativo",
TRUE, "Em Execução na Distribuidora"
)</f>
        <v>Em Execução na Distribuidora</v>
      </c>
      <c r="F2698" s="4" t="str" cm="1">
        <f t="array" ref="F2698">_xlfn.IFS(
AG2698 &lt;&gt; "", "Jan-Dez/26",
AH2698 &lt;&gt; "", "Fev-Dez/26",
AI2698 &lt;&gt; "", "Mar-Dez/26", AJ2698 &lt;&gt; "", "Abr-Dez/26",
TRUE, "A partir de Junho"
)</f>
        <v>A partir de Junho</v>
      </c>
      <c r="G2698" s="75" t="s">
        <v>44</v>
      </c>
      <c r="H2698" s="76" t="s">
        <v>44</v>
      </c>
      <c r="I2698" s="77"/>
      <c r="J2698" s="77"/>
      <c r="K2698" s="77"/>
      <c r="L2698" s="77" t="s">
        <v>241</v>
      </c>
      <c r="M2698" s="78"/>
      <c r="N2698" s="74" t="s">
        <v>42</v>
      </c>
      <c r="O2698" s="74" t="s">
        <v>52</v>
      </c>
      <c r="P2698" s="75" t="s">
        <v>44</v>
      </c>
      <c r="Q2698" s="75" t="s">
        <v>44</v>
      </c>
      <c r="R2698" s="79" t="s">
        <v>44</v>
      </c>
      <c r="S2698" s="79" t="s">
        <v>44</v>
      </c>
      <c r="T2698" s="22"/>
      <c r="U2698" s="22"/>
      <c r="V2698" s="22"/>
      <c r="W2698" s="22"/>
      <c r="X2698" s="22"/>
      <c r="Y2698" s="22"/>
      <c r="Z2698" s="22"/>
      <c r="AA2698" s="22"/>
      <c r="AB2698" s="22"/>
      <c r="AC2698" s="22"/>
      <c r="AD2698" s="22"/>
      <c r="AE2698" s="22"/>
      <c r="AG2698" s="71"/>
      <c r="AH2698" s="71"/>
      <c r="AI2698" s="71"/>
      <c r="AJ2698" s="71"/>
      <c r="AK2698" s="71"/>
      <c r="AL2698" s="71"/>
      <c r="AM2698" s="71"/>
      <c r="AN2698" s="71"/>
      <c r="AO2698" s="71"/>
      <c r="AP2698" s="71"/>
      <c r="AQ2698" s="71"/>
      <c r="AR2698" s="71"/>
      <c r="AS2698" s="94"/>
      <c r="AT2698" s="95"/>
      <c r="AU2698" s="97"/>
      <c r="AW2698" s="84">
        <f t="shared" ref="AW2698:AW2702" si="3286">AG2698</f>
        <v>0</v>
      </c>
      <c r="AX2698" s="84"/>
      <c r="AY2698" s="84"/>
      <c r="AZ2698" s="84"/>
      <c r="BA2698" s="84"/>
      <c r="BB2698" s="84"/>
      <c r="BC2698" s="84"/>
      <c r="BD2698" s="84"/>
      <c r="BE2698" s="84"/>
      <c r="BF2698" s="84"/>
      <c r="BG2698" s="84"/>
      <c r="BH2698" s="84"/>
      <c r="BI2698" s="68" cm="1">
        <f t="array" ref="BI2698">IFERROR(INDEX(AW2698:BH2698,1,MATCH(2,1/(AW2698:BH2698&lt;&gt;""))),"")</f>
        <v>0</v>
      </c>
      <c r="BJ2698" s="68" t="str" cm="1">
        <f t="array" ref="BJ2698">IF(BM2698 = "", "",IFERROR(INDEX(AW2698:BH2698,1,MATCH(2,1/(AW2698:BH2698&lt;&gt;""),1)-1),""))</f>
        <v/>
      </c>
      <c r="BK2698" s="57" cm="1">
        <f t="array" ref="BK2698">IFERROR(INDEX(AW2698:BH2698,1,MATCH(2,1/(AW2698:BH2698&lt;&gt;""),1)),"")</f>
        <v>0</v>
      </c>
      <c r="BL2698" s="57" t="str" cm="1">
        <f t="array" ref="BL2698">IF(BM2698 = "", "",IFERROR(INDEX(AW2698:BH2698,1,MATCH(2,1/(AW2698:BH2698&lt;&gt;""),1)-1),""))</f>
        <v/>
      </c>
      <c r="BM2698" s="55" t="str" cm="1">
        <f t="array" ref="BM2698">IFERROR(
   INDEX($AW$1:$BH$1,
      _xlfn.AGGREGATE(14, 6, COLUMN($AW$1:$BH$1)/(AW2698:BH2698&lt;&gt;""), 2) - COLUMN($AW$1) + 1
   ),
"")</f>
        <v/>
      </c>
      <c r="BN2698" s="55" cm="1">
        <f t="array" ref="BN2698">IFERROR(INDEX($AW$1:$BH$1,1,MATCH(2,1/(AW2698:BH2698&lt;&gt;""))),"")</f>
        <v>46023</v>
      </c>
      <c r="BO2698" s="53">
        <f ca="1">IFERROR(_xlfn.XLOOKUP(F2698,Apuração!A:A,Apuração!C:C)/_xlfn.XLOOKUP(F2698,Apuração!A:A,Apuração!B:B),0)</f>
        <v>0</v>
      </c>
      <c r="BP2698" s="53">
        <f ca="1">IFERROR(_xlfn.XLOOKUP(F2698,Apuração!A:A,Apuração!D:D)/_xlfn.XLOOKUP(F2698,Apuração!A:A,Apuração!B:B),0)</f>
        <v>0</v>
      </c>
      <c r="BQ2698" s="53">
        <f ca="1">IF(BK2698&gt;=BO2698,0,_xlfn.XLOOKUP(F2698,Apuração!A:A,Apuração!B:B)*(BO2698 + (1/_xlfn.XLOOKUP(F2698,Apuração!A:A,Apuração!B:B)) - BK2698))</f>
        <v>0</v>
      </c>
      <c r="BR2698" s="85">
        <f t="shared" ref="BR2698:BR2702" ca="1" si="3287">IF(BQ2698=0,0,BQ2698*Z2698)</f>
        <v>0</v>
      </c>
      <c r="BS2698" s="53">
        <f ca="1">IFERROR((_xlfn.XLOOKUP(F2698,Apuração!A:A,Apuração!C:C)+1)/_xlfn.XLOOKUP(F2698,Apuração!A:A,Apuração!B:B),0)</f>
        <v>0.14285714285714285</v>
      </c>
    </row>
    <row r="2699" spans="1:71" ht="25.95" hidden="1" customHeight="1" x14ac:dyDescent="0.3">
      <c r="A2699" s="72" t="s">
        <v>44</v>
      </c>
      <c r="B2699" s="73" t="s">
        <v>44</v>
      </c>
      <c r="C2699" s="74" t="s">
        <v>209</v>
      </c>
      <c r="D2699" s="5" t="s">
        <v>47</v>
      </c>
      <c r="E2699" s="4" t="str" cm="1">
        <f t="array" ref="E2699">_xlfn.IFS(
F2699 = "A partir de Abril", "Aguardando Execução na Distribuidora",
A2699 = "CAPACITAÇÃO", "Em execução no Corporativo",
TRUE, "Em Execução na Distribuidora"
)</f>
        <v>Em Execução na Distribuidora</v>
      </c>
      <c r="F2699" s="4" t="str" cm="1">
        <f t="array" ref="F2699">_xlfn.IFS(
AG2699 &lt;&gt; "", "Jan-Dez/26",
AH2699 &lt;&gt; "", "Fev-Dez/26",
AI2699 &lt;&gt; "", "Mar-Dez/26", AJ2699 &lt;&gt; "", "Abr-Dez/26",
TRUE, "A partir de Junho"
)</f>
        <v>A partir de Junho</v>
      </c>
      <c r="G2699" s="75" t="s">
        <v>44</v>
      </c>
      <c r="H2699" s="76" t="s">
        <v>44</v>
      </c>
      <c r="I2699" s="77"/>
      <c r="J2699" s="77"/>
      <c r="K2699" s="77"/>
      <c r="L2699" s="77" t="s">
        <v>241</v>
      </c>
      <c r="M2699" s="78"/>
      <c r="N2699" s="74" t="s">
        <v>42</v>
      </c>
      <c r="O2699" s="74" t="s">
        <v>52</v>
      </c>
      <c r="P2699" s="75" t="s">
        <v>44</v>
      </c>
      <c r="Q2699" s="75" t="s">
        <v>44</v>
      </c>
      <c r="R2699" s="79" t="s">
        <v>44</v>
      </c>
      <c r="S2699" s="79" t="s">
        <v>44</v>
      </c>
      <c r="T2699" s="22"/>
      <c r="U2699" s="22"/>
      <c r="V2699" s="22"/>
      <c r="W2699" s="22"/>
      <c r="X2699" s="22"/>
      <c r="Y2699" s="22"/>
      <c r="Z2699" s="22"/>
      <c r="AA2699" s="22"/>
      <c r="AB2699" s="22"/>
      <c r="AC2699" s="22"/>
      <c r="AD2699" s="22"/>
      <c r="AE2699" s="22"/>
      <c r="AG2699" s="71"/>
      <c r="AH2699" s="71"/>
      <c r="AI2699" s="71"/>
      <c r="AJ2699" s="71"/>
      <c r="AK2699" s="71"/>
      <c r="AL2699" s="71"/>
      <c r="AM2699" s="71"/>
      <c r="AN2699" s="71"/>
      <c r="AO2699" s="71"/>
      <c r="AP2699" s="71"/>
      <c r="AQ2699" s="71"/>
      <c r="AR2699" s="71"/>
      <c r="AS2699" s="94"/>
      <c r="AT2699" s="95"/>
      <c r="AU2699" s="97"/>
      <c r="AW2699" s="84">
        <f t="shared" si="3286"/>
        <v>0</v>
      </c>
      <c r="AX2699" s="84"/>
      <c r="AY2699" s="84"/>
      <c r="AZ2699" s="84"/>
      <c r="BA2699" s="84"/>
      <c r="BB2699" s="84"/>
      <c r="BC2699" s="84"/>
      <c r="BD2699" s="84"/>
      <c r="BE2699" s="84"/>
      <c r="BF2699" s="84"/>
      <c r="BG2699" s="84"/>
      <c r="BH2699" s="84"/>
      <c r="BI2699" s="68" cm="1">
        <f t="array" ref="BI2699">IFERROR(INDEX(AW2699:BH2699,1,MATCH(2,1/(AW2699:BH2699&lt;&gt;""))),"")</f>
        <v>0</v>
      </c>
      <c r="BJ2699" s="68" t="str" cm="1">
        <f t="array" ref="BJ2699">IF(BM2699 = "", "",IFERROR(INDEX(AW2699:BH2699,1,MATCH(2,1/(AW2699:BH2699&lt;&gt;""),1)-1),""))</f>
        <v/>
      </c>
      <c r="BK2699" s="57" cm="1">
        <f t="array" ref="BK2699">IFERROR(INDEX(AW2699:BH2699,1,MATCH(2,1/(AW2699:BH2699&lt;&gt;""),1)),"")</f>
        <v>0</v>
      </c>
      <c r="BL2699" s="57" t="str" cm="1">
        <f t="array" ref="BL2699">IF(BM2699 = "", "",IFERROR(INDEX(AW2699:BH2699,1,MATCH(2,1/(AW2699:BH2699&lt;&gt;""),1)-1),""))</f>
        <v/>
      </c>
      <c r="BM2699" s="55" t="str" cm="1">
        <f t="array" ref="BM2699">IFERROR(
   INDEX($AW$1:$BH$1,
      _xlfn.AGGREGATE(14, 6, COLUMN($AW$1:$BH$1)/(AW2699:BH2699&lt;&gt;""), 2) - COLUMN($AW$1) + 1
   ),
"")</f>
        <v/>
      </c>
      <c r="BN2699" s="55" cm="1">
        <f t="array" ref="BN2699">IFERROR(INDEX($AW$1:$BH$1,1,MATCH(2,1/(AW2699:BH2699&lt;&gt;""))),"")</f>
        <v>46023</v>
      </c>
      <c r="BO2699" s="53">
        <f ca="1">IFERROR(_xlfn.XLOOKUP(F2699,Apuração!A:A,Apuração!C:C)/_xlfn.XLOOKUP(F2699,Apuração!A:A,Apuração!B:B),0)</f>
        <v>0</v>
      </c>
      <c r="BP2699" s="53">
        <f ca="1">IFERROR(_xlfn.XLOOKUP(F2699,Apuração!A:A,Apuração!D:D)/_xlfn.XLOOKUP(F2699,Apuração!A:A,Apuração!B:B),0)</f>
        <v>0</v>
      </c>
      <c r="BQ2699" s="53">
        <f ca="1">IF(BK2699&gt;=BO2699,0,_xlfn.XLOOKUP(F2699,Apuração!A:A,Apuração!B:B)*(BO2699 + (1/_xlfn.XLOOKUP(F2699,Apuração!A:A,Apuração!B:B)) - BK2699))</f>
        <v>0</v>
      </c>
      <c r="BR2699" s="85">
        <f t="shared" ca="1" si="3287"/>
        <v>0</v>
      </c>
      <c r="BS2699" s="53">
        <f ca="1">IFERROR((_xlfn.XLOOKUP(F2699,Apuração!A:A,Apuração!C:C)+1)/_xlfn.XLOOKUP(F2699,Apuração!A:A,Apuração!B:B),0)</f>
        <v>0.14285714285714285</v>
      </c>
    </row>
    <row r="2700" spans="1:71" ht="25.95" hidden="1" customHeight="1" x14ac:dyDescent="0.3">
      <c r="A2700" s="72" t="s">
        <v>44</v>
      </c>
      <c r="B2700" s="73" t="s">
        <v>44</v>
      </c>
      <c r="C2700" s="74" t="s">
        <v>209</v>
      </c>
      <c r="D2700" s="5" t="s">
        <v>211</v>
      </c>
      <c r="E2700" s="4" t="str" cm="1">
        <f t="array" ref="E2700">_xlfn.IFS(
F2700 = "A partir de Abril", "Aguardando Execução na Distribuidora",
A2700 = "CAPACITAÇÃO", "Em execução no Corporativo",
TRUE, "Em Execução na Distribuidora"
)</f>
        <v>Em Execução na Distribuidora</v>
      </c>
      <c r="F2700" s="4" t="str" cm="1">
        <f t="array" ref="F2700">_xlfn.IFS(
AG2700 &lt;&gt; "", "Jan-Dez/26",
AH2700 &lt;&gt; "", "Fev-Dez/26",
AI2700 &lt;&gt; "", "Mar-Dez/26", AJ2700 &lt;&gt; "", "Abr-Dez/26",
TRUE, "A partir de Junho"
)</f>
        <v>A partir de Junho</v>
      </c>
      <c r="G2700" s="75" t="s">
        <v>44</v>
      </c>
      <c r="H2700" s="76" t="s">
        <v>44</v>
      </c>
      <c r="I2700" s="77"/>
      <c r="J2700" s="77"/>
      <c r="K2700" s="77"/>
      <c r="L2700" s="77" t="s">
        <v>241</v>
      </c>
      <c r="M2700" s="78"/>
      <c r="N2700" s="74" t="s">
        <v>42</v>
      </c>
      <c r="O2700" s="74" t="s">
        <v>52</v>
      </c>
      <c r="P2700" s="75" t="s">
        <v>44</v>
      </c>
      <c r="Q2700" s="75" t="s">
        <v>44</v>
      </c>
      <c r="R2700" s="79" t="s">
        <v>44</v>
      </c>
      <c r="S2700" s="79" t="s">
        <v>44</v>
      </c>
      <c r="T2700" s="22"/>
      <c r="U2700" s="22"/>
      <c r="V2700" s="22"/>
      <c r="W2700" s="22"/>
      <c r="X2700" s="22"/>
      <c r="Y2700" s="22"/>
      <c r="Z2700" s="22"/>
      <c r="AA2700" s="22"/>
      <c r="AB2700" s="22"/>
      <c r="AC2700" s="22"/>
      <c r="AD2700" s="22"/>
      <c r="AE2700" s="22"/>
      <c r="AG2700" s="71"/>
      <c r="AH2700" s="71"/>
      <c r="AI2700" s="71"/>
      <c r="AJ2700" s="71"/>
      <c r="AK2700" s="71"/>
      <c r="AL2700" s="71"/>
      <c r="AM2700" s="71"/>
      <c r="AN2700" s="71"/>
      <c r="AO2700" s="71"/>
      <c r="AP2700" s="71"/>
      <c r="AQ2700" s="71"/>
      <c r="AR2700" s="71"/>
      <c r="AS2700" s="94"/>
      <c r="AT2700" s="95"/>
      <c r="AU2700" s="97"/>
      <c r="AW2700" s="84">
        <f t="shared" si="3286"/>
        <v>0</v>
      </c>
      <c r="AX2700" s="84"/>
      <c r="AY2700" s="84"/>
      <c r="AZ2700" s="84"/>
      <c r="BA2700" s="84"/>
      <c r="BB2700" s="84"/>
      <c r="BC2700" s="84"/>
      <c r="BD2700" s="84"/>
      <c r="BE2700" s="84"/>
      <c r="BF2700" s="84"/>
      <c r="BG2700" s="84"/>
      <c r="BH2700" s="84"/>
      <c r="BI2700" s="68" cm="1">
        <f t="array" ref="BI2700">IFERROR(INDEX(AW2700:BH2700,1,MATCH(2,1/(AW2700:BH2700&lt;&gt;""))),"")</f>
        <v>0</v>
      </c>
      <c r="BJ2700" s="68" t="str" cm="1">
        <f t="array" ref="BJ2700">IF(BM2700 = "", "",IFERROR(INDEX(AW2700:BH2700,1,MATCH(2,1/(AW2700:BH2700&lt;&gt;""),1)-1),""))</f>
        <v/>
      </c>
      <c r="BK2700" s="57" cm="1">
        <f t="array" ref="BK2700">IFERROR(INDEX(AW2700:BH2700,1,MATCH(2,1/(AW2700:BH2700&lt;&gt;""),1)),"")</f>
        <v>0</v>
      </c>
      <c r="BL2700" s="57" t="str" cm="1">
        <f t="array" ref="BL2700">IF(BM2700 = "", "",IFERROR(INDEX(AW2700:BH2700,1,MATCH(2,1/(AW2700:BH2700&lt;&gt;""),1)-1),""))</f>
        <v/>
      </c>
      <c r="BM2700" s="55" t="str" cm="1">
        <f t="array" ref="BM2700">IFERROR(
   INDEX($AW$1:$BH$1,
      _xlfn.AGGREGATE(14, 6, COLUMN($AW$1:$BH$1)/(AW2700:BH2700&lt;&gt;""), 2) - COLUMN($AW$1) + 1
   ),
"")</f>
        <v/>
      </c>
      <c r="BN2700" s="55" cm="1">
        <f t="array" ref="BN2700">IFERROR(INDEX($AW$1:$BH$1,1,MATCH(2,1/(AW2700:BH2700&lt;&gt;""))),"")</f>
        <v>46023</v>
      </c>
      <c r="BO2700" s="53">
        <f ca="1">IFERROR(_xlfn.XLOOKUP(F2700,Apuração!A:A,Apuração!C:C)/_xlfn.XLOOKUP(F2700,Apuração!A:A,Apuração!B:B),0)</f>
        <v>0</v>
      </c>
      <c r="BP2700" s="53">
        <f ca="1">IFERROR(_xlfn.XLOOKUP(F2700,Apuração!A:A,Apuração!D:D)/_xlfn.XLOOKUP(F2700,Apuração!A:A,Apuração!B:B),0)</f>
        <v>0</v>
      </c>
      <c r="BQ2700" s="53">
        <f ca="1">IF(BK2700&gt;=BO2700,0,_xlfn.XLOOKUP(F2700,Apuração!A:A,Apuração!B:B)*(BO2700 + (1/_xlfn.XLOOKUP(F2700,Apuração!A:A,Apuração!B:B)) - BK2700))</f>
        <v>0</v>
      </c>
      <c r="BR2700" s="85">
        <f t="shared" ca="1" si="3287"/>
        <v>0</v>
      </c>
      <c r="BS2700" s="53">
        <f ca="1">IFERROR((_xlfn.XLOOKUP(F2700,Apuração!A:A,Apuração!C:C)+1)/_xlfn.XLOOKUP(F2700,Apuração!A:A,Apuração!B:B),0)</f>
        <v>0.14285714285714285</v>
      </c>
    </row>
    <row r="2701" spans="1:71" ht="25.95" hidden="1" customHeight="1" x14ac:dyDescent="0.3">
      <c r="A2701" s="72" t="s">
        <v>44</v>
      </c>
      <c r="B2701" s="73" t="s">
        <v>44</v>
      </c>
      <c r="C2701" s="74" t="s">
        <v>209</v>
      </c>
      <c r="D2701" s="5" t="s">
        <v>212</v>
      </c>
      <c r="E2701" s="4" t="str" cm="1">
        <f t="array" ref="E2701">_xlfn.IFS(
F2701 = "A partir de Abril", "Aguardando Execução na Distribuidora",
A2701 = "CAPACITAÇÃO", "Em execução no Corporativo",
TRUE, "Em Execução na Distribuidora"
)</f>
        <v>Em Execução na Distribuidora</v>
      </c>
      <c r="F2701" s="4" t="str" cm="1">
        <f t="array" ref="F2701">_xlfn.IFS(
AG2701 &lt;&gt; "", "Jan-Dez/26",
AH2701 &lt;&gt; "", "Fev-Dez/26",
AI2701 &lt;&gt; "", "Mar-Dez/26", AJ2701 &lt;&gt; "", "Abr-Dez/26",
TRUE, "A partir de Junho"
)</f>
        <v>A partir de Junho</v>
      </c>
      <c r="G2701" s="75" t="s">
        <v>44</v>
      </c>
      <c r="H2701" s="76" t="s">
        <v>44</v>
      </c>
      <c r="I2701" s="77"/>
      <c r="J2701" s="77"/>
      <c r="K2701" s="77"/>
      <c r="L2701" s="77" t="s">
        <v>241</v>
      </c>
      <c r="M2701" s="78"/>
      <c r="N2701" s="74" t="s">
        <v>42</v>
      </c>
      <c r="O2701" s="74" t="s">
        <v>52</v>
      </c>
      <c r="P2701" s="75" t="s">
        <v>44</v>
      </c>
      <c r="Q2701" s="75" t="s">
        <v>44</v>
      </c>
      <c r="R2701" s="79" t="s">
        <v>44</v>
      </c>
      <c r="S2701" s="79" t="s">
        <v>44</v>
      </c>
      <c r="T2701" s="22"/>
      <c r="U2701" s="22"/>
      <c r="V2701" s="22"/>
      <c r="W2701" s="22"/>
      <c r="X2701" s="22"/>
      <c r="Y2701" s="22"/>
      <c r="Z2701" s="22"/>
      <c r="AA2701" s="22"/>
      <c r="AB2701" s="22"/>
      <c r="AC2701" s="22"/>
      <c r="AD2701" s="22"/>
      <c r="AE2701" s="22"/>
      <c r="AG2701" s="71"/>
      <c r="AH2701" s="71"/>
      <c r="AI2701" s="71"/>
      <c r="AJ2701" s="71"/>
      <c r="AK2701" s="71"/>
      <c r="AL2701" s="71"/>
      <c r="AM2701" s="71"/>
      <c r="AN2701" s="71"/>
      <c r="AO2701" s="71"/>
      <c r="AP2701" s="71"/>
      <c r="AQ2701" s="71"/>
      <c r="AR2701" s="71"/>
      <c r="AS2701" s="94"/>
      <c r="AT2701" s="95"/>
      <c r="AU2701" s="97"/>
      <c r="AW2701" s="84">
        <f t="shared" si="3286"/>
        <v>0</v>
      </c>
      <c r="AX2701" s="84"/>
      <c r="AY2701" s="84"/>
      <c r="AZ2701" s="84"/>
      <c r="BA2701" s="84"/>
      <c r="BB2701" s="84"/>
      <c r="BC2701" s="84"/>
      <c r="BD2701" s="84"/>
      <c r="BE2701" s="84"/>
      <c r="BF2701" s="84"/>
      <c r="BG2701" s="84"/>
      <c r="BH2701" s="84"/>
      <c r="BI2701" s="68" cm="1">
        <f t="array" ref="BI2701">IFERROR(INDEX(AW2701:BH2701,1,MATCH(2,1/(AW2701:BH2701&lt;&gt;""))),"")</f>
        <v>0</v>
      </c>
      <c r="BJ2701" s="68" t="str" cm="1">
        <f t="array" ref="BJ2701">IF(BM2701 = "", "",IFERROR(INDEX(AW2701:BH2701,1,MATCH(2,1/(AW2701:BH2701&lt;&gt;""),1)-1),""))</f>
        <v/>
      </c>
      <c r="BK2701" s="57" cm="1">
        <f t="array" ref="BK2701">IFERROR(INDEX(AW2701:BH2701,1,MATCH(2,1/(AW2701:BH2701&lt;&gt;""),1)),"")</f>
        <v>0</v>
      </c>
      <c r="BL2701" s="57" t="str" cm="1">
        <f t="array" ref="BL2701">IF(BM2701 = "", "",IFERROR(INDEX(AW2701:BH2701,1,MATCH(2,1/(AW2701:BH2701&lt;&gt;""),1)-1),""))</f>
        <v/>
      </c>
      <c r="BM2701" s="55" t="str" cm="1">
        <f t="array" ref="BM2701">IFERROR(
   INDEX($AW$1:$BH$1,
      _xlfn.AGGREGATE(14, 6, COLUMN($AW$1:$BH$1)/(AW2701:BH2701&lt;&gt;""), 2) - COLUMN($AW$1) + 1
   ),
"")</f>
        <v/>
      </c>
      <c r="BN2701" s="55" cm="1">
        <f t="array" ref="BN2701">IFERROR(INDEX($AW$1:$BH$1,1,MATCH(2,1/(AW2701:BH2701&lt;&gt;""))),"")</f>
        <v>46023</v>
      </c>
      <c r="BO2701" s="53">
        <f ca="1">IFERROR(_xlfn.XLOOKUP(F2701,Apuração!A:A,Apuração!C:C)/_xlfn.XLOOKUP(F2701,Apuração!A:A,Apuração!B:B),0)</f>
        <v>0</v>
      </c>
      <c r="BP2701" s="53">
        <f ca="1">IFERROR(_xlfn.XLOOKUP(F2701,Apuração!A:A,Apuração!D:D)/_xlfn.XLOOKUP(F2701,Apuração!A:A,Apuração!B:B),0)</f>
        <v>0</v>
      </c>
      <c r="BQ2701" s="53">
        <f ca="1">IF(BK2701&gt;=BO2701,0,_xlfn.XLOOKUP(F2701,Apuração!A:A,Apuração!B:B)*(BO2701 + (1/_xlfn.XLOOKUP(F2701,Apuração!A:A,Apuração!B:B)) - BK2701))</f>
        <v>0</v>
      </c>
      <c r="BR2701" s="85">
        <f t="shared" ca="1" si="3287"/>
        <v>0</v>
      </c>
      <c r="BS2701" s="53">
        <f ca="1">IFERROR((_xlfn.XLOOKUP(F2701,Apuração!A:A,Apuração!C:C)+1)/_xlfn.XLOOKUP(F2701,Apuração!A:A,Apuração!B:B),0)</f>
        <v>0.14285714285714285</v>
      </c>
    </row>
    <row r="2702" spans="1:71" ht="25.95" hidden="1" customHeight="1" x14ac:dyDescent="0.3">
      <c r="A2702" s="72" t="s">
        <v>44</v>
      </c>
      <c r="B2702" s="73" t="s">
        <v>44</v>
      </c>
      <c r="C2702" s="74" t="s">
        <v>209</v>
      </c>
      <c r="D2702" s="5" t="s">
        <v>213</v>
      </c>
      <c r="E2702" s="4" t="str" cm="1">
        <f t="array" ref="E2702">_xlfn.IFS(
F2702 = "A partir de Abril", "Aguardando Execução na Distribuidora",
A2702 = "CAPACITAÇÃO", "Em execução no Corporativo",
TRUE, "Em Execução na Distribuidora"
)</f>
        <v>Em Execução na Distribuidora</v>
      </c>
      <c r="F2702" s="4" t="str" cm="1">
        <f t="array" ref="F2702">_xlfn.IFS(
AG2702 &lt;&gt; "", "Jan-Dez/26",
AH2702 &lt;&gt; "", "Fev-Dez/26",
AI2702 &lt;&gt; "", "Mar-Dez/26", AJ2702 &lt;&gt; "", "Abr-Dez/26",
TRUE, "A partir de Junho"
)</f>
        <v>A partir de Junho</v>
      </c>
      <c r="G2702" s="75" t="s">
        <v>44</v>
      </c>
      <c r="H2702" s="76" t="s">
        <v>44</v>
      </c>
      <c r="I2702" s="77"/>
      <c r="J2702" s="77"/>
      <c r="K2702" s="77"/>
      <c r="L2702" s="77" t="s">
        <v>241</v>
      </c>
      <c r="M2702" s="78"/>
      <c r="N2702" s="74" t="s">
        <v>42</v>
      </c>
      <c r="O2702" s="74" t="s">
        <v>52</v>
      </c>
      <c r="P2702" s="75" t="s">
        <v>44</v>
      </c>
      <c r="Q2702" s="75" t="s">
        <v>44</v>
      </c>
      <c r="R2702" s="79" t="s">
        <v>44</v>
      </c>
      <c r="S2702" s="79" t="s">
        <v>44</v>
      </c>
      <c r="T2702" s="22"/>
      <c r="U2702" s="22"/>
      <c r="V2702" s="22"/>
      <c r="W2702" s="22"/>
      <c r="X2702" s="22"/>
      <c r="Y2702" s="22"/>
      <c r="Z2702" s="22"/>
      <c r="AA2702" s="22"/>
      <c r="AB2702" s="22"/>
      <c r="AC2702" s="22"/>
      <c r="AD2702" s="22"/>
      <c r="AE2702" s="22"/>
      <c r="AG2702" s="71"/>
      <c r="AH2702" s="71"/>
      <c r="AI2702" s="71"/>
      <c r="AJ2702" s="71"/>
      <c r="AK2702" s="71"/>
      <c r="AL2702" s="71"/>
      <c r="AM2702" s="71"/>
      <c r="AN2702" s="71"/>
      <c r="AO2702" s="71"/>
      <c r="AP2702" s="71"/>
      <c r="AQ2702" s="71"/>
      <c r="AR2702" s="71"/>
      <c r="AS2702" s="94"/>
      <c r="AT2702" s="95"/>
      <c r="AU2702" s="97"/>
      <c r="AW2702" s="84">
        <f t="shared" si="3286"/>
        <v>0</v>
      </c>
      <c r="AX2702" s="84"/>
      <c r="AY2702" s="84"/>
      <c r="AZ2702" s="84"/>
      <c r="BA2702" s="84"/>
      <c r="BB2702" s="84"/>
      <c r="BC2702" s="84"/>
      <c r="BD2702" s="84"/>
      <c r="BE2702" s="84"/>
      <c r="BF2702" s="84"/>
      <c r="BG2702" s="84"/>
      <c r="BH2702" s="84"/>
      <c r="BI2702" s="68" cm="1">
        <f t="array" ref="BI2702">IFERROR(INDEX(AW2702:BH2702,1,MATCH(2,1/(AW2702:BH2702&lt;&gt;""))),"")</f>
        <v>0</v>
      </c>
      <c r="BJ2702" s="68" t="str" cm="1">
        <f t="array" ref="BJ2702">IF(BM2702 = "", "",IFERROR(INDEX(AW2702:BH2702,1,MATCH(2,1/(AW2702:BH2702&lt;&gt;""),1)-1),""))</f>
        <v/>
      </c>
      <c r="BK2702" s="57" cm="1">
        <f t="array" ref="BK2702">IFERROR(INDEX(AW2702:BH2702,1,MATCH(2,1/(AW2702:BH2702&lt;&gt;""),1)),"")</f>
        <v>0</v>
      </c>
      <c r="BL2702" s="57" t="str" cm="1">
        <f t="array" ref="BL2702">IF(BM2702 = "", "",IFERROR(INDEX(AW2702:BH2702,1,MATCH(2,1/(AW2702:BH2702&lt;&gt;""),1)-1),""))</f>
        <v/>
      </c>
      <c r="BM2702" s="55" t="str" cm="1">
        <f t="array" ref="BM2702">IFERROR(
   INDEX($AW$1:$BH$1,
      _xlfn.AGGREGATE(14, 6, COLUMN($AW$1:$BH$1)/(AW2702:BH2702&lt;&gt;""), 2) - COLUMN($AW$1) + 1
   ),
"")</f>
        <v/>
      </c>
      <c r="BN2702" s="55" cm="1">
        <f t="array" ref="BN2702">IFERROR(INDEX($AW$1:$BH$1,1,MATCH(2,1/(AW2702:BH2702&lt;&gt;""))),"")</f>
        <v>46023</v>
      </c>
      <c r="BO2702" s="53">
        <f ca="1">IFERROR(_xlfn.XLOOKUP(F2702,Apuração!A:A,Apuração!C:C)/_xlfn.XLOOKUP(F2702,Apuração!A:A,Apuração!B:B),0)</f>
        <v>0</v>
      </c>
      <c r="BP2702" s="53">
        <f ca="1">IFERROR(_xlfn.XLOOKUP(F2702,Apuração!A:A,Apuração!D:D)/_xlfn.XLOOKUP(F2702,Apuração!A:A,Apuração!B:B),0)</f>
        <v>0</v>
      </c>
      <c r="BQ2702" s="53">
        <f ca="1">IF(BK2702&gt;=BO2702,0,_xlfn.XLOOKUP(F2702,Apuração!A:A,Apuração!B:B)*(BO2702 + (1/_xlfn.XLOOKUP(F2702,Apuração!A:A,Apuração!B:B)) - BK2702))</f>
        <v>0</v>
      </c>
      <c r="BR2702" s="85">
        <f t="shared" ca="1" si="3287"/>
        <v>0</v>
      </c>
      <c r="BS2702" s="53">
        <f ca="1">IFERROR((_xlfn.XLOOKUP(F2702,Apuração!A:A,Apuração!C:C)+1)/_xlfn.XLOOKUP(F2702,Apuração!A:A,Apuração!B:B),0)</f>
        <v>0.14285714285714285</v>
      </c>
    </row>
    <row r="2703" spans="1:71" ht="25.95" hidden="1" customHeight="1" x14ac:dyDescent="0.3">
      <c r="A2703" s="72" t="s">
        <v>44</v>
      </c>
      <c r="B2703" s="73" t="s">
        <v>44</v>
      </c>
      <c r="C2703" s="74" t="s">
        <v>209</v>
      </c>
      <c r="D2703" s="5" t="s">
        <v>36</v>
      </c>
      <c r="E2703" s="4" t="str" cm="1">
        <f t="array" ref="E2703">_xlfn.IFS(
F2703 = "A partir de Abril", "Aguardando Execução na Distribuidora",
A2703 = "CAPACITAÇÃO", "Em execução no Corporativo",
TRUE, "Em Execução na Distribuidora"
)</f>
        <v>Em Execução na Distribuidora</v>
      </c>
      <c r="F2703" s="4" t="str" cm="1">
        <f t="array" ref="F2703">_xlfn.IFS(
AG2703 &lt;&gt; "", "Jan-Dez/26",
AH2703 &lt;&gt; "", "Fev-Dez/26",
AI2703 &lt;&gt; "", "Mar-Dez/26", AJ2703 &lt;&gt; "", "Abr-Dez/26",
TRUE, "A partir de Junho"
)</f>
        <v>A partir de Junho</v>
      </c>
      <c r="G2703" s="75" t="s">
        <v>44</v>
      </c>
      <c r="H2703" s="76" t="s">
        <v>44</v>
      </c>
      <c r="I2703" s="77"/>
      <c r="J2703" s="77"/>
      <c r="K2703" s="77"/>
      <c r="L2703" s="77" t="s">
        <v>227</v>
      </c>
      <c r="M2703" s="78"/>
      <c r="N2703" s="74" t="s">
        <v>42</v>
      </c>
      <c r="O2703" s="74" t="s">
        <v>52</v>
      </c>
      <c r="P2703" s="75" t="s">
        <v>44</v>
      </c>
      <c r="Q2703" s="75" t="s">
        <v>44</v>
      </c>
      <c r="R2703" s="79" t="s">
        <v>44</v>
      </c>
      <c r="S2703" s="79" t="s">
        <v>44</v>
      </c>
      <c r="T2703" s="22"/>
      <c r="U2703" s="22"/>
      <c r="V2703" s="22"/>
      <c r="W2703" s="22"/>
      <c r="X2703" s="22"/>
      <c r="Y2703" s="22"/>
      <c r="Z2703" s="22"/>
      <c r="AA2703" s="22"/>
      <c r="AB2703" s="22"/>
      <c r="AC2703" s="22"/>
      <c r="AD2703" s="22"/>
      <c r="AE2703" s="22"/>
      <c r="AG2703" s="112"/>
      <c r="AH2703" s="112"/>
      <c r="AI2703" s="112"/>
      <c r="AJ2703" s="112"/>
      <c r="AK2703" s="112"/>
      <c r="AL2703" s="112"/>
      <c r="AM2703" s="112"/>
      <c r="AN2703" s="112"/>
      <c r="AO2703" s="112"/>
      <c r="AP2703" s="112"/>
      <c r="AQ2703" s="112"/>
      <c r="AR2703" s="112"/>
      <c r="AS2703" s="94"/>
      <c r="AT2703" s="95"/>
      <c r="AU2703" s="97"/>
      <c r="AW2703" s="88">
        <f t="shared" ref="AW2703" si="3288">AG2703/100</f>
        <v>0</v>
      </c>
      <c r="AX2703" s="88">
        <f t="shared" ref="AX2703" si="3289">AH2703/100</f>
        <v>0</v>
      </c>
      <c r="AY2703" s="88">
        <f t="shared" ref="AY2703" si="3290">AI2703/100</f>
        <v>0</v>
      </c>
      <c r="AZ2703" s="88">
        <f t="shared" ref="AZ2703" si="3291">AJ2703/100</f>
        <v>0</v>
      </c>
      <c r="BA2703" s="88"/>
      <c r="BB2703" s="88"/>
      <c r="BC2703" s="88"/>
      <c r="BD2703" s="88"/>
      <c r="BE2703" s="88"/>
      <c r="BF2703" s="88"/>
      <c r="BG2703" s="88"/>
      <c r="BH2703" s="88"/>
      <c r="BI2703" s="68" cm="1">
        <f t="array" ref="BI2703">IFERROR(INDEX(AW2703:BH2703,1,MATCH(2,1/(AW2703:BH2703&lt;&gt;""))),"")</f>
        <v>0</v>
      </c>
      <c r="BJ2703" s="68" cm="1">
        <f t="array" ref="BJ2703">IF(BM2703 = "", "",IFERROR(INDEX(AW2703:BH2703,1,MATCH(2,1/(AW2703:BH2703&lt;&gt;""),1)-1),""))</f>
        <v>0</v>
      </c>
      <c r="BK2703" s="57" cm="1">
        <f t="array" ref="BK2703">IFERROR(INDEX(AW2703:BH2703,1,MATCH(2,1/(AW2703:BH2703&lt;&gt;""),1)),"")</f>
        <v>0</v>
      </c>
      <c r="BL2703" s="57" cm="1">
        <f t="array" ref="BL2703">IF(BM2703 = "", "",IFERROR(INDEX(AW2703:BH2703,1,MATCH(2,1/(AW2703:BH2703&lt;&gt;""),1)-1),""))</f>
        <v>0</v>
      </c>
      <c r="BM2703" s="55" cm="1">
        <f t="array" ref="BM2703">IFERROR(
   INDEX($AW$1:$BH$1,
      _xlfn.AGGREGATE(14, 6, COLUMN($AW$1:$BH$1)/(AW2703:BH2703&lt;&gt;""), 2) - COLUMN($AW$1) + 1
   ),
"")</f>
        <v>46082</v>
      </c>
      <c r="BN2703" s="55" cm="1">
        <f t="array" ref="BN2703">IFERROR(INDEX($AW$1:$BH$1,1,MATCH(2,1/(AW2703:BH2703&lt;&gt;""))),"")</f>
        <v>46113</v>
      </c>
      <c r="BO2703" s="53">
        <f ca="1">IFERROR(_xlfn.XLOOKUP(F2703,Apuração!A:A,Apuração!C:C)/_xlfn.XLOOKUP(F2703,Apuração!A:A,Apuração!B:B),0)</f>
        <v>0</v>
      </c>
      <c r="BP2703" s="53">
        <f ca="1">IFERROR(_xlfn.XLOOKUP(F2703,Apuração!A:A,Apuração!D:D)/_xlfn.XLOOKUP(F2703,Apuração!A:A,Apuração!B:B),0)</f>
        <v>0</v>
      </c>
      <c r="BQ2703" s="53">
        <f ca="1">IF(BK2703&gt;=BO2703,0,_xlfn.XLOOKUP(F2703,Apuração!A:A,Apuração!B:B)*(BO2703 + (1/_xlfn.XLOOKUP(F2703,Apuração!A:A,Apuração!B:B)) - BK2703))</f>
        <v>0</v>
      </c>
      <c r="BR2703" s="85">
        <f t="shared" ref="BR2703" ca="1" si="3292">IF(BQ2703=0,0,BQ2703*Z2703)</f>
        <v>0</v>
      </c>
      <c r="BS2703" s="53">
        <f ca="1">IFERROR((_xlfn.XLOOKUP(F2703,Apuração!A:A,Apuração!C:C)+1)/_xlfn.XLOOKUP(F2703,Apuração!A:A,Apuração!B:B),0)</f>
        <v>0.14285714285714285</v>
      </c>
    </row>
    <row r="2704" spans="1:71" ht="25.95" hidden="1" customHeight="1" x14ac:dyDescent="0.3">
      <c r="A2704" s="72" t="s">
        <v>44</v>
      </c>
      <c r="B2704" s="73" t="s">
        <v>44</v>
      </c>
      <c r="C2704" s="74" t="s">
        <v>209</v>
      </c>
      <c r="D2704" s="5" t="s">
        <v>210</v>
      </c>
      <c r="E2704" s="4" t="str" cm="1">
        <f t="array" ref="E2704">_xlfn.IFS(
F2704 = "A partir de Abril", "Aguardando Execução na Distribuidora",
A2704 = "CAPACITAÇÃO", "Em execução no Corporativo",
TRUE, "Em Execução na Distribuidora"
)</f>
        <v>Em Execução na Distribuidora</v>
      </c>
      <c r="F2704" s="4" t="str" cm="1">
        <f t="array" ref="F2704">_xlfn.IFS(
AG2704 &lt;&gt; "", "Jan-Dez/26",
AH2704 &lt;&gt; "", "Fev-Dez/26",
AI2704 &lt;&gt; "", "Mar-Dez/26", AJ2704 &lt;&gt; "", "Abr-Dez/26",
TRUE, "A partir de Junho"
)</f>
        <v>A partir de Junho</v>
      </c>
      <c r="G2704" s="75" t="s">
        <v>44</v>
      </c>
      <c r="H2704" s="76" t="s">
        <v>44</v>
      </c>
      <c r="I2704" s="77"/>
      <c r="J2704" s="77"/>
      <c r="K2704" s="77"/>
      <c r="L2704" s="77" t="s">
        <v>227</v>
      </c>
      <c r="M2704" s="78"/>
      <c r="N2704" s="74" t="s">
        <v>42</v>
      </c>
      <c r="O2704" s="74" t="s">
        <v>52</v>
      </c>
      <c r="P2704" s="75" t="s">
        <v>44</v>
      </c>
      <c r="Q2704" s="75" t="s">
        <v>44</v>
      </c>
      <c r="R2704" s="79" t="s">
        <v>44</v>
      </c>
      <c r="S2704" s="79" t="s">
        <v>44</v>
      </c>
      <c r="T2704" s="22"/>
      <c r="U2704" s="22"/>
      <c r="V2704" s="22"/>
      <c r="W2704" s="22"/>
      <c r="X2704" s="22"/>
      <c r="Y2704" s="22"/>
      <c r="Z2704" s="22"/>
      <c r="AA2704" s="22"/>
      <c r="AB2704" s="22"/>
      <c r="AC2704" s="22"/>
      <c r="AD2704" s="22"/>
      <c r="AE2704" s="22"/>
      <c r="AG2704" s="71"/>
      <c r="AH2704" s="71"/>
      <c r="AI2704" s="71"/>
      <c r="AJ2704" s="71"/>
      <c r="AK2704" s="71"/>
      <c r="AL2704" s="71"/>
      <c r="AM2704" s="71"/>
      <c r="AN2704" s="71"/>
      <c r="AO2704" s="71"/>
      <c r="AP2704" s="71"/>
      <c r="AQ2704" s="71"/>
      <c r="AR2704" s="71"/>
      <c r="AS2704" s="94"/>
      <c r="AT2704" s="95"/>
      <c r="AU2704" s="97"/>
      <c r="AW2704" s="88">
        <f t="shared" ref="AW2704:AW2708" si="3293">AG2704/100</f>
        <v>0</v>
      </c>
      <c r="AX2704" s="88"/>
      <c r="AY2704" s="88"/>
      <c r="AZ2704" s="88"/>
      <c r="BA2704" s="88"/>
      <c r="BB2704" s="88"/>
      <c r="BC2704" s="88"/>
      <c r="BD2704" s="88"/>
      <c r="BE2704" s="88"/>
      <c r="BF2704" s="88"/>
      <c r="BG2704" s="88"/>
      <c r="BH2704" s="88"/>
      <c r="BI2704" s="68" cm="1">
        <f t="array" ref="BI2704">IFERROR(INDEX(AW2704:BH2704,1,MATCH(2,1/(AW2704:BH2704&lt;&gt;""))),"")</f>
        <v>0</v>
      </c>
      <c r="BJ2704" s="68" t="str" cm="1">
        <f t="array" ref="BJ2704">IF(BM2704 = "", "",IFERROR(INDEX(AW2704:BH2704,1,MATCH(2,1/(AW2704:BH2704&lt;&gt;""),1)-1),""))</f>
        <v/>
      </c>
      <c r="BK2704" s="57" cm="1">
        <f t="array" ref="BK2704">IFERROR(INDEX(AW2704:BH2704,1,MATCH(2,1/(AW2704:BH2704&lt;&gt;""),1)),"")</f>
        <v>0</v>
      </c>
      <c r="BL2704" s="57" t="str" cm="1">
        <f t="array" ref="BL2704">IF(BM2704 = "", "",IFERROR(INDEX(AW2704:BH2704,1,MATCH(2,1/(AW2704:BH2704&lt;&gt;""),1)-1),""))</f>
        <v/>
      </c>
      <c r="BM2704" s="55" t="str" cm="1">
        <f t="array" ref="BM2704">IFERROR(
   INDEX($AW$1:$BH$1,
      _xlfn.AGGREGATE(14, 6, COLUMN($AW$1:$BH$1)/(AW2704:BH2704&lt;&gt;""), 2) - COLUMN($AW$1) + 1
   ),
"")</f>
        <v/>
      </c>
      <c r="BN2704" s="55" cm="1">
        <f t="array" ref="BN2704">IFERROR(INDEX($AW$1:$BH$1,1,MATCH(2,1/(AW2704:BH2704&lt;&gt;""))),"")</f>
        <v>46023</v>
      </c>
      <c r="BO2704" s="53">
        <f ca="1">IFERROR(_xlfn.XLOOKUP(F2704,Apuração!A:A,Apuração!C:C)/_xlfn.XLOOKUP(F2704,Apuração!A:A,Apuração!B:B),0)</f>
        <v>0</v>
      </c>
      <c r="BP2704" s="53">
        <f ca="1">IFERROR(_xlfn.XLOOKUP(F2704,Apuração!A:A,Apuração!D:D)/_xlfn.XLOOKUP(F2704,Apuração!A:A,Apuração!B:B),0)</f>
        <v>0</v>
      </c>
      <c r="BQ2704" s="53">
        <f ca="1">IF(BK2704&gt;=BO2704,0,_xlfn.XLOOKUP(F2704,Apuração!A:A,Apuração!B:B)*(BO2704 + (1/_xlfn.XLOOKUP(F2704,Apuração!A:A,Apuração!B:B)) - BK2704))</f>
        <v>0</v>
      </c>
      <c r="BR2704" s="85">
        <f t="shared" ref="BR2704:BR2713" ca="1" si="3294">IF(BQ2704=0,0,BQ2704*Z2704)</f>
        <v>0</v>
      </c>
      <c r="BS2704" s="53">
        <f ca="1">IFERROR((_xlfn.XLOOKUP(F2704,Apuração!A:A,Apuração!C:C)+1)/_xlfn.XLOOKUP(F2704,Apuração!A:A,Apuração!B:B),0)</f>
        <v>0.14285714285714285</v>
      </c>
    </row>
    <row r="2705" spans="1:71" ht="25.95" hidden="1" customHeight="1" x14ac:dyDescent="0.3">
      <c r="A2705" s="72" t="s">
        <v>44</v>
      </c>
      <c r="B2705" s="73" t="s">
        <v>44</v>
      </c>
      <c r="C2705" s="74" t="s">
        <v>209</v>
      </c>
      <c r="D2705" s="5" t="s">
        <v>47</v>
      </c>
      <c r="E2705" s="4" t="str" cm="1">
        <f t="array" ref="E2705">_xlfn.IFS(
F2705 = "A partir de Abril", "Aguardando Execução na Distribuidora",
A2705 = "CAPACITAÇÃO", "Em execução no Corporativo",
TRUE, "Em Execução na Distribuidora"
)</f>
        <v>Em Execução na Distribuidora</v>
      </c>
      <c r="F2705" s="4" t="str" cm="1">
        <f t="array" ref="F2705">_xlfn.IFS(
AG2705 &lt;&gt; "", "Jan-Dez/26",
AH2705 &lt;&gt; "", "Fev-Dez/26",
AI2705 &lt;&gt; "", "Mar-Dez/26", AJ2705 &lt;&gt; "", "Abr-Dez/26",
TRUE, "A partir de Junho"
)</f>
        <v>A partir de Junho</v>
      </c>
      <c r="G2705" s="75" t="s">
        <v>44</v>
      </c>
      <c r="H2705" s="76" t="s">
        <v>44</v>
      </c>
      <c r="I2705" s="77"/>
      <c r="J2705" s="77"/>
      <c r="K2705" s="77"/>
      <c r="L2705" s="77" t="s">
        <v>227</v>
      </c>
      <c r="M2705" s="78"/>
      <c r="N2705" s="74" t="s">
        <v>42</v>
      </c>
      <c r="O2705" s="74" t="s">
        <v>52</v>
      </c>
      <c r="P2705" s="75" t="s">
        <v>44</v>
      </c>
      <c r="Q2705" s="75" t="s">
        <v>44</v>
      </c>
      <c r="R2705" s="79" t="s">
        <v>44</v>
      </c>
      <c r="S2705" s="79" t="s">
        <v>44</v>
      </c>
      <c r="T2705" s="22"/>
      <c r="U2705" s="22"/>
      <c r="V2705" s="22"/>
      <c r="W2705" s="22"/>
      <c r="X2705" s="22"/>
      <c r="Y2705" s="22"/>
      <c r="Z2705" s="22"/>
      <c r="AA2705" s="22"/>
      <c r="AB2705" s="22"/>
      <c r="AC2705" s="22"/>
      <c r="AD2705" s="22"/>
      <c r="AE2705" s="22"/>
      <c r="AG2705" s="71"/>
      <c r="AH2705" s="71"/>
      <c r="AI2705" s="71"/>
      <c r="AJ2705" s="71"/>
      <c r="AK2705" s="71"/>
      <c r="AL2705" s="71"/>
      <c r="AM2705" s="71"/>
      <c r="AN2705" s="71"/>
      <c r="AO2705" s="71"/>
      <c r="AP2705" s="71"/>
      <c r="AQ2705" s="71"/>
      <c r="AR2705" s="71"/>
      <c r="AS2705" s="94"/>
      <c r="AT2705" s="95"/>
      <c r="AU2705" s="97"/>
      <c r="AW2705" s="88">
        <f t="shared" si="3293"/>
        <v>0</v>
      </c>
      <c r="AX2705" s="88"/>
      <c r="AY2705" s="88"/>
      <c r="AZ2705" s="88"/>
      <c r="BA2705" s="88"/>
      <c r="BB2705" s="88"/>
      <c r="BC2705" s="88"/>
      <c r="BD2705" s="88"/>
      <c r="BE2705" s="88"/>
      <c r="BF2705" s="88"/>
      <c r="BG2705" s="88"/>
      <c r="BH2705" s="88"/>
      <c r="BI2705" s="68" cm="1">
        <f t="array" ref="BI2705">IFERROR(INDEX(AW2705:BH2705,1,MATCH(2,1/(AW2705:BH2705&lt;&gt;""))),"")</f>
        <v>0</v>
      </c>
      <c r="BJ2705" s="68" t="str" cm="1">
        <f t="array" ref="BJ2705">IF(BM2705 = "", "",IFERROR(INDEX(AW2705:BH2705,1,MATCH(2,1/(AW2705:BH2705&lt;&gt;""),1)-1),""))</f>
        <v/>
      </c>
      <c r="BK2705" s="57" cm="1">
        <f t="array" ref="BK2705">IFERROR(INDEX(AW2705:BH2705,1,MATCH(2,1/(AW2705:BH2705&lt;&gt;""),1)),"")</f>
        <v>0</v>
      </c>
      <c r="BL2705" s="57" t="str" cm="1">
        <f t="array" ref="BL2705">IF(BM2705 = "", "",IFERROR(INDEX(AW2705:BH2705,1,MATCH(2,1/(AW2705:BH2705&lt;&gt;""),1)-1),""))</f>
        <v/>
      </c>
      <c r="BM2705" s="55" t="str" cm="1">
        <f t="array" ref="BM2705">IFERROR(
   INDEX($AW$1:$BH$1,
      _xlfn.AGGREGATE(14, 6, COLUMN($AW$1:$BH$1)/(AW2705:BH2705&lt;&gt;""), 2) - COLUMN($AW$1) + 1
   ),
"")</f>
        <v/>
      </c>
      <c r="BN2705" s="55" cm="1">
        <f t="array" ref="BN2705">IFERROR(INDEX($AW$1:$BH$1,1,MATCH(2,1/(AW2705:BH2705&lt;&gt;""))),"")</f>
        <v>46023</v>
      </c>
      <c r="BO2705" s="53">
        <f ca="1">IFERROR(_xlfn.XLOOKUP(F2705,Apuração!A:A,Apuração!C:C)/_xlfn.XLOOKUP(F2705,Apuração!A:A,Apuração!B:B),0)</f>
        <v>0</v>
      </c>
      <c r="BP2705" s="53">
        <f ca="1">IFERROR(_xlfn.XLOOKUP(F2705,Apuração!A:A,Apuração!D:D)/_xlfn.XLOOKUP(F2705,Apuração!A:A,Apuração!B:B),0)</f>
        <v>0</v>
      </c>
      <c r="BQ2705" s="53">
        <f ca="1">IF(BK2705&gt;=BO2705,0,_xlfn.XLOOKUP(F2705,Apuração!A:A,Apuração!B:B)*(BO2705 + (1/_xlfn.XLOOKUP(F2705,Apuração!A:A,Apuração!B:B)) - BK2705))</f>
        <v>0</v>
      </c>
      <c r="BR2705" s="85">
        <f t="shared" ca="1" si="3294"/>
        <v>0</v>
      </c>
      <c r="BS2705" s="53">
        <f ca="1">IFERROR((_xlfn.XLOOKUP(F2705,Apuração!A:A,Apuração!C:C)+1)/_xlfn.XLOOKUP(F2705,Apuração!A:A,Apuração!B:B),0)</f>
        <v>0.14285714285714285</v>
      </c>
    </row>
    <row r="2706" spans="1:71" ht="25.95" hidden="1" customHeight="1" x14ac:dyDescent="0.3">
      <c r="A2706" s="72" t="s">
        <v>44</v>
      </c>
      <c r="B2706" s="73" t="s">
        <v>44</v>
      </c>
      <c r="C2706" s="74" t="s">
        <v>209</v>
      </c>
      <c r="D2706" s="5" t="s">
        <v>211</v>
      </c>
      <c r="E2706" s="4" t="str" cm="1">
        <f t="array" ref="E2706">_xlfn.IFS(
F2706 = "A partir de Abril", "Aguardando Execução na Distribuidora",
A2706 = "CAPACITAÇÃO", "Em execução no Corporativo",
TRUE, "Em Execução na Distribuidora"
)</f>
        <v>Em Execução na Distribuidora</v>
      </c>
      <c r="F2706" s="4" t="str" cm="1">
        <f t="array" ref="F2706">_xlfn.IFS(
AG2706 &lt;&gt; "", "Jan-Dez/26",
AH2706 &lt;&gt; "", "Fev-Dez/26",
AI2706 &lt;&gt; "", "Mar-Dez/26", AJ2706 &lt;&gt; "", "Abr-Dez/26",
TRUE, "A partir de Junho"
)</f>
        <v>A partir de Junho</v>
      </c>
      <c r="G2706" s="75" t="s">
        <v>44</v>
      </c>
      <c r="H2706" s="76" t="s">
        <v>44</v>
      </c>
      <c r="I2706" s="77"/>
      <c r="J2706" s="77"/>
      <c r="K2706" s="77"/>
      <c r="L2706" s="77" t="s">
        <v>227</v>
      </c>
      <c r="M2706" s="78"/>
      <c r="N2706" s="74" t="s">
        <v>42</v>
      </c>
      <c r="O2706" s="74" t="s">
        <v>52</v>
      </c>
      <c r="P2706" s="75" t="s">
        <v>44</v>
      </c>
      <c r="Q2706" s="75" t="s">
        <v>44</v>
      </c>
      <c r="R2706" s="79" t="s">
        <v>44</v>
      </c>
      <c r="S2706" s="79" t="s">
        <v>44</v>
      </c>
      <c r="T2706" s="22"/>
      <c r="U2706" s="22"/>
      <c r="V2706" s="22"/>
      <c r="W2706" s="22"/>
      <c r="X2706" s="22"/>
      <c r="Y2706" s="22"/>
      <c r="Z2706" s="22"/>
      <c r="AA2706" s="22"/>
      <c r="AB2706" s="22"/>
      <c r="AC2706" s="22"/>
      <c r="AD2706" s="22"/>
      <c r="AE2706" s="22"/>
      <c r="AG2706" s="71"/>
      <c r="AH2706" s="71"/>
      <c r="AI2706" s="71"/>
      <c r="AJ2706" s="71"/>
      <c r="AK2706" s="71"/>
      <c r="AL2706" s="71"/>
      <c r="AM2706" s="71"/>
      <c r="AN2706" s="71"/>
      <c r="AO2706" s="71"/>
      <c r="AP2706" s="71"/>
      <c r="AQ2706" s="71"/>
      <c r="AR2706" s="71"/>
      <c r="AS2706" s="94"/>
      <c r="AT2706" s="95"/>
      <c r="AU2706" s="97"/>
      <c r="AW2706" s="88">
        <f t="shared" si="3293"/>
        <v>0</v>
      </c>
      <c r="AX2706" s="88"/>
      <c r="AY2706" s="88"/>
      <c r="AZ2706" s="88"/>
      <c r="BA2706" s="88"/>
      <c r="BB2706" s="88"/>
      <c r="BC2706" s="88"/>
      <c r="BD2706" s="88"/>
      <c r="BE2706" s="88"/>
      <c r="BF2706" s="88"/>
      <c r="BG2706" s="88"/>
      <c r="BH2706" s="88"/>
      <c r="BI2706" s="68" cm="1">
        <f t="array" ref="BI2706">IFERROR(INDEX(AW2706:BH2706,1,MATCH(2,1/(AW2706:BH2706&lt;&gt;""))),"")</f>
        <v>0</v>
      </c>
      <c r="BJ2706" s="68" t="str" cm="1">
        <f t="array" ref="BJ2706">IF(BM2706 = "", "",IFERROR(INDEX(AW2706:BH2706,1,MATCH(2,1/(AW2706:BH2706&lt;&gt;""),1)-1),""))</f>
        <v/>
      </c>
      <c r="BK2706" s="57" cm="1">
        <f t="array" ref="BK2706">IFERROR(INDEX(AW2706:BH2706,1,MATCH(2,1/(AW2706:BH2706&lt;&gt;""),1)),"")</f>
        <v>0</v>
      </c>
      <c r="BL2706" s="57" t="str" cm="1">
        <f t="array" ref="BL2706">IF(BM2706 = "", "",IFERROR(INDEX(AW2706:BH2706,1,MATCH(2,1/(AW2706:BH2706&lt;&gt;""),1)-1),""))</f>
        <v/>
      </c>
      <c r="BM2706" s="55" t="str" cm="1">
        <f t="array" ref="BM2706">IFERROR(
   INDEX($AW$1:$BH$1,
      _xlfn.AGGREGATE(14, 6, COLUMN($AW$1:$BH$1)/(AW2706:BH2706&lt;&gt;""), 2) - COLUMN($AW$1) + 1
   ),
"")</f>
        <v/>
      </c>
      <c r="BN2706" s="55" cm="1">
        <f t="array" ref="BN2706">IFERROR(INDEX($AW$1:$BH$1,1,MATCH(2,1/(AW2706:BH2706&lt;&gt;""))),"")</f>
        <v>46023</v>
      </c>
      <c r="BO2706" s="53">
        <f ca="1">IFERROR(_xlfn.XLOOKUP(F2706,Apuração!A:A,Apuração!C:C)/_xlfn.XLOOKUP(F2706,Apuração!A:A,Apuração!B:B),0)</f>
        <v>0</v>
      </c>
      <c r="BP2706" s="53">
        <f ca="1">IFERROR(_xlfn.XLOOKUP(F2706,Apuração!A:A,Apuração!D:D)/_xlfn.XLOOKUP(F2706,Apuração!A:A,Apuração!B:B),0)</f>
        <v>0</v>
      </c>
      <c r="BQ2706" s="53">
        <f ca="1">IF(BK2706&gt;=BO2706,0,_xlfn.XLOOKUP(F2706,Apuração!A:A,Apuração!B:B)*(BO2706 + (1/_xlfn.XLOOKUP(F2706,Apuração!A:A,Apuração!B:B)) - BK2706))</f>
        <v>0</v>
      </c>
      <c r="BR2706" s="85">
        <f t="shared" ca="1" si="3294"/>
        <v>0</v>
      </c>
      <c r="BS2706" s="53">
        <f ca="1">IFERROR((_xlfn.XLOOKUP(F2706,Apuração!A:A,Apuração!C:C)+1)/_xlfn.XLOOKUP(F2706,Apuração!A:A,Apuração!B:B),0)</f>
        <v>0.14285714285714285</v>
      </c>
    </row>
    <row r="2707" spans="1:71" ht="25.95" hidden="1" customHeight="1" x14ac:dyDescent="0.3">
      <c r="A2707" s="72" t="s">
        <v>44</v>
      </c>
      <c r="B2707" s="73" t="s">
        <v>44</v>
      </c>
      <c r="C2707" s="74" t="s">
        <v>209</v>
      </c>
      <c r="D2707" s="5" t="s">
        <v>212</v>
      </c>
      <c r="E2707" s="4" t="str" cm="1">
        <f t="array" ref="E2707">_xlfn.IFS(
F2707 = "A partir de Abril", "Aguardando Execução na Distribuidora",
A2707 = "CAPACITAÇÃO", "Em execução no Corporativo",
TRUE, "Em Execução na Distribuidora"
)</f>
        <v>Em Execução na Distribuidora</v>
      </c>
      <c r="F2707" s="4" t="str" cm="1">
        <f t="array" ref="F2707">_xlfn.IFS(
AG2707 &lt;&gt; "", "Jan-Dez/26",
AH2707 &lt;&gt; "", "Fev-Dez/26",
AI2707 &lt;&gt; "", "Mar-Dez/26", AJ2707 &lt;&gt; "", "Abr-Dez/26",
TRUE, "A partir de Junho"
)</f>
        <v>A partir de Junho</v>
      </c>
      <c r="G2707" s="75" t="s">
        <v>44</v>
      </c>
      <c r="H2707" s="76" t="s">
        <v>44</v>
      </c>
      <c r="I2707" s="77"/>
      <c r="J2707" s="77"/>
      <c r="K2707" s="77"/>
      <c r="L2707" s="77" t="s">
        <v>227</v>
      </c>
      <c r="M2707" s="78"/>
      <c r="N2707" s="74" t="s">
        <v>42</v>
      </c>
      <c r="O2707" s="74" t="s">
        <v>52</v>
      </c>
      <c r="P2707" s="75" t="s">
        <v>44</v>
      </c>
      <c r="Q2707" s="75" t="s">
        <v>44</v>
      </c>
      <c r="R2707" s="79" t="s">
        <v>44</v>
      </c>
      <c r="S2707" s="79" t="s">
        <v>44</v>
      </c>
      <c r="T2707" s="22"/>
      <c r="U2707" s="22"/>
      <c r="V2707" s="22"/>
      <c r="W2707" s="22"/>
      <c r="X2707" s="22"/>
      <c r="Y2707" s="22"/>
      <c r="Z2707" s="22"/>
      <c r="AA2707" s="22"/>
      <c r="AB2707" s="22"/>
      <c r="AC2707" s="22"/>
      <c r="AD2707" s="22"/>
      <c r="AE2707" s="22"/>
      <c r="AG2707" s="71"/>
      <c r="AH2707" s="71"/>
      <c r="AI2707" s="71"/>
      <c r="AJ2707" s="71"/>
      <c r="AK2707" s="71"/>
      <c r="AL2707" s="71"/>
      <c r="AM2707" s="71"/>
      <c r="AN2707" s="71"/>
      <c r="AO2707" s="71"/>
      <c r="AP2707" s="71"/>
      <c r="AQ2707" s="71"/>
      <c r="AR2707" s="71"/>
      <c r="AS2707" s="94"/>
      <c r="AT2707" s="95"/>
      <c r="AU2707" s="97"/>
      <c r="AW2707" s="88">
        <f t="shared" si="3293"/>
        <v>0</v>
      </c>
      <c r="AX2707" s="88"/>
      <c r="AY2707" s="88"/>
      <c r="AZ2707" s="88"/>
      <c r="BA2707" s="88"/>
      <c r="BB2707" s="88"/>
      <c r="BC2707" s="88"/>
      <c r="BD2707" s="88"/>
      <c r="BE2707" s="88"/>
      <c r="BF2707" s="88"/>
      <c r="BG2707" s="88"/>
      <c r="BH2707" s="88"/>
      <c r="BI2707" s="68" cm="1">
        <f t="array" ref="BI2707">IFERROR(INDEX(AW2707:BH2707,1,MATCH(2,1/(AW2707:BH2707&lt;&gt;""))),"")</f>
        <v>0</v>
      </c>
      <c r="BJ2707" s="68" t="str" cm="1">
        <f t="array" ref="BJ2707">IF(BM2707 = "", "",IFERROR(INDEX(AW2707:BH2707,1,MATCH(2,1/(AW2707:BH2707&lt;&gt;""),1)-1),""))</f>
        <v/>
      </c>
      <c r="BK2707" s="57" cm="1">
        <f t="array" ref="BK2707">IFERROR(INDEX(AW2707:BH2707,1,MATCH(2,1/(AW2707:BH2707&lt;&gt;""),1)),"")</f>
        <v>0</v>
      </c>
      <c r="BL2707" s="57" t="str" cm="1">
        <f t="array" ref="BL2707">IF(BM2707 = "", "",IFERROR(INDEX(AW2707:BH2707,1,MATCH(2,1/(AW2707:BH2707&lt;&gt;""),1)-1),""))</f>
        <v/>
      </c>
      <c r="BM2707" s="55" t="str" cm="1">
        <f t="array" ref="BM2707">IFERROR(
   INDEX($AW$1:$BH$1,
      _xlfn.AGGREGATE(14, 6, COLUMN($AW$1:$BH$1)/(AW2707:BH2707&lt;&gt;""), 2) - COLUMN($AW$1) + 1
   ),
"")</f>
        <v/>
      </c>
      <c r="BN2707" s="55" cm="1">
        <f t="array" ref="BN2707">IFERROR(INDEX($AW$1:$BH$1,1,MATCH(2,1/(AW2707:BH2707&lt;&gt;""))),"")</f>
        <v>46023</v>
      </c>
      <c r="BO2707" s="53">
        <f ca="1">IFERROR(_xlfn.XLOOKUP(F2707,Apuração!A:A,Apuração!C:C)/_xlfn.XLOOKUP(F2707,Apuração!A:A,Apuração!B:B),0)</f>
        <v>0</v>
      </c>
      <c r="BP2707" s="53">
        <f ca="1">IFERROR(_xlfn.XLOOKUP(F2707,Apuração!A:A,Apuração!D:D)/_xlfn.XLOOKUP(F2707,Apuração!A:A,Apuração!B:B),0)</f>
        <v>0</v>
      </c>
      <c r="BQ2707" s="53">
        <f ca="1">IF(BK2707&gt;=BO2707,0,_xlfn.XLOOKUP(F2707,Apuração!A:A,Apuração!B:B)*(BO2707 + (1/_xlfn.XLOOKUP(F2707,Apuração!A:A,Apuração!B:B)) - BK2707))</f>
        <v>0</v>
      </c>
      <c r="BR2707" s="85">
        <f t="shared" ca="1" si="3294"/>
        <v>0</v>
      </c>
      <c r="BS2707" s="53">
        <f ca="1">IFERROR((_xlfn.XLOOKUP(F2707,Apuração!A:A,Apuração!C:C)+1)/_xlfn.XLOOKUP(F2707,Apuração!A:A,Apuração!B:B),0)</f>
        <v>0.14285714285714285</v>
      </c>
    </row>
    <row r="2708" spans="1:71" ht="25.95" hidden="1" customHeight="1" x14ac:dyDescent="0.3">
      <c r="A2708" s="72" t="s">
        <v>44</v>
      </c>
      <c r="B2708" s="73" t="s">
        <v>44</v>
      </c>
      <c r="C2708" s="74" t="s">
        <v>209</v>
      </c>
      <c r="D2708" s="5" t="s">
        <v>213</v>
      </c>
      <c r="E2708" s="4" t="str" cm="1">
        <f t="array" ref="E2708">_xlfn.IFS(
F2708 = "A partir de Abril", "Aguardando Execução na Distribuidora",
A2708 = "CAPACITAÇÃO", "Em execução no Corporativo",
TRUE, "Em Execução na Distribuidora"
)</f>
        <v>Em Execução na Distribuidora</v>
      </c>
      <c r="F2708" s="4" t="str" cm="1">
        <f t="array" ref="F2708">_xlfn.IFS(
AG2708 &lt;&gt; "", "Jan-Dez/26",
AH2708 &lt;&gt; "", "Fev-Dez/26",
AI2708 &lt;&gt; "", "Mar-Dez/26", AJ2708 &lt;&gt; "", "Abr-Dez/26",
TRUE, "A partir de Junho"
)</f>
        <v>A partir de Junho</v>
      </c>
      <c r="G2708" s="75" t="s">
        <v>44</v>
      </c>
      <c r="H2708" s="76" t="s">
        <v>44</v>
      </c>
      <c r="I2708" s="77"/>
      <c r="J2708" s="77"/>
      <c r="K2708" s="77"/>
      <c r="L2708" s="77" t="s">
        <v>227</v>
      </c>
      <c r="M2708" s="78"/>
      <c r="N2708" s="74" t="s">
        <v>42</v>
      </c>
      <c r="O2708" s="74" t="s">
        <v>52</v>
      </c>
      <c r="P2708" s="75" t="s">
        <v>44</v>
      </c>
      <c r="Q2708" s="75" t="s">
        <v>44</v>
      </c>
      <c r="R2708" s="79" t="s">
        <v>44</v>
      </c>
      <c r="S2708" s="79" t="s">
        <v>44</v>
      </c>
      <c r="T2708" s="22"/>
      <c r="U2708" s="22"/>
      <c r="V2708" s="22"/>
      <c r="W2708" s="22"/>
      <c r="X2708" s="22"/>
      <c r="Y2708" s="22"/>
      <c r="Z2708" s="22"/>
      <c r="AA2708" s="22"/>
      <c r="AB2708" s="22"/>
      <c r="AC2708" s="22"/>
      <c r="AD2708" s="22"/>
      <c r="AE2708" s="22"/>
      <c r="AG2708" s="71"/>
      <c r="AH2708" s="71"/>
      <c r="AI2708" s="71"/>
      <c r="AJ2708" s="71"/>
      <c r="AK2708" s="71"/>
      <c r="AL2708" s="71"/>
      <c r="AM2708" s="71"/>
      <c r="AN2708" s="71"/>
      <c r="AO2708" s="71"/>
      <c r="AP2708" s="71"/>
      <c r="AQ2708" s="71"/>
      <c r="AR2708" s="71"/>
      <c r="AS2708" s="94"/>
      <c r="AT2708" s="95"/>
      <c r="AU2708" s="97"/>
      <c r="AW2708" s="88">
        <f t="shared" si="3293"/>
        <v>0</v>
      </c>
      <c r="AX2708" s="88"/>
      <c r="AY2708" s="88"/>
      <c r="AZ2708" s="88"/>
      <c r="BA2708" s="88"/>
      <c r="BB2708" s="88"/>
      <c r="BC2708" s="88"/>
      <c r="BD2708" s="88"/>
      <c r="BE2708" s="88"/>
      <c r="BF2708" s="88"/>
      <c r="BG2708" s="88"/>
      <c r="BH2708" s="88"/>
      <c r="BI2708" s="68" cm="1">
        <f t="array" ref="BI2708">IFERROR(INDEX(AW2708:BH2708,1,MATCH(2,1/(AW2708:BH2708&lt;&gt;""))),"")</f>
        <v>0</v>
      </c>
      <c r="BJ2708" s="68" t="str" cm="1">
        <f t="array" ref="BJ2708">IF(BM2708 = "", "",IFERROR(INDEX(AW2708:BH2708,1,MATCH(2,1/(AW2708:BH2708&lt;&gt;""),1)-1),""))</f>
        <v/>
      </c>
      <c r="BK2708" s="57" cm="1">
        <f t="array" ref="BK2708">IFERROR(INDEX(AW2708:BH2708,1,MATCH(2,1/(AW2708:BH2708&lt;&gt;""),1)),"")</f>
        <v>0</v>
      </c>
      <c r="BL2708" s="57" t="str" cm="1">
        <f t="array" ref="BL2708">IF(BM2708 = "", "",IFERROR(INDEX(AW2708:BH2708,1,MATCH(2,1/(AW2708:BH2708&lt;&gt;""),1)-1),""))</f>
        <v/>
      </c>
      <c r="BM2708" s="55" t="str" cm="1">
        <f t="array" ref="BM2708">IFERROR(
   INDEX($AW$1:$BH$1,
      _xlfn.AGGREGATE(14, 6, COLUMN($AW$1:$BH$1)/(AW2708:BH2708&lt;&gt;""), 2) - COLUMN($AW$1) + 1
   ),
"")</f>
        <v/>
      </c>
      <c r="BN2708" s="55" cm="1">
        <f t="array" ref="BN2708">IFERROR(INDEX($AW$1:$BH$1,1,MATCH(2,1/(AW2708:BH2708&lt;&gt;""))),"")</f>
        <v>46023</v>
      </c>
      <c r="BO2708" s="53">
        <f ca="1">IFERROR(_xlfn.XLOOKUP(F2708,Apuração!A:A,Apuração!C:C)/_xlfn.XLOOKUP(F2708,Apuração!A:A,Apuração!B:B),0)</f>
        <v>0</v>
      </c>
      <c r="BP2708" s="53">
        <f ca="1">IFERROR(_xlfn.XLOOKUP(F2708,Apuração!A:A,Apuração!D:D)/_xlfn.XLOOKUP(F2708,Apuração!A:A,Apuração!B:B),0)</f>
        <v>0</v>
      </c>
      <c r="BQ2708" s="53">
        <f ca="1">IF(BK2708&gt;=BO2708,0,_xlfn.XLOOKUP(F2708,Apuração!A:A,Apuração!B:B)*(BO2708 + (1/_xlfn.XLOOKUP(F2708,Apuração!A:A,Apuração!B:B)) - BK2708))</f>
        <v>0</v>
      </c>
      <c r="BR2708" s="85">
        <f t="shared" ca="1" si="3294"/>
        <v>0</v>
      </c>
      <c r="BS2708" s="53">
        <f ca="1">IFERROR((_xlfn.XLOOKUP(F2708,Apuração!A:A,Apuração!C:C)+1)/_xlfn.XLOOKUP(F2708,Apuração!A:A,Apuração!B:B),0)</f>
        <v>0.14285714285714285</v>
      </c>
    </row>
    <row r="2709" spans="1:71" ht="25.95" hidden="1" customHeight="1" x14ac:dyDescent="0.3">
      <c r="A2709" s="72" t="s">
        <v>44</v>
      </c>
      <c r="B2709" s="73" t="s">
        <v>44</v>
      </c>
      <c r="C2709" s="74" t="s">
        <v>214</v>
      </c>
      <c r="D2709" s="5" t="s">
        <v>210</v>
      </c>
      <c r="E2709" s="4" t="str" cm="1">
        <f t="array" ref="E2709">_xlfn.IFS(
F2709 = "A partir de Abril", "Aguardando Execução na Distribuidora",
A2709 = "CAPACITAÇÃO", "Em execução no Corporativo",
TRUE, "Em Execução na Distribuidora"
)</f>
        <v>Em Execução na Distribuidora</v>
      </c>
      <c r="F2709" s="4" t="str" cm="1">
        <f t="array" ref="F2709">_xlfn.IFS(
AG2709 &lt;&gt; "", "Jan-Dez/26",
AH2709 &lt;&gt; "", "Fev-Dez/26",
AI2709 &lt;&gt; "", "Mar-Dez/26", AJ2709 &lt;&gt; "", "Abr-Dez/26",
TRUE, "A partir de Junho"
)</f>
        <v>A partir de Junho</v>
      </c>
      <c r="G2709" s="75" t="s">
        <v>44</v>
      </c>
      <c r="H2709" s="76" t="s">
        <v>44</v>
      </c>
      <c r="I2709" s="77"/>
      <c r="J2709" s="77"/>
      <c r="K2709" s="77"/>
      <c r="L2709" s="77" t="s">
        <v>241</v>
      </c>
      <c r="M2709" s="78"/>
      <c r="N2709" s="74" t="s">
        <v>42</v>
      </c>
      <c r="O2709" s="74" t="s">
        <v>52</v>
      </c>
      <c r="P2709" s="75" t="s">
        <v>44</v>
      </c>
      <c r="Q2709" s="75" t="s">
        <v>44</v>
      </c>
      <c r="R2709" s="79" t="s">
        <v>44</v>
      </c>
      <c r="S2709" s="79" t="s">
        <v>44</v>
      </c>
      <c r="T2709" s="22"/>
      <c r="U2709" s="22"/>
      <c r="V2709" s="22"/>
      <c r="W2709" s="22"/>
      <c r="X2709" s="22"/>
      <c r="Y2709" s="22"/>
      <c r="Z2709" s="22"/>
      <c r="AA2709" s="22"/>
      <c r="AB2709" s="22"/>
      <c r="AC2709" s="22"/>
      <c r="AD2709" s="22"/>
      <c r="AE2709" s="22"/>
      <c r="AG2709" s="71"/>
      <c r="AH2709" s="71"/>
      <c r="AI2709" s="71"/>
      <c r="AJ2709" s="71"/>
      <c r="AK2709" s="71"/>
      <c r="AL2709" s="71"/>
      <c r="AM2709" s="71"/>
      <c r="AN2709" s="71"/>
      <c r="AO2709" s="71"/>
      <c r="AP2709" s="71"/>
      <c r="AQ2709" s="71"/>
      <c r="AR2709" s="71"/>
      <c r="AS2709" s="94"/>
      <c r="AT2709" s="95"/>
      <c r="AU2709" s="97"/>
      <c r="AW2709" s="84">
        <f t="shared" ref="AW2709:AW2713" si="3295">AG2709</f>
        <v>0</v>
      </c>
      <c r="AX2709" s="84"/>
      <c r="AY2709" s="84"/>
      <c r="AZ2709" s="84"/>
      <c r="BA2709" s="84"/>
      <c r="BB2709" s="84"/>
      <c r="BC2709" s="84"/>
      <c r="BD2709" s="84"/>
      <c r="BE2709" s="84"/>
      <c r="BF2709" s="84"/>
      <c r="BG2709" s="84"/>
      <c r="BH2709" s="84"/>
      <c r="BI2709" s="68" cm="1">
        <f t="array" ref="BI2709">IFERROR(INDEX(AW2709:BH2709,1,MATCH(2,1/(AW2709:BH2709&lt;&gt;""))),"")</f>
        <v>0</v>
      </c>
      <c r="BJ2709" s="68" t="str" cm="1">
        <f t="array" ref="BJ2709">IF(BM2709 = "", "",IFERROR(INDEX(AW2709:BH2709,1,MATCH(2,1/(AW2709:BH2709&lt;&gt;""),1)-1),""))</f>
        <v/>
      </c>
      <c r="BK2709" s="57" cm="1">
        <f t="array" ref="BK2709">IFERROR(INDEX(AW2709:BH2709,1,MATCH(2,1/(AW2709:BH2709&lt;&gt;""),1)),"")</f>
        <v>0</v>
      </c>
      <c r="BL2709" s="57" t="str" cm="1">
        <f t="array" ref="BL2709">IF(BM2709 = "", "",IFERROR(INDEX(AW2709:BH2709,1,MATCH(2,1/(AW2709:BH2709&lt;&gt;""),1)-1),""))</f>
        <v/>
      </c>
      <c r="BM2709" s="55" t="str" cm="1">
        <f t="array" ref="BM2709">IFERROR(
   INDEX($AW$1:$BH$1,
      _xlfn.AGGREGATE(14, 6, COLUMN($AW$1:$BH$1)/(AW2709:BH2709&lt;&gt;""), 2) - COLUMN($AW$1) + 1
   ),
"")</f>
        <v/>
      </c>
      <c r="BN2709" s="55" cm="1">
        <f t="array" ref="BN2709">IFERROR(INDEX($AW$1:$BH$1,1,MATCH(2,1/(AW2709:BH2709&lt;&gt;""))),"")</f>
        <v>46023</v>
      </c>
      <c r="BO2709" s="53">
        <f ca="1">IFERROR(_xlfn.XLOOKUP(F2709,Apuração!A:A,Apuração!C:C)/_xlfn.XLOOKUP(F2709,Apuração!A:A,Apuração!B:B),0)</f>
        <v>0</v>
      </c>
      <c r="BP2709" s="53">
        <f ca="1">IFERROR(_xlfn.XLOOKUP(F2709,Apuração!A:A,Apuração!D:D)/_xlfn.XLOOKUP(F2709,Apuração!A:A,Apuração!B:B),0)</f>
        <v>0</v>
      </c>
      <c r="BQ2709" s="53">
        <f ca="1">IF(BK2709&gt;=BO2709,0,_xlfn.XLOOKUP(F2709,Apuração!A:A,Apuração!B:B)*(BO2709 + (1/_xlfn.XLOOKUP(F2709,Apuração!A:A,Apuração!B:B)) - BK2709))</f>
        <v>0</v>
      </c>
      <c r="BR2709" s="85">
        <f t="shared" ca="1" si="3294"/>
        <v>0</v>
      </c>
      <c r="BS2709" s="53">
        <f ca="1">IFERROR((_xlfn.XLOOKUP(F2709,Apuração!A:A,Apuração!C:C)+1)/_xlfn.XLOOKUP(F2709,Apuração!A:A,Apuração!B:B),0)</f>
        <v>0.14285714285714285</v>
      </c>
    </row>
    <row r="2710" spans="1:71" ht="25.95" hidden="1" customHeight="1" x14ac:dyDescent="0.3">
      <c r="A2710" s="72" t="s">
        <v>44</v>
      </c>
      <c r="B2710" s="73" t="s">
        <v>44</v>
      </c>
      <c r="C2710" s="74" t="s">
        <v>214</v>
      </c>
      <c r="D2710" s="5" t="s">
        <v>215</v>
      </c>
      <c r="E2710" s="4" t="str" cm="1">
        <f t="array" ref="E2710">_xlfn.IFS(
F2710 = "A partir de Abril", "Aguardando Execução na Distribuidora",
A2710 = "CAPACITAÇÃO", "Em execução no Corporativo",
TRUE, "Em Execução na Distribuidora"
)</f>
        <v>Em Execução na Distribuidora</v>
      </c>
      <c r="F2710" s="4" t="str" cm="1">
        <f t="array" ref="F2710">_xlfn.IFS(
AG2710 &lt;&gt; "", "Jan-Dez/26",
AH2710 &lt;&gt; "", "Fev-Dez/26",
AI2710 &lt;&gt; "", "Mar-Dez/26", AJ2710 &lt;&gt; "", "Abr-Dez/26",
TRUE, "A partir de Junho"
)</f>
        <v>A partir de Junho</v>
      </c>
      <c r="G2710" s="75" t="s">
        <v>44</v>
      </c>
      <c r="H2710" s="76" t="s">
        <v>44</v>
      </c>
      <c r="I2710" s="77"/>
      <c r="J2710" s="77"/>
      <c r="K2710" s="77"/>
      <c r="L2710" s="77" t="s">
        <v>241</v>
      </c>
      <c r="M2710" s="78"/>
      <c r="N2710" s="74" t="s">
        <v>42</v>
      </c>
      <c r="O2710" s="74" t="s">
        <v>52</v>
      </c>
      <c r="P2710" s="75" t="s">
        <v>44</v>
      </c>
      <c r="Q2710" s="75" t="s">
        <v>44</v>
      </c>
      <c r="R2710" s="79" t="s">
        <v>44</v>
      </c>
      <c r="S2710" s="79" t="s">
        <v>44</v>
      </c>
      <c r="T2710" s="22"/>
      <c r="U2710" s="22"/>
      <c r="V2710" s="22"/>
      <c r="W2710" s="22"/>
      <c r="X2710" s="22"/>
      <c r="Y2710" s="22"/>
      <c r="Z2710" s="22"/>
      <c r="AA2710" s="22"/>
      <c r="AB2710" s="22"/>
      <c r="AC2710" s="22"/>
      <c r="AD2710" s="22"/>
      <c r="AE2710" s="22"/>
      <c r="AG2710" s="71"/>
      <c r="AH2710" s="71"/>
      <c r="AI2710" s="71"/>
      <c r="AJ2710" s="71"/>
      <c r="AK2710" s="71"/>
      <c r="AL2710" s="71"/>
      <c r="AM2710" s="71"/>
      <c r="AN2710" s="71"/>
      <c r="AO2710" s="71"/>
      <c r="AP2710" s="71"/>
      <c r="AQ2710" s="71"/>
      <c r="AR2710" s="71"/>
      <c r="AS2710" s="94"/>
      <c r="AT2710" s="95"/>
      <c r="AU2710" s="97"/>
      <c r="AW2710" s="84">
        <f t="shared" si="3295"/>
        <v>0</v>
      </c>
      <c r="AX2710" s="84"/>
      <c r="AY2710" s="84"/>
      <c r="AZ2710" s="84"/>
      <c r="BA2710" s="84"/>
      <c r="BB2710" s="84"/>
      <c r="BC2710" s="84"/>
      <c r="BD2710" s="84"/>
      <c r="BE2710" s="84"/>
      <c r="BF2710" s="84"/>
      <c r="BG2710" s="84"/>
      <c r="BH2710" s="84"/>
      <c r="BI2710" s="68" cm="1">
        <f t="array" ref="BI2710">IFERROR(INDEX(AW2710:BH2710,1,MATCH(2,1/(AW2710:BH2710&lt;&gt;""))),"")</f>
        <v>0</v>
      </c>
      <c r="BJ2710" s="68" t="str" cm="1">
        <f t="array" ref="BJ2710">IF(BM2710 = "", "",IFERROR(INDEX(AW2710:BH2710,1,MATCH(2,1/(AW2710:BH2710&lt;&gt;""),1)-1),""))</f>
        <v/>
      </c>
      <c r="BK2710" s="57" cm="1">
        <f t="array" ref="BK2710">IFERROR(INDEX(AW2710:BH2710,1,MATCH(2,1/(AW2710:BH2710&lt;&gt;""),1)),"")</f>
        <v>0</v>
      </c>
      <c r="BL2710" s="57" t="str" cm="1">
        <f t="array" ref="BL2710">IF(BM2710 = "", "",IFERROR(INDEX(AW2710:BH2710,1,MATCH(2,1/(AW2710:BH2710&lt;&gt;""),1)-1),""))</f>
        <v/>
      </c>
      <c r="BM2710" s="55" t="str" cm="1">
        <f t="array" ref="BM2710">IFERROR(
   INDEX($AW$1:$BH$1,
      _xlfn.AGGREGATE(14, 6, COLUMN($AW$1:$BH$1)/(AW2710:BH2710&lt;&gt;""), 2) - COLUMN($AW$1) + 1
   ),
"")</f>
        <v/>
      </c>
      <c r="BN2710" s="55" cm="1">
        <f t="array" ref="BN2710">IFERROR(INDEX($AW$1:$BH$1,1,MATCH(2,1/(AW2710:BH2710&lt;&gt;""))),"")</f>
        <v>46023</v>
      </c>
      <c r="BO2710" s="53">
        <f ca="1">IFERROR(_xlfn.XLOOKUP(F2710,Apuração!A:A,Apuração!C:C)/_xlfn.XLOOKUP(F2710,Apuração!A:A,Apuração!B:B),0)</f>
        <v>0</v>
      </c>
      <c r="BP2710" s="53">
        <f ca="1">IFERROR(_xlfn.XLOOKUP(F2710,Apuração!A:A,Apuração!D:D)/_xlfn.XLOOKUP(F2710,Apuração!A:A,Apuração!B:B),0)</f>
        <v>0</v>
      </c>
      <c r="BQ2710" s="53">
        <f ca="1">IF(BK2710&gt;=BO2710,0,_xlfn.XLOOKUP(F2710,Apuração!A:A,Apuração!B:B)*(BO2710 + (1/_xlfn.XLOOKUP(F2710,Apuração!A:A,Apuração!B:B)) - BK2710))</f>
        <v>0</v>
      </c>
      <c r="BR2710" s="85">
        <f t="shared" ca="1" si="3294"/>
        <v>0</v>
      </c>
      <c r="BS2710" s="53">
        <f ca="1">IFERROR((_xlfn.XLOOKUP(F2710,Apuração!A:A,Apuração!C:C)+1)/_xlfn.XLOOKUP(F2710,Apuração!A:A,Apuração!B:B),0)</f>
        <v>0.14285714285714285</v>
      </c>
    </row>
    <row r="2711" spans="1:71" ht="25.95" hidden="1" customHeight="1" x14ac:dyDescent="0.3">
      <c r="A2711" s="72" t="s">
        <v>44</v>
      </c>
      <c r="B2711" s="73" t="s">
        <v>44</v>
      </c>
      <c r="C2711" s="74" t="s">
        <v>214</v>
      </c>
      <c r="D2711" s="5" t="s">
        <v>212</v>
      </c>
      <c r="E2711" s="4" t="str" cm="1">
        <f t="array" ref="E2711">_xlfn.IFS(
F2711 = "A partir de Abril", "Aguardando Execução na Distribuidora",
A2711 = "CAPACITAÇÃO", "Em execução no Corporativo",
TRUE, "Em Execução na Distribuidora"
)</f>
        <v>Em Execução na Distribuidora</v>
      </c>
      <c r="F2711" s="4" t="str" cm="1">
        <f t="array" ref="F2711">_xlfn.IFS(
AG2711 &lt;&gt; "", "Jan-Dez/26",
AH2711 &lt;&gt; "", "Fev-Dez/26",
AI2711 &lt;&gt; "", "Mar-Dez/26", AJ2711 &lt;&gt; "", "Abr-Dez/26",
TRUE, "A partir de Junho"
)</f>
        <v>A partir de Junho</v>
      </c>
      <c r="G2711" s="75" t="s">
        <v>44</v>
      </c>
      <c r="H2711" s="76" t="s">
        <v>44</v>
      </c>
      <c r="I2711" s="77"/>
      <c r="J2711" s="77"/>
      <c r="K2711" s="77"/>
      <c r="L2711" s="77" t="s">
        <v>241</v>
      </c>
      <c r="M2711" s="78"/>
      <c r="N2711" s="74" t="s">
        <v>42</v>
      </c>
      <c r="O2711" s="74" t="s">
        <v>52</v>
      </c>
      <c r="P2711" s="75" t="s">
        <v>44</v>
      </c>
      <c r="Q2711" s="75" t="s">
        <v>44</v>
      </c>
      <c r="R2711" s="79" t="s">
        <v>44</v>
      </c>
      <c r="S2711" s="79" t="s">
        <v>44</v>
      </c>
      <c r="T2711" s="22"/>
      <c r="U2711" s="22"/>
      <c r="V2711" s="22"/>
      <c r="W2711" s="22"/>
      <c r="X2711" s="22"/>
      <c r="Y2711" s="22"/>
      <c r="Z2711" s="22"/>
      <c r="AA2711" s="22"/>
      <c r="AB2711" s="22"/>
      <c r="AC2711" s="22"/>
      <c r="AD2711" s="22"/>
      <c r="AE2711" s="22"/>
      <c r="AG2711" s="71"/>
      <c r="AH2711" s="71"/>
      <c r="AI2711" s="71"/>
      <c r="AJ2711" s="71"/>
      <c r="AK2711" s="71"/>
      <c r="AL2711" s="71"/>
      <c r="AM2711" s="71"/>
      <c r="AN2711" s="71"/>
      <c r="AO2711" s="71"/>
      <c r="AP2711" s="71"/>
      <c r="AQ2711" s="71"/>
      <c r="AR2711" s="71"/>
      <c r="AS2711" s="94"/>
      <c r="AT2711" s="95"/>
      <c r="AU2711" s="97"/>
      <c r="AW2711" s="84">
        <f t="shared" si="3295"/>
        <v>0</v>
      </c>
      <c r="AX2711" s="84"/>
      <c r="AY2711" s="84"/>
      <c r="AZ2711" s="84"/>
      <c r="BA2711" s="84"/>
      <c r="BB2711" s="84"/>
      <c r="BC2711" s="84"/>
      <c r="BD2711" s="84"/>
      <c r="BE2711" s="84"/>
      <c r="BF2711" s="84"/>
      <c r="BG2711" s="84"/>
      <c r="BH2711" s="84"/>
      <c r="BI2711" s="68" cm="1">
        <f t="array" ref="BI2711">IFERROR(INDEX(AW2711:BH2711,1,MATCH(2,1/(AW2711:BH2711&lt;&gt;""))),"")</f>
        <v>0</v>
      </c>
      <c r="BJ2711" s="68" t="str" cm="1">
        <f t="array" ref="BJ2711">IF(BM2711 = "", "",IFERROR(INDEX(AW2711:BH2711,1,MATCH(2,1/(AW2711:BH2711&lt;&gt;""),1)-1),""))</f>
        <v/>
      </c>
      <c r="BK2711" s="57" cm="1">
        <f t="array" ref="BK2711">IFERROR(INDEX(AW2711:BH2711,1,MATCH(2,1/(AW2711:BH2711&lt;&gt;""),1)),"")</f>
        <v>0</v>
      </c>
      <c r="BL2711" s="57" t="str" cm="1">
        <f t="array" ref="BL2711">IF(BM2711 = "", "",IFERROR(INDEX(AW2711:BH2711,1,MATCH(2,1/(AW2711:BH2711&lt;&gt;""),1)-1),""))</f>
        <v/>
      </c>
      <c r="BM2711" s="55" t="str" cm="1">
        <f t="array" ref="BM2711">IFERROR(
   INDEX($AW$1:$BH$1,
      _xlfn.AGGREGATE(14, 6, COLUMN($AW$1:$BH$1)/(AW2711:BH2711&lt;&gt;""), 2) - COLUMN($AW$1) + 1
   ),
"")</f>
        <v/>
      </c>
      <c r="BN2711" s="55" cm="1">
        <f t="array" ref="BN2711">IFERROR(INDEX($AW$1:$BH$1,1,MATCH(2,1/(AW2711:BH2711&lt;&gt;""))),"")</f>
        <v>46023</v>
      </c>
      <c r="BO2711" s="53">
        <f ca="1">IFERROR(_xlfn.XLOOKUP(F2711,Apuração!A:A,Apuração!C:C)/_xlfn.XLOOKUP(F2711,Apuração!A:A,Apuração!B:B),0)</f>
        <v>0</v>
      </c>
      <c r="BP2711" s="53">
        <f ca="1">IFERROR(_xlfn.XLOOKUP(F2711,Apuração!A:A,Apuração!D:D)/_xlfn.XLOOKUP(F2711,Apuração!A:A,Apuração!B:B),0)</f>
        <v>0</v>
      </c>
      <c r="BQ2711" s="53">
        <f ca="1">IF(BK2711&gt;=BO2711,0,_xlfn.XLOOKUP(F2711,Apuração!A:A,Apuração!B:B)*(BO2711 + (1/_xlfn.XLOOKUP(F2711,Apuração!A:A,Apuração!B:B)) - BK2711))</f>
        <v>0</v>
      </c>
      <c r="BR2711" s="85">
        <f t="shared" ca="1" si="3294"/>
        <v>0</v>
      </c>
      <c r="BS2711" s="53">
        <f ca="1">IFERROR((_xlfn.XLOOKUP(F2711,Apuração!A:A,Apuração!C:C)+1)/_xlfn.XLOOKUP(F2711,Apuração!A:A,Apuração!B:B),0)</f>
        <v>0.14285714285714285</v>
      </c>
    </row>
    <row r="2712" spans="1:71" ht="25.95" hidden="1" customHeight="1" x14ac:dyDescent="0.3">
      <c r="A2712" s="72" t="s">
        <v>44</v>
      </c>
      <c r="B2712" s="73" t="s">
        <v>44</v>
      </c>
      <c r="C2712" s="74" t="s">
        <v>214</v>
      </c>
      <c r="D2712" s="5" t="s">
        <v>48</v>
      </c>
      <c r="E2712" s="4" t="str" cm="1">
        <f t="array" ref="E2712">_xlfn.IFS(
F2712 = "A partir de Abril", "Aguardando Execução na Distribuidora",
A2712 = "CAPACITAÇÃO", "Em execução no Corporativo",
TRUE, "Em Execução na Distribuidora"
)</f>
        <v>Em Execução na Distribuidora</v>
      </c>
      <c r="F2712" s="4" t="str" cm="1">
        <f t="array" ref="F2712">_xlfn.IFS(
AG2712 &lt;&gt; "", "Jan-Dez/26",
AH2712 &lt;&gt; "", "Fev-Dez/26",
AI2712 &lt;&gt; "", "Mar-Dez/26", AJ2712 &lt;&gt; "", "Abr-Dez/26",
TRUE, "A partir de Junho"
)</f>
        <v>A partir de Junho</v>
      </c>
      <c r="G2712" s="75" t="s">
        <v>44</v>
      </c>
      <c r="H2712" s="76" t="s">
        <v>44</v>
      </c>
      <c r="I2712" s="77"/>
      <c r="J2712" s="77"/>
      <c r="K2712" s="77"/>
      <c r="L2712" s="77" t="s">
        <v>241</v>
      </c>
      <c r="M2712" s="78"/>
      <c r="N2712" s="74" t="s">
        <v>42</v>
      </c>
      <c r="O2712" s="74" t="s">
        <v>52</v>
      </c>
      <c r="P2712" s="75" t="s">
        <v>44</v>
      </c>
      <c r="Q2712" s="75" t="s">
        <v>44</v>
      </c>
      <c r="R2712" s="79" t="s">
        <v>44</v>
      </c>
      <c r="S2712" s="79" t="s">
        <v>44</v>
      </c>
      <c r="T2712" s="22"/>
      <c r="U2712" s="22"/>
      <c r="V2712" s="22"/>
      <c r="W2712" s="22"/>
      <c r="X2712" s="22"/>
      <c r="Y2712" s="22"/>
      <c r="Z2712" s="22"/>
      <c r="AA2712" s="22"/>
      <c r="AB2712" s="22"/>
      <c r="AC2712" s="22"/>
      <c r="AD2712" s="22"/>
      <c r="AE2712" s="22"/>
      <c r="AG2712" s="71"/>
      <c r="AH2712" s="71"/>
      <c r="AI2712" s="71"/>
      <c r="AJ2712" s="71"/>
      <c r="AK2712" s="71"/>
      <c r="AL2712" s="71"/>
      <c r="AM2712" s="71"/>
      <c r="AN2712" s="71"/>
      <c r="AO2712" s="71"/>
      <c r="AP2712" s="71"/>
      <c r="AQ2712" s="71"/>
      <c r="AR2712" s="71"/>
      <c r="AS2712" s="94"/>
      <c r="AT2712" s="95"/>
      <c r="AU2712" s="97"/>
      <c r="AW2712" s="84">
        <f t="shared" si="3295"/>
        <v>0</v>
      </c>
      <c r="AX2712" s="84"/>
      <c r="AY2712" s="84"/>
      <c r="AZ2712" s="84"/>
      <c r="BA2712" s="84"/>
      <c r="BB2712" s="84"/>
      <c r="BC2712" s="84"/>
      <c r="BD2712" s="84"/>
      <c r="BE2712" s="84"/>
      <c r="BF2712" s="84"/>
      <c r="BG2712" s="84"/>
      <c r="BH2712" s="84"/>
      <c r="BI2712" s="68" cm="1">
        <f t="array" ref="BI2712">IFERROR(INDEX(AW2712:BH2712,1,MATCH(2,1/(AW2712:BH2712&lt;&gt;""))),"")</f>
        <v>0</v>
      </c>
      <c r="BJ2712" s="68" t="str" cm="1">
        <f t="array" ref="BJ2712">IF(BM2712 = "", "",IFERROR(INDEX(AW2712:BH2712,1,MATCH(2,1/(AW2712:BH2712&lt;&gt;""),1)-1),""))</f>
        <v/>
      </c>
      <c r="BK2712" s="57" cm="1">
        <f t="array" ref="BK2712">IFERROR(INDEX(AW2712:BH2712,1,MATCH(2,1/(AW2712:BH2712&lt;&gt;""),1)),"")</f>
        <v>0</v>
      </c>
      <c r="BL2712" s="57" t="str" cm="1">
        <f t="array" ref="BL2712">IF(BM2712 = "", "",IFERROR(INDEX(AW2712:BH2712,1,MATCH(2,1/(AW2712:BH2712&lt;&gt;""),1)-1),""))</f>
        <v/>
      </c>
      <c r="BM2712" s="55" t="str" cm="1">
        <f t="array" ref="BM2712">IFERROR(
   INDEX($AW$1:$BH$1,
      _xlfn.AGGREGATE(14, 6, COLUMN($AW$1:$BH$1)/(AW2712:BH2712&lt;&gt;""), 2) - COLUMN($AW$1) + 1
   ),
"")</f>
        <v/>
      </c>
      <c r="BN2712" s="55" cm="1">
        <f t="array" ref="BN2712">IFERROR(INDEX($AW$1:$BH$1,1,MATCH(2,1/(AW2712:BH2712&lt;&gt;""))),"")</f>
        <v>46023</v>
      </c>
      <c r="BO2712" s="53">
        <f ca="1">IFERROR(_xlfn.XLOOKUP(F2712,Apuração!A:A,Apuração!C:C)/_xlfn.XLOOKUP(F2712,Apuração!A:A,Apuração!B:B),0)</f>
        <v>0</v>
      </c>
      <c r="BP2712" s="53">
        <f ca="1">IFERROR(_xlfn.XLOOKUP(F2712,Apuração!A:A,Apuração!D:D)/_xlfn.XLOOKUP(F2712,Apuração!A:A,Apuração!B:B),0)</f>
        <v>0</v>
      </c>
      <c r="BQ2712" s="53">
        <f ca="1">IF(BK2712&gt;=BO2712,0,_xlfn.XLOOKUP(F2712,Apuração!A:A,Apuração!B:B)*(BO2712 + (1/_xlfn.XLOOKUP(F2712,Apuração!A:A,Apuração!B:B)) - BK2712))</f>
        <v>0</v>
      </c>
      <c r="BR2712" s="85">
        <f t="shared" ca="1" si="3294"/>
        <v>0</v>
      </c>
      <c r="BS2712" s="53">
        <f ca="1">IFERROR((_xlfn.XLOOKUP(F2712,Apuração!A:A,Apuração!C:C)+1)/_xlfn.XLOOKUP(F2712,Apuração!A:A,Apuração!B:B),0)</f>
        <v>0.14285714285714285</v>
      </c>
    </row>
    <row r="2713" spans="1:71" ht="25.95" hidden="1" customHeight="1" x14ac:dyDescent="0.3">
      <c r="A2713" s="72" t="s">
        <v>44</v>
      </c>
      <c r="B2713" s="73" t="s">
        <v>44</v>
      </c>
      <c r="C2713" s="74" t="s">
        <v>214</v>
      </c>
      <c r="D2713" s="5" t="s">
        <v>213</v>
      </c>
      <c r="E2713" s="4" t="str" cm="1">
        <f t="array" ref="E2713">_xlfn.IFS(
F2713 = "A partir de Abril", "Aguardando Execução na Distribuidora",
A2713 = "CAPACITAÇÃO", "Em execução no Corporativo",
TRUE, "Em Execução na Distribuidora"
)</f>
        <v>Em Execução na Distribuidora</v>
      </c>
      <c r="F2713" s="4" t="str" cm="1">
        <f t="array" ref="F2713">_xlfn.IFS(
AG2713 &lt;&gt; "", "Jan-Dez/26",
AH2713 &lt;&gt; "", "Fev-Dez/26",
AI2713 &lt;&gt; "", "Mar-Dez/26", AJ2713 &lt;&gt; "", "Abr-Dez/26",
TRUE, "A partir de Junho"
)</f>
        <v>A partir de Junho</v>
      </c>
      <c r="G2713" s="75" t="s">
        <v>44</v>
      </c>
      <c r="H2713" s="76" t="s">
        <v>44</v>
      </c>
      <c r="I2713" s="77"/>
      <c r="J2713" s="77"/>
      <c r="K2713" s="77"/>
      <c r="L2713" s="77" t="s">
        <v>241</v>
      </c>
      <c r="M2713" s="78"/>
      <c r="N2713" s="74" t="s">
        <v>42</v>
      </c>
      <c r="O2713" s="74" t="s">
        <v>52</v>
      </c>
      <c r="P2713" s="75" t="s">
        <v>44</v>
      </c>
      <c r="Q2713" s="75" t="s">
        <v>44</v>
      </c>
      <c r="R2713" s="79" t="s">
        <v>44</v>
      </c>
      <c r="S2713" s="79" t="s">
        <v>44</v>
      </c>
      <c r="T2713" s="22"/>
      <c r="U2713" s="22"/>
      <c r="V2713" s="22"/>
      <c r="W2713" s="22"/>
      <c r="X2713" s="22"/>
      <c r="Y2713" s="22"/>
      <c r="Z2713" s="22"/>
      <c r="AA2713" s="22"/>
      <c r="AB2713" s="22"/>
      <c r="AC2713" s="22"/>
      <c r="AD2713" s="22"/>
      <c r="AE2713" s="22"/>
      <c r="AG2713" s="71"/>
      <c r="AH2713" s="71"/>
      <c r="AI2713" s="71"/>
      <c r="AJ2713" s="71"/>
      <c r="AK2713" s="71"/>
      <c r="AL2713" s="71"/>
      <c r="AM2713" s="71"/>
      <c r="AN2713" s="71"/>
      <c r="AO2713" s="71"/>
      <c r="AP2713" s="71"/>
      <c r="AQ2713" s="71"/>
      <c r="AR2713" s="71"/>
      <c r="AS2713" s="94"/>
      <c r="AT2713" s="95"/>
      <c r="AU2713" s="97"/>
      <c r="AW2713" s="84">
        <f t="shared" si="3295"/>
        <v>0</v>
      </c>
      <c r="AX2713" s="84"/>
      <c r="AY2713" s="84"/>
      <c r="AZ2713" s="84"/>
      <c r="BA2713" s="84"/>
      <c r="BB2713" s="84"/>
      <c r="BC2713" s="84"/>
      <c r="BD2713" s="84"/>
      <c r="BE2713" s="84"/>
      <c r="BF2713" s="84"/>
      <c r="BG2713" s="84"/>
      <c r="BH2713" s="84"/>
      <c r="BI2713" s="68" cm="1">
        <f t="array" ref="BI2713">IFERROR(INDEX(AW2713:BH2713,1,MATCH(2,1/(AW2713:BH2713&lt;&gt;""))),"")</f>
        <v>0</v>
      </c>
      <c r="BJ2713" s="68" t="str" cm="1">
        <f t="array" ref="BJ2713">IF(BM2713 = "", "",IFERROR(INDEX(AW2713:BH2713,1,MATCH(2,1/(AW2713:BH2713&lt;&gt;""),1)-1),""))</f>
        <v/>
      </c>
      <c r="BK2713" s="57" cm="1">
        <f t="array" ref="BK2713">IFERROR(INDEX(AW2713:BH2713,1,MATCH(2,1/(AW2713:BH2713&lt;&gt;""),1)),"")</f>
        <v>0</v>
      </c>
      <c r="BL2713" s="57" t="str" cm="1">
        <f t="array" ref="BL2713">IF(BM2713 = "", "",IFERROR(INDEX(AW2713:BH2713,1,MATCH(2,1/(AW2713:BH2713&lt;&gt;""),1)-1),""))</f>
        <v/>
      </c>
      <c r="BM2713" s="55" t="str" cm="1">
        <f t="array" ref="BM2713">IFERROR(
   INDEX($AW$1:$BH$1,
      _xlfn.AGGREGATE(14, 6, COLUMN($AW$1:$BH$1)/(AW2713:BH2713&lt;&gt;""), 2) - COLUMN($AW$1) + 1
   ),
"")</f>
        <v/>
      </c>
      <c r="BN2713" s="55" cm="1">
        <f t="array" ref="BN2713">IFERROR(INDEX($AW$1:$BH$1,1,MATCH(2,1/(AW2713:BH2713&lt;&gt;""))),"")</f>
        <v>46023</v>
      </c>
      <c r="BO2713" s="53">
        <f ca="1">IFERROR(_xlfn.XLOOKUP(F2713,Apuração!A:A,Apuração!C:C)/_xlfn.XLOOKUP(F2713,Apuração!A:A,Apuração!B:B),0)</f>
        <v>0</v>
      </c>
      <c r="BP2713" s="53">
        <f ca="1">IFERROR(_xlfn.XLOOKUP(F2713,Apuração!A:A,Apuração!D:D)/_xlfn.XLOOKUP(F2713,Apuração!A:A,Apuração!B:B),0)</f>
        <v>0</v>
      </c>
      <c r="BQ2713" s="53">
        <f ca="1">IF(BK2713&gt;=BO2713,0,_xlfn.XLOOKUP(F2713,Apuração!A:A,Apuração!B:B)*(BO2713 + (1/_xlfn.XLOOKUP(F2713,Apuração!A:A,Apuração!B:B)) - BK2713))</f>
        <v>0</v>
      </c>
      <c r="BR2713" s="85">
        <f t="shared" ca="1" si="3294"/>
        <v>0</v>
      </c>
      <c r="BS2713" s="53">
        <f ca="1">IFERROR((_xlfn.XLOOKUP(F2713,Apuração!A:A,Apuração!C:C)+1)/_xlfn.XLOOKUP(F2713,Apuração!A:A,Apuração!B:B),0)</f>
        <v>0.14285714285714285</v>
      </c>
    </row>
    <row r="2714" spans="1:71" ht="25.95" hidden="1" customHeight="1" x14ac:dyDescent="0.3">
      <c r="A2714" s="72" t="s">
        <v>44</v>
      </c>
      <c r="B2714" s="73" t="s">
        <v>44</v>
      </c>
      <c r="C2714" s="74" t="s">
        <v>214</v>
      </c>
      <c r="D2714" s="5" t="s">
        <v>36</v>
      </c>
      <c r="E2714" s="4" t="str" cm="1">
        <f t="array" ref="E2714">_xlfn.IFS(
F2714 = "A partir de Abril", "Aguardando Execução na Distribuidora",
A2714 = "CAPACITAÇÃO", "Em execução no Corporativo",
TRUE, "Em Execução na Distribuidora"
)</f>
        <v>Em Execução na Distribuidora</v>
      </c>
      <c r="F2714" s="4" t="str" cm="1">
        <f t="array" ref="F2714">_xlfn.IFS(
AG2714 &lt;&gt; "", "Jan-Dez/26",
AH2714 &lt;&gt; "", "Fev-Dez/26",
AI2714 &lt;&gt; "", "Mar-Dez/26", AJ2714 &lt;&gt; "", "Abr-Dez/26",
TRUE, "A partir de Junho"
)</f>
        <v>A partir de Junho</v>
      </c>
      <c r="G2714" s="75" t="s">
        <v>44</v>
      </c>
      <c r="H2714" s="76" t="s">
        <v>44</v>
      </c>
      <c r="I2714" s="77"/>
      <c r="J2714" s="77"/>
      <c r="K2714" s="77"/>
      <c r="L2714" s="77" t="s">
        <v>227</v>
      </c>
      <c r="M2714" s="78"/>
      <c r="N2714" s="74" t="s">
        <v>42</v>
      </c>
      <c r="O2714" s="74" t="s">
        <v>52</v>
      </c>
      <c r="P2714" s="75" t="s">
        <v>44</v>
      </c>
      <c r="Q2714" s="75" t="s">
        <v>44</v>
      </c>
      <c r="R2714" s="79" t="s">
        <v>44</v>
      </c>
      <c r="S2714" s="79" t="s">
        <v>44</v>
      </c>
      <c r="T2714" s="22"/>
      <c r="U2714" s="22"/>
      <c r="V2714" s="22"/>
      <c r="W2714" s="22"/>
      <c r="X2714" s="22"/>
      <c r="Y2714" s="22"/>
      <c r="Z2714" s="22"/>
      <c r="AA2714" s="22"/>
      <c r="AB2714" s="22"/>
      <c r="AC2714" s="22"/>
      <c r="AD2714" s="22"/>
      <c r="AE2714" s="22"/>
      <c r="AG2714" s="112"/>
      <c r="AH2714" s="112"/>
      <c r="AI2714" s="112"/>
      <c r="AJ2714" s="112"/>
      <c r="AK2714" s="112"/>
      <c r="AL2714" s="112"/>
      <c r="AM2714" s="112"/>
      <c r="AN2714" s="112"/>
      <c r="AO2714" s="112"/>
      <c r="AP2714" s="112"/>
      <c r="AQ2714" s="112"/>
      <c r="AR2714" s="112"/>
      <c r="AS2714" s="94"/>
      <c r="AT2714" s="95"/>
      <c r="AU2714" s="97"/>
      <c r="AW2714" s="88">
        <f t="shared" ref="AW2714" si="3296">AG2714/100</f>
        <v>0</v>
      </c>
      <c r="AX2714" s="88">
        <f t="shared" ref="AX2714" si="3297">AH2714/100</f>
        <v>0</v>
      </c>
      <c r="AY2714" s="88">
        <f t="shared" ref="AY2714" si="3298">AI2714/100</f>
        <v>0</v>
      </c>
      <c r="AZ2714" s="88">
        <f t="shared" ref="AZ2714" si="3299">AJ2714/100</f>
        <v>0</v>
      </c>
      <c r="BA2714" s="88"/>
      <c r="BB2714" s="88"/>
      <c r="BC2714" s="88"/>
      <c r="BD2714" s="88"/>
      <c r="BE2714" s="88"/>
      <c r="BF2714" s="88"/>
      <c r="BG2714" s="88"/>
      <c r="BH2714" s="88"/>
      <c r="BI2714" s="68" cm="1">
        <f t="array" ref="BI2714">IFERROR(INDEX(AW2714:BH2714,1,MATCH(2,1/(AW2714:BH2714&lt;&gt;""))),"")</f>
        <v>0</v>
      </c>
      <c r="BJ2714" s="68" cm="1">
        <f t="array" ref="BJ2714">IF(BM2714 = "", "",IFERROR(INDEX(AW2714:BH2714,1,MATCH(2,1/(AW2714:BH2714&lt;&gt;""),1)-1),""))</f>
        <v>0</v>
      </c>
      <c r="BK2714" s="57" cm="1">
        <f t="array" ref="BK2714">IFERROR(INDEX(AW2714:BH2714,1,MATCH(2,1/(AW2714:BH2714&lt;&gt;""),1)),"")</f>
        <v>0</v>
      </c>
      <c r="BL2714" s="57" cm="1">
        <f t="array" ref="BL2714">IF(BM2714 = "", "",IFERROR(INDEX(AW2714:BH2714,1,MATCH(2,1/(AW2714:BH2714&lt;&gt;""),1)-1),""))</f>
        <v>0</v>
      </c>
      <c r="BM2714" s="55" cm="1">
        <f t="array" ref="BM2714">IFERROR(
   INDEX($AW$1:$BH$1,
      _xlfn.AGGREGATE(14, 6, COLUMN($AW$1:$BH$1)/(AW2714:BH2714&lt;&gt;""), 2) - COLUMN($AW$1) + 1
   ),
"")</f>
        <v>46082</v>
      </c>
      <c r="BN2714" s="55" cm="1">
        <f t="array" ref="BN2714">IFERROR(INDEX($AW$1:$BH$1,1,MATCH(2,1/(AW2714:BH2714&lt;&gt;""))),"")</f>
        <v>46113</v>
      </c>
      <c r="BO2714" s="53">
        <f ca="1">IFERROR(_xlfn.XLOOKUP(F2714,Apuração!A:A,Apuração!C:C)/_xlfn.XLOOKUP(F2714,Apuração!A:A,Apuração!B:B),0)</f>
        <v>0</v>
      </c>
      <c r="BP2714" s="53">
        <f ca="1">IFERROR(_xlfn.XLOOKUP(F2714,Apuração!A:A,Apuração!D:D)/_xlfn.XLOOKUP(F2714,Apuração!A:A,Apuração!B:B),0)</f>
        <v>0</v>
      </c>
      <c r="BQ2714" s="53">
        <f ca="1">IF(BK2714&gt;=BO2714,0,_xlfn.XLOOKUP(F2714,Apuração!A:A,Apuração!B:B)*(BO2714 + (1/_xlfn.XLOOKUP(F2714,Apuração!A:A,Apuração!B:B)) - BK2714))</f>
        <v>0</v>
      </c>
      <c r="BR2714" s="85">
        <f t="shared" ref="BR2714" ca="1" si="3300">IF(BQ2714=0,0,BQ2714*Z2714)</f>
        <v>0</v>
      </c>
      <c r="BS2714" s="53">
        <f ca="1">IFERROR((_xlfn.XLOOKUP(F2714,Apuração!A:A,Apuração!C:C)+1)/_xlfn.XLOOKUP(F2714,Apuração!A:A,Apuração!B:B),0)</f>
        <v>0.14285714285714285</v>
      </c>
    </row>
    <row r="2715" spans="1:71" ht="25.95" hidden="1" customHeight="1" x14ac:dyDescent="0.3">
      <c r="A2715" s="72" t="s">
        <v>44</v>
      </c>
      <c r="B2715" s="73" t="s">
        <v>44</v>
      </c>
      <c r="C2715" s="74" t="s">
        <v>214</v>
      </c>
      <c r="D2715" s="5" t="s">
        <v>210</v>
      </c>
      <c r="E2715" s="4" t="str" cm="1">
        <f t="array" ref="E2715">_xlfn.IFS(
F2715 = "A partir de Abril", "Aguardando Execução na Distribuidora",
A2715 = "CAPACITAÇÃO", "Em execução no Corporativo",
TRUE, "Em Execução na Distribuidora"
)</f>
        <v>Em Execução na Distribuidora</v>
      </c>
      <c r="F2715" s="4" t="str" cm="1">
        <f t="array" ref="F2715">_xlfn.IFS(
AG2715 &lt;&gt; "", "Jan-Dez/26",
AH2715 &lt;&gt; "", "Fev-Dez/26",
AI2715 &lt;&gt; "", "Mar-Dez/26", AJ2715 &lt;&gt; "", "Abr-Dez/26",
TRUE, "A partir de Junho"
)</f>
        <v>A partir de Junho</v>
      </c>
      <c r="G2715" s="75" t="s">
        <v>44</v>
      </c>
      <c r="H2715" s="76" t="s">
        <v>44</v>
      </c>
      <c r="I2715" s="77"/>
      <c r="J2715" s="77"/>
      <c r="K2715" s="77"/>
      <c r="L2715" s="77" t="s">
        <v>227</v>
      </c>
      <c r="M2715" s="78"/>
      <c r="N2715" s="74" t="s">
        <v>42</v>
      </c>
      <c r="O2715" s="74" t="s">
        <v>52</v>
      </c>
      <c r="P2715" s="75" t="s">
        <v>44</v>
      </c>
      <c r="Q2715" s="75" t="s">
        <v>44</v>
      </c>
      <c r="R2715" s="79" t="s">
        <v>44</v>
      </c>
      <c r="S2715" s="79" t="s">
        <v>44</v>
      </c>
      <c r="T2715" s="22"/>
      <c r="U2715" s="22"/>
      <c r="V2715" s="22"/>
      <c r="W2715" s="22"/>
      <c r="X2715" s="22"/>
      <c r="Y2715" s="22"/>
      <c r="Z2715" s="22"/>
      <c r="AA2715" s="22"/>
      <c r="AB2715" s="22"/>
      <c r="AC2715" s="22"/>
      <c r="AD2715" s="22"/>
      <c r="AE2715" s="22"/>
      <c r="AG2715" s="71"/>
      <c r="AH2715" s="71"/>
      <c r="AI2715" s="71"/>
      <c r="AJ2715" s="71"/>
      <c r="AK2715" s="71"/>
      <c r="AL2715" s="71"/>
      <c r="AM2715" s="71"/>
      <c r="AN2715" s="71"/>
      <c r="AO2715" s="71"/>
      <c r="AP2715" s="71"/>
      <c r="AQ2715" s="71"/>
      <c r="AR2715" s="71"/>
      <c r="AS2715" s="94"/>
      <c r="AT2715" s="95"/>
      <c r="AU2715" s="97"/>
      <c r="AW2715" s="88">
        <f t="shared" ref="AW2715:AW2719" si="3301">AG2715/100</f>
        <v>0</v>
      </c>
      <c r="AX2715" s="88"/>
      <c r="AY2715" s="88"/>
      <c r="AZ2715" s="88"/>
      <c r="BA2715" s="88"/>
      <c r="BB2715" s="88"/>
      <c r="BC2715" s="88"/>
      <c r="BD2715" s="88"/>
      <c r="BE2715" s="88"/>
      <c r="BF2715" s="88"/>
      <c r="BG2715" s="88"/>
      <c r="BH2715" s="88"/>
      <c r="BI2715" s="68" cm="1">
        <f t="array" ref="BI2715">IFERROR(INDEX(AW2715:BH2715,1,MATCH(2,1/(AW2715:BH2715&lt;&gt;""))),"")</f>
        <v>0</v>
      </c>
      <c r="BJ2715" s="68" t="str" cm="1">
        <f t="array" ref="BJ2715">IF(BM2715 = "", "",IFERROR(INDEX(AW2715:BH2715,1,MATCH(2,1/(AW2715:BH2715&lt;&gt;""),1)-1),""))</f>
        <v/>
      </c>
      <c r="BK2715" s="57" cm="1">
        <f t="array" ref="BK2715">IFERROR(INDEX(AW2715:BH2715,1,MATCH(2,1/(AW2715:BH2715&lt;&gt;""),1)),"")</f>
        <v>0</v>
      </c>
      <c r="BL2715" s="57" t="str" cm="1">
        <f t="array" ref="BL2715">IF(BM2715 = "", "",IFERROR(INDEX(AW2715:BH2715,1,MATCH(2,1/(AW2715:BH2715&lt;&gt;""),1)-1),""))</f>
        <v/>
      </c>
      <c r="BM2715" s="55" t="str" cm="1">
        <f t="array" ref="BM2715">IFERROR(
   INDEX($AW$1:$BH$1,
      _xlfn.AGGREGATE(14, 6, COLUMN($AW$1:$BH$1)/(AW2715:BH2715&lt;&gt;""), 2) - COLUMN($AW$1) + 1
   ),
"")</f>
        <v/>
      </c>
      <c r="BN2715" s="55" cm="1">
        <f t="array" ref="BN2715">IFERROR(INDEX($AW$1:$BH$1,1,MATCH(2,1/(AW2715:BH2715&lt;&gt;""))),"")</f>
        <v>46023</v>
      </c>
      <c r="BO2715" s="53">
        <f ca="1">IFERROR(_xlfn.XLOOKUP(F2715,Apuração!A:A,Apuração!C:C)/_xlfn.XLOOKUP(F2715,Apuração!A:A,Apuração!B:B),0)</f>
        <v>0</v>
      </c>
      <c r="BP2715" s="53">
        <f ca="1">IFERROR(_xlfn.XLOOKUP(F2715,Apuração!A:A,Apuração!D:D)/_xlfn.XLOOKUP(F2715,Apuração!A:A,Apuração!B:B),0)</f>
        <v>0</v>
      </c>
      <c r="BQ2715" s="53">
        <f ca="1">IF(BK2715&gt;=BO2715,0,_xlfn.XLOOKUP(F2715,Apuração!A:A,Apuração!B:B)*(BO2715 + (1/_xlfn.XLOOKUP(F2715,Apuração!A:A,Apuração!B:B)) - BK2715))</f>
        <v>0</v>
      </c>
      <c r="BR2715" s="85">
        <f t="shared" ref="BR2715:BR2723" ca="1" si="3302">IF(BQ2715=0,0,BQ2715*Z2715)</f>
        <v>0</v>
      </c>
      <c r="BS2715" s="53">
        <f ca="1">IFERROR((_xlfn.XLOOKUP(F2715,Apuração!A:A,Apuração!C:C)+1)/_xlfn.XLOOKUP(F2715,Apuração!A:A,Apuração!B:B),0)</f>
        <v>0.14285714285714285</v>
      </c>
    </row>
    <row r="2716" spans="1:71" ht="25.95" hidden="1" customHeight="1" x14ac:dyDescent="0.3">
      <c r="A2716" s="72" t="s">
        <v>44</v>
      </c>
      <c r="B2716" s="73" t="s">
        <v>44</v>
      </c>
      <c r="C2716" s="74" t="s">
        <v>214</v>
      </c>
      <c r="D2716" s="5" t="s">
        <v>215</v>
      </c>
      <c r="E2716" s="4" t="str" cm="1">
        <f t="array" ref="E2716">_xlfn.IFS(
F2716 = "A partir de Abril", "Aguardando Execução na Distribuidora",
A2716 = "CAPACITAÇÃO", "Em execução no Corporativo",
TRUE, "Em Execução na Distribuidora"
)</f>
        <v>Em Execução na Distribuidora</v>
      </c>
      <c r="F2716" s="4" t="str" cm="1">
        <f t="array" ref="F2716">_xlfn.IFS(
AG2716 &lt;&gt; "", "Jan-Dez/26",
AH2716 &lt;&gt; "", "Fev-Dez/26",
AI2716 &lt;&gt; "", "Mar-Dez/26", AJ2716 &lt;&gt; "", "Abr-Dez/26",
TRUE, "A partir de Junho"
)</f>
        <v>A partir de Junho</v>
      </c>
      <c r="G2716" s="75" t="s">
        <v>44</v>
      </c>
      <c r="H2716" s="76" t="s">
        <v>44</v>
      </c>
      <c r="I2716" s="77"/>
      <c r="J2716" s="77"/>
      <c r="K2716" s="77"/>
      <c r="L2716" s="77" t="s">
        <v>227</v>
      </c>
      <c r="M2716" s="78"/>
      <c r="N2716" s="74" t="s">
        <v>42</v>
      </c>
      <c r="O2716" s="74" t="s">
        <v>52</v>
      </c>
      <c r="P2716" s="75" t="s">
        <v>44</v>
      </c>
      <c r="Q2716" s="75" t="s">
        <v>44</v>
      </c>
      <c r="R2716" s="79" t="s">
        <v>44</v>
      </c>
      <c r="S2716" s="79" t="s">
        <v>44</v>
      </c>
      <c r="T2716" s="22"/>
      <c r="U2716" s="22"/>
      <c r="V2716" s="22"/>
      <c r="W2716" s="22"/>
      <c r="X2716" s="22"/>
      <c r="Y2716" s="22"/>
      <c r="Z2716" s="22"/>
      <c r="AA2716" s="22"/>
      <c r="AB2716" s="22"/>
      <c r="AC2716" s="22"/>
      <c r="AD2716" s="22"/>
      <c r="AE2716" s="22"/>
      <c r="AG2716" s="71"/>
      <c r="AH2716" s="71"/>
      <c r="AI2716" s="71"/>
      <c r="AJ2716" s="71"/>
      <c r="AK2716" s="71"/>
      <c r="AL2716" s="71"/>
      <c r="AM2716" s="71"/>
      <c r="AN2716" s="71"/>
      <c r="AO2716" s="71"/>
      <c r="AP2716" s="71"/>
      <c r="AQ2716" s="71"/>
      <c r="AR2716" s="71"/>
      <c r="AS2716" s="94"/>
      <c r="AT2716" s="95"/>
      <c r="AU2716" s="97"/>
      <c r="AW2716" s="88">
        <f t="shared" si="3301"/>
        <v>0</v>
      </c>
      <c r="AX2716" s="88"/>
      <c r="AY2716" s="88"/>
      <c r="AZ2716" s="88"/>
      <c r="BA2716" s="88"/>
      <c r="BB2716" s="88"/>
      <c r="BC2716" s="88"/>
      <c r="BD2716" s="88"/>
      <c r="BE2716" s="88"/>
      <c r="BF2716" s="88"/>
      <c r="BG2716" s="88"/>
      <c r="BH2716" s="88"/>
      <c r="BI2716" s="68" cm="1">
        <f t="array" ref="BI2716">IFERROR(INDEX(AW2716:BH2716,1,MATCH(2,1/(AW2716:BH2716&lt;&gt;""))),"")</f>
        <v>0</v>
      </c>
      <c r="BJ2716" s="68" t="str" cm="1">
        <f t="array" ref="BJ2716">IF(BM2716 = "", "",IFERROR(INDEX(AW2716:BH2716,1,MATCH(2,1/(AW2716:BH2716&lt;&gt;""),1)-1),""))</f>
        <v/>
      </c>
      <c r="BK2716" s="57" cm="1">
        <f t="array" ref="BK2716">IFERROR(INDEX(AW2716:BH2716,1,MATCH(2,1/(AW2716:BH2716&lt;&gt;""),1)),"")</f>
        <v>0</v>
      </c>
      <c r="BL2716" s="57" t="str" cm="1">
        <f t="array" ref="BL2716">IF(BM2716 = "", "",IFERROR(INDEX(AW2716:BH2716,1,MATCH(2,1/(AW2716:BH2716&lt;&gt;""),1)-1),""))</f>
        <v/>
      </c>
      <c r="BM2716" s="55" t="str" cm="1">
        <f t="array" ref="BM2716">IFERROR(
   INDEX($AW$1:$BH$1,
      _xlfn.AGGREGATE(14, 6, COLUMN($AW$1:$BH$1)/(AW2716:BH2716&lt;&gt;""), 2) - COLUMN($AW$1) + 1
   ),
"")</f>
        <v/>
      </c>
      <c r="BN2716" s="55" cm="1">
        <f t="array" ref="BN2716">IFERROR(INDEX($AW$1:$BH$1,1,MATCH(2,1/(AW2716:BH2716&lt;&gt;""))),"")</f>
        <v>46023</v>
      </c>
      <c r="BO2716" s="53">
        <f ca="1">IFERROR(_xlfn.XLOOKUP(F2716,Apuração!A:A,Apuração!C:C)/_xlfn.XLOOKUP(F2716,Apuração!A:A,Apuração!B:B),0)</f>
        <v>0</v>
      </c>
      <c r="BP2716" s="53">
        <f ca="1">IFERROR(_xlfn.XLOOKUP(F2716,Apuração!A:A,Apuração!D:D)/_xlfn.XLOOKUP(F2716,Apuração!A:A,Apuração!B:B),0)</f>
        <v>0</v>
      </c>
      <c r="BQ2716" s="53">
        <f ca="1">IF(BK2716&gt;=BO2716,0,_xlfn.XLOOKUP(F2716,Apuração!A:A,Apuração!B:B)*(BO2716 + (1/_xlfn.XLOOKUP(F2716,Apuração!A:A,Apuração!B:B)) - BK2716))</f>
        <v>0</v>
      </c>
      <c r="BR2716" s="85">
        <f t="shared" ca="1" si="3302"/>
        <v>0</v>
      </c>
      <c r="BS2716" s="53">
        <f ca="1">IFERROR((_xlfn.XLOOKUP(F2716,Apuração!A:A,Apuração!C:C)+1)/_xlfn.XLOOKUP(F2716,Apuração!A:A,Apuração!B:B),0)</f>
        <v>0.14285714285714285</v>
      </c>
    </row>
    <row r="2717" spans="1:71" ht="25.95" hidden="1" customHeight="1" x14ac:dyDescent="0.3">
      <c r="A2717" s="72" t="s">
        <v>44</v>
      </c>
      <c r="B2717" s="73" t="s">
        <v>44</v>
      </c>
      <c r="C2717" s="74" t="s">
        <v>214</v>
      </c>
      <c r="D2717" s="5" t="s">
        <v>212</v>
      </c>
      <c r="E2717" s="4" t="str" cm="1">
        <f t="array" ref="E2717">_xlfn.IFS(
F2717 = "A partir de Abril", "Aguardando Execução na Distribuidora",
A2717 = "CAPACITAÇÃO", "Em execução no Corporativo",
TRUE, "Em Execução na Distribuidora"
)</f>
        <v>Em Execução na Distribuidora</v>
      </c>
      <c r="F2717" s="4" t="str" cm="1">
        <f t="array" ref="F2717">_xlfn.IFS(
AG2717 &lt;&gt; "", "Jan-Dez/26",
AH2717 &lt;&gt; "", "Fev-Dez/26",
AI2717 &lt;&gt; "", "Mar-Dez/26", AJ2717 &lt;&gt; "", "Abr-Dez/26",
TRUE, "A partir de Junho"
)</f>
        <v>A partir de Junho</v>
      </c>
      <c r="G2717" s="75" t="s">
        <v>44</v>
      </c>
      <c r="H2717" s="76" t="s">
        <v>44</v>
      </c>
      <c r="I2717" s="77"/>
      <c r="J2717" s="77"/>
      <c r="K2717" s="77"/>
      <c r="L2717" s="77" t="s">
        <v>227</v>
      </c>
      <c r="M2717" s="78"/>
      <c r="N2717" s="74" t="s">
        <v>42</v>
      </c>
      <c r="O2717" s="74" t="s">
        <v>52</v>
      </c>
      <c r="P2717" s="75" t="s">
        <v>44</v>
      </c>
      <c r="Q2717" s="75" t="s">
        <v>44</v>
      </c>
      <c r="R2717" s="79" t="s">
        <v>44</v>
      </c>
      <c r="S2717" s="79" t="s">
        <v>44</v>
      </c>
      <c r="T2717" s="22"/>
      <c r="U2717" s="22"/>
      <c r="V2717" s="22"/>
      <c r="W2717" s="22"/>
      <c r="X2717" s="22"/>
      <c r="Y2717" s="22"/>
      <c r="Z2717" s="22"/>
      <c r="AA2717" s="22"/>
      <c r="AB2717" s="22"/>
      <c r="AC2717" s="22"/>
      <c r="AD2717" s="22"/>
      <c r="AE2717" s="22"/>
      <c r="AG2717" s="71"/>
      <c r="AH2717" s="71"/>
      <c r="AI2717" s="71"/>
      <c r="AJ2717" s="71"/>
      <c r="AK2717" s="71"/>
      <c r="AL2717" s="71"/>
      <c r="AM2717" s="71"/>
      <c r="AN2717" s="71"/>
      <c r="AO2717" s="71"/>
      <c r="AP2717" s="71"/>
      <c r="AQ2717" s="71"/>
      <c r="AR2717" s="71"/>
      <c r="AS2717" s="94"/>
      <c r="AT2717" s="95"/>
      <c r="AU2717" s="97"/>
      <c r="AW2717" s="88">
        <f t="shared" si="3301"/>
        <v>0</v>
      </c>
      <c r="AX2717" s="88"/>
      <c r="AY2717" s="88"/>
      <c r="AZ2717" s="88"/>
      <c r="BA2717" s="88"/>
      <c r="BB2717" s="88"/>
      <c r="BC2717" s="88"/>
      <c r="BD2717" s="88"/>
      <c r="BE2717" s="88"/>
      <c r="BF2717" s="88"/>
      <c r="BG2717" s="88"/>
      <c r="BH2717" s="88"/>
      <c r="BI2717" s="68" cm="1">
        <f t="array" ref="BI2717">IFERROR(INDEX(AW2717:BH2717,1,MATCH(2,1/(AW2717:BH2717&lt;&gt;""))),"")</f>
        <v>0</v>
      </c>
      <c r="BJ2717" s="68" t="str" cm="1">
        <f t="array" ref="BJ2717">IF(BM2717 = "", "",IFERROR(INDEX(AW2717:BH2717,1,MATCH(2,1/(AW2717:BH2717&lt;&gt;""),1)-1),""))</f>
        <v/>
      </c>
      <c r="BK2717" s="57" cm="1">
        <f t="array" ref="BK2717">IFERROR(INDEX(AW2717:BH2717,1,MATCH(2,1/(AW2717:BH2717&lt;&gt;""),1)),"")</f>
        <v>0</v>
      </c>
      <c r="BL2717" s="57" t="str" cm="1">
        <f t="array" ref="BL2717">IF(BM2717 = "", "",IFERROR(INDEX(AW2717:BH2717,1,MATCH(2,1/(AW2717:BH2717&lt;&gt;""),1)-1),""))</f>
        <v/>
      </c>
      <c r="BM2717" s="55" t="str" cm="1">
        <f t="array" ref="BM2717">IFERROR(
   INDEX($AW$1:$BH$1,
      _xlfn.AGGREGATE(14, 6, COLUMN($AW$1:$BH$1)/(AW2717:BH2717&lt;&gt;""), 2) - COLUMN($AW$1) + 1
   ),
"")</f>
        <v/>
      </c>
      <c r="BN2717" s="55" cm="1">
        <f t="array" ref="BN2717">IFERROR(INDEX($AW$1:$BH$1,1,MATCH(2,1/(AW2717:BH2717&lt;&gt;""))),"")</f>
        <v>46023</v>
      </c>
      <c r="BO2717" s="53">
        <f ca="1">IFERROR(_xlfn.XLOOKUP(F2717,Apuração!A:A,Apuração!C:C)/_xlfn.XLOOKUP(F2717,Apuração!A:A,Apuração!B:B),0)</f>
        <v>0</v>
      </c>
      <c r="BP2717" s="53">
        <f ca="1">IFERROR(_xlfn.XLOOKUP(F2717,Apuração!A:A,Apuração!D:D)/_xlfn.XLOOKUP(F2717,Apuração!A:A,Apuração!B:B),0)</f>
        <v>0</v>
      </c>
      <c r="BQ2717" s="53">
        <f ca="1">IF(BK2717&gt;=BO2717,0,_xlfn.XLOOKUP(F2717,Apuração!A:A,Apuração!B:B)*(BO2717 + (1/_xlfn.XLOOKUP(F2717,Apuração!A:A,Apuração!B:B)) - BK2717))</f>
        <v>0</v>
      </c>
      <c r="BR2717" s="85">
        <f t="shared" ca="1" si="3302"/>
        <v>0</v>
      </c>
      <c r="BS2717" s="53">
        <f ca="1">IFERROR((_xlfn.XLOOKUP(F2717,Apuração!A:A,Apuração!C:C)+1)/_xlfn.XLOOKUP(F2717,Apuração!A:A,Apuração!B:B),0)</f>
        <v>0.14285714285714285</v>
      </c>
    </row>
    <row r="2718" spans="1:71" ht="25.95" hidden="1" customHeight="1" x14ac:dyDescent="0.3">
      <c r="A2718" s="72" t="s">
        <v>44</v>
      </c>
      <c r="B2718" s="73" t="s">
        <v>44</v>
      </c>
      <c r="C2718" s="74" t="s">
        <v>214</v>
      </c>
      <c r="D2718" s="5" t="s">
        <v>48</v>
      </c>
      <c r="E2718" s="4" t="str" cm="1">
        <f t="array" ref="E2718">_xlfn.IFS(
F2718 = "A partir de Abril", "Aguardando Execução na Distribuidora",
A2718 = "CAPACITAÇÃO", "Em execução no Corporativo",
TRUE, "Em Execução na Distribuidora"
)</f>
        <v>Em Execução na Distribuidora</v>
      </c>
      <c r="F2718" s="4" t="str" cm="1">
        <f t="array" ref="F2718">_xlfn.IFS(
AG2718 &lt;&gt; "", "Jan-Dez/26",
AH2718 &lt;&gt; "", "Fev-Dez/26",
AI2718 &lt;&gt; "", "Mar-Dez/26", AJ2718 &lt;&gt; "", "Abr-Dez/26",
TRUE, "A partir de Junho"
)</f>
        <v>A partir de Junho</v>
      </c>
      <c r="G2718" s="75" t="s">
        <v>44</v>
      </c>
      <c r="H2718" s="76" t="s">
        <v>44</v>
      </c>
      <c r="I2718" s="77"/>
      <c r="J2718" s="77"/>
      <c r="K2718" s="77"/>
      <c r="L2718" s="77" t="s">
        <v>227</v>
      </c>
      <c r="M2718" s="78"/>
      <c r="N2718" s="74" t="s">
        <v>42</v>
      </c>
      <c r="O2718" s="74" t="s">
        <v>52</v>
      </c>
      <c r="P2718" s="75" t="s">
        <v>44</v>
      </c>
      <c r="Q2718" s="75" t="s">
        <v>44</v>
      </c>
      <c r="R2718" s="79" t="s">
        <v>44</v>
      </c>
      <c r="S2718" s="79" t="s">
        <v>44</v>
      </c>
      <c r="T2718" s="22"/>
      <c r="U2718" s="22"/>
      <c r="V2718" s="22"/>
      <c r="W2718" s="22"/>
      <c r="X2718" s="22"/>
      <c r="Y2718" s="22"/>
      <c r="Z2718" s="22"/>
      <c r="AA2718" s="22"/>
      <c r="AB2718" s="22"/>
      <c r="AC2718" s="22"/>
      <c r="AD2718" s="22"/>
      <c r="AE2718" s="22"/>
      <c r="AG2718" s="71"/>
      <c r="AH2718" s="71"/>
      <c r="AI2718" s="71"/>
      <c r="AJ2718" s="71"/>
      <c r="AK2718" s="71"/>
      <c r="AL2718" s="71"/>
      <c r="AM2718" s="71"/>
      <c r="AN2718" s="71"/>
      <c r="AO2718" s="71"/>
      <c r="AP2718" s="71"/>
      <c r="AQ2718" s="71"/>
      <c r="AR2718" s="71"/>
      <c r="AS2718" s="94"/>
      <c r="AT2718" s="95"/>
      <c r="AU2718" s="97"/>
      <c r="AW2718" s="88">
        <f t="shared" si="3301"/>
        <v>0</v>
      </c>
      <c r="AX2718" s="88"/>
      <c r="AY2718" s="88"/>
      <c r="AZ2718" s="88"/>
      <c r="BA2718" s="88"/>
      <c r="BB2718" s="88"/>
      <c r="BC2718" s="88"/>
      <c r="BD2718" s="88"/>
      <c r="BE2718" s="88"/>
      <c r="BF2718" s="88"/>
      <c r="BG2718" s="88"/>
      <c r="BH2718" s="88"/>
      <c r="BI2718" s="68" cm="1">
        <f t="array" ref="BI2718">IFERROR(INDEX(AW2718:BH2718,1,MATCH(2,1/(AW2718:BH2718&lt;&gt;""))),"")</f>
        <v>0</v>
      </c>
      <c r="BJ2718" s="68" t="str" cm="1">
        <f t="array" ref="BJ2718">IF(BM2718 = "", "",IFERROR(INDEX(AW2718:BH2718,1,MATCH(2,1/(AW2718:BH2718&lt;&gt;""),1)-1),""))</f>
        <v/>
      </c>
      <c r="BK2718" s="57" cm="1">
        <f t="array" ref="BK2718">IFERROR(INDEX(AW2718:BH2718,1,MATCH(2,1/(AW2718:BH2718&lt;&gt;""),1)),"")</f>
        <v>0</v>
      </c>
      <c r="BL2718" s="57" t="str" cm="1">
        <f t="array" ref="BL2718">IF(BM2718 = "", "",IFERROR(INDEX(AW2718:BH2718,1,MATCH(2,1/(AW2718:BH2718&lt;&gt;""),1)-1),""))</f>
        <v/>
      </c>
      <c r="BM2718" s="55" t="str" cm="1">
        <f t="array" ref="BM2718">IFERROR(
   INDEX($AW$1:$BH$1,
      _xlfn.AGGREGATE(14, 6, COLUMN($AW$1:$BH$1)/(AW2718:BH2718&lt;&gt;""), 2) - COLUMN($AW$1) + 1
   ),
"")</f>
        <v/>
      </c>
      <c r="BN2718" s="55" cm="1">
        <f t="array" ref="BN2718">IFERROR(INDEX($AW$1:$BH$1,1,MATCH(2,1/(AW2718:BH2718&lt;&gt;""))),"")</f>
        <v>46023</v>
      </c>
      <c r="BO2718" s="53">
        <f ca="1">IFERROR(_xlfn.XLOOKUP(F2718,Apuração!A:A,Apuração!C:C)/_xlfn.XLOOKUP(F2718,Apuração!A:A,Apuração!B:B),0)</f>
        <v>0</v>
      </c>
      <c r="BP2718" s="53">
        <f ca="1">IFERROR(_xlfn.XLOOKUP(F2718,Apuração!A:A,Apuração!D:D)/_xlfn.XLOOKUP(F2718,Apuração!A:A,Apuração!B:B),0)</f>
        <v>0</v>
      </c>
      <c r="BQ2718" s="53">
        <f ca="1">IF(BK2718&gt;=BO2718,0,_xlfn.XLOOKUP(F2718,Apuração!A:A,Apuração!B:B)*(BO2718 + (1/_xlfn.XLOOKUP(F2718,Apuração!A:A,Apuração!B:B)) - BK2718))</f>
        <v>0</v>
      </c>
      <c r="BR2718" s="85">
        <f t="shared" ca="1" si="3302"/>
        <v>0</v>
      </c>
      <c r="BS2718" s="53">
        <f ca="1">IFERROR((_xlfn.XLOOKUP(F2718,Apuração!A:A,Apuração!C:C)+1)/_xlfn.XLOOKUP(F2718,Apuração!A:A,Apuração!B:B),0)</f>
        <v>0.14285714285714285</v>
      </c>
    </row>
    <row r="2719" spans="1:71" ht="25.95" hidden="1" customHeight="1" x14ac:dyDescent="0.3">
      <c r="A2719" s="72" t="s">
        <v>44</v>
      </c>
      <c r="B2719" s="73" t="s">
        <v>44</v>
      </c>
      <c r="C2719" s="74" t="s">
        <v>214</v>
      </c>
      <c r="D2719" s="5" t="s">
        <v>213</v>
      </c>
      <c r="E2719" s="4" t="str" cm="1">
        <f t="array" ref="E2719">_xlfn.IFS(
F2719 = "A partir de Abril", "Aguardando Execução na Distribuidora",
A2719 = "CAPACITAÇÃO", "Em execução no Corporativo",
TRUE, "Em Execução na Distribuidora"
)</f>
        <v>Em Execução na Distribuidora</v>
      </c>
      <c r="F2719" s="4" t="str" cm="1">
        <f t="array" ref="F2719">_xlfn.IFS(
AG2719 &lt;&gt; "", "Jan-Dez/26",
AH2719 &lt;&gt; "", "Fev-Dez/26",
AI2719 &lt;&gt; "", "Mar-Dez/26", AJ2719 &lt;&gt; "", "Abr-Dez/26",
TRUE, "A partir de Junho"
)</f>
        <v>A partir de Junho</v>
      </c>
      <c r="G2719" s="75" t="s">
        <v>44</v>
      </c>
      <c r="H2719" s="76" t="s">
        <v>44</v>
      </c>
      <c r="I2719" s="77"/>
      <c r="J2719" s="77"/>
      <c r="K2719" s="77"/>
      <c r="L2719" s="77" t="s">
        <v>227</v>
      </c>
      <c r="M2719" s="78"/>
      <c r="N2719" s="74" t="s">
        <v>42</v>
      </c>
      <c r="O2719" s="74" t="s">
        <v>52</v>
      </c>
      <c r="P2719" s="75" t="s">
        <v>44</v>
      </c>
      <c r="Q2719" s="75" t="s">
        <v>44</v>
      </c>
      <c r="R2719" s="79" t="s">
        <v>44</v>
      </c>
      <c r="S2719" s="79" t="s">
        <v>44</v>
      </c>
      <c r="T2719" s="22"/>
      <c r="U2719" s="22"/>
      <c r="V2719" s="22"/>
      <c r="W2719" s="22"/>
      <c r="X2719" s="22"/>
      <c r="Y2719" s="22"/>
      <c r="Z2719" s="22"/>
      <c r="AA2719" s="22"/>
      <c r="AB2719" s="22"/>
      <c r="AC2719" s="22"/>
      <c r="AD2719" s="22"/>
      <c r="AE2719" s="22"/>
      <c r="AG2719" s="71"/>
      <c r="AH2719" s="71"/>
      <c r="AI2719" s="71"/>
      <c r="AJ2719" s="71"/>
      <c r="AK2719" s="71"/>
      <c r="AL2719" s="71"/>
      <c r="AM2719" s="71"/>
      <c r="AN2719" s="71"/>
      <c r="AO2719" s="71"/>
      <c r="AP2719" s="71"/>
      <c r="AQ2719" s="71"/>
      <c r="AR2719" s="71"/>
      <c r="AS2719" s="94"/>
      <c r="AT2719" s="95"/>
      <c r="AU2719" s="97"/>
      <c r="AW2719" s="88">
        <f t="shared" si="3301"/>
        <v>0</v>
      </c>
      <c r="AX2719" s="88"/>
      <c r="AY2719" s="88"/>
      <c r="AZ2719" s="88"/>
      <c r="BA2719" s="88"/>
      <c r="BB2719" s="88"/>
      <c r="BC2719" s="88"/>
      <c r="BD2719" s="88"/>
      <c r="BE2719" s="88"/>
      <c r="BF2719" s="88"/>
      <c r="BG2719" s="88"/>
      <c r="BH2719" s="88"/>
      <c r="BI2719" s="68" cm="1">
        <f t="array" ref="BI2719">IFERROR(INDEX(AW2719:BH2719,1,MATCH(2,1/(AW2719:BH2719&lt;&gt;""))),"")</f>
        <v>0</v>
      </c>
      <c r="BJ2719" s="68" t="str" cm="1">
        <f t="array" ref="BJ2719">IF(BM2719 = "", "",IFERROR(INDEX(AW2719:BH2719,1,MATCH(2,1/(AW2719:BH2719&lt;&gt;""),1)-1),""))</f>
        <v/>
      </c>
      <c r="BK2719" s="57" cm="1">
        <f t="array" ref="BK2719">IFERROR(INDEX(AW2719:BH2719,1,MATCH(2,1/(AW2719:BH2719&lt;&gt;""),1)),"")</f>
        <v>0</v>
      </c>
      <c r="BL2719" s="57" t="str" cm="1">
        <f t="array" ref="BL2719">IF(BM2719 = "", "",IFERROR(INDEX(AW2719:BH2719,1,MATCH(2,1/(AW2719:BH2719&lt;&gt;""),1)-1),""))</f>
        <v/>
      </c>
      <c r="BM2719" s="55" t="str" cm="1">
        <f t="array" ref="BM2719">IFERROR(
   INDEX($AW$1:$BH$1,
      _xlfn.AGGREGATE(14, 6, COLUMN($AW$1:$BH$1)/(AW2719:BH2719&lt;&gt;""), 2) - COLUMN($AW$1) + 1
   ),
"")</f>
        <v/>
      </c>
      <c r="BN2719" s="55" cm="1">
        <f t="array" ref="BN2719">IFERROR(INDEX($AW$1:$BH$1,1,MATCH(2,1/(AW2719:BH2719&lt;&gt;""))),"")</f>
        <v>46023</v>
      </c>
      <c r="BO2719" s="53">
        <f ca="1">IFERROR(_xlfn.XLOOKUP(F2719,Apuração!A:A,Apuração!C:C)/_xlfn.XLOOKUP(F2719,Apuração!A:A,Apuração!B:B),0)</f>
        <v>0</v>
      </c>
      <c r="BP2719" s="53">
        <f ca="1">IFERROR(_xlfn.XLOOKUP(F2719,Apuração!A:A,Apuração!D:D)/_xlfn.XLOOKUP(F2719,Apuração!A:A,Apuração!B:B),0)</f>
        <v>0</v>
      </c>
      <c r="BQ2719" s="53">
        <f ca="1">IF(BK2719&gt;=BO2719,0,_xlfn.XLOOKUP(F2719,Apuração!A:A,Apuração!B:B)*(BO2719 + (1/_xlfn.XLOOKUP(F2719,Apuração!A:A,Apuração!B:B)) - BK2719))</f>
        <v>0</v>
      </c>
      <c r="BR2719" s="85">
        <f t="shared" ca="1" si="3302"/>
        <v>0</v>
      </c>
      <c r="BS2719" s="53">
        <f ca="1">IFERROR((_xlfn.XLOOKUP(F2719,Apuração!A:A,Apuração!C:C)+1)/_xlfn.XLOOKUP(F2719,Apuração!A:A,Apuração!B:B),0)</f>
        <v>0.14285714285714285</v>
      </c>
    </row>
    <row r="2720" spans="1:71" ht="25.95" hidden="1" customHeight="1" x14ac:dyDescent="0.3">
      <c r="A2720" s="72" t="s">
        <v>44</v>
      </c>
      <c r="B2720" s="73" t="s">
        <v>44</v>
      </c>
      <c r="C2720" s="74" t="s">
        <v>216</v>
      </c>
      <c r="D2720" s="5" t="s">
        <v>217</v>
      </c>
      <c r="E2720" s="4" t="str" cm="1">
        <f t="array" ref="E2720">_xlfn.IFS(
F2720 = "A partir de Abril", "Aguardando Execução na Distribuidora",
A2720 = "CAPACITAÇÃO", "Em execução no Corporativo",
TRUE, "Em Execução na Distribuidora"
)</f>
        <v>Em Execução na Distribuidora</v>
      </c>
      <c r="F2720" s="4" t="str" cm="1">
        <f t="array" ref="F2720">_xlfn.IFS(
AG2720 &lt;&gt; "", "Jan-Dez/26",
AH2720 &lt;&gt; "", "Fev-Dez/26",
AI2720 &lt;&gt; "", "Mar-Dez/26", AJ2720 &lt;&gt; "", "Abr-Dez/26",
TRUE, "A partir de Junho"
)</f>
        <v>A partir de Junho</v>
      </c>
      <c r="G2720" s="75" t="s">
        <v>44</v>
      </c>
      <c r="H2720" s="76" t="s">
        <v>44</v>
      </c>
      <c r="I2720" s="77"/>
      <c r="J2720" s="77"/>
      <c r="K2720" s="77"/>
      <c r="L2720" s="77" t="s">
        <v>241</v>
      </c>
      <c r="M2720" s="78"/>
      <c r="N2720" s="74" t="s">
        <v>42</v>
      </c>
      <c r="O2720" s="74" t="s">
        <v>52</v>
      </c>
      <c r="P2720" s="75" t="s">
        <v>44</v>
      </c>
      <c r="Q2720" s="75" t="s">
        <v>44</v>
      </c>
      <c r="R2720" s="79" t="s">
        <v>44</v>
      </c>
      <c r="S2720" s="79" t="s">
        <v>44</v>
      </c>
      <c r="T2720" s="22"/>
      <c r="U2720" s="22"/>
      <c r="V2720" s="22"/>
      <c r="W2720" s="22"/>
      <c r="X2720" s="22"/>
      <c r="Y2720" s="22"/>
      <c r="Z2720" s="22"/>
      <c r="AA2720" s="22"/>
      <c r="AB2720" s="22"/>
      <c r="AC2720" s="22"/>
      <c r="AD2720" s="22"/>
      <c r="AE2720" s="22"/>
      <c r="AG2720" s="71"/>
      <c r="AH2720" s="71"/>
      <c r="AI2720" s="71"/>
      <c r="AJ2720" s="71"/>
      <c r="AK2720" s="71"/>
      <c r="AL2720" s="71"/>
      <c r="AM2720" s="71"/>
      <c r="AN2720" s="71"/>
      <c r="AO2720" s="71"/>
      <c r="AP2720" s="71"/>
      <c r="AQ2720" s="71"/>
      <c r="AR2720" s="71"/>
      <c r="AS2720" s="94"/>
      <c r="AT2720" s="95"/>
      <c r="AU2720" s="97"/>
      <c r="AW2720" s="84">
        <f t="shared" ref="AW2720:AW2723" si="3303">AG2720</f>
        <v>0</v>
      </c>
      <c r="AX2720" s="84"/>
      <c r="AY2720" s="84"/>
      <c r="AZ2720" s="84"/>
      <c r="BA2720" s="84"/>
      <c r="BB2720" s="84"/>
      <c r="BC2720" s="84"/>
      <c r="BD2720" s="84"/>
      <c r="BE2720" s="84"/>
      <c r="BF2720" s="84"/>
      <c r="BG2720" s="84"/>
      <c r="BH2720" s="84"/>
      <c r="BI2720" s="68" cm="1">
        <f t="array" ref="BI2720">IFERROR(INDEX(AW2720:BH2720,1,MATCH(2,1/(AW2720:BH2720&lt;&gt;""))),"")</f>
        <v>0</v>
      </c>
      <c r="BJ2720" s="68" t="str" cm="1">
        <f t="array" ref="BJ2720">IF(BM2720 = "", "",IFERROR(INDEX(AW2720:BH2720,1,MATCH(2,1/(AW2720:BH2720&lt;&gt;""),1)-1),""))</f>
        <v/>
      </c>
      <c r="BK2720" s="57" cm="1">
        <f t="array" ref="BK2720">IFERROR(INDEX(AW2720:BH2720,1,MATCH(2,1/(AW2720:BH2720&lt;&gt;""),1)),"")</f>
        <v>0</v>
      </c>
      <c r="BL2720" s="57" t="str" cm="1">
        <f t="array" ref="BL2720">IF(BM2720 = "", "",IFERROR(INDEX(AW2720:BH2720,1,MATCH(2,1/(AW2720:BH2720&lt;&gt;""),1)-1),""))</f>
        <v/>
      </c>
      <c r="BM2720" s="55" t="str" cm="1">
        <f t="array" ref="BM2720">IFERROR(
   INDEX($AW$1:$BH$1,
      _xlfn.AGGREGATE(14, 6, COLUMN($AW$1:$BH$1)/(AW2720:BH2720&lt;&gt;""), 2) - COLUMN($AW$1) + 1
   ),
"")</f>
        <v/>
      </c>
      <c r="BN2720" s="55" cm="1">
        <f t="array" ref="BN2720">IFERROR(INDEX($AW$1:$BH$1,1,MATCH(2,1/(AW2720:BH2720&lt;&gt;""))),"")</f>
        <v>46023</v>
      </c>
      <c r="BO2720" s="53">
        <f ca="1">IFERROR(_xlfn.XLOOKUP(F2720,Apuração!A:A,Apuração!C:C)/_xlfn.XLOOKUP(F2720,Apuração!A:A,Apuração!B:B),0)</f>
        <v>0</v>
      </c>
      <c r="BP2720" s="53">
        <f ca="1">IFERROR(_xlfn.XLOOKUP(F2720,Apuração!A:A,Apuração!D:D)/_xlfn.XLOOKUP(F2720,Apuração!A:A,Apuração!B:B),0)</f>
        <v>0</v>
      </c>
      <c r="BQ2720" s="53">
        <f ca="1">IF(BK2720&gt;=BO2720,0,_xlfn.XLOOKUP(F2720,Apuração!A:A,Apuração!B:B)*(BO2720 + (1/_xlfn.XLOOKUP(F2720,Apuração!A:A,Apuração!B:B)) - BK2720))</f>
        <v>0</v>
      </c>
      <c r="BR2720" s="85">
        <f t="shared" ca="1" si="3302"/>
        <v>0</v>
      </c>
      <c r="BS2720" s="53">
        <f ca="1">IFERROR((_xlfn.XLOOKUP(F2720,Apuração!A:A,Apuração!C:C)+1)/_xlfn.XLOOKUP(F2720,Apuração!A:A,Apuração!B:B),0)</f>
        <v>0.14285714285714285</v>
      </c>
    </row>
    <row r="2721" spans="1:71" ht="25.95" hidden="1" customHeight="1" x14ac:dyDescent="0.3">
      <c r="A2721" s="72" t="s">
        <v>44</v>
      </c>
      <c r="B2721" s="73" t="s">
        <v>44</v>
      </c>
      <c r="C2721" s="74" t="s">
        <v>216</v>
      </c>
      <c r="D2721" s="5" t="s">
        <v>103</v>
      </c>
      <c r="E2721" s="4" t="str" cm="1">
        <f t="array" ref="E2721">_xlfn.IFS(
F2721 = "A partir de Abril", "Aguardando Execução na Distribuidora",
A2721 = "CAPACITAÇÃO", "Em execução no Corporativo",
TRUE, "Em Execução na Distribuidora"
)</f>
        <v>Em Execução na Distribuidora</v>
      </c>
      <c r="F2721" s="4" t="str" cm="1">
        <f t="array" ref="F2721">_xlfn.IFS(
AG2721 &lt;&gt; "", "Jan-Dez/26",
AH2721 &lt;&gt; "", "Fev-Dez/26",
AI2721 &lt;&gt; "", "Mar-Dez/26", AJ2721 &lt;&gt; "", "Abr-Dez/26",
TRUE, "A partir de Junho"
)</f>
        <v>A partir de Junho</v>
      </c>
      <c r="G2721" s="75" t="s">
        <v>44</v>
      </c>
      <c r="H2721" s="76" t="s">
        <v>44</v>
      </c>
      <c r="I2721" s="77"/>
      <c r="J2721" s="77"/>
      <c r="K2721" s="77"/>
      <c r="L2721" s="77" t="s">
        <v>241</v>
      </c>
      <c r="M2721" s="78"/>
      <c r="N2721" s="74" t="s">
        <v>42</v>
      </c>
      <c r="O2721" s="74" t="s">
        <v>52</v>
      </c>
      <c r="P2721" s="75" t="s">
        <v>44</v>
      </c>
      <c r="Q2721" s="75" t="s">
        <v>44</v>
      </c>
      <c r="R2721" s="79" t="s">
        <v>44</v>
      </c>
      <c r="S2721" s="79" t="s">
        <v>44</v>
      </c>
      <c r="T2721" s="22"/>
      <c r="U2721" s="22"/>
      <c r="V2721" s="22"/>
      <c r="W2721" s="22"/>
      <c r="X2721" s="22"/>
      <c r="Y2721" s="22"/>
      <c r="Z2721" s="22"/>
      <c r="AA2721" s="22"/>
      <c r="AB2721" s="22"/>
      <c r="AC2721" s="22"/>
      <c r="AD2721" s="22"/>
      <c r="AE2721" s="22"/>
      <c r="AG2721" s="71"/>
      <c r="AH2721" s="71"/>
      <c r="AI2721" s="71"/>
      <c r="AJ2721" s="71"/>
      <c r="AK2721" s="71"/>
      <c r="AL2721" s="71"/>
      <c r="AM2721" s="71"/>
      <c r="AN2721" s="71"/>
      <c r="AO2721" s="71"/>
      <c r="AP2721" s="71"/>
      <c r="AQ2721" s="71"/>
      <c r="AR2721" s="71"/>
      <c r="AS2721" s="94"/>
      <c r="AT2721" s="95"/>
      <c r="AU2721" s="97"/>
      <c r="AW2721" s="84">
        <f t="shared" si="3303"/>
        <v>0</v>
      </c>
      <c r="AX2721" s="84"/>
      <c r="AY2721" s="84"/>
      <c r="AZ2721" s="84"/>
      <c r="BA2721" s="84"/>
      <c r="BB2721" s="84"/>
      <c r="BC2721" s="84"/>
      <c r="BD2721" s="84"/>
      <c r="BE2721" s="84"/>
      <c r="BF2721" s="84"/>
      <c r="BG2721" s="84"/>
      <c r="BH2721" s="84"/>
      <c r="BI2721" s="68" cm="1">
        <f t="array" ref="BI2721">IFERROR(INDEX(AW2721:BH2721,1,MATCH(2,1/(AW2721:BH2721&lt;&gt;""))),"")</f>
        <v>0</v>
      </c>
      <c r="BJ2721" s="68" t="str" cm="1">
        <f t="array" ref="BJ2721">IF(BM2721 = "", "",IFERROR(INDEX(AW2721:BH2721,1,MATCH(2,1/(AW2721:BH2721&lt;&gt;""),1)-1),""))</f>
        <v/>
      </c>
      <c r="BK2721" s="57" cm="1">
        <f t="array" ref="BK2721">IFERROR(INDEX(AW2721:BH2721,1,MATCH(2,1/(AW2721:BH2721&lt;&gt;""),1)),"")</f>
        <v>0</v>
      </c>
      <c r="BL2721" s="57" t="str" cm="1">
        <f t="array" ref="BL2721">IF(BM2721 = "", "",IFERROR(INDEX(AW2721:BH2721,1,MATCH(2,1/(AW2721:BH2721&lt;&gt;""),1)-1),""))</f>
        <v/>
      </c>
      <c r="BM2721" s="55" t="str" cm="1">
        <f t="array" ref="BM2721">IFERROR(
   INDEX($AW$1:$BH$1,
      _xlfn.AGGREGATE(14, 6, COLUMN($AW$1:$BH$1)/(AW2721:BH2721&lt;&gt;""), 2) - COLUMN($AW$1) + 1
   ),
"")</f>
        <v/>
      </c>
      <c r="BN2721" s="55" cm="1">
        <f t="array" ref="BN2721">IFERROR(INDEX($AW$1:$BH$1,1,MATCH(2,1/(AW2721:BH2721&lt;&gt;""))),"")</f>
        <v>46023</v>
      </c>
      <c r="BO2721" s="53">
        <f ca="1">IFERROR(_xlfn.XLOOKUP(F2721,Apuração!A:A,Apuração!C:C)/_xlfn.XLOOKUP(F2721,Apuração!A:A,Apuração!B:B),0)</f>
        <v>0</v>
      </c>
      <c r="BP2721" s="53">
        <f ca="1">IFERROR(_xlfn.XLOOKUP(F2721,Apuração!A:A,Apuração!D:D)/_xlfn.XLOOKUP(F2721,Apuração!A:A,Apuração!B:B),0)</f>
        <v>0</v>
      </c>
      <c r="BQ2721" s="53">
        <f ca="1">IF(BK2721&gt;=BO2721,0,_xlfn.XLOOKUP(F2721,Apuração!A:A,Apuração!B:B)*(BO2721 + (1/_xlfn.XLOOKUP(F2721,Apuração!A:A,Apuração!B:B)) - BK2721))</f>
        <v>0</v>
      </c>
      <c r="BR2721" s="85">
        <f t="shared" ca="1" si="3302"/>
        <v>0</v>
      </c>
      <c r="BS2721" s="53">
        <f ca="1">IFERROR((_xlfn.XLOOKUP(F2721,Apuração!A:A,Apuração!C:C)+1)/_xlfn.XLOOKUP(F2721,Apuração!A:A,Apuração!B:B),0)</f>
        <v>0.14285714285714285</v>
      </c>
    </row>
    <row r="2722" spans="1:71" ht="25.95" hidden="1" customHeight="1" x14ac:dyDescent="0.3">
      <c r="A2722" s="72" t="s">
        <v>44</v>
      </c>
      <c r="B2722" s="73" t="s">
        <v>44</v>
      </c>
      <c r="C2722" s="74" t="s">
        <v>216</v>
      </c>
      <c r="D2722" s="5" t="s">
        <v>218</v>
      </c>
      <c r="E2722" s="4" t="str" cm="1">
        <f t="array" ref="E2722">_xlfn.IFS(
F2722 = "A partir de Abril", "Aguardando Execução na Distribuidora",
A2722 = "CAPACITAÇÃO", "Em execução no Corporativo",
TRUE, "Em Execução na Distribuidora"
)</f>
        <v>Em Execução na Distribuidora</v>
      </c>
      <c r="F2722" s="4" t="str" cm="1">
        <f t="array" ref="F2722">_xlfn.IFS(
AG2722 &lt;&gt; "", "Jan-Dez/26",
AH2722 &lt;&gt; "", "Fev-Dez/26",
AI2722 &lt;&gt; "", "Mar-Dez/26", AJ2722 &lt;&gt; "", "Abr-Dez/26",
TRUE, "A partir de Junho"
)</f>
        <v>A partir de Junho</v>
      </c>
      <c r="G2722" s="75" t="s">
        <v>44</v>
      </c>
      <c r="H2722" s="76" t="s">
        <v>44</v>
      </c>
      <c r="I2722" s="77"/>
      <c r="J2722" s="77"/>
      <c r="K2722" s="77"/>
      <c r="L2722" s="77" t="s">
        <v>241</v>
      </c>
      <c r="M2722" s="78"/>
      <c r="N2722" s="74" t="s">
        <v>42</v>
      </c>
      <c r="O2722" s="74" t="s">
        <v>52</v>
      </c>
      <c r="P2722" s="75" t="s">
        <v>44</v>
      </c>
      <c r="Q2722" s="75" t="s">
        <v>44</v>
      </c>
      <c r="R2722" s="79" t="s">
        <v>44</v>
      </c>
      <c r="S2722" s="79" t="s">
        <v>44</v>
      </c>
      <c r="T2722" s="22"/>
      <c r="U2722" s="22"/>
      <c r="V2722" s="22"/>
      <c r="W2722" s="22"/>
      <c r="X2722" s="22"/>
      <c r="Y2722" s="22"/>
      <c r="Z2722" s="22"/>
      <c r="AA2722" s="22"/>
      <c r="AB2722" s="22"/>
      <c r="AC2722" s="22"/>
      <c r="AD2722" s="22"/>
      <c r="AE2722" s="22"/>
      <c r="AG2722" s="71"/>
      <c r="AH2722" s="71"/>
      <c r="AI2722" s="71"/>
      <c r="AJ2722" s="71"/>
      <c r="AK2722" s="71"/>
      <c r="AL2722" s="71"/>
      <c r="AM2722" s="71"/>
      <c r="AN2722" s="71"/>
      <c r="AO2722" s="71"/>
      <c r="AP2722" s="71"/>
      <c r="AQ2722" s="71"/>
      <c r="AR2722" s="71"/>
      <c r="AS2722" s="94"/>
      <c r="AT2722" s="95"/>
      <c r="AU2722" s="97"/>
      <c r="AW2722" s="84">
        <f t="shared" si="3303"/>
        <v>0</v>
      </c>
      <c r="AX2722" s="84"/>
      <c r="AY2722" s="84"/>
      <c r="AZ2722" s="84"/>
      <c r="BA2722" s="84"/>
      <c r="BB2722" s="84"/>
      <c r="BC2722" s="84"/>
      <c r="BD2722" s="84"/>
      <c r="BE2722" s="84"/>
      <c r="BF2722" s="84"/>
      <c r="BG2722" s="84"/>
      <c r="BH2722" s="84"/>
      <c r="BI2722" s="68" cm="1">
        <f t="array" ref="BI2722">IFERROR(INDEX(AW2722:BH2722,1,MATCH(2,1/(AW2722:BH2722&lt;&gt;""))),"")</f>
        <v>0</v>
      </c>
      <c r="BJ2722" s="68" t="str" cm="1">
        <f t="array" ref="BJ2722">IF(BM2722 = "", "",IFERROR(INDEX(AW2722:BH2722,1,MATCH(2,1/(AW2722:BH2722&lt;&gt;""),1)-1),""))</f>
        <v/>
      </c>
      <c r="BK2722" s="57" cm="1">
        <f t="array" ref="BK2722">IFERROR(INDEX(AW2722:BH2722,1,MATCH(2,1/(AW2722:BH2722&lt;&gt;""),1)),"")</f>
        <v>0</v>
      </c>
      <c r="BL2722" s="57" t="str" cm="1">
        <f t="array" ref="BL2722">IF(BM2722 = "", "",IFERROR(INDEX(AW2722:BH2722,1,MATCH(2,1/(AW2722:BH2722&lt;&gt;""),1)-1),""))</f>
        <v/>
      </c>
      <c r="BM2722" s="55" t="str" cm="1">
        <f t="array" ref="BM2722">IFERROR(
   INDEX($AW$1:$BH$1,
      _xlfn.AGGREGATE(14, 6, COLUMN($AW$1:$BH$1)/(AW2722:BH2722&lt;&gt;""), 2) - COLUMN($AW$1) + 1
   ),
"")</f>
        <v/>
      </c>
      <c r="BN2722" s="55" cm="1">
        <f t="array" ref="BN2722">IFERROR(INDEX($AW$1:$BH$1,1,MATCH(2,1/(AW2722:BH2722&lt;&gt;""))),"")</f>
        <v>46023</v>
      </c>
      <c r="BO2722" s="53">
        <f ca="1">IFERROR(_xlfn.XLOOKUP(F2722,Apuração!A:A,Apuração!C:C)/_xlfn.XLOOKUP(F2722,Apuração!A:A,Apuração!B:B),0)</f>
        <v>0</v>
      </c>
      <c r="BP2722" s="53">
        <f ca="1">IFERROR(_xlfn.XLOOKUP(F2722,Apuração!A:A,Apuração!D:D)/_xlfn.XLOOKUP(F2722,Apuração!A:A,Apuração!B:B),0)</f>
        <v>0</v>
      </c>
      <c r="BQ2722" s="53">
        <f ca="1">IF(BK2722&gt;=BO2722,0,_xlfn.XLOOKUP(F2722,Apuração!A:A,Apuração!B:B)*(BO2722 + (1/_xlfn.XLOOKUP(F2722,Apuração!A:A,Apuração!B:B)) - BK2722))</f>
        <v>0</v>
      </c>
      <c r="BR2722" s="85">
        <f t="shared" ca="1" si="3302"/>
        <v>0</v>
      </c>
      <c r="BS2722" s="53">
        <f ca="1">IFERROR((_xlfn.XLOOKUP(F2722,Apuração!A:A,Apuração!C:C)+1)/_xlfn.XLOOKUP(F2722,Apuração!A:A,Apuração!B:B),0)</f>
        <v>0.14285714285714285</v>
      </c>
    </row>
    <row r="2723" spans="1:71" ht="25.95" hidden="1" customHeight="1" x14ac:dyDescent="0.3">
      <c r="A2723" s="72" t="s">
        <v>44</v>
      </c>
      <c r="B2723" s="73" t="s">
        <v>44</v>
      </c>
      <c r="C2723" s="74" t="s">
        <v>216</v>
      </c>
      <c r="D2723" s="5" t="s">
        <v>219</v>
      </c>
      <c r="E2723" s="4" t="str" cm="1">
        <f t="array" ref="E2723">_xlfn.IFS(
F2723 = "A partir de Abril", "Aguardando Execução na Distribuidora",
A2723 = "CAPACITAÇÃO", "Em execução no Corporativo",
TRUE, "Em Execução na Distribuidora"
)</f>
        <v>Em Execução na Distribuidora</v>
      </c>
      <c r="F2723" s="4" t="str" cm="1">
        <f t="array" ref="F2723">_xlfn.IFS(
AG2723 &lt;&gt; "", "Jan-Dez/26",
AH2723 &lt;&gt; "", "Fev-Dez/26",
AI2723 &lt;&gt; "", "Mar-Dez/26", AJ2723 &lt;&gt; "", "Abr-Dez/26",
TRUE, "A partir de Junho"
)</f>
        <v>A partir de Junho</v>
      </c>
      <c r="G2723" s="75" t="s">
        <v>44</v>
      </c>
      <c r="H2723" s="76" t="s">
        <v>44</v>
      </c>
      <c r="I2723" s="77"/>
      <c r="J2723" s="77"/>
      <c r="K2723" s="77"/>
      <c r="L2723" s="77" t="s">
        <v>241</v>
      </c>
      <c r="M2723" s="78"/>
      <c r="N2723" s="74" t="s">
        <v>42</v>
      </c>
      <c r="O2723" s="74" t="s">
        <v>52</v>
      </c>
      <c r="P2723" s="75" t="s">
        <v>44</v>
      </c>
      <c r="Q2723" s="75" t="s">
        <v>44</v>
      </c>
      <c r="R2723" s="79" t="s">
        <v>44</v>
      </c>
      <c r="S2723" s="79" t="s">
        <v>44</v>
      </c>
      <c r="T2723" s="22"/>
      <c r="U2723" s="22"/>
      <c r="V2723" s="22"/>
      <c r="W2723" s="22"/>
      <c r="X2723" s="22"/>
      <c r="Y2723" s="22"/>
      <c r="Z2723" s="22"/>
      <c r="AA2723" s="22"/>
      <c r="AB2723" s="22"/>
      <c r="AC2723" s="22"/>
      <c r="AD2723" s="22"/>
      <c r="AE2723" s="22"/>
      <c r="AG2723" s="71"/>
      <c r="AH2723" s="71"/>
      <c r="AI2723" s="71"/>
      <c r="AJ2723" s="71"/>
      <c r="AK2723" s="71"/>
      <c r="AL2723" s="71"/>
      <c r="AM2723" s="71"/>
      <c r="AN2723" s="71"/>
      <c r="AO2723" s="71"/>
      <c r="AP2723" s="71"/>
      <c r="AQ2723" s="71"/>
      <c r="AR2723" s="71"/>
      <c r="AS2723" s="94"/>
      <c r="AT2723" s="95"/>
      <c r="AU2723" s="97"/>
      <c r="AW2723" s="84">
        <f t="shared" si="3303"/>
        <v>0</v>
      </c>
      <c r="AX2723" s="84"/>
      <c r="AY2723" s="84"/>
      <c r="AZ2723" s="84"/>
      <c r="BA2723" s="84"/>
      <c r="BB2723" s="84"/>
      <c r="BC2723" s="84"/>
      <c r="BD2723" s="84"/>
      <c r="BE2723" s="84"/>
      <c r="BF2723" s="84"/>
      <c r="BG2723" s="84"/>
      <c r="BH2723" s="84"/>
      <c r="BI2723" s="68" cm="1">
        <f t="array" ref="BI2723">IFERROR(INDEX(AW2723:BH2723,1,MATCH(2,1/(AW2723:BH2723&lt;&gt;""))),"")</f>
        <v>0</v>
      </c>
      <c r="BJ2723" s="68" t="str" cm="1">
        <f t="array" ref="BJ2723">IF(BM2723 = "", "",IFERROR(INDEX(AW2723:BH2723,1,MATCH(2,1/(AW2723:BH2723&lt;&gt;""),1)-1),""))</f>
        <v/>
      </c>
      <c r="BK2723" s="57" cm="1">
        <f t="array" ref="BK2723">IFERROR(INDEX(AW2723:BH2723,1,MATCH(2,1/(AW2723:BH2723&lt;&gt;""),1)),"")</f>
        <v>0</v>
      </c>
      <c r="BL2723" s="57" t="str" cm="1">
        <f t="array" ref="BL2723">IF(BM2723 = "", "",IFERROR(INDEX(AW2723:BH2723,1,MATCH(2,1/(AW2723:BH2723&lt;&gt;""),1)-1),""))</f>
        <v/>
      </c>
      <c r="BM2723" s="55" t="str" cm="1">
        <f t="array" ref="BM2723">IFERROR(
   INDEX($AW$1:$BH$1,
      _xlfn.AGGREGATE(14, 6, COLUMN($AW$1:$BH$1)/(AW2723:BH2723&lt;&gt;""), 2) - COLUMN($AW$1) + 1
   ),
"")</f>
        <v/>
      </c>
      <c r="BN2723" s="55" cm="1">
        <f t="array" ref="BN2723">IFERROR(INDEX($AW$1:$BH$1,1,MATCH(2,1/(AW2723:BH2723&lt;&gt;""))),"")</f>
        <v>46023</v>
      </c>
      <c r="BO2723" s="53">
        <f ca="1">IFERROR(_xlfn.XLOOKUP(F2723,Apuração!A:A,Apuração!C:C)/_xlfn.XLOOKUP(F2723,Apuração!A:A,Apuração!B:B),0)</f>
        <v>0</v>
      </c>
      <c r="BP2723" s="53">
        <f ca="1">IFERROR(_xlfn.XLOOKUP(F2723,Apuração!A:A,Apuração!D:D)/_xlfn.XLOOKUP(F2723,Apuração!A:A,Apuração!B:B),0)</f>
        <v>0</v>
      </c>
      <c r="BQ2723" s="53">
        <f ca="1">IF(BK2723&gt;=BO2723,0,_xlfn.XLOOKUP(F2723,Apuração!A:A,Apuração!B:B)*(BO2723 + (1/_xlfn.XLOOKUP(F2723,Apuração!A:A,Apuração!B:B)) - BK2723))</f>
        <v>0</v>
      </c>
      <c r="BR2723" s="85">
        <f t="shared" ca="1" si="3302"/>
        <v>0</v>
      </c>
      <c r="BS2723" s="53">
        <f ca="1">IFERROR((_xlfn.XLOOKUP(F2723,Apuração!A:A,Apuração!C:C)+1)/_xlfn.XLOOKUP(F2723,Apuração!A:A,Apuração!B:B),0)</f>
        <v>0.14285714285714285</v>
      </c>
    </row>
    <row r="2724" spans="1:71" ht="25.95" hidden="1" customHeight="1" x14ac:dyDescent="0.3">
      <c r="A2724" s="72" t="s">
        <v>44</v>
      </c>
      <c r="B2724" s="73" t="s">
        <v>44</v>
      </c>
      <c r="C2724" s="74" t="s">
        <v>216</v>
      </c>
      <c r="D2724" s="5" t="s">
        <v>36</v>
      </c>
      <c r="E2724" s="4" t="str" cm="1">
        <f t="array" ref="E2724">_xlfn.IFS(
F2724 = "A partir de Abril", "Aguardando Execução na Distribuidora",
A2724 = "CAPACITAÇÃO", "Em execução no Corporativo",
TRUE, "Em Execução na Distribuidora"
)</f>
        <v>Em Execução na Distribuidora</v>
      </c>
      <c r="F2724" s="4" t="str" cm="1">
        <f t="array" ref="F2724">_xlfn.IFS(
AG2724 &lt;&gt; "", "Jan-Dez/26",
AH2724 &lt;&gt; "", "Fev-Dez/26",
AI2724 &lt;&gt; "", "Mar-Dez/26", AJ2724 &lt;&gt; "", "Abr-Dez/26",
TRUE, "A partir de Junho"
)</f>
        <v>A partir de Junho</v>
      </c>
      <c r="G2724" s="75" t="s">
        <v>44</v>
      </c>
      <c r="H2724" s="76" t="s">
        <v>44</v>
      </c>
      <c r="I2724" s="77"/>
      <c r="J2724" s="77"/>
      <c r="K2724" s="77"/>
      <c r="L2724" s="77" t="s">
        <v>227</v>
      </c>
      <c r="M2724" s="78"/>
      <c r="N2724" s="74" t="s">
        <v>42</v>
      </c>
      <c r="O2724" s="74" t="s">
        <v>52</v>
      </c>
      <c r="P2724" s="75" t="s">
        <v>44</v>
      </c>
      <c r="Q2724" s="75" t="s">
        <v>44</v>
      </c>
      <c r="R2724" s="79" t="s">
        <v>44</v>
      </c>
      <c r="S2724" s="79" t="s">
        <v>44</v>
      </c>
      <c r="T2724" s="22"/>
      <c r="U2724" s="22"/>
      <c r="V2724" s="22"/>
      <c r="W2724" s="22"/>
      <c r="X2724" s="22"/>
      <c r="Y2724" s="22"/>
      <c r="Z2724" s="22"/>
      <c r="AA2724" s="22"/>
      <c r="AB2724" s="22"/>
      <c r="AC2724" s="22"/>
      <c r="AD2724" s="22"/>
      <c r="AE2724" s="22"/>
      <c r="AG2724" s="112"/>
      <c r="AH2724" s="112"/>
      <c r="AI2724" s="112"/>
      <c r="AJ2724" s="112"/>
      <c r="AK2724" s="112"/>
      <c r="AL2724" s="112"/>
      <c r="AM2724" s="112"/>
      <c r="AN2724" s="112"/>
      <c r="AO2724" s="112"/>
      <c r="AP2724" s="112"/>
      <c r="AQ2724" s="112"/>
      <c r="AR2724" s="112"/>
      <c r="AS2724" s="94"/>
      <c r="AT2724" s="95"/>
      <c r="AU2724" s="97"/>
      <c r="AW2724" s="88">
        <f t="shared" ref="AW2724" si="3304">AG2724/100</f>
        <v>0</v>
      </c>
      <c r="AX2724" s="88">
        <f t="shared" ref="AX2724" si="3305">AH2724/100</f>
        <v>0</v>
      </c>
      <c r="AY2724" s="88">
        <f t="shared" ref="AY2724" si="3306">AI2724/100</f>
        <v>0</v>
      </c>
      <c r="AZ2724" s="88">
        <f t="shared" ref="AZ2724" si="3307">AJ2724/100</f>
        <v>0</v>
      </c>
      <c r="BA2724" s="88"/>
      <c r="BB2724" s="88"/>
      <c r="BC2724" s="88"/>
      <c r="BD2724" s="88"/>
      <c r="BE2724" s="88"/>
      <c r="BF2724" s="88"/>
      <c r="BG2724" s="88"/>
      <c r="BH2724" s="88"/>
      <c r="BI2724" s="68" cm="1">
        <f t="array" ref="BI2724">IFERROR(INDEX(AW2724:BH2724,1,MATCH(2,1/(AW2724:BH2724&lt;&gt;""))),"")</f>
        <v>0</v>
      </c>
      <c r="BJ2724" s="68" cm="1">
        <f t="array" ref="BJ2724">IF(BM2724 = "", "",IFERROR(INDEX(AW2724:BH2724,1,MATCH(2,1/(AW2724:BH2724&lt;&gt;""),1)-1),""))</f>
        <v>0</v>
      </c>
      <c r="BK2724" s="57" cm="1">
        <f t="array" ref="BK2724">IFERROR(INDEX(AW2724:BH2724,1,MATCH(2,1/(AW2724:BH2724&lt;&gt;""),1)),"")</f>
        <v>0</v>
      </c>
      <c r="BL2724" s="57" cm="1">
        <f t="array" ref="BL2724">IF(BM2724 = "", "",IFERROR(INDEX(AW2724:BH2724,1,MATCH(2,1/(AW2724:BH2724&lt;&gt;""),1)-1),""))</f>
        <v>0</v>
      </c>
      <c r="BM2724" s="55" cm="1">
        <f t="array" ref="BM2724">IFERROR(
   INDEX($AW$1:$BH$1,
      _xlfn.AGGREGATE(14, 6, COLUMN($AW$1:$BH$1)/(AW2724:BH2724&lt;&gt;""), 2) - COLUMN($AW$1) + 1
   ),
"")</f>
        <v>46082</v>
      </c>
      <c r="BN2724" s="55" cm="1">
        <f t="array" ref="BN2724">IFERROR(INDEX($AW$1:$BH$1,1,MATCH(2,1/(AW2724:BH2724&lt;&gt;""))),"")</f>
        <v>46113</v>
      </c>
      <c r="BO2724" s="53">
        <f ca="1">IFERROR(_xlfn.XLOOKUP(F2724,Apuração!A:A,Apuração!C:C)/_xlfn.XLOOKUP(F2724,Apuração!A:A,Apuração!B:B),0)</f>
        <v>0</v>
      </c>
      <c r="BP2724" s="53">
        <f ca="1">IFERROR(_xlfn.XLOOKUP(F2724,Apuração!A:A,Apuração!D:D)/_xlfn.XLOOKUP(F2724,Apuração!A:A,Apuração!B:B),0)</f>
        <v>0</v>
      </c>
      <c r="BQ2724" s="53">
        <f ca="1">IF(BK2724&gt;=BO2724,0,_xlfn.XLOOKUP(F2724,Apuração!A:A,Apuração!B:B)*(BO2724 + (1/_xlfn.XLOOKUP(F2724,Apuração!A:A,Apuração!B:B)) - BK2724))</f>
        <v>0</v>
      </c>
      <c r="BR2724" s="85">
        <f t="shared" ref="BR2724" ca="1" si="3308">IF(BQ2724=0,0,BQ2724*Z2724)</f>
        <v>0</v>
      </c>
      <c r="BS2724" s="53">
        <f ca="1">IFERROR((_xlfn.XLOOKUP(F2724,Apuração!A:A,Apuração!C:C)+1)/_xlfn.XLOOKUP(F2724,Apuração!A:A,Apuração!B:B),0)</f>
        <v>0.14285714285714285</v>
      </c>
    </row>
    <row r="2725" spans="1:71" ht="25.95" hidden="1" customHeight="1" x14ac:dyDescent="0.3">
      <c r="A2725" s="72" t="s">
        <v>44</v>
      </c>
      <c r="B2725" s="73" t="s">
        <v>44</v>
      </c>
      <c r="C2725" s="74" t="s">
        <v>216</v>
      </c>
      <c r="D2725" s="5" t="s">
        <v>217</v>
      </c>
      <c r="E2725" s="4" t="str" cm="1">
        <f t="array" ref="E2725">_xlfn.IFS(
F2725 = "A partir de Abril", "Aguardando Execução na Distribuidora",
A2725 = "CAPACITAÇÃO", "Em execução no Corporativo",
TRUE, "Em Execução na Distribuidora"
)</f>
        <v>Em Execução na Distribuidora</v>
      </c>
      <c r="F2725" s="4" t="str" cm="1">
        <f t="array" ref="F2725">_xlfn.IFS(
AG2725 &lt;&gt; "", "Jan-Dez/26",
AH2725 &lt;&gt; "", "Fev-Dez/26",
AI2725 &lt;&gt; "", "Mar-Dez/26", AJ2725 &lt;&gt; "", "Abr-Dez/26",
TRUE, "A partir de Junho"
)</f>
        <v>A partir de Junho</v>
      </c>
      <c r="G2725" s="75" t="s">
        <v>44</v>
      </c>
      <c r="H2725" s="76" t="s">
        <v>44</v>
      </c>
      <c r="I2725" s="77"/>
      <c r="J2725" s="77"/>
      <c r="K2725" s="77"/>
      <c r="L2725" s="77" t="s">
        <v>227</v>
      </c>
      <c r="M2725" s="78"/>
      <c r="N2725" s="74" t="s">
        <v>42</v>
      </c>
      <c r="O2725" s="74" t="s">
        <v>52</v>
      </c>
      <c r="P2725" s="75" t="s">
        <v>44</v>
      </c>
      <c r="Q2725" s="75" t="s">
        <v>44</v>
      </c>
      <c r="R2725" s="79" t="s">
        <v>44</v>
      </c>
      <c r="S2725" s="79" t="s">
        <v>44</v>
      </c>
      <c r="T2725" s="22"/>
      <c r="U2725" s="22"/>
      <c r="V2725" s="22"/>
      <c r="W2725" s="22"/>
      <c r="X2725" s="22"/>
      <c r="Y2725" s="22"/>
      <c r="Z2725" s="22"/>
      <c r="AA2725" s="22"/>
      <c r="AB2725" s="22"/>
      <c r="AC2725" s="22"/>
      <c r="AD2725" s="22"/>
      <c r="AE2725" s="22"/>
      <c r="AG2725" s="71"/>
      <c r="AH2725" s="71"/>
      <c r="AI2725" s="71"/>
      <c r="AJ2725" s="71"/>
      <c r="AK2725" s="71"/>
      <c r="AL2725" s="71"/>
      <c r="AM2725" s="71"/>
      <c r="AN2725" s="71"/>
      <c r="AO2725" s="71"/>
      <c r="AP2725" s="71"/>
      <c r="AQ2725" s="71"/>
      <c r="AR2725" s="71"/>
      <c r="AS2725" s="94"/>
      <c r="AT2725" s="95"/>
      <c r="AU2725" s="97"/>
      <c r="AW2725" s="88">
        <f t="shared" ref="AW2725:AW2728" si="3309">AG2725/100</f>
        <v>0</v>
      </c>
      <c r="AX2725" s="88"/>
      <c r="AY2725" s="88"/>
      <c r="AZ2725" s="88"/>
      <c r="BA2725" s="88"/>
      <c r="BB2725" s="88"/>
      <c r="BC2725" s="88"/>
      <c r="BD2725" s="88"/>
      <c r="BE2725" s="88"/>
      <c r="BF2725" s="88"/>
      <c r="BG2725" s="88"/>
      <c r="BH2725" s="88"/>
      <c r="BI2725" s="68" cm="1">
        <f t="array" ref="BI2725">IFERROR(INDEX(AW2725:BH2725,1,MATCH(2,1/(AW2725:BH2725&lt;&gt;""))),"")</f>
        <v>0</v>
      </c>
      <c r="BJ2725" s="68" t="str" cm="1">
        <f t="array" ref="BJ2725">IF(BM2725 = "", "",IFERROR(INDEX(AW2725:BH2725,1,MATCH(2,1/(AW2725:BH2725&lt;&gt;""),1)-1),""))</f>
        <v/>
      </c>
      <c r="BK2725" s="57" cm="1">
        <f t="array" ref="BK2725">IFERROR(INDEX(AW2725:BH2725,1,MATCH(2,1/(AW2725:BH2725&lt;&gt;""),1)),"")</f>
        <v>0</v>
      </c>
      <c r="BL2725" s="57" t="str" cm="1">
        <f t="array" ref="BL2725">IF(BM2725 = "", "",IFERROR(INDEX(AW2725:BH2725,1,MATCH(2,1/(AW2725:BH2725&lt;&gt;""),1)-1),""))</f>
        <v/>
      </c>
      <c r="BM2725" s="55" t="str" cm="1">
        <f t="array" ref="BM2725">IFERROR(
   INDEX($AW$1:$BH$1,
      _xlfn.AGGREGATE(14, 6, COLUMN($AW$1:$BH$1)/(AW2725:BH2725&lt;&gt;""), 2) - COLUMN($AW$1) + 1
   ),
"")</f>
        <v/>
      </c>
      <c r="BN2725" s="55" cm="1">
        <f t="array" ref="BN2725">IFERROR(INDEX($AW$1:$BH$1,1,MATCH(2,1/(AW2725:BH2725&lt;&gt;""))),"")</f>
        <v>46023</v>
      </c>
      <c r="BO2725" s="53">
        <f ca="1">IFERROR(_xlfn.XLOOKUP(F2725,Apuração!A:A,Apuração!C:C)/_xlfn.XLOOKUP(F2725,Apuração!A:A,Apuração!B:B),0)</f>
        <v>0</v>
      </c>
      <c r="BP2725" s="53">
        <f ca="1">IFERROR(_xlfn.XLOOKUP(F2725,Apuração!A:A,Apuração!D:D)/_xlfn.XLOOKUP(F2725,Apuração!A:A,Apuração!B:B),0)</f>
        <v>0</v>
      </c>
      <c r="BQ2725" s="53">
        <f ca="1">IF(BK2725&gt;=BO2725,0,_xlfn.XLOOKUP(F2725,Apuração!A:A,Apuração!B:B)*(BO2725 + (1/_xlfn.XLOOKUP(F2725,Apuração!A:A,Apuração!B:B)) - BK2725))</f>
        <v>0</v>
      </c>
      <c r="BR2725" s="85">
        <f t="shared" ref="BR2725:BR2730" ca="1" si="3310">IF(BQ2725=0,0,BQ2725*Z2725)</f>
        <v>0</v>
      </c>
      <c r="BS2725" s="53">
        <f ca="1">IFERROR((_xlfn.XLOOKUP(F2725,Apuração!A:A,Apuração!C:C)+1)/_xlfn.XLOOKUP(F2725,Apuração!A:A,Apuração!B:B),0)</f>
        <v>0.14285714285714285</v>
      </c>
    </row>
    <row r="2726" spans="1:71" ht="25.95" hidden="1" customHeight="1" x14ac:dyDescent="0.3">
      <c r="A2726" s="72" t="s">
        <v>44</v>
      </c>
      <c r="B2726" s="73" t="s">
        <v>44</v>
      </c>
      <c r="C2726" s="74" t="s">
        <v>216</v>
      </c>
      <c r="D2726" s="5" t="s">
        <v>103</v>
      </c>
      <c r="E2726" s="4" t="str" cm="1">
        <f t="array" ref="E2726">_xlfn.IFS(
F2726 = "A partir de Abril", "Aguardando Execução na Distribuidora",
A2726 = "CAPACITAÇÃO", "Em execução no Corporativo",
TRUE, "Em Execução na Distribuidora"
)</f>
        <v>Em Execução na Distribuidora</v>
      </c>
      <c r="F2726" s="4" t="str" cm="1">
        <f t="array" ref="F2726">_xlfn.IFS(
AG2726 &lt;&gt; "", "Jan-Dez/26",
AH2726 &lt;&gt; "", "Fev-Dez/26",
AI2726 &lt;&gt; "", "Mar-Dez/26", AJ2726 &lt;&gt; "", "Abr-Dez/26",
TRUE, "A partir de Junho"
)</f>
        <v>A partir de Junho</v>
      </c>
      <c r="G2726" s="75" t="s">
        <v>44</v>
      </c>
      <c r="H2726" s="76" t="s">
        <v>44</v>
      </c>
      <c r="I2726" s="77"/>
      <c r="J2726" s="77"/>
      <c r="K2726" s="77"/>
      <c r="L2726" s="77" t="s">
        <v>227</v>
      </c>
      <c r="M2726" s="78"/>
      <c r="N2726" s="74" t="s">
        <v>42</v>
      </c>
      <c r="O2726" s="74" t="s">
        <v>52</v>
      </c>
      <c r="P2726" s="75" t="s">
        <v>44</v>
      </c>
      <c r="Q2726" s="75" t="s">
        <v>44</v>
      </c>
      <c r="R2726" s="79" t="s">
        <v>44</v>
      </c>
      <c r="S2726" s="79" t="s">
        <v>44</v>
      </c>
      <c r="T2726" s="22"/>
      <c r="U2726" s="22"/>
      <c r="V2726" s="22"/>
      <c r="W2726" s="22"/>
      <c r="X2726" s="22"/>
      <c r="Y2726" s="22"/>
      <c r="Z2726" s="22"/>
      <c r="AA2726" s="22"/>
      <c r="AB2726" s="22"/>
      <c r="AC2726" s="22"/>
      <c r="AD2726" s="22"/>
      <c r="AE2726" s="22"/>
      <c r="AG2726" s="71"/>
      <c r="AH2726" s="71"/>
      <c r="AI2726" s="71"/>
      <c r="AJ2726" s="71"/>
      <c r="AK2726" s="71"/>
      <c r="AL2726" s="71"/>
      <c r="AM2726" s="71"/>
      <c r="AN2726" s="71"/>
      <c r="AO2726" s="71"/>
      <c r="AP2726" s="71"/>
      <c r="AQ2726" s="71"/>
      <c r="AR2726" s="71"/>
      <c r="AS2726" s="94"/>
      <c r="AT2726" s="95"/>
      <c r="AU2726" s="97"/>
      <c r="AW2726" s="88">
        <f t="shared" si="3309"/>
        <v>0</v>
      </c>
      <c r="AX2726" s="88"/>
      <c r="AY2726" s="88"/>
      <c r="AZ2726" s="88"/>
      <c r="BA2726" s="88"/>
      <c r="BB2726" s="88"/>
      <c r="BC2726" s="88"/>
      <c r="BD2726" s="88"/>
      <c r="BE2726" s="88"/>
      <c r="BF2726" s="88"/>
      <c r="BG2726" s="88"/>
      <c r="BH2726" s="88"/>
      <c r="BI2726" s="68" cm="1">
        <f t="array" ref="BI2726">IFERROR(INDEX(AW2726:BH2726,1,MATCH(2,1/(AW2726:BH2726&lt;&gt;""))),"")</f>
        <v>0</v>
      </c>
      <c r="BJ2726" s="68" t="str" cm="1">
        <f t="array" ref="BJ2726">IF(BM2726 = "", "",IFERROR(INDEX(AW2726:BH2726,1,MATCH(2,1/(AW2726:BH2726&lt;&gt;""),1)-1),""))</f>
        <v/>
      </c>
      <c r="BK2726" s="57" cm="1">
        <f t="array" ref="BK2726">IFERROR(INDEX(AW2726:BH2726,1,MATCH(2,1/(AW2726:BH2726&lt;&gt;""),1)),"")</f>
        <v>0</v>
      </c>
      <c r="BL2726" s="57" t="str" cm="1">
        <f t="array" ref="BL2726">IF(BM2726 = "", "",IFERROR(INDEX(AW2726:BH2726,1,MATCH(2,1/(AW2726:BH2726&lt;&gt;""),1)-1),""))</f>
        <v/>
      </c>
      <c r="BM2726" s="55" t="str" cm="1">
        <f t="array" ref="BM2726">IFERROR(
   INDEX($AW$1:$BH$1,
      _xlfn.AGGREGATE(14, 6, COLUMN($AW$1:$BH$1)/(AW2726:BH2726&lt;&gt;""), 2) - COLUMN($AW$1) + 1
   ),
"")</f>
        <v/>
      </c>
      <c r="BN2726" s="55" cm="1">
        <f t="array" ref="BN2726">IFERROR(INDEX($AW$1:$BH$1,1,MATCH(2,1/(AW2726:BH2726&lt;&gt;""))),"")</f>
        <v>46023</v>
      </c>
      <c r="BO2726" s="53">
        <f ca="1">IFERROR(_xlfn.XLOOKUP(F2726,Apuração!A:A,Apuração!C:C)/_xlfn.XLOOKUP(F2726,Apuração!A:A,Apuração!B:B),0)</f>
        <v>0</v>
      </c>
      <c r="BP2726" s="53">
        <f ca="1">IFERROR(_xlfn.XLOOKUP(F2726,Apuração!A:A,Apuração!D:D)/_xlfn.XLOOKUP(F2726,Apuração!A:A,Apuração!B:B),0)</f>
        <v>0</v>
      </c>
      <c r="BQ2726" s="53">
        <f ca="1">IF(BK2726&gt;=BO2726,0,_xlfn.XLOOKUP(F2726,Apuração!A:A,Apuração!B:B)*(BO2726 + (1/_xlfn.XLOOKUP(F2726,Apuração!A:A,Apuração!B:B)) - BK2726))</f>
        <v>0</v>
      </c>
      <c r="BR2726" s="85">
        <f t="shared" ca="1" si="3310"/>
        <v>0</v>
      </c>
      <c r="BS2726" s="53">
        <f ca="1">IFERROR((_xlfn.XLOOKUP(F2726,Apuração!A:A,Apuração!C:C)+1)/_xlfn.XLOOKUP(F2726,Apuração!A:A,Apuração!B:B),0)</f>
        <v>0.14285714285714285</v>
      </c>
    </row>
    <row r="2727" spans="1:71" ht="25.95" hidden="1" customHeight="1" x14ac:dyDescent="0.3">
      <c r="A2727" s="72" t="s">
        <v>44</v>
      </c>
      <c r="B2727" s="73" t="s">
        <v>44</v>
      </c>
      <c r="C2727" s="74" t="s">
        <v>216</v>
      </c>
      <c r="D2727" s="5" t="s">
        <v>218</v>
      </c>
      <c r="E2727" s="4" t="str" cm="1">
        <f t="array" ref="E2727">_xlfn.IFS(
F2727 = "A partir de Abril", "Aguardando Execução na Distribuidora",
A2727 = "CAPACITAÇÃO", "Em execução no Corporativo",
TRUE, "Em Execução na Distribuidora"
)</f>
        <v>Em Execução na Distribuidora</v>
      </c>
      <c r="F2727" s="4" t="str" cm="1">
        <f t="array" ref="F2727">_xlfn.IFS(
AG2727 &lt;&gt; "", "Jan-Dez/26",
AH2727 &lt;&gt; "", "Fev-Dez/26",
AI2727 &lt;&gt; "", "Mar-Dez/26", AJ2727 &lt;&gt; "", "Abr-Dez/26",
TRUE, "A partir de Junho"
)</f>
        <v>A partir de Junho</v>
      </c>
      <c r="G2727" s="75" t="s">
        <v>44</v>
      </c>
      <c r="H2727" s="76" t="s">
        <v>44</v>
      </c>
      <c r="I2727" s="77"/>
      <c r="J2727" s="77"/>
      <c r="K2727" s="77"/>
      <c r="L2727" s="77" t="s">
        <v>227</v>
      </c>
      <c r="M2727" s="78"/>
      <c r="N2727" s="74" t="s">
        <v>42</v>
      </c>
      <c r="O2727" s="74" t="s">
        <v>52</v>
      </c>
      <c r="P2727" s="75" t="s">
        <v>44</v>
      </c>
      <c r="Q2727" s="75" t="s">
        <v>44</v>
      </c>
      <c r="R2727" s="79" t="s">
        <v>44</v>
      </c>
      <c r="S2727" s="79" t="s">
        <v>44</v>
      </c>
      <c r="T2727" s="22"/>
      <c r="U2727" s="22"/>
      <c r="V2727" s="22"/>
      <c r="W2727" s="22"/>
      <c r="X2727" s="22"/>
      <c r="Y2727" s="22"/>
      <c r="Z2727" s="22"/>
      <c r="AA2727" s="22"/>
      <c r="AB2727" s="22"/>
      <c r="AC2727" s="22"/>
      <c r="AD2727" s="22"/>
      <c r="AE2727" s="22"/>
      <c r="AG2727" s="71"/>
      <c r="AH2727" s="71"/>
      <c r="AI2727" s="71"/>
      <c r="AJ2727" s="71"/>
      <c r="AK2727" s="71"/>
      <c r="AL2727" s="71"/>
      <c r="AM2727" s="71"/>
      <c r="AN2727" s="71"/>
      <c r="AO2727" s="71"/>
      <c r="AP2727" s="71"/>
      <c r="AQ2727" s="71"/>
      <c r="AR2727" s="71"/>
      <c r="AS2727" s="94"/>
      <c r="AT2727" s="95"/>
      <c r="AU2727" s="97"/>
      <c r="AW2727" s="88">
        <f t="shared" si="3309"/>
        <v>0</v>
      </c>
      <c r="AX2727" s="88"/>
      <c r="AY2727" s="88"/>
      <c r="AZ2727" s="88"/>
      <c r="BA2727" s="88"/>
      <c r="BB2727" s="88"/>
      <c r="BC2727" s="88"/>
      <c r="BD2727" s="88"/>
      <c r="BE2727" s="88"/>
      <c r="BF2727" s="88"/>
      <c r="BG2727" s="88"/>
      <c r="BH2727" s="88"/>
      <c r="BI2727" s="68" cm="1">
        <f t="array" ref="BI2727">IFERROR(INDEX(AW2727:BH2727,1,MATCH(2,1/(AW2727:BH2727&lt;&gt;""))),"")</f>
        <v>0</v>
      </c>
      <c r="BJ2727" s="68" t="str" cm="1">
        <f t="array" ref="BJ2727">IF(BM2727 = "", "",IFERROR(INDEX(AW2727:BH2727,1,MATCH(2,1/(AW2727:BH2727&lt;&gt;""),1)-1),""))</f>
        <v/>
      </c>
      <c r="BK2727" s="57" cm="1">
        <f t="array" ref="BK2727">IFERROR(INDEX(AW2727:BH2727,1,MATCH(2,1/(AW2727:BH2727&lt;&gt;""),1)),"")</f>
        <v>0</v>
      </c>
      <c r="BL2727" s="57" t="str" cm="1">
        <f t="array" ref="BL2727">IF(BM2727 = "", "",IFERROR(INDEX(AW2727:BH2727,1,MATCH(2,1/(AW2727:BH2727&lt;&gt;""),1)-1),""))</f>
        <v/>
      </c>
      <c r="BM2727" s="55" t="str" cm="1">
        <f t="array" ref="BM2727">IFERROR(
   INDEX($AW$1:$BH$1,
      _xlfn.AGGREGATE(14, 6, COLUMN($AW$1:$BH$1)/(AW2727:BH2727&lt;&gt;""), 2) - COLUMN($AW$1) + 1
   ),
"")</f>
        <v/>
      </c>
      <c r="BN2727" s="55" cm="1">
        <f t="array" ref="BN2727">IFERROR(INDEX($AW$1:$BH$1,1,MATCH(2,1/(AW2727:BH2727&lt;&gt;""))),"")</f>
        <v>46023</v>
      </c>
      <c r="BO2727" s="53">
        <f ca="1">IFERROR(_xlfn.XLOOKUP(F2727,Apuração!A:A,Apuração!C:C)/_xlfn.XLOOKUP(F2727,Apuração!A:A,Apuração!B:B),0)</f>
        <v>0</v>
      </c>
      <c r="BP2727" s="53">
        <f ca="1">IFERROR(_xlfn.XLOOKUP(F2727,Apuração!A:A,Apuração!D:D)/_xlfn.XLOOKUP(F2727,Apuração!A:A,Apuração!B:B),0)</f>
        <v>0</v>
      </c>
      <c r="BQ2727" s="53">
        <f ca="1">IF(BK2727&gt;=BO2727,0,_xlfn.XLOOKUP(F2727,Apuração!A:A,Apuração!B:B)*(BO2727 + (1/_xlfn.XLOOKUP(F2727,Apuração!A:A,Apuração!B:B)) - BK2727))</f>
        <v>0</v>
      </c>
      <c r="BR2727" s="85">
        <f t="shared" ca="1" si="3310"/>
        <v>0</v>
      </c>
      <c r="BS2727" s="53">
        <f ca="1">IFERROR((_xlfn.XLOOKUP(F2727,Apuração!A:A,Apuração!C:C)+1)/_xlfn.XLOOKUP(F2727,Apuração!A:A,Apuração!B:B),0)</f>
        <v>0.14285714285714285</v>
      </c>
    </row>
    <row r="2728" spans="1:71" ht="25.95" hidden="1" customHeight="1" x14ac:dyDescent="0.3">
      <c r="A2728" s="72" t="s">
        <v>44</v>
      </c>
      <c r="B2728" s="73" t="s">
        <v>44</v>
      </c>
      <c r="C2728" s="74" t="s">
        <v>216</v>
      </c>
      <c r="D2728" s="5" t="s">
        <v>219</v>
      </c>
      <c r="E2728" s="4" t="str" cm="1">
        <f t="array" ref="E2728">_xlfn.IFS(
F2728 = "A partir de Abril", "Aguardando Execução na Distribuidora",
A2728 = "CAPACITAÇÃO", "Em execução no Corporativo",
TRUE, "Em Execução na Distribuidora"
)</f>
        <v>Em Execução na Distribuidora</v>
      </c>
      <c r="F2728" s="4" t="str" cm="1">
        <f t="array" ref="F2728">_xlfn.IFS(
AG2728 &lt;&gt; "", "Jan-Dez/26",
AH2728 &lt;&gt; "", "Fev-Dez/26",
AI2728 &lt;&gt; "", "Mar-Dez/26", AJ2728 &lt;&gt; "", "Abr-Dez/26",
TRUE, "A partir de Junho"
)</f>
        <v>A partir de Junho</v>
      </c>
      <c r="G2728" s="75" t="s">
        <v>44</v>
      </c>
      <c r="H2728" s="76" t="s">
        <v>44</v>
      </c>
      <c r="I2728" s="77"/>
      <c r="J2728" s="77"/>
      <c r="K2728" s="77"/>
      <c r="L2728" s="77" t="s">
        <v>227</v>
      </c>
      <c r="M2728" s="78"/>
      <c r="N2728" s="74" t="s">
        <v>42</v>
      </c>
      <c r="O2728" s="74" t="s">
        <v>52</v>
      </c>
      <c r="P2728" s="75" t="s">
        <v>44</v>
      </c>
      <c r="Q2728" s="75" t="s">
        <v>44</v>
      </c>
      <c r="R2728" s="79" t="s">
        <v>44</v>
      </c>
      <c r="S2728" s="79" t="s">
        <v>44</v>
      </c>
      <c r="T2728" s="22"/>
      <c r="U2728" s="22"/>
      <c r="V2728" s="22"/>
      <c r="W2728" s="22"/>
      <c r="X2728" s="22"/>
      <c r="Y2728" s="22"/>
      <c r="Z2728" s="22"/>
      <c r="AA2728" s="22"/>
      <c r="AB2728" s="22"/>
      <c r="AC2728" s="22"/>
      <c r="AD2728" s="22"/>
      <c r="AE2728" s="22"/>
      <c r="AG2728" s="71"/>
      <c r="AH2728" s="71"/>
      <c r="AI2728" s="71"/>
      <c r="AJ2728" s="71"/>
      <c r="AK2728" s="71"/>
      <c r="AL2728" s="71"/>
      <c r="AM2728" s="71"/>
      <c r="AN2728" s="71"/>
      <c r="AO2728" s="71"/>
      <c r="AP2728" s="71"/>
      <c r="AQ2728" s="71"/>
      <c r="AR2728" s="71"/>
      <c r="AS2728" s="94"/>
      <c r="AT2728" s="95"/>
      <c r="AU2728" s="97"/>
      <c r="AW2728" s="88">
        <f t="shared" si="3309"/>
        <v>0</v>
      </c>
      <c r="AX2728" s="88"/>
      <c r="AY2728" s="88"/>
      <c r="AZ2728" s="88"/>
      <c r="BA2728" s="88"/>
      <c r="BB2728" s="88"/>
      <c r="BC2728" s="88"/>
      <c r="BD2728" s="88"/>
      <c r="BE2728" s="88"/>
      <c r="BF2728" s="88"/>
      <c r="BG2728" s="88"/>
      <c r="BH2728" s="88"/>
      <c r="BI2728" s="68" cm="1">
        <f t="array" ref="BI2728">IFERROR(INDEX(AW2728:BH2728,1,MATCH(2,1/(AW2728:BH2728&lt;&gt;""))),"")</f>
        <v>0</v>
      </c>
      <c r="BJ2728" s="68" t="str" cm="1">
        <f t="array" ref="BJ2728">IF(BM2728 = "", "",IFERROR(INDEX(AW2728:BH2728,1,MATCH(2,1/(AW2728:BH2728&lt;&gt;""),1)-1),""))</f>
        <v/>
      </c>
      <c r="BK2728" s="57" cm="1">
        <f t="array" ref="BK2728">IFERROR(INDEX(AW2728:BH2728,1,MATCH(2,1/(AW2728:BH2728&lt;&gt;""),1)),"")</f>
        <v>0</v>
      </c>
      <c r="BL2728" s="57" t="str" cm="1">
        <f t="array" ref="BL2728">IF(BM2728 = "", "",IFERROR(INDEX(AW2728:BH2728,1,MATCH(2,1/(AW2728:BH2728&lt;&gt;""),1)-1),""))</f>
        <v/>
      </c>
      <c r="BM2728" s="55" t="str" cm="1">
        <f t="array" ref="BM2728">IFERROR(
   INDEX($AW$1:$BH$1,
      _xlfn.AGGREGATE(14, 6, COLUMN($AW$1:$BH$1)/(AW2728:BH2728&lt;&gt;""), 2) - COLUMN($AW$1) + 1
   ),
"")</f>
        <v/>
      </c>
      <c r="BN2728" s="55" cm="1">
        <f t="array" ref="BN2728">IFERROR(INDEX($AW$1:$BH$1,1,MATCH(2,1/(AW2728:BH2728&lt;&gt;""))),"")</f>
        <v>46023</v>
      </c>
      <c r="BO2728" s="53">
        <f ca="1">IFERROR(_xlfn.XLOOKUP(F2728,Apuração!A:A,Apuração!C:C)/_xlfn.XLOOKUP(F2728,Apuração!A:A,Apuração!B:B),0)</f>
        <v>0</v>
      </c>
      <c r="BP2728" s="53">
        <f ca="1">IFERROR(_xlfn.XLOOKUP(F2728,Apuração!A:A,Apuração!D:D)/_xlfn.XLOOKUP(F2728,Apuração!A:A,Apuração!B:B),0)</f>
        <v>0</v>
      </c>
      <c r="BQ2728" s="53">
        <f ca="1">IF(BK2728&gt;=BO2728,0,_xlfn.XLOOKUP(F2728,Apuração!A:A,Apuração!B:B)*(BO2728 + (1/_xlfn.XLOOKUP(F2728,Apuração!A:A,Apuração!B:B)) - BK2728))</f>
        <v>0</v>
      </c>
      <c r="BR2728" s="85">
        <f t="shared" ca="1" si="3310"/>
        <v>0</v>
      </c>
      <c r="BS2728" s="53">
        <f ca="1">IFERROR((_xlfn.XLOOKUP(F2728,Apuração!A:A,Apuração!C:C)+1)/_xlfn.XLOOKUP(F2728,Apuração!A:A,Apuração!B:B),0)</f>
        <v>0.14285714285714285</v>
      </c>
    </row>
    <row r="2729" spans="1:71" ht="25.95" hidden="1" customHeight="1" x14ac:dyDescent="0.3">
      <c r="A2729" s="72" t="s">
        <v>44</v>
      </c>
      <c r="B2729" s="73" t="s">
        <v>44</v>
      </c>
      <c r="C2729" s="74" t="s">
        <v>221</v>
      </c>
      <c r="D2729" s="5" t="s">
        <v>212</v>
      </c>
      <c r="E2729" s="4" t="str" cm="1">
        <f t="array" ref="E2729">_xlfn.IFS(
F2729 = "A partir de Abril", "Aguardando Execução na Distribuidora",
A2729 = "CAPACITAÇÃO", "Em execução no Corporativo",
TRUE, "Em Execução na Distribuidora"
)</f>
        <v>Em Execução na Distribuidora</v>
      </c>
      <c r="F2729" s="4" t="str" cm="1">
        <f t="array" ref="F2729">_xlfn.IFS(
AG2729 &lt;&gt; "", "Jan-Dez/26",
AH2729 &lt;&gt; "", "Fev-Dez/26",
AI2729 &lt;&gt; "", "Mar-Dez/26", AJ2729 &lt;&gt; "", "Abr-Dez/26",
TRUE, "A partir de Junho"
)</f>
        <v>A partir de Junho</v>
      </c>
      <c r="G2729" s="75" t="s">
        <v>44</v>
      </c>
      <c r="H2729" s="76" t="s">
        <v>44</v>
      </c>
      <c r="I2729" s="77"/>
      <c r="J2729" s="77"/>
      <c r="K2729" s="77"/>
      <c r="L2729" s="77" t="s">
        <v>241</v>
      </c>
      <c r="M2729" s="78"/>
      <c r="N2729" s="74" t="s">
        <v>42</v>
      </c>
      <c r="O2729" s="74" t="s">
        <v>52</v>
      </c>
      <c r="P2729" s="75" t="s">
        <v>44</v>
      </c>
      <c r="Q2729" s="75" t="s">
        <v>44</v>
      </c>
      <c r="R2729" s="79" t="s">
        <v>44</v>
      </c>
      <c r="S2729" s="79" t="s">
        <v>44</v>
      </c>
      <c r="T2729" s="22"/>
      <c r="U2729" s="22"/>
      <c r="V2729" s="22"/>
      <c r="W2729" s="22"/>
      <c r="X2729" s="22"/>
      <c r="Y2729" s="22"/>
      <c r="Z2729" s="22"/>
      <c r="AA2729" s="22"/>
      <c r="AB2729" s="22"/>
      <c r="AC2729" s="22"/>
      <c r="AD2729" s="22"/>
      <c r="AE2729" s="22"/>
      <c r="AG2729" s="112"/>
      <c r="AH2729" s="112"/>
      <c r="AI2729" s="112"/>
      <c r="AJ2729" s="71"/>
      <c r="AK2729" s="71"/>
      <c r="AL2729" s="71"/>
      <c r="AM2729" s="71"/>
      <c r="AN2729" s="71"/>
      <c r="AO2729" s="71"/>
      <c r="AP2729" s="71"/>
      <c r="AQ2729" s="71"/>
      <c r="AR2729" s="71"/>
      <c r="AS2729" s="94"/>
      <c r="AT2729" s="95"/>
      <c r="AU2729" s="97"/>
      <c r="AW2729" s="84">
        <f t="shared" ref="AW2729:AW2730" si="3311">AG2729</f>
        <v>0</v>
      </c>
      <c r="AX2729" s="84"/>
      <c r="AY2729" s="84"/>
      <c r="AZ2729" s="84"/>
      <c r="BA2729" s="84"/>
      <c r="BB2729" s="84"/>
      <c r="BC2729" s="84"/>
      <c r="BD2729" s="84"/>
      <c r="BE2729" s="84"/>
      <c r="BF2729" s="84"/>
      <c r="BG2729" s="84"/>
      <c r="BH2729" s="84"/>
      <c r="BI2729" s="68" cm="1">
        <f t="array" ref="BI2729">IFERROR(INDEX(AW2729:BH2729,1,MATCH(2,1/(AW2729:BH2729&lt;&gt;""))),"")</f>
        <v>0</v>
      </c>
      <c r="BJ2729" s="68" t="str" cm="1">
        <f t="array" ref="BJ2729">IF(BM2729 = "", "",IFERROR(INDEX(AW2729:BH2729,1,MATCH(2,1/(AW2729:BH2729&lt;&gt;""),1)-1),""))</f>
        <v/>
      </c>
      <c r="BK2729" s="57" cm="1">
        <f t="array" ref="BK2729">IFERROR(INDEX(AW2729:BH2729,1,MATCH(2,1/(AW2729:BH2729&lt;&gt;""),1)),"")</f>
        <v>0</v>
      </c>
      <c r="BL2729" s="57" t="str" cm="1">
        <f t="array" ref="BL2729">IF(BM2729 = "", "",IFERROR(INDEX(AW2729:BH2729,1,MATCH(2,1/(AW2729:BH2729&lt;&gt;""),1)-1),""))</f>
        <v/>
      </c>
      <c r="BM2729" s="55" t="str" cm="1">
        <f t="array" ref="BM2729">IFERROR(
   INDEX($AW$1:$BH$1,
      _xlfn.AGGREGATE(14, 6, COLUMN($AW$1:$BH$1)/(AW2729:BH2729&lt;&gt;""), 2) - COLUMN($AW$1) + 1
   ),
"")</f>
        <v/>
      </c>
      <c r="BN2729" s="55" cm="1">
        <f t="array" ref="BN2729">IFERROR(INDEX($AW$1:$BH$1,1,MATCH(2,1/(AW2729:BH2729&lt;&gt;""))),"")</f>
        <v>46023</v>
      </c>
      <c r="BO2729" s="53">
        <f ca="1">IFERROR(_xlfn.XLOOKUP(F2729,Apuração!A:A,Apuração!C:C)/_xlfn.XLOOKUP(F2729,Apuração!A:A,Apuração!B:B),0)</f>
        <v>0</v>
      </c>
      <c r="BP2729" s="53">
        <f ca="1">IFERROR(_xlfn.XLOOKUP(F2729,Apuração!A:A,Apuração!D:D)/_xlfn.XLOOKUP(F2729,Apuração!A:A,Apuração!B:B),0)</f>
        <v>0</v>
      </c>
      <c r="BQ2729" s="53">
        <f ca="1">IF(BK2729&gt;=BO2729,0,_xlfn.XLOOKUP(F2729,Apuração!A:A,Apuração!B:B)*(BO2729 + (1/_xlfn.XLOOKUP(F2729,Apuração!A:A,Apuração!B:B)) - BK2729))</f>
        <v>0</v>
      </c>
      <c r="BR2729" s="85">
        <f t="shared" ca="1" si="3310"/>
        <v>0</v>
      </c>
      <c r="BS2729" s="53">
        <f ca="1">IFERROR((_xlfn.XLOOKUP(F2729,Apuração!A:A,Apuração!C:C)+1)/_xlfn.XLOOKUP(F2729,Apuração!A:A,Apuração!B:B),0)</f>
        <v>0.14285714285714285</v>
      </c>
    </row>
    <row r="2730" spans="1:71" ht="25.95" hidden="1" customHeight="1" x14ac:dyDescent="0.3">
      <c r="A2730" s="72" t="s">
        <v>44</v>
      </c>
      <c r="B2730" s="73" t="s">
        <v>44</v>
      </c>
      <c r="C2730" s="74" t="s">
        <v>221</v>
      </c>
      <c r="D2730" s="5" t="s">
        <v>213</v>
      </c>
      <c r="E2730" s="4" t="str" cm="1">
        <f t="array" ref="E2730">_xlfn.IFS(
F2730 = "A partir de Abril", "Aguardando Execução na Distribuidora",
A2730 = "CAPACITAÇÃO", "Em execução no Corporativo",
TRUE, "Em Execução na Distribuidora"
)</f>
        <v>Em Execução na Distribuidora</v>
      </c>
      <c r="F2730" s="4" t="str" cm="1">
        <f t="array" ref="F2730">_xlfn.IFS(
AG2730 &lt;&gt; "", "Jan-Dez/26",
AH2730 &lt;&gt; "", "Fev-Dez/26",
AI2730 &lt;&gt; "", "Mar-Dez/26", AJ2730 &lt;&gt; "", "Abr-Dez/26",
TRUE, "A partir de Junho"
)</f>
        <v>A partir de Junho</v>
      </c>
      <c r="G2730" s="75" t="s">
        <v>44</v>
      </c>
      <c r="H2730" s="76" t="s">
        <v>44</v>
      </c>
      <c r="I2730" s="77"/>
      <c r="J2730" s="77"/>
      <c r="K2730" s="77"/>
      <c r="L2730" s="77" t="s">
        <v>241</v>
      </c>
      <c r="M2730" s="78"/>
      <c r="N2730" s="74" t="s">
        <v>42</v>
      </c>
      <c r="O2730" s="74" t="s">
        <v>52</v>
      </c>
      <c r="P2730" s="75" t="s">
        <v>44</v>
      </c>
      <c r="Q2730" s="75" t="s">
        <v>44</v>
      </c>
      <c r="R2730" s="79" t="s">
        <v>44</v>
      </c>
      <c r="S2730" s="79" t="s">
        <v>44</v>
      </c>
      <c r="T2730" s="22"/>
      <c r="U2730" s="22"/>
      <c r="V2730" s="22"/>
      <c r="W2730" s="22"/>
      <c r="X2730" s="22"/>
      <c r="Y2730" s="22"/>
      <c r="Z2730" s="22"/>
      <c r="AA2730" s="22"/>
      <c r="AB2730" s="22"/>
      <c r="AC2730" s="22"/>
      <c r="AD2730" s="22"/>
      <c r="AE2730" s="22"/>
      <c r="AG2730" s="112"/>
      <c r="AH2730" s="112"/>
      <c r="AI2730" s="112"/>
      <c r="AJ2730" s="71"/>
      <c r="AK2730" s="71"/>
      <c r="AL2730" s="71"/>
      <c r="AM2730" s="71"/>
      <c r="AN2730" s="71"/>
      <c r="AO2730" s="71"/>
      <c r="AP2730" s="71"/>
      <c r="AQ2730" s="71"/>
      <c r="AR2730" s="71"/>
      <c r="AS2730" s="94"/>
      <c r="AT2730" s="95"/>
      <c r="AU2730" s="97"/>
      <c r="AW2730" s="84">
        <f t="shared" si="3311"/>
        <v>0</v>
      </c>
      <c r="AX2730" s="84"/>
      <c r="AY2730" s="84"/>
      <c r="AZ2730" s="84"/>
      <c r="BA2730" s="84"/>
      <c r="BB2730" s="84"/>
      <c r="BC2730" s="84"/>
      <c r="BD2730" s="84"/>
      <c r="BE2730" s="84"/>
      <c r="BF2730" s="84"/>
      <c r="BG2730" s="84"/>
      <c r="BH2730" s="84"/>
      <c r="BI2730" s="68" cm="1">
        <f t="array" ref="BI2730">IFERROR(INDEX(AW2730:BH2730,1,MATCH(2,1/(AW2730:BH2730&lt;&gt;""))),"")</f>
        <v>0</v>
      </c>
      <c r="BJ2730" s="68" t="str" cm="1">
        <f t="array" ref="BJ2730">IF(BM2730 = "", "",IFERROR(INDEX(AW2730:BH2730,1,MATCH(2,1/(AW2730:BH2730&lt;&gt;""),1)-1),""))</f>
        <v/>
      </c>
      <c r="BK2730" s="57" cm="1">
        <f t="array" ref="BK2730">IFERROR(INDEX(AW2730:BH2730,1,MATCH(2,1/(AW2730:BH2730&lt;&gt;""),1)),"")</f>
        <v>0</v>
      </c>
      <c r="BL2730" s="57" t="str" cm="1">
        <f t="array" ref="BL2730">IF(BM2730 = "", "",IFERROR(INDEX(AW2730:BH2730,1,MATCH(2,1/(AW2730:BH2730&lt;&gt;""),1)-1),""))</f>
        <v/>
      </c>
      <c r="BM2730" s="55" t="str" cm="1">
        <f t="array" ref="BM2730">IFERROR(
   INDEX($AW$1:$BH$1,
      _xlfn.AGGREGATE(14, 6, COLUMN($AW$1:$BH$1)/(AW2730:BH2730&lt;&gt;""), 2) - COLUMN($AW$1) + 1
   ),
"")</f>
        <v/>
      </c>
      <c r="BN2730" s="55" cm="1">
        <f t="array" ref="BN2730">IFERROR(INDEX($AW$1:$BH$1,1,MATCH(2,1/(AW2730:BH2730&lt;&gt;""))),"")</f>
        <v>46023</v>
      </c>
      <c r="BO2730" s="53">
        <f ca="1">IFERROR(_xlfn.XLOOKUP(F2730,Apuração!A:A,Apuração!C:C)/_xlfn.XLOOKUP(F2730,Apuração!A:A,Apuração!B:B),0)</f>
        <v>0</v>
      </c>
      <c r="BP2730" s="53">
        <f ca="1">IFERROR(_xlfn.XLOOKUP(F2730,Apuração!A:A,Apuração!D:D)/_xlfn.XLOOKUP(F2730,Apuração!A:A,Apuração!B:B),0)</f>
        <v>0</v>
      </c>
      <c r="BQ2730" s="53">
        <f ca="1">IF(BK2730&gt;=BO2730,0,_xlfn.XLOOKUP(F2730,Apuração!A:A,Apuração!B:B)*(BO2730 + (1/_xlfn.XLOOKUP(F2730,Apuração!A:A,Apuração!B:B)) - BK2730))</f>
        <v>0</v>
      </c>
      <c r="BR2730" s="85">
        <f t="shared" ca="1" si="3310"/>
        <v>0</v>
      </c>
      <c r="BS2730" s="53">
        <f ca="1">IFERROR((_xlfn.XLOOKUP(F2730,Apuração!A:A,Apuração!C:C)+1)/_xlfn.XLOOKUP(F2730,Apuração!A:A,Apuração!B:B),0)</f>
        <v>0.14285714285714285</v>
      </c>
    </row>
    <row r="2731" spans="1:71" ht="25.95" hidden="1" customHeight="1" x14ac:dyDescent="0.3">
      <c r="A2731" s="72" t="s">
        <v>44</v>
      </c>
      <c r="B2731" s="73" t="s">
        <v>44</v>
      </c>
      <c r="C2731" s="74" t="s">
        <v>221</v>
      </c>
      <c r="D2731" s="5" t="s">
        <v>36</v>
      </c>
      <c r="E2731" s="4" t="str" cm="1">
        <f t="array" ref="E2731">_xlfn.IFS(
F2731 = "A partir de Abril", "Aguardando Execução na Distribuidora",
A2731 = "CAPACITAÇÃO", "Em execução no Corporativo",
TRUE, "Em Execução na Distribuidora"
)</f>
        <v>Em Execução na Distribuidora</v>
      </c>
      <c r="F2731" s="4" t="str" cm="1">
        <f t="array" ref="F2731">_xlfn.IFS(
AG2731 &lt;&gt; "", "Jan-Dez/26",
AH2731 &lt;&gt; "", "Fev-Dez/26",
AI2731 &lt;&gt; "", "Mar-Dez/26", AJ2731 &lt;&gt; "", "Abr-Dez/26",
TRUE, "A partir de Junho"
)</f>
        <v>A partir de Junho</v>
      </c>
      <c r="G2731" s="75" t="s">
        <v>44</v>
      </c>
      <c r="H2731" s="76" t="s">
        <v>44</v>
      </c>
      <c r="I2731" s="77"/>
      <c r="J2731" s="77"/>
      <c r="K2731" s="77"/>
      <c r="L2731" s="77" t="s">
        <v>227</v>
      </c>
      <c r="M2731" s="78"/>
      <c r="N2731" s="74" t="s">
        <v>42</v>
      </c>
      <c r="O2731" s="74" t="s">
        <v>52</v>
      </c>
      <c r="P2731" s="75" t="s">
        <v>44</v>
      </c>
      <c r="Q2731" s="75" t="s">
        <v>44</v>
      </c>
      <c r="R2731" s="79" t="s">
        <v>44</v>
      </c>
      <c r="S2731" s="79" t="s">
        <v>44</v>
      </c>
      <c r="T2731" s="22"/>
      <c r="U2731" s="22"/>
      <c r="V2731" s="22"/>
      <c r="W2731" s="22"/>
      <c r="X2731" s="22"/>
      <c r="Y2731" s="22"/>
      <c r="Z2731" s="22"/>
      <c r="AA2731" s="22"/>
      <c r="AB2731" s="22"/>
      <c r="AC2731" s="22"/>
      <c r="AD2731" s="22"/>
      <c r="AE2731" s="22"/>
      <c r="AG2731" s="112"/>
      <c r="AH2731" s="112"/>
      <c r="AI2731" s="112"/>
      <c r="AJ2731" s="112"/>
      <c r="AK2731" s="112"/>
      <c r="AL2731" s="112"/>
      <c r="AM2731" s="112"/>
      <c r="AN2731" s="112"/>
      <c r="AO2731" s="112"/>
      <c r="AP2731" s="112"/>
      <c r="AQ2731" s="112"/>
      <c r="AR2731" s="112"/>
      <c r="AS2731" s="94"/>
      <c r="AT2731" s="95"/>
      <c r="AU2731" s="97"/>
      <c r="AW2731" s="88">
        <f t="shared" ref="AW2731" si="3312">AG2731/100</f>
        <v>0</v>
      </c>
      <c r="AX2731" s="88">
        <f t="shared" ref="AX2731" si="3313">AH2731/100</f>
        <v>0</v>
      </c>
      <c r="AY2731" s="88">
        <f t="shared" ref="AY2731" si="3314">AI2731/100</f>
        <v>0</v>
      </c>
      <c r="AZ2731" s="88">
        <f t="shared" ref="AZ2731" si="3315">AJ2731/100</f>
        <v>0</v>
      </c>
      <c r="BA2731" s="88"/>
      <c r="BB2731" s="88"/>
      <c r="BC2731" s="88"/>
      <c r="BD2731" s="88"/>
      <c r="BE2731" s="88"/>
      <c r="BF2731" s="88"/>
      <c r="BG2731" s="88"/>
      <c r="BH2731" s="88"/>
      <c r="BI2731" s="68" cm="1">
        <f t="array" ref="BI2731">IFERROR(INDEX(AW2731:BH2731,1,MATCH(2,1/(AW2731:BH2731&lt;&gt;""))),"")</f>
        <v>0</v>
      </c>
      <c r="BJ2731" s="68" cm="1">
        <f t="array" ref="BJ2731">IF(BM2731 = "", "",IFERROR(INDEX(AW2731:BH2731,1,MATCH(2,1/(AW2731:BH2731&lt;&gt;""),1)-1),""))</f>
        <v>0</v>
      </c>
      <c r="BK2731" s="57" cm="1">
        <f t="array" ref="BK2731">IFERROR(INDEX(AW2731:BH2731,1,MATCH(2,1/(AW2731:BH2731&lt;&gt;""),1)),"")</f>
        <v>0</v>
      </c>
      <c r="BL2731" s="57" cm="1">
        <f t="array" ref="BL2731">IF(BM2731 = "", "",IFERROR(INDEX(AW2731:BH2731,1,MATCH(2,1/(AW2731:BH2731&lt;&gt;""),1)-1),""))</f>
        <v>0</v>
      </c>
      <c r="BM2731" s="55" cm="1">
        <f t="array" ref="BM2731">IFERROR(
   INDEX($AW$1:$BH$1,
      _xlfn.AGGREGATE(14, 6, COLUMN($AW$1:$BH$1)/(AW2731:BH2731&lt;&gt;""), 2) - COLUMN($AW$1) + 1
   ),
"")</f>
        <v>46082</v>
      </c>
      <c r="BN2731" s="55" cm="1">
        <f t="array" ref="BN2731">IFERROR(INDEX($AW$1:$BH$1,1,MATCH(2,1/(AW2731:BH2731&lt;&gt;""))),"")</f>
        <v>46113</v>
      </c>
      <c r="BO2731" s="53">
        <f ca="1">IFERROR(_xlfn.XLOOKUP(F2731,Apuração!A:A,Apuração!C:C)/_xlfn.XLOOKUP(F2731,Apuração!A:A,Apuração!B:B),0)</f>
        <v>0</v>
      </c>
      <c r="BP2731" s="53">
        <f ca="1">IFERROR(_xlfn.XLOOKUP(F2731,Apuração!A:A,Apuração!D:D)/_xlfn.XLOOKUP(F2731,Apuração!A:A,Apuração!B:B),0)</f>
        <v>0</v>
      </c>
      <c r="BQ2731" s="53">
        <f ca="1">IF(BK2731&gt;=BO2731,0,_xlfn.XLOOKUP(F2731,Apuração!A:A,Apuração!B:B)*(BO2731 + (1/_xlfn.XLOOKUP(F2731,Apuração!A:A,Apuração!B:B)) - BK2731))</f>
        <v>0</v>
      </c>
      <c r="BR2731" s="85">
        <f t="shared" ref="BR2731" ca="1" si="3316">IF(BQ2731=0,0,BQ2731*Z2731)</f>
        <v>0</v>
      </c>
      <c r="BS2731" s="53">
        <f ca="1">IFERROR((_xlfn.XLOOKUP(F2731,Apuração!A:A,Apuração!C:C)+1)/_xlfn.XLOOKUP(F2731,Apuração!A:A,Apuração!B:B),0)</f>
        <v>0.14285714285714285</v>
      </c>
    </row>
    <row r="2732" spans="1:71" ht="25.95" hidden="1" customHeight="1" x14ac:dyDescent="0.3">
      <c r="A2732" s="72" t="s">
        <v>44</v>
      </c>
      <c r="B2732" s="73" t="s">
        <v>44</v>
      </c>
      <c r="C2732" s="74" t="s">
        <v>221</v>
      </c>
      <c r="D2732" s="5" t="s">
        <v>212</v>
      </c>
      <c r="E2732" s="4" t="str" cm="1">
        <f t="array" ref="E2732">_xlfn.IFS(
F2732 = "A partir de Abril", "Aguardando Execução na Distribuidora",
A2732 = "CAPACITAÇÃO", "Em execução no Corporativo",
TRUE, "Em Execução na Distribuidora"
)</f>
        <v>Em Execução na Distribuidora</v>
      </c>
      <c r="F2732" s="4" t="str" cm="1">
        <f t="array" ref="F2732">_xlfn.IFS(
AG2732 &lt;&gt; "", "Jan-Dez/26",
AH2732 &lt;&gt; "", "Fev-Dez/26",
AI2732 &lt;&gt; "", "Mar-Dez/26", AJ2732 &lt;&gt; "", "Abr-Dez/26",
TRUE, "A partir de Junho"
)</f>
        <v>A partir de Junho</v>
      </c>
      <c r="G2732" s="75" t="s">
        <v>44</v>
      </c>
      <c r="H2732" s="76" t="s">
        <v>44</v>
      </c>
      <c r="I2732" s="77"/>
      <c r="J2732" s="77"/>
      <c r="K2732" s="77"/>
      <c r="L2732" s="77" t="s">
        <v>227</v>
      </c>
      <c r="M2732" s="78"/>
      <c r="N2732" s="74" t="s">
        <v>42</v>
      </c>
      <c r="O2732" s="74" t="s">
        <v>52</v>
      </c>
      <c r="P2732" s="75" t="s">
        <v>44</v>
      </c>
      <c r="Q2732" s="75" t="s">
        <v>44</v>
      </c>
      <c r="R2732" s="79" t="s">
        <v>44</v>
      </c>
      <c r="S2732" s="79" t="s">
        <v>44</v>
      </c>
      <c r="T2732" s="22"/>
      <c r="U2732" s="22"/>
      <c r="V2732" s="22"/>
      <c r="W2732" s="22"/>
      <c r="X2732" s="22"/>
      <c r="Y2732" s="22"/>
      <c r="Z2732" s="22"/>
      <c r="AA2732" s="22"/>
      <c r="AB2732" s="22"/>
      <c r="AC2732" s="22"/>
      <c r="AD2732" s="22"/>
      <c r="AE2732" s="22"/>
      <c r="AG2732" s="71"/>
      <c r="AH2732" s="71"/>
      <c r="AI2732" s="71"/>
      <c r="AJ2732" s="71"/>
      <c r="AK2732" s="71"/>
      <c r="AL2732" s="71"/>
      <c r="AM2732" s="71"/>
      <c r="AN2732" s="71"/>
      <c r="AO2732" s="71"/>
      <c r="AP2732" s="71"/>
      <c r="AQ2732" s="71"/>
      <c r="AR2732" s="71"/>
      <c r="AS2732" s="94"/>
      <c r="AT2732" s="95"/>
      <c r="AU2732" s="97"/>
      <c r="AW2732" s="88">
        <f t="shared" ref="AW2732:AW2733" si="3317">AG2732/100</f>
        <v>0</v>
      </c>
      <c r="AX2732" s="88"/>
      <c r="AY2732" s="88"/>
      <c r="AZ2732" s="88"/>
      <c r="BA2732" s="88"/>
      <c r="BB2732" s="88"/>
      <c r="BC2732" s="88"/>
      <c r="BD2732" s="88"/>
      <c r="BE2732" s="88"/>
      <c r="BF2732" s="88"/>
      <c r="BG2732" s="88"/>
      <c r="BH2732" s="88"/>
      <c r="BI2732" s="68" cm="1">
        <f t="array" ref="BI2732">IFERROR(INDEX(AW2732:BH2732,1,MATCH(2,1/(AW2732:BH2732&lt;&gt;""))),"")</f>
        <v>0</v>
      </c>
      <c r="BJ2732" s="68" t="str" cm="1">
        <f t="array" ref="BJ2732">IF(BM2732 = "", "",IFERROR(INDEX(AW2732:BH2732,1,MATCH(2,1/(AW2732:BH2732&lt;&gt;""),1)-1),""))</f>
        <v/>
      </c>
      <c r="BK2732" s="57" cm="1">
        <f t="array" ref="BK2732">IFERROR(INDEX(AW2732:BH2732,1,MATCH(2,1/(AW2732:BH2732&lt;&gt;""),1)),"")</f>
        <v>0</v>
      </c>
      <c r="BL2732" s="57" t="str" cm="1">
        <f t="array" ref="BL2732">IF(BM2732 = "", "",IFERROR(INDEX(AW2732:BH2732,1,MATCH(2,1/(AW2732:BH2732&lt;&gt;""),1)-1),""))</f>
        <v/>
      </c>
      <c r="BM2732" s="55" t="str" cm="1">
        <f t="array" ref="BM2732">IFERROR(
   INDEX($AW$1:$BH$1,
      _xlfn.AGGREGATE(14, 6, COLUMN($AW$1:$BH$1)/(AW2732:BH2732&lt;&gt;""), 2) - COLUMN($AW$1) + 1
   ),
"")</f>
        <v/>
      </c>
      <c r="BN2732" s="55" cm="1">
        <f t="array" ref="BN2732">IFERROR(INDEX($AW$1:$BH$1,1,MATCH(2,1/(AW2732:BH2732&lt;&gt;""))),"")</f>
        <v>46023</v>
      </c>
      <c r="BO2732" s="53">
        <f ca="1">IFERROR(_xlfn.XLOOKUP(F2732,Apuração!A:A,Apuração!C:C)/_xlfn.XLOOKUP(F2732,Apuração!A:A,Apuração!B:B),0)</f>
        <v>0</v>
      </c>
      <c r="BP2732" s="53">
        <f ca="1">IFERROR(_xlfn.XLOOKUP(F2732,Apuração!A:A,Apuração!D:D)/_xlfn.XLOOKUP(F2732,Apuração!A:A,Apuração!B:B),0)</f>
        <v>0</v>
      </c>
      <c r="BQ2732" s="53">
        <f ca="1">IF(BK2732&gt;=BO2732,0,_xlfn.XLOOKUP(F2732,Apuração!A:A,Apuração!B:B)*(BO2732 + (1/_xlfn.XLOOKUP(F2732,Apuração!A:A,Apuração!B:B)) - BK2732))</f>
        <v>0</v>
      </c>
      <c r="BR2732" s="85">
        <f t="shared" ref="BR2732:BR2733" ca="1" si="3318">IF(BQ2732=0,0,BQ2732*Z2732)</f>
        <v>0</v>
      </c>
      <c r="BS2732" s="53">
        <f ca="1">IFERROR((_xlfn.XLOOKUP(F2732,Apuração!A:A,Apuração!C:C)+1)/_xlfn.XLOOKUP(F2732,Apuração!A:A,Apuração!B:B),0)</f>
        <v>0.14285714285714285</v>
      </c>
    </row>
    <row r="2733" spans="1:71" ht="25.95" hidden="1" customHeight="1" x14ac:dyDescent="0.3">
      <c r="A2733" s="72" t="s">
        <v>44</v>
      </c>
      <c r="B2733" s="73" t="s">
        <v>44</v>
      </c>
      <c r="C2733" s="74" t="s">
        <v>221</v>
      </c>
      <c r="D2733" s="5" t="s">
        <v>213</v>
      </c>
      <c r="E2733" s="4" t="str" cm="1">
        <f t="array" ref="E2733">_xlfn.IFS(
F2733 = "A partir de Abril", "Aguardando Execução na Distribuidora",
A2733 = "CAPACITAÇÃO", "Em execução no Corporativo",
TRUE, "Em Execução na Distribuidora"
)</f>
        <v>Em Execução na Distribuidora</v>
      </c>
      <c r="F2733" s="4" t="str" cm="1">
        <f t="array" ref="F2733">_xlfn.IFS(
AG2733 &lt;&gt; "", "Jan-Dez/26",
AH2733 &lt;&gt; "", "Fev-Dez/26",
AI2733 &lt;&gt; "", "Mar-Dez/26", AJ2733 &lt;&gt; "", "Abr-Dez/26",
TRUE, "A partir de Junho"
)</f>
        <v>A partir de Junho</v>
      </c>
      <c r="G2733" s="75" t="s">
        <v>44</v>
      </c>
      <c r="H2733" s="76" t="s">
        <v>44</v>
      </c>
      <c r="I2733" s="77"/>
      <c r="J2733" s="77"/>
      <c r="K2733" s="77"/>
      <c r="L2733" s="77" t="s">
        <v>227</v>
      </c>
      <c r="M2733" s="78"/>
      <c r="N2733" s="74" t="s">
        <v>42</v>
      </c>
      <c r="O2733" s="74" t="s">
        <v>52</v>
      </c>
      <c r="P2733" s="75" t="s">
        <v>44</v>
      </c>
      <c r="Q2733" s="75" t="s">
        <v>44</v>
      </c>
      <c r="R2733" s="79" t="s">
        <v>44</v>
      </c>
      <c r="S2733" s="79" t="s">
        <v>44</v>
      </c>
      <c r="T2733" s="22"/>
      <c r="U2733" s="22"/>
      <c r="V2733" s="22"/>
      <c r="W2733" s="22"/>
      <c r="X2733" s="22"/>
      <c r="Y2733" s="22"/>
      <c r="Z2733" s="22"/>
      <c r="AA2733" s="22"/>
      <c r="AB2733" s="22"/>
      <c r="AC2733" s="22"/>
      <c r="AD2733" s="22"/>
      <c r="AE2733" s="22"/>
      <c r="AG2733" s="71"/>
      <c r="AH2733" s="71"/>
      <c r="AI2733" s="71"/>
      <c r="AJ2733" s="71"/>
      <c r="AK2733" s="71"/>
      <c r="AL2733" s="71"/>
      <c r="AM2733" s="71"/>
      <c r="AN2733" s="71"/>
      <c r="AO2733" s="71"/>
      <c r="AP2733" s="71"/>
      <c r="AQ2733" s="71"/>
      <c r="AR2733" s="71"/>
      <c r="AS2733" s="94"/>
      <c r="AT2733" s="95"/>
      <c r="AU2733" s="97"/>
      <c r="AW2733" s="88">
        <f t="shared" si="3317"/>
        <v>0</v>
      </c>
      <c r="AX2733" s="88"/>
      <c r="AY2733" s="88"/>
      <c r="AZ2733" s="88"/>
      <c r="BA2733" s="88"/>
      <c r="BB2733" s="88"/>
      <c r="BC2733" s="88"/>
      <c r="BD2733" s="88"/>
      <c r="BE2733" s="88"/>
      <c r="BF2733" s="88"/>
      <c r="BG2733" s="88"/>
      <c r="BH2733" s="88"/>
      <c r="BI2733" s="68" cm="1">
        <f t="array" ref="BI2733">IFERROR(INDEX(AW2733:BH2733,1,MATCH(2,1/(AW2733:BH2733&lt;&gt;""))),"")</f>
        <v>0</v>
      </c>
      <c r="BJ2733" s="68" t="str" cm="1">
        <f t="array" ref="BJ2733">IF(BM2733 = "", "",IFERROR(INDEX(AW2733:BH2733,1,MATCH(2,1/(AW2733:BH2733&lt;&gt;""),1)-1),""))</f>
        <v/>
      </c>
      <c r="BK2733" s="57" cm="1">
        <f t="array" ref="BK2733">IFERROR(INDEX(AW2733:BH2733,1,MATCH(2,1/(AW2733:BH2733&lt;&gt;""),1)),"")</f>
        <v>0</v>
      </c>
      <c r="BL2733" s="57" t="str" cm="1">
        <f t="array" ref="BL2733">IF(BM2733 = "", "",IFERROR(INDEX(AW2733:BH2733,1,MATCH(2,1/(AW2733:BH2733&lt;&gt;""),1)-1),""))</f>
        <v/>
      </c>
      <c r="BM2733" s="55" t="str" cm="1">
        <f t="array" ref="BM2733">IFERROR(
   INDEX($AW$1:$BH$1,
      _xlfn.AGGREGATE(14, 6, COLUMN($AW$1:$BH$1)/(AW2733:BH2733&lt;&gt;""), 2) - COLUMN($AW$1) + 1
   ),
"")</f>
        <v/>
      </c>
      <c r="BN2733" s="55" cm="1">
        <f t="array" ref="BN2733">IFERROR(INDEX($AW$1:$BH$1,1,MATCH(2,1/(AW2733:BH2733&lt;&gt;""))),"")</f>
        <v>46023</v>
      </c>
      <c r="BO2733" s="53">
        <f ca="1">IFERROR(_xlfn.XLOOKUP(F2733,Apuração!A:A,Apuração!C:C)/_xlfn.XLOOKUP(F2733,Apuração!A:A,Apuração!B:B),0)</f>
        <v>0</v>
      </c>
      <c r="BP2733" s="53">
        <f ca="1">IFERROR(_xlfn.XLOOKUP(F2733,Apuração!A:A,Apuração!D:D)/_xlfn.XLOOKUP(F2733,Apuração!A:A,Apuração!B:B),0)</f>
        <v>0</v>
      </c>
      <c r="BQ2733" s="53">
        <f ca="1">IF(BK2733&gt;=BO2733,0,_xlfn.XLOOKUP(F2733,Apuração!A:A,Apuração!B:B)*(BO2733 + (1/_xlfn.XLOOKUP(F2733,Apuração!A:A,Apuração!B:B)) - BK2733))</f>
        <v>0</v>
      </c>
      <c r="BR2733" s="85">
        <f t="shared" ca="1" si="3318"/>
        <v>0</v>
      </c>
      <c r="BS2733" s="53">
        <f ca="1">IFERROR((_xlfn.XLOOKUP(F2733,Apuração!A:A,Apuração!C:C)+1)/_xlfn.XLOOKUP(F2733,Apuração!A:A,Apuração!B:B),0)</f>
        <v>0.14285714285714285</v>
      </c>
    </row>
    <row r="2734" spans="1:71" ht="25.95" hidden="1" customHeight="1" x14ac:dyDescent="0.3">
      <c r="A2734" s="72" t="s">
        <v>44</v>
      </c>
      <c r="B2734" s="73" t="s">
        <v>44</v>
      </c>
      <c r="C2734" s="74" t="s">
        <v>239</v>
      </c>
      <c r="D2734" s="74" t="s">
        <v>36</v>
      </c>
      <c r="E2734" s="4" t="str" cm="1">
        <f t="array" ref="E2734">_xlfn.IFS(
F2734 = "A partir de Abril", "Aguardando Execução na Distribuidora",
A2734 = "CAPACITAÇÃO", "Em execução no Corporativo",
TRUE, "Em Execução na Distribuidora"
)</f>
        <v>Em Execução na Distribuidora</v>
      </c>
      <c r="F2734" s="4" t="str" cm="1">
        <f t="array" ref="F2734">_xlfn.IFS(
AG2734 &lt;&gt; "", "Jan-Dez/26",
AH2734 &lt;&gt; "", "Fev-Dez/26",
AI2734 &lt;&gt; "", "Mar-Dez/26", AJ2734 &lt;&gt; "", "Abr-Dez/26",
TRUE, "A partir de Junho"
)</f>
        <v>A partir de Junho</v>
      </c>
      <c r="G2734" s="75" t="s">
        <v>37</v>
      </c>
      <c r="H2734" s="76" t="s">
        <v>44</v>
      </c>
      <c r="I2734" s="77"/>
      <c r="J2734" s="77"/>
      <c r="K2734" s="77"/>
      <c r="L2734" s="77" t="s">
        <v>227</v>
      </c>
      <c r="M2734" s="78"/>
      <c r="N2734" s="74" t="s">
        <v>42</v>
      </c>
      <c r="O2734" s="74" t="s">
        <v>52</v>
      </c>
      <c r="P2734" s="75" t="s">
        <v>44</v>
      </c>
      <c r="Q2734" s="75" t="s">
        <v>44</v>
      </c>
      <c r="R2734" s="79" t="s">
        <v>44</v>
      </c>
      <c r="S2734" s="79" t="s">
        <v>44</v>
      </c>
      <c r="T2734" s="22"/>
      <c r="U2734" s="22"/>
      <c r="V2734" s="22"/>
      <c r="W2734" s="22"/>
      <c r="X2734" s="22"/>
      <c r="Y2734" s="22"/>
      <c r="Z2734" s="22"/>
      <c r="AA2734" s="22"/>
      <c r="AB2734" s="22"/>
      <c r="AC2734" s="22"/>
      <c r="AD2734" s="22"/>
      <c r="AE2734" s="22"/>
      <c r="AG2734" s="112"/>
      <c r="AH2734" s="112"/>
      <c r="AI2734" s="112"/>
      <c r="AJ2734" s="112"/>
      <c r="AK2734" s="112"/>
      <c r="AL2734" s="112"/>
      <c r="AM2734" s="112"/>
      <c r="AN2734" s="112"/>
      <c r="AO2734" s="112"/>
      <c r="AP2734" s="112"/>
      <c r="AQ2734" s="112"/>
      <c r="AR2734" s="112"/>
      <c r="AS2734" s="113" t="str" cm="1">
        <f t="array" ref="AS2734">IFERROR(INDEX(T2734:AE2734,1,MATCH(2,1/(T2734:AE2734&lt;&gt;""))),"")</f>
        <v/>
      </c>
      <c r="AT2734" s="114" t="str" cm="1">
        <f t="array" ref="AT2734">IFERROR(INDEX(AG2734:AR2734,1,MATCH(2,1/(AG2734:AR2734&lt;&gt;""))),"")</f>
        <v/>
      </c>
      <c r="AU2734" s="97" t="str">
        <f>AT2734</f>
        <v/>
      </c>
      <c r="AW2734" s="88">
        <f t="shared" ref="AW2734" si="3319">AG2734/100</f>
        <v>0</v>
      </c>
      <c r="AX2734" s="88">
        <f>AH2734/100</f>
        <v>0</v>
      </c>
      <c r="AY2734" s="88">
        <f>AI2734/100</f>
        <v>0</v>
      </c>
      <c r="AZ2734" s="88">
        <f>AJ2734/100</f>
        <v>0</v>
      </c>
      <c r="BA2734" s="88"/>
      <c r="BB2734" s="88"/>
      <c r="BC2734" s="88"/>
      <c r="BD2734" s="88"/>
      <c r="BE2734" s="88"/>
      <c r="BF2734" s="88"/>
      <c r="BG2734" s="88"/>
      <c r="BH2734" s="88"/>
      <c r="BI2734" s="68" cm="1">
        <f t="array" ref="BI2734">IFERROR(INDEX(AW2734:BH2734,1,MATCH(2,1/(AW2734:BH2734&lt;&gt;""))),"")</f>
        <v>0</v>
      </c>
      <c r="BJ2734" s="68" cm="1">
        <f t="array" ref="BJ2734">IF(BM2734 = "", "",IFERROR(INDEX(AW2734:BH2734,1,MATCH(2,1/(AW2734:BH2734&lt;&gt;""),1)-1),""))</f>
        <v>0</v>
      </c>
      <c r="BK2734" s="57" cm="1">
        <f t="array" ref="BK2734">IFERROR(INDEX(AW2734:BH2734,1,MATCH(2,1/(AW2734:BH2734&lt;&gt;""),1)),"")</f>
        <v>0</v>
      </c>
      <c r="BL2734" s="57" cm="1">
        <f t="array" ref="BL2734">IF(BM2734 = "", "",IFERROR(INDEX(AW2734:BH2734,1,MATCH(2,1/(AW2734:BH2734&lt;&gt;""),1)-1),""))</f>
        <v>0</v>
      </c>
      <c r="BM2734" s="55" cm="1">
        <f t="array" ref="BM2734">IFERROR(
   INDEX($AW$1:$BH$1,
      _xlfn.AGGREGATE(14, 6, COLUMN($AW$1:$BH$1)/(AW2734:BH2734&lt;&gt;""), 2) - COLUMN($AW$1) + 1
   ),
"")</f>
        <v>46082</v>
      </c>
      <c r="BN2734" s="55" cm="1">
        <f t="array" ref="BN2734">IFERROR(INDEX($AW$1:$BH$1,1,MATCH(2,1/(AW2734:BH2734&lt;&gt;""))),"")</f>
        <v>46113</v>
      </c>
      <c r="BO2734" s="53">
        <f ca="1">IFERROR(_xlfn.XLOOKUP(F2734,Apuração!A:A,Apuração!C:C)/_xlfn.XLOOKUP(F2734,Apuração!A:A,Apuração!B:B),0)</f>
        <v>0</v>
      </c>
      <c r="BP2734" s="53">
        <f ca="1">IFERROR(_xlfn.XLOOKUP(F2734,Apuração!A:A,Apuração!D:D)/_xlfn.XLOOKUP(F2734,Apuração!A:A,Apuração!B:B),0)</f>
        <v>0</v>
      </c>
      <c r="BQ2734" s="53">
        <f ca="1">IF(BK2734&gt;=BO2734,0,_xlfn.XLOOKUP(F2734,Apuração!A:A,Apuração!B:B)*(BO2734 + (1/_xlfn.XLOOKUP(F2734,Apuração!A:A,Apuração!B:B)) - BK2734))</f>
        <v>0</v>
      </c>
      <c r="BR2734" s="85">
        <f t="shared" ref="BR2734" ca="1" si="3320">IF(BQ2734=0,0,BQ2734*Z2734)</f>
        <v>0</v>
      </c>
      <c r="BS2734" s="53">
        <f ca="1">IFERROR((_xlfn.XLOOKUP(F2734,Apuração!A:A,Apuração!C:C)+1)/_xlfn.XLOOKUP(F2734,Apuração!A:A,Apuração!B:B),0)</f>
        <v>0.14285714285714285</v>
      </c>
    </row>
    <row r="2735" spans="1:71" ht="25.95" hidden="1" customHeight="1" x14ac:dyDescent="0.3">
      <c r="A2735" s="101" t="s">
        <v>242</v>
      </c>
      <c r="B2735" s="4" t="s">
        <v>243</v>
      </c>
      <c r="C2735" s="5" t="s">
        <v>35</v>
      </c>
      <c r="D2735" s="5" t="s">
        <v>36</v>
      </c>
      <c r="E2735" s="4" t="str" cm="1">
        <f t="array" ref="E2735">_xlfn.IFS(
F2735 = "A partir de Abril", "Aguardando Execução na Distribuidora",
A2735 = "CAPACITAÇÃO", "Em execução no Corporativo",
TRUE, "Em Execução na Distribuidora"
)</f>
        <v>Em Execução na Distribuidora</v>
      </c>
      <c r="F2735" s="4" t="str" cm="1">
        <f t="array" ref="F2735">_xlfn.IFS(
AG2735 &lt;&gt; "", "Jan-Dez/26",
AH2735 &lt;&gt; "", "Fev-Dez/26",
AI2735 &lt;&gt; "", "Mar-Dez/26", AJ2735 &lt;&gt; "", "Abr-Dez/26",
TRUE, "A partir de Junho"
)</f>
        <v>A partir de Junho</v>
      </c>
      <c r="G2735" s="4" t="s">
        <v>37</v>
      </c>
      <c r="H2735" s="7" t="s">
        <v>38</v>
      </c>
      <c r="I2735" s="21"/>
      <c r="J2735" s="8"/>
      <c r="K2735" s="8"/>
      <c r="L2735" s="9"/>
      <c r="M2735" s="13"/>
      <c r="N2735" s="74" t="s">
        <v>42</v>
      </c>
      <c r="O2735" s="5" t="s">
        <v>52</v>
      </c>
      <c r="P2735" s="10" t="s">
        <v>146</v>
      </c>
      <c r="Q2735" s="10" t="s">
        <v>44</v>
      </c>
      <c r="R2735" s="11" t="s">
        <v>44</v>
      </c>
      <c r="S2735" s="11" t="s">
        <v>44</v>
      </c>
      <c r="T2735" s="22"/>
      <c r="U2735" s="22"/>
      <c r="V2735" s="22"/>
      <c r="W2735" s="22"/>
      <c r="X2735" s="22"/>
      <c r="Y2735" s="22"/>
      <c r="Z2735" s="22"/>
      <c r="AA2735" s="22"/>
      <c r="AB2735" s="22"/>
      <c r="AC2735" s="22"/>
      <c r="AD2735" s="22"/>
      <c r="AE2735" s="22"/>
      <c r="AG2735" s="71"/>
      <c r="AH2735" s="71"/>
      <c r="AI2735" s="71"/>
      <c r="AJ2735" s="71"/>
      <c r="AK2735" s="71"/>
      <c r="AL2735" s="71"/>
      <c r="AM2735" s="71"/>
      <c r="AN2735" s="71"/>
      <c r="AO2735" s="71"/>
      <c r="AP2735" s="71"/>
      <c r="AQ2735" s="71"/>
      <c r="AR2735" s="71"/>
      <c r="AS2735" s="94"/>
      <c r="AT2735" s="95"/>
      <c r="AU2735" s="97"/>
      <c r="AW2735" s="52">
        <f>(COUNTIFS(C:C,"AL",F:F,"&lt;&gt;A partir de Fevereiro",F:F,"&lt;&gt;Não se aplica",N:N,"Indicador",F:F,"&lt;&gt;-")-2)</f>
        <v>118</v>
      </c>
      <c r="AX2735" s="52"/>
      <c r="AY2735" s="52"/>
      <c r="AZ2735" s="52"/>
      <c r="BA2735" s="52"/>
      <c r="BB2735" s="52"/>
      <c r="BC2735" s="52"/>
      <c r="BD2735" s="52"/>
      <c r="BE2735" s="52"/>
      <c r="BF2735" s="52"/>
      <c r="BG2735" s="52"/>
      <c r="BH2735" s="52"/>
      <c r="BI2735" s="68" cm="1">
        <f t="array" ref="BI2735">IFERROR(INDEX(AW2735:BH2735,1,MATCH(2,1/(AW2735:BH2735&lt;&gt;""))),"")</f>
        <v>118</v>
      </c>
      <c r="BJ2735" s="68" t="str" cm="1">
        <f t="array" ref="BJ2735">IF(BM2735 = "", "",IFERROR(INDEX(AW2735:BH2735,1,MATCH(2,1/(AW2735:BH2735&lt;&gt;""),1)-1),""))</f>
        <v/>
      </c>
      <c r="BK2735" s="98">
        <f>SUM(BK200,BK191,BK182,BK173,BK164,BK163,BK160,BK155,BK152,BK146,BK141,BK131,BK125,BK116,BK110,BK101,BK92,BK60,BK58,BK56,BK50,BK44,BK38,BK32,BK26,BK20,BK12,BK8,BK2)/(COUNTIFS(C:C,"AL",F:F,"&lt;&gt;A partir de Fevereiro",F:F,"&lt;&gt;Não se aplica",N:N,"Indicador",F:F,"&lt;&gt;-")-2)</f>
        <v>12.697245762711864</v>
      </c>
      <c r="BL2735" s="98">
        <f ca="1">SUM(BL200,BL191,BL182,BL173,BL164,BL163,BL160,BL155,BL152,BL146,BL141,BL131,BL125,BL116,BL110,BL101,BL92,BL60,BL58,BL56,BL50,BL44,BL38,BL32,BL26,BL20,BL12,BL8,BL2)/(COUNTIFS(C:C,"AL",F:F,"&lt;&gt;A partir de Fevereiro",F:F,"&lt;&gt;Não se aplica",N:N,"Indicador",F:F,"&lt;&gt;-")-2)</f>
        <v>0.26180020544427324</v>
      </c>
      <c r="BM2735" s="55" t="str" cm="1">
        <f t="array" ref="BM2735">IFERROR(
   INDEX($AW$1:$BH$1,
      _xlfn.AGGREGATE(14, 6, COLUMN($AW$1:$BH$1)/(AW2735:BH2735&lt;&gt;""), 2) - COLUMN($AW$1) + 1
   ),
"")</f>
        <v/>
      </c>
      <c r="BN2735" s="55" cm="1">
        <f t="array" ref="BN2735">IFERROR(INDEX($AW$1:$BH$1,1,MATCH(2,1/(AW2735:BH2735&lt;&gt;""))),"")</f>
        <v>46023</v>
      </c>
      <c r="BO2735" s="53">
        <v>0</v>
      </c>
      <c r="BP2735" s="53">
        <v>0</v>
      </c>
      <c r="BQ2735" s="53">
        <v>0</v>
      </c>
      <c r="BR2735" s="53">
        <v>0</v>
      </c>
      <c r="BS2735" s="53">
        <v>0</v>
      </c>
    </row>
    <row r="2736" spans="1:71" ht="25.95" hidden="1" customHeight="1" x14ac:dyDescent="0.3">
      <c r="A2736" s="101" t="s">
        <v>242</v>
      </c>
      <c r="B2736" s="4" t="s">
        <v>243</v>
      </c>
      <c r="C2736" s="5" t="s">
        <v>35</v>
      </c>
      <c r="D2736" s="5" t="s">
        <v>47</v>
      </c>
      <c r="E2736" s="4" t="str" cm="1">
        <f t="array" ref="E2736">_xlfn.IFS(
F2736 = "A partir de Abril", "Aguardando Execução na Distribuidora",
A2736 = "CAPACITAÇÃO", "Em execução no Corporativo",
TRUE, "Em Execução na Distribuidora"
)</f>
        <v>Em Execução na Distribuidora</v>
      </c>
      <c r="F2736" s="4" t="str" cm="1">
        <f t="array" ref="F2736">_xlfn.IFS(
AG2736 &lt;&gt; "", "Jan-Dez/26",
AH2736 &lt;&gt; "", "Fev-Dez/26",
AI2736 &lt;&gt; "", "Mar-Dez/26", AJ2736 &lt;&gt; "", "Abr-Dez/26",
TRUE, "A partir de Junho"
)</f>
        <v>A partir de Junho</v>
      </c>
      <c r="G2736" s="4" t="s">
        <v>37</v>
      </c>
      <c r="H2736" s="7" t="s">
        <v>38</v>
      </c>
      <c r="I2736" s="21"/>
      <c r="J2736" s="8"/>
      <c r="K2736" s="8"/>
      <c r="L2736" s="9"/>
      <c r="M2736" s="13"/>
      <c r="N2736" s="74" t="s">
        <v>42</v>
      </c>
      <c r="O2736" s="5" t="s">
        <v>52</v>
      </c>
      <c r="P2736" s="10" t="s">
        <v>146</v>
      </c>
      <c r="Q2736" s="10" t="s">
        <v>44</v>
      </c>
      <c r="R2736" s="11" t="s">
        <v>44</v>
      </c>
      <c r="S2736" s="11" t="s">
        <v>44</v>
      </c>
      <c r="T2736" s="22"/>
      <c r="U2736" s="22"/>
      <c r="V2736" s="22"/>
      <c r="W2736" s="22"/>
      <c r="X2736" s="22"/>
      <c r="Y2736" s="22"/>
      <c r="Z2736" s="22"/>
      <c r="AA2736" s="22"/>
      <c r="AB2736" s="22"/>
      <c r="AC2736" s="22"/>
      <c r="AD2736" s="22"/>
      <c r="AE2736" s="22"/>
      <c r="AG2736" s="71"/>
      <c r="AH2736" s="71"/>
      <c r="AI2736" s="71"/>
      <c r="AJ2736" s="71"/>
      <c r="AK2736" s="71"/>
      <c r="AL2736" s="71"/>
      <c r="AM2736" s="71"/>
      <c r="AN2736" s="71"/>
      <c r="AO2736" s="71"/>
      <c r="AP2736" s="71"/>
      <c r="AQ2736" s="71"/>
      <c r="AR2736" s="71"/>
      <c r="AS2736" s="94"/>
      <c r="AT2736" s="95"/>
      <c r="AU2736" s="97"/>
      <c r="AW2736" s="52">
        <f>(COUNTIFS(C:C,"AL",F:F,"&lt;&gt;A partir de Fevereiro",F:F,"&lt;&gt;Não se aplica",N:N,"Indicador",F:F,"&lt;&gt;-")-2)</f>
        <v>118</v>
      </c>
      <c r="AX2736" s="52"/>
      <c r="AY2736" s="52"/>
      <c r="AZ2736" s="52"/>
      <c r="BA2736" s="52"/>
      <c r="BB2736" s="52"/>
      <c r="BC2736" s="52"/>
      <c r="BD2736" s="52"/>
      <c r="BE2736" s="52"/>
      <c r="BF2736" s="52"/>
      <c r="BG2736" s="52"/>
      <c r="BH2736" s="52"/>
      <c r="BI2736" s="68" cm="1">
        <f t="array" ref="BI2736">IFERROR(INDEX(AW2736:BH2736,1,MATCH(2,1/(AW2736:BH2736&lt;&gt;""))),"")</f>
        <v>118</v>
      </c>
      <c r="BJ2736" s="68" t="str" cm="1">
        <f t="array" ref="BJ2736">IF(BM2736 = "", "",IFERROR(INDEX(AW2736:BH2736,1,MATCH(2,1/(AW2736:BH2736&lt;&gt;""),1)-1),""))</f>
        <v/>
      </c>
      <c r="BK2736" s="98">
        <f>SUM(BK201,BK192,BK183,BK174,BK165,BK164,BK161,BK156,BK153,BK147,BK144,BK132,BK126,BK117,BK111,BK102,BK93,BK61,BK59,BK57,BK51,BK45,BK39,BK33,BK27,BK21,BK13,BK9,BK3)/(COUNTIFS(C:C,"AL",F:F,"&lt;&gt;A partir de Fevereiro",F:F,"&lt;&gt;Não se aplica",N:N,"Indicador",F:F,"&lt;&gt;-")-2)</f>
        <v>19.34893425783256</v>
      </c>
      <c r="BL2736" s="98">
        <f ca="1">SUM(BL201,BL192,BL183,BL174,BL165,BL164,BL161,BL156,BL153,BL147,BL144,BL132,BL126,BL117,BL111,BL102,BL93,BL61,BL59,BL57,BL51,BL45,BL39,BL33,BL27,BL21,BL13,BL9,BL3)/(COUNTIFS(C:C,"AL",F:F,"&lt;&gt;A partir de Fevereiro",F:F,"&lt;&gt;Não se aplica",N:N,"Indicador",F:F,"&lt;&gt;-")-2)</f>
        <v>0.41657036466358499</v>
      </c>
      <c r="BM2736" s="55" t="str" cm="1">
        <f t="array" ref="BM2736">IFERROR(
   INDEX($AW$1:$BH$1,
      _xlfn.AGGREGATE(14, 6, COLUMN($AW$1:$BH$1)/(AW2736:BH2736&lt;&gt;""), 2) - COLUMN($AW$1) + 1
   ),
"")</f>
        <v/>
      </c>
      <c r="BN2736" s="55" cm="1">
        <f t="array" ref="BN2736">IFERROR(INDEX($AW$1:$BH$1,1,MATCH(2,1/(AW2736:BH2736&lt;&gt;""))),"")</f>
        <v>46023</v>
      </c>
      <c r="BO2736" s="53">
        <v>0</v>
      </c>
      <c r="BP2736" s="53">
        <v>0</v>
      </c>
      <c r="BQ2736" s="53">
        <v>0</v>
      </c>
      <c r="BR2736" s="53">
        <v>0</v>
      </c>
      <c r="BS2736" s="53">
        <v>0</v>
      </c>
    </row>
    <row r="2737" spans="1:71" ht="25.95" hidden="1" customHeight="1" x14ac:dyDescent="0.3">
      <c r="A2737" s="101" t="s">
        <v>242</v>
      </c>
      <c r="B2737" s="4" t="s">
        <v>243</v>
      </c>
      <c r="C2737" s="5" t="s">
        <v>35</v>
      </c>
      <c r="D2737" s="5" t="s">
        <v>48</v>
      </c>
      <c r="E2737" s="4" t="str" cm="1">
        <f t="array" ref="E2737">_xlfn.IFS(
F2737 = "A partir de Abril", "Aguardando Execução na Distribuidora",
A2737 = "CAPACITAÇÃO", "Em execução no Corporativo",
TRUE, "Em Execução na Distribuidora"
)</f>
        <v>Em Execução na Distribuidora</v>
      </c>
      <c r="F2737" s="4" t="str" cm="1">
        <f t="array" ref="F2737">_xlfn.IFS(
AG2737 &lt;&gt; "", "Jan-Dez/26",
AH2737 &lt;&gt; "", "Fev-Dez/26",
AI2737 &lt;&gt; "", "Mar-Dez/26", AJ2737 &lt;&gt; "", "Abr-Dez/26",
TRUE, "A partir de Junho"
)</f>
        <v>A partir de Junho</v>
      </c>
      <c r="G2737" s="4" t="s">
        <v>37</v>
      </c>
      <c r="H2737" s="7" t="s">
        <v>38</v>
      </c>
      <c r="I2737" s="21"/>
      <c r="J2737" s="8"/>
      <c r="K2737" s="8"/>
      <c r="L2737" s="9"/>
      <c r="M2737" s="13"/>
      <c r="N2737" s="74" t="s">
        <v>42</v>
      </c>
      <c r="O2737" s="5" t="s">
        <v>52</v>
      </c>
      <c r="P2737" s="10" t="s">
        <v>146</v>
      </c>
      <c r="Q2737" s="10" t="s">
        <v>44</v>
      </c>
      <c r="R2737" s="11" t="s">
        <v>44</v>
      </c>
      <c r="S2737" s="11" t="s">
        <v>44</v>
      </c>
      <c r="T2737" s="22"/>
      <c r="U2737" s="22"/>
      <c r="V2737" s="22"/>
      <c r="W2737" s="22"/>
      <c r="X2737" s="22"/>
      <c r="Y2737" s="22"/>
      <c r="Z2737" s="22"/>
      <c r="AA2737" s="22"/>
      <c r="AB2737" s="22"/>
      <c r="AC2737" s="22"/>
      <c r="AD2737" s="22"/>
      <c r="AE2737" s="22"/>
      <c r="AG2737" s="71"/>
      <c r="AH2737" s="71"/>
      <c r="AI2737" s="71"/>
      <c r="AJ2737" s="71"/>
      <c r="AK2737" s="71"/>
      <c r="AL2737" s="71"/>
      <c r="AM2737" s="71"/>
      <c r="AN2737" s="71"/>
      <c r="AO2737" s="71"/>
      <c r="AP2737" s="71"/>
      <c r="AQ2737" s="71"/>
      <c r="AR2737" s="71"/>
      <c r="AS2737" s="94"/>
      <c r="AT2737" s="95"/>
      <c r="AU2737" s="97"/>
      <c r="AW2737" s="52">
        <f>(COUNTIFS(C:C,"AL",F:F,"&lt;&gt;A partir de Fevereiro",F:F,"&lt;&gt;Não se aplica",N:N,"Indicador",F:F,"&lt;&gt;-")-2)</f>
        <v>118</v>
      </c>
      <c r="AX2737" s="52"/>
      <c r="AY2737" s="52"/>
      <c r="AZ2737" s="52"/>
      <c r="BA2737" s="52"/>
      <c r="BB2737" s="52"/>
      <c r="BC2737" s="52"/>
      <c r="BD2737" s="52"/>
      <c r="BE2737" s="52"/>
      <c r="BF2737" s="52"/>
      <c r="BG2737" s="52"/>
      <c r="BH2737" s="52"/>
      <c r="BI2737" s="68" cm="1">
        <f t="array" ref="BI2737">IFERROR(INDEX(AW2737:BH2737,1,MATCH(2,1/(AW2737:BH2737&lt;&gt;""))),"")</f>
        <v>118</v>
      </c>
      <c r="BJ2737" s="68" t="str" cm="1">
        <f t="array" ref="BJ2737">IF(BM2737 = "", "",IFERROR(INDEX(AW2737:BH2737,1,MATCH(2,1/(AW2737:BH2737&lt;&gt;""),1)-1),""))</f>
        <v/>
      </c>
      <c r="BK2737" s="98">
        <f>SUM(BK202,BK193,BK184,BK175,BK166,BK165,BK162,BK157,BK154,BK148,BK145,BK133,BK127,BK118,BK112,BK103,BK94,BK62,BK60,BK58,BK52,BK46,BK40,BK34,BK28,BK22,BK14,BK10,BK4)/(COUNTIFS(C:C,"AL",F:F,"&lt;&gt;A partir de Fevereiro",F:F,"&lt;&gt;Não se aplica",N:N,"Indicador",F:F,"&lt;&gt;-")-2)</f>
        <v>4.281868176229181E-2</v>
      </c>
      <c r="BL2737" s="98">
        <f ca="1">SUM(BL202,BL193,BL184,BL175,BL166,BL165,BL162,BL157,BL154,BL148,BL145,BL133,BL127,BL118,BL112,BL103,BL94,BL62,BL60,BL58,BL52,BL46,BL40,BL34,BL28,BL22,BL14,BL10,BL4)/(COUNTIFS(C:C,"AL",F:F,"&lt;&gt;A partir de Fevereiro",F:F,"&lt;&gt;Não se aplica",N:N,"Indicador",F:F,"&lt;&gt;-")-2)</f>
        <v>3.5636568698447023E-2</v>
      </c>
      <c r="BM2737" s="55" t="str" cm="1">
        <f t="array" ref="BM2737">IFERROR(
   INDEX($AW$1:$BH$1,
      _xlfn.AGGREGATE(14, 6, COLUMN($AW$1:$BH$1)/(AW2737:BH2737&lt;&gt;""), 2) - COLUMN($AW$1) + 1
   ),
"")</f>
        <v/>
      </c>
      <c r="BN2737" s="55" cm="1">
        <f t="array" ref="BN2737">IFERROR(INDEX($AW$1:$BH$1,1,MATCH(2,1/(AW2737:BH2737&lt;&gt;""))),"")</f>
        <v>46023</v>
      </c>
      <c r="BO2737" s="53">
        <v>0</v>
      </c>
      <c r="BP2737" s="53">
        <v>0</v>
      </c>
      <c r="BQ2737" s="53">
        <v>0</v>
      </c>
      <c r="BR2737" s="53">
        <v>0</v>
      </c>
      <c r="BS2737" s="53">
        <v>0</v>
      </c>
    </row>
    <row r="2738" spans="1:71" ht="25.95" hidden="1" customHeight="1" x14ac:dyDescent="0.3">
      <c r="A2738" s="101" t="s">
        <v>242</v>
      </c>
      <c r="B2738" s="4" t="s">
        <v>243</v>
      </c>
      <c r="C2738" s="5" t="s">
        <v>95</v>
      </c>
      <c r="D2738" s="5" t="s">
        <v>36</v>
      </c>
      <c r="E2738" s="4" t="str" cm="1">
        <f t="array" ref="E2738">_xlfn.IFS(
F2738 = "A partir de Abril", "Aguardando Execução na Distribuidora",
A2738 = "CAPACITAÇÃO", "Em execução no Corporativo",
TRUE, "Em Execução na Distribuidora"
)</f>
        <v>Em Execução na Distribuidora</v>
      </c>
      <c r="F2738" s="4" t="str" cm="1">
        <f t="array" ref="F2738">_xlfn.IFS(
AG2738 &lt;&gt; "", "Jan-Dez/26",
AH2738 &lt;&gt; "", "Fev-Dez/26",
AI2738 &lt;&gt; "", "Mar-Dez/26", AJ2738 &lt;&gt; "", "Abr-Dez/26",
TRUE, "A partir de Junho"
)</f>
        <v>A partir de Junho</v>
      </c>
      <c r="G2738" s="4" t="s">
        <v>37</v>
      </c>
      <c r="H2738" s="7" t="s">
        <v>38</v>
      </c>
      <c r="I2738" s="21"/>
      <c r="J2738" s="8"/>
      <c r="K2738" s="8"/>
      <c r="L2738" s="4"/>
      <c r="M2738" s="13"/>
      <c r="N2738" s="74" t="s">
        <v>42</v>
      </c>
      <c r="O2738" s="5" t="s">
        <v>43</v>
      </c>
      <c r="P2738" s="10" t="s">
        <v>44</v>
      </c>
      <c r="Q2738" s="10" t="s">
        <v>44</v>
      </c>
      <c r="R2738" s="11" t="s">
        <v>44</v>
      </c>
      <c r="S2738" s="11" t="s">
        <v>44</v>
      </c>
      <c r="T2738" s="22"/>
      <c r="U2738" s="22"/>
      <c r="V2738" s="22"/>
      <c r="W2738" s="22"/>
      <c r="X2738" s="22"/>
      <c r="Y2738" s="22"/>
      <c r="Z2738" s="22"/>
      <c r="AA2738" s="22"/>
      <c r="AB2738" s="22"/>
      <c r="AC2738" s="22"/>
      <c r="AD2738" s="22"/>
      <c r="AE2738" s="22"/>
      <c r="AG2738" s="71"/>
      <c r="AH2738" s="71"/>
      <c r="AI2738" s="71"/>
      <c r="AJ2738" s="71"/>
      <c r="AK2738" s="71"/>
      <c r="AL2738" s="71"/>
      <c r="AM2738" s="71"/>
      <c r="AN2738" s="71"/>
      <c r="AO2738" s="71"/>
      <c r="AP2738" s="71"/>
      <c r="AQ2738" s="71"/>
      <c r="AR2738" s="71"/>
      <c r="AS2738" s="94"/>
      <c r="AT2738" s="95"/>
      <c r="AU2738" s="97"/>
      <c r="AW2738" s="52"/>
      <c r="AX2738" s="52"/>
      <c r="AY2738" s="52"/>
      <c r="AZ2738" s="52"/>
      <c r="BA2738" s="52"/>
      <c r="BB2738" s="52"/>
      <c r="BC2738" s="52"/>
      <c r="BD2738" s="52"/>
      <c r="BE2738" s="52"/>
      <c r="BF2738" s="52"/>
      <c r="BG2738" s="52"/>
      <c r="BH2738" s="52"/>
      <c r="BI2738" s="65" t="str" cm="1">
        <f t="array" ref="BI2738">IFERROR(INDEX(AW2738:BH2738,1,MATCH(2,1/(AW2738:BH2738&lt;&gt;""))),"")</f>
        <v/>
      </c>
      <c r="BJ2738" s="68" t="str" cm="1">
        <f t="array" ref="BJ2738">IF(BM2738 = "", "",IFERROR(INDEX(AW2738:BH2738,1,MATCH(2,1/(AW2738:BH2738&lt;&gt;""),1)-1),""))</f>
        <v/>
      </c>
      <c r="BK2738" s="98">
        <f>SUM(BK230,BK232,BK234,BK236,BK238,BK240,BK244,BK242,BK246,BK258,BK265,BK272,BK281,BK284,BK287,BK289,BK292,BK294,BK298,BK299,BK301,BK302,BK303,BK304,BK305,BK308,BK311,BK314,BK317)/(COUNTIFS(C:C,"AP",F:F,"&lt;&gt;A partir de Fevereiro",F:F,"&lt;&gt;Não se aplica",N:N,"Indicador",F:F,"&lt;&gt;-")-2)</f>
        <v>0.13352628454231433</v>
      </c>
      <c r="BL2738" s="98">
        <f ca="1">SUM(BL230,BL232,BL234,BL236,BL238,BL240,BL244,BL242,BL246,BL258,BL265,BL272,BL281,BL284,BL287,BL289,BL292,BL294,BL298,BL299,BL301,BL302,BL303,BL304,BL305,BL308,BL311,BL314,BL317)/(COUNTIFS(C:C,"AP",F:F,"&lt;&gt;A partir de Fevereiro",F:F,"&lt;&gt;Não se aplica",N:N,"Indicador",F:F,"&lt;&gt;-")-2)</f>
        <v>0.10570459503681483</v>
      </c>
      <c r="BM2738" s="55" t="str" cm="1">
        <f t="array" ref="BM2738">IFERROR(
   INDEX($AW$1:$BH$1,
      _xlfn.AGGREGATE(14, 6, COLUMN($AW$1:$BH$1)/(AW2738:BH2738&lt;&gt;""), 2) - COLUMN($AW$1) + 1
   ),
"")</f>
        <v/>
      </c>
      <c r="BN2738" s="55" t="str" cm="1">
        <f t="array" ref="BN2738">IFERROR(INDEX($AW$1:$BH$1,1,MATCH(2,1/(AW2738:BH2738&lt;&gt;""))),"")</f>
        <v/>
      </c>
      <c r="BO2738" s="53">
        <v>0</v>
      </c>
      <c r="BP2738" s="53">
        <v>0</v>
      </c>
      <c r="BQ2738" s="53">
        <v>0</v>
      </c>
      <c r="BR2738" s="53">
        <v>0</v>
      </c>
      <c r="BS2738" s="53">
        <v>0</v>
      </c>
    </row>
    <row r="2739" spans="1:71" ht="25.95" hidden="1" customHeight="1" x14ac:dyDescent="0.3">
      <c r="A2739" s="101" t="s">
        <v>242</v>
      </c>
      <c r="B2739" s="4" t="s">
        <v>243</v>
      </c>
      <c r="C2739" s="5" t="s">
        <v>97</v>
      </c>
      <c r="D2739" s="5" t="s">
        <v>36</v>
      </c>
      <c r="E2739" s="4" t="str" cm="1">
        <f t="array" ref="E2739">_xlfn.IFS(
F2739 = "A partir de Abril", "Aguardando Execução na Distribuidora",
A2739 = "CAPACITAÇÃO", "Em execução no Corporativo",
TRUE, "Em Execução na Distribuidora"
)</f>
        <v>Em Execução na Distribuidora</v>
      </c>
      <c r="F2739" s="4" t="str" cm="1">
        <f t="array" ref="F2739">_xlfn.IFS(
AG2739 &lt;&gt; "", "Jan-Dez/26",
AH2739 &lt;&gt; "", "Fev-Dez/26",
AI2739 &lt;&gt; "", "Mar-Dez/26", AJ2739 &lt;&gt; "", "Abr-Dez/26",
TRUE, "A partir de Junho"
)</f>
        <v>A partir de Junho</v>
      </c>
      <c r="G2739" s="4" t="s">
        <v>37</v>
      </c>
      <c r="H2739" s="7" t="s">
        <v>54</v>
      </c>
      <c r="I2739" s="8"/>
      <c r="J2739" s="34"/>
      <c r="K2739" s="34"/>
      <c r="L2739" s="9"/>
      <c r="M2739" s="13"/>
      <c r="N2739" s="74" t="s">
        <v>42</v>
      </c>
      <c r="O2739" s="5" t="s">
        <v>43</v>
      </c>
      <c r="P2739" s="10" t="s">
        <v>146</v>
      </c>
      <c r="Q2739" s="10" t="s">
        <v>44</v>
      </c>
      <c r="R2739" s="11" t="s">
        <v>44</v>
      </c>
      <c r="S2739" s="11" t="s">
        <v>44</v>
      </c>
      <c r="T2739" s="22"/>
      <c r="U2739" s="22"/>
      <c r="V2739" s="22"/>
      <c r="W2739" s="22"/>
      <c r="X2739" s="22"/>
      <c r="Y2739" s="22"/>
      <c r="Z2739" s="22"/>
      <c r="AA2739" s="22"/>
      <c r="AB2739" s="22"/>
      <c r="AC2739" s="22"/>
      <c r="AD2739" s="22"/>
      <c r="AE2739" s="22"/>
      <c r="AG2739" s="71"/>
      <c r="AH2739" s="71"/>
      <c r="AI2739" s="71"/>
      <c r="AJ2739" s="71"/>
      <c r="AK2739" s="71"/>
      <c r="AL2739" s="71"/>
      <c r="AM2739" s="71"/>
      <c r="AN2739" s="71"/>
      <c r="AO2739" s="71"/>
      <c r="AP2739" s="71"/>
      <c r="AQ2739" s="71"/>
      <c r="AR2739" s="71"/>
      <c r="AS2739" s="94"/>
      <c r="AT2739" s="95"/>
      <c r="AU2739" s="97"/>
      <c r="AW2739" s="52"/>
      <c r="AX2739" s="52"/>
      <c r="AY2739" s="52"/>
      <c r="AZ2739" s="52"/>
      <c r="BA2739" s="52"/>
      <c r="BB2739" s="52"/>
      <c r="BC2739" s="52"/>
      <c r="BD2739" s="52"/>
      <c r="BE2739" s="52"/>
      <c r="BF2739" s="52"/>
      <c r="BG2739" s="52"/>
      <c r="BH2739" s="52"/>
      <c r="BI2739" s="65" t="str" cm="1">
        <f t="array" ref="BI2739">IFERROR(INDEX(AW2739:BH2739,1,MATCH(2,1/(AW2739:BH2739&lt;&gt;""))),"")</f>
        <v/>
      </c>
      <c r="BJ2739" s="68" t="str" cm="1">
        <f t="array" ref="BJ2739">IF(BM2739 = "", "",IFERROR(INDEX(AW2739:BH2739,1,MATCH(2,1/(AW2739:BH2739&lt;&gt;""),1)-1),""))</f>
        <v/>
      </c>
      <c r="BK2739" s="98" t="e">
        <f>SUM(BK316,BK338,BK360,BK382,BK404,BK426,BK448,BK470,BK492,BK494,BK500,BK502,BK562,BK595,BK628,BK650,BK683,BK705,BK749,BK760,BK782,BK793,BK804,#REF!,BK826,BK859,BK892,BK925,BK958)/(COUNTIFS(C:C,"GO",F:F,"&lt;&gt;A partir de Fevereiro",F:F,"&lt;&gt;Não se aplica",N:N,"Indicador",F:F,"&lt;&gt;-")-2)</f>
        <v>#REF!</v>
      </c>
      <c r="BL2739" s="98" t="e">
        <f>SUM(BL316,BL338,BL360,BL382,BL404,BL426,BL448,BL470,BL492,BL494,BL500,BL502,BL562,BL595,BL628,BL650,BL683,BL705,BL749,BL760,BL782,BL793,BL804,#REF!,BL826,BL859,BL892,BL925,BL958)/(COUNTIFS(C:C,"GO",F:F,"&lt;&gt;A partir de Fevereiro",F:F,"&lt;&gt;Não se aplica",N:N,"Indicador",F:F,"&lt;&gt;-")-2)</f>
        <v>#REF!</v>
      </c>
      <c r="BM2739" s="55" t="str" cm="1">
        <f t="array" ref="BM2739">IFERROR(
   INDEX($AW$1:$BH$1,
      _xlfn.AGGREGATE(14, 6, COLUMN($AW$1:$BH$1)/(AW2739:BH2739&lt;&gt;""), 2) - COLUMN($AW$1) + 1
   ),
"")</f>
        <v/>
      </c>
      <c r="BN2739" s="55" t="str" cm="1">
        <f t="array" ref="BN2739">IFERROR(INDEX($AW$1:$BH$1,1,MATCH(2,1/(AW2739:BH2739&lt;&gt;""))),"")</f>
        <v/>
      </c>
      <c r="BO2739" s="53">
        <v>0</v>
      </c>
      <c r="BP2739" s="53">
        <v>0</v>
      </c>
      <c r="BQ2739" s="53">
        <v>0</v>
      </c>
      <c r="BR2739" s="53">
        <v>0</v>
      </c>
      <c r="BS2739" s="53">
        <v>0</v>
      </c>
    </row>
    <row r="2740" spans="1:71" ht="25.95" hidden="1" customHeight="1" x14ac:dyDescent="0.3">
      <c r="A2740" s="101" t="s">
        <v>242</v>
      </c>
      <c r="B2740" s="4" t="s">
        <v>243</v>
      </c>
      <c r="C2740" s="5" t="s">
        <v>97</v>
      </c>
      <c r="D2740" s="5" t="s">
        <v>98</v>
      </c>
      <c r="E2740" s="4" t="str" cm="1">
        <f t="array" ref="E2740">_xlfn.IFS(
F2740 = "A partir de Abril", "Aguardando Execução na Distribuidora",
A2740 = "CAPACITAÇÃO", "Em execução no Corporativo",
TRUE, "Em Execução na Distribuidora"
)</f>
        <v>Em Execução na Distribuidora</v>
      </c>
      <c r="F2740" s="4" t="str" cm="1">
        <f t="array" ref="F2740">_xlfn.IFS(
AG2740 &lt;&gt; "", "Jan-Dez/26",
AH2740 &lt;&gt; "", "Fev-Dez/26",
AI2740 &lt;&gt; "", "Mar-Dez/26", AJ2740 &lt;&gt; "", "Abr-Dez/26",
TRUE, "A partir de Junho"
)</f>
        <v>A partir de Junho</v>
      </c>
      <c r="G2740" s="4" t="s">
        <v>37</v>
      </c>
      <c r="H2740" s="7" t="s">
        <v>54</v>
      </c>
      <c r="I2740" s="8"/>
      <c r="J2740" s="34"/>
      <c r="K2740" s="34"/>
      <c r="L2740" s="9"/>
      <c r="M2740" s="13"/>
      <c r="N2740" s="74" t="s">
        <v>42</v>
      </c>
      <c r="O2740" s="5" t="s">
        <v>43</v>
      </c>
      <c r="P2740" s="10" t="s">
        <v>146</v>
      </c>
      <c r="Q2740" s="10" t="s">
        <v>44</v>
      </c>
      <c r="R2740" s="11" t="s">
        <v>44</v>
      </c>
      <c r="S2740" s="11" t="s">
        <v>44</v>
      </c>
      <c r="T2740" s="22"/>
      <c r="U2740" s="22"/>
      <c r="V2740" s="22"/>
      <c r="W2740" s="22"/>
      <c r="X2740" s="22"/>
      <c r="Y2740" s="22"/>
      <c r="Z2740" s="22"/>
      <c r="AA2740" s="22"/>
      <c r="AB2740" s="22"/>
      <c r="AC2740" s="22"/>
      <c r="AD2740" s="22"/>
      <c r="AE2740" s="22"/>
      <c r="AG2740" s="71"/>
      <c r="AH2740" s="71"/>
      <c r="AI2740" s="71"/>
      <c r="AJ2740" s="71"/>
      <c r="AK2740" s="71"/>
      <c r="AL2740" s="71"/>
      <c r="AM2740" s="71"/>
      <c r="AN2740" s="71"/>
      <c r="AO2740" s="71"/>
      <c r="AP2740" s="71"/>
      <c r="AQ2740" s="71"/>
      <c r="AR2740" s="71"/>
      <c r="AS2740" s="94"/>
      <c r="AT2740" s="95"/>
      <c r="AU2740" s="97"/>
      <c r="AW2740" s="52"/>
      <c r="AX2740" s="52"/>
      <c r="AY2740" s="52"/>
      <c r="AZ2740" s="52"/>
      <c r="BA2740" s="52"/>
      <c r="BB2740" s="52"/>
      <c r="BC2740" s="52"/>
      <c r="BD2740" s="52"/>
      <c r="BE2740" s="52"/>
      <c r="BF2740" s="52"/>
      <c r="BG2740" s="52"/>
      <c r="BH2740" s="52"/>
      <c r="BI2740" s="65" t="str" cm="1">
        <f t="array" ref="BI2740">IFERROR(INDEX(AW2740:BH2740,1,MATCH(2,1/(AW2740:BH2740&lt;&gt;""))),"")</f>
        <v/>
      </c>
      <c r="BJ2740" s="68" t="str" cm="1">
        <f t="array" ref="BJ2740">IF(BM2740 = "", "",IFERROR(INDEX(AW2740:BH2740,1,MATCH(2,1/(AW2740:BH2740&lt;&gt;""),1)-1),""))</f>
        <v/>
      </c>
      <c r="BK2740" s="98" t="e">
        <f>SUM(BK317,BK339,BK361,BK383,BK405,BK427,BK449,BK471,BK493,BK495,BK501,BK503,BK563,BK596,BK629,BK651,BK684,BK706,BK750,BK761,BK783,BK794,BK805,#REF!,BK827,BK860,BK893,BK926,BK959)/(COUNTIFS(C:C,"GO",F:F,"&lt;&gt;A partir de Fevereiro",F:F,"&lt;&gt;Não se aplica",N:N,"Indicador",F:F,"&lt;&gt;-")-2)</f>
        <v>#REF!</v>
      </c>
      <c r="BL2740" s="98" t="e">
        <f>SUM(BL317,BL339,BL361,BL383,BL405,BL427,BL449,BL471,BL493,BL495,BL501,BL503,BL563,BL596,BL629,BL651,BL684,BL706,BL750,BL761,BL783,BL794,BL805,#REF!,BL827,BL860,BL893,BL926,BL959)/(COUNTIFS(C:C,"GO",F:F,"&lt;&gt;A partir de Fevereiro",F:F,"&lt;&gt;Não se aplica",N:N,"Indicador",F:F,"&lt;&gt;-")-2)</f>
        <v>#REF!</v>
      </c>
      <c r="BM2740" s="55" t="str" cm="1">
        <f t="array" ref="BM2740">IFERROR(
   INDEX($AW$1:$BH$1,
      _xlfn.AGGREGATE(14, 6, COLUMN($AW$1:$BH$1)/(AW2740:BH2740&lt;&gt;""), 2) - COLUMN($AW$1) + 1
   ),
"")</f>
        <v/>
      </c>
      <c r="BN2740" s="55" t="str" cm="1">
        <f t="array" ref="BN2740">IFERROR(INDEX($AW$1:$BH$1,1,MATCH(2,1/(AW2740:BH2740&lt;&gt;""))),"")</f>
        <v/>
      </c>
      <c r="BO2740" s="53">
        <v>0</v>
      </c>
      <c r="BP2740" s="53">
        <v>0</v>
      </c>
      <c r="BQ2740" s="53">
        <v>0</v>
      </c>
      <c r="BR2740" s="53">
        <v>0</v>
      </c>
      <c r="BS2740" s="53">
        <v>0</v>
      </c>
    </row>
    <row r="2741" spans="1:71" ht="25.95" hidden="1" customHeight="1" x14ac:dyDescent="0.3">
      <c r="A2741" s="101" t="s">
        <v>242</v>
      </c>
      <c r="B2741" s="4" t="s">
        <v>243</v>
      </c>
      <c r="C2741" s="5" t="s">
        <v>97</v>
      </c>
      <c r="D2741" s="5" t="s">
        <v>99</v>
      </c>
      <c r="E2741" s="4" t="str" cm="1">
        <f t="array" ref="E2741">_xlfn.IFS(
F2741 = "A partir de Abril", "Aguardando Execução na Distribuidora",
A2741 = "CAPACITAÇÃO", "Em execução no Corporativo",
TRUE, "Em Execução na Distribuidora"
)</f>
        <v>Em Execução na Distribuidora</v>
      </c>
      <c r="F2741" s="4" t="str" cm="1">
        <f t="array" ref="F2741">_xlfn.IFS(
AG2741 &lt;&gt; "", "Jan-Dez/26",
AH2741 &lt;&gt; "", "Fev-Dez/26",
AI2741 &lt;&gt; "", "Mar-Dez/26", AJ2741 &lt;&gt; "", "Abr-Dez/26",
TRUE, "A partir de Junho"
)</f>
        <v>A partir de Junho</v>
      </c>
      <c r="G2741" s="4" t="s">
        <v>37</v>
      </c>
      <c r="H2741" s="7" t="s">
        <v>54</v>
      </c>
      <c r="I2741" s="8"/>
      <c r="J2741" s="34"/>
      <c r="K2741" s="34"/>
      <c r="L2741" s="9"/>
      <c r="M2741" s="13"/>
      <c r="N2741" s="74" t="s">
        <v>42</v>
      </c>
      <c r="O2741" s="5" t="s">
        <v>43</v>
      </c>
      <c r="P2741" s="10" t="s">
        <v>146</v>
      </c>
      <c r="Q2741" s="10" t="s">
        <v>44</v>
      </c>
      <c r="R2741" s="11" t="s">
        <v>44</v>
      </c>
      <c r="S2741" s="11" t="s">
        <v>44</v>
      </c>
      <c r="T2741" s="22"/>
      <c r="U2741" s="22"/>
      <c r="V2741" s="22"/>
      <c r="W2741" s="22"/>
      <c r="X2741" s="22"/>
      <c r="Y2741" s="22"/>
      <c r="Z2741" s="22"/>
      <c r="AA2741" s="22"/>
      <c r="AB2741" s="22"/>
      <c r="AC2741" s="22"/>
      <c r="AD2741" s="22"/>
      <c r="AE2741" s="22"/>
      <c r="AG2741" s="71"/>
      <c r="AH2741" s="71"/>
      <c r="AI2741" s="71"/>
      <c r="AJ2741" s="71"/>
      <c r="AK2741" s="71"/>
      <c r="AL2741" s="71"/>
      <c r="AM2741" s="71"/>
      <c r="AN2741" s="71"/>
      <c r="AO2741" s="71"/>
      <c r="AP2741" s="71"/>
      <c r="AQ2741" s="71"/>
      <c r="AR2741" s="71"/>
      <c r="AS2741" s="94"/>
      <c r="AT2741" s="95"/>
      <c r="AU2741" s="97"/>
      <c r="AW2741" s="52"/>
      <c r="AX2741" s="52"/>
      <c r="AY2741" s="52"/>
      <c r="AZ2741" s="52"/>
      <c r="BA2741" s="52"/>
      <c r="BB2741" s="52"/>
      <c r="BC2741" s="52"/>
      <c r="BD2741" s="52"/>
      <c r="BE2741" s="52"/>
      <c r="BF2741" s="52"/>
      <c r="BG2741" s="52"/>
      <c r="BH2741" s="52"/>
      <c r="BI2741" s="65" t="str" cm="1">
        <f t="array" ref="BI2741">IFERROR(INDEX(AW2741:BH2741,1,MATCH(2,1/(AW2741:BH2741&lt;&gt;""))),"")</f>
        <v/>
      </c>
      <c r="BJ2741" s="68" t="str" cm="1">
        <f t="array" ref="BJ2741">IF(BM2741 = "", "",IFERROR(INDEX(AW2741:BH2741,1,MATCH(2,1/(AW2741:BH2741&lt;&gt;""),1)-1),""))</f>
        <v/>
      </c>
      <c r="BK2741" s="98" t="e">
        <f>SUM(BK318,BK340,BK362,BK384,BK406,BK428,BK450,BK472,BK494,BK496,BK502,BK506,BK564,BK597,BK630,BK652,BK685,BK707,BK751,BK762,BK784,BK795,BK806,#REF!,BK828,BK861,BK894,BK927,BK960)/(COUNTIFS(C:C,"GO",F:F,"&lt;&gt;A partir de Fevereiro",F:F,"&lt;&gt;Não se aplica",N:N,"Indicador",F:F,"&lt;&gt;-")-2)</f>
        <v>#REF!</v>
      </c>
      <c r="BL2741" s="98" t="e">
        <f>SUM(BL318,BL340,BL362,BL384,BL406,BL428,BL450,BL472,BL494,BL496,BL502,BL506,BL564,BL597,BL630,BL652,BL685,BL707,BL751,BL762,BL784,BL795,BL806,#REF!,BL828,BL861,BL894,BL927,BL960)/(COUNTIFS(C:C,"GO",F:F,"&lt;&gt;A partir de Fevereiro",F:F,"&lt;&gt;Não se aplica",N:N,"Indicador",F:F,"&lt;&gt;-")-2)</f>
        <v>#REF!</v>
      </c>
      <c r="BM2741" s="55" t="str" cm="1">
        <f t="array" ref="BM2741">IFERROR(
   INDEX($AW$1:$BH$1,
      _xlfn.AGGREGATE(14, 6, COLUMN($AW$1:$BH$1)/(AW2741:BH2741&lt;&gt;""), 2) - COLUMN($AW$1) + 1
   ),
"")</f>
        <v/>
      </c>
      <c r="BN2741" s="55" t="str" cm="1">
        <f t="array" ref="BN2741">IFERROR(INDEX($AW$1:$BH$1,1,MATCH(2,1/(AW2741:BH2741&lt;&gt;""))),"")</f>
        <v/>
      </c>
      <c r="BO2741" s="53">
        <v>0</v>
      </c>
      <c r="BP2741" s="53">
        <v>0</v>
      </c>
      <c r="BQ2741" s="53">
        <v>0</v>
      </c>
      <c r="BR2741" s="53">
        <v>0</v>
      </c>
      <c r="BS2741" s="53">
        <v>0</v>
      </c>
    </row>
    <row r="2742" spans="1:71" ht="25.95" hidden="1" customHeight="1" x14ac:dyDescent="0.3">
      <c r="A2742" s="101" t="s">
        <v>242</v>
      </c>
      <c r="B2742" s="4" t="s">
        <v>243</v>
      </c>
      <c r="C2742" s="5" t="s">
        <v>97</v>
      </c>
      <c r="D2742" s="5" t="s">
        <v>100</v>
      </c>
      <c r="E2742" s="4" t="str" cm="1">
        <f t="array" ref="E2742">_xlfn.IFS(
F2742 = "A partir de Abril", "Aguardando Execução na Distribuidora",
A2742 = "CAPACITAÇÃO", "Em execução no Corporativo",
TRUE, "Em Execução na Distribuidora"
)</f>
        <v>Em Execução na Distribuidora</v>
      </c>
      <c r="F2742" s="4" t="str" cm="1">
        <f t="array" ref="F2742">_xlfn.IFS(
AG2742 &lt;&gt; "", "Jan-Dez/26",
AH2742 &lt;&gt; "", "Fev-Dez/26",
AI2742 &lt;&gt; "", "Mar-Dez/26", AJ2742 &lt;&gt; "", "Abr-Dez/26",
TRUE, "A partir de Junho"
)</f>
        <v>A partir de Junho</v>
      </c>
      <c r="G2742" s="4" t="s">
        <v>37</v>
      </c>
      <c r="H2742" s="7" t="s">
        <v>54</v>
      </c>
      <c r="I2742" s="8"/>
      <c r="J2742" s="34"/>
      <c r="K2742" s="34"/>
      <c r="L2742" s="9"/>
      <c r="M2742" s="13"/>
      <c r="N2742" s="74" t="s">
        <v>42</v>
      </c>
      <c r="O2742" s="5" t="s">
        <v>43</v>
      </c>
      <c r="P2742" s="10" t="s">
        <v>146</v>
      </c>
      <c r="Q2742" s="10" t="s">
        <v>44</v>
      </c>
      <c r="R2742" s="11" t="s">
        <v>44</v>
      </c>
      <c r="S2742" s="11" t="s">
        <v>44</v>
      </c>
      <c r="T2742" s="22"/>
      <c r="U2742" s="22"/>
      <c r="V2742" s="22"/>
      <c r="W2742" s="22"/>
      <c r="X2742" s="22"/>
      <c r="Y2742" s="22"/>
      <c r="Z2742" s="22"/>
      <c r="AA2742" s="22"/>
      <c r="AB2742" s="22"/>
      <c r="AC2742" s="22"/>
      <c r="AD2742" s="22"/>
      <c r="AE2742" s="22"/>
      <c r="AG2742" s="71"/>
      <c r="AH2742" s="71"/>
      <c r="AI2742" s="71"/>
      <c r="AJ2742" s="71"/>
      <c r="AK2742" s="71"/>
      <c r="AL2742" s="71"/>
      <c r="AM2742" s="71"/>
      <c r="AN2742" s="71"/>
      <c r="AO2742" s="71"/>
      <c r="AP2742" s="71"/>
      <c r="AQ2742" s="71"/>
      <c r="AR2742" s="71"/>
      <c r="AS2742" s="94"/>
      <c r="AT2742" s="95"/>
      <c r="AU2742" s="97"/>
      <c r="AW2742" s="52"/>
      <c r="AX2742" s="52"/>
      <c r="AY2742" s="52"/>
      <c r="AZ2742" s="52"/>
      <c r="BA2742" s="52"/>
      <c r="BB2742" s="52"/>
      <c r="BC2742" s="52"/>
      <c r="BD2742" s="52"/>
      <c r="BE2742" s="52"/>
      <c r="BF2742" s="52"/>
      <c r="BG2742" s="52"/>
      <c r="BH2742" s="52"/>
      <c r="BI2742" s="65" t="str" cm="1">
        <f t="array" ref="BI2742">IFERROR(INDEX(AW2742:BH2742,1,MATCH(2,1/(AW2742:BH2742&lt;&gt;""))),"")</f>
        <v/>
      </c>
      <c r="BJ2742" s="68" t="str" cm="1">
        <f t="array" ref="BJ2742">IF(BM2742 = "", "",IFERROR(INDEX(AW2742:BH2742,1,MATCH(2,1/(AW2742:BH2742&lt;&gt;""),1)-1),""))</f>
        <v/>
      </c>
      <c r="BK2742" s="98" t="e">
        <f>SUM(BK319,BK341,BK363,BK385,BK407,BK429,BK451,BK473,BK495,BK497,BK503,BK509,BK565,BK598,BK631,BK653,BK686,BK708,BK752,BK763,BK785,BK796,BK807,#REF!,BK829,BK862,BK895,BK928,BK961)/(COUNTIFS(C:C,"GO",F:F,"&lt;&gt;A partir de Fevereiro",F:F,"&lt;&gt;Não se aplica",N:N,"Indicador",F:F,"&lt;&gt;-")-2)</f>
        <v>#REF!</v>
      </c>
      <c r="BL2742" s="98" t="e">
        <f>SUM(BL319,BL341,BL363,BL385,BL407,BL429,BL451,BL473,BL495,BL497,BL503,BL509,BL565,BL598,BL631,BL653,BL686,BL708,BL752,BL763,BL785,BL796,BL807,#REF!,BL829,BL862,BL895,BL928,BL961)/(COUNTIFS(C:C,"GO",F:F,"&lt;&gt;A partir de Fevereiro",F:F,"&lt;&gt;Não se aplica",N:N,"Indicador",F:F,"&lt;&gt;-")-2)</f>
        <v>#REF!</v>
      </c>
      <c r="BM2742" s="55" t="str" cm="1">
        <f t="array" ref="BM2742">IFERROR(
   INDEX($AW$1:$BH$1,
      _xlfn.AGGREGATE(14, 6, COLUMN($AW$1:$BH$1)/(AW2742:BH2742&lt;&gt;""), 2) - COLUMN($AW$1) + 1
   ),
"")</f>
        <v/>
      </c>
      <c r="BN2742" s="55" t="str" cm="1">
        <f t="array" ref="BN2742">IFERROR(INDEX($AW$1:$BH$1,1,MATCH(2,1/(AW2742:BH2742&lt;&gt;""))),"")</f>
        <v/>
      </c>
      <c r="BO2742" s="53">
        <v>0</v>
      </c>
      <c r="BP2742" s="53">
        <v>0</v>
      </c>
      <c r="BQ2742" s="53">
        <v>0</v>
      </c>
      <c r="BR2742" s="53">
        <v>0</v>
      </c>
      <c r="BS2742" s="53">
        <v>0</v>
      </c>
    </row>
    <row r="2743" spans="1:71" ht="25.95" hidden="1" customHeight="1" x14ac:dyDescent="0.3">
      <c r="A2743" s="101" t="s">
        <v>242</v>
      </c>
      <c r="B2743" s="4" t="s">
        <v>243</v>
      </c>
      <c r="C2743" s="5" t="s">
        <v>97</v>
      </c>
      <c r="D2743" s="5" t="s">
        <v>101</v>
      </c>
      <c r="E2743" s="4" t="str" cm="1">
        <f t="array" ref="E2743">_xlfn.IFS(
F2743 = "A partir de Abril", "Aguardando Execução na Distribuidora",
A2743 = "CAPACITAÇÃO", "Em execução no Corporativo",
TRUE, "Em Execução na Distribuidora"
)</f>
        <v>Em Execução na Distribuidora</v>
      </c>
      <c r="F2743" s="4" t="str" cm="1">
        <f t="array" ref="F2743">_xlfn.IFS(
AG2743 &lt;&gt; "", "Jan-Dez/26",
AH2743 &lt;&gt; "", "Fev-Dez/26",
AI2743 &lt;&gt; "", "Mar-Dez/26", AJ2743 &lt;&gt; "", "Abr-Dez/26",
TRUE, "A partir de Junho"
)</f>
        <v>A partir de Junho</v>
      </c>
      <c r="G2743" s="4" t="s">
        <v>37</v>
      </c>
      <c r="H2743" s="7" t="s">
        <v>54</v>
      </c>
      <c r="I2743" s="8"/>
      <c r="J2743" s="34"/>
      <c r="K2743" s="34"/>
      <c r="L2743" s="9"/>
      <c r="M2743" s="13"/>
      <c r="N2743" s="74" t="s">
        <v>42</v>
      </c>
      <c r="O2743" s="5" t="s">
        <v>43</v>
      </c>
      <c r="P2743" s="10" t="s">
        <v>146</v>
      </c>
      <c r="Q2743" s="10" t="s">
        <v>44</v>
      </c>
      <c r="R2743" s="11" t="s">
        <v>44</v>
      </c>
      <c r="S2743" s="11" t="s">
        <v>44</v>
      </c>
      <c r="T2743" s="22"/>
      <c r="U2743" s="22"/>
      <c r="V2743" s="22"/>
      <c r="W2743" s="22"/>
      <c r="X2743" s="22"/>
      <c r="Y2743" s="22"/>
      <c r="Z2743" s="22"/>
      <c r="AA2743" s="22"/>
      <c r="AB2743" s="22"/>
      <c r="AC2743" s="22"/>
      <c r="AD2743" s="22"/>
      <c r="AE2743" s="22"/>
      <c r="AG2743" s="71"/>
      <c r="AH2743" s="71"/>
      <c r="AI2743" s="71"/>
      <c r="AJ2743" s="71"/>
      <c r="AK2743" s="71"/>
      <c r="AL2743" s="71"/>
      <c r="AM2743" s="71"/>
      <c r="AN2743" s="71"/>
      <c r="AO2743" s="71"/>
      <c r="AP2743" s="71"/>
      <c r="AQ2743" s="71"/>
      <c r="AR2743" s="71"/>
      <c r="AS2743" s="94"/>
      <c r="AT2743" s="95"/>
      <c r="AU2743" s="97"/>
      <c r="AW2743" s="52"/>
      <c r="AX2743" s="52"/>
      <c r="AY2743" s="52"/>
      <c r="AZ2743" s="52"/>
      <c r="BA2743" s="52"/>
      <c r="BB2743" s="52"/>
      <c r="BC2743" s="52"/>
      <c r="BD2743" s="52"/>
      <c r="BE2743" s="52"/>
      <c r="BF2743" s="52"/>
      <c r="BG2743" s="52"/>
      <c r="BH2743" s="52"/>
      <c r="BI2743" s="65" t="str" cm="1">
        <f t="array" ref="BI2743">IFERROR(INDEX(AW2743:BH2743,1,MATCH(2,1/(AW2743:BH2743&lt;&gt;""))),"")</f>
        <v/>
      </c>
      <c r="BJ2743" s="68" t="str" cm="1">
        <f t="array" ref="BJ2743">IF(BM2743 = "", "",IFERROR(INDEX(AW2743:BH2743,1,MATCH(2,1/(AW2743:BH2743&lt;&gt;""),1)-1),""))</f>
        <v/>
      </c>
      <c r="BK2743" s="98" t="e">
        <f>SUM(BK320,BK342,BK364,BK386,BK408,BK430,BK452,BK474,BK496,BK498,BK506,BK510,BK566,BK599,BK632,BK654,BK687,BK709,BK753,BK764,BK786,BK797,BK808,#REF!,BK830,BK863,BK896,BK929,BK962)/(COUNTIFS(C:C,"GO",F:F,"&lt;&gt;A partir de Fevereiro",F:F,"&lt;&gt;Não se aplica",N:N,"Indicador",F:F,"&lt;&gt;-")-2)</f>
        <v>#REF!</v>
      </c>
      <c r="BL2743" s="98" t="e">
        <f>SUM(BL320,BL342,BL364,BL386,BL408,BL430,BL452,BL474,BL496,BL498,BL506,BL510,BL566,BL599,BL632,BL654,BL687,BL709,BL753,BL764,BL786,BL797,BL808,#REF!,BL830,BL863,BL896,BL929,BL962)/(COUNTIFS(C:C,"GO",F:F,"&lt;&gt;A partir de Fevereiro",F:F,"&lt;&gt;Não se aplica",N:N,"Indicador",F:F,"&lt;&gt;-")-2)</f>
        <v>#REF!</v>
      </c>
      <c r="BM2743" s="55" t="str" cm="1">
        <f t="array" ref="BM2743">IFERROR(
   INDEX($AW$1:$BH$1,
      _xlfn.AGGREGATE(14, 6, COLUMN($AW$1:$BH$1)/(AW2743:BH2743&lt;&gt;""), 2) - COLUMN($AW$1) + 1
   ),
"")</f>
        <v/>
      </c>
      <c r="BN2743" s="55" t="str" cm="1">
        <f t="array" ref="BN2743">IFERROR(INDEX($AW$1:$BH$1,1,MATCH(2,1/(AW2743:BH2743&lt;&gt;""))),"")</f>
        <v/>
      </c>
      <c r="BO2743" s="53">
        <v>0</v>
      </c>
      <c r="BP2743" s="53">
        <v>0</v>
      </c>
      <c r="BQ2743" s="53">
        <v>0</v>
      </c>
      <c r="BR2743" s="53">
        <v>0</v>
      </c>
      <c r="BS2743" s="53">
        <v>0</v>
      </c>
    </row>
    <row r="2744" spans="1:71" ht="25.95" hidden="1" customHeight="1" x14ac:dyDescent="0.3">
      <c r="A2744" s="101" t="s">
        <v>242</v>
      </c>
      <c r="B2744" s="4" t="s">
        <v>243</v>
      </c>
      <c r="C2744" s="5" t="s">
        <v>97</v>
      </c>
      <c r="D2744" s="5" t="s">
        <v>102</v>
      </c>
      <c r="E2744" s="4" t="str" cm="1">
        <f t="array" ref="E2744">_xlfn.IFS(
F2744 = "A partir de Abril", "Aguardando Execução na Distribuidora",
A2744 = "CAPACITAÇÃO", "Em execução no Corporativo",
TRUE, "Em Execução na Distribuidora"
)</f>
        <v>Em Execução na Distribuidora</v>
      </c>
      <c r="F2744" s="4" t="str" cm="1">
        <f t="array" ref="F2744">_xlfn.IFS(
AG2744 &lt;&gt; "", "Jan-Dez/26",
AH2744 &lt;&gt; "", "Fev-Dez/26",
AI2744 &lt;&gt; "", "Mar-Dez/26", AJ2744 &lt;&gt; "", "Abr-Dez/26",
TRUE, "A partir de Junho"
)</f>
        <v>A partir de Junho</v>
      </c>
      <c r="G2744" s="4" t="s">
        <v>37</v>
      </c>
      <c r="H2744" s="7" t="s">
        <v>54</v>
      </c>
      <c r="I2744" s="8"/>
      <c r="J2744" s="34"/>
      <c r="K2744" s="34"/>
      <c r="L2744" s="9"/>
      <c r="M2744" s="13"/>
      <c r="N2744" s="74" t="s">
        <v>42</v>
      </c>
      <c r="O2744" s="5" t="s">
        <v>43</v>
      </c>
      <c r="P2744" s="10" t="s">
        <v>146</v>
      </c>
      <c r="Q2744" s="10" t="s">
        <v>44</v>
      </c>
      <c r="R2744" s="11" t="s">
        <v>44</v>
      </c>
      <c r="S2744" s="11" t="s">
        <v>44</v>
      </c>
      <c r="T2744" s="22"/>
      <c r="U2744" s="22"/>
      <c r="V2744" s="22"/>
      <c r="W2744" s="22"/>
      <c r="X2744" s="22"/>
      <c r="Y2744" s="22"/>
      <c r="Z2744" s="22"/>
      <c r="AA2744" s="22"/>
      <c r="AB2744" s="22"/>
      <c r="AC2744" s="22"/>
      <c r="AD2744" s="22"/>
      <c r="AE2744" s="22"/>
      <c r="AG2744" s="71"/>
      <c r="AH2744" s="71"/>
      <c r="AI2744" s="71"/>
      <c r="AJ2744" s="71"/>
      <c r="AK2744" s="71"/>
      <c r="AL2744" s="71"/>
      <c r="AM2744" s="71"/>
      <c r="AN2744" s="71"/>
      <c r="AO2744" s="71"/>
      <c r="AP2744" s="71"/>
      <c r="AQ2744" s="71"/>
      <c r="AR2744" s="71"/>
      <c r="AS2744" s="94"/>
      <c r="AT2744" s="95"/>
      <c r="AU2744" s="97"/>
      <c r="AW2744" s="52"/>
      <c r="AX2744" s="52"/>
      <c r="AY2744" s="52"/>
      <c r="AZ2744" s="52"/>
      <c r="BA2744" s="52"/>
      <c r="BB2744" s="52"/>
      <c r="BC2744" s="52"/>
      <c r="BD2744" s="52"/>
      <c r="BE2744" s="52"/>
      <c r="BF2744" s="52"/>
      <c r="BG2744" s="52"/>
      <c r="BH2744" s="52"/>
      <c r="BI2744" s="65" t="str" cm="1">
        <f t="array" ref="BI2744">IFERROR(INDEX(AW2744:BH2744,1,MATCH(2,1/(AW2744:BH2744&lt;&gt;""))),"")</f>
        <v/>
      </c>
      <c r="BJ2744" s="68" t="str" cm="1">
        <f t="array" ref="BJ2744">IF(BM2744 = "", "",IFERROR(INDEX(AW2744:BH2744,1,MATCH(2,1/(AW2744:BH2744&lt;&gt;""),1)-1),""))</f>
        <v/>
      </c>
      <c r="BK2744" s="98" t="e">
        <f>SUM(BK321,BK343,BK365,BK387,BK409,BK431,BK453,BK475,BK497,BK499,BK509,BK511,BK567,BK600,BK633,BK655,BK688,BK710,BK754,BK765,BK787,BK798,BK809,#REF!,BK831,BK864,BK897,BK930,BK963)/(COUNTIFS(C:C,"GO",F:F,"&lt;&gt;A partir de Fevereiro",F:F,"&lt;&gt;Não se aplica",N:N,"Indicador",F:F,"&lt;&gt;-")-2)</f>
        <v>#REF!</v>
      </c>
      <c r="BL2744" s="98" t="e">
        <f>SUM(BL321,BL343,BL365,BL387,BL409,BL431,BL453,BL475,BL497,BL499,BL509,BL511,BL567,BL600,BL633,BL655,BL688,BL710,BL754,BL765,BL787,BL798,BL809,#REF!,BL831,BL864,BL897,BL930,BL963)/(COUNTIFS(C:C,"GO",F:F,"&lt;&gt;A partir de Fevereiro",F:F,"&lt;&gt;Não se aplica",N:N,"Indicador",F:F,"&lt;&gt;-")-2)</f>
        <v>#REF!</v>
      </c>
      <c r="BM2744" s="55" t="str" cm="1">
        <f t="array" ref="BM2744">IFERROR(
   INDEX($AW$1:$BH$1,
      _xlfn.AGGREGATE(14, 6, COLUMN($AW$1:$BH$1)/(AW2744:BH2744&lt;&gt;""), 2) - COLUMN($AW$1) + 1
   ),
"")</f>
        <v/>
      </c>
      <c r="BN2744" s="55" t="str" cm="1">
        <f t="array" ref="BN2744">IFERROR(INDEX($AW$1:$BH$1,1,MATCH(2,1/(AW2744:BH2744&lt;&gt;""))),"")</f>
        <v/>
      </c>
      <c r="BO2744" s="53">
        <v>0</v>
      </c>
      <c r="BP2744" s="53">
        <v>0</v>
      </c>
      <c r="BQ2744" s="53">
        <v>0</v>
      </c>
      <c r="BR2744" s="53">
        <v>0</v>
      </c>
      <c r="BS2744" s="53">
        <v>0</v>
      </c>
    </row>
    <row r="2745" spans="1:71" ht="25.95" hidden="1" customHeight="1" x14ac:dyDescent="0.3">
      <c r="A2745" s="101" t="s">
        <v>242</v>
      </c>
      <c r="B2745" s="4" t="s">
        <v>243</v>
      </c>
      <c r="C2745" s="5" t="s">
        <v>97</v>
      </c>
      <c r="D2745" s="5" t="s">
        <v>103</v>
      </c>
      <c r="E2745" s="4" t="str" cm="1">
        <f t="array" ref="E2745">_xlfn.IFS(
F2745 = "A partir de Abril", "Aguardando Execução na Distribuidora",
A2745 = "CAPACITAÇÃO", "Em execução no Corporativo",
TRUE, "Em Execução na Distribuidora"
)</f>
        <v>Em Execução na Distribuidora</v>
      </c>
      <c r="F2745" s="4" t="str" cm="1">
        <f t="array" ref="F2745">_xlfn.IFS(
AG2745 &lt;&gt; "", "Jan-Dez/26",
AH2745 &lt;&gt; "", "Fev-Dez/26",
AI2745 &lt;&gt; "", "Mar-Dez/26", AJ2745 &lt;&gt; "", "Abr-Dez/26",
TRUE, "A partir de Junho"
)</f>
        <v>A partir de Junho</v>
      </c>
      <c r="G2745" s="4" t="s">
        <v>37</v>
      </c>
      <c r="H2745" s="7" t="s">
        <v>54</v>
      </c>
      <c r="I2745" s="8"/>
      <c r="J2745" s="34"/>
      <c r="K2745" s="34"/>
      <c r="L2745" s="9"/>
      <c r="M2745" s="13"/>
      <c r="N2745" s="74" t="s">
        <v>42</v>
      </c>
      <c r="O2745" s="5" t="s">
        <v>43</v>
      </c>
      <c r="P2745" s="10" t="s">
        <v>146</v>
      </c>
      <c r="Q2745" s="10" t="s">
        <v>44</v>
      </c>
      <c r="R2745" s="11" t="s">
        <v>44</v>
      </c>
      <c r="S2745" s="11" t="s">
        <v>44</v>
      </c>
      <c r="T2745" s="22"/>
      <c r="U2745" s="22"/>
      <c r="V2745" s="22"/>
      <c r="W2745" s="22"/>
      <c r="X2745" s="22"/>
      <c r="Y2745" s="22"/>
      <c r="Z2745" s="22"/>
      <c r="AA2745" s="22"/>
      <c r="AB2745" s="22"/>
      <c r="AC2745" s="22"/>
      <c r="AD2745" s="22"/>
      <c r="AE2745" s="22"/>
      <c r="AG2745" s="71"/>
      <c r="AH2745" s="71"/>
      <c r="AI2745" s="71"/>
      <c r="AJ2745" s="71"/>
      <c r="AK2745" s="71"/>
      <c r="AL2745" s="71"/>
      <c r="AM2745" s="71"/>
      <c r="AN2745" s="71"/>
      <c r="AO2745" s="71"/>
      <c r="AP2745" s="71"/>
      <c r="AQ2745" s="71"/>
      <c r="AR2745" s="71"/>
      <c r="AS2745" s="94"/>
      <c r="AT2745" s="95"/>
      <c r="AU2745" s="97"/>
      <c r="AW2745" s="52"/>
      <c r="AX2745" s="52"/>
      <c r="AY2745" s="52"/>
      <c r="AZ2745" s="52"/>
      <c r="BA2745" s="52"/>
      <c r="BB2745" s="52"/>
      <c r="BC2745" s="52"/>
      <c r="BD2745" s="52"/>
      <c r="BE2745" s="52"/>
      <c r="BF2745" s="52"/>
      <c r="BG2745" s="52"/>
      <c r="BH2745" s="52"/>
      <c r="BI2745" s="65" t="str" cm="1">
        <f t="array" ref="BI2745">IFERROR(INDEX(AW2745:BH2745,1,MATCH(2,1/(AW2745:BH2745&lt;&gt;""))),"")</f>
        <v/>
      </c>
      <c r="BJ2745" s="68" t="str" cm="1">
        <f t="array" ref="BJ2745">IF(BM2745 = "", "",IFERROR(INDEX(AW2745:BH2745,1,MATCH(2,1/(AW2745:BH2745&lt;&gt;""),1)-1),""))</f>
        <v/>
      </c>
      <c r="BK2745" s="98" t="e">
        <f>SUM(BK322,BK344,BK366,BK388,BK410,BK432,BK454,BK476,BK498,BK500,BK510,BK512,BK568,BK601,BK634,BK656,BK689,BK711,BK755,BK766,BK788,BK799,BK810,#REF!,BK832,BK865,BK898,BK931,BK964)/(COUNTIFS(C:C,"GO",F:F,"&lt;&gt;A partir de Fevereiro",F:F,"&lt;&gt;Não se aplica",N:N,"Indicador",F:F,"&lt;&gt;-")-2)</f>
        <v>#REF!</v>
      </c>
      <c r="BL2745" s="98" t="e">
        <f>SUM(BL322,BL344,BL366,BL388,BL410,BL432,BL454,BL476,BL498,BL500,BL510,BL512,BL568,BL601,BL634,BL656,BL689,BL711,BL755,BL766,BL788,BL799,BL810,#REF!,BL832,BL865,BL898,BL931,BL964)/(COUNTIFS(C:C,"GO",F:F,"&lt;&gt;A partir de Fevereiro",F:F,"&lt;&gt;Não se aplica",N:N,"Indicador",F:F,"&lt;&gt;-")-2)</f>
        <v>#REF!</v>
      </c>
      <c r="BM2745" s="55" t="str" cm="1">
        <f t="array" ref="BM2745">IFERROR(
   INDEX($AW$1:$BH$1,
      _xlfn.AGGREGATE(14, 6, COLUMN($AW$1:$BH$1)/(AW2745:BH2745&lt;&gt;""), 2) - COLUMN($AW$1) + 1
   ),
"")</f>
        <v/>
      </c>
      <c r="BN2745" s="55" t="str" cm="1">
        <f t="array" ref="BN2745">IFERROR(INDEX($AW$1:$BH$1,1,MATCH(2,1/(AW2745:BH2745&lt;&gt;""))),"")</f>
        <v/>
      </c>
      <c r="BO2745" s="53">
        <v>0</v>
      </c>
      <c r="BP2745" s="53">
        <v>0</v>
      </c>
      <c r="BQ2745" s="53">
        <v>0</v>
      </c>
      <c r="BR2745" s="53">
        <v>0</v>
      </c>
      <c r="BS2745" s="53">
        <v>0</v>
      </c>
    </row>
    <row r="2746" spans="1:71" ht="25.95" hidden="1" customHeight="1" x14ac:dyDescent="0.3">
      <c r="A2746" s="101" t="s">
        <v>242</v>
      </c>
      <c r="B2746" s="4" t="s">
        <v>243</v>
      </c>
      <c r="C2746" s="5" t="s">
        <v>97</v>
      </c>
      <c r="D2746" s="5" t="s">
        <v>104</v>
      </c>
      <c r="E2746" s="4" t="str" cm="1">
        <f t="array" ref="E2746">_xlfn.IFS(
F2746 = "A partir de Abril", "Aguardando Execução na Distribuidora",
A2746 = "CAPACITAÇÃO", "Em execução no Corporativo",
TRUE, "Em Execução na Distribuidora"
)</f>
        <v>Em Execução na Distribuidora</v>
      </c>
      <c r="F2746" s="4" t="str" cm="1">
        <f t="array" ref="F2746">_xlfn.IFS(
AG2746 &lt;&gt; "", "Jan-Dez/26",
AH2746 &lt;&gt; "", "Fev-Dez/26",
AI2746 &lt;&gt; "", "Mar-Dez/26", AJ2746 &lt;&gt; "", "Abr-Dez/26",
TRUE, "A partir de Junho"
)</f>
        <v>A partir de Junho</v>
      </c>
      <c r="G2746" s="4" t="s">
        <v>37</v>
      </c>
      <c r="H2746" s="7" t="s">
        <v>54</v>
      </c>
      <c r="I2746" s="8"/>
      <c r="J2746" s="34"/>
      <c r="K2746" s="34"/>
      <c r="L2746" s="9"/>
      <c r="M2746" s="13"/>
      <c r="N2746" s="74" t="s">
        <v>42</v>
      </c>
      <c r="O2746" s="5" t="s">
        <v>43</v>
      </c>
      <c r="P2746" s="10" t="s">
        <v>146</v>
      </c>
      <c r="Q2746" s="10" t="s">
        <v>44</v>
      </c>
      <c r="R2746" s="11" t="s">
        <v>44</v>
      </c>
      <c r="S2746" s="11" t="s">
        <v>44</v>
      </c>
      <c r="T2746" s="22"/>
      <c r="U2746" s="22"/>
      <c r="V2746" s="22"/>
      <c r="W2746" s="22"/>
      <c r="X2746" s="22"/>
      <c r="Y2746" s="22"/>
      <c r="Z2746" s="22"/>
      <c r="AA2746" s="22"/>
      <c r="AB2746" s="22"/>
      <c r="AC2746" s="22"/>
      <c r="AD2746" s="22"/>
      <c r="AE2746" s="22"/>
      <c r="AG2746" s="71"/>
      <c r="AH2746" s="71"/>
      <c r="AI2746" s="71"/>
      <c r="AJ2746" s="71"/>
      <c r="AK2746" s="71"/>
      <c r="AL2746" s="71"/>
      <c r="AM2746" s="71"/>
      <c r="AN2746" s="71"/>
      <c r="AO2746" s="71"/>
      <c r="AP2746" s="71"/>
      <c r="AQ2746" s="71"/>
      <c r="AR2746" s="71"/>
      <c r="AS2746" s="94"/>
      <c r="AT2746" s="95"/>
      <c r="AU2746" s="97"/>
      <c r="AW2746" s="52"/>
      <c r="AX2746" s="52"/>
      <c r="AY2746" s="52"/>
      <c r="AZ2746" s="52"/>
      <c r="BA2746" s="52"/>
      <c r="BB2746" s="52"/>
      <c r="BC2746" s="52"/>
      <c r="BD2746" s="52"/>
      <c r="BE2746" s="52"/>
      <c r="BF2746" s="52"/>
      <c r="BG2746" s="52"/>
      <c r="BH2746" s="52"/>
      <c r="BI2746" s="65" t="str" cm="1">
        <f t="array" ref="BI2746">IFERROR(INDEX(AW2746:BH2746,1,MATCH(2,1/(AW2746:BH2746&lt;&gt;""))),"")</f>
        <v/>
      </c>
      <c r="BJ2746" s="68" t="str" cm="1">
        <f t="array" ref="BJ2746">IF(BM2746 = "", "",IFERROR(INDEX(AW2746:BH2746,1,MATCH(2,1/(AW2746:BH2746&lt;&gt;""),1)-1),""))</f>
        <v/>
      </c>
      <c r="BK2746" s="98" t="e">
        <f>SUM(BK323,BK345,BK367,BK389,BK411,BK433,BK455,BK477,BK499,BK501,BK511,BK513,BK569,BK602,BK635,BK657,BK690,BK712,BK756,BK767,BK789,BK800,BK811,#REF!,BK833,BK866,BK899,BK932,BK965)/(COUNTIFS(C:C,"GO",F:F,"&lt;&gt;A partir de Fevereiro",F:F,"&lt;&gt;Não se aplica",N:N,"Indicador",F:F,"&lt;&gt;-")-2)</f>
        <v>#REF!</v>
      </c>
      <c r="BL2746" s="98" t="e">
        <f>SUM(BL323,BL345,BL367,BL389,BL411,BL433,BL455,BL477,BL499,BL501,BL511,BL513,BL569,BL602,BL635,BL657,BL690,BL712,BL756,BL767,BL789,BL800,BL811,#REF!,BL833,BL866,BL899,BL932,BL965)/(COUNTIFS(C:C,"GO",F:F,"&lt;&gt;A partir de Fevereiro",F:F,"&lt;&gt;Não se aplica",N:N,"Indicador",F:F,"&lt;&gt;-")-2)</f>
        <v>#REF!</v>
      </c>
      <c r="BM2746" s="55" t="str" cm="1">
        <f t="array" ref="BM2746">IFERROR(
   INDEX($AW$1:$BH$1,
      _xlfn.AGGREGATE(14, 6, COLUMN($AW$1:$BH$1)/(AW2746:BH2746&lt;&gt;""), 2) - COLUMN($AW$1) + 1
   ),
"")</f>
        <v/>
      </c>
      <c r="BN2746" s="55" t="str" cm="1">
        <f t="array" ref="BN2746">IFERROR(INDEX($AW$1:$BH$1,1,MATCH(2,1/(AW2746:BH2746&lt;&gt;""))),"")</f>
        <v/>
      </c>
      <c r="BO2746" s="53">
        <v>0</v>
      </c>
      <c r="BP2746" s="53">
        <v>0</v>
      </c>
      <c r="BQ2746" s="53">
        <v>0</v>
      </c>
      <c r="BR2746" s="53">
        <v>0</v>
      </c>
      <c r="BS2746" s="53">
        <v>0</v>
      </c>
    </row>
    <row r="2747" spans="1:71" ht="25.95" hidden="1" customHeight="1" x14ac:dyDescent="0.3">
      <c r="A2747" s="101" t="s">
        <v>242</v>
      </c>
      <c r="B2747" s="4" t="s">
        <v>243</v>
      </c>
      <c r="C2747" s="5" t="s">
        <v>97</v>
      </c>
      <c r="D2747" s="5" t="s">
        <v>105</v>
      </c>
      <c r="E2747" s="4" t="str" cm="1">
        <f t="array" ref="E2747">_xlfn.IFS(
F2747 = "A partir de Abril", "Aguardando Execução na Distribuidora",
A2747 = "CAPACITAÇÃO", "Em execução no Corporativo",
TRUE, "Em Execução na Distribuidora"
)</f>
        <v>Em Execução na Distribuidora</v>
      </c>
      <c r="F2747" s="4" t="str" cm="1">
        <f t="array" ref="F2747">_xlfn.IFS(
AG2747 &lt;&gt; "", "Jan-Dez/26",
AH2747 &lt;&gt; "", "Fev-Dez/26",
AI2747 &lt;&gt; "", "Mar-Dez/26", AJ2747 &lt;&gt; "", "Abr-Dez/26",
TRUE, "A partir de Junho"
)</f>
        <v>A partir de Junho</v>
      </c>
      <c r="G2747" s="4" t="s">
        <v>37</v>
      </c>
      <c r="H2747" s="7" t="s">
        <v>54</v>
      </c>
      <c r="I2747" s="8"/>
      <c r="J2747" s="34"/>
      <c r="K2747" s="34"/>
      <c r="L2747" s="9"/>
      <c r="M2747" s="13"/>
      <c r="N2747" s="74" t="s">
        <v>42</v>
      </c>
      <c r="O2747" s="5" t="s">
        <v>43</v>
      </c>
      <c r="P2747" s="10" t="s">
        <v>146</v>
      </c>
      <c r="Q2747" s="10" t="s">
        <v>44</v>
      </c>
      <c r="R2747" s="11" t="s">
        <v>44</v>
      </c>
      <c r="S2747" s="11" t="s">
        <v>44</v>
      </c>
      <c r="T2747" s="22"/>
      <c r="U2747" s="22"/>
      <c r="V2747" s="22"/>
      <c r="W2747" s="22"/>
      <c r="X2747" s="22"/>
      <c r="Y2747" s="22"/>
      <c r="Z2747" s="22"/>
      <c r="AA2747" s="22"/>
      <c r="AB2747" s="22"/>
      <c r="AC2747" s="22"/>
      <c r="AD2747" s="22"/>
      <c r="AE2747" s="22"/>
      <c r="AG2747" s="71"/>
      <c r="AH2747" s="71"/>
      <c r="AI2747" s="71"/>
      <c r="AJ2747" s="71"/>
      <c r="AK2747" s="71"/>
      <c r="AL2747" s="71"/>
      <c r="AM2747" s="71"/>
      <c r="AN2747" s="71"/>
      <c r="AO2747" s="71"/>
      <c r="AP2747" s="71"/>
      <c r="AQ2747" s="71"/>
      <c r="AR2747" s="71"/>
      <c r="AS2747" s="94"/>
      <c r="AT2747" s="95"/>
      <c r="AU2747" s="97"/>
      <c r="AW2747" s="52"/>
      <c r="AX2747" s="52"/>
      <c r="AY2747" s="52"/>
      <c r="AZ2747" s="52"/>
      <c r="BA2747" s="52"/>
      <c r="BB2747" s="52"/>
      <c r="BC2747" s="52"/>
      <c r="BD2747" s="52"/>
      <c r="BE2747" s="52"/>
      <c r="BF2747" s="52"/>
      <c r="BG2747" s="52"/>
      <c r="BH2747" s="52"/>
      <c r="BI2747" s="65" t="str" cm="1">
        <f t="array" ref="BI2747">IFERROR(INDEX(AW2747:BH2747,1,MATCH(2,1/(AW2747:BH2747&lt;&gt;""))),"")</f>
        <v/>
      </c>
      <c r="BJ2747" s="68" t="str" cm="1">
        <f t="array" ref="BJ2747">IF(BM2747 = "", "",IFERROR(INDEX(AW2747:BH2747,1,MATCH(2,1/(AW2747:BH2747&lt;&gt;""),1)-1),""))</f>
        <v/>
      </c>
      <c r="BK2747" s="98" t="e">
        <f>SUM(BK324,BK346,BK368,BK390,BK412,BK434,BK456,BK478,BK500,BK502,BK512,BK514,BK570,BK603,BK636,BK658,BK691,BK713,BK757,BK768,BK790,BK801,BK812,#REF!,BK834,BK867,BK900,BK933,BK966)/(COUNTIFS(C:C,"GO",F:F,"&lt;&gt;A partir de Fevereiro",F:F,"&lt;&gt;Não se aplica",N:N,"Indicador",F:F,"&lt;&gt;-")-2)</f>
        <v>#REF!</v>
      </c>
      <c r="BL2747" s="98" t="e">
        <f>SUM(BL324,BL346,BL368,BL390,BL412,BL434,BL456,BL478,BL500,BL502,BL512,BL514,BL570,BL603,BL636,BL658,BL691,BL713,BL757,BL768,BL790,BL801,BL812,#REF!,BL834,BL867,BL900,BL933,BL966)/(COUNTIFS(C:C,"GO",F:F,"&lt;&gt;A partir de Fevereiro",F:F,"&lt;&gt;Não se aplica",N:N,"Indicador",F:F,"&lt;&gt;-")-2)</f>
        <v>#REF!</v>
      </c>
      <c r="BM2747" s="55" t="str" cm="1">
        <f t="array" ref="BM2747">IFERROR(
   INDEX($AW$1:$BH$1,
      _xlfn.AGGREGATE(14, 6, COLUMN($AW$1:$BH$1)/(AW2747:BH2747&lt;&gt;""), 2) - COLUMN($AW$1) + 1
   ),
"")</f>
        <v/>
      </c>
      <c r="BN2747" s="55" t="str" cm="1">
        <f t="array" ref="BN2747">IFERROR(INDEX($AW$1:$BH$1,1,MATCH(2,1/(AW2747:BH2747&lt;&gt;""))),"")</f>
        <v/>
      </c>
      <c r="BO2747" s="53">
        <v>0</v>
      </c>
      <c r="BP2747" s="53">
        <v>0</v>
      </c>
      <c r="BQ2747" s="53">
        <v>0</v>
      </c>
      <c r="BR2747" s="53">
        <v>0</v>
      </c>
      <c r="BS2747" s="53">
        <v>0</v>
      </c>
    </row>
    <row r="2748" spans="1:71" ht="25.95" hidden="1" customHeight="1" x14ac:dyDescent="0.3">
      <c r="A2748" s="101" t="s">
        <v>242</v>
      </c>
      <c r="B2748" s="4" t="s">
        <v>243</v>
      </c>
      <c r="C2748" s="5" t="s">
        <v>97</v>
      </c>
      <c r="D2748" s="5" t="s">
        <v>106</v>
      </c>
      <c r="E2748" s="4" t="str" cm="1">
        <f t="array" ref="E2748">_xlfn.IFS(
F2748 = "A partir de Abril", "Aguardando Execução na Distribuidora",
A2748 = "CAPACITAÇÃO", "Em execução no Corporativo",
TRUE, "Em Execução na Distribuidora"
)</f>
        <v>Em Execução na Distribuidora</v>
      </c>
      <c r="F2748" s="4" t="str" cm="1">
        <f t="array" ref="F2748">_xlfn.IFS(
AG2748 &lt;&gt; "", "Jan-Dez/26",
AH2748 &lt;&gt; "", "Fev-Dez/26",
AI2748 &lt;&gt; "", "Mar-Dez/26", AJ2748 &lt;&gt; "", "Abr-Dez/26",
TRUE, "A partir de Junho"
)</f>
        <v>A partir de Junho</v>
      </c>
      <c r="G2748" s="4" t="s">
        <v>37</v>
      </c>
      <c r="H2748" s="7" t="s">
        <v>54</v>
      </c>
      <c r="I2748" s="8"/>
      <c r="J2748" s="34"/>
      <c r="K2748" s="34"/>
      <c r="L2748" s="9"/>
      <c r="M2748" s="13"/>
      <c r="N2748" s="74" t="s">
        <v>42</v>
      </c>
      <c r="O2748" s="5" t="s">
        <v>43</v>
      </c>
      <c r="P2748" s="10" t="s">
        <v>146</v>
      </c>
      <c r="Q2748" s="10" t="s">
        <v>44</v>
      </c>
      <c r="R2748" s="11" t="s">
        <v>44</v>
      </c>
      <c r="S2748" s="11" t="s">
        <v>44</v>
      </c>
      <c r="T2748" s="22"/>
      <c r="U2748" s="22"/>
      <c r="V2748" s="22"/>
      <c r="W2748" s="22"/>
      <c r="X2748" s="22"/>
      <c r="Y2748" s="22"/>
      <c r="Z2748" s="22"/>
      <c r="AA2748" s="22"/>
      <c r="AB2748" s="22"/>
      <c r="AC2748" s="22"/>
      <c r="AD2748" s="22"/>
      <c r="AE2748" s="22"/>
      <c r="AG2748" s="71"/>
      <c r="AH2748" s="71"/>
      <c r="AI2748" s="71"/>
      <c r="AJ2748" s="71"/>
      <c r="AK2748" s="71"/>
      <c r="AL2748" s="71"/>
      <c r="AM2748" s="71"/>
      <c r="AN2748" s="71"/>
      <c r="AO2748" s="71"/>
      <c r="AP2748" s="71"/>
      <c r="AQ2748" s="71"/>
      <c r="AR2748" s="71"/>
      <c r="AS2748" s="94"/>
      <c r="AT2748" s="95"/>
      <c r="AU2748" s="97"/>
      <c r="AW2748" s="52"/>
      <c r="AX2748" s="52"/>
      <c r="AY2748" s="52"/>
      <c r="AZ2748" s="52"/>
      <c r="BA2748" s="52"/>
      <c r="BB2748" s="52"/>
      <c r="BC2748" s="52"/>
      <c r="BD2748" s="52"/>
      <c r="BE2748" s="52"/>
      <c r="BF2748" s="52"/>
      <c r="BG2748" s="52"/>
      <c r="BH2748" s="52"/>
      <c r="BI2748" s="65" t="str" cm="1">
        <f t="array" ref="BI2748">IFERROR(INDEX(AW2748:BH2748,1,MATCH(2,1/(AW2748:BH2748&lt;&gt;""))),"")</f>
        <v/>
      </c>
      <c r="BJ2748" s="68" t="str" cm="1">
        <f t="array" ref="BJ2748">IF(BM2748 = "", "",IFERROR(INDEX(AW2748:BH2748,1,MATCH(2,1/(AW2748:BH2748&lt;&gt;""),1)-1),""))</f>
        <v/>
      </c>
      <c r="BK2748" s="98" t="e">
        <f>SUM(BK325,BK347,BK369,BK391,BK413,BK435,BK457,BK479,BK501,BK503,BK513,BK515,BK571,BK604,BK637,BK659,BK692,BK714,BK758,BK769,BK791,BK802,BK813,#REF!,BK835,BK868,BK901,BK934,BK967)/(COUNTIFS(C:C,"GO",F:F,"&lt;&gt;A partir de Fevereiro",F:F,"&lt;&gt;Não se aplica",N:N,"Indicador",F:F,"&lt;&gt;-")-2)</f>
        <v>#REF!</v>
      </c>
      <c r="BL2748" s="98" t="e">
        <f>SUM(BL325,BL347,BL369,BL391,BL413,BL435,BL457,BL479,BL501,BL503,BL513,BL515,BL571,BL604,BL637,BL659,BL692,BL714,BL758,BL769,BL791,BL802,BL813,#REF!,BL835,BL868,BL901,BL934,BL967)/(COUNTIFS(C:C,"GO",F:F,"&lt;&gt;A partir de Fevereiro",F:F,"&lt;&gt;Não se aplica",N:N,"Indicador",F:F,"&lt;&gt;-")-2)</f>
        <v>#REF!</v>
      </c>
      <c r="BM2748" s="55" t="str" cm="1">
        <f t="array" ref="BM2748">IFERROR(
   INDEX($AW$1:$BH$1,
      _xlfn.AGGREGATE(14, 6, COLUMN($AW$1:$BH$1)/(AW2748:BH2748&lt;&gt;""), 2) - COLUMN($AW$1) + 1
   ),
"")</f>
        <v/>
      </c>
      <c r="BN2748" s="55" t="str" cm="1">
        <f t="array" ref="BN2748">IFERROR(INDEX($AW$1:$BH$1,1,MATCH(2,1/(AW2748:BH2748&lt;&gt;""))),"")</f>
        <v/>
      </c>
      <c r="BO2748" s="53">
        <v>0</v>
      </c>
      <c r="BP2748" s="53">
        <v>0</v>
      </c>
      <c r="BQ2748" s="53">
        <v>0</v>
      </c>
      <c r="BR2748" s="53">
        <v>0</v>
      </c>
      <c r="BS2748" s="53">
        <v>0</v>
      </c>
    </row>
    <row r="2749" spans="1:71" ht="25.95" hidden="1" customHeight="1" x14ac:dyDescent="0.3">
      <c r="A2749" s="101" t="s">
        <v>242</v>
      </c>
      <c r="B2749" s="4" t="s">
        <v>243</v>
      </c>
      <c r="C2749" s="5" t="s">
        <v>97</v>
      </c>
      <c r="D2749" s="5" t="s">
        <v>107</v>
      </c>
      <c r="E2749" s="4" t="str" cm="1">
        <f t="array" ref="E2749">_xlfn.IFS(
F2749 = "A partir de Abril", "Aguardando Execução na Distribuidora",
A2749 = "CAPACITAÇÃO", "Em execução no Corporativo",
TRUE, "Em Execução na Distribuidora"
)</f>
        <v>Em Execução na Distribuidora</v>
      </c>
      <c r="F2749" s="4" t="str" cm="1">
        <f t="array" ref="F2749">_xlfn.IFS(
AG2749 &lt;&gt; "", "Jan-Dez/26",
AH2749 &lt;&gt; "", "Fev-Dez/26",
AI2749 &lt;&gt; "", "Mar-Dez/26", AJ2749 &lt;&gt; "", "Abr-Dez/26",
TRUE, "A partir de Junho"
)</f>
        <v>A partir de Junho</v>
      </c>
      <c r="G2749" s="4" t="s">
        <v>37</v>
      </c>
      <c r="H2749" s="7" t="s">
        <v>54</v>
      </c>
      <c r="I2749" s="8"/>
      <c r="J2749" s="34"/>
      <c r="K2749" s="34"/>
      <c r="L2749" s="9"/>
      <c r="M2749" s="13"/>
      <c r="N2749" s="74" t="s">
        <v>42</v>
      </c>
      <c r="O2749" s="5" t="s">
        <v>43</v>
      </c>
      <c r="P2749" s="10" t="s">
        <v>146</v>
      </c>
      <c r="Q2749" s="10" t="s">
        <v>44</v>
      </c>
      <c r="R2749" s="11" t="s">
        <v>44</v>
      </c>
      <c r="S2749" s="11" t="s">
        <v>44</v>
      </c>
      <c r="T2749" s="22"/>
      <c r="U2749" s="22"/>
      <c r="V2749" s="22"/>
      <c r="W2749" s="22"/>
      <c r="X2749" s="22"/>
      <c r="Y2749" s="22"/>
      <c r="Z2749" s="22"/>
      <c r="AA2749" s="22"/>
      <c r="AB2749" s="22"/>
      <c r="AC2749" s="22"/>
      <c r="AD2749" s="22"/>
      <c r="AE2749" s="22"/>
      <c r="AG2749" s="71"/>
      <c r="AH2749" s="71"/>
      <c r="AI2749" s="71"/>
      <c r="AJ2749" s="71"/>
      <c r="AK2749" s="71"/>
      <c r="AL2749" s="71"/>
      <c r="AM2749" s="71"/>
      <c r="AN2749" s="71"/>
      <c r="AO2749" s="71"/>
      <c r="AP2749" s="71"/>
      <c r="AQ2749" s="71"/>
      <c r="AR2749" s="71"/>
      <c r="AS2749" s="94"/>
      <c r="AT2749" s="95"/>
      <c r="AU2749" s="97"/>
      <c r="AW2749" s="52"/>
      <c r="AX2749" s="52"/>
      <c r="AY2749" s="52"/>
      <c r="AZ2749" s="52"/>
      <c r="BA2749" s="52"/>
      <c r="BB2749" s="52"/>
      <c r="BC2749" s="52"/>
      <c r="BD2749" s="52"/>
      <c r="BE2749" s="52"/>
      <c r="BF2749" s="52"/>
      <c r="BG2749" s="52"/>
      <c r="BH2749" s="52"/>
      <c r="BI2749" s="65" t="str" cm="1">
        <f t="array" ref="BI2749">IFERROR(INDEX(AW2749:BH2749,1,MATCH(2,1/(AW2749:BH2749&lt;&gt;""))),"")</f>
        <v/>
      </c>
      <c r="BJ2749" s="68" t="str" cm="1">
        <f t="array" ref="BJ2749">IF(BM2749 = "", "",IFERROR(INDEX(AW2749:BH2749,1,MATCH(2,1/(AW2749:BH2749&lt;&gt;""),1)-1),""))</f>
        <v/>
      </c>
      <c r="BK2749" s="98" t="e">
        <f>SUM(BK326,BK348,BK370,BK392,BK414,BK436,BK458,BK480,BK502,BK506,BK514,BK516,BK572,BK605,BK638,BK660,BK693,BK715,BK759,BK770,BK792,BK803,BK814,#REF!,BK836,BK869,BK902,BK935,BK968)/(COUNTIFS(C:C,"GO",F:F,"&lt;&gt;A partir de Fevereiro",F:F,"&lt;&gt;Não se aplica",N:N,"Indicador",F:F,"&lt;&gt;-")-2)</f>
        <v>#REF!</v>
      </c>
      <c r="BL2749" s="98" t="e">
        <f>SUM(BL326,BL348,BL370,BL392,BL414,BL436,BL458,BL480,BL502,BL506,BL514,BL516,BL572,BL605,BL638,BL660,BL693,BL715,BL759,BL770,BL792,BL803,BL814,#REF!,BL836,BL869,BL902,BL935,BL968)/(COUNTIFS(C:C,"GO",F:F,"&lt;&gt;A partir de Fevereiro",F:F,"&lt;&gt;Não se aplica",N:N,"Indicador",F:F,"&lt;&gt;-")-2)</f>
        <v>#REF!</v>
      </c>
      <c r="BM2749" s="55" t="str" cm="1">
        <f t="array" ref="BM2749">IFERROR(
   INDEX($AW$1:$BH$1,
      _xlfn.AGGREGATE(14, 6, COLUMN($AW$1:$BH$1)/(AW2749:BH2749&lt;&gt;""), 2) - COLUMN($AW$1) + 1
   ),
"")</f>
        <v/>
      </c>
      <c r="BN2749" s="55" t="str" cm="1">
        <f t="array" ref="BN2749">IFERROR(INDEX($AW$1:$BH$1,1,MATCH(2,1/(AW2749:BH2749&lt;&gt;""))),"")</f>
        <v/>
      </c>
      <c r="BO2749" s="53">
        <v>0</v>
      </c>
      <c r="BP2749" s="53">
        <v>0</v>
      </c>
      <c r="BQ2749" s="53">
        <v>0</v>
      </c>
      <c r="BR2749" s="53">
        <v>0</v>
      </c>
      <c r="BS2749" s="53">
        <v>0</v>
      </c>
    </row>
    <row r="2750" spans="1:71" ht="25.95" hidden="1" customHeight="1" x14ac:dyDescent="0.3">
      <c r="A2750" s="101" t="s">
        <v>242</v>
      </c>
      <c r="B2750" s="4" t="s">
        <v>243</v>
      </c>
      <c r="C2750" s="5" t="s">
        <v>209</v>
      </c>
      <c r="D2750" s="5" t="s">
        <v>36</v>
      </c>
      <c r="E2750" s="4" t="str" cm="1">
        <f t="array" ref="E2750">_xlfn.IFS(
F2750 = "A partir de Abril", "Aguardando Execução na Distribuidora",
A2750 = "CAPACITAÇÃO", "Em execução no Corporativo",
TRUE, "Em Execução na Distribuidora"
)</f>
        <v>Em Execução na Distribuidora</v>
      </c>
      <c r="F2750" s="4" t="str" cm="1">
        <f t="array" ref="F2750">_xlfn.IFS(
AG2750 &lt;&gt; "", "Jan-Dez/26",
AH2750 &lt;&gt; "", "Fev-Dez/26",
AI2750 &lt;&gt; "", "Mar-Dez/26", AJ2750 &lt;&gt; "", "Abr-Dez/26",
TRUE, "A partir de Junho"
)</f>
        <v>A partir de Junho</v>
      </c>
      <c r="G2750" s="4" t="s">
        <v>37</v>
      </c>
      <c r="H2750" s="7" t="s">
        <v>54</v>
      </c>
      <c r="I2750" s="21"/>
      <c r="J2750" s="34"/>
      <c r="K2750" s="34"/>
      <c r="L2750" s="9"/>
      <c r="M2750" s="13"/>
      <c r="N2750" s="74" t="s">
        <v>42</v>
      </c>
      <c r="O2750" s="5" t="s">
        <v>43</v>
      </c>
      <c r="P2750" s="10" t="s">
        <v>146</v>
      </c>
      <c r="Q2750" s="10" t="s">
        <v>44</v>
      </c>
      <c r="R2750" s="11" t="s">
        <v>44</v>
      </c>
      <c r="S2750" s="11" t="s">
        <v>44</v>
      </c>
      <c r="T2750" s="22"/>
      <c r="U2750" s="22"/>
      <c r="V2750" s="22"/>
      <c r="W2750" s="22"/>
      <c r="X2750" s="22"/>
      <c r="Y2750" s="22"/>
      <c r="Z2750" s="22"/>
      <c r="AA2750" s="22"/>
      <c r="AB2750" s="22"/>
      <c r="AC2750" s="22"/>
      <c r="AD2750" s="22"/>
      <c r="AE2750" s="22"/>
      <c r="AG2750" s="71"/>
      <c r="AH2750" s="71"/>
      <c r="AI2750" s="71"/>
      <c r="AJ2750" s="71"/>
      <c r="AK2750" s="71"/>
      <c r="AL2750" s="71"/>
      <c r="AM2750" s="71"/>
      <c r="AN2750" s="71"/>
      <c r="AO2750" s="71"/>
      <c r="AP2750" s="71"/>
      <c r="AQ2750" s="71"/>
      <c r="AR2750" s="71"/>
      <c r="AS2750" s="94"/>
      <c r="AT2750" s="95"/>
      <c r="AU2750" s="97"/>
      <c r="AW2750" s="52"/>
      <c r="AX2750" s="52"/>
      <c r="AY2750" s="52"/>
      <c r="AZ2750" s="52"/>
      <c r="BA2750" s="52"/>
      <c r="BB2750" s="52"/>
      <c r="BC2750" s="52"/>
      <c r="BD2750" s="52"/>
      <c r="BE2750" s="52"/>
      <c r="BF2750" s="52"/>
      <c r="BG2750" s="52"/>
      <c r="BH2750" s="52"/>
      <c r="BI2750" s="68" t="str" cm="1">
        <f t="array" ref="BI2750">IFERROR(INDEX(AW2750:BH2750,1,MATCH(2,1/(AW2750:BH2750&lt;&gt;""))),"")</f>
        <v/>
      </c>
      <c r="BJ2750" s="68" t="str" cm="1">
        <f t="array" ref="BJ2750">IF(BM2750 = "", "",IFERROR(INDEX(AW2750:BH2750,1,MATCH(2,1/(AW2750:BH2750&lt;&gt;""),1)-1),""))</f>
        <v/>
      </c>
      <c r="BK2750" s="98">
        <f>SUM(BK1068,BK1080,BK1092,BK1104,BK1116,BK1128,BK1140,BK1152,BK1169,BK1176,BK1188,BK1198,BK1225,BK1243,BK1261,BK1273,BK1291,BK1303,BK1327,BK1333,BK1345,BK1351,BK1357,BK1368,BK1387,BK1369,BK1405,BK1423,BK1441)/(COUNTIFS(C:C,"MA",F:F,"&lt;&gt;A partir de Fevereiro",F:F,"&lt;&gt;Não se aplica",N:N,"Indicador",F:F,"&lt;&gt;-")-2)</f>
        <v>1475.2984873949579</v>
      </c>
      <c r="BL2750" s="98">
        <f ca="1">SUM(BL1068,BL1080,BL1092,BL1104,BL1116,BL1128,BL1140,BL1152,BL1169,BL1176,BL1188,BL1198,BL1225,BL1243,BL1261,BL1273,BL1291,BL1303,BL1327,BL1333,BL1345,BL1351,BL1357,BL1368,BL1387,BL1369,BL1405,BL1423,BL1441)/(COUNTIFS(C:C,"MA",F:F,"&lt;&gt;A partir de Fevereiro",F:F,"&lt;&gt;Não se aplica",N:N,"Indicador",F:F,"&lt;&gt;-")-2)</f>
        <v>103.05312324929972</v>
      </c>
      <c r="BM2750" s="55" t="str" cm="1">
        <f t="array" ref="BM2750">IFERROR(
   INDEX($AW$1:$BH$1,
      _xlfn.AGGREGATE(14, 6, COLUMN($AW$1:$BH$1)/(AW2750:BH2750&lt;&gt;""), 2) - COLUMN($AW$1) + 1
   ),
"")</f>
        <v/>
      </c>
      <c r="BN2750" s="55" t="str" cm="1">
        <f t="array" ref="BN2750">IFERROR(INDEX($AW$1:$BH$1,1,MATCH(2,1/(AW2750:BH2750&lt;&gt;""))),"")</f>
        <v/>
      </c>
      <c r="BO2750" s="53">
        <v>0</v>
      </c>
      <c r="BP2750" s="53">
        <v>0</v>
      </c>
      <c r="BQ2750" s="53">
        <v>0</v>
      </c>
      <c r="BR2750" s="53">
        <v>0</v>
      </c>
      <c r="BS2750" s="53">
        <v>0</v>
      </c>
    </row>
    <row r="2751" spans="1:71" ht="25.95" hidden="1" customHeight="1" x14ac:dyDescent="0.3">
      <c r="A2751" s="101" t="s">
        <v>242</v>
      </c>
      <c r="B2751" s="4" t="s">
        <v>243</v>
      </c>
      <c r="C2751" s="5" t="s">
        <v>209</v>
      </c>
      <c r="D2751" s="5" t="s">
        <v>210</v>
      </c>
      <c r="E2751" s="4" t="str" cm="1">
        <f t="array" ref="E2751">_xlfn.IFS(
F2751 = "A partir de Abril", "Aguardando Execução na Distribuidora",
A2751 = "CAPACITAÇÃO", "Em execução no Corporativo",
TRUE, "Em Execução na Distribuidora"
)</f>
        <v>Em Execução na Distribuidora</v>
      </c>
      <c r="F2751" s="4" t="str" cm="1">
        <f t="array" ref="F2751">_xlfn.IFS(
AG2751 &lt;&gt; "", "Jan-Dez/26",
AH2751 &lt;&gt; "", "Fev-Dez/26",
AI2751 &lt;&gt; "", "Mar-Dez/26", AJ2751 &lt;&gt; "", "Abr-Dez/26",
TRUE, "A partir de Junho"
)</f>
        <v>A partir de Junho</v>
      </c>
      <c r="G2751" s="4" t="s">
        <v>37</v>
      </c>
      <c r="H2751" s="7" t="s">
        <v>54</v>
      </c>
      <c r="I2751" s="21"/>
      <c r="J2751" s="34"/>
      <c r="K2751" s="34"/>
      <c r="L2751" s="9"/>
      <c r="M2751" s="13"/>
      <c r="N2751" s="74" t="s">
        <v>42</v>
      </c>
      <c r="O2751" s="5" t="s">
        <v>43</v>
      </c>
      <c r="P2751" s="10" t="s">
        <v>146</v>
      </c>
      <c r="Q2751" s="10" t="s">
        <v>44</v>
      </c>
      <c r="R2751" s="11" t="s">
        <v>44</v>
      </c>
      <c r="S2751" s="11" t="s">
        <v>44</v>
      </c>
      <c r="T2751" s="22"/>
      <c r="U2751" s="22"/>
      <c r="V2751" s="22"/>
      <c r="W2751" s="22"/>
      <c r="X2751" s="22"/>
      <c r="Y2751" s="22"/>
      <c r="Z2751" s="22"/>
      <c r="AA2751" s="22"/>
      <c r="AB2751" s="22"/>
      <c r="AC2751" s="22"/>
      <c r="AD2751" s="22"/>
      <c r="AE2751" s="22"/>
      <c r="AG2751" s="71"/>
      <c r="AH2751" s="71"/>
      <c r="AI2751" s="71"/>
      <c r="AJ2751" s="71"/>
      <c r="AK2751" s="71"/>
      <c r="AL2751" s="71"/>
      <c r="AM2751" s="71"/>
      <c r="AN2751" s="71"/>
      <c r="AO2751" s="71"/>
      <c r="AP2751" s="71"/>
      <c r="AQ2751" s="71"/>
      <c r="AR2751" s="71"/>
      <c r="AS2751" s="94"/>
      <c r="AT2751" s="95"/>
      <c r="AU2751" s="97"/>
      <c r="AW2751" s="52"/>
      <c r="AX2751" s="52"/>
      <c r="AY2751" s="52"/>
      <c r="AZ2751" s="52"/>
      <c r="BA2751" s="52"/>
      <c r="BB2751" s="52"/>
      <c r="BC2751" s="52"/>
      <c r="BD2751" s="52"/>
      <c r="BE2751" s="52"/>
      <c r="BF2751" s="52"/>
      <c r="BG2751" s="52"/>
      <c r="BH2751" s="52"/>
      <c r="BI2751" s="68" t="str" cm="1">
        <f t="array" ref="BI2751">IFERROR(INDEX(AW2751:BH2751,1,MATCH(2,1/(AW2751:BH2751&lt;&gt;""))),"")</f>
        <v/>
      </c>
      <c r="BJ2751" s="68" t="str" cm="1">
        <f t="array" ref="BJ2751">IF(BM2751 = "", "",IFERROR(INDEX(AW2751:BH2751,1,MATCH(2,1/(AW2751:BH2751&lt;&gt;""),1)-1),""))</f>
        <v/>
      </c>
      <c r="BK2751" s="98">
        <f>SUM(BK1065,BK1077,BK1089,BK1101,BK1113,BK1125,BK1137,BK1149,BK1166,BK1173,BK1175,BK1182,BK1222,BK1240,BK1258,BK1270,BK1288,BK1300,BK1324,BK1330,BK1342,BK1348,BK1354,BK1365,BK1384,BK1366,BK1402,BK1420,BK1438)/(COUNTIFS(C:C,"MA",F:F,"&lt;&gt;A partir de Fevereiro",F:F,"&lt;&gt;Não se aplica",N:N,"Indicador",F:F,"&lt;&gt;-")-2)</f>
        <v>535.40012254901967</v>
      </c>
      <c r="BL2751" s="98">
        <f ca="1">SUM(BL1065,BL1077,BL1089,BL1101,BL1113,BL1125,BL1137,BL1149,BL1166,BL1173,BL1175,BL1182,BL1222,BL1240,BL1258,BL1270,BL1288,BL1300,BL1324,BL1330,BL1342,BL1348,BL1354,BL1365,BL1384,BL1366,BL1402,BL1420,BL1438)/(COUNTIFS(C:C,"MA",F:F,"&lt;&gt;A partir de Fevereiro",F:F,"&lt;&gt;Não se aplica",N:N,"Indicador",F:F,"&lt;&gt;-")-2)</f>
        <v>36.792822128851533</v>
      </c>
      <c r="BM2751" s="55" t="str" cm="1">
        <f t="array" ref="BM2751">IFERROR(
   INDEX($AW$1:$BH$1,
      _xlfn.AGGREGATE(14, 6, COLUMN($AW$1:$BH$1)/(AW2751:BH2751&lt;&gt;""), 2) - COLUMN($AW$1) + 1
   ),
"")</f>
        <v/>
      </c>
      <c r="BN2751" s="55" t="str" cm="1">
        <f t="array" ref="BN2751">IFERROR(INDEX($AW$1:$BH$1,1,MATCH(2,1/(AW2751:BH2751&lt;&gt;""))),"")</f>
        <v/>
      </c>
      <c r="BO2751" s="53">
        <v>0</v>
      </c>
      <c r="BP2751" s="53">
        <v>0</v>
      </c>
      <c r="BQ2751" s="53">
        <v>0</v>
      </c>
      <c r="BR2751" s="53">
        <v>0</v>
      </c>
      <c r="BS2751" s="53">
        <v>0</v>
      </c>
    </row>
    <row r="2752" spans="1:71" ht="25.95" hidden="1" customHeight="1" x14ac:dyDescent="0.3">
      <c r="A2752" s="101" t="s">
        <v>242</v>
      </c>
      <c r="B2752" s="4" t="s">
        <v>243</v>
      </c>
      <c r="C2752" s="5" t="s">
        <v>209</v>
      </c>
      <c r="D2752" s="5" t="s">
        <v>47</v>
      </c>
      <c r="E2752" s="4" t="str" cm="1">
        <f t="array" ref="E2752">_xlfn.IFS(
F2752 = "A partir de Abril", "Aguardando Execução na Distribuidora",
A2752 = "CAPACITAÇÃO", "Em execução no Corporativo",
TRUE, "Em Execução na Distribuidora"
)</f>
        <v>Em Execução na Distribuidora</v>
      </c>
      <c r="F2752" s="4" t="str" cm="1">
        <f t="array" ref="F2752">_xlfn.IFS(
AG2752 &lt;&gt; "", "Jan-Dez/26",
AH2752 &lt;&gt; "", "Fev-Dez/26",
AI2752 &lt;&gt; "", "Mar-Dez/26", AJ2752 &lt;&gt; "", "Abr-Dez/26",
TRUE, "A partir de Junho"
)</f>
        <v>A partir de Junho</v>
      </c>
      <c r="G2752" s="4" t="s">
        <v>37</v>
      </c>
      <c r="H2752" s="7" t="s">
        <v>54</v>
      </c>
      <c r="I2752" s="21"/>
      <c r="J2752" s="34"/>
      <c r="K2752" s="34"/>
      <c r="L2752" s="9"/>
      <c r="M2752" s="13"/>
      <c r="N2752" s="74" t="s">
        <v>42</v>
      </c>
      <c r="O2752" s="5" t="s">
        <v>43</v>
      </c>
      <c r="P2752" s="10" t="s">
        <v>146</v>
      </c>
      <c r="Q2752" s="10" t="s">
        <v>44</v>
      </c>
      <c r="R2752" s="11" t="s">
        <v>44</v>
      </c>
      <c r="S2752" s="11" t="s">
        <v>44</v>
      </c>
      <c r="T2752" s="22"/>
      <c r="U2752" s="22"/>
      <c r="V2752" s="22"/>
      <c r="W2752" s="22"/>
      <c r="X2752" s="22"/>
      <c r="Y2752" s="22"/>
      <c r="Z2752" s="22"/>
      <c r="AA2752" s="22"/>
      <c r="AB2752" s="22"/>
      <c r="AC2752" s="22"/>
      <c r="AD2752" s="22"/>
      <c r="AE2752" s="22"/>
      <c r="AG2752" s="71"/>
      <c r="AH2752" s="71"/>
      <c r="AI2752" s="71"/>
      <c r="AJ2752" s="71"/>
      <c r="AK2752" s="71"/>
      <c r="AL2752" s="71"/>
      <c r="AM2752" s="71"/>
      <c r="AN2752" s="71"/>
      <c r="AO2752" s="71"/>
      <c r="AP2752" s="71"/>
      <c r="AQ2752" s="71"/>
      <c r="AR2752" s="71"/>
      <c r="AS2752" s="94"/>
      <c r="AT2752" s="95"/>
      <c r="AU2752" s="97"/>
      <c r="AW2752" s="52"/>
      <c r="AX2752" s="52"/>
      <c r="AY2752" s="52"/>
      <c r="AZ2752" s="52"/>
      <c r="BA2752" s="52"/>
      <c r="BB2752" s="52"/>
      <c r="BC2752" s="52"/>
      <c r="BD2752" s="52"/>
      <c r="BE2752" s="52"/>
      <c r="BF2752" s="52"/>
      <c r="BG2752" s="52"/>
      <c r="BH2752" s="52"/>
      <c r="BI2752" s="68" t="str" cm="1">
        <f t="array" ref="BI2752">IFERROR(INDEX(AW2752:BH2752,1,MATCH(2,1/(AW2752:BH2752&lt;&gt;""))),"")</f>
        <v/>
      </c>
      <c r="BJ2752" s="68" t="str" cm="1">
        <f t="array" ref="BJ2752">IF(BM2752 = "", "",IFERROR(INDEX(AW2752:BH2752,1,MATCH(2,1/(AW2752:BH2752&lt;&gt;""),1)-1),""))</f>
        <v/>
      </c>
      <c r="BK2752" s="98">
        <f>SUM(BK1066,BK1078,BK1090,BK1102,BK1114,BK1126,BK1138,BK1150,BK1167,BK1174,BK1176,BK1188,BK1223,BK1241,BK1259,BK1271,BK1289,BK1301,BK1325,BK1331,BK1343,BK1349,BK1355,BK1366,BK1385,BK1367,BK1403,BK1421,BK1439)/(COUNTIFS(C:C,"MA",F:F,"&lt;&gt;A partir de Fevereiro",F:F,"&lt;&gt;Não se aplica",N:N,"Indicador",F:F,"&lt;&gt;-")-2)</f>
        <v>186.2623599439776</v>
      </c>
      <c r="BL2752" s="98">
        <f ca="1">SUM(BL1066,BL1078,BL1090,BL1102,BL1114,BL1126,BL1138,BL1150,BL1167,BL1174,BL1176,BL1188,BL1223,BL1241,BL1259,BL1271,BL1289,BL1301,BL1325,BL1331,BL1343,BL1349,BL1355,BL1366,BL1385,BL1367,BL1403,BL1421,BL1439)/(COUNTIFS(C:C,"MA",F:F,"&lt;&gt;A partir de Fevereiro",F:F,"&lt;&gt;Não se aplica",N:N,"Indicador",F:F,"&lt;&gt;-")-2)</f>
        <v>11.344590336134454</v>
      </c>
      <c r="BM2752" s="55" t="str" cm="1">
        <f t="array" ref="BM2752">IFERROR(
   INDEX($AW$1:$BH$1,
      _xlfn.AGGREGATE(14, 6, COLUMN($AW$1:$BH$1)/(AW2752:BH2752&lt;&gt;""), 2) - COLUMN($AW$1) + 1
   ),
"")</f>
        <v/>
      </c>
      <c r="BN2752" s="55" t="str" cm="1">
        <f t="array" ref="BN2752">IFERROR(INDEX($AW$1:$BH$1,1,MATCH(2,1/(AW2752:BH2752&lt;&gt;""))),"")</f>
        <v/>
      </c>
      <c r="BO2752" s="53">
        <v>0</v>
      </c>
      <c r="BP2752" s="53">
        <v>0</v>
      </c>
      <c r="BQ2752" s="53">
        <v>0</v>
      </c>
      <c r="BR2752" s="53">
        <v>0</v>
      </c>
      <c r="BS2752" s="53">
        <v>0</v>
      </c>
    </row>
    <row r="2753" spans="1:71" ht="25.95" hidden="1" customHeight="1" x14ac:dyDescent="0.3">
      <c r="A2753" s="101" t="s">
        <v>242</v>
      </c>
      <c r="B2753" s="4" t="s">
        <v>243</v>
      </c>
      <c r="C2753" s="5" t="s">
        <v>209</v>
      </c>
      <c r="D2753" s="5" t="s">
        <v>211</v>
      </c>
      <c r="E2753" s="4" t="str" cm="1">
        <f t="array" ref="E2753">_xlfn.IFS(
F2753 = "A partir de Abril", "Aguardando Execução na Distribuidora",
A2753 = "CAPACITAÇÃO", "Em execução no Corporativo",
TRUE, "Em Execução na Distribuidora"
)</f>
        <v>Em Execução na Distribuidora</v>
      </c>
      <c r="F2753" s="4" t="str" cm="1">
        <f t="array" ref="F2753">_xlfn.IFS(
AG2753 &lt;&gt; "", "Jan-Dez/26",
AH2753 &lt;&gt; "", "Fev-Dez/26",
AI2753 &lt;&gt; "", "Mar-Dez/26", AJ2753 &lt;&gt; "", "Abr-Dez/26",
TRUE, "A partir de Junho"
)</f>
        <v>A partir de Junho</v>
      </c>
      <c r="G2753" s="4" t="s">
        <v>37</v>
      </c>
      <c r="H2753" s="7" t="s">
        <v>54</v>
      </c>
      <c r="I2753" s="21"/>
      <c r="J2753" s="34"/>
      <c r="K2753" s="34"/>
      <c r="L2753" s="9"/>
      <c r="M2753" s="13"/>
      <c r="N2753" s="74" t="s">
        <v>42</v>
      </c>
      <c r="O2753" s="5" t="s">
        <v>43</v>
      </c>
      <c r="P2753" s="10" t="s">
        <v>146</v>
      </c>
      <c r="Q2753" s="10" t="s">
        <v>44</v>
      </c>
      <c r="R2753" s="11" t="s">
        <v>44</v>
      </c>
      <c r="S2753" s="11" t="s">
        <v>44</v>
      </c>
      <c r="T2753" s="22"/>
      <c r="U2753" s="22"/>
      <c r="V2753" s="22"/>
      <c r="W2753" s="22"/>
      <c r="X2753" s="22"/>
      <c r="Y2753" s="22"/>
      <c r="Z2753" s="22"/>
      <c r="AA2753" s="22"/>
      <c r="AB2753" s="22"/>
      <c r="AC2753" s="22"/>
      <c r="AD2753" s="22"/>
      <c r="AE2753" s="22"/>
      <c r="AG2753" s="71"/>
      <c r="AH2753" s="71"/>
      <c r="AI2753" s="71"/>
      <c r="AJ2753" s="71"/>
      <c r="AK2753" s="71"/>
      <c r="AL2753" s="71"/>
      <c r="AM2753" s="71"/>
      <c r="AN2753" s="71"/>
      <c r="AO2753" s="71"/>
      <c r="AP2753" s="71"/>
      <c r="AQ2753" s="71"/>
      <c r="AR2753" s="71"/>
      <c r="AS2753" s="94"/>
      <c r="AT2753" s="95"/>
      <c r="AU2753" s="97"/>
      <c r="AW2753" s="52"/>
      <c r="AX2753" s="52"/>
      <c r="AY2753" s="52"/>
      <c r="AZ2753" s="52"/>
      <c r="BA2753" s="52"/>
      <c r="BB2753" s="52"/>
      <c r="BC2753" s="52"/>
      <c r="BD2753" s="52"/>
      <c r="BE2753" s="52"/>
      <c r="BF2753" s="52"/>
      <c r="BG2753" s="52"/>
      <c r="BH2753" s="52"/>
      <c r="BI2753" s="68" t="str" cm="1">
        <f t="array" ref="BI2753">IFERROR(INDEX(AW2753:BH2753,1,MATCH(2,1/(AW2753:BH2753&lt;&gt;""))),"")</f>
        <v/>
      </c>
      <c r="BJ2753" s="68" t="str" cm="1">
        <f t="array" ref="BJ2753">IF(BM2753 = "", "",IFERROR(INDEX(AW2753:BH2753,1,MATCH(2,1/(AW2753:BH2753&lt;&gt;""),1)-1),""))</f>
        <v/>
      </c>
      <c r="BK2753" s="98">
        <f>SUM(BK1067,BK1079,BK1091,BK1103,BK1115,BK1127,BK1139,BK1151,BK1168,BK1175,BK1182,BK1193,BK1224,BK1242,BK1260,BK1272,BK1290,BK1302,BK1326,BK1332,BK1344,BK1350,BK1356,BK1367,BK1386,BK1368,BK1404,BK1422,BK1440)/(COUNTIFS(C:C,"MA",F:F,"&lt;&gt;A partir de Fevereiro",F:F,"&lt;&gt;Não se aplica",N:N,"Indicador",F:F,"&lt;&gt;-")-2)</f>
        <v>784.35350140056016</v>
      </c>
      <c r="BL2753" s="98">
        <f ca="1">SUM(BL1067,BL1079,BL1091,BL1103,BL1115,BL1127,BL1139,BL1151,BL1168,BL1175,BL1182,BL1193,BL1224,BL1242,BL1260,BL1272,BL1290,BL1302,BL1326,BL1332,BL1344,BL1350,BL1356,BL1367,BL1386,BL1368,BL1404,BL1422,BL1440)/(COUNTIFS(C:C,"MA",F:F,"&lt;&gt;A partir de Fevereiro",F:F,"&lt;&gt;Não se aplica",N:N,"Indicador",F:F,"&lt;&gt;-")-2)</f>
        <v>54.163217787114846</v>
      </c>
      <c r="BM2753" s="55" t="str" cm="1">
        <f t="array" ref="BM2753">IFERROR(
   INDEX($AW$1:$BH$1,
      _xlfn.AGGREGATE(14, 6, COLUMN($AW$1:$BH$1)/(AW2753:BH2753&lt;&gt;""), 2) - COLUMN($AW$1) + 1
   ),
"")</f>
        <v/>
      </c>
      <c r="BN2753" s="55" t="str" cm="1">
        <f t="array" ref="BN2753">IFERROR(INDEX($AW$1:$BH$1,1,MATCH(2,1/(AW2753:BH2753&lt;&gt;""))),"")</f>
        <v/>
      </c>
      <c r="BO2753" s="53">
        <v>0</v>
      </c>
      <c r="BP2753" s="53">
        <v>0</v>
      </c>
      <c r="BQ2753" s="53">
        <v>0</v>
      </c>
      <c r="BR2753" s="53">
        <v>0</v>
      </c>
      <c r="BS2753" s="53">
        <v>0</v>
      </c>
    </row>
    <row r="2754" spans="1:71" ht="25.95" hidden="1" customHeight="1" x14ac:dyDescent="0.3">
      <c r="A2754" s="101" t="s">
        <v>242</v>
      </c>
      <c r="B2754" s="4" t="s">
        <v>243</v>
      </c>
      <c r="C2754" s="5" t="s">
        <v>209</v>
      </c>
      <c r="D2754" s="5" t="s">
        <v>212</v>
      </c>
      <c r="E2754" s="4" t="str" cm="1">
        <f t="array" ref="E2754">_xlfn.IFS(
F2754 = "A partir de Abril", "Aguardando Execução na Distribuidora",
A2754 = "CAPACITAÇÃO", "Em execução no Corporativo",
TRUE, "Em Execução na Distribuidora"
)</f>
        <v>Em Execução na Distribuidora</v>
      </c>
      <c r="F2754" s="4" t="str" cm="1">
        <f t="array" ref="F2754">_xlfn.IFS(
AG2754 &lt;&gt; "", "Jan-Dez/26",
AH2754 &lt;&gt; "", "Fev-Dez/26",
AI2754 &lt;&gt; "", "Mar-Dez/26", AJ2754 &lt;&gt; "", "Abr-Dez/26",
TRUE, "A partir de Junho"
)</f>
        <v>A partir de Junho</v>
      </c>
      <c r="G2754" s="4" t="s">
        <v>37</v>
      </c>
      <c r="H2754" s="7" t="s">
        <v>54</v>
      </c>
      <c r="I2754" s="21"/>
      <c r="J2754" s="34"/>
      <c r="K2754" s="34"/>
      <c r="L2754" s="9"/>
      <c r="M2754" s="13"/>
      <c r="N2754" s="74" t="s">
        <v>42</v>
      </c>
      <c r="O2754" s="5" t="s">
        <v>43</v>
      </c>
      <c r="P2754" s="10" t="s">
        <v>146</v>
      </c>
      <c r="Q2754" s="10" t="s">
        <v>44</v>
      </c>
      <c r="R2754" s="11" t="s">
        <v>44</v>
      </c>
      <c r="S2754" s="11" t="s">
        <v>44</v>
      </c>
      <c r="T2754" s="22"/>
      <c r="U2754" s="22"/>
      <c r="V2754" s="22"/>
      <c r="W2754" s="22"/>
      <c r="X2754" s="22"/>
      <c r="Y2754" s="22"/>
      <c r="Z2754" s="22"/>
      <c r="AA2754" s="22"/>
      <c r="AB2754" s="22"/>
      <c r="AC2754" s="22"/>
      <c r="AD2754" s="22"/>
      <c r="AE2754" s="22"/>
      <c r="AG2754" s="71"/>
      <c r="AH2754" s="71"/>
      <c r="AI2754" s="71"/>
      <c r="AJ2754" s="71"/>
      <c r="AK2754" s="71"/>
      <c r="AL2754" s="71"/>
      <c r="AM2754" s="71"/>
      <c r="AN2754" s="71"/>
      <c r="AO2754" s="71"/>
      <c r="AP2754" s="71"/>
      <c r="AQ2754" s="71"/>
      <c r="AR2754" s="71"/>
      <c r="AS2754" s="94"/>
      <c r="AT2754" s="95"/>
      <c r="AU2754" s="97"/>
      <c r="AW2754" s="52"/>
      <c r="AX2754" s="52"/>
      <c r="AY2754" s="52"/>
      <c r="AZ2754" s="52"/>
      <c r="BA2754" s="52"/>
      <c r="BB2754" s="52"/>
      <c r="BC2754" s="52"/>
      <c r="BD2754" s="52"/>
      <c r="BE2754" s="52"/>
      <c r="BF2754" s="52"/>
      <c r="BG2754" s="52"/>
      <c r="BH2754" s="52"/>
      <c r="BI2754" s="68" t="str" cm="1">
        <f t="array" ref="BI2754">IFERROR(INDEX(AW2754:BH2754,1,MATCH(2,1/(AW2754:BH2754&lt;&gt;""))),"")</f>
        <v/>
      </c>
      <c r="BJ2754" s="68" t="str" cm="1">
        <f t="array" ref="BJ2754">IF(BM2754 = "", "",IFERROR(INDEX(AW2754:BH2754,1,MATCH(2,1/(AW2754:BH2754&lt;&gt;""),1)-1),""))</f>
        <v/>
      </c>
      <c r="BK2754" s="98">
        <f>SUM(BK1068,BK1080,BK1092,BK1104,BK1116,BK1128,BK1140,BK1152,BK1169,BK1176,BK1188,BK1198,BK1225,BK1243,BK1261,BK1273,BK1291,BK1303,BK1327,BK1333,BK1345,BK1351,BK1357,BK1368,BK1387,BK1369,BK1405,BK1423,BK1441)/(COUNTIFS(C:C,"MA",F:F,"&lt;&gt;A partir de Fevereiro",F:F,"&lt;&gt;Não se aplica",N:N,"Indicador",F:F,"&lt;&gt;-")-2)</f>
        <v>1475.2984873949579</v>
      </c>
      <c r="BL2754" s="98">
        <f ca="1">SUM(BL1068,BL1080,BL1092,BL1104,BL1116,BL1128,BL1140,BL1152,BL1169,BL1176,BL1188,BL1198,BL1225,BL1243,BL1261,BL1273,BL1291,BL1303,BL1327,BL1333,BL1345,BL1351,BL1357,BL1368,BL1387,BL1369,BL1405,BL1423,BL1441)/(COUNTIFS(C:C,"MA",F:F,"&lt;&gt;A partir de Fevereiro",F:F,"&lt;&gt;Não se aplica",N:N,"Indicador",F:F,"&lt;&gt;-")-2)</f>
        <v>103.05312324929972</v>
      </c>
      <c r="BM2754" s="55" t="str" cm="1">
        <f t="array" ref="BM2754">IFERROR(
   INDEX($AW$1:$BH$1,
      _xlfn.AGGREGATE(14, 6, COLUMN($AW$1:$BH$1)/(AW2754:BH2754&lt;&gt;""), 2) - COLUMN($AW$1) + 1
   ),
"")</f>
        <v/>
      </c>
      <c r="BN2754" s="55" t="str" cm="1">
        <f t="array" ref="BN2754">IFERROR(INDEX($AW$1:$BH$1,1,MATCH(2,1/(AW2754:BH2754&lt;&gt;""))),"")</f>
        <v/>
      </c>
      <c r="BO2754" s="53">
        <v>0</v>
      </c>
      <c r="BP2754" s="53">
        <v>0</v>
      </c>
      <c r="BQ2754" s="53">
        <v>0</v>
      </c>
      <c r="BR2754" s="53">
        <v>0</v>
      </c>
      <c r="BS2754" s="53">
        <v>0</v>
      </c>
    </row>
    <row r="2755" spans="1:71" ht="25.95" hidden="1" customHeight="1" x14ac:dyDescent="0.3">
      <c r="A2755" s="101" t="s">
        <v>242</v>
      </c>
      <c r="B2755" s="4" t="s">
        <v>243</v>
      </c>
      <c r="C2755" s="5" t="s">
        <v>209</v>
      </c>
      <c r="D2755" s="5" t="s">
        <v>213</v>
      </c>
      <c r="E2755" s="4" t="str" cm="1">
        <f t="array" ref="E2755">_xlfn.IFS(
F2755 = "A partir de Abril", "Aguardando Execução na Distribuidora",
A2755 = "CAPACITAÇÃO", "Em execução no Corporativo",
TRUE, "Em Execução na Distribuidora"
)</f>
        <v>Em Execução na Distribuidora</v>
      </c>
      <c r="F2755" s="4" t="str" cm="1">
        <f t="array" ref="F2755">_xlfn.IFS(
AG2755 &lt;&gt; "", "Jan-Dez/26",
AH2755 &lt;&gt; "", "Fev-Dez/26",
AI2755 &lt;&gt; "", "Mar-Dez/26", AJ2755 &lt;&gt; "", "Abr-Dez/26",
TRUE, "A partir de Junho"
)</f>
        <v>A partir de Junho</v>
      </c>
      <c r="G2755" s="4" t="s">
        <v>37</v>
      </c>
      <c r="H2755" s="7" t="s">
        <v>54</v>
      </c>
      <c r="I2755" s="21"/>
      <c r="J2755" s="34"/>
      <c r="K2755" s="34"/>
      <c r="L2755" s="9"/>
      <c r="M2755" s="13"/>
      <c r="N2755" s="74" t="s">
        <v>42</v>
      </c>
      <c r="O2755" s="5" t="s">
        <v>43</v>
      </c>
      <c r="P2755" s="10" t="s">
        <v>146</v>
      </c>
      <c r="Q2755" s="10" t="s">
        <v>44</v>
      </c>
      <c r="R2755" s="11" t="s">
        <v>44</v>
      </c>
      <c r="S2755" s="11" t="s">
        <v>44</v>
      </c>
      <c r="T2755" s="22"/>
      <c r="U2755" s="22"/>
      <c r="V2755" s="22"/>
      <c r="W2755" s="22"/>
      <c r="X2755" s="22"/>
      <c r="Y2755" s="22"/>
      <c r="Z2755" s="22"/>
      <c r="AA2755" s="22"/>
      <c r="AB2755" s="22"/>
      <c r="AC2755" s="22"/>
      <c r="AD2755" s="22"/>
      <c r="AE2755" s="22"/>
      <c r="AG2755" s="71"/>
      <c r="AH2755" s="71"/>
      <c r="AI2755" s="71"/>
      <c r="AJ2755" s="71"/>
      <c r="AK2755" s="71"/>
      <c r="AL2755" s="71"/>
      <c r="AM2755" s="71"/>
      <c r="AN2755" s="71"/>
      <c r="AO2755" s="71"/>
      <c r="AP2755" s="71"/>
      <c r="AQ2755" s="71"/>
      <c r="AR2755" s="71"/>
      <c r="AS2755" s="94"/>
      <c r="AT2755" s="95"/>
      <c r="AU2755" s="97"/>
      <c r="AW2755" s="52"/>
      <c r="AX2755" s="52"/>
      <c r="AY2755" s="52"/>
      <c r="AZ2755" s="52"/>
      <c r="BA2755" s="52"/>
      <c r="BB2755" s="52"/>
      <c r="BC2755" s="52"/>
      <c r="BD2755" s="52"/>
      <c r="BE2755" s="52"/>
      <c r="BF2755" s="52"/>
      <c r="BG2755" s="52"/>
      <c r="BH2755" s="52"/>
      <c r="BI2755" s="68" t="str" cm="1">
        <f t="array" ref="BI2755">IFERROR(INDEX(AW2755:BH2755,1,MATCH(2,1/(AW2755:BH2755&lt;&gt;""))),"")</f>
        <v/>
      </c>
      <c r="BJ2755" s="68" t="str" cm="1">
        <f t="array" ref="BJ2755">IF(BM2755 = "", "",IFERROR(INDEX(AW2755:BH2755,1,MATCH(2,1/(AW2755:BH2755&lt;&gt;""),1)-1),""))</f>
        <v/>
      </c>
      <c r="BK2755" s="98">
        <f>SUM(BK1069,BK1081,BK1093,BK1105,BK1117,BK1129,BK1141,BK1153,BK1170,BK1182,BK1193,BK1201,BK1226,BK1244,BK1262,BK1274,BK1292,BK1304,BK1328,BK1334,BK1346,BK1352,BK1358,BK1369,BK1388,BK1370,BK1406,BK1424,BK1442)/(COUNTIFS(C:C,"MA",F:F,"&lt;&gt;A partir de Fevereiro",F:F,"&lt;&gt;Não se aplica",N:N,"Indicador",F:F,"&lt;&gt;-")-2)</f>
        <v>2.9317393661366552E-2</v>
      </c>
      <c r="BL2755" s="98">
        <f ca="1">SUM(BL1069,BL1081,BL1093,BL1105,BL1117,BL1129,BL1141,BL1153,BL1170,BL1182,BL1193,BL1201,BL1226,BL1244,BL1262,BL1274,BL1292,BL1304,BL1328,BL1334,BL1346,BL1352,BL1358,BL1369,BL1388,BL1370,BL1406,BL1424,BL1442)/(COUNTIFS(C:C,"MA",F:F,"&lt;&gt;A partir de Fevereiro",F:F,"&lt;&gt;Não se aplica",N:N,"Indicador",F:F,"&lt;&gt;-")-2)</f>
        <v>2.2927319732068126E-2</v>
      </c>
      <c r="BM2755" s="55" t="str" cm="1">
        <f t="array" ref="BM2755">IFERROR(
   INDEX($AW$1:$BH$1,
      _xlfn.AGGREGATE(14, 6, COLUMN($AW$1:$BH$1)/(AW2755:BH2755&lt;&gt;""), 2) - COLUMN($AW$1) + 1
   ),
"")</f>
        <v/>
      </c>
      <c r="BN2755" s="55" t="str" cm="1">
        <f t="array" ref="BN2755">IFERROR(INDEX($AW$1:$BH$1,1,MATCH(2,1/(AW2755:BH2755&lt;&gt;""))),"")</f>
        <v/>
      </c>
      <c r="BO2755" s="53">
        <v>0</v>
      </c>
      <c r="BP2755" s="53">
        <v>0</v>
      </c>
      <c r="BQ2755" s="53">
        <v>0</v>
      </c>
      <c r="BR2755" s="53">
        <v>0</v>
      </c>
      <c r="BS2755" s="53">
        <v>0</v>
      </c>
    </row>
    <row r="2756" spans="1:71" ht="25.95" hidden="1" customHeight="1" x14ac:dyDescent="0.3">
      <c r="A2756" s="101" t="s">
        <v>242</v>
      </c>
      <c r="B2756" s="4" t="s">
        <v>243</v>
      </c>
      <c r="C2756" s="5" t="s">
        <v>214</v>
      </c>
      <c r="D2756" s="5" t="s">
        <v>36</v>
      </c>
      <c r="E2756" s="4" t="str" cm="1">
        <f t="array" ref="E2756">_xlfn.IFS(
F2756 = "A partir de Abril", "Aguardando Execução na Distribuidora",
A2756 = "CAPACITAÇÃO", "Em execução no Corporativo",
TRUE, "Em Execução na Distribuidora"
)</f>
        <v>Em Execução na Distribuidora</v>
      </c>
      <c r="F2756" s="4" t="str" cm="1">
        <f t="array" ref="F2756">_xlfn.IFS(
AG2756 &lt;&gt; "", "Jan-Dez/26",
AH2756 &lt;&gt; "", "Fev-Dez/26",
AI2756 &lt;&gt; "", "Mar-Dez/26", AJ2756 &lt;&gt; "", "Abr-Dez/26",
TRUE, "A partir de Junho"
)</f>
        <v>A partir de Junho</v>
      </c>
      <c r="G2756" s="4" t="s">
        <v>37</v>
      </c>
      <c r="H2756" s="7" t="s">
        <v>54</v>
      </c>
      <c r="I2756" s="34"/>
      <c r="J2756" s="34"/>
      <c r="K2756" s="34"/>
      <c r="L2756" s="4"/>
      <c r="M2756" s="9"/>
      <c r="N2756" s="74" t="s">
        <v>42</v>
      </c>
      <c r="O2756" s="5" t="s">
        <v>52</v>
      </c>
      <c r="P2756" s="10" t="s">
        <v>44</v>
      </c>
      <c r="Q2756" s="10" t="s">
        <v>44</v>
      </c>
      <c r="R2756" s="11" t="s">
        <v>44</v>
      </c>
      <c r="S2756" s="11" t="s">
        <v>44</v>
      </c>
      <c r="T2756" s="22"/>
      <c r="U2756" s="22"/>
      <c r="V2756" s="22"/>
      <c r="W2756" s="22"/>
      <c r="X2756" s="22"/>
      <c r="Y2756" s="22"/>
      <c r="Z2756" s="22"/>
      <c r="AA2756" s="22"/>
      <c r="AB2756" s="22"/>
      <c r="AC2756" s="22"/>
      <c r="AD2756" s="22"/>
      <c r="AE2756" s="22"/>
      <c r="AG2756" s="71"/>
      <c r="AH2756" s="71"/>
      <c r="AI2756" s="71"/>
      <c r="AJ2756" s="71"/>
      <c r="AK2756" s="71"/>
      <c r="AL2756" s="71"/>
      <c r="AM2756" s="71"/>
      <c r="AN2756" s="71"/>
      <c r="AO2756" s="71"/>
      <c r="AP2756" s="71"/>
      <c r="AQ2756" s="71"/>
      <c r="AR2756" s="71"/>
      <c r="AS2756" s="94"/>
      <c r="AT2756" s="95"/>
      <c r="AU2756" s="97"/>
      <c r="AW2756" s="52"/>
      <c r="AX2756" s="52"/>
      <c r="AY2756" s="52"/>
      <c r="AZ2756" s="52"/>
      <c r="BA2756" s="52"/>
      <c r="BB2756" s="52"/>
      <c r="BC2756" s="52"/>
      <c r="BD2756" s="52"/>
      <c r="BE2756" s="52"/>
      <c r="BF2756" s="52"/>
      <c r="BG2756" s="52"/>
      <c r="BH2756" s="52"/>
      <c r="BI2756" s="68" t="str" cm="1">
        <f t="array" ref="BI2756">IFERROR(INDEX(AW2756:BH2756,1,MATCH(2,1/(AW2756:BH2756&lt;&gt;""))),"")</f>
        <v/>
      </c>
      <c r="BJ2756" s="68" t="str" cm="1">
        <f t="array" ref="BJ2756">IF(BM2756 = "", "",IFERROR(INDEX(AW2756:BH2756,1,MATCH(2,1/(AW2756:BH2756&lt;&gt;""),1)-1),""))</f>
        <v/>
      </c>
      <c r="BK2756" s="98">
        <f t="shared" ref="BK2756:BK2761" si="3321">SUM(BK1493,BK1505,BK1517,BK1529,BK1541,BK1553,BK1565,BK1577,BK1591,BK1593,BK1615,BK1627,BK1658,BK1676,BK1694,BK1706,BK1724,BK1736,BK1760,BK1766,BK1778,BK1784,BK1790,BK1801,BK1802,BK1820,BK1838,BK1856,BK1874)/(COUNTIFS(C:C,"PA",F:F,"&lt;&gt;A partir de Fevereiro",F:F,"&lt;&gt;Não se aplica",N:N,"Indicador",F:F,"&lt;&gt;-")-2)</f>
        <v>9443.1493330148314</v>
      </c>
      <c r="BL2756" s="98">
        <f t="shared" ref="BL2756:BL2761" ca="1" si="3322">SUM(BL1493,BL1505,BL1517,BL1529,BL1541,BL1553,BL1565,BL1577,BL1591,BL1593,BL1615,BL1627,BL1658,BL1676,BL1694,BL1706,BL1724,BL1736,BL1760,BL1766,BL1778,BL1784,BL1790,BL1801,BL1802,BL1820,BL1838,BL1856,BL1874)/(COUNTIFS(C:C,"PA",F:F,"&lt;&gt;A partir de Fevereiro",F:F,"&lt;&gt;Não se aplica",N:N,"Indicador",F:F,"&lt;&gt;-")-2)</f>
        <v>576.63497094239972</v>
      </c>
      <c r="BM2756" s="55" t="str" cm="1">
        <f t="array" ref="BM2756">IFERROR(
   INDEX($AW$1:$BH$1,
      _xlfn.AGGREGATE(14, 6, COLUMN($AW$1:$BH$1)/(AW2756:BH2756&lt;&gt;""), 2) - COLUMN($AW$1) + 1
   ),
"")</f>
        <v/>
      </c>
      <c r="BN2756" s="55" t="str" cm="1">
        <f t="array" ref="BN2756">IFERROR(INDEX($AW$1:$BH$1,1,MATCH(2,1/(AW2756:BH2756&lt;&gt;""))),"")</f>
        <v/>
      </c>
      <c r="BO2756" s="53">
        <v>0</v>
      </c>
      <c r="BP2756" s="53">
        <v>0</v>
      </c>
      <c r="BQ2756" s="53">
        <v>0</v>
      </c>
      <c r="BR2756" s="53">
        <v>0</v>
      </c>
      <c r="BS2756" s="53">
        <v>0</v>
      </c>
    </row>
    <row r="2757" spans="1:71" ht="25.95" hidden="1" customHeight="1" x14ac:dyDescent="0.3">
      <c r="A2757" s="101" t="s">
        <v>242</v>
      </c>
      <c r="B2757" s="4" t="s">
        <v>243</v>
      </c>
      <c r="C2757" s="5" t="s">
        <v>214</v>
      </c>
      <c r="D2757" s="5" t="s">
        <v>210</v>
      </c>
      <c r="E2757" s="4" t="str" cm="1">
        <f t="array" ref="E2757">_xlfn.IFS(
F2757 = "A partir de Abril", "Aguardando Execução na Distribuidora",
A2757 = "CAPACITAÇÃO", "Em execução no Corporativo",
TRUE, "Em Execução na Distribuidora"
)</f>
        <v>Em Execução na Distribuidora</v>
      </c>
      <c r="F2757" s="4" t="str" cm="1">
        <f t="array" ref="F2757">_xlfn.IFS(
AG2757 &lt;&gt; "", "Jan-Dez/26",
AH2757 &lt;&gt; "", "Fev-Dez/26",
AI2757 &lt;&gt; "", "Mar-Dez/26", AJ2757 &lt;&gt; "", "Abr-Dez/26",
TRUE, "A partir de Junho"
)</f>
        <v>A partir de Junho</v>
      </c>
      <c r="G2757" s="4" t="s">
        <v>37</v>
      </c>
      <c r="H2757" s="7" t="s">
        <v>54</v>
      </c>
      <c r="I2757" s="34"/>
      <c r="J2757" s="34"/>
      <c r="K2757" s="34"/>
      <c r="L2757" s="4"/>
      <c r="M2757" s="9"/>
      <c r="N2757" s="74" t="s">
        <v>42</v>
      </c>
      <c r="O2757" s="5" t="s">
        <v>52</v>
      </c>
      <c r="P2757" s="10" t="s">
        <v>44</v>
      </c>
      <c r="Q2757" s="10" t="s">
        <v>44</v>
      </c>
      <c r="R2757" s="11" t="s">
        <v>44</v>
      </c>
      <c r="S2757" s="11" t="s">
        <v>44</v>
      </c>
      <c r="T2757" s="22"/>
      <c r="U2757" s="22"/>
      <c r="V2757" s="22"/>
      <c r="W2757" s="22"/>
      <c r="X2757" s="22"/>
      <c r="Y2757" s="22"/>
      <c r="Z2757" s="22"/>
      <c r="AA2757" s="22"/>
      <c r="AB2757" s="22"/>
      <c r="AC2757" s="22"/>
      <c r="AD2757" s="22"/>
      <c r="AE2757" s="22"/>
      <c r="AG2757" s="71"/>
      <c r="AH2757" s="71"/>
      <c r="AI2757" s="71"/>
      <c r="AJ2757" s="71"/>
      <c r="AK2757" s="71"/>
      <c r="AL2757" s="71"/>
      <c r="AM2757" s="71"/>
      <c r="AN2757" s="71"/>
      <c r="AO2757" s="71"/>
      <c r="AP2757" s="71"/>
      <c r="AQ2757" s="71"/>
      <c r="AR2757" s="71"/>
      <c r="AS2757" s="94"/>
      <c r="AT2757" s="95"/>
      <c r="AU2757" s="97"/>
      <c r="AW2757" s="52"/>
      <c r="AX2757" s="52"/>
      <c r="AY2757" s="52"/>
      <c r="AZ2757" s="52"/>
      <c r="BA2757" s="52"/>
      <c r="BB2757" s="52"/>
      <c r="BC2757" s="52"/>
      <c r="BD2757" s="52"/>
      <c r="BE2757" s="52"/>
      <c r="BF2757" s="52"/>
      <c r="BG2757" s="52"/>
      <c r="BH2757" s="52"/>
      <c r="BI2757" s="68" t="str" cm="1">
        <f t="array" ref="BI2757">IFERROR(INDEX(AW2757:BH2757,1,MATCH(2,1/(AW2757:BH2757&lt;&gt;""))),"")</f>
        <v/>
      </c>
      <c r="BJ2757" s="68" t="str" cm="1">
        <f t="array" ref="BJ2757">IF(BM2757 = "", "",IFERROR(INDEX(AW2757:BH2757,1,MATCH(2,1/(AW2757:BH2757&lt;&gt;""),1)-1),""))</f>
        <v/>
      </c>
      <c r="BK2757" s="98">
        <f t="shared" si="3321"/>
        <v>9454.6369684500623</v>
      </c>
      <c r="BL2757" s="98">
        <f t="shared" ca="1" si="3322"/>
        <v>576.61416900093366</v>
      </c>
      <c r="BM2757" s="55" t="str" cm="1">
        <f t="array" ref="BM2757">IFERROR(
   INDEX($AW$1:$BH$1,
      _xlfn.AGGREGATE(14, 6, COLUMN($AW$1:$BH$1)/(AW2757:BH2757&lt;&gt;""), 2) - COLUMN($AW$1) + 1
   ),
"")</f>
        <v/>
      </c>
      <c r="BN2757" s="55" t="str" cm="1">
        <f t="array" ref="BN2757">IFERROR(INDEX($AW$1:$BH$1,1,MATCH(2,1/(AW2757:BH2757&lt;&gt;""))),"")</f>
        <v/>
      </c>
      <c r="BO2757" s="53">
        <v>0</v>
      </c>
      <c r="BP2757" s="53">
        <v>0</v>
      </c>
      <c r="BQ2757" s="53">
        <v>0</v>
      </c>
      <c r="BR2757" s="53">
        <v>0</v>
      </c>
      <c r="BS2757" s="53">
        <v>0</v>
      </c>
    </row>
    <row r="2758" spans="1:71" ht="25.95" hidden="1" customHeight="1" x14ac:dyDescent="0.3">
      <c r="A2758" s="101" t="s">
        <v>242</v>
      </c>
      <c r="B2758" s="4" t="s">
        <v>243</v>
      </c>
      <c r="C2758" s="5" t="s">
        <v>214</v>
      </c>
      <c r="D2758" s="5" t="s">
        <v>215</v>
      </c>
      <c r="E2758" s="4" t="str" cm="1">
        <f t="array" ref="E2758">_xlfn.IFS(
F2758 = "A partir de Abril", "Aguardando Execução na Distribuidora",
A2758 = "CAPACITAÇÃO", "Em execução no Corporativo",
TRUE, "Em Execução na Distribuidora"
)</f>
        <v>Em Execução na Distribuidora</v>
      </c>
      <c r="F2758" s="4" t="str" cm="1">
        <f t="array" ref="F2758">_xlfn.IFS(
AG2758 &lt;&gt; "", "Jan-Dez/26",
AH2758 &lt;&gt; "", "Fev-Dez/26",
AI2758 &lt;&gt; "", "Mar-Dez/26", AJ2758 &lt;&gt; "", "Abr-Dez/26",
TRUE, "A partir de Junho"
)</f>
        <v>A partir de Junho</v>
      </c>
      <c r="G2758" s="4" t="s">
        <v>37</v>
      </c>
      <c r="H2758" s="7" t="s">
        <v>54</v>
      </c>
      <c r="I2758" s="34"/>
      <c r="J2758" s="34"/>
      <c r="K2758" s="34"/>
      <c r="L2758" s="4"/>
      <c r="M2758" s="9"/>
      <c r="N2758" s="74" t="s">
        <v>42</v>
      </c>
      <c r="O2758" s="5" t="s">
        <v>52</v>
      </c>
      <c r="P2758" s="10" t="s">
        <v>44</v>
      </c>
      <c r="Q2758" s="10" t="s">
        <v>44</v>
      </c>
      <c r="R2758" s="11" t="s">
        <v>44</v>
      </c>
      <c r="S2758" s="11" t="s">
        <v>44</v>
      </c>
      <c r="T2758" s="22"/>
      <c r="U2758" s="22"/>
      <c r="V2758" s="22"/>
      <c r="W2758" s="22"/>
      <c r="X2758" s="22"/>
      <c r="Y2758" s="22"/>
      <c r="Z2758" s="22"/>
      <c r="AA2758" s="22"/>
      <c r="AB2758" s="22"/>
      <c r="AC2758" s="22"/>
      <c r="AD2758" s="22"/>
      <c r="AE2758" s="22"/>
      <c r="AG2758" s="71"/>
      <c r="AH2758" s="71"/>
      <c r="AI2758" s="71"/>
      <c r="AJ2758" s="71"/>
      <c r="AK2758" s="71"/>
      <c r="AL2758" s="71"/>
      <c r="AM2758" s="71"/>
      <c r="AN2758" s="71"/>
      <c r="AO2758" s="71"/>
      <c r="AP2758" s="71"/>
      <c r="AQ2758" s="71"/>
      <c r="AR2758" s="71"/>
      <c r="AS2758" s="94"/>
      <c r="AT2758" s="95"/>
      <c r="AU2758" s="97"/>
      <c r="AW2758" s="52"/>
      <c r="AX2758" s="52"/>
      <c r="AY2758" s="52"/>
      <c r="AZ2758" s="52"/>
      <c r="BA2758" s="52"/>
      <c r="BB2758" s="52"/>
      <c r="BC2758" s="52"/>
      <c r="BD2758" s="52"/>
      <c r="BE2758" s="52"/>
      <c r="BF2758" s="52"/>
      <c r="BG2758" s="52"/>
      <c r="BH2758" s="52"/>
      <c r="BI2758" s="68" t="str" cm="1">
        <f t="array" ref="BI2758">IFERROR(INDEX(AW2758:BH2758,1,MATCH(2,1/(AW2758:BH2758&lt;&gt;""))),"")</f>
        <v/>
      </c>
      <c r="BJ2758" s="68" t="str" cm="1">
        <f t="array" ref="BJ2758">IF(BM2758 = "", "",IFERROR(INDEX(AW2758:BH2758,1,MATCH(2,1/(AW2758:BH2758&lt;&gt;""),1)-1),""))</f>
        <v/>
      </c>
      <c r="BK2758" s="98">
        <f t="shared" si="3321"/>
        <v>9442.4647007623389</v>
      </c>
      <c r="BL2758" s="98">
        <f t="shared" ca="1" si="3322"/>
        <v>576.67036426639606</v>
      </c>
      <c r="BM2758" s="55" t="str" cm="1">
        <f t="array" ref="BM2758">IFERROR(
   INDEX($AW$1:$BH$1,
      _xlfn.AGGREGATE(14, 6, COLUMN($AW$1:$BH$1)/(AW2758:BH2758&lt;&gt;""), 2) - COLUMN($AW$1) + 1
   ),
"")</f>
        <v/>
      </c>
      <c r="BN2758" s="55" t="str" cm="1">
        <f t="array" ref="BN2758">IFERROR(INDEX($AW$1:$BH$1,1,MATCH(2,1/(AW2758:BH2758&lt;&gt;""))),"")</f>
        <v/>
      </c>
      <c r="BO2758" s="53">
        <v>0</v>
      </c>
      <c r="BP2758" s="53">
        <v>0</v>
      </c>
      <c r="BQ2758" s="53">
        <v>0</v>
      </c>
      <c r="BR2758" s="53">
        <v>0</v>
      </c>
      <c r="BS2758" s="53">
        <v>0</v>
      </c>
    </row>
    <row r="2759" spans="1:71" ht="25.95" hidden="1" customHeight="1" x14ac:dyDescent="0.3">
      <c r="A2759" s="101" t="s">
        <v>242</v>
      </c>
      <c r="B2759" s="4" t="s">
        <v>243</v>
      </c>
      <c r="C2759" s="5" t="s">
        <v>214</v>
      </c>
      <c r="D2759" s="5" t="s">
        <v>212</v>
      </c>
      <c r="E2759" s="4" t="str" cm="1">
        <f t="array" ref="E2759">_xlfn.IFS(
F2759 = "A partir de Abril", "Aguardando Execução na Distribuidora",
A2759 = "CAPACITAÇÃO", "Em execução no Corporativo",
TRUE, "Em Execução na Distribuidora"
)</f>
        <v>Em Execução na Distribuidora</v>
      </c>
      <c r="F2759" s="4" t="str" cm="1">
        <f t="array" ref="F2759">_xlfn.IFS(
AG2759 &lt;&gt; "", "Jan-Dez/26",
AH2759 &lt;&gt; "", "Fev-Dez/26",
AI2759 &lt;&gt; "", "Mar-Dez/26", AJ2759 &lt;&gt; "", "Abr-Dez/26",
TRUE, "A partir de Junho"
)</f>
        <v>A partir de Junho</v>
      </c>
      <c r="G2759" s="4" t="s">
        <v>37</v>
      </c>
      <c r="H2759" s="7" t="s">
        <v>54</v>
      </c>
      <c r="I2759" s="34"/>
      <c r="J2759" s="34"/>
      <c r="K2759" s="34"/>
      <c r="L2759" s="4"/>
      <c r="M2759" s="9"/>
      <c r="N2759" s="74" t="s">
        <v>42</v>
      </c>
      <c r="O2759" s="5" t="s">
        <v>52</v>
      </c>
      <c r="P2759" s="10" t="s">
        <v>44</v>
      </c>
      <c r="Q2759" s="10" t="s">
        <v>44</v>
      </c>
      <c r="R2759" s="11" t="s">
        <v>44</v>
      </c>
      <c r="S2759" s="11" t="s">
        <v>44</v>
      </c>
      <c r="T2759" s="22"/>
      <c r="U2759" s="22"/>
      <c r="V2759" s="22"/>
      <c r="W2759" s="22"/>
      <c r="X2759" s="22"/>
      <c r="Y2759" s="22"/>
      <c r="Z2759" s="22"/>
      <c r="AA2759" s="22"/>
      <c r="AB2759" s="22"/>
      <c r="AC2759" s="22"/>
      <c r="AD2759" s="22"/>
      <c r="AE2759" s="22"/>
      <c r="AG2759" s="71"/>
      <c r="AH2759" s="71"/>
      <c r="AI2759" s="71"/>
      <c r="AJ2759" s="71"/>
      <c r="AK2759" s="71"/>
      <c r="AL2759" s="71"/>
      <c r="AM2759" s="71"/>
      <c r="AN2759" s="71"/>
      <c r="AO2759" s="71"/>
      <c r="AP2759" s="71"/>
      <c r="AQ2759" s="71"/>
      <c r="AR2759" s="71"/>
      <c r="AS2759" s="94"/>
      <c r="AT2759" s="95"/>
      <c r="AU2759" s="97"/>
      <c r="AW2759" s="52"/>
      <c r="AX2759" s="52"/>
      <c r="AY2759" s="52"/>
      <c r="AZ2759" s="52"/>
      <c r="BA2759" s="52"/>
      <c r="BB2759" s="52"/>
      <c r="BC2759" s="52"/>
      <c r="BD2759" s="52"/>
      <c r="BE2759" s="52"/>
      <c r="BF2759" s="52"/>
      <c r="BG2759" s="52"/>
      <c r="BH2759" s="52"/>
      <c r="BI2759" s="68" t="str" cm="1">
        <f t="array" ref="BI2759">IFERROR(INDEX(AW2759:BH2759,1,MATCH(2,1/(AW2759:BH2759&lt;&gt;""))),"")</f>
        <v/>
      </c>
      <c r="BJ2759" s="68" t="str" cm="1">
        <f t="array" ref="BJ2759">IF(BM2759 = "", "",IFERROR(INDEX(AW2759:BH2759,1,MATCH(2,1/(AW2759:BH2759&lt;&gt;""),1)-1),""))</f>
        <v/>
      </c>
      <c r="BK2759" s="98">
        <f t="shared" si="3321"/>
        <v>9443.4235449519292</v>
      </c>
      <c r="BL2759" s="98">
        <f t="shared" ca="1" si="3322"/>
        <v>576.66605309387876</v>
      </c>
      <c r="BM2759" s="55" t="str" cm="1">
        <f t="array" ref="BM2759">IFERROR(
   INDEX($AW$1:$BH$1,
      _xlfn.AGGREGATE(14, 6, COLUMN($AW$1:$BH$1)/(AW2759:BH2759&lt;&gt;""), 2) - COLUMN($AW$1) + 1
   ),
"")</f>
        <v/>
      </c>
      <c r="BN2759" s="55" t="str" cm="1">
        <f t="array" ref="BN2759">IFERROR(INDEX($AW$1:$BH$1,1,MATCH(2,1/(AW2759:BH2759&lt;&gt;""))),"")</f>
        <v/>
      </c>
      <c r="BO2759" s="53">
        <v>0</v>
      </c>
      <c r="BP2759" s="53">
        <v>0</v>
      </c>
      <c r="BQ2759" s="53">
        <v>0</v>
      </c>
      <c r="BR2759" s="53">
        <v>0</v>
      </c>
      <c r="BS2759" s="53">
        <v>0</v>
      </c>
    </row>
    <row r="2760" spans="1:71" ht="25.95" hidden="1" customHeight="1" x14ac:dyDescent="0.3">
      <c r="A2760" s="101" t="s">
        <v>242</v>
      </c>
      <c r="B2760" s="4" t="s">
        <v>243</v>
      </c>
      <c r="C2760" s="5" t="s">
        <v>214</v>
      </c>
      <c r="D2760" s="5" t="s">
        <v>48</v>
      </c>
      <c r="E2760" s="4" t="str" cm="1">
        <f t="array" ref="E2760">_xlfn.IFS(
F2760 = "A partir de Abril", "Aguardando Execução na Distribuidora",
A2760 = "CAPACITAÇÃO", "Em execução no Corporativo",
TRUE, "Em Execução na Distribuidora"
)</f>
        <v>Em Execução na Distribuidora</v>
      </c>
      <c r="F2760" s="4" t="str" cm="1">
        <f t="array" ref="F2760">_xlfn.IFS(
AG2760 &lt;&gt; "", "Jan-Dez/26",
AH2760 &lt;&gt; "", "Fev-Dez/26",
AI2760 &lt;&gt; "", "Mar-Dez/26", AJ2760 &lt;&gt; "", "Abr-Dez/26",
TRUE, "A partir de Junho"
)</f>
        <v>A partir de Junho</v>
      </c>
      <c r="G2760" s="4" t="s">
        <v>37</v>
      </c>
      <c r="H2760" s="7" t="s">
        <v>54</v>
      </c>
      <c r="I2760" s="34"/>
      <c r="J2760" s="34"/>
      <c r="K2760" s="34"/>
      <c r="L2760" s="4"/>
      <c r="M2760" s="9"/>
      <c r="N2760" s="74" t="s">
        <v>42</v>
      </c>
      <c r="O2760" s="5" t="s">
        <v>52</v>
      </c>
      <c r="P2760" s="10" t="s">
        <v>44</v>
      </c>
      <c r="Q2760" s="10" t="s">
        <v>44</v>
      </c>
      <c r="R2760" s="11" t="s">
        <v>44</v>
      </c>
      <c r="S2760" s="11" t="s">
        <v>44</v>
      </c>
      <c r="T2760" s="22"/>
      <c r="U2760" s="22"/>
      <c r="V2760" s="22"/>
      <c r="W2760" s="22"/>
      <c r="X2760" s="22"/>
      <c r="Y2760" s="22"/>
      <c r="Z2760" s="22"/>
      <c r="AA2760" s="22"/>
      <c r="AB2760" s="22"/>
      <c r="AC2760" s="22"/>
      <c r="AD2760" s="22"/>
      <c r="AE2760" s="22"/>
      <c r="AG2760" s="71"/>
      <c r="AH2760" s="71"/>
      <c r="AI2760" s="71"/>
      <c r="AJ2760" s="71"/>
      <c r="AK2760" s="71"/>
      <c r="AL2760" s="71"/>
      <c r="AM2760" s="71"/>
      <c r="AN2760" s="71"/>
      <c r="AO2760" s="71"/>
      <c r="AP2760" s="71"/>
      <c r="AQ2760" s="71"/>
      <c r="AR2760" s="71"/>
      <c r="AS2760" s="94"/>
      <c r="AT2760" s="95"/>
      <c r="AU2760" s="97"/>
      <c r="AW2760" s="52"/>
      <c r="AX2760" s="52"/>
      <c r="AY2760" s="52"/>
      <c r="AZ2760" s="52"/>
      <c r="BA2760" s="52"/>
      <c r="BB2760" s="52"/>
      <c r="BC2760" s="52"/>
      <c r="BD2760" s="52"/>
      <c r="BE2760" s="52"/>
      <c r="BF2760" s="52"/>
      <c r="BG2760" s="52"/>
      <c r="BH2760" s="52"/>
      <c r="BI2760" s="68" t="str" cm="1">
        <f t="array" ref="BI2760">IFERROR(INDEX(AW2760:BH2760,1,MATCH(2,1/(AW2760:BH2760&lt;&gt;""))),"")</f>
        <v/>
      </c>
      <c r="BJ2760" s="68" t="str" cm="1">
        <f t="array" ref="BJ2760">IF(BM2760 = "", "",IFERROR(INDEX(AW2760:BH2760,1,MATCH(2,1/(AW2760:BH2760&lt;&gt;""),1)-1),""))</f>
        <v/>
      </c>
      <c r="BK2760" s="98">
        <f t="shared" si="3321"/>
        <v>0.23237644543442579</v>
      </c>
      <c r="BL2760" s="98">
        <f t="shared" ca="1" si="3322"/>
        <v>3.2845417664942859E-2</v>
      </c>
      <c r="BM2760" s="55" t="str" cm="1">
        <f t="array" ref="BM2760">IFERROR(
   INDEX($AW$1:$BH$1,
      _xlfn.AGGREGATE(14, 6, COLUMN($AW$1:$BH$1)/(AW2760:BH2760&lt;&gt;""), 2) - COLUMN($AW$1) + 1
   ),
"")</f>
        <v/>
      </c>
      <c r="BN2760" s="55" t="str" cm="1">
        <f t="array" ref="BN2760">IFERROR(INDEX($AW$1:$BH$1,1,MATCH(2,1/(AW2760:BH2760&lt;&gt;""))),"")</f>
        <v/>
      </c>
      <c r="BO2760" s="53">
        <v>0</v>
      </c>
      <c r="BP2760" s="53">
        <v>0</v>
      </c>
      <c r="BQ2760" s="53">
        <v>0</v>
      </c>
      <c r="BR2760" s="53">
        <v>0</v>
      </c>
      <c r="BS2760" s="53">
        <v>0</v>
      </c>
    </row>
    <row r="2761" spans="1:71" ht="25.95" hidden="1" customHeight="1" x14ac:dyDescent="0.3">
      <c r="A2761" s="101" t="s">
        <v>242</v>
      </c>
      <c r="B2761" s="4" t="s">
        <v>243</v>
      </c>
      <c r="C2761" s="5" t="s">
        <v>214</v>
      </c>
      <c r="D2761" s="5" t="s">
        <v>213</v>
      </c>
      <c r="E2761" s="4" t="str" cm="1">
        <f t="array" ref="E2761">_xlfn.IFS(
F2761 = "A partir de Abril", "Aguardando Execução na Distribuidora",
A2761 = "CAPACITAÇÃO", "Em execução no Corporativo",
TRUE, "Em Execução na Distribuidora"
)</f>
        <v>Em Execução na Distribuidora</v>
      </c>
      <c r="F2761" s="4" t="str" cm="1">
        <f t="array" ref="F2761">_xlfn.IFS(
AG2761 &lt;&gt; "", "Jan-Dez/26",
AH2761 &lt;&gt; "", "Fev-Dez/26",
AI2761 &lt;&gt; "", "Mar-Dez/26", AJ2761 &lt;&gt; "", "Abr-Dez/26",
TRUE, "A partir de Junho"
)</f>
        <v>A partir de Junho</v>
      </c>
      <c r="G2761" s="4" t="s">
        <v>37</v>
      </c>
      <c r="H2761" s="7" t="s">
        <v>54</v>
      </c>
      <c r="I2761" s="34"/>
      <c r="J2761" s="34"/>
      <c r="K2761" s="34"/>
      <c r="L2761" s="4"/>
      <c r="M2761" s="9"/>
      <c r="N2761" s="74" t="s">
        <v>42</v>
      </c>
      <c r="O2761" s="5" t="s">
        <v>52</v>
      </c>
      <c r="P2761" s="10" t="s">
        <v>44</v>
      </c>
      <c r="Q2761" s="10" t="s">
        <v>44</v>
      </c>
      <c r="R2761" s="11" t="s">
        <v>44</v>
      </c>
      <c r="S2761" s="11" t="s">
        <v>44</v>
      </c>
      <c r="T2761" s="22"/>
      <c r="U2761" s="22"/>
      <c r="V2761" s="22"/>
      <c r="W2761" s="22"/>
      <c r="X2761" s="22"/>
      <c r="Y2761" s="22"/>
      <c r="Z2761" s="22"/>
      <c r="AA2761" s="22"/>
      <c r="AB2761" s="22"/>
      <c r="AC2761" s="22"/>
      <c r="AD2761" s="22"/>
      <c r="AE2761" s="22"/>
      <c r="AG2761" s="71"/>
      <c r="AH2761" s="71"/>
      <c r="AI2761" s="71"/>
      <c r="AJ2761" s="71"/>
      <c r="AK2761" s="71"/>
      <c r="AL2761" s="71"/>
      <c r="AM2761" s="71"/>
      <c r="AN2761" s="71"/>
      <c r="AO2761" s="71"/>
      <c r="AP2761" s="71"/>
      <c r="AQ2761" s="71"/>
      <c r="AR2761" s="71"/>
      <c r="AS2761" s="94"/>
      <c r="AT2761" s="95"/>
      <c r="AU2761" s="97"/>
      <c r="AW2761" s="52"/>
      <c r="AX2761" s="52"/>
      <c r="AY2761" s="52"/>
      <c r="AZ2761" s="52"/>
      <c r="BA2761" s="52"/>
      <c r="BB2761" s="52"/>
      <c r="BC2761" s="52"/>
      <c r="BD2761" s="52"/>
      <c r="BE2761" s="52"/>
      <c r="BF2761" s="52"/>
      <c r="BG2761" s="52"/>
      <c r="BH2761" s="52"/>
      <c r="BI2761" s="68" t="str" cm="1">
        <f t="array" ref="BI2761">IFERROR(INDEX(AW2761:BH2761,1,MATCH(2,1/(AW2761:BH2761&lt;&gt;""))),"")</f>
        <v/>
      </c>
      <c r="BJ2761" s="68" t="str" cm="1">
        <f t="array" ref="BJ2761">IF(BM2761 = "", "",IFERROR(INDEX(AW2761:BH2761,1,MATCH(2,1/(AW2761:BH2761&lt;&gt;""),1)-1),""))</f>
        <v/>
      </c>
      <c r="BK2761" s="98">
        <f t="shared" si="3321"/>
        <v>0.8931954038961113</v>
      </c>
      <c r="BL2761" s="98">
        <f t="shared" ca="1" si="3322"/>
        <v>5.5452836714416608E-2</v>
      </c>
      <c r="BM2761" s="55" t="str" cm="1">
        <f t="array" ref="BM2761">IFERROR(
   INDEX($AW$1:$BH$1,
      _xlfn.AGGREGATE(14, 6, COLUMN($AW$1:$BH$1)/(AW2761:BH2761&lt;&gt;""), 2) - COLUMN($AW$1) + 1
   ),
"")</f>
        <v/>
      </c>
      <c r="BN2761" s="55" t="str" cm="1">
        <f t="array" ref="BN2761">IFERROR(INDEX($AW$1:$BH$1,1,MATCH(2,1/(AW2761:BH2761&lt;&gt;""))),"")</f>
        <v/>
      </c>
      <c r="BO2761" s="53">
        <v>0</v>
      </c>
      <c r="BP2761" s="53">
        <v>0</v>
      </c>
      <c r="BQ2761" s="53">
        <v>0</v>
      </c>
      <c r="BR2761" s="53">
        <v>0</v>
      </c>
      <c r="BS2761" s="53">
        <v>0</v>
      </c>
    </row>
    <row r="2762" spans="1:71" ht="25.95" hidden="1" customHeight="1" x14ac:dyDescent="0.3">
      <c r="A2762" s="101" t="s">
        <v>242</v>
      </c>
      <c r="B2762" s="4" t="s">
        <v>243</v>
      </c>
      <c r="C2762" s="5" t="s">
        <v>216</v>
      </c>
      <c r="D2762" s="5" t="s">
        <v>36</v>
      </c>
      <c r="E2762" s="4" t="str" cm="1">
        <f t="array" ref="E2762">_xlfn.IFS(
F2762 = "A partir de Abril", "Aguardando Execução na Distribuidora",
A2762 = "CAPACITAÇÃO", "Em execução no Corporativo",
TRUE, "Em Execução na Distribuidora"
)</f>
        <v>Em Execução na Distribuidora</v>
      </c>
      <c r="F2762" s="4" t="str" cm="1">
        <f t="array" ref="F2762">_xlfn.IFS(
AG2762 &lt;&gt; "", "Jan-Dez/26",
AH2762 &lt;&gt; "", "Fev-Dez/26",
AI2762 &lt;&gt; "", "Mar-Dez/26", AJ2762 &lt;&gt; "", "Abr-Dez/26",
TRUE, "A partir de Junho"
)</f>
        <v>A partir de Junho</v>
      </c>
      <c r="G2762" s="4" t="s">
        <v>37</v>
      </c>
      <c r="H2762" s="7" t="s">
        <v>110</v>
      </c>
      <c r="I2762" s="8"/>
      <c r="J2762" s="9"/>
      <c r="K2762" s="9"/>
      <c r="L2762" s="8"/>
      <c r="M2762" s="9"/>
      <c r="N2762" s="74" t="s">
        <v>42</v>
      </c>
      <c r="O2762" s="5" t="s">
        <v>43</v>
      </c>
      <c r="P2762" s="10" t="s">
        <v>44</v>
      </c>
      <c r="Q2762" s="10" t="s">
        <v>44</v>
      </c>
      <c r="R2762" s="11" t="s">
        <v>44</v>
      </c>
      <c r="S2762" s="11" t="s">
        <v>46</v>
      </c>
      <c r="T2762" s="22"/>
      <c r="U2762" s="22"/>
      <c r="V2762" s="22"/>
      <c r="W2762" s="22"/>
      <c r="X2762" s="22"/>
      <c r="Y2762" s="22"/>
      <c r="Z2762" s="22"/>
      <c r="AA2762" s="22"/>
      <c r="AB2762" s="22"/>
      <c r="AC2762" s="22"/>
      <c r="AD2762" s="22"/>
      <c r="AE2762" s="22"/>
      <c r="AG2762" s="71"/>
      <c r="AH2762" s="71"/>
      <c r="AI2762" s="71"/>
      <c r="AJ2762" s="71"/>
      <c r="AK2762" s="71"/>
      <c r="AL2762" s="71"/>
      <c r="AM2762" s="71"/>
      <c r="AN2762" s="71"/>
      <c r="AO2762" s="71"/>
      <c r="AP2762" s="71"/>
      <c r="AQ2762" s="71"/>
      <c r="AR2762" s="71"/>
      <c r="AS2762" s="94"/>
      <c r="AT2762" s="95"/>
      <c r="AU2762" s="97"/>
      <c r="AW2762" s="52"/>
      <c r="AX2762" s="52"/>
      <c r="AY2762" s="52"/>
      <c r="AZ2762" s="52"/>
      <c r="BA2762" s="52"/>
      <c r="BB2762" s="52"/>
      <c r="BC2762" s="52"/>
      <c r="BD2762" s="52"/>
      <c r="BE2762" s="52"/>
      <c r="BF2762" s="52"/>
      <c r="BG2762" s="52"/>
      <c r="BH2762" s="52"/>
      <c r="BI2762" s="65" t="str" cm="1">
        <f t="array" ref="BI2762">IFERROR(INDEX(AW2762:BH2762,1,MATCH(2,1/(AW2762:BH2762&lt;&gt;""))),"")</f>
        <v/>
      </c>
      <c r="BJ2762" s="68" t="str" cm="1">
        <f t="array" ref="BJ2762">IF(BM2762 = "", "",IFERROR(INDEX(AW2762:BH2762,1,MATCH(2,1/(AW2762:BH2762&lt;&gt;""),1)-1),""))</f>
        <v/>
      </c>
      <c r="BK2762" s="98">
        <f>SUM(BK1929,BK1939,BK1949,BK1959,BK1969,BK1979,BK1989,BK1999,BK2013,BK2019,BK2025,BK2033,BK2061,BK2076,BK2091,BK2101,BK2116,BK2126,BK2146,BK2151,BK2161,BK2166,BK2171,BK2180,BK2181,BK2196,BK2211,BK2226,BK2241)/(COUNTIFS(C:C,"PI",F:F,"&lt;&gt;A partir de Fevereiro",F:F,"&lt;&gt;Não se aplica",N:N,"Indicador",F:F,"&lt;&gt;-")-2)</f>
        <v>36.047328673224285</v>
      </c>
      <c r="BL2762" s="98">
        <f ca="1">SUM(BL1929,BL1939,BL1949,BL1959,BL1969,BL1979,BL1989,BL1999,BL2013,BL2019,BL2025,BL2033,BL2061,BL2076,BL2091,BL2101,BL2116,BL2126,BL2146,BL2151,BL2161,BL2166,BL2171,BL2180,BL2181,BL2196,BL2211,BL2226,BL2241)/(COUNTIFS(C:C,"PI",F:F,"&lt;&gt;A partir de Fevereiro",F:F,"&lt;&gt;Não se aplica",N:N,"Indicador",F:F,"&lt;&gt;-")-2)</f>
        <v>0.20075757575757575</v>
      </c>
      <c r="BM2762" s="55" t="str" cm="1">
        <f t="array" ref="BM2762">IFERROR(
   INDEX($AW$1:$BH$1,
      _xlfn.AGGREGATE(14, 6, COLUMN($AW$1:$BH$1)/(AW2762:BH2762&lt;&gt;""), 2) - COLUMN($AW$1) + 1
   ),
"")</f>
        <v/>
      </c>
      <c r="BN2762" s="55" t="str" cm="1">
        <f t="array" ref="BN2762">IFERROR(INDEX($AW$1:$BH$1,1,MATCH(2,1/(AW2762:BH2762&lt;&gt;""))),"")</f>
        <v/>
      </c>
      <c r="BO2762" s="53">
        <v>0</v>
      </c>
      <c r="BP2762" s="53">
        <v>0</v>
      </c>
      <c r="BQ2762" s="53">
        <v>0</v>
      </c>
      <c r="BR2762" s="53">
        <v>0</v>
      </c>
      <c r="BS2762" s="53">
        <v>0</v>
      </c>
    </row>
    <row r="2763" spans="1:71" ht="25.95" hidden="1" customHeight="1" x14ac:dyDescent="0.3">
      <c r="A2763" s="101" t="s">
        <v>242</v>
      </c>
      <c r="B2763" s="4" t="s">
        <v>243</v>
      </c>
      <c r="C2763" s="5" t="s">
        <v>216</v>
      </c>
      <c r="D2763" s="5" t="s">
        <v>217</v>
      </c>
      <c r="E2763" s="4" t="str" cm="1">
        <f t="array" ref="E2763">_xlfn.IFS(
F2763 = "A partir de Abril", "Aguardando Execução na Distribuidora",
A2763 = "CAPACITAÇÃO", "Em execução no Corporativo",
TRUE, "Em Execução na Distribuidora"
)</f>
        <v>Em Execução na Distribuidora</v>
      </c>
      <c r="F2763" s="4" t="str" cm="1">
        <f t="array" ref="F2763">_xlfn.IFS(
AG2763 &lt;&gt; "", "Jan-Dez/26",
AH2763 &lt;&gt; "", "Fev-Dez/26",
AI2763 &lt;&gt; "", "Mar-Dez/26", AJ2763 &lt;&gt; "", "Abr-Dez/26",
TRUE, "A partir de Junho"
)</f>
        <v>A partir de Junho</v>
      </c>
      <c r="G2763" s="4" t="s">
        <v>37</v>
      </c>
      <c r="H2763" s="7" t="s">
        <v>110</v>
      </c>
      <c r="I2763" s="8"/>
      <c r="J2763" s="9"/>
      <c r="K2763" s="9"/>
      <c r="L2763" s="8"/>
      <c r="M2763" s="9"/>
      <c r="N2763" s="74" t="s">
        <v>42</v>
      </c>
      <c r="O2763" s="5" t="s">
        <v>43</v>
      </c>
      <c r="P2763" s="10" t="s">
        <v>44</v>
      </c>
      <c r="Q2763" s="10" t="s">
        <v>44</v>
      </c>
      <c r="R2763" s="11" t="s">
        <v>44</v>
      </c>
      <c r="S2763" s="11" t="s">
        <v>46</v>
      </c>
      <c r="T2763" s="22"/>
      <c r="U2763" s="22"/>
      <c r="V2763" s="22"/>
      <c r="W2763" s="22"/>
      <c r="X2763" s="22"/>
      <c r="Y2763" s="22"/>
      <c r="Z2763" s="22"/>
      <c r="AA2763" s="22"/>
      <c r="AB2763" s="22"/>
      <c r="AC2763" s="22"/>
      <c r="AD2763" s="22"/>
      <c r="AE2763" s="22"/>
      <c r="AG2763" s="71"/>
      <c r="AH2763" s="71"/>
      <c r="AI2763" s="71"/>
      <c r="AJ2763" s="71"/>
      <c r="AK2763" s="71"/>
      <c r="AL2763" s="71"/>
      <c r="AM2763" s="71"/>
      <c r="AN2763" s="71"/>
      <c r="AO2763" s="71"/>
      <c r="AP2763" s="71"/>
      <c r="AQ2763" s="71"/>
      <c r="AR2763" s="71"/>
      <c r="AS2763" s="94"/>
      <c r="AT2763" s="95"/>
      <c r="AU2763" s="97"/>
      <c r="AW2763" s="52"/>
      <c r="AX2763" s="52"/>
      <c r="AY2763" s="52"/>
      <c r="AZ2763" s="52"/>
      <c r="BA2763" s="52"/>
      <c r="BB2763" s="52"/>
      <c r="BC2763" s="52"/>
      <c r="BD2763" s="52"/>
      <c r="BE2763" s="52"/>
      <c r="BF2763" s="52"/>
      <c r="BG2763" s="52"/>
      <c r="BH2763" s="52"/>
      <c r="BI2763" s="65" t="str" cm="1">
        <f t="array" ref="BI2763">IFERROR(INDEX(AW2763:BH2763,1,MATCH(2,1/(AW2763:BH2763&lt;&gt;""))),"")</f>
        <v/>
      </c>
      <c r="BJ2763" s="68" t="str" cm="1">
        <f t="array" ref="BJ2763">IF(BM2763 = "", "",IFERROR(INDEX(AW2763:BH2763,1,MATCH(2,1/(AW2763:BH2763&lt;&gt;""),1)-1),""))</f>
        <v/>
      </c>
      <c r="BK2763" s="98">
        <f>SUM(BK1930,BK1940,BK1950,BK1960,BK1970,BK1980,BK1990,BK2000,BK2014,BK2020,BK2028,BK2034,BK2062,BK2077,BK2092,BK2102,BK2117,BK2127,BK2147,BK2152,BK2162,BK2167,BK2172,BK2181,BK2182,BK2197,BK2212,BK2227,BK2242)/(COUNTIFS(C:C,"PI",F:F,"&lt;&gt;A partir de Fevereiro",F:F,"&lt;&gt;Não se aplica",N:N,"Indicador",F:F,"&lt;&gt;-")-2)</f>
        <v>75.175147306397307</v>
      </c>
      <c r="BL2763" s="98">
        <f ca="1">SUM(BL1930,BL1940,BL1950,BL1960,BL1970,BL1980,BL1990,BL2000,BL2014,BL2020,BL2028,BL2034,BL2062,BL2077,BL2092,BL2102,BL2117,BL2127,BL2147,BL2152,BL2162,BL2167,BL2172,BL2181,BL2182,BL2197,BL2212,BL2227,BL2242)/(COUNTIFS(C:C,"PI",F:F,"&lt;&gt;A partir de Fevereiro",F:F,"&lt;&gt;Não se aplica",N:N,"Indicador",F:F,"&lt;&gt;-")-2)</f>
        <v>2.2056932966023877</v>
      </c>
      <c r="BM2763" s="55" t="str" cm="1">
        <f t="array" ref="BM2763">IFERROR(
   INDEX($AW$1:$BH$1,
      _xlfn.AGGREGATE(14, 6, COLUMN($AW$1:$BH$1)/(AW2763:BH2763&lt;&gt;""), 2) - COLUMN($AW$1) + 1
   ),
"")</f>
        <v/>
      </c>
      <c r="BN2763" s="55" t="str" cm="1">
        <f t="array" ref="BN2763">IFERROR(INDEX($AW$1:$BH$1,1,MATCH(2,1/(AW2763:BH2763&lt;&gt;""))),"")</f>
        <v/>
      </c>
      <c r="BO2763" s="53">
        <v>0</v>
      </c>
      <c r="BP2763" s="53">
        <v>0</v>
      </c>
      <c r="BQ2763" s="53">
        <v>0</v>
      </c>
      <c r="BR2763" s="53">
        <v>0</v>
      </c>
      <c r="BS2763" s="53">
        <v>0</v>
      </c>
    </row>
    <row r="2764" spans="1:71" ht="25.95" hidden="1" customHeight="1" x14ac:dyDescent="0.3">
      <c r="A2764" s="101" t="s">
        <v>242</v>
      </c>
      <c r="B2764" s="4" t="s">
        <v>243</v>
      </c>
      <c r="C2764" s="5" t="s">
        <v>216</v>
      </c>
      <c r="D2764" s="5" t="s">
        <v>103</v>
      </c>
      <c r="E2764" s="4" t="str" cm="1">
        <f t="array" ref="E2764">_xlfn.IFS(
F2764 = "A partir de Abril", "Aguardando Execução na Distribuidora",
A2764 = "CAPACITAÇÃO", "Em execução no Corporativo",
TRUE, "Em Execução na Distribuidora"
)</f>
        <v>Em Execução na Distribuidora</v>
      </c>
      <c r="F2764" s="4" t="str" cm="1">
        <f t="array" ref="F2764">_xlfn.IFS(
AG2764 &lt;&gt; "", "Jan-Dez/26",
AH2764 &lt;&gt; "", "Fev-Dez/26",
AI2764 &lt;&gt; "", "Mar-Dez/26", AJ2764 &lt;&gt; "", "Abr-Dez/26",
TRUE, "A partir de Junho"
)</f>
        <v>A partir de Junho</v>
      </c>
      <c r="G2764" s="4" t="s">
        <v>37</v>
      </c>
      <c r="H2764" s="7" t="s">
        <v>110</v>
      </c>
      <c r="I2764" s="8"/>
      <c r="J2764" s="9"/>
      <c r="K2764" s="9"/>
      <c r="L2764" s="8"/>
      <c r="M2764" s="9"/>
      <c r="N2764" s="74" t="s">
        <v>42</v>
      </c>
      <c r="O2764" s="5" t="s">
        <v>43</v>
      </c>
      <c r="P2764" s="10" t="s">
        <v>44</v>
      </c>
      <c r="Q2764" s="10" t="s">
        <v>44</v>
      </c>
      <c r="R2764" s="11" t="s">
        <v>44</v>
      </c>
      <c r="S2764" s="11" t="s">
        <v>46</v>
      </c>
      <c r="T2764" s="22"/>
      <c r="U2764" s="22"/>
      <c r="V2764" s="22"/>
      <c r="W2764" s="22"/>
      <c r="X2764" s="22"/>
      <c r="Y2764" s="22"/>
      <c r="Z2764" s="22"/>
      <c r="AA2764" s="22"/>
      <c r="AB2764" s="22"/>
      <c r="AC2764" s="22"/>
      <c r="AD2764" s="22"/>
      <c r="AE2764" s="22"/>
      <c r="AG2764" s="71"/>
      <c r="AH2764" s="71"/>
      <c r="AI2764" s="71"/>
      <c r="AJ2764" s="71"/>
      <c r="AK2764" s="71"/>
      <c r="AL2764" s="71"/>
      <c r="AM2764" s="71"/>
      <c r="AN2764" s="71"/>
      <c r="AO2764" s="71"/>
      <c r="AP2764" s="71"/>
      <c r="AQ2764" s="71"/>
      <c r="AR2764" s="71"/>
      <c r="AS2764" s="94"/>
      <c r="AT2764" s="95"/>
      <c r="AU2764" s="97"/>
      <c r="AW2764" s="52"/>
      <c r="AX2764" s="52"/>
      <c r="AY2764" s="52"/>
      <c r="AZ2764" s="52"/>
      <c r="BA2764" s="52"/>
      <c r="BB2764" s="52"/>
      <c r="BC2764" s="52"/>
      <c r="BD2764" s="52"/>
      <c r="BE2764" s="52"/>
      <c r="BF2764" s="52"/>
      <c r="BG2764" s="52"/>
      <c r="BH2764" s="52"/>
      <c r="BI2764" s="65" t="str" cm="1">
        <f t="array" ref="BI2764">IFERROR(INDEX(AW2764:BH2764,1,MATCH(2,1/(AW2764:BH2764&lt;&gt;""))),"")</f>
        <v/>
      </c>
      <c r="BJ2764" s="68" t="str" cm="1">
        <f t="array" ref="BJ2764">IF(BM2764 = "", "",IFERROR(INDEX(AW2764:BH2764,1,MATCH(2,1/(AW2764:BH2764&lt;&gt;""),1)-1),""))</f>
        <v/>
      </c>
      <c r="BK2764" s="98">
        <f>SUM(BK1931,BK1941,BK1951,BK1961,BK1971,BK1981,BK1991,BK2001,BK2015,BK2021,BK2029,BK2035,BK2063,BK2078,BK2093,BK2103,BK2118,BK2128,BK2148,BK2153,BK2163,BK2168,BK2173,BK2182,BK2183,BK2198,BK2213,BK2228,BK2243)/(COUNTIFS(C:C,"PI",F:F,"&lt;&gt;A partir de Fevereiro",F:F,"&lt;&gt;Não se aplica",N:N,"Indicador",F:F,"&lt;&gt;-")-2)</f>
        <v>57.78137626262626</v>
      </c>
      <c r="BL2764" s="98">
        <f ca="1">SUM(BL1931,BL1941,BL1951,BL1961,BL1971,BL1981,BL1991,BL2001,BL2015,BL2021,BL2029,BL2035,BL2063,BL2078,BL2093,BL2103,BL2118,BL2128,BL2148,BL2153,BL2163,BL2168,BL2173,BL2182,BL2183,BL2198,BL2213,BL2228,BL2243)/(COUNTIFS(C:C,"PI",F:F,"&lt;&gt;A partir de Fevereiro",F:F,"&lt;&gt;Não se aplica",N:N,"Indicador",F:F,"&lt;&gt;-")-2)</f>
        <v>0.42997398224670952</v>
      </c>
      <c r="BM2764" s="55" t="str" cm="1">
        <f t="array" ref="BM2764">IFERROR(
   INDEX($AW$1:$BH$1,
      _xlfn.AGGREGATE(14, 6, COLUMN($AW$1:$BH$1)/(AW2764:BH2764&lt;&gt;""), 2) - COLUMN($AW$1) + 1
   ),
"")</f>
        <v/>
      </c>
      <c r="BN2764" s="55" t="str" cm="1">
        <f t="array" ref="BN2764">IFERROR(INDEX($AW$1:$BH$1,1,MATCH(2,1/(AW2764:BH2764&lt;&gt;""))),"")</f>
        <v/>
      </c>
      <c r="BO2764" s="53">
        <v>0</v>
      </c>
      <c r="BP2764" s="53">
        <v>0</v>
      </c>
      <c r="BQ2764" s="53">
        <v>0</v>
      </c>
      <c r="BR2764" s="53">
        <v>0</v>
      </c>
      <c r="BS2764" s="53">
        <v>0</v>
      </c>
    </row>
    <row r="2765" spans="1:71" ht="25.95" hidden="1" customHeight="1" x14ac:dyDescent="0.3">
      <c r="A2765" s="101" t="s">
        <v>242</v>
      </c>
      <c r="B2765" s="4" t="s">
        <v>243</v>
      </c>
      <c r="C2765" s="5" t="s">
        <v>216</v>
      </c>
      <c r="D2765" s="5" t="s">
        <v>218</v>
      </c>
      <c r="E2765" s="4" t="str" cm="1">
        <f t="array" ref="E2765">_xlfn.IFS(
F2765 = "A partir de Abril", "Aguardando Execução na Distribuidora",
A2765 = "CAPACITAÇÃO", "Em execução no Corporativo",
TRUE, "Em Execução na Distribuidora"
)</f>
        <v>Em Execução na Distribuidora</v>
      </c>
      <c r="F2765" s="4" t="str" cm="1">
        <f t="array" ref="F2765">_xlfn.IFS(
AG2765 &lt;&gt; "", "Jan-Dez/26",
AH2765 &lt;&gt; "", "Fev-Dez/26",
AI2765 &lt;&gt; "", "Mar-Dez/26", AJ2765 &lt;&gt; "", "Abr-Dez/26",
TRUE, "A partir de Junho"
)</f>
        <v>A partir de Junho</v>
      </c>
      <c r="G2765" s="4" t="s">
        <v>37</v>
      </c>
      <c r="H2765" s="7" t="s">
        <v>110</v>
      </c>
      <c r="I2765" s="8"/>
      <c r="J2765" s="9"/>
      <c r="K2765" s="9"/>
      <c r="L2765" s="8"/>
      <c r="M2765" s="9"/>
      <c r="N2765" s="74" t="s">
        <v>42</v>
      </c>
      <c r="O2765" s="5" t="s">
        <v>43</v>
      </c>
      <c r="P2765" s="10" t="s">
        <v>44</v>
      </c>
      <c r="Q2765" s="10" t="s">
        <v>44</v>
      </c>
      <c r="R2765" s="11" t="s">
        <v>44</v>
      </c>
      <c r="S2765" s="11" t="s">
        <v>46</v>
      </c>
      <c r="T2765" s="22"/>
      <c r="U2765" s="22"/>
      <c r="V2765" s="22"/>
      <c r="W2765" s="22"/>
      <c r="X2765" s="22"/>
      <c r="Y2765" s="22"/>
      <c r="Z2765" s="22"/>
      <c r="AA2765" s="22"/>
      <c r="AB2765" s="22"/>
      <c r="AC2765" s="22"/>
      <c r="AD2765" s="22"/>
      <c r="AE2765" s="22"/>
      <c r="AG2765" s="71"/>
      <c r="AH2765" s="71"/>
      <c r="AI2765" s="71"/>
      <c r="AJ2765" s="71"/>
      <c r="AK2765" s="71"/>
      <c r="AL2765" s="71"/>
      <c r="AM2765" s="71"/>
      <c r="AN2765" s="71"/>
      <c r="AO2765" s="71"/>
      <c r="AP2765" s="71"/>
      <c r="AQ2765" s="71"/>
      <c r="AR2765" s="71"/>
      <c r="AS2765" s="94"/>
      <c r="AT2765" s="95"/>
      <c r="AU2765" s="97"/>
      <c r="AW2765" s="52"/>
      <c r="AX2765" s="52"/>
      <c r="AY2765" s="52"/>
      <c r="AZ2765" s="52"/>
      <c r="BA2765" s="52"/>
      <c r="BB2765" s="52"/>
      <c r="BC2765" s="52"/>
      <c r="BD2765" s="52"/>
      <c r="BE2765" s="52"/>
      <c r="BF2765" s="52"/>
      <c r="BG2765" s="52"/>
      <c r="BH2765" s="52"/>
      <c r="BI2765" s="65" t="str" cm="1">
        <f t="array" ref="BI2765">IFERROR(INDEX(AW2765:BH2765,1,MATCH(2,1/(AW2765:BH2765&lt;&gt;""))),"")</f>
        <v/>
      </c>
      <c r="BJ2765" s="68" t="str" cm="1">
        <f t="array" ref="BJ2765">IF(BM2765 = "", "",IFERROR(INDEX(AW2765:BH2765,1,MATCH(2,1/(AW2765:BH2765&lt;&gt;""),1)-1),""))</f>
        <v/>
      </c>
      <c r="BK2765" s="98">
        <f>SUM(BK1932,BK1942,BK1952,BK1962,BK1972,BK1982,BK1992,BK2002,BK2016,BK2022,BK2030,BK2036,BK2064,BK2079,BK2094,BK2104,BK2119,BK2129,BK2149,BK2154,BK2164,BK2169,BK2174,BK2183,BK2184,BK2199,BK2214,BK2229,BK2244)/(COUNTIFS(C:C,"PI",F:F,"&lt;&gt;A partir de Fevereiro",F:F,"&lt;&gt;Não se aplica",N:N,"Indicador",F:F,"&lt;&gt;-")-2)</f>
        <v>106.95877104377107</v>
      </c>
      <c r="BL2765" s="98">
        <f ca="1">SUM(BL1932,BL1942,BL1952,BL1962,BL1972,BL1982,BL1992,BL2002,BL2016,BL2022,BL2030,BL2036,BL2064,BL2079,BL2094,BL2104,BL2119,BL2129,BL2149,BL2154,BL2164,BL2169,BL2174,BL2183,BL2184,BL2199,BL2214,BL2229,BL2244)/(COUNTIFS(C:C,"PI",F:F,"&lt;&gt;A partir de Fevereiro",F:F,"&lt;&gt;Não se aplica",N:N,"Indicador",F:F,"&lt;&gt;-")-2)</f>
        <v>4.8536955021889581</v>
      </c>
      <c r="BM2765" s="55" t="str" cm="1">
        <f t="array" ref="BM2765">IFERROR(
   INDEX($AW$1:$BH$1,
      _xlfn.AGGREGATE(14, 6, COLUMN($AW$1:$BH$1)/(AW2765:BH2765&lt;&gt;""), 2) - COLUMN($AW$1) + 1
   ),
"")</f>
        <v/>
      </c>
      <c r="BN2765" s="55" t="str" cm="1">
        <f t="array" ref="BN2765">IFERROR(INDEX($AW$1:$BH$1,1,MATCH(2,1/(AW2765:BH2765&lt;&gt;""))),"")</f>
        <v/>
      </c>
      <c r="BO2765" s="53">
        <v>0</v>
      </c>
      <c r="BP2765" s="53">
        <v>0</v>
      </c>
      <c r="BQ2765" s="53">
        <v>0</v>
      </c>
      <c r="BR2765" s="53">
        <v>0</v>
      </c>
      <c r="BS2765" s="53">
        <v>0</v>
      </c>
    </row>
    <row r="2766" spans="1:71" ht="25.95" hidden="1" customHeight="1" x14ac:dyDescent="0.3">
      <c r="A2766" s="101" t="s">
        <v>242</v>
      </c>
      <c r="B2766" s="4" t="s">
        <v>243</v>
      </c>
      <c r="C2766" s="5" t="s">
        <v>216</v>
      </c>
      <c r="D2766" s="5" t="s">
        <v>219</v>
      </c>
      <c r="E2766" s="4" t="str" cm="1">
        <f t="array" ref="E2766">_xlfn.IFS(
F2766 = "A partir de Abril", "Aguardando Execução na Distribuidora",
A2766 = "CAPACITAÇÃO", "Em execução no Corporativo",
TRUE, "Em Execução na Distribuidora"
)</f>
        <v>Em Execução na Distribuidora</v>
      </c>
      <c r="F2766" s="4" t="str" cm="1">
        <f t="array" ref="F2766">_xlfn.IFS(
AG2766 &lt;&gt; "", "Jan-Dez/26",
AH2766 &lt;&gt; "", "Fev-Dez/26",
AI2766 &lt;&gt; "", "Mar-Dez/26", AJ2766 &lt;&gt; "", "Abr-Dez/26",
TRUE, "A partir de Junho"
)</f>
        <v>A partir de Junho</v>
      </c>
      <c r="G2766" s="4" t="s">
        <v>37</v>
      </c>
      <c r="H2766" s="7" t="s">
        <v>110</v>
      </c>
      <c r="I2766" s="8"/>
      <c r="J2766" s="9"/>
      <c r="K2766" s="9"/>
      <c r="L2766" s="8"/>
      <c r="M2766" s="9"/>
      <c r="N2766" s="74" t="s">
        <v>42</v>
      </c>
      <c r="O2766" s="5" t="s">
        <v>43</v>
      </c>
      <c r="P2766" s="10" t="s">
        <v>44</v>
      </c>
      <c r="Q2766" s="10" t="s">
        <v>44</v>
      </c>
      <c r="R2766" s="11" t="s">
        <v>44</v>
      </c>
      <c r="S2766" s="11" t="s">
        <v>46</v>
      </c>
      <c r="T2766" s="22"/>
      <c r="U2766" s="22"/>
      <c r="V2766" s="22"/>
      <c r="W2766" s="22"/>
      <c r="X2766" s="22"/>
      <c r="Y2766" s="22"/>
      <c r="Z2766" s="22"/>
      <c r="AA2766" s="22"/>
      <c r="AB2766" s="22"/>
      <c r="AC2766" s="22"/>
      <c r="AD2766" s="22"/>
      <c r="AE2766" s="22"/>
      <c r="AG2766" s="71"/>
      <c r="AH2766" s="71"/>
      <c r="AI2766" s="71"/>
      <c r="AJ2766" s="71"/>
      <c r="AK2766" s="71"/>
      <c r="AL2766" s="71"/>
      <c r="AM2766" s="71"/>
      <c r="AN2766" s="71"/>
      <c r="AO2766" s="71"/>
      <c r="AP2766" s="71"/>
      <c r="AQ2766" s="71"/>
      <c r="AR2766" s="71"/>
      <c r="AS2766" s="94"/>
      <c r="AT2766" s="95"/>
      <c r="AU2766" s="97"/>
      <c r="AW2766" s="52"/>
      <c r="AX2766" s="52"/>
      <c r="AY2766" s="52"/>
      <c r="AZ2766" s="52"/>
      <c r="BA2766" s="52"/>
      <c r="BB2766" s="52"/>
      <c r="BC2766" s="52"/>
      <c r="BD2766" s="52"/>
      <c r="BE2766" s="52"/>
      <c r="BF2766" s="52"/>
      <c r="BG2766" s="52"/>
      <c r="BH2766" s="52"/>
      <c r="BI2766" s="65" t="str" cm="1">
        <f t="array" ref="BI2766">IFERROR(INDEX(AW2766:BH2766,1,MATCH(2,1/(AW2766:BH2766&lt;&gt;""))),"")</f>
        <v/>
      </c>
      <c r="BJ2766" s="68" t="str" cm="1">
        <f t="array" ref="BJ2766">IF(BM2766 = "", "",IFERROR(INDEX(AW2766:BH2766,1,MATCH(2,1/(AW2766:BH2766&lt;&gt;""),1)-1),""))</f>
        <v/>
      </c>
      <c r="BK2766" s="98">
        <f>SUM(BK1933,BK1943,BK1953,BK1963,BK1973,BK1983,BK1993,BK2003,BK2017,BK2025,BK2031,BK2037,BK2065,BK2080,BK2095,BK2105,BK2120,BK2130,BK2150,BK2155,BK2165,BK2170,BK2175,BK2184,BK2185,BK2200,BK2215,BK2230,BK2245)/(COUNTIFS(C:C,"PI",F:F,"&lt;&gt;A partir de Fevereiro",F:F,"&lt;&gt;Não se aplica",N:N,"Indicador",F:F,"&lt;&gt;-")-2)</f>
        <v>3.2445546282873314E-2</v>
      </c>
      <c r="BL2766" s="98">
        <f ca="1">SUM(BL1933,BL1943,BL1953,BL1963,BL1973,BL1983,BL1993,BL2003,BL2017,BL2025,BL2031,BL2037,BL2065,BL2080,BL2095,BL2105,BL2120,BL2130,BL2150,BL2155,BL2165,BL2170,BL2175,BL2184,BL2185,BL2200,BL2215,BL2230,BL2245)/(COUNTIFS(C:C,"PI",F:F,"&lt;&gt;A partir de Fevereiro",F:F,"&lt;&gt;Não se aplica",N:N,"Indicador",F:F,"&lt;&gt;-")-2)</f>
        <v>2.6624173685278352E-2</v>
      </c>
      <c r="BM2766" s="55" t="str" cm="1">
        <f t="array" ref="BM2766">IFERROR(
   INDEX($AW$1:$BH$1,
      _xlfn.AGGREGATE(14, 6, COLUMN($AW$1:$BH$1)/(AW2766:BH2766&lt;&gt;""), 2) - COLUMN($AW$1) + 1
   ),
"")</f>
        <v/>
      </c>
      <c r="BN2766" s="55" t="str" cm="1">
        <f t="array" ref="BN2766">IFERROR(INDEX($AW$1:$BH$1,1,MATCH(2,1/(AW2766:BH2766&lt;&gt;""))),"")</f>
        <v/>
      </c>
      <c r="BO2766" s="53">
        <v>0</v>
      </c>
      <c r="BP2766" s="53">
        <v>0</v>
      </c>
      <c r="BQ2766" s="53">
        <v>0</v>
      </c>
      <c r="BR2766" s="53">
        <v>0</v>
      </c>
      <c r="BS2766" s="53">
        <v>0</v>
      </c>
    </row>
    <row r="2767" spans="1:71" ht="25.95" hidden="1" customHeight="1" x14ac:dyDescent="0.3">
      <c r="A2767" s="101" t="s">
        <v>242</v>
      </c>
      <c r="B2767" s="4" t="s">
        <v>243</v>
      </c>
      <c r="C2767" s="5" t="s">
        <v>221</v>
      </c>
      <c r="D2767" s="5" t="s">
        <v>36</v>
      </c>
      <c r="E2767" s="4" t="str" cm="1">
        <f t="array" ref="E2767">_xlfn.IFS(
F2767 = "A partir de Abril", "Aguardando Execução na Distribuidora",
A2767 = "CAPACITAÇÃO", "Em execução no Corporativo",
TRUE, "Em Execução na Distribuidora"
)</f>
        <v>Em Execução na Distribuidora</v>
      </c>
      <c r="F2767" s="4" t="str" cm="1">
        <f t="array" ref="F2767">_xlfn.IFS(
AG2767 &lt;&gt; "", "Jan-Dez/26",
AH2767 &lt;&gt; "", "Fev-Dez/26",
AI2767 &lt;&gt; "", "Mar-Dez/26", AJ2767 &lt;&gt; "", "Abr-Dez/26",
TRUE, "A partir de Junho"
)</f>
        <v>A partir de Junho</v>
      </c>
      <c r="G2767" s="4" t="s">
        <v>37</v>
      </c>
      <c r="H2767" s="7" t="s">
        <v>110</v>
      </c>
      <c r="I2767" s="8"/>
      <c r="J2767" s="9"/>
      <c r="K2767" s="9"/>
      <c r="L2767" s="8"/>
      <c r="M2767" s="9"/>
      <c r="N2767" s="74" t="s">
        <v>42</v>
      </c>
      <c r="O2767" s="5" t="s">
        <v>43</v>
      </c>
      <c r="P2767" s="10" t="s">
        <v>44</v>
      </c>
      <c r="Q2767" s="10" t="s">
        <v>44</v>
      </c>
      <c r="R2767" s="11" t="s">
        <v>44</v>
      </c>
      <c r="S2767" s="11" t="s">
        <v>46</v>
      </c>
      <c r="T2767" s="22"/>
      <c r="U2767" s="22"/>
      <c r="V2767" s="22"/>
      <c r="W2767" s="22"/>
      <c r="X2767" s="22"/>
      <c r="Y2767" s="22"/>
      <c r="Z2767" s="22"/>
      <c r="AA2767" s="22"/>
      <c r="AB2767" s="22"/>
      <c r="AC2767" s="22"/>
      <c r="AD2767" s="22"/>
      <c r="AE2767" s="22"/>
      <c r="AG2767" s="71"/>
      <c r="AH2767" s="71"/>
      <c r="AI2767" s="71"/>
      <c r="AJ2767" s="71"/>
      <c r="AK2767" s="71"/>
      <c r="AL2767" s="71"/>
      <c r="AM2767" s="71"/>
      <c r="AN2767" s="71"/>
      <c r="AO2767" s="71"/>
      <c r="AP2767" s="71"/>
      <c r="AQ2767" s="71"/>
      <c r="AR2767" s="71"/>
      <c r="AS2767" s="94"/>
      <c r="AT2767" s="95"/>
      <c r="AU2767" s="97"/>
      <c r="AW2767" s="52" t="str">
        <f>IFERROR(IF(AG2767="","",AG2767/T2767),0)</f>
        <v/>
      </c>
      <c r="AX2767" s="52"/>
      <c r="AY2767" s="52"/>
      <c r="AZ2767" s="52"/>
      <c r="BA2767" s="52"/>
      <c r="BB2767" s="52"/>
      <c r="BC2767" s="52"/>
      <c r="BD2767" s="52"/>
      <c r="BE2767" s="52"/>
      <c r="BF2767" s="52"/>
      <c r="BG2767" s="52"/>
      <c r="BH2767" s="52"/>
      <c r="BI2767" s="65" t="str" cm="1">
        <f t="array" ref="BI2767">IFERROR(INDEX(AW2767:BH2767,1,MATCH(2,1/(AW2767:BH2767&lt;&gt;""))),"")</f>
        <v/>
      </c>
      <c r="BJ2767" s="68" t="str" cm="1">
        <f t="array" ref="BJ2767">IF(BM2767 = "", "",IFERROR(INDEX(AW2767:BH2767,1,MATCH(2,1/(AW2767:BH2767&lt;&gt;""),1)-1),""))</f>
        <v/>
      </c>
      <c r="BK2767" s="98" t="e">
        <f>SUM(BK2289,BK2295,BK2301,BK2307,BK2313,BK2319,BK2325,BK2331,BK2357,BK2374,BK2391,BK2405,BK2417,BK2435,#REF!,BK2442,BK2451,BK2457,BK2469,BK2472,BK2478,BK2481,BK2484,BK2489,BK2490,BK2499,BK2508,BK2517,BK2526)/(COUNTIFS(C:C,"RS",F:F,"&lt;&gt;A partir de Fevereiro",F:F,"&lt;&gt;Não se aplica",N:N,"Indicador",F:F,"&lt;&gt;-")-2)</f>
        <v>#REF!</v>
      </c>
      <c r="BL2767" s="98" t="e">
        <f>SUM(BL2289,BL2295,BL2301,BL2307,BL2313,BL2319,BL2325,BL2331,BL2357,BL2374,BL2391,BL2405,BL2417,BL2435,#REF!,BL2442,BL2451,BL2457,BL2469,BL2472,BL2478,BL2481,BL2484,BL2489,BL2490,BL2499,BL2508,BL2517,BL2526)/(COUNTIFS(C:C,"RS",F:F,"&lt;&gt;A partir de Fevereiro",F:F,"&lt;&gt;Não se aplica",N:N,"Indicador",F:F,"&lt;&gt;-")-2)</f>
        <v>#REF!</v>
      </c>
      <c r="BM2767" s="55" t="str" cm="1">
        <f t="array" ref="BM2767">IFERROR(
   INDEX($AW$1:$BH$1,
      _xlfn.AGGREGATE(14, 6, COLUMN($AW$1:$BH$1)/(AW2767:BH2767&lt;&gt;""), 2) - COLUMN($AW$1) + 1
   ),
"")</f>
        <v/>
      </c>
      <c r="BN2767" s="55" t="str" cm="1">
        <f t="array" ref="BN2767">IFERROR(INDEX($AW$1:$BH$1,1,MATCH(2,1/(AW2767:BH2767&lt;&gt;""))),"")</f>
        <v/>
      </c>
      <c r="BO2767" s="53">
        <v>0</v>
      </c>
      <c r="BP2767" s="53">
        <v>0</v>
      </c>
      <c r="BQ2767" s="53">
        <v>0</v>
      </c>
      <c r="BR2767" s="53">
        <v>0</v>
      </c>
      <c r="BS2767" s="53">
        <v>0</v>
      </c>
    </row>
    <row r="2768" spans="1:71" ht="25.95" hidden="1" customHeight="1" x14ac:dyDescent="0.3">
      <c r="A2768" s="101" t="s">
        <v>242</v>
      </c>
      <c r="B2768" s="4" t="s">
        <v>243</v>
      </c>
      <c r="C2768" s="5" t="s">
        <v>221</v>
      </c>
      <c r="D2768" s="5" t="s">
        <v>212</v>
      </c>
      <c r="E2768" s="4" t="str" cm="1">
        <f t="array" ref="E2768">_xlfn.IFS(
F2768 = "A partir de Abril", "Aguardando Execução na Distribuidora",
A2768 = "CAPACITAÇÃO", "Em execução no Corporativo",
TRUE, "Em Execução na Distribuidora"
)</f>
        <v>Em Execução na Distribuidora</v>
      </c>
      <c r="F2768" s="4" t="str" cm="1">
        <f t="array" ref="F2768">_xlfn.IFS(
AG2768 &lt;&gt; "", "Jan-Dez/26",
AH2768 &lt;&gt; "", "Fev-Dez/26",
AI2768 &lt;&gt; "", "Mar-Dez/26", AJ2768 &lt;&gt; "", "Abr-Dez/26",
TRUE, "A partir de Junho"
)</f>
        <v>A partir de Junho</v>
      </c>
      <c r="G2768" s="4" t="s">
        <v>37</v>
      </c>
      <c r="H2768" s="7" t="s">
        <v>110</v>
      </c>
      <c r="I2768" s="8"/>
      <c r="J2768" s="9"/>
      <c r="K2768" s="9"/>
      <c r="L2768" s="8"/>
      <c r="M2768" s="9"/>
      <c r="N2768" s="74" t="s">
        <v>42</v>
      </c>
      <c r="O2768" s="5" t="s">
        <v>43</v>
      </c>
      <c r="P2768" s="10" t="s">
        <v>44</v>
      </c>
      <c r="Q2768" s="10" t="s">
        <v>44</v>
      </c>
      <c r="R2768" s="11" t="s">
        <v>44</v>
      </c>
      <c r="S2768" s="11" t="s">
        <v>46</v>
      </c>
      <c r="T2768" s="22"/>
      <c r="U2768" s="22"/>
      <c r="V2768" s="22"/>
      <c r="W2768" s="22"/>
      <c r="X2768" s="22"/>
      <c r="Y2768" s="22"/>
      <c r="Z2768" s="22"/>
      <c r="AA2768" s="22"/>
      <c r="AB2768" s="22"/>
      <c r="AC2768" s="22"/>
      <c r="AD2768" s="22"/>
      <c r="AE2768" s="22"/>
      <c r="AG2768" s="71"/>
      <c r="AH2768" s="71"/>
      <c r="AI2768" s="71"/>
      <c r="AJ2768" s="71"/>
      <c r="AK2768" s="71"/>
      <c r="AL2768" s="71"/>
      <c r="AM2768" s="71"/>
      <c r="AN2768" s="71"/>
      <c r="AO2768" s="71"/>
      <c r="AP2768" s="71"/>
      <c r="AQ2768" s="71"/>
      <c r="AR2768" s="71"/>
      <c r="AS2768" s="94"/>
      <c r="AT2768" s="95"/>
      <c r="AU2768" s="97"/>
      <c r="AW2768" s="52" t="str">
        <f>IFERROR(IF(AG2768="","",AG2768/T2768),0)</f>
        <v/>
      </c>
      <c r="AX2768" s="52"/>
      <c r="AY2768" s="52"/>
      <c r="AZ2768" s="52"/>
      <c r="BA2768" s="52"/>
      <c r="BB2768" s="52"/>
      <c r="BC2768" s="52"/>
      <c r="BD2768" s="52"/>
      <c r="BE2768" s="52"/>
      <c r="BF2768" s="52"/>
      <c r="BG2768" s="52"/>
      <c r="BH2768" s="52"/>
      <c r="BI2768" s="65" t="str" cm="1">
        <f t="array" ref="BI2768">IFERROR(INDEX(AW2768:BH2768,1,MATCH(2,1/(AW2768:BH2768&lt;&gt;""))),"")</f>
        <v/>
      </c>
      <c r="BJ2768" s="68" t="str" cm="1">
        <f t="array" ref="BJ2768">IF(BM2768 = "", "",IFERROR(INDEX(AW2768:BH2768,1,MATCH(2,1/(AW2768:BH2768&lt;&gt;""),1)-1),""))</f>
        <v/>
      </c>
      <c r="BK2768" s="98" t="e">
        <f>SUM(BK2290,BK2296,BK2302,BK2308,BK2314,BK2320,BK2326,BK2332,BK2358,BK2375,BK2392,BK2406,BK2418,BK2436,#REF!,BK2443,BK2452,BK2458,BK2470,BK2473,BK2479,BK2482,BK2485,BK2490,BK2491,BK2500,BK2509,BK2518,BK2527)/(COUNTIFS(C:C,"RS",F:F,"&lt;&gt;A partir de Fevereiro",F:F,"&lt;&gt;Não se aplica",N:N,"Indicador",F:F,"&lt;&gt;-")-2)</f>
        <v>#REF!</v>
      </c>
      <c r="BL2768" s="98" t="e">
        <f>SUM(BL2290,BL2296,BL2302,BL2308,BL2314,BL2320,BL2326,BL2332,BL2358,BL2375,BL2392,BL2406,BL2418,BL2436,#REF!,BL2443,BL2452,BL2458,BL2470,BL2473,BL2479,BL2482,BL2485,BL2490,BL2491,BL2500,BL2509,BL2518,BL2527)/(COUNTIFS(C:C,"RS",F:F,"&lt;&gt;A partir de Fevereiro",F:F,"&lt;&gt;Não se aplica",N:N,"Indicador",F:F,"&lt;&gt;-")-2)</f>
        <v>#REF!</v>
      </c>
      <c r="BM2768" s="55" t="str" cm="1">
        <f t="array" ref="BM2768">IFERROR(
   INDEX($AW$1:$BH$1,
      _xlfn.AGGREGATE(14, 6, COLUMN($AW$1:$BH$1)/(AW2768:BH2768&lt;&gt;""), 2) - COLUMN($AW$1) + 1
   ),
"")</f>
        <v/>
      </c>
      <c r="BN2768" s="55" t="str" cm="1">
        <f t="array" ref="BN2768">IFERROR(INDEX($AW$1:$BH$1,1,MATCH(2,1/(AW2768:BH2768&lt;&gt;""))),"")</f>
        <v/>
      </c>
      <c r="BO2768" s="53">
        <v>0</v>
      </c>
      <c r="BP2768" s="53">
        <v>0</v>
      </c>
      <c r="BQ2768" s="53">
        <v>0</v>
      </c>
      <c r="BR2768" s="53">
        <v>0</v>
      </c>
      <c r="BS2768" s="53">
        <v>0</v>
      </c>
    </row>
    <row r="2769" spans="1:71" ht="25.95" hidden="1" customHeight="1" x14ac:dyDescent="0.3">
      <c r="A2769" s="101" t="s">
        <v>242</v>
      </c>
      <c r="B2769" s="4" t="s">
        <v>243</v>
      </c>
      <c r="C2769" s="5" t="s">
        <v>221</v>
      </c>
      <c r="D2769" s="5" t="s">
        <v>213</v>
      </c>
      <c r="E2769" s="4" t="str" cm="1">
        <f t="array" ref="E2769">_xlfn.IFS(
F2769 = "A partir de Abril", "Aguardando Execução na Distribuidora",
A2769 = "CAPACITAÇÃO", "Em execução no Corporativo",
TRUE, "Em Execução na Distribuidora"
)</f>
        <v>Em Execução na Distribuidora</v>
      </c>
      <c r="F2769" s="4" t="str" cm="1">
        <f t="array" ref="F2769">_xlfn.IFS(
AG2769 &lt;&gt; "", "Jan-Dez/26",
AH2769 &lt;&gt; "", "Fev-Dez/26",
AI2769 &lt;&gt; "", "Mar-Dez/26", AJ2769 &lt;&gt; "", "Abr-Dez/26",
TRUE, "A partir de Junho"
)</f>
        <v>A partir de Junho</v>
      </c>
      <c r="G2769" s="4" t="s">
        <v>37</v>
      </c>
      <c r="H2769" s="7" t="s">
        <v>110</v>
      </c>
      <c r="I2769" s="8"/>
      <c r="J2769" s="9"/>
      <c r="K2769" s="9"/>
      <c r="L2769" s="8"/>
      <c r="M2769" s="9"/>
      <c r="N2769" s="74" t="s">
        <v>42</v>
      </c>
      <c r="O2769" s="5" t="s">
        <v>43</v>
      </c>
      <c r="P2769" s="10" t="s">
        <v>44</v>
      </c>
      <c r="Q2769" s="10" t="s">
        <v>44</v>
      </c>
      <c r="R2769" s="11" t="s">
        <v>44</v>
      </c>
      <c r="S2769" s="11" t="s">
        <v>46</v>
      </c>
      <c r="T2769" s="22"/>
      <c r="U2769" s="22"/>
      <c r="V2769" s="22"/>
      <c r="W2769" s="22"/>
      <c r="X2769" s="22"/>
      <c r="Y2769" s="22"/>
      <c r="Z2769" s="22"/>
      <c r="AA2769" s="22"/>
      <c r="AB2769" s="22"/>
      <c r="AC2769" s="22"/>
      <c r="AD2769" s="22"/>
      <c r="AE2769" s="22"/>
      <c r="AG2769" s="71"/>
      <c r="AH2769" s="71"/>
      <c r="AI2769" s="71"/>
      <c r="AJ2769" s="71"/>
      <c r="AK2769" s="71"/>
      <c r="AL2769" s="71"/>
      <c r="AM2769" s="71"/>
      <c r="AN2769" s="71"/>
      <c r="AO2769" s="71"/>
      <c r="AP2769" s="71"/>
      <c r="AQ2769" s="71"/>
      <c r="AR2769" s="71"/>
      <c r="AS2769" s="94"/>
      <c r="AT2769" s="95"/>
      <c r="AU2769" s="97"/>
      <c r="AW2769" s="52" t="str">
        <f>IFERROR(IF(AG2769="","",AG2769/T2769),0)</f>
        <v/>
      </c>
      <c r="AX2769" s="52"/>
      <c r="AY2769" s="52"/>
      <c r="AZ2769" s="52"/>
      <c r="BA2769" s="52"/>
      <c r="BB2769" s="52"/>
      <c r="BC2769" s="52"/>
      <c r="BD2769" s="52"/>
      <c r="BE2769" s="52"/>
      <c r="BF2769" s="52"/>
      <c r="BG2769" s="52"/>
      <c r="BH2769" s="52"/>
      <c r="BI2769" s="65" t="str" cm="1">
        <f t="array" ref="BI2769">IFERROR(INDEX(AW2769:BH2769,1,MATCH(2,1/(AW2769:BH2769&lt;&gt;""))),"")</f>
        <v/>
      </c>
      <c r="BJ2769" s="68" t="str" cm="1">
        <f t="array" ref="BJ2769">IF(BM2769 = "", "",IFERROR(INDEX(AW2769:BH2769,1,MATCH(2,1/(AW2769:BH2769&lt;&gt;""),1)-1),""))</f>
        <v/>
      </c>
      <c r="BK2769" s="98" t="e">
        <f>SUM(BK2291,BK2297,BK2303,BK2309,BK2315,BK2321,BK2327,BK2333,BK2359,BK2376,BK2393,BK2407,BK2419,BK2437,#REF!,BK2444,BK2453,BK2459,BK2471,BK2474,BK2480,BK2483,BK2486,BK2491,BK2492,BK2501,BK2510,BK2519,BK2528)/(COUNTIFS(C:C,"RS",F:F,"&lt;&gt;A partir de Fevereiro",F:F,"&lt;&gt;Não se aplica",N:N,"Indicador",F:F,"&lt;&gt;-")-2)</f>
        <v>#REF!</v>
      </c>
      <c r="BL2769" s="98" t="e">
        <f>SUM(BL2291,BL2297,BL2303,BL2309,BL2315,BL2321,BL2327,BL2333,BL2359,BL2376,BL2393,BL2407,BL2419,BL2437,#REF!,BL2444,BL2453,BL2459,BL2471,BL2474,BL2480,BL2483,BL2486,BL2491,BL2492,BL2501,BL2510,BL2519,BL2528)/(COUNTIFS(C:C,"RS",F:F,"&lt;&gt;A partir de Fevereiro",F:F,"&lt;&gt;Não se aplica",N:N,"Indicador",F:F,"&lt;&gt;-")-2)</f>
        <v>#REF!</v>
      </c>
      <c r="BM2769" s="55" t="str" cm="1">
        <f t="array" ref="BM2769">IFERROR(
   INDEX($AW$1:$BH$1,
      _xlfn.AGGREGATE(14, 6, COLUMN($AW$1:$BH$1)/(AW2769:BH2769&lt;&gt;""), 2) - COLUMN($AW$1) + 1
   ),
"")</f>
        <v/>
      </c>
      <c r="BN2769" s="55" t="str" cm="1">
        <f t="array" ref="BN2769">IFERROR(INDEX($AW$1:$BH$1,1,MATCH(2,1/(AW2769:BH2769&lt;&gt;""))),"")</f>
        <v/>
      </c>
      <c r="BO2769" s="53">
        <v>0</v>
      </c>
      <c r="BP2769" s="53">
        <v>0</v>
      </c>
      <c r="BQ2769" s="53">
        <v>0</v>
      </c>
      <c r="BR2769" s="53">
        <v>0</v>
      </c>
      <c r="BS2769" s="53">
        <v>0</v>
      </c>
    </row>
    <row r="2770" spans="1:71" ht="25.95" hidden="1" customHeight="1" x14ac:dyDescent="0.3">
      <c r="A2770" s="41" t="s">
        <v>108</v>
      </c>
      <c r="B2770" s="4" t="s">
        <v>129</v>
      </c>
      <c r="C2770" s="5" t="s">
        <v>221</v>
      </c>
      <c r="D2770" s="5" t="s">
        <v>212</v>
      </c>
      <c r="E2770" s="4" t="s">
        <v>61</v>
      </c>
      <c r="F2770" s="4" t="str" cm="1">
        <f t="array" ref="F2770">_xlfn.IFS(
AG2770 &lt;&gt; "", "Jan-Dez/26",
AH2770 &lt;&gt; "", "Fev-Dez/26",
AI2770 &lt;&gt; "", "Mar-Dez/26", AJ2770 &lt;&gt; "", "Abr-Dez/26",
TRUE, "A partir de Junho"
)</f>
        <v>A partir de Junho</v>
      </c>
      <c r="G2770" s="4" t="s">
        <v>62</v>
      </c>
      <c r="H2770" s="7" t="s">
        <v>38</v>
      </c>
      <c r="I2770" s="15" t="s">
        <v>130</v>
      </c>
      <c r="J2770" s="8" t="str" cm="1">
        <f t="array" aca="1" ref="J2770" ca="1">_xlfn.LET(
  _xlpm.actual_value_month, INDEX(T2770:AE2770, MATCH(DATE(YEAR(TODAY()), MONTH(TODAY()), 1), $T$1:$AE$1, 0)),
  IF(_xlpm.actual_value_month &lt;&gt; "",_xlpm.actual_value_month &amp; " ações mensais", "")
)</f>
        <v/>
      </c>
      <c r="K2770" s="8" t="str" cm="1">
        <f t="array" ref="K2770">_xlfn.LET(
    _xlpm.sum_month, SUM(T2770:AE2770),
    IF(_xlpm.sum_month = 0, "", _xlpm.sum_month &amp; " treinamento de motociclistas no ano")
)</f>
        <v/>
      </c>
      <c r="L2770" s="4" t="s">
        <v>131</v>
      </c>
      <c r="M2770" s="19"/>
      <c r="N2770" s="5" t="s">
        <v>42</v>
      </c>
      <c r="O2770" s="5"/>
      <c r="P2770" s="10"/>
      <c r="Q2770" s="10"/>
      <c r="R2770" s="11"/>
      <c r="S2770" s="11"/>
      <c r="T2770" s="22"/>
      <c r="U2770" s="22"/>
      <c r="V2770" s="22"/>
      <c r="W2770" s="22"/>
      <c r="X2770" s="22"/>
      <c r="Y2770" s="22"/>
      <c r="Z2770" s="22"/>
      <c r="AA2770" s="22"/>
      <c r="AB2770" s="22"/>
      <c r="AC2770" s="22"/>
      <c r="AD2770" s="22"/>
      <c r="AE2770" s="22"/>
      <c r="AF2770" s="81"/>
      <c r="AG2770" s="71"/>
      <c r="AH2770" s="71"/>
      <c r="AI2770" s="71"/>
      <c r="AJ2770" s="71"/>
      <c r="AK2770" s="71"/>
      <c r="AL2770" s="71"/>
      <c r="AM2770" s="71"/>
      <c r="AN2770" s="71"/>
      <c r="AO2770" s="71"/>
      <c r="AP2770" s="71"/>
      <c r="AQ2770" s="71"/>
      <c r="AR2770" s="71"/>
      <c r="AS2770" s="94"/>
      <c r="AT2770" s="95"/>
      <c r="AU2770" s="97"/>
      <c r="AV2770" s="81"/>
      <c r="AW2770" s="51">
        <f t="shared" ref="AW2770:AW2771" si="3323">IFERROR(IF(AG2770="",0,AG2770/T2770),0)</f>
        <v>0</v>
      </c>
      <c r="AX2770" s="51">
        <f t="shared" ref="AX2770:AX2771" si="3324">IFERROR(IF(AH2770="",0,AH2770/U2770),0)</f>
        <v>0</v>
      </c>
      <c r="AY2770" s="51">
        <f t="shared" ref="AY2770:AY2771" si="3325">IFERROR(IF(AI2770="",0,AI2770/V2770),0)</f>
        <v>0</v>
      </c>
      <c r="AZ2770" s="51">
        <f t="shared" ref="AZ2770:AZ2771" si="3326">IFERROR(IF(AJ2770="",0,AJ2770/W2770),0)</f>
        <v>0</v>
      </c>
      <c r="BA2770" s="51"/>
      <c r="BB2770" s="51"/>
      <c r="BC2770" s="51"/>
      <c r="BD2770" s="51"/>
      <c r="BE2770" s="51"/>
      <c r="BF2770" s="51"/>
      <c r="BG2770" s="51"/>
      <c r="BH2770" s="51"/>
      <c r="BI2770" s="65"/>
      <c r="BJ2770" s="68"/>
      <c r="BK2770" s="58">
        <f>IF((IF(AW2770&gt;=115%,115%,AW2770) + IF(AX2770&gt;=115%,115%,AX2770) + IF(AY2770&gt;=115%,115%,AY2770) + (IF(AZ2770&gt;=115%,115%,AZ2770) + IF(BA2770&gt;=115%,115%,BA2770) + IF(BB2770&gt;=115%,115%,BB2770) + IF(BC2770&gt;=115%,115%,BC2770) + IF(BD2770&gt;=115%,115%,BD2770) + IF(BE2770&gt;=115%,115%,BE2770) + IF(BF2770&gt;=115%,115%,BF2770) + IF(BG2770&gt;=115%,115%,BG2770) + IF(BH2770&gt;=115%,115%,BH2770)))/_xlfn.XLOOKUP(F2770,Apuração!A:A,Apuração!B:B)&gt;=1.15,1.15,((IF(AZ2770&gt;=115%,115%,AZ2770) + IF(AX2770&gt;=115%,115%,AX2770) + IF(AY2770&gt;=115%,115%,AY2770) + (IF(AW2770&gt;=115%,115%,AW2770) + IF(BA2770&gt;=115%,115%,BA2770) + IF(BB2770&gt;=115%,115%,BB2770) + IF(BC2770&gt;=115%,115%,BC2770) + IF(BD2770&gt;=115%,115%,BD2770) + IF(BE2770&gt;=115%,115%,BE2770) + IF(BF2770&gt;=115%,115%,BF2770) + IF(BG2770&gt;=115%,115%,BG2770) + IF(BH2770&gt;=115%,115%,BH2770)))/_xlfn.XLOOKUP(F2770,Apuração!A:A,Apuração!B:B)))</f>
        <v>0</v>
      </c>
      <c r="BL2770" s="58" cm="1">
        <f t="array" aca="1" ref="BL2770" ca="1">IF(SUM(IFERROR(IF(INDEX(AW2770:INDEX(AW2770:BH2770, MATCH(2, 1/(AW2770:BH2770&lt;&gt;""), 1)-1), ROW(INDIRECT("1:" &amp; MATCH(2, 1/(AW2770:BH2770&lt;&gt;""), 1)-1))) &gt;= 115%, 115%, INDEX(AW2770:INDEX(AW2770:BH2770, MATCH(2, 1/(AW2770:BH2770&lt;&gt;""), 1)-1), ROW(INDIRECT("1:" &amp; MATCH(2, 1/(AW2770:BH2770&lt;&gt;""), 1)-1)))), 0))/_xlfn.XLOOKUP(F2770,Apuração!A:A,Apuração!B:B)&gt;=1.15,1.15,SUM(IFERROR(IF(INDEX(AW2770:INDEX(AW2770:BH2770, MATCH(2, 1/(AW2770:BH2770&lt;&gt;""), 1)-1), ROW(INDIRECT("1:" &amp; MATCH(2, 1/(AW2770:BH2770&lt;&gt;""), 1)-1))) &gt;= 115%, 115%, INDEX(AW2770:INDEX(AW2770:BH2770, MATCH(2, 1/(AW2770:BH2770&lt;&gt;""), 1)-1), ROW(INDIRECT("1:" &amp; MATCH(2, 1/(AW2770:BH2770&lt;&gt;""), 1)-1)))), 0))/_xlfn.XLOOKUP(F2770,Apuração!A:A,Apuração!B:B))</f>
        <v>0</v>
      </c>
      <c r="BM2770" s="55"/>
      <c r="BN2770" s="55"/>
      <c r="BO2770" s="53">
        <f ca="1">IFERROR(_xlfn.XLOOKUP(F2770,Apuração!A:A,Apuração!C:C)/_xlfn.XLOOKUP(F2770,Apuração!A:A,Apuração!B:B),0)</f>
        <v>0</v>
      </c>
      <c r="BP2770" s="53">
        <f ca="1">IFERROR(_xlfn.XLOOKUP(F2770,Apuração!A:A,Apuração!D:D)/_xlfn.XLOOKUP(F2770,Apuração!A:A,Apuração!B:B),0)</f>
        <v>0</v>
      </c>
      <c r="BQ2770" s="53">
        <f ca="1">IF(BK2770&gt;=BO2770,0,_xlfn.XLOOKUP(F2770,Apuração!A:A,Apuração!B:B)*(BO2770 + (1/_xlfn.XLOOKUP(F2770,Apuração!A:A,Apuração!B:B)) - BK2770))</f>
        <v>0</v>
      </c>
      <c r="BR2770" s="85">
        <f t="shared" ref="BR2770:BR2771" ca="1" si="3327">IF(BQ2770=0,0,BQ2770*Z2770)</f>
        <v>0</v>
      </c>
      <c r="BS2770" s="53">
        <f ca="1">IFERROR((_xlfn.XLOOKUP(F2770,Apuração!A:A,Apuração!C:C)+1)/_xlfn.XLOOKUP(F2770,Apuração!A:A,Apuração!B:B),0)</f>
        <v>0.14285714285714285</v>
      </c>
    </row>
    <row r="2771" spans="1:71" ht="25.95" hidden="1" customHeight="1" x14ac:dyDescent="0.3">
      <c r="A2771" s="41" t="s">
        <v>108</v>
      </c>
      <c r="B2771" s="4" t="s">
        <v>129</v>
      </c>
      <c r="C2771" s="5" t="s">
        <v>221</v>
      </c>
      <c r="D2771" s="5" t="s">
        <v>213</v>
      </c>
      <c r="E2771" s="4" t="s">
        <v>61</v>
      </c>
      <c r="F2771" s="4" t="str" cm="1">
        <f t="array" ref="F2771">_xlfn.IFS(
AG2771 &lt;&gt; "", "Jan-Dez/26",
AH2771 &lt;&gt; "", "Fev-Dez/26",
AI2771 &lt;&gt; "", "Mar-Dez/26", AJ2771 &lt;&gt; "", "Abr-Dez/26",
TRUE, "A partir de Junho"
)</f>
        <v>A partir de Junho</v>
      </c>
      <c r="G2771" s="4" t="s">
        <v>62</v>
      </c>
      <c r="H2771" s="7" t="s">
        <v>38</v>
      </c>
      <c r="I2771" s="15" t="s">
        <v>130</v>
      </c>
      <c r="J2771" s="8" t="str" cm="1">
        <f t="array" aca="1" ref="J2771" ca="1">_xlfn.LET(
  _xlpm.actual_value_month, INDEX(T2771:AE2771, MATCH(DATE(YEAR(TODAY()), MONTH(TODAY()), 1), $T$1:$AE$1, 0)),
  IF(_xlpm.actual_value_month &lt;&gt; "",_xlpm.actual_value_month &amp; " ações mensais", "")
)</f>
        <v/>
      </c>
      <c r="K2771" s="8" t="str" cm="1">
        <f t="array" ref="K2771">_xlfn.LET(
    _xlpm.sum_month, SUM(T2771:AE2771),
    IF(_xlpm.sum_month = 0, "", _xlpm.sum_month &amp; " treinamento de motociclistas no ano")
)</f>
        <v/>
      </c>
      <c r="L2771" s="4" t="s">
        <v>131</v>
      </c>
      <c r="M2771" s="19"/>
      <c r="N2771" s="5" t="s">
        <v>42</v>
      </c>
      <c r="O2771" s="5"/>
      <c r="P2771" s="10"/>
      <c r="Q2771" s="10"/>
      <c r="R2771" s="11"/>
      <c r="S2771" s="11"/>
      <c r="T2771" s="22"/>
      <c r="U2771" s="22"/>
      <c r="V2771" s="22"/>
      <c r="W2771" s="22"/>
      <c r="X2771" s="22"/>
      <c r="Y2771" s="22"/>
      <c r="Z2771" s="22"/>
      <c r="AA2771" s="22"/>
      <c r="AB2771" s="22"/>
      <c r="AC2771" s="22"/>
      <c r="AD2771" s="22"/>
      <c r="AE2771" s="22"/>
      <c r="AF2771" s="81"/>
      <c r="AG2771" s="71"/>
      <c r="AH2771" s="71"/>
      <c r="AI2771" s="71"/>
      <c r="AJ2771" s="71"/>
      <c r="AK2771" s="71"/>
      <c r="AL2771" s="71"/>
      <c r="AM2771" s="71"/>
      <c r="AN2771" s="71"/>
      <c r="AO2771" s="71"/>
      <c r="AP2771" s="71"/>
      <c r="AQ2771" s="71"/>
      <c r="AR2771" s="71"/>
      <c r="AS2771" s="94"/>
      <c r="AT2771" s="95"/>
      <c r="AU2771" s="97"/>
      <c r="AV2771" s="81"/>
      <c r="AW2771" s="51">
        <f t="shared" si="3323"/>
        <v>0</v>
      </c>
      <c r="AX2771" s="51">
        <f t="shared" si="3324"/>
        <v>0</v>
      </c>
      <c r="AY2771" s="51">
        <f t="shared" si="3325"/>
        <v>0</v>
      </c>
      <c r="AZ2771" s="51">
        <f t="shared" si="3326"/>
        <v>0</v>
      </c>
      <c r="BA2771" s="51"/>
      <c r="BB2771" s="51"/>
      <c r="BC2771" s="51"/>
      <c r="BD2771" s="51"/>
      <c r="BE2771" s="51"/>
      <c r="BF2771" s="51"/>
      <c r="BG2771" s="51"/>
      <c r="BH2771" s="51"/>
      <c r="BI2771" s="65"/>
      <c r="BJ2771" s="68"/>
      <c r="BK2771" s="58">
        <f>IF((IF(AW2771&gt;=115%,115%,AW2771) + IF(AX2771&gt;=115%,115%,AX2771) + IF(AY2771&gt;=115%,115%,AY2771) + (IF(AZ2771&gt;=115%,115%,AZ2771) + IF(BA2771&gt;=115%,115%,BA2771) + IF(BB2771&gt;=115%,115%,BB2771) + IF(BC2771&gt;=115%,115%,BC2771) + IF(BD2771&gt;=115%,115%,BD2771) + IF(BE2771&gt;=115%,115%,BE2771) + IF(BF2771&gt;=115%,115%,BF2771) + IF(BG2771&gt;=115%,115%,BG2771) + IF(BH2771&gt;=115%,115%,BH2771)))/_xlfn.XLOOKUP(F2771,Apuração!A:A,Apuração!B:B)&gt;=1.15,1.15,((IF(AZ2771&gt;=115%,115%,AZ2771) + IF(AX2771&gt;=115%,115%,AX2771) + IF(AY2771&gt;=115%,115%,AY2771) + (IF(AW2771&gt;=115%,115%,AW2771) + IF(BA2771&gt;=115%,115%,BA2771) + IF(BB2771&gt;=115%,115%,BB2771) + IF(BC2771&gt;=115%,115%,BC2771) + IF(BD2771&gt;=115%,115%,BD2771) + IF(BE2771&gt;=115%,115%,BE2771) + IF(BF2771&gt;=115%,115%,BF2771) + IF(BG2771&gt;=115%,115%,BG2771) + IF(BH2771&gt;=115%,115%,BH2771)))/_xlfn.XLOOKUP(F2771,Apuração!A:A,Apuração!B:B)))</f>
        <v>0</v>
      </c>
      <c r="BL2771" s="58" cm="1">
        <f t="array" aca="1" ref="BL2771" ca="1">IF(SUM(IFERROR(IF(INDEX(AW2771:INDEX(AW2771:BH2771, MATCH(2, 1/(AW2771:BH2771&lt;&gt;""), 1)-1), ROW(INDIRECT("1:" &amp; MATCH(2, 1/(AW2771:BH2771&lt;&gt;""), 1)-1))) &gt;= 115%, 115%, INDEX(AW2771:INDEX(AW2771:BH2771, MATCH(2, 1/(AW2771:BH2771&lt;&gt;""), 1)-1), ROW(INDIRECT("1:" &amp; MATCH(2, 1/(AW2771:BH2771&lt;&gt;""), 1)-1)))), 0))/_xlfn.XLOOKUP(F2771,Apuração!A:A,Apuração!B:B)&gt;=1.15,1.15,SUM(IFERROR(IF(INDEX(AW2771:INDEX(AW2771:BH2771, MATCH(2, 1/(AW2771:BH2771&lt;&gt;""), 1)-1), ROW(INDIRECT("1:" &amp; MATCH(2, 1/(AW2771:BH2771&lt;&gt;""), 1)-1))) &gt;= 115%, 115%, INDEX(AW2771:INDEX(AW2771:BH2771, MATCH(2, 1/(AW2771:BH2771&lt;&gt;""), 1)-1), ROW(INDIRECT("1:" &amp; MATCH(2, 1/(AW2771:BH2771&lt;&gt;""), 1)-1)))), 0))/_xlfn.XLOOKUP(F2771,Apuração!A:A,Apuração!B:B))</f>
        <v>0</v>
      </c>
      <c r="BM2771" s="55"/>
      <c r="BN2771" s="55"/>
      <c r="BO2771" s="53">
        <f ca="1">IFERROR(_xlfn.XLOOKUP(F2771,Apuração!A:A,Apuração!C:C)/_xlfn.XLOOKUP(F2771,Apuração!A:A,Apuração!B:B),0)</f>
        <v>0</v>
      </c>
      <c r="BP2771" s="53">
        <f ca="1">IFERROR(_xlfn.XLOOKUP(F2771,Apuração!A:A,Apuração!D:D)/_xlfn.XLOOKUP(F2771,Apuração!A:A,Apuração!B:B),0)</f>
        <v>0</v>
      </c>
      <c r="BQ2771" s="53">
        <f ca="1">IF(BK2771&gt;=BO2771,0,_xlfn.XLOOKUP(F2771,Apuração!A:A,Apuração!B:B)*(BO2771 + (1/_xlfn.XLOOKUP(F2771,Apuração!A:A,Apuração!B:B)) - BK2771))</f>
        <v>0</v>
      </c>
      <c r="BR2771" s="85">
        <f t="shared" ca="1" si="3327"/>
        <v>0</v>
      </c>
      <c r="BS2771" s="53">
        <f ca="1">IFERROR((_xlfn.XLOOKUP(F2771,Apuração!A:A,Apuração!C:C)+1)/_xlfn.XLOOKUP(F2771,Apuração!A:A,Apuração!B:B),0)</f>
        <v>0.14285714285714285</v>
      </c>
    </row>
    <row r="2772" spans="1:71" ht="25.95" hidden="1" customHeight="1" x14ac:dyDescent="0.3">
      <c r="A2772" s="70" t="s">
        <v>108</v>
      </c>
      <c r="B2772" s="4" t="s">
        <v>129</v>
      </c>
      <c r="C2772" s="5" t="s">
        <v>221</v>
      </c>
      <c r="D2772" s="5" t="s">
        <v>36</v>
      </c>
      <c r="E2772" s="4" t="s">
        <v>61</v>
      </c>
      <c r="F2772" s="4" t="str" cm="1">
        <f t="array" ref="F2772">_xlfn.IFS(
AG2772 &lt;&gt; "", "Jan-Dez/26",
AH2772 &lt;&gt; "", "Fev-Dez/26",
AI2772 &lt;&gt; "", "Mar-Dez/26", AJ2772 &lt;&gt; "", "Abr-Dez/26",
TRUE, "A partir de Junho"
)</f>
        <v>A partir de Junho</v>
      </c>
      <c r="G2772" s="4" t="s">
        <v>62</v>
      </c>
      <c r="H2772" s="7" t="s">
        <v>38</v>
      </c>
      <c r="I2772" s="8" t="s">
        <v>132</v>
      </c>
      <c r="J2772" s="8" t="str" cm="1">
        <f t="array" aca="1" ref="J2772" ca="1">_xlfn.LET(
  _xlpm.actual_value_month, INDEX(T2772:AE2772, MATCH(DATE(YEAR(TODAY()), MONTH(TODAY()), 1), $T$1:$AE$1, 0)),
  IF(_xlpm.actual_value_month &lt;&gt; "",_xlpm.actual_value_month &amp; " ações mensais", "")
)</f>
        <v/>
      </c>
      <c r="K2772" s="8" t="str" cm="1">
        <f t="array" ref="K2772">_xlfn.LET(
    _xlpm.sum_month, SUM(T2772:AE2772),
    IF(_xlpm.sum_month = 0, "", _xlpm.sum_month &amp; "  notificações de excesso de velocidade no ano")
)</f>
        <v/>
      </c>
      <c r="L2772" s="4" t="s">
        <v>133</v>
      </c>
      <c r="M2772" s="19"/>
      <c r="N2772" s="5" t="s">
        <v>51</v>
      </c>
      <c r="O2772" s="5"/>
      <c r="P2772" s="10"/>
      <c r="Q2772" s="10"/>
      <c r="R2772" s="11"/>
      <c r="S2772" s="11"/>
      <c r="T2772" s="22"/>
      <c r="U2772" s="22"/>
      <c r="V2772" s="22"/>
      <c r="W2772" s="22"/>
      <c r="X2772" s="22"/>
      <c r="Y2772" s="22"/>
      <c r="Z2772" s="22"/>
      <c r="AA2772" s="22"/>
      <c r="AB2772" s="22"/>
      <c r="AC2772" s="22"/>
      <c r="AD2772" s="22"/>
      <c r="AE2772" s="22"/>
      <c r="AF2772" s="81"/>
      <c r="AG2772" s="71"/>
      <c r="AH2772" s="71"/>
      <c r="AI2772" s="71"/>
      <c r="AJ2772" s="71"/>
      <c r="AK2772" s="71"/>
      <c r="AL2772" s="71"/>
      <c r="AM2772" s="71"/>
      <c r="AN2772" s="71"/>
      <c r="AO2772" s="71"/>
      <c r="AP2772" s="71"/>
      <c r="AQ2772" s="71"/>
      <c r="AR2772" s="71"/>
      <c r="AS2772" s="94"/>
      <c r="AT2772" s="95"/>
      <c r="AU2772" s="97"/>
      <c r="AV2772" s="81"/>
      <c r="AW2772" s="83">
        <f>AG2772</f>
        <v>0</v>
      </c>
      <c r="AX2772" s="83">
        <f t="shared" ref="AX2772" si="3328">AH2772</f>
        <v>0</v>
      </c>
      <c r="AY2772" s="83">
        <f t="shared" ref="AY2772" si="3329">AI2772</f>
        <v>0</v>
      </c>
      <c r="AZ2772" s="83">
        <f t="shared" ref="AZ2772" si="3330">AJ2772</f>
        <v>0</v>
      </c>
      <c r="BA2772" s="52"/>
      <c r="BB2772" s="52"/>
      <c r="BC2772" s="52"/>
      <c r="BD2772" s="52"/>
      <c r="BE2772" s="52"/>
      <c r="BF2772" s="52"/>
      <c r="BG2772" s="52"/>
      <c r="BH2772" s="52"/>
      <c r="BI2772" s="65"/>
      <c r="BJ2772" s="68"/>
      <c r="BK2772" s="59">
        <f t="shared" ref="BK2772" si="3331">SUM(AW2772:BH2772)</f>
        <v>0</v>
      </c>
      <c r="BL2772" s="59" cm="1">
        <f t="array" ref="BL2772">IFERROR(SUM(AW2772:INDEX(AW2772:BH2772, MATCH(2, 1/(AW2772:BH2772&lt;&gt;""), 1) - 1))/_xlfn.XLOOKUP(F2772,Apuração!A:A,Apuração!B:B),0)</f>
        <v>0</v>
      </c>
      <c r="BM2772" s="55"/>
      <c r="BN2772" s="55"/>
      <c r="BO2772" s="53">
        <f ca="1">IFERROR(_xlfn.XLOOKUP(F2772,Apuração!A:A,Apuração!C:C)/_xlfn.XLOOKUP(F2772,Apuração!A:A,Apuração!B:B),0)</f>
        <v>0</v>
      </c>
      <c r="BP2772" s="53">
        <f ca="1">IFERROR(_xlfn.XLOOKUP(F2772,Apuração!A:A,Apuração!D:D)/_xlfn.XLOOKUP(F2772,Apuração!A:A,Apuração!B:B),0)</f>
        <v>0</v>
      </c>
      <c r="BQ2772" s="53">
        <f ca="1">IF(BK2772&gt;=BO2772,0,_xlfn.XLOOKUP(F2772,Apuração!A:A,Apuração!B:B)*(BO2772 + (1/_xlfn.XLOOKUP(F2772,Apuração!A:A,Apuração!B:B)) - BK2772))</f>
        <v>0</v>
      </c>
      <c r="BR2772" s="85">
        <f ca="1">IF(BQ2772=0,0,BQ2772*Z2772)</f>
        <v>0</v>
      </c>
      <c r="BS2772" s="53">
        <f ca="1">IFERROR((_xlfn.XLOOKUP(F2772,Apuração!A:A,Apuração!C:C)+1)/_xlfn.XLOOKUP(F2772,Apuração!A:A,Apuração!B:B),0)</f>
        <v>0.14285714285714285</v>
      </c>
    </row>
    <row r="2773" spans="1:71" ht="25.95" hidden="1" customHeight="1" x14ac:dyDescent="0.3">
      <c r="A2773" s="70" t="s">
        <v>108</v>
      </c>
      <c r="B2773" s="4" t="s">
        <v>129</v>
      </c>
      <c r="C2773" s="5" t="s">
        <v>221</v>
      </c>
      <c r="D2773" s="5" t="s">
        <v>212</v>
      </c>
      <c r="E2773" s="4" t="s">
        <v>61</v>
      </c>
      <c r="F2773" s="4" t="str" cm="1">
        <f t="array" ref="F2773">_xlfn.IFS(
AG2773 &lt;&gt; "", "Jan-Dez/26",
AH2773 &lt;&gt; "", "Fev-Dez/26",
AI2773 &lt;&gt; "", "Mar-Dez/26", AJ2773 &lt;&gt; "", "Abr-Dez/26",
TRUE, "A partir de Junho"
)</f>
        <v>A partir de Junho</v>
      </c>
      <c r="G2773" s="4" t="s">
        <v>62</v>
      </c>
      <c r="H2773" s="7" t="s">
        <v>38</v>
      </c>
      <c r="I2773" s="8" t="s">
        <v>132</v>
      </c>
      <c r="J2773" s="8" t="str" cm="1">
        <f t="array" aca="1" ref="J2773" ca="1">_xlfn.LET(
  _xlpm.actual_value_month, INDEX(T2773:AE2773, MATCH(DATE(YEAR(TODAY()), MONTH(TODAY()), 1), $T$1:$AE$1, 0)),
  IF(_xlpm.actual_value_month &lt;&gt; "",_xlpm.actual_value_month &amp; " ações mensais", "")
)</f>
        <v/>
      </c>
      <c r="K2773" s="8" t="str" cm="1">
        <f t="array" ref="K2773">_xlfn.LET(
    _xlpm.sum_month, SUM(T2773:AE2773),
    IF(_xlpm.sum_month = 0, "", _xlpm.sum_month &amp; "  notificações de excesso de velocidade no ano")
)</f>
        <v/>
      </c>
      <c r="L2773" s="4" t="s">
        <v>133</v>
      </c>
      <c r="M2773" s="19"/>
      <c r="N2773" s="5" t="s">
        <v>51</v>
      </c>
      <c r="O2773" s="5"/>
      <c r="P2773" s="10"/>
      <c r="Q2773" s="10"/>
      <c r="R2773" s="11"/>
      <c r="S2773" s="11"/>
      <c r="T2773" s="22"/>
      <c r="U2773" s="22"/>
      <c r="V2773" s="22"/>
      <c r="W2773" s="22"/>
      <c r="X2773" s="22"/>
      <c r="Y2773" s="22"/>
      <c r="Z2773" s="22"/>
      <c r="AA2773" s="22"/>
      <c r="AB2773" s="22"/>
      <c r="AC2773" s="22"/>
      <c r="AD2773" s="22"/>
      <c r="AE2773" s="22"/>
      <c r="AF2773" s="81"/>
      <c r="AG2773" s="71"/>
      <c r="AH2773" s="71"/>
      <c r="AI2773" s="71"/>
      <c r="AJ2773" s="71"/>
      <c r="AK2773" s="71"/>
      <c r="AL2773" s="71"/>
      <c r="AM2773" s="71"/>
      <c r="AN2773" s="71"/>
      <c r="AO2773" s="71"/>
      <c r="AP2773" s="71"/>
      <c r="AQ2773" s="71"/>
      <c r="AR2773" s="71"/>
      <c r="AS2773" s="94"/>
      <c r="AT2773" s="95"/>
      <c r="AU2773" s="97"/>
      <c r="AV2773" s="81"/>
      <c r="AW2773" s="83">
        <f t="shared" ref="AW2773:AW2774" si="3332">AG2773</f>
        <v>0</v>
      </c>
      <c r="AX2773" s="83">
        <f t="shared" ref="AX2773:AX2774" si="3333">AH2773</f>
        <v>0</v>
      </c>
      <c r="AY2773" s="83">
        <f t="shared" ref="AY2773:AY2774" si="3334">AI2773</f>
        <v>0</v>
      </c>
      <c r="AZ2773" s="83">
        <f t="shared" ref="AZ2773:AZ2774" si="3335">AJ2773</f>
        <v>0</v>
      </c>
      <c r="BA2773" s="52"/>
      <c r="BB2773" s="52"/>
      <c r="BC2773" s="52"/>
      <c r="BD2773" s="52"/>
      <c r="BE2773" s="52"/>
      <c r="BF2773" s="52"/>
      <c r="BG2773" s="52"/>
      <c r="BH2773" s="52"/>
      <c r="BI2773" s="65"/>
      <c r="BJ2773" s="68"/>
      <c r="BK2773" s="59">
        <f t="shared" ref="BK2773:BK2774" si="3336">SUM(AW2773:BH2773)</f>
        <v>0</v>
      </c>
      <c r="BL2773" s="59" cm="1">
        <f t="array" ref="BL2773">IFERROR(SUM(AW2773:INDEX(AW2773:BH2773, MATCH(2, 1/(AW2773:BH2773&lt;&gt;""), 1) - 1))/_xlfn.XLOOKUP(F2773,Apuração!A:A,Apuração!B:B),0)</f>
        <v>0</v>
      </c>
      <c r="BM2773" s="55"/>
      <c r="BN2773" s="55"/>
      <c r="BO2773" s="53">
        <f ca="1">IFERROR(_xlfn.XLOOKUP(F2773,Apuração!A:A,Apuração!C:C)/_xlfn.XLOOKUP(F2773,Apuração!A:A,Apuração!B:B),0)</f>
        <v>0</v>
      </c>
      <c r="BP2773" s="53">
        <f ca="1">IFERROR(_xlfn.XLOOKUP(F2773,Apuração!A:A,Apuração!D:D)/_xlfn.XLOOKUP(F2773,Apuração!A:A,Apuração!B:B),0)</f>
        <v>0</v>
      </c>
      <c r="BQ2773" s="53">
        <f ca="1">IF(BK2773&gt;=BO2773,0,_xlfn.XLOOKUP(F2773,Apuração!A:A,Apuração!B:B)*(BO2773 + (1/_xlfn.XLOOKUP(F2773,Apuração!A:A,Apuração!B:B)) - BK2773))</f>
        <v>0</v>
      </c>
      <c r="BR2773" s="85">
        <f t="shared" ref="BR2773:BR2774" ca="1" si="3337">IF(BQ2773=0,0,BQ2773*Z2773)</f>
        <v>0</v>
      </c>
      <c r="BS2773" s="53">
        <f ca="1">IFERROR((_xlfn.XLOOKUP(F2773,Apuração!A:A,Apuração!C:C)+1)/_xlfn.XLOOKUP(F2773,Apuração!A:A,Apuração!B:B),0)</f>
        <v>0.14285714285714285</v>
      </c>
    </row>
    <row r="2774" spans="1:71" ht="25.95" hidden="1" customHeight="1" x14ac:dyDescent="0.3">
      <c r="A2774" s="70" t="s">
        <v>108</v>
      </c>
      <c r="B2774" s="4" t="s">
        <v>129</v>
      </c>
      <c r="C2774" s="5" t="s">
        <v>221</v>
      </c>
      <c r="D2774" s="5" t="s">
        <v>213</v>
      </c>
      <c r="E2774" s="4" t="s">
        <v>61</v>
      </c>
      <c r="F2774" s="4" t="str" cm="1">
        <f t="array" ref="F2774">_xlfn.IFS(
AG2774 &lt;&gt; "", "Jan-Dez/26",
AH2774 &lt;&gt; "", "Fev-Dez/26",
AI2774 &lt;&gt; "", "Mar-Dez/26", AJ2774 &lt;&gt; "", "Abr-Dez/26",
TRUE, "A partir de Junho"
)</f>
        <v>A partir de Junho</v>
      </c>
      <c r="G2774" s="4" t="s">
        <v>62</v>
      </c>
      <c r="H2774" s="7" t="s">
        <v>38</v>
      </c>
      <c r="I2774" s="8" t="s">
        <v>132</v>
      </c>
      <c r="J2774" s="8" t="str" cm="1">
        <f t="array" aca="1" ref="J2774" ca="1">_xlfn.LET(
  _xlpm.actual_value_month, INDEX(T2774:AE2774, MATCH(DATE(YEAR(TODAY()), MONTH(TODAY()), 1), $T$1:$AE$1, 0)),
  IF(_xlpm.actual_value_month &lt;&gt; "",_xlpm.actual_value_month &amp; " ações mensais", "")
)</f>
        <v/>
      </c>
      <c r="K2774" s="8" t="str" cm="1">
        <f t="array" ref="K2774">_xlfn.LET(
    _xlpm.sum_month, SUM(T2774:AE2774),
    IF(_xlpm.sum_month = 0, "", _xlpm.sum_month &amp; "  notificações de excesso de velocidade no ano")
)</f>
        <v/>
      </c>
      <c r="L2774" s="4" t="s">
        <v>133</v>
      </c>
      <c r="M2774" s="19"/>
      <c r="N2774" s="5" t="s">
        <v>51</v>
      </c>
      <c r="O2774" s="5"/>
      <c r="P2774" s="10"/>
      <c r="Q2774" s="10"/>
      <c r="R2774" s="11"/>
      <c r="S2774" s="11"/>
      <c r="T2774" s="22"/>
      <c r="U2774" s="22"/>
      <c r="V2774" s="22"/>
      <c r="W2774" s="22"/>
      <c r="X2774" s="22"/>
      <c r="Y2774" s="22"/>
      <c r="Z2774" s="22"/>
      <c r="AA2774" s="22"/>
      <c r="AB2774" s="22"/>
      <c r="AC2774" s="22"/>
      <c r="AD2774" s="22"/>
      <c r="AE2774" s="22"/>
      <c r="AF2774" s="81"/>
      <c r="AG2774" s="71"/>
      <c r="AH2774" s="71"/>
      <c r="AI2774" s="71"/>
      <c r="AJ2774" s="71"/>
      <c r="AK2774" s="71"/>
      <c r="AL2774" s="71"/>
      <c r="AM2774" s="71"/>
      <c r="AN2774" s="71"/>
      <c r="AO2774" s="71"/>
      <c r="AP2774" s="71"/>
      <c r="AQ2774" s="71"/>
      <c r="AR2774" s="71"/>
      <c r="AS2774" s="94"/>
      <c r="AT2774" s="95"/>
      <c r="AU2774" s="97"/>
      <c r="AV2774" s="81"/>
      <c r="AW2774" s="83">
        <f t="shared" si="3332"/>
        <v>0</v>
      </c>
      <c r="AX2774" s="83">
        <f t="shared" si="3333"/>
        <v>0</v>
      </c>
      <c r="AY2774" s="83">
        <f t="shared" si="3334"/>
        <v>0</v>
      </c>
      <c r="AZ2774" s="83">
        <f t="shared" si="3335"/>
        <v>0</v>
      </c>
      <c r="BA2774" s="52"/>
      <c r="BB2774" s="52"/>
      <c r="BC2774" s="52"/>
      <c r="BD2774" s="52"/>
      <c r="BE2774" s="52"/>
      <c r="BF2774" s="52"/>
      <c r="BG2774" s="52"/>
      <c r="BH2774" s="52"/>
      <c r="BI2774" s="65"/>
      <c r="BJ2774" s="68"/>
      <c r="BK2774" s="59">
        <f t="shared" si="3336"/>
        <v>0</v>
      </c>
      <c r="BL2774" s="59" cm="1">
        <f t="array" ref="BL2774">IFERROR(SUM(AW2774:INDEX(AW2774:BH2774, MATCH(2, 1/(AW2774:BH2774&lt;&gt;""), 1) - 1))/_xlfn.XLOOKUP(F2774,Apuração!A:A,Apuração!B:B),0)</f>
        <v>0</v>
      </c>
      <c r="BM2774" s="55"/>
      <c r="BN2774" s="55"/>
      <c r="BO2774" s="53">
        <f ca="1">IFERROR(_xlfn.XLOOKUP(F2774,Apuração!A:A,Apuração!C:C)/_xlfn.XLOOKUP(F2774,Apuração!A:A,Apuração!B:B),0)</f>
        <v>0</v>
      </c>
      <c r="BP2774" s="53">
        <f ca="1">IFERROR(_xlfn.XLOOKUP(F2774,Apuração!A:A,Apuração!D:D)/_xlfn.XLOOKUP(F2774,Apuração!A:A,Apuração!B:B),0)</f>
        <v>0</v>
      </c>
      <c r="BQ2774" s="53">
        <f ca="1">IF(BK2774&gt;=BO2774,0,_xlfn.XLOOKUP(F2774,Apuração!A:A,Apuração!B:B)*(BO2774 + (1/_xlfn.XLOOKUP(F2774,Apuração!A:A,Apuração!B:B)) - BK2774))</f>
        <v>0</v>
      </c>
      <c r="BR2774" s="85">
        <f t="shared" ca="1" si="3337"/>
        <v>0</v>
      </c>
      <c r="BS2774" s="53">
        <f ca="1">IFERROR((_xlfn.XLOOKUP(F2774,Apuração!A:A,Apuração!C:C)+1)/_xlfn.XLOOKUP(F2774,Apuração!A:A,Apuração!B:B),0)</f>
        <v>0.14285714285714285</v>
      </c>
    </row>
    <row r="2775" spans="1:71" ht="25.95" customHeight="1" x14ac:dyDescent="0.3">
      <c r="C2775" s="120"/>
      <c r="D2775" s="120"/>
      <c r="BK2775" s="124"/>
    </row>
    <row r="2776" spans="1:71" ht="25.95" customHeight="1" x14ac:dyDescent="0.3">
      <c r="L2776" s="120"/>
      <c r="AH2776" s="120"/>
    </row>
    <row r="2777" spans="1:71" ht="25.95" customHeight="1" x14ac:dyDescent="0.3">
      <c r="F2777" s="120"/>
    </row>
    <row r="2778" spans="1:71" ht="25.95" customHeight="1" x14ac:dyDescent="0.3">
      <c r="L2778" s="120"/>
    </row>
    <row r="2779" spans="1:71" ht="25.95" customHeight="1" x14ac:dyDescent="0.3">
      <c r="AG2779" s="120"/>
    </row>
  </sheetData>
  <autoFilter ref="A1:BS2774" xr:uid="{7D5AC724-BB18-4B8A-B642-0581FC14C1A2}">
    <filterColumn colId="0">
      <filters>
        <filter val="COMPORTAMENTO"/>
      </filters>
    </filterColumn>
    <filterColumn colId="2">
      <filters>
        <filter val="GO"/>
      </filters>
    </filterColumn>
    <filterColumn colId="3">
      <filters>
        <filter val="TODAS"/>
      </filters>
    </filterColumn>
  </autoFilter>
  <sortState xmlns:xlrd2="http://schemas.microsoft.com/office/spreadsheetml/2017/richdata2" ref="A52:AE175">
    <sortCondition descending="1" ref="N60:N605"/>
  </sortState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982E-1F43-4DF7-AD3B-232A830559CD}">
  <dimension ref="A2:S16"/>
  <sheetViews>
    <sheetView workbookViewId="0">
      <selection activeCell="I24" sqref="I24"/>
    </sheetView>
  </sheetViews>
  <sheetFormatPr defaultRowHeight="14.4" x14ac:dyDescent="0.3"/>
  <cols>
    <col min="1" max="1" width="15.5546875" customWidth="1"/>
    <col min="2" max="4" width="10.5546875" customWidth="1"/>
    <col min="5" max="5" width="2.5546875" customWidth="1"/>
    <col min="6" max="6" width="15.5546875" customWidth="1"/>
    <col min="7" max="9" width="10.5546875" customWidth="1"/>
    <col min="10" max="10" width="2.5546875" customWidth="1"/>
    <col min="11" max="11" width="15.5546875" customWidth="1"/>
    <col min="12" max="14" width="10.5546875" customWidth="1"/>
    <col min="15" max="15" width="2.5546875" customWidth="1"/>
    <col min="16" max="16" width="15.5546875" customWidth="1"/>
    <col min="17" max="19" width="10.5546875" customWidth="1"/>
  </cols>
  <sheetData>
    <row r="2" spans="1:19" x14ac:dyDescent="0.3">
      <c r="A2" s="135" t="s">
        <v>35</v>
      </c>
      <c r="B2" s="135" t="s">
        <v>5</v>
      </c>
      <c r="C2" s="135" t="s">
        <v>244</v>
      </c>
      <c r="D2" s="135" t="s">
        <v>245</v>
      </c>
      <c r="F2" s="135" t="s">
        <v>97</v>
      </c>
      <c r="G2" s="135" t="s">
        <v>5</v>
      </c>
      <c r="H2" s="135" t="s">
        <v>244</v>
      </c>
      <c r="I2" s="135" t="s">
        <v>245</v>
      </c>
      <c r="K2" s="135" t="s">
        <v>214</v>
      </c>
      <c r="L2" s="135" t="s">
        <v>5</v>
      </c>
      <c r="M2" s="135" t="s">
        <v>244</v>
      </c>
      <c r="N2" s="135" t="s">
        <v>245</v>
      </c>
      <c r="P2" s="135" t="s">
        <v>221</v>
      </c>
      <c r="Q2" s="135" t="s">
        <v>5</v>
      </c>
      <c r="R2" s="135" t="s">
        <v>244</v>
      </c>
      <c r="S2" s="135" t="s">
        <v>245</v>
      </c>
    </row>
    <row r="3" spans="1:19" x14ac:dyDescent="0.3">
      <c r="A3" t="s">
        <v>246</v>
      </c>
      <c r="B3">
        <f>COUNTIFS('Previsto x realizado'!$A:$A,A3,'Previsto x realizado'!$G:$G,"Iniciada",'Previsto x realizado'!$C:$C,Checklist!$A$2,'Previsto x realizado'!$D:$D,"TODAS",'Previsto x realizado'!$E:$E,"Em execução na distribuidora")</f>
        <v>10</v>
      </c>
      <c r="C3">
        <f>COUNTIFS('Previsto x realizado'!$A:$A,A3,'Previsto x realizado'!$C:$C,$A$2,'Previsto x realizado'!$D:$D,"TODAS",'Previsto x realizado'!$G:$G,"iniciada",'Previsto x realizado'!$AK:$AK,"&gt;=0")</f>
        <v>0</v>
      </c>
      <c r="D3" s="53">
        <f>C3/B3</f>
        <v>0</v>
      </c>
      <c r="F3" t="s">
        <v>246</v>
      </c>
      <c r="G3">
        <f>COUNTIFS('Previsto x realizado'!$A:$A,F3,'Previsto x realizado'!$G:$G,"Iniciada",'Previsto x realizado'!$D:$D,"TODAS",'Previsto x realizado'!$C:$C,Checklist!$F$2,'Previsto x realizado'!$E:$E,"Em execução na distribuidora")</f>
        <v>13</v>
      </c>
      <c r="H3">
        <f>COUNTIFS('Previsto x realizado'!$A:$A,F3,'Previsto x realizado'!$C:$C,$F$2,'Previsto x realizado'!$D:$D,"TODAS",'Previsto x realizado'!$G:$G,"iniciada",'Previsto x realizado'!$AK:$AK,"&gt;=0")</f>
        <v>13</v>
      </c>
      <c r="I3" s="53">
        <f>H3/G3</f>
        <v>1</v>
      </c>
      <c r="K3" t="s">
        <v>246</v>
      </c>
      <c r="L3">
        <f>COUNTIFS('Previsto x realizado'!$A:$A,K3,'Previsto x realizado'!$G:$G,"Iniciada",'Previsto x realizado'!$D:$D,"TODAS",'Previsto x realizado'!$C:$C,Checklist!$K$2,'Previsto x realizado'!$E:$E,"Em execução na distribuidora")</f>
        <v>11</v>
      </c>
      <c r="M3">
        <f>COUNTIFS('Previsto x realizado'!$A:$A,K3,'Previsto x realizado'!$C:$C,$K$2,'Previsto x realizado'!$D:$D,"TODAS",'Previsto x realizado'!$G:$G,"iniciada",'Previsto x realizado'!$AK:$AK,"&gt;=0")</f>
        <v>0</v>
      </c>
      <c r="N3" s="53">
        <f>M3/L3</f>
        <v>0</v>
      </c>
      <c r="P3" t="s">
        <v>246</v>
      </c>
      <c r="Q3">
        <f>COUNTIFS('Previsto x realizado'!$A:$A,P3,'Previsto x realizado'!$D:$D,"TODAS",'Previsto x realizado'!$G:$G,"Iniciada",'Previsto x realizado'!$C:$C,Checklist!$P$2,'Previsto x realizado'!$E:$E,"Em execução na distribuidora")</f>
        <v>13</v>
      </c>
      <c r="R3">
        <f>COUNTIFS('Previsto x realizado'!$A:$A,P3,'Previsto x realizado'!$D:$D,"TODAS",'Previsto x realizado'!$C:$C,$P$2,'Previsto x realizado'!$G:$G,"iniciada",'Previsto x realizado'!$AK:$AK,"&gt;=0")</f>
        <v>13</v>
      </c>
      <c r="S3" s="53">
        <f>R3/Q3</f>
        <v>1</v>
      </c>
    </row>
    <row r="4" spans="1:19" x14ac:dyDescent="0.3">
      <c r="A4" t="s">
        <v>247</v>
      </c>
      <c r="B4">
        <f>COUNTIFS('Previsto x realizado'!$A:$A,A4,'Previsto x realizado'!$G:$G,"Iniciada",'Previsto x realizado'!$D:$D,"TODAS",'Previsto x realizado'!$C:$C,Checklist!$A$2,'Previsto x realizado'!$E:$E,"Em execução na distribuidora")</f>
        <v>2</v>
      </c>
      <c r="C4">
        <f>COUNTIFS('Previsto x realizado'!$A:$A,A4,'Previsto x realizado'!$C:$C,$A$2,'Previsto x realizado'!$D:$D,"TODAS",'Previsto x realizado'!$G:$G,"iniciada",'Previsto x realizado'!$AK:$AK,"&gt;=0")</f>
        <v>2</v>
      </c>
      <c r="D4" s="53">
        <f t="shared" ref="D4:D7" si="0">C4/B4</f>
        <v>1</v>
      </c>
      <c r="F4" t="s">
        <v>247</v>
      </c>
      <c r="G4">
        <f>COUNTIFS('Previsto x realizado'!$A:$A,F4,'Previsto x realizado'!$G:$G,"Iniciada",'Previsto x realizado'!$D:$D,"TODAS",'Previsto x realizado'!$C:$C,Checklist!$F$2,'Previsto x realizado'!$E:$E,"Em execução na distribuidora")</f>
        <v>2</v>
      </c>
      <c r="H4">
        <f>COUNTIFS('Previsto x realizado'!$A:$A,F4,'Previsto x realizado'!$C:$C,$F$2,'Previsto x realizado'!$D:$D,"TODAS",'Previsto x realizado'!$G:$G,"iniciada",'Previsto x realizado'!$AK:$AK,"&gt;=0")</f>
        <v>0</v>
      </c>
      <c r="I4" s="53">
        <f t="shared" ref="I4:I7" si="1">H4/G4</f>
        <v>0</v>
      </c>
      <c r="K4" t="s">
        <v>247</v>
      </c>
      <c r="L4">
        <f>COUNTIFS('Previsto x realizado'!$A:$A,K4,'Previsto x realizado'!$G:$G,"Iniciada",'Previsto x realizado'!$D:$D,"TODAS",'Previsto x realizado'!$C:$C,Checklist!$K$2,'Previsto x realizado'!$E:$E,"Em execução na distribuidora")</f>
        <v>4</v>
      </c>
      <c r="M4">
        <f>COUNTIFS('Previsto x realizado'!$A:$A,K4,'Previsto x realizado'!$C:$C,$K$2,'Previsto x realizado'!$D:$D,"TODAS",'Previsto x realizado'!$G:$G,"iniciada",'Previsto x realizado'!$AK:$AK,"&gt;=0")</f>
        <v>0</v>
      </c>
      <c r="N4" s="53">
        <f t="shared" ref="N4:N7" si="2">M4/L4</f>
        <v>0</v>
      </c>
      <c r="P4" t="s">
        <v>247</v>
      </c>
      <c r="Q4">
        <f>COUNTIFS('Previsto x realizado'!$A:$A,P4,'Previsto x realizado'!$D:$D,"TODAS",'Previsto x realizado'!$G:$G,"Iniciada",'Previsto x realizado'!$C:$C,Checklist!$P$2,'Previsto x realizado'!$E:$E,"Em execução na distribuidora")</f>
        <v>2</v>
      </c>
      <c r="R4">
        <f>COUNTIFS('Previsto x realizado'!$A:$A,P4,'Previsto x realizado'!$D:$D,"TODAS",'Previsto x realizado'!$C:$C,$P$2,'Previsto x realizado'!$G:$G,"iniciada",'Previsto x realizado'!$AK:$AK,"&gt;=0")</f>
        <v>2</v>
      </c>
      <c r="S4" s="53">
        <f t="shared" ref="S4:S7" si="3">R4/Q4</f>
        <v>1</v>
      </c>
    </row>
    <row r="5" spans="1:19" x14ac:dyDescent="0.3">
      <c r="A5" t="s">
        <v>248</v>
      </c>
      <c r="B5">
        <f>COUNTIFS('Previsto x realizado'!$A:$A,A5,'Previsto x realizado'!$G:$G,"Iniciada",'Previsto x realizado'!$D:$D,"TODAS",'Previsto x realizado'!$C:$C,Checklist!$A$2,'Previsto x realizado'!$E:$E,"Em execução na distribuidora")</f>
        <v>6</v>
      </c>
      <c r="C5">
        <f>COUNTIFS('Previsto x realizado'!$A:$A,A5,'Previsto x realizado'!$C:$C,$A$2,'Previsto x realizado'!$D:$D,"TODAS",'Previsto x realizado'!$G:$G,"iniciada",'Previsto x realizado'!$AK:$AK,"&gt;=0")</f>
        <v>6</v>
      </c>
      <c r="D5" s="53">
        <f t="shared" si="0"/>
        <v>1</v>
      </c>
      <c r="F5" t="s">
        <v>248</v>
      </c>
      <c r="G5">
        <f>COUNTIFS('Previsto x realizado'!$A:$A,F5,'Previsto x realizado'!$G:$G,"Iniciada",'Previsto x realizado'!$D:$D,"TODAS",'Previsto x realizado'!$C:$C,Checklist!$F$2,'Previsto x realizado'!$E:$E,"Em execução na distribuidora")</f>
        <v>6</v>
      </c>
      <c r="H5">
        <f>COUNTIFS('Previsto x realizado'!$A:$A,F5,'Previsto x realizado'!$C:$C,$F$2,'Previsto x realizado'!$D:$D,"TODAS",'Previsto x realizado'!$G:$G,"iniciada",'Previsto x realizado'!$AK:$AK,"&gt;=0")</f>
        <v>6</v>
      </c>
      <c r="I5" s="53">
        <f t="shared" si="1"/>
        <v>1</v>
      </c>
      <c r="K5" t="s">
        <v>248</v>
      </c>
      <c r="L5">
        <f>COUNTIFS('Previsto x realizado'!$A:$A,K5,'Previsto x realizado'!$G:$G,"Iniciada",'Previsto x realizado'!$D:$D,"TODAS",'Previsto x realizado'!$C:$C,Checklist!$K$2,'Previsto x realizado'!$E:$E,"Em execução na distribuidora")</f>
        <v>6</v>
      </c>
      <c r="M5">
        <f>COUNTIFS('Previsto x realizado'!$A:$A,K5,'Previsto x realizado'!$C:$C,$K$2,'Previsto x realizado'!$D:$D,"TODAS",'Previsto x realizado'!$G:$G,"iniciada",'Previsto x realizado'!$AK:$AK,"&gt;=0")</f>
        <v>0</v>
      </c>
      <c r="N5" s="53">
        <f t="shared" si="2"/>
        <v>0</v>
      </c>
      <c r="P5" t="s">
        <v>248</v>
      </c>
      <c r="Q5">
        <f>COUNTIFS('Previsto x realizado'!$A:$A,P5,'Previsto x realizado'!$D:$D,"TODAS",'Previsto x realizado'!$G:$G,"Iniciada",'Previsto x realizado'!$C:$C,Checklist!$P$2,'Previsto x realizado'!$E:$E,"Em execução na distribuidora")</f>
        <v>6</v>
      </c>
      <c r="R5">
        <f>COUNTIFS('Previsto x realizado'!$A:$A,P5,'Previsto x realizado'!$D:$D,"TODAS",'Previsto x realizado'!$C:$C,$P$2,'Previsto x realizado'!$G:$G,"iniciada",'Previsto x realizado'!$AK:$AK,"&gt;=0")</f>
        <v>6</v>
      </c>
      <c r="S5" s="53">
        <f t="shared" si="3"/>
        <v>1</v>
      </c>
    </row>
    <row r="6" spans="1:19" x14ac:dyDescent="0.3">
      <c r="A6" t="s">
        <v>249</v>
      </c>
      <c r="B6">
        <f>COUNTIFS('Previsto x realizado'!$A:$A,A6,'Previsto x realizado'!$G:$G,"Iniciada",'Previsto x realizado'!$D:$D,"TODAS",'Previsto x realizado'!$C:$C,Checklist!$A$2,'Previsto x realizado'!$E:$E,"Em execução na distribuidora")</f>
        <v>12</v>
      </c>
      <c r="C6">
        <f>COUNTIFS('Previsto x realizado'!$A:$A,A6,'Previsto x realizado'!$C:$C,$A$2,'Previsto x realizado'!$D:$D,"TODAS",'Previsto x realizado'!$G:$G,"iniciada",'Previsto x realizado'!$AK:$AK,"&gt;=0")</f>
        <v>0</v>
      </c>
      <c r="D6" s="53">
        <f t="shared" si="0"/>
        <v>0</v>
      </c>
      <c r="F6" t="s">
        <v>249</v>
      </c>
      <c r="G6">
        <f>COUNTIFS('Previsto x realizado'!$A:$A,F6,'Previsto x realizado'!$G:$G,"Iniciada",'Previsto x realizado'!$D:$D,"TODAS",'Previsto x realizado'!$C:$C,Checklist!$F$2,'Previsto x realizado'!$E:$E,"Em execução na distribuidora")</f>
        <v>14</v>
      </c>
      <c r="H6">
        <f>COUNTIFS('Previsto x realizado'!$A:$A,F6,'Previsto x realizado'!$C:$C,$F$2,'Previsto x realizado'!$D:$D,"TODAS",'Previsto x realizado'!$G:$G,"iniciada",'Previsto x realizado'!$AK:$AK,"&gt;=0")</f>
        <v>12</v>
      </c>
      <c r="I6" s="53">
        <f t="shared" si="1"/>
        <v>0.8571428571428571</v>
      </c>
      <c r="K6" t="s">
        <v>249</v>
      </c>
      <c r="L6">
        <f>COUNTIFS('Previsto x realizado'!$A:$A,K6,'Previsto x realizado'!$G:$G,"Iniciada",'Previsto x realizado'!$D:$D,"TODAS",'Previsto x realizado'!$C:$C,Checklist!$K$2,'Previsto x realizado'!$E:$E,"Em execução na distribuidora")</f>
        <v>12</v>
      </c>
      <c r="M6">
        <f>COUNTIFS('Previsto x realizado'!$A:$A,K6,'Previsto x realizado'!$C:$C,$K$2,'Previsto x realizado'!$D:$D,"TODAS",'Previsto x realizado'!$G:$G,"iniciada",'Previsto x realizado'!$AK:$AK,"&gt;=0")</f>
        <v>0</v>
      </c>
      <c r="N6" s="53">
        <f t="shared" si="2"/>
        <v>0</v>
      </c>
      <c r="P6" t="s">
        <v>249</v>
      </c>
      <c r="Q6">
        <f>COUNTIFS('Previsto x realizado'!$A:$A,P6,'Previsto x realizado'!$D:$D,"TODAS",'Previsto x realizado'!$G:$G,"Iniciada",'Previsto x realizado'!$C:$C,Checklist!$P$2,'Previsto x realizado'!$E:$E,"Em execução na distribuidora")</f>
        <v>6</v>
      </c>
      <c r="R6">
        <f>COUNTIFS('Previsto x realizado'!$A:$A,P6,'Previsto x realizado'!$D:$D,"TODAS",'Previsto x realizado'!$C:$C,$P$2,'Previsto x realizado'!$G:$G,"iniciada",'Previsto x realizado'!$AK:$AK,"&gt;=0")</f>
        <v>0</v>
      </c>
      <c r="S6" s="53">
        <f t="shared" si="3"/>
        <v>0</v>
      </c>
    </row>
    <row r="7" spans="1:19" x14ac:dyDescent="0.3">
      <c r="A7" t="s">
        <v>250</v>
      </c>
      <c r="B7">
        <f>SUM(B3:B6)</f>
        <v>30</v>
      </c>
      <c r="C7">
        <f>SUM(C3:C6)</f>
        <v>8</v>
      </c>
      <c r="D7" s="53">
        <f t="shared" si="0"/>
        <v>0.26666666666666666</v>
      </c>
      <c r="F7" t="s">
        <v>250</v>
      </c>
      <c r="G7">
        <f>SUM(G3:G6)</f>
        <v>35</v>
      </c>
      <c r="H7">
        <f>SUM(H3:H6)</f>
        <v>31</v>
      </c>
      <c r="I7" s="53">
        <f t="shared" si="1"/>
        <v>0.88571428571428568</v>
      </c>
      <c r="K7" t="s">
        <v>250</v>
      </c>
      <c r="L7">
        <f>SUM(L3:L6)</f>
        <v>33</v>
      </c>
      <c r="M7">
        <f>SUM(M3:M6)</f>
        <v>0</v>
      </c>
      <c r="N7" s="53">
        <f t="shared" si="2"/>
        <v>0</v>
      </c>
      <c r="P7" t="s">
        <v>250</v>
      </c>
      <c r="Q7">
        <f>SUM(Q3:Q6)</f>
        <v>27</v>
      </c>
      <c r="R7">
        <f>SUM(R3:R6)</f>
        <v>21</v>
      </c>
      <c r="S7" s="53">
        <f t="shared" si="3"/>
        <v>0.77777777777777779</v>
      </c>
    </row>
    <row r="8" spans="1:19" hidden="1" x14ac:dyDescent="0.3">
      <c r="N8">
        <v>100</v>
      </c>
    </row>
    <row r="10" spans="1:19" x14ac:dyDescent="0.3">
      <c r="A10" s="135" t="s">
        <v>95</v>
      </c>
      <c r="B10" s="135" t="s">
        <v>5</v>
      </c>
      <c r="C10" s="135" t="s">
        <v>244</v>
      </c>
      <c r="D10" s="135" t="s">
        <v>245</v>
      </c>
      <c r="F10" s="135" t="s">
        <v>209</v>
      </c>
      <c r="G10" s="135" t="s">
        <v>5</v>
      </c>
      <c r="H10" s="135" t="s">
        <v>244</v>
      </c>
      <c r="I10" s="135" t="s">
        <v>245</v>
      </c>
      <c r="K10" s="135" t="s">
        <v>216</v>
      </c>
      <c r="L10" s="135" t="s">
        <v>5</v>
      </c>
      <c r="M10" s="135" t="s">
        <v>244</v>
      </c>
      <c r="N10" s="135" t="s">
        <v>245</v>
      </c>
    </row>
    <row r="11" spans="1:19" x14ac:dyDescent="0.3">
      <c r="A11" t="s">
        <v>246</v>
      </c>
      <c r="B11">
        <f>COUNTIFS('Previsto x realizado'!$A:$A,A11,'Previsto x realizado'!$G:$G,"Iniciada",'Previsto x realizado'!$D:$D,"TODAS",'Previsto x realizado'!$C:$C,Checklist!$A$10,'Previsto x realizado'!$E:$E,"Em execução na distribuidora")</f>
        <v>13</v>
      </c>
      <c r="C11">
        <f>COUNTIFS('Previsto x realizado'!$A:$A,A11,'Previsto x realizado'!$C:$C,$A$10,'Previsto x realizado'!$D:$D,"TODAS",'Previsto x realizado'!$G:$G,"iniciada",'Previsto x realizado'!$AK:$AK,"&gt;=0")</f>
        <v>0</v>
      </c>
      <c r="D11" s="53">
        <f>C11/B11</f>
        <v>0</v>
      </c>
      <c r="F11" t="s">
        <v>246</v>
      </c>
      <c r="G11">
        <f>COUNTIFS('Previsto x realizado'!$A:$A,F11,'Previsto x realizado'!$G:$G,"Iniciada",'Previsto x realizado'!$D:$D,"TODAS",'Previsto x realizado'!$C:$C,Checklist!$F$10,'Previsto x realizado'!$E:$E,"Em execução na distribuidora")</f>
        <v>11</v>
      </c>
      <c r="H11">
        <f>COUNTIFS('Previsto x realizado'!$A:$A,F11,'Previsto x realizado'!$C:$C,$F$10,'Previsto x realizado'!$D:$D,"TODAS",'Previsto x realizado'!$G:$G,"iniciada",'Previsto x realizado'!$AK:$AK,"&gt;=0")</f>
        <v>5</v>
      </c>
      <c r="I11" s="53">
        <f>H11/G11</f>
        <v>0.45454545454545453</v>
      </c>
      <c r="K11" t="s">
        <v>246</v>
      </c>
      <c r="L11">
        <f>COUNTIFS('Previsto x realizado'!$A:$A,K11,'Previsto x realizado'!$D:$D,"TODAS",'Previsto x realizado'!$G:$G,"Iniciada",'Previsto x realizado'!$C:$C,Checklist!$K$10,'Previsto x realizado'!$E:$E,"Em execução na distribuidora")</f>
        <v>10</v>
      </c>
      <c r="M11">
        <f>COUNTIFS('Previsto x realizado'!$A:$A,K11,'Previsto x realizado'!$D:$D,"TODAS",'Previsto x realizado'!$C:$C,$K$10,'Previsto x realizado'!$G:$G,"iniciada",'Previsto x realizado'!$AK:$AK,"&gt;=0")</f>
        <v>0</v>
      </c>
      <c r="N11" s="53">
        <f>M11/L11</f>
        <v>0</v>
      </c>
    </row>
    <row r="12" spans="1:19" x14ac:dyDescent="0.3">
      <c r="A12" t="s">
        <v>247</v>
      </c>
      <c r="B12">
        <f>COUNTIFS('Previsto x realizado'!$A:$A,A12,'Previsto x realizado'!$G:$G,"Iniciada",'Previsto x realizado'!$C:$C,Checklist!$A$10,'Previsto x realizado'!$E:$E,"Em execução na distribuidora")</f>
        <v>4</v>
      </c>
      <c r="C12">
        <f>COUNTIFS('Previsto x realizado'!$A:$A,A12,'Previsto x realizado'!$C:$C,$A$10,'Previsto x realizado'!$G:$G,"iniciada",'Previsto x realizado'!$AK:$AK,"&gt;=0")</f>
        <v>0</v>
      </c>
      <c r="D12" s="53">
        <f t="shared" ref="D12:D15" si="4">C12/B12</f>
        <v>0</v>
      </c>
      <c r="F12" t="s">
        <v>247</v>
      </c>
      <c r="G12">
        <f>COUNTIFS('Previsto x realizado'!$A:$A,F12,'Previsto x realizado'!$G:$G,"Iniciada",'Previsto x realizado'!$D:$D,"TODAS",'Previsto x realizado'!$C:$C,Checklist!$F$10,'Previsto x realizado'!$E:$E,"Em execução na distribuidora")</f>
        <v>2</v>
      </c>
      <c r="H12">
        <f>COUNTIFS('Previsto x realizado'!$A:$A,F12,'Previsto x realizado'!$C:$C,$F$10,'Previsto x realizado'!$D:$D,"TODAS",'Previsto x realizado'!$G:$G,"iniciada",'Previsto x realizado'!$AK:$AK,"&gt;=0")</f>
        <v>0</v>
      </c>
      <c r="I12" s="53">
        <f t="shared" ref="I12:I15" si="5">H12/G12</f>
        <v>0</v>
      </c>
      <c r="K12" t="s">
        <v>247</v>
      </c>
      <c r="L12">
        <f>COUNTIFS('Previsto x realizado'!$A:$A,K12,'Previsto x realizado'!$D:$D,"TODAS",'Previsto x realizado'!$G:$G,"Iniciada",'Previsto x realizado'!$C:$C,Checklist!$K$10,'Previsto x realizado'!$E:$E,"Em execução na distribuidora")</f>
        <v>3</v>
      </c>
      <c r="M12">
        <f>COUNTIFS('Previsto x realizado'!$A:$A,K12,'Previsto x realizado'!$D:$D,"TODAS",'Previsto x realizado'!$C:$C,$K$10,'Previsto x realizado'!$G:$G,"iniciada",'Previsto x realizado'!$AK:$AK,"&gt;=0")</f>
        <v>3</v>
      </c>
      <c r="N12" s="53">
        <f t="shared" ref="N12:N14" si="6">M12/L12</f>
        <v>1</v>
      </c>
    </row>
    <row r="13" spans="1:19" x14ac:dyDescent="0.3">
      <c r="A13" t="s">
        <v>248</v>
      </c>
      <c r="B13">
        <f>COUNTIFS('Previsto x realizado'!$A:$A,A13,'Previsto x realizado'!$G:$G,"Iniciada",'Previsto x realizado'!$C:$C,Checklist!$A$10,'Previsto x realizado'!$E:$E,"Em execução na distribuidora")</f>
        <v>6</v>
      </c>
      <c r="C13">
        <f>COUNTIFS('Previsto x realizado'!$A:$A,A13,'Previsto x realizado'!$C:$C,$A$10,'Previsto x realizado'!$G:$G,"iniciada",'Previsto x realizado'!$AK:$AK,"&gt;=0")</f>
        <v>6</v>
      </c>
      <c r="D13" s="53">
        <f t="shared" si="4"/>
        <v>1</v>
      </c>
      <c r="F13" t="s">
        <v>248</v>
      </c>
      <c r="G13">
        <f>COUNTIFS('Previsto x realizado'!$A:$A,F13,'Previsto x realizado'!$G:$G,"Iniciada",'Previsto x realizado'!$D:$D,"TODAS",'Previsto x realizado'!$C:$C,Checklist!$F$10,'Previsto x realizado'!$E:$E,"Em execução na distribuidora")</f>
        <v>6</v>
      </c>
      <c r="H13">
        <f>COUNTIFS('Previsto x realizado'!$A:$A,F13,'Previsto x realizado'!$C:$C,$F$10,'Previsto x realizado'!$D:$D,"TODAS",'Previsto x realizado'!$G:$G,"iniciada",'Previsto x realizado'!$AK:$AK,"&gt;=0")</f>
        <v>4</v>
      </c>
      <c r="I13" s="53">
        <f t="shared" si="5"/>
        <v>0.66666666666666663</v>
      </c>
      <c r="K13" t="s">
        <v>248</v>
      </c>
      <c r="L13">
        <f>COUNTIFS('Previsto x realizado'!$A:$A,K13,'Previsto x realizado'!$D:$D,"TODAS",'Previsto x realizado'!$G:$G,"Iniciada",'Previsto x realizado'!$C:$C,Checklist!$K$10,'Previsto x realizado'!$E:$E,"Em execução na distribuidora")</f>
        <v>6</v>
      </c>
      <c r="M13">
        <f>COUNTIFS('Previsto x realizado'!$A:$A,K13,'Previsto x realizado'!$D:$D,"TODAS",'Previsto x realizado'!$C:$C,$K$10,'Previsto x realizado'!$G:$G,"iniciada",'Previsto x realizado'!$AK:$AK,"&gt;=0")</f>
        <v>0</v>
      </c>
      <c r="N13" s="53">
        <f t="shared" si="6"/>
        <v>0</v>
      </c>
    </row>
    <row r="14" spans="1:19" x14ac:dyDescent="0.3">
      <c r="A14" t="s">
        <v>249</v>
      </c>
      <c r="B14">
        <f>COUNTIFS('Previsto x realizado'!$A:$A,A14,'Previsto x realizado'!$G:$G,"Iniciada",'Previsto x realizado'!$C:$C,Checklist!$A$10,'Previsto x realizado'!$E:$E,"Em execução na distribuidora")</f>
        <v>8</v>
      </c>
      <c r="C14">
        <f>COUNTIFS('Previsto x realizado'!$A:$A,A14,'Previsto x realizado'!$C:$C,$A$10,'Previsto x realizado'!$G:$G,"iniciada",'Previsto x realizado'!$AK:$AK,"&gt;=0")</f>
        <v>0</v>
      </c>
      <c r="D14" s="53">
        <f t="shared" si="4"/>
        <v>0</v>
      </c>
      <c r="F14" t="s">
        <v>249</v>
      </c>
      <c r="G14">
        <f>COUNTIFS('Previsto x realizado'!$A:$A,F14,'Previsto x realizado'!$G:$G,"Iniciada",'Previsto x realizado'!$D:$D,"TODAS",'Previsto x realizado'!$C:$C,Checklist!$F$10,'Previsto x realizado'!$E:$E,"Em execução na distribuidora")</f>
        <v>12</v>
      </c>
      <c r="H14">
        <f>COUNTIFS('Previsto x realizado'!$A:$A,F14,'Previsto x realizado'!$C:$C,$F$10,'Previsto x realizado'!$D:$D,"TODAS",'Previsto x realizado'!$G:$G,"iniciada",'Previsto x realizado'!$AK:$AK,"&gt;=0")</f>
        <v>0</v>
      </c>
      <c r="I14" s="53">
        <f t="shared" si="5"/>
        <v>0</v>
      </c>
      <c r="K14" t="s">
        <v>249</v>
      </c>
      <c r="L14">
        <f>COUNTIFS('Previsto x realizado'!$A:$A,K14,'Previsto x realizado'!$D:$D,"TODAS",'Previsto x realizado'!$G:$G,"Iniciada",'Previsto x realizado'!$C:$C,Checklist!$K$10,'Previsto x realizado'!$E:$E,"Em execução na distribuidora")</f>
        <v>10</v>
      </c>
      <c r="M14">
        <f>COUNTIFS('Previsto x realizado'!$A:$A,K14,'Previsto x realizado'!$D:$D,"TODAS",'Previsto x realizado'!$C:$C,$K$10,'Previsto x realizado'!$G:$G,"iniciada",'Previsto x realizado'!$AK:$AK,"&gt;=0")</f>
        <v>0</v>
      </c>
      <c r="N14" s="53">
        <f t="shared" si="6"/>
        <v>0</v>
      </c>
    </row>
    <row r="15" spans="1:19" x14ac:dyDescent="0.3">
      <c r="A15" t="s">
        <v>250</v>
      </c>
      <c r="B15">
        <f>SUM(B11:B14)</f>
        <v>31</v>
      </c>
      <c r="C15">
        <f>SUM(C11:C14)</f>
        <v>6</v>
      </c>
      <c r="D15" s="53">
        <f t="shared" si="4"/>
        <v>0.19354838709677419</v>
      </c>
      <c r="F15" t="s">
        <v>250</v>
      </c>
      <c r="G15">
        <f>SUM(G11:G14)</f>
        <v>31</v>
      </c>
      <c r="H15">
        <f>SUM(H11:H14)</f>
        <v>9</v>
      </c>
      <c r="I15" s="53">
        <f t="shared" si="5"/>
        <v>0.29032258064516131</v>
      </c>
      <c r="K15" t="s">
        <v>250</v>
      </c>
      <c r="L15">
        <f>SUM(L11:L14)</f>
        <v>29</v>
      </c>
      <c r="M15">
        <f>SUM(M11:M14)</f>
        <v>3</v>
      </c>
      <c r="N15" s="53">
        <f>M15/L15</f>
        <v>0.10344827586206896</v>
      </c>
    </row>
    <row r="16" spans="1:19" ht="19.5" hidden="1" customHeight="1" x14ac:dyDescent="0.3">
      <c r="I16">
        <v>100</v>
      </c>
      <c r="K16" t="s">
        <v>250</v>
      </c>
      <c r="L16">
        <v>1</v>
      </c>
      <c r="M16">
        <v>1</v>
      </c>
      <c r="N16" s="53">
        <f>M16/L16</f>
        <v>1</v>
      </c>
    </row>
  </sheetData>
  <conditionalFormatting sqref="D3:D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D1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:I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7EEE-35D6-48C0-87FB-7EC8DE5506E4}">
  <dimension ref="A1:F43"/>
  <sheetViews>
    <sheetView topLeftCell="A12" workbookViewId="0">
      <selection activeCell="A22" sqref="A22"/>
    </sheetView>
  </sheetViews>
  <sheetFormatPr defaultColWidth="22.5546875" defaultRowHeight="13.2" customHeight="1" x14ac:dyDescent="0.3"/>
  <cols>
    <col min="1" max="1" width="19.6640625" bestFit="1" customWidth="1"/>
    <col min="2" max="2" width="24.88671875" bestFit="1" customWidth="1"/>
    <col min="3" max="3" width="20.88671875" bestFit="1" customWidth="1"/>
    <col min="4" max="4" width="30.6640625" customWidth="1"/>
  </cols>
  <sheetData>
    <row r="1" spans="1:6" ht="27" customHeight="1" x14ac:dyDescent="0.3">
      <c r="A1" s="103" t="s">
        <v>5</v>
      </c>
      <c r="B1" s="104" t="s">
        <v>251</v>
      </c>
      <c r="C1" s="105" t="s">
        <v>252</v>
      </c>
      <c r="D1" s="106" t="s">
        <v>253</v>
      </c>
    </row>
    <row r="2" spans="1:6" ht="13.2" customHeight="1" x14ac:dyDescent="0.3">
      <c r="A2" s="16" t="s">
        <v>238</v>
      </c>
      <c r="B2" s="54">
        <v>12</v>
      </c>
      <c r="C2" s="99">
        <f ca="1">IF(MONTH(TODAY())=1,B2,IF(MONTH(TODAY())+B2-13&lt;0,0,MONTH(TODAY())+B2-13))</f>
        <v>5</v>
      </c>
      <c r="D2" s="102">
        <f ca="1">IF(MONTH(TODAY())&lt;=2,0,C2-1)</f>
        <v>4</v>
      </c>
      <c r="F2" t="s">
        <v>254</v>
      </c>
    </row>
    <row r="3" spans="1:6" ht="13.2" customHeight="1" x14ac:dyDescent="0.3">
      <c r="A3" s="16" t="s">
        <v>255</v>
      </c>
      <c r="B3" s="54">
        <v>8</v>
      </c>
      <c r="C3" s="99">
        <f t="shared" ref="C3:C17" ca="1" si="0">IF(MONTH(TODAY())=1,B3,IF(MONTH(TODAY())+B3-13&lt;0,0,MONTH(TODAY())+B3-13))</f>
        <v>1</v>
      </c>
      <c r="D3" s="102">
        <f ca="1">IF(MONTH(TODAY())&lt;=6,0,C3-1)</f>
        <v>0</v>
      </c>
    </row>
    <row r="4" spans="1:6" ht="13.2" customHeight="1" x14ac:dyDescent="0.3">
      <c r="A4" s="16" t="s">
        <v>256</v>
      </c>
      <c r="B4" s="54">
        <v>5</v>
      </c>
      <c r="C4" s="99">
        <f t="shared" ca="1" si="0"/>
        <v>0</v>
      </c>
      <c r="D4" s="102">
        <f ca="1">IF(MONTH(TODAY())&lt;=9,0,C4-1)</f>
        <v>0</v>
      </c>
    </row>
    <row r="5" spans="1:6" ht="13.2" customHeight="1" x14ac:dyDescent="0.3">
      <c r="A5" s="16" t="s">
        <v>257</v>
      </c>
      <c r="B5" s="54">
        <v>5</v>
      </c>
      <c r="C5" s="99">
        <f t="shared" ca="1" si="0"/>
        <v>0</v>
      </c>
      <c r="D5" s="102">
        <f ca="1">IF(MONTH(TODAY())&lt;=9,0,C5-1)</f>
        <v>0</v>
      </c>
    </row>
    <row r="6" spans="1:6" ht="13.2" customHeight="1" x14ac:dyDescent="0.3">
      <c r="A6" s="16" t="s">
        <v>258</v>
      </c>
      <c r="B6" s="54">
        <v>12</v>
      </c>
      <c r="C6" s="99">
        <f t="shared" ca="1" si="0"/>
        <v>5</v>
      </c>
      <c r="D6" s="102">
        <f t="shared" ref="D6:D13" ca="1" si="1">IF(MONTH(TODAY())&lt;=2,0,C6-1)</f>
        <v>4</v>
      </c>
    </row>
    <row r="7" spans="1:6" ht="13.2" customHeight="1" x14ac:dyDescent="0.3">
      <c r="A7" s="16" t="s">
        <v>259</v>
      </c>
      <c r="B7" s="54">
        <v>10</v>
      </c>
      <c r="C7" s="99">
        <f t="shared" ca="1" si="0"/>
        <v>3</v>
      </c>
      <c r="D7" s="102">
        <f ca="1">IF(MONTH(TODAY())&lt;=4,0,C7-1)</f>
        <v>2</v>
      </c>
    </row>
    <row r="8" spans="1:6" ht="13.2" customHeight="1" x14ac:dyDescent="0.3">
      <c r="A8" s="16" t="s">
        <v>236</v>
      </c>
      <c r="B8" s="54">
        <v>7</v>
      </c>
      <c r="C8" s="99">
        <f t="shared" ca="1" si="0"/>
        <v>0</v>
      </c>
      <c r="D8" s="102">
        <f ca="1">IF(MONTH(TODAY())&lt;=7,0,C8-1)</f>
        <v>0</v>
      </c>
    </row>
    <row r="9" spans="1:6" ht="13.2" customHeight="1" x14ac:dyDescent="0.3">
      <c r="A9" s="16" t="s">
        <v>260</v>
      </c>
      <c r="B9" s="54">
        <v>6</v>
      </c>
      <c r="C9" s="99">
        <f t="shared" ca="1" si="0"/>
        <v>0</v>
      </c>
      <c r="D9" s="102">
        <f ca="1">IF(MONTH(TODAY())&lt;=8,0,C9-1)</f>
        <v>0</v>
      </c>
    </row>
    <row r="10" spans="1:6" ht="13.2" customHeight="1" x14ac:dyDescent="0.3">
      <c r="A10" s="16" t="s">
        <v>261</v>
      </c>
      <c r="B10" s="54">
        <v>11</v>
      </c>
      <c r="C10" s="99">
        <f t="shared" ca="1" si="0"/>
        <v>4</v>
      </c>
      <c r="D10" s="102">
        <f ca="1">IF(MONTH(TODAY())&lt;=3,0,C10-1)</f>
        <v>3</v>
      </c>
    </row>
    <row r="11" spans="1:6" ht="13.2" customHeight="1" x14ac:dyDescent="0.3">
      <c r="A11" s="16" t="s">
        <v>262</v>
      </c>
      <c r="B11" s="54">
        <v>8</v>
      </c>
      <c r="C11" s="99">
        <f t="shared" ca="1" si="0"/>
        <v>1</v>
      </c>
      <c r="D11" s="102">
        <f ca="1">IF(MONTH(TODAY())&lt;=6,0,C11-1)</f>
        <v>0</v>
      </c>
    </row>
    <row r="12" spans="1:6" ht="13.2" customHeight="1" x14ac:dyDescent="0.3">
      <c r="A12" s="16" t="s">
        <v>263</v>
      </c>
      <c r="B12" s="54">
        <v>9</v>
      </c>
      <c r="C12" s="99">
        <f t="shared" ca="1" si="0"/>
        <v>2</v>
      </c>
      <c r="D12" s="102">
        <f ca="1">IF(MONTH(TODAY())&lt;=5,0,C12-1)</f>
        <v>1</v>
      </c>
    </row>
    <row r="13" spans="1:6" ht="13.2" customHeight="1" x14ac:dyDescent="0.3">
      <c r="A13" s="16" t="s">
        <v>264</v>
      </c>
      <c r="B13" s="54">
        <v>12</v>
      </c>
      <c r="C13" s="99">
        <f t="shared" ca="1" si="0"/>
        <v>5</v>
      </c>
      <c r="D13" s="102">
        <f t="shared" ca="1" si="1"/>
        <v>4</v>
      </c>
    </row>
    <row r="14" spans="1:6" ht="13.2" customHeight="1" x14ac:dyDescent="0.3">
      <c r="A14" s="16" t="s">
        <v>265</v>
      </c>
      <c r="B14" s="54">
        <v>2</v>
      </c>
      <c r="C14" s="99">
        <f t="shared" ca="1" si="0"/>
        <v>0</v>
      </c>
      <c r="D14" s="102">
        <f ca="1">IF(MONTH(TODAY())&lt;=12,0,C14-1)</f>
        <v>0</v>
      </c>
    </row>
    <row r="15" spans="1:6" ht="13.2" customHeight="1" x14ac:dyDescent="0.3">
      <c r="A15" s="16" t="s">
        <v>266</v>
      </c>
      <c r="B15" s="54">
        <v>4</v>
      </c>
      <c r="C15" s="99">
        <f t="shared" ca="1" si="0"/>
        <v>0</v>
      </c>
      <c r="D15" s="102">
        <f ca="1">IF(MONTH(TODAY())&lt;=10,0,C15-1)</f>
        <v>0</v>
      </c>
    </row>
    <row r="16" spans="1:6" ht="13.2" customHeight="1" x14ac:dyDescent="0.3">
      <c r="A16" s="16" t="s">
        <v>267</v>
      </c>
      <c r="B16" s="54">
        <v>11</v>
      </c>
      <c r="C16" s="99">
        <v>0</v>
      </c>
      <c r="D16" s="102">
        <v>0</v>
      </c>
    </row>
    <row r="17" spans="1:4" ht="13.2" customHeight="1" x14ac:dyDescent="0.3">
      <c r="A17" s="16" t="s">
        <v>268</v>
      </c>
      <c r="B17" s="54">
        <v>7</v>
      </c>
      <c r="C17" s="99">
        <f t="shared" ca="1" si="0"/>
        <v>0</v>
      </c>
      <c r="D17" s="102">
        <f ca="1">IF(MONTH(TODAY())&lt;=8,0,C17-1)</f>
        <v>0</v>
      </c>
    </row>
    <row r="18" spans="1:4" ht="13.2" customHeight="1" x14ac:dyDescent="0.3">
      <c r="A18" s="16" t="s">
        <v>269</v>
      </c>
      <c r="B18" s="54">
        <v>6</v>
      </c>
      <c r="C18" s="99">
        <f ca="1">IF(IF(MONTH(TODAY())=1,B18,IF(MONTH(TODAY())-1&gt;10,B18,IF(OR(MONTH(TODAY())=1,MONTH(TODAY())-1&gt;10),B18,MONTH(TODAY())+B18-11)))&lt;0,0,IF(MONTH(TODAY())=1,B18,IF(MONTH(TODAY())-1&gt;10,B18,IF(OR(MONTH(TODAY())=1,MONTH(TODAY())-1&gt;10),B18,MONTH(TODAY())+B18-11))))</f>
        <v>1</v>
      </c>
      <c r="D18" s="102">
        <f ca="1">IF(MONTH(TODAY())&lt;=6,0,C18-1)</f>
        <v>0</v>
      </c>
    </row>
    <row r="19" spans="1:4" ht="13.2" customHeight="1" x14ac:dyDescent="0.3">
      <c r="A19" s="16" t="s">
        <v>270</v>
      </c>
      <c r="B19" s="54">
        <v>5</v>
      </c>
      <c r="C19" s="99">
        <f ca="1">IF(IF(MONTH(TODAY())=1,B19,IF(MONTH(TODAY())-1&gt;10,B19,IF(OR(MONTH(TODAY())=1,MONTH(TODAY())-1&gt;10),B19,MONTH(TODAY())+B19-11)))&lt;0,0,IF(MONTH(TODAY())=1,B19,IF(MONTH(TODAY())-1&gt;10,B19,IF(OR(MONTH(TODAY())=1,MONTH(TODAY())-1&gt;10),B19,MONTH(TODAY())+B19-11))))</f>
        <v>0</v>
      </c>
      <c r="D19" s="102">
        <f ca="1">IF(MONTH(TODAY())&lt;=7,0,C19-1)</f>
        <v>0</v>
      </c>
    </row>
    <row r="20" spans="1:4" ht="13.2" customHeight="1" x14ac:dyDescent="0.3">
      <c r="A20" s="16" t="s">
        <v>271</v>
      </c>
      <c r="B20" s="54">
        <v>7</v>
      </c>
      <c r="C20" s="99">
        <f ca="1">IF(IF(MONTH(TODAY())=1,B20,IF(MONTH(TODAY())-1&gt;10,B20,IF(OR(MONTH(TODAY())=1,MONTH(TODAY())-1&gt;10),B20,MONTH(TODAY())+B20-11)))&lt;0,0,IF(MONTH(TODAY())=1,B20,IF(MONTH(TODAY())-1&gt;10,B20,IF(OR(MONTH(TODAY())=1,MONTH(TODAY())-1&gt;10),B20,MONTH(TODAY())+B20-11))))</f>
        <v>2</v>
      </c>
      <c r="D20" s="102">
        <f ca="1">IF(MONTH(TODAY())&lt;=5,0,C20-1)</f>
        <v>1</v>
      </c>
    </row>
    <row r="21" spans="1:4" ht="13.2" customHeight="1" x14ac:dyDescent="0.3">
      <c r="A21" s="16" t="s">
        <v>272</v>
      </c>
      <c r="B21" s="54">
        <v>3</v>
      </c>
      <c r="C21" s="99">
        <f ca="1">IF(AND(MONTH(TODAY())&gt;=6,MONTH(TODAY())&lt;=7),1,IF(AND(MONTH(TODAY())&gt;=8,MONTH(TODAY()))&lt;=10,2,IF(AND(MONTH(TODAY())&gt;=11,MONTH(TODAY())=1),3,0)))</f>
        <v>1</v>
      </c>
      <c r="D21" s="102">
        <f ca="1">IF(AND(MONTH(TODAY())&gt;=8,MONTH(TODAY()))&lt;=10,1,IF(MONTH(TODAY())&gt;=11,2,IF(MONTH(TODAY())=1,3,0)))</f>
        <v>0</v>
      </c>
    </row>
    <row r="22" spans="1:4" ht="13.2" customHeight="1" x14ac:dyDescent="0.3">
      <c r="A22" s="16" t="s">
        <v>226</v>
      </c>
      <c r="B22" s="54">
        <v>4</v>
      </c>
      <c r="C22" s="99">
        <v>2</v>
      </c>
      <c r="D22" s="102">
        <f ca="1">IF(AND(MONTH(TODAY())&gt;=5,MONTH(TODAY())&lt;=7),1,IF(AND(MONTH(TODAY())&gt;=8,MONTH(TODAY())&lt;=10),2,IF(MONTH(TODAY())&gt;=11,3,IF(MONTH(TODAY())=1,4,0))))</f>
        <v>1</v>
      </c>
    </row>
    <row r="23" spans="1:4" ht="13.2" customHeight="1" x14ac:dyDescent="0.3">
      <c r="A23" s="16" t="s">
        <v>273</v>
      </c>
      <c r="B23" s="54">
        <v>2</v>
      </c>
      <c r="C23" s="99">
        <f ca="1">IF(AND((MONTH(TODAY())&gt;=8),(MONTH(TODAY())&lt;=10)),1,IF(MONTH(TODAY())&gt;=11,2,IF((MONTH(TODAY())=1),2,0)))</f>
        <v>0</v>
      </c>
      <c r="D23" s="102">
        <f ca="1">IF(MONTH(TODAY())&gt;=11,1,IF((MONTH(TODAY())=1),2,0))</f>
        <v>0</v>
      </c>
    </row>
    <row r="24" spans="1:4" ht="13.2" customHeight="1" x14ac:dyDescent="0.3">
      <c r="A24" s="16" t="s">
        <v>274</v>
      </c>
      <c r="B24" s="54">
        <v>6</v>
      </c>
      <c r="C24" s="99">
        <f ca="1">IF(MONTH(TODAY())=1,B24,IF(MONTH(TODAY())+B24-13&lt;0,0,MONTH(TODAY())+B24-13))</f>
        <v>0</v>
      </c>
      <c r="D24" s="102">
        <f ca="1">IF(MONTH(TODAY())&lt;=8,0,C24-1)</f>
        <v>0</v>
      </c>
    </row>
    <row r="25" spans="1:4" ht="13.2" customHeight="1" x14ac:dyDescent="0.3">
      <c r="A25" s="16" t="s">
        <v>275</v>
      </c>
      <c r="B25" s="54">
        <v>2</v>
      </c>
      <c r="C25" s="99">
        <f ca="1">IF(MONTH(TODAY())-1&lt;=6,0,IF(MONTH(TODAY())&gt;=8,2,1))</f>
        <v>0</v>
      </c>
      <c r="D25" s="102">
        <f ca="1">IF(MONTH(TODAY())&lt;=7,0,IF(MONTH(TODAY())=7,C25-1,2))</f>
        <v>0</v>
      </c>
    </row>
    <row r="26" spans="1:4" ht="13.2" customHeight="1" x14ac:dyDescent="0.3">
      <c r="A26" s="16" t="s">
        <v>276</v>
      </c>
      <c r="B26" s="54">
        <v>3</v>
      </c>
      <c r="C26" s="99">
        <f ca="1">IF(MONTH(TODAY())=1,B26,IF(MONTH(TODAY())+B26-13&lt;0,0,MONTH(TODAY())+B26-13))</f>
        <v>0</v>
      </c>
      <c r="D26" s="102">
        <f ca="1">IF(MONTH(TODAY())&lt;=11,0,C26-1)</f>
        <v>0</v>
      </c>
    </row>
    <row r="27" spans="1:4" ht="13.2" customHeight="1" x14ac:dyDescent="0.3">
      <c r="A27" s="16" t="s">
        <v>277</v>
      </c>
      <c r="B27" s="54">
        <v>7</v>
      </c>
      <c r="C27" s="99">
        <f ca="1">IF(MONTH(TODAY())=1,B27,IF(MONTH(TODAY())+B27-13&lt;0,0,MONTH(TODAY())+B27-12))</f>
        <v>1</v>
      </c>
      <c r="D27" s="102">
        <f ca="1">IF(MONTH(TODAY())&lt;=6,0,C27-1)</f>
        <v>0</v>
      </c>
    </row>
    <row r="28" spans="1:4" ht="13.2" customHeight="1" x14ac:dyDescent="0.3">
      <c r="A28" s="16" t="s">
        <v>278</v>
      </c>
      <c r="B28" s="54">
        <v>8</v>
      </c>
      <c r="C28" s="99">
        <f ca="1">IF(MONTH(TODAY())=1,B28,IF(MONTH(TODAY())+B28-13&lt;0,0,MONTH(TODAY())+B28-12))</f>
        <v>2</v>
      </c>
      <c r="D28" s="102">
        <f ca="1">IF(MONTH(TODAY())&lt;=5,0,C28-1)</f>
        <v>1</v>
      </c>
    </row>
    <row r="29" spans="1:4" ht="13.2" customHeight="1" x14ac:dyDescent="0.3">
      <c r="A29" s="16" t="s">
        <v>279</v>
      </c>
      <c r="B29" s="54">
        <v>1</v>
      </c>
      <c r="C29" s="99">
        <f ca="1">IF(MONTH(TODAY())=7,1,IF(MONTH(TODAY())&lt;7,0,1))</f>
        <v>0</v>
      </c>
      <c r="D29" s="102">
        <f ca="1">IF(MONTH(TODAY())=7,0,IF(MONTH(TODAY())&lt;8,0,1))</f>
        <v>0</v>
      </c>
    </row>
    <row r="30" spans="1:4" ht="13.2" customHeight="1" x14ac:dyDescent="0.3">
      <c r="A30" s="16" t="s">
        <v>280</v>
      </c>
      <c r="B30" s="54">
        <v>1</v>
      </c>
      <c r="C30" s="99">
        <f ca="1">IF(MONTH(TODAY())=1,B30,IF(MONTH(TODAY())+B30-13&lt;0,0,MONTH(TODAY())+B30-13))</f>
        <v>0</v>
      </c>
      <c r="D30" s="102">
        <v>0</v>
      </c>
    </row>
    <row r="31" spans="1:4" ht="13.2" customHeight="1" x14ac:dyDescent="0.3">
      <c r="A31" s="16" t="s">
        <v>281</v>
      </c>
      <c r="B31" s="54">
        <v>4</v>
      </c>
      <c r="C31" s="99">
        <f ca="1">IF(MONTH(TODAY())=1,B31,IF(MONTH(TODAY())+B31-13&lt;0,0,MONTH(TODAY())+B31-13))</f>
        <v>0</v>
      </c>
      <c r="D31" s="102">
        <f ca="1">IF(MONTH(TODAY())&lt;=10,0,C31-1)</f>
        <v>0</v>
      </c>
    </row>
    <row r="32" spans="1:4" ht="13.2" customHeight="1" x14ac:dyDescent="0.3">
      <c r="A32" s="16" t="s">
        <v>282</v>
      </c>
      <c r="B32" s="54">
        <v>2</v>
      </c>
      <c r="C32" s="99">
        <f ca="1">IF(MONTH(TODAY())-1&lt;=8,0,IF(MONTH(TODAY())&gt;=10,2,1))</f>
        <v>0</v>
      </c>
      <c r="D32" s="102">
        <f ca="1">IF(MONTH(TODAY())&lt;=8,0,IF(MONTH(TODAY())=8,C32-1,2))</f>
        <v>0</v>
      </c>
    </row>
    <row r="33" spans="1:4" ht="13.2" customHeight="1" x14ac:dyDescent="0.3">
      <c r="A33" s="16" t="s">
        <v>283</v>
      </c>
      <c r="B33" s="54">
        <v>3</v>
      </c>
      <c r="C33" s="99">
        <f ca="1">IF(MONTH(TODAY())&lt;=6,0,IF(MONTH(TODAY())&gt;=9,3,IF(MONTH(TODAY())=7,1,2)))</f>
        <v>0</v>
      </c>
      <c r="D33" s="102">
        <f ca="1">IF(MONTH(TODAY())&lt;=7,0,IF(MONTH(TODAY())&gt;=10,3,IF(MONTH(TODAY())=7,0,IF(MONTH(TODAY())=8,1,2))))</f>
        <v>0</v>
      </c>
    </row>
    <row r="34" spans="1:4" ht="13.2" customHeight="1" x14ac:dyDescent="0.3">
      <c r="A34" s="16" t="s">
        <v>284</v>
      </c>
      <c r="B34" s="54">
        <v>1</v>
      </c>
      <c r="C34" s="99">
        <f ca="1">IF(MONTH(TODAY())=6,1,IF(MONTH(TODAY())&lt;6,0,1))</f>
        <v>1</v>
      </c>
      <c r="D34" s="102">
        <f ca="1">IF(MONTH(TODAY())=6,0,IF(MONTH(TODAY())&lt;7,0,1))</f>
        <v>0</v>
      </c>
    </row>
    <row r="35" spans="1:4" ht="13.2" customHeight="1" x14ac:dyDescent="0.3">
      <c r="A35" s="16" t="s">
        <v>285</v>
      </c>
      <c r="B35" s="54">
        <v>4</v>
      </c>
      <c r="C35" s="99">
        <f ca="1">IF(IF(MONTH(TODAY())=1,B35,IF(MONTH(TODAY())-1&gt;10,B35,IF(OR(MONTH(TODAY())=1,MONTH(TODAY())-1&gt;10),B35,MONTH(TODAY())+B35-11)))&lt;0,0,IF(MONTH(TODAY())=1,B35,IF(MONTH(TODAY())-1&gt;10,B35,IF(OR(MONTH(TODAY())=1,MONTH(TODAY())-1&gt;10),B35,MONTH(TODAY())+B35-11))))</f>
        <v>0</v>
      </c>
      <c r="D35" s="102">
        <f ca="1">IF(MONTH(TODAY())&lt;=8,0,C35-1)</f>
        <v>0</v>
      </c>
    </row>
    <row r="36" spans="1:4" ht="13.2" customHeight="1" x14ac:dyDescent="0.3">
      <c r="A36" s="16" t="s">
        <v>286</v>
      </c>
      <c r="B36" s="54">
        <v>3</v>
      </c>
      <c r="C36" s="99">
        <f ca="1">IF(IF(MONTH(TODAY())=1,B36,IF(MONTH(TODAY())-1&gt;10,B36,IF(OR(MONTH(TODAY())=1,MONTH(TODAY())-1&gt;10),B36,MONTH(TODAY())+B36-11)))&lt;0,0,IF(MONTH(TODAY())=1,B36,IF(MONTH(TODAY())-1&gt;10,B36,IF(OR(MONTH(TODAY())=1,MONTH(TODAY())-1&gt;10),B36,MONTH(TODAY())+B36-11))))</f>
        <v>0</v>
      </c>
      <c r="D36" s="102">
        <f ca="1">IF(MONTH(TODAY())&lt;=9,0,C36-1)</f>
        <v>0</v>
      </c>
    </row>
    <row r="37" spans="1:4" ht="13.2" customHeight="1" x14ac:dyDescent="0.3">
      <c r="A37" s="16" t="s">
        <v>287</v>
      </c>
      <c r="B37" s="54">
        <v>3</v>
      </c>
      <c r="C37" s="99">
        <f ca="1">IF(MONTH(TODAY())=1,B37,IF(MONTH(TODAY())+B37-13&lt;0,0,MONTH(TODAY())+B37-13))</f>
        <v>0</v>
      </c>
      <c r="D37" s="102">
        <f ca="1">IF(MONTH(TODAY())&lt;=11,0,C37-1)</f>
        <v>0</v>
      </c>
    </row>
    <row r="38" spans="1:4" ht="13.2" customHeight="1" x14ac:dyDescent="0.3">
      <c r="A38" s="16" t="s">
        <v>288</v>
      </c>
      <c r="B38" s="54">
        <v>12</v>
      </c>
      <c r="C38" s="99">
        <v>0</v>
      </c>
      <c r="D38" s="102">
        <v>0</v>
      </c>
    </row>
    <row r="39" spans="1:4" ht="13.2" customHeight="1" x14ac:dyDescent="0.3">
      <c r="A39" s="16" t="s">
        <v>289</v>
      </c>
      <c r="B39" s="54">
        <v>9</v>
      </c>
      <c r="C39" s="99">
        <f ca="1">IF(MONTH(TODAY())=1,B39,IF(MONTH(TODAY())+B39-13&lt;0,0,MONTH(TODAY())+B39-12))</f>
        <v>3</v>
      </c>
      <c r="D39" s="102">
        <f ca="1">IF(MONTH(TODAY())&lt;=5,0,C39-1)</f>
        <v>2</v>
      </c>
    </row>
    <row r="40" spans="1:4" ht="13.2" customHeight="1" x14ac:dyDescent="0.3">
      <c r="A40" s="16" t="s">
        <v>290</v>
      </c>
      <c r="B40" s="54">
        <v>4</v>
      </c>
      <c r="C40" s="99">
        <f ca="1">IF(MONTH(TODAY())=1,B40,IF(MONTH(TODAY())+B40-13&lt;0,0,MONTH(TODAY())+B40-12))</f>
        <v>0</v>
      </c>
      <c r="D40" s="102">
        <f ca="1">IF(MONTH(TODAY())&lt;=5,0,C40-1)</f>
        <v>-1</v>
      </c>
    </row>
    <row r="41" spans="1:4" ht="13.2" customHeight="1" x14ac:dyDescent="0.3">
      <c r="A41" s="16" t="s">
        <v>291</v>
      </c>
      <c r="B41" s="54">
        <v>10</v>
      </c>
      <c r="C41" s="99">
        <f ca="1">IF(MONTH(TODAY())=1,B41,IF(MONTH(TODAY())+B41-12&lt;0,0,MONTH(TODAY())+B41-12))</f>
        <v>4</v>
      </c>
      <c r="D41" s="102">
        <f ca="1">IF(MONTH(TODAY())&lt;=3,0,C41-1)</f>
        <v>3</v>
      </c>
    </row>
    <row r="42" spans="1:4" ht="13.2" customHeight="1" x14ac:dyDescent="0.3">
      <c r="A42" s="107" t="s">
        <v>292</v>
      </c>
      <c r="B42" s="108">
        <v>6</v>
      </c>
      <c r="C42" s="109">
        <f ca="1">IF(MONTH(TODAY())=1,B42,IF(MONTH(TODAY())+B42-12&lt;0,0,MONTH(TODAY())+B42-12))</f>
        <v>0</v>
      </c>
      <c r="D42" s="110">
        <f ca="1">IF(MONTH(TODAY())&lt;=8,0,C42-1)</f>
        <v>0</v>
      </c>
    </row>
    <row r="43" spans="1:4" ht="13.2" customHeight="1" x14ac:dyDescent="0.3">
      <c r="A43" s="107" t="s">
        <v>293</v>
      </c>
      <c r="B43" s="108">
        <v>9</v>
      </c>
      <c r="C43" s="99">
        <f ca="1">IF(MONTH(TODAY())=1,B43,IF(MONTH(TODAY())+B43-13&lt;0,0,MONTH(TODAY())+B43-13))</f>
        <v>2</v>
      </c>
      <c r="D43" s="102">
        <f ca="1">IF(MONTH(TODAY())&lt;=5,0,C43-1)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E379-CA1E-4EA3-B21C-DE0954C0B8CE}">
  <sheetPr filterMode="1"/>
  <dimension ref="A1:AH572"/>
  <sheetViews>
    <sheetView topLeftCell="L1" zoomScale="70" zoomScaleNormal="70" workbookViewId="0">
      <selection activeCell="U3" sqref="U3"/>
    </sheetView>
  </sheetViews>
  <sheetFormatPr defaultColWidth="29.109375" defaultRowHeight="14.4" x14ac:dyDescent="0.3"/>
  <cols>
    <col min="1" max="1" width="17.6640625" customWidth="1"/>
    <col min="2" max="2" width="36.6640625" customWidth="1"/>
    <col min="3" max="3" width="20.33203125" bestFit="1" customWidth="1"/>
    <col min="4" max="4" width="13.5546875" customWidth="1"/>
    <col min="5" max="6" width="15" bestFit="1" customWidth="1"/>
    <col min="7" max="7" width="15.5546875" bestFit="1" customWidth="1"/>
    <col min="8" max="8" width="15.109375" bestFit="1" customWidth="1"/>
    <col min="9" max="9" width="15.33203125" bestFit="1" customWidth="1"/>
    <col min="10" max="10" width="15" bestFit="1" customWidth="1"/>
    <col min="11" max="11" width="14.109375" bestFit="1" customWidth="1"/>
    <col min="12" max="12" width="15.5546875" bestFit="1" customWidth="1"/>
    <col min="13" max="13" width="15" bestFit="1" customWidth="1"/>
    <col min="14" max="14" width="15.109375" bestFit="1" customWidth="1"/>
    <col min="15" max="16" width="15.5546875" bestFit="1" customWidth="1"/>
    <col min="17" max="17" width="3.5546875" customWidth="1"/>
    <col min="18" max="18" width="15.109375" customWidth="1"/>
    <col min="19" max="19" width="12.6640625" customWidth="1"/>
    <col min="20" max="20" width="14.33203125" customWidth="1"/>
    <col min="21" max="21" width="17.88671875" customWidth="1"/>
    <col min="22" max="22" width="13.88671875" customWidth="1"/>
    <col min="23" max="23" width="12.109375" customWidth="1"/>
    <col min="24" max="25" width="9.6640625" customWidth="1"/>
    <col min="26" max="26" width="11.44140625" customWidth="1"/>
    <col min="27" max="27" width="10.44140625" customWidth="1"/>
    <col min="28" max="28" width="9" customWidth="1"/>
    <col min="29" max="30" width="12.6640625" customWidth="1"/>
    <col min="31" max="31" width="14.44140625" customWidth="1"/>
    <col min="32" max="32" width="13.33203125" customWidth="1"/>
    <col min="33" max="33" width="12" customWidth="1"/>
  </cols>
  <sheetData>
    <row r="1" spans="1:34" x14ac:dyDescent="0.3">
      <c r="A1" s="60" t="s">
        <v>0</v>
      </c>
      <c r="B1" s="61" t="s">
        <v>1</v>
      </c>
      <c r="C1" s="61" t="s">
        <v>2</v>
      </c>
      <c r="D1" s="61" t="s">
        <v>5</v>
      </c>
      <c r="E1" s="46">
        <v>46023</v>
      </c>
      <c r="F1" s="46">
        <v>46054</v>
      </c>
      <c r="G1" s="46">
        <v>46082</v>
      </c>
      <c r="H1" s="46">
        <v>46113</v>
      </c>
      <c r="I1" s="46">
        <v>46143</v>
      </c>
      <c r="J1" s="46">
        <v>46174</v>
      </c>
      <c r="K1" s="46">
        <v>46204</v>
      </c>
      <c r="L1" s="46">
        <v>46235</v>
      </c>
      <c r="M1" s="46">
        <v>46266</v>
      </c>
      <c r="N1" s="46">
        <v>46296</v>
      </c>
      <c r="O1" s="46">
        <v>46327</v>
      </c>
      <c r="P1" s="46">
        <v>46357</v>
      </c>
      <c r="R1" s="63" t="s">
        <v>2</v>
      </c>
      <c r="S1" s="63" t="s">
        <v>249</v>
      </c>
      <c r="T1" s="63" t="s">
        <v>294</v>
      </c>
      <c r="U1" s="63" t="s">
        <v>246</v>
      </c>
      <c r="V1" s="63" t="s">
        <v>247</v>
      </c>
      <c r="W1" s="63" t="s">
        <v>248</v>
      </c>
      <c r="X1" s="63" t="s">
        <v>295</v>
      </c>
      <c r="Y1" s="63" t="s">
        <v>296</v>
      </c>
      <c r="Z1" s="63" t="s">
        <v>297</v>
      </c>
      <c r="AA1" s="63" t="s">
        <v>298</v>
      </c>
      <c r="AB1" s="63" t="s">
        <v>299</v>
      </c>
      <c r="AC1" s="63" t="s">
        <v>300</v>
      </c>
      <c r="AD1" s="63" t="s">
        <v>301</v>
      </c>
      <c r="AE1" s="63" t="s">
        <v>302</v>
      </c>
      <c r="AF1" s="63" t="s">
        <v>303</v>
      </c>
      <c r="AG1" s="64" t="s">
        <v>304</v>
      </c>
      <c r="AH1" s="63" t="s">
        <v>305</v>
      </c>
    </row>
    <row r="2" spans="1:34" x14ac:dyDescent="0.3">
      <c r="A2" s="3" t="s">
        <v>33</v>
      </c>
      <c r="B2" s="4" t="s">
        <v>34</v>
      </c>
      <c r="C2" s="5" t="s">
        <v>35</v>
      </c>
      <c r="D2" s="4" t="str">
        <f>_xlfn.XLOOKUP(B2,'Previsto x realizado'!B4,'Previsto x realizado'!F4)</f>
        <v>Jan-Dez/26</v>
      </c>
      <c r="E2" s="51" t="str">
        <f>IF(_xlfn.ISFORMULA('Previsto x realizado'!AW4) = FALSE, "","Enviado")</f>
        <v>Enviado</v>
      </c>
      <c r="F2" s="51" t="str">
        <f>IF(_xlfn.ISFORMULA('Previsto x realizado'!AX4) = FALSE, "","Enviado")</f>
        <v>Enviado</v>
      </c>
      <c r="G2" s="51" t="str">
        <f>IF(_xlfn.ISFORMULA('Previsto x realizado'!AY4) = FALSE, "","Enviado")</f>
        <v>Enviado</v>
      </c>
      <c r="H2" s="51" t="str">
        <f>IF(_xlfn.ISFORMULA('Previsto x realizado'!AZ4) = FALSE, "","Enviado")</f>
        <v>Enviado</v>
      </c>
      <c r="I2" s="51" t="str">
        <f>IF(_xlfn.ISFORMULA('Previsto x realizado'!BA4) = FALSE, "","Enviado")</f>
        <v/>
      </c>
      <c r="J2" s="51" t="str">
        <f>IF(_xlfn.ISFORMULA('Previsto x realizado'!BB4) = FALSE, "","Enviado")</f>
        <v/>
      </c>
      <c r="K2" s="51" t="str">
        <f>IF(_xlfn.ISFORMULA('Previsto x realizado'!BC4) = FALSE, "","Enviado")</f>
        <v/>
      </c>
      <c r="L2" s="51" t="str">
        <f>IF(_xlfn.ISFORMULA('Previsto x realizado'!BD4) = FALSE, "","Enviado")</f>
        <v/>
      </c>
      <c r="M2" s="51" t="str">
        <f>IF(_xlfn.ISFORMULA('Previsto x realizado'!BE4) = FALSE, "","Enviado")</f>
        <v/>
      </c>
      <c r="N2" s="51" t="str">
        <f>IF(_xlfn.ISFORMULA('Previsto x realizado'!BF4) = FALSE, "","Enviado")</f>
        <v/>
      </c>
      <c r="O2" s="51" t="str">
        <f>IF(_xlfn.ISFORMULA('Previsto x realizado'!BG4) = FALSE, "","Enviado")</f>
        <v/>
      </c>
      <c r="P2" s="51" t="str">
        <f>IF(_xlfn.ISFORMULA('Previsto x realizado'!BH4) = FALSE, "","Enviado")</f>
        <v/>
      </c>
      <c r="R2" t="s">
        <v>35</v>
      </c>
      <c r="S2" s="69">
        <f ca="1">IFERROR((IF(MONTH(TODAY())=2,COUNTIFS($A:$A,$S$1,$E:$E,"Enviado",$D:$D,"&lt;&gt;A partir de Fevereiro",$D:$D,"&lt;&gt;Não se aplica",$C:$C,R2)/COUNTIFS($A:$A,$S$1,$D:$D,"&lt;&gt;A partir de Fevereiro",$D:$D,"&lt;&gt;Não se aplica",$C:$C,R2),IF(MONTH(TODAY())=3,COUNTIFS($A:$A,$S$1,$F:$F,"Enviado",$D:$D,"&lt;&gt;A partir de Fevereiro",$D:$D,"&lt;&gt;Não se aplica",$C:$C,R2)/COUNTIFS($A:$A,$S$1,$D:$D,"&lt;&gt;A partir de Fevereiro",$D:$D,"&lt;&gt;Não se aplica",$C:$C,R2),
IF(MONTH(TODAY())=4,COUNTIFS($A:$A,$S$1,$G:$G,"Enviado",$D:$D,"&lt;&gt;A partir de Fevereiro",$D:$D,"&lt;&gt;Não se aplica",$C:$C,R2)/COUNTIFS($A:$A,$S$1,$D:$D,"&lt;&gt;A partir de Fevereiro",$D:$D,"&lt;&gt;Não se aplica",$C:$C,R2),
IF(MONTH(TODAY())=5,COUNTIFS($A:$A,$S$1,$H:$H,"Enviado",$D:$D,"&lt;&gt;A partir de Fevereiro",$D:$D,"&lt;&gt;Não se aplica",$C:$C,R2)/COUNTIFS($A:$A,$S$1,$D:$D,"&lt;&gt;A partir de Fevereiro",$D:$D,"&lt;&gt;Não se aplica",$C:$C,R2),
IF(MONTH(TODAY())=6,COUNTIFS($A:$A,$S$1,$I:$I,"Enviado",$D:$D,"&lt;&gt;A partir de Fevereiro",$D:$D,"&lt;&gt;Não se aplica",$C:$C,R2)/COUNTIFS($A:$A,$S$1,$D:$D,"&lt;&gt;A partir de Fevereiro",$D:$D,"&lt;&gt;Não se aplica",$C:$C,R2),
IF(MONTH(TODAY())=7,COUNTIFS($A:$A,$S$1,$J:$J,"Enviado",$D:$D,"&lt;&gt;A partir de Fevereiro",$D:$D,"&lt;&gt;Não se aplica",$C:$C,R2)/COUNTIFS($A:$A,$S$1,$D:$D,"&lt;&gt;A partir de Fevereiro",$D:$D,"&lt;&gt;Não se aplica",$C:$C,R2),
IF(MONTH(TODAY())=8,COUNTIFS($A:$A,$S$1,$K:$K,"Enviado",$D:$D,"&lt;&gt;A partir de Fevereiro",$D:$D,"&lt;&gt;Não se aplica",$C:$C,R2)/COUNTIFS($A:$A,$S$1,$D:$D,"&lt;&gt;A partir de Fevereiro",$D:$D,"&lt;&gt;Não se aplica",$C:$C,R2),
IF(MONTH(TODAY())=9,COUNTIFS($A:$A,$S$1,$L:$L,"Enviado",$D:$D,"&lt;&gt;A partir de Fevereiro",$D:$D,"&lt;&gt;Não se aplica",$C:$C,R2)/COUNTIFS($A:$A,$S$1,$D:$D,"&lt;&gt;A partir de Fevereiro",$D:$D,"&lt;&gt;Não se aplica",$C:$C,R2),
IF(MONTH(TODAY())=10,COUNTIFS($A:$A,$S$1,$M:$M,"Enviado",$D:$D,"&lt;&gt;A partir de Fevereiro",$D:$D,"&lt;&gt;Não se aplica",$C:$C,R2)/COUNTIFS($A:$A,$S$1,$D:$D,"&lt;&gt;A partir de Fevereiro",$D:$D,"&lt;&gt;Não se aplica",$C:$C,R2),
IF(MONTH(TODAY())=11,COUNTIFS($A:$A,$S$1,$N:$N,"Enviado",$D:$D,"&lt;&gt;A partir de Fevereiro",$D:$D,"&lt;&gt;Não se aplica",$C:$C,R2)/COUNTIFS($A:$A,$S$1,$D:$D,"&lt;&gt;A partir de Fevereiro",$D:$D,"&lt;&gt;Não se aplica",$C:$C,R2),
IF(MONTH(TODAY())=12,COUNTIFS($A:$A,$S$1,$O:$O,"Enviado",$D:$D,"&lt;&gt;A partir de Fevereiro",$D:$D,"&lt;&gt;Não se aplica",$C:$C,R2)/COUNTIFS($A:$A,$S$1,$D:$D,"&lt;&gt;A partir de Fevereiro",$D:$D,"&lt;&gt;Não se aplica",$C:$C,R2),COUNTIFS($A:$A,$S$1,$P:$P,"Enviado",$D:$D,"&lt;&gt;A partir de Fevereiro",$D:$D,"&lt;&gt;Não se aplica",$C:$C,R2)/COUNTIFS($A:$A,$S$1,$D:$D,"&lt;&gt;A partir de Fevereiro",$D:$D,"&lt;&gt;Não se aplica",$C:$C,R2)))))))))))))*100,0)</f>
        <v>0</v>
      </c>
      <c r="T2" s="69">
        <f t="shared" ref="T2:T8" ca="1" si="0">IFERROR(IF(MONTH(TODAY())=2,COUNTIFS($A:$A,$T$1,$E:$E,"Enviado",$D:$D,"&lt;&gt;A partir de Fevereiro",$D:$D,"&lt;&gt;Não se aplica",$C:$C,R2)/COUNTIFS($A:$A,$T$1,$D:$D,"&lt;&gt;A partir de Fevereiro",$D:$D,"&lt;&gt;Não se aplica",$C:$C,R2),IF(MONTH(TODAY())=3,COUNTIFS($A:$A,$T$1,$F:$F,"Enviado",$D:$D,"&lt;&gt;A partir de Fevereiro",$D:$D,"&lt;&gt;Não se aplica",$C:$C,R2)/COUNTIFS($A:$A,$T$1,$D:$D,"&lt;&gt;A partir de Fevereiro",$D:$D,"&lt;&gt;Não se aplica",$C:$C,R2),
IF(MONTH(TODAY())=4,COUNTIFS($A:$A,$T$1,$G:$G,"Enviado",$D:$D,"&lt;&gt;A partir de Fevereiro",$D:$D,"&lt;&gt;Não se aplica",$C:$C,R2)/COUNTIFS($A:$A,$T$1,$D:$D,"&lt;&gt;A partir de Fevereiro",$D:$D,"&lt;&gt;Não se aplica",$C:$C,R2),
IF(MONTH(TODAY())=5,COUNTIFS($A:$A,$T$1,$H:$H,"Enviado",$D:$D,"&lt;&gt;A partir de Fevereiro",$D:$D,"&lt;&gt;Não se aplica",$C:$C,R2)/COUNTIFS($A:$A,$T$1,$D:$D,"&lt;&gt;A partir de Fevereiro",$D:$D,"&lt;&gt;Não se aplica",$C:$C,R2),
IF(MONTH(TODAY())=6,COUNTIFS($A:$A,$T$1,$I:$I,"Enviado",$D:$D,"&lt;&gt;A partir de Fevereiro",$D:$D,"&lt;&gt;Não se aplica",$C:$C,R2)/COUNTIFS($A:$A,$T$1,$D:$D,"&lt;&gt;A partir de Fevereiro",$D:$D,"&lt;&gt;Não se aplica",$C:$C,R2),
IF(MONTH(TODAY())=7,COUNTIFS($A:$A,$T$1,$J:$J,"Enviado",$D:$D,"&lt;&gt;A partir de Fevereiro",$D:$D,"&lt;&gt;Não se aplica",$C:$C,R2)/COUNTIFS($A:$A,$T$1,$D:$D,"&lt;&gt;A partir de Fevereiro",$D:$D,"&lt;&gt;Não se aplica",$C:$C,R2),
IF(MONTH(TODAY())=8,COUNTIFS($A:$A,$T$1,$K:$K,"Enviado",$D:$D,"&lt;&gt;A partir de Fevereiro",$D:$D,"&lt;&gt;Não se aplica",$C:$C,R2)/COUNTIFS($A:$A,$T$1,$D:$D,"&lt;&gt;A partir de Fevereiro",$D:$D,"&lt;&gt;Não se aplica",$C:$C,R2),
IF(MONTH(TODAY())=9,COUNTIFS($A:$A,$T$1,$L:$L,"Enviado",$D:$D,"&lt;&gt;A partir de Fevereiro",$D:$D,"&lt;&gt;Não se aplica",$C:$C,R2)/COUNTIFS($A:$A,$T$1,$D:$D,"&lt;&gt;A partir de Fevereiro",$D:$D,"&lt;&gt;Não se aplica",$C:$C,R2),
IF(MONTH(TODAY())=10,COUNTIFS($A:$A,$T$1,$M:$M,"Enviado",$D:$D,"&lt;&gt;A partir de Fevereiro",$D:$D,"&lt;&gt;Não se aplica",$C:$C,R2)/COUNTIFS($A:$A,$T$1,$D:$D,"&lt;&gt;A partir de Fevereiro",$D:$D,"&lt;&gt;Não se aplica",$C:$C,R2),
IF(MONTH(TODAY())=11,COUNTIFS($A:$A,$T$1,$N:$N,"Enviado",$D:$D,"&lt;&gt;A partir de Fevereiro",$D:$D,"&lt;&gt;Não se aplica",$C:$C,R2)/COUNTIFS($A:$A,$T$1,$D:$D,"&lt;&gt;A partir de Fevereiro",$D:$D,"&lt;&gt;Não se aplica",$C:$C,R2),
IF(MONTH(TODAY())=12,COUNTIFS($A:$A,$T$1,$O:$O,"Enviado",$D:$D,"&lt;&gt;A partir de Fevereiro",$D:$D,"&lt;&gt;Não se aplica",$C:$C,R2)/COUNTIFS($A:$A,$T$1,$D:$D,"&lt;&gt;A partir de Fevereiro",$D:$D,"&lt;&gt;Não se aplica",$C:$C,R2),COUNTIFS($A:$A,$T$1,$P:$P,"Enviado",$D:$D,"&lt;&gt;A partir de Fevereiro",$D:$D,"&lt;&gt;Não se aplica",$C:$C,R2)/COUNTIFS($A:$A,$T$1,$D:$D,"&lt;&gt;A partir de Fevereiro",$D:$D,"&lt;&gt;Não se aplica",$C:$C,R2))))))))))))*100,0)</f>
        <v>0</v>
      </c>
      <c r="U2" s="69">
        <f ca="1">IFERROR((IF(MONTH(TODAY())=2,COUNTIFS($A:$A,$U$1,$E:$E,"Enviado",$D:$D,"&lt;&gt;A partir de Fevereiro",$D:$D,"&lt;&gt;Não se aplica",$C:$C,R2)/COUNTIFS($A:$A,$U$1,$D:$D,"&lt;&gt;A partir de Fevereiro",$D:$D,"&lt;&gt;Não se aplica",$C:$C,R2),IF(MONTH(TODAY())=3,COUNTIFS($A:$A,$U$1,$F:$F,"Enviado",$D:$D,"&lt;&gt;A partir de Fevereiro",$D:$D,"&lt;&gt;Não se aplica",$C:$C,R2)/COUNTIFS($A:$A,$U$1,$D:$D,"&lt;&gt;A partir de Fevereiro",$D:$D,"&lt;&gt;Não se aplica",$C:$C,R2),
IF(MONTH(TODAY())=4,COUNTIFS($A:$A,$U$1,$G:$G,"Enviado",$D:$D,"&lt;&gt;A partir de Fevereiro",$D:$D,"&lt;&gt;Não se aplica",$C:$C,R2)/COUNTIFS($A:$A,$U$1,$D:$D,"&lt;&gt;A partir de Fevereiro",$D:$D,"&lt;&gt;Não se aplica",$C:$C,R2),
IF(MONTH(TODAY())=5,COUNTIFS($A:$A,$U$1,$H:$H,"Enviado",$D:$D,"&lt;&gt;A partir de Fevereiro",$D:$D,"&lt;&gt;Não se aplica",$C:$C,R2)/COUNTIFS($A:$A,$U$1,$D:$D,"&lt;&gt;A partir de Fevereiro",$D:$D,"&lt;&gt;Não se aplica",$C:$C,R2),
IF(MONTH(TODAY())=6,COUNTIFS($A:$A,$U$1,$I:$I,"Enviado",$D:$D,"&lt;&gt;A partir de Fevereiro",$D:$D,"&lt;&gt;Não se aplica",$C:$C,R2)/COUNTIFS($A:$A,$U$1,$D:$D,"&lt;&gt;A partir de Fevereiro",$D:$D,"&lt;&gt;Não se aplica",$C:$C,R2),
IF(MONTH(TODAY())=7,COUNTIFS($A:$A,$U$1,$J:$J,"Enviado",$D:$D,"&lt;&gt;A partir de Fevereiro",$D:$D,"&lt;&gt;Não se aplica",$C:$C,R2)/COUNTIFS($A:$A,$U$1,$D:$D,"&lt;&gt;A partir de Fevereiro",$D:$D,"&lt;&gt;Não se aplica",$C:$C,R2),
IF(MONTH(TODAY())=8,COUNTIFS($A:$A,$U$1,$K:$K,"Enviado",$D:$D,"&lt;&gt;A partir de Fevereiro",$D:$D,"&lt;&gt;Não se aplica",$C:$C,R2)/COUNTIFS($A:$A,$U$1,$D:$D,"&lt;&gt;A partir de Fevereiro",$D:$D,"&lt;&gt;Não se aplica",$C:$C,R2),
IF(MONTH(TODAY())=9,COUNTIFS($A:$A,$U$1,$L:$L,"Enviado",$D:$D,"&lt;&gt;A partir de Fevereiro",$D:$D,"&lt;&gt;Não se aplica",$C:$C,R2)/COUNTIFS($A:$A,$U$1,$D:$D,"&lt;&gt;A partir de Fevereiro",$D:$D,"&lt;&gt;Não se aplica",$C:$C,R2),
IF(MONTH(TODAY())=10,COUNTIFS($A:$A,$U$1,$M:$M,"Enviado",$D:$D,"&lt;&gt;A partir de Fevereiro",$D:$D,"&lt;&gt;Não se aplica",$C:$C,R2)/COUNTIFS($A:$A,$U$1,$D:$D,"&lt;&gt;A partir de Fevereiro",$D:$D,"&lt;&gt;Não se aplica",$C:$C,R2),
IF(MONTH(TODAY())=11,COUNTIFS($A:$A,$U$1,$N:$N,"Enviado",$D:$D,"&lt;&gt;A partir de Fevereiro",$D:$D,"&lt;&gt;Não se aplica",$C:$C,R2)/COUNTIFS($A:$A,$U$1,$D:$D,"&lt;&gt;A partir de Fevereiro",$D:$D,"&lt;&gt;Não se aplica",$C:$C,R2),
IF(MONTH(TODAY())=12,COUNTIFS($A:$A,$U$1,$O:$O,"Enviado",$D:$D,"&lt;&gt;A partir de Fevereiro",$D:$D,"&lt;&gt;Não se aplica",$C:$C,R2)/COUNTIFS($A:$A,$U$1,$D:$D,"&lt;&gt;A partir de Fevereiro",$D:$D,"&lt;&gt;Não se aplica",$C:$C,R2),COUNTIFS($A:$A,$U$1,$P:$P,"Enviado",$D:$D,"&lt;&gt;A partir de Fevereiro",$D:$D,"&lt;&gt;Não se aplica",$C:$C,R2)/COUNTIFS($A:$A,$U$1,$D:$D,"&lt;&gt;A partir de Fevereiro",$D:$D,"&lt;&gt;Não se aplica",$C:$C,R2)))))))))))))*100,0)</f>
        <v>0</v>
      </c>
      <c r="V2" s="69">
        <f t="shared" ref="V2:V8" ca="1" si="1">IFERROR((IF(MONTH(TODAY())=2,COUNTIFS($A:$A,$V$1,$E:$E,"Enviado",$C:$C,R2)/COUNTIFS($A:$A,$V$1,$C:$C,R2),IF(MONTH(TODAY())=3,COUNTIFS($A:$A,$V$1,$F:$F,"Enviado",$D:$D,"&lt;&gt;A partir de Fevereiro",$D:$D,"&lt;&gt;Não se aplica",$C:$C,R2)/COUNTIFS($A:$A,$V$1,$D:$D,"&lt;&gt;A partir de Fevereiro",$D:$D,"&lt;&gt;Não se aplica",$C:$C,R2),
IF(MONTH(TODAY())=4,COUNTIFS($A:$A,$V$1,$G:$G,"Enviado",$D:$D,"&lt;&gt;A partir de Fevereiro",$D:$D,"&lt;&gt;Não se aplica",$C:$C,R2)/COUNTIFS($A:$A,$V$1,$D:$D,"&lt;&gt;A partir de Fevereiro",$D:$D,"&lt;&gt;Não se aplica",$C:$C,R2),
IF(MONTH(TODAY())=5,COUNTIFS($A:$A,$V$1,$H:$H,"Enviado",$D:$D,"&lt;&gt;A partir de Fevereiro",$D:$D,"&lt;&gt;Não se aplica",$C:$C,R2)/COUNTIFS($A:$A,$V$1,$D:$D,"&lt;&gt;A partir de Fevereiro",$D:$D,"&lt;&gt;Não se aplica",$C:$C,R2),
IF(MONTH(TODAY())=6,COUNTIFS($A:$A,$V$1,$I:$I,"Enviado",$D:$D,"&lt;&gt;A partir de Fevereiro",$D:$D,"&lt;&gt;Não se aplica",$C:$C,R2)/COUNTIFS($A:$A,$V$1,$D:$D,"&lt;&gt;A partir de Fevereiro",$D:$D,"&lt;&gt;Não se aplica",$C:$C,R2),
IF(MONTH(TODAY())=7,COUNTIFS($A:$A,$V$1,$J:$J,"Enviado",$D:$D,"&lt;&gt;A partir de Fevereiro",$D:$D,"&lt;&gt;Não se aplica",$C:$C,R2)/COUNTIFS($A:$A,$V$1,$D:$D,"&lt;&gt;A partir de Fevereiro",$D:$D,"&lt;&gt;Não se aplica",$C:$C,R2),
IF(MONTH(TODAY())=8,COUNTIFS($A:$A,$V$1,$K:$K,"Enviado",$D:$D,"&lt;&gt;A partir de Fevereiro",$D:$D,"&lt;&gt;Não se aplica",$C:$C,R2)/COUNTIFS($A:$A,$V$1,$D:$D,"&lt;&gt;A partir de Fevereiro",$D:$D,"&lt;&gt;Não se aplica",$C:$C,R2),
IF(MONTH(TODAY())=9,COUNTIFS($A:$A,$V$1,$L:$L,"Enviado",$D:$D,"&lt;&gt;A partir de Fevereiro",$D:$D,"&lt;&gt;Não se aplica",$C:$C,R2)/COUNTIFS($A:$A,$V$1,$D:$D,"&lt;&gt;A partir de Fevereiro",$D:$D,"&lt;&gt;Não se aplica",$C:$C,R2),
IF(MONTH(TODAY())=10,COUNTIFS($A:$A,$V$1,$M:$M,"Enviado",$D:$D,"&lt;&gt;A partir de Fevereiro",$D:$D,"&lt;&gt;Não se aplica",$C:$C,R2)/COUNTIFS($A:$A,$V$1,$D:$D,"&lt;&gt;A partir de Fevereiro",$D:$D,"&lt;&gt;Não se aplica",$C:$C,R2),
IF(MONTH(TODAY())=11,COUNTIFS($A:$A,$V$1,$N:$N,"Enviado",$D:$D,"&lt;&gt;A partir de Fevereiro",$D:$D,"&lt;&gt;Não se aplica",$C:$C,R2)/COUNTIFS($A:$A,$V$1,$D:$D,"&lt;&gt;A partir de Fevereiro",$D:$D,"&lt;&gt;Não se aplica",$C:$C,R2),
IF(MONTH(TODAY())=12,COUNTIFS($A:$A,$V$1,$O:$O,"Enviado",$D:$D,"&lt;&gt;A partir de Fevereiro",$D:$D,"&lt;&gt;Não se aplica",$C:$C,R2)/COUNTIFS($A:$A,$V$1,$D:$D,"&lt;&gt;A partir de Fevereiro",$D:$D,"&lt;&gt;Não se aplica",$C:$C,R2),COUNTIFS($A:$A,$V$1,$P:$P,"Enviado",$D:$D,"&lt;&gt;A partir de Fevereiro",$D:$D,"&lt;&gt;Não se aplica",$C:$C,R2)/COUNTIFS($A:$A,$V$1,$D:$D,"&lt;&gt;A partir de Fevereiro",$D:$D,"&lt;&gt;Não se aplica",$C:$C,R2)))))))))))))*100,0)</f>
        <v>50</v>
      </c>
      <c r="W2" s="69">
        <f ca="1">IFERROR((IF(MONTH(TODAY())=2,COUNTIFS($A:$A,$W$1,$E:$E,"Enviado",$D:$D,"&lt;&gt;A partir de Fevereiro",$D:$D,"&lt;&gt;Não se aplica",$C:$C,R2)/COUNTIFS($A:$A,$W$1,$D:$D,"&lt;&gt;A partir de Fevereiro",$D:$D,"&lt;&gt;Não se aplica",$C:$C,R2),IF(MONTH(TODAY())=3,COUNTIFS($A:$A,$W$1,$F:$F,"Enviado",$D:$D,"&lt;&gt;A partir de Fevereiro",$D:$D,"&lt;&gt;Não se aplica",$C:$C,R2)/COUNTIFS($A:$A,$W$1,$D:$D,"&lt;&gt;A partir de Fevereiro",$D:$D,"&lt;&gt;Não se aplica",$C:$C,R2),
IF(MONTH(TODAY())=4,COUNTIFS($A:$A,$W$1,$G:$G,"Enviado",$D:$D,"&lt;&gt;A partir de Fevereiro",$D:$D,"&lt;&gt;Não se aplica",$C:$C,R2)/COUNTIFS($A:$A,$W$1,$D:$D,"&lt;&gt;A partir de Fevereiro",$D:$D,"&lt;&gt;Não se aplica",$C:$C,R2),
IF(MONTH(TODAY())=5,COUNTIFS($A:$A,$W$1,$H:$H,"Enviado",$D:$D,"&lt;&gt;A partir de Fevereiro",$D:$D,"&lt;&gt;Não se aplica",$C:$C,R2)/COUNTIFS($A:$A,$W$1,$D:$D,"&lt;&gt;A partir de Fevereiro",$D:$D,"&lt;&gt;Não se aplica",$C:$C,R2),
IF(MONTH(TODAY())=6,COUNTIFS($A:$A,$W$1,$I:$I,"Enviado",$D:$D,"&lt;&gt;A partir de Fevereiro",$D:$D,"&lt;&gt;Não se aplica",$C:$C,R2)/COUNTIFS($A:$A,$W$1,$D:$D,"&lt;&gt;A partir de Fevereiro",$D:$D,"&lt;&gt;Não se aplica",$C:$C,R2),
IF(MONTH(TODAY())=7,COUNTIFS($A:$A,$W$1,$J:$J,"Enviado",$D:$D,"&lt;&gt;A partir de Fevereiro",$D:$D,"&lt;&gt;Não se aplica",$C:$C,R2)/COUNTIFS($A:$A,$W$1,$D:$D,"&lt;&gt;A partir de Fevereiro",$D:$D,"&lt;&gt;Não se aplica",$C:$C,R2),
IF(MONTH(TODAY())=8,COUNTIFS($A:$A,$W$1,$K:$K,"Enviado",$D:$D,"&lt;&gt;A partir de Fevereiro",$D:$D,"&lt;&gt;Não se aplica",$C:$C,R2)/COUNTIFS($A:$A,$W$1,$D:$D,"&lt;&gt;A partir de Fevereiro",$D:$D,"&lt;&gt;Não se aplica",$C:$C,R2),
IF(MONTH(TODAY())=9,COUNTIFS($A:$A,$W$1,$L:$L,"Enviado",$D:$D,"&lt;&gt;A partir de Fevereiro",$D:$D,"&lt;&gt;Não se aplica",$C:$C,R2)/COUNTIFS($A:$A,$W$1,$D:$D,"&lt;&gt;A partir de Fevereiro",$D:$D,"&lt;&gt;Não se aplica",$C:$C,R2),
IF(MONTH(TODAY())=10,COUNTIFS($A:$A,$W$1,$M:$M,"Enviado",$D:$D,"&lt;&gt;A partir de Fevereiro",$D:$D,"&lt;&gt;Não se aplica",$C:$C,R2)/COUNTIFS($A:$A,$W$1,$D:$D,"&lt;&gt;A partir de Fevereiro",$D:$D,"&lt;&gt;Não se aplica",$C:$C,R2),
IF(MONTH(TODAY())=11,COUNTIFS($A:$A,$W$1,$N:$N,"Enviado",$D:$D,"&lt;&gt;A partir de Fevereiro",$D:$D,"&lt;&gt;Não se aplica",$C:$C,R2)/COUNTIFS($A:$A,$W$1,$D:$D,"&lt;&gt;A partir de Fevereiro",$D:$D,"&lt;&gt;Não se aplica",$C:$C,R2),
IF(MONTH(TODAY())=12,COUNTIFS($A:$A,$W$1,$O:$O,"Enviado",$D:$D,"&lt;&gt;A partir de Fevereiro",$D:$D,"&lt;&gt;Não se aplica",$C:$C,R2)/COUNTIFS($A:$A,$W$1,$D:$D,"&lt;&gt;A partir de Fevereiro",$D:$D,"&lt;&gt;Não se aplica",$C:$C,R2),COUNTIFS($A:$A,$W$1,$P:$P,"Enviado",$D:$D,"&lt;&gt;A partir de Fevereiro",$D:$D,"&lt;&gt;Não se aplica",$C:$C,R2)/COUNTIFS($A:$A,$W$1,$D:$D,"&lt;&gt;A partir de Fevereiro",$D:$D,"&lt;&gt;Não se aplica",$C:$C,R2)))))))))))))*100,0)</f>
        <v>50</v>
      </c>
      <c r="X2" s="62">
        <f t="shared" ref="X2:X8" si="2">COUNTIFS($A:$A,$S$1,$D:$D,"&lt;&gt;A partir de Fevereiro",$D:$D,"&lt;&gt;Não se aplica",$C:$C,R2)</f>
        <v>15</v>
      </c>
      <c r="Y2" s="62">
        <f t="shared" ref="Y2:Y8" si="3">COUNTIFS($A:$A,$T$1,$D:$D,"&lt;&gt;A partir de Fevereiro",$D:$D,"&lt;&gt;Não se aplica",$C:$C,R2)</f>
        <v>0</v>
      </c>
      <c r="Z2" s="62">
        <f t="shared" ref="Z2:Z8" si="4">COUNTIFS($A:$A,$U$1,$D:$D,"&lt;&gt;A partir de Fevereiro",$D:$D,"&lt;&gt;Não se aplica",$C:$C,R2)</f>
        <v>14</v>
      </c>
      <c r="AA2" s="62">
        <f t="shared" ref="AA2:AA8" si="5">COUNTIFS($A:$A,$V$1,$D:$D,"&lt;&gt;A partir de Fevereiro",$D:$D,"&lt;&gt;Não se aplica",$C:$C,R2)</f>
        <v>4</v>
      </c>
      <c r="AB2" s="62">
        <f t="shared" ref="AB2:AB8" si="6">COUNTIFS($A:$A,$W$1,$D:$D,"&lt;&gt;A partir de Fevereiro",$D:$D,"&lt;&gt;Não se aplica",$C:$C,R2)</f>
        <v>6</v>
      </c>
      <c r="AC2" s="62">
        <f t="shared" ref="AC2:AC8" ca="1" si="7">IF(MONTH(TODAY())=2,COUNTIFS($A:$A,$S$1,$E:$E,"Enviado",$D:$D,"&lt;&gt;A partir de Fevereiro",$D:$D,"&lt;&gt;Não se aplica",$C:$C,R2),
IF(MONTH(TODAY())=3,COUNTIFS($A:$A,$S$1,$F:$F,"Enviado",$D:$D,"&lt;&gt;A partir de Fevereiro",$D:$D,"&lt;&gt;Não se aplica",$C:$C,R2),
IF(MONTH(TODAY())=4,COUNTIFS($A:$A,$S$1,$G:$G,"Enviado",$D:$D,"&lt;&gt;A partir de Fevereiro",$D:$D,"&lt;&gt;Não se aplica",$C:$C,R2),
IF(MONTH(TODAY())=5,COUNTIFS($A:$A,$S$1,$H:$H,"Enviado",$D:$D,"&lt;&gt;A partir de Fevereiro",$D:$D,"&lt;&gt;Não se aplica",$C:$C,R2),
IF(MONTH(TODAY())=6,COUNTIFS($A:$A,$S$1,$I:$I,"Enviado",$D:$D,"&lt;&gt;A partir de Fevereiro",$D:$D,"&lt;&gt;Não se aplica",$C:$C,R2),
IF(MONTH(TODAY())=7,COUNTIFS($A:$A,$S$1,$J:$J,"Enviado",$D:$D,"&lt;&gt;A partir de Fevereiro",$D:$D,"&lt;&gt;Não se aplica",$C:$C,R2),
IF(MONTH(TODAY())=8,COUNTIFS($A:$A,$S$1,$K:$K,"Enviado",$D:$D,"&lt;&gt;A partir de Fevereiro",$D:$D,"&lt;&gt;Não se aplica",$C:$C,R2),
IF(MONTH(TODAY())=9,COUNTIFS($A:$A,$S$1,$L:$L,"Enviado",$D:$D,"&lt;&gt;A partir de Fevereiro",$D:$D,"&lt;&gt;Não se aplica",$C:$C,R2),
IF(MONTH(TODAY())=10,COUNTIFS($A:$A,$S$1,$M:$M,"Enviado",$D:$D,"&lt;&gt;A partir de Fevereiro",$D:$D,"&lt;&gt;Não se aplica",$C:$C,R2),
IF(MONTH(TODAY())=11,COUNTIFS($A:$A,$S$1,$N:$N,"Enviado",$D:$D,"&lt;&gt;A partir de Fevereiro",$D:$D,"&lt;&gt;Não se aplica",$C:$C,R2),
IF(MONTH(TODAY())=12,COUNTIFS($A:$A,$S$1,$O:$O,"Enviado",$D:$D,"&lt;&gt;A partir de Fevereiro",$D:$D,"&lt;&gt;Não se aplica",$C:$C,R2),COUNTIFS($A:$A,$S$1,$P:$P,"Enviado",$D:$D,"&lt;&gt;A partir de Fevereiro",$D:$D,"&lt;&gt;Não se aplica",$C:$C,R2))))))))))))</f>
        <v>0</v>
      </c>
      <c r="AD2" s="62">
        <f t="shared" ref="AD2:AD8" ca="1" si="8">IF(MONTH(TODAY())=2,COUNTIFS($A:$A,$T$1,$E:$E,"Enviado",$D:$D,"&lt;&gt;A partir de Fevereiro",$D:$D,"&lt;&gt;Não se aplica",$C:$C,R2),
IF(MONTH(TODAY())=3,COUNTIFS($A:$A,$T$1,$F:$F,"Enviado",$D:$D,"&lt;&gt;A partir de Fevereiro",$D:$D,"&lt;&gt;Não se aplica",$C:$C,R2),
IF(MONTH(TODAY())=4,COUNTIFS($A:$A,$T$1,$G:$G,"Enviado",$D:$D,"&lt;&gt;A partir de Fevereiro",$D:$D,"&lt;&gt;Não se aplica",$C:$C,R2),
IF(MONTH(TODAY())=5,COUNTIFS($A:$A,$T$1,$H:$H,"Enviado",$D:$D,"&lt;&gt;A partir de Fevereiro",$D:$D,"&lt;&gt;Não se aplica",$C:$C,R2),
IF(MONTH(TODAY())=6,COUNTIFS($A:$A,$T$1,$I:$I,"Enviado",$D:$D,"&lt;&gt;A partir de Fevereiro",$D:$D,"&lt;&gt;Não se aplica",$C:$C,R2),
IF(MONTH(TODAY())=7,COUNTIFS($A:$A,$T$1,$J:$J,"Enviado",$D:$D,"&lt;&gt;A partir de Fevereiro",$D:$D,"&lt;&gt;Não se aplica",$C:$C,R2),
IF(MONTH(TODAY())=8,COUNTIFS($A:$A,$T$1,$K:$K,"Enviado",$D:$D,"&lt;&gt;A partir de Fevereiro",$D:$D,"&lt;&gt;Não se aplica",$C:$C,R2),
IF(MONTH(TODAY())=9,COUNTIFS($A:$A,$T$1,$L:$L,"Enviado",$D:$D,"&lt;&gt;A partir de Fevereiro",$D:$D,"&lt;&gt;Não se aplica",$C:$C,R2),
IF(MONTH(TODAY())=10,COUNTIFS($A:$A,$T$1,$M:$M,"Enviado",$D:$D,"&lt;&gt;A partir de Fevereiro",$D:$D,"&lt;&gt;Não se aplica",$C:$C,R2),
IF(MONTH(TODAY())=11,COUNTIFS($A:$A,$T$1,$N:$N,"Enviado",$D:$D,"&lt;&gt;A partir de Fevereiro",$D:$D,"&lt;&gt;Não se aplica",$C:$C,R2),
IF(MONTH(TODAY())=12,COUNTIFS($A:$A,$T$1,$O:$O,"Enviado",$D:$D,"&lt;&gt;A partir de Fevereiro",$D:$D,"&lt;&gt;Não se aplica",$C:$C,R2),COUNTIFS($A:$A,$T$1,$P:$P,"Enviado",$D:$D,"&lt;&gt;A partir de Fevereiro",$D:$D,"&lt;&gt;Não se aplica",$C:$C,R2))))))))))))</f>
        <v>0</v>
      </c>
      <c r="AE2" s="62">
        <f t="shared" ref="AE2:AE8" ca="1" si="9">IF(MONTH(TODAY())=2,COUNTIFS($A:$A,$U$1,$E:$E,"Enviado",$D:$D,"&lt;&gt;A partir de Fevereiro",$D:$D,"&lt;&gt;Não se aplica",$C:$C,R2),
IF(MONTH(TODAY())=3,COUNTIFS($A:$A,$U$1,$F:$F,"Enviado",$D:$D,"&lt;&gt;A partir de Fevereiro",$D:$D,"&lt;&gt;Não se aplica",$C:$C,R2),
IF(MONTH(TODAY())=4,COUNTIFS($A:$A,$U$1,$G:$G,"Enviado",$D:$D,"&lt;&gt;A partir de Fevereiro",$D:$D,"&lt;&gt;Não se aplica",$C:$C,R2),
IF(MONTH(TODAY())=5,COUNTIFS($A:$A,$U$1,$H:$H,"Enviado",$D:$D,"&lt;&gt;A partir de Fevereiro",$D:$D,"&lt;&gt;Não se aplica",$C:$C,R2),
IF(MONTH(TODAY())=6,COUNTIFS($A:$A,$U$1,$I:$I,"Enviado",$D:$D,"&lt;&gt;A partir de Fevereiro",$D:$D,"&lt;&gt;Não se aplica",$C:$C,R2),
IF(MONTH(TODAY())=7,COUNTIFS($A:$A,$U$1,$J:$J,"Enviado",$D:$D,"&lt;&gt;A partir de Fevereiro",$D:$D,"&lt;&gt;Não se aplica",$C:$C,R2),
IF(MONTH(TODAY())=8,COUNTIFS($A:$A,$U$1,$K:$K,"Enviado",$D:$D,"&lt;&gt;A partir de Fevereiro",$D:$D,"&lt;&gt;Não se aplica",$C:$C,R2),
IF(MONTH(TODAY())=9,COUNTIFS($A:$A,$U$1,$L:$L,"Enviado",$D:$D,"&lt;&gt;A partir de Fevereiro",$D:$D,"&lt;&gt;Não se aplica",$C:$C,R2),
IF(MONTH(TODAY())=10,COUNTIFS($A:$A,$U$1,$M:$M,"Enviado",$D:$D,"&lt;&gt;A partir de Fevereiro",$D:$D,"&lt;&gt;Não se aplica",$C:$C,R2),
IF(MONTH(TODAY())=11,COUNTIFS($A:$A,$U$1,$N:$N,"Enviado",$D:$D,"&lt;&gt;A partir de Fevereiro",$D:$D,"&lt;&gt;Não se aplica",$C:$C,R2),
IF(MONTH(TODAY())=12,COUNTIFS($A:$A,$U$1,$O:$O,"Enviado",$D:$D,"&lt;&gt;A partir de Fevereiro",$D:$D,"&lt;&gt;Não se aplica",$C:$C,R2),COUNTIFS($A:$A,$U$1,$P:$P,"Enviado",$D:$D,"&lt;&gt;A partir de Fevereiro",$D:$D,"&lt;&gt;Não se aplica",$C:$C,R2))))))))))))</f>
        <v>0</v>
      </c>
      <c r="AF2" s="62">
        <f t="shared" ref="AF2:AF8" ca="1" si="10">IF(MONTH(TODAY())=2,COUNTIFS($A:$A,$V$1,$E:$E,"Enviado",$D:$D,"&lt;&gt;A partir de Fevereiro",$D:$D,"&lt;&gt;Não se aplica",$C:$C,R2),
IF(MONTH(TODAY())=3,COUNTIFS($A:$A,$V$1,$F:$F,"Enviado",$D:$D,"&lt;&gt;A partir de Fevereiro",$D:$D,"&lt;&gt;Não se aplica",$C:$C,R2),
IF(MONTH(TODAY())=4,COUNTIFS($A:$A,$V$1,$G:$G,"Enviado",$D:$D,"&lt;&gt;A partir de Fevereiro",$D:$D,"&lt;&gt;Não se aplica",$C:$C,R2),
IF(MONTH(TODAY())=5,COUNTIFS($A:$A,$V$1,$H:$H,"Enviado",$D:$D,"&lt;&gt;A partir de Fevereiro",$D:$D,"&lt;&gt;Não se aplica",$C:$C,R2),
IF(MONTH(TODAY())=6,COUNTIFS($A:$A,$V$1,$I:$I,"Enviado",$D:$D,"&lt;&gt;A partir de Fevereiro",$D:$D,"&lt;&gt;Não se aplica",$C:$C,R2),
IF(MONTH(TODAY())=7,COUNTIFS($A:$A,$V$1,$J:$J,"Enviado",$D:$D,"&lt;&gt;A partir de Fevereiro",$D:$D,"&lt;&gt;Não se aplica",$C:$C,R2),
IF(MONTH(TODAY())=8,COUNTIFS($A:$A,$V$1,$K:$K,"Enviado",$D:$D,"&lt;&gt;A partir de Fevereiro",$D:$D,"&lt;&gt;Não se aplica",$C:$C,R2),
IF(MONTH(TODAY())=9,COUNTIFS($A:$A,$V$1,$L:$L,"Enviado",$D:$D,"&lt;&gt;A partir de Fevereiro",$D:$D,"&lt;&gt;Não se aplica",$C:$C,R2),
IF(MONTH(TODAY())=10,COUNTIFS($A:$A,$V$1,$M:$M,"Enviado",$D:$D,"&lt;&gt;A partir de Fevereiro",$D:$D,"&lt;&gt;Não se aplica",$C:$C,R2),
IF(MONTH(TODAY())=11,COUNTIFS($A:$A,$V$1,$N:$N,"Enviado",$D:$D,"&lt;&gt;A partir de Fevereiro",$D:$D,"&lt;&gt;Não se aplica",$C:$C,R2),
IF(MONTH(TODAY())=12,COUNTIFS($A:$A,$V$1,$O:$O,"Enviado",$D:$D,"&lt;&gt;A partir de Fevereiro",$D:$D,"&lt;&gt;Não se aplica",$C:$C,R2),COUNTIFS($A:$A,$V$1,$P:$P,"Enviado",$D:$D,"&lt;&gt;A partir de Fevereiro",$D:$D,"&lt;&gt;Não se aplica",$C:$C,R2))))))))))))</f>
        <v>2</v>
      </c>
      <c r="AG2" s="62">
        <f t="shared" ref="AG2:AG8" ca="1" si="11">IF(MONTH(TODAY())=2,COUNTIFS($A:$A,$W$1,$E:$E,"Enviado",$D:$D,"&lt;&gt;A partir de Fevereiro",$D:$D,"&lt;&gt;Não se aplica",$C:$C,R2),
IF(MONTH(TODAY())=3,COUNTIFS($A:$A,$W$1,$F:$F,"Enviado",$D:$D,"&lt;&gt;A partir de Fevereiro",$D:$D,"&lt;&gt;Não se aplica",$C:$C,R2),
IF(MONTH(TODAY())=4,COUNTIFS($A:$A,$W$1,$G:$G,"Enviado",$D:$D,"&lt;&gt;A partir de Fevereiro",$D:$D,"&lt;&gt;Não se aplica",$C:$C,R2),
IF(MONTH(TODAY())=5,COUNTIFS($A:$A,$W$1,$H:$H,"Enviado",$D:$D,"&lt;&gt;A partir de Fevereiro",$D:$D,"&lt;&gt;Não se aplica",$C:$C,R2),
IF(MONTH(TODAY())=6,COUNTIFS($A:$A,$W$1,$I:$I,"Enviado",$D:$D,"&lt;&gt;A partir de Fevereiro",$D:$D,"&lt;&gt;Não se aplica",$C:$C,R2),
IF(MONTH(TODAY())=7,COUNTIFS($A:$A,$W$1,$J:$J,"Enviado",$D:$D,"&lt;&gt;A partir de Fevereiro",$D:$D,"&lt;&gt;Não se aplica",$C:$C,R2),
IF(MONTH(TODAY())=8,COUNTIFS($A:$A,$W$1,$K:$K,"Enviado",$D:$D,"&lt;&gt;A partir de Fevereiro",$D:$D,"&lt;&gt;Não se aplica",$C:$C,R2),
IF(MONTH(TODAY())=9,COUNTIFS($A:$A,$W$1,$L:$L,"Enviado",$D:$D,"&lt;&gt;A partir de Fevereiro",$D:$D,"&lt;&gt;Não se aplica",$C:$C,R2),
IF(MONTH(TODAY())=10,COUNTIFS($A:$A,$W$1,$M:$M,"Enviado",$D:$D,"&lt;&gt;A partir de Fevereiro",$D:$D,"&lt;&gt;Não se aplica",$C:$C,R2),
IF(MONTH(TODAY())=11,COUNTIFS($A:$A,$W$1,$N:$N,"Enviado",$D:$D,"&lt;&gt;A partir de Fevereiro",$D:$D,"&lt;&gt;Não se aplica",$C:$C,R2),
IF(MONTH(TODAY())=12,COUNTIFS($A:$A,$W$1,$O:$O,"Enviado",$D:$D,"&lt;&gt;A partir de Fevereiro",$D:$D,"&lt;&gt;Não se aplica",$C:$C,R2),COUNTIFS($A:$A,$W$1,$P:$P,"Enviado",$D:$D,"&lt;&gt;A partir de Fevereiro",$D:$D,"&lt;&gt;Não se aplica",$C:$C,R2))))))))))))</f>
        <v>3</v>
      </c>
      <c r="AH2" s="62" t="s">
        <v>306</v>
      </c>
    </row>
    <row r="3" spans="1:34" x14ac:dyDescent="0.3">
      <c r="A3" s="39" t="s">
        <v>33</v>
      </c>
      <c r="B3" s="4" t="s">
        <v>34</v>
      </c>
      <c r="C3" s="5" t="s">
        <v>35</v>
      </c>
      <c r="D3" s="4" t="str">
        <f>_xlfn.XLOOKUP(B3,'Previsto x realizado'!B7,'Previsto x realizado'!F7)</f>
        <v>Jan-Dez/26</v>
      </c>
      <c r="E3" s="51" t="str">
        <f>IF(_xlfn.ISFORMULA('Previsto x realizado'!AW7) = FALSE, "","Enviado")</f>
        <v>Enviado</v>
      </c>
      <c r="F3" s="51" t="str">
        <f>IF(_xlfn.ISFORMULA('Previsto x realizado'!AX7) = FALSE, "","Enviado")</f>
        <v>Enviado</v>
      </c>
      <c r="G3" s="51" t="str">
        <f>IF(_xlfn.ISFORMULA('Previsto x realizado'!AY7) = FALSE, "","Enviado")</f>
        <v>Enviado</v>
      </c>
      <c r="H3" s="51" t="str">
        <f>IF(_xlfn.ISFORMULA('Previsto x realizado'!AZ7) = FALSE, "","Enviado")</f>
        <v>Enviado</v>
      </c>
      <c r="I3" s="51" t="str">
        <f>IF(_xlfn.ISFORMULA('Previsto x realizado'!BA7) = FALSE, "","Enviado")</f>
        <v/>
      </c>
      <c r="J3" s="51" t="str">
        <f>IF(_xlfn.ISFORMULA('Previsto x realizado'!BB7) = FALSE, "","Enviado")</f>
        <v/>
      </c>
      <c r="K3" s="51" t="str">
        <f>IF(_xlfn.ISFORMULA('Previsto x realizado'!BC7) = FALSE, "","Enviado")</f>
        <v/>
      </c>
      <c r="L3" s="51" t="str">
        <f>IF(_xlfn.ISFORMULA('Previsto x realizado'!BD7) = FALSE, "","Enviado")</f>
        <v/>
      </c>
      <c r="M3" s="51" t="str">
        <f>IF(_xlfn.ISFORMULA('Previsto x realizado'!BE7) = FALSE, "","Enviado")</f>
        <v/>
      </c>
      <c r="N3" s="51" t="str">
        <f>IF(_xlfn.ISFORMULA('Previsto x realizado'!BF7) = FALSE, "","Enviado")</f>
        <v/>
      </c>
      <c r="O3" s="51" t="str">
        <f>IF(_xlfn.ISFORMULA('Previsto x realizado'!BG7) = FALSE, "","Enviado")</f>
        <v/>
      </c>
      <c r="P3" s="51" t="str">
        <f>IF(_xlfn.ISFORMULA('Previsto x realizado'!BH7) = FALSE, "","Enviado")</f>
        <v/>
      </c>
      <c r="R3" t="s">
        <v>95</v>
      </c>
      <c r="S3" s="69">
        <f t="shared" ref="S3:S8" ca="1" si="12">IFERROR((IF(MONTH(TODAY())=2,COUNTIFS($A:$A,$S$1,$E:$E,"Enviado",$D:$D,"&lt;&gt;A partir de Fevereiro",$D:$D,"&lt;&gt;Não se aplica",$C:$C,R3)/COUNTIFS($A:$A,$S$1,$D:$D,"&lt;&gt;A partir de Fevereiro",$D:$D,"&lt;&gt;Não se aplica",$C:$C,R3),IF(MONTH(TODAY())=3,COUNTIFS($A:$A,$S$1,$F:$F,"Enviado",$D:$D,"&lt;&gt;A partir de Fevereiro",$D:$D,"&lt;&gt;Não se aplica",$C:$C,R3)/COUNTIFS($A:$A,$S$1,$D:$D,"&lt;&gt;A partir de Fevereiro",$D:$D,"&lt;&gt;Não se aplica",$C:$C,R3),
IF(MONTH(TODAY())=4,COUNTIFS($A:$A,$S$1,$G:$G,"Enviado",$D:$D,"&lt;&gt;A partir de Fevereiro",$D:$D,"&lt;&gt;Não se aplica",$C:$C,R3)/COUNTIFS($A:$A,$S$1,$D:$D,"&lt;&gt;A partir de Fevereiro",$D:$D,"&lt;&gt;Não se aplica",$C:$C,R3),
IF(MONTH(TODAY())=5,COUNTIFS($A:$A,$S$1,$H:$H,"Enviado",$D:$D,"&lt;&gt;A partir de Fevereiro",$D:$D,"&lt;&gt;Não se aplica",$C:$C,R3)/COUNTIFS($A:$A,$S$1,$D:$D,"&lt;&gt;A partir de Fevereiro",$D:$D,"&lt;&gt;Não se aplica",$C:$C,R3),
IF(MONTH(TODAY())=6,COUNTIFS($A:$A,$S$1,$I:$I,"Enviado",$D:$D,"&lt;&gt;A partir de Fevereiro",$D:$D,"&lt;&gt;Não se aplica",$C:$C,R3)/COUNTIFS($A:$A,$S$1,$D:$D,"&lt;&gt;A partir de Fevereiro",$D:$D,"&lt;&gt;Não se aplica",$C:$C,R3),
IF(MONTH(TODAY())=7,COUNTIFS($A:$A,$S$1,$J:$J,"Enviado",$D:$D,"&lt;&gt;A partir de Fevereiro",$D:$D,"&lt;&gt;Não se aplica",$C:$C,R3)/COUNTIFS($A:$A,$S$1,$D:$D,"&lt;&gt;A partir de Fevereiro",$D:$D,"&lt;&gt;Não se aplica",$C:$C,R3),
IF(MONTH(TODAY())=8,COUNTIFS($A:$A,$S$1,$K:$K,"Enviado",$D:$D,"&lt;&gt;A partir de Fevereiro",$D:$D,"&lt;&gt;Não se aplica",$C:$C,R3)/COUNTIFS($A:$A,$S$1,$D:$D,"&lt;&gt;A partir de Fevereiro",$D:$D,"&lt;&gt;Não se aplica",$C:$C,R3),
IF(MONTH(TODAY())=9,COUNTIFS($A:$A,$S$1,$L:$L,"Enviado",$D:$D,"&lt;&gt;A partir de Fevereiro",$D:$D,"&lt;&gt;Não se aplica",$C:$C,R3)/COUNTIFS($A:$A,$S$1,$D:$D,"&lt;&gt;A partir de Fevereiro",$D:$D,"&lt;&gt;Não se aplica",$C:$C,R3),
IF(MONTH(TODAY())=10,COUNTIFS($A:$A,$S$1,$M:$M,"Enviado",$D:$D,"&lt;&gt;A partir de Fevereiro",$D:$D,"&lt;&gt;Não se aplica",$C:$C,R3)/COUNTIFS($A:$A,$S$1,$D:$D,"&lt;&gt;A partir de Fevereiro",$D:$D,"&lt;&gt;Não se aplica",$C:$C,R3),
IF(MONTH(TODAY())=11,COUNTIFS($A:$A,$S$1,$N:$N,"Enviado",$D:$D,"&lt;&gt;A partir de Fevereiro",$D:$D,"&lt;&gt;Não se aplica",$C:$C,R3)/COUNTIFS($A:$A,$S$1,$D:$D,"&lt;&gt;A partir de Fevereiro",$D:$D,"&lt;&gt;Não se aplica",$C:$C,R3),
IF(MONTH(TODAY())=12,COUNTIFS($A:$A,$S$1,$O:$O,"Enviado",$D:$D,"&lt;&gt;A partir de Fevereiro",$D:$D,"&lt;&gt;Não se aplica",$C:$C,R3)/COUNTIFS($A:$A,$S$1,$D:$D,"&lt;&gt;A partir de Fevereiro",$D:$D,"&lt;&gt;Não se aplica",$C:$C,R3),COUNTIFS($A:$A,$S$1,$P:$P,"Enviado",$D:$D,"&lt;&gt;A partir de Fevereiro",$D:$D,"&lt;&gt;Não se aplica",$C:$C,R3)/COUNTIFS($A:$A,$S$1,$D:$D,"&lt;&gt;A partir de Fevereiro",$D:$D,"&lt;&gt;Não se aplica",$C:$C,R3)))))))))))))*100,0)</f>
        <v>0</v>
      </c>
      <c r="T3" s="69">
        <f t="shared" ca="1" si="0"/>
        <v>0</v>
      </c>
      <c r="U3" s="69">
        <f t="shared" ref="U3:U8" ca="1" si="13">IFERROR((IF(MONTH(TODAY())=2,COUNTIFS($A:$A,$U$1,$E:$E,"Enviado",$D:$D,"&lt;&gt;A partir de Fevereiro",$D:$D,"&lt;&gt;Não se aplica",$C:$C,R3)/COUNTIFS($A:$A,$U$1,$D:$D,"&lt;&gt;A partir de Fevereiro",$D:$D,"&lt;&gt;Não se aplica",$C:$C,R3),IF(MONTH(TODAY())=3,COUNTIFS($A:$A,$U$1,$F:$F,"Enviado",$D:$D,"&lt;&gt;A partir de Fevereiro",$D:$D,"&lt;&gt;Não se aplica",$C:$C,R3)/COUNTIFS($A:$A,$U$1,$D:$D,"&lt;&gt;A partir de Fevereiro",$D:$D,"&lt;&gt;Não se aplica",$C:$C,R3),
IF(MONTH(TODAY())=4,COUNTIFS($A:$A,$U$1,$G:$G,"Enviado",$D:$D,"&lt;&gt;A partir de Fevereiro",$D:$D,"&lt;&gt;Não se aplica",$C:$C,R3)/COUNTIFS($A:$A,$U$1,$D:$D,"&lt;&gt;A partir de Fevereiro",$D:$D,"&lt;&gt;Não se aplica",$C:$C,R3),
IF(MONTH(TODAY())=5,COUNTIFS($A:$A,$U$1,$H:$H,"Enviado",$D:$D,"&lt;&gt;A partir de Fevereiro",$D:$D,"&lt;&gt;Não se aplica",$C:$C,R3)/COUNTIFS($A:$A,$U$1,$D:$D,"&lt;&gt;A partir de Fevereiro",$D:$D,"&lt;&gt;Não se aplica",$C:$C,R3),
IF(MONTH(TODAY())=6,COUNTIFS($A:$A,$U$1,$I:$I,"Enviado",$D:$D,"&lt;&gt;A partir de Fevereiro",$D:$D,"&lt;&gt;Não se aplica",$C:$C,R3)/COUNTIFS($A:$A,$U$1,$D:$D,"&lt;&gt;A partir de Fevereiro",$D:$D,"&lt;&gt;Não se aplica",$C:$C,R3),
IF(MONTH(TODAY())=7,COUNTIFS($A:$A,$U$1,$J:$J,"Enviado",$D:$D,"&lt;&gt;A partir de Fevereiro",$D:$D,"&lt;&gt;Não se aplica",$C:$C,R3)/COUNTIFS($A:$A,$U$1,$D:$D,"&lt;&gt;A partir de Fevereiro",$D:$D,"&lt;&gt;Não se aplica",$C:$C,R3),
IF(MONTH(TODAY())=8,COUNTIFS($A:$A,$U$1,$K:$K,"Enviado",$D:$D,"&lt;&gt;A partir de Fevereiro",$D:$D,"&lt;&gt;Não se aplica",$C:$C,R3)/COUNTIFS($A:$A,$U$1,$D:$D,"&lt;&gt;A partir de Fevereiro",$D:$D,"&lt;&gt;Não se aplica",$C:$C,R3),
IF(MONTH(TODAY())=9,COUNTIFS($A:$A,$U$1,$L:$L,"Enviado",$D:$D,"&lt;&gt;A partir de Fevereiro",$D:$D,"&lt;&gt;Não se aplica",$C:$C,R3)/COUNTIFS($A:$A,$U$1,$D:$D,"&lt;&gt;A partir de Fevereiro",$D:$D,"&lt;&gt;Não se aplica",$C:$C,R3),
IF(MONTH(TODAY())=10,COUNTIFS($A:$A,$U$1,$M:$M,"Enviado",$D:$D,"&lt;&gt;A partir de Fevereiro",$D:$D,"&lt;&gt;Não se aplica",$C:$C,R3)/COUNTIFS($A:$A,$U$1,$D:$D,"&lt;&gt;A partir de Fevereiro",$D:$D,"&lt;&gt;Não se aplica",$C:$C,R3),
IF(MONTH(TODAY())=11,COUNTIFS($A:$A,$U$1,$N:$N,"Enviado",$D:$D,"&lt;&gt;A partir de Fevereiro",$D:$D,"&lt;&gt;Não se aplica",$C:$C,R3)/COUNTIFS($A:$A,$U$1,$D:$D,"&lt;&gt;A partir de Fevereiro",$D:$D,"&lt;&gt;Não se aplica",$C:$C,R3),
IF(MONTH(TODAY())=12,COUNTIFS($A:$A,$U$1,$O:$O,"Enviado",$D:$D,"&lt;&gt;A partir de Fevereiro",$D:$D,"&lt;&gt;Não se aplica",$C:$C,R3)/COUNTIFS($A:$A,$U$1,$D:$D,"&lt;&gt;A partir de Fevereiro",$D:$D,"&lt;&gt;Não se aplica",$C:$C,R3),COUNTIFS($A:$A,$U$1,$P:$P,"Enviado",$D:$D,"&lt;&gt;A partir de Fevereiro",$D:$D,"&lt;&gt;Não se aplica",$C:$C,R3)/COUNTIFS($A:$A,$U$1,$D:$D,"&lt;&gt;A partir de Fevereiro",$D:$D,"&lt;&gt;Não se aplica",$C:$C,R3)))))))))))))*100,0)</f>
        <v>0</v>
      </c>
      <c r="V3" s="69">
        <f t="shared" ca="1" si="1"/>
        <v>0</v>
      </c>
      <c r="W3" s="69">
        <f t="shared" ref="W3:W8" ca="1" si="14">IFERROR((IF(MONTH(TODAY())=2,COUNTIFS($A:$A,$W$1,$E:$E,"Enviado",$D:$D,"&lt;&gt;A partir de Fevereiro",$D:$D,"&lt;&gt;Não se aplica",$C:$C,R3)/COUNTIFS($A:$A,$W$1,$D:$D,"&lt;&gt;A partir de Fevereiro",$D:$D,"&lt;&gt;Não se aplica",$C:$C,R3),IF(MONTH(TODAY())=3,COUNTIFS($A:$A,$W$1,$F:$F,"Enviado",$D:$D,"&lt;&gt;A partir de Fevereiro",$D:$D,"&lt;&gt;Não se aplica",$C:$C,R3)/COUNTIFS($A:$A,$W$1,$D:$D,"&lt;&gt;A partir de Fevereiro",$D:$D,"&lt;&gt;Não se aplica",$C:$C,R3),
IF(MONTH(TODAY())=4,COUNTIFS($A:$A,$W$1,$G:$G,"Enviado",$D:$D,"&lt;&gt;A partir de Fevereiro",$D:$D,"&lt;&gt;Não se aplica",$C:$C,R3)/COUNTIFS($A:$A,$W$1,$D:$D,"&lt;&gt;A partir de Fevereiro",$D:$D,"&lt;&gt;Não se aplica",$C:$C,R3),
IF(MONTH(TODAY())=5,COUNTIFS($A:$A,$W$1,$H:$H,"Enviado",$D:$D,"&lt;&gt;A partir de Fevereiro",$D:$D,"&lt;&gt;Não se aplica",$C:$C,R3)/COUNTIFS($A:$A,$W$1,$D:$D,"&lt;&gt;A partir de Fevereiro",$D:$D,"&lt;&gt;Não se aplica",$C:$C,R3),
IF(MONTH(TODAY())=6,COUNTIFS($A:$A,$W$1,$I:$I,"Enviado",$D:$D,"&lt;&gt;A partir de Fevereiro",$D:$D,"&lt;&gt;Não se aplica",$C:$C,R3)/COUNTIFS($A:$A,$W$1,$D:$D,"&lt;&gt;A partir de Fevereiro",$D:$D,"&lt;&gt;Não se aplica",$C:$C,R3),
IF(MONTH(TODAY())=7,COUNTIFS($A:$A,$W$1,$J:$J,"Enviado",$D:$D,"&lt;&gt;A partir de Fevereiro",$D:$D,"&lt;&gt;Não se aplica",$C:$C,R3)/COUNTIFS($A:$A,$W$1,$D:$D,"&lt;&gt;A partir de Fevereiro",$D:$D,"&lt;&gt;Não se aplica",$C:$C,R3),
IF(MONTH(TODAY())=8,COUNTIFS($A:$A,$W$1,$K:$K,"Enviado",$D:$D,"&lt;&gt;A partir de Fevereiro",$D:$D,"&lt;&gt;Não se aplica",$C:$C,R3)/COUNTIFS($A:$A,$W$1,$D:$D,"&lt;&gt;A partir de Fevereiro",$D:$D,"&lt;&gt;Não se aplica",$C:$C,R3),
IF(MONTH(TODAY())=9,COUNTIFS($A:$A,$W$1,$L:$L,"Enviado",$D:$D,"&lt;&gt;A partir de Fevereiro",$D:$D,"&lt;&gt;Não se aplica",$C:$C,R3)/COUNTIFS($A:$A,$W$1,$D:$D,"&lt;&gt;A partir de Fevereiro",$D:$D,"&lt;&gt;Não se aplica",$C:$C,R3),
IF(MONTH(TODAY())=10,COUNTIFS($A:$A,$W$1,$M:$M,"Enviado",$D:$D,"&lt;&gt;A partir de Fevereiro",$D:$D,"&lt;&gt;Não se aplica",$C:$C,R3)/COUNTIFS($A:$A,$W$1,$D:$D,"&lt;&gt;A partir de Fevereiro",$D:$D,"&lt;&gt;Não se aplica",$C:$C,R3),
IF(MONTH(TODAY())=11,COUNTIFS($A:$A,$W$1,$N:$N,"Enviado",$D:$D,"&lt;&gt;A partir de Fevereiro",$D:$D,"&lt;&gt;Não se aplica",$C:$C,R3)/COUNTIFS($A:$A,$W$1,$D:$D,"&lt;&gt;A partir de Fevereiro",$D:$D,"&lt;&gt;Não se aplica",$C:$C,R3),
IF(MONTH(TODAY())=12,COUNTIFS($A:$A,$W$1,$O:$O,"Enviado",$D:$D,"&lt;&gt;A partir de Fevereiro",$D:$D,"&lt;&gt;Não se aplica",$C:$C,R3)/COUNTIFS($A:$A,$W$1,$D:$D,"&lt;&gt;A partir de Fevereiro",$D:$D,"&lt;&gt;Não se aplica",$C:$C,R3),COUNTIFS($A:$A,$W$1,$P:$P,"Enviado",$D:$D,"&lt;&gt;A partir de Fevereiro",$D:$D,"&lt;&gt;Não se aplica",$C:$C,R3)/COUNTIFS($A:$A,$W$1,$D:$D,"&lt;&gt;A partir de Fevereiro",$D:$D,"&lt;&gt;Não se aplica",$C:$C,R3)))))))))))))*100,0)</f>
        <v>0</v>
      </c>
      <c r="X3" s="62">
        <f t="shared" si="2"/>
        <v>10</v>
      </c>
      <c r="Y3" s="62">
        <f t="shared" si="3"/>
        <v>0</v>
      </c>
      <c r="Z3" s="62">
        <f t="shared" si="4"/>
        <v>13</v>
      </c>
      <c r="AA3" s="62">
        <f t="shared" si="5"/>
        <v>4</v>
      </c>
      <c r="AB3" s="62">
        <f t="shared" si="6"/>
        <v>6</v>
      </c>
      <c r="AC3" s="62">
        <f t="shared" ca="1" si="7"/>
        <v>0</v>
      </c>
      <c r="AD3" s="62">
        <f t="shared" ca="1" si="8"/>
        <v>0</v>
      </c>
      <c r="AE3" s="62">
        <f t="shared" ca="1" si="9"/>
        <v>0</v>
      </c>
      <c r="AF3" s="62">
        <f t="shared" ca="1" si="10"/>
        <v>0</v>
      </c>
      <c r="AG3" s="62">
        <f t="shared" ca="1" si="11"/>
        <v>0</v>
      </c>
      <c r="AH3" s="62" t="s">
        <v>307</v>
      </c>
    </row>
    <row r="4" spans="1:34" x14ac:dyDescent="0.3">
      <c r="A4" s="3" t="s">
        <v>33</v>
      </c>
      <c r="B4" s="4" t="s">
        <v>53</v>
      </c>
      <c r="C4" s="5" t="s">
        <v>35</v>
      </c>
      <c r="D4" s="4" t="str">
        <f>_xlfn.XLOOKUP(B4,'Previsto x realizado'!B10,'Previsto x realizado'!F10)</f>
        <v>Jan-Dez/26</v>
      </c>
      <c r="E4" s="51" t="str">
        <f>IF(_xlfn.ISFORMULA('Previsto x realizado'!AW10) = FALSE, "","Enviado")</f>
        <v>Enviado</v>
      </c>
      <c r="F4" s="51" t="str">
        <f>IF(_xlfn.ISFORMULA('Previsto x realizado'!AX10) = FALSE, "","Enviado")</f>
        <v>Enviado</v>
      </c>
      <c r="G4" s="51" t="str">
        <f>IF(_xlfn.ISFORMULA('Previsto x realizado'!AY10) = FALSE, "","Enviado")</f>
        <v>Enviado</v>
      </c>
      <c r="H4" s="51" t="str">
        <f>IF(_xlfn.ISFORMULA('Previsto x realizado'!AZ10) = FALSE, "","Enviado")</f>
        <v>Enviado</v>
      </c>
      <c r="I4" s="51" t="str">
        <f>IF(_xlfn.ISFORMULA('Previsto x realizado'!BA10) = FALSE, "","Enviado")</f>
        <v/>
      </c>
      <c r="J4" s="51" t="str">
        <f>IF(_xlfn.ISFORMULA('Previsto x realizado'!BB10) = FALSE, "","Enviado")</f>
        <v/>
      </c>
      <c r="K4" s="51" t="str">
        <f>IF(_xlfn.ISFORMULA('Previsto x realizado'!BC10) = FALSE, "","Enviado")</f>
        <v/>
      </c>
      <c r="L4" s="51" t="str">
        <f>IF(_xlfn.ISFORMULA('Previsto x realizado'!BD10) = FALSE, "","Enviado")</f>
        <v/>
      </c>
      <c r="M4" s="51" t="str">
        <f>IF(_xlfn.ISFORMULA('Previsto x realizado'!BE10) = FALSE, "","Enviado")</f>
        <v/>
      </c>
      <c r="N4" s="51" t="str">
        <f>IF(_xlfn.ISFORMULA('Previsto x realizado'!BF10) = FALSE, "","Enviado")</f>
        <v/>
      </c>
      <c r="O4" s="51" t="str">
        <f>IF(_xlfn.ISFORMULA('Previsto x realizado'!BG10) = FALSE, "","Enviado")</f>
        <v/>
      </c>
      <c r="P4" s="51" t="str">
        <f>IF(_xlfn.ISFORMULA('Previsto x realizado'!BH10) = FALSE, "","Enviado")</f>
        <v/>
      </c>
      <c r="R4" t="s">
        <v>97</v>
      </c>
      <c r="S4" s="69">
        <f t="shared" ca="1" si="12"/>
        <v>93.333333333333329</v>
      </c>
      <c r="T4" s="69">
        <f t="shared" ca="1" si="0"/>
        <v>0</v>
      </c>
      <c r="U4" s="69">
        <f t="shared" ca="1" si="13"/>
        <v>50</v>
      </c>
      <c r="V4" s="69">
        <f t="shared" ca="1" si="1"/>
        <v>0</v>
      </c>
      <c r="W4" s="69">
        <f t="shared" ca="1" si="14"/>
        <v>50</v>
      </c>
      <c r="X4" s="62">
        <f t="shared" si="2"/>
        <v>15</v>
      </c>
      <c r="Y4" s="62">
        <f t="shared" si="3"/>
        <v>0</v>
      </c>
      <c r="Z4" s="62">
        <f t="shared" si="4"/>
        <v>14</v>
      </c>
      <c r="AA4" s="62">
        <f t="shared" si="5"/>
        <v>4</v>
      </c>
      <c r="AB4" s="62">
        <f t="shared" si="6"/>
        <v>6</v>
      </c>
      <c r="AC4" s="62">
        <f t="shared" ca="1" si="7"/>
        <v>14</v>
      </c>
      <c r="AD4" s="62">
        <f t="shared" ca="1" si="8"/>
        <v>0</v>
      </c>
      <c r="AE4" s="62">
        <f t="shared" ca="1" si="9"/>
        <v>7</v>
      </c>
      <c r="AF4" s="62">
        <f t="shared" ca="1" si="10"/>
        <v>0</v>
      </c>
      <c r="AG4" s="62">
        <f t="shared" ca="1" si="11"/>
        <v>3</v>
      </c>
      <c r="AH4" s="62" t="s">
        <v>308</v>
      </c>
    </row>
    <row r="5" spans="1:34" x14ac:dyDescent="0.3">
      <c r="A5" s="39" t="s">
        <v>33</v>
      </c>
      <c r="B5" s="4" t="s">
        <v>53</v>
      </c>
      <c r="C5" s="5" t="s">
        <v>35</v>
      </c>
      <c r="D5" s="4" t="str">
        <f>_xlfn.XLOOKUP(B5,'Previsto x realizado'!B11,'Previsto x realizado'!F11)</f>
        <v>Jan-Dez/26</v>
      </c>
      <c r="E5" s="51" t="str">
        <f>IF(_xlfn.ISFORMULA('Previsto x realizado'!AW11) = FALSE, "","Enviado")</f>
        <v>Enviado</v>
      </c>
      <c r="F5" s="51" t="str">
        <f>IF(_xlfn.ISFORMULA('Previsto x realizado'!AX11) = FALSE, "","Enviado")</f>
        <v>Enviado</v>
      </c>
      <c r="G5" s="51" t="str">
        <f>IF(_xlfn.ISFORMULA('Previsto x realizado'!AY11) = FALSE, "","Enviado")</f>
        <v>Enviado</v>
      </c>
      <c r="H5" s="51" t="str">
        <f>IF(_xlfn.ISFORMULA('Previsto x realizado'!AZ11) = FALSE, "","Enviado")</f>
        <v>Enviado</v>
      </c>
      <c r="I5" s="51" t="str">
        <f>IF(_xlfn.ISFORMULA('Previsto x realizado'!BA11) = FALSE, "","Enviado")</f>
        <v/>
      </c>
      <c r="J5" s="51" t="str">
        <f>IF(_xlfn.ISFORMULA('Previsto x realizado'!BB11) = FALSE, "","Enviado")</f>
        <v/>
      </c>
      <c r="K5" s="51" t="str">
        <f>IF(_xlfn.ISFORMULA('Previsto x realizado'!BC11) = FALSE, "","Enviado")</f>
        <v/>
      </c>
      <c r="L5" s="51" t="str">
        <f>IF(_xlfn.ISFORMULA('Previsto x realizado'!BD11) = FALSE, "","Enviado")</f>
        <v/>
      </c>
      <c r="M5" s="51" t="str">
        <f>IF(_xlfn.ISFORMULA('Previsto x realizado'!BE11) = FALSE, "","Enviado")</f>
        <v/>
      </c>
      <c r="N5" s="51" t="str">
        <f>IF(_xlfn.ISFORMULA('Previsto x realizado'!BF11) = FALSE, "","Enviado")</f>
        <v/>
      </c>
      <c r="O5" s="51" t="str">
        <f>IF(_xlfn.ISFORMULA('Previsto x realizado'!BG11) = FALSE, "","Enviado")</f>
        <v/>
      </c>
      <c r="P5" s="51" t="str">
        <f>IF(_xlfn.ISFORMULA('Previsto x realizado'!BH11) = FALSE, "","Enviado")</f>
        <v/>
      </c>
      <c r="R5" t="s">
        <v>209</v>
      </c>
      <c r="S5" s="69">
        <f t="shared" ca="1" si="12"/>
        <v>0</v>
      </c>
      <c r="T5" s="69">
        <f t="shared" ca="1" si="0"/>
        <v>0</v>
      </c>
      <c r="U5" s="69">
        <f t="shared" ca="1" si="13"/>
        <v>41.666666666666671</v>
      </c>
      <c r="V5" s="69">
        <f t="shared" ca="1" si="1"/>
        <v>0</v>
      </c>
      <c r="W5" s="69">
        <f t="shared" ca="1" si="14"/>
        <v>33.333333333333329</v>
      </c>
      <c r="X5" s="62">
        <f t="shared" si="2"/>
        <v>12</v>
      </c>
      <c r="Y5" s="62">
        <f t="shared" si="3"/>
        <v>0</v>
      </c>
      <c r="Z5" s="62">
        <f t="shared" si="4"/>
        <v>12</v>
      </c>
      <c r="AA5" s="62">
        <f t="shared" si="5"/>
        <v>4</v>
      </c>
      <c r="AB5" s="62">
        <f t="shared" si="6"/>
        <v>6</v>
      </c>
      <c r="AC5" s="62">
        <f t="shared" ca="1" si="7"/>
        <v>0</v>
      </c>
      <c r="AD5" s="62">
        <f t="shared" ca="1" si="8"/>
        <v>0</v>
      </c>
      <c r="AE5" s="62">
        <f t="shared" ca="1" si="9"/>
        <v>5</v>
      </c>
      <c r="AF5" s="62">
        <f t="shared" ca="1" si="10"/>
        <v>0</v>
      </c>
      <c r="AG5" s="62">
        <f t="shared" ca="1" si="11"/>
        <v>2</v>
      </c>
      <c r="AH5" s="62" t="s">
        <v>309</v>
      </c>
    </row>
    <row r="6" spans="1:34" x14ac:dyDescent="0.3">
      <c r="A6" s="3" t="s">
        <v>33</v>
      </c>
      <c r="B6" s="4" t="s">
        <v>310</v>
      </c>
      <c r="C6" s="5" t="s">
        <v>35</v>
      </c>
      <c r="D6" s="4" t="e">
        <f>_xlfn.XLOOKUP(B6,'Previsto x realizado'!B14,'Previsto x realizado'!F14)</f>
        <v>#N/A</v>
      </c>
      <c r="E6" s="51" t="str">
        <f>IF(_xlfn.ISFORMULA('Previsto x realizado'!AW14) = FALSE, "","Enviado")</f>
        <v>Enviado</v>
      </c>
      <c r="F6" s="51" t="str">
        <f>IF(_xlfn.ISFORMULA('Previsto x realizado'!AX14) = FALSE, "","Enviado")</f>
        <v>Enviado</v>
      </c>
      <c r="G6" s="51" t="str">
        <f>IF(_xlfn.ISFORMULA('Previsto x realizado'!AY14) = FALSE, "","Enviado")</f>
        <v>Enviado</v>
      </c>
      <c r="H6" s="51" t="str">
        <f>IF(_xlfn.ISFORMULA('Previsto x realizado'!AZ14) = FALSE, "","Enviado")</f>
        <v>Enviado</v>
      </c>
      <c r="I6" s="51" t="str">
        <f>IF(_xlfn.ISFORMULA('Previsto x realizado'!BA14) = FALSE, "","Enviado")</f>
        <v/>
      </c>
      <c r="J6" s="51" t="str">
        <f>IF(_xlfn.ISFORMULA('Previsto x realizado'!BB14) = FALSE, "","Enviado")</f>
        <v/>
      </c>
      <c r="K6" s="51" t="str">
        <f>IF(_xlfn.ISFORMULA('Previsto x realizado'!BC14) = FALSE, "","Enviado")</f>
        <v/>
      </c>
      <c r="L6" s="51" t="str">
        <f>IF(_xlfn.ISFORMULA('Previsto x realizado'!BD14) = FALSE, "","Enviado")</f>
        <v/>
      </c>
      <c r="M6" s="51" t="str">
        <f>IF(_xlfn.ISFORMULA('Previsto x realizado'!BE14) = FALSE, "","Enviado")</f>
        <v/>
      </c>
      <c r="N6" s="51" t="str">
        <f>IF(_xlfn.ISFORMULA('Previsto x realizado'!BF14) = FALSE, "","Enviado")</f>
        <v/>
      </c>
      <c r="O6" s="51" t="str">
        <f>IF(_xlfn.ISFORMULA('Previsto x realizado'!BG14) = FALSE, "","Enviado")</f>
        <v/>
      </c>
      <c r="P6" s="51" t="str">
        <f>IF(_xlfn.ISFORMULA('Previsto x realizado'!BH14) = FALSE, "","Enviado")</f>
        <v/>
      </c>
      <c r="R6" t="s">
        <v>214</v>
      </c>
      <c r="S6" s="69">
        <f t="shared" ca="1" si="12"/>
        <v>0</v>
      </c>
      <c r="T6" s="69">
        <f t="shared" ca="1" si="0"/>
        <v>0</v>
      </c>
      <c r="U6" s="69">
        <f t="shared" ca="1" si="13"/>
        <v>0</v>
      </c>
      <c r="V6" s="69">
        <f t="shared" ca="1" si="1"/>
        <v>0</v>
      </c>
      <c r="W6" s="69">
        <f t="shared" ca="1" si="14"/>
        <v>100</v>
      </c>
      <c r="X6" s="62">
        <f t="shared" si="2"/>
        <v>12</v>
      </c>
      <c r="Y6" s="62">
        <f t="shared" si="3"/>
        <v>0</v>
      </c>
      <c r="Z6" s="62">
        <f t="shared" si="4"/>
        <v>14</v>
      </c>
      <c r="AA6" s="62">
        <f t="shared" si="5"/>
        <v>4</v>
      </c>
      <c r="AB6" s="62">
        <f t="shared" si="6"/>
        <v>6</v>
      </c>
      <c r="AC6" s="62">
        <f t="shared" ca="1" si="7"/>
        <v>0</v>
      </c>
      <c r="AD6" s="62">
        <f t="shared" ca="1" si="8"/>
        <v>0</v>
      </c>
      <c r="AE6" s="62">
        <f t="shared" ca="1" si="9"/>
        <v>0</v>
      </c>
      <c r="AF6" s="62">
        <f t="shared" ca="1" si="10"/>
        <v>0</v>
      </c>
      <c r="AG6" s="62">
        <f t="shared" ca="1" si="11"/>
        <v>6</v>
      </c>
      <c r="AH6" s="62" t="s">
        <v>311</v>
      </c>
    </row>
    <row r="7" spans="1:34" x14ac:dyDescent="0.3">
      <c r="A7" s="39" t="s">
        <v>33</v>
      </c>
      <c r="B7" s="4" t="s">
        <v>310</v>
      </c>
      <c r="C7" s="5" t="s">
        <v>35</v>
      </c>
      <c r="D7" s="4" t="e">
        <f>_xlfn.XLOOKUP(B7,'Previsto x realizado'!B19,'Previsto x realizado'!F19)</f>
        <v>#N/A</v>
      </c>
      <c r="E7" s="51" t="e">
        <f>IF(_xlfn.ISFORMULA('Previsto x realizado'!#REF!) = FALSE, "","Enviado")</f>
        <v>#REF!</v>
      </c>
      <c r="F7" s="51" t="e">
        <f>IF(_xlfn.ISFORMULA('Previsto x realizado'!#REF!) = FALSE, "","Enviado")</f>
        <v>#REF!</v>
      </c>
      <c r="G7" s="51" t="e">
        <f>IF(_xlfn.ISFORMULA('Previsto x realizado'!#REF!) = FALSE, "","Enviado")</f>
        <v>#REF!</v>
      </c>
      <c r="H7" s="51" t="e">
        <f>IF(_xlfn.ISFORMULA('Previsto x realizado'!#REF!) = FALSE, "","Enviado")</f>
        <v>#REF!</v>
      </c>
      <c r="I7" s="51" t="e">
        <f>IF(_xlfn.ISFORMULA('Previsto x realizado'!#REF!) = FALSE, "","Enviado")</f>
        <v>#REF!</v>
      </c>
      <c r="J7" s="51" t="e">
        <f>IF(_xlfn.ISFORMULA('Previsto x realizado'!#REF!) = FALSE, "","Enviado")</f>
        <v>#REF!</v>
      </c>
      <c r="K7" s="51" t="e">
        <f>IF(_xlfn.ISFORMULA('Previsto x realizado'!#REF!) = FALSE, "","Enviado")</f>
        <v>#REF!</v>
      </c>
      <c r="L7" s="51" t="e">
        <f>IF(_xlfn.ISFORMULA('Previsto x realizado'!#REF!) = FALSE, "","Enviado")</f>
        <v>#REF!</v>
      </c>
      <c r="M7" s="51" t="e">
        <f>IF(_xlfn.ISFORMULA('Previsto x realizado'!#REF!) = FALSE, "","Enviado")</f>
        <v>#REF!</v>
      </c>
      <c r="N7" s="51" t="e">
        <f>IF(_xlfn.ISFORMULA('Previsto x realizado'!#REF!) = FALSE, "","Enviado")</f>
        <v>#REF!</v>
      </c>
      <c r="O7" s="51" t="e">
        <f>IF(_xlfn.ISFORMULA('Previsto x realizado'!#REF!) = FALSE, "","Enviado")</f>
        <v>#REF!</v>
      </c>
      <c r="P7" s="51" t="e">
        <f>IF(_xlfn.ISFORMULA('Previsto x realizado'!#REF!) = FALSE, "","Enviado")</f>
        <v>#REF!</v>
      </c>
      <c r="R7" t="s">
        <v>216</v>
      </c>
      <c r="S7" s="69">
        <f t="shared" ca="1" si="12"/>
        <v>0</v>
      </c>
      <c r="T7" s="69">
        <f t="shared" ca="1" si="0"/>
        <v>0</v>
      </c>
      <c r="U7" s="69">
        <f t="shared" ca="1" si="13"/>
        <v>0</v>
      </c>
      <c r="V7" s="69">
        <f t="shared" ca="1" si="1"/>
        <v>50</v>
      </c>
      <c r="W7" s="69">
        <f t="shared" ca="1" si="14"/>
        <v>66.666666666666657</v>
      </c>
      <c r="X7" s="62">
        <f t="shared" si="2"/>
        <v>12</v>
      </c>
      <c r="Y7" s="62">
        <f t="shared" si="3"/>
        <v>0</v>
      </c>
      <c r="Z7" s="62">
        <f t="shared" si="4"/>
        <v>14</v>
      </c>
      <c r="AA7" s="62">
        <f t="shared" si="5"/>
        <v>4</v>
      </c>
      <c r="AB7" s="62">
        <f t="shared" si="6"/>
        <v>6</v>
      </c>
      <c r="AC7" s="62">
        <f t="shared" ca="1" si="7"/>
        <v>0</v>
      </c>
      <c r="AD7" s="62">
        <f t="shared" ca="1" si="8"/>
        <v>0</v>
      </c>
      <c r="AE7" s="62">
        <f t="shared" ca="1" si="9"/>
        <v>0</v>
      </c>
      <c r="AF7" s="62">
        <f t="shared" ca="1" si="10"/>
        <v>2</v>
      </c>
      <c r="AG7" s="62">
        <f t="shared" ca="1" si="11"/>
        <v>4</v>
      </c>
      <c r="AH7" s="62" t="s">
        <v>312</v>
      </c>
    </row>
    <row r="8" spans="1:34" x14ac:dyDescent="0.3">
      <c r="A8" s="39" t="s">
        <v>33</v>
      </c>
      <c r="B8" s="4" t="s">
        <v>310</v>
      </c>
      <c r="C8" s="5" t="s">
        <v>35</v>
      </c>
      <c r="D8" s="4" t="e">
        <f>_xlfn.XLOOKUP(B8,'Previsto x realizado'!B22,'Previsto x realizado'!F22)</f>
        <v>#N/A</v>
      </c>
      <c r="E8" s="51" t="str">
        <f>IF(_xlfn.ISFORMULA('Previsto x realizado'!AW19) = FALSE, "","Enviado")</f>
        <v>Enviado</v>
      </c>
      <c r="F8" s="51" t="str">
        <f>IF(_xlfn.ISFORMULA('Previsto x realizado'!AX19) = FALSE, "","Enviado")</f>
        <v>Enviado</v>
      </c>
      <c r="G8" s="51" t="str">
        <f>IF(_xlfn.ISFORMULA('Previsto x realizado'!AY19) = FALSE, "","Enviado")</f>
        <v>Enviado</v>
      </c>
      <c r="H8" s="51" t="str">
        <f>IF(_xlfn.ISFORMULA('Previsto x realizado'!AZ19) = FALSE, "","Enviado")</f>
        <v>Enviado</v>
      </c>
      <c r="I8" s="51" t="str">
        <f>IF(_xlfn.ISFORMULA('Previsto x realizado'!BA19) = FALSE, "","Enviado")</f>
        <v/>
      </c>
      <c r="J8" s="51" t="str">
        <f>IF(_xlfn.ISFORMULA('Previsto x realizado'!BB19) = FALSE, "","Enviado")</f>
        <v/>
      </c>
      <c r="K8" s="51" t="str">
        <f>IF(_xlfn.ISFORMULA('Previsto x realizado'!BC19) = FALSE, "","Enviado")</f>
        <v/>
      </c>
      <c r="L8" s="51" t="str">
        <f>IF(_xlfn.ISFORMULA('Previsto x realizado'!BD19) = FALSE, "","Enviado")</f>
        <v/>
      </c>
      <c r="M8" s="51" t="str">
        <f>IF(_xlfn.ISFORMULA('Previsto x realizado'!BE19) = FALSE, "","Enviado")</f>
        <v/>
      </c>
      <c r="N8" s="51" t="str">
        <f>IF(_xlfn.ISFORMULA('Previsto x realizado'!BF19) = FALSE, "","Enviado")</f>
        <v/>
      </c>
      <c r="O8" s="51" t="str">
        <f>IF(_xlfn.ISFORMULA('Previsto x realizado'!BG19) = FALSE, "","Enviado")</f>
        <v/>
      </c>
      <c r="P8" s="51" t="str">
        <f>IF(_xlfn.ISFORMULA('Previsto x realizado'!BH19) = FALSE, "","Enviado")</f>
        <v/>
      </c>
      <c r="R8" t="s">
        <v>221</v>
      </c>
      <c r="S8" s="69">
        <f t="shared" ca="1" si="12"/>
        <v>0</v>
      </c>
      <c r="T8" s="69">
        <f t="shared" ca="1" si="0"/>
        <v>0</v>
      </c>
      <c r="U8" s="69">
        <f t="shared" ca="1" si="13"/>
        <v>100</v>
      </c>
      <c r="V8" s="69">
        <f t="shared" ca="1" si="1"/>
        <v>0</v>
      </c>
      <c r="W8" s="69">
        <f t="shared" ca="1" si="14"/>
        <v>16.666666666666664</v>
      </c>
      <c r="X8" s="62">
        <f t="shared" si="2"/>
        <v>8</v>
      </c>
      <c r="Y8" s="62">
        <f t="shared" si="3"/>
        <v>0</v>
      </c>
      <c r="Z8" s="62">
        <f t="shared" si="4"/>
        <v>14</v>
      </c>
      <c r="AA8" s="62">
        <f t="shared" si="5"/>
        <v>4</v>
      </c>
      <c r="AB8" s="62">
        <f t="shared" si="6"/>
        <v>6</v>
      </c>
      <c r="AC8" s="62">
        <f t="shared" ca="1" si="7"/>
        <v>0</v>
      </c>
      <c r="AD8" s="62">
        <f t="shared" ca="1" si="8"/>
        <v>0</v>
      </c>
      <c r="AE8" s="62">
        <f t="shared" ca="1" si="9"/>
        <v>14</v>
      </c>
      <c r="AF8" s="62">
        <f t="shared" ca="1" si="10"/>
        <v>0</v>
      </c>
      <c r="AG8" s="62">
        <f t="shared" ca="1" si="11"/>
        <v>1</v>
      </c>
      <c r="AH8" s="62" t="s">
        <v>313</v>
      </c>
    </row>
    <row r="9" spans="1:34" x14ac:dyDescent="0.3">
      <c r="A9" s="3" t="s">
        <v>33</v>
      </c>
      <c r="B9" s="4" t="s">
        <v>70</v>
      </c>
      <c r="C9" s="5" t="s">
        <v>35</v>
      </c>
      <c r="D9" s="4" t="s">
        <v>238</v>
      </c>
      <c r="E9" s="51" t="str">
        <f>IF(_xlfn.ISFORMULA('Previsto x realizado'!AW22) = FALSE, "","Enviado")</f>
        <v>Enviado</v>
      </c>
      <c r="F9" s="51" t="str">
        <f>IF(_xlfn.ISFORMULA('Previsto x realizado'!AX22) = FALSE, "","Enviado")</f>
        <v>Enviado</v>
      </c>
      <c r="G9" s="51" t="str">
        <f>IF(_xlfn.ISFORMULA('Previsto x realizado'!AY22) = FALSE, "","Enviado")</f>
        <v>Enviado</v>
      </c>
      <c r="H9" s="51" t="str">
        <f>IF(_xlfn.ISFORMULA('Previsto x realizado'!AZ22) = FALSE, "","Enviado")</f>
        <v>Enviado</v>
      </c>
      <c r="I9" s="51" t="str">
        <f>IF(_xlfn.ISFORMULA('Previsto x realizado'!BA22) = FALSE, "","Enviado")</f>
        <v/>
      </c>
      <c r="J9" s="51" t="str">
        <f>IF(_xlfn.ISFORMULA('Previsto x realizado'!BB22) = FALSE, "","Enviado")</f>
        <v/>
      </c>
      <c r="K9" s="51" t="str">
        <f>IF(_xlfn.ISFORMULA('Previsto x realizado'!BC22) = FALSE, "","Enviado")</f>
        <v/>
      </c>
      <c r="L9" s="51" t="str">
        <f>IF(_xlfn.ISFORMULA('Previsto x realizado'!BD22) = FALSE, "","Enviado")</f>
        <v/>
      </c>
      <c r="M9" s="51" t="str">
        <f>IF(_xlfn.ISFORMULA('Previsto x realizado'!BE22) = FALSE, "","Enviado")</f>
        <v/>
      </c>
      <c r="N9" s="51" t="str">
        <f>IF(_xlfn.ISFORMULA('Previsto x realizado'!BF22) = FALSE, "","Enviado")</f>
        <v/>
      </c>
      <c r="O9" s="51" t="str">
        <f>IF(_xlfn.ISFORMULA('Previsto x realizado'!BG22) = FALSE, "","Enviado")</f>
        <v/>
      </c>
      <c r="P9" s="51" t="str">
        <f>IF(_xlfn.ISFORMULA('Previsto x realizado'!BH22) = FALSE, "","Enviado")</f>
        <v/>
      </c>
    </row>
    <row r="10" spans="1:34" x14ac:dyDescent="0.3">
      <c r="A10" s="39" t="s">
        <v>33</v>
      </c>
      <c r="B10" s="4" t="s">
        <v>70</v>
      </c>
      <c r="C10" s="5" t="s">
        <v>35</v>
      </c>
      <c r="D10" s="4" t="s">
        <v>238</v>
      </c>
      <c r="E10" s="51" t="str">
        <f>IF(_xlfn.ISFORMULA('Previsto x realizado'!AW25) = FALSE, "","Enviado")</f>
        <v>Enviado</v>
      </c>
      <c r="F10" s="51" t="str">
        <f>IF(_xlfn.ISFORMULA('Previsto x realizado'!AX25) = FALSE, "","Enviado")</f>
        <v>Enviado</v>
      </c>
      <c r="G10" s="51" t="str">
        <f>IF(_xlfn.ISFORMULA('Previsto x realizado'!AY25) = FALSE, "","Enviado")</f>
        <v>Enviado</v>
      </c>
      <c r="H10" s="51" t="str">
        <f>IF(_xlfn.ISFORMULA('Previsto x realizado'!AZ25) = FALSE, "","Enviado")</f>
        <v>Enviado</v>
      </c>
      <c r="I10" s="51" t="str">
        <f>IF(_xlfn.ISFORMULA('Previsto x realizado'!BA25) = FALSE, "","Enviado")</f>
        <v/>
      </c>
      <c r="J10" s="51" t="str">
        <f>IF(_xlfn.ISFORMULA('Previsto x realizado'!BB25) = FALSE, "","Enviado")</f>
        <v/>
      </c>
      <c r="K10" s="51" t="str">
        <f>IF(_xlfn.ISFORMULA('Previsto x realizado'!BC25) = FALSE, "","Enviado")</f>
        <v/>
      </c>
      <c r="L10" s="51" t="str">
        <f>IF(_xlfn.ISFORMULA('Previsto x realizado'!BD25) = FALSE, "","Enviado")</f>
        <v/>
      </c>
      <c r="M10" s="51" t="str">
        <f>IF(_xlfn.ISFORMULA('Previsto x realizado'!BE25) = FALSE, "","Enviado")</f>
        <v/>
      </c>
      <c r="N10" s="51" t="str">
        <f>IF(_xlfn.ISFORMULA('Previsto x realizado'!BF25) = FALSE, "","Enviado")</f>
        <v/>
      </c>
      <c r="O10" s="51" t="str">
        <f>IF(_xlfn.ISFORMULA('Previsto x realizado'!BG25) = FALSE, "","Enviado")</f>
        <v/>
      </c>
      <c r="P10" s="51" t="str">
        <f>IF(_xlfn.ISFORMULA('Previsto x realizado'!BH25) = FALSE, "","Enviado")</f>
        <v/>
      </c>
    </row>
    <row r="11" spans="1:34" x14ac:dyDescent="0.3">
      <c r="A11" s="3" t="s">
        <v>33</v>
      </c>
      <c r="B11" s="4" t="s">
        <v>73</v>
      </c>
      <c r="C11" s="5" t="s">
        <v>35</v>
      </c>
      <c r="D11" s="4" t="s">
        <v>238</v>
      </c>
      <c r="E11" s="51" t="str">
        <f>IF(_xlfn.ISFORMULA('Previsto x realizado'!AW28) = FALSE, "","Enviado")</f>
        <v>Enviado</v>
      </c>
      <c r="F11" s="51" t="str">
        <f>IF(_xlfn.ISFORMULA('Previsto x realizado'!AX28) = FALSE, "","Enviado")</f>
        <v>Enviado</v>
      </c>
      <c r="G11" s="51" t="str">
        <f>IF(_xlfn.ISFORMULA('Previsto x realizado'!AY28) = FALSE, "","Enviado")</f>
        <v>Enviado</v>
      </c>
      <c r="H11" s="51" t="str">
        <f>IF(_xlfn.ISFORMULA('Previsto x realizado'!AZ28) = FALSE, "","Enviado")</f>
        <v>Enviado</v>
      </c>
      <c r="I11" s="51" t="str">
        <f>IF(_xlfn.ISFORMULA('Previsto x realizado'!BA28) = FALSE, "","Enviado")</f>
        <v/>
      </c>
      <c r="J11" s="51" t="str">
        <f>IF(_xlfn.ISFORMULA('Previsto x realizado'!BB28) = FALSE, "","Enviado")</f>
        <v/>
      </c>
      <c r="K11" s="51" t="str">
        <f>IF(_xlfn.ISFORMULA('Previsto x realizado'!BC28) = FALSE, "","Enviado")</f>
        <v/>
      </c>
      <c r="L11" s="51" t="str">
        <f>IF(_xlfn.ISFORMULA('Previsto x realizado'!BD28) = FALSE, "","Enviado")</f>
        <v/>
      </c>
      <c r="M11" s="51" t="str">
        <f>IF(_xlfn.ISFORMULA('Previsto x realizado'!BE28) = FALSE, "","Enviado")</f>
        <v/>
      </c>
      <c r="N11" s="51" t="str">
        <f>IF(_xlfn.ISFORMULA('Previsto x realizado'!BF28) = FALSE, "","Enviado")</f>
        <v/>
      </c>
      <c r="O11" s="51" t="str">
        <f>IF(_xlfn.ISFORMULA('Previsto x realizado'!BG28) = FALSE, "","Enviado")</f>
        <v/>
      </c>
      <c r="P11" s="51" t="str">
        <f>IF(_xlfn.ISFORMULA('Previsto x realizado'!BH28) = FALSE, "","Enviado")</f>
        <v/>
      </c>
    </row>
    <row r="12" spans="1:34" x14ac:dyDescent="0.3">
      <c r="A12" s="39" t="s">
        <v>33</v>
      </c>
      <c r="B12" s="4" t="s">
        <v>73</v>
      </c>
      <c r="C12" s="5" t="s">
        <v>35</v>
      </c>
      <c r="D12" s="4" t="s">
        <v>238</v>
      </c>
      <c r="E12" s="51" t="str">
        <f>IF(_xlfn.ISFORMULA('Previsto x realizado'!AW31) = FALSE, "","Enviado")</f>
        <v>Enviado</v>
      </c>
      <c r="F12" s="51" t="str">
        <f>IF(_xlfn.ISFORMULA('Previsto x realizado'!AX31) = FALSE, "","Enviado")</f>
        <v>Enviado</v>
      </c>
      <c r="G12" s="51" t="str">
        <f>IF(_xlfn.ISFORMULA('Previsto x realizado'!AY31) = FALSE, "","Enviado")</f>
        <v>Enviado</v>
      </c>
      <c r="H12" s="51" t="str">
        <f>IF(_xlfn.ISFORMULA('Previsto x realizado'!AZ31) = FALSE, "","Enviado")</f>
        <v>Enviado</v>
      </c>
      <c r="I12" s="51" t="str">
        <f>IF(_xlfn.ISFORMULA('Previsto x realizado'!BA31) = FALSE, "","Enviado")</f>
        <v/>
      </c>
      <c r="J12" s="51" t="str">
        <f>IF(_xlfn.ISFORMULA('Previsto x realizado'!BB31) = FALSE, "","Enviado")</f>
        <v/>
      </c>
      <c r="K12" s="51" t="str">
        <f>IF(_xlfn.ISFORMULA('Previsto x realizado'!BC31) = FALSE, "","Enviado")</f>
        <v/>
      </c>
      <c r="L12" s="51" t="str">
        <f>IF(_xlfn.ISFORMULA('Previsto x realizado'!BD31) = FALSE, "","Enviado")</f>
        <v/>
      </c>
      <c r="M12" s="51" t="str">
        <f>IF(_xlfn.ISFORMULA('Previsto x realizado'!BE31) = FALSE, "","Enviado")</f>
        <v/>
      </c>
      <c r="N12" s="51" t="str">
        <f>IF(_xlfn.ISFORMULA('Previsto x realizado'!BF31) = FALSE, "","Enviado")</f>
        <v/>
      </c>
      <c r="O12" s="51" t="str">
        <f>IF(_xlfn.ISFORMULA('Previsto x realizado'!BG31) = FALSE, "","Enviado")</f>
        <v/>
      </c>
      <c r="P12" s="51" t="str">
        <f>IF(_xlfn.ISFORMULA('Previsto x realizado'!BH31) = FALSE, "","Enviado")</f>
        <v/>
      </c>
    </row>
    <row r="13" spans="1:34" x14ac:dyDescent="0.3">
      <c r="A13" s="3" t="s">
        <v>33</v>
      </c>
      <c r="B13" s="4" t="s">
        <v>77</v>
      </c>
      <c r="C13" s="5" t="s">
        <v>35</v>
      </c>
      <c r="D13" s="4" t="s">
        <v>238</v>
      </c>
      <c r="E13" s="51" t="str">
        <f>IF(_xlfn.ISFORMULA('Previsto x realizado'!AW34) = FALSE, "","Enviado")</f>
        <v>Enviado</v>
      </c>
      <c r="F13" s="51" t="str">
        <f>IF(_xlfn.ISFORMULA('Previsto x realizado'!AX34) = FALSE, "","Enviado")</f>
        <v>Enviado</v>
      </c>
      <c r="G13" s="51" t="str">
        <f>IF(_xlfn.ISFORMULA('Previsto x realizado'!AY34) = FALSE, "","Enviado")</f>
        <v>Enviado</v>
      </c>
      <c r="H13" s="51" t="str">
        <f>IF(_xlfn.ISFORMULA('Previsto x realizado'!AZ34) = FALSE, "","Enviado")</f>
        <v>Enviado</v>
      </c>
      <c r="I13" s="51" t="str">
        <f>IF(_xlfn.ISFORMULA('Previsto x realizado'!BA34) = FALSE, "","Enviado")</f>
        <v/>
      </c>
      <c r="J13" s="51" t="str">
        <f>IF(_xlfn.ISFORMULA('Previsto x realizado'!BB34) = FALSE, "","Enviado")</f>
        <v/>
      </c>
      <c r="K13" s="51" t="str">
        <f>IF(_xlfn.ISFORMULA('Previsto x realizado'!BC34) = FALSE, "","Enviado")</f>
        <v/>
      </c>
      <c r="L13" s="51" t="str">
        <f>IF(_xlfn.ISFORMULA('Previsto x realizado'!BD34) = FALSE, "","Enviado")</f>
        <v/>
      </c>
      <c r="M13" s="51" t="str">
        <f>IF(_xlfn.ISFORMULA('Previsto x realizado'!BE34) = FALSE, "","Enviado")</f>
        <v/>
      </c>
      <c r="N13" s="51" t="str">
        <f>IF(_xlfn.ISFORMULA('Previsto x realizado'!BF34) = FALSE, "","Enviado")</f>
        <v/>
      </c>
      <c r="O13" s="51" t="str">
        <f>IF(_xlfn.ISFORMULA('Previsto x realizado'!BG34) = FALSE, "","Enviado")</f>
        <v/>
      </c>
      <c r="P13" s="51" t="str">
        <f>IF(_xlfn.ISFORMULA('Previsto x realizado'!BH34) = FALSE, "","Enviado")</f>
        <v/>
      </c>
    </row>
    <row r="14" spans="1:34" x14ac:dyDescent="0.3">
      <c r="A14" s="39" t="s">
        <v>33</v>
      </c>
      <c r="B14" s="4" t="s">
        <v>77</v>
      </c>
      <c r="C14" s="5" t="s">
        <v>35</v>
      </c>
      <c r="D14" s="4" t="s">
        <v>238</v>
      </c>
      <c r="E14" s="51" t="str">
        <f>IF(_xlfn.ISFORMULA('Previsto x realizado'!AW37) = FALSE, "","Enviado")</f>
        <v>Enviado</v>
      </c>
      <c r="F14" s="51" t="str">
        <f>IF(_xlfn.ISFORMULA('Previsto x realizado'!AX37) = FALSE, "","Enviado")</f>
        <v>Enviado</v>
      </c>
      <c r="G14" s="51" t="str">
        <f>IF(_xlfn.ISFORMULA('Previsto x realizado'!AY37) = FALSE, "","Enviado")</f>
        <v>Enviado</v>
      </c>
      <c r="H14" s="51" t="str">
        <f>IF(_xlfn.ISFORMULA('Previsto x realizado'!AZ37) = FALSE, "","Enviado")</f>
        <v>Enviado</v>
      </c>
      <c r="I14" s="51" t="str">
        <f>IF(_xlfn.ISFORMULA('Previsto x realizado'!BA37) = FALSE, "","Enviado")</f>
        <v/>
      </c>
      <c r="J14" s="51" t="str">
        <f>IF(_xlfn.ISFORMULA('Previsto x realizado'!BB37) = FALSE, "","Enviado")</f>
        <v/>
      </c>
      <c r="K14" s="51" t="str">
        <f>IF(_xlfn.ISFORMULA('Previsto x realizado'!BC37) = FALSE, "","Enviado")</f>
        <v/>
      </c>
      <c r="L14" s="51" t="str">
        <f>IF(_xlfn.ISFORMULA('Previsto x realizado'!BD37) = FALSE, "","Enviado")</f>
        <v/>
      </c>
      <c r="M14" s="51" t="str">
        <f>IF(_xlfn.ISFORMULA('Previsto x realizado'!BE37) = FALSE, "","Enviado")</f>
        <v/>
      </c>
      <c r="N14" s="51" t="str">
        <f>IF(_xlfn.ISFORMULA('Previsto x realizado'!BF37) = FALSE, "","Enviado")</f>
        <v/>
      </c>
      <c r="O14" s="51" t="str">
        <f>IF(_xlfn.ISFORMULA('Previsto x realizado'!BG37) = FALSE, "","Enviado")</f>
        <v/>
      </c>
      <c r="P14" s="51" t="str">
        <f>IF(_xlfn.ISFORMULA('Previsto x realizado'!BH37) = FALSE, "","Enviado")</f>
        <v/>
      </c>
    </row>
    <row r="15" spans="1:34" x14ac:dyDescent="0.3">
      <c r="A15" s="3" t="s">
        <v>33</v>
      </c>
      <c r="B15" s="4" t="s">
        <v>81</v>
      </c>
      <c r="C15" s="5" t="s">
        <v>35</v>
      </c>
      <c r="D15" s="4" t="s">
        <v>238</v>
      </c>
      <c r="E15" s="51" t="str">
        <f>IF(_xlfn.ISFORMULA('Previsto x realizado'!AW40) = FALSE, "","Enviado")</f>
        <v>Enviado</v>
      </c>
      <c r="F15" s="51" t="str">
        <f>IF(_xlfn.ISFORMULA('Previsto x realizado'!AX40) = FALSE, "","Enviado")</f>
        <v>Enviado</v>
      </c>
      <c r="G15" s="51" t="str">
        <f>IF(_xlfn.ISFORMULA('Previsto x realizado'!AY40) = FALSE, "","Enviado")</f>
        <v>Enviado</v>
      </c>
      <c r="H15" s="51" t="str">
        <f>IF(_xlfn.ISFORMULA('Previsto x realizado'!AZ40) = FALSE, "","Enviado")</f>
        <v>Enviado</v>
      </c>
      <c r="I15" s="51" t="str">
        <f>IF(_xlfn.ISFORMULA('Previsto x realizado'!BA40) = FALSE, "","Enviado")</f>
        <v/>
      </c>
      <c r="J15" s="51" t="str">
        <f>IF(_xlfn.ISFORMULA('Previsto x realizado'!BB40) = FALSE, "","Enviado")</f>
        <v/>
      </c>
      <c r="K15" s="51" t="str">
        <f>IF(_xlfn.ISFORMULA('Previsto x realizado'!BC40) = FALSE, "","Enviado")</f>
        <v/>
      </c>
      <c r="L15" s="51" t="str">
        <f>IF(_xlfn.ISFORMULA('Previsto x realizado'!BD40) = FALSE, "","Enviado")</f>
        <v/>
      </c>
      <c r="M15" s="51" t="str">
        <f>IF(_xlfn.ISFORMULA('Previsto x realizado'!BE40) = FALSE, "","Enviado")</f>
        <v/>
      </c>
      <c r="N15" s="51" t="str">
        <f>IF(_xlfn.ISFORMULA('Previsto x realizado'!BF40) = FALSE, "","Enviado")</f>
        <v/>
      </c>
      <c r="O15" s="51" t="str">
        <f>IF(_xlfn.ISFORMULA('Previsto x realizado'!BG40) = FALSE, "","Enviado")</f>
        <v/>
      </c>
      <c r="P15" s="51" t="str">
        <f>IF(_xlfn.ISFORMULA('Previsto x realizado'!BH40) = FALSE, "","Enviado")</f>
        <v/>
      </c>
    </row>
    <row r="16" spans="1:34" x14ac:dyDescent="0.3">
      <c r="A16" s="39" t="s">
        <v>33</v>
      </c>
      <c r="B16" s="4" t="s">
        <v>81</v>
      </c>
      <c r="C16" s="5" t="s">
        <v>35</v>
      </c>
      <c r="D16" s="4" t="s">
        <v>238</v>
      </c>
      <c r="E16" s="51" t="str">
        <f>IF(_xlfn.ISFORMULA('Previsto x realizado'!AW43) = FALSE, "","Enviado")</f>
        <v>Enviado</v>
      </c>
      <c r="F16" s="51" t="str">
        <f>IF(_xlfn.ISFORMULA('Previsto x realizado'!AX43) = FALSE, "","Enviado")</f>
        <v>Enviado</v>
      </c>
      <c r="G16" s="51" t="str">
        <f>IF(_xlfn.ISFORMULA('Previsto x realizado'!AY43) = FALSE, "","Enviado")</f>
        <v>Enviado</v>
      </c>
      <c r="H16" s="51" t="str">
        <f>IF(_xlfn.ISFORMULA('Previsto x realizado'!AZ43) = FALSE, "","Enviado")</f>
        <v>Enviado</v>
      </c>
      <c r="I16" s="51" t="str">
        <f>IF(_xlfn.ISFORMULA('Previsto x realizado'!BA43) = FALSE, "","Enviado")</f>
        <v/>
      </c>
      <c r="J16" s="51" t="str">
        <f>IF(_xlfn.ISFORMULA('Previsto x realizado'!BB43) = FALSE, "","Enviado")</f>
        <v/>
      </c>
      <c r="K16" s="51" t="str">
        <f>IF(_xlfn.ISFORMULA('Previsto x realizado'!BC43) = FALSE, "","Enviado")</f>
        <v/>
      </c>
      <c r="L16" s="51" t="str">
        <f>IF(_xlfn.ISFORMULA('Previsto x realizado'!BD43) = FALSE, "","Enviado")</f>
        <v/>
      </c>
      <c r="M16" s="51" t="str">
        <f>IF(_xlfn.ISFORMULA('Previsto x realizado'!BE43) = FALSE, "","Enviado")</f>
        <v/>
      </c>
      <c r="N16" s="51" t="str">
        <f>IF(_xlfn.ISFORMULA('Previsto x realizado'!BF43) = FALSE, "","Enviado")</f>
        <v/>
      </c>
      <c r="O16" s="51" t="str">
        <f>IF(_xlfn.ISFORMULA('Previsto x realizado'!BG43) = FALSE, "","Enviado")</f>
        <v/>
      </c>
      <c r="P16" s="51" t="str">
        <f>IF(_xlfn.ISFORMULA('Previsto x realizado'!BH43) = FALSE, "","Enviado")</f>
        <v/>
      </c>
    </row>
    <row r="17" spans="1:16" ht="27.6" x14ac:dyDescent="0.3">
      <c r="A17" s="3" t="s">
        <v>33</v>
      </c>
      <c r="B17" s="4" t="s">
        <v>84</v>
      </c>
      <c r="C17" s="5" t="s">
        <v>35</v>
      </c>
      <c r="D17" s="4" t="s">
        <v>267</v>
      </c>
      <c r="E17" s="51" t="str">
        <f>IF(_xlfn.ISFORMULA('Previsto x realizado'!AW46) = FALSE, "","Enviado")</f>
        <v>Enviado</v>
      </c>
      <c r="F17" s="51" t="str">
        <f>IF(_xlfn.ISFORMULA('Previsto x realizado'!AX46) = FALSE, "","Enviado")</f>
        <v>Enviado</v>
      </c>
      <c r="G17" s="51" t="str">
        <f>IF(_xlfn.ISFORMULA('Previsto x realizado'!AY46) = FALSE, "","Enviado")</f>
        <v>Enviado</v>
      </c>
      <c r="H17" s="51" t="str">
        <f>IF(_xlfn.ISFORMULA('Previsto x realizado'!AZ46) = FALSE, "","Enviado")</f>
        <v>Enviado</v>
      </c>
      <c r="I17" s="51" t="str">
        <f>IF(_xlfn.ISFORMULA('Previsto x realizado'!BA46) = FALSE, "","Enviado")</f>
        <v/>
      </c>
      <c r="J17" s="51" t="str">
        <f>IF(_xlfn.ISFORMULA('Previsto x realizado'!BB46) = FALSE, "","Enviado")</f>
        <v/>
      </c>
      <c r="K17" s="51" t="str">
        <f>IF(_xlfn.ISFORMULA('Previsto x realizado'!BC46) = FALSE, "","Enviado")</f>
        <v/>
      </c>
      <c r="L17" s="51" t="str">
        <f>IF(_xlfn.ISFORMULA('Previsto x realizado'!BD46) = FALSE, "","Enviado")</f>
        <v/>
      </c>
      <c r="M17" s="51" t="str">
        <f>IF(_xlfn.ISFORMULA('Previsto x realizado'!BE46) = FALSE, "","Enviado")</f>
        <v/>
      </c>
      <c r="N17" s="51" t="str">
        <f>IF(_xlfn.ISFORMULA('Previsto x realizado'!BF46) = FALSE, "","Enviado")</f>
        <v/>
      </c>
      <c r="O17" s="51" t="str">
        <f>IF(_xlfn.ISFORMULA('Previsto x realizado'!BG46) = FALSE, "","Enviado")</f>
        <v/>
      </c>
      <c r="P17" s="51" t="str">
        <f>IF(_xlfn.ISFORMULA('Previsto x realizado'!BH46) = FALSE, "","Enviado")</f>
        <v/>
      </c>
    </row>
    <row r="18" spans="1:16" ht="27.6" hidden="1" x14ac:dyDescent="0.3">
      <c r="A18" s="39" t="s">
        <v>33</v>
      </c>
      <c r="B18" s="4" t="s">
        <v>84</v>
      </c>
      <c r="C18" s="5" t="s">
        <v>35</v>
      </c>
      <c r="D18" s="4" t="s">
        <v>267</v>
      </c>
      <c r="E18" s="51" t="str">
        <f>IF(_xlfn.ISFORMULA('Previsto x realizado'!AW51) = FALSE, "","Enviado")</f>
        <v>Enviado</v>
      </c>
      <c r="F18" s="51" t="str">
        <f>IF(_xlfn.ISFORMULA('Previsto x realizado'!AX51) = FALSE, "","Enviado")</f>
        <v>Enviado</v>
      </c>
      <c r="G18" s="51" t="str">
        <f>IF(_xlfn.ISFORMULA('Previsto x realizado'!AY51) = FALSE, "","Enviado")</f>
        <v>Enviado</v>
      </c>
      <c r="H18" s="51" t="str">
        <f>IF(_xlfn.ISFORMULA('Previsto x realizado'!AZ51) = FALSE, "","Enviado")</f>
        <v>Enviado</v>
      </c>
      <c r="I18" s="51" t="str">
        <f>IF(_xlfn.ISFORMULA('Previsto x realizado'!BA51) = FALSE, "","Enviado")</f>
        <v/>
      </c>
      <c r="J18" s="51" t="str">
        <f>IF(_xlfn.ISFORMULA('Previsto x realizado'!BB51) = FALSE, "","Enviado")</f>
        <v/>
      </c>
      <c r="K18" s="51" t="str">
        <f>IF(_xlfn.ISFORMULA('Previsto x realizado'!BC51) = FALSE, "","Enviado")</f>
        <v/>
      </c>
      <c r="L18" s="51" t="str">
        <f>IF(_xlfn.ISFORMULA('Previsto x realizado'!BD51) = FALSE, "","Enviado")</f>
        <v/>
      </c>
      <c r="M18" s="51" t="str">
        <f>IF(_xlfn.ISFORMULA('Previsto x realizado'!BE51) = FALSE, "","Enviado")</f>
        <v/>
      </c>
      <c r="N18" s="51" t="str">
        <f>IF(_xlfn.ISFORMULA('Previsto x realizado'!BF51) = FALSE, "","Enviado")</f>
        <v/>
      </c>
      <c r="O18" s="51" t="str">
        <f>IF(_xlfn.ISFORMULA('Previsto x realizado'!BG51) = FALSE, "","Enviado")</f>
        <v/>
      </c>
      <c r="P18" s="51" t="str">
        <f>IF(_xlfn.ISFORMULA('Previsto x realizado'!BH51) = FALSE, "","Enviado")</f>
        <v/>
      </c>
    </row>
    <row r="19" spans="1:16" x14ac:dyDescent="0.3">
      <c r="A19" s="20" t="s">
        <v>87</v>
      </c>
      <c r="B19" s="4" t="s">
        <v>222</v>
      </c>
      <c r="C19" s="5" t="s">
        <v>35</v>
      </c>
      <c r="D19" s="4" t="s">
        <v>238</v>
      </c>
      <c r="E19" s="51" t="str">
        <f>IF(_xlfn.ISFORMULA('Previsto x realizado'!AW52) = FALSE, "","Enviado")</f>
        <v>Enviado</v>
      </c>
      <c r="F19" s="51" t="str">
        <f>IF(_xlfn.ISFORMULA('Previsto x realizado'!AX52) = FALSE, "","Enviado")</f>
        <v>Enviado</v>
      </c>
      <c r="G19" s="51" t="str">
        <f>IF(_xlfn.ISFORMULA('Previsto x realizado'!AY52) = FALSE, "","Enviado")</f>
        <v>Enviado</v>
      </c>
      <c r="H19" s="51" t="str">
        <f>IF(_xlfn.ISFORMULA('Previsto x realizado'!AZ52) = FALSE, "","Enviado")</f>
        <v>Enviado</v>
      </c>
      <c r="I19" s="51" t="str">
        <f>IF(_xlfn.ISFORMULA('Previsto x realizado'!BA52) = FALSE, "","Enviado")</f>
        <v>Enviado</v>
      </c>
      <c r="J19" s="51" t="str">
        <f>IF(_xlfn.ISFORMULA('Previsto x realizado'!BB52) = FALSE, "","Enviado")</f>
        <v/>
      </c>
      <c r="K19" s="51" t="str">
        <f>IF(_xlfn.ISFORMULA('Previsto x realizado'!BC52) = FALSE, "","Enviado")</f>
        <v/>
      </c>
      <c r="L19" s="51" t="str">
        <f>IF(_xlfn.ISFORMULA('Previsto x realizado'!BD52) = FALSE, "","Enviado")</f>
        <v/>
      </c>
      <c r="M19" s="51" t="str">
        <f>IF(_xlfn.ISFORMULA('Previsto x realizado'!BE52) = FALSE, "","Enviado")</f>
        <v/>
      </c>
      <c r="N19" s="51" t="str">
        <f>IF(_xlfn.ISFORMULA('Previsto x realizado'!BF52) = FALSE, "","Enviado")</f>
        <v/>
      </c>
      <c r="O19" s="51" t="str">
        <f>IF(_xlfn.ISFORMULA('Previsto x realizado'!BG52) = FALSE, "","Enviado")</f>
        <v/>
      </c>
      <c r="P19" s="51" t="str">
        <f>IF(_xlfn.ISFORMULA('Previsto x realizado'!BH52) = FALSE, "","Enviado")</f>
        <v/>
      </c>
    </row>
    <row r="20" spans="1:16" hidden="1" x14ac:dyDescent="0.3">
      <c r="A20" s="40" t="s">
        <v>87</v>
      </c>
      <c r="B20" s="4" t="s">
        <v>222</v>
      </c>
      <c r="C20" s="5" t="s">
        <v>35</v>
      </c>
      <c r="D20" s="4" t="s">
        <v>238</v>
      </c>
      <c r="E20" s="51" t="str">
        <f>IF(_xlfn.ISFORMULA('Previsto x realizado'!AW55) = FALSE, "","Enviado")</f>
        <v>Enviado</v>
      </c>
      <c r="F20" s="51" t="str">
        <f>IF(_xlfn.ISFORMULA('Previsto x realizado'!AX55) = FALSE, "","Enviado")</f>
        <v>Enviado</v>
      </c>
      <c r="G20" s="51" t="str">
        <f>IF(_xlfn.ISFORMULA('Previsto x realizado'!AY55) = FALSE, "","Enviado")</f>
        <v>Enviado</v>
      </c>
      <c r="H20" s="51" t="str">
        <f>IF(_xlfn.ISFORMULA('Previsto x realizado'!AZ55) = FALSE, "","Enviado")</f>
        <v>Enviado</v>
      </c>
      <c r="I20" s="51" t="str">
        <f>IF(_xlfn.ISFORMULA('Previsto x realizado'!BA55) = FALSE, "","Enviado")</f>
        <v>Enviado</v>
      </c>
      <c r="J20" s="51" t="str">
        <f>IF(_xlfn.ISFORMULA('Previsto x realizado'!BB55) = FALSE, "","Enviado")</f>
        <v/>
      </c>
      <c r="K20" s="51" t="str">
        <f>IF(_xlfn.ISFORMULA('Previsto x realizado'!BC55) = FALSE, "","Enviado")</f>
        <v/>
      </c>
      <c r="L20" s="51" t="str">
        <f>IF(_xlfn.ISFORMULA('Previsto x realizado'!BD55) = FALSE, "","Enviado")</f>
        <v/>
      </c>
      <c r="M20" s="51" t="str">
        <f>IF(_xlfn.ISFORMULA('Previsto x realizado'!BE55) = FALSE, "","Enviado")</f>
        <v/>
      </c>
      <c r="N20" s="51" t="str">
        <f>IF(_xlfn.ISFORMULA('Previsto x realizado'!BF55) = FALSE, "","Enviado")</f>
        <v/>
      </c>
      <c r="O20" s="51" t="str">
        <f>IF(_xlfn.ISFORMULA('Previsto x realizado'!BG55) = FALSE, "","Enviado")</f>
        <v/>
      </c>
      <c r="P20" s="51" t="str">
        <f>IF(_xlfn.ISFORMULA('Previsto x realizado'!BH55) = FALSE, "","Enviado")</f>
        <v/>
      </c>
    </row>
    <row r="21" spans="1:16" hidden="1" x14ac:dyDescent="0.3">
      <c r="A21" s="20" t="s">
        <v>87</v>
      </c>
      <c r="B21" s="4" t="s">
        <v>229</v>
      </c>
      <c r="C21" s="5" t="s">
        <v>35</v>
      </c>
      <c r="D21" s="4" t="s">
        <v>238</v>
      </c>
      <c r="E21" s="51" t="str">
        <f>IF(_xlfn.ISFORMULA('Previsto x realizado'!AW58) = FALSE, "","Enviado")</f>
        <v>Enviado</v>
      </c>
      <c r="F21" s="51" t="str">
        <f>IF(_xlfn.ISFORMULA('Previsto x realizado'!AX58) = FALSE, "","Enviado")</f>
        <v>Enviado</v>
      </c>
      <c r="G21" s="51" t="str">
        <f>IF(_xlfn.ISFORMULA('Previsto x realizado'!AY58) = FALSE, "","Enviado")</f>
        <v>Enviado</v>
      </c>
      <c r="H21" s="51" t="str">
        <f>IF(_xlfn.ISFORMULA('Previsto x realizado'!AZ58) = FALSE, "","Enviado")</f>
        <v>Enviado</v>
      </c>
      <c r="I21" s="51" t="str">
        <f>IF(_xlfn.ISFORMULA('Previsto x realizado'!BA58) = FALSE, "","Enviado")</f>
        <v>Enviado</v>
      </c>
      <c r="J21" s="51" t="str">
        <f>IF(_xlfn.ISFORMULA('Previsto x realizado'!BB58) = FALSE, "","Enviado")</f>
        <v/>
      </c>
      <c r="K21" s="51" t="str">
        <f>IF(_xlfn.ISFORMULA('Previsto x realizado'!BC58) = FALSE, "","Enviado")</f>
        <v/>
      </c>
      <c r="L21" s="51" t="str">
        <f>IF(_xlfn.ISFORMULA('Previsto x realizado'!BD58) = FALSE, "","Enviado")</f>
        <v/>
      </c>
      <c r="M21" s="51" t="str">
        <f>IF(_xlfn.ISFORMULA('Previsto x realizado'!BE58) = FALSE, "","Enviado")</f>
        <v/>
      </c>
      <c r="N21" s="51" t="str">
        <f>IF(_xlfn.ISFORMULA('Previsto x realizado'!BF58) = FALSE, "","Enviado")</f>
        <v/>
      </c>
      <c r="O21" s="51" t="str">
        <f>IF(_xlfn.ISFORMULA('Previsto x realizado'!BG58) = FALSE, "","Enviado")</f>
        <v/>
      </c>
      <c r="P21" s="51" t="str">
        <f>IF(_xlfn.ISFORMULA('Previsto x realizado'!BH58) = FALSE, "","Enviado")</f>
        <v/>
      </c>
    </row>
    <row r="22" spans="1:16" x14ac:dyDescent="0.3">
      <c r="A22" s="40" t="s">
        <v>87</v>
      </c>
      <c r="B22" s="4" t="s">
        <v>229</v>
      </c>
      <c r="C22" s="5" t="s">
        <v>35</v>
      </c>
      <c r="D22" s="4" t="s">
        <v>238</v>
      </c>
      <c r="E22" s="51" t="str">
        <f>IF(_xlfn.ISFORMULA('Previsto x realizado'!AW59) = FALSE, "","Enviado")</f>
        <v>Enviado</v>
      </c>
      <c r="F22" s="51" t="str">
        <f>IF(_xlfn.ISFORMULA('Previsto x realizado'!AX59) = FALSE, "","Enviado")</f>
        <v>Enviado</v>
      </c>
      <c r="G22" s="51" t="str">
        <f>IF(_xlfn.ISFORMULA('Previsto x realizado'!AY59) = FALSE, "","Enviado")</f>
        <v>Enviado</v>
      </c>
      <c r="H22" s="51" t="str">
        <f>IF(_xlfn.ISFORMULA('Previsto x realizado'!AZ59) = FALSE, "","Enviado")</f>
        <v>Enviado</v>
      </c>
      <c r="I22" s="51" t="str">
        <f>IF(_xlfn.ISFORMULA('Previsto x realizado'!BA59) = FALSE, "","Enviado")</f>
        <v/>
      </c>
      <c r="J22" s="51" t="str">
        <f>IF(_xlfn.ISFORMULA('Previsto x realizado'!BB59) = FALSE, "","Enviado")</f>
        <v/>
      </c>
      <c r="K22" s="51" t="str">
        <f>IF(_xlfn.ISFORMULA('Previsto x realizado'!BC59) = FALSE, "","Enviado")</f>
        <v/>
      </c>
      <c r="L22" s="51" t="str">
        <f>IF(_xlfn.ISFORMULA('Previsto x realizado'!BD59) = FALSE, "","Enviado")</f>
        <v/>
      </c>
      <c r="M22" s="51" t="str">
        <f>IF(_xlfn.ISFORMULA('Previsto x realizado'!BE59) = FALSE, "","Enviado")</f>
        <v/>
      </c>
      <c r="N22" s="51" t="str">
        <f>IF(_xlfn.ISFORMULA('Previsto x realizado'!BF59) = FALSE, "","Enviado")</f>
        <v/>
      </c>
      <c r="O22" s="51" t="str">
        <f>IF(_xlfn.ISFORMULA('Previsto x realizado'!BG59) = FALSE, "","Enviado")</f>
        <v/>
      </c>
      <c r="P22" s="51" t="str">
        <f>IF(_xlfn.ISFORMULA('Previsto x realizado'!BH59) = FALSE, "","Enviado")</f>
        <v/>
      </c>
    </row>
    <row r="23" spans="1:16" hidden="1" x14ac:dyDescent="0.3">
      <c r="A23" s="20" t="s">
        <v>87</v>
      </c>
      <c r="B23" s="4" t="s">
        <v>232</v>
      </c>
      <c r="C23" s="5" t="s">
        <v>35</v>
      </c>
      <c r="D23" s="4" t="s">
        <v>238</v>
      </c>
      <c r="E23" s="51" t="str">
        <f>IF(_xlfn.ISFORMULA('Previsto x realizado'!AW60) = FALSE, "","Enviado")</f>
        <v>Enviado</v>
      </c>
      <c r="F23" s="51" t="str">
        <f>IF(_xlfn.ISFORMULA('Previsto x realizado'!AX60) = FALSE, "","Enviado")</f>
        <v>Enviado</v>
      </c>
      <c r="G23" s="51" t="str">
        <f>IF(_xlfn.ISFORMULA('Previsto x realizado'!AY60) = FALSE, "","Enviado")</f>
        <v>Enviado</v>
      </c>
      <c r="H23" s="51" t="str">
        <f>IF(_xlfn.ISFORMULA('Previsto x realizado'!AZ60) = FALSE, "","Enviado")</f>
        <v>Enviado</v>
      </c>
      <c r="I23" s="51" t="str">
        <f>IF(_xlfn.ISFORMULA('Previsto x realizado'!BA60) = FALSE, "","Enviado")</f>
        <v/>
      </c>
      <c r="J23" s="51" t="str">
        <f>IF(_xlfn.ISFORMULA('Previsto x realizado'!BB60) = FALSE, "","Enviado")</f>
        <v/>
      </c>
      <c r="K23" s="51" t="str">
        <f>IF(_xlfn.ISFORMULA('Previsto x realizado'!BC60) = FALSE, "","Enviado")</f>
        <v/>
      </c>
      <c r="L23" s="51" t="str">
        <f>IF(_xlfn.ISFORMULA('Previsto x realizado'!BD60) = FALSE, "","Enviado")</f>
        <v/>
      </c>
      <c r="M23" s="51" t="str">
        <f>IF(_xlfn.ISFORMULA('Previsto x realizado'!BE60) = FALSE, "","Enviado")</f>
        <v/>
      </c>
      <c r="N23" s="51" t="str">
        <f>IF(_xlfn.ISFORMULA('Previsto x realizado'!BF60) = FALSE, "","Enviado")</f>
        <v/>
      </c>
      <c r="O23" s="51" t="str">
        <f>IF(_xlfn.ISFORMULA('Previsto x realizado'!BG60) = FALSE, "","Enviado")</f>
        <v/>
      </c>
      <c r="P23" s="51" t="str">
        <f>IF(_xlfn.ISFORMULA('Previsto x realizado'!BH60) = FALSE, "","Enviado")</f>
        <v/>
      </c>
    </row>
    <row r="24" spans="1:16" hidden="1" x14ac:dyDescent="0.3">
      <c r="A24" s="40" t="s">
        <v>87</v>
      </c>
      <c r="B24" s="4" t="s">
        <v>232</v>
      </c>
      <c r="C24" s="5" t="s">
        <v>35</v>
      </c>
      <c r="D24" s="4" t="s">
        <v>238</v>
      </c>
      <c r="E24" s="51" t="str">
        <f>IF(_xlfn.ISFORMULA('Previsto x realizado'!AW61) = FALSE, "","Enviado")</f>
        <v>Enviado</v>
      </c>
      <c r="F24" s="51" t="str">
        <f>IF(_xlfn.ISFORMULA('Previsto x realizado'!AX61) = FALSE, "","Enviado")</f>
        <v>Enviado</v>
      </c>
      <c r="G24" s="51" t="str">
        <f>IF(_xlfn.ISFORMULA('Previsto x realizado'!AY61) = FALSE, "","Enviado")</f>
        <v>Enviado</v>
      </c>
      <c r="H24" s="51" t="str">
        <f>IF(_xlfn.ISFORMULA('Previsto x realizado'!AZ61) = FALSE, "","Enviado")</f>
        <v>Enviado</v>
      </c>
      <c r="I24" s="51" t="str">
        <f>IF(_xlfn.ISFORMULA('Previsto x realizado'!BA61) = FALSE, "","Enviado")</f>
        <v/>
      </c>
      <c r="J24" s="51" t="str">
        <f>IF(_xlfn.ISFORMULA('Previsto x realizado'!BB61) = FALSE, "","Enviado")</f>
        <v/>
      </c>
      <c r="K24" s="51" t="str">
        <f>IF(_xlfn.ISFORMULA('Previsto x realizado'!BC61) = FALSE, "","Enviado")</f>
        <v/>
      </c>
      <c r="L24" s="51" t="str">
        <f>IF(_xlfn.ISFORMULA('Previsto x realizado'!BD61) = FALSE, "","Enviado")</f>
        <v/>
      </c>
      <c r="M24" s="51" t="str">
        <f>IF(_xlfn.ISFORMULA('Previsto x realizado'!BE61) = FALSE, "","Enviado")</f>
        <v/>
      </c>
      <c r="N24" s="51" t="str">
        <f>IF(_xlfn.ISFORMULA('Previsto x realizado'!BF61) = FALSE, "","Enviado")</f>
        <v/>
      </c>
      <c r="O24" s="51" t="str">
        <f>IF(_xlfn.ISFORMULA('Previsto x realizado'!BG61) = FALSE, "","Enviado")</f>
        <v/>
      </c>
      <c r="P24" s="51" t="str">
        <f>IF(_xlfn.ISFORMULA('Previsto x realizado'!BH61) = FALSE, "","Enviado")</f>
        <v/>
      </c>
    </row>
    <row r="25" spans="1:16" ht="27.6" x14ac:dyDescent="0.3">
      <c r="A25" s="20" t="s">
        <v>87</v>
      </c>
      <c r="B25" s="4" t="s">
        <v>88</v>
      </c>
      <c r="C25" s="5" t="s">
        <v>35</v>
      </c>
      <c r="D25" s="4" t="s">
        <v>267</v>
      </c>
      <c r="E25" s="51" t="str">
        <f>IF(_xlfn.ISFORMULA('Previsto x realizado'!AW62) = FALSE, "","Enviado")</f>
        <v>Enviado</v>
      </c>
      <c r="F25" s="51" t="str">
        <f>IF(_xlfn.ISFORMULA('Previsto x realizado'!AX62) = FALSE, "","Enviado")</f>
        <v>Enviado</v>
      </c>
      <c r="G25" s="51" t="str">
        <f>IF(_xlfn.ISFORMULA('Previsto x realizado'!AY62) = FALSE, "","Enviado")</f>
        <v>Enviado</v>
      </c>
      <c r="H25" s="51" t="str">
        <f>IF(_xlfn.ISFORMULA('Previsto x realizado'!AZ62) = FALSE, "","Enviado")</f>
        <v>Enviado</v>
      </c>
      <c r="I25" s="51" t="str">
        <f>IF(_xlfn.ISFORMULA('Previsto x realizado'!BA62) = FALSE, "","Enviado")</f>
        <v/>
      </c>
      <c r="J25" s="51" t="str">
        <f>IF(_xlfn.ISFORMULA('Previsto x realizado'!BB62) = FALSE, "","Enviado")</f>
        <v/>
      </c>
      <c r="K25" s="51" t="str">
        <f>IF(_xlfn.ISFORMULA('Previsto x realizado'!BC62) = FALSE, "","Enviado")</f>
        <v/>
      </c>
      <c r="L25" s="51" t="str">
        <f>IF(_xlfn.ISFORMULA('Previsto x realizado'!BD62) = FALSE, "","Enviado")</f>
        <v/>
      </c>
      <c r="M25" s="51" t="str">
        <f>IF(_xlfn.ISFORMULA('Previsto x realizado'!BE62) = FALSE, "","Enviado")</f>
        <v/>
      </c>
      <c r="N25" s="51" t="str">
        <f>IF(_xlfn.ISFORMULA('Previsto x realizado'!BF62) = FALSE, "","Enviado")</f>
        <v/>
      </c>
      <c r="O25" s="51" t="str">
        <f>IF(_xlfn.ISFORMULA('Previsto x realizado'!BG62) = FALSE, "","Enviado")</f>
        <v/>
      </c>
      <c r="P25" s="51" t="str">
        <f>IF(_xlfn.ISFORMULA('Previsto x realizado'!BH62) = FALSE, "","Enviado")</f>
        <v/>
      </c>
    </row>
    <row r="26" spans="1:16" ht="27.6" hidden="1" x14ac:dyDescent="0.3">
      <c r="A26" s="40" t="s">
        <v>87</v>
      </c>
      <c r="B26" s="4" t="s">
        <v>88</v>
      </c>
      <c r="C26" s="5" t="s">
        <v>35</v>
      </c>
      <c r="D26" s="4" t="s">
        <v>267</v>
      </c>
      <c r="E26" s="51" t="str">
        <f>IF(_xlfn.ISFORMULA('Previsto x realizado'!AW73) = FALSE, "","Enviado")</f>
        <v>Enviado</v>
      </c>
      <c r="F26" s="51" t="str">
        <f>IF(_xlfn.ISFORMULA('Previsto x realizado'!AX73) = FALSE, "","Enviado")</f>
        <v>Enviado</v>
      </c>
      <c r="G26" s="51" t="str">
        <f>IF(_xlfn.ISFORMULA('Previsto x realizado'!AY73) = FALSE, "","Enviado")</f>
        <v>Enviado</v>
      </c>
      <c r="H26" s="51" t="str">
        <f>IF(_xlfn.ISFORMULA('Previsto x realizado'!AZ73) = FALSE, "","Enviado")</f>
        <v>Enviado</v>
      </c>
      <c r="I26" s="51" t="str">
        <f>IF(_xlfn.ISFORMULA('Previsto x realizado'!BA73) = FALSE, "","Enviado")</f>
        <v/>
      </c>
      <c r="J26" s="51" t="str">
        <f>IF(_xlfn.ISFORMULA('Previsto x realizado'!BB73) = FALSE, "","Enviado")</f>
        <v/>
      </c>
      <c r="K26" s="51" t="str">
        <f>IF(_xlfn.ISFORMULA('Previsto x realizado'!BC73) = FALSE, "","Enviado")</f>
        <v/>
      </c>
      <c r="L26" s="51" t="str">
        <f>IF(_xlfn.ISFORMULA('Previsto x realizado'!BD73) = FALSE, "","Enviado")</f>
        <v/>
      </c>
      <c r="M26" s="51" t="str">
        <f>IF(_xlfn.ISFORMULA('Previsto x realizado'!BE73) = FALSE, "","Enviado")</f>
        <v/>
      </c>
      <c r="N26" s="51" t="str">
        <f>IF(_xlfn.ISFORMULA('Previsto x realizado'!BF73) = FALSE, "","Enviado")</f>
        <v/>
      </c>
      <c r="O26" s="51" t="str">
        <f>IF(_xlfn.ISFORMULA('Previsto x realizado'!BG73) = FALSE, "","Enviado")</f>
        <v/>
      </c>
      <c r="P26" s="51" t="str">
        <f>IF(_xlfn.ISFORMULA('Previsto x realizado'!BH73) = FALSE, "","Enviado")</f>
        <v/>
      </c>
    </row>
    <row r="27" spans="1:16" ht="27.6" hidden="1" x14ac:dyDescent="0.3">
      <c r="A27" s="40" t="s">
        <v>87</v>
      </c>
      <c r="B27" s="4" t="s">
        <v>88</v>
      </c>
      <c r="C27" s="5" t="s">
        <v>35</v>
      </c>
      <c r="D27" s="4" t="s">
        <v>267</v>
      </c>
      <c r="E27" s="51" t="str">
        <f>IF(_xlfn.ISFORMULA('Previsto x realizado'!AW84) = FALSE, "","Enviado")</f>
        <v>Enviado</v>
      </c>
      <c r="F27" s="51" t="str">
        <f>IF(_xlfn.ISFORMULA('Previsto x realizado'!AX84) = FALSE, "","Enviado")</f>
        <v>Enviado</v>
      </c>
      <c r="G27" s="51" t="str">
        <f>IF(_xlfn.ISFORMULA('Previsto x realizado'!AY84) = FALSE, "","Enviado")</f>
        <v>Enviado</v>
      </c>
      <c r="H27" s="51" t="str">
        <f>IF(_xlfn.ISFORMULA('Previsto x realizado'!AZ84) = FALSE, "","Enviado")</f>
        <v>Enviado</v>
      </c>
      <c r="I27" s="51" t="str">
        <f>IF(_xlfn.ISFORMULA('Previsto x realizado'!BA84) = FALSE, "","Enviado")</f>
        <v/>
      </c>
      <c r="J27" s="51" t="str">
        <f>IF(_xlfn.ISFORMULA('Previsto x realizado'!BB84) = FALSE, "","Enviado")</f>
        <v/>
      </c>
      <c r="K27" s="51" t="str">
        <f>IF(_xlfn.ISFORMULA('Previsto x realizado'!BC84) = FALSE, "","Enviado")</f>
        <v/>
      </c>
      <c r="L27" s="51" t="str">
        <f>IF(_xlfn.ISFORMULA('Previsto x realizado'!BD84) = FALSE, "","Enviado")</f>
        <v/>
      </c>
      <c r="M27" s="51" t="str">
        <f>IF(_xlfn.ISFORMULA('Previsto x realizado'!BE84) = FALSE, "","Enviado")</f>
        <v/>
      </c>
      <c r="N27" s="51" t="str">
        <f>IF(_xlfn.ISFORMULA('Previsto x realizado'!BF84) = FALSE, "","Enviado")</f>
        <v/>
      </c>
      <c r="O27" s="51" t="str">
        <f>IF(_xlfn.ISFORMULA('Previsto x realizado'!BG84) = FALSE, "","Enviado")</f>
        <v/>
      </c>
      <c r="P27" s="51" t="str">
        <f>IF(_xlfn.ISFORMULA('Previsto x realizado'!BH84) = FALSE, "","Enviado")</f>
        <v/>
      </c>
    </row>
    <row r="28" spans="1:16" x14ac:dyDescent="0.3">
      <c r="A28" s="70" t="s">
        <v>108</v>
      </c>
      <c r="B28" s="4" t="s">
        <v>109</v>
      </c>
      <c r="C28" s="5" t="s">
        <v>35</v>
      </c>
      <c r="D28" s="4" t="s">
        <v>238</v>
      </c>
      <c r="E28" s="51" t="str">
        <f>IF(_xlfn.ISFORMULA('Previsto x realizado'!AW88) = FALSE, "","Enviado")</f>
        <v>Enviado</v>
      </c>
      <c r="F28" s="51" t="str">
        <f>IF(_xlfn.ISFORMULA('Previsto x realizado'!AX88) = FALSE, "","Enviado")</f>
        <v>Enviado</v>
      </c>
      <c r="G28" s="51" t="str">
        <f>IF(_xlfn.ISFORMULA('Previsto x realizado'!AY88) = FALSE, "","Enviado")</f>
        <v>Enviado</v>
      </c>
      <c r="H28" s="51" t="str">
        <f>IF(_xlfn.ISFORMULA('Previsto x realizado'!AZ88) = FALSE, "","Enviado")</f>
        <v>Enviado</v>
      </c>
      <c r="I28" s="51" t="str">
        <f>IF(_xlfn.ISFORMULA('Previsto x realizado'!BA88) = FALSE, "","Enviado")</f>
        <v>Enviado</v>
      </c>
      <c r="J28" s="51" t="str">
        <f>IF(_xlfn.ISFORMULA('Previsto x realizado'!BB88) = FALSE, "","Enviado")</f>
        <v/>
      </c>
      <c r="K28" s="51" t="str">
        <f>IF(_xlfn.ISFORMULA('Previsto x realizado'!BC88) = FALSE, "","Enviado")</f>
        <v/>
      </c>
      <c r="L28" s="51" t="str">
        <f>IF(_xlfn.ISFORMULA('Previsto x realizado'!BD88) = FALSE, "","Enviado")</f>
        <v/>
      </c>
      <c r="M28" s="51" t="str">
        <f>IF(_xlfn.ISFORMULA('Previsto x realizado'!BE88) = FALSE, "","Enviado")</f>
        <v/>
      </c>
      <c r="N28" s="51" t="str">
        <f>IF(_xlfn.ISFORMULA('Previsto x realizado'!BF88) = FALSE, "","Enviado")</f>
        <v/>
      </c>
      <c r="O28" s="51" t="str">
        <f>IF(_xlfn.ISFORMULA('Previsto x realizado'!BG88) = FALSE, "","Enviado")</f>
        <v/>
      </c>
      <c r="P28" s="51" t="str">
        <f>IF(_xlfn.ISFORMULA('Previsto x realizado'!BH88) = FALSE, "","Enviado")</f>
        <v/>
      </c>
    </row>
    <row r="29" spans="1:16" x14ac:dyDescent="0.3">
      <c r="A29" s="41" t="s">
        <v>108</v>
      </c>
      <c r="B29" s="4" t="s">
        <v>109</v>
      </c>
      <c r="C29" s="5" t="s">
        <v>35</v>
      </c>
      <c r="D29" s="4" t="s">
        <v>238</v>
      </c>
      <c r="E29" s="51" t="str">
        <f>IF(_xlfn.ISFORMULA('Previsto x realizado'!AW94) = FALSE, "","Enviado")</f>
        <v>Enviado</v>
      </c>
      <c r="F29" s="51" t="str">
        <f>IF(_xlfn.ISFORMULA('Previsto x realizado'!AX94) = FALSE, "","Enviado")</f>
        <v>Enviado</v>
      </c>
      <c r="G29" s="51" t="str">
        <f>IF(_xlfn.ISFORMULA('Previsto x realizado'!AY94) = FALSE, "","Enviado")</f>
        <v>Enviado</v>
      </c>
      <c r="H29" s="51" t="str">
        <f>IF(_xlfn.ISFORMULA('Previsto x realizado'!AZ94) = FALSE, "","Enviado")</f>
        <v>Enviado</v>
      </c>
      <c r="I29" s="51" t="str">
        <f>IF(_xlfn.ISFORMULA('Previsto x realizado'!BA94) = FALSE, "","Enviado")</f>
        <v>Enviado</v>
      </c>
      <c r="J29" s="51" t="str">
        <f>IF(_xlfn.ISFORMULA('Previsto x realizado'!BB94) = FALSE, "","Enviado")</f>
        <v/>
      </c>
      <c r="K29" s="51" t="str">
        <f>IF(_xlfn.ISFORMULA('Previsto x realizado'!BC94) = FALSE, "","Enviado")</f>
        <v/>
      </c>
      <c r="L29" s="51" t="str">
        <f>IF(_xlfn.ISFORMULA('Previsto x realizado'!BD94) = FALSE, "","Enviado")</f>
        <v/>
      </c>
      <c r="M29" s="51" t="str">
        <f>IF(_xlfn.ISFORMULA('Previsto x realizado'!BE94) = FALSE, "","Enviado")</f>
        <v/>
      </c>
      <c r="N29" s="51" t="str">
        <f>IF(_xlfn.ISFORMULA('Previsto x realizado'!BF94) = FALSE, "","Enviado")</f>
        <v/>
      </c>
      <c r="O29" s="51" t="str">
        <f>IF(_xlfn.ISFORMULA('Previsto x realizado'!BG94) = FALSE, "","Enviado")</f>
        <v/>
      </c>
      <c r="P29" s="51" t="str">
        <f>IF(_xlfn.ISFORMULA('Previsto x realizado'!BH94) = FALSE, "","Enviado")</f>
        <v/>
      </c>
    </row>
    <row r="30" spans="1:16" hidden="1" x14ac:dyDescent="0.3">
      <c r="A30" s="41" t="s">
        <v>108</v>
      </c>
      <c r="B30" s="4" t="s">
        <v>314</v>
      </c>
      <c r="C30" s="5" t="s">
        <v>35</v>
      </c>
      <c r="D30" s="4" t="s">
        <v>238</v>
      </c>
      <c r="E30" s="51" t="e">
        <f>IF(_xlfn.ISFORMULA('Previsto x realizado'!#REF!) = FALSE, "","Enviado")</f>
        <v>#REF!</v>
      </c>
      <c r="F30" s="51" t="e">
        <f>IF(_xlfn.ISFORMULA('Previsto x realizado'!#REF!) = FALSE, "","Enviado")</f>
        <v>#REF!</v>
      </c>
      <c r="G30" s="51" t="e">
        <f>IF(_xlfn.ISFORMULA('Previsto x realizado'!#REF!) = FALSE, "","Enviado")</f>
        <v>#REF!</v>
      </c>
      <c r="H30" s="51" t="e">
        <f>IF(_xlfn.ISFORMULA('Previsto x realizado'!#REF!) = FALSE, "","Enviado")</f>
        <v>#REF!</v>
      </c>
      <c r="I30" s="51" t="e">
        <f>IF(_xlfn.ISFORMULA('Previsto x realizado'!#REF!) = FALSE, "","Enviado")</f>
        <v>#REF!</v>
      </c>
      <c r="J30" s="51" t="e">
        <f>IF(_xlfn.ISFORMULA('Previsto x realizado'!#REF!) = FALSE, "","Enviado")</f>
        <v>#REF!</v>
      </c>
      <c r="K30" s="51" t="e">
        <f>IF(_xlfn.ISFORMULA('Previsto x realizado'!#REF!) = FALSE, "","Enviado")</f>
        <v>#REF!</v>
      </c>
      <c r="L30" s="51" t="e">
        <f>IF(_xlfn.ISFORMULA('Previsto x realizado'!#REF!) = FALSE, "","Enviado")</f>
        <v>#REF!</v>
      </c>
      <c r="M30" s="51" t="e">
        <f>IF(_xlfn.ISFORMULA('Previsto x realizado'!#REF!) = FALSE, "","Enviado")</f>
        <v>#REF!</v>
      </c>
      <c r="N30" s="51" t="e">
        <f>IF(_xlfn.ISFORMULA('Previsto x realizado'!#REF!) = FALSE, "","Enviado")</f>
        <v>#REF!</v>
      </c>
      <c r="O30" s="51" t="e">
        <f>IF(_xlfn.ISFORMULA('Previsto x realizado'!#REF!) = FALSE, "","Enviado")</f>
        <v>#REF!</v>
      </c>
      <c r="P30" s="51" t="e">
        <f>IF(_xlfn.ISFORMULA('Previsto x realizado'!#REF!) = FALSE, "","Enviado")</f>
        <v>#REF!</v>
      </c>
    </row>
    <row r="31" spans="1:16" ht="27.6" hidden="1" x14ac:dyDescent="0.3">
      <c r="A31" s="70" t="s">
        <v>108</v>
      </c>
      <c r="B31" s="4" t="s">
        <v>117</v>
      </c>
      <c r="C31" s="5" t="s">
        <v>35</v>
      </c>
      <c r="D31" s="4" t="s">
        <v>267</v>
      </c>
      <c r="E31" s="51" t="str">
        <f>IF(_xlfn.ISFORMULA('Previsto x realizado'!AW97) = FALSE, "","Enviado")</f>
        <v>Enviado</v>
      </c>
      <c r="F31" s="51" t="str">
        <f>IF(_xlfn.ISFORMULA('Previsto x realizado'!AX97) = FALSE, "","Enviado")</f>
        <v>Enviado</v>
      </c>
      <c r="G31" s="51" t="str">
        <f>IF(_xlfn.ISFORMULA('Previsto x realizado'!AY97) = FALSE, "","Enviado")</f>
        <v>Enviado</v>
      </c>
      <c r="H31" s="51" t="str">
        <f>IF(_xlfn.ISFORMULA('Previsto x realizado'!AZ97) = FALSE, "","Enviado")</f>
        <v>Enviado</v>
      </c>
      <c r="I31" s="51" t="str">
        <f>IF(_xlfn.ISFORMULA('Previsto x realizado'!BA97) = FALSE, "","Enviado")</f>
        <v/>
      </c>
      <c r="J31" s="51" t="str">
        <f>IF(_xlfn.ISFORMULA('Previsto x realizado'!BB97) = FALSE, "","Enviado")</f>
        <v/>
      </c>
      <c r="K31" s="51" t="str">
        <f>IF(_xlfn.ISFORMULA('Previsto x realizado'!BC97) = FALSE, "","Enviado")</f>
        <v/>
      </c>
      <c r="L31" s="51" t="str">
        <f>IF(_xlfn.ISFORMULA('Previsto x realizado'!BD97) = FALSE, "","Enviado")</f>
        <v/>
      </c>
      <c r="M31" s="51" t="str">
        <f>IF(_xlfn.ISFORMULA('Previsto x realizado'!BE97) = FALSE, "","Enviado")</f>
        <v/>
      </c>
      <c r="N31" s="51" t="str">
        <f>IF(_xlfn.ISFORMULA('Previsto x realizado'!BF97) = FALSE, "","Enviado")</f>
        <v/>
      </c>
      <c r="O31" s="51" t="str">
        <f>IF(_xlfn.ISFORMULA('Previsto x realizado'!BG97) = FALSE, "","Enviado")</f>
        <v/>
      </c>
      <c r="P31" s="51" t="str">
        <f>IF(_xlfn.ISFORMULA('Previsto x realizado'!BH97) = FALSE, "","Enviado")</f>
        <v/>
      </c>
    </row>
    <row r="32" spans="1:16" ht="27.6" hidden="1" x14ac:dyDescent="0.3">
      <c r="A32" s="70" t="s">
        <v>108</v>
      </c>
      <c r="B32" s="4" t="s">
        <v>117</v>
      </c>
      <c r="C32" s="5" t="s">
        <v>35</v>
      </c>
      <c r="D32" s="4" t="s">
        <v>267</v>
      </c>
      <c r="E32" s="51" t="str">
        <f>IF(_xlfn.ISFORMULA('Previsto x realizado'!AW100) = FALSE, "","Enviado")</f>
        <v>Enviado</v>
      </c>
      <c r="F32" s="51" t="str">
        <f>IF(_xlfn.ISFORMULA('Previsto x realizado'!AX100) = FALSE, "","Enviado")</f>
        <v>Enviado</v>
      </c>
      <c r="G32" s="51" t="str">
        <f>IF(_xlfn.ISFORMULA('Previsto x realizado'!AY100) = FALSE, "","Enviado")</f>
        <v>Enviado</v>
      </c>
      <c r="H32" s="51" t="str">
        <f>IF(_xlfn.ISFORMULA('Previsto x realizado'!AZ100) = FALSE, "","Enviado")</f>
        <v>Enviado</v>
      </c>
      <c r="I32" s="51" t="str">
        <f>IF(_xlfn.ISFORMULA('Previsto x realizado'!BA100) = FALSE, "","Enviado")</f>
        <v/>
      </c>
      <c r="J32" s="51" t="str">
        <f>IF(_xlfn.ISFORMULA('Previsto x realizado'!BB100) = FALSE, "","Enviado")</f>
        <v/>
      </c>
      <c r="K32" s="51" t="str">
        <f>IF(_xlfn.ISFORMULA('Previsto x realizado'!BC100) = FALSE, "","Enviado")</f>
        <v/>
      </c>
      <c r="L32" s="51" t="str">
        <f>IF(_xlfn.ISFORMULA('Previsto x realizado'!BD100) = FALSE, "","Enviado")</f>
        <v/>
      </c>
      <c r="M32" s="51" t="str">
        <f>IF(_xlfn.ISFORMULA('Previsto x realizado'!BE100) = FALSE, "","Enviado")</f>
        <v/>
      </c>
      <c r="N32" s="51" t="str">
        <f>IF(_xlfn.ISFORMULA('Previsto x realizado'!BF100) = FALSE, "","Enviado")</f>
        <v/>
      </c>
      <c r="O32" s="51" t="str">
        <f>IF(_xlfn.ISFORMULA('Previsto x realizado'!BG100) = FALSE, "","Enviado")</f>
        <v/>
      </c>
      <c r="P32" s="51" t="str">
        <f>IF(_xlfn.ISFORMULA('Previsto x realizado'!BH100) = FALSE, "","Enviado")</f>
        <v/>
      </c>
    </row>
    <row r="33" spans="1:16" ht="27.6" x14ac:dyDescent="0.3">
      <c r="A33" s="41" t="s">
        <v>108</v>
      </c>
      <c r="B33" s="4" t="s">
        <v>123</v>
      </c>
      <c r="C33" s="5" t="s">
        <v>35</v>
      </c>
      <c r="D33" s="4" t="s">
        <v>267</v>
      </c>
      <c r="E33" s="51" t="str">
        <f>IF(_xlfn.ISFORMULA('Previsto x realizado'!AW103) = FALSE, "","Enviado")</f>
        <v>Enviado</v>
      </c>
      <c r="F33" s="51" t="str">
        <f>IF(_xlfn.ISFORMULA('Previsto x realizado'!AX103) = FALSE, "","Enviado")</f>
        <v>Enviado</v>
      </c>
      <c r="G33" s="51" t="str">
        <f>IF(_xlfn.ISFORMULA('Previsto x realizado'!AY103) = FALSE, "","Enviado")</f>
        <v>Enviado</v>
      </c>
      <c r="H33" s="51" t="str">
        <f>IF(_xlfn.ISFORMULA('Previsto x realizado'!AZ103) = FALSE, "","Enviado")</f>
        <v>Enviado</v>
      </c>
      <c r="I33" s="51" t="str">
        <f>IF(_xlfn.ISFORMULA('Previsto x realizado'!BA103) = FALSE, "","Enviado")</f>
        <v/>
      </c>
      <c r="J33" s="51" t="str">
        <f>IF(_xlfn.ISFORMULA('Previsto x realizado'!BB103) = FALSE, "","Enviado")</f>
        <v/>
      </c>
      <c r="K33" s="51" t="str">
        <f>IF(_xlfn.ISFORMULA('Previsto x realizado'!BC103) = FALSE, "","Enviado")</f>
        <v/>
      </c>
      <c r="L33" s="51" t="str">
        <f>IF(_xlfn.ISFORMULA('Previsto x realizado'!BD103) = FALSE, "","Enviado")</f>
        <v/>
      </c>
      <c r="M33" s="51" t="str">
        <f>IF(_xlfn.ISFORMULA('Previsto x realizado'!BE103) = FALSE, "","Enviado")</f>
        <v/>
      </c>
      <c r="N33" s="51" t="str">
        <f>IF(_xlfn.ISFORMULA('Previsto x realizado'!BF103) = FALSE, "","Enviado")</f>
        <v/>
      </c>
      <c r="O33" s="51" t="str">
        <f>IF(_xlfn.ISFORMULA('Previsto x realizado'!BG103) = FALSE, "","Enviado")</f>
        <v/>
      </c>
      <c r="P33" s="51" t="str">
        <f>IF(_xlfn.ISFORMULA('Previsto x realizado'!BH103) = FALSE, "","Enviado")</f>
        <v/>
      </c>
    </row>
    <row r="34" spans="1:16" ht="27.6" hidden="1" x14ac:dyDescent="0.3">
      <c r="A34" s="70" t="s">
        <v>108</v>
      </c>
      <c r="B34" s="4" t="s">
        <v>123</v>
      </c>
      <c r="C34" s="5" t="s">
        <v>35</v>
      </c>
      <c r="D34" s="4" t="s">
        <v>267</v>
      </c>
      <c r="E34" s="51" t="str">
        <f>IF(_xlfn.ISFORMULA('Previsto x realizado'!AW106) = FALSE, "","Enviado")</f>
        <v>Enviado</v>
      </c>
      <c r="F34" s="51" t="str">
        <f>IF(_xlfn.ISFORMULA('Previsto x realizado'!AX106) = FALSE, "","Enviado")</f>
        <v>Enviado</v>
      </c>
      <c r="G34" s="51" t="str">
        <f>IF(_xlfn.ISFORMULA('Previsto x realizado'!AY106) = FALSE, "","Enviado")</f>
        <v>Enviado</v>
      </c>
      <c r="H34" s="51" t="str">
        <f>IF(_xlfn.ISFORMULA('Previsto x realizado'!AZ106) = FALSE, "","Enviado")</f>
        <v>Enviado</v>
      </c>
      <c r="I34" s="51" t="str">
        <f>IF(_xlfn.ISFORMULA('Previsto x realizado'!BA106) = FALSE, "","Enviado")</f>
        <v/>
      </c>
      <c r="J34" s="51" t="str">
        <f>IF(_xlfn.ISFORMULA('Previsto x realizado'!BB106) = FALSE, "","Enviado")</f>
        <v/>
      </c>
      <c r="K34" s="51" t="str">
        <f>IF(_xlfn.ISFORMULA('Previsto x realizado'!BC106) = FALSE, "","Enviado")</f>
        <v/>
      </c>
      <c r="L34" s="51" t="str">
        <f>IF(_xlfn.ISFORMULA('Previsto x realizado'!BD106) = FALSE, "","Enviado")</f>
        <v/>
      </c>
      <c r="M34" s="51" t="str">
        <f>IF(_xlfn.ISFORMULA('Previsto x realizado'!BE106) = FALSE, "","Enviado")</f>
        <v/>
      </c>
      <c r="N34" s="51" t="str">
        <f>IF(_xlfn.ISFORMULA('Previsto x realizado'!BF106) = FALSE, "","Enviado")</f>
        <v/>
      </c>
      <c r="O34" s="51" t="str">
        <f>IF(_xlfn.ISFORMULA('Previsto x realizado'!BG106) = FALSE, "","Enviado")</f>
        <v/>
      </c>
      <c r="P34" s="51" t="str">
        <f>IF(_xlfn.ISFORMULA('Previsto x realizado'!BH106) = FALSE, "","Enviado")</f>
        <v/>
      </c>
    </row>
    <row r="35" spans="1:16" ht="27.6" hidden="1" x14ac:dyDescent="0.3">
      <c r="A35" s="70" t="s">
        <v>108</v>
      </c>
      <c r="B35" s="4" t="s">
        <v>123</v>
      </c>
      <c r="C35" s="5" t="s">
        <v>35</v>
      </c>
      <c r="D35" s="4" t="s">
        <v>267</v>
      </c>
      <c r="E35" s="51" t="str">
        <f>IF(_xlfn.ISFORMULA('Previsto x realizado'!AW109) = FALSE, "","Enviado")</f>
        <v>Enviado</v>
      </c>
      <c r="F35" s="51" t="str">
        <f>IF(_xlfn.ISFORMULA('Previsto x realizado'!AX109) = FALSE, "","Enviado")</f>
        <v>Enviado</v>
      </c>
      <c r="G35" s="51" t="str">
        <f>IF(_xlfn.ISFORMULA('Previsto x realizado'!AY109) = FALSE, "","Enviado")</f>
        <v>Enviado</v>
      </c>
      <c r="H35" s="51" t="str">
        <f>IF(_xlfn.ISFORMULA('Previsto x realizado'!AZ109) = FALSE, "","Enviado")</f>
        <v>Enviado</v>
      </c>
      <c r="I35" s="51" t="str">
        <f>IF(_xlfn.ISFORMULA('Previsto x realizado'!BA109) = FALSE, "","Enviado")</f>
        <v/>
      </c>
      <c r="J35" s="51" t="str">
        <f>IF(_xlfn.ISFORMULA('Previsto x realizado'!BB109) = FALSE, "","Enviado")</f>
        <v/>
      </c>
      <c r="K35" s="51" t="str">
        <f>IF(_xlfn.ISFORMULA('Previsto x realizado'!BC109) = FALSE, "","Enviado")</f>
        <v/>
      </c>
      <c r="L35" s="51" t="str">
        <f>IF(_xlfn.ISFORMULA('Previsto x realizado'!BD109) = FALSE, "","Enviado")</f>
        <v/>
      </c>
      <c r="M35" s="51" t="str">
        <f>IF(_xlfn.ISFORMULA('Previsto x realizado'!BE109) = FALSE, "","Enviado")</f>
        <v/>
      </c>
      <c r="N35" s="51" t="str">
        <f>IF(_xlfn.ISFORMULA('Previsto x realizado'!BF109) = FALSE, "","Enviado")</f>
        <v/>
      </c>
      <c r="O35" s="51" t="str">
        <f>IF(_xlfn.ISFORMULA('Previsto x realizado'!BG109) = FALSE, "","Enviado")</f>
        <v/>
      </c>
      <c r="P35" s="51" t="str">
        <f>IF(_xlfn.ISFORMULA('Previsto x realizado'!BH109) = FALSE, "","Enviado")</f>
        <v/>
      </c>
    </row>
    <row r="36" spans="1:16" ht="27.6" x14ac:dyDescent="0.3">
      <c r="A36" s="41" t="s">
        <v>108</v>
      </c>
      <c r="B36" s="4" t="s">
        <v>129</v>
      </c>
      <c r="C36" s="5" t="s">
        <v>35</v>
      </c>
      <c r="D36" s="4" t="s">
        <v>267</v>
      </c>
      <c r="E36" s="51" t="str">
        <f>IF(_xlfn.ISFORMULA('Previsto x realizado'!AW112) = FALSE, "","Enviado")</f>
        <v>Enviado</v>
      </c>
      <c r="F36" s="51" t="str">
        <f>IF(_xlfn.ISFORMULA('Previsto x realizado'!AX112) = FALSE, "","Enviado")</f>
        <v>Enviado</v>
      </c>
      <c r="G36" s="51" t="str">
        <f>IF(_xlfn.ISFORMULA('Previsto x realizado'!AY112) = FALSE, "","Enviado")</f>
        <v>Enviado</v>
      </c>
      <c r="H36" s="51" t="str">
        <f>IF(_xlfn.ISFORMULA('Previsto x realizado'!AZ112) = FALSE, "","Enviado")</f>
        <v>Enviado</v>
      </c>
      <c r="I36" s="51" t="str">
        <f>IF(_xlfn.ISFORMULA('Previsto x realizado'!BA112) = FALSE, "","Enviado")</f>
        <v/>
      </c>
      <c r="J36" s="51" t="str">
        <f>IF(_xlfn.ISFORMULA('Previsto x realizado'!BB112) = FALSE, "","Enviado")</f>
        <v/>
      </c>
      <c r="K36" s="51" t="str">
        <f>IF(_xlfn.ISFORMULA('Previsto x realizado'!BC112) = FALSE, "","Enviado")</f>
        <v/>
      </c>
      <c r="L36" s="51" t="str">
        <f>IF(_xlfn.ISFORMULA('Previsto x realizado'!BD112) = FALSE, "","Enviado")</f>
        <v/>
      </c>
      <c r="M36" s="51" t="str">
        <f>IF(_xlfn.ISFORMULA('Previsto x realizado'!BE112) = FALSE, "","Enviado")</f>
        <v/>
      </c>
      <c r="N36" s="51" t="str">
        <f>IF(_xlfn.ISFORMULA('Previsto x realizado'!BF112) = FALSE, "","Enviado")</f>
        <v/>
      </c>
      <c r="O36" s="51" t="str">
        <f>IF(_xlfn.ISFORMULA('Previsto x realizado'!BG112) = FALSE, "","Enviado")</f>
        <v/>
      </c>
      <c r="P36" s="51" t="str">
        <f>IF(_xlfn.ISFORMULA('Previsto x realizado'!BH112) = FALSE, "","Enviado")</f>
        <v/>
      </c>
    </row>
    <row r="37" spans="1:16" ht="27.6" hidden="1" x14ac:dyDescent="0.3">
      <c r="A37" s="70" t="s">
        <v>108</v>
      </c>
      <c r="B37" s="4" t="s">
        <v>129</v>
      </c>
      <c r="C37" s="5" t="s">
        <v>35</v>
      </c>
      <c r="D37" s="4" t="s">
        <v>267</v>
      </c>
      <c r="E37" s="51" t="str">
        <f>IF(_xlfn.ISFORMULA('Previsto x realizado'!AW117) = FALSE, "","Enviado")</f>
        <v>Enviado</v>
      </c>
      <c r="F37" s="51" t="str">
        <f>IF(_xlfn.ISFORMULA('Previsto x realizado'!AX117) = FALSE, "","Enviado")</f>
        <v>Enviado</v>
      </c>
      <c r="G37" s="51" t="str">
        <f>IF(_xlfn.ISFORMULA('Previsto x realizado'!AY117) = FALSE, "","Enviado")</f>
        <v>Enviado</v>
      </c>
      <c r="H37" s="51" t="str">
        <f>IF(_xlfn.ISFORMULA('Previsto x realizado'!AZ117) = FALSE, "","Enviado")</f>
        <v>Enviado</v>
      </c>
      <c r="I37" s="51" t="str">
        <f>IF(_xlfn.ISFORMULA('Previsto x realizado'!BA117) = FALSE, "","Enviado")</f>
        <v/>
      </c>
      <c r="J37" s="51" t="str">
        <f>IF(_xlfn.ISFORMULA('Previsto x realizado'!BB117) = FALSE, "","Enviado")</f>
        <v/>
      </c>
      <c r="K37" s="51" t="str">
        <f>IF(_xlfn.ISFORMULA('Previsto x realizado'!BC117) = FALSE, "","Enviado")</f>
        <v/>
      </c>
      <c r="L37" s="51" t="str">
        <f>IF(_xlfn.ISFORMULA('Previsto x realizado'!BD117) = FALSE, "","Enviado")</f>
        <v/>
      </c>
      <c r="M37" s="51" t="str">
        <f>IF(_xlfn.ISFORMULA('Previsto x realizado'!BE117) = FALSE, "","Enviado")</f>
        <v/>
      </c>
      <c r="N37" s="51" t="str">
        <f>IF(_xlfn.ISFORMULA('Previsto x realizado'!BF117) = FALSE, "","Enviado")</f>
        <v/>
      </c>
      <c r="O37" s="51" t="str">
        <f>IF(_xlfn.ISFORMULA('Previsto x realizado'!BG117) = FALSE, "","Enviado")</f>
        <v/>
      </c>
      <c r="P37" s="51" t="str">
        <f>IF(_xlfn.ISFORMULA('Previsto x realizado'!BH117) = FALSE, "","Enviado")</f>
        <v/>
      </c>
    </row>
    <row r="38" spans="1:16" x14ac:dyDescent="0.3">
      <c r="A38" s="23" t="s">
        <v>134</v>
      </c>
      <c r="B38" s="4" t="s">
        <v>135</v>
      </c>
      <c r="C38" s="5" t="s">
        <v>35</v>
      </c>
      <c r="D38" s="4" t="s">
        <v>238</v>
      </c>
      <c r="E38" s="51" t="str">
        <f>IF(_xlfn.ISFORMULA('Previsto x realizado'!AW118) = FALSE, "","Enviado")</f>
        <v>Enviado</v>
      </c>
      <c r="F38" s="51" t="str">
        <f>IF(_xlfn.ISFORMULA('Previsto x realizado'!AX118) = FALSE, "","Enviado")</f>
        <v>Enviado</v>
      </c>
      <c r="G38" s="51" t="str">
        <f>IF(_xlfn.ISFORMULA('Previsto x realizado'!AY118) = FALSE, "","Enviado")</f>
        <v>Enviado</v>
      </c>
      <c r="H38" s="51" t="str">
        <f>IF(_xlfn.ISFORMULA('Previsto x realizado'!AZ118) = FALSE, "","Enviado")</f>
        <v>Enviado</v>
      </c>
      <c r="I38" s="51" t="str">
        <f>IF(_xlfn.ISFORMULA('Previsto x realizado'!BA118) = FALSE, "","Enviado")</f>
        <v/>
      </c>
      <c r="J38" s="51" t="str">
        <f>IF(_xlfn.ISFORMULA('Previsto x realizado'!BB118) = FALSE, "","Enviado")</f>
        <v/>
      </c>
      <c r="K38" s="51" t="str">
        <f>IF(_xlfn.ISFORMULA('Previsto x realizado'!BC118) = FALSE, "","Enviado")</f>
        <v/>
      </c>
      <c r="L38" s="51" t="str">
        <f>IF(_xlfn.ISFORMULA('Previsto x realizado'!BD118) = FALSE, "","Enviado")</f>
        <v/>
      </c>
      <c r="M38" s="51" t="str">
        <f>IF(_xlfn.ISFORMULA('Previsto x realizado'!BE118) = FALSE, "","Enviado")</f>
        <v/>
      </c>
      <c r="N38" s="51" t="str">
        <f>IF(_xlfn.ISFORMULA('Previsto x realizado'!BF118) = FALSE, "","Enviado")</f>
        <v/>
      </c>
      <c r="O38" s="51" t="str">
        <f>IF(_xlfn.ISFORMULA('Previsto x realizado'!BG118) = FALSE, "","Enviado")</f>
        <v/>
      </c>
      <c r="P38" s="51" t="str">
        <f>IF(_xlfn.ISFORMULA('Previsto x realizado'!BH118) = FALSE, "","Enviado")</f>
        <v/>
      </c>
    </row>
    <row r="39" spans="1:16" x14ac:dyDescent="0.3">
      <c r="A39" s="42" t="s">
        <v>134</v>
      </c>
      <c r="B39" s="4" t="s">
        <v>135</v>
      </c>
      <c r="C39" s="5" t="s">
        <v>35</v>
      </c>
      <c r="D39" s="4" t="s">
        <v>238</v>
      </c>
      <c r="E39" s="51" t="str">
        <f>IF(_xlfn.ISFORMULA('Previsto x realizado'!AW121) = FALSE, "","Enviado")</f>
        <v>Enviado</v>
      </c>
      <c r="F39" s="51" t="str">
        <f>IF(_xlfn.ISFORMULA('Previsto x realizado'!AX121) = FALSE, "","Enviado")</f>
        <v>Enviado</v>
      </c>
      <c r="G39" s="51" t="str">
        <f>IF(_xlfn.ISFORMULA('Previsto x realizado'!AY121) = FALSE, "","Enviado")</f>
        <v>Enviado</v>
      </c>
      <c r="H39" s="51" t="str">
        <f>IF(_xlfn.ISFORMULA('Previsto x realizado'!AZ121) = FALSE, "","Enviado")</f>
        <v>Enviado</v>
      </c>
      <c r="I39" s="51" t="str">
        <f>IF(_xlfn.ISFORMULA('Previsto x realizado'!BA121) = FALSE, "","Enviado")</f>
        <v/>
      </c>
      <c r="J39" s="51" t="str">
        <f>IF(_xlfn.ISFORMULA('Previsto x realizado'!BB121) = FALSE, "","Enviado")</f>
        <v/>
      </c>
      <c r="K39" s="51" t="str">
        <f>IF(_xlfn.ISFORMULA('Previsto x realizado'!BC121) = FALSE, "","Enviado")</f>
        <v/>
      </c>
      <c r="L39" s="51" t="str">
        <f>IF(_xlfn.ISFORMULA('Previsto x realizado'!BD121) = FALSE, "","Enviado")</f>
        <v/>
      </c>
      <c r="M39" s="51" t="str">
        <f>IF(_xlfn.ISFORMULA('Previsto x realizado'!BE121) = FALSE, "","Enviado")</f>
        <v/>
      </c>
      <c r="N39" s="51" t="str">
        <f>IF(_xlfn.ISFORMULA('Previsto x realizado'!BF121) = FALSE, "","Enviado")</f>
        <v/>
      </c>
      <c r="O39" s="51" t="str">
        <f>IF(_xlfn.ISFORMULA('Previsto x realizado'!BG121) = FALSE, "","Enviado")</f>
        <v/>
      </c>
      <c r="P39" s="51" t="str">
        <f>IF(_xlfn.ISFORMULA('Previsto x realizado'!BH121) = FALSE, "","Enviado")</f>
        <v/>
      </c>
    </row>
    <row r="40" spans="1:16" x14ac:dyDescent="0.3">
      <c r="A40" s="42" t="s">
        <v>134</v>
      </c>
      <c r="B40" s="4" t="s">
        <v>135</v>
      </c>
      <c r="C40" s="5" t="s">
        <v>35</v>
      </c>
      <c r="D40" s="4" t="s">
        <v>238</v>
      </c>
      <c r="E40" s="51" t="str">
        <f>IF(_xlfn.ISFORMULA('Previsto x realizado'!AW124) = FALSE, "","Enviado")</f>
        <v>Enviado</v>
      </c>
      <c r="F40" s="51" t="str">
        <f>IF(_xlfn.ISFORMULA('Previsto x realizado'!AX124) = FALSE, "","Enviado")</f>
        <v>Enviado</v>
      </c>
      <c r="G40" s="51" t="str">
        <f>IF(_xlfn.ISFORMULA('Previsto x realizado'!AY124) = FALSE, "","Enviado")</f>
        <v>Enviado</v>
      </c>
      <c r="H40" s="51" t="str">
        <f>IF(_xlfn.ISFORMULA('Previsto x realizado'!AZ124) = FALSE, "","Enviado")</f>
        <v>Enviado</v>
      </c>
      <c r="I40" s="51" t="str">
        <f>IF(_xlfn.ISFORMULA('Previsto x realizado'!BA124) = FALSE, "","Enviado")</f>
        <v/>
      </c>
      <c r="J40" s="51" t="str">
        <f>IF(_xlfn.ISFORMULA('Previsto x realizado'!BB124) = FALSE, "","Enviado")</f>
        <v/>
      </c>
      <c r="K40" s="51" t="str">
        <f>IF(_xlfn.ISFORMULA('Previsto x realizado'!BC124) = FALSE, "","Enviado")</f>
        <v/>
      </c>
      <c r="L40" s="51" t="str">
        <f>IF(_xlfn.ISFORMULA('Previsto x realizado'!BD124) = FALSE, "","Enviado")</f>
        <v/>
      </c>
      <c r="M40" s="51" t="str">
        <f>IF(_xlfn.ISFORMULA('Previsto x realizado'!BE124) = FALSE, "","Enviado")</f>
        <v/>
      </c>
      <c r="N40" s="51" t="str">
        <f>IF(_xlfn.ISFORMULA('Previsto x realizado'!BF124) = FALSE, "","Enviado")</f>
        <v/>
      </c>
      <c r="O40" s="51" t="str">
        <f>IF(_xlfn.ISFORMULA('Previsto x realizado'!BG124) = FALSE, "","Enviado")</f>
        <v/>
      </c>
      <c r="P40" s="51" t="str">
        <f>IF(_xlfn.ISFORMULA('Previsto x realizado'!BH124) = FALSE, "","Enviado")</f>
        <v/>
      </c>
    </row>
    <row r="41" spans="1:16" x14ac:dyDescent="0.3">
      <c r="A41" s="23" t="s">
        <v>134</v>
      </c>
      <c r="B41" s="4" t="s">
        <v>142</v>
      </c>
      <c r="C41" s="5" t="s">
        <v>35</v>
      </c>
      <c r="D41" s="4" t="s">
        <v>238</v>
      </c>
      <c r="E41" s="51" t="str">
        <f>IF(_xlfn.ISFORMULA('Previsto x realizado'!AW127) = FALSE, "","Enviado")</f>
        <v>Enviado</v>
      </c>
      <c r="F41" s="51" t="str">
        <f>IF(_xlfn.ISFORMULA('Previsto x realizado'!AX127) = FALSE, "","Enviado")</f>
        <v>Enviado</v>
      </c>
      <c r="G41" s="51" t="str">
        <f>IF(_xlfn.ISFORMULA('Previsto x realizado'!AY127) = FALSE, "","Enviado")</f>
        <v>Enviado</v>
      </c>
      <c r="H41" s="51" t="str">
        <f>IF(_xlfn.ISFORMULA('Previsto x realizado'!AZ127) = FALSE, "","Enviado")</f>
        <v>Enviado</v>
      </c>
      <c r="I41" s="51" t="str">
        <f>IF(_xlfn.ISFORMULA('Previsto x realizado'!BA127) = FALSE, "","Enviado")</f>
        <v/>
      </c>
      <c r="J41" s="51" t="str">
        <f>IF(_xlfn.ISFORMULA('Previsto x realizado'!BB127) = FALSE, "","Enviado")</f>
        <v/>
      </c>
      <c r="K41" s="51" t="str">
        <f>IF(_xlfn.ISFORMULA('Previsto x realizado'!BC127) = FALSE, "","Enviado")</f>
        <v/>
      </c>
      <c r="L41" s="51" t="str">
        <f>IF(_xlfn.ISFORMULA('Previsto x realizado'!BD127) = FALSE, "","Enviado")</f>
        <v/>
      </c>
      <c r="M41" s="51" t="str">
        <f>IF(_xlfn.ISFORMULA('Previsto x realizado'!BE127) = FALSE, "","Enviado")</f>
        <v/>
      </c>
      <c r="N41" s="51" t="str">
        <f>IF(_xlfn.ISFORMULA('Previsto x realizado'!BF127) = FALSE, "","Enviado")</f>
        <v/>
      </c>
      <c r="O41" s="51" t="str">
        <f>IF(_xlfn.ISFORMULA('Previsto x realizado'!BG127) = FALSE, "","Enviado")</f>
        <v/>
      </c>
      <c r="P41" s="51" t="str">
        <f>IF(_xlfn.ISFORMULA('Previsto x realizado'!BH127) = FALSE, "","Enviado")</f>
        <v/>
      </c>
    </row>
    <row r="42" spans="1:16" x14ac:dyDescent="0.3">
      <c r="A42" s="42" t="s">
        <v>134</v>
      </c>
      <c r="B42" s="4" t="s">
        <v>142</v>
      </c>
      <c r="C42" s="5" t="s">
        <v>35</v>
      </c>
      <c r="D42" s="4" t="s">
        <v>238</v>
      </c>
      <c r="E42" s="51" t="str">
        <f>IF(_xlfn.ISFORMULA('Previsto x realizado'!AW130) = FALSE, "","Enviado")</f>
        <v>Enviado</v>
      </c>
      <c r="F42" s="51" t="str">
        <f>IF(_xlfn.ISFORMULA('Previsto x realizado'!AX130) = FALSE, "","Enviado")</f>
        <v>Enviado</v>
      </c>
      <c r="G42" s="51" t="str">
        <f>IF(_xlfn.ISFORMULA('Previsto x realizado'!AY130) = FALSE, "","Enviado")</f>
        <v>Enviado</v>
      </c>
      <c r="H42" s="51" t="str">
        <f>IF(_xlfn.ISFORMULA('Previsto x realizado'!AZ130) = FALSE, "","Enviado")</f>
        <v>Enviado</v>
      </c>
      <c r="I42" s="51" t="str">
        <f>IF(_xlfn.ISFORMULA('Previsto x realizado'!BA130) = FALSE, "","Enviado")</f>
        <v/>
      </c>
      <c r="J42" s="51" t="str">
        <f>IF(_xlfn.ISFORMULA('Previsto x realizado'!BB130) = FALSE, "","Enviado")</f>
        <v/>
      </c>
      <c r="K42" s="51" t="str">
        <f>IF(_xlfn.ISFORMULA('Previsto x realizado'!BC130) = FALSE, "","Enviado")</f>
        <v/>
      </c>
      <c r="L42" s="51" t="str">
        <f>IF(_xlfn.ISFORMULA('Previsto x realizado'!BD130) = FALSE, "","Enviado")</f>
        <v/>
      </c>
      <c r="M42" s="51" t="str">
        <f>IF(_xlfn.ISFORMULA('Previsto x realizado'!BE130) = FALSE, "","Enviado")</f>
        <v/>
      </c>
      <c r="N42" s="51" t="str">
        <f>IF(_xlfn.ISFORMULA('Previsto x realizado'!BF130) = FALSE, "","Enviado")</f>
        <v/>
      </c>
      <c r="O42" s="51" t="str">
        <f>IF(_xlfn.ISFORMULA('Previsto x realizado'!BG130) = FALSE, "","Enviado")</f>
        <v/>
      </c>
      <c r="P42" s="51" t="str">
        <f>IF(_xlfn.ISFORMULA('Previsto x realizado'!BH130) = FALSE, "","Enviado")</f>
        <v/>
      </c>
    </row>
    <row r="43" spans="1:16" x14ac:dyDescent="0.3">
      <c r="A43" s="25" t="s">
        <v>134</v>
      </c>
      <c r="B43" s="15" t="s">
        <v>150</v>
      </c>
      <c r="C43" s="26" t="s">
        <v>35</v>
      </c>
      <c r="D43" s="4" t="s">
        <v>238</v>
      </c>
      <c r="E43" s="51" t="str">
        <f>IF(_xlfn.ISFORMULA('Previsto x realizado'!AW133) = FALSE, "","Enviado")</f>
        <v>Enviado</v>
      </c>
      <c r="F43" s="51" t="str">
        <f>IF(_xlfn.ISFORMULA('Previsto x realizado'!AX133) = FALSE, "","Enviado")</f>
        <v>Enviado</v>
      </c>
      <c r="G43" s="51" t="str">
        <f>IF(_xlfn.ISFORMULA('Previsto x realizado'!AY133) = FALSE, "","Enviado")</f>
        <v>Enviado</v>
      </c>
      <c r="H43" s="51" t="str">
        <f>IF(_xlfn.ISFORMULA('Previsto x realizado'!AZ133) = FALSE, "","Enviado")</f>
        <v>Enviado</v>
      </c>
      <c r="I43" s="51" t="str">
        <f>IF(_xlfn.ISFORMULA('Previsto x realizado'!BA133) = FALSE, "","Enviado")</f>
        <v/>
      </c>
      <c r="J43" s="51" t="str">
        <f>IF(_xlfn.ISFORMULA('Previsto x realizado'!BB133) = FALSE, "","Enviado")</f>
        <v/>
      </c>
      <c r="K43" s="51" t="str">
        <f>IF(_xlfn.ISFORMULA('Previsto x realizado'!BC133) = FALSE, "","Enviado")</f>
        <v/>
      </c>
      <c r="L43" s="51" t="str">
        <f>IF(_xlfn.ISFORMULA('Previsto x realizado'!BD133) = FALSE, "","Enviado")</f>
        <v/>
      </c>
      <c r="M43" s="51" t="str">
        <f>IF(_xlfn.ISFORMULA('Previsto x realizado'!BE133) = FALSE, "","Enviado")</f>
        <v/>
      </c>
      <c r="N43" s="51" t="str">
        <f>IF(_xlfn.ISFORMULA('Previsto x realizado'!BF133) = FALSE, "","Enviado")</f>
        <v/>
      </c>
      <c r="O43" s="51" t="str">
        <f>IF(_xlfn.ISFORMULA('Previsto x realizado'!BG133) = FALSE, "","Enviado")</f>
        <v/>
      </c>
      <c r="P43" s="51" t="str">
        <f>IF(_xlfn.ISFORMULA('Previsto x realizado'!BH133) = FALSE, "","Enviado")</f>
        <v/>
      </c>
    </row>
    <row r="44" spans="1:16" x14ac:dyDescent="0.3">
      <c r="A44" s="23" t="s">
        <v>134</v>
      </c>
      <c r="B44" s="4" t="s">
        <v>150</v>
      </c>
      <c r="C44" s="5" t="s">
        <v>35</v>
      </c>
      <c r="D44" s="4" t="s">
        <v>238</v>
      </c>
      <c r="E44" s="51" t="str">
        <f>IF(_xlfn.ISFORMULA('Previsto x realizado'!AW136) = FALSE, "","Enviado")</f>
        <v>Enviado</v>
      </c>
      <c r="F44" s="51" t="str">
        <f>IF(_xlfn.ISFORMULA('Previsto x realizado'!AX136) = FALSE, "","Enviado")</f>
        <v>Enviado</v>
      </c>
      <c r="G44" s="51" t="str">
        <f>IF(_xlfn.ISFORMULA('Previsto x realizado'!AY136) = FALSE, "","Enviado")</f>
        <v>Enviado</v>
      </c>
      <c r="H44" s="51" t="str">
        <f>IF(_xlfn.ISFORMULA('Previsto x realizado'!AZ136) = FALSE, "","Enviado")</f>
        <v>Enviado</v>
      </c>
      <c r="I44" s="51" t="str">
        <f>IF(_xlfn.ISFORMULA('Previsto x realizado'!BA136) = FALSE, "","Enviado")</f>
        <v/>
      </c>
      <c r="J44" s="51" t="str">
        <f>IF(_xlfn.ISFORMULA('Previsto x realizado'!BB136) = FALSE, "","Enviado")</f>
        <v/>
      </c>
      <c r="K44" s="51" t="str">
        <f>IF(_xlfn.ISFORMULA('Previsto x realizado'!BC136) = FALSE, "","Enviado")</f>
        <v/>
      </c>
      <c r="L44" s="51" t="str">
        <f>IF(_xlfn.ISFORMULA('Previsto x realizado'!BD136) = FALSE, "","Enviado")</f>
        <v/>
      </c>
      <c r="M44" s="51" t="str">
        <f>IF(_xlfn.ISFORMULA('Previsto x realizado'!BE136) = FALSE, "","Enviado")</f>
        <v/>
      </c>
      <c r="N44" s="51" t="str">
        <f>IF(_xlfn.ISFORMULA('Previsto x realizado'!BF136) = FALSE, "","Enviado")</f>
        <v/>
      </c>
      <c r="O44" s="51" t="str">
        <f>IF(_xlfn.ISFORMULA('Previsto x realizado'!BG136) = FALSE, "","Enviado")</f>
        <v/>
      </c>
      <c r="P44" s="51" t="str">
        <f>IF(_xlfn.ISFORMULA('Previsto x realizado'!BH136) = FALSE, "","Enviado")</f>
        <v/>
      </c>
    </row>
    <row r="45" spans="1:16" x14ac:dyDescent="0.3">
      <c r="A45" s="23" t="s">
        <v>134</v>
      </c>
      <c r="B45" s="4" t="s">
        <v>150</v>
      </c>
      <c r="C45" s="5" t="s">
        <v>35</v>
      </c>
      <c r="D45" s="4" t="s">
        <v>238</v>
      </c>
      <c r="E45" s="51" t="str">
        <f>IF(_xlfn.ISFORMULA('Previsto x realizado'!AW139) = FALSE, "","Enviado")</f>
        <v>Enviado</v>
      </c>
      <c r="F45" s="51" t="str">
        <f>IF(_xlfn.ISFORMULA('Previsto x realizado'!AX139) = FALSE, "","Enviado")</f>
        <v>Enviado</v>
      </c>
      <c r="G45" s="51" t="str">
        <f>IF(_xlfn.ISFORMULA('Previsto x realizado'!AY139) = FALSE, "","Enviado")</f>
        <v>Enviado</v>
      </c>
      <c r="H45" s="51" t="str">
        <f>IF(_xlfn.ISFORMULA('Previsto x realizado'!AZ139) = FALSE, "","Enviado")</f>
        <v>Enviado</v>
      </c>
      <c r="I45" s="51" t="str">
        <f>IF(_xlfn.ISFORMULA('Previsto x realizado'!BA139) = FALSE, "","Enviado")</f>
        <v/>
      </c>
      <c r="J45" s="51" t="str">
        <f>IF(_xlfn.ISFORMULA('Previsto x realizado'!BB139) = FALSE, "","Enviado")</f>
        <v/>
      </c>
      <c r="K45" s="51" t="str">
        <f>IF(_xlfn.ISFORMULA('Previsto x realizado'!BC139) = FALSE, "","Enviado")</f>
        <v/>
      </c>
      <c r="L45" s="51" t="str">
        <f>IF(_xlfn.ISFORMULA('Previsto x realizado'!BD139) = FALSE, "","Enviado")</f>
        <v/>
      </c>
      <c r="M45" s="51" t="str">
        <f>IF(_xlfn.ISFORMULA('Previsto x realizado'!BE139) = FALSE, "","Enviado")</f>
        <v/>
      </c>
      <c r="N45" s="51" t="str">
        <f>IF(_xlfn.ISFORMULA('Previsto x realizado'!BF139) = FALSE, "","Enviado")</f>
        <v/>
      </c>
      <c r="O45" s="51" t="str">
        <f>IF(_xlfn.ISFORMULA('Previsto x realizado'!BG139) = FALSE, "","Enviado")</f>
        <v/>
      </c>
      <c r="P45" s="51" t="str">
        <f>IF(_xlfn.ISFORMULA('Previsto x realizado'!BH139) = FALSE, "","Enviado")</f>
        <v/>
      </c>
    </row>
    <row r="46" spans="1:16" x14ac:dyDescent="0.3">
      <c r="A46" s="43" t="s">
        <v>134</v>
      </c>
      <c r="B46" s="15" t="s">
        <v>150</v>
      </c>
      <c r="C46" s="26" t="s">
        <v>35</v>
      </c>
      <c r="D46" s="4" t="s">
        <v>238</v>
      </c>
      <c r="E46" s="51" t="str">
        <f>IF(_xlfn.ISFORMULA('Previsto x realizado'!AW144) = FALSE, "","Enviado")</f>
        <v>Enviado</v>
      </c>
      <c r="F46" s="51" t="str">
        <f>IF(_xlfn.ISFORMULA('Previsto x realizado'!AX144) = FALSE, "","Enviado")</f>
        <v>Enviado</v>
      </c>
      <c r="G46" s="51" t="str">
        <f>IF(_xlfn.ISFORMULA('Previsto x realizado'!AY144) = FALSE, "","Enviado")</f>
        <v>Enviado</v>
      </c>
      <c r="H46" s="51" t="str">
        <f>IF(_xlfn.ISFORMULA('Previsto x realizado'!AZ144) = FALSE, "","Enviado")</f>
        <v>Enviado</v>
      </c>
      <c r="I46" s="51" t="str">
        <f>IF(_xlfn.ISFORMULA('Previsto x realizado'!BA144) = FALSE, "","Enviado")</f>
        <v/>
      </c>
      <c r="J46" s="51" t="str">
        <f>IF(_xlfn.ISFORMULA('Previsto x realizado'!BB144) = FALSE, "","Enviado")</f>
        <v/>
      </c>
      <c r="K46" s="51" t="str">
        <f>IF(_xlfn.ISFORMULA('Previsto x realizado'!BC144) = FALSE, "","Enviado")</f>
        <v/>
      </c>
      <c r="L46" s="51" t="str">
        <f>IF(_xlfn.ISFORMULA('Previsto x realizado'!BD144) = FALSE, "","Enviado")</f>
        <v/>
      </c>
      <c r="M46" s="51" t="str">
        <f>IF(_xlfn.ISFORMULA('Previsto x realizado'!BE144) = FALSE, "","Enviado")</f>
        <v/>
      </c>
      <c r="N46" s="51" t="str">
        <f>IF(_xlfn.ISFORMULA('Previsto x realizado'!BF144) = FALSE, "","Enviado")</f>
        <v/>
      </c>
      <c r="O46" s="51" t="str">
        <f>IF(_xlfn.ISFORMULA('Previsto x realizado'!BG144) = FALSE, "","Enviado")</f>
        <v/>
      </c>
      <c r="P46" s="51" t="str">
        <f>IF(_xlfn.ISFORMULA('Previsto x realizado'!BH144) = FALSE, "","Enviado")</f>
        <v/>
      </c>
    </row>
    <row r="47" spans="1:16" x14ac:dyDescent="0.3">
      <c r="A47" s="38" t="s">
        <v>134</v>
      </c>
      <c r="B47" s="4" t="s">
        <v>158</v>
      </c>
      <c r="C47" s="5" t="s">
        <v>35</v>
      </c>
      <c r="D47" s="4" t="s">
        <v>238</v>
      </c>
      <c r="E47" s="51" t="str">
        <f>IF(_xlfn.ISFORMULA('Previsto x realizado'!AW145) = FALSE, "","Enviado")</f>
        <v>Enviado</v>
      </c>
      <c r="F47" s="51" t="str">
        <f>IF(_xlfn.ISFORMULA('Previsto x realizado'!AX145) = FALSE, "","Enviado")</f>
        <v>Enviado</v>
      </c>
      <c r="G47" s="51" t="str">
        <f>IF(_xlfn.ISFORMULA('Previsto x realizado'!AY145) = FALSE, "","Enviado")</f>
        <v>Enviado</v>
      </c>
      <c r="H47" s="51" t="str">
        <f>IF(_xlfn.ISFORMULA('Previsto x realizado'!AZ145) = FALSE, "","Enviado")</f>
        <v>Enviado</v>
      </c>
      <c r="I47" s="51" t="str">
        <f>IF(_xlfn.ISFORMULA('Previsto x realizado'!BA145) = FALSE, "","Enviado")</f>
        <v/>
      </c>
      <c r="J47" s="51" t="str">
        <f>IF(_xlfn.ISFORMULA('Previsto x realizado'!BB145) = FALSE, "","Enviado")</f>
        <v/>
      </c>
      <c r="K47" s="51" t="str">
        <f>IF(_xlfn.ISFORMULA('Previsto x realizado'!BC145) = FALSE, "","Enviado")</f>
        <v/>
      </c>
      <c r="L47" s="51" t="str">
        <f>IF(_xlfn.ISFORMULA('Previsto x realizado'!BD145) = FALSE, "","Enviado")</f>
        <v/>
      </c>
      <c r="M47" s="51" t="str">
        <f>IF(_xlfn.ISFORMULA('Previsto x realizado'!BE145) = FALSE, "","Enviado")</f>
        <v/>
      </c>
      <c r="N47" s="51" t="str">
        <f>IF(_xlfn.ISFORMULA('Previsto x realizado'!BF145) = FALSE, "","Enviado")</f>
        <v/>
      </c>
      <c r="O47" s="51" t="str">
        <f>IF(_xlfn.ISFORMULA('Previsto x realizado'!BG145) = FALSE, "","Enviado")</f>
        <v/>
      </c>
      <c r="P47" s="51" t="str">
        <f>IF(_xlfn.ISFORMULA('Previsto x realizado'!BH145) = FALSE, "","Enviado")</f>
        <v/>
      </c>
    </row>
    <row r="48" spans="1:16" x14ac:dyDescent="0.3">
      <c r="A48" s="23" t="s">
        <v>134</v>
      </c>
      <c r="B48" s="4" t="s">
        <v>158</v>
      </c>
      <c r="C48" s="5" t="s">
        <v>35</v>
      </c>
      <c r="D48" s="4" t="s">
        <v>238</v>
      </c>
      <c r="E48" s="51" t="str">
        <f>IF(_xlfn.ISFORMULA('Previsto x realizado'!AW148) = FALSE, "","Enviado")</f>
        <v>Enviado</v>
      </c>
      <c r="F48" s="51" t="str">
        <f>IF(_xlfn.ISFORMULA('Previsto x realizado'!AX148) = FALSE, "","Enviado")</f>
        <v>Enviado</v>
      </c>
      <c r="G48" s="51" t="str">
        <f>IF(_xlfn.ISFORMULA('Previsto x realizado'!AY148) = FALSE, "","Enviado")</f>
        <v>Enviado</v>
      </c>
      <c r="H48" s="51" t="str">
        <f>IF(_xlfn.ISFORMULA('Previsto x realizado'!AZ148) = FALSE, "","Enviado")</f>
        <v>Enviado</v>
      </c>
      <c r="I48" s="51" t="str">
        <f>IF(_xlfn.ISFORMULA('Previsto x realizado'!BA148) = FALSE, "","Enviado")</f>
        <v/>
      </c>
      <c r="J48" s="51" t="str">
        <f>IF(_xlfn.ISFORMULA('Previsto x realizado'!BB148) = FALSE, "","Enviado")</f>
        <v/>
      </c>
      <c r="K48" s="51" t="str">
        <f>IF(_xlfn.ISFORMULA('Previsto x realizado'!BC148) = FALSE, "","Enviado")</f>
        <v/>
      </c>
      <c r="L48" s="51" t="str">
        <f>IF(_xlfn.ISFORMULA('Previsto x realizado'!BD148) = FALSE, "","Enviado")</f>
        <v/>
      </c>
      <c r="M48" s="51" t="str">
        <f>IF(_xlfn.ISFORMULA('Previsto x realizado'!BE148) = FALSE, "","Enviado")</f>
        <v/>
      </c>
      <c r="N48" s="51" t="str">
        <f>IF(_xlfn.ISFORMULA('Previsto x realizado'!BF148) = FALSE, "","Enviado")</f>
        <v/>
      </c>
      <c r="O48" s="51" t="str">
        <f>IF(_xlfn.ISFORMULA('Previsto x realizado'!BG148) = FALSE, "","Enviado")</f>
        <v/>
      </c>
      <c r="P48" s="51" t="str">
        <f>IF(_xlfn.ISFORMULA('Previsto x realizado'!BH148) = FALSE, "","Enviado")</f>
        <v/>
      </c>
    </row>
    <row r="49" spans="1:16" x14ac:dyDescent="0.3">
      <c r="A49" s="42" t="s">
        <v>134</v>
      </c>
      <c r="B49" s="4" t="s">
        <v>158</v>
      </c>
      <c r="C49" s="5" t="s">
        <v>35</v>
      </c>
      <c r="D49" s="4" t="s">
        <v>238</v>
      </c>
      <c r="E49" s="51" t="str">
        <f>IF(_xlfn.ISFORMULA('Previsto x realizado'!AW151) = FALSE, "","Enviado")</f>
        <v>Enviado</v>
      </c>
      <c r="F49" s="51" t="str">
        <f>IF(_xlfn.ISFORMULA('Previsto x realizado'!AX151) = FALSE, "","Enviado")</f>
        <v>Enviado</v>
      </c>
      <c r="G49" s="51" t="str">
        <f>IF(_xlfn.ISFORMULA('Previsto x realizado'!AY151) = FALSE, "","Enviado")</f>
        <v>Enviado</v>
      </c>
      <c r="H49" s="51" t="str">
        <f>IF(_xlfn.ISFORMULA('Previsto x realizado'!AZ151) = FALSE, "","Enviado")</f>
        <v>Enviado</v>
      </c>
      <c r="I49" s="51" t="str">
        <f>IF(_xlfn.ISFORMULA('Previsto x realizado'!BA151) = FALSE, "","Enviado")</f>
        <v/>
      </c>
      <c r="J49" s="51" t="str">
        <f>IF(_xlfn.ISFORMULA('Previsto x realizado'!BB151) = FALSE, "","Enviado")</f>
        <v/>
      </c>
      <c r="K49" s="51" t="str">
        <f>IF(_xlfn.ISFORMULA('Previsto x realizado'!BC151) = FALSE, "","Enviado")</f>
        <v/>
      </c>
      <c r="L49" s="51" t="str">
        <f>IF(_xlfn.ISFORMULA('Previsto x realizado'!BD151) = FALSE, "","Enviado")</f>
        <v/>
      </c>
      <c r="M49" s="51" t="str">
        <f>IF(_xlfn.ISFORMULA('Previsto x realizado'!BE151) = FALSE, "","Enviado")</f>
        <v/>
      </c>
      <c r="N49" s="51" t="str">
        <f>IF(_xlfn.ISFORMULA('Previsto x realizado'!BF151) = FALSE, "","Enviado")</f>
        <v/>
      </c>
      <c r="O49" s="51" t="str">
        <f>IF(_xlfn.ISFORMULA('Previsto x realizado'!BG151) = FALSE, "","Enviado")</f>
        <v/>
      </c>
      <c r="P49" s="51" t="str">
        <f>IF(_xlfn.ISFORMULA('Previsto x realizado'!BH151) = FALSE, "","Enviado")</f>
        <v/>
      </c>
    </row>
    <row r="50" spans="1:16" x14ac:dyDescent="0.3">
      <c r="A50" s="23" t="s">
        <v>134</v>
      </c>
      <c r="B50" s="4" t="s">
        <v>167</v>
      </c>
      <c r="C50" s="5" t="s">
        <v>35</v>
      </c>
      <c r="D50" s="4" t="s">
        <v>238</v>
      </c>
      <c r="E50" s="51" t="str">
        <f>IF(_xlfn.ISFORMULA('Previsto x realizado'!AW154) = FALSE, "","Enviado")</f>
        <v>Enviado</v>
      </c>
      <c r="F50" s="51" t="str">
        <f>IF(_xlfn.ISFORMULA('Previsto x realizado'!AX154) = FALSE, "","Enviado")</f>
        <v>Enviado</v>
      </c>
      <c r="G50" s="51" t="str">
        <f>IF(_xlfn.ISFORMULA('Previsto x realizado'!AY154) = FALSE, "","Enviado")</f>
        <v>Enviado</v>
      </c>
      <c r="H50" s="51" t="str">
        <f>IF(_xlfn.ISFORMULA('Previsto x realizado'!AZ154) = FALSE, "","Enviado")</f>
        <v>Enviado</v>
      </c>
      <c r="I50" s="51" t="str">
        <f>IF(_xlfn.ISFORMULA('Previsto x realizado'!BA154) = FALSE, "","Enviado")</f>
        <v/>
      </c>
      <c r="J50" s="51" t="str">
        <f>IF(_xlfn.ISFORMULA('Previsto x realizado'!BB154) = FALSE, "","Enviado")</f>
        <v/>
      </c>
      <c r="K50" s="51" t="str">
        <f>IF(_xlfn.ISFORMULA('Previsto x realizado'!BC154) = FALSE, "","Enviado")</f>
        <v/>
      </c>
      <c r="L50" s="51" t="str">
        <f>IF(_xlfn.ISFORMULA('Previsto x realizado'!BD154) = FALSE, "","Enviado")</f>
        <v/>
      </c>
      <c r="M50" s="51" t="str">
        <f>IF(_xlfn.ISFORMULA('Previsto x realizado'!BE154) = FALSE, "","Enviado")</f>
        <v/>
      </c>
      <c r="N50" s="51" t="str">
        <f>IF(_xlfn.ISFORMULA('Previsto x realizado'!BF154) = FALSE, "","Enviado")</f>
        <v/>
      </c>
      <c r="O50" s="51" t="str">
        <f>IF(_xlfn.ISFORMULA('Previsto x realizado'!BG154) = FALSE, "","Enviado")</f>
        <v/>
      </c>
      <c r="P50" s="51" t="str">
        <f>IF(_xlfn.ISFORMULA('Previsto x realizado'!BH154) = FALSE, "","Enviado")</f>
        <v/>
      </c>
    </row>
    <row r="51" spans="1:16" x14ac:dyDescent="0.3">
      <c r="A51" s="23" t="s">
        <v>134</v>
      </c>
      <c r="B51" s="4" t="s">
        <v>167</v>
      </c>
      <c r="C51" s="5" t="s">
        <v>35</v>
      </c>
      <c r="D51" s="4" t="s">
        <v>238</v>
      </c>
      <c r="E51" s="51" t="str">
        <f>IF(_xlfn.ISFORMULA('Previsto x realizado'!AW157) = FALSE, "","Enviado")</f>
        <v>Enviado</v>
      </c>
      <c r="F51" s="51" t="str">
        <f>IF(_xlfn.ISFORMULA('Previsto x realizado'!AX157) = FALSE, "","Enviado")</f>
        <v>Enviado</v>
      </c>
      <c r="G51" s="51" t="str">
        <f>IF(_xlfn.ISFORMULA('Previsto x realizado'!AY157) = FALSE, "","Enviado")</f>
        <v>Enviado</v>
      </c>
      <c r="H51" s="51" t="str">
        <f>IF(_xlfn.ISFORMULA('Previsto x realizado'!AZ157) = FALSE, "","Enviado")</f>
        <v>Enviado</v>
      </c>
      <c r="I51" s="51" t="str">
        <f>IF(_xlfn.ISFORMULA('Previsto x realizado'!BA157) = FALSE, "","Enviado")</f>
        <v/>
      </c>
      <c r="J51" s="51" t="str">
        <f>IF(_xlfn.ISFORMULA('Previsto x realizado'!BB157) = FALSE, "","Enviado")</f>
        <v/>
      </c>
      <c r="K51" s="51" t="str">
        <f>IF(_xlfn.ISFORMULA('Previsto x realizado'!BC157) = FALSE, "","Enviado")</f>
        <v/>
      </c>
      <c r="L51" s="51" t="str">
        <f>IF(_xlfn.ISFORMULA('Previsto x realizado'!BD157) = FALSE, "","Enviado")</f>
        <v/>
      </c>
      <c r="M51" s="51" t="str">
        <f>IF(_xlfn.ISFORMULA('Previsto x realizado'!BE157) = FALSE, "","Enviado")</f>
        <v/>
      </c>
      <c r="N51" s="51" t="str">
        <f>IF(_xlfn.ISFORMULA('Previsto x realizado'!BF157) = FALSE, "","Enviado")</f>
        <v/>
      </c>
      <c r="O51" s="51" t="str">
        <f>IF(_xlfn.ISFORMULA('Previsto x realizado'!BG157) = FALSE, "","Enviado")</f>
        <v/>
      </c>
      <c r="P51" s="51" t="str">
        <f>IF(_xlfn.ISFORMULA('Previsto x realizado'!BH157) = FALSE, "","Enviado")</f>
        <v/>
      </c>
    </row>
    <row r="52" spans="1:16" ht="27.6" x14ac:dyDescent="0.3">
      <c r="A52" s="23" t="s">
        <v>134</v>
      </c>
      <c r="B52" s="4" t="s">
        <v>174</v>
      </c>
      <c r="C52" s="5" t="s">
        <v>35</v>
      </c>
      <c r="D52" s="4" t="s">
        <v>267</v>
      </c>
      <c r="E52" s="51" t="str">
        <f>IF(_xlfn.ISFORMULA('Previsto x realizado'!AW162) = FALSE, "","Enviado")</f>
        <v>Enviado</v>
      </c>
      <c r="F52" s="51" t="str">
        <f>IF(_xlfn.ISFORMULA('Previsto x realizado'!AX162) = FALSE, "","Enviado")</f>
        <v>Enviado</v>
      </c>
      <c r="G52" s="51" t="str">
        <f>IF(_xlfn.ISFORMULA('Previsto x realizado'!AY162) = FALSE, "","Enviado")</f>
        <v>Enviado</v>
      </c>
      <c r="H52" s="51" t="str">
        <f>IF(_xlfn.ISFORMULA('Previsto x realizado'!AZ162) = FALSE, "","Enviado")</f>
        <v>Enviado</v>
      </c>
      <c r="I52" s="51" t="str">
        <f>IF(_xlfn.ISFORMULA('Previsto x realizado'!BA162) = FALSE, "","Enviado")</f>
        <v/>
      </c>
      <c r="J52" s="51" t="str">
        <f>IF(_xlfn.ISFORMULA('Previsto x realizado'!BB162) = FALSE, "","Enviado")</f>
        <v/>
      </c>
      <c r="K52" s="51" t="str">
        <f>IF(_xlfn.ISFORMULA('Previsto x realizado'!BC162) = FALSE, "","Enviado")</f>
        <v/>
      </c>
      <c r="L52" s="51" t="str">
        <f>IF(_xlfn.ISFORMULA('Previsto x realizado'!BD162) = FALSE, "","Enviado")</f>
        <v/>
      </c>
      <c r="M52" s="51" t="str">
        <f>IF(_xlfn.ISFORMULA('Previsto x realizado'!BE162) = FALSE, "","Enviado")</f>
        <v/>
      </c>
      <c r="N52" s="51" t="str">
        <f>IF(_xlfn.ISFORMULA('Previsto x realizado'!BF162) = FALSE, "","Enviado")</f>
        <v/>
      </c>
      <c r="O52" s="51" t="str">
        <f>IF(_xlfn.ISFORMULA('Previsto x realizado'!BG162) = FALSE, "","Enviado")</f>
        <v/>
      </c>
      <c r="P52" s="51" t="str">
        <f>IF(_xlfn.ISFORMULA('Previsto x realizado'!BH162) = FALSE, "","Enviado")</f>
        <v/>
      </c>
    </row>
    <row r="53" spans="1:16" ht="27.6" x14ac:dyDescent="0.3">
      <c r="A53" s="23" t="s">
        <v>134</v>
      </c>
      <c r="B53" s="4" t="s">
        <v>174</v>
      </c>
      <c r="C53" s="5" t="s">
        <v>35</v>
      </c>
      <c r="D53" s="4" t="s">
        <v>267</v>
      </c>
      <c r="E53" s="51" t="str">
        <f>IF(_xlfn.ISFORMULA('Previsto x realizado'!AW165) = FALSE, "","Enviado")</f>
        <v>Enviado</v>
      </c>
      <c r="F53" s="51" t="str">
        <f>IF(_xlfn.ISFORMULA('Previsto x realizado'!AX165) = FALSE, "","Enviado")</f>
        <v>Enviado</v>
      </c>
      <c r="G53" s="51" t="str">
        <f>IF(_xlfn.ISFORMULA('Previsto x realizado'!AY165) = FALSE, "","Enviado")</f>
        <v>Enviado</v>
      </c>
      <c r="H53" s="51" t="str">
        <f>IF(_xlfn.ISFORMULA('Previsto x realizado'!AZ165) = FALSE, "","Enviado")</f>
        <v>Enviado</v>
      </c>
      <c r="I53" s="51" t="str">
        <f>IF(_xlfn.ISFORMULA('Previsto x realizado'!BA165) = FALSE, "","Enviado")</f>
        <v/>
      </c>
      <c r="J53" s="51" t="str">
        <f>IF(_xlfn.ISFORMULA('Previsto x realizado'!BB165) = FALSE, "","Enviado")</f>
        <v/>
      </c>
      <c r="K53" s="51" t="str">
        <f>IF(_xlfn.ISFORMULA('Previsto x realizado'!BC165) = FALSE, "","Enviado")</f>
        <v/>
      </c>
      <c r="L53" s="51" t="str">
        <f>IF(_xlfn.ISFORMULA('Previsto x realizado'!BD165) = FALSE, "","Enviado")</f>
        <v/>
      </c>
      <c r="M53" s="51" t="str">
        <f>IF(_xlfn.ISFORMULA('Previsto x realizado'!BE165) = FALSE, "","Enviado")</f>
        <v/>
      </c>
      <c r="N53" s="51" t="str">
        <f>IF(_xlfn.ISFORMULA('Previsto x realizado'!BF165) = FALSE, "","Enviado")</f>
        <v/>
      </c>
      <c r="O53" s="51" t="str">
        <f>IF(_xlfn.ISFORMULA('Previsto x realizado'!BG165) = FALSE, "","Enviado")</f>
        <v/>
      </c>
      <c r="P53" s="51" t="str">
        <f>IF(_xlfn.ISFORMULA('Previsto x realizado'!BH165) = FALSE, "","Enviado")</f>
        <v/>
      </c>
    </row>
    <row r="54" spans="1:16" ht="27.6" x14ac:dyDescent="0.3">
      <c r="A54" s="33" t="s">
        <v>175</v>
      </c>
      <c r="B54" s="4" t="s">
        <v>176</v>
      </c>
      <c r="C54" s="5" t="s">
        <v>35</v>
      </c>
      <c r="D54" s="4" t="s">
        <v>267</v>
      </c>
      <c r="E54" s="51" t="str">
        <f>IF(_xlfn.ISFORMULA('Previsto x realizado'!AW166) = FALSE, "","Enviado")</f>
        <v>Enviado</v>
      </c>
      <c r="F54" s="51" t="str">
        <f>IF(_xlfn.ISFORMULA('Previsto x realizado'!AX166) = FALSE, "","Enviado")</f>
        <v>Enviado</v>
      </c>
      <c r="G54" s="51" t="str">
        <f>IF(_xlfn.ISFORMULA('Previsto x realizado'!AY166) = FALSE, "","Enviado")</f>
        <v>Enviado</v>
      </c>
      <c r="H54" s="51" t="str">
        <f>IF(_xlfn.ISFORMULA('Previsto x realizado'!AZ166) = FALSE, "","Enviado")</f>
        <v>Enviado</v>
      </c>
      <c r="I54" s="51" t="str">
        <f>IF(_xlfn.ISFORMULA('Previsto x realizado'!BA166) = FALSE, "","Enviado")</f>
        <v/>
      </c>
      <c r="J54" s="51" t="str">
        <f>IF(_xlfn.ISFORMULA('Previsto x realizado'!BB166) = FALSE, "","Enviado")</f>
        <v/>
      </c>
      <c r="K54" s="51" t="str">
        <f>IF(_xlfn.ISFORMULA('Previsto x realizado'!BC166) = FALSE, "","Enviado")</f>
        <v/>
      </c>
      <c r="L54" s="51" t="str">
        <f>IF(_xlfn.ISFORMULA('Previsto x realizado'!BD166) = FALSE, "","Enviado")</f>
        <v/>
      </c>
      <c r="M54" s="51" t="str">
        <f>IF(_xlfn.ISFORMULA('Previsto x realizado'!BE166) = FALSE, "","Enviado")</f>
        <v/>
      </c>
      <c r="N54" s="51" t="str">
        <f>IF(_xlfn.ISFORMULA('Previsto x realizado'!BF166) = FALSE, "","Enviado")</f>
        <v/>
      </c>
      <c r="O54" s="51" t="str">
        <f>IF(_xlfn.ISFORMULA('Previsto x realizado'!BG166) = FALSE, "","Enviado")</f>
        <v/>
      </c>
      <c r="P54" s="51" t="str">
        <f>IF(_xlfn.ISFORMULA('Previsto x realizado'!BH166) = FALSE, "","Enviado")</f>
        <v/>
      </c>
    </row>
    <row r="55" spans="1:16" ht="27.6" x14ac:dyDescent="0.3">
      <c r="A55" s="44" t="s">
        <v>175</v>
      </c>
      <c r="B55" s="4" t="s">
        <v>176</v>
      </c>
      <c r="C55" s="5" t="s">
        <v>35</v>
      </c>
      <c r="D55" s="4" t="s">
        <v>267</v>
      </c>
      <c r="E55" s="51" t="str">
        <f>IF(_xlfn.ISFORMULA('Previsto x realizado'!AW169) = FALSE, "","Enviado")</f>
        <v>Enviado</v>
      </c>
      <c r="F55" s="51" t="str">
        <f>IF(_xlfn.ISFORMULA('Previsto x realizado'!AX169) = FALSE, "","Enviado")</f>
        <v>Enviado</v>
      </c>
      <c r="G55" s="51" t="str">
        <f>IF(_xlfn.ISFORMULA('Previsto x realizado'!AY169) = FALSE, "","Enviado")</f>
        <v>Enviado</v>
      </c>
      <c r="H55" s="51" t="str">
        <f>IF(_xlfn.ISFORMULA('Previsto x realizado'!AZ169) = FALSE, "","Enviado")</f>
        <v>Enviado</v>
      </c>
      <c r="I55" s="51" t="str">
        <f>IF(_xlfn.ISFORMULA('Previsto x realizado'!BA169) = FALSE, "","Enviado")</f>
        <v/>
      </c>
      <c r="J55" s="51" t="str">
        <f>IF(_xlfn.ISFORMULA('Previsto x realizado'!BB169) = FALSE, "","Enviado")</f>
        <v/>
      </c>
      <c r="K55" s="51" t="str">
        <f>IF(_xlfn.ISFORMULA('Previsto x realizado'!BC169) = FALSE, "","Enviado")</f>
        <v/>
      </c>
      <c r="L55" s="51" t="str">
        <f>IF(_xlfn.ISFORMULA('Previsto x realizado'!BD169) = FALSE, "","Enviado")</f>
        <v/>
      </c>
      <c r="M55" s="51" t="str">
        <f>IF(_xlfn.ISFORMULA('Previsto x realizado'!BE169) = FALSE, "","Enviado")</f>
        <v/>
      </c>
      <c r="N55" s="51" t="str">
        <f>IF(_xlfn.ISFORMULA('Previsto x realizado'!BF169) = FALSE, "","Enviado")</f>
        <v/>
      </c>
      <c r="O55" s="51" t="str">
        <f>IF(_xlfn.ISFORMULA('Previsto x realizado'!BG169) = FALSE, "","Enviado")</f>
        <v/>
      </c>
      <c r="P55" s="51" t="str">
        <f>IF(_xlfn.ISFORMULA('Previsto x realizado'!BH169) = FALSE, "","Enviado")</f>
        <v/>
      </c>
    </row>
    <row r="56" spans="1:16" ht="27.6" x14ac:dyDescent="0.3">
      <c r="A56" s="44" t="s">
        <v>175</v>
      </c>
      <c r="B56" s="4" t="s">
        <v>176</v>
      </c>
      <c r="C56" s="5" t="s">
        <v>35</v>
      </c>
      <c r="D56" s="4" t="s">
        <v>267</v>
      </c>
      <c r="E56" s="51" t="str">
        <f>IF(_xlfn.ISFORMULA('Previsto x realizado'!AW172) = FALSE, "","Enviado")</f>
        <v>Enviado</v>
      </c>
      <c r="F56" s="51" t="str">
        <f>IF(_xlfn.ISFORMULA('Previsto x realizado'!AX172) = FALSE, "","Enviado")</f>
        <v>Enviado</v>
      </c>
      <c r="G56" s="51" t="str">
        <f>IF(_xlfn.ISFORMULA('Previsto x realizado'!AY172) = FALSE, "","Enviado")</f>
        <v>Enviado</v>
      </c>
      <c r="H56" s="51" t="str">
        <f>IF(_xlfn.ISFORMULA('Previsto x realizado'!AZ172) = FALSE, "","Enviado")</f>
        <v>Enviado</v>
      </c>
      <c r="I56" s="51" t="str">
        <f>IF(_xlfn.ISFORMULA('Previsto x realizado'!BA172) = FALSE, "","Enviado")</f>
        <v/>
      </c>
      <c r="J56" s="51" t="str">
        <f>IF(_xlfn.ISFORMULA('Previsto x realizado'!BB172) = FALSE, "","Enviado")</f>
        <v/>
      </c>
      <c r="K56" s="51" t="str">
        <f>IF(_xlfn.ISFORMULA('Previsto x realizado'!BC172) = FALSE, "","Enviado")</f>
        <v/>
      </c>
      <c r="L56" s="51" t="str">
        <f>IF(_xlfn.ISFORMULA('Previsto x realizado'!BD172) = FALSE, "","Enviado")</f>
        <v/>
      </c>
      <c r="M56" s="51" t="str">
        <f>IF(_xlfn.ISFORMULA('Previsto x realizado'!BE172) = FALSE, "","Enviado")</f>
        <v/>
      </c>
      <c r="N56" s="51" t="str">
        <f>IF(_xlfn.ISFORMULA('Previsto x realizado'!BF172) = FALSE, "","Enviado")</f>
        <v/>
      </c>
      <c r="O56" s="51" t="str">
        <f>IF(_xlfn.ISFORMULA('Previsto x realizado'!BG172) = FALSE, "","Enviado")</f>
        <v/>
      </c>
      <c r="P56" s="51" t="str">
        <f>IF(_xlfn.ISFORMULA('Previsto x realizado'!BH172) = FALSE, "","Enviado")</f>
        <v/>
      </c>
    </row>
    <row r="57" spans="1:16" ht="27.6" x14ac:dyDescent="0.3">
      <c r="A57" s="33" t="s">
        <v>175</v>
      </c>
      <c r="B57" s="4" t="s">
        <v>184</v>
      </c>
      <c r="C57" s="5" t="s">
        <v>35</v>
      </c>
      <c r="D57" s="4" t="s">
        <v>267</v>
      </c>
      <c r="E57" s="51" t="str">
        <f>IF(_xlfn.ISFORMULA('Previsto x realizado'!AW175) = FALSE, "","Enviado")</f>
        <v>Enviado</v>
      </c>
      <c r="F57" s="51" t="str">
        <f>IF(_xlfn.ISFORMULA('Previsto x realizado'!AX175) = FALSE, "","Enviado")</f>
        <v>Enviado</v>
      </c>
      <c r="G57" s="51" t="str">
        <f>IF(_xlfn.ISFORMULA('Previsto x realizado'!AY175) = FALSE, "","Enviado")</f>
        <v>Enviado</v>
      </c>
      <c r="H57" s="51" t="str">
        <f>IF(_xlfn.ISFORMULA('Previsto x realizado'!AZ175) = FALSE, "","Enviado")</f>
        <v>Enviado</v>
      </c>
      <c r="I57" s="51" t="str">
        <f>IF(_xlfn.ISFORMULA('Previsto x realizado'!BA175) = FALSE, "","Enviado")</f>
        <v/>
      </c>
      <c r="J57" s="51" t="str">
        <f>IF(_xlfn.ISFORMULA('Previsto x realizado'!BB175) = FALSE, "","Enviado")</f>
        <v/>
      </c>
      <c r="K57" s="51" t="str">
        <f>IF(_xlfn.ISFORMULA('Previsto x realizado'!BC175) = FALSE, "","Enviado")</f>
        <v/>
      </c>
      <c r="L57" s="51" t="str">
        <f>IF(_xlfn.ISFORMULA('Previsto x realizado'!BD175) = FALSE, "","Enviado")</f>
        <v/>
      </c>
      <c r="M57" s="51" t="str">
        <f>IF(_xlfn.ISFORMULA('Previsto x realizado'!BE175) = FALSE, "","Enviado")</f>
        <v/>
      </c>
      <c r="N57" s="51" t="str">
        <f>IF(_xlfn.ISFORMULA('Previsto x realizado'!BF175) = FALSE, "","Enviado")</f>
        <v/>
      </c>
      <c r="O57" s="51" t="str">
        <f>IF(_xlfn.ISFORMULA('Previsto x realizado'!BG175) = FALSE, "","Enviado")</f>
        <v/>
      </c>
      <c r="P57" s="51" t="str">
        <f>IF(_xlfn.ISFORMULA('Previsto x realizado'!BH175) = FALSE, "","Enviado")</f>
        <v/>
      </c>
    </row>
    <row r="58" spans="1:16" ht="27.6" x14ac:dyDescent="0.3">
      <c r="A58" s="44" t="s">
        <v>175</v>
      </c>
      <c r="B58" s="4" t="s">
        <v>184</v>
      </c>
      <c r="C58" s="5" t="s">
        <v>35</v>
      </c>
      <c r="D58" s="4" t="s">
        <v>267</v>
      </c>
      <c r="E58" s="51" t="str">
        <f>IF(_xlfn.ISFORMULA('Previsto x realizado'!AW178) = FALSE, "","Enviado")</f>
        <v>Enviado</v>
      </c>
      <c r="F58" s="51" t="str">
        <f>IF(_xlfn.ISFORMULA('Previsto x realizado'!AX178) = FALSE, "","Enviado")</f>
        <v>Enviado</v>
      </c>
      <c r="G58" s="51" t="str">
        <f>IF(_xlfn.ISFORMULA('Previsto x realizado'!AY178) = FALSE, "","Enviado")</f>
        <v>Enviado</v>
      </c>
      <c r="H58" s="51" t="str">
        <f>IF(_xlfn.ISFORMULA('Previsto x realizado'!AZ178) = FALSE, "","Enviado")</f>
        <v>Enviado</v>
      </c>
      <c r="I58" s="51" t="str">
        <f>IF(_xlfn.ISFORMULA('Previsto x realizado'!BA178) = FALSE, "","Enviado")</f>
        <v/>
      </c>
      <c r="J58" s="51" t="str">
        <f>IF(_xlfn.ISFORMULA('Previsto x realizado'!BB178) = FALSE, "","Enviado")</f>
        <v/>
      </c>
      <c r="K58" s="51" t="str">
        <f>IF(_xlfn.ISFORMULA('Previsto x realizado'!BC178) = FALSE, "","Enviado")</f>
        <v/>
      </c>
      <c r="L58" s="51" t="str">
        <f>IF(_xlfn.ISFORMULA('Previsto x realizado'!BD178) = FALSE, "","Enviado")</f>
        <v/>
      </c>
      <c r="M58" s="51" t="str">
        <f>IF(_xlfn.ISFORMULA('Previsto x realizado'!BE178) = FALSE, "","Enviado")</f>
        <v/>
      </c>
      <c r="N58" s="51" t="str">
        <f>IF(_xlfn.ISFORMULA('Previsto x realizado'!BF178) = FALSE, "","Enviado")</f>
        <v/>
      </c>
      <c r="O58" s="51" t="str">
        <f>IF(_xlfn.ISFORMULA('Previsto x realizado'!BG178) = FALSE, "","Enviado")</f>
        <v/>
      </c>
      <c r="P58" s="51" t="str">
        <f>IF(_xlfn.ISFORMULA('Previsto x realizado'!BH178) = FALSE, "","Enviado")</f>
        <v/>
      </c>
    </row>
    <row r="59" spans="1:16" ht="27.6" x14ac:dyDescent="0.3">
      <c r="A59" s="44" t="s">
        <v>175</v>
      </c>
      <c r="B59" s="4" t="s">
        <v>184</v>
      </c>
      <c r="C59" s="5" t="s">
        <v>35</v>
      </c>
      <c r="D59" s="4" t="s">
        <v>267</v>
      </c>
      <c r="E59" s="51" t="str">
        <f>IF(_xlfn.ISFORMULA('Previsto x realizado'!AW181) = FALSE, "","Enviado")</f>
        <v>Enviado</v>
      </c>
      <c r="F59" s="51" t="str">
        <f>IF(_xlfn.ISFORMULA('Previsto x realizado'!AX181) = FALSE, "","Enviado")</f>
        <v>Enviado</v>
      </c>
      <c r="G59" s="51" t="str">
        <f>IF(_xlfn.ISFORMULA('Previsto x realizado'!AY181) = FALSE, "","Enviado")</f>
        <v>Enviado</v>
      </c>
      <c r="H59" s="51" t="str">
        <f>IF(_xlfn.ISFORMULA('Previsto x realizado'!AZ181) = FALSE, "","Enviado")</f>
        <v>Enviado</v>
      </c>
      <c r="I59" s="51" t="str">
        <f>IF(_xlfn.ISFORMULA('Previsto x realizado'!BA181) = FALSE, "","Enviado")</f>
        <v/>
      </c>
      <c r="J59" s="51" t="str">
        <f>IF(_xlfn.ISFORMULA('Previsto x realizado'!BB181) = FALSE, "","Enviado")</f>
        <v/>
      </c>
      <c r="K59" s="51" t="str">
        <f>IF(_xlfn.ISFORMULA('Previsto x realizado'!BC181) = FALSE, "","Enviado")</f>
        <v/>
      </c>
      <c r="L59" s="51" t="str">
        <f>IF(_xlfn.ISFORMULA('Previsto x realizado'!BD181) = FALSE, "","Enviado")</f>
        <v/>
      </c>
      <c r="M59" s="51" t="str">
        <f>IF(_xlfn.ISFORMULA('Previsto x realizado'!BE181) = FALSE, "","Enviado")</f>
        <v/>
      </c>
      <c r="N59" s="51" t="str">
        <f>IF(_xlfn.ISFORMULA('Previsto x realizado'!BF181) = FALSE, "","Enviado")</f>
        <v/>
      </c>
      <c r="O59" s="51" t="str">
        <f>IF(_xlfn.ISFORMULA('Previsto x realizado'!BG181) = FALSE, "","Enviado")</f>
        <v/>
      </c>
      <c r="P59" s="51" t="str">
        <f>IF(_xlfn.ISFORMULA('Previsto x realizado'!BH181) = FALSE, "","Enviado")</f>
        <v/>
      </c>
    </row>
    <row r="60" spans="1:16" ht="27.6" x14ac:dyDescent="0.3">
      <c r="A60" s="33" t="s">
        <v>175</v>
      </c>
      <c r="B60" s="4" t="s">
        <v>187</v>
      </c>
      <c r="C60" s="5" t="s">
        <v>35</v>
      </c>
      <c r="D60" s="4" t="s">
        <v>267</v>
      </c>
      <c r="E60" s="51" t="str">
        <f>IF(_xlfn.ISFORMULA('Previsto x realizado'!AW184) = FALSE, "","Enviado")</f>
        <v/>
      </c>
      <c r="F60" s="51" t="str">
        <f>IF(_xlfn.ISFORMULA('Previsto x realizado'!AX184) = FALSE, "","Enviado")</f>
        <v/>
      </c>
      <c r="G60" s="51" t="str">
        <f>IF(_xlfn.ISFORMULA('Previsto x realizado'!AY184) = FALSE, "","Enviado")</f>
        <v/>
      </c>
      <c r="H60" s="51" t="str">
        <f>IF(_xlfn.ISFORMULA('Previsto x realizado'!AZ184) = FALSE, "","Enviado")</f>
        <v/>
      </c>
      <c r="I60" s="51" t="str">
        <f>IF(_xlfn.ISFORMULA('Previsto x realizado'!BA184) = FALSE, "","Enviado")</f>
        <v/>
      </c>
      <c r="J60" s="51" t="str">
        <f>IF(_xlfn.ISFORMULA('Previsto x realizado'!BB184) = FALSE, "","Enviado")</f>
        <v/>
      </c>
      <c r="K60" s="51" t="str">
        <f>IF(_xlfn.ISFORMULA('Previsto x realizado'!BC184) = FALSE, "","Enviado")</f>
        <v/>
      </c>
      <c r="L60" s="51" t="str">
        <f>IF(_xlfn.ISFORMULA('Previsto x realizado'!BD184) = FALSE, "","Enviado")</f>
        <v/>
      </c>
      <c r="M60" s="51" t="str">
        <f>IF(_xlfn.ISFORMULA('Previsto x realizado'!BE184) = FALSE, "","Enviado")</f>
        <v/>
      </c>
      <c r="N60" s="51" t="str">
        <f>IF(_xlfn.ISFORMULA('Previsto x realizado'!BF184) = FALSE, "","Enviado")</f>
        <v/>
      </c>
      <c r="O60" s="51" t="str">
        <f>IF(_xlfn.ISFORMULA('Previsto x realizado'!BG184) = FALSE, "","Enviado")</f>
        <v/>
      </c>
      <c r="P60" s="51" t="str">
        <f>IF(_xlfn.ISFORMULA('Previsto x realizado'!BH184) = FALSE, "","Enviado")</f>
        <v/>
      </c>
    </row>
    <row r="61" spans="1:16" ht="27.6" x14ac:dyDescent="0.3">
      <c r="A61" s="44" t="s">
        <v>175</v>
      </c>
      <c r="B61" s="4" t="s">
        <v>187</v>
      </c>
      <c r="C61" s="5" t="s">
        <v>35</v>
      </c>
      <c r="D61" s="4" t="s">
        <v>267</v>
      </c>
      <c r="E61" s="51" t="str">
        <f>IF(_xlfn.ISFORMULA('Previsto x realizado'!AW187) = FALSE, "","Enviado")</f>
        <v>Enviado</v>
      </c>
      <c r="F61" s="51" t="str">
        <f>IF(_xlfn.ISFORMULA('Previsto x realizado'!AX187) = FALSE, "","Enviado")</f>
        <v>Enviado</v>
      </c>
      <c r="G61" s="51" t="str">
        <f>IF(_xlfn.ISFORMULA('Previsto x realizado'!AY187) = FALSE, "","Enviado")</f>
        <v>Enviado</v>
      </c>
      <c r="H61" s="51" t="str">
        <f>IF(_xlfn.ISFORMULA('Previsto x realizado'!AZ187) = FALSE, "","Enviado")</f>
        <v/>
      </c>
      <c r="I61" s="51" t="str">
        <f>IF(_xlfn.ISFORMULA('Previsto x realizado'!BA187) = FALSE, "","Enviado")</f>
        <v/>
      </c>
      <c r="J61" s="51" t="str">
        <f>IF(_xlfn.ISFORMULA('Previsto x realizado'!BB187) = FALSE, "","Enviado")</f>
        <v/>
      </c>
      <c r="K61" s="51" t="str">
        <f>IF(_xlfn.ISFORMULA('Previsto x realizado'!BC187) = FALSE, "","Enviado")</f>
        <v/>
      </c>
      <c r="L61" s="51" t="str">
        <f>IF(_xlfn.ISFORMULA('Previsto x realizado'!BD187) = FALSE, "","Enviado")</f>
        <v/>
      </c>
      <c r="M61" s="51" t="str">
        <f>IF(_xlfn.ISFORMULA('Previsto x realizado'!BE187) = FALSE, "","Enviado")</f>
        <v/>
      </c>
      <c r="N61" s="51" t="str">
        <f>IF(_xlfn.ISFORMULA('Previsto x realizado'!BF187) = FALSE, "","Enviado")</f>
        <v/>
      </c>
      <c r="O61" s="51" t="str">
        <f>IF(_xlfn.ISFORMULA('Previsto x realizado'!BG187) = FALSE, "","Enviado")</f>
        <v/>
      </c>
      <c r="P61" s="51" t="str">
        <f>IF(_xlfn.ISFORMULA('Previsto x realizado'!BH187) = FALSE, "","Enviado")</f>
        <v/>
      </c>
    </row>
    <row r="62" spans="1:16" ht="27.6" x14ac:dyDescent="0.3">
      <c r="A62" s="44" t="s">
        <v>175</v>
      </c>
      <c r="B62" s="4" t="s">
        <v>187</v>
      </c>
      <c r="C62" s="5" t="s">
        <v>35</v>
      </c>
      <c r="D62" s="4" t="s">
        <v>267</v>
      </c>
      <c r="E62" s="51" t="str">
        <f>IF(_xlfn.ISFORMULA('Previsto x realizado'!AW190) = FALSE, "","Enviado")</f>
        <v>Enviado</v>
      </c>
      <c r="F62" s="51" t="str">
        <f>IF(_xlfn.ISFORMULA('Previsto x realizado'!AX190) = FALSE, "","Enviado")</f>
        <v>Enviado</v>
      </c>
      <c r="G62" s="51" t="str">
        <f>IF(_xlfn.ISFORMULA('Previsto x realizado'!AY190) = FALSE, "","Enviado")</f>
        <v>Enviado</v>
      </c>
      <c r="H62" s="51" t="str">
        <f>IF(_xlfn.ISFORMULA('Previsto x realizado'!AZ190) = FALSE, "","Enviado")</f>
        <v/>
      </c>
      <c r="I62" s="51" t="str">
        <f>IF(_xlfn.ISFORMULA('Previsto x realizado'!BA190) = FALSE, "","Enviado")</f>
        <v/>
      </c>
      <c r="J62" s="51" t="str">
        <f>IF(_xlfn.ISFORMULA('Previsto x realizado'!BB190) = FALSE, "","Enviado")</f>
        <v/>
      </c>
      <c r="K62" s="51" t="str">
        <f>IF(_xlfn.ISFORMULA('Previsto x realizado'!BC190) = FALSE, "","Enviado")</f>
        <v/>
      </c>
      <c r="L62" s="51" t="str">
        <f>IF(_xlfn.ISFORMULA('Previsto x realizado'!BD190) = FALSE, "","Enviado")</f>
        <v/>
      </c>
      <c r="M62" s="51" t="str">
        <f>IF(_xlfn.ISFORMULA('Previsto x realizado'!BE190) = FALSE, "","Enviado")</f>
        <v/>
      </c>
      <c r="N62" s="51" t="str">
        <f>IF(_xlfn.ISFORMULA('Previsto x realizado'!BF190) = FALSE, "","Enviado")</f>
        <v/>
      </c>
      <c r="O62" s="51" t="str">
        <f>IF(_xlfn.ISFORMULA('Previsto x realizado'!BG190) = FALSE, "","Enviado")</f>
        <v/>
      </c>
      <c r="P62" s="51" t="str">
        <f>IF(_xlfn.ISFORMULA('Previsto x realizado'!BH190) = FALSE, "","Enviado")</f>
        <v/>
      </c>
    </row>
    <row r="63" spans="1:16" ht="27.6" x14ac:dyDescent="0.3">
      <c r="A63" s="33" t="s">
        <v>175</v>
      </c>
      <c r="B63" s="4" t="s">
        <v>194</v>
      </c>
      <c r="C63" s="5" t="s">
        <v>35</v>
      </c>
      <c r="D63" s="4" t="s">
        <v>267</v>
      </c>
      <c r="E63" s="51" t="str">
        <f>IF(_xlfn.ISFORMULA('Previsto x realizado'!AW193) = FALSE, "","Enviado")</f>
        <v/>
      </c>
      <c r="F63" s="51" t="str">
        <f>IF(_xlfn.ISFORMULA('Previsto x realizado'!AX193) = FALSE, "","Enviado")</f>
        <v/>
      </c>
      <c r="G63" s="51" t="str">
        <f>IF(_xlfn.ISFORMULA('Previsto x realizado'!AY193) = FALSE, "","Enviado")</f>
        <v/>
      </c>
      <c r="H63" s="51" t="str">
        <f>IF(_xlfn.ISFORMULA('Previsto x realizado'!AZ193) = FALSE, "","Enviado")</f>
        <v/>
      </c>
      <c r="I63" s="51" t="str">
        <f>IF(_xlfn.ISFORMULA('Previsto x realizado'!BA193) = FALSE, "","Enviado")</f>
        <v/>
      </c>
      <c r="J63" s="51" t="str">
        <f>IF(_xlfn.ISFORMULA('Previsto x realizado'!BB193) = FALSE, "","Enviado")</f>
        <v/>
      </c>
      <c r="K63" s="51" t="str">
        <f>IF(_xlfn.ISFORMULA('Previsto x realizado'!BC193) = FALSE, "","Enviado")</f>
        <v/>
      </c>
      <c r="L63" s="51" t="str">
        <f>IF(_xlfn.ISFORMULA('Previsto x realizado'!BD193) = FALSE, "","Enviado")</f>
        <v/>
      </c>
      <c r="M63" s="51" t="str">
        <f>IF(_xlfn.ISFORMULA('Previsto x realizado'!BE193) = FALSE, "","Enviado")</f>
        <v/>
      </c>
      <c r="N63" s="51" t="str">
        <f>IF(_xlfn.ISFORMULA('Previsto x realizado'!BF193) = FALSE, "","Enviado")</f>
        <v/>
      </c>
      <c r="O63" s="51" t="str">
        <f>IF(_xlfn.ISFORMULA('Previsto x realizado'!BG193) = FALSE, "","Enviado")</f>
        <v/>
      </c>
      <c r="P63" s="51" t="str">
        <f>IF(_xlfn.ISFORMULA('Previsto x realizado'!BH193) = FALSE, "","Enviado")</f>
        <v/>
      </c>
    </row>
    <row r="64" spans="1:16" ht="27.6" x14ac:dyDescent="0.3">
      <c r="A64" s="44" t="s">
        <v>175</v>
      </c>
      <c r="B64" s="4" t="s">
        <v>194</v>
      </c>
      <c r="C64" s="5" t="s">
        <v>35</v>
      </c>
      <c r="D64" s="4" t="s">
        <v>267</v>
      </c>
      <c r="E64" s="51" t="str">
        <f>IF(_xlfn.ISFORMULA('Previsto x realizado'!AW196) = FALSE, "","Enviado")</f>
        <v>Enviado</v>
      </c>
      <c r="F64" s="51" t="str">
        <f>IF(_xlfn.ISFORMULA('Previsto x realizado'!AX196) = FALSE, "","Enviado")</f>
        <v/>
      </c>
      <c r="G64" s="51" t="str">
        <f>IF(_xlfn.ISFORMULA('Previsto x realizado'!AY196) = FALSE, "","Enviado")</f>
        <v/>
      </c>
      <c r="H64" s="51" t="str">
        <f>IF(_xlfn.ISFORMULA('Previsto x realizado'!AZ196) = FALSE, "","Enviado")</f>
        <v/>
      </c>
      <c r="I64" s="51" t="str">
        <f>IF(_xlfn.ISFORMULA('Previsto x realizado'!BA196) = FALSE, "","Enviado")</f>
        <v/>
      </c>
      <c r="J64" s="51" t="str">
        <f>IF(_xlfn.ISFORMULA('Previsto x realizado'!BB196) = FALSE, "","Enviado")</f>
        <v/>
      </c>
      <c r="K64" s="51" t="str">
        <f>IF(_xlfn.ISFORMULA('Previsto x realizado'!BC196) = FALSE, "","Enviado")</f>
        <v/>
      </c>
      <c r="L64" s="51" t="str">
        <f>IF(_xlfn.ISFORMULA('Previsto x realizado'!BD196) = FALSE, "","Enviado")</f>
        <v/>
      </c>
      <c r="M64" s="51" t="str">
        <f>IF(_xlfn.ISFORMULA('Previsto x realizado'!BE196) = FALSE, "","Enviado")</f>
        <v/>
      </c>
      <c r="N64" s="51" t="str">
        <f>IF(_xlfn.ISFORMULA('Previsto x realizado'!BF196) = FALSE, "","Enviado")</f>
        <v/>
      </c>
      <c r="O64" s="51" t="str">
        <f>IF(_xlfn.ISFORMULA('Previsto x realizado'!BG196) = FALSE, "","Enviado")</f>
        <v/>
      </c>
      <c r="P64" s="51" t="str">
        <f>IF(_xlfn.ISFORMULA('Previsto x realizado'!BH196) = FALSE, "","Enviado")</f>
        <v/>
      </c>
    </row>
    <row r="65" spans="1:16" ht="27.6" x14ac:dyDescent="0.3">
      <c r="A65" s="44" t="s">
        <v>175</v>
      </c>
      <c r="B65" s="4" t="s">
        <v>194</v>
      </c>
      <c r="C65" s="5" t="s">
        <v>35</v>
      </c>
      <c r="D65" s="4" t="s">
        <v>267</v>
      </c>
      <c r="E65" s="51" t="str">
        <f>IF(_xlfn.ISFORMULA('Previsto x realizado'!AW199) = FALSE, "","Enviado")</f>
        <v>Enviado</v>
      </c>
      <c r="F65" s="51" t="str">
        <f>IF(_xlfn.ISFORMULA('Previsto x realizado'!AX199) = FALSE, "","Enviado")</f>
        <v/>
      </c>
      <c r="G65" s="51" t="str">
        <f>IF(_xlfn.ISFORMULA('Previsto x realizado'!AY199) = FALSE, "","Enviado")</f>
        <v/>
      </c>
      <c r="H65" s="51" t="str">
        <f>IF(_xlfn.ISFORMULA('Previsto x realizado'!AZ199) = FALSE, "","Enviado")</f>
        <v/>
      </c>
      <c r="I65" s="51" t="str">
        <f>IF(_xlfn.ISFORMULA('Previsto x realizado'!BA199) = FALSE, "","Enviado")</f>
        <v/>
      </c>
      <c r="J65" s="51" t="str">
        <f>IF(_xlfn.ISFORMULA('Previsto x realizado'!BB199) = FALSE, "","Enviado")</f>
        <v/>
      </c>
      <c r="K65" s="51" t="str">
        <f>IF(_xlfn.ISFORMULA('Previsto x realizado'!BC199) = FALSE, "","Enviado")</f>
        <v/>
      </c>
      <c r="L65" s="51" t="str">
        <f>IF(_xlfn.ISFORMULA('Previsto x realizado'!BD199) = FALSE, "","Enviado")</f>
        <v/>
      </c>
      <c r="M65" s="51" t="str">
        <f>IF(_xlfn.ISFORMULA('Previsto x realizado'!BE199) = FALSE, "","Enviado")</f>
        <v/>
      </c>
      <c r="N65" s="51" t="str">
        <f>IF(_xlfn.ISFORMULA('Previsto x realizado'!BF199) = FALSE, "","Enviado")</f>
        <v/>
      </c>
      <c r="O65" s="51" t="str">
        <f>IF(_xlfn.ISFORMULA('Previsto x realizado'!BG199) = FALSE, "","Enviado")</f>
        <v/>
      </c>
      <c r="P65" s="51" t="str">
        <f>IF(_xlfn.ISFORMULA('Previsto x realizado'!BH199) = FALSE, "","Enviado")</f>
        <v/>
      </c>
    </row>
    <row r="66" spans="1:16" ht="27.6" x14ac:dyDescent="0.3">
      <c r="A66" s="33" t="s">
        <v>175</v>
      </c>
      <c r="B66" s="4" t="s">
        <v>197</v>
      </c>
      <c r="C66" s="5" t="s">
        <v>35</v>
      </c>
      <c r="D66" s="4" t="s">
        <v>267</v>
      </c>
      <c r="E66" s="51" t="str">
        <f>IF(_xlfn.ISFORMULA('Previsto x realizado'!AW202) = FALSE, "","Enviado")</f>
        <v/>
      </c>
      <c r="F66" s="51" t="str">
        <f>IF(_xlfn.ISFORMULA('Previsto x realizado'!AX202) = FALSE, "","Enviado")</f>
        <v/>
      </c>
      <c r="G66" s="51" t="str">
        <f>IF(_xlfn.ISFORMULA('Previsto x realizado'!AY202) = FALSE, "","Enviado")</f>
        <v/>
      </c>
      <c r="H66" s="51" t="str">
        <f>IF(_xlfn.ISFORMULA('Previsto x realizado'!AZ202) = FALSE, "","Enviado")</f>
        <v/>
      </c>
      <c r="I66" s="51" t="str">
        <f>IF(_xlfn.ISFORMULA('Previsto x realizado'!BA202) = FALSE, "","Enviado")</f>
        <v/>
      </c>
      <c r="J66" s="51" t="str">
        <f>IF(_xlfn.ISFORMULA('Previsto x realizado'!BB202) = FALSE, "","Enviado")</f>
        <v/>
      </c>
      <c r="K66" s="51" t="str">
        <f>IF(_xlfn.ISFORMULA('Previsto x realizado'!BC202) = FALSE, "","Enviado")</f>
        <v/>
      </c>
      <c r="L66" s="51" t="str">
        <f>IF(_xlfn.ISFORMULA('Previsto x realizado'!BD202) = FALSE, "","Enviado")</f>
        <v/>
      </c>
      <c r="M66" s="51" t="str">
        <f>IF(_xlfn.ISFORMULA('Previsto x realizado'!BE202) = FALSE, "","Enviado")</f>
        <v/>
      </c>
      <c r="N66" s="51" t="str">
        <f>IF(_xlfn.ISFORMULA('Previsto x realizado'!BF202) = FALSE, "","Enviado")</f>
        <v/>
      </c>
      <c r="O66" s="51" t="str">
        <f>IF(_xlfn.ISFORMULA('Previsto x realizado'!BG202) = FALSE, "","Enviado")</f>
        <v/>
      </c>
      <c r="P66" s="51" t="str">
        <f>IF(_xlfn.ISFORMULA('Previsto x realizado'!BH202) = FALSE, "","Enviado")</f>
        <v/>
      </c>
    </row>
    <row r="67" spans="1:16" ht="27.6" x14ac:dyDescent="0.3">
      <c r="A67" s="44" t="s">
        <v>175</v>
      </c>
      <c r="B67" s="4" t="s">
        <v>197</v>
      </c>
      <c r="C67" s="5" t="s">
        <v>35</v>
      </c>
      <c r="D67" s="4" t="s">
        <v>267</v>
      </c>
      <c r="E67" s="51" t="str">
        <f>IF(_xlfn.ISFORMULA('Previsto x realizado'!AW207) = FALSE, "","Enviado")</f>
        <v>Enviado</v>
      </c>
      <c r="F67" s="51" t="str">
        <f>IF(_xlfn.ISFORMULA('Previsto x realizado'!AX207) = FALSE, "","Enviado")</f>
        <v/>
      </c>
      <c r="G67" s="51" t="str">
        <f>IF(_xlfn.ISFORMULA('Previsto x realizado'!AY207) = FALSE, "","Enviado")</f>
        <v/>
      </c>
      <c r="H67" s="51" t="str">
        <f>IF(_xlfn.ISFORMULA('Previsto x realizado'!AZ207) = FALSE, "","Enviado")</f>
        <v/>
      </c>
      <c r="I67" s="51" t="str">
        <f>IF(_xlfn.ISFORMULA('Previsto x realizado'!BA207) = FALSE, "","Enviado")</f>
        <v/>
      </c>
      <c r="J67" s="51" t="str">
        <f>IF(_xlfn.ISFORMULA('Previsto x realizado'!BB207) = FALSE, "","Enviado")</f>
        <v/>
      </c>
      <c r="K67" s="51" t="str">
        <f>IF(_xlfn.ISFORMULA('Previsto x realizado'!BC207) = FALSE, "","Enviado")</f>
        <v/>
      </c>
      <c r="L67" s="51" t="str">
        <f>IF(_xlfn.ISFORMULA('Previsto x realizado'!BD207) = FALSE, "","Enviado")</f>
        <v/>
      </c>
      <c r="M67" s="51" t="str">
        <f>IF(_xlfn.ISFORMULA('Previsto x realizado'!BE207) = FALSE, "","Enviado")</f>
        <v/>
      </c>
      <c r="N67" s="51" t="str">
        <f>IF(_xlfn.ISFORMULA('Previsto x realizado'!BF207) = FALSE, "","Enviado")</f>
        <v/>
      </c>
      <c r="O67" s="51" t="str">
        <f>IF(_xlfn.ISFORMULA('Previsto x realizado'!BG207) = FALSE, "","Enviado")</f>
        <v/>
      </c>
      <c r="P67" s="51" t="str">
        <f>IF(_xlfn.ISFORMULA('Previsto x realizado'!BH207) = FALSE, "","Enviado")</f>
        <v/>
      </c>
    </row>
    <row r="68" spans="1:16" ht="27.6" x14ac:dyDescent="0.3">
      <c r="A68" s="44" t="s">
        <v>175</v>
      </c>
      <c r="B68" s="4" t="s">
        <v>197</v>
      </c>
      <c r="C68" s="5" t="s">
        <v>35</v>
      </c>
      <c r="D68" s="4" t="s">
        <v>267</v>
      </c>
      <c r="E68" s="51" t="str">
        <f>IF(_xlfn.ISFORMULA('Previsto x realizado'!AW210) = FALSE, "","Enviado")</f>
        <v>Enviado</v>
      </c>
      <c r="F68" s="51" t="str">
        <f>IF(_xlfn.ISFORMULA('Previsto x realizado'!AX210) = FALSE, "","Enviado")</f>
        <v/>
      </c>
      <c r="G68" s="51" t="str">
        <f>IF(_xlfn.ISFORMULA('Previsto x realizado'!AY210) = FALSE, "","Enviado")</f>
        <v/>
      </c>
      <c r="H68" s="51" t="str">
        <f>IF(_xlfn.ISFORMULA('Previsto x realizado'!AZ210) = FALSE, "","Enviado")</f>
        <v/>
      </c>
      <c r="I68" s="51" t="str">
        <f>IF(_xlfn.ISFORMULA('Previsto x realizado'!BA210) = FALSE, "","Enviado")</f>
        <v/>
      </c>
      <c r="J68" s="51" t="str">
        <f>IF(_xlfn.ISFORMULA('Previsto x realizado'!BB210) = FALSE, "","Enviado")</f>
        <v/>
      </c>
      <c r="K68" s="51" t="str">
        <f>IF(_xlfn.ISFORMULA('Previsto x realizado'!BC210) = FALSE, "","Enviado")</f>
        <v/>
      </c>
      <c r="L68" s="51" t="str">
        <f>IF(_xlfn.ISFORMULA('Previsto x realizado'!BD210) = FALSE, "","Enviado")</f>
        <v/>
      </c>
      <c r="M68" s="51" t="str">
        <f>IF(_xlfn.ISFORMULA('Previsto x realizado'!BE210) = FALSE, "","Enviado")</f>
        <v/>
      </c>
      <c r="N68" s="51" t="str">
        <f>IF(_xlfn.ISFORMULA('Previsto x realizado'!BF210) = FALSE, "","Enviado")</f>
        <v/>
      </c>
      <c r="O68" s="51" t="str">
        <f>IF(_xlfn.ISFORMULA('Previsto x realizado'!BG210) = FALSE, "","Enviado")</f>
        <v/>
      </c>
      <c r="P68" s="51" t="str">
        <f>IF(_xlfn.ISFORMULA('Previsto x realizado'!BH210) = FALSE, "","Enviado")</f>
        <v/>
      </c>
    </row>
    <row r="69" spans="1:16" x14ac:dyDescent="0.3">
      <c r="A69" s="35" t="s">
        <v>44</v>
      </c>
      <c r="B69" s="10" t="s">
        <v>44</v>
      </c>
      <c r="C69" s="5" t="s">
        <v>35</v>
      </c>
      <c r="D69" s="10" t="s">
        <v>44</v>
      </c>
      <c r="E69" s="51" t="str">
        <f>IF(_xlfn.ISFORMULA('Previsto x realizado'!AW211) = FALSE, "","Enviado")</f>
        <v>Enviado</v>
      </c>
      <c r="F69" s="51" t="str">
        <f>IF(_xlfn.ISFORMULA('Previsto x realizado'!AX211) = FALSE, "","Enviado")</f>
        <v>Enviado</v>
      </c>
      <c r="G69" s="51" t="str">
        <f>IF(_xlfn.ISFORMULA('Previsto x realizado'!AY211) = FALSE, "","Enviado")</f>
        <v>Enviado</v>
      </c>
      <c r="H69" s="51" t="str">
        <f>IF(_xlfn.ISFORMULA('Previsto x realizado'!AZ211) = FALSE, "","Enviado")</f>
        <v>Enviado</v>
      </c>
      <c r="I69" s="51" t="str">
        <f>IF(_xlfn.ISFORMULA('Previsto x realizado'!BA211) = FALSE, "","Enviado")</f>
        <v/>
      </c>
      <c r="J69" s="51" t="str">
        <f>IF(_xlfn.ISFORMULA('Previsto x realizado'!BB211) = FALSE, "","Enviado")</f>
        <v/>
      </c>
      <c r="K69" s="51" t="str">
        <f>IF(_xlfn.ISFORMULA('Previsto x realizado'!BC211) = FALSE, "","Enviado")</f>
        <v/>
      </c>
      <c r="L69" s="51" t="str">
        <f>IF(_xlfn.ISFORMULA('Previsto x realizado'!BD211) = FALSE, "","Enviado")</f>
        <v/>
      </c>
      <c r="M69" s="51" t="str">
        <f>IF(_xlfn.ISFORMULA('Previsto x realizado'!BE211) = FALSE, "","Enviado")</f>
        <v/>
      </c>
      <c r="N69" s="51" t="str">
        <f>IF(_xlfn.ISFORMULA('Previsto x realizado'!BF211) = FALSE, "","Enviado")</f>
        <v/>
      </c>
      <c r="O69" s="51" t="str">
        <f>IF(_xlfn.ISFORMULA('Previsto x realizado'!BG211) = FALSE, "","Enviado")</f>
        <v/>
      </c>
      <c r="P69" s="51" t="str">
        <f>IF(_xlfn.ISFORMULA('Previsto x realizado'!BH211) = FALSE, "","Enviado")</f>
        <v/>
      </c>
    </row>
    <row r="70" spans="1:16" x14ac:dyDescent="0.3">
      <c r="A70" s="35" t="s">
        <v>44</v>
      </c>
      <c r="B70" s="10" t="s">
        <v>44</v>
      </c>
      <c r="C70" s="5" t="s">
        <v>35</v>
      </c>
      <c r="D70" s="10" t="s">
        <v>44</v>
      </c>
      <c r="E70" s="51" t="str">
        <f>IF(_xlfn.ISFORMULA('Previsto x realizado'!AW214) = FALSE, "","Enviado")</f>
        <v>Enviado</v>
      </c>
      <c r="F70" s="51" t="str">
        <f>IF(_xlfn.ISFORMULA('Previsto x realizado'!AX214) = FALSE, "","Enviado")</f>
        <v>Enviado</v>
      </c>
      <c r="G70" s="51" t="str">
        <f>IF(_xlfn.ISFORMULA('Previsto x realizado'!AY214) = FALSE, "","Enviado")</f>
        <v>Enviado</v>
      </c>
      <c r="H70" s="51" t="str">
        <f>IF(_xlfn.ISFORMULA('Previsto x realizado'!AZ214) = FALSE, "","Enviado")</f>
        <v>Enviado</v>
      </c>
      <c r="I70" s="51" t="str">
        <f>IF(_xlfn.ISFORMULA('Previsto x realizado'!BA214) = FALSE, "","Enviado")</f>
        <v/>
      </c>
      <c r="J70" s="51" t="str">
        <f>IF(_xlfn.ISFORMULA('Previsto x realizado'!BB214) = FALSE, "","Enviado")</f>
        <v/>
      </c>
      <c r="K70" s="51" t="str">
        <f>IF(_xlfn.ISFORMULA('Previsto x realizado'!BC214) = FALSE, "","Enviado")</f>
        <v/>
      </c>
      <c r="L70" s="51" t="str">
        <f>IF(_xlfn.ISFORMULA('Previsto x realizado'!BD214) = FALSE, "","Enviado")</f>
        <v/>
      </c>
      <c r="M70" s="51" t="str">
        <f>IF(_xlfn.ISFORMULA('Previsto x realizado'!BE214) = FALSE, "","Enviado")</f>
        <v/>
      </c>
      <c r="N70" s="51" t="str">
        <f>IF(_xlfn.ISFORMULA('Previsto x realizado'!BF214) = FALSE, "","Enviado")</f>
        <v/>
      </c>
      <c r="O70" s="51" t="str">
        <f>IF(_xlfn.ISFORMULA('Previsto x realizado'!BG214) = FALSE, "","Enviado")</f>
        <v/>
      </c>
      <c r="P70" s="51" t="str">
        <f>IF(_xlfn.ISFORMULA('Previsto x realizado'!BH214) = FALSE, "","Enviado")</f>
        <v/>
      </c>
    </row>
    <row r="71" spans="1:16" x14ac:dyDescent="0.3">
      <c r="A71" s="35" t="s">
        <v>44</v>
      </c>
      <c r="B71" s="10" t="s">
        <v>44</v>
      </c>
      <c r="C71" s="5" t="s">
        <v>35</v>
      </c>
      <c r="D71" s="10" t="s">
        <v>44</v>
      </c>
      <c r="E71" s="51" t="str">
        <f>IF(_xlfn.ISFORMULA('Previsto x realizado'!AW217) = FALSE, "","Enviado")</f>
        <v>Enviado</v>
      </c>
      <c r="F71" s="51" t="str">
        <f>IF(_xlfn.ISFORMULA('Previsto x realizado'!AX217) = FALSE, "","Enviado")</f>
        <v>Enviado</v>
      </c>
      <c r="G71" s="51" t="str">
        <f>IF(_xlfn.ISFORMULA('Previsto x realizado'!AY217) = FALSE, "","Enviado")</f>
        <v>Enviado</v>
      </c>
      <c r="H71" s="51" t="str">
        <f>IF(_xlfn.ISFORMULA('Previsto x realizado'!AZ217) = FALSE, "","Enviado")</f>
        <v>Enviado</v>
      </c>
      <c r="I71" s="51" t="str">
        <f>IF(_xlfn.ISFORMULA('Previsto x realizado'!BA217) = FALSE, "","Enviado")</f>
        <v/>
      </c>
      <c r="J71" s="51" t="str">
        <f>IF(_xlfn.ISFORMULA('Previsto x realizado'!BB217) = FALSE, "","Enviado")</f>
        <v/>
      </c>
      <c r="K71" s="51" t="str">
        <f>IF(_xlfn.ISFORMULA('Previsto x realizado'!BC217) = FALSE, "","Enviado")</f>
        <v/>
      </c>
      <c r="L71" s="51" t="str">
        <f>IF(_xlfn.ISFORMULA('Previsto x realizado'!BD217) = FALSE, "","Enviado")</f>
        <v/>
      </c>
      <c r="M71" s="51" t="str">
        <f>IF(_xlfn.ISFORMULA('Previsto x realizado'!BE217) = FALSE, "","Enviado")</f>
        <v/>
      </c>
      <c r="N71" s="51" t="str">
        <f>IF(_xlfn.ISFORMULA('Previsto x realizado'!BF217) = FALSE, "","Enviado")</f>
        <v/>
      </c>
      <c r="O71" s="51" t="str">
        <f>IF(_xlfn.ISFORMULA('Previsto x realizado'!BG217) = FALSE, "","Enviado")</f>
        <v/>
      </c>
      <c r="P71" s="51" t="str">
        <f>IF(_xlfn.ISFORMULA('Previsto x realizado'!BH217) = FALSE, "","Enviado")</f>
        <v/>
      </c>
    </row>
    <row r="72" spans="1:16" x14ac:dyDescent="0.3">
      <c r="A72" s="35" t="s">
        <v>44</v>
      </c>
      <c r="B72" s="10" t="s">
        <v>44</v>
      </c>
      <c r="C72" s="5" t="s">
        <v>35</v>
      </c>
      <c r="D72" s="10" t="s">
        <v>44</v>
      </c>
      <c r="E72" s="51" t="str">
        <f>IF(_xlfn.ISFORMULA('Previsto x realizado'!AW220) = FALSE, "","Enviado")</f>
        <v>Enviado</v>
      </c>
      <c r="F72" s="51" t="str">
        <f>IF(_xlfn.ISFORMULA('Previsto x realizado'!AX220) = FALSE, "","Enviado")</f>
        <v>Enviado</v>
      </c>
      <c r="G72" s="51" t="str">
        <f>IF(_xlfn.ISFORMULA('Previsto x realizado'!AY220) = FALSE, "","Enviado")</f>
        <v>Enviado</v>
      </c>
      <c r="H72" s="51" t="str">
        <f>IF(_xlfn.ISFORMULA('Previsto x realizado'!AZ220) = FALSE, "","Enviado")</f>
        <v>Enviado</v>
      </c>
      <c r="I72" s="51" t="str">
        <f>IF(_xlfn.ISFORMULA('Previsto x realizado'!BA220) = FALSE, "","Enviado")</f>
        <v/>
      </c>
      <c r="J72" s="51" t="str">
        <f>IF(_xlfn.ISFORMULA('Previsto x realizado'!BB220) = FALSE, "","Enviado")</f>
        <v/>
      </c>
      <c r="K72" s="51" t="str">
        <f>IF(_xlfn.ISFORMULA('Previsto x realizado'!BC220) = FALSE, "","Enviado")</f>
        <v/>
      </c>
      <c r="L72" s="51" t="str">
        <f>IF(_xlfn.ISFORMULA('Previsto x realizado'!BD220) = FALSE, "","Enviado")</f>
        <v/>
      </c>
      <c r="M72" s="51" t="str">
        <f>IF(_xlfn.ISFORMULA('Previsto x realizado'!BE220) = FALSE, "","Enviado")</f>
        <v/>
      </c>
      <c r="N72" s="51" t="str">
        <f>IF(_xlfn.ISFORMULA('Previsto x realizado'!BF220) = FALSE, "","Enviado")</f>
        <v/>
      </c>
      <c r="O72" s="51" t="str">
        <f>IF(_xlfn.ISFORMULA('Previsto x realizado'!BG220) = FALSE, "","Enviado")</f>
        <v/>
      </c>
      <c r="P72" s="51" t="str">
        <f>IF(_xlfn.ISFORMULA('Previsto x realizado'!BH220) = FALSE, "","Enviado")</f>
        <v/>
      </c>
    </row>
    <row r="73" spans="1:16" x14ac:dyDescent="0.3">
      <c r="A73" s="35" t="s">
        <v>44</v>
      </c>
      <c r="B73" s="10" t="s">
        <v>44</v>
      </c>
      <c r="C73" s="5" t="s">
        <v>35</v>
      </c>
      <c r="D73" s="10" t="s">
        <v>44</v>
      </c>
      <c r="E73" s="51" t="str">
        <f>IF(_xlfn.ISFORMULA('Previsto x realizado'!AW223) = FALSE, "","Enviado")</f>
        <v>Enviado</v>
      </c>
      <c r="F73" s="51" t="str">
        <f>IF(_xlfn.ISFORMULA('Previsto x realizado'!AX223) = FALSE, "","Enviado")</f>
        <v>Enviado</v>
      </c>
      <c r="G73" s="51" t="str">
        <f>IF(_xlfn.ISFORMULA('Previsto x realizado'!AY223) = FALSE, "","Enviado")</f>
        <v>Enviado</v>
      </c>
      <c r="H73" s="51" t="str">
        <f>IF(_xlfn.ISFORMULA('Previsto x realizado'!AZ223) = FALSE, "","Enviado")</f>
        <v>Enviado</v>
      </c>
      <c r="I73" s="51" t="str">
        <f>IF(_xlfn.ISFORMULA('Previsto x realizado'!BA223) = FALSE, "","Enviado")</f>
        <v/>
      </c>
      <c r="J73" s="51" t="str">
        <f>IF(_xlfn.ISFORMULA('Previsto x realizado'!BB223) = FALSE, "","Enviado")</f>
        <v/>
      </c>
      <c r="K73" s="51" t="str">
        <f>IF(_xlfn.ISFORMULA('Previsto x realizado'!BC223) = FALSE, "","Enviado")</f>
        <v/>
      </c>
      <c r="L73" s="51" t="str">
        <f>IF(_xlfn.ISFORMULA('Previsto x realizado'!BD223) = FALSE, "","Enviado")</f>
        <v/>
      </c>
      <c r="M73" s="51" t="str">
        <f>IF(_xlfn.ISFORMULA('Previsto x realizado'!BE223) = FALSE, "","Enviado")</f>
        <v/>
      </c>
      <c r="N73" s="51" t="str">
        <f>IF(_xlfn.ISFORMULA('Previsto x realizado'!BF223) = FALSE, "","Enviado")</f>
        <v/>
      </c>
      <c r="O73" s="51" t="str">
        <f>IF(_xlfn.ISFORMULA('Previsto x realizado'!BG223) = FALSE, "","Enviado")</f>
        <v/>
      </c>
      <c r="P73" s="51" t="str">
        <f>IF(_xlfn.ISFORMULA('Previsto x realizado'!BH223) = FALSE, "","Enviado")</f>
        <v/>
      </c>
    </row>
    <row r="74" spans="1:16" x14ac:dyDescent="0.3">
      <c r="A74" s="35" t="s">
        <v>44</v>
      </c>
      <c r="B74" s="10" t="s">
        <v>44</v>
      </c>
      <c r="C74" s="5" t="s">
        <v>35</v>
      </c>
      <c r="D74" s="10" t="s">
        <v>44</v>
      </c>
      <c r="E74" s="51" t="str">
        <f>IF(_xlfn.ISFORMULA('Previsto x realizado'!AW226) = FALSE, "","Enviado")</f>
        <v>Enviado</v>
      </c>
      <c r="F74" s="51" t="str">
        <f>IF(_xlfn.ISFORMULA('Previsto x realizado'!AX226) = FALSE, "","Enviado")</f>
        <v>Enviado</v>
      </c>
      <c r="G74" s="51" t="str">
        <f>IF(_xlfn.ISFORMULA('Previsto x realizado'!AY226) = FALSE, "","Enviado")</f>
        <v>Enviado</v>
      </c>
      <c r="H74" s="51" t="str">
        <f>IF(_xlfn.ISFORMULA('Previsto x realizado'!AZ226) = FALSE, "","Enviado")</f>
        <v>Enviado</v>
      </c>
      <c r="I74" s="51" t="str">
        <f>IF(_xlfn.ISFORMULA('Previsto x realizado'!BA226) = FALSE, "","Enviado")</f>
        <v/>
      </c>
      <c r="J74" s="51" t="str">
        <f>IF(_xlfn.ISFORMULA('Previsto x realizado'!BB226) = FALSE, "","Enviado")</f>
        <v/>
      </c>
      <c r="K74" s="51" t="str">
        <f>IF(_xlfn.ISFORMULA('Previsto x realizado'!BC226) = FALSE, "","Enviado")</f>
        <v/>
      </c>
      <c r="L74" s="51" t="str">
        <f>IF(_xlfn.ISFORMULA('Previsto x realizado'!BD226) = FALSE, "","Enviado")</f>
        <v/>
      </c>
      <c r="M74" s="51" t="str">
        <f>IF(_xlfn.ISFORMULA('Previsto x realizado'!BE226) = FALSE, "","Enviado")</f>
        <v/>
      </c>
      <c r="N74" s="51" t="str">
        <f>IF(_xlfn.ISFORMULA('Previsto x realizado'!BF226) = FALSE, "","Enviado")</f>
        <v/>
      </c>
      <c r="O74" s="51" t="str">
        <f>IF(_xlfn.ISFORMULA('Previsto x realizado'!BG226) = FALSE, "","Enviado")</f>
        <v/>
      </c>
      <c r="P74" s="51" t="str">
        <f>IF(_xlfn.ISFORMULA('Previsto x realizado'!BH226) = FALSE, "","Enviado")</f>
        <v/>
      </c>
    </row>
    <row r="75" spans="1:16" x14ac:dyDescent="0.3">
      <c r="A75" s="35" t="s">
        <v>44</v>
      </c>
      <c r="B75" s="10" t="s">
        <v>44</v>
      </c>
      <c r="C75" s="5" t="s">
        <v>35</v>
      </c>
      <c r="D75" s="10" t="s">
        <v>44</v>
      </c>
      <c r="E75" s="51" t="str">
        <f>IF(_xlfn.ISFORMULA('Previsto x realizado'!AW229) = FALSE, "","Enviado")</f>
        <v>Enviado</v>
      </c>
      <c r="F75" s="51" t="str">
        <f>IF(_xlfn.ISFORMULA('Previsto x realizado'!AX229) = FALSE, "","Enviado")</f>
        <v>Enviado</v>
      </c>
      <c r="G75" s="51" t="str">
        <f>IF(_xlfn.ISFORMULA('Previsto x realizado'!AY229) = FALSE, "","Enviado")</f>
        <v>Enviado</v>
      </c>
      <c r="H75" s="51" t="str">
        <f>IF(_xlfn.ISFORMULA('Previsto x realizado'!AZ229) = FALSE, "","Enviado")</f>
        <v>Enviado</v>
      </c>
      <c r="I75" s="51" t="str">
        <f>IF(_xlfn.ISFORMULA('Previsto x realizado'!BA229) = FALSE, "","Enviado")</f>
        <v/>
      </c>
      <c r="J75" s="51" t="str">
        <f>IF(_xlfn.ISFORMULA('Previsto x realizado'!BB229) = FALSE, "","Enviado")</f>
        <v/>
      </c>
      <c r="K75" s="51" t="str">
        <f>IF(_xlfn.ISFORMULA('Previsto x realizado'!BC229) = FALSE, "","Enviado")</f>
        <v/>
      </c>
      <c r="L75" s="51" t="str">
        <f>IF(_xlfn.ISFORMULA('Previsto x realizado'!BD229) = FALSE, "","Enviado")</f>
        <v/>
      </c>
      <c r="M75" s="51" t="str">
        <f>IF(_xlfn.ISFORMULA('Previsto x realizado'!BE229) = FALSE, "","Enviado")</f>
        <v/>
      </c>
      <c r="N75" s="51" t="str">
        <f>IF(_xlfn.ISFORMULA('Previsto x realizado'!BF229) = FALSE, "","Enviado")</f>
        <v/>
      </c>
      <c r="O75" s="51" t="str">
        <f>IF(_xlfn.ISFORMULA('Previsto x realizado'!BG229) = FALSE, "","Enviado")</f>
        <v/>
      </c>
      <c r="P75" s="51" t="str">
        <f>IF(_xlfn.ISFORMULA('Previsto x realizado'!BH229) = FALSE, "","Enviado")</f>
        <v/>
      </c>
    </row>
    <row r="76" spans="1:16" ht="27.6" x14ac:dyDescent="0.3">
      <c r="A76" s="3" t="s">
        <v>33</v>
      </c>
      <c r="B76" s="4" t="s">
        <v>34</v>
      </c>
      <c r="C76" s="5" t="s">
        <v>95</v>
      </c>
      <c r="D76" s="56" t="s">
        <v>267</v>
      </c>
      <c r="E76" s="51" t="str">
        <f>IF(_xlfn.ISFORMULA('Previsto x realizado'!AW230) = FALSE, "","Enviado")</f>
        <v>Enviado</v>
      </c>
      <c r="F76" s="51" t="str">
        <f>IF(_xlfn.ISFORMULA('Previsto x realizado'!AX230) = FALSE, "","Enviado")</f>
        <v>Enviado</v>
      </c>
      <c r="G76" s="51" t="str">
        <f>IF(_xlfn.ISFORMULA('Previsto x realizado'!AY230) = FALSE, "","Enviado")</f>
        <v>Enviado</v>
      </c>
      <c r="H76" s="51" t="str">
        <f>IF(_xlfn.ISFORMULA('Previsto x realizado'!AZ230) = FALSE, "","Enviado")</f>
        <v>Enviado</v>
      </c>
      <c r="I76" s="51" t="str">
        <f>IF(_xlfn.ISFORMULA('Previsto x realizado'!BA230) = FALSE, "","Enviado")</f>
        <v/>
      </c>
      <c r="J76" s="51" t="str">
        <f>IF(_xlfn.ISFORMULA('Previsto x realizado'!BB230) = FALSE, "","Enviado")</f>
        <v/>
      </c>
      <c r="K76" s="51" t="str">
        <f>IF(_xlfn.ISFORMULA('Previsto x realizado'!BC230) = FALSE, "","Enviado")</f>
        <v/>
      </c>
      <c r="L76" s="51" t="str">
        <f>IF(_xlfn.ISFORMULA('Previsto x realizado'!BD230) = FALSE, "","Enviado")</f>
        <v/>
      </c>
      <c r="M76" s="51" t="str">
        <f>IF(_xlfn.ISFORMULA('Previsto x realizado'!BE230) = FALSE, "","Enviado")</f>
        <v/>
      </c>
      <c r="N76" s="51" t="str">
        <f>IF(_xlfn.ISFORMULA('Previsto x realizado'!BF230) = FALSE, "","Enviado")</f>
        <v/>
      </c>
      <c r="O76" s="51" t="str">
        <f>IF(_xlfn.ISFORMULA('Previsto x realizado'!BG230) = FALSE, "","Enviado")</f>
        <v/>
      </c>
      <c r="P76" s="51" t="str">
        <f>IF(_xlfn.ISFORMULA('Previsto x realizado'!BH230) = FALSE, "","Enviado")</f>
        <v/>
      </c>
    </row>
    <row r="77" spans="1:16" ht="27.6" x14ac:dyDescent="0.3">
      <c r="A77" s="39" t="s">
        <v>33</v>
      </c>
      <c r="B77" s="4" t="s">
        <v>34</v>
      </c>
      <c r="C77" s="5" t="s">
        <v>95</v>
      </c>
      <c r="D77" s="56" t="s">
        <v>267</v>
      </c>
      <c r="E77" s="51" t="str">
        <f>IF(_xlfn.ISFORMULA('Previsto x realizado'!AW231) = FALSE, "","Enviado")</f>
        <v>Enviado</v>
      </c>
      <c r="F77" s="51" t="str">
        <f>IF(_xlfn.ISFORMULA('Previsto x realizado'!AX231) = FALSE, "","Enviado")</f>
        <v>Enviado</v>
      </c>
      <c r="G77" s="51" t="str">
        <f>IF(_xlfn.ISFORMULA('Previsto x realizado'!AY231) = FALSE, "","Enviado")</f>
        <v>Enviado</v>
      </c>
      <c r="H77" s="51" t="str">
        <f>IF(_xlfn.ISFORMULA('Previsto x realizado'!AZ231) = FALSE, "","Enviado")</f>
        <v>Enviado</v>
      </c>
      <c r="I77" s="51" t="str">
        <f>IF(_xlfn.ISFORMULA('Previsto x realizado'!BA231) = FALSE, "","Enviado")</f>
        <v/>
      </c>
      <c r="J77" s="51" t="str">
        <f>IF(_xlfn.ISFORMULA('Previsto x realizado'!BB231) = FALSE, "","Enviado")</f>
        <v/>
      </c>
      <c r="K77" s="51" t="str">
        <f>IF(_xlfn.ISFORMULA('Previsto x realizado'!BC231) = FALSE, "","Enviado")</f>
        <v/>
      </c>
      <c r="L77" s="51" t="str">
        <f>IF(_xlfn.ISFORMULA('Previsto x realizado'!BD231) = FALSE, "","Enviado")</f>
        <v/>
      </c>
      <c r="M77" s="51" t="str">
        <f>IF(_xlfn.ISFORMULA('Previsto x realizado'!BE231) = FALSE, "","Enviado")</f>
        <v/>
      </c>
      <c r="N77" s="51" t="str">
        <f>IF(_xlfn.ISFORMULA('Previsto x realizado'!BF231) = FALSE, "","Enviado")</f>
        <v/>
      </c>
      <c r="O77" s="51" t="str">
        <f>IF(_xlfn.ISFORMULA('Previsto x realizado'!BG231) = FALSE, "","Enviado")</f>
        <v/>
      </c>
      <c r="P77" s="51" t="str">
        <f>IF(_xlfn.ISFORMULA('Previsto x realizado'!BH231) = FALSE, "","Enviado")</f>
        <v/>
      </c>
    </row>
    <row r="78" spans="1:16" x14ac:dyDescent="0.3">
      <c r="A78" s="3" t="s">
        <v>33</v>
      </c>
      <c r="B78" s="4" t="s">
        <v>53</v>
      </c>
      <c r="C78" s="5" t="s">
        <v>95</v>
      </c>
      <c r="D78" s="4" t="s">
        <v>238</v>
      </c>
      <c r="E78" s="51" t="str">
        <f>IF(_xlfn.ISFORMULA('Previsto x realizado'!AW232) = FALSE, "","Enviado")</f>
        <v>Enviado</v>
      </c>
      <c r="F78" s="51" t="str">
        <f>IF(_xlfn.ISFORMULA('Previsto x realizado'!AX232) = FALSE, "","Enviado")</f>
        <v>Enviado</v>
      </c>
      <c r="G78" s="51" t="str">
        <f>IF(_xlfn.ISFORMULA('Previsto x realizado'!AY232) = FALSE, "","Enviado")</f>
        <v>Enviado</v>
      </c>
      <c r="H78" s="51" t="str">
        <f>IF(_xlfn.ISFORMULA('Previsto x realizado'!AZ232) = FALSE, "","Enviado")</f>
        <v>Enviado</v>
      </c>
      <c r="I78" s="51" t="str">
        <f>IF(_xlfn.ISFORMULA('Previsto x realizado'!BA232) = FALSE, "","Enviado")</f>
        <v/>
      </c>
      <c r="J78" s="51" t="str">
        <f>IF(_xlfn.ISFORMULA('Previsto x realizado'!BB232) = FALSE, "","Enviado")</f>
        <v/>
      </c>
      <c r="K78" s="51" t="str">
        <f>IF(_xlfn.ISFORMULA('Previsto x realizado'!BC232) = FALSE, "","Enviado")</f>
        <v/>
      </c>
      <c r="L78" s="51" t="str">
        <f>IF(_xlfn.ISFORMULA('Previsto x realizado'!BD232) = FALSE, "","Enviado")</f>
        <v/>
      </c>
      <c r="M78" s="51" t="str">
        <f>IF(_xlfn.ISFORMULA('Previsto x realizado'!BE232) = FALSE, "","Enviado")</f>
        <v/>
      </c>
      <c r="N78" s="51" t="str">
        <f>IF(_xlfn.ISFORMULA('Previsto x realizado'!BF232) = FALSE, "","Enviado")</f>
        <v/>
      </c>
      <c r="O78" s="51" t="str">
        <f>IF(_xlfn.ISFORMULA('Previsto x realizado'!BG232) = FALSE, "","Enviado")</f>
        <v/>
      </c>
      <c r="P78" s="51" t="str">
        <f>IF(_xlfn.ISFORMULA('Previsto x realizado'!BH232) = FALSE, "","Enviado")</f>
        <v/>
      </c>
    </row>
    <row r="79" spans="1:16" x14ac:dyDescent="0.3">
      <c r="A79" s="39" t="s">
        <v>33</v>
      </c>
      <c r="B79" s="4" t="s">
        <v>53</v>
      </c>
      <c r="C79" s="5" t="s">
        <v>95</v>
      </c>
      <c r="D79" s="4" t="s">
        <v>238</v>
      </c>
      <c r="E79" s="51" t="str">
        <f>IF(_xlfn.ISFORMULA('Previsto x realizado'!AW233) = FALSE, "","Enviado")</f>
        <v>Enviado</v>
      </c>
      <c r="F79" s="51" t="str">
        <f>IF(_xlfn.ISFORMULA('Previsto x realizado'!AX233) = FALSE, "","Enviado")</f>
        <v>Enviado</v>
      </c>
      <c r="G79" s="51" t="str">
        <f>IF(_xlfn.ISFORMULA('Previsto x realizado'!AY233) = FALSE, "","Enviado")</f>
        <v>Enviado</v>
      </c>
      <c r="H79" s="51" t="str">
        <f>IF(_xlfn.ISFORMULA('Previsto x realizado'!AZ233) = FALSE, "","Enviado")</f>
        <v>Enviado</v>
      </c>
      <c r="I79" s="51" t="str">
        <f>IF(_xlfn.ISFORMULA('Previsto x realizado'!BA233) = FALSE, "","Enviado")</f>
        <v/>
      </c>
      <c r="J79" s="51" t="str">
        <f>IF(_xlfn.ISFORMULA('Previsto x realizado'!BB233) = FALSE, "","Enviado")</f>
        <v/>
      </c>
      <c r="K79" s="51" t="str">
        <f>IF(_xlfn.ISFORMULA('Previsto x realizado'!BC233) = FALSE, "","Enviado")</f>
        <v/>
      </c>
      <c r="L79" s="51" t="str">
        <f>IF(_xlfn.ISFORMULA('Previsto x realizado'!BD233) = FALSE, "","Enviado")</f>
        <v/>
      </c>
      <c r="M79" s="51" t="str">
        <f>IF(_xlfn.ISFORMULA('Previsto x realizado'!BE233) = FALSE, "","Enviado")</f>
        <v/>
      </c>
      <c r="N79" s="51" t="str">
        <f>IF(_xlfn.ISFORMULA('Previsto x realizado'!BF233) = FALSE, "","Enviado")</f>
        <v/>
      </c>
      <c r="O79" s="51" t="str">
        <f>IF(_xlfn.ISFORMULA('Previsto x realizado'!BG233) = FALSE, "","Enviado")</f>
        <v/>
      </c>
      <c r="P79" s="51" t="str">
        <f>IF(_xlfn.ISFORMULA('Previsto x realizado'!BH233) = FALSE, "","Enviado")</f>
        <v/>
      </c>
    </row>
    <row r="80" spans="1:16" ht="27.6" x14ac:dyDescent="0.3">
      <c r="A80" s="3" t="s">
        <v>33</v>
      </c>
      <c r="B80" s="4" t="s">
        <v>310</v>
      </c>
      <c r="C80" s="5" t="s">
        <v>95</v>
      </c>
      <c r="D80" s="56" t="s">
        <v>267</v>
      </c>
      <c r="E80" s="51" t="str">
        <f>IF(_xlfn.ISFORMULA('Previsto x realizado'!AW234) = FALSE, "","Enviado")</f>
        <v>Enviado</v>
      </c>
      <c r="F80" s="51" t="str">
        <f>IF(_xlfn.ISFORMULA('Previsto x realizado'!AX234) = FALSE, "","Enviado")</f>
        <v>Enviado</v>
      </c>
      <c r="G80" s="51" t="str">
        <f>IF(_xlfn.ISFORMULA('Previsto x realizado'!AY234) = FALSE, "","Enviado")</f>
        <v>Enviado</v>
      </c>
      <c r="H80" s="51" t="str">
        <f>IF(_xlfn.ISFORMULA('Previsto x realizado'!AZ234) = FALSE, "","Enviado")</f>
        <v>Enviado</v>
      </c>
      <c r="I80" s="51" t="str">
        <f>IF(_xlfn.ISFORMULA('Previsto x realizado'!BA234) = FALSE, "","Enviado")</f>
        <v/>
      </c>
      <c r="J80" s="51" t="str">
        <f>IF(_xlfn.ISFORMULA('Previsto x realizado'!BB234) = FALSE, "","Enviado")</f>
        <v/>
      </c>
      <c r="K80" s="51" t="str">
        <f>IF(_xlfn.ISFORMULA('Previsto x realizado'!BC234) = FALSE, "","Enviado")</f>
        <v/>
      </c>
      <c r="L80" s="51" t="str">
        <f>IF(_xlfn.ISFORMULA('Previsto x realizado'!BD234) = FALSE, "","Enviado")</f>
        <v/>
      </c>
      <c r="M80" s="51" t="str">
        <f>IF(_xlfn.ISFORMULA('Previsto x realizado'!BE234) = FALSE, "","Enviado")</f>
        <v/>
      </c>
      <c r="N80" s="51" t="str">
        <f>IF(_xlfn.ISFORMULA('Previsto x realizado'!BF234) = FALSE, "","Enviado")</f>
        <v/>
      </c>
      <c r="O80" s="51" t="str">
        <f>IF(_xlfn.ISFORMULA('Previsto x realizado'!BG234) = FALSE, "","Enviado")</f>
        <v/>
      </c>
      <c r="P80" s="51" t="str">
        <f>IF(_xlfn.ISFORMULA('Previsto x realizado'!BH234) = FALSE, "","Enviado")</f>
        <v/>
      </c>
    </row>
    <row r="81" spans="1:16" ht="27.6" hidden="1" x14ac:dyDescent="0.3">
      <c r="A81" s="39" t="s">
        <v>33</v>
      </c>
      <c r="B81" s="4" t="s">
        <v>310</v>
      </c>
      <c r="C81" s="5" t="s">
        <v>95</v>
      </c>
      <c r="D81" s="56" t="s">
        <v>267</v>
      </c>
      <c r="E81" s="51" t="e">
        <f>IF(_xlfn.ISFORMULA('Previsto x realizado'!#REF!) = FALSE, "","Enviado")</f>
        <v>#REF!</v>
      </c>
      <c r="F81" s="51" t="e">
        <f>IF(_xlfn.ISFORMULA('Previsto x realizado'!#REF!) = FALSE, "","Enviado")</f>
        <v>#REF!</v>
      </c>
      <c r="G81" s="51" t="e">
        <f>IF(_xlfn.ISFORMULA('Previsto x realizado'!#REF!) = FALSE, "","Enviado")</f>
        <v>#REF!</v>
      </c>
      <c r="H81" s="51" t="e">
        <f>IF(_xlfn.ISFORMULA('Previsto x realizado'!#REF!) = FALSE, "","Enviado")</f>
        <v>#REF!</v>
      </c>
      <c r="I81" s="51" t="e">
        <f>IF(_xlfn.ISFORMULA('Previsto x realizado'!#REF!) = FALSE, "","Enviado")</f>
        <v>#REF!</v>
      </c>
      <c r="J81" s="51" t="e">
        <f>IF(_xlfn.ISFORMULA('Previsto x realizado'!#REF!) = FALSE, "","Enviado")</f>
        <v>#REF!</v>
      </c>
      <c r="K81" s="51" t="e">
        <f>IF(_xlfn.ISFORMULA('Previsto x realizado'!#REF!) = FALSE, "","Enviado")</f>
        <v>#REF!</v>
      </c>
      <c r="L81" s="51" t="e">
        <f>IF(_xlfn.ISFORMULA('Previsto x realizado'!#REF!) = FALSE, "","Enviado")</f>
        <v>#REF!</v>
      </c>
      <c r="M81" s="51" t="e">
        <f>IF(_xlfn.ISFORMULA('Previsto x realizado'!#REF!) = FALSE, "","Enviado")</f>
        <v>#REF!</v>
      </c>
      <c r="N81" s="51" t="e">
        <f>IF(_xlfn.ISFORMULA('Previsto x realizado'!#REF!) = FALSE, "","Enviado")</f>
        <v>#REF!</v>
      </c>
      <c r="O81" s="51" t="e">
        <f>IF(_xlfn.ISFORMULA('Previsto x realizado'!#REF!) = FALSE, "","Enviado")</f>
        <v>#REF!</v>
      </c>
      <c r="P81" s="51" t="e">
        <f>IF(_xlfn.ISFORMULA('Previsto x realizado'!#REF!) = FALSE, "","Enviado")</f>
        <v>#REF!</v>
      </c>
    </row>
    <row r="82" spans="1:16" ht="27.6" x14ac:dyDescent="0.3">
      <c r="A82" s="39" t="s">
        <v>33</v>
      </c>
      <c r="B82" s="4" t="s">
        <v>310</v>
      </c>
      <c r="C82" s="5" t="s">
        <v>95</v>
      </c>
      <c r="D82" s="56" t="s">
        <v>267</v>
      </c>
      <c r="E82" s="51" t="str">
        <f>IF(_xlfn.ISFORMULA('Previsto x realizado'!AW235) = FALSE, "","Enviado")</f>
        <v>Enviado</v>
      </c>
      <c r="F82" s="51" t="str">
        <f>IF(_xlfn.ISFORMULA('Previsto x realizado'!AX235) = FALSE, "","Enviado")</f>
        <v>Enviado</v>
      </c>
      <c r="G82" s="51" t="str">
        <f>IF(_xlfn.ISFORMULA('Previsto x realizado'!AY235) = FALSE, "","Enviado")</f>
        <v>Enviado</v>
      </c>
      <c r="H82" s="51" t="str">
        <f>IF(_xlfn.ISFORMULA('Previsto x realizado'!AZ235) = FALSE, "","Enviado")</f>
        <v>Enviado</v>
      </c>
      <c r="I82" s="51" t="str">
        <f>IF(_xlfn.ISFORMULA('Previsto x realizado'!BA235) = FALSE, "","Enviado")</f>
        <v/>
      </c>
      <c r="J82" s="51" t="str">
        <f>IF(_xlfn.ISFORMULA('Previsto x realizado'!BB235) = FALSE, "","Enviado")</f>
        <v/>
      </c>
      <c r="K82" s="51" t="str">
        <f>IF(_xlfn.ISFORMULA('Previsto x realizado'!BC235) = FALSE, "","Enviado")</f>
        <v/>
      </c>
      <c r="L82" s="51" t="str">
        <f>IF(_xlfn.ISFORMULA('Previsto x realizado'!BD235) = FALSE, "","Enviado")</f>
        <v/>
      </c>
      <c r="M82" s="51" t="str">
        <f>IF(_xlfn.ISFORMULA('Previsto x realizado'!BE235) = FALSE, "","Enviado")</f>
        <v/>
      </c>
      <c r="N82" s="51" t="str">
        <f>IF(_xlfn.ISFORMULA('Previsto x realizado'!BF235) = FALSE, "","Enviado")</f>
        <v/>
      </c>
      <c r="O82" s="51" t="str">
        <f>IF(_xlfn.ISFORMULA('Previsto x realizado'!BG235) = FALSE, "","Enviado")</f>
        <v/>
      </c>
      <c r="P82" s="51" t="str">
        <f>IF(_xlfn.ISFORMULA('Previsto x realizado'!BH235) = FALSE, "","Enviado")</f>
        <v/>
      </c>
    </row>
    <row r="83" spans="1:16" x14ac:dyDescent="0.3">
      <c r="A83" s="3" t="s">
        <v>33</v>
      </c>
      <c r="B83" s="4" t="s">
        <v>70</v>
      </c>
      <c r="C83" s="5" t="s">
        <v>95</v>
      </c>
      <c r="D83" s="4" t="s">
        <v>238</v>
      </c>
      <c r="E83" s="51" t="str">
        <f>IF(_xlfn.ISFORMULA('Previsto x realizado'!AW236) = FALSE, "","Enviado")</f>
        <v>Enviado</v>
      </c>
      <c r="F83" s="51" t="str">
        <f>IF(_xlfn.ISFORMULA('Previsto x realizado'!AX236) = FALSE, "","Enviado")</f>
        <v>Enviado</v>
      </c>
      <c r="G83" s="51" t="str">
        <f>IF(_xlfn.ISFORMULA('Previsto x realizado'!AY236) = FALSE, "","Enviado")</f>
        <v>Enviado</v>
      </c>
      <c r="H83" s="51" t="str">
        <f>IF(_xlfn.ISFORMULA('Previsto x realizado'!AZ236) = FALSE, "","Enviado")</f>
        <v>Enviado</v>
      </c>
      <c r="I83" s="51" t="str">
        <f>IF(_xlfn.ISFORMULA('Previsto x realizado'!BA236) = FALSE, "","Enviado")</f>
        <v/>
      </c>
      <c r="J83" s="51" t="str">
        <f>IF(_xlfn.ISFORMULA('Previsto x realizado'!BB236) = FALSE, "","Enviado")</f>
        <v/>
      </c>
      <c r="K83" s="51" t="str">
        <f>IF(_xlfn.ISFORMULA('Previsto x realizado'!BC236) = FALSE, "","Enviado")</f>
        <v/>
      </c>
      <c r="L83" s="51" t="str">
        <f>IF(_xlfn.ISFORMULA('Previsto x realizado'!BD236) = FALSE, "","Enviado")</f>
        <v/>
      </c>
      <c r="M83" s="51" t="str">
        <f>IF(_xlfn.ISFORMULA('Previsto x realizado'!BE236) = FALSE, "","Enviado")</f>
        <v/>
      </c>
      <c r="N83" s="51" t="str">
        <f>IF(_xlfn.ISFORMULA('Previsto x realizado'!BF236) = FALSE, "","Enviado")</f>
        <v/>
      </c>
      <c r="O83" s="51" t="str">
        <f>IF(_xlfn.ISFORMULA('Previsto x realizado'!BG236) = FALSE, "","Enviado")</f>
        <v/>
      </c>
      <c r="P83" s="51" t="str">
        <f>IF(_xlfn.ISFORMULA('Previsto x realizado'!BH236) = FALSE, "","Enviado")</f>
        <v/>
      </c>
    </row>
    <row r="84" spans="1:16" x14ac:dyDescent="0.3">
      <c r="A84" s="39" t="s">
        <v>33</v>
      </c>
      <c r="B84" s="4" t="s">
        <v>70</v>
      </c>
      <c r="C84" s="5" t="s">
        <v>95</v>
      </c>
      <c r="D84" s="4" t="s">
        <v>238</v>
      </c>
      <c r="E84" s="51" t="str">
        <f>IF(_xlfn.ISFORMULA('Previsto x realizado'!AW237) = FALSE, "","Enviado")</f>
        <v>Enviado</v>
      </c>
      <c r="F84" s="51" t="str">
        <f>IF(_xlfn.ISFORMULA('Previsto x realizado'!AX237) = FALSE, "","Enviado")</f>
        <v>Enviado</v>
      </c>
      <c r="G84" s="51" t="str">
        <f>IF(_xlfn.ISFORMULA('Previsto x realizado'!AY237) = FALSE, "","Enviado")</f>
        <v>Enviado</v>
      </c>
      <c r="H84" s="51" t="str">
        <f>IF(_xlfn.ISFORMULA('Previsto x realizado'!AZ237) = FALSE, "","Enviado")</f>
        <v>Enviado</v>
      </c>
      <c r="I84" s="51" t="str">
        <f>IF(_xlfn.ISFORMULA('Previsto x realizado'!BA237) = FALSE, "","Enviado")</f>
        <v/>
      </c>
      <c r="J84" s="51" t="str">
        <f>IF(_xlfn.ISFORMULA('Previsto x realizado'!BB237) = FALSE, "","Enviado")</f>
        <v/>
      </c>
      <c r="K84" s="51" t="str">
        <f>IF(_xlfn.ISFORMULA('Previsto x realizado'!BC237) = FALSE, "","Enviado")</f>
        <v/>
      </c>
      <c r="L84" s="51" t="str">
        <f>IF(_xlfn.ISFORMULA('Previsto x realizado'!BD237) = FALSE, "","Enviado")</f>
        <v/>
      </c>
      <c r="M84" s="51" t="str">
        <f>IF(_xlfn.ISFORMULA('Previsto x realizado'!BE237) = FALSE, "","Enviado")</f>
        <v/>
      </c>
      <c r="N84" s="51" t="str">
        <f>IF(_xlfn.ISFORMULA('Previsto x realizado'!BF237) = FALSE, "","Enviado")</f>
        <v/>
      </c>
      <c r="O84" s="51" t="str">
        <f>IF(_xlfn.ISFORMULA('Previsto x realizado'!BG237) = FALSE, "","Enviado")</f>
        <v/>
      </c>
      <c r="P84" s="51" t="str">
        <f>IF(_xlfn.ISFORMULA('Previsto x realizado'!BH237) = FALSE, "","Enviado")</f>
        <v/>
      </c>
    </row>
    <row r="85" spans="1:16" x14ac:dyDescent="0.3">
      <c r="A85" s="3" t="s">
        <v>33</v>
      </c>
      <c r="B85" s="4" t="s">
        <v>73</v>
      </c>
      <c r="C85" s="5" t="s">
        <v>95</v>
      </c>
      <c r="D85" s="4" t="s">
        <v>238</v>
      </c>
      <c r="E85" s="51" t="str">
        <f>IF(_xlfn.ISFORMULA('Previsto x realizado'!AW238) = FALSE, "","Enviado")</f>
        <v>Enviado</v>
      </c>
      <c r="F85" s="51" t="str">
        <f>IF(_xlfn.ISFORMULA('Previsto x realizado'!AX238) = FALSE, "","Enviado")</f>
        <v>Enviado</v>
      </c>
      <c r="G85" s="51" t="str">
        <f>IF(_xlfn.ISFORMULA('Previsto x realizado'!AY238) = FALSE, "","Enviado")</f>
        <v>Enviado</v>
      </c>
      <c r="H85" s="51" t="str">
        <f>IF(_xlfn.ISFORMULA('Previsto x realizado'!AZ238) = FALSE, "","Enviado")</f>
        <v>Enviado</v>
      </c>
      <c r="I85" s="51" t="str">
        <f>IF(_xlfn.ISFORMULA('Previsto x realizado'!BA238) = FALSE, "","Enviado")</f>
        <v/>
      </c>
      <c r="J85" s="51" t="str">
        <f>IF(_xlfn.ISFORMULA('Previsto x realizado'!BB238) = FALSE, "","Enviado")</f>
        <v/>
      </c>
      <c r="K85" s="51" t="str">
        <f>IF(_xlfn.ISFORMULA('Previsto x realizado'!BC238) = FALSE, "","Enviado")</f>
        <v/>
      </c>
      <c r="L85" s="51" t="str">
        <f>IF(_xlfn.ISFORMULA('Previsto x realizado'!BD238) = FALSE, "","Enviado")</f>
        <v/>
      </c>
      <c r="M85" s="51" t="str">
        <f>IF(_xlfn.ISFORMULA('Previsto x realizado'!BE238) = FALSE, "","Enviado")</f>
        <v/>
      </c>
      <c r="N85" s="51" t="str">
        <f>IF(_xlfn.ISFORMULA('Previsto x realizado'!BF238) = FALSE, "","Enviado")</f>
        <v/>
      </c>
      <c r="O85" s="51" t="str">
        <f>IF(_xlfn.ISFORMULA('Previsto x realizado'!BG238) = FALSE, "","Enviado")</f>
        <v/>
      </c>
      <c r="P85" s="51" t="str">
        <f>IF(_xlfn.ISFORMULA('Previsto x realizado'!BH238) = FALSE, "","Enviado")</f>
        <v/>
      </c>
    </row>
    <row r="86" spans="1:16" x14ac:dyDescent="0.3">
      <c r="A86" s="39" t="s">
        <v>33</v>
      </c>
      <c r="B86" s="4" t="s">
        <v>73</v>
      </c>
      <c r="C86" s="5" t="s">
        <v>95</v>
      </c>
      <c r="D86" s="4" t="s">
        <v>238</v>
      </c>
      <c r="E86" s="51" t="str">
        <f>IF(_xlfn.ISFORMULA('Previsto x realizado'!AW239) = FALSE, "","Enviado")</f>
        <v>Enviado</v>
      </c>
      <c r="F86" s="51" t="str">
        <f>IF(_xlfn.ISFORMULA('Previsto x realizado'!AX239) = FALSE, "","Enviado")</f>
        <v>Enviado</v>
      </c>
      <c r="G86" s="51" t="str">
        <f>IF(_xlfn.ISFORMULA('Previsto x realizado'!AY239) = FALSE, "","Enviado")</f>
        <v>Enviado</v>
      </c>
      <c r="H86" s="51" t="str">
        <f>IF(_xlfn.ISFORMULA('Previsto x realizado'!AZ239) = FALSE, "","Enviado")</f>
        <v>Enviado</v>
      </c>
      <c r="I86" s="51" t="str">
        <f>IF(_xlfn.ISFORMULA('Previsto x realizado'!BA239) = FALSE, "","Enviado")</f>
        <v/>
      </c>
      <c r="J86" s="51" t="str">
        <f>IF(_xlfn.ISFORMULA('Previsto x realizado'!BB239) = FALSE, "","Enviado")</f>
        <v/>
      </c>
      <c r="K86" s="51" t="str">
        <f>IF(_xlfn.ISFORMULA('Previsto x realizado'!BC239) = FALSE, "","Enviado")</f>
        <v/>
      </c>
      <c r="L86" s="51" t="str">
        <f>IF(_xlfn.ISFORMULA('Previsto x realizado'!BD239) = FALSE, "","Enviado")</f>
        <v/>
      </c>
      <c r="M86" s="51" t="str">
        <f>IF(_xlfn.ISFORMULA('Previsto x realizado'!BE239) = FALSE, "","Enviado")</f>
        <v/>
      </c>
      <c r="N86" s="51" t="str">
        <f>IF(_xlfn.ISFORMULA('Previsto x realizado'!BF239) = FALSE, "","Enviado")</f>
        <v/>
      </c>
      <c r="O86" s="51" t="str">
        <f>IF(_xlfn.ISFORMULA('Previsto x realizado'!BG239) = FALSE, "","Enviado")</f>
        <v/>
      </c>
      <c r="P86" s="51" t="str">
        <f>IF(_xlfn.ISFORMULA('Previsto x realizado'!BH239) = FALSE, "","Enviado")</f>
        <v/>
      </c>
    </row>
    <row r="87" spans="1:16" x14ac:dyDescent="0.3">
      <c r="A87" s="3" t="s">
        <v>33</v>
      </c>
      <c r="B87" s="4" t="s">
        <v>77</v>
      </c>
      <c r="C87" s="5" t="s">
        <v>95</v>
      </c>
      <c r="D87" s="4" t="s">
        <v>238</v>
      </c>
      <c r="E87" s="51" t="str">
        <f>IF(_xlfn.ISFORMULA('Previsto x realizado'!AW240) = FALSE, "","Enviado")</f>
        <v>Enviado</v>
      </c>
      <c r="F87" s="51" t="str">
        <f>IF(_xlfn.ISFORMULA('Previsto x realizado'!AX240) = FALSE, "","Enviado")</f>
        <v>Enviado</v>
      </c>
      <c r="G87" s="51" t="str">
        <f>IF(_xlfn.ISFORMULA('Previsto x realizado'!AY240) = FALSE, "","Enviado")</f>
        <v>Enviado</v>
      </c>
      <c r="H87" s="51" t="str">
        <f>IF(_xlfn.ISFORMULA('Previsto x realizado'!AZ240) = FALSE, "","Enviado")</f>
        <v>Enviado</v>
      </c>
      <c r="I87" s="51" t="str">
        <f>IF(_xlfn.ISFORMULA('Previsto x realizado'!BA240) = FALSE, "","Enviado")</f>
        <v/>
      </c>
      <c r="J87" s="51" t="str">
        <f>IF(_xlfn.ISFORMULA('Previsto x realizado'!BB240) = FALSE, "","Enviado")</f>
        <v/>
      </c>
      <c r="K87" s="51" t="str">
        <f>IF(_xlfn.ISFORMULA('Previsto x realizado'!BC240) = FALSE, "","Enviado")</f>
        <v/>
      </c>
      <c r="L87" s="51" t="str">
        <f>IF(_xlfn.ISFORMULA('Previsto x realizado'!BD240) = FALSE, "","Enviado")</f>
        <v/>
      </c>
      <c r="M87" s="51" t="str">
        <f>IF(_xlfn.ISFORMULA('Previsto x realizado'!BE240) = FALSE, "","Enviado")</f>
        <v/>
      </c>
      <c r="N87" s="51" t="str">
        <f>IF(_xlfn.ISFORMULA('Previsto x realizado'!BF240) = FALSE, "","Enviado")</f>
        <v/>
      </c>
      <c r="O87" s="51" t="str">
        <f>IF(_xlfn.ISFORMULA('Previsto x realizado'!BG240) = FALSE, "","Enviado")</f>
        <v/>
      </c>
      <c r="P87" s="51" t="str">
        <f>IF(_xlfn.ISFORMULA('Previsto x realizado'!BH240) = FALSE, "","Enviado")</f>
        <v/>
      </c>
    </row>
    <row r="88" spans="1:16" x14ac:dyDescent="0.3">
      <c r="A88" s="39" t="s">
        <v>33</v>
      </c>
      <c r="B88" s="4" t="s">
        <v>77</v>
      </c>
      <c r="C88" s="5" t="s">
        <v>95</v>
      </c>
      <c r="D88" s="4" t="s">
        <v>238</v>
      </c>
      <c r="E88" s="51" t="str">
        <f>IF(_xlfn.ISFORMULA('Previsto x realizado'!AW241) = FALSE, "","Enviado")</f>
        <v>Enviado</v>
      </c>
      <c r="F88" s="51" t="str">
        <f>IF(_xlfn.ISFORMULA('Previsto x realizado'!AX241) = FALSE, "","Enviado")</f>
        <v>Enviado</v>
      </c>
      <c r="G88" s="51" t="str">
        <f>IF(_xlfn.ISFORMULA('Previsto x realizado'!AY241) = FALSE, "","Enviado")</f>
        <v>Enviado</v>
      </c>
      <c r="H88" s="51" t="str">
        <f>IF(_xlfn.ISFORMULA('Previsto x realizado'!AZ241) = FALSE, "","Enviado")</f>
        <v>Enviado</v>
      </c>
      <c r="I88" s="51" t="str">
        <f>IF(_xlfn.ISFORMULA('Previsto x realizado'!BA241) = FALSE, "","Enviado")</f>
        <v/>
      </c>
      <c r="J88" s="51" t="str">
        <f>IF(_xlfn.ISFORMULA('Previsto x realizado'!BB241) = FALSE, "","Enviado")</f>
        <v/>
      </c>
      <c r="K88" s="51" t="str">
        <f>IF(_xlfn.ISFORMULA('Previsto x realizado'!BC241) = FALSE, "","Enviado")</f>
        <v/>
      </c>
      <c r="L88" s="51" t="str">
        <f>IF(_xlfn.ISFORMULA('Previsto x realizado'!BD241) = FALSE, "","Enviado")</f>
        <v/>
      </c>
      <c r="M88" s="51" t="str">
        <f>IF(_xlfn.ISFORMULA('Previsto x realizado'!BE241) = FALSE, "","Enviado")</f>
        <v/>
      </c>
      <c r="N88" s="51" t="str">
        <f>IF(_xlfn.ISFORMULA('Previsto x realizado'!BF241) = FALSE, "","Enviado")</f>
        <v/>
      </c>
      <c r="O88" s="51" t="str">
        <f>IF(_xlfn.ISFORMULA('Previsto x realizado'!BG241) = FALSE, "","Enviado")</f>
        <v/>
      </c>
      <c r="P88" s="51" t="str">
        <f>IF(_xlfn.ISFORMULA('Previsto x realizado'!BH241) = FALSE, "","Enviado")</f>
        <v/>
      </c>
    </row>
    <row r="89" spans="1:16" x14ac:dyDescent="0.3">
      <c r="A89" s="3" t="s">
        <v>33</v>
      </c>
      <c r="B89" s="4" t="s">
        <v>81</v>
      </c>
      <c r="C89" s="5" t="s">
        <v>95</v>
      </c>
      <c r="D89" s="4" t="s">
        <v>238</v>
      </c>
      <c r="E89" s="51" t="str">
        <f>IF(_xlfn.ISFORMULA('Previsto x realizado'!AW242) = FALSE, "","Enviado")</f>
        <v>Enviado</v>
      </c>
      <c r="F89" s="51" t="str">
        <f>IF(_xlfn.ISFORMULA('Previsto x realizado'!AX242) = FALSE, "","Enviado")</f>
        <v>Enviado</v>
      </c>
      <c r="G89" s="51" t="str">
        <f>IF(_xlfn.ISFORMULA('Previsto x realizado'!AY242) = FALSE, "","Enviado")</f>
        <v>Enviado</v>
      </c>
      <c r="H89" s="51" t="str">
        <f>IF(_xlfn.ISFORMULA('Previsto x realizado'!AZ242) = FALSE, "","Enviado")</f>
        <v>Enviado</v>
      </c>
      <c r="I89" s="51" t="str">
        <f>IF(_xlfn.ISFORMULA('Previsto x realizado'!BA242) = FALSE, "","Enviado")</f>
        <v/>
      </c>
      <c r="J89" s="51" t="str">
        <f>IF(_xlfn.ISFORMULA('Previsto x realizado'!BB242) = FALSE, "","Enviado")</f>
        <v/>
      </c>
      <c r="K89" s="51" t="str">
        <f>IF(_xlfn.ISFORMULA('Previsto x realizado'!BC242) = FALSE, "","Enviado")</f>
        <v/>
      </c>
      <c r="L89" s="51" t="str">
        <f>IF(_xlfn.ISFORMULA('Previsto x realizado'!BD242) = FALSE, "","Enviado")</f>
        <v/>
      </c>
      <c r="M89" s="51" t="str">
        <f>IF(_xlfn.ISFORMULA('Previsto x realizado'!BE242) = FALSE, "","Enviado")</f>
        <v/>
      </c>
      <c r="N89" s="51" t="str">
        <f>IF(_xlfn.ISFORMULA('Previsto x realizado'!BF242) = FALSE, "","Enviado")</f>
        <v/>
      </c>
      <c r="O89" s="51" t="str">
        <f>IF(_xlfn.ISFORMULA('Previsto x realizado'!BG242) = FALSE, "","Enviado")</f>
        <v/>
      </c>
      <c r="P89" s="51" t="str">
        <f>IF(_xlfn.ISFORMULA('Previsto x realizado'!BH242) = FALSE, "","Enviado")</f>
        <v/>
      </c>
    </row>
    <row r="90" spans="1:16" x14ac:dyDescent="0.3">
      <c r="A90" s="39" t="s">
        <v>33</v>
      </c>
      <c r="B90" s="4" t="s">
        <v>81</v>
      </c>
      <c r="C90" s="5" t="s">
        <v>95</v>
      </c>
      <c r="D90" s="4" t="s">
        <v>238</v>
      </c>
      <c r="E90" s="51" t="str">
        <f>IF(_xlfn.ISFORMULA('Previsto x realizado'!AW243) = FALSE, "","Enviado")</f>
        <v>Enviado</v>
      </c>
      <c r="F90" s="51" t="str">
        <f>IF(_xlfn.ISFORMULA('Previsto x realizado'!AX243) = FALSE, "","Enviado")</f>
        <v>Enviado</v>
      </c>
      <c r="G90" s="51" t="str">
        <f>IF(_xlfn.ISFORMULA('Previsto x realizado'!AY243) = FALSE, "","Enviado")</f>
        <v>Enviado</v>
      </c>
      <c r="H90" s="51" t="str">
        <f>IF(_xlfn.ISFORMULA('Previsto x realizado'!AZ243) = FALSE, "","Enviado")</f>
        <v>Enviado</v>
      </c>
      <c r="I90" s="51" t="str">
        <f>IF(_xlfn.ISFORMULA('Previsto x realizado'!BA243) = FALSE, "","Enviado")</f>
        <v/>
      </c>
      <c r="J90" s="51" t="str">
        <f>IF(_xlfn.ISFORMULA('Previsto x realizado'!BB243) = FALSE, "","Enviado")</f>
        <v/>
      </c>
      <c r="K90" s="51" t="str">
        <f>IF(_xlfn.ISFORMULA('Previsto x realizado'!BC243) = FALSE, "","Enviado")</f>
        <v/>
      </c>
      <c r="L90" s="51" t="str">
        <f>IF(_xlfn.ISFORMULA('Previsto x realizado'!BD243) = FALSE, "","Enviado")</f>
        <v/>
      </c>
      <c r="M90" s="51" t="str">
        <f>IF(_xlfn.ISFORMULA('Previsto x realizado'!BE243) = FALSE, "","Enviado")</f>
        <v/>
      </c>
      <c r="N90" s="51" t="str">
        <f>IF(_xlfn.ISFORMULA('Previsto x realizado'!BF243) = FALSE, "","Enviado")</f>
        <v/>
      </c>
      <c r="O90" s="51" t="str">
        <f>IF(_xlfn.ISFORMULA('Previsto x realizado'!BG243) = FALSE, "","Enviado")</f>
        <v/>
      </c>
      <c r="P90" s="51" t="str">
        <f>IF(_xlfn.ISFORMULA('Previsto x realizado'!BH243) = FALSE, "","Enviado")</f>
        <v/>
      </c>
    </row>
    <row r="91" spans="1:16" ht="27.6" x14ac:dyDescent="0.3">
      <c r="A91" s="3" t="s">
        <v>33</v>
      </c>
      <c r="B91" s="4" t="s">
        <v>84</v>
      </c>
      <c r="C91" s="5" t="s">
        <v>95</v>
      </c>
      <c r="D91" s="4" t="s">
        <v>267</v>
      </c>
      <c r="E91" s="51" t="str">
        <f>IF(_xlfn.ISFORMULA('Previsto x realizado'!AW244) = FALSE, "","Enviado")</f>
        <v>Enviado</v>
      </c>
      <c r="F91" s="51" t="str">
        <f>IF(_xlfn.ISFORMULA('Previsto x realizado'!AX244) = FALSE, "","Enviado")</f>
        <v>Enviado</v>
      </c>
      <c r="G91" s="51" t="str">
        <f>IF(_xlfn.ISFORMULA('Previsto x realizado'!AY244) = FALSE, "","Enviado")</f>
        <v>Enviado</v>
      </c>
      <c r="H91" s="51" t="str">
        <f>IF(_xlfn.ISFORMULA('Previsto x realizado'!AZ244) = FALSE, "","Enviado")</f>
        <v>Enviado</v>
      </c>
      <c r="I91" s="51" t="str">
        <f>IF(_xlfn.ISFORMULA('Previsto x realizado'!BA244) = FALSE, "","Enviado")</f>
        <v/>
      </c>
      <c r="J91" s="51" t="str">
        <f>IF(_xlfn.ISFORMULA('Previsto x realizado'!BB244) = FALSE, "","Enviado")</f>
        <v/>
      </c>
      <c r="K91" s="51" t="str">
        <f>IF(_xlfn.ISFORMULA('Previsto x realizado'!BC244) = FALSE, "","Enviado")</f>
        <v/>
      </c>
      <c r="L91" s="51" t="str">
        <f>IF(_xlfn.ISFORMULA('Previsto x realizado'!BD244) = FALSE, "","Enviado")</f>
        <v/>
      </c>
      <c r="M91" s="51" t="str">
        <f>IF(_xlfn.ISFORMULA('Previsto x realizado'!BE244) = FALSE, "","Enviado")</f>
        <v/>
      </c>
      <c r="N91" s="51" t="str">
        <f>IF(_xlfn.ISFORMULA('Previsto x realizado'!BF244) = FALSE, "","Enviado")</f>
        <v/>
      </c>
      <c r="O91" s="51" t="str">
        <f>IF(_xlfn.ISFORMULA('Previsto x realizado'!BG244) = FALSE, "","Enviado")</f>
        <v/>
      </c>
      <c r="P91" s="51" t="str">
        <f>IF(_xlfn.ISFORMULA('Previsto x realizado'!BH244) = FALSE, "","Enviado")</f>
        <v/>
      </c>
    </row>
    <row r="92" spans="1:16" ht="27.6" hidden="1" x14ac:dyDescent="0.3">
      <c r="A92" s="39" t="s">
        <v>33</v>
      </c>
      <c r="B92" s="4" t="s">
        <v>84</v>
      </c>
      <c r="C92" s="5" t="s">
        <v>95</v>
      </c>
      <c r="D92" s="4" t="s">
        <v>267</v>
      </c>
      <c r="E92" s="51" t="str">
        <f>IF(_xlfn.ISFORMULA('Previsto x realizado'!AW245) = FALSE, "","Enviado")</f>
        <v>Enviado</v>
      </c>
      <c r="F92" s="51" t="str">
        <f>IF(_xlfn.ISFORMULA('Previsto x realizado'!AX245) = FALSE, "","Enviado")</f>
        <v>Enviado</v>
      </c>
      <c r="G92" s="51" t="str">
        <f>IF(_xlfn.ISFORMULA('Previsto x realizado'!AY245) = FALSE, "","Enviado")</f>
        <v>Enviado</v>
      </c>
      <c r="H92" s="51" t="str">
        <f>IF(_xlfn.ISFORMULA('Previsto x realizado'!AZ245) = FALSE, "","Enviado")</f>
        <v>Enviado</v>
      </c>
      <c r="I92" s="51" t="str">
        <f>IF(_xlfn.ISFORMULA('Previsto x realizado'!BA245) = FALSE, "","Enviado")</f>
        <v/>
      </c>
      <c r="J92" s="51" t="str">
        <f>IF(_xlfn.ISFORMULA('Previsto x realizado'!BB245) = FALSE, "","Enviado")</f>
        <v/>
      </c>
      <c r="K92" s="51" t="str">
        <f>IF(_xlfn.ISFORMULA('Previsto x realizado'!BC245) = FALSE, "","Enviado")</f>
        <v/>
      </c>
      <c r="L92" s="51" t="str">
        <f>IF(_xlfn.ISFORMULA('Previsto x realizado'!BD245) = FALSE, "","Enviado")</f>
        <v/>
      </c>
      <c r="M92" s="51" t="str">
        <f>IF(_xlfn.ISFORMULA('Previsto x realizado'!BE245) = FALSE, "","Enviado")</f>
        <v/>
      </c>
      <c r="N92" s="51" t="str">
        <f>IF(_xlfn.ISFORMULA('Previsto x realizado'!BF245) = FALSE, "","Enviado")</f>
        <v/>
      </c>
      <c r="O92" s="51" t="str">
        <f>IF(_xlfn.ISFORMULA('Previsto x realizado'!BG245) = FALSE, "","Enviado")</f>
        <v/>
      </c>
      <c r="P92" s="51" t="str">
        <f>IF(_xlfn.ISFORMULA('Previsto x realizado'!BH245) = FALSE, "","Enviado")</f>
        <v/>
      </c>
    </row>
    <row r="93" spans="1:16" x14ac:dyDescent="0.3">
      <c r="A93" s="20" t="s">
        <v>87</v>
      </c>
      <c r="B93" s="4" t="s">
        <v>222</v>
      </c>
      <c r="C93" s="5" t="s">
        <v>95</v>
      </c>
      <c r="D93" s="4" t="s">
        <v>238</v>
      </c>
      <c r="E93" s="51" t="str">
        <f>IF(_xlfn.ISFORMULA('Previsto x realizado'!AW246) = FALSE, "","Enviado")</f>
        <v>Enviado</v>
      </c>
      <c r="F93" s="51" t="str">
        <f>IF(_xlfn.ISFORMULA('Previsto x realizado'!AX246) = FALSE, "","Enviado")</f>
        <v>Enviado</v>
      </c>
      <c r="G93" s="51" t="str">
        <f>IF(_xlfn.ISFORMULA('Previsto x realizado'!AY246) = FALSE, "","Enviado")</f>
        <v>Enviado</v>
      </c>
      <c r="H93" s="51" t="str">
        <f>IF(_xlfn.ISFORMULA('Previsto x realizado'!AZ246) = FALSE, "","Enviado")</f>
        <v>Enviado</v>
      </c>
      <c r="I93" s="51" t="str">
        <f>IF(_xlfn.ISFORMULA('Previsto x realizado'!BA246) = FALSE, "","Enviado")</f>
        <v/>
      </c>
      <c r="J93" s="51" t="str">
        <f>IF(_xlfn.ISFORMULA('Previsto x realizado'!BB246) = FALSE, "","Enviado")</f>
        <v/>
      </c>
      <c r="K93" s="51" t="str">
        <f>IF(_xlfn.ISFORMULA('Previsto x realizado'!BC246) = FALSE, "","Enviado")</f>
        <v/>
      </c>
      <c r="L93" s="51" t="str">
        <f>IF(_xlfn.ISFORMULA('Previsto x realizado'!BD246) = FALSE, "","Enviado")</f>
        <v/>
      </c>
      <c r="M93" s="51" t="str">
        <f>IF(_xlfn.ISFORMULA('Previsto x realizado'!BE246) = FALSE, "","Enviado")</f>
        <v/>
      </c>
      <c r="N93" s="51" t="str">
        <f>IF(_xlfn.ISFORMULA('Previsto x realizado'!BF246) = FALSE, "","Enviado")</f>
        <v/>
      </c>
      <c r="O93" s="51" t="str">
        <f>IF(_xlfn.ISFORMULA('Previsto x realizado'!BG246) = FALSE, "","Enviado")</f>
        <v/>
      </c>
      <c r="P93" s="51" t="str">
        <f>IF(_xlfn.ISFORMULA('Previsto x realizado'!BH246) = FALSE, "","Enviado")</f>
        <v/>
      </c>
    </row>
    <row r="94" spans="1:16" hidden="1" x14ac:dyDescent="0.3">
      <c r="A94" s="40" t="s">
        <v>87</v>
      </c>
      <c r="B94" s="4" t="s">
        <v>222</v>
      </c>
      <c r="C94" s="5" t="s">
        <v>95</v>
      </c>
      <c r="D94" s="4" t="s">
        <v>238</v>
      </c>
      <c r="E94" s="51" t="str">
        <f>IF(_xlfn.ISFORMULA('Previsto x realizado'!AW252) = FALSE, "","Enviado")</f>
        <v>Enviado</v>
      </c>
      <c r="F94" s="51" t="str">
        <f>IF(_xlfn.ISFORMULA('Previsto x realizado'!AX252) = FALSE, "","Enviado")</f>
        <v>Enviado</v>
      </c>
      <c r="G94" s="51" t="str">
        <f>IF(_xlfn.ISFORMULA('Previsto x realizado'!AY252) = FALSE, "","Enviado")</f>
        <v>Enviado</v>
      </c>
      <c r="H94" s="51" t="str">
        <f>IF(_xlfn.ISFORMULA('Previsto x realizado'!AZ252) = FALSE, "","Enviado")</f>
        <v>Enviado</v>
      </c>
      <c r="I94" s="51" t="str">
        <f>IF(_xlfn.ISFORMULA('Previsto x realizado'!BA252) = FALSE, "","Enviado")</f>
        <v/>
      </c>
      <c r="J94" s="51" t="str">
        <f>IF(_xlfn.ISFORMULA('Previsto x realizado'!BB252) = FALSE, "","Enviado")</f>
        <v/>
      </c>
      <c r="K94" s="51" t="str">
        <f>IF(_xlfn.ISFORMULA('Previsto x realizado'!BC252) = FALSE, "","Enviado")</f>
        <v/>
      </c>
      <c r="L94" s="51" t="str">
        <f>IF(_xlfn.ISFORMULA('Previsto x realizado'!BD252) = FALSE, "","Enviado")</f>
        <v/>
      </c>
      <c r="M94" s="51" t="str">
        <f>IF(_xlfn.ISFORMULA('Previsto x realizado'!BE252) = FALSE, "","Enviado")</f>
        <v/>
      </c>
      <c r="N94" s="51" t="str">
        <f>IF(_xlfn.ISFORMULA('Previsto x realizado'!BF252) = FALSE, "","Enviado")</f>
        <v/>
      </c>
      <c r="O94" s="51" t="str">
        <f>IF(_xlfn.ISFORMULA('Previsto x realizado'!BG252) = FALSE, "","Enviado")</f>
        <v/>
      </c>
      <c r="P94" s="51" t="str">
        <f>IF(_xlfn.ISFORMULA('Previsto x realizado'!BH252) = FALSE, "","Enviado")</f>
        <v/>
      </c>
    </row>
    <row r="95" spans="1:16" hidden="1" x14ac:dyDescent="0.3">
      <c r="A95" s="20" t="s">
        <v>87</v>
      </c>
      <c r="B95" s="4" t="s">
        <v>229</v>
      </c>
      <c r="C95" s="5" t="s">
        <v>95</v>
      </c>
      <c r="D95" s="4" t="s">
        <v>238</v>
      </c>
      <c r="E95" s="51" t="str">
        <f>IF(_xlfn.ISFORMULA('Previsto x realizado'!AW258) = FALSE, "","Enviado")</f>
        <v>Enviado</v>
      </c>
      <c r="F95" s="51" t="str">
        <f>IF(_xlfn.ISFORMULA('Previsto x realizado'!AX258) = FALSE, "","Enviado")</f>
        <v>Enviado</v>
      </c>
      <c r="G95" s="51" t="str">
        <f>IF(_xlfn.ISFORMULA('Previsto x realizado'!AY258) = FALSE, "","Enviado")</f>
        <v>Enviado</v>
      </c>
      <c r="H95" s="51" t="str">
        <f>IF(_xlfn.ISFORMULA('Previsto x realizado'!AZ258) = FALSE, "","Enviado")</f>
        <v>Enviado</v>
      </c>
      <c r="I95" s="51" t="str">
        <f>IF(_xlfn.ISFORMULA('Previsto x realizado'!BA258) = FALSE, "","Enviado")</f>
        <v/>
      </c>
      <c r="J95" s="51" t="str">
        <f>IF(_xlfn.ISFORMULA('Previsto x realizado'!BB258) = FALSE, "","Enviado")</f>
        <v/>
      </c>
      <c r="K95" s="51" t="str">
        <f>IF(_xlfn.ISFORMULA('Previsto x realizado'!BC258) = FALSE, "","Enviado")</f>
        <v/>
      </c>
      <c r="L95" s="51" t="str">
        <f>IF(_xlfn.ISFORMULA('Previsto x realizado'!BD258) = FALSE, "","Enviado")</f>
        <v/>
      </c>
      <c r="M95" s="51" t="str">
        <f>IF(_xlfn.ISFORMULA('Previsto x realizado'!BE258) = FALSE, "","Enviado")</f>
        <v/>
      </c>
      <c r="N95" s="51" t="str">
        <f>IF(_xlfn.ISFORMULA('Previsto x realizado'!BF258) = FALSE, "","Enviado")</f>
        <v/>
      </c>
      <c r="O95" s="51" t="str">
        <f>IF(_xlfn.ISFORMULA('Previsto x realizado'!BG258) = FALSE, "","Enviado")</f>
        <v/>
      </c>
      <c r="P95" s="51" t="str">
        <f>IF(_xlfn.ISFORMULA('Previsto x realizado'!BH258) = FALSE, "","Enviado")</f>
        <v/>
      </c>
    </row>
    <row r="96" spans="1:16" x14ac:dyDescent="0.3">
      <c r="A96" s="40" t="s">
        <v>87</v>
      </c>
      <c r="B96" s="4" t="s">
        <v>229</v>
      </c>
      <c r="C96" s="5" t="s">
        <v>95</v>
      </c>
      <c r="D96" s="4" t="s">
        <v>238</v>
      </c>
      <c r="E96" s="51" t="str">
        <f>IF(_xlfn.ISFORMULA('Previsto x realizado'!AW259) = FALSE, "","Enviado")</f>
        <v>Enviado</v>
      </c>
      <c r="F96" s="51" t="str">
        <f>IF(_xlfn.ISFORMULA('Previsto x realizado'!AX259) = FALSE, "","Enviado")</f>
        <v>Enviado</v>
      </c>
      <c r="G96" s="51" t="str">
        <f>IF(_xlfn.ISFORMULA('Previsto x realizado'!AY259) = FALSE, "","Enviado")</f>
        <v>Enviado</v>
      </c>
      <c r="H96" s="51" t="str">
        <f>IF(_xlfn.ISFORMULA('Previsto x realizado'!AZ259) = FALSE, "","Enviado")</f>
        <v>Enviado</v>
      </c>
      <c r="I96" s="51" t="str">
        <f>IF(_xlfn.ISFORMULA('Previsto x realizado'!BA259) = FALSE, "","Enviado")</f>
        <v/>
      </c>
      <c r="J96" s="51" t="str">
        <f>IF(_xlfn.ISFORMULA('Previsto x realizado'!BB259) = FALSE, "","Enviado")</f>
        <v/>
      </c>
      <c r="K96" s="51" t="str">
        <f>IF(_xlfn.ISFORMULA('Previsto x realizado'!BC259) = FALSE, "","Enviado")</f>
        <v/>
      </c>
      <c r="L96" s="51" t="str">
        <f>IF(_xlfn.ISFORMULA('Previsto x realizado'!BD259) = FALSE, "","Enviado")</f>
        <v/>
      </c>
      <c r="M96" s="51" t="str">
        <f>IF(_xlfn.ISFORMULA('Previsto x realizado'!BE259) = FALSE, "","Enviado")</f>
        <v/>
      </c>
      <c r="N96" s="51" t="str">
        <f>IF(_xlfn.ISFORMULA('Previsto x realizado'!BF259) = FALSE, "","Enviado")</f>
        <v/>
      </c>
      <c r="O96" s="51" t="str">
        <f>IF(_xlfn.ISFORMULA('Previsto x realizado'!BG259) = FALSE, "","Enviado")</f>
        <v/>
      </c>
      <c r="P96" s="51" t="str">
        <f>IF(_xlfn.ISFORMULA('Previsto x realizado'!BH259) = FALSE, "","Enviado")</f>
        <v/>
      </c>
    </row>
    <row r="97" spans="1:16" hidden="1" x14ac:dyDescent="0.3">
      <c r="A97" s="20" t="s">
        <v>87</v>
      </c>
      <c r="B97" s="4" t="s">
        <v>232</v>
      </c>
      <c r="C97" s="5" t="s">
        <v>95</v>
      </c>
      <c r="D97" s="4" t="s">
        <v>238</v>
      </c>
      <c r="E97" s="51" t="str">
        <f>IF(_xlfn.ISFORMULA('Previsto x realizado'!AW265) = FALSE, "","Enviado")</f>
        <v>Enviado</v>
      </c>
      <c r="F97" s="51" t="str">
        <f>IF(_xlfn.ISFORMULA('Previsto x realizado'!AX265) = FALSE, "","Enviado")</f>
        <v>Enviado</v>
      </c>
      <c r="G97" s="51" t="str">
        <f>IF(_xlfn.ISFORMULA('Previsto x realizado'!AY265) = FALSE, "","Enviado")</f>
        <v>Enviado</v>
      </c>
      <c r="H97" s="51" t="str">
        <f>IF(_xlfn.ISFORMULA('Previsto x realizado'!AZ265) = FALSE, "","Enviado")</f>
        <v>Enviado</v>
      </c>
      <c r="I97" s="51" t="str">
        <f>IF(_xlfn.ISFORMULA('Previsto x realizado'!BA265) = FALSE, "","Enviado")</f>
        <v/>
      </c>
      <c r="J97" s="51" t="str">
        <f>IF(_xlfn.ISFORMULA('Previsto x realizado'!BB265) = FALSE, "","Enviado")</f>
        <v/>
      </c>
      <c r="K97" s="51" t="str">
        <f>IF(_xlfn.ISFORMULA('Previsto x realizado'!BC265) = FALSE, "","Enviado")</f>
        <v/>
      </c>
      <c r="L97" s="51" t="str">
        <f>IF(_xlfn.ISFORMULA('Previsto x realizado'!BD265) = FALSE, "","Enviado")</f>
        <v/>
      </c>
      <c r="M97" s="51" t="str">
        <f>IF(_xlfn.ISFORMULA('Previsto x realizado'!BE265) = FALSE, "","Enviado")</f>
        <v/>
      </c>
      <c r="N97" s="51" t="str">
        <f>IF(_xlfn.ISFORMULA('Previsto x realizado'!BF265) = FALSE, "","Enviado")</f>
        <v/>
      </c>
      <c r="O97" s="51" t="str">
        <f>IF(_xlfn.ISFORMULA('Previsto x realizado'!BG265) = FALSE, "","Enviado")</f>
        <v/>
      </c>
      <c r="P97" s="51" t="str">
        <f>IF(_xlfn.ISFORMULA('Previsto x realizado'!BH265) = FALSE, "","Enviado")</f>
        <v/>
      </c>
    </row>
    <row r="98" spans="1:16" hidden="1" x14ac:dyDescent="0.3">
      <c r="A98" s="40" t="s">
        <v>87</v>
      </c>
      <c r="B98" s="4" t="s">
        <v>232</v>
      </c>
      <c r="C98" s="5" t="s">
        <v>95</v>
      </c>
      <c r="D98" s="4" t="s">
        <v>238</v>
      </c>
      <c r="E98" s="51" t="str">
        <f>IF(_xlfn.ISFORMULA('Previsto x realizado'!AW271) = FALSE, "","Enviado")</f>
        <v>Enviado</v>
      </c>
      <c r="F98" s="51" t="str">
        <f>IF(_xlfn.ISFORMULA('Previsto x realizado'!AX271) = FALSE, "","Enviado")</f>
        <v>Enviado</v>
      </c>
      <c r="G98" s="51" t="str">
        <f>IF(_xlfn.ISFORMULA('Previsto x realizado'!AY271) = FALSE, "","Enviado")</f>
        <v>Enviado</v>
      </c>
      <c r="H98" s="51" t="str">
        <f>IF(_xlfn.ISFORMULA('Previsto x realizado'!AZ271) = FALSE, "","Enviado")</f>
        <v>Enviado</v>
      </c>
      <c r="I98" s="51" t="str">
        <f>IF(_xlfn.ISFORMULA('Previsto x realizado'!BA271) = FALSE, "","Enviado")</f>
        <v/>
      </c>
      <c r="J98" s="51" t="str">
        <f>IF(_xlfn.ISFORMULA('Previsto x realizado'!BB271) = FALSE, "","Enviado")</f>
        <v/>
      </c>
      <c r="K98" s="51" t="str">
        <f>IF(_xlfn.ISFORMULA('Previsto x realizado'!BC271) = FALSE, "","Enviado")</f>
        <v/>
      </c>
      <c r="L98" s="51" t="str">
        <f>IF(_xlfn.ISFORMULA('Previsto x realizado'!BD271) = FALSE, "","Enviado")</f>
        <v/>
      </c>
      <c r="M98" s="51" t="str">
        <f>IF(_xlfn.ISFORMULA('Previsto x realizado'!BE271) = FALSE, "","Enviado")</f>
        <v/>
      </c>
      <c r="N98" s="51" t="str">
        <f>IF(_xlfn.ISFORMULA('Previsto x realizado'!BF271) = FALSE, "","Enviado")</f>
        <v/>
      </c>
      <c r="O98" s="51" t="str">
        <f>IF(_xlfn.ISFORMULA('Previsto x realizado'!BG271) = FALSE, "","Enviado")</f>
        <v/>
      </c>
      <c r="P98" s="51" t="str">
        <f>IF(_xlfn.ISFORMULA('Previsto x realizado'!BH271) = FALSE, "","Enviado")</f>
        <v/>
      </c>
    </row>
    <row r="99" spans="1:16" ht="27.6" x14ac:dyDescent="0.3">
      <c r="A99" s="20" t="s">
        <v>87</v>
      </c>
      <c r="B99" s="4" t="s">
        <v>88</v>
      </c>
      <c r="C99" s="5" t="s">
        <v>95</v>
      </c>
      <c r="D99" s="4" t="s">
        <v>267</v>
      </c>
      <c r="E99" s="51" t="str">
        <f>IF(_xlfn.ISFORMULA('Previsto x realizado'!AW272) = FALSE, "","Enviado")</f>
        <v>Enviado</v>
      </c>
      <c r="F99" s="51" t="str">
        <f>IF(_xlfn.ISFORMULA('Previsto x realizado'!AX272) = FALSE, "","Enviado")</f>
        <v>Enviado</v>
      </c>
      <c r="G99" s="51" t="str">
        <f>IF(_xlfn.ISFORMULA('Previsto x realizado'!AY272) = FALSE, "","Enviado")</f>
        <v>Enviado</v>
      </c>
      <c r="H99" s="51" t="str">
        <f>IF(_xlfn.ISFORMULA('Previsto x realizado'!AZ272) = FALSE, "","Enviado")</f>
        <v>Enviado</v>
      </c>
      <c r="I99" s="51" t="str">
        <f>IF(_xlfn.ISFORMULA('Previsto x realizado'!BA272) = FALSE, "","Enviado")</f>
        <v/>
      </c>
      <c r="J99" s="51" t="str">
        <f>IF(_xlfn.ISFORMULA('Previsto x realizado'!BB272) = FALSE, "","Enviado")</f>
        <v/>
      </c>
      <c r="K99" s="51" t="str">
        <f>IF(_xlfn.ISFORMULA('Previsto x realizado'!BC272) = FALSE, "","Enviado")</f>
        <v/>
      </c>
      <c r="L99" s="51" t="str">
        <f>IF(_xlfn.ISFORMULA('Previsto x realizado'!BD272) = FALSE, "","Enviado")</f>
        <v/>
      </c>
      <c r="M99" s="51" t="str">
        <f>IF(_xlfn.ISFORMULA('Previsto x realizado'!BE272) = FALSE, "","Enviado")</f>
        <v/>
      </c>
      <c r="N99" s="51" t="str">
        <f>IF(_xlfn.ISFORMULA('Previsto x realizado'!BF272) = FALSE, "","Enviado")</f>
        <v/>
      </c>
      <c r="O99" s="51" t="str">
        <f>IF(_xlfn.ISFORMULA('Previsto x realizado'!BG272) = FALSE, "","Enviado")</f>
        <v/>
      </c>
      <c r="P99" s="51" t="str">
        <f>IF(_xlfn.ISFORMULA('Previsto x realizado'!BH272) = FALSE, "","Enviado")</f>
        <v/>
      </c>
    </row>
    <row r="100" spans="1:16" ht="27.6" hidden="1" x14ac:dyDescent="0.3">
      <c r="A100" s="40" t="s">
        <v>87</v>
      </c>
      <c r="B100" s="4" t="s">
        <v>88</v>
      </c>
      <c r="C100" s="5" t="s">
        <v>95</v>
      </c>
      <c r="D100" s="4" t="s">
        <v>267</v>
      </c>
      <c r="E100" s="51" t="str">
        <f>IF(_xlfn.ISFORMULA('Previsto x realizado'!AW277) = FALSE, "","Enviado")</f>
        <v>Enviado</v>
      </c>
      <c r="F100" s="51" t="str">
        <f>IF(_xlfn.ISFORMULA('Previsto x realizado'!AX277) = FALSE, "","Enviado")</f>
        <v>Enviado</v>
      </c>
      <c r="G100" s="51" t="str">
        <f>IF(_xlfn.ISFORMULA('Previsto x realizado'!AY277) = FALSE, "","Enviado")</f>
        <v>Enviado</v>
      </c>
      <c r="H100" s="51" t="str">
        <f>IF(_xlfn.ISFORMULA('Previsto x realizado'!AZ277) = FALSE, "","Enviado")</f>
        <v>Enviado</v>
      </c>
      <c r="I100" s="51" t="str">
        <f>IF(_xlfn.ISFORMULA('Previsto x realizado'!BA277) = FALSE, "","Enviado")</f>
        <v/>
      </c>
      <c r="J100" s="51" t="str">
        <f>IF(_xlfn.ISFORMULA('Previsto x realizado'!BB277) = FALSE, "","Enviado")</f>
        <v/>
      </c>
      <c r="K100" s="51" t="str">
        <f>IF(_xlfn.ISFORMULA('Previsto x realizado'!BC277) = FALSE, "","Enviado")</f>
        <v/>
      </c>
      <c r="L100" s="51" t="str">
        <f>IF(_xlfn.ISFORMULA('Previsto x realizado'!BD277) = FALSE, "","Enviado")</f>
        <v/>
      </c>
      <c r="M100" s="51" t="str">
        <f>IF(_xlfn.ISFORMULA('Previsto x realizado'!BE277) = FALSE, "","Enviado")</f>
        <v/>
      </c>
      <c r="N100" s="51" t="str">
        <f>IF(_xlfn.ISFORMULA('Previsto x realizado'!BF277) = FALSE, "","Enviado")</f>
        <v/>
      </c>
      <c r="O100" s="51" t="str">
        <f>IF(_xlfn.ISFORMULA('Previsto x realizado'!BG277) = FALSE, "","Enviado")</f>
        <v/>
      </c>
      <c r="P100" s="51" t="str">
        <f>IF(_xlfn.ISFORMULA('Previsto x realizado'!BH277) = FALSE, "","Enviado")</f>
        <v/>
      </c>
    </row>
    <row r="101" spans="1:16" ht="27.6" hidden="1" x14ac:dyDescent="0.3">
      <c r="A101" s="40" t="s">
        <v>87</v>
      </c>
      <c r="B101" s="4" t="s">
        <v>88</v>
      </c>
      <c r="C101" s="5" t="s">
        <v>95</v>
      </c>
      <c r="D101" s="4" t="s">
        <v>267</v>
      </c>
      <c r="E101" s="51" t="str">
        <f>IF(_xlfn.ISFORMULA('Previsto x realizado'!AW279) = FALSE, "","Enviado")</f>
        <v>Enviado</v>
      </c>
      <c r="F101" s="51" t="str">
        <f>IF(_xlfn.ISFORMULA('Previsto x realizado'!AX279) = FALSE, "","Enviado")</f>
        <v>Enviado</v>
      </c>
      <c r="G101" s="51" t="str">
        <f>IF(_xlfn.ISFORMULA('Previsto x realizado'!AY279) = FALSE, "","Enviado")</f>
        <v>Enviado</v>
      </c>
      <c r="H101" s="51" t="str">
        <f>IF(_xlfn.ISFORMULA('Previsto x realizado'!AZ279) = FALSE, "","Enviado")</f>
        <v>Enviado</v>
      </c>
      <c r="I101" s="51" t="str">
        <f>IF(_xlfn.ISFORMULA('Previsto x realizado'!BA279) = FALSE, "","Enviado")</f>
        <v/>
      </c>
      <c r="J101" s="51" t="str">
        <f>IF(_xlfn.ISFORMULA('Previsto x realizado'!BB279) = FALSE, "","Enviado")</f>
        <v/>
      </c>
      <c r="K101" s="51" t="str">
        <f>IF(_xlfn.ISFORMULA('Previsto x realizado'!BC279) = FALSE, "","Enviado")</f>
        <v/>
      </c>
      <c r="L101" s="51" t="str">
        <f>IF(_xlfn.ISFORMULA('Previsto x realizado'!BD279) = FALSE, "","Enviado")</f>
        <v/>
      </c>
      <c r="M101" s="51" t="str">
        <f>IF(_xlfn.ISFORMULA('Previsto x realizado'!BE279) = FALSE, "","Enviado")</f>
        <v/>
      </c>
      <c r="N101" s="51" t="str">
        <f>IF(_xlfn.ISFORMULA('Previsto x realizado'!BF279) = FALSE, "","Enviado")</f>
        <v/>
      </c>
      <c r="O101" s="51" t="str">
        <f>IF(_xlfn.ISFORMULA('Previsto x realizado'!BG279) = FALSE, "","Enviado")</f>
        <v/>
      </c>
      <c r="P101" s="51" t="str">
        <f>IF(_xlfn.ISFORMULA('Previsto x realizado'!BH279) = FALSE, "","Enviado")</f>
        <v/>
      </c>
    </row>
    <row r="102" spans="1:16" x14ac:dyDescent="0.3">
      <c r="A102" s="70" t="s">
        <v>108</v>
      </c>
      <c r="B102" s="4" t="s">
        <v>109</v>
      </c>
      <c r="C102" s="5" t="s">
        <v>95</v>
      </c>
      <c r="D102" s="4" t="s">
        <v>238</v>
      </c>
      <c r="E102" s="51" t="str">
        <f>IF(_xlfn.ISFORMULA('Previsto x realizado'!AW280) = FALSE, "","Enviado")</f>
        <v>Enviado</v>
      </c>
      <c r="F102" s="51" t="str">
        <f>IF(_xlfn.ISFORMULA('Previsto x realizado'!AX280) = FALSE, "","Enviado")</f>
        <v>Enviado</v>
      </c>
      <c r="G102" s="51" t="str">
        <f>IF(_xlfn.ISFORMULA('Previsto x realizado'!AY280) = FALSE, "","Enviado")</f>
        <v>Enviado</v>
      </c>
      <c r="H102" s="51" t="str">
        <f>IF(_xlfn.ISFORMULA('Previsto x realizado'!AZ280) = FALSE, "","Enviado")</f>
        <v>Enviado</v>
      </c>
      <c r="I102" s="51" t="str">
        <f>IF(_xlfn.ISFORMULA('Previsto x realizado'!BA280) = FALSE, "","Enviado")</f>
        <v/>
      </c>
      <c r="J102" s="51" t="str">
        <f>IF(_xlfn.ISFORMULA('Previsto x realizado'!BB280) = FALSE, "","Enviado")</f>
        <v/>
      </c>
      <c r="K102" s="51" t="str">
        <f>IF(_xlfn.ISFORMULA('Previsto x realizado'!BC280) = FALSE, "","Enviado")</f>
        <v/>
      </c>
      <c r="L102" s="51" t="str">
        <f>IF(_xlfn.ISFORMULA('Previsto x realizado'!BD280) = FALSE, "","Enviado")</f>
        <v/>
      </c>
      <c r="M102" s="51" t="str">
        <f>IF(_xlfn.ISFORMULA('Previsto x realizado'!BE280) = FALSE, "","Enviado")</f>
        <v/>
      </c>
      <c r="N102" s="51" t="str">
        <f>IF(_xlfn.ISFORMULA('Previsto x realizado'!BF280) = FALSE, "","Enviado")</f>
        <v/>
      </c>
      <c r="O102" s="51" t="str">
        <f>IF(_xlfn.ISFORMULA('Previsto x realizado'!BG280) = FALSE, "","Enviado")</f>
        <v/>
      </c>
      <c r="P102" s="51" t="str">
        <f>IF(_xlfn.ISFORMULA('Previsto x realizado'!BH280) = FALSE, "","Enviado")</f>
        <v/>
      </c>
    </row>
    <row r="103" spans="1:16" x14ac:dyDescent="0.3">
      <c r="A103" s="41" t="s">
        <v>108</v>
      </c>
      <c r="B103" s="4" t="s">
        <v>109</v>
      </c>
      <c r="C103" s="5" t="s">
        <v>95</v>
      </c>
      <c r="D103" s="4" t="s">
        <v>238</v>
      </c>
      <c r="E103" s="51" t="str">
        <f>IF(_xlfn.ISFORMULA('Previsto x realizado'!AW281) = FALSE, "","Enviado")</f>
        <v>Enviado</v>
      </c>
      <c r="F103" s="51" t="str">
        <f>IF(_xlfn.ISFORMULA('Previsto x realizado'!AX281) = FALSE, "","Enviado")</f>
        <v>Enviado</v>
      </c>
      <c r="G103" s="51" t="str">
        <f>IF(_xlfn.ISFORMULA('Previsto x realizado'!AY281) = FALSE, "","Enviado")</f>
        <v>Enviado</v>
      </c>
      <c r="H103" s="51" t="str">
        <f>IF(_xlfn.ISFORMULA('Previsto x realizado'!AZ281) = FALSE, "","Enviado")</f>
        <v>Enviado</v>
      </c>
      <c r="I103" s="51" t="str">
        <f>IF(_xlfn.ISFORMULA('Previsto x realizado'!BA281) = FALSE, "","Enviado")</f>
        <v/>
      </c>
      <c r="J103" s="51" t="str">
        <f>IF(_xlfn.ISFORMULA('Previsto x realizado'!BB281) = FALSE, "","Enviado")</f>
        <v/>
      </c>
      <c r="K103" s="51" t="str">
        <f>IF(_xlfn.ISFORMULA('Previsto x realizado'!BC281) = FALSE, "","Enviado")</f>
        <v/>
      </c>
      <c r="L103" s="51" t="str">
        <f>IF(_xlfn.ISFORMULA('Previsto x realizado'!BD281) = FALSE, "","Enviado")</f>
        <v/>
      </c>
      <c r="M103" s="51" t="str">
        <f>IF(_xlfn.ISFORMULA('Previsto x realizado'!BE281) = FALSE, "","Enviado")</f>
        <v/>
      </c>
      <c r="N103" s="51" t="str">
        <f>IF(_xlfn.ISFORMULA('Previsto x realizado'!BF281) = FALSE, "","Enviado")</f>
        <v/>
      </c>
      <c r="O103" s="51" t="str">
        <f>IF(_xlfn.ISFORMULA('Previsto x realizado'!BG281) = FALSE, "","Enviado")</f>
        <v/>
      </c>
      <c r="P103" s="51" t="str">
        <f>IF(_xlfn.ISFORMULA('Previsto x realizado'!BH281) = FALSE, "","Enviado")</f>
        <v/>
      </c>
    </row>
    <row r="104" spans="1:16" hidden="1" x14ac:dyDescent="0.3">
      <c r="A104" s="41" t="s">
        <v>108</v>
      </c>
      <c r="B104" s="4" t="s">
        <v>314</v>
      </c>
      <c r="C104" s="5" t="s">
        <v>95</v>
      </c>
      <c r="D104" s="4" t="s">
        <v>238</v>
      </c>
      <c r="E104" s="51" t="e">
        <f>IF(_xlfn.ISFORMULA('Previsto x realizado'!#REF!) = FALSE, "","Enviado")</f>
        <v>#REF!</v>
      </c>
      <c r="F104" s="51" t="e">
        <f>IF(_xlfn.ISFORMULA('Previsto x realizado'!#REF!) = FALSE, "","Enviado")</f>
        <v>#REF!</v>
      </c>
      <c r="G104" s="51" t="e">
        <f>IF(_xlfn.ISFORMULA('Previsto x realizado'!#REF!) = FALSE, "","Enviado")</f>
        <v>#REF!</v>
      </c>
      <c r="H104" s="51" t="e">
        <f>IF(_xlfn.ISFORMULA('Previsto x realizado'!#REF!) = FALSE, "","Enviado")</f>
        <v>#REF!</v>
      </c>
      <c r="I104" s="51" t="e">
        <f>IF(_xlfn.ISFORMULA('Previsto x realizado'!#REF!) = FALSE, "","Enviado")</f>
        <v>#REF!</v>
      </c>
      <c r="J104" s="51" t="e">
        <f>IF(_xlfn.ISFORMULA('Previsto x realizado'!#REF!) = FALSE, "","Enviado")</f>
        <v>#REF!</v>
      </c>
      <c r="K104" s="51" t="e">
        <f>IF(_xlfn.ISFORMULA('Previsto x realizado'!#REF!) = FALSE, "","Enviado")</f>
        <v>#REF!</v>
      </c>
      <c r="L104" s="51" t="e">
        <f>IF(_xlfn.ISFORMULA('Previsto x realizado'!#REF!) = FALSE, "","Enviado")</f>
        <v>#REF!</v>
      </c>
      <c r="M104" s="51" t="e">
        <f>IF(_xlfn.ISFORMULA('Previsto x realizado'!#REF!) = FALSE, "","Enviado")</f>
        <v>#REF!</v>
      </c>
      <c r="N104" s="51" t="e">
        <f>IF(_xlfn.ISFORMULA('Previsto x realizado'!#REF!) = FALSE, "","Enviado")</f>
        <v>#REF!</v>
      </c>
      <c r="O104" s="51" t="e">
        <f>IF(_xlfn.ISFORMULA('Previsto x realizado'!#REF!) = FALSE, "","Enviado")</f>
        <v>#REF!</v>
      </c>
      <c r="P104" s="51" t="e">
        <f>IF(_xlfn.ISFORMULA('Previsto x realizado'!#REF!) = FALSE, "","Enviado")</f>
        <v>#REF!</v>
      </c>
    </row>
    <row r="105" spans="1:16" ht="27.6" hidden="1" x14ac:dyDescent="0.3">
      <c r="A105" s="70" t="s">
        <v>108</v>
      </c>
      <c r="B105" s="4" t="s">
        <v>117</v>
      </c>
      <c r="C105" s="5" t="s">
        <v>95</v>
      </c>
      <c r="D105" s="4" t="s">
        <v>267</v>
      </c>
      <c r="E105" s="51" t="str">
        <f>IF(_xlfn.ISFORMULA('Previsto x realizado'!AW282) = FALSE, "","Enviado")</f>
        <v>Enviado</v>
      </c>
      <c r="F105" s="51" t="str">
        <f>IF(_xlfn.ISFORMULA('Previsto x realizado'!AX282) = FALSE, "","Enviado")</f>
        <v>Enviado</v>
      </c>
      <c r="G105" s="51" t="str">
        <f>IF(_xlfn.ISFORMULA('Previsto x realizado'!AY282) = FALSE, "","Enviado")</f>
        <v>Enviado</v>
      </c>
      <c r="H105" s="51" t="str">
        <f>IF(_xlfn.ISFORMULA('Previsto x realizado'!AZ282) = FALSE, "","Enviado")</f>
        <v>Enviado</v>
      </c>
      <c r="I105" s="51" t="str">
        <f>IF(_xlfn.ISFORMULA('Previsto x realizado'!BA282) = FALSE, "","Enviado")</f>
        <v/>
      </c>
      <c r="J105" s="51" t="str">
        <f>IF(_xlfn.ISFORMULA('Previsto x realizado'!BB282) = FALSE, "","Enviado")</f>
        <v/>
      </c>
      <c r="K105" s="51" t="str">
        <f>IF(_xlfn.ISFORMULA('Previsto x realizado'!BC282) = FALSE, "","Enviado")</f>
        <v/>
      </c>
      <c r="L105" s="51" t="str">
        <f>IF(_xlfn.ISFORMULA('Previsto x realizado'!BD282) = FALSE, "","Enviado")</f>
        <v/>
      </c>
      <c r="M105" s="51" t="str">
        <f>IF(_xlfn.ISFORMULA('Previsto x realizado'!BE282) = FALSE, "","Enviado")</f>
        <v/>
      </c>
      <c r="N105" s="51" t="str">
        <f>IF(_xlfn.ISFORMULA('Previsto x realizado'!BF282) = FALSE, "","Enviado")</f>
        <v/>
      </c>
      <c r="O105" s="51" t="str">
        <f>IF(_xlfn.ISFORMULA('Previsto x realizado'!BG282) = FALSE, "","Enviado")</f>
        <v/>
      </c>
      <c r="P105" s="51" t="str">
        <f>IF(_xlfn.ISFORMULA('Previsto x realizado'!BH282) = FALSE, "","Enviado")</f>
        <v/>
      </c>
    </row>
    <row r="106" spans="1:16" ht="27.6" hidden="1" x14ac:dyDescent="0.3">
      <c r="A106" s="70" t="s">
        <v>108</v>
      </c>
      <c r="B106" s="4" t="s">
        <v>117</v>
      </c>
      <c r="C106" s="5" t="s">
        <v>95</v>
      </c>
      <c r="D106" s="4" t="s">
        <v>267</v>
      </c>
      <c r="E106" s="51" t="str">
        <f>IF(_xlfn.ISFORMULA('Previsto x realizado'!AW283) = FALSE, "","Enviado")</f>
        <v>Enviado</v>
      </c>
      <c r="F106" s="51" t="str">
        <f>IF(_xlfn.ISFORMULA('Previsto x realizado'!AX283) = FALSE, "","Enviado")</f>
        <v>Enviado</v>
      </c>
      <c r="G106" s="51" t="str">
        <f>IF(_xlfn.ISFORMULA('Previsto x realizado'!AY283) = FALSE, "","Enviado")</f>
        <v>Enviado</v>
      </c>
      <c r="H106" s="51" t="str">
        <f>IF(_xlfn.ISFORMULA('Previsto x realizado'!AZ283) = FALSE, "","Enviado")</f>
        <v>Enviado</v>
      </c>
      <c r="I106" s="51" t="str">
        <f>IF(_xlfn.ISFORMULA('Previsto x realizado'!BA283) = FALSE, "","Enviado")</f>
        <v/>
      </c>
      <c r="J106" s="51" t="str">
        <f>IF(_xlfn.ISFORMULA('Previsto x realizado'!BB283) = FALSE, "","Enviado")</f>
        <v/>
      </c>
      <c r="K106" s="51" t="str">
        <f>IF(_xlfn.ISFORMULA('Previsto x realizado'!BC283) = FALSE, "","Enviado")</f>
        <v/>
      </c>
      <c r="L106" s="51" t="str">
        <f>IF(_xlfn.ISFORMULA('Previsto x realizado'!BD283) = FALSE, "","Enviado")</f>
        <v/>
      </c>
      <c r="M106" s="51" t="str">
        <f>IF(_xlfn.ISFORMULA('Previsto x realizado'!BE283) = FALSE, "","Enviado")</f>
        <v/>
      </c>
      <c r="N106" s="51" t="str">
        <f>IF(_xlfn.ISFORMULA('Previsto x realizado'!BF283) = FALSE, "","Enviado")</f>
        <v/>
      </c>
      <c r="O106" s="51" t="str">
        <f>IF(_xlfn.ISFORMULA('Previsto x realizado'!BG283) = FALSE, "","Enviado")</f>
        <v/>
      </c>
      <c r="P106" s="51" t="str">
        <f>IF(_xlfn.ISFORMULA('Previsto x realizado'!BH283) = FALSE, "","Enviado")</f>
        <v/>
      </c>
    </row>
    <row r="107" spans="1:16" ht="27.6" x14ac:dyDescent="0.3">
      <c r="A107" s="41" t="s">
        <v>108</v>
      </c>
      <c r="B107" s="4" t="s">
        <v>123</v>
      </c>
      <c r="C107" s="5" t="s">
        <v>95</v>
      </c>
      <c r="D107" s="4" t="s">
        <v>267</v>
      </c>
      <c r="E107" s="51" t="str">
        <f>IF(_xlfn.ISFORMULA('Previsto x realizado'!AW284) = FALSE, "","Enviado")</f>
        <v>Enviado</v>
      </c>
      <c r="F107" s="51" t="str">
        <f>IF(_xlfn.ISFORMULA('Previsto x realizado'!AX284) = FALSE, "","Enviado")</f>
        <v>Enviado</v>
      </c>
      <c r="G107" s="51" t="str">
        <f>IF(_xlfn.ISFORMULA('Previsto x realizado'!AY284) = FALSE, "","Enviado")</f>
        <v>Enviado</v>
      </c>
      <c r="H107" s="51" t="str">
        <f>IF(_xlfn.ISFORMULA('Previsto x realizado'!AZ284) = FALSE, "","Enviado")</f>
        <v>Enviado</v>
      </c>
      <c r="I107" s="51" t="str">
        <f>IF(_xlfn.ISFORMULA('Previsto x realizado'!BA284) = FALSE, "","Enviado")</f>
        <v/>
      </c>
      <c r="J107" s="51" t="str">
        <f>IF(_xlfn.ISFORMULA('Previsto x realizado'!BB284) = FALSE, "","Enviado")</f>
        <v/>
      </c>
      <c r="K107" s="51" t="str">
        <f>IF(_xlfn.ISFORMULA('Previsto x realizado'!BC284) = FALSE, "","Enviado")</f>
        <v/>
      </c>
      <c r="L107" s="51" t="str">
        <f>IF(_xlfn.ISFORMULA('Previsto x realizado'!BD284) = FALSE, "","Enviado")</f>
        <v/>
      </c>
      <c r="M107" s="51" t="str">
        <f>IF(_xlfn.ISFORMULA('Previsto x realizado'!BE284) = FALSE, "","Enviado")</f>
        <v/>
      </c>
      <c r="N107" s="51" t="str">
        <f>IF(_xlfn.ISFORMULA('Previsto x realizado'!BF284) = FALSE, "","Enviado")</f>
        <v/>
      </c>
      <c r="O107" s="51" t="str">
        <f>IF(_xlfn.ISFORMULA('Previsto x realizado'!BG284) = FALSE, "","Enviado")</f>
        <v/>
      </c>
      <c r="P107" s="51" t="str">
        <f>IF(_xlfn.ISFORMULA('Previsto x realizado'!BH284) = FALSE, "","Enviado")</f>
        <v/>
      </c>
    </row>
    <row r="108" spans="1:16" ht="27.6" hidden="1" x14ac:dyDescent="0.3">
      <c r="A108" s="70" t="s">
        <v>108</v>
      </c>
      <c r="B108" s="4" t="s">
        <v>123</v>
      </c>
      <c r="C108" s="5" t="s">
        <v>95</v>
      </c>
      <c r="D108" s="4" t="s">
        <v>267</v>
      </c>
      <c r="E108" s="51" t="str">
        <f>IF(_xlfn.ISFORMULA('Previsto x realizado'!AW285) = FALSE, "","Enviado")</f>
        <v>Enviado</v>
      </c>
      <c r="F108" s="51" t="str">
        <f>IF(_xlfn.ISFORMULA('Previsto x realizado'!AX285) = FALSE, "","Enviado")</f>
        <v>Enviado</v>
      </c>
      <c r="G108" s="51" t="str">
        <f>IF(_xlfn.ISFORMULA('Previsto x realizado'!AY285) = FALSE, "","Enviado")</f>
        <v>Enviado</v>
      </c>
      <c r="H108" s="51" t="str">
        <f>IF(_xlfn.ISFORMULA('Previsto x realizado'!AZ285) = FALSE, "","Enviado")</f>
        <v>Enviado</v>
      </c>
      <c r="I108" s="51" t="str">
        <f>IF(_xlfn.ISFORMULA('Previsto x realizado'!BA285) = FALSE, "","Enviado")</f>
        <v/>
      </c>
      <c r="J108" s="51" t="str">
        <f>IF(_xlfn.ISFORMULA('Previsto x realizado'!BB285) = FALSE, "","Enviado")</f>
        <v/>
      </c>
      <c r="K108" s="51" t="str">
        <f>IF(_xlfn.ISFORMULA('Previsto x realizado'!BC285) = FALSE, "","Enviado")</f>
        <v/>
      </c>
      <c r="L108" s="51" t="str">
        <f>IF(_xlfn.ISFORMULA('Previsto x realizado'!BD285) = FALSE, "","Enviado")</f>
        <v/>
      </c>
      <c r="M108" s="51" t="str">
        <f>IF(_xlfn.ISFORMULA('Previsto x realizado'!BE285) = FALSE, "","Enviado")</f>
        <v/>
      </c>
      <c r="N108" s="51" t="str">
        <f>IF(_xlfn.ISFORMULA('Previsto x realizado'!BF285) = FALSE, "","Enviado")</f>
        <v/>
      </c>
      <c r="O108" s="51" t="str">
        <f>IF(_xlfn.ISFORMULA('Previsto x realizado'!BG285) = FALSE, "","Enviado")</f>
        <v/>
      </c>
      <c r="P108" s="51" t="str">
        <f>IF(_xlfn.ISFORMULA('Previsto x realizado'!BH285) = FALSE, "","Enviado")</f>
        <v/>
      </c>
    </row>
    <row r="109" spans="1:16" ht="27.6" hidden="1" x14ac:dyDescent="0.3">
      <c r="A109" s="70" t="s">
        <v>108</v>
      </c>
      <c r="B109" s="4" t="s">
        <v>123</v>
      </c>
      <c r="C109" s="5" t="s">
        <v>95</v>
      </c>
      <c r="D109" s="4" t="s">
        <v>267</v>
      </c>
      <c r="E109" s="51" t="str">
        <f>IF(_xlfn.ISFORMULA('Previsto x realizado'!AW286) = FALSE, "","Enviado")</f>
        <v>Enviado</v>
      </c>
      <c r="F109" s="51" t="str">
        <f>IF(_xlfn.ISFORMULA('Previsto x realizado'!AX286) = FALSE, "","Enviado")</f>
        <v>Enviado</v>
      </c>
      <c r="G109" s="51" t="str">
        <f>IF(_xlfn.ISFORMULA('Previsto x realizado'!AY286) = FALSE, "","Enviado")</f>
        <v>Enviado</v>
      </c>
      <c r="H109" s="51" t="str">
        <f>IF(_xlfn.ISFORMULA('Previsto x realizado'!AZ286) = FALSE, "","Enviado")</f>
        <v>Enviado</v>
      </c>
      <c r="I109" s="51" t="str">
        <f>IF(_xlfn.ISFORMULA('Previsto x realizado'!BA286) = FALSE, "","Enviado")</f>
        <v/>
      </c>
      <c r="J109" s="51" t="str">
        <f>IF(_xlfn.ISFORMULA('Previsto x realizado'!BB286) = FALSE, "","Enviado")</f>
        <v/>
      </c>
      <c r="K109" s="51" t="str">
        <f>IF(_xlfn.ISFORMULA('Previsto x realizado'!BC286) = FALSE, "","Enviado")</f>
        <v/>
      </c>
      <c r="L109" s="51" t="str">
        <f>IF(_xlfn.ISFORMULA('Previsto x realizado'!BD286) = FALSE, "","Enviado")</f>
        <v/>
      </c>
      <c r="M109" s="51" t="str">
        <f>IF(_xlfn.ISFORMULA('Previsto x realizado'!BE286) = FALSE, "","Enviado")</f>
        <v/>
      </c>
      <c r="N109" s="51" t="str">
        <f>IF(_xlfn.ISFORMULA('Previsto x realizado'!BF286) = FALSE, "","Enviado")</f>
        <v/>
      </c>
      <c r="O109" s="51" t="str">
        <f>IF(_xlfn.ISFORMULA('Previsto x realizado'!BG286) = FALSE, "","Enviado")</f>
        <v/>
      </c>
      <c r="P109" s="51" t="str">
        <f>IF(_xlfn.ISFORMULA('Previsto x realizado'!BH286) = FALSE, "","Enviado")</f>
        <v/>
      </c>
    </row>
    <row r="110" spans="1:16" ht="27.6" x14ac:dyDescent="0.3">
      <c r="A110" s="41" t="s">
        <v>108</v>
      </c>
      <c r="B110" s="4" t="s">
        <v>129</v>
      </c>
      <c r="C110" s="5" t="s">
        <v>95</v>
      </c>
      <c r="D110" s="4" t="s">
        <v>267</v>
      </c>
      <c r="E110" s="51" t="str">
        <f>IF(_xlfn.ISFORMULA('Previsto x realizado'!AW287) = FALSE, "","Enviado")</f>
        <v>Enviado</v>
      </c>
      <c r="F110" s="51" t="str">
        <f>IF(_xlfn.ISFORMULA('Previsto x realizado'!AX287) = FALSE, "","Enviado")</f>
        <v>Enviado</v>
      </c>
      <c r="G110" s="51" t="str">
        <f>IF(_xlfn.ISFORMULA('Previsto x realizado'!AY287) = FALSE, "","Enviado")</f>
        <v>Enviado</v>
      </c>
      <c r="H110" s="51" t="str">
        <f>IF(_xlfn.ISFORMULA('Previsto x realizado'!AZ287) = FALSE, "","Enviado")</f>
        <v>Enviado</v>
      </c>
      <c r="I110" s="51" t="str">
        <f>IF(_xlfn.ISFORMULA('Previsto x realizado'!BA287) = FALSE, "","Enviado")</f>
        <v/>
      </c>
      <c r="J110" s="51" t="str">
        <f>IF(_xlfn.ISFORMULA('Previsto x realizado'!BB287) = FALSE, "","Enviado")</f>
        <v/>
      </c>
      <c r="K110" s="51" t="str">
        <f>IF(_xlfn.ISFORMULA('Previsto x realizado'!BC287) = FALSE, "","Enviado")</f>
        <v/>
      </c>
      <c r="L110" s="51" t="str">
        <f>IF(_xlfn.ISFORMULA('Previsto x realizado'!BD287) = FALSE, "","Enviado")</f>
        <v/>
      </c>
      <c r="M110" s="51" t="str">
        <f>IF(_xlfn.ISFORMULA('Previsto x realizado'!BE287) = FALSE, "","Enviado")</f>
        <v/>
      </c>
      <c r="N110" s="51" t="str">
        <f>IF(_xlfn.ISFORMULA('Previsto x realizado'!BF287) = FALSE, "","Enviado")</f>
        <v/>
      </c>
      <c r="O110" s="51" t="str">
        <f>IF(_xlfn.ISFORMULA('Previsto x realizado'!BG287) = FALSE, "","Enviado")</f>
        <v/>
      </c>
      <c r="P110" s="51" t="str">
        <f>IF(_xlfn.ISFORMULA('Previsto x realizado'!BH287) = FALSE, "","Enviado")</f>
        <v/>
      </c>
    </row>
    <row r="111" spans="1:16" ht="27.6" hidden="1" x14ac:dyDescent="0.3">
      <c r="A111" s="70" t="s">
        <v>108</v>
      </c>
      <c r="B111" s="4" t="s">
        <v>129</v>
      </c>
      <c r="C111" s="5" t="s">
        <v>95</v>
      </c>
      <c r="D111" s="4" t="s">
        <v>267</v>
      </c>
      <c r="E111" s="51" t="str">
        <f>IF(_xlfn.ISFORMULA('Previsto x realizado'!AW288) = FALSE, "","Enviado")</f>
        <v>Enviado</v>
      </c>
      <c r="F111" s="51" t="str">
        <f>IF(_xlfn.ISFORMULA('Previsto x realizado'!AX288) = FALSE, "","Enviado")</f>
        <v>Enviado</v>
      </c>
      <c r="G111" s="51" t="str">
        <f>IF(_xlfn.ISFORMULA('Previsto x realizado'!AY288) = FALSE, "","Enviado")</f>
        <v>Enviado</v>
      </c>
      <c r="H111" s="51" t="str">
        <f>IF(_xlfn.ISFORMULA('Previsto x realizado'!AZ288) = FALSE, "","Enviado")</f>
        <v>Enviado</v>
      </c>
      <c r="I111" s="51" t="str">
        <f>IF(_xlfn.ISFORMULA('Previsto x realizado'!BA288) = FALSE, "","Enviado")</f>
        <v/>
      </c>
      <c r="J111" s="51" t="str">
        <f>IF(_xlfn.ISFORMULA('Previsto x realizado'!BB288) = FALSE, "","Enviado")</f>
        <v/>
      </c>
      <c r="K111" s="51" t="str">
        <f>IF(_xlfn.ISFORMULA('Previsto x realizado'!BC288) = FALSE, "","Enviado")</f>
        <v/>
      </c>
      <c r="L111" s="51" t="str">
        <f>IF(_xlfn.ISFORMULA('Previsto x realizado'!BD288) = FALSE, "","Enviado")</f>
        <v/>
      </c>
      <c r="M111" s="51" t="str">
        <f>IF(_xlfn.ISFORMULA('Previsto x realizado'!BE288) = FALSE, "","Enviado")</f>
        <v/>
      </c>
      <c r="N111" s="51" t="str">
        <f>IF(_xlfn.ISFORMULA('Previsto x realizado'!BF288) = FALSE, "","Enviado")</f>
        <v/>
      </c>
      <c r="O111" s="51" t="str">
        <f>IF(_xlfn.ISFORMULA('Previsto x realizado'!BG288) = FALSE, "","Enviado")</f>
        <v/>
      </c>
      <c r="P111" s="51" t="str">
        <f>IF(_xlfn.ISFORMULA('Previsto x realizado'!BH288) = FALSE, "","Enviado")</f>
        <v/>
      </c>
    </row>
    <row r="112" spans="1:16" x14ac:dyDescent="0.3">
      <c r="A112" s="23" t="s">
        <v>134</v>
      </c>
      <c r="B112" s="4" t="s">
        <v>135</v>
      </c>
      <c r="C112" s="5" t="s">
        <v>95</v>
      </c>
      <c r="D112" s="4" t="s">
        <v>238</v>
      </c>
      <c r="E112" s="51" t="str">
        <f>IF(_xlfn.ISFORMULA('Previsto x realizado'!AW289) = FALSE, "","Enviado")</f>
        <v>Enviado</v>
      </c>
      <c r="F112" s="51" t="str">
        <f>IF(_xlfn.ISFORMULA('Previsto x realizado'!AX289) = FALSE, "","Enviado")</f>
        <v>Enviado</v>
      </c>
      <c r="G112" s="51" t="str">
        <f>IF(_xlfn.ISFORMULA('Previsto x realizado'!AY289) = FALSE, "","Enviado")</f>
        <v>Enviado</v>
      </c>
      <c r="H112" s="51" t="str">
        <f>IF(_xlfn.ISFORMULA('Previsto x realizado'!AZ289) = FALSE, "","Enviado")</f>
        <v>Enviado</v>
      </c>
      <c r="I112" s="51" t="str">
        <f>IF(_xlfn.ISFORMULA('Previsto x realizado'!BA289) = FALSE, "","Enviado")</f>
        <v/>
      </c>
      <c r="J112" s="51" t="str">
        <f>IF(_xlfn.ISFORMULA('Previsto x realizado'!BB289) = FALSE, "","Enviado")</f>
        <v/>
      </c>
      <c r="K112" s="51" t="str">
        <f>IF(_xlfn.ISFORMULA('Previsto x realizado'!BC289) = FALSE, "","Enviado")</f>
        <v/>
      </c>
      <c r="L112" s="51" t="str">
        <f>IF(_xlfn.ISFORMULA('Previsto x realizado'!BD289) = FALSE, "","Enviado")</f>
        <v/>
      </c>
      <c r="M112" s="51" t="str">
        <f>IF(_xlfn.ISFORMULA('Previsto x realizado'!BE289) = FALSE, "","Enviado")</f>
        <v/>
      </c>
      <c r="N112" s="51" t="str">
        <f>IF(_xlfn.ISFORMULA('Previsto x realizado'!BF289) = FALSE, "","Enviado")</f>
        <v/>
      </c>
      <c r="O112" s="51" t="str">
        <f>IF(_xlfn.ISFORMULA('Previsto x realizado'!BG289) = FALSE, "","Enviado")</f>
        <v/>
      </c>
      <c r="P112" s="51" t="str">
        <f>IF(_xlfn.ISFORMULA('Previsto x realizado'!BH289) = FALSE, "","Enviado")</f>
        <v/>
      </c>
    </row>
    <row r="113" spans="1:16" x14ac:dyDescent="0.3">
      <c r="A113" s="42" t="s">
        <v>134</v>
      </c>
      <c r="B113" s="4" t="s">
        <v>135</v>
      </c>
      <c r="C113" s="5" t="s">
        <v>95</v>
      </c>
      <c r="D113" s="4" t="s">
        <v>238</v>
      </c>
      <c r="E113" s="51" t="str">
        <f>IF(_xlfn.ISFORMULA('Previsto x realizado'!AW290) = FALSE, "","Enviado")</f>
        <v>Enviado</v>
      </c>
      <c r="F113" s="51" t="str">
        <f>IF(_xlfn.ISFORMULA('Previsto x realizado'!AX290) = FALSE, "","Enviado")</f>
        <v>Enviado</v>
      </c>
      <c r="G113" s="51" t="str">
        <f>IF(_xlfn.ISFORMULA('Previsto x realizado'!AY290) = FALSE, "","Enviado")</f>
        <v>Enviado</v>
      </c>
      <c r="H113" s="51" t="str">
        <f>IF(_xlfn.ISFORMULA('Previsto x realizado'!AZ290) = FALSE, "","Enviado")</f>
        <v>Enviado</v>
      </c>
      <c r="I113" s="51" t="str">
        <f>IF(_xlfn.ISFORMULA('Previsto x realizado'!BA290) = FALSE, "","Enviado")</f>
        <v/>
      </c>
      <c r="J113" s="51" t="str">
        <f>IF(_xlfn.ISFORMULA('Previsto x realizado'!BB290) = FALSE, "","Enviado")</f>
        <v/>
      </c>
      <c r="K113" s="51" t="str">
        <f>IF(_xlfn.ISFORMULA('Previsto x realizado'!BC290) = FALSE, "","Enviado")</f>
        <v/>
      </c>
      <c r="L113" s="51" t="str">
        <f>IF(_xlfn.ISFORMULA('Previsto x realizado'!BD290) = FALSE, "","Enviado")</f>
        <v/>
      </c>
      <c r="M113" s="51" t="str">
        <f>IF(_xlfn.ISFORMULA('Previsto x realizado'!BE290) = FALSE, "","Enviado")</f>
        <v/>
      </c>
      <c r="N113" s="51" t="str">
        <f>IF(_xlfn.ISFORMULA('Previsto x realizado'!BF290) = FALSE, "","Enviado")</f>
        <v/>
      </c>
      <c r="O113" s="51" t="str">
        <f>IF(_xlfn.ISFORMULA('Previsto x realizado'!BG290) = FALSE, "","Enviado")</f>
        <v/>
      </c>
      <c r="P113" s="51" t="str">
        <f>IF(_xlfn.ISFORMULA('Previsto x realizado'!BH290) = FALSE, "","Enviado")</f>
        <v/>
      </c>
    </row>
    <row r="114" spans="1:16" x14ac:dyDescent="0.3">
      <c r="A114" s="42" t="s">
        <v>134</v>
      </c>
      <c r="B114" s="4" t="s">
        <v>135</v>
      </c>
      <c r="C114" s="5" t="s">
        <v>95</v>
      </c>
      <c r="D114" s="4" t="s">
        <v>238</v>
      </c>
      <c r="E114" s="51" t="str">
        <f>IF(_xlfn.ISFORMULA('Previsto x realizado'!AW291) = FALSE, "","Enviado")</f>
        <v>Enviado</v>
      </c>
      <c r="F114" s="51" t="str">
        <f>IF(_xlfn.ISFORMULA('Previsto x realizado'!AX291) = FALSE, "","Enviado")</f>
        <v>Enviado</v>
      </c>
      <c r="G114" s="51" t="str">
        <f>IF(_xlfn.ISFORMULA('Previsto x realizado'!AY291) = FALSE, "","Enviado")</f>
        <v>Enviado</v>
      </c>
      <c r="H114" s="51" t="str">
        <f>IF(_xlfn.ISFORMULA('Previsto x realizado'!AZ291) = FALSE, "","Enviado")</f>
        <v>Enviado</v>
      </c>
      <c r="I114" s="51" t="str">
        <f>IF(_xlfn.ISFORMULA('Previsto x realizado'!BA291) = FALSE, "","Enviado")</f>
        <v/>
      </c>
      <c r="J114" s="51" t="str">
        <f>IF(_xlfn.ISFORMULA('Previsto x realizado'!BB291) = FALSE, "","Enviado")</f>
        <v/>
      </c>
      <c r="K114" s="51" t="str">
        <f>IF(_xlfn.ISFORMULA('Previsto x realizado'!BC291) = FALSE, "","Enviado")</f>
        <v/>
      </c>
      <c r="L114" s="51" t="str">
        <f>IF(_xlfn.ISFORMULA('Previsto x realizado'!BD291) = FALSE, "","Enviado")</f>
        <v/>
      </c>
      <c r="M114" s="51" t="str">
        <f>IF(_xlfn.ISFORMULA('Previsto x realizado'!BE291) = FALSE, "","Enviado")</f>
        <v/>
      </c>
      <c r="N114" s="51" t="str">
        <f>IF(_xlfn.ISFORMULA('Previsto x realizado'!BF291) = FALSE, "","Enviado")</f>
        <v/>
      </c>
      <c r="O114" s="51" t="str">
        <f>IF(_xlfn.ISFORMULA('Previsto x realizado'!BG291) = FALSE, "","Enviado")</f>
        <v/>
      </c>
      <c r="P114" s="51" t="str">
        <f>IF(_xlfn.ISFORMULA('Previsto x realizado'!BH291) = FALSE, "","Enviado")</f>
        <v/>
      </c>
    </row>
    <row r="115" spans="1:16" x14ac:dyDescent="0.3">
      <c r="A115" s="23" t="s">
        <v>134</v>
      </c>
      <c r="B115" s="4" t="s">
        <v>142</v>
      </c>
      <c r="C115" s="5" t="s">
        <v>95</v>
      </c>
      <c r="D115" s="4" t="s">
        <v>238</v>
      </c>
      <c r="E115" s="51" t="str">
        <f>IF(_xlfn.ISFORMULA('Previsto x realizado'!AW292) = FALSE, "","Enviado")</f>
        <v>Enviado</v>
      </c>
      <c r="F115" s="51" t="str">
        <f>IF(_xlfn.ISFORMULA('Previsto x realizado'!AX292) = FALSE, "","Enviado")</f>
        <v>Enviado</v>
      </c>
      <c r="G115" s="51" t="str">
        <f>IF(_xlfn.ISFORMULA('Previsto x realizado'!AY292) = FALSE, "","Enviado")</f>
        <v>Enviado</v>
      </c>
      <c r="H115" s="51" t="str">
        <f>IF(_xlfn.ISFORMULA('Previsto x realizado'!AZ292) = FALSE, "","Enviado")</f>
        <v>Enviado</v>
      </c>
      <c r="I115" s="51" t="str">
        <f>IF(_xlfn.ISFORMULA('Previsto x realizado'!BA292) = FALSE, "","Enviado")</f>
        <v/>
      </c>
      <c r="J115" s="51" t="str">
        <f>IF(_xlfn.ISFORMULA('Previsto x realizado'!BB292) = FALSE, "","Enviado")</f>
        <v/>
      </c>
      <c r="K115" s="51" t="str">
        <f>IF(_xlfn.ISFORMULA('Previsto x realizado'!BC292) = FALSE, "","Enviado")</f>
        <v/>
      </c>
      <c r="L115" s="51" t="str">
        <f>IF(_xlfn.ISFORMULA('Previsto x realizado'!BD292) = FALSE, "","Enviado")</f>
        <v/>
      </c>
      <c r="M115" s="51" t="str">
        <f>IF(_xlfn.ISFORMULA('Previsto x realizado'!BE292) = FALSE, "","Enviado")</f>
        <v/>
      </c>
      <c r="N115" s="51" t="str">
        <f>IF(_xlfn.ISFORMULA('Previsto x realizado'!BF292) = FALSE, "","Enviado")</f>
        <v/>
      </c>
      <c r="O115" s="51" t="str">
        <f>IF(_xlfn.ISFORMULA('Previsto x realizado'!BG292) = FALSE, "","Enviado")</f>
        <v/>
      </c>
      <c r="P115" s="51" t="str">
        <f>IF(_xlfn.ISFORMULA('Previsto x realizado'!BH292) = FALSE, "","Enviado")</f>
        <v/>
      </c>
    </row>
    <row r="116" spans="1:16" x14ac:dyDescent="0.3">
      <c r="A116" s="42" t="s">
        <v>134</v>
      </c>
      <c r="B116" s="4" t="s">
        <v>142</v>
      </c>
      <c r="C116" s="5" t="s">
        <v>95</v>
      </c>
      <c r="D116" s="4" t="s">
        <v>238</v>
      </c>
      <c r="E116" s="51" t="str">
        <f>IF(_xlfn.ISFORMULA('Previsto x realizado'!AW293) = FALSE, "","Enviado")</f>
        <v>Enviado</v>
      </c>
      <c r="F116" s="51" t="str">
        <f>IF(_xlfn.ISFORMULA('Previsto x realizado'!AX293) = FALSE, "","Enviado")</f>
        <v>Enviado</v>
      </c>
      <c r="G116" s="51" t="str">
        <f>IF(_xlfn.ISFORMULA('Previsto x realizado'!AY293) = FALSE, "","Enviado")</f>
        <v>Enviado</v>
      </c>
      <c r="H116" s="51" t="str">
        <f>IF(_xlfn.ISFORMULA('Previsto x realizado'!AZ293) = FALSE, "","Enviado")</f>
        <v>Enviado</v>
      </c>
      <c r="I116" s="51" t="str">
        <f>IF(_xlfn.ISFORMULA('Previsto x realizado'!BA293) = FALSE, "","Enviado")</f>
        <v/>
      </c>
      <c r="J116" s="51" t="str">
        <f>IF(_xlfn.ISFORMULA('Previsto x realizado'!BB293) = FALSE, "","Enviado")</f>
        <v/>
      </c>
      <c r="K116" s="51" t="str">
        <f>IF(_xlfn.ISFORMULA('Previsto x realizado'!BC293) = FALSE, "","Enviado")</f>
        <v/>
      </c>
      <c r="L116" s="51" t="str">
        <f>IF(_xlfn.ISFORMULA('Previsto x realizado'!BD293) = FALSE, "","Enviado")</f>
        <v/>
      </c>
      <c r="M116" s="51" t="str">
        <f>IF(_xlfn.ISFORMULA('Previsto x realizado'!BE293) = FALSE, "","Enviado")</f>
        <v/>
      </c>
      <c r="N116" s="51" t="str">
        <f>IF(_xlfn.ISFORMULA('Previsto x realizado'!BF293) = FALSE, "","Enviado")</f>
        <v/>
      </c>
      <c r="O116" s="51" t="str">
        <f>IF(_xlfn.ISFORMULA('Previsto x realizado'!BG293) = FALSE, "","Enviado")</f>
        <v/>
      </c>
      <c r="P116" s="51" t="str">
        <f>IF(_xlfn.ISFORMULA('Previsto x realizado'!BH293) = FALSE, "","Enviado")</f>
        <v/>
      </c>
    </row>
    <row r="117" spans="1:16" x14ac:dyDescent="0.3">
      <c r="A117" s="25" t="s">
        <v>134</v>
      </c>
      <c r="B117" s="15" t="s">
        <v>150</v>
      </c>
      <c r="C117" s="5" t="s">
        <v>95</v>
      </c>
      <c r="D117" s="4" t="s">
        <v>238</v>
      </c>
      <c r="E117" s="51" t="str">
        <f>IF(_xlfn.ISFORMULA('Previsto x realizado'!AW294) = FALSE, "","Enviado")</f>
        <v>Enviado</v>
      </c>
      <c r="F117" s="51" t="str">
        <f>IF(_xlfn.ISFORMULA('Previsto x realizado'!AX294) = FALSE, "","Enviado")</f>
        <v>Enviado</v>
      </c>
      <c r="G117" s="51" t="str">
        <f>IF(_xlfn.ISFORMULA('Previsto x realizado'!AY294) = FALSE, "","Enviado")</f>
        <v>Enviado</v>
      </c>
      <c r="H117" s="51" t="str">
        <f>IF(_xlfn.ISFORMULA('Previsto x realizado'!AZ294) = FALSE, "","Enviado")</f>
        <v>Enviado</v>
      </c>
      <c r="I117" s="51" t="str">
        <f>IF(_xlfn.ISFORMULA('Previsto x realizado'!BA294) = FALSE, "","Enviado")</f>
        <v/>
      </c>
      <c r="J117" s="51" t="str">
        <f>IF(_xlfn.ISFORMULA('Previsto x realizado'!BB294) = FALSE, "","Enviado")</f>
        <v/>
      </c>
      <c r="K117" s="51" t="str">
        <f>IF(_xlfn.ISFORMULA('Previsto x realizado'!BC294) = FALSE, "","Enviado")</f>
        <v/>
      </c>
      <c r="L117" s="51" t="str">
        <f>IF(_xlfn.ISFORMULA('Previsto x realizado'!BD294) = FALSE, "","Enviado")</f>
        <v/>
      </c>
      <c r="M117" s="51" t="str">
        <f>IF(_xlfn.ISFORMULA('Previsto x realizado'!BE294) = FALSE, "","Enviado")</f>
        <v/>
      </c>
      <c r="N117" s="51" t="str">
        <f>IF(_xlfn.ISFORMULA('Previsto x realizado'!BF294) = FALSE, "","Enviado")</f>
        <v/>
      </c>
      <c r="O117" s="51" t="str">
        <f>IF(_xlfn.ISFORMULA('Previsto x realizado'!BG294) = FALSE, "","Enviado")</f>
        <v/>
      </c>
      <c r="P117" s="51" t="str">
        <f>IF(_xlfn.ISFORMULA('Previsto x realizado'!BH294) = FALSE, "","Enviado")</f>
        <v/>
      </c>
    </row>
    <row r="118" spans="1:16" x14ac:dyDescent="0.3">
      <c r="A118" s="23" t="s">
        <v>134</v>
      </c>
      <c r="B118" s="4" t="s">
        <v>150</v>
      </c>
      <c r="C118" s="5" t="s">
        <v>95</v>
      </c>
      <c r="D118" s="4" t="s">
        <v>238</v>
      </c>
      <c r="E118" s="51" t="str">
        <f>IF(_xlfn.ISFORMULA('Previsto x realizado'!AW295) = FALSE, "","Enviado")</f>
        <v>Enviado</v>
      </c>
      <c r="F118" s="51" t="str">
        <f>IF(_xlfn.ISFORMULA('Previsto x realizado'!AX295) = FALSE, "","Enviado")</f>
        <v>Enviado</v>
      </c>
      <c r="G118" s="51" t="str">
        <f>IF(_xlfn.ISFORMULA('Previsto x realizado'!AY295) = FALSE, "","Enviado")</f>
        <v>Enviado</v>
      </c>
      <c r="H118" s="51" t="str">
        <f>IF(_xlfn.ISFORMULA('Previsto x realizado'!AZ295) = FALSE, "","Enviado")</f>
        <v>Enviado</v>
      </c>
      <c r="I118" s="51" t="str">
        <f>IF(_xlfn.ISFORMULA('Previsto x realizado'!BA295) = FALSE, "","Enviado")</f>
        <v/>
      </c>
      <c r="J118" s="51" t="str">
        <f>IF(_xlfn.ISFORMULA('Previsto x realizado'!BB295) = FALSE, "","Enviado")</f>
        <v/>
      </c>
      <c r="K118" s="51" t="str">
        <f>IF(_xlfn.ISFORMULA('Previsto x realizado'!BC295) = FALSE, "","Enviado")</f>
        <v/>
      </c>
      <c r="L118" s="51" t="str">
        <f>IF(_xlfn.ISFORMULA('Previsto x realizado'!BD295) = FALSE, "","Enviado")</f>
        <v/>
      </c>
      <c r="M118" s="51" t="str">
        <f>IF(_xlfn.ISFORMULA('Previsto x realizado'!BE295) = FALSE, "","Enviado")</f>
        <v/>
      </c>
      <c r="N118" s="51" t="str">
        <f>IF(_xlfn.ISFORMULA('Previsto x realizado'!BF295) = FALSE, "","Enviado")</f>
        <v/>
      </c>
      <c r="O118" s="51" t="str">
        <f>IF(_xlfn.ISFORMULA('Previsto x realizado'!BG295) = FALSE, "","Enviado")</f>
        <v/>
      </c>
      <c r="P118" s="51" t="str">
        <f>IF(_xlfn.ISFORMULA('Previsto x realizado'!BH295) = FALSE, "","Enviado")</f>
        <v/>
      </c>
    </row>
    <row r="119" spans="1:16" x14ac:dyDescent="0.3">
      <c r="A119" s="23" t="s">
        <v>134</v>
      </c>
      <c r="B119" s="4" t="s">
        <v>150</v>
      </c>
      <c r="C119" s="5" t="s">
        <v>95</v>
      </c>
      <c r="D119" s="4" t="s">
        <v>238</v>
      </c>
      <c r="E119" s="51" t="str">
        <f>IF(_xlfn.ISFORMULA('Previsto x realizado'!AW296) = FALSE, "","Enviado")</f>
        <v>Enviado</v>
      </c>
      <c r="F119" s="51" t="str">
        <f>IF(_xlfn.ISFORMULA('Previsto x realizado'!AX296) = FALSE, "","Enviado")</f>
        <v>Enviado</v>
      </c>
      <c r="G119" s="51" t="str">
        <f>IF(_xlfn.ISFORMULA('Previsto x realizado'!AY296) = FALSE, "","Enviado")</f>
        <v>Enviado</v>
      </c>
      <c r="H119" s="51" t="str">
        <f>IF(_xlfn.ISFORMULA('Previsto x realizado'!AZ296) = FALSE, "","Enviado")</f>
        <v>Enviado</v>
      </c>
      <c r="I119" s="51" t="str">
        <f>IF(_xlfn.ISFORMULA('Previsto x realizado'!BA296) = FALSE, "","Enviado")</f>
        <v/>
      </c>
      <c r="J119" s="51" t="str">
        <f>IF(_xlfn.ISFORMULA('Previsto x realizado'!BB296) = FALSE, "","Enviado")</f>
        <v/>
      </c>
      <c r="K119" s="51" t="str">
        <f>IF(_xlfn.ISFORMULA('Previsto x realizado'!BC296) = FALSE, "","Enviado")</f>
        <v/>
      </c>
      <c r="L119" s="51" t="str">
        <f>IF(_xlfn.ISFORMULA('Previsto x realizado'!BD296) = FALSE, "","Enviado")</f>
        <v/>
      </c>
      <c r="M119" s="51" t="str">
        <f>IF(_xlfn.ISFORMULA('Previsto x realizado'!BE296) = FALSE, "","Enviado")</f>
        <v/>
      </c>
      <c r="N119" s="51" t="str">
        <f>IF(_xlfn.ISFORMULA('Previsto x realizado'!BF296) = FALSE, "","Enviado")</f>
        <v/>
      </c>
      <c r="O119" s="51" t="str">
        <f>IF(_xlfn.ISFORMULA('Previsto x realizado'!BG296) = FALSE, "","Enviado")</f>
        <v/>
      </c>
      <c r="P119" s="51" t="str">
        <f>IF(_xlfn.ISFORMULA('Previsto x realizado'!BH296) = FALSE, "","Enviado")</f>
        <v/>
      </c>
    </row>
    <row r="120" spans="1:16" x14ac:dyDescent="0.3">
      <c r="A120" s="43" t="s">
        <v>134</v>
      </c>
      <c r="B120" s="15" t="s">
        <v>150</v>
      </c>
      <c r="C120" s="5" t="s">
        <v>95</v>
      </c>
      <c r="D120" s="4" t="s">
        <v>238</v>
      </c>
      <c r="E120" s="51" t="str">
        <f>IF(_xlfn.ISFORMULA('Previsto x realizado'!AW297) = FALSE, "","Enviado")</f>
        <v>Enviado</v>
      </c>
      <c r="F120" s="51" t="str">
        <f>IF(_xlfn.ISFORMULA('Previsto x realizado'!AX297) = FALSE, "","Enviado")</f>
        <v>Enviado</v>
      </c>
      <c r="G120" s="51" t="str">
        <f>IF(_xlfn.ISFORMULA('Previsto x realizado'!AY297) = FALSE, "","Enviado")</f>
        <v>Enviado</v>
      </c>
      <c r="H120" s="51" t="str">
        <f>IF(_xlfn.ISFORMULA('Previsto x realizado'!AZ297) = FALSE, "","Enviado")</f>
        <v>Enviado</v>
      </c>
      <c r="I120" s="51" t="str">
        <f>IF(_xlfn.ISFORMULA('Previsto x realizado'!BA297) = FALSE, "","Enviado")</f>
        <v/>
      </c>
      <c r="J120" s="51" t="str">
        <f>IF(_xlfn.ISFORMULA('Previsto x realizado'!BB297) = FALSE, "","Enviado")</f>
        <v/>
      </c>
      <c r="K120" s="51" t="str">
        <f>IF(_xlfn.ISFORMULA('Previsto x realizado'!BC297) = FALSE, "","Enviado")</f>
        <v/>
      </c>
      <c r="L120" s="51" t="str">
        <f>IF(_xlfn.ISFORMULA('Previsto x realizado'!BD297) = FALSE, "","Enviado")</f>
        <v/>
      </c>
      <c r="M120" s="51" t="str">
        <f>IF(_xlfn.ISFORMULA('Previsto x realizado'!BE297) = FALSE, "","Enviado")</f>
        <v/>
      </c>
      <c r="N120" s="51" t="str">
        <f>IF(_xlfn.ISFORMULA('Previsto x realizado'!BF297) = FALSE, "","Enviado")</f>
        <v/>
      </c>
      <c r="O120" s="51" t="str">
        <f>IF(_xlfn.ISFORMULA('Previsto x realizado'!BG297) = FALSE, "","Enviado")</f>
        <v/>
      </c>
      <c r="P120" s="51" t="str">
        <f>IF(_xlfn.ISFORMULA('Previsto x realizado'!BH297) = FALSE, "","Enviado")</f>
        <v/>
      </c>
    </row>
    <row r="121" spans="1:16" x14ac:dyDescent="0.3">
      <c r="A121" s="38" t="s">
        <v>134</v>
      </c>
      <c r="B121" s="4" t="s">
        <v>158</v>
      </c>
      <c r="C121" s="5" t="s">
        <v>95</v>
      </c>
      <c r="D121" s="4" t="s">
        <v>238</v>
      </c>
      <c r="E121" s="51" t="str">
        <f>IF(_xlfn.ISFORMULA('Previsto x realizado'!AW298) = FALSE, "","Enviado")</f>
        <v>Enviado</v>
      </c>
      <c r="F121" s="51" t="str">
        <f>IF(_xlfn.ISFORMULA('Previsto x realizado'!AX298) = FALSE, "","Enviado")</f>
        <v>Enviado</v>
      </c>
      <c r="G121" s="51" t="str">
        <f>IF(_xlfn.ISFORMULA('Previsto x realizado'!AY298) = FALSE, "","Enviado")</f>
        <v>Enviado</v>
      </c>
      <c r="H121" s="51" t="str">
        <f>IF(_xlfn.ISFORMULA('Previsto x realizado'!AZ298) = FALSE, "","Enviado")</f>
        <v>Enviado</v>
      </c>
      <c r="I121" s="51" t="str">
        <f>IF(_xlfn.ISFORMULA('Previsto x realizado'!BA298) = FALSE, "","Enviado")</f>
        <v/>
      </c>
      <c r="J121" s="51" t="str">
        <f>IF(_xlfn.ISFORMULA('Previsto x realizado'!BB298) = FALSE, "","Enviado")</f>
        <v/>
      </c>
      <c r="K121" s="51" t="str">
        <f>IF(_xlfn.ISFORMULA('Previsto x realizado'!BC298) = FALSE, "","Enviado")</f>
        <v/>
      </c>
      <c r="L121" s="51" t="str">
        <f>IF(_xlfn.ISFORMULA('Previsto x realizado'!BD298) = FALSE, "","Enviado")</f>
        <v/>
      </c>
      <c r="M121" s="51" t="str">
        <f>IF(_xlfn.ISFORMULA('Previsto x realizado'!BE298) = FALSE, "","Enviado")</f>
        <v/>
      </c>
      <c r="N121" s="51" t="str">
        <f>IF(_xlfn.ISFORMULA('Previsto x realizado'!BF298) = FALSE, "","Enviado")</f>
        <v/>
      </c>
      <c r="O121" s="51" t="str">
        <f>IF(_xlfn.ISFORMULA('Previsto x realizado'!BG298) = FALSE, "","Enviado")</f>
        <v/>
      </c>
      <c r="P121" s="51" t="str">
        <f>IF(_xlfn.ISFORMULA('Previsto x realizado'!BH298) = FALSE, "","Enviado")</f>
        <v/>
      </c>
    </row>
    <row r="122" spans="1:16" x14ac:dyDescent="0.3">
      <c r="A122" s="23" t="s">
        <v>134</v>
      </c>
      <c r="B122" s="4" t="s">
        <v>158</v>
      </c>
      <c r="C122" s="5" t="s">
        <v>95</v>
      </c>
      <c r="D122" s="4" t="s">
        <v>238</v>
      </c>
      <c r="E122" s="51" t="str">
        <f>IF(_xlfn.ISFORMULA('Previsto x realizado'!AW299) = FALSE, "","Enviado")</f>
        <v>Enviado</v>
      </c>
      <c r="F122" s="51" t="str">
        <f>IF(_xlfn.ISFORMULA('Previsto x realizado'!AX299) = FALSE, "","Enviado")</f>
        <v>Enviado</v>
      </c>
      <c r="G122" s="51" t="str">
        <f>IF(_xlfn.ISFORMULA('Previsto x realizado'!AY299) = FALSE, "","Enviado")</f>
        <v>Enviado</v>
      </c>
      <c r="H122" s="51" t="str">
        <f>IF(_xlfn.ISFORMULA('Previsto x realizado'!AZ299) = FALSE, "","Enviado")</f>
        <v>Enviado</v>
      </c>
      <c r="I122" s="51" t="str">
        <f>IF(_xlfn.ISFORMULA('Previsto x realizado'!BA299) = FALSE, "","Enviado")</f>
        <v/>
      </c>
      <c r="J122" s="51" t="str">
        <f>IF(_xlfn.ISFORMULA('Previsto x realizado'!BB299) = FALSE, "","Enviado")</f>
        <v/>
      </c>
      <c r="K122" s="51" t="str">
        <f>IF(_xlfn.ISFORMULA('Previsto x realizado'!BC299) = FALSE, "","Enviado")</f>
        <v/>
      </c>
      <c r="L122" s="51" t="str">
        <f>IF(_xlfn.ISFORMULA('Previsto x realizado'!BD299) = FALSE, "","Enviado")</f>
        <v/>
      </c>
      <c r="M122" s="51" t="str">
        <f>IF(_xlfn.ISFORMULA('Previsto x realizado'!BE299) = FALSE, "","Enviado")</f>
        <v/>
      </c>
      <c r="N122" s="51" t="str">
        <f>IF(_xlfn.ISFORMULA('Previsto x realizado'!BF299) = FALSE, "","Enviado")</f>
        <v/>
      </c>
      <c r="O122" s="51" t="str">
        <f>IF(_xlfn.ISFORMULA('Previsto x realizado'!BG299) = FALSE, "","Enviado")</f>
        <v/>
      </c>
      <c r="P122" s="51" t="str">
        <f>IF(_xlfn.ISFORMULA('Previsto x realizado'!BH299) = FALSE, "","Enviado")</f>
        <v/>
      </c>
    </row>
    <row r="123" spans="1:16" ht="27.6" x14ac:dyDescent="0.3">
      <c r="A123" s="42" t="s">
        <v>134</v>
      </c>
      <c r="B123" s="4" t="s">
        <v>158</v>
      </c>
      <c r="C123" s="5" t="s">
        <v>95</v>
      </c>
      <c r="D123" s="4" t="s">
        <v>267</v>
      </c>
      <c r="E123" s="51" t="str">
        <f>IF(_xlfn.ISFORMULA('Previsto x realizado'!AW300) = FALSE, "","Enviado")</f>
        <v>Enviado</v>
      </c>
      <c r="F123" s="51" t="str">
        <f>IF(_xlfn.ISFORMULA('Previsto x realizado'!AX300) = FALSE, "","Enviado")</f>
        <v>Enviado</v>
      </c>
      <c r="G123" s="51" t="str">
        <f>IF(_xlfn.ISFORMULA('Previsto x realizado'!AY300) = FALSE, "","Enviado")</f>
        <v>Enviado</v>
      </c>
      <c r="H123" s="51" t="str">
        <f>IF(_xlfn.ISFORMULA('Previsto x realizado'!AZ300) = FALSE, "","Enviado")</f>
        <v>Enviado</v>
      </c>
      <c r="I123" s="51" t="str">
        <f>IF(_xlfn.ISFORMULA('Previsto x realizado'!BA300) = FALSE, "","Enviado")</f>
        <v/>
      </c>
      <c r="J123" s="51" t="str">
        <f>IF(_xlfn.ISFORMULA('Previsto x realizado'!BB300) = FALSE, "","Enviado")</f>
        <v/>
      </c>
      <c r="K123" s="51" t="str">
        <f>IF(_xlfn.ISFORMULA('Previsto x realizado'!BC300) = FALSE, "","Enviado")</f>
        <v/>
      </c>
      <c r="L123" s="51" t="str">
        <f>IF(_xlfn.ISFORMULA('Previsto x realizado'!BD300) = FALSE, "","Enviado")</f>
        <v/>
      </c>
      <c r="M123" s="51" t="str">
        <f>IF(_xlfn.ISFORMULA('Previsto x realizado'!BE300) = FALSE, "","Enviado")</f>
        <v/>
      </c>
      <c r="N123" s="51" t="str">
        <f>IF(_xlfn.ISFORMULA('Previsto x realizado'!BF300) = FALSE, "","Enviado")</f>
        <v/>
      </c>
      <c r="O123" s="51" t="str">
        <f>IF(_xlfn.ISFORMULA('Previsto x realizado'!BG300) = FALSE, "","Enviado")</f>
        <v/>
      </c>
      <c r="P123" s="51" t="str">
        <f>IF(_xlfn.ISFORMULA('Previsto x realizado'!BH300) = FALSE, "","Enviado")</f>
        <v/>
      </c>
    </row>
    <row r="124" spans="1:16" x14ac:dyDescent="0.3">
      <c r="A124" s="23" t="s">
        <v>134</v>
      </c>
      <c r="B124" s="4" t="s">
        <v>167</v>
      </c>
      <c r="C124" s="5" t="s">
        <v>95</v>
      </c>
      <c r="D124" s="4" t="s">
        <v>238</v>
      </c>
      <c r="E124" s="51" t="str">
        <f>IF(_xlfn.ISFORMULA('Previsto x realizado'!AW301) = FALSE, "","Enviado")</f>
        <v>Enviado</v>
      </c>
      <c r="F124" s="51" t="str">
        <f>IF(_xlfn.ISFORMULA('Previsto x realizado'!AX301) = FALSE, "","Enviado")</f>
        <v>Enviado</v>
      </c>
      <c r="G124" s="51" t="str">
        <f>IF(_xlfn.ISFORMULA('Previsto x realizado'!AY301) = FALSE, "","Enviado")</f>
        <v>Enviado</v>
      </c>
      <c r="H124" s="51" t="str">
        <f>IF(_xlfn.ISFORMULA('Previsto x realizado'!AZ301) = FALSE, "","Enviado")</f>
        <v>Enviado</v>
      </c>
      <c r="I124" s="51" t="str">
        <f>IF(_xlfn.ISFORMULA('Previsto x realizado'!BA301) = FALSE, "","Enviado")</f>
        <v/>
      </c>
      <c r="J124" s="51" t="str">
        <f>IF(_xlfn.ISFORMULA('Previsto x realizado'!BB301) = FALSE, "","Enviado")</f>
        <v/>
      </c>
      <c r="K124" s="51" t="str">
        <f>IF(_xlfn.ISFORMULA('Previsto x realizado'!BC301) = FALSE, "","Enviado")</f>
        <v/>
      </c>
      <c r="L124" s="51" t="str">
        <f>IF(_xlfn.ISFORMULA('Previsto x realizado'!BD301) = FALSE, "","Enviado")</f>
        <v/>
      </c>
      <c r="M124" s="51" t="str">
        <f>IF(_xlfn.ISFORMULA('Previsto x realizado'!BE301) = FALSE, "","Enviado")</f>
        <v/>
      </c>
      <c r="N124" s="51" t="str">
        <f>IF(_xlfn.ISFORMULA('Previsto x realizado'!BF301) = FALSE, "","Enviado")</f>
        <v/>
      </c>
      <c r="O124" s="51" t="str">
        <f>IF(_xlfn.ISFORMULA('Previsto x realizado'!BG301) = FALSE, "","Enviado")</f>
        <v/>
      </c>
      <c r="P124" s="51" t="str">
        <f>IF(_xlfn.ISFORMULA('Previsto x realizado'!BH301) = FALSE, "","Enviado")</f>
        <v/>
      </c>
    </row>
    <row r="125" spans="1:16" x14ac:dyDescent="0.3">
      <c r="A125" s="23" t="s">
        <v>134</v>
      </c>
      <c r="B125" s="4" t="s">
        <v>167</v>
      </c>
      <c r="C125" s="5" t="s">
        <v>95</v>
      </c>
      <c r="D125" s="4" t="s">
        <v>238</v>
      </c>
      <c r="E125" s="51" t="str">
        <f>IF(_xlfn.ISFORMULA('Previsto x realizado'!AW302) = FALSE, "","Enviado")</f>
        <v>Enviado</v>
      </c>
      <c r="F125" s="51" t="str">
        <f>IF(_xlfn.ISFORMULA('Previsto x realizado'!AX302) = FALSE, "","Enviado")</f>
        <v>Enviado</v>
      </c>
      <c r="G125" s="51" t="str">
        <f>IF(_xlfn.ISFORMULA('Previsto x realizado'!AY302) = FALSE, "","Enviado")</f>
        <v>Enviado</v>
      </c>
      <c r="H125" s="51" t="str">
        <f>IF(_xlfn.ISFORMULA('Previsto x realizado'!AZ302) = FALSE, "","Enviado")</f>
        <v>Enviado</v>
      </c>
      <c r="I125" s="51" t="str">
        <f>IF(_xlfn.ISFORMULA('Previsto x realizado'!BA302) = FALSE, "","Enviado")</f>
        <v/>
      </c>
      <c r="J125" s="51" t="str">
        <f>IF(_xlfn.ISFORMULA('Previsto x realizado'!BB302) = FALSE, "","Enviado")</f>
        <v/>
      </c>
      <c r="K125" s="51" t="str">
        <f>IF(_xlfn.ISFORMULA('Previsto x realizado'!BC302) = FALSE, "","Enviado")</f>
        <v/>
      </c>
      <c r="L125" s="51" t="str">
        <f>IF(_xlfn.ISFORMULA('Previsto x realizado'!BD302) = FALSE, "","Enviado")</f>
        <v/>
      </c>
      <c r="M125" s="51" t="str">
        <f>IF(_xlfn.ISFORMULA('Previsto x realizado'!BE302) = FALSE, "","Enviado")</f>
        <v/>
      </c>
      <c r="N125" s="51" t="str">
        <f>IF(_xlfn.ISFORMULA('Previsto x realizado'!BF302) = FALSE, "","Enviado")</f>
        <v/>
      </c>
      <c r="O125" s="51" t="str">
        <f>IF(_xlfn.ISFORMULA('Previsto x realizado'!BG302) = FALSE, "","Enviado")</f>
        <v/>
      </c>
      <c r="P125" s="51" t="str">
        <f>IF(_xlfn.ISFORMULA('Previsto x realizado'!BH302) = FALSE, "","Enviado")</f>
        <v/>
      </c>
    </row>
    <row r="126" spans="1:16" ht="27.6" x14ac:dyDescent="0.3">
      <c r="A126" s="23" t="s">
        <v>134</v>
      </c>
      <c r="B126" s="4" t="s">
        <v>174</v>
      </c>
      <c r="C126" s="5" t="s">
        <v>95</v>
      </c>
      <c r="D126" s="4" t="s">
        <v>267</v>
      </c>
      <c r="E126" s="51" t="str">
        <f>IF(_xlfn.ISFORMULA('Previsto x realizado'!AW303) = FALSE, "","Enviado")</f>
        <v>Enviado</v>
      </c>
      <c r="F126" s="51" t="str">
        <f>IF(_xlfn.ISFORMULA('Previsto x realizado'!AX303) = FALSE, "","Enviado")</f>
        <v>Enviado</v>
      </c>
      <c r="G126" s="51" t="str">
        <f>IF(_xlfn.ISFORMULA('Previsto x realizado'!AY303) = FALSE, "","Enviado")</f>
        <v>Enviado</v>
      </c>
      <c r="H126" s="51" t="str">
        <f>IF(_xlfn.ISFORMULA('Previsto x realizado'!AZ303) = FALSE, "","Enviado")</f>
        <v>Enviado</v>
      </c>
      <c r="I126" s="51" t="str">
        <f>IF(_xlfn.ISFORMULA('Previsto x realizado'!BA303) = FALSE, "","Enviado")</f>
        <v/>
      </c>
      <c r="J126" s="51" t="str">
        <f>IF(_xlfn.ISFORMULA('Previsto x realizado'!BB303) = FALSE, "","Enviado")</f>
        <v/>
      </c>
      <c r="K126" s="51" t="str">
        <f>IF(_xlfn.ISFORMULA('Previsto x realizado'!BC303) = FALSE, "","Enviado")</f>
        <v/>
      </c>
      <c r="L126" s="51" t="str">
        <f>IF(_xlfn.ISFORMULA('Previsto x realizado'!BD303) = FALSE, "","Enviado")</f>
        <v/>
      </c>
      <c r="M126" s="51" t="str">
        <f>IF(_xlfn.ISFORMULA('Previsto x realizado'!BE303) = FALSE, "","Enviado")</f>
        <v/>
      </c>
      <c r="N126" s="51" t="str">
        <f>IF(_xlfn.ISFORMULA('Previsto x realizado'!BF303) = FALSE, "","Enviado")</f>
        <v/>
      </c>
      <c r="O126" s="51" t="str">
        <f>IF(_xlfn.ISFORMULA('Previsto x realizado'!BG303) = FALSE, "","Enviado")</f>
        <v/>
      </c>
      <c r="P126" s="51" t="str">
        <f>IF(_xlfn.ISFORMULA('Previsto x realizado'!BH303) = FALSE, "","Enviado")</f>
        <v/>
      </c>
    </row>
    <row r="127" spans="1:16" ht="27.6" x14ac:dyDescent="0.3">
      <c r="A127" s="23" t="s">
        <v>134</v>
      </c>
      <c r="B127" s="4" t="s">
        <v>174</v>
      </c>
      <c r="C127" s="5" t="s">
        <v>95</v>
      </c>
      <c r="D127" s="4" t="s">
        <v>267</v>
      </c>
      <c r="E127" s="51" t="str">
        <f>IF(_xlfn.ISFORMULA('Previsto x realizado'!AW304) = FALSE, "","Enviado")</f>
        <v>Enviado</v>
      </c>
      <c r="F127" s="51" t="str">
        <f>IF(_xlfn.ISFORMULA('Previsto x realizado'!AX304) = FALSE, "","Enviado")</f>
        <v>Enviado</v>
      </c>
      <c r="G127" s="51" t="str">
        <f>IF(_xlfn.ISFORMULA('Previsto x realizado'!AY304) = FALSE, "","Enviado")</f>
        <v>Enviado</v>
      </c>
      <c r="H127" s="51" t="str">
        <f>IF(_xlfn.ISFORMULA('Previsto x realizado'!AZ304) = FALSE, "","Enviado")</f>
        <v>Enviado</v>
      </c>
      <c r="I127" s="51" t="str">
        <f>IF(_xlfn.ISFORMULA('Previsto x realizado'!BA304) = FALSE, "","Enviado")</f>
        <v/>
      </c>
      <c r="J127" s="51" t="str">
        <f>IF(_xlfn.ISFORMULA('Previsto x realizado'!BB304) = FALSE, "","Enviado")</f>
        <v/>
      </c>
      <c r="K127" s="51" t="str">
        <f>IF(_xlfn.ISFORMULA('Previsto x realizado'!BC304) = FALSE, "","Enviado")</f>
        <v/>
      </c>
      <c r="L127" s="51" t="str">
        <f>IF(_xlfn.ISFORMULA('Previsto x realizado'!BD304) = FALSE, "","Enviado")</f>
        <v/>
      </c>
      <c r="M127" s="51" t="str">
        <f>IF(_xlfn.ISFORMULA('Previsto x realizado'!BE304) = FALSE, "","Enviado")</f>
        <v/>
      </c>
      <c r="N127" s="51" t="str">
        <f>IF(_xlfn.ISFORMULA('Previsto x realizado'!BF304) = FALSE, "","Enviado")</f>
        <v/>
      </c>
      <c r="O127" s="51" t="str">
        <f>IF(_xlfn.ISFORMULA('Previsto x realizado'!BG304) = FALSE, "","Enviado")</f>
        <v/>
      </c>
      <c r="P127" s="51" t="str">
        <f>IF(_xlfn.ISFORMULA('Previsto x realizado'!BH304) = FALSE, "","Enviado")</f>
        <v/>
      </c>
    </row>
    <row r="128" spans="1:16" ht="27.6" x14ac:dyDescent="0.3">
      <c r="A128" s="33" t="s">
        <v>175</v>
      </c>
      <c r="B128" s="4" t="s">
        <v>176</v>
      </c>
      <c r="C128" s="5" t="s">
        <v>95</v>
      </c>
      <c r="D128" s="4" t="s">
        <v>267</v>
      </c>
      <c r="E128" s="51" t="str">
        <f>IF(_xlfn.ISFORMULA('Previsto x realizado'!AW305) = FALSE, "","Enviado")</f>
        <v>Enviado</v>
      </c>
      <c r="F128" s="51" t="str">
        <f>IF(_xlfn.ISFORMULA('Previsto x realizado'!AX305) = FALSE, "","Enviado")</f>
        <v>Enviado</v>
      </c>
      <c r="G128" s="51" t="str">
        <f>IF(_xlfn.ISFORMULA('Previsto x realizado'!AY305) = FALSE, "","Enviado")</f>
        <v>Enviado</v>
      </c>
      <c r="H128" s="51" t="str">
        <f>IF(_xlfn.ISFORMULA('Previsto x realizado'!AZ305) = FALSE, "","Enviado")</f>
        <v>Enviado</v>
      </c>
      <c r="I128" s="51" t="str">
        <f>IF(_xlfn.ISFORMULA('Previsto x realizado'!BA305) = FALSE, "","Enviado")</f>
        <v/>
      </c>
      <c r="J128" s="51" t="str">
        <f>IF(_xlfn.ISFORMULA('Previsto x realizado'!BB305) = FALSE, "","Enviado")</f>
        <v/>
      </c>
      <c r="K128" s="51" t="str">
        <f>IF(_xlfn.ISFORMULA('Previsto x realizado'!BC305) = FALSE, "","Enviado")</f>
        <v/>
      </c>
      <c r="L128" s="51" t="str">
        <f>IF(_xlfn.ISFORMULA('Previsto x realizado'!BD305) = FALSE, "","Enviado")</f>
        <v/>
      </c>
      <c r="M128" s="51" t="str">
        <f>IF(_xlfn.ISFORMULA('Previsto x realizado'!BE305) = FALSE, "","Enviado")</f>
        <v/>
      </c>
      <c r="N128" s="51" t="str">
        <f>IF(_xlfn.ISFORMULA('Previsto x realizado'!BF305) = FALSE, "","Enviado")</f>
        <v/>
      </c>
      <c r="O128" s="51" t="str">
        <f>IF(_xlfn.ISFORMULA('Previsto x realizado'!BG305) = FALSE, "","Enviado")</f>
        <v/>
      </c>
      <c r="P128" s="51" t="str">
        <f>IF(_xlfn.ISFORMULA('Previsto x realizado'!BH305) = FALSE, "","Enviado")</f>
        <v/>
      </c>
    </row>
    <row r="129" spans="1:16" ht="27.6" x14ac:dyDescent="0.3">
      <c r="A129" s="44" t="s">
        <v>175</v>
      </c>
      <c r="B129" s="4" t="s">
        <v>176</v>
      </c>
      <c r="C129" s="5" t="s">
        <v>95</v>
      </c>
      <c r="D129" s="4" t="s">
        <v>267</v>
      </c>
      <c r="E129" s="51" t="str">
        <f>IF(_xlfn.ISFORMULA('Previsto x realizado'!AW306) = FALSE, "","Enviado")</f>
        <v>Enviado</v>
      </c>
      <c r="F129" s="51" t="str">
        <f>IF(_xlfn.ISFORMULA('Previsto x realizado'!AX306) = FALSE, "","Enviado")</f>
        <v>Enviado</v>
      </c>
      <c r="G129" s="51" t="str">
        <f>IF(_xlfn.ISFORMULA('Previsto x realizado'!AY306) = FALSE, "","Enviado")</f>
        <v>Enviado</v>
      </c>
      <c r="H129" s="51" t="str">
        <f>IF(_xlfn.ISFORMULA('Previsto x realizado'!AZ306) = FALSE, "","Enviado")</f>
        <v>Enviado</v>
      </c>
      <c r="I129" s="51" t="str">
        <f>IF(_xlfn.ISFORMULA('Previsto x realizado'!BA306) = FALSE, "","Enviado")</f>
        <v/>
      </c>
      <c r="J129" s="51" t="str">
        <f>IF(_xlfn.ISFORMULA('Previsto x realizado'!BB306) = FALSE, "","Enviado")</f>
        <v/>
      </c>
      <c r="K129" s="51" t="str">
        <f>IF(_xlfn.ISFORMULA('Previsto x realizado'!BC306) = FALSE, "","Enviado")</f>
        <v/>
      </c>
      <c r="L129" s="51" t="str">
        <f>IF(_xlfn.ISFORMULA('Previsto x realizado'!BD306) = FALSE, "","Enviado")</f>
        <v/>
      </c>
      <c r="M129" s="51" t="str">
        <f>IF(_xlfn.ISFORMULA('Previsto x realizado'!BE306) = FALSE, "","Enviado")</f>
        <v/>
      </c>
      <c r="N129" s="51" t="str">
        <f>IF(_xlfn.ISFORMULA('Previsto x realizado'!BF306) = FALSE, "","Enviado")</f>
        <v/>
      </c>
      <c r="O129" s="51" t="str">
        <f>IF(_xlfn.ISFORMULA('Previsto x realizado'!BG306) = FALSE, "","Enviado")</f>
        <v/>
      </c>
      <c r="P129" s="51" t="str">
        <f>IF(_xlfn.ISFORMULA('Previsto x realizado'!BH306) = FALSE, "","Enviado")</f>
        <v/>
      </c>
    </row>
    <row r="130" spans="1:16" ht="27.6" x14ac:dyDescent="0.3">
      <c r="A130" s="44" t="s">
        <v>175</v>
      </c>
      <c r="B130" s="4" t="s">
        <v>176</v>
      </c>
      <c r="C130" s="5" t="s">
        <v>95</v>
      </c>
      <c r="D130" s="4" t="s">
        <v>267</v>
      </c>
      <c r="E130" s="51" t="str">
        <f>IF(_xlfn.ISFORMULA('Previsto x realizado'!AW307) = FALSE, "","Enviado")</f>
        <v>Enviado</v>
      </c>
      <c r="F130" s="51" t="str">
        <f>IF(_xlfn.ISFORMULA('Previsto x realizado'!AX307) = FALSE, "","Enviado")</f>
        <v>Enviado</v>
      </c>
      <c r="G130" s="51" t="str">
        <f>IF(_xlfn.ISFORMULA('Previsto x realizado'!AY307) = FALSE, "","Enviado")</f>
        <v>Enviado</v>
      </c>
      <c r="H130" s="51" t="str">
        <f>IF(_xlfn.ISFORMULA('Previsto x realizado'!AZ307) = FALSE, "","Enviado")</f>
        <v>Enviado</v>
      </c>
      <c r="I130" s="51" t="str">
        <f>IF(_xlfn.ISFORMULA('Previsto x realizado'!BA307) = FALSE, "","Enviado")</f>
        <v/>
      </c>
      <c r="J130" s="51" t="str">
        <f>IF(_xlfn.ISFORMULA('Previsto x realizado'!BB307) = FALSE, "","Enviado")</f>
        <v/>
      </c>
      <c r="K130" s="51" t="str">
        <f>IF(_xlfn.ISFORMULA('Previsto x realizado'!BC307) = FALSE, "","Enviado")</f>
        <v/>
      </c>
      <c r="L130" s="51" t="str">
        <f>IF(_xlfn.ISFORMULA('Previsto x realizado'!BD307) = FALSE, "","Enviado")</f>
        <v/>
      </c>
      <c r="M130" s="51" t="str">
        <f>IF(_xlfn.ISFORMULA('Previsto x realizado'!BE307) = FALSE, "","Enviado")</f>
        <v/>
      </c>
      <c r="N130" s="51" t="str">
        <f>IF(_xlfn.ISFORMULA('Previsto x realizado'!BF307) = FALSE, "","Enviado")</f>
        <v/>
      </c>
      <c r="O130" s="51" t="str">
        <f>IF(_xlfn.ISFORMULA('Previsto x realizado'!BG307) = FALSE, "","Enviado")</f>
        <v/>
      </c>
      <c r="P130" s="51" t="str">
        <f>IF(_xlfn.ISFORMULA('Previsto x realizado'!BH307) = FALSE, "","Enviado")</f>
        <v/>
      </c>
    </row>
    <row r="131" spans="1:16" ht="27.6" x14ac:dyDescent="0.3">
      <c r="A131" s="33" t="s">
        <v>175</v>
      </c>
      <c r="B131" s="4" t="s">
        <v>184</v>
      </c>
      <c r="C131" s="5" t="s">
        <v>95</v>
      </c>
      <c r="D131" s="4" t="s">
        <v>267</v>
      </c>
      <c r="E131" s="51" t="str">
        <f>IF(_xlfn.ISFORMULA('Previsto x realizado'!AW308) = FALSE, "","Enviado")</f>
        <v>Enviado</v>
      </c>
      <c r="F131" s="51" t="str">
        <f>IF(_xlfn.ISFORMULA('Previsto x realizado'!AX308) = FALSE, "","Enviado")</f>
        <v>Enviado</v>
      </c>
      <c r="G131" s="51" t="str">
        <f>IF(_xlfn.ISFORMULA('Previsto x realizado'!AY308) = FALSE, "","Enviado")</f>
        <v>Enviado</v>
      </c>
      <c r="H131" s="51" t="str">
        <f>IF(_xlfn.ISFORMULA('Previsto x realizado'!AZ308) = FALSE, "","Enviado")</f>
        <v>Enviado</v>
      </c>
      <c r="I131" s="51" t="str">
        <f>IF(_xlfn.ISFORMULA('Previsto x realizado'!BA308) = FALSE, "","Enviado")</f>
        <v/>
      </c>
      <c r="J131" s="51" t="str">
        <f>IF(_xlfn.ISFORMULA('Previsto x realizado'!BB308) = FALSE, "","Enviado")</f>
        <v/>
      </c>
      <c r="K131" s="51" t="str">
        <f>IF(_xlfn.ISFORMULA('Previsto x realizado'!BC308) = FALSE, "","Enviado")</f>
        <v/>
      </c>
      <c r="L131" s="51" t="str">
        <f>IF(_xlfn.ISFORMULA('Previsto x realizado'!BD308) = FALSE, "","Enviado")</f>
        <v/>
      </c>
      <c r="M131" s="51" t="str">
        <f>IF(_xlfn.ISFORMULA('Previsto x realizado'!BE308) = FALSE, "","Enviado")</f>
        <v/>
      </c>
      <c r="N131" s="51" t="str">
        <f>IF(_xlfn.ISFORMULA('Previsto x realizado'!BF308) = FALSE, "","Enviado")</f>
        <v/>
      </c>
      <c r="O131" s="51" t="str">
        <f>IF(_xlfn.ISFORMULA('Previsto x realizado'!BG308) = FALSE, "","Enviado")</f>
        <v/>
      </c>
      <c r="P131" s="51" t="str">
        <f>IF(_xlfn.ISFORMULA('Previsto x realizado'!BH308) = FALSE, "","Enviado")</f>
        <v/>
      </c>
    </row>
    <row r="132" spans="1:16" ht="27.6" x14ac:dyDescent="0.3">
      <c r="A132" s="44" t="s">
        <v>175</v>
      </c>
      <c r="B132" s="4" t="s">
        <v>184</v>
      </c>
      <c r="C132" s="5" t="s">
        <v>95</v>
      </c>
      <c r="D132" s="4" t="s">
        <v>267</v>
      </c>
      <c r="E132" s="51" t="str">
        <f>IF(_xlfn.ISFORMULA('Previsto x realizado'!AW309) = FALSE, "","Enviado")</f>
        <v>Enviado</v>
      </c>
      <c r="F132" s="51" t="str">
        <f>IF(_xlfn.ISFORMULA('Previsto x realizado'!AX309) = FALSE, "","Enviado")</f>
        <v>Enviado</v>
      </c>
      <c r="G132" s="51" t="str">
        <f>IF(_xlfn.ISFORMULA('Previsto x realizado'!AY309) = FALSE, "","Enviado")</f>
        <v>Enviado</v>
      </c>
      <c r="H132" s="51" t="str">
        <f>IF(_xlfn.ISFORMULA('Previsto x realizado'!AZ309) = FALSE, "","Enviado")</f>
        <v>Enviado</v>
      </c>
      <c r="I132" s="51" t="str">
        <f>IF(_xlfn.ISFORMULA('Previsto x realizado'!BA309) = FALSE, "","Enviado")</f>
        <v/>
      </c>
      <c r="J132" s="51" t="str">
        <f>IF(_xlfn.ISFORMULA('Previsto x realizado'!BB309) = FALSE, "","Enviado")</f>
        <v/>
      </c>
      <c r="K132" s="51" t="str">
        <f>IF(_xlfn.ISFORMULA('Previsto x realizado'!BC309) = FALSE, "","Enviado")</f>
        <v/>
      </c>
      <c r="L132" s="51" t="str">
        <f>IF(_xlfn.ISFORMULA('Previsto x realizado'!BD309) = FALSE, "","Enviado")</f>
        <v/>
      </c>
      <c r="M132" s="51" t="str">
        <f>IF(_xlfn.ISFORMULA('Previsto x realizado'!BE309) = FALSE, "","Enviado")</f>
        <v/>
      </c>
      <c r="N132" s="51" t="str">
        <f>IF(_xlfn.ISFORMULA('Previsto x realizado'!BF309) = FALSE, "","Enviado")</f>
        <v/>
      </c>
      <c r="O132" s="51" t="str">
        <f>IF(_xlfn.ISFORMULA('Previsto x realizado'!BG309) = FALSE, "","Enviado")</f>
        <v/>
      </c>
      <c r="P132" s="51" t="str">
        <f>IF(_xlfn.ISFORMULA('Previsto x realizado'!BH309) = FALSE, "","Enviado")</f>
        <v/>
      </c>
    </row>
    <row r="133" spans="1:16" ht="27.6" x14ac:dyDescent="0.3">
      <c r="A133" s="44" t="s">
        <v>175</v>
      </c>
      <c r="B133" s="4" t="s">
        <v>184</v>
      </c>
      <c r="C133" s="5" t="s">
        <v>95</v>
      </c>
      <c r="D133" s="4" t="s">
        <v>267</v>
      </c>
      <c r="E133" s="51" t="str">
        <f>IF(_xlfn.ISFORMULA('Previsto x realizado'!AW310) = FALSE, "","Enviado")</f>
        <v>Enviado</v>
      </c>
      <c r="F133" s="51" t="str">
        <f>IF(_xlfn.ISFORMULA('Previsto x realizado'!AX310) = FALSE, "","Enviado")</f>
        <v>Enviado</v>
      </c>
      <c r="G133" s="51" t="str">
        <f>IF(_xlfn.ISFORMULA('Previsto x realizado'!AY310) = FALSE, "","Enviado")</f>
        <v>Enviado</v>
      </c>
      <c r="H133" s="51" t="str">
        <f>IF(_xlfn.ISFORMULA('Previsto x realizado'!AZ310) = FALSE, "","Enviado")</f>
        <v>Enviado</v>
      </c>
      <c r="I133" s="51" t="str">
        <f>IF(_xlfn.ISFORMULA('Previsto x realizado'!BA310) = FALSE, "","Enviado")</f>
        <v/>
      </c>
      <c r="J133" s="51" t="str">
        <f>IF(_xlfn.ISFORMULA('Previsto x realizado'!BB310) = FALSE, "","Enviado")</f>
        <v/>
      </c>
      <c r="K133" s="51" t="str">
        <f>IF(_xlfn.ISFORMULA('Previsto x realizado'!BC310) = FALSE, "","Enviado")</f>
        <v/>
      </c>
      <c r="L133" s="51" t="str">
        <f>IF(_xlfn.ISFORMULA('Previsto x realizado'!BD310) = FALSE, "","Enviado")</f>
        <v/>
      </c>
      <c r="M133" s="51" t="str">
        <f>IF(_xlfn.ISFORMULA('Previsto x realizado'!BE310) = FALSE, "","Enviado")</f>
        <v/>
      </c>
      <c r="N133" s="51" t="str">
        <f>IF(_xlfn.ISFORMULA('Previsto x realizado'!BF310) = FALSE, "","Enviado")</f>
        <v/>
      </c>
      <c r="O133" s="51" t="str">
        <f>IF(_xlfn.ISFORMULA('Previsto x realizado'!BG310) = FALSE, "","Enviado")</f>
        <v/>
      </c>
      <c r="P133" s="51" t="str">
        <f>IF(_xlfn.ISFORMULA('Previsto x realizado'!BH310) = FALSE, "","Enviado")</f>
        <v/>
      </c>
    </row>
    <row r="134" spans="1:16" ht="27.6" x14ac:dyDescent="0.3">
      <c r="A134" s="33" t="s">
        <v>175</v>
      </c>
      <c r="B134" s="4" t="s">
        <v>187</v>
      </c>
      <c r="C134" s="5" t="s">
        <v>95</v>
      </c>
      <c r="D134" s="4" t="s">
        <v>267</v>
      </c>
      <c r="E134" s="51" t="str">
        <f>IF(_xlfn.ISFORMULA('Previsto x realizado'!AW311) = FALSE, "","Enviado")</f>
        <v/>
      </c>
      <c r="F134" s="51" t="str">
        <f>IF(_xlfn.ISFORMULA('Previsto x realizado'!AX311) = FALSE, "","Enviado")</f>
        <v/>
      </c>
      <c r="G134" s="51" t="str">
        <f>IF(_xlfn.ISFORMULA('Previsto x realizado'!AY311) = FALSE, "","Enviado")</f>
        <v/>
      </c>
      <c r="H134" s="51" t="str">
        <f>IF(_xlfn.ISFORMULA('Previsto x realizado'!AZ311) = FALSE, "","Enviado")</f>
        <v/>
      </c>
      <c r="I134" s="51" t="str">
        <f>IF(_xlfn.ISFORMULA('Previsto x realizado'!BA311) = FALSE, "","Enviado")</f>
        <v/>
      </c>
      <c r="J134" s="51" t="str">
        <f>IF(_xlfn.ISFORMULA('Previsto x realizado'!BB311) = FALSE, "","Enviado")</f>
        <v/>
      </c>
      <c r="K134" s="51" t="str">
        <f>IF(_xlfn.ISFORMULA('Previsto x realizado'!BC311) = FALSE, "","Enviado")</f>
        <v/>
      </c>
      <c r="L134" s="51" t="str">
        <f>IF(_xlfn.ISFORMULA('Previsto x realizado'!BD311) = FALSE, "","Enviado")</f>
        <v/>
      </c>
      <c r="M134" s="51" t="str">
        <f>IF(_xlfn.ISFORMULA('Previsto x realizado'!BE311) = FALSE, "","Enviado")</f>
        <v/>
      </c>
      <c r="N134" s="51" t="str">
        <f>IF(_xlfn.ISFORMULA('Previsto x realizado'!BF311) = FALSE, "","Enviado")</f>
        <v/>
      </c>
      <c r="O134" s="51" t="str">
        <f>IF(_xlfn.ISFORMULA('Previsto x realizado'!BG311) = FALSE, "","Enviado")</f>
        <v/>
      </c>
      <c r="P134" s="51" t="str">
        <f>IF(_xlfn.ISFORMULA('Previsto x realizado'!BH311) = FALSE, "","Enviado")</f>
        <v/>
      </c>
    </row>
    <row r="135" spans="1:16" ht="27.6" x14ac:dyDescent="0.3">
      <c r="A135" s="44" t="s">
        <v>175</v>
      </c>
      <c r="B135" s="4" t="s">
        <v>187</v>
      </c>
      <c r="C135" s="5" t="s">
        <v>95</v>
      </c>
      <c r="D135" s="4" t="s">
        <v>267</v>
      </c>
      <c r="E135" s="51" t="str">
        <f>IF(_xlfn.ISFORMULA('Previsto x realizado'!AW312) = FALSE, "","Enviado")</f>
        <v>Enviado</v>
      </c>
      <c r="F135" s="51" t="str">
        <f>IF(_xlfn.ISFORMULA('Previsto x realizado'!AX312) = FALSE, "","Enviado")</f>
        <v/>
      </c>
      <c r="G135" s="51" t="str">
        <f>IF(_xlfn.ISFORMULA('Previsto x realizado'!AY312) = FALSE, "","Enviado")</f>
        <v/>
      </c>
      <c r="H135" s="51" t="str">
        <f>IF(_xlfn.ISFORMULA('Previsto x realizado'!AZ312) = FALSE, "","Enviado")</f>
        <v/>
      </c>
      <c r="I135" s="51" t="str">
        <f>IF(_xlfn.ISFORMULA('Previsto x realizado'!BA312) = FALSE, "","Enviado")</f>
        <v/>
      </c>
      <c r="J135" s="51" t="str">
        <f>IF(_xlfn.ISFORMULA('Previsto x realizado'!BB312) = FALSE, "","Enviado")</f>
        <v/>
      </c>
      <c r="K135" s="51" t="str">
        <f>IF(_xlfn.ISFORMULA('Previsto x realizado'!BC312) = FALSE, "","Enviado")</f>
        <v/>
      </c>
      <c r="L135" s="51" t="str">
        <f>IF(_xlfn.ISFORMULA('Previsto x realizado'!BD312) = FALSE, "","Enviado")</f>
        <v/>
      </c>
      <c r="M135" s="51" t="str">
        <f>IF(_xlfn.ISFORMULA('Previsto x realizado'!BE312) = FALSE, "","Enviado")</f>
        <v/>
      </c>
      <c r="N135" s="51" t="str">
        <f>IF(_xlfn.ISFORMULA('Previsto x realizado'!BF312) = FALSE, "","Enviado")</f>
        <v/>
      </c>
      <c r="O135" s="51" t="str">
        <f>IF(_xlfn.ISFORMULA('Previsto x realizado'!BG312) = FALSE, "","Enviado")</f>
        <v/>
      </c>
      <c r="P135" s="51" t="str">
        <f>IF(_xlfn.ISFORMULA('Previsto x realizado'!BH312) = FALSE, "","Enviado")</f>
        <v/>
      </c>
    </row>
    <row r="136" spans="1:16" ht="27.6" x14ac:dyDescent="0.3">
      <c r="A136" s="44" t="s">
        <v>175</v>
      </c>
      <c r="B136" s="4" t="s">
        <v>187</v>
      </c>
      <c r="C136" s="5" t="s">
        <v>95</v>
      </c>
      <c r="D136" s="4" t="s">
        <v>267</v>
      </c>
      <c r="E136" s="51" t="str">
        <f>IF(_xlfn.ISFORMULA('Previsto x realizado'!AW313) = FALSE, "","Enviado")</f>
        <v>Enviado</v>
      </c>
      <c r="F136" s="51" t="str">
        <f>IF(_xlfn.ISFORMULA('Previsto x realizado'!AX313) = FALSE, "","Enviado")</f>
        <v/>
      </c>
      <c r="G136" s="51" t="str">
        <f>IF(_xlfn.ISFORMULA('Previsto x realizado'!AY313) = FALSE, "","Enviado")</f>
        <v/>
      </c>
      <c r="H136" s="51" t="str">
        <f>IF(_xlfn.ISFORMULA('Previsto x realizado'!AZ313) = FALSE, "","Enviado")</f>
        <v/>
      </c>
      <c r="I136" s="51" t="str">
        <f>IF(_xlfn.ISFORMULA('Previsto x realizado'!BA313) = FALSE, "","Enviado")</f>
        <v/>
      </c>
      <c r="J136" s="51" t="str">
        <f>IF(_xlfn.ISFORMULA('Previsto x realizado'!BB313) = FALSE, "","Enviado")</f>
        <v/>
      </c>
      <c r="K136" s="51" t="str">
        <f>IF(_xlfn.ISFORMULA('Previsto x realizado'!BC313) = FALSE, "","Enviado")</f>
        <v/>
      </c>
      <c r="L136" s="51" t="str">
        <f>IF(_xlfn.ISFORMULA('Previsto x realizado'!BD313) = FALSE, "","Enviado")</f>
        <v/>
      </c>
      <c r="M136" s="51" t="str">
        <f>IF(_xlfn.ISFORMULA('Previsto x realizado'!BE313) = FALSE, "","Enviado")</f>
        <v/>
      </c>
      <c r="N136" s="51" t="str">
        <f>IF(_xlfn.ISFORMULA('Previsto x realizado'!BF313) = FALSE, "","Enviado")</f>
        <v/>
      </c>
      <c r="O136" s="51" t="str">
        <f>IF(_xlfn.ISFORMULA('Previsto x realizado'!BG313) = FALSE, "","Enviado")</f>
        <v/>
      </c>
      <c r="P136" s="51" t="str">
        <f>IF(_xlfn.ISFORMULA('Previsto x realizado'!BH313) = FALSE, "","Enviado")</f>
        <v/>
      </c>
    </row>
    <row r="137" spans="1:16" ht="27.6" x14ac:dyDescent="0.3">
      <c r="A137" s="33" t="s">
        <v>175</v>
      </c>
      <c r="B137" s="4" t="s">
        <v>194</v>
      </c>
      <c r="C137" s="5" t="s">
        <v>95</v>
      </c>
      <c r="D137" s="4" t="s">
        <v>267</v>
      </c>
      <c r="E137" s="51" t="str">
        <f>IF(_xlfn.ISFORMULA('Previsto x realizado'!AW314) = FALSE, "","Enviado")</f>
        <v/>
      </c>
      <c r="F137" s="51" t="str">
        <f>IF(_xlfn.ISFORMULA('Previsto x realizado'!AX314) = FALSE, "","Enviado")</f>
        <v/>
      </c>
      <c r="G137" s="51" t="str">
        <f>IF(_xlfn.ISFORMULA('Previsto x realizado'!AY314) = FALSE, "","Enviado")</f>
        <v/>
      </c>
      <c r="H137" s="51" t="str">
        <f>IF(_xlfn.ISFORMULA('Previsto x realizado'!AZ314) = FALSE, "","Enviado")</f>
        <v/>
      </c>
      <c r="I137" s="51" t="str">
        <f>IF(_xlfn.ISFORMULA('Previsto x realizado'!BA314) = FALSE, "","Enviado")</f>
        <v/>
      </c>
      <c r="J137" s="51" t="str">
        <f>IF(_xlfn.ISFORMULA('Previsto x realizado'!BB314) = FALSE, "","Enviado")</f>
        <v/>
      </c>
      <c r="K137" s="51" t="str">
        <f>IF(_xlfn.ISFORMULA('Previsto x realizado'!BC314) = FALSE, "","Enviado")</f>
        <v/>
      </c>
      <c r="L137" s="51" t="str">
        <f>IF(_xlfn.ISFORMULA('Previsto x realizado'!BD314) = FALSE, "","Enviado")</f>
        <v/>
      </c>
      <c r="M137" s="51" t="str">
        <f>IF(_xlfn.ISFORMULA('Previsto x realizado'!BE314) = FALSE, "","Enviado")</f>
        <v/>
      </c>
      <c r="N137" s="51" t="str">
        <f>IF(_xlfn.ISFORMULA('Previsto x realizado'!BF314) = FALSE, "","Enviado")</f>
        <v/>
      </c>
      <c r="O137" s="51" t="str">
        <f>IF(_xlfn.ISFORMULA('Previsto x realizado'!BG314) = FALSE, "","Enviado")</f>
        <v/>
      </c>
      <c r="P137" s="51" t="str">
        <f>IF(_xlfn.ISFORMULA('Previsto x realizado'!BH314) = FALSE, "","Enviado")</f>
        <v/>
      </c>
    </row>
    <row r="138" spans="1:16" ht="27.6" x14ac:dyDescent="0.3">
      <c r="A138" s="44" t="s">
        <v>175</v>
      </c>
      <c r="B138" s="4" t="s">
        <v>194</v>
      </c>
      <c r="C138" s="5" t="s">
        <v>95</v>
      </c>
      <c r="D138" s="4" t="s">
        <v>267</v>
      </c>
      <c r="E138" s="51" t="str">
        <f>IF(_xlfn.ISFORMULA('Previsto x realizado'!AW315) = FALSE, "","Enviado")</f>
        <v>Enviado</v>
      </c>
      <c r="F138" s="51" t="str">
        <f>IF(_xlfn.ISFORMULA('Previsto x realizado'!AX315) = FALSE, "","Enviado")</f>
        <v/>
      </c>
      <c r="G138" s="51" t="str">
        <f>IF(_xlfn.ISFORMULA('Previsto x realizado'!AY315) = FALSE, "","Enviado")</f>
        <v/>
      </c>
      <c r="H138" s="51" t="str">
        <f>IF(_xlfn.ISFORMULA('Previsto x realizado'!AZ315) = FALSE, "","Enviado")</f>
        <v/>
      </c>
      <c r="I138" s="51" t="str">
        <f>IF(_xlfn.ISFORMULA('Previsto x realizado'!BA315) = FALSE, "","Enviado")</f>
        <v/>
      </c>
      <c r="J138" s="51" t="str">
        <f>IF(_xlfn.ISFORMULA('Previsto x realizado'!BB315) = FALSE, "","Enviado")</f>
        <v/>
      </c>
      <c r="K138" s="51" t="str">
        <f>IF(_xlfn.ISFORMULA('Previsto x realizado'!BC315) = FALSE, "","Enviado")</f>
        <v/>
      </c>
      <c r="L138" s="51" t="str">
        <f>IF(_xlfn.ISFORMULA('Previsto x realizado'!BD315) = FALSE, "","Enviado")</f>
        <v/>
      </c>
      <c r="M138" s="51" t="str">
        <f>IF(_xlfn.ISFORMULA('Previsto x realizado'!BE315) = FALSE, "","Enviado")</f>
        <v/>
      </c>
      <c r="N138" s="51" t="str">
        <f>IF(_xlfn.ISFORMULA('Previsto x realizado'!BF315) = FALSE, "","Enviado")</f>
        <v/>
      </c>
      <c r="O138" s="51" t="str">
        <f>IF(_xlfn.ISFORMULA('Previsto x realizado'!BG315) = FALSE, "","Enviado")</f>
        <v/>
      </c>
      <c r="P138" s="51" t="str">
        <f>IF(_xlfn.ISFORMULA('Previsto x realizado'!BH315) = FALSE, "","Enviado")</f>
        <v/>
      </c>
    </row>
    <row r="139" spans="1:16" ht="27.6" x14ac:dyDescent="0.3">
      <c r="A139" s="44" t="s">
        <v>175</v>
      </c>
      <c r="B139" s="4" t="s">
        <v>194</v>
      </c>
      <c r="C139" s="5" t="s">
        <v>95</v>
      </c>
      <c r="D139" s="4" t="s">
        <v>267</v>
      </c>
      <c r="E139" s="51" t="str">
        <f>IF(_xlfn.ISFORMULA('Previsto x realizado'!AW316) = FALSE, "","Enviado")</f>
        <v>Enviado</v>
      </c>
      <c r="F139" s="51" t="str">
        <f>IF(_xlfn.ISFORMULA('Previsto x realizado'!AX316) = FALSE, "","Enviado")</f>
        <v/>
      </c>
      <c r="G139" s="51" t="str">
        <f>IF(_xlfn.ISFORMULA('Previsto x realizado'!AY316) = FALSE, "","Enviado")</f>
        <v/>
      </c>
      <c r="H139" s="51" t="str">
        <f>IF(_xlfn.ISFORMULA('Previsto x realizado'!AZ316) = FALSE, "","Enviado")</f>
        <v/>
      </c>
      <c r="I139" s="51" t="str">
        <f>IF(_xlfn.ISFORMULA('Previsto x realizado'!BA316) = FALSE, "","Enviado")</f>
        <v/>
      </c>
      <c r="J139" s="51" t="str">
        <f>IF(_xlfn.ISFORMULA('Previsto x realizado'!BB316) = FALSE, "","Enviado")</f>
        <v/>
      </c>
      <c r="K139" s="51" t="str">
        <f>IF(_xlfn.ISFORMULA('Previsto x realizado'!BC316) = FALSE, "","Enviado")</f>
        <v/>
      </c>
      <c r="L139" s="51" t="str">
        <f>IF(_xlfn.ISFORMULA('Previsto x realizado'!BD316) = FALSE, "","Enviado")</f>
        <v/>
      </c>
      <c r="M139" s="51" t="str">
        <f>IF(_xlfn.ISFORMULA('Previsto x realizado'!BE316) = FALSE, "","Enviado")</f>
        <v/>
      </c>
      <c r="N139" s="51" t="str">
        <f>IF(_xlfn.ISFORMULA('Previsto x realizado'!BF316) = FALSE, "","Enviado")</f>
        <v/>
      </c>
      <c r="O139" s="51" t="str">
        <f>IF(_xlfn.ISFORMULA('Previsto x realizado'!BG316) = FALSE, "","Enviado")</f>
        <v/>
      </c>
      <c r="P139" s="51" t="str">
        <f>IF(_xlfn.ISFORMULA('Previsto x realizado'!BH316) = FALSE, "","Enviado")</f>
        <v/>
      </c>
    </row>
    <row r="140" spans="1:16" ht="27.6" x14ac:dyDescent="0.3">
      <c r="A140" s="33" t="s">
        <v>175</v>
      </c>
      <c r="B140" s="4" t="s">
        <v>197</v>
      </c>
      <c r="C140" s="5" t="s">
        <v>95</v>
      </c>
      <c r="D140" s="4" t="s">
        <v>267</v>
      </c>
      <c r="E140" s="51" t="str">
        <f>IF(_xlfn.ISFORMULA('Previsto x realizado'!AW317) = FALSE, "","Enviado")</f>
        <v/>
      </c>
      <c r="F140" s="51" t="str">
        <f>IF(_xlfn.ISFORMULA('Previsto x realizado'!AX317) = FALSE, "","Enviado")</f>
        <v/>
      </c>
      <c r="G140" s="51" t="str">
        <f>IF(_xlfn.ISFORMULA('Previsto x realizado'!AY317) = FALSE, "","Enviado")</f>
        <v/>
      </c>
      <c r="H140" s="51" t="str">
        <f>IF(_xlfn.ISFORMULA('Previsto x realizado'!AZ317) = FALSE, "","Enviado")</f>
        <v/>
      </c>
      <c r="I140" s="51" t="str">
        <f>IF(_xlfn.ISFORMULA('Previsto x realizado'!BA317) = FALSE, "","Enviado")</f>
        <v/>
      </c>
      <c r="J140" s="51" t="str">
        <f>IF(_xlfn.ISFORMULA('Previsto x realizado'!BB317) = FALSE, "","Enviado")</f>
        <v/>
      </c>
      <c r="K140" s="51" t="str">
        <f>IF(_xlfn.ISFORMULA('Previsto x realizado'!BC317) = FALSE, "","Enviado")</f>
        <v/>
      </c>
      <c r="L140" s="51" t="str">
        <f>IF(_xlfn.ISFORMULA('Previsto x realizado'!BD317) = FALSE, "","Enviado")</f>
        <v/>
      </c>
      <c r="M140" s="51" t="str">
        <f>IF(_xlfn.ISFORMULA('Previsto x realizado'!BE317) = FALSE, "","Enviado")</f>
        <v/>
      </c>
      <c r="N140" s="51" t="str">
        <f>IF(_xlfn.ISFORMULA('Previsto x realizado'!BF317) = FALSE, "","Enviado")</f>
        <v/>
      </c>
      <c r="O140" s="51" t="str">
        <f>IF(_xlfn.ISFORMULA('Previsto x realizado'!BG317) = FALSE, "","Enviado")</f>
        <v/>
      </c>
      <c r="P140" s="51" t="str">
        <f>IF(_xlfn.ISFORMULA('Previsto x realizado'!BH317) = FALSE, "","Enviado")</f>
        <v/>
      </c>
    </row>
    <row r="141" spans="1:16" ht="27.6" x14ac:dyDescent="0.3">
      <c r="A141" s="44" t="s">
        <v>175</v>
      </c>
      <c r="B141" s="4" t="s">
        <v>197</v>
      </c>
      <c r="C141" s="5" t="s">
        <v>95</v>
      </c>
      <c r="D141" s="4" t="s">
        <v>267</v>
      </c>
      <c r="E141" s="51" t="str">
        <f>IF(_xlfn.ISFORMULA('Previsto x realizado'!AW318) = FALSE, "","Enviado")</f>
        <v>Enviado</v>
      </c>
      <c r="F141" s="51" t="str">
        <f>IF(_xlfn.ISFORMULA('Previsto x realizado'!AX318) = FALSE, "","Enviado")</f>
        <v/>
      </c>
      <c r="G141" s="51" t="str">
        <f>IF(_xlfn.ISFORMULA('Previsto x realizado'!AY318) = FALSE, "","Enviado")</f>
        <v/>
      </c>
      <c r="H141" s="51" t="str">
        <f>IF(_xlfn.ISFORMULA('Previsto x realizado'!AZ318) = FALSE, "","Enviado")</f>
        <v/>
      </c>
      <c r="I141" s="51" t="str">
        <f>IF(_xlfn.ISFORMULA('Previsto x realizado'!BA318) = FALSE, "","Enviado")</f>
        <v/>
      </c>
      <c r="J141" s="51" t="str">
        <f>IF(_xlfn.ISFORMULA('Previsto x realizado'!BB318) = FALSE, "","Enviado")</f>
        <v/>
      </c>
      <c r="K141" s="51" t="str">
        <f>IF(_xlfn.ISFORMULA('Previsto x realizado'!BC318) = FALSE, "","Enviado")</f>
        <v/>
      </c>
      <c r="L141" s="51" t="str">
        <f>IF(_xlfn.ISFORMULA('Previsto x realizado'!BD318) = FALSE, "","Enviado")</f>
        <v/>
      </c>
      <c r="M141" s="51" t="str">
        <f>IF(_xlfn.ISFORMULA('Previsto x realizado'!BE318) = FALSE, "","Enviado")</f>
        <v/>
      </c>
      <c r="N141" s="51" t="str">
        <f>IF(_xlfn.ISFORMULA('Previsto x realizado'!BF318) = FALSE, "","Enviado")</f>
        <v/>
      </c>
      <c r="O141" s="51" t="str">
        <f>IF(_xlfn.ISFORMULA('Previsto x realizado'!BG318) = FALSE, "","Enviado")</f>
        <v/>
      </c>
      <c r="P141" s="51" t="str">
        <f>IF(_xlfn.ISFORMULA('Previsto x realizado'!BH318) = FALSE, "","Enviado")</f>
        <v/>
      </c>
    </row>
    <row r="142" spans="1:16" ht="27.6" x14ac:dyDescent="0.3">
      <c r="A142" s="44" t="s">
        <v>175</v>
      </c>
      <c r="B142" s="4" t="s">
        <v>197</v>
      </c>
      <c r="C142" s="5" t="s">
        <v>95</v>
      </c>
      <c r="D142" s="4" t="s">
        <v>267</v>
      </c>
      <c r="E142" s="51" t="str">
        <f>IF(_xlfn.ISFORMULA('Previsto x realizado'!AW319) = FALSE, "","Enviado")</f>
        <v>Enviado</v>
      </c>
      <c r="F142" s="51" t="str">
        <f>IF(_xlfn.ISFORMULA('Previsto x realizado'!AX319) = FALSE, "","Enviado")</f>
        <v/>
      </c>
      <c r="G142" s="51" t="str">
        <f>IF(_xlfn.ISFORMULA('Previsto x realizado'!AY319) = FALSE, "","Enviado")</f>
        <v/>
      </c>
      <c r="H142" s="51" t="str">
        <f>IF(_xlfn.ISFORMULA('Previsto x realizado'!AZ319) = FALSE, "","Enviado")</f>
        <v/>
      </c>
      <c r="I142" s="51" t="str">
        <f>IF(_xlfn.ISFORMULA('Previsto x realizado'!BA319) = FALSE, "","Enviado")</f>
        <v/>
      </c>
      <c r="J142" s="51" t="str">
        <f>IF(_xlfn.ISFORMULA('Previsto x realizado'!BB319) = FALSE, "","Enviado")</f>
        <v/>
      </c>
      <c r="K142" s="51" t="str">
        <f>IF(_xlfn.ISFORMULA('Previsto x realizado'!BC319) = FALSE, "","Enviado")</f>
        <v/>
      </c>
      <c r="L142" s="51" t="str">
        <f>IF(_xlfn.ISFORMULA('Previsto x realizado'!BD319) = FALSE, "","Enviado")</f>
        <v/>
      </c>
      <c r="M142" s="51" t="str">
        <f>IF(_xlfn.ISFORMULA('Previsto x realizado'!BE319) = FALSE, "","Enviado")</f>
        <v/>
      </c>
      <c r="N142" s="51" t="str">
        <f>IF(_xlfn.ISFORMULA('Previsto x realizado'!BF319) = FALSE, "","Enviado")</f>
        <v/>
      </c>
      <c r="O142" s="51" t="str">
        <f>IF(_xlfn.ISFORMULA('Previsto x realizado'!BG319) = FALSE, "","Enviado")</f>
        <v/>
      </c>
      <c r="P142" s="51" t="str">
        <f>IF(_xlfn.ISFORMULA('Previsto x realizado'!BH319) = FALSE, "","Enviado")</f>
        <v/>
      </c>
    </row>
    <row r="143" spans="1:16" x14ac:dyDescent="0.3">
      <c r="A143" s="35" t="s">
        <v>44</v>
      </c>
      <c r="B143" s="10" t="s">
        <v>44</v>
      </c>
      <c r="C143" s="5" t="s">
        <v>95</v>
      </c>
      <c r="D143" s="10" t="s">
        <v>44</v>
      </c>
      <c r="E143" s="51" t="str">
        <f>IF(_xlfn.ISFORMULA('Previsto x realizado'!AW320) = FALSE, "","Enviado")</f>
        <v>Enviado</v>
      </c>
      <c r="F143" s="51" t="str">
        <f>IF(_xlfn.ISFORMULA('Previsto x realizado'!AX320) = FALSE, "","Enviado")</f>
        <v>Enviado</v>
      </c>
      <c r="G143" s="51" t="str">
        <f>IF(_xlfn.ISFORMULA('Previsto x realizado'!AY320) = FALSE, "","Enviado")</f>
        <v>Enviado</v>
      </c>
      <c r="H143" s="51" t="str">
        <f>IF(_xlfn.ISFORMULA('Previsto x realizado'!AZ320) = FALSE, "","Enviado")</f>
        <v>Enviado</v>
      </c>
      <c r="I143" s="51" t="str">
        <f>IF(_xlfn.ISFORMULA('Previsto x realizado'!BA320) = FALSE, "","Enviado")</f>
        <v/>
      </c>
      <c r="J143" s="51" t="str">
        <f>IF(_xlfn.ISFORMULA('Previsto x realizado'!BB320) = FALSE, "","Enviado")</f>
        <v/>
      </c>
      <c r="K143" s="51" t="str">
        <f>IF(_xlfn.ISFORMULA('Previsto x realizado'!BC320) = FALSE, "","Enviado")</f>
        <v/>
      </c>
      <c r="L143" s="51" t="str">
        <f>IF(_xlfn.ISFORMULA('Previsto x realizado'!BD320) = FALSE, "","Enviado")</f>
        <v/>
      </c>
      <c r="M143" s="51" t="str">
        <f>IF(_xlfn.ISFORMULA('Previsto x realizado'!BE320) = FALSE, "","Enviado")</f>
        <v/>
      </c>
      <c r="N143" s="51" t="str">
        <f>IF(_xlfn.ISFORMULA('Previsto x realizado'!BF320) = FALSE, "","Enviado")</f>
        <v/>
      </c>
      <c r="O143" s="51" t="str">
        <f>IF(_xlfn.ISFORMULA('Previsto x realizado'!BG320) = FALSE, "","Enviado")</f>
        <v/>
      </c>
      <c r="P143" s="51" t="str">
        <f>IF(_xlfn.ISFORMULA('Previsto x realizado'!BH320) = FALSE, "","Enviado")</f>
        <v/>
      </c>
    </row>
    <row r="144" spans="1:16" x14ac:dyDescent="0.3">
      <c r="A144" s="35" t="s">
        <v>44</v>
      </c>
      <c r="B144" s="10" t="s">
        <v>44</v>
      </c>
      <c r="C144" s="5" t="s">
        <v>95</v>
      </c>
      <c r="D144" s="10" t="s">
        <v>44</v>
      </c>
      <c r="E144" s="51" t="str">
        <f>IF(_xlfn.ISFORMULA('Previsto x realizado'!AW321) = FALSE, "","Enviado")</f>
        <v>Enviado</v>
      </c>
      <c r="F144" s="51" t="str">
        <f>IF(_xlfn.ISFORMULA('Previsto x realizado'!AX321) = FALSE, "","Enviado")</f>
        <v>Enviado</v>
      </c>
      <c r="G144" s="51" t="str">
        <f>IF(_xlfn.ISFORMULA('Previsto x realizado'!AY321) = FALSE, "","Enviado")</f>
        <v>Enviado</v>
      </c>
      <c r="H144" s="51" t="str">
        <f>IF(_xlfn.ISFORMULA('Previsto x realizado'!AZ321) = FALSE, "","Enviado")</f>
        <v>Enviado</v>
      </c>
      <c r="I144" s="51" t="str">
        <f>IF(_xlfn.ISFORMULA('Previsto x realizado'!BA321) = FALSE, "","Enviado")</f>
        <v/>
      </c>
      <c r="J144" s="51" t="str">
        <f>IF(_xlfn.ISFORMULA('Previsto x realizado'!BB321) = FALSE, "","Enviado")</f>
        <v/>
      </c>
      <c r="K144" s="51" t="str">
        <f>IF(_xlfn.ISFORMULA('Previsto x realizado'!BC321) = FALSE, "","Enviado")</f>
        <v/>
      </c>
      <c r="L144" s="51" t="str">
        <f>IF(_xlfn.ISFORMULA('Previsto x realizado'!BD321) = FALSE, "","Enviado")</f>
        <v/>
      </c>
      <c r="M144" s="51" t="str">
        <f>IF(_xlfn.ISFORMULA('Previsto x realizado'!BE321) = FALSE, "","Enviado")</f>
        <v/>
      </c>
      <c r="N144" s="51" t="str">
        <f>IF(_xlfn.ISFORMULA('Previsto x realizado'!BF321) = FALSE, "","Enviado")</f>
        <v/>
      </c>
      <c r="O144" s="51" t="str">
        <f>IF(_xlfn.ISFORMULA('Previsto x realizado'!BG321) = FALSE, "","Enviado")</f>
        <v/>
      </c>
      <c r="P144" s="51" t="str">
        <f>IF(_xlfn.ISFORMULA('Previsto x realizado'!BH321) = FALSE, "","Enviado")</f>
        <v/>
      </c>
    </row>
    <row r="145" spans="1:16" x14ac:dyDescent="0.3">
      <c r="A145" s="35" t="s">
        <v>44</v>
      </c>
      <c r="B145" s="10" t="s">
        <v>44</v>
      </c>
      <c r="C145" s="5" t="s">
        <v>95</v>
      </c>
      <c r="D145" s="10" t="s">
        <v>44</v>
      </c>
      <c r="E145" s="51" t="str">
        <f>IF(_xlfn.ISFORMULA('Previsto x realizado'!AW322) = FALSE, "","Enviado")</f>
        <v>Enviado</v>
      </c>
      <c r="F145" s="51" t="str">
        <f>IF(_xlfn.ISFORMULA('Previsto x realizado'!AX322) = FALSE, "","Enviado")</f>
        <v>Enviado</v>
      </c>
      <c r="G145" s="51" t="str">
        <f>IF(_xlfn.ISFORMULA('Previsto x realizado'!AY322) = FALSE, "","Enviado")</f>
        <v>Enviado</v>
      </c>
      <c r="H145" s="51" t="str">
        <f>IF(_xlfn.ISFORMULA('Previsto x realizado'!AZ322) = FALSE, "","Enviado")</f>
        <v>Enviado</v>
      </c>
      <c r="I145" s="51" t="str">
        <f>IF(_xlfn.ISFORMULA('Previsto x realizado'!BA322) = FALSE, "","Enviado")</f>
        <v/>
      </c>
      <c r="J145" s="51" t="str">
        <f>IF(_xlfn.ISFORMULA('Previsto x realizado'!BB322) = FALSE, "","Enviado")</f>
        <v/>
      </c>
      <c r="K145" s="51" t="str">
        <f>IF(_xlfn.ISFORMULA('Previsto x realizado'!BC322) = FALSE, "","Enviado")</f>
        <v/>
      </c>
      <c r="L145" s="51" t="str">
        <f>IF(_xlfn.ISFORMULA('Previsto x realizado'!BD322) = FALSE, "","Enviado")</f>
        <v/>
      </c>
      <c r="M145" s="51" t="str">
        <f>IF(_xlfn.ISFORMULA('Previsto x realizado'!BE322) = FALSE, "","Enviado")</f>
        <v/>
      </c>
      <c r="N145" s="51" t="str">
        <f>IF(_xlfn.ISFORMULA('Previsto x realizado'!BF322) = FALSE, "","Enviado")</f>
        <v/>
      </c>
      <c r="O145" s="51" t="str">
        <f>IF(_xlfn.ISFORMULA('Previsto x realizado'!BG322) = FALSE, "","Enviado")</f>
        <v/>
      </c>
      <c r="P145" s="51" t="str">
        <f>IF(_xlfn.ISFORMULA('Previsto x realizado'!BH322) = FALSE, "","Enviado")</f>
        <v/>
      </c>
    </row>
    <row r="146" spans="1:16" x14ac:dyDescent="0.3">
      <c r="A146" s="35" t="s">
        <v>44</v>
      </c>
      <c r="B146" s="10" t="s">
        <v>44</v>
      </c>
      <c r="C146" s="5" t="s">
        <v>95</v>
      </c>
      <c r="D146" s="10" t="s">
        <v>44</v>
      </c>
      <c r="E146" s="51" t="str">
        <f>IF(_xlfn.ISFORMULA('Previsto x realizado'!AW323) = FALSE, "","Enviado")</f>
        <v>Enviado</v>
      </c>
      <c r="F146" s="51" t="str">
        <f>IF(_xlfn.ISFORMULA('Previsto x realizado'!AX323) = FALSE, "","Enviado")</f>
        <v>Enviado</v>
      </c>
      <c r="G146" s="51" t="str">
        <f>IF(_xlfn.ISFORMULA('Previsto x realizado'!AY323) = FALSE, "","Enviado")</f>
        <v>Enviado</v>
      </c>
      <c r="H146" s="51" t="str">
        <f>IF(_xlfn.ISFORMULA('Previsto x realizado'!AZ323) = FALSE, "","Enviado")</f>
        <v>Enviado</v>
      </c>
      <c r="I146" s="51" t="str">
        <f>IF(_xlfn.ISFORMULA('Previsto x realizado'!BA323) = FALSE, "","Enviado")</f>
        <v/>
      </c>
      <c r="J146" s="51" t="str">
        <f>IF(_xlfn.ISFORMULA('Previsto x realizado'!BB323) = FALSE, "","Enviado")</f>
        <v/>
      </c>
      <c r="K146" s="51" t="str">
        <f>IF(_xlfn.ISFORMULA('Previsto x realizado'!BC323) = FALSE, "","Enviado")</f>
        <v/>
      </c>
      <c r="L146" s="51" t="str">
        <f>IF(_xlfn.ISFORMULA('Previsto x realizado'!BD323) = FALSE, "","Enviado")</f>
        <v/>
      </c>
      <c r="M146" s="51" t="str">
        <f>IF(_xlfn.ISFORMULA('Previsto x realizado'!BE323) = FALSE, "","Enviado")</f>
        <v/>
      </c>
      <c r="N146" s="51" t="str">
        <f>IF(_xlfn.ISFORMULA('Previsto x realizado'!BF323) = FALSE, "","Enviado")</f>
        <v/>
      </c>
      <c r="O146" s="51" t="str">
        <f>IF(_xlfn.ISFORMULA('Previsto x realizado'!BG323) = FALSE, "","Enviado")</f>
        <v/>
      </c>
      <c r="P146" s="51" t="str">
        <f>IF(_xlfn.ISFORMULA('Previsto x realizado'!BH323) = FALSE, "","Enviado")</f>
        <v/>
      </c>
    </row>
    <row r="147" spans="1:16" x14ac:dyDescent="0.3">
      <c r="A147" s="35" t="s">
        <v>44</v>
      </c>
      <c r="B147" s="10" t="s">
        <v>44</v>
      </c>
      <c r="C147" s="5" t="s">
        <v>95</v>
      </c>
      <c r="D147" s="10" t="s">
        <v>44</v>
      </c>
      <c r="E147" s="51" t="str">
        <f>IF(_xlfn.ISFORMULA('Previsto x realizado'!AW324) = FALSE, "","Enviado")</f>
        <v>Enviado</v>
      </c>
      <c r="F147" s="51" t="str">
        <f>IF(_xlfn.ISFORMULA('Previsto x realizado'!AX324) = FALSE, "","Enviado")</f>
        <v>Enviado</v>
      </c>
      <c r="G147" s="51" t="str">
        <f>IF(_xlfn.ISFORMULA('Previsto x realizado'!AY324) = FALSE, "","Enviado")</f>
        <v>Enviado</v>
      </c>
      <c r="H147" s="51" t="str">
        <f>IF(_xlfn.ISFORMULA('Previsto x realizado'!AZ324) = FALSE, "","Enviado")</f>
        <v>Enviado</v>
      </c>
      <c r="I147" s="51" t="str">
        <f>IF(_xlfn.ISFORMULA('Previsto x realizado'!BA324) = FALSE, "","Enviado")</f>
        <v/>
      </c>
      <c r="J147" s="51" t="str">
        <f>IF(_xlfn.ISFORMULA('Previsto x realizado'!BB324) = FALSE, "","Enviado")</f>
        <v/>
      </c>
      <c r="K147" s="51" t="str">
        <f>IF(_xlfn.ISFORMULA('Previsto x realizado'!BC324) = FALSE, "","Enviado")</f>
        <v/>
      </c>
      <c r="L147" s="51" t="str">
        <f>IF(_xlfn.ISFORMULA('Previsto x realizado'!BD324) = FALSE, "","Enviado")</f>
        <v/>
      </c>
      <c r="M147" s="51" t="str">
        <f>IF(_xlfn.ISFORMULA('Previsto x realizado'!BE324) = FALSE, "","Enviado")</f>
        <v/>
      </c>
      <c r="N147" s="51" t="str">
        <f>IF(_xlfn.ISFORMULA('Previsto x realizado'!BF324) = FALSE, "","Enviado")</f>
        <v/>
      </c>
      <c r="O147" s="51" t="str">
        <f>IF(_xlfn.ISFORMULA('Previsto x realizado'!BG324) = FALSE, "","Enviado")</f>
        <v/>
      </c>
      <c r="P147" s="51" t="str">
        <f>IF(_xlfn.ISFORMULA('Previsto x realizado'!BH324) = FALSE, "","Enviado")</f>
        <v/>
      </c>
    </row>
    <row r="148" spans="1:16" x14ac:dyDescent="0.3">
      <c r="A148" s="35" t="s">
        <v>44</v>
      </c>
      <c r="B148" s="10" t="s">
        <v>44</v>
      </c>
      <c r="C148" s="5" t="s">
        <v>95</v>
      </c>
      <c r="D148" s="10" t="s">
        <v>44</v>
      </c>
      <c r="E148" s="51" t="str">
        <f>IF(_xlfn.ISFORMULA('Previsto x realizado'!AW325) = FALSE, "","Enviado")</f>
        <v>Enviado</v>
      </c>
      <c r="F148" s="51" t="str">
        <f>IF(_xlfn.ISFORMULA('Previsto x realizado'!AX325) = FALSE, "","Enviado")</f>
        <v>Enviado</v>
      </c>
      <c r="G148" s="51" t="str">
        <f>IF(_xlfn.ISFORMULA('Previsto x realizado'!AY325) = FALSE, "","Enviado")</f>
        <v>Enviado</v>
      </c>
      <c r="H148" s="51" t="str">
        <f>IF(_xlfn.ISFORMULA('Previsto x realizado'!AZ325) = FALSE, "","Enviado")</f>
        <v>Enviado</v>
      </c>
      <c r="I148" s="51" t="str">
        <f>IF(_xlfn.ISFORMULA('Previsto x realizado'!BA325) = FALSE, "","Enviado")</f>
        <v/>
      </c>
      <c r="J148" s="51" t="str">
        <f>IF(_xlfn.ISFORMULA('Previsto x realizado'!BB325) = FALSE, "","Enviado")</f>
        <v/>
      </c>
      <c r="K148" s="51" t="str">
        <f>IF(_xlfn.ISFORMULA('Previsto x realizado'!BC325) = FALSE, "","Enviado")</f>
        <v/>
      </c>
      <c r="L148" s="51" t="str">
        <f>IF(_xlfn.ISFORMULA('Previsto x realizado'!BD325) = FALSE, "","Enviado")</f>
        <v/>
      </c>
      <c r="M148" s="51" t="str">
        <f>IF(_xlfn.ISFORMULA('Previsto x realizado'!BE325) = FALSE, "","Enviado")</f>
        <v/>
      </c>
      <c r="N148" s="51" t="str">
        <f>IF(_xlfn.ISFORMULA('Previsto x realizado'!BF325) = FALSE, "","Enviado")</f>
        <v/>
      </c>
      <c r="O148" s="51" t="str">
        <f>IF(_xlfn.ISFORMULA('Previsto x realizado'!BG325) = FALSE, "","Enviado")</f>
        <v/>
      </c>
      <c r="P148" s="51" t="str">
        <f>IF(_xlfn.ISFORMULA('Previsto x realizado'!BH325) = FALSE, "","Enviado")</f>
        <v/>
      </c>
    </row>
    <row r="149" spans="1:16" x14ac:dyDescent="0.3">
      <c r="A149" s="35" t="s">
        <v>44</v>
      </c>
      <c r="B149" s="10" t="s">
        <v>44</v>
      </c>
      <c r="C149" s="5" t="s">
        <v>95</v>
      </c>
      <c r="D149" s="10" t="s">
        <v>44</v>
      </c>
      <c r="E149" s="51" t="str">
        <f>IF(_xlfn.ISFORMULA('Previsto x realizado'!AW326) = FALSE, "","Enviado")</f>
        <v>Enviado</v>
      </c>
      <c r="F149" s="51" t="str">
        <f>IF(_xlfn.ISFORMULA('Previsto x realizado'!AX326) = FALSE, "","Enviado")</f>
        <v>Enviado</v>
      </c>
      <c r="G149" s="51" t="str">
        <f>IF(_xlfn.ISFORMULA('Previsto x realizado'!AY326) = FALSE, "","Enviado")</f>
        <v>Enviado</v>
      </c>
      <c r="H149" s="51" t="str">
        <f>IF(_xlfn.ISFORMULA('Previsto x realizado'!AZ326) = FALSE, "","Enviado")</f>
        <v>Enviado</v>
      </c>
      <c r="I149" s="51" t="str">
        <f>IF(_xlfn.ISFORMULA('Previsto x realizado'!BA326) = FALSE, "","Enviado")</f>
        <v/>
      </c>
      <c r="J149" s="51" t="str">
        <f>IF(_xlfn.ISFORMULA('Previsto x realizado'!BB326) = FALSE, "","Enviado")</f>
        <v/>
      </c>
      <c r="K149" s="51" t="str">
        <f>IF(_xlfn.ISFORMULA('Previsto x realizado'!BC326) = FALSE, "","Enviado")</f>
        <v/>
      </c>
      <c r="L149" s="51" t="str">
        <f>IF(_xlfn.ISFORMULA('Previsto x realizado'!BD326) = FALSE, "","Enviado")</f>
        <v/>
      </c>
      <c r="M149" s="51" t="str">
        <f>IF(_xlfn.ISFORMULA('Previsto x realizado'!BE326) = FALSE, "","Enviado")</f>
        <v/>
      </c>
      <c r="N149" s="51" t="str">
        <f>IF(_xlfn.ISFORMULA('Previsto x realizado'!BF326) = FALSE, "","Enviado")</f>
        <v/>
      </c>
      <c r="O149" s="51" t="str">
        <f>IF(_xlfn.ISFORMULA('Previsto x realizado'!BG326) = FALSE, "","Enviado")</f>
        <v/>
      </c>
      <c r="P149" s="51" t="str">
        <f>IF(_xlfn.ISFORMULA('Previsto x realizado'!BH326) = FALSE, "","Enviado")</f>
        <v/>
      </c>
    </row>
    <row r="150" spans="1:16" x14ac:dyDescent="0.3">
      <c r="A150" s="3" t="s">
        <v>33</v>
      </c>
      <c r="B150" s="4" t="s">
        <v>34</v>
      </c>
      <c r="C150" s="5" t="s">
        <v>97</v>
      </c>
      <c r="D150" s="4" t="s">
        <v>238</v>
      </c>
      <c r="E150" s="51" t="str">
        <f>IF(_xlfn.ISFORMULA('Previsto x realizado'!AW327) = FALSE, "","Enviado")</f>
        <v>Enviado</v>
      </c>
      <c r="F150" s="51" t="str">
        <f>IF(_xlfn.ISFORMULA('Previsto x realizado'!AX327) = FALSE, "","Enviado")</f>
        <v>Enviado</v>
      </c>
      <c r="G150" s="51" t="str">
        <f>IF(_xlfn.ISFORMULA('Previsto x realizado'!AY327) = FALSE, "","Enviado")</f>
        <v>Enviado</v>
      </c>
      <c r="H150" s="51" t="str">
        <f>IF(_xlfn.ISFORMULA('Previsto x realizado'!AZ327) = FALSE, "","Enviado")</f>
        <v>Enviado</v>
      </c>
      <c r="I150" s="51" t="str">
        <f>IF(_xlfn.ISFORMULA('Previsto x realizado'!BA327) = FALSE, "","Enviado")</f>
        <v>Enviado</v>
      </c>
      <c r="J150" s="51" t="str">
        <f>IF(_xlfn.ISFORMULA('Previsto x realizado'!BB327) = FALSE, "","Enviado")</f>
        <v/>
      </c>
      <c r="K150" s="51" t="str">
        <f>IF(_xlfn.ISFORMULA('Previsto x realizado'!BC327) = FALSE, "","Enviado")</f>
        <v/>
      </c>
      <c r="L150" s="51" t="str">
        <f>IF(_xlfn.ISFORMULA('Previsto x realizado'!BD327) = FALSE, "","Enviado")</f>
        <v/>
      </c>
      <c r="M150" s="51" t="str">
        <f>IF(_xlfn.ISFORMULA('Previsto x realizado'!BE327) = FALSE, "","Enviado")</f>
        <v/>
      </c>
      <c r="N150" s="51" t="str">
        <f>IF(_xlfn.ISFORMULA('Previsto x realizado'!BF327) = FALSE, "","Enviado")</f>
        <v/>
      </c>
      <c r="O150" s="51" t="str">
        <f>IF(_xlfn.ISFORMULA('Previsto x realizado'!BG327) = FALSE, "","Enviado")</f>
        <v/>
      </c>
      <c r="P150" s="51" t="str">
        <f>IF(_xlfn.ISFORMULA('Previsto x realizado'!BH327) = FALSE, "","Enviado")</f>
        <v/>
      </c>
    </row>
    <row r="151" spans="1:16" x14ac:dyDescent="0.3">
      <c r="A151" s="39" t="s">
        <v>33</v>
      </c>
      <c r="B151" s="4" t="s">
        <v>34</v>
      </c>
      <c r="C151" s="5" t="s">
        <v>97</v>
      </c>
      <c r="D151" s="4" t="s">
        <v>238</v>
      </c>
      <c r="E151" s="51" t="str">
        <f>IF(_xlfn.ISFORMULA('Previsto x realizado'!AW338) = FALSE, "","Enviado")</f>
        <v>Enviado</v>
      </c>
      <c r="F151" s="51" t="str">
        <f>IF(_xlfn.ISFORMULA('Previsto x realizado'!AX338) = FALSE, "","Enviado")</f>
        <v>Enviado</v>
      </c>
      <c r="G151" s="51" t="str">
        <f>IF(_xlfn.ISFORMULA('Previsto x realizado'!AY338) = FALSE, "","Enviado")</f>
        <v>Enviado</v>
      </c>
      <c r="H151" s="51" t="str">
        <f>IF(_xlfn.ISFORMULA('Previsto x realizado'!AZ338) = FALSE, "","Enviado")</f>
        <v>Enviado</v>
      </c>
      <c r="I151" s="51" t="str">
        <f>IF(_xlfn.ISFORMULA('Previsto x realizado'!BA338) = FALSE, "","Enviado")</f>
        <v>Enviado</v>
      </c>
      <c r="J151" s="51" t="str">
        <f>IF(_xlfn.ISFORMULA('Previsto x realizado'!BB338) = FALSE, "","Enviado")</f>
        <v/>
      </c>
      <c r="K151" s="51" t="str">
        <f>IF(_xlfn.ISFORMULA('Previsto x realizado'!BC338) = FALSE, "","Enviado")</f>
        <v/>
      </c>
      <c r="L151" s="51" t="str">
        <f>IF(_xlfn.ISFORMULA('Previsto x realizado'!BD338) = FALSE, "","Enviado")</f>
        <v/>
      </c>
      <c r="M151" s="51" t="str">
        <f>IF(_xlfn.ISFORMULA('Previsto x realizado'!BE338) = FALSE, "","Enviado")</f>
        <v/>
      </c>
      <c r="N151" s="51" t="str">
        <f>IF(_xlfn.ISFORMULA('Previsto x realizado'!BF338) = FALSE, "","Enviado")</f>
        <v/>
      </c>
      <c r="O151" s="51" t="str">
        <f>IF(_xlfn.ISFORMULA('Previsto x realizado'!BG338) = FALSE, "","Enviado")</f>
        <v/>
      </c>
      <c r="P151" s="51" t="str">
        <f>IF(_xlfn.ISFORMULA('Previsto x realizado'!BH338) = FALSE, "","Enviado")</f>
        <v/>
      </c>
    </row>
    <row r="152" spans="1:16" x14ac:dyDescent="0.3">
      <c r="A152" s="3" t="s">
        <v>33</v>
      </c>
      <c r="B152" s="4" t="s">
        <v>53</v>
      </c>
      <c r="C152" s="5" t="s">
        <v>97</v>
      </c>
      <c r="D152" s="4" t="s">
        <v>238</v>
      </c>
      <c r="E152" s="51" t="str">
        <f>IF(_xlfn.ISFORMULA('Previsto x realizado'!AW349) = FALSE, "","Enviado")</f>
        <v>Enviado</v>
      </c>
      <c r="F152" s="51" t="str">
        <f>IF(_xlfn.ISFORMULA('Previsto x realizado'!AX349) = FALSE, "","Enviado")</f>
        <v>Enviado</v>
      </c>
      <c r="G152" s="51" t="str">
        <f>IF(_xlfn.ISFORMULA('Previsto x realizado'!AY349) = FALSE, "","Enviado")</f>
        <v>Enviado</v>
      </c>
      <c r="H152" s="51" t="str">
        <f>IF(_xlfn.ISFORMULA('Previsto x realizado'!AZ349) = FALSE, "","Enviado")</f>
        <v>Enviado</v>
      </c>
      <c r="I152" s="51" t="str">
        <f>IF(_xlfn.ISFORMULA('Previsto x realizado'!BA349) = FALSE, "","Enviado")</f>
        <v>Enviado</v>
      </c>
      <c r="J152" s="51" t="str">
        <f>IF(_xlfn.ISFORMULA('Previsto x realizado'!BB349) = FALSE, "","Enviado")</f>
        <v/>
      </c>
      <c r="K152" s="51" t="str">
        <f>IF(_xlfn.ISFORMULA('Previsto x realizado'!BC349) = FALSE, "","Enviado")</f>
        <v/>
      </c>
      <c r="L152" s="51" t="str">
        <f>IF(_xlfn.ISFORMULA('Previsto x realizado'!BD349) = FALSE, "","Enviado")</f>
        <v/>
      </c>
      <c r="M152" s="51" t="str">
        <f>IF(_xlfn.ISFORMULA('Previsto x realizado'!BE349) = FALSE, "","Enviado")</f>
        <v/>
      </c>
      <c r="N152" s="51" t="str">
        <f>IF(_xlfn.ISFORMULA('Previsto x realizado'!BF349) = FALSE, "","Enviado")</f>
        <v/>
      </c>
      <c r="O152" s="51" t="str">
        <f>IF(_xlfn.ISFORMULA('Previsto x realizado'!BG349) = FALSE, "","Enviado")</f>
        <v/>
      </c>
      <c r="P152" s="51" t="str">
        <f>IF(_xlfn.ISFORMULA('Previsto x realizado'!BH349) = FALSE, "","Enviado")</f>
        <v/>
      </c>
    </row>
    <row r="153" spans="1:16" x14ac:dyDescent="0.3">
      <c r="A153" s="39" t="s">
        <v>33</v>
      </c>
      <c r="B153" s="4" t="s">
        <v>53</v>
      </c>
      <c r="C153" s="5" t="s">
        <v>97</v>
      </c>
      <c r="D153" s="4" t="s">
        <v>238</v>
      </c>
      <c r="E153" s="51" t="str">
        <f>IF(_xlfn.ISFORMULA('Previsto x realizado'!AW360) = FALSE, "","Enviado")</f>
        <v>Enviado</v>
      </c>
      <c r="F153" s="51" t="str">
        <f>IF(_xlfn.ISFORMULA('Previsto x realizado'!AX360) = FALSE, "","Enviado")</f>
        <v>Enviado</v>
      </c>
      <c r="G153" s="51" t="str">
        <f>IF(_xlfn.ISFORMULA('Previsto x realizado'!AY360) = FALSE, "","Enviado")</f>
        <v>Enviado</v>
      </c>
      <c r="H153" s="51" t="str">
        <f>IF(_xlfn.ISFORMULA('Previsto x realizado'!AZ360) = FALSE, "","Enviado")</f>
        <v>Enviado</v>
      </c>
      <c r="I153" s="51" t="str">
        <f>IF(_xlfn.ISFORMULA('Previsto x realizado'!BA360) = FALSE, "","Enviado")</f>
        <v>Enviado</v>
      </c>
      <c r="J153" s="51" t="str">
        <f>IF(_xlfn.ISFORMULA('Previsto x realizado'!BB360) = FALSE, "","Enviado")</f>
        <v/>
      </c>
      <c r="K153" s="51" t="str">
        <f>IF(_xlfn.ISFORMULA('Previsto x realizado'!BC360) = FALSE, "","Enviado")</f>
        <v/>
      </c>
      <c r="L153" s="51" t="str">
        <f>IF(_xlfn.ISFORMULA('Previsto x realizado'!BD360) = FALSE, "","Enviado")</f>
        <v/>
      </c>
      <c r="M153" s="51" t="str">
        <f>IF(_xlfn.ISFORMULA('Previsto x realizado'!BE360) = FALSE, "","Enviado")</f>
        <v/>
      </c>
      <c r="N153" s="51" t="str">
        <f>IF(_xlfn.ISFORMULA('Previsto x realizado'!BF360) = FALSE, "","Enviado")</f>
        <v/>
      </c>
      <c r="O153" s="51" t="str">
        <f>IF(_xlfn.ISFORMULA('Previsto x realizado'!BG360) = FALSE, "","Enviado")</f>
        <v/>
      </c>
      <c r="P153" s="51" t="str">
        <f>IF(_xlfn.ISFORMULA('Previsto x realizado'!BH360) = FALSE, "","Enviado")</f>
        <v/>
      </c>
    </row>
    <row r="154" spans="1:16" x14ac:dyDescent="0.3">
      <c r="A154" s="3" t="s">
        <v>33</v>
      </c>
      <c r="B154" s="4" t="s">
        <v>310</v>
      </c>
      <c r="C154" s="5" t="s">
        <v>97</v>
      </c>
      <c r="D154" s="4" t="s">
        <v>238</v>
      </c>
      <c r="E154" s="51" t="str">
        <f>IF(_xlfn.ISFORMULA('Previsto x realizado'!AW371) = FALSE, "","Enviado")</f>
        <v>Enviado</v>
      </c>
      <c r="F154" s="51" t="str">
        <f>IF(_xlfn.ISFORMULA('Previsto x realizado'!AX371) = FALSE, "","Enviado")</f>
        <v>Enviado</v>
      </c>
      <c r="G154" s="51" t="str">
        <f>IF(_xlfn.ISFORMULA('Previsto x realizado'!AY371) = FALSE, "","Enviado")</f>
        <v>Enviado</v>
      </c>
      <c r="H154" s="51" t="str">
        <f>IF(_xlfn.ISFORMULA('Previsto x realizado'!AZ371) = FALSE, "","Enviado")</f>
        <v>Enviado</v>
      </c>
      <c r="I154" s="51" t="str">
        <f>IF(_xlfn.ISFORMULA('Previsto x realizado'!BA371) = FALSE, "","Enviado")</f>
        <v>Enviado</v>
      </c>
      <c r="J154" s="51" t="str">
        <f>IF(_xlfn.ISFORMULA('Previsto x realizado'!BB371) = FALSE, "","Enviado")</f>
        <v/>
      </c>
      <c r="K154" s="51" t="str">
        <f>IF(_xlfn.ISFORMULA('Previsto x realizado'!BC371) = FALSE, "","Enviado")</f>
        <v/>
      </c>
      <c r="L154" s="51" t="str">
        <f>IF(_xlfn.ISFORMULA('Previsto x realizado'!BD371) = FALSE, "","Enviado")</f>
        <v/>
      </c>
      <c r="M154" s="51" t="str">
        <f>IF(_xlfn.ISFORMULA('Previsto x realizado'!BE371) = FALSE, "","Enviado")</f>
        <v/>
      </c>
      <c r="N154" s="51" t="str">
        <f>IF(_xlfn.ISFORMULA('Previsto x realizado'!BF371) = FALSE, "","Enviado")</f>
        <v/>
      </c>
      <c r="O154" s="51" t="str">
        <f>IF(_xlfn.ISFORMULA('Previsto x realizado'!BG371) = FALSE, "","Enviado")</f>
        <v/>
      </c>
      <c r="P154" s="51" t="str">
        <f>IF(_xlfn.ISFORMULA('Previsto x realizado'!BH371) = FALSE, "","Enviado")</f>
        <v/>
      </c>
    </row>
    <row r="155" spans="1:16" hidden="1" x14ac:dyDescent="0.3">
      <c r="A155" s="39" t="s">
        <v>33</v>
      </c>
      <c r="B155" s="4" t="s">
        <v>310</v>
      </c>
      <c r="C155" s="5" t="s">
        <v>97</v>
      </c>
      <c r="D155" s="4" t="s">
        <v>238</v>
      </c>
      <c r="E155" s="51" t="e">
        <f>IF(_xlfn.ISFORMULA('Previsto x realizado'!#REF!) = FALSE, "","Enviado")</f>
        <v>#REF!</v>
      </c>
      <c r="F155" s="51" t="e">
        <f>IF(_xlfn.ISFORMULA('Previsto x realizado'!#REF!) = FALSE, "","Enviado")</f>
        <v>#REF!</v>
      </c>
      <c r="G155" s="51" t="e">
        <f>IF(_xlfn.ISFORMULA('Previsto x realizado'!#REF!) = FALSE, "","Enviado")</f>
        <v>#REF!</v>
      </c>
      <c r="H155" s="51" t="e">
        <f>IF(_xlfn.ISFORMULA('Previsto x realizado'!#REF!) = FALSE, "","Enviado")</f>
        <v>#REF!</v>
      </c>
      <c r="I155" s="51" t="e">
        <f>IF(_xlfn.ISFORMULA('Previsto x realizado'!#REF!) = FALSE, "","Enviado")</f>
        <v>#REF!</v>
      </c>
      <c r="J155" s="51" t="e">
        <f>IF(_xlfn.ISFORMULA('Previsto x realizado'!#REF!) = FALSE, "","Enviado")</f>
        <v>#REF!</v>
      </c>
      <c r="K155" s="51" t="e">
        <f>IF(_xlfn.ISFORMULA('Previsto x realizado'!#REF!) = FALSE, "","Enviado")</f>
        <v>#REF!</v>
      </c>
      <c r="L155" s="51" t="e">
        <f>IF(_xlfn.ISFORMULA('Previsto x realizado'!#REF!) = FALSE, "","Enviado")</f>
        <v>#REF!</v>
      </c>
      <c r="M155" s="51" t="e">
        <f>IF(_xlfn.ISFORMULA('Previsto x realizado'!#REF!) = FALSE, "","Enviado")</f>
        <v>#REF!</v>
      </c>
      <c r="N155" s="51" t="e">
        <f>IF(_xlfn.ISFORMULA('Previsto x realizado'!#REF!) = FALSE, "","Enviado")</f>
        <v>#REF!</v>
      </c>
      <c r="O155" s="51" t="e">
        <f>IF(_xlfn.ISFORMULA('Previsto x realizado'!#REF!) = FALSE, "","Enviado")</f>
        <v>#REF!</v>
      </c>
      <c r="P155" s="51" t="e">
        <f>IF(_xlfn.ISFORMULA('Previsto x realizado'!#REF!) = FALSE, "","Enviado")</f>
        <v>#REF!</v>
      </c>
    </row>
    <row r="156" spans="1:16" x14ac:dyDescent="0.3">
      <c r="A156" s="39" t="s">
        <v>33</v>
      </c>
      <c r="B156" s="4" t="s">
        <v>310</v>
      </c>
      <c r="C156" s="5" t="s">
        <v>97</v>
      </c>
      <c r="D156" s="4" t="s">
        <v>238</v>
      </c>
      <c r="E156" s="51" t="str">
        <f>IF(_xlfn.ISFORMULA('Previsto x realizado'!AW382) = FALSE, "","Enviado")</f>
        <v>Enviado</v>
      </c>
      <c r="F156" s="51" t="str">
        <f>IF(_xlfn.ISFORMULA('Previsto x realizado'!AX382) = FALSE, "","Enviado")</f>
        <v>Enviado</v>
      </c>
      <c r="G156" s="51" t="str">
        <f>IF(_xlfn.ISFORMULA('Previsto x realizado'!AY382) = FALSE, "","Enviado")</f>
        <v>Enviado</v>
      </c>
      <c r="H156" s="51" t="str">
        <f>IF(_xlfn.ISFORMULA('Previsto x realizado'!AZ382) = FALSE, "","Enviado")</f>
        <v>Enviado</v>
      </c>
      <c r="I156" s="51" t="str">
        <f>IF(_xlfn.ISFORMULA('Previsto x realizado'!BA382) = FALSE, "","Enviado")</f>
        <v>Enviado</v>
      </c>
      <c r="J156" s="51" t="str">
        <f>IF(_xlfn.ISFORMULA('Previsto x realizado'!BB382) = FALSE, "","Enviado")</f>
        <v/>
      </c>
      <c r="K156" s="51" t="str">
        <f>IF(_xlfn.ISFORMULA('Previsto x realizado'!BC382) = FALSE, "","Enviado")</f>
        <v/>
      </c>
      <c r="L156" s="51" t="str">
        <f>IF(_xlfn.ISFORMULA('Previsto x realizado'!BD382) = FALSE, "","Enviado")</f>
        <v/>
      </c>
      <c r="M156" s="51" t="str">
        <f>IF(_xlfn.ISFORMULA('Previsto x realizado'!BE382) = FALSE, "","Enviado")</f>
        <v/>
      </c>
      <c r="N156" s="51" t="str">
        <f>IF(_xlfn.ISFORMULA('Previsto x realizado'!BF382) = FALSE, "","Enviado")</f>
        <v/>
      </c>
      <c r="O156" s="51" t="str">
        <f>IF(_xlfn.ISFORMULA('Previsto x realizado'!BG382) = FALSE, "","Enviado")</f>
        <v/>
      </c>
      <c r="P156" s="51" t="str">
        <f>IF(_xlfn.ISFORMULA('Previsto x realizado'!BH382) = FALSE, "","Enviado")</f>
        <v/>
      </c>
    </row>
    <row r="157" spans="1:16" x14ac:dyDescent="0.3">
      <c r="A157" s="3" t="s">
        <v>33</v>
      </c>
      <c r="B157" s="4" t="s">
        <v>70</v>
      </c>
      <c r="C157" s="5" t="s">
        <v>97</v>
      </c>
      <c r="D157" s="4" t="s">
        <v>238</v>
      </c>
      <c r="E157" s="51" t="str">
        <f>IF(_xlfn.ISFORMULA('Previsto x realizado'!AW393) = FALSE, "","Enviado")</f>
        <v>Enviado</v>
      </c>
      <c r="F157" s="51" t="str">
        <f>IF(_xlfn.ISFORMULA('Previsto x realizado'!AX393) = FALSE, "","Enviado")</f>
        <v>Enviado</v>
      </c>
      <c r="G157" s="51" t="str">
        <f>IF(_xlfn.ISFORMULA('Previsto x realizado'!AY393) = FALSE, "","Enviado")</f>
        <v>Enviado</v>
      </c>
      <c r="H157" s="51" t="str">
        <f>IF(_xlfn.ISFORMULA('Previsto x realizado'!AZ393) = FALSE, "","Enviado")</f>
        <v>Enviado</v>
      </c>
      <c r="I157" s="51" t="str">
        <f>IF(_xlfn.ISFORMULA('Previsto x realizado'!BA393) = FALSE, "","Enviado")</f>
        <v>Enviado</v>
      </c>
      <c r="J157" s="51" t="str">
        <f>IF(_xlfn.ISFORMULA('Previsto x realizado'!BB393) = FALSE, "","Enviado")</f>
        <v/>
      </c>
      <c r="K157" s="51" t="str">
        <f>IF(_xlfn.ISFORMULA('Previsto x realizado'!BC393) = FALSE, "","Enviado")</f>
        <v/>
      </c>
      <c r="L157" s="51" t="str">
        <f>IF(_xlfn.ISFORMULA('Previsto x realizado'!BD393) = FALSE, "","Enviado")</f>
        <v/>
      </c>
      <c r="M157" s="51" t="str">
        <f>IF(_xlfn.ISFORMULA('Previsto x realizado'!BE393) = FALSE, "","Enviado")</f>
        <v/>
      </c>
      <c r="N157" s="51" t="str">
        <f>IF(_xlfn.ISFORMULA('Previsto x realizado'!BF393) = FALSE, "","Enviado")</f>
        <v/>
      </c>
      <c r="O157" s="51" t="str">
        <f>IF(_xlfn.ISFORMULA('Previsto x realizado'!BG393) = FALSE, "","Enviado")</f>
        <v/>
      </c>
      <c r="P157" s="51" t="str">
        <f>IF(_xlfn.ISFORMULA('Previsto x realizado'!BH393) = FALSE, "","Enviado")</f>
        <v/>
      </c>
    </row>
    <row r="158" spans="1:16" x14ac:dyDescent="0.3">
      <c r="A158" s="39" t="s">
        <v>33</v>
      </c>
      <c r="B158" s="4" t="s">
        <v>70</v>
      </c>
      <c r="C158" s="5" t="s">
        <v>97</v>
      </c>
      <c r="D158" s="4" t="s">
        <v>238</v>
      </c>
      <c r="E158" s="51" t="str">
        <f>IF(_xlfn.ISFORMULA('Previsto x realizado'!AW404) = FALSE, "","Enviado")</f>
        <v>Enviado</v>
      </c>
      <c r="F158" s="51" t="str">
        <f>IF(_xlfn.ISFORMULA('Previsto x realizado'!AX404) = FALSE, "","Enviado")</f>
        <v>Enviado</v>
      </c>
      <c r="G158" s="51" t="str">
        <f>IF(_xlfn.ISFORMULA('Previsto x realizado'!AY404) = FALSE, "","Enviado")</f>
        <v>Enviado</v>
      </c>
      <c r="H158" s="51" t="str">
        <f>IF(_xlfn.ISFORMULA('Previsto x realizado'!AZ404) = FALSE, "","Enviado")</f>
        <v>Enviado</v>
      </c>
      <c r="I158" s="51" t="str">
        <f>IF(_xlfn.ISFORMULA('Previsto x realizado'!BA404) = FALSE, "","Enviado")</f>
        <v>Enviado</v>
      </c>
      <c r="J158" s="51" t="str">
        <f>IF(_xlfn.ISFORMULA('Previsto x realizado'!BB404) = FALSE, "","Enviado")</f>
        <v/>
      </c>
      <c r="K158" s="51" t="str">
        <f>IF(_xlfn.ISFORMULA('Previsto x realizado'!BC404) = FALSE, "","Enviado")</f>
        <v/>
      </c>
      <c r="L158" s="51" t="str">
        <f>IF(_xlfn.ISFORMULA('Previsto x realizado'!BD404) = FALSE, "","Enviado")</f>
        <v/>
      </c>
      <c r="M158" s="51" t="str">
        <f>IF(_xlfn.ISFORMULA('Previsto x realizado'!BE404) = FALSE, "","Enviado")</f>
        <v/>
      </c>
      <c r="N158" s="51" t="str">
        <f>IF(_xlfn.ISFORMULA('Previsto x realizado'!BF404) = FALSE, "","Enviado")</f>
        <v/>
      </c>
      <c r="O158" s="51" t="str">
        <f>IF(_xlfn.ISFORMULA('Previsto x realizado'!BG404) = FALSE, "","Enviado")</f>
        <v/>
      </c>
      <c r="P158" s="51" t="str">
        <f>IF(_xlfn.ISFORMULA('Previsto x realizado'!BH404) = FALSE, "","Enviado")</f>
        <v/>
      </c>
    </row>
    <row r="159" spans="1:16" x14ac:dyDescent="0.3">
      <c r="A159" s="3" t="s">
        <v>33</v>
      </c>
      <c r="B159" s="4" t="s">
        <v>73</v>
      </c>
      <c r="C159" s="5" t="s">
        <v>97</v>
      </c>
      <c r="D159" s="4" t="s">
        <v>238</v>
      </c>
      <c r="E159" s="51" t="str">
        <f>IF(_xlfn.ISFORMULA('Previsto x realizado'!AW415) = FALSE, "","Enviado")</f>
        <v>Enviado</v>
      </c>
      <c r="F159" s="51" t="str">
        <f>IF(_xlfn.ISFORMULA('Previsto x realizado'!AX415) = FALSE, "","Enviado")</f>
        <v>Enviado</v>
      </c>
      <c r="G159" s="51" t="str">
        <f>IF(_xlfn.ISFORMULA('Previsto x realizado'!AY415) = FALSE, "","Enviado")</f>
        <v>Enviado</v>
      </c>
      <c r="H159" s="51" t="str">
        <f>IF(_xlfn.ISFORMULA('Previsto x realizado'!AZ415) = FALSE, "","Enviado")</f>
        <v>Enviado</v>
      </c>
      <c r="I159" s="51" t="str">
        <f>IF(_xlfn.ISFORMULA('Previsto x realizado'!BA415) = FALSE, "","Enviado")</f>
        <v>Enviado</v>
      </c>
      <c r="J159" s="51" t="str">
        <f>IF(_xlfn.ISFORMULA('Previsto x realizado'!BB415) = FALSE, "","Enviado")</f>
        <v/>
      </c>
      <c r="K159" s="51" t="str">
        <f>IF(_xlfn.ISFORMULA('Previsto x realizado'!BC415) = FALSE, "","Enviado")</f>
        <v/>
      </c>
      <c r="L159" s="51" t="str">
        <f>IF(_xlfn.ISFORMULA('Previsto x realizado'!BD415) = FALSE, "","Enviado")</f>
        <v/>
      </c>
      <c r="M159" s="51" t="str">
        <f>IF(_xlfn.ISFORMULA('Previsto x realizado'!BE415) = FALSE, "","Enviado")</f>
        <v/>
      </c>
      <c r="N159" s="51" t="str">
        <f>IF(_xlfn.ISFORMULA('Previsto x realizado'!BF415) = FALSE, "","Enviado")</f>
        <v/>
      </c>
      <c r="O159" s="51" t="str">
        <f>IF(_xlfn.ISFORMULA('Previsto x realizado'!BG415) = FALSE, "","Enviado")</f>
        <v/>
      </c>
      <c r="P159" s="51" t="str">
        <f>IF(_xlfn.ISFORMULA('Previsto x realizado'!BH415) = FALSE, "","Enviado")</f>
        <v/>
      </c>
    </row>
    <row r="160" spans="1:16" x14ac:dyDescent="0.3">
      <c r="A160" s="39" t="s">
        <v>33</v>
      </c>
      <c r="B160" s="4" t="s">
        <v>73</v>
      </c>
      <c r="C160" s="5" t="s">
        <v>97</v>
      </c>
      <c r="D160" s="4" t="s">
        <v>238</v>
      </c>
      <c r="E160" s="51" t="str">
        <f>IF(_xlfn.ISFORMULA('Previsto x realizado'!AW426) = FALSE, "","Enviado")</f>
        <v>Enviado</v>
      </c>
      <c r="F160" s="51" t="str">
        <f>IF(_xlfn.ISFORMULA('Previsto x realizado'!AX426) = FALSE, "","Enviado")</f>
        <v>Enviado</v>
      </c>
      <c r="G160" s="51" t="str">
        <f>IF(_xlfn.ISFORMULA('Previsto x realizado'!AY426) = FALSE, "","Enviado")</f>
        <v>Enviado</v>
      </c>
      <c r="H160" s="51" t="str">
        <f>IF(_xlfn.ISFORMULA('Previsto x realizado'!AZ426) = FALSE, "","Enviado")</f>
        <v>Enviado</v>
      </c>
      <c r="I160" s="51" t="str">
        <f>IF(_xlfn.ISFORMULA('Previsto x realizado'!BA426) = FALSE, "","Enviado")</f>
        <v>Enviado</v>
      </c>
      <c r="J160" s="51" t="str">
        <f>IF(_xlfn.ISFORMULA('Previsto x realizado'!BB426) = FALSE, "","Enviado")</f>
        <v/>
      </c>
      <c r="K160" s="51" t="str">
        <f>IF(_xlfn.ISFORMULA('Previsto x realizado'!BC426) = FALSE, "","Enviado")</f>
        <v/>
      </c>
      <c r="L160" s="51" t="str">
        <f>IF(_xlfn.ISFORMULA('Previsto x realizado'!BD426) = FALSE, "","Enviado")</f>
        <v/>
      </c>
      <c r="M160" s="51" t="str">
        <f>IF(_xlfn.ISFORMULA('Previsto x realizado'!BE426) = FALSE, "","Enviado")</f>
        <v/>
      </c>
      <c r="N160" s="51" t="str">
        <f>IF(_xlfn.ISFORMULA('Previsto x realizado'!BF426) = FALSE, "","Enviado")</f>
        <v/>
      </c>
      <c r="O160" s="51" t="str">
        <f>IF(_xlfn.ISFORMULA('Previsto x realizado'!BG426) = FALSE, "","Enviado")</f>
        <v/>
      </c>
      <c r="P160" s="51" t="str">
        <f>IF(_xlfn.ISFORMULA('Previsto x realizado'!BH426) = FALSE, "","Enviado")</f>
        <v/>
      </c>
    </row>
    <row r="161" spans="1:16" x14ac:dyDescent="0.3">
      <c r="A161" s="3" t="s">
        <v>33</v>
      </c>
      <c r="B161" s="4" t="s">
        <v>77</v>
      </c>
      <c r="C161" s="5" t="s">
        <v>97</v>
      </c>
      <c r="D161" s="4" t="s">
        <v>238</v>
      </c>
      <c r="E161" s="51" t="str">
        <f>IF(_xlfn.ISFORMULA('Previsto x realizado'!AW437) = FALSE, "","Enviado")</f>
        <v>Enviado</v>
      </c>
      <c r="F161" s="51" t="str">
        <f>IF(_xlfn.ISFORMULA('Previsto x realizado'!AX437) = FALSE, "","Enviado")</f>
        <v>Enviado</v>
      </c>
      <c r="G161" s="51" t="str">
        <f>IF(_xlfn.ISFORMULA('Previsto x realizado'!AY437) = FALSE, "","Enviado")</f>
        <v>Enviado</v>
      </c>
      <c r="H161" s="51" t="str">
        <f>IF(_xlfn.ISFORMULA('Previsto x realizado'!AZ437) = FALSE, "","Enviado")</f>
        <v>Enviado</v>
      </c>
      <c r="I161" s="51" t="str">
        <f>IF(_xlfn.ISFORMULA('Previsto x realizado'!BA437) = FALSE, "","Enviado")</f>
        <v>Enviado</v>
      </c>
      <c r="J161" s="51" t="str">
        <f>IF(_xlfn.ISFORMULA('Previsto x realizado'!BB437) = FALSE, "","Enviado")</f>
        <v/>
      </c>
      <c r="K161" s="51" t="str">
        <f>IF(_xlfn.ISFORMULA('Previsto x realizado'!BC437) = FALSE, "","Enviado")</f>
        <v/>
      </c>
      <c r="L161" s="51" t="str">
        <f>IF(_xlfn.ISFORMULA('Previsto x realizado'!BD437) = FALSE, "","Enviado")</f>
        <v/>
      </c>
      <c r="M161" s="51" t="str">
        <f>IF(_xlfn.ISFORMULA('Previsto x realizado'!BE437) = FALSE, "","Enviado")</f>
        <v/>
      </c>
      <c r="N161" s="51" t="str">
        <f>IF(_xlfn.ISFORMULA('Previsto x realizado'!BF437) = FALSE, "","Enviado")</f>
        <v/>
      </c>
      <c r="O161" s="51" t="str">
        <f>IF(_xlfn.ISFORMULA('Previsto x realizado'!BG437) = FALSE, "","Enviado")</f>
        <v/>
      </c>
      <c r="P161" s="51" t="str">
        <f>IF(_xlfn.ISFORMULA('Previsto x realizado'!BH437) = FALSE, "","Enviado")</f>
        <v/>
      </c>
    </row>
    <row r="162" spans="1:16" x14ac:dyDescent="0.3">
      <c r="A162" s="39" t="s">
        <v>33</v>
      </c>
      <c r="B162" s="4" t="s">
        <v>77</v>
      </c>
      <c r="C162" s="5" t="s">
        <v>97</v>
      </c>
      <c r="D162" s="4" t="s">
        <v>238</v>
      </c>
      <c r="E162" s="51" t="str">
        <f>IF(_xlfn.ISFORMULA('Previsto x realizado'!AW448) = FALSE, "","Enviado")</f>
        <v>Enviado</v>
      </c>
      <c r="F162" s="51" t="str">
        <f>IF(_xlfn.ISFORMULA('Previsto x realizado'!AX448) = FALSE, "","Enviado")</f>
        <v>Enviado</v>
      </c>
      <c r="G162" s="51" t="str">
        <f>IF(_xlfn.ISFORMULA('Previsto x realizado'!AY448) = FALSE, "","Enviado")</f>
        <v>Enviado</v>
      </c>
      <c r="H162" s="51" t="str">
        <f>IF(_xlfn.ISFORMULA('Previsto x realizado'!AZ448) = FALSE, "","Enviado")</f>
        <v>Enviado</v>
      </c>
      <c r="I162" s="51" t="str">
        <f>IF(_xlfn.ISFORMULA('Previsto x realizado'!BA448) = FALSE, "","Enviado")</f>
        <v>Enviado</v>
      </c>
      <c r="J162" s="51" t="str">
        <f>IF(_xlfn.ISFORMULA('Previsto x realizado'!BB448) = FALSE, "","Enviado")</f>
        <v/>
      </c>
      <c r="K162" s="51" t="str">
        <f>IF(_xlfn.ISFORMULA('Previsto x realizado'!BC448) = FALSE, "","Enviado")</f>
        <v/>
      </c>
      <c r="L162" s="51" t="str">
        <f>IF(_xlfn.ISFORMULA('Previsto x realizado'!BD448) = FALSE, "","Enviado")</f>
        <v/>
      </c>
      <c r="M162" s="51" t="str">
        <f>IF(_xlfn.ISFORMULA('Previsto x realizado'!BE448) = FALSE, "","Enviado")</f>
        <v/>
      </c>
      <c r="N162" s="51" t="str">
        <f>IF(_xlfn.ISFORMULA('Previsto x realizado'!BF448) = FALSE, "","Enviado")</f>
        <v/>
      </c>
      <c r="O162" s="51" t="str">
        <f>IF(_xlfn.ISFORMULA('Previsto x realizado'!BG448) = FALSE, "","Enviado")</f>
        <v/>
      </c>
      <c r="P162" s="51" t="str">
        <f>IF(_xlfn.ISFORMULA('Previsto x realizado'!BH448) = FALSE, "","Enviado")</f>
        <v/>
      </c>
    </row>
    <row r="163" spans="1:16" x14ac:dyDescent="0.3">
      <c r="A163" s="3" t="s">
        <v>33</v>
      </c>
      <c r="B163" s="4" t="s">
        <v>81</v>
      </c>
      <c r="C163" s="5" t="s">
        <v>97</v>
      </c>
      <c r="D163" s="4" t="s">
        <v>238</v>
      </c>
      <c r="E163" s="51" t="str">
        <f>IF(_xlfn.ISFORMULA('Previsto x realizado'!AW459) = FALSE, "","Enviado")</f>
        <v>Enviado</v>
      </c>
      <c r="F163" s="51" t="str">
        <f>IF(_xlfn.ISFORMULA('Previsto x realizado'!AX459) = FALSE, "","Enviado")</f>
        <v>Enviado</v>
      </c>
      <c r="G163" s="51" t="str">
        <f>IF(_xlfn.ISFORMULA('Previsto x realizado'!AY459) = FALSE, "","Enviado")</f>
        <v>Enviado</v>
      </c>
      <c r="H163" s="51" t="str">
        <f>IF(_xlfn.ISFORMULA('Previsto x realizado'!AZ459) = FALSE, "","Enviado")</f>
        <v>Enviado</v>
      </c>
      <c r="I163" s="51" t="str">
        <f>IF(_xlfn.ISFORMULA('Previsto x realizado'!BA459) = FALSE, "","Enviado")</f>
        <v>Enviado</v>
      </c>
      <c r="J163" s="51" t="str">
        <f>IF(_xlfn.ISFORMULA('Previsto x realizado'!BB459) = FALSE, "","Enviado")</f>
        <v/>
      </c>
      <c r="K163" s="51" t="str">
        <f>IF(_xlfn.ISFORMULA('Previsto x realizado'!BC459) = FALSE, "","Enviado")</f>
        <v/>
      </c>
      <c r="L163" s="51" t="str">
        <f>IF(_xlfn.ISFORMULA('Previsto x realizado'!BD459) = FALSE, "","Enviado")</f>
        <v/>
      </c>
      <c r="M163" s="51" t="str">
        <f>IF(_xlfn.ISFORMULA('Previsto x realizado'!BE459) = FALSE, "","Enviado")</f>
        <v/>
      </c>
      <c r="N163" s="51" t="str">
        <f>IF(_xlfn.ISFORMULA('Previsto x realizado'!BF459) = FALSE, "","Enviado")</f>
        <v/>
      </c>
      <c r="O163" s="51" t="str">
        <f>IF(_xlfn.ISFORMULA('Previsto x realizado'!BG459) = FALSE, "","Enviado")</f>
        <v/>
      </c>
      <c r="P163" s="51" t="str">
        <f>IF(_xlfn.ISFORMULA('Previsto x realizado'!BH459) = FALSE, "","Enviado")</f>
        <v/>
      </c>
    </row>
    <row r="164" spans="1:16" x14ac:dyDescent="0.3">
      <c r="A164" s="39" t="s">
        <v>33</v>
      </c>
      <c r="B164" s="4" t="s">
        <v>81</v>
      </c>
      <c r="C164" s="5" t="s">
        <v>97</v>
      </c>
      <c r="D164" s="4" t="s">
        <v>238</v>
      </c>
      <c r="E164" s="51" t="str">
        <f>IF(_xlfn.ISFORMULA('Previsto x realizado'!AW470) = FALSE, "","Enviado")</f>
        <v>Enviado</v>
      </c>
      <c r="F164" s="51" t="str">
        <f>IF(_xlfn.ISFORMULA('Previsto x realizado'!AX470) = FALSE, "","Enviado")</f>
        <v>Enviado</v>
      </c>
      <c r="G164" s="51" t="str">
        <f>IF(_xlfn.ISFORMULA('Previsto x realizado'!AY470) = FALSE, "","Enviado")</f>
        <v>Enviado</v>
      </c>
      <c r="H164" s="51" t="str">
        <f>IF(_xlfn.ISFORMULA('Previsto x realizado'!AZ470) = FALSE, "","Enviado")</f>
        <v>Enviado</v>
      </c>
      <c r="I164" s="51" t="str">
        <f>IF(_xlfn.ISFORMULA('Previsto x realizado'!BA470) = FALSE, "","Enviado")</f>
        <v>Enviado</v>
      </c>
      <c r="J164" s="51" t="str">
        <f>IF(_xlfn.ISFORMULA('Previsto x realizado'!BB470) = FALSE, "","Enviado")</f>
        <v/>
      </c>
      <c r="K164" s="51" t="str">
        <f>IF(_xlfn.ISFORMULA('Previsto x realizado'!BC470) = FALSE, "","Enviado")</f>
        <v/>
      </c>
      <c r="L164" s="51" t="str">
        <f>IF(_xlfn.ISFORMULA('Previsto x realizado'!BD470) = FALSE, "","Enviado")</f>
        <v/>
      </c>
      <c r="M164" s="51" t="str">
        <f>IF(_xlfn.ISFORMULA('Previsto x realizado'!BE470) = FALSE, "","Enviado")</f>
        <v/>
      </c>
      <c r="N164" s="51" t="str">
        <f>IF(_xlfn.ISFORMULA('Previsto x realizado'!BF470) = FALSE, "","Enviado")</f>
        <v/>
      </c>
      <c r="O164" s="51" t="str">
        <f>IF(_xlfn.ISFORMULA('Previsto x realizado'!BG470) = FALSE, "","Enviado")</f>
        <v/>
      </c>
      <c r="P164" s="51" t="str">
        <f>IF(_xlfn.ISFORMULA('Previsto x realizado'!BH470) = FALSE, "","Enviado")</f>
        <v/>
      </c>
    </row>
    <row r="165" spans="1:16" ht="27.6" x14ac:dyDescent="0.3">
      <c r="A165" s="3" t="s">
        <v>33</v>
      </c>
      <c r="B165" s="4" t="s">
        <v>84</v>
      </c>
      <c r="C165" s="5" t="s">
        <v>97</v>
      </c>
      <c r="D165" s="4" t="s">
        <v>267</v>
      </c>
      <c r="E165" s="51" t="str">
        <f>IF(_xlfn.ISFORMULA('Previsto x realizado'!AW481) = FALSE, "","Enviado")</f>
        <v>Enviado</v>
      </c>
      <c r="F165" s="51" t="str">
        <f>IF(_xlfn.ISFORMULA('Previsto x realizado'!AX481) = FALSE, "","Enviado")</f>
        <v>Enviado</v>
      </c>
      <c r="G165" s="51" t="str">
        <f>IF(_xlfn.ISFORMULA('Previsto x realizado'!AY481) = FALSE, "","Enviado")</f>
        <v>Enviado</v>
      </c>
      <c r="H165" s="51" t="str">
        <f>IF(_xlfn.ISFORMULA('Previsto x realizado'!AZ481) = FALSE, "","Enviado")</f>
        <v>Enviado</v>
      </c>
      <c r="I165" s="51" t="str">
        <f>IF(_xlfn.ISFORMULA('Previsto x realizado'!BA481) = FALSE, "","Enviado")</f>
        <v>Enviado</v>
      </c>
      <c r="J165" s="51" t="str">
        <f>IF(_xlfn.ISFORMULA('Previsto x realizado'!BB481) = FALSE, "","Enviado")</f>
        <v/>
      </c>
      <c r="K165" s="51" t="str">
        <f>IF(_xlfn.ISFORMULA('Previsto x realizado'!BC481) = FALSE, "","Enviado")</f>
        <v/>
      </c>
      <c r="L165" s="51" t="str">
        <f>IF(_xlfn.ISFORMULA('Previsto x realizado'!BD481) = FALSE, "","Enviado")</f>
        <v/>
      </c>
      <c r="M165" s="51" t="str">
        <f>IF(_xlfn.ISFORMULA('Previsto x realizado'!BE481) = FALSE, "","Enviado")</f>
        <v/>
      </c>
      <c r="N165" s="51" t="str">
        <f>IF(_xlfn.ISFORMULA('Previsto x realizado'!BF481) = FALSE, "","Enviado")</f>
        <v/>
      </c>
      <c r="O165" s="51" t="str">
        <f>IF(_xlfn.ISFORMULA('Previsto x realizado'!BG481) = FALSE, "","Enviado")</f>
        <v/>
      </c>
      <c r="P165" s="51" t="str">
        <f>IF(_xlfn.ISFORMULA('Previsto x realizado'!BH481) = FALSE, "","Enviado")</f>
        <v/>
      </c>
    </row>
    <row r="166" spans="1:16" ht="27.6" hidden="1" x14ac:dyDescent="0.3">
      <c r="A166" s="39" t="s">
        <v>33</v>
      </c>
      <c r="B166" s="4" t="s">
        <v>84</v>
      </c>
      <c r="C166" s="5" t="s">
        <v>97</v>
      </c>
      <c r="D166" s="4" t="s">
        <v>267</v>
      </c>
      <c r="E166" s="51" t="e">
        <f>IF(_xlfn.ISFORMULA('Previsto x realizado'!#REF!) = FALSE, "","Enviado")</f>
        <v>#REF!</v>
      </c>
      <c r="F166" s="51" t="e">
        <f>IF(_xlfn.ISFORMULA('Previsto x realizado'!#REF!) = FALSE, "","Enviado")</f>
        <v>#REF!</v>
      </c>
      <c r="G166" s="51" t="e">
        <f>IF(_xlfn.ISFORMULA('Previsto x realizado'!#REF!) = FALSE, "","Enviado")</f>
        <v>#REF!</v>
      </c>
      <c r="H166" s="51" t="e">
        <f>IF(_xlfn.ISFORMULA('Previsto x realizado'!#REF!) = FALSE, "","Enviado")</f>
        <v>#REF!</v>
      </c>
      <c r="I166" s="51" t="e">
        <f>IF(_xlfn.ISFORMULA('Previsto x realizado'!#REF!) = FALSE, "","Enviado")</f>
        <v>#REF!</v>
      </c>
      <c r="J166" s="51" t="e">
        <f>IF(_xlfn.ISFORMULA('Previsto x realizado'!#REF!) = FALSE, "","Enviado")</f>
        <v>#REF!</v>
      </c>
      <c r="K166" s="51" t="e">
        <f>IF(_xlfn.ISFORMULA('Previsto x realizado'!#REF!) = FALSE, "","Enviado")</f>
        <v>#REF!</v>
      </c>
      <c r="L166" s="51" t="e">
        <f>IF(_xlfn.ISFORMULA('Previsto x realizado'!#REF!) = FALSE, "","Enviado")</f>
        <v>#REF!</v>
      </c>
      <c r="M166" s="51" t="e">
        <f>IF(_xlfn.ISFORMULA('Previsto x realizado'!#REF!) = FALSE, "","Enviado")</f>
        <v>#REF!</v>
      </c>
      <c r="N166" s="51" t="e">
        <f>IF(_xlfn.ISFORMULA('Previsto x realizado'!#REF!) = FALSE, "","Enviado")</f>
        <v>#REF!</v>
      </c>
      <c r="O166" s="51" t="e">
        <f>IF(_xlfn.ISFORMULA('Previsto x realizado'!#REF!) = FALSE, "","Enviado")</f>
        <v>#REF!</v>
      </c>
      <c r="P166" s="51" t="e">
        <f>IF(_xlfn.ISFORMULA('Previsto x realizado'!#REF!) = FALSE, "","Enviado")</f>
        <v>#REF!</v>
      </c>
    </row>
    <row r="167" spans="1:16" x14ac:dyDescent="0.3">
      <c r="A167" s="20" t="s">
        <v>87</v>
      </c>
      <c r="B167" s="4" t="s">
        <v>222</v>
      </c>
      <c r="C167" s="5" t="s">
        <v>97</v>
      </c>
      <c r="D167" s="4" t="s">
        <v>238</v>
      </c>
      <c r="E167" s="51" t="str">
        <f>IF(_xlfn.ISFORMULA('Previsto x realizado'!AW503) = FALSE, "","Enviado")</f>
        <v>Enviado</v>
      </c>
      <c r="F167" s="51" t="str">
        <f>IF(_xlfn.ISFORMULA('Previsto x realizado'!AX503) = FALSE, "","Enviado")</f>
        <v>Enviado</v>
      </c>
      <c r="G167" s="51" t="str">
        <f>IF(_xlfn.ISFORMULA('Previsto x realizado'!AY503) = FALSE, "","Enviado")</f>
        <v>Enviado</v>
      </c>
      <c r="H167" s="51" t="str">
        <f>IF(_xlfn.ISFORMULA('Previsto x realizado'!AZ503) = FALSE, "","Enviado")</f>
        <v>Enviado</v>
      </c>
      <c r="I167" s="51" t="str">
        <f>IF(_xlfn.ISFORMULA('Previsto x realizado'!BA503) = FALSE, "","Enviado")</f>
        <v/>
      </c>
      <c r="J167" s="51" t="str">
        <f>IF(_xlfn.ISFORMULA('Previsto x realizado'!BB503) = FALSE, "","Enviado")</f>
        <v/>
      </c>
      <c r="K167" s="51" t="str">
        <f>IF(_xlfn.ISFORMULA('Previsto x realizado'!BC503) = FALSE, "","Enviado")</f>
        <v/>
      </c>
      <c r="L167" s="51" t="str">
        <f>IF(_xlfn.ISFORMULA('Previsto x realizado'!BD503) = FALSE, "","Enviado")</f>
        <v/>
      </c>
      <c r="M167" s="51" t="str">
        <f>IF(_xlfn.ISFORMULA('Previsto x realizado'!BE503) = FALSE, "","Enviado")</f>
        <v/>
      </c>
      <c r="N167" s="51" t="str">
        <f>IF(_xlfn.ISFORMULA('Previsto x realizado'!BF503) = FALSE, "","Enviado")</f>
        <v/>
      </c>
      <c r="O167" s="51" t="str">
        <f>IF(_xlfn.ISFORMULA('Previsto x realizado'!BG503) = FALSE, "","Enviado")</f>
        <v/>
      </c>
      <c r="P167" s="51" t="str">
        <f>IF(_xlfn.ISFORMULA('Previsto x realizado'!BH503) = FALSE, "","Enviado")</f>
        <v/>
      </c>
    </row>
    <row r="168" spans="1:16" hidden="1" x14ac:dyDescent="0.3">
      <c r="A168" s="40" t="s">
        <v>87</v>
      </c>
      <c r="B168" s="4" t="s">
        <v>222</v>
      </c>
      <c r="C168" s="5" t="s">
        <v>97</v>
      </c>
      <c r="D168" s="4" t="s">
        <v>238</v>
      </c>
      <c r="E168" s="51" t="str">
        <f>IF(_xlfn.ISFORMULA('Previsto x realizado'!AW506) = FALSE, "","Enviado")</f>
        <v>Enviado</v>
      </c>
      <c r="F168" s="51" t="str">
        <f>IF(_xlfn.ISFORMULA('Previsto x realizado'!AX506) = FALSE, "","Enviado")</f>
        <v>Enviado</v>
      </c>
      <c r="G168" s="51" t="str">
        <f>IF(_xlfn.ISFORMULA('Previsto x realizado'!AY506) = FALSE, "","Enviado")</f>
        <v>Enviado</v>
      </c>
      <c r="H168" s="51" t="str">
        <f>IF(_xlfn.ISFORMULA('Previsto x realizado'!AZ506) = FALSE, "","Enviado")</f>
        <v>Enviado</v>
      </c>
      <c r="I168" s="51" t="str">
        <f>IF(_xlfn.ISFORMULA('Previsto x realizado'!BA506) = FALSE, "","Enviado")</f>
        <v/>
      </c>
      <c r="J168" s="51" t="str">
        <f>IF(_xlfn.ISFORMULA('Previsto x realizado'!BB506) = FALSE, "","Enviado")</f>
        <v/>
      </c>
      <c r="K168" s="51" t="str">
        <f>IF(_xlfn.ISFORMULA('Previsto x realizado'!BC506) = FALSE, "","Enviado")</f>
        <v/>
      </c>
      <c r="L168" s="51" t="str">
        <f>IF(_xlfn.ISFORMULA('Previsto x realizado'!BD506) = FALSE, "","Enviado")</f>
        <v/>
      </c>
      <c r="M168" s="51" t="str">
        <f>IF(_xlfn.ISFORMULA('Previsto x realizado'!BE506) = FALSE, "","Enviado")</f>
        <v/>
      </c>
      <c r="N168" s="51" t="str">
        <f>IF(_xlfn.ISFORMULA('Previsto x realizado'!BF506) = FALSE, "","Enviado")</f>
        <v/>
      </c>
      <c r="O168" s="51" t="str">
        <f>IF(_xlfn.ISFORMULA('Previsto x realizado'!BG506) = FALSE, "","Enviado")</f>
        <v/>
      </c>
      <c r="P168" s="51" t="str">
        <f>IF(_xlfn.ISFORMULA('Previsto x realizado'!BH506) = FALSE, "","Enviado")</f>
        <v/>
      </c>
    </row>
    <row r="169" spans="1:16" hidden="1" x14ac:dyDescent="0.3">
      <c r="A169" s="20" t="s">
        <v>87</v>
      </c>
      <c r="B169" s="4" t="s">
        <v>229</v>
      </c>
      <c r="C169" s="5" t="s">
        <v>97</v>
      </c>
      <c r="D169" s="4" t="s">
        <v>238</v>
      </c>
      <c r="E169" s="51" t="str">
        <f>IF(_xlfn.ISFORMULA('Previsto x realizado'!AW509) = FALSE, "","Enviado")</f>
        <v>Enviado</v>
      </c>
      <c r="F169" s="51" t="str">
        <f>IF(_xlfn.ISFORMULA('Previsto x realizado'!AX509) = FALSE, "","Enviado")</f>
        <v>Enviado</v>
      </c>
      <c r="G169" s="51" t="str">
        <f>IF(_xlfn.ISFORMULA('Previsto x realizado'!AY509) = FALSE, "","Enviado")</f>
        <v>Enviado</v>
      </c>
      <c r="H169" s="51" t="str">
        <f>IF(_xlfn.ISFORMULA('Previsto x realizado'!AZ509) = FALSE, "","Enviado")</f>
        <v>Enviado</v>
      </c>
      <c r="I169" s="51" t="str">
        <f>IF(_xlfn.ISFORMULA('Previsto x realizado'!BA509) = FALSE, "","Enviado")</f>
        <v/>
      </c>
      <c r="J169" s="51" t="str">
        <f>IF(_xlfn.ISFORMULA('Previsto x realizado'!BB509) = FALSE, "","Enviado")</f>
        <v/>
      </c>
      <c r="K169" s="51" t="str">
        <f>IF(_xlfn.ISFORMULA('Previsto x realizado'!BC509) = FALSE, "","Enviado")</f>
        <v/>
      </c>
      <c r="L169" s="51" t="str">
        <f>IF(_xlfn.ISFORMULA('Previsto x realizado'!BD509) = FALSE, "","Enviado")</f>
        <v/>
      </c>
      <c r="M169" s="51" t="str">
        <f>IF(_xlfn.ISFORMULA('Previsto x realizado'!BE509) = FALSE, "","Enviado")</f>
        <v/>
      </c>
      <c r="N169" s="51" t="str">
        <f>IF(_xlfn.ISFORMULA('Previsto x realizado'!BF509) = FALSE, "","Enviado")</f>
        <v/>
      </c>
      <c r="O169" s="51" t="str">
        <f>IF(_xlfn.ISFORMULA('Previsto x realizado'!BG509) = FALSE, "","Enviado")</f>
        <v/>
      </c>
      <c r="P169" s="51" t="str">
        <f>IF(_xlfn.ISFORMULA('Previsto x realizado'!BH509) = FALSE, "","Enviado")</f>
        <v/>
      </c>
    </row>
    <row r="170" spans="1:16" x14ac:dyDescent="0.3">
      <c r="A170" s="40" t="s">
        <v>87</v>
      </c>
      <c r="B170" s="4" t="s">
        <v>229</v>
      </c>
      <c r="C170" s="5" t="s">
        <v>97</v>
      </c>
      <c r="D170" s="4" t="s">
        <v>238</v>
      </c>
      <c r="E170" s="51" t="str">
        <f>IF(_xlfn.ISFORMULA('Previsto x realizado'!AW512) = FALSE, "","Enviado")</f>
        <v>Enviado</v>
      </c>
      <c r="F170" s="51" t="str">
        <f>IF(_xlfn.ISFORMULA('Previsto x realizado'!AX512) = FALSE, "","Enviado")</f>
        <v>Enviado</v>
      </c>
      <c r="G170" s="51" t="str">
        <f>IF(_xlfn.ISFORMULA('Previsto x realizado'!AY512) = FALSE, "","Enviado")</f>
        <v>Enviado</v>
      </c>
      <c r="H170" s="51" t="str">
        <f>IF(_xlfn.ISFORMULA('Previsto x realizado'!AZ512) = FALSE, "","Enviado")</f>
        <v>Enviado</v>
      </c>
      <c r="I170" s="51" t="str">
        <f>IF(_xlfn.ISFORMULA('Previsto x realizado'!BA512) = FALSE, "","Enviado")</f>
        <v>Enviado</v>
      </c>
      <c r="J170" s="51" t="str">
        <f>IF(_xlfn.ISFORMULA('Previsto x realizado'!BB512) = FALSE, "","Enviado")</f>
        <v/>
      </c>
      <c r="K170" s="51" t="str">
        <f>IF(_xlfn.ISFORMULA('Previsto x realizado'!BC512) = FALSE, "","Enviado")</f>
        <v/>
      </c>
      <c r="L170" s="51" t="str">
        <f>IF(_xlfn.ISFORMULA('Previsto x realizado'!BD512) = FALSE, "","Enviado")</f>
        <v/>
      </c>
      <c r="M170" s="51" t="str">
        <f>IF(_xlfn.ISFORMULA('Previsto x realizado'!BE512) = FALSE, "","Enviado")</f>
        <v/>
      </c>
      <c r="N170" s="51" t="str">
        <f>IF(_xlfn.ISFORMULA('Previsto x realizado'!BF512) = FALSE, "","Enviado")</f>
        <v/>
      </c>
      <c r="O170" s="51" t="str">
        <f>IF(_xlfn.ISFORMULA('Previsto x realizado'!BG512) = FALSE, "","Enviado")</f>
        <v/>
      </c>
      <c r="P170" s="51" t="str">
        <f>IF(_xlfn.ISFORMULA('Previsto x realizado'!BH512) = FALSE, "","Enviado")</f>
        <v/>
      </c>
    </row>
    <row r="171" spans="1:16" x14ac:dyDescent="0.3">
      <c r="A171" s="20" t="s">
        <v>87</v>
      </c>
      <c r="B171" s="4" t="s">
        <v>232</v>
      </c>
      <c r="C171" s="5" t="s">
        <v>97</v>
      </c>
      <c r="D171" s="4" t="s">
        <v>238</v>
      </c>
      <c r="E171" s="51" t="str">
        <f>IF(_xlfn.ISFORMULA('Previsto x realizado'!AW515) = FALSE, "","Enviado")</f>
        <v>Enviado</v>
      </c>
      <c r="F171" s="51" t="str">
        <f>IF(_xlfn.ISFORMULA('Previsto x realizado'!AX515) = FALSE, "","Enviado")</f>
        <v>Enviado</v>
      </c>
      <c r="G171" s="51" t="str">
        <f>IF(_xlfn.ISFORMULA('Previsto x realizado'!AY515) = FALSE, "","Enviado")</f>
        <v>Enviado</v>
      </c>
      <c r="H171" s="51" t="str">
        <f>IF(_xlfn.ISFORMULA('Previsto x realizado'!AZ515) = FALSE, "","Enviado")</f>
        <v>Enviado</v>
      </c>
      <c r="I171" s="51" t="str">
        <f>IF(_xlfn.ISFORMULA('Previsto x realizado'!BA515) = FALSE, "","Enviado")</f>
        <v>Enviado</v>
      </c>
      <c r="J171" s="51" t="str">
        <f>IF(_xlfn.ISFORMULA('Previsto x realizado'!BB515) = FALSE, "","Enviado")</f>
        <v/>
      </c>
      <c r="K171" s="51" t="str">
        <f>IF(_xlfn.ISFORMULA('Previsto x realizado'!BC515) = FALSE, "","Enviado")</f>
        <v/>
      </c>
      <c r="L171" s="51" t="str">
        <f>IF(_xlfn.ISFORMULA('Previsto x realizado'!BD515) = FALSE, "","Enviado")</f>
        <v/>
      </c>
      <c r="M171" s="51" t="str">
        <f>IF(_xlfn.ISFORMULA('Previsto x realizado'!BE515) = FALSE, "","Enviado")</f>
        <v/>
      </c>
      <c r="N171" s="51" t="str">
        <f>IF(_xlfn.ISFORMULA('Previsto x realizado'!BF515) = FALSE, "","Enviado")</f>
        <v/>
      </c>
      <c r="O171" s="51" t="str">
        <f>IF(_xlfn.ISFORMULA('Previsto x realizado'!BG515) = FALSE, "","Enviado")</f>
        <v/>
      </c>
      <c r="P171" s="51" t="str">
        <f>IF(_xlfn.ISFORMULA('Previsto x realizado'!BH515) = FALSE, "","Enviado")</f>
        <v/>
      </c>
    </row>
    <row r="172" spans="1:16" x14ac:dyDescent="0.3">
      <c r="A172" s="40" t="s">
        <v>87</v>
      </c>
      <c r="B172" s="4" t="s">
        <v>232</v>
      </c>
      <c r="C172" s="5" t="s">
        <v>97</v>
      </c>
      <c r="D172" s="4" t="s">
        <v>238</v>
      </c>
      <c r="E172" s="51" t="str">
        <f>IF(_xlfn.ISFORMULA('Previsto x realizado'!AW516) = FALSE, "","Enviado")</f>
        <v>Enviado</v>
      </c>
      <c r="F172" s="51" t="str">
        <f>IF(_xlfn.ISFORMULA('Previsto x realizado'!AX516) = FALSE, "","Enviado")</f>
        <v>Enviado</v>
      </c>
      <c r="G172" s="51" t="str">
        <f>IF(_xlfn.ISFORMULA('Previsto x realizado'!AY516) = FALSE, "","Enviado")</f>
        <v>Enviado</v>
      </c>
      <c r="H172" s="51" t="str">
        <f>IF(_xlfn.ISFORMULA('Previsto x realizado'!AZ516) = FALSE, "","Enviado")</f>
        <v>Enviado</v>
      </c>
      <c r="I172" s="51" t="str">
        <f>IF(_xlfn.ISFORMULA('Previsto x realizado'!BA516) = FALSE, "","Enviado")</f>
        <v>Enviado</v>
      </c>
      <c r="J172" s="51" t="str">
        <f>IF(_xlfn.ISFORMULA('Previsto x realizado'!BB516) = FALSE, "","Enviado")</f>
        <v/>
      </c>
      <c r="K172" s="51" t="str">
        <f>IF(_xlfn.ISFORMULA('Previsto x realizado'!BC516) = FALSE, "","Enviado")</f>
        <v/>
      </c>
      <c r="L172" s="51" t="str">
        <f>IF(_xlfn.ISFORMULA('Previsto x realizado'!BD516) = FALSE, "","Enviado")</f>
        <v/>
      </c>
      <c r="M172" s="51" t="str">
        <f>IF(_xlfn.ISFORMULA('Previsto x realizado'!BE516) = FALSE, "","Enviado")</f>
        <v/>
      </c>
      <c r="N172" s="51" t="str">
        <f>IF(_xlfn.ISFORMULA('Previsto x realizado'!BF516) = FALSE, "","Enviado")</f>
        <v/>
      </c>
      <c r="O172" s="51" t="str">
        <f>IF(_xlfn.ISFORMULA('Previsto x realizado'!BG516) = FALSE, "","Enviado")</f>
        <v/>
      </c>
      <c r="P172" s="51" t="str">
        <f>IF(_xlfn.ISFORMULA('Previsto x realizado'!BH516) = FALSE, "","Enviado")</f>
        <v/>
      </c>
    </row>
    <row r="173" spans="1:16" ht="27.6" x14ac:dyDescent="0.3">
      <c r="A173" s="20" t="s">
        <v>87</v>
      </c>
      <c r="B173" s="4" t="s">
        <v>88</v>
      </c>
      <c r="C173" s="5" t="s">
        <v>97</v>
      </c>
      <c r="D173" s="4" t="s">
        <v>267</v>
      </c>
      <c r="E173" s="51" t="str">
        <f>IF(_xlfn.ISFORMULA('Previsto x realizado'!AW517) = FALSE, "","Enviado")</f>
        <v>Enviado</v>
      </c>
      <c r="F173" s="51" t="str">
        <f>IF(_xlfn.ISFORMULA('Previsto x realizado'!AX517) = FALSE, "","Enviado")</f>
        <v>Enviado</v>
      </c>
      <c r="G173" s="51" t="str">
        <f>IF(_xlfn.ISFORMULA('Previsto x realizado'!AY517) = FALSE, "","Enviado")</f>
        <v>Enviado</v>
      </c>
      <c r="H173" s="51" t="str">
        <f>IF(_xlfn.ISFORMULA('Previsto x realizado'!AZ517) = FALSE, "","Enviado")</f>
        <v>Enviado</v>
      </c>
      <c r="I173" s="51" t="str">
        <f>IF(_xlfn.ISFORMULA('Previsto x realizado'!BA517) = FALSE, "","Enviado")</f>
        <v>Enviado</v>
      </c>
      <c r="J173" s="51" t="str">
        <f>IF(_xlfn.ISFORMULA('Previsto x realizado'!BB517) = FALSE, "","Enviado")</f>
        <v/>
      </c>
      <c r="K173" s="51" t="str">
        <f>IF(_xlfn.ISFORMULA('Previsto x realizado'!BC517) = FALSE, "","Enviado")</f>
        <v/>
      </c>
      <c r="L173" s="51" t="str">
        <f>IF(_xlfn.ISFORMULA('Previsto x realizado'!BD517) = FALSE, "","Enviado")</f>
        <v/>
      </c>
      <c r="M173" s="51" t="str">
        <f>IF(_xlfn.ISFORMULA('Previsto x realizado'!BE517) = FALSE, "","Enviado")</f>
        <v/>
      </c>
      <c r="N173" s="51" t="str">
        <f>IF(_xlfn.ISFORMULA('Previsto x realizado'!BF517) = FALSE, "","Enviado")</f>
        <v/>
      </c>
      <c r="O173" s="51" t="str">
        <f>IF(_xlfn.ISFORMULA('Previsto x realizado'!BG517) = FALSE, "","Enviado")</f>
        <v/>
      </c>
      <c r="P173" s="51" t="str">
        <f>IF(_xlfn.ISFORMULA('Previsto x realizado'!BH517) = FALSE, "","Enviado")</f>
        <v/>
      </c>
    </row>
    <row r="174" spans="1:16" ht="27.6" x14ac:dyDescent="0.3">
      <c r="A174" s="40" t="s">
        <v>87</v>
      </c>
      <c r="B174" s="4" t="s">
        <v>88</v>
      </c>
      <c r="C174" s="5" t="s">
        <v>97</v>
      </c>
      <c r="D174" s="4" t="s">
        <v>267</v>
      </c>
      <c r="E174" s="51" t="str">
        <f>IF(_xlfn.ISFORMULA('Previsto x realizado'!AW528) = FALSE, "","Enviado")</f>
        <v>Enviado</v>
      </c>
      <c r="F174" s="51" t="str">
        <f>IF(_xlfn.ISFORMULA('Previsto x realizado'!AX528) = FALSE, "","Enviado")</f>
        <v>Enviado</v>
      </c>
      <c r="G174" s="51" t="str">
        <f>IF(_xlfn.ISFORMULA('Previsto x realizado'!AY528) = FALSE, "","Enviado")</f>
        <v>Enviado</v>
      </c>
      <c r="H174" s="51" t="str">
        <f>IF(_xlfn.ISFORMULA('Previsto x realizado'!AZ528) = FALSE, "","Enviado")</f>
        <v>Enviado</v>
      </c>
      <c r="I174" s="51" t="str">
        <f>IF(_xlfn.ISFORMULA('Previsto x realizado'!BA528) = FALSE, "","Enviado")</f>
        <v>Enviado</v>
      </c>
      <c r="J174" s="51" t="str">
        <f>IF(_xlfn.ISFORMULA('Previsto x realizado'!BB528) = FALSE, "","Enviado")</f>
        <v/>
      </c>
      <c r="K174" s="51" t="str">
        <f>IF(_xlfn.ISFORMULA('Previsto x realizado'!BC528) = FALSE, "","Enviado")</f>
        <v/>
      </c>
      <c r="L174" s="51" t="str">
        <f>IF(_xlfn.ISFORMULA('Previsto x realizado'!BD528) = FALSE, "","Enviado")</f>
        <v/>
      </c>
      <c r="M174" s="51" t="str">
        <f>IF(_xlfn.ISFORMULA('Previsto x realizado'!BE528) = FALSE, "","Enviado")</f>
        <v/>
      </c>
      <c r="N174" s="51" t="str">
        <f>IF(_xlfn.ISFORMULA('Previsto x realizado'!BF528) = FALSE, "","Enviado")</f>
        <v/>
      </c>
      <c r="O174" s="51" t="str">
        <f>IF(_xlfn.ISFORMULA('Previsto x realizado'!BG528) = FALSE, "","Enviado")</f>
        <v/>
      </c>
      <c r="P174" s="51" t="str">
        <f>IF(_xlfn.ISFORMULA('Previsto x realizado'!BH528) = FALSE, "","Enviado")</f>
        <v/>
      </c>
    </row>
    <row r="175" spans="1:16" ht="27.6" x14ac:dyDescent="0.3">
      <c r="A175" s="40" t="s">
        <v>87</v>
      </c>
      <c r="B175" s="4" t="s">
        <v>88</v>
      </c>
      <c r="C175" s="5" t="s">
        <v>97</v>
      </c>
      <c r="D175" s="4" t="s">
        <v>267</v>
      </c>
      <c r="E175" s="51" t="str">
        <f>IF(_xlfn.ISFORMULA('Previsto x realizado'!AW539) = FALSE, "","Enviado")</f>
        <v>Enviado</v>
      </c>
      <c r="F175" s="51" t="str">
        <f>IF(_xlfn.ISFORMULA('Previsto x realizado'!AX539) = FALSE, "","Enviado")</f>
        <v>Enviado</v>
      </c>
      <c r="G175" s="51" t="str">
        <f>IF(_xlfn.ISFORMULA('Previsto x realizado'!AY539) = FALSE, "","Enviado")</f>
        <v>Enviado</v>
      </c>
      <c r="H175" s="51" t="str">
        <f>IF(_xlfn.ISFORMULA('Previsto x realizado'!AZ539) = FALSE, "","Enviado")</f>
        <v>Enviado</v>
      </c>
      <c r="I175" s="51" t="str">
        <f>IF(_xlfn.ISFORMULA('Previsto x realizado'!BA539) = FALSE, "","Enviado")</f>
        <v>Enviado</v>
      </c>
      <c r="J175" s="51" t="str">
        <f>IF(_xlfn.ISFORMULA('Previsto x realizado'!BB539) = FALSE, "","Enviado")</f>
        <v/>
      </c>
      <c r="K175" s="51" t="str">
        <f>IF(_xlfn.ISFORMULA('Previsto x realizado'!BC539) = FALSE, "","Enviado")</f>
        <v/>
      </c>
      <c r="L175" s="51" t="str">
        <f>IF(_xlfn.ISFORMULA('Previsto x realizado'!BD539) = FALSE, "","Enviado")</f>
        <v/>
      </c>
      <c r="M175" s="51" t="str">
        <f>IF(_xlfn.ISFORMULA('Previsto x realizado'!BE539) = FALSE, "","Enviado")</f>
        <v/>
      </c>
      <c r="N175" s="51" t="str">
        <f>IF(_xlfn.ISFORMULA('Previsto x realizado'!BF539) = FALSE, "","Enviado")</f>
        <v/>
      </c>
      <c r="O175" s="51" t="str">
        <f>IF(_xlfn.ISFORMULA('Previsto x realizado'!BG539) = FALSE, "","Enviado")</f>
        <v/>
      </c>
      <c r="P175" s="51" t="str">
        <f>IF(_xlfn.ISFORMULA('Previsto x realizado'!BH539) = FALSE, "","Enviado")</f>
        <v/>
      </c>
    </row>
    <row r="176" spans="1:16" x14ac:dyDescent="0.3">
      <c r="A176" s="70" t="s">
        <v>108</v>
      </c>
      <c r="B176" s="4" t="s">
        <v>109</v>
      </c>
      <c r="C176" s="5" t="s">
        <v>97</v>
      </c>
      <c r="D176" s="4" t="s">
        <v>238</v>
      </c>
      <c r="E176" s="51" t="str">
        <f>IF(_xlfn.ISFORMULA('Previsto x realizado'!AW562) = FALSE, "","Enviado")</f>
        <v>Enviado</v>
      </c>
      <c r="F176" s="51" t="str">
        <f>IF(_xlfn.ISFORMULA('Previsto x realizado'!AX562) = FALSE, "","Enviado")</f>
        <v>Enviado</v>
      </c>
      <c r="G176" s="51" t="str">
        <f>IF(_xlfn.ISFORMULA('Previsto x realizado'!AY562) = FALSE, "","Enviado")</f>
        <v>Enviado</v>
      </c>
      <c r="H176" s="51" t="str">
        <f>IF(_xlfn.ISFORMULA('Previsto x realizado'!AZ562) = FALSE, "","Enviado")</f>
        <v>Enviado</v>
      </c>
      <c r="I176" s="51" t="str">
        <f>IF(_xlfn.ISFORMULA('Previsto x realizado'!BA562) = FALSE, "","Enviado")</f>
        <v/>
      </c>
      <c r="J176" s="51" t="str">
        <f>IF(_xlfn.ISFORMULA('Previsto x realizado'!BB562) = FALSE, "","Enviado")</f>
        <v/>
      </c>
      <c r="K176" s="51" t="str">
        <f>IF(_xlfn.ISFORMULA('Previsto x realizado'!BC562) = FALSE, "","Enviado")</f>
        <v/>
      </c>
      <c r="L176" s="51" t="str">
        <f>IF(_xlfn.ISFORMULA('Previsto x realizado'!BD562) = FALSE, "","Enviado")</f>
        <v/>
      </c>
      <c r="M176" s="51" t="str">
        <f>IF(_xlfn.ISFORMULA('Previsto x realizado'!BE562) = FALSE, "","Enviado")</f>
        <v/>
      </c>
      <c r="N176" s="51" t="str">
        <f>IF(_xlfn.ISFORMULA('Previsto x realizado'!BF562) = FALSE, "","Enviado")</f>
        <v/>
      </c>
      <c r="O176" s="51" t="str">
        <f>IF(_xlfn.ISFORMULA('Previsto x realizado'!BG562) = FALSE, "","Enviado")</f>
        <v/>
      </c>
      <c r="P176" s="51" t="str">
        <f>IF(_xlfn.ISFORMULA('Previsto x realizado'!BH562) = FALSE, "","Enviado")</f>
        <v/>
      </c>
    </row>
    <row r="177" spans="1:16" x14ac:dyDescent="0.3">
      <c r="A177" s="41" t="s">
        <v>108</v>
      </c>
      <c r="B177" s="4" t="s">
        <v>109</v>
      </c>
      <c r="C177" s="5" t="s">
        <v>97</v>
      </c>
      <c r="D177" s="4" t="s">
        <v>238</v>
      </c>
      <c r="E177" s="51" t="str">
        <f>IF(_xlfn.ISFORMULA('Previsto x realizado'!AW573) = FALSE, "","Enviado")</f>
        <v>Enviado</v>
      </c>
      <c r="F177" s="51" t="str">
        <f>IF(_xlfn.ISFORMULA('Previsto x realizado'!AX573) = FALSE, "","Enviado")</f>
        <v>Enviado</v>
      </c>
      <c r="G177" s="51" t="str">
        <f>IF(_xlfn.ISFORMULA('Previsto x realizado'!AY573) = FALSE, "","Enviado")</f>
        <v>Enviado</v>
      </c>
      <c r="H177" s="51" t="str">
        <f>IF(_xlfn.ISFORMULA('Previsto x realizado'!AZ573) = FALSE, "","Enviado")</f>
        <v>Enviado</v>
      </c>
      <c r="I177" s="51" t="str">
        <f>IF(_xlfn.ISFORMULA('Previsto x realizado'!BA573) = FALSE, "","Enviado")</f>
        <v/>
      </c>
      <c r="J177" s="51" t="str">
        <f>IF(_xlfn.ISFORMULA('Previsto x realizado'!BB573) = FALSE, "","Enviado")</f>
        <v/>
      </c>
      <c r="K177" s="51" t="str">
        <f>IF(_xlfn.ISFORMULA('Previsto x realizado'!BC573) = FALSE, "","Enviado")</f>
        <v/>
      </c>
      <c r="L177" s="51" t="str">
        <f>IF(_xlfn.ISFORMULA('Previsto x realizado'!BD573) = FALSE, "","Enviado")</f>
        <v/>
      </c>
      <c r="M177" s="51" t="str">
        <f>IF(_xlfn.ISFORMULA('Previsto x realizado'!BE573) = FALSE, "","Enviado")</f>
        <v/>
      </c>
      <c r="N177" s="51" t="str">
        <f>IF(_xlfn.ISFORMULA('Previsto x realizado'!BF573) = FALSE, "","Enviado")</f>
        <v/>
      </c>
      <c r="O177" s="51" t="str">
        <f>IF(_xlfn.ISFORMULA('Previsto x realizado'!BG573) = FALSE, "","Enviado")</f>
        <v/>
      </c>
      <c r="P177" s="51" t="str">
        <f>IF(_xlfn.ISFORMULA('Previsto x realizado'!BH573) = FALSE, "","Enviado")</f>
        <v/>
      </c>
    </row>
    <row r="178" spans="1:16" hidden="1" x14ac:dyDescent="0.3">
      <c r="A178" s="41" t="s">
        <v>108</v>
      </c>
      <c r="B178" s="4" t="s">
        <v>314</v>
      </c>
      <c r="C178" s="5" t="s">
        <v>97</v>
      </c>
      <c r="D178" s="4" t="s">
        <v>238</v>
      </c>
      <c r="E178" s="51" t="e">
        <f>IF(_xlfn.ISFORMULA('Previsto x realizado'!#REF!) = FALSE, "","Enviado")</f>
        <v>#REF!</v>
      </c>
      <c r="F178" s="51" t="e">
        <f>IF(_xlfn.ISFORMULA('Previsto x realizado'!#REF!) = FALSE, "","Enviado")</f>
        <v>#REF!</v>
      </c>
      <c r="G178" s="51" t="e">
        <f>IF(_xlfn.ISFORMULA('Previsto x realizado'!#REF!) = FALSE, "","Enviado")</f>
        <v>#REF!</v>
      </c>
      <c r="H178" s="51" t="e">
        <f>IF(_xlfn.ISFORMULA('Previsto x realizado'!#REF!) = FALSE, "","Enviado")</f>
        <v>#REF!</v>
      </c>
      <c r="I178" s="51" t="e">
        <f>IF(_xlfn.ISFORMULA('Previsto x realizado'!#REF!) = FALSE, "","Enviado")</f>
        <v>#REF!</v>
      </c>
      <c r="J178" s="51" t="e">
        <f>IF(_xlfn.ISFORMULA('Previsto x realizado'!#REF!) = FALSE, "","Enviado")</f>
        <v>#REF!</v>
      </c>
      <c r="K178" s="51" t="e">
        <f>IF(_xlfn.ISFORMULA('Previsto x realizado'!#REF!) = FALSE, "","Enviado")</f>
        <v>#REF!</v>
      </c>
      <c r="L178" s="51" t="e">
        <f>IF(_xlfn.ISFORMULA('Previsto x realizado'!#REF!) = FALSE, "","Enviado")</f>
        <v>#REF!</v>
      </c>
      <c r="M178" s="51" t="e">
        <f>IF(_xlfn.ISFORMULA('Previsto x realizado'!#REF!) = FALSE, "","Enviado")</f>
        <v>#REF!</v>
      </c>
      <c r="N178" s="51" t="e">
        <f>IF(_xlfn.ISFORMULA('Previsto x realizado'!#REF!) = FALSE, "","Enviado")</f>
        <v>#REF!</v>
      </c>
      <c r="O178" s="51" t="e">
        <f>IF(_xlfn.ISFORMULA('Previsto x realizado'!#REF!) = FALSE, "","Enviado")</f>
        <v>#REF!</v>
      </c>
      <c r="P178" s="51" t="e">
        <f>IF(_xlfn.ISFORMULA('Previsto x realizado'!#REF!) = FALSE, "","Enviado")</f>
        <v>#REF!</v>
      </c>
    </row>
    <row r="179" spans="1:16" ht="27.6" hidden="1" x14ac:dyDescent="0.3">
      <c r="A179" s="70" t="s">
        <v>108</v>
      </c>
      <c r="B179" s="4" t="s">
        <v>117</v>
      </c>
      <c r="C179" s="5" t="s">
        <v>97</v>
      </c>
      <c r="D179" s="4" t="s">
        <v>267</v>
      </c>
      <c r="E179" s="51" t="str">
        <f>IF(_xlfn.ISFORMULA('Previsto x realizado'!AW584) = FALSE, "","Enviado")</f>
        <v>Enviado</v>
      </c>
      <c r="F179" s="51" t="str">
        <f>IF(_xlfn.ISFORMULA('Previsto x realizado'!AX584) = FALSE, "","Enviado")</f>
        <v>Enviado</v>
      </c>
      <c r="G179" s="51" t="str">
        <f>IF(_xlfn.ISFORMULA('Previsto x realizado'!AY584) = FALSE, "","Enviado")</f>
        <v>Enviado</v>
      </c>
      <c r="H179" s="51" t="str">
        <f>IF(_xlfn.ISFORMULA('Previsto x realizado'!AZ584) = FALSE, "","Enviado")</f>
        <v>Enviado</v>
      </c>
      <c r="I179" s="51" t="str">
        <f>IF(_xlfn.ISFORMULA('Previsto x realizado'!BA584) = FALSE, "","Enviado")</f>
        <v/>
      </c>
      <c r="J179" s="51" t="str">
        <f>IF(_xlfn.ISFORMULA('Previsto x realizado'!BB584) = FALSE, "","Enviado")</f>
        <v/>
      </c>
      <c r="K179" s="51" t="str">
        <f>IF(_xlfn.ISFORMULA('Previsto x realizado'!BC584) = FALSE, "","Enviado")</f>
        <v/>
      </c>
      <c r="L179" s="51" t="str">
        <f>IF(_xlfn.ISFORMULA('Previsto x realizado'!BD584) = FALSE, "","Enviado")</f>
        <v/>
      </c>
      <c r="M179" s="51" t="str">
        <f>IF(_xlfn.ISFORMULA('Previsto x realizado'!BE584) = FALSE, "","Enviado")</f>
        <v/>
      </c>
      <c r="N179" s="51" t="str">
        <f>IF(_xlfn.ISFORMULA('Previsto x realizado'!BF584) = FALSE, "","Enviado")</f>
        <v/>
      </c>
      <c r="O179" s="51" t="str">
        <f>IF(_xlfn.ISFORMULA('Previsto x realizado'!BG584) = FALSE, "","Enviado")</f>
        <v/>
      </c>
      <c r="P179" s="51" t="str">
        <f>IF(_xlfn.ISFORMULA('Previsto x realizado'!BH584) = FALSE, "","Enviado")</f>
        <v/>
      </c>
    </row>
    <row r="180" spans="1:16" ht="27.6" hidden="1" x14ac:dyDescent="0.3">
      <c r="A180" s="70" t="s">
        <v>108</v>
      </c>
      <c r="B180" s="4" t="s">
        <v>117</v>
      </c>
      <c r="C180" s="5" t="s">
        <v>97</v>
      </c>
      <c r="D180" s="4" t="s">
        <v>267</v>
      </c>
      <c r="E180" s="51" t="str">
        <f>IF(_xlfn.ISFORMULA('Previsto x realizado'!AW595) = FALSE, "","Enviado")</f>
        <v>Enviado</v>
      </c>
      <c r="F180" s="51" t="str">
        <f>IF(_xlfn.ISFORMULA('Previsto x realizado'!AX595) = FALSE, "","Enviado")</f>
        <v>Enviado</v>
      </c>
      <c r="G180" s="51" t="str">
        <f>IF(_xlfn.ISFORMULA('Previsto x realizado'!AY595) = FALSE, "","Enviado")</f>
        <v>Enviado</v>
      </c>
      <c r="H180" s="51" t="str">
        <f>IF(_xlfn.ISFORMULA('Previsto x realizado'!AZ595) = FALSE, "","Enviado")</f>
        <v>Enviado</v>
      </c>
      <c r="I180" s="51" t="str">
        <f>IF(_xlfn.ISFORMULA('Previsto x realizado'!BA595) = FALSE, "","Enviado")</f>
        <v/>
      </c>
      <c r="J180" s="51" t="str">
        <f>IF(_xlfn.ISFORMULA('Previsto x realizado'!BB595) = FALSE, "","Enviado")</f>
        <v/>
      </c>
      <c r="K180" s="51" t="str">
        <f>IF(_xlfn.ISFORMULA('Previsto x realizado'!BC595) = FALSE, "","Enviado")</f>
        <v/>
      </c>
      <c r="L180" s="51" t="str">
        <f>IF(_xlfn.ISFORMULA('Previsto x realizado'!BD595) = FALSE, "","Enviado")</f>
        <v/>
      </c>
      <c r="M180" s="51" t="str">
        <f>IF(_xlfn.ISFORMULA('Previsto x realizado'!BE595) = FALSE, "","Enviado")</f>
        <v/>
      </c>
      <c r="N180" s="51" t="str">
        <f>IF(_xlfn.ISFORMULA('Previsto x realizado'!BF595) = FALSE, "","Enviado")</f>
        <v/>
      </c>
      <c r="O180" s="51" t="str">
        <f>IF(_xlfn.ISFORMULA('Previsto x realizado'!BG595) = FALSE, "","Enviado")</f>
        <v/>
      </c>
      <c r="P180" s="51" t="str">
        <f>IF(_xlfn.ISFORMULA('Previsto x realizado'!BH595) = FALSE, "","Enviado")</f>
        <v/>
      </c>
    </row>
    <row r="181" spans="1:16" ht="27.6" x14ac:dyDescent="0.3">
      <c r="A181" s="41" t="s">
        <v>108</v>
      </c>
      <c r="B181" s="4" t="s">
        <v>123</v>
      </c>
      <c r="C181" s="5" t="s">
        <v>97</v>
      </c>
      <c r="D181" s="4" t="s">
        <v>267</v>
      </c>
      <c r="E181" s="51" t="str">
        <f>IF(_xlfn.ISFORMULA('Previsto x realizado'!AW606) = FALSE, "","Enviado")</f>
        <v>Enviado</v>
      </c>
      <c r="F181" s="51" t="str">
        <f>IF(_xlfn.ISFORMULA('Previsto x realizado'!AX606) = FALSE, "","Enviado")</f>
        <v>Enviado</v>
      </c>
      <c r="G181" s="51" t="str">
        <f>IF(_xlfn.ISFORMULA('Previsto x realizado'!AY606) = FALSE, "","Enviado")</f>
        <v>Enviado</v>
      </c>
      <c r="H181" s="51" t="str">
        <f>IF(_xlfn.ISFORMULA('Previsto x realizado'!AZ606) = FALSE, "","Enviado")</f>
        <v>Enviado</v>
      </c>
      <c r="I181" s="51" t="str">
        <f>IF(_xlfn.ISFORMULA('Previsto x realizado'!BA606) = FALSE, "","Enviado")</f>
        <v/>
      </c>
      <c r="J181" s="51" t="str">
        <f>IF(_xlfn.ISFORMULA('Previsto x realizado'!BB606) = FALSE, "","Enviado")</f>
        <v/>
      </c>
      <c r="K181" s="51" t="str">
        <f>IF(_xlfn.ISFORMULA('Previsto x realizado'!BC606) = FALSE, "","Enviado")</f>
        <v/>
      </c>
      <c r="L181" s="51" t="str">
        <f>IF(_xlfn.ISFORMULA('Previsto x realizado'!BD606) = FALSE, "","Enviado")</f>
        <v/>
      </c>
      <c r="M181" s="51" t="str">
        <f>IF(_xlfn.ISFORMULA('Previsto x realizado'!BE606) = FALSE, "","Enviado")</f>
        <v/>
      </c>
      <c r="N181" s="51" t="str">
        <f>IF(_xlfn.ISFORMULA('Previsto x realizado'!BF606) = FALSE, "","Enviado")</f>
        <v/>
      </c>
      <c r="O181" s="51" t="str">
        <f>IF(_xlfn.ISFORMULA('Previsto x realizado'!BG606) = FALSE, "","Enviado")</f>
        <v/>
      </c>
      <c r="P181" s="51" t="str">
        <f>IF(_xlfn.ISFORMULA('Previsto x realizado'!BH606) = FALSE, "","Enviado")</f>
        <v/>
      </c>
    </row>
    <row r="182" spans="1:16" ht="27.6" hidden="1" x14ac:dyDescent="0.3">
      <c r="A182" s="70" t="s">
        <v>108</v>
      </c>
      <c r="B182" s="4" t="s">
        <v>123</v>
      </c>
      <c r="C182" s="5" t="s">
        <v>97</v>
      </c>
      <c r="D182" s="4" t="s">
        <v>267</v>
      </c>
      <c r="E182" s="51" t="str">
        <f>IF(_xlfn.ISFORMULA('Previsto x realizado'!AW617) = FALSE, "","Enviado")</f>
        <v>Enviado</v>
      </c>
      <c r="F182" s="51" t="str">
        <f>IF(_xlfn.ISFORMULA('Previsto x realizado'!AX617) = FALSE, "","Enviado")</f>
        <v>Enviado</v>
      </c>
      <c r="G182" s="51" t="str">
        <f>IF(_xlfn.ISFORMULA('Previsto x realizado'!AY617) = FALSE, "","Enviado")</f>
        <v>Enviado</v>
      </c>
      <c r="H182" s="51" t="str">
        <f>IF(_xlfn.ISFORMULA('Previsto x realizado'!AZ617) = FALSE, "","Enviado")</f>
        <v>Enviado</v>
      </c>
      <c r="I182" s="51" t="str">
        <f>IF(_xlfn.ISFORMULA('Previsto x realizado'!BA617) = FALSE, "","Enviado")</f>
        <v/>
      </c>
      <c r="J182" s="51" t="str">
        <f>IF(_xlfn.ISFORMULA('Previsto x realizado'!BB617) = FALSE, "","Enviado")</f>
        <v/>
      </c>
      <c r="K182" s="51" t="str">
        <f>IF(_xlfn.ISFORMULA('Previsto x realizado'!BC617) = FALSE, "","Enviado")</f>
        <v/>
      </c>
      <c r="L182" s="51" t="str">
        <f>IF(_xlfn.ISFORMULA('Previsto x realizado'!BD617) = FALSE, "","Enviado")</f>
        <v/>
      </c>
      <c r="M182" s="51" t="str">
        <f>IF(_xlfn.ISFORMULA('Previsto x realizado'!BE617) = FALSE, "","Enviado")</f>
        <v/>
      </c>
      <c r="N182" s="51" t="str">
        <f>IF(_xlfn.ISFORMULA('Previsto x realizado'!BF617) = FALSE, "","Enviado")</f>
        <v/>
      </c>
      <c r="O182" s="51" t="str">
        <f>IF(_xlfn.ISFORMULA('Previsto x realizado'!BG617) = FALSE, "","Enviado")</f>
        <v/>
      </c>
      <c r="P182" s="51" t="str">
        <f>IF(_xlfn.ISFORMULA('Previsto x realizado'!BH617) = FALSE, "","Enviado")</f>
        <v/>
      </c>
    </row>
    <row r="183" spans="1:16" ht="27.6" hidden="1" x14ac:dyDescent="0.3">
      <c r="A183" s="70" t="s">
        <v>108</v>
      </c>
      <c r="B183" s="4" t="s">
        <v>123</v>
      </c>
      <c r="C183" s="5" t="s">
        <v>97</v>
      </c>
      <c r="D183" s="4" t="s">
        <v>267</v>
      </c>
      <c r="E183" s="51" t="str">
        <f>IF(_xlfn.ISFORMULA('Previsto x realizado'!AW628) = FALSE, "","Enviado")</f>
        <v>Enviado</v>
      </c>
      <c r="F183" s="51" t="str">
        <f>IF(_xlfn.ISFORMULA('Previsto x realizado'!AX628) = FALSE, "","Enviado")</f>
        <v>Enviado</v>
      </c>
      <c r="G183" s="51" t="str">
        <f>IF(_xlfn.ISFORMULA('Previsto x realizado'!AY628) = FALSE, "","Enviado")</f>
        <v>Enviado</v>
      </c>
      <c r="H183" s="51" t="str">
        <f>IF(_xlfn.ISFORMULA('Previsto x realizado'!AZ628) = FALSE, "","Enviado")</f>
        <v>Enviado</v>
      </c>
      <c r="I183" s="51" t="str">
        <f>IF(_xlfn.ISFORMULA('Previsto x realizado'!BA628) = FALSE, "","Enviado")</f>
        <v/>
      </c>
      <c r="J183" s="51" t="str">
        <f>IF(_xlfn.ISFORMULA('Previsto x realizado'!BB628) = FALSE, "","Enviado")</f>
        <v/>
      </c>
      <c r="K183" s="51" t="str">
        <f>IF(_xlfn.ISFORMULA('Previsto x realizado'!BC628) = FALSE, "","Enviado")</f>
        <v/>
      </c>
      <c r="L183" s="51" t="str">
        <f>IF(_xlfn.ISFORMULA('Previsto x realizado'!BD628) = FALSE, "","Enviado")</f>
        <v/>
      </c>
      <c r="M183" s="51" t="str">
        <f>IF(_xlfn.ISFORMULA('Previsto x realizado'!BE628) = FALSE, "","Enviado")</f>
        <v/>
      </c>
      <c r="N183" s="51" t="str">
        <f>IF(_xlfn.ISFORMULA('Previsto x realizado'!BF628) = FALSE, "","Enviado")</f>
        <v/>
      </c>
      <c r="O183" s="51" t="str">
        <f>IF(_xlfn.ISFORMULA('Previsto x realizado'!BG628) = FALSE, "","Enviado")</f>
        <v/>
      </c>
      <c r="P183" s="51" t="str">
        <f>IF(_xlfn.ISFORMULA('Previsto x realizado'!BH628) = FALSE, "","Enviado")</f>
        <v/>
      </c>
    </row>
    <row r="184" spans="1:16" ht="27.6" x14ac:dyDescent="0.3">
      <c r="A184" s="41" t="s">
        <v>108</v>
      </c>
      <c r="B184" s="4" t="s">
        <v>129</v>
      </c>
      <c r="C184" s="5" t="s">
        <v>97</v>
      </c>
      <c r="D184" s="4" t="s">
        <v>267</v>
      </c>
      <c r="E184" s="51" t="str">
        <f>IF(_xlfn.ISFORMULA('Previsto x realizado'!AW639) = FALSE, "","Enviado")</f>
        <v>Enviado</v>
      </c>
      <c r="F184" s="51" t="str">
        <f>IF(_xlfn.ISFORMULA('Previsto x realizado'!AX639) = FALSE, "","Enviado")</f>
        <v>Enviado</v>
      </c>
      <c r="G184" s="51" t="str">
        <f>IF(_xlfn.ISFORMULA('Previsto x realizado'!AY639) = FALSE, "","Enviado")</f>
        <v>Enviado</v>
      </c>
      <c r="H184" s="51" t="str">
        <f>IF(_xlfn.ISFORMULA('Previsto x realizado'!AZ639) = FALSE, "","Enviado")</f>
        <v>Enviado</v>
      </c>
      <c r="I184" s="51" t="str">
        <f>IF(_xlfn.ISFORMULA('Previsto x realizado'!BA639) = FALSE, "","Enviado")</f>
        <v/>
      </c>
      <c r="J184" s="51" t="str">
        <f>IF(_xlfn.ISFORMULA('Previsto x realizado'!BB639) = FALSE, "","Enviado")</f>
        <v/>
      </c>
      <c r="K184" s="51" t="str">
        <f>IF(_xlfn.ISFORMULA('Previsto x realizado'!BC639) = FALSE, "","Enviado")</f>
        <v/>
      </c>
      <c r="L184" s="51" t="str">
        <f>IF(_xlfn.ISFORMULA('Previsto x realizado'!BD639) = FALSE, "","Enviado")</f>
        <v/>
      </c>
      <c r="M184" s="51" t="str">
        <f>IF(_xlfn.ISFORMULA('Previsto x realizado'!BE639) = FALSE, "","Enviado")</f>
        <v/>
      </c>
      <c r="N184" s="51" t="str">
        <f>IF(_xlfn.ISFORMULA('Previsto x realizado'!BF639) = FALSE, "","Enviado")</f>
        <v/>
      </c>
      <c r="O184" s="51" t="str">
        <f>IF(_xlfn.ISFORMULA('Previsto x realizado'!BG639) = FALSE, "","Enviado")</f>
        <v/>
      </c>
      <c r="P184" s="51" t="str">
        <f>IF(_xlfn.ISFORMULA('Previsto x realizado'!BH639) = FALSE, "","Enviado")</f>
        <v/>
      </c>
    </row>
    <row r="185" spans="1:16" ht="27.6" hidden="1" x14ac:dyDescent="0.3">
      <c r="A185" s="70" t="s">
        <v>108</v>
      </c>
      <c r="B185" s="4" t="s">
        <v>129</v>
      </c>
      <c r="C185" s="5" t="s">
        <v>97</v>
      </c>
      <c r="D185" s="4" t="s">
        <v>267</v>
      </c>
      <c r="E185" s="51" t="str">
        <f>IF(_xlfn.ISFORMULA('Previsto x realizado'!AW660) = FALSE, "","Enviado")</f>
        <v>Enviado</v>
      </c>
      <c r="F185" s="51" t="str">
        <f>IF(_xlfn.ISFORMULA('Previsto x realizado'!AX660) = FALSE, "","Enviado")</f>
        <v>Enviado</v>
      </c>
      <c r="G185" s="51" t="str">
        <f>IF(_xlfn.ISFORMULA('Previsto x realizado'!AY660) = FALSE, "","Enviado")</f>
        <v>Enviado</v>
      </c>
      <c r="H185" s="51" t="str">
        <f>IF(_xlfn.ISFORMULA('Previsto x realizado'!AZ660) = FALSE, "","Enviado")</f>
        <v>Enviado</v>
      </c>
      <c r="I185" s="51" t="str">
        <f>IF(_xlfn.ISFORMULA('Previsto x realizado'!BA660) = FALSE, "","Enviado")</f>
        <v/>
      </c>
      <c r="J185" s="51" t="str">
        <f>IF(_xlfn.ISFORMULA('Previsto x realizado'!BB660) = FALSE, "","Enviado")</f>
        <v/>
      </c>
      <c r="K185" s="51" t="str">
        <f>IF(_xlfn.ISFORMULA('Previsto x realizado'!BC660) = FALSE, "","Enviado")</f>
        <v/>
      </c>
      <c r="L185" s="51" t="str">
        <f>IF(_xlfn.ISFORMULA('Previsto x realizado'!BD660) = FALSE, "","Enviado")</f>
        <v/>
      </c>
      <c r="M185" s="51" t="str">
        <f>IF(_xlfn.ISFORMULA('Previsto x realizado'!BE660) = FALSE, "","Enviado")</f>
        <v/>
      </c>
      <c r="N185" s="51" t="str">
        <f>IF(_xlfn.ISFORMULA('Previsto x realizado'!BF660) = FALSE, "","Enviado")</f>
        <v/>
      </c>
      <c r="O185" s="51" t="str">
        <f>IF(_xlfn.ISFORMULA('Previsto x realizado'!BG660) = FALSE, "","Enviado")</f>
        <v/>
      </c>
      <c r="P185" s="51" t="str">
        <f>IF(_xlfn.ISFORMULA('Previsto x realizado'!BH660) = FALSE, "","Enviado")</f>
        <v/>
      </c>
    </row>
    <row r="186" spans="1:16" x14ac:dyDescent="0.3">
      <c r="A186" s="23" t="s">
        <v>134</v>
      </c>
      <c r="B186" s="4" t="s">
        <v>135</v>
      </c>
      <c r="C186" s="5" t="s">
        <v>97</v>
      </c>
      <c r="D186" s="4" t="s">
        <v>238</v>
      </c>
      <c r="E186" s="51" t="str">
        <f>IF(_xlfn.ISFORMULA('Previsto x realizado'!AW661) = FALSE, "","Enviado")</f>
        <v>Enviado</v>
      </c>
      <c r="F186" s="51" t="str">
        <f>IF(_xlfn.ISFORMULA('Previsto x realizado'!AX661) = FALSE, "","Enviado")</f>
        <v>Enviado</v>
      </c>
      <c r="G186" s="51" t="str">
        <f>IF(_xlfn.ISFORMULA('Previsto x realizado'!AY661) = FALSE, "","Enviado")</f>
        <v>Enviado</v>
      </c>
      <c r="H186" s="51" t="str">
        <f>IF(_xlfn.ISFORMULA('Previsto x realizado'!AZ661) = FALSE, "","Enviado")</f>
        <v>Enviado</v>
      </c>
      <c r="I186" s="51" t="str">
        <f>IF(_xlfn.ISFORMULA('Previsto x realizado'!BA661) = FALSE, "","Enviado")</f>
        <v>Enviado</v>
      </c>
      <c r="J186" s="51" t="str">
        <f>IF(_xlfn.ISFORMULA('Previsto x realizado'!BB661) = FALSE, "","Enviado")</f>
        <v/>
      </c>
      <c r="K186" s="51" t="str">
        <f>IF(_xlfn.ISFORMULA('Previsto x realizado'!BC661) = FALSE, "","Enviado")</f>
        <v/>
      </c>
      <c r="L186" s="51" t="str">
        <f>IF(_xlfn.ISFORMULA('Previsto x realizado'!BD661) = FALSE, "","Enviado")</f>
        <v/>
      </c>
      <c r="M186" s="51" t="str">
        <f>IF(_xlfn.ISFORMULA('Previsto x realizado'!BE661) = FALSE, "","Enviado")</f>
        <v/>
      </c>
      <c r="N186" s="51" t="str">
        <f>IF(_xlfn.ISFORMULA('Previsto x realizado'!BF661) = FALSE, "","Enviado")</f>
        <v/>
      </c>
      <c r="O186" s="51" t="str">
        <f>IF(_xlfn.ISFORMULA('Previsto x realizado'!BG661) = FALSE, "","Enviado")</f>
        <v/>
      </c>
      <c r="P186" s="51" t="str">
        <f>IF(_xlfn.ISFORMULA('Previsto x realizado'!BH661) = FALSE, "","Enviado")</f>
        <v/>
      </c>
    </row>
    <row r="187" spans="1:16" x14ac:dyDescent="0.3">
      <c r="A187" s="42" t="s">
        <v>134</v>
      </c>
      <c r="B187" s="4" t="s">
        <v>135</v>
      </c>
      <c r="C187" s="5" t="s">
        <v>97</v>
      </c>
      <c r="D187" s="4" t="s">
        <v>238</v>
      </c>
      <c r="E187" s="51" t="str">
        <f>IF(_xlfn.ISFORMULA('Previsto x realizado'!AW672) = FALSE, "","Enviado")</f>
        <v>Enviado</v>
      </c>
      <c r="F187" s="51" t="str">
        <f>IF(_xlfn.ISFORMULA('Previsto x realizado'!AX672) = FALSE, "","Enviado")</f>
        <v>Enviado</v>
      </c>
      <c r="G187" s="51" t="str">
        <f>IF(_xlfn.ISFORMULA('Previsto x realizado'!AY672) = FALSE, "","Enviado")</f>
        <v>Enviado</v>
      </c>
      <c r="H187" s="51" t="str">
        <f>IF(_xlfn.ISFORMULA('Previsto x realizado'!AZ672) = FALSE, "","Enviado")</f>
        <v>Enviado</v>
      </c>
      <c r="I187" s="51" t="str">
        <f>IF(_xlfn.ISFORMULA('Previsto x realizado'!BA672) = FALSE, "","Enviado")</f>
        <v/>
      </c>
      <c r="J187" s="51" t="str">
        <f>IF(_xlfn.ISFORMULA('Previsto x realizado'!BB672) = FALSE, "","Enviado")</f>
        <v/>
      </c>
      <c r="K187" s="51" t="str">
        <f>IF(_xlfn.ISFORMULA('Previsto x realizado'!BC672) = FALSE, "","Enviado")</f>
        <v/>
      </c>
      <c r="L187" s="51" t="str">
        <f>IF(_xlfn.ISFORMULA('Previsto x realizado'!BD672) = FALSE, "","Enviado")</f>
        <v/>
      </c>
      <c r="M187" s="51" t="str">
        <f>IF(_xlfn.ISFORMULA('Previsto x realizado'!BE672) = FALSE, "","Enviado")</f>
        <v/>
      </c>
      <c r="N187" s="51" t="str">
        <f>IF(_xlfn.ISFORMULA('Previsto x realizado'!BF672) = FALSE, "","Enviado")</f>
        <v/>
      </c>
      <c r="O187" s="51" t="str">
        <f>IF(_xlfn.ISFORMULA('Previsto x realizado'!BG672) = FALSE, "","Enviado")</f>
        <v/>
      </c>
      <c r="P187" s="51" t="str">
        <f>IF(_xlfn.ISFORMULA('Previsto x realizado'!BH672) = FALSE, "","Enviado")</f>
        <v/>
      </c>
    </row>
    <row r="188" spans="1:16" x14ac:dyDescent="0.3">
      <c r="A188" s="42" t="s">
        <v>134</v>
      </c>
      <c r="B188" s="4" t="s">
        <v>135</v>
      </c>
      <c r="C188" s="5" t="s">
        <v>97</v>
      </c>
      <c r="D188" s="4" t="s">
        <v>238</v>
      </c>
      <c r="E188" s="51" t="str">
        <f>IF(_xlfn.ISFORMULA('Previsto x realizado'!AW683) = FALSE, "","Enviado")</f>
        <v>Enviado</v>
      </c>
      <c r="F188" s="51" t="str">
        <f>IF(_xlfn.ISFORMULA('Previsto x realizado'!AX683) = FALSE, "","Enviado")</f>
        <v>Enviado</v>
      </c>
      <c r="G188" s="51" t="str">
        <f>IF(_xlfn.ISFORMULA('Previsto x realizado'!AY683) = FALSE, "","Enviado")</f>
        <v>Enviado</v>
      </c>
      <c r="H188" s="51" t="str">
        <f>IF(_xlfn.ISFORMULA('Previsto x realizado'!AZ683) = FALSE, "","Enviado")</f>
        <v>Enviado</v>
      </c>
      <c r="I188" s="51" t="str">
        <f>IF(_xlfn.ISFORMULA('Previsto x realizado'!BA683) = FALSE, "","Enviado")</f>
        <v/>
      </c>
      <c r="J188" s="51" t="str">
        <f>IF(_xlfn.ISFORMULA('Previsto x realizado'!BB683) = FALSE, "","Enviado")</f>
        <v/>
      </c>
      <c r="K188" s="51" t="str">
        <f>IF(_xlfn.ISFORMULA('Previsto x realizado'!BC683) = FALSE, "","Enviado")</f>
        <v/>
      </c>
      <c r="L188" s="51" t="str">
        <f>IF(_xlfn.ISFORMULA('Previsto x realizado'!BD683) = FALSE, "","Enviado")</f>
        <v/>
      </c>
      <c r="M188" s="51" t="str">
        <f>IF(_xlfn.ISFORMULA('Previsto x realizado'!BE683) = FALSE, "","Enviado")</f>
        <v/>
      </c>
      <c r="N188" s="51" t="str">
        <f>IF(_xlfn.ISFORMULA('Previsto x realizado'!BF683) = FALSE, "","Enviado")</f>
        <v/>
      </c>
      <c r="O188" s="51" t="str">
        <f>IF(_xlfn.ISFORMULA('Previsto x realizado'!BG683) = FALSE, "","Enviado")</f>
        <v/>
      </c>
      <c r="P188" s="51" t="str">
        <f>IF(_xlfn.ISFORMULA('Previsto x realizado'!BH683) = FALSE, "","Enviado")</f>
        <v/>
      </c>
    </row>
    <row r="189" spans="1:16" x14ac:dyDescent="0.3">
      <c r="A189" s="23" t="s">
        <v>134</v>
      </c>
      <c r="B189" s="4" t="s">
        <v>142</v>
      </c>
      <c r="C189" s="5" t="s">
        <v>97</v>
      </c>
      <c r="D189" s="4" t="s">
        <v>238</v>
      </c>
      <c r="E189" s="51" t="str">
        <f>IF(_xlfn.ISFORMULA('Previsto x realizado'!AW694) = FALSE, "","Enviado")</f>
        <v>Enviado</v>
      </c>
      <c r="F189" s="51" t="str">
        <f>IF(_xlfn.ISFORMULA('Previsto x realizado'!AX694) = FALSE, "","Enviado")</f>
        <v>Enviado</v>
      </c>
      <c r="G189" s="51" t="str">
        <f>IF(_xlfn.ISFORMULA('Previsto x realizado'!AY694) = FALSE, "","Enviado")</f>
        <v>Enviado</v>
      </c>
      <c r="H189" s="51" t="str">
        <f>IF(_xlfn.ISFORMULA('Previsto x realizado'!AZ694) = FALSE, "","Enviado")</f>
        <v>Enviado</v>
      </c>
      <c r="I189" s="51" t="str">
        <f>IF(_xlfn.ISFORMULA('Previsto x realizado'!BA694) = FALSE, "","Enviado")</f>
        <v>Enviado</v>
      </c>
      <c r="J189" s="51" t="str">
        <f>IF(_xlfn.ISFORMULA('Previsto x realizado'!BB694) = FALSE, "","Enviado")</f>
        <v/>
      </c>
      <c r="K189" s="51" t="str">
        <f>IF(_xlfn.ISFORMULA('Previsto x realizado'!BC694) = FALSE, "","Enviado")</f>
        <v/>
      </c>
      <c r="L189" s="51" t="str">
        <f>IF(_xlfn.ISFORMULA('Previsto x realizado'!BD694) = FALSE, "","Enviado")</f>
        <v/>
      </c>
      <c r="M189" s="51" t="str">
        <f>IF(_xlfn.ISFORMULA('Previsto x realizado'!BE694) = FALSE, "","Enviado")</f>
        <v/>
      </c>
      <c r="N189" s="51" t="str">
        <f>IF(_xlfn.ISFORMULA('Previsto x realizado'!BF694) = FALSE, "","Enviado")</f>
        <v/>
      </c>
      <c r="O189" s="51" t="str">
        <f>IF(_xlfn.ISFORMULA('Previsto x realizado'!BG694) = FALSE, "","Enviado")</f>
        <v/>
      </c>
      <c r="P189" s="51" t="str">
        <f>IF(_xlfn.ISFORMULA('Previsto x realizado'!BH694) = FALSE, "","Enviado")</f>
        <v/>
      </c>
    </row>
    <row r="190" spans="1:16" x14ac:dyDescent="0.3">
      <c r="A190" s="42" t="s">
        <v>134</v>
      </c>
      <c r="B190" s="4" t="s">
        <v>142</v>
      </c>
      <c r="C190" s="5" t="s">
        <v>97</v>
      </c>
      <c r="D190" s="4" t="s">
        <v>238</v>
      </c>
      <c r="E190" s="51" t="str">
        <f>IF(_xlfn.ISFORMULA('Previsto x realizado'!AW705) = FALSE, "","Enviado")</f>
        <v>Enviado</v>
      </c>
      <c r="F190" s="51" t="str">
        <f>IF(_xlfn.ISFORMULA('Previsto x realizado'!AX705) = FALSE, "","Enviado")</f>
        <v>Enviado</v>
      </c>
      <c r="G190" s="51" t="str">
        <f>IF(_xlfn.ISFORMULA('Previsto x realizado'!AY705) = FALSE, "","Enviado")</f>
        <v>Enviado</v>
      </c>
      <c r="H190" s="51" t="str">
        <f>IF(_xlfn.ISFORMULA('Previsto x realizado'!AZ705) = FALSE, "","Enviado")</f>
        <v>Enviado</v>
      </c>
      <c r="I190" s="51" t="str">
        <f>IF(_xlfn.ISFORMULA('Previsto x realizado'!BA705) = FALSE, "","Enviado")</f>
        <v>Enviado</v>
      </c>
      <c r="J190" s="51" t="str">
        <f>IF(_xlfn.ISFORMULA('Previsto x realizado'!BB705) = FALSE, "","Enviado")</f>
        <v/>
      </c>
      <c r="K190" s="51" t="str">
        <f>IF(_xlfn.ISFORMULA('Previsto x realizado'!BC705) = FALSE, "","Enviado")</f>
        <v/>
      </c>
      <c r="L190" s="51" t="str">
        <f>IF(_xlfn.ISFORMULA('Previsto x realizado'!BD705) = FALSE, "","Enviado")</f>
        <v/>
      </c>
      <c r="M190" s="51" t="str">
        <f>IF(_xlfn.ISFORMULA('Previsto x realizado'!BE705) = FALSE, "","Enviado")</f>
        <v/>
      </c>
      <c r="N190" s="51" t="str">
        <f>IF(_xlfn.ISFORMULA('Previsto x realizado'!BF705) = FALSE, "","Enviado")</f>
        <v/>
      </c>
      <c r="O190" s="51" t="str">
        <f>IF(_xlfn.ISFORMULA('Previsto x realizado'!BG705) = FALSE, "","Enviado")</f>
        <v/>
      </c>
      <c r="P190" s="51" t="str">
        <f>IF(_xlfn.ISFORMULA('Previsto x realizado'!BH705) = FALSE, "","Enviado")</f>
        <v/>
      </c>
    </row>
    <row r="191" spans="1:16" x14ac:dyDescent="0.3">
      <c r="A191" s="25" t="s">
        <v>134</v>
      </c>
      <c r="B191" s="15" t="s">
        <v>150</v>
      </c>
      <c r="C191" s="5" t="s">
        <v>97</v>
      </c>
      <c r="D191" s="4" t="s">
        <v>238</v>
      </c>
      <c r="E191" s="51" t="str">
        <f>IF(_xlfn.ISFORMULA('Previsto x realizado'!AW716) = FALSE, "","Enviado")</f>
        <v>Enviado</v>
      </c>
      <c r="F191" s="51" t="str">
        <f>IF(_xlfn.ISFORMULA('Previsto x realizado'!AX716) = FALSE, "","Enviado")</f>
        <v>Enviado</v>
      </c>
      <c r="G191" s="51" t="str">
        <f>IF(_xlfn.ISFORMULA('Previsto x realizado'!AY716) = FALSE, "","Enviado")</f>
        <v>Enviado</v>
      </c>
      <c r="H191" s="51" t="str">
        <f>IF(_xlfn.ISFORMULA('Previsto x realizado'!AZ716) = FALSE, "","Enviado")</f>
        <v>Enviado</v>
      </c>
      <c r="I191" s="51" t="str">
        <f>IF(_xlfn.ISFORMULA('Previsto x realizado'!BA716) = FALSE, "","Enviado")</f>
        <v>Enviado</v>
      </c>
      <c r="J191" s="51" t="str">
        <f>IF(_xlfn.ISFORMULA('Previsto x realizado'!BB716) = FALSE, "","Enviado")</f>
        <v/>
      </c>
      <c r="K191" s="51" t="str">
        <f>IF(_xlfn.ISFORMULA('Previsto x realizado'!BC716) = FALSE, "","Enviado")</f>
        <v/>
      </c>
      <c r="L191" s="51" t="str">
        <f>IF(_xlfn.ISFORMULA('Previsto x realizado'!BD716) = FALSE, "","Enviado")</f>
        <v/>
      </c>
      <c r="M191" s="51" t="str">
        <f>IF(_xlfn.ISFORMULA('Previsto x realizado'!BE716) = FALSE, "","Enviado")</f>
        <v/>
      </c>
      <c r="N191" s="51" t="str">
        <f>IF(_xlfn.ISFORMULA('Previsto x realizado'!BF716) = FALSE, "","Enviado")</f>
        <v/>
      </c>
      <c r="O191" s="51" t="str">
        <f>IF(_xlfn.ISFORMULA('Previsto x realizado'!BG716) = FALSE, "","Enviado")</f>
        <v/>
      </c>
      <c r="P191" s="51" t="str">
        <f>IF(_xlfn.ISFORMULA('Previsto x realizado'!BH716) = FALSE, "","Enviado")</f>
        <v/>
      </c>
    </row>
    <row r="192" spans="1:16" x14ac:dyDescent="0.3">
      <c r="A192" s="23" t="s">
        <v>134</v>
      </c>
      <c r="B192" s="4" t="s">
        <v>150</v>
      </c>
      <c r="C192" s="5" t="s">
        <v>97</v>
      </c>
      <c r="D192" s="4" t="s">
        <v>238</v>
      </c>
      <c r="E192" s="51" t="str">
        <f>IF(_xlfn.ISFORMULA('Previsto x realizado'!AW727) = FALSE, "","Enviado")</f>
        <v>Enviado</v>
      </c>
      <c r="F192" s="51" t="str">
        <f>IF(_xlfn.ISFORMULA('Previsto x realizado'!AX727) = FALSE, "","Enviado")</f>
        <v>Enviado</v>
      </c>
      <c r="G192" s="51" t="str">
        <f>IF(_xlfn.ISFORMULA('Previsto x realizado'!AY727) = FALSE, "","Enviado")</f>
        <v>Enviado</v>
      </c>
      <c r="H192" s="51" t="str">
        <f>IF(_xlfn.ISFORMULA('Previsto x realizado'!AZ727) = FALSE, "","Enviado")</f>
        <v>Enviado</v>
      </c>
      <c r="I192" s="51" t="str">
        <f>IF(_xlfn.ISFORMULA('Previsto x realizado'!BA727) = FALSE, "","Enviado")</f>
        <v/>
      </c>
      <c r="J192" s="51" t="str">
        <f>IF(_xlfn.ISFORMULA('Previsto x realizado'!BB727) = FALSE, "","Enviado")</f>
        <v/>
      </c>
      <c r="K192" s="51" t="str">
        <f>IF(_xlfn.ISFORMULA('Previsto x realizado'!BC727) = FALSE, "","Enviado")</f>
        <v/>
      </c>
      <c r="L192" s="51" t="str">
        <f>IF(_xlfn.ISFORMULA('Previsto x realizado'!BD727) = FALSE, "","Enviado")</f>
        <v/>
      </c>
      <c r="M192" s="51" t="str">
        <f>IF(_xlfn.ISFORMULA('Previsto x realizado'!BE727) = FALSE, "","Enviado")</f>
        <v/>
      </c>
      <c r="N192" s="51" t="str">
        <f>IF(_xlfn.ISFORMULA('Previsto x realizado'!BF727) = FALSE, "","Enviado")</f>
        <v/>
      </c>
      <c r="O192" s="51" t="str">
        <f>IF(_xlfn.ISFORMULA('Previsto x realizado'!BG727) = FALSE, "","Enviado")</f>
        <v/>
      </c>
      <c r="P192" s="51" t="str">
        <f>IF(_xlfn.ISFORMULA('Previsto x realizado'!BH727) = FALSE, "","Enviado")</f>
        <v/>
      </c>
    </row>
    <row r="193" spans="1:16" x14ac:dyDescent="0.3">
      <c r="A193" s="23" t="s">
        <v>134</v>
      </c>
      <c r="B193" s="4" t="s">
        <v>150</v>
      </c>
      <c r="C193" s="5" t="s">
        <v>97</v>
      </c>
      <c r="D193" s="4" t="s">
        <v>238</v>
      </c>
      <c r="E193" s="51" t="str">
        <f>IF(_xlfn.ISFORMULA('Previsto x realizado'!AW738) = FALSE, "","Enviado")</f>
        <v>Enviado</v>
      </c>
      <c r="F193" s="51" t="str">
        <f>IF(_xlfn.ISFORMULA('Previsto x realizado'!AX738) = FALSE, "","Enviado")</f>
        <v>Enviado</v>
      </c>
      <c r="G193" s="51" t="str">
        <f>IF(_xlfn.ISFORMULA('Previsto x realizado'!AY738) = FALSE, "","Enviado")</f>
        <v>Enviado</v>
      </c>
      <c r="H193" s="51" t="str">
        <f>IF(_xlfn.ISFORMULA('Previsto x realizado'!AZ738) = FALSE, "","Enviado")</f>
        <v>Enviado</v>
      </c>
      <c r="I193" s="51" t="str">
        <f>IF(_xlfn.ISFORMULA('Previsto x realizado'!BA738) = FALSE, "","Enviado")</f>
        <v/>
      </c>
      <c r="J193" s="51" t="str">
        <f>IF(_xlfn.ISFORMULA('Previsto x realizado'!BB738) = FALSE, "","Enviado")</f>
        <v/>
      </c>
      <c r="K193" s="51" t="str">
        <f>IF(_xlfn.ISFORMULA('Previsto x realizado'!BC738) = FALSE, "","Enviado")</f>
        <v/>
      </c>
      <c r="L193" s="51" t="str">
        <f>IF(_xlfn.ISFORMULA('Previsto x realizado'!BD738) = FALSE, "","Enviado")</f>
        <v/>
      </c>
      <c r="M193" s="51" t="str">
        <f>IF(_xlfn.ISFORMULA('Previsto x realizado'!BE738) = FALSE, "","Enviado")</f>
        <v/>
      </c>
      <c r="N193" s="51" t="str">
        <f>IF(_xlfn.ISFORMULA('Previsto x realizado'!BF738) = FALSE, "","Enviado")</f>
        <v/>
      </c>
      <c r="O193" s="51" t="str">
        <f>IF(_xlfn.ISFORMULA('Previsto x realizado'!BG738) = FALSE, "","Enviado")</f>
        <v/>
      </c>
      <c r="P193" s="51" t="str">
        <f>IF(_xlfn.ISFORMULA('Previsto x realizado'!BH738) = FALSE, "","Enviado")</f>
        <v/>
      </c>
    </row>
    <row r="194" spans="1:16" x14ac:dyDescent="0.3">
      <c r="A194" s="43" t="s">
        <v>134</v>
      </c>
      <c r="B194" s="15" t="s">
        <v>150</v>
      </c>
      <c r="C194" s="5" t="s">
        <v>97</v>
      </c>
      <c r="D194" s="4" t="s">
        <v>238</v>
      </c>
      <c r="E194" s="51" t="str">
        <f>IF(_xlfn.ISFORMULA('Previsto x realizado'!AW749) = FALSE, "","Enviado")</f>
        <v>Enviado</v>
      </c>
      <c r="F194" s="51" t="str">
        <f>IF(_xlfn.ISFORMULA('Previsto x realizado'!AX749) = FALSE, "","Enviado")</f>
        <v>Enviado</v>
      </c>
      <c r="G194" s="51" t="str">
        <f>IF(_xlfn.ISFORMULA('Previsto x realizado'!AY749) = FALSE, "","Enviado")</f>
        <v>Enviado</v>
      </c>
      <c r="H194" s="51" t="str">
        <f>IF(_xlfn.ISFORMULA('Previsto x realizado'!AZ749) = FALSE, "","Enviado")</f>
        <v>Enviado</v>
      </c>
      <c r="I194" s="51" t="str">
        <f>IF(_xlfn.ISFORMULA('Previsto x realizado'!BA749) = FALSE, "","Enviado")</f>
        <v/>
      </c>
      <c r="J194" s="51" t="str">
        <f>IF(_xlfn.ISFORMULA('Previsto x realizado'!BB749) = FALSE, "","Enviado")</f>
        <v/>
      </c>
      <c r="K194" s="51" t="str">
        <f>IF(_xlfn.ISFORMULA('Previsto x realizado'!BC749) = FALSE, "","Enviado")</f>
        <v/>
      </c>
      <c r="L194" s="51" t="str">
        <f>IF(_xlfn.ISFORMULA('Previsto x realizado'!BD749) = FALSE, "","Enviado")</f>
        <v/>
      </c>
      <c r="M194" s="51" t="str">
        <f>IF(_xlfn.ISFORMULA('Previsto x realizado'!BE749) = FALSE, "","Enviado")</f>
        <v/>
      </c>
      <c r="N194" s="51" t="str">
        <f>IF(_xlfn.ISFORMULA('Previsto x realizado'!BF749) = FALSE, "","Enviado")</f>
        <v/>
      </c>
      <c r="O194" s="51" t="str">
        <f>IF(_xlfn.ISFORMULA('Previsto x realizado'!BG749) = FALSE, "","Enviado")</f>
        <v/>
      </c>
      <c r="P194" s="51" t="str">
        <f>IF(_xlfn.ISFORMULA('Previsto x realizado'!BH749) = FALSE, "","Enviado")</f>
        <v/>
      </c>
    </row>
    <row r="195" spans="1:16" x14ac:dyDescent="0.3">
      <c r="A195" s="38" t="s">
        <v>134</v>
      </c>
      <c r="B195" s="4" t="s">
        <v>158</v>
      </c>
      <c r="C195" s="5" t="s">
        <v>97</v>
      </c>
      <c r="D195" s="4" t="s">
        <v>238</v>
      </c>
      <c r="E195" s="51" t="str">
        <f>IF(_xlfn.ISFORMULA('Previsto x realizado'!AW760) = FALSE, "","Enviado")</f>
        <v>Enviado</v>
      </c>
      <c r="F195" s="51" t="str">
        <f>IF(_xlfn.ISFORMULA('Previsto x realizado'!AX760) = FALSE, "","Enviado")</f>
        <v>Enviado</v>
      </c>
      <c r="G195" s="51" t="str">
        <f>IF(_xlfn.ISFORMULA('Previsto x realizado'!AY760) = FALSE, "","Enviado")</f>
        <v>Enviado</v>
      </c>
      <c r="H195" s="51" t="str">
        <f>IF(_xlfn.ISFORMULA('Previsto x realizado'!AZ760) = FALSE, "","Enviado")</f>
        <v>Enviado</v>
      </c>
      <c r="I195" s="51" t="str">
        <f>IF(_xlfn.ISFORMULA('Previsto x realizado'!BA760) = FALSE, "","Enviado")</f>
        <v>Enviado</v>
      </c>
      <c r="J195" s="51" t="str">
        <f>IF(_xlfn.ISFORMULA('Previsto x realizado'!BB760) = FALSE, "","Enviado")</f>
        <v/>
      </c>
      <c r="K195" s="51" t="str">
        <f>IF(_xlfn.ISFORMULA('Previsto x realizado'!BC760) = FALSE, "","Enviado")</f>
        <v/>
      </c>
      <c r="L195" s="51" t="str">
        <f>IF(_xlfn.ISFORMULA('Previsto x realizado'!BD760) = FALSE, "","Enviado")</f>
        <v/>
      </c>
      <c r="M195" s="51" t="str">
        <f>IF(_xlfn.ISFORMULA('Previsto x realizado'!BE760) = FALSE, "","Enviado")</f>
        <v/>
      </c>
      <c r="N195" s="51" t="str">
        <f>IF(_xlfn.ISFORMULA('Previsto x realizado'!BF760) = FALSE, "","Enviado")</f>
        <v/>
      </c>
      <c r="O195" s="51" t="str">
        <f>IF(_xlfn.ISFORMULA('Previsto x realizado'!BG760) = FALSE, "","Enviado")</f>
        <v/>
      </c>
      <c r="P195" s="51" t="str">
        <f>IF(_xlfn.ISFORMULA('Previsto x realizado'!BH760) = FALSE, "","Enviado")</f>
        <v/>
      </c>
    </row>
    <row r="196" spans="1:16" x14ac:dyDescent="0.3">
      <c r="A196" s="23" t="s">
        <v>134</v>
      </c>
      <c r="B196" s="4" t="s">
        <v>158</v>
      </c>
      <c r="C196" s="5" t="s">
        <v>97</v>
      </c>
      <c r="D196" s="4" t="s">
        <v>238</v>
      </c>
      <c r="E196" s="51" t="str">
        <f>IF(_xlfn.ISFORMULA('Previsto x realizado'!AW771) = FALSE, "","Enviado")</f>
        <v>Enviado</v>
      </c>
      <c r="F196" s="51" t="str">
        <f>IF(_xlfn.ISFORMULA('Previsto x realizado'!AX771) = FALSE, "","Enviado")</f>
        <v>Enviado</v>
      </c>
      <c r="G196" s="51" t="str">
        <f>IF(_xlfn.ISFORMULA('Previsto x realizado'!AY771) = FALSE, "","Enviado")</f>
        <v>Enviado</v>
      </c>
      <c r="H196" s="51" t="str">
        <f>IF(_xlfn.ISFORMULA('Previsto x realizado'!AZ771) = FALSE, "","Enviado")</f>
        <v>Enviado</v>
      </c>
      <c r="I196" s="51" t="str">
        <f>IF(_xlfn.ISFORMULA('Previsto x realizado'!BA771) = FALSE, "","Enviado")</f>
        <v/>
      </c>
      <c r="J196" s="51" t="str">
        <f>IF(_xlfn.ISFORMULA('Previsto x realizado'!BB771) = FALSE, "","Enviado")</f>
        <v/>
      </c>
      <c r="K196" s="51" t="str">
        <f>IF(_xlfn.ISFORMULA('Previsto x realizado'!BC771) = FALSE, "","Enviado")</f>
        <v/>
      </c>
      <c r="L196" s="51" t="str">
        <f>IF(_xlfn.ISFORMULA('Previsto x realizado'!BD771) = FALSE, "","Enviado")</f>
        <v/>
      </c>
      <c r="M196" s="51" t="str">
        <f>IF(_xlfn.ISFORMULA('Previsto x realizado'!BE771) = FALSE, "","Enviado")</f>
        <v/>
      </c>
      <c r="N196" s="51" t="str">
        <f>IF(_xlfn.ISFORMULA('Previsto x realizado'!BF771) = FALSE, "","Enviado")</f>
        <v/>
      </c>
      <c r="O196" s="51" t="str">
        <f>IF(_xlfn.ISFORMULA('Previsto x realizado'!BG771) = FALSE, "","Enviado")</f>
        <v/>
      </c>
      <c r="P196" s="51" t="str">
        <f>IF(_xlfn.ISFORMULA('Previsto x realizado'!BH771) = FALSE, "","Enviado")</f>
        <v/>
      </c>
    </row>
    <row r="197" spans="1:16" x14ac:dyDescent="0.3">
      <c r="A197" s="42" t="s">
        <v>134</v>
      </c>
      <c r="B197" s="4" t="s">
        <v>158</v>
      </c>
      <c r="C197" s="5" t="s">
        <v>97</v>
      </c>
      <c r="D197" s="4" t="s">
        <v>238</v>
      </c>
      <c r="E197" s="51" t="str">
        <f>IF(_xlfn.ISFORMULA('Previsto x realizado'!AW782) = FALSE, "","Enviado")</f>
        <v>Enviado</v>
      </c>
      <c r="F197" s="51" t="str">
        <f>IF(_xlfn.ISFORMULA('Previsto x realizado'!AX782) = FALSE, "","Enviado")</f>
        <v>Enviado</v>
      </c>
      <c r="G197" s="51" t="str">
        <f>IF(_xlfn.ISFORMULA('Previsto x realizado'!AY782) = FALSE, "","Enviado")</f>
        <v>Enviado</v>
      </c>
      <c r="H197" s="51" t="str">
        <f>IF(_xlfn.ISFORMULA('Previsto x realizado'!AZ782) = FALSE, "","Enviado")</f>
        <v>Enviado</v>
      </c>
      <c r="I197" s="51" t="str">
        <f>IF(_xlfn.ISFORMULA('Previsto x realizado'!BA782) = FALSE, "","Enviado")</f>
        <v/>
      </c>
      <c r="J197" s="51" t="str">
        <f>IF(_xlfn.ISFORMULA('Previsto x realizado'!BB782) = FALSE, "","Enviado")</f>
        <v/>
      </c>
      <c r="K197" s="51" t="str">
        <f>IF(_xlfn.ISFORMULA('Previsto x realizado'!BC782) = FALSE, "","Enviado")</f>
        <v/>
      </c>
      <c r="L197" s="51" t="str">
        <f>IF(_xlfn.ISFORMULA('Previsto x realizado'!BD782) = FALSE, "","Enviado")</f>
        <v/>
      </c>
      <c r="M197" s="51" t="str">
        <f>IF(_xlfn.ISFORMULA('Previsto x realizado'!BE782) = FALSE, "","Enviado")</f>
        <v/>
      </c>
      <c r="N197" s="51" t="str">
        <f>IF(_xlfn.ISFORMULA('Previsto x realizado'!BF782) = FALSE, "","Enviado")</f>
        <v/>
      </c>
      <c r="O197" s="51" t="str">
        <f>IF(_xlfn.ISFORMULA('Previsto x realizado'!BG782) = FALSE, "","Enviado")</f>
        <v/>
      </c>
      <c r="P197" s="51" t="str">
        <f>IF(_xlfn.ISFORMULA('Previsto x realizado'!BH782) = FALSE, "","Enviado")</f>
        <v/>
      </c>
    </row>
    <row r="198" spans="1:16" x14ac:dyDescent="0.3">
      <c r="A198" s="23" t="s">
        <v>134</v>
      </c>
      <c r="B198" s="4" t="s">
        <v>167</v>
      </c>
      <c r="C198" s="5" t="s">
        <v>97</v>
      </c>
      <c r="D198" s="4" t="s">
        <v>238</v>
      </c>
      <c r="E198" s="51" t="str">
        <f>IF(_xlfn.ISFORMULA('Previsto x realizado'!AW793) = FALSE, "","Enviado")</f>
        <v>Enviado</v>
      </c>
      <c r="F198" s="51" t="str">
        <f>IF(_xlfn.ISFORMULA('Previsto x realizado'!AX793) = FALSE, "","Enviado")</f>
        <v>Enviado</v>
      </c>
      <c r="G198" s="51" t="str">
        <f>IF(_xlfn.ISFORMULA('Previsto x realizado'!AY793) = FALSE, "","Enviado")</f>
        <v>Enviado</v>
      </c>
      <c r="H198" s="51" t="str">
        <f>IF(_xlfn.ISFORMULA('Previsto x realizado'!AZ793) = FALSE, "","Enviado")</f>
        <v>Enviado</v>
      </c>
      <c r="I198" s="51" t="str">
        <f>IF(_xlfn.ISFORMULA('Previsto x realizado'!BA793) = FALSE, "","Enviado")</f>
        <v>Enviado</v>
      </c>
      <c r="J198" s="51" t="str">
        <f>IF(_xlfn.ISFORMULA('Previsto x realizado'!BB793) = FALSE, "","Enviado")</f>
        <v/>
      </c>
      <c r="K198" s="51" t="str">
        <f>IF(_xlfn.ISFORMULA('Previsto x realizado'!BC793) = FALSE, "","Enviado")</f>
        <v/>
      </c>
      <c r="L198" s="51" t="str">
        <f>IF(_xlfn.ISFORMULA('Previsto x realizado'!BD793) = FALSE, "","Enviado")</f>
        <v/>
      </c>
      <c r="M198" s="51" t="str">
        <f>IF(_xlfn.ISFORMULA('Previsto x realizado'!BE793) = FALSE, "","Enviado")</f>
        <v/>
      </c>
      <c r="N198" s="51" t="str">
        <f>IF(_xlfn.ISFORMULA('Previsto x realizado'!BF793) = FALSE, "","Enviado")</f>
        <v/>
      </c>
      <c r="O198" s="51" t="str">
        <f>IF(_xlfn.ISFORMULA('Previsto x realizado'!BG793) = FALSE, "","Enviado")</f>
        <v/>
      </c>
      <c r="P198" s="51" t="str">
        <f>IF(_xlfn.ISFORMULA('Previsto x realizado'!BH793) = FALSE, "","Enviado")</f>
        <v/>
      </c>
    </row>
    <row r="199" spans="1:16" x14ac:dyDescent="0.3">
      <c r="A199" s="23" t="s">
        <v>134</v>
      </c>
      <c r="B199" s="4" t="s">
        <v>167</v>
      </c>
      <c r="C199" s="5" t="s">
        <v>97</v>
      </c>
      <c r="D199" s="4" t="s">
        <v>238</v>
      </c>
      <c r="E199" s="51" t="str">
        <f>IF(_xlfn.ISFORMULA('Previsto x realizado'!AW804) = FALSE, "","Enviado")</f>
        <v>Enviado</v>
      </c>
      <c r="F199" s="51" t="str">
        <f>IF(_xlfn.ISFORMULA('Previsto x realizado'!AX804) = FALSE, "","Enviado")</f>
        <v>Enviado</v>
      </c>
      <c r="G199" s="51" t="str">
        <f>IF(_xlfn.ISFORMULA('Previsto x realizado'!AY804) = FALSE, "","Enviado")</f>
        <v>Enviado</v>
      </c>
      <c r="H199" s="51" t="str">
        <f>IF(_xlfn.ISFORMULA('Previsto x realizado'!AZ804) = FALSE, "","Enviado")</f>
        <v>Enviado</v>
      </c>
      <c r="I199" s="51" t="str">
        <f>IF(_xlfn.ISFORMULA('Previsto x realizado'!BA804) = FALSE, "","Enviado")</f>
        <v>Enviado</v>
      </c>
      <c r="J199" s="51" t="str">
        <f>IF(_xlfn.ISFORMULA('Previsto x realizado'!BB804) = FALSE, "","Enviado")</f>
        <v/>
      </c>
      <c r="K199" s="51" t="str">
        <f>IF(_xlfn.ISFORMULA('Previsto x realizado'!BC804) = FALSE, "","Enviado")</f>
        <v/>
      </c>
      <c r="L199" s="51" t="str">
        <f>IF(_xlfn.ISFORMULA('Previsto x realizado'!BD804) = FALSE, "","Enviado")</f>
        <v/>
      </c>
      <c r="M199" s="51" t="str">
        <f>IF(_xlfn.ISFORMULA('Previsto x realizado'!BE804) = FALSE, "","Enviado")</f>
        <v/>
      </c>
      <c r="N199" s="51" t="str">
        <f>IF(_xlfn.ISFORMULA('Previsto x realizado'!BF804) = FALSE, "","Enviado")</f>
        <v/>
      </c>
      <c r="O199" s="51" t="str">
        <f>IF(_xlfn.ISFORMULA('Previsto x realizado'!BG804) = FALSE, "","Enviado")</f>
        <v/>
      </c>
      <c r="P199" s="51" t="str">
        <f>IF(_xlfn.ISFORMULA('Previsto x realizado'!BH804) = FALSE, "","Enviado")</f>
        <v/>
      </c>
    </row>
    <row r="200" spans="1:16" ht="27.6" x14ac:dyDescent="0.3">
      <c r="A200" s="23" t="s">
        <v>134</v>
      </c>
      <c r="B200" s="4" t="s">
        <v>174</v>
      </c>
      <c r="C200" s="5" t="s">
        <v>97</v>
      </c>
      <c r="D200" s="4" t="s">
        <v>267</v>
      </c>
      <c r="E200" s="51" t="str">
        <f>IF(_xlfn.ISFORMULA('Previsto x realizado'!AW815) = FALSE, "","Enviado")</f>
        <v>Enviado</v>
      </c>
      <c r="F200" s="51" t="str">
        <f>IF(_xlfn.ISFORMULA('Previsto x realizado'!AX815) = FALSE, "","Enviado")</f>
        <v>Enviado</v>
      </c>
      <c r="G200" s="51" t="str">
        <f>IF(_xlfn.ISFORMULA('Previsto x realizado'!AY815) = FALSE, "","Enviado")</f>
        <v>Enviado</v>
      </c>
      <c r="H200" s="51" t="str">
        <f>IF(_xlfn.ISFORMULA('Previsto x realizado'!AZ815) = FALSE, "","Enviado")</f>
        <v>Enviado</v>
      </c>
      <c r="I200" s="51" t="str">
        <f>IF(_xlfn.ISFORMULA('Previsto x realizado'!BA815) = FALSE, "","Enviado")</f>
        <v>Enviado</v>
      </c>
      <c r="J200" s="51" t="str">
        <f>IF(_xlfn.ISFORMULA('Previsto x realizado'!BB815) = FALSE, "","Enviado")</f>
        <v/>
      </c>
      <c r="K200" s="51" t="str">
        <f>IF(_xlfn.ISFORMULA('Previsto x realizado'!BC815) = FALSE, "","Enviado")</f>
        <v/>
      </c>
      <c r="L200" s="51" t="str">
        <f>IF(_xlfn.ISFORMULA('Previsto x realizado'!BD815) = FALSE, "","Enviado")</f>
        <v/>
      </c>
      <c r="M200" s="51" t="str">
        <f>IF(_xlfn.ISFORMULA('Previsto x realizado'!BE815) = FALSE, "","Enviado")</f>
        <v/>
      </c>
      <c r="N200" s="51" t="str">
        <f>IF(_xlfn.ISFORMULA('Previsto x realizado'!BF815) = FALSE, "","Enviado")</f>
        <v/>
      </c>
      <c r="O200" s="51" t="str">
        <f>IF(_xlfn.ISFORMULA('Previsto x realizado'!BG815) = FALSE, "","Enviado")</f>
        <v/>
      </c>
      <c r="P200" s="51" t="str">
        <f>IF(_xlfn.ISFORMULA('Previsto x realizado'!BH815) = FALSE, "","Enviado")</f>
        <v/>
      </c>
    </row>
    <row r="201" spans="1:16" ht="27.6" x14ac:dyDescent="0.3">
      <c r="A201" s="23" t="s">
        <v>134</v>
      </c>
      <c r="B201" s="4" t="s">
        <v>174</v>
      </c>
      <c r="C201" s="5" t="s">
        <v>97</v>
      </c>
      <c r="D201" s="4" t="s">
        <v>267</v>
      </c>
      <c r="E201" s="51" t="e">
        <f>IF(_xlfn.ISFORMULA('Previsto x realizado'!#REF!) = FALSE, "","Enviado")</f>
        <v>#REF!</v>
      </c>
      <c r="F201" s="51" t="e">
        <f>IF(_xlfn.ISFORMULA('Previsto x realizado'!#REF!) = FALSE, "","Enviado")</f>
        <v>#REF!</v>
      </c>
      <c r="G201" s="51" t="e">
        <f>IF(_xlfn.ISFORMULA('Previsto x realizado'!#REF!) = FALSE, "","Enviado")</f>
        <v>#REF!</v>
      </c>
      <c r="H201" s="51" t="e">
        <f>IF(_xlfn.ISFORMULA('Previsto x realizado'!#REF!) = FALSE, "","Enviado")</f>
        <v>#REF!</v>
      </c>
      <c r="I201" s="51" t="e">
        <f>IF(_xlfn.ISFORMULA('Previsto x realizado'!#REF!) = FALSE, "","Enviado")</f>
        <v>#REF!</v>
      </c>
      <c r="J201" s="51" t="e">
        <f>IF(_xlfn.ISFORMULA('Previsto x realizado'!#REF!) = FALSE, "","Enviado")</f>
        <v>#REF!</v>
      </c>
      <c r="K201" s="51" t="e">
        <f>IF(_xlfn.ISFORMULA('Previsto x realizado'!#REF!) = FALSE, "","Enviado")</f>
        <v>#REF!</v>
      </c>
      <c r="L201" s="51" t="e">
        <f>IF(_xlfn.ISFORMULA('Previsto x realizado'!#REF!) = FALSE, "","Enviado")</f>
        <v>#REF!</v>
      </c>
      <c r="M201" s="51" t="e">
        <f>IF(_xlfn.ISFORMULA('Previsto x realizado'!#REF!) = FALSE, "","Enviado")</f>
        <v>#REF!</v>
      </c>
      <c r="N201" s="51" t="e">
        <f>IF(_xlfn.ISFORMULA('Previsto x realizado'!#REF!) = FALSE, "","Enviado")</f>
        <v>#REF!</v>
      </c>
      <c r="O201" s="51" t="e">
        <f>IF(_xlfn.ISFORMULA('Previsto x realizado'!#REF!) = FALSE, "","Enviado")</f>
        <v>#REF!</v>
      </c>
      <c r="P201" s="51" t="e">
        <f>IF(_xlfn.ISFORMULA('Previsto x realizado'!#REF!) = FALSE, "","Enviado")</f>
        <v>#REF!</v>
      </c>
    </row>
    <row r="202" spans="1:16" ht="27.6" x14ac:dyDescent="0.3">
      <c r="A202" s="33" t="s">
        <v>175</v>
      </c>
      <c r="B202" s="4" t="s">
        <v>176</v>
      </c>
      <c r="C202" s="5" t="s">
        <v>97</v>
      </c>
      <c r="D202" s="4" t="s">
        <v>267</v>
      </c>
      <c r="E202" s="51" t="str">
        <f>IF(_xlfn.ISFORMULA('Previsto x realizado'!AW837) = FALSE, "","Enviado")</f>
        <v>Enviado</v>
      </c>
      <c r="F202" s="51" t="str">
        <f>IF(_xlfn.ISFORMULA('Previsto x realizado'!AX837) = FALSE, "","Enviado")</f>
        <v>Enviado</v>
      </c>
      <c r="G202" s="51" t="str">
        <f>IF(_xlfn.ISFORMULA('Previsto x realizado'!AY837) = FALSE, "","Enviado")</f>
        <v>Enviado</v>
      </c>
      <c r="H202" s="51" t="str">
        <f>IF(_xlfn.ISFORMULA('Previsto x realizado'!AZ837) = FALSE, "","Enviado")</f>
        <v>Enviado</v>
      </c>
      <c r="I202" s="51" t="str">
        <f>IF(_xlfn.ISFORMULA('Previsto x realizado'!BA837) = FALSE, "","Enviado")</f>
        <v/>
      </c>
      <c r="J202" s="51" t="str">
        <f>IF(_xlfn.ISFORMULA('Previsto x realizado'!BB837) = FALSE, "","Enviado")</f>
        <v/>
      </c>
      <c r="K202" s="51" t="str">
        <f>IF(_xlfn.ISFORMULA('Previsto x realizado'!BC837) = FALSE, "","Enviado")</f>
        <v/>
      </c>
      <c r="L202" s="51" t="str">
        <f>IF(_xlfn.ISFORMULA('Previsto x realizado'!BD837) = FALSE, "","Enviado")</f>
        <v/>
      </c>
      <c r="M202" s="51" t="str">
        <f>IF(_xlfn.ISFORMULA('Previsto x realizado'!BE837) = FALSE, "","Enviado")</f>
        <v/>
      </c>
      <c r="N202" s="51" t="str">
        <f>IF(_xlfn.ISFORMULA('Previsto x realizado'!BF837) = FALSE, "","Enviado")</f>
        <v/>
      </c>
      <c r="O202" s="51" t="str">
        <f>IF(_xlfn.ISFORMULA('Previsto x realizado'!BG837) = FALSE, "","Enviado")</f>
        <v/>
      </c>
      <c r="P202" s="51" t="str">
        <f>IF(_xlfn.ISFORMULA('Previsto x realizado'!BH837) = FALSE, "","Enviado")</f>
        <v/>
      </c>
    </row>
    <row r="203" spans="1:16" ht="27.6" x14ac:dyDescent="0.3">
      <c r="A203" s="44" t="s">
        <v>175</v>
      </c>
      <c r="B203" s="4" t="s">
        <v>176</v>
      </c>
      <c r="C203" s="5" t="s">
        <v>97</v>
      </c>
      <c r="D203" s="4" t="s">
        <v>267</v>
      </c>
      <c r="E203" s="51" t="str">
        <f>IF(_xlfn.ISFORMULA('Previsto x realizado'!AW848) = FALSE, "","Enviado")</f>
        <v>Enviado</v>
      </c>
      <c r="F203" s="51" t="str">
        <f>IF(_xlfn.ISFORMULA('Previsto x realizado'!AX848) = FALSE, "","Enviado")</f>
        <v>Enviado</v>
      </c>
      <c r="G203" s="51" t="str">
        <f>IF(_xlfn.ISFORMULA('Previsto x realizado'!AY848) = FALSE, "","Enviado")</f>
        <v>Enviado</v>
      </c>
      <c r="H203" s="51" t="str">
        <f>IF(_xlfn.ISFORMULA('Previsto x realizado'!AZ848) = FALSE, "","Enviado")</f>
        <v>Enviado</v>
      </c>
      <c r="I203" s="51" t="str">
        <f>IF(_xlfn.ISFORMULA('Previsto x realizado'!BA848) = FALSE, "","Enviado")</f>
        <v/>
      </c>
      <c r="J203" s="51" t="str">
        <f>IF(_xlfn.ISFORMULA('Previsto x realizado'!BB848) = FALSE, "","Enviado")</f>
        <v/>
      </c>
      <c r="K203" s="51" t="str">
        <f>IF(_xlfn.ISFORMULA('Previsto x realizado'!BC848) = FALSE, "","Enviado")</f>
        <v/>
      </c>
      <c r="L203" s="51" t="str">
        <f>IF(_xlfn.ISFORMULA('Previsto x realizado'!BD848) = FALSE, "","Enviado")</f>
        <v/>
      </c>
      <c r="M203" s="51" t="str">
        <f>IF(_xlfn.ISFORMULA('Previsto x realizado'!BE848) = FALSE, "","Enviado")</f>
        <v/>
      </c>
      <c r="N203" s="51" t="str">
        <f>IF(_xlfn.ISFORMULA('Previsto x realizado'!BF848) = FALSE, "","Enviado")</f>
        <v/>
      </c>
      <c r="O203" s="51" t="str">
        <f>IF(_xlfn.ISFORMULA('Previsto x realizado'!BG848) = FALSE, "","Enviado")</f>
        <v/>
      </c>
      <c r="P203" s="51" t="str">
        <f>IF(_xlfn.ISFORMULA('Previsto x realizado'!BH848) = FALSE, "","Enviado")</f>
        <v/>
      </c>
    </row>
    <row r="204" spans="1:16" ht="27.6" x14ac:dyDescent="0.3">
      <c r="A204" s="44" t="s">
        <v>175</v>
      </c>
      <c r="B204" s="4" t="s">
        <v>176</v>
      </c>
      <c r="C204" s="5" t="s">
        <v>97</v>
      </c>
      <c r="D204" s="4" t="s">
        <v>267</v>
      </c>
      <c r="E204" s="51" t="str">
        <f>IF(_xlfn.ISFORMULA('Previsto x realizado'!AW859) = FALSE, "","Enviado")</f>
        <v>Enviado</v>
      </c>
      <c r="F204" s="51" t="str">
        <f>IF(_xlfn.ISFORMULA('Previsto x realizado'!AX859) = FALSE, "","Enviado")</f>
        <v>Enviado</v>
      </c>
      <c r="G204" s="51" t="str">
        <f>IF(_xlfn.ISFORMULA('Previsto x realizado'!AY859) = FALSE, "","Enviado")</f>
        <v>Enviado</v>
      </c>
      <c r="H204" s="51" t="str">
        <f>IF(_xlfn.ISFORMULA('Previsto x realizado'!AZ859) = FALSE, "","Enviado")</f>
        <v>Enviado</v>
      </c>
      <c r="I204" s="51" t="str">
        <f>IF(_xlfn.ISFORMULA('Previsto x realizado'!BA859) = FALSE, "","Enviado")</f>
        <v/>
      </c>
      <c r="J204" s="51" t="str">
        <f>IF(_xlfn.ISFORMULA('Previsto x realizado'!BB859) = FALSE, "","Enviado")</f>
        <v/>
      </c>
      <c r="K204" s="51" t="str">
        <f>IF(_xlfn.ISFORMULA('Previsto x realizado'!BC859) = FALSE, "","Enviado")</f>
        <v/>
      </c>
      <c r="L204" s="51" t="str">
        <f>IF(_xlfn.ISFORMULA('Previsto x realizado'!BD859) = FALSE, "","Enviado")</f>
        <v/>
      </c>
      <c r="M204" s="51" t="str">
        <f>IF(_xlfn.ISFORMULA('Previsto x realizado'!BE859) = FALSE, "","Enviado")</f>
        <v/>
      </c>
      <c r="N204" s="51" t="str">
        <f>IF(_xlfn.ISFORMULA('Previsto x realizado'!BF859) = FALSE, "","Enviado")</f>
        <v/>
      </c>
      <c r="O204" s="51" t="str">
        <f>IF(_xlfn.ISFORMULA('Previsto x realizado'!BG859) = FALSE, "","Enviado")</f>
        <v/>
      </c>
      <c r="P204" s="51" t="str">
        <f>IF(_xlfn.ISFORMULA('Previsto x realizado'!BH859) = FALSE, "","Enviado")</f>
        <v/>
      </c>
    </row>
    <row r="205" spans="1:16" ht="27.6" x14ac:dyDescent="0.3">
      <c r="A205" s="33" t="s">
        <v>175</v>
      </c>
      <c r="B205" s="4" t="s">
        <v>184</v>
      </c>
      <c r="C205" s="5" t="s">
        <v>97</v>
      </c>
      <c r="D205" s="4" t="s">
        <v>267</v>
      </c>
      <c r="E205" s="51" t="str">
        <f>IF(_xlfn.ISFORMULA('Previsto x realizado'!AW870) = FALSE, "","Enviado")</f>
        <v>Enviado</v>
      </c>
      <c r="F205" s="51" t="str">
        <f>IF(_xlfn.ISFORMULA('Previsto x realizado'!AX870) = FALSE, "","Enviado")</f>
        <v>Enviado</v>
      </c>
      <c r="G205" s="51" t="str">
        <f>IF(_xlfn.ISFORMULA('Previsto x realizado'!AY870) = FALSE, "","Enviado")</f>
        <v>Enviado</v>
      </c>
      <c r="H205" s="51" t="str">
        <f>IF(_xlfn.ISFORMULA('Previsto x realizado'!AZ870) = FALSE, "","Enviado")</f>
        <v>Enviado</v>
      </c>
      <c r="I205" s="51" t="str">
        <f>IF(_xlfn.ISFORMULA('Previsto x realizado'!BA870) = FALSE, "","Enviado")</f>
        <v/>
      </c>
      <c r="J205" s="51" t="str">
        <f>IF(_xlfn.ISFORMULA('Previsto x realizado'!BB870) = FALSE, "","Enviado")</f>
        <v/>
      </c>
      <c r="K205" s="51" t="str">
        <f>IF(_xlfn.ISFORMULA('Previsto x realizado'!BC870) = FALSE, "","Enviado")</f>
        <v/>
      </c>
      <c r="L205" s="51" t="str">
        <f>IF(_xlfn.ISFORMULA('Previsto x realizado'!BD870) = FALSE, "","Enviado")</f>
        <v/>
      </c>
      <c r="M205" s="51" t="str">
        <f>IF(_xlfn.ISFORMULA('Previsto x realizado'!BE870) = FALSE, "","Enviado")</f>
        <v/>
      </c>
      <c r="N205" s="51" t="str">
        <f>IF(_xlfn.ISFORMULA('Previsto x realizado'!BF870) = FALSE, "","Enviado")</f>
        <v/>
      </c>
      <c r="O205" s="51" t="str">
        <f>IF(_xlfn.ISFORMULA('Previsto x realizado'!BG870) = FALSE, "","Enviado")</f>
        <v/>
      </c>
      <c r="P205" s="51" t="str">
        <f>IF(_xlfn.ISFORMULA('Previsto x realizado'!BH870) = FALSE, "","Enviado")</f>
        <v/>
      </c>
    </row>
    <row r="206" spans="1:16" ht="27.6" x14ac:dyDescent="0.3">
      <c r="A206" s="44" t="s">
        <v>175</v>
      </c>
      <c r="B206" s="4" t="s">
        <v>184</v>
      </c>
      <c r="C206" s="5" t="s">
        <v>97</v>
      </c>
      <c r="D206" s="4" t="s">
        <v>267</v>
      </c>
      <c r="E206" s="51" t="str">
        <f>IF(_xlfn.ISFORMULA('Previsto x realizado'!AW881) = FALSE, "","Enviado")</f>
        <v>Enviado</v>
      </c>
      <c r="F206" s="51" t="str">
        <f>IF(_xlfn.ISFORMULA('Previsto x realizado'!AX881) = FALSE, "","Enviado")</f>
        <v>Enviado</v>
      </c>
      <c r="G206" s="51" t="str">
        <f>IF(_xlfn.ISFORMULA('Previsto x realizado'!AY881) = FALSE, "","Enviado")</f>
        <v>Enviado</v>
      </c>
      <c r="H206" s="51" t="str">
        <f>IF(_xlfn.ISFORMULA('Previsto x realizado'!AZ881) = FALSE, "","Enviado")</f>
        <v>Enviado</v>
      </c>
      <c r="I206" s="51" t="str">
        <f>IF(_xlfn.ISFORMULA('Previsto x realizado'!BA881) = FALSE, "","Enviado")</f>
        <v/>
      </c>
      <c r="J206" s="51" t="str">
        <f>IF(_xlfn.ISFORMULA('Previsto x realizado'!BB881) = FALSE, "","Enviado")</f>
        <v/>
      </c>
      <c r="K206" s="51" t="str">
        <f>IF(_xlfn.ISFORMULA('Previsto x realizado'!BC881) = FALSE, "","Enviado")</f>
        <v/>
      </c>
      <c r="L206" s="51" t="str">
        <f>IF(_xlfn.ISFORMULA('Previsto x realizado'!BD881) = FALSE, "","Enviado")</f>
        <v/>
      </c>
      <c r="M206" s="51" t="str">
        <f>IF(_xlfn.ISFORMULA('Previsto x realizado'!BE881) = FALSE, "","Enviado")</f>
        <v/>
      </c>
      <c r="N206" s="51" t="str">
        <f>IF(_xlfn.ISFORMULA('Previsto x realizado'!BF881) = FALSE, "","Enviado")</f>
        <v/>
      </c>
      <c r="O206" s="51" t="str">
        <f>IF(_xlfn.ISFORMULA('Previsto x realizado'!BG881) = FALSE, "","Enviado")</f>
        <v/>
      </c>
      <c r="P206" s="51" t="str">
        <f>IF(_xlfn.ISFORMULA('Previsto x realizado'!BH881) = FALSE, "","Enviado")</f>
        <v/>
      </c>
    </row>
    <row r="207" spans="1:16" ht="27.6" x14ac:dyDescent="0.3">
      <c r="A207" s="44" t="s">
        <v>175</v>
      </c>
      <c r="B207" s="4" t="s">
        <v>184</v>
      </c>
      <c r="C207" s="5" t="s">
        <v>97</v>
      </c>
      <c r="D207" s="4" t="s">
        <v>267</v>
      </c>
      <c r="E207" s="51" t="str">
        <f>IF(_xlfn.ISFORMULA('Previsto x realizado'!AW892) = FALSE, "","Enviado")</f>
        <v>Enviado</v>
      </c>
      <c r="F207" s="51" t="str">
        <f>IF(_xlfn.ISFORMULA('Previsto x realizado'!AX892) = FALSE, "","Enviado")</f>
        <v>Enviado</v>
      </c>
      <c r="G207" s="51" t="str">
        <f>IF(_xlfn.ISFORMULA('Previsto x realizado'!AY892) = FALSE, "","Enviado")</f>
        <v>Enviado</v>
      </c>
      <c r="H207" s="51" t="str">
        <f>IF(_xlfn.ISFORMULA('Previsto x realizado'!AZ892) = FALSE, "","Enviado")</f>
        <v>Enviado</v>
      </c>
      <c r="I207" s="51" t="str">
        <f>IF(_xlfn.ISFORMULA('Previsto x realizado'!BA892) = FALSE, "","Enviado")</f>
        <v/>
      </c>
      <c r="J207" s="51" t="str">
        <f>IF(_xlfn.ISFORMULA('Previsto x realizado'!BB892) = FALSE, "","Enviado")</f>
        <v/>
      </c>
      <c r="K207" s="51" t="str">
        <f>IF(_xlfn.ISFORMULA('Previsto x realizado'!BC892) = FALSE, "","Enviado")</f>
        <v/>
      </c>
      <c r="L207" s="51" t="str">
        <f>IF(_xlfn.ISFORMULA('Previsto x realizado'!BD892) = FALSE, "","Enviado")</f>
        <v/>
      </c>
      <c r="M207" s="51" t="str">
        <f>IF(_xlfn.ISFORMULA('Previsto x realizado'!BE892) = FALSE, "","Enviado")</f>
        <v/>
      </c>
      <c r="N207" s="51" t="str">
        <f>IF(_xlfn.ISFORMULA('Previsto x realizado'!BF892) = FALSE, "","Enviado")</f>
        <v/>
      </c>
      <c r="O207" s="51" t="str">
        <f>IF(_xlfn.ISFORMULA('Previsto x realizado'!BG892) = FALSE, "","Enviado")</f>
        <v/>
      </c>
      <c r="P207" s="51" t="str">
        <f>IF(_xlfn.ISFORMULA('Previsto x realizado'!BH892) = FALSE, "","Enviado")</f>
        <v/>
      </c>
    </row>
    <row r="208" spans="1:16" ht="27.6" x14ac:dyDescent="0.3">
      <c r="A208" s="33" t="s">
        <v>175</v>
      </c>
      <c r="B208" s="4" t="s">
        <v>187</v>
      </c>
      <c r="C208" s="5" t="s">
        <v>97</v>
      </c>
      <c r="D208" s="4" t="s">
        <v>267</v>
      </c>
      <c r="E208" s="51" t="str">
        <f>IF(_xlfn.ISFORMULA('Previsto x realizado'!AW903) = FALSE, "","Enviado")</f>
        <v/>
      </c>
      <c r="F208" s="51" t="str">
        <f>IF(_xlfn.ISFORMULA('Previsto x realizado'!AX903) = FALSE, "","Enviado")</f>
        <v/>
      </c>
      <c r="G208" s="51" t="str">
        <f>IF(_xlfn.ISFORMULA('Previsto x realizado'!AY903) = FALSE, "","Enviado")</f>
        <v/>
      </c>
      <c r="H208" s="51" t="str">
        <f>IF(_xlfn.ISFORMULA('Previsto x realizado'!AZ903) = FALSE, "","Enviado")</f>
        <v/>
      </c>
      <c r="I208" s="51" t="str">
        <f>IF(_xlfn.ISFORMULA('Previsto x realizado'!BA903) = FALSE, "","Enviado")</f>
        <v/>
      </c>
      <c r="J208" s="51" t="str">
        <f>IF(_xlfn.ISFORMULA('Previsto x realizado'!BB903) = FALSE, "","Enviado")</f>
        <v/>
      </c>
      <c r="K208" s="51" t="str">
        <f>IF(_xlfn.ISFORMULA('Previsto x realizado'!BC903) = FALSE, "","Enviado")</f>
        <v/>
      </c>
      <c r="L208" s="51" t="str">
        <f>IF(_xlfn.ISFORMULA('Previsto x realizado'!BD903) = FALSE, "","Enviado")</f>
        <v/>
      </c>
      <c r="M208" s="51" t="str">
        <f>IF(_xlfn.ISFORMULA('Previsto x realizado'!BE903) = FALSE, "","Enviado")</f>
        <v/>
      </c>
      <c r="N208" s="51" t="str">
        <f>IF(_xlfn.ISFORMULA('Previsto x realizado'!BF903) = FALSE, "","Enviado")</f>
        <v/>
      </c>
      <c r="O208" s="51" t="str">
        <f>IF(_xlfn.ISFORMULA('Previsto x realizado'!BG903) = FALSE, "","Enviado")</f>
        <v/>
      </c>
      <c r="P208" s="51" t="str">
        <f>IF(_xlfn.ISFORMULA('Previsto x realizado'!BH903) = FALSE, "","Enviado")</f>
        <v/>
      </c>
    </row>
    <row r="209" spans="1:16" ht="27.6" x14ac:dyDescent="0.3">
      <c r="A209" s="44" t="s">
        <v>175</v>
      </c>
      <c r="B209" s="4" t="s">
        <v>187</v>
      </c>
      <c r="C209" s="5" t="s">
        <v>97</v>
      </c>
      <c r="D209" s="4" t="s">
        <v>267</v>
      </c>
      <c r="E209" s="51" t="str">
        <f>IF(_xlfn.ISFORMULA('Previsto x realizado'!AW914) = FALSE, "","Enviado")</f>
        <v>Enviado</v>
      </c>
      <c r="F209" s="51" t="str">
        <f>IF(_xlfn.ISFORMULA('Previsto x realizado'!AX914) = FALSE, "","Enviado")</f>
        <v/>
      </c>
      <c r="G209" s="51" t="str">
        <f>IF(_xlfn.ISFORMULA('Previsto x realizado'!AY914) = FALSE, "","Enviado")</f>
        <v/>
      </c>
      <c r="H209" s="51" t="str">
        <f>IF(_xlfn.ISFORMULA('Previsto x realizado'!AZ914) = FALSE, "","Enviado")</f>
        <v/>
      </c>
      <c r="I209" s="51" t="str">
        <f>IF(_xlfn.ISFORMULA('Previsto x realizado'!BA914) = FALSE, "","Enviado")</f>
        <v/>
      </c>
      <c r="J209" s="51" t="str">
        <f>IF(_xlfn.ISFORMULA('Previsto x realizado'!BB914) = FALSE, "","Enviado")</f>
        <v/>
      </c>
      <c r="K209" s="51" t="str">
        <f>IF(_xlfn.ISFORMULA('Previsto x realizado'!BC914) = FALSE, "","Enviado")</f>
        <v/>
      </c>
      <c r="L209" s="51" t="str">
        <f>IF(_xlfn.ISFORMULA('Previsto x realizado'!BD914) = FALSE, "","Enviado")</f>
        <v/>
      </c>
      <c r="M209" s="51" t="str">
        <f>IF(_xlfn.ISFORMULA('Previsto x realizado'!BE914) = FALSE, "","Enviado")</f>
        <v/>
      </c>
      <c r="N209" s="51" t="str">
        <f>IF(_xlfn.ISFORMULA('Previsto x realizado'!BF914) = FALSE, "","Enviado")</f>
        <v/>
      </c>
      <c r="O209" s="51" t="str">
        <f>IF(_xlfn.ISFORMULA('Previsto x realizado'!BG914) = FALSE, "","Enviado")</f>
        <v/>
      </c>
      <c r="P209" s="51" t="str">
        <f>IF(_xlfn.ISFORMULA('Previsto x realizado'!BH914) = FALSE, "","Enviado")</f>
        <v/>
      </c>
    </row>
    <row r="210" spans="1:16" ht="27.6" x14ac:dyDescent="0.3">
      <c r="A210" s="44" t="s">
        <v>175</v>
      </c>
      <c r="B210" s="4" t="s">
        <v>187</v>
      </c>
      <c r="C210" s="5" t="s">
        <v>97</v>
      </c>
      <c r="D210" s="4" t="s">
        <v>267</v>
      </c>
      <c r="E210" s="51" t="str">
        <f>IF(_xlfn.ISFORMULA('Previsto x realizado'!AW925) = FALSE, "","Enviado")</f>
        <v>Enviado</v>
      </c>
      <c r="F210" s="51" t="str">
        <f>IF(_xlfn.ISFORMULA('Previsto x realizado'!AX925) = FALSE, "","Enviado")</f>
        <v/>
      </c>
      <c r="G210" s="51" t="str">
        <f>IF(_xlfn.ISFORMULA('Previsto x realizado'!AY925) = FALSE, "","Enviado")</f>
        <v/>
      </c>
      <c r="H210" s="51" t="str">
        <f>IF(_xlfn.ISFORMULA('Previsto x realizado'!AZ925) = FALSE, "","Enviado")</f>
        <v/>
      </c>
      <c r="I210" s="51" t="str">
        <f>IF(_xlfn.ISFORMULA('Previsto x realizado'!BA925) = FALSE, "","Enviado")</f>
        <v/>
      </c>
      <c r="J210" s="51" t="str">
        <f>IF(_xlfn.ISFORMULA('Previsto x realizado'!BB925) = FALSE, "","Enviado")</f>
        <v/>
      </c>
      <c r="K210" s="51" t="str">
        <f>IF(_xlfn.ISFORMULA('Previsto x realizado'!BC925) = FALSE, "","Enviado")</f>
        <v/>
      </c>
      <c r="L210" s="51" t="str">
        <f>IF(_xlfn.ISFORMULA('Previsto x realizado'!BD925) = FALSE, "","Enviado")</f>
        <v/>
      </c>
      <c r="M210" s="51" t="str">
        <f>IF(_xlfn.ISFORMULA('Previsto x realizado'!BE925) = FALSE, "","Enviado")</f>
        <v/>
      </c>
      <c r="N210" s="51" t="str">
        <f>IF(_xlfn.ISFORMULA('Previsto x realizado'!BF925) = FALSE, "","Enviado")</f>
        <v/>
      </c>
      <c r="O210" s="51" t="str">
        <f>IF(_xlfn.ISFORMULA('Previsto x realizado'!BG925) = FALSE, "","Enviado")</f>
        <v/>
      </c>
      <c r="P210" s="51" t="str">
        <f>IF(_xlfn.ISFORMULA('Previsto x realizado'!BH925) = FALSE, "","Enviado")</f>
        <v/>
      </c>
    </row>
    <row r="211" spans="1:16" ht="27.6" x14ac:dyDescent="0.3">
      <c r="A211" s="33" t="s">
        <v>175</v>
      </c>
      <c r="B211" s="4" t="s">
        <v>194</v>
      </c>
      <c r="C211" s="5" t="s">
        <v>97</v>
      </c>
      <c r="D211" s="4" t="s">
        <v>267</v>
      </c>
      <c r="E211" s="51" t="str">
        <f>IF(_xlfn.ISFORMULA('Previsto x realizado'!AW936) = FALSE, "","Enviado")</f>
        <v/>
      </c>
      <c r="F211" s="51" t="str">
        <f>IF(_xlfn.ISFORMULA('Previsto x realizado'!AX936) = FALSE, "","Enviado")</f>
        <v/>
      </c>
      <c r="G211" s="51" t="str">
        <f>IF(_xlfn.ISFORMULA('Previsto x realizado'!AY936) = FALSE, "","Enviado")</f>
        <v/>
      </c>
      <c r="H211" s="51" t="str">
        <f>IF(_xlfn.ISFORMULA('Previsto x realizado'!AZ936) = FALSE, "","Enviado")</f>
        <v/>
      </c>
      <c r="I211" s="51" t="str">
        <f>IF(_xlfn.ISFORMULA('Previsto x realizado'!BA936) = FALSE, "","Enviado")</f>
        <v/>
      </c>
      <c r="J211" s="51" t="str">
        <f>IF(_xlfn.ISFORMULA('Previsto x realizado'!BB936) = FALSE, "","Enviado")</f>
        <v/>
      </c>
      <c r="K211" s="51" t="str">
        <f>IF(_xlfn.ISFORMULA('Previsto x realizado'!BC936) = FALSE, "","Enviado")</f>
        <v/>
      </c>
      <c r="L211" s="51" t="str">
        <f>IF(_xlfn.ISFORMULA('Previsto x realizado'!BD936) = FALSE, "","Enviado")</f>
        <v/>
      </c>
      <c r="M211" s="51" t="str">
        <f>IF(_xlfn.ISFORMULA('Previsto x realizado'!BE936) = FALSE, "","Enviado")</f>
        <v/>
      </c>
      <c r="N211" s="51" t="str">
        <f>IF(_xlfn.ISFORMULA('Previsto x realizado'!BF936) = FALSE, "","Enviado")</f>
        <v/>
      </c>
      <c r="O211" s="51" t="str">
        <f>IF(_xlfn.ISFORMULA('Previsto x realizado'!BG936) = FALSE, "","Enviado")</f>
        <v/>
      </c>
      <c r="P211" s="51" t="str">
        <f>IF(_xlfn.ISFORMULA('Previsto x realizado'!BH936) = FALSE, "","Enviado")</f>
        <v/>
      </c>
    </row>
    <row r="212" spans="1:16" ht="27.6" x14ac:dyDescent="0.3">
      <c r="A212" s="44" t="s">
        <v>175</v>
      </c>
      <c r="B212" s="4" t="s">
        <v>194</v>
      </c>
      <c r="C212" s="5" t="s">
        <v>97</v>
      </c>
      <c r="D212" s="4" t="s">
        <v>267</v>
      </c>
      <c r="E212" s="51" t="str">
        <f>IF(_xlfn.ISFORMULA('Previsto x realizado'!AW947) = FALSE, "","Enviado")</f>
        <v>Enviado</v>
      </c>
      <c r="F212" s="51" t="str">
        <f>IF(_xlfn.ISFORMULA('Previsto x realizado'!AX947) = FALSE, "","Enviado")</f>
        <v/>
      </c>
      <c r="G212" s="51" t="str">
        <f>IF(_xlfn.ISFORMULA('Previsto x realizado'!AY947) = FALSE, "","Enviado")</f>
        <v/>
      </c>
      <c r="H212" s="51" t="str">
        <f>IF(_xlfn.ISFORMULA('Previsto x realizado'!AZ947) = FALSE, "","Enviado")</f>
        <v/>
      </c>
      <c r="I212" s="51" t="str">
        <f>IF(_xlfn.ISFORMULA('Previsto x realizado'!BA947) = FALSE, "","Enviado")</f>
        <v/>
      </c>
      <c r="J212" s="51" t="str">
        <f>IF(_xlfn.ISFORMULA('Previsto x realizado'!BB947) = FALSE, "","Enviado")</f>
        <v/>
      </c>
      <c r="K212" s="51" t="str">
        <f>IF(_xlfn.ISFORMULA('Previsto x realizado'!BC947) = FALSE, "","Enviado")</f>
        <v/>
      </c>
      <c r="L212" s="51" t="str">
        <f>IF(_xlfn.ISFORMULA('Previsto x realizado'!BD947) = FALSE, "","Enviado")</f>
        <v/>
      </c>
      <c r="M212" s="51" t="str">
        <f>IF(_xlfn.ISFORMULA('Previsto x realizado'!BE947) = FALSE, "","Enviado")</f>
        <v/>
      </c>
      <c r="N212" s="51" t="str">
        <f>IF(_xlfn.ISFORMULA('Previsto x realizado'!BF947) = FALSE, "","Enviado")</f>
        <v/>
      </c>
      <c r="O212" s="51" t="str">
        <f>IF(_xlfn.ISFORMULA('Previsto x realizado'!BG947) = FALSE, "","Enviado")</f>
        <v/>
      </c>
      <c r="P212" s="51" t="str">
        <f>IF(_xlfn.ISFORMULA('Previsto x realizado'!BH947) = FALSE, "","Enviado")</f>
        <v/>
      </c>
    </row>
    <row r="213" spans="1:16" ht="27.6" x14ac:dyDescent="0.3">
      <c r="A213" s="44" t="s">
        <v>175</v>
      </c>
      <c r="B213" s="4" t="s">
        <v>194</v>
      </c>
      <c r="C213" s="5" t="s">
        <v>97</v>
      </c>
      <c r="D213" s="4" t="s">
        <v>267</v>
      </c>
      <c r="E213" s="51" t="str">
        <f>IF(_xlfn.ISFORMULA('Previsto x realizado'!AW958) = FALSE, "","Enviado")</f>
        <v>Enviado</v>
      </c>
      <c r="F213" s="51" t="str">
        <f>IF(_xlfn.ISFORMULA('Previsto x realizado'!AX958) = FALSE, "","Enviado")</f>
        <v/>
      </c>
      <c r="G213" s="51" t="str">
        <f>IF(_xlfn.ISFORMULA('Previsto x realizado'!AY958) = FALSE, "","Enviado")</f>
        <v/>
      </c>
      <c r="H213" s="51" t="str">
        <f>IF(_xlfn.ISFORMULA('Previsto x realizado'!AZ958) = FALSE, "","Enviado")</f>
        <v/>
      </c>
      <c r="I213" s="51" t="str">
        <f>IF(_xlfn.ISFORMULA('Previsto x realizado'!BA958) = FALSE, "","Enviado")</f>
        <v/>
      </c>
      <c r="J213" s="51" t="str">
        <f>IF(_xlfn.ISFORMULA('Previsto x realizado'!BB958) = FALSE, "","Enviado")</f>
        <v/>
      </c>
      <c r="K213" s="51" t="str">
        <f>IF(_xlfn.ISFORMULA('Previsto x realizado'!BC958) = FALSE, "","Enviado")</f>
        <v/>
      </c>
      <c r="L213" s="51" t="str">
        <f>IF(_xlfn.ISFORMULA('Previsto x realizado'!BD958) = FALSE, "","Enviado")</f>
        <v/>
      </c>
      <c r="M213" s="51" t="str">
        <f>IF(_xlfn.ISFORMULA('Previsto x realizado'!BE958) = FALSE, "","Enviado")</f>
        <v/>
      </c>
      <c r="N213" s="51" t="str">
        <f>IF(_xlfn.ISFORMULA('Previsto x realizado'!BF958) = FALSE, "","Enviado")</f>
        <v/>
      </c>
      <c r="O213" s="51" t="str">
        <f>IF(_xlfn.ISFORMULA('Previsto x realizado'!BG958) = FALSE, "","Enviado")</f>
        <v/>
      </c>
      <c r="P213" s="51" t="str">
        <f>IF(_xlfn.ISFORMULA('Previsto x realizado'!BH958) = FALSE, "","Enviado")</f>
        <v/>
      </c>
    </row>
    <row r="214" spans="1:16" ht="27.6" x14ac:dyDescent="0.3">
      <c r="A214" s="33" t="s">
        <v>175</v>
      </c>
      <c r="B214" s="4" t="s">
        <v>197</v>
      </c>
      <c r="C214" s="5" t="s">
        <v>97</v>
      </c>
      <c r="D214" s="4" t="s">
        <v>267</v>
      </c>
      <c r="E214" s="51" t="str">
        <f>IF(_xlfn.ISFORMULA('Previsto x realizado'!AW969) = FALSE, "","Enviado")</f>
        <v/>
      </c>
      <c r="F214" s="51" t="str">
        <f>IF(_xlfn.ISFORMULA('Previsto x realizado'!AX969) = FALSE, "","Enviado")</f>
        <v/>
      </c>
      <c r="G214" s="51" t="str">
        <f>IF(_xlfn.ISFORMULA('Previsto x realizado'!AY969) = FALSE, "","Enviado")</f>
        <v/>
      </c>
      <c r="H214" s="51" t="str">
        <f>IF(_xlfn.ISFORMULA('Previsto x realizado'!AZ969) = FALSE, "","Enviado")</f>
        <v/>
      </c>
      <c r="I214" s="51" t="str">
        <f>IF(_xlfn.ISFORMULA('Previsto x realizado'!BA969) = FALSE, "","Enviado")</f>
        <v/>
      </c>
      <c r="J214" s="51" t="str">
        <f>IF(_xlfn.ISFORMULA('Previsto x realizado'!BB969) = FALSE, "","Enviado")</f>
        <v/>
      </c>
      <c r="K214" s="51" t="str">
        <f>IF(_xlfn.ISFORMULA('Previsto x realizado'!BC969) = FALSE, "","Enviado")</f>
        <v/>
      </c>
      <c r="L214" s="51" t="str">
        <f>IF(_xlfn.ISFORMULA('Previsto x realizado'!BD969) = FALSE, "","Enviado")</f>
        <v/>
      </c>
      <c r="M214" s="51" t="str">
        <f>IF(_xlfn.ISFORMULA('Previsto x realizado'!BE969) = FALSE, "","Enviado")</f>
        <v/>
      </c>
      <c r="N214" s="51" t="str">
        <f>IF(_xlfn.ISFORMULA('Previsto x realizado'!BF969) = FALSE, "","Enviado")</f>
        <v/>
      </c>
      <c r="O214" s="51" t="str">
        <f>IF(_xlfn.ISFORMULA('Previsto x realizado'!BG969) = FALSE, "","Enviado")</f>
        <v/>
      </c>
      <c r="P214" s="51" t="str">
        <f>IF(_xlfn.ISFORMULA('Previsto x realizado'!BH969) = FALSE, "","Enviado")</f>
        <v/>
      </c>
    </row>
    <row r="215" spans="1:16" ht="27.6" x14ac:dyDescent="0.3">
      <c r="A215" s="44" t="s">
        <v>175</v>
      </c>
      <c r="B215" s="4" t="s">
        <v>197</v>
      </c>
      <c r="C215" s="5" t="s">
        <v>97</v>
      </c>
      <c r="D215" s="4" t="s">
        <v>267</v>
      </c>
      <c r="E215" s="51" t="str">
        <f>IF(_xlfn.ISFORMULA('Previsto x realizado'!AW980) = FALSE, "","Enviado")</f>
        <v>Enviado</v>
      </c>
      <c r="F215" s="51" t="str">
        <f>IF(_xlfn.ISFORMULA('Previsto x realizado'!AX980) = FALSE, "","Enviado")</f>
        <v/>
      </c>
      <c r="G215" s="51" t="str">
        <f>IF(_xlfn.ISFORMULA('Previsto x realizado'!AY980) = FALSE, "","Enviado")</f>
        <v/>
      </c>
      <c r="H215" s="51" t="str">
        <f>IF(_xlfn.ISFORMULA('Previsto x realizado'!AZ980) = FALSE, "","Enviado")</f>
        <v/>
      </c>
      <c r="I215" s="51" t="str">
        <f>IF(_xlfn.ISFORMULA('Previsto x realizado'!BA980) = FALSE, "","Enviado")</f>
        <v/>
      </c>
      <c r="J215" s="51" t="str">
        <f>IF(_xlfn.ISFORMULA('Previsto x realizado'!BB980) = FALSE, "","Enviado")</f>
        <v/>
      </c>
      <c r="K215" s="51" t="str">
        <f>IF(_xlfn.ISFORMULA('Previsto x realizado'!BC980) = FALSE, "","Enviado")</f>
        <v/>
      </c>
      <c r="L215" s="51" t="str">
        <f>IF(_xlfn.ISFORMULA('Previsto x realizado'!BD980) = FALSE, "","Enviado")</f>
        <v/>
      </c>
      <c r="M215" s="51" t="str">
        <f>IF(_xlfn.ISFORMULA('Previsto x realizado'!BE980) = FALSE, "","Enviado")</f>
        <v/>
      </c>
      <c r="N215" s="51" t="str">
        <f>IF(_xlfn.ISFORMULA('Previsto x realizado'!BF980) = FALSE, "","Enviado")</f>
        <v/>
      </c>
      <c r="O215" s="51" t="str">
        <f>IF(_xlfn.ISFORMULA('Previsto x realizado'!BG980) = FALSE, "","Enviado")</f>
        <v/>
      </c>
      <c r="P215" s="51" t="str">
        <f>IF(_xlfn.ISFORMULA('Previsto x realizado'!BH980) = FALSE, "","Enviado")</f>
        <v/>
      </c>
    </row>
    <row r="216" spans="1:16" ht="27.6" x14ac:dyDescent="0.3">
      <c r="A216" s="44" t="s">
        <v>175</v>
      </c>
      <c r="B216" s="4" t="s">
        <v>197</v>
      </c>
      <c r="C216" s="5" t="s">
        <v>97</v>
      </c>
      <c r="D216" s="4" t="s">
        <v>267</v>
      </c>
      <c r="E216" s="51" t="e">
        <f>IF(_xlfn.ISFORMULA('Previsto x realizado'!#REF!) = FALSE, "","Enviado")</f>
        <v>#REF!</v>
      </c>
      <c r="F216" s="51" t="e">
        <f>IF(_xlfn.ISFORMULA('Previsto x realizado'!#REF!) = FALSE, "","Enviado")</f>
        <v>#REF!</v>
      </c>
      <c r="G216" s="51" t="e">
        <f>IF(_xlfn.ISFORMULA('Previsto x realizado'!#REF!) = FALSE, "","Enviado")</f>
        <v>#REF!</v>
      </c>
      <c r="H216" s="51" t="e">
        <f>IF(_xlfn.ISFORMULA('Previsto x realizado'!#REF!) = FALSE, "","Enviado")</f>
        <v>#REF!</v>
      </c>
      <c r="I216" s="51" t="e">
        <f>IF(_xlfn.ISFORMULA('Previsto x realizado'!#REF!) = FALSE, "","Enviado")</f>
        <v>#REF!</v>
      </c>
      <c r="J216" s="51" t="e">
        <f>IF(_xlfn.ISFORMULA('Previsto x realizado'!#REF!) = FALSE, "","Enviado")</f>
        <v>#REF!</v>
      </c>
      <c r="K216" s="51" t="e">
        <f>IF(_xlfn.ISFORMULA('Previsto x realizado'!#REF!) = FALSE, "","Enviado")</f>
        <v>#REF!</v>
      </c>
      <c r="L216" s="51" t="e">
        <f>IF(_xlfn.ISFORMULA('Previsto x realizado'!#REF!) = FALSE, "","Enviado")</f>
        <v>#REF!</v>
      </c>
      <c r="M216" s="51" t="e">
        <f>IF(_xlfn.ISFORMULA('Previsto x realizado'!#REF!) = FALSE, "","Enviado")</f>
        <v>#REF!</v>
      </c>
      <c r="N216" s="51" t="e">
        <f>IF(_xlfn.ISFORMULA('Previsto x realizado'!#REF!) = FALSE, "","Enviado")</f>
        <v>#REF!</v>
      </c>
      <c r="O216" s="51" t="e">
        <f>IF(_xlfn.ISFORMULA('Previsto x realizado'!#REF!) = FALSE, "","Enviado")</f>
        <v>#REF!</v>
      </c>
      <c r="P216" s="51" t="e">
        <f>IF(_xlfn.ISFORMULA('Previsto x realizado'!#REF!) = FALSE, "","Enviado")</f>
        <v>#REF!</v>
      </c>
    </row>
    <row r="217" spans="1:16" x14ac:dyDescent="0.3">
      <c r="A217" s="35" t="s">
        <v>44</v>
      </c>
      <c r="B217" s="10" t="s">
        <v>44</v>
      </c>
      <c r="C217" s="5" t="s">
        <v>97</v>
      </c>
      <c r="D217" s="10" t="s">
        <v>44</v>
      </c>
      <c r="E217" s="51" t="str">
        <f>IF(_xlfn.ISFORMULA('Previsto x realizado'!AW1002) = FALSE, "","Enviado")</f>
        <v>Enviado</v>
      </c>
      <c r="F217" s="51" t="str">
        <f>IF(_xlfn.ISFORMULA('Previsto x realizado'!AX1002) = FALSE, "","Enviado")</f>
        <v>Enviado</v>
      </c>
      <c r="G217" s="51" t="str">
        <f>IF(_xlfn.ISFORMULA('Previsto x realizado'!AY1002) = FALSE, "","Enviado")</f>
        <v>Enviado</v>
      </c>
      <c r="H217" s="51" t="str">
        <f>IF(_xlfn.ISFORMULA('Previsto x realizado'!AZ1002) = FALSE, "","Enviado")</f>
        <v>Enviado</v>
      </c>
      <c r="I217" s="51" t="str">
        <f>IF(_xlfn.ISFORMULA('Previsto x realizado'!BA1002) = FALSE, "","Enviado")</f>
        <v/>
      </c>
      <c r="J217" s="51" t="str">
        <f>IF(_xlfn.ISFORMULA('Previsto x realizado'!BB1002) = FALSE, "","Enviado")</f>
        <v/>
      </c>
      <c r="K217" s="51" t="str">
        <f>IF(_xlfn.ISFORMULA('Previsto x realizado'!BC1002) = FALSE, "","Enviado")</f>
        <v/>
      </c>
      <c r="L217" s="51" t="str">
        <f>IF(_xlfn.ISFORMULA('Previsto x realizado'!BD1002) = FALSE, "","Enviado")</f>
        <v/>
      </c>
      <c r="M217" s="51" t="str">
        <f>IF(_xlfn.ISFORMULA('Previsto x realizado'!BE1002) = FALSE, "","Enviado")</f>
        <v/>
      </c>
      <c r="N217" s="51" t="str">
        <f>IF(_xlfn.ISFORMULA('Previsto x realizado'!BF1002) = FALSE, "","Enviado")</f>
        <v/>
      </c>
      <c r="O217" s="51" t="str">
        <f>IF(_xlfn.ISFORMULA('Previsto x realizado'!BG1002) = FALSE, "","Enviado")</f>
        <v/>
      </c>
      <c r="P217" s="51" t="str">
        <f>IF(_xlfn.ISFORMULA('Previsto x realizado'!BH1002) = FALSE, "","Enviado")</f>
        <v/>
      </c>
    </row>
    <row r="218" spans="1:16" x14ac:dyDescent="0.3">
      <c r="A218" s="35" t="s">
        <v>44</v>
      </c>
      <c r="B218" s="10" t="s">
        <v>44</v>
      </c>
      <c r="C218" s="5" t="s">
        <v>97</v>
      </c>
      <c r="D218" s="10" t="s">
        <v>44</v>
      </c>
      <c r="E218" s="51" t="str">
        <f>IF(_xlfn.ISFORMULA('Previsto x realizado'!AW1033) = FALSE, "","Enviado")</f>
        <v>Enviado</v>
      </c>
      <c r="F218" s="51" t="str">
        <f>IF(_xlfn.ISFORMULA('Previsto x realizado'!AX1033) = FALSE, "","Enviado")</f>
        <v>Enviado</v>
      </c>
      <c r="G218" s="51" t="str">
        <f>IF(_xlfn.ISFORMULA('Previsto x realizado'!AY1033) = FALSE, "","Enviado")</f>
        <v>Enviado</v>
      </c>
      <c r="H218" s="51" t="str">
        <f>IF(_xlfn.ISFORMULA('Previsto x realizado'!AZ1033) = FALSE, "","Enviado")</f>
        <v/>
      </c>
      <c r="I218" s="51" t="str">
        <f>IF(_xlfn.ISFORMULA('Previsto x realizado'!BA1033) = FALSE, "","Enviado")</f>
        <v/>
      </c>
      <c r="J218" s="51" t="str">
        <f>IF(_xlfn.ISFORMULA('Previsto x realizado'!BB1033) = FALSE, "","Enviado")</f>
        <v/>
      </c>
      <c r="K218" s="51" t="str">
        <f>IF(_xlfn.ISFORMULA('Previsto x realizado'!BC1033) = FALSE, "","Enviado")</f>
        <v/>
      </c>
      <c r="L218" s="51" t="str">
        <f>IF(_xlfn.ISFORMULA('Previsto x realizado'!BD1033) = FALSE, "","Enviado")</f>
        <v/>
      </c>
      <c r="M218" s="51" t="str">
        <f>IF(_xlfn.ISFORMULA('Previsto x realizado'!BE1033) = FALSE, "","Enviado")</f>
        <v/>
      </c>
      <c r="N218" s="51" t="str">
        <f>IF(_xlfn.ISFORMULA('Previsto x realizado'!BF1033) = FALSE, "","Enviado")</f>
        <v/>
      </c>
      <c r="O218" s="51" t="str">
        <f>IF(_xlfn.ISFORMULA('Previsto x realizado'!BG1033) = FALSE, "","Enviado")</f>
        <v/>
      </c>
      <c r="P218" s="51" t="str">
        <f>IF(_xlfn.ISFORMULA('Previsto x realizado'!BH1033) = FALSE, "","Enviado")</f>
        <v/>
      </c>
    </row>
    <row r="219" spans="1:16" x14ac:dyDescent="0.3">
      <c r="A219" s="35" t="s">
        <v>44</v>
      </c>
      <c r="B219" s="10" t="s">
        <v>44</v>
      </c>
      <c r="C219" s="5" t="s">
        <v>97</v>
      </c>
      <c r="D219" s="10" t="s">
        <v>44</v>
      </c>
      <c r="E219" s="51" t="str">
        <f>IF(_xlfn.ISFORMULA('Previsto x realizado'!AW1034) = FALSE, "","Enviado")</f>
        <v>Enviado</v>
      </c>
      <c r="F219" s="51" t="str">
        <f>IF(_xlfn.ISFORMULA('Previsto x realizado'!AX1034) = FALSE, "","Enviado")</f>
        <v>Enviado</v>
      </c>
      <c r="G219" s="51" t="str">
        <f>IF(_xlfn.ISFORMULA('Previsto x realizado'!AY1034) = FALSE, "","Enviado")</f>
        <v>Enviado</v>
      </c>
      <c r="H219" s="51" t="str">
        <f>IF(_xlfn.ISFORMULA('Previsto x realizado'!AZ1034) = FALSE, "","Enviado")</f>
        <v/>
      </c>
      <c r="I219" s="51" t="str">
        <f>IF(_xlfn.ISFORMULA('Previsto x realizado'!BA1034) = FALSE, "","Enviado")</f>
        <v/>
      </c>
      <c r="J219" s="51" t="str">
        <f>IF(_xlfn.ISFORMULA('Previsto x realizado'!BB1034) = FALSE, "","Enviado")</f>
        <v/>
      </c>
      <c r="K219" s="51" t="str">
        <f>IF(_xlfn.ISFORMULA('Previsto x realizado'!BC1034) = FALSE, "","Enviado")</f>
        <v/>
      </c>
      <c r="L219" s="51" t="str">
        <f>IF(_xlfn.ISFORMULA('Previsto x realizado'!BD1034) = FALSE, "","Enviado")</f>
        <v/>
      </c>
      <c r="M219" s="51" t="str">
        <f>IF(_xlfn.ISFORMULA('Previsto x realizado'!BE1034) = FALSE, "","Enviado")</f>
        <v/>
      </c>
      <c r="N219" s="51" t="str">
        <f>IF(_xlfn.ISFORMULA('Previsto x realizado'!BF1034) = FALSE, "","Enviado")</f>
        <v/>
      </c>
      <c r="O219" s="51" t="str">
        <f>IF(_xlfn.ISFORMULA('Previsto x realizado'!BG1034) = FALSE, "","Enviado")</f>
        <v/>
      </c>
      <c r="P219" s="51" t="str">
        <f>IF(_xlfn.ISFORMULA('Previsto x realizado'!BH1034) = FALSE, "","Enviado")</f>
        <v/>
      </c>
    </row>
    <row r="220" spans="1:16" x14ac:dyDescent="0.3">
      <c r="A220" s="35" t="s">
        <v>44</v>
      </c>
      <c r="B220" s="10" t="s">
        <v>44</v>
      </c>
      <c r="C220" s="5" t="s">
        <v>97</v>
      </c>
      <c r="D220" s="10" t="s">
        <v>44</v>
      </c>
      <c r="E220" s="51" t="str">
        <f>IF(_xlfn.ISFORMULA('Previsto x realizado'!AW1035) = FALSE, "","Enviado")</f>
        <v>Enviado</v>
      </c>
      <c r="F220" s="51" t="str">
        <f>IF(_xlfn.ISFORMULA('Previsto x realizado'!AX1035) = FALSE, "","Enviado")</f>
        <v>Enviado</v>
      </c>
      <c r="G220" s="51" t="str">
        <f>IF(_xlfn.ISFORMULA('Previsto x realizado'!AY1035) = FALSE, "","Enviado")</f>
        <v>Enviado</v>
      </c>
      <c r="H220" s="51" t="str">
        <f>IF(_xlfn.ISFORMULA('Previsto x realizado'!AZ1035) = FALSE, "","Enviado")</f>
        <v>Enviado</v>
      </c>
      <c r="I220" s="51" t="str">
        <f>IF(_xlfn.ISFORMULA('Previsto x realizado'!BA1035) = FALSE, "","Enviado")</f>
        <v/>
      </c>
      <c r="J220" s="51" t="str">
        <f>IF(_xlfn.ISFORMULA('Previsto x realizado'!BB1035) = FALSE, "","Enviado")</f>
        <v/>
      </c>
      <c r="K220" s="51" t="str">
        <f>IF(_xlfn.ISFORMULA('Previsto x realizado'!BC1035) = FALSE, "","Enviado")</f>
        <v/>
      </c>
      <c r="L220" s="51" t="str">
        <f>IF(_xlfn.ISFORMULA('Previsto x realizado'!BD1035) = FALSE, "","Enviado")</f>
        <v/>
      </c>
      <c r="M220" s="51" t="str">
        <f>IF(_xlfn.ISFORMULA('Previsto x realizado'!BE1035) = FALSE, "","Enviado")</f>
        <v/>
      </c>
      <c r="N220" s="51" t="str">
        <f>IF(_xlfn.ISFORMULA('Previsto x realizado'!BF1035) = FALSE, "","Enviado")</f>
        <v/>
      </c>
      <c r="O220" s="51" t="str">
        <f>IF(_xlfn.ISFORMULA('Previsto x realizado'!BG1035) = FALSE, "","Enviado")</f>
        <v/>
      </c>
      <c r="P220" s="51" t="str">
        <f>IF(_xlfn.ISFORMULA('Previsto x realizado'!BH1035) = FALSE, "","Enviado")</f>
        <v/>
      </c>
    </row>
    <row r="221" spans="1:16" x14ac:dyDescent="0.3">
      <c r="A221" s="35" t="s">
        <v>44</v>
      </c>
      <c r="B221" s="10" t="s">
        <v>44</v>
      </c>
      <c r="C221" s="5" t="s">
        <v>97</v>
      </c>
      <c r="D221" s="10" t="s">
        <v>44</v>
      </c>
      <c r="E221" s="51" t="str">
        <f>IF(_xlfn.ISFORMULA('Previsto x realizado'!AW1046) = FALSE, "","Enviado")</f>
        <v>Enviado</v>
      </c>
      <c r="F221" s="51" t="str">
        <f>IF(_xlfn.ISFORMULA('Previsto x realizado'!AX1046) = FALSE, "","Enviado")</f>
        <v>Enviado</v>
      </c>
      <c r="G221" s="51" t="str">
        <f>IF(_xlfn.ISFORMULA('Previsto x realizado'!AY1046) = FALSE, "","Enviado")</f>
        <v>Enviado</v>
      </c>
      <c r="H221" s="51" t="str">
        <f>IF(_xlfn.ISFORMULA('Previsto x realizado'!AZ1046) = FALSE, "","Enviado")</f>
        <v>Enviado</v>
      </c>
      <c r="I221" s="51" t="str">
        <f>IF(_xlfn.ISFORMULA('Previsto x realizado'!BA1046) = FALSE, "","Enviado")</f>
        <v/>
      </c>
      <c r="J221" s="51" t="str">
        <f>IF(_xlfn.ISFORMULA('Previsto x realizado'!BB1046) = FALSE, "","Enviado")</f>
        <v/>
      </c>
      <c r="K221" s="51" t="str">
        <f>IF(_xlfn.ISFORMULA('Previsto x realizado'!BC1046) = FALSE, "","Enviado")</f>
        <v/>
      </c>
      <c r="L221" s="51" t="str">
        <f>IF(_xlfn.ISFORMULA('Previsto x realizado'!BD1046) = FALSE, "","Enviado")</f>
        <v/>
      </c>
      <c r="M221" s="51" t="str">
        <f>IF(_xlfn.ISFORMULA('Previsto x realizado'!BE1046) = FALSE, "","Enviado")</f>
        <v/>
      </c>
      <c r="N221" s="51" t="str">
        <f>IF(_xlfn.ISFORMULA('Previsto x realizado'!BF1046) = FALSE, "","Enviado")</f>
        <v/>
      </c>
      <c r="O221" s="51" t="str">
        <f>IF(_xlfn.ISFORMULA('Previsto x realizado'!BG1046) = FALSE, "","Enviado")</f>
        <v/>
      </c>
      <c r="P221" s="51" t="str">
        <f>IF(_xlfn.ISFORMULA('Previsto x realizado'!BH1046) = FALSE, "","Enviado")</f>
        <v/>
      </c>
    </row>
    <row r="222" spans="1:16" x14ac:dyDescent="0.3">
      <c r="A222" s="35" t="s">
        <v>44</v>
      </c>
      <c r="B222" s="10" t="s">
        <v>44</v>
      </c>
      <c r="C222" s="5" t="s">
        <v>97</v>
      </c>
      <c r="D222" s="10" t="s">
        <v>44</v>
      </c>
      <c r="E222" s="51" t="str">
        <f>IF(_xlfn.ISFORMULA('Previsto x realizado'!AW1057) = FALSE, "","Enviado")</f>
        <v>Enviado</v>
      </c>
      <c r="F222" s="51" t="str">
        <f>IF(_xlfn.ISFORMULA('Previsto x realizado'!AX1057) = FALSE, "","Enviado")</f>
        <v>Enviado</v>
      </c>
      <c r="G222" s="51" t="str">
        <f>IF(_xlfn.ISFORMULA('Previsto x realizado'!AY1057) = FALSE, "","Enviado")</f>
        <v>Enviado</v>
      </c>
      <c r="H222" s="51" t="str">
        <f>IF(_xlfn.ISFORMULA('Previsto x realizado'!AZ1057) = FALSE, "","Enviado")</f>
        <v>Enviado</v>
      </c>
      <c r="I222" s="51" t="str">
        <f>IF(_xlfn.ISFORMULA('Previsto x realizado'!BA1057) = FALSE, "","Enviado")</f>
        <v/>
      </c>
      <c r="J222" s="51" t="str">
        <f>IF(_xlfn.ISFORMULA('Previsto x realizado'!BB1057) = FALSE, "","Enviado")</f>
        <v/>
      </c>
      <c r="K222" s="51" t="str">
        <f>IF(_xlfn.ISFORMULA('Previsto x realizado'!BC1057) = FALSE, "","Enviado")</f>
        <v/>
      </c>
      <c r="L222" s="51" t="str">
        <f>IF(_xlfn.ISFORMULA('Previsto x realizado'!BD1057) = FALSE, "","Enviado")</f>
        <v/>
      </c>
      <c r="M222" s="51" t="str">
        <f>IF(_xlfn.ISFORMULA('Previsto x realizado'!BE1057) = FALSE, "","Enviado")</f>
        <v/>
      </c>
      <c r="N222" s="51" t="str">
        <f>IF(_xlfn.ISFORMULA('Previsto x realizado'!BF1057) = FALSE, "","Enviado")</f>
        <v/>
      </c>
      <c r="O222" s="51" t="str">
        <f>IF(_xlfn.ISFORMULA('Previsto x realizado'!BG1057) = FALSE, "","Enviado")</f>
        <v/>
      </c>
      <c r="P222" s="51" t="str">
        <f>IF(_xlfn.ISFORMULA('Previsto x realizado'!BH1057) = FALSE, "","Enviado")</f>
        <v/>
      </c>
    </row>
    <row r="223" spans="1:16" x14ac:dyDescent="0.3">
      <c r="A223" s="35" t="s">
        <v>44</v>
      </c>
      <c r="B223" s="10" t="s">
        <v>44</v>
      </c>
      <c r="C223" s="5" t="s">
        <v>97</v>
      </c>
      <c r="D223" s="10" t="s">
        <v>44</v>
      </c>
      <c r="E223" s="51" t="str">
        <f>IF(_xlfn.ISFORMULA('Previsto x realizado'!AW1068) = FALSE, "","Enviado")</f>
        <v>Enviado</v>
      </c>
      <c r="F223" s="51" t="str">
        <f>IF(_xlfn.ISFORMULA('Previsto x realizado'!AX1068) = FALSE, "","Enviado")</f>
        <v>Enviado</v>
      </c>
      <c r="G223" s="51" t="str">
        <f>IF(_xlfn.ISFORMULA('Previsto x realizado'!AY1068) = FALSE, "","Enviado")</f>
        <v>Enviado</v>
      </c>
      <c r="H223" s="51" t="str">
        <f>IF(_xlfn.ISFORMULA('Previsto x realizado'!AZ1068) = FALSE, "","Enviado")</f>
        <v>Enviado</v>
      </c>
      <c r="I223" s="51" t="str">
        <f>IF(_xlfn.ISFORMULA('Previsto x realizado'!BA1068) = FALSE, "","Enviado")</f>
        <v/>
      </c>
      <c r="J223" s="51" t="str">
        <f>IF(_xlfn.ISFORMULA('Previsto x realizado'!BB1068) = FALSE, "","Enviado")</f>
        <v/>
      </c>
      <c r="K223" s="51" t="str">
        <f>IF(_xlfn.ISFORMULA('Previsto x realizado'!BC1068) = FALSE, "","Enviado")</f>
        <v/>
      </c>
      <c r="L223" s="51" t="str">
        <f>IF(_xlfn.ISFORMULA('Previsto x realizado'!BD1068) = FALSE, "","Enviado")</f>
        <v/>
      </c>
      <c r="M223" s="51" t="str">
        <f>IF(_xlfn.ISFORMULA('Previsto x realizado'!BE1068) = FALSE, "","Enviado")</f>
        <v/>
      </c>
      <c r="N223" s="51" t="str">
        <f>IF(_xlfn.ISFORMULA('Previsto x realizado'!BF1068) = FALSE, "","Enviado")</f>
        <v/>
      </c>
      <c r="O223" s="51" t="str">
        <f>IF(_xlfn.ISFORMULA('Previsto x realizado'!BG1068) = FALSE, "","Enviado")</f>
        <v/>
      </c>
      <c r="P223" s="51" t="str">
        <f>IF(_xlfn.ISFORMULA('Previsto x realizado'!BH1068) = FALSE, "","Enviado")</f>
        <v/>
      </c>
    </row>
    <row r="224" spans="1:16" x14ac:dyDescent="0.3">
      <c r="A224" s="3" t="s">
        <v>33</v>
      </c>
      <c r="B224" s="4" t="s">
        <v>34</v>
      </c>
      <c r="C224" s="5" t="s">
        <v>209</v>
      </c>
      <c r="D224" s="4" t="s">
        <v>238</v>
      </c>
      <c r="E224" s="51" t="str">
        <f>IF(_xlfn.ISFORMULA('Previsto x realizado'!AW1069) = FALSE, "","Enviado")</f>
        <v>Enviado</v>
      </c>
      <c r="F224" s="51" t="str">
        <f>IF(_xlfn.ISFORMULA('Previsto x realizado'!AX1069) = FALSE, "","Enviado")</f>
        <v>Enviado</v>
      </c>
      <c r="G224" s="51" t="str">
        <f>IF(_xlfn.ISFORMULA('Previsto x realizado'!AY1069) = FALSE, "","Enviado")</f>
        <v>Enviado</v>
      </c>
      <c r="H224" s="51" t="str">
        <f>IF(_xlfn.ISFORMULA('Previsto x realizado'!AZ1069) = FALSE, "","Enviado")</f>
        <v>Enviado</v>
      </c>
      <c r="I224" s="51" t="str">
        <f>IF(_xlfn.ISFORMULA('Previsto x realizado'!BA1069) = FALSE, "","Enviado")</f>
        <v/>
      </c>
      <c r="J224" s="51" t="str">
        <f>IF(_xlfn.ISFORMULA('Previsto x realizado'!BB1069) = FALSE, "","Enviado")</f>
        <v/>
      </c>
      <c r="K224" s="51" t="str">
        <f>IF(_xlfn.ISFORMULA('Previsto x realizado'!BC1069) = FALSE, "","Enviado")</f>
        <v/>
      </c>
      <c r="L224" s="51" t="str">
        <f>IF(_xlfn.ISFORMULA('Previsto x realizado'!BD1069) = FALSE, "","Enviado")</f>
        <v/>
      </c>
      <c r="M224" s="51" t="str">
        <f>IF(_xlfn.ISFORMULA('Previsto x realizado'!BE1069) = FALSE, "","Enviado")</f>
        <v/>
      </c>
      <c r="N224" s="51" t="str">
        <f>IF(_xlfn.ISFORMULA('Previsto x realizado'!BF1069) = FALSE, "","Enviado")</f>
        <v/>
      </c>
      <c r="O224" s="51" t="str">
        <f>IF(_xlfn.ISFORMULA('Previsto x realizado'!BG1069) = FALSE, "","Enviado")</f>
        <v/>
      </c>
      <c r="P224" s="51" t="str">
        <f>IF(_xlfn.ISFORMULA('Previsto x realizado'!BH1069) = FALSE, "","Enviado")</f>
        <v/>
      </c>
    </row>
    <row r="225" spans="1:16" x14ac:dyDescent="0.3">
      <c r="A225" s="39" t="s">
        <v>33</v>
      </c>
      <c r="B225" s="4" t="s">
        <v>34</v>
      </c>
      <c r="C225" s="5" t="s">
        <v>209</v>
      </c>
      <c r="D225" s="4" t="s">
        <v>238</v>
      </c>
      <c r="E225" s="51" t="str">
        <f>IF(_xlfn.ISFORMULA('Previsto x realizado'!AW1075) = FALSE, "","Enviado")</f>
        <v>Enviado</v>
      </c>
      <c r="F225" s="51" t="str">
        <f>IF(_xlfn.ISFORMULA('Previsto x realizado'!AX1075) = FALSE, "","Enviado")</f>
        <v>Enviado</v>
      </c>
      <c r="G225" s="51" t="str">
        <f>IF(_xlfn.ISFORMULA('Previsto x realizado'!AY1075) = FALSE, "","Enviado")</f>
        <v>Enviado</v>
      </c>
      <c r="H225" s="51" t="str">
        <f>IF(_xlfn.ISFORMULA('Previsto x realizado'!AZ1075) = FALSE, "","Enviado")</f>
        <v>Enviado</v>
      </c>
      <c r="I225" s="51" t="str">
        <f>IF(_xlfn.ISFORMULA('Previsto x realizado'!BA1075) = FALSE, "","Enviado")</f>
        <v/>
      </c>
      <c r="J225" s="51" t="str">
        <f>IF(_xlfn.ISFORMULA('Previsto x realizado'!BB1075) = FALSE, "","Enviado")</f>
        <v/>
      </c>
      <c r="K225" s="51" t="str">
        <f>IF(_xlfn.ISFORMULA('Previsto x realizado'!BC1075) = FALSE, "","Enviado")</f>
        <v/>
      </c>
      <c r="L225" s="51" t="str">
        <f>IF(_xlfn.ISFORMULA('Previsto x realizado'!BD1075) = FALSE, "","Enviado")</f>
        <v/>
      </c>
      <c r="M225" s="51" t="str">
        <f>IF(_xlfn.ISFORMULA('Previsto x realizado'!BE1075) = FALSE, "","Enviado")</f>
        <v/>
      </c>
      <c r="N225" s="51" t="str">
        <f>IF(_xlfn.ISFORMULA('Previsto x realizado'!BF1075) = FALSE, "","Enviado")</f>
        <v/>
      </c>
      <c r="O225" s="51" t="str">
        <f>IF(_xlfn.ISFORMULA('Previsto x realizado'!BG1075) = FALSE, "","Enviado")</f>
        <v/>
      </c>
      <c r="P225" s="51" t="str">
        <f>IF(_xlfn.ISFORMULA('Previsto x realizado'!BH1075) = FALSE, "","Enviado")</f>
        <v/>
      </c>
    </row>
    <row r="226" spans="1:16" x14ac:dyDescent="0.3">
      <c r="A226" s="3" t="s">
        <v>33</v>
      </c>
      <c r="B226" s="4" t="s">
        <v>53</v>
      </c>
      <c r="C226" s="5" t="s">
        <v>209</v>
      </c>
      <c r="D226" s="4" t="s">
        <v>238</v>
      </c>
      <c r="E226" s="51" t="str">
        <f>IF(_xlfn.ISFORMULA('Previsto x realizado'!AW1081) = FALSE, "","Enviado")</f>
        <v>Enviado</v>
      </c>
      <c r="F226" s="51" t="str">
        <f>IF(_xlfn.ISFORMULA('Previsto x realizado'!AX1081) = FALSE, "","Enviado")</f>
        <v>Enviado</v>
      </c>
      <c r="G226" s="51" t="str">
        <f>IF(_xlfn.ISFORMULA('Previsto x realizado'!AY1081) = FALSE, "","Enviado")</f>
        <v>Enviado</v>
      </c>
      <c r="H226" s="51" t="str">
        <f>IF(_xlfn.ISFORMULA('Previsto x realizado'!AZ1081) = FALSE, "","Enviado")</f>
        <v>Enviado</v>
      </c>
      <c r="I226" s="51" t="str">
        <f>IF(_xlfn.ISFORMULA('Previsto x realizado'!BA1081) = FALSE, "","Enviado")</f>
        <v/>
      </c>
      <c r="J226" s="51" t="str">
        <f>IF(_xlfn.ISFORMULA('Previsto x realizado'!BB1081) = FALSE, "","Enviado")</f>
        <v/>
      </c>
      <c r="K226" s="51" t="str">
        <f>IF(_xlfn.ISFORMULA('Previsto x realizado'!BC1081) = FALSE, "","Enviado")</f>
        <v/>
      </c>
      <c r="L226" s="51" t="str">
        <f>IF(_xlfn.ISFORMULA('Previsto x realizado'!BD1081) = FALSE, "","Enviado")</f>
        <v/>
      </c>
      <c r="M226" s="51" t="str">
        <f>IF(_xlfn.ISFORMULA('Previsto x realizado'!BE1081) = FALSE, "","Enviado")</f>
        <v/>
      </c>
      <c r="N226" s="51" t="str">
        <f>IF(_xlfn.ISFORMULA('Previsto x realizado'!BF1081) = FALSE, "","Enviado")</f>
        <v/>
      </c>
      <c r="O226" s="51" t="str">
        <f>IF(_xlfn.ISFORMULA('Previsto x realizado'!BG1081) = FALSE, "","Enviado")</f>
        <v/>
      </c>
      <c r="P226" s="51" t="str">
        <f>IF(_xlfn.ISFORMULA('Previsto x realizado'!BH1081) = FALSE, "","Enviado")</f>
        <v/>
      </c>
    </row>
    <row r="227" spans="1:16" x14ac:dyDescent="0.3">
      <c r="A227" s="39" t="s">
        <v>33</v>
      </c>
      <c r="B227" s="4" t="s">
        <v>53</v>
      </c>
      <c r="C227" s="5" t="s">
        <v>209</v>
      </c>
      <c r="D227" s="4" t="s">
        <v>238</v>
      </c>
      <c r="E227" s="51" t="str">
        <f>IF(_xlfn.ISFORMULA('Previsto x realizado'!AW1087) = FALSE, "","Enviado")</f>
        <v>Enviado</v>
      </c>
      <c r="F227" s="51" t="str">
        <f>IF(_xlfn.ISFORMULA('Previsto x realizado'!AX1087) = FALSE, "","Enviado")</f>
        <v>Enviado</v>
      </c>
      <c r="G227" s="51" t="str">
        <f>IF(_xlfn.ISFORMULA('Previsto x realizado'!AY1087) = FALSE, "","Enviado")</f>
        <v>Enviado</v>
      </c>
      <c r="H227" s="51" t="str">
        <f>IF(_xlfn.ISFORMULA('Previsto x realizado'!AZ1087) = FALSE, "","Enviado")</f>
        <v>Enviado</v>
      </c>
      <c r="I227" s="51" t="str">
        <f>IF(_xlfn.ISFORMULA('Previsto x realizado'!BA1087) = FALSE, "","Enviado")</f>
        <v/>
      </c>
      <c r="J227" s="51" t="str">
        <f>IF(_xlfn.ISFORMULA('Previsto x realizado'!BB1087) = FALSE, "","Enviado")</f>
        <v/>
      </c>
      <c r="K227" s="51" t="str">
        <f>IF(_xlfn.ISFORMULA('Previsto x realizado'!BC1087) = FALSE, "","Enviado")</f>
        <v/>
      </c>
      <c r="L227" s="51" t="str">
        <f>IF(_xlfn.ISFORMULA('Previsto x realizado'!BD1087) = FALSE, "","Enviado")</f>
        <v/>
      </c>
      <c r="M227" s="51" t="str">
        <f>IF(_xlfn.ISFORMULA('Previsto x realizado'!BE1087) = FALSE, "","Enviado")</f>
        <v/>
      </c>
      <c r="N227" s="51" t="str">
        <f>IF(_xlfn.ISFORMULA('Previsto x realizado'!BF1087) = FALSE, "","Enviado")</f>
        <v/>
      </c>
      <c r="O227" s="51" t="str">
        <f>IF(_xlfn.ISFORMULA('Previsto x realizado'!BG1087) = FALSE, "","Enviado")</f>
        <v/>
      </c>
      <c r="P227" s="51" t="str">
        <f>IF(_xlfn.ISFORMULA('Previsto x realizado'!BH1087) = FALSE, "","Enviado")</f>
        <v/>
      </c>
    </row>
    <row r="228" spans="1:16" x14ac:dyDescent="0.3">
      <c r="A228" s="3" t="s">
        <v>33</v>
      </c>
      <c r="B228" s="4" t="s">
        <v>310</v>
      </c>
      <c r="C228" s="5" t="s">
        <v>209</v>
      </c>
      <c r="D228" s="56" t="s">
        <v>288</v>
      </c>
      <c r="E228" s="51" t="str">
        <f>IF(_xlfn.ISFORMULA('Previsto x realizado'!AW1093) = FALSE, "","Enviado")</f>
        <v>Enviado</v>
      </c>
      <c r="F228" s="51" t="str">
        <f>IF(_xlfn.ISFORMULA('Previsto x realizado'!AX1093) = FALSE, "","Enviado")</f>
        <v>Enviado</v>
      </c>
      <c r="G228" s="51" t="str">
        <f>IF(_xlfn.ISFORMULA('Previsto x realizado'!AY1093) = FALSE, "","Enviado")</f>
        <v>Enviado</v>
      </c>
      <c r="H228" s="51" t="str">
        <f>IF(_xlfn.ISFORMULA('Previsto x realizado'!AZ1093) = FALSE, "","Enviado")</f>
        <v>Enviado</v>
      </c>
      <c r="I228" s="51" t="str">
        <f>IF(_xlfn.ISFORMULA('Previsto x realizado'!BA1093) = FALSE, "","Enviado")</f>
        <v/>
      </c>
      <c r="J228" s="51" t="str">
        <f>IF(_xlfn.ISFORMULA('Previsto x realizado'!BB1093) = FALSE, "","Enviado")</f>
        <v/>
      </c>
      <c r="K228" s="51" t="str">
        <f>IF(_xlfn.ISFORMULA('Previsto x realizado'!BC1093) = FALSE, "","Enviado")</f>
        <v/>
      </c>
      <c r="L228" s="51" t="str">
        <f>IF(_xlfn.ISFORMULA('Previsto x realizado'!BD1093) = FALSE, "","Enviado")</f>
        <v/>
      </c>
      <c r="M228" s="51" t="str">
        <f>IF(_xlfn.ISFORMULA('Previsto x realizado'!BE1093) = FALSE, "","Enviado")</f>
        <v/>
      </c>
      <c r="N228" s="51" t="str">
        <f>IF(_xlfn.ISFORMULA('Previsto x realizado'!BF1093) = FALSE, "","Enviado")</f>
        <v/>
      </c>
      <c r="O228" s="51" t="str">
        <f>IF(_xlfn.ISFORMULA('Previsto x realizado'!BG1093) = FALSE, "","Enviado")</f>
        <v/>
      </c>
      <c r="P228" s="51" t="str">
        <f>IF(_xlfn.ISFORMULA('Previsto x realizado'!BH1093) = FALSE, "","Enviado")</f>
        <v/>
      </c>
    </row>
    <row r="229" spans="1:16" hidden="1" x14ac:dyDescent="0.3">
      <c r="A229" s="39" t="s">
        <v>33</v>
      </c>
      <c r="B229" s="4" t="s">
        <v>310</v>
      </c>
      <c r="C229" s="5" t="s">
        <v>209</v>
      </c>
      <c r="D229" s="56" t="s">
        <v>288</v>
      </c>
      <c r="E229" s="51" t="e">
        <f>IF(_xlfn.ISFORMULA('Previsto x realizado'!#REF!) = FALSE, "","Enviado")</f>
        <v>#REF!</v>
      </c>
      <c r="F229" s="51" t="e">
        <f>IF(_xlfn.ISFORMULA('Previsto x realizado'!#REF!) = FALSE, "","Enviado")</f>
        <v>#REF!</v>
      </c>
      <c r="G229" s="51" t="e">
        <f>IF(_xlfn.ISFORMULA('Previsto x realizado'!#REF!) = FALSE, "","Enviado")</f>
        <v>#REF!</v>
      </c>
      <c r="H229" s="51" t="e">
        <f>IF(_xlfn.ISFORMULA('Previsto x realizado'!#REF!) = FALSE, "","Enviado")</f>
        <v>#REF!</v>
      </c>
      <c r="I229" s="51" t="e">
        <f>IF(_xlfn.ISFORMULA('Previsto x realizado'!#REF!) = FALSE, "","Enviado")</f>
        <v>#REF!</v>
      </c>
      <c r="J229" s="51" t="e">
        <f>IF(_xlfn.ISFORMULA('Previsto x realizado'!#REF!) = FALSE, "","Enviado")</f>
        <v>#REF!</v>
      </c>
      <c r="K229" s="51" t="e">
        <f>IF(_xlfn.ISFORMULA('Previsto x realizado'!#REF!) = FALSE, "","Enviado")</f>
        <v>#REF!</v>
      </c>
      <c r="L229" s="51" t="e">
        <f>IF(_xlfn.ISFORMULA('Previsto x realizado'!#REF!) = FALSE, "","Enviado")</f>
        <v>#REF!</v>
      </c>
      <c r="M229" s="51" t="e">
        <f>IF(_xlfn.ISFORMULA('Previsto x realizado'!#REF!) = FALSE, "","Enviado")</f>
        <v>#REF!</v>
      </c>
      <c r="N229" s="51" t="e">
        <f>IF(_xlfn.ISFORMULA('Previsto x realizado'!#REF!) = FALSE, "","Enviado")</f>
        <v>#REF!</v>
      </c>
      <c r="O229" s="51" t="e">
        <f>IF(_xlfn.ISFORMULA('Previsto x realizado'!#REF!) = FALSE, "","Enviado")</f>
        <v>#REF!</v>
      </c>
      <c r="P229" s="51" t="e">
        <f>IF(_xlfn.ISFORMULA('Previsto x realizado'!#REF!) = FALSE, "","Enviado")</f>
        <v>#REF!</v>
      </c>
    </row>
    <row r="230" spans="1:16" x14ac:dyDescent="0.3">
      <c r="A230" s="39" t="s">
        <v>33</v>
      </c>
      <c r="B230" s="4" t="s">
        <v>310</v>
      </c>
      <c r="C230" s="5" t="s">
        <v>209</v>
      </c>
      <c r="D230" s="56" t="s">
        <v>288</v>
      </c>
      <c r="E230" s="51" t="str">
        <f>IF(_xlfn.ISFORMULA('Previsto x realizado'!AW1099) = FALSE, "","Enviado")</f>
        <v>Enviado</v>
      </c>
      <c r="F230" s="51" t="str">
        <f>IF(_xlfn.ISFORMULA('Previsto x realizado'!AX1099) = FALSE, "","Enviado")</f>
        <v>Enviado</v>
      </c>
      <c r="G230" s="51" t="str">
        <f>IF(_xlfn.ISFORMULA('Previsto x realizado'!AY1099) = FALSE, "","Enviado")</f>
        <v>Enviado</v>
      </c>
      <c r="H230" s="51" t="str">
        <f>IF(_xlfn.ISFORMULA('Previsto x realizado'!AZ1099) = FALSE, "","Enviado")</f>
        <v>Enviado</v>
      </c>
      <c r="I230" s="51" t="str">
        <f>IF(_xlfn.ISFORMULA('Previsto x realizado'!BA1099) = FALSE, "","Enviado")</f>
        <v/>
      </c>
      <c r="J230" s="51" t="str">
        <f>IF(_xlfn.ISFORMULA('Previsto x realizado'!BB1099) = FALSE, "","Enviado")</f>
        <v/>
      </c>
      <c r="K230" s="51" t="str">
        <f>IF(_xlfn.ISFORMULA('Previsto x realizado'!BC1099) = FALSE, "","Enviado")</f>
        <v/>
      </c>
      <c r="L230" s="51" t="str">
        <f>IF(_xlfn.ISFORMULA('Previsto x realizado'!BD1099) = FALSE, "","Enviado")</f>
        <v/>
      </c>
      <c r="M230" s="51" t="str">
        <f>IF(_xlfn.ISFORMULA('Previsto x realizado'!BE1099) = FALSE, "","Enviado")</f>
        <v/>
      </c>
      <c r="N230" s="51" t="str">
        <f>IF(_xlfn.ISFORMULA('Previsto x realizado'!BF1099) = FALSE, "","Enviado")</f>
        <v/>
      </c>
      <c r="O230" s="51" t="str">
        <f>IF(_xlfn.ISFORMULA('Previsto x realizado'!BG1099) = FALSE, "","Enviado")</f>
        <v/>
      </c>
      <c r="P230" s="51" t="str">
        <f>IF(_xlfn.ISFORMULA('Previsto x realizado'!BH1099) = FALSE, "","Enviado")</f>
        <v/>
      </c>
    </row>
    <row r="231" spans="1:16" x14ac:dyDescent="0.3">
      <c r="A231" s="3" t="s">
        <v>33</v>
      </c>
      <c r="B231" s="4" t="s">
        <v>70</v>
      </c>
      <c r="C231" s="5" t="s">
        <v>209</v>
      </c>
      <c r="D231" s="4" t="s">
        <v>238</v>
      </c>
      <c r="E231" s="51" t="str">
        <f>IF(_xlfn.ISFORMULA('Previsto x realizado'!AW1105) = FALSE, "","Enviado")</f>
        <v>Enviado</v>
      </c>
      <c r="F231" s="51" t="str">
        <f>IF(_xlfn.ISFORMULA('Previsto x realizado'!AX1105) = FALSE, "","Enviado")</f>
        <v>Enviado</v>
      </c>
      <c r="G231" s="51" t="str">
        <f>IF(_xlfn.ISFORMULA('Previsto x realizado'!AY1105) = FALSE, "","Enviado")</f>
        <v>Enviado</v>
      </c>
      <c r="H231" s="51" t="str">
        <f>IF(_xlfn.ISFORMULA('Previsto x realizado'!AZ1105) = FALSE, "","Enviado")</f>
        <v>Enviado</v>
      </c>
      <c r="I231" s="51" t="str">
        <f>IF(_xlfn.ISFORMULA('Previsto x realizado'!BA1105) = FALSE, "","Enviado")</f>
        <v/>
      </c>
      <c r="J231" s="51" t="str">
        <f>IF(_xlfn.ISFORMULA('Previsto x realizado'!BB1105) = FALSE, "","Enviado")</f>
        <v/>
      </c>
      <c r="K231" s="51" t="str">
        <f>IF(_xlfn.ISFORMULA('Previsto x realizado'!BC1105) = FALSE, "","Enviado")</f>
        <v/>
      </c>
      <c r="L231" s="51" t="str">
        <f>IF(_xlfn.ISFORMULA('Previsto x realizado'!BD1105) = FALSE, "","Enviado")</f>
        <v/>
      </c>
      <c r="M231" s="51" t="str">
        <f>IF(_xlfn.ISFORMULA('Previsto x realizado'!BE1105) = FALSE, "","Enviado")</f>
        <v/>
      </c>
      <c r="N231" s="51" t="str">
        <f>IF(_xlfn.ISFORMULA('Previsto x realizado'!BF1105) = FALSE, "","Enviado")</f>
        <v/>
      </c>
      <c r="O231" s="51" t="str">
        <f>IF(_xlfn.ISFORMULA('Previsto x realizado'!BG1105) = FALSE, "","Enviado")</f>
        <v/>
      </c>
      <c r="P231" s="51" t="str">
        <f>IF(_xlfn.ISFORMULA('Previsto x realizado'!BH1105) = FALSE, "","Enviado")</f>
        <v/>
      </c>
    </row>
    <row r="232" spans="1:16" x14ac:dyDescent="0.3">
      <c r="A232" s="39" t="s">
        <v>33</v>
      </c>
      <c r="B232" s="4" t="s">
        <v>70</v>
      </c>
      <c r="C232" s="5" t="s">
        <v>209</v>
      </c>
      <c r="D232" s="4" t="s">
        <v>238</v>
      </c>
      <c r="E232" s="51" t="str">
        <f>IF(_xlfn.ISFORMULA('Previsto x realizado'!AW1111) = FALSE, "","Enviado")</f>
        <v>Enviado</v>
      </c>
      <c r="F232" s="51" t="str">
        <f>IF(_xlfn.ISFORMULA('Previsto x realizado'!AX1111) = FALSE, "","Enviado")</f>
        <v>Enviado</v>
      </c>
      <c r="G232" s="51" t="str">
        <f>IF(_xlfn.ISFORMULA('Previsto x realizado'!AY1111) = FALSE, "","Enviado")</f>
        <v>Enviado</v>
      </c>
      <c r="H232" s="51" t="str">
        <f>IF(_xlfn.ISFORMULA('Previsto x realizado'!AZ1111) = FALSE, "","Enviado")</f>
        <v>Enviado</v>
      </c>
      <c r="I232" s="51" t="str">
        <f>IF(_xlfn.ISFORMULA('Previsto x realizado'!BA1111) = FALSE, "","Enviado")</f>
        <v/>
      </c>
      <c r="J232" s="51" t="str">
        <f>IF(_xlfn.ISFORMULA('Previsto x realizado'!BB1111) = FALSE, "","Enviado")</f>
        <v/>
      </c>
      <c r="K232" s="51" t="str">
        <f>IF(_xlfn.ISFORMULA('Previsto x realizado'!BC1111) = FALSE, "","Enviado")</f>
        <v/>
      </c>
      <c r="L232" s="51" t="str">
        <f>IF(_xlfn.ISFORMULA('Previsto x realizado'!BD1111) = FALSE, "","Enviado")</f>
        <v/>
      </c>
      <c r="M232" s="51" t="str">
        <f>IF(_xlfn.ISFORMULA('Previsto x realizado'!BE1111) = FALSE, "","Enviado")</f>
        <v/>
      </c>
      <c r="N232" s="51" t="str">
        <f>IF(_xlfn.ISFORMULA('Previsto x realizado'!BF1111) = FALSE, "","Enviado")</f>
        <v/>
      </c>
      <c r="O232" s="51" t="str">
        <f>IF(_xlfn.ISFORMULA('Previsto x realizado'!BG1111) = FALSE, "","Enviado")</f>
        <v/>
      </c>
      <c r="P232" s="51" t="str">
        <f>IF(_xlfn.ISFORMULA('Previsto x realizado'!BH1111) = FALSE, "","Enviado")</f>
        <v/>
      </c>
    </row>
    <row r="233" spans="1:16" x14ac:dyDescent="0.3">
      <c r="A233" s="3" t="s">
        <v>33</v>
      </c>
      <c r="B233" s="4" t="s">
        <v>73</v>
      </c>
      <c r="C233" s="5" t="s">
        <v>209</v>
      </c>
      <c r="D233" s="4" t="s">
        <v>238</v>
      </c>
      <c r="E233" s="51" t="str">
        <f>IF(_xlfn.ISFORMULA('Previsto x realizado'!AW1117) = FALSE, "","Enviado")</f>
        <v>Enviado</v>
      </c>
      <c r="F233" s="51" t="str">
        <f>IF(_xlfn.ISFORMULA('Previsto x realizado'!AX1117) = FALSE, "","Enviado")</f>
        <v>Enviado</v>
      </c>
      <c r="G233" s="51" t="str">
        <f>IF(_xlfn.ISFORMULA('Previsto x realizado'!AY1117) = FALSE, "","Enviado")</f>
        <v>Enviado</v>
      </c>
      <c r="H233" s="51" t="str">
        <f>IF(_xlfn.ISFORMULA('Previsto x realizado'!AZ1117) = FALSE, "","Enviado")</f>
        <v>Enviado</v>
      </c>
      <c r="I233" s="51" t="str">
        <f>IF(_xlfn.ISFORMULA('Previsto x realizado'!BA1117) = FALSE, "","Enviado")</f>
        <v/>
      </c>
      <c r="J233" s="51" t="str">
        <f>IF(_xlfn.ISFORMULA('Previsto x realizado'!BB1117) = FALSE, "","Enviado")</f>
        <v/>
      </c>
      <c r="K233" s="51" t="str">
        <f>IF(_xlfn.ISFORMULA('Previsto x realizado'!BC1117) = FALSE, "","Enviado")</f>
        <v/>
      </c>
      <c r="L233" s="51" t="str">
        <f>IF(_xlfn.ISFORMULA('Previsto x realizado'!BD1117) = FALSE, "","Enviado")</f>
        <v/>
      </c>
      <c r="M233" s="51" t="str">
        <f>IF(_xlfn.ISFORMULA('Previsto x realizado'!BE1117) = FALSE, "","Enviado")</f>
        <v/>
      </c>
      <c r="N233" s="51" t="str">
        <f>IF(_xlfn.ISFORMULA('Previsto x realizado'!BF1117) = FALSE, "","Enviado")</f>
        <v/>
      </c>
      <c r="O233" s="51" t="str">
        <f>IF(_xlfn.ISFORMULA('Previsto x realizado'!BG1117) = FALSE, "","Enviado")</f>
        <v/>
      </c>
      <c r="P233" s="51" t="str">
        <f>IF(_xlfn.ISFORMULA('Previsto x realizado'!BH1117) = FALSE, "","Enviado")</f>
        <v/>
      </c>
    </row>
    <row r="234" spans="1:16" x14ac:dyDescent="0.3">
      <c r="A234" s="39" t="s">
        <v>33</v>
      </c>
      <c r="B234" s="4" t="s">
        <v>73</v>
      </c>
      <c r="C234" s="5" t="s">
        <v>209</v>
      </c>
      <c r="D234" s="4" t="s">
        <v>238</v>
      </c>
      <c r="E234" s="51" t="str">
        <f>IF(_xlfn.ISFORMULA('Previsto x realizado'!AW1123) = FALSE, "","Enviado")</f>
        <v>Enviado</v>
      </c>
      <c r="F234" s="51" t="str">
        <f>IF(_xlfn.ISFORMULA('Previsto x realizado'!AX1123) = FALSE, "","Enviado")</f>
        <v>Enviado</v>
      </c>
      <c r="G234" s="51" t="str">
        <f>IF(_xlfn.ISFORMULA('Previsto x realizado'!AY1123) = FALSE, "","Enviado")</f>
        <v>Enviado</v>
      </c>
      <c r="H234" s="51" t="str">
        <f>IF(_xlfn.ISFORMULA('Previsto x realizado'!AZ1123) = FALSE, "","Enviado")</f>
        <v>Enviado</v>
      </c>
      <c r="I234" s="51" t="str">
        <f>IF(_xlfn.ISFORMULA('Previsto x realizado'!BA1123) = FALSE, "","Enviado")</f>
        <v/>
      </c>
      <c r="J234" s="51" t="str">
        <f>IF(_xlfn.ISFORMULA('Previsto x realizado'!BB1123) = FALSE, "","Enviado")</f>
        <v/>
      </c>
      <c r="K234" s="51" t="str">
        <f>IF(_xlfn.ISFORMULA('Previsto x realizado'!BC1123) = FALSE, "","Enviado")</f>
        <v/>
      </c>
      <c r="L234" s="51" t="str">
        <f>IF(_xlfn.ISFORMULA('Previsto x realizado'!BD1123) = FALSE, "","Enviado")</f>
        <v/>
      </c>
      <c r="M234" s="51" t="str">
        <f>IF(_xlfn.ISFORMULA('Previsto x realizado'!BE1123) = FALSE, "","Enviado")</f>
        <v/>
      </c>
      <c r="N234" s="51" t="str">
        <f>IF(_xlfn.ISFORMULA('Previsto x realizado'!BF1123) = FALSE, "","Enviado")</f>
        <v/>
      </c>
      <c r="O234" s="51" t="str">
        <f>IF(_xlfn.ISFORMULA('Previsto x realizado'!BG1123) = FALSE, "","Enviado")</f>
        <v/>
      </c>
      <c r="P234" s="51" t="str">
        <f>IF(_xlfn.ISFORMULA('Previsto x realizado'!BH1123) = FALSE, "","Enviado")</f>
        <v/>
      </c>
    </row>
    <row r="235" spans="1:16" x14ac:dyDescent="0.3">
      <c r="A235" s="3" t="s">
        <v>33</v>
      </c>
      <c r="B235" s="4" t="s">
        <v>77</v>
      </c>
      <c r="C235" s="5" t="s">
        <v>209</v>
      </c>
      <c r="D235" s="4" t="s">
        <v>238</v>
      </c>
      <c r="E235" s="51" t="str">
        <f>IF(_xlfn.ISFORMULA('Previsto x realizado'!AW1129) = FALSE, "","Enviado")</f>
        <v>Enviado</v>
      </c>
      <c r="F235" s="51" t="str">
        <f>IF(_xlfn.ISFORMULA('Previsto x realizado'!AX1129) = FALSE, "","Enviado")</f>
        <v>Enviado</v>
      </c>
      <c r="G235" s="51" t="str">
        <f>IF(_xlfn.ISFORMULA('Previsto x realizado'!AY1129) = FALSE, "","Enviado")</f>
        <v>Enviado</v>
      </c>
      <c r="H235" s="51" t="str">
        <f>IF(_xlfn.ISFORMULA('Previsto x realizado'!AZ1129) = FALSE, "","Enviado")</f>
        <v>Enviado</v>
      </c>
      <c r="I235" s="51" t="str">
        <f>IF(_xlfn.ISFORMULA('Previsto x realizado'!BA1129) = FALSE, "","Enviado")</f>
        <v/>
      </c>
      <c r="J235" s="51" t="str">
        <f>IF(_xlfn.ISFORMULA('Previsto x realizado'!BB1129) = FALSE, "","Enviado")</f>
        <v/>
      </c>
      <c r="K235" s="51" t="str">
        <f>IF(_xlfn.ISFORMULA('Previsto x realizado'!BC1129) = FALSE, "","Enviado")</f>
        <v/>
      </c>
      <c r="L235" s="51" t="str">
        <f>IF(_xlfn.ISFORMULA('Previsto x realizado'!BD1129) = FALSE, "","Enviado")</f>
        <v/>
      </c>
      <c r="M235" s="51" t="str">
        <f>IF(_xlfn.ISFORMULA('Previsto x realizado'!BE1129) = FALSE, "","Enviado")</f>
        <v/>
      </c>
      <c r="N235" s="51" t="str">
        <f>IF(_xlfn.ISFORMULA('Previsto x realizado'!BF1129) = FALSE, "","Enviado")</f>
        <v/>
      </c>
      <c r="O235" s="51" t="str">
        <f>IF(_xlfn.ISFORMULA('Previsto x realizado'!BG1129) = FALSE, "","Enviado")</f>
        <v/>
      </c>
      <c r="P235" s="51" t="str">
        <f>IF(_xlfn.ISFORMULA('Previsto x realizado'!BH1129) = FALSE, "","Enviado")</f>
        <v/>
      </c>
    </row>
    <row r="236" spans="1:16" x14ac:dyDescent="0.3">
      <c r="A236" s="39" t="s">
        <v>33</v>
      </c>
      <c r="B236" s="4" t="s">
        <v>77</v>
      </c>
      <c r="C236" s="5" t="s">
        <v>209</v>
      </c>
      <c r="D236" s="4" t="s">
        <v>238</v>
      </c>
      <c r="E236" s="51" t="str">
        <f>IF(_xlfn.ISFORMULA('Previsto x realizado'!AW1135) = FALSE, "","Enviado")</f>
        <v>Enviado</v>
      </c>
      <c r="F236" s="51" t="str">
        <f>IF(_xlfn.ISFORMULA('Previsto x realizado'!AX1135) = FALSE, "","Enviado")</f>
        <v>Enviado</v>
      </c>
      <c r="G236" s="51" t="str">
        <f>IF(_xlfn.ISFORMULA('Previsto x realizado'!AY1135) = FALSE, "","Enviado")</f>
        <v>Enviado</v>
      </c>
      <c r="H236" s="51" t="str">
        <f>IF(_xlfn.ISFORMULA('Previsto x realizado'!AZ1135) = FALSE, "","Enviado")</f>
        <v>Enviado</v>
      </c>
      <c r="I236" s="51" t="str">
        <f>IF(_xlfn.ISFORMULA('Previsto x realizado'!BA1135) = FALSE, "","Enviado")</f>
        <v/>
      </c>
      <c r="J236" s="51" t="str">
        <f>IF(_xlfn.ISFORMULA('Previsto x realizado'!BB1135) = FALSE, "","Enviado")</f>
        <v/>
      </c>
      <c r="K236" s="51" t="str">
        <f>IF(_xlfn.ISFORMULA('Previsto x realizado'!BC1135) = FALSE, "","Enviado")</f>
        <v/>
      </c>
      <c r="L236" s="51" t="str">
        <f>IF(_xlfn.ISFORMULA('Previsto x realizado'!BD1135) = FALSE, "","Enviado")</f>
        <v/>
      </c>
      <c r="M236" s="51" t="str">
        <f>IF(_xlfn.ISFORMULA('Previsto x realizado'!BE1135) = FALSE, "","Enviado")</f>
        <v/>
      </c>
      <c r="N236" s="51" t="str">
        <f>IF(_xlfn.ISFORMULA('Previsto x realizado'!BF1135) = FALSE, "","Enviado")</f>
        <v/>
      </c>
      <c r="O236" s="51" t="str">
        <f>IF(_xlfn.ISFORMULA('Previsto x realizado'!BG1135) = FALSE, "","Enviado")</f>
        <v/>
      </c>
      <c r="P236" s="51" t="str">
        <f>IF(_xlfn.ISFORMULA('Previsto x realizado'!BH1135) = FALSE, "","Enviado")</f>
        <v/>
      </c>
    </row>
    <row r="237" spans="1:16" x14ac:dyDescent="0.3">
      <c r="A237" s="3" t="s">
        <v>33</v>
      </c>
      <c r="B237" s="4" t="s">
        <v>81</v>
      </c>
      <c r="C237" s="5" t="s">
        <v>209</v>
      </c>
      <c r="D237" s="4" t="s">
        <v>238</v>
      </c>
      <c r="E237" s="51" t="str">
        <f>IF(_xlfn.ISFORMULA('Previsto x realizado'!AW1141) = FALSE, "","Enviado")</f>
        <v>Enviado</v>
      </c>
      <c r="F237" s="51" t="str">
        <f>IF(_xlfn.ISFORMULA('Previsto x realizado'!AX1141) = FALSE, "","Enviado")</f>
        <v>Enviado</v>
      </c>
      <c r="G237" s="51" t="str">
        <f>IF(_xlfn.ISFORMULA('Previsto x realizado'!AY1141) = FALSE, "","Enviado")</f>
        <v>Enviado</v>
      </c>
      <c r="H237" s="51" t="str">
        <f>IF(_xlfn.ISFORMULA('Previsto x realizado'!AZ1141) = FALSE, "","Enviado")</f>
        <v>Enviado</v>
      </c>
      <c r="I237" s="51" t="str">
        <f>IF(_xlfn.ISFORMULA('Previsto x realizado'!BA1141) = FALSE, "","Enviado")</f>
        <v/>
      </c>
      <c r="J237" s="51" t="str">
        <f>IF(_xlfn.ISFORMULA('Previsto x realizado'!BB1141) = FALSE, "","Enviado")</f>
        <v/>
      </c>
      <c r="K237" s="51" t="str">
        <f>IF(_xlfn.ISFORMULA('Previsto x realizado'!BC1141) = FALSE, "","Enviado")</f>
        <v/>
      </c>
      <c r="L237" s="51" t="str">
        <f>IF(_xlfn.ISFORMULA('Previsto x realizado'!BD1141) = FALSE, "","Enviado")</f>
        <v/>
      </c>
      <c r="M237" s="51" t="str">
        <f>IF(_xlfn.ISFORMULA('Previsto x realizado'!BE1141) = FALSE, "","Enviado")</f>
        <v/>
      </c>
      <c r="N237" s="51" t="str">
        <f>IF(_xlfn.ISFORMULA('Previsto x realizado'!BF1141) = FALSE, "","Enviado")</f>
        <v/>
      </c>
      <c r="O237" s="51" t="str">
        <f>IF(_xlfn.ISFORMULA('Previsto x realizado'!BG1141) = FALSE, "","Enviado")</f>
        <v/>
      </c>
      <c r="P237" s="51" t="str">
        <f>IF(_xlfn.ISFORMULA('Previsto x realizado'!BH1141) = FALSE, "","Enviado")</f>
        <v/>
      </c>
    </row>
    <row r="238" spans="1:16" x14ac:dyDescent="0.3">
      <c r="A238" s="39" t="s">
        <v>33</v>
      </c>
      <c r="B238" s="4" t="s">
        <v>81</v>
      </c>
      <c r="C238" s="5" t="s">
        <v>209</v>
      </c>
      <c r="D238" s="4" t="s">
        <v>238</v>
      </c>
      <c r="E238" s="51" t="str">
        <f>IF(_xlfn.ISFORMULA('Previsto x realizado'!AW1147) = FALSE, "","Enviado")</f>
        <v>Enviado</v>
      </c>
      <c r="F238" s="51" t="str">
        <f>IF(_xlfn.ISFORMULA('Previsto x realizado'!AX1147) = FALSE, "","Enviado")</f>
        <v>Enviado</v>
      </c>
      <c r="G238" s="51" t="str">
        <f>IF(_xlfn.ISFORMULA('Previsto x realizado'!AY1147) = FALSE, "","Enviado")</f>
        <v>Enviado</v>
      </c>
      <c r="H238" s="51" t="str">
        <f>IF(_xlfn.ISFORMULA('Previsto x realizado'!AZ1147) = FALSE, "","Enviado")</f>
        <v>Enviado</v>
      </c>
      <c r="I238" s="51" t="str">
        <f>IF(_xlfn.ISFORMULA('Previsto x realizado'!BA1147) = FALSE, "","Enviado")</f>
        <v/>
      </c>
      <c r="J238" s="51" t="str">
        <f>IF(_xlfn.ISFORMULA('Previsto x realizado'!BB1147) = FALSE, "","Enviado")</f>
        <v/>
      </c>
      <c r="K238" s="51" t="str">
        <f>IF(_xlfn.ISFORMULA('Previsto x realizado'!BC1147) = FALSE, "","Enviado")</f>
        <v/>
      </c>
      <c r="L238" s="51" t="str">
        <f>IF(_xlfn.ISFORMULA('Previsto x realizado'!BD1147) = FALSE, "","Enviado")</f>
        <v/>
      </c>
      <c r="M238" s="51" t="str">
        <f>IF(_xlfn.ISFORMULA('Previsto x realizado'!BE1147) = FALSE, "","Enviado")</f>
        <v/>
      </c>
      <c r="N238" s="51" t="str">
        <f>IF(_xlfn.ISFORMULA('Previsto x realizado'!BF1147) = FALSE, "","Enviado")</f>
        <v/>
      </c>
      <c r="O238" s="51" t="str">
        <f>IF(_xlfn.ISFORMULA('Previsto x realizado'!BG1147) = FALSE, "","Enviado")</f>
        <v/>
      </c>
      <c r="P238" s="51" t="str">
        <f>IF(_xlfn.ISFORMULA('Previsto x realizado'!BH1147) = FALSE, "","Enviado")</f>
        <v/>
      </c>
    </row>
    <row r="239" spans="1:16" ht="27.6" x14ac:dyDescent="0.3">
      <c r="A239" s="3" t="s">
        <v>33</v>
      </c>
      <c r="B239" s="4" t="s">
        <v>84</v>
      </c>
      <c r="C239" s="5" t="s">
        <v>209</v>
      </c>
      <c r="D239" s="4" t="s">
        <v>267</v>
      </c>
      <c r="E239" s="51" t="str">
        <f>IF(_xlfn.ISFORMULA('Previsto x realizado'!AW1153) = FALSE, "","Enviado")</f>
        <v>Enviado</v>
      </c>
      <c r="F239" s="51" t="str">
        <f>IF(_xlfn.ISFORMULA('Previsto x realizado'!AX1153) = FALSE, "","Enviado")</f>
        <v>Enviado</v>
      </c>
      <c r="G239" s="51" t="str">
        <f>IF(_xlfn.ISFORMULA('Previsto x realizado'!AY1153) = FALSE, "","Enviado")</f>
        <v>Enviado</v>
      </c>
      <c r="H239" s="51" t="str">
        <f>IF(_xlfn.ISFORMULA('Previsto x realizado'!AZ1153) = FALSE, "","Enviado")</f>
        <v>Enviado</v>
      </c>
      <c r="I239" s="51" t="str">
        <f>IF(_xlfn.ISFORMULA('Previsto x realizado'!BA1153) = FALSE, "","Enviado")</f>
        <v/>
      </c>
      <c r="J239" s="51" t="str">
        <f>IF(_xlfn.ISFORMULA('Previsto x realizado'!BB1153) = FALSE, "","Enviado")</f>
        <v/>
      </c>
      <c r="K239" s="51" t="str">
        <f>IF(_xlfn.ISFORMULA('Previsto x realizado'!BC1153) = FALSE, "","Enviado")</f>
        <v/>
      </c>
      <c r="L239" s="51" t="str">
        <f>IF(_xlfn.ISFORMULA('Previsto x realizado'!BD1153) = FALSE, "","Enviado")</f>
        <v/>
      </c>
      <c r="M239" s="51" t="str">
        <f>IF(_xlfn.ISFORMULA('Previsto x realizado'!BE1153) = FALSE, "","Enviado")</f>
        <v/>
      </c>
      <c r="N239" s="51" t="str">
        <f>IF(_xlfn.ISFORMULA('Previsto x realizado'!BF1153) = FALSE, "","Enviado")</f>
        <v/>
      </c>
      <c r="O239" s="51" t="str">
        <f>IF(_xlfn.ISFORMULA('Previsto x realizado'!BG1153) = FALSE, "","Enviado")</f>
        <v/>
      </c>
      <c r="P239" s="51" t="str">
        <f>IF(_xlfn.ISFORMULA('Previsto x realizado'!BH1153) = FALSE, "","Enviado")</f>
        <v/>
      </c>
    </row>
    <row r="240" spans="1:16" ht="27.6" hidden="1" x14ac:dyDescent="0.3">
      <c r="A240" s="39" t="s">
        <v>33</v>
      </c>
      <c r="B240" s="4" t="s">
        <v>84</v>
      </c>
      <c r="C240" s="5" t="s">
        <v>209</v>
      </c>
      <c r="D240" s="4" t="s">
        <v>267</v>
      </c>
      <c r="E240" s="51" t="str">
        <f>IF(_xlfn.ISFORMULA('Previsto x realizado'!AW1164) = FALSE, "","Enviado")</f>
        <v>Enviado</v>
      </c>
      <c r="F240" s="51" t="str">
        <f>IF(_xlfn.ISFORMULA('Previsto x realizado'!AX1164) = FALSE, "","Enviado")</f>
        <v>Enviado</v>
      </c>
      <c r="G240" s="51" t="str">
        <f>IF(_xlfn.ISFORMULA('Previsto x realizado'!AY1164) = FALSE, "","Enviado")</f>
        <v>Enviado</v>
      </c>
      <c r="H240" s="51" t="str">
        <f>IF(_xlfn.ISFORMULA('Previsto x realizado'!AZ1164) = FALSE, "","Enviado")</f>
        <v>Enviado</v>
      </c>
      <c r="I240" s="51" t="str">
        <f>IF(_xlfn.ISFORMULA('Previsto x realizado'!BA1164) = FALSE, "","Enviado")</f>
        <v/>
      </c>
      <c r="J240" s="51" t="str">
        <f>IF(_xlfn.ISFORMULA('Previsto x realizado'!BB1164) = FALSE, "","Enviado")</f>
        <v/>
      </c>
      <c r="K240" s="51" t="str">
        <f>IF(_xlfn.ISFORMULA('Previsto x realizado'!BC1164) = FALSE, "","Enviado")</f>
        <v/>
      </c>
      <c r="L240" s="51" t="str">
        <f>IF(_xlfn.ISFORMULA('Previsto x realizado'!BD1164) = FALSE, "","Enviado")</f>
        <v/>
      </c>
      <c r="M240" s="51" t="str">
        <f>IF(_xlfn.ISFORMULA('Previsto x realizado'!BE1164) = FALSE, "","Enviado")</f>
        <v/>
      </c>
      <c r="N240" s="51" t="str">
        <f>IF(_xlfn.ISFORMULA('Previsto x realizado'!BF1164) = FALSE, "","Enviado")</f>
        <v/>
      </c>
      <c r="O240" s="51" t="str">
        <f>IF(_xlfn.ISFORMULA('Previsto x realizado'!BG1164) = FALSE, "","Enviado")</f>
        <v/>
      </c>
      <c r="P240" s="51" t="str">
        <f>IF(_xlfn.ISFORMULA('Previsto x realizado'!BH1164) = FALSE, "","Enviado")</f>
        <v/>
      </c>
    </row>
    <row r="241" spans="1:16" x14ac:dyDescent="0.3">
      <c r="A241" s="20" t="s">
        <v>87</v>
      </c>
      <c r="B241" s="4" t="s">
        <v>222</v>
      </c>
      <c r="C241" s="5" t="s">
        <v>209</v>
      </c>
      <c r="D241" s="4" t="s">
        <v>238</v>
      </c>
      <c r="E241" s="51" t="str">
        <f>IF(_xlfn.ISFORMULA('Previsto x realizado'!AW1170) = FALSE, "","Enviado")</f>
        <v>Enviado</v>
      </c>
      <c r="F241" s="51" t="str">
        <f>IF(_xlfn.ISFORMULA('Previsto x realizado'!AX1170) = FALSE, "","Enviado")</f>
        <v>Enviado</v>
      </c>
      <c r="G241" s="51" t="str">
        <f>IF(_xlfn.ISFORMULA('Previsto x realizado'!AY1170) = FALSE, "","Enviado")</f>
        <v>Enviado</v>
      </c>
      <c r="H241" s="51" t="str">
        <f>IF(_xlfn.ISFORMULA('Previsto x realizado'!AZ1170) = FALSE, "","Enviado")</f>
        <v>Enviado</v>
      </c>
      <c r="I241" s="51" t="str">
        <f>IF(_xlfn.ISFORMULA('Previsto x realizado'!BA1170) = FALSE, "","Enviado")</f>
        <v>Enviado</v>
      </c>
      <c r="J241" s="51" t="str">
        <f>IF(_xlfn.ISFORMULA('Previsto x realizado'!BB1170) = FALSE, "","Enviado")</f>
        <v/>
      </c>
      <c r="K241" s="51" t="str">
        <f>IF(_xlfn.ISFORMULA('Previsto x realizado'!BC1170) = FALSE, "","Enviado")</f>
        <v/>
      </c>
      <c r="L241" s="51" t="str">
        <f>IF(_xlfn.ISFORMULA('Previsto x realizado'!BD1170) = FALSE, "","Enviado")</f>
        <v/>
      </c>
      <c r="M241" s="51" t="str">
        <f>IF(_xlfn.ISFORMULA('Previsto x realizado'!BE1170) = FALSE, "","Enviado")</f>
        <v/>
      </c>
      <c r="N241" s="51" t="str">
        <f>IF(_xlfn.ISFORMULA('Previsto x realizado'!BF1170) = FALSE, "","Enviado")</f>
        <v/>
      </c>
      <c r="O241" s="51" t="str">
        <f>IF(_xlfn.ISFORMULA('Previsto x realizado'!BG1170) = FALSE, "","Enviado")</f>
        <v/>
      </c>
      <c r="P241" s="51" t="str">
        <f>IF(_xlfn.ISFORMULA('Previsto x realizado'!BH1170) = FALSE, "","Enviado")</f>
        <v/>
      </c>
    </row>
    <row r="242" spans="1:16" x14ac:dyDescent="0.3">
      <c r="A242" s="40" t="s">
        <v>87</v>
      </c>
      <c r="B242" s="4" t="s">
        <v>222</v>
      </c>
      <c r="C242" s="5" t="s">
        <v>209</v>
      </c>
      <c r="D242" s="4" t="s">
        <v>238</v>
      </c>
      <c r="E242" s="51" t="str">
        <f>IF(_xlfn.ISFORMULA('Previsto x realizado'!AW1176) = FALSE, "","Enviado")</f>
        <v>Enviado</v>
      </c>
      <c r="F242" s="51" t="str">
        <f>IF(_xlfn.ISFORMULA('Previsto x realizado'!AX1176) = FALSE, "","Enviado")</f>
        <v>Enviado</v>
      </c>
      <c r="G242" s="51" t="str">
        <f>IF(_xlfn.ISFORMULA('Previsto x realizado'!AY1176) = FALSE, "","Enviado")</f>
        <v>Enviado</v>
      </c>
      <c r="H242" s="51" t="str">
        <f>IF(_xlfn.ISFORMULA('Previsto x realizado'!AZ1176) = FALSE, "","Enviado")</f>
        <v>Enviado</v>
      </c>
      <c r="I242" s="51" t="str">
        <f>IF(_xlfn.ISFORMULA('Previsto x realizado'!BA1176) = FALSE, "","Enviado")</f>
        <v>Enviado</v>
      </c>
      <c r="J242" s="51" t="str">
        <f>IF(_xlfn.ISFORMULA('Previsto x realizado'!BB1176) = FALSE, "","Enviado")</f>
        <v/>
      </c>
      <c r="K242" s="51" t="str">
        <f>IF(_xlfn.ISFORMULA('Previsto x realizado'!BC1176) = FALSE, "","Enviado")</f>
        <v/>
      </c>
      <c r="L242" s="51" t="str">
        <f>IF(_xlfn.ISFORMULA('Previsto x realizado'!BD1176) = FALSE, "","Enviado")</f>
        <v/>
      </c>
      <c r="M242" s="51" t="str">
        <f>IF(_xlfn.ISFORMULA('Previsto x realizado'!BE1176) = FALSE, "","Enviado")</f>
        <v/>
      </c>
      <c r="N242" s="51" t="str">
        <f>IF(_xlfn.ISFORMULA('Previsto x realizado'!BF1176) = FALSE, "","Enviado")</f>
        <v/>
      </c>
      <c r="O242" s="51" t="str">
        <f>IF(_xlfn.ISFORMULA('Previsto x realizado'!BG1176) = FALSE, "","Enviado")</f>
        <v/>
      </c>
      <c r="P242" s="51" t="str">
        <f>IF(_xlfn.ISFORMULA('Previsto x realizado'!BH1176) = FALSE, "","Enviado")</f>
        <v/>
      </c>
    </row>
    <row r="243" spans="1:16" x14ac:dyDescent="0.3">
      <c r="A243" s="20" t="s">
        <v>87</v>
      </c>
      <c r="B243" s="4" t="s">
        <v>229</v>
      </c>
      <c r="C243" s="5" t="s">
        <v>209</v>
      </c>
      <c r="D243" s="4" t="s">
        <v>238</v>
      </c>
      <c r="E243" s="51" t="str">
        <f>IF(_xlfn.ISFORMULA('Previsto x realizado'!AW1182) = FALSE, "","Enviado")</f>
        <v>Enviado</v>
      </c>
      <c r="F243" s="51" t="str">
        <f>IF(_xlfn.ISFORMULA('Previsto x realizado'!AX1182) = FALSE, "","Enviado")</f>
        <v>Enviado</v>
      </c>
      <c r="G243" s="51" t="str">
        <f>IF(_xlfn.ISFORMULA('Previsto x realizado'!AY1182) = FALSE, "","Enviado")</f>
        <v>Enviado</v>
      </c>
      <c r="H243" s="51" t="str">
        <f>IF(_xlfn.ISFORMULA('Previsto x realizado'!AZ1182) = FALSE, "","Enviado")</f>
        <v>Enviado</v>
      </c>
      <c r="I243" s="51" t="str">
        <f>IF(_xlfn.ISFORMULA('Previsto x realizado'!BA1182) = FALSE, "","Enviado")</f>
        <v/>
      </c>
      <c r="J243" s="51" t="str">
        <f>IF(_xlfn.ISFORMULA('Previsto x realizado'!BB1182) = FALSE, "","Enviado")</f>
        <v/>
      </c>
      <c r="K243" s="51" t="str">
        <f>IF(_xlfn.ISFORMULA('Previsto x realizado'!BC1182) = FALSE, "","Enviado")</f>
        <v/>
      </c>
      <c r="L243" s="51" t="str">
        <f>IF(_xlfn.ISFORMULA('Previsto x realizado'!BD1182) = FALSE, "","Enviado")</f>
        <v/>
      </c>
      <c r="M243" s="51" t="str">
        <f>IF(_xlfn.ISFORMULA('Previsto x realizado'!BE1182) = FALSE, "","Enviado")</f>
        <v/>
      </c>
      <c r="N243" s="51" t="str">
        <f>IF(_xlfn.ISFORMULA('Previsto x realizado'!BF1182) = FALSE, "","Enviado")</f>
        <v/>
      </c>
      <c r="O243" s="51" t="str">
        <f>IF(_xlfn.ISFORMULA('Previsto x realizado'!BG1182) = FALSE, "","Enviado")</f>
        <v/>
      </c>
      <c r="P243" s="51" t="str">
        <f>IF(_xlfn.ISFORMULA('Previsto x realizado'!BH1182) = FALSE, "","Enviado")</f>
        <v/>
      </c>
    </row>
    <row r="244" spans="1:16" x14ac:dyDescent="0.3">
      <c r="A244" s="40" t="s">
        <v>87</v>
      </c>
      <c r="B244" s="4" t="s">
        <v>229</v>
      </c>
      <c r="C244" s="5" t="s">
        <v>209</v>
      </c>
      <c r="D244" s="4" t="s">
        <v>238</v>
      </c>
      <c r="E244" s="51" t="str">
        <f>IF(_xlfn.ISFORMULA('Previsto x realizado'!AW1188) = FALSE, "","Enviado")</f>
        <v>Enviado</v>
      </c>
      <c r="F244" s="51" t="str">
        <f>IF(_xlfn.ISFORMULA('Previsto x realizado'!AX1188) = FALSE, "","Enviado")</f>
        <v>Enviado</v>
      </c>
      <c r="G244" s="51" t="str">
        <f>IF(_xlfn.ISFORMULA('Previsto x realizado'!AY1188) = FALSE, "","Enviado")</f>
        <v>Enviado</v>
      </c>
      <c r="H244" s="51" t="str">
        <f>IF(_xlfn.ISFORMULA('Previsto x realizado'!AZ1188) = FALSE, "","Enviado")</f>
        <v>Enviado</v>
      </c>
      <c r="I244" s="51" t="str">
        <f>IF(_xlfn.ISFORMULA('Previsto x realizado'!BA1188) = FALSE, "","Enviado")</f>
        <v/>
      </c>
      <c r="J244" s="51" t="str">
        <f>IF(_xlfn.ISFORMULA('Previsto x realizado'!BB1188) = FALSE, "","Enviado")</f>
        <v/>
      </c>
      <c r="K244" s="51" t="str">
        <f>IF(_xlfn.ISFORMULA('Previsto x realizado'!BC1188) = FALSE, "","Enviado")</f>
        <v/>
      </c>
      <c r="L244" s="51" t="str">
        <f>IF(_xlfn.ISFORMULA('Previsto x realizado'!BD1188) = FALSE, "","Enviado")</f>
        <v/>
      </c>
      <c r="M244" s="51" t="str">
        <f>IF(_xlfn.ISFORMULA('Previsto x realizado'!BE1188) = FALSE, "","Enviado")</f>
        <v/>
      </c>
      <c r="N244" s="51" t="str">
        <f>IF(_xlfn.ISFORMULA('Previsto x realizado'!BF1188) = FALSE, "","Enviado")</f>
        <v/>
      </c>
      <c r="O244" s="51" t="str">
        <f>IF(_xlfn.ISFORMULA('Previsto x realizado'!BG1188) = FALSE, "","Enviado")</f>
        <v/>
      </c>
      <c r="P244" s="51" t="str">
        <f>IF(_xlfn.ISFORMULA('Previsto x realizado'!BH1188) = FALSE, "","Enviado")</f>
        <v/>
      </c>
    </row>
    <row r="245" spans="1:16" x14ac:dyDescent="0.3">
      <c r="A245" s="20" t="s">
        <v>87</v>
      </c>
      <c r="B245" s="4" t="s">
        <v>232</v>
      </c>
      <c r="C245" s="5" t="s">
        <v>209</v>
      </c>
      <c r="D245" s="4" t="s">
        <v>238</v>
      </c>
      <c r="E245" s="51" t="str">
        <f>IF(_xlfn.ISFORMULA('Previsto x realizado'!AW1193) = FALSE, "","Enviado")</f>
        <v>Enviado</v>
      </c>
      <c r="F245" s="51" t="str">
        <f>IF(_xlfn.ISFORMULA('Previsto x realizado'!AX1193) = FALSE, "","Enviado")</f>
        <v>Enviado</v>
      </c>
      <c r="G245" s="51" t="str">
        <f>IF(_xlfn.ISFORMULA('Previsto x realizado'!AY1193) = FALSE, "","Enviado")</f>
        <v>Enviado</v>
      </c>
      <c r="H245" s="51" t="str">
        <f>IF(_xlfn.ISFORMULA('Previsto x realizado'!AZ1193) = FALSE, "","Enviado")</f>
        <v>Enviado</v>
      </c>
      <c r="I245" s="51" t="str">
        <f>IF(_xlfn.ISFORMULA('Previsto x realizado'!BA1193) = FALSE, "","Enviado")</f>
        <v/>
      </c>
      <c r="J245" s="51" t="str">
        <f>IF(_xlfn.ISFORMULA('Previsto x realizado'!BB1193) = FALSE, "","Enviado")</f>
        <v/>
      </c>
      <c r="K245" s="51" t="str">
        <f>IF(_xlfn.ISFORMULA('Previsto x realizado'!BC1193) = FALSE, "","Enviado")</f>
        <v/>
      </c>
      <c r="L245" s="51" t="str">
        <f>IF(_xlfn.ISFORMULA('Previsto x realizado'!BD1193) = FALSE, "","Enviado")</f>
        <v/>
      </c>
      <c r="M245" s="51" t="str">
        <f>IF(_xlfn.ISFORMULA('Previsto x realizado'!BE1193) = FALSE, "","Enviado")</f>
        <v/>
      </c>
      <c r="N245" s="51" t="str">
        <f>IF(_xlfn.ISFORMULA('Previsto x realizado'!BF1193) = FALSE, "","Enviado")</f>
        <v/>
      </c>
      <c r="O245" s="51" t="str">
        <f>IF(_xlfn.ISFORMULA('Previsto x realizado'!BG1193) = FALSE, "","Enviado")</f>
        <v/>
      </c>
      <c r="P245" s="51" t="str">
        <f>IF(_xlfn.ISFORMULA('Previsto x realizado'!BH1193) = FALSE, "","Enviado")</f>
        <v/>
      </c>
    </row>
    <row r="246" spans="1:16" x14ac:dyDescent="0.3">
      <c r="A246" s="40" t="s">
        <v>87</v>
      </c>
      <c r="B246" s="4" t="s">
        <v>232</v>
      </c>
      <c r="C246" s="5" t="s">
        <v>209</v>
      </c>
      <c r="D246" s="4" t="s">
        <v>238</v>
      </c>
      <c r="E246" s="51" t="str">
        <f>IF(_xlfn.ISFORMULA('Previsto x realizado'!AW1198) = FALSE, "","Enviado")</f>
        <v>Enviado</v>
      </c>
      <c r="F246" s="51" t="str">
        <f>IF(_xlfn.ISFORMULA('Previsto x realizado'!AX1198) = FALSE, "","Enviado")</f>
        <v>Enviado</v>
      </c>
      <c r="G246" s="51" t="str">
        <f>IF(_xlfn.ISFORMULA('Previsto x realizado'!AY1198) = FALSE, "","Enviado")</f>
        <v>Enviado</v>
      </c>
      <c r="H246" s="51" t="str">
        <f>IF(_xlfn.ISFORMULA('Previsto x realizado'!AZ1198) = FALSE, "","Enviado")</f>
        <v>Enviado</v>
      </c>
      <c r="I246" s="51" t="str">
        <f>IF(_xlfn.ISFORMULA('Previsto x realizado'!BA1198) = FALSE, "","Enviado")</f>
        <v/>
      </c>
      <c r="J246" s="51" t="str">
        <f>IF(_xlfn.ISFORMULA('Previsto x realizado'!BB1198) = FALSE, "","Enviado")</f>
        <v/>
      </c>
      <c r="K246" s="51" t="str">
        <f>IF(_xlfn.ISFORMULA('Previsto x realizado'!BC1198) = FALSE, "","Enviado")</f>
        <v/>
      </c>
      <c r="L246" s="51" t="str">
        <f>IF(_xlfn.ISFORMULA('Previsto x realizado'!BD1198) = FALSE, "","Enviado")</f>
        <v/>
      </c>
      <c r="M246" s="51" t="str">
        <f>IF(_xlfn.ISFORMULA('Previsto x realizado'!BE1198) = FALSE, "","Enviado")</f>
        <v/>
      </c>
      <c r="N246" s="51" t="str">
        <f>IF(_xlfn.ISFORMULA('Previsto x realizado'!BF1198) = FALSE, "","Enviado")</f>
        <v/>
      </c>
      <c r="O246" s="51" t="str">
        <f>IF(_xlfn.ISFORMULA('Previsto x realizado'!BG1198) = FALSE, "","Enviado")</f>
        <v/>
      </c>
      <c r="P246" s="51" t="str">
        <f>IF(_xlfn.ISFORMULA('Previsto x realizado'!BH1198) = FALSE, "","Enviado")</f>
        <v/>
      </c>
    </row>
    <row r="247" spans="1:16" ht="27.6" x14ac:dyDescent="0.3">
      <c r="A247" s="20" t="s">
        <v>87</v>
      </c>
      <c r="B247" s="4" t="s">
        <v>88</v>
      </c>
      <c r="C247" s="5" t="s">
        <v>209</v>
      </c>
      <c r="D247" s="4" t="s">
        <v>267</v>
      </c>
      <c r="E247" s="51" t="str">
        <f>IF(_xlfn.ISFORMULA('Previsto x realizado'!AW1201) = FALSE, "","Enviado")</f>
        <v>Enviado</v>
      </c>
      <c r="F247" s="51" t="str">
        <f>IF(_xlfn.ISFORMULA('Previsto x realizado'!AX1201) = FALSE, "","Enviado")</f>
        <v>Enviado</v>
      </c>
      <c r="G247" s="51" t="str">
        <f>IF(_xlfn.ISFORMULA('Previsto x realizado'!AY1201) = FALSE, "","Enviado")</f>
        <v>Enviado</v>
      </c>
      <c r="H247" s="51" t="str">
        <f>IF(_xlfn.ISFORMULA('Previsto x realizado'!AZ1201) = FALSE, "","Enviado")</f>
        <v>Enviado</v>
      </c>
      <c r="I247" s="51" t="str">
        <f>IF(_xlfn.ISFORMULA('Previsto x realizado'!BA1201) = FALSE, "","Enviado")</f>
        <v>Enviado</v>
      </c>
      <c r="J247" s="51" t="str">
        <f>IF(_xlfn.ISFORMULA('Previsto x realizado'!BB1201) = FALSE, "","Enviado")</f>
        <v/>
      </c>
      <c r="K247" s="51" t="str">
        <f>IF(_xlfn.ISFORMULA('Previsto x realizado'!BC1201) = FALSE, "","Enviado")</f>
        <v/>
      </c>
      <c r="L247" s="51" t="str">
        <f>IF(_xlfn.ISFORMULA('Previsto x realizado'!BD1201) = FALSE, "","Enviado")</f>
        <v/>
      </c>
      <c r="M247" s="51" t="str">
        <f>IF(_xlfn.ISFORMULA('Previsto x realizado'!BE1201) = FALSE, "","Enviado")</f>
        <v/>
      </c>
      <c r="N247" s="51" t="str">
        <f>IF(_xlfn.ISFORMULA('Previsto x realizado'!BF1201) = FALSE, "","Enviado")</f>
        <v/>
      </c>
      <c r="O247" s="51" t="str">
        <f>IF(_xlfn.ISFORMULA('Previsto x realizado'!BG1201) = FALSE, "","Enviado")</f>
        <v/>
      </c>
      <c r="P247" s="51" t="str">
        <f>IF(_xlfn.ISFORMULA('Previsto x realizado'!BH1201) = FALSE, "","Enviado")</f>
        <v/>
      </c>
    </row>
    <row r="248" spans="1:16" ht="27.6" x14ac:dyDescent="0.3">
      <c r="A248" s="40" t="s">
        <v>87</v>
      </c>
      <c r="B248" s="4" t="s">
        <v>88</v>
      </c>
      <c r="C248" s="5" t="s">
        <v>209</v>
      </c>
      <c r="D248" s="4" t="s">
        <v>267</v>
      </c>
      <c r="E248" s="51" t="str">
        <f>IF(_xlfn.ISFORMULA('Previsto x realizado'!AW1204) = FALSE, "","Enviado")</f>
        <v>Enviado</v>
      </c>
      <c r="F248" s="51" t="str">
        <f>IF(_xlfn.ISFORMULA('Previsto x realizado'!AX1204) = FALSE, "","Enviado")</f>
        <v>Enviado</v>
      </c>
      <c r="G248" s="51" t="str">
        <f>IF(_xlfn.ISFORMULA('Previsto x realizado'!AY1204) = FALSE, "","Enviado")</f>
        <v>Enviado</v>
      </c>
      <c r="H248" s="51" t="str">
        <f>IF(_xlfn.ISFORMULA('Previsto x realizado'!AZ1204) = FALSE, "","Enviado")</f>
        <v>Enviado</v>
      </c>
      <c r="I248" s="51" t="str">
        <f>IF(_xlfn.ISFORMULA('Previsto x realizado'!BA1204) = FALSE, "","Enviado")</f>
        <v>Enviado</v>
      </c>
      <c r="J248" s="51" t="str">
        <f>IF(_xlfn.ISFORMULA('Previsto x realizado'!BB1204) = FALSE, "","Enviado")</f>
        <v/>
      </c>
      <c r="K248" s="51" t="str">
        <f>IF(_xlfn.ISFORMULA('Previsto x realizado'!BC1204) = FALSE, "","Enviado")</f>
        <v/>
      </c>
      <c r="L248" s="51" t="str">
        <f>IF(_xlfn.ISFORMULA('Previsto x realizado'!BD1204) = FALSE, "","Enviado")</f>
        <v/>
      </c>
      <c r="M248" s="51" t="str">
        <f>IF(_xlfn.ISFORMULA('Previsto x realizado'!BE1204) = FALSE, "","Enviado")</f>
        <v/>
      </c>
      <c r="N248" s="51" t="str">
        <f>IF(_xlfn.ISFORMULA('Previsto x realizado'!BF1204) = FALSE, "","Enviado")</f>
        <v/>
      </c>
      <c r="O248" s="51" t="str">
        <f>IF(_xlfn.ISFORMULA('Previsto x realizado'!BG1204) = FALSE, "","Enviado")</f>
        <v/>
      </c>
      <c r="P248" s="51" t="str">
        <f>IF(_xlfn.ISFORMULA('Previsto x realizado'!BH1204) = FALSE, "","Enviado")</f>
        <v/>
      </c>
    </row>
    <row r="249" spans="1:16" ht="27.6" x14ac:dyDescent="0.3">
      <c r="A249" s="40" t="s">
        <v>87</v>
      </c>
      <c r="B249" s="4" t="s">
        <v>88</v>
      </c>
      <c r="C249" s="5" t="s">
        <v>209</v>
      </c>
      <c r="D249" s="4" t="s">
        <v>267</v>
      </c>
      <c r="E249" s="51" t="str">
        <f>IF(_xlfn.ISFORMULA('Previsto x realizado'!AW1207) = FALSE, "","Enviado")</f>
        <v>Enviado</v>
      </c>
      <c r="F249" s="51" t="str">
        <f>IF(_xlfn.ISFORMULA('Previsto x realizado'!AX1207) = FALSE, "","Enviado")</f>
        <v>Enviado</v>
      </c>
      <c r="G249" s="51" t="str">
        <f>IF(_xlfn.ISFORMULA('Previsto x realizado'!AY1207) = FALSE, "","Enviado")</f>
        <v>Enviado</v>
      </c>
      <c r="H249" s="51" t="str">
        <f>IF(_xlfn.ISFORMULA('Previsto x realizado'!AZ1207) = FALSE, "","Enviado")</f>
        <v>Enviado</v>
      </c>
      <c r="I249" s="51" t="str">
        <f>IF(_xlfn.ISFORMULA('Previsto x realizado'!BA1207) = FALSE, "","Enviado")</f>
        <v>Enviado</v>
      </c>
      <c r="J249" s="51" t="str">
        <f>IF(_xlfn.ISFORMULA('Previsto x realizado'!BB1207) = FALSE, "","Enviado")</f>
        <v/>
      </c>
      <c r="K249" s="51" t="str">
        <f>IF(_xlfn.ISFORMULA('Previsto x realizado'!BC1207) = FALSE, "","Enviado")</f>
        <v/>
      </c>
      <c r="L249" s="51" t="str">
        <f>IF(_xlfn.ISFORMULA('Previsto x realizado'!BD1207) = FALSE, "","Enviado")</f>
        <v/>
      </c>
      <c r="M249" s="51" t="str">
        <f>IF(_xlfn.ISFORMULA('Previsto x realizado'!BE1207) = FALSE, "","Enviado")</f>
        <v/>
      </c>
      <c r="N249" s="51" t="str">
        <f>IF(_xlfn.ISFORMULA('Previsto x realizado'!BF1207) = FALSE, "","Enviado")</f>
        <v/>
      </c>
      <c r="O249" s="51" t="str">
        <f>IF(_xlfn.ISFORMULA('Previsto x realizado'!BG1207) = FALSE, "","Enviado")</f>
        <v/>
      </c>
      <c r="P249" s="51" t="str">
        <f>IF(_xlfn.ISFORMULA('Previsto x realizado'!BH1207) = FALSE, "","Enviado")</f>
        <v/>
      </c>
    </row>
    <row r="250" spans="1:16" x14ac:dyDescent="0.3">
      <c r="A250" s="70" t="s">
        <v>108</v>
      </c>
      <c r="B250" s="4" t="s">
        <v>109</v>
      </c>
      <c r="C250" s="5" t="s">
        <v>209</v>
      </c>
      <c r="D250" s="4" t="s">
        <v>238</v>
      </c>
      <c r="E250" s="51" t="str">
        <f>IF(_xlfn.ISFORMULA('Previsto x realizado'!AW1220) = FALSE, "","Enviado")</f>
        <v>Enviado</v>
      </c>
      <c r="F250" s="51" t="str">
        <f>IF(_xlfn.ISFORMULA('Previsto x realizado'!AX1220) = FALSE, "","Enviado")</f>
        <v>Enviado</v>
      </c>
      <c r="G250" s="51" t="str">
        <f>IF(_xlfn.ISFORMULA('Previsto x realizado'!AY1220) = FALSE, "","Enviado")</f>
        <v>Enviado</v>
      </c>
      <c r="H250" s="51" t="str">
        <f>IF(_xlfn.ISFORMULA('Previsto x realizado'!AZ1220) = FALSE, "","Enviado")</f>
        <v>Enviado</v>
      </c>
      <c r="I250" s="51" t="str">
        <f>IF(_xlfn.ISFORMULA('Previsto x realizado'!BA1220) = FALSE, "","Enviado")</f>
        <v/>
      </c>
      <c r="J250" s="51" t="str">
        <f>IF(_xlfn.ISFORMULA('Previsto x realizado'!BB1220) = FALSE, "","Enviado")</f>
        <v/>
      </c>
      <c r="K250" s="51" t="str">
        <f>IF(_xlfn.ISFORMULA('Previsto x realizado'!BC1220) = FALSE, "","Enviado")</f>
        <v/>
      </c>
      <c r="L250" s="51" t="str">
        <f>IF(_xlfn.ISFORMULA('Previsto x realizado'!BD1220) = FALSE, "","Enviado")</f>
        <v/>
      </c>
      <c r="M250" s="51" t="str">
        <f>IF(_xlfn.ISFORMULA('Previsto x realizado'!BE1220) = FALSE, "","Enviado")</f>
        <v/>
      </c>
      <c r="N250" s="51" t="str">
        <f>IF(_xlfn.ISFORMULA('Previsto x realizado'!BF1220) = FALSE, "","Enviado")</f>
        <v/>
      </c>
      <c r="O250" s="51" t="str">
        <f>IF(_xlfn.ISFORMULA('Previsto x realizado'!BG1220) = FALSE, "","Enviado")</f>
        <v/>
      </c>
      <c r="P250" s="51" t="str">
        <f>IF(_xlfn.ISFORMULA('Previsto x realizado'!BH1220) = FALSE, "","Enviado")</f>
        <v/>
      </c>
    </row>
    <row r="251" spans="1:16" x14ac:dyDescent="0.3">
      <c r="A251" s="41" t="s">
        <v>108</v>
      </c>
      <c r="B251" s="4" t="s">
        <v>109</v>
      </c>
      <c r="C251" s="5" t="s">
        <v>209</v>
      </c>
      <c r="D251" s="4" t="s">
        <v>238</v>
      </c>
      <c r="E251" s="51" t="str">
        <f>IF(_xlfn.ISFORMULA('Previsto x realizado'!AW1226) = FALSE, "","Enviado")</f>
        <v>Enviado</v>
      </c>
      <c r="F251" s="51" t="str">
        <f>IF(_xlfn.ISFORMULA('Previsto x realizado'!AX1226) = FALSE, "","Enviado")</f>
        <v>Enviado</v>
      </c>
      <c r="G251" s="51" t="str">
        <f>IF(_xlfn.ISFORMULA('Previsto x realizado'!AY1226) = FALSE, "","Enviado")</f>
        <v>Enviado</v>
      </c>
      <c r="H251" s="51" t="str">
        <f>IF(_xlfn.ISFORMULA('Previsto x realizado'!AZ1226) = FALSE, "","Enviado")</f>
        <v>Enviado</v>
      </c>
      <c r="I251" s="51" t="str">
        <f>IF(_xlfn.ISFORMULA('Previsto x realizado'!BA1226) = FALSE, "","Enviado")</f>
        <v/>
      </c>
      <c r="J251" s="51" t="str">
        <f>IF(_xlfn.ISFORMULA('Previsto x realizado'!BB1226) = FALSE, "","Enviado")</f>
        <v/>
      </c>
      <c r="K251" s="51" t="str">
        <f>IF(_xlfn.ISFORMULA('Previsto x realizado'!BC1226) = FALSE, "","Enviado")</f>
        <v/>
      </c>
      <c r="L251" s="51" t="str">
        <f>IF(_xlfn.ISFORMULA('Previsto x realizado'!BD1226) = FALSE, "","Enviado")</f>
        <v/>
      </c>
      <c r="M251" s="51" t="str">
        <f>IF(_xlfn.ISFORMULA('Previsto x realizado'!BE1226) = FALSE, "","Enviado")</f>
        <v/>
      </c>
      <c r="N251" s="51" t="str">
        <f>IF(_xlfn.ISFORMULA('Previsto x realizado'!BF1226) = FALSE, "","Enviado")</f>
        <v/>
      </c>
      <c r="O251" s="51" t="str">
        <f>IF(_xlfn.ISFORMULA('Previsto x realizado'!BG1226) = FALSE, "","Enviado")</f>
        <v/>
      </c>
      <c r="P251" s="51" t="str">
        <f>IF(_xlfn.ISFORMULA('Previsto x realizado'!BH1226) = FALSE, "","Enviado")</f>
        <v/>
      </c>
    </row>
    <row r="252" spans="1:16" hidden="1" x14ac:dyDescent="0.3">
      <c r="A252" s="41" t="s">
        <v>108</v>
      </c>
      <c r="B252" s="4" t="s">
        <v>314</v>
      </c>
      <c r="C252" s="5" t="s">
        <v>209</v>
      </c>
      <c r="D252" s="4" t="s">
        <v>238</v>
      </c>
      <c r="E252" s="51" t="e">
        <f>IF(_xlfn.ISFORMULA('Previsto x realizado'!#REF!) = FALSE, "","Enviado")</f>
        <v>#REF!</v>
      </c>
      <c r="F252" s="51" t="e">
        <f>IF(_xlfn.ISFORMULA('Previsto x realizado'!#REF!) = FALSE, "","Enviado")</f>
        <v>#REF!</v>
      </c>
      <c r="G252" s="51" t="e">
        <f>IF(_xlfn.ISFORMULA('Previsto x realizado'!#REF!) = FALSE, "","Enviado")</f>
        <v>#REF!</v>
      </c>
      <c r="H252" s="51" t="e">
        <f>IF(_xlfn.ISFORMULA('Previsto x realizado'!#REF!) = FALSE, "","Enviado")</f>
        <v>#REF!</v>
      </c>
      <c r="I252" s="51" t="e">
        <f>IF(_xlfn.ISFORMULA('Previsto x realizado'!#REF!) = FALSE, "","Enviado")</f>
        <v>#REF!</v>
      </c>
      <c r="J252" s="51" t="e">
        <f>IF(_xlfn.ISFORMULA('Previsto x realizado'!#REF!) = FALSE, "","Enviado")</f>
        <v>#REF!</v>
      </c>
      <c r="K252" s="51" t="e">
        <f>IF(_xlfn.ISFORMULA('Previsto x realizado'!#REF!) = FALSE, "","Enviado")</f>
        <v>#REF!</v>
      </c>
      <c r="L252" s="51" t="e">
        <f>IF(_xlfn.ISFORMULA('Previsto x realizado'!#REF!) = FALSE, "","Enviado")</f>
        <v>#REF!</v>
      </c>
      <c r="M252" s="51" t="e">
        <f>IF(_xlfn.ISFORMULA('Previsto x realizado'!#REF!) = FALSE, "","Enviado")</f>
        <v>#REF!</v>
      </c>
      <c r="N252" s="51" t="e">
        <f>IF(_xlfn.ISFORMULA('Previsto x realizado'!#REF!) = FALSE, "","Enviado")</f>
        <v>#REF!</v>
      </c>
      <c r="O252" s="51" t="e">
        <f>IF(_xlfn.ISFORMULA('Previsto x realizado'!#REF!) = FALSE, "","Enviado")</f>
        <v>#REF!</v>
      </c>
      <c r="P252" s="51" t="e">
        <f>IF(_xlfn.ISFORMULA('Previsto x realizado'!#REF!) = FALSE, "","Enviado")</f>
        <v>#REF!</v>
      </c>
    </row>
    <row r="253" spans="1:16" ht="27.6" hidden="1" x14ac:dyDescent="0.3">
      <c r="A253" s="70" t="s">
        <v>108</v>
      </c>
      <c r="B253" s="4" t="s">
        <v>117</v>
      </c>
      <c r="C253" s="5" t="s">
        <v>209</v>
      </c>
      <c r="D253" s="4" t="s">
        <v>267</v>
      </c>
      <c r="E253" s="51" t="str">
        <f>IF(_xlfn.ISFORMULA('Previsto x realizado'!AW1232) = FALSE, "","Enviado")</f>
        <v>Enviado</v>
      </c>
      <c r="F253" s="51" t="str">
        <f>IF(_xlfn.ISFORMULA('Previsto x realizado'!AX1232) = FALSE, "","Enviado")</f>
        <v>Enviado</v>
      </c>
      <c r="G253" s="51" t="str">
        <f>IF(_xlfn.ISFORMULA('Previsto x realizado'!AY1232) = FALSE, "","Enviado")</f>
        <v>Enviado</v>
      </c>
      <c r="H253" s="51" t="str">
        <f>IF(_xlfn.ISFORMULA('Previsto x realizado'!AZ1232) = FALSE, "","Enviado")</f>
        <v>Enviado</v>
      </c>
      <c r="I253" s="51" t="str">
        <f>IF(_xlfn.ISFORMULA('Previsto x realizado'!BA1232) = FALSE, "","Enviado")</f>
        <v/>
      </c>
      <c r="J253" s="51" t="str">
        <f>IF(_xlfn.ISFORMULA('Previsto x realizado'!BB1232) = FALSE, "","Enviado")</f>
        <v/>
      </c>
      <c r="K253" s="51" t="str">
        <f>IF(_xlfn.ISFORMULA('Previsto x realizado'!BC1232) = FALSE, "","Enviado")</f>
        <v/>
      </c>
      <c r="L253" s="51" t="str">
        <f>IF(_xlfn.ISFORMULA('Previsto x realizado'!BD1232) = FALSE, "","Enviado")</f>
        <v/>
      </c>
      <c r="M253" s="51" t="str">
        <f>IF(_xlfn.ISFORMULA('Previsto x realizado'!BE1232) = FALSE, "","Enviado")</f>
        <v/>
      </c>
      <c r="N253" s="51" t="str">
        <f>IF(_xlfn.ISFORMULA('Previsto x realizado'!BF1232) = FALSE, "","Enviado")</f>
        <v/>
      </c>
      <c r="O253" s="51" t="str">
        <f>IF(_xlfn.ISFORMULA('Previsto x realizado'!BG1232) = FALSE, "","Enviado")</f>
        <v/>
      </c>
      <c r="P253" s="51" t="str">
        <f>IF(_xlfn.ISFORMULA('Previsto x realizado'!BH1232) = FALSE, "","Enviado")</f>
        <v/>
      </c>
    </row>
    <row r="254" spans="1:16" ht="27.6" hidden="1" x14ac:dyDescent="0.3">
      <c r="A254" s="70" t="s">
        <v>108</v>
      </c>
      <c r="B254" s="4" t="s">
        <v>117</v>
      </c>
      <c r="C254" s="5" t="s">
        <v>209</v>
      </c>
      <c r="D254" s="4" t="s">
        <v>267</v>
      </c>
      <c r="E254" s="51" t="str">
        <f>IF(_xlfn.ISFORMULA('Previsto x realizado'!AW1238) = FALSE, "","Enviado")</f>
        <v>Enviado</v>
      </c>
      <c r="F254" s="51" t="str">
        <f>IF(_xlfn.ISFORMULA('Previsto x realizado'!AX1238) = FALSE, "","Enviado")</f>
        <v>Enviado</v>
      </c>
      <c r="G254" s="51" t="str">
        <f>IF(_xlfn.ISFORMULA('Previsto x realizado'!AY1238) = FALSE, "","Enviado")</f>
        <v>Enviado</v>
      </c>
      <c r="H254" s="51" t="str">
        <f>IF(_xlfn.ISFORMULA('Previsto x realizado'!AZ1238) = FALSE, "","Enviado")</f>
        <v>Enviado</v>
      </c>
      <c r="I254" s="51" t="str">
        <f>IF(_xlfn.ISFORMULA('Previsto x realizado'!BA1238) = FALSE, "","Enviado")</f>
        <v/>
      </c>
      <c r="J254" s="51" t="str">
        <f>IF(_xlfn.ISFORMULA('Previsto x realizado'!BB1238) = FALSE, "","Enviado")</f>
        <v/>
      </c>
      <c r="K254" s="51" t="str">
        <f>IF(_xlfn.ISFORMULA('Previsto x realizado'!BC1238) = FALSE, "","Enviado")</f>
        <v/>
      </c>
      <c r="L254" s="51" t="str">
        <f>IF(_xlfn.ISFORMULA('Previsto x realizado'!BD1238) = FALSE, "","Enviado")</f>
        <v/>
      </c>
      <c r="M254" s="51" t="str">
        <f>IF(_xlfn.ISFORMULA('Previsto x realizado'!BE1238) = FALSE, "","Enviado")</f>
        <v/>
      </c>
      <c r="N254" s="51" t="str">
        <f>IF(_xlfn.ISFORMULA('Previsto x realizado'!BF1238) = FALSE, "","Enviado")</f>
        <v/>
      </c>
      <c r="O254" s="51" t="str">
        <f>IF(_xlfn.ISFORMULA('Previsto x realizado'!BG1238) = FALSE, "","Enviado")</f>
        <v/>
      </c>
      <c r="P254" s="51" t="str">
        <f>IF(_xlfn.ISFORMULA('Previsto x realizado'!BH1238) = FALSE, "","Enviado")</f>
        <v/>
      </c>
    </row>
    <row r="255" spans="1:16" ht="27.6" x14ac:dyDescent="0.3">
      <c r="A255" s="41" t="s">
        <v>108</v>
      </c>
      <c r="B255" s="4" t="s">
        <v>123</v>
      </c>
      <c r="C255" s="5" t="s">
        <v>209</v>
      </c>
      <c r="D255" s="4" t="s">
        <v>267</v>
      </c>
      <c r="E255" s="51" t="str">
        <f>IF(_xlfn.ISFORMULA('Previsto x realizado'!AW1244) = FALSE, "","Enviado")</f>
        <v>Enviado</v>
      </c>
      <c r="F255" s="51" t="str">
        <f>IF(_xlfn.ISFORMULA('Previsto x realizado'!AX1244) = FALSE, "","Enviado")</f>
        <v>Enviado</v>
      </c>
      <c r="G255" s="51" t="str">
        <f>IF(_xlfn.ISFORMULA('Previsto x realizado'!AY1244) = FALSE, "","Enviado")</f>
        <v>Enviado</v>
      </c>
      <c r="H255" s="51" t="str">
        <f>IF(_xlfn.ISFORMULA('Previsto x realizado'!AZ1244) = FALSE, "","Enviado")</f>
        <v>Enviado</v>
      </c>
      <c r="I255" s="51" t="str">
        <f>IF(_xlfn.ISFORMULA('Previsto x realizado'!BA1244) = FALSE, "","Enviado")</f>
        <v/>
      </c>
      <c r="J255" s="51" t="str">
        <f>IF(_xlfn.ISFORMULA('Previsto x realizado'!BB1244) = FALSE, "","Enviado")</f>
        <v/>
      </c>
      <c r="K255" s="51" t="str">
        <f>IF(_xlfn.ISFORMULA('Previsto x realizado'!BC1244) = FALSE, "","Enviado")</f>
        <v/>
      </c>
      <c r="L255" s="51" t="str">
        <f>IF(_xlfn.ISFORMULA('Previsto x realizado'!BD1244) = FALSE, "","Enviado")</f>
        <v/>
      </c>
      <c r="M255" s="51" t="str">
        <f>IF(_xlfn.ISFORMULA('Previsto x realizado'!BE1244) = FALSE, "","Enviado")</f>
        <v/>
      </c>
      <c r="N255" s="51" t="str">
        <f>IF(_xlfn.ISFORMULA('Previsto x realizado'!BF1244) = FALSE, "","Enviado")</f>
        <v/>
      </c>
      <c r="O255" s="51" t="str">
        <f>IF(_xlfn.ISFORMULA('Previsto x realizado'!BG1244) = FALSE, "","Enviado")</f>
        <v/>
      </c>
      <c r="P255" s="51" t="str">
        <f>IF(_xlfn.ISFORMULA('Previsto x realizado'!BH1244) = FALSE, "","Enviado")</f>
        <v/>
      </c>
    </row>
    <row r="256" spans="1:16" ht="27.6" hidden="1" x14ac:dyDescent="0.3">
      <c r="A256" s="70" t="s">
        <v>108</v>
      </c>
      <c r="B256" s="4" t="s">
        <v>123</v>
      </c>
      <c r="C256" s="5" t="s">
        <v>209</v>
      </c>
      <c r="D256" s="4" t="s">
        <v>267</v>
      </c>
      <c r="E256" s="51" t="str">
        <f>IF(_xlfn.ISFORMULA('Previsto x realizado'!AW1250) = FALSE, "","Enviado")</f>
        <v>Enviado</v>
      </c>
      <c r="F256" s="51" t="str">
        <f>IF(_xlfn.ISFORMULA('Previsto x realizado'!AX1250) = FALSE, "","Enviado")</f>
        <v>Enviado</v>
      </c>
      <c r="G256" s="51" t="str">
        <f>IF(_xlfn.ISFORMULA('Previsto x realizado'!AY1250) = FALSE, "","Enviado")</f>
        <v>Enviado</v>
      </c>
      <c r="H256" s="51" t="str">
        <f>IF(_xlfn.ISFORMULA('Previsto x realizado'!AZ1250) = FALSE, "","Enviado")</f>
        <v>Enviado</v>
      </c>
      <c r="I256" s="51" t="str">
        <f>IF(_xlfn.ISFORMULA('Previsto x realizado'!BA1250) = FALSE, "","Enviado")</f>
        <v/>
      </c>
      <c r="J256" s="51" t="str">
        <f>IF(_xlfn.ISFORMULA('Previsto x realizado'!BB1250) = FALSE, "","Enviado")</f>
        <v/>
      </c>
      <c r="K256" s="51" t="str">
        <f>IF(_xlfn.ISFORMULA('Previsto x realizado'!BC1250) = FALSE, "","Enviado")</f>
        <v/>
      </c>
      <c r="L256" s="51" t="str">
        <f>IF(_xlfn.ISFORMULA('Previsto x realizado'!BD1250) = FALSE, "","Enviado")</f>
        <v/>
      </c>
      <c r="M256" s="51" t="str">
        <f>IF(_xlfn.ISFORMULA('Previsto x realizado'!BE1250) = FALSE, "","Enviado")</f>
        <v/>
      </c>
      <c r="N256" s="51" t="str">
        <f>IF(_xlfn.ISFORMULA('Previsto x realizado'!BF1250) = FALSE, "","Enviado")</f>
        <v/>
      </c>
      <c r="O256" s="51" t="str">
        <f>IF(_xlfn.ISFORMULA('Previsto x realizado'!BG1250) = FALSE, "","Enviado")</f>
        <v/>
      </c>
      <c r="P256" s="51" t="str">
        <f>IF(_xlfn.ISFORMULA('Previsto x realizado'!BH1250) = FALSE, "","Enviado")</f>
        <v/>
      </c>
    </row>
    <row r="257" spans="1:16" ht="27.6" hidden="1" x14ac:dyDescent="0.3">
      <c r="A257" s="70" t="s">
        <v>108</v>
      </c>
      <c r="B257" s="4" t="s">
        <v>123</v>
      </c>
      <c r="C257" s="5" t="s">
        <v>209</v>
      </c>
      <c r="D257" s="4" t="s">
        <v>267</v>
      </c>
      <c r="E257" s="51" t="str">
        <f>IF(_xlfn.ISFORMULA('Previsto x realizado'!AW1256) = FALSE, "","Enviado")</f>
        <v>Enviado</v>
      </c>
      <c r="F257" s="51" t="str">
        <f>IF(_xlfn.ISFORMULA('Previsto x realizado'!AX1256) = FALSE, "","Enviado")</f>
        <v>Enviado</v>
      </c>
      <c r="G257" s="51" t="str">
        <f>IF(_xlfn.ISFORMULA('Previsto x realizado'!AY1256) = FALSE, "","Enviado")</f>
        <v>Enviado</v>
      </c>
      <c r="H257" s="51" t="str">
        <f>IF(_xlfn.ISFORMULA('Previsto x realizado'!AZ1256) = FALSE, "","Enviado")</f>
        <v>Enviado</v>
      </c>
      <c r="I257" s="51" t="str">
        <f>IF(_xlfn.ISFORMULA('Previsto x realizado'!BA1256) = FALSE, "","Enviado")</f>
        <v/>
      </c>
      <c r="J257" s="51" t="str">
        <f>IF(_xlfn.ISFORMULA('Previsto x realizado'!BB1256) = FALSE, "","Enviado")</f>
        <v/>
      </c>
      <c r="K257" s="51" t="str">
        <f>IF(_xlfn.ISFORMULA('Previsto x realizado'!BC1256) = FALSE, "","Enviado")</f>
        <v/>
      </c>
      <c r="L257" s="51" t="str">
        <f>IF(_xlfn.ISFORMULA('Previsto x realizado'!BD1256) = FALSE, "","Enviado")</f>
        <v/>
      </c>
      <c r="M257" s="51" t="str">
        <f>IF(_xlfn.ISFORMULA('Previsto x realizado'!BE1256) = FALSE, "","Enviado")</f>
        <v/>
      </c>
      <c r="N257" s="51" t="str">
        <f>IF(_xlfn.ISFORMULA('Previsto x realizado'!BF1256) = FALSE, "","Enviado")</f>
        <v/>
      </c>
      <c r="O257" s="51" t="str">
        <f>IF(_xlfn.ISFORMULA('Previsto x realizado'!BG1256) = FALSE, "","Enviado")</f>
        <v/>
      </c>
      <c r="P257" s="51" t="str">
        <f>IF(_xlfn.ISFORMULA('Previsto x realizado'!BH1256) = FALSE, "","Enviado")</f>
        <v/>
      </c>
    </row>
    <row r="258" spans="1:16" ht="27.6" x14ac:dyDescent="0.3">
      <c r="A258" s="41" t="s">
        <v>108</v>
      </c>
      <c r="B258" s="4" t="s">
        <v>129</v>
      </c>
      <c r="C258" s="5" t="s">
        <v>209</v>
      </c>
      <c r="D258" s="4" t="s">
        <v>267</v>
      </c>
      <c r="E258" s="51" t="str">
        <f>IF(_xlfn.ISFORMULA('Previsto x realizado'!AW1262) = FALSE, "","Enviado")</f>
        <v>Enviado</v>
      </c>
      <c r="F258" s="51" t="str">
        <f>IF(_xlfn.ISFORMULA('Previsto x realizado'!AX1262) = FALSE, "","Enviado")</f>
        <v>Enviado</v>
      </c>
      <c r="G258" s="51" t="str">
        <f>IF(_xlfn.ISFORMULA('Previsto x realizado'!AY1262) = FALSE, "","Enviado")</f>
        <v>Enviado</v>
      </c>
      <c r="H258" s="51" t="str">
        <f>IF(_xlfn.ISFORMULA('Previsto x realizado'!AZ1262) = FALSE, "","Enviado")</f>
        <v>Enviado</v>
      </c>
      <c r="I258" s="51" t="str">
        <f>IF(_xlfn.ISFORMULA('Previsto x realizado'!BA1262) = FALSE, "","Enviado")</f>
        <v/>
      </c>
      <c r="J258" s="51" t="str">
        <f>IF(_xlfn.ISFORMULA('Previsto x realizado'!BB1262) = FALSE, "","Enviado")</f>
        <v/>
      </c>
      <c r="K258" s="51" t="str">
        <f>IF(_xlfn.ISFORMULA('Previsto x realizado'!BC1262) = FALSE, "","Enviado")</f>
        <v/>
      </c>
      <c r="L258" s="51" t="str">
        <f>IF(_xlfn.ISFORMULA('Previsto x realizado'!BD1262) = FALSE, "","Enviado")</f>
        <v/>
      </c>
      <c r="M258" s="51" t="str">
        <f>IF(_xlfn.ISFORMULA('Previsto x realizado'!BE1262) = FALSE, "","Enviado")</f>
        <v/>
      </c>
      <c r="N258" s="51" t="str">
        <f>IF(_xlfn.ISFORMULA('Previsto x realizado'!BF1262) = FALSE, "","Enviado")</f>
        <v/>
      </c>
      <c r="O258" s="51" t="str">
        <f>IF(_xlfn.ISFORMULA('Previsto x realizado'!BG1262) = FALSE, "","Enviado")</f>
        <v/>
      </c>
      <c r="P258" s="51" t="str">
        <f>IF(_xlfn.ISFORMULA('Previsto x realizado'!BH1262) = FALSE, "","Enviado")</f>
        <v/>
      </c>
    </row>
    <row r="259" spans="1:16" ht="27.6" hidden="1" x14ac:dyDescent="0.3">
      <c r="A259" s="70" t="s">
        <v>108</v>
      </c>
      <c r="B259" s="4" t="s">
        <v>129</v>
      </c>
      <c r="C259" s="5" t="s">
        <v>209</v>
      </c>
      <c r="D259" s="4" t="s">
        <v>267</v>
      </c>
      <c r="E259" s="51" t="str">
        <f>IF(_xlfn.ISFORMULA('Previsto x realizado'!AW1273) = FALSE, "","Enviado")</f>
        <v>Enviado</v>
      </c>
      <c r="F259" s="51" t="str">
        <f>IF(_xlfn.ISFORMULA('Previsto x realizado'!AX1273) = FALSE, "","Enviado")</f>
        <v>Enviado</v>
      </c>
      <c r="G259" s="51" t="str">
        <f>IF(_xlfn.ISFORMULA('Previsto x realizado'!AY1273) = FALSE, "","Enviado")</f>
        <v>Enviado</v>
      </c>
      <c r="H259" s="51" t="str">
        <f>IF(_xlfn.ISFORMULA('Previsto x realizado'!AZ1273) = FALSE, "","Enviado")</f>
        <v>Enviado</v>
      </c>
      <c r="I259" s="51" t="str">
        <f>IF(_xlfn.ISFORMULA('Previsto x realizado'!BA1273) = FALSE, "","Enviado")</f>
        <v/>
      </c>
      <c r="J259" s="51" t="str">
        <f>IF(_xlfn.ISFORMULA('Previsto x realizado'!BB1273) = FALSE, "","Enviado")</f>
        <v/>
      </c>
      <c r="K259" s="51" t="str">
        <f>IF(_xlfn.ISFORMULA('Previsto x realizado'!BC1273) = FALSE, "","Enviado")</f>
        <v/>
      </c>
      <c r="L259" s="51" t="str">
        <f>IF(_xlfn.ISFORMULA('Previsto x realizado'!BD1273) = FALSE, "","Enviado")</f>
        <v/>
      </c>
      <c r="M259" s="51" t="str">
        <f>IF(_xlfn.ISFORMULA('Previsto x realizado'!BE1273) = FALSE, "","Enviado")</f>
        <v/>
      </c>
      <c r="N259" s="51" t="str">
        <f>IF(_xlfn.ISFORMULA('Previsto x realizado'!BF1273) = FALSE, "","Enviado")</f>
        <v/>
      </c>
      <c r="O259" s="51" t="str">
        <f>IF(_xlfn.ISFORMULA('Previsto x realizado'!BG1273) = FALSE, "","Enviado")</f>
        <v/>
      </c>
      <c r="P259" s="51" t="str">
        <f>IF(_xlfn.ISFORMULA('Previsto x realizado'!BH1273) = FALSE, "","Enviado")</f>
        <v/>
      </c>
    </row>
    <row r="260" spans="1:16" x14ac:dyDescent="0.3">
      <c r="A260" s="23" t="s">
        <v>134</v>
      </c>
      <c r="B260" s="4" t="s">
        <v>135</v>
      </c>
      <c r="C260" s="5" t="s">
        <v>209</v>
      </c>
      <c r="D260" s="4" t="s">
        <v>261</v>
      </c>
      <c r="E260" s="51" t="str">
        <f>IF(_xlfn.ISFORMULA('Previsto x realizado'!AW1274) = FALSE, "","Enviado")</f>
        <v>Enviado</v>
      </c>
      <c r="F260" s="51" t="str">
        <f>IF(_xlfn.ISFORMULA('Previsto x realizado'!AX1274) = FALSE, "","Enviado")</f>
        <v>Enviado</v>
      </c>
      <c r="G260" s="51" t="str">
        <f>IF(_xlfn.ISFORMULA('Previsto x realizado'!AY1274) = FALSE, "","Enviado")</f>
        <v>Enviado</v>
      </c>
      <c r="H260" s="51" t="str">
        <f>IF(_xlfn.ISFORMULA('Previsto x realizado'!AZ1274) = FALSE, "","Enviado")</f>
        <v>Enviado</v>
      </c>
      <c r="I260" s="51" t="str">
        <f>IF(_xlfn.ISFORMULA('Previsto x realizado'!BA1274) = FALSE, "","Enviado")</f>
        <v>Enviado</v>
      </c>
      <c r="J260" s="51" t="str">
        <f>IF(_xlfn.ISFORMULA('Previsto x realizado'!BB1274) = FALSE, "","Enviado")</f>
        <v/>
      </c>
      <c r="K260" s="51" t="str">
        <f>IF(_xlfn.ISFORMULA('Previsto x realizado'!BC1274) = FALSE, "","Enviado")</f>
        <v/>
      </c>
      <c r="L260" s="51" t="str">
        <f>IF(_xlfn.ISFORMULA('Previsto x realizado'!BD1274) = FALSE, "","Enviado")</f>
        <v/>
      </c>
      <c r="M260" s="51" t="str">
        <f>IF(_xlfn.ISFORMULA('Previsto x realizado'!BE1274) = FALSE, "","Enviado")</f>
        <v/>
      </c>
      <c r="N260" s="51" t="str">
        <f>IF(_xlfn.ISFORMULA('Previsto x realizado'!BF1274) = FALSE, "","Enviado")</f>
        <v/>
      </c>
      <c r="O260" s="51" t="str">
        <f>IF(_xlfn.ISFORMULA('Previsto x realizado'!BG1274) = FALSE, "","Enviado")</f>
        <v/>
      </c>
      <c r="P260" s="51" t="str">
        <f>IF(_xlfn.ISFORMULA('Previsto x realizado'!BH1274) = FALSE, "","Enviado")</f>
        <v/>
      </c>
    </row>
    <row r="261" spans="1:16" x14ac:dyDescent="0.3">
      <c r="A261" s="42" t="s">
        <v>134</v>
      </c>
      <c r="B261" s="4" t="s">
        <v>135</v>
      </c>
      <c r="C261" s="5" t="s">
        <v>209</v>
      </c>
      <c r="D261" s="4" t="s">
        <v>261</v>
      </c>
      <c r="E261" s="51" t="str">
        <f>IF(_xlfn.ISFORMULA('Previsto x realizado'!AW1280) = FALSE, "","Enviado")</f>
        <v>Enviado</v>
      </c>
      <c r="F261" s="51" t="str">
        <f>IF(_xlfn.ISFORMULA('Previsto x realizado'!AX1280) = FALSE, "","Enviado")</f>
        <v>Enviado</v>
      </c>
      <c r="G261" s="51" t="str">
        <f>IF(_xlfn.ISFORMULA('Previsto x realizado'!AY1280) = FALSE, "","Enviado")</f>
        <v>Enviado</v>
      </c>
      <c r="H261" s="51" t="str">
        <f>IF(_xlfn.ISFORMULA('Previsto x realizado'!AZ1280) = FALSE, "","Enviado")</f>
        <v>Enviado</v>
      </c>
      <c r="I261" s="51" t="str">
        <f>IF(_xlfn.ISFORMULA('Previsto x realizado'!BA1280) = FALSE, "","Enviado")</f>
        <v>Enviado</v>
      </c>
      <c r="J261" s="51" t="str">
        <f>IF(_xlfn.ISFORMULA('Previsto x realizado'!BB1280) = FALSE, "","Enviado")</f>
        <v/>
      </c>
      <c r="K261" s="51" t="str">
        <f>IF(_xlfn.ISFORMULA('Previsto x realizado'!BC1280) = FALSE, "","Enviado")</f>
        <v/>
      </c>
      <c r="L261" s="51" t="str">
        <f>IF(_xlfn.ISFORMULA('Previsto x realizado'!BD1280) = FALSE, "","Enviado")</f>
        <v/>
      </c>
      <c r="M261" s="51" t="str">
        <f>IF(_xlfn.ISFORMULA('Previsto x realizado'!BE1280) = FALSE, "","Enviado")</f>
        <v/>
      </c>
      <c r="N261" s="51" t="str">
        <f>IF(_xlfn.ISFORMULA('Previsto x realizado'!BF1280) = FALSE, "","Enviado")</f>
        <v/>
      </c>
      <c r="O261" s="51" t="str">
        <f>IF(_xlfn.ISFORMULA('Previsto x realizado'!BG1280) = FALSE, "","Enviado")</f>
        <v/>
      </c>
      <c r="P261" s="51" t="str">
        <f>IF(_xlfn.ISFORMULA('Previsto x realizado'!BH1280) = FALSE, "","Enviado")</f>
        <v/>
      </c>
    </row>
    <row r="262" spans="1:16" x14ac:dyDescent="0.3">
      <c r="A262" s="42" t="s">
        <v>134</v>
      </c>
      <c r="B262" s="4" t="s">
        <v>135</v>
      </c>
      <c r="C262" s="5" t="s">
        <v>209</v>
      </c>
      <c r="D262" s="4" t="s">
        <v>261</v>
      </c>
      <c r="E262" s="51" t="str">
        <f>IF(_xlfn.ISFORMULA('Previsto x realizado'!AW1286) = FALSE, "","Enviado")</f>
        <v>Enviado</v>
      </c>
      <c r="F262" s="51" t="str">
        <f>IF(_xlfn.ISFORMULA('Previsto x realizado'!AX1286) = FALSE, "","Enviado")</f>
        <v>Enviado</v>
      </c>
      <c r="G262" s="51" t="str">
        <f>IF(_xlfn.ISFORMULA('Previsto x realizado'!AY1286) = FALSE, "","Enviado")</f>
        <v>Enviado</v>
      </c>
      <c r="H262" s="51" t="str">
        <f>IF(_xlfn.ISFORMULA('Previsto x realizado'!AZ1286) = FALSE, "","Enviado")</f>
        <v>Enviado</v>
      </c>
      <c r="I262" s="51" t="str">
        <f>IF(_xlfn.ISFORMULA('Previsto x realizado'!BA1286) = FALSE, "","Enviado")</f>
        <v>Enviado</v>
      </c>
      <c r="J262" s="51" t="str">
        <f>IF(_xlfn.ISFORMULA('Previsto x realizado'!BB1286) = FALSE, "","Enviado")</f>
        <v/>
      </c>
      <c r="K262" s="51" t="str">
        <f>IF(_xlfn.ISFORMULA('Previsto x realizado'!BC1286) = FALSE, "","Enviado")</f>
        <v/>
      </c>
      <c r="L262" s="51" t="str">
        <f>IF(_xlfn.ISFORMULA('Previsto x realizado'!BD1286) = FALSE, "","Enviado")</f>
        <v/>
      </c>
      <c r="M262" s="51" t="str">
        <f>IF(_xlfn.ISFORMULA('Previsto x realizado'!BE1286) = FALSE, "","Enviado")</f>
        <v/>
      </c>
      <c r="N262" s="51" t="str">
        <f>IF(_xlfn.ISFORMULA('Previsto x realizado'!BF1286) = FALSE, "","Enviado")</f>
        <v/>
      </c>
      <c r="O262" s="51" t="str">
        <f>IF(_xlfn.ISFORMULA('Previsto x realizado'!BG1286) = FALSE, "","Enviado")</f>
        <v/>
      </c>
      <c r="P262" s="51" t="str">
        <f>IF(_xlfn.ISFORMULA('Previsto x realizado'!BH1286) = FALSE, "","Enviado")</f>
        <v/>
      </c>
    </row>
    <row r="263" spans="1:16" x14ac:dyDescent="0.3">
      <c r="A263" s="23" t="s">
        <v>134</v>
      </c>
      <c r="B263" s="4" t="s">
        <v>142</v>
      </c>
      <c r="C263" s="5" t="s">
        <v>209</v>
      </c>
      <c r="D263" s="4" t="s">
        <v>238</v>
      </c>
      <c r="E263" s="51" t="str">
        <f>IF(_xlfn.ISFORMULA('Previsto x realizado'!AW1292) = FALSE, "","Enviado")</f>
        <v>Enviado</v>
      </c>
      <c r="F263" s="51" t="str">
        <f>IF(_xlfn.ISFORMULA('Previsto x realizado'!AX1292) = FALSE, "","Enviado")</f>
        <v>Enviado</v>
      </c>
      <c r="G263" s="51" t="str">
        <f>IF(_xlfn.ISFORMULA('Previsto x realizado'!AY1292) = FALSE, "","Enviado")</f>
        <v>Enviado</v>
      </c>
      <c r="H263" s="51" t="str">
        <f>IF(_xlfn.ISFORMULA('Previsto x realizado'!AZ1292) = FALSE, "","Enviado")</f>
        <v>Enviado</v>
      </c>
      <c r="I263" s="51" t="str">
        <f>IF(_xlfn.ISFORMULA('Previsto x realizado'!BA1292) = FALSE, "","Enviado")</f>
        <v>Enviado</v>
      </c>
      <c r="J263" s="51" t="str">
        <f>IF(_xlfn.ISFORMULA('Previsto x realizado'!BB1292) = FALSE, "","Enviado")</f>
        <v/>
      </c>
      <c r="K263" s="51" t="str">
        <f>IF(_xlfn.ISFORMULA('Previsto x realizado'!BC1292) = FALSE, "","Enviado")</f>
        <v/>
      </c>
      <c r="L263" s="51" t="str">
        <f>IF(_xlfn.ISFORMULA('Previsto x realizado'!BD1292) = FALSE, "","Enviado")</f>
        <v/>
      </c>
      <c r="M263" s="51" t="str">
        <f>IF(_xlfn.ISFORMULA('Previsto x realizado'!BE1292) = FALSE, "","Enviado")</f>
        <v/>
      </c>
      <c r="N263" s="51" t="str">
        <f>IF(_xlfn.ISFORMULA('Previsto x realizado'!BF1292) = FALSE, "","Enviado")</f>
        <v/>
      </c>
      <c r="O263" s="51" t="str">
        <f>IF(_xlfn.ISFORMULA('Previsto x realizado'!BG1292) = FALSE, "","Enviado")</f>
        <v/>
      </c>
      <c r="P263" s="51" t="str">
        <f>IF(_xlfn.ISFORMULA('Previsto x realizado'!BH1292) = FALSE, "","Enviado")</f>
        <v/>
      </c>
    </row>
    <row r="264" spans="1:16" x14ac:dyDescent="0.3">
      <c r="A264" s="42" t="s">
        <v>134</v>
      </c>
      <c r="B264" s="4" t="s">
        <v>142</v>
      </c>
      <c r="C264" s="5" t="s">
        <v>209</v>
      </c>
      <c r="D264" s="4" t="s">
        <v>238</v>
      </c>
      <c r="E264" s="51" t="str">
        <f>IF(_xlfn.ISFORMULA('Previsto x realizado'!AW1298) = FALSE, "","Enviado")</f>
        <v>Enviado</v>
      </c>
      <c r="F264" s="51" t="str">
        <f>IF(_xlfn.ISFORMULA('Previsto x realizado'!AX1298) = FALSE, "","Enviado")</f>
        <v>Enviado</v>
      </c>
      <c r="G264" s="51" t="str">
        <f>IF(_xlfn.ISFORMULA('Previsto x realizado'!AY1298) = FALSE, "","Enviado")</f>
        <v>Enviado</v>
      </c>
      <c r="H264" s="51" t="str">
        <f>IF(_xlfn.ISFORMULA('Previsto x realizado'!AZ1298) = FALSE, "","Enviado")</f>
        <v>Enviado</v>
      </c>
      <c r="I264" s="51" t="str">
        <f>IF(_xlfn.ISFORMULA('Previsto x realizado'!BA1298) = FALSE, "","Enviado")</f>
        <v>Enviado</v>
      </c>
      <c r="J264" s="51" t="str">
        <f>IF(_xlfn.ISFORMULA('Previsto x realizado'!BB1298) = FALSE, "","Enviado")</f>
        <v/>
      </c>
      <c r="K264" s="51" t="str">
        <f>IF(_xlfn.ISFORMULA('Previsto x realizado'!BC1298) = FALSE, "","Enviado")</f>
        <v/>
      </c>
      <c r="L264" s="51" t="str">
        <f>IF(_xlfn.ISFORMULA('Previsto x realizado'!BD1298) = FALSE, "","Enviado")</f>
        <v/>
      </c>
      <c r="M264" s="51" t="str">
        <f>IF(_xlfn.ISFORMULA('Previsto x realizado'!BE1298) = FALSE, "","Enviado")</f>
        <v/>
      </c>
      <c r="N264" s="51" t="str">
        <f>IF(_xlfn.ISFORMULA('Previsto x realizado'!BF1298) = FALSE, "","Enviado")</f>
        <v/>
      </c>
      <c r="O264" s="51" t="str">
        <f>IF(_xlfn.ISFORMULA('Previsto x realizado'!BG1298) = FALSE, "","Enviado")</f>
        <v/>
      </c>
      <c r="P264" s="51" t="str">
        <f>IF(_xlfn.ISFORMULA('Previsto x realizado'!BH1298) = FALSE, "","Enviado")</f>
        <v/>
      </c>
    </row>
    <row r="265" spans="1:16" x14ac:dyDescent="0.3">
      <c r="A265" s="25" t="s">
        <v>134</v>
      </c>
      <c r="B265" s="15" t="s">
        <v>150</v>
      </c>
      <c r="C265" s="5" t="s">
        <v>209</v>
      </c>
      <c r="D265" s="4" t="s">
        <v>238</v>
      </c>
      <c r="E265" s="51" t="str">
        <f>IF(_xlfn.ISFORMULA('Previsto x realizado'!AW1304) = FALSE, "","Enviado")</f>
        <v>Enviado</v>
      </c>
      <c r="F265" s="51" t="str">
        <f>IF(_xlfn.ISFORMULA('Previsto x realizado'!AX1304) = FALSE, "","Enviado")</f>
        <v>Enviado</v>
      </c>
      <c r="G265" s="51" t="str">
        <f>IF(_xlfn.ISFORMULA('Previsto x realizado'!AY1304) = FALSE, "","Enviado")</f>
        <v>Enviado</v>
      </c>
      <c r="H265" s="51" t="str">
        <f>IF(_xlfn.ISFORMULA('Previsto x realizado'!AZ1304) = FALSE, "","Enviado")</f>
        <v>Enviado</v>
      </c>
      <c r="I265" s="51" t="str">
        <f>IF(_xlfn.ISFORMULA('Previsto x realizado'!BA1304) = FALSE, "","Enviado")</f>
        <v/>
      </c>
      <c r="J265" s="51" t="str">
        <f>IF(_xlfn.ISFORMULA('Previsto x realizado'!BB1304) = FALSE, "","Enviado")</f>
        <v/>
      </c>
      <c r="K265" s="51" t="str">
        <f>IF(_xlfn.ISFORMULA('Previsto x realizado'!BC1304) = FALSE, "","Enviado")</f>
        <v/>
      </c>
      <c r="L265" s="51" t="str">
        <f>IF(_xlfn.ISFORMULA('Previsto x realizado'!BD1304) = FALSE, "","Enviado")</f>
        <v/>
      </c>
      <c r="M265" s="51" t="str">
        <f>IF(_xlfn.ISFORMULA('Previsto x realizado'!BE1304) = FALSE, "","Enviado")</f>
        <v/>
      </c>
      <c r="N265" s="51" t="str">
        <f>IF(_xlfn.ISFORMULA('Previsto x realizado'!BF1304) = FALSE, "","Enviado")</f>
        <v/>
      </c>
      <c r="O265" s="51" t="str">
        <f>IF(_xlfn.ISFORMULA('Previsto x realizado'!BG1304) = FALSE, "","Enviado")</f>
        <v/>
      </c>
      <c r="P265" s="51" t="str">
        <f>IF(_xlfn.ISFORMULA('Previsto x realizado'!BH1304) = FALSE, "","Enviado")</f>
        <v/>
      </c>
    </row>
    <row r="266" spans="1:16" x14ac:dyDescent="0.3">
      <c r="A266" s="23" t="s">
        <v>134</v>
      </c>
      <c r="B266" s="4" t="s">
        <v>150</v>
      </c>
      <c r="C266" s="5" t="s">
        <v>209</v>
      </c>
      <c r="D266" s="4" t="s">
        <v>238</v>
      </c>
      <c r="E266" s="51" t="str">
        <f>IF(_xlfn.ISFORMULA('Previsto x realizado'!AW1310) = FALSE, "","Enviado")</f>
        <v>Enviado</v>
      </c>
      <c r="F266" s="51" t="str">
        <f>IF(_xlfn.ISFORMULA('Previsto x realizado'!AX1310) = FALSE, "","Enviado")</f>
        <v>Enviado</v>
      </c>
      <c r="G266" s="51" t="str">
        <f>IF(_xlfn.ISFORMULA('Previsto x realizado'!AY1310) = FALSE, "","Enviado")</f>
        <v>Enviado</v>
      </c>
      <c r="H266" s="51" t="str">
        <f>IF(_xlfn.ISFORMULA('Previsto x realizado'!AZ1310) = FALSE, "","Enviado")</f>
        <v>Enviado</v>
      </c>
      <c r="I266" s="51" t="str">
        <f>IF(_xlfn.ISFORMULA('Previsto x realizado'!BA1310) = FALSE, "","Enviado")</f>
        <v/>
      </c>
      <c r="J266" s="51" t="str">
        <f>IF(_xlfn.ISFORMULA('Previsto x realizado'!BB1310) = FALSE, "","Enviado")</f>
        <v/>
      </c>
      <c r="K266" s="51" t="str">
        <f>IF(_xlfn.ISFORMULA('Previsto x realizado'!BC1310) = FALSE, "","Enviado")</f>
        <v/>
      </c>
      <c r="L266" s="51" t="str">
        <f>IF(_xlfn.ISFORMULA('Previsto x realizado'!BD1310) = FALSE, "","Enviado")</f>
        <v/>
      </c>
      <c r="M266" s="51" t="str">
        <f>IF(_xlfn.ISFORMULA('Previsto x realizado'!BE1310) = FALSE, "","Enviado")</f>
        <v/>
      </c>
      <c r="N266" s="51" t="str">
        <f>IF(_xlfn.ISFORMULA('Previsto x realizado'!BF1310) = FALSE, "","Enviado")</f>
        <v/>
      </c>
      <c r="O266" s="51" t="str">
        <f>IF(_xlfn.ISFORMULA('Previsto x realizado'!BG1310) = FALSE, "","Enviado")</f>
        <v/>
      </c>
      <c r="P266" s="51" t="str">
        <f>IF(_xlfn.ISFORMULA('Previsto x realizado'!BH1310) = FALSE, "","Enviado")</f>
        <v/>
      </c>
    </row>
    <row r="267" spans="1:16" x14ac:dyDescent="0.3">
      <c r="A267" s="23" t="s">
        <v>134</v>
      </c>
      <c r="B267" s="4" t="s">
        <v>150</v>
      </c>
      <c r="C267" s="5" t="s">
        <v>209</v>
      </c>
      <c r="D267" s="4" t="s">
        <v>238</v>
      </c>
      <c r="E267" s="51" t="str">
        <f>IF(_xlfn.ISFORMULA('Previsto x realizado'!AW1316) = FALSE, "","Enviado")</f>
        <v>Enviado</v>
      </c>
      <c r="F267" s="51" t="str">
        <f>IF(_xlfn.ISFORMULA('Previsto x realizado'!AX1316) = FALSE, "","Enviado")</f>
        <v>Enviado</v>
      </c>
      <c r="G267" s="51" t="str">
        <f>IF(_xlfn.ISFORMULA('Previsto x realizado'!AY1316) = FALSE, "","Enviado")</f>
        <v>Enviado</v>
      </c>
      <c r="H267" s="51" t="str">
        <f>IF(_xlfn.ISFORMULA('Previsto x realizado'!AZ1316) = FALSE, "","Enviado")</f>
        <v>Enviado</v>
      </c>
      <c r="I267" s="51" t="str">
        <f>IF(_xlfn.ISFORMULA('Previsto x realizado'!BA1316) = FALSE, "","Enviado")</f>
        <v/>
      </c>
      <c r="J267" s="51" t="str">
        <f>IF(_xlfn.ISFORMULA('Previsto x realizado'!BB1316) = FALSE, "","Enviado")</f>
        <v/>
      </c>
      <c r="K267" s="51" t="str">
        <f>IF(_xlfn.ISFORMULA('Previsto x realizado'!BC1316) = FALSE, "","Enviado")</f>
        <v/>
      </c>
      <c r="L267" s="51" t="str">
        <f>IF(_xlfn.ISFORMULA('Previsto x realizado'!BD1316) = FALSE, "","Enviado")</f>
        <v/>
      </c>
      <c r="M267" s="51" t="str">
        <f>IF(_xlfn.ISFORMULA('Previsto x realizado'!BE1316) = FALSE, "","Enviado")</f>
        <v/>
      </c>
      <c r="N267" s="51" t="str">
        <f>IF(_xlfn.ISFORMULA('Previsto x realizado'!BF1316) = FALSE, "","Enviado")</f>
        <v/>
      </c>
      <c r="O267" s="51" t="str">
        <f>IF(_xlfn.ISFORMULA('Previsto x realizado'!BG1316) = FALSE, "","Enviado")</f>
        <v/>
      </c>
      <c r="P267" s="51" t="str">
        <f>IF(_xlfn.ISFORMULA('Previsto x realizado'!BH1316) = FALSE, "","Enviado")</f>
        <v/>
      </c>
    </row>
    <row r="268" spans="1:16" x14ac:dyDescent="0.3">
      <c r="A268" s="43" t="s">
        <v>134</v>
      </c>
      <c r="B268" s="15" t="s">
        <v>150</v>
      </c>
      <c r="C268" s="5" t="s">
        <v>209</v>
      </c>
      <c r="D268" s="4" t="s">
        <v>238</v>
      </c>
      <c r="E268" s="51" t="str">
        <f>IF(_xlfn.ISFORMULA('Previsto x realizado'!AW1322) = FALSE, "","Enviado")</f>
        <v>Enviado</v>
      </c>
      <c r="F268" s="51" t="str">
        <f>IF(_xlfn.ISFORMULA('Previsto x realizado'!AX1322) = FALSE, "","Enviado")</f>
        <v>Enviado</v>
      </c>
      <c r="G268" s="51" t="str">
        <f>IF(_xlfn.ISFORMULA('Previsto x realizado'!AY1322) = FALSE, "","Enviado")</f>
        <v>Enviado</v>
      </c>
      <c r="H268" s="51" t="str">
        <f>IF(_xlfn.ISFORMULA('Previsto x realizado'!AZ1322) = FALSE, "","Enviado")</f>
        <v>Enviado</v>
      </c>
      <c r="I268" s="51" t="str">
        <f>IF(_xlfn.ISFORMULA('Previsto x realizado'!BA1322) = FALSE, "","Enviado")</f>
        <v/>
      </c>
      <c r="J268" s="51" t="str">
        <f>IF(_xlfn.ISFORMULA('Previsto x realizado'!BB1322) = FALSE, "","Enviado")</f>
        <v/>
      </c>
      <c r="K268" s="51" t="str">
        <f>IF(_xlfn.ISFORMULA('Previsto x realizado'!BC1322) = FALSE, "","Enviado")</f>
        <v/>
      </c>
      <c r="L268" s="51" t="str">
        <f>IF(_xlfn.ISFORMULA('Previsto x realizado'!BD1322) = FALSE, "","Enviado")</f>
        <v/>
      </c>
      <c r="M268" s="51" t="str">
        <f>IF(_xlfn.ISFORMULA('Previsto x realizado'!BE1322) = FALSE, "","Enviado")</f>
        <v/>
      </c>
      <c r="N268" s="51" t="str">
        <f>IF(_xlfn.ISFORMULA('Previsto x realizado'!BF1322) = FALSE, "","Enviado")</f>
        <v/>
      </c>
      <c r="O268" s="51" t="str">
        <f>IF(_xlfn.ISFORMULA('Previsto x realizado'!BG1322) = FALSE, "","Enviado")</f>
        <v/>
      </c>
      <c r="P268" s="51" t="str">
        <f>IF(_xlfn.ISFORMULA('Previsto x realizado'!BH1322) = FALSE, "","Enviado")</f>
        <v/>
      </c>
    </row>
    <row r="269" spans="1:16" x14ac:dyDescent="0.3">
      <c r="A269" s="38" t="s">
        <v>134</v>
      </c>
      <c r="B269" s="4" t="s">
        <v>158</v>
      </c>
      <c r="C269" s="5" t="s">
        <v>209</v>
      </c>
      <c r="D269" s="4" t="s">
        <v>238</v>
      </c>
      <c r="E269" s="51" t="str">
        <f>IF(_xlfn.ISFORMULA('Previsto x realizado'!AW1328) = FALSE, "","Enviado")</f>
        <v>Enviado</v>
      </c>
      <c r="F269" s="51" t="str">
        <f>IF(_xlfn.ISFORMULA('Previsto x realizado'!AX1328) = FALSE, "","Enviado")</f>
        <v>Enviado</v>
      </c>
      <c r="G269" s="51" t="str">
        <f>IF(_xlfn.ISFORMULA('Previsto x realizado'!AY1328) = FALSE, "","Enviado")</f>
        <v>Enviado</v>
      </c>
      <c r="H269" s="51" t="str">
        <f>IF(_xlfn.ISFORMULA('Previsto x realizado'!AZ1328) = FALSE, "","Enviado")</f>
        <v>Enviado</v>
      </c>
      <c r="I269" s="51" t="str">
        <f>IF(_xlfn.ISFORMULA('Previsto x realizado'!BA1328) = FALSE, "","Enviado")</f>
        <v/>
      </c>
      <c r="J269" s="51" t="str">
        <f>IF(_xlfn.ISFORMULA('Previsto x realizado'!BB1328) = FALSE, "","Enviado")</f>
        <v/>
      </c>
      <c r="K269" s="51" t="str">
        <f>IF(_xlfn.ISFORMULA('Previsto x realizado'!BC1328) = FALSE, "","Enviado")</f>
        <v/>
      </c>
      <c r="L269" s="51" t="str">
        <f>IF(_xlfn.ISFORMULA('Previsto x realizado'!BD1328) = FALSE, "","Enviado")</f>
        <v/>
      </c>
      <c r="M269" s="51" t="str">
        <f>IF(_xlfn.ISFORMULA('Previsto x realizado'!BE1328) = FALSE, "","Enviado")</f>
        <v/>
      </c>
      <c r="N269" s="51" t="str">
        <f>IF(_xlfn.ISFORMULA('Previsto x realizado'!BF1328) = FALSE, "","Enviado")</f>
        <v/>
      </c>
      <c r="O269" s="51" t="str">
        <f>IF(_xlfn.ISFORMULA('Previsto x realizado'!BG1328) = FALSE, "","Enviado")</f>
        <v/>
      </c>
      <c r="P269" s="51" t="str">
        <f>IF(_xlfn.ISFORMULA('Previsto x realizado'!BH1328) = FALSE, "","Enviado")</f>
        <v/>
      </c>
    </row>
    <row r="270" spans="1:16" x14ac:dyDescent="0.3">
      <c r="A270" s="23" t="s">
        <v>134</v>
      </c>
      <c r="B270" s="4" t="s">
        <v>158</v>
      </c>
      <c r="C270" s="5" t="s">
        <v>209</v>
      </c>
      <c r="D270" s="4" t="s">
        <v>238</v>
      </c>
      <c r="E270" s="51" t="str">
        <f>IF(_xlfn.ISFORMULA('Previsto x realizado'!AW1334) = FALSE, "","Enviado")</f>
        <v>Enviado</v>
      </c>
      <c r="F270" s="51" t="str">
        <f>IF(_xlfn.ISFORMULA('Previsto x realizado'!AX1334) = FALSE, "","Enviado")</f>
        <v>Enviado</v>
      </c>
      <c r="G270" s="51" t="str">
        <f>IF(_xlfn.ISFORMULA('Previsto x realizado'!AY1334) = FALSE, "","Enviado")</f>
        <v>Enviado</v>
      </c>
      <c r="H270" s="51" t="str">
        <f>IF(_xlfn.ISFORMULA('Previsto x realizado'!AZ1334) = FALSE, "","Enviado")</f>
        <v>Enviado</v>
      </c>
      <c r="I270" s="51" t="str">
        <f>IF(_xlfn.ISFORMULA('Previsto x realizado'!BA1334) = FALSE, "","Enviado")</f>
        <v/>
      </c>
      <c r="J270" s="51" t="str">
        <f>IF(_xlfn.ISFORMULA('Previsto x realizado'!BB1334) = FALSE, "","Enviado")</f>
        <v/>
      </c>
      <c r="K270" s="51" t="str">
        <f>IF(_xlfn.ISFORMULA('Previsto x realizado'!BC1334) = FALSE, "","Enviado")</f>
        <v/>
      </c>
      <c r="L270" s="51" t="str">
        <f>IF(_xlfn.ISFORMULA('Previsto x realizado'!BD1334) = FALSE, "","Enviado")</f>
        <v/>
      </c>
      <c r="M270" s="51" t="str">
        <f>IF(_xlfn.ISFORMULA('Previsto x realizado'!BE1334) = FALSE, "","Enviado")</f>
        <v/>
      </c>
      <c r="N270" s="51" t="str">
        <f>IF(_xlfn.ISFORMULA('Previsto x realizado'!BF1334) = FALSE, "","Enviado")</f>
        <v/>
      </c>
      <c r="O270" s="51" t="str">
        <f>IF(_xlfn.ISFORMULA('Previsto x realizado'!BG1334) = FALSE, "","Enviado")</f>
        <v/>
      </c>
      <c r="P270" s="51" t="str">
        <f>IF(_xlfn.ISFORMULA('Previsto x realizado'!BH1334) = FALSE, "","Enviado")</f>
        <v/>
      </c>
    </row>
    <row r="271" spans="1:16" x14ac:dyDescent="0.3">
      <c r="A271" s="42" t="s">
        <v>134</v>
      </c>
      <c r="B271" s="4" t="s">
        <v>158</v>
      </c>
      <c r="C271" s="5" t="s">
        <v>209</v>
      </c>
      <c r="D271" s="4" t="s">
        <v>238</v>
      </c>
      <c r="E271" s="51" t="str">
        <f>IF(_xlfn.ISFORMULA('Previsto x realizado'!AW1340) = FALSE, "","Enviado")</f>
        <v>Enviado</v>
      </c>
      <c r="F271" s="51" t="str">
        <f>IF(_xlfn.ISFORMULA('Previsto x realizado'!AX1340) = FALSE, "","Enviado")</f>
        <v>Enviado</v>
      </c>
      <c r="G271" s="51" t="str">
        <f>IF(_xlfn.ISFORMULA('Previsto x realizado'!AY1340) = FALSE, "","Enviado")</f>
        <v>Enviado</v>
      </c>
      <c r="H271" s="51" t="str">
        <f>IF(_xlfn.ISFORMULA('Previsto x realizado'!AZ1340) = FALSE, "","Enviado")</f>
        <v>Enviado</v>
      </c>
      <c r="I271" s="51" t="str">
        <f>IF(_xlfn.ISFORMULA('Previsto x realizado'!BA1340) = FALSE, "","Enviado")</f>
        <v/>
      </c>
      <c r="J271" s="51" t="str">
        <f>IF(_xlfn.ISFORMULA('Previsto x realizado'!BB1340) = FALSE, "","Enviado")</f>
        <v/>
      </c>
      <c r="K271" s="51" t="str">
        <f>IF(_xlfn.ISFORMULA('Previsto x realizado'!BC1340) = FALSE, "","Enviado")</f>
        <v/>
      </c>
      <c r="L271" s="51" t="str">
        <f>IF(_xlfn.ISFORMULA('Previsto x realizado'!BD1340) = FALSE, "","Enviado")</f>
        <v/>
      </c>
      <c r="M271" s="51" t="str">
        <f>IF(_xlfn.ISFORMULA('Previsto x realizado'!BE1340) = FALSE, "","Enviado")</f>
        <v/>
      </c>
      <c r="N271" s="51" t="str">
        <f>IF(_xlfn.ISFORMULA('Previsto x realizado'!BF1340) = FALSE, "","Enviado")</f>
        <v/>
      </c>
      <c r="O271" s="51" t="str">
        <f>IF(_xlfn.ISFORMULA('Previsto x realizado'!BG1340) = FALSE, "","Enviado")</f>
        <v/>
      </c>
      <c r="P271" s="51" t="str">
        <f>IF(_xlfn.ISFORMULA('Previsto x realizado'!BH1340) = FALSE, "","Enviado")</f>
        <v/>
      </c>
    </row>
    <row r="272" spans="1:16" ht="27.6" x14ac:dyDescent="0.3">
      <c r="A272" s="23" t="s">
        <v>134</v>
      </c>
      <c r="B272" s="4" t="s">
        <v>167</v>
      </c>
      <c r="C272" s="5" t="s">
        <v>209</v>
      </c>
      <c r="D272" s="4" t="s">
        <v>267</v>
      </c>
      <c r="E272" s="51" t="str">
        <f>IF(_xlfn.ISFORMULA('Previsto x realizado'!AW1346) = FALSE, "","Enviado")</f>
        <v>Enviado</v>
      </c>
      <c r="F272" s="51" t="str">
        <f>IF(_xlfn.ISFORMULA('Previsto x realizado'!AX1346) = FALSE, "","Enviado")</f>
        <v>Enviado</v>
      </c>
      <c r="G272" s="51" t="str">
        <f>IF(_xlfn.ISFORMULA('Previsto x realizado'!AY1346) = FALSE, "","Enviado")</f>
        <v>Enviado</v>
      </c>
      <c r="H272" s="51" t="str">
        <f>IF(_xlfn.ISFORMULA('Previsto x realizado'!AZ1346) = FALSE, "","Enviado")</f>
        <v>Enviado</v>
      </c>
      <c r="I272" s="51" t="str">
        <f>IF(_xlfn.ISFORMULA('Previsto x realizado'!BA1346) = FALSE, "","Enviado")</f>
        <v/>
      </c>
      <c r="J272" s="51" t="str">
        <f>IF(_xlfn.ISFORMULA('Previsto x realizado'!BB1346) = FALSE, "","Enviado")</f>
        <v/>
      </c>
      <c r="K272" s="51" t="str">
        <f>IF(_xlfn.ISFORMULA('Previsto x realizado'!BC1346) = FALSE, "","Enviado")</f>
        <v/>
      </c>
      <c r="L272" s="51" t="str">
        <f>IF(_xlfn.ISFORMULA('Previsto x realizado'!BD1346) = FALSE, "","Enviado")</f>
        <v/>
      </c>
      <c r="M272" s="51" t="str">
        <f>IF(_xlfn.ISFORMULA('Previsto x realizado'!BE1346) = FALSE, "","Enviado")</f>
        <v/>
      </c>
      <c r="N272" s="51" t="str">
        <f>IF(_xlfn.ISFORMULA('Previsto x realizado'!BF1346) = FALSE, "","Enviado")</f>
        <v/>
      </c>
      <c r="O272" s="51" t="str">
        <f>IF(_xlfn.ISFORMULA('Previsto x realizado'!BG1346) = FALSE, "","Enviado")</f>
        <v/>
      </c>
      <c r="P272" s="51" t="str">
        <f>IF(_xlfn.ISFORMULA('Previsto x realizado'!BH1346) = FALSE, "","Enviado")</f>
        <v/>
      </c>
    </row>
    <row r="273" spans="1:16" ht="27.6" x14ac:dyDescent="0.3">
      <c r="A273" s="23" t="s">
        <v>134</v>
      </c>
      <c r="B273" s="4" t="s">
        <v>167</v>
      </c>
      <c r="C273" s="5" t="s">
        <v>209</v>
      </c>
      <c r="D273" s="4" t="s">
        <v>267</v>
      </c>
      <c r="E273" s="51" t="str">
        <f>IF(_xlfn.ISFORMULA('Previsto x realizado'!AW1352) = FALSE, "","Enviado")</f>
        <v>Enviado</v>
      </c>
      <c r="F273" s="51" t="str">
        <f>IF(_xlfn.ISFORMULA('Previsto x realizado'!AX1352) = FALSE, "","Enviado")</f>
        <v>Enviado</v>
      </c>
      <c r="G273" s="51" t="str">
        <f>IF(_xlfn.ISFORMULA('Previsto x realizado'!AY1352) = FALSE, "","Enviado")</f>
        <v>Enviado</v>
      </c>
      <c r="H273" s="51" t="str">
        <f>IF(_xlfn.ISFORMULA('Previsto x realizado'!AZ1352) = FALSE, "","Enviado")</f>
        <v>Enviado</v>
      </c>
      <c r="I273" s="51" t="str">
        <f>IF(_xlfn.ISFORMULA('Previsto x realizado'!BA1352) = FALSE, "","Enviado")</f>
        <v/>
      </c>
      <c r="J273" s="51" t="str">
        <f>IF(_xlfn.ISFORMULA('Previsto x realizado'!BB1352) = FALSE, "","Enviado")</f>
        <v/>
      </c>
      <c r="K273" s="51" t="str">
        <f>IF(_xlfn.ISFORMULA('Previsto x realizado'!BC1352) = FALSE, "","Enviado")</f>
        <v/>
      </c>
      <c r="L273" s="51" t="str">
        <f>IF(_xlfn.ISFORMULA('Previsto x realizado'!BD1352) = FALSE, "","Enviado")</f>
        <v/>
      </c>
      <c r="M273" s="51" t="str">
        <f>IF(_xlfn.ISFORMULA('Previsto x realizado'!BE1352) = FALSE, "","Enviado")</f>
        <v/>
      </c>
      <c r="N273" s="51" t="str">
        <f>IF(_xlfn.ISFORMULA('Previsto x realizado'!BF1352) = FALSE, "","Enviado")</f>
        <v/>
      </c>
      <c r="O273" s="51" t="str">
        <f>IF(_xlfn.ISFORMULA('Previsto x realizado'!BG1352) = FALSE, "","Enviado")</f>
        <v/>
      </c>
      <c r="P273" s="51" t="str">
        <f>IF(_xlfn.ISFORMULA('Previsto x realizado'!BH1352) = FALSE, "","Enviado")</f>
        <v/>
      </c>
    </row>
    <row r="274" spans="1:16" ht="27.6" x14ac:dyDescent="0.3">
      <c r="A274" s="23" t="s">
        <v>134</v>
      </c>
      <c r="B274" s="4" t="s">
        <v>174</v>
      </c>
      <c r="C274" s="5" t="s">
        <v>209</v>
      </c>
      <c r="D274" s="4" t="s">
        <v>267</v>
      </c>
      <c r="E274" s="51" t="str">
        <f>IF(_xlfn.ISFORMULA('Previsto x realizado'!AW1358) = FALSE, "","Enviado")</f>
        <v>Enviado</v>
      </c>
      <c r="F274" s="51" t="str">
        <f>IF(_xlfn.ISFORMULA('Previsto x realizado'!AX1358) = FALSE, "","Enviado")</f>
        <v>Enviado</v>
      </c>
      <c r="G274" s="51" t="str">
        <f>IF(_xlfn.ISFORMULA('Previsto x realizado'!AY1358) = FALSE, "","Enviado")</f>
        <v>Enviado</v>
      </c>
      <c r="H274" s="51" t="str">
        <f>IF(_xlfn.ISFORMULA('Previsto x realizado'!AZ1358) = FALSE, "","Enviado")</f>
        <v>Enviado</v>
      </c>
      <c r="I274" s="51" t="str">
        <f>IF(_xlfn.ISFORMULA('Previsto x realizado'!BA1358) = FALSE, "","Enviado")</f>
        <v/>
      </c>
      <c r="J274" s="51" t="str">
        <f>IF(_xlfn.ISFORMULA('Previsto x realizado'!BB1358) = FALSE, "","Enviado")</f>
        <v/>
      </c>
      <c r="K274" s="51" t="str">
        <f>IF(_xlfn.ISFORMULA('Previsto x realizado'!BC1358) = FALSE, "","Enviado")</f>
        <v/>
      </c>
      <c r="L274" s="51" t="str">
        <f>IF(_xlfn.ISFORMULA('Previsto x realizado'!BD1358) = FALSE, "","Enviado")</f>
        <v/>
      </c>
      <c r="M274" s="51" t="str">
        <f>IF(_xlfn.ISFORMULA('Previsto x realizado'!BE1358) = FALSE, "","Enviado")</f>
        <v/>
      </c>
      <c r="N274" s="51" t="str">
        <f>IF(_xlfn.ISFORMULA('Previsto x realizado'!BF1358) = FALSE, "","Enviado")</f>
        <v/>
      </c>
      <c r="O274" s="51" t="str">
        <f>IF(_xlfn.ISFORMULA('Previsto x realizado'!BG1358) = FALSE, "","Enviado")</f>
        <v/>
      </c>
      <c r="P274" s="51" t="str">
        <f>IF(_xlfn.ISFORMULA('Previsto x realizado'!BH1358) = FALSE, "","Enviado")</f>
        <v/>
      </c>
    </row>
    <row r="275" spans="1:16" ht="27.6" x14ac:dyDescent="0.3">
      <c r="A275" s="23" t="s">
        <v>134</v>
      </c>
      <c r="B275" s="4" t="s">
        <v>174</v>
      </c>
      <c r="C275" s="5" t="s">
        <v>209</v>
      </c>
      <c r="D275" s="4" t="s">
        <v>267</v>
      </c>
      <c r="E275" s="51" t="str">
        <f>IF(_xlfn.ISFORMULA('Previsto x realizado'!AW1369) = FALSE, "","Enviado")</f>
        <v>Enviado</v>
      </c>
      <c r="F275" s="51" t="str">
        <f>IF(_xlfn.ISFORMULA('Previsto x realizado'!AX1369) = FALSE, "","Enviado")</f>
        <v>Enviado</v>
      </c>
      <c r="G275" s="51" t="str">
        <f>IF(_xlfn.ISFORMULA('Previsto x realizado'!AY1369) = FALSE, "","Enviado")</f>
        <v>Enviado</v>
      </c>
      <c r="H275" s="51" t="str">
        <f>IF(_xlfn.ISFORMULA('Previsto x realizado'!AZ1369) = FALSE, "","Enviado")</f>
        <v>Enviado</v>
      </c>
      <c r="I275" s="51" t="str">
        <f>IF(_xlfn.ISFORMULA('Previsto x realizado'!BA1369) = FALSE, "","Enviado")</f>
        <v/>
      </c>
      <c r="J275" s="51" t="str">
        <f>IF(_xlfn.ISFORMULA('Previsto x realizado'!BB1369) = FALSE, "","Enviado")</f>
        <v/>
      </c>
      <c r="K275" s="51" t="str">
        <f>IF(_xlfn.ISFORMULA('Previsto x realizado'!BC1369) = FALSE, "","Enviado")</f>
        <v/>
      </c>
      <c r="L275" s="51" t="str">
        <f>IF(_xlfn.ISFORMULA('Previsto x realizado'!BD1369) = FALSE, "","Enviado")</f>
        <v/>
      </c>
      <c r="M275" s="51" t="str">
        <f>IF(_xlfn.ISFORMULA('Previsto x realizado'!BE1369) = FALSE, "","Enviado")</f>
        <v/>
      </c>
      <c r="N275" s="51" t="str">
        <f>IF(_xlfn.ISFORMULA('Previsto x realizado'!BF1369) = FALSE, "","Enviado")</f>
        <v/>
      </c>
      <c r="O275" s="51" t="str">
        <f>IF(_xlfn.ISFORMULA('Previsto x realizado'!BG1369) = FALSE, "","Enviado")</f>
        <v/>
      </c>
      <c r="P275" s="51" t="str">
        <f>IF(_xlfn.ISFORMULA('Previsto x realizado'!BH1369) = FALSE, "","Enviado")</f>
        <v/>
      </c>
    </row>
    <row r="276" spans="1:16" ht="27.6" x14ac:dyDescent="0.3">
      <c r="A276" s="33" t="s">
        <v>175</v>
      </c>
      <c r="B276" s="4" t="s">
        <v>176</v>
      </c>
      <c r="C276" s="5" t="s">
        <v>209</v>
      </c>
      <c r="D276" s="4" t="s">
        <v>267</v>
      </c>
      <c r="E276" s="51" t="str">
        <f>IF(_xlfn.ISFORMULA('Previsto x realizado'!AW1370) = FALSE, "","Enviado")</f>
        <v>Enviado</v>
      </c>
      <c r="F276" s="51" t="str">
        <f>IF(_xlfn.ISFORMULA('Previsto x realizado'!AX1370) = FALSE, "","Enviado")</f>
        <v>Enviado</v>
      </c>
      <c r="G276" s="51" t="str">
        <f>IF(_xlfn.ISFORMULA('Previsto x realizado'!AY1370) = FALSE, "","Enviado")</f>
        <v>Enviado</v>
      </c>
      <c r="H276" s="51" t="str">
        <f>IF(_xlfn.ISFORMULA('Previsto x realizado'!AZ1370) = FALSE, "","Enviado")</f>
        <v>Enviado</v>
      </c>
      <c r="I276" s="51" t="str">
        <f>IF(_xlfn.ISFORMULA('Previsto x realizado'!BA1370) = FALSE, "","Enviado")</f>
        <v/>
      </c>
      <c r="J276" s="51" t="str">
        <f>IF(_xlfn.ISFORMULA('Previsto x realizado'!BB1370) = FALSE, "","Enviado")</f>
        <v/>
      </c>
      <c r="K276" s="51" t="str">
        <f>IF(_xlfn.ISFORMULA('Previsto x realizado'!BC1370) = FALSE, "","Enviado")</f>
        <v/>
      </c>
      <c r="L276" s="51" t="str">
        <f>IF(_xlfn.ISFORMULA('Previsto x realizado'!BD1370) = FALSE, "","Enviado")</f>
        <v/>
      </c>
      <c r="M276" s="51" t="str">
        <f>IF(_xlfn.ISFORMULA('Previsto x realizado'!BE1370) = FALSE, "","Enviado")</f>
        <v/>
      </c>
      <c r="N276" s="51" t="str">
        <f>IF(_xlfn.ISFORMULA('Previsto x realizado'!BF1370) = FALSE, "","Enviado")</f>
        <v/>
      </c>
      <c r="O276" s="51" t="str">
        <f>IF(_xlfn.ISFORMULA('Previsto x realizado'!BG1370) = FALSE, "","Enviado")</f>
        <v/>
      </c>
      <c r="P276" s="51" t="str">
        <f>IF(_xlfn.ISFORMULA('Previsto x realizado'!BH1370) = FALSE, "","Enviado")</f>
        <v/>
      </c>
    </row>
    <row r="277" spans="1:16" ht="27.6" x14ac:dyDescent="0.3">
      <c r="A277" s="44" t="s">
        <v>175</v>
      </c>
      <c r="B277" s="4" t="s">
        <v>176</v>
      </c>
      <c r="C277" s="5" t="s">
        <v>209</v>
      </c>
      <c r="D277" s="4" t="s">
        <v>267</v>
      </c>
      <c r="E277" s="51" t="str">
        <f>IF(_xlfn.ISFORMULA('Previsto x realizado'!AW1376) = FALSE, "","Enviado")</f>
        <v>Enviado</v>
      </c>
      <c r="F277" s="51" t="str">
        <f>IF(_xlfn.ISFORMULA('Previsto x realizado'!AX1376) = FALSE, "","Enviado")</f>
        <v>Enviado</v>
      </c>
      <c r="G277" s="51" t="str">
        <f>IF(_xlfn.ISFORMULA('Previsto x realizado'!AY1376) = FALSE, "","Enviado")</f>
        <v>Enviado</v>
      </c>
      <c r="H277" s="51" t="str">
        <f>IF(_xlfn.ISFORMULA('Previsto x realizado'!AZ1376) = FALSE, "","Enviado")</f>
        <v>Enviado</v>
      </c>
      <c r="I277" s="51" t="str">
        <f>IF(_xlfn.ISFORMULA('Previsto x realizado'!BA1376) = FALSE, "","Enviado")</f>
        <v/>
      </c>
      <c r="J277" s="51" t="str">
        <f>IF(_xlfn.ISFORMULA('Previsto x realizado'!BB1376) = FALSE, "","Enviado")</f>
        <v/>
      </c>
      <c r="K277" s="51" t="str">
        <f>IF(_xlfn.ISFORMULA('Previsto x realizado'!BC1376) = FALSE, "","Enviado")</f>
        <v/>
      </c>
      <c r="L277" s="51" t="str">
        <f>IF(_xlfn.ISFORMULA('Previsto x realizado'!BD1376) = FALSE, "","Enviado")</f>
        <v/>
      </c>
      <c r="M277" s="51" t="str">
        <f>IF(_xlfn.ISFORMULA('Previsto x realizado'!BE1376) = FALSE, "","Enviado")</f>
        <v/>
      </c>
      <c r="N277" s="51" t="str">
        <f>IF(_xlfn.ISFORMULA('Previsto x realizado'!BF1376) = FALSE, "","Enviado")</f>
        <v/>
      </c>
      <c r="O277" s="51" t="str">
        <f>IF(_xlfn.ISFORMULA('Previsto x realizado'!BG1376) = FALSE, "","Enviado")</f>
        <v/>
      </c>
      <c r="P277" s="51" t="str">
        <f>IF(_xlfn.ISFORMULA('Previsto x realizado'!BH1376) = FALSE, "","Enviado")</f>
        <v/>
      </c>
    </row>
    <row r="278" spans="1:16" ht="27.6" x14ac:dyDescent="0.3">
      <c r="A278" s="44" t="s">
        <v>175</v>
      </c>
      <c r="B278" s="4" t="s">
        <v>176</v>
      </c>
      <c r="C278" s="5" t="s">
        <v>209</v>
      </c>
      <c r="D278" s="4" t="s">
        <v>267</v>
      </c>
      <c r="E278" s="51" t="str">
        <f>IF(_xlfn.ISFORMULA('Previsto x realizado'!AW1382) = FALSE, "","Enviado")</f>
        <v>Enviado</v>
      </c>
      <c r="F278" s="51" t="str">
        <f>IF(_xlfn.ISFORMULA('Previsto x realizado'!AX1382) = FALSE, "","Enviado")</f>
        <v>Enviado</v>
      </c>
      <c r="G278" s="51" t="str">
        <f>IF(_xlfn.ISFORMULA('Previsto x realizado'!AY1382) = FALSE, "","Enviado")</f>
        <v>Enviado</v>
      </c>
      <c r="H278" s="51" t="str">
        <f>IF(_xlfn.ISFORMULA('Previsto x realizado'!AZ1382) = FALSE, "","Enviado")</f>
        <v>Enviado</v>
      </c>
      <c r="I278" s="51" t="str">
        <f>IF(_xlfn.ISFORMULA('Previsto x realizado'!BA1382) = FALSE, "","Enviado")</f>
        <v/>
      </c>
      <c r="J278" s="51" t="str">
        <f>IF(_xlfn.ISFORMULA('Previsto x realizado'!BB1382) = FALSE, "","Enviado")</f>
        <v/>
      </c>
      <c r="K278" s="51" t="str">
        <f>IF(_xlfn.ISFORMULA('Previsto x realizado'!BC1382) = FALSE, "","Enviado")</f>
        <v/>
      </c>
      <c r="L278" s="51" t="str">
        <f>IF(_xlfn.ISFORMULA('Previsto x realizado'!BD1382) = FALSE, "","Enviado")</f>
        <v/>
      </c>
      <c r="M278" s="51" t="str">
        <f>IF(_xlfn.ISFORMULA('Previsto x realizado'!BE1382) = FALSE, "","Enviado")</f>
        <v/>
      </c>
      <c r="N278" s="51" t="str">
        <f>IF(_xlfn.ISFORMULA('Previsto x realizado'!BF1382) = FALSE, "","Enviado")</f>
        <v/>
      </c>
      <c r="O278" s="51" t="str">
        <f>IF(_xlfn.ISFORMULA('Previsto x realizado'!BG1382) = FALSE, "","Enviado")</f>
        <v/>
      </c>
      <c r="P278" s="51" t="str">
        <f>IF(_xlfn.ISFORMULA('Previsto x realizado'!BH1382) = FALSE, "","Enviado")</f>
        <v/>
      </c>
    </row>
    <row r="279" spans="1:16" ht="27.6" x14ac:dyDescent="0.3">
      <c r="A279" s="33" t="s">
        <v>175</v>
      </c>
      <c r="B279" s="4" t="s">
        <v>184</v>
      </c>
      <c r="C279" s="5" t="s">
        <v>209</v>
      </c>
      <c r="D279" s="4" t="s">
        <v>267</v>
      </c>
      <c r="E279" s="51" t="str">
        <f>IF(_xlfn.ISFORMULA('Previsto x realizado'!AW1388) = FALSE, "","Enviado")</f>
        <v>Enviado</v>
      </c>
      <c r="F279" s="51" t="str">
        <f>IF(_xlfn.ISFORMULA('Previsto x realizado'!AX1388) = FALSE, "","Enviado")</f>
        <v>Enviado</v>
      </c>
      <c r="G279" s="51" t="str">
        <f>IF(_xlfn.ISFORMULA('Previsto x realizado'!AY1388) = FALSE, "","Enviado")</f>
        <v>Enviado</v>
      </c>
      <c r="H279" s="51" t="str">
        <f>IF(_xlfn.ISFORMULA('Previsto x realizado'!AZ1388) = FALSE, "","Enviado")</f>
        <v>Enviado</v>
      </c>
      <c r="I279" s="51" t="str">
        <f>IF(_xlfn.ISFORMULA('Previsto x realizado'!BA1388) = FALSE, "","Enviado")</f>
        <v/>
      </c>
      <c r="J279" s="51" t="str">
        <f>IF(_xlfn.ISFORMULA('Previsto x realizado'!BB1388) = FALSE, "","Enviado")</f>
        <v/>
      </c>
      <c r="K279" s="51" t="str">
        <f>IF(_xlfn.ISFORMULA('Previsto x realizado'!BC1388) = FALSE, "","Enviado")</f>
        <v/>
      </c>
      <c r="L279" s="51" t="str">
        <f>IF(_xlfn.ISFORMULA('Previsto x realizado'!BD1388) = FALSE, "","Enviado")</f>
        <v/>
      </c>
      <c r="M279" s="51" t="str">
        <f>IF(_xlfn.ISFORMULA('Previsto x realizado'!BE1388) = FALSE, "","Enviado")</f>
        <v/>
      </c>
      <c r="N279" s="51" t="str">
        <f>IF(_xlfn.ISFORMULA('Previsto x realizado'!BF1388) = FALSE, "","Enviado")</f>
        <v/>
      </c>
      <c r="O279" s="51" t="str">
        <f>IF(_xlfn.ISFORMULA('Previsto x realizado'!BG1388) = FALSE, "","Enviado")</f>
        <v/>
      </c>
      <c r="P279" s="51" t="str">
        <f>IF(_xlfn.ISFORMULA('Previsto x realizado'!BH1388) = FALSE, "","Enviado")</f>
        <v/>
      </c>
    </row>
    <row r="280" spans="1:16" ht="27.6" x14ac:dyDescent="0.3">
      <c r="A280" s="44" t="s">
        <v>175</v>
      </c>
      <c r="B280" s="4" t="s">
        <v>184</v>
      </c>
      <c r="C280" s="5" t="s">
        <v>209</v>
      </c>
      <c r="D280" s="4" t="s">
        <v>267</v>
      </c>
      <c r="E280" s="51" t="str">
        <f>IF(_xlfn.ISFORMULA('Previsto x realizado'!AW1394) = FALSE, "","Enviado")</f>
        <v>Enviado</v>
      </c>
      <c r="F280" s="51" t="str">
        <f>IF(_xlfn.ISFORMULA('Previsto x realizado'!AX1394) = FALSE, "","Enviado")</f>
        <v>Enviado</v>
      </c>
      <c r="G280" s="51" t="str">
        <f>IF(_xlfn.ISFORMULA('Previsto x realizado'!AY1394) = FALSE, "","Enviado")</f>
        <v>Enviado</v>
      </c>
      <c r="H280" s="51" t="str">
        <f>IF(_xlfn.ISFORMULA('Previsto x realizado'!AZ1394) = FALSE, "","Enviado")</f>
        <v>Enviado</v>
      </c>
      <c r="I280" s="51" t="str">
        <f>IF(_xlfn.ISFORMULA('Previsto x realizado'!BA1394) = FALSE, "","Enviado")</f>
        <v/>
      </c>
      <c r="J280" s="51" t="str">
        <f>IF(_xlfn.ISFORMULA('Previsto x realizado'!BB1394) = FALSE, "","Enviado")</f>
        <v/>
      </c>
      <c r="K280" s="51" t="str">
        <f>IF(_xlfn.ISFORMULA('Previsto x realizado'!BC1394) = FALSE, "","Enviado")</f>
        <v/>
      </c>
      <c r="L280" s="51" t="str">
        <f>IF(_xlfn.ISFORMULA('Previsto x realizado'!BD1394) = FALSE, "","Enviado")</f>
        <v/>
      </c>
      <c r="M280" s="51" t="str">
        <f>IF(_xlfn.ISFORMULA('Previsto x realizado'!BE1394) = FALSE, "","Enviado")</f>
        <v/>
      </c>
      <c r="N280" s="51" t="str">
        <f>IF(_xlfn.ISFORMULA('Previsto x realizado'!BF1394) = FALSE, "","Enviado")</f>
        <v/>
      </c>
      <c r="O280" s="51" t="str">
        <f>IF(_xlfn.ISFORMULA('Previsto x realizado'!BG1394) = FALSE, "","Enviado")</f>
        <v/>
      </c>
      <c r="P280" s="51" t="str">
        <f>IF(_xlfn.ISFORMULA('Previsto x realizado'!BH1394) = FALSE, "","Enviado")</f>
        <v/>
      </c>
    </row>
    <row r="281" spans="1:16" ht="27.6" x14ac:dyDescent="0.3">
      <c r="A281" s="44" t="s">
        <v>175</v>
      </c>
      <c r="B281" s="4" t="s">
        <v>184</v>
      </c>
      <c r="C281" s="5" t="s">
        <v>209</v>
      </c>
      <c r="D281" s="4" t="s">
        <v>267</v>
      </c>
      <c r="E281" s="51" t="str">
        <f>IF(_xlfn.ISFORMULA('Previsto x realizado'!AW1400) = FALSE, "","Enviado")</f>
        <v>Enviado</v>
      </c>
      <c r="F281" s="51" t="str">
        <f>IF(_xlfn.ISFORMULA('Previsto x realizado'!AX1400) = FALSE, "","Enviado")</f>
        <v>Enviado</v>
      </c>
      <c r="G281" s="51" t="str">
        <f>IF(_xlfn.ISFORMULA('Previsto x realizado'!AY1400) = FALSE, "","Enviado")</f>
        <v>Enviado</v>
      </c>
      <c r="H281" s="51" t="str">
        <f>IF(_xlfn.ISFORMULA('Previsto x realizado'!AZ1400) = FALSE, "","Enviado")</f>
        <v>Enviado</v>
      </c>
      <c r="I281" s="51" t="str">
        <f>IF(_xlfn.ISFORMULA('Previsto x realizado'!BA1400) = FALSE, "","Enviado")</f>
        <v/>
      </c>
      <c r="J281" s="51" t="str">
        <f>IF(_xlfn.ISFORMULA('Previsto x realizado'!BB1400) = FALSE, "","Enviado")</f>
        <v/>
      </c>
      <c r="K281" s="51" t="str">
        <f>IF(_xlfn.ISFORMULA('Previsto x realizado'!BC1400) = FALSE, "","Enviado")</f>
        <v/>
      </c>
      <c r="L281" s="51" t="str">
        <f>IF(_xlfn.ISFORMULA('Previsto x realizado'!BD1400) = FALSE, "","Enviado")</f>
        <v/>
      </c>
      <c r="M281" s="51" t="str">
        <f>IF(_xlfn.ISFORMULA('Previsto x realizado'!BE1400) = FALSE, "","Enviado")</f>
        <v/>
      </c>
      <c r="N281" s="51" t="str">
        <f>IF(_xlfn.ISFORMULA('Previsto x realizado'!BF1400) = FALSE, "","Enviado")</f>
        <v/>
      </c>
      <c r="O281" s="51" t="str">
        <f>IF(_xlfn.ISFORMULA('Previsto x realizado'!BG1400) = FALSE, "","Enviado")</f>
        <v/>
      </c>
      <c r="P281" s="51" t="str">
        <f>IF(_xlfn.ISFORMULA('Previsto x realizado'!BH1400) = FALSE, "","Enviado")</f>
        <v/>
      </c>
    </row>
    <row r="282" spans="1:16" ht="27.6" x14ac:dyDescent="0.3">
      <c r="A282" s="33" t="s">
        <v>175</v>
      </c>
      <c r="B282" s="4" t="s">
        <v>187</v>
      </c>
      <c r="C282" s="5" t="s">
        <v>209</v>
      </c>
      <c r="D282" s="4" t="s">
        <v>267</v>
      </c>
      <c r="E282" s="51" t="str">
        <f>IF(_xlfn.ISFORMULA('Previsto x realizado'!AW1406) = FALSE, "","Enviado")</f>
        <v/>
      </c>
      <c r="F282" s="51" t="str">
        <f>IF(_xlfn.ISFORMULA('Previsto x realizado'!AX1406) = FALSE, "","Enviado")</f>
        <v/>
      </c>
      <c r="G282" s="51" t="str">
        <f>IF(_xlfn.ISFORMULA('Previsto x realizado'!AY1406) = FALSE, "","Enviado")</f>
        <v/>
      </c>
      <c r="H282" s="51" t="str">
        <f>IF(_xlfn.ISFORMULA('Previsto x realizado'!AZ1406) = FALSE, "","Enviado")</f>
        <v/>
      </c>
      <c r="I282" s="51" t="str">
        <f>IF(_xlfn.ISFORMULA('Previsto x realizado'!BA1406) = FALSE, "","Enviado")</f>
        <v/>
      </c>
      <c r="J282" s="51" t="str">
        <f>IF(_xlfn.ISFORMULA('Previsto x realizado'!BB1406) = FALSE, "","Enviado")</f>
        <v/>
      </c>
      <c r="K282" s="51" t="str">
        <f>IF(_xlfn.ISFORMULA('Previsto x realizado'!BC1406) = FALSE, "","Enviado")</f>
        <v/>
      </c>
      <c r="L282" s="51" t="str">
        <f>IF(_xlfn.ISFORMULA('Previsto x realizado'!BD1406) = FALSE, "","Enviado")</f>
        <v/>
      </c>
      <c r="M282" s="51" t="str">
        <f>IF(_xlfn.ISFORMULA('Previsto x realizado'!BE1406) = FALSE, "","Enviado")</f>
        <v/>
      </c>
      <c r="N282" s="51" t="str">
        <f>IF(_xlfn.ISFORMULA('Previsto x realizado'!BF1406) = FALSE, "","Enviado")</f>
        <v/>
      </c>
      <c r="O282" s="51" t="str">
        <f>IF(_xlfn.ISFORMULA('Previsto x realizado'!BG1406) = FALSE, "","Enviado")</f>
        <v/>
      </c>
      <c r="P282" s="51" t="str">
        <f>IF(_xlfn.ISFORMULA('Previsto x realizado'!BH1406) = FALSE, "","Enviado")</f>
        <v/>
      </c>
    </row>
    <row r="283" spans="1:16" ht="27.6" x14ac:dyDescent="0.3">
      <c r="A283" s="44" t="s">
        <v>175</v>
      </c>
      <c r="B283" s="4" t="s">
        <v>187</v>
      </c>
      <c r="C283" s="5" t="s">
        <v>209</v>
      </c>
      <c r="D283" s="4" t="s">
        <v>267</v>
      </c>
      <c r="E283" s="51" t="str">
        <f>IF(_xlfn.ISFORMULA('Previsto x realizado'!AW1412) = FALSE, "","Enviado")</f>
        <v>Enviado</v>
      </c>
      <c r="F283" s="51" t="str">
        <f>IF(_xlfn.ISFORMULA('Previsto x realizado'!AX1412) = FALSE, "","Enviado")</f>
        <v/>
      </c>
      <c r="G283" s="51" t="str">
        <f>IF(_xlfn.ISFORMULA('Previsto x realizado'!AY1412) = FALSE, "","Enviado")</f>
        <v/>
      </c>
      <c r="H283" s="51" t="str">
        <f>IF(_xlfn.ISFORMULA('Previsto x realizado'!AZ1412) = FALSE, "","Enviado")</f>
        <v/>
      </c>
      <c r="I283" s="51" t="str">
        <f>IF(_xlfn.ISFORMULA('Previsto x realizado'!BA1412) = FALSE, "","Enviado")</f>
        <v/>
      </c>
      <c r="J283" s="51" t="str">
        <f>IF(_xlfn.ISFORMULA('Previsto x realizado'!BB1412) = FALSE, "","Enviado")</f>
        <v/>
      </c>
      <c r="K283" s="51" t="str">
        <f>IF(_xlfn.ISFORMULA('Previsto x realizado'!BC1412) = FALSE, "","Enviado")</f>
        <v/>
      </c>
      <c r="L283" s="51" t="str">
        <f>IF(_xlfn.ISFORMULA('Previsto x realizado'!BD1412) = FALSE, "","Enviado")</f>
        <v/>
      </c>
      <c r="M283" s="51" t="str">
        <f>IF(_xlfn.ISFORMULA('Previsto x realizado'!BE1412) = FALSE, "","Enviado")</f>
        <v/>
      </c>
      <c r="N283" s="51" t="str">
        <f>IF(_xlfn.ISFORMULA('Previsto x realizado'!BF1412) = FALSE, "","Enviado")</f>
        <v/>
      </c>
      <c r="O283" s="51" t="str">
        <f>IF(_xlfn.ISFORMULA('Previsto x realizado'!BG1412) = FALSE, "","Enviado")</f>
        <v/>
      </c>
      <c r="P283" s="51" t="str">
        <f>IF(_xlfn.ISFORMULA('Previsto x realizado'!BH1412) = FALSE, "","Enviado")</f>
        <v/>
      </c>
    </row>
    <row r="284" spans="1:16" ht="27.6" x14ac:dyDescent="0.3">
      <c r="A284" s="44" t="s">
        <v>175</v>
      </c>
      <c r="B284" s="4" t="s">
        <v>187</v>
      </c>
      <c r="C284" s="5" t="s">
        <v>209</v>
      </c>
      <c r="D284" s="4" t="s">
        <v>267</v>
      </c>
      <c r="E284" s="51" t="str">
        <f>IF(_xlfn.ISFORMULA('Previsto x realizado'!AW1418) = FALSE, "","Enviado")</f>
        <v>Enviado</v>
      </c>
      <c r="F284" s="51" t="str">
        <f>IF(_xlfn.ISFORMULA('Previsto x realizado'!AX1418) = FALSE, "","Enviado")</f>
        <v/>
      </c>
      <c r="G284" s="51" t="str">
        <f>IF(_xlfn.ISFORMULA('Previsto x realizado'!AY1418) = FALSE, "","Enviado")</f>
        <v/>
      </c>
      <c r="H284" s="51" t="str">
        <f>IF(_xlfn.ISFORMULA('Previsto x realizado'!AZ1418) = FALSE, "","Enviado")</f>
        <v/>
      </c>
      <c r="I284" s="51" t="str">
        <f>IF(_xlfn.ISFORMULA('Previsto x realizado'!BA1418) = FALSE, "","Enviado")</f>
        <v/>
      </c>
      <c r="J284" s="51" t="str">
        <f>IF(_xlfn.ISFORMULA('Previsto x realizado'!BB1418) = FALSE, "","Enviado")</f>
        <v/>
      </c>
      <c r="K284" s="51" t="str">
        <f>IF(_xlfn.ISFORMULA('Previsto x realizado'!BC1418) = FALSE, "","Enviado")</f>
        <v/>
      </c>
      <c r="L284" s="51" t="str">
        <f>IF(_xlfn.ISFORMULA('Previsto x realizado'!BD1418) = FALSE, "","Enviado")</f>
        <v/>
      </c>
      <c r="M284" s="51" t="str">
        <f>IF(_xlfn.ISFORMULA('Previsto x realizado'!BE1418) = FALSE, "","Enviado")</f>
        <v/>
      </c>
      <c r="N284" s="51" t="str">
        <f>IF(_xlfn.ISFORMULA('Previsto x realizado'!BF1418) = FALSE, "","Enviado")</f>
        <v/>
      </c>
      <c r="O284" s="51" t="str">
        <f>IF(_xlfn.ISFORMULA('Previsto x realizado'!BG1418) = FALSE, "","Enviado")</f>
        <v/>
      </c>
      <c r="P284" s="51" t="str">
        <f>IF(_xlfn.ISFORMULA('Previsto x realizado'!BH1418) = FALSE, "","Enviado")</f>
        <v/>
      </c>
    </row>
    <row r="285" spans="1:16" ht="27.6" x14ac:dyDescent="0.3">
      <c r="A285" s="33" t="s">
        <v>175</v>
      </c>
      <c r="B285" s="4" t="s">
        <v>194</v>
      </c>
      <c r="C285" s="5" t="s">
        <v>209</v>
      </c>
      <c r="D285" s="4" t="s">
        <v>267</v>
      </c>
      <c r="E285" s="51" t="str">
        <f>IF(_xlfn.ISFORMULA('Previsto x realizado'!AW1424) = FALSE, "","Enviado")</f>
        <v/>
      </c>
      <c r="F285" s="51" t="str">
        <f>IF(_xlfn.ISFORMULA('Previsto x realizado'!AX1424) = FALSE, "","Enviado")</f>
        <v/>
      </c>
      <c r="G285" s="51" t="str">
        <f>IF(_xlfn.ISFORMULA('Previsto x realizado'!AY1424) = FALSE, "","Enviado")</f>
        <v/>
      </c>
      <c r="H285" s="51" t="str">
        <f>IF(_xlfn.ISFORMULA('Previsto x realizado'!AZ1424) = FALSE, "","Enviado")</f>
        <v/>
      </c>
      <c r="I285" s="51" t="str">
        <f>IF(_xlfn.ISFORMULA('Previsto x realizado'!BA1424) = FALSE, "","Enviado")</f>
        <v/>
      </c>
      <c r="J285" s="51" t="str">
        <f>IF(_xlfn.ISFORMULA('Previsto x realizado'!BB1424) = FALSE, "","Enviado")</f>
        <v/>
      </c>
      <c r="K285" s="51" t="str">
        <f>IF(_xlfn.ISFORMULA('Previsto x realizado'!BC1424) = FALSE, "","Enviado")</f>
        <v/>
      </c>
      <c r="L285" s="51" t="str">
        <f>IF(_xlfn.ISFORMULA('Previsto x realizado'!BD1424) = FALSE, "","Enviado")</f>
        <v/>
      </c>
      <c r="M285" s="51" t="str">
        <f>IF(_xlfn.ISFORMULA('Previsto x realizado'!BE1424) = FALSE, "","Enviado")</f>
        <v/>
      </c>
      <c r="N285" s="51" t="str">
        <f>IF(_xlfn.ISFORMULA('Previsto x realizado'!BF1424) = FALSE, "","Enviado")</f>
        <v/>
      </c>
      <c r="O285" s="51" t="str">
        <f>IF(_xlfn.ISFORMULA('Previsto x realizado'!BG1424) = FALSE, "","Enviado")</f>
        <v/>
      </c>
      <c r="P285" s="51" t="str">
        <f>IF(_xlfn.ISFORMULA('Previsto x realizado'!BH1424) = FALSE, "","Enviado")</f>
        <v/>
      </c>
    </row>
    <row r="286" spans="1:16" ht="27.6" x14ac:dyDescent="0.3">
      <c r="A286" s="44" t="s">
        <v>175</v>
      </c>
      <c r="B286" s="4" t="s">
        <v>194</v>
      </c>
      <c r="C286" s="5" t="s">
        <v>209</v>
      </c>
      <c r="D286" s="4" t="s">
        <v>267</v>
      </c>
      <c r="E286" s="51" t="str">
        <f>IF(_xlfn.ISFORMULA('Previsto x realizado'!AW1430) = FALSE, "","Enviado")</f>
        <v>Enviado</v>
      </c>
      <c r="F286" s="51" t="str">
        <f>IF(_xlfn.ISFORMULA('Previsto x realizado'!AX1430) = FALSE, "","Enviado")</f>
        <v/>
      </c>
      <c r="G286" s="51" t="str">
        <f>IF(_xlfn.ISFORMULA('Previsto x realizado'!AY1430) = FALSE, "","Enviado")</f>
        <v/>
      </c>
      <c r="H286" s="51" t="str">
        <f>IF(_xlfn.ISFORMULA('Previsto x realizado'!AZ1430) = FALSE, "","Enviado")</f>
        <v/>
      </c>
      <c r="I286" s="51" t="str">
        <f>IF(_xlfn.ISFORMULA('Previsto x realizado'!BA1430) = FALSE, "","Enviado")</f>
        <v/>
      </c>
      <c r="J286" s="51" t="str">
        <f>IF(_xlfn.ISFORMULA('Previsto x realizado'!BB1430) = FALSE, "","Enviado")</f>
        <v/>
      </c>
      <c r="K286" s="51" t="str">
        <f>IF(_xlfn.ISFORMULA('Previsto x realizado'!BC1430) = FALSE, "","Enviado")</f>
        <v/>
      </c>
      <c r="L286" s="51" t="str">
        <f>IF(_xlfn.ISFORMULA('Previsto x realizado'!BD1430) = FALSE, "","Enviado")</f>
        <v/>
      </c>
      <c r="M286" s="51" t="str">
        <f>IF(_xlfn.ISFORMULA('Previsto x realizado'!BE1430) = FALSE, "","Enviado")</f>
        <v/>
      </c>
      <c r="N286" s="51" t="str">
        <f>IF(_xlfn.ISFORMULA('Previsto x realizado'!BF1430) = FALSE, "","Enviado")</f>
        <v/>
      </c>
      <c r="O286" s="51" t="str">
        <f>IF(_xlfn.ISFORMULA('Previsto x realizado'!BG1430) = FALSE, "","Enviado")</f>
        <v/>
      </c>
      <c r="P286" s="51" t="str">
        <f>IF(_xlfn.ISFORMULA('Previsto x realizado'!BH1430) = FALSE, "","Enviado")</f>
        <v/>
      </c>
    </row>
    <row r="287" spans="1:16" ht="27.6" x14ac:dyDescent="0.3">
      <c r="A287" s="44" t="s">
        <v>175</v>
      </c>
      <c r="B287" s="4" t="s">
        <v>194</v>
      </c>
      <c r="C287" s="5" t="s">
        <v>209</v>
      </c>
      <c r="D287" s="4" t="s">
        <v>267</v>
      </c>
      <c r="E287" s="51" t="str">
        <f>IF(_xlfn.ISFORMULA('Previsto x realizado'!AW1436) = FALSE, "","Enviado")</f>
        <v>Enviado</v>
      </c>
      <c r="F287" s="51" t="str">
        <f>IF(_xlfn.ISFORMULA('Previsto x realizado'!AX1436) = FALSE, "","Enviado")</f>
        <v/>
      </c>
      <c r="G287" s="51" t="str">
        <f>IF(_xlfn.ISFORMULA('Previsto x realizado'!AY1436) = FALSE, "","Enviado")</f>
        <v/>
      </c>
      <c r="H287" s="51" t="str">
        <f>IF(_xlfn.ISFORMULA('Previsto x realizado'!AZ1436) = FALSE, "","Enviado")</f>
        <v/>
      </c>
      <c r="I287" s="51" t="str">
        <f>IF(_xlfn.ISFORMULA('Previsto x realizado'!BA1436) = FALSE, "","Enviado")</f>
        <v/>
      </c>
      <c r="J287" s="51" t="str">
        <f>IF(_xlfn.ISFORMULA('Previsto x realizado'!BB1436) = FALSE, "","Enviado")</f>
        <v/>
      </c>
      <c r="K287" s="51" t="str">
        <f>IF(_xlfn.ISFORMULA('Previsto x realizado'!BC1436) = FALSE, "","Enviado")</f>
        <v/>
      </c>
      <c r="L287" s="51" t="str">
        <f>IF(_xlfn.ISFORMULA('Previsto x realizado'!BD1436) = FALSE, "","Enviado")</f>
        <v/>
      </c>
      <c r="M287" s="51" t="str">
        <f>IF(_xlfn.ISFORMULA('Previsto x realizado'!BE1436) = FALSE, "","Enviado")</f>
        <v/>
      </c>
      <c r="N287" s="51" t="str">
        <f>IF(_xlfn.ISFORMULA('Previsto x realizado'!BF1436) = FALSE, "","Enviado")</f>
        <v/>
      </c>
      <c r="O287" s="51" t="str">
        <f>IF(_xlfn.ISFORMULA('Previsto x realizado'!BG1436) = FALSE, "","Enviado")</f>
        <v/>
      </c>
      <c r="P287" s="51" t="str">
        <f>IF(_xlfn.ISFORMULA('Previsto x realizado'!BH1436) = FALSE, "","Enviado")</f>
        <v/>
      </c>
    </row>
    <row r="288" spans="1:16" ht="27.6" x14ac:dyDescent="0.3">
      <c r="A288" s="33" t="s">
        <v>175</v>
      </c>
      <c r="B288" s="4" t="s">
        <v>197</v>
      </c>
      <c r="C288" s="5" t="s">
        <v>209</v>
      </c>
      <c r="D288" s="4" t="s">
        <v>267</v>
      </c>
      <c r="E288" s="51" t="str">
        <f>IF(_xlfn.ISFORMULA('Previsto x realizado'!AW1442) = FALSE, "","Enviado")</f>
        <v/>
      </c>
      <c r="F288" s="51" t="str">
        <f>IF(_xlfn.ISFORMULA('Previsto x realizado'!AX1442) = FALSE, "","Enviado")</f>
        <v/>
      </c>
      <c r="G288" s="51" t="str">
        <f>IF(_xlfn.ISFORMULA('Previsto x realizado'!AY1442) = FALSE, "","Enviado")</f>
        <v/>
      </c>
      <c r="H288" s="51" t="str">
        <f>IF(_xlfn.ISFORMULA('Previsto x realizado'!AZ1442) = FALSE, "","Enviado")</f>
        <v/>
      </c>
      <c r="I288" s="51" t="str">
        <f>IF(_xlfn.ISFORMULA('Previsto x realizado'!BA1442) = FALSE, "","Enviado")</f>
        <v/>
      </c>
      <c r="J288" s="51" t="str">
        <f>IF(_xlfn.ISFORMULA('Previsto x realizado'!BB1442) = FALSE, "","Enviado")</f>
        <v/>
      </c>
      <c r="K288" s="51" t="str">
        <f>IF(_xlfn.ISFORMULA('Previsto x realizado'!BC1442) = FALSE, "","Enviado")</f>
        <v/>
      </c>
      <c r="L288" s="51" t="str">
        <f>IF(_xlfn.ISFORMULA('Previsto x realizado'!BD1442) = FALSE, "","Enviado")</f>
        <v/>
      </c>
      <c r="M288" s="51" t="str">
        <f>IF(_xlfn.ISFORMULA('Previsto x realizado'!BE1442) = FALSE, "","Enviado")</f>
        <v/>
      </c>
      <c r="N288" s="51" t="str">
        <f>IF(_xlfn.ISFORMULA('Previsto x realizado'!BF1442) = FALSE, "","Enviado")</f>
        <v/>
      </c>
      <c r="O288" s="51" t="str">
        <f>IF(_xlfn.ISFORMULA('Previsto x realizado'!BG1442) = FALSE, "","Enviado")</f>
        <v/>
      </c>
      <c r="P288" s="51" t="str">
        <f>IF(_xlfn.ISFORMULA('Previsto x realizado'!BH1442) = FALSE, "","Enviado")</f>
        <v/>
      </c>
    </row>
    <row r="289" spans="1:16" ht="27.6" x14ac:dyDescent="0.3">
      <c r="A289" s="44" t="s">
        <v>175</v>
      </c>
      <c r="B289" s="4" t="s">
        <v>197</v>
      </c>
      <c r="C289" s="5" t="s">
        <v>209</v>
      </c>
      <c r="D289" s="4" t="s">
        <v>267</v>
      </c>
      <c r="E289" s="51" t="str">
        <f>IF(_xlfn.ISFORMULA('Previsto x realizado'!AW1448) = FALSE, "","Enviado")</f>
        <v>Enviado</v>
      </c>
      <c r="F289" s="51" t="str">
        <f>IF(_xlfn.ISFORMULA('Previsto x realizado'!AX1448) = FALSE, "","Enviado")</f>
        <v/>
      </c>
      <c r="G289" s="51" t="str">
        <f>IF(_xlfn.ISFORMULA('Previsto x realizado'!AY1448) = FALSE, "","Enviado")</f>
        <v/>
      </c>
      <c r="H289" s="51" t="str">
        <f>IF(_xlfn.ISFORMULA('Previsto x realizado'!AZ1448) = FALSE, "","Enviado")</f>
        <v/>
      </c>
      <c r="I289" s="51" t="str">
        <f>IF(_xlfn.ISFORMULA('Previsto x realizado'!BA1448) = FALSE, "","Enviado")</f>
        <v/>
      </c>
      <c r="J289" s="51" t="str">
        <f>IF(_xlfn.ISFORMULA('Previsto x realizado'!BB1448) = FALSE, "","Enviado")</f>
        <v/>
      </c>
      <c r="K289" s="51" t="str">
        <f>IF(_xlfn.ISFORMULA('Previsto x realizado'!BC1448) = FALSE, "","Enviado")</f>
        <v/>
      </c>
      <c r="L289" s="51" t="str">
        <f>IF(_xlfn.ISFORMULA('Previsto x realizado'!BD1448) = FALSE, "","Enviado")</f>
        <v/>
      </c>
      <c r="M289" s="51" t="str">
        <f>IF(_xlfn.ISFORMULA('Previsto x realizado'!BE1448) = FALSE, "","Enviado")</f>
        <v/>
      </c>
      <c r="N289" s="51" t="str">
        <f>IF(_xlfn.ISFORMULA('Previsto x realizado'!BF1448) = FALSE, "","Enviado")</f>
        <v/>
      </c>
      <c r="O289" s="51" t="str">
        <f>IF(_xlfn.ISFORMULA('Previsto x realizado'!BG1448) = FALSE, "","Enviado")</f>
        <v/>
      </c>
      <c r="P289" s="51" t="str">
        <f>IF(_xlfn.ISFORMULA('Previsto x realizado'!BH1448) = FALSE, "","Enviado")</f>
        <v/>
      </c>
    </row>
    <row r="290" spans="1:16" ht="27.6" x14ac:dyDescent="0.3">
      <c r="A290" s="44" t="s">
        <v>175</v>
      </c>
      <c r="B290" s="4" t="s">
        <v>197</v>
      </c>
      <c r="C290" s="5" t="s">
        <v>209</v>
      </c>
      <c r="D290" s="4" t="s">
        <v>267</v>
      </c>
      <c r="E290" s="51" t="str">
        <f>IF(_xlfn.ISFORMULA('Previsto x realizado'!AW1459) = FALSE, "","Enviado")</f>
        <v>Enviado</v>
      </c>
      <c r="F290" s="51" t="str">
        <f>IF(_xlfn.ISFORMULA('Previsto x realizado'!AX1459) = FALSE, "","Enviado")</f>
        <v/>
      </c>
      <c r="G290" s="51" t="str">
        <f>IF(_xlfn.ISFORMULA('Previsto x realizado'!AY1459) = FALSE, "","Enviado")</f>
        <v/>
      </c>
      <c r="H290" s="51" t="str">
        <f>IF(_xlfn.ISFORMULA('Previsto x realizado'!AZ1459) = FALSE, "","Enviado")</f>
        <v/>
      </c>
      <c r="I290" s="51" t="str">
        <f>IF(_xlfn.ISFORMULA('Previsto x realizado'!BA1459) = FALSE, "","Enviado")</f>
        <v/>
      </c>
      <c r="J290" s="51" t="str">
        <f>IF(_xlfn.ISFORMULA('Previsto x realizado'!BB1459) = FALSE, "","Enviado")</f>
        <v/>
      </c>
      <c r="K290" s="51" t="str">
        <f>IF(_xlfn.ISFORMULA('Previsto x realizado'!BC1459) = FALSE, "","Enviado")</f>
        <v/>
      </c>
      <c r="L290" s="51" t="str">
        <f>IF(_xlfn.ISFORMULA('Previsto x realizado'!BD1459) = FALSE, "","Enviado")</f>
        <v/>
      </c>
      <c r="M290" s="51" t="str">
        <f>IF(_xlfn.ISFORMULA('Previsto x realizado'!BE1459) = FALSE, "","Enviado")</f>
        <v/>
      </c>
      <c r="N290" s="51" t="str">
        <f>IF(_xlfn.ISFORMULA('Previsto x realizado'!BF1459) = FALSE, "","Enviado")</f>
        <v/>
      </c>
      <c r="O290" s="51" t="str">
        <f>IF(_xlfn.ISFORMULA('Previsto x realizado'!BG1459) = FALSE, "","Enviado")</f>
        <v/>
      </c>
      <c r="P290" s="51" t="str">
        <f>IF(_xlfn.ISFORMULA('Previsto x realizado'!BH1459) = FALSE, "","Enviado")</f>
        <v/>
      </c>
    </row>
    <row r="291" spans="1:16" x14ac:dyDescent="0.3">
      <c r="A291" s="35" t="s">
        <v>44</v>
      </c>
      <c r="B291" s="10" t="s">
        <v>44</v>
      </c>
      <c r="C291" s="5" t="s">
        <v>209</v>
      </c>
      <c r="D291" s="10" t="s">
        <v>44</v>
      </c>
      <c r="E291" s="51" t="str">
        <f>IF(_xlfn.ISFORMULA('Previsto x realizado'!AW1460) = FALSE, "","Enviado")</f>
        <v>Enviado</v>
      </c>
      <c r="F291" s="51" t="str">
        <f>IF(_xlfn.ISFORMULA('Previsto x realizado'!AX1460) = FALSE, "","Enviado")</f>
        <v>Enviado</v>
      </c>
      <c r="G291" s="51" t="str">
        <f>IF(_xlfn.ISFORMULA('Previsto x realizado'!AY1460) = FALSE, "","Enviado")</f>
        <v>Enviado</v>
      </c>
      <c r="H291" s="51" t="str">
        <f>IF(_xlfn.ISFORMULA('Previsto x realizado'!AZ1460) = FALSE, "","Enviado")</f>
        <v>Enviado</v>
      </c>
      <c r="I291" s="51" t="str">
        <f>IF(_xlfn.ISFORMULA('Previsto x realizado'!BA1460) = FALSE, "","Enviado")</f>
        <v/>
      </c>
      <c r="J291" s="51" t="str">
        <f>IF(_xlfn.ISFORMULA('Previsto x realizado'!BB1460) = FALSE, "","Enviado")</f>
        <v/>
      </c>
      <c r="K291" s="51" t="str">
        <f>IF(_xlfn.ISFORMULA('Previsto x realizado'!BC1460) = FALSE, "","Enviado")</f>
        <v/>
      </c>
      <c r="L291" s="51" t="str">
        <f>IF(_xlfn.ISFORMULA('Previsto x realizado'!BD1460) = FALSE, "","Enviado")</f>
        <v/>
      </c>
      <c r="M291" s="51" t="str">
        <f>IF(_xlfn.ISFORMULA('Previsto x realizado'!BE1460) = FALSE, "","Enviado")</f>
        <v/>
      </c>
      <c r="N291" s="51" t="str">
        <f>IF(_xlfn.ISFORMULA('Previsto x realizado'!BF1460) = FALSE, "","Enviado")</f>
        <v/>
      </c>
      <c r="O291" s="51" t="str">
        <f>IF(_xlfn.ISFORMULA('Previsto x realizado'!BG1460) = FALSE, "","Enviado")</f>
        <v/>
      </c>
      <c r="P291" s="51" t="str">
        <f>IF(_xlfn.ISFORMULA('Previsto x realizado'!BH1460) = FALSE, "","Enviado")</f>
        <v/>
      </c>
    </row>
    <row r="292" spans="1:16" x14ac:dyDescent="0.3">
      <c r="A292" s="35" t="s">
        <v>44</v>
      </c>
      <c r="B292" s="10" t="s">
        <v>44</v>
      </c>
      <c r="C292" s="5" t="s">
        <v>209</v>
      </c>
      <c r="D292" s="10" t="s">
        <v>44</v>
      </c>
      <c r="E292" s="51" t="str">
        <f>IF(_xlfn.ISFORMULA('Previsto x realizado'!AW1466) = FALSE, "","Enviado")</f>
        <v>Enviado</v>
      </c>
      <c r="F292" s="51" t="str">
        <f>IF(_xlfn.ISFORMULA('Previsto x realizado'!AX1466) = FALSE, "","Enviado")</f>
        <v>Enviado</v>
      </c>
      <c r="G292" s="51" t="str">
        <f>IF(_xlfn.ISFORMULA('Previsto x realizado'!AY1466) = FALSE, "","Enviado")</f>
        <v>Enviado</v>
      </c>
      <c r="H292" s="51" t="str">
        <f>IF(_xlfn.ISFORMULA('Previsto x realizado'!AZ1466) = FALSE, "","Enviado")</f>
        <v>Enviado</v>
      </c>
      <c r="I292" s="51" t="str">
        <f>IF(_xlfn.ISFORMULA('Previsto x realizado'!BA1466) = FALSE, "","Enviado")</f>
        <v/>
      </c>
      <c r="J292" s="51" t="str">
        <f>IF(_xlfn.ISFORMULA('Previsto x realizado'!BB1466) = FALSE, "","Enviado")</f>
        <v/>
      </c>
      <c r="K292" s="51" t="str">
        <f>IF(_xlfn.ISFORMULA('Previsto x realizado'!BC1466) = FALSE, "","Enviado")</f>
        <v/>
      </c>
      <c r="L292" s="51" t="str">
        <f>IF(_xlfn.ISFORMULA('Previsto x realizado'!BD1466) = FALSE, "","Enviado")</f>
        <v/>
      </c>
      <c r="M292" s="51" t="str">
        <f>IF(_xlfn.ISFORMULA('Previsto x realizado'!BE1466) = FALSE, "","Enviado")</f>
        <v/>
      </c>
      <c r="N292" s="51" t="str">
        <f>IF(_xlfn.ISFORMULA('Previsto x realizado'!BF1466) = FALSE, "","Enviado")</f>
        <v/>
      </c>
      <c r="O292" s="51" t="str">
        <f>IF(_xlfn.ISFORMULA('Previsto x realizado'!BG1466) = FALSE, "","Enviado")</f>
        <v/>
      </c>
      <c r="P292" s="51" t="str">
        <f>IF(_xlfn.ISFORMULA('Previsto x realizado'!BH1466) = FALSE, "","Enviado")</f>
        <v/>
      </c>
    </row>
    <row r="293" spans="1:16" x14ac:dyDescent="0.3">
      <c r="A293" s="35" t="s">
        <v>44</v>
      </c>
      <c r="B293" s="10" t="s">
        <v>44</v>
      </c>
      <c r="C293" s="5" t="s">
        <v>209</v>
      </c>
      <c r="D293" s="10" t="s">
        <v>44</v>
      </c>
      <c r="E293" s="51" t="str">
        <f>IF(_xlfn.ISFORMULA('Previsto x realizado'!AW1472) = FALSE, "","Enviado")</f>
        <v>Enviado</v>
      </c>
      <c r="F293" s="51" t="str">
        <f>IF(_xlfn.ISFORMULA('Previsto x realizado'!AX1472) = FALSE, "","Enviado")</f>
        <v>Enviado</v>
      </c>
      <c r="G293" s="51" t="str">
        <f>IF(_xlfn.ISFORMULA('Previsto x realizado'!AY1472) = FALSE, "","Enviado")</f>
        <v>Enviado</v>
      </c>
      <c r="H293" s="51" t="str">
        <f>IF(_xlfn.ISFORMULA('Previsto x realizado'!AZ1472) = FALSE, "","Enviado")</f>
        <v>Enviado</v>
      </c>
      <c r="I293" s="51" t="str">
        <f>IF(_xlfn.ISFORMULA('Previsto x realizado'!BA1472) = FALSE, "","Enviado")</f>
        <v/>
      </c>
      <c r="J293" s="51" t="str">
        <f>IF(_xlfn.ISFORMULA('Previsto x realizado'!BB1472) = FALSE, "","Enviado")</f>
        <v/>
      </c>
      <c r="K293" s="51" t="str">
        <f>IF(_xlfn.ISFORMULA('Previsto x realizado'!BC1472) = FALSE, "","Enviado")</f>
        <v/>
      </c>
      <c r="L293" s="51" t="str">
        <f>IF(_xlfn.ISFORMULA('Previsto x realizado'!BD1472) = FALSE, "","Enviado")</f>
        <v/>
      </c>
      <c r="M293" s="51" t="str">
        <f>IF(_xlfn.ISFORMULA('Previsto x realizado'!BE1472) = FALSE, "","Enviado")</f>
        <v/>
      </c>
      <c r="N293" s="51" t="str">
        <f>IF(_xlfn.ISFORMULA('Previsto x realizado'!BF1472) = FALSE, "","Enviado")</f>
        <v/>
      </c>
      <c r="O293" s="51" t="str">
        <f>IF(_xlfn.ISFORMULA('Previsto x realizado'!BG1472) = FALSE, "","Enviado")</f>
        <v/>
      </c>
      <c r="P293" s="51" t="str">
        <f>IF(_xlfn.ISFORMULA('Previsto x realizado'!BH1472) = FALSE, "","Enviado")</f>
        <v/>
      </c>
    </row>
    <row r="294" spans="1:16" x14ac:dyDescent="0.3">
      <c r="A294" s="35" t="s">
        <v>44</v>
      </c>
      <c r="B294" s="10" t="s">
        <v>44</v>
      </c>
      <c r="C294" s="5" t="s">
        <v>209</v>
      </c>
      <c r="D294" s="10" t="s">
        <v>44</v>
      </c>
      <c r="E294" s="51" t="str">
        <f>IF(_xlfn.ISFORMULA('Previsto x realizado'!AW1478) = FALSE, "","Enviado")</f>
        <v>Enviado</v>
      </c>
      <c r="F294" s="51" t="str">
        <f>IF(_xlfn.ISFORMULA('Previsto x realizado'!AX1478) = FALSE, "","Enviado")</f>
        <v>Enviado</v>
      </c>
      <c r="G294" s="51" t="str">
        <f>IF(_xlfn.ISFORMULA('Previsto x realizado'!AY1478) = FALSE, "","Enviado")</f>
        <v>Enviado</v>
      </c>
      <c r="H294" s="51" t="str">
        <f>IF(_xlfn.ISFORMULA('Previsto x realizado'!AZ1478) = FALSE, "","Enviado")</f>
        <v>Enviado</v>
      </c>
      <c r="I294" s="51" t="str">
        <f>IF(_xlfn.ISFORMULA('Previsto x realizado'!BA1478) = FALSE, "","Enviado")</f>
        <v/>
      </c>
      <c r="J294" s="51" t="str">
        <f>IF(_xlfn.ISFORMULA('Previsto x realizado'!BB1478) = FALSE, "","Enviado")</f>
        <v/>
      </c>
      <c r="K294" s="51" t="str">
        <f>IF(_xlfn.ISFORMULA('Previsto x realizado'!BC1478) = FALSE, "","Enviado")</f>
        <v/>
      </c>
      <c r="L294" s="51" t="str">
        <f>IF(_xlfn.ISFORMULA('Previsto x realizado'!BD1478) = FALSE, "","Enviado")</f>
        <v/>
      </c>
      <c r="M294" s="51" t="str">
        <f>IF(_xlfn.ISFORMULA('Previsto x realizado'!BE1478) = FALSE, "","Enviado")</f>
        <v/>
      </c>
      <c r="N294" s="51" t="str">
        <f>IF(_xlfn.ISFORMULA('Previsto x realizado'!BF1478) = FALSE, "","Enviado")</f>
        <v/>
      </c>
      <c r="O294" s="51" t="str">
        <f>IF(_xlfn.ISFORMULA('Previsto x realizado'!BG1478) = FALSE, "","Enviado")</f>
        <v/>
      </c>
      <c r="P294" s="51" t="str">
        <f>IF(_xlfn.ISFORMULA('Previsto x realizado'!BH1478) = FALSE, "","Enviado")</f>
        <v/>
      </c>
    </row>
    <row r="295" spans="1:16" x14ac:dyDescent="0.3">
      <c r="A295" s="35" t="s">
        <v>44</v>
      </c>
      <c r="B295" s="10" t="s">
        <v>44</v>
      </c>
      <c r="C295" s="5" t="s">
        <v>209</v>
      </c>
      <c r="D295" s="10" t="s">
        <v>44</v>
      </c>
      <c r="E295" s="51" t="str">
        <f>IF(_xlfn.ISFORMULA('Previsto x realizado'!AW1484) = FALSE, "","Enviado")</f>
        <v>Enviado</v>
      </c>
      <c r="F295" s="51" t="str">
        <f>IF(_xlfn.ISFORMULA('Previsto x realizado'!AX1484) = FALSE, "","Enviado")</f>
        <v>Enviado</v>
      </c>
      <c r="G295" s="51" t="str">
        <f>IF(_xlfn.ISFORMULA('Previsto x realizado'!AY1484) = FALSE, "","Enviado")</f>
        <v>Enviado</v>
      </c>
      <c r="H295" s="51" t="str">
        <f>IF(_xlfn.ISFORMULA('Previsto x realizado'!AZ1484) = FALSE, "","Enviado")</f>
        <v>Enviado</v>
      </c>
      <c r="I295" s="51" t="str">
        <f>IF(_xlfn.ISFORMULA('Previsto x realizado'!BA1484) = FALSE, "","Enviado")</f>
        <v/>
      </c>
      <c r="J295" s="51" t="str">
        <f>IF(_xlfn.ISFORMULA('Previsto x realizado'!BB1484) = FALSE, "","Enviado")</f>
        <v/>
      </c>
      <c r="K295" s="51" t="str">
        <f>IF(_xlfn.ISFORMULA('Previsto x realizado'!BC1484) = FALSE, "","Enviado")</f>
        <v/>
      </c>
      <c r="L295" s="51" t="str">
        <f>IF(_xlfn.ISFORMULA('Previsto x realizado'!BD1484) = FALSE, "","Enviado")</f>
        <v/>
      </c>
      <c r="M295" s="51" t="str">
        <f>IF(_xlfn.ISFORMULA('Previsto x realizado'!BE1484) = FALSE, "","Enviado")</f>
        <v/>
      </c>
      <c r="N295" s="51" t="str">
        <f>IF(_xlfn.ISFORMULA('Previsto x realizado'!BF1484) = FALSE, "","Enviado")</f>
        <v/>
      </c>
      <c r="O295" s="51" t="str">
        <f>IF(_xlfn.ISFORMULA('Previsto x realizado'!BG1484) = FALSE, "","Enviado")</f>
        <v/>
      </c>
      <c r="P295" s="51" t="str">
        <f>IF(_xlfn.ISFORMULA('Previsto x realizado'!BH1484) = FALSE, "","Enviado")</f>
        <v/>
      </c>
    </row>
    <row r="296" spans="1:16" x14ac:dyDescent="0.3">
      <c r="A296" s="35" t="s">
        <v>44</v>
      </c>
      <c r="B296" s="10" t="s">
        <v>44</v>
      </c>
      <c r="C296" s="5" t="s">
        <v>209</v>
      </c>
      <c r="D296" s="10" t="s">
        <v>44</v>
      </c>
      <c r="E296" s="51" t="str">
        <f>IF(_xlfn.ISFORMULA('Previsto x realizado'!AW1490) = FALSE, "","Enviado")</f>
        <v>Enviado</v>
      </c>
      <c r="F296" s="51" t="str">
        <f>IF(_xlfn.ISFORMULA('Previsto x realizado'!AX1490) = FALSE, "","Enviado")</f>
        <v>Enviado</v>
      </c>
      <c r="G296" s="51" t="str">
        <f>IF(_xlfn.ISFORMULA('Previsto x realizado'!AY1490) = FALSE, "","Enviado")</f>
        <v>Enviado</v>
      </c>
      <c r="H296" s="51" t="str">
        <f>IF(_xlfn.ISFORMULA('Previsto x realizado'!AZ1490) = FALSE, "","Enviado")</f>
        <v>Enviado</v>
      </c>
      <c r="I296" s="51" t="str">
        <f>IF(_xlfn.ISFORMULA('Previsto x realizado'!BA1490) = FALSE, "","Enviado")</f>
        <v/>
      </c>
      <c r="J296" s="51" t="str">
        <f>IF(_xlfn.ISFORMULA('Previsto x realizado'!BB1490) = FALSE, "","Enviado")</f>
        <v/>
      </c>
      <c r="K296" s="51" t="str">
        <f>IF(_xlfn.ISFORMULA('Previsto x realizado'!BC1490) = FALSE, "","Enviado")</f>
        <v/>
      </c>
      <c r="L296" s="51" t="str">
        <f>IF(_xlfn.ISFORMULA('Previsto x realizado'!BD1490) = FALSE, "","Enviado")</f>
        <v/>
      </c>
      <c r="M296" s="51" t="str">
        <f>IF(_xlfn.ISFORMULA('Previsto x realizado'!BE1490) = FALSE, "","Enviado")</f>
        <v/>
      </c>
      <c r="N296" s="51" t="str">
        <f>IF(_xlfn.ISFORMULA('Previsto x realizado'!BF1490) = FALSE, "","Enviado")</f>
        <v/>
      </c>
      <c r="O296" s="51" t="str">
        <f>IF(_xlfn.ISFORMULA('Previsto x realizado'!BG1490) = FALSE, "","Enviado")</f>
        <v/>
      </c>
      <c r="P296" s="51" t="str">
        <f>IF(_xlfn.ISFORMULA('Previsto x realizado'!BH1490) = FALSE, "","Enviado")</f>
        <v/>
      </c>
    </row>
    <row r="297" spans="1:16" x14ac:dyDescent="0.3">
      <c r="A297" s="35" t="s">
        <v>44</v>
      </c>
      <c r="B297" s="10" t="s">
        <v>44</v>
      </c>
      <c r="C297" s="5" t="s">
        <v>209</v>
      </c>
      <c r="D297" s="10" t="s">
        <v>44</v>
      </c>
      <c r="E297" s="51" t="str">
        <f>IF(_xlfn.ISFORMULA('Previsto x realizado'!AW1496) = FALSE, "","Enviado")</f>
        <v>Enviado</v>
      </c>
      <c r="F297" s="51" t="str">
        <f>IF(_xlfn.ISFORMULA('Previsto x realizado'!AX1496) = FALSE, "","Enviado")</f>
        <v>Enviado</v>
      </c>
      <c r="G297" s="51" t="str">
        <f>IF(_xlfn.ISFORMULA('Previsto x realizado'!AY1496) = FALSE, "","Enviado")</f>
        <v>Enviado</v>
      </c>
      <c r="H297" s="51" t="str">
        <f>IF(_xlfn.ISFORMULA('Previsto x realizado'!AZ1496) = FALSE, "","Enviado")</f>
        <v>Enviado</v>
      </c>
      <c r="I297" s="51" t="str">
        <f>IF(_xlfn.ISFORMULA('Previsto x realizado'!BA1496) = FALSE, "","Enviado")</f>
        <v/>
      </c>
      <c r="J297" s="51" t="str">
        <f>IF(_xlfn.ISFORMULA('Previsto x realizado'!BB1496) = FALSE, "","Enviado")</f>
        <v/>
      </c>
      <c r="K297" s="51" t="str">
        <f>IF(_xlfn.ISFORMULA('Previsto x realizado'!BC1496) = FALSE, "","Enviado")</f>
        <v/>
      </c>
      <c r="L297" s="51" t="str">
        <f>IF(_xlfn.ISFORMULA('Previsto x realizado'!BD1496) = FALSE, "","Enviado")</f>
        <v/>
      </c>
      <c r="M297" s="51" t="str">
        <f>IF(_xlfn.ISFORMULA('Previsto x realizado'!BE1496) = FALSE, "","Enviado")</f>
        <v/>
      </c>
      <c r="N297" s="51" t="str">
        <f>IF(_xlfn.ISFORMULA('Previsto x realizado'!BF1496) = FALSE, "","Enviado")</f>
        <v/>
      </c>
      <c r="O297" s="51" t="str">
        <f>IF(_xlfn.ISFORMULA('Previsto x realizado'!BG1496) = FALSE, "","Enviado")</f>
        <v/>
      </c>
      <c r="P297" s="51" t="str">
        <f>IF(_xlfn.ISFORMULA('Previsto x realizado'!BH1496) = FALSE, "","Enviado")</f>
        <v/>
      </c>
    </row>
    <row r="298" spans="1:16" x14ac:dyDescent="0.3">
      <c r="A298" s="3" t="s">
        <v>33</v>
      </c>
      <c r="B298" s="4" t="s">
        <v>34</v>
      </c>
      <c r="C298" s="5" t="s">
        <v>214</v>
      </c>
      <c r="D298" s="4" t="s">
        <v>238</v>
      </c>
      <c r="E298" s="51" t="str">
        <f>IF(_xlfn.ISFORMULA('Previsto x realizado'!AW1497) = FALSE, "","Enviado")</f>
        <v>Enviado</v>
      </c>
      <c r="F298" s="51" t="str">
        <f>IF(_xlfn.ISFORMULA('Previsto x realizado'!AX1497) = FALSE, "","Enviado")</f>
        <v>Enviado</v>
      </c>
      <c r="G298" s="51" t="str">
        <f>IF(_xlfn.ISFORMULA('Previsto x realizado'!AY1497) = FALSE, "","Enviado")</f>
        <v>Enviado</v>
      </c>
      <c r="H298" s="51" t="str">
        <f>IF(_xlfn.ISFORMULA('Previsto x realizado'!AZ1497) = FALSE, "","Enviado")</f>
        <v>Enviado</v>
      </c>
      <c r="I298" s="51" t="str">
        <f>IF(_xlfn.ISFORMULA('Previsto x realizado'!BA1497) = FALSE, "","Enviado")</f>
        <v/>
      </c>
      <c r="J298" s="51" t="str">
        <f>IF(_xlfn.ISFORMULA('Previsto x realizado'!BB1497) = FALSE, "","Enviado")</f>
        <v/>
      </c>
      <c r="K298" s="51" t="str">
        <f>IF(_xlfn.ISFORMULA('Previsto x realizado'!BC1497) = FALSE, "","Enviado")</f>
        <v/>
      </c>
      <c r="L298" s="51" t="str">
        <f>IF(_xlfn.ISFORMULA('Previsto x realizado'!BD1497) = FALSE, "","Enviado")</f>
        <v/>
      </c>
      <c r="M298" s="51" t="str">
        <f>IF(_xlfn.ISFORMULA('Previsto x realizado'!BE1497) = FALSE, "","Enviado")</f>
        <v/>
      </c>
      <c r="N298" s="51" t="str">
        <f>IF(_xlfn.ISFORMULA('Previsto x realizado'!BF1497) = FALSE, "","Enviado")</f>
        <v/>
      </c>
      <c r="O298" s="51" t="str">
        <f>IF(_xlfn.ISFORMULA('Previsto x realizado'!BG1497) = FALSE, "","Enviado")</f>
        <v/>
      </c>
      <c r="P298" s="51" t="str">
        <f>IF(_xlfn.ISFORMULA('Previsto x realizado'!BH1497) = FALSE, "","Enviado")</f>
        <v/>
      </c>
    </row>
    <row r="299" spans="1:16" x14ac:dyDescent="0.3">
      <c r="A299" s="39" t="s">
        <v>33</v>
      </c>
      <c r="B299" s="4" t="s">
        <v>34</v>
      </c>
      <c r="C299" s="5" t="s">
        <v>214</v>
      </c>
      <c r="D299" s="4" t="s">
        <v>238</v>
      </c>
      <c r="E299" s="51" t="str">
        <f>IF(_xlfn.ISFORMULA('Previsto x realizado'!AW1503) = FALSE, "","Enviado")</f>
        <v>Enviado</v>
      </c>
      <c r="F299" s="51" t="str">
        <f>IF(_xlfn.ISFORMULA('Previsto x realizado'!AX1503) = FALSE, "","Enviado")</f>
        <v>Enviado</v>
      </c>
      <c r="G299" s="51" t="str">
        <f>IF(_xlfn.ISFORMULA('Previsto x realizado'!AY1503) = FALSE, "","Enviado")</f>
        <v>Enviado</v>
      </c>
      <c r="H299" s="51" t="str">
        <f>IF(_xlfn.ISFORMULA('Previsto x realizado'!AZ1503) = FALSE, "","Enviado")</f>
        <v>Enviado</v>
      </c>
      <c r="I299" s="51" t="str">
        <f>IF(_xlfn.ISFORMULA('Previsto x realizado'!BA1503) = FALSE, "","Enviado")</f>
        <v/>
      </c>
      <c r="J299" s="51" t="str">
        <f>IF(_xlfn.ISFORMULA('Previsto x realizado'!BB1503) = FALSE, "","Enviado")</f>
        <v/>
      </c>
      <c r="K299" s="51" t="str">
        <f>IF(_xlfn.ISFORMULA('Previsto x realizado'!BC1503) = FALSE, "","Enviado")</f>
        <v/>
      </c>
      <c r="L299" s="51" t="str">
        <f>IF(_xlfn.ISFORMULA('Previsto x realizado'!BD1503) = FALSE, "","Enviado")</f>
        <v/>
      </c>
      <c r="M299" s="51" t="str">
        <f>IF(_xlfn.ISFORMULA('Previsto x realizado'!BE1503) = FALSE, "","Enviado")</f>
        <v/>
      </c>
      <c r="N299" s="51" t="str">
        <f>IF(_xlfn.ISFORMULA('Previsto x realizado'!BF1503) = FALSE, "","Enviado")</f>
        <v/>
      </c>
      <c r="O299" s="51" t="str">
        <f>IF(_xlfn.ISFORMULA('Previsto x realizado'!BG1503) = FALSE, "","Enviado")</f>
        <v/>
      </c>
      <c r="P299" s="51" t="str">
        <f>IF(_xlfn.ISFORMULA('Previsto x realizado'!BH1503) = FALSE, "","Enviado")</f>
        <v/>
      </c>
    </row>
    <row r="300" spans="1:16" x14ac:dyDescent="0.3">
      <c r="A300" s="3" t="s">
        <v>33</v>
      </c>
      <c r="B300" s="4" t="s">
        <v>53</v>
      </c>
      <c r="C300" s="5" t="s">
        <v>214</v>
      </c>
      <c r="D300" s="4" t="s">
        <v>238</v>
      </c>
      <c r="E300" s="51" t="str">
        <f>IF(_xlfn.ISFORMULA('Previsto x realizado'!AW1509) = FALSE, "","Enviado")</f>
        <v>Enviado</v>
      </c>
      <c r="F300" s="51" t="str">
        <f>IF(_xlfn.ISFORMULA('Previsto x realizado'!AX1509) = FALSE, "","Enviado")</f>
        <v>Enviado</v>
      </c>
      <c r="G300" s="51" t="str">
        <f>IF(_xlfn.ISFORMULA('Previsto x realizado'!AY1509) = FALSE, "","Enviado")</f>
        <v>Enviado</v>
      </c>
      <c r="H300" s="51" t="str">
        <f>IF(_xlfn.ISFORMULA('Previsto x realizado'!AZ1509) = FALSE, "","Enviado")</f>
        <v>Enviado</v>
      </c>
      <c r="I300" s="51" t="str">
        <f>IF(_xlfn.ISFORMULA('Previsto x realizado'!BA1509) = FALSE, "","Enviado")</f>
        <v/>
      </c>
      <c r="J300" s="51" t="str">
        <f>IF(_xlfn.ISFORMULA('Previsto x realizado'!BB1509) = FALSE, "","Enviado")</f>
        <v/>
      </c>
      <c r="K300" s="51" t="str">
        <f>IF(_xlfn.ISFORMULA('Previsto x realizado'!BC1509) = FALSE, "","Enviado")</f>
        <v/>
      </c>
      <c r="L300" s="51" t="str">
        <f>IF(_xlfn.ISFORMULA('Previsto x realizado'!BD1509) = FALSE, "","Enviado")</f>
        <v/>
      </c>
      <c r="M300" s="51" t="str">
        <f>IF(_xlfn.ISFORMULA('Previsto x realizado'!BE1509) = FALSE, "","Enviado")</f>
        <v/>
      </c>
      <c r="N300" s="51" t="str">
        <f>IF(_xlfn.ISFORMULA('Previsto x realizado'!BF1509) = FALSE, "","Enviado")</f>
        <v/>
      </c>
      <c r="O300" s="51" t="str">
        <f>IF(_xlfn.ISFORMULA('Previsto x realizado'!BG1509) = FALSE, "","Enviado")</f>
        <v/>
      </c>
      <c r="P300" s="51" t="str">
        <f>IF(_xlfn.ISFORMULA('Previsto x realizado'!BH1509) = FALSE, "","Enviado")</f>
        <v/>
      </c>
    </row>
    <row r="301" spans="1:16" x14ac:dyDescent="0.3">
      <c r="A301" s="39" t="s">
        <v>33</v>
      </c>
      <c r="B301" s="4" t="s">
        <v>53</v>
      </c>
      <c r="C301" s="5" t="s">
        <v>214</v>
      </c>
      <c r="D301" s="4" t="s">
        <v>238</v>
      </c>
      <c r="E301" s="51" t="str">
        <f>IF(_xlfn.ISFORMULA('Previsto x realizado'!AW1515) = FALSE, "","Enviado")</f>
        <v>Enviado</v>
      </c>
      <c r="F301" s="51" t="str">
        <f>IF(_xlfn.ISFORMULA('Previsto x realizado'!AX1515) = FALSE, "","Enviado")</f>
        <v>Enviado</v>
      </c>
      <c r="G301" s="51" t="str">
        <f>IF(_xlfn.ISFORMULA('Previsto x realizado'!AY1515) = FALSE, "","Enviado")</f>
        <v>Enviado</v>
      </c>
      <c r="H301" s="51" t="str">
        <f>IF(_xlfn.ISFORMULA('Previsto x realizado'!AZ1515) = FALSE, "","Enviado")</f>
        <v>Enviado</v>
      </c>
      <c r="I301" s="51" t="str">
        <f>IF(_xlfn.ISFORMULA('Previsto x realizado'!BA1515) = FALSE, "","Enviado")</f>
        <v/>
      </c>
      <c r="J301" s="51" t="str">
        <f>IF(_xlfn.ISFORMULA('Previsto x realizado'!BB1515) = FALSE, "","Enviado")</f>
        <v/>
      </c>
      <c r="K301" s="51" t="str">
        <f>IF(_xlfn.ISFORMULA('Previsto x realizado'!BC1515) = FALSE, "","Enviado")</f>
        <v/>
      </c>
      <c r="L301" s="51" t="str">
        <f>IF(_xlfn.ISFORMULA('Previsto x realizado'!BD1515) = FALSE, "","Enviado")</f>
        <v/>
      </c>
      <c r="M301" s="51" t="str">
        <f>IF(_xlfn.ISFORMULA('Previsto x realizado'!BE1515) = FALSE, "","Enviado")</f>
        <v/>
      </c>
      <c r="N301" s="51" t="str">
        <f>IF(_xlfn.ISFORMULA('Previsto x realizado'!BF1515) = FALSE, "","Enviado")</f>
        <v/>
      </c>
      <c r="O301" s="51" t="str">
        <f>IF(_xlfn.ISFORMULA('Previsto x realizado'!BG1515) = FALSE, "","Enviado")</f>
        <v/>
      </c>
      <c r="P301" s="51" t="str">
        <f>IF(_xlfn.ISFORMULA('Previsto x realizado'!BH1515) = FALSE, "","Enviado")</f>
        <v/>
      </c>
    </row>
    <row r="302" spans="1:16" x14ac:dyDescent="0.3">
      <c r="A302" s="3" t="s">
        <v>33</v>
      </c>
      <c r="B302" s="4" t="s">
        <v>310</v>
      </c>
      <c r="C302" s="5" t="s">
        <v>214</v>
      </c>
      <c r="D302" s="56" t="s">
        <v>288</v>
      </c>
      <c r="E302" s="51" t="str">
        <f>IF(_xlfn.ISFORMULA('Previsto x realizado'!AW1521) = FALSE, "","Enviado")</f>
        <v>Enviado</v>
      </c>
      <c r="F302" s="51" t="str">
        <f>IF(_xlfn.ISFORMULA('Previsto x realizado'!AX1521) = FALSE, "","Enviado")</f>
        <v>Enviado</v>
      </c>
      <c r="G302" s="51" t="str">
        <f>IF(_xlfn.ISFORMULA('Previsto x realizado'!AY1521) = FALSE, "","Enviado")</f>
        <v>Enviado</v>
      </c>
      <c r="H302" s="51" t="str">
        <f>IF(_xlfn.ISFORMULA('Previsto x realizado'!AZ1521) = FALSE, "","Enviado")</f>
        <v>Enviado</v>
      </c>
      <c r="I302" s="51" t="str">
        <f>IF(_xlfn.ISFORMULA('Previsto x realizado'!BA1521) = FALSE, "","Enviado")</f>
        <v/>
      </c>
      <c r="J302" s="51" t="str">
        <f>IF(_xlfn.ISFORMULA('Previsto x realizado'!BB1521) = FALSE, "","Enviado")</f>
        <v/>
      </c>
      <c r="K302" s="51" t="str">
        <f>IF(_xlfn.ISFORMULA('Previsto x realizado'!BC1521) = FALSE, "","Enviado")</f>
        <v/>
      </c>
      <c r="L302" s="51" t="str">
        <f>IF(_xlfn.ISFORMULA('Previsto x realizado'!BD1521) = FALSE, "","Enviado")</f>
        <v/>
      </c>
      <c r="M302" s="51" t="str">
        <f>IF(_xlfn.ISFORMULA('Previsto x realizado'!BE1521) = FALSE, "","Enviado")</f>
        <v/>
      </c>
      <c r="N302" s="51" t="str">
        <f>IF(_xlfn.ISFORMULA('Previsto x realizado'!BF1521) = FALSE, "","Enviado")</f>
        <v/>
      </c>
      <c r="O302" s="51" t="str">
        <f>IF(_xlfn.ISFORMULA('Previsto x realizado'!BG1521) = FALSE, "","Enviado")</f>
        <v/>
      </c>
      <c r="P302" s="51" t="str">
        <f>IF(_xlfn.ISFORMULA('Previsto x realizado'!BH1521) = FALSE, "","Enviado")</f>
        <v/>
      </c>
    </row>
    <row r="303" spans="1:16" hidden="1" x14ac:dyDescent="0.3">
      <c r="A303" s="39" t="s">
        <v>33</v>
      </c>
      <c r="B303" s="4" t="s">
        <v>310</v>
      </c>
      <c r="C303" s="5" t="s">
        <v>214</v>
      </c>
      <c r="D303" s="56" t="s">
        <v>288</v>
      </c>
      <c r="E303" s="51" t="e">
        <f>IF(_xlfn.ISFORMULA('Previsto x realizado'!#REF!) = FALSE, "","Enviado")</f>
        <v>#REF!</v>
      </c>
      <c r="F303" s="51" t="e">
        <f>IF(_xlfn.ISFORMULA('Previsto x realizado'!#REF!) = FALSE, "","Enviado")</f>
        <v>#REF!</v>
      </c>
      <c r="G303" s="51" t="e">
        <f>IF(_xlfn.ISFORMULA('Previsto x realizado'!#REF!) = FALSE, "","Enviado")</f>
        <v>#REF!</v>
      </c>
      <c r="H303" s="51" t="e">
        <f>IF(_xlfn.ISFORMULA('Previsto x realizado'!#REF!) = FALSE, "","Enviado")</f>
        <v>#REF!</v>
      </c>
      <c r="I303" s="51" t="e">
        <f>IF(_xlfn.ISFORMULA('Previsto x realizado'!#REF!) = FALSE, "","Enviado")</f>
        <v>#REF!</v>
      </c>
      <c r="J303" s="51" t="e">
        <f>IF(_xlfn.ISFORMULA('Previsto x realizado'!#REF!) = FALSE, "","Enviado")</f>
        <v>#REF!</v>
      </c>
      <c r="K303" s="51" t="e">
        <f>IF(_xlfn.ISFORMULA('Previsto x realizado'!#REF!) = FALSE, "","Enviado")</f>
        <v>#REF!</v>
      </c>
      <c r="L303" s="51" t="e">
        <f>IF(_xlfn.ISFORMULA('Previsto x realizado'!#REF!) = FALSE, "","Enviado")</f>
        <v>#REF!</v>
      </c>
      <c r="M303" s="51" t="e">
        <f>IF(_xlfn.ISFORMULA('Previsto x realizado'!#REF!) = FALSE, "","Enviado")</f>
        <v>#REF!</v>
      </c>
      <c r="N303" s="51" t="e">
        <f>IF(_xlfn.ISFORMULA('Previsto x realizado'!#REF!) = FALSE, "","Enviado")</f>
        <v>#REF!</v>
      </c>
      <c r="O303" s="51" t="e">
        <f>IF(_xlfn.ISFORMULA('Previsto x realizado'!#REF!) = FALSE, "","Enviado")</f>
        <v>#REF!</v>
      </c>
      <c r="P303" s="51" t="e">
        <f>IF(_xlfn.ISFORMULA('Previsto x realizado'!#REF!) = FALSE, "","Enviado")</f>
        <v>#REF!</v>
      </c>
    </row>
    <row r="304" spans="1:16" x14ac:dyDescent="0.3">
      <c r="A304" s="39" t="s">
        <v>33</v>
      </c>
      <c r="B304" s="4" t="s">
        <v>310</v>
      </c>
      <c r="C304" s="5" t="s">
        <v>214</v>
      </c>
      <c r="D304" s="56" t="s">
        <v>288</v>
      </c>
      <c r="E304" s="51" t="str">
        <f>IF(_xlfn.ISFORMULA('Previsto x realizado'!AW1527) = FALSE, "","Enviado")</f>
        <v>Enviado</v>
      </c>
      <c r="F304" s="51" t="str">
        <f>IF(_xlfn.ISFORMULA('Previsto x realizado'!AX1527) = FALSE, "","Enviado")</f>
        <v>Enviado</v>
      </c>
      <c r="G304" s="51" t="str">
        <f>IF(_xlfn.ISFORMULA('Previsto x realizado'!AY1527) = FALSE, "","Enviado")</f>
        <v>Enviado</v>
      </c>
      <c r="H304" s="51" t="str">
        <f>IF(_xlfn.ISFORMULA('Previsto x realizado'!AZ1527) = FALSE, "","Enviado")</f>
        <v>Enviado</v>
      </c>
      <c r="I304" s="51" t="str">
        <f>IF(_xlfn.ISFORMULA('Previsto x realizado'!BA1527) = FALSE, "","Enviado")</f>
        <v/>
      </c>
      <c r="J304" s="51" t="str">
        <f>IF(_xlfn.ISFORMULA('Previsto x realizado'!BB1527) = FALSE, "","Enviado")</f>
        <v/>
      </c>
      <c r="K304" s="51" t="str">
        <f>IF(_xlfn.ISFORMULA('Previsto x realizado'!BC1527) = FALSE, "","Enviado")</f>
        <v/>
      </c>
      <c r="L304" s="51" t="str">
        <f>IF(_xlfn.ISFORMULA('Previsto x realizado'!BD1527) = FALSE, "","Enviado")</f>
        <v/>
      </c>
      <c r="M304" s="51" t="str">
        <f>IF(_xlfn.ISFORMULA('Previsto x realizado'!BE1527) = FALSE, "","Enviado")</f>
        <v/>
      </c>
      <c r="N304" s="51" t="str">
        <f>IF(_xlfn.ISFORMULA('Previsto x realizado'!BF1527) = FALSE, "","Enviado")</f>
        <v/>
      </c>
      <c r="O304" s="51" t="str">
        <f>IF(_xlfn.ISFORMULA('Previsto x realizado'!BG1527) = FALSE, "","Enviado")</f>
        <v/>
      </c>
      <c r="P304" s="51" t="str">
        <f>IF(_xlfn.ISFORMULA('Previsto x realizado'!BH1527) = FALSE, "","Enviado")</f>
        <v/>
      </c>
    </row>
    <row r="305" spans="1:16" x14ac:dyDescent="0.3">
      <c r="A305" s="3" t="s">
        <v>33</v>
      </c>
      <c r="B305" s="4" t="s">
        <v>70</v>
      </c>
      <c r="C305" s="5" t="s">
        <v>214</v>
      </c>
      <c r="D305" s="4" t="s">
        <v>238</v>
      </c>
      <c r="E305" s="51" t="str">
        <f>IF(_xlfn.ISFORMULA('Previsto x realizado'!AW1533) = FALSE, "","Enviado")</f>
        <v>Enviado</v>
      </c>
      <c r="F305" s="51" t="str">
        <f>IF(_xlfn.ISFORMULA('Previsto x realizado'!AX1533) = FALSE, "","Enviado")</f>
        <v>Enviado</v>
      </c>
      <c r="G305" s="51" t="str">
        <f>IF(_xlfn.ISFORMULA('Previsto x realizado'!AY1533) = FALSE, "","Enviado")</f>
        <v>Enviado</v>
      </c>
      <c r="H305" s="51" t="str">
        <f>IF(_xlfn.ISFORMULA('Previsto x realizado'!AZ1533) = FALSE, "","Enviado")</f>
        <v>Enviado</v>
      </c>
      <c r="I305" s="51" t="str">
        <f>IF(_xlfn.ISFORMULA('Previsto x realizado'!BA1533) = FALSE, "","Enviado")</f>
        <v/>
      </c>
      <c r="J305" s="51" t="str">
        <f>IF(_xlfn.ISFORMULA('Previsto x realizado'!BB1533) = FALSE, "","Enviado")</f>
        <v/>
      </c>
      <c r="K305" s="51" t="str">
        <f>IF(_xlfn.ISFORMULA('Previsto x realizado'!BC1533) = FALSE, "","Enviado")</f>
        <v/>
      </c>
      <c r="L305" s="51" t="str">
        <f>IF(_xlfn.ISFORMULA('Previsto x realizado'!BD1533) = FALSE, "","Enviado")</f>
        <v/>
      </c>
      <c r="M305" s="51" t="str">
        <f>IF(_xlfn.ISFORMULA('Previsto x realizado'!BE1533) = FALSE, "","Enviado")</f>
        <v/>
      </c>
      <c r="N305" s="51" t="str">
        <f>IF(_xlfn.ISFORMULA('Previsto x realizado'!BF1533) = FALSE, "","Enviado")</f>
        <v/>
      </c>
      <c r="O305" s="51" t="str">
        <f>IF(_xlfn.ISFORMULA('Previsto x realizado'!BG1533) = FALSE, "","Enviado")</f>
        <v/>
      </c>
      <c r="P305" s="51" t="str">
        <f>IF(_xlfn.ISFORMULA('Previsto x realizado'!BH1533) = FALSE, "","Enviado")</f>
        <v/>
      </c>
    </row>
    <row r="306" spans="1:16" x14ac:dyDescent="0.3">
      <c r="A306" s="39" t="s">
        <v>33</v>
      </c>
      <c r="B306" s="4" t="s">
        <v>70</v>
      </c>
      <c r="C306" s="5" t="s">
        <v>214</v>
      </c>
      <c r="D306" s="4" t="s">
        <v>238</v>
      </c>
      <c r="E306" s="51" t="str">
        <f>IF(_xlfn.ISFORMULA('Previsto x realizado'!AW1539) = FALSE, "","Enviado")</f>
        <v>Enviado</v>
      </c>
      <c r="F306" s="51" t="str">
        <f>IF(_xlfn.ISFORMULA('Previsto x realizado'!AX1539) = FALSE, "","Enviado")</f>
        <v>Enviado</v>
      </c>
      <c r="G306" s="51" t="str">
        <f>IF(_xlfn.ISFORMULA('Previsto x realizado'!AY1539) = FALSE, "","Enviado")</f>
        <v>Enviado</v>
      </c>
      <c r="H306" s="51" t="str">
        <f>IF(_xlfn.ISFORMULA('Previsto x realizado'!AZ1539) = FALSE, "","Enviado")</f>
        <v>Enviado</v>
      </c>
      <c r="I306" s="51" t="str">
        <f>IF(_xlfn.ISFORMULA('Previsto x realizado'!BA1539) = FALSE, "","Enviado")</f>
        <v/>
      </c>
      <c r="J306" s="51" t="str">
        <f>IF(_xlfn.ISFORMULA('Previsto x realizado'!BB1539) = FALSE, "","Enviado")</f>
        <v/>
      </c>
      <c r="K306" s="51" t="str">
        <f>IF(_xlfn.ISFORMULA('Previsto x realizado'!BC1539) = FALSE, "","Enviado")</f>
        <v/>
      </c>
      <c r="L306" s="51" t="str">
        <f>IF(_xlfn.ISFORMULA('Previsto x realizado'!BD1539) = FALSE, "","Enviado")</f>
        <v/>
      </c>
      <c r="M306" s="51" t="str">
        <f>IF(_xlfn.ISFORMULA('Previsto x realizado'!BE1539) = FALSE, "","Enviado")</f>
        <v/>
      </c>
      <c r="N306" s="51" t="str">
        <f>IF(_xlfn.ISFORMULA('Previsto x realizado'!BF1539) = FALSE, "","Enviado")</f>
        <v/>
      </c>
      <c r="O306" s="51" t="str">
        <f>IF(_xlfn.ISFORMULA('Previsto x realizado'!BG1539) = FALSE, "","Enviado")</f>
        <v/>
      </c>
      <c r="P306" s="51" t="str">
        <f>IF(_xlfn.ISFORMULA('Previsto x realizado'!BH1539) = FALSE, "","Enviado")</f>
        <v/>
      </c>
    </row>
    <row r="307" spans="1:16" x14ac:dyDescent="0.3">
      <c r="A307" s="3" t="s">
        <v>33</v>
      </c>
      <c r="B307" s="4" t="s">
        <v>73</v>
      </c>
      <c r="C307" s="5" t="s">
        <v>214</v>
      </c>
      <c r="D307" s="4" t="s">
        <v>238</v>
      </c>
      <c r="E307" s="51" t="str">
        <f>IF(_xlfn.ISFORMULA('Previsto x realizado'!AW1545) = FALSE, "","Enviado")</f>
        <v>Enviado</v>
      </c>
      <c r="F307" s="51" t="str">
        <f>IF(_xlfn.ISFORMULA('Previsto x realizado'!AX1545) = FALSE, "","Enviado")</f>
        <v>Enviado</v>
      </c>
      <c r="G307" s="51" t="str">
        <f>IF(_xlfn.ISFORMULA('Previsto x realizado'!AY1545) = FALSE, "","Enviado")</f>
        <v>Enviado</v>
      </c>
      <c r="H307" s="51" t="str">
        <f>IF(_xlfn.ISFORMULA('Previsto x realizado'!AZ1545) = FALSE, "","Enviado")</f>
        <v>Enviado</v>
      </c>
      <c r="I307" s="51" t="str">
        <f>IF(_xlfn.ISFORMULA('Previsto x realizado'!BA1545) = FALSE, "","Enviado")</f>
        <v/>
      </c>
      <c r="J307" s="51" t="str">
        <f>IF(_xlfn.ISFORMULA('Previsto x realizado'!BB1545) = FALSE, "","Enviado")</f>
        <v/>
      </c>
      <c r="K307" s="51" t="str">
        <f>IF(_xlfn.ISFORMULA('Previsto x realizado'!BC1545) = FALSE, "","Enviado")</f>
        <v/>
      </c>
      <c r="L307" s="51" t="str">
        <f>IF(_xlfn.ISFORMULA('Previsto x realizado'!BD1545) = FALSE, "","Enviado")</f>
        <v/>
      </c>
      <c r="M307" s="51" t="str">
        <f>IF(_xlfn.ISFORMULA('Previsto x realizado'!BE1545) = FALSE, "","Enviado")</f>
        <v/>
      </c>
      <c r="N307" s="51" t="str">
        <f>IF(_xlfn.ISFORMULA('Previsto x realizado'!BF1545) = FALSE, "","Enviado")</f>
        <v/>
      </c>
      <c r="O307" s="51" t="str">
        <f>IF(_xlfn.ISFORMULA('Previsto x realizado'!BG1545) = FALSE, "","Enviado")</f>
        <v/>
      </c>
      <c r="P307" s="51" t="str">
        <f>IF(_xlfn.ISFORMULA('Previsto x realizado'!BH1545) = FALSE, "","Enviado")</f>
        <v/>
      </c>
    </row>
    <row r="308" spans="1:16" x14ac:dyDescent="0.3">
      <c r="A308" s="39" t="s">
        <v>33</v>
      </c>
      <c r="B308" s="4" t="s">
        <v>73</v>
      </c>
      <c r="C308" s="5" t="s">
        <v>214</v>
      </c>
      <c r="D308" s="4" t="s">
        <v>238</v>
      </c>
      <c r="E308" s="51" t="str">
        <f>IF(_xlfn.ISFORMULA('Previsto x realizado'!AW1551) = FALSE, "","Enviado")</f>
        <v>Enviado</v>
      </c>
      <c r="F308" s="51" t="str">
        <f>IF(_xlfn.ISFORMULA('Previsto x realizado'!AX1551) = FALSE, "","Enviado")</f>
        <v>Enviado</v>
      </c>
      <c r="G308" s="51" t="str">
        <f>IF(_xlfn.ISFORMULA('Previsto x realizado'!AY1551) = FALSE, "","Enviado")</f>
        <v>Enviado</v>
      </c>
      <c r="H308" s="51" t="str">
        <f>IF(_xlfn.ISFORMULA('Previsto x realizado'!AZ1551) = FALSE, "","Enviado")</f>
        <v>Enviado</v>
      </c>
      <c r="I308" s="51" t="str">
        <f>IF(_xlfn.ISFORMULA('Previsto x realizado'!BA1551) = FALSE, "","Enviado")</f>
        <v/>
      </c>
      <c r="J308" s="51" t="str">
        <f>IF(_xlfn.ISFORMULA('Previsto x realizado'!BB1551) = FALSE, "","Enviado")</f>
        <v/>
      </c>
      <c r="K308" s="51" t="str">
        <f>IF(_xlfn.ISFORMULA('Previsto x realizado'!BC1551) = FALSE, "","Enviado")</f>
        <v/>
      </c>
      <c r="L308" s="51" t="str">
        <f>IF(_xlfn.ISFORMULA('Previsto x realizado'!BD1551) = FALSE, "","Enviado")</f>
        <v/>
      </c>
      <c r="M308" s="51" t="str">
        <f>IF(_xlfn.ISFORMULA('Previsto x realizado'!BE1551) = FALSE, "","Enviado")</f>
        <v/>
      </c>
      <c r="N308" s="51" t="str">
        <f>IF(_xlfn.ISFORMULA('Previsto x realizado'!BF1551) = FALSE, "","Enviado")</f>
        <v/>
      </c>
      <c r="O308" s="51" t="str">
        <f>IF(_xlfn.ISFORMULA('Previsto x realizado'!BG1551) = FALSE, "","Enviado")</f>
        <v/>
      </c>
      <c r="P308" s="51" t="str">
        <f>IF(_xlfn.ISFORMULA('Previsto x realizado'!BH1551) = FALSE, "","Enviado")</f>
        <v/>
      </c>
    </row>
    <row r="309" spans="1:16" x14ac:dyDescent="0.3">
      <c r="A309" s="3" t="s">
        <v>33</v>
      </c>
      <c r="B309" s="4" t="s">
        <v>77</v>
      </c>
      <c r="C309" s="5" t="s">
        <v>214</v>
      </c>
      <c r="D309" s="4" t="s">
        <v>238</v>
      </c>
      <c r="E309" s="51" t="str">
        <f>IF(_xlfn.ISFORMULA('Previsto x realizado'!AW1557) = FALSE, "","Enviado")</f>
        <v>Enviado</v>
      </c>
      <c r="F309" s="51" t="str">
        <f>IF(_xlfn.ISFORMULA('Previsto x realizado'!AX1557) = FALSE, "","Enviado")</f>
        <v>Enviado</v>
      </c>
      <c r="G309" s="51" t="str">
        <f>IF(_xlfn.ISFORMULA('Previsto x realizado'!AY1557) = FALSE, "","Enviado")</f>
        <v>Enviado</v>
      </c>
      <c r="H309" s="51" t="str">
        <f>IF(_xlfn.ISFORMULA('Previsto x realizado'!AZ1557) = FALSE, "","Enviado")</f>
        <v>Enviado</v>
      </c>
      <c r="I309" s="51" t="str">
        <f>IF(_xlfn.ISFORMULA('Previsto x realizado'!BA1557) = FALSE, "","Enviado")</f>
        <v/>
      </c>
      <c r="J309" s="51" t="str">
        <f>IF(_xlfn.ISFORMULA('Previsto x realizado'!BB1557) = FALSE, "","Enviado")</f>
        <v/>
      </c>
      <c r="K309" s="51" t="str">
        <f>IF(_xlfn.ISFORMULA('Previsto x realizado'!BC1557) = FALSE, "","Enviado")</f>
        <v/>
      </c>
      <c r="L309" s="51" t="str">
        <f>IF(_xlfn.ISFORMULA('Previsto x realizado'!BD1557) = FALSE, "","Enviado")</f>
        <v/>
      </c>
      <c r="M309" s="51" t="str">
        <f>IF(_xlfn.ISFORMULA('Previsto x realizado'!BE1557) = FALSE, "","Enviado")</f>
        <v/>
      </c>
      <c r="N309" s="51" t="str">
        <f>IF(_xlfn.ISFORMULA('Previsto x realizado'!BF1557) = FALSE, "","Enviado")</f>
        <v/>
      </c>
      <c r="O309" s="51" t="str">
        <f>IF(_xlfn.ISFORMULA('Previsto x realizado'!BG1557) = FALSE, "","Enviado")</f>
        <v/>
      </c>
      <c r="P309" s="51" t="str">
        <f>IF(_xlfn.ISFORMULA('Previsto x realizado'!BH1557) = FALSE, "","Enviado")</f>
        <v/>
      </c>
    </row>
    <row r="310" spans="1:16" x14ac:dyDescent="0.3">
      <c r="A310" s="39" t="s">
        <v>33</v>
      </c>
      <c r="B310" s="4" t="s">
        <v>77</v>
      </c>
      <c r="C310" s="5" t="s">
        <v>214</v>
      </c>
      <c r="D310" s="4" t="s">
        <v>238</v>
      </c>
      <c r="E310" s="51" t="str">
        <f>IF(_xlfn.ISFORMULA('Previsto x realizado'!AW1563) = FALSE, "","Enviado")</f>
        <v>Enviado</v>
      </c>
      <c r="F310" s="51" t="str">
        <f>IF(_xlfn.ISFORMULA('Previsto x realizado'!AX1563) = FALSE, "","Enviado")</f>
        <v>Enviado</v>
      </c>
      <c r="G310" s="51" t="str">
        <f>IF(_xlfn.ISFORMULA('Previsto x realizado'!AY1563) = FALSE, "","Enviado")</f>
        <v>Enviado</v>
      </c>
      <c r="H310" s="51" t="str">
        <f>IF(_xlfn.ISFORMULA('Previsto x realizado'!AZ1563) = FALSE, "","Enviado")</f>
        <v>Enviado</v>
      </c>
      <c r="I310" s="51" t="str">
        <f>IF(_xlfn.ISFORMULA('Previsto x realizado'!BA1563) = FALSE, "","Enviado")</f>
        <v/>
      </c>
      <c r="J310" s="51" t="str">
        <f>IF(_xlfn.ISFORMULA('Previsto x realizado'!BB1563) = FALSE, "","Enviado")</f>
        <v/>
      </c>
      <c r="K310" s="51" t="str">
        <f>IF(_xlfn.ISFORMULA('Previsto x realizado'!BC1563) = FALSE, "","Enviado")</f>
        <v/>
      </c>
      <c r="L310" s="51" t="str">
        <f>IF(_xlfn.ISFORMULA('Previsto x realizado'!BD1563) = FALSE, "","Enviado")</f>
        <v/>
      </c>
      <c r="M310" s="51" t="str">
        <f>IF(_xlfn.ISFORMULA('Previsto x realizado'!BE1563) = FALSE, "","Enviado")</f>
        <v/>
      </c>
      <c r="N310" s="51" t="str">
        <f>IF(_xlfn.ISFORMULA('Previsto x realizado'!BF1563) = FALSE, "","Enviado")</f>
        <v/>
      </c>
      <c r="O310" s="51" t="str">
        <f>IF(_xlfn.ISFORMULA('Previsto x realizado'!BG1563) = FALSE, "","Enviado")</f>
        <v/>
      </c>
      <c r="P310" s="51" t="str">
        <f>IF(_xlfn.ISFORMULA('Previsto x realizado'!BH1563) = FALSE, "","Enviado")</f>
        <v/>
      </c>
    </row>
    <row r="311" spans="1:16" x14ac:dyDescent="0.3">
      <c r="A311" s="3" t="s">
        <v>33</v>
      </c>
      <c r="B311" s="4" t="s">
        <v>81</v>
      </c>
      <c r="C311" s="5" t="s">
        <v>214</v>
      </c>
      <c r="D311" s="4" t="s">
        <v>238</v>
      </c>
      <c r="E311" s="51" t="str">
        <f>IF(_xlfn.ISFORMULA('Previsto x realizado'!AW1569) = FALSE, "","Enviado")</f>
        <v>Enviado</v>
      </c>
      <c r="F311" s="51" t="str">
        <f>IF(_xlfn.ISFORMULA('Previsto x realizado'!AX1569) = FALSE, "","Enviado")</f>
        <v>Enviado</v>
      </c>
      <c r="G311" s="51" t="str">
        <f>IF(_xlfn.ISFORMULA('Previsto x realizado'!AY1569) = FALSE, "","Enviado")</f>
        <v>Enviado</v>
      </c>
      <c r="H311" s="51" t="str">
        <f>IF(_xlfn.ISFORMULA('Previsto x realizado'!AZ1569) = FALSE, "","Enviado")</f>
        <v>Enviado</v>
      </c>
      <c r="I311" s="51" t="str">
        <f>IF(_xlfn.ISFORMULA('Previsto x realizado'!BA1569) = FALSE, "","Enviado")</f>
        <v/>
      </c>
      <c r="J311" s="51" t="str">
        <f>IF(_xlfn.ISFORMULA('Previsto x realizado'!BB1569) = FALSE, "","Enviado")</f>
        <v/>
      </c>
      <c r="K311" s="51" t="str">
        <f>IF(_xlfn.ISFORMULA('Previsto x realizado'!BC1569) = FALSE, "","Enviado")</f>
        <v/>
      </c>
      <c r="L311" s="51" t="str">
        <f>IF(_xlfn.ISFORMULA('Previsto x realizado'!BD1569) = FALSE, "","Enviado")</f>
        <v/>
      </c>
      <c r="M311" s="51" t="str">
        <f>IF(_xlfn.ISFORMULA('Previsto x realizado'!BE1569) = FALSE, "","Enviado")</f>
        <v/>
      </c>
      <c r="N311" s="51" t="str">
        <f>IF(_xlfn.ISFORMULA('Previsto x realizado'!BF1569) = FALSE, "","Enviado")</f>
        <v/>
      </c>
      <c r="O311" s="51" t="str">
        <f>IF(_xlfn.ISFORMULA('Previsto x realizado'!BG1569) = FALSE, "","Enviado")</f>
        <v/>
      </c>
      <c r="P311" s="51" t="str">
        <f>IF(_xlfn.ISFORMULA('Previsto x realizado'!BH1569) = FALSE, "","Enviado")</f>
        <v/>
      </c>
    </row>
    <row r="312" spans="1:16" x14ac:dyDescent="0.3">
      <c r="A312" s="39" t="s">
        <v>33</v>
      </c>
      <c r="B312" s="4" t="s">
        <v>81</v>
      </c>
      <c r="C312" s="5" t="s">
        <v>214</v>
      </c>
      <c r="D312" s="4" t="s">
        <v>238</v>
      </c>
      <c r="E312" s="51" t="str">
        <f>IF(_xlfn.ISFORMULA('Previsto x realizado'!AW1575) = FALSE, "","Enviado")</f>
        <v>Enviado</v>
      </c>
      <c r="F312" s="51" t="str">
        <f>IF(_xlfn.ISFORMULA('Previsto x realizado'!AX1575) = FALSE, "","Enviado")</f>
        <v>Enviado</v>
      </c>
      <c r="G312" s="51" t="str">
        <f>IF(_xlfn.ISFORMULA('Previsto x realizado'!AY1575) = FALSE, "","Enviado")</f>
        <v>Enviado</v>
      </c>
      <c r="H312" s="51" t="str">
        <f>IF(_xlfn.ISFORMULA('Previsto x realizado'!AZ1575) = FALSE, "","Enviado")</f>
        <v>Enviado</v>
      </c>
      <c r="I312" s="51" t="str">
        <f>IF(_xlfn.ISFORMULA('Previsto x realizado'!BA1575) = FALSE, "","Enviado")</f>
        <v/>
      </c>
      <c r="J312" s="51" t="str">
        <f>IF(_xlfn.ISFORMULA('Previsto x realizado'!BB1575) = FALSE, "","Enviado")</f>
        <v/>
      </c>
      <c r="K312" s="51" t="str">
        <f>IF(_xlfn.ISFORMULA('Previsto x realizado'!BC1575) = FALSE, "","Enviado")</f>
        <v/>
      </c>
      <c r="L312" s="51" t="str">
        <f>IF(_xlfn.ISFORMULA('Previsto x realizado'!BD1575) = FALSE, "","Enviado")</f>
        <v/>
      </c>
      <c r="M312" s="51" t="str">
        <f>IF(_xlfn.ISFORMULA('Previsto x realizado'!BE1575) = FALSE, "","Enviado")</f>
        <v/>
      </c>
      <c r="N312" s="51" t="str">
        <f>IF(_xlfn.ISFORMULA('Previsto x realizado'!BF1575) = FALSE, "","Enviado")</f>
        <v/>
      </c>
      <c r="O312" s="51" t="str">
        <f>IF(_xlfn.ISFORMULA('Previsto x realizado'!BG1575) = FALSE, "","Enviado")</f>
        <v/>
      </c>
      <c r="P312" s="51" t="str">
        <f>IF(_xlfn.ISFORMULA('Previsto x realizado'!BH1575) = FALSE, "","Enviado")</f>
        <v/>
      </c>
    </row>
    <row r="313" spans="1:16" ht="27.6" x14ac:dyDescent="0.3">
      <c r="A313" s="3" t="s">
        <v>33</v>
      </c>
      <c r="B313" s="4" t="s">
        <v>84</v>
      </c>
      <c r="C313" s="5" t="s">
        <v>214</v>
      </c>
      <c r="D313" s="4" t="s">
        <v>267</v>
      </c>
      <c r="E313" s="51" t="str">
        <f>IF(_xlfn.ISFORMULA('Previsto x realizado'!AW1581) = FALSE, "","Enviado")</f>
        <v>Enviado</v>
      </c>
      <c r="F313" s="51" t="str">
        <f>IF(_xlfn.ISFORMULA('Previsto x realizado'!AX1581) = FALSE, "","Enviado")</f>
        <v>Enviado</v>
      </c>
      <c r="G313" s="51" t="str">
        <f>IF(_xlfn.ISFORMULA('Previsto x realizado'!AY1581) = FALSE, "","Enviado")</f>
        <v>Enviado</v>
      </c>
      <c r="H313" s="51" t="str">
        <f>IF(_xlfn.ISFORMULA('Previsto x realizado'!AZ1581) = FALSE, "","Enviado")</f>
        <v>Enviado</v>
      </c>
      <c r="I313" s="51" t="str">
        <f>IF(_xlfn.ISFORMULA('Previsto x realizado'!BA1581) = FALSE, "","Enviado")</f>
        <v/>
      </c>
      <c r="J313" s="51" t="str">
        <f>IF(_xlfn.ISFORMULA('Previsto x realizado'!BB1581) = FALSE, "","Enviado")</f>
        <v/>
      </c>
      <c r="K313" s="51" t="str">
        <f>IF(_xlfn.ISFORMULA('Previsto x realizado'!BC1581) = FALSE, "","Enviado")</f>
        <v/>
      </c>
      <c r="L313" s="51" t="str">
        <f>IF(_xlfn.ISFORMULA('Previsto x realizado'!BD1581) = FALSE, "","Enviado")</f>
        <v/>
      </c>
      <c r="M313" s="51" t="str">
        <f>IF(_xlfn.ISFORMULA('Previsto x realizado'!BE1581) = FALSE, "","Enviado")</f>
        <v/>
      </c>
      <c r="N313" s="51" t="str">
        <f>IF(_xlfn.ISFORMULA('Previsto x realizado'!BF1581) = FALSE, "","Enviado")</f>
        <v/>
      </c>
      <c r="O313" s="51" t="str">
        <f>IF(_xlfn.ISFORMULA('Previsto x realizado'!BG1581) = FALSE, "","Enviado")</f>
        <v/>
      </c>
      <c r="P313" s="51" t="str">
        <f>IF(_xlfn.ISFORMULA('Previsto x realizado'!BH1581) = FALSE, "","Enviado")</f>
        <v/>
      </c>
    </row>
    <row r="314" spans="1:16" ht="27.6" hidden="1" x14ac:dyDescent="0.3">
      <c r="A314" s="39" t="s">
        <v>33</v>
      </c>
      <c r="B314" s="4" t="s">
        <v>84</v>
      </c>
      <c r="C314" s="5" t="s">
        <v>214</v>
      </c>
      <c r="D314" s="4" t="s">
        <v>267</v>
      </c>
      <c r="E314" s="51" t="str">
        <f>IF(_xlfn.ISFORMULA('Previsto x realizado'!AW1592) = FALSE, "","Enviado")</f>
        <v>Enviado</v>
      </c>
      <c r="F314" s="51" t="str">
        <f>IF(_xlfn.ISFORMULA('Previsto x realizado'!AX1592) = FALSE, "","Enviado")</f>
        <v>Enviado</v>
      </c>
      <c r="G314" s="51" t="str">
        <f>IF(_xlfn.ISFORMULA('Previsto x realizado'!AY1592) = FALSE, "","Enviado")</f>
        <v>Enviado</v>
      </c>
      <c r="H314" s="51" t="str">
        <f>IF(_xlfn.ISFORMULA('Previsto x realizado'!AZ1592) = FALSE, "","Enviado")</f>
        <v>Enviado</v>
      </c>
      <c r="I314" s="51" t="str">
        <f>IF(_xlfn.ISFORMULA('Previsto x realizado'!BA1592) = FALSE, "","Enviado")</f>
        <v/>
      </c>
      <c r="J314" s="51" t="str">
        <f>IF(_xlfn.ISFORMULA('Previsto x realizado'!BB1592) = FALSE, "","Enviado")</f>
        <v/>
      </c>
      <c r="K314" s="51" t="str">
        <f>IF(_xlfn.ISFORMULA('Previsto x realizado'!BC1592) = FALSE, "","Enviado")</f>
        <v/>
      </c>
      <c r="L314" s="51" t="str">
        <f>IF(_xlfn.ISFORMULA('Previsto x realizado'!BD1592) = FALSE, "","Enviado")</f>
        <v/>
      </c>
      <c r="M314" s="51" t="str">
        <f>IF(_xlfn.ISFORMULA('Previsto x realizado'!BE1592) = FALSE, "","Enviado")</f>
        <v/>
      </c>
      <c r="N314" s="51" t="str">
        <f>IF(_xlfn.ISFORMULA('Previsto x realizado'!BF1592) = FALSE, "","Enviado")</f>
        <v/>
      </c>
      <c r="O314" s="51" t="str">
        <f>IF(_xlfn.ISFORMULA('Previsto x realizado'!BG1592) = FALSE, "","Enviado")</f>
        <v/>
      </c>
      <c r="P314" s="51" t="str">
        <f>IF(_xlfn.ISFORMULA('Previsto x realizado'!BH1592) = FALSE, "","Enviado")</f>
        <v/>
      </c>
    </row>
    <row r="315" spans="1:16" x14ac:dyDescent="0.3">
      <c r="A315" s="20" t="s">
        <v>87</v>
      </c>
      <c r="B315" s="4" t="s">
        <v>222</v>
      </c>
      <c r="C315" s="5" t="s">
        <v>214</v>
      </c>
      <c r="D315" s="4" t="s">
        <v>238</v>
      </c>
      <c r="E315" s="51" t="str">
        <f>IF(_xlfn.ISFORMULA('Previsto x realizado'!AW1595) = FALSE, "","Enviado")</f>
        <v>Enviado</v>
      </c>
      <c r="F315" s="51" t="str">
        <f>IF(_xlfn.ISFORMULA('Previsto x realizado'!AX1595) = FALSE, "","Enviado")</f>
        <v>Enviado</v>
      </c>
      <c r="G315" s="51" t="str">
        <f>IF(_xlfn.ISFORMULA('Previsto x realizado'!AY1595) = FALSE, "","Enviado")</f>
        <v>Enviado</v>
      </c>
      <c r="H315" s="51" t="str">
        <f>IF(_xlfn.ISFORMULA('Previsto x realizado'!AZ1595) = FALSE, "","Enviado")</f>
        <v>Enviado</v>
      </c>
      <c r="I315" s="51" t="str">
        <f>IF(_xlfn.ISFORMULA('Previsto x realizado'!BA1595) = FALSE, "","Enviado")</f>
        <v>Enviado</v>
      </c>
      <c r="J315" s="51" t="str">
        <f>IF(_xlfn.ISFORMULA('Previsto x realizado'!BB1595) = FALSE, "","Enviado")</f>
        <v/>
      </c>
      <c r="K315" s="51" t="str">
        <f>IF(_xlfn.ISFORMULA('Previsto x realizado'!BC1595) = FALSE, "","Enviado")</f>
        <v/>
      </c>
      <c r="L315" s="51" t="str">
        <f>IF(_xlfn.ISFORMULA('Previsto x realizado'!BD1595) = FALSE, "","Enviado")</f>
        <v/>
      </c>
      <c r="M315" s="51" t="str">
        <f>IF(_xlfn.ISFORMULA('Previsto x realizado'!BE1595) = FALSE, "","Enviado")</f>
        <v/>
      </c>
      <c r="N315" s="51" t="str">
        <f>IF(_xlfn.ISFORMULA('Previsto x realizado'!BF1595) = FALSE, "","Enviado")</f>
        <v/>
      </c>
      <c r="O315" s="51" t="str">
        <f>IF(_xlfn.ISFORMULA('Previsto x realizado'!BG1595) = FALSE, "","Enviado")</f>
        <v/>
      </c>
      <c r="P315" s="51" t="str">
        <f>IF(_xlfn.ISFORMULA('Previsto x realizado'!BH1595) = FALSE, "","Enviado")</f>
        <v/>
      </c>
    </row>
    <row r="316" spans="1:16" x14ac:dyDescent="0.3">
      <c r="A316" s="40" t="s">
        <v>87</v>
      </c>
      <c r="B316" s="4" t="s">
        <v>222</v>
      </c>
      <c r="C316" s="5" t="s">
        <v>214</v>
      </c>
      <c r="D316" s="4" t="s">
        <v>238</v>
      </c>
      <c r="E316" s="51" t="str">
        <f>IF(_xlfn.ISFORMULA('Previsto x realizado'!AW1596) = FALSE, "","Enviado")</f>
        <v>Enviado</v>
      </c>
      <c r="F316" s="51" t="str">
        <f>IF(_xlfn.ISFORMULA('Previsto x realizado'!AX1596) = FALSE, "","Enviado")</f>
        <v>Enviado</v>
      </c>
      <c r="G316" s="51" t="str">
        <f>IF(_xlfn.ISFORMULA('Previsto x realizado'!AY1596) = FALSE, "","Enviado")</f>
        <v>Enviado</v>
      </c>
      <c r="H316" s="51" t="str">
        <f>IF(_xlfn.ISFORMULA('Previsto x realizado'!AZ1596) = FALSE, "","Enviado")</f>
        <v>Enviado</v>
      </c>
      <c r="I316" s="51" t="str">
        <f>IF(_xlfn.ISFORMULA('Previsto x realizado'!BA1596) = FALSE, "","Enviado")</f>
        <v>Enviado</v>
      </c>
      <c r="J316" s="51" t="str">
        <f>IF(_xlfn.ISFORMULA('Previsto x realizado'!BB1596) = FALSE, "","Enviado")</f>
        <v/>
      </c>
      <c r="K316" s="51" t="str">
        <f>IF(_xlfn.ISFORMULA('Previsto x realizado'!BC1596) = FALSE, "","Enviado")</f>
        <v/>
      </c>
      <c r="L316" s="51" t="str">
        <f>IF(_xlfn.ISFORMULA('Previsto x realizado'!BD1596) = FALSE, "","Enviado")</f>
        <v/>
      </c>
      <c r="M316" s="51" t="str">
        <f>IF(_xlfn.ISFORMULA('Previsto x realizado'!BE1596) = FALSE, "","Enviado")</f>
        <v/>
      </c>
      <c r="N316" s="51" t="str">
        <f>IF(_xlfn.ISFORMULA('Previsto x realizado'!BF1596) = FALSE, "","Enviado")</f>
        <v/>
      </c>
      <c r="O316" s="51" t="str">
        <f>IF(_xlfn.ISFORMULA('Previsto x realizado'!BG1596) = FALSE, "","Enviado")</f>
        <v/>
      </c>
      <c r="P316" s="51" t="str">
        <f>IF(_xlfn.ISFORMULA('Previsto x realizado'!BH1596) = FALSE, "","Enviado")</f>
        <v/>
      </c>
    </row>
    <row r="317" spans="1:16" x14ac:dyDescent="0.3">
      <c r="A317" s="20" t="s">
        <v>87</v>
      </c>
      <c r="B317" s="4" t="s">
        <v>229</v>
      </c>
      <c r="C317" s="5" t="s">
        <v>214</v>
      </c>
      <c r="D317" s="4" t="s">
        <v>238</v>
      </c>
      <c r="E317" s="51" t="str">
        <f>IF(_xlfn.ISFORMULA('Previsto x realizado'!AW1597) = FALSE, "","Enviado")</f>
        <v>Enviado</v>
      </c>
      <c r="F317" s="51" t="str">
        <f>IF(_xlfn.ISFORMULA('Previsto x realizado'!AX1597) = FALSE, "","Enviado")</f>
        <v>Enviado</v>
      </c>
      <c r="G317" s="51" t="str">
        <f>IF(_xlfn.ISFORMULA('Previsto x realizado'!AY1597) = FALSE, "","Enviado")</f>
        <v>Enviado</v>
      </c>
      <c r="H317" s="51" t="str">
        <f>IF(_xlfn.ISFORMULA('Previsto x realizado'!AZ1597) = FALSE, "","Enviado")</f>
        <v>Enviado</v>
      </c>
      <c r="I317" s="51" t="str">
        <f>IF(_xlfn.ISFORMULA('Previsto x realizado'!BA1597) = FALSE, "","Enviado")</f>
        <v>Enviado</v>
      </c>
      <c r="J317" s="51" t="str">
        <f>IF(_xlfn.ISFORMULA('Previsto x realizado'!BB1597) = FALSE, "","Enviado")</f>
        <v/>
      </c>
      <c r="K317" s="51" t="str">
        <f>IF(_xlfn.ISFORMULA('Previsto x realizado'!BC1597) = FALSE, "","Enviado")</f>
        <v/>
      </c>
      <c r="L317" s="51" t="str">
        <f>IF(_xlfn.ISFORMULA('Previsto x realizado'!BD1597) = FALSE, "","Enviado")</f>
        <v/>
      </c>
      <c r="M317" s="51" t="str">
        <f>IF(_xlfn.ISFORMULA('Previsto x realizado'!BE1597) = FALSE, "","Enviado")</f>
        <v/>
      </c>
      <c r="N317" s="51" t="str">
        <f>IF(_xlfn.ISFORMULA('Previsto x realizado'!BF1597) = FALSE, "","Enviado")</f>
        <v/>
      </c>
      <c r="O317" s="51" t="str">
        <f>IF(_xlfn.ISFORMULA('Previsto x realizado'!BG1597) = FALSE, "","Enviado")</f>
        <v/>
      </c>
      <c r="P317" s="51" t="str">
        <f>IF(_xlfn.ISFORMULA('Previsto x realizado'!BH1597) = FALSE, "","Enviado")</f>
        <v/>
      </c>
    </row>
    <row r="318" spans="1:16" x14ac:dyDescent="0.3">
      <c r="A318" s="40" t="s">
        <v>87</v>
      </c>
      <c r="B318" s="4" t="s">
        <v>229</v>
      </c>
      <c r="C318" s="5" t="s">
        <v>214</v>
      </c>
      <c r="D318" s="4" t="s">
        <v>238</v>
      </c>
      <c r="E318" s="51" t="str">
        <f>IF(_xlfn.ISFORMULA('Previsto x realizado'!AW1608) = FALSE, "","Enviado")</f>
        <v>Enviado</v>
      </c>
      <c r="F318" s="51" t="str">
        <f>IF(_xlfn.ISFORMULA('Previsto x realizado'!AX1608) = FALSE, "","Enviado")</f>
        <v>Enviado</v>
      </c>
      <c r="G318" s="51" t="str">
        <f>IF(_xlfn.ISFORMULA('Previsto x realizado'!AY1608) = FALSE, "","Enviado")</f>
        <v>Enviado</v>
      </c>
      <c r="H318" s="51" t="str">
        <f>IF(_xlfn.ISFORMULA('Previsto x realizado'!AZ1608) = FALSE, "","Enviado")</f>
        <v>Enviado</v>
      </c>
      <c r="I318" s="51" t="str">
        <f>IF(_xlfn.ISFORMULA('Previsto x realizado'!BA1608) = FALSE, "","Enviado")</f>
        <v>Enviado</v>
      </c>
      <c r="J318" s="51" t="str">
        <f>IF(_xlfn.ISFORMULA('Previsto x realizado'!BB1608) = FALSE, "","Enviado")</f>
        <v/>
      </c>
      <c r="K318" s="51" t="str">
        <f>IF(_xlfn.ISFORMULA('Previsto x realizado'!BC1608) = FALSE, "","Enviado")</f>
        <v/>
      </c>
      <c r="L318" s="51" t="str">
        <f>IF(_xlfn.ISFORMULA('Previsto x realizado'!BD1608) = FALSE, "","Enviado")</f>
        <v/>
      </c>
      <c r="M318" s="51" t="str">
        <f>IF(_xlfn.ISFORMULA('Previsto x realizado'!BE1608) = FALSE, "","Enviado")</f>
        <v/>
      </c>
      <c r="N318" s="51" t="str">
        <f>IF(_xlfn.ISFORMULA('Previsto x realizado'!BF1608) = FALSE, "","Enviado")</f>
        <v/>
      </c>
      <c r="O318" s="51" t="str">
        <f>IF(_xlfn.ISFORMULA('Previsto x realizado'!BG1608) = FALSE, "","Enviado")</f>
        <v/>
      </c>
      <c r="P318" s="51" t="str">
        <f>IF(_xlfn.ISFORMULA('Previsto x realizado'!BH1608) = FALSE, "","Enviado")</f>
        <v/>
      </c>
    </row>
    <row r="319" spans="1:16" x14ac:dyDescent="0.3">
      <c r="A319" s="20" t="s">
        <v>87</v>
      </c>
      <c r="B319" s="4" t="s">
        <v>232</v>
      </c>
      <c r="C319" s="5" t="s">
        <v>214</v>
      </c>
      <c r="D319" s="4" t="s">
        <v>238</v>
      </c>
      <c r="E319" s="51" t="str">
        <f>IF(_xlfn.ISFORMULA('Previsto x realizado'!AW1619) = FALSE, "","Enviado")</f>
        <v>Enviado</v>
      </c>
      <c r="F319" s="51" t="str">
        <f>IF(_xlfn.ISFORMULA('Previsto x realizado'!AX1619) = FALSE, "","Enviado")</f>
        <v>Enviado</v>
      </c>
      <c r="G319" s="51" t="str">
        <f>IF(_xlfn.ISFORMULA('Previsto x realizado'!AY1619) = FALSE, "","Enviado")</f>
        <v>Enviado</v>
      </c>
      <c r="H319" s="51" t="str">
        <f>IF(_xlfn.ISFORMULA('Previsto x realizado'!AZ1619) = FALSE, "","Enviado")</f>
        <v>Enviado</v>
      </c>
      <c r="I319" s="51" t="str">
        <f>IF(_xlfn.ISFORMULA('Previsto x realizado'!BA1619) = FALSE, "","Enviado")</f>
        <v>Enviado</v>
      </c>
      <c r="J319" s="51" t="str">
        <f>IF(_xlfn.ISFORMULA('Previsto x realizado'!BB1619) = FALSE, "","Enviado")</f>
        <v/>
      </c>
      <c r="K319" s="51" t="str">
        <f>IF(_xlfn.ISFORMULA('Previsto x realizado'!BC1619) = FALSE, "","Enviado")</f>
        <v/>
      </c>
      <c r="L319" s="51" t="str">
        <f>IF(_xlfn.ISFORMULA('Previsto x realizado'!BD1619) = FALSE, "","Enviado")</f>
        <v/>
      </c>
      <c r="M319" s="51" t="str">
        <f>IF(_xlfn.ISFORMULA('Previsto x realizado'!BE1619) = FALSE, "","Enviado")</f>
        <v/>
      </c>
      <c r="N319" s="51" t="str">
        <f>IF(_xlfn.ISFORMULA('Previsto x realizado'!BF1619) = FALSE, "","Enviado")</f>
        <v/>
      </c>
      <c r="O319" s="51" t="str">
        <f>IF(_xlfn.ISFORMULA('Previsto x realizado'!BG1619) = FALSE, "","Enviado")</f>
        <v/>
      </c>
      <c r="P319" s="51" t="str">
        <f>IF(_xlfn.ISFORMULA('Previsto x realizado'!BH1619) = FALSE, "","Enviado")</f>
        <v/>
      </c>
    </row>
    <row r="320" spans="1:16" x14ac:dyDescent="0.3">
      <c r="A320" s="40" t="s">
        <v>87</v>
      </c>
      <c r="B320" s="4" t="s">
        <v>232</v>
      </c>
      <c r="C320" s="5" t="s">
        <v>214</v>
      </c>
      <c r="D320" s="4" t="s">
        <v>238</v>
      </c>
      <c r="E320" s="51" t="str">
        <f>IF(_xlfn.ISFORMULA('Previsto x realizado'!AW1625) = FALSE, "","Enviado")</f>
        <v>Enviado</v>
      </c>
      <c r="F320" s="51" t="str">
        <f>IF(_xlfn.ISFORMULA('Previsto x realizado'!AX1625) = FALSE, "","Enviado")</f>
        <v>Enviado</v>
      </c>
      <c r="G320" s="51" t="str">
        <f>IF(_xlfn.ISFORMULA('Previsto x realizado'!AY1625) = FALSE, "","Enviado")</f>
        <v>Enviado</v>
      </c>
      <c r="H320" s="51" t="str">
        <f>IF(_xlfn.ISFORMULA('Previsto x realizado'!AZ1625) = FALSE, "","Enviado")</f>
        <v>Enviado</v>
      </c>
      <c r="I320" s="51" t="str">
        <f>IF(_xlfn.ISFORMULA('Previsto x realizado'!BA1625) = FALSE, "","Enviado")</f>
        <v>Enviado</v>
      </c>
      <c r="J320" s="51" t="str">
        <f>IF(_xlfn.ISFORMULA('Previsto x realizado'!BB1625) = FALSE, "","Enviado")</f>
        <v/>
      </c>
      <c r="K320" s="51" t="str">
        <f>IF(_xlfn.ISFORMULA('Previsto x realizado'!BC1625) = FALSE, "","Enviado")</f>
        <v/>
      </c>
      <c r="L320" s="51" t="str">
        <f>IF(_xlfn.ISFORMULA('Previsto x realizado'!BD1625) = FALSE, "","Enviado")</f>
        <v/>
      </c>
      <c r="M320" s="51" t="str">
        <f>IF(_xlfn.ISFORMULA('Previsto x realizado'!BE1625) = FALSE, "","Enviado")</f>
        <v/>
      </c>
      <c r="N320" s="51" t="str">
        <f>IF(_xlfn.ISFORMULA('Previsto x realizado'!BF1625) = FALSE, "","Enviado")</f>
        <v/>
      </c>
      <c r="O320" s="51" t="str">
        <f>IF(_xlfn.ISFORMULA('Previsto x realizado'!BG1625) = FALSE, "","Enviado")</f>
        <v/>
      </c>
      <c r="P320" s="51" t="str">
        <f>IF(_xlfn.ISFORMULA('Previsto x realizado'!BH1625) = FALSE, "","Enviado")</f>
        <v/>
      </c>
    </row>
    <row r="321" spans="1:16" ht="27.6" x14ac:dyDescent="0.3">
      <c r="A321" s="20" t="s">
        <v>87</v>
      </c>
      <c r="B321" s="4" t="s">
        <v>88</v>
      </c>
      <c r="C321" s="5" t="s">
        <v>214</v>
      </c>
      <c r="D321" s="4" t="s">
        <v>267</v>
      </c>
      <c r="E321" s="51" t="str">
        <f>IF(_xlfn.ISFORMULA('Previsto x realizado'!AW1631) = FALSE, "","Enviado")</f>
        <v>Enviado</v>
      </c>
      <c r="F321" s="51" t="str">
        <f>IF(_xlfn.ISFORMULA('Previsto x realizado'!AX1631) = FALSE, "","Enviado")</f>
        <v>Enviado</v>
      </c>
      <c r="G321" s="51" t="str">
        <f>IF(_xlfn.ISFORMULA('Previsto x realizado'!AY1631) = FALSE, "","Enviado")</f>
        <v>Enviado</v>
      </c>
      <c r="H321" s="51" t="str">
        <f>IF(_xlfn.ISFORMULA('Previsto x realizado'!AZ1631) = FALSE, "","Enviado")</f>
        <v>Enviado</v>
      </c>
      <c r="I321" s="51" t="str">
        <f>IF(_xlfn.ISFORMULA('Previsto x realizado'!BA1631) = FALSE, "","Enviado")</f>
        <v>Enviado</v>
      </c>
      <c r="J321" s="51" t="str">
        <f>IF(_xlfn.ISFORMULA('Previsto x realizado'!BB1631) = FALSE, "","Enviado")</f>
        <v/>
      </c>
      <c r="K321" s="51" t="str">
        <f>IF(_xlfn.ISFORMULA('Previsto x realizado'!BC1631) = FALSE, "","Enviado")</f>
        <v/>
      </c>
      <c r="L321" s="51" t="str">
        <f>IF(_xlfn.ISFORMULA('Previsto x realizado'!BD1631) = FALSE, "","Enviado")</f>
        <v/>
      </c>
      <c r="M321" s="51" t="str">
        <f>IF(_xlfn.ISFORMULA('Previsto x realizado'!BE1631) = FALSE, "","Enviado")</f>
        <v/>
      </c>
      <c r="N321" s="51" t="str">
        <f>IF(_xlfn.ISFORMULA('Previsto x realizado'!BF1631) = FALSE, "","Enviado")</f>
        <v/>
      </c>
      <c r="O321" s="51" t="str">
        <f>IF(_xlfn.ISFORMULA('Previsto x realizado'!BG1631) = FALSE, "","Enviado")</f>
        <v/>
      </c>
      <c r="P321" s="51" t="str">
        <f>IF(_xlfn.ISFORMULA('Previsto x realizado'!BH1631) = FALSE, "","Enviado")</f>
        <v/>
      </c>
    </row>
    <row r="322" spans="1:16" ht="27.6" x14ac:dyDescent="0.3">
      <c r="A322" s="40" t="s">
        <v>87</v>
      </c>
      <c r="B322" s="4" t="s">
        <v>88</v>
      </c>
      <c r="C322" s="5" t="s">
        <v>214</v>
      </c>
      <c r="D322" s="4" t="s">
        <v>267</v>
      </c>
      <c r="E322" s="51" t="str">
        <f>IF(_xlfn.ISFORMULA('Previsto x realizado'!AW1637) = FALSE, "","Enviado")</f>
        <v>Enviado</v>
      </c>
      <c r="F322" s="51" t="str">
        <f>IF(_xlfn.ISFORMULA('Previsto x realizado'!AX1637) = FALSE, "","Enviado")</f>
        <v>Enviado</v>
      </c>
      <c r="G322" s="51" t="str">
        <f>IF(_xlfn.ISFORMULA('Previsto x realizado'!AY1637) = FALSE, "","Enviado")</f>
        <v>Enviado</v>
      </c>
      <c r="H322" s="51" t="str">
        <f>IF(_xlfn.ISFORMULA('Previsto x realizado'!AZ1637) = FALSE, "","Enviado")</f>
        <v>Enviado</v>
      </c>
      <c r="I322" s="51" t="str">
        <f>IF(_xlfn.ISFORMULA('Previsto x realizado'!BA1637) = FALSE, "","Enviado")</f>
        <v/>
      </c>
      <c r="J322" s="51" t="str">
        <f>IF(_xlfn.ISFORMULA('Previsto x realizado'!BB1637) = FALSE, "","Enviado")</f>
        <v/>
      </c>
      <c r="K322" s="51" t="str">
        <f>IF(_xlfn.ISFORMULA('Previsto x realizado'!BC1637) = FALSE, "","Enviado")</f>
        <v/>
      </c>
      <c r="L322" s="51" t="str">
        <f>IF(_xlfn.ISFORMULA('Previsto x realizado'!BD1637) = FALSE, "","Enviado")</f>
        <v/>
      </c>
      <c r="M322" s="51" t="str">
        <f>IF(_xlfn.ISFORMULA('Previsto x realizado'!BE1637) = FALSE, "","Enviado")</f>
        <v/>
      </c>
      <c r="N322" s="51" t="str">
        <f>IF(_xlfn.ISFORMULA('Previsto x realizado'!BF1637) = FALSE, "","Enviado")</f>
        <v/>
      </c>
      <c r="O322" s="51" t="str">
        <f>IF(_xlfn.ISFORMULA('Previsto x realizado'!BG1637) = FALSE, "","Enviado")</f>
        <v/>
      </c>
      <c r="P322" s="51" t="str">
        <f>IF(_xlfn.ISFORMULA('Previsto x realizado'!BH1637) = FALSE, "","Enviado")</f>
        <v/>
      </c>
    </row>
    <row r="323" spans="1:16" ht="27.6" x14ac:dyDescent="0.3">
      <c r="A323" s="40" t="s">
        <v>87</v>
      </c>
      <c r="B323" s="4" t="s">
        <v>88</v>
      </c>
      <c r="C323" s="5" t="s">
        <v>214</v>
      </c>
      <c r="D323" s="4" t="s">
        <v>267</v>
      </c>
      <c r="E323" s="51" t="str">
        <f>IF(_xlfn.ISFORMULA('Previsto x realizado'!AW1643) = FALSE, "","Enviado")</f>
        <v>Enviado</v>
      </c>
      <c r="F323" s="51" t="str">
        <f>IF(_xlfn.ISFORMULA('Previsto x realizado'!AX1643) = FALSE, "","Enviado")</f>
        <v>Enviado</v>
      </c>
      <c r="G323" s="51" t="str">
        <f>IF(_xlfn.ISFORMULA('Previsto x realizado'!AY1643) = FALSE, "","Enviado")</f>
        <v>Enviado</v>
      </c>
      <c r="H323" s="51" t="str">
        <f>IF(_xlfn.ISFORMULA('Previsto x realizado'!AZ1643) = FALSE, "","Enviado")</f>
        <v>Enviado</v>
      </c>
      <c r="I323" s="51" t="str">
        <f>IF(_xlfn.ISFORMULA('Previsto x realizado'!BA1643) = FALSE, "","Enviado")</f>
        <v/>
      </c>
      <c r="J323" s="51" t="str">
        <f>IF(_xlfn.ISFORMULA('Previsto x realizado'!BB1643) = FALSE, "","Enviado")</f>
        <v/>
      </c>
      <c r="K323" s="51" t="str">
        <f>IF(_xlfn.ISFORMULA('Previsto x realizado'!BC1643) = FALSE, "","Enviado")</f>
        <v/>
      </c>
      <c r="L323" s="51" t="str">
        <f>IF(_xlfn.ISFORMULA('Previsto x realizado'!BD1643) = FALSE, "","Enviado")</f>
        <v/>
      </c>
      <c r="M323" s="51" t="str">
        <f>IF(_xlfn.ISFORMULA('Previsto x realizado'!BE1643) = FALSE, "","Enviado")</f>
        <v/>
      </c>
      <c r="N323" s="51" t="str">
        <f>IF(_xlfn.ISFORMULA('Previsto x realizado'!BF1643) = FALSE, "","Enviado")</f>
        <v/>
      </c>
      <c r="O323" s="51" t="str">
        <f>IF(_xlfn.ISFORMULA('Previsto x realizado'!BG1643) = FALSE, "","Enviado")</f>
        <v/>
      </c>
      <c r="P323" s="51" t="str">
        <f>IF(_xlfn.ISFORMULA('Previsto x realizado'!BH1643) = FALSE, "","Enviado")</f>
        <v/>
      </c>
    </row>
    <row r="324" spans="1:16" x14ac:dyDescent="0.3">
      <c r="A324" s="70" t="s">
        <v>108</v>
      </c>
      <c r="B324" s="4" t="s">
        <v>109</v>
      </c>
      <c r="C324" s="5" t="s">
        <v>214</v>
      </c>
      <c r="D324" s="4" t="s">
        <v>238</v>
      </c>
      <c r="E324" s="51" t="str">
        <f>IF(_xlfn.ISFORMULA('Previsto x realizado'!AW1656) = FALSE, "","Enviado")</f>
        <v>Enviado</v>
      </c>
      <c r="F324" s="51" t="str">
        <f>IF(_xlfn.ISFORMULA('Previsto x realizado'!AX1656) = FALSE, "","Enviado")</f>
        <v>Enviado</v>
      </c>
      <c r="G324" s="51" t="str">
        <f>IF(_xlfn.ISFORMULA('Previsto x realizado'!AY1656) = FALSE, "","Enviado")</f>
        <v>Enviado</v>
      </c>
      <c r="H324" s="51" t="str">
        <f>IF(_xlfn.ISFORMULA('Previsto x realizado'!AZ1656) = FALSE, "","Enviado")</f>
        <v>Enviado</v>
      </c>
      <c r="I324" s="51" t="str">
        <f>IF(_xlfn.ISFORMULA('Previsto x realizado'!BA1656) = FALSE, "","Enviado")</f>
        <v/>
      </c>
      <c r="J324" s="51" t="str">
        <f>IF(_xlfn.ISFORMULA('Previsto x realizado'!BB1656) = FALSE, "","Enviado")</f>
        <v/>
      </c>
      <c r="K324" s="51" t="str">
        <f>IF(_xlfn.ISFORMULA('Previsto x realizado'!BC1656) = FALSE, "","Enviado")</f>
        <v/>
      </c>
      <c r="L324" s="51" t="str">
        <f>IF(_xlfn.ISFORMULA('Previsto x realizado'!BD1656) = FALSE, "","Enviado")</f>
        <v/>
      </c>
      <c r="M324" s="51" t="str">
        <f>IF(_xlfn.ISFORMULA('Previsto x realizado'!BE1656) = FALSE, "","Enviado")</f>
        <v/>
      </c>
      <c r="N324" s="51" t="str">
        <f>IF(_xlfn.ISFORMULA('Previsto x realizado'!BF1656) = FALSE, "","Enviado")</f>
        <v/>
      </c>
      <c r="O324" s="51" t="str">
        <f>IF(_xlfn.ISFORMULA('Previsto x realizado'!BG1656) = FALSE, "","Enviado")</f>
        <v/>
      </c>
      <c r="P324" s="51" t="str">
        <f>IF(_xlfn.ISFORMULA('Previsto x realizado'!BH1656) = FALSE, "","Enviado")</f>
        <v/>
      </c>
    </row>
    <row r="325" spans="1:16" x14ac:dyDescent="0.3">
      <c r="A325" s="41" t="s">
        <v>108</v>
      </c>
      <c r="B325" s="4" t="s">
        <v>109</v>
      </c>
      <c r="C325" s="5" t="s">
        <v>214</v>
      </c>
      <c r="D325" s="4" t="s">
        <v>238</v>
      </c>
      <c r="E325" s="51" t="str">
        <f>IF(_xlfn.ISFORMULA('Previsto x realizado'!AW1662) = FALSE, "","Enviado")</f>
        <v>Enviado</v>
      </c>
      <c r="F325" s="51" t="str">
        <f>IF(_xlfn.ISFORMULA('Previsto x realizado'!AX1662) = FALSE, "","Enviado")</f>
        <v>Enviado</v>
      </c>
      <c r="G325" s="51" t="str">
        <f>IF(_xlfn.ISFORMULA('Previsto x realizado'!AY1662) = FALSE, "","Enviado")</f>
        <v>Enviado</v>
      </c>
      <c r="H325" s="51" t="str">
        <f>IF(_xlfn.ISFORMULA('Previsto x realizado'!AZ1662) = FALSE, "","Enviado")</f>
        <v>Enviado</v>
      </c>
      <c r="I325" s="51" t="str">
        <f>IF(_xlfn.ISFORMULA('Previsto x realizado'!BA1662) = FALSE, "","Enviado")</f>
        <v/>
      </c>
      <c r="J325" s="51" t="str">
        <f>IF(_xlfn.ISFORMULA('Previsto x realizado'!BB1662) = FALSE, "","Enviado")</f>
        <v/>
      </c>
      <c r="K325" s="51" t="str">
        <f>IF(_xlfn.ISFORMULA('Previsto x realizado'!BC1662) = FALSE, "","Enviado")</f>
        <v/>
      </c>
      <c r="L325" s="51" t="str">
        <f>IF(_xlfn.ISFORMULA('Previsto x realizado'!BD1662) = FALSE, "","Enviado")</f>
        <v/>
      </c>
      <c r="M325" s="51" t="str">
        <f>IF(_xlfn.ISFORMULA('Previsto x realizado'!BE1662) = FALSE, "","Enviado")</f>
        <v/>
      </c>
      <c r="N325" s="51" t="str">
        <f>IF(_xlfn.ISFORMULA('Previsto x realizado'!BF1662) = FALSE, "","Enviado")</f>
        <v/>
      </c>
      <c r="O325" s="51" t="str">
        <f>IF(_xlfn.ISFORMULA('Previsto x realizado'!BG1662) = FALSE, "","Enviado")</f>
        <v/>
      </c>
      <c r="P325" s="51" t="str">
        <f>IF(_xlfn.ISFORMULA('Previsto x realizado'!BH1662) = FALSE, "","Enviado")</f>
        <v/>
      </c>
    </row>
    <row r="326" spans="1:16" hidden="1" x14ac:dyDescent="0.3">
      <c r="A326" s="41" t="s">
        <v>108</v>
      </c>
      <c r="B326" s="4" t="s">
        <v>314</v>
      </c>
      <c r="C326" s="5" t="s">
        <v>214</v>
      </c>
      <c r="D326" s="4" t="s">
        <v>238</v>
      </c>
      <c r="E326" s="51" t="e">
        <f>IF(_xlfn.ISFORMULA('Previsto x realizado'!#REF!) = FALSE, "","Enviado")</f>
        <v>#REF!</v>
      </c>
      <c r="F326" s="51" t="e">
        <f>IF(_xlfn.ISFORMULA('Previsto x realizado'!#REF!) = FALSE, "","Enviado")</f>
        <v>#REF!</v>
      </c>
      <c r="G326" s="51" t="e">
        <f>IF(_xlfn.ISFORMULA('Previsto x realizado'!#REF!) = FALSE, "","Enviado")</f>
        <v>#REF!</v>
      </c>
      <c r="H326" s="51" t="e">
        <f>IF(_xlfn.ISFORMULA('Previsto x realizado'!#REF!) = FALSE, "","Enviado")</f>
        <v>#REF!</v>
      </c>
      <c r="I326" s="51" t="e">
        <f>IF(_xlfn.ISFORMULA('Previsto x realizado'!#REF!) = FALSE, "","Enviado")</f>
        <v>#REF!</v>
      </c>
      <c r="J326" s="51" t="e">
        <f>IF(_xlfn.ISFORMULA('Previsto x realizado'!#REF!) = FALSE, "","Enviado")</f>
        <v>#REF!</v>
      </c>
      <c r="K326" s="51" t="e">
        <f>IF(_xlfn.ISFORMULA('Previsto x realizado'!#REF!) = FALSE, "","Enviado")</f>
        <v>#REF!</v>
      </c>
      <c r="L326" s="51" t="e">
        <f>IF(_xlfn.ISFORMULA('Previsto x realizado'!#REF!) = FALSE, "","Enviado")</f>
        <v>#REF!</v>
      </c>
      <c r="M326" s="51" t="e">
        <f>IF(_xlfn.ISFORMULA('Previsto x realizado'!#REF!) = FALSE, "","Enviado")</f>
        <v>#REF!</v>
      </c>
      <c r="N326" s="51" t="e">
        <f>IF(_xlfn.ISFORMULA('Previsto x realizado'!#REF!) = FALSE, "","Enviado")</f>
        <v>#REF!</v>
      </c>
      <c r="O326" s="51" t="e">
        <f>IF(_xlfn.ISFORMULA('Previsto x realizado'!#REF!) = FALSE, "","Enviado")</f>
        <v>#REF!</v>
      </c>
      <c r="P326" s="51" t="e">
        <f>IF(_xlfn.ISFORMULA('Previsto x realizado'!#REF!) = FALSE, "","Enviado")</f>
        <v>#REF!</v>
      </c>
    </row>
    <row r="327" spans="1:16" ht="27.6" hidden="1" x14ac:dyDescent="0.3">
      <c r="A327" s="70" t="s">
        <v>108</v>
      </c>
      <c r="B327" s="4" t="s">
        <v>117</v>
      </c>
      <c r="C327" s="5" t="s">
        <v>214</v>
      </c>
      <c r="D327" s="4" t="s">
        <v>267</v>
      </c>
      <c r="E327" s="51" t="str">
        <f>IF(_xlfn.ISFORMULA('Previsto x realizado'!AW1668) = FALSE, "","Enviado")</f>
        <v>Enviado</v>
      </c>
      <c r="F327" s="51" t="str">
        <f>IF(_xlfn.ISFORMULA('Previsto x realizado'!AX1668) = FALSE, "","Enviado")</f>
        <v>Enviado</v>
      </c>
      <c r="G327" s="51" t="str">
        <f>IF(_xlfn.ISFORMULA('Previsto x realizado'!AY1668) = FALSE, "","Enviado")</f>
        <v>Enviado</v>
      </c>
      <c r="H327" s="51" t="str">
        <f>IF(_xlfn.ISFORMULA('Previsto x realizado'!AZ1668) = FALSE, "","Enviado")</f>
        <v>Enviado</v>
      </c>
      <c r="I327" s="51" t="str">
        <f>IF(_xlfn.ISFORMULA('Previsto x realizado'!BA1668) = FALSE, "","Enviado")</f>
        <v/>
      </c>
      <c r="J327" s="51" t="str">
        <f>IF(_xlfn.ISFORMULA('Previsto x realizado'!BB1668) = FALSE, "","Enviado")</f>
        <v/>
      </c>
      <c r="K327" s="51" t="str">
        <f>IF(_xlfn.ISFORMULA('Previsto x realizado'!BC1668) = FALSE, "","Enviado")</f>
        <v/>
      </c>
      <c r="L327" s="51" t="str">
        <f>IF(_xlfn.ISFORMULA('Previsto x realizado'!BD1668) = FALSE, "","Enviado")</f>
        <v/>
      </c>
      <c r="M327" s="51" t="str">
        <f>IF(_xlfn.ISFORMULA('Previsto x realizado'!BE1668) = FALSE, "","Enviado")</f>
        <v/>
      </c>
      <c r="N327" s="51" t="str">
        <f>IF(_xlfn.ISFORMULA('Previsto x realizado'!BF1668) = FALSE, "","Enviado")</f>
        <v/>
      </c>
      <c r="O327" s="51" t="str">
        <f>IF(_xlfn.ISFORMULA('Previsto x realizado'!BG1668) = FALSE, "","Enviado")</f>
        <v/>
      </c>
      <c r="P327" s="51" t="str">
        <f>IF(_xlfn.ISFORMULA('Previsto x realizado'!BH1668) = FALSE, "","Enviado")</f>
        <v/>
      </c>
    </row>
    <row r="328" spans="1:16" ht="27.6" hidden="1" x14ac:dyDescent="0.3">
      <c r="A328" s="70" t="s">
        <v>108</v>
      </c>
      <c r="B328" s="4" t="s">
        <v>117</v>
      </c>
      <c r="C328" s="5" t="s">
        <v>214</v>
      </c>
      <c r="D328" s="4" t="s">
        <v>267</v>
      </c>
      <c r="E328" s="51" t="str">
        <f>IF(_xlfn.ISFORMULA('Previsto x realizado'!AW1674) = FALSE, "","Enviado")</f>
        <v>Enviado</v>
      </c>
      <c r="F328" s="51" t="str">
        <f>IF(_xlfn.ISFORMULA('Previsto x realizado'!AX1674) = FALSE, "","Enviado")</f>
        <v>Enviado</v>
      </c>
      <c r="G328" s="51" t="str">
        <f>IF(_xlfn.ISFORMULA('Previsto x realizado'!AY1674) = FALSE, "","Enviado")</f>
        <v>Enviado</v>
      </c>
      <c r="H328" s="51" t="str">
        <f>IF(_xlfn.ISFORMULA('Previsto x realizado'!AZ1674) = FALSE, "","Enviado")</f>
        <v>Enviado</v>
      </c>
      <c r="I328" s="51" t="str">
        <f>IF(_xlfn.ISFORMULA('Previsto x realizado'!BA1674) = FALSE, "","Enviado")</f>
        <v/>
      </c>
      <c r="J328" s="51" t="str">
        <f>IF(_xlfn.ISFORMULA('Previsto x realizado'!BB1674) = FALSE, "","Enviado")</f>
        <v/>
      </c>
      <c r="K328" s="51" t="str">
        <f>IF(_xlfn.ISFORMULA('Previsto x realizado'!BC1674) = FALSE, "","Enviado")</f>
        <v/>
      </c>
      <c r="L328" s="51" t="str">
        <f>IF(_xlfn.ISFORMULA('Previsto x realizado'!BD1674) = FALSE, "","Enviado")</f>
        <v/>
      </c>
      <c r="M328" s="51" t="str">
        <f>IF(_xlfn.ISFORMULA('Previsto x realizado'!BE1674) = FALSE, "","Enviado")</f>
        <v/>
      </c>
      <c r="N328" s="51" t="str">
        <f>IF(_xlfn.ISFORMULA('Previsto x realizado'!BF1674) = FALSE, "","Enviado")</f>
        <v/>
      </c>
      <c r="O328" s="51" t="str">
        <f>IF(_xlfn.ISFORMULA('Previsto x realizado'!BG1674) = FALSE, "","Enviado")</f>
        <v/>
      </c>
      <c r="P328" s="51" t="str">
        <f>IF(_xlfn.ISFORMULA('Previsto x realizado'!BH1674) = FALSE, "","Enviado")</f>
        <v/>
      </c>
    </row>
    <row r="329" spans="1:16" ht="27.6" x14ac:dyDescent="0.3">
      <c r="A329" s="41" t="s">
        <v>108</v>
      </c>
      <c r="B329" s="4" t="s">
        <v>123</v>
      </c>
      <c r="C329" s="5" t="s">
        <v>214</v>
      </c>
      <c r="D329" s="4" t="s">
        <v>267</v>
      </c>
      <c r="E329" s="51" t="str">
        <f>IF(_xlfn.ISFORMULA('Previsto x realizado'!AW1680) = FALSE, "","Enviado")</f>
        <v>Enviado</v>
      </c>
      <c r="F329" s="51" t="str">
        <f>IF(_xlfn.ISFORMULA('Previsto x realizado'!AX1680) = FALSE, "","Enviado")</f>
        <v>Enviado</v>
      </c>
      <c r="G329" s="51" t="str">
        <f>IF(_xlfn.ISFORMULA('Previsto x realizado'!AY1680) = FALSE, "","Enviado")</f>
        <v>Enviado</v>
      </c>
      <c r="H329" s="51" t="str">
        <f>IF(_xlfn.ISFORMULA('Previsto x realizado'!AZ1680) = FALSE, "","Enviado")</f>
        <v>Enviado</v>
      </c>
      <c r="I329" s="51" t="str">
        <f>IF(_xlfn.ISFORMULA('Previsto x realizado'!BA1680) = FALSE, "","Enviado")</f>
        <v/>
      </c>
      <c r="J329" s="51" t="str">
        <f>IF(_xlfn.ISFORMULA('Previsto x realizado'!BB1680) = FALSE, "","Enviado")</f>
        <v/>
      </c>
      <c r="K329" s="51" t="str">
        <f>IF(_xlfn.ISFORMULA('Previsto x realizado'!BC1680) = FALSE, "","Enviado")</f>
        <v/>
      </c>
      <c r="L329" s="51" t="str">
        <f>IF(_xlfn.ISFORMULA('Previsto x realizado'!BD1680) = FALSE, "","Enviado")</f>
        <v/>
      </c>
      <c r="M329" s="51" t="str">
        <f>IF(_xlfn.ISFORMULA('Previsto x realizado'!BE1680) = FALSE, "","Enviado")</f>
        <v/>
      </c>
      <c r="N329" s="51" t="str">
        <f>IF(_xlfn.ISFORMULA('Previsto x realizado'!BF1680) = FALSE, "","Enviado")</f>
        <v/>
      </c>
      <c r="O329" s="51" t="str">
        <f>IF(_xlfn.ISFORMULA('Previsto x realizado'!BG1680) = FALSE, "","Enviado")</f>
        <v/>
      </c>
      <c r="P329" s="51" t="str">
        <f>IF(_xlfn.ISFORMULA('Previsto x realizado'!BH1680) = FALSE, "","Enviado")</f>
        <v/>
      </c>
    </row>
    <row r="330" spans="1:16" ht="27.6" hidden="1" x14ac:dyDescent="0.3">
      <c r="A330" s="70" t="s">
        <v>108</v>
      </c>
      <c r="B330" s="4" t="s">
        <v>123</v>
      </c>
      <c r="C330" s="5" t="s">
        <v>214</v>
      </c>
      <c r="D330" s="4" t="s">
        <v>267</v>
      </c>
      <c r="E330" s="51" t="str">
        <f>IF(_xlfn.ISFORMULA('Previsto x realizado'!AW1686) = FALSE, "","Enviado")</f>
        <v>Enviado</v>
      </c>
      <c r="F330" s="51" t="str">
        <f>IF(_xlfn.ISFORMULA('Previsto x realizado'!AX1686) = FALSE, "","Enviado")</f>
        <v>Enviado</v>
      </c>
      <c r="G330" s="51" t="str">
        <f>IF(_xlfn.ISFORMULA('Previsto x realizado'!AY1686) = FALSE, "","Enviado")</f>
        <v>Enviado</v>
      </c>
      <c r="H330" s="51" t="str">
        <f>IF(_xlfn.ISFORMULA('Previsto x realizado'!AZ1686) = FALSE, "","Enviado")</f>
        <v>Enviado</v>
      </c>
      <c r="I330" s="51" t="str">
        <f>IF(_xlfn.ISFORMULA('Previsto x realizado'!BA1686) = FALSE, "","Enviado")</f>
        <v/>
      </c>
      <c r="J330" s="51" t="str">
        <f>IF(_xlfn.ISFORMULA('Previsto x realizado'!BB1686) = FALSE, "","Enviado")</f>
        <v/>
      </c>
      <c r="K330" s="51" t="str">
        <f>IF(_xlfn.ISFORMULA('Previsto x realizado'!BC1686) = FALSE, "","Enviado")</f>
        <v/>
      </c>
      <c r="L330" s="51" t="str">
        <f>IF(_xlfn.ISFORMULA('Previsto x realizado'!BD1686) = FALSE, "","Enviado")</f>
        <v/>
      </c>
      <c r="M330" s="51" t="str">
        <f>IF(_xlfn.ISFORMULA('Previsto x realizado'!BE1686) = FALSE, "","Enviado")</f>
        <v/>
      </c>
      <c r="N330" s="51" t="str">
        <f>IF(_xlfn.ISFORMULA('Previsto x realizado'!BF1686) = FALSE, "","Enviado")</f>
        <v/>
      </c>
      <c r="O330" s="51" t="str">
        <f>IF(_xlfn.ISFORMULA('Previsto x realizado'!BG1686) = FALSE, "","Enviado")</f>
        <v/>
      </c>
      <c r="P330" s="51" t="str">
        <f>IF(_xlfn.ISFORMULA('Previsto x realizado'!BH1686) = FALSE, "","Enviado")</f>
        <v/>
      </c>
    </row>
    <row r="331" spans="1:16" ht="27.6" hidden="1" x14ac:dyDescent="0.3">
      <c r="A331" s="70" t="s">
        <v>108</v>
      </c>
      <c r="B331" s="4" t="s">
        <v>123</v>
      </c>
      <c r="C331" s="5" t="s">
        <v>214</v>
      </c>
      <c r="D331" s="4" t="s">
        <v>267</v>
      </c>
      <c r="E331" s="51" t="str">
        <f>IF(_xlfn.ISFORMULA('Previsto x realizado'!AW1692) = FALSE, "","Enviado")</f>
        <v>Enviado</v>
      </c>
      <c r="F331" s="51" t="str">
        <f>IF(_xlfn.ISFORMULA('Previsto x realizado'!AX1692) = FALSE, "","Enviado")</f>
        <v>Enviado</v>
      </c>
      <c r="G331" s="51" t="str">
        <f>IF(_xlfn.ISFORMULA('Previsto x realizado'!AY1692) = FALSE, "","Enviado")</f>
        <v>Enviado</v>
      </c>
      <c r="H331" s="51" t="str">
        <f>IF(_xlfn.ISFORMULA('Previsto x realizado'!AZ1692) = FALSE, "","Enviado")</f>
        <v>Enviado</v>
      </c>
      <c r="I331" s="51" t="str">
        <f>IF(_xlfn.ISFORMULA('Previsto x realizado'!BA1692) = FALSE, "","Enviado")</f>
        <v/>
      </c>
      <c r="J331" s="51" t="str">
        <f>IF(_xlfn.ISFORMULA('Previsto x realizado'!BB1692) = FALSE, "","Enviado")</f>
        <v/>
      </c>
      <c r="K331" s="51" t="str">
        <f>IF(_xlfn.ISFORMULA('Previsto x realizado'!BC1692) = FALSE, "","Enviado")</f>
        <v/>
      </c>
      <c r="L331" s="51" t="str">
        <f>IF(_xlfn.ISFORMULA('Previsto x realizado'!BD1692) = FALSE, "","Enviado")</f>
        <v/>
      </c>
      <c r="M331" s="51" t="str">
        <f>IF(_xlfn.ISFORMULA('Previsto x realizado'!BE1692) = FALSE, "","Enviado")</f>
        <v/>
      </c>
      <c r="N331" s="51" t="str">
        <f>IF(_xlfn.ISFORMULA('Previsto x realizado'!BF1692) = FALSE, "","Enviado")</f>
        <v/>
      </c>
      <c r="O331" s="51" t="str">
        <f>IF(_xlfn.ISFORMULA('Previsto x realizado'!BG1692) = FALSE, "","Enviado")</f>
        <v/>
      </c>
      <c r="P331" s="51" t="str">
        <f>IF(_xlfn.ISFORMULA('Previsto x realizado'!BH1692) = FALSE, "","Enviado")</f>
        <v/>
      </c>
    </row>
    <row r="332" spans="1:16" ht="27.6" x14ac:dyDescent="0.3">
      <c r="A332" s="41" t="s">
        <v>108</v>
      </c>
      <c r="B332" s="4" t="s">
        <v>129</v>
      </c>
      <c r="C332" s="5" t="s">
        <v>214</v>
      </c>
      <c r="D332" s="4" t="s">
        <v>267</v>
      </c>
      <c r="E332" s="51" t="str">
        <f>IF(_xlfn.ISFORMULA('Previsto x realizado'!AW1698) = FALSE, "","Enviado")</f>
        <v>Enviado</v>
      </c>
      <c r="F332" s="51" t="str">
        <f>IF(_xlfn.ISFORMULA('Previsto x realizado'!AX1698) = FALSE, "","Enviado")</f>
        <v>Enviado</v>
      </c>
      <c r="G332" s="51" t="str">
        <f>IF(_xlfn.ISFORMULA('Previsto x realizado'!AY1698) = FALSE, "","Enviado")</f>
        <v>Enviado</v>
      </c>
      <c r="H332" s="51" t="str">
        <f>IF(_xlfn.ISFORMULA('Previsto x realizado'!AZ1698) = FALSE, "","Enviado")</f>
        <v>Enviado</v>
      </c>
      <c r="I332" s="51" t="str">
        <f>IF(_xlfn.ISFORMULA('Previsto x realizado'!BA1698) = FALSE, "","Enviado")</f>
        <v/>
      </c>
      <c r="J332" s="51" t="str">
        <f>IF(_xlfn.ISFORMULA('Previsto x realizado'!BB1698) = FALSE, "","Enviado")</f>
        <v/>
      </c>
      <c r="K332" s="51" t="str">
        <f>IF(_xlfn.ISFORMULA('Previsto x realizado'!BC1698) = FALSE, "","Enviado")</f>
        <v/>
      </c>
      <c r="L332" s="51" t="str">
        <f>IF(_xlfn.ISFORMULA('Previsto x realizado'!BD1698) = FALSE, "","Enviado")</f>
        <v/>
      </c>
      <c r="M332" s="51" t="str">
        <f>IF(_xlfn.ISFORMULA('Previsto x realizado'!BE1698) = FALSE, "","Enviado")</f>
        <v/>
      </c>
      <c r="N332" s="51" t="str">
        <f>IF(_xlfn.ISFORMULA('Previsto x realizado'!BF1698) = FALSE, "","Enviado")</f>
        <v/>
      </c>
      <c r="O332" s="51" t="str">
        <f>IF(_xlfn.ISFORMULA('Previsto x realizado'!BG1698) = FALSE, "","Enviado")</f>
        <v/>
      </c>
      <c r="P332" s="51" t="str">
        <f>IF(_xlfn.ISFORMULA('Previsto x realizado'!BH1698) = FALSE, "","Enviado")</f>
        <v/>
      </c>
    </row>
    <row r="333" spans="1:16" ht="27.6" hidden="1" x14ac:dyDescent="0.3">
      <c r="A333" s="70" t="s">
        <v>108</v>
      </c>
      <c r="B333" s="4" t="s">
        <v>129</v>
      </c>
      <c r="C333" s="5" t="s">
        <v>214</v>
      </c>
      <c r="D333" s="4" t="s">
        <v>267</v>
      </c>
      <c r="E333" s="51" t="str">
        <f>IF(_xlfn.ISFORMULA('Previsto x realizado'!AW1709) = FALSE, "","Enviado")</f>
        <v>Enviado</v>
      </c>
      <c r="F333" s="51" t="str">
        <f>IF(_xlfn.ISFORMULA('Previsto x realizado'!AX1709) = FALSE, "","Enviado")</f>
        <v>Enviado</v>
      </c>
      <c r="G333" s="51" t="str">
        <f>IF(_xlfn.ISFORMULA('Previsto x realizado'!AY1709) = FALSE, "","Enviado")</f>
        <v>Enviado</v>
      </c>
      <c r="H333" s="51" t="str">
        <f>IF(_xlfn.ISFORMULA('Previsto x realizado'!AZ1709) = FALSE, "","Enviado")</f>
        <v>Enviado</v>
      </c>
      <c r="I333" s="51" t="str">
        <f>IF(_xlfn.ISFORMULA('Previsto x realizado'!BA1709) = FALSE, "","Enviado")</f>
        <v/>
      </c>
      <c r="J333" s="51" t="str">
        <f>IF(_xlfn.ISFORMULA('Previsto x realizado'!BB1709) = FALSE, "","Enviado")</f>
        <v/>
      </c>
      <c r="K333" s="51" t="str">
        <f>IF(_xlfn.ISFORMULA('Previsto x realizado'!BC1709) = FALSE, "","Enviado")</f>
        <v/>
      </c>
      <c r="L333" s="51" t="str">
        <f>IF(_xlfn.ISFORMULA('Previsto x realizado'!BD1709) = FALSE, "","Enviado")</f>
        <v/>
      </c>
      <c r="M333" s="51" t="str">
        <f>IF(_xlfn.ISFORMULA('Previsto x realizado'!BE1709) = FALSE, "","Enviado")</f>
        <v/>
      </c>
      <c r="N333" s="51" t="str">
        <f>IF(_xlfn.ISFORMULA('Previsto x realizado'!BF1709) = FALSE, "","Enviado")</f>
        <v/>
      </c>
      <c r="O333" s="51" t="str">
        <f>IF(_xlfn.ISFORMULA('Previsto x realizado'!BG1709) = FALSE, "","Enviado")</f>
        <v/>
      </c>
      <c r="P333" s="51" t="str">
        <f>IF(_xlfn.ISFORMULA('Previsto x realizado'!BH1709) = FALSE, "","Enviado")</f>
        <v/>
      </c>
    </row>
    <row r="334" spans="1:16" x14ac:dyDescent="0.3">
      <c r="A334" s="23" t="s">
        <v>134</v>
      </c>
      <c r="B334" s="4" t="s">
        <v>135</v>
      </c>
      <c r="C334" s="5" t="s">
        <v>214</v>
      </c>
      <c r="D334" s="4" t="s">
        <v>238</v>
      </c>
      <c r="E334" s="51" t="str">
        <f>IF(_xlfn.ISFORMULA('Previsto x realizado'!AW1710) = FALSE, "","Enviado")</f>
        <v>Enviado</v>
      </c>
      <c r="F334" s="51" t="str">
        <f>IF(_xlfn.ISFORMULA('Previsto x realizado'!AX1710) = FALSE, "","Enviado")</f>
        <v>Enviado</v>
      </c>
      <c r="G334" s="51" t="str">
        <f>IF(_xlfn.ISFORMULA('Previsto x realizado'!AY1710) = FALSE, "","Enviado")</f>
        <v>Enviado</v>
      </c>
      <c r="H334" s="51" t="str">
        <f>IF(_xlfn.ISFORMULA('Previsto x realizado'!AZ1710) = FALSE, "","Enviado")</f>
        <v>Enviado</v>
      </c>
      <c r="I334" s="51" t="str">
        <f>IF(_xlfn.ISFORMULA('Previsto x realizado'!BA1710) = FALSE, "","Enviado")</f>
        <v/>
      </c>
      <c r="J334" s="51" t="str">
        <f>IF(_xlfn.ISFORMULA('Previsto x realizado'!BB1710) = FALSE, "","Enviado")</f>
        <v/>
      </c>
      <c r="K334" s="51" t="str">
        <f>IF(_xlfn.ISFORMULA('Previsto x realizado'!BC1710) = FALSE, "","Enviado")</f>
        <v/>
      </c>
      <c r="L334" s="51" t="str">
        <f>IF(_xlfn.ISFORMULA('Previsto x realizado'!BD1710) = FALSE, "","Enviado")</f>
        <v/>
      </c>
      <c r="M334" s="51" t="str">
        <f>IF(_xlfn.ISFORMULA('Previsto x realizado'!BE1710) = FALSE, "","Enviado")</f>
        <v/>
      </c>
      <c r="N334" s="51" t="str">
        <f>IF(_xlfn.ISFORMULA('Previsto x realizado'!BF1710) = FALSE, "","Enviado")</f>
        <v/>
      </c>
      <c r="O334" s="51" t="str">
        <f>IF(_xlfn.ISFORMULA('Previsto x realizado'!BG1710) = FALSE, "","Enviado")</f>
        <v/>
      </c>
      <c r="P334" s="51" t="str">
        <f>IF(_xlfn.ISFORMULA('Previsto x realizado'!BH1710) = FALSE, "","Enviado")</f>
        <v/>
      </c>
    </row>
    <row r="335" spans="1:16" x14ac:dyDescent="0.3">
      <c r="A335" s="42" t="s">
        <v>134</v>
      </c>
      <c r="B335" s="4" t="s">
        <v>135</v>
      </c>
      <c r="C335" s="5" t="s">
        <v>214</v>
      </c>
      <c r="D335" s="4" t="s">
        <v>238</v>
      </c>
      <c r="E335" s="51" t="str">
        <f>IF(_xlfn.ISFORMULA('Previsto x realizado'!AW1716) = FALSE, "","Enviado")</f>
        <v>Enviado</v>
      </c>
      <c r="F335" s="51" t="str">
        <f>IF(_xlfn.ISFORMULA('Previsto x realizado'!AX1716) = FALSE, "","Enviado")</f>
        <v>Enviado</v>
      </c>
      <c r="G335" s="51" t="str">
        <f>IF(_xlfn.ISFORMULA('Previsto x realizado'!AY1716) = FALSE, "","Enviado")</f>
        <v>Enviado</v>
      </c>
      <c r="H335" s="51" t="str">
        <f>IF(_xlfn.ISFORMULA('Previsto x realizado'!AZ1716) = FALSE, "","Enviado")</f>
        <v>Enviado</v>
      </c>
      <c r="I335" s="51" t="str">
        <f>IF(_xlfn.ISFORMULA('Previsto x realizado'!BA1716) = FALSE, "","Enviado")</f>
        <v/>
      </c>
      <c r="J335" s="51" t="str">
        <f>IF(_xlfn.ISFORMULA('Previsto x realizado'!BB1716) = FALSE, "","Enviado")</f>
        <v/>
      </c>
      <c r="K335" s="51" t="str">
        <f>IF(_xlfn.ISFORMULA('Previsto x realizado'!BC1716) = FALSE, "","Enviado")</f>
        <v/>
      </c>
      <c r="L335" s="51" t="str">
        <f>IF(_xlfn.ISFORMULA('Previsto x realizado'!BD1716) = FALSE, "","Enviado")</f>
        <v/>
      </c>
      <c r="M335" s="51" t="str">
        <f>IF(_xlfn.ISFORMULA('Previsto x realizado'!BE1716) = FALSE, "","Enviado")</f>
        <v/>
      </c>
      <c r="N335" s="51" t="str">
        <f>IF(_xlfn.ISFORMULA('Previsto x realizado'!BF1716) = FALSE, "","Enviado")</f>
        <v/>
      </c>
      <c r="O335" s="51" t="str">
        <f>IF(_xlfn.ISFORMULA('Previsto x realizado'!BG1716) = FALSE, "","Enviado")</f>
        <v/>
      </c>
      <c r="P335" s="51" t="str">
        <f>IF(_xlfn.ISFORMULA('Previsto x realizado'!BH1716) = FALSE, "","Enviado")</f>
        <v/>
      </c>
    </row>
    <row r="336" spans="1:16" x14ac:dyDescent="0.3">
      <c r="A336" s="42" t="s">
        <v>134</v>
      </c>
      <c r="B336" s="4" t="s">
        <v>135</v>
      </c>
      <c r="C336" s="5" t="s">
        <v>214</v>
      </c>
      <c r="D336" s="4" t="s">
        <v>238</v>
      </c>
      <c r="E336" s="51" t="str">
        <f>IF(_xlfn.ISFORMULA('Previsto x realizado'!AW1722) = FALSE, "","Enviado")</f>
        <v>Enviado</v>
      </c>
      <c r="F336" s="51" t="str">
        <f>IF(_xlfn.ISFORMULA('Previsto x realizado'!AX1722) = FALSE, "","Enviado")</f>
        <v>Enviado</v>
      </c>
      <c r="G336" s="51" t="str">
        <f>IF(_xlfn.ISFORMULA('Previsto x realizado'!AY1722) = FALSE, "","Enviado")</f>
        <v>Enviado</v>
      </c>
      <c r="H336" s="51" t="str">
        <f>IF(_xlfn.ISFORMULA('Previsto x realizado'!AZ1722) = FALSE, "","Enviado")</f>
        <v>Enviado</v>
      </c>
      <c r="I336" s="51" t="str">
        <f>IF(_xlfn.ISFORMULA('Previsto x realizado'!BA1722) = FALSE, "","Enviado")</f>
        <v/>
      </c>
      <c r="J336" s="51" t="str">
        <f>IF(_xlfn.ISFORMULA('Previsto x realizado'!BB1722) = FALSE, "","Enviado")</f>
        <v/>
      </c>
      <c r="K336" s="51" t="str">
        <f>IF(_xlfn.ISFORMULA('Previsto x realizado'!BC1722) = FALSE, "","Enviado")</f>
        <v/>
      </c>
      <c r="L336" s="51" t="str">
        <f>IF(_xlfn.ISFORMULA('Previsto x realizado'!BD1722) = FALSE, "","Enviado")</f>
        <v/>
      </c>
      <c r="M336" s="51" t="str">
        <f>IF(_xlfn.ISFORMULA('Previsto x realizado'!BE1722) = FALSE, "","Enviado")</f>
        <v/>
      </c>
      <c r="N336" s="51" t="str">
        <f>IF(_xlfn.ISFORMULA('Previsto x realizado'!BF1722) = FALSE, "","Enviado")</f>
        <v/>
      </c>
      <c r="O336" s="51" t="str">
        <f>IF(_xlfn.ISFORMULA('Previsto x realizado'!BG1722) = FALSE, "","Enviado")</f>
        <v/>
      </c>
      <c r="P336" s="51" t="str">
        <f>IF(_xlfn.ISFORMULA('Previsto x realizado'!BH1722) = FALSE, "","Enviado")</f>
        <v/>
      </c>
    </row>
    <row r="337" spans="1:16" x14ac:dyDescent="0.3">
      <c r="A337" s="23" t="s">
        <v>134</v>
      </c>
      <c r="B337" s="4" t="s">
        <v>142</v>
      </c>
      <c r="C337" s="5" t="s">
        <v>214</v>
      </c>
      <c r="D337" s="4" t="s">
        <v>238</v>
      </c>
      <c r="E337" s="51" t="str">
        <f>IF(_xlfn.ISFORMULA('Previsto x realizado'!AW1728) = FALSE, "","Enviado")</f>
        <v>Enviado</v>
      </c>
      <c r="F337" s="51" t="str">
        <f>IF(_xlfn.ISFORMULA('Previsto x realizado'!AX1728) = FALSE, "","Enviado")</f>
        <v>Enviado</v>
      </c>
      <c r="G337" s="51" t="str">
        <f>IF(_xlfn.ISFORMULA('Previsto x realizado'!AY1728) = FALSE, "","Enviado")</f>
        <v>Enviado</v>
      </c>
      <c r="H337" s="51" t="str">
        <f>IF(_xlfn.ISFORMULA('Previsto x realizado'!AZ1728) = FALSE, "","Enviado")</f>
        <v>Enviado</v>
      </c>
      <c r="I337" s="51" t="str">
        <f>IF(_xlfn.ISFORMULA('Previsto x realizado'!BA1728) = FALSE, "","Enviado")</f>
        <v/>
      </c>
      <c r="J337" s="51" t="str">
        <f>IF(_xlfn.ISFORMULA('Previsto x realizado'!BB1728) = FALSE, "","Enviado")</f>
        <v/>
      </c>
      <c r="K337" s="51" t="str">
        <f>IF(_xlfn.ISFORMULA('Previsto x realizado'!BC1728) = FALSE, "","Enviado")</f>
        <v/>
      </c>
      <c r="L337" s="51" t="str">
        <f>IF(_xlfn.ISFORMULA('Previsto x realizado'!BD1728) = FALSE, "","Enviado")</f>
        <v/>
      </c>
      <c r="M337" s="51" t="str">
        <f>IF(_xlfn.ISFORMULA('Previsto x realizado'!BE1728) = FALSE, "","Enviado")</f>
        <v/>
      </c>
      <c r="N337" s="51" t="str">
        <f>IF(_xlfn.ISFORMULA('Previsto x realizado'!BF1728) = FALSE, "","Enviado")</f>
        <v/>
      </c>
      <c r="O337" s="51" t="str">
        <f>IF(_xlfn.ISFORMULA('Previsto x realizado'!BG1728) = FALSE, "","Enviado")</f>
        <v/>
      </c>
      <c r="P337" s="51" t="str">
        <f>IF(_xlfn.ISFORMULA('Previsto x realizado'!BH1728) = FALSE, "","Enviado")</f>
        <v/>
      </c>
    </row>
    <row r="338" spans="1:16" x14ac:dyDescent="0.3">
      <c r="A338" s="42" t="s">
        <v>134</v>
      </c>
      <c r="B338" s="4" t="s">
        <v>142</v>
      </c>
      <c r="C338" s="5" t="s">
        <v>214</v>
      </c>
      <c r="D338" s="4" t="s">
        <v>238</v>
      </c>
      <c r="E338" s="51" t="str">
        <f>IF(_xlfn.ISFORMULA('Previsto x realizado'!AW1734) = FALSE, "","Enviado")</f>
        <v>Enviado</v>
      </c>
      <c r="F338" s="51" t="str">
        <f>IF(_xlfn.ISFORMULA('Previsto x realizado'!AX1734) = FALSE, "","Enviado")</f>
        <v>Enviado</v>
      </c>
      <c r="G338" s="51" t="str">
        <f>IF(_xlfn.ISFORMULA('Previsto x realizado'!AY1734) = FALSE, "","Enviado")</f>
        <v>Enviado</v>
      </c>
      <c r="H338" s="51" t="str">
        <f>IF(_xlfn.ISFORMULA('Previsto x realizado'!AZ1734) = FALSE, "","Enviado")</f>
        <v>Enviado</v>
      </c>
      <c r="I338" s="51" t="str">
        <f>IF(_xlfn.ISFORMULA('Previsto x realizado'!BA1734) = FALSE, "","Enviado")</f>
        <v/>
      </c>
      <c r="J338" s="51" t="str">
        <f>IF(_xlfn.ISFORMULA('Previsto x realizado'!BB1734) = FALSE, "","Enviado")</f>
        <v/>
      </c>
      <c r="K338" s="51" t="str">
        <f>IF(_xlfn.ISFORMULA('Previsto x realizado'!BC1734) = FALSE, "","Enviado")</f>
        <v/>
      </c>
      <c r="L338" s="51" t="str">
        <f>IF(_xlfn.ISFORMULA('Previsto x realizado'!BD1734) = FALSE, "","Enviado")</f>
        <v/>
      </c>
      <c r="M338" s="51" t="str">
        <f>IF(_xlfn.ISFORMULA('Previsto x realizado'!BE1734) = FALSE, "","Enviado")</f>
        <v/>
      </c>
      <c r="N338" s="51" t="str">
        <f>IF(_xlfn.ISFORMULA('Previsto x realizado'!BF1734) = FALSE, "","Enviado")</f>
        <v/>
      </c>
      <c r="O338" s="51" t="str">
        <f>IF(_xlfn.ISFORMULA('Previsto x realizado'!BG1734) = FALSE, "","Enviado")</f>
        <v/>
      </c>
      <c r="P338" s="51" t="str">
        <f>IF(_xlfn.ISFORMULA('Previsto x realizado'!BH1734) = FALSE, "","Enviado")</f>
        <v/>
      </c>
    </row>
    <row r="339" spans="1:16" x14ac:dyDescent="0.3">
      <c r="A339" s="25" t="s">
        <v>134</v>
      </c>
      <c r="B339" s="15" t="s">
        <v>150</v>
      </c>
      <c r="C339" s="5" t="s">
        <v>214</v>
      </c>
      <c r="D339" s="4" t="s">
        <v>238</v>
      </c>
      <c r="E339" s="51" t="str">
        <f>IF(_xlfn.ISFORMULA('Previsto x realizado'!AW1740) = FALSE, "","Enviado")</f>
        <v>Enviado</v>
      </c>
      <c r="F339" s="51" t="str">
        <f>IF(_xlfn.ISFORMULA('Previsto x realizado'!AX1740) = FALSE, "","Enviado")</f>
        <v>Enviado</v>
      </c>
      <c r="G339" s="51" t="str">
        <f>IF(_xlfn.ISFORMULA('Previsto x realizado'!AY1740) = FALSE, "","Enviado")</f>
        <v>Enviado</v>
      </c>
      <c r="H339" s="51" t="str">
        <f>IF(_xlfn.ISFORMULA('Previsto x realizado'!AZ1740) = FALSE, "","Enviado")</f>
        <v>Enviado</v>
      </c>
      <c r="I339" s="51" t="str">
        <f>IF(_xlfn.ISFORMULA('Previsto x realizado'!BA1740) = FALSE, "","Enviado")</f>
        <v/>
      </c>
      <c r="J339" s="51" t="str">
        <f>IF(_xlfn.ISFORMULA('Previsto x realizado'!BB1740) = FALSE, "","Enviado")</f>
        <v/>
      </c>
      <c r="K339" s="51" t="str">
        <f>IF(_xlfn.ISFORMULA('Previsto x realizado'!BC1740) = FALSE, "","Enviado")</f>
        <v/>
      </c>
      <c r="L339" s="51" t="str">
        <f>IF(_xlfn.ISFORMULA('Previsto x realizado'!BD1740) = FALSE, "","Enviado")</f>
        <v/>
      </c>
      <c r="M339" s="51" t="str">
        <f>IF(_xlfn.ISFORMULA('Previsto x realizado'!BE1740) = FALSE, "","Enviado")</f>
        <v/>
      </c>
      <c r="N339" s="51" t="str">
        <f>IF(_xlfn.ISFORMULA('Previsto x realizado'!BF1740) = FALSE, "","Enviado")</f>
        <v/>
      </c>
      <c r="O339" s="51" t="str">
        <f>IF(_xlfn.ISFORMULA('Previsto x realizado'!BG1740) = FALSE, "","Enviado")</f>
        <v/>
      </c>
      <c r="P339" s="51" t="str">
        <f>IF(_xlfn.ISFORMULA('Previsto x realizado'!BH1740) = FALSE, "","Enviado")</f>
        <v/>
      </c>
    </row>
    <row r="340" spans="1:16" x14ac:dyDescent="0.3">
      <c r="A340" s="23" t="s">
        <v>134</v>
      </c>
      <c r="B340" s="4" t="s">
        <v>150</v>
      </c>
      <c r="C340" s="5" t="s">
        <v>214</v>
      </c>
      <c r="D340" s="4" t="s">
        <v>238</v>
      </c>
      <c r="E340" s="51" t="str">
        <f>IF(_xlfn.ISFORMULA('Previsto x realizado'!AW1746) = FALSE, "","Enviado")</f>
        <v>Enviado</v>
      </c>
      <c r="F340" s="51" t="str">
        <f>IF(_xlfn.ISFORMULA('Previsto x realizado'!AX1746) = FALSE, "","Enviado")</f>
        <v>Enviado</v>
      </c>
      <c r="G340" s="51" t="str">
        <f>IF(_xlfn.ISFORMULA('Previsto x realizado'!AY1746) = FALSE, "","Enviado")</f>
        <v>Enviado</v>
      </c>
      <c r="H340" s="51" t="str">
        <f>IF(_xlfn.ISFORMULA('Previsto x realizado'!AZ1746) = FALSE, "","Enviado")</f>
        <v>Enviado</v>
      </c>
      <c r="I340" s="51" t="str">
        <f>IF(_xlfn.ISFORMULA('Previsto x realizado'!BA1746) = FALSE, "","Enviado")</f>
        <v/>
      </c>
      <c r="J340" s="51" t="str">
        <f>IF(_xlfn.ISFORMULA('Previsto x realizado'!BB1746) = FALSE, "","Enviado")</f>
        <v/>
      </c>
      <c r="K340" s="51" t="str">
        <f>IF(_xlfn.ISFORMULA('Previsto x realizado'!BC1746) = FALSE, "","Enviado")</f>
        <v/>
      </c>
      <c r="L340" s="51" t="str">
        <f>IF(_xlfn.ISFORMULA('Previsto x realizado'!BD1746) = FALSE, "","Enviado")</f>
        <v/>
      </c>
      <c r="M340" s="51" t="str">
        <f>IF(_xlfn.ISFORMULA('Previsto x realizado'!BE1746) = FALSE, "","Enviado")</f>
        <v/>
      </c>
      <c r="N340" s="51" t="str">
        <f>IF(_xlfn.ISFORMULA('Previsto x realizado'!BF1746) = FALSE, "","Enviado")</f>
        <v/>
      </c>
      <c r="O340" s="51" t="str">
        <f>IF(_xlfn.ISFORMULA('Previsto x realizado'!BG1746) = FALSE, "","Enviado")</f>
        <v/>
      </c>
      <c r="P340" s="51" t="str">
        <f>IF(_xlfn.ISFORMULA('Previsto x realizado'!BH1746) = FALSE, "","Enviado")</f>
        <v/>
      </c>
    </row>
    <row r="341" spans="1:16" x14ac:dyDescent="0.3">
      <c r="A341" s="23" t="s">
        <v>134</v>
      </c>
      <c r="B341" s="4" t="s">
        <v>150</v>
      </c>
      <c r="C341" s="5" t="s">
        <v>214</v>
      </c>
      <c r="D341" s="4" t="s">
        <v>238</v>
      </c>
      <c r="E341" s="51" t="str">
        <f>IF(_xlfn.ISFORMULA('Previsto x realizado'!AW1752) = FALSE, "","Enviado")</f>
        <v>Enviado</v>
      </c>
      <c r="F341" s="51" t="str">
        <f>IF(_xlfn.ISFORMULA('Previsto x realizado'!AX1752) = FALSE, "","Enviado")</f>
        <v>Enviado</v>
      </c>
      <c r="G341" s="51" t="str">
        <f>IF(_xlfn.ISFORMULA('Previsto x realizado'!AY1752) = FALSE, "","Enviado")</f>
        <v>Enviado</v>
      </c>
      <c r="H341" s="51" t="str">
        <f>IF(_xlfn.ISFORMULA('Previsto x realizado'!AZ1752) = FALSE, "","Enviado")</f>
        <v>Enviado</v>
      </c>
      <c r="I341" s="51" t="str">
        <f>IF(_xlfn.ISFORMULA('Previsto x realizado'!BA1752) = FALSE, "","Enviado")</f>
        <v/>
      </c>
      <c r="J341" s="51" t="str">
        <f>IF(_xlfn.ISFORMULA('Previsto x realizado'!BB1752) = FALSE, "","Enviado")</f>
        <v/>
      </c>
      <c r="K341" s="51" t="str">
        <f>IF(_xlfn.ISFORMULA('Previsto x realizado'!BC1752) = FALSE, "","Enviado")</f>
        <v/>
      </c>
      <c r="L341" s="51" t="str">
        <f>IF(_xlfn.ISFORMULA('Previsto x realizado'!BD1752) = FALSE, "","Enviado")</f>
        <v/>
      </c>
      <c r="M341" s="51" t="str">
        <f>IF(_xlfn.ISFORMULA('Previsto x realizado'!BE1752) = FALSE, "","Enviado")</f>
        <v/>
      </c>
      <c r="N341" s="51" t="str">
        <f>IF(_xlfn.ISFORMULA('Previsto x realizado'!BF1752) = FALSE, "","Enviado")</f>
        <v/>
      </c>
      <c r="O341" s="51" t="str">
        <f>IF(_xlfn.ISFORMULA('Previsto x realizado'!BG1752) = FALSE, "","Enviado")</f>
        <v/>
      </c>
      <c r="P341" s="51" t="str">
        <f>IF(_xlfn.ISFORMULA('Previsto x realizado'!BH1752) = FALSE, "","Enviado")</f>
        <v/>
      </c>
    </row>
    <row r="342" spans="1:16" x14ac:dyDescent="0.3">
      <c r="A342" s="43" t="s">
        <v>134</v>
      </c>
      <c r="B342" s="15" t="s">
        <v>150</v>
      </c>
      <c r="C342" s="5" t="s">
        <v>214</v>
      </c>
      <c r="D342" s="4" t="s">
        <v>238</v>
      </c>
      <c r="E342" s="51" t="str">
        <f>IF(_xlfn.ISFORMULA('Previsto x realizado'!AW1758) = FALSE, "","Enviado")</f>
        <v>Enviado</v>
      </c>
      <c r="F342" s="51" t="str">
        <f>IF(_xlfn.ISFORMULA('Previsto x realizado'!AX1758) = FALSE, "","Enviado")</f>
        <v>Enviado</v>
      </c>
      <c r="G342" s="51" t="str">
        <f>IF(_xlfn.ISFORMULA('Previsto x realizado'!AY1758) = FALSE, "","Enviado")</f>
        <v>Enviado</v>
      </c>
      <c r="H342" s="51" t="str">
        <f>IF(_xlfn.ISFORMULA('Previsto x realizado'!AZ1758) = FALSE, "","Enviado")</f>
        <v>Enviado</v>
      </c>
      <c r="I342" s="51" t="str">
        <f>IF(_xlfn.ISFORMULA('Previsto x realizado'!BA1758) = FALSE, "","Enviado")</f>
        <v/>
      </c>
      <c r="J342" s="51" t="str">
        <f>IF(_xlfn.ISFORMULA('Previsto x realizado'!BB1758) = FALSE, "","Enviado")</f>
        <v/>
      </c>
      <c r="K342" s="51" t="str">
        <f>IF(_xlfn.ISFORMULA('Previsto x realizado'!BC1758) = FALSE, "","Enviado")</f>
        <v/>
      </c>
      <c r="L342" s="51" t="str">
        <f>IF(_xlfn.ISFORMULA('Previsto x realizado'!BD1758) = FALSE, "","Enviado")</f>
        <v/>
      </c>
      <c r="M342" s="51" t="str">
        <f>IF(_xlfn.ISFORMULA('Previsto x realizado'!BE1758) = FALSE, "","Enviado")</f>
        <v/>
      </c>
      <c r="N342" s="51" t="str">
        <f>IF(_xlfn.ISFORMULA('Previsto x realizado'!BF1758) = FALSE, "","Enviado")</f>
        <v/>
      </c>
      <c r="O342" s="51" t="str">
        <f>IF(_xlfn.ISFORMULA('Previsto x realizado'!BG1758) = FALSE, "","Enviado")</f>
        <v/>
      </c>
      <c r="P342" s="51" t="str">
        <f>IF(_xlfn.ISFORMULA('Previsto x realizado'!BH1758) = FALSE, "","Enviado")</f>
        <v/>
      </c>
    </row>
    <row r="343" spans="1:16" x14ac:dyDescent="0.3">
      <c r="A343" s="38" t="s">
        <v>134</v>
      </c>
      <c r="B343" s="4" t="s">
        <v>158</v>
      </c>
      <c r="C343" s="5" t="s">
        <v>214</v>
      </c>
      <c r="D343" s="4" t="s">
        <v>238</v>
      </c>
      <c r="E343" s="51" t="str">
        <f>IF(_xlfn.ISFORMULA('Previsto x realizado'!AW1764) = FALSE, "","Enviado")</f>
        <v>Enviado</v>
      </c>
      <c r="F343" s="51" t="str">
        <f>IF(_xlfn.ISFORMULA('Previsto x realizado'!AX1764) = FALSE, "","Enviado")</f>
        <v>Enviado</v>
      </c>
      <c r="G343" s="51" t="str">
        <f>IF(_xlfn.ISFORMULA('Previsto x realizado'!AY1764) = FALSE, "","Enviado")</f>
        <v>Enviado</v>
      </c>
      <c r="H343" s="51" t="str">
        <f>IF(_xlfn.ISFORMULA('Previsto x realizado'!AZ1764) = FALSE, "","Enviado")</f>
        <v>Enviado</v>
      </c>
      <c r="I343" s="51" t="str">
        <f>IF(_xlfn.ISFORMULA('Previsto x realizado'!BA1764) = FALSE, "","Enviado")</f>
        <v/>
      </c>
      <c r="J343" s="51" t="str">
        <f>IF(_xlfn.ISFORMULA('Previsto x realizado'!BB1764) = FALSE, "","Enviado")</f>
        <v/>
      </c>
      <c r="K343" s="51" t="str">
        <f>IF(_xlfn.ISFORMULA('Previsto x realizado'!BC1764) = FALSE, "","Enviado")</f>
        <v/>
      </c>
      <c r="L343" s="51" t="str">
        <f>IF(_xlfn.ISFORMULA('Previsto x realizado'!BD1764) = FALSE, "","Enviado")</f>
        <v/>
      </c>
      <c r="M343" s="51" t="str">
        <f>IF(_xlfn.ISFORMULA('Previsto x realizado'!BE1764) = FALSE, "","Enviado")</f>
        <v/>
      </c>
      <c r="N343" s="51" t="str">
        <f>IF(_xlfn.ISFORMULA('Previsto x realizado'!BF1764) = FALSE, "","Enviado")</f>
        <v/>
      </c>
      <c r="O343" s="51" t="str">
        <f>IF(_xlfn.ISFORMULA('Previsto x realizado'!BG1764) = FALSE, "","Enviado")</f>
        <v/>
      </c>
      <c r="P343" s="51" t="str">
        <f>IF(_xlfn.ISFORMULA('Previsto x realizado'!BH1764) = FALSE, "","Enviado")</f>
        <v/>
      </c>
    </row>
    <row r="344" spans="1:16" x14ac:dyDescent="0.3">
      <c r="A344" s="23" t="s">
        <v>134</v>
      </c>
      <c r="B344" s="4" t="s">
        <v>158</v>
      </c>
      <c r="C344" s="5" t="s">
        <v>214</v>
      </c>
      <c r="D344" s="4" t="s">
        <v>238</v>
      </c>
      <c r="E344" s="51" t="str">
        <f>IF(_xlfn.ISFORMULA('Previsto x realizado'!AW1770) = FALSE, "","Enviado")</f>
        <v>Enviado</v>
      </c>
      <c r="F344" s="51" t="str">
        <f>IF(_xlfn.ISFORMULA('Previsto x realizado'!AX1770) = FALSE, "","Enviado")</f>
        <v>Enviado</v>
      </c>
      <c r="G344" s="51" t="str">
        <f>IF(_xlfn.ISFORMULA('Previsto x realizado'!AY1770) = FALSE, "","Enviado")</f>
        <v>Enviado</v>
      </c>
      <c r="H344" s="51" t="str">
        <f>IF(_xlfn.ISFORMULA('Previsto x realizado'!AZ1770) = FALSE, "","Enviado")</f>
        <v>Enviado</v>
      </c>
      <c r="I344" s="51" t="str">
        <f>IF(_xlfn.ISFORMULA('Previsto x realizado'!BA1770) = FALSE, "","Enviado")</f>
        <v/>
      </c>
      <c r="J344" s="51" t="str">
        <f>IF(_xlfn.ISFORMULA('Previsto x realizado'!BB1770) = FALSE, "","Enviado")</f>
        <v/>
      </c>
      <c r="K344" s="51" t="str">
        <f>IF(_xlfn.ISFORMULA('Previsto x realizado'!BC1770) = FALSE, "","Enviado")</f>
        <v/>
      </c>
      <c r="L344" s="51" t="str">
        <f>IF(_xlfn.ISFORMULA('Previsto x realizado'!BD1770) = FALSE, "","Enviado")</f>
        <v/>
      </c>
      <c r="M344" s="51" t="str">
        <f>IF(_xlfn.ISFORMULA('Previsto x realizado'!BE1770) = FALSE, "","Enviado")</f>
        <v/>
      </c>
      <c r="N344" s="51" t="str">
        <f>IF(_xlfn.ISFORMULA('Previsto x realizado'!BF1770) = FALSE, "","Enviado")</f>
        <v/>
      </c>
      <c r="O344" s="51" t="str">
        <f>IF(_xlfn.ISFORMULA('Previsto x realizado'!BG1770) = FALSE, "","Enviado")</f>
        <v/>
      </c>
      <c r="P344" s="51" t="str">
        <f>IF(_xlfn.ISFORMULA('Previsto x realizado'!BH1770) = FALSE, "","Enviado")</f>
        <v/>
      </c>
    </row>
    <row r="345" spans="1:16" x14ac:dyDescent="0.3">
      <c r="A345" s="42" t="s">
        <v>134</v>
      </c>
      <c r="B345" s="4" t="s">
        <v>158</v>
      </c>
      <c r="C345" s="5" t="s">
        <v>214</v>
      </c>
      <c r="D345" s="4" t="s">
        <v>238</v>
      </c>
      <c r="E345" s="51" t="str">
        <f>IF(_xlfn.ISFORMULA('Previsto x realizado'!AW1776) = FALSE, "","Enviado")</f>
        <v>Enviado</v>
      </c>
      <c r="F345" s="51" t="str">
        <f>IF(_xlfn.ISFORMULA('Previsto x realizado'!AX1776) = FALSE, "","Enviado")</f>
        <v>Enviado</v>
      </c>
      <c r="G345" s="51" t="str">
        <f>IF(_xlfn.ISFORMULA('Previsto x realizado'!AY1776) = FALSE, "","Enviado")</f>
        <v>Enviado</v>
      </c>
      <c r="H345" s="51" t="str">
        <f>IF(_xlfn.ISFORMULA('Previsto x realizado'!AZ1776) = FALSE, "","Enviado")</f>
        <v>Enviado</v>
      </c>
      <c r="I345" s="51" t="str">
        <f>IF(_xlfn.ISFORMULA('Previsto x realizado'!BA1776) = FALSE, "","Enviado")</f>
        <v/>
      </c>
      <c r="J345" s="51" t="str">
        <f>IF(_xlfn.ISFORMULA('Previsto x realizado'!BB1776) = FALSE, "","Enviado")</f>
        <v/>
      </c>
      <c r="K345" s="51" t="str">
        <f>IF(_xlfn.ISFORMULA('Previsto x realizado'!BC1776) = FALSE, "","Enviado")</f>
        <v/>
      </c>
      <c r="L345" s="51" t="str">
        <f>IF(_xlfn.ISFORMULA('Previsto x realizado'!BD1776) = FALSE, "","Enviado")</f>
        <v/>
      </c>
      <c r="M345" s="51" t="str">
        <f>IF(_xlfn.ISFORMULA('Previsto x realizado'!BE1776) = FALSE, "","Enviado")</f>
        <v/>
      </c>
      <c r="N345" s="51" t="str">
        <f>IF(_xlfn.ISFORMULA('Previsto x realizado'!BF1776) = FALSE, "","Enviado")</f>
        <v/>
      </c>
      <c r="O345" s="51" t="str">
        <f>IF(_xlfn.ISFORMULA('Previsto x realizado'!BG1776) = FALSE, "","Enviado")</f>
        <v/>
      </c>
      <c r="P345" s="51" t="str">
        <f>IF(_xlfn.ISFORMULA('Previsto x realizado'!BH1776) = FALSE, "","Enviado")</f>
        <v/>
      </c>
    </row>
    <row r="346" spans="1:16" x14ac:dyDescent="0.3">
      <c r="A346" s="23" t="s">
        <v>134</v>
      </c>
      <c r="B346" s="4" t="s">
        <v>167</v>
      </c>
      <c r="C346" s="5" t="s">
        <v>214</v>
      </c>
      <c r="D346" s="4" t="s">
        <v>238</v>
      </c>
      <c r="E346" s="51" t="str">
        <f>IF(_xlfn.ISFORMULA('Previsto x realizado'!AW1782) = FALSE, "","Enviado")</f>
        <v>Enviado</v>
      </c>
      <c r="F346" s="51" t="str">
        <f>IF(_xlfn.ISFORMULA('Previsto x realizado'!AX1782) = FALSE, "","Enviado")</f>
        <v>Enviado</v>
      </c>
      <c r="G346" s="51" t="str">
        <f>IF(_xlfn.ISFORMULA('Previsto x realizado'!AY1782) = FALSE, "","Enviado")</f>
        <v>Enviado</v>
      </c>
      <c r="H346" s="51" t="str">
        <f>IF(_xlfn.ISFORMULA('Previsto x realizado'!AZ1782) = FALSE, "","Enviado")</f>
        <v>Enviado</v>
      </c>
      <c r="I346" s="51" t="str">
        <f>IF(_xlfn.ISFORMULA('Previsto x realizado'!BA1782) = FALSE, "","Enviado")</f>
        <v/>
      </c>
      <c r="J346" s="51" t="str">
        <f>IF(_xlfn.ISFORMULA('Previsto x realizado'!BB1782) = FALSE, "","Enviado")</f>
        <v/>
      </c>
      <c r="K346" s="51" t="str">
        <f>IF(_xlfn.ISFORMULA('Previsto x realizado'!BC1782) = FALSE, "","Enviado")</f>
        <v/>
      </c>
      <c r="L346" s="51" t="str">
        <f>IF(_xlfn.ISFORMULA('Previsto x realizado'!BD1782) = FALSE, "","Enviado")</f>
        <v/>
      </c>
      <c r="M346" s="51" t="str">
        <f>IF(_xlfn.ISFORMULA('Previsto x realizado'!BE1782) = FALSE, "","Enviado")</f>
        <v/>
      </c>
      <c r="N346" s="51" t="str">
        <f>IF(_xlfn.ISFORMULA('Previsto x realizado'!BF1782) = FALSE, "","Enviado")</f>
        <v/>
      </c>
      <c r="O346" s="51" t="str">
        <f>IF(_xlfn.ISFORMULA('Previsto x realizado'!BG1782) = FALSE, "","Enviado")</f>
        <v/>
      </c>
      <c r="P346" s="51" t="str">
        <f>IF(_xlfn.ISFORMULA('Previsto x realizado'!BH1782) = FALSE, "","Enviado")</f>
        <v/>
      </c>
    </row>
    <row r="347" spans="1:16" x14ac:dyDescent="0.3">
      <c r="A347" s="23" t="s">
        <v>134</v>
      </c>
      <c r="B347" s="4" t="s">
        <v>167</v>
      </c>
      <c r="C347" s="5" t="s">
        <v>214</v>
      </c>
      <c r="D347" s="4" t="s">
        <v>238</v>
      </c>
      <c r="E347" s="51" t="str">
        <f>IF(_xlfn.ISFORMULA('Previsto x realizado'!AW1788) = FALSE, "","Enviado")</f>
        <v>Enviado</v>
      </c>
      <c r="F347" s="51" t="str">
        <f>IF(_xlfn.ISFORMULA('Previsto x realizado'!AX1788) = FALSE, "","Enviado")</f>
        <v>Enviado</v>
      </c>
      <c r="G347" s="51" t="str">
        <f>IF(_xlfn.ISFORMULA('Previsto x realizado'!AY1788) = FALSE, "","Enviado")</f>
        <v>Enviado</v>
      </c>
      <c r="H347" s="51" t="str">
        <f>IF(_xlfn.ISFORMULA('Previsto x realizado'!AZ1788) = FALSE, "","Enviado")</f>
        <v>Enviado</v>
      </c>
      <c r="I347" s="51" t="str">
        <f>IF(_xlfn.ISFORMULA('Previsto x realizado'!BA1788) = FALSE, "","Enviado")</f>
        <v/>
      </c>
      <c r="J347" s="51" t="str">
        <f>IF(_xlfn.ISFORMULA('Previsto x realizado'!BB1788) = FALSE, "","Enviado")</f>
        <v/>
      </c>
      <c r="K347" s="51" t="str">
        <f>IF(_xlfn.ISFORMULA('Previsto x realizado'!BC1788) = FALSE, "","Enviado")</f>
        <v/>
      </c>
      <c r="L347" s="51" t="str">
        <f>IF(_xlfn.ISFORMULA('Previsto x realizado'!BD1788) = FALSE, "","Enviado")</f>
        <v/>
      </c>
      <c r="M347" s="51" t="str">
        <f>IF(_xlfn.ISFORMULA('Previsto x realizado'!BE1788) = FALSE, "","Enviado")</f>
        <v/>
      </c>
      <c r="N347" s="51" t="str">
        <f>IF(_xlfn.ISFORMULA('Previsto x realizado'!BF1788) = FALSE, "","Enviado")</f>
        <v/>
      </c>
      <c r="O347" s="51" t="str">
        <f>IF(_xlfn.ISFORMULA('Previsto x realizado'!BG1788) = FALSE, "","Enviado")</f>
        <v/>
      </c>
      <c r="P347" s="51" t="str">
        <f>IF(_xlfn.ISFORMULA('Previsto x realizado'!BH1788) = FALSE, "","Enviado")</f>
        <v/>
      </c>
    </row>
    <row r="348" spans="1:16" ht="27.6" x14ac:dyDescent="0.3">
      <c r="A348" s="23" t="s">
        <v>134</v>
      </c>
      <c r="B348" s="4" t="s">
        <v>174</v>
      </c>
      <c r="C348" s="5" t="s">
        <v>214</v>
      </c>
      <c r="D348" s="4" t="s">
        <v>267</v>
      </c>
      <c r="E348" s="51" t="str">
        <f>IF(_xlfn.ISFORMULA('Previsto x realizado'!AW1794) = FALSE, "","Enviado")</f>
        <v>Enviado</v>
      </c>
      <c r="F348" s="51" t="str">
        <f>IF(_xlfn.ISFORMULA('Previsto x realizado'!AX1794) = FALSE, "","Enviado")</f>
        <v>Enviado</v>
      </c>
      <c r="G348" s="51" t="str">
        <f>IF(_xlfn.ISFORMULA('Previsto x realizado'!AY1794) = FALSE, "","Enviado")</f>
        <v>Enviado</v>
      </c>
      <c r="H348" s="51" t="str">
        <f>IF(_xlfn.ISFORMULA('Previsto x realizado'!AZ1794) = FALSE, "","Enviado")</f>
        <v>Enviado</v>
      </c>
      <c r="I348" s="51" t="str">
        <f>IF(_xlfn.ISFORMULA('Previsto x realizado'!BA1794) = FALSE, "","Enviado")</f>
        <v/>
      </c>
      <c r="J348" s="51" t="str">
        <f>IF(_xlfn.ISFORMULA('Previsto x realizado'!BB1794) = FALSE, "","Enviado")</f>
        <v/>
      </c>
      <c r="K348" s="51" t="str">
        <f>IF(_xlfn.ISFORMULA('Previsto x realizado'!BC1794) = FALSE, "","Enviado")</f>
        <v/>
      </c>
      <c r="L348" s="51" t="str">
        <f>IF(_xlfn.ISFORMULA('Previsto x realizado'!BD1794) = FALSE, "","Enviado")</f>
        <v/>
      </c>
      <c r="M348" s="51" t="str">
        <f>IF(_xlfn.ISFORMULA('Previsto x realizado'!BE1794) = FALSE, "","Enviado")</f>
        <v/>
      </c>
      <c r="N348" s="51" t="str">
        <f>IF(_xlfn.ISFORMULA('Previsto x realizado'!BF1794) = FALSE, "","Enviado")</f>
        <v/>
      </c>
      <c r="O348" s="51" t="str">
        <f>IF(_xlfn.ISFORMULA('Previsto x realizado'!BG1794) = FALSE, "","Enviado")</f>
        <v/>
      </c>
      <c r="P348" s="51" t="str">
        <f>IF(_xlfn.ISFORMULA('Previsto x realizado'!BH1794) = FALSE, "","Enviado")</f>
        <v/>
      </c>
    </row>
    <row r="349" spans="1:16" ht="27.6" x14ac:dyDescent="0.3">
      <c r="A349" s="23" t="s">
        <v>134</v>
      </c>
      <c r="B349" s="4" t="s">
        <v>174</v>
      </c>
      <c r="C349" s="5" t="s">
        <v>214</v>
      </c>
      <c r="D349" s="4" t="s">
        <v>267</v>
      </c>
      <c r="E349" s="51" t="str">
        <f>IF(_xlfn.ISFORMULA('Previsto x realizado'!AW1805) = FALSE, "","Enviado")</f>
        <v>Enviado</v>
      </c>
      <c r="F349" s="51" t="str">
        <f>IF(_xlfn.ISFORMULA('Previsto x realizado'!AX1805) = FALSE, "","Enviado")</f>
        <v>Enviado</v>
      </c>
      <c r="G349" s="51" t="str">
        <f>IF(_xlfn.ISFORMULA('Previsto x realizado'!AY1805) = FALSE, "","Enviado")</f>
        <v>Enviado</v>
      </c>
      <c r="H349" s="51" t="str">
        <f>IF(_xlfn.ISFORMULA('Previsto x realizado'!AZ1805) = FALSE, "","Enviado")</f>
        <v>Enviado</v>
      </c>
      <c r="I349" s="51" t="str">
        <f>IF(_xlfn.ISFORMULA('Previsto x realizado'!BA1805) = FALSE, "","Enviado")</f>
        <v/>
      </c>
      <c r="J349" s="51" t="str">
        <f>IF(_xlfn.ISFORMULA('Previsto x realizado'!BB1805) = FALSE, "","Enviado")</f>
        <v/>
      </c>
      <c r="K349" s="51" t="str">
        <f>IF(_xlfn.ISFORMULA('Previsto x realizado'!BC1805) = FALSE, "","Enviado")</f>
        <v/>
      </c>
      <c r="L349" s="51" t="str">
        <f>IF(_xlfn.ISFORMULA('Previsto x realizado'!BD1805) = FALSE, "","Enviado")</f>
        <v/>
      </c>
      <c r="M349" s="51" t="str">
        <f>IF(_xlfn.ISFORMULA('Previsto x realizado'!BE1805) = FALSE, "","Enviado")</f>
        <v/>
      </c>
      <c r="N349" s="51" t="str">
        <f>IF(_xlfn.ISFORMULA('Previsto x realizado'!BF1805) = FALSE, "","Enviado")</f>
        <v/>
      </c>
      <c r="O349" s="51" t="str">
        <f>IF(_xlfn.ISFORMULA('Previsto x realizado'!BG1805) = FALSE, "","Enviado")</f>
        <v/>
      </c>
      <c r="P349" s="51" t="str">
        <f>IF(_xlfn.ISFORMULA('Previsto x realizado'!BH1805) = FALSE, "","Enviado")</f>
        <v/>
      </c>
    </row>
    <row r="350" spans="1:16" ht="27.6" x14ac:dyDescent="0.3">
      <c r="A350" s="33" t="s">
        <v>175</v>
      </c>
      <c r="B350" s="4" t="s">
        <v>176</v>
      </c>
      <c r="C350" s="5" t="s">
        <v>214</v>
      </c>
      <c r="D350" s="4" t="s">
        <v>267</v>
      </c>
      <c r="E350" s="51" t="str">
        <f>IF(_xlfn.ISFORMULA('Previsto x realizado'!AW1806) = FALSE, "","Enviado")</f>
        <v>Enviado</v>
      </c>
      <c r="F350" s="51" t="str">
        <f>IF(_xlfn.ISFORMULA('Previsto x realizado'!AX1806) = FALSE, "","Enviado")</f>
        <v>Enviado</v>
      </c>
      <c r="G350" s="51" t="str">
        <f>IF(_xlfn.ISFORMULA('Previsto x realizado'!AY1806) = FALSE, "","Enviado")</f>
        <v>Enviado</v>
      </c>
      <c r="H350" s="51" t="str">
        <f>IF(_xlfn.ISFORMULA('Previsto x realizado'!AZ1806) = FALSE, "","Enviado")</f>
        <v>Enviado</v>
      </c>
      <c r="I350" s="51" t="str">
        <f>IF(_xlfn.ISFORMULA('Previsto x realizado'!BA1806) = FALSE, "","Enviado")</f>
        <v/>
      </c>
      <c r="J350" s="51" t="str">
        <f>IF(_xlfn.ISFORMULA('Previsto x realizado'!BB1806) = FALSE, "","Enviado")</f>
        <v/>
      </c>
      <c r="K350" s="51" t="str">
        <f>IF(_xlfn.ISFORMULA('Previsto x realizado'!BC1806) = FALSE, "","Enviado")</f>
        <v/>
      </c>
      <c r="L350" s="51" t="str">
        <f>IF(_xlfn.ISFORMULA('Previsto x realizado'!BD1806) = FALSE, "","Enviado")</f>
        <v/>
      </c>
      <c r="M350" s="51" t="str">
        <f>IF(_xlfn.ISFORMULA('Previsto x realizado'!BE1806) = FALSE, "","Enviado")</f>
        <v/>
      </c>
      <c r="N350" s="51" t="str">
        <f>IF(_xlfn.ISFORMULA('Previsto x realizado'!BF1806) = FALSE, "","Enviado")</f>
        <v/>
      </c>
      <c r="O350" s="51" t="str">
        <f>IF(_xlfn.ISFORMULA('Previsto x realizado'!BG1806) = FALSE, "","Enviado")</f>
        <v/>
      </c>
      <c r="P350" s="51" t="str">
        <f>IF(_xlfn.ISFORMULA('Previsto x realizado'!BH1806) = FALSE, "","Enviado")</f>
        <v/>
      </c>
    </row>
    <row r="351" spans="1:16" ht="27.6" x14ac:dyDescent="0.3">
      <c r="A351" s="44" t="s">
        <v>175</v>
      </c>
      <c r="B351" s="4" t="s">
        <v>176</v>
      </c>
      <c r="C351" s="5" t="s">
        <v>214</v>
      </c>
      <c r="D351" s="4" t="s">
        <v>267</v>
      </c>
      <c r="E351" s="51" t="str">
        <f>IF(_xlfn.ISFORMULA('Previsto x realizado'!AW1812) = FALSE, "","Enviado")</f>
        <v>Enviado</v>
      </c>
      <c r="F351" s="51" t="str">
        <f>IF(_xlfn.ISFORMULA('Previsto x realizado'!AX1812) = FALSE, "","Enviado")</f>
        <v>Enviado</v>
      </c>
      <c r="G351" s="51" t="str">
        <f>IF(_xlfn.ISFORMULA('Previsto x realizado'!AY1812) = FALSE, "","Enviado")</f>
        <v>Enviado</v>
      </c>
      <c r="H351" s="51" t="str">
        <f>IF(_xlfn.ISFORMULA('Previsto x realizado'!AZ1812) = FALSE, "","Enviado")</f>
        <v>Enviado</v>
      </c>
      <c r="I351" s="51" t="str">
        <f>IF(_xlfn.ISFORMULA('Previsto x realizado'!BA1812) = FALSE, "","Enviado")</f>
        <v/>
      </c>
      <c r="J351" s="51" t="str">
        <f>IF(_xlfn.ISFORMULA('Previsto x realizado'!BB1812) = FALSE, "","Enviado")</f>
        <v/>
      </c>
      <c r="K351" s="51" t="str">
        <f>IF(_xlfn.ISFORMULA('Previsto x realizado'!BC1812) = FALSE, "","Enviado")</f>
        <v/>
      </c>
      <c r="L351" s="51" t="str">
        <f>IF(_xlfn.ISFORMULA('Previsto x realizado'!BD1812) = FALSE, "","Enviado")</f>
        <v/>
      </c>
      <c r="M351" s="51" t="str">
        <f>IF(_xlfn.ISFORMULA('Previsto x realizado'!BE1812) = FALSE, "","Enviado")</f>
        <v/>
      </c>
      <c r="N351" s="51" t="str">
        <f>IF(_xlfn.ISFORMULA('Previsto x realizado'!BF1812) = FALSE, "","Enviado")</f>
        <v/>
      </c>
      <c r="O351" s="51" t="str">
        <f>IF(_xlfn.ISFORMULA('Previsto x realizado'!BG1812) = FALSE, "","Enviado")</f>
        <v/>
      </c>
      <c r="P351" s="51" t="str">
        <f>IF(_xlfn.ISFORMULA('Previsto x realizado'!BH1812) = FALSE, "","Enviado")</f>
        <v/>
      </c>
    </row>
    <row r="352" spans="1:16" ht="27.6" x14ac:dyDescent="0.3">
      <c r="A352" s="44" t="s">
        <v>175</v>
      </c>
      <c r="B352" s="4" t="s">
        <v>176</v>
      </c>
      <c r="C352" s="5" t="s">
        <v>214</v>
      </c>
      <c r="D352" s="4" t="s">
        <v>267</v>
      </c>
      <c r="E352" s="51" t="str">
        <f>IF(_xlfn.ISFORMULA('Previsto x realizado'!AW1818) = FALSE, "","Enviado")</f>
        <v>Enviado</v>
      </c>
      <c r="F352" s="51" t="str">
        <f>IF(_xlfn.ISFORMULA('Previsto x realizado'!AX1818) = FALSE, "","Enviado")</f>
        <v>Enviado</v>
      </c>
      <c r="G352" s="51" t="str">
        <f>IF(_xlfn.ISFORMULA('Previsto x realizado'!AY1818) = FALSE, "","Enviado")</f>
        <v>Enviado</v>
      </c>
      <c r="H352" s="51" t="str">
        <f>IF(_xlfn.ISFORMULA('Previsto x realizado'!AZ1818) = FALSE, "","Enviado")</f>
        <v>Enviado</v>
      </c>
      <c r="I352" s="51" t="str">
        <f>IF(_xlfn.ISFORMULA('Previsto x realizado'!BA1818) = FALSE, "","Enviado")</f>
        <v/>
      </c>
      <c r="J352" s="51" t="str">
        <f>IF(_xlfn.ISFORMULA('Previsto x realizado'!BB1818) = FALSE, "","Enviado")</f>
        <v/>
      </c>
      <c r="K352" s="51" t="str">
        <f>IF(_xlfn.ISFORMULA('Previsto x realizado'!BC1818) = FALSE, "","Enviado")</f>
        <v/>
      </c>
      <c r="L352" s="51" t="str">
        <f>IF(_xlfn.ISFORMULA('Previsto x realizado'!BD1818) = FALSE, "","Enviado")</f>
        <v/>
      </c>
      <c r="M352" s="51" t="str">
        <f>IF(_xlfn.ISFORMULA('Previsto x realizado'!BE1818) = FALSE, "","Enviado")</f>
        <v/>
      </c>
      <c r="N352" s="51" t="str">
        <f>IF(_xlfn.ISFORMULA('Previsto x realizado'!BF1818) = FALSE, "","Enviado")</f>
        <v/>
      </c>
      <c r="O352" s="51" t="str">
        <f>IF(_xlfn.ISFORMULA('Previsto x realizado'!BG1818) = FALSE, "","Enviado")</f>
        <v/>
      </c>
      <c r="P352" s="51" t="str">
        <f>IF(_xlfn.ISFORMULA('Previsto x realizado'!BH1818) = FALSE, "","Enviado")</f>
        <v/>
      </c>
    </row>
    <row r="353" spans="1:16" ht="27.6" x14ac:dyDescent="0.3">
      <c r="A353" s="33" t="s">
        <v>175</v>
      </c>
      <c r="B353" s="4" t="s">
        <v>184</v>
      </c>
      <c r="C353" s="5" t="s">
        <v>214</v>
      </c>
      <c r="D353" s="4" t="s">
        <v>267</v>
      </c>
      <c r="E353" s="51" t="str">
        <f>IF(_xlfn.ISFORMULA('Previsto x realizado'!AW1824) = FALSE, "","Enviado")</f>
        <v>Enviado</v>
      </c>
      <c r="F353" s="51" t="str">
        <f>IF(_xlfn.ISFORMULA('Previsto x realizado'!AX1824) = FALSE, "","Enviado")</f>
        <v>Enviado</v>
      </c>
      <c r="G353" s="51" t="str">
        <f>IF(_xlfn.ISFORMULA('Previsto x realizado'!AY1824) = FALSE, "","Enviado")</f>
        <v>Enviado</v>
      </c>
      <c r="H353" s="51" t="str">
        <f>IF(_xlfn.ISFORMULA('Previsto x realizado'!AZ1824) = FALSE, "","Enviado")</f>
        <v>Enviado</v>
      </c>
      <c r="I353" s="51" t="str">
        <f>IF(_xlfn.ISFORMULA('Previsto x realizado'!BA1824) = FALSE, "","Enviado")</f>
        <v/>
      </c>
      <c r="J353" s="51" t="str">
        <f>IF(_xlfn.ISFORMULA('Previsto x realizado'!BB1824) = FALSE, "","Enviado")</f>
        <v/>
      </c>
      <c r="K353" s="51" t="str">
        <f>IF(_xlfn.ISFORMULA('Previsto x realizado'!BC1824) = FALSE, "","Enviado")</f>
        <v/>
      </c>
      <c r="L353" s="51" t="str">
        <f>IF(_xlfn.ISFORMULA('Previsto x realizado'!BD1824) = FALSE, "","Enviado")</f>
        <v/>
      </c>
      <c r="M353" s="51" t="str">
        <f>IF(_xlfn.ISFORMULA('Previsto x realizado'!BE1824) = FALSE, "","Enviado")</f>
        <v/>
      </c>
      <c r="N353" s="51" t="str">
        <f>IF(_xlfn.ISFORMULA('Previsto x realizado'!BF1824) = FALSE, "","Enviado")</f>
        <v/>
      </c>
      <c r="O353" s="51" t="str">
        <f>IF(_xlfn.ISFORMULA('Previsto x realizado'!BG1824) = FALSE, "","Enviado")</f>
        <v/>
      </c>
      <c r="P353" s="51" t="str">
        <f>IF(_xlfn.ISFORMULA('Previsto x realizado'!BH1824) = FALSE, "","Enviado")</f>
        <v/>
      </c>
    </row>
    <row r="354" spans="1:16" ht="27.6" x14ac:dyDescent="0.3">
      <c r="A354" s="44" t="s">
        <v>175</v>
      </c>
      <c r="B354" s="4" t="s">
        <v>184</v>
      </c>
      <c r="C354" s="5" t="s">
        <v>214</v>
      </c>
      <c r="D354" s="4" t="s">
        <v>267</v>
      </c>
      <c r="E354" s="51" t="str">
        <f>IF(_xlfn.ISFORMULA('Previsto x realizado'!AW1830) = FALSE, "","Enviado")</f>
        <v>Enviado</v>
      </c>
      <c r="F354" s="51" t="str">
        <f>IF(_xlfn.ISFORMULA('Previsto x realizado'!AX1830) = FALSE, "","Enviado")</f>
        <v>Enviado</v>
      </c>
      <c r="G354" s="51" t="str">
        <f>IF(_xlfn.ISFORMULA('Previsto x realizado'!AY1830) = FALSE, "","Enviado")</f>
        <v>Enviado</v>
      </c>
      <c r="H354" s="51" t="str">
        <f>IF(_xlfn.ISFORMULA('Previsto x realizado'!AZ1830) = FALSE, "","Enviado")</f>
        <v>Enviado</v>
      </c>
      <c r="I354" s="51" t="str">
        <f>IF(_xlfn.ISFORMULA('Previsto x realizado'!BA1830) = FALSE, "","Enviado")</f>
        <v/>
      </c>
      <c r="J354" s="51" t="str">
        <f>IF(_xlfn.ISFORMULA('Previsto x realizado'!BB1830) = FALSE, "","Enviado")</f>
        <v/>
      </c>
      <c r="K354" s="51" t="str">
        <f>IF(_xlfn.ISFORMULA('Previsto x realizado'!BC1830) = FALSE, "","Enviado")</f>
        <v/>
      </c>
      <c r="L354" s="51" t="str">
        <f>IF(_xlfn.ISFORMULA('Previsto x realizado'!BD1830) = FALSE, "","Enviado")</f>
        <v/>
      </c>
      <c r="M354" s="51" t="str">
        <f>IF(_xlfn.ISFORMULA('Previsto x realizado'!BE1830) = FALSE, "","Enviado")</f>
        <v/>
      </c>
      <c r="N354" s="51" t="str">
        <f>IF(_xlfn.ISFORMULA('Previsto x realizado'!BF1830) = FALSE, "","Enviado")</f>
        <v/>
      </c>
      <c r="O354" s="51" t="str">
        <f>IF(_xlfn.ISFORMULA('Previsto x realizado'!BG1830) = FALSE, "","Enviado")</f>
        <v/>
      </c>
      <c r="P354" s="51" t="str">
        <f>IF(_xlfn.ISFORMULA('Previsto x realizado'!BH1830) = FALSE, "","Enviado")</f>
        <v/>
      </c>
    </row>
    <row r="355" spans="1:16" ht="27.6" x14ac:dyDescent="0.3">
      <c r="A355" s="44" t="s">
        <v>175</v>
      </c>
      <c r="B355" s="4" t="s">
        <v>184</v>
      </c>
      <c r="C355" s="5" t="s">
        <v>214</v>
      </c>
      <c r="D355" s="4" t="s">
        <v>267</v>
      </c>
      <c r="E355" s="51" t="str">
        <f>IF(_xlfn.ISFORMULA('Previsto x realizado'!AW1836) = FALSE, "","Enviado")</f>
        <v>Enviado</v>
      </c>
      <c r="F355" s="51" t="str">
        <f>IF(_xlfn.ISFORMULA('Previsto x realizado'!AX1836) = FALSE, "","Enviado")</f>
        <v>Enviado</v>
      </c>
      <c r="G355" s="51" t="str">
        <f>IF(_xlfn.ISFORMULA('Previsto x realizado'!AY1836) = FALSE, "","Enviado")</f>
        <v>Enviado</v>
      </c>
      <c r="H355" s="51" t="str">
        <f>IF(_xlfn.ISFORMULA('Previsto x realizado'!AZ1836) = FALSE, "","Enviado")</f>
        <v>Enviado</v>
      </c>
      <c r="I355" s="51" t="str">
        <f>IF(_xlfn.ISFORMULA('Previsto x realizado'!BA1836) = FALSE, "","Enviado")</f>
        <v/>
      </c>
      <c r="J355" s="51" t="str">
        <f>IF(_xlfn.ISFORMULA('Previsto x realizado'!BB1836) = FALSE, "","Enviado")</f>
        <v/>
      </c>
      <c r="K355" s="51" t="str">
        <f>IF(_xlfn.ISFORMULA('Previsto x realizado'!BC1836) = FALSE, "","Enviado")</f>
        <v/>
      </c>
      <c r="L355" s="51" t="str">
        <f>IF(_xlfn.ISFORMULA('Previsto x realizado'!BD1836) = FALSE, "","Enviado")</f>
        <v/>
      </c>
      <c r="M355" s="51" t="str">
        <f>IF(_xlfn.ISFORMULA('Previsto x realizado'!BE1836) = FALSE, "","Enviado")</f>
        <v/>
      </c>
      <c r="N355" s="51" t="str">
        <f>IF(_xlfn.ISFORMULA('Previsto x realizado'!BF1836) = FALSE, "","Enviado")</f>
        <v/>
      </c>
      <c r="O355" s="51" t="str">
        <f>IF(_xlfn.ISFORMULA('Previsto x realizado'!BG1836) = FALSE, "","Enviado")</f>
        <v/>
      </c>
      <c r="P355" s="51" t="str">
        <f>IF(_xlfn.ISFORMULA('Previsto x realizado'!BH1836) = FALSE, "","Enviado")</f>
        <v/>
      </c>
    </row>
    <row r="356" spans="1:16" ht="27.6" x14ac:dyDescent="0.3">
      <c r="A356" s="33" t="s">
        <v>175</v>
      </c>
      <c r="B356" s="4" t="s">
        <v>187</v>
      </c>
      <c r="C356" s="5" t="s">
        <v>214</v>
      </c>
      <c r="D356" s="4" t="s">
        <v>267</v>
      </c>
      <c r="E356" s="51" t="str">
        <f>IF(_xlfn.ISFORMULA('Previsto x realizado'!AW1842) = FALSE, "","Enviado")</f>
        <v/>
      </c>
      <c r="F356" s="51" t="str">
        <f>IF(_xlfn.ISFORMULA('Previsto x realizado'!AX1842) = FALSE, "","Enviado")</f>
        <v/>
      </c>
      <c r="G356" s="51" t="str">
        <f>IF(_xlfn.ISFORMULA('Previsto x realizado'!AY1842) = FALSE, "","Enviado")</f>
        <v/>
      </c>
      <c r="H356" s="51" t="str">
        <f>IF(_xlfn.ISFORMULA('Previsto x realizado'!AZ1842) = FALSE, "","Enviado")</f>
        <v/>
      </c>
      <c r="I356" s="51" t="str">
        <f>IF(_xlfn.ISFORMULA('Previsto x realizado'!BA1842) = FALSE, "","Enviado")</f>
        <v/>
      </c>
      <c r="J356" s="51" t="str">
        <f>IF(_xlfn.ISFORMULA('Previsto x realizado'!BB1842) = FALSE, "","Enviado")</f>
        <v/>
      </c>
      <c r="K356" s="51" t="str">
        <f>IF(_xlfn.ISFORMULA('Previsto x realizado'!BC1842) = FALSE, "","Enviado")</f>
        <v/>
      </c>
      <c r="L356" s="51" t="str">
        <f>IF(_xlfn.ISFORMULA('Previsto x realizado'!BD1842) = FALSE, "","Enviado")</f>
        <v/>
      </c>
      <c r="M356" s="51" t="str">
        <f>IF(_xlfn.ISFORMULA('Previsto x realizado'!BE1842) = FALSE, "","Enviado")</f>
        <v/>
      </c>
      <c r="N356" s="51" t="str">
        <f>IF(_xlfn.ISFORMULA('Previsto x realizado'!BF1842) = FALSE, "","Enviado")</f>
        <v/>
      </c>
      <c r="O356" s="51" t="str">
        <f>IF(_xlfn.ISFORMULA('Previsto x realizado'!BG1842) = FALSE, "","Enviado")</f>
        <v/>
      </c>
      <c r="P356" s="51" t="str">
        <f>IF(_xlfn.ISFORMULA('Previsto x realizado'!BH1842) = FALSE, "","Enviado")</f>
        <v/>
      </c>
    </row>
    <row r="357" spans="1:16" ht="27.6" x14ac:dyDescent="0.3">
      <c r="A357" s="44" t="s">
        <v>175</v>
      </c>
      <c r="B357" s="4" t="s">
        <v>187</v>
      </c>
      <c r="C357" s="5" t="s">
        <v>214</v>
      </c>
      <c r="D357" s="4" t="s">
        <v>267</v>
      </c>
      <c r="E357" s="51" t="str">
        <f>IF(_xlfn.ISFORMULA('Previsto x realizado'!AW1848) = FALSE, "","Enviado")</f>
        <v>Enviado</v>
      </c>
      <c r="F357" s="51" t="str">
        <f>IF(_xlfn.ISFORMULA('Previsto x realizado'!AX1848) = FALSE, "","Enviado")</f>
        <v/>
      </c>
      <c r="G357" s="51" t="str">
        <f>IF(_xlfn.ISFORMULA('Previsto x realizado'!AY1848) = FALSE, "","Enviado")</f>
        <v/>
      </c>
      <c r="H357" s="51" t="str">
        <f>IF(_xlfn.ISFORMULA('Previsto x realizado'!AZ1848) = FALSE, "","Enviado")</f>
        <v/>
      </c>
      <c r="I357" s="51" t="str">
        <f>IF(_xlfn.ISFORMULA('Previsto x realizado'!BA1848) = FALSE, "","Enviado")</f>
        <v/>
      </c>
      <c r="J357" s="51" t="str">
        <f>IF(_xlfn.ISFORMULA('Previsto x realizado'!BB1848) = FALSE, "","Enviado")</f>
        <v/>
      </c>
      <c r="K357" s="51" t="str">
        <f>IF(_xlfn.ISFORMULA('Previsto x realizado'!BC1848) = FALSE, "","Enviado")</f>
        <v/>
      </c>
      <c r="L357" s="51" t="str">
        <f>IF(_xlfn.ISFORMULA('Previsto x realizado'!BD1848) = FALSE, "","Enviado")</f>
        <v/>
      </c>
      <c r="M357" s="51" t="str">
        <f>IF(_xlfn.ISFORMULA('Previsto x realizado'!BE1848) = FALSE, "","Enviado")</f>
        <v/>
      </c>
      <c r="N357" s="51" t="str">
        <f>IF(_xlfn.ISFORMULA('Previsto x realizado'!BF1848) = FALSE, "","Enviado")</f>
        <v/>
      </c>
      <c r="O357" s="51" t="str">
        <f>IF(_xlfn.ISFORMULA('Previsto x realizado'!BG1848) = FALSE, "","Enviado")</f>
        <v/>
      </c>
      <c r="P357" s="51" t="str">
        <f>IF(_xlfn.ISFORMULA('Previsto x realizado'!BH1848) = FALSE, "","Enviado")</f>
        <v/>
      </c>
    </row>
    <row r="358" spans="1:16" ht="27.6" x14ac:dyDescent="0.3">
      <c r="A358" s="44" t="s">
        <v>175</v>
      </c>
      <c r="B358" s="4" t="s">
        <v>187</v>
      </c>
      <c r="C358" s="5" t="s">
        <v>214</v>
      </c>
      <c r="D358" s="4" t="s">
        <v>267</v>
      </c>
      <c r="E358" s="51" t="str">
        <f>IF(_xlfn.ISFORMULA('Previsto x realizado'!AW1854) = FALSE, "","Enviado")</f>
        <v>Enviado</v>
      </c>
      <c r="F358" s="51" t="str">
        <f>IF(_xlfn.ISFORMULA('Previsto x realizado'!AX1854) = FALSE, "","Enviado")</f>
        <v/>
      </c>
      <c r="G358" s="51" t="str">
        <f>IF(_xlfn.ISFORMULA('Previsto x realizado'!AY1854) = FALSE, "","Enviado")</f>
        <v/>
      </c>
      <c r="H358" s="51" t="str">
        <f>IF(_xlfn.ISFORMULA('Previsto x realizado'!AZ1854) = FALSE, "","Enviado")</f>
        <v/>
      </c>
      <c r="I358" s="51" t="str">
        <f>IF(_xlfn.ISFORMULA('Previsto x realizado'!BA1854) = FALSE, "","Enviado")</f>
        <v/>
      </c>
      <c r="J358" s="51" t="str">
        <f>IF(_xlfn.ISFORMULA('Previsto x realizado'!BB1854) = FALSE, "","Enviado")</f>
        <v/>
      </c>
      <c r="K358" s="51" t="str">
        <f>IF(_xlfn.ISFORMULA('Previsto x realizado'!BC1854) = FALSE, "","Enviado")</f>
        <v/>
      </c>
      <c r="L358" s="51" t="str">
        <f>IF(_xlfn.ISFORMULA('Previsto x realizado'!BD1854) = FALSE, "","Enviado")</f>
        <v/>
      </c>
      <c r="M358" s="51" t="str">
        <f>IF(_xlfn.ISFORMULA('Previsto x realizado'!BE1854) = FALSE, "","Enviado")</f>
        <v/>
      </c>
      <c r="N358" s="51" t="str">
        <f>IF(_xlfn.ISFORMULA('Previsto x realizado'!BF1854) = FALSE, "","Enviado")</f>
        <v/>
      </c>
      <c r="O358" s="51" t="str">
        <f>IF(_xlfn.ISFORMULA('Previsto x realizado'!BG1854) = FALSE, "","Enviado")</f>
        <v/>
      </c>
      <c r="P358" s="51" t="str">
        <f>IF(_xlfn.ISFORMULA('Previsto x realizado'!BH1854) = FALSE, "","Enviado")</f>
        <v/>
      </c>
    </row>
    <row r="359" spans="1:16" ht="27.6" x14ac:dyDescent="0.3">
      <c r="A359" s="33" t="s">
        <v>175</v>
      </c>
      <c r="B359" s="4" t="s">
        <v>194</v>
      </c>
      <c r="C359" s="5" t="s">
        <v>214</v>
      </c>
      <c r="D359" s="4" t="s">
        <v>267</v>
      </c>
      <c r="E359" s="51" t="str">
        <f>IF(_xlfn.ISFORMULA('Previsto x realizado'!AW1860) = FALSE, "","Enviado")</f>
        <v/>
      </c>
      <c r="F359" s="51" t="str">
        <f>IF(_xlfn.ISFORMULA('Previsto x realizado'!AX1860) = FALSE, "","Enviado")</f>
        <v/>
      </c>
      <c r="G359" s="51" t="str">
        <f>IF(_xlfn.ISFORMULA('Previsto x realizado'!AY1860) = FALSE, "","Enviado")</f>
        <v/>
      </c>
      <c r="H359" s="51" t="str">
        <f>IF(_xlfn.ISFORMULA('Previsto x realizado'!AZ1860) = FALSE, "","Enviado")</f>
        <v/>
      </c>
      <c r="I359" s="51" t="str">
        <f>IF(_xlfn.ISFORMULA('Previsto x realizado'!BA1860) = FALSE, "","Enviado")</f>
        <v/>
      </c>
      <c r="J359" s="51" t="str">
        <f>IF(_xlfn.ISFORMULA('Previsto x realizado'!BB1860) = FALSE, "","Enviado")</f>
        <v/>
      </c>
      <c r="K359" s="51" t="str">
        <f>IF(_xlfn.ISFORMULA('Previsto x realizado'!BC1860) = FALSE, "","Enviado")</f>
        <v/>
      </c>
      <c r="L359" s="51" t="str">
        <f>IF(_xlfn.ISFORMULA('Previsto x realizado'!BD1860) = FALSE, "","Enviado")</f>
        <v/>
      </c>
      <c r="M359" s="51" t="str">
        <f>IF(_xlfn.ISFORMULA('Previsto x realizado'!BE1860) = FALSE, "","Enviado")</f>
        <v/>
      </c>
      <c r="N359" s="51" t="str">
        <f>IF(_xlfn.ISFORMULA('Previsto x realizado'!BF1860) = FALSE, "","Enviado")</f>
        <v/>
      </c>
      <c r="O359" s="51" t="str">
        <f>IF(_xlfn.ISFORMULA('Previsto x realizado'!BG1860) = FALSE, "","Enviado")</f>
        <v/>
      </c>
      <c r="P359" s="51" t="str">
        <f>IF(_xlfn.ISFORMULA('Previsto x realizado'!BH1860) = FALSE, "","Enviado")</f>
        <v/>
      </c>
    </row>
    <row r="360" spans="1:16" ht="27.6" x14ac:dyDescent="0.3">
      <c r="A360" s="44" t="s">
        <v>175</v>
      </c>
      <c r="B360" s="4" t="s">
        <v>194</v>
      </c>
      <c r="C360" s="5" t="s">
        <v>214</v>
      </c>
      <c r="D360" s="4" t="s">
        <v>267</v>
      </c>
      <c r="E360" s="51" t="str">
        <f>IF(_xlfn.ISFORMULA('Previsto x realizado'!AW1866) = FALSE, "","Enviado")</f>
        <v>Enviado</v>
      </c>
      <c r="F360" s="51" t="str">
        <f>IF(_xlfn.ISFORMULA('Previsto x realizado'!AX1866) = FALSE, "","Enviado")</f>
        <v/>
      </c>
      <c r="G360" s="51" t="str">
        <f>IF(_xlfn.ISFORMULA('Previsto x realizado'!AY1866) = FALSE, "","Enviado")</f>
        <v/>
      </c>
      <c r="H360" s="51" t="str">
        <f>IF(_xlfn.ISFORMULA('Previsto x realizado'!AZ1866) = FALSE, "","Enviado")</f>
        <v/>
      </c>
      <c r="I360" s="51" t="str">
        <f>IF(_xlfn.ISFORMULA('Previsto x realizado'!BA1866) = FALSE, "","Enviado")</f>
        <v/>
      </c>
      <c r="J360" s="51" t="str">
        <f>IF(_xlfn.ISFORMULA('Previsto x realizado'!BB1866) = FALSE, "","Enviado")</f>
        <v/>
      </c>
      <c r="K360" s="51" t="str">
        <f>IF(_xlfn.ISFORMULA('Previsto x realizado'!BC1866) = FALSE, "","Enviado")</f>
        <v/>
      </c>
      <c r="L360" s="51" t="str">
        <f>IF(_xlfn.ISFORMULA('Previsto x realizado'!BD1866) = FALSE, "","Enviado")</f>
        <v/>
      </c>
      <c r="M360" s="51" t="str">
        <f>IF(_xlfn.ISFORMULA('Previsto x realizado'!BE1866) = FALSE, "","Enviado")</f>
        <v/>
      </c>
      <c r="N360" s="51" t="str">
        <f>IF(_xlfn.ISFORMULA('Previsto x realizado'!BF1866) = FALSE, "","Enviado")</f>
        <v/>
      </c>
      <c r="O360" s="51" t="str">
        <f>IF(_xlfn.ISFORMULA('Previsto x realizado'!BG1866) = FALSE, "","Enviado")</f>
        <v/>
      </c>
      <c r="P360" s="51" t="str">
        <f>IF(_xlfn.ISFORMULA('Previsto x realizado'!BH1866) = FALSE, "","Enviado")</f>
        <v/>
      </c>
    </row>
    <row r="361" spans="1:16" ht="27.6" x14ac:dyDescent="0.3">
      <c r="A361" s="44" t="s">
        <v>175</v>
      </c>
      <c r="B361" s="4" t="s">
        <v>194</v>
      </c>
      <c r="C361" s="5" t="s">
        <v>214</v>
      </c>
      <c r="D361" s="4" t="s">
        <v>267</v>
      </c>
      <c r="E361" s="51" t="str">
        <f>IF(_xlfn.ISFORMULA('Previsto x realizado'!AW1872) = FALSE, "","Enviado")</f>
        <v>Enviado</v>
      </c>
      <c r="F361" s="51" t="str">
        <f>IF(_xlfn.ISFORMULA('Previsto x realizado'!AX1872) = FALSE, "","Enviado")</f>
        <v/>
      </c>
      <c r="G361" s="51" t="str">
        <f>IF(_xlfn.ISFORMULA('Previsto x realizado'!AY1872) = FALSE, "","Enviado")</f>
        <v/>
      </c>
      <c r="H361" s="51" t="str">
        <f>IF(_xlfn.ISFORMULA('Previsto x realizado'!AZ1872) = FALSE, "","Enviado")</f>
        <v/>
      </c>
      <c r="I361" s="51" t="str">
        <f>IF(_xlfn.ISFORMULA('Previsto x realizado'!BA1872) = FALSE, "","Enviado")</f>
        <v/>
      </c>
      <c r="J361" s="51" t="str">
        <f>IF(_xlfn.ISFORMULA('Previsto x realizado'!BB1872) = FALSE, "","Enviado")</f>
        <v/>
      </c>
      <c r="K361" s="51" t="str">
        <f>IF(_xlfn.ISFORMULA('Previsto x realizado'!BC1872) = FALSE, "","Enviado")</f>
        <v/>
      </c>
      <c r="L361" s="51" t="str">
        <f>IF(_xlfn.ISFORMULA('Previsto x realizado'!BD1872) = FALSE, "","Enviado")</f>
        <v/>
      </c>
      <c r="M361" s="51" t="str">
        <f>IF(_xlfn.ISFORMULA('Previsto x realizado'!BE1872) = FALSE, "","Enviado")</f>
        <v/>
      </c>
      <c r="N361" s="51" t="str">
        <f>IF(_xlfn.ISFORMULA('Previsto x realizado'!BF1872) = FALSE, "","Enviado")</f>
        <v/>
      </c>
      <c r="O361" s="51" t="str">
        <f>IF(_xlfn.ISFORMULA('Previsto x realizado'!BG1872) = FALSE, "","Enviado")</f>
        <v/>
      </c>
      <c r="P361" s="51" t="str">
        <f>IF(_xlfn.ISFORMULA('Previsto x realizado'!BH1872) = FALSE, "","Enviado")</f>
        <v/>
      </c>
    </row>
    <row r="362" spans="1:16" ht="27.6" x14ac:dyDescent="0.3">
      <c r="A362" s="33" t="s">
        <v>175</v>
      </c>
      <c r="B362" s="4" t="s">
        <v>197</v>
      </c>
      <c r="C362" s="5" t="s">
        <v>214</v>
      </c>
      <c r="D362" s="4" t="s">
        <v>267</v>
      </c>
      <c r="E362" s="51" t="str">
        <f>IF(_xlfn.ISFORMULA('Previsto x realizado'!AW1878) = FALSE, "","Enviado")</f>
        <v/>
      </c>
      <c r="F362" s="51" t="str">
        <f>IF(_xlfn.ISFORMULA('Previsto x realizado'!AX1878) = FALSE, "","Enviado")</f>
        <v/>
      </c>
      <c r="G362" s="51" t="str">
        <f>IF(_xlfn.ISFORMULA('Previsto x realizado'!AY1878) = FALSE, "","Enviado")</f>
        <v/>
      </c>
      <c r="H362" s="51" t="str">
        <f>IF(_xlfn.ISFORMULA('Previsto x realizado'!AZ1878) = FALSE, "","Enviado")</f>
        <v/>
      </c>
      <c r="I362" s="51" t="str">
        <f>IF(_xlfn.ISFORMULA('Previsto x realizado'!BA1878) = FALSE, "","Enviado")</f>
        <v/>
      </c>
      <c r="J362" s="51" t="str">
        <f>IF(_xlfn.ISFORMULA('Previsto x realizado'!BB1878) = FALSE, "","Enviado")</f>
        <v/>
      </c>
      <c r="K362" s="51" t="str">
        <f>IF(_xlfn.ISFORMULA('Previsto x realizado'!BC1878) = FALSE, "","Enviado")</f>
        <v/>
      </c>
      <c r="L362" s="51" t="str">
        <f>IF(_xlfn.ISFORMULA('Previsto x realizado'!BD1878) = FALSE, "","Enviado")</f>
        <v/>
      </c>
      <c r="M362" s="51" t="str">
        <f>IF(_xlfn.ISFORMULA('Previsto x realizado'!BE1878) = FALSE, "","Enviado")</f>
        <v/>
      </c>
      <c r="N362" s="51" t="str">
        <f>IF(_xlfn.ISFORMULA('Previsto x realizado'!BF1878) = FALSE, "","Enviado")</f>
        <v/>
      </c>
      <c r="O362" s="51" t="str">
        <f>IF(_xlfn.ISFORMULA('Previsto x realizado'!BG1878) = FALSE, "","Enviado")</f>
        <v/>
      </c>
      <c r="P362" s="51" t="str">
        <f>IF(_xlfn.ISFORMULA('Previsto x realizado'!BH1878) = FALSE, "","Enviado")</f>
        <v/>
      </c>
    </row>
    <row r="363" spans="1:16" ht="27.6" x14ac:dyDescent="0.3">
      <c r="A363" s="44" t="s">
        <v>175</v>
      </c>
      <c r="B363" s="4" t="s">
        <v>197</v>
      </c>
      <c r="C363" s="5" t="s">
        <v>214</v>
      </c>
      <c r="D363" s="4" t="s">
        <v>267</v>
      </c>
      <c r="E363" s="51" t="str">
        <f>IF(_xlfn.ISFORMULA('Previsto x realizado'!AW1884) = FALSE, "","Enviado")</f>
        <v>Enviado</v>
      </c>
      <c r="F363" s="51" t="str">
        <f>IF(_xlfn.ISFORMULA('Previsto x realizado'!AX1884) = FALSE, "","Enviado")</f>
        <v/>
      </c>
      <c r="G363" s="51" t="str">
        <f>IF(_xlfn.ISFORMULA('Previsto x realizado'!AY1884) = FALSE, "","Enviado")</f>
        <v/>
      </c>
      <c r="H363" s="51" t="str">
        <f>IF(_xlfn.ISFORMULA('Previsto x realizado'!AZ1884) = FALSE, "","Enviado")</f>
        <v/>
      </c>
      <c r="I363" s="51" t="str">
        <f>IF(_xlfn.ISFORMULA('Previsto x realizado'!BA1884) = FALSE, "","Enviado")</f>
        <v/>
      </c>
      <c r="J363" s="51" t="str">
        <f>IF(_xlfn.ISFORMULA('Previsto x realizado'!BB1884) = FALSE, "","Enviado")</f>
        <v/>
      </c>
      <c r="K363" s="51" t="str">
        <f>IF(_xlfn.ISFORMULA('Previsto x realizado'!BC1884) = FALSE, "","Enviado")</f>
        <v/>
      </c>
      <c r="L363" s="51" t="str">
        <f>IF(_xlfn.ISFORMULA('Previsto x realizado'!BD1884) = FALSE, "","Enviado")</f>
        <v/>
      </c>
      <c r="M363" s="51" t="str">
        <f>IF(_xlfn.ISFORMULA('Previsto x realizado'!BE1884) = FALSE, "","Enviado")</f>
        <v/>
      </c>
      <c r="N363" s="51" t="str">
        <f>IF(_xlfn.ISFORMULA('Previsto x realizado'!BF1884) = FALSE, "","Enviado")</f>
        <v/>
      </c>
      <c r="O363" s="51" t="str">
        <f>IF(_xlfn.ISFORMULA('Previsto x realizado'!BG1884) = FALSE, "","Enviado")</f>
        <v/>
      </c>
      <c r="P363" s="51" t="str">
        <f>IF(_xlfn.ISFORMULA('Previsto x realizado'!BH1884) = FALSE, "","Enviado")</f>
        <v/>
      </c>
    </row>
    <row r="364" spans="1:16" ht="27.6" x14ac:dyDescent="0.3">
      <c r="A364" s="44" t="s">
        <v>175</v>
      </c>
      <c r="B364" s="4" t="s">
        <v>197</v>
      </c>
      <c r="C364" s="5" t="s">
        <v>214</v>
      </c>
      <c r="D364" s="4" t="s">
        <v>267</v>
      </c>
      <c r="E364" s="51" t="str">
        <f>IF(_xlfn.ISFORMULA('Previsto x realizado'!AW1895) = FALSE, "","Enviado")</f>
        <v>Enviado</v>
      </c>
      <c r="F364" s="51" t="str">
        <f>IF(_xlfn.ISFORMULA('Previsto x realizado'!AX1895) = FALSE, "","Enviado")</f>
        <v/>
      </c>
      <c r="G364" s="51" t="str">
        <f>IF(_xlfn.ISFORMULA('Previsto x realizado'!AY1895) = FALSE, "","Enviado")</f>
        <v/>
      </c>
      <c r="H364" s="51" t="str">
        <f>IF(_xlfn.ISFORMULA('Previsto x realizado'!AZ1895) = FALSE, "","Enviado")</f>
        <v/>
      </c>
      <c r="I364" s="51" t="str">
        <f>IF(_xlfn.ISFORMULA('Previsto x realizado'!BA1895) = FALSE, "","Enviado")</f>
        <v/>
      </c>
      <c r="J364" s="51" t="str">
        <f>IF(_xlfn.ISFORMULA('Previsto x realizado'!BB1895) = FALSE, "","Enviado")</f>
        <v/>
      </c>
      <c r="K364" s="51" t="str">
        <f>IF(_xlfn.ISFORMULA('Previsto x realizado'!BC1895) = FALSE, "","Enviado")</f>
        <v/>
      </c>
      <c r="L364" s="51" t="str">
        <f>IF(_xlfn.ISFORMULA('Previsto x realizado'!BD1895) = FALSE, "","Enviado")</f>
        <v/>
      </c>
      <c r="M364" s="51" t="str">
        <f>IF(_xlfn.ISFORMULA('Previsto x realizado'!BE1895) = FALSE, "","Enviado")</f>
        <v/>
      </c>
      <c r="N364" s="51" t="str">
        <f>IF(_xlfn.ISFORMULA('Previsto x realizado'!BF1895) = FALSE, "","Enviado")</f>
        <v/>
      </c>
      <c r="O364" s="51" t="str">
        <f>IF(_xlfn.ISFORMULA('Previsto x realizado'!BG1895) = FALSE, "","Enviado")</f>
        <v/>
      </c>
      <c r="P364" s="51" t="str">
        <f>IF(_xlfn.ISFORMULA('Previsto x realizado'!BH1895) = FALSE, "","Enviado")</f>
        <v/>
      </c>
    </row>
    <row r="365" spans="1:16" x14ac:dyDescent="0.3">
      <c r="A365" s="35" t="s">
        <v>44</v>
      </c>
      <c r="B365" s="10" t="s">
        <v>44</v>
      </c>
      <c r="C365" s="5" t="s">
        <v>214</v>
      </c>
      <c r="D365" s="10" t="s">
        <v>44</v>
      </c>
      <c r="E365" s="51" t="str">
        <f>IF(_xlfn.ISFORMULA('Previsto x realizado'!AW1896) = FALSE, "","Enviado")</f>
        <v>Enviado</v>
      </c>
      <c r="F365" s="51" t="str">
        <f>IF(_xlfn.ISFORMULA('Previsto x realizado'!AX1896) = FALSE, "","Enviado")</f>
        <v>Enviado</v>
      </c>
      <c r="G365" s="51" t="str">
        <f>IF(_xlfn.ISFORMULA('Previsto x realizado'!AY1896) = FALSE, "","Enviado")</f>
        <v>Enviado</v>
      </c>
      <c r="H365" s="51" t="str">
        <f>IF(_xlfn.ISFORMULA('Previsto x realizado'!AZ1896) = FALSE, "","Enviado")</f>
        <v>Enviado</v>
      </c>
      <c r="I365" s="51" t="str">
        <f>IF(_xlfn.ISFORMULA('Previsto x realizado'!BA1896) = FALSE, "","Enviado")</f>
        <v/>
      </c>
      <c r="J365" s="51" t="str">
        <f>IF(_xlfn.ISFORMULA('Previsto x realizado'!BB1896) = FALSE, "","Enviado")</f>
        <v/>
      </c>
      <c r="K365" s="51" t="str">
        <f>IF(_xlfn.ISFORMULA('Previsto x realizado'!BC1896) = FALSE, "","Enviado")</f>
        <v/>
      </c>
      <c r="L365" s="51" t="str">
        <f>IF(_xlfn.ISFORMULA('Previsto x realizado'!BD1896) = FALSE, "","Enviado")</f>
        <v/>
      </c>
      <c r="M365" s="51" t="str">
        <f>IF(_xlfn.ISFORMULA('Previsto x realizado'!BE1896) = FALSE, "","Enviado")</f>
        <v/>
      </c>
      <c r="N365" s="51" t="str">
        <f>IF(_xlfn.ISFORMULA('Previsto x realizado'!BF1896) = FALSE, "","Enviado")</f>
        <v/>
      </c>
      <c r="O365" s="51" t="str">
        <f>IF(_xlfn.ISFORMULA('Previsto x realizado'!BG1896) = FALSE, "","Enviado")</f>
        <v/>
      </c>
      <c r="P365" s="51" t="str">
        <f>IF(_xlfn.ISFORMULA('Previsto x realizado'!BH1896) = FALSE, "","Enviado")</f>
        <v/>
      </c>
    </row>
    <row r="366" spans="1:16" x14ac:dyDescent="0.3">
      <c r="A366" s="35" t="s">
        <v>44</v>
      </c>
      <c r="B366" s="10" t="s">
        <v>44</v>
      </c>
      <c r="C366" s="5" t="s">
        <v>214</v>
      </c>
      <c r="D366" s="10" t="s">
        <v>44</v>
      </c>
      <c r="E366" s="51" t="str">
        <f>IF(_xlfn.ISFORMULA('Previsto x realizado'!AW1902) = FALSE, "","Enviado")</f>
        <v>Enviado</v>
      </c>
      <c r="F366" s="51" t="str">
        <f>IF(_xlfn.ISFORMULA('Previsto x realizado'!AX1902) = FALSE, "","Enviado")</f>
        <v>Enviado</v>
      </c>
      <c r="G366" s="51" t="str">
        <f>IF(_xlfn.ISFORMULA('Previsto x realizado'!AY1902) = FALSE, "","Enviado")</f>
        <v>Enviado</v>
      </c>
      <c r="H366" s="51" t="str">
        <f>IF(_xlfn.ISFORMULA('Previsto x realizado'!AZ1902) = FALSE, "","Enviado")</f>
        <v>Enviado</v>
      </c>
      <c r="I366" s="51" t="str">
        <f>IF(_xlfn.ISFORMULA('Previsto x realizado'!BA1902) = FALSE, "","Enviado")</f>
        <v/>
      </c>
      <c r="J366" s="51" t="str">
        <f>IF(_xlfn.ISFORMULA('Previsto x realizado'!BB1902) = FALSE, "","Enviado")</f>
        <v/>
      </c>
      <c r="K366" s="51" t="str">
        <f>IF(_xlfn.ISFORMULA('Previsto x realizado'!BC1902) = FALSE, "","Enviado")</f>
        <v/>
      </c>
      <c r="L366" s="51" t="str">
        <f>IF(_xlfn.ISFORMULA('Previsto x realizado'!BD1902) = FALSE, "","Enviado")</f>
        <v/>
      </c>
      <c r="M366" s="51" t="str">
        <f>IF(_xlfn.ISFORMULA('Previsto x realizado'!BE1902) = FALSE, "","Enviado")</f>
        <v/>
      </c>
      <c r="N366" s="51" t="str">
        <f>IF(_xlfn.ISFORMULA('Previsto x realizado'!BF1902) = FALSE, "","Enviado")</f>
        <v/>
      </c>
      <c r="O366" s="51" t="str">
        <f>IF(_xlfn.ISFORMULA('Previsto x realizado'!BG1902) = FALSE, "","Enviado")</f>
        <v/>
      </c>
      <c r="P366" s="51" t="str">
        <f>IF(_xlfn.ISFORMULA('Previsto x realizado'!BH1902) = FALSE, "","Enviado")</f>
        <v/>
      </c>
    </row>
    <row r="367" spans="1:16" x14ac:dyDescent="0.3">
      <c r="A367" s="35" t="s">
        <v>44</v>
      </c>
      <c r="B367" s="10" t="s">
        <v>44</v>
      </c>
      <c r="C367" s="5" t="s">
        <v>214</v>
      </c>
      <c r="D367" s="10" t="s">
        <v>44</v>
      </c>
      <c r="E367" s="51" t="str">
        <f>IF(_xlfn.ISFORMULA('Previsto x realizado'!AW1908) = FALSE, "","Enviado")</f>
        <v>Enviado</v>
      </c>
      <c r="F367" s="51" t="str">
        <f>IF(_xlfn.ISFORMULA('Previsto x realizado'!AX1908) = FALSE, "","Enviado")</f>
        <v>Enviado</v>
      </c>
      <c r="G367" s="51" t="str">
        <f>IF(_xlfn.ISFORMULA('Previsto x realizado'!AY1908) = FALSE, "","Enviado")</f>
        <v>Enviado</v>
      </c>
      <c r="H367" s="51" t="str">
        <f>IF(_xlfn.ISFORMULA('Previsto x realizado'!AZ1908) = FALSE, "","Enviado")</f>
        <v>Enviado</v>
      </c>
      <c r="I367" s="51" t="str">
        <f>IF(_xlfn.ISFORMULA('Previsto x realizado'!BA1908) = FALSE, "","Enviado")</f>
        <v/>
      </c>
      <c r="J367" s="51" t="str">
        <f>IF(_xlfn.ISFORMULA('Previsto x realizado'!BB1908) = FALSE, "","Enviado")</f>
        <v/>
      </c>
      <c r="K367" s="51" t="str">
        <f>IF(_xlfn.ISFORMULA('Previsto x realizado'!BC1908) = FALSE, "","Enviado")</f>
        <v/>
      </c>
      <c r="L367" s="51" t="str">
        <f>IF(_xlfn.ISFORMULA('Previsto x realizado'!BD1908) = FALSE, "","Enviado")</f>
        <v/>
      </c>
      <c r="M367" s="51" t="str">
        <f>IF(_xlfn.ISFORMULA('Previsto x realizado'!BE1908) = FALSE, "","Enviado")</f>
        <v/>
      </c>
      <c r="N367" s="51" t="str">
        <f>IF(_xlfn.ISFORMULA('Previsto x realizado'!BF1908) = FALSE, "","Enviado")</f>
        <v/>
      </c>
      <c r="O367" s="51" t="str">
        <f>IF(_xlfn.ISFORMULA('Previsto x realizado'!BG1908) = FALSE, "","Enviado")</f>
        <v/>
      </c>
      <c r="P367" s="51" t="str">
        <f>IF(_xlfn.ISFORMULA('Previsto x realizado'!BH1908) = FALSE, "","Enviado")</f>
        <v/>
      </c>
    </row>
    <row r="368" spans="1:16" x14ac:dyDescent="0.3">
      <c r="A368" s="35" t="s">
        <v>44</v>
      </c>
      <c r="B368" s="10" t="s">
        <v>44</v>
      </c>
      <c r="C368" s="5" t="s">
        <v>214</v>
      </c>
      <c r="D368" s="10" t="s">
        <v>44</v>
      </c>
      <c r="E368" s="51" t="str">
        <f>IF(_xlfn.ISFORMULA('Previsto x realizado'!AW1914) = FALSE, "","Enviado")</f>
        <v>Enviado</v>
      </c>
      <c r="F368" s="51" t="str">
        <f>IF(_xlfn.ISFORMULA('Previsto x realizado'!AX1914) = FALSE, "","Enviado")</f>
        <v>Enviado</v>
      </c>
      <c r="G368" s="51" t="str">
        <f>IF(_xlfn.ISFORMULA('Previsto x realizado'!AY1914) = FALSE, "","Enviado")</f>
        <v>Enviado</v>
      </c>
      <c r="H368" s="51" t="str">
        <f>IF(_xlfn.ISFORMULA('Previsto x realizado'!AZ1914) = FALSE, "","Enviado")</f>
        <v>Enviado</v>
      </c>
      <c r="I368" s="51" t="str">
        <f>IF(_xlfn.ISFORMULA('Previsto x realizado'!BA1914) = FALSE, "","Enviado")</f>
        <v/>
      </c>
      <c r="J368" s="51" t="str">
        <f>IF(_xlfn.ISFORMULA('Previsto x realizado'!BB1914) = FALSE, "","Enviado")</f>
        <v/>
      </c>
      <c r="K368" s="51" t="str">
        <f>IF(_xlfn.ISFORMULA('Previsto x realizado'!BC1914) = FALSE, "","Enviado")</f>
        <v/>
      </c>
      <c r="L368" s="51" t="str">
        <f>IF(_xlfn.ISFORMULA('Previsto x realizado'!BD1914) = FALSE, "","Enviado")</f>
        <v/>
      </c>
      <c r="M368" s="51" t="str">
        <f>IF(_xlfn.ISFORMULA('Previsto x realizado'!BE1914) = FALSE, "","Enviado")</f>
        <v/>
      </c>
      <c r="N368" s="51" t="str">
        <f>IF(_xlfn.ISFORMULA('Previsto x realizado'!BF1914) = FALSE, "","Enviado")</f>
        <v/>
      </c>
      <c r="O368" s="51" t="str">
        <f>IF(_xlfn.ISFORMULA('Previsto x realizado'!BG1914) = FALSE, "","Enviado")</f>
        <v/>
      </c>
      <c r="P368" s="51" t="str">
        <f>IF(_xlfn.ISFORMULA('Previsto x realizado'!BH1914) = FALSE, "","Enviado")</f>
        <v/>
      </c>
    </row>
    <row r="369" spans="1:16" x14ac:dyDescent="0.3">
      <c r="A369" s="35" t="s">
        <v>44</v>
      </c>
      <c r="B369" s="10" t="s">
        <v>44</v>
      </c>
      <c r="C369" s="5" t="s">
        <v>214</v>
      </c>
      <c r="D369" s="10" t="s">
        <v>44</v>
      </c>
      <c r="E369" s="51" t="str">
        <f>IF(_xlfn.ISFORMULA('Previsto x realizado'!AW1920) = FALSE, "","Enviado")</f>
        <v>Enviado</v>
      </c>
      <c r="F369" s="51" t="str">
        <f>IF(_xlfn.ISFORMULA('Previsto x realizado'!AX1920) = FALSE, "","Enviado")</f>
        <v>Enviado</v>
      </c>
      <c r="G369" s="51" t="str">
        <f>IF(_xlfn.ISFORMULA('Previsto x realizado'!AY1920) = FALSE, "","Enviado")</f>
        <v>Enviado</v>
      </c>
      <c r="H369" s="51" t="str">
        <f>IF(_xlfn.ISFORMULA('Previsto x realizado'!AZ1920) = FALSE, "","Enviado")</f>
        <v>Enviado</v>
      </c>
      <c r="I369" s="51" t="str">
        <f>IF(_xlfn.ISFORMULA('Previsto x realizado'!BA1920) = FALSE, "","Enviado")</f>
        <v/>
      </c>
      <c r="J369" s="51" t="str">
        <f>IF(_xlfn.ISFORMULA('Previsto x realizado'!BB1920) = FALSE, "","Enviado")</f>
        <v/>
      </c>
      <c r="K369" s="51" t="str">
        <f>IF(_xlfn.ISFORMULA('Previsto x realizado'!BC1920) = FALSE, "","Enviado")</f>
        <v/>
      </c>
      <c r="L369" s="51" t="str">
        <f>IF(_xlfn.ISFORMULA('Previsto x realizado'!BD1920) = FALSE, "","Enviado")</f>
        <v/>
      </c>
      <c r="M369" s="51" t="str">
        <f>IF(_xlfn.ISFORMULA('Previsto x realizado'!BE1920) = FALSE, "","Enviado")</f>
        <v/>
      </c>
      <c r="N369" s="51" t="str">
        <f>IF(_xlfn.ISFORMULA('Previsto x realizado'!BF1920) = FALSE, "","Enviado")</f>
        <v/>
      </c>
      <c r="O369" s="51" t="str">
        <f>IF(_xlfn.ISFORMULA('Previsto x realizado'!BG1920) = FALSE, "","Enviado")</f>
        <v/>
      </c>
      <c r="P369" s="51" t="str">
        <f>IF(_xlfn.ISFORMULA('Previsto x realizado'!BH1920) = FALSE, "","Enviado")</f>
        <v/>
      </c>
    </row>
    <row r="370" spans="1:16" x14ac:dyDescent="0.3">
      <c r="A370" s="35" t="s">
        <v>44</v>
      </c>
      <c r="B370" s="10" t="s">
        <v>44</v>
      </c>
      <c r="C370" s="5" t="s">
        <v>214</v>
      </c>
      <c r="D370" s="10" t="s">
        <v>44</v>
      </c>
      <c r="E370" s="51" t="str">
        <f>IF(_xlfn.ISFORMULA('Previsto x realizado'!AW1926) = FALSE, "","Enviado")</f>
        <v>Enviado</v>
      </c>
      <c r="F370" s="51" t="str">
        <f>IF(_xlfn.ISFORMULA('Previsto x realizado'!AX1926) = FALSE, "","Enviado")</f>
        <v>Enviado</v>
      </c>
      <c r="G370" s="51" t="str">
        <f>IF(_xlfn.ISFORMULA('Previsto x realizado'!AY1926) = FALSE, "","Enviado")</f>
        <v>Enviado</v>
      </c>
      <c r="H370" s="51" t="str">
        <f>IF(_xlfn.ISFORMULA('Previsto x realizado'!AZ1926) = FALSE, "","Enviado")</f>
        <v>Enviado</v>
      </c>
      <c r="I370" s="51" t="str">
        <f>IF(_xlfn.ISFORMULA('Previsto x realizado'!BA1926) = FALSE, "","Enviado")</f>
        <v/>
      </c>
      <c r="J370" s="51" t="str">
        <f>IF(_xlfn.ISFORMULA('Previsto x realizado'!BB1926) = FALSE, "","Enviado")</f>
        <v/>
      </c>
      <c r="K370" s="51" t="str">
        <f>IF(_xlfn.ISFORMULA('Previsto x realizado'!BC1926) = FALSE, "","Enviado")</f>
        <v/>
      </c>
      <c r="L370" s="51" t="str">
        <f>IF(_xlfn.ISFORMULA('Previsto x realizado'!BD1926) = FALSE, "","Enviado")</f>
        <v/>
      </c>
      <c r="M370" s="51" t="str">
        <f>IF(_xlfn.ISFORMULA('Previsto x realizado'!BE1926) = FALSE, "","Enviado")</f>
        <v/>
      </c>
      <c r="N370" s="51" t="str">
        <f>IF(_xlfn.ISFORMULA('Previsto x realizado'!BF1926) = FALSE, "","Enviado")</f>
        <v/>
      </c>
      <c r="O370" s="51" t="str">
        <f>IF(_xlfn.ISFORMULA('Previsto x realizado'!BG1926) = FALSE, "","Enviado")</f>
        <v/>
      </c>
      <c r="P370" s="51" t="str">
        <f>IF(_xlfn.ISFORMULA('Previsto x realizado'!BH1926) = FALSE, "","Enviado")</f>
        <v/>
      </c>
    </row>
    <row r="371" spans="1:16" x14ac:dyDescent="0.3">
      <c r="A371" s="35" t="s">
        <v>44</v>
      </c>
      <c r="B371" s="10" t="s">
        <v>44</v>
      </c>
      <c r="C371" s="5" t="s">
        <v>214</v>
      </c>
      <c r="D371" s="10" t="s">
        <v>44</v>
      </c>
      <c r="E371" s="51" t="str">
        <f>IF(_xlfn.ISFORMULA('Previsto x realizado'!AW1932) = FALSE, "","Enviado")</f>
        <v>Enviado</v>
      </c>
      <c r="F371" s="51" t="str">
        <f>IF(_xlfn.ISFORMULA('Previsto x realizado'!AX1932) = FALSE, "","Enviado")</f>
        <v>Enviado</v>
      </c>
      <c r="G371" s="51" t="str">
        <f>IF(_xlfn.ISFORMULA('Previsto x realizado'!AY1932) = FALSE, "","Enviado")</f>
        <v>Enviado</v>
      </c>
      <c r="H371" s="51" t="str">
        <f>IF(_xlfn.ISFORMULA('Previsto x realizado'!AZ1932) = FALSE, "","Enviado")</f>
        <v>Enviado</v>
      </c>
      <c r="I371" s="51" t="str">
        <f>IF(_xlfn.ISFORMULA('Previsto x realizado'!BA1932) = FALSE, "","Enviado")</f>
        <v/>
      </c>
      <c r="J371" s="51" t="str">
        <f>IF(_xlfn.ISFORMULA('Previsto x realizado'!BB1932) = FALSE, "","Enviado")</f>
        <v/>
      </c>
      <c r="K371" s="51" t="str">
        <f>IF(_xlfn.ISFORMULA('Previsto x realizado'!BC1932) = FALSE, "","Enviado")</f>
        <v/>
      </c>
      <c r="L371" s="51" t="str">
        <f>IF(_xlfn.ISFORMULA('Previsto x realizado'!BD1932) = FALSE, "","Enviado")</f>
        <v/>
      </c>
      <c r="M371" s="51" t="str">
        <f>IF(_xlfn.ISFORMULA('Previsto x realizado'!BE1932) = FALSE, "","Enviado")</f>
        <v/>
      </c>
      <c r="N371" s="51" t="str">
        <f>IF(_xlfn.ISFORMULA('Previsto x realizado'!BF1932) = FALSE, "","Enviado")</f>
        <v/>
      </c>
      <c r="O371" s="51" t="str">
        <f>IF(_xlfn.ISFORMULA('Previsto x realizado'!BG1932) = FALSE, "","Enviado")</f>
        <v/>
      </c>
      <c r="P371" s="51" t="str">
        <f>IF(_xlfn.ISFORMULA('Previsto x realizado'!BH1932) = FALSE, "","Enviado")</f>
        <v/>
      </c>
    </row>
    <row r="372" spans="1:16" x14ac:dyDescent="0.3">
      <c r="A372" s="3" t="s">
        <v>33</v>
      </c>
      <c r="B372" s="4" t="s">
        <v>34</v>
      </c>
      <c r="C372" s="5" t="s">
        <v>216</v>
      </c>
      <c r="D372" s="4" t="s">
        <v>238</v>
      </c>
      <c r="E372" s="51" t="str">
        <f>IF(_xlfn.ISFORMULA('Previsto x realizado'!AW1933) = FALSE, "","Enviado")</f>
        <v>Enviado</v>
      </c>
      <c r="F372" s="51" t="str">
        <f>IF(_xlfn.ISFORMULA('Previsto x realizado'!AX1933) = FALSE, "","Enviado")</f>
        <v>Enviado</v>
      </c>
      <c r="G372" s="51" t="str">
        <f>IF(_xlfn.ISFORMULA('Previsto x realizado'!AY1933) = FALSE, "","Enviado")</f>
        <v>Enviado</v>
      </c>
      <c r="H372" s="51" t="str">
        <f>IF(_xlfn.ISFORMULA('Previsto x realizado'!AZ1933) = FALSE, "","Enviado")</f>
        <v>Enviado</v>
      </c>
      <c r="I372" s="51" t="str">
        <f>IF(_xlfn.ISFORMULA('Previsto x realizado'!BA1933) = FALSE, "","Enviado")</f>
        <v/>
      </c>
      <c r="J372" s="51" t="str">
        <f>IF(_xlfn.ISFORMULA('Previsto x realizado'!BB1933) = FALSE, "","Enviado")</f>
        <v/>
      </c>
      <c r="K372" s="51" t="str">
        <f>IF(_xlfn.ISFORMULA('Previsto x realizado'!BC1933) = FALSE, "","Enviado")</f>
        <v/>
      </c>
      <c r="L372" s="51" t="str">
        <f>IF(_xlfn.ISFORMULA('Previsto x realizado'!BD1933) = FALSE, "","Enviado")</f>
        <v/>
      </c>
      <c r="M372" s="51" t="str">
        <f>IF(_xlfn.ISFORMULA('Previsto x realizado'!BE1933) = FALSE, "","Enviado")</f>
        <v/>
      </c>
      <c r="N372" s="51" t="str">
        <f>IF(_xlfn.ISFORMULA('Previsto x realizado'!BF1933) = FALSE, "","Enviado")</f>
        <v/>
      </c>
      <c r="O372" s="51" t="str">
        <f>IF(_xlfn.ISFORMULA('Previsto x realizado'!BG1933) = FALSE, "","Enviado")</f>
        <v/>
      </c>
      <c r="P372" s="51" t="str">
        <f>IF(_xlfn.ISFORMULA('Previsto x realizado'!BH1933) = FALSE, "","Enviado")</f>
        <v/>
      </c>
    </row>
    <row r="373" spans="1:16" x14ac:dyDescent="0.3">
      <c r="A373" s="39" t="s">
        <v>33</v>
      </c>
      <c r="B373" s="4" t="s">
        <v>34</v>
      </c>
      <c r="C373" s="5" t="s">
        <v>216</v>
      </c>
      <c r="D373" s="4" t="s">
        <v>238</v>
      </c>
      <c r="E373" s="51" t="str">
        <f>IF(_xlfn.ISFORMULA('Previsto x realizado'!AW1938) = FALSE, "","Enviado")</f>
        <v>Enviado</v>
      </c>
      <c r="F373" s="51" t="str">
        <f>IF(_xlfn.ISFORMULA('Previsto x realizado'!AX1938) = FALSE, "","Enviado")</f>
        <v>Enviado</v>
      </c>
      <c r="G373" s="51" t="str">
        <f>IF(_xlfn.ISFORMULA('Previsto x realizado'!AY1938) = FALSE, "","Enviado")</f>
        <v>Enviado</v>
      </c>
      <c r="H373" s="51" t="str">
        <f>IF(_xlfn.ISFORMULA('Previsto x realizado'!AZ1938) = FALSE, "","Enviado")</f>
        <v>Enviado</v>
      </c>
      <c r="I373" s="51" t="str">
        <f>IF(_xlfn.ISFORMULA('Previsto x realizado'!BA1938) = FALSE, "","Enviado")</f>
        <v/>
      </c>
      <c r="J373" s="51" t="str">
        <f>IF(_xlfn.ISFORMULA('Previsto x realizado'!BB1938) = FALSE, "","Enviado")</f>
        <v/>
      </c>
      <c r="K373" s="51" t="str">
        <f>IF(_xlfn.ISFORMULA('Previsto x realizado'!BC1938) = FALSE, "","Enviado")</f>
        <v/>
      </c>
      <c r="L373" s="51" t="str">
        <f>IF(_xlfn.ISFORMULA('Previsto x realizado'!BD1938) = FALSE, "","Enviado")</f>
        <v/>
      </c>
      <c r="M373" s="51" t="str">
        <f>IF(_xlfn.ISFORMULA('Previsto x realizado'!BE1938) = FALSE, "","Enviado")</f>
        <v/>
      </c>
      <c r="N373" s="51" t="str">
        <f>IF(_xlfn.ISFORMULA('Previsto x realizado'!BF1938) = FALSE, "","Enviado")</f>
        <v/>
      </c>
      <c r="O373" s="51" t="str">
        <f>IF(_xlfn.ISFORMULA('Previsto x realizado'!BG1938) = FALSE, "","Enviado")</f>
        <v/>
      </c>
      <c r="P373" s="51" t="str">
        <f>IF(_xlfn.ISFORMULA('Previsto x realizado'!BH1938) = FALSE, "","Enviado")</f>
        <v/>
      </c>
    </row>
    <row r="374" spans="1:16" x14ac:dyDescent="0.3">
      <c r="A374" s="3" t="s">
        <v>33</v>
      </c>
      <c r="B374" s="4" t="s">
        <v>53</v>
      </c>
      <c r="C374" s="5" t="s">
        <v>216</v>
      </c>
      <c r="D374" s="4" t="s">
        <v>238</v>
      </c>
      <c r="E374" s="51" t="str">
        <f>IF(_xlfn.ISFORMULA('Previsto x realizado'!AW1943) = FALSE, "","Enviado")</f>
        <v>Enviado</v>
      </c>
      <c r="F374" s="51" t="str">
        <f>IF(_xlfn.ISFORMULA('Previsto x realizado'!AX1943) = FALSE, "","Enviado")</f>
        <v>Enviado</v>
      </c>
      <c r="G374" s="51" t="str">
        <f>IF(_xlfn.ISFORMULA('Previsto x realizado'!AY1943) = FALSE, "","Enviado")</f>
        <v>Enviado</v>
      </c>
      <c r="H374" s="51" t="str">
        <f>IF(_xlfn.ISFORMULA('Previsto x realizado'!AZ1943) = FALSE, "","Enviado")</f>
        <v>Enviado</v>
      </c>
      <c r="I374" s="51" t="str">
        <f>IF(_xlfn.ISFORMULA('Previsto x realizado'!BA1943) = FALSE, "","Enviado")</f>
        <v/>
      </c>
      <c r="J374" s="51" t="str">
        <f>IF(_xlfn.ISFORMULA('Previsto x realizado'!BB1943) = FALSE, "","Enviado")</f>
        <v/>
      </c>
      <c r="K374" s="51" t="str">
        <f>IF(_xlfn.ISFORMULA('Previsto x realizado'!BC1943) = FALSE, "","Enviado")</f>
        <v/>
      </c>
      <c r="L374" s="51" t="str">
        <f>IF(_xlfn.ISFORMULA('Previsto x realizado'!BD1943) = FALSE, "","Enviado")</f>
        <v/>
      </c>
      <c r="M374" s="51" t="str">
        <f>IF(_xlfn.ISFORMULA('Previsto x realizado'!BE1943) = FALSE, "","Enviado")</f>
        <v/>
      </c>
      <c r="N374" s="51" t="str">
        <f>IF(_xlfn.ISFORMULA('Previsto x realizado'!BF1943) = FALSE, "","Enviado")</f>
        <v/>
      </c>
      <c r="O374" s="51" t="str">
        <f>IF(_xlfn.ISFORMULA('Previsto x realizado'!BG1943) = FALSE, "","Enviado")</f>
        <v/>
      </c>
      <c r="P374" s="51" t="str">
        <f>IF(_xlfn.ISFORMULA('Previsto x realizado'!BH1943) = FALSE, "","Enviado")</f>
        <v/>
      </c>
    </row>
    <row r="375" spans="1:16" x14ac:dyDescent="0.3">
      <c r="A375" s="39" t="s">
        <v>33</v>
      </c>
      <c r="B375" s="4" t="s">
        <v>53</v>
      </c>
      <c r="C375" s="5" t="s">
        <v>216</v>
      </c>
      <c r="D375" s="4" t="s">
        <v>238</v>
      </c>
      <c r="E375" s="51" t="str">
        <f>IF(_xlfn.ISFORMULA('Previsto x realizado'!AW1948) = FALSE, "","Enviado")</f>
        <v>Enviado</v>
      </c>
      <c r="F375" s="51" t="str">
        <f>IF(_xlfn.ISFORMULA('Previsto x realizado'!AX1948) = FALSE, "","Enviado")</f>
        <v>Enviado</v>
      </c>
      <c r="G375" s="51" t="str">
        <f>IF(_xlfn.ISFORMULA('Previsto x realizado'!AY1948) = FALSE, "","Enviado")</f>
        <v>Enviado</v>
      </c>
      <c r="H375" s="51" t="str">
        <f>IF(_xlfn.ISFORMULA('Previsto x realizado'!AZ1948) = FALSE, "","Enviado")</f>
        <v>Enviado</v>
      </c>
      <c r="I375" s="51" t="str">
        <f>IF(_xlfn.ISFORMULA('Previsto x realizado'!BA1948) = FALSE, "","Enviado")</f>
        <v/>
      </c>
      <c r="J375" s="51" t="str">
        <f>IF(_xlfn.ISFORMULA('Previsto x realizado'!BB1948) = FALSE, "","Enviado")</f>
        <v/>
      </c>
      <c r="K375" s="51" t="str">
        <f>IF(_xlfn.ISFORMULA('Previsto x realizado'!BC1948) = FALSE, "","Enviado")</f>
        <v/>
      </c>
      <c r="L375" s="51" t="str">
        <f>IF(_xlfn.ISFORMULA('Previsto x realizado'!BD1948) = FALSE, "","Enviado")</f>
        <v/>
      </c>
      <c r="M375" s="51" t="str">
        <f>IF(_xlfn.ISFORMULA('Previsto x realizado'!BE1948) = FALSE, "","Enviado")</f>
        <v/>
      </c>
      <c r="N375" s="51" t="str">
        <f>IF(_xlfn.ISFORMULA('Previsto x realizado'!BF1948) = FALSE, "","Enviado")</f>
        <v/>
      </c>
      <c r="O375" s="51" t="str">
        <f>IF(_xlfn.ISFORMULA('Previsto x realizado'!BG1948) = FALSE, "","Enviado")</f>
        <v/>
      </c>
      <c r="P375" s="51" t="str">
        <f>IF(_xlfn.ISFORMULA('Previsto x realizado'!BH1948) = FALSE, "","Enviado")</f>
        <v/>
      </c>
    </row>
    <row r="376" spans="1:16" x14ac:dyDescent="0.3">
      <c r="A376" s="3" t="s">
        <v>33</v>
      </c>
      <c r="B376" s="4" t="s">
        <v>310</v>
      </c>
      <c r="C376" s="5" t="s">
        <v>216</v>
      </c>
      <c r="D376" s="56" t="s">
        <v>288</v>
      </c>
      <c r="E376" s="51" t="str">
        <f>IF(_xlfn.ISFORMULA('Previsto x realizado'!AW1953) = FALSE, "","Enviado")</f>
        <v>Enviado</v>
      </c>
      <c r="F376" s="51" t="str">
        <f>IF(_xlfn.ISFORMULA('Previsto x realizado'!AX1953) = FALSE, "","Enviado")</f>
        <v>Enviado</v>
      </c>
      <c r="G376" s="51" t="str">
        <f>IF(_xlfn.ISFORMULA('Previsto x realizado'!AY1953) = FALSE, "","Enviado")</f>
        <v>Enviado</v>
      </c>
      <c r="H376" s="51" t="str">
        <f>IF(_xlfn.ISFORMULA('Previsto x realizado'!AZ1953) = FALSE, "","Enviado")</f>
        <v>Enviado</v>
      </c>
      <c r="I376" s="51" t="str">
        <f>IF(_xlfn.ISFORMULA('Previsto x realizado'!BA1953) = FALSE, "","Enviado")</f>
        <v/>
      </c>
      <c r="J376" s="51" t="str">
        <f>IF(_xlfn.ISFORMULA('Previsto x realizado'!BB1953) = FALSE, "","Enviado")</f>
        <v/>
      </c>
      <c r="K376" s="51" t="str">
        <f>IF(_xlfn.ISFORMULA('Previsto x realizado'!BC1953) = FALSE, "","Enviado")</f>
        <v/>
      </c>
      <c r="L376" s="51" t="str">
        <f>IF(_xlfn.ISFORMULA('Previsto x realizado'!BD1953) = FALSE, "","Enviado")</f>
        <v/>
      </c>
      <c r="M376" s="51" t="str">
        <f>IF(_xlfn.ISFORMULA('Previsto x realizado'!BE1953) = FALSE, "","Enviado")</f>
        <v/>
      </c>
      <c r="N376" s="51" t="str">
        <f>IF(_xlfn.ISFORMULA('Previsto x realizado'!BF1953) = FALSE, "","Enviado")</f>
        <v/>
      </c>
      <c r="O376" s="51" t="str">
        <f>IF(_xlfn.ISFORMULA('Previsto x realizado'!BG1953) = FALSE, "","Enviado")</f>
        <v/>
      </c>
      <c r="P376" s="51" t="str">
        <f>IF(_xlfn.ISFORMULA('Previsto x realizado'!BH1953) = FALSE, "","Enviado")</f>
        <v/>
      </c>
    </row>
    <row r="377" spans="1:16" hidden="1" x14ac:dyDescent="0.3">
      <c r="A377" s="39" t="s">
        <v>33</v>
      </c>
      <c r="B377" s="4" t="s">
        <v>310</v>
      </c>
      <c r="C377" s="5" t="s">
        <v>216</v>
      </c>
      <c r="D377" s="56" t="s">
        <v>288</v>
      </c>
      <c r="E377" s="51" t="e">
        <f>IF(_xlfn.ISFORMULA('Previsto x realizado'!#REF!) = FALSE, "","Enviado")</f>
        <v>#REF!</v>
      </c>
      <c r="F377" s="51" t="e">
        <f>IF(_xlfn.ISFORMULA('Previsto x realizado'!#REF!) = FALSE, "","Enviado")</f>
        <v>#REF!</v>
      </c>
      <c r="G377" s="51" t="e">
        <f>IF(_xlfn.ISFORMULA('Previsto x realizado'!#REF!) = FALSE, "","Enviado")</f>
        <v>#REF!</v>
      </c>
      <c r="H377" s="51" t="e">
        <f>IF(_xlfn.ISFORMULA('Previsto x realizado'!#REF!) = FALSE, "","Enviado")</f>
        <v>#REF!</v>
      </c>
      <c r="I377" s="51" t="e">
        <f>IF(_xlfn.ISFORMULA('Previsto x realizado'!#REF!) = FALSE, "","Enviado")</f>
        <v>#REF!</v>
      </c>
      <c r="J377" s="51" t="e">
        <f>IF(_xlfn.ISFORMULA('Previsto x realizado'!#REF!) = FALSE, "","Enviado")</f>
        <v>#REF!</v>
      </c>
      <c r="K377" s="51" t="e">
        <f>IF(_xlfn.ISFORMULA('Previsto x realizado'!#REF!) = FALSE, "","Enviado")</f>
        <v>#REF!</v>
      </c>
      <c r="L377" s="51" t="e">
        <f>IF(_xlfn.ISFORMULA('Previsto x realizado'!#REF!) = FALSE, "","Enviado")</f>
        <v>#REF!</v>
      </c>
      <c r="M377" s="51" t="e">
        <f>IF(_xlfn.ISFORMULA('Previsto x realizado'!#REF!) = FALSE, "","Enviado")</f>
        <v>#REF!</v>
      </c>
      <c r="N377" s="51" t="e">
        <f>IF(_xlfn.ISFORMULA('Previsto x realizado'!#REF!) = FALSE, "","Enviado")</f>
        <v>#REF!</v>
      </c>
      <c r="O377" s="51" t="e">
        <f>IF(_xlfn.ISFORMULA('Previsto x realizado'!#REF!) = FALSE, "","Enviado")</f>
        <v>#REF!</v>
      </c>
      <c r="P377" s="51" t="e">
        <f>IF(_xlfn.ISFORMULA('Previsto x realizado'!#REF!) = FALSE, "","Enviado")</f>
        <v>#REF!</v>
      </c>
    </row>
    <row r="378" spans="1:16" x14ac:dyDescent="0.3">
      <c r="A378" s="39" t="s">
        <v>33</v>
      </c>
      <c r="B378" s="4" t="s">
        <v>310</v>
      </c>
      <c r="C378" s="5" t="s">
        <v>216</v>
      </c>
      <c r="D378" s="56" t="s">
        <v>288</v>
      </c>
      <c r="E378" s="51" t="str">
        <f>IF(_xlfn.ISFORMULA('Previsto x realizado'!AW1958) = FALSE, "","Enviado")</f>
        <v>Enviado</v>
      </c>
      <c r="F378" s="51" t="str">
        <f>IF(_xlfn.ISFORMULA('Previsto x realizado'!AX1958) = FALSE, "","Enviado")</f>
        <v>Enviado</v>
      </c>
      <c r="G378" s="51" t="str">
        <f>IF(_xlfn.ISFORMULA('Previsto x realizado'!AY1958) = FALSE, "","Enviado")</f>
        <v>Enviado</v>
      </c>
      <c r="H378" s="51" t="str">
        <f>IF(_xlfn.ISFORMULA('Previsto x realizado'!AZ1958) = FALSE, "","Enviado")</f>
        <v>Enviado</v>
      </c>
      <c r="I378" s="51" t="str">
        <f>IF(_xlfn.ISFORMULA('Previsto x realizado'!BA1958) = FALSE, "","Enviado")</f>
        <v/>
      </c>
      <c r="J378" s="51" t="str">
        <f>IF(_xlfn.ISFORMULA('Previsto x realizado'!BB1958) = FALSE, "","Enviado")</f>
        <v/>
      </c>
      <c r="K378" s="51" t="str">
        <f>IF(_xlfn.ISFORMULA('Previsto x realizado'!BC1958) = FALSE, "","Enviado")</f>
        <v/>
      </c>
      <c r="L378" s="51" t="str">
        <f>IF(_xlfn.ISFORMULA('Previsto x realizado'!BD1958) = FALSE, "","Enviado")</f>
        <v/>
      </c>
      <c r="M378" s="51" t="str">
        <f>IF(_xlfn.ISFORMULA('Previsto x realizado'!BE1958) = FALSE, "","Enviado")</f>
        <v/>
      </c>
      <c r="N378" s="51" t="str">
        <f>IF(_xlfn.ISFORMULA('Previsto x realizado'!BF1958) = FALSE, "","Enviado")</f>
        <v/>
      </c>
      <c r="O378" s="51" t="str">
        <f>IF(_xlfn.ISFORMULA('Previsto x realizado'!BG1958) = FALSE, "","Enviado")</f>
        <v/>
      </c>
      <c r="P378" s="51" t="str">
        <f>IF(_xlfn.ISFORMULA('Previsto x realizado'!BH1958) = FALSE, "","Enviado")</f>
        <v/>
      </c>
    </row>
    <row r="379" spans="1:16" x14ac:dyDescent="0.3">
      <c r="A379" s="3" t="s">
        <v>33</v>
      </c>
      <c r="B379" s="4" t="s">
        <v>70</v>
      </c>
      <c r="C379" s="5" t="s">
        <v>216</v>
      </c>
      <c r="D379" s="4" t="s">
        <v>238</v>
      </c>
      <c r="E379" s="51" t="str">
        <f>IF(_xlfn.ISFORMULA('Previsto x realizado'!AW1963) = FALSE, "","Enviado")</f>
        <v>Enviado</v>
      </c>
      <c r="F379" s="51" t="str">
        <f>IF(_xlfn.ISFORMULA('Previsto x realizado'!AX1963) = FALSE, "","Enviado")</f>
        <v>Enviado</v>
      </c>
      <c r="G379" s="51" t="str">
        <f>IF(_xlfn.ISFORMULA('Previsto x realizado'!AY1963) = FALSE, "","Enviado")</f>
        <v>Enviado</v>
      </c>
      <c r="H379" s="51" t="str">
        <f>IF(_xlfn.ISFORMULA('Previsto x realizado'!AZ1963) = FALSE, "","Enviado")</f>
        <v>Enviado</v>
      </c>
      <c r="I379" s="51" t="str">
        <f>IF(_xlfn.ISFORMULA('Previsto x realizado'!BA1963) = FALSE, "","Enviado")</f>
        <v/>
      </c>
      <c r="J379" s="51" t="str">
        <f>IF(_xlfn.ISFORMULA('Previsto x realizado'!BB1963) = FALSE, "","Enviado")</f>
        <v/>
      </c>
      <c r="K379" s="51" t="str">
        <f>IF(_xlfn.ISFORMULA('Previsto x realizado'!BC1963) = FALSE, "","Enviado")</f>
        <v/>
      </c>
      <c r="L379" s="51" t="str">
        <f>IF(_xlfn.ISFORMULA('Previsto x realizado'!BD1963) = FALSE, "","Enviado")</f>
        <v/>
      </c>
      <c r="M379" s="51" t="str">
        <f>IF(_xlfn.ISFORMULA('Previsto x realizado'!BE1963) = FALSE, "","Enviado")</f>
        <v/>
      </c>
      <c r="N379" s="51" t="str">
        <f>IF(_xlfn.ISFORMULA('Previsto x realizado'!BF1963) = FALSE, "","Enviado")</f>
        <v/>
      </c>
      <c r="O379" s="51" t="str">
        <f>IF(_xlfn.ISFORMULA('Previsto x realizado'!BG1963) = FALSE, "","Enviado")</f>
        <v/>
      </c>
      <c r="P379" s="51" t="str">
        <f>IF(_xlfn.ISFORMULA('Previsto x realizado'!BH1963) = FALSE, "","Enviado")</f>
        <v/>
      </c>
    </row>
    <row r="380" spans="1:16" x14ac:dyDescent="0.3">
      <c r="A380" s="39" t="s">
        <v>33</v>
      </c>
      <c r="B380" s="4" t="s">
        <v>70</v>
      </c>
      <c r="C380" s="5" t="s">
        <v>216</v>
      </c>
      <c r="D380" s="4" t="s">
        <v>238</v>
      </c>
      <c r="E380" s="51" t="str">
        <f>IF(_xlfn.ISFORMULA('Previsto x realizado'!AW1968) = FALSE, "","Enviado")</f>
        <v>Enviado</v>
      </c>
      <c r="F380" s="51" t="str">
        <f>IF(_xlfn.ISFORMULA('Previsto x realizado'!AX1968) = FALSE, "","Enviado")</f>
        <v>Enviado</v>
      </c>
      <c r="G380" s="51" t="str">
        <f>IF(_xlfn.ISFORMULA('Previsto x realizado'!AY1968) = FALSE, "","Enviado")</f>
        <v>Enviado</v>
      </c>
      <c r="H380" s="51" t="str">
        <f>IF(_xlfn.ISFORMULA('Previsto x realizado'!AZ1968) = FALSE, "","Enviado")</f>
        <v>Enviado</v>
      </c>
      <c r="I380" s="51" t="str">
        <f>IF(_xlfn.ISFORMULA('Previsto x realizado'!BA1968) = FALSE, "","Enviado")</f>
        <v/>
      </c>
      <c r="J380" s="51" t="str">
        <f>IF(_xlfn.ISFORMULA('Previsto x realizado'!BB1968) = FALSE, "","Enviado")</f>
        <v/>
      </c>
      <c r="K380" s="51" t="str">
        <f>IF(_xlfn.ISFORMULA('Previsto x realizado'!BC1968) = FALSE, "","Enviado")</f>
        <v/>
      </c>
      <c r="L380" s="51" t="str">
        <f>IF(_xlfn.ISFORMULA('Previsto x realizado'!BD1968) = FALSE, "","Enviado")</f>
        <v/>
      </c>
      <c r="M380" s="51" t="str">
        <f>IF(_xlfn.ISFORMULA('Previsto x realizado'!BE1968) = FALSE, "","Enviado")</f>
        <v/>
      </c>
      <c r="N380" s="51" t="str">
        <f>IF(_xlfn.ISFORMULA('Previsto x realizado'!BF1968) = FALSE, "","Enviado")</f>
        <v/>
      </c>
      <c r="O380" s="51" t="str">
        <f>IF(_xlfn.ISFORMULA('Previsto x realizado'!BG1968) = FALSE, "","Enviado")</f>
        <v/>
      </c>
      <c r="P380" s="51" t="str">
        <f>IF(_xlfn.ISFORMULA('Previsto x realizado'!BH1968) = FALSE, "","Enviado")</f>
        <v/>
      </c>
    </row>
    <row r="381" spans="1:16" x14ac:dyDescent="0.3">
      <c r="A381" s="3" t="s">
        <v>33</v>
      </c>
      <c r="B381" s="4" t="s">
        <v>73</v>
      </c>
      <c r="C381" s="5" t="s">
        <v>216</v>
      </c>
      <c r="D381" s="4" t="s">
        <v>238</v>
      </c>
      <c r="E381" s="51" t="str">
        <f>IF(_xlfn.ISFORMULA('Previsto x realizado'!AW1973) = FALSE, "","Enviado")</f>
        <v>Enviado</v>
      </c>
      <c r="F381" s="51" t="str">
        <f>IF(_xlfn.ISFORMULA('Previsto x realizado'!AX1973) = FALSE, "","Enviado")</f>
        <v>Enviado</v>
      </c>
      <c r="G381" s="51" t="str">
        <f>IF(_xlfn.ISFORMULA('Previsto x realizado'!AY1973) = FALSE, "","Enviado")</f>
        <v>Enviado</v>
      </c>
      <c r="H381" s="51" t="str">
        <f>IF(_xlfn.ISFORMULA('Previsto x realizado'!AZ1973) = FALSE, "","Enviado")</f>
        <v>Enviado</v>
      </c>
      <c r="I381" s="51" t="str">
        <f>IF(_xlfn.ISFORMULA('Previsto x realizado'!BA1973) = FALSE, "","Enviado")</f>
        <v/>
      </c>
      <c r="J381" s="51" t="str">
        <f>IF(_xlfn.ISFORMULA('Previsto x realizado'!BB1973) = FALSE, "","Enviado")</f>
        <v/>
      </c>
      <c r="K381" s="51" t="str">
        <f>IF(_xlfn.ISFORMULA('Previsto x realizado'!BC1973) = FALSE, "","Enviado")</f>
        <v/>
      </c>
      <c r="L381" s="51" t="str">
        <f>IF(_xlfn.ISFORMULA('Previsto x realizado'!BD1973) = FALSE, "","Enviado")</f>
        <v/>
      </c>
      <c r="M381" s="51" t="str">
        <f>IF(_xlfn.ISFORMULA('Previsto x realizado'!BE1973) = FALSE, "","Enviado")</f>
        <v/>
      </c>
      <c r="N381" s="51" t="str">
        <f>IF(_xlfn.ISFORMULA('Previsto x realizado'!BF1973) = FALSE, "","Enviado")</f>
        <v/>
      </c>
      <c r="O381" s="51" t="str">
        <f>IF(_xlfn.ISFORMULA('Previsto x realizado'!BG1973) = FALSE, "","Enviado")</f>
        <v/>
      </c>
      <c r="P381" s="51" t="str">
        <f>IF(_xlfn.ISFORMULA('Previsto x realizado'!BH1973) = FALSE, "","Enviado")</f>
        <v/>
      </c>
    </row>
    <row r="382" spans="1:16" x14ac:dyDescent="0.3">
      <c r="A382" s="39" t="s">
        <v>33</v>
      </c>
      <c r="B382" s="4" t="s">
        <v>73</v>
      </c>
      <c r="C382" s="5" t="s">
        <v>216</v>
      </c>
      <c r="D382" s="4" t="s">
        <v>238</v>
      </c>
      <c r="E382" s="51" t="str">
        <f>IF(_xlfn.ISFORMULA('Previsto x realizado'!AW1978) = FALSE, "","Enviado")</f>
        <v>Enviado</v>
      </c>
      <c r="F382" s="51" t="str">
        <f>IF(_xlfn.ISFORMULA('Previsto x realizado'!AX1978) = FALSE, "","Enviado")</f>
        <v>Enviado</v>
      </c>
      <c r="G382" s="51" t="str">
        <f>IF(_xlfn.ISFORMULA('Previsto x realizado'!AY1978) = FALSE, "","Enviado")</f>
        <v>Enviado</v>
      </c>
      <c r="H382" s="51" t="str">
        <f>IF(_xlfn.ISFORMULA('Previsto x realizado'!AZ1978) = FALSE, "","Enviado")</f>
        <v>Enviado</v>
      </c>
      <c r="I382" s="51" t="str">
        <f>IF(_xlfn.ISFORMULA('Previsto x realizado'!BA1978) = FALSE, "","Enviado")</f>
        <v/>
      </c>
      <c r="J382" s="51" t="str">
        <f>IF(_xlfn.ISFORMULA('Previsto x realizado'!BB1978) = FALSE, "","Enviado")</f>
        <v/>
      </c>
      <c r="K382" s="51" t="str">
        <f>IF(_xlfn.ISFORMULA('Previsto x realizado'!BC1978) = FALSE, "","Enviado")</f>
        <v/>
      </c>
      <c r="L382" s="51" t="str">
        <f>IF(_xlfn.ISFORMULA('Previsto x realizado'!BD1978) = FALSE, "","Enviado")</f>
        <v/>
      </c>
      <c r="M382" s="51" t="str">
        <f>IF(_xlfn.ISFORMULA('Previsto x realizado'!BE1978) = FALSE, "","Enviado")</f>
        <v/>
      </c>
      <c r="N382" s="51" t="str">
        <f>IF(_xlfn.ISFORMULA('Previsto x realizado'!BF1978) = FALSE, "","Enviado")</f>
        <v/>
      </c>
      <c r="O382" s="51" t="str">
        <f>IF(_xlfn.ISFORMULA('Previsto x realizado'!BG1978) = FALSE, "","Enviado")</f>
        <v/>
      </c>
      <c r="P382" s="51" t="str">
        <f>IF(_xlfn.ISFORMULA('Previsto x realizado'!BH1978) = FALSE, "","Enviado")</f>
        <v/>
      </c>
    </row>
    <row r="383" spans="1:16" x14ac:dyDescent="0.3">
      <c r="A383" s="3" t="s">
        <v>33</v>
      </c>
      <c r="B383" s="4" t="s">
        <v>77</v>
      </c>
      <c r="C383" s="5" t="s">
        <v>216</v>
      </c>
      <c r="D383" s="4" t="s">
        <v>238</v>
      </c>
      <c r="E383" s="51" t="str">
        <f>IF(_xlfn.ISFORMULA('Previsto x realizado'!AW1983) = FALSE, "","Enviado")</f>
        <v>Enviado</v>
      </c>
      <c r="F383" s="51" t="str">
        <f>IF(_xlfn.ISFORMULA('Previsto x realizado'!AX1983) = FALSE, "","Enviado")</f>
        <v>Enviado</v>
      </c>
      <c r="G383" s="51" t="str">
        <f>IF(_xlfn.ISFORMULA('Previsto x realizado'!AY1983) = FALSE, "","Enviado")</f>
        <v>Enviado</v>
      </c>
      <c r="H383" s="51" t="str">
        <f>IF(_xlfn.ISFORMULA('Previsto x realizado'!AZ1983) = FALSE, "","Enviado")</f>
        <v>Enviado</v>
      </c>
      <c r="I383" s="51" t="str">
        <f>IF(_xlfn.ISFORMULA('Previsto x realizado'!BA1983) = FALSE, "","Enviado")</f>
        <v/>
      </c>
      <c r="J383" s="51" t="str">
        <f>IF(_xlfn.ISFORMULA('Previsto x realizado'!BB1983) = FALSE, "","Enviado")</f>
        <v/>
      </c>
      <c r="K383" s="51" t="str">
        <f>IF(_xlfn.ISFORMULA('Previsto x realizado'!BC1983) = FALSE, "","Enviado")</f>
        <v/>
      </c>
      <c r="L383" s="51" t="str">
        <f>IF(_xlfn.ISFORMULA('Previsto x realizado'!BD1983) = FALSE, "","Enviado")</f>
        <v/>
      </c>
      <c r="M383" s="51" t="str">
        <f>IF(_xlfn.ISFORMULA('Previsto x realizado'!BE1983) = FALSE, "","Enviado")</f>
        <v/>
      </c>
      <c r="N383" s="51" t="str">
        <f>IF(_xlfn.ISFORMULA('Previsto x realizado'!BF1983) = FALSE, "","Enviado")</f>
        <v/>
      </c>
      <c r="O383" s="51" t="str">
        <f>IF(_xlfn.ISFORMULA('Previsto x realizado'!BG1983) = FALSE, "","Enviado")</f>
        <v/>
      </c>
      <c r="P383" s="51" t="str">
        <f>IF(_xlfn.ISFORMULA('Previsto x realizado'!BH1983) = FALSE, "","Enviado")</f>
        <v/>
      </c>
    </row>
    <row r="384" spans="1:16" x14ac:dyDescent="0.3">
      <c r="A384" s="39" t="s">
        <v>33</v>
      </c>
      <c r="B384" s="4" t="s">
        <v>77</v>
      </c>
      <c r="C384" s="5" t="s">
        <v>216</v>
      </c>
      <c r="D384" s="4" t="s">
        <v>238</v>
      </c>
      <c r="E384" s="51" t="str">
        <f>IF(_xlfn.ISFORMULA('Previsto x realizado'!AW1988) = FALSE, "","Enviado")</f>
        <v>Enviado</v>
      </c>
      <c r="F384" s="51" t="str">
        <f>IF(_xlfn.ISFORMULA('Previsto x realizado'!AX1988) = FALSE, "","Enviado")</f>
        <v>Enviado</v>
      </c>
      <c r="G384" s="51" t="str">
        <f>IF(_xlfn.ISFORMULA('Previsto x realizado'!AY1988) = FALSE, "","Enviado")</f>
        <v>Enviado</v>
      </c>
      <c r="H384" s="51" t="str">
        <f>IF(_xlfn.ISFORMULA('Previsto x realizado'!AZ1988) = FALSE, "","Enviado")</f>
        <v>Enviado</v>
      </c>
      <c r="I384" s="51" t="str">
        <f>IF(_xlfn.ISFORMULA('Previsto x realizado'!BA1988) = FALSE, "","Enviado")</f>
        <v/>
      </c>
      <c r="J384" s="51" t="str">
        <f>IF(_xlfn.ISFORMULA('Previsto x realizado'!BB1988) = FALSE, "","Enviado")</f>
        <v/>
      </c>
      <c r="K384" s="51" t="str">
        <f>IF(_xlfn.ISFORMULA('Previsto x realizado'!BC1988) = FALSE, "","Enviado")</f>
        <v/>
      </c>
      <c r="L384" s="51" t="str">
        <f>IF(_xlfn.ISFORMULA('Previsto x realizado'!BD1988) = FALSE, "","Enviado")</f>
        <v/>
      </c>
      <c r="M384" s="51" t="str">
        <f>IF(_xlfn.ISFORMULA('Previsto x realizado'!BE1988) = FALSE, "","Enviado")</f>
        <v/>
      </c>
      <c r="N384" s="51" t="str">
        <f>IF(_xlfn.ISFORMULA('Previsto x realizado'!BF1988) = FALSE, "","Enviado")</f>
        <v/>
      </c>
      <c r="O384" s="51" t="str">
        <f>IF(_xlfn.ISFORMULA('Previsto x realizado'!BG1988) = FALSE, "","Enviado")</f>
        <v/>
      </c>
      <c r="P384" s="51" t="str">
        <f>IF(_xlfn.ISFORMULA('Previsto x realizado'!BH1988) = FALSE, "","Enviado")</f>
        <v/>
      </c>
    </row>
    <row r="385" spans="1:16" x14ac:dyDescent="0.3">
      <c r="A385" s="3" t="s">
        <v>33</v>
      </c>
      <c r="B385" s="4" t="s">
        <v>81</v>
      </c>
      <c r="C385" s="5" t="s">
        <v>216</v>
      </c>
      <c r="D385" s="4" t="s">
        <v>238</v>
      </c>
      <c r="E385" s="51" t="str">
        <f>IF(_xlfn.ISFORMULA('Previsto x realizado'!AW1993) = FALSE, "","Enviado")</f>
        <v>Enviado</v>
      </c>
      <c r="F385" s="51" t="str">
        <f>IF(_xlfn.ISFORMULA('Previsto x realizado'!AX1993) = FALSE, "","Enviado")</f>
        <v>Enviado</v>
      </c>
      <c r="G385" s="51" t="str">
        <f>IF(_xlfn.ISFORMULA('Previsto x realizado'!AY1993) = FALSE, "","Enviado")</f>
        <v>Enviado</v>
      </c>
      <c r="H385" s="51" t="str">
        <f>IF(_xlfn.ISFORMULA('Previsto x realizado'!AZ1993) = FALSE, "","Enviado")</f>
        <v>Enviado</v>
      </c>
      <c r="I385" s="51" t="str">
        <f>IF(_xlfn.ISFORMULA('Previsto x realizado'!BA1993) = FALSE, "","Enviado")</f>
        <v/>
      </c>
      <c r="J385" s="51" t="str">
        <f>IF(_xlfn.ISFORMULA('Previsto x realizado'!BB1993) = FALSE, "","Enviado")</f>
        <v/>
      </c>
      <c r="K385" s="51" t="str">
        <f>IF(_xlfn.ISFORMULA('Previsto x realizado'!BC1993) = FALSE, "","Enviado")</f>
        <v/>
      </c>
      <c r="L385" s="51" t="str">
        <f>IF(_xlfn.ISFORMULA('Previsto x realizado'!BD1993) = FALSE, "","Enviado")</f>
        <v/>
      </c>
      <c r="M385" s="51" t="str">
        <f>IF(_xlfn.ISFORMULA('Previsto x realizado'!BE1993) = FALSE, "","Enviado")</f>
        <v/>
      </c>
      <c r="N385" s="51" t="str">
        <f>IF(_xlfn.ISFORMULA('Previsto x realizado'!BF1993) = FALSE, "","Enviado")</f>
        <v/>
      </c>
      <c r="O385" s="51" t="str">
        <f>IF(_xlfn.ISFORMULA('Previsto x realizado'!BG1993) = FALSE, "","Enviado")</f>
        <v/>
      </c>
      <c r="P385" s="51" t="str">
        <f>IF(_xlfn.ISFORMULA('Previsto x realizado'!BH1993) = FALSE, "","Enviado")</f>
        <v/>
      </c>
    </row>
    <row r="386" spans="1:16" x14ac:dyDescent="0.3">
      <c r="A386" s="39" t="s">
        <v>33</v>
      </c>
      <c r="B386" s="4" t="s">
        <v>81</v>
      </c>
      <c r="C386" s="5" t="s">
        <v>216</v>
      </c>
      <c r="D386" s="4" t="s">
        <v>238</v>
      </c>
      <c r="E386" s="51" t="str">
        <f>IF(_xlfn.ISFORMULA('Previsto x realizado'!AW1998) = FALSE, "","Enviado")</f>
        <v>Enviado</v>
      </c>
      <c r="F386" s="51" t="str">
        <f>IF(_xlfn.ISFORMULA('Previsto x realizado'!AX1998) = FALSE, "","Enviado")</f>
        <v>Enviado</v>
      </c>
      <c r="G386" s="51" t="str">
        <f>IF(_xlfn.ISFORMULA('Previsto x realizado'!AY1998) = FALSE, "","Enviado")</f>
        <v>Enviado</v>
      </c>
      <c r="H386" s="51" t="str">
        <f>IF(_xlfn.ISFORMULA('Previsto x realizado'!AZ1998) = FALSE, "","Enviado")</f>
        <v>Enviado</v>
      </c>
      <c r="I386" s="51" t="str">
        <f>IF(_xlfn.ISFORMULA('Previsto x realizado'!BA1998) = FALSE, "","Enviado")</f>
        <v/>
      </c>
      <c r="J386" s="51" t="str">
        <f>IF(_xlfn.ISFORMULA('Previsto x realizado'!BB1998) = FALSE, "","Enviado")</f>
        <v/>
      </c>
      <c r="K386" s="51" t="str">
        <f>IF(_xlfn.ISFORMULA('Previsto x realizado'!BC1998) = FALSE, "","Enviado")</f>
        <v/>
      </c>
      <c r="L386" s="51" t="str">
        <f>IF(_xlfn.ISFORMULA('Previsto x realizado'!BD1998) = FALSE, "","Enviado")</f>
        <v/>
      </c>
      <c r="M386" s="51" t="str">
        <f>IF(_xlfn.ISFORMULA('Previsto x realizado'!BE1998) = FALSE, "","Enviado")</f>
        <v/>
      </c>
      <c r="N386" s="51" t="str">
        <f>IF(_xlfn.ISFORMULA('Previsto x realizado'!BF1998) = FALSE, "","Enviado")</f>
        <v/>
      </c>
      <c r="O386" s="51" t="str">
        <f>IF(_xlfn.ISFORMULA('Previsto x realizado'!BG1998) = FALSE, "","Enviado")</f>
        <v/>
      </c>
      <c r="P386" s="51" t="str">
        <f>IF(_xlfn.ISFORMULA('Previsto x realizado'!BH1998) = FALSE, "","Enviado")</f>
        <v/>
      </c>
    </row>
    <row r="387" spans="1:16" ht="27.6" x14ac:dyDescent="0.3">
      <c r="A387" s="3" t="s">
        <v>33</v>
      </c>
      <c r="B387" s="4" t="s">
        <v>84</v>
      </c>
      <c r="C387" s="5" t="s">
        <v>216</v>
      </c>
      <c r="D387" s="4" t="s">
        <v>267</v>
      </c>
      <c r="E387" s="51" t="str">
        <f>IF(_xlfn.ISFORMULA('Previsto x realizado'!AW2003) = FALSE, "","Enviado")</f>
        <v>Enviado</v>
      </c>
      <c r="F387" s="51" t="str">
        <f>IF(_xlfn.ISFORMULA('Previsto x realizado'!AX2003) = FALSE, "","Enviado")</f>
        <v>Enviado</v>
      </c>
      <c r="G387" s="51" t="str">
        <f>IF(_xlfn.ISFORMULA('Previsto x realizado'!AY2003) = FALSE, "","Enviado")</f>
        <v>Enviado</v>
      </c>
      <c r="H387" s="51" t="str">
        <f>IF(_xlfn.ISFORMULA('Previsto x realizado'!AZ2003) = FALSE, "","Enviado")</f>
        <v>Enviado</v>
      </c>
      <c r="I387" s="51" t="str">
        <f>IF(_xlfn.ISFORMULA('Previsto x realizado'!BA2003) = FALSE, "","Enviado")</f>
        <v/>
      </c>
      <c r="J387" s="51" t="str">
        <f>IF(_xlfn.ISFORMULA('Previsto x realizado'!BB2003) = FALSE, "","Enviado")</f>
        <v/>
      </c>
      <c r="K387" s="51" t="str">
        <f>IF(_xlfn.ISFORMULA('Previsto x realizado'!BC2003) = FALSE, "","Enviado")</f>
        <v/>
      </c>
      <c r="L387" s="51" t="str">
        <f>IF(_xlfn.ISFORMULA('Previsto x realizado'!BD2003) = FALSE, "","Enviado")</f>
        <v/>
      </c>
      <c r="M387" s="51" t="str">
        <f>IF(_xlfn.ISFORMULA('Previsto x realizado'!BE2003) = FALSE, "","Enviado")</f>
        <v/>
      </c>
      <c r="N387" s="51" t="str">
        <f>IF(_xlfn.ISFORMULA('Previsto x realizado'!BF2003) = FALSE, "","Enviado")</f>
        <v/>
      </c>
      <c r="O387" s="51" t="str">
        <f>IF(_xlfn.ISFORMULA('Previsto x realizado'!BG2003) = FALSE, "","Enviado")</f>
        <v/>
      </c>
      <c r="P387" s="51" t="str">
        <f>IF(_xlfn.ISFORMULA('Previsto x realizado'!BH2003) = FALSE, "","Enviado")</f>
        <v/>
      </c>
    </row>
    <row r="388" spans="1:16" ht="27.6" x14ac:dyDescent="0.3">
      <c r="A388" s="39" t="s">
        <v>33</v>
      </c>
      <c r="B388" s="4" t="s">
        <v>84</v>
      </c>
      <c r="C388" s="5" t="s">
        <v>216</v>
      </c>
      <c r="D388" s="4" t="s">
        <v>267</v>
      </c>
      <c r="E388" s="51" t="str">
        <f>IF(_xlfn.ISFORMULA('Previsto x realizado'!AW2012) = FALSE, "","Enviado")</f>
        <v>Enviado</v>
      </c>
      <c r="F388" s="51" t="str">
        <f>IF(_xlfn.ISFORMULA('Previsto x realizado'!AX2012) = FALSE, "","Enviado")</f>
        <v>Enviado</v>
      </c>
      <c r="G388" s="51" t="str">
        <f>IF(_xlfn.ISFORMULA('Previsto x realizado'!AY2012) = FALSE, "","Enviado")</f>
        <v>Enviado</v>
      </c>
      <c r="H388" s="51" t="str">
        <f>IF(_xlfn.ISFORMULA('Previsto x realizado'!AZ2012) = FALSE, "","Enviado")</f>
        <v>Enviado</v>
      </c>
      <c r="I388" s="51" t="str">
        <f>IF(_xlfn.ISFORMULA('Previsto x realizado'!BA2012) = FALSE, "","Enviado")</f>
        <v/>
      </c>
      <c r="J388" s="51" t="str">
        <f>IF(_xlfn.ISFORMULA('Previsto x realizado'!BB2012) = FALSE, "","Enviado")</f>
        <v/>
      </c>
      <c r="K388" s="51" t="str">
        <f>IF(_xlfn.ISFORMULA('Previsto x realizado'!BC2012) = FALSE, "","Enviado")</f>
        <v/>
      </c>
      <c r="L388" s="51" t="str">
        <f>IF(_xlfn.ISFORMULA('Previsto x realizado'!BD2012) = FALSE, "","Enviado")</f>
        <v/>
      </c>
      <c r="M388" s="51" t="str">
        <f>IF(_xlfn.ISFORMULA('Previsto x realizado'!BE2012) = FALSE, "","Enviado")</f>
        <v/>
      </c>
      <c r="N388" s="51" t="str">
        <f>IF(_xlfn.ISFORMULA('Previsto x realizado'!BF2012) = FALSE, "","Enviado")</f>
        <v/>
      </c>
      <c r="O388" s="51" t="str">
        <f>IF(_xlfn.ISFORMULA('Previsto x realizado'!BG2012) = FALSE, "","Enviado")</f>
        <v/>
      </c>
      <c r="P388" s="51" t="str">
        <f>IF(_xlfn.ISFORMULA('Previsto x realizado'!BH2012) = FALSE, "","Enviado")</f>
        <v/>
      </c>
    </row>
    <row r="389" spans="1:16" x14ac:dyDescent="0.3">
      <c r="A389" s="20" t="s">
        <v>87</v>
      </c>
      <c r="B389" s="4" t="s">
        <v>222</v>
      </c>
      <c r="C389" s="5" t="s">
        <v>216</v>
      </c>
      <c r="D389" s="4" t="s">
        <v>238</v>
      </c>
      <c r="E389" s="51" t="str">
        <f>IF(_xlfn.ISFORMULA('Previsto x realizado'!AW2017) = FALSE, "","Enviado")</f>
        <v>Enviado</v>
      </c>
      <c r="F389" s="51" t="str">
        <f>IF(_xlfn.ISFORMULA('Previsto x realizado'!AX2017) = FALSE, "","Enviado")</f>
        <v>Enviado</v>
      </c>
      <c r="G389" s="51" t="str">
        <f>IF(_xlfn.ISFORMULA('Previsto x realizado'!AY2017) = FALSE, "","Enviado")</f>
        <v>Enviado</v>
      </c>
      <c r="H389" s="51" t="str">
        <f>IF(_xlfn.ISFORMULA('Previsto x realizado'!AZ2017) = FALSE, "","Enviado")</f>
        <v>Enviado</v>
      </c>
      <c r="I389" s="51" t="str">
        <f>IF(_xlfn.ISFORMULA('Previsto x realizado'!BA2017) = FALSE, "","Enviado")</f>
        <v/>
      </c>
      <c r="J389" s="51" t="str">
        <f>IF(_xlfn.ISFORMULA('Previsto x realizado'!BB2017) = FALSE, "","Enviado")</f>
        <v/>
      </c>
      <c r="K389" s="51" t="str">
        <f>IF(_xlfn.ISFORMULA('Previsto x realizado'!BC2017) = FALSE, "","Enviado")</f>
        <v/>
      </c>
      <c r="L389" s="51" t="str">
        <f>IF(_xlfn.ISFORMULA('Previsto x realizado'!BD2017) = FALSE, "","Enviado")</f>
        <v/>
      </c>
      <c r="M389" s="51" t="str">
        <f>IF(_xlfn.ISFORMULA('Previsto x realizado'!BE2017) = FALSE, "","Enviado")</f>
        <v/>
      </c>
      <c r="N389" s="51" t="str">
        <f>IF(_xlfn.ISFORMULA('Previsto x realizado'!BF2017) = FALSE, "","Enviado")</f>
        <v/>
      </c>
      <c r="O389" s="51" t="str">
        <f>IF(_xlfn.ISFORMULA('Previsto x realizado'!BG2017) = FALSE, "","Enviado")</f>
        <v/>
      </c>
      <c r="P389" s="51" t="str">
        <f>IF(_xlfn.ISFORMULA('Previsto x realizado'!BH2017) = FALSE, "","Enviado")</f>
        <v/>
      </c>
    </row>
    <row r="390" spans="1:16" x14ac:dyDescent="0.3">
      <c r="A390" s="40" t="s">
        <v>87</v>
      </c>
      <c r="B390" s="4" t="s">
        <v>222</v>
      </c>
      <c r="C390" s="5" t="s">
        <v>216</v>
      </c>
      <c r="D390" s="4" t="s">
        <v>238</v>
      </c>
      <c r="E390" s="51" t="str">
        <f>IF(_xlfn.ISFORMULA('Previsto x realizado'!AW2022) = FALSE, "","Enviado")</f>
        <v>Enviado</v>
      </c>
      <c r="F390" s="51" t="str">
        <f>IF(_xlfn.ISFORMULA('Previsto x realizado'!AX2022) = FALSE, "","Enviado")</f>
        <v>Enviado</v>
      </c>
      <c r="G390" s="51" t="str">
        <f>IF(_xlfn.ISFORMULA('Previsto x realizado'!AY2022) = FALSE, "","Enviado")</f>
        <v>Enviado</v>
      </c>
      <c r="H390" s="51" t="str">
        <f>IF(_xlfn.ISFORMULA('Previsto x realizado'!AZ2022) = FALSE, "","Enviado")</f>
        <v>Enviado</v>
      </c>
      <c r="I390" s="51" t="str">
        <f>IF(_xlfn.ISFORMULA('Previsto x realizado'!BA2022) = FALSE, "","Enviado")</f>
        <v/>
      </c>
      <c r="J390" s="51" t="str">
        <f>IF(_xlfn.ISFORMULA('Previsto x realizado'!BB2022) = FALSE, "","Enviado")</f>
        <v/>
      </c>
      <c r="K390" s="51" t="str">
        <f>IF(_xlfn.ISFORMULA('Previsto x realizado'!BC2022) = FALSE, "","Enviado")</f>
        <v/>
      </c>
      <c r="L390" s="51" t="str">
        <f>IF(_xlfn.ISFORMULA('Previsto x realizado'!BD2022) = FALSE, "","Enviado")</f>
        <v/>
      </c>
      <c r="M390" s="51" t="str">
        <f>IF(_xlfn.ISFORMULA('Previsto x realizado'!BE2022) = FALSE, "","Enviado")</f>
        <v/>
      </c>
      <c r="N390" s="51" t="str">
        <f>IF(_xlfn.ISFORMULA('Previsto x realizado'!BF2022) = FALSE, "","Enviado")</f>
        <v/>
      </c>
      <c r="O390" s="51" t="str">
        <f>IF(_xlfn.ISFORMULA('Previsto x realizado'!BG2022) = FALSE, "","Enviado")</f>
        <v/>
      </c>
      <c r="P390" s="51" t="str">
        <f>IF(_xlfn.ISFORMULA('Previsto x realizado'!BH2022) = FALSE, "","Enviado")</f>
        <v/>
      </c>
    </row>
    <row r="391" spans="1:16" x14ac:dyDescent="0.3">
      <c r="A391" s="20" t="s">
        <v>87</v>
      </c>
      <c r="B391" s="4" t="s">
        <v>229</v>
      </c>
      <c r="C391" s="5" t="s">
        <v>216</v>
      </c>
      <c r="D391" s="4" t="s">
        <v>238</v>
      </c>
      <c r="E391" s="51" t="str">
        <f>IF(_xlfn.ISFORMULA('Previsto x realizado'!AW2025) = FALSE, "","Enviado")</f>
        <v>Enviado</v>
      </c>
      <c r="F391" s="51" t="str">
        <f>IF(_xlfn.ISFORMULA('Previsto x realizado'!AX2025) = FALSE, "","Enviado")</f>
        <v>Enviado</v>
      </c>
      <c r="G391" s="51" t="str">
        <f>IF(_xlfn.ISFORMULA('Previsto x realizado'!AY2025) = FALSE, "","Enviado")</f>
        <v>Enviado</v>
      </c>
      <c r="H391" s="51" t="str">
        <f>IF(_xlfn.ISFORMULA('Previsto x realizado'!AZ2025) = FALSE, "","Enviado")</f>
        <v>Enviado</v>
      </c>
      <c r="I391" s="51" t="str">
        <f>IF(_xlfn.ISFORMULA('Previsto x realizado'!BA2025) = FALSE, "","Enviado")</f>
        <v>Enviado</v>
      </c>
      <c r="J391" s="51" t="str">
        <f>IF(_xlfn.ISFORMULA('Previsto x realizado'!BB2025) = FALSE, "","Enviado")</f>
        <v/>
      </c>
      <c r="K391" s="51" t="str">
        <f>IF(_xlfn.ISFORMULA('Previsto x realizado'!BC2025) = FALSE, "","Enviado")</f>
        <v/>
      </c>
      <c r="L391" s="51" t="str">
        <f>IF(_xlfn.ISFORMULA('Previsto x realizado'!BD2025) = FALSE, "","Enviado")</f>
        <v/>
      </c>
      <c r="M391" s="51" t="str">
        <f>IF(_xlfn.ISFORMULA('Previsto x realizado'!BE2025) = FALSE, "","Enviado")</f>
        <v/>
      </c>
      <c r="N391" s="51" t="str">
        <f>IF(_xlfn.ISFORMULA('Previsto x realizado'!BF2025) = FALSE, "","Enviado")</f>
        <v/>
      </c>
      <c r="O391" s="51" t="str">
        <f>IF(_xlfn.ISFORMULA('Previsto x realizado'!BG2025) = FALSE, "","Enviado")</f>
        <v/>
      </c>
      <c r="P391" s="51" t="str">
        <f>IF(_xlfn.ISFORMULA('Previsto x realizado'!BH2025) = FALSE, "","Enviado")</f>
        <v/>
      </c>
    </row>
    <row r="392" spans="1:16" x14ac:dyDescent="0.3">
      <c r="A392" s="40" t="s">
        <v>87</v>
      </c>
      <c r="B392" s="4" t="s">
        <v>229</v>
      </c>
      <c r="C392" s="5" t="s">
        <v>216</v>
      </c>
      <c r="D392" s="4" t="s">
        <v>238</v>
      </c>
      <c r="E392" s="51" t="str">
        <f>IF(_xlfn.ISFORMULA('Previsto x realizado'!AW2028) = FALSE, "","Enviado")</f>
        <v>Enviado</v>
      </c>
      <c r="F392" s="51" t="str">
        <f>IF(_xlfn.ISFORMULA('Previsto x realizado'!AX2028) = FALSE, "","Enviado")</f>
        <v>Enviado</v>
      </c>
      <c r="G392" s="51" t="str">
        <f>IF(_xlfn.ISFORMULA('Previsto x realizado'!AY2028) = FALSE, "","Enviado")</f>
        <v>Enviado</v>
      </c>
      <c r="H392" s="51" t="str">
        <f>IF(_xlfn.ISFORMULA('Previsto x realizado'!AZ2028) = FALSE, "","Enviado")</f>
        <v>Enviado</v>
      </c>
      <c r="I392" s="51" t="str">
        <f>IF(_xlfn.ISFORMULA('Previsto x realizado'!BA2028) = FALSE, "","Enviado")</f>
        <v>Enviado</v>
      </c>
      <c r="J392" s="51" t="str">
        <f>IF(_xlfn.ISFORMULA('Previsto x realizado'!BB2028) = FALSE, "","Enviado")</f>
        <v/>
      </c>
      <c r="K392" s="51" t="str">
        <f>IF(_xlfn.ISFORMULA('Previsto x realizado'!BC2028) = FALSE, "","Enviado")</f>
        <v/>
      </c>
      <c r="L392" s="51" t="str">
        <f>IF(_xlfn.ISFORMULA('Previsto x realizado'!BD2028) = FALSE, "","Enviado")</f>
        <v/>
      </c>
      <c r="M392" s="51" t="str">
        <f>IF(_xlfn.ISFORMULA('Previsto x realizado'!BE2028) = FALSE, "","Enviado")</f>
        <v/>
      </c>
      <c r="N392" s="51" t="str">
        <f>IF(_xlfn.ISFORMULA('Previsto x realizado'!BF2028) = FALSE, "","Enviado")</f>
        <v/>
      </c>
      <c r="O392" s="51" t="str">
        <f>IF(_xlfn.ISFORMULA('Previsto x realizado'!BG2028) = FALSE, "","Enviado")</f>
        <v/>
      </c>
      <c r="P392" s="51" t="str">
        <f>IF(_xlfn.ISFORMULA('Previsto x realizado'!BH2028) = FALSE, "","Enviado")</f>
        <v/>
      </c>
    </row>
    <row r="393" spans="1:16" x14ac:dyDescent="0.3">
      <c r="A393" s="20" t="s">
        <v>87</v>
      </c>
      <c r="B393" s="4" t="s">
        <v>232</v>
      </c>
      <c r="C393" s="5" t="s">
        <v>216</v>
      </c>
      <c r="D393" s="4" t="s">
        <v>238</v>
      </c>
      <c r="E393" s="51" t="str">
        <f>IF(_xlfn.ISFORMULA('Previsto x realizado'!AW2031) = FALSE, "","Enviado")</f>
        <v>Enviado</v>
      </c>
      <c r="F393" s="51" t="str">
        <f>IF(_xlfn.ISFORMULA('Previsto x realizado'!AX2031) = FALSE, "","Enviado")</f>
        <v>Enviado</v>
      </c>
      <c r="G393" s="51" t="str">
        <f>IF(_xlfn.ISFORMULA('Previsto x realizado'!AY2031) = FALSE, "","Enviado")</f>
        <v>Enviado</v>
      </c>
      <c r="H393" s="51" t="str">
        <f>IF(_xlfn.ISFORMULA('Previsto x realizado'!AZ2031) = FALSE, "","Enviado")</f>
        <v>Enviado</v>
      </c>
      <c r="I393" s="51" t="str">
        <f>IF(_xlfn.ISFORMULA('Previsto x realizado'!BA2031) = FALSE, "","Enviado")</f>
        <v>Enviado</v>
      </c>
      <c r="J393" s="51" t="str">
        <f>IF(_xlfn.ISFORMULA('Previsto x realizado'!BB2031) = FALSE, "","Enviado")</f>
        <v/>
      </c>
      <c r="K393" s="51" t="str">
        <f>IF(_xlfn.ISFORMULA('Previsto x realizado'!BC2031) = FALSE, "","Enviado")</f>
        <v/>
      </c>
      <c r="L393" s="51" t="str">
        <f>IF(_xlfn.ISFORMULA('Previsto x realizado'!BD2031) = FALSE, "","Enviado")</f>
        <v/>
      </c>
      <c r="M393" s="51" t="str">
        <f>IF(_xlfn.ISFORMULA('Previsto x realizado'!BE2031) = FALSE, "","Enviado")</f>
        <v/>
      </c>
      <c r="N393" s="51" t="str">
        <f>IF(_xlfn.ISFORMULA('Previsto x realizado'!BF2031) = FALSE, "","Enviado")</f>
        <v/>
      </c>
      <c r="O393" s="51" t="str">
        <f>IF(_xlfn.ISFORMULA('Previsto x realizado'!BG2031) = FALSE, "","Enviado")</f>
        <v/>
      </c>
      <c r="P393" s="51" t="str">
        <f>IF(_xlfn.ISFORMULA('Previsto x realizado'!BH2031) = FALSE, "","Enviado")</f>
        <v/>
      </c>
    </row>
    <row r="394" spans="1:16" x14ac:dyDescent="0.3">
      <c r="A394" s="40" t="s">
        <v>87</v>
      </c>
      <c r="B394" s="4" t="s">
        <v>232</v>
      </c>
      <c r="C394" s="5" t="s">
        <v>216</v>
      </c>
      <c r="D394" s="4" t="s">
        <v>238</v>
      </c>
      <c r="E394" s="51" t="str">
        <f>IF(_xlfn.ISFORMULA('Previsto x realizado'!AW2036) = FALSE, "","Enviado")</f>
        <v>Enviado</v>
      </c>
      <c r="F394" s="51" t="str">
        <f>IF(_xlfn.ISFORMULA('Previsto x realizado'!AX2036) = FALSE, "","Enviado")</f>
        <v>Enviado</v>
      </c>
      <c r="G394" s="51" t="str">
        <f>IF(_xlfn.ISFORMULA('Previsto x realizado'!AY2036) = FALSE, "","Enviado")</f>
        <v>Enviado</v>
      </c>
      <c r="H394" s="51" t="str">
        <f>IF(_xlfn.ISFORMULA('Previsto x realizado'!AZ2036) = FALSE, "","Enviado")</f>
        <v>Enviado</v>
      </c>
      <c r="I394" s="51" t="str">
        <f>IF(_xlfn.ISFORMULA('Previsto x realizado'!BA2036) = FALSE, "","Enviado")</f>
        <v>Enviado</v>
      </c>
      <c r="J394" s="51" t="str">
        <f>IF(_xlfn.ISFORMULA('Previsto x realizado'!BB2036) = FALSE, "","Enviado")</f>
        <v/>
      </c>
      <c r="K394" s="51" t="str">
        <f>IF(_xlfn.ISFORMULA('Previsto x realizado'!BC2036) = FALSE, "","Enviado")</f>
        <v/>
      </c>
      <c r="L394" s="51" t="str">
        <f>IF(_xlfn.ISFORMULA('Previsto x realizado'!BD2036) = FALSE, "","Enviado")</f>
        <v/>
      </c>
      <c r="M394" s="51" t="str">
        <f>IF(_xlfn.ISFORMULA('Previsto x realizado'!BE2036) = FALSE, "","Enviado")</f>
        <v/>
      </c>
      <c r="N394" s="51" t="str">
        <f>IF(_xlfn.ISFORMULA('Previsto x realizado'!BF2036) = FALSE, "","Enviado")</f>
        <v/>
      </c>
      <c r="O394" s="51" t="str">
        <f>IF(_xlfn.ISFORMULA('Previsto x realizado'!BG2036) = FALSE, "","Enviado")</f>
        <v/>
      </c>
      <c r="P394" s="51" t="str">
        <f>IF(_xlfn.ISFORMULA('Previsto x realizado'!BH2036) = FALSE, "","Enviado")</f>
        <v/>
      </c>
    </row>
    <row r="395" spans="1:16" ht="27.6" x14ac:dyDescent="0.3">
      <c r="A395" s="20" t="s">
        <v>87</v>
      </c>
      <c r="B395" s="4" t="s">
        <v>88</v>
      </c>
      <c r="C395" s="5" t="s">
        <v>216</v>
      </c>
      <c r="D395" s="4" t="s">
        <v>267</v>
      </c>
      <c r="E395" s="51" t="str">
        <f>IF(_xlfn.ISFORMULA('Previsto x realizado'!AW2037) = FALSE, "","Enviado")</f>
        <v>Enviado</v>
      </c>
      <c r="F395" s="51" t="str">
        <f>IF(_xlfn.ISFORMULA('Previsto x realizado'!AX2037) = FALSE, "","Enviado")</f>
        <v>Enviado</v>
      </c>
      <c r="G395" s="51" t="str">
        <f>IF(_xlfn.ISFORMULA('Previsto x realizado'!AY2037) = FALSE, "","Enviado")</f>
        <v>Enviado</v>
      </c>
      <c r="H395" s="51" t="str">
        <f>IF(_xlfn.ISFORMULA('Previsto x realizado'!AZ2037) = FALSE, "","Enviado")</f>
        <v>Enviado</v>
      </c>
      <c r="I395" s="51" t="str">
        <f>IF(_xlfn.ISFORMULA('Previsto x realizado'!BA2037) = FALSE, "","Enviado")</f>
        <v>Enviado</v>
      </c>
      <c r="J395" s="51" t="str">
        <f>IF(_xlfn.ISFORMULA('Previsto x realizado'!BB2037) = FALSE, "","Enviado")</f>
        <v/>
      </c>
      <c r="K395" s="51" t="str">
        <f>IF(_xlfn.ISFORMULA('Previsto x realizado'!BC2037) = FALSE, "","Enviado")</f>
        <v/>
      </c>
      <c r="L395" s="51" t="str">
        <f>IF(_xlfn.ISFORMULA('Previsto x realizado'!BD2037) = FALSE, "","Enviado")</f>
        <v/>
      </c>
      <c r="M395" s="51" t="str">
        <f>IF(_xlfn.ISFORMULA('Previsto x realizado'!BE2037) = FALSE, "","Enviado")</f>
        <v/>
      </c>
      <c r="N395" s="51" t="str">
        <f>IF(_xlfn.ISFORMULA('Previsto x realizado'!BF2037) = FALSE, "","Enviado")</f>
        <v/>
      </c>
      <c r="O395" s="51" t="str">
        <f>IF(_xlfn.ISFORMULA('Previsto x realizado'!BG2037) = FALSE, "","Enviado")</f>
        <v/>
      </c>
      <c r="P395" s="51" t="str">
        <f>IF(_xlfn.ISFORMULA('Previsto x realizado'!BH2037) = FALSE, "","Enviado")</f>
        <v/>
      </c>
    </row>
    <row r="396" spans="1:16" ht="27.6" x14ac:dyDescent="0.3">
      <c r="A396" s="40" t="s">
        <v>87</v>
      </c>
      <c r="B396" s="4" t="s">
        <v>88</v>
      </c>
      <c r="C396" s="5" t="s">
        <v>216</v>
      </c>
      <c r="D396" s="4" t="s">
        <v>267</v>
      </c>
      <c r="E396" s="51" t="str">
        <f>IF(_xlfn.ISFORMULA('Previsto x realizado'!AW2038) = FALSE, "","Enviado")</f>
        <v>Enviado</v>
      </c>
      <c r="F396" s="51" t="str">
        <f>IF(_xlfn.ISFORMULA('Previsto x realizado'!AX2038) = FALSE, "","Enviado")</f>
        <v>Enviado</v>
      </c>
      <c r="G396" s="51" t="str">
        <f>IF(_xlfn.ISFORMULA('Previsto x realizado'!AY2038) = FALSE, "","Enviado")</f>
        <v>Enviado</v>
      </c>
      <c r="H396" s="51" t="str">
        <f>IF(_xlfn.ISFORMULA('Previsto x realizado'!AZ2038) = FALSE, "","Enviado")</f>
        <v>Enviado</v>
      </c>
      <c r="I396" s="51" t="str">
        <f>IF(_xlfn.ISFORMULA('Previsto x realizado'!BA2038) = FALSE, "","Enviado")</f>
        <v>Enviado</v>
      </c>
      <c r="J396" s="51" t="str">
        <f>IF(_xlfn.ISFORMULA('Previsto x realizado'!BB2038) = FALSE, "","Enviado")</f>
        <v/>
      </c>
      <c r="K396" s="51" t="str">
        <f>IF(_xlfn.ISFORMULA('Previsto x realizado'!BC2038) = FALSE, "","Enviado")</f>
        <v/>
      </c>
      <c r="L396" s="51" t="str">
        <f>IF(_xlfn.ISFORMULA('Previsto x realizado'!BD2038) = FALSE, "","Enviado")</f>
        <v/>
      </c>
      <c r="M396" s="51" t="str">
        <f>IF(_xlfn.ISFORMULA('Previsto x realizado'!BE2038) = FALSE, "","Enviado")</f>
        <v/>
      </c>
      <c r="N396" s="51" t="str">
        <f>IF(_xlfn.ISFORMULA('Previsto x realizado'!BF2038) = FALSE, "","Enviado")</f>
        <v/>
      </c>
      <c r="O396" s="51" t="str">
        <f>IF(_xlfn.ISFORMULA('Previsto x realizado'!BG2038) = FALSE, "","Enviado")</f>
        <v/>
      </c>
      <c r="P396" s="51" t="str">
        <f>IF(_xlfn.ISFORMULA('Previsto x realizado'!BH2038) = FALSE, "","Enviado")</f>
        <v/>
      </c>
    </row>
    <row r="397" spans="1:16" ht="27.6" x14ac:dyDescent="0.3">
      <c r="A397" s="40" t="s">
        <v>87</v>
      </c>
      <c r="B397" s="4" t="s">
        <v>88</v>
      </c>
      <c r="C397" s="5" t="s">
        <v>216</v>
      </c>
      <c r="D397" s="4" t="s">
        <v>267</v>
      </c>
      <c r="E397" s="51" t="str">
        <f>IF(_xlfn.ISFORMULA('Previsto x realizado'!AW2049) = FALSE, "","Enviado")</f>
        <v>Enviado</v>
      </c>
      <c r="F397" s="51" t="str">
        <f>IF(_xlfn.ISFORMULA('Previsto x realizado'!AX2049) = FALSE, "","Enviado")</f>
        <v>Enviado</v>
      </c>
      <c r="G397" s="51" t="str">
        <f>IF(_xlfn.ISFORMULA('Previsto x realizado'!AY2049) = FALSE, "","Enviado")</f>
        <v>Enviado</v>
      </c>
      <c r="H397" s="51" t="str">
        <f>IF(_xlfn.ISFORMULA('Previsto x realizado'!AZ2049) = FALSE, "","Enviado")</f>
        <v>Enviado</v>
      </c>
      <c r="I397" s="51" t="str">
        <f>IF(_xlfn.ISFORMULA('Previsto x realizado'!BA2049) = FALSE, "","Enviado")</f>
        <v>Enviado</v>
      </c>
      <c r="J397" s="51" t="str">
        <f>IF(_xlfn.ISFORMULA('Previsto x realizado'!BB2049) = FALSE, "","Enviado")</f>
        <v/>
      </c>
      <c r="K397" s="51" t="str">
        <f>IF(_xlfn.ISFORMULA('Previsto x realizado'!BC2049) = FALSE, "","Enviado")</f>
        <v/>
      </c>
      <c r="L397" s="51" t="str">
        <f>IF(_xlfn.ISFORMULA('Previsto x realizado'!BD2049) = FALSE, "","Enviado")</f>
        <v/>
      </c>
      <c r="M397" s="51" t="str">
        <f>IF(_xlfn.ISFORMULA('Previsto x realizado'!BE2049) = FALSE, "","Enviado")</f>
        <v/>
      </c>
      <c r="N397" s="51" t="str">
        <f>IF(_xlfn.ISFORMULA('Previsto x realizado'!BF2049) = FALSE, "","Enviado")</f>
        <v/>
      </c>
      <c r="O397" s="51" t="str">
        <f>IF(_xlfn.ISFORMULA('Previsto x realizado'!BG2049) = FALSE, "","Enviado")</f>
        <v/>
      </c>
      <c r="P397" s="51" t="str">
        <f>IF(_xlfn.ISFORMULA('Previsto x realizado'!BH2049) = FALSE, "","Enviado")</f>
        <v/>
      </c>
    </row>
    <row r="398" spans="1:16" x14ac:dyDescent="0.3">
      <c r="A398" s="70" t="s">
        <v>108</v>
      </c>
      <c r="B398" s="4" t="s">
        <v>109</v>
      </c>
      <c r="C398" s="5" t="s">
        <v>216</v>
      </c>
      <c r="D398" s="4" t="s">
        <v>238</v>
      </c>
      <c r="E398" s="51" t="str">
        <f>IF(_xlfn.ISFORMULA('Previsto x realizado'!AW2060) = FALSE, "","Enviado")</f>
        <v>Enviado</v>
      </c>
      <c r="F398" s="51" t="str">
        <f>IF(_xlfn.ISFORMULA('Previsto x realizado'!AX2060) = FALSE, "","Enviado")</f>
        <v>Enviado</v>
      </c>
      <c r="G398" s="51" t="str">
        <f>IF(_xlfn.ISFORMULA('Previsto x realizado'!AY2060) = FALSE, "","Enviado")</f>
        <v>Enviado</v>
      </c>
      <c r="H398" s="51" t="str">
        <f>IF(_xlfn.ISFORMULA('Previsto x realizado'!AZ2060) = FALSE, "","Enviado")</f>
        <v>Enviado</v>
      </c>
      <c r="I398" s="51" t="str">
        <f>IF(_xlfn.ISFORMULA('Previsto x realizado'!BA2060) = FALSE, "","Enviado")</f>
        <v>Enviado</v>
      </c>
      <c r="J398" s="51" t="str">
        <f>IF(_xlfn.ISFORMULA('Previsto x realizado'!BB2060) = FALSE, "","Enviado")</f>
        <v/>
      </c>
      <c r="K398" s="51" t="str">
        <f>IF(_xlfn.ISFORMULA('Previsto x realizado'!BC2060) = FALSE, "","Enviado")</f>
        <v/>
      </c>
      <c r="L398" s="51" t="str">
        <f>IF(_xlfn.ISFORMULA('Previsto x realizado'!BD2060) = FALSE, "","Enviado")</f>
        <v/>
      </c>
      <c r="M398" s="51" t="str">
        <f>IF(_xlfn.ISFORMULA('Previsto x realizado'!BE2060) = FALSE, "","Enviado")</f>
        <v/>
      </c>
      <c r="N398" s="51" t="str">
        <f>IF(_xlfn.ISFORMULA('Previsto x realizado'!BF2060) = FALSE, "","Enviado")</f>
        <v/>
      </c>
      <c r="O398" s="51" t="str">
        <f>IF(_xlfn.ISFORMULA('Previsto x realizado'!BG2060) = FALSE, "","Enviado")</f>
        <v/>
      </c>
      <c r="P398" s="51" t="str">
        <f>IF(_xlfn.ISFORMULA('Previsto x realizado'!BH2060) = FALSE, "","Enviado")</f>
        <v/>
      </c>
    </row>
    <row r="399" spans="1:16" x14ac:dyDescent="0.3">
      <c r="A399" s="41" t="s">
        <v>108</v>
      </c>
      <c r="B399" s="4" t="s">
        <v>109</v>
      </c>
      <c r="C399" s="5" t="s">
        <v>216</v>
      </c>
      <c r="D399" s="4" t="s">
        <v>238</v>
      </c>
      <c r="E399" s="51" t="str">
        <f>IF(_xlfn.ISFORMULA('Previsto x realizado'!AW2065) = FALSE, "","Enviado")</f>
        <v>Enviado</v>
      </c>
      <c r="F399" s="51" t="str">
        <f>IF(_xlfn.ISFORMULA('Previsto x realizado'!AX2065) = FALSE, "","Enviado")</f>
        <v>Enviado</v>
      </c>
      <c r="G399" s="51" t="str">
        <f>IF(_xlfn.ISFORMULA('Previsto x realizado'!AY2065) = FALSE, "","Enviado")</f>
        <v>Enviado</v>
      </c>
      <c r="H399" s="51" t="str">
        <f>IF(_xlfn.ISFORMULA('Previsto x realizado'!AZ2065) = FALSE, "","Enviado")</f>
        <v>Enviado</v>
      </c>
      <c r="I399" s="51" t="str">
        <f>IF(_xlfn.ISFORMULA('Previsto x realizado'!BA2065) = FALSE, "","Enviado")</f>
        <v>Enviado</v>
      </c>
      <c r="J399" s="51" t="str">
        <f>IF(_xlfn.ISFORMULA('Previsto x realizado'!BB2065) = FALSE, "","Enviado")</f>
        <v/>
      </c>
      <c r="K399" s="51" t="str">
        <f>IF(_xlfn.ISFORMULA('Previsto x realizado'!BC2065) = FALSE, "","Enviado")</f>
        <v/>
      </c>
      <c r="L399" s="51" t="str">
        <f>IF(_xlfn.ISFORMULA('Previsto x realizado'!BD2065) = FALSE, "","Enviado")</f>
        <v/>
      </c>
      <c r="M399" s="51" t="str">
        <f>IF(_xlfn.ISFORMULA('Previsto x realizado'!BE2065) = FALSE, "","Enviado")</f>
        <v/>
      </c>
      <c r="N399" s="51" t="str">
        <f>IF(_xlfn.ISFORMULA('Previsto x realizado'!BF2065) = FALSE, "","Enviado")</f>
        <v/>
      </c>
      <c r="O399" s="51" t="str">
        <f>IF(_xlfn.ISFORMULA('Previsto x realizado'!BG2065) = FALSE, "","Enviado")</f>
        <v/>
      </c>
      <c r="P399" s="51" t="str">
        <f>IF(_xlfn.ISFORMULA('Previsto x realizado'!BH2065) = FALSE, "","Enviado")</f>
        <v/>
      </c>
    </row>
    <row r="400" spans="1:16" hidden="1" x14ac:dyDescent="0.3">
      <c r="A400" s="41" t="s">
        <v>108</v>
      </c>
      <c r="B400" s="4" t="s">
        <v>314</v>
      </c>
      <c r="C400" s="5" t="s">
        <v>216</v>
      </c>
      <c r="D400" s="4" t="s">
        <v>238</v>
      </c>
      <c r="E400" s="51" t="e">
        <f>IF(_xlfn.ISFORMULA('Previsto x realizado'!#REF!) = FALSE, "","Enviado")</f>
        <v>#REF!</v>
      </c>
      <c r="F400" s="51" t="e">
        <f>IF(_xlfn.ISFORMULA('Previsto x realizado'!#REF!) = FALSE, "","Enviado")</f>
        <v>#REF!</v>
      </c>
      <c r="G400" s="51" t="e">
        <f>IF(_xlfn.ISFORMULA('Previsto x realizado'!#REF!) = FALSE, "","Enviado")</f>
        <v>#REF!</v>
      </c>
      <c r="H400" s="51" t="e">
        <f>IF(_xlfn.ISFORMULA('Previsto x realizado'!#REF!) = FALSE, "","Enviado")</f>
        <v>#REF!</v>
      </c>
      <c r="I400" s="51" t="e">
        <f>IF(_xlfn.ISFORMULA('Previsto x realizado'!#REF!) = FALSE, "","Enviado")</f>
        <v>#REF!</v>
      </c>
      <c r="J400" s="51" t="e">
        <f>IF(_xlfn.ISFORMULA('Previsto x realizado'!#REF!) = FALSE, "","Enviado")</f>
        <v>#REF!</v>
      </c>
      <c r="K400" s="51" t="e">
        <f>IF(_xlfn.ISFORMULA('Previsto x realizado'!#REF!) = FALSE, "","Enviado")</f>
        <v>#REF!</v>
      </c>
      <c r="L400" s="51" t="e">
        <f>IF(_xlfn.ISFORMULA('Previsto x realizado'!#REF!) = FALSE, "","Enviado")</f>
        <v>#REF!</v>
      </c>
      <c r="M400" s="51" t="e">
        <f>IF(_xlfn.ISFORMULA('Previsto x realizado'!#REF!) = FALSE, "","Enviado")</f>
        <v>#REF!</v>
      </c>
      <c r="N400" s="51" t="e">
        <f>IF(_xlfn.ISFORMULA('Previsto x realizado'!#REF!) = FALSE, "","Enviado")</f>
        <v>#REF!</v>
      </c>
      <c r="O400" s="51" t="e">
        <f>IF(_xlfn.ISFORMULA('Previsto x realizado'!#REF!) = FALSE, "","Enviado")</f>
        <v>#REF!</v>
      </c>
      <c r="P400" s="51" t="e">
        <f>IF(_xlfn.ISFORMULA('Previsto x realizado'!#REF!) = FALSE, "","Enviado")</f>
        <v>#REF!</v>
      </c>
    </row>
    <row r="401" spans="1:16" ht="27.6" hidden="1" x14ac:dyDescent="0.3">
      <c r="A401" s="70" t="s">
        <v>108</v>
      </c>
      <c r="B401" s="4" t="s">
        <v>117</v>
      </c>
      <c r="C401" s="5" t="s">
        <v>216</v>
      </c>
      <c r="D401" s="4" t="s">
        <v>267</v>
      </c>
      <c r="E401" s="51" t="str">
        <f>IF(_xlfn.ISFORMULA('Previsto x realizado'!AW2070) = FALSE, "","Enviado")</f>
        <v>Enviado</v>
      </c>
      <c r="F401" s="51" t="str">
        <f>IF(_xlfn.ISFORMULA('Previsto x realizado'!AX2070) = FALSE, "","Enviado")</f>
        <v>Enviado</v>
      </c>
      <c r="G401" s="51" t="str">
        <f>IF(_xlfn.ISFORMULA('Previsto x realizado'!AY2070) = FALSE, "","Enviado")</f>
        <v>Enviado</v>
      </c>
      <c r="H401" s="51" t="str">
        <f>IF(_xlfn.ISFORMULA('Previsto x realizado'!AZ2070) = FALSE, "","Enviado")</f>
        <v>Enviado</v>
      </c>
      <c r="I401" s="51" t="str">
        <f>IF(_xlfn.ISFORMULA('Previsto x realizado'!BA2070) = FALSE, "","Enviado")</f>
        <v/>
      </c>
      <c r="J401" s="51" t="str">
        <f>IF(_xlfn.ISFORMULA('Previsto x realizado'!BB2070) = FALSE, "","Enviado")</f>
        <v/>
      </c>
      <c r="K401" s="51" t="str">
        <f>IF(_xlfn.ISFORMULA('Previsto x realizado'!BC2070) = FALSE, "","Enviado")</f>
        <v/>
      </c>
      <c r="L401" s="51" t="str">
        <f>IF(_xlfn.ISFORMULA('Previsto x realizado'!BD2070) = FALSE, "","Enviado")</f>
        <v/>
      </c>
      <c r="M401" s="51" t="str">
        <f>IF(_xlfn.ISFORMULA('Previsto x realizado'!BE2070) = FALSE, "","Enviado")</f>
        <v/>
      </c>
      <c r="N401" s="51" t="str">
        <f>IF(_xlfn.ISFORMULA('Previsto x realizado'!BF2070) = FALSE, "","Enviado")</f>
        <v/>
      </c>
      <c r="O401" s="51" t="str">
        <f>IF(_xlfn.ISFORMULA('Previsto x realizado'!BG2070) = FALSE, "","Enviado")</f>
        <v/>
      </c>
      <c r="P401" s="51" t="str">
        <f>IF(_xlfn.ISFORMULA('Previsto x realizado'!BH2070) = FALSE, "","Enviado")</f>
        <v/>
      </c>
    </row>
    <row r="402" spans="1:16" ht="27.6" hidden="1" x14ac:dyDescent="0.3">
      <c r="A402" s="70" t="s">
        <v>108</v>
      </c>
      <c r="B402" s="4" t="s">
        <v>117</v>
      </c>
      <c r="C402" s="5" t="s">
        <v>216</v>
      </c>
      <c r="D402" s="4" t="s">
        <v>267</v>
      </c>
      <c r="E402" s="51" t="str">
        <f>IF(_xlfn.ISFORMULA('Previsto x realizado'!AW2075) = FALSE, "","Enviado")</f>
        <v>Enviado</v>
      </c>
      <c r="F402" s="51" t="str">
        <f>IF(_xlfn.ISFORMULA('Previsto x realizado'!AX2075) = FALSE, "","Enviado")</f>
        <v>Enviado</v>
      </c>
      <c r="G402" s="51" t="str">
        <f>IF(_xlfn.ISFORMULA('Previsto x realizado'!AY2075) = FALSE, "","Enviado")</f>
        <v>Enviado</v>
      </c>
      <c r="H402" s="51" t="str">
        <f>IF(_xlfn.ISFORMULA('Previsto x realizado'!AZ2075) = FALSE, "","Enviado")</f>
        <v>Enviado</v>
      </c>
      <c r="I402" s="51" t="str">
        <f>IF(_xlfn.ISFORMULA('Previsto x realizado'!BA2075) = FALSE, "","Enviado")</f>
        <v/>
      </c>
      <c r="J402" s="51" t="str">
        <f>IF(_xlfn.ISFORMULA('Previsto x realizado'!BB2075) = FALSE, "","Enviado")</f>
        <v/>
      </c>
      <c r="K402" s="51" t="str">
        <f>IF(_xlfn.ISFORMULA('Previsto x realizado'!BC2075) = FALSE, "","Enviado")</f>
        <v/>
      </c>
      <c r="L402" s="51" t="str">
        <f>IF(_xlfn.ISFORMULA('Previsto x realizado'!BD2075) = FALSE, "","Enviado")</f>
        <v/>
      </c>
      <c r="M402" s="51" t="str">
        <f>IF(_xlfn.ISFORMULA('Previsto x realizado'!BE2075) = FALSE, "","Enviado")</f>
        <v/>
      </c>
      <c r="N402" s="51" t="str">
        <f>IF(_xlfn.ISFORMULA('Previsto x realizado'!BF2075) = FALSE, "","Enviado")</f>
        <v/>
      </c>
      <c r="O402" s="51" t="str">
        <f>IF(_xlfn.ISFORMULA('Previsto x realizado'!BG2075) = FALSE, "","Enviado")</f>
        <v/>
      </c>
      <c r="P402" s="51" t="str">
        <f>IF(_xlfn.ISFORMULA('Previsto x realizado'!BH2075) = FALSE, "","Enviado")</f>
        <v/>
      </c>
    </row>
    <row r="403" spans="1:16" ht="27.6" x14ac:dyDescent="0.3">
      <c r="A403" s="41" t="s">
        <v>108</v>
      </c>
      <c r="B403" s="4" t="s">
        <v>123</v>
      </c>
      <c r="C403" s="5" t="s">
        <v>216</v>
      </c>
      <c r="D403" s="4" t="s">
        <v>267</v>
      </c>
      <c r="E403" s="51" t="str">
        <f>IF(_xlfn.ISFORMULA('Previsto x realizado'!AW2080) = FALSE, "","Enviado")</f>
        <v>Enviado</v>
      </c>
      <c r="F403" s="51" t="str">
        <f>IF(_xlfn.ISFORMULA('Previsto x realizado'!AX2080) = FALSE, "","Enviado")</f>
        <v>Enviado</v>
      </c>
      <c r="G403" s="51" t="str">
        <f>IF(_xlfn.ISFORMULA('Previsto x realizado'!AY2080) = FALSE, "","Enviado")</f>
        <v>Enviado</v>
      </c>
      <c r="H403" s="51" t="str">
        <f>IF(_xlfn.ISFORMULA('Previsto x realizado'!AZ2080) = FALSE, "","Enviado")</f>
        <v>Enviado</v>
      </c>
      <c r="I403" s="51" t="str">
        <f>IF(_xlfn.ISFORMULA('Previsto x realizado'!BA2080) = FALSE, "","Enviado")</f>
        <v/>
      </c>
      <c r="J403" s="51" t="str">
        <f>IF(_xlfn.ISFORMULA('Previsto x realizado'!BB2080) = FALSE, "","Enviado")</f>
        <v/>
      </c>
      <c r="K403" s="51" t="str">
        <f>IF(_xlfn.ISFORMULA('Previsto x realizado'!BC2080) = FALSE, "","Enviado")</f>
        <v/>
      </c>
      <c r="L403" s="51" t="str">
        <f>IF(_xlfn.ISFORMULA('Previsto x realizado'!BD2080) = FALSE, "","Enviado")</f>
        <v/>
      </c>
      <c r="M403" s="51" t="str">
        <f>IF(_xlfn.ISFORMULA('Previsto x realizado'!BE2080) = FALSE, "","Enviado")</f>
        <v/>
      </c>
      <c r="N403" s="51" t="str">
        <f>IF(_xlfn.ISFORMULA('Previsto x realizado'!BF2080) = FALSE, "","Enviado")</f>
        <v/>
      </c>
      <c r="O403" s="51" t="str">
        <f>IF(_xlfn.ISFORMULA('Previsto x realizado'!BG2080) = FALSE, "","Enviado")</f>
        <v/>
      </c>
      <c r="P403" s="51" t="str">
        <f>IF(_xlfn.ISFORMULA('Previsto x realizado'!BH2080) = FALSE, "","Enviado")</f>
        <v/>
      </c>
    </row>
    <row r="404" spans="1:16" ht="27.6" hidden="1" x14ac:dyDescent="0.3">
      <c r="A404" s="70" t="s">
        <v>108</v>
      </c>
      <c r="B404" s="4" t="s">
        <v>123</v>
      </c>
      <c r="C404" s="5" t="s">
        <v>216</v>
      </c>
      <c r="D404" s="4" t="s">
        <v>267</v>
      </c>
      <c r="E404" s="51" t="str">
        <f>IF(_xlfn.ISFORMULA('Previsto x realizado'!AW2085) = FALSE, "","Enviado")</f>
        <v>Enviado</v>
      </c>
      <c r="F404" s="51" t="str">
        <f>IF(_xlfn.ISFORMULA('Previsto x realizado'!AX2085) = FALSE, "","Enviado")</f>
        <v>Enviado</v>
      </c>
      <c r="G404" s="51" t="str">
        <f>IF(_xlfn.ISFORMULA('Previsto x realizado'!AY2085) = FALSE, "","Enviado")</f>
        <v>Enviado</v>
      </c>
      <c r="H404" s="51" t="str">
        <f>IF(_xlfn.ISFORMULA('Previsto x realizado'!AZ2085) = FALSE, "","Enviado")</f>
        <v>Enviado</v>
      </c>
      <c r="I404" s="51" t="str">
        <f>IF(_xlfn.ISFORMULA('Previsto x realizado'!BA2085) = FALSE, "","Enviado")</f>
        <v/>
      </c>
      <c r="J404" s="51" t="str">
        <f>IF(_xlfn.ISFORMULA('Previsto x realizado'!BB2085) = FALSE, "","Enviado")</f>
        <v/>
      </c>
      <c r="K404" s="51" t="str">
        <f>IF(_xlfn.ISFORMULA('Previsto x realizado'!BC2085) = FALSE, "","Enviado")</f>
        <v/>
      </c>
      <c r="L404" s="51" t="str">
        <f>IF(_xlfn.ISFORMULA('Previsto x realizado'!BD2085) = FALSE, "","Enviado")</f>
        <v/>
      </c>
      <c r="M404" s="51" t="str">
        <f>IF(_xlfn.ISFORMULA('Previsto x realizado'!BE2085) = FALSE, "","Enviado")</f>
        <v/>
      </c>
      <c r="N404" s="51" t="str">
        <f>IF(_xlfn.ISFORMULA('Previsto x realizado'!BF2085) = FALSE, "","Enviado")</f>
        <v/>
      </c>
      <c r="O404" s="51" t="str">
        <f>IF(_xlfn.ISFORMULA('Previsto x realizado'!BG2085) = FALSE, "","Enviado")</f>
        <v/>
      </c>
      <c r="P404" s="51" t="str">
        <f>IF(_xlfn.ISFORMULA('Previsto x realizado'!BH2085) = FALSE, "","Enviado")</f>
        <v/>
      </c>
    </row>
    <row r="405" spans="1:16" ht="27.6" hidden="1" x14ac:dyDescent="0.3">
      <c r="A405" s="70" t="s">
        <v>108</v>
      </c>
      <c r="B405" s="4" t="s">
        <v>123</v>
      </c>
      <c r="C405" s="5" t="s">
        <v>216</v>
      </c>
      <c r="D405" s="4" t="s">
        <v>267</v>
      </c>
      <c r="E405" s="51" t="str">
        <f>IF(_xlfn.ISFORMULA('Previsto x realizado'!AW2090) = FALSE, "","Enviado")</f>
        <v>Enviado</v>
      </c>
      <c r="F405" s="51" t="str">
        <f>IF(_xlfn.ISFORMULA('Previsto x realizado'!AX2090) = FALSE, "","Enviado")</f>
        <v>Enviado</v>
      </c>
      <c r="G405" s="51" t="str">
        <f>IF(_xlfn.ISFORMULA('Previsto x realizado'!AY2090) = FALSE, "","Enviado")</f>
        <v>Enviado</v>
      </c>
      <c r="H405" s="51" t="str">
        <f>IF(_xlfn.ISFORMULA('Previsto x realizado'!AZ2090) = FALSE, "","Enviado")</f>
        <v>Enviado</v>
      </c>
      <c r="I405" s="51" t="str">
        <f>IF(_xlfn.ISFORMULA('Previsto x realizado'!BA2090) = FALSE, "","Enviado")</f>
        <v/>
      </c>
      <c r="J405" s="51" t="str">
        <f>IF(_xlfn.ISFORMULA('Previsto x realizado'!BB2090) = FALSE, "","Enviado")</f>
        <v/>
      </c>
      <c r="K405" s="51" t="str">
        <f>IF(_xlfn.ISFORMULA('Previsto x realizado'!BC2090) = FALSE, "","Enviado")</f>
        <v/>
      </c>
      <c r="L405" s="51" t="str">
        <f>IF(_xlfn.ISFORMULA('Previsto x realizado'!BD2090) = FALSE, "","Enviado")</f>
        <v/>
      </c>
      <c r="M405" s="51" t="str">
        <f>IF(_xlfn.ISFORMULA('Previsto x realizado'!BE2090) = FALSE, "","Enviado")</f>
        <v/>
      </c>
      <c r="N405" s="51" t="str">
        <f>IF(_xlfn.ISFORMULA('Previsto x realizado'!BF2090) = FALSE, "","Enviado")</f>
        <v/>
      </c>
      <c r="O405" s="51" t="str">
        <f>IF(_xlfn.ISFORMULA('Previsto x realizado'!BG2090) = FALSE, "","Enviado")</f>
        <v/>
      </c>
      <c r="P405" s="51" t="str">
        <f>IF(_xlfn.ISFORMULA('Previsto x realizado'!BH2090) = FALSE, "","Enviado")</f>
        <v/>
      </c>
    </row>
    <row r="406" spans="1:16" ht="27.6" x14ac:dyDescent="0.3">
      <c r="A406" s="41" t="s">
        <v>108</v>
      </c>
      <c r="B406" s="4" t="s">
        <v>129</v>
      </c>
      <c r="C406" s="5" t="s">
        <v>216</v>
      </c>
      <c r="D406" s="4" t="s">
        <v>267</v>
      </c>
      <c r="E406" s="51" t="str">
        <f>IF(_xlfn.ISFORMULA('Previsto x realizado'!AW2095) = FALSE, "","Enviado")</f>
        <v>Enviado</v>
      </c>
      <c r="F406" s="51" t="str">
        <f>IF(_xlfn.ISFORMULA('Previsto x realizado'!AX2095) = FALSE, "","Enviado")</f>
        <v>Enviado</v>
      </c>
      <c r="G406" s="51" t="str">
        <f>IF(_xlfn.ISFORMULA('Previsto x realizado'!AY2095) = FALSE, "","Enviado")</f>
        <v>Enviado</v>
      </c>
      <c r="H406" s="51" t="str">
        <f>IF(_xlfn.ISFORMULA('Previsto x realizado'!AZ2095) = FALSE, "","Enviado")</f>
        <v>Enviado</v>
      </c>
      <c r="I406" s="51" t="str">
        <f>IF(_xlfn.ISFORMULA('Previsto x realizado'!BA2095) = FALSE, "","Enviado")</f>
        <v/>
      </c>
      <c r="J406" s="51" t="str">
        <f>IF(_xlfn.ISFORMULA('Previsto x realizado'!BB2095) = FALSE, "","Enviado")</f>
        <v/>
      </c>
      <c r="K406" s="51" t="str">
        <f>IF(_xlfn.ISFORMULA('Previsto x realizado'!BC2095) = FALSE, "","Enviado")</f>
        <v/>
      </c>
      <c r="L406" s="51" t="str">
        <f>IF(_xlfn.ISFORMULA('Previsto x realizado'!BD2095) = FALSE, "","Enviado")</f>
        <v/>
      </c>
      <c r="M406" s="51" t="str">
        <f>IF(_xlfn.ISFORMULA('Previsto x realizado'!BE2095) = FALSE, "","Enviado")</f>
        <v/>
      </c>
      <c r="N406" s="51" t="str">
        <f>IF(_xlfn.ISFORMULA('Previsto x realizado'!BF2095) = FALSE, "","Enviado")</f>
        <v/>
      </c>
      <c r="O406" s="51" t="str">
        <f>IF(_xlfn.ISFORMULA('Previsto x realizado'!BG2095) = FALSE, "","Enviado")</f>
        <v/>
      </c>
      <c r="P406" s="51" t="str">
        <f>IF(_xlfn.ISFORMULA('Previsto x realizado'!BH2095) = FALSE, "","Enviado")</f>
        <v/>
      </c>
    </row>
    <row r="407" spans="1:16" ht="27.6" hidden="1" x14ac:dyDescent="0.3">
      <c r="A407" s="70" t="s">
        <v>108</v>
      </c>
      <c r="B407" s="4" t="s">
        <v>129</v>
      </c>
      <c r="C407" s="5" t="s">
        <v>216</v>
      </c>
      <c r="D407" s="4" t="s">
        <v>267</v>
      </c>
      <c r="E407" s="51" t="str">
        <f>IF(_xlfn.ISFORMULA('Previsto x realizado'!AW2104) = FALSE, "","Enviado")</f>
        <v>Enviado</v>
      </c>
      <c r="F407" s="51" t="str">
        <f>IF(_xlfn.ISFORMULA('Previsto x realizado'!AX2104) = FALSE, "","Enviado")</f>
        <v>Enviado</v>
      </c>
      <c r="G407" s="51" t="str">
        <f>IF(_xlfn.ISFORMULA('Previsto x realizado'!AY2104) = FALSE, "","Enviado")</f>
        <v>Enviado</v>
      </c>
      <c r="H407" s="51" t="str">
        <f>IF(_xlfn.ISFORMULA('Previsto x realizado'!AZ2104) = FALSE, "","Enviado")</f>
        <v>Enviado</v>
      </c>
      <c r="I407" s="51" t="str">
        <f>IF(_xlfn.ISFORMULA('Previsto x realizado'!BA2104) = FALSE, "","Enviado")</f>
        <v/>
      </c>
      <c r="J407" s="51" t="str">
        <f>IF(_xlfn.ISFORMULA('Previsto x realizado'!BB2104) = FALSE, "","Enviado")</f>
        <v/>
      </c>
      <c r="K407" s="51" t="str">
        <f>IF(_xlfn.ISFORMULA('Previsto x realizado'!BC2104) = FALSE, "","Enviado")</f>
        <v/>
      </c>
      <c r="L407" s="51" t="str">
        <f>IF(_xlfn.ISFORMULA('Previsto x realizado'!BD2104) = FALSE, "","Enviado")</f>
        <v/>
      </c>
      <c r="M407" s="51" t="str">
        <f>IF(_xlfn.ISFORMULA('Previsto x realizado'!BE2104) = FALSE, "","Enviado")</f>
        <v/>
      </c>
      <c r="N407" s="51" t="str">
        <f>IF(_xlfn.ISFORMULA('Previsto x realizado'!BF2104) = FALSE, "","Enviado")</f>
        <v/>
      </c>
      <c r="O407" s="51" t="str">
        <f>IF(_xlfn.ISFORMULA('Previsto x realizado'!BG2104) = FALSE, "","Enviado")</f>
        <v/>
      </c>
      <c r="P407" s="51" t="str">
        <f>IF(_xlfn.ISFORMULA('Previsto x realizado'!BH2104) = FALSE, "","Enviado")</f>
        <v/>
      </c>
    </row>
    <row r="408" spans="1:16" x14ac:dyDescent="0.3">
      <c r="A408" s="23" t="s">
        <v>134</v>
      </c>
      <c r="B408" s="4" t="s">
        <v>135</v>
      </c>
      <c r="C408" s="5" t="s">
        <v>216</v>
      </c>
      <c r="D408" s="4" t="s">
        <v>238</v>
      </c>
      <c r="E408" s="51" t="str">
        <f>IF(_xlfn.ISFORMULA('Previsto x realizado'!AW2105) = FALSE, "","Enviado")</f>
        <v>Enviado</v>
      </c>
      <c r="F408" s="51" t="str">
        <f>IF(_xlfn.ISFORMULA('Previsto x realizado'!AX2105) = FALSE, "","Enviado")</f>
        <v>Enviado</v>
      </c>
      <c r="G408" s="51" t="str">
        <f>IF(_xlfn.ISFORMULA('Previsto x realizado'!AY2105) = FALSE, "","Enviado")</f>
        <v>Enviado</v>
      </c>
      <c r="H408" s="51" t="str">
        <f>IF(_xlfn.ISFORMULA('Previsto x realizado'!AZ2105) = FALSE, "","Enviado")</f>
        <v>Enviado</v>
      </c>
      <c r="I408" s="51" t="str">
        <f>IF(_xlfn.ISFORMULA('Previsto x realizado'!BA2105) = FALSE, "","Enviado")</f>
        <v/>
      </c>
      <c r="J408" s="51" t="str">
        <f>IF(_xlfn.ISFORMULA('Previsto x realizado'!BB2105) = FALSE, "","Enviado")</f>
        <v/>
      </c>
      <c r="K408" s="51" t="str">
        <f>IF(_xlfn.ISFORMULA('Previsto x realizado'!BC2105) = FALSE, "","Enviado")</f>
        <v/>
      </c>
      <c r="L408" s="51" t="str">
        <f>IF(_xlfn.ISFORMULA('Previsto x realizado'!BD2105) = FALSE, "","Enviado")</f>
        <v/>
      </c>
      <c r="M408" s="51" t="str">
        <f>IF(_xlfn.ISFORMULA('Previsto x realizado'!BE2105) = FALSE, "","Enviado")</f>
        <v/>
      </c>
      <c r="N408" s="51" t="str">
        <f>IF(_xlfn.ISFORMULA('Previsto x realizado'!BF2105) = FALSE, "","Enviado")</f>
        <v/>
      </c>
      <c r="O408" s="51" t="str">
        <f>IF(_xlfn.ISFORMULA('Previsto x realizado'!BG2105) = FALSE, "","Enviado")</f>
        <v/>
      </c>
      <c r="P408" s="51" t="str">
        <f>IF(_xlfn.ISFORMULA('Previsto x realizado'!BH2105) = FALSE, "","Enviado")</f>
        <v/>
      </c>
    </row>
    <row r="409" spans="1:16" x14ac:dyDescent="0.3">
      <c r="A409" s="42" t="s">
        <v>134</v>
      </c>
      <c r="B409" s="4" t="s">
        <v>135</v>
      </c>
      <c r="C409" s="5" t="s">
        <v>216</v>
      </c>
      <c r="D409" s="4" t="s">
        <v>238</v>
      </c>
      <c r="E409" s="51" t="str">
        <f>IF(_xlfn.ISFORMULA('Previsto x realizado'!AW2110) = FALSE, "","Enviado")</f>
        <v>Enviado</v>
      </c>
      <c r="F409" s="51" t="str">
        <f>IF(_xlfn.ISFORMULA('Previsto x realizado'!AX2110) = FALSE, "","Enviado")</f>
        <v>Enviado</v>
      </c>
      <c r="G409" s="51" t="str">
        <f>IF(_xlfn.ISFORMULA('Previsto x realizado'!AY2110) = FALSE, "","Enviado")</f>
        <v>Enviado</v>
      </c>
      <c r="H409" s="51" t="str">
        <f>IF(_xlfn.ISFORMULA('Previsto x realizado'!AZ2110) = FALSE, "","Enviado")</f>
        <v>Enviado</v>
      </c>
      <c r="I409" s="51" t="str">
        <f>IF(_xlfn.ISFORMULA('Previsto x realizado'!BA2110) = FALSE, "","Enviado")</f>
        <v/>
      </c>
      <c r="J409" s="51" t="str">
        <f>IF(_xlfn.ISFORMULA('Previsto x realizado'!BB2110) = FALSE, "","Enviado")</f>
        <v/>
      </c>
      <c r="K409" s="51" t="str">
        <f>IF(_xlfn.ISFORMULA('Previsto x realizado'!BC2110) = FALSE, "","Enviado")</f>
        <v/>
      </c>
      <c r="L409" s="51" t="str">
        <f>IF(_xlfn.ISFORMULA('Previsto x realizado'!BD2110) = FALSE, "","Enviado")</f>
        <v/>
      </c>
      <c r="M409" s="51" t="str">
        <f>IF(_xlfn.ISFORMULA('Previsto x realizado'!BE2110) = FALSE, "","Enviado")</f>
        <v/>
      </c>
      <c r="N409" s="51" t="str">
        <f>IF(_xlfn.ISFORMULA('Previsto x realizado'!BF2110) = FALSE, "","Enviado")</f>
        <v/>
      </c>
      <c r="O409" s="51" t="str">
        <f>IF(_xlfn.ISFORMULA('Previsto x realizado'!BG2110) = FALSE, "","Enviado")</f>
        <v/>
      </c>
      <c r="P409" s="51" t="str">
        <f>IF(_xlfn.ISFORMULA('Previsto x realizado'!BH2110) = FALSE, "","Enviado")</f>
        <v/>
      </c>
    </row>
    <row r="410" spans="1:16" x14ac:dyDescent="0.3">
      <c r="A410" s="42" t="s">
        <v>134</v>
      </c>
      <c r="B410" s="4" t="s">
        <v>135</v>
      </c>
      <c r="C410" s="5" t="s">
        <v>216</v>
      </c>
      <c r="D410" s="4" t="s">
        <v>238</v>
      </c>
      <c r="E410" s="51" t="str">
        <f>IF(_xlfn.ISFORMULA('Previsto x realizado'!AW2115) = FALSE, "","Enviado")</f>
        <v>Enviado</v>
      </c>
      <c r="F410" s="51" t="str">
        <f>IF(_xlfn.ISFORMULA('Previsto x realizado'!AX2115) = FALSE, "","Enviado")</f>
        <v>Enviado</v>
      </c>
      <c r="G410" s="51" t="str">
        <f>IF(_xlfn.ISFORMULA('Previsto x realizado'!AY2115) = FALSE, "","Enviado")</f>
        <v>Enviado</v>
      </c>
      <c r="H410" s="51" t="str">
        <f>IF(_xlfn.ISFORMULA('Previsto x realizado'!AZ2115) = FALSE, "","Enviado")</f>
        <v>Enviado</v>
      </c>
      <c r="I410" s="51" t="str">
        <f>IF(_xlfn.ISFORMULA('Previsto x realizado'!BA2115) = FALSE, "","Enviado")</f>
        <v/>
      </c>
      <c r="J410" s="51" t="str">
        <f>IF(_xlfn.ISFORMULA('Previsto x realizado'!BB2115) = FALSE, "","Enviado")</f>
        <v/>
      </c>
      <c r="K410" s="51" t="str">
        <f>IF(_xlfn.ISFORMULA('Previsto x realizado'!BC2115) = FALSE, "","Enviado")</f>
        <v/>
      </c>
      <c r="L410" s="51" t="str">
        <f>IF(_xlfn.ISFORMULA('Previsto x realizado'!BD2115) = FALSE, "","Enviado")</f>
        <v/>
      </c>
      <c r="M410" s="51" t="str">
        <f>IF(_xlfn.ISFORMULA('Previsto x realizado'!BE2115) = FALSE, "","Enviado")</f>
        <v/>
      </c>
      <c r="N410" s="51" t="str">
        <f>IF(_xlfn.ISFORMULA('Previsto x realizado'!BF2115) = FALSE, "","Enviado")</f>
        <v/>
      </c>
      <c r="O410" s="51" t="str">
        <f>IF(_xlfn.ISFORMULA('Previsto x realizado'!BG2115) = FALSE, "","Enviado")</f>
        <v/>
      </c>
      <c r="P410" s="51" t="str">
        <f>IF(_xlfn.ISFORMULA('Previsto x realizado'!BH2115) = FALSE, "","Enviado")</f>
        <v/>
      </c>
    </row>
    <row r="411" spans="1:16" x14ac:dyDescent="0.3">
      <c r="A411" s="23" t="s">
        <v>134</v>
      </c>
      <c r="B411" s="4" t="s">
        <v>142</v>
      </c>
      <c r="C411" s="5" t="s">
        <v>216</v>
      </c>
      <c r="D411" s="4" t="s">
        <v>238</v>
      </c>
      <c r="E411" s="51" t="str">
        <f>IF(_xlfn.ISFORMULA('Previsto x realizado'!AW2120) = FALSE, "","Enviado")</f>
        <v>Enviado</v>
      </c>
      <c r="F411" s="51" t="str">
        <f>IF(_xlfn.ISFORMULA('Previsto x realizado'!AX2120) = FALSE, "","Enviado")</f>
        <v>Enviado</v>
      </c>
      <c r="G411" s="51" t="str">
        <f>IF(_xlfn.ISFORMULA('Previsto x realizado'!AY2120) = FALSE, "","Enviado")</f>
        <v>Enviado</v>
      </c>
      <c r="H411" s="51" t="str">
        <f>IF(_xlfn.ISFORMULA('Previsto x realizado'!AZ2120) = FALSE, "","Enviado")</f>
        <v>Enviado</v>
      </c>
      <c r="I411" s="51" t="str">
        <f>IF(_xlfn.ISFORMULA('Previsto x realizado'!BA2120) = FALSE, "","Enviado")</f>
        <v/>
      </c>
      <c r="J411" s="51" t="str">
        <f>IF(_xlfn.ISFORMULA('Previsto x realizado'!BB2120) = FALSE, "","Enviado")</f>
        <v/>
      </c>
      <c r="K411" s="51" t="str">
        <f>IF(_xlfn.ISFORMULA('Previsto x realizado'!BC2120) = FALSE, "","Enviado")</f>
        <v/>
      </c>
      <c r="L411" s="51" t="str">
        <f>IF(_xlfn.ISFORMULA('Previsto x realizado'!BD2120) = FALSE, "","Enviado")</f>
        <v/>
      </c>
      <c r="M411" s="51" t="str">
        <f>IF(_xlfn.ISFORMULA('Previsto x realizado'!BE2120) = FALSE, "","Enviado")</f>
        <v/>
      </c>
      <c r="N411" s="51" t="str">
        <f>IF(_xlfn.ISFORMULA('Previsto x realizado'!BF2120) = FALSE, "","Enviado")</f>
        <v/>
      </c>
      <c r="O411" s="51" t="str">
        <f>IF(_xlfn.ISFORMULA('Previsto x realizado'!BG2120) = FALSE, "","Enviado")</f>
        <v/>
      </c>
      <c r="P411" s="51" t="str">
        <f>IF(_xlfn.ISFORMULA('Previsto x realizado'!BH2120) = FALSE, "","Enviado")</f>
        <v/>
      </c>
    </row>
    <row r="412" spans="1:16" x14ac:dyDescent="0.3">
      <c r="A412" s="42" t="s">
        <v>134</v>
      </c>
      <c r="B412" s="4" t="s">
        <v>142</v>
      </c>
      <c r="C412" s="5" t="s">
        <v>216</v>
      </c>
      <c r="D412" s="4" t="s">
        <v>238</v>
      </c>
      <c r="E412" s="51" t="str">
        <f>IF(_xlfn.ISFORMULA('Previsto x realizado'!AW2125) = FALSE, "","Enviado")</f>
        <v>Enviado</v>
      </c>
      <c r="F412" s="51" t="str">
        <f>IF(_xlfn.ISFORMULA('Previsto x realizado'!AX2125) = FALSE, "","Enviado")</f>
        <v>Enviado</v>
      </c>
      <c r="G412" s="51" t="str">
        <f>IF(_xlfn.ISFORMULA('Previsto x realizado'!AY2125) = FALSE, "","Enviado")</f>
        <v>Enviado</v>
      </c>
      <c r="H412" s="51" t="str">
        <f>IF(_xlfn.ISFORMULA('Previsto x realizado'!AZ2125) = FALSE, "","Enviado")</f>
        <v>Enviado</v>
      </c>
      <c r="I412" s="51" t="str">
        <f>IF(_xlfn.ISFORMULA('Previsto x realizado'!BA2125) = FALSE, "","Enviado")</f>
        <v/>
      </c>
      <c r="J412" s="51" t="str">
        <f>IF(_xlfn.ISFORMULA('Previsto x realizado'!BB2125) = FALSE, "","Enviado")</f>
        <v/>
      </c>
      <c r="K412" s="51" t="str">
        <f>IF(_xlfn.ISFORMULA('Previsto x realizado'!BC2125) = FALSE, "","Enviado")</f>
        <v/>
      </c>
      <c r="L412" s="51" t="str">
        <f>IF(_xlfn.ISFORMULA('Previsto x realizado'!BD2125) = FALSE, "","Enviado")</f>
        <v/>
      </c>
      <c r="M412" s="51" t="str">
        <f>IF(_xlfn.ISFORMULA('Previsto x realizado'!BE2125) = FALSE, "","Enviado")</f>
        <v/>
      </c>
      <c r="N412" s="51" t="str">
        <f>IF(_xlfn.ISFORMULA('Previsto x realizado'!BF2125) = FALSE, "","Enviado")</f>
        <v/>
      </c>
      <c r="O412" s="51" t="str">
        <f>IF(_xlfn.ISFORMULA('Previsto x realizado'!BG2125) = FALSE, "","Enviado")</f>
        <v/>
      </c>
      <c r="P412" s="51" t="str">
        <f>IF(_xlfn.ISFORMULA('Previsto x realizado'!BH2125) = FALSE, "","Enviado")</f>
        <v/>
      </c>
    </row>
    <row r="413" spans="1:16" x14ac:dyDescent="0.3">
      <c r="A413" s="25" t="s">
        <v>134</v>
      </c>
      <c r="B413" s="15" t="s">
        <v>150</v>
      </c>
      <c r="C413" s="5" t="s">
        <v>216</v>
      </c>
      <c r="D413" s="4" t="s">
        <v>238</v>
      </c>
      <c r="E413" s="51" t="str">
        <f>IF(_xlfn.ISFORMULA('Previsto x realizado'!AW2130) = FALSE, "","Enviado")</f>
        <v>Enviado</v>
      </c>
      <c r="F413" s="51" t="str">
        <f>IF(_xlfn.ISFORMULA('Previsto x realizado'!AX2130) = FALSE, "","Enviado")</f>
        <v>Enviado</v>
      </c>
      <c r="G413" s="51" t="str">
        <f>IF(_xlfn.ISFORMULA('Previsto x realizado'!AY2130) = FALSE, "","Enviado")</f>
        <v>Enviado</v>
      </c>
      <c r="H413" s="51" t="str">
        <f>IF(_xlfn.ISFORMULA('Previsto x realizado'!AZ2130) = FALSE, "","Enviado")</f>
        <v>Enviado</v>
      </c>
      <c r="I413" s="51" t="str">
        <f>IF(_xlfn.ISFORMULA('Previsto x realizado'!BA2130) = FALSE, "","Enviado")</f>
        <v/>
      </c>
      <c r="J413" s="51" t="str">
        <f>IF(_xlfn.ISFORMULA('Previsto x realizado'!BB2130) = FALSE, "","Enviado")</f>
        <v/>
      </c>
      <c r="K413" s="51" t="str">
        <f>IF(_xlfn.ISFORMULA('Previsto x realizado'!BC2130) = FALSE, "","Enviado")</f>
        <v/>
      </c>
      <c r="L413" s="51" t="str">
        <f>IF(_xlfn.ISFORMULA('Previsto x realizado'!BD2130) = FALSE, "","Enviado")</f>
        <v/>
      </c>
      <c r="M413" s="51" t="str">
        <f>IF(_xlfn.ISFORMULA('Previsto x realizado'!BE2130) = FALSE, "","Enviado")</f>
        <v/>
      </c>
      <c r="N413" s="51" t="str">
        <f>IF(_xlfn.ISFORMULA('Previsto x realizado'!BF2130) = FALSE, "","Enviado")</f>
        <v/>
      </c>
      <c r="O413" s="51" t="str">
        <f>IF(_xlfn.ISFORMULA('Previsto x realizado'!BG2130) = FALSE, "","Enviado")</f>
        <v/>
      </c>
      <c r="P413" s="51" t="str">
        <f>IF(_xlfn.ISFORMULA('Previsto x realizado'!BH2130) = FALSE, "","Enviado")</f>
        <v/>
      </c>
    </row>
    <row r="414" spans="1:16" x14ac:dyDescent="0.3">
      <c r="A414" s="23" t="s">
        <v>134</v>
      </c>
      <c r="B414" s="4" t="s">
        <v>150</v>
      </c>
      <c r="C414" s="5" t="s">
        <v>216</v>
      </c>
      <c r="D414" s="4" t="s">
        <v>238</v>
      </c>
      <c r="E414" s="51" t="str">
        <f>IF(_xlfn.ISFORMULA('Previsto x realizado'!AW2135) = FALSE, "","Enviado")</f>
        <v>Enviado</v>
      </c>
      <c r="F414" s="51" t="str">
        <f>IF(_xlfn.ISFORMULA('Previsto x realizado'!AX2135) = FALSE, "","Enviado")</f>
        <v>Enviado</v>
      </c>
      <c r="G414" s="51" t="str">
        <f>IF(_xlfn.ISFORMULA('Previsto x realizado'!AY2135) = FALSE, "","Enviado")</f>
        <v>Enviado</v>
      </c>
      <c r="H414" s="51" t="str">
        <f>IF(_xlfn.ISFORMULA('Previsto x realizado'!AZ2135) = FALSE, "","Enviado")</f>
        <v>Enviado</v>
      </c>
      <c r="I414" s="51" t="str">
        <f>IF(_xlfn.ISFORMULA('Previsto x realizado'!BA2135) = FALSE, "","Enviado")</f>
        <v/>
      </c>
      <c r="J414" s="51" t="str">
        <f>IF(_xlfn.ISFORMULA('Previsto x realizado'!BB2135) = FALSE, "","Enviado")</f>
        <v/>
      </c>
      <c r="K414" s="51" t="str">
        <f>IF(_xlfn.ISFORMULA('Previsto x realizado'!BC2135) = FALSE, "","Enviado")</f>
        <v/>
      </c>
      <c r="L414" s="51" t="str">
        <f>IF(_xlfn.ISFORMULA('Previsto x realizado'!BD2135) = FALSE, "","Enviado")</f>
        <v/>
      </c>
      <c r="M414" s="51" t="str">
        <f>IF(_xlfn.ISFORMULA('Previsto x realizado'!BE2135) = FALSE, "","Enviado")</f>
        <v/>
      </c>
      <c r="N414" s="51" t="str">
        <f>IF(_xlfn.ISFORMULA('Previsto x realizado'!BF2135) = FALSE, "","Enviado")</f>
        <v/>
      </c>
      <c r="O414" s="51" t="str">
        <f>IF(_xlfn.ISFORMULA('Previsto x realizado'!BG2135) = FALSE, "","Enviado")</f>
        <v/>
      </c>
      <c r="P414" s="51" t="str">
        <f>IF(_xlfn.ISFORMULA('Previsto x realizado'!BH2135) = FALSE, "","Enviado")</f>
        <v/>
      </c>
    </row>
    <row r="415" spans="1:16" x14ac:dyDescent="0.3">
      <c r="A415" s="23" t="s">
        <v>134</v>
      </c>
      <c r="B415" s="4" t="s">
        <v>150</v>
      </c>
      <c r="C415" s="5" t="s">
        <v>216</v>
      </c>
      <c r="D415" s="4" t="s">
        <v>238</v>
      </c>
      <c r="E415" s="51" t="str">
        <f>IF(_xlfn.ISFORMULA('Previsto x realizado'!AW2140) = FALSE, "","Enviado")</f>
        <v>Enviado</v>
      </c>
      <c r="F415" s="51" t="str">
        <f>IF(_xlfn.ISFORMULA('Previsto x realizado'!AX2140) = FALSE, "","Enviado")</f>
        <v>Enviado</v>
      </c>
      <c r="G415" s="51" t="str">
        <f>IF(_xlfn.ISFORMULA('Previsto x realizado'!AY2140) = FALSE, "","Enviado")</f>
        <v>Enviado</v>
      </c>
      <c r="H415" s="51" t="str">
        <f>IF(_xlfn.ISFORMULA('Previsto x realizado'!AZ2140) = FALSE, "","Enviado")</f>
        <v>Enviado</v>
      </c>
      <c r="I415" s="51" t="str">
        <f>IF(_xlfn.ISFORMULA('Previsto x realizado'!BA2140) = FALSE, "","Enviado")</f>
        <v/>
      </c>
      <c r="J415" s="51" t="str">
        <f>IF(_xlfn.ISFORMULA('Previsto x realizado'!BB2140) = FALSE, "","Enviado")</f>
        <v/>
      </c>
      <c r="K415" s="51" t="str">
        <f>IF(_xlfn.ISFORMULA('Previsto x realizado'!BC2140) = FALSE, "","Enviado")</f>
        <v/>
      </c>
      <c r="L415" s="51" t="str">
        <f>IF(_xlfn.ISFORMULA('Previsto x realizado'!BD2140) = FALSE, "","Enviado")</f>
        <v/>
      </c>
      <c r="M415" s="51" t="str">
        <f>IF(_xlfn.ISFORMULA('Previsto x realizado'!BE2140) = FALSE, "","Enviado")</f>
        <v/>
      </c>
      <c r="N415" s="51" t="str">
        <f>IF(_xlfn.ISFORMULA('Previsto x realizado'!BF2140) = FALSE, "","Enviado")</f>
        <v/>
      </c>
      <c r="O415" s="51" t="str">
        <f>IF(_xlfn.ISFORMULA('Previsto x realizado'!BG2140) = FALSE, "","Enviado")</f>
        <v/>
      </c>
      <c r="P415" s="51" t="str">
        <f>IF(_xlfn.ISFORMULA('Previsto x realizado'!BH2140) = FALSE, "","Enviado")</f>
        <v/>
      </c>
    </row>
    <row r="416" spans="1:16" x14ac:dyDescent="0.3">
      <c r="A416" s="43" t="s">
        <v>134</v>
      </c>
      <c r="B416" s="15" t="s">
        <v>150</v>
      </c>
      <c r="C416" s="5" t="s">
        <v>216</v>
      </c>
      <c r="D416" s="4" t="s">
        <v>238</v>
      </c>
      <c r="E416" s="51" t="str">
        <f>IF(_xlfn.ISFORMULA('Previsto x realizado'!AW2145) = FALSE, "","Enviado")</f>
        <v>Enviado</v>
      </c>
      <c r="F416" s="51" t="str">
        <f>IF(_xlfn.ISFORMULA('Previsto x realizado'!AX2145) = FALSE, "","Enviado")</f>
        <v>Enviado</v>
      </c>
      <c r="G416" s="51" t="str">
        <f>IF(_xlfn.ISFORMULA('Previsto x realizado'!AY2145) = FALSE, "","Enviado")</f>
        <v>Enviado</v>
      </c>
      <c r="H416" s="51" t="str">
        <f>IF(_xlfn.ISFORMULA('Previsto x realizado'!AZ2145) = FALSE, "","Enviado")</f>
        <v>Enviado</v>
      </c>
      <c r="I416" s="51" t="str">
        <f>IF(_xlfn.ISFORMULA('Previsto x realizado'!BA2145) = FALSE, "","Enviado")</f>
        <v/>
      </c>
      <c r="J416" s="51" t="str">
        <f>IF(_xlfn.ISFORMULA('Previsto x realizado'!BB2145) = FALSE, "","Enviado")</f>
        <v/>
      </c>
      <c r="K416" s="51" t="str">
        <f>IF(_xlfn.ISFORMULA('Previsto x realizado'!BC2145) = FALSE, "","Enviado")</f>
        <v/>
      </c>
      <c r="L416" s="51" t="str">
        <f>IF(_xlfn.ISFORMULA('Previsto x realizado'!BD2145) = FALSE, "","Enviado")</f>
        <v/>
      </c>
      <c r="M416" s="51" t="str">
        <f>IF(_xlfn.ISFORMULA('Previsto x realizado'!BE2145) = FALSE, "","Enviado")</f>
        <v/>
      </c>
      <c r="N416" s="51" t="str">
        <f>IF(_xlfn.ISFORMULA('Previsto x realizado'!BF2145) = FALSE, "","Enviado")</f>
        <v/>
      </c>
      <c r="O416" s="51" t="str">
        <f>IF(_xlfn.ISFORMULA('Previsto x realizado'!BG2145) = FALSE, "","Enviado")</f>
        <v/>
      </c>
      <c r="P416" s="51" t="str">
        <f>IF(_xlfn.ISFORMULA('Previsto x realizado'!BH2145) = FALSE, "","Enviado")</f>
        <v/>
      </c>
    </row>
    <row r="417" spans="1:16" x14ac:dyDescent="0.3">
      <c r="A417" s="38" t="s">
        <v>134</v>
      </c>
      <c r="B417" s="4" t="s">
        <v>158</v>
      </c>
      <c r="C417" s="5" t="s">
        <v>216</v>
      </c>
      <c r="D417" s="4" t="s">
        <v>238</v>
      </c>
      <c r="E417" s="51" t="str">
        <f>IF(_xlfn.ISFORMULA('Previsto x realizado'!AW2150) = FALSE, "","Enviado")</f>
        <v>Enviado</v>
      </c>
      <c r="F417" s="51" t="str">
        <f>IF(_xlfn.ISFORMULA('Previsto x realizado'!AX2150) = FALSE, "","Enviado")</f>
        <v>Enviado</v>
      </c>
      <c r="G417" s="51" t="str">
        <f>IF(_xlfn.ISFORMULA('Previsto x realizado'!AY2150) = FALSE, "","Enviado")</f>
        <v>Enviado</v>
      </c>
      <c r="H417" s="51" t="str">
        <f>IF(_xlfn.ISFORMULA('Previsto x realizado'!AZ2150) = FALSE, "","Enviado")</f>
        <v>Enviado</v>
      </c>
      <c r="I417" s="51" t="str">
        <f>IF(_xlfn.ISFORMULA('Previsto x realizado'!BA2150) = FALSE, "","Enviado")</f>
        <v/>
      </c>
      <c r="J417" s="51" t="str">
        <f>IF(_xlfn.ISFORMULA('Previsto x realizado'!BB2150) = FALSE, "","Enviado")</f>
        <v/>
      </c>
      <c r="K417" s="51" t="str">
        <f>IF(_xlfn.ISFORMULA('Previsto x realizado'!BC2150) = FALSE, "","Enviado")</f>
        <v/>
      </c>
      <c r="L417" s="51" t="str">
        <f>IF(_xlfn.ISFORMULA('Previsto x realizado'!BD2150) = FALSE, "","Enviado")</f>
        <v/>
      </c>
      <c r="M417" s="51" t="str">
        <f>IF(_xlfn.ISFORMULA('Previsto x realizado'!BE2150) = FALSE, "","Enviado")</f>
        <v/>
      </c>
      <c r="N417" s="51" t="str">
        <f>IF(_xlfn.ISFORMULA('Previsto x realizado'!BF2150) = FALSE, "","Enviado")</f>
        <v/>
      </c>
      <c r="O417" s="51" t="str">
        <f>IF(_xlfn.ISFORMULA('Previsto x realizado'!BG2150) = FALSE, "","Enviado")</f>
        <v/>
      </c>
      <c r="P417" s="51" t="str">
        <f>IF(_xlfn.ISFORMULA('Previsto x realizado'!BH2150) = FALSE, "","Enviado")</f>
        <v/>
      </c>
    </row>
    <row r="418" spans="1:16" x14ac:dyDescent="0.3">
      <c r="A418" s="23" t="s">
        <v>134</v>
      </c>
      <c r="B418" s="4" t="s">
        <v>158</v>
      </c>
      <c r="C418" s="5" t="s">
        <v>216</v>
      </c>
      <c r="D418" s="4" t="s">
        <v>238</v>
      </c>
      <c r="E418" s="51" t="str">
        <f>IF(_xlfn.ISFORMULA('Previsto x realizado'!AW2155) = FALSE, "","Enviado")</f>
        <v>Enviado</v>
      </c>
      <c r="F418" s="51" t="str">
        <f>IF(_xlfn.ISFORMULA('Previsto x realizado'!AX2155) = FALSE, "","Enviado")</f>
        <v>Enviado</v>
      </c>
      <c r="G418" s="51" t="str">
        <f>IF(_xlfn.ISFORMULA('Previsto x realizado'!AY2155) = FALSE, "","Enviado")</f>
        <v>Enviado</v>
      </c>
      <c r="H418" s="51" t="str">
        <f>IF(_xlfn.ISFORMULA('Previsto x realizado'!AZ2155) = FALSE, "","Enviado")</f>
        <v>Enviado</v>
      </c>
      <c r="I418" s="51" t="str">
        <f>IF(_xlfn.ISFORMULA('Previsto x realizado'!BA2155) = FALSE, "","Enviado")</f>
        <v/>
      </c>
      <c r="J418" s="51" t="str">
        <f>IF(_xlfn.ISFORMULA('Previsto x realizado'!BB2155) = FALSE, "","Enviado")</f>
        <v/>
      </c>
      <c r="K418" s="51" t="str">
        <f>IF(_xlfn.ISFORMULA('Previsto x realizado'!BC2155) = FALSE, "","Enviado")</f>
        <v/>
      </c>
      <c r="L418" s="51" t="str">
        <f>IF(_xlfn.ISFORMULA('Previsto x realizado'!BD2155) = FALSE, "","Enviado")</f>
        <v/>
      </c>
      <c r="M418" s="51" t="str">
        <f>IF(_xlfn.ISFORMULA('Previsto x realizado'!BE2155) = FALSE, "","Enviado")</f>
        <v/>
      </c>
      <c r="N418" s="51" t="str">
        <f>IF(_xlfn.ISFORMULA('Previsto x realizado'!BF2155) = FALSE, "","Enviado")</f>
        <v/>
      </c>
      <c r="O418" s="51" t="str">
        <f>IF(_xlfn.ISFORMULA('Previsto x realizado'!BG2155) = FALSE, "","Enviado")</f>
        <v/>
      </c>
      <c r="P418" s="51" t="str">
        <f>IF(_xlfn.ISFORMULA('Previsto x realizado'!BH2155) = FALSE, "","Enviado")</f>
        <v/>
      </c>
    </row>
    <row r="419" spans="1:16" x14ac:dyDescent="0.3">
      <c r="A419" s="42" t="s">
        <v>134</v>
      </c>
      <c r="B419" s="4" t="s">
        <v>158</v>
      </c>
      <c r="C419" s="5" t="s">
        <v>216</v>
      </c>
      <c r="D419" s="4" t="s">
        <v>238</v>
      </c>
      <c r="E419" s="51" t="str">
        <f>IF(_xlfn.ISFORMULA('Previsto x realizado'!AW2160) = FALSE, "","Enviado")</f>
        <v>Enviado</v>
      </c>
      <c r="F419" s="51" t="str">
        <f>IF(_xlfn.ISFORMULA('Previsto x realizado'!AX2160) = FALSE, "","Enviado")</f>
        <v>Enviado</v>
      </c>
      <c r="G419" s="51" t="str">
        <f>IF(_xlfn.ISFORMULA('Previsto x realizado'!AY2160) = FALSE, "","Enviado")</f>
        <v>Enviado</v>
      </c>
      <c r="H419" s="51" t="str">
        <f>IF(_xlfn.ISFORMULA('Previsto x realizado'!AZ2160) = FALSE, "","Enviado")</f>
        <v>Enviado</v>
      </c>
      <c r="I419" s="51" t="str">
        <f>IF(_xlfn.ISFORMULA('Previsto x realizado'!BA2160) = FALSE, "","Enviado")</f>
        <v/>
      </c>
      <c r="J419" s="51" t="str">
        <f>IF(_xlfn.ISFORMULA('Previsto x realizado'!BB2160) = FALSE, "","Enviado")</f>
        <v/>
      </c>
      <c r="K419" s="51" t="str">
        <f>IF(_xlfn.ISFORMULA('Previsto x realizado'!BC2160) = FALSE, "","Enviado")</f>
        <v/>
      </c>
      <c r="L419" s="51" t="str">
        <f>IF(_xlfn.ISFORMULA('Previsto x realizado'!BD2160) = FALSE, "","Enviado")</f>
        <v/>
      </c>
      <c r="M419" s="51" t="str">
        <f>IF(_xlfn.ISFORMULA('Previsto x realizado'!BE2160) = FALSE, "","Enviado")</f>
        <v/>
      </c>
      <c r="N419" s="51" t="str">
        <f>IF(_xlfn.ISFORMULA('Previsto x realizado'!BF2160) = FALSE, "","Enviado")</f>
        <v/>
      </c>
      <c r="O419" s="51" t="str">
        <f>IF(_xlfn.ISFORMULA('Previsto x realizado'!BG2160) = FALSE, "","Enviado")</f>
        <v/>
      </c>
      <c r="P419" s="51" t="str">
        <f>IF(_xlfn.ISFORMULA('Previsto x realizado'!BH2160) = FALSE, "","Enviado")</f>
        <v/>
      </c>
    </row>
    <row r="420" spans="1:16" x14ac:dyDescent="0.3">
      <c r="A420" s="23" t="s">
        <v>134</v>
      </c>
      <c r="B420" s="4" t="s">
        <v>167</v>
      </c>
      <c r="C420" s="5" t="s">
        <v>216</v>
      </c>
      <c r="D420" s="4" t="s">
        <v>238</v>
      </c>
      <c r="E420" s="51" t="str">
        <f>IF(_xlfn.ISFORMULA('Previsto x realizado'!AW2165) = FALSE, "","Enviado")</f>
        <v>Enviado</v>
      </c>
      <c r="F420" s="51" t="str">
        <f>IF(_xlfn.ISFORMULA('Previsto x realizado'!AX2165) = FALSE, "","Enviado")</f>
        <v>Enviado</v>
      </c>
      <c r="G420" s="51" t="str">
        <f>IF(_xlfn.ISFORMULA('Previsto x realizado'!AY2165) = FALSE, "","Enviado")</f>
        <v>Enviado</v>
      </c>
      <c r="H420" s="51" t="str">
        <f>IF(_xlfn.ISFORMULA('Previsto x realizado'!AZ2165) = FALSE, "","Enviado")</f>
        <v>Enviado</v>
      </c>
      <c r="I420" s="51" t="str">
        <f>IF(_xlfn.ISFORMULA('Previsto x realizado'!BA2165) = FALSE, "","Enviado")</f>
        <v/>
      </c>
      <c r="J420" s="51" t="str">
        <f>IF(_xlfn.ISFORMULA('Previsto x realizado'!BB2165) = FALSE, "","Enviado")</f>
        <v/>
      </c>
      <c r="K420" s="51" t="str">
        <f>IF(_xlfn.ISFORMULA('Previsto x realizado'!BC2165) = FALSE, "","Enviado")</f>
        <v/>
      </c>
      <c r="L420" s="51" t="str">
        <f>IF(_xlfn.ISFORMULA('Previsto x realizado'!BD2165) = FALSE, "","Enviado")</f>
        <v/>
      </c>
      <c r="M420" s="51" t="str">
        <f>IF(_xlfn.ISFORMULA('Previsto x realizado'!BE2165) = FALSE, "","Enviado")</f>
        <v/>
      </c>
      <c r="N420" s="51" t="str">
        <f>IF(_xlfn.ISFORMULA('Previsto x realizado'!BF2165) = FALSE, "","Enviado")</f>
        <v/>
      </c>
      <c r="O420" s="51" t="str">
        <f>IF(_xlfn.ISFORMULA('Previsto x realizado'!BG2165) = FALSE, "","Enviado")</f>
        <v/>
      </c>
      <c r="P420" s="51" t="str">
        <f>IF(_xlfn.ISFORMULA('Previsto x realizado'!BH2165) = FALSE, "","Enviado")</f>
        <v/>
      </c>
    </row>
    <row r="421" spans="1:16" x14ac:dyDescent="0.3">
      <c r="A421" s="23" t="s">
        <v>134</v>
      </c>
      <c r="B421" s="4" t="s">
        <v>167</v>
      </c>
      <c r="C421" s="5" t="s">
        <v>216</v>
      </c>
      <c r="D421" s="4" t="s">
        <v>238</v>
      </c>
      <c r="E421" s="51" t="str">
        <f>IF(_xlfn.ISFORMULA('Previsto x realizado'!AW2170) = FALSE, "","Enviado")</f>
        <v>Enviado</v>
      </c>
      <c r="F421" s="51" t="str">
        <f>IF(_xlfn.ISFORMULA('Previsto x realizado'!AX2170) = FALSE, "","Enviado")</f>
        <v>Enviado</v>
      </c>
      <c r="G421" s="51" t="str">
        <f>IF(_xlfn.ISFORMULA('Previsto x realizado'!AY2170) = FALSE, "","Enviado")</f>
        <v>Enviado</v>
      </c>
      <c r="H421" s="51" t="str">
        <f>IF(_xlfn.ISFORMULA('Previsto x realizado'!AZ2170) = FALSE, "","Enviado")</f>
        <v>Enviado</v>
      </c>
      <c r="I421" s="51" t="str">
        <f>IF(_xlfn.ISFORMULA('Previsto x realizado'!BA2170) = FALSE, "","Enviado")</f>
        <v/>
      </c>
      <c r="J421" s="51" t="str">
        <f>IF(_xlfn.ISFORMULA('Previsto x realizado'!BB2170) = FALSE, "","Enviado")</f>
        <v/>
      </c>
      <c r="K421" s="51" t="str">
        <f>IF(_xlfn.ISFORMULA('Previsto x realizado'!BC2170) = FALSE, "","Enviado")</f>
        <v/>
      </c>
      <c r="L421" s="51" t="str">
        <f>IF(_xlfn.ISFORMULA('Previsto x realizado'!BD2170) = FALSE, "","Enviado")</f>
        <v/>
      </c>
      <c r="M421" s="51" t="str">
        <f>IF(_xlfn.ISFORMULA('Previsto x realizado'!BE2170) = FALSE, "","Enviado")</f>
        <v/>
      </c>
      <c r="N421" s="51" t="str">
        <f>IF(_xlfn.ISFORMULA('Previsto x realizado'!BF2170) = FALSE, "","Enviado")</f>
        <v/>
      </c>
      <c r="O421" s="51" t="str">
        <f>IF(_xlfn.ISFORMULA('Previsto x realizado'!BG2170) = FALSE, "","Enviado")</f>
        <v/>
      </c>
      <c r="P421" s="51" t="str">
        <f>IF(_xlfn.ISFORMULA('Previsto x realizado'!BH2170) = FALSE, "","Enviado")</f>
        <v/>
      </c>
    </row>
    <row r="422" spans="1:16" ht="27.6" x14ac:dyDescent="0.3">
      <c r="A422" s="23" t="s">
        <v>134</v>
      </c>
      <c r="B422" s="4" t="s">
        <v>174</v>
      </c>
      <c r="C422" s="5" t="s">
        <v>216</v>
      </c>
      <c r="D422" s="4" t="s">
        <v>267</v>
      </c>
      <c r="E422" s="51" t="str">
        <f>IF(_xlfn.ISFORMULA('Previsto x realizado'!AW2175) = FALSE, "","Enviado")</f>
        <v>Enviado</v>
      </c>
      <c r="F422" s="51" t="str">
        <f>IF(_xlfn.ISFORMULA('Previsto x realizado'!AX2175) = FALSE, "","Enviado")</f>
        <v>Enviado</v>
      </c>
      <c r="G422" s="51" t="str">
        <f>IF(_xlfn.ISFORMULA('Previsto x realizado'!AY2175) = FALSE, "","Enviado")</f>
        <v>Enviado</v>
      </c>
      <c r="H422" s="51" t="str">
        <f>IF(_xlfn.ISFORMULA('Previsto x realizado'!AZ2175) = FALSE, "","Enviado")</f>
        <v>Enviado</v>
      </c>
      <c r="I422" s="51" t="str">
        <f>IF(_xlfn.ISFORMULA('Previsto x realizado'!BA2175) = FALSE, "","Enviado")</f>
        <v/>
      </c>
      <c r="J422" s="51" t="str">
        <f>IF(_xlfn.ISFORMULA('Previsto x realizado'!BB2175) = FALSE, "","Enviado")</f>
        <v/>
      </c>
      <c r="K422" s="51" t="str">
        <f>IF(_xlfn.ISFORMULA('Previsto x realizado'!BC2175) = FALSE, "","Enviado")</f>
        <v/>
      </c>
      <c r="L422" s="51" t="str">
        <f>IF(_xlfn.ISFORMULA('Previsto x realizado'!BD2175) = FALSE, "","Enviado")</f>
        <v/>
      </c>
      <c r="M422" s="51" t="str">
        <f>IF(_xlfn.ISFORMULA('Previsto x realizado'!BE2175) = FALSE, "","Enviado")</f>
        <v/>
      </c>
      <c r="N422" s="51" t="str">
        <f>IF(_xlfn.ISFORMULA('Previsto x realizado'!BF2175) = FALSE, "","Enviado")</f>
        <v/>
      </c>
      <c r="O422" s="51" t="str">
        <f>IF(_xlfn.ISFORMULA('Previsto x realizado'!BG2175) = FALSE, "","Enviado")</f>
        <v/>
      </c>
      <c r="P422" s="51" t="str">
        <f>IF(_xlfn.ISFORMULA('Previsto x realizado'!BH2175) = FALSE, "","Enviado")</f>
        <v/>
      </c>
    </row>
    <row r="423" spans="1:16" ht="27.6" x14ac:dyDescent="0.3">
      <c r="A423" s="23" t="s">
        <v>134</v>
      </c>
      <c r="B423" s="4" t="s">
        <v>174</v>
      </c>
      <c r="C423" s="5" t="s">
        <v>216</v>
      </c>
      <c r="D423" s="4" t="s">
        <v>267</v>
      </c>
      <c r="E423" s="51" t="str">
        <f>IF(_xlfn.ISFORMULA('Previsto x realizado'!AW2184) = FALSE, "","Enviado")</f>
        <v>Enviado</v>
      </c>
      <c r="F423" s="51" t="str">
        <f>IF(_xlfn.ISFORMULA('Previsto x realizado'!AX2184) = FALSE, "","Enviado")</f>
        <v>Enviado</v>
      </c>
      <c r="G423" s="51" t="str">
        <f>IF(_xlfn.ISFORMULA('Previsto x realizado'!AY2184) = FALSE, "","Enviado")</f>
        <v>Enviado</v>
      </c>
      <c r="H423" s="51" t="str">
        <f>IF(_xlfn.ISFORMULA('Previsto x realizado'!AZ2184) = FALSE, "","Enviado")</f>
        <v>Enviado</v>
      </c>
      <c r="I423" s="51" t="str">
        <f>IF(_xlfn.ISFORMULA('Previsto x realizado'!BA2184) = FALSE, "","Enviado")</f>
        <v/>
      </c>
      <c r="J423" s="51" t="str">
        <f>IF(_xlfn.ISFORMULA('Previsto x realizado'!BB2184) = FALSE, "","Enviado")</f>
        <v/>
      </c>
      <c r="K423" s="51" t="str">
        <f>IF(_xlfn.ISFORMULA('Previsto x realizado'!BC2184) = FALSE, "","Enviado")</f>
        <v/>
      </c>
      <c r="L423" s="51" t="str">
        <f>IF(_xlfn.ISFORMULA('Previsto x realizado'!BD2184) = FALSE, "","Enviado")</f>
        <v/>
      </c>
      <c r="M423" s="51" t="str">
        <f>IF(_xlfn.ISFORMULA('Previsto x realizado'!BE2184) = FALSE, "","Enviado")</f>
        <v/>
      </c>
      <c r="N423" s="51" t="str">
        <f>IF(_xlfn.ISFORMULA('Previsto x realizado'!BF2184) = FALSE, "","Enviado")</f>
        <v/>
      </c>
      <c r="O423" s="51" t="str">
        <f>IF(_xlfn.ISFORMULA('Previsto x realizado'!BG2184) = FALSE, "","Enviado")</f>
        <v/>
      </c>
      <c r="P423" s="51" t="str">
        <f>IF(_xlfn.ISFORMULA('Previsto x realizado'!BH2184) = FALSE, "","Enviado")</f>
        <v/>
      </c>
    </row>
    <row r="424" spans="1:16" ht="27.6" x14ac:dyDescent="0.3">
      <c r="A424" s="33" t="s">
        <v>175</v>
      </c>
      <c r="B424" s="4" t="s">
        <v>176</v>
      </c>
      <c r="C424" s="5" t="s">
        <v>216</v>
      </c>
      <c r="D424" s="4" t="s">
        <v>267</v>
      </c>
      <c r="E424" s="51" t="str">
        <f>IF(_xlfn.ISFORMULA('Previsto x realizado'!AW2185) = FALSE, "","Enviado")</f>
        <v>Enviado</v>
      </c>
      <c r="F424" s="51" t="str">
        <f>IF(_xlfn.ISFORMULA('Previsto x realizado'!AX2185) = FALSE, "","Enviado")</f>
        <v>Enviado</v>
      </c>
      <c r="G424" s="51" t="str">
        <f>IF(_xlfn.ISFORMULA('Previsto x realizado'!AY2185) = FALSE, "","Enviado")</f>
        <v>Enviado</v>
      </c>
      <c r="H424" s="51" t="str">
        <f>IF(_xlfn.ISFORMULA('Previsto x realizado'!AZ2185) = FALSE, "","Enviado")</f>
        <v>Enviado</v>
      </c>
      <c r="I424" s="51" t="str">
        <f>IF(_xlfn.ISFORMULA('Previsto x realizado'!BA2185) = FALSE, "","Enviado")</f>
        <v/>
      </c>
      <c r="J424" s="51" t="str">
        <f>IF(_xlfn.ISFORMULA('Previsto x realizado'!BB2185) = FALSE, "","Enviado")</f>
        <v/>
      </c>
      <c r="K424" s="51" t="str">
        <f>IF(_xlfn.ISFORMULA('Previsto x realizado'!BC2185) = FALSE, "","Enviado")</f>
        <v/>
      </c>
      <c r="L424" s="51" t="str">
        <f>IF(_xlfn.ISFORMULA('Previsto x realizado'!BD2185) = FALSE, "","Enviado")</f>
        <v/>
      </c>
      <c r="M424" s="51" t="str">
        <f>IF(_xlfn.ISFORMULA('Previsto x realizado'!BE2185) = FALSE, "","Enviado")</f>
        <v/>
      </c>
      <c r="N424" s="51" t="str">
        <f>IF(_xlfn.ISFORMULA('Previsto x realizado'!BF2185) = FALSE, "","Enviado")</f>
        <v/>
      </c>
      <c r="O424" s="51" t="str">
        <f>IF(_xlfn.ISFORMULA('Previsto x realizado'!BG2185) = FALSE, "","Enviado")</f>
        <v/>
      </c>
      <c r="P424" s="51" t="str">
        <f>IF(_xlfn.ISFORMULA('Previsto x realizado'!BH2185) = FALSE, "","Enviado")</f>
        <v/>
      </c>
    </row>
    <row r="425" spans="1:16" ht="27.6" x14ac:dyDescent="0.3">
      <c r="A425" s="44" t="s">
        <v>175</v>
      </c>
      <c r="B425" s="4" t="s">
        <v>176</v>
      </c>
      <c r="C425" s="5" t="s">
        <v>216</v>
      </c>
      <c r="D425" s="4" t="s">
        <v>267</v>
      </c>
      <c r="E425" s="51" t="str">
        <f>IF(_xlfn.ISFORMULA('Previsto x realizado'!AW2190) = FALSE, "","Enviado")</f>
        <v>Enviado</v>
      </c>
      <c r="F425" s="51" t="str">
        <f>IF(_xlfn.ISFORMULA('Previsto x realizado'!AX2190) = FALSE, "","Enviado")</f>
        <v>Enviado</v>
      </c>
      <c r="G425" s="51" t="str">
        <f>IF(_xlfn.ISFORMULA('Previsto x realizado'!AY2190) = FALSE, "","Enviado")</f>
        <v>Enviado</v>
      </c>
      <c r="H425" s="51" t="str">
        <f>IF(_xlfn.ISFORMULA('Previsto x realizado'!AZ2190) = FALSE, "","Enviado")</f>
        <v>Enviado</v>
      </c>
      <c r="I425" s="51" t="str">
        <f>IF(_xlfn.ISFORMULA('Previsto x realizado'!BA2190) = FALSE, "","Enviado")</f>
        <v/>
      </c>
      <c r="J425" s="51" t="str">
        <f>IF(_xlfn.ISFORMULA('Previsto x realizado'!BB2190) = FALSE, "","Enviado")</f>
        <v/>
      </c>
      <c r="K425" s="51" t="str">
        <f>IF(_xlfn.ISFORMULA('Previsto x realizado'!BC2190) = FALSE, "","Enviado")</f>
        <v/>
      </c>
      <c r="L425" s="51" t="str">
        <f>IF(_xlfn.ISFORMULA('Previsto x realizado'!BD2190) = FALSE, "","Enviado")</f>
        <v/>
      </c>
      <c r="M425" s="51" t="str">
        <f>IF(_xlfn.ISFORMULA('Previsto x realizado'!BE2190) = FALSE, "","Enviado")</f>
        <v/>
      </c>
      <c r="N425" s="51" t="str">
        <f>IF(_xlfn.ISFORMULA('Previsto x realizado'!BF2190) = FALSE, "","Enviado")</f>
        <v/>
      </c>
      <c r="O425" s="51" t="str">
        <f>IF(_xlfn.ISFORMULA('Previsto x realizado'!BG2190) = FALSE, "","Enviado")</f>
        <v/>
      </c>
      <c r="P425" s="51" t="str">
        <f>IF(_xlfn.ISFORMULA('Previsto x realizado'!BH2190) = FALSE, "","Enviado")</f>
        <v/>
      </c>
    </row>
    <row r="426" spans="1:16" ht="27.6" x14ac:dyDescent="0.3">
      <c r="A426" s="44" t="s">
        <v>175</v>
      </c>
      <c r="B426" s="4" t="s">
        <v>176</v>
      </c>
      <c r="C426" s="5" t="s">
        <v>216</v>
      </c>
      <c r="D426" s="4" t="s">
        <v>267</v>
      </c>
      <c r="E426" s="51" t="str">
        <f>IF(_xlfn.ISFORMULA('Previsto x realizado'!AW2195) = FALSE, "","Enviado")</f>
        <v>Enviado</v>
      </c>
      <c r="F426" s="51" t="str">
        <f>IF(_xlfn.ISFORMULA('Previsto x realizado'!AX2195) = FALSE, "","Enviado")</f>
        <v>Enviado</v>
      </c>
      <c r="G426" s="51" t="str">
        <f>IF(_xlfn.ISFORMULA('Previsto x realizado'!AY2195) = FALSE, "","Enviado")</f>
        <v>Enviado</v>
      </c>
      <c r="H426" s="51" t="str">
        <f>IF(_xlfn.ISFORMULA('Previsto x realizado'!AZ2195) = FALSE, "","Enviado")</f>
        <v>Enviado</v>
      </c>
      <c r="I426" s="51" t="str">
        <f>IF(_xlfn.ISFORMULA('Previsto x realizado'!BA2195) = FALSE, "","Enviado")</f>
        <v/>
      </c>
      <c r="J426" s="51" t="str">
        <f>IF(_xlfn.ISFORMULA('Previsto x realizado'!BB2195) = FALSE, "","Enviado")</f>
        <v/>
      </c>
      <c r="K426" s="51" t="str">
        <f>IF(_xlfn.ISFORMULA('Previsto x realizado'!BC2195) = FALSE, "","Enviado")</f>
        <v/>
      </c>
      <c r="L426" s="51" t="str">
        <f>IF(_xlfn.ISFORMULA('Previsto x realizado'!BD2195) = FALSE, "","Enviado")</f>
        <v/>
      </c>
      <c r="M426" s="51" t="str">
        <f>IF(_xlfn.ISFORMULA('Previsto x realizado'!BE2195) = FALSE, "","Enviado")</f>
        <v/>
      </c>
      <c r="N426" s="51" t="str">
        <f>IF(_xlfn.ISFORMULA('Previsto x realizado'!BF2195) = FALSE, "","Enviado")</f>
        <v/>
      </c>
      <c r="O426" s="51" t="str">
        <f>IF(_xlfn.ISFORMULA('Previsto x realizado'!BG2195) = FALSE, "","Enviado")</f>
        <v/>
      </c>
      <c r="P426" s="51" t="str">
        <f>IF(_xlfn.ISFORMULA('Previsto x realizado'!BH2195) = FALSE, "","Enviado")</f>
        <v/>
      </c>
    </row>
    <row r="427" spans="1:16" ht="27.6" x14ac:dyDescent="0.3">
      <c r="A427" s="33" t="s">
        <v>175</v>
      </c>
      <c r="B427" s="4" t="s">
        <v>184</v>
      </c>
      <c r="C427" s="5" t="s">
        <v>216</v>
      </c>
      <c r="D427" s="4" t="s">
        <v>267</v>
      </c>
      <c r="E427" s="51" t="str">
        <f>IF(_xlfn.ISFORMULA('Previsto x realizado'!AW2200) = FALSE, "","Enviado")</f>
        <v>Enviado</v>
      </c>
      <c r="F427" s="51" t="str">
        <f>IF(_xlfn.ISFORMULA('Previsto x realizado'!AX2200) = FALSE, "","Enviado")</f>
        <v>Enviado</v>
      </c>
      <c r="G427" s="51" t="str">
        <f>IF(_xlfn.ISFORMULA('Previsto x realizado'!AY2200) = FALSE, "","Enviado")</f>
        <v>Enviado</v>
      </c>
      <c r="H427" s="51" t="str">
        <f>IF(_xlfn.ISFORMULA('Previsto x realizado'!AZ2200) = FALSE, "","Enviado")</f>
        <v>Enviado</v>
      </c>
      <c r="I427" s="51" t="str">
        <f>IF(_xlfn.ISFORMULA('Previsto x realizado'!BA2200) = FALSE, "","Enviado")</f>
        <v/>
      </c>
      <c r="J427" s="51" t="str">
        <f>IF(_xlfn.ISFORMULA('Previsto x realizado'!BB2200) = FALSE, "","Enviado")</f>
        <v/>
      </c>
      <c r="K427" s="51" t="str">
        <f>IF(_xlfn.ISFORMULA('Previsto x realizado'!BC2200) = FALSE, "","Enviado")</f>
        <v/>
      </c>
      <c r="L427" s="51" t="str">
        <f>IF(_xlfn.ISFORMULA('Previsto x realizado'!BD2200) = FALSE, "","Enviado")</f>
        <v/>
      </c>
      <c r="M427" s="51" t="str">
        <f>IF(_xlfn.ISFORMULA('Previsto x realizado'!BE2200) = FALSE, "","Enviado")</f>
        <v/>
      </c>
      <c r="N427" s="51" t="str">
        <f>IF(_xlfn.ISFORMULA('Previsto x realizado'!BF2200) = FALSE, "","Enviado")</f>
        <v/>
      </c>
      <c r="O427" s="51" t="str">
        <f>IF(_xlfn.ISFORMULA('Previsto x realizado'!BG2200) = FALSE, "","Enviado")</f>
        <v/>
      </c>
      <c r="P427" s="51" t="str">
        <f>IF(_xlfn.ISFORMULA('Previsto x realizado'!BH2200) = FALSE, "","Enviado")</f>
        <v/>
      </c>
    </row>
    <row r="428" spans="1:16" ht="27.6" x14ac:dyDescent="0.3">
      <c r="A428" s="44" t="s">
        <v>175</v>
      </c>
      <c r="B428" s="4" t="s">
        <v>184</v>
      </c>
      <c r="C428" s="5" t="s">
        <v>216</v>
      </c>
      <c r="D428" s="4" t="s">
        <v>267</v>
      </c>
      <c r="E428" s="51" t="str">
        <f>IF(_xlfn.ISFORMULA('Previsto x realizado'!AW2205) = FALSE, "","Enviado")</f>
        <v>Enviado</v>
      </c>
      <c r="F428" s="51" t="str">
        <f>IF(_xlfn.ISFORMULA('Previsto x realizado'!AX2205) = FALSE, "","Enviado")</f>
        <v>Enviado</v>
      </c>
      <c r="G428" s="51" t="str">
        <f>IF(_xlfn.ISFORMULA('Previsto x realizado'!AY2205) = FALSE, "","Enviado")</f>
        <v>Enviado</v>
      </c>
      <c r="H428" s="51" t="str">
        <f>IF(_xlfn.ISFORMULA('Previsto x realizado'!AZ2205) = FALSE, "","Enviado")</f>
        <v>Enviado</v>
      </c>
      <c r="I428" s="51" t="str">
        <f>IF(_xlfn.ISFORMULA('Previsto x realizado'!BA2205) = FALSE, "","Enviado")</f>
        <v/>
      </c>
      <c r="J428" s="51" t="str">
        <f>IF(_xlfn.ISFORMULA('Previsto x realizado'!BB2205) = FALSE, "","Enviado")</f>
        <v/>
      </c>
      <c r="K428" s="51" t="str">
        <f>IF(_xlfn.ISFORMULA('Previsto x realizado'!BC2205) = FALSE, "","Enviado")</f>
        <v/>
      </c>
      <c r="L428" s="51" t="str">
        <f>IF(_xlfn.ISFORMULA('Previsto x realizado'!BD2205) = FALSE, "","Enviado")</f>
        <v/>
      </c>
      <c r="M428" s="51" t="str">
        <f>IF(_xlfn.ISFORMULA('Previsto x realizado'!BE2205) = FALSE, "","Enviado")</f>
        <v/>
      </c>
      <c r="N428" s="51" t="str">
        <f>IF(_xlfn.ISFORMULA('Previsto x realizado'!BF2205) = FALSE, "","Enviado")</f>
        <v/>
      </c>
      <c r="O428" s="51" t="str">
        <f>IF(_xlfn.ISFORMULA('Previsto x realizado'!BG2205) = FALSE, "","Enviado")</f>
        <v/>
      </c>
      <c r="P428" s="51" t="str">
        <f>IF(_xlfn.ISFORMULA('Previsto x realizado'!BH2205) = FALSE, "","Enviado")</f>
        <v/>
      </c>
    </row>
    <row r="429" spans="1:16" ht="27.6" x14ac:dyDescent="0.3">
      <c r="A429" s="44" t="s">
        <v>175</v>
      </c>
      <c r="B429" s="4" t="s">
        <v>184</v>
      </c>
      <c r="C429" s="5" t="s">
        <v>216</v>
      </c>
      <c r="D429" s="4" t="s">
        <v>267</v>
      </c>
      <c r="E429" s="51" t="str">
        <f>IF(_xlfn.ISFORMULA('Previsto x realizado'!AW2210) = FALSE, "","Enviado")</f>
        <v>Enviado</v>
      </c>
      <c r="F429" s="51" t="str">
        <f>IF(_xlfn.ISFORMULA('Previsto x realizado'!AX2210) = FALSE, "","Enviado")</f>
        <v>Enviado</v>
      </c>
      <c r="G429" s="51" t="str">
        <f>IF(_xlfn.ISFORMULA('Previsto x realizado'!AY2210) = FALSE, "","Enviado")</f>
        <v>Enviado</v>
      </c>
      <c r="H429" s="51" t="str">
        <f>IF(_xlfn.ISFORMULA('Previsto x realizado'!AZ2210) = FALSE, "","Enviado")</f>
        <v>Enviado</v>
      </c>
      <c r="I429" s="51" t="str">
        <f>IF(_xlfn.ISFORMULA('Previsto x realizado'!BA2210) = FALSE, "","Enviado")</f>
        <v/>
      </c>
      <c r="J429" s="51" t="str">
        <f>IF(_xlfn.ISFORMULA('Previsto x realizado'!BB2210) = FALSE, "","Enviado")</f>
        <v/>
      </c>
      <c r="K429" s="51" t="str">
        <f>IF(_xlfn.ISFORMULA('Previsto x realizado'!BC2210) = FALSE, "","Enviado")</f>
        <v/>
      </c>
      <c r="L429" s="51" t="str">
        <f>IF(_xlfn.ISFORMULA('Previsto x realizado'!BD2210) = FALSE, "","Enviado")</f>
        <v/>
      </c>
      <c r="M429" s="51" t="str">
        <f>IF(_xlfn.ISFORMULA('Previsto x realizado'!BE2210) = FALSE, "","Enviado")</f>
        <v/>
      </c>
      <c r="N429" s="51" t="str">
        <f>IF(_xlfn.ISFORMULA('Previsto x realizado'!BF2210) = FALSE, "","Enviado")</f>
        <v/>
      </c>
      <c r="O429" s="51" t="str">
        <f>IF(_xlfn.ISFORMULA('Previsto x realizado'!BG2210) = FALSE, "","Enviado")</f>
        <v/>
      </c>
      <c r="P429" s="51" t="str">
        <f>IF(_xlfn.ISFORMULA('Previsto x realizado'!BH2210) = FALSE, "","Enviado")</f>
        <v/>
      </c>
    </row>
    <row r="430" spans="1:16" ht="27.6" x14ac:dyDescent="0.3">
      <c r="A430" s="33" t="s">
        <v>175</v>
      </c>
      <c r="B430" s="4" t="s">
        <v>187</v>
      </c>
      <c r="C430" s="5" t="s">
        <v>216</v>
      </c>
      <c r="D430" s="4" t="s">
        <v>267</v>
      </c>
      <c r="E430" s="51" t="str">
        <f>IF(_xlfn.ISFORMULA('Previsto x realizado'!AW2215) = FALSE, "","Enviado")</f>
        <v/>
      </c>
      <c r="F430" s="51" t="str">
        <f>IF(_xlfn.ISFORMULA('Previsto x realizado'!AX2215) = FALSE, "","Enviado")</f>
        <v/>
      </c>
      <c r="G430" s="51" t="str">
        <f>IF(_xlfn.ISFORMULA('Previsto x realizado'!AY2215) = FALSE, "","Enviado")</f>
        <v/>
      </c>
      <c r="H430" s="51" t="str">
        <f>IF(_xlfn.ISFORMULA('Previsto x realizado'!AZ2215) = FALSE, "","Enviado")</f>
        <v/>
      </c>
      <c r="I430" s="51" t="str">
        <f>IF(_xlfn.ISFORMULA('Previsto x realizado'!BA2215) = FALSE, "","Enviado")</f>
        <v/>
      </c>
      <c r="J430" s="51" t="str">
        <f>IF(_xlfn.ISFORMULA('Previsto x realizado'!BB2215) = FALSE, "","Enviado")</f>
        <v/>
      </c>
      <c r="K430" s="51" t="str">
        <f>IF(_xlfn.ISFORMULA('Previsto x realizado'!BC2215) = FALSE, "","Enviado")</f>
        <v/>
      </c>
      <c r="L430" s="51" t="str">
        <f>IF(_xlfn.ISFORMULA('Previsto x realizado'!BD2215) = FALSE, "","Enviado")</f>
        <v/>
      </c>
      <c r="M430" s="51" t="str">
        <f>IF(_xlfn.ISFORMULA('Previsto x realizado'!BE2215) = FALSE, "","Enviado")</f>
        <v/>
      </c>
      <c r="N430" s="51" t="str">
        <f>IF(_xlfn.ISFORMULA('Previsto x realizado'!BF2215) = FALSE, "","Enviado")</f>
        <v/>
      </c>
      <c r="O430" s="51" t="str">
        <f>IF(_xlfn.ISFORMULA('Previsto x realizado'!BG2215) = FALSE, "","Enviado")</f>
        <v/>
      </c>
      <c r="P430" s="51" t="str">
        <f>IF(_xlfn.ISFORMULA('Previsto x realizado'!BH2215) = FALSE, "","Enviado")</f>
        <v/>
      </c>
    </row>
    <row r="431" spans="1:16" ht="27.6" x14ac:dyDescent="0.3">
      <c r="A431" s="44" t="s">
        <v>175</v>
      </c>
      <c r="B431" s="4" t="s">
        <v>187</v>
      </c>
      <c r="C431" s="5" t="s">
        <v>216</v>
      </c>
      <c r="D431" s="4" t="s">
        <v>267</v>
      </c>
      <c r="E431" s="51" t="str">
        <f>IF(_xlfn.ISFORMULA('Previsto x realizado'!AW2220) = FALSE, "","Enviado")</f>
        <v>Enviado</v>
      </c>
      <c r="F431" s="51" t="str">
        <f>IF(_xlfn.ISFORMULA('Previsto x realizado'!AX2220) = FALSE, "","Enviado")</f>
        <v/>
      </c>
      <c r="G431" s="51" t="str">
        <f>IF(_xlfn.ISFORMULA('Previsto x realizado'!AY2220) = FALSE, "","Enviado")</f>
        <v/>
      </c>
      <c r="H431" s="51" t="str">
        <f>IF(_xlfn.ISFORMULA('Previsto x realizado'!AZ2220) = FALSE, "","Enviado")</f>
        <v/>
      </c>
      <c r="I431" s="51" t="str">
        <f>IF(_xlfn.ISFORMULA('Previsto x realizado'!BA2220) = FALSE, "","Enviado")</f>
        <v/>
      </c>
      <c r="J431" s="51" t="str">
        <f>IF(_xlfn.ISFORMULA('Previsto x realizado'!BB2220) = FALSE, "","Enviado")</f>
        <v/>
      </c>
      <c r="K431" s="51" t="str">
        <f>IF(_xlfn.ISFORMULA('Previsto x realizado'!BC2220) = FALSE, "","Enviado")</f>
        <v/>
      </c>
      <c r="L431" s="51" t="str">
        <f>IF(_xlfn.ISFORMULA('Previsto x realizado'!BD2220) = FALSE, "","Enviado")</f>
        <v/>
      </c>
      <c r="M431" s="51" t="str">
        <f>IF(_xlfn.ISFORMULA('Previsto x realizado'!BE2220) = FALSE, "","Enviado")</f>
        <v/>
      </c>
      <c r="N431" s="51" t="str">
        <f>IF(_xlfn.ISFORMULA('Previsto x realizado'!BF2220) = FALSE, "","Enviado")</f>
        <v/>
      </c>
      <c r="O431" s="51" t="str">
        <f>IF(_xlfn.ISFORMULA('Previsto x realizado'!BG2220) = FALSE, "","Enviado")</f>
        <v/>
      </c>
      <c r="P431" s="51" t="str">
        <f>IF(_xlfn.ISFORMULA('Previsto x realizado'!BH2220) = FALSE, "","Enviado")</f>
        <v/>
      </c>
    </row>
    <row r="432" spans="1:16" ht="27.6" x14ac:dyDescent="0.3">
      <c r="A432" s="44" t="s">
        <v>175</v>
      </c>
      <c r="B432" s="4" t="s">
        <v>187</v>
      </c>
      <c r="C432" s="5" t="s">
        <v>216</v>
      </c>
      <c r="D432" s="4" t="s">
        <v>267</v>
      </c>
      <c r="E432" s="51" t="str">
        <f>IF(_xlfn.ISFORMULA('Previsto x realizado'!AW2225) = FALSE, "","Enviado")</f>
        <v>Enviado</v>
      </c>
      <c r="F432" s="51" t="str">
        <f>IF(_xlfn.ISFORMULA('Previsto x realizado'!AX2225) = FALSE, "","Enviado")</f>
        <v/>
      </c>
      <c r="G432" s="51" t="str">
        <f>IF(_xlfn.ISFORMULA('Previsto x realizado'!AY2225) = FALSE, "","Enviado")</f>
        <v/>
      </c>
      <c r="H432" s="51" t="str">
        <f>IF(_xlfn.ISFORMULA('Previsto x realizado'!AZ2225) = FALSE, "","Enviado")</f>
        <v/>
      </c>
      <c r="I432" s="51" t="str">
        <f>IF(_xlfn.ISFORMULA('Previsto x realizado'!BA2225) = FALSE, "","Enviado")</f>
        <v/>
      </c>
      <c r="J432" s="51" t="str">
        <f>IF(_xlfn.ISFORMULA('Previsto x realizado'!BB2225) = FALSE, "","Enviado")</f>
        <v/>
      </c>
      <c r="K432" s="51" t="str">
        <f>IF(_xlfn.ISFORMULA('Previsto x realizado'!BC2225) = FALSE, "","Enviado")</f>
        <v/>
      </c>
      <c r="L432" s="51" t="str">
        <f>IF(_xlfn.ISFORMULA('Previsto x realizado'!BD2225) = FALSE, "","Enviado")</f>
        <v/>
      </c>
      <c r="M432" s="51" t="str">
        <f>IF(_xlfn.ISFORMULA('Previsto x realizado'!BE2225) = FALSE, "","Enviado")</f>
        <v/>
      </c>
      <c r="N432" s="51" t="str">
        <f>IF(_xlfn.ISFORMULA('Previsto x realizado'!BF2225) = FALSE, "","Enviado")</f>
        <v/>
      </c>
      <c r="O432" s="51" t="str">
        <f>IF(_xlfn.ISFORMULA('Previsto x realizado'!BG2225) = FALSE, "","Enviado")</f>
        <v/>
      </c>
      <c r="P432" s="51" t="str">
        <f>IF(_xlfn.ISFORMULA('Previsto x realizado'!BH2225) = FALSE, "","Enviado")</f>
        <v/>
      </c>
    </row>
    <row r="433" spans="1:16" ht="27.6" x14ac:dyDescent="0.3">
      <c r="A433" s="33" t="s">
        <v>175</v>
      </c>
      <c r="B433" s="4" t="s">
        <v>194</v>
      </c>
      <c r="C433" s="5" t="s">
        <v>216</v>
      </c>
      <c r="D433" s="4" t="s">
        <v>267</v>
      </c>
      <c r="E433" s="51" t="str">
        <f>IF(_xlfn.ISFORMULA('Previsto x realizado'!AW2230) = FALSE, "","Enviado")</f>
        <v/>
      </c>
      <c r="F433" s="51" t="str">
        <f>IF(_xlfn.ISFORMULA('Previsto x realizado'!AX2230) = FALSE, "","Enviado")</f>
        <v/>
      </c>
      <c r="G433" s="51" t="str">
        <f>IF(_xlfn.ISFORMULA('Previsto x realizado'!AY2230) = FALSE, "","Enviado")</f>
        <v/>
      </c>
      <c r="H433" s="51" t="str">
        <f>IF(_xlfn.ISFORMULA('Previsto x realizado'!AZ2230) = FALSE, "","Enviado")</f>
        <v/>
      </c>
      <c r="I433" s="51" t="str">
        <f>IF(_xlfn.ISFORMULA('Previsto x realizado'!BA2230) = FALSE, "","Enviado")</f>
        <v/>
      </c>
      <c r="J433" s="51" t="str">
        <f>IF(_xlfn.ISFORMULA('Previsto x realizado'!BB2230) = FALSE, "","Enviado")</f>
        <v/>
      </c>
      <c r="K433" s="51" t="str">
        <f>IF(_xlfn.ISFORMULA('Previsto x realizado'!BC2230) = FALSE, "","Enviado")</f>
        <v/>
      </c>
      <c r="L433" s="51" t="str">
        <f>IF(_xlfn.ISFORMULA('Previsto x realizado'!BD2230) = FALSE, "","Enviado")</f>
        <v/>
      </c>
      <c r="M433" s="51" t="str">
        <f>IF(_xlfn.ISFORMULA('Previsto x realizado'!BE2230) = FALSE, "","Enviado")</f>
        <v/>
      </c>
      <c r="N433" s="51" t="str">
        <f>IF(_xlfn.ISFORMULA('Previsto x realizado'!BF2230) = FALSE, "","Enviado")</f>
        <v/>
      </c>
      <c r="O433" s="51" t="str">
        <f>IF(_xlfn.ISFORMULA('Previsto x realizado'!BG2230) = FALSE, "","Enviado")</f>
        <v/>
      </c>
      <c r="P433" s="51" t="str">
        <f>IF(_xlfn.ISFORMULA('Previsto x realizado'!BH2230) = FALSE, "","Enviado")</f>
        <v/>
      </c>
    </row>
    <row r="434" spans="1:16" ht="27.6" x14ac:dyDescent="0.3">
      <c r="A434" s="44" t="s">
        <v>175</v>
      </c>
      <c r="B434" s="4" t="s">
        <v>194</v>
      </c>
      <c r="C434" s="5" t="s">
        <v>216</v>
      </c>
      <c r="D434" s="4" t="s">
        <v>267</v>
      </c>
      <c r="E434" s="51" t="str">
        <f>IF(_xlfn.ISFORMULA('Previsto x realizado'!AW2235) = FALSE, "","Enviado")</f>
        <v>Enviado</v>
      </c>
      <c r="F434" s="51" t="str">
        <f>IF(_xlfn.ISFORMULA('Previsto x realizado'!AX2235) = FALSE, "","Enviado")</f>
        <v/>
      </c>
      <c r="G434" s="51" t="str">
        <f>IF(_xlfn.ISFORMULA('Previsto x realizado'!AY2235) = FALSE, "","Enviado")</f>
        <v/>
      </c>
      <c r="H434" s="51" t="str">
        <f>IF(_xlfn.ISFORMULA('Previsto x realizado'!AZ2235) = FALSE, "","Enviado")</f>
        <v/>
      </c>
      <c r="I434" s="51" t="str">
        <f>IF(_xlfn.ISFORMULA('Previsto x realizado'!BA2235) = FALSE, "","Enviado")</f>
        <v/>
      </c>
      <c r="J434" s="51" t="str">
        <f>IF(_xlfn.ISFORMULA('Previsto x realizado'!BB2235) = FALSE, "","Enviado")</f>
        <v/>
      </c>
      <c r="K434" s="51" t="str">
        <f>IF(_xlfn.ISFORMULA('Previsto x realizado'!BC2235) = FALSE, "","Enviado")</f>
        <v/>
      </c>
      <c r="L434" s="51" t="str">
        <f>IF(_xlfn.ISFORMULA('Previsto x realizado'!BD2235) = FALSE, "","Enviado")</f>
        <v/>
      </c>
      <c r="M434" s="51" t="str">
        <f>IF(_xlfn.ISFORMULA('Previsto x realizado'!BE2235) = FALSE, "","Enviado")</f>
        <v/>
      </c>
      <c r="N434" s="51" t="str">
        <f>IF(_xlfn.ISFORMULA('Previsto x realizado'!BF2235) = FALSE, "","Enviado")</f>
        <v/>
      </c>
      <c r="O434" s="51" t="str">
        <f>IF(_xlfn.ISFORMULA('Previsto x realizado'!BG2235) = FALSE, "","Enviado")</f>
        <v/>
      </c>
      <c r="P434" s="51" t="str">
        <f>IF(_xlfn.ISFORMULA('Previsto x realizado'!BH2235) = FALSE, "","Enviado")</f>
        <v/>
      </c>
    </row>
    <row r="435" spans="1:16" ht="27.6" x14ac:dyDescent="0.3">
      <c r="A435" s="44" t="s">
        <v>175</v>
      </c>
      <c r="B435" s="4" t="s">
        <v>194</v>
      </c>
      <c r="C435" s="5" t="s">
        <v>216</v>
      </c>
      <c r="D435" s="4" t="s">
        <v>267</v>
      </c>
      <c r="E435" s="51" t="str">
        <f>IF(_xlfn.ISFORMULA('Previsto x realizado'!AW2240) = FALSE, "","Enviado")</f>
        <v>Enviado</v>
      </c>
      <c r="F435" s="51" t="str">
        <f>IF(_xlfn.ISFORMULA('Previsto x realizado'!AX2240) = FALSE, "","Enviado")</f>
        <v/>
      </c>
      <c r="G435" s="51" t="str">
        <f>IF(_xlfn.ISFORMULA('Previsto x realizado'!AY2240) = FALSE, "","Enviado")</f>
        <v/>
      </c>
      <c r="H435" s="51" t="str">
        <f>IF(_xlfn.ISFORMULA('Previsto x realizado'!AZ2240) = FALSE, "","Enviado")</f>
        <v/>
      </c>
      <c r="I435" s="51" t="str">
        <f>IF(_xlfn.ISFORMULA('Previsto x realizado'!BA2240) = FALSE, "","Enviado")</f>
        <v/>
      </c>
      <c r="J435" s="51" t="str">
        <f>IF(_xlfn.ISFORMULA('Previsto x realizado'!BB2240) = FALSE, "","Enviado")</f>
        <v/>
      </c>
      <c r="K435" s="51" t="str">
        <f>IF(_xlfn.ISFORMULA('Previsto x realizado'!BC2240) = FALSE, "","Enviado")</f>
        <v/>
      </c>
      <c r="L435" s="51" t="str">
        <f>IF(_xlfn.ISFORMULA('Previsto x realizado'!BD2240) = FALSE, "","Enviado")</f>
        <v/>
      </c>
      <c r="M435" s="51" t="str">
        <f>IF(_xlfn.ISFORMULA('Previsto x realizado'!BE2240) = FALSE, "","Enviado")</f>
        <v/>
      </c>
      <c r="N435" s="51" t="str">
        <f>IF(_xlfn.ISFORMULA('Previsto x realizado'!BF2240) = FALSE, "","Enviado")</f>
        <v/>
      </c>
      <c r="O435" s="51" t="str">
        <f>IF(_xlfn.ISFORMULA('Previsto x realizado'!BG2240) = FALSE, "","Enviado")</f>
        <v/>
      </c>
      <c r="P435" s="51" t="str">
        <f>IF(_xlfn.ISFORMULA('Previsto x realizado'!BH2240) = FALSE, "","Enviado")</f>
        <v/>
      </c>
    </row>
    <row r="436" spans="1:16" ht="27.6" x14ac:dyDescent="0.3">
      <c r="A436" s="33" t="s">
        <v>175</v>
      </c>
      <c r="B436" s="4" t="s">
        <v>197</v>
      </c>
      <c r="C436" s="5" t="s">
        <v>216</v>
      </c>
      <c r="D436" s="4" t="s">
        <v>267</v>
      </c>
      <c r="E436" s="51" t="str">
        <f>IF(_xlfn.ISFORMULA('Previsto x realizado'!AW2245) = FALSE, "","Enviado")</f>
        <v/>
      </c>
      <c r="F436" s="51" t="str">
        <f>IF(_xlfn.ISFORMULA('Previsto x realizado'!AX2245) = FALSE, "","Enviado")</f>
        <v/>
      </c>
      <c r="G436" s="51" t="str">
        <f>IF(_xlfn.ISFORMULA('Previsto x realizado'!AY2245) = FALSE, "","Enviado")</f>
        <v/>
      </c>
      <c r="H436" s="51" t="str">
        <f>IF(_xlfn.ISFORMULA('Previsto x realizado'!AZ2245) = FALSE, "","Enviado")</f>
        <v/>
      </c>
      <c r="I436" s="51" t="str">
        <f>IF(_xlfn.ISFORMULA('Previsto x realizado'!BA2245) = FALSE, "","Enviado")</f>
        <v/>
      </c>
      <c r="J436" s="51" t="str">
        <f>IF(_xlfn.ISFORMULA('Previsto x realizado'!BB2245) = FALSE, "","Enviado")</f>
        <v/>
      </c>
      <c r="K436" s="51" t="str">
        <f>IF(_xlfn.ISFORMULA('Previsto x realizado'!BC2245) = FALSE, "","Enviado")</f>
        <v/>
      </c>
      <c r="L436" s="51" t="str">
        <f>IF(_xlfn.ISFORMULA('Previsto x realizado'!BD2245) = FALSE, "","Enviado")</f>
        <v/>
      </c>
      <c r="M436" s="51" t="str">
        <f>IF(_xlfn.ISFORMULA('Previsto x realizado'!BE2245) = FALSE, "","Enviado")</f>
        <v/>
      </c>
      <c r="N436" s="51" t="str">
        <f>IF(_xlfn.ISFORMULA('Previsto x realizado'!BF2245) = FALSE, "","Enviado")</f>
        <v/>
      </c>
      <c r="O436" s="51" t="str">
        <f>IF(_xlfn.ISFORMULA('Previsto x realizado'!BG2245) = FALSE, "","Enviado")</f>
        <v/>
      </c>
      <c r="P436" s="51" t="str">
        <f>IF(_xlfn.ISFORMULA('Previsto x realizado'!BH2245) = FALSE, "","Enviado")</f>
        <v/>
      </c>
    </row>
    <row r="437" spans="1:16" ht="27.6" x14ac:dyDescent="0.3">
      <c r="A437" s="44" t="s">
        <v>175</v>
      </c>
      <c r="B437" s="4" t="s">
        <v>197</v>
      </c>
      <c r="C437" s="5" t="s">
        <v>216</v>
      </c>
      <c r="D437" s="4" t="s">
        <v>267</v>
      </c>
      <c r="E437" s="51" t="str">
        <f>IF(_xlfn.ISFORMULA('Previsto x realizado'!AW2250) = FALSE, "","Enviado")</f>
        <v>Enviado</v>
      </c>
      <c r="F437" s="51" t="str">
        <f>IF(_xlfn.ISFORMULA('Previsto x realizado'!AX2250) = FALSE, "","Enviado")</f>
        <v/>
      </c>
      <c r="G437" s="51" t="str">
        <f>IF(_xlfn.ISFORMULA('Previsto x realizado'!AY2250) = FALSE, "","Enviado")</f>
        <v/>
      </c>
      <c r="H437" s="51" t="str">
        <f>IF(_xlfn.ISFORMULA('Previsto x realizado'!AZ2250) = FALSE, "","Enviado")</f>
        <v/>
      </c>
      <c r="I437" s="51" t="str">
        <f>IF(_xlfn.ISFORMULA('Previsto x realizado'!BA2250) = FALSE, "","Enviado")</f>
        <v/>
      </c>
      <c r="J437" s="51" t="str">
        <f>IF(_xlfn.ISFORMULA('Previsto x realizado'!BB2250) = FALSE, "","Enviado")</f>
        <v/>
      </c>
      <c r="K437" s="51" t="str">
        <f>IF(_xlfn.ISFORMULA('Previsto x realizado'!BC2250) = FALSE, "","Enviado")</f>
        <v/>
      </c>
      <c r="L437" s="51" t="str">
        <f>IF(_xlfn.ISFORMULA('Previsto x realizado'!BD2250) = FALSE, "","Enviado")</f>
        <v/>
      </c>
      <c r="M437" s="51" t="str">
        <f>IF(_xlfn.ISFORMULA('Previsto x realizado'!BE2250) = FALSE, "","Enviado")</f>
        <v/>
      </c>
      <c r="N437" s="51" t="str">
        <f>IF(_xlfn.ISFORMULA('Previsto x realizado'!BF2250) = FALSE, "","Enviado")</f>
        <v/>
      </c>
      <c r="O437" s="51" t="str">
        <f>IF(_xlfn.ISFORMULA('Previsto x realizado'!BG2250) = FALSE, "","Enviado")</f>
        <v/>
      </c>
      <c r="P437" s="51" t="str">
        <f>IF(_xlfn.ISFORMULA('Previsto x realizado'!BH2250) = FALSE, "","Enviado")</f>
        <v/>
      </c>
    </row>
    <row r="438" spans="1:16" ht="27.6" x14ac:dyDescent="0.3">
      <c r="A438" s="44" t="s">
        <v>175</v>
      </c>
      <c r="B438" s="4" t="s">
        <v>197</v>
      </c>
      <c r="C438" s="5" t="s">
        <v>216</v>
      </c>
      <c r="D438" s="4" t="s">
        <v>267</v>
      </c>
      <c r="E438" s="51" t="str">
        <f>IF(_xlfn.ISFORMULA('Previsto x realizado'!AW2259) = FALSE, "","Enviado")</f>
        <v>Enviado</v>
      </c>
      <c r="F438" s="51" t="str">
        <f>IF(_xlfn.ISFORMULA('Previsto x realizado'!AX2259) = FALSE, "","Enviado")</f>
        <v/>
      </c>
      <c r="G438" s="51" t="str">
        <f>IF(_xlfn.ISFORMULA('Previsto x realizado'!AY2259) = FALSE, "","Enviado")</f>
        <v/>
      </c>
      <c r="H438" s="51" t="str">
        <f>IF(_xlfn.ISFORMULA('Previsto x realizado'!AZ2259) = FALSE, "","Enviado")</f>
        <v/>
      </c>
      <c r="I438" s="51" t="str">
        <f>IF(_xlfn.ISFORMULA('Previsto x realizado'!BA2259) = FALSE, "","Enviado")</f>
        <v/>
      </c>
      <c r="J438" s="51" t="str">
        <f>IF(_xlfn.ISFORMULA('Previsto x realizado'!BB2259) = FALSE, "","Enviado")</f>
        <v/>
      </c>
      <c r="K438" s="51" t="str">
        <f>IF(_xlfn.ISFORMULA('Previsto x realizado'!BC2259) = FALSE, "","Enviado")</f>
        <v/>
      </c>
      <c r="L438" s="51" t="str">
        <f>IF(_xlfn.ISFORMULA('Previsto x realizado'!BD2259) = FALSE, "","Enviado")</f>
        <v/>
      </c>
      <c r="M438" s="51" t="str">
        <f>IF(_xlfn.ISFORMULA('Previsto x realizado'!BE2259) = FALSE, "","Enviado")</f>
        <v/>
      </c>
      <c r="N438" s="51" t="str">
        <f>IF(_xlfn.ISFORMULA('Previsto x realizado'!BF2259) = FALSE, "","Enviado")</f>
        <v/>
      </c>
      <c r="O438" s="51" t="str">
        <f>IF(_xlfn.ISFORMULA('Previsto x realizado'!BG2259) = FALSE, "","Enviado")</f>
        <v/>
      </c>
      <c r="P438" s="51" t="str">
        <f>IF(_xlfn.ISFORMULA('Previsto x realizado'!BH2259) = FALSE, "","Enviado")</f>
        <v/>
      </c>
    </row>
    <row r="439" spans="1:16" x14ac:dyDescent="0.3">
      <c r="A439" s="35" t="s">
        <v>44</v>
      </c>
      <c r="B439" s="10" t="s">
        <v>44</v>
      </c>
      <c r="C439" s="5" t="s">
        <v>216</v>
      </c>
      <c r="D439" s="10" t="s">
        <v>44</v>
      </c>
      <c r="E439" s="51" t="str">
        <f>IF(_xlfn.ISFORMULA('Previsto x realizado'!AW2260) = FALSE, "","Enviado")</f>
        <v>Enviado</v>
      </c>
      <c r="F439" s="51" t="str">
        <f>IF(_xlfn.ISFORMULA('Previsto x realizado'!AX2260) = FALSE, "","Enviado")</f>
        <v>Enviado</v>
      </c>
      <c r="G439" s="51" t="str">
        <f>IF(_xlfn.ISFORMULA('Previsto x realizado'!AY2260) = FALSE, "","Enviado")</f>
        <v>Enviado</v>
      </c>
      <c r="H439" s="51" t="str">
        <f>IF(_xlfn.ISFORMULA('Previsto x realizado'!AZ2260) = FALSE, "","Enviado")</f>
        <v>Enviado</v>
      </c>
      <c r="I439" s="51" t="str">
        <f>IF(_xlfn.ISFORMULA('Previsto x realizado'!BA2260) = FALSE, "","Enviado")</f>
        <v/>
      </c>
      <c r="J439" s="51" t="str">
        <f>IF(_xlfn.ISFORMULA('Previsto x realizado'!BB2260) = FALSE, "","Enviado")</f>
        <v/>
      </c>
      <c r="K439" s="51" t="str">
        <f>IF(_xlfn.ISFORMULA('Previsto x realizado'!BC2260) = FALSE, "","Enviado")</f>
        <v/>
      </c>
      <c r="L439" s="51" t="str">
        <f>IF(_xlfn.ISFORMULA('Previsto x realizado'!BD2260) = FALSE, "","Enviado")</f>
        <v/>
      </c>
      <c r="M439" s="51" t="str">
        <f>IF(_xlfn.ISFORMULA('Previsto x realizado'!BE2260) = FALSE, "","Enviado")</f>
        <v/>
      </c>
      <c r="N439" s="51" t="str">
        <f>IF(_xlfn.ISFORMULA('Previsto x realizado'!BF2260) = FALSE, "","Enviado")</f>
        <v/>
      </c>
      <c r="O439" s="51" t="str">
        <f>IF(_xlfn.ISFORMULA('Previsto x realizado'!BG2260) = FALSE, "","Enviado")</f>
        <v/>
      </c>
      <c r="P439" s="51" t="str">
        <f>IF(_xlfn.ISFORMULA('Previsto x realizado'!BH2260) = FALSE, "","Enviado")</f>
        <v/>
      </c>
    </row>
    <row r="440" spans="1:16" x14ac:dyDescent="0.3">
      <c r="A440" s="35" t="s">
        <v>44</v>
      </c>
      <c r="B440" s="10" t="s">
        <v>44</v>
      </c>
      <c r="C440" s="5" t="s">
        <v>216</v>
      </c>
      <c r="D440" s="10" t="s">
        <v>44</v>
      </c>
      <c r="E440" s="51" t="str">
        <f>IF(_xlfn.ISFORMULA('Previsto x realizado'!AW2265) = FALSE, "","Enviado")</f>
        <v>Enviado</v>
      </c>
      <c r="F440" s="51" t="str">
        <f>IF(_xlfn.ISFORMULA('Previsto x realizado'!AX2265) = FALSE, "","Enviado")</f>
        <v>Enviado</v>
      </c>
      <c r="G440" s="51" t="str">
        <f>IF(_xlfn.ISFORMULA('Previsto x realizado'!AY2265) = FALSE, "","Enviado")</f>
        <v>Enviado</v>
      </c>
      <c r="H440" s="51" t="str">
        <f>IF(_xlfn.ISFORMULA('Previsto x realizado'!AZ2265) = FALSE, "","Enviado")</f>
        <v>Enviado</v>
      </c>
      <c r="I440" s="51" t="str">
        <f>IF(_xlfn.ISFORMULA('Previsto x realizado'!BA2265) = FALSE, "","Enviado")</f>
        <v/>
      </c>
      <c r="J440" s="51" t="str">
        <f>IF(_xlfn.ISFORMULA('Previsto x realizado'!BB2265) = FALSE, "","Enviado")</f>
        <v/>
      </c>
      <c r="K440" s="51" t="str">
        <f>IF(_xlfn.ISFORMULA('Previsto x realizado'!BC2265) = FALSE, "","Enviado")</f>
        <v/>
      </c>
      <c r="L440" s="51" t="str">
        <f>IF(_xlfn.ISFORMULA('Previsto x realizado'!BD2265) = FALSE, "","Enviado")</f>
        <v/>
      </c>
      <c r="M440" s="51" t="str">
        <f>IF(_xlfn.ISFORMULA('Previsto x realizado'!BE2265) = FALSE, "","Enviado")</f>
        <v/>
      </c>
      <c r="N440" s="51" t="str">
        <f>IF(_xlfn.ISFORMULA('Previsto x realizado'!BF2265) = FALSE, "","Enviado")</f>
        <v/>
      </c>
      <c r="O440" s="51" t="str">
        <f>IF(_xlfn.ISFORMULA('Previsto x realizado'!BG2265) = FALSE, "","Enviado")</f>
        <v/>
      </c>
      <c r="P440" s="51" t="str">
        <f>IF(_xlfn.ISFORMULA('Previsto x realizado'!BH2265) = FALSE, "","Enviado")</f>
        <v/>
      </c>
    </row>
    <row r="441" spans="1:16" x14ac:dyDescent="0.3">
      <c r="A441" s="35" t="s">
        <v>44</v>
      </c>
      <c r="B441" s="10" t="s">
        <v>44</v>
      </c>
      <c r="C441" s="5" t="s">
        <v>216</v>
      </c>
      <c r="D441" s="10" t="s">
        <v>44</v>
      </c>
      <c r="E441" s="51" t="str">
        <f>IF(_xlfn.ISFORMULA('Previsto x realizado'!AW2270) = FALSE, "","Enviado")</f>
        <v>Enviado</v>
      </c>
      <c r="F441" s="51" t="str">
        <f>IF(_xlfn.ISFORMULA('Previsto x realizado'!AX2270) = FALSE, "","Enviado")</f>
        <v>Enviado</v>
      </c>
      <c r="G441" s="51" t="str">
        <f>IF(_xlfn.ISFORMULA('Previsto x realizado'!AY2270) = FALSE, "","Enviado")</f>
        <v>Enviado</v>
      </c>
      <c r="H441" s="51" t="str">
        <f>IF(_xlfn.ISFORMULA('Previsto x realizado'!AZ2270) = FALSE, "","Enviado")</f>
        <v>Enviado</v>
      </c>
      <c r="I441" s="51" t="str">
        <f>IF(_xlfn.ISFORMULA('Previsto x realizado'!BA2270) = FALSE, "","Enviado")</f>
        <v/>
      </c>
      <c r="J441" s="51" t="str">
        <f>IF(_xlfn.ISFORMULA('Previsto x realizado'!BB2270) = FALSE, "","Enviado")</f>
        <v/>
      </c>
      <c r="K441" s="51" t="str">
        <f>IF(_xlfn.ISFORMULA('Previsto x realizado'!BC2270) = FALSE, "","Enviado")</f>
        <v/>
      </c>
      <c r="L441" s="51" t="str">
        <f>IF(_xlfn.ISFORMULA('Previsto x realizado'!BD2270) = FALSE, "","Enviado")</f>
        <v/>
      </c>
      <c r="M441" s="51" t="str">
        <f>IF(_xlfn.ISFORMULA('Previsto x realizado'!BE2270) = FALSE, "","Enviado")</f>
        <v/>
      </c>
      <c r="N441" s="51" t="str">
        <f>IF(_xlfn.ISFORMULA('Previsto x realizado'!BF2270) = FALSE, "","Enviado")</f>
        <v/>
      </c>
      <c r="O441" s="51" t="str">
        <f>IF(_xlfn.ISFORMULA('Previsto x realizado'!BG2270) = FALSE, "","Enviado")</f>
        <v/>
      </c>
      <c r="P441" s="51" t="str">
        <f>IF(_xlfn.ISFORMULA('Previsto x realizado'!BH2270) = FALSE, "","Enviado")</f>
        <v/>
      </c>
    </row>
    <row r="442" spans="1:16" x14ac:dyDescent="0.3">
      <c r="A442" s="35" t="s">
        <v>44</v>
      </c>
      <c r="B442" s="10" t="s">
        <v>44</v>
      </c>
      <c r="C442" s="5" t="s">
        <v>216</v>
      </c>
      <c r="D442" s="10" t="s">
        <v>44</v>
      </c>
      <c r="E442" s="51" t="str">
        <f>IF(_xlfn.ISFORMULA('Previsto x realizado'!AW2275) = FALSE, "","Enviado")</f>
        <v>Enviado</v>
      </c>
      <c r="F442" s="51" t="str">
        <f>IF(_xlfn.ISFORMULA('Previsto x realizado'!AX2275) = FALSE, "","Enviado")</f>
        <v>Enviado</v>
      </c>
      <c r="G442" s="51" t="str">
        <f>IF(_xlfn.ISFORMULA('Previsto x realizado'!AY2275) = FALSE, "","Enviado")</f>
        <v>Enviado</v>
      </c>
      <c r="H442" s="51" t="str">
        <f>IF(_xlfn.ISFORMULA('Previsto x realizado'!AZ2275) = FALSE, "","Enviado")</f>
        <v>Enviado</v>
      </c>
      <c r="I442" s="51" t="str">
        <f>IF(_xlfn.ISFORMULA('Previsto x realizado'!BA2275) = FALSE, "","Enviado")</f>
        <v/>
      </c>
      <c r="J442" s="51" t="str">
        <f>IF(_xlfn.ISFORMULA('Previsto x realizado'!BB2275) = FALSE, "","Enviado")</f>
        <v/>
      </c>
      <c r="K442" s="51" t="str">
        <f>IF(_xlfn.ISFORMULA('Previsto x realizado'!BC2275) = FALSE, "","Enviado")</f>
        <v/>
      </c>
      <c r="L442" s="51" t="str">
        <f>IF(_xlfn.ISFORMULA('Previsto x realizado'!BD2275) = FALSE, "","Enviado")</f>
        <v/>
      </c>
      <c r="M442" s="51" t="str">
        <f>IF(_xlfn.ISFORMULA('Previsto x realizado'!BE2275) = FALSE, "","Enviado")</f>
        <v/>
      </c>
      <c r="N442" s="51" t="str">
        <f>IF(_xlfn.ISFORMULA('Previsto x realizado'!BF2275) = FALSE, "","Enviado")</f>
        <v/>
      </c>
      <c r="O442" s="51" t="str">
        <f>IF(_xlfn.ISFORMULA('Previsto x realizado'!BG2275) = FALSE, "","Enviado")</f>
        <v/>
      </c>
      <c r="P442" s="51" t="str">
        <f>IF(_xlfn.ISFORMULA('Previsto x realizado'!BH2275) = FALSE, "","Enviado")</f>
        <v/>
      </c>
    </row>
    <row r="443" spans="1:16" x14ac:dyDescent="0.3">
      <c r="A443" s="35" t="s">
        <v>44</v>
      </c>
      <c r="B443" s="10" t="s">
        <v>44</v>
      </c>
      <c r="C443" s="5" t="s">
        <v>216</v>
      </c>
      <c r="D443" s="10" t="s">
        <v>44</v>
      </c>
      <c r="E443" s="51" t="str">
        <f>IF(_xlfn.ISFORMULA('Previsto x realizado'!AW2280) = FALSE, "","Enviado")</f>
        <v>Enviado</v>
      </c>
      <c r="F443" s="51" t="str">
        <f>IF(_xlfn.ISFORMULA('Previsto x realizado'!AX2280) = FALSE, "","Enviado")</f>
        <v>Enviado</v>
      </c>
      <c r="G443" s="51" t="str">
        <f>IF(_xlfn.ISFORMULA('Previsto x realizado'!AY2280) = FALSE, "","Enviado")</f>
        <v>Enviado</v>
      </c>
      <c r="H443" s="51" t="str">
        <f>IF(_xlfn.ISFORMULA('Previsto x realizado'!AZ2280) = FALSE, "","Enviado")</f>
        <v>Enviado</v>
      </c>
      <c r="I443" s="51" t="str">
        <f>IF(_xlfn.ISFORMULA('Previsto x realizado'!BA2280) = FALSE, "","Enviado")</f>
        <v/>
      </c>
      <c r="J443" s="51" t="str">
        <f>IF(_xlfn.ISFORMULA('Previsto x realizado'!BB2280) = FALSE, "","Enviado")</f>
        <v/>
      </c>
      <c r="K443" s="51" t="str">
        <f>IF(_xlfn.ISFORMULA('Previsto x realizado'!BC2280) = FALSE, "","Enviado")</f>
        <v/>
      </c>
      <c r="L443" s="51" t="str">
        <f>IF(_xlfn.ISFORMULA('Previsto x realizado'!BD2280) = FALSE, "","Enviado")</f>
        <v/>
      </c>
      <c r="M443" s="51" t="str">
        <f>IF(_xlfn.ISFORMULA('Previsto x realizado'!BE2280) = FALSE, "","Enviado")</f>
        <v/>
      </c>
      <c r="N443" s="51" t="str">
        <f>IF(_xlfn.ISFORMULA('Previsto x realizado'!BF2280) = FALSE, "","Enviado")</f>
        <v/>
      </c>
      <c r="O443" s="51" t="str">
        <f>IF(_xlfn.ISFORMULA('Previsto x realizado'!BG2280) = FALSE, "","Enviado")</f>
        <v/>
      </c>
      <c r="P443" s="51" t="str">
        <f>IF(_xlfn.ISFORMULA('Previsto x realizado'!BH2280) = FALSE, "","Enviado")</f>
        <v/>
      </c>
    </row>
    <row r="444" spans="1:16" x14ac:dyDescent="0.3">
      <c r="A444" s="35" t="s">
        <v>44</v>
      </c>
      <c r="B444" s="10" t="s">
        <v>44</v>
      </c>
      <c r="C444" s="5" t="s">
        <v>216</v>
      </c>
      <c r="D444" s="10" t="s">
        <v>44</v>
      </c>
      <c r="E444" s="51" t="str">
        <f>IF(_xlfn.ISFORMULA('Previsto x realizado'!AW2285) = FALSE, "","Enviado")</f>
        <v>Enviado</v>
      </c>
      <c r="F444" s="51" t="str">
        <f>IF(_xlfn.ISFORMULA('Previsto x realizado'!AX2285) = FALSE, "","Enviado")</f>
        <v>Enviado</v>
      </c>
      <c r="G444" s="51" t="str">
        <f>IF(_xlfn.ISFORMULA('Previsto x realizado'!AY2285) = FALSE, "","Enviado")</f>
        <v>Enviado</v>
      </c>
      <c r="H444" s="51" t="str">
        <f>IF(_xlfn.ISFORMULA('Previsto x realizado'!AZ2285) = FALSE, "","Enviado")</f>
        <v>Enviado</v>
      </c>
      <c r="I444" s="51" t="str">
        <f>IF(_xlfn.ISFORMULA('Previsto x realizado'!BA2285) = FALSE, "","Enviado")</f>
        <v/>
      </c>
      <c r="J444" s="51" t="str">
        <f>IF(_xlfn.ISFORMULA('Previsto x realizado'!BB2285) = FALSE, "","Enviado")</f>
        <v/>
      </c>
      <c r="K444" s="51" t="str">
        <f>IF(_xlfn.ISFORMULA('Previsto x realizado'!BC2285) = FALSE, "","Enviado")</f>
        <v/>
      </c>
      <c r="L444" s="51" t="str">
        <f>IF(_xlfn.ISFORMULA('Previsto x realizado'!BD2285) = FALSE, "","Enviado")</f>
        <v/>
      </c>
      <c r="M444" s="51" t="str">
        <f>IF(_xlfn.ISFORMULA('Previsto x realizado'!BE2285) = FALSE, "","Enviado")</f>
        <v/>
      </c>
      <c r="N444" s="51" t="str">
        <f>IF(_xlfn.ISFORMULA('Previsto x realizado'!BF2285) = FALSE, "","Enviado")</f>
        <v/>
      </c>
      <c r="O444" s="51" t="str">
        <f>IF(_xlfn.ISFORMULA('Previsto x realizado'!BG2285) = FALSE, "","Enviado")</f>
        <v/>
      </c>
      <c r="P444" s="51" t="str">
        <f>IF(_xlfn.ISFORMULA('Previsto x realizado'!BH2285) = FALSE, "","Enviado")</f>
        <v/>
      </c>
    </row>
    <row r="445" spans="1:16" x14ac:dyDescent="0.3">
      <c r="A445" s="35" t="s">
        <v>44</v>
      </c>
      <c r="B445" s="10" t="s">
        <v>44</v>
      </c>
      <c r="C445" s="5" t="s">
        <v>216</v>
      </c>
      <c r="D445" s="10" t="s">
        <v>44</v>
      </c>
      <c r="E445" s="51" t="str">
        <f>IF(_xlfn.ISFORMULA('Previsto x realizado'!AW2290) = FALSE, "","Enviado")</f>
        <v>Enviado</v>
      </c>
      <c r="F445" s="51" t="str">
        <f>IF(_xlfn.ISFORMULA('Previsto x realizado'!AX2290) = FALSE, "","Enviado")</f>
        <v>Enviado</v>
      </c>
      <c r="G445" s="51" t="str">
        <f>IF(_xlfn.ISFORMULA('Previsto x realizado'!AY2290) = FALSE, "","Enviado")</f>
        <v>Enviado</v>
      </c>
      <c r="H445" s="51" t="str">
        <f>IF(_xlfn.ISFORMULA('Previsto x realizado'!AZ2290) = FALSE, "","Enviado")</f>
        <v>Enviado</v>
      </c>
      <c r="I445" s="51" t="str">
        <f>IF(_xlfn.ISFORMULA('Previsto x realizado'!BA2290) = FALSE, "","Enviado")</f>
        <v/>
      </c>
      <c r="J445" s="51" t="str">
        <f>IF(_xlfn.ISFORMULA('Previsto x realizado'!BB2290) = FALSE, "","Enviado")</f>
        <v/>
      </c>
      <c r="K445" s="51" t="str">
        <f>IF(_xlfn.ISFORMULA('Previsto x realizado'!BC2290) = FALSE, "","Enviado")</f>
        <v/>
      </c>
      <c r="L445" s="51" t="str">
        <f>IF(_xlfn.ISFORMULA('Previsto x realizado'!BD2290) = FALSE, "","Enviado")</f>
        <v/>
      </c>
      <c r="M445" s="51" t="str">
        <f>IF(_xlfn.ISFORMULA('Previsto x realizado'!BE2290) = FALSE, "","Enviado")</f>
        <v/>
      </c>
      <c r="N445" s="51" t="str">
        <f>IF(_xlfn.ISFORMULA('Previsto x realizado'!BF2290) = FALSE, "","Enviado")</f>
        <v/>
      </c>
      <c r="O445" s="51" t="str">
        <f>IF(_xlfn.ISFORMULA('Previsto x realizado'!BG2290) = FALSE, "","Enviado")</f>
        <v/>
      </c>
      <c r="P445" s="51" t="str">
        <f>IF(_xlfn.ISFORMULA('Previsto x realizado'!BH2290) = FALSE, "","Enviado")</f>
        <v/>
      </c>
    </row>
    <row r="446" spans="1:16" ht="27.6" x14ac:dyDescent="0.3">
      <c r="A446" s="3" t="s">
        <v>33</v>
      </c>
      <c r="B446" s="4" t="s">
        <v>34</v>
      </c>
      <c r="C446" s="5" t="s">
        <v>221</v>
      </c>
      <c r="D446" s="56" t="s">
        <v>267</v>
      </c>
      <c r="E446" s="51" t="str">
        <f>IF(_xlfn.ISFORMULA('Previsto x realizado'!AW2291) = FALSE, "","Enviado")</f>
        <v>Enviado</v>
      </c>
      <c r="F446" s="51" t="str">
        <f>IF(_xlfn.ISFORMULA('Previsto x realizado'!AX2291) = FALSE, "","Enviado")</f>
        <v>Enviado</v>
      </c>
      <c r="G446" s="51" t="str">
        <f>IF(_xlfn.ISFORMULA('Previsto x realizado'!AY2291) = FALSE, "","Enviado")</f>
        <v>Enviado</v>
      </c>
      <c r="H446" s="51" t="str">
        <f>IF(_xlfn.ISFORMULA('Previsto x realizado'!AZ2291) = FALSE, "","Enviado")</f>
        <v>Enviado</v>
      </c>
      <c r="I446" s="51" t="str">
        <f>IF(_xlfn.ISFORMULA('Previsto x realizado'!BA2291) = FALSE, "","Enviado")</f>
        <v/>
      </c>
      <c r="J446" s="51" t="str">
        <f>IF(_xlfn.ISFORMULA('Previsto x realizado'!BB2291) = FALSE, "","Enviado")</f>
        <v/>
      </c>
      <c r="K446" s="51" t="str">
        <f>IF(_xlfn.ISFORMULA('Previsto x realizado'!BC2291) = FALSE, "","Enviado")</f>
        <v/>
      </c>
      <c r="L446" s="51" t="str">
        <f>IF(_xlfn.ISFORMULA('Previsto x realizado'!BD2291) = FALSE, "","Enviado")</f>
        <v/>
      </c>
      <c r="M446" s="51" t="str">
        <f>IF(_xlfn.ISFORMULA('Previsto x realizado'!BE2291) = FALSE, "","Enviado")</f>
        <v/>
      </c>
      <c r="N446" s="51" t="str">
        <f>IF(_xlfn.ISFORMULA('Previsto x realizado'!BF2291) = FALSE, "","Enviado")</f>
        <v/>
      </c>
      <c r="O446" s="51" t="str">
        <f>IF(_xlfn.ISFORMULA('Previsto x realizado'!BG2291) = FALSE, "","Enviado")</f>
        <v/>
      </c>
      <c r="P446" s="51" t="str">
        <f>IF(_xlfn.ISFORMULA('Previsto x realizado'!BH2291) = FALSE, "","Enviado")</f>
        <v/>
      </c>
    </row>
    <row r="447" spans="1:16" ht="27.6" x14ac:dyDescent="0.3">
      <c r="A447" s="39" t="s">
        <v>33</v>
      </c>
      <c r="B447" s="4" t="s">
        <v>34</v>
      </c>
      <c r="C447" s="5" t="s">
        <v>221</v>
      </c>
      <c r="D447" s="56" t="s">
        <v>267</v>
      </c>
      <c r="E447" s="51" t="str">
        <f>IF(_xlfn.ISFORMULA('Previsto x realizado'!AW2294) = FALSE, "","Enviado")</f>
        <v>Enviado</v>
      </c>
      <c r="F447" s="51" t="str">
        <f>IF(_xlfn.ISFORMULA('Previsto x realizado'!AX2294) = FALSE, "","Enviado")</f>
        <v>Enviado</v>
      </c>
      <c r="G447" s="51" t="str">
        <f>IF(_xlfn.ISFORMULA('Previsto x realizado'!AY2294) = FALSE, "","Enviado")</f>
        <v>Enviado</v>
      </c>
      <c r="H447" s="51" t="str">
        <f>IF(_xlfn.ISFORMULA('Previsto x realizado'!AZ2294) = FALSE, "","Enviado")</f>
        <v>Enviado</v>
      </c>
      <c r="I447" s="51" t="str">
        <f>IF(_xlfn.ISFORMULA('Previsto x realizado'!BA2294) = FALSE, "","Enviado")</f>
        <v/>
      </c>
      <c r="J447" s="51" t="str">
        <f>IF(_xlfn.ISFORMULA('Previsto x realizado'!BB2294) = FALSE, "","Enviado")</f>
        <v/>
      </c>
      <c r="K447" s="51" t="str">
        <f>IF(_xlfn.ISFORMULA('Previsto x realizado'!BC2294) = FALSE, "","Enviado")</f>
        <v/>
      </c>
      <c r="L447" s="51" t="str">
        <f>IF(_xlfn.ISFORMULA('Previsto x realizado'!BD2294) = FALSE, "","Enviado")</f>
        <v/>
      </c>
      <c r="M447" s="51" t="str">
        <f>IF(_xlfn.ISFORMULA('Previsto x realizado'!BE2294) = FALSE, "","Enviado")</f>
        <v/>
      </c>
      <c r="N447" s="51" t="str">
        <f>IF(_xlfn.ISFORMULA('Previsto x realizado'!BF2294) = FALSE, "","Enviado")</f>
        <v/>
      </c>
      <c r="O447" s="51" t="str">
        <f>IF(_xlfn.ISFORMULA('Previsto x realizado'!BG2294) = FALSE, "","Enviado")</f>
        <v/>
      </c>
      <c r="P447" s="51" t="str">
        <f>IF(_xlfn.ISFORMULA('Previsto x realizado'!BH2294) = FALSE, "","Enviado")</f>
        <v/>
      </c>
    </row>
    <row r="448" spans="1:16" x14ac:dyDescent="0.3">
      <c r="A448" s="3" t="s">
        <v>33</v>
      </c>
      <c r="B448" s="4" t="s">
        <v>53</v>
      </c>
      <c r="C448" s="5" t="s">
        <v>221</v>
      </c>
      <c r="D448" s="4" t="s">
        <v>238</v>
      </c>
      <c r="E448" s="51" t="str">
        <f>IF(_xlfn.ISFORMULA('Previsto x realizado'!AW2297) = FALSE, "","Enviado")</f>
        <v>Enviado</v>
      </c>
      <c r="F448" s="51" t="str">
        <f>IF(_xlfn.ISFORMULA('Previsto x realizado'!AX2297) = FALSE, "","Enviado")</f>
        <v>Enviado</v>
      </c>
      <c r="G448" s="51" t="str">
        <f>IF(_xlfn.ISFORMULA('Previsto x realizado'!AY2297) = FALSE, "","Enviado")</f>
        <v>Enviado</v>
      </c>
      <c r="H448" s="51" t="str">
        <f>IF(_xlfn.ISFORMULA('Previsto x realizado'!AZ2297) = FALSE, "","Enviado")</f>
        <v>Enviado</v>
      </c>
      <c r="I448" s="51" t="str">
        <f>IF(_xlfn.ISFORMULA('Previsto x realizado'!BA2297) = FALSE, "","Enviado")</f>
        <v/>
      </c>
      <c r="J448" s="51" t="str">
        <f>IF(_xlfn.ISFORMULA('Previsto x realizado'!BB2297) = FALSE, "","Enviado")</f>
        <v/>
      </c>
      <c r="K448" s="51" t="str">
        <f>IF(_xlfn.ISFORMULA('Previsto x realizado'!BC2297) = FALSE, "","Enviado")</f>
        <v/>
      </c>
      <c r="L448" s="51" t="str">
        <f>IF(_xlfn.ISFORMULA('Previsto x realizado'!BD2297) = FALSE, "","Enviado")</f>
        <v/>
      </c>
      <c r="M448" s="51" t="str">
        <f>IF(_xlfn.ISFORMULA('Previsto x realizado'!BE2297) = FALSE, "","Enviado")</f>
        <v/>
      </c>
      <c r="N448" s="51" t="str">
        <f>IF(_xlfn.ISFORMULA('Previsto x realizado'!BF2297) = FALSE, "","Enviado")</f>
        <v/>
      </c>
      <c r="O448" s="51" t="str">
        <f>IF(_xlfn.ISFORMULA('Previsto x realizado'!BG2297) = FALSE, "","Enviado")</f>
        <v/>
      </c>
      <c r="P448" s="51" t="str">
        <f>IF(_xlfn.ISFORMULA('Previsto x realizado'!BH2297) = FALSE, "","Enviado")</f>
        <v/>
      </c>
    </row>
    <row r="449" spans="1:16" x14ac:dyDescent="0.3">
      <c r="A449" s="39" t="s">
        <v>33</v>
      </c>
      <c r="B449" s="4" t="s">
        <v>53</v>
      </c>
      <c r="C449" s="5" t="s">
        <v>221</v>
      </c>
      <c r="D449" s="4" t="s">
        <v>238</v>
      </c>
      <c r="E449" s="51" t="str">
        <f>IF(_xlfn.ISFORMULA('Previsto x realizado'!AW2300) = FALSE, "","Enviado")</f>
        <v>Enviado</v>
      </c>
      <c r="F449" s="51" t="str">
        <f>IF(_xlfn.ISFORMULA('Previsto x realizado'!AX2300) = FALSE, "","Enviado")</f>
        <v>Enviado</v>
      </c>
      <c r="G449" s="51" t="str">
        <f>IF(_xlfn.ISFORMULA('Previsto x realizado'!AY2300) = FALSE, "","Enviado")</f>
        <v>Enviado</v>
      </c>
      <c r="H449" s="51" t="str">
        <f>IF(_xlfn.ISFORMULA('Previsto x realizado'!AZ2300) = FALSE, "","Enviado")</f>
        <v>Enviado</v>
      </c>
      <c r="I449" s="51" t="str">
        <f>IF(_xlfn.ISFORMULA('Previsto x realizado'!BA2300) = FALSE, "","Enviado")</f>
        <v/>
      </c>
      <c r="J449" s="51" t="str">
        <f>IF(_xlfn.ISFORMULA('Previsto x realizado'!BB2300) = FALSE, "","Enviado")</f>
        <v/>
      </c>
      <c r="K449" s="51" t="str">
        <f>IF(_xlfn.ISFORMULA('Previsto x realizado'!BC2300) = FALSE, "","Enviado")</f>
        <v/>
      </c>
      <c r="L449" s="51" t="str">
        <f>IF(_xlfn.ISFORMULA('Previsto x realizado'!BD2300) = FALSE, "","Enviado")</f>
        <v/>
      </c>
      <c r="M449" s="51" t="str">
        <f>IF(_xlfn.ISFORMULA('Previsto x realizado'!BE2300) = FALSE, "","Enviado")</f>
        <v/>
      </c>
      <c r="N449" s="51" t="str">
        <f>IF(_xlfn.ISFORMULA('Previsto x realizado'!BF2300) = FALSE, "","Enviado")</f>
        <v/>
      </c>
      <c r="O449" s="51" t="str">
        <f>IF(_xlfn.ISFORMULA('Previsto x realizado'!BG2300) = FALSE, "","Enviado")</f>
        <v/>
      </c>
      <c r="P449" s="51" t="str">
        <f>IF(_xlfn.ISFORMULA('Previsto x realizado'!BH2300) = FALSE, "","Enviado")</f>
        <v/>
      </c>
    </row>
    <row r="450" spans="1:16" x14ac:dyDescent="0.3">
      <c r="A450" s="3" t="s">
        <v>33</v>
      </c>
      <c r="B450" s="4" t="s">
        <v>310</v>
      </c>
      <c r="C450" s="5" t="s">
        <v>221</v>
      </c>
      <c r="D450" s="56" t="s">
        <v>288</v>
      </c>
      <c r="E450" s="51" t="str">
        <f>IF(_xlfn.ISFORMULA('Previsto x realizado'!AW2303) = FALSE, "","Enviado")</f>
        <v>Enviado</v>
      </c>
      <c r="F450" s="51" t="str">
        <f>IF(_xlfn.ISFORMULA('Previsto x realizado'!AX2303) = FALSE, "","Enviado")</f>
        <v>Enviado</v>
      </c>
      <c r="G450" s="51" t="str">
        <f>IF(_xlfn.ISFORMULA('Previsto x realizado'!AY2303) = FALSE, "","Enviado")</f>
        <v>Enviado</v>
      </c>
      <c r="H450" s="51" t="str">
        <f>IF(_xlfn.ISFORMULA('Previsto x realizado'!AZ2303) = FALSE, "","Enviado")</f>
        <v>Enviado</v>
      </c>
      <c r="I450" s="51" t="str">
        <f>IF(_xlfn.ISFORMULA('Previsto x realizado'!BA2303) = FALSE, "","Enviado")</f>
        <v/>
      </c>
      <c r="J450" s="51" t="str">
        <f>IF(_xlfn.ISFORMULA('Previsto x realizado'!BB2303) = FALSE, "","Enviado")</f>
        <v/>
      </c>
      <c r="K450" s="51" t="str">
        <f>IF(_xlfn.ISFORMULA('Previsto x realizado'!BC2303) = FALSE, "","Enviado")</f>
        <v/>
      </c>
      <c r="L450" s="51" t="str">
        <f>IF(_xlfn.ISFORMULA('Previsto x realizado'!BD2303) = FALSE, "","Enviado")</f>
        <v/>
      </c>
      <c r="M450" s="51" t="str">
        <f>IF(_xlfn.ISFORMULA('Previsto x realizado'!BE2303) = FALSE, "","Enviado")</f>
        <v/>
      </c>
      <c r="N450" s="51" t="str">
        <f>IF(_xlfn.ISFORMULA('Previsto x realizado'!BF2303) = FALSE, "","Enviado")</f>
        <v/>
      </c>
      <c r="O450" s="51" t="str">
        <f>IF(_xlfn.ISFORMULA('Previsto x realizado'!BG2303) = FALSE, "","Enviado")</f>
        <v/>
      </c>
      <c r="P450" s="51" t="str">
        <f>IF(_xlfn.ISFORMULA('Previsto x realizado'!BH2303) = FALSE, "","Enviado")</f>
        <v/>
      </c>
    </row>
    <row r="451" spans="1:16" hidden="1" x14ac:dyDescent="0.3">
      <c r="A451" s="39" t="s">
        <v>33</v>
      </c>
      <c r="B451" s="4" t="s">
        <v>310</v>
      </c>
      <c r="C451" s="5" t="s">
        <v>221</v>
      </c>
      <c r="D451" s="56" t="s">
        <v>288</v>
      </c>
      <c r="E451" s="51" t="e">
        <f>IF(_xlfn.ISFORMULA('Previsto x realizado'!#REF!) = FALSE, "","Enviado")</f>
        <v>#REF!</v>
      </c>
      <c r="F451" s="51" t="e">
        <f>IF(_xlfn.ISFORMULA('Previsto x realizado'!#REF!) = FALSE, "","Enviado")</f>
        <v>#REF!</v>
      </c>
      <c r="G451" s="51" t="e">
        <f>IF(_xlfn.ISFORMULA('Previsto x realizado'!#REF!) = FALSE, "","Enviado")</f>
        <v>#REF!</v>
      </c>
      <c r="H451" s="51" t="e">
        <f>IF(_xlfn.ISFORMULA('Previsto x realizado'!#REF!) = FALSE, "","Enviado")</f>
        <v>#REF!</v>
      </c>
      <c r="I451" s="51" t="e">
        <f>IF(_xlfn.ISFORMULA('Previsto x realizado'!#REF!) = FALSE, "","Enviado")</f>
        <v>#REF!</v>
      </c>
      <c r="J451" s="51" t="e">
        <f>IF(_xlfn.ISFORMULA('Previsto x realizado'!#REF!) = FALSE, "","Enviado")</f>
        <v>#REF!</v>
      </c>
      <c r="K451" s="51" t="e">
        <f>IF(_xlfn.ISFORMULA('Previsto x realizado'!#REF!) = FALSE, "","Enviado")</f>
        <v>#REF!</v>
      </c>
      <c r="L451" s="51" t="e">
        <f>IF(_xlfn.ISFORMULA('Previsto x realizado'!#REF!) = FALSE, "","Enviado")</f>
        <v>#REF!</v>
      </c>
      <c r="M451" s="51" t="e">
        <f>IF(_xlfn.ISFORMULA('Previsto x realizado'!#REF!) = FALSE, "","Enviado")</f>
        <v>#REF!</v>
      </c>
      <c r="N451" s="51" t="e">
        <f>IF(_xlfn.ISFORMULA('Previsto x realizado'!#REF!) = FALSE, "","Enviado")</f>
        <v>#REF!</v>
      </c>
      <c r="O451" s="51" t="e">
        <f>IF(_xlfn.ISFORMULA('Previsto x realizado'!#REF!) = FALSE, "","Enviado")</f>
        <v>#REF!</v>
      </c>
      <c r="P451" s="51" t="e">
        <f>IF(_xlfn.ISFORMULA('Previsto x realizado'!#REF!) = FALSE, "","Enviado")</f>
        <v>#REF!</v>
      </c>
    </row>
    <row r="452" spans="1:16" x14ac:dyDescent="0.3">
      <c r="A452" s="39" t="s">
        <v>33</v>
      </c>
      <c r="B452" s="4" t="s">
        <v>310</v>
      </c>
      <c r="C452" s="5" t="s">
        <v>221</v>
      </c>
      <c r="D452" s="56" t="s">
        <v>288</v>
      </c>
      <c r="E452" s="51" t="str">
        <f>IF(_xlfn.ISFORMULA('Previsto x realizado'!AW2306) = FALSE, "","Enviado")</f>
        <v>Enviado</v>
      </c>
      <c r="F452" s="51" t="str">
        <f>IF(_xlfn.ISFORMULA('Previsto x realizado'!AX2306) = FALSE, "","Enviado")</f>
        <v>Enviado</v>
      </c>
      <c r="G452" s="51" t="str">
        <f>IF(_xlfn.ISFORMULA('Previsto x realizado'!AY2306) = FALSE, "","Enviado")</f>
        <v>Enviado</v>
      </c>
      <c r="H452" s="51" t="str">
        <f>IF(_xlfn.ISFORMULA('Previsto x realizado'!AZ2306) = FALSE, "","Enviado")</f>
        <v>Enviado</v>
      </c>
      <c r="I452" s="51" t="str">
        <f>IF(_xlfn.ISFORMULA('Previsto x realizado'!BA2306) = FALSE, "","Enviado")</f>
        <v/>
      </c>
      <c r="J452" s="51" t="str">
        <f>IF(_xlfn.ISFORMULA('Previsto x realizado'!BB2306) = FALSE, "","Enviado")</f>
        <v/>
      </c>
      <c r="K452" s="51" t="str">
        <f>IF(_xlfn.ISFORMULA('Previsto x realizado'!BC2306) = FALSE, "","Enviado")</f>
        <v/>
      </c>
      <c r="L452" s="51" t="str">
        <f>IF(_xlfn.ISFORMULA('Previsto x realizado'!BD2306) = FALSE, "","Enviado")</f>
        <v/>
      </c>
      <c r="M452" s="51" t="str">
        <f>IF(_xlfn.ISFORMULA('Previsto x realizado'!BE2306) = FALSE, "","Enviado")</f>
        <v/>
      </c>
      <c r="N452" s="51" t="str">
        <f>IF(_xlfn.ISFORMULA('Previsto x realizado'!BF2306) = FALSE, "","Enviado")</f>
        <v/>
      </c>
      <c r="O452" s="51" t="str">
        <f>IF(_xlfn.ISFORMULA('Previsto x realizado'!BG2306) = FALSE, "","Enviado")</f>
        <v/>
      </c>
      <c r="P452" s="51" t="str">
        <f>IF(_xlfn.ISFORMULA('Previsto x realizado'!BH2306) = FALSE, "","Enviado")</f>
        <v/>
      </c>
    </row>
    <row r="453" spans="1:16" ht="27.6" x14ac:dyDescent="0.3">
      <c r="A453" s="3" t="s">
        <v>33</v>
      </c>
      <c r="B453" s="4" t="s">
        <v>70</v>
      </c>
      <c r="C453" s="5" t="s">
        <v>221</v>
      </c>
      <c r="D453" s="56" t="s">
        <v>267</v>
      </c>
      <c r="E453" s="51" t="str">
        <f>IF(_xlfn.ISFORMULA('Previsto x realizado'!AW2309) = FALSE, "","Enviado")</f>
        <v>Enviado</v>
      </c>
      <c r="F453" s="51" t="str">
        <f>IF(_xlfn.ISFORMULA('Previsto x realizado'!AX2309) = FALSE, "","Enviado")</f>
        <v>Enviado</v>
      </c>
      <c r="G453" s="51" t="str">
        <f>IF(_xlfn.ISFORMULA('Previsto x realizado'!AY2309) = FALSE, "","Enviado")</f>
        <v>Enviado</v>
      </c>
      <c r="H453" s="51" t="str">
        <f>IF(_xlfn.ISFORMULA('Previsto x realizado'!AZ2309) = FALSE, "","Enviado")</f>
        <v>Enviado</v>
      </c>
      <c r="I453" s="51" t="str">
        <f>IF(_xlfn.ISFORMULA('Previsto x realizado'!BA2309) = FALSE, "","Enviado")</f>
        <v/>
      </c>
      <c r="J453" s="51" t="str">
        <f>IF(_xlfn.ISFORMULA('Previsto x realizado'!BB2309) = FALSE, "","Enviado")</f>
        <v/>
      </c>
      <c r="K453" s="51" t="str">
        <f>IF(_xlfn.ISFORMULA('Previsto x realizado'!BC2309) = FALSE, "","Enviado")</f>
        <v/>
      </c>
      <c r="L453" s="51" t="str">
        <f>IF(_xlfn.ISFORMULA('Previsto x realizado'!BD2309) = FALSE, "","Enviado")</f>
        <v/>
      </c>
      <c r="M453" s="51" t="str">
        <f>IF(_xlfn.ISFORMULA('Previsto x realizado'!BE2309) = FALSE, "","Enviado")</f>
        <v/>
      </c>
      <c r="N453" s="51" t="str">
        <f>IF(_xlfn.ISFORMULA('Previsto x realizado'!BF2309) = FALSE, "","Enviado")</f>
        <v/>
      </c>
      <c r="O453" s="51" t="str">
        <f>IF(_xlfn.ISFORMULA('Previsto x realizado'!BG2309) = FALSE, "","Enviado")</f>
        <v/>
      </c>
      <c r="P453" s="51" t="str">
        <f>IF(_xlfn.ISFORMULA('Previsto x realizado'!BH2309) = FALSE, "","Enviado")</f>
        <v/>
      </c>
    </row>
    <row r="454" spans="1:16" ht="27.6" x14ac:dyDescent="0.3">
      <c r="A454" s="39" t="s">
        <v>33</v>
      </c>
      <c r="B454" s="4" t="s">
        <v>70</v>
      </c>
      <c r="C454" s="5" t="s">
        <v>221</v>
      </c>
      <c r="D454" s="56" t="s">
        <v>267</v>
      </c>
      <c r="E454" s="51" t="str">
        <f>IF(_xlfn.ISFORMULA('Previsto x realizado'!AW2312) = FALSE, "","Enviado")</f>
        <v>Enviado</v>
      </c>
      <c r="F454" s="51" t="str">
        <f>IF(_xlfn.ISFORMULA('Previsto x realizado'!AX2312) = FALSE, "","Enviado")</f>
        <v>Enviado</v>
      </c>
      <c r="G454" s="51" t="str">
        <f>IF(_xlfn.ISFORMULA('Previsto x realizado'!AY2312) = FALSE, "","Enviado")</f>
        <v>Enviado</v>
      </c>
      <c r="H454" s="51" t="str">
        <f>IF(_xlfn.ISFORMULA('Previsto x realizado'!AZ2312) = FALSE, "","Enviado")</f>
        <v>Enviado</v>
      </c>
      <c r="I454" s="51" t="str">
        <f>IF(_xlfn.ISFORMULA('Previsto x realizado'!BA2312) = FALSE, "","Enviado")</f>
        <v/>
      </c>
      <c r="J454" s="51" t="str">
        <f>IF(_xlfn.ISFORMULA('Previsto x realizado'!BB2312) = FALSE, "","Enviado")</f>
        <v/>
      </c>
      <c r="K454" s="51" t="str">
        <f>IF(_xlfn.ISFORMULA('Previsto x realizado'!BC2312) = FALSE, "","Enviado")</f>
        <v/>
      </c>
      <c r="L454" s="51" t="str">
        <f>IF(_xlfn.ISFORMULA('Previsto x realizado'!BD2312) = FALSE, "","Enviado")</f>
        <v/>
      </c>
      <c r="M454" s="51" t="str">
        <f>IF(_xlfn.ISFORMULA('Previsto x realizado'!BE2312) = FALSE, "","Enviado")</f>
        <v/>
      </c>
      <c r="N454" s="51" t="str">
        <f>IF(_xlfn.ISFORMULA('Previsto x realizado'!BF2312) = FALSE, "","Enviado")</f>
        <v/>
      </c>
      <c r="O454" s="51" t="str">
        <f>IF(_xlfn.ISFORMULA('Previsto x realizado'!BG2312) = FALSE, "","Enviado")</f>
        <v/>
      </c>
      <c r="P454" s="51" t="str">
        <f>IF(_xlfn.ISFORMULA('Previsto x realizado'!BH2312) = FALSE, "","Enviado")</f>
        <v/>
      </c>
    </row>
    <row r="455" spans="1:16" x14ac:dyDescent="0.3">
      <c r="A455" s="3" t="s">
        <v>33</v>
      </c>
      <c r="B455" s="4" t="s">
        <v>73</v>
      </c>
      <c r="C455" s="5" t="s">
        <v>221</v>
      </c>
      <c r="D455" s="4" t="s">
        <v>238</v>
      </c>
      <c r="E455" s="51" t="str">
        <f>IF(_xlfn.ISFORMULA('Previsto x realizado'!AW2315) = FALSE, "","Enviado")</f>
        <v>Enviado</v>
      </c>
      <c r="F455" s="51" t="str">
        <f>IF(_xlfn.ISFORMULA('Previsto x realizado'!AX2315) = FALSE, "","Enviado")</f>
        <v>Enviado</v>
      </c>
      <c r="G455" s="51" t="str">
        <f>IF(_xlfn.ISFORMULA('Previsto x realizado'!AY2315) = FALSE, "","Enviado")</f>
        <v>Enviado</v>
      </c>
      <c r="H455" s="51" t="str">
        <f>IF(_xlfn.ISFORMULA('Previsto x realizado'!AZ2315) = FALSE, "","Enviado")</f>
        <v>Enviado</v>
      </c>
      <c r="I455" s="51" t="str">
        <f>IF(_xlfn.ISFORMULA('Previsto x realizado'!BA2315) = FALSE, "","Enviado")</f>
        <v/>
      </c>
      <c r="J455" s="51" t="str">
        <f>IF(_xlfn.ISFORMULA('Previsto x realizado'!BB2315) = FALSE, "","Enviado")</f>
        <v/>
      </c>
      <c r="K455" s="51" t="str">
        <f>IF(_xlfn.ISFORMULA('Previsto x realizado'!BC2315) = FALSE, "","Enviado")</f>
        <v/>
      </c>
      <c r="L455" s="51" t="str">
        <f>IF(_xlfn.ISFORMULA('Previsto x realizado'!BD2315) = FALSE, "","Enviado")</f>
        <v/>
      </c>
      <c r="M455" s="51" t="str">
        <f>IF(_xlfn.ISFORMULA('Previsto x realizado'!BE2315) = FALSE, "","Enviado")</f>
        <v/>
      </c>
      <c r="N455" s="51" t="str">
        <f>IF(_xlfn.ISFORMULA('Previsto x realizado'!BF2315) = FALSE, "","Enviado")</f>
        <v/>
      </c>
      <c r="O455" s="51" t="str">
        <f>IF(_xlfn.ISFORMULA('Previsto x realizado'!BG2315) = FALSE, "","Enviado")</f>
        <v/>
      </c>
      <c r="P455" s="51" t="str">
        <f>IF(_xlfn.ISFORMULA('Previsto x realizado'!BH2315) = FALSE, "","Enviado")</f>
        <v/>
      </c>
    </row>
    <row r="456" spans="1:16" x14ac:dyDescent="0.3">
      <c r="A456" s="39" t="s">
        <v>33</v>
      </c>
      <c r="B456" s="4" t="s">
        <v>73</v>
      </c>
      <c r="C456" s="5" t="s">
        <v>221</v>
      </c>
      <c r="D456" s="4" t="s">
        <v>238</v>
      </c>
      <c r="E456" s="51" t="str">
        <f>IF(_xlfn.ISFORMULA('Previsto x realizado'!AW2318) = FALSE, "","Enviado")</f>
        <v>Enviado</v>
      </c>
      <c r="F456" s="51" t="str">
        <f>IF(_xlfn.ISFORMULA('Previsto x realizado'!AX2318) = FALSE, "","Enviado")</f>
        <v>Enviado</v>
      </c>
      <c r="G456" s="51" t="str">
        <f>IF(_xlfn.ISFORMULA('Previsto x realizado'!AY2318) = FALSE, "","Enviado")</f>
        <v>Enviado</v>
      </c>
      <c r="H456" s="51" t="str">
        <f>IF(_xlfn.ISFORMULA('Previsto x realizado'!AZ2318) = FALSE, "","Enviado")</f>
        <v>Enviado</v>
      </c>
      <c r="I456" s="51" t="str">
        <f>IF(_xlfn.ISFORMULA('Previsto x realizado'!BA2318) = FALSE, "","Enviado")</f>
        <v/>
      </c>
      <c r="J456" s="51" t="str">
        <f>IF(_xlfn.ISFORMULA('Previsto x realizado'!BB2318) = FALSE, "","Enviado")</f>
        <v/>
      </c>
      <c r="K456" s="51" t="str">
        <f>IF(_xlfn.ISFORMULA('Previsto x realizado'!BC2318) = FALSE, "","Enviado")</f>
        <v/>
      </c>
      <c r="L456" s="51" t="str">
        <f>IF(_xlfn.ISFORMULA('Previsto x realizado'!BD2318) = FALSE, "","Enviado")</f>
        <v/>
      </c>
      <c r="M456" s="51" t="str">
        <f>IF(_xlfn.ISFORMULA('Previsto x realizado'!BE2318) = FALSE, "","Enviado")</f>
        <v/>
      </c>
      <c r="N456" s="51" t="str">
        <f>IF(_xlfn.ISFORMULA('Previsto x realizado'!BF2318) = FALSE, "","Enviado")</f>
        <v/>
      </c>
      <c r="O456" s="51" t="str">
        <f>IF(_xlfn.ISFORMULA('Previsto x realizado'!BG2318) = FALSE, "","Enviado")</f>
        <v/>
      </c>
      <c r="P456" s="51" t="str">
        <f>IF(_xlfn.ISFORMULA('Previsto x realizado'!BH2318) = FALSE, "","Enviado")</f>
        <v/>
      </c>
    </row>
    <row r="457" spans="1:16" x14ac:dyDescent="0.3">
      <c r="A457" s="3" t="s">
        <v>33</v>
      </c>
      <c r="B457" s="4" t="s">
        <v>77</v>
      </c>
      <c r="C457" s="5" t="s">
        <v>221</v>
      </c>
      <c r="D457" s="4" t="s">
        <v>238</v>
      </c>
      <c r="E457" s="51" t="str">
        <f>IF(_xlfn.ISFORMULA('Previsto x realizado'!AW2321) = FALSE, "","Enviado")</f>
        <v>Enviado</v>
      </c>
      <c r="F457" s="51" t="str">
        <f>IF(_xlfn.ISFORMULA('Previsto x realizado'!AX2321) = FALSE, "","Enviado")</f>
        <v>Enviado</v>
      </c>
      <c r="G457" s="51" t="str">
        <f>IF(_xlfn.ISFORMULA('Previsto x realizado'!AY2321) = FALSE, "","Enviado")</f>
        <v>Enviado</v>
      </c>
      <c r="H457" s="51" t="str">
        <f>IF(_xlfn.ISFORMULA('Previsto x realizado'!AZ2321) = FALSE, "","Enviado")</f>
        <v>Enviado</v>
      </c>
      <c r="I457" s="51" t="str">
        <f>IF(_xlfn.ISFORMULA('Previsto x realizado'!BA2321) = FALSE, "","Enviado")</f>
        <v/>
      </c>
      <c r="J457" s="51" t="str">
        <f>IF(_xlfn.ISFORMULA('Previsto x realizado'!BB2321) = FALSE, "","Enviado")</f>
        <v/>
      </c>
      <c r="K457" s="51" t="str">
        <f>IF(_xlfn.ISFORMULA('Previsto x realizado'!BC2321) = FALSE, "","Enviado")</f>
        <v/>
      </c>
      <c r="L457" s="51" t="str">
        <f>IF(_xlfn.ISFORMULA('Previsto x realizado'!BD2321) = FALSE, "","Enviado")</f>
        <v/>
      </c>
      <c r="M457" s="51" t="str">
        <f>IF(_xlfn.ISFORMULA('Previsto x realizado'!BE2321) = FALSE, "","Enviado")</f>
        <v/>
      </c>
      <c r="N457" s="51" t="str">
        <f>IF(_xlfn.ISFORMULA('Previsto x realizado'!BF2321) = FALSE, "","Enviado")</f>
        <v/>
      </c>
      <c r="O457" s="51" t="str">
        <f>IF(_xlfn.ISFORMULA('Previsto x realizado'!BG2321) = FALSE, "","Enviado")</f>
        <v/>
      </c>
      <c r="P457" s="51" t="str">
        <f>IF(_xlfn.ISFORMULA('Previsto x realizado'!BH2321) = FALSE, "","Enviado")</f>
        <v/>
      </c>
    </row>
    <row r="458" spans="1:16" x14ac:dyDescent="0.3">
      <c r="A458" s="39" t="s">
        <v>33</v>
      </c>
      <c r="B458" s="4" t="s">
        <v>77</v>
      </c>
      <c r="C458" s="5" t="s">
        <v>221</v>
      </c>
      <c r="D458" s="4" t="s">
        <v>238</v>
      </c>
      <c r="E458" s="51" t="str">
        <f>IF(_xlfn.ISFORMULA('Previsto x realizado'!AW2324) = FALSE, "","Enviado")</f>
        <v>Enviado</v>
      </c>
      <c r="F458" s="51" t="str">
        <f>IF(_xlfn.ISFORMULA('Previsto x realizado'!AX2324) = FALSE, "","Enviado")</f>
        <v>Enviado</v>
      </c>
      <c r="G458" s="51" t="str">
        <f>IF(_xlfn.ISFORMULA('Previsto x realizado'!AY2324) = FALSE, "","Enviado")</f>
        <v>Enviado</v>
      </c>
      <c r="H458" s="51" t="str">
        <f>IF(_xlfn.ISFORMULA('Previsto x realizado'!AZ2324) = FALSE, "","Enviado")</f>
        <v>Enviado</v>
      </c>
      <c r="I458" s="51" t="str">
        <f>IF(_xlfn.ISFORMULA('Previsto x realizado'!BA2324) = FALSE, "","Enviado")</f>
        <v/>
      </c>
      <c r="J458" s="51" t="str">
        <f>IF(_xlfn.ISFORMULA('Previsto x realizado'!BB2324) = FALSE, "","Enviado")</f>
        <v/>
      </c>
      <c r="K458" s="51" t="str">
        <f>IF(_xlfn.ISFORMULA('Previsto x realizado'!BC2324) = FALSE, "","Enviado")</f>
        <v/>
      </c>
      <c r="L458" s="51" t="str">
        <f>IF(_xlfn.ISFORMULA('Previsto x realizado'!BD2324) = FALSE, "","Enviado")</f>
        <v/>
      </c>
      <c r="M458" s="51" t="str">
        <f>IF(_xlfn.ISFORMULA('Previsto x realizado'!BE2324) = FALSE, "","Enviado")</f>
        <v/>
      </c>
      <c r="N458" s="51" t="str">
        <f>IF(_xlfn.ISFORMULA('Previsto x realizado'!BF2324) = FALSE, "","Enviado")</f>
        <v/>
      </c>
      <c r="O458" s="51" t="str">
        <f>IF(_xlfn.ISFORMULA('Previsto x realizado'!BG2324) = FALSE, "","Enviado")</f>
        <v/>
      </c>
      <c r="P458" s="51" t="str">
        <f>IF(_xlfn.ISFORMULA('Previsto x realizado'!BH2324) = FALSE, "","Enviado")</f>
        <v/>
      </c>
    </row>
    <row r="459" spans="1:16" x14ac:dyDescent="0.3">
      <c r="A459" s="3" t="s">
        <v>33</v>
      </c>
      <c r="B459" s="4" t="s">
        <v>81</v>
      </c>
      <c r="C459" s="5" t="s">
        <v>221</v>
      </c>
      <c r="D459" s="4" t="s">
        <v>238</v>
      </c>
      <c r="E459" s="51" t="str">
        <f>IF(_xlfn.ISFORMULA('Previsto x realizado'!AW2327) = FALSE, "","Enviado")</f>
        <v>Enviado</v>
      </c>
      <c r="F459" s="51" t="str">
        <f>IF(_xlfn.ISFORMULA('Previsto x realizado'!AX2327) = FALSE, "","Enviado")</f>
        <v>Enviado</v>
      </c>
      <c r="G459" s="51" t="str">
        <f>IF(_xlfn.ISFORMULA('Previsto x realizado'!AY2327) = FALSE, "","Enviado")</f>
        <v>Enviado</v>
      </c>
      <c r="H459" s="51" t="str">
        <f>IF(_xlfn.ISFORMULA('Previsto x realizado'!AZ2327) = FALSE, "","Enviado")</f>
        <v>Enviado</v>
      </c>
      <c r="I459" s="51" t="str">
        <f>IF(_xlfn.ISFORMULA('Previsto x realizado'!BA2327) = FALSE, "","Enviado")</f>
        <v/>
      </c>
      <c r="J459" s="51" t="str">
        <f>IF(_xlfn.ISFORMULA('Previsto x realizado'!BB2327) = FALSE, "","Enviado")</f>
        <v/>
      </c>
      <c r="K459" s="51" t="str">
        <f>IF(_xlfn.ISFORMULA('Previsto x realizado'!BC2327) = FALSE, "","Enviado")</f>
        <v/>
      </c>
      <c r="L459" s="51" t="str">
        <f>IF(_xlfn.ISFORMULA('Previsto x realizado'!BD2327) = FALSE, "","Enviado")</f>
        <v/>
      </c>
      <c r="M459" s="51" t="str">
        <f>IF(_xlfn.ISFORMULA('Previsto x realizado'!BE2327) = FALSE, "","Enviado")</f>
        <v/>
      </c>
      <c r="N459" s="51" t="str">
        <f>IF(_xlfn.ISFORMULA('Previsto x realizado'!BF2327) = FALSE, "","Enviado")</f>
        <v/>
      </c>
      <c r="O459" s="51" t="str">
        <f>IF(_xlfn.ISFORMULA('Previsto x realizado'!BG2327) = FALSE, "","Enviado")</f>
        <v/>
      </c>
      <c r="P459" s="51" t="str">
        <f>IF(_xlfn.ISFORMULA('Previsto x realizado'!BH2327) = FALSE, "","Enviado")</f>
        <v/>
      </c>
    </row>
    <row r="460" spans="1:16" x14ac:dyDescent="0.3">
      <c r="A460" s="39" t="s">
        <v>33</v>
      </c>
      <c r="B460" s="4" t="s">
        <v>81</v>
      </c>
      <c r="C460" s="5" t="s">
        <v>221</v>
      </c>
      <c r="D460" s="4" t="s">
        <v>238</v>
      </c>
      <c r="E460" s="51" t="str">
        <f>IF(_xlfn.ISFORMULA('Previsto x realizado'!AW2330) = FALSE, "","Enviado")</f>
        <v>Enviado</v>
      </c>
      <c r="F460" s="51" t="str">
        <f>IF(_xlfn.ISFORMULA('Previsto x realizado'!AX2330) = FALSE, "","Enviado")</f>
        <v>Enviado</v>
      </c>
      <c r="G460" s="51" t="str">
        <f>IF(_xlfn.ISFORMULA('Previsto x realizado'!AY2330) = FALSE, "","Enviado")</f>
        <v>Enviado</v>
      </c>
      <c r="H460" s="51" t="str">
        <f>IF(_xlfn.ISFORMULA('Previsto x realizado'!AZ2330) = FALSE, "","Enviado")</f>
        <v>Enviado</v>
      </c>
      <c r="I460" s="51" t="str">
        <f>IF(_xlfn.ISFORMULA('Previsto x realizado'!BA2330) = FALSE, "","Enviado")</f>
        <v/>
      </c>
      <c r="J460" s="51" t="str">
        <f>IF(_xlfn.ISFORMULA('Previsto x realizado'!BB2330) = FALSE, "","Enviado")</f>
        <v/>
      </c>
      <c r="K460" s="51" t="str">
        <f>IF(_xlfn.ISFORMULA('Previsto x realizado'!BC2330) = FALSE, "","Enviado")</f>
        <v/>
      </c>
      <c r="L460" s="51" t="str">
        <f>IF(_xlfn.ISFORMULA('Previsto x realizado'!BD2330) = FALSE, "","Enviado")</f>
        <v/>
      </c>
      <c r="M460" s="51" t="str">
        <f>IF(_xlfn.ISFORMULA('Previsto x realizado'!BE2330) = FALSE, "","Enviado")</f>
        <v/>
      </c>
      <c r="N460" s="51" t="str">
        <f>IF(_xlfn.ISFORMULA('Previsto x realizado'!BF2330) = FALSE, "","Enviado")</f>
        <v/>
      </c>
      <c r="O460" s="51" t="str">
        <f>IF(_xlfn.ISFORMULA('Previsto x realizado'!BG2330) = FALSE, "","Enviado")</f>
        <v/>
      </c>
      <c r="P460" s="51" t="str">
        <f>IF(_xlfn.ISFORMULA('Previsto x realizado'!BH2330) = FALSE, "","Enviado")</f>
        <v/>
      </c>
    </row>
    <row r="461" spans="1:16" ht="27.6" x14ac:dyDescent="0.3">
      <c r="A461" s="3" t="s">
        <v>33</v>
      </c>
      <c r="B461" s="4" t="s">
        <v>84</v>
      </c>
      <c r="C461" s="5" t="s">
        <v>221</v>
      </c>
      <c r="D461" s="4" t="s">
        <v>267</v>
      </c>
      <c r="E461" s="51" t="str">
        <f>IF(_xlfn.ISFORMULA('Previsto x realizado'!AW2333) = FALSE, "","Enviado")</f>
        <v>Enviado</v>
      </c>
      <c r="F461" s="51" t="str">
        <f>IF(_xlfn.ISFORMULA('Previsto x realizado'!AX2333) = FALSE, "","Enviado")</f>
        <v>Enviado</v>
      </c>
      <c r="G461" s="51" t="str">
        <f>IF(_xlfn.ISFORMULA('Previsto x realizado'!AY2333) = FALSE, "","Enviado")</f>
        <v>Enviado</v>
      </c>
      <c r="H461" s="51" t="str">
        <f>IF(_xlfn.ISFORMULA('Previsto x realizado'!AZ2333) = FALSE, "","Enviado")</f>
        <v>Enviado</v>
      </c>
      <c r="I461" s="51" t="str">
        <f>IF(_xlfn.ISFORMULA('Previsto x realizado'!BA2333) = FALSE, "","Enviado")</f>
        <v/>
      </c>
      <c r="J461" s="51" t="str">
        <f>IF(_xlfn.ISFORMULA('Previsto x realizado'!BB2333) = FALSE, "","Enviado")</f>
        <v/>
      </c>
      <c r="K461" s="51" t="str">
        <f>IF(_xlfn.ISFORMULA('Previsto x realizado'!BC2333) = FALSE, "","Enviado")</f>
        <v/>
      </c>
      <c r="L461" s="51" t="str">
        <f>IF(_xlfn.ISFORMULA('Previsto x realizado'!BD2333) = FALSE, "","Enviado")</f>
        <v/>
      </c>
      <c r="M461" s="51" t="str">
        <f>IF(_xlfn.ISFORMULA('Previsto x realizado'!BE2333) = FALSE, "","Enviado")</f>
        <v/>
      </c>
      <c r="N461" s="51" t="str">
        <f>IF(_xlfn.ISFORMULA('Previsto x realizado'!BF2333) = FALSE, "","Enviado")</f>
        <v/>
      </c>
      <c r="O461" s="51" t="str">
        <f>IF(_xlfn.ISFORMULA('Previsto x realizado'!BG2333) = FALSE, "","Enviado")</f>
        <v/>
      </c>
      <c r="P461" s="51" t="str">
        <f>IF(_xlfn.ISFORMULA('Previsto x realizado'!BH2333) = FALSE, "","Enviado")</f>
        <v/>
      </c>
    </row>
    <row r="462" spans="1:16" ht="27.6" hidden="1" x14ac:dyDescent="0.3">
      <c r="A462" s="39" t="s">
        <v>33</v>
      </c>
      <c r="B462" s="4" t="s">
        <v>84</v>
      </c>
      <c r="C462" s="5" t="s">
        <v>221</v>
      </c>
      <c r="D462" s="4" t="s">
        <v>267</v>
      </c>
      <c r="E462" s="51" t="str">
        <f>IF(_xlfn.ISFORMULA('Previsto x realizado'!AW2338) = FALSE, "","Enviado")</f>
        <v/>
      </c>
      <c r="F462" s="51" t="str">
        <f>IF(_xlfn.ISFORMULA('Previsto x realizado'!AX2338) = FALSE, "","Enviado")</f>
        <v/>
      </c>
      <c r="G462" s="51" t="str">
        <f>IF(_xlfn.ISFORMULA('Previsto x realizado'!AY2338) = FALSE, "","Enviado")</f>
        <v/>
      </c>
      <c r="H462" s="51" t="str">
        <f>IF(_xlfn.ISFORMULA('Previsto x realizado'!AZ2338) = FALSE, "","Enviado")</f>
        <v/>
      </c>
      <c r="I462" s="51" t="str">
        <f>IF(_xlfn.ISFORMULA('Previsto x realizado'!BA2338) = FALSE, "","Enviado")</f>
        <v/>
      </c>
      <c r="J462" s="51" t="str">
        <f>IF(_xlfn.ISFORMULA('Previsto x realizado'!BB2338) = FALSE, "","Enviado")</f>
        <v/>
      </c>
      <c r="K462" s="51" t="str">
        <f>IF(_xlfn.ISFORMULA('Previsto x realizado'!BC2338) = FALSE, "","Enviado")</f>
        <v/>
      </c>
      <c r="L462" s="51" t="str">
        <f>IF(_xlfn.ISFORMULA('Previsto x realizado'!BD2338) = FALSE, "","Enviado")</f>
        <v/>
      </c>
      <c r="M462" s="51" t="str">
        <f>IF(_xlfn.ISFORMULA('Previsto x realizado'!BE2338) = FALSE, "","Enviado")</f>
        <v/>
      </c>
      <c r="N462" s="51" t="str">
        <f>IF(_xlfn.ISFORMULA('Previsto x realizado'!BF2338) = FALSE, "","Enviado")</f>
        <v/>
      </c>
      <c r="O462" s="51" t="str">
        <f>IF(_xlfn.ISFORMULA('Previsto x realizado'!BG2338) = FALSE, "","Enviado")</f>
        <v/>
      </c>
      <c r="P462" s="51" t="str">
        <f>IF(_xlfn.ISFORMULA('Previsto x realizado'!BH2338) = FALSE, "","Enviado")</f>
        <v/>
      </c>
    </row>
    <row r="463" spans="1:16" x14ac:dyDescent="0.3">
      <c r="A463" s="20" t="s">
        <v>87</v>
      </c>
      <c r="B463" s="4" t="s">
        <v>222</v>
      </c>
      <c r="C463" s="5" t="s">
        <v>221</v>
      </c>
      <c r="D463" s="4" t="s">
        <v>238</v>
      </c>
      <c r="E463" s="51" t="str">
        <f>IF(_xlfn.ISFORMULA('Previsto x realizado'!AW2359) = FALSE, "","Enviado")</f>
        <v>Enviado</v>
      </c>
      <c r="F463" s="51" t="str">
        <f>IF(_xlfn.ISFORMULA('Previsto x realizado'!AX2359) = FALSE, "","Enviado")</f>
        <v>Enviado</v>
      </c>
      <c r="G463" s="51" t="str">
        <f>IF(_xlfn.ISFORMULA('Previsto x realizado'!AY2359) = FALSE, "","Enviado")</f>
        <v>Enviado</v>
      </c>
      <c r="H463" s="51" t="str">
        <f>IF(_xlfn.ISFORMULA('Previsto x realizado'!AZ2359) = FALSE, "","Enviado")</f>
        <v>Enviado</v>
      </c>
      <c r="I463" s="51" t="str">
        <f>IF(_xlfn.ISFORMULA('Previsto x realizado'!BA2359) = FALSE, "","Enviado")</f>
        <v>Enviado</v>
      </c>
      <c r="J463" s="51" t="str">
        <f>IF(_xlfn.ISFORMULA('Previsto x realizado'!BB2359) = FALSE, "","Enviado")</f>
        <v/>
      </c>
      <c r="K463" s="51" t="str">
        <f>IF(_xlfn.ISFORMULA('Previsto x realizado'!BC2359) = FALSE, "","Enviado")</f>
        <v/>
      </c>
      <c r="L463" s="51" t="str">
        <f>IF(_xlfn.ISFORMULA('Previsto x realizado'!BD2359) = FALSE, "","Enviado")</f>
        <v/>
      </c>
      <c r="M463" s="51" t="str">
        <f>IF(_xlfn.ISFORMULA('Previsto x realizado'!BE2359) = FALSE, "","Enviado")</f>
        <v/>
      </c>
      <c r="N463" s="51" t="str">
        <f>IF(_xlfn.ISFORMULA('Previsto x realizado'!BF2359) = FALSE, "","Enviado")</f>
        <v/>
      </c>
      <c r="O463" s="51" t="str">
        <f>IF(_xlfn.ISFORMULA('Previsto x realizado'!BG2359) = FALSE, "","Enviado")</f>
        <v/>
      </c>
      <c r="P463" s="51" t="str">
        <f>IF(_xlfn.ISFORMULA('Previsto x realizado'!BH2359) = FALSE, "","Enviado")</f>
        <v/>
      </c>
    </row>
    <row r="464" spans="1:16" x14ac:dyDescent="0.3">
      <c r="A464" s="40" t="s">
        <v>87</v>
      </c>
      <c r="B464" s="4" t="s">
        <v>222</v>
      </c>
      <c r="C464" s="5" t="s">
        <v>221</v>
      </c>
      <c r="D464" s="4" t="s">
        <v>238</v>
      </c>
      <c r="E464" s="51" t="str">
        <f>IF(_xlfn.ISFORMULA('Previsto x realizado'!AW2365) = FALSE, "","Enviado")</f>
        <v>Enviado</v>
      </c>
      <c r="F464" s="51" t="str">
        <f>IF(_xlfn.ISFORMULA('Previsto x realizado'!AX2365) = FALSE, "","Enviado")</f>
        <v>Enviado</v>
      </c>
      <c r="G464" s="51" t="str">
        <f>IF(_xlfn.ISFORMULA('Previsto x realizado'!AY2365) = FALSE, "","Enviado")</f>
        <v>Enviado</v>
      </c>
      <c r="H464" s="51" t="str">
        <f>IF(_xlfn.ISFORMULA('Previsto x realizado'!AZ2365) = FALSE, "","Enviado")</f>
        <v>Enviado</v>
      </c>
      <c r="I464" s="51" t="str">
        <f>IF(_xlfn.ISFORMULA('Previsto x realizado'!BA2365) = FALSE, "","Enviado")</f>
        <v/>
      </c>
      <c r="J464" s="51" t="str">
        <f>IF(_xlfn.ISFORMULA('Previsto x realizado'!BB2365) = FALSE, "","Enviado")</f>
        <v/>
      </c>
      <c r="K464" s="51" t="str">
        <f>IF(_xlfn.ISFORMULA('Previsto x realizado'!BC2365) = FALSE, "","Enviado")</f>
        <v/>
      </c>
      <c r="L464" s="51" t="str">
        <f>IF(_xlfn.ISFORMULA('Previsto x realizado'!BD2365) = FALSE, "","Enviado")</f>
        <v/>
      </c>
      <c r="M464" s="51" t="str">
        <f>IF(_xlfn.ISFORMULA('Previsto x realizado'!BE2365) = FALSE, "","Enviado")</f>
        <v/>
      </c>
      <c r="N464" s="51" t="str">
        <f>IF(_xlfn.ISFORMULA('Previsto x realizado'!BF2365) = FALSE, "","Enviado")</f>
        <v/>
      </c>
      <c r="O464" s="51" t="str">
        <f>IF(_xlfn.ISFORMULA('Previsto x realizado'!BG2365) = FALSE, "","Enviado")</f>
        <v/>
      </c>
      <c r="P464" s="51" t="str">
        <f>IF(_xlfn.ISFORMULA('Previsto x realizado'!BH2365) = FALSE, "","Enviado")</f>
        <v/>
      </c>
    </row>
    <row r="465" spans="1:16" x14ac:dyDescent="0.3">
      <c r="A465" s="20" t="s">
        <v>87</v>
      </c>
      <c r="B465" s="4" t="s">
        <v>229</v>
      </c>
      <c r="C465" s="5" t="s">
        <v>221</v>
      </c>
      <c r="D465" s="4" t="s">
        <v>238</v>
      </c>
      <c r="E465" s="51" t="str">
        <f>IF(_xlfn.ISFORMULA('Previsto x realizado'!AW2376) = FALSE, "","Enviado")</f>
        <v>Enviado</v>
      </c>
      <c r="F465" s="51" t="str">
        <f>IF(_xlfn.ISFORMULA('Previsto x realizado'!AX2376) = FALSE, "","Enviado")</f>
        <v>Enviado</v>
      </c>
      <c r="G465" s="51" t="str">
        <f>IF(_xlfn.ISFORMULA('Previsto x realizado'!AY2376) = FALSE, "","Enviado")</f>
        <v>Enviado</v>
      </c>
      <c r="H465" s="51" t="str">
        <f>IF(_xlfn.ISFORMULA('Previsto x realizado'!AZ2376) = FALSE, "","Enviado")</f>
        <v>Enviado</v>
      </c>
      <c r="I465" s="51" t="str">
        <f>IF(_xlfn.ISFORMULA('Previsto x realizado'!BA2376) = FALSE, "","Enviado")</f>
        <v/>
      </c>
      <c r="J465" s="51" t="str">
        <f>IF(_xlfn.ISFORMULA('Previsto x realizado'!BB2376) = FALSE, "","Enviado")</f>
        <v/>
      </c>
      <c r="K465" s="51" t="str">
        <f>IF(_xlfn.ISFORMULA('Previsto x realizado'!BC2376) = FALSE, "","Enviado")</f>
        <v/>
      </c>
      <c r="L465" s="51" t="str">
        <f>IF(_xlfn.ISFORMULA('Previsto x realizado'!BD2376) = FALSE, "","Enviado")</f>
        <v/>
      </c>
      <c r="M465" s="51" t="str">
        <f>IF(_xlfn.ISFORMULA('Previsto x realizado'!BE2376) = FALSE, "","Enviado")</f>
        <v/>
      </c>
      <c r="N465" s="51" t="str">
        <f>IF(_xlfn.ISFORMULA('Previsto x realizado'!BF2376) = FALSE, "","Enviado")</f>
        <v/>
      </c>
      <c r="O465" s="51" t="str">
        <f>IF(_xlfn.ISFORMULA('Previsto x realizado'!BG2376) = FALSE, "","Enviado")</f>
        <v/>
      </c>
      <c r="P465" s="51" t="str">
        <f>IF(_xlfn.ISFORMULA('Previsto x realizado'!BH2376) = FALSE, "","Enviado")</f>
        <v/>
      </c>
    </row>
    <row r="466" spans="1:16" x14ac:dyDescent="0.3">
      <c r="A466" s="40" t="s">
        <v>87</v>
      </c>
      <c r="B466" s="4" t="s">
        <v>229</v>
      </c>
      <c r="C466" s="5" t="s">
        <v>221</v>
      </c>
      <c r="D466" s="4" t="s">
        <v>238</v>
      </c>
      <c r="E466" s="51" t="str">
        <f>IF(_xlfn.ISFORMULA('Previsto x realizado'!AW2382) = FALSE, "","Enviado")</f>
        <v>Enviado</v>
      </c>
      <c r="F466" s="51" t="str">
        <f>IF(_xlfn.ISFORMULA('Previsto x realizado'!AX2382) = FALSE, "","Enviado")</f>
        <v>Enviado</v>
      </c>
      <c r="G466" s="51" t="str">
        <f>IF(_xlfn.ISFORMULA('Previsto x realizado'!AY2382) = FALSE, "","Enviado")</f>
        <v>Enviado</v>
      </c>
      <c r="H466" s="51" t="str">
        <f>IF(_xlfn.ISFORMULA('Previsto x realizado'!AZ2382) = FALSE, "","Enviado")</f>
        <v>Enviado</v>
      </c>
      <c r="I466" s="51" t="str">
        <f>IF(_xlfn.ISFORMULA('Previsto x realizado'!BA2382) = FALSE, "","Enviado")</f>
        <v/>
      </c>
      <c r="J466" s="51" t="str">
        <f>IF(_xlfn.ISFORMULA('Previsto x realizado'!BB2382) = FALSE, "","Enviado")</f>
        <v/>
      </c>
      <c r="K466" s="51" t="str">
        <f>IF(_xlfn.ISFORMULA('Previsto x realizado'!BC2382) = FALSE, "","Enviado")</f>
        <v/>
      </c>
      <c r="L466" s="51" t="str">
        <f>IF(_xlfn.ISFORMULA('Previsto x realizado'!BD2382) = FALSE, "","Enviado")</f>
        <v/>
      </c>
      <c r="M466" s="51" t="str">
        <f>IF(_xlfn.ISFORMULA('Previsto x realizado'!BE2382) = FALSE, "","Enviado")</f>
        <v/>
      </c>
      <c r="N466" s="51" t="str">
        <f>IF(_xlfn.ISFORMULA('Previsto x realizado'!BF2382) = FALSE, "","Enviado")</f>
        <v/>
      </c>
      <c r="O466" s="51" t="str">
        <f>IF(_xlfn.ISFORMULA('Previsto x realizado'!BG2382) = FALSE, "","Enviado")</f>
        <v/>
      </c>
      <c r="P466" s="51" t="str">
        <f>IF(_xlfn.ISFORMULA('Previsto x realizado'!BH2382) = FALSE, "","Enviado")</f>
        <v/>
      </c>
    </row>
    <row r="467" spans="1:16" x14ac:dyDescent="0.3">
      <c r="A467" s="20" t="s">
        <v>87</v>
      </c>
      <c r="B467" s="4" t="s">
        <v>232</v>
      </c>
      <c r="C467" s="5" t="s">
        <v>221</v>
      </c>
      <c r="D467" s="4" t="s">
        <v>238</v>
      </c>
      <c r="E467" s="51" t="str">
        <f>IF(_xlfn.ISFORMULA('Previsto x realizado'!AW2393) = FALSE, "","Enviado")</f>
        <v>Enviado</v>
      </c>
      <c r="F467" s="51" t="str">
        <f>IF(_xlfn.ISFORMULA('Previsto x realizado'!AX2393) = FALSE, "","Enviado")</f>
        <v>Enviado</v>
      </c>
      <c r="G467" s="51" t="str">
        <f>IF(_xlfn.ISFORMULA('Previsto x realizado'!AY2393) = FALSE, "","Enviado")</f>
        <v>Enviado</v>
      </c>
      <c r="H467" s="51" t="str">
        <f>IF(_xlfn.ISFORMULA('Previsto x realizado'!AZ2393) = FALSE, "","Enviado")</f>
        <v>Enviado</v>
      </c>
      <c r="I467" s="51" t="str">
        <f>IF(_xlfn.ISFORMULA('Previsto x realizado'!BA2393) = FALSE, "","Enviado")</f>
        <v/>
      </c>
      <c r="J467" s="51" t="str">
        <f>IF(_xlfn.ISFORMULA('Previsto x realizado'!BB2393) = FALSE, "","Enviado")</f>
        <v/>
      </c>
      <c r="K467" s="51" t="str">
        <f>IF(_xlfn.ISFORMULA('Previsto x realizado'!BC2393) = FALSE, "","Enviado")</f>
        <v/>
      </c>
      <c r="L467" s="51" t="str">
        <f>IF(_xlfn.ISFORMULA('Previsto x realizado'!BD2393) = FALSE, "","Enviado")</f>
        <v/>
      </c>
      <c r="M467" s="51" t="str">
        <f>IF(_xlfn.ISFORMULA('Previsto x realizado'!BE2393) = FALSE, "","Enviado")</f>
        <v/>
      </c>
      <c r="N467" s="51" t="str">
        <f>IF(_xlfn.ISFORMULA('Previsto x realizado'!BF2393) = FALSE, "","Enviado")</f>
        <v/>
      </c>
      <c r="O467" s="51" t="str">
        <f>IF(_xlfn.ISFORMULA('Previsto x realizado'!BG2393) = FALSE, "","Enviado")</f>
        <v/>
      </c>
      <c r="P467" s="51" t="str">
        <f>IF(_xlfn.ISFORMULA('Previsto x realizado'!BH2393) = FALSE, "","Enviado")</f>
        <v/>
      </c>
    </row>
    <row r="468" spans="1:16" x14ac:dyDescent="0.3">
      <c r="A468" s="40" t="s">
        <v>87</v>
      </c>
      <c r="B468" s="4" t="s">
        <v>232</v>
      </c>
      <c r="C468" s="5" t="s">
        <v>221</v>
      </c>
      <c r="D468" s="4" t="s">
        <v>238</v>
      </c>
      <c r="E468" s="51" t="str">
        <f>IF(_xlfn.ISFORMULA('Previsto x realizado'!AW2398) = FALSE, "","Enviado")</f>
        <v>Enviado</v>
      </c>
      <c r="F468" s="51" t="str">
        <f>IF(_xlfn.ISFORMULA('Previsto x realizado'!AX2398) = FALSE, "","Enviado")</f>
        <v>Enviado</v>
      </c>
      <c r="G468" s="51" t="str">
        <f>IF(_xlfn.ISFORMULA('Previsto x realizado'!AY2398) = FALSE, "","Enviado")</f>
        <v>Enviado</v>
      </c>
      <c r="H468" s="51" t="str">
        <f>IF(_xlfn.ISFORMULA('Previsto x realizado'!AZ2398) = FALSE, "","Enviado")</f>
        <v>Enviado</v>
      </c>
      <c r="I468" s="51" t="str">
        <f>IF(_xlfn.ISFORMULA('Previsto x realizado'!BA2398) = FALSE, "","Enviado")</f>
        <v/>
      </c>
      <c r="J468" s="51" t="str">
        <f>IF(_xlfn.ISFORMULA('Previsto x realizado'!BB2398) = FALSE, "","Enviado")</f>
        <v/>
      </c>
      <c r="K468" s="51" t="str">
        <f>IF(_xlfn.ISFORMULA('Previsto x realizado'!BC2398) = FALSE, "","Enviado")</f>
        <v/>
      </c>
      <c r="L468" s="51" t="str">
        <f>IF(_xlfn.ISFORMULA('Previsto x realizado'!BD2398) = FALSE, "","Enviado")</f>
        <v/>
      </c>
      <c r="M468" s="51" t="str">
        <f>IF(_xlfn.ISFORMULA('Previsto x realizado'!BE2398) = FALSE, "","Enviado")</f>
        <v/>
      </c>
      <c r="N468" s="51" t="str">
        <f>IF(_xlfn.ISFORMULA('Previsto x realizado'!BF2398) = FALSE, "","Enviado")</f>
        <v/>
      </c>
      <c r="O468" s="51" t="str">
        <f>IF(_xlfn.ISFORMULA('Previsto x realizado'!BG2398) = FALSE, "","Enviado")</f>
        <v/>
      </c>
      <c r="P468" s="51" t="str">
        <f>IF(_xlfn.ISFORMULA('Previsto x realizado'!BH2398) = FALSE, "","Enviado")</f>
        <v/>
      </c>
    </row>
    <row r="469" spans="1:16" ht="27.6" x14ac:dyDescent="0.3">
      <c r="A469" s="20" t="s">
        <v>87</v>
      </c>
      <c r="B469" s="4" t="s">
        <v>88</v>
      </c>
      <c r="C469" s="5" t="s">
        <v>221</v>
      </c>
      <c r="D469" s="4" t="s">
        <v>267</v>
      </c>
      <c r="E469" s="51" t="str">
        <f>IF(_xlfn.ISFORMULA('Previsto x realizado'!AW2407) = FALSE, "","Enviado")</f>
        <v>Enviado</v>
      </c>
      <c r="F469" s="51" t="str">
        <f>IF(_xlfn.ISFORMULA('Previsto x realizado'!AX2407) = FALSE, "","Enviado")</f>
        <v>Enviado</v>
      </c>
      <c r="G469" s="51" t="str">
        <f>IF(_xlfn.ISFORMULA('Previsto x realizado'!AY2407) = FALSE, "","Enviado")</f>
        <v>Enviado</v>
      </c>
      <c r="H469" s="51" t="str">
        <f>IF(_xlfn.ISFORMULA('Previsto x realizado'!AZ2407) = FALSE, "","Enviado")</f>
        <v>Enviado</v>
      </c>
      <c r="I469" s="51" t="str">
        <f>IF(_xlfn.ISFORMULA('Previsto x realizado'!BA2407) = FALSE, "","Enviado")</f>
        <v/>
      </c>
      <c r="J469" s="51" t="str">
        <f>IF(_xlfn.ISFORMULA('Previsto x realizado'!BB2407) = FALSE, "","Enviado")</f>
        <v/>
      </c>
      <c r="K469" s="51" t="str">
        <f>IF(_xlfn.ISFORMULA('Previsto x realizado'!BC2407) = FALSE, "","Enviado")</f>
        <v/>
      </c>
      <c r="L469" s="51" t="str">
        <f>IF(_xlfn.ISFORMULA('Previsto x realizado'!BD2407) = FALSE, "","Enviado")</f>
        <v/>
      </c>
      <c r="M469" s="51" t="str">
        <f>IF(_xlfn.ISFORMULA('Previsto x realizado'!BE2407) = FALSE, "","Enviado")</f>
        <v/>
      </c>
      <c r="N469" s="51" t="str">
        <f>IF(_xlfn.ISFORMULA('Previsto x realizado'!BF2407) = FALSE, "","Enviado")</f>
        <v/>
      </c>
      <c r="O469" s="51" t="str">
        <f>IF(_xlfn.ISFORMULA('Previsto x realizado'!BG2407) = FALSE, "","Enviado")</f>
        <v/>
      </c>
      <c r="P469" s="51" t="str">
        <f>IF(_xlfn.ISFORMULA('Previsto x realizado'!BH2407) = FALSE, "","Enviado")</f>
        <v/>
      </c>
    </row>
    <row r="470" spans="1:16" ht="27.6" x14ac:dyDescent="0.3">
      <c r="A470" s="40" t="s">
        <v>87</v>
      </c>
      <c r="B470" s="4" t="s">
        <v>88</v>
      </c>
      <c r="C470" s="5" t="s">
        <v>221</v>
      </c>
      <c r="D470" s="4" t="s">
        <v>267</v>
      </c>
      <c r="E470" s="51" t="str">
        <f>IF(_xlfn.ISFORMULA('Previsto x realizado'!AW2410) = FALSE, "","Enviado")</f>
        <v>Enviado</v>
      </c>
      <c r="F470" s="51" t="str">
        <f>IF(_xlfn.ISFORMULA('Previsto x realizado'!AX2410) = FALSE, "","Enviado")</f>
        <v>Enviado</v>
      </c>
      <c r="G470" s="51" t="str">
        <f>IF(_xlfn.ISFORMULA('Previsto x realizado'!AY2410) = FALSE, "","Enviado")</f>
        <v>Enviado</v>
      </c>
      <c r="H470" s="51" t="str">
        <f>IF(_xlfn.ISFORMULA('Previsto x realizado'!AZ2410) = FALSE, "","Enviado")</f>
        <v>Enviado</v>
      </c>
      <c r="I470" s="51" t="str">
        <f>IF(_xlfn.ISFORMULA('Previsto x realizado'!BA2410) = FALSE, "","Enviado")</f>
        <v>Enviado</v>
      </c>
      <c r="J470" s="51" t="str">
        <f>IF(_xlfn.ISFORMULA('Previsto x realizado'!BB2410) = FALSE, "","Enviado")</f>
        <v/>
      </c>
      <c r="K470" s="51" t="str">
        <f>IF(_xlfn.ISFORMULA('Previsto x realizado'!BC2410) = FALSE, "","Enviado")</f>
        <v/>
      </c>
      <c r="L470" s="51" t="str">
        <f>IF(_xlfn.ISFORMULA('Previsto x realizado'!BD2410) = FALSE, "","Enviado")</f>
        <v/>
      </c>
      <c r="M470" s="51" t="str">
        <f>IF(_xlfn.ISFORMULA('Previsto x realizado'!BE2410) = FALSE, "","Enviado")</f>
        <v/>
      </c>
      <c r="N470" s="51" t="str">
        <f>IF(_xlfn.ISFORMULA('Previsto x realizado'!BF2410) = FALSE, "","Enviado")</f>
        <v/>
      </c>
      <c r="O470" s="51" t="str">
        <f>IF(_xlfn.ISFORMULA('Previsto x realizado'!BG2410) = FALSE, "","Enviado")</f>
        <v/>
      </c>
      <c r="P470" s="51" t="str">
        <f>IF(_xlfn.ISFORMULA('Previsto x realizado'!BH2410) = FALSE, "","Enviado")</f>
        <v/>
      </c>
    </row>
    <row r="471" spans="1:16" ht="27.6" x14ac:dyDescent="0.3">
      <c r="A471" s="40" t="s">
        <v>87</v>
      </c>
      <c r="B471" s="4" t="s">
        <v>88</v>
      </c>
      <c r="C471" s="5" t="s">
        <v>221</v>
      </c>
      <c r="D471" s="4" t="s">
        <v>267</v>
      </c>
      <c r="E471" s="51" t="str">
        <f>IF(_xlfn.ISFORMULA('Previsto x realizado'!AW2415) = FALSE, "","Enviado")</f>
        <v>Enviado</v>
      </c>
      <c r="F471" s="51" t="str">
        <f>IF(_xlfn.ISFORMULA('Previsto x realizado'!AX2415) = FALSE, "","Enviado")</f>
        <v>Enviado</v>
      </c>
      <c r="G471" s="51" t="str">
        <f>IF(_xlfn.ISFORMULA('Previsto x realizado'!AY2415) = FALSE, "","Enviado")</f>
        <v>Enviado</v>
      </c>
      <c r="H471" s="51" t="str">
        <f>IF(_xlfn.ISFORMULA('Previsto x realizado'!AZ2415) = FALSE, "","Enviado")</f>
        <v>Enviado</v>
      </c>
      <c r="I471" s="51" t="str">
        <f>IF(_xlfn.ISFORMULA('Previsto x realizado'!BA2415) = FALSE, "","Enviado")</f>
        <v>Enviado</v>
      </c>
      <c r="J471" s="51" t="str">
        <f>IF(_xlfn.ISFORMULA('Previsto x realizado'!BB2415) = FALSE, "","Enviado")</f>
        <v/>
      </c>
      <c r="K471" s="51" t="str">
        <f>IF(_xlfn.ISFORMULA('Previsto x realizado'!BC2415) = FALSE, "","Enviado")</f>
        <v/>
      </c>
      <c r="L471" s="51" t="str">
        <f>IF(_xlfn.ISFORMULA('Previsto x realizado'!BD2415) = FALSE, "","Enviado")</f>
        <v/>
      </c>
      <c r="M471" s="51" t="str">
        <f>IF(_xlfn.ISFORMULA('Previsto x realizado'!BE2415) = FALSE, "","Enviado")</f>
        <v/>
      </c>
      <c r="N471" s="51" t="str">
        <f>IF(_xlfn.ISFORMULA('Previsto x realizado'!BF2415) = FALSE, "","Enviado")</f>
        <v/>
      </c>
      <c r="O471" s="51" t="str">
        <f>IF(_xlfn.ISFORMULA('Previsto x realizado'!BG2415) = FALSE, "","Enviado")</f>
        <v/>
      </c>
      <c r="P471" s="51" t="str">
        <f>IF(_xlfn.ISFORMULA('Previsto x realizado'!BH2415) = FALSE, "","Enviado")</f>
        <v/>
      </c>
    </row>
    <row r="472" spans="1:16" x14ac:dyDescent="0.3">
      <c r="A472" s="70" t="s">
        <v>108</v>
      </c>
      <c r="B472" s="4" t="s">
        <v>109</v>
      </c>
      <c r="C472" s="5" t="s">
        <v>221</v>
      </c>
      <c r="D472" s="4" t="s">
        <v>238</v>
      </c>
      <c r="E472" s="51" t="str">
        <f>IF(_xlfn.ISFORMULA('Previsto x realizado'!AW2416) = FALSE, "","Enviado")</f>
        <v>Enviado</v>
      </c>
      <c r="F472" s="51" t="str">
        <f>IF(_xlfn.ISFORMULA('Previsto x realizado'!AX2416) = FALSE, "","Enviado")</f>
        <v>Enviado</v>
      </c>
      <c r="G472" s="51" t="str">
        <f>IF(_xlfn.ISFORMULA('Previsto x realizado'!AY2416) = FALSE, "","Enviado")</f>
        <v>Enviado</v>
      </c>
      <c r="H472" s="51" t="str">
        <f>IF(_xlfn.ISFORMULA('Previsto x realizado'!AZ2416) = FALSE, "","Enviado")</f>
        <v>Enviado</v>
      </c>
      <c r="I472" s="51" t="str">
        <f>IF(_xlfn.ISFORMULA('Previsto x realizado'!BA2416) = FALSE, "","Enviado")</f>
        <v/>
      </c>
      <c r="J472" s="51" t="str">
        <f>IF(_xlfn.ISFORMULA('Previsto x realizado'!BB2416) = FALSE, "","Enviado")</f>
        <v/>
      </c>
      <c r="K472" s="51" t="str">
        <f>IF(_xlfn.ISFORMULA('Previsto x realizado'!BC2416) = FALSE, "","Enviado")</f>
        <v/>
      </c>
      <c r="L472" s="51" t="str">
        <f>IF(_xlfn.ISFORMULA('Previsto x realizado'!BD2416) = FALSE, "","Enviado")</f>
        <v/>
      </c>
      <c r="M472" s="51" t="str">
        <f>IF(_xlfn.ISFORMULA('Previsto x realizado'!BE2416) = FALSE, "","Enviado")</f>
        <v/>
      </c>
      <c r="N472" s="51" t="str">
        <f>IF(_xlfn.ISFORMULA('Previsto x realizado'!BF2416) = FALSE, "","Enviado")</f>
        <v/>
      </c>
      <c r="O472" s="51" t="str">
        <f>IF(_xlfn.ISFORMULA('Previsto x realizado'!BG2416) = FALSE, "","Enviado")</f>
        <v/>
      </c>
      <c r="P472" s="51" t="str">
        <f>IF(_xlfn.ISFORMULA('Previsto x realizado'!BH2416) = FALSE, "","Enviado")</f>
        <v/>
      </c>
    </row>
    <row r="473" spans="1:16" hidden="1" x14ac:dyDescent="0.3">
      <c r="A473" s="41" t="s">
        <v>108</v>
      </c>
      <c r="B473" s="4" t="s">
        <v>109</v>
      </c>
      <c r="C473" s="5" t="s">
        <v>221</v>
      </c>
      <c r="D473" s="4" t="s">
        <v>238</v>
      </c>
      <c r="E473" s="51" t="str">
        <f>IF(_xlfn.ISFORMULA('Previsto x realizado'!AW2419) = FALSE, "","Enviado")</f>
        <v>Enviado</v>
      </c>
      <c r="F473" s="51" t="str">
        <f>IF(_xlfn.ISFORMULA('Previsto x realizado'!AX2419) = FALSE, "","Enviado")</f>
        <v>Enviado</v>
      </c>
      <c r="G473" s="51" t="str">
        <f>IF(_xlfn.ISFORMULA('Previsto x realizado'!AY2419) = FALSE, "","Enviado")</f>
        <v>Enviado</v>
      </c>
      <c r="H473" s="51" t="str">
        <f>IF(_xlfn.ISFORMULA('Previsto x realizado'!AZ2419) = FALSE, "","Enviado")</f>
        <v>Enviado</v>
      </c>
      <c r="I473" s="51" t="str">
        <f>IF(_xlfn.ISFORMULA('Previsto x realizado'!BA2419) = FALSE, "","Enviado")</f>
        <v/>
      </c>
      <c r="J473" s="51" t="str">
        <f>IF(_xlfn.ISFORMULA('Previsto x realizado'!BB2419) = FALSE, "","Enviado")</f>
        <v/>
      </c>
      <c r="K473" s="51" t="str">
        <f>IF(_xlfn.ISFORMULA('Previsto x realizado'!BC2419) = FALSE, "","Enviado")</f>
        <v/>
      </c>
      <c r="L473" s="51" t="str">
        <f>IF(_xlfn.ISFORMULA('Previsto x realizado'!BD2419) = FALSE, "","Enviado")</f>
        <v/>
      </c>
      <c r="M473" s="51" t="str">
        <f>IF(_xlfn.ISFORMULA('Previsto x realizado'!BE2419) = FALSE, "","Enviado")</f>
        <v/>
      </c>
      <c r="N473" s="51" t="str">
        <f>IF(_xlfn.ISFORMULA('Previsto x realizado'!BF2419) = FALSE, "","Enviado")</f>
        <v/>
      </c>
      <c r="O473" s="51" t="str">
        <f>IF(_xlfn.ISFORMULA('Previsto x realizado'!BG2419) = FALSE, "","Enviado")</f>
        <v/>
      </c>
      <c r="P473" s="51" t="str">
        <f>IF(_xlfn.ISFORMULA('Previsto x realizado'!BH2419) = FALSE, "","Enviado")</f>
        <v/>
      </c>
    </row>
    <row r="474" spans="1:16" hidden="1" x14ac:dyDescent="0.3">
      <c r="A474" s="41" t="s">
        <v>108</v>
      </c>
      <c r="B474" s="4" t="s">
        <v>314</v>
      </c>
      <c r="C474" s="5" t="s">
        <v>221</v>
      </c>
      <c r="D474" s="4" t="s">
        <v>238</v>
      </c>
      <c r="E474" s="51" t="str">
        <f>IF(_xlfn.ISFORMULA('Previsto x realizado'!AW2422) = FALSE, "","Enviado")</f>
        <v>Enviado</v>
      </c>
      <c r="F474" s="51" t="str">
        <f>IF(_xlfn.ISFORMULA('Previsto x realizado'!AX2422) = FALSE, "","Enviado")</f>
        <v>Enviado</v>
      </c>
      <c r="G474" s="51" t="str">
        <f>IF(_xlfn.ISFORMULA('Previsto x realizado'!AY2422) = FALSE, "","Enviado")</f>
        <v>Enviado</v>
      </c>
      <c r="H474" s="51" t="str">
        <f>IF(_xlfn.ISFORMULA('Previsto x realizado'!AZ2422) = FALSE, "","Enviado")</f>
        <v>Enviado</v>
      </c>
      <c r="I474" s="51" t="str">
        <f>IF(_xlfn.ISFORMULA('Previsto x realizado'!BA2422) = FALSE, "","Enviado")</f>
        <v/>
      </c>
      <c r="J474" s="51" t="str">
        <f>IF(_xlfn.ISFORMULA('Previsto x realizado'!BB2422) = FALSE, "","Enviado")</f>
        <v/>
      </c>
      <c r="K474" s="51" t="str">
        <f>IF(_xlfn.ISFORMULA('Previsto x realizado'!BC2422) = FALSE, "","Enviado")</f>
        <v/>
      </c>
      <c r="L474" s="51" t="str">
        <f>IF(_xlfn.ISFORMULA('Previsto x realizado'!BD2422) = FALSE, "","Enviado")</f>
        <v/>
      </c>
      <c r="M474" s="51" t="str">
        <f>IF(_xlfn.ISFORMULA('Previsto x realizado'!BE2422) = FALSE, "","Enviado")</f>
        <v/>
      </c>
      <c r="N474" s="51" t="str">
        <f>IF(_xlfn.ISFORMULA('Previsto x realizado'!BF2422) = FALSE, "","Enviado")</f>
        <v/>
      </c>
      <c r="O474" s="51" t="str">
        <f>IF(_xlfn.ISFORMULA('Previsto x realizado'!BG2422) = FALSE, "","Enviado")</f>
        <v/>
      </c>
      <c r="P474" s="51" t="str">
        <f>IF(_xlfn.ISFORMULA('Previsto x realizado'!BH2422) = FALSE, "","Enviado")</f>
        <v/>
      </c>
    </row>
    <row r="475" spans="1:16" ht="27.6" hidden="1" x14ac:dyDescent="0.3">
      <c r="A475" s="70" t="s">
        <v>108</v>
      </c>
      <c r="B475" s="4" t="s">
        <v>117</v>
      </c>
      <c r="C475" s="5" t="s">
        <v>221</v>
      </c>
      <c r="D475" s="4" t="s">
        <v>267</v>
      </c>
      <c r="E475" s="51" t="str">
        <f>IF(_xlfn.ISFORMULA('Previsto x realizado'!AW2425) = FALSE, "","Enviado")</f>
        <v>Enviado</v>
      </c>
      <c r="F475" s="51" t="str">
        <f>IF(_xlfn.ISFORMULA('Previsto x realizado'!AX2425) = FALSE, "","Enviado")</f>
        <v>Enviado</v>
      </c>
      <c r="G475" s="51" t="str">
        <f>IF(_xlfn.ISFORMULA('Previsto x realizado'!AY2425) = FALSE, "","Enviado")</f>
        <v>Enviado</v>
      </c>
      <c r="H475" s="51" t="str">
        <f>IF(_xlfn.ISFORMULA('Previsto x realizado'!AZ2425) = FALSE, "","Enviado")</f>
        <v>Enviado</v>
      </c>
      <c r="I475" s="51" t="str">
        <f>IF(_xlfn.ISFORMULA('Previsto x realizado'!BA2425) = FALSE, "","Enviado")</f>
        <v/>
      </c>
      <c r="J475" s="51" t="str">
        <f>IF(_xlfn.ISFORMULA('Previsto x realizado'!BB2425) = FALSE, "","Enviado")</f>
        <v/>
      </c>
      <c r="K475" s="51" t="str">
        <f>IF(_xlfn.ISFORMULA('Previsto x realizado'!BC2425) = FALSE, "","Enviado")</f>
        <v/>
      </c>
      <c r="L475" s="51" t="str">
        <f>IF(_xlfn.ISFORMULA('Previsto x realizado'!BD2425) = FALSE, "","Enviado")</f>
        <v/>
      </c>
      <c r="M475" s="51" t="str">
        <f>IF(_xlfn.ISFORMULA('Previsto x realizado'!BE2425) = FALSE, "","Enviado")</f>
        <v/>
      </c>
      <c r="N475" s="51" t="str">
        <f>IF(_xlfn.ISFORMULA('Previsto x realizado'!BF2425) = FALSE, "","Enviado")</f>
        <v/>
      </c>
      <c r="O475" s="51" t="str">
        <f>IF(_xlfn.ISFORMULA('Previsto x realizado'!BG2425) = FALSE, "","Enviado")</f>
        <v/>
      </c>
      <c r="P475" s="51" t="str">
        <f>IF(_xlfn.ISFORMULA('Previsto x realizado'!BH2425) = FALSE, "","Enviado")</f>
        <v/>
      </c>
    </row>
    <row r="476" spans="1:16" ht="27.6" hidden="1" x14ac:dyDescent="0.3">
      <c r="A476" s="70" t="s">
        <v>108</v>
      </c>
      <c r="B476" s="4" t="s">
        <v>117</v>
      </c>
      <c r="C476" s="5" t="s">
        <v>221</v>
      </c>
      <c r="D476" s="4" t="s">
        <v>267</v>
      </c>
      <c r="E476" s="51" t="str">
        <f>IF(_xlfn.ISFORMULA('Previsto x realizado'!AW2428) = FALSE, "","Enviado")</f>
        <v>Enviado</v>
      </c>
      <c r="F476" s="51" t="str">
        <f>IF(_xlfn.ISFORMULA('Previsto x realizado'!AX2428) = FALSE, "","Enviado")</f>
        <v>Enviado</v>
      </c>
      <c r="G476" s="51" t="str">
        <f>IF(_xlfn.ISFORMULA('Previsto x realizado'!AY2428) = FALSE, "","Enviado")</f>
        <v>Enviado</v>
      </c>
      <c r="H476" s="51" t="str">
        <f>IF(_xlfn.ISFORMULA('Previsto x realizado'!AZ2428) = FALSE, "","Enviado")</f>
        <v>Enviado</v>
      </c>
      <c r="I476" s="51" t="str">
        <f>IF(_xlfn.ISFORMULA('Previsto x realizado'!BA2428) = FALSE, "","Enviado")</f>
        <v/>
      </c>
      <c r="J476" s="51" t="str">
        <f>IF(_xlfn.ISFORMULA('Previsto x realizado'!BB2428) = FALSE, "","Enviado")</f>
        <v/>
      </c>
      <c r="K476" s="51" t="str">
        <f>IF(_xlfn.ISFORMULA('Previsto x realizado'!BC2428) = FALSE, "","Enviado")</f>
        <v/>
      </c>
      <c r="L476" s="51" t="str">
        <f>IF(_xlfn.ISFORMULA('Previsto x realizado'!BD2428) = FALSE, "","Enviado")</f>
        <v/>
      </c>
      <c r="M476" s="51" t="str">
        <f>IF(_xlfn.ISFORMULA('Previsto x realizado'!BE2428) = FALSE, "","Enviado")</f>
        <v/>
      </c>
      <c r="N476" s="51" t="str">
        <f>IF(_xlfn.ISFORMULA('Previsto x realizado'!BF2428) = FALSE, "","Enviado")</f>
        <v/>
      </c>
      <c r="O476" s="51" t="str">
        <f>IF(_xlfn.ISFORMULA('Previsto x realizado'!BG2428) = FALSE, "","Enviado")</f>
        <v/>
      </c>
      <c r="P476" s="51" t="str">
        <f>IF(_xlfn.ISFORMULA('Previsto x realizado'!BH2428) = FALSE, "","Enviado")</f>
        <v/>
      </c>
    </row>
    <row r="477" spans="1:16" ht="27.6" x14ac:dyDescent="0.3">
      <c r="A477" s="41" t="s">
        <v>108</v>
      </c>
      <c r="B477" s="4" t="s">
        <v>123</v>
      </c>
      <c r="C477" s="5" t="s">
        <v>221</v>
      </c>
      <c r="D477" s="4" t="s">
        <v>267</v>
      </c>
      <c r="E477" s="51" t="str">
        <f>IF(_xlfn.ISFORMULA('Previsto x realizado'!AW2437) = FALSE, "","Enviado")</f>
        <v>Enviado</v>
      </c>
      <c r="F477" s="51" t="str">
        <f>IF(_xlfn.ISFORMULA('Previsto x realizado'!AX2437) = FALSE, "","Enviado")</f>
        <v>Enviado</v>
      </c>
      <c r="G477" s="51" t="str">
        <f>IF(_xlfn.ISFORMULA('Previsto x realizado'!AY2437) = FALSE, "","Enviado")</f>
        <v>Enviado</v>
      </c>
      <c r="H477" s="51" t="str">
        <f>IF(_xlfn.ISFORMULA('Previsto x realizado'!AZ2437) = FALSE, "","Enviado")</f>
        <v>Enviado</v>
      </c>
      <c r="I477" s="51" t="str">
        <f>IF(_xlfn.ISFORMULA('Previsto x realizado'!BA2437) = FALSE, "","Enviado")</f>
        <v>Enviado</v>
      </c>
      <c r="J477" s="51" t="str">
        <f>IF(_xlfn.ISFORMULA('Previsto x realizado'!BB2437) = FALSE, "","Enviado")</f>
        <v/>
      </c>
      <c r="K477" s="51" t="str">
        <f>IF(_xlfn.ISFORMULA('Previsto x realizado'!BC2437) = FALSE, "","Enviado")</f>
        <v/>
      </c>
      <c r="L477" s="51" t="str">
        <f>IF(_xlfn.ISFORMULA('Previsto x realizado'!BD2437) = FALSE, "","Enviado")</f>
        <v/>
      </c>
      <c r="M477" s="51" t="str">
        <f>IF(_xlfn.ISFORMULA('Previsto x realizado'!BE2437) = FALSE, "","Enviado")</f>
        <v/>
      </c>
      <c r="N477" s="51" t="str">
        <f>IF(_xlfn.ISFORMULA('Previsto x realizado'!BF2437) = FALSE, "","Enviado")</f>
        <v/>
      </c>
      <c r="O477" s="51" t="str">
        <f>IF(_xlfn.ISFORMULA('Previsto x realizado'!BG2437) = FALSE, "","Enviado")</f>
        <v/>
      </c>
      <c r="P477" s="51" t="str">
        <f>IF(_xlfn.ISFORMULA('Previsto x realizado'!BH2437) = FALSE, "","Enviado")</f>
        <v/>
      </c>
    </row>
    <row r="478" spans="1:16" ht="27.6" x14ac:dyDescent="0.3">
      <c r="A478" s="70" t="s">
        <v>108</v>
      </c>
      <c r="B478" s="4" t="s">
        <v>123</v>
      </c>
      <c r="C478" s="5" t="s">
        <v>221</v>
      </c>
      <c r="D478" s="4" t="s">
        <v>267</v>
      </c>
      <c r="E478" s="51" t="str">
        <f>IF(_xlfn.ISFORMULA('Previsto x realizado'!AW2440) = FALSE, "","Enviado")</f>
        <v>Enviado</v>
      </c>
      <c r="F478" s="51" t="str">
        <f>IF(_xlfn.ISFORMULA('Previsto x realizado'!AX2440) = FALSE, "","Enviado")</f>
        <v>Enviado</v>
      </c>
      <c r="G478" s="51" t="str">
        <f>IF(_xlfn.ISFORMULA('Previsto x realizado'!AY2440) = FALSE, "","Enviado")</f>
        <v>Enviado</v>
      </c>
      <c r="H478" s="51" t="str">
        <f>IF(_xlfn.ISFORMULA('Previsto x realizado'!AZ2440) = FALSE, "","Enviado")</f>
        <v>Enviado</v>
      </c>
      <c r="I478" s="51" t="str">
        <f>IF(_xlfn.ISFORMULA('Previsto x realizado'!BA2440) = FALSE, "","Enviado")</f>
        <v>Enviado</v>
      </c>
      <c r="J478" s="51" t="str">
        <f>IF(_xlfn.ISFORMULA('Previsto x realizado'!BB2440) = FALSE, "","Enviado")</f>
        <v/>
      </c>
      <c r="K478" s="51" t="str">
        <f>IF(_xlfn.ISFORMULA('Previsto x realizado'!BC2440) = FALSE, "","Enviado")</f>
        <v/>
      </c>
      <c r="L478" s="51" t="str">
        <f>IF(_xlfn.ISFORMULA('Previsto x realizado'!BD2440) = FALSE, "","Enviado")</f>
        <v/>
      </c>
      <c r="M478" s="51" t="str">
        <f>IF(_xlfn.ISFORMULA('Previsto x realizado'!BE2440) = FALSE, "","Enviado")</f>
        <v/>
      </c>
      <c r="N478" s="51" t="str">
        <f>IF(_xlfn.ISFORMULA('Previsto x realizado'!BF2440) = FALSE, "","Enviado")</f>
        <v/>
      </c>
      <c r="O478" s="51" t="str">
        <f>IF(_xlfn.ISFORMULA('Previsto x realizado'!BG2440) = FALSE, "","Enviado")</f>
        <v/>
      </c>
      <c r="P478" s="51" t="str">
        <f>IF(_xlfn.ISFORMULA('Previsto x realizado'!BH2440) = FALSE, "","Enviado")</f>
        <v/>
      </c>
    </row>
    <row r="479" spans="1:16" ht="27.6" hidden="1" x14ac:dyDescent="0.3">
      <c r="A479" s="70" t="s">
        <v>108</v>
      </c>
      <c r="B479" s="4" t="s">
        <v>123</v>
      </c>
      <c r="C479" s="5" t="s">
        <v>221</v>
      </c>
      <c r="D479" s="4" t="s">
        <v>267</v>
      </c>
      <c r="E479" s="51" t="e">
        <f>IF(_xlfn.ISFORMULA('Previsto x realizado'!#REF!) = FALSE, "","Enviado")</f>
        <v>#REF!</v>
      </c>
      <c r="F479" s="51" t="e">
        <f>IF(_xlfn.ISFORMULA('Previsto x realizado'!#REF!) = FALSE, "","Enviado")</f>
        <v>#REF!</v>
      </c>
      <c r="G479" s="51" t="e">
        <f>IF(_xlfn.ISFORMULA('Previsto x realizado'!#REF!) = FALSE, "","Enviado")</f>
        <v>#REF!</v>
      </c>
      <c r="H479" s="51" t="e">
        <f>IF(_xlfn.ISFORMULA('Previsto x realizado'!#REF!) = FALSE, "","Enviado")</f>
        <v>#REF!</v>
      </c>
      <c r="I479" s="51" t="e">
        <f>IF(_xlfn.ISFORMULA('Previsto x realizado'!#REF!) = FALSE, "","Enviado")</f>
        <v>#REF!</v>
      </c>
      <c r="J479" s="51" t="e">
        <f>IF(_xlfn.ISFORMULA('Previsto x realizado'!#REF!) = FALSE, "","Enviado")</f>
        <v>#REF!</v>
      </c>
      <c r="K479" s="51" t="e">
        <f>IF(_xlfn.ISFORMULA('Previsto x realizado'!#REF!) = FALSE, "","Enviado")</f>
        <v>#REF!</v>
      </c>
      <c r="L479" s="51" t="e">
        <f>IF(_xlfn.ISFORMULA('Previsto x realizado'!#REF!) = FALSE, "","Enviado")</f>
        <v>#REF!</v>
      </c>
      <c r="M479" s="51" t="e">
        <f>IF(_xlfn.ISFORMULA('Previsto x realizado'!#REF!) = FALSE, "","Enviado")</f>
        <v>#REF!</v>
      </c>
      <c r="N479" s="51" t="e">
        <f>IF(_xlfn.ISFORMULA('Previsto x realizado'!#REF!) = FALSE, "","Enviado")</f>
        <v>#REF!</v>
      </c>
      <c r="O479" s="51" t="e">
        <f>IF(_xlfn.ISFORMULA('Previsto x realizado'!#REF!) = FALSE, "","Enviado")</f>
        <v>#REF!</v>
      </c>
      <c r="P479" s="51" t="e">
        <f>IF(_xlfn.ISFORMULA('Previsto x realizado'!#REF!) = FALSE, "","Enviado")</f>
        <v>#REF!</v>
      </c>
    </row>
    <row r="480" spans="1:16" ht="27.6" hidden="1" x14ac:dyDescent="0.3">
      <c r="A480" s="41" t="s">
        <v>108</v>
      </c>
      <c r="B480" s="4" t="s">
        <v>129</v>
      </c>
      <c r="C480" s="5" t="s">
        <v>221</v>
      </c>
      <c r="D480" s="4" t="s">
        <v>267</v>
      </c>
      <c r="E480" s="51" t="e">
        <f>IF(_xlfn.ISFORMULA('Previsto x realizado'!#REF!) = FALSE, "","Enviado")</f>
        <v>#REF!</v>
      </c>
      <c r="F480" s="51" t="e">
        <f>IF(_xlfn.ISFORMULA('Previsto x realizado'!#REF!) = FALSE, "","Enviado")</f>
        <v>#REF!</v>
      </c>
      <c r="G480" s="51" t="e">
        <f>IF(_xlfn.ISFORMULA('Previsto x realizado'!#REF!) = FALSE, "","Enviado")</f>
        <v>#REF!</v>
      </c>
      <c r="H480" s="51" t="e">
        <f>IF(_xlfn.ISFORMULA('Previsto x realizado'!#REF!) = FALSE, "","Enviado")</f>
        <v>#REF!</v>
      </c>
      <c r="I480" s="51" t="e">
        <f>IF(_xlfn.ISFORMULA('Previsto x realizado'!#REF!) = FALSE, "","Enviado")</f>
        <v>#REF!</v>
      </c>
      <c r="J480" s="51" t="e">
        <f>IF(_xlfn.ISFORMULA('Previsto x realizado'!#REF!) = FALSE, "","Enviado")</f>
        <v>#REF!</v>
      </c>
      <c r="K480" s="51" t="e">
        <f>IF(_xlfn.ISFORMULA('Previsto x realizado'!#REF!) = FALSE, "","Enviado")</f>
        <v>#REF!</v>
      </c>
      <c r="L480" s="51" t="e">
        <f>IF(_xlfn.ISFORMULA('Previsto x realizado'!#REF!) = FALSE, "","Enviado")</f>
        <v>#REF!</v>
      </c>
      <c r="M480" s="51" t="e">
        <f>IF(_xlfn.ISFORMULA('Previsto x realizado'!#REF!) = FALSE, "","Enviado")</f>
        <v>#REF!</v>
      </c>
      <c r="N480" s="51" t="e">
        <f>IF(_xlfn.ISFORMULA('Previsto x realizado'!#REF!) = FALSE, "","Enviado")</f>
        <v>#REF!</v>
      </c>
      <c r="O480" s="51" t="e">
        <f>IF(_xlfn.ISFORMULA('Previsto x realizado'!#REF!) = FALSE, "","Enviado")</f>
        <v>#REF!</v>
      </c>
      <c r="P480" s="51" t="e">
        <f>IF(_xlfn.ISFORMULA('Previsto x realizado'!#REF!) = FALSE, "","Enviado")</f>
        <v>#REF!</v>
      </c>
    </row>
    <row r="481" spans="1:16" ht="27.6" x14ac:dyDescent="0.3">
      <c r="A481" s="70" t="s">
        <v>108</v>
      </c>
      <c r="B481" s="4" t="s">
        <v>129</v>
      </c>
      <c r="C481" s="5" t="s">
        <v>221</v>
      </c>
      <c r="D481" s="4" t="s">
        <v>267</v>
      </c>
      <c r="E481" s="51" t="str">
        <f>IF(_xlfn.ISFORMULA('Previsto x realizado'!AW2443) = FALSE, "","Enviado")</f>
        <v>Enviado</v>
      </c>
      <c r="F481" s="51" t="str">
        <f>IF(_xlfn.ISFORMULA('Previsto x realizado'!AX2443) = FALSE, "","Enviado")</f>
        <v>Enviado</v>
      </c>
      <c r="G481" s="51" t="str">
        <f>IF(_xlfn.ISFORMULA('Previsto x realizado'!AY2443) = FALSE, "","Enviado")</f>
        <v>Enviado</v>
      </c>
      <c r="H481" s="51" t="str">
        <f>IF(_xlfn.ISFORMULA('Previsto x realizado'!AZ2443) = FALSE, "","Enviado")</f>
        <v>Enviado</v>
      </c>
      <c r="I481" s="51" t="str">
        <f>IF(_xlfn.ISFORMULA('Previsto x realizado'!BA2443) = FALSE, "","Enviado")</f>
        <v/>
      </c>
      <c r="J481" s="51" t="str">
        <f>IF(_xlfn.ISFORMULA('Previsto x realizado'!BB2443) = FALSE, "","Enviado")</f>
        <v/>
      </c>
      <c r="K481" s="51" t="str">
        <f>IF(_xlfn.ISFORMULA('Previsto x realizado'!BC2443) = FALSE, "","Enviado")</f>
        <v/>
      </c>
      <c r="L481" s="51" t="str">
        <f>IF(_xlfn.ISFORMULA('Previsto x realizado'!BD2443) = FALSE, "","Enviado")</f>
        <v/>
      </c>
      <c r="M481" s="51" t="str">
        <f>IF(_xlfn.ISFORMULA('Previsto x realizado'!BE2443) = FALSE, "","Enviado")</f>
        <v/>
      </c>
      <c r="N481" s="51" t="str">
        <f>IF(_xlfn.ISFORMULA('Previsto x realizado'!BF2443) = FALSE, "","Enviado")</f>
        <v/>
      </c>
      <c r="O481" s="51" t="str">
        <f>IF(_xlfn.ISFORMULA('Previsto x realizado'!BG2443) = FALSE, "","Enviado")</f>
        <v/>
      </c>
      <c r="P481" s="51" t="str">
        <f>IF(_xlfn.ISFORMULA('Previsto x realizado'!BH2443) = FALSE, "","Enviado")</f>
        <v/>
      </c>
    </row>
    <row r="482" spans="1:16" x14ac:dyDescent="0.3">
      <c r="A482" s="23" t="s">
        <v>134</v>
      </c>
      <c r="B482" s="4" t="s">
        <v>135</v>
      </c>
      <c r="C482" s="5" t="s">
        <v>221</v>
      </c>
      <c r="D482" s="4" t="s">
        <v>238</v>
      </c>
      <c r="E482" s="51" t="str">
        <f>IF(_xlfn.ISFORMULA('Previsto x realizado'!AW2444) = FALSE, "","Enviado")</f>
        <v>Enviado</v>
      </c>
      <c r="F482" s="51" t="str">
        <f>IF(_xlfn.ISFORMULA('Previsto x realizado'!AX2444) = FALSE, "","Enviado")</f>
        <v>Enviado</v>
      </c>
      <c r="G482" s="51" t="str">
        <f>IF(_xlfn.ISFORMULA('Previsto x realizado'!AY2444) = FALSE, "","Enviado")</f>
        <v>Enviado</v>
      </c>
      <c r="H482" s="51" t="str">
        <f>IF(_xlfn.ISFORMULA('Previsto x realizado'!AZ2444) = FALSE, "","Enviado")</f>
        <v>Enviado</v>
      </c>
      <c r="I482" s="51" t="str">
        <f>IF(_xlfn.ISFORMULA('Previsto x realizado'!BA2444) = FALSE, "","Enviado")</f>
        <v>Enviado</v>
      </c>
      <c r="J482" s="51" t="str">
        <f>IF(_xlfn.ISFORMULA('Previsto x realizado'!BB2444) = FALSE, "","Enviado")</f>
        <v/>
      </c>
      <c r="K482" s="51" t="str">
        <f>IF(_xlfn.ISFORMULA('Previsto x realizado'!BC2444) = FALSE, "","Enviado")</f>
        <v/>
      </c>
      <c r="L482" s="51" t="str">
        <f>IF(_xlfn.ISFORMULA('Previsto x realizado'!BD2444) = FALSE, "","Enviado")</f>
        <v/>
      </c>
      <c r="M482" s="51" t="str">
        <f>IF(_xlfn.ISFORMULA('Previsto x realizado'!BE2444) = FALSE, "","Enviado")</f>
        <v/>
      </c>
      <c r="N482" s="51" t="str">
        <f>IF(_xlfn.ISFORMULA('Previsto x realizado'!BF2444) = FALSE, "","Enviado")</f>
        <v/>
      </c>
      <c r="O482" s="51" t="str">
        <f>IF(_xlfn.ISFORMULA('Previsto x realizado'!BG2444) = FALSE, "","Enviado")</f>
        <v/>
      </c>
      <c r="P482" s="51" t="str">
        <f>IF(_xlfn.ISFORMULA('Previsto x realizado'!BH2444) = FALSE, "","Enviado")</f>
        <v/>
      </c>
    </row>
    <row r="483" spans="1:16" x14ac:dyDescent="0.3">
      <c r="A483" s="42" t="s">
        <v>134</v>
      </c>
      <c r="B483" s="4" t="s">
        <v>135</v>
      </c>
      <c r="C483" s="5" t="s">
        <v>221</v>
      </c>
      <c r="D483" s="4" t="s">
        <v>238</v>
      </c>
      <c r="E483" s="51" t="str">
        <f>IF(_xlfn.ISFORMULA('Previsto x realizado'!AW2447) = FALSE, "","Enviado")</f>
        <v>Enviado</v>
      </c>
      <c r="F483" s="51" t="str">
        <f>IF(_xlfn.ISFORMULA('Previsto x realizado'!AX2447) = FALSE, "","Enviado")</f>
        <v>Enviado</v>
      </c>
      <c r="G483" s="51" t="str">
        <f>IF(_xlfn.ISFORMULA('Previsto x realizado'!AY2447) = FALSE, "","Enviado")</f>
        <v>Enviado</v>
      </c>
      <c r="H483" s="51" t="str">
        <f>IF(_xlfn.ISFORMULA('Previsto x realizado'!AZ2447) = FALSE, "","Enviado")</f>
        <v>Enviado</v>
      </c>
      <c r="I483" s="51" t="str">
        <f>IF(_xlfn.ISFORMULA('Previsto x realizado'!BA2447) = FALSE, "","Enviado")</f>
        <v>Enviado</v>
      </c>
      <c r="J483" s="51" t="str">
        <f>IF(_xlfn.ISFORMULA('Previsto x realizado'!BB2447) = FALSE, "","Enviado")</f>
        <v/>
      </c>
      <c r="K483" s="51" t="str">
        <f>IF(_xlfn.ISFORMULA('Previsto x realizado'!BC2447) = FALSE, "","Enviado")</f>
        <v/>
      </c>
      <c r="L483" s="51" t="str">
        <f>IF(_xlfn.ISFORMULA('Previsto x realizado'!BD2447) = FALSE, "","Enviado")</f>
        <v/>
      </c>
      <c r="M483" s="51" t="str">
        <f>IF(_xlfn.ISFORMULA('Previsto x realizado'!BE2447) = FALSE, "","Enviado")</f>
        <v/>
      </c>
      <c r="N483" s="51" t="str">
        <f>IF(_xlfn.ISFORMULA('Previsto x realizado'!BF2447) = FALSE, "","Enviado")</f>
        <v/>
      </c>
      <c r="O483" s="51" t="str">
        <f>IF(_xlfn.ISFORMULA('Previsto x realizado'!BG2447) = FALSE, "","Enviado")</f>
        <v/>
      </c>
      <c r="P483" s="51" t="str">
        <f>IF(_xlfn.ISFORMULA('Previsto x realizado'!BH2447) = FALSE, "","Enviado")</f>
        <v/>
      </c>
    </row>
    <row r="484" spans="1:16" x14ac:dyDescent="0.3">
      <c r="A484" s="42" t="s">
        <v>134</v>
      </c>
      <c r="B484" s="4" t="s">
        <v>135</v>
      </c>
      <c r="C484" s="5" t="s">
        <v>221</v>
      </c>
      <c r="D484" s="4" t="s">
        <v>238</v>
      </c>
      <c r="E484" s="51" t="str">
        <f>IF(_xlfn.ISFORMULA('Previsto x realizado'!AW2450) = FALSE, "","Enviado")</f>
        <v>Enviado</v>
      </c>
      <c r="F484" s="51" t="str">
        <f>IF(_xlfn.ISFORMULA('Previsto x realizado'!AX2450) = FALSE, "","Enviado")</f>
        <v>Enviado</v>
      </c>
      <c r="G484" s="51" t="str">
        <f>IF(_xlfn.ISFORMULA('Previsto x realizado'!AY2450) = FALSE, "","Enviado")</f>
        <v>Enviado</v>
      </c>
      <c r="H484" s="51" t="str">
        <f>IF(_xlfn.ISFORMULA('Previsto x realizado'!AZ2450) = FALSE, "","Enviado")</f>
        <v>Enviado</v>
      </c>
      <c r="I484" s="51" t="str">
        <f>IF(_xlfn.ISFORMULA('Previsto x realizado'!BA2450) = FALSE, "","Enviado")</f>
        <v>Enviado</v>
      </c>
      <c r="J484" s="51" t="str">
        <f>IF(_xlfn.ISFORMULA('Previsto x realizado'!BB2450) = FALSE, "","Enviado")</f>
        <v/>
      </c>
      <c r="K484" s="51" t="str">
        <f>IF(_xlfn.ISFORMULA('Previsto x realizado'!BC2450) = FALSE, "","Enviado")</f>
        <v/>
      </c>
      <c r="L484" s="51" t="str">
        <f>IF(_xlfn.ISFORMULA('Previsto x realizado'!BD2450) = FALSE, "","Enviado")</f>
        <v/>
      </c>
      <c r="M484" s="51" t="str">
        <f>IF(_xlfn.ISFORMULA('Previsto x realizado'!BE2450) = FALSE, "","Enviado")</f>
        <v/>
      </c>
      <c r="N484" s="51" t="str">
        <f>IF(_xlfn.ISFORMULA('Previsto x realizado'!BF2450) = FALSE, "","Enviado")</f>
        <v/>
      </c>
      <c r="O484" s="51" t="str">
        <f>IF(_xlfn.ISFORMULA('Previsto x realizado'!BG2450) = FALSE, "","Enviado")</f>
        <v/>
      </c>
      <c r="P484" s="51" t="str">
        <f>IF(_xlfn.ISFORMULA('Previsto x realizado'!BH2450) = FALSE, "","Enviado")</f>
        <v/>
      </c>
    </row>
    <row r="485" spans="1:16" x14ac:dyDescent="0.3">
      <c r="A485" s="23" t="s">
        <v>134</v>
      </c>
      <c r="B485" s="4" t="s">
        <v>142</v>
      </c>
      <c r="C485" s="5" t="s">
        <v>221</v>
      </c>
      <c r="D485" s="4" t="s">
        <v>238</v>
      </c>
      <c r="E485" s="51" t="str">
        <f>IF(_xlfn.ISFORMULA('Previsto x realizado'!AW2453) = FALSE, "","Enviado")</f>
        <v>Enviado</v>
      </c>
      <c r="F485" s="51" t="str">
        <f>IF(_xlfn.ISFORMULA('Previsto x realizado'!AX2453) = FALSE, "","Enviado")</f>
        <v>Enviado</v>
      </c>
      <c r="G485" s="51" t="str">
        <f>IF(_xlfn.ISFORMULA('Previsto x realizado'!AY2453) = FALSE, "","Enviado")</f>
        <v>Enviado</v>
      </c>
      <c r="H485" s="51" t="str">
        <f>IF(_xlfn.ISFORMULA('Previsto x realizado'!AZ2453) = FALSE, "","Enviado")</f>
        <v>Enviado</v>
      </c>
      <c r="I485" s="51" t="str">
        <f>IF(_xlfn.ISFORMULA('Previsto x realizado'!BA2453) = FALSE, "","Enviado")</f>
        <v>Enviado</v>
      </c>
      <c r="J485" s="51" t="str">
        <f>IF(_xlfn.ISFORMULA('Previsto x realizado'!BB2453) = FALSE, "","Enviado")</f>
        <v/>
      </c>
      <c r="K485" s="51" t="str">
        <f>IF(_xlfn.ISFORMULA('Previsto x realizado'!BC2453) = FALSE, "","Enviado")</f>
        <v/>
      </c>
      <c r="L485" s="51" t="str">
        <f>IF(_xlfn.ISFORMULA('Previsto x realizado'!BD2453) = FALSE, "","Enviado")</f>
        <v/>
      </c>
      <c r="M485" s="51" t="str">
        <f>IF(_xlfn.ISFORMULA('Previsto x realizado'!BE2453) = FALSE, "","Enviado")</f>
        <v/>
      </c>
      <c r="N485" s="51" t="str">
        <f>IF(_xlfn.ISFORMULA('Previsto x realizado'!BF2453) = FALSE, "","Enviado")</f>
        <v/>
      </c>
      <c r="O485" s="51" t="str">
        <f>IF(_xlfn.ISFORMULA('Previsto x realizado'!BG2453) = FALSE, "","Enviado")</f>
        <v/>
      </c>
      <c r="P485" s="51" t="str">
        <f>IF(_xlfn.ISFORMULA('Previsto x realizado'!BH2453) = FALSE, "","Enviado")</f>
        <v/>
      </c>
    </row>
    <row r="486" spans="1:16" x14ac:dyDescent="0.3">
      <c r="A486" s="42" t="s">
        <v>134</v>
      </c>
      <c r="B486" s="4" t="s">
        <v>142</v>
      </c>
      <c r="C486" s="5" t="s">
        <v>221</v>
      </c>
      <c r="D486" s="4" t="s">
        <v>238</v>
      </c>
      <c r="E486" s="51" t="str">
        <f>IF(_xlfn.ISFORMULA('Previsto x realizado'!AW2456) = FALSE, "","Enviado")</f>
        <v>Enviado</v>
      </c>
      <c r="F486" s="51" t="str">
        <f>IF(_xlfn.ISFORMULA('Previsto x realizado'!AX2456) = FALSE, "","Enviado")</f>
        <v>Enviado</v>
      </c>
      <c r="G486" s="51" t="str">
        <f>IF(_xlfn.ISFORMULA('Previsto x realizado'!AY2456) = FALSE, "","Enviado")</f>
        <v>Enviado</v>
      </c>
      <c r="H486" s="51" t="str">
        <f>IF(_xlfn.ISFORMULA('Previsto x realizado'!AZ2456) = FALSE, "","Enviado")</f>
        <v>Enviado</v>
      </c>
      <c r="I486" s="51" t="str">
        <f>IF(_xlfn.ISFORMULA('Previsto x realizado'!BA2456) = FALSE, "","Enviado")</f>
        <v>Enviado</v>
      </c>
      <c r="J486" s="51" t="str">
        <f>IF(_xlfn.ISFORMULA('Previsto x realizado'!BB2456) = FALSE, "","Enviado")</f>
        <v/>
      </c>
      <c r="K486" s="51" t="str">
        <f>IF(_xlfn.ISFORMULA('Previsto x realizado'!BC2456) = FALSE, "","Enviado")</f>
        <v/>
      </c>
      <c r="L486" s="51" t="str">
        <f>IF(_xlfn.ISFORMULA('Previsto x realizado'!BD2456) = FALSE, "","Enviado")</f>
        <v/>
      </c>
      <c r="M486" s="51" t="str">
        <f>IF(_xlfn.ISFORMULA('Previsto x realizado'!BE2456) = FALSE, "","Enviado")</f>
        <v/>
      </c>
      <c r="N486" s="51" t="str">
        <f>IF(_xlfn.ISFORMULA('Previsto x realizado'!BF2456) = FALSE, "","Enviado")</f>
        <v/>
      </c>
      <c r="O486" s="51" t="str">
        <f>IF(_xlfn.ISFORMULA('Previsto x realizado'!BG2456) = FALSE, "","Enviado")</f>
        <v/>
      </c>
      <c r="P486" s="51" t="str">
        <f>IF(_xlfn.ISFORMULA('Previsto x realizado'!BH2456) = FALSE, "","Enviado")</f>
        <v/>
      </c>
    </row>
    <row r="487" spans="1:16" x14ac:dyDescent="0.3">
      <c r="A487" s="25" t="s">
        <v>134</v>
      </c>
      <c r="B487" s="15" t="s">
        <v>150</v>
      </c>
      <c r="C487" s="5" t="s">
        <v>221</v>
      </c>
      <c r="D487" s="4" t="s">
        <v>238</v>
      </c>
      <c r="E487" s="51" t="str">
        <f>IF(_xlfn.ISFORMULA('Previsto x realizado'!AW2459) = FALSE, "","Enviado")</f>
        <v>Enviado</v>
      </c>
      <c r="F487" s="51" t="str">
        <f>IF(_xlfn.ISFORMULA('Previsto x realizado'!AX2459) = FALSE, "","Enviado")</f>
        <v>Enviado</v>
      </c>
      <c r="G487" s="51" t="str">
        <f>IF(_xlfn.ISFORMULA('Previsto x realizado'!AY2459) = FALSE, "","Enviado")</f>
        <v>Enviado</v>
      </c>
      <c r="H487" s="51" t="str">
        <f>IF(_xlfn.ISFORMULA('Previsto x realizado'!AZ2459) = FALSE, "","Enviado")</f>
        <v>Enviado</v>
      </c>
      <c r="I487" s="51" t="str">
        <f>IF(_xlfn.ISFORMULA('Previsto x realizado'!BA2459) = FALSE, "","Enviado")</f>
        <v>Enviado</v>
      </c>
      <c r="J487" s="51" t="str">
        <f>IF(_xlfn.ISFORMULA('Previsto x realizado'!BB2459) = FALSE, "","Enviado")</f>
        <v/>
      </c>
      <c r="K487" s="51" t="str">
        <f>IF(_xlfn.ISFORMULA('Previsto x realizado'!BC2459) = FALSE, "","Enviado")</f>
        <v/>
      </c>
      <c r="L487" s="51" t="str">
        <f>IF(_xlfn.ISFORMULA('Previsto x realizado'!BD2459) = FALSE, "","Enviado")</f>
        <v/>
      </c>
      <c r="M487" s="51" t="str">
        <f>IF(_xlfn.ISFORMULA('Previsto x realizado'!BE2459) = FALSE, "","Enviado")</f>
        <v/>
      </c>
      <c r="N487" s="51" t="str">
        <f>IF(_xlfn.ISFORMULA('Previsto x realizado'!BF2459) = FALSE, "","Enviado")</f>
        <v/>
      </c>
      <c r="O487" s="51" t="str">
        <f>IF(_xlfn.ISFORMULA('Previsto x realizado'!BG2459) = FALSE, "","Enviado")</f>
        <v/>
      </c>
      <c r="P487" s="51" t="str">
        <f>IF(_xlfn.ISFORMULA('Previsto x realizado'!BH2459) = FALSE, "","Enviado")</f>
        <v/>
      </c>
    </row>
    <row r="488" spans="1:16" x14ac:dyDescent="0.3">
      <c r="A488" s="23" t="s">
        <v>134</v>
      </c>
      <c r="B488" s="4" t="s">
        <v>150</v>
      </c>
      <c r="C488" s="5" t="s">
        <v>221</v>
      </c>
      <c r="D488" s="4" t="s">
        <v>238</v>
      </c>
      <c r="E488" s="51" t="str">
        <f>IF(_xlfn.ISFORMULA('Previsto x realizado'!AW2462) = FALSE, "","Enviado")</f>
        <v>Enviado</v>
      </c>
      <c r="F488" s="51" t="str">
        <f>IF(_xlfn.ISFORMULA('Previsto x realizado'!AX2462) = FALSE, "","Enviado")</f>
        <v>Enviado</v>
      </c>
      <c r="G488" s="51" t="str">
        <f>IF(_xlfn.ISFORMULA('Previsto x realizado'!AY2462) = FALSE, "","Enviado")</f>
        <v>Enviado</v>
      </c>
      <c r="H488" s="51" t="str">
        <f>IF(_xlfn.ISFORMULA('Previsto x realizado'!AZ2462) = FALSE, "","Enviado")</f>
        <v>Enviado</v>
      </c>
      <c r="I488" s="51" t="str">
        <f>IF(_xlfn.ISFORMULA('Previsto x realizado'!BA2462) = FALSE, "","Enviado")</f>
        <v>Enviado</v>
      </c>
      <c r="J488" s="51" t="str">
        <f>IF(_xlfn.ISFORMULA('Previsto x realizado'!BB2462) = FALSE, "","Enviado")</f>
        <v/>
      </c>
      <c r="K488" s="51" t="str">
        <f>IF(_xlfn.ISFORMULA('Previsto x realizado'!BC2462) = FALSE, "","Enviado")</f>
        <v/>
      </c>
      <c r="L488" s="51" t="str">
        <f>IF(_xlfn.ISFORMULA('Previsto x realizado'!BD2462) = FALSE, "","Enviado")</f>
        <v/>
      </c>
      <c r="M488" s="51" t="str">
        <f>IF(_xlfn.ISFORMULA('Previsto x realizado'!BE2462) = FALSE, "","Enviado")</f>
        <v/>
      </c>
      <c r="N488" s="51" t="str">
        <f>IF(_xlfn.ISFORMULA('Previsto x realizado'!BF2462) = FALSE, "","Enviado")</f>
        <v/>
      </c>
      <c r="O488" s="51" t="str">
        <f>IF(_xlfn.ISFORMULA('Previsto x realizado'!BG2462) = FALSE, "","Enviado")</f>
        <v/>
      </c>
      <c r="P488" s="51" t="str">
        <f>IF(_xlfn.ISFORMULA('Previsto x realizado'!BH2462) = FALSE, "","Enviado")</f>
        <v/>
      </c>
    </row>
    <row r="489" spans="1:16" x14ac:dyDescent="0.3">
      <c r="A489" s="23" t="s">
        <v>134</v>
      </c>
      <c r="B489" s="4" t="s">
        <v>150</v>
      </c>
      <c r="C489" s="5" t="s">
        <v>221</v>
      </c>
      <c r="D489" s="4" t="s">
        <v>238</v>
      </c>
      <c r="E489" s="51" t="str">
        <f>IF(_xlfn.ISFORMULA('Previsto x realizado'!AW2465) = FALSE, "","Enviado")</f>
        <v>Enviado</v>
      </c>
      <c r="F489" s="51" t="str">
        <f>IF(_xlfn.ISFORMULA('Previsto x realizado'!AX2465) = FALSE, "","Enviado")</f>
        <v>Enviado</v>
      </c>
      <c r="G489" s="51" t="str">
        <f>IF(_xlfn.ISFORMULA('Previsto x realizado'!AY2465) = FALSE, "","Enviado")</f>
        <v>Enviado</v>
      </c>
      <c r="H489" s="51" t="str">
        <f>IF(_xlfn.ISFORMULA('Previsto x realizado'!AZ2465) = FALSE, "","Enviado")</f>
        <v>Enviado</v>
      </c>
      <c r="I489" s="51" t="str">
        <f>IF(_xlfn.ISFORMULA('Previsto x realizado'!BA2465) = FALSE, "","Enviado")</f>
        <v>Enviado</v>
      </c>
      <c r="J489" s="51" t="str">
        <f>IF(_xlfn.ISFORMULA('Previsto x realizado'!BB2465) = FALSE, "","Enviado")</f>
        <v/>
      </c>
      <c r="K489" s="51" t="str">
        <f>IF(_xlfn.ISFORMULA('Previsto x realizado'!BC2465) = FALSE, "","Enviado")</f>
        <v/>
      </c>
      <c r="L489" s="51" t="str">
        <f>IF(_xlfn.ISFORMULA('Previsto x realizado'!BD2465) = FALSE, "","Enviado")</f>
        <v/>
      </c>
      <c r="M489" s="51" t="str">
        <f>IF(_xlfn.ISFORMULA('Previsto x realizado'!BE2465) = FALSE, "","Enviado")</f>
        <v/>
      </c>
      <c r="N489" s="51" t="str">
        <f>IF(_xlfn.ISFORMULA('Previsto x realizado'!BF2465) = FALSE, "","Enviado")</f>
        <v/>
      </c>
      <c r="O489" s="51" t="str">
        <f>IF(_xlfn.ISFORMULA('Previsto x realizado'!BG2465) = FALSE, "","Enviado")</f>
        <v/>
      </c>
      <c r="P489" s="51" t="str">
        <f>IF(_xlfn.ISFORMULA('Previsto x realizado'!BH2465) = FALSE, "","Enviado")</f>
        <v/>
      </c>
    </row>
    <row r="490" spans="1:16" x14ac:dyDescent="0.3">
      <c r="A490" s="43" t="s">
        <v>134</v>
      </c>
      <c r="B490" s="15" t="s">
        <v>150</v>
      </c>
      <c r="C490" s="5" t="s">
        <v>221</v>
      </c>
      <c r="D490" s="4" t="s">
        <v>238</v>
      </c>
      <c r="E490" s="51" t="str">
        <f>IF(_xlfn.ISFORMULA('Previsto x realizado'!AW2468) = FALSE, "","Enviado")</f>
        <v>Enviado</v>
      </c>
      <c r="F490" s="51" t="str">
        <f>IF(_xlfn.ISFORMULA('Previsto x realizado'!AX2468) = FALSE, "","Enviado")</f>
        <v>Enviado</v>
      </c>
      <c r="G490" s="51" t="str">
        <f>IF(_xlfn.ISFORMULA('Previsto x realizado'!AY2468) = FALSE, "","Enviado")</f>
        <v>Enviado</v>
      </c>
      <c r="H490" s="51" t="str">
        <f>IF(_xlfn.ISFORMULA('Previsto x realizado'!AZ2468) = FALSE, "","Enviado")</f>
        <v>Enviado</v>
      </c>
      <c r="I490" s="51" t="str">
        <f>IF(_xlfn.ISFORMULA('Previsto x realizado'!BA2468) = FALSE, "","Enviado")</f>
        <v>Enviado</v>
      </c>
      <c r="J490" s="51" t="str">
        <f>IF(_xlfn.ISFORMULA('Previsto x realizado'!BB2468) = FALSE, "","Enviado")</f>
        <v/>
      </c>
      <c r="K490" s="51" t="str">
        <f>IF(_xlfn.ISFORMULA('Previsto x realizado'!BC2468) = FALSE, "","Enviado")</f>
        <v/>
      </c>
      <c r="L490" s="51" t="str">
        <f>IF(_xlfn.ISFORMULA('Previsto x realizado'!BD2468) = FALSE, "","Enviado")</f>
        <v/>
      </c>
      <c r="M490" s="51" t="str">
        <f>IF(_xlfn.ISFORMULA('Previsto x realizado'!BE2468) = FALSE, "","Enviado")</f>
        <v/>
      </c>
      <c r="N490" s="51" t="str">
        <f>IF(_xlfn.ISFORMULA('Previsto x realizado'!BF2468) = FALSE, "","Enviado")</f>
        <v/>
      </c>
      <c r="O490" s="51" t="str">
        <f>IF(_xlfn.ISFORMULA('Previsto x realizado'!BG2468) = FALSE, "","Enviado")</f>
        <v/>
      </c>
      <c r="P490" s="51" t="str">
        <f>IF(_xlfn.ISFORMULA('Previsto x realizado'!BH2468) = FALSE, "","Enviado")</f>
        <v/>
      </c>
    </row>
    <row r="491" spans="1:16" x14ac:dyDescent="0.3">
      <c r="A491" s="38" t="s">
        <v>134</v>
      </c>
      <c r="B491" s="4" t="s">
        <v>158</v>
      </c>
      <c r="C491" s="5" t="s">
        <v>221</v>
      </c>
      <c r="D491" s="4" t="s">
        <v>238</v>
      </c>
      <c r="E491" s="51" t="str">
        <f>IF(_xlfn.ISFORMULA('Previsto x realizado'!AW2471) = FALSE, "","Enviado")</f>
        <v>Enviado</v>
      </c>
      <c r="F491" s="51" t="str">
        <f>IF(_xlfn.ISFORMULA('Previsto x realizado'!AX2471) = FALSE, "","Enviado")</f>
        <v>Enviado</v>
      </c>
      <c r="G491" s="51" t="str">
        <f>IF(_xlfn.ISFORMULA('Previsto x realizado'!AY2471) = FALSE, "","Enviado")</f>
        <v>Enviado</v>
      </c>
      <c r="H491" s="51" t="str">
        <f>IF(_xlfn.ISFORMULA('Previsto x realizado'!AZ2471) = FALSE, "","Enviado")</f>
        <v>Enviado</v>
      </c>
      <c r="I491" s="51" t="str">
        <f>IF(_xlfn.ISFORMULA('Previsto x realizado'!BA2471) = FALSE, "","Enviado")</f>
        <v>Enviado</v>
      </c>
      <c r="J491" s="51" t="str">
        <f>IF(_xlfn.ISFORMULA('Previsto x realizado'!BB2471) = FALSE, "","Enviado")</f>
        <v/>
      </c>
      <c r="K491" s="51" t="str">
        <f>IF(_xlfn.ISFORMULA('Previsto x realizado'!BC2471) = FALSE, "","Enviado")</f>
        <v/>
      </c>
      <c r="L491" s="51" t="str">
        <f>IF(_xlfn.ISFORMULA('Previsto x realizado'!BD2471) = FALSE, "","Enviado")</f>
        <v/>
      </c>
      <c r="M491" s="51" t="str">
        <f>IF(_xlfn.ISFORMULA('Previsto x realizado'!BE2471) = FALSE, "","Enviado")</f>
        <v/>
      </c>
      <c r="N491" s="51" t="str">
        <f>IF(_xlfn.ISFORMULA('Previsto x realizado'!BF2471) = FALSE, "","Enviado")</f>
        <v/>
      </c>
      <c r="O491" s="51" t="str">
        <f>IF(_xlfn.ISFORMULA('Previsto x realizado'!BG2471) = FALSE, "","Enviado")</f>
        <v/>
      </c>
      <c r="P491" s="51" t="str">
        <f>IF(_xlfn.ISFORMULA('Previsto x realizado'!BH2471) = FALSE, "","Enviado")</f>
        <v/>
      </c>
    </row>
    <row r="492" spans="1:16" x14ac:dyDescent="0.3">
      <c r="A492" s="23" t="s">
        <v>134</v>
      </c>
      <c r="B492" s="4" t="s">
        <v>158</v>
      </c>
      <c r="C492" s="5" t="s">
        <v>221</v>
      </c>
      <c r="D492" s="4" t="s">
        <v>238</v>
      </c>
      <c r="E492" s="51" t="str">
        <f>IF(_xlfn.ISFORMULA('Previsto x realizado'!AW2474) = FALSE, "","Enviado")</f>
        <v>Enviado</v>
      </c>
      <c r="F492" s="51" t="str">
        <f>IF(_xlfn.ISFORMULA('Previsto x realizado'!AX2474) = FALSE, "","Enviado")</f>
        <v>Enviado</v>
      </c>
      <c r="G492" s="51" t="str">
        <f>IF(_xlfn.ISFORMULA('Previsto x realizado'!AY2474) = FALSE, "","Enviado")</f>
        <v>Enviado</v>
      </c>
      <c r="H492" s="51" t="str">
        <f>IF(_xlfn.ISFORMULA('Previsto x realizado'!AZ2474) = FALSE, "","Enviado")</f>
        <v>Enviado</v>
      </c>
      <c r="I492" s="51" t="str">
        <f>IF(_xlfn.ISFORMULA('Previsto x realizado'!BA2474) = FALSE, "","Enviado")</f>
        <v>Enviado</v>
      </c>
      <c r="J492" s="51" t="str">
        <f>IF(_xlfn.ISFORMULA('Previsto x realizado'!BB2474) = FALSE, "","Enviado")</f>
        <v/>
      </c>
      <c r="K492" s="51" t="str">
        <f>IF(_xlfn.ISFORMULA('Previsto x realizado'!BC2474) = FALSE, "","Enviado")</f>
        <v/>
      </c>
      <c r="L492" s="51" t="str">
        <f>IF(_xlfn.ISFORMULA('Previsto x realizado'!BD2474) = FALSE, "","Enviado")</f>
        <v/>
      </c>
      <c r="M492" s="51" t="str">
        <f>IF(_xlfn.ISFORMULA('Previsto x realizado'!BE2474) = FALSE, "","Enviado")</f>
        <v/>
      </c>
      <c r="N492" s="51" t="str">
        <f>IF(_xlfn.ISFORMULA('Previsto x realizado'!BF2474) = FALSE, "","Enviado")</f>
        <v/>
      </c>
      <c r="O492" s="51" t="str">
        <f>IF(_xlfn.ISFORMULA('Previsto x realizado'!BG2474) = FALSE, "","Enviado")</f>
        <v/>
      </c>
      <c r="P492" s="51" t="str">
        <f>IF(_xlfn.ISFORMULA('Previsto x realizado'!BH2474) = FALSE, "","Enviado")</f>
        <v/>
      </c>
    </row>
    <row r="493" spans="1:16" x14ac:dyDescent="0.3">
      <c r="A493" s="42" t="s">
        <v>134</v>
      </c>
      <c r="B493" s="4" t="s">
        <v>158</v>
      </c>
      <c r="C493" s="5" t="s">
        <v>221</v>
      </c>
      <c r="D493" s="4" t="s">
        <v>238</v>
      </c>
      <c r="E493" s="51" t="str">
        <f>IF(_xlfn.ISFORMULA('Previsto x realizado'!AW2477) = FALSE, "","Enviado")</f>
        <v>Enviado</v>
      </c>
      <c r="F493" s="51" t="str">
        <f>IF(_xlfn.ISFORMULA('Previsto x realizado'!AX2477) = FALSE, "","Enviado")</f>
        <v>Enviado</v>
      </c>
      <c r="G493" s="51" t="str">
        <f>IF(_xlfn.ISFORMULA('Previsto x realizado'!AY2477) = FALSE, "","Enviado")</f>
        <v>Enviado</v>
      </c>
      <c r="H493" s="51" t="str">
        <f>IF(_xlfn.ISFORMULA('Previsto x realizado'!AZ2477) = FALSE, "","Enviado")</f>
        <v>Enviado</v>
      </c>
      <c r="I493" s="51" t="str">
        <f>IF(_xlfn.ISFORMULA('Previsto x realizado'!BA2477) = FALSE, "","Enviado")</f>
        <v>Enviado</v>
      </c>
      <c r="J493" s="51" t="str">
        <f>IF(_xlfn.ISFORMULA('Previsto x realizado'!BB2477) = FALSE, "","Enviado")</f>
        <v/>
      </c>
      <c r="K493" s="51" t="str">
        <f>IF(_xlfn.ISFORMULA('Previsto x realizado'!BC2477) = FALSE, "","Enviado")</f>
        <v/>
      </c>
      <c r="L493" s="51" t="str">
        <f>IF(_xlfn.ISFORMULA('Previsto x realizado'!BD2477) = FALSE, "","Enviado")</f>
        <v/>
      </c>
      <c r="M493" s="51" t="str">
        <f>IF(_xlfn.ISFORMULA('Previsto x realizado'!BE2477) = FALSE, "","Enviado")</f>
        <v/>
      </c>
      <c r="N493" s="51" t="str">
        <f>IF(_xlfn.ISFORMULA('Previsto x realizado'!BF2477) = FALSE, "","Enviado")</f>
        <v/>
      </c>
      <c r="O493" s="51" t="str">
        <f>IF(_xlfn.ISFORMULA('Previsto x realizado'!BG2477) = FALSE, "","Enviado")</f>
        <v/>
      </c>
      <c r="P493" s="51" t="str">
        <f>IF(_xlfn.ISFORMULA('Previsto x realizado'!BH2477) = FALSE, "","Enviado")</f>
        <v/>
      </c>
    </row>
    <row r="494" spans="1:16" x14ac:dyDescent="0.3">
      <c r="A494" s="23" t="s">
        <v>134</v>
      </c>
      <c r="B494" s="4" t="s">
        <v>167</v>
      </c>
      <c r="C494" s="5" t="s">
        <v>221</v>
      </c>
      <c r="D494" s="4" t="s">
        <v>238</v>
      </c>
      <c r="E494" s="51" t="str">
        <f>IF(_xlfn.ISFORMULA('Previsto x realizado'!AW2480) = FALSE, "","Enviado")</f>
        <v>Enviado</v>
      </c>
      <c r="F494" s="51" t="str">
        <f>IF(_xlfn.ISFORMULA('Previsto x realizado'!AX2480) = FALSE, "","Enviado")</f>
        <v>Enviado</v>
      </c>
      <c r="G494" s="51" t="str">
        <f>IF(_xlfn.ISFORMULA('Previsto x realizado'!AY2480) = FALSE, "","Enviado")</f>
        <v>Enviado</v>
      </c>
      <c r="H494" s="51" t="str">
        <f>IF(_xlfn.ISFORMULA('Previsto x realizado'!AZ2480) = FALSE, "","Enviado")</f>
        <v>Enviado</v>
      </c>
      <c r="I494" s="51" t="str">
        <f>IF(_xlfn.ISFORMULA('Previsto x realizado'!BA2480) = FALSE, "","Enviado")</f>
        <v>Enviado</v>
      </c>
      <c r="J494" s="51" t="str">
        <f>IF(_xlfn.ISFORMULA('Previsto x realizado'!BB2480) = FALSE, "","Enviado")</f>
        <v/>
      </c>
      <c r="K494" s="51" t="str">
        <f>IF(_xlfn.ISFORMULA('Previsto x realizado'!BC2480) = FALSE, "","Enviado")</f>
        <v/>
      </c>
      <c r="L494" s="51" t="str">
        <f>IF(_xlfn.ISFORMULA('Previsto x realizado'!BD2480) = FALSE, "","Enviado")</f>
        <v/>
      </c>
      <c r="M494" s="51" t="str">
        <f>IF(_xlfn.ISFORMULA('Previsto x realizado'!BE2480) = FALSE, "","Enviado")</f>
        <v/>
      </c>
      <c r="N494" s="51" t="str">
        <f>IF(_xlfn.ISFORMULA('Previsto x realizado'!BF2480) = FALSE, "","Enviado")</f>
        <v/>
      </c>
      <c r="O494" s="51" t="str">
        <f>IF(_xlfn.ISFORMULA('Previsto x realizado'!BG2480) = FALSE, "","Enviado")</f>
        <v/>
      </c>
      <c r="P494" s="51" t="str">
        <f>IF(_xlfn.ISFORMULA('Previsto x realizado'!BH2480) = FALSE, "","Enviado")</f>
        <v/>
      </c>
    </row>
    <row r="495" spans="1:16" x14ac:dyDescent="0.3">
      <c r="A495" s="23" t="s">
        <v>134</v>
      </c>
      <c r="B495" s="4" t="s">
        <v>167</v>
      </c>
      <c r="C495" s="5" t="s">
        <v>221</v>
      </c>
      <c r="D495" s="4" t="s">
        <v>238</v>
      </c>
      <c r="E495" s="51" t="str">
        <f>IF(_xlfn.ISFORMULA('Previsto x realizado'!AW2483) = FALSE, "","Enviado")</f>
        <v>Enviado</v>
      </c>
      <c r="F495" s="51" t="str">
        <f>IF(_xlfn.ISFORMULA('Previsto x realizado'!AX2483) = FALSE, "","Enviado")</f>
        <v>Enviado</v>
      </c>
      <c r="G495" s="51" t="str">
        <f>IF(_xlfn.ISFORMULA('Previsto x realizado'!AY2483) = FALSE, "","Enviado")</f>
        <v>Enviado</v>
      </c>
      <c r="H495" s="51" t="str">
        <f>IF(_xlfn.ISFORMULA('Previsto x realizado'!AZ2483) = FALSE, "","Enviado")</f>
        <v>Enviado</v>
      </c>
      <c r="I495" s="51" t="str">
        <f>IF(_xlfn.ISFORMULA('Previsto x realizado'!BA2483) = FALSE, "","Enviado")</f>
        <v>Enviado</v>
      </c>
      <c r="J495" s="51" t="str">
        <f>IF(_xlfn.ISFORMULA('Previsto x realizado'!BB2483) = FALSE, "","Enviado")</f>
        <v/>
      </c>
      <c r="K495" s="51" t="str">
        <f>IF(_xlfn.ISFORMULA('Previsto x realizado'!BC2483) = FALSE, "","Enviado")</f>
        <v/>
      </c>
      <c r="L495" s="51" t="str">
        <f>IF(_xlfn.ISFORMULA('Previsto x realizado'!BD2483) = FALSE, "","Enviado")</f>
        <v/>
      </c>
      <c r="M495" s="51" t="str">
        <f>IF(_xlfn.ISFORMULA('Previsto x realizado'!BE2483) = FALSE, "","Enviado")</f>
        <v/>
      </c>
      <c r="N495" s="51" t="str">
        <f>IF(_xlfn.ISFORMULA('Previsto x realizado'!BF2483) = FALSE, "","Enviado")</f>
        <v/>
      </c>
      <c r="O495" s="51" t="str">
        <f>IF(_xlfn.ISFORMULA('Previsto x realizado'!BG2483) = FALSE, "","Enviado")</f>
        <v/>
      </c>
      <c r="P495" s="51" t="str">
        <f>IF(_xlfn.ISFORMULA('Previsto x realizado'!BH2483) = FALSE, "","Enviado")</f>
        <v/>
      </c>
    </row>
    <row r="496" spans="1:16" ht="27.6" x14ac:dyDescent="0.3">
      <c r="A496" s="23" t="s">
        <v>134</v>
      </c>
      <c r="B496" s="4" t="s">
        <v>174</v>
      </c>
      <c r="C496" s="5" t="s">
        <v>221</v>
      </c>
      <c r="D496" s="4" t="s">
        <v>267</v>
      </c>
      <c r="E496" s="51" t="str">
        <f>IF(_xlfn.ISFORMULA('Previsto x realizado'!AW2486) = FALSE, "","Enviado")</f>
        <v>Enviado</v>
      </c>
      <c r="F496" s="51" t="str">
        <f>IF(_xlfn.ISFORMULA('Previsto x realizado'!AX2486) = FALSE, "","Enviado")</f>
        <v>Enviado</v>
      </c>
      <c r="G496" s="51" t="str">
        <f>IF(_xlfn.ISFORMULA('Previsto x realizado'!AY2486) = FALSE, "","Enviado")</f>
        <v>Enviado</v>
      </c>
      <c r="H496" s="51" t="str">
        <f>IF(_xlfn.ISFORMULA('Previsto x realizado'!AZ2486) = FALSE, "","Enviado")</f>
        <v>Enviado</v>
      </c>
      <c r="I496" s="51" t="str">
        <f>IF(_xlfn.ISFORMULA('Previsto x realizado'!BA2486) = FALSE, "","Enviado")</f>
        <v>Enviado</v>
      </c>
      <c r="J496" s="51" t="str">
        <f>IF(_xlfn.ISFORMULA('Previsto x realizado'!BB2486) = FALSE, "","Enviado")</f>
        <v/>
      </c>
      <c r="K496" s="51" t="str">
        <f>IF(_xlfn.ISFORMULA('Previsto x realizado'!BC2486) = FALSE, "","Enviado")</f>
        <v/>
      </c>
      <c r="L496" s="51" t="str">
        <f>IF(_xlfn.ISFORMULA('Previsto x realizado'!BD2486) = FALSE, "","Enviado")</f>
        <v/>
      </c>
      <c r="M496" s="51" t="str">
        <f>IF(_xlfn.ISFORMULA('Previsto x realizado'!BE2486) = FALSE, "","Enviado")</f>
        <v/>
      </c>
      <c r="N496" s="51" t="str">
        <f>IF(_xlfn.ISFORMULA('Previsto x realizado'!BF2486) = FALSE, "","Enviado")</f>
        <v/>
      </c>
      <c r="O496" s="51" t="str">
        <f>IF(_xlfn.ISFORMULA('Previsto x realizado'!BG2486) = FALSE, "","Enviado")</f>
        <v/>
      </c>
      <c r="P496" s="51" t="str">
        <f>IF(_xlfn.ISFORMULA('Previsto x realizado'!BH2486) = FALSE, "","Enviado")</f>
        <v/>
      </c>
    </row>
    <row r="497" spans="1:16" ht="27.6" x14ac:dyDescent="0.3">
      <c r="A497" s="23" t="s">
        <v>134</v>
      </c>
      <c r="B497" s="4" t="s">
        <v>174</v>
      </c>
      <c r="C497" s="5" t="s">
        <v>221</v>
      </c>
      <c r="D497" s="4" t="s">
        <v>267</v>
      </c>
      <c r="E497" s="51" t="str">
        <f>IF(_xlfn.ISFORMULA('Previsto x realizado'!AW2491) = FALSE, "","Enviado")</f>
        <v>Enviado</v>
      </c>
      <c r="F497" s="51" t="str">
        <f>IF(_xlfn.ISFORMULA('Previsto x realizado'!AX2491) = FALSE, "","Enviado")</f>
        <v>Enviado</v>
      </c>
      <c r="G497" s="51" t="str">
        <f>IF(_xlfn.ISFORMULA('Previsto x realizado'!AY2491) = FALSE, "","Enviado")</f>
        <v>Enviado</v>
      </c>
      <c r="H497" s="51" t="str">
        <f>IF(_xlfn.ISFORMULA('Previsto x realizado'!AZ2491) = FALSE, "","Enviado")</f>
        <v>Enviado</v>
      </c>
      <c r="I497" s="51" t="str">
        <f>IF(_xlfn.ISFORMULA('Previsto x realizado'!BA2491) = FALSE, "","Enviado")</f>
        <v>Enviado</v>
      </c>
      <c r="J497" s="51" t="str">
        <f>IF(_xlfn.ISFORMULA('Previsto x realizado'!BB2491) = FALSE, "","Enviado")</f>
        <v/>
      </c>
      <c r="K497" s="51" t="str">
        <f>IF(_xlfn.ISFORMULA('Previsto x realizado'!BC2491) = FALSE, "","Enviado")</f>
        <v/>
      </c>
      <c r="L497" s="51" t="str">
        <f>IF(_xlfn.ISFORMULA('Previsto x realizado'!BD2491) = FALSE, "","Enviado")</f>
        <v/>
      </c>
      <c r="M497" s="51" t="str">
        <f>IF(_xlfn.ISFORMULA('Previsto x realizado'!BE2491) = FALSE, "","Enviado")</f>
        <v/>
      </c>
      <c r="N497" s="51" t="str">
        <f>IF(_xlfn.ISFORMULA('Previsto x realizado'!BF2491) = FALSE, "","Enviado")</f>
        <v/>
      </c>
      <c r="O497" s="51" t="str">
        <f>IF(_xlfn.ISFORMULA('Previsto x realizado'!BG2491) = FALSE, "","Enviado")</f>
        <v/>
      </c>
      <c r="P497" s="51" t="str">
        <f>IF(_xlfn.ISFORMULA('Previsto x realizado'!BH2491) = FALSE, "","Enviado")</f>
        <v/>
      </c>
    </row>
    <row r="498" spans="1:16" ht="27.6" x14ac:dyDescent="0.3">
      <c r="A498" s="33" t="s">
        <v>175</v>
      </c>
      <c r="B498" s="4" t="s">
        <v>176</v>
      </c>
      <c r="C498" s="5" t="s">
        <v>221</v>
      </c>
      <c r="D498" s="4" t="s">
        <v>267</v>
      </c>
      <c r="E498" s="51" t="str">
        <f>IF(_xlfn.ISFORMULA('Previsto x realizado'!AW2492) = FALSE, "","Enviado")</f>
        <v>Enviado</v>
      </c>
      <c r="F498" s="51" t="str">
        <f>IF(_xlfn.ISFORMULA('Previsto x realizado'!AX2492) = FALSE, "","Enviado")</f>
        <v>Enviado</v>
      </c>
      <c r="G498" s="51" t="str">
        <f>IF(_xlfn.ISFORMULA('Previsto x realizado'!AY2492) = FALSE, "","Enviado")</f>
        <v>Enviado</v>
      </c>
      <c r="H498" s="51" t="str">
        <f>IF(_xlfn.ISFORMULA('Previsto x realizado'!AZ2492) = FALSE, "","Enviado")</f>
        <v>Enviado</v>
      </c>
      <c r="I498" s="51" t="str">
        <f>IF(_xlfn.ISFORMULA('Previsto x realizado'!BA2492) = FALSE, "","Enviado")</f>
        <v/>
      </c>
      <c r="J498" s="51" t="str">
        <f>IF(_xlfn.ISFORMULA('Previsto x realizado'!BB2492) = FALSE, "","Enviado")</f>
        <v/>
      </c>
      <c r="K498" s="51" t="str">
        <f>IF(_xlfn.ISFORMULA('Previsto x realizado'!BC2492) = FALSE, "","Enviado")</f>
        <v/>
      </c>
      <c r="L498" s="51" t="str">
        <f>IF(_xlfn.ISFORMULA('Previsto x realizado'!BD2492) = FALSE, "","Enviado")</f>
        <v/>
      </c>
      <c r="M498" s="51" t="str">
        <f>IF(_xlfn.ISFORMULA('Previsto x realizado'!BE2492) = FALSE, "","Enviado")</f>
        <v/>
      </c>
      <c r="N498" s="51" t="str">
        <f>IF(_xlfn.ISFORMULA('Previsto x realizado'!BF2492) = FALSE, "","Enviado")</f>
        <v/>
      </c>
      <c r="O498" s="51" t="str">
        <f>IF(_xlfn.ISFORMULA('Previsto x realizado'!BG2492) = FALSE, "","Enviado")</f>
        <v/>
      </c>
      <c r="P498" s="51" t="str">
        <f>IF(_xlfn.ISFORMULA('Previsto x realizado'!BH2492) = FALSE, "","Enviado")</f>
        <v/>
      </c>
    </row>
    <row r="499" spans="1:16" ht="27.6" x14ac:dyDescent="0.3">
      <c r="A499" s="44" t="s">
        <v>175</v>
      </c>
      <c r="B499" s="4" t="s">
        <v>176</v>
      </c>
      <c r="C499" s="5" t="s">
        <v>221</v>
      </c>
      <c r="D499" s="4" t="s">
        <v>267</v>
      </c>
      <c r="E499" s="51" t="str">
        <f>IF(_xlfn.ISFORMULA('Previsto x realizado'!AW2495) = FALSE, "","Enviado")</f>
        <v>Enviado</v>
      </c>
      <c r="F499" s="51" t="str">
        <f>IF(_xlfn.ISFORMULA('Previsto x realizado'!AX2495) = FALSE, "","Enviado")</f>
        <v>Enviado</v>
      </c>
      <c r="G499" s="51" t="str">
        <f>IF(_xlfn.ISFORMULA('Previsto x realizado'!AY2495) = FALSE, "","Enviado")</f>
        <v>Enviado</v>
      </c>
      <c r="H499" s="51" t="str">
        <f>IF(_xlfn.ISFORMULA('Previsto x realizado'!AZ2495) = FALSE, "","Enviado")</f>
        <v>Enviado</v>
      </c>
      <c r="I499" s="51" t="str">
        <f>IF(_xlfn.ISFORMULA('Previsto x realizado'!BA2495) = FALSE, "","Enviado")</f>
        <v/>
      </c>
      <c r="J499" s="51" t="str">
        <f>IF(_xlfn.ISFORMULA('Previsto x realizado'!BB2495) = FALSE, "","Enviado")</f>
        <v/>
      </c>
      <c r="K499" s="51" t="str">
        <f>IF(_xlfn.ISFORMULA('Previsto x realizado'!BC2495) = FALSE, "","Enviado")</f>
        <v/>
      </c>
      <c r="L499" s="51" t="str">
        <f>IF(_xlfn.ISFORMULA('Previsto x realizado'!BD2495) = FALSE, "","Enviado")</f>
        <v/>
      </c>
      <c r="M499" s="51" t="str">
        <f>IF(_xlfn.ISFORMULA('Previsto x realizado'!BE2495) = FALSE, "","Enviado")</f>
        <v/>
      </c>
      <c r="N499" s="51" t="str">
        <f>IF(_xlfn.ISFORMULA('Previsto x realizado'!BF2495) = FALSE, "","Enviado")</f>
        <v/>
      </c>
      <c r="O499" s="51" t="str">
        <f>IF(_xlfn.ISFORMULA('Previsto x realizado'!BG2495) = FALSE, "","Enviado")</f>
        <v/>
      </c>
      <c r="P499" s="51" t="str">
        <f>IF(_xlfn.ISFORMULA('Previsto x realizado'!BH2495) = FALSE, "","Enviado")</f>
        <v/>
      </c>
    </row>
    <row r="500" spans="1:16" ht="27.6" x14ac:dyDescent="0.3">
      <c r="A500" s="44" t="s">
        <v>175</v>
      </c>
      <c r="B500" s="4" t="s">
        <v>176</v>
      </c>
      <c r="C500" s="5" t="s">
        <v>221</v>
      </c>
      <c r="D500" s="4" t="s">
        <v>267</v>
      </c>
      <c r="E500" s="51" t="str">
        <f>IF(_xlfn.ISFORMULA('Previsto x realizado'!AW2498) = FALSE, "","Enviado")</f>
        <v>Enviado</v>
      </c>
      <c r="F500" s="51" t="str">
        <f>IF(_xlfn.ISFORMULA('Previsto x realizado'!AX2498) = FALSE, "","Enviado")</f>
        <v>Enviado</v>
      </c>
      <c r="G500" s="51" t="str">
        <f>IF(_xlfn.ISFORMULA('Previsto x realizado'!AY2498) = FALSE, "","Enviado")</f>
        <v>Enviado</v>
      </c>
      <c r="H500" s="51" t="str">
        <f>IF(_xlfn.ISFORMULA('Previsto x realizado'!AZ2498) = FALSE, "","Enviado")</f>
        <v>Enviado</v>
      </c>
      <c r="I500" s="51" t="str">
        <f>IF(_xlfn.ISFORMULA('Previsto x realizado'!BA2498) = FALSE, "","Enviado")</f>
        <v/>
      </c>
      <c r="J500" s="51" t="str">
        <f>IF(_xlfn.ISFORMULA('Previsto x realizado'!BB2498) = FALSE, "","Enviado")</f>
        <v/>
      </c>
      <c r="K500" s="51" t="str">
        <f>IF(_xlfn.ISFORMULA('Previsto x realizado'!BC2498) = FALSE, "","Enviado")</f>
        <v/>
      </c>
      <c r="L500" s="51" t="str">
        <f>IF(_xlfn.ISFORMULA('Previsto x realizado'!BD2498) = FALSE, "","Enviado")</f>
        <v/>
      </c>
      <c r="M500" s="51" t="str">
        <f>IF(_xlfn.ISFORMULA('Previsto x realizado'!BE2498) = FALSE, "","Enviado")</f>
        <v/>
      </c>
      <c r="N500" s="51" t="str">
        <f>IF(_xlfn.ISFORMULA('Previsto x realizado'!BF2498) = FALSE, "","Enviado")</f>
        <v/>
      </c>
      <c r="O500" s="51" t="str">
        <f>IF(_xlfn.ISFORMULA('Previsto x realizado'!BG2498) = FALSE, "","Enviado")</f>
        <v/>
      </c>
      <c r="P500" s="51" t="str">
        <f>IF(_xlfn.ISFORMULA('Previsto x realizado'!BH2498) = FALSE, "","Enviado")</f>
        <v/>
      </c>
    </row>
    <row r="501" spans="1:16" ht="27.6" x14ac:dyDescent="0.3">
      <c r="A501" s="33" t="s">
        <v>175</v>
      </c>
      <c r="B501" s="4" t="s">
        <v>184</v>
      </c>
      <c r="C501" s="5" t="s">
        <v>221</v>
      </c>
      <c r="D501" s="4" t="s">
        <v>267</v>
      </c>
      <c r="E501" s="51" t="str">
        <f>IF(_xlfn.ISFORMULA('Previsto x realizado'!AW2501) = FALSE, "","Enviado")</f>
        <v>Enviado</v>
      </c>
      <c r="F501" s="51" t="str">
        <f>IF(_xlfn.ISFORMULA('Previsto x realizado'!AX2501) = FALSE, "","Enviado")</f>
        <v>Enviado</v>
      </c>
      <c r="G501" s="51" t="str">
        <f>IF(_xlfn.ISFORMULA('Previsto x realizado'!AY2501) = FALSE, "","Enviado")</f>
        <v>Enviado</v>
      </c>
      <c r="H501" s="51" t="str">
        <f>IF(_xlfn.ISFORMULA('Previsto x realizado'!AZ2501) = FALSE, "","Enviado")</f>
        <v>Enviado</v>
      </c>
      <c r="I501" s="51" t="str">
        <f>IF(_xlfn.ISFORMULA('Previsto x realizado'!BA2501) = FALSE, "","Enviado")</f>
        <v/>
      </c>
      <c r="J501" s="51" t="str">
        <f>IF(_xlfn.ISFORMULA('Previsto x realizado'!BB2501) = FALSE, "","Enviado")</f>
        <v/>
      </c>
      <c r="K501" s="51" t="str">
        <f>IF(_xlfn.ISFORMULA('Previsto x realizado'!BC2501) = FALSE, "","Enviado")</f>
        <v/>
      </c>
      <c r="L501" s="51" t="str">
        <f>IF(_xlfn.ISFORMULA('Previsto x realizado'!BD2501) = FALSE, "","Enviado")</f>
        <v/>
      </c>
      <c r="M501" s="51" t="str">
        <f>IF(_xlfn.ISFORMULA('Previsto x realizado'!BE2501) = FALSE, "","Enviado")</f>
        <v/>
      </c>
      <c r="N501" s="51" t="str">
        <f>IF(_xlfn.ISFORMULA('Previsto x realizado'!BF2501) = FALSE, "","Enviado")</f>
        <v/>
      </c>
      <c r="O501" s="51" t="str">
        <f>IF(_xlfn.ISFORMULA('Previsto x realizado'!BG2501) = FALSE, "","Enviado")</f>
        <v/>
      </c>
      <c r="P501" s="51" t="str">
        <f>IF(_xlfn.ISFORMULA('Previsto x realizado'!BH2501) = FALSE, "","Enviado")</f>
        <v/>
      </c>
    </row>
    <row r="502" spans="1:16" ht="27.6" x14ac:dyDescent="0.3">
      <c r="A502" s="44" t="s">
        <v>175</v>
      </c>
      <c r="B502" s="4" t="s">
        <v>184</v>
      </c>
      <c r="C502" s="5" t="s">
        <v>221</v>
      </c>
      <c r="D502" s="4" t="s">
        <v>267</v>
      </c>
      <c r="E502" s="51" t="str">
        <f>IF(_xlfn.ISFORMULA('Previsto x realizado'!AW2504) = FALSE, "","Enviado")</f>
        <v>Enviado</v>
      </c>
      <c r="F502" s="51" t="str">
        <f>IF(_xlfn.ISFORMULA('Previsto x realizado'!AX2504) = FALSE, "","Enviado")</f>
        <v>Enviado</v>
      </c>
      <c r="G502" s="51" t="str">
        <f>IF(_xlfn.ISFORMULA('Previsto x realizado'!AY2504) = FALSE, "","Enviado")</f>
        <v>Enviado</v>
      </c>
      <c r="H502" s="51" t="str">
        <f>IF(_xlfn.ISFORMULA('Previsto x realizado'!AZ2504) = FALSE, "","Enviado")</f>
        <v>Enviado</v>
      </c>
      <c r="I502" s="51" t="str">
        <f>IF(_xlfn.ISFORMULA('Previsto x realizado'!BA2504) = FALSE, "","Enviado")</f>
        <v/>
      </c>
      <c r="J502" s="51" t="str">
        <f>IF(_xlfn.ISFORMULA('Previsto x realizado'!BB2504) = FALSE, "","Enviado")</f>
        <v/>
      </c>
      <c r="K502" s="51" t="str">
        <f>IF(_xlfn.ISFORMULA('Previsto x realizado'!BC2504) = FALSE, "","Enviado")</f>
        <v/>
      </c>
      <c r="L502" s="51" t="str">
        <f>IF(_xlfn.ISFORMULA('Previsto x realizado'!BD2504) = FALSE, "","Enviado")</f>
        <v/>
      </c>
      <c r="M502" s="51" t="str">
        <f>IF(_xlfn.ISFORMULA('Previsto x realizado'!BE2504) = FALSE, "","Enviado")</f>
        <v/>
      </c>
      <c r="N502" s="51" t="str">
        <f>IF(_xlfn.ISFORMULA('Previsto x realizado'!BF2504) = FALSE, "","Enviado")</f>
        <v/>
      </c>
      <c r="O502" s="51" t="str">
        <f>IF(_xlfn.ISFORMULA('Previsto x realizado'!BG2504) = FALSE, "","Enviado")</f>
        <v/>
      </c>
      <c r="P502" s="51" t="str">
        <f>IF(_xlfn.ISFORMULA('Previsto x realizado'!BH2504) = FALSE, "","Enviado")</f>
        <v/>
      </c>
    </row>
    <row r="503" spans="1:16" ht="27.6" x14ac:dyDescent="0.3">
      <c r="A503" s="44" t="s">
        <v>175</v>
      </c>
      <c r="B503" s="4" t="s">
        <v>184</v>
      </c>
      <c r="C503" s="5" t="s">
        <v>221</v>
      </c>
      <c r="D503" s="4" t="s">
        <v>267</v>
      </c>
      <c r="E503" s="51" t="str">
        <f>IF(_xlfn.ISFORMULA('Previsto x realizado'!AW2507) = FALSE, "","Enviado")</f>
        <v>Enviado</v>
      </c>
      <c r="F503" s="51" t="str">
        <f>IF(_xlfn.ISFORMULA('Previsto x realizado'!AX2507) = FALSE, "","Enviado")</f>
        <v>Enviado</v>
      </c>
      <c r="G503" s="51" t="str">
        <f>IF(_xlfn.ISFORMULA('Previsto x realizado'!AY2507) = FALSE, "","Enviado")</f>
        <v>Enviado</v>
      </c>
      <c r="H503" s="51" t="str">
        <f>IF(_xlfn.ISFORMULA('Previsto x realizado'!AZ2507) = FALSE, "","Enviado")</f>
        <v>Enviado</v>
      </c>
      <c r="I503" s="51" t="str">
        <f>IF(_xlfn.ISFORMULA('Previsto x realizado'!BA2507) = FALSE, "","Enviado")</f>
        <v/>
      </c>
      <c r="J503" s="51" t="str">
        <f>IF(_xlfn.ISFORMULA('Previsto x realizado'!BB2507) = FALSE, "","Enviado")</f>
        <v/>
      </c>
      <c r="K503" s="51" t="str">
        <f>IF(_xlfn.ISFORMULA('Previsto x realizado'!BC2507) = FALSE, "","Enviado")</f>
        <v/>
      </c>
      <c r="L503" s="51" t="str">
        <f>IF(_xlfn.ISFORMULA('Previsto x realizado'!BD2507) = FALSE, "","Enviado")</f>
        <v/>
      </c>
      <c r="M503" s="51" t="str">
        <f>IF(_xlfn.ISFORMULA('Previsto x realizado'!BE2507) = FALSE, "","Enviado")</f>
        <v/>
      </c>
      <c r="N503" s="51" t="str">
        <f>IF(_xlfn.ISFORMULA('Previsto x realizado'!BF2507) = FALSE, "","Enviado")</f>
        <v/>
      </c>
      <c r="O503" s="51" t="str">
        <f>IF(_xlfn.ISFORMULA('Previsto x realizado'!BG2507) = FALSE, "","Enviado")</f>
        <v/>
      </c>
      <c r="P503" s="51" t="str">
        <f>IF(_xlfn.ISFORMULA('Previsto x realizado'!BH2507) = FALSE, "","Enviado")</f>
        <v/>
      </c>
    </row>
    <row r="504" spans="1:16" ht="27.6" x14ac:dyDescent="0.3">
      <c r="A504" s="33" t="s">
        <v>175</v>
      </c>
      <c r="B504" s="4" t="s">
        <v>187</v>
      </c>
      <c r="C504" s="5" t="s">
        <v>221</v>
      </c>
      <c r="D504" s="4" t="s">
        <v>267</v>
      </c>
      <c r="E504" s="51" t="str">
        <f>IF(_xlfn.ISFORMULA('Previsto x realizado'!AW2510) = FALSE, "","Enviado")</f>
        <v/>
      </c>
      <c r="F504" s="51" t="str">
        <f>IF(_xlfn.ISFORMULA('Previsto x realizado'!AX2510) = FALSE, "","Enviado")</f>
        <v/>
      </c>
      <c r="G504" s="51" t="str">
        <f>IF(_xlfn.ISFORMULA('Previsto x realizado'!AY2510) = FALSE, "","Enviado")</f>
        <v/>
      </c>
      <c r="H504" s="51" t="str">
        <f>IF(_xlfn.ISFORMULA('Previsto x realizado'!AZ2510) = FALSE, "","Enviado")</f>
        <v/>
      </c>
      <c r="I504" s="51" t="str">
        <f>IF(_xlfn.ISFORMULA('Previsto x realizado'!BA2510) = FALSE, "","Enviado")</f>
        <v/>
      </c>
      <c r="J504" s="51" t="str">
        <f>IF(_xlfn.ISFORMULA('Previsto x realizado'!BB2510) = FALSE, "","Enviado")</f>
        <v/>
      </c>
      <c r="K504" s="51" t="str">
        <f>IF(_xlfn.ISFORMULA('Previsto x realizado'!BC2510) = FALSE, "","Enviado")</f>
        <v/>
      </c>
      <c r="L504" s="51" t="str">
        <f>IF(_xlfn.ISFORMULA('Previsto x realizado'!BD2510) = FALSE, "","Enviado")</f>
        <v/>
      </c>
      <c r="M504" s="51" t="str">
        <f>IF(_xlfn.ISFORMULA('Previsto x realizado'!BE2510) = FALSE, "","Enviado")</f>
        <v/>
      </c>
      <c r="N504" s="51" t="str">
        <f>IF(_xlfn.ISFORMULA('Previsto x realizado'!BF2510) = FALSE, "","Enviado")</f>
        <v/>
      </c>
      <c r="O504" s="51" t="str">
        <f>IF(_xlfn.ISFORMULA('Previsto x realizado'!BG2510) = FALSE, "","Enviado")</f>
        <v/>
      </c>
      <c r="P504" s="51" t="str">
        <f>IF(_xlfn.ISFORMULA('Previsto x realizado'!BH2510) = FALSE, "","Enviado")</f>
        <v/>
      </c>
    </row>
    <row r="505" spans="1:16" ht="27.6" x14ac:dyDescent="0.3">
      <c r="A505" s="44" t="s">
        <v>175</v>
      </c>
      <c r="B505" s="4" t="s">
        <v>187</v>
      </c>
      <c r="C505" s="5" t="s">
        <v>221</v>
      </c>
      <c r="D505" s="4" t="s">
        <v>267</v>
      </c>
      <c r="E505" s="51" t="str">
        <f>IF(_xlfn.ISFORMULA('Previsto x realizado'!AW2513) = FALSE, "","Enviado")</f>
        <v>Enviado</v>
      </c>
      <c r="F505" s="51" t="str">
        <f>IF(_xlfn.ISFORMULA('Previsto x realizado'!AX2513) = FALSE, "","Enviado")</f>
        <v/>
      </c>
      <c r="G505" s="51" t="str">
        <f>IF(_xlfn.ISFORMULA('Previsto x realizado'!AY2513) = FALSE, "","Enviado")</f>
        <v/>
      </c>
      <c r="H505" s="51" t="str">
        <f>IF(_xlfn.ISFORMULA('Previsto x realizado'!AZ2513) = FALSE, "","Enviado")</f>
        <v/>
      </c>
      <c r="I505" s="51" t="str">
        <f>IF(_xlfn.ISFORMULA('Previsto x realizado'!BA2513) = FALSE, "","Enviado")</f>
        <v/>
      </c>
      <c r="J505" s="51" t="str">
        <f>IF(_xlfn.ISFORMULA('Previsto x realizado'!BB2513) = FALSE, "","Enviado")</f>
        <v/>
      </c>
      <c r="K505" s="51" t="str">
        <f>IF(_xlfn.ISFORMULA('Previsto x realizado'!BC2513) = FALSE, "","Enviado")</f>
        <v/>
      </c>
      <c r="L505" s="51" t="str">
        <f>IF(_xlfn.ISFORMULA('Previsto x realizado'!BD2513) = FALSE, "","Enviado")</f>
        <v/>
      </c>
      <c r="M505" s="51" t="str">
        <f>IF(_xlfn.ISFORMULA('Previsto x realizado'!BE2513) = FALSE, "","Enviado")</f>
        <v/>
      </c>
      <c r="N505" s="51" t="str">
        <f>IF(_xlfn.ISFORMULA('Previsto x realizado'!BF2513) = FALSE, "","Enviado")</f>
        <v/>
      </c>
      <c r="O505" s="51" t="str">
        <f>IF(_xlfn.ISFORMULA('Previsto x realizado'!BG2513) = FALSE, "","Enviado")</f>
        <v/>
      </c>
      <c r="P505" s="51" t="str">
        <f>IF(_xlfn.ISFORMULA('Previsto x realizado'!BH2513) = FALSE, "","Enviado")</f>
        <v/>
      </c>
    </row>
    <row r="506" spans="1:16" ht="27.6" x14ac:dyDescent="0.3">
      <c r="A506" s="44" t="s">
        <v>175</v>
      </c>
      <c r="B506" s="4" t="s">
        <v>187</v>
      </c>
      <c r="C506" s="5" t="s">
        <v>221</v>
      </c>
      <c r="D506" s="4" t="s">
        <v>267</v>
      </c>
      <c r="E506" s="51" t="str">
        <f>IF(_xlfn.ISFORMULA('Previsto x realizado'!AW2516) = FALSE, "","Enviado")</f>
        <v>Enviado</v>
      </c>
      <c r="F506" s="51" t="str">
        <f>IF(_xlfn.ISFORMULA('Previsto x realizado'!AX2516) = FALSE, "","Enviado")</f>
        <v/>
      </c>
      <c r="G506" s="51" t="str">
        <f>IF(_xlfn.ISFORMULA('Previsto x realizado'!AY2516) = FALSE, "","Enviado")</f>
        <v/>
      </c>
      <c r="H506" s="51" t="str">
        <f>IF(_xlfn.ISFORMULA('Previsto x realizado'!AZ2516) = FALSE, "","Enviado")</f>
        <v/>
      </c>
      <c r="I506" s="51" t="str">
        <f>IF(_xlfn.ISFORMULA('Previsto x realizado'!BA2516) = FALSE, "","Enviado")</f>
        <v/>
      </c>
      <c r="J506" s="51" t="str">
        <f>IF(_xlfn.ISFORMULA('Previsto x realizado'!BB2516) = FALSE, "","Enviado")</f>
        <v/>
      </c>
      <c r="K506" s="51" t="str">
        <f>IF(_xlfn.ISFORMULA('Previsto x realizado'!BC2516) = FALSE, "","Enviado")</f>
        <v/>
      </c>
      <c r="L506" s="51" t="str">
        <f>IF(_xlfn.ISFORMULA('Previsto x realizado'!BD2516) = FALSE, "","Enviado")</f>
        <v/>
      </c>
      <c r="M506" s="51" t="str">
        <f>IF(_xlfn.ISFORMULA('Previsto x realizado'!BE2516) = FALSE, "","Enviado")</f>
        <v/>
      </c>
      <c r="N506" s="51" t="str">
        <f>IF(_xlfn.ISFORMULA('Previsto x realizado'!BF2516) = FALSE, "","Enviado")</f>
        <v/>
      </c>
      <c r="O506" s="51" t="str">
        <f>IF(_xlfn.ISFORMULA('Previsto x realizado'!BG2516) = FALSE, "","Enviado")</f>
        <v/>
      </c>
      <c r="P506" s="51" t="str">
        <f>IF(_xlfn.ISFORMULA('Previsto x realizado'!BH2516) = FALSE, "","Enviado")</f>
        <v/>
      </c>
    </row>
    <row r="507" spans="1:16" ht="27.6" x14ac:dyDescent="0.3">
      <c r="A507" s="33" t="s">
        <v>175</v>
      </c>
      <c r="B507" s="4" t="s">
        <v>194</v>
      </c>
      <c r="C507" s="5" t="s">
        <v>221</v>
      </c>
      <c r="D507" s="4" t="s">
        <v>267</v>
      </c>
      <c r="E507" s="51" t="str">
        <f>IF(_xlfn.ISFORMULA('Previsto x realizado'!AW2519) = FALSE, "","Enviado")</f>
        <v/>
      </c>
      <c r="F507" s="51" t="str">
        <f>IF(_xlfn.ISFORMULA('Previsto x realizado'!AX2519) = FALSE, "","Enviado")</f>
        <v/>
      </c>
      <c r="G507" s="51" t="str">
        <f>IF(_xlfn.ISFORMULA('Previsto x realizado'!AY2519) = FALSE, "","Enviado")</f>
        <v/>
      </c>
      <c r="H507" s="51" t="str">
        <f>IF(_xlfn.ISFORMULA('Previsto x realizado'!AZ2519) = FALSE, "","Enviado")</f>
        <v/>
      </c>
      <c r="I507" s="51" t="str">
        <f>IF(_xlfn.ISFORMULA('Previsto x realizado'!BA2519) = FALSE, "","Enviado")</f>
        <v/>
      </c>
      <c r="J507" s="51" t="str">
        <f>IF(_xlfn.ISFORMULA('Previsto x realizado'!BB2519) = FALSE, "","Enviado")</f>
        <v/>
      </c>
      <c r="K507" s="51" t="str">
        <f>IF(_xlfn.ISFORMULA('Previsto x realizado'!BC2519) = FALSE, "","Enviado")</f>
        <v/>
      </c>
      <c r="L507" s="51" t="str">
        <f>IF(_xlfn.ISFORMULA('Previsto x realizado'!BD2519) = FALSE, "","Enviado")</f>
        <v/>
      </c>
      <c r="M507" s="51" t="str">
        <f>IF(_xlfn.ISFORMULA('Previsto x realizado'!BE2519) = FALSE, "","Enviado")</f>
        <v/>
      </c>
      <c r="N507" s="51" t="str">
        <f>IF(_xlfn.ISFORMULA('Previsto x realizado'!BF2519) = FALSE, "","Enviado")</f>
        <v/>
      </c>
      <c r="O507" s="51" t="str">
        <f>IF(_xlfn.ISFORMULA('Previsto x realizado'!BG2519) = FALSE, "","Enviado")</f>
        <v/>
      </c>
      <c r="P507" s="51" t="str">
        <f>IF(_xlfn.ISFORMULA('Previsto x realizado'!BH2519) = FALSE, "","Enviado")</f>
        <v/>
      </c>
    </row>
    <row r="508" spans="1:16" ht="27.6" x14ac:dyDescent="0.3">
      <c r="A508" s="44" t="s">
        <v>175</v>
      </c>
      <c r="B508" s="4" t="s">
        <v>194</v>
      </c>
      <c r="C508" s="5" t="s">
        <v>221</v>
      </c>
      <c r="D508" s="4" t="s">
        <v>267</v>
      </c>
      <c r="E508" s="51" t="str">
        <f>IF(_xlfn.ISFORMULA('Previsto x realizado'!AW2522) = FALSE, "","Enviado")</f>
        <v>Enviado</v>
      </c>
      <c r="F508" s="51" t="str">
        <f>IF(_xlfn.ISFORMULA('Previsto x realizado'!AX2522) = FALSE, "","Enviado")</f>
        <v/>
      </c>
      <c r="G508" s="51" t="str">
        <f>IF(_xlfn.ISFORMULA('Previsto x realizado'!AY2522) = FALSE, "","Enviado")</f>
        <v/>
      </c>
      <c r="H508" s="51" t="str">
        <f>IF(_xlfn.ISFORMULA('Previsto x realizado'!AZ2522) = FALSE, "","Enviado")</f>
        <v/>
      </c>
      <c r="I508" s="51" t="str">
        <f>IF(_xlfn.ISFORMULA('Previsto x realizado'!BA2522) = FALSE, "","Enviado")</f>
        <v/>
      </c>
      <c r="J508" s="51" t="str">
        <f>IF(_xlfn.ISFORMULA('Previsto x realizado'!BB2522) = FALSE, "","Enviado")</f>
        <v/>
      </c>
      <c r="K508" s="51" t="str">
        <f>IF(_xlfn.ISFORMULA('Previsto x realizado'!BC2522) = FALSE, "","Enviado")</f>
        <v/>
      </c>
      <c r="L508" s="51" t="str">
        <f>IF(_xlfn.ISFORMULA('Previsto x realizado'!BD2522) = FALSE, "","Enviado")</f>
        <v/>
      </c>
      <c r="M508" s="51" t="str">
        <f>IF(_xlfn.ISFORMULA('Previsto x realizado'!BE2522) = FALSE, "","Enviado")</f>
        <v/>
      </c>
      <c r="N508" s="51" t="str">
        <f>IF(_xlfn.ISFORMULA('Previsto x realizado'!BF2522) = FALSE, "","Enviado")</f>
        <v/>
      </c>
      <c r="O508" s="51" t="str">
        <f>IF(_xlfn.ISFORMULA('Previsto x realizado'!BG2522) = FALSE, "","Enviado")</f>
        <v/>
      </c>
      <c r="P508" s="51" t="str">
        <f>IF(_xlfn.ISFORMULA('Previsto x realizado'!BH2522) = FALSE, "","Enviado")</f>
        <v/>
      </c>
    </row>
    <row r="509" spans="1:16" ht="27.6" x14ac:dyDescent="0.3">
      <c r="A509" s="44" t="s">
        <v>175</v>
      </c>
      <c r="B509" s="4" t="s">
        <v>194</v>
      </c>
      <c r="C509" s="5" t="s">
        <v>221</v>
      </c>
      <c r="D509" s="4" t="s">
        <v>267</v>
      </c>
      <c r="E509" s="51" t="str">
        <f>IF(_xlfn.ISFORMULA('Previsto x realizado'!AW2525) = FALSE, "","Enviado")</f>
        <v>Enviado</v>
      </c>
      <c r="F509" s="51" t="str">
        <f>IF(_xlfn.ISFORMULA('Previsto x realizado'!AX2525) = FALSE, "","Enviado")</f>
        <v/>
      </c>
      <c r="G509" s="51" t="str">
        <f>IF(_xlfn.ISFORMULA('Previsto x realizado'!AY2525) = FALSE, "","Enviado")</f>
        <v/>
      </c>
      <c r="H509" s="51" t="str">
        <f>IF(_xlfn.ISFORMULA('Previsto x realizado'!AZ2525) = FALSE, "","Enviado")</f>
        <v/>
      </c>
      <c r="I509" s="51" t="str">
        <f>IF(_xlfn.ISFORMULA('Previsto x realizado'!BA2525) = FALSE, "","Enviado")</f>
        <v/>
      </c>
      <c r="J509" s="51" t="str">
        <f>IF(_xlfn.ISFORMULA('Previsto x realizado'!BB2525) = FALSE, "","Enviado")</f>
        <v/>
      </c>
      <c r="K509" s="51" t="str">
        <f>IF(_xlfn.ISFORMULA('Previsto x realizado'!BC2525) = FALSE, "","Enviado")</f>
        <v/>
      </c>
      <c r="L509" s="51" t="str">
        <f>IF(_xlfn.ISFORMULA('Previsto x realizado'!BD2525) = FALSE, "","Enviado")</f>
        <v/>
      </c>
      <c r="M509" s="51" t="str">
        <f>IF(_xlfn.ISFORMULA('Previsto x realizado'!BE2525) = FALSE, "","Enviado")</f>
        <v/>
      </c>
      <c r="N509" s="51" t="str">
        <f>IF(_xlfn.ISFORMULA('Previsto x realizado'!BF2525) = FALSE, "","Enviado")</f>
        <v/>
      </c>
      <c r="O509" s="51" t="str">
        <f>IF(_xlfn.ISFORMULA('Previsto x realizado'!BG2525) = FALSE, "","Enviado")</f>
        <v/>
      </c>
      <c r="P509" s="51" t="str">
        <f>IF(_xlfn.ISFORMULA('Previsto x realizado'!BH2525) = FALSE, "","Enviado")</f>
        <v/>
      </c>
    </row>
    <row r="510" spans="1:16" ht="27.6" x14ac:dyDescent="0.3">
      <c r="A510" s="33" t="s">
        <v>175</v>
      </c>
      <c r="B510" s="4" t="s">
        <v>197</v>
      </c>
      <c r="C510" s="5" t="s">
        <v>221</v>
      </c>
      <c r="D510" s="4" t="s">
        <v>267</v>
      </c>
      <c r="E510" s="51" t="str">
        <f>IF(_xlfn.ISFORMULA('Previsto x realizado'!AW2528) = FALSE, "","Enviado")</f>
        <v/>
      </c>
      <c r="F510" s="51" t="str">
        <f>IF(_xlfn.ISFORMULA('Previsto x realizado'!AX2528) = FALSE, "","Enviado")</f>
        <v/>
      </c>
      <c r="G510" s="51" t="str">
        <f>IF(_xlfn.ISFORMULA('Previsto x realizado'!AY2528) = FALSE, "","Enviado")</f>
        <v/>
      </c>
      <c r="H510" s="51" t="str">
        <f>IF(_xlfn.ISFORMULA('Previsto x realizado'!AZ2528) = FALSE, "","Enviado")</f>
        <v/>
      </c>
      <c r="I510" s="51" t="str">
        <f>IF(_xlfn.ISFORMULA('Previsto x realizado'!BA2528) = FALSE, "","Enviado")</f>
        <v/>
      </c>
      <c r="J510" s="51" t="str">
        <f>IF(_xlfn.ISFORMULA('Previsto x realizado'!BB2528) = FALSE, "","Enviado")</f>
        <v/>
      </c>
      <c r="K510" s="51" t="str">
        <f>IF(_xlfn.ISFORMULA('Previsto x realizado'!BC2528) = FALSE, "","Enviado")</f>
        <v/>
      </c>
      <c r="L510" s="51" t="str">
        <f>IF(_xlfn.ISFORMULA('Previsto x realizado'!BD2528) = FALSE, "","Enviado")</f>
        <v/>
      </c>
      <c r="M510" s="51" t="str">
        <f>IF(_xlfn.ISFORMULA('Previsto x realizado'!BE2528) = FALSE, "","Enviado")</f>
        <v/>
      </c>
      <c r="N510" s="51" t="str">
        <f>IF(_xlfn.ISFORMULA('Previsto x realizado'!BF2528) = FALSE, "","Enviado")</f>
        <v/>
      </c>
      <c r="O510" s="51" t="str">
        <f>IF(_xlfn.ISFORMULA('Previsto x realizado'!BG2528) = FALSE, "","Enviado")</f>
        <v/>
      </c>
      <c r="P510" s="51" t="str">
        <f>IF(_xlfn.ISFORMULA('Previsto x realizado'!BH2528) = FALSE, "","Enviado")</f>
        <v/>
      </c>
    </row>
    <row r="511" spans="1:16" ht="27.6" x14ac:dyDescent="0.3">
      <c r="A511" s="44" t="s">
        <v>175</v>
      </c>
      <c r="B511" s="4" t="s">
        <v>197</v>
      </c>
      <c r="C511" s="5" t="s">
        <v>221</v>
      </c>
      <c r="D511" s="4" t="s">
        <v>267</v>
      </c>
      <c r="E511" s="51" t="str">
        <f>IF(_xlfn.ISFORMULA('Previsto x realizado'!AW2531) = FALSE, "","Enviado")</f>
        <v>Enviado</v>
      </c>
      <c r="F511" s="51" t="str">
        <f>IF(_xlfn.ISFORMULA('Previsto x realizado'!AX2531) = FALSE, "","Enviado")</f>
        <v/>
      </c>
      <c r="G511" s="51" t="str">
        <f>IF(_xlfn.ISFORMULA('Previsto x realizado'!AY2531) = FALSE, "","Enviado")</f>
        <v/>
      </c>
      <c r="H511" s="51" t="str">
        <f>IF(_xlfn.ISFORMULA('Previsto x realizado'!AZ2531) = FALSE, "","Enviado")</f>
        <v/>
      </c>
      <c r="I511" s="51" t="str">
        <f>IF(_xlfn.ISFORMULA('Previsto x realizado'!BA2531) = FALSE, "","Enviado")</f>
        <v/>
      </c>
      <c r="J511" s="51" t="str">
        <f>IF(_xlfn.ISFORMULA('Previsto x realizado'!BB2531) = FALSE, "","Enviado")</f>
        <v/>
      </c>
      <c r="K511" s="51" t="str">
        <f>IF(_xlfn.ISFORMULA('Previsto x realizado'!BC2531) = FALSE, "","Enviado")</f>
        <v/>
      </c>
      <c r="L511" s="51" t="str">
        <f>IF(_xlfn.ISFORMULA('Previsto x realizado'!BD2531) = FALSE, "","Enviado")</f>
        <v/>
      </c>
      <c r="M511" s="51" t="str">
        <f>IF(_xlfn.ISFORMULA('Previsto x realizado'!BE2531) = FALSE, "","Enviado")</f>
        <v/>
      </c>
      <c r="N511" s="51" t="str">
        <f>IF(_xlfn.ISFORMULA('Previsto x realizado'!BF2531) = FALSE, "","Enviado")</f>
        <v/>
      </c>
      <c r="O511" s="51" t="str">
        <f>IF(_xlfn.ISFORMULA('Previsto x realizado'!BG2531) = FALSE, "","Enviado")</f>
        <v/>
      </c>
      <c r="P511" s="51" t="str">
        <f>IF(_xlfn.ISFORMULA('Previsto x realizado'!BH2531) = FALSE, "","Enviado")</f>
        <v/>
      </c>
    </row>
    <row r="512" spans="1:16" ht="27.6" x14ac:dyDescent="0.3">
      <c r="A512" s="44" t="s">
        <v>175</v>
      </c>
      <c r="B512" s="4" t="s">
        <v>197</v>
      </c>
      <c r="C512" s="5" t="s">
        <v>221</v>
      </c>
      <c r="D512" s="4" t="s">
        <v>267</v>
      </c>
      <c r="E512" s="51" t="str">
        <f>IF(_xlfn.ISFORMULA('Previsto x realizado'!AW2536) = FALSE, "","Enviado")</f>
        <v>Enviado</v>
      </c>
      <c r="F512" s="51" t="str">
        <f>IF(_xlfn.ISFORMULA('Previsto x realizado'!AX2536) = FALSE, "","Enviado")</f>
        <v/>
      </c>
      <c r="G512" s="51" t="str">
        <f>IF(_xlfn.ISFORMULA('Previsto x realizado'!AY2536) = FALSE, "","Enviado")</f>
        <v/>
      </c>
      <c r="H512" s="51" t="str">
        <f>IF(_xlfn.ISFORMULA('Previsto x realizado'!AZ2536) = FALSE, "","Enviado")</f>
        <v/>
      </c>
      <c r="I512" s="51" t="str">
        <f>IF(_xlfn.ISFORMULA('Previsto x realizado'!BA2536) = FALSE, "","Enviado")</f>
        <v/>
      </c>
      <c r="J512" s="51" t="str">
        <f>IF(_xlfn.ISFORMULA('Previsto x realizado'!BB2536) = FALSE, "","Enviado")</f>
        <v/>
      </c>
      <c r="K512" s="51" t="str">
        <f>IF(_xlfn.ISFORMULA('Previsto x realizado'!BC2536) = FALSE, "","Enviado")</f>
        <v/>
      </c>
      <c r="L512" s="51" t="str">
        <f>IF(_xlfn.ISFORMULA('Previsto x realizado'!BD2536) = FALSE, "","Enviado")</f>
        <v/>
      </c>
      <c r="M512" s="51" t="str">
        <f>IF(_xlfn.ISFORMULA('Previsto x realizado'!BE2536) = FALSE, "","Enviado")</f>
        <v/>
      </c>
      <c r="N512" s="51" t="str">
        <f>IF(_xlfn.ISFORMULA('Previsto x realizado'!BF2536) = FALSE, "","Enviado")</f>
        <v/>
      </c>
      <c r="O512" s="51" t="str">
        <f>IF(_xlfn.ISFORMULA('Previsto x realizado'!BG2536) = FALSE, "","Enviado")</f>
        <v/>
      </c>
      <c r="P512" s="51" t="str">
        <f>IF(_xlfn.ISFORMULA('Previsto x realizado'!BH2536) = FALSE, "","Enviado")</f>
        <v/>
      </c>
    </row>
    <row r="513" spans="1:16" x14ac:dyDescent="0.3">
      <c r="A513" s="35" t="s">
        <v>44</v>
      </c>
      <c r="B513" s="10" t="s">
        <v>44</v>
      </c>
      <c r="C513" s="5" t="s">
        <v>221</v>
      </c>
      <c r="D513" s="10" t="s">
        <v>44</v>
      </c>
      <c r="E513" s="51" t="str">
        <f>IF(_xlfn.ISFORMULA('Previsto x realizado'!AW2537) = FALSE, "","Enviado")</f>
        <v>Enviado</v>
      </c>
      <c r="F513" s="51" t="str">
        <f>IF(_xlfn.ISFORMULA('Previsto x realizado'!AX2537) = FALSE, "","Enviado")</f>
        <v>Enviado</v>
      </c>
      <c r="G513" s="51" t="str">
        <f>IF(_xlfn.ISFORMULA('Previsto x realizado'!AY2537) = FALSE, "","Enviado")</f>
        <v>Enviado</v>
      </c>
      <c r="H513" s="51" t="str">
        <f>IF(_xlfn.ISFORMULA('Previsto x realizado'!AZ2537) = FALSE, "","Enviado")</f>
        <v>Enviado</v>
      </c>
      <c r="I513" s="51" t="str">
        <f>IF(_xlfn.ISFORMULA('Previsto x realizado'!BA2537) = FALSE, "","Enviado")</f>
        <v/>
      </c>
      <c r="J513" s="51" t="str">
        <f>IF(_xlfn.ISFORMULA('Previsto x realizado'!BB2537) = FALSE, "","Enviado")</f>
        <v/>
      </c>
      <c r="K513" s="51" t="str">
        <f>IF(_xlfn.ISFORMULA('Previsto x realizado'!BC2537) = FALSE, "","Enviado")</f>
        <v/>
      </c>
      <c r="L513" s="51" t="str">
        <f>IF(_xlfn.ISFORMULA('Previsto x realizado'!BD2537) = FALSE, "","Enviado")</f>
        <v/>
      </c>
      <c r="M513" s="51" t="str">
        <f>IF(_xlfn.ISFORMULA('Previsto x realizado'!BE2537) = FALSE, "","Enviado")</f>
        <v/>
      </c>
      <c r="N513" s="51" t="str">
        <f>IF(_xlfn.ISFORMULA('Previsto x realizado'!BF2537) = FALSE, "","Enviado")</f>
        <v/>
      </c>
      <c r="O513" s="51" t="str">
        <f>IF(_xlfn.ISFORMULA('Previsto x realizado'!BG2537) = FALSE, "","Enviado")</f>
        <v/>
      </c>
      <c r="P513" s="51" t="str">
        <f>IF(_xlfn.ISFORMULA('Previsto x realizado'!BH2537) = FALSE, "","Enviado")</f>
        <v/>
      </c>
    </row>
    <row r="514" spans="1:16" x14ac:dyDescent="0.3">
      <c r="A514" s="35" t="s">
        <v>44</v>
      </c>
      <c r="B514" s="10" t="s">
        <v>44</v>
      </c>
      <c r="C514" s="5" t="s">
        <v>221</v>
      </c>
      <c r="D514" s="10" t="s">
        <v>44</v>
      </c>
      <c r="E514" s="51" t="str">
        <f>IF(_xlfn.ISFORMULA('Previsto x realizado'!AW2540) = FALSE, "","Enviado")</f>
        <v>Enviado</v>
      </c>
      <c r="F514" s="51" t="str">
        <f>IF(_xlfn.ISFORMULA('Previsto x realizado'!AX2540) = FALSE, "","Enviado")</f>
        <v>Enviado</v>
      </c>
      <c r="G514" s="51" t="str">
        <f>IF(_xlfn.ISFORMULA('Previsto x realizado'!AY2540) = FALSE, "","Enviado")</f>
        <v>Enviado</v>
      </c>
      <c r="H514" s="51" t="str">
        <f>IF(_xlfn.ISFORMULA('Previsto x realizado'!AZ2540) = FALSE, "","Enviado")</f>
        <v>Enviado</v>
      </c>
      <c r="I514" s="51" t="str">
        <f>IF(_xlfn.ISFORMULA('Previsto x realizado'!BA2540) = FALSE, "","Enviado")</f>
        <v/>
      </c>
      <c r="J514" s="51" t="str">
        <f>IF(_xlfn.ISFORMULA('Previsto x realizado'!BB2540) = FALSE, "","Enviado")</f>
        <v/>
      </c>
      <c r="K514" s="51" t="str">
        <f>IF(_xlfn.ISFORMULA('Previsto x realizado'!BC2540) = FALSE, "","Enviado")</f>
        <v/>
      </c>
      <c r="L514" s="51" t="str">
        <f>IF(_xlfn.ISFORMULA('Previsto x realizado'!BD2540) = FALSE, "","Enviado")</f>
        <v/>
      </c>
      <c r="M514" s="51" t="str">
        <f>IF(_xlfn.ISFORMULA('Previsto x realizado'!BE2540) = FALSE, "","Enviado")</f>
        <v/>
      </c>
      <c r="N514" s="51" t="str">
        <f>IF(_xlfn.ISFORMULA('Previsto x realizado'!BF2540) = FALSE, "","Enviado")</f>
        <v/>
      </c>
      <c r="O514" s="51" t="str">
        <f>IF(_xlfn.ISFORMULA('Previsto x realizado'!BG2540) = FALSE, "","Enviado")</f>
        <v/>
      </c>
      <c r="P514" s="51" t="str">
        <f>IF(_xlfn.ISFORMULA('Previsto x realizado'!BH2540) = FALSE, "","Enviado")</f>
        <v/>
      </c>
    </row>
    <row r="515" spans="1:16" x14ac:dyDescent="0.3">
      <c r="A515" s="35" t="s">
        <v>44</v>
      </c>
      <c r="B515" s="10" t="s">
        <v>44</v>
      </c>
      <c r="C515" s="5" t="s">
        <v>221</v>
      </c>
      <c r="D515" s="10" t="s">
        <v>44</v>
      </c>
      <c r="E515" s="51" t="str">
        <f>IF(_xlfn.ISFORMULA('Previsto x realizado'!AW2543) = FALSE, "","Enviado")</f>
        <v>Enviado</v>
      </c>
      <c r="F515" s="51" t="str">
        <f>IF(_xlfn.ISFORMULA('Previsto x realizado'!AX2543) = FALSE, "","Enviado")</f>
        <v>Enviado</v>
      </c>
      <c r="G515" s="51" t="str">
        <f>IF(_xlfn.ISFORMULA('Previsto x realizado'!AY2543) = FALSE, "","Enviado")</f>
        <v>Enviado</v>
      </c>
      <c r="H515" s="51" t="str">
        <f>IF(_xlfn.ISFORMULA('Previsto x realizado'!AZ2543) = FALSE, "","Enviado")</f>
        <v>Enviado</v>
      </c>
      <c r="I515" s="51" t="str">
        <f>IF(_xlfn.ISFORMULA('Previsto x realizado'!BA2543) = FALSE, "","Enviado")</f>
        <v/>
      </c>
      <c r="J515" s="51" t="str">
        <f>IF(_xlfn.ISFORMULA('Previsto x realizado'!BB2543) = FALSE, "","Enviado")</f>
        <v/>
      </c>
      <c r="K515" s="51" t="str">
        <f>IF(_xlfn.ISFORMULA('Previsto x realizado'!BC2543) = FALSE, "","Enviado")</f>
        <v/>
      </c>
      <c r="L515" s="51" t="str">
        <f>IF(_xlfn.ISFORMULA('Previsto x realizado'!BD2543) = FALSE, "","Enviado")</f>
        <v/>
      </c>
      <c r="M515" s="51" t="str">
        <f>IF(_xlfn.ISFORMULA('Previsto x realizado'!BE2543) = FALSE, "","Enviado")</f>
        <v/>
      </c>
      <c r="N515" s="51" t="str">
        <f>IF(_xlfn.ISFORMULA('Previsto x realizado'!BF2543) = FALSE, "","Enviado")</f>
        <v/>
      </c>
      <c r="O515" s="51" t="str">
        <f>IF(_xlfn.ISFORMULA('Previsto x realizado'!BG2543) = FALSE, "","Enviado")</f>
        <v/>
      </c>
      <c r="P515" s="51" t="str">
        <f>IF(_xlfn.ISFORMULA('Previsto x realizado'!BH2543) = FALSE, "","Enviado")</f>
        <v/>
      </c>
    </row>
    <row r="516" spans="1:16" x14ac:dyDescent="0.3">
      <c r="A516" s="35" t="s">
        <v>44</v>
      </c>
      <c r="B516" s="10" t="s">
        <v>44</v>
      </c>
      <c r="C516" s="5" t="s">
        <v>221</v>
      </c>
      <c r="D516" s="10" t="s">
        <v>44</v>
      </c>
      <c r="E516" s="51" t="str">
        <f>IF(_xlfn.ISFORMULA('Previsto x realizado'!AW2546) = FALSE, "","Enviado")</f>
        <v>Enviado</v>
      </c>
      <c r="F516" s="51" t="str">
        <f>IF(_xlfn.ISFORMULA('Previsto x realizado'!AX2546) = FALSE, "","Enviado")</f>
        <v>Enviado</v>
      </c>
      <c r="G516" s="51" t="str">
        <f>IF(_xlfn.ISFORMULA('Previsto x realizado'!AY2546) = FALSE, "","Enviado")</f>
        <v>Enviado</v>
      </c>
      <c r="H516" s="51" t="str">
        <f>IF(_xlfn.ISFORMULA('Previsto x realizado'!AZ2546) = FALSE, "","Enviado")</f>
        <v>Enviado</v>
      </c>
      <c r="I516" s="51" t="str">
        <f>IF(_xlfn.ISFORMULA('Previsto x realizado'!BA2546) = FALSE, "","Enviado")</f>
        <v/>
      </c>
      <c r="J516" s="51" t="str">
        <f>IF(_xlfn.ISFORMULA('Previsto x realizado'!BB2546) = FALSE, "","Enviado")</f>
        <v/>
      </c>
      <c r="K516" s="51" t="str">
        <f>IF(_xlfn.ISFORMULA('Previsto x realizado'!BC2546) = FALSE, "","Enviado")</f>
        <v/>
      </c>
      <c r="L516" s="51" t="str">
        <f>IF(_xlfn.ISFORMULA('Previsto x realizado'!BD2546) = FALSE, "","Enviado")</f>
        <v/>
      </c>
      <c r="M516" s="51" t="str">
        <f>IF(_xlfn.ISFORMULA('Previsto x realizado'!BE2546) = FALSE, "","Enviado")</f>
        <v/>
      </c>
      <c r="N516" s="51" t="str">
        <f>IF(_xlfn.ISFORMULA('Previsto x realizado'!BF2546) = FALSE, "","Enviado")</f>
        <v/>
      </c>
      <c r="O516" s="51" t="str">
        <f>IF(_xlfn.ISFORMULA('Previsto x realizado'!BG2546) = FALSE, "","Enviado")</f>
        <v/>
      </c>
      <c r="P516" s="51" t="str">
        <f>IF(_xlfn.ISFORMULA('Previsto x realizado'!BH2546) = FALSE, "","Enviado")</f>
        <v/>
      </c>
    </row>
    <row r="517" spans="1:16" x14ac:dyDescent="0.3">
      <c r="A517" s="35" t="s">
        <v>44</v>
      </c>
      <c r="B517" s="10" t="s">
        <v>44</v>
      </c>
      <c r="C517" s="5" t="s">
        <v>221</v>
      </c>
      <c r="D517" s="10" t="s">
        <v>44</v>
      </c>
      <c r="E517" s="51" t="str">
        <f>IF(_xlfn.ISFORMULA('Previsto x realizado'!AW2552) = FALSE, "","Enviado")</f>
        <v>Enviado</v>
      </c>
      <c r="F517" s="51" t="str">
        <f>IF(_xlfn.ISFORMULA('Previsto x realizado'!AX2552) = FALSE, "","Enviado")</f>
        <v>Enviado</v>
      </c>
      <c r="G517" s="51" t="str">
        <f>IF(_xlfn.ISFORMULA('Previsto x realizado'!AY2552) = FALSE, "","Enviado")</f>
        <v>Enviado</v>
      </c>
      <c r="H517" s="51" t="str">
        <f>IF(_xlfn.ISFORMULA('Previsto x realizado'!AZ2552) = FALSE, "","Enviado")</f>
        <v>Enviado</v>
      </c>
      <c r="I517" s="51" t="str">
        <f>IF(_xlfn.ISFORMULA('Previsto x realizado'!BA2552) = FALSE, "","Enviado")</f>
        <v/>
      </c>
      <c r="J517" s="51" t="str">
        <f>IF(_xlfn.ISFORMULA('Previsto x realizado'!BB2552) = FALSE, "","Enviado")</f>
        <v/>
      </c>
      <c r="K517" s="51" t="str">
        <f>IF(_xlfn.ISFORMULA('Previsto x realizado'!BC2552) = FALSE, "","Enviado")</f>
        <v/>
      </c>
      <c r="L517" s="51" t="str">
        <f>IF(_xlfn.ISFORMULA('Previsto x realizado'!BD2552) = FALSE, "","Enviado")</f>
        <v/>
      </c>
      <c r="M517" s="51" t="str">
        <f>IF(_xlfn.ISFORMULA('Previsto x realizado'!BE2552) = FALSE, "","Enviado")</f>
        <v/>
      </c>
      <c r="N517" s="51" t="str">
        <f>IF(_xlfn.ISFORMULA('Previsto x realizado'!BF2552) = FALSE, "","Enviado")</f>
        <v/>
      </c>
      <c r="O517" s="51" t="str">
        <f>IF(_xlfn.ISFORMULA('Previsto x realizado'!BG2552) = FALSE, "","Enviado")</f>
        <v/>
      </c>
      <c r="P517" s="51" t="str">
        <f>IF(_xlfn.ISFORMULA('Previsto x realizado'!BH2552) = FALSE, "","Enviado")</f>
        <v/>
      </c>
    </row>
    <row r="518" spans="1:16" x14ac:dyDescent="0.3">
      <c r="A518" s="35" t="s">
        <v>44</v>
      </c>
      <c r="B518" s="10" t="s">
        <v>44</v>
      </c>
      <c r="C518" s="5" t="s">
        <v>221</v>
      </c>
      <c r="D518" s="10" t="s">
        <v>44</v>
      </c>
      <c r="E518" s="51" t="str">
        <f>IF(_xlfn.ISFORMULA('Previsto x realizado'!AW2549) = FALSE, "","Enviado")</f>
        <v>Enviado</v>
      </c>
      <c r="F518" s="51" t="str">
        <f>IF(_xlfn.ISFORMULA('Previsto x realizado'!AX2549) = FALSE, "","Enviado")</f>
        <v>Enviado</v>
      </c>
      <c r="G518" s="51" t="str">
        <f>IF(_xlfn.ISFORMULA('Previsto x realizado'!AY2549) = FALSE, "","Enviado")</f>
        <v>Enviado</v>
      </c>
      <c r="H518" s="51" t="str">
        <f>IF(_xlfn.ISFORMULA('Previsto x realizado'!AZ2549) = FALSE, "","Enviado")</f>
        <v>Enviado</v>
      </c>
      <c r="I518" s="51" t="str">
        <f>IF(_xlfn.ISFORMULA('Previsto x realizado'!BA2549) = FALSE, "","Enviado")</f>
        <v/>
      </c>
      <c r="J518" s="51" t="str">
        <f>IF(_xlfn.ISFORMULA('Previsto x realizado'!BB2549) = FALSE, "","Enviado")</f>
        <v/>
      </c>
      <c r="K518" s="51" t="str">
        <f>IF(_xlfn.ISFORMULA('Previsto x realizado'!BC2549) = FALSE, "","Enviado")</f>
        <v/>
      </c>
      <c r="L518" s="51" t="str">
        <f>IF(_xlfn.ISFORMULA('Previsto x realizado'!BD2549) = FALSE, "","Enviado")</f>
        <v/>
      </c>
      <c r="M518" s="51" t="str">
        <f>IF(_xlfn.ISFORMULA('Previsto x realizado'!BE2549) = FALSE, "","Enviado")</f>
        <v/>
      </c>
      <c r="N518" s="51" t="str">
        <f>IF(_xlfn.ISFORMULA('Previsto x realizado'!BF2549) = FALSE, "","Enviado")</f>
        <v/>
      </c>
      <c r="O518" s="51" t="str">
        <f>IF(_xlfn.ISFORMULA('Previsto x realizado'!BG2549) = FALSE, "","Enviado")</f>
        <v/>
      </c>
      <c r="P518" s="51" t="str">
        <f>IF(_xlfn.ISFORMULA('Previsto x realizado'!BH2549) = FALSE, "","Enviado")</f>
        <v/>
      </c>
    </row>
    <row r="519" spans="1:16" x14ac:dyDescent="0.3">
      <c r="A519" s="35" t="s">
        <v>44</v>
      </c>
      <c r="B519" s="10" t="s">
        <v>44</v>
      </c>
      <c r="C519" s="5" t="s">
        <v>221</v>
      </c>
      <c r="D519" s="10" t="s">
        <v>44</v>
      </c>
      <c r="E519" s="51" t="str">
        <f>IF(_xlfn.ISFORMULA('Previsto x realizado'!AW2555) = FALSE, "","Enviado")</f>
        <v>Enviado</v>
      </c>
      <c r="F519" s="51" t="str">
        <f>IF(_xlfn.ISFORMULA('Previsto x realizado'!AX2555) = FALSE, "","Enviado")</f>
        <v>Enviado</v>
      </c>
      <c r="G519" s="51" t="str">
        <f>IF(_xlfn.ISFORMULA('Previsto x realizado'!AY2555) = FALSE, "","Enviado")</f>
        <v>Enviado</v>
      </c>
      <c r="H519" s="51" t="str">
        <f>IF(_xlfn.ISFORMULA('Previsto x realizado'!AZ2555) = FALSE, "","Enviado")</f>
        <v>Enviado</v>
      </c>
      <c r="I519" s="51" t="str">
        <f>IF(_xlfn.ISFORMULA('Previsto x realizado'!BA2555) = FALSE, "","Enviado")</f>
        <v/>
      </c>
      <c r="J519" s="51" t="str">
        <f>IF(_xlfn.ISFORMULA('Previsto x realizado'!BB2555) = FALSE, "","Enviado")</f>
        <v/>
      </c>
      <c r="K519" s="51" t="str">
        <f>IF(_xlfn.ISFORMULA('Previsto x realizado'!BC2555) = FALSE, "","Enviado")</f>
        <v/>
      </c>
      <c r="L519" s="51" t="str">
        <f>IF(_xlfn.ISFORMULA('Previsto x realizado'!BD2555) = FALSE, "","Enviado")</f>
        <v/>
      </c>
      <c r="M519" s="51" t="str">
        <f>IF(_xlfn.ISFORMULA('Previsto x realizado'!BE2555) = FALSE, "","Enviado")</f>
        <v/>
      </c>
      <c r="N519" s="51" t="str">
        <f>IF(_xlfn.ISFORMULA('Previsto x realizado'!BF2555) = FALSE, "","Enviado")</f>
        <v/>
      </c>
      <c r="O519" s="51" t="str">
        <f>IF(_xlfn.ISFORMULA('Previsto x realizado'!BG2555) = FALSE, "","Enviado")</f>
        <v/>
      </c>
      <c r="P519" s="51" t="str">
        <f>IF(_xlfn.ISFORMULA('Previsto x realizado'!BH2555) = FALSE, "","Enviado")</f>
        <v/>
      </c>
    </row>
    <row r="520" spans="1:16" x14ac:dyDescent="0.3">
      <c r="A520" s="72" t="s">
        <v>44</v>
      </c>
      <c r="B520" s="73" t="s">
        <v>44</v>
      </c>
      <c r="C520" s="74" t="s">
        <v>239</v>
      </c>
      <c r="D520" s="73" t="s">
        <v>44</v>
      </c>
      <c r="E520" s="51" t="str">
        <f>IF(_xlfn.ISFORMULA('Previsto x realizado'!AW2556) = FALSE, "","Enviado")</f>
        <v>Enviado</v>
      </c>
      <c r="F520" s="51" t="str">
        <f>IF(_xlfn.ISFORMULA('Previsto x realizado'!AX2556) = FALSE, "","Enviado")</f>
        <v>Enviado</v>
      </c>
      <c r="G520" s="51" t="str">
        <f>IF(_xlfn.ISFORMULA('Previsto x realizado'!AY2556) = FALSE, "","Enviado")</f>
        <v>Enviado</v>
      </c>
      <c r="H520" s="51" t="str">
        <f>IF(_xlfn.ISFORMULA('Previsto x realizado'!AZ2556) = FALSE, "","Enviado")</f>
        <v>Enviado</v>
      </c>
      <c r="I520" s="51" t="str">
        <f>IF(_xlfn.ISFORMULA('Previsto x realizado'!BA2556) = FALSE, "","Enviado")</f>
        <v/>
      </c>
      <c r="J520" s="51" t="str">
        <f>IF(_xlfn.ISFORMULA('Previsto x realizado'!BB2556) = FALSE, "","Enviado")</f>
        <v/>
      </c>
      <c r="K520" s="51" t="str">
        <f>IF(_xlfn.ISFORMULA('Previsto x realizado'!BC2556) = FALSE, "","Enviado")</f>
        <v/>
      </c>
      <c r="L520" s="51" t="str">
        <f>IF(_xlfn.ISFORMULA('Previsto x realizado'!BD2556) = FALSE, "","Enviado")</f>
        <v/>
      </c>
      <c r="M520" s="51" t="str">
        <f>IF(_xlfn.ISFORMULA('Previsto x realizado'!BE2556) = FALSE, "","Enviado")</f>
        <v/>
      </c>
      <c r="N520" s="51" t="str">
        <f>IF(_xlfn.ISFORMULA('Previsto x realizado'!BF2556) = FALSE, "","Enviado")</f>
        <v/>
      </c>
      <c r="O520" s="51" t="str">
        <f>IF(_xlfn.ISFORMULA('Previsto x realizado'!BG2556) = FALSE, "","Enviado")</f>
        <v/>
      </c>
      <c r="P520" s="51" t="str">
        <f>IF(_xlfn.ISFORMULA('Previsto x realizado'!BH2556) = FALSE, "","Enviado")</f>
        <v/>
      </c>
    </row>
    <row r="521" spans="1:16" x14ac:dyDescent="0.3">
      <c r="A521" s="72" t="s">
        <v>44</v>
      </c>
      <c r="B521" s="73" t="s">
        <v>44</v>
      </c>
      <c r="C521" s="74" t="s">
        <v>239</v>
      </c>
      <c r="D521" s="73" t="s">
        <v>44</v>
      </c>
      <c r="E521" s="51" t="str">
        <f>IF(_xlfn.ISFORMULA('Previsto x realizado'!AW2557) = FALSE, "","Enviado")</f>
        <v>Enviado</v>
      </c>
      <c r="F521" s="51" t="str">
        <f>IF(_xlfn.ISFORMULA('Previsto x realizado'!AX2557) = FALSE, "","Enviado")</f>
        <v>Enviado</v>
      </c>
      <c r="G521" s="51" t="str">
        <f>IF(_xlfn.ISFORMULA('Previsto x realizado'!AY2557) = FALSE, "","Enviado")</f>
        <v>Enviado</v>
      </c>
      <c r="H521" s="51" t="str">
        <f>IF(_xlfn.ISFORMULA('Previsto x realizado'!AZ2557) = FALSE, "","Enviado")</f>
        <v>Enviado</v>
      </c>
      <c r="I521" s="51" t="str">
        <f>IF(_xlfn.ISFORMULA('Previsto x realizado'!BA2557) = FALSE, "","Enviado")</f>
        <v/>
      </c>
      <c r="J521" s="51" t="str">
        <f>IF(_xlfn.ISFORMULA('Previsto x realizado'!BB2557) = FALSE, "","Enviado")</f>
        <v/>
      </c>
      <c r="K521" s="51" t="str">
        <f>IF(_xlfn.ISFORMULA('Previsto x realizado'!BC2557) = FALSE, "","Enviado")</f>
        <v/>
      </c>
      <c r="L521" s="51" t="str">
        <f>IF(_xlfn.ISFORMULA('Previsto x realizado'!BD2557) = FALSE, "","Enviado")</f>
        <v/>
      </c>
      <c r="M521" s="51" t="str">
        <f>IF(_xlfn.ISFORMULA('Previsto x realizado'!BE2557) = FALSE, "","Enviado")</f>
        <v/>
      </c>
      <c r="N521" s="51" t="str">
        <f>IF(_xlfn.ISFORMULA('Previsto x realizado'!BF2557) = FALSE, "","Enviado")</f>
        <v/>
      </c>
      <c r="O521" s="51" t="str">
        <f>IF(_xlfn.ISFORMULA('Previsto x realizado'!BG2557) = FALSE, "","Enviado")</f>
        <v/>
      </c>
      <c r="P521" s="51" t="str">
        <f>IF(_xlfn.ISFORMULA('Previsto x realizado'!BH2557) = FALSE, "","Enviado")</f>
        <v/>
      </c>
    </row>
    <row r="522" spans="1:16" x14ac:dyDescent="0.3">
      <c r="A522" s="72" t="s">
        <v>44</v>
      </c>
      <c r="B522" s="73" t="s">
        <v>44</v>
      </c>
      <c r="C522" s="74" t="s">
        <v>35</v>
      </c>
      <c r="D522" s="73" t="s">
        <v>44</v>
      </c>
      <c r="E522" s="51" t="str">
        <f>IF(_xlfn.ISFORMULA('Previsto x realizado'!AW2560) = FALSE, "","Enviado")</f>
        <v>Enviado</v>
      </c>
      <c r="F522" s="51" t="str">
        <f>IF(_xlfn.ISFORMULA('Previsto x realizado'!AX2560) = FALSE, "","Enviado")</f>
        <v>Enviado</v>
      </c>
      <c r="G522" s="51" t="str">
        <f>IF(_xlfn.ISFORMULA('Previsto x realizado'!AY2560) = FALSE, "","Enviado")</f>
        <v>Enviado</v>
      </c>
      <c r="H522" s="51" t="str">
        <f>IF(_xlfn.ISFORMULA('Previsto x realizado'!AZ2560) = FALSE, "","Enviado")</f>
        <v>Enviado</v>
      </c>
      <c r="I522" s="51" t="str">
        <f>IF(_xlfn.ISFORMULA('Previsto x realizado'!BA2560) = FALSE, "","Enviado")</f>
        <v/>
      </c>
      <c r="J522" s="51" t="str">
        <f>IF(_xlfn.ISFORMULA('Previsto x realizado'!BB2560) = FALSE, "","Enviado")</f>
        <v/>
      </c>
      <c r="K522" s="51" t="str">
        <f>IF(_xlfn.ISFORMULA('Previsto x realizado'!BC2560) = FALSE, "","Enviado")</f>
        <v/>
      </c>
      <c r="L522" s="51" t="str">
        <f>IF(_xlfn.ISFORMULA('Previsto x realizado'!BD2560) = FALSE, "","Enviado")</f>
        <v/>
      </c>
      <c r="M522" s="51" t="str">
        <f>IF(_xlfn.ISFORMULA('Previsto x realizado'!BE2560) = FALSE, "","Enviado")</f>
        <v/>
      </c>
      <c r="N522" s="51" t="str">
        <f>IF(_xlfn.ISFORMULA('Previsto x realizado'!BF2560) = FALSE, "","Enviado")</f>
        <v/>
      </c>
      <c r="O522" s="51" t="str">
        <f>IF(_xlfn.ISFORMULA('Previsto x realizado'!BG2560) = FALSE, "","Enviado")</f>
        <v/>
      </c>
      <c r="P522" s="51" t="str">
        <f>IF(_xlfn.ISFORMULA('Previsto x realizado'!BH2560) = FALSE, "","Enviado")</f>
        <v/>
      </c>
    </row>
    <row r="523" spans="1:16" x14ac:dyDescent="0.3">
      <c r="A523" s="72" t="s">
        <v>44</v>
      </c>
      <c r="B523" s="73" t="s">
        <v>44</v>
      </c>
      <c r="C523" s="74" t="s">
        <v>95</v>
      </c>
      <c r="D523" s="73" t="s">
        <v>44</v>
      </c>
      <c r="E523" s="51" t="str">
        <f>IF(_xlfn.ISFORMULA('Previsto x realizado'!AW2568) = FALSE, "","Enviado")</f>
        <v>Enviado</v>
      </c>
      <c r="F523" s="51" t="str">
        <f>IF(_xlfn.ISFORMULA('Previsto x realizado'!AX2568) = FALSE, "","Enviado")</f>
        <v>Enviado</v>
      </c>
      <c r="G523" s="51" t="str">
        <f>IF(_xlfn.ISFORMULA('Previsto x realizado'!AY2568) = FALSE, "","Enviado")</f>
        <v>Enviado</v>
      </c>
      <c r="H523" s="51" t="str">
        <f>IF(_xlfn.ISFORMULA('Previsto x realizado'!AZ2568) = FALSE, "","Enviado")</f>
        <v>Enviado</v>
      </c>
      <c r="I523" s="51" t="str">
        <f>IF(_xlfn.ISFORMULA('Previsto x realizado'!BA2568) = FALSE, "","Enviado")</f>
        <v/>
      </c>
      <c r="J523" s="51" t="str">
        <f>IF(_xlfn.ISFORMULA('Previsto x realizado'!BB2568) = FALSE, "","Enviado")</f>
        <v/>
      </c>
      <c r="K523" s="51" t="str">
        <f>IF(_xlfn.ISFORMULA('Previsto x realizado'!BC2568) = FALSE, "","Enviado")</f>
        <v/>
      </c>
      <c r="L523" s="51" t="str">
        <f>IF(_xlfn.ISFORMULA('Previsto x realizado'!BD2568) = FALSE, "","Enviado")</f>
        <v/>
      </c>
      <c r="M523" s="51" t="str">
        <f>IF(_xlfn.ISFORMULA('Previsto x realizado'!BE2568) = FALSE, "","Enviado")</f>
        <v/>
      </c>
      <c r="N523" s="51" t="str">
        <f>IF(_xlfn.ISFORMULA('Previsto x realizado'!BF2568) = FALSE, "","Enviado")</f>
        <v/>
      </c>
      <c r="O523" s="51" t="str">
        <f>IF(_xlfn.ISFORMULA('Previsto x realizado'!BG2568) = FALSE, "","Enviado")</f>
        <v/>
      </c>
      <c r="P523" s="51" t="str">
        <f>IF(_xlfn.ISFORMULA('Previsto x realizado'!BH2568) = FALSE, "","Enviado")</f>
        <v/>
      </c>
    </row>
    <row r="524" spans="1:16" x14ac:dyDescent="0.3">
      <c r="A524" s="72" t="s">
        <v>44</v>
      </c>
      <c r="B524" s="73" t="s">
        <v>44</v>
      </c>
      <c r="C524" s="74" t="s">
        <v>97</v>
      </c>
      <c r="D524" s="73" t="s">
        <v>44</v>
      </c>
      <c r="E524" s="51" t="str">
        <f>IF(_xlfn.ISFORMULA('Previsto x realizado'!AW2572) = FALSE, "","Enviado")</f>
        <v>Enviado</v>
      </c>
      <c r="F524" s="51" t="str">
        <f>IF(_xlfn.ISFORMULA('Previsto x realizado'!AX2572) = FALSE, "","Enviado")</f>
        <v>Enviado</v>
      </c>
      <c r="G524" s="51" t="str">
        <f>IF(_xlfn.ISFORMULA('Previsto x realizado'!AY2572) = FALSE, "","Enviado")</f>
        <v>Enviado</v>
      </c>
      <c r="H524" s="51" t="str">
        <f>IF(_xlfn.ISFORMULA('Previsto x realizado'!AZ2572) = FALSE, "","Enviado")</f>
        <v>Enviado</v>
      </c>
      <c r="I524" s="51" t="str">
        <f>IF(_xlfn.ISFORMULA('Previsto x realizado'!BA2572) = FALSE, "","Enviado")</f>
        <v/>
      </c>
      <c r="J524" s="51" t="str">
        <f>IF(_xlfn.ISFORMULA('Previsto x realizado'!BB2572) = FALSE, "","Enviado")</f>
        <v/>
      </c>
      <c r="K524" s="51" t="str">
        <f>IF(_xlfn.ISFORMULA('Previsto x realizado'!BC2572) = FALSE, "","Enviado")</f>
        <v/>
      </c>
      <c r="L524" s="51" t="str">
        <f>IF(_xlfn.ISFORMULA('Previsto x realizado'!BD2572) = FALSE, "","Enviado")</f>
        <v/>
      </c>
      <c r="M524" s="51" t="str">
        <f>IF(_xlfn.ISFORMULA('Previsto x realizado'!BE2572) = FALSE, "","Enviado")</f>
        <v/>
      </c>
      <c r="N524" s="51" t="str">
        <f>IF(_xlfn.ISFORMULA('Previsto x realizado'!BF2572) = FALSE, "","Enviado")</f>
        <v/>
      </c>
      <c r="O524" s="51" t="str">
        <f>IF(_xlfn.ISFORMULA('Previsto x realizado'!BG2572) = FALSE, "","Enviado")</f>
        <v/>
      </c>
      <c r="P524" s="51" t="str">
        <f>IF(_xlfn.ISFORMULA('Previsto x realizado'!BH2572) = FALSE, "","Enviado")</f>
        <v/>
      </c>
    </row>
    <row r="525" spans="1:16" x14ac:dyDescent="0.3">
      <c r="A525" s="72" t="s">
        <v>44</v>
      </c>
      <c r="B525" s="73" t="s">
        <v>44</v>
      </c>
      <c r="C525" s="74" t="s">
        <v>209</v>
      </c>
      <c r="D525" s="73" t="s">
        <v>44</v>
      </c>
      <c r="E525" s="51" t="str">
        <f>IF(_xlfn.ISFORMULA('Previsto x realizado'!AW2578) = FALSE, "","Enviado")</f>
        <v>Enviado</v>
      </c>
      <c r="F525" s="51" t="str">
        <f>IF(_xlfn.ISFORMULA('Previsto x realizado'!AX2578) = FALSE, "","Enviado")</f>
        <v>Enviado</v>
      </c>
      <c r="G525" s="51" t="str">
        <f>IF(_xlfn.ISFORMULA('Previsto x realizado'!AY2578) = FALSE, "","Enviado")</f>
        <v>Enviado</v>
      </c>
      <c r="H525" s="51" t="str">
        <f>IF(_xlfn.ISFORMULA('Previsto x realizado'!AZ2578) = FALSE, "","Enviado")</f>
        <v>Enviado</v>
      </c>
      <c r="I525" s="51" t="str">
        <f>IF(_xlfn.ISFORMULA('Previsto x realizado'!BA2578) = FALSE, "","Enviado")</f>
        <v/>
      </c>
      <c r="J525" s="51" t="str">
        <f>IF(_xlfn.ISFORMULA('Previsto x realizado'!BB2578) = FALSE, "","Enviado")</f>
        <v/>
      </c>
      <c r="K525" s="51" t="str">
        <f>IF(_xlfn.ISFORMULA('Previsto x realizado'!BC2578) = FALSE, "","Enviado")</f>
        <v/>
      </c>
      <c r="L525" s="51" t="str">
        <f>IF(_xlfn.ISFORMULA('Previsto x realizado'!BD2578) = FALSE, "","Enviado")</f>
        <v/>
      </c>
      <c r="M525" s="51" t="str">
        <f>IF(_xlfn.ISFORMULA('Previsto x realizado'!BE2578) = FALSE, "","Enviado")</f>
        <v/>
      </c>
      <c r="N525" s="51" t="str">
        <f>IF(_xlfn.ISFORMULA('Previsto x realizado'!BF2578) = FALSE, "","Enviado")</f>
        <v/>
      </c>
      <c r="O525" s="51" t="str">
        <f>IF(_xlfn.ISFORMULA('Previsto x realizado'!BG2578) = FALSE, "","Enviado")</f>
        <v/>
      </c>
      <c r="P525" s="51" t="str">
        <f>IF(_xlfn.ISFORMULA('Previsto x realizado'!BH2578) = FALSE, "","Enviado")</f>
        <v/>
      </c>
    </row>
    <row r="526" spans="1:16" x14ac:dyDescent="0.3">
      <c r="A526" s="72" t="s">
        <v>44</v>
      </c>
      <c r="B526" s="73" t="s">
        <v>44</v>
      </c>
      <c r="C526" s="74" t="s">
        <v>214</v>
      </c>
      <c r="D526" s="73" t="s">
        <v>44</v>
      </c>
      <c r="E526" s="51" t="str">
        <f>IF(_xlfn.ISFORMULA('Previsto x realizado'!AW2584) = FALSE, "","Enviado")</f>
        <v>Enviado</v>
      </c>
      <c r="F526" s="51" t="str">
        <f>IF(_xlfn.ISFORMULA('Previsto x realizado'!AX2584) = FALSE, "","Enviado")</f>
        <v>Enviado</v>
      </c>
      <c r="G526" s="51" t="str">
        <f>IF(_xlfn.ISFORMULA('Previsto x realizado'!AY2584) = FALSE, "","Enviado")</f>
        <v>Enviado</v>
      </c>
      <c r="H526" s="51" t="str">
        <f>IF(_xlfn.ISFORMULA('Previsto x realizado'!AZ2584) = FALSE, "","Enviado")</f>
        <v>Enviado</v>
      </c>
      <c r="I526" s="51" t="str">
        <f>IF(_xlfn.ISFORMULA('Previsto x realizado'!BA2584) = FALSE, "","Enviado")</f>
        <v/>
      </c>
      <c r="J526" s="51" t="str">
        <f>IF(_xlfn.ISFORMULA('Previsto x realizado'!BB2584) = FALSE, "","Enviado")</f>
        <v/>
      </c>
      <c r="K526" s="51" t="str">
        <f>IF(_xlfn.ISFORMULA('Previsto x realizado'!BC2584) = FALSE, "","Enviado")</f>
        <v/>
      </c>
      <c r="L526" s="51" t="str">
        <f>IF(_xlfn.ISFORMULA('Previsto x realizado'!BD2584) = FALSE, "","Enviado")</f>
        <v/>
      </c>
      <c r="M526" s="51" t="str">
        <f>IF(_xlfn.ISFORMULA('Previsto x realizado'!BE2584) = FALSE, "","Enviado")</f>
        <v/>
      </c>
      <c r="N526" s="51" t="str">
        <f>IF(_xlfn.ISFORMULA('Previsto x realizado'!BF2584) = FALSE, "","Enviado")</f>
        <v/>
      </c>
      <c r="O526" s="51" t="str">
        <f>IF(_xlfn.ISFORMULA('Previsto x realizado'!BG2584) = FALSE, "","Enviado")</f>
        <v/>
      </c>
      <c r="P526" s="51" t="str">
        <f>IF(_xlfn.ISFORMULA('Previsto x realizado'!BH2584) = FALSE, "","Enviado")</f>
        <v/>
      </c>
    </row>
    <row r="527" spans="1:16" x14ac:dyDescent="0.3">
      <c r="A527" s="72" t="s">
        <v>44</v>
      </c>
      <c r="B527" s="73" t="s">
        <v>44</v>
      </c>
      <c r="C527" s="74" t="s">
        <v>216</v>
      </c>
      <c r="D527" s="73" t="s">
        <v>44</v>
      </c>
      <c r="E527" s="51" t="str">
        <f>IF(_xlfn.ISFORMULA('Previsto x realizado'!AW2589) = FALSE, "","Enviado")</f>
        <v>Enviado</v>
      </c>
      <c r="F527" s="51" t="str">
        <f>IF(_xlfn.ISFORMULA('Previsto x realizado'!AX2589) = FALSE, "","Enviado")</f>
        <v>Enviado</v>
      </c>
      <c r="G527" s="51" t="str">
        <f>IF(_xlfn.ISFORMULA('Previsto x realizado'!AY2589) = FALSE, "","Enviado")</f>
        <v>Enviado</v>
      </c>
      <c r="H527" s="51" t="str">
        <f>IF(_xlfn.ISFORMULA('Previsto x realizado'!AZ2589) = FALSE, "","Enviado")</f>
        <v>Enviado</v>
      </c>
      <c r="I527" s="51" t="str">
        <f>IF(_xlfn.ISFORMULA('Previsto x realizado'!BA2589) = FALSE, "","Enviado")</f>
        <v/>
      </c>
      <c r="J527" s="51" t="str">
        <f>IF(_xlfn.ISFORMULA('Previsto x realizado'!BB2589) = FALSE, "","Enviado")</f>
        <v/>
      </c>
      <c r="K527" s="51" t="str">
        <f>IF(_xlfn.ISFORMULA('Previsto x realizado'!BC2589) = FALSE, "","Enviado")</f>
        <v/>
      </c>
      <c r="L527" s="51" t="str">
        <f>IF(_xlfn.ISFORMULA('Previsto x realizado'!BD2589) = FALSE, "","Enviado")</f>
        <v/>
      </c>
      <c r="M527" s="51" t="str">
        <f>IF(_xlfn.ISFORMULA('Previsto x realizado'!BE2589) = FALSE, "","Enviado")</f>
        <v/>
      </c>
      <c r="N527" s="51" t="str">
        <f>IF(_xlfn.ISFORMULA('Previsto x realizado'!BF2589) = FALSE, "","Enviado")</f>
        <v/>
      </c>
      <c r="O527" s="51" t="str">
        <f>IF(_xlfn.ISFORMULA('Previsto x realizado'!BG2589) = FALSE, "","Enviado")</f>
        <v/>
      </c>
      <c r="P527" s="51" t="str">
        <f>IF(_xlfn.ISFORMULA('Previsto x realizado'!BH2589) = FALSE, "","Enviado")</f>
        <v/>
      </c>
    </row>
    <row r="528" spans="1:16" x14ac:dyDescent="0.3">
      <c r="A528" s="72" t="s">
        <v>44</v>
      </c>
      <c r="B528" s="73" t="s">
        <v>44</v>
      </c>
      <c r="C528" s="74" t="s">
        <v>221</v>
      </c>
      <c r="D528" s="73" t="s">
        <v>44</v>
      </c>
      <c r="E528" s="51" t="str">
        <f>IF(_xlfn.ISFORMULA('Previsto x realizado'!AW2592) = FALSE, "","Enviado")</f>
        <v>Enviado</v>
      </c>
      <c r="F528" s="51" t="str">
        <f>IF(_xlfn.ISFORMULA('Previsto x realizado'!AX2592) = FALSE, "","Enviado")</f>
        <v>Enviado</v>
      </c>
      <c r="G528" s="51" t="str">
        <f>IF(_xlfn.ISFORMULA('Previsto x realizado'!AY2592) = FALSE, "","Enviado")</f>
        <v>Enviado</v>
      </c>
      <c r="H528" s="51" t="str">
        <f>IF(_xlfn.ISFORMULA('Previsto x realizado'!AZ2592) = FALSE, "","Enviado")</f>
        <v>Enviado</v>
      </c>
      <c r="I528" s="51" t="str">
        <f>IF(_xlfn.ISFORMULA('Previsto x realizado'!BA2592) = FALSE, "","Enviado")</f>
        <v/>
      </c>
      <c r="J528" s="51" t="str">
        <f>IF(_xlfn.ISFORMULA('Previsto x realizado'!BB2592) = FALSE, "","Enviado")</f>
        <v/>
      </c>
      <c r="K528" s="51" t="str">
        <f>IF(_xlfn.ISFORMULA('Previsto x realizado'!BC2592) = FALSE, "","Enviado")</f>
        <v/>
      </c>
      <c r="L528" s="51" t="str">
        <f>IF(_xlfn.ISFORMULA('Previsto x realizado'!BD2592) = FALSE, "","Enviado")</f>
        <v/>
      </c>
      <c r="M528" s="51" t="str">
        <f>IF(_xlfn.ISFORMULA('Previsto x realizado'!BE2592) = FALSE, "","Enviado")</f>
        <v/>
      </c>
      <c r="N528" s="51" t="str">
        <f>IF(_xlfn.ISFORMULA('Previsto x realizado'!BF2592) = FALSE, "","Enviado")</f>
        <v/>
      </c>
      <c r="O528" s="51" t="str">
        <f>IF(_xlfn.ISFORMULA('Previsto x realizado'!BG2592) = FALSE, "","Enviado")</f>
        <v/>
      </c>
      <c r="P528" s="51" t="str">
        <f>IF(_xlfn.ISFORMULA('Previsto x realizado'!BH2592) = FALSE, "","Enviado")</f>
        <v/>
      </c>
    </row>
    <row r="529" spans="1:16" x14ac:dyDescent="0.3">
      <c r="A529" s="72" t="s">
        <v>44</v>
      </c>
      <c r="B529" s="73" t="s">
        <v>44</v>
      </c>
      <c r="C529" s="74" t="s">
        <v>239</v>
      </c>
      <c r="D529" s="73" t="s">
        <v>44</v>
      </c>
      <c r="E529" s="51" t="str">
        <f>IF(_xlfn.ISFORMULA('Previsto x realizado'!AW2593) = FALSE, "","Enviado")</f>
        <v>Enviado</v>
      </c>
      <c r="F529" s="51" t="str">
        <f>IF(_xlfn.ISFORMULA('Previsto x realizado'!AX2593) = FALSE, "","Enviado")</f>
        <v>Enviado</v>
      </c>
      <c r="G529" s="51" t="str">
        <f>IF(_xlfn.ISFORMULA('Previsto x realizado'!AY2593) = FALSE, "","Enviado")</f>
        <v>Enviado</v>
      </c>
      <c r="H529" s="51" t="str">
        <f>IF(_xlfn.ISFORMULA('Previsto x realizado'!AZ2593) = FALSE, "","Enviado")</f>
        <v>Enviado</v>
      </c>
      <c r="I529" s="51" t="str">
        <f>IF(_xlfn.ISFORMULA('Previsto x realizado'!BA2593) = FALSE, "","Enviado")</f>
        <v/>
      </c>
      <c r="J529" s="51" t="str">
        <f>IF(_xlfn.ISFORMULA('Previsto x realizado'!BB2593) = FALSE, "","Enviado")</f>
        <v/>
      </c>
      <c r="K529" s="51" t="str">
        <f>IF(_xlfn.ISFORMULA('Previsto x realizado'!BC2593) = FALSE, "","Enviado")</f>
        <v/>
      </c>
      <c r="L529" s="51" t="str">
        <f>IF(_xlfn.ISFORMULA('Previsto x realizado'!BD2593) = FALSE, "","Enviado")</f>
        <v/>
      </c>
      <c r="M529" s="51" t="str">
        <f>IF(_xlfn.ISFORMULA('Previsto x realizado'!BE2593) = FALSE, "","Enviado")</f>
        <v/>
      </c>
      <c r="N529" s="51" t="str">
        <f>IF(_xlfn.ISFORMULA('Previsto x realizado'!BF2593) = FALSE, "","Enviado")</f>
        <v/>
      </c>
      <c r="O529" s="51" t="str">
        <f>IF(_xlfn.ISFORMULA('Previsto x realizado'!BG2593) = FALSE, "","Enviado")</f>
        <v/>
      </c>
      <c r="P529" s="51" t="str">
        <f>IF(_xlfn.ISFORMULA('Previsto x realizado'!BH2593) = FALSE, "","Enviado")</f>
        <v/>
      </c>
    </row>
    <row r="530" spans="1:16" x14ac:dyDescent="0.3">
      <c r="A530" s="72" t="s">
        <v>44</v>
      </c>
      <c r="B530" s="73" t="s">
        <v>44</v>
      </c>
      <c r="C530" s="74" t="s">
        <v>239</v>
      </c>
      <c r="D530" s="73" t="s">
        <v>44</v>
      </c>
      <c r="E530" s="51" t="str">
        <f>IF(_xlfn.ISFORMULA('Previsto x realizado'!AW2594) = FALSE, "","Enviado")</f>
        <v>Enviado</v>
      </c>
      <c r="F530" s="51" t="str">
        <f>IF(_xlfn.ISFORMULA('Previsto x realizado'!AX2594) = FALSE, "","Enviado")</f>
        <v>Enviado</v>
      </c>
      <c r="G530" s="51" t="str">
        <f>IF(_xlfn.ISFORMULA('Previsto x realizado'!AY2594) = FALSE, "","Enviado")</f>
        <v>Enviado</v>
      </c>
      <c r="H530" s="51" t="str">
        <f>IF(_xlfn.ISFORMULA('Previsto x realizado'!AZ2594) = FALSE, "","Enviado")</f>
        <v>Enviado</v>
      </c>
      <c r="I530" s="51" t="str">
        <f>IF(_xlfn.ISFORMULA('Previsto x realizado'!BA2594) = FALSE, "","Enviado")</f>
        <v/>
      </c>
      <c r="J530" s="51" t="str">
        <f>IF(_xlfn.ISFORMULA('Previsto x realizado'!BB2594) = FALSE, "","Enviado")</f>
        <v/>
      </c>
      <c r="K530" s="51" t="str">
        <f>IF(_xlfn.ISFORMULA('Previsto x realizado'!BC2594) = FALSE, "","Enviado")</f>
        <v/>
      </c>
      <c r="L530" s="51" t="str">
        <f>IF(_xlfn.ISFORMULA('Previsto x realizado'!BD2594) = FALSE, "","Enviado")</f>
        <v/>
      </c>
      <c r="M530" s="51" t="str">
        <f>IF(_xlfn.ISFORMULA('Previsto x realizado'!BE2594) = FALSE, "","Enviado")</f>
        <v/>
      </c>
      <c r="N530" s="51" t="str">
        <f>IF(_xlfn.ISFORMULA('Previsto x realizado'!BF2594) = FALSE, "","Enviado")</f>
        <v/>
      </c>
      <c r="O530" s="51" t="str">
        <f>IF(_xlfn.ISFORMULA('Previsto x realizado'!BG2594) = FALSE, "","Enviado")</f>
        <v/>
      </c>
      <c r="P530" s="51" t="str">
        <f>IF(_xlfn.ISFORMULA('Previsto x realizado'!BH2594) = FALSE, "","Enviado")</f>
        <v/>
      </c>
    </row>
    <row r="531" spans="1:16" x14ac:dyDescent="0.3">
      <c r="A531" s="72" t="s">
        <v>44</v>
      </c>
      <c r="B531" s="73" t="s">
        <v>44</v>
      </c>
      <c r="C531" s="74" t="s">
        <v>239</v>
      </c>
      <c r="D531" s="73" t="s">
        <v>44</v>
      </c>
      <c r="E531" s="51" t="str">
        <f>IF(_xlfn.ISFORMULA('Previsto x realizado'!AW2595) = FALSE, "","Enviado")</f>
        <v>Enviado</v>
      </c>
      <c r="F531" s="51" t="str">
        <f>IF(_xlfn.ISFORMULA('Previsto x realizado'!AX2595) = FALSE, "","Enviado")</f>
        <v>Enviado</v>
      </c>
      <c r="G531" s="51" t="str">
        <f>IF(_xlfn.ISFORMULA('Previsto x realizado'!AY2595) = FALSE, "","Enviado")</f>
        <v>Enviado</v>
      </c>
      <c r="H531" s="51" t="str">
        <f>IF(_xlfn.ISFORMULA('Previsto x realizado'!AZ2595) = FALSE, "","Enviado")</f>
        <v>Enviado</v>
      </c>
      <c r="I531" s="51" t="str">
        <f>IF(_xlfn.ISFORMULA('Previsto x realizado'!BA2595) = FALSE, "","Enviado")</f>
        <v/>
      </c>
      <c r="J531" s="51" t="str">
        <f>IF(_xlfn.ISFORMULA('Previsto x realizado'!BB2595) = FALSE, "","Enviado")</f>
        <v/>
      </c>
      <c r="K531" s="51" t="str">
        <f>IF(_xlfn.ISFORMULA('Previsto x realizado'!BC2595) = FALSE, "","Enviado")</f>
        <v/>
      </c>
      <c r="L531" s="51" t="str">
        <f>IF(_xlfn.ISFORMULA('Previsto x realizado'!BD2595) = FALSE, "","Enviado")</f>
        <v/>
      </c>
      <c r="M531" s="51" t="str">
        <f>IF(_xlfn.ISFORMULA('Previsto x realizado'!BE2595) = FALSE, "","Enviado")</f>
        <v/>
      </c>
      <c r="N531" s="51" t="str">
        <f>IF(_xlfn.ISFORMULA('Previsto x realizado'!BF2595) = FALSE, "","Enviado")</f>
        <v/>
      </c>
      <c r="O531" s="51" t="str">
        <f>IF(_xlfn.ISFORMULA('Previsto x realizado'!BG2595) = FALSE, "","Enviado")</f>
        <v/>
      </c>
      <c r="P531" s="51" t="str">
        <f>IF(_xlfn.ISFORMULA('Previsto x realizado'!BH2595) = FALSE, "","Enviado")</f>
        <v/>
      </c>
    </row>
    <row r="532" spans="1:16" x14ac:dyDescent="0.3">
      <c r="A532" s="72" t="s">
        <v>44</v>
      </c>
      <c r="B532" s="73" t="s">
        <v>44</v>
      </c>
      <c r="C532" s="74" t="s">
        <v>239</v>
      </c>
      <c r="D532" s="73" t="s">
        <v>44</v>
      </c>
      <c r="E532" s="51" t="str">
        <f>IF(_xlfn.ISFORMULA('Previsto x realizado'!AW2596) = FALSE, "","Enviado")</f>
        <v>Enviado</v>
      </c>
      <c r="F532" s="51" t="str">
        <f>IF(_xlfn.ISFORMULA('Previsto x realizado'!AX2596) = FALSE, "","Enviado")</f>
        <v>Enviado</v>
      </c>
      <c r="G532" s="51" t="str">
        <f>IF(_xlfn.ISFORMULA('Previsto x realizado'!AY2596) = FALSE, "","Enviado")</f>
        <v>Enviado</v>
      </c>
      <c r="H532" s="51" t="str">
        <f>IF(_xlfn.ISFORMULA('Previsto x realizado'!AZ2596) = FALSE, "","Enviado")</f>
        <v>Enviado</v>
      </c>
      <c r="I532" s="51" t="str">
        <f>IF(_xlfn.ISFORMULA('Previsto x realizado'!BA2596) = FALSE, "","Enviado")</f>
        <v/>
      </c>
      <c r="J532" s="51" t="str">
        <f>IF(_xlfn.ISFORMULA('Previsto x realizado'!BB2596) = FALSE, "","Enviado")</f>
        <v/>
      </c>
      <c r="K532" s="51" t="str">
        <f>IF(_xlfn.ISFORMULA('Previsto x realizado'!BC2596) = FALSE, "","Enviado")</f>
        <v/>
      </c>
      <c r="L532" s="51" t="str">
        <f>IF(_xlfn.ISFORMULA('Previsto x realizado'!BD2596) = FALSE, "","Enviado")</f>
        <v/>
      </c>
      <c r="M532" s="51" t="str">
        <f>IF(_xlfn.ISFORMULA('Previsto x realizado'!BE2596) = FALSE, "","Enviado")</f>
        <v/>
      </c>
      <c r="N532" s="51" t="str">
        <f>IF(_xlfn.ISFORMULA('Previsto x realizado'!BF2596) = FALSE, "","Enviado")</f>
        <v/>
      </c>
      <c r="O532" s="51" t="str">
        <f>IF(_xlfn.ISFORMULA('Previsto x realizado'!BG2596) = FALSE, "","Enviado")</f>
        <v/>
      </c>
      <c r="P532" s="51" t="str">
        <f>IF(_xlfn.ISFORMULA('Previsto x realizado'!BH2596) = FALSE, "","Enviado")</f>
        <v/>
      </c>
    </row>
    <row r="533" spans="1:16" x14ac:dyDescent="0.3">
      <c r="A533" s="72" t="s">
        <v>44</v>
      </c>
      <c r="B533" s="73" t="s">
        <v>44</v>
      </c>
      <c r="C533" s="74" t="s">
        <v>239</v>
      </c>
      <c r="D533" s="73" t="s">
        <v>44</v>
      </c>
      <c r="E533" s="51" t="str">
        <f>IF(_xlfn.ISFORMULA('Previsto x realizado'!AW2597) = FALSE, "","Enviado")</f>
        <v>Enviado</v>
      </c>
      <c r="F533" s="51" t="str">
        <f>IF(_xlfn.ISFORMULA('Previsto x realizado'!AX2597) = FALSE, "","Enviado")</f>
        <v>Enviado</v>
      </c>
      <c r="G533" s="51" t="str">
        <f>IF(_xlfn.ISFORMULA('Previsto x realizado'!AY2597) = FALSE, "","Enviado")</f>
        <v>Enviado</v>
      </c>
      <c r="H533" s="51" t="str">
        <f>IF(_xlfn.ISFORMULA('Previsto x realizado'!AZ2597) = FALSE, "","Enviado")</f>
        <v>Enviado</v>
      </c>
      <c r="I533" s="51" t="str">
        <f>IF(_xlfn.ISFORMULA('Previsto x realizado'!BA2597) = FALSE, "","Enviado")</f>
        <v/>
      </c>
      <c r="J533" s="51" t="str">
        <f>IF(_xlfn.ISFORMULA('Previsto x realizado'!BB2597) = FALSE, "","Enviado")</f>
        <v/>
      </c>
      <c r="K533" s="51" t="str">
        <f>IF(_xlfn.ISFORMULA('Previsto x realizado'!BC2597) = FALSE, "","Enviado")</f>
        <v/>
      </c>
      <c r="L533" s="51" t="str">
        <f>IF(_xlfn.ISFORMULA('Previsto x realizado'!BD2597) = FALSE, "","Enviado")</f>
        <v/>
      </c>
      <c r="M533" s="51" t="str">
        <f>IF(_xlfn.ISFORMULA('Previsto x realizado'!BE2597) = FALSE, "","Enviado")</f>
        <v/>
      </c>
      <c r="N533" s="51" t="str">
        <f>IF(_xlfn.ISFORMULA('Previsto x realizado'!BF2597) = FALSE, "","Enviado")</f>
        <v/>
      </c>
      <c r="O533" s="51" t="str">
        <f>IF(_xlfn.ISFORMULA('Previsto x realizado'!BG2597) = FALSE, "","Enviado")</f>
        <v/>
      </c>
      <c r="P533" s="51" t="str">
        <f>IF(_xlfn.ISFORMULA('Previsto x realizado'!BH2597) = FALSE, "","Enviado")</f>
        <v/>
      </c>
    </row>
    <row r="534" spans="1:16" x14ac:dyDescent="0.3">
      <c r="A534" s="72" t="s">
        <v>44</v>
      </c>
      <c r="B534" s="73" t="s">
        <v>44</v>
      </c>
      <c r="C534" s="74" t="s">
        <v>239</v>
      </c>
      <c r="D534" s="73" t="s">
        <v>44</v>
      </c>
      <c r="E534" s="51" t="str">
        <f>IF(_xlfn.ISFORMULA('Previsto x realizado'!AW2598) = FALSE, "","Enviado")</f>
        <v>Enviado</v>
      </c>
      <c r="F534" s="51" t="str">
        <f>IF(_xlfn.ISFORMULA('Previsto x realizado'!AX2598) = FALSE, "","Enviado")</f>
        <v>Enviado</v>
      </c>
      <c r="G534" s="51" t="str">
        <f>IF(_xlfn.ISFORMULA('Previsto x realizado'!AY2598) = FALSE, "","Enviado")</f>
        <v>Enviado</v>
      </c>
      <c r="H534" s="51" t="str">
        <f>IF(_xlfn.ISFORMULA('Previsto x realizado'!AZ2598) = FALSE, "","Enviado")</f>
        <v>Enviado</v>
      </c>
      <c r="I534" s="51" t="str">
        <f>IF(_xlfn.ISFORMULA('Previsto x realizado'!BA2598) = FALSE, "","Enviado")</f>
        <v/>
      </c>
      <c r="J534" s="51" t="str">
        <f>IF(_xlfn.ISFORMULA('Previsto x realizado'!BB2598) = FALSE, "","Enviado")</f>
        <v/>
      </c>
      <c r="K534" s="51" t="str">
        <f>IF(_xlfn.ISFORMULA('Previsto x realizado'!BC2598) = FALSE, "","Enviado")</f>
        <v/>
      </c>
      <c r="L534" s="51" t="str">
        <f>IF(_xlfn.ISFORMULA('Previsto x realizado'!BD2598) = FALSE, "","Enviado")</f>
        <v/>
      </c>
      <c r="M534" s="51" t="str">
        <f>IF(_xlfn.ISFORMULA('Previsto x realizado'!BE2598) = FALSE, "","Enviado")</f>
        <v/>
      </c>
      <c r="N534" s="51" t="str">
        <f>IF(_xlfn.ISFORMULA('Previsto x realizado'!BF2598) = FALSE, "","Enviado")</f>
        <v/>
      </c>
      <c r="O534" s="51" t="str">
        <f>IF(_xlfn.ISFORMULA('Previsto x realizado'!BG2598) = FALSE, "","Enviado")</f>
        <v/>
      </c>
      <c r="P534" s="51" t="str">
        <f>IF(_xlfn.ISFORMULA('Previsto x realizado'!BH2598) = FALSE, "","Enviado")</f>
        <v/>
      </c>
    </row>
    <row r="535" spans="1:16" x14ac:dyDescent="0.3">
      <c r="A535" s="72" t="s">
        <v>44</v>
      </c>
      <c r="B535" s="73" t="s">
        <v>44</v>
      </c>
      <c r="C535" s="74" t="s">
        <v>35</v>
      </c>
      <c r="D535" s="73" t="s">
        <v>44</v>
      </c>
      <c r="E535" s="51" t="str">
        <f>IF(_xlfn.ISFORMULA('Previsto x realizado'!AW2601) = FALSE, "","Enviado")</f>
        <v>Enviado</v>
      </c>
      <c r="F535" s="51" t="str">
        <f>IF(_xlfn.ISFORMULA('Previsto x realizado'!AX2601) = FALSE, "","Enviado")</f>
        <v>Enviado</v>
      </c>
      <c r="G535" s="51" t="str">
        <f>IF(_xlfn.ISFORMULA('Previsto x realizado'!AY2601) = FALSE, "","Enviado")</f>
        <v>Enviado</v>
      </c>
      <c r="H535" s="51" t="str">
        <f>IF(_xlfn.ISFORMULA('Previsto x realizado'!AZ2601) = FALSE, "","Enviado")</f>
        <v>Enviado</v>
      </c>
      <c r="I535" s="51" t="str">
        <f>IF(_xlfn.ISFORMULA('Previsto x realizado'!BA2601) = FALSE, "","Enviado")</f>
        <v/>
      </c>
      <c r="J535" s="51" t="str">
        <f>IF(_xlfn.ISFORMULA('Previsto x realizado'!BB2601) = FALSE, "","Enviado")</f>
        <v/>
      </c>
      <c r="K535" s="51" t="str">
        <f>IF(_xlfn.ISFORMULA('Previsto x realizado'!BC2601) = FALSE, "","Enviado")</f>
        <v/>
      </c>
      <c r="L535" s="51" t="str">
        <f>IF(_xlfn.ISFORMULA('Previsto x realizado'!BD2601) = FALSE, "","Enviado")</f>
        <v/>
      </c>
      <c r="M535" s="51" t="str">
        <f>IF(_xlfn.ISFORMULA('Previsto x realizado'!BE2601) = FALSE, "","Enviado")</f>
        <v/>
      </c>
      <c r="N535" s="51" t="str">
        <f>IF(_xlfn.ISFORMULA('Previsto x realizado'!BF2601) = FALSE, "","Enviado")</f>
        <v/>
      </c>
      <c r="O535" s="51" t="str">
        <f>IF(_xlfn.ISFORMULA('Previsto x realizado'!BG2601) = FALSE, "","Enviado")</f>
        <v/>
      </c>
      <c r="P535" s="51" t="str">
        <f>IF(_xlfn.ISFORMULA('Previsto x realizado'!BH2601) = FALSE, "","Enviado")</f>
        <v/>
      </c>
    </row>
    <row r="536" spans="1:16" x14ac:dyDescent="0.3">
      <c r="A536" s="72" t="s">
        <v>44</v>
      </c>
      <c r="B536" s="73" t="s">
        <v>44</v>
      </c>
      <c r="C536" s="74" t="s">
        <v>95</v>
      </c>
      <c r="D536" s="73" t="s">
        <v>44</v>
      </c>
      <c r="E536" s="51" t="str">
        <f>IF(_xlfn.ISFORMULA('Previsto x realizado'!AW2602) = FALSE, "","Enviado")</f>
        <v>Enviado</v>
      </c>
      <c r="F536" s="51" t="str">
        <f>IF(_xlfn.ISFORMULA('Previsto x realizado'!AX2602) = FALSE, "","Enviado")</f>
        <v>Enviado</v>
      </c>
      <c r="G536" s="51" t="str">
        <f>IF(_xlfn.ISFORMULA('Previsto x realizado'!AY2602) = FALSE, "","Enviado")</f>
        <v>Enviado</v>
      </c>
      <c r="H536" s="51" t="str">
        <f>IF(_xlfn.ISFORMULA('Previsto x realizado'!AZ2602) = FALSE, "","Enviado")</f>
        <v>Enviado</v>
      </c>
      <c r="I536" s="51" t="str">
        <f>IF(_xlfn.ISFORMULA('Previsto x realizado'!BA2602) = FALSE, "","Enviado")</f>
        <v/>
      </c>
      <c r="J536" s="51" t="str">
        <f>IF(_xlfn.ISFORMULA('Previsto x realizado'!BB2602) = FALSE, "","Enviado")</f>
        <v/>
      </c>
      <c r="K536" s="51" t="str">
        <f>IF(_xlfn.ISFORMULA('Previsto x realizado'!BC2602) = FALSE, "","Enviado")</f>
        <v/>
      </c>
      <c r="L536" s="51" t="str">
        <f>IF(_xlfn.ISFORMULA('Previsto x realizado'!BD2602) = FALSE, "","Enviado")</f>
        <v/>
      </c>
      <c r="M536" s="51" t="str">
        <f>IF(_xlfn.ISFORMULA('Previsto x realizado'!BE2602) = FALSE, "","Enviado")</f>
        <v/>
      </c>
      <c r="N536" s="51" t="str">
        <f>IF(_xlfn.ISFORMULA('Previsto x realizado'!BF2602) = FALSE, "","Enviado")</f>
        <v/>
      </c>
      <c r="O536" s="51" t="str">
        <f>IF(_xlfn.ISFORMULA('Previsto x realizado'!BG2602) = FALSE, "","Enviado")</f>
        <v/>
      </c>
      <c r="P536" s="51" t="str">
        <f>IF(_xlfn.ISFORMULA('Previsto x realizado'!BH2602) = FALSE, "","Enviado")</f>
        <v/>
      </c>
    </row>
    <row r="537" spans="1:16" x14ac:dyDescent="0.3">
      <c r="A537" s="72" t="s">
        <v>44</v>
      </c>
      <c r="B537" s="73" t="s">
        <v>44</v>
      </c>
      <c r="C537" s="74" t="s">
        <v>97</v>
      </c>
      <c r="D537" s="73" t="s">
        <v>44</v>
      </c>
      <c r="E537" s="51" t="str">
        <f>IF(_xlfn.ISFORMULA('Previsto x realizado'!AW2613) = FALSE, "","Enviado")</f>
        <v>Enviado</v>
      </c>
      <c r="F537" s="51" t="str">
        <f>IF(_xlfn.ISFORMULA('Previsto x realizado'!AX2613) = FALSE, "","Enviado")</f>
        <v>Enviado</v>
      </c>
      <c r="G537" s="51" t="str">
        <f>IF(_xlfn.ISFORMULA('Previsto x realizado'!AY2613) = FALSE, "","Enviado")</f>
        <v>Enviado</v>
      </c>
      <c r="H537" s="51" t="str">
        <f>IF(_xlfn.ISFORMULA('Previsto x realizado'!AZ2613) = FALSE, "","Enviado")</f>
        <v>Enviado</v>
      </c>
      <c r="I537" s="51" t="str">
        <f>IF(_xlfn.ISFORMULA('Previsto x realizado'!BA2613) = FALSE, "","Enviado")</f>
        <v/>
      </c>
      <c r="J537" s="51" t="str">
        <f>IF(_xlfn.ISFORMULA('Previsto x realizado'!BB2613) = FALSE, "","Enviado")</f>
        <v/>
      </c>
      <c r="K537" s="51" t="str">
        <f>IF(_xlfn.ISFORMULA('Previsto x realizado'!BC2613) = FALSE, "","Enviado")</f>
        <v/>
      </c>
      <c r="L537" s="51" t="str">
        <f>IF(_xlfn.ISFORMULA('Previsto x realizado'!BD2613) = FALSE, "","Enviado")</f>
        <v/>
      </c>
      <c r="M537" s="51" t="str">
        <f>IF(_xlfn.ISFORMULA('Previsto x realizado'!BE2613) = FALSE, "","Enviado")</f>
        <v/>
      </c>
      <c r="N537" s="51" t="str">
        <f>IF(_xlfn.ISFORMULA('Previsto x realizado'!BF2613) = FALSE, "","Enviado")</f>
        <v/>
      </c>
      <c r="O537" s="51" t="str">
        <f>IF(_xlfn.ISFORMULA('Previsto x realizado'!BG2613) = FALSE, "","Enviado")</f>
        <v/>
      </c>
      <c r="P537" s="51" t="str">
        <f>IF(_xlfn.ISFORMULA('Previsto x realizado'!BH2613) = FALSE, "","Enviado")</f>
        <v/>
      </c>
    </row>
    <row r="538" spans="1:16" x14ac:dyDescent="0.3">
      <c r="A538" s="72" t="s">
        <v>44</v>
      </c>
      <c r="B538" s="73" t="s">
        <v>44</v>
      </c>
      <c r="C538" s="74" t="s">
        <v>209</v>
      </c>
      <c r="D538" s="73" t="s">
        <v>44</v>
      </c>
      <c r="E538" s="51" t="str">
        <f>IF(_xlfn.ISFORMULA('Previsto x realizado'!AW2619) = FALSE, "","Enviado")</f>
        <v>Enviado</v>
      </c>
      <c r="F538" s="51" t="str">
        <f>IF(_xlfn.ISFORMULA('Previsto x realizado'!AX2619) = FALSE, "","Enviado")</f>
        <v>Enviado</v>
      </c>
      <c r="G538" s="51" t="str">
        <f>IF(_xlfn.ISFORMULA('Previsto x realizado'!AY2619) = FALSE, "","Enviado")</f>
        <v>Enviado</v>
      </c>
      <c r="H538" s="51" t="str">
        <f>IF(_xlfn.ISFORMULA('Previsto x realizado'!AZ2619) = FALSE, "","Enviado")</f>
        <v>Enviado</v>
      </c>
      <c r="I538" s="51" t="str">
        <f>IF(_xlfn.ISFORMULA('Previsto x realizado'!BA2619) = FALSE, "","Enviado")</f>
        <v/>
      </c>
      <c r="J538" s="51" t="str">
        <f>IF(_xlfn.ISFORMULA('Previsto x realizado'!BB2619) = FALSE, "","Enviado")</f>
        <v/>
      </c>
      <c r="K538" s="51" t="str">
        <f>IF(_xlfn.ISFORMULA('Previsto x realizado'!BC2619) = FALSE, "","Enviado")</f>
        <v/>
      </c>
      <c r="L538" s="51" t="str">
        <f>IF(_xlfn.ISFORMULA('Previsto x realizado'!BD2619) = FALSE, "","Enviado")</f>
        <v/>
      </c>
      <c r="M538" s="51" t="str">
        <f>IF(_xlfn.ISFORMULA('Previsto x realizado'!BE2619) = FALSE, "","Enviado")</f>
        <v/>
      </c>
      <c r="N538" s="51" t="str">
        <f>IF(_xlfn.ISFORMULA('Previsto x realizado'!BF2619) = FALSE, "","Enviado")</f>
        <v/>
      </c>
      <c r="O538" s="51" t="str">
        <f>IF(_xlfn.ISFORMULA('Previsto x realizado'!BG2619) = FALSE, "","Enviado")</f>
        <v/>
      </c>
      <c r="P538" s="51" t="str">
        <f>IF(_xlfn.ISFORMULA('Previsto x realizado'!BH2619) = FALSE, "","Enviado")</f>
        <v/>
      </c>
    </row>
    <row r="539" spans="1:16" x14ac:dyDescent="0.3">
      <c r="A539" s="72" t="s">
        <v>44</v>
      </c>
      <c r="B539" s="73" t="s">
        <v>44</v>
      </c>
      <c r="C539" s="74" t="s">
        <v>214</v>
      </c>
      <c r="D539" s="73" t="s">
        <v>44</v>
      </c>
      <c r="E539" s="51" t="str">
        <f>IF(_xlfn.ISFORMULA('Previsto x realizado'!AW2625) = FALSE, "","Enviado")</f>
        <v>Enviado</v>
      </c>
      <c r="F539" s="51" t="str">
        <f>IF(_xlfn.ISFORMULA('Previsto x realizado'!AX2625) = FALSE, "","Enviado")</f>
        <v>Enviado</v>
      </c>
      <c r="G539" s="51" t="str">
        <f>IF(_xlfn.ISFORMULA('Previsto x realizado'!AY2625) = FALSE, "","Enviado")</f>
        <v>Enviado</v>
      </c>
      <c r="H539" s="51" t="str">
        <f>IF(_xlfn.ISFORMULA('Previsto x realizado'!AZ2625) = FALSE, "","Enviado")</f>
        <v>Enviado</v>
      </c>
      <c r="I539" s="51" t="str">
        <f>IF(_xlfn.ISFORMULA('Previsto x realizado'!BA2625) = FALSE, "","Enviado")</f>
        <v/>
      </c>
      <c r="J539" s="51" t="str">
        <f>IF(_xlfn.ISFORMULA('Previsto x realizado'!BB2625) = FALSE, "","Enviado")</f>
        <v/>
      </c>
      <c r="K539" s="51" t="str">
        <f>IF(_xlfn.ISFORMULA('Previsto x realizado'!BC2625) = FALSE, "","Enviado")</f>
        <v/>
      </c>
      <c r="L539" s="51" t="str">
        <f>IF(_xlfn.ISFORMULA('Previsto x realizado'!BD2625) = FALSE, "","Enviado")</f>
        <v/>
      </c>
      <c r="M539" s="51" t="str">
        <f>IF(_xlfn.ISFORMULA('Previsto x realizado'!BE2625) = FALSE, "","Enviado")</f>
        <v/>
      </c>
      <c r="N539" s="51" t="str">
        <f>IF(_xlfn.ISFORMULA('Previsto x realizado'!BF2625) = FALSE, "","Enviado")</f>
        <v/>
      </c>
      <c r="O539" s="51" t="str">
        <f>IF(_xlfn.ISFORMULA('Previsto x realizado'!BG2625) = FALSE, "","Enviado")</f>
        <v/>
      </c>
      <c r="P539" s="51" t="str">
        <f>IF(_xlfn.ISFORMULA('Previsto x realizado'!BH2625) = FALSE, "","Enviado")</f>
        <v/>
      </c>
    </row>
    <row r="540" spans="1:16" x14ac:dyDescent="0.3">
      <c r="A540" s="72" t="s">
        <v>44</v>
      </c>
      <c r="B540" s="73" t="s">
        <v>44</v>
      </c>
      <c r="C540" s="74" t="s">
        <v>216</v>
      </c>
      <c r="D540" s="73" t="s">
        <v>44</v>
      </c>
      <c r="E540" s="51" t="str">
        <f>IF(_xlfn.ISFORMULA('Previsto x realizado'!AW2630) = FALSE, "","Enviado")</f>
        <v>Enviado</v>
      </c>
      <c r="F540" s="51" t="str">
        <f>IF(_xlfn.ISFORMULA('Previsto x realizado'!AX2630) = FALSE, "","Enviado")</f>
        <v>Enviado</v>
      </c>
      <c r="G540" s="51" t="str">
        <f>IF(_xlfn.ISFORMULA('Previsto x realizado'!AY2630) = FALSE, "","Enviado")</f>
        <v>Enviado</v>
      </c>
      <c r="H540" s="51" t="str">
        <f>IF(_xlfn.ISFORMULA('Previsto x realizado'!AZ2630) = FALSE, "","Enviado")</f>
        <v>Enviado</v>
      </c>
      <c r="I540" s="51" t="str">
        <f>IF(_xlfn.ISFORMULA('Previsto x realizado'!BA2630) = FALSE, "","Enviado")</f>
        <v/>
      </c>
      <c r="J540" s="51" t="str">
        <f>IF(_xlfn.ISFORMULA('Previsto x realizado'!BB2630) = FALSE, "","Enviado")</f>
        <v/>
      </c>
      <c r="K540" s="51" t="str">
        <f>IF(_xlfn.ISFORMULA('Previsto x realizado'!BC2630) = FALSE, "","Enviado")</f>
        <v/>
      </c>
      <c r="L540" s="51" t="str">
        <f>IF(_xlfn.ISFORMULA('Previsto x realizado'!BD2630) = FALSE, "","Enviado")</f>
        <v/>
      </c>
      <c r="M540" s="51" t="str">
        <f>IF(_xlfn.ISFORMULA('Previsto x realizado'!BE2630) = FALSE, "","Enviado")</f>
        <v/>
      </c>
      <c r="N540" s="51" t="str">
        <f>IF(_xlfn.ISFORMULA('Previsto x realizado'!BF2630) = FALSE, "","Enviado")</f>
        <v/>
      </c>
      <c r="O540" s="51" t="str">
        <f>IF(_xlfn.ISFORMULA('Previsto x realizado'!BG2630) = FALSE, "","Enviado")</f>
        <v/>
      </c>
      <c r="P540" s="51" t="str">
        <f>IF(_xlfn.ISFORMULA('Previsto x realizado'!BH2630) = FALSE, "","Enviado")</f>
        <v/>
      </c>
    </row>
    <row r="541" spans="1:16" x14ac:dyDescent="0.3">
      <c r="A541" s="72" t="s">
        <v>44</v>
      </c>
      <c r="B541" s="73" t="s">
        <v>44</v>
      </c>
      <c r="C541" s="74" t="s">
        <v>221</v>
      </c>
      <c r="D541" s="73" t="s">
        <v>44</v>
      </c>
      <c r="E541" s="51" t="str">
        <f>IF(_xlfn.ISFORMULA('Previsto x realizado'!AW2633) = FALSE, "","Enviado")</f>
        <v>Enviado</v>
      </c>
      <c r="F541" s="51" t="str">
        <f>IF(_xlfn.ISFORMULA('Previsto x realizado'!AX2633) = FALSE, "","Enviado")</f>
        <v>Enviado</v>
      </c>
      <c r="G541" s="51" t="str">
        <f>IF(_xlfn.ISFORMULA('Previsto x realizado'!AY2633) = FALSE, "","Enviado")</f>
        <v>Enviado</v>
      </c>
      <c r="H541" s="51" t="str">
        <f>IF(_xlfn.ISFORMULA('Previsto x realizado'!AZ2633) = FALSE, "","Enviado")</f>
        <v>Enviado</v>
      </c>
      <c r="I541" s="51" t="str">
        <f>IF(_xlfn.ISFORMULA('Previsto x realizado'!BA2633) = FALSE, "","Enviado")</f>
        <v/>
      </c>
      <c r="J541" s="51" t="str">
        <f>IF(_xlfn.ISFORMULA('Previsto x realizado'!BB2633) = FALSE, "","Enviado")</f>
        <v/>
      </c>
      <c r="K541" s="51" t="str">
        <f>IF(_xlfn.ISFORMULA('Previsto x realizado'!BC2633) = FALSE, "","Enviado")</f>
        <v/>
      </c>
      <c r="L541" s="51" t="str">
        <f>IF(_xlfn.ISFORMULA('Previsto x realizado'!BD2633) = FALSE, "","Enviado")</f>
        <v/>
      </c>
      <c r="M541" s="51" t="str">
        <f>IF(_xlfn.ISFORMULA('Previsto x realizado'!BE2633) = FALSE, "","Enviado")</f>
        <v/>
      </c>
      <c r="N541" s="51" t="str">
        <f>IF(_xlfn.ISFORMULA('Previsto x realizado'!BF2633) = FALSE, "","Enviado")</f>
        <v/>
      </c>
      <c r="O541" s="51" t="str">
        <f>IF(_xlfn.ISFORMULA('Previsto x realizado'!BG2633) = FALSE, "","Enviado")</f>
        <v/>
      </c>
      <c r="P541" s="51" t="str">
        <f>IF(_xlfn.ISFORMULA('Previsto x realizado'!BH2633) = FALSE, "","Enviado")</f>
        <v/>
      </c>
    </row>
    <row r="542" spans="1:16" x14ac:dyDescent="0.3">
      <c r="A542" s="72" t="s">
        <v>44</v>
      </c>
      <c r="B542" s="73" t="s">
        <v>44</v>
      </c>
      <c r="C542" s="74" t="s">
        <v>239</v>
      </c>
      <c r="D542" s="73" t="s">
        <v>44</v>
      </c>
      <c r="E542" s="51" t="str">
        <f>IF(_xlfn.ISFORMULA('Previsto x realizado'!AW2634) = FALSE, "","Enviado")</f>
        <v>Enviado</v>
      </c>
      <c r="F542" s="51" t="str">
        <f>IF(_xlfn.ISFORMULA('Previsto x realizado'!AX2634) = FALSE, "","Enviado")</f>
        <v>Enviado</v>
      </c>
      <c r="G542" s="51" t="str">
        <f>IF(_xlfn.ISFORMULA('Previsto x realizado'!AY2634) = FALSE, "","Enviado")</f>
        <v>Enviado</v>
      </c>
      <c r="H542" s="51" t="str">
        <f>IF(_xlfn.ISFORMULA('Previsto x realizado'!AZ2634) = FALSE, "","Enviado")</f>
        <v>Enviado</v>
      </c>
      <c r="I542" s="51" t="str">
        <f>IF(_xlfn.ISFORMULA('Previsto x realizado'!BA2634) = FALSE, "","Enviado")</f>
        <v/>
      </c>
      <c r="J542" s="51" t="str">
        <f>IF(_xlfn.ISFORMULA('Previsto x realizado'!BB2634) = FALSE, "","Enviado")</f>
        <v/>
      </c>
      <c r="K542" s="51" t="str">
        <f>IF(_xlfn.ISFORMULA('Previsto x realizado'!BC2634) = FALSE, "","Enviado")</f>
        <v/>
      </c>
      <c r="L542" s="51" t="str">
        <f>IF(_xlfn.ISFORMULA('Previsto x realizado'!BD2634) = FALSE, "","Enviado")</f>
        <v/>
      </c>
      <c r="M542" s="51" t="str">
        <f>IF(_xlfn.ISFORMULA('Previsto x realizado'!BE2634) = FALSE, "","Enviado")</f>
        <v/>
      </c>
      <c r="N542" s="51" t="str">
        <f>IF(_xlfn.ISFORMULA('Previsto x realizado'!BF2634) = FALSE, "","Enviado")</f>
        <v/>
      </c>
      <c r="O542" s="51" t="str">
        <f>IF(_xlfn.ISFORMULA('Previsto x realizado'!BG2634) = FALSE, "","Enviado")</f>
        <v/>
      </c>
      <c r="P542" s="51" t="str">
        <f>IF(_xlfn.ISFORMULA('Previsto x realizado'!BH2634) = FALSE, "","Enviado")</f>
        <v/>
      </c>
    </row>
    <row r="543" spans="1:16" x14ac:dyDescent="0.3">
      <c r="A543" s="72" t="s">
        <v>44</v>
      </c>
      <c r="B543" s="73" t="s">
        <v>44</v>
      </c>
      <c r="C543" s="74" t="s">
        <v>35</v>
      </c>
      <c r="D543" s="73" t="s">
        <v>44</v>
      </c>
      <c r="E543" s="51" t="str">
        <f>IF(_xlfn.ISFORMULA('Previsto x realizado'!AW2637) = FALSE, "","Enviado")</f>
        <v>Enviado</v>
      </c>
      <c r="F543" s="51" t="str">
        <f>IF(_xlfn.ISFORMULA('Previsto x realizado'!AX2637) = FALSE, "","Enviado")</f>
        <v>Enviado</v>
      </c>
      <c r="G543" s="51" t="str">
        <f>IF(_xlfn.ISFORMULA('Previsto x realizado'!AY2637) = FALSE, "","Enviado")</f>
        <v>Enviado</v>
      </c>
      <c r="H543" s="51" t="str">
        <f>IF(_xlfn.ISFORMULA('Previsto x realizado'!AZ2637) = FALSE, "","Enviado")</f>
        <v>Enviado</v>
      </c>
      <c r="I543" s="51" t="str">
        <f>IF(_xlfn.ISFORMULA('Previsto x realizado'!BA2637) = FALSE, "","Enviado")</f>
        <v/>
      </c>
      <c r="J543" s="51" t="str">
        <f>IF(_xlfn.ISFORMULA('Previsto x realizado'!BB2637) = FALSE, "","Enviado")</f>
        <v/>
      </c>
      <c r="K543" s="51" t="str">
        <f>IF(_xlfn.ISFORMULA('Previsto x realizado'!BC2637) = FALSE, "","Enviado")</f>
        <v/>
      </c>
      <c r="L543" s="51" t="str">
        <f>IF(_xlfn.ISFORMULA('Previsto x realizado'!BD2637) = FALSE, "","Enviado")</f>
        <v/>
      </c>
      <c r="M543" s="51" t="str">
        <f>IF(_xlfn.ISFORMULA('Previsto x realizado'!BE2637) = FALSE, "","Enviado")</f>
        <v/>
      </c>
      <c r="N543" s="51" t="str">
        <f>IF(_xlfn.ISFORMULA('Previsto x realizado'!BF2637) = FALSE, "","Enviado")</f>
        <v/>
      </c>
      <c r="O543" s="51" t="str">
        <f>IF(_xlfn.ISFORMULA('Previsto x realizado'!BG2637) = FALSE, "","Enviado")</f>
        <v/>
      </c>
      <c r="P543" s="51" t="str">
        <f>IF(_xlfn.ISFORMULA('Previsto x realizado'!BH2637) = FALSE, "","Enviado")</f>
        <v/>
      </c>
    </row>
    <row r="544" spans="1:16" x14ac:dyDescent="0.3">
      <c r="A544" s="72" t="s">
        <v>44</v>
      </c>
      <c r="B544" s="73" t="s">
        <v>44</v>
      </c>
      <c r="C544" s="74" t="s">
        <v>95</v>
      </c>
      <c r="D544" s="73" t="s">
        <v>44</v>
      </c>
      <c r="E544" s="51" t="str">
        <f>IF(_xlfn.ISFORMULA('Previsto x realizado'!AW2638) = FALSE, "","Enviado")</f>
        <v>Enviado</v>
      </c>
      <c r="F544" s="51" t="str">
        <f>IF(_xlfn.ISFORMULA('Previsto x realizado'!AX2638) = FALSE, "","Enviado")</f>
        <v>Enviado</v>
      </c>
      <c r="G544" s="51" t="str">
        <f>IF(_xlfn.ISFORMULA('Previsto x realizado'!AY2638) = FALSE, "","Enviado")</f>
        <v>Enviado</v>
      </c>
      <c r="H544" s="51" t="str">
        <f>IF(_xlfn.ISFORMULA('Previsto x realizado'!AZ2638) = FALSE, "","Enviado")</f>
        <v>Enviado</v>
      </c>
      <c r="I544" s="51" t="str">
        <f>IF(_xlfn.ISFORMULA('Previsto x realizado'!BA2638) = FALSE, "","Enviado")</f>
        <v/>
      </c>
      <c r="J544" s="51" t="str">
        <f>IF(_xlfn.ISFORMULA('Previsto x realizado'!BB2638) = FALSE, "","Enviado")</f>
        <v/>
      </c>
      <c r="K544" s="51" t="str">
        <f>IF(_xlfn.ISFORMULA('Previsto x realizado'!BC2638) = FALSE, "","Enviado")</f>
        <v/>
      </c>
      <c r="L544" s="51" t="str">
        <f>IF(_xlfn.ISFORMULA('Previsto x realizado'!BD2638) = FALSE, "","Enviado")</f>
        <v/>
      </c>
      <c r="M544" s="51" t="str">
        <f>IF(_xlfn.ISFORMULA('Previsto x realizado'!BE2638) = FALSE, "","Enviado")</f>
        <v/>
      </c>
      <c r="N544" s="51" t="str">
        <f>IF(_xlfn.ISFORMULA('Previsto x realizado'!BF2638) = FALSE, "","Enviado")</f>
        <v/>
      </c>
      <c r="O544" s="51" t="str">
        <f>IF(_xlfn.ISFORMULA('Previsto x realizado'!BG2638) = FALSE, "","Enviado")</f>
        <v/>
      </c>
      <c r="P544" s="51" t="str">
        <f>IF(_xlfn.ISFORMULA('Previsto x realizado'!BH2638) = FALSE, "","Enviado")</f>
        <v/>
      </c>
    </row>
    <row r="545" spans="1:16" x14ac:dyDescent="0.3">
      <c r="A545" s="72" t="s">
        <v>44</v>
      </c>
      <c r="B545" s="73" t="s">
        <v>44</v>
      </c>
      <c r="C545" s="74" t="s">
        <v>97</v>
      </c>
      <c r="D545" s="73" t="s">
        <v>44</v>
      </c>
      <c r="E545" s="51" t="str">
        <f>IF(_xlfn.ISFORMULA('Previsto x realizado'!AW2649) = FALSE, "","Enviado")</f>
        <v>Enviado</v>
      </c>
      <c r="F545" s="51" t="str">
        <f>IF(_xlfn.ISFORMULA('Previsto x realizado'!AX2649) = FALSE, "","Enviado")</f>
        <v>Enviado</v>
      </c>
      <c r="G545" s="51" t="str">
        <f>IF(_xlfn.ISFORMULA('Previsto x realizado'!AY2649) = FALSE, "","Enviado")</f>
        <v>Enviado</v>
      </c>
      <c r="H545" s="51" t="str">
        <f>IF(_xlfn.ISFORMULA('Previsto x realizado'!AZ2649) = FALSE, "","Enviado")</f>
        <v>Enviado</v>
      </c>
      <c r="I545" s="51" t="str">
        <f>IF(_xlfn.ISFORMULA('Previsto x realizado'!BA2649) = FALSE, "","Enviado")</f>
        <v/>
      </c>
      <c r="J545" s="51" t="str">
        <f>IF(_xlfn.ISFORMULA('Previsto x realizado'!BB2649) = FALSE, "","Enviado")</f>
        <v/>
      </c>
      <c r="K545" s="51" t="str">
        <f>IF(_xlfn.ISFORMULA('Previsto x realizado'!BC2649) = FALSE, "","Enviado")</f>
        <v/>
      </c>
      <c r="L545" s="51" t="str">
        <f>IF(_xlfn.ISFORMULA('Previsto x realizado'!BD2649) = FALSE, "","Enviado")</f>
        <v/>
      </c>
      <c r="M545" s="51" t="str">
        <f>IF(_xlfn.ISFORMULA('Previsto x realizado'!BE2649) = FALSE, "","Enviado")</f>
        <v/>
      </c>
      <c r="N545" s="51" t="str">
        <f>IF(_xlfn.ISFORMULA('Previsto x realizado'!BF2649) = FALSE, "","Enviado")</f>
        <v/>
      </c>
      <c r="O545" s="51" t="str">
        <f>IF(_xlfn.ISFORMULA('Previsto x realizado'!BG2649) = FALSE, "","Enviado")</f>
        <v/>
      </c>
      <c r="P545" s="51" t="str">
        <f>IF(_xlfn.ISFORMULA('Previsto x realizado'!BH2649) = FALSE, "","Enviado")</f>
        <v/>
      </c>
    </row>
    <row r="546" spans="1:16" x14ac:dyDescent="0.3">
      <c r="A546" s="72" t="s">
        <v>44</v>
      </c>
      <c r="B546" s="73" t="s">
        <v>44</v>
      </c>
      <c r="C546" s="74" t="s">
        <v>209</v>
      </c>
      <c r="D546" s="73" t="s">
        <v>44</v>
      </c>
      <c r="E546" s="51" t="str">
        <f>IF(_xlfn.ISFORMULA('Previsto x realizado'!AW2655) = FALSE, "","Enviado")</f>
        <v>Enviado</v>
      </c>
      <c r="F546" s="51" t="str">
        <f>IF(_xlfn.ISFORMULA('Previsto x realizado'!AX2655) = FALSE, "","Enviado")</f>
        <v>Enviado</v>
      </c>
      <c r="G546" s="51" t="str">
        <f>IF(_xlfn.ISFORMULA('Previsto x realizado'!AY2655) = FALSE, "","Enviado")</f>
        <v>Enviado</v>
      </c>
      <c r="H546" s="51" t="str">
        <f>IF(_xlfn.ISFORMULA('Previsto x realizado'!AZ2655) = FALSE, "","Enviado")</f>
        <v>Enviado</v>
      </c>
      <c r="I546" s="51" t="str">
        <f>IF(_xlfn.ISFORMULA('Previsto x realizado'!BA2655) = FALSE, "","Enviado")</f>
        <v/>
      </c>
      <c r="J546" s="51" t="str">
        <f>IF(_xlfn.ISFORMULA('Previsto x realizado'!BB2655) = FALSE, "","Enviado")</f>
        <v/>
      </c>
      <c r="K546" s="51" t="str">
        <f>IF(_xlfn.ISFORMULA('Previsto x realizado'!BC2655) = FALSE, "","Enviado")</f>
        <v/>
      </c>
      <c r="L546" s="51" t="str">
        <f>IF(_xlfn.ISFORMULA('Previsto x realizado'!BD2655) = FALSE, "","Enviado")</f>
        <v/>
      </c>
      <c r="M546" s="51" t="str">
        <f>IF(_xlfn.ISFORMULA('Previsto x realizado'!BE2655) = FALSE, "","Enviado")</f>
        <v/>
      </c>
      <c r="N546" s="51" t="str">
        <f>IF(_xlfn.ISFORMULA('Previsto x realizado'!BF2655) = FALSE, "","Enviado")</f>
        <v/>
      </c>
      <c r="O546" s="51" t="str">
        <f>IF(_xlfn.ISFORMULA('Previsto x realizado'!BG2655) = FALSE, "","Enviado")</f>
        <v/>
      </c>
      <c r="P546" s="51" t="str">
        <f>IF(_xlfn.ISFORMULA('Previsto x realizado'!BH2655) = FALSE, "","Enviado")</f>
        <v/>
      </c>
    </row>
    <row r="547" spans="1:16" x14ac:dyDescent="0.3">
      <c r="A547" s="72" t="s">
        <v>44</v>
      </c>
      <c r="B547" s="73" t="s">
        <v>44</v>
      </c>
      <c r="C547" s="74" t="s">
        <v>214</v>
      </c>
      <c r="D547" s="73" t="s">
        <v>44</v>
      </c>
      <c r="E547" s="51" t="str">
        <f>IF(_xlfn.ISFORMULA('Previsto x realizado'!AW2661) = FALSE, "","Enviado")</f>
        <v>Enviado</v>
      </c>
      <c r="F547" s="51" t="str">
        <f>IF(_xlfn.ISFORMULA('Previsto x realizado'!AX2661) = FALSE, "","Enviado")</f>
        <v>Enviado</v>
      </c>
      <c r="G547" s="51" t="str">
        <f>IF(_xlfn.ISFORMULA('Previsto x realizado'!AY2661) = FALSE, "","Enviado")</f>
        <v>Enviado</v>
      </c>
      <c r="H547" s="51" t="str">
        <f>IF(_xlfn.ISFORMULA('Previsto x realizado'!AZ2661) = FALSE, "","Enviado")</f>
        <v>Enviado</v>
      </c>
      <c r="I547" s="51" t="str">
        <f>IF(_xlfn.ISFORMULA('Previsto x realizado'!BA2661) = FALSE, "","Enviado")</f>
        <v/>
      </c>
      <c r="J547" s="51" t="str">
        <f>IF(_xlfn.ISFORMULA('Previsto x realizado'!BB2661) = FALSE, "","Enviado")</f>
        <v/>
      </c>
      <c r="K547" s="51" t="str">
        <f>IF(_xlfn.ISFORMULA('Previsto x realizado'!BC2661) = FALSE, "","Enviado")</f>
        <v/>
      </c>
      <c r="L547" s="51" t="str">
        <f>IF(_xlfn.ISFORMULA('Previsto x realizado'!BD2661) = FALSE, "","Enviado")</f>
        <v/>
      </c>
      <c r="M547" s="51" t="str">
        <f>IF(_xlfn.ISFORMULA('Previsto x realizado'!BE2661) = FALSE, "","Enviado")</f>
        <v/>
      </c>
      <c r="N547" s="51" t="str">
        <f>IF(_xlfn.ISFORMULA('Previsto x realizado'!BF2661) = FALSE, "","Enviado")</f>
        <v/>
      </c>
      <c r="O547" s="51" t="str">
        <f>IF(_xlfn.ISFORMULA('Previsto x realizado'!BG2661) = FALSE, "","Enviado")</f>
        <v/>
      </c>
      <c r="P547" s="51" t="str">
        <f>IF(_xlfn.ISFORMULA('Previsto x realizado'!BH2661) = FALSE, "","Enviado")</f>
        <v/>
      </c>
    </row>
    <row r="548" spans="1:16" x14ac:dyDescent="0.3">
      <c r="A548" s="72" t="s">
        <v>44</v>
      </c>
      <c r="B548" s="73" t="s">
        <v>44</v>
      </c>
      <c r="C548" s="74" t="s">
        <v>216</v>
      </c>
      <c r="D548" s="73" t="s">
        <v>44</v>
      </c>
      <c r="E548" s="51" t="str">
        <f>IF(_xlfn.ISFORMULA('Previsto x realizado'!AW2666) = FALSE, "","Enviado")</f>
        <v>Enviado</v>
      </c>
      <c r="F548" s="51" t="str">
        <f>IF(_xlfn.ISFORMULA('Previsto x realizado'!AX2666) = FALSE, "","Enviado")</f>
        <v>Enviado</v>
      </c>
      <c r="G548" s="51" t="str">
        <f>IF(_xlfn.ISFORMULA('Previsto x realizado'!AY2666) = FALSE, "","Enviado")</f>
        <v>Enviado</v>
      </c>
      <c r="H548" s="51" t="str">
        <f>IF(_xlfn.ISFORMULA('Previsto x realizado'!AZ2666) = FALSE, "","Enviado")</f>
        <v>Enviado</v>
      </c>
      <c r="I548" s="51" t="str">
        <f>IF(_xlfn.ISFORMULA('Previsto x realizado'!BA2666) = FALSE, "","Enviado")</f>
        <v/>
      </c>
      <c r="J548" s="51" t="str">
        <f>IF(_xlfn.ISFORMULA('Previsto x realizado'!BB2666) = FALSE, "","Enviado")</f>
        <v/>
      </c>
      <c r="K548" s="51" t="str">
        <f>IF(_xlfn.ISFORMULA('Previsto x realizado'!BC2666) = FALSE, "","Enviado")</f>
        <v/>
      </c>
      <c r="L548" s="51" t="str">
        <f>IF(_xlfn.ISFORMULA('Previsto x realizado'!BD2666) = FALSE, "","Enviado")</f>
        <v/>
      </c>
      <c r="M548" s="51" t="str">
        <f>IF(_xlfn.ISFORMULA('Previsto x realizado'!BE2666) = FALSE, "","Enviado")</f>
        <v/>
      </c>
      <c r="N548" s="51" t="str">
        <f>IF(_xlfn.ISFORMULA('Previsto x realizado'!BF2666) = FALSE, "","Enviado")</f>
        <v/>
      </c>
      <c r="O548" s="51" t="str">
        <f>IF(_xlfn.ISFORMULA('Previsto x realizado'!BG2666) = FALSE, "","Enviado")</f>
        <v/>
      </c>
      <c r="P548" s="51" t="str">
        <f>IF(_xlfn.ISFORMULA('Previsto x realizado'!BH2666) = FALSE, "","Enviado")</f>
        <v/>
      </c>
    </row>
    <row r="549" spans="1:16" x14ac:dyDescent="0.3">
      <c r="A549" s="72" t="s">
        <v>44</v>
      </c>
      <c r="B549" s="73" t="s">
        <v>44</v>
      </c>
      <c r="C549" s="74" t="s">
        <v>221</v>
      </c>
      <c r="D549" s="73" t="s">
        <v>44</v>
      </c>
      <c r="E549" s="51" t="str">
        <f>IF(_xlfn.ISFORMULA('Previsto x realizado'!AW2669) = FALSE, "","Enviado")</f>
        <v>Enviado</v>
      </c>
      <c r="F549" s="51" t="str">
        <f>IF(_xlfn.ISFORMULA('Previsto x realizado'!AX2669) = FALSE, "","Enviado")</f>
        <v>Enviado</v>
      </c>
      <c r="G549" s="51" t="str">
        <f>IF(_xlfn.ISFORMULA('Previsto x realizado'!AY2669) = FALSE, "","Enviado")</f>
        <v>Enviado</v>
      </c>
      <c r="H549" s="51" t="str">
        <f>IF(_xlfn.ISFORMULA('Previsto x realizado'!AZ2669) = FALSE, "","Enviado")</f>
        <v>Enviado</v>
      </c>
      <c r="I549" s="51" t="str">
        <f>IF(_xlfn.ISFORMULA('Previsto x realizado'!BA2669) = FALSE, "","Enviado")</f>
        <v/>
      </c>
      <c r="J549" s="51" t="str">
        <f>IF(_xlfn.ISFORMULA('Previsto x realizado'!BB2669) = FALSE, "","Enviado")</f>
        <v/>
      </c>
      <c r="K549" s="51" t="str">
        <f>IF(_xlfn.ISFORMULA('Previsto x realizado'!BC2669) = FALSE, "","Enviado")</f>
        <v/>
      </c>
      <c r="L549" s="51" t="str">
        <f>IF(_xlfn.ISFORMULA('Previsto x realizado'!BD2669) = FALSE, "","Enviado")</f>
        <v/>
      </c>
      <c r="M549" s="51" t="str">
        <f>IF(_xlfn.ISFORMULA('Previsto x realizado'!BE2669) = FALSE, "","Enviado")</f>
        <v/>
      </c>
      <c r="N549" s="51" t="str">
        <f>IF(_xlfn.ISFORMULA('Previsto x realizado'!BF2669) = FALSE, "","Enviado")</f>
        <v/>
      </c>
      <c r="O549" s="51" t="str">
        <f>IF(_xlfn.ISFORMULA('Previsto x realizado'!BG2669) = FALSE, "","Enviado")</f>
        <v/>
      </c>
      <c r="P549" s="51" t="str">
        <f>IF(_xlfn.ISFORMULA('Previsto x realizado'!BH2669) = FALSE, "","Enviado")</f>
        <v/>
      </c>
    </row>
    <row r="550" spans="1:16" x14ac:dyDescent="0.3">
      <c r="A550" s="72" t="s">
        <v>44</v>
      </c>
      <c r="B550" s="73" t="s">
        <v>44</v>
      </c>
      <c r="C550" s="74" t="s">
        <v>239</v>
      </c>
      <c r="D550" s="73" t="s">
        <v>44</v>
      </c>
      <c r="E550" s="51" t="str">
        <f>IF(_xlfn.ISFORMULA('Previsto x realizado'!AW2670) = FALSE, "","Enviado")</f>
        <v>Enviado</v>
      </c>
      <c r="F550" s="51" t="str">
        <f>IF(_xlfn.ISFORMULA('Previsto x realizado'!AX2670) = FALSE, "","Enviado")</f>
        <v>Enviado</v>
      </c>
      <c r="G550" s="51" t="str">
        <f>IF(_xlfn.ISFORMULA('Previsto x realizado'!AY2670) = FALSE, "","Enviado")</f>
        <v>Enviado</v>
      </c>
      <c r="H550" s="51" t="str">
        <f>IF(_xlfn.ISFORMULA('Previsto x realizado'!AZ2670) = FALSE, "","Enviado")</f>
        <v>Enviado</v>
      </c>
      <c r="I550" s="51" t="str">
        <f>IF(_xlfn.ISFORMULA('Previsto x realizado'!BA2670) = FALSE, "","Enviado")</f>
        <v/>
      </c>
      <c r="J550" s="51" t="str">
        <f>IF(_xlfn.ISFORMULA('Previsto x realizado'!BB2670) = FALSE, "","Enviado")</f>
        <v/>
      </c>
      <c r="K550" s="51" t="str">
        <f>IF(_xlfn.ISFORMULA('Previsto x realizado'!BC2670) = FALSE, "","Enviado")</f>
        <v/>
      </c>
      <c r="L550" s="51" t="str">
        <f>IF(_xlfn.ISFORMULA('Previsto x realizado'!BD2670) = FALSE, "","Enviado")</f>
        <v/>
      </c>
      <c r="M550" s="51" t="str">
        <f>IF(_xlfn.ISFORMULA('Previsto x realizado'!BE2670) = FALSE, "","Enviado")</f>
        <v/>
      </c>
      <c r="N550" s="51" t="str">
        <f>IF(_xlfn.ISFORMULA('Previsto x realizado'!BF2670) = FALSE, "","Enviado")</f>
        <v/>
      </c>
      <c r="O550" s="51" t="str">
        <f>IF(_xlfn.ISFORMULA('Previsto x realizado'!BG2670) = FALSE, "","Enviado")</f>
        <v/>
      </c>
      <c r="P550" s="51" t="str">
        <f>IF(_xlfn.ISFORMULA('Previsto x realizado'!BH2670) = FALSE, "","Enviado")</f>
        <v/>
      </c>
    </row>
    <row r="551" spans="1:16" x14ac:dyDescent="0.3">
      <c r="A551" s="72" t="s">
        <v>44</v>
      </c>
      <c r="B551" s="73" t="s">
        <v>44</v>
      </c>
      <c r="C551" s="74" t="s">
        <v>35</v>
      </c>
      <c r="D551" s="73" t="s">
        <v>44</v>
      </c>
      <c r="E551" s="51" t="str">
        <f>IF(_xlfn.ISFORMULA('Previsto x realizado'!AW2675) = FALSE, "","Enviado")</f>
        <v>Enviado</v>
      </c>
      <c r="F551" s="51" t="str">
        <f>IF(_xlfn.ISFORMULA('Previsto x realizado'!AX2675) = FALSE, "","Enviado")</f>
        <v/>
      </c>
      <c r="G551" s="51" t="str">
        <f>IF(_xlfn.ISFORMULA('Previsto x realizado'!AY2675) = FALSE, "","Enviado")</f>
        <v/>
      </c>
      <c r="H551" s="51" t="str">
        <f>IF(_xlfn.ISFORMULA('Previsto x realizado'!AZ2675) = FALSE, "","Enviado")</f>
        <v/>
      </c>
      <c r="I551" s="51" t="str">
        <f>IF(_xlfn.ISFORMULA('Previsto x realizado'!BA2675) = FALSE, "","Enviado")</f>
        <v/>
      </c>
      <c r="J551" s="51" t="str">
        <f>IF(_xlfn.ISFORMULA('Previsto x realizado'!BB2675) = FALSE, "","Enviado")</f>
        <v/>
      </c>
      <c r="K551" s="51" t="str">
        <f>IF(_xlfn.ISFORMULA('Previsto x realizado'!BC2675) = FALSE, "","Enviado")</f>
        <v/>
      </c>
      <c r="L551" s="51" t="str">
        <f>IF(_xlfn.ISFORMULA('Previsto x realizado'!BD2675) = FALSE, "","Enviado")</f>
        <v/>
      </c>
      <c r="M551" s="51" t="str">
        <f>IF(_xlfn.ISFORMULA('Previsto x realizado'!BE2675) = FALSE, "","Enviado")</f>
        <v/>
      </c>
      <c r="N551" s="51" t="str">
        <f>IF(_xlfn.ISFORMULA('Previsto x realizado'!BF2675) = FALSE, "","Enviado")</f>
        <v/>
      </c>
      <c r="O551" s="51" t="str">
        <f>IF(_xlfn.ISFORMULA('Previsto x realizado'!BG2675) = FALSE, "","Enviado")</f>
        <v/>
      </c>
      <c r="P551" s="51" t="str">
        <f>IF(_xlfn.ISFORMULA('Previsto x realizado'!BH2675) = FALSE, "","Enviado")</f>
        <v/>
      </c>
    </row>
    <row r="552" spans="1:16" x14ac:dyDescent="0.3">
      <c r="A552" s="72" t="s">
        <v>44</v>
      </c>
      <c r="B552" s="73" t="s">
        <v>44</v>
      </c>
      <c r="C552" s="74" t="s">
        <v>95</v>
      </c>
      <c r="D552" s="73" t="s">
        <v>44</v>
      </c>
      <c r="E552" s="51" t="str">
        <f>IF(_xlfn.ISFORMULA('Previsto x realizado'!AW2676) = FALSE, "","Enviado")</f>
        <v>Enviado</v>
      </c>
      <c r="F552" s="51" t="str">
        <f>IF(_xlfn.ISFORMULA('Previsto x realizado'!AX2676) = FALSE, "","Enviado")</f>
        <v>Enviado</v>
      </c>
      <c r="G552" s="51" t="str">
        <f>IF(_xlfn.ISFORMULA('Previsto x realizado'!AY2676) = FALSE, "","Enviado")</f>
        <v>Enviado</v>
      </c>
      <c r="H552" s="51" t="str">
        <f>IF(_xlfn.ISFORMULA('Previsto x realizado'!AZ2676) = FALSE, "","Enviado")</f>
        <v>Enviado</v>
      </c>
      <c r="I552" s="51" t="str">
        <f>IF(_xlfn.ISFORMULA('Previsto x realizado'!BA2676) = FALSE, "","Enviado")</f>
        <v/>
      </c>
      <c r="J552" s="51" t="str">
        <f>IF(_xlfn.ISFORMULA('Previsto x realizado'!BB2676) = FALSE, "","Enviado")</f>
        <v/>
      </c>
      <c r="K552" s="51" t="str">
        <f>IF(_xlfn.ISFORMULA('Previsto x realizado'!BC2676) = FALSE, "","Enviado")</f>
        <v/>
      </c>
      <c r="L552" s="51" t="str">
        <f>IF(_xlfn.ISFORMULA('Previsto x realizado'!BD2676) = FALSE, "","Enviado")</f>
        <v/>
      </c>
      <c r="M552" s="51" t="str">
        <f>IF(_xlfn.ISFORMULA('Previsto x realizado'!BE2676) = FALSE, "","Enviado")</f>
        <v/>
      </c>
      <c r="N552" s="51" t="str">
        <f>IF(_xlfn.ISFORMULA('Previsto x realizado'!BF2676) = FALSE, "","Enviado")</f>
        <v/>
      </c>
      <c r="O552" s="51" t="str">
        <f>IF(_xlfn.ISFORMULA('Previsto x realizado'!BG2676) = FALSE, "","Enviado")</f>
        <v/>
      </c>
      <c r="P552" s="51" t="str">
        <f>IF(_xlfn.ISFORMULA('Previsto x realizado'!BH2676) = FALSE, "","Enviado")</f>
        <v/>
      </c>
    </row>
    <row r="553" spans="1:16" x14ac:dyDescent="0.3">
      <c r="A553" s="72" t="s">
        <v>44</v>
      </c>
      <c r="B553" s="73" t="s">
        <v>44</v>
      </c>
      <c r="C553" s="74" t="s">
        <v>97</v>
      </c>
      <c r="D553" s="73" t="s">
        <v>44</v>
      </c>
      <c r="E553" s="51" t="e">
        <f>IF(_xlfn.ISFORMULA('Previsto x realizado'!#REF!) = FALSE, "","Enviado")</f>
        <v>#REF!</v>
      </c>
      <c r="F553" s="51" t="e">
        <f>IF(_xlfn.ISFORMULA('Previsto x realizado'!#REF!) = FALSE, "","Enviado")</f>
        <v>#REF!</v>
      </c>
      <c r="G553" s="51" t="e">
        <f>IF(_xlfn.ISFORMULA('Previsto x realizado'!#REF!) = FALSE, "","Enviado")</f>
        <v>#REF!</v>
      </c>
      <c r="H553" s="51" t="e">
        <f>IF(_xlfn.ISFORMULA('Previsto x realizado'!#REF!) = FALSE, "","Enviado")</f>
        <v>#REF!</v>
      </c>
      <c r="I553" s="51" t="e">
        <f>IF(_xlfn.ISFORMULA('Previsto x realizado'!#REF!) = FALSE, "","Enviado")</f>
        <v>#REF!</v>
      </c>
      <c r="J553" s="51" t="e">
        <f>IF(_xlfn.ISFORMULA('Previsto x realizado'!#REF!) = FALSE, "","Enviado")</f>
        <v>#REF!</v>
      </c>
      <c r="K553" s="51" t="e">
        <f>IF(_xlfn.ISFORMULA('Previsto x realizado'!#REF!) = FALSE, "","Enviado")</f>
        <v>#REF!</v>
      </c>
      <c r="L553" s="51" t="e">
        <f>IF(_xlfn.ISFORMULA('Previsto x realizado'!#REF!) = FALSE, "","Enviado")</f>
        <v>#REF!</v>
      </c>
      <c r="M553" s="51" t="e">
        <f>IF(_xlfn.ISFORMULA('Previsto x realizado'!#REF!) = FALSE, "","Enviado")</f>
        <v>#REF!</v>
      </c>
      <c r="N553" s="51" t="e">
        <f>IF(_xlfn.ISFORMULA('Previsto x realizado'!#REF!) = FALSE, "","Enviado")</f>
        <v>#REF!</v>
      </c>
      <c r="O553" s="51" t="e">
        <f>IF(_xlfn.ISFORMULA('Previsto x realizado'!#REF!) = FALSE, "","Enviado")</f>
        <v>#REF!</v>
      </c>
      <c r="P553" s="51" t="e">
        <f>IF(_xlfn.ISFORMULA('Previsto x realizado'!#REF!) = FALSE, "","Enviado")</f>
        <v>#REF!</v>
      </c>
    </row>
    <row r="554" spans="1:16" x14ac:dyDescent="0.3">
      <c r="A554" s="72" t="s">
        <v>44</v>
      </c>
      <c r="B554" s="73" t="s">
        <v>44</v>
      </c>
      <c r="C554" s="74" t="s">
        <v>209</v>
      </c>
      <c r="D554" s="73" t="s">
        <v>44</v>
      </c>
      <c r="E554" s="51" t="e">
        <f>IF(_xlfn.ISFORMULA('Previsto x realizado'!#REF!) = FALSE, "","Enviado")</f>
        <v>#REF!</v>
      </c>
      <c r="F554" s="51" t="e">
        <f>IF(_xlfn.ISFORMULA('Previsto x realizado'!#REF!) = FALSE, "","Enviado")</f>
        <v>#REF!</v>
      </c>
      <c r="G554" s="51" t="e">
        <f>IF(_xlfn.ISFORMULA('Previsto x realizado'!#REF!) = FALSE, "","Enviado")</f>
        <v>#REF!</v>
      </c>
      <c r="H554" s="51" t="e">
        <f>IF(_xlfn.ISFORMULA('Previsto x realizado'!#REF!) = FALSE, "","Enviado")</f>
        <v>#REF!</v>
      </c>
      <c r="I554" s="51" t="e">
        <f>IF(_xlfn.ISFORMULA('Previsto x realizado'!#REF!) = FALSE, "","Enviado")</f>
        <v>#REF!</v>
      </c>
      <c r="J554" s="51" t="e">
        <f>IF(_xlfn.ISFORMULA('Previsto x realizado'!#REF!) = FALSE, "","Enviado")</f>
        <v>#REF!</v>
      </c>
      <c r="K554" s="51" t="e">
        <f>IF(_xlfn.ISFORMULA('Previsto x realizado'!#REF!) = FALSE, "","Enviado")</f>
        <v>#REF!</v>
      </c>
      <c r="L554" s="51" t="e">
        <f>IF(_xlfn.ISFORMULA('Previsto x realizado'!#REF!) = FALSE, "","Enviado")</f>
        <v>#REF!</v>
      </c>
      <c r="M554" s="51" t="e">
        <f>IF(_xlfn.ISFORMULA('Previsto x realizado'!#REF!) = FALSE, "","Enviado")</f>
        <v>#REF!</v>
      </c>
      <c r="N554" s="51" t="e">
        <f>IF(_xlfn.ISFORMULA('Previsto x realizado'!#REF!) = FALSE, "","Enviado")</f>
        <v>#REF!</v>
      </c>
      <c r="O554" s="51" t="e">
        <f>IF(_xlfn.ISFORMULA('Previsto x realizado'!#REF!) = FALSE, "","Enviado")</f>
        <v>#REF!</v>
      </c>
      <c r="P554" s="51" t="e">
        <f>IF(_xlfn.ISFORMULA('Previsto x realizado'!#REF!) = FALSE, "","Enviado")</f>
        <v>#REF!</v>
      </c>
    </row>
    <row r="555" spans="1:16" x14ac:dyDescent="0.3">
      <c r="A555" s="72" t="s">
        <v>44</v>
      </c>
      <c r="B555" s="73" t="s">
        <v>44</v>
      </c>
      <c r="C555" s="74" t="s">
        <v>214</v>
      </c>
      <c r="D555" s="73" t="s">
        <v>44</v>
      </c>
      <c r="E555" s="51" t="str">
        <f>IF(_xlfn.ISFORMULA('Previsto x realizado'!AW2719) = FALSE, "","Enviado")</f>
        <v>Enviado</v>
      </c>
      <c r="F555" s="51" t="str">
        <f>IF(_xlfn.ISFORMULA('Previsto x realizado'!AX2719) = FALSE, "","Enviado")</f>
        <v/>
      </c>
      <c r="G555" s="51" t="str">
        <f>IF(_xlfn.ISFORMULA('Previsto x realizado'!AY2719) = FALSE, "","Enviado")</f>
        <v/>
      </c>
      <c r="H555" s="51" t="str">
        <f>IF(_xlfn.ISFORMULA('Previsto x realizado'!AZ2719) = FALSE, "","Enviado")</f>
        <v/>
      </c>
      <c r="I555" s="51" t="str">
        <f>IF(_xlfn.ISFORMULA('Previsto x realizado'!BA2719) = FALSE, "","Enviado")</f>
        <v/>
      </c>
      <c r="J555" s="51" t="str">
        <f>IF(_xlfn.ISFORMULA('Previsto x realizado'!BB2719) = FALSE, "","Enviado")</f>
        <v/>
      </c>
      <c r="K555" s="51" t="str">
        <f>IF(_xlfn.ISFORMULA('Previsto x realizado'!BC2719) = FALSE, "","Enviado")</f>
        <v/>
      </c>
      <c r="L555" s="51" t="str">
        <f>IF(_xlfn.ISFORMULA('Previsto x realizado'!BD2719) = FALSE, "","Enviado")</f>
        <v/>
      </c>
      <c r="M555" s="51" t="str">
        <f>IF(_xlfn.ISFORMULA('Previsto x realizado'!BE2719) = FALSE, "","Enviado")</f>
        <v/>
      </c>
      <c r="N555" s="51" t="str">
        <f>IF(_xlfn.ISFORMULA('Previsto x realizado'!BF2719) = FALSE, "","Enviado")</f>
        <v/>
      </c>
      <c r="O555" s="51" t="str">
        <f>IF(_xlfn.ISFORMULA('Previsto x realizado'!BG2719) = FALSE, "","Enviado")</f>
        <v/>
      </c>
      <c r="P555" s="51" t="str">
        <f>IF(_xlfn.ISFORMULA('Previsto x realizado'!BH2719) = FALSE, "","Enviado")</f>
        <v/>
      </c>
    </row>
    <row r="556" spans="1:16" x14ac:dyDescent="0.3">
      <c r="A556" s="72" t="s">
        <v>44</v>
      </c>
      <c r="B556" s="73" t="s">
        <v>44</v>
      </c>
      <c r="C556" s="74" t="s">
        <v>216</v>
      </c>
      <c r="D556" s="73" t="s">
        <v>44</v>
      </c>
      <c r="E556" s="51" t="e">
        <f>IF(_xlfn.ISFORMULA('Previsto x realizado'!#REF!) = FALSE, "","Enviado")</f>
        <v>#REF!</v>
      </c>
      <c r="F556" s="51" t="e">
        <f>IF(_xlfn.ISFORMULA('Previsto x realizado'!#REF!) = FALSE, "","Enviado")</f>
        <v>#REF!</v>
      </c>
      <c r="G556" s="51" t="e">
        <f>IF(_xlfn.ISFORMULA('Previsto x realizado'!#REF!) = FALSE, "","Enviado")</f>
        <v>#REF!</v>
      </c>
      <c r="H556" s="51" t="e">
        <f>IF(_xlfn.ISFORMULA('Previsto x realizado'!#REF!) = FALSE, "","Enviado")</f>
        <v>#REF!</v>
      </c>
      <c r="I556" s="51" t="e">
        <f>IF(_xlfn.ISFORMULA('Previsto x realizado'!#REF!) = FALSE, "","Enviado")</f>
        <v>#REF!</v>
      </c>
      <c r="J556" s="51" t="e">
        <f>IF(_xlfn.ISFORMULA('Previsto x realizado'!#REF!) = FALSE, "","Enviado")</f>
        <v>#REF!</v>
      </c>
      <c r="K556" s="51" t="e">
        <f>IF(_xlfn.ISFORMULA('Previsto x realizado'!#REF!) = FALSE, "","Enviado")</f>
        <v>#REF!</v>
      </c>
      <c r="L556" s="51" t="e">
        <f>IF(_xlfn.ISFORMULA('Previsto x realizado'!#REF!) = FALSE, "","Enviado")</f>
        <v>#REF!</v>
      </c>
      <c r="M556" s="51" t="e">
        <f>IF(_xlfn.ISFORMULA('Previsto x realizado'!#REF!) = FALSE, "","Enviado")</f>
        <v>#REF!</v>
      </c>
      <c r="N556" s="51" t="e">
        <f>IF(_xlfn.ISFORMULA('Previsto x realizado'!#REF!) = FALSE, "","Enviado")</f>
        <v>#REF!</v>
      </c>
      <c r="O556" s="51" t="e">
        <f>IF(_xlfn.ISFORMULA('Previsto x realizado'!#REF!) = FALSE, "","Enviado")</f>
        <v>#REF!</v>
      </c>
      <c r="P556" s="51" t="e">
        <f>IF(_xlfn.ISFORMULA('Previsto x realizado'!#REF!) = FALSE, "","Enviado")</f>
        <v>#REF!</v>
      </c>
    </row>
    <row r="557" spans="1:16" x14ac:dyDescent="0.3">
      <c r="A557" s="72" t="s">
        <v>44</v>
      </c>
      <c r="B557" s="73" t="s">
        <v>44</v>
      </c>
      <c r="C557" s="74" t="s">
        <v>221</v>
      </c>
      <c r="D557" s="73" t="s">
        <v>44</v>
      </c>
      <c r="E557" s="51" t="str">
        <f>IF(_xlfn.ISFORMULA('Previsto x realizado'!AW2733) = FALSE, "","Enviado")</f>
        <v>Enviado</v>
      </c>
      <c r="F557" s="51" t="str">
        <f>IF(_xlfn.ISFORMULA('Previsto x realizado'!AX2733) = FALSE, "","Enviado")</f>
        <v/>
      </c>
      <c r="G557" s="51" t="str">
        <f>IF(_xlfn.ISFORMULA('Previsto x realizado'!AY2733) = FALSE, "","Enviado")</f>
        <v/>
      </c>
      <c r="H557" s="51" t="str">
        <f>IF(_xlfn.ISFORMULA('Previsto x realizado'!AZ2733) = FALSE, "","Enviado")</f>
        <v/>
      </c>
      <c r="I557" s="51" t="str">
        <f>IF(_xlfn.ISFORMULA('Previsto x realizado'!BA2733) = FALSE, "","Enviado")</f>
        <v/>
      </c>
      <c r="J557" s="51" t="str">
        <f>IF(_xlfn.ISFORMULA('Previsto x realizado'!BB2733) = FALSE, "","Enviado")</f>
        <v/>
      </c>
      <c r="K557" s="51" t="str">
        <f>IF(_xlfn.ISFORMULA('Previsto x realizado'!BC2733) = FALSE, "","Enviado")</f>
        <v/>
      </c>
      <c r="L557" s="51" t="str">
        <f>IF(_xlfn.ISFORMULA('Previsto x realizado'!BD2733) = FALSE, "","Enviado")</f>
        <v/>
      </c>
      <c r="M557" s="51" t="str">
        <f>IF(_xlfn.ISFORMULA('Previsto x realizado'!BE2733) = FALSE, "","Enviado")</f>
        <v/>
      </c>
      <c r="N557" s="51" t="str">
        <f>IF(_xlfn.ISFORMULA('Previsto x realizado'!BF2733) = FALSE, "","Enviado")</f>
        <v/>
      </c>
      <c r="O557" s="51" t="str">
        <f>IF(_xlfn.ISFORMULA('Previsto x realizado'!BG2733) = FALSE, "","Enviado")</f>
        <v/>
      </c>
      <c r="P557" s="51" t="str">
        <f>IF(_xlfn.ISFORMULA('Previsto x realizado'!BH2733) = FALSE, "","Enviado")</f>
        <v/>
      </c>
    </row>
    <row r="558" spans="1:16" x14ac:dyDescent="0.3">
      <c r="A558" s="72" t="s">
        <v>44</v>
      </c>
      <c r="B558" s="73" t="s">
        <v>44</v>
      </c>
      <c r="C558" s="74" t="s">
        <v>239</v>
      </c>
      <c r="D558" s="73" t="s">
        <v>44</v>
      </c>
      <c r="E558" s="51" t="str">
        <f>IF(_xlfn.ISFORMULA('Previsto x realizado'!AW2734) = FALSE, "","Enviado")</f>
        <v>Enviado</v>
      </c>
      <c r="F558" s="51" t="str">
        <f>IF(_xlfn.ISFORMULA('Previsto x realizado'!AX2734) = FALSE, "","Enviado")</f>
        <v>Enviado</v>
      </c>
      <c r="G558" s="51" t="str">
        <f>IF(_xlfn.ISFORMULA('Previsto x realizado'!AY2734) = FALSE, "","Enviado")</f>
        <v>Enviado</v>
      </c>
      <c r="H558" s="51" t="str">
        <f>IF(_xlfn.ISFORMULA('Previsto x realizado'!AZ2734) = FALSE, "","Enviado")</f>
        <v>Enviado</v>
      </c>
      <c r="I558" s="51" t="str">
        <f>IF(_xlfn.ISFORMULA('Previsto x realizado'!BA2734) = FALSE, "","Enviado")</f>
        <v/>
      </c>
      <c r="J558" s="51" t="str">
        <f>IF(_xlfn.ISFORMULA('Previsto x realizado'!BB2734) = FALSE, "","Enviado")</f>
        <v/>
      </c>
      <c r="K558" s="51" t="str">
        <f>IF(_xlfn.ISFORMULA('Previsto x realizado'!BC2734) = FALSE, "","Enviado")</f>
        <v/>
      </c>
      <c r="L558" s="51" t="str">
        <f>IF(_xlfn.ISFORMULA('Previsto x realizado'!BD2734) = FALSE, "","Enviado")</f>
        <v/>
      </c>
      <c r="M558" s="51" t="str">
        <f>IF(_xlfn.ISFORMULA('Previsto x realizado'!BE2734) = FALSE, "","Enviado")</f>
        <v/>
      </c>
      <c r="N558" s="51" t="str">
        <f>IF(_xlfn.ISFORMULA('Previsto x realizado'!BF2734) = FALSE, "","Enviado")</f>
        <v/>
      </c>
      <c r="O558" s="51" t="str">
        <f>IF(_xlfn.ISFORMULA('Previsto x realizado'!BG2734) = FALSE, "","Enviado")</f>
        <v/>
      </c>
      <c r="P558" s="51" t="str">
        <f>IF(_xlfn.ISFORMULA('Previsto x realizado'!BH2734) = FALSE, "","Enviado")</f>
        <v/>
      </c>
    </row>
    <row r="559" spans="1:16" x14ac:dyDescent="0.3">
      <c r="A559" s="101" t="s">
        <v>242</v>
      </c>
      <c r="B559" s="4" t="s">
        <v>243</v>
      </c>
      <c r="C559" s="5" t="s">
        <v>35</v>
      </c>
      <c r="D559" s="4" t="s">
        <v>238</v>
      </c>
      <c r="E559" s="51" t="str">
        <f>IF(_xlfn.ISFORMULA('Previsto x realizado'!AW2737) = FALSE, "","Enviado")</f>
        <v>Enviado</v>
      </c>
      <c r="F559" s="51" t="str">
        <f>IF(_xlfn.ISFORMULA('Previsto x realizado'!AX2737) = FALSE, "","Enviado")</f>
        <v/>
      </c>
      <c r="G559" s="51" t="str">
        <f>IF(_xlfn.ISFORMULA('Previsto x realizado'!AY2737) = FALSE, "","Enviado")</f>
        <v/>
      </c>
      <c r="H559" s="51" t="str">
        <f>IF(_xlfn.ISFORMULA('Previsto x realizado'!AZ2737) = FALSE, "","Enviado")</f>
        <v/>
      </c>
      <c r="I559" s="51" t="str">
        <f>IF(_xlfn.ISFORMULA('Previsto x realizado'!BA2737) = FALSE, "","Enviado")</f>
        <v/>
      </c>
      <c r="J559" s="51" t="str">
        <f>IF(_xlfn.ISFORMULA('Previsto x realizado'!BB2737) = FALSE, "","Enviado")</f>
        <v/>
      </c>
      <c r="K559" s="51" t="str">
        <f>IF(_xlfn.ISFORMULA('Previsto x realizado'!BC2737) = FALSE, "","Enviado")</f>
        <v/>
      </c>
      <c r="L559" s="51" t="str">
        <f>IF(_xlfn.ISFORMULA('Previsto x realizado'!BD2737) = FALSE, "","Enviado")</f>
        <v/>
      </c>
      <c r="M559" s="51" t="str">
        <f>IF(_xlfn.ISFORMULA('Previsto x realizado'!BE2737) = FALSE, "","Enviado")</f>
        <v/>
      </c>
      <c r="N559" s="51" t="str">
        <f>IF(_xlfn.ISFORMULA('Previsto x realizado'!BF2737) = FALSE, "","Enviado")</f>
        <v/>
      </c>
      <c r="O559" s="51" t="str">
        <f>IF(_xlfn.ISFORMULA('Previsto x realizado'!BG2737) = FALSE, "","Enviado")</f>
        <v/>
      </c>
      <c r="P559" s="51" t="str">
        <f>IF(_xlfn.ISFORMULA('Previsto x realizado'!BH2737) = FALSE, "","Enviado")</f>
        <v/>
      </c>
    </row>
    <row r="560" spans="1:16" hidden="1" x14ac:dyDescent="0.3">
      <c r="A560" s="101" t="s">
        <v>242</v>
      </c>
      <c r="B560" s="4" t="s">
        <v>243</v>
      </c>
      <c r="C560" s="5" t="s">
        <v>95</v>
      </c>
      <c r="D560" s="4" t="s">
        <v>238</v>
      </c>
      <c r="E560" s="51" t="str">
        <f>IF(_xlfn.ISFORMULA('Previsto x realizado'!AW2738) = FALSE, "","Enviado")</f>
        <v/>
      </c>
      <c r="F560" s="51" t="str">
        <f>IF(_xlfn.ISFORMULA('Previsto x realizado'!AX2738) = FALSE, "","Enviado")</f>
        <v/>
      </c>
      <c r="G560" s="51" t="str">
        <f>IF(_xlfn.ISFORMULA('Previsto x realizado'!AY2738) = FALSE, "","Enviado")</f>
        <v/>
      </c>
      <c r="H560" s="51" t="str">
        <f>IF(_xlfn.ISFORMULA('Previsto x realizado'!AZ2738) = FALSE, "","Enviado")</f>
        <v/>
      </c>
      <c r="I560" s="51" t="str">
        <f>IF(_xlfn.ISFORMULA('Previsto x realizado'!BA2738) = FALSE, "","Enviado")</f>
        <v/>
      </c>
      <c r="J560" s="51" t="str">
        <f>IF(_xlfn.ISFORMULA('Previsto x realizado'!BB2738) = FALSE, "","Enviado")</f>
        <v/>
      </c>
      <c r="K560" s="51" t="str">
        <f>IF(_xlfn.ISFORMULA('Previsto x realizado'!BC2738) = FALSE, "","Enviado")</f>
        <v/>
      </c>
      <c r="L560" s="51" t="str">
        <f>IF(_xlfn.ISFORMULA('Previsto x realizado'!BD2738) = FALSE, "","Enviado")</f>
        <v/>
      </c>
      <c r="M560" s="51" t="str">
        <f>IF(_xlfn.ISFORMULA('Previsto x realizado'!BE2738) = FALSE, "","Enviado")</f>
        <v/>
      </c>
      <c r="N560" s="51" t="str">
        <f>IF(_xlfn.ISFORMULA('Previsto x realizado'!BF2738) = FALSE, "","Enviado")</f>
        <v/>
      </c>
      <c r="O560" s="51" t="str">
        <f>IF(_xlfn.ISFORMULA('Previsto x realizado'!BG2738) = FALSE, "","Enviado")</f>
        <v/>
      </c>
      <c r="P560" s="51" t="str">
        <f>IF(_xlfn.ISFORMULA('Previsto x realizado'!BH2738) = FALSE, "","Enviado")</f>
        <v/>
      </c>
    </row>
    <row r="561" spans="1:16" hidden="1" x14ac:dyDescent="0.3">
      <c r="A561" s="101" t="s">
        <v>242</v>
      </c>
      <c r="B561" s="4" t="s">
        <v>243</v>
      </c>
      <c r="C561" s="5" t="s">
        <v>97</v>
      </c>
      <c r="D561" s="4" t="s">
        <v>238</v>
      </c>
      <c r="E561" s="51" t="e">
        <f>IF(_xlfn.ISFORMULA('Previsto x realizado'!#REF!) = FALSE, "","Enviado")</f>
        <v>#REF!</v>
      </c>
      <c r="F561" s="51" t="e">
        <f>IF(_xlfn.ISFORMULA('Previsto x realizado'!#REF!) = FALSE, "","Enviado")</f>
        <v>#REF!</v>
      </c>
      <c r="G561" s="51" t="e">
        <f>IF(_xlfn.ISFORMULA('Previsto x realizado'!#REF!) = FALSE, "","Enviado")</f>
        <v>#REF!</v>
      </c>
      <c r="H561" s="51" t="e">
        <f>IF(_xlfn.ISFORMULA('Previsto x realizado'!#REF!) = FALSE, "","Enviado")</f>
        <v>#REF!</v>
      </c>
      <c r="I561" s="51" t="e">
        <f>IF(_xlfn.ISFORMULA('Previsto x realizado'!#REF!) = FALSE, "","Enviado")</f>
        <v>#REF!</v>
      </c>
      <c r="J561" s="51" t="e">
        <f>IF(_xlfn.ISFORMULA('Previsto x realizado'!#REF!) = FALSE, "","Enviado")</f>
        <v>#REF!</v>
      </c>
      <c r="K561" s="51" t="e">
        <f>IF(_xlfn.ISFORMULA('Previsto x realizado'!#REF!) = FALSE, "","Enviado")</f>
        <v>#REF!</v>
      </c>
      <c r="L561" s="51" t="e">
        <f>IF(_xlfn.ISFORMULA('Previsto x realizado'!#REF!) = FALSE, "","Enviado")</f>
        <v>#REF!</v>
      </c>
      <c r="M561" s="51" t="e">
        <f>IF(_xlfn.ISFORMULA('Previsto x realizado'!#REF!) = FALSE, "","Enviado")</f>
        <v>#REF!</v>
      </c>
      <c r="N561" s="51" t="e">
        <f>IF(_xlfn.ISFORMULA('Previsto x realizado'!#REF!) = FALSE, "","Enviado")</f>
        <v>#REF!</v>
      </c>
      <c r="O561" s="51" t="e">
        <f>IF(_xlfn.ISFORMULA('Previsto x realizado'!#REF!) = FALSE, "","Enviado")</f>
        <v>#REF!</v>
      </c>
      <c r="P561" s="51" t="e">
        <f>IF(_xlfn.ISFORMULA('Previsto x realizado'!#REF!) = FALSE, "","Enviado")</f>
        <v>#REF!</v>
      </c>
    </row>
    <row r="562" spans="1:16" hidden="1" x14ac:dyDescent="0.3">
      <c r="A562" s="101" t="s">
        <v>242</v>
      </c>
      <c r="B562" s="4" t="s">
        <v>243</v>
      </c>
      <c r="C562" s="5" t="s">
        <v>209</v>
      </c>
      <c r="D562" s="4" t="s">
        <v>238</v>
      </c>
      <c r="E562" s="51" t="str">
        <f>IF(_xlfn.ISFORMULA('Previsto x realizado'!AW2755) = FALSE, "","Enviado")</f>
        <v/>
      </c>
      <c r="F562" s="51" t="str">
        <f>IF(_xlfn.ISFORMULA('Previsto x realizado'!AX2755) = FALSE, "","Enviado")</f>
        <v/>
      </c>
      <c r="G562" s="51" t="str">
        <f>IF(_xlfn.ISFORMULA('Previsto x realizado'!AY2755) = FALSE, "","Enviado")</f>
        <v/>
      </c>
      <c r="H562" s="51" t="str">
        <f>IF(_xlfn.ISFORMULA('Previsto x realizado'!AZ2755) = FALSE, "","Enviado")</f>
        <v/>
      </c>
      <c r="I562" s="51" t="str">
        <f>IF(_xlfn.ISFORMULA('Previsto x realizado'!BA2755) = FALSE, "","Enviado")</f>
        <v/>
      </c>
      <c r="J562" s="51" t="str">
        <f>IF(_xlfn.ISFORMULA('Previsto x realizado'!BB2755) = FALSE, "","Enviado")</f>
        <v/>
      </c>
      <c r="K562" s="51" t="str">
        <f>IF(_xlfn.ISFORMULA('Previsto x realizado'!BC2755) = FALSE, "","Enviado")</f>
        <v/>
      </c>
      <c r="L562" s="51" t="str">
        <f>IF(_xlfn.ISFORMULA('Previsto x realizado'!BD2755) = FALSE, "","Enviado")</f>
        <v/>
      </c>
      <c r="M562" s="51" t="str">
        <f>IF(_xlfn.ISFORMULA('Previsto x realizado'!BE2755) = FALSE, "","Enviado")</f>
        <v/>
      </c>
      <c r="N562" s="51" t="str">
        <f>IF(_xlfn.ISFORMULA('Previsto x realizado'!BF2755) = FALSE, "","Enviado")</f>
        <v/>
      </c>
      <c r="O562" s="51" t="str">
        <f>IF(_xlfn.ISFORMULA('Previsto x realizado'!BG2755) = FALSE, "","Enviado")</f>
        <v/>
      </c>
      <c r="P562" s="51" t="str">
        <f>IF(_xlfn.ISFORMULA('Previsto x realizado'!BH2755) = FALSE, "","Enviado")</f>
        <v/>
      </c>
    </row>
    <row r="563" spans="1:16" hidden="1" x14ac:dyDescent="0.3">
      <c r="A563" s="101" t="s">
        <v>242</v>
      </c>
      <c r="B563" s="4" t="s">
        <v>243</v>
      </c>
      <c r="C563" s="5" t="s">
        <v>214</v>
      </c>
      <c r="D563" s="4" t="s">
        <v>238</v>
      </c>
      <c r="E563" s="51" t="str">
        <f>IF(_xlfn.ISFORMULA('Previsto x realizado'!AW2761) = FALSE, "","Enviado")</f>
        <v/>
      </c>
      <c r="F563" s="51" t="str">
        <f>IF(_xlfn.ISFORMULA('Previsto x realizado'!AX2761) = FALSE, "","Enviado")</f>
        <v/>
      </c>
      <c r="G563" s="51" t="str">
        <f>IF(_xlfn.ISFORMULA('Previsto x realizado'!AY2761) = FALSE, "","Enviado")</f>
        <v/>
      </c>
      <c r="H563" s="51" t="str">
        <f>IF(_xlfn.ISFORMULA('Previsto x realizado'!AZ2761) = FALSE, "","Enviado")</f>
        <v/>
      </c>
      <c r="I563" s="51" t="str">
        <f>IF(_xlfn.ISFORMULA('Previsto x realizado'!BA2761) = FALSE, "","Enviado")</f>
        <v/>
      </c>
      <c r="J563" s="51" t="str">
        <f>IF(_xlfn.ISFORMULA('Previsto x realizado'!BB2761) = FALSE, "","Enviado")</f>
        <v/>
      </c>
      <c r="K563" s="51" t="str">
        <f>IF(_xlfn.ISFORMULA('Previsto x realizado'!BC2761) = FALSE, "","Enviado")</f>
        <v/>
      </c>
      <c r="L563" s="51" t="str">
        <f>IF(_xlfn.ISFORMULA('Previsto x realizado'!BD2761) = FALSE, "","Enviado")</f>
        <v/>
      </c>
      <c r="M563" s="51" t="str">
        <f>IF(_xlfn.ISFORMULA('Previsto x realizado'!BE2761) = FALSE, "","Enviado")</f>
        <v/>
      </c>
      <c r="N563" s="51" t="str">
        <f>IF(_xlfn.ISFORMULA('Previsto x realizado'!BF2761) = FALSE, "","Enviado")</f>
        <v/>
      </c>
      <c r="O563" s="51" t="str">
        <f>IF(_xlfn.ISFORMULA('Previsto x realizado'!BG2761) = FALSE, "","Enviado")</f>
        <v/>
      </c>
      <c r="P563" s="51" t="str">
        <f>IF(_xlfn.ISFORMULA('Previsto x realizado'!BH2761) = FALSE, "","Enviado")</f>
        <v/>
      </c>
    </row>
    <row r="564" spans="1:16" hidden="1" x14ac:dyDescent="0.3">
      <c r="A564" s="101" t="s">
        <v>242</v>
      </c>
      <c r="B564" s="4" t="s">
        <v>243</v>
      </c>
      <c r="C564" s="5" t="s">
        <v>216</v>
      </c>
      <c r="D564" s="4" t="s">
        <v>238</v>
      </c>
      <c r="E564" s="51" t="str">
        <f>IF(_xlfn.ISFORMULA('Previsto x realizado'!AW2766) = FALSE, "","Enviado")</f>
        <v/>
      </c>
      <c r="F564" s="51" t="str">
        <f>IF(_xlfn.ISFORMULA('Previsto x realizado'!AX2766) = FALSE, "","Enviado")</f>
        <v/>
      </c>
      <c r="G564" s="51" t="str">
        <f>IF(_xlfn.ISFORMULA('Previsto x realizado'!AY2766) = FALSE, "","Enviado")</f>
        <v/>
      </c>
      <c r="H564" s="51" t="str">
        <f>IF(_xlfn.ISFORMULA('Previsto x realizado'!AZ2766) = FALSE, "","Enviado")</f>
        <v/>
      </c>
      <c r="I564" s="51" t="str">
        <f>IF(_xlfn.ISFORMULA('Previsto x realizado'!BA2766) = FALSE, "","Enviado")</f>
        <v/>
      </c>
      <c r="J564" s="51" t="str">
        <f>IF(_xlfn.ISFORMULA('Previsto x realizado'!BB2766) = FALSE, "","Enviado")</f>
        <v/>
      </c>
      <c r="K564" s="51" t="str">
        <f>IF(_xlfn.ISFORMULA('Previsto x realizado'!BC2766) = FALSE, "","Enviado")</f>
        <v/>
      </c>
      <c r="L564" s="51" t="str">
        <f>IF(_xlfn.ISFORMULA('Previsto x realizado'!BD2766) = FALSE, "","Enviado")</f>
        <v/>
      </c>
      <c r="M564" s="51" t="str">
        <f>IF(_xlfn.ISFORMULA('Previsto x realizado'!BE2766) = FALSE, "","Enviado")</f>
        <v/>
      </c>
      <c r="N564" s="51" t="str">
        <f>IF(_xlfn.ISFORMULA('Previsto x realizado'!BF2766) = FALSE, "","Enviado")</f>
        <v/>
      </c>
      <c r="O564" s="51" t="str">
        <f>IF(_xlfn.ISFORMULA('Previsto x realizado'!BG2766) = FALSE, "","Enviado")</f>
        <v/>
      </c>
      <c r="P564" s="51" t="str">
        <f>IF(_xlfn.ISFORMULA('Previsto x realizado'!BH2766) = FALSE, "","Enviado")</f>
        <v/>
      </c>
    </row>
    <row r="565" spans="1:16" x14ac:dyDescent="0.3">
      <c r="A565" s="101" t="s">
        <v>242</v>
      </c>
      <c r="B565" s="4" t="s">
        <v>243</v>
      </c>
      <c r="C565" s="5" t="s">
        <v>221</v>
      </c>
      <c r="D565" s="4" t="s">
        <v>238</v>
      </c>
      <c r="E565" s="51" t="str">
        <f>IF(_xlfn.ISFORMULA('Previsto x realizado'!AW2769) = FALSE, "","Enviado")</f>
        <v>Enviado</v>
      </c>
      <c r="F565" s="51" t="str">
        <f>IF(_xlfn.ISFORMULA('Previsto x realizado'!AX2769) = FALSE, "","Enviado")</f>
        <v/>
      </c>
      <c r="G565" s="51" t="str">
        <f>IF(_xlfn.ISFORMULA('Previsto x realizado'!AY2769) = FALSE, "","Enviado")</f>
        <v/>
      </c>
      <c r="H565" s="51" t="str">
        <f>IF(_xlfn.ISFORMULA('Previsto x realizado'!AZ2769) = FALSE, "","Enviado")</f>
        <v/>
      </c>
      <c r="I565" s="51" t="str">
        <f>IF(_xlfn.ISFORMULA('Previsto x realizado'!BA2769) = FALSE, "","Enviado")</f>
        <v/>
      </c>
      <c r="J565" s="51" t="str">
        <f>IF(_xlfn.ISFORMULA('Previsto x realizado'!BB2769) = FALSE, "","Enviado")</f>
        <v/>
      </c>
      <c r="K565" s="51" t="str">
        <f>IF(_xlfn.ISFORMULA('Previsto x realizado'!BC2769) = FALSE, "","Enviado")</f>
        <v/>
      </c>
      <c r="L565" s="51" t="str">
        <f>IF(_xlfn.ISFORMULA('Previsto x realizado'!BD2769) = FALSE, "","Enviado")</f>
        <v/>
      </c>
      <c r="M565" s="51" t="str">
        <f>IF(_xlfn.ISFORMULA('Previsto x realizado'!BE2769) = FALSE, "","Enviado")</f>
        <v/>
      </c>
      <c r="N565" s="51" t="str">
        <f>IF(_xlfn.ISFORMULA('Previsto x realizado'!BF2769) = FALSE, "","Enviado")</f>
        <v/>
      </c>
      <c r="O565" s="51" t="str">
        <f>IF(_xlfn.ISFORMULA('Previsto x realizado'!BG2769) = FALSE, "","Enviado")</f>
        <v/>
      </c>
      <c r="P565" s="51" t="str">
        <f>IF(_xlfn.ISFORMULA('Previsto x realizado'!BH2769) = FALSE, "","Enviado")</f>
        <v/>
      </c>
    </row>
    <row r="566" spans="1:16" hidden="1" x14ac:dyDescent="0.3">
      <c r="A566" s="70" t="s">
        <v>108</v>
      </c>
      <c r="B566" s="4" t="s">
        <v>109</v>
      </c>
      <c r="C566" s="5" t="s">
        <v>35</v>
      </c>
      <c r="D566" s="4" t="s">
        <v>238</v>
      </c>
      <c r="E566" s="51" t="e">
        <f>IF(_xlfn.ISFORMULA('Previsto x realizado'!#REF!) = FALSE, "","Enviado")</f>
        <v>#REF!</v>
      </c>
      <c r="F566" s="51" t="e">
        <f>IF(_xlfn.ISFORMULA('Previsto x realizado'!#REF!) = FALSE, "","Enviado")</f>
        <v>#REF!</v>
      </c>
      <c r="G566" s="51" t="e">
        <f>IF(_xlfn.ISFORMULA('Previsto x realizado'!#REF!) = FALSE, "","Enviado")</f>
        <v>#REF!</v>
      </c>
      <c r="H566" s="51" t="e">
        <f>IF(_xlfn.ISFORMULA('Previsto x realizado'!#REF!) = FALSE, "","Enviado")</f>
        <v>#REF!</v>
      </c>
      <c r="I566" s="51" t="e">
        <f>IF(_xlfn.ISFORMULA('Previsto x realizado'!#REF!) = FALSE, "","Enviado")</f>
        <v>#REF!</v>
      </c>
      <c r="J566" s="51" t="e">
        <f>IF(_xlfn.ISFORMULA('Previsto x realizado'!#REF!) = FALSE, "","Enviado")</f>
        <v>#REF!</v>
      </c>
      <c r="K566" s="51" t="e">
        <f>IF(_xlfn.ISFORMULA('Previsto x realizado'!#REF!) = FALSE, "","Enviado")</f>
        <v>#REF!</v>
      </c>
      <c r="L566" s="51" t="e">
        <f>IF(_xlfn.ISFORMULA('Previsto x realizado'!#REF!) = FALSE, "","Enviado")</f>
        <v>#REF!</v>
      </c>
      <c r="M566" s="51" t="e">
        <f>IF(_xlfn.ISFORMULA('Previsto x realizado'!#REF!) = FALSE, "","Enviado")</f>
        <v>#REF!</v>
      </c>
      <c r="N566" s="51" t="e">
        <f>IF(_xlfn.ISFORMULA('Previsto x realizado'!#REF!) = FALSE, "","Enviado")</f>
        <v>#REF!</v>
      </c>
      <c r="O566" s="51" t="e">
        <f>IF(_xlfn.ISFORMULA('Previsto x realizado'!#REF!) = FALSE, "","Enviado")</f>
        <v>#REF!</v>
      </c>
      <c r="P566" s="51" t="e">
        <f>IF(_xlfn.ISFORMULA('Previsto x realizado'!#REF!) = FALSE, "","Enviado")</f>
        <v>#REF!</v>
      </c>
    </row>
    <row r="567" spans="1:16" hidden="1" x14ac:dyDescent="0.3">
      <c r="A567" s="70" t="s">
        <v>108</v>
      </c>
      <c r="B567" s="4" t="s">
        <v>109</v>
      </c>
      <c r="C567" s="5" t="s">
        <v>95</v>
      </c>
      <c r="D567" s="4" t="s">
        <v>238</v>
      </c>
      <c r="E567" s="51" t="e">
        <f>IF(_xlfn.ISFORMULA('Previsto x realizado'!#REF!) = FALSE, "","Enviado")</f>
        <v>#REF!</v>
      </c>
      <c r="F567" s="51" t="e">
        <f>IF(_xlfn.ISFORMULA('Previsto x realizado'!#REF!) = FALSE, "","Enviado")</f>
        <v>#REF!</v>
      </c>
      <c r="G567" s="51" t="e">
        <f>IF(_xlfn.ISFORMULA('Previsto x realizado'!#REF!) = FALSE, "","Enviado")</f>
        <v>#REF!</v>
      </c>
      <c r="H567" s="51" t="e">
        <f>IF(_xlfn.ISFORMULA('Previsto x realizado'!#REF!) = FALSE, "","Enviado")</f>
        <v>#REF!</v>
      </c>
      <c r="I567" s="51" t="e">
        <f>IF(_xlfn.ISFORMULA('Previsto x realizado'!#REF!) = FALSE, "","Enviado")</f>
        <v>#REF!</v>
      </c>
      <c r="J567" s="51" t="e">
        <f>IF(_xlfn.ISFORMULA('Previsto x realizado'!#REF!) = FALSE, "","Enviado")</f>
        <v>#REF!</v>
      </c>
      <c r="K567" s="51" t="e">
        <f>IF(_xlfn.ISFORMULA('Previsto x realizado'!#REF!) = FALSE, "","Enviado")</f>
        <v>#REF!</v>
      </c>
      <c r="L567" s="51" t="e">
        <f>IF(_xlfn.ISFORMULA('Previsto x realizado'!#REF!) = FALSE, "","Enviado")</f>
        <v>#REF!</v>
      </c>
      <c r="M567" s="51" t="e">
        <f>IF(_xlfn.ISFORMULA('Previsto x realizado'!#REF!) = FALSE, "","Enviado")</f>
        <v>#REF!</v>
      </c>
      <c r="N567" s="51" t="e">
        <f>IF(_xlfn.ISFORMULA('Previsto x realizado'!#REF!) = FALSE, "","Enviado")</f>
        <v>#REF!</v>
      </c>
      <c r="O567" s="51" t="e">
        <f>IF(_xlfn.ISFORMULA('Previsto x realizado'!#REF!) = FALSE, "","Enviado")</f>
        <v>#REF!</v>
      </c>
      <c r="P567" s="51" t="e">
        <f>IF(_xlfn.ISFORMULA('Previsto x realizado'!#REF!) = FALSE, "","Enviado")</f>
        <v>#REF!</v>
      </c>
    </row>
    <row r="568" spans="1:16" hidden="1" x14ac:dyDescent="0.3">
      <c r="A568" s="70" t="s">
        <v>108</v>
      </c>
      <c r="B568" s="4" t="s">
        <v>109</v>
      </c>
      <c r="C568" s="5" t="s">
        <v>97</v>
      </c>
      <c r="D568" s="4" t="s">
        <v>238</v>
      </c>
      <c r="E568" s="51" t="e">
        <f>IF(_xlfn.ISFORMULA('Previsto x realizado'!#REF!) = FALSE, "","Enviado")</f>
        <v>#REF!</v>
      </c>
      <c r="F568" s="51" t="e">
        <f>IF(_xlfn.ISFORMULA('Previsto x realizado'!#REF!) = FALSE, "","Enviado")</f>
        <v>#REF!</v>
      </c>
      <c r="G568" s="51" t="e">
        <f>IF(_xlfn.ISFORMULA('Previsto x realizado'!#REF!) = FALSE, "","Enviado")</f>
        <v>#REF!</v>
      </c>
      <c r="H568" s="51" t="e">
        <f>IF(_xlfn.ISFORMULA('Previsto x realizado'!#REF!) = FALSE, "","Enviado")</f>
        <v>#REF!</v>
      </c>
      <c r="I568" s="51" t="e">
        <f>IF(_xlfn.ISFORMULA('Previsto x realizado'!#REF!) = FALSE, "","Enviado")</f>
        <v>#REF!</v>
      </c>
      <c r="J568" s="51" t="e">
        <f>IF(_xlfn.ISFORMULA('Previsto x realizado'!#REF!) = FALSE, "","Enviado")</f>
        <v>#REF!</v>
      </c>
      <c r="K568" s="51" t="e">
        <f>IF(_xlfn.ISFORMULA('Previsto x realizado'!#REF!) = FALSE, "","Enviado")</f>
        <v>#REF!</v>
      </c>
      <c r="L568" s="51" t="e">
        <f>IF(_xlfn.ISFORMULA('Previsto x realizado'!#REF!) = FALSE, "","Enviado")</f>
        <v>#REF!</v>
      </c>
      <c r="M568" s="51" t="e">
        <f>IF(_xlfn.ISFORMULA('Previsto x realizado'!#REF!) = FALSE, "","Enviado")</f>
        <v>#REF!</v>
      </c>
      <c r="N568" s="51" t="e">
        <f>IF(_xlfn.ISFORMULA('Previsto x realizado'!#REF!) = FALSE, "","Enviado")</f>
        <v>#REF!</v>
      </c>
      <c r="O568" s="51" t="e">
        <f>IF(_xlfn.ISFORMULA('Previsto x realizado'!#REF!) = FALSE, "","Enviado")</f>
        <v>#REF!</v>
      </c>
      <c r="P568" s="51" t="e">
        <f>IF(_xlfn.ISFORMULA('Previsto x realizado'!#REF!) = FALSE, "","Enviado")</f>
        <v>#REF!</v>
      </c>
    </row>
    <row r="569" spans="1:16" hidden="1" x14ac:dyDescent="0.3">
      <c r="A569" s="70" t="s">
        <v>108</v>
      </c>
      <c r="B569" s="4" t="s">
        <v>109</v>
      </c>
      <c r="C569" s="5" t="s">
        <v>209</v>
      </c>
      <c r="D569" s="4" t="s">
        <v>238</v>
      </c>
      <c r="E569" s="51" t="e">
        <f>IF(_xlfn.ISFORMULA('Previsto x realizado'!#REF!) = FALSE, "","Enviado")</f>
        <v>#REF!</v>
      </c>
      <c r="F569" s="51" t="e">
        <f>IF(_xlfn.ISFORMULA('Previsto x realizado'!#REF!) = FALSE, "","Enviado")</f>
        <v>#REF!</v>
      </c>
      <c r="G569" s="51" t="e">
        <f>IF(_xlfn.ISFORMULA('Previsto x realizado'!#REF!) = FALSE, "","Enviado")</f>
        <v>#REF!</v>
      </c>
      <c r="H569" s="51" t="e">
        <f>IF(_xlfn.ISFORMULA('Previsto x realizado'!#REF!) = FALSE, "","Enviado")</f>
        <v>#REF!</v>
      </c>
      <c r="I569" s="51" t="e">
        <f>IF(_xlfn.ISFORMULA('Previsto x realizado'!#REF!) = FALSE, "","Enviado")</f>
        <v>#REF!</v>
      </c>
      <c r="J569" s="51" t="e">
        <f>IF(_xlfn.ISFORMULA('Previsto x realizado'!#REF!) = FALSE, "","Enviado")</f>
        <v>#REF!</v>
      </c>
      <c r="K569" s="51" t="e">
        <f>IF(_xlfn.ISFORMULA('Previsto x realizado'!#REF!) = FALSE, "","Enviado")</f>
        <v>#REF!</v>
      </c>
      <c r="L569" s="51" t="e">
        <f>IF(_xlfn.ISFORMULA('Previsto x realizado'!#REF!) = FALSE, "","Enviado")</f>
        <v>#REF!</v>
      </c>
      <c r="M569" s="51" t="e">
        <f>IF(_xlfn.ISFORMULA('Previsto x realizado'!#REF!) = FALSE, "","Enviado")</f>
        <v>#REF!</v>
      </c>
      <c r="N569" s="51" t="e">
        <f>IF(_xlfn.ISFORMULA('Previsto x realizado'!#REF!) = FALSE, "","Enviado")</f>
        <v>#REF!</v>
      </c>
      <c r="O569" s="51" t="e">
        <f>IF(_xlfn.ISFORMULA('Previsto x realizado'!#REF!) = FALSE, "","Enviado")</f>
        <v>#REF!</v>
      </c>
      <c r="P569" s="51" t="e">
        <f>IF(_xlfn.ISFORMULA('Previsto x realizado'!#REF!) = FALSE, "","Enviado")</f>
        <v>#REF!</v>
      </c>
    </row>
    <row r="570" spans="1:16" hidden="1" x14ac:dyDescent="0.3">
      <c r="A570" s="70" t="s">
        <v>108</v>
      </c>
      <c r="B570" s="4" t="s">
        <v>109</v>
      </c>
      <c r="C570" s="5" t="s">
        <v>214</v>
      </c>
      <c r="D570" s="4" t="s">
        <v>238</v>
      </c>
      <c r="E570" s="51" t="e">
        <f>IF(_xlfn.ISFORMULA('Previsto x realizado'!#REF!) = FALSE, "","Enviado")</f>
        <v>#REF!</v>
      </c>
      <c r="F570" s="51" t="e">
        <f>IF(_xlfn.ISFORMULA('Previsto x realizado'!#REF!) = FALSE, "","Enviado")</f>
        <v>#REF!</v>
      </c>
      <c r="G570" s="51" t="e">
        <f>IF(_xlfn.ISFORMULA('Previsto x realizado'!#REF!) = FALSE, "","Enviado")</f>
        <v>#REF!</v>
      </c>
      <c r="H570" s="51" t="e">
        <f>IF(_xlfn.ISFORMULA('Previsto x realizado'!#REF!) = FALSE, "","Enviado")</f>
        <v>#REF!</v>
      </c>
      <c r="I570" s="51" t="e">
        <f>IF(_xlfn.ISFORMULA('Previsto x realizado'!#REF!) = FALSE, "","Enviado")</f>
        <v>#REF!</v>
      </c>
      <c r="J570" s="51" t="e">
        <f>IF(_xlfn.ISFORMULA('Previsto x realizado'!#REF!) = FALSE, "","Enviado")</f>
        <v>#REF!</v>
      </c>
      <c r="K570" s="51" t="e">
        <f>IF(_xlfn.ISFORMULA('Previsto x realizado'!#REF!) = FALSE, "","Enviado")</f>
        <v>#REF!</v>
      </c>
      <c r="L570" s="51" t="e">
        <f>IF(_xlfn.ISFORMULA('Previsto x realizado'!#REF!) = FALSE, "","Enviado")</f>
        <v>#REF!</v>
      </c>
      <c r="M570" s="51" t="e">
        <f>IF(_xlfn.ISFORMULA('Previsto x realizado'!#REF!) = FALSE, "","Enviado")</f>
        <v>#REF!</v>
      </c>
      <c r="N570" s="51" t="e">
        <f>IF(_xlfn.ISFORMULA('Previsto x realizado'!#REF!) = FALSE, "","Enviado")</f>
        <v>#REF!</v>
      </c>
      <c r="O570" s="51" t="e">
        <f>IF(_xlfn.ISFORMULA('Previsto x realizado'!#REF!) = FALSE, "","Enviado")</f>
        <v>#REF!</v>
      </c>
      <c r="P570" s="51" t="e">
        <f>IF(_xlfn.ISFORMULA('Previsto x realizado'!#REF!) = FALSE, "","Enviado")</f>
        <v>#REF!</v>
      </c>
    </row>
    <row r="571" spans="1:16" hidden="1" x14ac:dyDescent="0.3">
      <c r="A571" s="70" t="s">
        <v>108</v>
      </c>
      <c r="B571" s="4" t="s">
        <v>109</v>
      </c>
      <c r="C571" s="5" t="s">
        <v>216</v>
      </c>
      <c r="D571" s="4" t="s">
        <v>238</v>
      </c>
      <c r="E571" s="51" t="e">
        <f>IF(_xlfn.ISFORMULA('Previsto x realizado'!#REF!) = FALSE, "","Enviado")</f>
        <v>#REF!</v>
      </c>
      <c r="F571" s="51" t="e">
        <f>IF(_xlfn.ISFORMULA('Previsto x realizado'!#REF!) = FALSE, "","Enviado")</f>
        <v>#REF!</v>
      </c>
      <c r="G571" s="51" t="e">
        <f>IF(_xlfn.ISFORMULA('Previsto x realizado'!#REF!) = FALSE, "","Enviado")</f>
        <v>#REF!</v>
      </c>
      <c r="H571" s="51" t="e">
        <f>IF(_xlfn.ISFORMULA('Previsto x realizado'!#REF!) = FALSE, "","Enviado")</f>
        <v>#REF!</v>
      </c>
      <c r="I571" s="51" t="e">
        <f>IF(_xlfn.ISFORMULA('Previsto x realizado'!#REF!) = FALSE, "","Enviado")</f>
        <v>#REF!</v>
      </c>
      <c r="J571" s="51" t="e">
        <f>IF(_xlfn.ISFORMULA('Previsto x realizado'!#REF!) = FALSE, "","Enviado")</f>
        <v>#REF!</v>
      </c>
      <c r="K571" s="51" t="e">
        <f>IF(_xlfn.ISFORMULA('Previsto x realizado'!#REF!) = FALSE, "","Enviado")</f>
        <v>#REF!</v>
      </c>
      <c r="L571" s="51" t="e">
        <f>IF(_xlfn.ISFORMULA('Previsto x realizado'!#REF!) = FALSE, "","Enviado")</f>
        <v>#REF!</v>
      </c>
      <c r="M571" s="51" t="e">
        <f>IF(_xlfn.ISFORMULA('Previsto x realizado'!#REF!) = FALSE, "","Enviado")</f>
        <v>#REF!</v>
      </c>
      <c r="N571" s="51" t="e">
        <f>IF(_xlfn.ISFORMULA('Previsto x realizado'!#REF!) = FALSE, "","Enviado")</f>
        <v>#REF!</v>
      </c>
      <c r="O571" s="51" t="e">
        <f>IF(_xlfn.ISFORMULA('Previsto x realizado'!#REF!) = FALSE, "","Enviado")</f>
        <v>#REF!</v>
      </c>
      <c r="P571" s="51" t="e">
        <f>IF(_xlfn.ISFORMULA('Previsto x realizado'!#REF!) = FALSE, "","Enviado")</f>
        <v>#REF!</v>
      </c>
    </row>
    <row r="572" spans="1:16" hidden="1" x14ac:dyDescent="0.3">
      <c r="A572" s="70" t="s">
        <v>108</v>
      </c>
      <c r="B572" s="4" t="s">
        <v>109</v>
      </c>
      <c r="C572" s="5" t="s">
        <v>221</v>
      </c>
      <c r="D572" s="4" t="s">
        <v>238</v>
      </c>
      <c r="E572" s="51" t="str">
        <f>IF(_xlfn.ISFORMULA('Previsto x realizado'!AW2774) = FALSE, "","Enviado")</f>
        <v>Enviado</v>
      </c>
      <c r="F572" s="51" t="str">
        <f>IF(_xlfn.ISFORMULA('Previsto x realizado'!AX2774) = FALSE, "","Enviado")</f>
        <v>Enviado</v>
      </c>
      <c r="G572" s="51" t="str">
        <f>IF(_xlfn.ISFORMULA('Previsto x realizado'!AY2774) = FALSE, "","Enviado")</f>
        <v>Enviado</v>
      </c>
      <c r="H572" s="51" t="str">
        <f>IF(_xlfn.ISFORMULA('Previsto x realizado'!AZ2774) = FALSE, "","Enviado")</f>
        <v>Enviado</v>
      </c>
      <c r="I572" s="51" t="str">
        <f>IF(_xlfn.ISFORMULA('Previsto x realizado'!BA2774) = FALSE, "","Enviado")</f>
        <v/>
      </c>
      <c r="J572" s="51" t="str">
        <f>IF(_xlfn.ISFORMULA('Previsto x realizado'!BB2774) = FALSE, "","Enviado")</f>
        <v/>
      </c>
      <c r="K572" s="51" t="str">
        <f>IF(_xlfn.ISFORMULA('Previsto x realizado'!BC2774) = FALSE, "","Enviado")</f>
        <v/>
      </c>
      <c r="L572" s="51" t="str">
        <f>IF(_xlfn.ISFORMULA('Previsto x realizado'!BD2774) = FALSE, "","Enviado")</f>
        <v/>
      </c>
      <c r="M572" s="51" t="str">
        <f>IF(_xlfn.ISFORMULA('Previsto x realizado'!BE2774) = FALSE, "","Enviado")</f>
        <v/>
      </c>
      <c r="N572" s="51" t="str">
        <f>IF(_xlfn.ISFORMULA('Previsto x realizado'!BF2774) = FALSE, "","Enviado")</f>
        <v/>
      </c>
      <c r="O572" s="51" t="str">
        <f>IF(_xlfn.ISFORMULA('Previsto x realizado'!BG2774) = FALSE, "","Enviado")</f>
        <v/>
      </c>
      <c r="P572" s="51" t="str">
        <f>IF(_xlfn.ISFORMULA('Previsto x realizado'!BH2774) = FALSE, "","Enviado")</f>
        <v/>
      </c>
    </row>
  </sheetData>
  <autoFilter ref="A1:P572" xr:uid="{07FBE379-CA1E-4EA3-B21C-DE0954C0B8CE}">
    <filterColumn colId="4">
      <filters>
        <filter val="Enviado"/>
      </filters>
    </filterColumn>
  </autoFilter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65C2-751A-404C-BCCF-9BACADFBFB8B}">
  <dimension ref="A1:F10"/>
  <sheetViews>
    <sheetView workbookViewId="0">
      <selection activeCell="D11" sqref="D11"/>
    </sheetView>
  </sheetViews>
  <sheetFormatPr defaultRowHeight="14.4" x14ac:dyDescent="0.3"/>
  <cols>
    <col min="1" max="1" width="20.109375" bestFit="1" customWidth="1"/>
    <col min="2" max="2" width="24.109375" bestFit="1" customWidth="1"/>
    <col min="3" max="3" width="36.109375" customWidth="1"/>
    <col min="4" max="4" width="77.33203125" bestFit="1" customWidth="1"/>
    <col min="5" max="5" width="6.44140625" bestFit="1" customWidth="1"/>
    <col min="6" max="6" width="7.44140625" bestFit="1" customWidth="1"/>
  </cols>
  <sheetData>
    <row r="1" spans="1:6" x14ac:dyDescent="0.3">
      <c r="A1" s="126" t="s">
        <v>15</v>
      </c>
      <c r="B1" s="127" t="s">
        <v>315</v>
      </c>
      <c r="C1" s="127" t="s">
        <v>316</v>
      </c>
      <c r="D1" s="127" t="s">
        <v>317</v>
      </c>
      <c r="E1" s="127" t="s">
        <v>318</v>
      </c>
      <c r="F1" s="127" t="s">
        <v>319</v>
      </c>
    </row>
    <row r="2" spans="1:6" x14ac:dyDescent="0.3">
      <c r="A2" s="128" t="s">
        <v>320</v>
      </c>
      <c r="B2" s="129" t="s">
        <v>321</v>
      </c>
      <c r="C2" s="130" t="s">
        <v>322</v>
      </c>
      <c r="D2" s="129" t="s">
        <v>323</v>
      </c>
      <c r="E2" s="128"/>
      <c r="F2" s="128"/>
    </row>
    <row r="3" spans="1:6" x14ac:dyDescent="0.3">
      <c r="A3" s="128" t="s">
        <v>324</v>
      </c>
      <c r="B3" s="129" t="s">
        <v>321</v>
      </c>
      <c r="C3" s="131" t="s">
        <v>325</v>
      </c>
      <c r="D3" s="129" t="s">
        <v>326</v>
      </c>
      <c r="E3" s="128"/>
      <c r="F3" s="128"/>
    </row>
    <row r="4" spans="1:6" x14ac:dyDescent="0.3">
      <c r="A4" s="128" t="s">
        <v>249</v>
      </c>
      <c r="B4" s="129" t="s">
        <v>327</v>
      </c>
      <c r="C4" s="131" t="s">
        <v>328</v>
      </c>
      <c r="D4" s="129" t="s">
        <v>329</v>
      </c>
      <c r="E4" s="128"/>
      <c r="F4" s="128"/>
    </row>
    <row r="5" spans="1:6" x14ac:dyDescent="0.3">
      <c r="A5" s="128" t="s">
        <v>330</v>
      </c>
      <c r="B5" s="129" t="s">
        <v>327</v>
      </c>
      <c r="C5" s="131" t="s">
        <v>331</v>
      </c>
      <c r="D5" s="132" t="s">
        <v>332</v>
      </c>
      <c r="E5" s="128"/>
      <c r="F5" s="128"/>
    </row>
    <row r="6" spans="1:6" ht="31.5" customHeight="1" x14ac:dyDescent="0.3">
      <c r="A6" s="128" t="s">
        <v>247</v>
      </c>
      <c r="B6" s="129" t="s">
        <v>333</v>
      </c>
      <c r="C6" s="133" t="s">
        <v>334</v>
      </c>
      <c r="D6" s="132" t="s">
        <v>335</v>
      </c>
      <c r="E6" s="128"/>
      <c r="F6" s="128"/>
    </row>
    <row r="8" spans="1:6" x14ac:dyDescent="0.3">
      <c r="B8" t="s">
        <v>336</v>
      </c>
    </row>
    <row r="9" spans="1:6" x14ac:dyDescent="0.3">
      <c r="B9" t="s">
        <v>337</v>
      </c>
    </row>
    <row r="10" spans="1:6" x14ac:dyDescent="0.3">
      <c r="B10" t="s">
        <v>338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8738ec-1c0e-4901-acb2-f3a06a02b976" xsi:nil="true"/>
    <lcf76f155ced4ddcb4097134ff3c332f xmlns="fe0a6080-8cff-4c4d-8155-79d0da112d6f">
      <Terms xmlns="http://schemas.microsoft.com/office/infopath/2007/PartnerControls"/>
    </lcf76f155ced4ddcb4097134ff3c332f>
    <_Flow_SignoffStatus xmlns="fe0a6080-8cff-4c4d-8155-79d0da112d6f" xsi:nil="true"/>
    <Imagem xmlns="fe0a6080-8cff-4c4d-8155-79d0da112d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47520CF9582248B132F4E2D10EEF7F" ma:contentTypeVersion="19" ma:contentTypeDescription="Crie um novo documento." ma:contentTypeScope="" ma:versionID="d9e8c2ad0c3f9398f2728939623f01b9">
  <xsd:schema xmlns:xsd="http://www.w3.org/2001/XMLSchema" xmlns:xs="http://www.w3.org/2001/XMLSchema" xmlns:p="http://schemas.microsoft.com/office/2006/metadata/properties" xmlns:ns2="fe0a6080-8cff-4c4d-8155-79d0da112d6f" xmlns:ns3="218738ec-1c0e-4901-acb2-f3a06a02b976" targetNamespace="http://schemas.microsoft.com/office/2006/metadata/properties" ma:root="true" ma:fieldsID="961d77f79cade67ae96174155cd4830f" ns2:_="" ns3:_="">
    <xsd:import namespace="fe0a6080-8cff-4c4d-8155-79d0da112d6f"/>
    <xsd:import namespace="218738ec-1c0e-4901-acb2-f3a06a02b9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Flow_SignoffStatus" minOccurs="0"/>
                <xsd:element ref="ns2:Imag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a6080-8cff-4c4d-8155-79d0da112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f055f8f-6cfb-4dd8-b97f-25c7ba8ecf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4" nillable="true" ma:displayName="Status de liberação" ma:internalName="_x0024_Resources_x003a_core_x002c_Signoff_Status">
      <xsd:simpleType>
        <xsd:restriction base="dms:Text"/>
      </xsd:simpleType>
    </xsd:element>
    <xsd:element name="Imagem" ma:index="25" nillable="true" ma:displayName="Imagem" ma:format="Thumbnail" ma:internalName="Imagem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738ec-1c0e-4901-acb2-f3a06a02b97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d54b3d3-7ccc-4f46-b25e-9e841f502b90}" ma:internalName="TaxCatchAll" ma:showField="CatchAllData" ma:web="218738ec-1c0e-4901-acb2-f3a06a02b9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007C5E-FF3C-41E4-B0CA-F178FF706BA1}">
  <ds:schemaRefs>
    <ds:schemaRef ds:uri="http://purl.org/dc/terms/"/>
    <ds:schemaRef ds:uri="http://schemas.microsoft.com/office/2006/metadata/properties"/>
    <ds:schemaRef ds:uri="218738ec-1c0e-4901-acb2-f3a06a02b976"/>
    <ds:schemaRef ds:uri="http://purl.org/dc/dcmitype/"/>
    <ds:schemaRef ds:uri="fe0a6080-8cff-4c4d-8155-79d0da112d6f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D498BCC-390D-4448-B733-7E5044CE14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7FD1DE-2A90-4C32-8409-9116A46F46D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751EA28-D674-4E92-8F59-390DECC0CC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0a6080-8cff-4c4d-8155-79d0da112d6f"/>
    <ds:schemaRef ds:uri="218738ec-1c0e-4901-acb2-f3a06a02b9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Previsto x realizado</vt:lpstr>
      <vt:lpstr>Checklist</vt:lpstr>
      <vt:lpstr>Apuração</vt:lpstr>
      <vt:lpstr>PowerApps</vt:lpstr>
      <vt:lpstr>Planilha plan. estratégico Cris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 Rocha</dc:creator>
  <cp:keywords/>
  <dc:description/>
  <cp:lastModifiedBy>Bruno Klein Gomes</cp:lastModifiedBy>
  <cp:revision/>
  <dcterms:created xsi:type="dcterms:W3CDTF">2025-01-27T14:23:06Z</dcterms:created>
  <dcterms:modified xsi:type="dcterms:W3CDTF">2026-06-11T20:31:07Z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0x010100C447520CF9582248B132F4E2D10EEF7F</vt:lpwstr>
  </property>
  <property fmtid="{D5CDD505-2E9C-101B-9397-08002B2CF9AE}" pid="3" name="MediaServiceImageTags">
    <vt:lpwstr/>
  </property>
</Properties>
</file>